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6"/>
  <workbookPr backupFile="1"/>
  <bookViews>
    <workbookView xWindow="6735" yWindow="30" windowWidth="11970" windowHeight="7545" tabRatio="689" activeTab="1"/>
  </bookViews>
  <sheets>
    <sheet name="Valeurs Jalons Air" sheetId="24" r:id="rId1"/>
    <sheet name="Substances" sheetId="3" r:id="rId2"/>
    <sheet name="Sols" sheetId="4" r:id="rId3"/>
    <sheet name="3phas" sheetId="5" r:id="rId4"/>
    <sheet name="Du K" sheetId="14" r:id="rId5"/>
    <sheet name="EmVap-Vol" sheetId="9" r:id="rId6"/>
    <sheet name="Dispers" sheetId="10" r:id="rId7"/>
    <sheet name="FEM" sheetId="11" r:id="rId8"/>
    <sheet name="ExpoRisk" sheetId="12" r:id="rId9"/>
    <sheet name="Récap1" sheetId="26" r:id="rId10"/>
    <sheet name="Sensibilité" sheetId="29" r:id="rId11"/>
    <sheet name="HCT1" sheetId="30" r:id="rId12"/>
    <sheet name="HCT2" sheetId="34" r:id="rId13"/>
    <sheet name="Récap2" sheetId="33" r:id="rId14"/>
  </sheets>
  <externalReferences>
    <externalReference r:id="rId15"/>
  </externalReferences>
  <definedNames>
    <definedName name="_xlnm.Print_Titles" localSheetId="3">'3phas'!$9:$13</definedName>
    <definedName name="_xlnm.Print_Titles" localSheetId="6">Dispers!$2:$4</definedName>
    <definedName name="_xlnm.Print_Titles" localSheetId="4">'Du K'!$2:$2</definedName>
    <definedName name="_xlnm.Print_Titles" localSheetId="5">'EmVap-Vol'!$9:$9</definedName>
    <definedName name="_xlnm.Print_Titles" localSheetId="8">ExpoRisk!$9:$9</definedName>
    <definedName name="_xlnm.Print_Titles" localSheetId="12">'HCT2'!$9:$9</definedName>
    <definedName name="_xlnm.Print_Titles" localSheetId="9">Récap1!$9:$9</definedName>
    <definedName name="_xlnm.Print_Titles" localSheetId="13">Récap2!$9:$9</definedName>
    <definedName name="_xlnm.Print_Titles" localSheetId="10">Sensibilité!$9:$9</definedName>
    <definedName name="_xlnm.Print_Titles" localSheetId="1">Substances!$E:$G,Substances!$6:$6</definedName>
    <definedName name="_xlnm.Print_Area" localSheetId="3">'3phas'!$D$9:$W$29</definedName>
    <definedName name="_xlnm.Print_Area" localSheetId="6">Dispers!$D$2:$J$61</definedName>
    <definedName name="_xlnm.Print_Area" localSheetId="4">'Du K'!$D$2:$W$138</definedName>
    <definedName name="_xlnm.Print_Area" localSheetId="5">'EmVap-Vol'!$D$9:$W$352</definedName>
    <definedName name="_xlnm.Print_Area" localSheetId="8">ExpoRisk!$A$9:$W$591</definedName>
    <definedName name="_xlnm.Print_Area" localSheetId="7">FEM!$B$2:$I$33</definedName>
    <definedName name="_xlnm.Print_Area" localSheetId="12">'HCT2'!$A$9:$G$88</definedName>
    <definedName name="_xlnm.Print_Area" localSheetId="9">Récap1!$A$9:$W$88</definedName>
    <definedName name="_xlnm.Print_Area" localSheetId="13">Récap2!$A$9:$W$88</definedName>
    <definedName name="_xlnm.Print_Area" localSheetId="10">Sensibilité!$A$9:$W$80</definedName>
    <definedName name="_xlnm.Print_Area" localSheetId="2">Sols!$C$5:$P$51</definedName>
    <definedName name="_xlnm.Print_Area" localSheetId="1">Substances!$E$5:$BI$46</definedName>
  </definedNames>
  <calcPr calcId="125725"/>
</workbook>
</file>

<file path=xl/calcChain.xml><?xml version="1.0" encoding="utf-8"?>
<calcChain xmlns="http://schemas.openxmlformats.org/spreadsheetml/2006/main">
  <c r="E559" i="12"/>
  <c r="R3" i="30"/>
  <c r="S3"/>
  <c r="T3"/>
  <c r="U3"/>
  <c r="AG3"/>
  <c r="AH306"/>
  <c r="AH304"/>
  <c r="AH297"/>
  <c r="AH259"/>
  <c r="AH255"/>
  <c r="AH238"/>
  <c r="AH226"/>
  <c r="AH210"/>
  <c r="AH163"/>
  <c r="AH152"/>
  <c r="AH151"/>
  <c r="AH143"/>
  <c r="AH141"/>
  <c r="AH128"/>
  <c r="AH125"/>
  <c r="AH120"/>
  <c r="AH109"/>
  <c r="AH104"/>
  <c r="AH87"/>
  <c r="AH79"/>
  <c r="AH74"/>
  <c r="AH73"/>
  <c r="AH72"/>
  <c r="AH71"/>
  <c r="AH57"/>
  <c r="AH50"/>
  <c r="AH44"/>
  <c r="AH30"/>
  <c r="AH25"/>
  <c r="BB25"/>
  <c r="BB30"/>
  <c r="BB44"/>
  <c r="BB50"/>
  <c r="BB57"/>
  <c r="BB71"/>
  <c r="BB72"/>
  <c r="BB73"/>
  <c r="BB74"/>
  <c r="BB79"/>
  <c r="BB87"/>
  <c r="BB104"/>
  <c r="BB109"/>
  <c r="BB120"/>
  <c r="BB125"/>
  <c r="BB128"/>
  <c r="BB141"/>
  <c r="BB143"/>
  <c r="BB151"/>
  <c r="BB152"/>
  <c r="BB163"/>
  <c r="BB210"/>
  <c r="BB226"/>
  <c r="BB238"/>
  <c r="BB255"/>
  <c r="BB259"/>
  <c r="BB297"/>
  <c r="BB304"/>
  <c r="BB306"/>
  <c r="AV125"/>
  <c r="Q15" i="4" l="1"/>
  <c r="BD41" i="3"/>
  <c r="AN79" l="1"/>
  <c r="AO79"/>
  <c r="AP79"/>
  <c r="AQ79"/>
  <c r="AR79"/>
  <c r="AS79"/>
  <c r="AT79"/>
  <c r="AU79"/>
  <c r="AV79"/>
  <c r="AW79"/>
  <c r="AX79"/>
  <c r="AY79"/>
  <c r="AZ79"/>
  <c r="BA79"/>
  <c r="BB79"/>
  <c r="BC79"/>
  <c r="AC79"/>
  <c r="AD79"/>
  <c r="AE79"/>
  <c r="AF79"/>
  <c r="AG79"/>
  <c r="AH79"/>
  <c r="AI79"/>
  <c r="AJ79"/>
  <c r="AK79"/>
  <c r="AL79"/>
  <c r="AB79"/>
  <c r="W41"/>
  <c r="V41"/>
  <c r="W43"/>
  <c r="W35"/>
  <c r="W33"/>
  <c r="W24"/>
  <c r="W27" s="1"/>
  <c r="V35"/>
  <c r="V43"/>
  <c r="V44" s="1"/>
  <c r="V24"/>
  <c r="V27" s="1"/>
  <c r="U41"/>
  <c r="U43"/>
  <c r="T43"/>
  <c r="T44" s="1"/>
  <c r="T33"/>
  <c r="T27"/>
  <c r="T24"/>
  <c r="S43"/>
  <c r="S44" s="1"/>
  <c r="R27"/>
  <c r="R43"/>
  <c r="R44" s="1"/>
  <c r="R24"/>
  <c r="Q43"/>
  <c r="Q44" s="1"/>
  <c r="Q33"/>
  <c r="Q27"/>
  <c r="Q24"/>
  <c r="P43"/>
  <c r="P44" s="1"/>
  <c r="O43"/>
  <c r="O44" s="1"/>
  <c r="O33"/>
  <c r="O27"/>
  <c r="O24"/>
  <c r="N43"/>
  <c r="N44" s="1"/>
  <c r="M43"/>
  <c r="M44" s="1"/>
  <c r="M33"/>
  <c r="M27"/>
  <c r="M24"/>
  <c r="L43"/>
  <c r="L44" s="1"/>
  <c r="I43"/>
  <c r="J43"/>
  <c r="J41"/>
  <c r="I41"/>
  <c r="H43"/>
  <c r="H41"/>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BI33"/>
  <c r="BH33"/>
  <c r="BG33"/>
  <c r="BF33"/>
  <c r="BE33"/>
  <c r="BD33"/>
  <c r="BD35" s="1"/>
  <c r="BC33"/>
  <c r="BB33"/>
  <c r="BA33"/>
  <c r="AZ33"/>
  <c r="AY33"/>
  <c r="AX33"/>
  <c r="AW33"/>
  <c r="AV33"/>
  <c r="AU33"/>
  <c r="AT33"/>
  <c r="AS33"/>
  <c r="AR33"/>
  <c r="AQ33"/>
  <c r="AP33"/>
  <c r="AO33"/>
  <c r="AN33"/>
  <c r="AA33"/>
  <c r="Z33"/>
  <c r="Y33"/>
  <c r="X33"/>
  <c r="V33"/>
  <c r="V36" s="1"/>
  <c r="U33"/>
  <c r="S33"/>
  <c r="R33"/>
  <c r="P33"/>
  <c r="N33"/>
  <c r="L33"/>
  <c r="J33"/>
  <c r="I33"/>
  <c r="H33"/>
  <c r="K33"/>
  <c r="K24"/>
  <c r="E4" i="14"/>
  <c r="K43" i="3"/>
  <c r="K44" s="1"/>
  <c r="BH43"/>
  <c r="BG43"/>
  <c r="BG44" s="1"/>
  <c r="BD43"/>
  <c r="BD15"/>
  <c r="J15"/>
  <c r="I15"/>
  <c r="H15"/>
  <c r="M15"/>
  <c r="L15"/>
  <c r="W15"/>
  <c r="V15"/>
  <c r="Y15"/>
  <c r="AM15"/>
  <c r="AL15"/>
  <c r="AK15"/>
  <c r="AJ15"/>
  <c r="AI15"/>
  <c r="AH15"/>
  <c r="AG15"/>
  <c r="AF15"/>
  <c r="AE15"/>
  <c r="AD15"/>
  <c r="AC15"/>
  <c r="AB15"/>
  <c r="AA15"/>
  <c r="J44" l="1"/>
  <c r="W36"/>
  <c r="W44"/>
  <c r="U44"/>
  <c r="I44"/>
  <c r="H44"/>
  <c r="BG9"/>
  <c r="BD9"/>
  <c r="AZ15"/>
  <c r="AN15"/>
  <c r="Z15"/>
  <c r="Z12" i="12" s="1"/>
  <c r="X15" i="3"/>
  <c r="X12" i="12" s="1"/>
  <c r="U15" i="3"/>
  <c r="T15"/>
  <c r="S15"/>
  <c r="R15"/>
  <c r="Q15"/>
  <c r="P15"/>
  <c r="O15"/>
  <c r="N15"/>
  <c r="K15"/>
  <c r="BI13" i="12"/>
  <c r="I13"/>
  <c r="BI12"/>
  <c r="BH12"/>
  <c r="BG12"/>
  <c r="BF12"/>
  <c r="BD12"/>
  <c r="AZ12"/>
  <c r="AN12"/>
  <c r="AM12"/>
  <c r="AL12"/>
  <c r="AK12"/>
  <c r="AJ12"/>
  <c r="AI12"/>
  <c r="AH12"/>
  <c r="AG12"/>
  <c r="AF12"/>
  <c r="AE12"/>
  <c r="AD12"/>
  <c r="AC12"/>
  <c r="AB12"/>
  <c r="AA12"/>
  <c r="Y12"/>
  <c r="W12"/>
  <c r="V12"/>
  <c r="U12"/>
  <c r="T12"/>
  <c r="S12"/>
  <c r="R12"/>
  <c r="Q12"/>
  <c r="P12"/>
  <c r="O12"/>
  <c r="N12"/>
  <c r="M12"/>
  <c r="L12"/>
  <c r="K12"/>
  <c r="J12"/>
  <c r="I12"/>
  <c r="BI11"/>
  <c r="BH11"/>
  <c r="BG11"/>
  <c r="BF11"/>
  <c r="BD11"/>
  <c r="AZ11"/>
  <c r="AN11"/>
  <c r="AM11"/>
  <c r="AL11"/>
  <c r="AK11"/>
  <c r="AJ11"/>
  <c r="AI11"/>
  <c r="AH11"/>
  <c r="AG11"/>
  <c r="AF11"/>
  <c r="AE11"/>
  <c r="AD11"/>
  <c r="AC11"/>
  <c r="AB11"/>
  <c r="AA11"/>
  <c r="Z11"/>
  <c r="Y11"/>
  <c r="X11"/>
  <c r="W11"/>
  <c r="V11"/>
  <c r="U11"/>
  <c r="T11"/>
  <c r="S11"/>
  <c r="R11"/>
  <c r="Q11"/>
  <c r="P11"/>
  <c r="O11"/>
  <c r="N11"/>
  <c r="M11"/>
  <c r="L11"/>
  <c r="K11"/>
  <c r="J11"/>
  <c r="I11"/>
  <c r="BI10"/>
  <c r="BG10"/>
  <c r="BF10"/>
  <c r="BE10"/>
  <c r="BD10"/>
  <c r="BC10"/>
  <c r="BB10"/>
  <c r="BA10"/>
  <c r="AZ10"/>
  <c r="AY10"/>
  <c r="AX10"/>
  <c r="AW10"/>
  <c r="AV10"/>
  <c r="AU10"/>
  <c r="AT10"/>
  <c r="AS10"/>
  <c r="AR10"/>
  <c r="AQ10"/>
  <c r="AP10"/>
  <c r="AO10"/>
  <c r="AN10"/>
  <c r="AM10"/>
  <c r="AL10"/>
  <c r="AK10"/>
  <c r="AJ10"/>
  <c r="AI10"/>
  <c r="AH10"/>
  <c r="AG10"/>
  <c r="AF10"/>
  <c r="AE10"/>
  <c r="AD10"/>
  <c r="AC10"/>
  <c r="AB10"/>
  <c r="Z10"/>
  <c r="Q10"/>
  <c r="P10"/>
  <c r="O10"/>
  <c r="N10"/>
  <c r="M10"/>
  <c r="L10"/>
  <c r="K10"/>
  <c r="J10"/>
  <c r="I10"/>
  <c r="H13"/>
  <c r="H12"/>
  <c r="H11"/>
  <c r="H10"/>
  <c r="E232" i="9"/>
  <c r="G223"/>
  <c r="F223"/>
  <c r="E223"/>
  <c r="BI115" i="14"/>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H60"/>
  <c r="G18"/>
  <c r="G37" s="1"/>
  <c r="F18"/>
  <c r="F37" s="1"/>
  <c r="E18"/>
  <c r="E54" s="1"/>
  <c r="K90" i="3"/>
  <c r="K89"/>
  <c r="K86"/>
  <c r="K87"/>
  <c r="K85"/>
  <c r="K84"/>
  <c r="K83"/>
  <c r="H12" i="34"/>
  <c r="I12"/>
  <c r="J12"/>
  <c r="K12"/>
  <c r="L12"/>
  <c r="M12"/>
  <c r="N12"/>
  <c r="O12"/>
  <c r="P12"/>
  <c r="Q12"/>
  <c r="R12"/>
  <c r="S12"/>
  <c r="T12"/>
  <c r="U12"/>
  <c r="V12"/>
  <c r="W12"/>
  <c r="BI12"/>
  <c r="BJ12"/>
  <c r="BK12"/>
  <c r="BL12"/>
  <c r="BM12"/>
  <c r="BN12"/>
  <c r="BO12"/>
  <c r="H13"/>
  <c r="I13"/>
  <c r="J13"/>
  <c r="K13"/>
  <c r="L13"/>
  <c r="M13"/>
  <c r="N13"/>
  <c r="O13"/>
  <c r="P13"/>
  <c r="Q13"/>
  <c r="R13"/>
  <c r="S13"/>
  <c r="T13"/>
  <c r="U13"/>
  <c r="V13"/>
  <c r="W13"/>
  <c r="BI13"/>
  <c r="BJ13"/>
  <c r="BK13"/>
  <c r="BL13"/>
  <c r="BM13"/>
  <c r="BN13"/>
  <c r="BO13"/>
  <c r="H14"/>
  <c r="I14"/>
  <c r="J14"/>
  <c r="K14"/>
  <c r="L14"/>
  <c r="M14"/>
  <c r="N14"/>
  <c r="O14"/>
  <c r="P14"/>
  <c r="Q14"/>
  <c r="R14"/>
  <c r="S14"/>
  <c r="T14"/>
  <c r="U14"/>
  <c r="V14"/>
  <c r="W14"/>
  <c r="BI14"/>
  <c r="BJ14"/>
  <c r="BK14"/>
  <c r="BL14"/>
  <c r="BM14"/>
  <c r="BN14"/>
  <c r="BO14"/>
  <c r="H15"/>
  <c r="I15"/>
  <c r="J15"/>
  <c r="K15"/>
  <c r="L15"/>
  <c r="M15"/>
  <c r="N15"/>
  <c r="O15"/>
  <c r="P15"/>
  <c r="Q15"/>
  <c r="R15"/>
  <c r="S15"/>
  <c r="T15"/>
  <c r="U15"/>
  <c r="V15"/>
  <c r="W15"/>
  <c r="BI15"/>
  <c r="BJ15"/>
  <c r="BK15"/>
  <c r="BL15"/>
  <c r="BM15"/>
  <c r="BN15"/>
  <c r="BO15"/>
  <c r="H16"/>
  <c r="I16"/>
  <c r="J16"/>
  <c r="K16"/>
  <c r="L16"/>
  <c r="M16"/>
  <c r="N16"/>
  <c r="O16"/>
  <c r="P16"/>
  <c r="Q16"/>
  <c r="R16"/>
  <c r="S16"/>
  <c r="T16"/>
  <c r="U16"/>
  <c r="V16"/>
  <c r="W16"/>
  <c r="BI16"/>
  <c r="BJ16"/>
  <c r="BK16"/>
  <c r="BL16"/>
  <c r="BM16"/>
  <c r="BN16"/>
  <c r="BO16"/>
  <c r="H28"/>
  <c r="I28"/>
  <c r="J28"/>
  <c r="K28"/>
  <c r="H37"/>
  <c r="I37"/>
  <c r="J37"/>
  <c r="K37"/>
  <c r="Y37"/>
  <c r="Z37"/>
  <c r="AC37"/>
  <c r="AH37"/>
  <c r="AI37"/>
  <c r="AJ37"/>
  <c r="AP37"/>
  <c r="CT37" i="33" s="1"/>
  <c r="AS37" i="34"/>
  <c r="AT37"/>
  <c r="DD37" i="33" s="1"/>
  <c r="AU37" i="34"/>
  <c r="AV37"/>
  <c r="DF37" i="33" s="1"/>
  <c r="AZ37" i="34"/>
  <c r="BA37"/>
  <c r="BB37"/>
  <c r="BC37"/>
  <c r="BE37"/>
  <c r="H43"/>
  <c r="I43"/>
  <c r="J43"/>
  <c r="K43"/>
  <c r="H52"/>
  <c r="I52"/>
  <c r="J52"/>
  <c r="K52"/>
  <c r="Y52"/>
  <c r="CC52" i="33" s="1"/>
  <c r="Z52" i="34"/>
  <c r="AC52"/>
  <c r="AH52"/>
  <c r="AI52"/>
  <c r="AJ52"/>
  <c r="AP52"/>
  <c r="CT52" i="33" s="1"/>
  <c r="AS52" i="34"/>
  <c r="AT52"/>
  <c r="DD52" i="33" s="1"/>
  <c r="AU52" i="34"/>
  <c r="AV52"/>
  <c r="DF52" i="33" s="1"/>
  <c r="AZ52" i="34"/>
  <c r="BA52"/>
  <c r="DK52" i="33" s="1"/>
  <c r="BB52" i="34"/>
  <c r="BC52"/>
  <c r="DM52" i="33" s="1"/>
  <c r="BE52" i="34"/>
  <c r="H63"/>
  <c r="I63"/>
  <c r="J63"/>
  <c r="K63"/>
  <c r="Y63"/>
  <c r="Z63"/>
  <c r="AC63"/>
  <c r="AH63"/>
  <c r="AI63"/>
  <c r="AJ63"/>
  <c r="AP63"/>
  <c r="AS63"/>
  <c r="AT63"/>
  <c r="AU63"/>
  <c r="AV63"/>
  <c r="DF63" i="33" s="1"/>
  <c r="AZ63" i="34"/>
  <c r="BA63"/>
  <c r="DK63" i="33" s="1"/>
  <c r="BB63" i="34"/>
  <c r="BC63"/>
  <c r="DM63" i="33" s="1"/>
  <c r="BE63" i="34"/>
  <c r="H84"/>
  <c r="I84"/>
  <c r="J84"/>
  <c r="K84"/>
  <c r="L84"/>
  <c r="M84"/>
  <c r="N84"/>
  <c r="O84"/>
  <c r="P84"/>
  <c r="Q84"/>
  <c r="R84"/>
  <c r="S84"/>
  <c r="T84"/>
  <c r="U84"/>
  <c r="V84"/>
  <c r="W84"/>
  <c r="BI84"/>
  <c r="BJ84"/>
  <c r="BK84"/>
  <c r="BL84"/>
  <c r="BM84"/>
  <c r="BN84"/>
  <c r="BO84"/>
  <c r="H85"/>
  <c r="I85"/>
  <c r="J85"/>
  <c r="K85"/>
  <c r="L85"/>
  <c r="M85"/>
  <c r="N85"/>
  <c r="O85"/>
  <c r="P85"/>
  <c r="Q85"/>
  <c r="R85"/>
  <c r="S85"/>
  <c r="T85"/>
  <c r="U85"/>
  <c r="V85"/>
  <c r="W85"/>
  <c r="BI85"/>
  <c r="BJ85"/>
  <c r="BK85"/>
  <c r="BL85"/>
  <c r="BM85"/>
  <c r="BN85"/>
  <c r="BO85"/>
  <c r="H86"/>
  <c r="I86"/>
  <c r="J86"/>
  <c r="K86"/>
  <c r="L86"/>
  <c r="M86"/>
  <c r="N86"/>
  <c r="O86"/>
  <c r="P86"/>
  <c r="Q86"/>
  <c r="R86"/>
  <c r="S86"/>
  <c r="T86"/>
  <c r="U86"/>
  <c r="V86"/>
  <c r="W86"/>
  <c r="BI86"/>
  <c r="BJ86"/>
  <c r="BK86"/>
  <c r="BL86"/>
  <c r="BM86"/>
  <c r="BN86"/>
  <c r="BO86"/>
  <c r="H87"/>
  <c r="I87"/>
  <c r="J87"/>
  <c r="K87"/>
  <c r="L87"/>
  <c r="M87"/>
  <c r="N87"/>
  <c r="O87"/>
  <c r="P87"/>
  <c r="Q87"/>
  <c r="R87"/>
  <c r="S87"/>
  <c r="T87"/>
  <c r="U87"/>
  <c r="V87"/>
  <c r="W87"/>
  <c r="BI87"/>
  <c r="BJ87"/>
  <c r="BK87"/>
  <c r="BL87"/>
  <c r="BM87"/>
  <c r="BN87"/>
  <c r="BO87"/>
  <c r="H88"/>
  <c r="I88"/>
  <c r="J88"/>
  <c r="K88"/>
  <c r="L88"/>
  <c r="M88"/>
  <c r="N88"/>
  <c r="O88"/>
  <c r="P88"/>
  <c r="Q88"/>
  <c r="R88"/>
  <c r="S88"/>
  <c r="T88"/>
  <c r="U88"/>
  <c r="V88"/>
  <c r="W88"/>
  <c r="BI88"/>
  <c r="BJ88"/>
  <c r="BK88"/>
  <c r="BL88"/>
  <c r="BM88"/>
  <c r="BN88"/>
  <c r="BO88"/>
  <c r="G80"/>
  <c r="F80"/>
  <c r="G73"/>
  <c r="F73"/>
  <c r="G62"/>
  <c r="F62"/>
  <c r="G51"/>
  <c r="F51"/>
  <c r="E46"/>
  <c r="G45"/>
  <c r="G84" s="1"/>
  <c r="G85" s="1"/>
  <c r="G86" s="1"/>
  <c r="F45"/>
  <c r="F84" s="1"/>
  <c r="F85" s="1"/>
  <c r="F86" s="1"/>
  <c r="E45"/>
  <c r="E44"/>
  <c r="E75" s="1"/>
  <c r="F42"/>
  <c r="G36"/>
  <c r="F36"/>
  <c r="E31"/>
  <c r="D31"/>
  <c r="G30"/>
  <c r="F30"/>
  <c r="F38" s="1"/>
  <c r="E29"/>
  <c r="G25"/>
  <c r="G53" s="1"/>
  <c r="G54" s="1"/>
  <c r="G55" s="1"/>
  <c r="F25"/>
  <c r="F27" s="1"/>
  <c r="E22"/>
  <c r="G21"/>
  <c r="F21"/>
  <c r="E20"/>
  <c r="E19"/>
  <c r="E18"/>
  <c r="G16"/>
  <c r="E16"/>
  <c r="G15"/>
  <c r="F15"/>
  <c r="E15"/>
  <c r="E14"/>
  <c r="E13"/>
  <c r="E12"/>
  <c r="G10"/>
  <c r="F10"/>
  <c r="E10"/>
  <c r="G9"/>
  <c r="F9"/>
  <c r="BI11" i="14"/>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BI9"/>
  <c r="BH9"/>
  <c r="BG9"/>
  <c r="BF9"/>
  <c r="BE9"/>
  <c r="BD9"/>
  <c r="BC9"/>
  <c r="BB9"/>
  <c r="BA9"/>
  <c r="AZ9"/>
  <c r="AY9"/>
  <c r="AX9"/>
  <c r="AW9"/>
  <c r="AV9"/>
  <c r="AU9"/>
  <c r="AT9"/>
  <c r="AS9"/>
  <c r="AR9"/>
  <c r="AQ9"/>
  <c r="AP9"/>
  <c r="AO9"/>
  <c r="AN9"/>
  <c r="AM9"/>
  <c r="AL9"/>
  <c r="AK9"/>
  <c r="AJ9"/>
  <c r="AI9"/>
  <c r="AH9"/>
  <c r="AG9"/>
  <c r="AF9"/>
  <c r="AE9"/>
  <c r="AD9"/>
  <c r="AC9"/>
  <c r="AB9"/>
  <c r="AA9"/>
  <c r="Z9"/>
  <c r="Y9"/>
  <c r="X9"/>
  <c r="V9"/>
  <c r="U9"/>
  <c r="T9"/>
  <c r="S9"/>
  <c r="R9"/>
  <c r="Q9"/>
  <c r="P9"/>
  <c r="O9"/>
  <c r="N9"/>
  <c r="M9"/>
  <c r="L9"/>
  <c r="K9"/>
  <c r="J9"/>
  <c r="I9"/>
  <c r="H9"/>
  <c r="BI8"/>
  <c r="BH8"/>
  <c r="BG8"/>
  <c r="BF8"/>
  <c r="BE8"/>
  <c r="BD8"/>
  <c r="BC8"/>
  <c r="BB8"/>
  <c r="BA8"/>
  <c r="AZ8"/>
  <c r="AY8"/>
  <c r="AX8"/>
  <c r="AW8"/>
  <c r="AV8"/>
  <c r="AU8"/>
  <c r="AT8"/>
  <c r="AS8"/>
  <c r="AR8"/>
  <c r="AQ8"/>
  <c r="AP8"/>
  <c r="AO8"/>
  <c r="AN8"/>
  <c r="AM8"/>
  <c r="AL8"/>
  <c r="AK8"/>
  <c r="AJ8"/>
  <c r="AI8"/>
  <c r="AH8"/>
  <c r="AG8"/>
  <c r="AF8"/>
  <c r="AE8"/>
  <c r="AD8"/>
  <c r="AC8"/>
  <c r="AB8"/>
  <c r="AA8"/>
  <c r="Z8"/>
  <c r="Y8"/>
  <c r="X8"/>
  <c r="V8"/>
  <c r="U8"/>
  <c r="T8"/>
  <c r="S8"/>
  <c r="R8"/>
  <c r="Q8"/>
  <c r="P8"/>
  <c r="O8"/>
  <c r="N8"/>
  <c r="M8"/>
  <c r="L8"/>
  <c r="K8"/>
  <c r="J8"/>
  <c r="I8"/>
  <c r="H8"/>
  <c r="W9"/>
  <c r="W8"/>
  <c r="E7"/>
  <c r="BH9" i="3"/>
  <c r="BH10" i="12" s="1"/>
  <c r="U20" i="4"/>
  <c r="S52"/>
  <c r="S53"/>
  <c r="S54"/>
  <c r="S55"/>
  <c r="S56"/>
  <c r="T8"/>
  <c r="P8"/>
  <c r="O8"/>
  <c r="N8"/>
  <c r="M8"/>
  <c r="L8"/>
  <c r="H8"/>
  <c r="G8"/>
  <c r="F8"/>
  <c r="E8"/>
  <c r="D8"/>
  <c r="C8"/>
  <c r="B8"/>
  <c r="Q9"/>
  <c r="D29" i="34" s="1"/>
  <c r="Q12" i="4"/>
  <c r="R12" s="1"/>
  <c r="S12"/>
  <c r="U12" s="1"/>
  <c r="R15"/>
  <c r="Q16"/>
  <c r="R16" s="1"/>
  <c r="S16"/>
  <c r="U16" s="1"/>
  <c r="Q18"/>
  <c r="R18" s="1"/>
  <c r="S18"/>
  <c r="U18" s="1"/>
  <c r="R20"/>
  <c r="Q21"/>
  <c r="R21" s="1"/>
  <c r="S21"/>
  <c r="U21" s="1"/>
  <c r="Q30"/>
  <c r="U30" s="1"/>
  <c r="S31"/>
  <c r="Q31" s="1"/>
  <c r="U31" s="1"/>
  <c r="BI18" i="14" s="1"/>
  <c r="H16" i="4"/>
  <c r="I16" s="1"/>
  <c r="J16" s="1"/>
  <c r="G42" i="14"/>
  <c r="G41"/>
  <c r="F41"/>
  <c r="E41"/>
  <c r="G40"/>
  <c r="F40"/>
  <c r="E40"/>
  <c r="BI123" i="26"/>
  <c r="BI122"/>
  <c r="G103" i="29"/>
  <c r="G102"/>
  <c r="G101"/>
  <c r="G100"/>
  <c r="E294" i="9"/>
  <c r="G287"/>
  <c r="E285"/>
  <c r="G278"/>
  <c r="G269"/>
  <c r="G261"/>
  <c r="G252"/>
  <c r="E250"/>
  <c r="G233" i="12"/>
  <c r="F233"/>
  <c r="E233"/>
  <c r="G231"/>
  <c r="F231"/>
  <c r="E231"/>
  <c r="G309"/>
  <c r="E309"/>
  <c r="G72" i="9"/>
  <c r="D19" i="29"/>
  <c r="G15"/>
  <c r="G11"/>
  <c r="BD18" i="5"/>
  <c r="G156" i="12"/>
  <c r="F156"/>
  <c r="E155"/>
  <c r="G106" i="29"/>
  <c r="F106"/>
  <c r="G160" i="12"/>
  <c r="G161" s="1"/>
  <c r="F160"/>
  <c r="F161" s="1"/>
  <c r="G153"/>
  <c r="F153"/>
  <c r="G150"/>
  <c r="F150"/>
  <c r="G291"/>
  <c r="F291"/>
  <c r="G288"/>
  <c r="F288"/>
  <c r="F108" i="29"/>
  <c r="BI107"/>
  <c r="G294" i="12"/>
  <c r="F294"/>
  <c r="G298"/>
  <c r="G299" s="1"/>
  <c r="F298"/>
  <c r="F299" s="1"/>
  <c r="G108" i="29"/>
  <c r="G532" i="12"/>
  <c r="G533" s="1"/>
  <c r="F532"/>
  <c r="F533" s="1"/>
  <c r="G528"/>
  <c r="F528"/>
  <c r="G525"/>
  <c r="F525"/>
  <c r="G522"/>
  <c r="F522"/>
  <c r="D18" i="29"/>
  <c r="D15"/>
  <c r="D23"/>
  <c r="G29"/>
  <c r="BG33"/>
  <c r="F98"/>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F95"/>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10"/>
  <c r="M10"/>
  <c r="L10"/>
  <c r="K10"/>
  <c r="J10"/>
  <c r="I10"/>
  <c r="H10"/>
  <c r="G10"/>
  <c r="F10"/>
  <c r="F97"/>
  <c r="G94"/>
  <c r="F94"/>
  <c r="E94"/>
  <c r="J31" i="10"/>
  <c r="J33"/>
  <c r="H11" i="4"/>
  <c r="E11"/>
  <c r="K9"/>
  <c r="K11" s="1"/>
  <c r="I9"/>
  <c r="I11" s="1"/>
  <c r="J9"/>
  <c r="J11" s="1"/>
  <c r="G9"/>
  <c r="G11" s="1"/>
  <c r="G20" i="12"/>
  <c r="F20"/>
  <c r="E20"/>
  <c r="BD44" i="3"/>
  <c r="DI81" i="33"/>
  <c r="DH81"/>
  <c r="DG81"/>
  <c r="DB81"/>
  <c r="DA81"/>
  <c r="CZ81"/>
  <c r="CY81"/>
  <c r="CX81"/>
  <c r="CW81"/>
  <c r="CR81"/>
  <c r="CQ81"/>
  <c r="CP81"/>
  <c r="CO81"/>
  <c r="CK81"/>
  <c r="CJ81"/>
  <c r="CI81"/>
  <c r="CH81"/>
  <c r="CF81"/>
  <c r="CE81"/>
  <c r="CB81"/>
  <c r="BK81"/>
  <c r="G81"/>
  <c r="F81"/>
  <c r="E81"/>
  <c r="DI80"/>
  <c r="DH80"/>
  <c r="DG80"/>
  <c r="DB80"/>
  <c r="DA80"/>
  <c r="CZ80"/>
  <c r="CY80"/>
  <c r="CX80"/>
  <c r="CW80"/>
  <c r="CR80"/>
  <c r="CQ80"/>
  <c r="CP80"/>
  <c r="CO80"/>
  <c r="CK80"/>
  <c r="CJ80"/>
  <c r="CI80"/>
  <c r="CH80"/>
  <c r="CF80"/>
  <c r="CE80"/>
  <c r="CB80"/>
  <c r="BK80"/>
  <c r="E80"/>
  <c r="DI79"/>
  <c r="DH79"/>
  <c r="DG79"/>
  <c r="DB79"/>
  <c r="DA79"/>
  <c r="CZ79"/>
  <c r="CY79"/>
  <c r="CX79"/>
  <c r="CW79"/>
  <c r="CR79"/>
  <c r="CQ79"/>
  <c r="CP79"/>
  <c r="CO79"/>
  <c r="CK79"/>
  <c r="CJ79"/>
  <c r="CI79"/>
  <c r="CH79"/>
  <c r="CF79"/>
  <c r="CE79"/>
  <c r="CB79"/>
  <c r="BK79"/>
  <c r="G79"/>
  <c r="F79"/>
  <c r="E79"/>
  <c r="DI78"/>
  <c r="DH78"/>
  <c r="DG78"/>
  <c r="DB78"/>
  <c r="DA78"/>
  <c r="CZ78"/>
  <c r="CY78"/>
  <c r="CX78"/>
  <c r="CW78"/>
  <c r="CR78"/>
  <c r="CQ78"/>
  <c r="CP78"/>
  <c r="CO78"/>
  <c r="CK78"/>
  <c r="CJ78"/>
  <c r="CI78"/>
  <c r="CH78"/>
  <c r="CF78"/>
  <c r="CE78"/>
  <c r="CB78"/>
  <c r="BK78"/>
  <c r="G78"/>
  <c r="F78"/>
  <c r="E78"/>
  <c r="DI77"/>
  <c r="DH77"/>
  <c r="DG77"/>
  <c r="DB77"/>
  <c r="DA77"/>
  <c r="CZ77"/>
  <c r="CY77"/>
  <c r="CX77"/>
  <c r="CW77"/>
  <c r="CR77"/>
  <c r="CQ77"/>
  <c r="CP77"/>
  <c r="CO77"/>
  <c r="CK77"/>
  <c r="CJ77"/>
  <c r="CI77"/>
  <c r="CH77"/>
  <c r="CF77"/>
  <c r="CE77"/>
  <c r="CB77"/>
  <c r="BK77"/>
  <c r="G77"/>
  <c r="F77"/>
  <c r="E77"/>
  <c r="DI76"/>
  <c r="DH76"/>
  <c r="DG76"/>
  <c r="DB76"/>
  <c r="DA76"/>
  <c r="CZ76"/>
  <c r="CY76"/>
  <c r="CX76"/>
  <c r="CW76"/>
  <c r="CR76"/>
  <c r="CQ76"/>
  <c r="CP76"/>
  <c r="CO76"/>
  <c r="CK76"/>
  <c r="CJ76"/>
  <c r="CI76"/>
  <c r="CH76"/>
  <c r="CF76"/>
  <c r="CE76"/>
  <c r="CB76"/>
  <c r="BK76"/>
  <c r="G76"/>
  <c r="F76"/>
  <c r="DI75"/>
  <c r="DH75"/>
  <c r="DG75"/>
  <c r="DB75"/>
  <c r="DA75"/>
  <c r="CZ75"/>
  <c r="CY75"/>
  <c r="CX75"/>
  <c r="CW75"/>
  <c r="CR75"/>
  <c r="CQ75"/>
  <c r="CP75"/>
  <c r="CO75"/>
  <c r="CK75"/>
  <c r="CJ75"/>
  <c r="CI75"/>
  <c r="CH75"/>
  <c r="CF75"/>
  <c r="CE75"/>
  <c r="CB75"/>
  <c r="BK75"/>
  <c r="G75"/>
  <c r="F75"/>
  <c r="DI74"/>
  <c r="DH74"/>
  <c r="DG74"/>
  <c r="DB74"/>
  <c r="DA74"/>
  <c r="CZ74"/>
  <c r="CY74"/>
  <c r="CX74"/>
  <c r="CW74"/>
  <c r="CR74"/>
  <c r="CQ74"/>
  <c r="CP74"/>
  <c r="CO74"/>
  <c r="CK74"/>
  <c r="CJ74"/>
  <c r="CI74"/>
  <c r="CH74"/>
  <c r="CF74"/>
  <c r="CE74"/>
  <c r="CB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O74"/>
  <c r="N74"/>
  <c r="T74"/>
  <c r="S74"/>
  <c r="W74"/>
  <c r="V74"/>
  <c r="U74"/>
  <c r="Q74"/>
  <c r="P74"/>
  <c r="J74"/>
  <c r="R74"/>
  <c r="M74"/>
  <c r="L74"/>
  <c r="K74"/>
  <c r="I74"/>
  <c r="H74"/>
  <c r="G74"/>
  <c r="F74"/>
  <c r="E74"/>
  <c r="DI73"/>
  <c r="DH73"/>
  <c r="DG73"/>
  <c r="DB73"/>
  <c r="DA73"/>
  <c r="CZ73"/>
  <c r="CY73"/>
  <c r="CX73"/>
  <c r="CW73"/>
  <c r="CR73"/>
  <c r="CQ73"/>
  <c r="CP73"/>
  <c r="CO73"/>
  <c r="CK73"/>
  <c r="CJ73"/>
  <c r="CI73"/>
  <c r="CH73"/>
  <c r="CF73"/>
  <c r="CE73"/>
  <c r="CB73"/>
  <c r="BK73"/>
  <c r="BJ73"/>
  <c r="BI73"/>
  <c r="E73"/>
  <c r="DI72"/>
  <c r="DH72"/>
  <c r="DG72"/>
  <c r="DB72"/>
  <c r="DA72"/>
  <c r="CZ72"/>
  <c r="CY72"/>
  <c r="CX72"/>
  <c r="CW72"/>
  <c r="CR72"/>
  <c r="CQ72"/>
  <c r="CP72"/>
  <c r="CO72"/>
  <c r="CK72"/>
  <c r="CJ72"/>
  <c r="CI72"/>
  <c r="CH72"/>
  <c r="CF72"/>
  <c r="CE72"/>
  <c r="CB72"/>
  <c r="BK72"/>
  <c r="G72"/>
  <c r="F72"/>
  <c r="E72"/>
  <c r="DI71"/>
  <c r="DH71"/>
  <c r="DG71"/>
  <c r="DB71"/>
  <c r="DA71"/>
  <c r="CZ71"/>
  <c r="CY71"/>
  <c r="CX71"/>
  <c r="CW71"/>
  <c r="CR71"/>
  <c r="CQ71"/>
  <c r="CP71"/>
  <c r="CO71"/>
  <c r="CK71"/>
  <c r="CJ71"/>
  <c r="CI71"/>
  <c r="CH71"/>
  <c r="CF71"/>
  <c r="CE71"/>
  <c r="CB71"/>
  <c r="BK71"/>
  <c r="G71"/>
  <c r="F71"/>
  <c r="E71"/>
  <c r="DI70"/>
  <c r="DH70"/>
  <c r="DG70"/>
  <c r="DB70"/>
  <c r="DA70"/>
  <c r="CZ70"/>
  <c r="CY70"/>
  <c r="CX70"/>
  <c r="CW70"/>
  <c r="CR70"/>
  <c r="CQ70"/>
  <c r="CP70"/>
  <c r="CO70"/>
  <c r="CK70"/>
  <c r="CJ70"/>
  <c r="CI70"/>
  <c r="CH70"/>
  <c r="CF70"/>
  <c r="CE70"/>
  <c r="CB70"/>
  <c r="BK70"/>
  <c r="G70"/>
  <c r="F70"/>
  <c r="E70"/>
  <c r="DI69"/>
  <c r="DH69"/>
  <c r="DG69"/>
  <c r="DB69"/>
  <c r="DA69"/>
  <c r="CZ69"/>
  <c r="CY69"/>
  <c r="CX69"/>
  <c r="CW69"/>
  <c r="CR69"/>
  <c r="CQ69"/>
  <c r="CP69"/>
  <c r="CO69"/>
  <c r="CK69"/>
  <c r="CJ69"/>
  <c r="CI69"/>
  <c r="CH69"/>
  <c r="CF69"/>
  <c r="CE69"/>
  <c r="CB69"/>
  <c r="BK69"/>
  <c r="G69"/>
  <c r="F69"/>
  <c r="E69"/>
  <c r="DI68"/>
  <c r="DH68"/>
  <c r="DG68"/>
  <c r="DB68"/>
  <c r="DA68"/>
  <c r="CZ68"/>
  <c r="CY68"/>
  <c r="CX68"/>
  <c r="CW68"/>
  <c r="CR68"/>
  <c r="CQ68"/>
  <c r="CP68"/>
  <c r="CO68"/>
  <c r="CK68"/>
  <c r="CJ68"/>
  <c r="CI68"/>
  <c r="CH68"/>
  <c r="CF68"/>
  <c r="CE68"/>
  <c r="CB68"/>
  <c r="BK68"/>
  <c r="BJ68"/>
  <c r="G68"/>
  <c r="F68"/>
  <c r="E68"/>
  <c r="DI67"/>
  <c r="DH67"/>
  <c r="DG67"/>
  <c r="DB67"/>
  <c r="DA67"/>
  <c r="CZ67"/>
  <c r="CY67"/>
  <c r="CX67"/>
  <c r="CW67"/>
  <c r="CR67"/>
  <c r="CQ67"/>
  <c r="CP67"/>
  <c r="CO67"/>
  <c r="CK67"/>
  <c r="CJ67"/>
  <c r="CI67"/>
  <c r="CH67"/>
  <c r="CF67"/>
  <c r="CE67"/>
  <c r="CB67"/>
  <c r="BK67"/>
  <c r="BJ67"/>
  <c r="G67"/>
  <c r="F67"/>
  <c r="E67"/>
  <c r="DI66"/>
  <c r="DH66"/>
  <c r="DG66"/>
  <c r="DB66"/>
  <c r="DA66"/>
  <c r="CZ66"/>
  <c r="CY66"/>
  <c r="CX66"/>
  <c r="CW66"/>
  <c r="CR66"/>
  <c r="CQ66"/>
  <c r="CP66"/>
  <c r="CO66"/>
  <c r="CK66"/>
  <c r="CJ66"/>
  <c r="CI66"/>
  <c r="CH66"/>
  <c r="CF66"/>
  <c r="CE66"/>
  <c r="CB66"/>
  <c r="BK66"/>
  <c r="BJ66"/>
  <c r="E66"/>
  <c r="DI65"/>
  <c r="DH65"/>
  <c r="DG65"/>
  <c r="DB65"/>
  <c r="DA65"/>
  <c r="CZ65"/>
  <c r="CY65"/>
  <c r="CX65"/>
  <c r="CW65"/>
  <c r="CR65"/>
  <c r="CQ65"/>
  <c r="CP65"/>
  <c r="CO65"/>
  <c r="CK65"/>
  <c r="CJ65"/>
  <c r="CI65"/>
  <c r="CH65"/>
  <c r="CF65"/>
  <c r="CE65"/>
  <c r="CB65"/>
  <c r="BK65"/>
  <c r="BJ65"/>
  <c r="E65"/>
  <c r="DI64"/>
  <c r="DH64"/>
  <c r="DG64"/>
  <c r="DB64"/>
  <c r="DA64"/>
  <c r="CZ64"/>
  <c r="CY64"/>
  <c r="CX64"/>
  <c r="CW64"/>
  <c r="CR64"/>
  <c r="CQ64"/>
  <c r="CP64"/>
  <c r="CO64"/>
  <c r="CK64"/>
  <c r="CJ64"/>
  <c r="CI64"/>
  <c r="CH64"/>
  <c r="CF64"/>
  <c r="CE64"/>
  <c r="CB64"/>
  <c r="BK64"/>
  <c r="BJ64"/>
  <c r="E64"/>
  <c r="DI63"/>
  <c r="DH63"/>
  <c r="DG63"/>
  <c r="DB63"/>
  <c r="DA63"/>
  <c r="CZ63"/>
  <c r="CY63"/>
  <c r="CX63"/>
  <c r="CW63"/>
  <c r="CR63"/>
  <c r="CQ63"/>
  <c r="CP63"/>
  <c r="CO63"/>
  <c r="CK63"/>
  <c r="CJ63"/>
  <c r="CI63"/>
  <c r="CH63"/>
  <c r="CF63"/>
  <c r="CE63"/>
  <c r="CB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O63"/>
  <c r="N63"/>
  <c r="T63"/>
  <c r="S63"/>
  <c r="W63"/>
  <c r="V63"/>
  <c r="U63"/>
  <c r="Q63"/>
  <c r="P63"/>
  <c r="J63"/>
  <c r="R63"/>
  <c r="M63"/>
  <c r="L63"/>
  <c r="K63"/>
  <c r="I63"/>
  <c r="H63"/>
  <c r="G63"/>
  <c r="F63"/>
  <c r="E63"/>
  <c r="DI62"/>
  <c r="DH62"/>
  <c r="DG62"/>
  <c r="DB62"/>
  <c r="DA62"/>
  <c r="CZ62"/>
  <c r="CY62"/>
  <c r="CX62"/>
  <c r="CW62"/>
  <c r="CR62"/>
  <c r="CQ62"/>
  <c r="CP62"/>
  <c r="CO62"/>
  <c r="CK62"/>
  <c r="CJ62"/>
  <c r="CI62"/>
  <c r="CH62"/>
  <c r="CF62"/>
  <c r="CE62"/>
  <c r="CB62"/>
  <c r="BK62"/>
  <c r="BJ62"/>
  <c r="BI62"/>
  <c r="E62"/>
  <c r="DI61"/>
  <c r="DH61"/>
  <c r="DG61"/>
  <c r="DB61"/>
  <c r="DA61"/>
  <c r="CZ61"/>
  <c r="CY61"/>
  <c r="CX61"/>
  <c r="CW61"/>
  <c r="CR61"/>
  <c r="CQ61"/>
  <c r="CP61"/>
  <c r="CO61"/>
  <c r="CK61"/>
  <c r="CJ61"/>
  <c r="CI61"/>
  <c r="CH61"/>
  <c r="CF61"/>
  <c r="CE61"/>
  <c r="CB61"/>
  <c r="BK61"/>
  <c r="G61"/>
  <c r="F61"/>
  <c r="E61"/>
  <c r="DI60"/>
  <c r="DH60"/>
  <c r="DG60"/>
  <c r="DB60"/>
  <c r="DA60"/>
  <c r="CZ60"/>
  <c r="CY60"/>
  <c r="CX60"/>
  <c r="CW60"/>
  <c r="CR60"/>
  <c r="CQ60"/>
  <c r="CP60"/>
  <c r="CO60"/>
  <c r="CK60"/>
  <c r="CJ60"/>
  <c r="CI60"/>
  <c r="CH60"/>
  <c r="CF60"/>
  <c r="CE60"/>
  <c r="CB60"/>
  <c r="BK60"/>
  <c r="G60"/>
  <c r="F60"/>
  <c r="E60"/>
  <c r="DI59"/>
  <c r="DH59"/>
  <c r="DG59"/>
  <c r="DB59"/>
  <c r="DA59"/>
  <c r="CZ59"/>
  <c r="CY59"/>
  <c r="CX59"/>
  <c r="CW59"/>
  <c r="CR59"/>
  <c r="CQ59"/>
  <c r="CP59"/>
  <c r="CO59"/>
  <c r="CK59"/>
  <c r="CJ59"/>
  <c r="CI59"/>
  <c r="CH59"/>
  <c r="CF59"/>
  <c r="CE59"/>
  <c r="CB59"/>
  <c r="BK59"/>
  <c r="G59"/>
  <c r="F59"/>
  <c r="E59"/>
  <c r="DI58"/>
  <c r="DH58"/>
  <c r="DG58"/>
  <c r="DB58"/>
  <c r="DA58"/>
  <c r="CZ58"/>
  <c r="CY58"/>
  <c r="CX58"/>
  <c r="CW58"/>
  <c r="CR58"/>
  <c r="CQ58"/>
  <c r="CP58"/>
  <c r="CO58"/>
  <c r="CK58"/>
  <c r="CJ58"/>
  <c r="CI58"/>
  <c r="CH58"/>
  <c r="CF58"/>
  <c r="CE58"/>
  <c r="CB58"/>
  <c r="BK58"/>
  <c r="G58"/>
  <c r="F58"/>
  <c r="E58"/>
  <c r="DI57"/>
  <c r="DH57"/>
  <c r="DG57"/>
  <c r="DB57"/>
  <c r="DA57"/>
  <c r="CZ57"/>
  <c r="CY57"/>
  <c r="CX57"/>
  <c r="CW57"/>
  <c r="CR57"/>
  <c r="CQ57"/>
  <c r="CP57"/>
  <c r="CO57"/>
  <c r="CK57"/>
  <c r="CJ57"/>
  <c r="CI57"/>
  <c r="CH57"/>
  <c r="CF57"/>
  <c r="CE57"/>
  <c r="CB57"/>
  <c r="BK57"/>
  <c r="G57"/>
  <c r="F57"/>
  <c r="E57"/>
  <c r="DI56"/>
  <c r="DH56"/>
  <c r="DG56"/>
  <c r="DB56"/>
  <c r="DA56"/>
  <c r="CZ56"/>
  <c r="CY56"/>
  <c r="CX56"/>
  <c r="CW56"/>
  <c r="CR56"/>
  <c r="CQ56"/>
  <c r="CP56"/>
  <c r="CO56"/>
  <c r="CK56"/>
  <c r="CJ56"/>
  <c r="CI56"/>
  <c r="CH56"/>
  <c r="CF56"/>
  <c r="CE56"/>
  <c r="CB56"/>
  <c r="BK56"/>
  <c r="G56"/>
  <c r="F56"/>
  <c r="E56"/>
  <c r="DI55"/>
  <c r="DH55"/>
  <c r="DG55"/>
  <c r="DB55"/>
  <c r="DA55"/>
  <c r="CZ55"/>
  <c r="CY55"/>
  <c r="CX55"/>
  <c r="CW55"/>
  <c r="CR55"/>
  <c r="CQ55"/>
  <c r="CP55"/>
  <c r="CO55"/>
  <c r="CK55"/>
  <c r="CJ55"/>
  <c r="CI55"/>
  <c r="CH55"/>
  <c r="CF55"/>
  <c r="CE55"/>
  <c r="CB55"/>
  <c r="BK55"/>
  <c r="E55"/>
  <c r="DI54"/>
  <c r="DH54"/>
  <c r="DG54"/>
  <c r="DB54"/>
  <c r="DA54"/>
  <c r="CZ54"/>
  <c r="CY54"/>
  <c r="CX54"/>
  <c r="CW54"/>
  <c r="CR54"/>
  <c r="CQ54"/>
  <c r="CP54"/>
  <c r="CO54"/>
  <c r="CK54"/>
  <c r="CJ54"/>
  <c r="CI54"/>
  <c r="CH54"/>
  <c r="CF54"/>
  <c r="CE54"/>
  <c r="CB54"/>
  <c r="BK54"/>
  <c r="E54"/>
  <c r="DI53"/>
  <c r="DH53"/>
  <c r="DG53"/>
  <c r="DB53"/>
  <c r="DA53"/>
  <c r="CZ53"/>
  <c r="CY53"/>
  <c r="CX53"/>
  <c r="CW53"/>
  <c r="CR53"/>
  <c r="CQ53"/>
  <c r="CP53"/>
  <c r="CO53"/>
  <c r="CK53"/>
  <c r="CJ53"/>
  <c r="CI53"/>
  <c r="CH53"/>
  <c r="CF53"/>
  <c r="CE53"/>
  <c r="CB53"/>
  <c r="BK53"/>
  <c r="E53"/>
  <c r="DI52"/>
  <c r="DH52"/>
  <c r="DG52"/>
  <c r="DB52"/>
  <c r="DA52"/>
  <c r="CZ52"/>
  <c r="CY52"/>
  <c r="CX52"/>
  <c r="CW52"/>
  <c r="CR52"/>
  <c r="CQ52"/>
  <c r="CP52"/>
  <c r="CO52"/>
  <c r="CK52"/>
  <c r="CJ52"/>
  <c r="CI52"/>
  <c r="CH52"/>
  <c r="CF52"/>
  <c r="CE52"/>
  <c r="CB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O52"/>
  <c r="N52"/>
  <c r="T52"/>
  <c r="S52"/>
  <c r="W52"/>
  <c r="V52"/>
  <c r="U52"/>
  <c r="Q52"/>
  <c r="P52"/>
  <c r="J52"/>
  <c r="R52"/>
  <c r="M52"/>
  <c r="L52"/>
  <c r="K52"/>
  <c r="I52"/>
  <c r="H52"/>
  <c r="G52"/>
  <c r="F52"/>
  <c r="E52"/>
  <c r="DI51"/>
  <c r="DH51"/>
  <c r="DG51"/>
  <c r="DB51"/>
  <c r="DA51"/>
  <c r="CZ51"/>
  <c r="CY51"/>
  <c r="CX51"/>
  <c r="CW51"/>
  <c r="CR51"/>
  <c r="CQ51"/>
  <c r="CP51"/>
  <c r="CO51"/>
  <c r="CK51"/>
  <c r="CJ51"/>
  <c r="CI51"/>
  <c r="CH51"/>
  <c r="CF51"/>
  <c r="CE51"/>
  <c r="CB51"/>
  <c r="BK51"/>
  <c r="BJ51"/>
  <c r="BI51"/>
  <c r="E51"/>
  <c r="DI50"/>
  <c r="DH50"/>
  <c r="DG50"/>
  <c r="DB50"/>
  <c r="DA50"/>
  <c r="CZ50"/>
  <c r="CY50"/>
  <c r="CX50"/>
  <c r="CW50"/>
  <c r="CR50"/>
  <c r="CQ50"/>
  <c r="CP50"/>
  <c r="CO50"/>
  <c r="CK50"/>
  <c r="CJ50"/>
  <c r="CI50"/>
  <c r="CH50"/>
  <c r="CF50"/>
  <c r="CE50"/>
  <c r="CB50"/>
  <c r="BK50"/>
  <c r="G50"/>
  <c r="F50"/>
  <c r="E50"/>
  <c r="DI49"/>
  <c r="DH49"/>
  <c r="DG49"/>
  <c r="DB49"/>
  <c r="DA49"/>
  <c r="CZ49"/>
  <c r="CY49"/>
  <c r="CX49"/>
  <c r="CW49"/>
  <c r="CR49"/>
  <c r="CQ49"/>
  <c r="CP49"/>
  <c r="CO49"/>
  <c r="CK49"/>
  <c r="CJ49"/>
  <c r="CI49"/>
  <c r="CH49"/>
  <c r="CF49"/>
  <c r="CE49"/>
  <c r="CB49"/>
  <c r="BK49"/>
  <c r="G49"/>
  <c r="F49"/>
  <c r="E49"/>
  <c r="DI48"/>
  <c r="DH48"/>
  <c r="DG48"/>
  <c r="DB48"/>
  <c r="DA48"/>
  <c r="CZ48"/>
  <c r="CY48"/>
  <c r="CX48"/>
  <c r="CW48"/>
  <c r="CR48"/>
  <c r="CQ48"/>
  <c r="CP48"/>
  <c r="CO48"/>
  <c r="CK48"/>
  <c r="CJ48"/>
  <c r="CI48"/>
  <c r="CH48"/>
  <c r="CF48"/>
  <c r="CE48"/>
  <c r="CB48"/>
  <c r="BK48"/>
  <c r="G48"/>
  <c r="F48"/>
  <c r="E48"/>
  <c r="DI47"/>
  <c r="DH47"/>
  <c r="DG47"/>
  <c r="DB47"/>
  <c r="DA47"/>
  <c r="CZ47"/>
  <c r="CY47"/>
  <c r="CX47"/>
  <c r="CW47"/>
  <c r="CR47"/>
  <c r="CQ47"/>
  <c r="CP47"/>
  <c r="CO47"/>
  <c r="CK47"/>
  <c r="CJ47"/>
  <c r="CI47"/>
  <c r="CH47"/>
  <c r="CF47"/>
  <c r="CE47"/>
  <c r="CB47"/>
  <c r="BK47"/>
  <c r="G47"/>
  <c r="F47"/>
  <c r="E47"/>
  <c r="DI46"/>
  <c r="DH46"/>
  <c r="DG46"/>
  <c r="DB46"/>
  <c r="DA46"/>
  <c r="CZ46"/>
  <c r="CY46"/>
  <c r="CX46"/>
  <c r="CW46"/>
  <c r="CR46"/>
  <c r="CQ46"/>
  <c r="CP46"/>
  <c r="CO46"/>
  <c r="CK46"/>
  <c r="CJ46"/>
  <c r="CI46"/>
  <c r="CH46"/>
  <c r="CF46"/>
  <c r="CE46"/>
  <c r="CB46"/>
  <c r="BK46"/>
  <c r="BJ46"/>
  <c r="BI46"/>
  <c r="G46"/>
  <c r="F46"/>
  <c r="DI45"/>
  <c r="DH45"/>
  <c r="DG45"/>
  <c r="DB45"/>
  <c r="DA45"/>
  <c r="CZ45"/>
  <c r="CY45"/>
  <c r="CX45"/>
  <c r="CW45"/>
  <c r="CR45"/>
  <c r="CQ45"/>
  <c r="CP45"/>
  <c r="CO45"/>
  <c r="CK45"/>
  <c r="CJ45"/>
  <c r="CI45"/>
  <c r="CH45"/>
  <c r="CF45"/>
  <c r="CE45"/>
  <c r="CB45"/>
  <c r="BK45"/>
  <c r="BJ45"/>
  <c r="BI45"/>
  <c r="DI44"/>
  <c r="DH44"/>
  <c r="DG44"/>
  <c r="DB44"/>
  <c r="DA44"/>
  <c r="CZ44"/>
  <c r="CY44"/>
  <c r="CX44"/>
  <c r="CW44"/>
  <c r="CR44"/>
  <c r="CQ44"/>
  <c r="CP44"/>
  <c r="CO44"/>
  <c r="CK44"/>
  <c r="CJ44"/>
  <c r="CI44"/>
  <c r="CH44"/>
  <c r="CF44"/>
  <c r="CE44"/>
  <c r="CB44"/>
  <c r="BK44"/>
  <c r="BJ44"/>
  <c r="BI44"/>
  <c r="DI43"/>
  <c r="DH43"/>
  <c r="DG43"/>
  <c r="DB43"/>
  <c r="DA43"/>
  <c r="CZ43"/>
  <c r="CY43"/>
  <c r="CX43"/>
  <c r="CW43"/>
  <c r="CR43"/>
  <c r="CQ43"/>
  <c r="CP43"/>
  <c r="CO43"/>
  <c r="CK43"/>
  <c r="CJ43"/>
  <c r="CI43"/>
  <c r="CH43"/>
  <c r="CF43"/>
  <c r="CE43"/>
  <c r="CB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O43"/>
  <c r="N43"/>
  <c r="T43"/>
  <c r="S43"/>
  <c r="W43"/>
  <c r="V43"/>
  <c r="U43"/>
  <c r="Q43"/>
  <c r="P43"/>
  <c r="J43"/>
  <c r="R43"/>
  <c r="M43"/>
  <c r="L43"/>
  <c r="K43"/>
  <c r="I43"/>
  <c r="H43"/>
  <c r="G43"/>
  <c r="F43"/>
  <c r="E43"/>
  <c r="DI42"/>
  <c r="DH42"/>
  <c r="DG42"/>
  <c r="DB42"/>
  <c r="DA42"/>
  <c r="CZ42"/>
  <c r="CY42"/>
  <c r="CX42"/>
  <c r="CW42"/>
  <c r="CR42"/>
  <c r="CQ42"/>
  <c r="CP42"/>
  <c r="CO42"/>
  <c r="CK42"/>
  <c r="CJ42"/>
  <c r="CI42"/>
  <c r="CH42"/>
  <c r="CF42"/>
  <c r="CE42"/>
  <c r="CB42"/>
  <c r="BK42"/>
  <c r="BJ42"/>
  <c r="G42"/>
  <c r="E42"/>
  <c r="DI41"/>
  <c r="DH41"/>
  <c r="DG41"/>
  <c r="DB41"/>
  <c r="DA41"/>
  <c r="CZ41"/>
  <c r="CY41"/>
  <c r="CX41"/>
  <c r="CW41"/>
  <c r="CR41"/>
  <c r="CQ41"/>
  <c r="CP41"/>
  <c r="CO41"/>
  <c r="CK41"/>
  <c r="CJ41"/>
  <c r="CI41"/>
  <c r="CH41"/>
  <c r="CF41"/>
  <c r="CE41"/>
  <c r="CB41"/>
  <c r="BK41"/>
  <c r="BJ41"/>
  <c r="G41"/>
  <c r="F41"/>
  <c r="E41"/>
  <c r="DI40"/>
  <c r="DH40"/>
  <c r="DG40"/>
  <c r="DB40"/>
  <c r="DA40"/>
  <c r="CZ40"/>
  <c r="CY40"/>
  <c r="CX40"/>
  <c r="CW40"/>
  <c r="CR40"/>
  <c r="CQ40"/>
  <c r="CP40"/>
  <c r="CO40"/>
  <c r="CK40"/>
  <c r="CJ40"/>
  <c r="CI40"/>
  <c r="CH40"/>
  <c r="CF40"/>
  <c r="CE40"/>
  <c r="CB40"/>
  <c r="BK40"/>
  <c r="BJ40"/>
  <c r="E40"/>
  <c r="DI39"/>
  <c r="DH39"/>
  <c r="DG39"/>
  <c r="DB39"/>
  <c r="DA39"/>
  <c r="CZ39"/>
  <c r="CY39"/>
  <c r="CX39"/>
  <c r="CW39"/>
  <c r="CR39"/>
  <c r="CQ39"/>
  <c r="CP39"/>
  <c r="CO39"/>
  <c r="CK39"/>
  <c r="CJ39"/>
  <c r="CI39"/>
  <c r="CH39"/>
  <c r="CF39"/>
  <c r="CE39"/>
  <c r="CB39"/>
  <c r="BK39"/>
  <c r="BJ39"/>
  <c r="E39"/>
  <c r="DI38"/>
  <c r="DH38"/>
  <c r="DG38"/>
  <c r="DB38"/>
  <c r="DA38"/>
  <c r="CZ38"/>
  <c r="CY38"/>
  <c r="CX38"/>
  <c r="CW38"/>
  <c r="CR38"/>
  <c r="CQ38"/>
  <c r="CP38"/>
  <c r="CO38"/>
  <c r="CK38"/>
  <c r="CJ38"/>
  <c r="CI38"/>
  <c r="CH38"/>
  <c r="CF38"/>
  <c r="CE38"/>
  <c r="CB38"/>
  <c r="BK38"/>
  <c r="BJ38"/>
  <c r="E38"/>
  <c r="DI37"/>
  <c r="DH37"/>
  <c r="DG37"/>
  <c r="DB37"/>
  <c r="DA37"/>
  <c r="CZ37"/>
  <c r="CY37"/>
  <c r="CX37"/>
  <c r="CW37"/>
  <c r="CR37"/>
  <c r="CQ37"/>
  <c r="CP37"/>
  <c r="CO37"/>
  <c r="CK37"/>
  <c r="CJ37"/>
  <c r="CI37"/>
  <c r="CH37"/>
  <c r="CF37"/>
  <c r="CE37"/>
  <c r="CB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O37"/>
  <c r="N37"/>
  <c r="T37"/>
  <c r="S37"/>
  <c r="W37"/>
  <c r="V37"/>
  <c r="U37"/>
  <c r="Q37"/>
  <c r="P37"/>
  <c r="J37"/>
  <c r="R37"/>
  <c r="M37"/>
  <c r="L37"/>
  <c r="K37"/>
  <c r="I37"/>
  <c r="H37"/>
  <c r="G37"/>
  <c r="F37"/>
  <c r="E37"/>
  <c r="DI36"/>
  <c r="DH36"/>
  <c r="DG36"/>
  <c r="DB36"/>
  <c r="DA36"/>
  <c r="CZ36"/>
  <c r="CY36"/>
  <c r="CX36"/>
  <c r="CW36"/>
  <c r="CR36"/>
  <c r="CQ36"/>
  <c r="CP36"/>
  <c r="CO36"/>
  <c r="CK36"/>
  <c r="CJ36"/>
  <c r="CI36"/>
  <c r="CH36"/>
  <c r="CF36"/>
  <c r="CE36"/>
  <c r="CB36"/>
  <c r="BK36"/>
  <c r="BJ36"/>
  <c r="BI36"/>
  <c r="E36"/>
  <c r="DI35"/>
  <c r="DH35"/>
  <c r="DG35"/>
  <c r="DB35"/>
  <c r="DA35"/>
  <c r="CZ35"/>
  <c r="CY35"/>
  <c r="CX35"/>
  <c r="CW35"/>
  <c r="CR35"/>
  <c r="CQ35"/>
  <c r="CP35"/>
  <c r="CO35"/>
  <c r="CK35"/>
  <c r="CJ35"/>
  <c r="CI35"/>
  <c r="CH35"/>
  <c r="CF35"/>
  <c r="CE35"/>
  <c r="CB35"/>
  <c r="BK35"/>
  <c r="G35"/>
  <c r="F35"/>
  <c r="E35"/>
  <c r="DI34"/>
  <c r="DH34"/>
  <c r="DG34"/>
  <c r="DB34"/>
  <c r="DA34"/>
  <c r="CZ34"/>
  <c r="CY34"/>
  <c r="CX34"/>
  <c r="CW34"/>
  <c r="CR34"/>
  <c r="CQ34"/>
  <c r="CP34"/>
  <c r="CO34"/>
  <c r="CK34"/>
  <c r="CJ34"/>
  <c r="CI34"/>
  <c r="CH34"/>
  <c r="CF34"/>
  <c r="CE34"/>
  <c r="CB34"/>
  <c r="BK34"/>
  <c r="G34"/>
  <c r="F34"/>
  <c r="E34"/>
  <c r="DI33"/>
  <c r="DH33"/>
  <c r="DG33"/>
  <c r="DB33"/>
  <c r="DA33"/>
  <c r="CZ33"/>
  <c r="CY33"/>
  <c r="CX33"/>
  <c r="CW33"/>
  <c r="CR33"/>
  <c r="CQ33"/>
  <c r="CP33"/>
  <c r="CO33"/>
  <c r="CK33"/>
  <c r="CJ33"/>
  <c r="CI33"/>
  <c r="CH33"/>
  <c r="CF33"/>
  <c r="CE33"/>
  <c r="CB33"/>
  <c r="BK33"/>
  <c r="G33"/>
  <c r="F33"/>
  <c r="E33"/>
  <c r="DI32"/>
  <c r="DH32"/>
  <c r="DG32"/>
  <c r="DB32"/>
  <c r="DA32"/>
  <c r="CZ32"/>
  <c r="CY32"/>
  <c r="CX32"/>
  <c r="CW32"/>
  <c r="CR32"/>
  <c r="CQ32"/>
  <c r="CP32"/>
  <c r="CO32"/>
  <c r="CK32"/>
  <c r="CJ32"/>
  <c r="CI32"/>
  <c r="CH32"/>
  <c r="CF32"/>
  <c r="CE32"/>
  <c r="CB32"/>
  <c r="BK32"/>
  <c r="G32"/>
  <c r="F32"/>
  <c r="E32"/>
  <c r="DI31"/>
  <c r="DH31"/>
  <c r="DG31"/>
  <c r="DB31"/>
  <c r="DA31"/>
  <c r="CZ31"/>
  <c r="CY31"/>
  <c r="CX31"/>
  <c r="CW31"/>
  <c r="CR31"/>
  <c r="CQ31"/>
  <c r="CP31"/>
  <c r="CO31"/>
  <c r="CK31"/>
  <c r="CJ31"/>
  <c r="CI31"/>
  <c r="CH31"/>
  <c r="CF31"/>
  <c r="CE31"/>
  <c r="CB31"/>
  <c r="BK31"/>
  <c r="BJ31"/>
  <c r="G31"/>
  <c r="F31"/>
  <c r="DI30"/>
  <c r="DH30"/>
  <c r="DG30"/>
  <c r="DB30"/>
  <c r="DA30"/>
  <c r="CZ30"/>
  <c r="CY30"/>
  <c r="CX30"/>
  <c r="CW30"/>
  <c r="CR30"/>
  <c r="CQ30"/>
  <c r="CP30"/>
  <c r="CO30"/>
  <c r="CK30"/>
  <c r="CJ30"/>
  <c r="CI30"/>
  <c r="CH30"/>
  <c r="CF30"/>
  <c r="CE30"/>
  <c r="CB30"/>
  <c r="BK30"/>
  <c r="BJ30"/>
  <c r="DI29"/>
  <c r="DH29"/>
  <c r="DG29"/>
  <c r="DB29"/>
  <c r="DA29"/>
  <c r="CZ29"/>
  <c r="CY29"/>
  <c r="CX29"/>
  <c r="CW29"/>
  <c r="CR29"/>
  <c r="CQ29"/>
  <c r="CP29"/>
  <c r="CO29"/>
  <c r="CK29"/>
  <c r="CJ29"/>
  <c r="CI29"/>
  <c r="CH29"/>
  <c r="CF29"/>
  <c r="CE29"/>
  <c r="CB29"/>
  <c r="BK29"/>
  <c r="BJ29"/>
  <c r="DI28"/>
  <c r="DH28"/>
  <c r="DG28"/>
  <c r="DB28"/>
  <c r="DA28"/>
  <c r="CZ28"/>
  <c r="CY28"/>
  <c r="CX28"/>
  <c r="CW28"/>
  <c r="CR28"/>
  <c r="CQ28"/>
  <c r="CP28"/>
  <c r="CO28"/>
  <c r="CK28"/>
  <c r="CJ28"/>
  <c r="CI28"/>
  <c r="CH28"/>
  <c r="CF28"/>
  <c r="CE28"/>
  <c r="CB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O28"/>
  <c r="N28"/>
  <c r="T28"/>
  <c r="S28"/>
  <c r="W28"/>
  <c r="V28"/>
  <c r="U28"/>
  <c r="Q28"/>
  <c r="P28"/>
  <c r="J28"/>
  <c r="R28"/>
  <c r="M28"/>
  <c r="L28"/>
  <c r="K28"/>
  <c r="I28"/>
  <c r="H28"/>
  <c r="G28"/>
  <c r="F28"/>
  <c r="E28"/>
  <c r="DI27"/>
  <c r="DH27"/>
  <c r="DG27"/>
  <c r="DB27"/>
  <c r="DA27"/>
  <c r="CZ27"/>
  <c r="CY27"/>
  <c r="CX27"/>
  <c r="CW27"/>
  <c r="CR27"/>
  <c r="CQ27"/>
  <c r="CP27"/>
  <c r="CO27"/>
  <c r="CK27"/>
  <c r="CJ27"/>
  <c r="CI27"/>
  <c r="CH27"/>
  <c r="CF27"/>
  <c r="CE27"/>
  <c r="CB27"/>
  <c r="BK27"/>
  <c r="BJ27"/>
  <c r="BI27"/>
  <c r="E27"/>
  <c r="DI26"/>
  <c r="DH26"/>
  <c r="DG26"/>
  <c r="DB26"/>
  <c r="DA26"/>
  <c r="CZ26"/>
  <c r="CY26"/>
  <c r="CX26"/>
  <c r="CW26"/>
  <c r="CR26"/>
  <c r="CQ26"/>
  <c r="CP26"/>
  <c r="CO26"/>
  <c r="CK26"/>
  <c r="CJ26"/>
  <c r="CI26"/>
  <c r="CH26"/>
  <c r="CF26"/>
  <c r="CE26"/>
  <c r="CB26"/>
  <c r="BK26"/>
  <c r="G26"/>
  <c r="F26"/>
  <c r="E26"/>
  <c r="DI25"/>
  <c r="DH25"/>
  <c r="DG25"/>
  <c r="DB25"/>
  <c r="DA25"/>
  <c r="CZ25"/>
  <c r="CY25"/>
  <c r="CX25"/>
  <c r="CW25"/>
  <c r="CR25"/>
  <c r="CQ25"/>
  <c r="CP25"/>
  <c r="CO25"/>
  <c r="CK25"/>
  <c r="CJ25"/>
  <c r="CI25"/>
  <c r="CH25"/>
  <c r="CF25"/>
  <c r="CE25"/>
  <c r="CB25"/>
  <c r="BK25"/>
  <c r="E25"/>
  <c r="DI24"/>
  <c r="DH24"/>
  <c r="DG24"/>
  <c r="DB24"/>
  <c r="DA24"/>
  <c r="CZ24"/>
  <c r="CY24"/>
  <c r="CX24"/>
  <c r="CW24"/>
  <c r="CR24"/>
  <c r="CQ24"/>
  <c r="CP24"/>
  <c r="CO24"/>
  <c r="CK24"/>
  <c r="CJ24"/>
  <c r="CI24"/>
  <c r="CH24"/>
  <c r="CF24"/>
  <c r="CE24"/>
  <c r="CB24"/>
  <c r="BK24"/>
  <c r="G24"/>
  <c r="F24"/>
  <c r="E24"/>
  <c r="DI23"/>
  <c r="DH23"/>
  <c r="DG23"/>
  <c r="DB23"/>
  <c r="DA23"/>
  <c r="CZ23"/>
  <c r="CY23"/>
  <c r="CX23"/>
  <c r="CW23"/>
  <c r="CR23"/>
  <c r="CQ23"/>
  <c r="CP23"/>
  <c r="CO23"/>
  <c r="CK23"/>
  <c r="CJ23"/>
  <c r="CI23"/>
  <c r="CH23"/>
  <c r="CF23"/>
  <c r="CE23"/>
  <c r="CB23"/>
  <c r="BK23"/>
  <c r="G23"/>
  <c r="F23"/>
  <c r="E23"/>
  <c r="DI22"/>
  <c r="DH22"/>
  <c r="DG22"/>
  <c r="DB22"/>
  <c r="DA22"/>
  <c r="CZ22"/>
  <c r="CY22"/>
  <c r="CX22"/>
  <c r="CW22"/>
  <c r="CR22"/>
  <c r="CQ22"/>
  <c r="CP22"/>
  <c r="CO22"/>
  <c r="CK22"/>
  <c r="CJ22"/>
  <c r="CI22"/>
  <c r="CH22"/>
  <c r="CF22"/>
  <c r="CE22"/>
  <c r="CB22"/>
  <c r="BK22"/>
  <c r="BJ22"/>
  <c r="G22"/>
  <c r="F22"/>
  <c r="DI21"/>
  <c r="DH21"/>
  <c r="DG21"/>
  <c r="DB21"/>
  <c r="DA21"/>
  <c r="CZ21"/>
  <c r="CY21"/>
  <c r="CX21"/>
  <c r="CW21"/>
  <c r="CR21"/>
  <c r="CQ21"/>
  <c r="CP21"/>
  <c r="CO21"/>
  <c r="CK21"/>
  <c r="CJ21"/>
  <c r="CI21"/>
  <c r="CH21"/>
  <c r="CF21"/>
  <c r="CE21"/>
  <c r="CB21"/>
  <c r="BK21"/>
  <c r="BJ21"/>
  <c r="DI20"/>
  <c r="DH20"/>
  <c r="DG20"/>
  <c r="DB20"/>
  <c r="DA20"/>
  <c r="CZ20"/>
  <c r="CY20"/>
  <c r="CX20"/>
  <c r="CW20"/>
  <c r="CR20"/>
  <c r="CQ20"/>
  <c r="CP20"/>
  <c r="CO20"/>
  <c r="CK20"/>
  <c r="CJ20"/>
  <c r="CI20"/>
  <c r="CH20"/>
  <c r="CF20"/>
  <c r="CE20"/>
  <c r="CB20"/>
  <c r="BK20"/>
  <c r="BJ20"/>
  <c r="DI19"/>
  <c r="DH19"/>
  <c r="DG19"/>
  <c r="DB19"/>
  <c r="DA19"/>
  <c r="CZ19"/>
  <c r="CY19"/>
  <c r="CX19"/>
  <c r="CW19"/>
  <c r="CR19"/>
  <c r="CQ19"/>
  <c r="CP19"/>
  <c r="CO19"/>
  <c r="CK19"/>
  <c r="CJ19"/>
  <c r="CI19"/>
  <c r="CH19"/>
  <c r="CF19"/>
  <c r="CE19"/>
  <c r="CB19"/>
  <c r="BK19"/>
  <c r="BJ19"/>
  <c r="DI18"/>
  <c r="DH18"/>
  <c r="DG18"/>
  <c r="DB18"/>
  <c r="DA18"/>
  <c r="CZ18"/>
  <c r="CY18"/>
  <c r="CX18"/>
  <c r="CW18"/>
  <c r="CR18"/>
  <c r="CQ18"/>
  <c r="CP18"/>
  <c r="CO18"/>
  <c r="CK18"/>
  <c r="CJ18"/>
  <c r="CI18"/>
  <c r="CH18"/>
  <c r="CF18"/>
  <c r="CE18"/>
  <c r="CB18"/>
  <c r="BK18"/>
  <c r="BJ18"/>
  <c r="DP17"/>
  <c r="DO17"/>
  <c r="DN17"/>
  <c r="DM17"/>
  <c r="DL17"/>
  <c r="DK17"/>
  <c r="DJ17"/>
  <c r="DI17"/>
  <c r="DH17"/>
  <c r="DG17"/>
  <c r="DF17"/>
  <c r="DE17"/>
  <c r="DD17"/>
  <c r="DC17"/>
  <c r="DB17"/>
  <c r="DA17"/>
  <c r="CZ17"/>
  <c r="CY17"/>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O17"/>
  <c r="N17"/>
  <c r="T17"/>
  <c r="S17"/>
  <c r="W17"/>
  <c r="V17"/>
  <c r="U17"/>
  <c r="Q17"/>
  <c r="P17"/>
  <c r="J17"/>
  <c r="R17"/>
  <c r="M17"/>
  <c r="L17"/>
  <c r="K17"/>
  <c r="I17"/>
  <c r="H17"/>
  <c r="G17"/>
  <c r="F17"/>
  <c r="E17"/>
  <c r="DP16"/>
  <c r="DO16"/>
  <c r="DN16"/>
  <c r="DM16"/>
  <c r="DL16"/>
  <c r="DK16"/>
  <c r="DJ16"/>
  <c r="DI16"/>
  <c r="DH16"/>
  <c r="DG16"/>
  <c r="DF16"/>
  <c r="DE16"/>
  <c r="DD16"/>
  <c r="DC16"/>
  <c r="DB16"/>
  <c r="DA16"/>
  <c r="CZ16"/>
  <c r="CY16"/>
  <c r="CX16"/>
  <c r="CW16"/>
  <c r="CV16"/>
  <c r="CU16"/>
  <c r="CT16"/>
  <c r="CS16"/>
  <c r="CR16"/>
  <c r="CQ16"/>
  <c r="CP16"/>
  <c r="CO16"/>
  <c r="CN16"/>
  <c r="CM16"/>
  <c r="CL16"/>
  <c r="CK16"/>
  <c r="CJ16"/>
  <c r="CI16"/>
  <c r="CH16"/>
  <c r="CG16"/>
  <c r="CF16"/>
  <c r="CE16"/>
  <c r="CD16"/>
  <c r="CC16"/>
  <c r="CB16"/>
  <c r="BK16"/>
  <c r="BJ16"/>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BK15"/>
  <c r="BJ15"/>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BK14"/>
  <c r="BJ14"/>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BK13"/>
  <c r="BJ13"/>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BK12"/>
  <c r="BJ12"/>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O11"/>
  <c r="N11"/>
  <c r="T11"/>
  <c r="S11"/>
  <c r="W11"/>
  <c r="V11"/>
  <c r="U11"/>
  <c r="Q11"/>
  <c r="P11"/>
  <c r="J11"/>
  <c r="R11"/>
  <c r="M11"/>
  <c r="L11"/>
  <c r="K11"/>
  <c r="I11"/>
  <c r="H11"/>
  <c r="G11"/>
  <c r="F11"/>
  <c r="E11"/>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DP9"/>
  <c r="DN9"/>
  <c r="DI9"/>
  <c r="DH9"/>
  <c r="DG9"/>
  <c r="CW9"/>
  <c r="CV9"/>
  <c r="CU9"/>
  <c r="CS9"/>
  <c r="CB9"/>
  <c r="BK9"/>
  <c r="BJ9"/>
  <c r="DY88"/>
  <c r="DX88"/>
  <c r="DW88"/>
  <c r="DV88"/>
  <c r="DU88"/>
  <c r="DT88"/>
  <c r="DS88"/>
  <c r="CA88"/>
  <c r="BZ88"/>
  <c r="BY88"/>
  <c r="BX88"/>
  <c r="BW88"/>
  <c r="BV88"/>
  <c r="BU88"/>
  <c r="BT88"/>
  <c r="BS88"/>
  <c r="BR88"/>
  <c r="BQ88"/>
  <c r="BP88"/>
  <c r="BO88"/>
  <c r="BN88"/>
  <c r="BM88"/>
  <c r="BL88"/>
  <c r="BG88"/>
  <c r="DY87"/>
  <c r="DX87"/>
  <c r="DW87"/>
  <c r="DV87"/>
  <c r="DU87"/>
  <c r="DT87"/>
  <c r="DS87"/>
  <c r="CA87"/>
  <c r="BZ87"/>
  <c r="BY87"/>
  <c r="BX87"/>
  <c r="BW87"/>
  <c r="BV87"/>
  <c r="BU87"/>
  <c r="BT87"/>
  <c r="BS87"/>
  <c r="BR87"/>
  <c r="BQ87"/>
  <c r="BP87"/>
  <c r="BO87"/>
  <c r="BN87"/>
  <c r="BM87"/>
  <c r="BL87"/>
  <c r="BG87"/>
  <c r="DY86"/>
  <c r="DX86"/>
  <c r="DW86"/>
  <c r="DV86"/>
  <c r="DU86"/>
  <c r="DT86"/>
  <c r="DS86"/>
  <c r="CA86"/>
  <c r="BZ86"/>
  <c r="BY86"/>
  <c r="BX86"/>
  <c r="BW86"/>
  <c r="BV86"/>
  <c r="BU86"/>
  <c r="BT86"/>
  <c r="BS86"/>
  <c r="BR86"/>
  <c r="BQ86"/>
  <c r="BP86"/>
  <c r="BO86"/>
  <c r="BN86"/>
  <c r="BM86"/>
  <c r="BL86"/>
  <c r="DY85"/>
  <c r="DX85"/>
  <c r="DW85"/>
  <c r="DV85"/>
  <c r="DU85"/>
  <c r="DT85"/>
  <c r="DS85"/>
  <c r="CA85"/>
  <c r="BZ85"/>
  <c r="BY85"/>
  <c r="BX85"/>
  <c r="BW85"/>
  <c r="BV85"/>
  <c r="BU85"/>
  <c r="BT85"/>
  <c r="BS85"/>
  <c r="BR85"/>
  <c r="BQ85"/>
  <c r="BP85"/>
  <c r="BO85"/>
  <c r="BN85"/>
  <c r="BM85"/>
  <c r="BL85"/>
  <c r="DY84"/>
  <c r="DX84"/>
  <c r="DW84"/>
  <c r="DV84"/>
  <c r="DU84"/>
  <c r="DT84"/>
  <c r="DS84"/>
  <c r="CA84"/>
  <c r="BZ84"/>
  <c r="BY84"/>
  <c r="BX84"/>
  <c r="BW84"/>
  <c r="BV84"/>
  <c r="BU84"/>
  <c r="BT84"/>
  <c r="BS84"/>
  <c r="BR84"/>
  <c r="BQ84"/>
  <c r="BP84"/>
  <c r="BO84"/>
  <c r="BN84"/>
  <c r="BM84"/>
  <c r="BL84"/>
  <c r="BJ82"/>
  <c r="BI82"/>
  <c r="D31"/>
  <c r="D30"/>
  <c r="DY16"/>
  <c r="DX16"/>
  <c r="DW16"/>
  <c r="DV16"/>
  <c r="DU16"/>
  <c r="DT16"/>
  <c r="DS16"/>
  <c r="DY15"/>
  <c r="DX15"/>
  <c r="DW15"/>
  <c r="DV15"/>
  <c r="DU15"/>
  <c r="DT15"/>
  <c r="DS15"/>
  <c r="DY14"/>
  <c r="DX14"/>
  <c r="DW14"/>
  <c r="DV14"/>
  <c r="DU14"/>
  <c r="DT14"/>
  <c r="DS14"/>
  <c r="DY13"/>
  <c r="DX13"/>
  <c r="DW13"/>
  <c r="DV13"/>
  <c r="DU13"/>
  <c r="DT13"/>
  <c r="DS13"/>
  <c r="DY12"/>
  <c r="DX12"/>
  <c r="DW12"/>
  <c r="DV12"/>
  <c r="DU12"/>
  <c r="DT12"/>
  <c r="DS12"/>
  <c r="CT74"/>
  <c r="CT63"/>
  <c r="CT43"/>
  <c r="CT28"/>
  <c r="CC37"/>
  <c r="CD74"/>
  <c r="CD63"/>
  <c r="CD52"/>
  <c r="CD43"/>
  <c r="CD37"/>
  <c r="CD28"/>
  <c r="DO74"/>
  <c r="DO63"/>
  <c r="DO52"/>
  <c r="DO43"/>
  <c r="DO37"/>
  <c r="DO28"/>
  <c r="E44" i="26"/>
  <c r="E75" s="1"/>
  <c r="E75" i="33" s="1"/>
  <c r="E29" i="26"/>
  <c r="E29" i="33" s="1"/>
  <c r="BE15" i="3"/>
  <c r="BE12" i="12" s="1"/>
  <c r="BE14" i="3"/>
  <c r="BE11" i="12" s="1"/>
  <c r="BO74" i="33"/>
  <c r="BN74"/>
  <c r="BM74"/>
  <c r="BL74"/>
  <c r="BO63"/>
  <c r="BN63"/>
  <c r="BM63"/>
  <c r="BL63"/>
  <c r="BO52"/>
  <c r="BN52"/>
  <c r="BM52"/>
  <c r="BL52"/>
  <c r="BO43"/>
  <c r="BN43"/>
  <c r="BM43"/>
  <c r="BL43"/>
  <c r="BO37"/>
  <c r="BN37"/>
  <c r="BM37"/>
  <c r="BL37"/>
  <c r="BO28"/>
  <c r="BN28"/>
  <c r="BM28"/>
  <c r="BL28"/>
  <c r="CA16"/>
  <c r="BZ16"/>
  <c r="BY16"/>
  <c r="BX16"/>
  <c r="BW16"/>
  <c r="BV16"/>
  <c r="BU16"/>
  <c r="BT16"/>
  <c r="BS16"/>
  <c r="BR16"/>
  <c r="BQ16"/>
  <c r="BP16"/>
  <c r="BO16"/>
  <c r="BN16"/>
  <c r="BM16"/>
  <c r="BL16"/>
  <c r="CA15"/>
  <c r="BZ15"/>
  <c r="BY15"/>
  <c r="BX15"/>
  <c r="BW15"/>
  <c r="BV15"/>
  <c r="BU15"/>
  <c r="BT15"/>
  <c r="BS15"/>
  <c r="BR15"/>
  <c r="BQ15"/>
  <c r="BP15"/>
  <c r="BO15"/>
  <c r="BN15"/>
  <c r="BM15"/>
  <c r="BL15"/>
  <c r="CA14"/>
  <c r="BZ14"/>
  <c r="BY14"/>
  <c r="BX14"/>
  <c r="BW14"/>
  <c r="BV14"/>
  <c r="BU14"/>
  <c r="BT14"/>
  <c r="BS14"/>
  <c r="BR14"/>
  <c r="BQ14"/>
  <c r="BP14"/>
  <c r="BO14"/>
  <c r="BN14"/>
  <c r="BM14"/>
  <c r="BL14"/>
  <c r="CA13"/>
  <c r="BZ13"/>
  <c r="BY13"/>
  <c r="BX13"/>
  <c r="BW13"/>
  <c r="BV13"/>
  <c r="BU13"/>
  <c r="BT13"/>
  <c r="BS13"/>
  <c r="BR13"/>
  <c r="BQ13"/>
  <c r="BP13"/>
  <c r="BO13"/>
  <c r="BN13"/>
  <c r="BM13"/>
  <c r="BL13"/>
  <c r="CA12"/>
  <c r="BZ12"/>
  <c r="BY12"/>
  <c r="BX12"/>
  <c r="BW12"/>
  <c r="BV12"/>
  <c r="BU12"/>
  <c r="BT12"/>
  <c r="BS12"/>
  <c r="BR12"/>
  <c r="BQ12"/>
  <c r="BP12"/>
  <c r="BO12"/>
  <c r="BN12"/>
  <c r="BM12"/>
  <c r="BL12"/>
  <c r="DM74"/>
  <c r="DF74"/>
  <c r="DJ63"/>
  <c r="DC63"/>
  <c r="DJ52"/>
  <c r="DC52"/>
  <c r="DM43"/>
  <c r="DJ43"/>
  <c r="DF43"/>
  <c r="DM37"/>
  <c r="DL37"/>
  <c r="DJ37"/>
  <c r="DC37"/>
  <c r="DM28"/>
  <c r="DL28"/>
  <c r="DF28"/>
  <c r="DC28"/>
  <c r="CN74"/>
  <c r="CM74"/>
  <c r="CL74"/>
  <c r="CG74"/>
  <c r="CN63"/>
  <c r="CM63"/>
  <c r="CL63"/>
  <c r="CG63"/>
  <c r="CN52"/>
  <c r="CM52"/>
  <c r="CL52"/>
  <c r="CG52"/>
  <c r="CN43"/>
  <c r="CM43"/>
  <c r="CL43"/>
  <c r="CG43"/>
  <c r="CN37"/>
  <c r="CM37"/>
  <c r="CL37"/>
  <c r="CG37"/>
  <c r="CN28"/>
  <c r="CM28"/>
  <c r="CL28"/>
  <c r="CG28"/>
  <c r="AG67" i="3"/>
  <c r="AG71" s="1"/>
  <c r="G80" i="26"/>
  <c r="F80"/>
  <c r="F80" i="33" s="1"/>
  <c r="BJ70"/>
  <c r="BJ59"/>
  <c r="BJ48"/>
  <c r="BJ33"/>
  <c r="BJ24"/>
  <c r="G313" i="12"/>
  <c r="F313"/>
  <c r="E313"/>
  <c r="G311"/>
  <c r="F311"/>
  <c r="E311"/>
  <c r="G33"/>
  <c r="E33"/>
  <c r="G229"/>
  <c r="F229"/>
  <c r="E229"/>
  <c r="G554"/>
  <c r="E554"/>
  <c r="G481"/>
  <c r="E481"/>
  <c r="G544"/>
  <c r="E544"/>
  <c r="G471"/>
  <c r="E471"/>
  <c r="G337" i="9"/>
  <c r="G338"/>
  <c r="G158"/>
  <c r="G81"/>
  <c r="BI23"/>
  <c r="BH23"/>
  <c r="BH261" s="1"/>
  <c r="BH260" s="1"/>
  <c r="BG23"/>
  <c r="BF23"/>
  <c r="BE23"/>
  <c r="BD23"/>
  <c r="BD261" s="1"/>
  <c r="BD260" s="1"/>
  <c r="BC23"/>
  <c r="BB23"/>
  <c r="BA23"/>
  <c r="AZ23"/>
  <c r="AZ261" s="1"/>
  <c r="AZ260" s="1"/>
  <c r="AY23"/>
  <c r="AX23"/>
  <c r="AX261" s="1"/>
  <c r="AX260" s="1"/>
  <c r="AW23"/>
  <c r="AV23"/>
  <c r="AU23"/>
  <c r="AT23"/>
  <c r="AT261" s="1"/>
  <c r="AT260" s="1"/>
  <c r="AS23"/>
  <c r="AR23"/>
  <c r="AQ23"/>
  <c r="AP23"/>
  <c r="AP261" s="1"/>
  <c r="AP260" s="1"/>
  <c r="AO23"/>
  <c r="AN23"/>
  <c r="AN261" s="1"/>
  <c r="AN260" s="1"/>
  <c r="AM23"/>
  <c r="AL23"/>
  <c r="AK23"/>
  <c r="AK261"/>
  <c r="AK260" s="1"/>
  <c r="AJ23"/>
  <c r="AI23"/>
  <c r="AH23"/>
  <c r="AG23"/>
  <c r="AF23"/>
  <c r="AF261" s="1"/>
  <c r="AF260" s="1"/>
  <c r="AE23"/>
  <c r="AD23"/>
  <c r="AC23"/>
  <c r="AC261" s="1"/>
  <c r="AC260" s="1"/>
  <c r="AB23"/>
  <c r="AA23"/>
  <c r="Z23"/>
  <c r="Y23"/>
  <c r="X23"/>
  <c r="X261" s="1"/>
  <c r="X260" s="1"/>
  <c r="O23"/>
  <c r="N23"/>
  <c r="N261" s="1"/>
  <c r="N260" s="1"/>
  <c r="T23"/>
  <c r="S23"/>
  <c r="W23"/>
  <c r="V23"/>
  <c r="V261" s="1"/>
  <c r="V260" s="1"/>
  <c r="U23"/>
  <c r="Q23"/>
  <c r="Q261" s="1"/>
  <c r="Q260" s="1"/>
  <c r="P23"/>
  <c r="J23"/>
  <c r="J261" s="1"/>
  <c r="J260" s="1"/>
  <c r="R23"/>
  <c r="M23"/>
  <c r="L23"/>
  <c r="K23"/>
  <c r="I23"/>
  <c r="H23"/>
  <c r="F22"/>
  <c r="F23" s="1"/>
  <c r="E22"/>
  <c r="E23" s="1"/>
  <c r="CQ306" i="30"/>
  <c r="CP306"/>
  <c r="CO306"/>
  <c r="CN306"/>
  <c r="CM306"/>
  <c r="CL306"/>
  <c r="CG306"/>
  <c r="CF306"/>
  <c r="CE306"/>
  <c r="CK306"/>
  <c r="CJ306"/>
  <c r="CI306"/>
  <c r="CH306"/>
  <c r="CD306"/>
  <c r="CC306"/>
  <c r="CB306"/>
  <c r="CA306"/>
  <c r="BZ306"/>
  <c r="CQ304"/>
  <c r="CP304"/>
  <c r="CO304"/>
  <c r="CN304"/>
  <c r="CM304"/>
  <c r="CL304"/>
  <c r="CG304"/>
  <c r="CF304"/>
  <c r="CE304"/>
  <c r="CK304"/>
  <c r="CJ304"/>
  <c r="CI304"/>
  <c r="CH304"/>
  <c r="CD304"/>
  <c r="CC304"/>
  <c r="CB304"/>
  <c r="CA304"/>
  <c r="BZ304"/>
  <c r="CQ297"/>
  <c r="CP297"/>
  <c r="CO297"/>
  <c r="CN297"/>
  <c r="CM297"/>
  <c r="CL297"/>
  <c r="CG297"/>
  <c r="CF297"/>
  <c r="CE297"/>
  <c r="CK297"/>
  <c r="CJ297"/>
  <c r="CI297"/>
  <c r="CH297"/>
  <c r="CD297"/>
  <c r="CC297"/>
  <c r="CB297"/>
  <c r="CA297"/>
  <c r="BZ297"/>
  <c r="CQ259"/>
  <c r="CP259"/>
  <c r="CO259"/>
  <c r="CN259"/>
  <c r="CM259"/>
  <c r="CL259"/>
  <c r="CG259"/>
  <c r="CF259"/>
  <c r="CE259"/>
  <c r="CK259"/>
  <c r="CJ259"/>
  <c r="CI259"/>
  <c r="CH259"/>
  <c r="CD259"/>
  <c r="CC259"/>
  <c r="CB259"/>
  <c r="CA259"/>
  <c r="BZ259"/>
  <c r="CQ255"/>
  <c r="CP255"/>
  <c r="CO255"/>
  <c r="CN255"/>
  <c r="CM255"/>
  <c r="CL255"/>
  <c r="CG255"/>
  <c r="CF255"/>
  <c r="CE255"/>
  <c r="CK255"/>
  <c r="CJ255"/>
  <c r="CI255"/>
  <c r="CH255"/>
  <c r="CD255"/>
  <c r="CC255"/>
  <c r="CB255"/>
  <c r="CA255"/>
  <c r="BZ255"/>
  <c r="CQ210"/>
  <c r="CP210"/>
  <c r="CO210"/>
  <c r="CN210"/>
  <c r="CM210"/>
  <c r="CL210"/>
  <c r="CG210"/>
  <c r="CF210"/>
  <c r="CE210"/>
  <c r="CK210"/>
  <c r="CJ210"/>
  <c r="CI210"/>
  <c r="CH210"/>
  <c r="CD210"/>
  <c r="CC210"/>
  <c r="CB210"/>
  <c r="CA210"/>
  <c r="BZ210"/>
  <c r="CQ151"/>
  <c r="CP151"/>
  <c r="CO151"/>
  <c r="CN151"/>
  <c r="CM151"/>
  <c r="CL151"/>
  <c r="CG151"/>
  <c r="CF151"/>
  <c r="CE151"/>
  <c r="CK151"/>
  <c r="CJ151"/>
  <c r="CI151"/>
  <c r="CH151"/>
  <c r="CD151"/>
  <c r="CC151"/>
  <c r="CB151"/>
  <c r="CA151"/>
  <c r="BZ151"/>
  <c r="CQ143"/>
  <c r="CP143"/>
  <c r="CO143"/>
  <c r="CN143"/>
  <c r="CM143"/>
  <c r="CL143"/>
  <c r="CG143"/>
  <c r="CF143"/>
  <c r="CE143"/>
  <c r="CJ143"/>
  <c r="CI143"/>
  <c r="CH143"/>
  <c r="CD143"/>
  <c r="CC143"/>
  <c r="CB143"/>
  <c r="CA143"/>
  <c r="BZ143"/>
  <c r="CQ141"/>
  <c r="CP141"/>
  <c r="CO141"/>
  <c r="CN141"/>
  <c r="CM141"/>
  <c r="CL141"/>
  <c r="CG141"/>
  <c r="CF141"/>
  <c r="CE141"/>
  <c r="CJ141"/>
  <c r="CI141"/>
  <c r="CH141"/>
  <c r="CD141"/>
  <c r="CC141"/>
  <c r="CB141"/>
  <c r="CA141"/>
  <c r="BZ141"/>
  <c r="CQ128"/>
  <c r="CP128"/>
  <c r="CO128"/>
  <c r="CN128"/>
  <c r="CM128"/>
  <c r="CL128"/>
  <c r="CG128"/>
  <c r="CF128"/>
  <c r="CE128"/>
  <c r="CK128"/>
  <c r="CI128"/>
  <c r="CH128"/>
  <c r="CD128"/>
  <c r="CC128"/>
  <c r="CB128"/>
  <c r="CA128"/>
  <c r="BZ128"/>
  <c r="CQ125"/>
  <c r="CP125"/>
  <c r="CO125"/>
  <c r="CN125"/>
  <c r="CM125"/>
  <c r="CL125"/>
  <c r="CG125"/>
  <c r="CF125"/>
  <c r="CE125"/>
  <c r="CK125"/>
  <c r="CJ125"/>
  <c r="CI125"/>
  <c r="CH125"/>
  <c r="CD125"/>
  <c r="CC125"/>
  <c r="CB125"/>
  <c r="CA125"/>
  <c r="BZ125"/>
  <c r="CQ120"/>
  <c r="CP120"/>
  <c r="CO120"/>
  <c r="CN120"/>
  <c r="CM120"/>
  <c r="CL120"/>
  <c r="CG120"/>
  <c r="CF120"/>
  <c r="CE120"/>
  <c r="CK120"/>
  <c r="CJ120"/>
  <c r="CI120"/>
  <c r="CH120"/>
  <c r="CD120"/>
  <c r="CC120"/>
  <c r="CB120"/>
  <c r="CA120"/>
  <c r="BZ120"/>
  <c r="CQ109"/>
  <c r="CP109"/>
  <c r="CO109"/>
  <c r="CN109"/>
  <c r="CM109"/>
  <c r="CL109"/>
  <c r="CG109"/>
  <c r="CF109"/>
  <c r="CE109"/>
  <c r="CK109"/>
  <c r="CJ109"/>
  <c r="CI109"/>
  <c r="CH109"/>
  <c r="CD109"/>
  <c r="CC109"/>
  <c r="CB109"/>
  <c r="CA109"/>
  <c r="BZ109"/>
  <c r="CQ104"/>
  <c r="CP104"/>
  <c r="CO104"/>
  <c r="CN104"/>
  <c r="CM104"/>
  <c r="CL104"/>
  <c r="CG104"/>
  <c r="CF104"/>
  <c r="CE104"/>
  <c r="CK104"/>
  <c r="CJ104"/>
  <c r="CI104"/>
  <c r="CH104"/>
  <c r="CD104"/>
  <c r="CC104"/>
  <c r="CB104"/>
  <c r="CA104"/>
  <c r="BZ104"/>
  <c r="CQ87"/>
  <c r="CP87"/>
  <c r="CO87"/>
  <c r="CN87"/>
  <c r="CM87"/>
  <c r="CL87"/>
  <c r="CG87"/>
  <c r="CF87"/>
  <c r="CE87"/>
  <c r="CK87"/>
  <c r="CJ87"/>
  <c r="CI87"/>
  <c r="CH87"/>
  <c r="CD87"/>
  <c r="CC87"/>
  <c r="CB87"/>
  <c r="CA87"/>
  <c r="BZ87"/>
  <c r="CQ79"/>
  <c r="CP79"/>
  <c r="CO79"/>
  <c r="CN79"/>
  <c r="CM79"/>
  <c r="CL79"/>
  <c r="CG79"/>
  <c r="CF79"/>
  <c r="CE79"/>
  <c r="CJ79"/>
  <c r="CI79"/>
  <c r="CH79"/>
  <c r="CD79"/>
  <c r="CC79"/>
  <c r="CB79"/>
  <c r="CA79"/>
  <c r="BZ79"/>
  <c r="CQ74"/>
  <c r="CP74"/>
  <c r="CO74"/>
  <c r="CN74"/>
  <c r="CM74"/>
  <c r="CL74"/>
  <c r="CG74"/>
  <c r="CF74"/>
  <c r="CE74"/>
  <c r="CJ74"/>
  <c r="CI74"/>
  <c r="CH74"/>
  <c r="CD74"/>
  <c r="CC74"/>
  <c r="CB74"/>
  <c r="CA74"/>
  <c r="BZ74"/>
  <c r="CQ73"/>
  <c r="CP73"/>
  <c r="CO73"/>
  <c r="CN73"/>
  <c r="CM73"/>
  <c r="CL73"/>
  <c r="CG73"/>
  <c r="CF73"/>
  <c r="CE73"/>
  <c r="CJ73"/>
  <c r="CI73"/>
  <c r="CH73"/>
  <c r="CD73"/>
  <c r="CC73"/>
  <c r="CB73"/>
  <c r="CA73"/>
  <c r="BZ73"/>
  <c r="CQ72"/>
  <c r="CP72"/>
  <c r="CO72"/>
  <c r="CN72"/>
  <c r="CM72"/>
  <c r="CL72"/>
  <c r="CG72"/>
  <c r="CF72"/>
  <c r="CE72"/>
  <c r="CJ72"/>
  <c r="CI72"/>
  <c r="CH72"/>
  <c r="CD72"/>
  <c r="CC72"/>
  <c r="CB72"/>
  <c r="CA72"/>
  <c r="BZ72"/>
  <c r="CQ71"/>
  <c r="CP71"/>
  <c r="CO71"/>
  <c r="CN71"/>
  <c r="CM71"/>
  <c r="CL71"/>
  <c r="CG71"/>
  <c r="CF71"/>
  <c r="CE71"/>
  <c r="CJ71"/>
  <c r="CI71"/>
  <c r="CH71"/>
  <c r="CD71"/>
  <c r="CC71"/>
  <c r="CB71"/>
  <c r="CA71"/>
  <c r="BZ71"/>
  <c r="CQ57"/>
  <c r="CP57"/>
  <c r="CO57"/>
  <c r="CN57"/>
  <c r="CM57"/>
  <c r="CL57"/>
  <c r="CG57"/>
  <c r="CF57"/>
  <c r="CE57"/>
  <c r="CK57"/>
  <c r="CJ57"/>
  <c r="CI57"/>
  <c r="CH57"/>
  <c r="CD57"/>
  <c r="CC57"/>
  <c r="CB57"/>
  <c r="CA57"/>
  <c r="BZ57"/>
  <c r="CQ50"/>
  <c r="CP50"/>
  <c r="CO50"/>
  <c r="CN50"/>
  <c r="CM50"/>
  <c r="CL50"/>
  <c r="CG50"/>
  <c r="CF50"/>
  <c r="CE50"/>
  <c r="CK50"/>
  <c r="CJ50"/>
  <c r="CI50"/>
  <c r="CH50"/>
  <c r="CD50"/>
  <c r="CC50"/>
  <c r="CB50"/>
  <c r="CA50"/>
  <c r="BZ50"/>
  <c r="CQ44"/>
  <c r="CP44"/>
  <c r="CO44"/>
  <c r="CN44"/>
  <c r="CM44"/>
  <c r="CL44"/>
  <c r="CG44"/>
  <c r="CF44"/>
  <c r="CE44"/>
  <c r="CK44"/>
  <c r="CJ44"/>
  <c r="CI44"/>
  <c r="CH44"/>
  <c r="CD44"/>
  <c r="CC44"/>
  <c r="CB44"/>
  <c r="CA44"/>
  <c r="BZ44"/>
  <c r="CQ30"/>
  <c r="CP30"/>
  <c r="CO30"/>
  <c r="CN30"/>
  <c r="CM30"/>
  <c r="CL30"/>
  <c r="CG30"/>
  <c r="CF30"/>
  <c r="CE30"/>
  <c r="CK30"/>
  <c r="CJ30"/>
  <c r="CI30"/>
  <c r="CH30"/>
  <c r="CD30"/>
  <c r="CC30"/>
  <c r="CB30"/>
  <c r="CA30"/>
  <c r="BZ30"/>
  <c r="BW306"/>
  <c r="BV306"/>
  <c r="BU306"/>
  <c r="BT306"/>
  <c r="BS306"/>
  <c r="BR306"/>
  <c r="BM306"/>
  <c r="BL306"/>
  <c r="BK306"/>
  <c r="BQ306"/>
  <c r="BP306"/>
  <c r="BO306"/>
  <c r="BN306"/>
  <c r="BJ306"/>
  <c r="BI306"/>
  <c r="BH306"/>
  <c r="BG306"/>
  <c r="BF306"/>
  <c r="BW304"/>
  <c r="BV304"/>
  <c r="BU304"/>
  <c r="BT304"/>
  <c r="BS304"/>
  <c r="BR304"/>
  <c r="BM304"/>
  <c r="BL304"/>
  <c r="BK304"/>
  <c r="BQ304"/>
  <c r="BP304"/>
  <c r="BO304"/>
  <c r="BN304"/>
  <c r="BJ304"/>
  <c r="BI304"/>
  <c r="BH304"/>
  <c r="BG304"/>
  <c r="BF304"/>
  <c r="BW297"/>
  <c r="BV297"/>
  <c r="BU297"/>
  <c r="BT297"/>
  <c r="BS297"/>
  <c r="BR297"/>
  <c r="BM297"/>
  <c r="BL297"/>
  <c r="BK297"/>
  <c r="BQ297"/>
  <c r="BP297"/>
  <c r="BO297"/>
  <c r="BN297"/>
  <c r="BJ297"/>
  <c r="BI297"/>
  <c r="BH297"/>
  <c r="BG297"/>
  <c r="BF297"/>
  <c r="BW259"/>
  <c r="BV259"/>
  <c r="BU259"/>
  <c r="BT259"/>
  <c r="BS259"/>
  <c r="BR259"/>
  <c r="BM259"/>
  <c r="BL259"/>
  <c r="BK259"/>
  <c r="BQ259"/>
  <c r="BP259"/>
  <c r="BO259"/>
  <c r="BN259"/>
  <c r="BJ259"/>
  <c r="BI259"/>
  <c r="BH259"/>
  <c r="BG259"/>
  <c r="BF259"/>
  <c r="BW255"/>
  <c r="BV255"/>
  <c r="BU255"/>
  <c r="BT255"/>
  <c r="BS255"/>
  <c r="BR255"/>
  <c r="BM255"/>
  <c r="BL255"/>
  <c r="BK255"/>
  <c r="BQ255"/>
  <c r="BP255"/>
  <c r="BO255"/>
  <c r="BN255"/>
  <c r="BJ255"/>
  <c r="BI255"/>
  <c r="BH255"/>
  <c r="BG255"/>
  <c r="BF255"/>
  <c r="BW210"/>
  <c r="BV210"/>
  <c r="BU210"/>
  <c r="BT210"/>
  <c r="BS210"/>
  <c r="BR210"/>
  <c r="BM210"/>
  <c r="BL210"/>
  <c r="BK210"/>
  <c r="BQ210"/>
  <c r="BP210"/>
  <c r="BO210"/>
  <c r="BN210"/>
  <c r="BJ210"/>
  <c r="BI210"/>
  <c r="BH210"/>
  <c r="BG210"/>
  <c r="BF210"/>
  <c r="BW151"/>
  <c r="BV151"/>
  <c r="BU151"/>
  <c r="BT151"/>
  <c r="BS151"/>
  <c r="BR151"/>
  <c r="BM151"/>
  <c r="BL151"/>
  <c r="BK151"/>
  <c r="BQ151"/>
  <c r="BP151"/>
  <c r="BO151"/>
  <c r="BN151"/>
  <c r="BJ151"/>
  <c r="BI151"/>
  <c r="BH151"/>
  <c r="BG151"/>
  <c r="BF151"/>
  <c r="BW143"/>
  <c r="BV143"/>
  <c r="BU143"/>
  <c r="BT143"/>
  <c r="BS143"/>
  <c r="BR143"/>
  <c r="BM143"/>
  <c r="BL143"/>
  <c r="BK143"/>
  <c r="BP143"/>
  <c r="BO143"/>
  <c r="BN143"/>
  <c r="BJ143"/>
  <c r="BI143"/>
  <c r="BH143"/>
  <c r="BG143"/>
  <c r="BF143"/>
  <c r="BW141"/>
  <c r="BV141"/>
  <c r="BU141"/>
  <c r="BT141"/>
  <c r="BS141"/>
  <c r="BR141"/>
  <c r="BM141"/>
  <c r="BL141"/>
  <c r="BK141"/>
  <c r="BP141"/>
  <c r="BO141"/>
  <c r="BN141"/>
  <c r="BJ141"/>
  <c r="BI141"/>
  <c r="BH141"/>
  <c r="BG141"/>
  <c r="BF141"/>
  <c r="BW128"/>
  <c r="BV128"/>
  <c r="BU128"/>
  <c r="BT128"/>
  <c r="BS128"/>
  <c r="BR128"/>
  <c r="BM128"/>
  <c r="BL128"/>
  <c r="BK128"/>
  <c r="BQ128"/>
  <c r="BO128"/>
  <c r="BN128"/>
  <c r="BJ128"/>
  <c r="BI128"/>
  <c r="BH128"/>
  <c r="BG128"/>
  <c r="BF128"/>
  <c r="BW125"/>
  <c r="BV125"/>
  <c r="BU125"/>
  <c r="BT125"/>
  <c r="BS125"/>
  <c r="BR125"/>
  <c r="BM125"/>
  <c r="BL125"/>
  <c r="BK125"/>
  <c r="BQ125"/>
  <c r="BP125"/>
  <c r="BO125"/>
  <c r="BN125"/>
  <c r="BJ125"/>
  <c r="BI125"/>
  <c r="BH125"/>
  <c r="BG125"/>
  <c r="BF125"/>
  <c r="BW120"/>
  <c r="BV120"/>
  <c r="BU120"/>
  <c r="BT120"/>
  <c r="BS120"/>
  <c r="BR120"/>
  <c r="BM120"/>
  <c r="BL120"/>
  <c r="BK120"/>
  <c r="BQ120"/>
  <c r="BP120"/>
  <c r="BO120"/>
  <c r="BN120"/>
  <c r="BJ120"/>
  <c r="BI120"/>
  <c r="BH120"/>
  <c r="BG120"/>
  <c r="BF120"/>
  <c r="BW109"/>
  <c r="BV109"/>
  <c r="BU109"/>
  <c r="BT109"/>
  <c r="BS109"/>
  <c r="BR109"/>
  <c r="BM109"/>
  <c r="BL109"/>
  <c r="BK109"/>
  <c r="BQ109"/>
  <c r="BP109"/>
  <c r="BO109"/>
  <c r="BN109"/>
  <c r="BJ109"/>
  <c r="BI109"/>
  <c r="BH109"/>
  <c r="BG109"/>
  <c r="BF109"/>
  <c r="BW104"/>
  <c r="BV104"/>
  <c r="BU104"/>
  <c r="BT104"/>
  <c r="BS104"/>
  <c r="BR104"/>
  <c r="BM104"/>
  <c r="BL104"/>
  <c r="BK104"/>
  <c r="BQ104"/>
  <c r="BP104"/>
  <c r="BO104"/>
  <c r="BN104"/>
  <c r="BJ104"/>
  <c r="BI104"/>
  <c r="BH104"/>
  <c r="BG104"/>
  <c r="BF104"/>
  <c r="BW87"/>
  <c r="BV87"/>
  <c r="BU87"/>
  <c r="BT87"/>
  <c r="BS87"/>
  <c r="BR87"/>
  <c r="BM87"/>
  <c r="BL87"/>
  <c r="BK87"/>
  <c r="BQ87"/>
  <c r="BP87"/>
  <c r="BO87"/>
  <c r="BN87"/>
  <c r="BJ87"/>
  <c r="BI87"/>
  <c r="BH87"/>
  <c r="BG87"/>
  <c r="BF87"/>
  <c r="BW79"/>
  <c r="BV79"/>
  <c r="BU79"/>
  <c r="BT79"/>
  <c r="BS79"/>
  <c r="BR79"/>
  <c r="BM79"/>
  <c r="BL79"/>
  <c r="BK79"/>
  <c r="BP79"/>
  <c r="BO79"/>
  <c r="BN79"/>
  <c r="BJ79"/>
  <c r="BI79"/>
  <c r="BH79"/>
  <c r="BG79"/>
  <c r="BF79"/>
  <c r="BW74"/>
  <c r="BV74"/>
  <c r="BU74"/>
  <c r="BT74"/>
  <c r="BS74"/>
  <c r="BR74"/>
  <c r="BM74"/>
  <c r="BL74"/>
  <c r="BK74"/>
  <c r="BP74"/>
  <c r="BO74"/>
  <c r="BN74"/>
  <c r="BJ74"/>
  <c r="BI74"/>
  <c r="BH74"/>
  <c r="BG74"/>
  <c r="BF74"/>
  <c r="BW73"/>
  <c r="BV73"/>
  <c r="BU73"/>
  <c r="BT73"/>
  <c r="BS73"/>
  <c r="BR73"/>
  <c r="BM73"/>
  <c r="BL73"/>
  <c r="BK73"/>
  <c r="BP73"/>
  <c r="BO73"/>
  <c r="BN73"/>
  <c r="BJ73"/>
  <c r="BI73"/>
  <c r="BH73"/>
  <c r="BG73"/>
  <c r="BF73"/>
  <c r="BW72"/>
  <c r="BV72"/>
  <c r="BU72"/>
  <c r="BT72"/>
  <c r="BS72"/>
  <c r="BR72"/>
  <c r="BM72"/>
  <c r="BL72"/>
  <c r="BK72"/>
  <c r="BP72"/>
  <c r="BO72"/>
  <c r="BN72"/>
  <c r="BJ72"/>
  <c r="BI72"/>
  <c r="BH72"/>
  <c r="BG72"/>
  <c r="BF72"/>
  <c r="BW71"/>
  <c r="BV71"/>
  <c r="BU71"/>
  <c r="BT71"/>
  <c r="BS71"/>
  <c r="BR71"/>
  <c r="BM71"/>
  <c r="BL71"/>
  <c r="BK71"/>
  <c r="BP71"/>
  <c r="BO71"/>
  <c r="BN71"/>
  <c r="BJ71"/>
  <c r="BI71"/>
  <c r="BH71"/>
  <c r="BG71"/>
  <c r="BF71"/>
  <c r="BW57"/>
  <c r="BV57"/>
  <c r="BU57"/>
  <c r="BT57"/>
  <c r="BS57"/>
  <c r="BR57"/>
  <c r="BM57"/>
  <c r="BL57"/>
  <c r="BK57"/>
  <c r="BQ57"/>
  <c r="BP57"/>
  <c r="BO57"/>
  <c r="BN57"/>
  <c r="BJ57"/>
  <c r="BI57"/>
  <c r="BH57"/>
  <c r="BG57"/>
  <c r="BF57"/>
  <c r="BW50"/>
  <c r="BV50"/>
  <c r="BU50"/>
  <c r="BT50"/>
  <c r="BS50"/>
  <c r="BR50"/>
  <c r="BM50"/>
  <c r="BL50"/>
  <c r="BK50"/>
  <c r="BQ50"/>
  <c r="BP50"/>
  <c r="BO50"/>
  <c r="BN50"/>
  <c r="BJ50"/>
  <c r="BI50"/>
  <c r="BH50"/>
  <c r="BG50"/>
  <c r="BF50"/>
  <c r="BW44"/>
  <c r="BV44"/>
  <c r="BU44"/>
  <c r="BT44"/>
  <c r="BS44"/>
  <c r="BR44"/>
  <c r="BM44"/>
  <c r="BL44"/>
  <c r="BK44"/>
  <c r="BQ44"/>
  <c r="BP44"/>
  <c r="BO44"/>
  <c r="BN44"/>
  <c r="BJ44"/>
  <c r="BI44"/>
  <c r="BH44"/>
  <c r="BG44"/>
  <c r="BF44"/>
  <c r="BW30"/>
  <c r="BV30"/>
  <c r="BU30"/>
  <c r="BT30"/>
  <c r="BS30"/>
  <c r="BR30"/>
  <c r="BM30"/>
  <c r="BL30"/>
  <c r="BK30"/>
  <c r="BQ30"/>
  <c r="BP30"/>
  <c r="BO30"/>
  <c r="BN30"/>
  <c r="BJ30"/>
  <c r="BI30"/>
  <c r="BH30"/>
  <c r="BG30"/>
  <c r="BF30"/>
  <c r="BY311"/>
  <c r="BY310"/>
  <c r="BY309"/>
  <c r="BY308"/>
  <c r="BY307"/>
  <c r="BY306"/>
  <c r="BY305"/>
  <c r="BY304"/>
  <c r="BY303"/>
  <c r="BY302"/>
  <c r="BY301"/>
  <c r="BY300"/>
  <c r="BY299"/>
  <c r="BY298"/>
  <c r="BY297"/>
  <c r="BY296"/>
  <c r="BY295"/>
  <c r="BY294"/>
  <c r="BY293"/>
  <c r="BY292"/>
  <c r="BY291"/>
  <c r="BY290"/>
  <c r="BY289"/>
  <c r="BY288"/>
  <c r="BY287"/>
  <c r="BY286"/>
  <c r="BY285"/>
  <c r="BY284"/>
  <c r="BY283"/>
  <c r="BY282"/>
  <c r="BY281"/>
  <c r="BY280"/>
  <c r="BY279"/>
  <c r="BY278"/>
  <c r="BY277"/>
  <c r="BY276"/>
  <c r="BY275"/>
  <c r="BY274"/>
  <c r="BY273"/>
  <c r="BY272"/>
  <c r="BY271"/>
  <c r="BY270"/>
  <c r="BY269"/>
  <c r="BY268"/>
  <c r="BY267"/>
  <c r="BY266"/>
  <c r="BY265"/>
  <c r="BY264"/>
  <c r="BY263"/>
  <c r="BY262"/>
  <c r="BY261"/>
  <c r="BY260"/>
  <c r="BY259"/>
  <c r="BY258"/>
  <c r="BY257"/>
  <c r="BY256"/>
  <c r="BY255"/>
  <c r="BY254"/>
  <c r="BY253"/>
  <c r="BY252"/>
  <c r="BY251"/>
  <c r="BY250"/>
  <c r="BY249"/>
  <c r="BY248"/>
  <c r="BY247"/>
  <c r="BY246"/>
  <c r="BY245"/>
  <c r="BY244"/>
  <c r="BY243"/>
  <c r="BY242"/>
  <c r="BY241"/>
  <c r="BY240"/>
  <c r="BY239"/>
  <c r="BY238"/>
  <c r="BY237"/>
  <c r="BY236"/>
  <c r="BY235"/>
  <c r="BY234"/>
  <c r="BY233"/>
  <c r="BY232"/>
  <c r="BY231"/>
  <c r="BY230"/>
  <c r="BY229"/>
  <c r="BY228"/>
  <c r="BY227"/>
  <c r="BY226"/>
  <c r="BY225"/>
  <c r="BY224"/>
  <c r="BY223"/>
  <c r="BY222"/>
  <c r="BY221"/>
  <c r="BY220"/>
  <c r="BY219"/>
  <c r="BY218"/>
  <c r="BY217"/>
  <c r="BY216"/>
  <c r="BY215"/>
  <c r="BY214"/>
  <c r="BY213"/>
  <c r="BY212"/>
  <c r="BY211"/>
  <c r="BY210"/>
  <c r="BY209"/>
  <c r="BY208"/>
  <c r="BY207"/>
  <c r="BY206"/>
  <c r="BY205"/>
  <c r="BY204"/>
  <c r="BY203"/>
  <c r="BY202"/>
  <c r="BY201"/>
  <c r="BY200"/>
  <c r="BY199"/>
  <c r="BY198"/>
  <c r="BY197"/>
  <c r="BY196"/>
  <c r="BY195"/>
  <c r="BY194"/>
  <c r="BY193"/>
  <c r="BY192"/>
  <c r="BY191"/>
  <c r="BY190"/>
  <c r="BY189"/>
  <c r="BY188"/>
  <c r="BY187"/>
  <c r="BY186"/>
  <c r="BY185"/>
  <c r="BY184"/>
  <c r="BY183"/>
  <c r="BY182"/>
  <c r="BY181"/>
  <c r="BY180"/>
  <c r="BY179"/>
  <c r="BY178"/>
  <c r="BY177"/>
  <c r="BY176"/>
  <c r="BY175"/>
  <c r="BY174"/>
  <c r="BY173"/>
  <c r="BY172"/>
  <c r="BY171"/>
  <c r="BY170"/>
  <c r="BY169"/>
  <c r="BY168"/>
  <c r="BY167"/>
  <c r="BY166"/>
  <c r="BY165"/>
  <c r="BY164"/>
  <c r="BY163"/>
  <c r="BY162"/>
  <c r="BY161"/>
  <c r="BY160"/>
  <c r="BY159"/>
  <c r="BY158"/>
  <c r="BY157"/>
  <c r="BY156"/>
  <c r="BY155"/>
  <c r="BY154"/>
  <c r="BY153"/>
  <c r="BY152"/>
  <c r="BY151"/>
  <c r="BY144"/>
  <c r="BY143"/>
  <c r="BY142"/>
  <c r="BY141"/>
  <c r="BY140"/>
  <c r="BY139"/>
  <c r="BY138"/>
  <c r="BY137"/>
  <c r="BY136"/>
  <c r="BY135"/>
  <c r="BY134"/>
  <c r="BY133"/>
  <c r="BY132"/>
  <c r="BY131"/>
  <c r="BY130"/>
  <c r="BY129"/>
  <c r="BY128"/>
  <c r="BY127"/>
  <c r="BY126"/>
  <c r="BY125"/>
  <c r="BY124"/>
  <c r="BY123"/>
  <c r="BY122"/>
  <c r="BY121"/>
  <c r="BY120"/>
  <c r="BY119"/>
  <c r="BY118"/>
  <c r="BY117"/>
  <c r="BY116"/>
  <c r="BY115"/>
  <c r="BY114"/>
  <c r="BY113"/>
  <c r="BY112"/>
  <c r="BY111"/>
  <c r="BY110"/>
  <c r="BY109"/>
  <c r="BY108"/>
  <c r="BY107"/>
  <c r="BY106"/>
  <c r="BY105"/>
  <c r="BY104"/>
  <c r="BY103"/>
  <c r="BY102"/>
  <c r="BY101"/>
  <c r="BY100"/>
  <c r="BY99"/>
  <c r="BY98"/>
  <c r="BY97"/>
  <c r="BY96"/>
  <c r="BY95"/>
  <c r="BY94"/>
  <c r="BY93"/>
  <c r="BY92"/>
  <c r="BY91"/>
  <c r="BY90"/>
  <c r="BY89"/>
  <c r="BY88"/>
  <c r="BY87"/>
  <c r="BY79"/>
  <c r="BY78"/>
  <c r="BY77"/>
  <c r="BY76"/>
  <c r="BY75"/>
  <c r="BY74"/>
  <c r="BY73"/>
  <c r="BY72"/>
  <c r="BY71"/>
  <c r="BY70"/>
  <c r="BY69"/>
  <c r="BY68"/>
  <c r="BY67"/>
  <c r="BY66"/>
  <c r="BY65"/>
  <c r="BY64"/>
  <c r="BY63"/>
  <c r="BY62"/>
  <c r="BY61"/>
  <c r="BY60"/>
  <c r="BY59"/>
  <c r="BY58"/>
  <c r="BY57"/>
  <c r="BY56"/>
  <c r="BY55"/>
  <c r="BY54"/>
  <c r="BY53"/>
  <c r="BY52"/>
  <c r="BY51"/>
  <c r="BY50"/>
  <c r="BY49"/>
  <c r="BY48"/>
  <c r="BY47"/>
  <c r="BY46"/>
  <c r="BY45"/>
  <c r="BY44"/>
  <c r="BY43"/>
  <c r="BY42"/>
  <c r="BY41"/>
  <c r="BY40"/>
  <c r="BY39"/>
  <c r="BY38"/>
  <c r="BY37"/>
  <c r="BY36"/>
  <c r="BY35"/>
  <c r="BY34"/>
  <c r="BY33"/>
  <c r="BY32"/>
  <c r="BY31"/>
  <c r="BY30"/>
  <c r="BY29"/>
  <c r="BY28"/>
  <c r="BY27"/>
  <c r="BY26"/>
  <c r="BY25"/>
  <c r="BY24"/>
  <c r="BY23"/>
  <c r="BY22"/>
  <c r="BY21"/>
  <c r="BY20"/>
  <c r="BY19"/>
  <c r="BY18"/>
  <c r="BY17"/>
  <c r="BY16"/>
  <c r="BY15"/>
  <c r="BY14"/>
  <c r="BY13"/>
  <c r="BY12"/>
  <c r="BY11"/>
  <c r="BY10"/>
  <c r="BY9"/>
  <c r="CO3"/>
  <c r="CC3"/>
  <c r="CB3"/>
  <c r="CA3"/>
  <c r="BZ3"/>
  <c r="O311"/>
  <c r="N311"/>
  <c r="O310"/>
  <c r="N310"/>
  <c r="O308"/>
  <c r="N308"/>
  <c r="O307"/>
  <c r="N307"/>
  <c r="O306"/>
  <c r="N306"/>
  <c r="O305"/>
  <c r="N305"/>
  <c r="O304"/>
  <c r="N304"/>
  <c r="O303"/>
  <c r="N303"/>
  <c r="O302"/>
  <c r="N302"/>
  <c r="O301"/>
  <c r="N301"/>
  <c r="O300"/>
  <c r="N300"/>
  <c r="O299"/>
  <c r="N299"/>
  <c r="O298"/>
  <c r="N298"/>
  <c r="O297"/>
  <c r="N297"/>
  <c r="O296"/>
  <c r="N296"/>
  <c r="O295"/>
  <c r="N295"/>
  <c r="O294"/>
  <c r="N294"/>
  <c r="O293"/>
  <c r="N293"/>
  <c r="O292"/>
  <c r="N292"/>
  <c r="O291"/>
  <c r="N291"/>
  <c r="O290"/>
  <c r="N290"/>
  <c r="O289"/>
  <c r="N289"/>
  <c r="O288"/>
  <c r="N288"/>
  <c r="O287"/>
  <c r="N287"/>
  <c r="O286"/>
  <c r="N286"/>
  <c r="O285"/>
  <c r="N285"/>
  <c r="O284"/>
  <c r="N284"/>
  <c r="O283"/>
  <c r="N283"/>
  <c r="O282"/>
  <c r="N282"/>
  <c r="O281"/>
  <c r="N281"/>
  <c r="O280"/>
  <c r="N280"/>
  <c r="O279"/>
  <c r="N279"/>
  <c r="O278"/>
  <c r="N278"/>
  <c r="O277"/>
  <c r="N277"/>
  <c r="O276"/>
  <c r="N276"/>
  <c r="O275"/>
  <c r="N275"/>
  <c r="O274"/>
  <c r="N274"/>
  <c r="O273"/>
  <c r="N273"/>
  <c r="O272"/>
  <c r="N272"/>
  <c r="O271"/>
  <c r="N271"/>
  <c r="O270"/>
  <c r="N270"/>
  <c r="O269"/>
  <c r="N269"/>
  <c r="O268"/>
  <c r="N268"/>
  <c r="O267"/>
  <c r="N267"/>
  <c r="O266"/>
  <c r="N266"/>
  <c r="O265"/>
  <c r="N265"/>
  <c r="O264"/>
  <c r="N264"/>
  <c r="O263"/>
  <c r="N263"/>
  <c r="O262"/>
  <c r="N262"/>
  <c r="O261"/>
  <c r="N261"/>
  <c r="O260"/>
  <c r="N260"/>
  <c r="O259"/>
  <c r="N259"/>
  <c r="O258"/>
  <c r="N258"/>
  <c r="O257"/>
  <c r="N257"/>
  <c r="O256"/>
  <c r="N256"/>
  <c r="O255"/>
  <c r="N255"/>
  <c r="O254"/>
  <c r="N254"/>
  <c r="O253"/>
  <c r="N253"/>
  <c r="O252"/>
  <c r="N252"/>
  <c r="O251"/>
  <c r="N251"/>
  <c r="O250"/>
  <c r="N250"/>
  <c r="O249"/>
  <c r="N249"/>
  <c r="O248"/>
  <c r="N248"/>
  <c r="O247"/>
  <c r="N247"/>
  <c r="O246"/>
  <c r="N246"/>
  <c r="O245"/>
  <c r="N245"/>
  <c r="O244"/>
  <c r="N244"/>
  <c r="O243"/>
  <c r="N243"/>
  <c r="O242"/>
  <c r="N242"/>
  <c r="O241"/>
  <c r="N241"/>
  <c r="O240"/>
  <c r="N240"/>
  <c r="O239"/>
  <c r="N239"/>
  <c r="O238"/>
  <c r="N238"/>
  <c r="O237"/>
  <c r="N237"/>
  <c r="O236"/>
  <c r="N236"/>
  <c r="O235"/>
  <c r="N235"/>
  <c r="O234"/>
  <c r="N234"/>
  <c r="O233"/>
  <c r="N233"/>
  <c r="O232"/>
  <c r="N232"/>
  <c r="O231"/>
  <c r="N231"/>
  <c r="O230"/>
  <c r="N230"/>
  <c r="O229"/>
  <c r="N229"/>
  <c r="O228"/>
  <c r="N228"/>
  <c r="O227"/>
  <c r="N227"/>
  <c r="O226"/>
  <c r="N226"/>
  <c r="O225"/>
  <c r="N225"/>
  <c r="O224"/>
  <c r="N224"/>
  <c r="O223"/>
  <c r="N223"/>
  <c r="O222"/>
  <c r="N222"/>
  <c r="O221"/>
  <c r="N221"/>
  <c r="O220"/>
  <c r="N220"/>
  <c r="O219"/>
  <c r="N219"/>
  <c r="O218"/>
  <c r="N218"/>
  <c r="O217"/>
  <c r="N217"/>
  <c r="O216"/>
  <c r="N216"/>
  <c r="O215"/>
  <c r="N215"/>
  <c r="O214"/>
  <c r="N214"/>
  <c r="O213"/>
  <c r="N213"/>
  <c r="O212"/>
  <c r="N212"/>
  <c r="O211"/>
  <c r="N211"/>
  <c r="O210"/>
  <c r="N210"/>
  <c r="O209"/>
  <c r="N209"/>
  <c r="O208"/>
  <c r="N208"/>
  <c r="O207"/>
  <c r="N207"/>
  <c r="O206"/>
  <c r="N206"/>
  <c r="O205"/>
  <c r="N205"/>
  <c r="O204"/>
  <c r="N204"/>
  <c r="O203"/>
  <c r="N203"/>
  <c r="O202"/>
  <c r="N202"/>
  <c r="O201"/>
  <c r="N201"/>
  <c r="O200"/>
  <c r="N200"/>
  <c r="O199"/>
  <c r="N199"/>
  <c r="O198"/>
  <c r="N198"/>
  <c r="O197"/>
  <c r="N197"/>
  <c r="O196"/>
  <c r="N196"/>
  <c r="O195"/>
  <c r="N195"/>
  <c r="O194"/>
  <c r="N194"/>
  <c r="O193"/>
  <c r="N193"/>
  <c r="O192"/>
  <c r="N192"/>
  <c r="O191"/>
  <c r="N191"/>
  <c r="O190"/>
  <c r="N190"/>
  <c r="O189"/>
  <c r="N189"/>
  <c r="O188"/>
  <c r="N188"/>
  <c r="O187"/>
  <c r="N187"/>
  <c r="O186"/>
  <c r="N186"/>
  <c r="O185"/>
  <c r="N185"/>
  <c r="O184"/>
  <c r="N184"/>
  <c r="O183"/>
  <c r="N183"/>
  <c r="O182"/>
  <c r="N182"/>
  <c r="O181"/>
  <c r="N181"/>
  <c r="O180"/>
  <c r="N180"/>
  <c r="O179"/>
  <c r="N179"/>
  <c r="O178"/>
  <c r="N178"/>
  <c r="O177"/>
  <c r="N177"/>
  <c r="O176"/>
  <c r="N176"/>
  <c r="O175"/>
  <c r="N175"/>
  <c r="O174"/>
  <c r="N174"/>
  <c r="O173"/>
  <c r="N173"/>
  <c r="O172"/>
  <c r="N172"/>
  <c r="O171"/>
  <c r="N171"/>
  <c r="O170"/>
  <c r="N170"/>
  <c r="O169"/>
  <c r="N169"/>
  <c r="O168"/>
  <c r="N168"/>
  <c r="O167"/>
  <c r="N167"/>
  <c r="O166"/>
  <c r="N166"/>
  <c r="O165"/>
  <c r="N165"/>
  <c r="O164"/>
  <c r="N164"/>
  <c r="O163"/>
  <c r="N163"/>
  <c r="O162"/>
  <c r="N162"/>
  <c r="O161"/>
  <c r="N161"/>
  <c r="O160"/>
  <c r="N160"/>
  <c r="O159"/>
  <c r="N159"/>
  <c r="O158"/>
  <c r="N158"/>
  <c r="O157"/>
  <c r="N157"/>
  <c r="O156"/>
  <c r="N156"/>
  <c r="O155"/>
  <c r="N155"/>
  <c r="O154"/>
  <c r="N154"/>
  <c r="O153"/>
  <c r="N153"/>
  <c r="O144"/>
  <c r="N144"/>
  <c r="O143"/>
  <c r="CK143" s="1"/>
  <c r="N143"/>
  <c r="BQ143" s="1"/>
  <c r="O142"/>
  <c r="N142"/>
  <c r="O141"/>
  <c r="CK141" s="1"/>
  <c r="N141"/>
  <c r="BQ141" s="1"/>
  <c r="O140"/>
  <c r="N140"/>
  <c r="O139"/>
  <c r="N139"/>
  <c r="O138"/>
  <c r="N138"/>
  <c r="O137"/>
  <c r="N137"/>
  <c r="O136"/>
  <c r="N136"/>
  <c r="O135"/>
  <c r="N135"/>
  <c r="O134"/>
  <c r="N134"/>
  <c r="O133"/>
  <c r="N133"/>
  <c r="O132"/>
  <c r="N132"/>
  <c r="O131"/>
  <c r="N131"/>
  <c r="O130"/>
  <c r="N130"/>
  <c r="O129"/>
  <c r="N129"/>
  <c r="O128"/>
  <c r="CJ128" s="1"/>
  <c r="N128"/>
  <c r="BP128" s="1"/>
  <c r="O127"/>
  <c r="N127"/>
  <c r="O126"/>
  <c r="N126"/>
  <c r="O125"/>
  <c r="N125"/>
  <c r="O124"/>
  <c r="N124"/>
  <c r="O123"/>
  <c r="N123"/>
  <c r="O122"/>
  <c r="N122"/>
  <c r="O121"/>
  <c r="N121"/>
  <c r="O120"/>
  <c r="N120"/>
  <c r="O119"/>
  <c r="N119"/>
  <c r="O118"/>
  <c r="N118"/>
  <c r="O117"/>
  <c r="N117"/>
  <c r="O116"/>
  <c r="N116"/>
  <c r="O115"/>
  <c r="N115"/>
  <c r="O114"/>
  <c r="N114"/>
  <c r="O113"/>
  <c r="N113"/>
  <c r="O112"/>
  <c r="N112"/>
  <c r="O111"/>
  <c r="N111"/>
  <c r="O110"/>
  <c r="N110"/>
  <c r="O109"/>
  <c r="N109"/>
  <c r="O108"/>
  <c r="N108"/>
  <c r="O107"/>
  <c r="N107"/>
  <c r="O106"/>
  <c r="N106"/>
  <c r="O105"/>
  <c r="N105"/>
  <c r="O104"/>
  <c r="N104"/>
  <c r="O103"/>
  <c r="N103"/>
  <c r="O102"/>
  <c r="N102"/>
  <c r="O101"/>
  <c r="N101"/>
  <c r="O100"/>
  <c r="N100"/>
  <c r="O99"/>
  <c r="N99"/>
  <c r="O98"/>
  <c r="N98"/>
  <c r="O97"/>
  <c r="N97"/>
  <c r="O96"/>
  <c r="N96"/>
  <c r="O95"/>
  <c r="N95"/>
  <c r="O94"/>
  <c r="N94"/>
  <c r="O93"/>
  <c r="N93"/>
  <c r="O92"/>
  <c r="N92"/>
  <c r="O91"/>
  <c r="N91"/>
  <c r="O90"/>
  <c r="N90"/>
  <c r="O89"/>
  <c r="N89"/>
  <c r="O79"/>
  <c r="CK79" s="1"/>
  <c r="N79"/>
  <c r="BQ79" s="1"/>
  <c r="O78"/>
  <c r="N78"/>
  <c r="O77"/>
  <c r="N77"/>
  <c r="O76"/>
  <c r="N76"/>
  <c r="O75"/>
  <c r="N75"/>
  <c r="O74"/>
  <c r="CK74" s="1"/>
  <c r="N74"/>
  <c r="BQ74" s="1"/>
  <c r="O73"/>
  <c r="CK73" s="1"/>
  <c r="N73"/>
  <c r="BQ73" s="1"/>
  <c r="O72"/>
  <c r="CK72" s="1"/>
  <c r="N72"/>
  <c r="BQ72" s="1"/>
  <c r="O71"/>
  <c r="CK71" s="1"/>
  <c r="N71"/>
  <c r="BQ71" s="1"/>
  <c r="O70"/>
  <c r="N70"/>
  <c r="O69"/>
  <c r="N69"/>
  <c r="O68"/>
  <c r="N68"/>
  <c r="O67"/>
  <c r="N67"/>
  <c r="O66"/>
  <c r="N66"/>
  <c r="O65"/>
  <c r="N65"/>
  <c r="O64"/>
  <c r="N64"/>
  <c r="O63"/>
  <c r="N63"/>
  <c r="O62"/>
  <c r="N62"/>
  <c r="O61"/>
  <c r="N61"/>
  <c r="O60"/>
  <c r="N60"/>
  <c r="O59"/>
  <c r="N59"/>
  <c r="O58"/>
  <c r="N58"/>
  <c r="O57"/>
  <c r="N57"/>
  <c r="O56"/>
  <c r="N56"/>
  <c r="O55"/>
  <c r="N55"/>
  <c r="O54"/>
  <c r="N54"/>
  <c r="O53"/>
  <c r="N53"/>
  <c r="O52"/>
  <c r="N52"/>
  <c r="O51"/>
  <c r="N51"/>
  <c r="O50"/>
  <c r="N50"/>
  <c r="O49"/>
  <c r="N49"/>
  <c r="O48"/>
  <c r="N48"/>
  <c r="O47"/>
  <c r="N47"/>
  <c r="O46"/>
  <c r="N46"/>
  <c r="O45"/>
  <c r="N45"/>
  <c r="O44"/>
  <c r="N44"/>
  <c r="O43"/>
  <c r="N43"/>
  <c r="O42"/>
  <c r="N42"/>
  <c r="O41"/>
  <c r="N41"/>
  <c r="O40"/>
  <c r="N40"/>
  <c r="O39"/>
  <c r="N39"/>
  <c r="O38"/>
  <c r="N38"/>
  <c r="O37"/>
  <c r="N37"/>
  <c r="O36"/>
  <c r="N36"/>
  <c r="O35"/>
  <c r="N35"/>
  <c r="O34"/>
  <c r="N34"/>
  <c r="O33"/>
  <c r="N33"/>
  <c r="O32"/>
  <c r="N32"/>
  <c r="O31"/>
  <c r="N31"/>
  <c r="O30"/>
  <c r="N30"/>
  <c r="O29"/>
  <c r="N29"/>
  <c r="O28"/>
  <c r="N28"/>
  <c r="O27"/>
  <c r="N27"/>
  <c r="O26"/>
  <c r="N26"/>
  <c r="O25"/>
  <c r="N25"/>
  <c r="O24"/>
  <c r="N24"/>
  <c r="O23"/>
  <c r="N23"/>
  <c r="O22"/>
  <c r="N22"/>
  <c r="O21"/>
  <c r="N21"/>
  <c r="O20"/>
  <c r="N20"/>
  <c r="O19"/>
  <c r="N19"/>
  <c r="O18"/>
  <c r="N18"/>
  <c r="O17"/>
  <c r="N17"/>
  <c r="O16"/>
  <c r="N16"/>
  <c r="O15"/>
  <c r="N15"/>
  <c r="O14"/>
  <c r="N14"/>
  <c r="O13"/>
  <c r="N13"/>
  <c r="O12"/>
  <c r="N12"/>
  <c r="O11"/>
  <c r="N11"/>
  <c r="O10"/>
  <c r="N10"/>
  <c r="O9"/>
  <c r="N9"/>
  <c r="BC306"/>
  <c r="BA306"/>
  <c r="AZ306"/>
  <c r="AY306"/>
  <c r="AX306"/>
  <c r="AS306"/>
  <c r="AR306"/>
  <c r="AQ306"/>
  <c r="AW306"/>
  <c r="AV306"/>
  <c r="AU306"/>
  <c r="AT306"/>
  <c r="AP306"/>
  <c r="AO306"/>
  <c r="AN306"/>
  <c r="AM306"/>
  <c r="AL306"/>
  <c r="BC304"/>
  <c r="BA304"/>
  <c r="AZ304"/>
  <c r="AY304"/>
  <c r="AX304"/>
  <c r="AS304"/>
  <c r="AR304"/>
  <c r="AQ304"/>
  <c r="AW304"/>
  <c r="AV304"/>
  <c r="AU304"/>
  <c r="AT304"/>
  <c r="AP304"/>
  <c r="AO304"/>
  <c r="AN304"/>
  <c r="AM304"/>
  <c r="AL304"/>
  <c r="BC297"/>
  <c r="BA297"/>
  <c r="AZ297"/>
  <c r="AY297"/>
  <c r="AX297"/>
  <c r="AS297"/>
  <c r="AR297"/>
  <c r="AQ297"/>
  <c r="AW297"/>
  <c r="AV297"/>
  <c r="AU297"/>
  <c r="AT297"/>
  <c r="AP297"/>
  <c r="AO297"/>
  <c r="AN297"/>
  <c r="AM297"/>
  <c r="AL297"/>
  <c r="BC259"/>
  <c r="BA259"/>
  <c r="AZ259"/>
  <c r="AY259"/>
  <c r="AX259"/>
  <c r="AS259"/>
  <c r="AR259"/>
  <c r="AQ259"/>
  <c r="AW259"/>
  <c r="AV259"/>
  <c r="AU259"/>
  <c r="AT259"/>
  <c r="AP259"/>
  <c r="AO259"/>
  <c r="AN259"/>
  <c r="AM259"/>
  <c r="AL259"/>
  <c r="BC255"/>
  <c r="BA255"/>
  <c r="AZ255"/>
  <c r="AY255"/>
  <c r="AX255"/>
  <c r="AS255"/>
  <c r="AR255"/>
  <c r="AQ255"/>
  <c r="AW255"/>
  <c r="AV255"/>
  <c r="AU255"/>
  <c r="AT255"/>
  <c r="AP255"/>
  <c r="AO255"/>
  <c r="AN255"/>
  <c r="AM255"/>
  <c r="AL255"/>
  <c r="BC210"/>
  <c r="BA210"/>
  <c r="AZ210"/>
  <c r="AY210"/>
  <c r="AX210"/>
  <c r="AS210"/>
  <c r="AR210"/>
  <c r="AQ210"/>
  <c r="AW210"/>
  <c r="AV210"/>
  <c r="AU210"/>
  <c r="AT210"/>
  <c r="AP210"/>
  <c r="AO210"/>
  <c r="AN210"/>
  <c r="AM210"/>
  <c r="AL210"/>
  <c r="BC151"/>
  <c r="BA151"/>
  <c r="AZ151"/>
  <c r="AY151"/>
  <c r="AX151"/>
  <c r="AS151"/>
  <c r="AR151"/>
  <c r="AQ151"/>
  <c r="AW151"/>
  <c r="AV151"/>
  <c r="AU151"/>
  <c r="AT151"/>
  <c r="AP151"/>
  <c r="AO151"/>
  <c r="AN151"/>
  <c r="AM151"/>
  <c r="AL151"/>
  <c r="BC143"/>
  <c r="BA143"/>
  <c r="AZ143"/>
  <c r="AY143"/>
  <c r="AX143"/>
  <c r="AS143"/>
  <c r="AR143"/>
  <c r="AQ143"/>
  <c r="AW143"/>
  <c r="AV143"/>
  <c r="AU143"/>
  <c r="AT143"/>
  <c r="AP143"/>
  <c r="AO143"/>
  <c r="AN143"/>
  <c r="AM143"/>
  <c r="AL143"/>
  <c r="BC141"/>
  <c r="BA141"/>
  <c r="AZ141"/>
  <c r="AY141"/>
  <c r="AX141"/>
  <c r="AS141"/>
  <c r="AR141"/>
  <c r="AQ141"/>
  <c r="AW141"/>
  <c r="AV141"/>
  <c r="AU141"/>
  <c r="AT141"/>
  <c r="AP141"/>
  <c r="AO141"/>
  <c r="AN141"/>
  <c r="AM141"/>
  <c r="AL141"/>
  <c r="BC128"/>
  <c r="BA128"/>
  <c r="AZ128"/>
  <c r="AY128"/>
  <c r="AX128"/>
  <c r="AS128"/>
  <c r="AR128"/>
  <c r="AQ128"/>
  <c r="AW128"/>
  <c r="AV128"/>
  <c r="AU128"/>
  <c r="AT128"/>
  <c r="AP128"/>
  <c r="AO128"/>
  <c r="AN128"/>
  <c r="AM128"/>
  <c r="AL128"/>
  <c r="BC125"/>
  <c r="BA125"/>
  <c r="AZ125"/>
  <c r="AY125"/>
  <c r="AX125"/>
  <c r="AS125"/>
  <c r="AR125"/>
  <c r="AQ125"/>
  <c r="AW125"/>
  <c r="AU125"/>
  <c r="AT125"/>
  <c r="AP125"/>
  <c r="AO125"/>
  <c r="AN125"/>
  <c r="AM125"/>
  <c r="AL125"/>
  <c r="BC120"/>
  <c r="BA120"/>
  <c r="AZ120"/>
  <c r="AY120"/>
  <c r="AX120"/>
  <c r="AS120"/>
  <c r="AR120"/>
  <c r="AQ120"/>
  <c r="AW120"/>
  <c r="AV120"/>
  <c r="AU120"/>
  <c r="AT120"/>
  <c r="AP120"/>
  <c r="AO120"/>
  <c r="AN120"/>
  <c r="AM120"/>
  <c r="AL120"/>
  <c r="BC109"/>
  <c r="BA109"/>
  <c r="AZ109"/>
  <c r="AY109"/>
  <c r="AX109"/>
  <c r="AS109"/>
  <c r="AR109"/>
  <c r="AQ109"/>
  <c r="AW109"/>
  <c r="AV109"/>
  <c r="AU109"/>
  <c r="AT109"/>
  <c r="AP109"/>
  <c r="AO109"/>
  <c r="AN109"/>
  <c r="AM109"/>
  <c r="AL109"/>
  <c r="BC104"/>
  <c r="BA104"/>
  <c r="AZ104"/>
  <c r="AY104"/>
  <c r="AX104"/>
  <c r="AS104"/>
  <c r="AR104"/>
  <c r="AQ104"/>
  <c r="AW104"/>
  <c r="AV104"/>
  <c r="AU104"/>
  <c r="AT104"/>
  <c r="AP104"/>
  <c r="AO104"/>
  <c r="AN104"/>
  <c r="AM104"/>
  <c r="AL104"/>
  <c r="BC87"/>
  <c r="BA87"/>
  <c r="AZ87"/>
  <c r="AY87"/>
  <c r="AX87"/>
  <c r="AS87"/>
  <c r="AR87"/>
  <c r="AQ87"/>
  <c r="AW87"/>
  <c r="AV87"/>
  <c r="AU87"/>
  <c r="AT87"/>
  <c r="AP87"/>
  <c r="AO87"/>
  <c r="AN87"/>
  <c r="AM87"/>
  <c r="AL87"/>
  <c r="BC79"/>
  <c r="BA79"/>
  <c r="AZ79"/>
  <c r="AY79"/>
  <c r="AX79"/>
  <c r="AS79"/>
  <c r="AR79"/>
  <c r="AQ79"/>
  <c r="AW79"/>
  <c r="AV79"/>
  <c r="AU79"/>
  <c r="AT79"/>
  <c r="AP79"/>
  <c r="AO79"/>
  <c r="AN79"/>
  <c r="AM79"/>
  <c r="AL79"/>
  <c r="BC74"/>
  <c r="BA74"/>
  <c r="AZ74"/>
  <c r="AY74"/>
  <c r="AX74"/>
  <c r="AS74"/>
  <c r="AR74"/>
  <c r="AQ74"/>
  <c r="AW74"/>
  <c r="AV74"/>
  <c r="AU74"/>
  <c r="AT74"/>
  <c r="AP74"/>
  <c r="AO74"/>
  <c r="AN74"/>
  <c r="AM74"/>
  <c r="AL74"/>
  <c r="BC73"/>
  <c r="BA73"/>
  <c r="AZ73"/>
  <c r="AY73"/>
  <c r="AX73"/>
  <c r="AS73"/>
  <c r="AR73"/>
  <c r="AQ73"/>
  <c r="AW73"/>
  <c r="AV73"/>
  <c r="AU73"/>
  <c r="AT73"/>
  <c r="AP73"/>
  <c r="AO73"/>
  <c r="AN73"/>
  <c r="AM73"/>
  <c r="AL73"/>
  <c r="BC72"/>
  <c r="BA72"/>
  <c r="AZ72"/>
  <c r="AY72"/>
  <c r="AX72"/>
  <c r="AS72"/>
  <c r="AR72"/>
  <c r="AQ72"/>
  <c r="AW72"/>
  <c r="AV72"/>
  <c r="AU72"/>
  <c r="AT72"/>
  <c r="AP72"/>
  <c r="AO72"/>
  <c r="AN72"/>
  <c r="AM72"/>
  <c r="AL72"/>
  <c r="BC71"/>
  <c r="BA71"/>
  <c r="AZ71"/>
  <c r="AY71"/>
  <c r="AX71"/>
  <c r="AS71"/>
  <c r="AR71"/>
  <c r="AQ71"/>
  <c r="AW71"/>
  <c r="AV71"/>
  <c r="AU71"/>
  <c r="AT71"/>
  <c r="AP71"/>
  <c r="AO71"/>
  <c r="AN71"/>
  <c r="AM71"/>
  <c r="AL71"/>
  <c r="BC57"/>
  <c r="BA57"/>
  <c r="AZ57"/>
  <c r="AY57"/>
  <c r="AX57"/>
  <c r="AS57"/>
  <c r="AR57"/>
  <c r="AQ57"/>
  <c r="AW57"/>
  <c r="AV57"/>
  <c r="AU57"/>
  <c r="AT57"/>
  <c r="AP57"/>
  <c r="AO57"/>
  <c r="AN57"/>
  <c r="AM57"/>
  <c r="AL57"/>
  <c r="BC50"/>
  <c r="BA50"/>
  <c r="AZ50"/>
  <c r="AY50"/>
  <c r="AX50"/>
  <c r="AS50"/>
  <c r="AR50"/>
  <c r="AQ50"/>
  <c r="AW50"/>
  <c r="AV50"/>
  <c r="AU50"/>
  <c r="AT50"/>
  <c r="AP50"/>
  <c r="AO50"/>
  <c r="AN50"/>
  <c r="AM50"/>
  <c r="AL50"/>
  <c r="BC44"/>
  <c r="BA44"/>
  <c r="AZ44"/>
  <c r="AY44"/>
  <c r="AX44"/>
  <c r="AS44"/>
  <c r="AR44"/>
  <c r="AQ44"/>
  <c r="AW44"/>
  <c r="AV44"/>
  <c r="AU44"/>
  <c r="AT44"/>
  <c r="AP44"/>
  <c r="AO44"/>
  <c r="AN44"/>
  <c r="AM44"/>
  <c r="AL44"/>
  <c r="BC30"/>
  <c r="BA30"/>
  <c r="AZ30"/>
  <c r="AY30"/>
  <c r="AX30"/>
  <c r="AS30"/>
  <c r="AR30"/>
  <c r="AQ30"/>
  <c r="AW30"/>
  <c r="AV30"/>
  <c r="AU30"/>
  <c r="AT30"/>
  <c r="AP30"/>
  <c r="AO30"/>
  <c r="AN30"/>
  <c r="AM30"/>
  <c r="AL30"/>
  <c r="BU3"/>
  <c r="BI3"/>
  <c r="BH3"/>
  <c r="BG3"/>
  <c r="BF3"/>
  <c r="BA3"/>
  <c r="AO3"/>
  <c r="AN3"/>
  <c r="AM3"/>
  <c r="AL3"/>
  <c r="AI306"/>
  <c r="AG306"/>
  <c r="AF306"/>
  <c r="AE306"/>
  <c r="AD306"/>
  <c r="Y306"/>
  <c r="X306"/>
  <c r="W306"/>
  <c r="AC306"/>
  <c r="AB306"/>
  <c r="AA306"/>
  <c r="Z306"/>
  <c r="V306"/>
  <c r="U306"/>
  <c r="T306"/>
  <c r="S306"/>
  <c r="R306"/>
  <c r="AI304"/>
  <c r="AG304"/>
  <c r="AF304"/>
  <c r="AE304"/>
  <c r="AD304"/>
  <c r="Y304"/>
  <c r="X304"/>
  <c r="W304"/>
  <c r="AC304"/>
  <c r="AB304"/>
  <c r="AA304"/>
  <c r="Z304"/>
  <c r="V304"/>
  <c r="U304"/>
  <c r="T304"/>
  <c r="S304"/>
  <c r="R304"/>
  <c r="AI297"/>
  <c r="AG297"/>
  <c r="AF297"/>
  <c r="AE297"/>
  <c r="AD297"/>
  <c r="Y297"/>
  <c r="X297"/>
  <c r="W297"/>
  <c r="AC297"/>
  <c r="AB297"/>
  <c r="AA297"/>
  <c r="Z297"/>
  <c r="V297"/>
  <c r="U297"/>
  <c r="T297"/>
  <c r="S297"/>
  <c r="R297"/>
  <c r="AI259"/>
  <c r="AG259"/>
  <c r="AF259"/>
  <c r="AE259"/>
  <c r="AD259"/>
  <c r="Y259"/>
  <c r="X259"/>
  <c r="W259"/>
  <c r="AC259"/>
  <c r="AB259"/>
  <c r="AA259"/>
  <c r="Z259"/>
  <c r="V259"/>
  <c r="U259"/>
  <c r="T259"/>
  <c r="S259"/>
  <c r="R259"/>
  <c r="AI255"/>
  <c r="AG255"/>
  <c r="AF255"/>
  <c r="AE255"/>
  <c r="AD255"/>
  <c r="Y255"/>
  <c r="X255"/>
  <c r="W255"/>
  <c r="AC255"/>
  <c r="AB255"/>
  <c r="AA255"/>
  <c r="Z255"/>
  <c r="V255"/>
  <c r="U255"/>
  <c r="T255"/>
  <c r="S255"/>
  <c r="R255"/>
  <c r="AI210"/>
  <c r="AG210"/>
  <c r="AF210"/>
  <c r="AE210"/>
  <c r="AD210"/>
  <c r="Y210"/>
  <c r="X210"/>
  <c r="W210"/>
  <c r="AC210"/>
  <c r="AB210"/>
  <c r="AA210"/>
  <c r="Z210"/>
  <c r="V210"/>
  <c r="U210"/>
  <c r="T210"/>
  <c r="S210"/>
  <c r="R210"/>
  <c r="AI151"/>
  <c r="AG151"/>
  <c r="AF151"/>
  <c r="AE151"/>
  <c r="AD151"/>
  <c r="Y151"/>
  <c r="X151"/>
  <c r="W151"/>
  <c r="AC151"/>
  <c r="AB151"/>
  <c r="AA151"/>
  <c r="Z151"/>
  <c r="V151"/>
  <c r="U151"/>
  <c r="T151"/>
  <c r="S151"/>
  <c r="R151"/>
  <c r="AI143"/>
  <c r="AG143"/>
  <c r="AF143"/>
  <c r="AE143"/>
  <c r="AD143"/>
  <c r="Y143"/>
  <c r="X143"/>
  <c r="W143"/>
  <c r="AC143"/>
  <c r="AB143"/>
  <c r="AA143"/>
  <c r="Z143"/>
  <c r="V143"/>
  <c r="U143"/>
  <c r="T143"/>
  <c r="S143"/>
  <c r="R143"/>
  <c r="AI141"/>
  <c r="AG141"/>
  <c r="AF141"/>
  <c r="AE141"/>
  <c r="AD141"/>
  <c r="Y141"/>
  <c r="X141"/>
  <c r="W141"/>
  <c r="AC141"/>
  <c r="AB141"/>
  <c r="AA141"/>
  <c r="Z141"/>
  <c r="V141"/>
  <c r="U141"/>
  <c r="T141"/>
  <c r="S141"/>
  <c r="R141"/>
  <c r="AI128"/>
  <c r="AG128"/>
  <c r="AF128"/>
  <c r="AE128"/>
  <c r="AD128"/>
  <c r="Y128"/>
  <c r="X128"/>
  <c r="W128"/>
  <c r="AC128"/>
  <c r="AB128"/>
  <c r="AA128"/>
  <c r="Z128"/>
  <c r="V128"/>
  <c r="U128"/>
  <c r="T128"/>
  <c r="S128"/>
  <c r="R128"/>
  <c r="AI125"/>
  <c r="AG125"/>
  <c r="AF125"/>
  <c r="AE125"/>
  <c r="AD125"/>
  <c r="Y125"/>
  <c r="X125"/>
  <c r="W125"/>
  <c r="AC125"/>
  <c r="AB125"/>
  <c r="AA125"/>
  <c r="Z125"/>
  <c r="V125"/>
  <c r="U125"/>
  <c r="T125"/>
  <c r="S125"/>
  <c r="R125"/>
  <c r="AI120"/>
  <c r="AG120"/>
  <c r="AF120"/>
  <c r="AE120"/>
  <c r="AD120"/>
  <c r="Y120"/>
  <c r="X120"/>
  <c r="W120"/>
  <c r="AC120"/>
  <c r="AB120"/>
  <c r="AA120"/>
  <c r="Z120"/>
  <c r="V120"/>
  <c r="U120"/>
  <c r="T120"/>
  <c r="S120"/>
  <c r="R120"/>
  <c r="AI109"/>
  <c r="AG109"/>
  <c r="AF109"/>
  <c r="AE109"/>
  <c r="AD109"/>
  <c r="Y109"/>
  <c r="X109"/>
  <c r="W109"/>
  <c r="AC109"/>
  <c r="AB109"/>
  <c r="AA109"/>
  <c r="Z109"/>
  <c r="V109"/>
  <c r="U109"/>
  <c r="T109"/>
  <c r="S109"/>
  <c r="R109"/>
  <c r="AI104"/>
  <c r="AG104"/>
  <c r="AF104"/>
  <c r="AE104"/>
  <c r="AD104"/>
  <c r="Y104"/>
  <c r="X104"/>
  <c r="W104"/>
  <c r="AC104"/>
  <c r="AB104"/>
  <c r="AA104"/>
  <c r="Z104"/>
  <c r="V104"/>
  <c r="U104"/>
  <c r="T104"/>
  <c r="S104"/>
  <c r="R104"/>
  <c r="AI87"/>
  <c r="AG87"/>
  <c r="AF87"/>
  <c r="AE87"/>
  <c r="AD87"/>
  <c r="Y87"/>
  <c r="X87"/>
  <c r="W87"/>
  <c r="AC87"/>
  <c r="AB87"/>
  <c r="AA87"/>
  <c r="Z87"/>
  <c r="V87"/>
  <c r="U87"/>
  <c r="T87"/>
  <c r="S87"/>
  <c r="R87"/>
  <c r="AI79"/>
  <c r="AG79"/>
  <c r="AF79"/>
  <c r="AE79"/>
  <c r="AD79"/>
  <c r="Y79"/>
  <c r="X79"/>
  <c r="W79"/>
  <c r="AC79"/>
  <c r="AB79"/>
  <c r="AA79"/>
  <c r="Z79"/>
  <c r="V79"/>
  <c r="U79"/>
  <c r="T79"/>
  <c r="S79"/>
  <c r="R79"/>
  <c r="AI74"/>
  <c r="AG74"/>
  <c r="AF74"/>
  <c r="AE74"/>
  <c r="AD74"/>
  <c r="Y74"/>
  <c r="X74"/>
  <c r="W74"/>
  <c r="AC74"/>
  <c r="AB74"/>
  <c r="AA74"/>
  <c r="Z74"/>
  <c r="V74"/>
  <c r="U74"/>
  <c r="T74"/>
  <c r="S74"/>
  <c r="R74"/>
  <c r="AI73"/>
  <c r="AG73"/>
  <c r="AF73"/>
  <c r="AE73"/>
  <c r="AD73"/>
  <c r="Y73"/>
  <c r="X73"/>
  <c r="W73"/>
  <c r="AC73"/>
  <c r="AB73"/>
  <c r="AA73"/>
  <c r="Z73"/>
  <c r="V73"/>
  <c r="U73"/>
  <c r="T73"/>
  <c r="S73"/>
  <c r="R73"/>
  <c r="AI72"/>
  <c r="AG72"/>
  <c r="AF72"/>
  <c r="AE72"/>
  <c r="AD72"/>
  <c r="Y72"/>
  <c r="X72"/>
  <c r="W72"/>
  <c r="AC72"/>
  <c r="AB72"/>
  <c r="AA72"/>
  <c r="Z72"/>
  <c r="V72"/>
  <c r="U72"/>
  <c r="T72"/>
  <c r="S72"/>
  <c r="R72"/>
  <c r="AI71"/>
  <c r="AG71"/>
  <c r="AF71"/>
  <c r="AE71"/>
  <c r="AD71"/>
  <c r="Y71"/>
  <c r="X71"/>
  <c r="W71"/>
  <c r="AC71"/>
  <c r="AB71"/>
  <c r="AA71"/>
  <c r="Z71"/>
  <c r="V71"/>
  <c r="U71"/>
  <c r="T71"/>
  <c r="S71"/>
  <c r="R71"/>
  <c r="AI57"/>
  <c r="AG57"/>
  <c r="AF57"/>
  <c r="AE57"/>
  <c r="AD57"/>
  <c r="Y57"/>
  <c r="X57"/>
  <c r="W57"/>
  <c r="AC57"/>
  <c r="AB57"/>
  <c r="AA57"/>
  <c r="Z57"/>
  <c r="V57"/>
  <c r="U57"/>
  <c r="T57"/>
  <c r="S57"/>
  <c r="R57"/>
  <c r="AI50"/>
  <c r="AG50"/>
  <c r="AF50"/>
  <c r="AE50"/>
  <c r="AD50"/>
  <c r="Y50"/>
  <c r="X50"/>
  <c r="W50"/>
  <c r="AC50"/>
  <c r="AB50"/>
  <c r="AA50"/>
  <c r="Z50"/>
  <c r="V50"/>
  <c r="U50"/>
  <c r="T50"/>
  <c r="S50"/>
  <c r="R50"/>
  <c r="AI44"/>
  <c r="AG44"/>
  <c r="AF44"/>
  <c r="AE44"/>
  <c r="AD44"/>
  <c r="Y44"/>
  <c r="X44"/>
  <c r="W44"/>
  <c r="AC44"/>
  <c r="AB44"/>
  <c r="AA44"/>
  <c r="Z44"/>
  <c r="V44"/>
  <c r="U44"/>
  <c r="T44"/>
  <c r="S44"/>
  <c r="R44"/>
  <c r="AI30"/>
  <c r="AG30"/>
  <c r="AF30"/>
  <c r="AE30"/>
  <c r="AD30"/>
  <c r="Y30"/>
  <c r="X30"/>
  <c r="W30"/>
  <c r="AC30"/>
  <c r="AB30"/>
  <c r="AA30"/>
  <c r="Z30"/>
  <c r="V30"/>
  <c r="U30"/>
  <c r="T30"/>
  <c r="S30"/>
  <c r="R30"/>
  <c r="M309"/>
  <c r="K309"/>
  <c r="J214"/>
  <c r="AH214" s="1"/>
  <c r="J201"/>
  <c r="CH201" s="1"/>
  <c r="J200"/>
  <c r="AH200" s="1"/>
  <c r="J186"/>
  <c r="CQ186" s="1"/>
  <c r="J179"/>
  <c r="AH179" s="1"/>
  <c r="J29"/>
  <c r="BK29" s="1"/>
  <c r="J28"/>
  <c r="AH28" s="1"/>
  <c r="J27"/>
  <c r="CF27" s="1"/>
  <c r="J26"/>
  <c r="AH26" s="1"/>
  <c r="J9"/>
  <c r="BM9" s="1"/>
  <c r="J10"/>
  <c r="AH10" s="1"/>
  <c r="J11"/>
  <c r="BH11" s="1"/>
  <c r="J12"/>
  <c r="AH12" s="1"/>
  <c r="J13"/>
  <c r="BV13" s="1"/>
  <c r="J14"/>
  <c r="AH14" s="1"/>
  <c r="J15"/>
  <c r="CL15" s="1"/>
  <c r="J16"/>
  <c r="AH16" s="1"/>
  <c r="J17"/>
  <c r="BU17" s="1"/>
  <c r="J18"/>
  <c r="AH18" s="1"/>
  <c r="J19"/>
  <c r="BI19" s="1"/>
  <c r="J20"/>
  <c r="AH20" s="1"/>
  <c r="J21"/>
  <c r="CN21" s="1"/>
  <c r="J22"/>
  <c r="AH22" s="1"/>
  <c r="J23"/>
  <c r="BC23" s="1"/>
  <c r="J24"/>
  <c r="AH24" s="1"/>
  <c r="J31"/>
  <c r="CB31" s="1"/>
  <c r="J32"/>
  <c r="AH32" s="1"/>
  <c r="J33"/>
  <c r="CM33" s="1"/>
  <c r="J34"/>
  <c r="AH34" s="1"/>
  <c r="J35"/>
  <c r="CH35" s="1"/>
  <c r="J36"/>
  <c r="AH36" s="1"/>
  <c r="J37"/>
  <c r="CF37" s="1"/>
  <c r="J38"/>
  <c r="AH38" s="1"/>
  <c r="J39"/>
  <c r="CB39" s="1"/>
  <c r="J40"/>
  <c r="AH40" s="1"/>
  <c r="J41"/>
  <c r="CM41" s="1"/>
  <c r="J42"/>
  <c r="AH42" s="1"/>
  <c r="J43"/>
  <c r="CH43" s="1"/>
  <c r="J45"/>
  <c r="AH45" s="1"/>
  <c r="J46"/>
  <c r="CN46" s="1"/>
  <c r="J47"/>
  <c r="AH47" s="1"/>
  <c r="J48"/>
  <c r="CI48" s="1"/>
  <c r="J49"/>
  <c r="AH49" s="1"/>
  <c r="J51"/>
  <c r="CQ51" s="1"/>
  <c r="J52"/>
  <c r="AH52" s="1"/>
  <c r="J53"/>
  <c r="CE53" s="1"/>
  <c r="J54"/>
  <c r="AH54" s="1"/>
  <c r="J55"/>
  <c r="CA55" s="1"/>
  <c r="J56"/>
  <c r="AH56" s="1"/>
  <c r="J58"/>
  <c r="BL58" s="1"/>
  <c r="J59"/>
  <c r="AH59" s="1"/>
  <c r="J60"/>
  <c r="BH60" s="1"/>
  <c r="J61"/>
  <c r="AH61" s="1"/>
  <c r="J65"/>
  <c r="BS65" s="1"/>
  <c r="J68"/>
  <c r="AH68" s="1"/>
  <c r="J69"/>
  <c r="BZ69" s="1"/>
  <c r="J70"/>
  <c r="AH70" s="1"/>
  <c r="J75"/>
  <c r="AZ75" s="1"/>
  <c r="J76"/>
  <c r="AH76" s="1"/>
  <c r="J77"/>
  <c r="CC77" s="1"/>
  <c r="J78"/>
  <c r="AH78" s="1"/>
  <c r="J88"/>
  <c r="CG88" s="1"/>
  <c r="J89"/>
  <c r="AH89" s="1"/>
  <c r="J90"/>
  <c r="CO90" s="1"/>
  <c r="J91"/>
  <c r="AH91" s="1"/>
  <c r="J92"/>
  <c r="CG92" s="1"/>
  <c r="J93"/>
  <c r="AH93" s="1"/>
  <c r="J94"/>
  <c r="CO94" s="1"/>
  <c r="J95"/>
  <c r="AH95" s="1"/>
  <c r="J96"/>
  <c r="CG96" s="1"/>
  <c r="J97"/>
  <c r="AH97" s="1"/>
  <c r="J98"/>
  <c r="CO98" s="1"/>
  <c r="J99"/>
  <c r="AH99" s="1"/>
  <c r="J100"/>
  <c r="CG100" s="1"/>
  <c r="J101"/>
  <c r="AH101" s="1"/>
  <c r="J102"/>
  <c r="CO102" s="1"/>
  <c r="J103"/>
  <c r="AH103" s="1"/>
  <c r="J105"/>
  <c r="CG105" s="1"/>
  <c r="J106"/>
  <c r="AH106" s="1"/>
  <c r="J107"/>
  <c r="CM107" s="1"/>
  <c r="J108"/>
  <c r="AH108" s="1"/>
  <c r="J110"/>
  <c r="CM110" s="1"/>
  <c r="J111"/>
  <c r="AH111" s="1"/>
  <c r="J112"/>
  <c r="CM112" s="1"/>
  <c r="J113"/>
  <c r="AH113" s="1"/>
  <c r="J114"/>
  <c r="CM114" s="1"/>
  <c r="J117"/>
  <c r="AH117" s="1"/>
  <c r="J118"/>
  <c r="CM118" s="1"/>
  <c r="J119"/>
  <c r="AH119" s="1"/>
  <c r="J121"/>
  <c r="CM121" s="1"/>
  <c r="J122"/>
  <c r="AH122" s="1"/>
  <c r="J123"/>
  <c r="CM123" s="1"/>
  <c r="J124"/>
  <c r="AH124" s="1"/>
  <c r="J126"/>
  <c r="CM126" s="1"/>
  <c r="J127"/>
  <c r="AH127" s="1"/>
  <c r="J129"/>
  <c r="CM129" s="1"/>
  <c r="J130"/>
  <c r="AH130" s="1"/>
  <c r="J132"/>
  <c r="CM132" s="1"/>
  <c r="J133"/>
  <c r="AH133" s="1"/>
  <c r="J134"/>
  <c r="CM134" s="1"/>
  <c r="J135"/>
  <c r="AH135" s="1"/>
  <c r="J137"/>
  <c r="CM137" s="1"/>
  <c r="J138"/>
  <c r="AH138" s="1"/>
  <c r="J139"/>
  <c r="CM139" s="1"/>
  <c r="J140"/>
  <c r="AH140" s="1"/>
  <c r="J142"/>
  <c r="CM142" s="1"/>
  <c r="J144"/>
  <c r="AH144" s="1"/>
  <c r="BW152"/>
  <c r="J153"/>
  <c r="AH153" s="1"/>
  <c r="J154"/>
  <c r="BP154" s="1"/>
  <c r="J155"/>
  <c r="AH155" s="1"/>
  <c r="J156"/>
  <c r="BK156" s="1"/>
  <c r="J157"/>
  <c r="AH157" s="1"/>
  <c r="J158"/>
  <c r="BP158" s="1"/>
  <c r="J159"/>
  <c r="AH159" s="1"/>
  <c r="J160"/>
  <c r="BK160" s="1"/>
  <c r="J161"/>
  <c r="AH161" s="1"/>
  <c r="J162"/>
  <c r="BP162" s="1"/>
  <c r="J164"/>
  <c r="AH164" s="1"/>
  <c r="J165"/>
  <c r="CM165" s="1"/>
  <c r="J166"/>
  <c r="AH166" s="1"/>
  <c r="J167"/>
  <c r="CE167" s="1"/>
  <c r="J168"/>
  <c r="AH168" s="1"/>
  <c r="J169"/>
  <c r="CH169" s="1"/>
  <c r="J170"/>
  <c r="AH170" s="1"/>
  <c r="J171"/>
  <c r="CQ171" s="1"/>
  <c r="J172"/>
  <c r="AH172" s="1"/>
  <c r="J173"/>
  <c r="CM173" s="1"/>
  <c r="J174"/>
  <c r="AH174" s="1"/>
  <c r="J175"/>
  <c r="CE175" s="1"/>
  <c r="J176"/>
  <c r="AH176" s="1"/>
  <c r="J177"/>
  <c r="CH177" s="1"/>
  <c r="J178"/>
  <c r="AH178" s="1"/>
  <c r="J180"/>
  <c r="CQ180" s="1"/>
  <c r="J181"/>
  <c r="AH181" s="1"/>
  <c r="J182"/>
  <c r="CM182" s="1"/>
  <c r="J183"/>
  <c r="AH183" s="1"/>
  <c r="J184"/>
  <c r="CE184" s="1"/>
  <c r="J185"/>
  <c r="AH185" s="1"/>
  <c r="J187"/>
  <c r="CH187" s="1"/>
  <c r="J188"/>
  <c r="AH188" s="1"/>
  <c r="J190"/>
  <c r="CQ190" s="1"/>
  <c r="J191"/>
  <c r="AH191" s="1"/>
  <c r="J192"/>
  <c r="CM192" s="1"/>
  <c r="J193"/>
  <c r="AH193" s="1"/>
  <c r="J194"/>
  <c r="CE194" s="1"/>
  <c r="J195"/>
  <c r="AH195" s="1"/>
  <c r="J196"/>
  <c r="CH196" s="1"/>
  <c r="J197"/>
  <c r="AH197" s="1"/>
  <c r="J198"/>
  <c r="CQ198" s="1"/>
  <c r="J199"/>
  <c r="AH199" s="1"/>
  <c r="J202"/>
  <c r="CM202" s="1"/>
  <c r="J204"/>
  <c r="AH204" s="1"/>
  <c r="J205"/>
  <c r="CE205" s="1"/>
  <c r="J206"/>
  <c r="AH206" s="1"/>
  <c r="J207"/>
  <c r="CH207" s="1"/>
  <c r="J208"/>
  <c r="AH208" s="1"/>
  <c r="J211"/>
  <c r="CQ211" s="1"/>
  <c r="J212"/>
  <c r="AH212" s="1"/>
  <c r="J213"/>
  <c r="CM213" s="1"/>
  <c r="J215"/>
  <c r="AH215" s="1"/>
  <c r="J216"/>
  <c r="CE216" s="1"/>
  <c r="J217"/>
  <c r="AH217" s="1"/>
  <c r="J218"/>
  <c r="CH218" s="1"/>
  <c r="J220"/>
  <c r="AH220" s="1"/>
  <c r="J221"/>
  <c r="CQ221" s="1"/>
  <c r="J222"/>
  <c r="AH222" s="1"/>
  <c r="J223"/>
  <c r="CM223" s="1"/>
  <c r="J224"/>
  <c r="AH224" s="1"/>
  <c r="J225"/>
  <c r="CE225" s="1"/>
  <c r="BW226"/>
  <c r="J227"/>
  <c r="CH227" s="1"/>
  <c r="J228"/>
  <c r="AH228" s="1"/>
  <c r="J229"/>
  <c r="CQ229" s="1"/>
  <c r="J230"/>
  <c r="AH230" s="1"/>
  <c r="J231"/>
  <c r="CM231" s="1"/>
  <c r="J232"/>
  <c r="AH232" s="1"/>
  <c r="J233"/>
  <c r="CE233" s="1"/>
  <c r="J234"/>
  <c r="AH234" s="1"/>
  <c r="J235"/>
  <c r="CH235" s="1"/>
  <c r="J236"/>
  <c r="AH236" s="1"/>
  <c r="J237"/>
  <c r="CQ237" s="1"/>
  <c r="BW238"/>
  <c r="J239"/>
  <c r="CM239" s="1"/>
  <c r="J240"/>
  <c r="AH240" s="1"/>
  <c r="J241"/>
  <c r="CE241" s="1"/>
  <c r="J242"/>
  <c r="AH242" s="1"/>
  <c r="J243"/>
  <c r="CH243" s="1"/>
  <c r="J245"/>
  <c r="AH245" s="1"/>
  <c r="J247"/>
  <c r="CQ247" s="1"/>
  <c r="J248"/>
  <c r="AH248" s="1"/>
  <c r="J249"/>
  <c r="CM249" s="1"/>
  <c r="J250"/>
  <c r="AH250" s="1"/>
  <c r="J251"/>
  <c r="CE251" s="1"/>
  <c r="J252"/>
  <c r="AH252" s="1"/>
  <c r="J253"/>
  <c r="CH253" s="1"/>
  <c r="J254"/>
  <c r="AH254" s="1"/>
  <c r="J256"/>
  <c r="CQ256" s="1"/>
  <c r="J257"/>
  <c r="AH257" s="1"/>
  <c r="J258"/>
  <c r="CM258" s="1"/>
  <c r="J260"/>
  <c r="AH260" s="1"/>
  <c r="J261"/>
  <c r="CE261" s="1"/>
  <c r="J262"/>
  <c r="AH262" s="1"/>
  <c r="J263"/>
  <c r="CH263" s="1"/>
  <c r="J264"/>
  <c r="AH264" s="1"/>
  <c r="J265"/>
  <c r="CQ265" s="1"/>
  <c r="J266"/>
  <c r="AH266" s="1"/>
  <c r="J267"/>
  <c r="CE267" s="1"/>
  <c r="J268"/>
  <c r="AH268" s="1"/>
  <c r="J269"/>
  <c r="CQ269" s="1"/>
  <c r="J270"/>
  <c r="AH270" s="1"/>
  <c r="J271"/>
  <c r="CE271" s="1"/>
  <c r="J272"/>
  <c r="AH272" s="1"/>
  <c r="J273"/>
  <c r="CQ273" s="1"/>
  <c r="J274"/>
  <c r="AH274" s="1"/>
  <c r="J275"/>
  <c r="CE275" s="1"/>
  <c r="J276"/>
  <c r="AH276" s="1"/>
  <c r="J277"/>
  <c r="CQ277" s="1"/>
  <c r="J278"/>
  <c r="AH278" s="1"/>
  <c r="J279"/>
  <c r="CE279" s="1"/>
  <c r="J280"/>
  <c r="AH280" s="1"/>
  <c r="J281"/>
  <c r="CQ281" s="1"/>
  <c r="J282"/>
  <c r="AH282" s="1"/>
  <c r="J283"/>
  <c r="CP283" s="1"/>
  <c r="J284"/>
  <c r="AH284" s="1"/>
  <c r="J285"/>
  <c r="CQ285" s="1"/>
  <c r="J286"/>
  <c r="AH286" s="1"/>
  <c r="J287"/>
  <c r="CN287" s="1"/>
  <c r="J288"/>
  <c r="AH288" s="1"/>
  <c r="J289"/>
  <c r="CI289" s="1"/>
  <c r="J290"/>
  <c r="AH290" s="1"/>
  <c r="J291"/>
  <c r="CM291" s="1"/>
  <c r="J292"/>
  <c r="AH292" s="1"/>
  <c r="J293"/>
  <c r="CH293" s="1"/>
  <c r="J294"/>
  <c r="AH294" s="1"/>
  <c r="J295"/>
  <c r="CN295" s="1"/>
  <c r="J296"/>
  <c r="AH296" s="1"/>
  <c r="J298"/>
  <c r="CI298" s="1"/>
  <c r="J300"/>
  <c r="AH300" s="1"/>
  <c r="J301"/>
  <c r="CM301" s="1"/>
  <c r="J302"/>
  <c r="AH302" s="1"/>
  <c r="J303"/>
  <c r="CH303" s="1"/>
  <c r="J305"/>
  <c r="AH305" s="1"/>
  <c r="J307"/>
  <c r="CN307" s="1"/>
  <c r="J308"/>
  <c r="AH308" s="1"/>
  <c r="J309"/>
  <c r="CF309" s="1"/>
  <c r="J310"/>
  <c r="AH310" s="1"/>
  <c r="J311"/>
  <c r="CQ311" s="1"/>
  <c r="K71" i="3"/>
  <c r="K13" i="12" s="1"/>
  <c r="AI67" i="3"/>
  <c r="AH67"/>
  <c r="AJ67"/>
  <c r="I158" i="9"/>
  <c r="I157" s="1"/>
  <c r="L158"/>
  <c r="L157" s="1"/>
  <c r="R158"/>
  <c r="R157" s="1"/>
  <c r="P158"/>
  <c r="P157" s="1"/>
  <c r="U158"/>
  <c r="U157" s="1"/>
  <c r="W158"/>
  <c r="W157" s="1"/>
  <c r="T158"/>
  <c r="T157" s="1"/>
  <c r="O158"/>
  <c r="O157" s="1"/>
  <c r="X158"/>
  <c r="X157" s="1"/>
  <c r="Z158"/>
  <c r="Z157" s="1"/>
  <c r="AB158"/>
  <c r="AB157" s="1"/>
  <c r="AD158"/>
  <c r="AD157" s="1"/>
  <c r="AF158"/>
  <c r="AF157" s="1"/>
  <c r="AH158"/>
  <c r="AH157" s="1"/>
  <c r="AJ158"/>
  <c r="AJ157" s="1"/>
  <c r="AL158"/>
  <c r="AL157" s="1"/>
  <c r="AO158"/>
  <c r="AO157" s="1"/>
  <c r="AQ158"/>
  <c r="AQ157" s="1"/>
  <c r="AS158"/>
  <c r="AS157" s="1"/>
  <c r="AU158"/>
  <c r="AU157" s="1"/>
  <c r="AW158"/>
  <c r="AW157" s="1"/>
  <c r="AY158"/>
  <c r="AY157" s="1"/>
  <c r="BA158"/>
  <c r="BA157" s="1"/>
  <c r="BC158"/>
  <c r="BC157" s="1"/>
  <c r="BE158"/>
  <c r="BE157" s="1"/>
  <c r="BG158"/>
  <c r="BG157" s="1"/>
  <c r="BI158"/>
  <c r="BI157" s="1"/>
  <c r="H158"/>
  <c r="H157" s="1"/>
  <c r="K158"/>
  <c r="K157" s="1"/>
  <c r="M158"/>
  <c r="M157" s="1"/>
  <c r="J158"/>
  <c r="J157" s="1"/>
  <c r="Q158"/>
  <c r="Q157" s="1"/>
  <c r="V158"/>
  <c r="V157" s="1"/>
  <c r="S158"/>
  <c r="S157" s="1"/>
  <c r="N158"/>
  <c r="N157" s="1"/>
  <c r="Y158"/>
  <c r="Y157" s="1"/>
  <c r="AA158"/>
  <c r="AA157" s="1"/>
  <c r="AC158"/>
  <c r="AC157" s="1"/>
  <c r="AE158"/>
  <c r="AE157" s="1"/>
  <c r="AG158"/>
  <c r="AG157" s="1"/>
  <c r="AI158"/>
  <c r="AI157" s="1"/>
  <c r="AK158"/>
  <c r="AK157" s="1"/>
  <c r="AM158"/>
  <c r="AM157" s="1"/>
  <c r="AN158"/>
  <c r="AN157" s="1"/>
  <c r="AP158"/>
  <c r="AP157" s="1"/>
  <c r="AR158"/>
  <c r="AR157" s="1"/>
  <c r="AT158"/>
  <c r="AT157" s="1"/>
  <c r="AV158"/>
  <c r="AV157" s="1"/>
  <c r="AX158"/>
  <c r="AX157" s="1"/>
  <c r="AZ158"/>
  <c r="AZ157" s="1"/>
  <c r="BB158"/>
  <c r="BB157" s="1"/>
  <c r="BD158"/>
  <c r="BD157" s="1"/>
  <c r="BF158"/>
  <c r="BF157" s="1"/>
  <c r="BH158"/>
  <c r="BH157" s="1"/>
  <c r="CP78" i="30"/>
  <c r="CN78"/>
  <c r="CL78"/>
  <c r="CF78"/>
  <c r="CK78"/>
  <c r="CI78"/>
  <c r="CD78"/>
  <c r="CB78"/>
  <c r="BZ78"/>
  <c r="CQ78"/>
  <c r="CO78"/>
  <c r="CM78"/>
  <c r="CG78"/>
  <c r="CE78"/>
  <c r="CJ78"/>
  <c r="CH78"/>
  <c r="CC78"/>
  <c r="CA78"/>
  <c r="BV78"/>
  <c r="BT78"/>
  <c r="BR78"/>
  <c r="BL78"/>
  <c r="BO78"/>
  <c r="BJ78"/>
  <c r="BH78"/>
  <c r="BF78"/>
  <c r="BW78"/>
  <c r="BU78"/>
  <c r="BS78"/>
  <c r="BM78"/>
  <c r="BK78"/>
  <c r="BP78"/>
  <c r="BN78"/>
  <c r="BI78"/>
  <c r="BG78"/>
  <c r="CP76"/>
  <c r="CN76"/>
  <c r="CL76"/>
  <c r="CF76"/>
  <c r="CK76"/>
  <c r="CI76"/>
  <c r="CD76"/>
  <c r="CB76"/>
  <c r="BZ76"/>
  <c r="CQ76"/>
  <c r="CO76"/>
  <c r="CM76"/>
  <c r="CG76"/>
  <c r="CE76"/>
  <c r="CJ76"/>
  <c r="CH76"/>
  <c r="CC76"/>
  <c r="CA76"/>
  <c r="BV76"/>
  <c r="BT76"/>
  <c r="BR76"/>
  <c r="BL76"/>
  <c r="BO76"/>
  <c r="BJ76"/>
  <c r="BH76"/>
  <c r="BF76"/>
  <c r="BW76"/>
  <c r="BU76"/>
  <c r="BS76"/>
  <c r="BM76"/>
  <c r="BK76"/>
  <c r="BP76"/>
  <c r="BN76"/>
  <c r="BI76"/>
  <c r="BG76"/>
  <c r="CP70"/>
  <c r="CN70"/>
  <c r="CL70"/>
  <c r="CF70"/>
  <c r="CK70"/>
  <c r="CI70"/>
  <c r="CD70"/>
  <c r="CB70"/>
  <c r="BZ70"/>
  <c r="CQ70"/>
  <c r="CO70"/>
  <c r="CM70"/>
  <c r="CG70"/>
  <c r="CE70"/>
  <c r="CJ70"/>
  <c r="CH70"/>
  <c r="CC70"/>
  <c r="CA70"/>
  <c r="BV70"/>
  <c r="BT70"/>
  <c r="BR70"/>
  <c r="BL70"/>
  <c r="BO70"/>
  <c r="BJ70"/>
  <c r="BH70"/>
  <c r="BF70"/>
  <c r="BW70"/>
  <c r="BU70"/>
  <c r="BS70"/>
  <c r="BM70"/>
  <c r="BK70"/>
  <c r="BP70"/>
  <c r="BN70"/>
  <c r="BI70"/>
  <c r="BG70"/>
  <c r="CP68"/>
  <c r="CN68"/>
  <c r="CL68"/>
  <c r="CF68"/>
  <c r="CK68"/>
  <c r="CI68"/>
  <c r="CD68"/>
  <c r="CB68"/>
  <c r="BZ68"/>
  <c r="CQ68"/>
  <c r="CO68"/>
  <c r="CM68"/>
  <c r="CG68"/>
  <c r="CE68"/>
  <c r="CJ68"/>
  <c r="CH68"/>
  <c r="CC68"/>
  <c r="CA68"/>
  <c r="BV68"/>
  <c r="BT68"/>
  <c r="BR68"/>
  <c r="BL68"/>
  <c r="BO68"/>
  <c r="BJ68"/>
  <c r="BH68"/>
  <c r="BF68"/>
  <c r="BW68"/>
  <c r="BU68"/>
  <c r="BS68"/>
  <c r="BM68"/>
  <c r="BK68"/>
  <c r="BP68"/>
  <c r="BN68"/>
  <c r="BI68"/>
  <c r="BG68"/>
  <c r="CP61"/>
  <c r="CN61"/>
  <c r="CL61"/>
  <c r="CF61"/>
  <c r="CK61"/>
  <c r="CI61"/>
  <c r="CD61"/>
  <c r="CB61"/>
  <c r="BZ61"/>
  <c r="CQ61"/>
  <c r="CO61"/>
  <c r="CM61"/>
  <c r="CG61"/>
  <c r="CE61"/>
  <c r="CJ61"/>
  <c r="CH61"/>
  <c r="CC61"/>
  <c r="CA61"/>
  <c r="BV61"/>
  <c r="BT61"/>
  <c r="BR61"/>
  <c r="BL61"/>
  <c r="BQ61"/>
  <c r="BO61"/>
  <c r="BJ61"/>
  <c r="BH61"/>
  <c r="BF61"/>
  <c r="BW61"/>
  <c r="BU61"/>
  <c r="BS61"/>
  <c r="BM61"/>
  <c r="BK61"/>
  <c r="BN61"/>
  <c r="BI61"/>
  <c r="BG61"/>
  <c r="CP59"/>
  <c r="CN59"/>
  <c r="CL59"/>
  <c r="CF59"/>
  <c r="CK59"/>
  <c r="CI59"/>
  <c r="CD59"/>
  <c r="CB59"/>
  <c r="BZ59"/>
  <c r="CQ59"/>
  <c r="CO59"/>
  <c r="CM59"/>
  <c r="CG59"/>
  <c r="CE59"/>
  <c r="CJ59"/>
  <c r="CH59"/>
  <c r="CC59"/>
  <c r="CA59"/>
  <c r="BV59"/>
  <c r="BT59"/>
  <c r="BR59"/>
  <c r="BL59"/>
  <c r="BQ59"/>
  <c r="BO59"/>
  <c r="BJ59"/>
  <c r="BH59"/>
  <c r="BF59"/>
  <c r="BW59"/>
  <c r="BU59"/>
  <c r="BS59"/>
  <c r="BM59"/>
  <c r="BK59"/>
  <c r="BN59"/>
  <c r="BI59"/>
  <c r="BG59"/>
  <c r="CP56"/>
  <c r="CN56"/>
  <c r="CL56"/>
  <c r="CF56"/>
  <c r="CK56"/>
  <c r="CI56"/>
  <c r="CD56"/>
  <c r="CB56"/>
  <c r="BZ56"/>
  <c r="CQ56"/>
  <c r="CO56"/>
  <c r="CM56"/>
  <c r="CG56"/>
  <c r="CE56"/>
  <c r="CJ56"/>
  <c r="CH56"/>
  <c r="CC56"/>
  <c r="CA56"/>
  <c r="BV56"/>
  <c r="BT56"/>
  <c r="BR56"/>
  <c r="BL56"/>
  <c r="BQ56"/>
  <c r="BO56"/>
  <c r="BJ56"/>
  <c r="BH56"/>
  <c r="BF56"/>
  <c r="BW56"/>
  <c r="BU56"/>
  <c r="BS56"/>
  <c r="BM56"/>
  <c r="BK56"/>
  <c r="BP56"/>
  <c r="BN56"/>
  <c r="BI56"/>
  <c r="BG56"/>
  <c r="CP54"/>
  <c r="CN54"/>
  <c r="CL54"/>
  <c r="CF54"/>
  <c r="CK54"/>
  <c r="CI54"/>
  <c r="CD54"/>
  <c r="CB54"/>
  <c r="BZ54"/>
  <c r="CQ54"/>
  <c r="CO54"/>
  <c r="CM54"/>
  <c r="CG54"/>
  <c r="CE54"/>
  <c r="CJ54"/>
  <c r="CH54"/>
  <c r="CC54"/>
  <c r="CA54"/>
  <c r="BV54"/>
  <c r="BT54"/>
  <c r="BR54"/>
  <c r="BL54"/>
  <c r="BQ54"/>
  <c r="BO54"/>
  <c r="BJ54"/>
  <c r="BH54"/>
  <c r="BF54"/>
  <c r="BW54"/>
  <c r="BU54"/>
  <c r="BS54"/>
  <c r="BM54"/>
  <c r="BK54"/>
  <c r="BP54"/>
  <c r="BN54"/>
  <c r="BI54"/>
  <c r="BG54"/>
  <c r="CP52"/>
  <c r="CN52"/>
  <c r="CL52"/>
  <c r="CF52"/>
  <c r="CK52"/>
  <c r="CI52"/>
  <c r="CD52"/>
  <c r="CB52"/>
  <c r="BZ52"/>
  <c r="CQ52"/>
  <c r="CO52"/>
  <c r="CM52"/>
  <c r="CG52"/>
  <c r="CE52"/>
  <c r="CJ52"/>
  <c r="CH52"/>
  <c r="CC52"/>
  <c r="CA52"/>
  <c r="BV52"/>
  <c r="BT52"/>
  <c r="BR52"/>
  <c r="BL52"/>
  <c r="BQ52"/>
  <c r="BO52"/>
  <c r="BJ52"/>
  <c r="BH52"/>
  <c r="BF52"/>
  <c r="BW52"/>
  <c r="BU52"/>
  <c r="BS52"/>
  <c r="BM52"/>
  <c r="BK52"/>
  <c r="BP52"/>
  <c r="BN52"/>
  <c r="BI52"/>
  <c r="BG52"/>
  <c r="CP49"/>
  <c r="CN49"/>
  <c r="CL49"/>
  <c r="CF49"/>
  <c r="CK49"/>
  <c r="CI49"/>
  <c r="CD49"/>
  <c r="CB49"/>
  <c r="BZ49"/>
  <c r="CQ49"/>
  <c r="CO49"/>
  <c r="CM49"/>
  <c r="CG49"/>
  <c r="CE49"/>
  <c r="CJ49"/>
  <c r="CH49"/>
  <c r="CC49"/>
  <c r="CA49"/>
  <c r="BV49"/>
  <c r="BT49"/>
  <c r="BR49"/>
  <c r="BL49"/>
  <c r="BO49"/>
  <c r="BJ49"/>
  <c r="BH49"/>
  <c r="BF49"/>
  <c r="BW49"/>
  <c r="BU49"/>
  <c r="BS49"/>
  <c r="BM49"/>
  <c r="BK49"/>
  <c r="BP49"/>
  <c r="BN49"/>
  <c r="BI49"/>
  <c r="BG49"/>
  <c r="CP47"/>
  <c r="CN47"/>
  <c r="CL47"/>
  <c r="CF47"/>
  <c r="CK47"/>
  <c r="CI47"/>
  <c r="CD47"/>
  <c r="CB47"/>
  <c r="BZ47"/>
  <c r="CQ47"/>
  <c r="CO47"/>
  <c r="CM47"/>
  <c r="CG47"/>
  <c r="CE47"/>
  <c r="CJ47"/>
  <c r="CH47"/>
  <c r="CC47"/>
  <c r="CA47"/>
  <c r="BV47"/>
  <c r="BT47"/>
  <c r="BR47"/>
  <c r="BL47"/>
  <c r="BO47"/>
  <c r="BJ47"/>
  <c r="BH47"/>
  <c r="BF47"/>
  <c r="BW47"/>
  <c r="BU47"/>
  <c r="BS47"/>
  <c r="BM47"/>
  <c r="BK47"/>
  <c r="BP47"/>
  <c r="BN47"/>
  <c r="BI47"/>
  <c r="BG47"/>
  <c r="CP45"/>
  <c r="CN45"/>
  <c r="CL45"/>
  <c r="CF45"/>
  <c r="CK45"/>
  <c r="CI45"/>
  <c r="CD45"/>
  <c r="CB45"/>
  <c r="BZ45"/>
  <c r="CQ45"/>
  <c r="CO45"/>
  <c r="CM45"/>
  <c r="CG45"/>
  <c r="CE45"/>
  <c r="CJ45"/>
  <c r="CH45"/>
  <c r="CC45"/>
  <c r="CA45"/>
  <c r="BV45"/>
  <c r="BT45"/>
  <c r="BR45"/>
  <c r="BL45"/>
  <c r="BQ45"/>
  <c r="BO45"/>
  <c r="BJ45"/>
  <c r="BH45"/>
  <c r="BF45"/>
  <c r="BW45"/>
  <c r="BU45"/>
  <c r="BS45"/>
  <c r="BM45"/>
  <c r="BK45"/>
  <c r="BN45"/>
  <c r="BI45"/>
  <c r="BG45"/>
  <c r="CP42"/>
  <c r="CN42"/>
  <c r="CL42"/>
  <c r="CF42"/>
  <c r="CK42"/>
  <c r="CI42"/>
  <c r="CD42"/>
  <c r="CB42"/>
  <c r="BZ42"/>
  <c r="CQ42"/>
  <c r="CO42"/>
  <c r="CM42"/>
  <c r="CG42"/>
  <c r="CE42"/>
  <c r="CJ42"/>
  <c r="CH42"/>
  <c r="CC42"/>
  <c r="CA42"/>
  <c r="BV42"/>
  <c r="BT42"/>
  <c r="BR42"/>
  <c r="BL42"/>
  <c r="BQ42"/>
  <c r="BO42"/>
  <c r="BJ42"/>
  <c r="BH42"/>
  <c r="BF42"/>
  <c r="BW42"/>
  <c r="BU42"/>
  <c r="BS42"/>
  <c r="BM42"/>
  <c r="BK42"/>
  <c r="BP42"/>
  <c r="BI42"/>
  <c r="BG42"/>
  <c r="CP40"/>
  <c r="CN40"/>
  <c r="CL40"/>
  <c r="CF40"/>
  <c r="CK40"/>
  <c r="CI40"/>
  <c r="CD40"/>
  <c r="CB40"/>
  <c r="BZ40"/>
  <c r="CQ40"/>
  <c r="CO40"/>
  <c r="CM40"/>
  <c r="CG40"/>
  <c r="CE40"/>
  <c r="CJ40"/>
  <c r="CH40"/>
  <c r="CC40"/>
  <c r="CA40"/>
  <c r="BV40"/>
  <c r="BT40"/>
  <c r="BR40"/>
  <c r="BL40"/>
  <c r="BQ40"/>
  <c r="BO40"/>
  <c r="BH40"/>
  <c r="BF40"/>
  <c r="BW40"/>
  <c r="BU40"/>
  <c r="BS40"/>
  <c r="BM40"/>
  <c r="BK40"/>
  <c r="BP40"/>
  <c r="BN40"/>
  <c r="BI40"/>
  <c r="BG40"/>
  <c r="CP38"/>
  <c r="CN38"/>
  <c r="CL38"/>
  <c r="CF38"/>
  <c r="CK38"/>
  <c r="CI38"/>
  <c r="CD38"/>
  <c r="CB38"/>
  <c r="BZ38"/>
  <c r="CQ38"/>
  <c r="CO38"/>
  <c r="CM38"/>
  <c r="CG38"/>
  <c r="CE38"/>
  <c r="CJ38"/>
  <c r="CH38"/>
  <c r="CC38"/>
  <c r="CA38"/>
  <c r="BV38"/>
  <c r="BT38"/>
  <c r="BR38"/>
  <c r="BL38"/>
  <c r="BQ38"/>
  <c r="BO38"/>
  <c r="BJ38"/>
  <c r="BH38"/>
  <c r="BF38"/>
  <c r="BW38"/>
  <c r="BU38"/>
  <c r="BS38"/>
  <c r="BM38"/>
  <c r="BK38"/>
  <c r="BP38"/>
  <c r="BI38"/>
  <c r="BG38"/>
  <c r="CP36"/>
  <c r="CN36"/>
  <c r="CL36"/>
  <c r="CF36"/>
  <c r="CK36"/>
  <c r="CI36"/>
  <c r="CD36"/>
  <c r="CB36"/>
  <c r="BZ36"/>
  <c r="CQ36"/>
  <c r="CO36"/>
  <c r="CM36"/>
  <c r="CG36"/>
  <c r="CE36"/>
  <c r="CJ36"/>
  <c r="CH36"/>
  <c r="CC36"/>
  <c r="CA36"/>
  <c r="BV36"/>
  <c r="BT36"/>
  <c r="BR36"/>
  <c r="BL36"/>
  <c r="BQ36"/>
  <c r="BO36"/>
  <c r="BH36"/>
  <c r="BF36"/>
  <c r="BW36"/>
  <c r="BU36"/>
  <c r="BS36"/>
  <c r="BM36"/>
  <c r="BK36"/>
  <c r="BP36"/>
  <c r="BN36"/>
  <c r="BI36"/>
  <c r="BG36"/>
  <c r="CP34"/>
  <c r="CN34"/>
  <c r="CL34"/>
  <c r="CF34"/>
  <c r="CK34"/>
  <c r="CI34"/>
  <c r="CD34"/>
  <c r="CB34"/>
  <c r="BZ34"/>
  <c r="CQ34"/>
  <c r="CO34"/>
  <c r="CM34"/>
  <c r="CG34"/>
  <c r="CE34"/>
  <c r="CJ34"/>
  <c r="CH34"/>
  <c r="CC34"/>
  <c r="CA34"/>
  <c r="BV34"/>
  <c r="BT34"/>
  <c r="BR34"/>
  <c r="BL34"/>
  <c r="BQ34"/>
  <c r="BO34"/>
  <c r="BH34"/>
  <c r="BF34"/>
  <c r="BW34"/>
  <c r="BU34"/>
  <c r="BS34"/>
  <c r="BM34"/>
  <c r="BK34"/>
  <c r="BP34"/>
  <c r="BN34"/>
  <c r="BI34"/>
  <c r="BG34"/>
  <c r="CP32"/>
  <c r="CN32"/>
  <c r="CL32"/>
  <c r="CF32"/>
  <c r="CK32"/>
  <c r="CI32"/>
  <c r="CD32"/>
  <c r="CB32"/>
  <c r="BZ32"/>
  <c r="CQ32"/>
  <c r="CO32"/>
  <c r="CM32"/>
  <c r="CG32"/>
  <c r="CE32"/>
  <c r="CJ32"/>
  <c r="CH32"/>
  <c r="CC32"/>
  <c r="CA32"/>
  <c r="BV32"/>
  <c r="BT32"/>
  <c r="BR32"/>
  <c r="BL32"/>
  <c r="BQ32"/>
  <c r="BO32"/>
  <c r="BJ32"/>
  <c r="BH32"/>
  <c r="BF32"/>
  <c r="BW32"/>
  <c r="BU32"/>
  <c r="BS32"/>
  <c r="BM32"/>
  <c r="BK32"/>
  <c r="BP32"/>
  <c r="BN32"/>
  <c r="BI32"/>
  <c r="CP25"/>
  <c r="CN25"/>
  <c r="CL25"/>
  <c r="CF25"/>
  <c r="CK25"/>
  <c r="CI25"/>
  <c r="CD25"/>
  <c r="CB25"/>
  <c r="BZ25"/>
  <c r="CQ25"/>
  <c r="CO25"/>
  <c r="CM25"/>
  <c r="CG25"/>
  <c r="CE25"/>
  <c r="CJ25"/>
  <c r="CH25"/>
  <c r="CC25"/>
  <c r="CA25"/>
  <c r="BV25"/>
  <c r="BT25"/>
  <c r="BR25"/>
  <c r="BL25"/>
  <c r="BQ25"/>
  <c r="BO25"/>
  <c r="BJ25"/>
  <c r="BH25"/>
  <c r="BF25"/>
  <c r="BW25"/>
  <c r="BU25"/>
  <c r="BS25"/>
  <c r="BM25"/>
  <c r="BK25"/>
  <c r="BP25"/>
  <c r="BN25"/>
  <c r="BI25"/>
  <c r="BG25"/>
  <c r="CF23"/>
  <c r="CH19"/>
  <c r="CC11"/>
  <c r="BG27"/>
  <c r="AL10"/>
  <c r="AP10"/>
  <c r="AW10"/>
  <c r="AX10"/>
  <c r="AN12"/>
  <c r="AU12"/>
  <c r="AR12"/>
  <c r="AZ12"/>
  <c r="AL14"/>
  <c r="AP14"/>
  <c r="AW14"/>
  <c r="AX14"/>
  <c r="AN16"/>
  <c r="AU16"/>
  <c r="AR16"/>
  <c r="AZ16"/>
  <c r="AL18"/>
  <c r="AP18"/>
  <c r="AW18"/>
  <c r="AX18"/>
  <c r="AN20"/>
  <c r="AU20"/>
  <c r="AR20"/>
  <c r="AZ20"/>
  <c r="AL22"/>
  <c r="AP22"/>
  <c r="AW22"/>
  <c r="AX22"/>
  <c r="AN24"/>
  <c r="AU24"/>
  <c r="AR24"/>
  <c r="AL26"/>
  <c r="AP26"/>
  <c r="AW26"/>
  <c r="AX26"/>
  <c r="AN28"/>
  <c r="AU28"/>
  <c r="AR28"/>
  <c r="AR46"/>
  <c r="BF10"/>
  <c r="BH10"/>
  <c r="BJ10"/>
  <c r="BO10"/>
  <c r="BQ10"/>
  <c r="BL10"/>
  <c r="BR10"/>
  <c r="BT10"/>
  <c r="BF12"/>
  <c r="BH12"/>
  <c r="BJ12"/>
  <c r="BO12"/>
  <c r="BQ12"/>
  <c r="BL12"/>
  <c r="BT12"/>
  <c r="BF14"/>
  <c r="BH14"/>
  <c r="BJ14"/>
  <c r="BO14"/>
  <c r="BQ14"/>
  <c r="BL14"/>
  <c r="BR14"/>
  <c r="BT14"/>
  <c r="BF16"/>
  <c r="BH16"/>
  <c r="BJ16"/>
  <c r="BO16"/>
  <c r="BQ16"/>
  <c r="BL16"/>
  <c r="BR16"/>
  <c r="BT16"/>
  <c r="BF18"/>
  <c r="BH18"/>
  <c r="BJ18"/>
  <c r="BO18"/>
  <c r="BQ18"/>
  <c r="BL18"/>
  <c r="BR18"/>
  <c r="BF20"/>
  <c r="BH20"/>
  <c r="BJ20"/>
  <c r="BO20"/>
  <c r="BQ20"/>
  <c r="BL20"/>
  <c r="BR20"/>
  <c r="BF22"/>
  <c r="BH22"/>
  <c r="BJ22"/>
  <c r="BO22"/>
  <c r="BQ22"/>
  <c r="BL22"/>
  <c r="BR22"/>
  <c r="CG75"/>
  <c r="CK65"/>
  <c r="CQ60"/>
  <c r="CI58"/>
  <c r="CN55"/>
  <c r="BN55"/>
  <c r="BS53"/>
  <c r="BH51"/>
  <c r="BL48"/>
  <c r="CA46"/>
  <c r="CB43"/>
  <c r="BO43"/>
  <c r="CF41"/>
  <c r="BT41"/>
  <c r="BG41"/>
  <c r="CH39"/>
  <c r="BK39"/>
  <c r="CM37"/>
  <c r="BW37"/>
  <c r="CB35"/>
  <c r="BO35"/>
  <c r="CF33"/>
  <c r="BT33"/>
  <c r="BG33"/>
  <c r="CH31"/>
  <c r="BK31"/>
  <c r="CP24"/>
  <c r="CN24"/>
  <c r="CL24"/>
  <c r="CF24"/>
  <c r="CK24"/>
  <c r="CI24"/>
  <c r="CD24"/>
  <c r="CB24"/>
  <c r="BZ24"/>
  <c r="CQ24"/>
  <c r="CO24"/>
  <c r="CM24"/>
  <c r="CG24"/>
  <c r="CE24"/>
  <c r="CJ24"/>
  <c r="CH24"/>
  <c r="CC24"/>
  <c r="CA24"/>
  <c r="BV24"/>
  <c r="BT24"/>
  <c r="BR24"/>
  <c r="BL24"/>
  <c r="BQ24"/>
  <c r="BO24"/>
  <c r="BJ24"/>
  <c r="BH24"/>
  <c r="BF24"/>
  <c r="BW24"/>
  <c r="BS24"/>
  <c r="BM24"/>
  <c r="BK24"/>
  <c r="BP24"/>
  <c r="BN24"/>
  <c r="BI24"/>
  <c r="BG24"/>
  <c r="CP22"/>
  <c r="CN22"/>
  <c r="CL22"/>
  <c r="CF22"/>
  <c r="CK22"/>
  <c r="CI22"/>
  <c r="CD22"/>
  <c r="CB22"/>
  <c r="BZ22"/>
  <c r="CQ22"/>
  <c r="CO22"/>
  <c r="CM22"/>
  <c r="CG22"/>
  <c r="CE22"/>
  <c r="CJ22"/>
  <c r="CH22"/>
  <c r="CC22"/>
  <c r="CA22"/>
  <c r="CP20"/>
  <c r="CN20"/>
  <c r="CL20"/>
  <c r="CF20"/>
  <c r="CK20"/>
  <c r="CI20"/>
  <c r="CD20"/>
  <c r="CB20"/>
  <c r="BZ20"/>
  <c r="CQ20"/>
  <c r="CO20"/>
  <c r="CM20"/>
  <c r="CG20"/>
  <c r="CE20"/>
  <c r="CJ20"/>
  <c r="CH20"/>
  <c r="CC20"/>
  <c r="CA20"/>
  <c r="CP18"/>
  <c r="CN18"/>
  <c r="CL18"/>
  <c r="CF18"/>
  <c r="CK18"/>
  <c r="CI18"/>
  <c r="CD18"/>
  <c r="CB18"/>
  <c r="BZ18"/>
  <c r="CQ18"/>
  <c r="CO18"/>
  <c r="CM18"/>
  <c r="CG18"/>
  <c r="CE18"/>
  <c r="CJ18"/>
  <c r="CH18"/>
  <c r="CC18"/>
  <c r="CA18"/>
  <c r="CQ16"/>
  <c r="CO16"/>
  <c r="CM16"/>
  <c r="CG16"/>
  <c r="CE16"/>
  <c r="CJ16"/>
  <c r="CH16"/>
  <c r="CC16"/>
  <c r="CA16"/>
  <c r="CP16"/>
  <c r="CN16"/>
  <c r="CL16"/>
  <c r="CF16"/>
  <c r="CK16"/>
  <c r="CI16"/>
  <c r="CD16"/>
  <c r="CB16"/>
  <c r="BZ16"/>
  <c r="CQ14"/>
  <c r="CO14"/>
  <c r="CM14"/>
  <c r="CG14"/>
  <c r="CE14"/>
  <c r="CJ14"/>
  <c r="CH14"/>
  <c r="CC14"/>
  <c r="CA14"/>
  <c r="CP14"/>
  <c r="CN14"/>
  <c r="CL14"/>
  <c r="CF14"/>
  <c r="CK14"/>
  <c r="CI14"/>
  <c r="CD14"/>
  <c r="CB14"/>
  <c r="BZ14"/>
  <c r="CQ12"/>
  <c r="CO12"/>
  <c r="CM12"/>
  <c r="CG12"/>
  <c r="CE12"/>
  <c r="CJ12"/>
  <c r="CH12"/>
  <c r="CC12"/>
  <c r="CA12"/>
  <c r="CP12"/>
  <c r="CN12"/>
  <c r="CL12"/>
  <c r="CF12"/>
  <c r="CK12"/>
  <c r="CI12"/>
  <c r="CD12"/>
  <c r="CB12"/>
  <c r="BZ12"/>
  <c r="CQ10"/>
  <c r="CO10"/>
  <c r="CM10"/>
  <c r="CG10"/>
  <c r="CE10"/>
  <c r="CJ10"/>
  <c r="CH10"/>
  <c r="CC10"/>
  <c r="CA10"/>
  <c r="CP10"/>
  <c r="CN10"/>
  <c r="CL10"/>
  <c r="CF10"/>
  <c r="CK10"/>
  <c r="CI10"/>
  <c r="CD10"/>
  <c r="CB10"/>
  <c r="BZ10"/>
  <c r="CP26"/>
  <c r="CN26"/>
  <c r="CL26"/>
  <c r="CF26"/>
  <c r="CK26"/>
  <c r="CI26"/>
  <c r="CD26"/>
  <c r="CB26"/>
  <c r="BZ26"/>
  <c r="CQ26"/>
  <c r="CO26"/>
  <c r="CM26"/>
  <c r="CG26"/>
  <c r="CE26"/>
  <c r="CJ26"/>
  <c r="CH26"/>
  <c r="CC26"/>
  <c r="CA26"/>
  <c r="BV26"/>
  <c r="BT26"/>
  <c r="BR26"/>
  <c r="BL26"/>
  <c r="BQ26"/>
  <c r="BO26"/>
  <c r="BJ26"/>
  <c r="BH26"/>
  <c r="BF26"/>
  <c r="BW26"/>
  <c r="BU26"/>
  <c r="BM26"/>
  <c r="BK26"/>
  <c r="BP26"/>
  <c r="BN26"/>
  <c r="BI26"/>
  <c r="BG26"/>
  <c r="CP28"/>
  <c r="CN28"/>
  <c r="CL28"/>
  <c r="CF28"/>
  <c r="CK28"/>
  <c r="CI28"/>
  <c r="CD28"/>
  <c r="CB28"/>
  <c r="BZ28"/>
  <c r="CQ28"/>
  <c r="CO28"/>
  <c r="CM28"/>
  <c r="CG28"/>
  <c r="CE28"/>
  <c r="CJ28"/>
  <c r="CH28"/>
  <c r="CC28"/>
  <c r="CA28"/>
  <c r="BV28"/>
  <c r="BT28"/>
  <c r="BR28"/>
  <c r="BL28"/>
  <c r="BQ28"/>
  <c r="BO28"/>
  <c r="BJ28"/>
  <c r="BH28"/>
  <c r="BF28"/>
  <c r="BW28"/>
  <c r="BU28"/>
  <c r="BM28"/>
  <c r="BK28"/>
  <c r="BP28"/>
  <c r="BN28"/>
  <c r="BI28"/>
  <c r="BG28"/>
  <c r="AN10"/>
  <c r="AU10"/>
  <c r="AR10"/>
  <c r="AZ10"/>
  <c r="AL12"/>
  <c r="AP12"/>
  <c r="AW12"/>
  <c r="AX12"/>
  <c r="AN14"/>
  <c r="AU14"/>
  <c r="AR14"/>
  <c r="AZ14"/>
  <c r="AL16"/>
  <c r="AP16"/>
  <c r="AW16"/>
  <c r="AX16"/>
  <c r="AN18"/>
  <c r="AU18"/>
  <c r="AR18"/>
  <c r="AZ18"/>
  <c r="AL20"/>
  <c r="AP20"/>
  <c r="AW20"/>
  <c r="AX20"/>
  <c r="AN22"/>
  <c r="AU22"/>
  <c r="AR22"/>
  <c r="AZ22"/>
  <c r="AL24"/>
  <c r="AP24"/>
  <c r="AW24"/>
  <c r="AX24"/>
  <c r="AN26"/>
  <c r="AU26"/>
  <c r="AR26"/>
  <c r="AZ26"/>
  <c r="AL28"/>
  <c r="AP28"/>
  <c r="AW28"/>
  <c r="AX28"/>
  <c r="AP33"/>
  <c r="AP41"/>
  <c r="AP51"/>
  <c r="AP60"/>
  <c r="BG10"/>
  <c r="BI10"/>
  <c r="BN10"/>
  <c r="BP10"/>
  <c r="BK10"/>
  <c r="BS10"/>
  <c r="BU10"/>
  <c r="BW10"/>
  <c r="BM11"/>
  <c r="BG12"/>
  <c r="BI12"/>
  <c r="BN12"/>
  <c r="BP12"/>
  <c r="BK12"/>
  <c r="BM12"/>
  <c r="BS12"/>
  <c r="BU12"/>
  <c r="BW12"/>
  <c r="BP13"/>
  <c r="BG14"/>
  <c r="BI14"/>
  <c r="BN14"/>
  <c r="BP14"/>
  <c r="BK14"/>
  <c r="BM14"/>
  <c r="BU14"/>
  <c r="BW14"/>
  <c r="BG16"/>
  <c r="BI16"/>
  <c r="BN16"/>
  <c r="BP16"/>
  <c r="BK16"/>
  <c r="BM16"/>
  <c r="BS16"/>
  <c r="BU16"/>
  <c r="BW16"/>
  <c r="BG18"/>
  <c r="BI18"/>
  <c r="BN18"/>
  <c r="BP18"/>
  <c r="BK18"/>
  <c r="BM18"/>
  <c r="BS18"/>
  <c r="BU18"/>
  <c r="BW18"/>
  <c r="BG20"/>
  <c r="BI20"/>
  <c r="BN20"/>
  <c r="BP20"/>
  <c r="BK20"/>
  <c r="BM20"/>
  <c r="BS20"/>
  <c r="BU20"/>
  <c r="BW20"/>
  <c r="BG22"/>
  <c r="BI22"/>
  <c r="BN22"/>
  <c r="BP22"/>
  <c r="BK22"/>
  <c r="BM22"/>
  <c r="BS22"/>
  <c r="BU22"/>
  <c r="BW22"/>
  <c r="CA311"/>
  <c r="BJ311"/>
  <c r="CE309"/>
  <c r="BL309"/>
  <c r="CM307"/>
  <c r="BV307"/>
  <c r="BI307"/>
  <c r="CI303"/>
  <c r="BM303"/>
  <c r="CN301"/>
  <c r="BF301"/>
  <c r="CH298"/>
  <c r="BQ298"/>
  <c r="CM295"/>
  <c r="BV295"/>
  <c r="BI295"/>
  <c r="CI293"/>
  <c r="BM293"/>
  <c r="CN291"/>
  <c r="BF291"/>
  <c r="CH289"/>
  <c r="BQ289"/>
  <c r="CM287"/>
  <c r="BV287"/>
  <c r="BP287"/>
  <c r="CE285"/>
  <c r="CF285"/>
  <c r="BR285"/>
  <c r="BU285"/>
  <c r="CQ283"/>
  <c r="CE283"/>
  <c r="CB283"/>
  <c r="BJ283"/>
  <c r="BP283"/>
  <c r="CE281"/>
  <c r="CF281"/>
  <c r="BR281"/>
  <c r="BU281"/>
  <c r="CQ279"/>
  <c r="CA279"/>
  <c r="CB279"/>
  <c r="BJ279"/>
  <c r="BP279"/>
  <c r="CE277"/>
  <c r="CF277"/>
  <c r="BR277"/>
  <c r="BU277"/>
  <c r="CQ275"/>
  <c r="CA275"/>
  <c r="CB275"/>
  <c r="BJ275"/>
  <c r="BP275"/>
  <c r="CE273"/>
  <c r="CF273"/>
  <c r="BR273"/>
  <c r="BU273"/>
  <c r="CQ271"/>
  <c r="CA271"/>
  <c r="CB271"/>
  <c r="BJ271"/>
  <c r="BP271"/>
  <c r="CE269"/>
  <c r="CF269"/>
  <c r="BR269"/>
  <c r="BU269"/>
  <c r="CQ267"/>
  <c r="CA267"/>
  <c r="CB267"/>
  <c r="BJ267"/>
  <c r="BP267"/>
  <c r="CE265"/>
  <c r="CF265"/>
  <c r="CM263"/>
  <c r="CN263"/>
  <c r="CQ261"/>
  <c r="CA261"/>
  <c r="CB261"/>
  <c r="CH258"/>
  <c r="CI258"/>
  <c r="CE256"/>
  <c r="CF256"/>
  <c r="CM253"/>
  <c r="CN253"/>
  <c r="CQ251"/>
  <c r="CA251"/>
  <c r="CB251"/>
  <c r="CH249"/>
  <c r="CI249"/>
  <c r="CE247"/>
  <c r="CF247"/>
  <c r="CM243"/>
  <c r="CN243"/>
  <c r="CQ241"/>
  <c r="CA241"/>
  <c r="CB241"/>
  <c r="CH239"/>
  <c r="CI239"/>
  <c r="CE237"/>
  <c r="CF237"/>
  <c r="CM235"/>
  <c r="CN235"/>
  <c r="CQ233"/>
  <c r="CA233"/>
  <c r="CB233"/>
  <c r="CH231"/>
  <c r="CI231"/>
  <c r="CE229"/>
  <c r="CF229"/>
  <c r="CM227"/>
  <c r="CN227"/>
  <c r="CQ225"/>
  <c r="CA225"/>
  <c r="CB225"/>
  <c r="CH223"/>
  <c r="CI223"/>
  <c r="CE221"/>
  <c r="CF221"/>
  <c r="CM218"/>
  <c r="CN218"/>
  <c r="CQ216"/>
  <c r="CA216"/>
  <c r="CB216"/>
  <c r="CH213"/>
  <c r="CI213"/>
  <c r="CE211"/>
  <c r="CF211"/>
  <c r="CM207"/>
  <c r="CN207"/>
  <c r="CQ205"/>
  <c r="CA205"/>
  <c r="CB205"/>
  <c r="CH202"/>
  <c r="CI202"/>
  <c r="CE198"/>
  <c r="CF198"/>
  <c r="CM196"/>
  <c r="CN196"/>
  <c r="CQ194"/>
  <c r="CA194"/>
  <c r="CB194"/>
  <c r="CH192"/>
  <c r="CI192"/>
  <c r="CE190"/>
  <c r="CF190"/>
  <c r="CM187"/>
  <c r="CN187"/>
  <c r="CQ184"/>
  <c r="CA184"/>
  <c r="CB184"/>
  <c r="CH182"/>
  <c r="CI182"/>
  <c r="CE180"/>
  <c r="CF180"/>
  <c r="CM177"/>
  <c r="CN177"/>
  <c r="CQ175"/>
  <c r="CA175"/>
  <c r="CB175"/>
  <c r="CH173"/>
  <c r="CI173"/>
  <c r="CE171"/>
  <c r="CF171"/>
  <c r="CM169"/>
  <c r="CN169"/>
  <c r="CQ167"/>
  <c r="CA167"/>
  <c r="CB167"/>
  <c r="CH165"/>
  <c r="CI165"/>
  <c r="CQ163"/>
  <c r="CO163"/>
  <c r="CM163"/>
  <c r="CG163"/>
  <c r="CE163"/>
  <c r="CJ163"/>
  <c r="CH163"/>
  <c r="CC163"/>
  <c r="CA163"/>
  <c r="CP163"/>
  <c r="CN163"/>
  <c r="CL163"/>
  <c r="CF163"/>
  <c r="CK163"/>
  <c r="CI163"/>
  <c r="CD163"/>
  <c r="CB163"/>
  <c r="BZ163"/>
  <c r="CQ161"/>
  <c r="CO161"/>
  <c r="CM161"/>
  <c r="CG161"/>
  <c r="CE161"/>
  <c r="CJ161"/>
  <c r="CH161"/>
  <c r="CC161"/>
  <c r="CA161"/>
  <c r="CP161"/>
  <c r="CN161"/>
  <c r="CL161"/>
  <c r="CF161"/>
  <c r="CK161"/>
  <c r="CI161"/>
  <c r="CD161"/>
  <c r="CB161"/>
  <c r="BZ161"/>
  <c r="CQ159"/>
  <c r="CO159"/>
  <c r="CM159"/>
  <c r="CG159"/>
  <c r="CE159"/>
  <c r="CJ159"/>
  <c r="CH159"/>
  <c r="CC159"/>
  <c r="CA159"/>
  <c r="CP159"/>
  <c r="CN159"/>
  <c r="CL159"/>
  <c r="CF159"/>
  <c r="CK159"/>
  <c r="CI159"/>
  <c r="CD159"/>
  <c r="CB159"/>
  <c r="BZ159"/>
  <c r="CQ157"/>
  <c r="CO157"/>
  <c r="CM157"/>
  <c r="CG157"/>
  <c r="CE157"/>
  <c r="CJ157"/>
  <c r="CH157"/>
  <c r="CC157"/>
  <c r="CA157"/>
  <c r="CP157"/>
  <c r="CN157"/>
  <c r="CL157"/>
  <c r="CF157"/>
  <c r="CK157"/>
  <c r="CI157"/>
  <c r="CD157"/>
  <c r="CB157"/>
  <c r="BZ157"/>
  <c r="CQ155"/>
  <c r="CO155"/>
  <c r="CM155"/>
  <c r="CG155"/>
  <c r="CE155"/>
  <c r="CJ155"/>
  <c r="CH155"/>
  <c r="CC155"/>
  <c r="CA155"/>
  <c r="CP155"/>
  <c r="CN155"/>
  <c r="CL155"/>
  <c r="CF155"/>
  <c r="CK155"/>
  <c r="CI155"/>
  <c r="CD155"/>
  <c r="CB155"/>
  <c r="BZ155"/>
  <c r="CQ153"/>
  <c r="CO153"/>
  <c r="CM153"/>
  <c r="CG153"/>
  <c r="CE153"/>
  <c r="CJ153"/>
  <c r="CH153"/>
  <c r="CC153"/>
  <c r="CA153"/>
  <c r="CP153"/>
  <c r="CN153"/>
  <c r="CL153"/>
  <c r="CF153"/>
  <c r="CK153"/>
  <c r="CI153"/>
  <c r="CD153"/>
  <c r="CB153"/>
  <c r="BZ153"/>
  <c r="CE186"/>
  <c r="CF186"/>
  <c r="CM201"/>
  <c r="CN201"/>
  <c r="BG152"/>
  <c r="BI152"/>
  <c r="BN152"/>
  <c r="BP152"/>
  <c r="BK152"/>
  <c r="BM152"/>
  <c r="BS152"/>
  <c r="BU152"/>
  <c r="BG153"/>
  <c r="BI153"/>
  <c r="BN153"/>
  <c r="BP153"/>
  <c r="BK153"/>
  <c r="BM153"/>
  <c r="BS153"/>
  <c r="BU153"/>
  <c r="BW153"/>
  <c r="BU154"/>
  <c r="BG155"/>
  <c r="BI155"/>
  <c r="BN155"/>
  <c r="BP155"/>
  <c r="BK155"/>
  <c r="BM155"/>
  <c r="BS155"/>
  <c r="BU155"/>
  <c r="BW155"/>
  <c r="BG156"/>
  <c r="BG157"/>
  <c r="BI157"/>
  <c r="BN157"/>
  <c r="BP157"/>
  <c r="BK157"/>
  <c r="BM157"/>
  <c r="BS157"/>
  <c r="BU157"/>
  <c r="BW157"/>
  <c r="BU158"/>
  <c r="BG159"/>
  <c r="BI159"/>
  <c r="BN159"/>
  <c r="BP159"/>
  <c r="BK159"/>
  <c r="BM159"/>
  <c r="BS159"/>
  <c r="BU159"/>
  <c r="BW159"/>
  <c r="BG160"/>
  <c r="BG161"/>
  <c r="BI161"/>
  <c r="BN161"/>
  <c r="BP161"/>
  <c r="BK161"/>
  <c r="BM161"/>
  <c r="BS161"/>
  <c r="BU161"/>
  <c r="BW161"/>
  <c r="BU162"/>
  <c r="BG163"/>
  <c r="BI163"/>
  <c r="BN163"/>
  <c r="BP163"/>
  <c r="BK163"/>
  <c r="BM163"/>
  <c r="BS163"/>
  <c r="BU163"/>
  <c r="BW163"/>
  <c r="BG164"/>
  <c r="BI164"/>
  <c r="BN164"/>
  <c r="BP164"/>
  <c r="BK164"/>
  <c r="BM164"/>
  <c r="BS164"/>
  <c r="BU164"/>
  <c r="BG165"/>
  <c r="BW165"/>
  <c r="BG166"/>
  <c r="BI166"/>
  <c r="BN166"/>
  <c r="BP166"/>
  <c r="BK166"/>
  <c r="BM166"/>
  <c r="BS166"/>
  <c r="BU166"/>
  <c r="BU167"/>
  <c r="BG168"/>
  <c r="BI168"/>
  <c r="BN168"/>
  <c r="BP168"/>
  <c r="BK168"/>
  <c r="BM168"/>
  <c r="BS168"/>
  <c r="BU168"/>
  <c r="BS169"/>
  <c r="BG170"/>
  <c r="BI170"/>
  <c r="BN170"/>
  <c r="BP170"/>
  <c r="BK170"/>
  <c r="BM170"/>
  <c r="BS170"/>
  <c r="BU170"/>
  <c r="BM171"/>
  <c r="BG172"/>
  <c r="BI172"/>
  <c r="BN172"/>
  <c r="BP172"/>
  <c r="BK172"/>
  <c r="BM172"/>
  <c r="BS172"/>
  <c r="BU172"/>
  <c r="BK173"/>
  <c r="BG174"/>
  <c r="BI174"/>
  <c r="BN174"/>
  <c r="BP174"/>
  <c r="BK174"/>
  <c r="BM174"/>
  <c r="BS174"/>
  <c r="BU174"/>
  <c r="BP175"/>
  <c r="BG176"/>
  <c r="BI176"/>
  <c r="BN176"/>
  <c r="BP176"/>
  <c r="BK176"/>
  <c r="BM176"/>
  <c r="BS176"/>
  <c r="BU176"/>
  <c r="BN177"/>
  <c r="BG178"/>
  <c r="BI178"/>
  <c r="BN178"/>
  <c r="BP178"/>
  <c r="BK178"/>
  <c r="BM178"/>
  <c r="BS178"/>
  <c r="BU178"/>
  <c r="BG179"/>
  <c r="BI179"/>
  <c r="BN179"/>
  <c r="BP179"/>
  <c r="BK179"/>
  <c r="BM179"/>
  <c r="BS179"/>
  <c r="BU179"/>
  <c r="BI180"/>
  <c r="BG181"/>
  <c r="BI181"/>
  <c r="BN181"/>
  <c r="BP181"/>
  <c r="BK181"/>
  <c r="BM181"/>
  <c r="BS181"/>
  <c r="BU181"/>
  <c r="BG182"/>
  <c r="BW182"/>
  <c r="BG183"/>
  <c r="BI183"/>
  <c r="BN183"/>
  <c r="BP183"/>
  <c r="BK183"/>
  <c r="BM183"/>
  <c r="BS183"/>
  <c r="BU183"/>
  <c r="BU184"/>
  <c r="BG185"/>
  <c r="BI185"/>
  <c r="BN185"/>
  <c r="BP185"/>
  <c r="BK185"/>
  <c r="BM185"/>
  <c r="BS185"/>
  <c r="BU185"/>
  <c r="BS186"/>
  <c r="BM187"/>
  <c r="BG188"/>
  <c r="BI188"/>
  <c r="BN188"/>
  <c r="BP188"/>
  <c r="BK188"/>
  <c r="BM188"/>
  <c r="BS188"/>
  <c r="BU188"/>
  <c r="BK190"/>
  <c r="BG191"/>
  <c r="BI191"/>
  <c r="BN191"/>
  <c r="BP191"/>
  <c r="BK191"/>
  <c r="BM191"/>
  <c r="BS191"/>
  <c r="BU191"/>
  <c r="BP192"/>
  <c r="BG193"/>
  <c r="BI193"/>
  <c r="BN193"/>
  <c r="BP193"/>
  <c r="BK193"/>
  <c r="BM193"/>
  <c r="BS193"/>
  <c r="BU193"/>
  <c r="BN194"/>
  <c r="BG195"/>
  <c r="BI195"/>
  <c r="BN195"/>
  <c r="BP195"/>
  <c r="BK195"/>
  <c r="BM195"/>
  <c r="BS195"/>
  <c r="BU195"/>
  <c r="BI196"/>
  <c r="BG197"/>
  <c r="BI197"/>
  <c r="BN197"/>
  <c r="BP197"/>
  <c r="BK197"/>
  <c r="BM197"/>
  <c r="BS197"/>
  <c r="BU197"/>
  <c r="BG198"/>
  <c r="BW198"/>
  <c r="BG199"/>
  <c r="BI199"/>
  <c r="BN199"/>
  <c r="BP199"/>
  <c r="BK199"/>
  <c r="BM199"/>
  <c r="BS199"/>
  <c r="BU199"/>
  <c r="BG200"/>
  <c r="BI200"/>
  <c r="BN200"/>
  <c r="BP200"/>
  <c r="BK200"/>
  <c r="BM200"/>
  <c r="BS200"/>
  <c r="BU200"/>
  <c r="BU201"/>
  <c r="BS202"/>
  <c r="BG204"/>
  <c r="BI204"/>
  <c r="BN204"/>
  <c r="BP204"/>
  <c r="BK204"/>
  <c r="BM204"/>
  <c r="BS204"/>
  <c r="BU204"/>
  <c r="BM205"/>
  <c r="BG206"/>
  <c r="BI206"/>
  <c r="BN206"/>
  <c r="BP206"/>
  <c r="BK206"/>
  <c r="BM206"/>
  <c r="BS206"/>
  <c r="BU206"/>
  <c r="BK207"/>
  <c r="BG208"/>
  <c r="BI208"/>
  <c r="BN208"/>
  <c r="BP208"/>
  <c r="BK208"/>
  <c r="BM208"/>
  <c r="BS208"/>
  <c r="BU208"/>
  <c r="BP211"/>
  <c r="BG212"/>
  <c r="BI212"/>
  <c r="BN212"/>
  <c r="BP212"/>
  <c r="BK212"/>
  <c r="BM212"/>
  <c r="BS212"/>
  <c r="BU212"/>
  <c r="BN213"/>
  <c r="BG214"/>
  <c r="BI214"/>
  <c r="BN214"/>
  <c r="BP214"/>
  <c r="BK214"/>
  <c r="BM214"/>
  <c r="BS214"/>
  <c r="BU214"/>
  <c r="BG215"/>
  <c r="BI215"/>
  <c r="BN215"/>
  <c r="BP215"/>
  <c r="BK215"/>
  <c r="BM215"/>
  <c r="BS215"/>
  <c r="BU215"/>
  <c r="BI216"/>
  <c r="BG217"/>
  <c r="BI217"/>
  <c r="BN217"/>
  <c r="BP217"/>
  <c r="BK217"/>
  <c r="BM217"/>
  <c r="BS217"/>
  <c r="BU217"/>
  <c r="BG218"/>
  <c r="BW218"/>
  <c r="BG220"/>
  <c r="BI220"/>
  <c r="BN220"/>
  <c r="BP220"/>
  <c r="BK220"/>
  <c r="BM220"/>
  <c r="BS220"/>
  <c r="BU220"/>
  <c r="BU221"/>
  <c r="BG222"/>
  <c r="BI222"/>
  <c r="BN222"/>
  <c r="BP222"/>
  <c r="BK222"/>
  <c r="BM222"/>
  <c r="BS222"/>
  <c r="BU222"/>
  <c r="BS223"/>
  <c r="BG224"/>
  <c r="BI224"/>
  <c r="BN224"/>
  <c r="BP224"/>
  <c r="BK224"/>
  <c r="BM224"/>
  <c r="BS224"/>
  <c r="BU224"/>
  <c r="BM225"/>
  <c r="BG226"/>
  <c r="BI226"/>
  <c r="BN226"/>
  <c r="BP226"/>
  <c r="BK226"/>
  <c r="BM226"/>
  <c r="BS226"/>
  <c r="BU226"/>
  <c r="BK227"/>
  <c r="BG228"/>
  <c r="BI228"/>
  <c r="BN228"/>
  <c r="BP228"/>
  <c r="BK228"/>
  <c r="BM228"/>
  <c r="BS228"/>
  <c r="BU228"/>
  <c r="BP229"/>
  <c r="BG230"/>
  <c r="BI230"/>
  <c r="BN230"/>
  <c r="BP230"/>
  <c r="BK230"/>
  <c r="BM230"/>
  <c r="BS230"/>
  <c r="BU230"/>
  <c r="BN231"/>
  <c r="BG232"/>
  <c r="BI232"/>
  <c r="BN232"/>
  <c r="BP232"/>
  <c r="BK232"/>
  <c r="BM232"/>
  <c r="BS232"/>
  <c r="BU232"/>
  <c r="BI233"/>
  <c r="BG234"/>
  <c r="BI234"/>
  <c r="BN234"/>
  <c r="BP234"/>
  <c r="BK234"/>
  <c r="BM234"/>
  <c r="BS234"/>
  <c r="BU234"/>
  <c r="BG235"/>
  <c r="BW235"/>
  <c r="BG236"/>
  <c r="BI236"/>
  <c r="BN236"/>
  <c r="BP236"/>
  <c r="BK236"/>
  <c r="BM236"/>
  <c r="BS236"/>
  <c r="BU236"/>
  <c r="BU237"/>
  <c r="BG238"/>
  <c r="BI238"/>
  <c r="BN238"/>
  <c r="BP238"/>
  <c r="BK238"/>
  <c r="BM238"/>
  <c r="BS238"/>
  <c r="BU238"/>
  <c r="BK239"/>
  <c r="BW239"/>
  <c r="BG240"/>
  <c r="BI240"/>
  <c r="BN240"/>
  <c r="BP240"/>
  <c r="BK240"/>
  <c r="BM240"/>
  <c r="BS240"/>
  <c r="BU240"/>
  <c r="BP241"/>
  <c r="BU241"/>
  <c r="BG242"/>
  <c r="BI242"/>
  <c r="BN242"/>
  <c r="BP242"/>
  <c r="BK242"/>
  <c r="BM242"/>
  <c r="BS242"/>
  <c r="BU242"/>
  <c r="BN243"/>
  <c r="BS243"/>
  <c r="BG245"/>
  <c r="BI245"/>
  <c r="BN245"/>
  <c r="BP245"/>
  <c r="BK245"/>
  <c r="BM245"/>
  <c r="BS245"/>
  <c r="BU245"/>
  <c r="BI247"/>
  <c r="BM247"/>
  <c r="BG248"/>
  <c r="BI248"/>
  <c r="BN248"/>
  <c r="BP248"/>
  <c r="BK248"/>
  <c r="BM248"/>
  <c r="BS248"/>
  <c r="BU248"/>
  <c r="BG249"/>
  <c r="BK249"/>
  <c r="BW249"/>
  <c r="BG250"/>
  <c r="BI250"/>
  <c r="BN250"/>
  <c r="BP250"/>
  <c r="BK250"/>
  <c r="BM250"/>
  <c r="BS250"/>
  <c r="BU250"/>
  <c r="BP251"/>
  <c r="BU251"/>
  <c r="BG252"/>
  <c r="BI252"/>
  <c r="BN252"/>
  <c r="BP252"/>
  <c r="BK252"/>
  <c r="BM252"/>
  <c r="BS252"/>
  <c r="BU252"/>
  <c r="BN253"/>
  <c r="BS253"/>
  <c r="BG254"/>
  <c r="BI254"/>
  <c r="BN254"/>
  <c r="BP254"/>
  <c r="BK254"/>
  <c r="BM254"/>
  <c r="BS254"/>
  <c r="BU254"/>
  <c r="BI256"/>
  <c r="BM256"/>
  <c r="BG257"/>
  <c r="BI257"/>
  <c r="BN257"/>
  <c r="BP257"/>
  <c r="BK257"/>
  <c r="BM257"/>
  <c r="BS257"/>
  <c r="BU257"/>
  <c r="BG258"/>
  <c r="BK258"/>
  <c r="BW258"/>
  <c r="BG260"/>
  <c r="BI260"/>
  <c r="BN260"/>
  <c r="BP260"/>
  <c r="BK260"/>
  <c r="BM260"/>
  <c r="BS260"/>
  <c r="BU260"/>
  <c r="BP261"/>
  <c r="BU261"/>
  <c r="BG262"/>
  <c r="BI262"/>
  <c r="BN262"/>
  <c r="BP262"/>
  <c r="BK262"/>
  <c r="BM262"/>
  <c r="BS262"/>
  <c r="BU262"/>
  <c r="BN263"/>
  <c r="BS263"/>
  <c r="BG264"/>
  <c r="BI264"/>
  <c r="BN264"/>
  <c r="BP264"/>
  <c r="BK264"/>
  <c r="BM264"/>
  <c r="BS264"/>
  <c r="BU264"/>
  <c r="BI265"/>
  <c r="BM265"/>
  <c r="BG266"/>
  <c r="BI266"/>
  <c r="BN266"/>
  <c r="BP266"/>
  <c r="BK266"/>
  <c r="BM266"/>
  <c r="BS266"/>
  <c r="CQ310"/>
  <c r="CO310"/>
  <c r="CM310"/>
  <c r="CG310"/>
  <c r="CE310"/>
  <c r="CJ310"/>
  <c r="CH310"/>
  <c r="CC310"/>
  <c r="CA310"/>
  <c r="CP310"/>
  <c r="CN310"/>
  <c r="CL310"/>
  <c r="CF310"/>
  <c r="CK310"/>
  <c r="CI310"/>
  <c r="CD310"/>
  <c r="CB310"/>
  <c r="BZ310"/>
  <c r="BV310"/>
  <c r="BT310"/>
  <c r="BR310"/>
  <c r="BL310"/>
  <c r="BQ310"/>
  <c r="BO310"/>
  <c r="BJ310"/>
  <c r="BH310"/>
  <c r="BF310"/>
  <c r="BW310"/>
  <c r="BU310"/>
  <c r="BS310"/>
  <c r="BM310"/>
  <c r="BK310"/>
  <c r="BP310"/>
  <c r="BN310"/>
  <c r="BI310"/>
  <c r="BG310"/>
  <c r="CQ308"/>
  <c r="CO308"/>
  <c r="CM308"/>
  <c r="CG308"/>
  <c r="CE308"/>
  <c r="CJ308"/>
  <c r="CH308"/>
  <c r="CC308"/>
  <c r="CA308"/>
  <c r="CP308"/>
  <c r="CN308"/>
  <c r="CL308"/>
  <c r="CF308"/>
  <c r="CK308"/>
  <c r="CI308"/>
  <c r="CD308"/>
  <c r="CB308"/>
  <c r="BZ308"/>
  <c r="BV308"/>
  <c r="BT308"/>
  <c r="BR308"/>
  <c r="BL308"/>
  <c r="BQ308"/>
  <c r="BO308"/>
  <c r="BJ308"/>
  <c r="BH308"/>
  <c r="BF308"/>
  <c r="BW308"/>
  <c r="BU308"/>
  <c r="BS308"/>
  <c r="BM308"/>
  <c r="BK308"/>
  <c r="BP308"/>
  <c r="BN308"/>
  <c r="BI308"/>
  <c r="BG308"/>
  <c r="CQ305"/>
  <c r="CO305"/>
  <c r="CM305"/>
  <c r="CG305"/>
  <c r="CE305"/>
  <c r="CJ305"/>
  <c r="CH305"/>
  <c r="CC305"/>
  <c r="CA305"/>
  <c r="CP305"/>
  <c r="CN305"/>
  <c r="CL305"/>
  <c r="CF305"/>
  <c r="CK305"/>
  <c r="CI305"/>
  <c r="CD305"/>
  <c r="CB305"/>
  <c r="BZ305"/>
  <c r="BV305"/>
  <c r="BT305"/>
  <c r="BR305"/>
  <c r="BL305"/>
  <c r="BQ305"/>
  <c r="BO305"/>
  <c r="BJ305"/>
  <c r="BH305"/>
  <c r="BF305"/>
  <c r="BW305"/>
  <c r="BU305"/>
  <c r="BS305"/>
  <c r="BM305"/>
  <c r="BK305"/>
  <c r="BP305"/>
  <c r="BN305"/>
  <c r="BI305"/>
  <c r="BG305"/>
  <c r="CQ302"/>
  <c r="CO302"/>
  <c r="CM302"/>
  <c r="CG302"/>
  <c r="CE302"/>
  <c r="CJ302"/>
  <c r="CH302"/>
  <c r="CC302"/>
  <c r="CA302"/>
  <c r="CP302"/>
  <c r="CN302"/>
  <c r="CL302"/>
  <c r="CF302"/>
  <c r="CK302"/>
  <c r="CI302"/>
  <c r="CD302"/>
  <c r="CB302"/>
  <c r="BZ302"/>
  <c r="BV302"/>
  <c r="BT302"/>
  <c r="BR302"/>
  <c r="BL302"/>
  <c r="BQ302"/>
  <c r="BO302"/>
  <c r="BJ302"/>
  <c r="BH302"/>
  <c r="BF302"/>
  <c r="BW302"/>
  <c r="BU302"/>
  <c r="BS302"/>
  <c r="BM302"/>
  <c r="BK302"/>
  <c r="BP302"/>
  <c r="BN302"/>
  <c r="BI302"/>
  <c r="BG302"/>
  <c r="CQ300"/>
  <c r="CO300"/>
  <c r="CM300"/>
  <c r="CG300"/>
  <c r="CE300"/>
  <c r="CJ300"/>
  <c r="CH300"/>
  <c r="CC300"/>
  <c r="CA300"/>
  <c r="CP300"/>
  <c r="CN300"/>
  <c r="CL300"/>
  <c r="CF300"/>
  <c r="CK300"/>
  <c r="CI300"/>
  <c r="CD300"/>
  <c r="CB300"/>
  <c r="BZ300"/>
  <c r="BV300"/>
  <c r="BT300"/>
  <c r="BR300"/>
  <c r="BL300"/>
  <c r="BQ300"/>
  <c r="BO300"/>
  <c r="BJ300"/>
  <c r="BH300"/>
  <c r="BF300"/>
  <c r="BW300"/>
  <c r="BU300"/>
  <c r="BS300"/>
  <c r="BM300"/>
  <c r="BK300"/>
  <c r="BP300"/>
  <c r="BN300"/>
  <c r="BI300"/>
  <c r="BG300"/>
  <c r="CQ296"/>
  <c r="CO296"/>
  <c r="CM296"/>
  <c r="CG296"/>
  <c r="CE296"/>
  <c r="CJ296"/>
  <c r="CH296"/>
  <c r="CC296"/>
  <c r="CA296"/>
  <c r="CP296"/>
  <c r="CN296"/>
  <c r="CL296"/>
  <c r="CF296"/>
  <c r="CK296"/>
  <c r="CI296"/>
  <c r="CD296"/>
  <c r="CB296"/>
  <c r="BZ296"/>
  <c r="BV296"/>
  <c r="BT296"/>
  <c r="BR296"/>
  <c r="BL296"/>
  <c r="BQ296"/>
  <c r="BO296"/>
  <c r="BJ296"/>
  <c r="BH296"/>
  <c r="BF296"/>
  <c r="BW296"/>
  <c r="BU296"/>
  <c r="BS296"/>
  <c r="BM296"/>
  <c r="BK296"/>
  <c r="BP296"/>
  <c r="BN296"/>
  <c r="BI296"/>
  <c r="BG296"/>
  <c r="CQ294"/>
  <c r="CO294"/>
  <c r="CM294"/>
  <c r="CG294"/>
  <c r="CE294"/>
  <c r="CJ294"/>
  <c r="CH294"/>
  <c r="CC294"/>
  <c r="CA294"/>
  <c r="CP294"/>
  <c r="CN294"/>
  <c r="CL294"/>
  <c r="CF294"/>
  <c r="CK294"/>
  <c r="CI294"/>
  <c r="CD294"/>
  <c r="CB294"/>
  <c r="BZ294"/>
  <c r="BV294"/>
  <c r="BT294"/>
  <c r="BR294"/>
  <c r="BL294"/>
  <c r="BQ294"/>
  <c r="BO294"/>
  <c r="BJ294"/>
  <c r="BH294"/>
  <c r="BF294"/>
  <c r="BW294"/>
  <c r="BU294"/>
  <c r="BS294"/>
  <c r="BM294"/>
  <c r="BK294"/>
  <c r="BP294"/>
  <c r="BN294"/>
  <c r="BI294"/>
  <c r="BG294"/>
  <c r="CQ292"/>
  <c r="CO292"/>
  <c r="CM292"/>
  <c r="CG292"/>
  <c r="CE292"/>
  <c r="CJ292"/>
  <c r="CH292"/>
  <c r="CC292"/>
  <c r="CA292"/>
  <c r="CP292"/>
  <c r="CN292"/>
  <c r="CL292"/>
  <c r="CF292"/>
  <c r="CK292"/>
  <c r="CI292"/>
  <c r="CD292"/>
  <c r="CB292"/>
  <c r="BZ292"/>
  <c r="BV292"/>
  <c r="BT292"/>
  <c r="BR292"/>
  <c r="BL292"/>
  <c r="BQ292"/>
  <c r="BO292"/>
  <c r="BJ292"/>
  <c r="BH292"/>
  <c r="BF292"/>
  <c r="BW292"/>
  <c r="BU292"/>
  <c r="BS292"/>
  <c r="BM292"/>
  <c r="BK292"/>
  <c r="BP292"/>
  <c r="BN292"/>
  <c r="BI292"/>
  <c r="BG292"/>
  <c r="CQ290"/>
  <c r="CO290"/>
  <c r="CM290"/>
  <c r="CG290"/>
  <c r="CE290"/>
  <c r="CJ290"/>
  <c r="CH290"/>
  <c r="CC290"/>
  <c r="CA290"/>
  <c r="CP290"/>
  <c r="CN290"/>
  <c r="CL290"/>
  <c r="CF290"/>
  <c r="CK290"/>
  <c r="CI290"/>
  <c r="CD290"/>
  <c r="CB290"/>
  <c r="BZ290"/>
  <c r="BV290"/>
  <c r="BT290"/>
  <c r="BR290"/>
  <c r="BL290"/>
  <c r="BQ290"/>
  <c r="BO290"/>
  <c r="BJ290"/>
  <c r="BH290"/>
  <c r="BF290"/>
  <c r="BW290"/>
  <c r="BU290"/>
  <c r="BS290"/>
  <c r="BM290"/>
  <c r="BK290"/>
  <c r="BP290"/>
  <c r="BN290"/>
  <c r="BI290"/>
  <c r="BG290"/>
  <c r="CQ288"/>
  <c r="CO288"/>
  <c r="CM288"/>
  <c r="CG288"/>
  <c r="CE288"/>
  <c r="CJ288"/>
  <c r="CH288"/>
  <c r="CC288"/>
  <c r="CA288"/>
  <c r="CP288"/>
  <c r="CN288"/>
  <c r="CL288"/>
  <c r="CF288"/>
  <c r="CK288"/>
  <c r="CI288"/>
  <c r="CD288"/>
  <c r="CB288"/>
  <c r="BZ288"/>
  <c r="BV288"/>
  <c r="BT288"/>
  <c r="BR288"/>
  <c r="BL288"/>
  <c r="BQ288"/>
  <c r="BO288"/>
  <c r="BJ288"/>
  <c r="BH288"/>
  <c r="BF288"/>
  <c r="BW288"/>
  <c r="BU288"/>
  <c r="BS288"/>
  <c r="BM288"/>
  <c r="BK288"/>
  <c r="BP288"/>
  <c r="BN288"/>
  <c r="BI288"/>
  <c r="BG288"/>
  <c r="CQ286"/>
  <c r="CO286"/>
  <c r="CM286"/>
  <c r="CG286"/>
  <c r="CE286"/>
  <c r="CJ286"/>
  <c r="CH286"/>
  <c r="CC286"/>
  <c r="CA286"/>
  <c r="CP286"/>
  <c r="CN286"/>
  <c r="CL286"/>
  <c r="CF286"/>
  <c r="CK286"/>
  <c r="CI286"/>
  <c r="CD286"/>
  <c r="CB286"/>
  <c r="BZ286"/>
  <c r="BV286"/>
  <c r="BT286"/>
  <c r="BR286"/>
  <c r="BL286"/>
  <c r="BQ286"/>
  <c r="BO286"/>
  <c r="BJ286"/>
  <c r="BH286"/>
  <c r="BF286"/>
  <c r="BW286"/>
  <c r="BU286"/>
  <c r="BS286"/>
  <c r="BM286"/>
  <c r="BK286"/>
  <c r="BP286"/>
  <c r="BN286"/>
  <c r="BI286"/>
  <c r="BG286"/>
  <c r="CQ284"/>
  <c r="CO284"/>
  <c r="CM284"/>
  <c r="CG284"/>
  <c r="CE284"/>
  <c r="CJ284"/>
  <c r="CH284"/>
  <c r="CC284"/>
  <c r="CA284"/>
  <c r="CP284"/>
  <c r="CN284"/>
  <c r="CL284"/>
  <c r="CF284"/>
  <c r="CK284"/>
  <c r="CI284"/>
  <c r="CD284"/>
  <c r="CB284"/>
  <c r="BZ284"/>
  <c r="BV284"/>
  <c r="BT284"/>
  <c r="BR284"/>
  <c r="BL284"/>
  <c r="BQ284"/>
  <c r="BO284"/>
  <c r="BJ284"/>
  <c r="BH284"/>
  <c r="BF284"/>
  <c r="BW284"/>
  <c r="BU284"/>
  <c r="BS284"/>
  <c r="BM284"/>
  <c r="BK284"/>
  <c r="BP284"/>
  <c r="BN284"/>
  <c r="BI284"/>
  <c r="BG284"/>
  <c r="CQ282"/>
  <c r="CO282"/>
  <c r="CM282"/>
  <c r="CG282"/>
  <c r="CE282"/>
  <c r="CJ282"/>
  <c r="CH282"/>
  <c r="CC282"/>
  <c r="CA282"/>
  <c r="CP282"/>
  <c r="CN282"/>
  <c r="CL282"/>
  <c r="CF282"/>
  <c r="CK282"/>
  <c r="CI282"/>
  <c r="CD282"/>
  <c r="CB282"/>
  <c r="BZ282"/>
  <c r="BV282"/>
  <c r="BT282"/>
  <c r="BR282"/>
  <c r="BL282"/>
  <c r="BQ282"/>
  <c r="BO282"/>
  <c r="BJ282"/>
  <c r="BH282"/>
  <c r="BF282"/>
  <c r="BW282"/>
  <c r="BU282"/>
  <c r="BS282"/>
  <c r="BM282"/>
  <c r="BK282"/>
  <c r="BP282"/>
  <c r="BN282"/>
  <c r="BI282"/>
  <c r="BG282"/>
  <c r="CQ280"/>
  <c r="CO280"/>
  <c r="CM280"/>
  <c r="CG280"/>
  <c r="CE280"/>
  <c r="CJ280"/>
  <c r="CH280"/>
  <c r="CC280"/>
  <c r="CA280"/>
  <c r="CP280"/>
  <c r="CN280"/>
  <c r="CL280"/>
  <c r="CF280"/>
  <c r="CK280"/>
  <c r="CI280"/>
  <c r="CD280"/>
  <c r="CB280"/>
  <c r="BZ280"/>
  <c r="BV280"/>
  <c r="BT280"/>
  <c r="BR280"/>
  <c r="BL280"/>
  <c r="BQ280"/>
  <c r="BO280"/>
  <c r="BJ280"/>
  <c r="BH280"/>
  <c r="BF280"/>
  <c r="BW280"/>
  <c r="BU280"/>
  <c r="BS280"/>
  <c r="BM280"/>
  <c r="BK280"/>
  <c r="BP280"/>
  <c r="BN280"/>
  <c r="BI280"/>
  <c r="BG280"/>
  <c r="CQ278"/>
  <c r="CO278"/>
  <c r="CM278"/>
  <c r="CG278"/>
  <c r="CE278"/>
  <c r="CJ278"/>
  <c r="CH278"/>
  <c r="CC278"/>
  <c r="CA278"/>
  <c r="CP278"/>
  <c r="CN278"/>
  <c r="CL278"/>
  <c r="CF278"/>
  <c r="CK278"/>
  <c r="CI278"/>
  <c r="CD278"/>
  <c r="CB278"/>
  <c r="BZ278"/>
  <c r="BV278"/>
  <c r="BT278"/>
  <c r="BR278"/>
  <c r="BL278"/>
  <c r="BQ278"/>
  <c r="BO278"/>
  <c r="BJ278"/>
  <c r="BH278"/>
  <c r="BF278"/>
  <c r="BW278"/>
  <c r="BU278"/>
  <c r="BS278"/>
  <c r="BM278"/>
  <c r="BK278"/>
  <c r="BP278"/>
  <c r="BN278"/>
  <c r="BI278"/>
  <c r="BG278"/>
  <c r="CQ276"/>
  <c r="CO276"/>
  <c r="CM276"/>
  <c r="CG276"/>
  <c r="CE276"/>
  <c r="CJ276"/>
  <c r="CH276"/>
  <c r="CC276"/>
  <c r="CA276"/>
  <c r="CP276"/>
  <c r="CN276"/>
  <c r="CL276"/>
  <c r="CF276"/>
  <c r="CK276"/>
  <c r="CI276"/>
  <c r="CD276"/>
  <c r="CB276"/>
  <c r="BZ276"/>
  <c r="BV276"/>
  <c r="BT276"/>
  <c r="BR276"/>
  <c r="BL276"/>
  <c r="BQ276"/>
  <c r="BO276"/>
  <c r="BJ276"/>
  <c r="BH276"/>
  <c r="BF276"/>
  <c r="BW276"/>
  <c r="BU276"/>
  <c r="BS276"/>
  <c r="BM276"/>
  <c r="BK276"/>
  <c r="BP276"/>
  <c r="BN276"/>
  <c r="BI276"/>
  <c r="BG276"/>
  <c r="CQ274"/>
  <c r="CO274"/>
  <c r="CM274"/>
  <c r="CG274"/>
  <c r="CE274"/>
  <c r="CJ274"/>
  <c r="CH274"/>
  <c r="CC274"/>
  <c r="CA274"/>
  <c r="CP274"/>
  <c r="CN274"/>
  <c r="CL274"/>
  <c r="CF274"/>
  <c r="CK274"/>
  <c r="CI274"/>
  <c r="CD274"/>
  <c r="CB274"/>
  <c r="BZ274"/>
  <c r="BV274"/>
  <c r="BT274"/>
  <c r="BR274"/>
  <c r="BL274"/>
  <c r="BQ274"/>
  <c r="BO274"/>
  <c r="BJ274"/>
  <c r="BH274"/>
  <c r="BF274"/>
  <c r="BW274"/>
  <c r="BU274"/>
  <c r="BS274"/>
  <c r="BM274"/>
  <c r="BK274"/>
  <c r="BP274"/>
  <c r="BN274"/>
  <c r="BI274"/>
  <c r="BG274"/>
  <c r="CQ272"/>
  <c r="CO272"/>
  <c r="CM272"/>
  <c r="CG272"/>
  <c r="CE272"/>
  <c r="CJ272"/>
  <c r="CH272"/>
  <c r="CC272"/>
  <c r="CA272"/>
  <c r="CP272"/>
  <c r="CN272"/>
  <c r="CL272"/>
  <c r="CF272"/>
  <c r="CK272"/>
  <c r="CI272"/>
  <c r="CD272"/>
  <c r="CB272"/>
  <c r="BZ272"/>
  <c r="BV272"/>
  <c r="BT272"/>
  <c r="BR272"/>
  <c r="BL272"/>
  <c r="BQ272"/>
  <c r="BO272"/>
  <c r="BJ272"/>
  <c r="BH272"/>
  <c r="BF272"/>
  <c r="BW272"/>
  <c r="BU272"/>
  <c r="BS272"/>
  <c r="BM272"/>
  <c r="BK272"/>
  <c r="BP272"/>
  <c r="BN272"/>
  <c r="BI272"/>
  <c r="BG272"/>
  <c r="CQ270"/>
  <c r="CO270"/>
  <c r="CM270"/>
  <c r="CG270"/>
  <c r="CE270"/>
  <c r="CJ270"/>
  <c r="CH270"/>
  <c r="CC270"/>
  <c r="CA270"/>
  <c r="CP270"/>
  <c r="CN270"/>
  <c r="CL270"/>
  <c r="CF270"/>
  <c r="CK270"/>
  <c r="CI270"/>
  <c r="CD270"/>
  <c r="CB270"/>
  <c r="BZ270"/>
  <c r="BV270"/>
  <c r="BT270"/>
  <c r="BR270"/>
  <c r="BL270"/>
  <c r="BQ270"/>
  <c r="BO270"/>
  <c r="BJ270"/>
  <c r="BH270"/>
  <c r="BF270"/>
  <c r="BW270"/>
  <c r="BU270"/>
  <c r="BS270"/>
  <c r="BM270"/>
  <c r="BK270"/>
  <c r="BP270"/>
  <c r="BN270"/>
  <c r="BI270"/>
  <c r="BG270"/>
  <c r="CQ268"/>
  <c r="CO268"/>
  <c r="CM268"/>
  <c r="CG268"/>
  <c r="CE268"/>
  <c r="CJ268"/>
  <c r="CH268"/>
  <c r="CC268"/>
  <c r="CA268"/>
  <c r="CP268"/>
  <c r="CN268"/>
  <c r="CL268"/>
  <c r="CF268"/>
  <c r="CK268"/>
  <c r="CI268"/>
  <c r="CD268"/>
  <c r="CB268"/>
  <c r="BZ268"/>
  <c r="BV268"/>
  <c r="BT268"/>
  <c r="BR268"/>
  <c r="BL268"/>
  <c r="BQ268"/>
  <c r="BO268"/>
  <c r="BJ268"/>
  <c r="BH268"/>
  <c r="BF268"/>
  <c r="BW268"/>
  <c r="BU268"/>
  <c r="BS268"/>
  <c r="BM268"/>
  <c r="BK268"/>
  <c r="BP268"/>
  <c r="BN268"/>
  <c r="BI268"/>
  <c r="BG268"/>
  <c r="CQ266"/>
  <c r="CO266"/>
  <c r="CM266"/>
  <c r="CG266"/>
  <c r="CE266"/>
  <c r="CJ266"/>
  <c r="CH266"/>
  <c r="CC266"/>
  <c r="CA266"/>
  <c r="CP266"/>
  <c r="CN266"/>
  <c r="CL266"/>
  <c r="CF266"/>
  <c r="CK266"/>
  <c r="CI266"/>
  <c r="CD266"/>
  <c r="CB266"/>
  <c r="BZ266"/>
  <c r="BV266"/>
  <c r="BW266"/>
  <c r="CQ264"/>
  <c r="CO264"/>
  <c r="CM264"/>
  <c r="CG264"/>
  <c r="CE264"/>
  <c r="CJ264"/>
  <c r="CH264"/>
  <c r="CC264"/>
  <c r="CA264"/>
  <c r="CP264"/>
  <c r="CN264"/>
  <c r="CL264"/>
  <c r="CF264"/>
  <c r="CK264"/>
  <c r="CI264"/>
  <c r="CD264"/>
  <c r="CB264"/>
  <c r="BZ264"/>
  <c r="CQ262"/>
  <c r="CO262"/>
  <c r="CM262"/>
  <c r="CG262"/>
  <c r="CE262"/>
  <c r="CJ262"/>
  <c r="CH262"/>
  <c r="CC262"/>
  <c r="CA262"/>
  <c r="CP262"/>
  <c r="CN262"/>
  <c r="CL262"/>
  <c r="CF262"/>
  <c r="CK262"/>
  <c r="CI262"/>
  <c r="CD262"/>
  <c r="CB262"/>
  <c r="BZ262"/>
  <c r="CQ260"/>
  <c r="CO260"/>
  <c r="CM260"/>
  <c r="CG260"/>
  <c r="CE260"/>
  <c r="CJ260"/>
  <c r="CH260"/>
  <c r="CC260"/>
  <c r="CA260"/>
  <c r="CP260"/>
  <c r="CN260"/>
  <c r="CL260"/>
  <c r="CF260"/>
  <c r="CK260"/>
  <c r="CI260"/>
  <c r="CD260"/>
  <c r="CB260"/>
  <c r="BZ260"/>
  <c r="CQ257"/>
  <c r="CO257"/>
  <c r="CM257"/>
  <c r="CG257"/>
  <c r="CE257"/>
  <c r="CJ257"/>
  <c r="CH257"/>
  <c r="CC257"/>
  <c r="CA257"/>
  <c r="CP257"/>
  <c r="CN257"/>
  <c r="CL257"/>
  <c r="CF257"/>
  <c r="CK257"/>
  <c r="CI257"/>
  <c r="CD257"/>
  <c r="CB257"/>
  <c r="BZ257"/>
  <c r="CQ254"/>
  <c r="CO254"/>
  <c r="CM254"/>
  <c r="CG254"/>
  <c r="CE254"/>
  <c r="CJ254"/>
  <c r="CH254"/>
  <c r="CC254"/>
  <c r="CA254"/>
  <c r="CP254"/>
  <c r="CN254"/>
  <c r="CL254"/>
  <c r="CF254"/>
  <c r="CK254"/>
  <c r="CI254"/>
  <c r="CD254"/>
  <c r="CB254"/>
  <c r="BZ254"/>
  <c r="CQ252"/>
  <c r="CO252"/>
  <c r="CM252"/>
  <c r="CG252"/>
  <c r="CE252"/>
  <c r="CJ252"/>
  <c r="CH252"/>
  <c r="CC252"/>
  <c r="CA252"/>
  <c r="CP252"/>
  <c r="CN252"/>
  <c r="CL252"/>
  <c r="CF252"/>
  <c r="CK252"/>
  <c r="CI252"/>
  <c r="CD252"/>
  <c r="CB252"/>
  <c r="BZ252"/>
  <c r="CQ250"/>
  <c r="CO250"/>
  <c r="CM250"/>
  <c r="CG250"/>
  <c r="CE250"/>
  <c r="CJ250"/>
  <c r="CH250"/>
  <c r="CC250"/>
  <c r="CA250"/>
  <c r="CP250"/>
  <c r="CN250"/>
  <c r="CL250"/>
  <c r="CF250"/>
  <c r="CK250"/>
  <c r="CI250"/>
  <c r="CD250"/>
  <c r="CB250"/>
  <c r="BZ250"/>
  <c r="CQ248"/>
  <c r="CO248"/>
  <c r="CM248"/>
  <c r="CG248"/>
  <c r="CE248"/>
  <c r="CJ248"/>
  <c r="CH248"/>
  <c r="CC248"/>
  <c r="CA248"/>
  <c r="CP248"/>
  <c r="CN248"/>
  <c r="CL248"/>
  <c r="CF248"/>
  <c r="CK248"/>
  <c r="CI248"/>
  <c r="CD248"/>
  <c r="CB248"/>
  <c r="BZ248"/>
  <c r="CQ245"/>
  <c r="CO245"/>
  <c r="CM245"/>
  <c r="CG245"/>
  <c r="CE245"/>
  <c r="CJ245"/>
  <c r="CH245"/>
  <c r="CC245"/>
  <c r="CA245"/>
  <c r="CP245"/>
  <c r="CN245"/>
  <c r="CL245"/>
  <c r="CF245"/>
  <c r="CK245"/>
  <c r="CI245"/>
  <c r="CD245"/>
  <c r="CB245"/>
  <c r="BZ245"/>
  <c r="CQ242"/>
  <c r="CO242"/>
  <c r="CM242"/>
  <c r="CG242"/>
  <c r="CE242"/>
  <c r="CJ242"/>
  <c r="CH242"/>
  <c r="CC242"/>
  <c r="CA242"/>
  <c r="CP242"/>
  <c r="CN242"/>
  <c r="CL242"/>
  <c r="CF242"/>
  <c r="CK242"/>
  <c r="CI242"/>
  <c r="CD242"/>
  <c r="CB242"/>
  <c r="BZ242"/>
  <c r="CQ240"/>
  <c r="CO240"/>
  <c r="CM240"/>
  <c r="CG240"/>
  <c r="CE240"/>
  <c r="CJ240"/>
  <c r="CH240"/>
  <c r="CC240"/>
  <c r="CA240"/>
  <c r="CP240"/>
  <c r="CN240"/>
  <c r="CL240"/>
  <c r="CF240"/>
  <c r="CK240"/>
  <c r="CI240"/>
  <c r="CD240"/>
  <c r="CB240"/>
  <c r="BZ240"/>
  <c r="CQ238"/>
  <c r="CO238"/>
  <c r="CM238"/>
  <c r="CG238"/>
  <c r="CE238"/>
  <c r="CJ238"/>
  <c r="CH238"/>
  <c r="CC238"/>
  <c r="CA238"/>
  <c r="CP238"/>
  <c r="CN238"/>
  <c r="CL238"/>
  <c r="CF238"/>
  <c r="CK238"/>
  <c r="CI238"/>
  <c r="CD238"/>
  <c r="CB238"/>
  <c r="BZ238"/>
  <c r="CQ236"/>
  <c r="CO236"/>
  <c r="CM236"/>
  <c r="CG236"/>
  <c r="CE236"/>
  <c r="CJ236"/>
  <c r="CH236"/>
  <c r="CC236"/>
  <c r="CA236"/>
  <c r="CP236"/>
  <c r="CN236"/>
  <c r="CL236"/>
  <c r="CF236"/>
  <c r="CK236"/>
  <c r="CI236"/>
  <c r="CD236"/>
  <c r="CB236"/>
  <c r="BZ236"/>
  <c r="CQ234"/>
  <c r="CO234"/>
  <c r="CM234"/>
  <c r="CG234"/>
  <c r="CE234"/>
  <c r="CJ234"/>
  <c r="CH234"/>
  <c r="CC234"/>
  <c r="CA234"/>
  <c r="CP234"/>
  <c r="CN234"/>
  <c r="CL234"/>
  <c r="CF234"/>
  <c r="CK234"/>
  <c r="CI234"/>
  <c r="CD234"/>
  <c r="CB234"/>
  <c r="BZ234"/>
  <c r="CQ232"/>
  <c r="CO232"/>
  <c r="CM232"/>
  <c r="CG232"/>
  <c r="CE232"/>
  <c r="CJ232"/>
  <c r="CH232"/>
  <c r="CC232"/>
  <c r="CA232"/>
  <c r="CP232"/>
  <c r="CN232"/>
  <c r="CL232"/>
  <c r="CF232"/>
  <c r="CK232"/>
  <c r="CI232"/>
  <c r="CD232"/>
  <c r="CB232"/>
  <c r="BZ232"/>
  <c r="CQ230"/>
  <c r="CO230"/>
  <c r="CM230"/>
  <c r="CG230"/>
  <c r="CE230"/>
  <c r="CJ230"/>
  <c r="CH230"/>
  <c r="CC230"/>
  <c r="CA230"/>
  <c r="CP230"/>
  <c r="CN230"/>
  <c r="CL230"/>
  <c r="CF230"/>
  <c r="CK230"/>
  <c r="CI230"/>
  <c r="CD230"/>
  <c r="CB230"/>
  <c r="BZ230"/>
  <c r="CQ228"/>
  <c r="CO228"/>
  <c r="CM228"/>
  <c r="CG228"/>
  <c r="CE228"/>
  <c r="CJ228"/>
  <c r="CH228"/>
  <c r="CC228"/>
  <c r="CA228"/>
  <c r="CP228"/>
  <c r="CN228"/>
  <c r="CL228"/>
  <c r="CF228"/>
  <c r="CK228"/>
  <c r="CI228"/>
  <c r="CD228"/>
  <c r="CB228"/>
  <c r="BZ228"/>
  <c r="CQ226"/>
  <c r="CO226"/>
  <c r="CM226"/>
  <c r="CG226"/>
  <c r="CE226"/>
  <c r="CJ226"/>
  <c r="CH226"/>
  <c r="CC226"/>
  <c r="CA226"/>
  <c r="CP226"/>
  <c r="CN226"/>
  <c r="CL226"/>
  <c r="CF226"/>
  <c r="CK226"/>
  <c r="CI226"/>
  <c r="CD226"/>
  <c r="CB226"/>
  <c r="BZ226"/>
  <c r="CQ224"/>
  <c r="CO224"/>
  <c r="CM224"/>
  <c r="CP224"/>
  <c r="CN224"/>
  <c r="CL224"/>
  <c r="CG224"/>
  <c r="CE224"/>
  <c r="CJ224"/>
  <c r="CH224"/>
  <c r="CC224"/>
  <c r="CA224"/>
  <c r="CF224"/>
  <c r="CK224"/>
  <c r="CI224"/>
  <c r="CD224"/>
  <c r="CB224"/>
  <c r="BZ224"/>
  <c r="CQ222"/>
  <c r="CO222"/>
  <c r="CM222"/>
  <c r="CG222"/>
  <c r="CE222"/>
  <c r="CJ222"/>
  <c r="CH222"/>
  <c r="CC222"/>
  <c r="CA222"/>
  <c r="CP222"/>
  <c r="CN222"/>
  <c r="CL222"/>
  <c r="CF222"/>
  <c r="CK222"/>
  <c r="CI222"/>
  <c r="CD222"/>
  <c r="CB222"/>
  <c r="BZ222"/>
  <c r="CQ220"/>
  <c r="CO220"/>
  <c r="CM220"/>
  <c r="CG220"/>
  <c r="CE220"/>
  <c r="CJ220"/>
  <c r="CH220"/>
  <c r="CC220"/>
  <c r="CA220"/>
  <c r="CP220"/>
  <c r="CN220"/>
  <c r="CL220"/>
  <c r="CF220"/>
  <c r="CK220"/>
  <c r="CI220"/>
  <c r="CD220"/>
  <c r="CB220"/>
  <c r="BZ220"/>
  <c r="CQ217"/>
  <c r="CO217"/>
  <c r="CM217"/>
  <c r="CG217"/>
  <c r="CE217"/>
  <c r="CJ217"/>
  <c r="CH217"/>
  <c r="CC217"/>
  <c r="CA217"/>
  <c r="CP217"/>
  <c r="CN217"/>
  <c r="CL217"/>
  <c r="CF217"/>
  <c r="CK217"/>
  <c r="CI217"/>
  <c r="CD217"/>
  <c r="CB217"/>
  <c r="BZ217"/>
  <c r="CQ215"/>
  <c r="CO215"/>
  <c r="CM215"/>
  <c r="CG215"/>
  <c r="CE215"/>
  <c r="CJ215"/>
  <c r="CH215"/>
  <c r="CC215"/>
  <c r="CA215"/>
  <c r="CP215"/>
  <c r="CN215"/>
  <c r="CL215"/>
  <c r="CF215"/>
  <c r="CK215"/>
  <c r="CI215"/>
  <c r="CD215"/>
  <c r="CB215"/>
  <c r="BZ215"/>
  <c r="CQ212"/>
  <c r="CO212"/>
  <c r="CM212"/>
  <c r="CG212"/>
  <c r="CE212"/>
  <c r="CJ212"/>
  <c r="CH212"/>
  <c r="CC212"/>
  <c r="CA212"/>
  <c r="CP212"/>
  <c r="CN212"/>
  <c r="CL212"/>
  <c r="CF212"/>
  <c r="CK212"/>
  <c r="CI212"/>
  <c r="CD212"/>
  <c r="CB212"/>
  <c r="BZ212"/>
  <c r="CQ208"/>
  <c r="CO208"/>
  <c r="CM208"/>
  <c r="CG208"/>
  <c r="CE208"/>
  <c r="CJ208"/>
  <c r="CH208"/>
  <c r="CC208"/>
  <c r="CA208"/>
  <c r="CP208"/>
  <c r="CN208"/>
  <c r="CL208"/>
  <c r="CF208"/>
  <c r="CK208"/>
  <c r="CI208"/>
  <c r="CD208"/>
  <c r="CB208"/>
  <c r="BZ208"/>
  <c r="CQ206"/>
  <c r="CO206"/>
  <c r="CM206"/>
  <c r="CG206"/>
  <c r="CE206"/>
  <c r="CJ206"/>
  <c r="CH206"/>
  <c r="CC206"/>
  <c r="CA206"/>
  <c r="CP206"/>
  <c r="CN206"/>
  <c r="CL206"/>
  <c r="CF206"/>
  <c r="CK206"/>
  <c r="CI206"/>
  <c r="CD206"/>
  <c r="CB206"/>
  <c r="BZ206"/>
  <c r="CQ204"/>
  <c r="CO204"/>
  <c r="CM204"/>
  <c r="CG204"/>
  <c r="CE204"/>
  <c r="CJ204"/>
  <c r="CH204"/>
  <c r="CC204"/>
  <c r="CA204"/>
  <c r="CP204"/>
  <c r="CN204"/>
  <c r="CL204"/>
  <c r="CF204"/>
  <c r="CK204"/>
  <c r="CI204"/>
  <c r="CD204"/>
  <c r="CB204"/>
  <c r="BZ204"/>
  <c r="CQ199"/>
  <c r="CO199"/>
  <c r="CM199"/>
  <c r="CG199"/>
  <c r="CE199"/>
  <c r="CJ199"/>
  <c r="CH199"/>
  <c r="CC199"/>
  <c r="CA199"/>
  <c r="CP199"/>
  <c r="CN199"/>
  <c r="CL199"/>
  <c r="CF199"/>
  <c r="CK199"/>
  <c r="CI199"/>
  <c r="CD199"/>
  <c r="CB199"/>
  <c r="BZ199"/>
  <c r="CQ197"/>
  <c r="CO197"/>
  <c r="CM197"/>
  <c r="CG197"/>
  <c r="CE197"/>
  <c r="CJ197"/>
  <c r="CH197"/>
  <c r="CC197"/>
  <c r="CA197"/>
  <c r="CP197"/>
  <c r="CN197"/>
  <c r="CL197"/>
  <c r="CF197"/>
  <c r="CK197"/>
  <c r="CI197"/>
  <c r="CD197"/>
  <c r="CB197"/>
  <c r="BZ197"/>
  <c r="CQ195"/>
  <c r="CO195"/>
  <c r="CM195"/>
  <c r="CG195"/>
  <c r="CE195"/>
  <c r="CJ195"/>
  <c r="CH195"/>
  <c r="CC195"/>
  <c r="CA195"/>
  <c r="CP195"/>
  <c r="CN195"/>
  <c r="CL195"/>
  <c r="CF195"/>
  <c r="CK195"/>
  <c r="CI195"/>
  <c r="CD195"/>
  <c r="CB195"/>
  <c r="BZ195"/>
  <c r="CQ193"/>
  <c r="CO193"/>
  <c r="CM193"/>
  <c r="CG193"/>
  <c r="CE193"/>
  <c r="CJ193"/>
  <c r="CH193"/>
  <c r="CC193"/>
  <c r="CA193"/>
  <c r="CP193"/>
  <c r="CN193"/>
  <c r="CL193"/>
  <c r="CF193"/>
  <c r="CK193"/>
  <c r="CI193"/>
  <c r="CD193"/>
  <c r="CB193"/>
  <c r="BZ193"/>
  <c r="CQ191"/>
  <c r="CO191"/>
  <c r="CM191"/>
  <c r="CG191"/>
  <c r="CE191"/>
  <c r="CJ191"/>
  <c r="CH191"/>
  <c r="CC191"/>
  <c r="CA191"/>
  <c r="CP191"/>
  <c r="CN191"/>
  <c r="CL191"/>
  <c r="CF191"/>
  <c r="CK191"/>
  <c r="CI191"/>
  <c r="CD191"/>
  <c r="CB191"/>
  <c r="BZ191"/>
  <c r="CQ188"/>
  <c r="CO188"/>
  <c r="CM188"/>
  <c r="CG188"/>
  <c r="CE188"/>
  <c r="CJ188"/>
  <c r="CH188"/>
  <c r="CC188"/>
  <c r="CA188"/>
  <c r="CP188"/>
  <c r="CN188"/>
  <c r="CL188"/>
  <c r="CF188"/>
  <c r="CK188"/>
  <c r="CI188"/>
  <c r="CD188"/>
  <c r="CB188"/>
  <c r="BZ188"/>
  <c r="CQ185"/>
  <c r="CO185"/>
  <c r="CM185"/>
  <c r="CG185"/>
  <c r="CE185"/>
  <c r="CJ185"/>
  <c r="CH185"/>
  <c r="CC185"/>
  <c r="CA185"/>
  <c r="CP185"/>
  <c r="CN185"/>
  <c r="CL185"/>
  <c r="CF185"/>
  <c r="CK185"/>
  <c r="CI185"/>
  <c r="CD185"/>
  <c r="CB185"/>
  <c r="BZ185"/>
  <c r="CQ183"/>
  <c r="CO183"/>
  <c r="CM183"/>
  <c r="CG183"/>
  <c r="CE183"/>
  <c r="CJ183"/>
  <c r="CH183"/>
  <c r="CC183"/>
  <c r="CA183"/>
  <c r="CP183"/>
  <c r="CN183"/>
  <c r="CL183"/>
  <c r="CF183"/>
  <c r="CK183"/>
  <c r="CI183"/>
  <c r="CD183"/>
  <c r="CB183"/>
  <c r="BZ183"/>
  <c r="CQ181"/>
  <c r="CO181"/>
  <c r="CM181"/>
  <c r="CG181"/>
  <c r="CE181"/>
  <c r="CJ181"/>
  <c r="CH181"/>
  <c r="CC181"/>
  <c r="CA181"/>
  <c r="CP181"/>
  <c r="CN181"/>
  <c r="CL181"/>
  <c r="CF181"/>
  <c r="CK181"/>
  <c r="CI181"/>
  <c r="CD181"/>
  <c r="CB181"/>
  <c r="BZ181"/>
  <c r="CQ178"/>
  <c r="CO178"/>
  <c r="CM178"/>
  <c r="CG178"/>
  <c r="CE178"/>
  <c r="CJ178"/>
  <c r="CH178"/>
  <c r="CC178"/>
  <c r="CA178"/>
  <c r="CP178"/>
  <c r="CN178"/>
  <c r="CL178"/>
  <c r="CF178"/>
  <c r="CK178"/>
  <c r="CI178"/>
  <c r="CD178"/>
  <c r="CB178"/>
  <c r="BZ178"/>
  <c r="CQ176"/>
  <c r="CO176"/>
  <c r="CM176"/>
  <c r="CG176"/>
  <c r="CE176"/>
  <c r="CJ176"/>
  <c r="CH176"/>
  <c r="CC176"/>
  <c r="CA176"/>
  <c r="CP176"/>
  <c r="CN176"/>
  <c r="CL176"/>
  <c r="CF176"/>
  <c r="CK176"/>
  <c r="CI176"/>
  <c r="CD176"/>
  <c r="CB176"/>
  <c r="BZ176"/>
  <c r="CQ174"/>
  <c r="CO174"/>
  <c r="CM174"/>
  <c r="CG174"/>
  <c r="CE174"/>
  <c r="CJ174"/>
  <c r="CH174"/>
  <c r="CC174"/>
  <c r="CA174"/>
  <c r="CP174"/>
  <c r="CN174"/>
  <c r="CL174"/>
  <c r="CF174"/>
  <c r="CK174"/>
  <c r="CI174"/>
  <c r="CD174"/>
  <c r="CB174"/>
  <c r="BZ174"/>
  <c r="CQ172"/>
  <c r="CO172"/>
  <c r="CM172"/>
  <c r="CG172"/>
  <c r="CE172"/>
  <c r="CJ172"/>
  <c r="CH172"/>
  <c r="CC172"/>
  <c r="CA172"/>
  <c r="CP172"/>
  <c r="CN172"/>
  <c r="CL172"/>
  <c r="CF172"/>
  <c r="CK172"/>
  <c r="CI172"/>
  <c r="CD172"/>
  <c r="CB172"/>
  <c r="BZ172"/>
  <c r="CQ170"/>
  <c r="CO170"/>
  <c r="CM170"/>
  <c r="CG170"/>
  <c r="CE170"/>
  <c r="CJ170"/>
  <c r="CH170"/>
  <c r="CC170"/>
  <c r="CA170"/>
  <c r="CP170"/>
  <c r="CN170"/>
  <c r="CL170"/>
  <c r="CF170"/>
  <c r="CK170"/>
  <c r="CI170"/>
  <c r="CD170"/>
  <c r="CB170"/>
  <c r="BZ170"/>
  <c r="CQ168"/>
  <c r="CO168"/>
  <c r="CM168"/>
  <c r="CG168"/>
  <c r="CE168"/>
  <c r="CJ168"/>
  <c r="CH168"/>
  <c r="CC168"/>
  <c r="CA168"/>
  <c r="CP168"/>
  <c r="CN168"/>
  <c r="CL168"/>
  <c r="CF168"/>
  <c r="CK168"/>
  <c r="CI168"/>
  <c r="CD168"/>
  <c r="CB168"/>
  <c r="BZ168"/>
  <c r="CQ166"/>
  <c r="CO166"/>
  <c r="CM166"/>
  <c r="CG166"/>
  <c r="CE166"/>
  <c r="CJ166"/>
  <c r="CH166"/>
  <c r="CC166"/>
  <c r="CA166"/>
  <c r="CP166"/>
  <c r="CN166"/>
  <c r="CL166"/>
  <c r="CF166"/>
  <c r="CK166"/>
  <c r="CI166"/>
  <c r="CD166"/>
  <c r="CB166"/>
  <c r="BZ166"/>
  <c r="CQ164"/>
  <c r="CO164"/>
  <c r="CM164"/>
  <c r="CG164"/>
  <c r="CE164"/>
  <c r="CJ164"/>
  <c r="CH164"/>
  <c r="CC164"/>
  <c r="CA164"/>
  <c r="CP164"/>
  <c r="CN164"/>
  <c r="CL164"/>
  <c r="CF164"/>
  <c r="CK164"/>
  <c r="CI164"/>
  <c r="CD164"/>
  <c r="CB164"/>
  <c r="BZ164"/>
  <c r="CG162"/>
  <c r="CC162"/>
  <c r="CL162"/>
  <c r="CD162"/>
  <c r="CO160"/>
  <c r="CJ160"/>
  <c r="CP160"/>
  <c r="CK160"/>
  <c r="BZ160"/>
  <c r="CG158"/>
  <c r="CC158"/>
  <c r="CL158"/>
  <c r="CD158"/>
  <c r="CO156"/>
  <c r="CJ156"/>
  <c r="CP156"/>
  <c r="CK156"/>
  <c r="BZ156"/>
  <c r="CG154"/>
  <c r="CC154"/>
  <c r="CL154"/>
  <c r="CD154"/>
  <c r="CQ152"/>
  <c r="CO152"/>
  <c r="CM152"/>
  <c r="CG152"/>
  <c r="CE152"/>
  <c r="CJ152"/>
  <c r="CH152"/>
  <c r="CC152"/>
  <c r="CA152"/>
  <c r="CP152"/>
  <c r="CN152"/>
  <c r="CL152"/>
  <c r="CF152"/>
  <c r="CK152"/>
  <c r="CI152"/>
  <c r="CD152"/>
  <c r="CB152"/>
  <c r="BZ152"/>
  <c r="CQ179"/>
  <c r="CO179"/>
  <c r="CM179"/>
  <c r="CG179"/>
  <c r="CE179"/>
  <c r="CJ179"/>
  <c r="CH179"/>
  <c r="CC179"/>
  <c r="CA179"/>
  <c r="CP179"/>
  <c r="CN179"/>
  <c r="CL179"/>
  <c r="CF179"/>
  <c r="CK179"/>
  <c r="CI179"/>
  <c r="CD179"/>
  <c r="CB179"/>
  <c r="BZ179"/>
  <c r="CQ200"/>
  <c r="CO200"/>
  <c r="CM200"/>
  <c r="CG200"/>
  <c r="CE200"/>
  <c r="CJ200"/>
  <c r="CH200"/>
  <c r="CC200"/>
  <c r="CA200"/>
  <c r="CP200"/>
  <c r="CN200"/>
  <c r="CL200"/>
  <c r="CF200"/>
  <c r="CK200"/>
  <c r="CI200"/>
  <c r="CD200"/>
  <c r="CB200"/>
  <c r="BZ200"/>
  <c r="CQ214"/>
  <c r="CO214"/>
  <c r="CM214"/>
  <c r="CG214"/>
  <c r="CE214"/>
  <c r="CJ214"/>
  <c r="CH214"/>
  <c r="CC214"/>
  <c r="CA214"/>
  <c r="CP214"/>
  <c r="CN214"/>
  <c r="CL214"/>
  <c r="CF214"/>
  <c r="CK214"/>
  <c r="CI214"/>
  <c r="CD214"/>
  <c r="CB214"/>
  <c r="BZ214"/>
  <c r="BF152"/>
  <c r="BH152"/>
  <c r="BJ152"/>
  <c r="BO152"/>
  <c r="BQ152"/>
  <c r="BL152"/>
  <c r="BR152"/>
  <c r="BT152"/>
  <c r="BV152"/>
  <c r="BF153"/>
  <c r="BH153"/>
  <c r="BJ153"/>
  <c r="BO153"/>
  <c r="BQ153"/>
  <c r="BL153"/>
  <c r="BR153"/>
  <c r="BT153"/>
  <c r="BV153"/>
  <c r="BH154"/>
  <c r="BL154"/>
  <c r="BF155"/>
  <c r="BH155"/>
  <c r="BJ155"/>
  <c r="BO155"/>
  <c r="BQ155"/>
  <c r="BL155"/>
  <c r="BR155"/>
  <c r="BT155"/>
  <c r="BV155"/>
  <c r="BO156"/>
  <c r="BT156"/>
  <c r="BF157"/>
  <c r="BH157"/>
  <c r="BJ157"/>
  <c r="BO157"/>
  <c r="BQ157"/>
  <c r="BL157"/>
  <c r="BR157"/>
  <c r="BT157"/>
  <c r="BV157"/>
  <c r="BH158"/>
  <c r="BL158"/>
  <c r="BF159"/>
  <c r="BH159"/>
  <c r="BJ159"/>
  <c r="BO159"/>
  <c r="BQ159"/>
  <c r="BL159"/>
  <c r="BR159"/>
  <c r="BT159"/>
  <c r="BV159"/>
  <c r="BO160"/>
  <c r="BT160"/>
  <c r="BF161"/>
  <c r="BH161"/>
  <c r="BJ161"/>
  <c r="BO161"/>
  <c r="BQ161"/>
  <c r="BL161"/>
  <c r="BR161"/>
  <c r="BT161"/>
  <c r="BV161"/>
  <c r="BH162"/>
  <c r="BL162"/>
  <c r="BF163"/>
  <c r="BH163"/>
  <c r="BJ163"/>
  <c r="BO163"/>
  <c r="BQ163"/>
  <c r="BL163"/>
  <c r="BR163"/>
  <c r="BT163"/>
  <c r="BV163"/>
  <c r="BF164"/>
  <c r="BH164"/>
  <c r="BJ164"/>
  <c r="BO164"/>
  <c r="BQ164"/>
  <c r="BL164"/>
  <c r="BR164"/>
  <c r="BT164"/>
  <c r="BV164"/>
  <c r="BF165"/>
  <c r="BQ165"/>
  <c r="BV165"/>
  <c r="BF166"/>
  <c r="BH166"/>
  <c r="BJ166"/>
  <c r="BO166"/>
  <c r="BQ166"/>
  <c r="BL166"/>
  <c r="BR166"/>
  <c r="BT166"/>
  <c r="BV166"/>
  <c r="BF167"/>
  <c r="BQ167"/>
  <c r="BV167"/>
  <c r="BF168"/>
  <c r="BH168"/>
  <c r="BJ168"/>
  <c r="BO168"/>
  <c r="BQ168"/>
  <c r="BL168"/>
  <c r="BR168"/>
  <c r="BT168"/>
  <c r="BV168"/>
  <c r="BF169"/>
  <c r="BQ169"/>
  <c r="BV169"/>
  <c r="BF170"/>
  <c r="BH170"/>
  <c r="BJ170"/>
  <c r="BO170"/>
  <c r="BQ170"/>
  <c r="BL170"/>
  <c r="BR170"/>
  <c r="BT170"/>
  <c r="BV170"/>
  <c r="BF171"/>
  <c r="BQ171"/>
  <c r="BV171"/>
  <c r="BF172"/>
  <c r="BH172"/>
  <c r="BJ172"/>
  <c r="BO172"/>
  <c r="BQ172"/>
  <c r="BL172"/>
  <c r="BR172"/>
  <c r="BT172"/>
  <c r="BV172"/>
  <c r="BF173"/>
  <c r="BQ173"/>
  <c r="BV173"/>
  <c r="BF174"/>
  <c r="BH174"/>
  <c r="BJ174"/>
  <c r="BO174"/>
  <c r="BQ174"/>
  <c r="BL174"/>
  <c r="BR174"/>
  <c r="BT174"/>
  <c r="BV174"/>
  <c r="BF175"/>
  <c r="BQ175"/>
  <c r="BV175"/>
  <c r="BF176"/>
  <c r="BH176"/>
  <c r="BJ176"/>
  <c r="BO176"/>
  <c r="BQ176"/>
  <c r="BL176"/>
  <c r="BR176"/>
  <c r="BT176"/>
  <c r="BV176"/>
  <c r="BF177"/>
  <c r="BQ177"/>
  <c r="BV177"/>
  <c r="BF178"/>
  <c r="BH178"/>
  <c r="BJ178"/>
  <c r="BO178"/>
  <c r="BQ178"/>
  <c r="BL178"/>
  <c r="BR178"/>
  <c r="BT178"/>
  <c r="BV178"/>
  <c r="BF179"/>
  <c r="BH179"/>
  <c r="BJ179"/>
  <c r="BO179"/>
  <c r="BQ179"/>
  <c r="BL179"/>
  <c r="BR179"/>
  <c r="BT179"/>
  <c r="BV179"/>
  <c r="BO180"/>
  <c r="BT180"/>
  <c r="BF181"/>
  <c r="BH181"/>
  <c r="BJ181"/>
  <c r="BO181"/>
  <c r="BQ181"/>
  <c r="BL181"/>
  <c r="BR181"/>
  <c r="BT181"/>
  <c r="BV181"/>
  <c r="BH182"/>
  <c r="BL182"/>
  <c r="BF183"/>
  <c r="BH183"/>
  <c r="BJ183"/>
  <c r="BO183"/>
  <c r="BQ183"/>
  <c r="BL183"/>
  <c r="BR183"/>
  <c r="BT183"/>
  <c r="BV183"/>
  <c r="BO184"/>
  <c r="BT184"/>
  <c r="BF185"/>
  <c r="BH185"/>
  <c r="BJ185"/>
  <c r="BO185"/>
  <c r="BQ185"/>
  <c r="BL185"/>
  <c r="BR185"/>
  <c r="BT185"/>
  <c r="BV185"/>
  <c r="BH186"/>
  <c r="BL186"/>
  <c r="BF187"/>
  <c r="BQ187"/>
  <c r="BV187"/>
  <c r="BF188"/>
  <c r="BH188"/>
  <c r="BJ188"/>
  <c r="BO188"/>
  <c r="BQ188"/>
  <c r="BL188"/>
  <c r="BR188"/>
  <c r="BT188"/>
  <c r="BV188"/>
  <c r="BF190"/>
  <c r="BQ190"/>
  <c r="BV190"/>
  <c r="BF191"/>
  <c r="BH191"/>
  <c r="BJ191"/>
  <c r="BO191"/>
  <c r="BQ191"/>
  <c r="BL191"/>
  <c r="BR191"/>
  <c r="BT191"/>
  <c r="BV191"/>
  <c r="BF192"/>
  <c r="BQ192"/>
  <c r="BV192"/>
  <c r="BF193"/>
  <c r="BH193"/>
  <c r="BJ193"/>
  <c r="BO193"/>
  <c r="BQ193"/>
  <c r="BL193"/>
  <c r="BR193"/>
  <c r="BT193"/>
  <c r="BV193"/>
  <c r="BF194"/>
  <c r="BQ194"/>
  <c r="BV194"/>
  <c r="BF195"/>
  <c r="BH195"/>
  <c r="BJ195"/>
  <c r="BO195"/>
  <c r="BQ195"/>
  <c r="BL195"/>
  <c r="BR195"/>
  <c r="BT195"/>
  <c r="BV195"/>
  <c r="BF196"/>
  <c r="BQ196"/>
  <c r="BV196"/>
  <c r="BF197"/>
  <c r="BH197"/>
  <c r="BJ197"/>
  <c r="BO197"/>
  <c r="BQ197"/>
  <c r="BL197"/>
  <c r="BR197"/>
  <c r="BT197"/>
  <c r="BV197"/>
  <c r="BF198"/>
  <c r="BQ198"/>
  <c r="BV198"/>
  <c r="BF199"/>
  <c r="BH199"/>
  <c r="BJ199"/>
  <c r="BO199"/>
  <c r="BQ199"/>
  <c r="BL199"/>
  <c r="BR199"/>
  <c r="BT199"/>
  <c r="BV199"/>
  <c r="BF200"/>
  <c r="BH200"/>
  <c r="BJ200"/>
  <c r="BO200"/>
  <c r="BQ200"/>
  <c r="BL200"/>
  <c r="BR200"/>
  <c r="BT200"/>
  <c r="BV200"/>
  <c r="BO201"/>
  <c r="BT201"/>
  <c r="BJ202"/>
  <c r="BR202"/>
  <c r="BF204"/>
  <c r="BH204"/>
  <c r="BJ204"/>
  <c r="BO204"/>
  <c r="BQ204"/>
  <c r="BL204"/>
  <c r="BR204"/>
  <c r="BT204"/>
  <c r="BV204"/>
  <c r="BJ205"/>
  <c r="BR205"/>
  <c r="BF206"/>
  <c r="BH206"/>
  <c r="BJ206"/>
  <c r="BO206"/>
  <c r="BQ206"/>
  <c r="BL206"/>
  <c r="BR206"/>
  <c r="BT206"/>
  <c r="BV206"/>
  <c r="BJ207"/>
  <c r="BR207"/>
  <c r="BF208"/>
  <c r="BH208"/>
  <c r="BJ208"/>
  <c r="BO208"/>
  <c r="BQ208"/>
  <c r="BL208"/>
  <c r="BR208"/>
  <c r="BT208"/>
  <c r="BV208"/>
  <c r="BJ211"/>
  <c r="BR211"/>
  <c r="BF212"/>
  <c r="BH212"/>
  <c r="BJ212"/>
  <c r="BO212"/>
  <c r="BQ212"/>
  <c r="BL212"/>
  <c r="BR212"/>
  <c r="BT212"/>
  <c r="BV212"/>
  <c r="BJ213"/>
  <c r="BR213"/>
  <c r="BF214"/>
  <c r="BH214"/>
  <c r="BJ214"/>
  <c r="BO214"/>
  <c r="BQ214"/>
  <c r="BL214"/>
  <c r="BR214"/>
  <c r="BT214"/>
  <c r="BV214"/>
  <c r="BF215"/>
  <c r="BH215"/>
  <c r="BJ215"/>
  <c r="BO215"/>
  <c r="BQ215"/>
  <c r="BL215"/>
  <c r="BR215"/>
  <c r="BT215"/>
  <c r="BV215"/>
  <c r="BH216"/>
  <c r="BL216"/>
  <c r="BF217"/>
  <c r="BH217"/>
  <c r="BJ217"/>
  <c r="BO217"/>
  <c r="BQ217"/>
  <c r="BL217"/>
  <c r="BR217"/>
  <c r="BT217"/>
  <c r="BV217"/>
  <c r="BO218"/>
  <c r="BT218"/>
  <c r="BF220"/>
  <c r="BH220"/>
  <c r="BJ220"/>
  <c r="BO220"/>
  <c r="BQ220"/>
  <c r="BL220"/>
  <c r="BR220"/>
  <c r="BT220"/>
  <c r="BV220"/>
  <c r="BH221"/>
  <c r="BL221"/>
  <c r="BF222"/>
  <c r="BH222"/>
  <c r="BJ222"/>
  <c r="BO222"/>
  <c r="BQ222"/>
  <c r="BL222"/>
  <c r="BR222"/>
  <c r="BT222"/>
  <c r="BV222"/>
  <c r="BO223"/>
  <c r="BT223"/>
  <c r="BF224"/>
  <c r="BH224"/>
  <c r="BJ224"/>
  <c r="BO224"/>
  <c r="BQ224"/>
  <c r="BL224"/>
  <c r="BR224"/>
  <c r="BT224"/>
  <c r="BV224"/>
  <c r="BH225"/>
  <c r="BL225"/>
  <c r="BF226"/>
  <c r="BH226"/>
  <c r="BJ226"/>
  <c r="BO226"/>
  <c r="BQ226"/>
  <c r="BL226"/>
  <c r="BR226"/>
  <c r="BT226"/>
  <c r="BV226"/>
  <c r="BO227"/>
  <c r="BT227"/>
  <c r="BF228"/>
  <c r="BH228"/>
  <c r="BJ228"/>
  <c r="BO228"/>
  <c r="BQ228"/>
  <c r="BL228"/>
  <c r="BR228"/>
  <c r="BT228"/>
  <c r="BV228"/>
  <c r="BH229"/>
  <c r="BL229"/>
  <c r="BF230"/>
  <c r="BH230"/>
  <c r="BJ230"/>
  <c r="BO230"/>
  <c r="BQ230"/>
  <c r="BL230"/>
  <c r="BR230"/>
  <c r="BT230"/>
  <c r="BV230"/>
  <c r="BO231"/>
  <c r="BT231"/>
  <c r="BF232"/>
  <c r="BH232"/>
  <c r="BJ232"/>
  <c r="BO232"/>
  <c r="BQ232"/>
  <c r="BL232"/>
  <c r="BR232"/>
  <c r="BT232"/>
  <c r="BV232"/>
  <c r="BH233"/>
  <c r="BL233"/>
  <c r="BF234"/>
  <c r="BH234"/>
  <c r="BJ234"/>
  <c r="BO234"/>
  <c r="BQ234"/>
  <c r="BL234"/>
  <c r="BR234"/>
  <c r="BT234"/>
  <c r="BV234"/>
  <c r="BO235"/>
  <c r="BT235"/>
  <c r="BF236"/>
  <c r="BH236"/>
  <c r="BJ236"/>
  <c r="BO236"/>
  <c r="BQ236"/>
  <c r="BL236"/>
  <c r="BR236"/>
  <c r="BT236"/>
  <c r="BV236"/>
  <c r="BH237"/>
  <c r="BL237"/>
  <c r="BF238"/>
  <c r="BH238"/>
  <c r="BJ238"/>
  <c r="BO238"/>
  <c r="BQ238"/>
  <c r="BL238"/>
  <c r="BR238"/>
  <c r="BT238"/>
  <c r="BV238"/>
  <c r="BO239"/>
  <c r="BT239"/>
  <c r="BF240"/>
  <c r="BH240"/>
  <c r="BJ240"/>
  <c r="BO240"/>
  <c r="BQ240"/>
  <c r="BL240"/>
  <c r="BR240"/>
  <c r="BT240"/>
  <c r="BV240"/>
  <c r="BH241"/>
  <c r="BL241"/>
  <c r="BF242"/>
  <c r="BH242"/>
  <c r="BJ242"/>
  <c r="BO242"/>
  <c r="BQ242"/>
  <c r="BL242"/>
  <c r="BR242"/>
  <c r="BT242"/>
  <c r="BV242"/>
  <c r="BO243"/>
  <c r="BT243"/>
  <c r="BF245"/>
  <c r="BH245"/>
  <c r="BJ245"/>
  <c r="BO245"/>
  <c r="BQ245"/>
  <c r="BL245"/>
  <c r="BR245"/>
  <c r="BT245"/>
  <c r="BV245"/>
  <c r="BH247"/>
  <c r="BL247"/>
  <c r="BF248"/>
  <c r="BH248"/>
  <c r="BJ248"/>
  <c r="BO248"/>
  <c r="BQ248"/>
  <c r="BL248"/>
  <c r="BR248"/>
  <c r="BT248"/>
  <c r="BV248"/>
  <c r="BO249"/>
  <c r="BT249"/>
  <c r="BF250"/>
  <c r="BH250"/>
  <c r="BJ250"/>
  <c r="BO250"/>
  <c r="BQ250"/>
  <c r="BL250"/>
  <c r="BR250"/>
  <c r="BT250"/>
  <c r="BV250"/>
  <c r="BH251"/>
  <c r="BL251"/>
  <c r="BF252"/>
  <c r="BH252"/>
  <c r="BJ252"/>
  <c r="BO252"/>
  <c r="BQ252"/>
  <c r="BL252"/>
  <c r="BR252"/>
  <c r="BT252"/>
  <c r="BV252"/>
  <c r="BO253"/>
  <c r="BT253"/>
  <c r="BF254"/>
  <c r="BH254"/>
  <c r="BJ254"/>
  <c r="BO254"/>
  <c r="BQ254"/>
  <c r="BL254"/>
  <c r="BR254"/>
  <c r="BT254"/>
  <c r="BV254"/>
  <c r="BH256"/>
  <c r="BL256"/>
  <c r="BF257"/>
  <c r="BH257"/>
  <c r="BJ257"/>
  <c r="BO257"/>
  <c r="BQ257"/>
  <c r="BL257"/>
  <c r="BR257"/>
  <c r="BT257"/>
  <c r="BV257"/>
  <c r="BO258"/>
  <c r="BT258"/>
  <c r="BF260"/>
  <c r="BH260"/>
  <c r="BJ260"/>
  <c r="BO260"/>
  <c r="BQ260"/>
  <c r="BL260"/>
  <c r="BR260"/>
  <c r="BT260"/>
  <c r="BV260"/>
  <c r="BH261"/>
  <c r="BL261"/>
  <c r="BF262"/>
  <c r="BH262"/>
  <c r="BJ262"/>
  <c r="BO262"/>
  <c r="BQ262"/>
  <c r="BL262"/>
  <c r="BR262"/>
  <c r="BT262"/>
  <c r="BV262"/>
  <c r="BO263"/>
  <c r="BT263"/>
  <c r="BF264"/>
  <c r="BH264"/>
  <c r="BJ264"/>
  <c r="BO264"/>
  <c r="BQ264"/>
  <c r="BL264"/>
  <c r="BR264"/>
  <c r="BT264"/>
  <c r="BV264"/>
  <c r="BH265"/>
  <c r="BL265"/>
  <c r="BF266"/>
  <c r="BH266"/>
  <c r="BJ266"/>
  <c r="BO266"/>
  <c r="BQ266"/>
  <c r="BL266"/>
  <c r="BR266"/>
  <c r="BT266"/>
  <c r="CQ142"/>
  <c r="CE142"/>
  <c r="CA142"/>
  <c r="CF142"/>
  <c r="CB142"/>
  <c r="BS142"/>
  <c r="BN142"/>
  <c r="BT142"/>
  <c r="BO142"/>
  <c r="CQ139"/>
  <c r="CE139"/>
  <c r="CA139"/>
  <c r="CF139"/>
  <c r="CB139"/>
  <c r="BS139"/>
  <c r="BN139"/>
  <c r="BT139"/>
  <c r="BO139"/>
  <c r="CQ137"/>
  <c r="CE137"/>
  <c r="CA137"/>
  <c r="CF137"/>
  <c r="CB137"/>
  <c r="BS137"/>
  <c r="BN137"/>
  <c r="BT137"/>
  <c r="BO137"/>
  <c r="CQ134"/>
  <c r="CE134"/>
  <c r="CA134"/>
  <c r="CF134"/>
  <c r="CB134"/>
  <c r="BS134"/>
  <c r="BN134"/>
  <c r="BT134"/>
  <c r="BO134"/>
  <c r="CQ132"/>
  <c r="CE132"/>
  <c r="CA132"/>
  <c r="CF132"/>
  <c r="CB132"/>
  <c r="BS132"/>
  <c r="BN132"/>
  <c r="BT132"/>
  <c r="BO132"/>
  <c r="CQ129"/>
  <c r="CE129"/>
  <c r="CA129"/>
  <c r="CF129"/>
  <c r="CB129"/>
  <c r="BS129"/>
  <c r="BN129"/>
  <c r="BT129"/>
  <c r="BO129"/>
  <c r="CQ126"/>
  <c r="CE126"/>
  <c r="CA126"/>
  <c r="CF126"/>
  <c r="CB126"/>
  <c r="BS126"/>
  <c r="BN126"/>
  <c r="BT126"/>
  <c r="BO126"/>
  <c r="CQ123"/>
  <c r="CE123"/>
  <c r="CA123"/>
  <c r="CF123"/>
  <c r="CB123"/>
  <c r="BS123"/>
  <c r="BN123"/>
  <c r="BT123"/>
  <c r="BO123"/>
  <c r="CQ121"/>
  <c r="CE121"/>
  <c r="CA121"/>
  <c r="CF121"/>
  <c r="CB121"/>
  <c r="BS121"/>
  <c r="BN121"/>
  <c r="BT121"/>
  <c r="BO121"/>
  <c r="CQ118"/>
  <c r="CE118"/>
  <c r="CA118"/>
  <c r="CF118"/>
  <c r="CB118"/>
  <c r="BS118"/>
  <c r="BN118"/>
  <c r="BT118"/>
  <c r="BO118"/>
  <c r="CQ114"/>
  <c r="CN114"/>
  <c r="CH114"/>
  <c r="BU114"/>
  <c r="BP114"/>
  <c r="CL114"/>
  <c r="CD114"/>
  <c r="BT114"/>
  <c r="BO114"/>
  <c r="CQ112"/>
  <c r="CE112"/>
  <c r="CA112"/>
  <c r="BM112"/>
  <c r="BI112"/>
  <c r="CL112"/>
  <c r="CD112"/>
  <c r="BT112"/>
  <c r="BO112"/>
  <c r="CQ110"/>
  <c r="CE110"/>
  <c r="CA110"/>
  <c r="BM110"/>
  <c r="BI110"/>
  <c r="CL110"/>
  <c r="CD110"/>
  <c r="BT110"/>
  <c r="BO110"/>
  <c r="CQ107"/>
  <c r="CE107"/>
  <c r="CA107"/>
  <c r="BM107"/>
  <c r="CL107"/>
  <c r="CD107"/>
  <c r="BT107"/>
  <c r="BO107"/>
  <c r="CO105"/>
  <c r="CJ105"/>
  <c r="CP105"/>
  <c r="CK105"/>
  <c r="BZ105"/>
  <c r="CG102"/>
  <c r="CC102"/>
  <c r="CL102"/>
  <c r="CD102"/>
  <c r="CO100"/>
  <c r="CJ100"/>
  <c r="CP100"/>
  <c r="CK100"/>
  <c r="BZ100"/>
  <c r="CG98"/>
  <c r="CC98"/>
  <c r="CL98"/>
  <c r="CD98"/>
  <c r="CO96"/>
  <c r="CJ96"/>
  <c r="CP96"/>
  <c r="CK96"/>
  <c r="BZ96"/>
  <c r="CG94"/>
  <c r="CC94"/>
  <c r="CL94"/>
  <c r="CD94"/>
  <c r="CO92"/>
  <c r="CJ92"/>
  <c r="CP92"/>
  <c r="CK92"/>
  <c r="BZ92"/>
  <c r="CG90"/>
  <c r="CC90"/>
  <c r="CL90"/>
  <c r="CD90"/>
  <c r="CO88"/>
  <c r="CJ88"/>
  <c r="CP88"/>
  <c r="CK88"/>
  <c r="BZ88"/>
  <c r="BP88"/>
  <c r="BU88"/>
  <c r="BG89"/>
  <c r="BI89"/>
  <c r="BN89"/>
  <c r="BP89"/>
  <c r="BK89"/>
  <c r="BM89"/>
  <c r="BS89"/>
  <c r="BU89"/>
  <c r="BN90"/>
  <c r="BS90"/>
  <c r="BG91"/>
  <c r="BI91"/>
  <c r="BN91"/>
  <c r="BP91"/>
  <c r="BK91"/>
  <c r="BS91"/>
  <c r="BU91"/>
  <c r="BI92"/>
  <c r="BM92"/>
  <c r="BG93"/>
  <c r="BI93"/>
  <c r="BN93"/>
  <c r="BP93"/>
  <c r="BK93"/>
  <c r="BM93"/>
  <c r="BS93"/>
  <c r="BU93"/>
  <c r="BG94"/>
  <c r="BK94"/>
  <c r="BW94"/>
  <c r="BG95"/>
  <c r="BI95"/>
  <c r="BN95"/>
  <c r="BP95"/>
  <c r="BK95"/>
  <c r="BM95"/>
  <c r="BU95"/>
  <c r="BI96"/>
  <c r="BM96"/>
  <c r="BG97"/>
  <c r="BI97"/>
  <c r="BN97"/>
  <c r="BP97"/>
  <c r="BK97"/>
  <c r="BM97"/>
  <c r="BS97"/>
  <c r="BU97"/>
  <c r="BG98"/>
  <c r="BK98"/>
  <c r="BW98"/>
  <c r="BG99"/>
  <c r="BI99"/>
  <c r="BN99"/>
  <c r="BP99"/>
  <c r="BK99"/>
  <c r="BM99"/>
  <c r="BS99"/>
  <c r="BU99"/>
  <c r="BP100"/>
  <c r="BU100"/>
  <c r="BG101"/>
  <c r="BI101"/>
  <c r="BN101"/>
  <c r="BP101"/>
  <c r="BK101"/>
  <c r="BM101"/>
  <c r="BS101"/>
  <c r="BU101"/>
  <c r="BN102"/>
  <c r="BS102"/>
  <c r="BG103"/>
  <c r="BI103"/>
  <c r="BN103"/>
  <c r="BP103"/>
  <c r="BK103"/>
  <c r="BM103"/>
  <c r="BS103"/>
  <c r="BI105"/>
  <c r="BM105"/>
  <c r="BG106"/>
  <c r="BI106"/>
  <c r="BN106"/>
  <c r="BP106"/>
  <c r="BK106"/>
  <c r="BM106"/>
  <c r="BS106"/>
  <c r="BU106"/>
  <c r="BG107"/>
  <c r="CQ144"/>
  <c r="CO144"/>
  <c r="CM144"/>
  <c r="CG144"/>
  <c r="CE144"/>
  <c r="CJ144"/>
  <c r="CH144"/>
  <c r="CC144"/>
  <c r="CA144"/>
  <c r="CP144"/>
  <c r="CN144"/>
  <c r="CL144"/>
  <c r="CF144"/>
  <c r="CK144"/>
  <c r="CI144"/>
  <c r="CD144"/>
  <c r="CB144"/>
  <c r="BZ144"/>
  <c r="BW144"/>
  <c r="BU144"/>
  <c r="BS144"/>
  <c r="BM144"/>
  <c r="BK144"/>
  <c r="BP144"/>
  <c r="BN144"/>
  <c r="BI144"/>
  <c r="BG144"/>
  <c r="BV144"/>
  <c r="BT144"/>
  <c r="BR144"/>
  <c r="BL144"/>
  <c r="BQ144"/>
  <c r="BO144"/>
  <c r="BJ144"/>
  <c r="BH144"/>
  <c r="BF144"/>
  <c r="CQ140"/>
  <c r="CO140"/>
  <c r="CM140"/>
  <c r="CG140"/>
  <c r="CE140"/>
  <c r="CJ140"/>
  <c r="CH140"/>
  <c r="CC140"/>
  <c r="CA140"/>
  <c r="CP140"/>
  <c r="CN140"/>
  <c r="CL140"/>
  <c r="CF140"/>
  <c r="CK140"/>
  <c r="CI140"/>
  <c r="CD140"/>
  <c r="CB140"/>
  <c r="BZ140"/>
  <c r="BW140"/>
  <c r="BU140"/>
  <c r="BS140"/>
  <c r="BM140"/>
  <c r="BK140"/>
  <c r="BP140"/>
  <c r="BN140"/>
  <c r="BI140"/>
  <c r="BG140"/>
  <c r="BV140"/>
  <c r="BT140"/>
  <c r="BR140"/>
  <c r="BL140"/>
  <c r="BO140"/>
  <c r="BJ140"/>
  <c r="BH140"/>
  <c r="BF140"/>
  <c r="CQ138"/>
  <c r="CO138"/>
  <c r="CM138"/>
  <c r="CG138"/>
  <c r="CE138"/>
  <c r="CJ138"/>
  <c r="CH138"/>
  <c r="CC138"/>
  <c r="CA138"/>
  <c r="CP138"/>
  <c r="CN138"/>
  <c r="CL138"/>
  <c r="CF138"/>
  <c r="CK138"/>
  <c r="CI138"/>
  <c r="CD138"/>
  <c r="CB138"/>
  <c r="BZ138"/>
  <c r="BW138"/>
  <c r="BU138"/>
  <c r="BS138"/>
  <c r="BM138"/>
  <c r="BK138"/>
  <c r="BP138"/>
  <c r="BN138"/>
  <c r="BI138"/>
  <c r="BG138"/>
  <c r="BV138"/>
  <c r="BT138"/>
  <c r="BR138"/>
  <c r="BL138"/>
  <c r="BO138"/>
  <c r="BJ138"/>
  <c r="BH138"/>
  <c r="BF138"/>
  <c r="CQ135"/>
  <c r="CO135"/>
  <c r="CM135"/>
  <c r="CG135"/>
  <c r="CE135"/>
  <c r="CJ135"/>
  <c r="CH135"/>
  <c r="CC135"/>
  <c r="CA135"/>
  <c r="CP135"/>
  <c r="CN135"/>
  <c r="CL135"/>
  <c r="CF135"/>
  <c r="CK135"/>
  <c r="CI135"/>
  <c r="CD135"/>
  <c r="CB135"/>
  <c r="BZ135"/>
  <c r="BW135"/>
  <c r="BU135"/>
  <c r="BS135"/>
  <c r="BM135"/>
  <c r="BK135"/>
  <c r="BP135"/>
  <c r="BN135"/>
  <c r="BI135"/>
  <c r="BG135"/>
  <c r="BV135"/>
  <c r="BT135"/>
  <c r="BR135"/>
  <c r="BL135"/>
  <c r="BO135"/>
  <c r="BJ135"/>
  <c r="BH135"/>
  <c r="BF135"/>
  <c r="CQ133"/>
  <c r="CO133"/>
  <c r="CM133"/>
  <c r="CG133"/>
  <c r="CE133"/>
  <c r="CJ133"/>
  <c r="CH133"/>
  <c r="CC133"/>
  <c r="CA133"/>
  <c r="CP133"/>
  <c r="CN133"/>
  <c r="CL133"/>
  <c r="CF133"/>
  <c r="CK133"/>
  <c r="CI133"/>
  <c r="CD133"/>
  <c r="CB133"/>
  <c r="BZ133"/>
  <c r="BW133"/>
  <c r="BU133"/>
  <c r="BS133"/>
  <c r="BM133"/>
  <c r="BK133"/>
  <c r="BP133"/>
  <c r="BN133"/>
  <c r="BI133"/>
  <c r="BG133"/>
  <c r="BV133"/>
  <c r="BT133"/>
  <c r="BR133"/>
  <c r="BL133"/>
  <c r="BO133"/>
  <c r="BJ133"/>
  <c r="BH133"/>
  <c r="BF133"/>
  <c r="CQ130"/>
  <c r="CO130"/>
  <c r="CM130"/>
  <c r="CG130"/>
  <c r="CE130"/>
  <c r="CJ130"/>
  <c r="CH130"/>
  <c r="CC130"/>
  <c r="CA130"/>
  <c r="CP130"/>
  <c r="CN130"/>
  <c r="CL130"/>
  <c r="CF130"/>
  <c r="CK130"/>
  <c r="CI130"/>
  <c r="CD130"/>
  <c r="CB130"/>
  <c r="BZ130"/>
  <c r="BW130"/>
  <c r="BU130"/>
  <c r="BS130"/>
  <c r="BM130"/>
  <c r="BK130"/>
  <c r="BN130"/>
  <c r="BI130"/>
  <c r="BG130"/>
  <c r="BV130"/>
  <c r="BT130"/>
  <c r="BR130"/>
  <c r="BL130"/>
  <c r="BQ130"/>
  <c r="BO130"/>
  <c r="BJ130"/>
  <c r="BH130"/>
  <c r="BF130"/>
  <c r="CQ127"/>
  <c r="CO127"/>
  <c r="CM127"/>
  <c r="CG127"/>
  <c r="CE127"/>
  <c r="CJ127"/>
  <c r="CH127"/>
  <c r="CC127"/>
  <c r="CA127"/>
  <c r="CP127"/>
  <c r="CN127"/>
  <c r="CL127"/>
  <c r="CF127"/>
  <c r="CK127"/>
  <c r="CI127"/>
  <c r="CD127"/>
  <c r="CB127"/>
  <c r="BZ127"/>
  <c r="BW127"/>
  <c r="BU127"/>
  <c r="BS127"/>
  <c r="BM127"/>
  <c r="BK127"/>
  <c r="BN127"/>
  <c r="BI127"/>
  <c r="BG127"/>
  <c r="BV127"/>
  <c r="BT127"/>
  <c r="BR127"/>
  <c r="BL127"/>
  <c r="BQ127"/>
  <c r="BO127"/>
  <c r="BJ127"/>
  <c r="BH127"/>
  <c r="BF127"/>
  <c r="CQ124"/>
  <c r="CO124"/>
  <c r="CM124"/>
  <c r="CG124"/>
  <c r="CE124"/>
  <c r="CJ124"/>
  <c r="CH124"/>
  <c r="CC124"/>
  <c r="CA124"/>
  <c r="CP124"/>
  <c r="CN124"/>
  <c r="CL124"/>
  <c r="CF124"/>
  <c r="CK124"/>
  <c r="CI124"/>
  <c r="CD124"/>
  <c r="CB124"/>
  <c r="BZ124"/>
  <c r="BW124"/>
  <c r="BU124"/>
  <c r="BS124"/>
  <c r="BM124"/>
  <c r="BK124"/>
  <c r="BP124"/>
  <c r="BN124"/>
  <c r="BI124"/>
  <c r="BG124"/>
  <c r="BV124"/>
  <c r="BT124"/>
  <c r="BR124"/>
  <c r="BL124"/>
  <c r="BQ124"/>
  <c r="BJ124"/>
  <c r="BH124"/>
  <c r="BF124"/>
  <c r="CQ122"/>
  <c r="CO122"/>
  <c r="CM122"/>
  <c r="CG122"/>
  <c r="CE122"/>
  <c r="CJ122"/>
  <c r="CH122"/>
  <c r="CC122"/>
  <c r="CA122"/>
  <c r="CP122"/>
  <c r="CN122"/>
  <c r="CL122"/>
  <c r="CF122"/>
  <c r="CK122"/>
  <c r="CI122"/>
  <c r="CD122"/>
  <c r="CB122"/>
  <c r="BZ122"/>
  <c r="BW122"/>
  <c r="BU122"/>
  <c r="BS122"/>
  <c r="BM122"/>
  <c r="BK122"/>
  <c r="BP122"/>
  <c r="BN122"/>
  <c r="BI122"/>
  <c r="BG122"/>
  <c r="BV122"/>
  <c r="BT122"/>
  <c r="BR122"/>
  <c r="BL122"/>
  <c r="BQ122"/>
  <c r="BJ122"/>
  <c r="BH122"/>
  <c r="BF122"/>
  <c r="CQ119"/>
  <c r="CO119"/>
  <c r="CM119"/>
  <c r="CG119"/>
  <c r="CE119"/>
  <c r="CJ119"/>
  <c r="CH119"/>
  <c r="CC119"/>
  <c r="CA119"/>
  <c r="CP119"/>
  <c r="CN119"/>
  <c r="CL119"/>
  <c r="CF119"/>
  <c r="CK119"/>
  <c r="CI119"/>
  <c r="CD119"/>
  <c r="CB119"/>
  <c r="BZ119"/>
  <c r="BW119"/>
  <c r="BU119"/>
  <c r="BS119"/>
  <c r="BM119"/>
  <c r="BK119"/>
  <c r="BP119"/>
  <c r="BN119"/>
  <c r="BI119"/>
  <c r="BG119"/>
  <c r="BV119"/>
  <c r="BT119"/>
  <c r="BR119"/>
  <c r="BL119"/>
  <c r="BO119"/>
  <c r="BJ119"/>
  <c r="BH119"/>
  <c r="BF119"/>
  <c r="CQ117"/>
  <c r="CO117"/>
  <c r="CM117"/>
  <c r="CG117"/>
  <c r="CE117"/>
  <c r="CJ117"/>
  <c r="CH117"/>
  <c r="CC117"/>
  <c r="CA117"/>
  <c r="CP117"/>
  <c r="CN117"/>
  <c r="CL117"/>
  <c r="CF117"/>
  <c r="CK117"/>
  <c r="CI117"/>
  <c r="CD117"/>
  <c r="CB117"/>
  <c r="BZ117"/>
  <c r="BW117"/>
  <c r="BU117"/>
  <c r="BS117"/>
  <c r="BM117"/>
  <c r="BK117"/>
  <c r="BP117"/>
  <c r="BN117"/>
  <c r="BI117"/>
  <c r="BG117"/>
  <c r="BV117"/>
  <c r="BT117"/>
  <c r="BR117"/>
  <c r="BL117"/>
  <c r="BO117"/>
  <c r="BJ117"/>
  <c r="BH117"/>
  <c r="BF117"/>
  <c r="CQ113"/>
  <c r="CO113"/>
  <c r="CM113"/>
  <c r="CG113"/>
  <c r="CE113"/>
  <c r="CJ113"/>
  <c r="CH113"/>
  <c r="CC113"/>
  <c r="CA113"/>
  <c r="BW113"/>
  <c r="BU113"/>
  <c r="BS113"/>
  <c r="BM113"/>
  <c r="BK113"/>
  <c r="BP113"/>
  <c r="BN113"/>
  <c r="BI113"/>
  <c r="BG113"/>
  <c r="CP113"/>
  <c r="CN113"/>
  <c r="CL113"/>
  <c r="CF113"/>
  <c r="CK113"/>
  <c r="CI113"/>
  <c r="CD113"/>
  <c r="CB113"/>
  <c r="BZ113"/>
  <c r="BV113"/>
  <c r="BT113"/>
  <c r="BR113"/>
  <c r="BL113"/>
  <c r="BO113"/>
  <c r="BJ113"/>
  <c r="BH113"/>
  <c r="BF113"/>
  <c r="CQ111"/>
  <c r="CO111"/>
  <c r="CM111"/>
  <c r="CG111"/>
  <c r="CE111"/>
  <c r="CJ111"/>
  <c r="CH111"/>
  <c r="CC111"/>
  <c r="CA111"/>
  <c r="BW111"/>
  <c r="BU111"/>
  <c r="BS111"/>
  <c r="BM111"/>
  <c r="BK111"/>
  <c r="BP111"/>
  <c r="BN111"/>
  <c r="BI111"/>
  <c r="BG111"/>
  <c r="CP111"/>
  <c r="CN111"/>
  <c r="CL111"/>
  <c r="CF111"/>
  <c r="CK111"/>
  <c r="CI111"/>
  <c r="CD111"/>
  <c r="CB111"/>
  <c r="BZ111"/>
  <c r="BV111"/>
  <c r="BT111"/>
  <c r="BR111"/>
  <c r="BL111"/>
  <c r="BQ111"/>
  <c r="BO111"/>
  <c r="BJ111"/>
  <c r="BH111"/>
  <c r="BF111"/>
  <c r="CQ108"/>
  <c r="CO108"/>
  <c r="CM108"/>
  <c r="CG108"/>
  <c r="CE108"/>
  <c r="CJ108"/>
  <c r="CH108"/>
  <c r="CC108"/>
  <c r="CA108"/>
  <c r="BW108"/>
  <c r="BU108"/>
  <c r="BS108"/>
  <c r="BM108"/>
  <c r="BK108"/>
  <c r="BP108"/>
  <c r="BN108"/>
  <c r="BI108"/>
  <c r="BG108"/>
  <c r="CP108"/>
  <c r="CN108"/>
  <c r="CL108"/>
  <c r="CF108"/>
  <c r="CK108"/>
  <c r="CI108"/>
  <c r="CD108"/>
  <c r="CB108"/>
  <c r="BZ108"/>
  <c r="BV108"/>
  <c r="BT108"/>
  <c r="BR108"/>
  <c r="BL108"/>
  <c r="BQ108"/>
  <c r="BO108"/>
  <c r="BJ108"/>
  <c r="BH108"/>
  <c r="BF108"/>
  <c r="CQ106"/>
  <c r="CO106"/>
  <c r="CM106"/>
  <c r="CG106"/>
  <c r="CE106"/>
  <c r="CJ106"/>
  <c r="CH106"/>
  <c r="CC106"/>
  <c r="CA106"/>
  <c r="CP106"/>
  <c r="CN106"/>
  <c r="CL106"/>
  <c r="CF106"/>
  <c r="CK106"/>
  <c r="CI106"/>
  <c r="CD106"/>
  <c r="CB106"/>
  <c r="BZ106"/>
  <c r="CQ103"/>
  <c r="CO103"/>
  <c r="CM103"/>
  <c r="CG103"/>
  <c r="CE103"/>
  <c r="CJ103"/>
  <c r="CH103"/>
  <c r="CC103"/>
  <c r="CA103"/>
  <c r="CP103"/>
  <c r="CN103"/>
  <c r="CL103"/>
  <c r="CF103"/>
  <c r="CK103"/>
  <c r="CI103"/>
  <c r="CD103"/>
  <c r="CB103"/>
  <c r="BZ103"/>
  <c r="CQ101"/>
  <c r="CO101"/>
  <c r="CM101"/>
  <c r="CG101"/>
  <c r="CE101"/>
  <c r="CJ101"/>
  <c r="CH101"/>
  <c r="CC101"/>
  <c r="CA101"/>
  <c r="CP101"/>
  <c r="CN101"/>
  <c r="CL101"/>
  <c r="CF101"/>
  <c r="CK101"/>
  <c r="CI101"/>
  <c r="CD101"/>
  <c r="CB101"/>
  <c r="BZ101"/>
  <c r="CQ99"/>
  <c r="CO99"/>
  <c r="CM99"/>
  <c r="CG99"/>
  <c r="CE99"/>
  <c r="CJ99"/>
  <c r="CH99"/>
  <c r="CC99"/>
  <c r="CA99"/>
  <c r="CP99"/>
  <c r="CN99"/>
  <c r="CL99"/>
  <c r="CF99"/>
  <c r="CK99"/>
  <c r="CI99"/>
  <c r="CD99"/>
  <c r="CB99"/>
  <c r="BZ99"/>
  <c r="CQ97"/>
  <c r="CO97"/>
  <c r="CM97"/>
  <c r="CG97"/>
  <c r="CE97"/>
  <c r="CJ97"/>
  <c r="CH97"/>
  <c r="CC97"/>
  <c r="CA97"/>
  <c r="CP97"/>
  <c r="CN97"/>
  <c r="CL97"/>
  <c r="CF97"/>
  <c r="CK97"/>
  <c r="CI97"/>
  <c r="CD97"/>
  <c r="CB97"/>
  <c r="BZ97"/>
  <c r="CQ95"/>
  <c r="CO95"/>
  <c r="CM95"/>
  <c r="CG95"/>
  <c r="CE95"/>
  <c r="CJ95"/>
  <c r="CH95"/>
  <c r="CC95"/>
  <c r="CA95"/>
  <c r="CP95"/>
  <c r="CN95"/>
  <c r="CL95"/>
  <c r="CF95"/>
  <c r="CK95"/>
  <c r="CI95"/>
  <c r="CD95"/>
  <c r="CB95"/>
  <c r="BZ95"/>
  <c r="CQ93"/>
  <c r="CO93"/>
  <c r="CM93"/>
  <c r="CG93"/>
  <c r="CE93"/>
  <c r="CJ93"/>
  <c r="CH93"/>
  <c r="CC93"/>
  <c r="CA93"/>
  <c r="CP93"/>
  <c r="CN93"/>
  <c r="CL93"/>
  <c r="CF93"/>
  <c r="CK93"/>
  <c r="CI93"/>
  <c r="CD93"/>
  <c r="CB93"/>
  <c r="BZ93"/>
  <c r="CQ91"/>
  <c r="CO91"/>
  <c r="CM91"/>
  <c r="CG91"/>
  <c r="CE91"/>
  <c r="CJ91"/>
  <c r="CH91"/>
  <c r="CC91"/>
  <c r="CA91"/>
  <c r="CP91"/>
  <c r="CN91"/>
  <c r="CL91"/>
  <c r="CF91"/>
  <c r="CK91"/>
  <c r="CI91"/>
  <c r="CD91"/>
  <c r="CB91"/>
  <c r="BZ91"/>
  <c r="CQ89"/>
  <c r="CO89"/>
  <c r="CM89"/>
  <c r="CG89"/>
  <c r="CE89"/>
  <c r="CJ89"/>
  <c r="CH89"/>
  <c r="CC89"/>
  <c r="CA89"/>
  <c r="CP89"/>
  <c r="CN89"/>
  <c r="CL89"/>
  <c r="CF89"/>
  <c r="CK89"/>
  <c r="CI89"/>
  <c r="CD89"/>
  <c r="CB89"/>
  <c r="BZ89"/>
  <c r="BF88"/>
  <c r="BQ88"/>
  <c r="BV88"/>
  <c r="BF89"/>
  <c r="BH89"/>
  <c r="BJ89"/>
  <c r="BO89"/>
  <c r="BQ89"/>
  <c r="BL89"/>
  <c r="BR89"/>
  <c r="BT89"/>
  <c r="BV89"/>
  <c r="BF90"/>
  <c r="BQ90"/>
  <c r="BV90"/>
  <c r="BF91"/>
  <c r="BH91"/>
  <c r="BJ91"/>
  <c r="BO91"/>
  <c r="BQ91"/>
  <c r="BL91"/>
  <c r="BR91"/>
  <c r="BT91"/>
  <c r="BV91"/>
  <c r="BF92"/>
  <c r="BQ92"/>
  <c r="BV92"/>
  <c r="BF93"/>
  <c r="BH93"/>
  <c r="BJ93"/>
  <c r="BO93"/>
  <c r="BQ93"/>
  <c r="BL93"/>
  <c r="BT93"/>
  <c r="BV93"/>
  <c r="BJ94"/>
  <c r="BR94"/>
  <c r="BF95"/>
  <c r="BH95"/>
  <c r="BJ95"/>
  <c r="BO95"/>
  <c r="BQ95"/>
  <c r="BL95"/>
  <c r="BR95"/>
  <c r="BT95"/>
  <c r="BV95"/>
  <c r="BJ96"/>
  <c r="BR96"/>
  <c r="BF97"/>
  <c r="BH97"/>
  <c r="BJ97"/>
  <c r="BO97"/>
  <c r="BQ97"/>
  <c r="BL97"/>
  <c r="BR97"/>
  <c r="BT97"/>
  <c r="BV97"/>
  <c r="BJ98"/>
  <c r="BR98"/>
  <c r="BF99"/>
  <c r="BH99"/>
  <c r="BJ99"/>
  <c r="BO99"/>
  <c r="BQ99"/>
  <c r="BL99"/>
  <c r="BR99"/>
  <c r="BV99"/>
  <c r="BJ100"/>
  <c r="BR100"/>
  <c r="BF101"/>
  <c r="BH101"/>
  <c r="BJ101"/>
  <c r="BO101"/>
  <c r="BQ101"/>
  <c r="BL101"/>
  <c r="BR101"/>
  <c r="BV101"/>
  <c r="BJ102"/>
  <c r="BR102"/>
  <c r="BF103"/>
  <c r="BH103"/>
  <c r="BJ103"/>
  <c r="BO103"/>
  <c r="BQ103"/>
  <c r="BL103"/>
  <c r="BR103"/>
  <c r="BT103"/>
  <c r="BV103"/>
  <c r="BJ105"/>
  <c r="BR105"/>
  <c r="BF106"/>
  <c r="BH106"/>
  <c r="BJ106"/>
  <c r="BO106"/>
  <c r="BQ106"/>
  <c r="BL106"/>
  <c r="BR106"/>
  <c r="BT106"/>
  <c r="BV106"/>
  <c r="BP107"/>
  <c r="AW309"/>
  <c r="AL309"/>
  <c r="AS309"/>
  <c r="AO309"/>
  <c r="AR301"/>
  <c r="AN301"/>
  <c r="AY301"/>
  <c r="AT301"/>
  <c r="AX295"/>
  <c r="AP295"/>
  <c r="BA295"/>
  <c r="AV295"/>
  <c r="AZ291"/>
  <c r="AU291"/>
  <c r="BC291"/>
  <c r="AQ291"/>
  <c r="AM291"/>
  <c r="AW289"/>
  <c r="AL289"/>
  <c r="AS289"/>
  <c r="AO289"/>
  <c r="AR285"/>
  <c r="AN285"/>
  <c r="AY285"/>
  <c r="AT285"/>
  <c r="AX281"/>
  <c r="AP281"/>
  <c r="BA281"/>
  <c r="AV281"/>
  <c r="AZ277"/>
  <c r="AU277"/>
  <c r="BC277"/>
  <c r="AQ277"/>
  <c r="AM277"/>
  <c r="AW273"/>
  <c r="AL273"/>
  <c r="AS273"/>
  <c r="AO273"/>
  <c r="AR269"/>
  <c r="AN269"/>
  <c r="AY269"/>
  <c r="AT269"/>
  <c r="AX265"/>
  <c r="AP265"/>
  <c r="BA265"/>
  <c r="AV265"/>
  <c r="AZ261"/>
  <c r="AU261"/>
  <c r="BC261"/>
  <c r="AQ261"/>
  <c r="AM261"/>
  <c r="AW256"/>
  <c r="AL256"/>
  <c r="AS256"/>
  <c r="AO256"/>
  <c r="AR251"/>
  <c r="AN251"/>
  <c r="AY251"/>
  <c r="AT251"/>
  <c r="AX247"/>
  <c r="AP247"/>
  <c r="BA247"/>
  <c r="AV247"/>
  <c r="AZ241"/>
  <c r="AU241"/>
  <c r="BC241"/>
  <c r="AQ241"/>
  <c r="AM241"/>
  <c r="AW235"/>
  <c r="AL235"/>
  <c r="AS235"/>
  <c r="AO235"/>
  <c r="AR231"/>
  <c r="AN231"/>
  <c r="AY231"/>
  <c r="AT231"/>
  <c r="AX227"/>
  <c r="AP227"/>
  <c r="BA227"/>
  <c r="AV227"/>
  <c r="AZ223"/>
  <c r="AU223"/>
  <c r="BC223"/>
  <c r="AQ223"/>
  <c r="AM223"/>
  <c r="AW218"/>
  <c r="AL218"/>
  <c r="AS218"/>
  <c r="AO218"/>
  <c r="AR216"/>
  <c r="AN216"/>
  <c r="AY216"/>
  <c r="AT216"/>
  <c r="AX211"/>
  <c r="AP211"/>
  <c r="BA211"/>
  <c r="AV211"/>
  <c r="AZ205"/>
  <c r="AU205"/>
  <c r="BC205"/>
  <c r="AQ205"/>
  <c r="AM205"/>
  <c r="AW198"/>
  <c r="AL198"/>
  <c r="AS198"/>
  <c r="AO198"/>
  <c r="AR194"/>
  <c r="AN194"/>
  <c r="AY194"/>
  <c r="AT194"/>
  <c r="AX190"/>
  <c r="AP190"/>
  <c r="BA190"/>
  <c r="AV190"/>
  <c r="AZ184"/>
  <c r="AU184"/>
  <c r="BC184"/>
  <c r="AQ184"/>
  <c r="AM184"/>
  <c r="AW180"/>
  <c r="AL180"/>
  <c r="AS180"/>
  <c r="AO180"/>
  <c r="AR175"/>
  <c r="AN175"/>
  <c r="AY175"/>
  <c r="AT175"/>
  <c r="AX171"/>
  <c r="AP171"/>
  <c r="BA171"/>
  <c r="AV171"/>
  <c r="AZ167"/>
  <c r="AU167"/>
  <c r="BC167"/>
  <c r="AQ167"/>
  <c r="AM167"/>
  <c r="AW165"/>
  <c r="AL165"/>
  <c r="AS165"/>
  <c r="AO165"/>
  <c r="AZ161"/>
  <c r="AX161"/>
  <c r="AR161"/>
  <c r="AW161"/>
  <c r="AU161"/>
  <c r="AP161"/>
  <c r="AN161"/>
  <c r="AL161"/>
  <c r="BC161"/>
  <c r="BA161"/>
  <c r="AY161"/>
  <c r="AS161"/>
  <c r="AQ161"/>
  <c r="AV161"/>
  <c r="AT161"/>
  <c r="AO161"/>
  <c r="AM161"/>
  <c r="AZ157"/>
  <c r="AX157"/>
  <c r="AR157"/>
  <c r="AW157"/>
  <c r="AU157"/>
  <c r="AP157"/>
  <c r="AN157"/>
  <c r="AL157"/>
  <c r="BC157"/>
  <c r="BA157"/>
  <c r="AY157"/>
  <c r="AS157"/>
  <c r="AQ157"/>
  <c r="AV157"/>
  <c r="AT157"/>
  <c r="AO157"/>
  <c r="AM157"/>
  <c r="AZ153"/>
  <c r="AX153"/>
  <c r="AR153"/>
  <c r="AW153"/>
  <c r="AU153"/>
  <c r="AP153"/>
  <c r="AN153"/>
  <c r="AL153"/>
  <c r="BC153"/>
  <c r="BA153"/>
  <c r="AY153"/>
  <c r="AS153"/>
  <c r="AQ153"/>
  <c r="AV153"/>
  <c r="AT153"/>
  <c r="AO153"/>
  <c r="AM153"/>
  <c r="AZ140"/>
  <c r="AX140"/>
  <c r="AR140"/>
  <c r="AW140"/>
  <c r="AU140"/>
  <c r="AP140"/>
  <c r="AN140"/>
  <c r="AL140"/>
  <c r="BC140"/>
  <c r="BA140"/>
  <c r="AY140"/>
  <c r="AS140"/>
  <c r="AQ140"/>
  <c r="AV140"/>
  <c r="AT140"/>
  <c r="AO140"/>
  <c r="AM140"/>
  <c r="AZ135"/>
  <c r="AX135"/>
  <c r="AR135"/>
  <c r="AW135"/>
  <c r="AU135"/>
  <c r="AP135"/>
  <c r="AN135"/>
  <c r="AL135"/>
  <c r="BC135"/>
  <c r="BA135"/>
  <c r="AY135"/>
  <c r="AS135"/>
  <c r="AQ135"/>
  <c r="AV135"/>
  <c r="AT135"/>
  <c r="AO135"/>
  <c r="AM135"/>
  <c r="AZ130"/>
  <c r="AX130"/>
  <c r="AR130"/>
  <c r="AW130"/>
  <c r="AU130"/>
  <c r="AP130"/>
  <c r="AN130"/>
  <c r="AL130"/>
  <c r="BC130"/>
  <c r="BA130"/>
  <c r="AY130"/>
  <c r="AS130"/>
  <c r="AQ130"/>
  <c r="AV130"/>
  <c r="AT130"/>
  <c r="AO130"/>
  <c r="AM130"/>
  <c r="AZ124"/>
  <c r="AX124"/>
  <c r="AR124"/>
  <c r="AW124"/>
  <c r="AU124"/>
  <c r="AP124"/>
  <c r="AN124"/>
  <c r="AL124"/>
  <c r="BC124"/>
  <c r="BA124"/>
  <c r="AY124"/>
  <c r="AS124"/>
  <c r="AQ124"/>
  <c r="AV124"/>
  <c r="AT124"/>
  <c r="AO124"/>
  <c r="AM124"/>
  <c r="AZ119"/>
  <c r="AX119"/>
  <c r="AR119"/>
  <c r="AW119"/>
  <c r="AU119"/>
  <c r="AP119"/>
  <c r="AN119"/>
  <c r="AL119"/>
  <c r="BC119"/>
  <c r="BA119"/>
  <c r="AY119"/>
  <c r="AS119"/>
  <c r="AQ119"/>
  <c r="AV119"/>
  <c r="AT119"/>
  <c r="AO119"/>
  <c r="AM119"/>
  <c r="AZ113"/>
  <c r="AX113"/>
  <c r="AR113"/>
  <c r="AW113"/>
  <c r="AU113"/>
  <c r="AP113"/>
  <c r="AN113"/>
  <c r="AL113"/>
  <c r="BC113"/>
  <c r="BA113"/>
  <c r="AY113"/>
  <c r="AS113"/>
  <c r="AQ113"/>
  <c r="AV113"/>
  <c r="AT113"/>
  <c r="AO113"/>
  <c r="AM113"/>
  <c r="AZ108"/>
  <c r="AX108"/>
  <c r="AR108"/>
  <c r="AW108"/>
  <c r="AU108"/>
  <c r="AP108"/>
  <c r="AN108"/>
  <c r="AL108"/>
  <c r="BC108"/>
  <c r="BA108"/>
  <c r="AY108"/>
  <c r="AS108"/>
  <c r="AQ108"/>
  <c r="AV108"/>
  <c r="AT108"/>
  <c r="AO108"/>
  <c r="AM108"/>
  <c r="AZ103"/>
  <c r="AX103"/>
  <c r="AR103"/>
  <c r="AW103"/>
  <c r="AU103"/>
  <c r="AP103"/>
  <c r="AN103"/>
  <c r="AL103"/>
  <c r="BC103"/>
  <c r="BA103"/>
  <c r="AY103"/>
  <c r="AS103"/>
  <c r="AQ103"/>
  <c r="AV103"/>
  <c r="AT103"/>
  <c r="AO103"/>
  <c r="AM103"/>
  <c r="AZ99"/>
  <c r="AX99"/>
  <c r="AR99"/>
  <c r="AW99"/>
  <c r="AU99"/>
  <c r="AP99"/>
  <c r="AN99"/>
  <c r="AL99"/>
  <c r="BC99"/>
  <c r="BA99"/>
  <c r="AY99"/>
  <c r="AS99"/>
  <c r="AQ99"/>
  <c r="AV99"/>
  <c r="AT99"/>
  <c r="AO99"/>
  <c r="AM99"/>
  <c r="AZ95"/>
  <c r="AX95"/>
  <c r="AR95"/>
  <c r="AW95"/>
  <c r="AU95"/>
  <c r="AP95"/>
  <c r="AN95"/>
  <c r="AL95"/>
  <c r="BC95"/>
  <c r="BA95"/>
  <c r="AY95"/>
  <c r="AS95"/>
  <c r="AQ95"/>
  <c r="AV95"/>
  <c r="AT95"/>
  <c r="AO95"/>
  <c r="AM95"/>
  <c r="AZ91"/>
  <c r="AX91"/>
  <c r="AR91"/>
  <c r="AW91"/>
  <c r="AU91"/>
  <c r="AP91"/>
  <c r="AN91"/>
  <c r="AL91"/>
  <c r="BC91"/>
  <c r="BA91"/>
  <c r="AY91"/>
  <c r="AS91"/>
  <c r="AQ91"/>
  <c r="AV91"/>
  <c r="AT91"/>
  <c r="AO91"/>
  <c r="AM91"/>
  <c r="AZ78"/>
  <c r="AX78"/>
  <c r="AR78"/>
  <c r="AW78"/>
  <c r="AU78"/>
  <c r="AP78"/>
  <c r="AN78"/>
  <c r="AL78"/>
  <c r="BC78"/>
  <c r="BA78"/>
  <c r="AY78"/>
  <c r="AS78"/>
  <c r="AQ78"/>
  <c r="AV78"/>
  <c r="AT78"/>
  <c r="AO78"/>
  <c r="AM78"/>
  <c r="AZ70"/>
  <c r="AX70"/>
  <c r="AR70"/>
  <c r="AW70"/>
  <c r="AU70"/>
  <c r="AP70"/>
  <c r="AN70"/>
  <c r="AL70"/>
  <c r="BC70"/>
  <c r="BA70"/>
  <c r="AY70"/>
  <c r="AS70"/>
  <c r="AQ70"/>
  <c r="AV70"/>
  <c r="AT70"/>
  <c r="AO70"/>
  <c r="AM70"/>
  <c r="AZ68"/>
  <c r="AX68"/>
  <c r="AR68"/>
  <c r="AW68"/>
  <c r="AU68"/>
  <c r="AP68"/>
  <c r="AN68"/>
  <c r="AL68"/>
  <c r="BC68"/>
  <c r="BA68"/>
  <c r="AY68"/>
  <c r="AS68"/>
  <c r="AQ68"/>
  <c r="AV68"/>
  <c r="AT68"/>
  <c r="AO68"/>
  <c r="AM68"/>
  <c r="BC59"/>
  <c r="BA59"/>
  <c r="AY59"/>
  <c r="AS59"/>
  <c r="AQ59"/>
  <c r="AV59"/>
  <c r="AT59"/>
  <c r="AO59"/>
  <c r="AM59"/>
  <c r="AZ59"/>
  <c r="AX59"/>
  <c r="AR59"/>
  <c r="AW59"/>
  <c r="AU59"/>
  <c r="AP59"/>
  <c r="AN59"/>
  <c r="AL59"/>
  <c r="BC54"/>
  <c r="BA54"/>
  <c r="AY54"/>
  <c r="AS54"/>
  <c r="AQ54"/>
  <c r="AV54"/>
  <c r="AT54"/>
  <c r="AO54"/>
  <c r="AM54"/>
  <c r="AZ54"/>
  <c r="AX54"/>
  <c r="AR54"/>
  <c r="AW54"/>
  <c r="AU54"/>
  <c r="AP54"/>
  <c r="AN54"/>
  <c r="AL54"/>
  <c r="BC49"/>
  <c r="BA49"/>
  <c r="AY49"/>
  <c r="AS49"/>
  <c r="AQ49"/>
  <c r="AV49"/>
  <c r="AT49"/>
  <c r="AO49"/>
  <c r="AM49"/>
  <c r="AZ49"/>
  <c r="AX49"/>
  <c r="AR49"/>
  <c r="AW49"/>
  <c r="AU49"/>
  <c r="AP49"/>
  <c r="AN49"/>
  <c r="AL49"/>
  <c r="BC45"/>
  <c r="BA45"/>
  <c r="AY45"/>
  <c r="AS45"/>
  <c r="AQ45"/>
  <c r="AV45"/>
  <c r="AT45"/>
  <c r="AO45"/>
  <c r="AM45"/>
  <c r="AZ45"/>
  <c r="AX45"/>
  <c r="AR45"/>
  <c r="AW45"/>
  <c r="AU45"/>
  <c r="AP45"/>
  <c r="AN45"/>
  <c r="AL45"/>
  <c r="BC38"/>
  <c r="BA38"/>
  <c r="AY38"/>
  <c r="AS38"/>
  <c r="AQ38"/>
  <c r="AV38"/>
  <c r="AT38"/>
  <c r="AO38"/>
  <c r="AM38"/>
  <c r="AZ38"/>
  <c r="AX38"/>
  <c r="AR38"/>
  <c r="AW38"/>
  <c r="AU38"/>
  <c r="AP38"/>
  <c r="AN38"/>
  <c r="AL38"/>
  <c r="BC34"/>
  <c r="BA34"/>
  <c r="AY34"/>
  <c r="AS34"/>
  <c r="AQ34"/>
  <c r="AV34"/>
  <c r="AT34"/>
  <c r="AO34"/>
  <c r="AM34"/>
  <c r="AZ34"/>
  <c r="AX34"/>
  <c r="AR34"/>
  <c r="AW34"/>
  <c r="AU34"/>
  <c r="AP34"/>
  <c r="AN34"/>
  <c r="AL34"/>
  <c r="BC32"/>
  <c r="BA32"/>
  <c r="AY32"/>
  <c r="AS32"/>
  <c r="AQ32"/>
  <c r="AV32"/>
  <c r="AT32"/>
  <c r="AO32"/>
  <c r="AM32"/>
  <c r="AZ32"/>
  <c r="AX32"/>
  <c r="AR32"/>
  <c r="AW32"/>
  <c r="AU32"/>
  <c r="AP32"/>
  <c r="AN32"/>
  <c r="AL32"/>
  <c r="AY23"/>
  <c r="AT23"/>
  <c r="AX23"/>
  <c r="AP23"/>
  <c r="BA19"/>
  <c r="AV19"/>
  <c r="AZ19"/>
  <c r="AU19"/>
  <c r="BC17"/>
  <c r="AQ17"/>
  <c r="AM17"/>
  <c r="AW17"/>
  <c r="AL17"/>
  <c r="AS13"/>
  <c r="AO13"/>
  <c r="AR13"/>
  <c r="AN13"/>
  <c r="AY9"/>
  <c r="AT9"/>
  <c r="AX9"/>
  <c r="AP9"/>
  <c r="BA29"/>
  <c r="AV29"/>
  <c r="AZ29"/>
  <c r="AU29"/>
  <c r="AZ201"/>
  <c r="AU201"/>
  <c r="BC201"/>
  <c r="AQ201"/>
  <c r="AM201"/>
  <c r="AW311"/>
  <c r="AL311"/>
  <c r="AS311"/>
  <c r="AO311"/>
  <c r="AR307"/>
  <c r="AN307"/>
  <c r="AY307"/>
  <c r="AT307"/>
  <c r="AX303"/>
  <c r="AP303"/>
  <c r="BA303"/>
  <c r="AV303"/>
  <c r="AZ298"/>
  <c r="AU298"/>
  <c r="BC298"/>
  <c r="AQ298"/>
  <c r="AM298"/>
  <c r="AW293"/>
  <c r="AL293"/>
  <c r="AS293"/>
  <c r="AO293"/>
  <c r="AR287"/>
  <c r="AN287"/>
  <c r="AY287"/>
  <c r="AT287"/>
  <c r="AX283"/>
  <c r="AP283"/>
  <c r="BA283"/>
  <c r="AV283"/>
  <c r="AZ279"/>
  <c r="AU279"/>
  <c r="BC279"/>
  <c r="AQ279"/>
  <c r="AM279"/>
  <c r="AW275"/>
  <c r="AL275"/>
  <c r="AS275"/>
  <c r="AO275"/>
  <c r="AR271"/>
  <c r="AN271"/>
  <c r="AY271"/>
  <c r="AT271"/>
  <c r="AX267"/>
  <c r="AP267"/>
  <c r="BA267"/>
  <c r="AV267"/>
  <c r="AZ263"/>
  <c r="AU263"/>
  <c r="BC263"/>
  <c r="AQ263"/>
  <c r="AM263"/>
  <c r="AW258"/>
  <c r="AL258"/>
  <c r="AS258"/>
  <c r="AO258"/>
  <c r="AR253"/>
  <c r="AN253"/>
  <c r="AY253"/>
  <c r="AT253"/>
  <c r="AX249"/>
  <c r="AP249"/>
  <c r="BA249"/>
  <c r="AV249"/>
  <c r="AZ243"/>
  <c r="AU243"/>
  <c r="BC243"/>
  <c r="AQ243"/>
  <c r="AM243"/>
  <c r="AW239"/>
  <c r="AL239"/>
  <c r="AS239"/>
  <c r="AO239"/>
  <c r="AR237"/>
  <c r="AN237"/>
  <c r="AY237"/>
  <c r="AT237"/>
  <c r="AX233"/>
  <c r="AP233"/>
  <c r="BA233"/>
  <c r="AV233"/>
  <c r="AZ229"/>
  <c r="AU229"/>
  <c r="BC229"/>
  <c r="AQ229"/>
  <c r="AM229"/>
  <c r="AW225"/>
  <c r="AL225"/>
  <c r="AS225"/>
  <c r="AO225"/>
  <c r="AR221"/>
  <c r="AN221"/>
  <c r="AY221"/>
  <c r="AT221"/>
  <c r="AX213"/>
  <c r="AP213"/>
  <c r="BA213"/>
  <c r="AV213"/>
  <c r="AZ207"/>
  <c r="AU207"/>
  <c r="BC207"/>
  <c r="AQ207"/>
  <c r="AM207"/>
  <c r="AW202"/>
  <c r="AL202"/>
  <c r="AS202"/>
  <c r="AO202"/>
  <c r="AR196"/>
  <c r="AN196"/>
  <c r="AY196"/>
  <c r="AT196"/>
  <c r="AX192"/>
  <c r="AP192"/>
  <c r="BA192"/>
  <c r="AV192"/>
  <c r="AZ187"/>
  <c r="AU187"/>
  <c r="BC187"/>
  <c r="AQ187"/>
  <c r="AM187"/>
  <c r="AW182"/>
  <c r="AL182"/>
  <c r="AS182"/>
  <c r="AO182"/>
  <c r="AR177"/>
  <c r="AN177"/>
  <c r="AY177"/>
  <c r="AT177"/>
  <c r="AX173"/>
  <c r="AP173"/>
  <c r="BA173"/>
  <c r="AV173"/>
  <c r="AZ169"/>
  <c r="AU169"/>
  <c r="BC169"/>
  <c r="AQ169"/>
  <c r="AM169"/>
  <c r="AZ163"/>
  <c r="AX163"/>
  <c r="AR163"/>
  <c r="AW163"/>
  <c r="AU163"/>
  <c r="AP163"/>
  <c r="AN163"/>
  <c r="AL163"/>
  <c r="BC163"/>
  <c r="BA163"/>
  <c r="AY163"/>
  <c r="AS163"/>
  <c r="AQ163"/>
  <c r="AV163"/>
  <c r="AT163"/>
  <c r="AO163"/>
  <c r="AM163"/>
  <c r="AZ159"/>
  <c r="AX159"/>
  <c r="AR159"/>
  <c r="AW159"/>
  <c r="AU159"/>
  <c r="AP159"/>
  <c r="AN159"/>
  <c r="AL159"/>
  <c r="BC159"/>
  <c r="BA159"/>
  <c r="AY159"/>
  <c r="AS159"/>
  <c r="AQ159"/>
  <c r="AV159"/>
  <c r="AT159"/>
  <c r="AO159"/>
  <c r="AM159"/>
  <c r="AZ155"/>
  <c r="AX155"/>
  <c r="AR155"/>
  <c r="AW155"/>
  <c r="AU155"/>
  <c r="AP155"/>
  <c r="AN155"/>
  <c r="AL155"/>
  <c r="BC155"/>
  <c r="BA155"/>
  <c r="AY155"/>
  <c r="AS155"/>
  <c r="AQ155"/>
  <c r="AV155"/>
  <c r="AT155"/>
  <c r="AO155"/>
  <c r="AM155"/>
  <c r="AZ144"/>
  <c r="AX144"/>
  <c r="AR144"/>
  <c r="AW144"/>
  <c r="AU144"/>
  <c r="AP144"/>
  <c r="AN144"/>
  <c r="AL144"/>
  <c r="BC144"/>
  <c r="BA144"/>
  <c r="AY144"/>
  <c r="AS144"/>
  <c r="AQ144"/>
  <c r="AV144"/>
  <c r="AT144"/>
  <c r="AO144"/>
  <c r="AM144"/>
  <c r="AZ138"/>
  <c r="AX138"/>
  <c r="AR138"/>
  <c r="AW138"/>
  <c r="AU138"/>
  <c r="AP138"/>
  <c r="AN138"/>
  <c r="AL138"/>
  <c r="BC138"/>
  <c r="BA138"/>
  <c r="AY138"/>
  <c r="AS138"/>
  <c r="AQ138"/>
  <c r="AV138"/>
  <c r="AT138"/>
  <c r="AO138"/>
  <c r="AM138"/>
  <c r="AZ133"/>
  <c r="AX133"/>
  <c r="AR133"/>
  <c r="AW133"/>
  <c r="AU133"/>
  <c r="AP133"/>
  <c r="AN133"/>
  <c r="AL133"/>
  <c r="BC133"/>
  <c r="BA133"/>
  <c r="AY133"/>
  <c r="AS133"/>
  <c r="AQ133"/>
  <c r="AV133"/>
  <c r="AT133"/>
  <c r="AO133"/>
  <c r="AM133"/>
  <c r="AZ127"/>
  <c r="AX127"/>
  <c r="AR127"/>
  <c r="AW127"/>
  <c r="AU127"/>
  <c r="AP127"/>
  <c r="AN127"/>
  <c r="AL127"/>
  <c r="BC127"/>
  <c r="BA127"/>
  <c r="AY127"/>
  <c r="AS127"/>
  <c r="AQ127"/>
  <c r="AV127"/>
  <c r="AT127"/>
  <c r="AO127"/>
  <c r="AM127"/>
  <c r="AZ122"/>
  <c r="AX122"/>
  <c r="AR122"/>
  <c r="AW122"/>
  <c r="AU122"/>
  <c r="AP122"/>
  <c r="AN122"/>
  <c r="AL122"/>
  <c r="BC122"/>
  <c r="BA122"/>
  <c r="AY122"/>
  <c r="AS122"/>
  <c r="AQ122"/>
  <c r="AV122"/>
  <c r="AT122"/>
  <c r="AO122"/>
  <c r="AM122"/>
  <c r="AZ117"/>
  <c r="AX117"/>
  <c r="AR117"/>
  <c r="AW117"/>
  <c r="AU117"/>
  <c r="AP117"/>
  <c r="AN117"/>
  <c r="AL117"/>
  <c r="BC117"/>
  <c r="BA117"/>
  <c r="AY117"/>
  <c r="AS117"/>
  <c r="AQ117"/>
  <c r="AV117"/>
  <c r="AT117"/>
  <c r="AO117"/>
  <c r="AM117"/>
  <c r="AZ111"/>
  <c r="AX111"/>
  <c r="AR111"/>
  <c r="AW111"/>
  <c r="AU111"/>
  <c r="AP111"/>
  <c r="AN111"/>
  <c r="AL111"/>
  <c r="BC111"/>
  <c r="BA111"/>
  <c r="AY111"/>
  <c r="AS111"/>
  <c r="AQ111"/>
  <c r="AV111"/>
  <c r="AT111"/>
  <c r="AO111"/>
  <c r="AM111"/>
  <c r="AZ106"/>
  <c r="AX106"/>
  <c r="AR106"/>
  <c r="AW106"/>
  <c r="AU106"/>
  <c r="AP106"/>
  <c r="AN106"/>
  <c r="AL106"/>
  <c r="BC106"/>
  <c r="BA106"/>
  <c r="AY106"/>
  <c r="AS106"/>
  <c r="AQ106"/>
  <c r="AV106"/>
  <c r="AT106"/>
  <c r="AO106"/>
  <c r="AM106"/>
  <c r="AZ101"/>
  <c r="AX101"/>
  <c r="AR101"/>
  <c r="AW101"/>
  <c r="AU101"/>
  <c r="AP101"/>
  <c r="AN101"/>
  <c r="AL101"/>
  <c r="BC101"/>
  <c r="BA101"/>
  <c r="AY101"/>
  <c r="AS101"/>
  <c r="AQ101"/>
  <c r="AV101"/>
  <c r="AT101"/>
  <c r="AO101"/>
  <c r="AM101"/>
  <c r="AZ97"/>
  <c r="AX97"/>
  <c r="AR97"/>
  <c r="AW97"/>
  <c r="AU97"/>
  <c r="AP97"/>
  <c r="AN97"/>
  <c r="AL97"/>
  <c r="BC97"/>
  <c r="BA97"/>
  <c r="AY97"/>
  <c r="AS97"/>
  <c r="AQ97"/>
  <c r="AV97"/>
  <c r="AT97"/>
  <c r="AO97"/>
  <c r="AM97"/>
  <c r="AZ93"/>
  <c r="AX93"/>
  <c r="AR93"/>
  <c r="AW93"/>
  <c r="AU93"/>
  <c r="AP93"/>
  <c r="AN93"/>
  <c r="AL93"/>
  <c r="BC93"/>
  <c r="BA93"/>
  <c r="AY93"/>
  <c r="AS93"/>
  <c r="AQ93"/>
  <c r="AV93"/>
  <c r="AT93"/>
  <c r="AO93"/>
  <c r="AM93"/>
  <c r="AZ89"/>
  <c r="AX89"/>
  <c r="AR89"/>
  <c r="AW89"/>
  <c r="AU89"/>
  <c r="AP89"/>
  <c r="AN89"/>
  <c r="AL89"/>
  <c r="BC89"/>
  <c r="BA89"/>
  <c r="AY89"/>
  <c r="AS89"/>
  <c r="AQ89"/>
  <c r="AV89"/>
  <c r="AT89"/>
  <c r="AO89"/>
  <c r="AM89"/>
  <c r="AZ76"/>
  <c r="AX76"/>
  <c r="AR76"/>
  <c r="AW76"/>
  <c r="AU76"/>
  <c r="AP76"/>
  <c r="AN76"/>
  <c r="AL76"/>
  <c r="BC76"/>
  <c r="BA76"/>
  <c r="AY76"/>
  <c r="AS76"/>
  <c r="AQ76"/>
  <c r="AV76"/>
  <c r="AT76"/>
  <c r="AO76"/>
  <c r="AM76"/>
  <c r="BC61"/>
  <c r="BA61"/>
  <c r="AY61"/>
  <c r="AS61"/>
  <c r="AQ61"/>
  <c r="AV61"/>
  <c r="AT61"/>
  <c r="AO61"/>
  <c r="AM61"/>
  <c r="AZ61"/>
  <c r="AX61"/>
  <c r="AR61"/>
  <c r="AW61"/>
  <c r="AU61"/>
  <c r="AP61"/>
  <c r="AN61"/>
  <c r="AL61"/>
  <c r="BC56"/>
  <c r="BA56"/>
  <c r="AY56"/>
  <c r="AS56"/>
  <c r="AQ56"/>
  <c r="AV56"/>
  <c r="AT56"/>
  <c r="AO56"/>
  <c r="AM56"/>
  <c r="AZ56"/>
  <c r="AX56"/>
  <c r="AR56"/>
  <c r="AW56"/>
  <c r="AU56"/>
  <c r="AP56"/>
  <c r="AN56"/>
  <c r="AL56"/>
  <c r="BC52"/>
  <c r="BA52"/>
  <c r="AY52"/>
  <c r="AS52"/>
  <c r="AQ52"/>
  <c r="AV52"/>
  <c r="AT52"/>
  <c r="AO52"/>
  <c r="AM52"/>
  <c r="AZ52"/>
  <c r="AX52"/>
  <c r="AR52"/>
  <c r="AW52"/>
  <c r="AU52"/>
  <c r="AP52"/>
  <c r="AN52"/>
  <c r="AL52"/>
  <c r="BC47"/>
  <c r="BA47"/>
  <c r="AY47"/>
  <c r="AS47"/>
  <c r="AQ47"/>
  <c r="AV47"/>
  <c r="AT47"/>
  <c r="AO47"/>
  <c r="AM47"/>
  <c r="AZ47"/>
  <c r="AX47"/>
  <c r="AR47"/>
  <c r="AW47"/>
  <c r="AU47"/>
  <c r="AP47"/>
  <c r="AN47"/>
  <c r="AL47"/>
  <c r="BC42"/>
  <c r="BA42"/>
  <c r="AY42"/>
  <c r="AS42"/>
  <c r="AQ42"/>
  <c r="AV42"/>
  <c r="AT42"/>
  <c r="AO42"/>
  <c r="AM42"/>
  <c r="AZ42"/>
  <c r="AX42"/>
  <c r="AR42"/>
  <c r="AW42"/>
  <c r="AU42"/>
  <c r="AP42"/>
  <c r="AN42"/>
  <c r="AL42"/>
  <c r="BC40"/>
  <c r="BA40"/>
  <c r="AY40"/>
  <c r="AS40"/>
  <c r="AQ40"/>
  <c r="AV40"/>
  <c r="AT40"/>
  <c r="AO40"/>
  <c r="AM40"/>
  <c r="AZ40"/>
  <c r="AX40"/>
  <c r="AR40"/>
  <c r="AW40"/>
  <c r="AU40"/>
  <c r="AP40"/>
  <c r="AN40"/>
  <c r="AL40"/>
  <c r="BC36"/>
  <c r="BA36"/>
  <c r="AY36"/>
  <c r="AS36"/>
  <c r="AQ36"/>
  <c r="AV36"/>
  <c r="AT36"/>
  <c r="AO36"/>
  <c r="AM36"/>
  <c r="AZ36"/>
  <c r="AX36"/>
  <c r="AR36"/>
  <c r="AW36"/>
  <c r="AU36"/>
  <c r="AP36"/>
  <c r="AN36"/>
  <c r="AL36"/>
  <c r="BC25"/>
  <c r="BA25"/>
  <c r="AY25"/>
  <c r="AS25"/>
  <c r="AQ25"/>
  <c r="AV25"/>
  <c r="AT25"/>
  <c r="AO25"/>
  <c r="AM25"/>
  <c r="AZ25"/>
  <c r="AX25"/>
  <c r="AR25"/>
  <c r="AW25"/>
  <c r="AU25"/>
  <c r="AP25"/>
  <c r="AN25"/>
  <c r="AL25"/>
  <c r="AS21"/>
  <c r="AO21"/>
  <c r="AR21"/>
  <c r="AN21"/>
  <c r="AY15"/>
  <c r="AT15"/>
  <c r="AX15"/>
  <c r="AP15"/>
  <c r="BA11"/>
  <c r="AV11"/>
  <c r="AZ11"/>
  <c r="AU11"/>
  <c r="BC27"/>
  <c r="AQ27"/>
  <c r="AM27"/>
  <c r="AW27"/>
  <c r="AL27"/>
  <c r="AW186"/>
  <c r="AL186"/>
  <c r="AS186"/>
  <c r="AO186"/>
  <c r="AZ310"/>
  <c r="AX310"/>
  <c r="AR310"/>
  <c r="AW310"/>
  <c r="AU310"/>
  <c r="AP310"/>
  <c r="AN310"/>
  <c r="AL310"/>
  <c r="BC310"/>
  <c r="BA310"/>
  <c r="AY310"/>
  <c r="AS310"/>
  <c r="AQ310"/>
  <c r="AV310"/>
  <c r="AT310"/>
  <c r="AO310"/>
  <c r="AM310"/>
  <c r="AZ308"/>
  <c r="AX308"/>
  <c r="AR308"/>
  <c r="AW308"/>
  <c r="AU308"/>
  <c r="AP308"/>
  <c r="AN308"/>
  <c r="AL308"/>
  <c r="BC308"/>
  <c r="BA308"/>
  <c r="AY308"/>
  <c r="AS308"/>
  <c r="AQ308"/>
  <c r="AV308"/>
  <c r="AT308"/>
  <c r="AO308"/>
  <c r="AM308"/>
  <c r="AZ305"/>
  <c r="AX305"/>
  <c r="AR305"/>
  <c r="AW305"/>
  <c r="AU305"/>
  <c r="AP305"/>
  <c r="AN305"/>
  <c r="AL305"/>
  <c r="BC305"/>
  <c r="BA305"/>
  <c r="AY305"/>
  <c r="AS305"/>
  <c r="AQ305"/>
  <c r="AV305"/>
  <c r="AT305"/>
  <c r="AO305"/>
  <c r="AM305"/>
  <c r="AZ302"/>
  <c r="AX302"/>
  <c r="AR302"/>
  <c r="AW302"/>
  <c r="AU302"/>
  <c r="AP302"/>
  <c r="AN302"/>
  <c r="AL302"/>
  <c r="BC302"/>
  <c r="BA302"/>
  <c r="AY302"/>
  <c r="AS302"/>
  <c r="AQ302"/>
  <c r="AV302"/>
  <c r="AT302"/>
  <c r="AO302"/>
  <c r="AM302"/>
  <c r="AZ300"/>
  <c r="AX300"/>
  <c r="AR300"/>
  <c r="AW300"/>
  <c r="AU300"/>
  <c r="AP300"/>
  <c r="AN300"/>
  <c r="AL300"/>
  <c r="BC300"/>
  <c r="BA300"/>
  <c r="AY300"/>
  <c r="AS300"/>
  <c r="AQ300"/>
  <c r="AV300"/>
  <c r="AT300"/>
  <c r="AO300"/>
  <c r="AM300"/>
  <c r="AZ296"/>
  <c r="AX296"/>
  <c r="AR296"/>
  <c r="AW296"/>
  <c r="AU296"/>
  <c r="AP296"/>
  <c r="AN296"/>
  <c r="AL296"/>
  <c r="BC296"/>
  <c r="BA296"/>
  <c r="AY296"/>
  <c r="AS296"/>
  <c r="AQ296"/>
  <c r="AV296"/>
  <c r="AT296"/>
  <c r="AO296"/>
  <c r="AM296"/>
  <c r="AZ294"/>
  <c r="AX294"/>
  <c r="AR294"/>
  <c r="AW294"/>
  <c r="AU294"/>
  <c r="AP294"/>
  <c r="AN294"/>
  <c r="AL294"/>
  <c r="BC294"/>
  <c r="BA294"/>
  <c r="AY294"/>
  <c r="AS294"/>
  <c r="AQ294"/>
  <c r="AV294"/>
  <c r="AT294"/>
  <c r="AO294"/>
  <c r="AM294"/>
  <c r="AZ292"/>
  <c r="AX292"/>
  <c r="AR292"/>
  <c r="AW292"/>
  <c r="AU292"/>
  <c r="AP292"/>
  <c r="AN292"/>
  <c r="AL292"/>
  <c r="BC292"/>
  <c r="BA292"/>
  <c r="AY292"/>
  <c r="AS292"/>
  <c r="AQ292"/>
  <c r="AV292"/>
  <c r="AT292"/>
  <c r="AO292"/>
  <c r="AM292"/>
  <c r="AZ290"/>
  <c r="AX290"/>
  <c r="AR290"/>
  <c r="AW290"/>
  <c r="AU290"/>
  <c r="AP290"/>
  <c r="AN290"/>
  <c r="AL290"/>
  <c r="BC290"/>
  <c r="BA290"/>
  <c r="AY290"/>
  <c r="AS290"/>
  <c r="AQ290"/>
  <c r="AV290"/>
  <c r="AT290"/>
  <c r="AO290"/>
  <c r="AM290"/>
  <c r="AZ288"/>
  <c r="AX288"/>
  <c r="AR288"/>
  <c r="AW288"/>
  <c r="AU288"/>
  <c r="AP288"/>
  <c r="AN288"/>
  <c r="AL288"/>
  <c r="BC288"/>
  <c r="BA288"/>
  <c r="AY288"/>
  <c r="AS288"/>
  <c r="AQ288"/>
  <c r="AV288"/>
  <c r="AT288"/>
  <c r="AO288"/>
  <c r="AM288"/>
  <c r="AZ286"/>
  <c r="AX286"/>
  <c r="AR286"/>
  <c r="AW286"/>
  <c r="AU286"/>
  <c r="AP286"/>
  <c r="AN286"/>
  <c r="AL286"/>
  <c r="BC286"/>
  <c r="BA286"/>
  <c r="AY286"/>
  <c r="AS286"/>
  <c r="AQ286"/>
  <c r="AV286"/>
  <c r="AT286"/>
  <c r="AO286"/>
  <c r="AM286"/>
  <c r="AZ284"/>
  <c r="AX284"/>
  <c r="AR284"/>
  <c r="AW284"/>
  <c r="AU284"/>
  <c r="AP284"/>
  <c r="AN284"/>
  <c r="AL284"/>
  <c r="BC284"/>
  <c r="BA284"/>
  <c r="AY284"/>
  <c r="AS284"/>
  <c r="AQ284"/>
  <c r="AV284"/>
  <c r="AT284"/>
  <c r="AO284"/>
  <c r="AM284"/>
  <c r="AZ282"/>
  <c r="AX282"/>
  <c r="AR282"/>
  <c r="AW282"/>
  <c r="AU282"/>
  <c r="AP282"/>
  <c r="AN282"/>
  <c r="AL282"/>
  <c r="BC282"/>
  <c r="BA282"/>
  <c r="AY282"/>
  <c r="AS282"/>
  <c r="AQ282"/>
  <c r="AV282"/>
  <c r="AT282"/>
  <c r="AO282"/>
  <c r="AM282"/>
  <c r="AZ280"/>
  <c r="AX280"/>
  <c r="AR280"/>
  <c r="AW280"/>
  <c r="AU280"/>
  <c r="AP280"/>
  <c r="AN280"/>
  <c r="AL280"/>
  <c r="BC280"/>
  <c r="BA280"/>
  <c r="AY280"/>
  <c r="AS280"/>
  <c r="AQ280"/>
  <c r="AV280"/>
  <c r="AT280"/>
  <c r="AO280"/>
  <c r="AM280"/>
  <c r="AZ278"/>
  <c r="AX278"/>
  <c r="AR278"/>
  <c r="AW278"/>
  <c r="AU278"/>
  <c r="AP278"/>
  <c r="AN278"/>
  <c r="AL278"/>
  <c r="BC278"/>
  <c r="BA278"/>
  <c r="AY278"/>
  <c r="AS278"/>
  <c r="AQ278"/>
  <c r="AV278"/>
  <c r="AT278"/>
  <c r="AO278"/>
  <c r="AM278"/>
  <c r="AZ276"/>
  <c r="AX276"/>
  <c r="AR276"/>
  <c r="AW276"/>
  <c r="AU276"/>
  <c r="AP276"/>
  <c r="AN276"/>
  <c r="AL276"/>
  <c r="BC276"/>
  <c r="BA276"/>
  <c r="AY276"/>
  <c r="AS276"/>
  <c r="AQ276"/>
  <c r="AV276"/>
  <c r="AT276"/>
  <c r="AO276"/>
  <c r="AM276"/>
  <c r="AZ274"/>
  <c r="AX274"/>
  <c r="AR274"/>
  <c r="AW274"/>
  <c r="AU274"/>
  <c r="AP274"/>
  <c r="AN274"/>
  <c r="AL274"/>
  <c r="BC274"/>
  <c r="BA274"/>
  <c r="AY274"/>
  <c r="AS274"/>
  <c r="AQ274"/>
  <c r="AV274"/>
  <c r="AT274"/>
  <c r="AO274"/>
  <c r="AM274"/>
  <c r="AZ272"/>
  <c r="AX272"/>
  <c r="AR272"/>
  <c r="AW272"/>
  <c r="AU272"/>
  <c r="AP272"/>
  <c r="AN272"/>
  <c r="AL272"/>
  <c r="BC272"/>
  <c r="BA272"/>
  <c r="AY272"/>
  <c r="AS272"/>
  <c r="AQ272"/>
  <c r="AV272"/>
  <c r="AT272"/>
  <c r="AO272"/>
  <c r="AM272"/>
  <c r="AZ270"/>
  <c r="AX270"/>
  <c r="AR270"/>
  <c r="AW270"/>
  <c r="AU270"/>
  <c r="AP270"/>
  <c r="AN270"/>
  <c r="AL270"/>
  <c r="BC270"/>
  <c r="BA270"/>
  <c r="AY270"/>
  <c r="AS270"/>
  <c r="AQ270"/>
  <c r="AV270"/>
  <c r="AT270"/>
  <c r="AO270"/>
  <c r="AM270"/>
  <c r="AZ268"/>
  <c r="AX268"/>
  <c r="AR268"/>
  <c r="AW268"/>
  <c r="AU268"/>
  <c r="AP268"/>
  <c r="AN268"/>
  <c r="AL268"/>
  <c r="BC268"/>
  <c r="BA268"/>
  <c r="AY268"/>
  <c r="AS268"/>
  <c r="AQ268"/>
  <c r="AV268"/>
  <c r="AT268"/>
  <c r="AO268"/>
  <c r="AM268"/>
  <c r="AZ266"/>
  <c r="AX266"/>
  <c r="AR266"/>
  <c r="AW266"/>
  <c r="AU266"/>
  <c r="AP266"/>
  <c r="AN266"/>
  <c r="AL266"/>
  <c r="BC266"/>
  <c r="BA266"/>
  <c r="AY266"/>
  <c r="AS266"/>
  <c r="AQ266"/>
  <c r="AV266"/>
  <c r="AT266"/>
  <c r="AO266"/>
  <c r="AM266"/>
  <c r="AZ264"/>
  <c r="AX264"/>
  <c r="AR264"/>
  <c r="AW264"/>
  <c r="AU264"/>
  <c r="AP264"/>
  <c r="AN264"/>
  <c r="AL264"/>
  <c r="BC264"/>
  <c r="BA264"/>
  <c r="AY264"/>
  <c r="AS264"/>
  <c r="AQ264"/>
  <c r="AV264"/>
  <c r="AT264"/>
  <c r="AO264"/>
  <c r="AM264"/>
  <c r="AZ262"/>
  <c r="AX262"/>
  <c r="AR262"/>
  <c r="AW262"/>
  <c r="AU262"/>
  <c r="AP262"/>
  <c r="AN262"/>
  <c r="AL262"/>
  <c r="BC262"/>
  <c r="BA262"/>
  <c r="AY262"/>
  <c r="AS262"/>
  <c r="AQ262"/>
  <c r="AV262"/>
  <c r="AT262"/>
  <c r="AO262"/>
  <c r="AM262"/>
  <c r="AZ260"/>
  <c r="AX260"/>
  <c r="AR260"/>
  <c r="AW260"/>
  <c r="AU260"/>
  <c r="AP260"/>
  <c r="AN260"/>
  <c r="AL260"/>
  <c r="BC260"/>
  <c r="BA260"/>
  <c r="AY260"/>
  <c r="AS260"/>
  <c r="AQ260"/>
  <c r="AV260"/>
  <c r="AT260"/>
  <c r="AO260"/>
  <c r="AM260"/>
  <c r="AZ257"/>
  <c r="AX257"/>
  <c r="AR257"/>
  <c r="AW257"/>
  <c r="AU257"/>
  <c r="AP257"/>
  <c r="AN257"/>
  <c r="AL257"/>
  <c r="BC257"/>
  <c r="BA257"/>
  <c r="AY257"/>
  <c r="AS257"/>
  <c r="AQ257"/>
  <c r="AV257"/>
  <c r="AT257"/>
  <c r="AO257"/>
  <c r="AM257"/>
  <c r="AZ254"/>
  <c r="AX254"/>
  <c r="AR254"/>
  <c r="AW254"/>
  <c r="AU254"/>
  <c r="AP254"/>
  <c r="AN254"/>
  <c r="AL254"/>
  <c r="BC254"/>
  <c r="BA254"/>
  <c r="AY254"/>
  <c r="AS254"/>
  <c r="AQ254"/>
  <c r="AV254"/>
  <c r="AT254"/>
  <c r="AO254"/>
  <c r="AM254"/>
  <c r="AZ252"/>
  <c r="AX252"/>
  <c r="AR252"/>
  <c r="AW252"/>
  <c r="AU252"/>
  <c r="AP252"/>
  <c r="AN252"/>
  <c r="AL252"/>
  <c r="BC252"/>
  <c r="BA252"/>
  <c r="AY252"/>
  <c r="AS252"/>
  <c r="AQ252"/>
  <c r="AV252"/>
  <c r="AT252"/>
  <c r="AO252"/>
  <c r="AM252"/>
  <c r="AZ250"/>
  <c r="AX250"/>
  <c r="AR250"/>
  <c r="AW250"/>
  <c r="AU250"/>
  <c r="AP250"/>
  <c r="AN250"/>
  <c r="AL250"/>
  <c r="BC250"/>
  <c r="BA250"/>
  <c r="AY250"/>
  <c r="AS250"/>
  <c r="AQ250"/>
  <c r="AV250"/>
  <c r="AT250"/>
  <c r="AO250"/>
  <c r="AM250"/>
  <c r="AZ248"/>
  <c r="AX248"/>
  <c r="AR248"/>
  <c r="AW248"/>
  <c r="AU248"/>
  <c r="AP248"/>
  <c r="AN248"/>
  <c r="AL248"/>
  <c r="BC248"/>
  <c r="BA248"/>
  <c r="AY248"/>
  <c r="AS248"/>
  <c r="AQ248"/>
  <c r="AV248"/>
  <c r="AT248"/>
  <c r="AO248"/>
  <c r="AM248"/>
  <c r="AZ245"/>
  <c r="AX245"/>
  <c r="AR245"/>
  <c r="AW245"/>
  <c r="AU245"/>
  <c r="AP245"/>
  <c r="AN245"/>
  <c r="AL245"/>
  <c r="BC245"/>
  <c r="BA245"/>
  <c r="AY245"/>
  <c r="AS245"/>
  <c r="AQ245"/>
  <c r="AV245"/>
  <c r="AT245"/>
  <c r="AO245"/>
  <c r="AM245"/>
  <c r="AZ242"/>
  <c r="AX242"/>
  <c r="AR242"/>
  <c r="AW242"/>
  <c r="AU242"/>
  <c r="AP242"/>
  <c r="AN242"/>
  <c r="AL242"/>
  <c r="BC242"/>
  <c r="BA242"/>
  <c r="AY242"/>
  <c r="AS242"/>
  <c r="AQ242"/>
  <c r="AV242"/>
  <c r="AT242"/>
  <c r="AO242"/>
  <c r="AM242"/>
  <c r="AZ240"/>
  <c r="AX240"/>
  <c r="AR240"/>
  <c r="AW240"/>
  <c r="AU240"/>
  <c r="AP240"/>
  <c r="AN240"/>
  <c r="AL240"/>
  <c r="BC240"/>
  <c r="BA240"/>
  <c r="AY240"/>
  <c r="AS240"/>
  <c r="AQ240"/>
  <c r="AV240"/>
  <c r="AT240"/>
  <c r="AO240"/>
  <c r="AM240"/>
  <c r="AZ238"/>
  <c r="AX238"/>
  <c r="AR238"/>
  <c r="AW238"/>
  <c r="AU238"/>
  <c r="AP238"/>
  <c r="AN238"/>
  <c r="AL238"/>
  <c r="BC238"/>
  <c r="BA238"/>
  <c r="AY238"/>
  <c r="AS238"/>
  <c r="AQ238"/>
  <c r="AV238"/>
  <c r="AT238"/>
  <c r="AO238"/>
  <c r="AM238"/>
  <c r="AZ236"/>
  <c r="AX236"/>
  <c r="AR236"/>
  <c r="AW236"/>
  <c r="AU236"/>
  <c r="AP236"/>
  <c r="AN236"/>
  <c r="AL236"/>
  <c r="BC236"/>
  <c r="BA236"/>
  <c r="AY236"/>
  <c r="AS236"/>
  <c r="AQ236"/>
  <c r="AV236"/>
  <c r="AT236"/>
  <c r="AO236"/>
  <c r="AM236"/>
  <c r="AZ234"/>
  <c r="AX234"/>
  <c r="AR234"/>
  <c r="AW234"/>
  <c r="AU234"/>
  <c r="AP234"/>
  <c r="AN234"/>
  <c r="AL234"/>
  <c r="BC234"/>
  <c r="BA234"/>
  <c r="AY234"/>
  <c r="AS234"/>
  <c r="AQ234"/>
  <c r="AV234"/>
  <c r="AT234"/>
  <c r="AO234"/>
  <c r="AM234"/>
  <c r="AZ232"/>
  <c r="AX232"/>
  <c r="AR232"/>
  <c r="AW232"/>
  <c r="AU232"/>
  <c r="AP232"/>
  <c r="AN232"/>
  <c r="AL232"/>
  <c r="BC232"/>
  <c r="BA232"/>
  <c r="AY232"/>
  <c r="AS232"/>
  <c r="AQ232"/>
  <c r="AV232"/>
  <c r="AT232"/>
  <c r="AO232"/>
  <c r="AM232"/>
  <c r="AZ230"/>
  <c r="AX230"/>
  <c r="AR230"/>
  <c r="AW230"/>
  <c r="AU230"/>
  <c r="AP230"/>
  <c r="AN230"/>
  <c r="AL230"/>
  <c r="BC230"/>
  <c r="BA230"/>
  <c r="AY230"/>
  <c r="AS230"/>
  <c r="AQ230"/>
  <c r="AV230"/>
  <c r="AT230"/>
  <c r="AO230"/>
  <c r="AM230"/>
  <c r="AZ228"/>
  <c r="AX228"/>
  <c r="AR228"/>
  <c r="AW228"/>
  <c r="AU228"/>
  <c r="AP228"/>
  <c r="AN228"/>
  <c r="AL228"/>
  <c r="BC228"/>
  <c r="BA228"/>
  <c r="AY228"/>
  <c r="AS228"/>
  <c r="AQ228"/>
  <c r="AV228"/>
  <c r="AT228"/>
  <c r="AO228"/>
  <c r="AM228"/>
  <c r="AZ226"/>
  <c r="AX226"/>
  <c r="AR226"/>
  <c r="AW226"/>
  <c r="AU226"/>
  <c r="AP226"/>
  <c r="AN226"/>
  <c r="AL226"/>
  <c r="BC226"/>
  <c r="BA226"/>
  <c r="AY226"/>
  <c r="AS226"/>
  <c r="AQ226"/>
  <c r="AV226"/>
  <c r="AT226"/>
  <c r="AO226"/>
  <c r="AM226"/>
  <c r="AZ224"/>
  <c r="AX224"/>
  <c r="AR224"/>
  <c r="AW224"/>
  <c r="AU224"/>
  <c r="AP224"/>
  <c r="AN224"/>
  <c r="AL224"/>
  <c r="BC224"/>
  <c r="BA224"/>
  <c r="AY224"/>
  <c r="AS224"/>
  <c r="AQ224"/>
  <c r="AV224"/>
  <c r="AT224"/>
  <c r="AO224"/>
  <c r="AM224"/>
  <c r="AZ222"/>
  <c r="AX222"/>
  <c r="AR222"/>
  <c r="AW222"/>
  <c r="AU222"/>
  <c r="AP222"/>
  <c r="AN222"/>
  <c r="AL222"/>
  <c r="BC222"/>
  <c r="BA222"/>
  <c r="AY222"/>
  <c r="AS222"/>
  <c r="AQ222"/>
  <c r="AV222"/>
  <c r="AT222"/>
  <c r="AO222"/>
  <c r="AM222"/>
  <c r="AZ220"/>
  <c r="AX220"/>
  <c r="AR220"/>
  <c r="AW220"/>
  <c r="AU220"/>
  <c r="AP220"/>
  <c r="AN220"/>
  <c r="AL220"/>
  <c r="BC220"/>
  <c r="BA220"/>
  <c r="AY220"/>
  <c r="AS220"/>
  <c r="AQ220"/>
  <c r="AV220"/>
  <c r="AT220"/>
  <c r="AO220"/>
  <c r="AM220"/>
  <c r="AZ217"/>
  <c r="AX217"/>
  <c r="AR217"/>
  <c r="AW217"/>
  <c r="AU217"/>
  <c r="AP217"/>
  <c r="AN217"/>
  <c r="AL217"/>
  <c r="BC217"/>
  <c r="BA217"/>
  <c r="AY217"/>
  <c r="AS217"/>
  <c r="AQ217"/>
  <c r="AV217"/>
  <c r="AT217"/>
  <c r="AO217"/>
  <c r="AM217"/>
  <c r="AZ215"/>
  <c r="AX215"/>
  <c r="AR215"/>
  <c r="AW215"/>
  <c r="AU215"/>
  <c r="AP215"/>
  <c r="AN215"/>
  <c r="AL215"/>
  <c r="BC215"/>
  <c r="BA215"/>
  <c r="AY215"/>
  <c r="AS215"/>
  <c r="AQ215"/>
  <c r="AV215"/>
  <c r="AT215"/>
  <c r="AO215"/>
  <c r="AM215"/>
  <c r="AZ212"/>
  <c r="AX212"/>
  <c r="AR212"/>
  <c r="AW212"/>
  <c r="AU212"/>
  <c r="AP212"/>
  <c r="AN212"/>
  <c r="AL212"/>
  <c r="BC212"/>
  <c r="BA212"/>
  <c r="AY212"/>
  <c r="AS212"/>
  <c r="AQ212"/>
  <c r="AV212"/>
  <c r="AT212"/>
  <c r="AO212"/>
  <c r="AM212"/>
  <c r="AZ208"/>
  <c r="AX208"/>
  <c r="AR208"/>
  <c r="AW208"/>
  <c r="AU208"/>
  <c r="AP208"/>
  <c r="AN208"/>
  <c r="AL208"/>
  <c r="BC208"/>
  <c r="BA208"/>
  <c r="AY208"/>
  <c r="AS208"/>
  <c r="AQ208"/>
  <c r="AV208"/>
  <c r="AT208"/>
  <c r="AO208"/>
  <c r="AM208"/>
  <c r="AZ206"/>
  <c r="AX206"/>
  <c r="AR206"/>
  <c r="AW206"/>
  <c r="AU206"/>
  <c r="AP206"/>
  <c r="AN206"/>
  <c r="AL206"/>
  <c r="BC206"/>
  <c r="BA206"/>
  <c r="AY206"/>
  <c r="AS206"/>
  <c r="AQ206"/>
  <c r="AV206"/>
  <c r="AT206"/>
  <c r="AO206"/>
  <c r="AM206"/>
  <c r="AZ204"/>
  <c r="AX204"/>
  <c r="AR204"/>
  <c r="AW204"/>
  <c r="AU204"/>
  <c r="AP204"/>
  <c r="AN204"/>
  <c r="AL204"/>
  <c r="BC204"/>
  <c r="BA204"/>
  <c r="AY204"/>
  <c r="AS204"/>
  <c r="AQ204"/>
  <c r="AV204"/>
  <c r="AT204"/>
  <c r="AO204"/>
  <c r="AM204"/>
  <c r="AZ199"/>
  <c r="AX199"/>
  <c r="AR199"/>
  <c r="AW199"/>
  <c r="AU199"/>
  <c r="AP199"/>
  <c r="AN199"/>
  <c r="AL199"/>
  <c r="BC199"/>
  <c r="BA199"/>
  <c r="AY199"/>
  <c r="AS199"/>
  <c r="AQ199"/>
  <c r="AV199"/>
  <c r="AT199"/>
  <c r="AO199"/>
  <c r="AM199"/>
  <c r="AZ197"/>
  <c r="AX197"/>
  <c r="AR197"/>
  <c r="AW197"/>
  <c r="AU197"/>
  <c r="AP197"/>
  <c r="AN197"/>
  <c r="AL197"/>
  <c r="BC197"/>
  <c r="BA197"/>
  <c r="AY197"/>
  <c r="AS197"/>
  <c r="AQ197"/>
  <c r="AV197"/>
  <c r="AT197"/>
  <c r="AO197"/>
  <c r="AM197"/>
  <c r="AZ195"/>
  <c r="AX195"/>
  <c r="AR195"/>
  <c r="AW195"/>
  <c r="AU195"/>
  <c r="AP195"/>
  <c r="AN195"/>
  <c r="AL195"/>
  <c r="BC195"/>
  <c r="BA195"/>
  <c r="AY195"/>
  <c r="AS195"/>
  <c r="AQ195"/>
  <c r="AV195"/>
  <c r="AT195"/>
  <c r="AO195"/>
  <c r="AM195"/>
  <c r="AZ193"/>
  <c r="AX193"/>
  <c r="AR193"/>
  <c r="AW193"/>
  <c r="AU193"/>
  <c r="AP193"/>
  <c r="AN193"/>
  <c r="AL193"/>
  <c r="BC193"/>
  <c r="BA193"/>
  <c r="AY193"/>
  <c r="AS193"/>
  <c r="AQ193"/>
  <c r="AV193"/>
  <c r="AT193"/>
  <c r="AO193"/>
  <c r="AM193"/>
  <c r="AZ191"/>
  <c r="AX191"/>
  <c r="AR191"/>
  <c r="AW191"/>
  <c r="AU191"/>
  <c r="AP191"/>
  <c r="AN191"/>
  <c r="AL191"/>
  <c r="BC191"/>
  <c r="BA191"/>
  <c r="AY191"/>
  <c r="AS191"/>
  <c r="AQ191"/>
  <c r="AV191"/>
  <c r="AT191"/>
  <c r="AO191"/>
  <c r="AM191"/>
  <c r="AZ188"/>
  <c r="AX188"/>
  <c r="AR188"/>
  <c r="AW188"/>
  <c r="AU188"/>
  <c r="AP188"/>
  <c r="AN188"/>
  <c r="AL188"/>
  <c r="BC188"/>
  <c r="BA188"/>
  <c r="AY188"/>
  <c r="AS188"/>
  <c r="AQ188"/>
  <c r="AV188"/>
  <c r="AT188"/>
  <c r="AO188"/>
  <c r="AM188"/>
  <c r="AZ185"/>
  <c r="AX185"/>
  <c r="AR185"/>
  <c r="AW185"/>
  <c r="AU185"/>
  <c r="AP185"/>
  <c r="AN185"/>
  <c r="AL185"/>
  <c r="BC185"/>
  <c r="BA185"/>
  <c r="AY185"/>
  <c r="AS185"/>
  <c r="AQ185"/>
  <c r="AV185"/>
  <c r="AT185"/>
  <c r="AO185"/>
  <c r="AM185"/>
  <c r="AZ183"/>
  <c r="AX183"/>
  <c r="AR183"/>
  <c r="AW183"/>
  <c r="AU183"/>
  <c r="AP183"/>
  <c r="AN183"/>
  <c r="AL183"/>
  <c r="BC183"/>
  <c r="BA183"/>
  <c r="AY183"/>
  <c r="AS183"/>
  <c r="AQ183"/>
  <c r="AV183"/>
  <c r="AT183"/>
  <c r="AO183"/>
  <c r="AM183"/>
  <c r="AZ181"/>
  <c r="AX181"/>
  <c r="AR181"/>
  <c r="AW181"/>
  <c r="AU181"/>
  <c r="AP181"/>
  <c r="AN181"/>
  <c r="AL181"/>
  <c r="BC181"/>
  <c r="BA181"/>
  <c r="AY181"/>
  <c r="AS181"/>
  <c r="AQ181"/>
  <c r="AV181"/>
  <c r="AT181"/>
  <c r="AO181"/>
  <c r="AM181"/>
  <c r="AZ178"/>
  <c r="AX178"/>
  <c r="AR178"/>
  <c r="AW178"/>
  <c r="AU178"/>
  <c r="AP178"/>
  <c r="AN178"/>
  <c r="AL178"/>
  <c r="BC178"/>
  <c r="BA178"/>
  <c r="AY178"/>
  <c r="AS178"/>
  <c r="AQ178"/>
  <c r="AV178"/>
  <c r="AT178"/>
  <c r="AO178"/>
  <c r="AM178"/>
  <c r="AZ176"/>
  <c r="AX176"/>
  <c r="AR176"/>
  <c r="AW176"/>
  <c r="AU176"/>
  <c r="AP176"/>
  <c r="AN176"/>
  <c r="AL176"/>
  <c r="BC176"/>
  <c r="BA176"/>
  <c r="AY176"/>
  <c r="AS176"/>
  <c r="AQ176"/>
  <c r="AV176"/>
  <c r="AT176"/>
  <c r="AO176"/>
  <c r="AM176"/>
  <c r="AZ174"/>
  <c r="AX174"/>
  <c r="AR174"/>
  <c r="AW174"/>
  <c r="AU174"/>
  <c r="AP174"/>
  <c r="AN174"/>
  <c r="AL174"/>
  <c r="BC174"/>
  <c r="BA174"/>
  <c r="AY174"/>
  <c r="AS174"/>
  <c r="AQ174"/>
  <c r="AV174"/>
  <c r="AT174"/>
  <c r="AO174"/>
  <c r="AM174"/>
  <c r="AZ172"/>
  <c r="AX172"/>
  <c r="AR172"/>
  <c r="AW172"/>
  <c r="AU172"/>
  <c r="AP172"/>
  <c r="AN172"/>
  <c r="AL172"/>
  <c r="BC172"/>
  <c r="BA172"/>
  <c r="AY172"/>
  <c r="AS172"/>
  <c r="AQ172"/>
  <c r="AV172"/>
  <c r="AT172"/>
  <c r="AO172"/>
  <c r="AM172"/>
  <c r="AZ170"/>
  <c r="AX170"/>
  <c r="AR170"/>
  <c r="AW170"/>
  <c r="AU170"/>
  <c r="AP170"/>
  <c r="AN170"/>
  <c r="AL170"/>
  <c r="BC170"/>
  <c r="BA170"/>
  <c r="AY170"/>
  <c r="AS170"/>
  <c r="AQ170"/>
  <c r="AV170"/>
  <c r="AT170"/>
  <c r="AO170"/>
  <c r="AM170"/>
  <c r="AZ168"/>
  <c r="AX168"/>
  <c r="AR168"/>
  <c r="AW168"/>
  <c r="AU168"/>
  <c r="AP168"/>
  <c r="AN168"/>
  <c r="AL168"/>
  <c r="BC168"/>
  <c r="BA168"/>
  <c r="AY168"/>
  <c r="AS168"/>
  <c r="AQ168"/>
  <c r="AV168"/>
  <c r="AT168"/>
  <c r="AO168"/>
  <c r="AM168"/>
  <c r="AZ166"/>
  <c r="AX166"/>
  <c r="AR166"/>
  <c r="AW166"/>
  <c r="AU166"/>
  <c r="AP166"/>
  <c r="AN166"/>
  <c r="AL166"/>
  <c r="BC166"/>
  <c r="BA166"/>
  <c r="AY166"/>
  <c r="AS166"/>
  <c r="AQ166"/>
  <c r="AV166"/>
  <c r="AT166"/>
  <c r="AO166"/>
  <c r="AM166"/>
  <c r="AZ164"/>
  <c r="AX164"/>
  <c r="AR164"/>
  <c r="AW164"/>
  <c r="AU164"/>
  <c r="AP164"/>
  <c r="AN164"/>
  <c r="AL164"/>
  <c r="BC164"/>
  <c r="BA164"/>
  <c r="AY164"/>
  <c r="AS164"/>
  <c r="AQ164"/>
  <c r="AV164"/>
  <c r="AT164"/>
  <c r="AO164"/>
  <c r="AM164"/>
  <c r="AW162"/>
  <c r="AL162"/>
  <c r="AS162"/>
  <c r="AO162"/>
  <c r="AR160"/>
  <c r="AN160"/>
  <c r="AY160"/>
  <c r="AT160"/>
  <c r="AX158"/>
  <c r="AP158"/>
  <c r="BA158"/>
  <c r="AV158"/>
  <c r="AZ156"/>
  <c r="AU156"/>
  <c r="BC156"/>
  <c r="AQ156"/>
  <c r="AM156"/>
  <c r="AW154"/>
  <c r="AL154"/>
  <c r="AS154"/>
  <c r="AO154"/>
  <c r="AZ152"/>
  <c r="AX152"/>
  <c r="AR152"/>
  <c r="AW152"/>
  <c r="AU152"/>
  <c r="AP152"/>
  <c r="AN152"/>
  <c r="AL152"/>
  <c r="BC152"/>
  <c r="BA152"/>
  <c r="AY152"/>
  <c r="AS152"/>
  <c r="AQ152"/>
  <c r="AV152"/>
  <c r="AT152"/>
  <c r="AO152"/>
  <c r="AM152"/>
  <c r="AX142"/>
  <c r="AP142"/>
  <c r="BA142"/>
  <c r="AV142"/>
  <c r="AZ139"/>
  <c r="AU139"/>
  <c r="BC139"/>
  <c r="AQ139"/>
  <c r="AM139"/>
  <c r="AW137"/>
  <c r="AL137"/>
  <c r="AS137"/>
  <c r="AO137"/>
  <c r="AR134"/>
  <c r="AN134"/>
  <c r="AY134"/>
  <c r="AT134"/>
  <c r="AX132"/>
  <c r="AP132"/>
  <c r="BA132"/>
  <c r="AV132"/>
  <c r="AZ129"/>
  <c r="AU129"/>
  <c r="BC129"/>
  <c r="AQ129"/>
  <c r="AM129"/>
  <c r="AW126"/>
  <c r="AL126"/>
  <c r="AS126"/>
  <c r="AO126"/>
  <c r="AR123"/>
  <c r="AN123"/>
  <c r="AY123"/>
  <c r="AT123"/>
  <c r="AX121"/>
  <c r="AP121"/>
  <c r="BA121"/>
  <c r="AV121"/>
  <c r="AZ118"/>
  <c r="AU118"/>
  <c r="BC118"/>
  <c r="AY118"/>
  <c r="AQ118"/>
  <c r="AT118"/>
  <c r="AM118"/>
  <c r="AX114"/>
  <c r="AW114"/>
  <c r="AP114"/>
  <c r="AL114"/>
  <c r="BA114"/>
  <c r="AS114"/>
  <c r="AV114"/>
  <c r="AO114"/>
  <c r="AZ112"/>
  <c r="AR112"/>
  <c r="AU112"/>
  <c r="AN112"/>
  <c r="BC112"/>
  <c r="AY112"/>
  <c r="AQ112"/>
  <c r="AT112"/>
  <c r="AM112"/>
  <c r="AX110"/>
  <c r="AW110"/>
  <c r="AP110"/>
  <c r="AL110"/>
  <c r="BA110"/>
  <c r="AS110"/>
  <c r="AV110"/>
  <c r="AO110"/>
  <c r="AZ107"/>
  <c r="AR107"/>
  <c r="AU107"/>
  <c r="AN107"/>
  <c r="BC107"/>
  <c r="AY107"/>
  <c r="AQ107"/>
  <c r="AT107"/>
  <c r="AM107"/>
  <c r="AX105"/>
  <c r="AW105"/>
  <c r="AP105"/>
  <c r="AL105"/>
  <c r="BA105"/>
  <c r="AS105"/>
  <c r="AV105"/>
  <c r="AO105"/>
  <c r="AZ102"/>
  <c r="AR102"/>
  <c r="AU102"/>
  <c r="AN102"/>
  <c r="BC102"/>
  <c r="AY102"/>
  <c r="AQ102"/>
  <c r="AT102"/>
  <c r="AM102"/>
  <c r="AX100"/>
  <c r="AW100"/>
  <c r="AP100"/>
  <c r="AL100"/>
  <c r="BA100"/>
  <c r="AS100"/>
  <c r="AV100"/>
  <c r="AO100"/>
  <c r="AZ98"/>
  <c r="AR98"/>
  <c r="AU98"/>
  <c r="AN98"/>
  <c r="BC98"/>
  <c r="AY98"/>
  <c r="AQ98"/>
  <c r="AT98"/>
  <c r="AM98"/>
  <c r="AX96"/>
  <c r="AW96"/>
  <c r="AP96"/>
  <c r="AL96"/>
  <c r="BA96"/>
  <c r="AS96"/>
  <c r="AV96"/>
  <c r="AO96"/>
  <c r="AZ94"/>
  <c r="AR94"/>
  <c r="AU94"/>
  <c r="AN94"/>
  <c r="BC94"/>
  <c r="AY94"/>
  <c r="AQ94"/>
  <c r="AT94"/>
  <c r="AM94"/>
  <c r="AX92"/>
  <c r="AW92"/>
  <c r="AP92"/>
  <c r="AL92"/>
  <c r="BA92"/>
  <c r="AS92"/>
  <c r="AV92"/>
  <c r="AO92"/>
  <c r="AZ90"/>
  <c r="AR90"/>
  <c r="AU90"/>
  <c r="AN90"/>
  <c r="BC90"/>
  <c r="AY90"/>
  <c r="AQ90"/>
  <c r="AT90"/>
  <c r="AM90"/>
  <c r="AX88"/>
  <c r="AW88"/>
  <c r="AP88"/>
  <c r="AL88"/>
  <c r="BA88"/>
  <c r="AS88"/>
  <c r="AV88"/>
  <c r="AO88"/>
  <c r="AZ77"/>
  <c r="AR77"/>
  <c r="AU77"/>
  <c r="AN77"/>
  <c r="BC77"/>
  <c r="AY77"/>
  <c r="AQ77"/>
  <c r="AT77"/>
  <c r="AM77"/>
  <c r="AX75"/>
  <c r="AW75"/>
  <c r="AP75"/>
  <c r="AL75"/>
  <c r="BA75"/>
  <c r="AS75"/>
  <c r="AV75"/>
  <c r="AO75"/>
  <c r="AZ69"/>
  <c r="AR69"/>
  <c r="AU69"/>
  <c r="AN69"/>
  <c r="BC69"/>
  <c r="AY69"/>
  <c r="AQ69"/>
  <c r="AT69"/>
  <c r="AM69"/>
  <c r="AX65"/>
  <c r="AW65"/>
  <c r="AP65"/>
  <c r="AL65"/>
  <c r="BA65"/>
  <c r="AS65"/>
  <c r="AV65"/>
  <c r="AO65"/>
  <c r="AZ179"/>
  <c r="AX179"/>
  <c r="AR179"/>
  <c r="AW179"/>
  <c r="AU179"/>
  <c r="AP179"/>
  <c r="AN179"/>
  <c r="AL179"/>
  <c r="BC179"/>
  <c r="BA179"/>
  <c r="AY179"/>
  <c r="AS179"/>
  <c r="AQ179"/>
  <c r="AV179"/>
  <c r="AT179"/>
  <c r="AO179"/>
  <c r="AM179"/>
  <c r="AZ200"/>
  <c r="AX200"/>
  <c r="AR200"/>
  <c r="AW200"/>
  <c r="AU200"/>
  <c r="AP200"/>
  <c r="AN200"/>
  <c r="AL200"/>
  <c r="BC200"/>
  <c r="BA200"/>
  <c r="AY200"/>
  <c r="AS200"/>
  <c r="AQ200"/>
  <c r="AV200"/>
  <c r="AT200"/>
  <c r="AO200"/>
  <c r="AM200"/>
  <c r="AZ214"/>
  <c r="AX214"/>
  <c r="AR214"/>
  <c r="AW214"/>
  <c r="AU214"/>
  <c r="AP214"/>
  <c r="AN214"/>
  <c r="AL214"/>
  <c r="BC214"/>
  <c r="BA214"/>
  <c r="AY214"/>
  <c r="AS214"/>
  <c r="AQ214"/>
  <c r="AV214"/>
  <c r="AT214"/>
  <c r="AO214"/>
  <c r="AM214"/>
  <c r="AM10"/>
  <c r="AO10"/>
  <c r="AT10"/>
  <c r="AV10"/>
  <c r="AQ10"/>
  <c r="AS10"/>
  <c r="AY10"/>
  <c r="BA10"/>
  <c r="BC10"/>
  <c r="AM12"/>
  <c r="AO12"/>
  <c r="AT12"/>
  <c r="AV12"/>
  <c r="AQ12"/>
  <c r="AS12"/>
  <c r="AY12"/>
  <c r="BA12"/>
  <c r="BC12"/>
  <c r="AM14"/>
  <c r="AO14"/>
  <c r="AT14"/>
  <c r="AV14"/>
  <c r="AQ14"/>
  <c r="AS14"/>
  <c r="AY14"/>
  <c r="BA14"/>
  <c r="BC14"/>
  <c r="AM16"/>
  <c r="AO16"/>
  <c r="AT16"/>
  <c r="AV16"/>
  <c r="AQ16"/>
  <c r="AS16"/>
  <c r="AY16"/>
  <c r="BA16"/>
  <c r="BC16"/>
  <c r="AM18"/>
  <c r="AO18"/>
  <c r="AT18"/>
  <c r="AV18"/>
  <c r="AQ18"/>
  <c r="AS18"/>
  <c r="AY18"/>
  <c r="BA18"/>
  <c r="BC18"/>
  <c r="AM20"/>
  <c r="AO20"/>
  <c r="AT20"/>
  <c r="AV20"/>
  <c r="AQ20"/>
  <c r="AS20"/>
  <c r="AY20"/>
  <c r="BA20"/>
  <c r="BC20"/>
  <c r="AM22"/>
  <c r="AO22"/>
  <c r="AT22"/>
  <c r="AV22"/>
  <c r="AQ22"/>
  <c r="AS22"/>
  <c r="AY22"/>
  <c r="BA22"/>
  <c r="BC22"/>
  <c r="AM24"/>
  <c r="AO24"/>
  <c r="AT24"/>
  <c r="AV24"/>
  <c r="AQ24"/>
  <c r="AS24"/>
  <c r="AY24"/>
  <c r="BA24"/>
  <c r="BC24"/>
  <c r="AM26"/>
  <c r="AO26"/>
  <c r="AT26"/>
  <c r="AV26"/>
  <c r="AQ26"/>
  <c r="AS26"/>
  <c r="AY26"/>
  <c r="BA26"/>
  <c r="BC26"/>
  <c r="AM28"/>
  <c r="AO28"/>
  <c r="AT28"/>
  <c r="AV28"/>
  <c r="AQ28"/>
  <c r="AS28"/>
  <c r="AY28"/>
  <c r="BA28"/>
  <c r="BC28"/>
  <c r="AO31"/>
  <c r="AV31"/>
  <c r="AS31"/>
  <c r="BA31"/>
  <c r="AM33"/>
  <c r="AT33"/>
  <c r="AQ33"/>
  <c r="AY33"/>
  <c r="BC33"/>
  <c r="AO35"/>
  <c r="AV35"/>
  <c r="AS35"/>
  <c r="BA35"/>
  <c r="AM37"/>
  <c r="AT37"/>
  <c r="AQ37"/>
  <c r="AY37"/>
  <c r="BC37"/>
  <c r="AO39"/>
  <c r="AV39"/>
  <c r="AS39"/>
  <c r="BA39"/>
  <c r="AM41"/>
  <c r="AT41"/>
  <c r="AQ41"/>
  <c r="AY41"/>
  <c r="BC41"/>
  <c r="AO43"/>
  <c r="AV43"/>
  <c r="AS43"/>
  <c r="BA43"/>
  <c r="AM46"/>
  <c r="AT46"/>
  <c r="AQ46"/>
  <c r="AY46"/>
  <c r="BC46"/>
  <c r="AO48"/>
  <c r="AV48"/>
  <c r="AS48"/>
  <c r="BA48"/>
  <c r="AM51"/>
  <c r="AT51"/>
  <c r="AQ51"/>
  <c r="AY51"/>
  <c r="BC51"/>
  <c r="AO53"/>
  <c r="AV53"/>
  <c r="AS53"/>
  <c r="BA53"/>
  <c r="AM55"/>
  <c r="AT55"/>
  <c r="AQ55"/>
  <c r="AY55"/>
  <c r="BC55"/>
  <c r="AO58"/>
  <c r="AV58"/>
  <c r="AS58"/>
  <c r="BA58"/>
  <c r="AM60"/>
  <c r="AT60"/>
  <c r="AQ60"/>
  <c r="AY60"/>
  <c r="BC60"/>
  <c r="AF310"/>
  <c r="AD310"/>
  <c r="X310"/>
  <c r="AC310"/>
  <c r="AA310"/>
  <c r="V310"/>
  <c r="T310"/>
  <c r="R310"/>
  <c r="AI310"/>
  <c r="AG310"/>
  <c r="AE310"/>
  <c r="Y310"/>
  <c r="W310"/>
  <c r="AB310"/>
  <c r="Z310"/>
  <c r="U310"/>
  <c r="S310"/>
  <c r="AF308"/>
  <c r="AD308"/>
  <c r="X308"/>
  <c r="AC308"/>
  <c r="AA308"/>
  <c r="V308"/>
  <c r="T308"/>
  <c r="R308"/>
  <c r="AI308"/>
  <c r="AG308"/>
  <c r="AE308"/>
  <c r="Y308"/>
  <c r="W308"/>
  <c r="AB308"/>
  <c r="Z308"/>
  <c r="U308"/>
  <c r="S308"/>
  <c r="AF305"/>
  <c r="AD305"/>
  <c r="X305"/>
  <c r="AC305"/>
  <c r="AA305"/>
  <c r="V305"/>
  <c r="T305"/>
  <c r="R305"/>
  <c r="AI305"/>
  <c r="AG305"/>
  <c r="AE305"/>
  <c r="Y305"/>
  <c r="W305"/>
  <c r="AB305"/>
  <c r="Z305"/>
  <c r="U305"/>
  <c r="S305"/>
  <c r="AF302"/>
  <c r="AD302"/>
  <c r="X302"/>
  <c r="AC302"/>
  <c r="AA302"/>
  <c r="V302"/>
  <c r="T302"/>
  <c r="R302"/>
  <c r="AI302"/>
  <c r="AG302"/>
  <c r="AE302"/>
  <c r="Y302"/>
  <c r="W302"/>
  <c r="AB302"/>
  <c r="Z302"/>
  <c r="U302"/>
  <c r="S302"/>
  <c r="J299"/>
  <c r="AH299" s="1"/>
  <c r="AF300"/>
  <c r="AD300"/>
  <c r="X300"/>
  <c r="AC300"/>
  <c r="AA300"/>
  <c r="V300"/>
  <c r="T300"/>
  <c r="R300"/>
  <c r="AI300"/>
  <c r="AG300"/>
  <c r="AE300"/>
  <c r="Y300"/>
  <c r="W300"/>
  <c r="AB300"/>
  <c r="Z300"/>
  <c r="U300"/>
  <c r="S300"/>
  <c r="AF296"/>
  <c r="AD296"/>
  <c r="X296"/>
  <c r="AC296"/>
  <c r="AA296"/>
  <c r="V296"/>
  <c r="T296"/>
  <c r="R296"/>
  <c r="AI296"/>
  <c r="AG296"/>
  <c r="AE296"/>
  <c r="Y296"/>
  <c r="W296"/>
  <c r="AB296"/>
  <c r="Z296"/>
  <c r="U296"/>
  <c r="S296"/>
  <c r="AF294"/>
  <c r="AD294"/>
  <c r="X294"/>
  <c r="AC294"/>
  <c r="AA294"/>
  <c r="V294"/>
  <c r="T294"/>
  <c r="R294"/>
  <c r="AI294"/>
  <c r="AG294"/>
  <c r="AE294"/>
  <c r="Y294"/>
  <c r="W294"/>
  <c r="AB294"/>
  <c r="Z294"/>
  <c r="U294"/>
  <c r="S294"/>
  <c r="AF292"/>
  <c r="AD292"/>
  <c r="X292"/>
  <c r="AC292"/>
  <c r="AA292"/>
  <c r="V292"/>
  <c r="T292"/>
  <c r="R292"/>
  <c r="AI292"/>
  <c r="AG292"/>
  <c r="AE292"/>
  <c r="Y292"/>
  <c r="W292"/>
  <c r="AB292"/>
  <c r="Z292"/>
  <c r="U292"/>
  <c r="S292"/>
  <c r="AF290"/>
  <c r="AD290"/>
  <c r="X290"/>
  <c r="AC290"/>
  <c r="AA290"/>
  <c r="V290"/>
  <c r="T290"/>
  <c r="R290"/>
  <c r="AI290"/>
  <c r="AG290"/>
  <c r="AE290"/>
  <c r="Y290"/>
  <c r="W290"/>
  <c r="AB290"/>
  <c r="Z290"/>
  <c r="U290"/>
  <c r="S290"/>
  <c r="AF288"/>
  <c r="AD288"/>
  <c r="X288"/>
  <c r="AC288"/>
  <c r="AA288"/>
  <c r="V288"/>
  <c r="T288"/>
  <c r="R288"/>
  <c r="AI288"/>
  <c r="AG288"/>
  <c r="AE288"/>
  <c r="Y288"/>
  <c r="W288"/>
  <c r="AB288"/>
  <c r="Z288"/>
  <c r="U288"/>
  <c r="S288"/>
  <c r="AF286"/>
  <c r="AD286"/>
  <c r="X286"/>
  <c r="AC286"/>
  <c r="AA286"/>
  <c r="V286"/>
  <c r="T286"/>
  <c r="R286"/>
  <c r="AI286"/>
  <c r="AG286"/>
  <c r="AE286"/>
  <c r="Y286"/>
  <c r="W286"/>
  <c r="AB286"/>
  <c r="Z286"/>
  <c r="U286"/>
  <c r="S286"/>
  <c r="AF284"/>
  <c r="AD284"/>
  <c r="X284"/>
  <c r="AC284"/>
  <c r="AA284"/>
  <c r="V284"/>
  <c r="T284"/>
  <c r="R284"/>
  <c r="AI284"/>
  <c r="AG284"/>
  <c r="AE284"/>
  <c r="Y284"/>
  <c r="W284"/>
  <c r="AB284"/>
  <c r="Z284"/>
  <c r="U284"/>
  <c r="S284"/>
  <c r="AF282"/>
  <c r="AI282"/>
  <c r="AG282"/>
  <c r="AE282"/>
  <c r="Y282"/>
  <c r="W282"/>
  <c r="AB282"/>
  <c r="Z282"/>
  <c r="U282"/>
  <c r="S282"/>
  <c r="AD282"/>
  <c r="X282"/>
  <c r="AC282"/>
  <c r="AA282"/>
  <c r="V282"/>
  <c r="T282"/>
  <c r="R282"/>
  <c r="AI280"/>
  <c r="AG280"/>
  <c r="AE280"/>
  <c r="Y280"/>
  <c r="W280"/>
  <c r="AB280"/>
  <c r="Z280"/>
  <c r="U280"/>
  <c r="S280"/>
  <c r="AF280"/>
  <c r="AD280"/>
  <c r="X280"/>
  <c r="AC280"/>
  <c r="AA280"/>
  <c r="V280"/>
  <c r="T280"/>
  <c r="R280"/>
  <c r="AI278"/>
  <c r="AG278"/>
  <c r="AE278"/>
  <c r="Y278"/>
  <c r="W278"/>
  <c r="AB278"/>
  <c r="Z278"/>
  <c r="U278"/>
  <c r="S278"/>
  <c r="AF278"/>
  <c r="AD278"/>
  <c r="X278"/>
  <c r="AC278"/>
  <c r="AA278"/>
  <c r="V278"/>
  <c r="T278"/>
  <c r="R278"/>
  <c r="AG142"/>
  <c r="Y142"/>
  <c r="AB142"/>
  <c r="U142"/>
  <c r="AF142"/>
  <c r="X142"/>
  <c r="AA142"/>
  <c r="T142"/>
  <c r="AI139"/>
  <c r="AE139"/>
  <c r="W139"/>
  <c r="Z139"/>
  <c r="S139"/>
  <c r="AD139"/>
  <c r="AC139"/>
  <c r="V139"/>
  <c r="R139"/>
  <c r="AI137"/>
  <c r="AE137"/>
  <c r="W137"/>
  <c r="Z137"/>
  <c r="S137"/>
  <c r="AD137"/>
  <c r="AC137"/>
  <c r="V137"/>
  <c r="R137"/>
  <c r="AG134"/>
  <c r="Y134"/>
  <c r="AB134"/>
  <c r="U134"/>
  <c r="AF134"/>
  <c r="X134"/>
  <c r="AA134"/>
  <c r="T134"/>
  <c r="AI132"/>
  <c r="AE132"/>
  <c r="W132"/>
  <c r="Z132"/>
  <c r="S132"/>
  <c r="AD132"/>
  <c r="AC132"/>
  <c r="V132"/>
  <c r="R132"/>
  <c r="AG129"/>
  <c r="Y129"/>
  <c r="AB129"/>
  <c r="U129"/>
  <c r="AF129"/>
  <c r="X129"/>
  <c r="AA129"/>
  <c r="T129"/>
  <c r="AI126"/>
  <c r="AE126"/>
  <c r="W126"/>
  <c r="Z126"/>
  <c r="S126"/>
  <c r="AD126"/>
  <c r="AC126"/>
  <c r="V126"/>
  <c r="R126"/>
  <c r="AG123"/>
  <c r="Y123"/>
  <c r="AB123"/>
  <c r="U123"/>
  <c r="AF123"/>
  <c r="X123"/>
  <c r="AA123"/>
  <c r="T123"/>
  <c r="AI121"/>
  <c r="AE121"/>
  <c r="W121"/>
  <c r="Z121"/>
  <c r="AD121"/>
  <c r="AC121"/>
  <c r="V121"/>
  <c r="R121"/>
  <c r="U121"/>
  <c r="AG118"/>
  <c r="Y118"/>
  <c r="AB118"/>
  <c r="U118"/>
  <c r="AF118"/>
  <c r="X118"/>
  <c r="AA118"/>
  <c r="T118"/>
  <c r="AI114"/>
  <c r="AE114"/>
  <c r="W114"/>
  <c r="Z114"/>
  <c r="S114"/>
  <c r="AD114"/>
  <c r="AC114"/>
  <c r="V114"/>
  <c r="R114"/>
  <c r="AG112"/>
  <c r="Y112"/>
  <c r="AB112"/>
  <c r="U112"/>
  <c r="AF112"/>
  <c r="X112"/>
  <c r="AA112"/>
  <c r="T112"/>
  <c r="AI110"/>
  <c r="AE110"/>
  <c r="W110"/>
  <c r="Z110"/>
  <c r="S110"/>
  <c r="AD110"/>
  <c r="AC110"/>
  <c r="V110"/>
  <c r="R110"/>
  <c r="AG107"/>
  <c r="Y107"/>
  <c r="AB107"/>
  <c r="U107"/>
  <c r="AF107"/>
  <c r="X107"/>
  <c r="AA107"/>
  <c r="T107"/>
  <c r="AI105"/>
  <c r="AE105"/>
  <c r="W105"/>
  <c r="Z105"/>
  <c r="S105"/>
  <c r="AD105"/>
  <c r="AC105"/>
  <c r="V105"/>
  <c r="R105"/>
  <c r="AG102"/>
  <c r="Y102"/>
  <c r="AB102"/>
  <c r="U102"/>
  <c r="AF102"/>
  <c r="X102"/>
  <c r="AA102"/>
  <c r="T102"/>
  <c r="AI100"/>
  <c r="AE100"/>
  <c r="W100"/>
  <c r="Z100"/>
  <c r="S100"/>
  <c r="AD100"/>
  <c r="AC100"/>
  <c r="V100"/>
  <c r="R100"/>
  <c r="AG98"/>
  <c r="Y98"/>
  <c r="AB98"/>
  <c r="U98"/>
  <c r="AF98"/>
  <c r="X98"/>
  <c r="AA98"/>
  <c r="T98"/>
  <c r="AI96"/>
  <c r="AE96"/>
  <c r="W96"/>
  <c r="Z96"/>
  <c r="S96"/>
  <c r="AD96"/>
  <c r="AC96"/>
  <c r="V96"/>
  <c r="R96"/>
  <c r="AG94"/>
  <c r="Y94"/>
  <c r="AB94"/>
  <c r="U94"/>
  <c r="AF94"/>
  <c r="X94"/>
  <c r="AA94"/>
  <c r="T94"/>
  <c r="AI92"/>
  <c r="AE92"/>
  <c r="W92"/>
  <c r="Z92"/>
  <c r="S92"/>
  <c r="AD92"/>
  <c r="AC92"/>
  <c r="V92"/>
  <c r="R92"/>
  <c r="AG90"/>
  <c r="Y90"/>
  <c r="AB90"/>
  <c r="U90"/>
  <c r="AF90"/>
  <c r="X90"/>
  <c r="AA90"/>
  <c r="T90"/>
  <c r="AI88"/>
  <c r="AE88"/>
  <c r="W88"/>
  <c r="Z88"/>
  <c r="S88"/>
  <c r="AD88"/>
  <c r="AC88"/>
  <c r="V88"/>
  <c r="R88"/>
  <c r="AG77"/>
  <c r="Y77"/>
  <c r="AB77"/>
  <c r="U77"/>
  <c r="AF77"/>
  <c r="X77"/>
  <c r="AA77"/>
  <c r="T77"/>
  <c r="AI75"/>
  <c r="AE75"/>
  <c r="W75"/>
  <c r="Z75"/>
  <c r="S75"/>
  <c r="AD75"/>
  <c r="AC75"/>
  <c r="V75"/>
  <c r="R75"/>
  <c r="AG69"/>
  <c r="Y69"/>
  <c r="AB69"/>
  <c r="U69"/>
  <c r="AF69"/>
  <c r="X69"/>
  <c r="AA69"/>
  <c r="T69"/>
  <c r="J66"/>
  <c r="AH66" s="1"/>
  <c r="AG65"/>
  <c r="Y65"/>
  <c r="AB65"/>
  <c r="U65"/>
  <c r="AF65"/>
  <c r="X65"/>
  <c r="AA65"/>
  <c r="T65"/>
  <c r="AI60"/>
  <c r="AE60"/>
  <c r="W60"/>
  <c r="Z60"/>
  <c r="S60"/>
  <c r="AD60"/>
  <c r="AC60"/>
  <c r="V60"/>
  <c r="R60"/>
  <c r="AG58"/>
  <c r="Y58"/>
  <c r="AB58"/>
  <c r="U58"/>
  <c r="AF58"/>
  <c r="X58"/>
  <c r="AA58"/>
  <c r="T58"/>
  <c r="AI55"/>
  <c r="AE55"/>
  <c r="W55"/>
  <c r="Z55"/>
  <c r="S55"/>
  <c r="AD55"/>
  <c r="AC55"/>
  <c r="V55"/>
  <c r="R55"/>
  <c r="AG53"/>
  <c r="Y53"/>
  <c r="AB53"/>
  <c r="U53"/>
  <c r="AF53"/>
  <c r="X53"/>
  <c r="AA53"/>
  <c r="T53"/>
  <c r="AI51"/>
  <c r="AE51"/>
  <c r="W51"/>
  <c r="Z51"/>
  <c r="S51"/>
  <c r="AD51"/>
  <c r="AC51"/>
  <c r="V51"/>
  <c r="R51"/>
  <c r="AG48"/>
  <c r="Y48"/>
  <c r="AB48"/>
  <c r="U48"/>
  <c r="AF48"/>
  <c r="X48"/>
  <c r="AA48"/>
  <c r="T48"/>
  <c r="AI46"/>
  <c r="AE46"/>
  <c r="W46"/>
  <c r="AD46"/>
  <c r="AC46"/>
  <c r="V46"/>
  <c r="R46"/>
  <c r="AI179"/>
  <c r="AG179"/>
  <c r="AE179"/>
  <c r="Y179"/>
  <c r="W179"/>
  <c r="AB179"/>
  <c r="Z179"/>
  <c r="U179"/>
  <c r="S179"/>
  <c r="AF179"/>
  <c r="AD179"/>
  <c r="X179"/>
  <c r="AC179"/>
  <c r="AA179"/>
  <c r="V179"/>
  <c r="T179"/>
  <c r="R179"/>
  <c r="AI200"/>
  <c r="AG200"/>
  <c r="AE200"/>
  <c r="Y200"/>
  <c r="W200"/>
  <c r="AB200"/>
  <c r="Z200"/>
  <c r="U200"/>
  <c r="S200"/>
  <c r="AF200"/>
  <c r="AD200"/>
  <c r="X200"/>
  <c r="AC200"/>
  <c r="AA200"/>
  <c r="V200"/>
  <c r="T200"/>
  <c r="R200"/>
  <c r="U9"/>
  <c r="AB9"/>
  <c r="Y9"/>
  <c r="AG9"/>
  <c r="S10"/>
  <c r="U10"/>
  <c r="Z10"/>
  <c r="AB10"/>
  <c r="W10"/>
  <c r="Y10"/>
  <c r="AE10"/>
  <c r="AG10"/>
  <c r="AI10"/>
  <c r="U11"/>
  <c r="AB11"/>
  <c r="Y11"/>
  <c r="AG11"/>
  <c r="S12"/>
  <c r="U12"/>
  <c r="Z12"/>
  <c r="AB12"/>
  <c r="W12"/>
  <c r="Y12"/>
  <c r="AE12"/>
  <c r="AG12"/>
  <c r="AI12"/>
  <c r="U13"/>
  <c r="AB13"/>
  <c r="Y13"/>
  <c r="AG13"/>
  <c r="S14"/>
  <c r="U14"/>
  <c r="Z14"/>
  <c r="AB14"/>
  <c r="W14"/>
  <c r="Y14"/>
  <c r="AE14"/>
  <c r="AG14"/>
  <c r="AI14"/>
  <c r="U15"/>
  <c r="AB15"/>
  <c r="Y15"/>
  <c r="AG15"/>
  <c r="S16"/>
  <c r="U16"/>
  <c r="Z16"/>
  <c r="AB16"/>
  <c r="W16"/>
  <c r="Y16"/>
  <c r="AE16"/>
  <c r="AG16"/>
  <c r="AI16"/>
  <c r="U17"/>
  <c r="AB17"/>
  <c r="Y17"/>
  <c r="AG17"/>
  <c r="S18"/>
  <c r="U18"/>
  <c r="Z18"/>
  <c r="AB18"/>
  <c r="W18"/>
  <c r="Y18"/>
  <c r="AE18"/>
  <c r="AG18"/>
  <c r="AI18"/>
  <c r="U19"/>
  <c r="AB19"/>
  <c r="Y19"/>
  <c r="AG19"/>
  <c r="S20"/>
  <c r="U20"/>
  <c r="Z20"/>
  <c r="AB20"/>
  <c r="W20"/>
  <c r="Y20"/>
  <c r="AE20"/>
  <c r="AG20"/>
  <c r="AI20"/>
  <c r="U21"/>
  <c r="AB21"/>
  <c r="Y21"/>
  <c r="AG21"/>
  <c r="S22"/>
  <c r="U22"/>
  <c r="Z22"/>
  <c r="AB22"/>
  <c r="W22"/>
  <c r="Y22"/>
  <c r="AE22"/>
  <c r="AG22"/>
  <c r="AI22"/>
  <c r="U23"/>
  <c r="AB23"/>
  <c r="Y23"/>
  <c r="AG23"/>
  <c r="S24"/>
  <c r="U24"/>
  <c r="Z24"/>
  <c r="AB24"/>
  <c r="W24"/>
  <c r="Y24"/>
  <c r="AE24"/>
  <c r="AG24"/>
  <c r="AI24"/>
  <c r="S25"/>
  <c r="U25"/>
  <c r="Z25"/>
  <c r="AB25"/>
  <c r="W25"/>
  <c r="Y25"/>
  <c r="AE25"/>
  <c r="AG25"/>
  <c r="AI25"/>
  <c r="S26"/>
  <c r="U26"/>
  <c r="Z26"/>
  <c r="AB26"/>
  <c r="W26"/>
  <c r="Y26"/>
  <c r="AE26"/>
  <c r="AG26"/>
  <c r="AI26"/>
  <c r="U27"/>
  <c r="AB27"/>
  <c r="Y27"/>
  <c r="AG27"/>
  <c r="S28"/>
  <c r="U28"/>
  <c r="Z28"/>
  <c r="AB28"/>
  <c r="W28"/>
  <c r="Y28"/>
  <c r="AE28"/>
  <c r="AG28"/>
  <c r="AI28"/>
  <c r="U29"/>
  <c r="AB29"/>
  <c r="Y29"/>
  <c r="AG29"/>
  <c r="S31"/>
  <c r="Z31"/>
  <c r="W31"/>
  <c r="AE31"/>
  <c r="AI31"/>
  <c r="S32"/>
  <c r="U32"/>
  <c r="Z32"/>
  <c r="AB32"/>
  <c r="W32"/>
  <c r="Y32"/>
  <c r="AE32"/>
  <c r="AG32"/>
  <c r="AI32"/>
  <c r="S33"/>
  <c r="Z33"/>
  <c r="W33"/>
  <c r="AE33"/>
  <c r="AI33"/>
  <c r="S34"/>
  <c r="U34"/>
  <c r="Z34"/>
  <c r="AB34"/>
  <c r="W34"/>
  <c r="Y34"/>
  <c r="AE34"/>
  <c r="AG34"/>
  <c r="AI34"/>
  <c r="S35"/>
  <c r="Z35"/>
  <c r="W35"/>
  <c r="AE35"/>
  <c r="AI35"/>
  <c r="S36"/>
  <c r="U36"/>
  <c r="Z36"/>
  <c r="AB36"/>
  <c r="W36"/>
  <c r="Y36"/>
  <c r="AE36"/>
  <c r="AG36"/>
  <c r="AI36"/>
  <c r="S37"/>
  <c r="Z37"/>
  <c r="W37"/>
  <c r="AE37"/>
  <c r="AI37"/>
  <c r="S38"/>
  <c r="U38"/>
  <c r="Z38"/>
  <c r="AB38"/>
  <c r="W38"/>
  <c r="Y38"/>
  <c r="AE38"/>
  <c r="AG38"/>
  <c r="AI38"/>
  <c r="S39"/>
  <c r="Z39"/>
  <c r="W39"/>
  <c r="AE39"/>
  <c r="AI39"/>
  <c r="S40"/>
  <c r="U40"/>
  <c r="Z40"/>
  <c r="AB40"/>
  <c r="W40"/>
  <c r="Y40"/>
  <c r="AE40"/>
  <c r="AG40"/>
  <c r="AI40"/>
  <c r="S41"/>
  <c r="Z41"/>
  <c r="W41"/>
  <c r="AE41"/>
  <c r="AI41"/>
  <c r="S42"/>
  <c r="U42"/>
  <c r="Z42"/>
  <c r="AB42"/>
  <c r="W42"/>
  <c r="Y42"/>
  <c r="AE42"/>
  <c r="AG42"/>
  <c r="AI42"/>
  <c r="S43"/>
  <c r="Z43"/>
  <c r="W43"/>
  <c r="AE43"/>
  <c r="AI43"/>
  <c r="S45"/>
  <c r="U45"/>
  <c r="Z45"/>
  <c r="AB45"/>
  <c r="W45"/>
  <c r="Y45"/>
  <c r="AE45"/>
  <c r="AG45"/>
  <c r="AI45"/>
  <c r="U46"/>
  <c r="AF311"/>
  <c r="X311"/>
  <c r="AA311"/>
  <c r="T311"/>
  <c r="AI311"/>
  <c r="AE311"/>
  <c r="W311"/>
  <c r="Z311"/>
  <c r="S311"/>
  <c r="AD309"/>
  <c r="AC309"/>
  <c r="V309"/>
  <c r="R309"/>
  <c r="AG309"/>
  <c r="Y309"/>
  <c r="AB309"/>
  <c r="U309"/>
  <c r="AF307"/>
  <c r="X307"/>
  <c r="AA307"/>
  <c r="T307"/>
  <c r="AI307"/>
  <c r="AE307"/>
  <c r="W307"/>
  <c r="Z307"/>
  <c r="S307"/>
  <c r="AD303"/>
  <c r="AC303"/>
  <c r="V303"/>
  <c r="R303"/>
  <c r="AG303"/>
  <c r="Y303"/>
  <c r="AB303"/>
  <c r="U303"/>
  <c r="AF301"/>
  <c r="X301"/>
  <c r="AA301"/>
  <c r="T301"/>
  <c r="AI301"/>
  <c r="AE301"/>
  <c r="W301"/>
  <c r="Z301"/>
  <c r="S301"/>
  <c r="AD298"/>
  <c r="AC298"/>
  <c r="V298"/>
  <c r="R298"/>
  <c r="AG298"/>
  <c r="Y298"/>
  <c r="AB298"/>
  <c r="U298"/>
  <c r="AF295"/>
  <c r="X295"/>
  <c r="AA295"/>
  <c r="T295"/>
  <c r="AI295"/>
  <c r="AE295"/>
  <c r="W295"/>
  <c r="Z295"/>
  <c r="S295"/>
  <c r="AD293"/>
  <c r="AC293"/>
  <c r="V293"/>
  <c r="R293"/>
  <c r="AG293"/>
  <c r="Y293"/>
  <c r="AB293"/>
  <c r="U293"/>
  <c r="AF291"/>
  <c r="X291"/>
  <c r="AA291"/>
  <c r="T291"/>
  <c r="AI291"/>
  <c r="AE291"/>
  <c r="W291"/>
  <c r="Z291"/>
  <c r="S291"/>
  <c r="AD289"/>
  <c r="AC289"/>
  <c r="V289"/>
  <c r="R289"/>
  <c r="AG289"/>
  <c r="Y289"/>
  <c r="AB289"/>
  <c r="U289"/>
  <c r="AF287"/>
  <c r="X287"/>
  <c r="AA287"/>
  <c r="T287"/>
  <c r="AI287"/>
  <c r="AE287"/>
  <c r="W287"/>
  <c r="Z287"/>
  <c r="S287"/>
  <c r="AD285"/>
  <c r="AC285"/>
  <c r="V285"/>
  <c r="R285"/>
  <c r="AG285"/>
  <c r="Y285"/>
  <c r="AB285"/>
  <c r="U285"/>
  <c r="AF283"/>
  <c r="X283"/>
  <c r="AA283"/>
  <c r="T283"/>
  <c r="AI283"/>
  <c r="AE283"/>
  <c r="W283"/>
  <c r="Z283"/>
  <c r="S283"/>
  <c r="AG281"/>
  <c r="Y281"/>
  <c r="AB281"/>
  <c r="U281"/>
  <c r="AF281"/>
  <c r="X281"/>
  <c r="AA281"/>
  <c r="T281"/>
  <c r="AI279"/>
  <c r="AE279"/>
  <c r="W279"/>
  <c r="Z279"/>
  <c r="S279"/>
  <c r="AD279"/>
  <c r="AC279"/>
  <c r="V279"/>
  <c r="R279"/>
  <c r="AG277"/>
  <c r="Y277"/>
  <c r="AB277"/>
  <c r="U277"/>
  <c r="AF277"/>
  <c r="X277"/>
  <c r="AA277"/>
  <c r="T277"/>
  <c r="AI140"/>
  <c r="AG140"/>
  <c r="AE140"/>
  <c r="Y140"/>
  <c r="W140"/>
  <c r="AB140"/>
  <c r="Z140"/>
  <c r="U140"/>
  <c r="S140"/>
  <c r="AF140"/>
  <c r="AD140"/>
  <c r="X140"/>
  <c r="AC140"/>
  <c r="AA140"/>
  <c r="V140"/>
  <c r="T140"/>
  <c r="R140"/>
  <c r="AI138"/>
  <c r="AG138"/>
  <c r="AE138"/>
  <c r="Y138"/>
  <c r="W138"/>
  <c r="AB138"/>
  <c r="Z138"/>
  <c r="U138"/>
  <c r="S138"/>
  <c r="AF138"/>
  <c r="AD138"/>
  <c r="X138"/>
  <c r="AC138"/>
  <c r="AA138"/>
  <c r="V138"/>
  <c r="T138"/>
  <c r="R138"/>
  <c r="AI135"/>
  <c r="AG135"/>
  <c r="AE135"/>
  <c r="Y135"/>
  <c r="W135"/>
  <c r="AB135"/>
  <c r="Z135"/>
  <c r="U135"/>
  <c r="S135"/>
  <c r="AF135"/>
  <c r="AD135"/>
  <c r="X135"/>
  <c r="AC135"/>
  <c r="AA135"/>
  <c r="V135"/>
  <c r="T135"/>
  <c r="R135"/>
  <c r="AI133"/>
  <c r="AG133"/>
  <c r="AE133"/>
  <c r="Y133"/>
  <c r="W133"/>
  <c r="AB133"/>
  <c r="Z133"/>
  <c r="U133"/>
  <c r="S133"/>
  <c r="AF133"/>
  <c r="AD133"/>
  <c r="X133"/>
  <c r="AC133"/>
  <c r="AA133"/>
  <c r="V133"/>
  <c r="T133"/>
  <c r="R133"/>
  <c r="J131"/>
  <c r="AH131" s="1"/>
  <c r="AI130"/>
  <c r="AG130"/>
  <c r="AE130"/>
  <c r="Y130"/>
  <c r="W130"/>
  <c r="AB130"/>
  <c r="Z130"/>
  <c r="U130"/>
  <c r="S130"/>
  <c r="AF130"/>
  <c r="AD130"/>
  <c r="X130"/>
  <c r="AC130"/>
  <c r="AA130"/>
  <c r="V130"/>
  <c r="T130"/>
  <c r="R130"/>
  <c r="AI127"/>
  <c r="AG127"/>
  <c r="AE127"/>
  <c r="Y127"/>
  <c r="W127"/>
  <c r="AB127"/>
  <c r="Z127"/>
  <c r="U127"/>
  <c r="S127"/>
  <c r="AF127"/>
  <c r="AD127"/>
  <c r="X127"/>
  <c r="AC127"/>
  <c r="AA127"/>
  <c r="V127"/>
  <c r="T127"/>
  <c r="R127"/>
  <c r="AI124"/>
  <c r="AG124"/>
  <c r="AE124"/>
  <c r="Y124"/>
  <c r="W124"/>
  <c r="AB124"/>
  <c r="Z124"/>
  <c r="U124"/>
  <c r="S124"/>
  <c r="AF124"/>
  <c r="AD124"/>
  <c r="X124"/>
  <c r="AC124"/>
  <c r="AA124"/>
  <c r="V124"/>
  <c r="T124"/>
  <c r="R124"/>
  <c r="AI122"/>
  <c r="AG122"/>
  <c r="AE122"/>
  <c r="Y122"/>
  <c r="W122"/>
  <c r="AB122"/>
  <c r="Z122"/>
  <c r="U122"/>
  <c r="S122"/>
  <c r="AF122"/>
  <c r="AD122"/>
  <c r="X122"/>
  <c r="AC122"/>
  <c r="AA122"/>
  <c r="V122"/>
  <c r="T122"/>
  <c r="R122"/>
  <c r="AF119"/>
  <c r="AD119"/>
  <c r="X119"/>
  <c r="AC119"/>
  <c r="AG119"/>
  <c r="Y119"/>
  <c r="AB119"/>
  <c r="Z119"/>
  <c r="U119"/>
  <c r="S119"/>
  <c r="AI119"/>
  <c r="AE119"/>
  <c r="W119"/>
  <c r="AA119"/>
  <c r="V119"/>
  <c r="T119"/>
  <c r="R119"/>
  <c r="J116"/>
  <c r="AH116" s="1"/>
  <c r="AI117"/>
  <c r="AG117"/>
  <c r="AE117"/>
  <c r="Y117"/>
  <c r="W117"/>
  <c r="AB117"/>
  <c r="Z117"/>
  <c r="U117"/>
  <c r="S117"/>
  <c r="AF117"/>
  <c r="AD117"/>
  <c r="X117"/>
  <c r="AC117"/>
  <c r="AA117"/>
  <c r="V117"/>
  <c r="T117"/>
  <c r="R117"/>
  <c r="AI113"/>
  <c r="AG113"/>
  <c r="AE113"/>
  <c r="Y113"/>
  <c r="W113"/>
  <c r="AB113"/>
  <c r="Z113"/>
  <c r="U113"/>
  <c r="S113"/>
  <c r="AF113"/>
  <c r="AD113"/>
  <c r="X113"/>
  <c r="AC113"/>
  <c r="AA113"/>
  <c r="V113"/>
  <c r="T113"/>
  <c r="R113"/>
  <c r="AI111"/>
  <c r="AG111"/>
  <c r="AE111"/>
  <c r="Y111"/>
  <c r="W111"/>
  <c r="AB111"/>
  <c r="Z111"/>
  <c r="U111"/>
  <c r="S111"/>
  <c r="AF111"/>
  <c r="AD111"/>
  <c r="X111"/>
  <c r="AC111"/>
  <c r="AA111"/>
  <c r="V111"/>
  <c r="T111"/>
  <c r="R111"/>
  <c r="AI108"/>
  <c r="AG108"/>
  <c r="AE108"/>
  <c r="Y108"/>
  <c r="W108"/>
  <c r="AB108"/>
  <c r="Z108"/>
  <c r="U108"/>
  <c r="S108"/>
  <c r="AF108"/>
  <c r="AD108"/>
  <c r="X108"/>
  <c r="AC108"/>
  <c r="AA108"/>
  <c r="V108"/>
  <c r="T108"/>
  <c r="R108"/>
  <c r="AI106"/>
  <c r="AG106"/>
  <c r="AE106"/>
  <c r="Y106"/>
  <c r="W106"/>
  <c r="AB106"/>
  <c r="Z106"/>
  <c r="U106"/>
  <c r="S106"/>
  <c r="AF106"/>
  <c r="AD106"/>
  <c r="X106"/>
  <c r="AC106"/>
  <c r="AA106"/>
  <c r="V106"/>
  <c r="T106"/>
  <c r="R106"/>
  <c r="AI103"/>
  <c r="AG103"/>
  <c r="AE103"/>
  <c r="Y103"/>
  <c r="W103"/>
  <c r="AB103"/>
  <c r="Z103"/>
  <c r="U103"/>
  <c r="S103"/>
  <c r="AF103"/>
  <c r="AD103"/>
  <c r="X103"/>
  <c r="AC103"/>
  <c r="AA103"/>
  <c r="V103"/>
  <c r="T103"/>
  <c r="R103"/>
  <c r="AI101"/>
  <c r="AG101"/>
  <c r="AE101"/>
  <c r="Y101"/>
  <c r="W101"/>
  <c r="AB101"/>
  <c r="Z101"/>
  <c r="U101"/>
  <c r="S101"/>
  <c r="AF101"/>
  <c r="AD101"/>
  <c r="X101"/>
  <c r="AC101"/>
  <c r="AA101"/>
  <c r="V101"/>
  <c r="T101"/>
  <c r="R101"/>
  <c r="AI99"/>
  <c r="AG99"/>
  <c r="AE99"/>
  <c r="Y99"/>
  <c r="W99"/>
  <c r="AB99"/>
  <c r="Z99"/>
  <c r="U99"/>
  <c r="S99"/>
  <c r="AF99"/>
  <c r="AD99"/>
  <c r="X99"/>
  <c r="AC99"/>
  <c r="AA99"/>
  <c r="V99"/>
  <c r="T99"/>
  <c r="R99"/>
  <c r="AI97"/>
  <c r="AG97"/>
  <c r="AE97"/>
  <c r="Y97"/>
  <c r="W97"/>
  <c r="AB97"/>
  <c r="Z97"/>
  <c r="U97"/>
  <c r="S97"/>
  <c r="AF97"/>
  <c r="AD97"/>
  <c r="X97"/>
  <c r="AC97"/>
  <c r="AA97"/>
  <c r="V97"/>
  <c r="T97"/>
  <c r="R97"/>
  <c r="AI95"/>
  <c r="AG95"/>
  <c r="AE95"/>
  <c r="Y95"/>
  <c r="W95"/>
  <c r="AB95"/>
  <c r="Z95"/>
  <c r="U95"/>
  <c r="S95"/>
  <c r="AF95"/>
  <c r="AD95"/>
  <c r="X95"/>
  <c r="AC95"/>
  <c r="AA95"/>
  <c r="V95"/>
  <c r="T95"/>
  <c r="R95"/>
  <c r="AI93"/>
  <c r="AG93"/>
  <c r="AE93"/>
  <c r="Y93"/>
  <c r="W93"/>
  <c r="AB93"/>
  <c r="Z93"/>
  <c r="U93"/>
  <c r="S93"/>
  <c r="AF93"/>
  <c r="AD93"/>
  <c r="X93"/>
  <c r="AC93"/>
  <c r="AA93"/>
  <c r="V93"/>
  <c r="T93"/>
  <c r="R93"/>
  <c r="AI91"/>
  <c r="AG91"/>
  <c r="AE91"/>
  <c r="Y91"/>
  <c r="W91"/>
  <c r="AB91"/>
  <c r="Z91"/>
  <c r="U91"/>
  <c r="S91"/>
  <c r="AF91"/>
  <c r="AD91"/>
  <c r="X91"/>
  <c r="AC91"/>
  <c r="AA91"/>
  <c r="V91"/>
  <c r="T91"/>
  <c r="R91"/>
  <c r="AI89"/>
  <c r="AG89"/>
  <c r="AE89"/>
  <c r="Y89"/>
  <c r="W89"/>
  <c r="AB89"/>
  <c r="Z89"/>
  <c r="U89"/>
  <c r="S89"/>
  <c r="AF89"/>
  <c r="AD89"/>
  <c r="X89"/>
  <c r="AC89"/>
  <c r="AA89"/>
  <c r="V89"/>
  <c r="T89"/>
  <c r="R89"/>
  <c r="AI78"/>
  <c r="AG78"/>
  <c r="AE78"/>
  <c r="Y78"/>
  <c r="W78"/>
  <c r="AB78"/>
  <c r="Z78"/>
  <c r="U78"/>
  <c r="S78"/>
  <c r="AF78"/>
  <c r="AD78"/>
  <c r="X78"/>
  <c r="AC78"/>
  <c r="AA78"/>
  <c r="V78"/>
  <c r="T78"/>
  <c r="R78"/>
  <c r="AI76"/>
  <c r="AG76"/>
  <c r="AE76"/>
  <c r="Y76"/>
  <c r="W76"/>
  <c r="AB76"/>
  <c r="Z76"/>
  <c r="U76"/>
  <c r="S76"/>
  <c r="AF76"/>
  <c r="AD76"/>
  <c r="X76"/>
  <c r="AC76"/>
  <c r="AA76"/>
  <c r="V76"/>
  <c r="T76"/>
  <c r="R76"/>
  <c r="AI70"/>
  <c r="AG70"/>
  <c r="AE70"/>
  <c r="Y70"/>
  <c r="W70"/>
  <c r="AB70"/>
  <c r="Z70"/>
  <c r="U70"/>
  <c r="S70"/>
  <c r="AF70"/>
  <c r="AD70"/>
  <c r="X70"/>
  <c r="AC70"/>
  <c r="AA70"/>
  <c r="V70"/>
  <c r="T70"/>
  <c r="R70"/>
  <c r="AI68"/>
  <c r="AG68"/>
  <c r="AE68"/>
  <c r="Y68"/>
  <c r="W68"/>
  <c r="AB68"/>
  <c r="Z68"/>
  <c r="U68"/>
  <c r="S68"/>
  <c r="AF68"/>
  <c r="AD68"/>
  <c r="X68"/>
  <c r="AC68"/>
  <c r="AA68"/>
  <c r="V68"/>
  <c r="T68"/>
  <c r="R68"/>
  <c r="J62"/>
  <c r="AH62" s="1"/>
  <c r="AI61"/>
  <c r="AG61"/>
  <c r="AE61"/>
  <c r="Y61"/>
  <c r="W61"/>
  <c r="AB61"/>
  <c r="Z61"/>
  <c r="U61"/>
  <c r="S61"/>
  <c r="AF61"/>
  <c r="AD61"/>
  <c r="X61"/>
  <c r="AC61"/>
  <c r="AA61"/>
  <c r="V61"/>
  <c r="T61"/>
  <c r="R61"/>
  <c r="AI59"/>
  <c r="AG59"/>
  <c r="AE59"/>
  <c r="Y59"/>
  <c r="W59"/>
  <c r="AB59"/>
  <c r="Z59"/>
  <c r="U59"/>
  <c r="S59"/>
  <c r="AF59"/>
  <c r="AD59"/>
  <c r="X59"/>
  <c r="AC59"/>
  <c r="AA59"/>
  <c r="V59"/>
  <c r="T59"/>
  <c r="R59"/>
  <c r="AI56"/>
  <c r="AG56"/>
  <c r="AE56"/>
  <c r="Y56"/>
  <c r="W56"/>
  <c r="AB56"/>
  <c r="Z56"/>
  <c r="U56"/>
  <c r="S56"/>
  <c r="AF56"/>
  <c r="AD56"/>
  <c r="X56"/>
  <c r="AC56"/>
  <c r="AA56"/>
  <c r="V56"/>
  <c r="T56"/>
  <c r="R56"/>
  <c r="AI54"/>
  <c r="AG54"/>
  <c r="AE54"/>
  <c r="Y54"/>
  <c r="W54"/>
  <c r="AB54"/>
  <c r="Z54"/>
  <c r="U54"/>
  <c r="S54"/>
  <c r="AF54"/>
  <c r="AD54"/>
  <c r="X54"/>
  <c r="AC54"/>
  <c r="AA54"/>
  <c r="V54"/>
  <c r="T54"/>
  <c r="R54"/>
  <c r="AI52"/>
  <c r="AG52"/>
  <c r="AE52"/>
  <c r="Y52"/>
  <c r="W52"/>
  <c r="AB52"/>
  <c r="Z52"/>
  <c r="U52"/>
  <c r="S52"/>
  <c r="AF52"/>
  <c r="AD52"/>
  <c r="X52"/>
  <c r="AC52"/>
  <c r="AA52"/>
  <c r="V52"/>
  <c r="T52"/>
  <c r="R52"/>
  <c r="AI49"/>
  <c r="AG49"/>
  <c r="AE49"/>
  <c r="Y49"/>
  <c r="W49"/>
  <c r="AB49"/>
  <c r="Z49"/>
  <c r="U49"/>
  <c r="S49"/>
  <c r="AF49"/>
  <c r="AD49"/>
  <c r="X49"/>
  <c r="AC49"/>
  <c r="AA49"/>
  <c r="V49"/>
  <c r="T49"/>
  <c r="R49"/>
  <c r="AI47"/>
  <c r="AG47"/>
  <c r="AE47"/>
  <c r="Y47"/>
  <c r="W47"/>
  <c r="AB47"/>
  <c r="Z47"/>
  <c r="U47"/>
  <c r="S47"/>
  <c r="AF47"/>
  <c r="AD47"/>
  <c r="X47"/>
  <c r="AC47"/>
  <c r="AA47"/>
  <c r="V47"/>
  <c r="T47"/>
  <c r="R47"/>
  <c r="AI186"/>
  <c r="AE186"/>
  <c r="W186"/>
  <c r="Z186"/>
  <c r="S186"/>
  <c r="AD186"/>
  <c r="AC186"/>
  <c r="V186"/>
  <c r="R186"/>
  <c r="AG201"/>
  <c r="Y201"/>
  <c r="AB201"/>
  <c r="U201"/>
  <c r="AF201"/>
  <c r="X201"/>
  <c r="AA201"/>
  <c r="T201"/>
  <c r="R9"/>
  <c r="V9"/>
  <c r="AC9"/>
  <c r="AD9"/>
  <c r="R10"/>
  <c r="T10"/>
  <c r="V10"/>
  <c r="AA10"/>
  <c r="AC10"/>
  <c r="X10"/>
  <c r="AD10"/>
  <c r="AF10"/>
  <c r="R11"/>
  <c r="V11"/>
  <c r="AC11"/>
  <c r="AD11"/>
  <c r="R12"/>
  <c r="T12"/>
  <c r="V12"/>
  <c r="AA12"/>
  <c r="AC12"/>
  <c r="X12"/>
  <c r="AD12"/>
  <c r="AF12"/>
  <c r="R13"/>
  <c r="V13"/>
  <c r="AC13"/>
  <c r="AD13"/>
  <c r="R14"/>
  <c r="T14"/>
  <c r="V14"/>
  <c r="AA14"/>
  <c r="AC14"/>
  <c r="X14"/>
  <c r="AD14"/>
  <c r="AF14"/>
  <c r="R15"/>
  <c r="V15"/>
  <c r="AC15"/>
  <c r="AD15"/>
  <c r="R16"/>
  <c r="T16"/>
  <c r="V16"/>
  <c r="AA16"/>
  <c r="AC16"/>
  <c r="X16"/>
  <c r="AD16"/>
  <c r="AF16"/>
  <c r="R17"/>
  <c r="V17"/>
  <c r="AC17"/>
  <c r="AD17"/>
  <c r="R18"/>
  <c r="T18"/>
  <c r="V18"/>
  <c r="AA18"/>
  <c r="AC18"/>
  <c r="X18"/>
  <c r="AD18"/>
  <c r="AF18"/>
  <c r="R19"/>
  <c r="V19"/>
  <c r="AC19"/>
  <c r="AD19"/>
  <c r="R20"/>
  <c r="T20"/>
  <c r="V20"/>
  <c r="AA20"/>
  <c r="AC20"/>
  <c r="X20"/>
  <c r="AD20"/>
  <c r="AF20"/>
  <c r="R21"/>
  <c r="V21"/>
  <c r="AC21"/>
  <c r="AD21"/>
  <c r="R22"/>
  <c r="T22"/>
  <c r="V22"/>
  <c r="AA22"/>
  <c r="AC22"/>
  <c r="X22"/>
  <c r="AD22"/>
  <c r="AF22"/>
  <c r="R23"/>
  <c r="V23"/>
  <c r="AC23"/>
  <c r="AD23"/>
  <c r="R24"/>
  <c r="T24"/>
  <c r="V24"/>
  <c r="AA24"/>
  <c r="AC24"/>
  <c r="X24"/>
  <c r="AD24"/>
  <c r="AF24"/>
  <c r="R25"/>
  <c r="T25"/>
  <c r="V25"/>
  <c r="AA25"/>
  <c r="AC25"/>
  <c r="X25"/>
  <c r="AD25"/>
  <c r="AF25"/>
  <c r="R26"/>
  <c r="T26"/>
  <c r="V26"/>
  <c r="AA26"/>
  <c r="AC26"/>
  <c r="X26"/>
  <c r="AD26"/>
  <c r="AF26"/>
  <c r="R27"/>
  <c r="V27"/>
  <c r="AC27"/>
  <c r="AD27"/>
  <c r="R28"/>
  <c r="T28"/>
  <c r="V28"/>
  <c r="AA28"/>
  <c r="AC28"/>
  <c r="X28"/>
  <c r="AD28"/>
  <c r="AF28"/>
  <c r="R29"/>
  <c r="V29"/>
  <c r="AC29"/>
  <c r="AD29"/>
  <c r="R31"/>
  <c r="V31"/>
  <c r="AC31"/>
  <c r="AD31"/>
  <c r="R32"/>
  <c r="T32"/>
  <c r="V32"/>
  <c r="AA32"/>
  <c r="AC32"/>
  <c r="X32"/>
  <c r="AD32"/>
  <c r="AF32"/>
  <c r="R33"/>
  <c r="V33"/>
  <c r="AC33"/>
  <c r="AD33"/>
  <c r="R34"/>
  <c r="T34"/>
  <c r="V34"/>
  <c r="AA34"/>
  <c r="AC34"/>
  <c r="X34"/>
  <c r="AD34"/>
  <c r="AF34"/>
  <c r="R35"/>
  <c r="V35"/>
  <c r="AC35"/>
  <c r="AD35"/>
  <c r="R36"/>
  <c r="T36"/>
  <c r="V36"/>
  <c r="AA36"/>
  <c r="AC36"/>
  <c r="X36"/>
  <c r="AD36"/>
  <c r="AF36"/>
  <c r="R37"/>
  <c r="V37"/>
  <c r="AC37"/>
  <c r="AD37"/>
  <c r="R38"/>
  <c r="T38"/>
  <c r="V38"/>
  <c r="AA38"/>
  <c r="AC38"/>
  <c r="X38"/>
  <c r="AD38"/>
  <c r="AF38"/>
  <c r="R39"/>
  <c r="V39"/>
  <c r="AC39"/>
  <c r="AD39"/>
  <c r="R40"/>
  <c r="T40"/>
  <c r="V40"/>
  <c r="AA40"/>
  <c r="AC40"/>
  <c r="X40"/>
  <c r="AD40"/>
  <c r="AF40"/>
  <c r="R41"/>
  <c r="V41"/>
  <c r="AC41"/>
  <c r="AD41"/>
  <c r="R42"/>
  <c r="T42"/>
  <c r="V42"/>
  <c r="AA42"/>
  <c r="AC42"/>
  <c r="X42"/>
  <c r="AD42"/>
  <c r="AF42"/>
  <c r="R43"/>
  <c r="V43"/>
  <c r="AC43"/>
  <c r="AD43"/>
  <c r="R45"/>
  <c r="T45"/>
  <c r="V45"/>
  <c r="AA45"/>
  <c r="AC45"/>
  <c r="X45"/>
  <c r="AD45"/>
  <c r="AF45"/>
  <c r="S46"/>
  <c r="AF276"/>
  <c r="AD276"/>
  <c r="X276"/>
  <c r="AC276"/>
  <c r="AA276"/>
  <c r="V276"/>
  <c r="T276"/>
  <c r="R276"/>
  <c r="AI276"/>
  <c r="AG276"/>
  <c r="AE276"/>
  <c r="Y276"/>
  <c r="W276"/>
  <c r="AB276"/>
  <c r="Z276"/>
  <c r="U276"/>
  <c r="S276"/>
  <c r="AF274"/>
  <c r="AD274"/>
  <c r="X274"/>
  <c r="AC274"/>
  <c r="AA274"/>
  <c r="V274"/>
  <c r="T274"/>
  <c r="R274"/>
  <c r="AI274"/>
  <c r="AG274"/>
  <c r="AE274"/>
  <c r="Y274"/>
  <c r="W274"/>
  <c r="AB274"/>
  <c r="Z274"/>
  <c r="U274"/>
  <c r="S274"/>
  <c r="AF272"/>
  <c r="AD272"/>
  <c r="X272"/>
  <c r="AC272"/>
  <c r="AA272"/>
  <c r="V272"/>
  <c r="T272"/>
  <c r="R272"/>
  <c r="AI272"/>
  <c r="AG272"/>
  <c r="AE272"/>
  <c r="Y272"/>
  <c r="W272"/>
  <c r="AB272"/>
  <c r="Z272"/>
  <c r="U272"/>
  <c r="S272"/>
  <c r="AF270"/>
  <c r="AD270"/>
  <c r="X270"/>
  <c r="AC270"/>
  <c r="AA270"/>
  <c r="V270"/>
  <c r="T270"/>
  <c r="R270"/>
  <c r="AI270"/>
  <c r="AG270"/>
  <c r="AE270"/>
  <c r="Y270"/>
  <c r="W270"/>
  <c r="AB270"/>
  <c r="Z270"/>
  <c r="U270"/>
  <c r="S270"/>
  <c r="AF268"/>
  <c r="AD268"/>
  <c r="X268"/>
  <c r="AC268"/>
  <c r="AA268"/>
  <c r="V268"/>
  <c r="T268"/>
  <c r="R268"/>
  <c r="AI268"/>
  <c r="AG268"/>
  <c r="AE268"/>
  <c r="Y268"/>
  <c r="W268"/>
  <c r="AB268"/>
  <c r="Z268"/>
  <c r="U268"/>
  <c r="S268"/>
  <c r="AF266"/>
  <c r="AD266"/>
  <c r="X266"/>
  <c r="AC266"/>
  <c r="AA266"/>
  <c r="V266"/>
  <c r="T266"/>
  <c r="R266"/>
  <c r="AI266"/>
  <c r="AG266"/>
  <c r="AE266"/>
  <c r="Y266"/>
  <c r="W266"/>
  <c r="AB266"/>
  <c r="Z266"/>
  <c r="U266"/>
  <c r="S266"/>
  <c r="AF264"/>
  <c r="AD264"/>
  <c r="X264"/>
  <c r="AC264"/>
  <c r="AA264"/>
  <c r="V264"/>
  <c r="T264"/>
  <c r="R264"/>
  <c r="AI264"/>
  <c r="AG264"/>
  <c r="AE264"/>
  <c r="Y264"/>
  <c r="W264"/>
  <c r="AB264"/>
  <c r="Z264"/>
  <c r="U264"/>
  <c r="S264"/>
  <c r="AF262"/>
  <c r="AD262"/>
  <c r="X262"/>
  <c r="AC262"/>
  <c r="AA262"/>
  <c r="V262"/>
  <c r="T262"/>
  <c r="R262"/>
  <c r="AI262"/>
  <c r="AG262"/>
  <c r="AE262"/>
  <c r="Y262"/>
  <c r="W262"/>
  <c r="AB262"/>
  <c r="Z262"/>
  <c r="U262"/>
  <c r="S262"/>
  <c r="AF260"/>
  <c r="AD260"/>
  <c r="X260"/>
  <c r="AC260"/>
  <c r="AA260"/>
  <c r="V260"/>
  <c r="T260"/>
  <c r="R260"/>
  <c r="AI260"/>
  <c r="AG260"/>
  <c r="AE260"/>
  <c r="Y260"/>
  <c r="W260"/>
  <c r="AB260"/>
  <c r="Z260"/>
  <c r="U260"/>
  <c r="S260"/>
  <c r="AF257"/>
  <c r="AD257"/>
  <c r="X257"/>
  <c r="AC257"/>
  <c r="AA257"/>
  <c r="V257"/>
  <c r="T257"/>
  <c r="R257"/>
  <c r="AI257"/>
  <c r="AG257"/>
  <c r="AE257"/>
  <c r="Y257"/>
  <c r="W257"/>
  <c r="AB257"/>
  <c r="Z257"/>
  <c r="U257"/>
  <c r="S257"/>
  <c r="AF254"/>
  <c r="AD254"/>
  <c r="X254"/>
  <c r="AC254"/>
  <c r="AA254"/>
  <c r="V254"/>
  <c r="T254"/>
  <c r="R254"/>
  <c r="AI254"/>
  <c r="AG254"/>
  <c r="AE254"/>
  <c r="Y254"/>
  <c r="W254"/>
  <c r="AB254"/>
  <c r="Z254"/>
  <c r="U254"/>
  <c r="S254"/>
  <c r="AF252"/>
  <c r="AD252"/>
  <c r="X252"/>
  <c r="AC252"/>
  <c r="AA252"/>
  <c r="V252"/>
  <c r="T252"/>
  <c r="R252"/>
  <c r="AI252"/>
  <c r="AG252"/>
  <c r="AE252"/>
  <c r="Y252"/>
  <c r="W252"/>
  <c r="AB252"/>
  <c r="Z252"/>
  <c r="U252"/>
  <c r="S252"/>
  <c r="AF250"/>
  <c r="AD250"/>
  <c r="X250"/>
  <c r="AC250"/>
  <c r="AA250"/>
  <c r="V250"/>
  <c r="T250"/>
  <c r="R250"/>
  <c r="AI250"/>
  <c r="AG250"/>
  <c r="AE250"/>
  <c r="Y250"/>
  <c r="W250"/>
  <c r="AB250"/>
  <c r="Z250"/>
  <c r="U250"/>
  <c r="S250"/>
  <c r="AF248"/>
  <c r="AD248"/>
  <c r="X248"/>
  <c r="AC248"/>
  <c r="AA248"/>
  <c r="V248"/>
  <c r="T248"/>
  <c r="R248"/>
  <c r="AG248"/>
  <c r="Y248"/>
  <c r="AB248"/>
  <c r="U248"/>
  <c r="AI248"/>
  <c r="AE248"/>
  <c r="W248"/>
  <c r="Z248"/>
  <c r="S248"/>
  <c r="J244"/>
  <c r="AH244" s="1"/>
  <c r="AF245"/>
  <c r="AD245"/>
  <c r="X245"/>
  <c r="AC245"/>
  <c r="AA245"/>
  <c r="V245"/>
  <c r="T245"/>
  <c r="R245"/>
  <c r="AI245"/>
  <c r="AG245"/>
  <c r="AE245"/>
  <c r="Y245"/>
  <c r="W245"/>
  <c r="AB245"/>
  <c r="Z245"/>
  <c r="U245"/>
  <c r="S245"/>
  <c r="AF242"/>
  <c r="AD242"/>
  <c r="X242"/>
  <c r="AC242"/>
  <c r="AA242"/>
  <c r="V242"/>
  <c r="T242"/>
  <c r="R242"/>
  <c r="AI242"/>
  <c r="AG242"/>
  <c r="AE242"/>
  <c r="Y242"/>
  <c r="W242"/>
  <c r="AB242"/>
  <c r="Z242"/>
  <c r="U242"/>
  <c r="S242"/>
  <c r="AF240"/>
  <c r="AD240"/>
  <c r="X240"/>
  <c r="AC240"/>
  <c r="AA240"/>
  <c r="V240"/>
  <c r="T240"/>
  <c r="R240"/>
  <c r="AI240"/>
  <c r="AG240"/>
  <c r="AE240"/>
  <c r="Y240"/>
  <c r="W240"/>
  <c r="AB240"/>
  <c r="Z240"/>
  <c r="U240"/>
  <c r="S240"/>
  <c r="AF238"/>
  <c r="AD238"/>
  <c r="X238"/>
  <c r="AC238"/>
  <c r="AA238"/>
  <c r="V238"/>
  <c r="T238"/>
  <c r="R238"/>
  <c r="AI238"/>
  <c r="AG238"/>
  <c r="AE238"/>
  <c r="Y238"/>
  <c r="W238"/>
  <c r="AB238"/>
  <c r="Z238"/>
  <c r="U238"/>
  <c r="S238"/>
  <c r="AF236"/>
  <c r="AD236"/>
  <c r="X236"/>
  <c r="AC236"/>
  <c r="AA236"/>
  <c r="V236"/>
  <c r="T236"/>
  <c r="R236"/>
  <c r="AI236"/>
  <c r="AG236"/>
  <c r="AE236"/>
  <c r="Y236"/>
  <c r="W236"/>
  <c r="AB236"/>
  <c r="Z236"/>
  <c r="U236"/>
  <c r="S236"/>
  <c r="AF234"/>
  <c r="AD234"/>
  <c r="X234"/>
  <c r="AC234"/>
  <c r="AA234"/>
  <c r="V234"/>
  <c r="T234"/>
  <c r="R234"/>
  <c r="AI234"/>
  <c r="AG234"/>
  <c r="AE234"/>
  <c r="Y234"/>
  <c r="W234"/>
  <c r="AB234"/>
  <c r="Z234"/>
  <c r="U234"/>
  <c r="S234"/>
  <c r="AF232"/>
  <c r="AD232"/>
  <c r="X232"/>
  <c r="AC232"/>
  <c r="AA232"/>
  <c r="V232"/>
  <c r="T232"/>
  <c r="R232"/>
  <c r="AI232"/>
  <c r="AG232"/>
  <c r="AE232"/>
  <c r="Y232"/>
  <c r="W232"/>
  <c r="AB232"/>
  <c r="Z232"/>
  <c r="U232"/>
  <c r="S232"/>
  <c r="AF230"/>
  <c r="AD230"/>
  <c r="X230"/>
  <c r="AC230"/>
  <c r="AA230"/>
  <c r="V230"/>
  <c r="T230"/>
  <c r="R230"/>
  <c r="AI230"/>
  <c r="AG230"/>
  <c r="AE230"/>
  <c r="Y230"/>
  <c r="W230"/>
  <c r="AB230"/>
  <c r="Z230"/>
  <c r="U230"/>
  <c r="S230"/>
  <c r="AF228"/>
  <c r="AD228"/>
  <c r="X228"/>
  <c r="AC228"/>
  <c r="AA228"/>
  <c r="V228"/>
  <c r="T228"/>
  <c r="R228"/>
  <c r="AI228"/>
  <c r="AG228"/>
  <c r="AE228"/>
  <c r="Y228"/>
  <c r="W228"/>
  <c r="AB228"/>
  <c r="Z228"/>
  <c r="U228"/>
  <c r="S228"/>
  <c r="AF226"/>
  <c r="AD226"/>
  <c r="X226"/>
  <c r="AC226"/>
  <c r="AA226"/>
  <c r="V226"/>
  <c r="T226"/>
  <c r="R226"/>
  <c r="AI226"/>
  <c r="AG226"/>
  <c r="AE226"/>
  <c r="Y226"/>
  <c r="W226"/>
  <c r="AB226"/>
  <c r="Z226"/>
  <c r="U226"/>
  <c r="S226"/>
  <c r="AF224"/>
  <c r="AD224"/>
  <c r="X224"/>
  <c r="AC224"/>
  <c r="AA224"/>
  <c r="V224"/>
  <c r="T224"/>
  <c r="R224"/>
  <c r="AI224"/>
  <c r="AG224"/>
  <c r="AE224"/>
  <c r="Y224"/>
  <c r="W224"/>
  <c r="AB224"/>
  <c r="Z224"/>
  <c r="U224"/>
  <c r="S224"/>
  <c r="AI222"/>
  <c r="AG222"/>
  <c r="AE222"/>
  <c r="Y222"/>
  <c r="W222"/>
  <c r="AB222"/>
  <c r="Z222"/>
  <c r="U222"/>
  <c r="S222"/>
  <c r="AD222"/>
  <c r="AC222"/>
  <c r="V222"/>
  <c r="R222"/>
  <c r="AF222"/>
  <c r="X222"/>
  <c r="AA222"/>
  <c r="T222"/>
  <c r="AI220"/>
  <c r="AG220"/>
  <c r="AE220"/>
  <c r="Y220"/>
  <c r="W220"/>
  <c r="AB220"/>
  <c r="Z220"/>
  <c r="U220"/>
  <c r="S220"/>
  <c r="AD220"/>
  <c r="AC220"/>
  <c r="V220"/>
  <c r="R220"/>
  <c r="AF220"/>
  <c r="X220"/>
  <c r="AA220"/>
  <c r="T220"/>
  <c r="AF217"/>
  <c r="AD217"/>
  <c r="X217"/>
  <c r="AC217"/>
  <c r="AA217"/>
  <c r="V217"/>
  <c r="T217"/>
  <c r="R217"/>
  <c r="AI217"/>
  <c r="AG217"/>
  <c r="AE217"/>
  <c r="Y217"/>
  <c r="W217"/>
  <c r="AB217"/>
  <c r="Z217"/>
  <c r="U217"/>
  <c r="S217"/>
  <c r="AF215"/>
  <c r="AD215"/>
  <c r="X215"/>
  <c r="AC215"/>
  <c r="AA215"/>
  <c r="V215"/>
  <c r="T215"/>
  <c r="R215"/>
  <c r="AI215"/>
  <c r="AG215"/>
  <c r="AE215"/>
  <c r="Y215"/>
  <c r="W215"/>
  <c r="AB215"/>
  <c r="Z215"/>
  <c r="U215"/>
  <c r="S215"/>
  <c r="AF212"/>
  <c r="AD212"/>
  <c r="X212"/>
  <c r="AC212"/>
  <c r="AA212"/>
  <c r="V212"/>
  <c r="T212"/>
  <c r="R212"/>
  <c r="AI212"/>
  <c r="AG212"/>
  <c r="AE212"/>
  <c r="Y212"/>
  <c r="W212"/>
  <c r="AB212"/>
  <c r="Z212"/>
  <c r="U212"/>
  <c r="S212"/>
  <c r="AF208"/>
  <c r="AD208"/>
  <c r="X208"/>
  <c r="AC208"/>
  <c r="AA208"/>
  <c r="V208"/>
  <c r="T208"/>
  <c r="R208"/>
  <c r="AI208"/>
  <c r="AG208"/>
  <c r="AE208"/>
  <c r="Y208"/>
  <c r="W208"/>
  <c r="AB208"/>
  <c r="Z208"/>
  <c r="U208"/>
  <c r="S208"/>
  <c r="AF206"/>
  <c r="AD206"/>
  <c r="X206"/>
  <c r="AC206"/>
  <c r="AA206"/>
  <c r="V206"/>
  <c r="T206"/>
  <c r="R206"/>
  <c r="AI206"/>
  <c r="AG206"/>
  <c r="AE206"/>
  <c r="Y206"/>
  <c r="W206"/>
  <c r="AB206"/>
  <c r="Z206"/>
  <c r="U206"/>
  <c r="S206"/>
  <c r="AF204"/>
  <c r="AD204"/>
  <c r="X204"/>
  <c r="AC204"/>
  <c r="AA204"/>
  <c r="V204"/>
  <c r="T204"/>
  <c r="R204"/>
  <c r="AI204"/>
  <c r="AG204"/>
  <c r="AE204"/>
  <c r="Y204"/>
  <c r="W204"/>
  <c r="AB204"/>
  <c r="Z204"/>
  <c r="U204"/>
  <c r="S204"/>
  <c r="AF199"/>
  <c r="AD199"/>
  <c r="X199"/>
  <c r="AC199"/>
  <c r="AA199"/>
  <c r="V199"/>
  <c r="T199"/>
  <c r="R199"/>
  <c r="AI199"/>
  <c r="AG199"/>
  <c r="AE199"/>
  <c r="Y199"/>
  <c r="W199"/>
  <c r="AB199"/>
  <c r="Z199"/>
  <c r="U199"/>
  <c r="S199"/>
  <c r="AF197"/>
  <c r="AD197"/>
  <c r="X197"/>
  <c r="AC197"/>
  <c r="AA197"/>
  <c r="V197"/>
  <c r="T197"/>
  <c r="R197"/>
  <c r="AI197"/>
  <c r="AG197"/>
  <c r="AE197"/>
  <c r="Y197"/>
  <c r="W197"/>
  <c r="AB197"/>
  <c r="Z197"/>
  <c r="U197"/>
  <c r="S197"/>
  <c r="AF195"/>
  <c r="AD195"/>
  <c r="X195"/>
  <c r="AC195"/>
  <c r="AA195"/>
  <c r="V195"/>
  <c r="T195"/>
  <c r="R195"/>
  <c r="AI195"/>
  <c r="AG195"/>
  <c r="AE195"/>
  <c r="Y195"/>
  <c r="W195"/>
  <c r="AB195"/>
  <c r="Z195"/>
  <c r="U195"/>
  <c r="S195"/>
  <c r="AF193"/>
  <c r="AD193"/>
  <c r="X193"/>
  <c r="AC193"/>
  <c r="AA193"/>
  <c r="V193"/>
  <c r="T193"/>
  <c r="R193"/>
  <c r="AI193"/>
  <c r="AG193"/>
  <c r="AE193"/>
  <c r="Y193"/>
  <c r="W193"/>
  <c r="AB193"/>
  <c r="Z193"/>
  <c r="U193"/>
  <c r="S193"/>
  <c r="J189"/>
  <c r="AH189" s="1"/>
  <c r="AF191"/>
  <c r="AD191"/>
  <c r="X191"/>
  <c r="AC191"/>
  <c r="AA191"/>
  <c r="V191"/>
  <c r="T191"/>
  <c r="R191"/>
  <c r="AI191"/>
  <c r="AG191"/>
  <c r="AE191"/>
  <c r="Y191"/>
  <c r="W191"/>
  <c r="AB191"/>
  <c r="Z191"/>
  <c r="U191"/>
  <c r="S191"/>
  <c r="AF188"/>
  <c r="AD188"/>
  <c r="X188"/>
  <c r="AC188"/>
  <c r="AA188"/>
  <c r="V188"/>
  <c r="T188"/>
  <c r="R188"/>
  <c r="AI188"/>
  <c r="AG188"/>
  <c r="AE188"/>
  <c r="Y188"/>
  <c r="W188"/>
  <c r="AB188"/>
  <c r="Z188"/>
  <c r="U188"/>
  <c r="S188"/>
  <c r="AF185"/>
  <c r="AD185"/>
  <c r="X185"/>
  <c r="AC185"/>
  <c r="AA185"/>
  <c r="V185"/>
  <c r="T185"/>
  <c r="R185"/>
  <c r="AI185"/>
  <c r="AG185"/>
  <c r="AE185"/>
  <c r="Y185"/>
  <c r="W185"/>
  <c r="AB185"/>
  <c r="Z185"/>
  <c r="U185"/>
  <c r="S185"/>
  <c r="AF183"/>
  <c r="AD183"/>
  <c r="X183"/>
  <c r="AC183"/>
  <c r="AA183"/>
  <c r="V183"/>
  <c r="T183"/>
  <c r="R183"/>
  <c r="AI183"/>
  <c r="AG183"/>
  <c r="AE183"/>
  <c r="Y183"/>
  <c r="W183"/>
  <c r="AB183"/>
  <c r="Z183"/>
  <c r="U183"/>
  <c r="S183"/>
  <c r="AF181"/>
  <c r="AD181"/>
  <c r="X181"/>
  <c r="AC181"/>
  <c r="AA181"/>
  <c r="V181"/>
  <c r="T181"/>
  <c r="R181"/>
  <c r="AI181"/>
  <c r="AG181"/>
  <c r="AE181"/>
  <c r="Y181"/>
  <c r="W181"/>
  <c r="AB181"/>
  <c r="Z181"/>
  <c r="U181"/>
  <c r="S181"/>
  <c r="AF178"/>
  <c r="AD178"/>
  <c r="X178"/>
  <c r="AC178"/>
  <c r="AA178"/>
  <c r="V178"/>
  <c r="T178"/>
  <c r="R178"/>
  <c r="AI178"/>
  <c r="AG178"/>
  <c r="AE178"/>
  <c r="Y178"/>
  <c r="W178"/>
  <c r="AB178"/>
  <c r="Z178"/>
  <c r="U178"/>
  <c r="S178"/>
  <c r="AF176"/>
  <c r="AD176"/>
  <c r="X176"/>
  <c r="AC176"/>
  <c r="AA176"/>
  <c r="V176"/>
  <c r="T176"/>
  <c r="R176"/>
  <c r="AI176"/>
  <c r="AG176"/>
  <c r="AE176"/>
  <c r="Y176"/>
  <c r="W176"/>
  <c r="AB176"/>
  <c r="Z176"/>
  <c r="U176"/>
  <c r="S176"/>
  <c r="AF174"/>
  <c r="AD174"/>
  <c r="X174"/>
  <c r="AC174"/>
  <c r="AA174"/>
  <c r="V174"/>
  <c r="T174"/>
  <c r="R174"/>
  <c r="AI174"/>
  <c r="AG174"/>
  <c r="AE174"/>
  <c r="Y174"/>
  <c r="W174"/>
  <c r="AB174"/>
  <c r="Z174"/>
  <c r="U174"/>
  <c r="S174"/>
  <c r="AF172"/>
  <c r="AD172"/>
  <c r="X172"/>
  <c r="AC172"/>
  <c r="AA172"/>
  <c r="V172"/>
  <c r="T172"/>
  <c r="R172"/>
  <c r="AI172"/>
  <c r="AG172"/>
  <c r="AE172"/>
  <c r="Y172"/>
  <c r="W172"/>
  <c r="AB172"/>
  <c r="Z172"/>
  <c r="U172"/>
  <c r="S172"/>
  <c r="AF170"/>
  <c r="AD170"/>
  <c r="X170"/>
  <c r="AC170"/>
  <c r="AA170"/>
  <c r="V170"/>
  <c r="T170"/>
  <c r="R170"/>
  <c r="AI170"/>
  <c r="AG170"/>
  <c r="AE170"/>
  <c r="Y170"/>
  <c r="W170"/>
  <c r="AB170"/>
  <c r="Z170"/>
  <c r="U170"/>
  <c r="S170"/>
  <c r="AF168"/>
  <c r="AD168"/>
  <c r="X168"/>
  <c r="AC168"/>
  <c r="AA168"/>
  <c r="V168"/>
  <c r="T168"/>
  <c r="R168"/>
  <c r="AI168"/>
  <c r="AG168"/>
  <c r="AE168"/>
  <c r="Y168"/>
  <c r="W168"/>
  <c r="AB168"/>
  <c r="Z168"/>
  <c r="U168"/>
  <c r="S168"/>
  <c r="AF166"/>
  <c r="AD166"/>
  <c r="X166"/>
  <c r="AC166"/>
  <c r="AA166"/>
  <c r="V166"/>
  <c r="T166"/>
  <c r="R166"/>
  <c r="AI166"/>
  <c r="AG166"/>
  <c r="AE166"/>
  <c r="Y166"/>
  <c r="W166"/>
  <c r="AB166"/>
  <c r="Z166"/>
  <c r="U166"/>
  <c r="S166"/>
  <c r="AF164"/>
  <c r="AD164"/>
  <c r="X164"/>
  <c r="AC164"/>
  <c r="AA164"/>
  <c r="V164"/>
  <c r="T164"/>
  <c r="R164"/>
  <c r="AI164"/>
  <c r="AG164"/>
  <c r="AE164"/>
  <c r="Y164"/>
  <c r="W164"/>
  <c r="AB164"/>
  <c r="Z164"/>
  <c r="U164"/>
  <c r="S164"/>
  <c r="AF162"/>
  <c r="X162"/>
  <c r="AA162"/>
  <c r="T162"/>
  <c r="AI162"/>
  <c r="AE162"/>
  <c r="W162"/>
  <c r="Z162"/>
  <c r="S162"/>
  <c r="AG160"/>
  <c r="Y160"/>
  <c r="AB160"/>
  <c r="U160"/>
  <c r="AF214"/>
  <c r="AD214"/>
  <c r="X214"/>
  <c r="AC214"/>
  <c r="AA214"/>
  <c r="V214"/>
  <c r="T214"/>
  <c r="R214"/>
  <c r="AI214"/>
  <c r="AG214"/>
  <c r="AE214"/>
  <c r="Y214"/>
  <c r="W214"/>
  <c r="AB214"/>
  <c r="Z214"/>
  <c r="U214"/>
  <c r="S214"/>
  <c r="S144"/>
  <c r="U144"/>
  <c r="Z144"/>
  <c r="AB144"/>
  <c r="W144"/>
  <c r="Y144"/>
  <c r="AE144"/>
  <c r="AG144"/>
  <c r="AI144"/>
  <c r="S152"/>
  <c r="U152"/>
  <c r="Z152"/>
  <c r="AB152"/>
  <c r="W152"/>
  <c r="Y152"/>
  <c r="AE152"/>
  <c r="AG152"/>
  <c r="AI152"/>
  <c r="S153"/>
  <c r="U153"/>
  <c r="Z153"/>
  <c r="AB153"/>
  <c r="W153"/>
  <c r="Y153"/>
  <c r="AE153"/>
  <c r="AG153"/>
  <c r="AI153"/>
  <c r="S154"/>
  <c r="Z154"/>
  <c r="W154"/>
  <c r="AE154"/>
  <c r="AI154"/>
  <c r="S155"/>
  <c r="U155"/>
  <c r="Z155"/>
  <c r="AB155"/>
  <c r="W155"/>
  <c r="Y155"/>
  <c r="AE155"/>
  <c r="AG155"/>
  <c r="AI155"/>
  <c r="S156"/>
  <c r="Z156"/>
  <c r="W156"/>
  <c r="AE156"/>
  <c r="AI156"/>
  <c r="S157"/>
  <c r="U157"/>
  <c r="Z157"/>
  <c r="AB157"/>
  <c r="W157"/>
  <c r="Y157"/>
  <c r="AE157"/>
  <c r="AG157"/>
  <c r="AI157"/>
  <c r="S158"/>
  <c r="Z158"/>
  <c r="W158"/>
  <c r="AE158"/>
  <c r="AI158"/>
  <c r="S159"/>
  <c r="U159"/>
  <c r="Z159"/>
  <c r="AB159"/>
  <c r="W159"/>
  <c r="Y159"/>
  <c r="AE159"/>
  <c r="T160"/>
  <c r="X160"/>
  <c r="R161"/>
  <c r="V161"/>
  <c r="AC161"/>
  <c r="AD161"/>
  <c r="AF275"/>
  <c r="X275"/>
  <c r="AA275"/>
  <c r="T275"/>
  <c r="AI275"/>
  <c r="AE275"/>
  <c r="W275"/>
  <c r="Z275"/>
  <c r="S275"/>
  <c r="AD273"/>
  <c r="AC273"/>
  <c r="V273"/>
  <c r="R273"/>
  <c r="AG273"/>
  <c r="Y273"/>
  <c r="AB273"/>
  <c r="U273"/>
  <c r="AF271"/>
  <c r="X271"/>
  <c r="AA271"/>
  <c r="T271"/>
  <c r="AI271"/>
  <c r="AE271"/>
  <c r="W271"/>
  <c r="Z271"/>
  <c r="S271"/>
  <c r="AD269"/>
  <c r="AC269"/>
  <c r="V269"/>
  <c r="R269"/>
  <c r="AG269"/>
  <c r="Y269"/>
  <c r="AB269"/>
  <c r="U269"/>
  <c r="AF267"/>
  <c r="X267"/>
  <c r="AA267"/>
  <c r="T267"/>
  <c r="AI267"/>
  <c r="AE267"/>
  <c r="W267"/>
  <c r="Z267"/>
  <c r="S267"/>
  <c r="AD265"/>
  <c r="AC265"/>
  <c r="V265"/>
  <c r="R265"/>
  <c r="AG265"/>
  <c r="Y265"/>
  <c r="AB265"/>
  <c r="U265"/>
  <c r="AF263"/>
  <c r="X263"/>
  <c r="AA263"/>
  <c r="T263"/>
  <c r="AI263"/>
  <c r="AE263"/>
  <c r="W263"/>
  <c r="Z263"/>
  <c r="S263"/>
  <c r="AD261"/>
  <c r="AC261"/>
  <c r="V261"/>
  <c r="R261"/>
  <c r="AG261"/>
  <c r="Y261"/>
  <c r="AB261"/>
  <c r="U261"/>
  <c r="AF258"/>
  <c r="X258"/>
  <c r="AA258"/>
  <c r="T258"/>
  <c r="AI258"/>
  <c r="AE258"/>
  <c r="W258"/>
  <c r="Z258"/>
  <c r="S258"/>
  <c r="AD256"/>
  <c r="AC256"/>
  <c r="V256"/>
  <c r="R256"/>
  <c r="AG256"/>
  <c r="Y256"/>
  <c r="AB256"/>
  <c r="U256"/>
  <c r="AF253"/>
  <c r="X253"/>
  <c r="AA253"/>
  <c r="T253"/>
  <c r="AI253"/>
  <c r="AE253"/>
  <c r="W253"/>
  <c r="Z253"/>
  <c r="S253"/>
  <c r="AD251"/>
  <c r="AC251"/>
  <c r="V251"/>
  <c r="R251"/>
  <c r="AG251"/>
  <c r="Y251"/>
  <c r="AB251"/>
  <c r="U251"/>
  <c r="AF249"/>
  <c r="X249"/>
  <c r="AA249"/>
  <c r="T249"/>
  <c r="AI249"/>
  <c r="AE249"/>
  <c r="W249"/>
  <c r="S249"/>
  <c r="U249"/>
  <c r="AD247"/>
  <c r="AC247"/>
  <c r="V247"/>
  <c r="R247"/>
  <c r="AE247"/>
  <c r="Z247"/>
  <c r="AG247"/>
  <c r="AB247"/>
  <c r="AF243"/>
  <c r="X243"/>
  <c r="AA243"/>
  <c r="T243"/>
  <c r="AI243"/>
  <c r="AE243"/>
  <c r="W243"/>
  <c r="Z243"/>
  <c r="S243"/>
  <c r="AD241"/>
  <c r="AC241"/>
  <c r="V241"/>
  <c r="R241"/>
  <c r="AG241"/>
  <c r="Y241"/>
  <c r="AB241"/>
  <c r="U241"/>
  <c r="AF239"/>
  <c r="X239"/>
  <c r="AA239"/>
  <c r="T239"/>
  <c r="AI239"/>
  <c r="AE239"/>
  <c r="W239"/>
  <c r="Z239"/>
  <c r="S239"/>
  <c r="AD237"/>
  <c r="AC237"/>
  <c r="V237"/>
  <c r="R237"/>
  <c r="AG237"/>
  <c r="Y237"/>
  <c r="AB237"/>
  <c r="U237"/>
  <c r="AF235"/>
  <c r="X235"/>
  <c r="AA235"/>
  <c r="T235"/>
  <c r="AI235"/>
  <c r="AE235"/>
  <c r="W235"/>
  <c r="Z235"/>
  <c r="S235"/>
  <c r="AD233"/>
  <c r="AC233"/>
  <c r="V233"/>
  <c r="R233"/>
  <c r="AG233"/>
  <c r="Y233"/>
  <c r="AB233"/>
  <c r="U233"/>
  <c r="AF231"/>
  <c r="X231"/>
  <c r="AA231"/>
  <c r="T231"/>
  <c r="AI231"/>
  <c r="AE231"/>
  <c r="W231"/>
  <c r="Z231"/>
  <c r="S231"/>
  <c r="AD229"/>
  <c r="AC229"/>
  <c r="V229"/>
  <c r="R229"/>
  <c r="AG229"/>
  <c r="Y229"/>
  <c r="AB229"/>
  <c r="U229"/>
  <c r="AF227"/>
  <c r="X227"/>
  <c r="AA227"/>
  <c r="T227"/>
  <c r="AI227"/>
  <c r="AE227"/>
  <c r="W227"/>
  <c r="Z227"/>
  <c r="S227"/>
  <c r="AD225"/>
  <c r="AC225"/>
  <c r="V225"/>
  <c r="R225"/>
  <c r="AG225"/>
  <c r="Y225"/>
  <c r="AB225"/>
  <c r="U225"/>
  <c r="AF223"/>
  <c r="AG223"/>
  <c r="Y223"/>
  <c r="AB223"/>
  <c r="U223"/>
  <c r="X223"/>
  <c r="T223"/>
  <c r="AC223"/>
  <c r="R223"/>
  <c r="AG221"/>
  <c r="Y221"/>
  <c r="AB221"/>
  <c r="U221"/>
  <c r="AF221"/>
  <c r="AA221"/>
  <c r="AD221"/>
  <c r="V221"/>
  <c r="J219"/>
  <c r="AH219" s="1"/>
  <c r="AD218"/>
  <c r="AC218"/>
  <c r="V218"/>
  <c r="R218"/>
  <c r="AG218"/>
  <c r="Y218"/>
  <c r="AB218"/>
  <c r="U218"/>
  <c r="AF216"/>
  <c r="X216"/>
  <c r="AA216"/>
  <c r="T216"/>
  <c r="AI216"/>
  <c r="AE216"/>
  <c r="W216"/>
  <c r="Z216"/>
  <c r="S216"/>
  <c r="AD213"/>
  <c r="AC213"/>
  <c r="V213"/>
  <c r="R213"/>
  <c r="AG213"/>
  <c r="Y213"/>
  <c r="AB213"/>
  <c r="U213"/>
  <c r="AF211"/>
  <c r="X211"/>
  <c r="AA211"/>
  <c r="T211"/>
  <c r="AI211"/>
  <c r="AE211"/>
  <c r="W211"/>
  <c r="Z211"/>
  <c r="S211"/>
  <c r="AD207"/>
  <c r="AC207"/>
  <c r="V207"/>
  <c r="R207"/>
  <c r="AG207"/>
  <c r="Y207"/>
  <c r="AB207"/>
  <c r="U207"/>
  <c r="AF205"/>
  <c r="X205"/>
  <c r="AA205"/>
  <c r="T205"/>
  <c r="AI205"/>
  <c r="AE205"/>
  <c r="W205"/>
  <c r="Z205"/>
  <c r="S205"/>
  <c r="AF202"/>
  <c r="X202"/>
  <c r="AA202"/>
  <c r="T202"/>
  <c r="AI202"/>
  <c r="AE202"/>
  <c r="W202"/>
  <c r="Z202"/>
  <c r="S202"/>
  <c r="AD198"/>
  <c r="AC198"/>
  <c r="V198"/>
  <c r="R198"/>
  <c r="AG198"/>
  <c r="Y198"/>
  <c r="AB198"/>
  <c r="U198"/>
  <c r="AF196"/>
  <c r="X196"/>
  <c r="AA196"/>
  <c r="T196"/>
  <c r="AI196"/>
  <c r="AE196"/>
  <c r="W196"/>
  <c r="Z196"/>
  <c r="S196"/>
  <c r="AD194"/>
  <c r="AC194"/>
  <c r="V194"/>
  <c r="R194"/>
  <c r="AG194"/>
  <c r="Y194"/>
  <c r="AB194"/>
  <c r="U194"/>
  <c r="AF192"/>
  <c r="X192"/>
  <c r="AA192"/>
  <c r="T192"/>
  <c r="AI192"/>
  <c r="AE192"/>
  <c r="W192"/>
  <c r="Z192"/>
  <c r="S192"/>
  <c r="AD190"/>
  <c r="AC190"/>
  <c r="V190"/>
  <c r="R190"/>
  <c r="AG190"/>
  <c r="Y190"/>
  <c r="AB190"/>
  <c r="U190"/>
  <c r="AF187"/>
  <c r="X187"/>
  <c r="AA187"/>
  <c r="T187"/>
  <c r="AI187"/>
  <c r="AE187"/>
  <c r="W187"/>
  <c r="Z187"/>
  <c r="S187"/>
  <c r="AD184"/>
  <c r="AC184"/>
  <c r="V184"/>
  <c r="R184"/>
  <c r="AG184"/>
  <c r="Y184"/>
  <c r="AB184"/>
  <c r="U184"/>
  <c r="AF182"/>
  <c r="X182"/>
  <c r="AA182"/>
  <c r="T182"/>
  <c r="AI182"/>
  <c r="AE182"/>
  <c r="W182"/>
  <c r="Z182"/>
  <c r="S182"/>
  <c r="AD180"/>
  <c r="AC180"/>
  <c r="V180"/>
  <c r="R180"/>
  <c r="AG180"/>
  <c r="Y180"/>
  <c r="AB180"/>
  <c r="U180"/>
  <c r="AF177"/>
  <c r="X177"/>
  <c r="AA177"/>
  <c r="T177"/>
  <c r="AI177"/>
  <c r="AE177"/>
  <c r="W177"/>
  <c r="Z177"/>
  <c r="S177"/>
  <c r="AD175"/>
  <c r="AC175"/>
  <c r="V175"/>
  <c r="R175"/>
  <c r="AG175"/>
  <c r="Y175"/>
  <c r="AB175"/>
  <c r="U175"/>
  <c r="AF173"/>
  <c r="X173"/>
  <c r="AA173"/>
  <c r="T173"/>
  <c r="AI173"/>
  <c r="AE173"/>
  <c r="W173"/>
  <c r="Z173"/>
  <c r="S173"/>
  <c r="AD171"/>
  <c r="AC171"/>
  <c r="V171"/>
  <c r="R171"/>
  <c r="AG171"/>
  <c r="Y171"/>
  <c r="AB171"/>
  <c r="U171"/>
  <c r="AF169"/>
  <c r="X169"/>
  <c r="AA169"/>
  <c r="T169"/>
  <c r="AI169"/>
  <c r="AE169"/>
  <c r="W169"/>
  <c r="Z169"/>
  <c r="S169"/>
  <c r="AD167"/>
  <c r="AC167"/>
  <c r="V167"/>
  <c r="R167"/>
  <c r="AG167"/>
  <c r="Y167"/>
  <c r="AB167"/>
  <c r="U167"/>
  <c r="AF165"/>
  <c r="X165"/>
  <c r="AA165"/>
  <c r="T165"/>
  <c r="AI165"/>
  <c r="AE165"/>
  <c r="W165"/>
  <c r="Z165"/>
  <c r="S165"/>
  <c r="AF163"/>
  <c r="AD163"/>
  <c r="X163"/>
  <c r="AC163"/>
  <c r="AA163"/>
  <c r="V163"/>
  <c r="T163"/>
  <c r="R163"/>
  <c r="AI163"/>
  <c r="AG163"/>
  <c r="AE163"/>
  <c r="Y163"/>
  <c r="W163"/>
  <c r="AB163"/>
  <c r="Z163"/>
  <c r="U163"/>
  <c r="S163"/>
  <c r="AI161"/>
  <c r="AG161"/>
  <c r="AE161"/>
  <c r="Y161"/>
  <c r="W161"/>
  <c r="AB161"/>
  <c r="Z161"/>
  <c r="U161"/>
  <c r="S161"/>
  <c r="AI159"/>
  <c r="AG159"/>
  <c r="R144"/>
  <c r="T144"/>
  <c r="V144"/>
  <c r="AA144"/>
  <c r="AC144"/>
  <c r="X144"/>
  <c r="AD144"/>
  <c r="AF144"/>
  <c r="R152"/>
  <c r="T152"/>
  <c r="V152"/>
  <c r="AA152"/>
  <c r="AC152"/>
  <c r="X152"/>
  <c r="AD152"/>
  <c r="AF152"/>
  <c r="R153"/>
  <c r="T153"/>
  <c r="V153"/>
  <c r="AA153"/>
  <c r="AC153"/>
  <c r="X153"/>
  <c r="AD153"/>
  <c r="AF153"/>
  <c r="T154"/>
  <c r="AA154"/>
  <c r="X154"/>
  <c r="AF154"/>
  <c r="R155"/>
  <c r="T155"/>
  <c r="V155"/>
  <c r="AA155"/>
  <c r="AC155"/>
  <c r="X155"/>
  <c r="AD155"/>
  <c r="AF155"/>
  <c r="T156"/>
  <c r="AA156"/>
  <c r="X156"/>
  <c r="AF156"/>
  <c r="R157"/>
  <c r="T157"/>
  <c r="V157"/>
  <c r="AA157"/>
  <c r="AC157"/>
  <c r="X157"/>
  <c r="AD157"/>
  <c r="AF157"/>
  <c r="T158"/>
  <c r="AA158"/>
  <c r="X158"/>
  <c r="AF158"/>
  <c r="R159"/>
  <c r="T159"/>
  <c r="V159"/>
  <c r="AA159"/>
  <c r="AC159"/>
  <c r="X159"/>
  <c r="AD159"/>
  <c r="AF159"/>
  <c r="V160"/>
  <c r="AD160"/>
  <c r="T161"/>
  <c r="AA161"/>
  <c r="X161"/>
  <c r="AF161"/>
  <c r="J209"/>
  <c r="AH209" s="1"/>
  <c r="J246"/>
  <c r="AH246" s="1"/>
  <c r="BD70" i="3"/>
  <c r="BD71" s="1"/>
  <c r="BD13" i="12" s="1"/>
  <c r="AN70" i="3"/>
  <c r="AN71" s="1"/>
  <c r="AN13" i="12" s="1"/>
  <c r="AA70" i="3"/>
  <c r="AA71" s="1"/>
  <c r="AA13" i="12" s="1"/>
  <c r="Z70" i="3"/>
  <c r="Y70"/>
  <c r="Y71" s="1"/>
  <c r="X70"/>
  <c r="O70"/>
  <c r="O71" s="1"/>
  <c r="N70"/>
  <c r="N71" s="1"/>
  <c r="N31" i="5" s="1"/>
  <c r="T70" i="3"/>
  <c r="T71" s="1"/>
  <c r="S70"/>
  <c r="S71" s="1"/>
  <c r="S13" i="12" s="1"/>
  <c r="W70" i="3"/>
  <c r="W71" s="1"/>
  <c r="W13" i="12" s="1"/>
  <c r="V70" i="3"/>
  <c r="V71" s="1"/>
  <c r="V13" i="12" s="1"/>
  <c r="U70" i="3"/>
  <c r="U71" s="1"/>
  <c r="U13" i="12" s="1"/>
  <c r="Q70" i="3"/>
  <c r="Q71" s="1"/>
  <c r="P70"/>
  <c r="P71" s="1"/>
  <c r="P13" i="12" s="1"/>
  <c r="R70" i="3"/>
  <c r="R71" s="1"/>
  <c r="R31" i="5" s="1"/>
  <c r="M70" i="3"/>
  <c r="M71" s="1"/>
  <c r="L70"/>
  <c r="L71" s="1"/>
  <c r="L72" s="1"/>
  <c r="BI82" i="26"/>
  <c r="BJ47" i="33"/>
  <c r="BJ32"/>
  <c r="F62" i="26"/>
  <c r="F62" i="33" s="1"/>
  <c r="BJ57"/>
  <c r="BG57" i="26"/>
  <c r="BJ56" i="33"/>
  <c r="BJ55"/>
  <c r="BJ54"/>
  <c r="BJ53"/>
  <c r="G62" i="26"/>
  <c r="G62" i="33" s="1"/>
  <c r="G225" i="12"/>
  <c r="E225"/>
  <c r="G227"/>
  <c r="F227"/>
  <c r="E227"/>
  <c r="F284"/>
  <c r="F301" s="1"/>
  <c r="BI260"/>
  <c r="BH260"/>
  <c r="BG260"/>
  <c r="BF260"/>
  <c r="BE260"/>
  <c r="BD260"/>
  <c r="BC260"/>
  <c r="BB260"/>
  <c r="BA260"/>
  <c r="AZ260"/>
  <c r="AY260"/>
  <c r="AX260"/>
  <c r="AW260"/>
  <c r="AV260"/>
  <c r="AU260"/>
  <c r="AT260"/>
  <c r="AS260"/>
  <c r="AR260"/>
  <c r="AQ260"/>
  <c r="AP260"/>
  <c r="AO260"/>
  <c r="AN260"/>
  <c r="AM260"/>
  <c r="AL260"/>
  <c r="AK260"/>
  <c r="AJ260"/>
  <c r="AI260"/>
  <c r="AH260"/>
  <c r="AG260"/>
  <c r="AF260"/>
  <c r="AE260"/>
  <c r="AD260"/>
  <c r="AC260"/>
  <c r="AB260"/>
  <c r="AA260"/>
  <c r="Z260"/>
  <c r="Y260"/>
  <c r="X260"/>
  <c r="O260"/>
  <c r="N260"/>
  <c r="T260"/>
  <c r="S260"/>
  <c r="W260"/>
  <c r="V260"/>
  <c r="U260"/>
  <c r="Q260"/>
  <c r="P260"/>
  <c r="J260"/>
  <c r="R260"/>
  <c r="M260"/>
  <c r="L260"/>
  <c r="K260"/>
  <c r="I260"/>
  <c r="H260"/>
  <c r="BI252"/>
  <c r="BH252"/>
  <c r="BG252"/>
  <c r="BF252"/>
  <c r="BE252"/>
  <c r="BD252"/>
  <c r="BC252"/>
  <c r="BB252"/>
  <c r="BA252"/>
  <c r="AZ252"/>
  <c r="AY252"/>
  <c r="AX252"/>
  <c r="AW252"/>
  <c r="AV252"/>
  <c r="AU252"/>
  <c r="AT252"/>
  <c r="AS252"/>
  <c r="AR252"/>
  <c r="AQ252"/>
  <c r="AP252"/>
  <c r="AO252"/>
  <c r="AN252"/>
  <c r="AM252"/>
  <c r="AL252"/>
  <c r="AK252"/>
  <c r="AJ252"/>
  <c r="AI252"/>
  <c r="AH252"/>
  <c r="AG252"/>
  <c r="AF252"/>
  <c r="AE252"/>
  <c r="AD252"/>
  <c r="AC252"/>
  <c r="AB252"/>
  <c r="AA252"/>
  <c r="Z252"/>
  <c r="Y252"/>
  <c r="X252"/>
  <c r="O252"/>
  <c r="N252"/>
  <c r="T252"/>
  <c r="S252"/>
  <c r="W252"/>
  <c r="V252"/>
  <c r="U252"/>
  <c r="Q252"/>
  <c r="P252"/>
  <c r="J252"/>
  <c r="R252"/>
  <c r="M252"/>
  <c r="L252"/>
  <c r="K252"/>
  <c r="I252"/>
  <c r="H252"/>
  <c r="G221"/>
  <c r="F221"/>
  <c r="E221"/>
  <c r="G98" i="9"/>
  <c r="G73" i="26"/>
  <c r="G73" i="33" s="1"/>
  <c r="F73" i="26"/>
  <c r="F73" i="33" s="1"/>
  <c r="G51" i="26"/>
  <c r="G51" i="33" s="1"/>
  <c r="F51" i="26"/>
  <c r="F51" i="33" s="1"/>
  <c r="F36" i="26"/>
  <c r="F36" i="33" s="1"/>
  <c r="G36" i="26"/>
  <c r="G36" i="33" s="1"/>
  <c r="G25" i="26"/>
  <c r="G25" i="33" s="1"/>
  <c r="F25" i="26"/>
  <c r="F25" i="33" s="1"/>
  <c r="E20" i="26"/>
  <c r="E20" i="33" s="1"/>
  <c r="E19" i="26"/>
  <c r="E19" i="33" s="1"/>
  <c r="E18" i="26"/>
  <c r="E18" i="33" s="1"/>
  <c r="BJ10"/>
  <c r="G10" i="26"/>
  <c r="G10" i="33" s="1"/>
  <c r="F10" i="26"/>
  <c r="F10" i="33" s="1"/>
  <c r="E10" i="26"/>
  <c r="E10" i="33" s="1"/>
  <c r="G13" i="12"/>
  <c r="G29"/>
  <c r="E29"/>
  <c r="BI72" i="3"/>
  <c r="K72"/>
  <c r="I72"/>
  <c r="H72"/>
  <c r="BI31" i="5"/>
  <c r="K31"/>
  <c r="I31"/>
  <c r="H31"/>
  <c r="H32" s="1"/>
  <c r="H10" i="26" s="1"/>
  <c r="H10" i="33" s="1"/>
  <c r="E31" i="5"/>
  <c r="E13" i="12" s="1"/>
  <c r="BH71" i="3"/>
  <c r="BH13" i="12" s="1"/>
  <c r="BG71" i="3"/>
  <c r="BF71"/>
  <c r="BE71"/>
  <c r="AM71"/>
  <c r="AL71"/>
  <c r="AK71"/>
  <c r="AJ71"/>
  <c r="AI71"/>
  <c r="AH71"/>
  <c r="J71"/>
  <c r="BG68" i="26"/>
  <c r="G317" i="12"/>
  <c r="F317"/>
  <c r="E317"/>
  <c r="G315"/>
  <c r="F315"/>
  <c r="E315"/>
  <c r="F368"/>
  <c r="BI344"/>
  <c r="BH344"/>
  <c r="BG344"/>
  <c r="BF344"/>
  <c r="BE344"/>
  <c r="BD344"/>
  <c r="BC344"/>
  <c r="BB344"/>
  <c r="BA344"/>
  <c r="AZ344"/>
  <c r="AY344"/>
  <c r="AX344"/>
  <c r="AW344"/>
  <c r="AV344"/>
  <c r="AU344"/>
  <c r="AT344"/>
  <c r="AS344"/>
  <c r="AR344"/>
  <c r="AQ344"/>
  <c r="AP344"/>
  <c r="AO344"/>
  <c r="AN344"/>
  <c r="AM344"/>
  <c r="AL344"/>
  <c r="AK344"/>
  <c r="AJ344"/>
  <c r="AI344"/>
  <c r="AH344"/>
  <c r="AG344"/>
  <c r="AF344"/>
  <c r="AE344"/>
  <c r="AD344"/>
  <c r="AC344"/>
  <c r="AB344"/>
  <c r="AA344"/>
  <c r="Z344"/>
  <c r="Y344"/>
  <c r="X344"/>
  <c r="O344"/>
  <c r="N344"/>
  <c r="T344"/>
  <c r="S344"/>
  <c r="W344"/>
  <c r="V344"/>
  <c r="U344"/>
  <c r="Q344"/>
  <c r="P344"/>
  <c r="J344"/>
  <c r="R344"/>
  <c r="M344"/>
  <c r="L344"/>
  <c r="K344"/>
  <c r="I344"/>
  <c r="H344"/>
  <c r="BI336"/>
  <c r="BH336"/>
  <c r="BG336"/>
  <c r="BF336"/>
  <c r="BE336"/>
  <c r="BD336"/>
  <c r="BC336"/>
  <c r="BB336"/>
  <c r="BA336"/>
  <c r="AZ336"/>
  <c r="AY336"/>
  <c r="AX336"/>
  <c r="AW336"/>
  <c r="AV336"/>
  <c r="AU336"/>
  <c r="AT336"/>
  <c r="AS336"/>
  <c r="AR336"/>
  <c r="AQ336"/>
  <c r="AP336"/>
  <c r="AO336"/>
  <c r="AN336"/>
  <c r="AM336"/>
  <c r="AL336"/>
  <c r="AK336"/>
  <c r="AJ336"/>
  <c r="AI336"/>
  <c r="AH336"/>
  <c r="AG336"/>
  <c r="AF336"/>
  <c r="AE336"/>
  <c r="AD336"/>
  <c r="AC336"/>
  <c r="AB336"/>
  <c r="AA336"/>
  <c r="Z336"/>
  <c r="Y336"/>
  <c r="X336"/>
  <c r="O336"/>
  <c r="N336"/>
  <c r="T336"/>
  <c r="S336"/>
  <c r="W336"/>
  <c r="V336"/>
  <c r="U336"/>
  <c r="Q336"/>
  <c r="P336"/>
  <c r="J336"/>
  <c r="R336"/>
  <c r="M336"/>
  <c r="L336"/>
  <c r="K336"/>
  <c r="I336"/>
  <c r="H336"/>
  <c r="G305"/>
  <c r="F305"/>
  <c r="E305"/>
  <c r="G119" i="9"/>
  <c r="F119"/>
  <c r="E119"/>
  <c r="D117"/>
  <c r="C304" i="12" s="1"/>
  <c r="G187" i="9"/>
  <c r="E185"/>
  <c r="E200" s="1"/>
  <c r="E182"/>
  <c r="G175"/>
  <c r="E173"/>
  <c r="E203" s="1"/>
  <c r="G166"/>
  <c r="G149"/>
  <c r="E147"/>
  <c r="E140"/>
  <c r="E134"/>
  <c r="E131"/>
  <c r="E127"/>
  <c r="G111" i="14"/>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O108"/>
  <c r="N108"/>
  <c r="T108"/>
  <c r="S108"/>
  <c r="W108"/>
  <c r="V108"/>
  <c r="U108"/>
  <c r="Q108"/>
  <c r="P108"/>
  <c r="J108"/>
  <c r="R108"/>
  <c r="M108"/>
  <c r="L108"/>
  <c r="K108"/>
  <c r="I108"/>
  <c r="H108"/>
  <c r="E100"/>
  <c r="E95"/>
  <c r="G13" i="4"/>
  <c r="E28" i="14"/>
  <c r="E87" s="1"/>
  <c r="D124" i="9" s="1"/>
  <c r="G30" i="14"/>
  <c r="F30"/>
  <c r="E30"/>
  <c r="G29"/>
  <c r="F29"/>
  <c r="E29"/>
  <c r="E104" s="1"/>
  <c r="G35"/>
  <c r="F35"/>
  <c r="E35"/>
  <c r="G34"/>
  <c r="F34"/>
  <c r="E34"/>
  <c r="G31"/>
  <c r="K10" i="4"/>
  <c r="BH30" i="14" s="1"/>
  <c r="I10" i="4"/>
  <c r="J10" s="1"/>
  <c r="G36" i="14"/>
  <c r="E33"/>
  <c r="E91" s="1"/>
  <c r="D129" i="9" s="1"/>
  <c r="G24" i="29"/>
  <c r="BG35"/>
  <c r="G25"/>
  <c r="G30" s="1"/>
  <c r="G31" s="1"/>
  <c r="G32" s="1"/>
  <c r="F25"/>
  <c r="F30" s="1"/>
  <c r="F31" s="1"/>
  <c r="F32" s="1"/>
  <c r="E25"/>
  <c r="G16"/>
  <c r="F16"/>
  <c r="E16"/>
  <c r="G9"/>
  <c r="F9"/>
  <c r="E9"/>
  <c r="BG87" i="26"/>
  <c r="BG88"/>
  <c r="BI193" i="12"/>
  <c r="BH193"/>
  <c r="BG193"/>
  <c r="BF193"/>
  <c r="BE193"/>
  <c r="BD193"/>
  <c r="BC193"/>
  <c r="BB193"/>
  <c r="BA193"/>
  <c r="AZ193"/>
  <c r="AY193"/>
  <c r="AX193"/>
  <c r="AW193"/>
  <c r="AV193"/>
  <c r="AU193"/>
  <c r="AT193"/>
  <c r="AS193"/>
  <c r="AR193"/>
  <c r="AQ193"/>
  <c r="AP193"/>
  <c r="AO193"/>
  <c r="AN193"/>
  <c r="AM193"/>
  <c r="AL193"/>
  <c r="AK193"/>
  <c r="AJ193"/>
  <c r="AI193"/>
  <c r="AH193"/>
  <c r="AG193"/>
  <c r="AF193"/>
  <c r="AE193"/>
  <c r="AD193"/>
  <c r="AC193"/>
  <c r="AB193"/>
  <c r="AA193"/>
  <c r="Z193"/>
  <c r="Y193"/>
  <c r="X193"/>
  <c r="O193"/>
  <c r="N193"/>
  <c r="T193"/>
  <c r="S193"/>
  <c r="W193"/>
  <c r="V193"/>
  <c r="U193"/>
  <c r="Q193"/>
  <c r="P193"/>
  <c r="J193"/>
  <c r="R193"/>
  <c r="M193"/>
  <c r="L193"/>
  <c r="K193"/>
  <c r="I193"/>
  <c r="BI185"/>
  <c r="BH185"/>
  <c r="BG185"/>
  <c r="BF185"/>
  <c r="BE185"/>
  <c r="BD185"/>
  <c r="BC185"/>
  <c r="BB185"/>
  <c r="BA185"/>
  <c r="AZ185"/>
  <c r="AY185"/>
  <c r="AX185"/>
  <c r="AW185"/>
  <c r="AV185"/>
  <c r="AU185"/>
  <c r="AT185"/>
  <c r="AS185"/>
  <c r="AR185"/>
  <c r="AQ185"/>
  <c r="AP185"/>
  <c r="AO185"/>
  <c r="AN185"/>
  <c r="AM185"/>
  <c r="AL185"/>
  <c r="AK185"/>
  <c r="AJ185"/>
  <c r="AI185"/>
  <c r="AH185"/>
  <c r="AG185"/>
  <c r="AF185"/>
  <c r="AE185"/>
  <c r="AD185"/>
  <c r="AC185"/>
  <c r="AB185"/>
  <c r="AA185"/>
  <c r="Z185"/>
  <c r="Y185"/>
  <c r="X185"/>
  <c r="O185"/>
  <c r="N185"/>
  <c r="T185"/>
  <c r="S185"/>
  <c r="W185"/>
  <c r="V185"/>
  <c r="U185"/>
  <c r="Q185"/>
  <c r="P185"/>
  <c r="J185"/>
  <c r="R185"/>
  <c r="M185"/>
  <c r="L185"/>
  <c r="K185"/>
  <c r="I185"/>
  <c r="H185"/>
  <c r="G174"/>
  <c r="F174"/>
  <c r="G176"/>
  <c r="F176"/>
  <c r="E176"/>
  <c r="E174"/>
  <c r="G172"/>
  <c r="F172"/>
  <c r="E172"/>
  <c r="F217"/>
  <c r="H193"/>
  <c r="G168"/>
  <c r="F168"/>
  <c r="E168"/>
  <c r="BG46" i="26"/>
  <c r="E46"/>
  <c r="E46" i="33" s="1"/>
  <c r="G45" i="26"/>
  <c r="F45"/>
  <c r="F107" i="29" s="1"/>
  <c r="E45" i="26"/>
  <c r="F146" i="12"/>
  <c r="F35" i="29"/>
  <c r="G105" i="12"/>
  <c r="E105"/>
  <c r="G103"/>
  <c r="E103"/>
  <c r="G101"/>
  <c r="E101"/>
  <c r="G97"/>
  <c r="F97"/>
  <c r="E97"/>
  <c r="E372"/>
  <c r="F372"/>
  <c r="G372"/>
  <c r="E375"/>
  <c r="F375"/>
  <c r="G375"/>
  <c r="G377"/>
  <c r="G381"/>
  <c r="I14" i="11"/>
  <c r="H13"/>
  <c r="I13"/>
  <c r="H11"/>
  <c r="I12"/>
  <c r="I11"/>
  <c r="H10"/>
  <c r="H9"/>
  <c r="I9"/>
  <c r="H25" i="10"/>
  <c r="H26"/>
  <c r="H27"/>
  <c r="H31"/>
  <c r="H33"/>
  <c r="I34"/>
  <c r="J34"/>
  <c r="G454" i="9"/>
  <c r="E452"/>
  <c r="E232" i="12" s="1"/>
  <c r="E249" s="1"/>
  <c r="E449" i="9"/>
  <c r="G444"/>
  <c r="E442"/>
  <c r="G437"/>
  <c r="E435"/>
  <c r="G426"/>
  <c r="D30" i="26"/>
  <c r="F591" i="12"/>
  <c r="F518"/>
  <c r="F412"/>
  <c r="F16" i="34" s="1"/>
  <c r="F21" i="26"/>
  <c r="F21" i="33" s="1"/>
  <c r="G21" i="26"/>
  <c r="G21" i="33" s="1"/>
  <c r="E22" i="26"/>
  <c r="E22" i="33" s="1"/>
  <c r="BG22" i="26"/>
  <c r="BG22" i="33" s="1"/>
  <c r="F30" i="26"/>
  <c r="F30" i="33" s="1"/>
  <c r="G30" i="26"/>
  <c r="G30" i="33" s="1"/>
  <c r="E31" i="26"/>
  <c r="E31" i="33" s="1"/>
  <c r="BG31" i="26"/>
  <c r="BG31" i="33" s="1"/>
  <c r="BG42" i="26"/>
  <c r="BG42" i="33" s="1"/>
  <c r="BG16" i="26"/>
  <c r="BG16" i="33" s="1"/>
  <c r="G16" i="26"/>
  <c r="G16" i="33" s="1"/>
  <c r="E16" i="26"/>
  <c r="E16" i="33" s="1"/>
  <c r="G15" i="26"/>
  <c r="G15" i="33" s="1"/>
  <c r="F15" i="26"/>
  <c r="F15" i="33" s="1"/>
  <c r="E15" i="26"/>
  <c r="E15" i="33" s="1"/>
  <c r="E14" i="26"/>
  <c r="E14" i="33" s="1"/>
  <c r="E13" i="26"/>
  <c r="E13" i="33" s="1"/>
  <c r="E12" i="26"/>
  <c r="E12" i="33" s="1"/>
  <c r="D31" i="26"/>
  <c r="G9"/>
  <c r="G9" i="33" s="1"/>
  <c r="F9" i="26"/>
  <c r="F9" i="33" s="1"/>
  <c r="AM46" i="3"/>
  <c r="AM35"/>
  <c r="AM10" i="5" s="1"/>
  <c r="BI567" i="12"/>
  <c r="BH567"/>
  <c r="BG567"/>
  <c r="BF567"/>
  <c r="BE567"/>
  <c r="BD567"/>
  <c r="BC567"/>
  <c r="BB567"/>
  <c r="BA567"/>
  <c r="AZ567"/>
  <c r="AY567"/>
  <c r="AX567"/>
  <c r="AW567"/>
  <c r="AV567"/>
  <c r="AU567"/>
  <c r="AT567"/>
  <c r="AS567"/>
  <c r="AR567"/>
  <c r="AQ567"/>
  <c r="AP567"/>
  <c r="AO567"/>
  <c r="AN567"/>
  <c r="AM567"/>
  <c r="AL567"/>
  <c r="AK567"/>
  <c r="AJ567"/>
  <c r="AI567"/>
  <c r="AH567"/>
  <c r="AG567"/>
  <c r="AF567"/>
  <c r="AE567"/>
  <c r="AD567"/>
  <c r="AC567"/>
  <c r="AB567"/>
  <c r="AA567"/>
  <c r="Z567"/>
  <c r="Y567"/>
  <c r="X567"/>
  <c r="O567"/>
  <c r="N567"/>
  <c r="T567"/>
  <c r="S567"/>
  <c r="W567"/>
  <c r="V567"/>
  <c r="U567"/>
  <c r="Q567"/>
  <c r="P567"/>
  <c r="J567"/>
  <c r="R567"/>
  <c r="M567"/>
  <c r="L567"/>
  <c r="K567"/>
  <c r="I567"/>
  <c r="BI494"/>
  <c r="BH494"/>
  <c r="BG494"/>
  <c r="BF494"/>
  <c r="BE494"/>
  <c r="BD494"/>
  <c r="BC494"/>
  <c r="BB494"/>
  <c r="BA494"/>
  <c r="AZ494"/>
  <c r="AY494"/>
  <c r="AX494"/>
  <c r="AW494"/>
  <c r="AV494"/>
  <c r="AU494"/>
  <c r="AT494"/>
  <c r="AS494"/>
  <c r="AR494"/>
  <c r="AQ494"/>
  <c r="AP494"/>
  <c r="AO494"/>
  <c r="AN494"/>
  <c r="AM494"/>
  <c r="AL494"/>
  <c r="AK494"/>
  <c r="AJ494"/>
  <c r="AI494"/>
  <c r="AH494"/>
  <c r="AG494"/>
  <c r="AF494"/>
  <c r="AE494"/>
  <c r="AD494"/>
  <c r="AC494"/>
  <c r="AB494"/>
  <c r="AA494"/>
  <c r="Z494"/>
  <c r="Y494"/>
  <c r="X494"/>
  <c r="O494"/>
  <c r="N494"/>
  <c r="T494"/>
  <c r="S494"/>
  <c r="W494"/>
  <c r="V494"/>
  <c r="U494"/>
  <c r="Q494"/>
  <c r="P494"/>
  <c r="J494"/>
  <c r="R494"/>
  <c r="M494"/>
  <c r="L494"/>
  <c r="K494"/>
  <c r="I494"/>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O18"/>
  <c r="N18"/>
  <c r="T18"/>
  <c r="S18"/>
  <c r="W18"/>
  <c r="V18"/>
  <c r="U18"/>
  <c r="Q18"/>
  <c r="P18"/>
  <c r="J18"/>
  <c r="R18"/>
  <c r="M18"/>
  <c r="L18"/>
  <c r="K18"/>
  <c r="I18"/>
  <c r="BC354"/>
  <c r="BB346"/>
  <c r="BA354"/>
  <c r="AZ346"/>
  <c r="AY354"/>
  <c r="AX346"/>
  <c r="AW354"/>
  <c r="AV346"/>
  <c r="AU354"/>
  <c r="AT346"/>
  <c r="AS354"/>
  <c r="AR346"/>
  <c r="AQ354"/>
  <c r="AP346"/>
  <c r="AO354"/>
  <c r="AM70"/>
  <c r="AF354"/>
  <c r="AE346"/>
  <c r="N569"/>
  <c r="M569"/>
  <c r="K569"/>
  <c r="F93"/>
  <c r="H18"/>
  <c r="G18"/>
  <c r="G89" s="1"/>
  <c r="G90" s="1"/>
  <c r="G91" s="1"/>
  <c r="F18"/>
  <c r="G37"/>
  <c r="E37"/>
  <c r="G35"/>
  <c r="E35"/>
  <c r="G31"/>
  <c r="E31"/>
  <c r="G25"/>
  <c r="F25"/>
  <c r="E25"/>
  <c r="G563"/>
  <c r="G560"/>
  <c r="G490"/>
  <c r="G487"/>
  <c r="G384"/>
  <c r="E243" i="9"/>
  <c r="E293" i="12" s="1"/>
  <c r="E240" i="9"/>
  <c r="E237"/>
  <c r="E524" i="12" s="1"/>
  <c r="E218" i="9"/>
  <c r="E197" s="1"/>
  <c r="E64"/>
  <c r="G399"/>
  <c r="E396"/>
  <c r="E562" i="12" s="1"/>
  <c r="G400" i="9"/>
  <c r="E392"/>
  <c r="E383" i="12" s="1"/>
  <c r="E114" i="9"/>
  <c r="E104" i="12" s="1"/>
  <c r="E111" s="1"/>
  <c r="BI37" i="9"/>
  <c r="BI38" s="1"/>
  <c r="BH37"/>
  <c r="BH38" s="1"/>
  <c r="BH278" s="1"/>
  <c r="BH277" s="1"/>
  <c r="BG37"/>
  <c r="BG38" s="1"/>
  <c r="BG278" s="1"/>
  <c r="BG277" s="1"/>
  <c r="BF37"/>
  <c r="BF38" s="1"/>
  <c r="BF278" s="1"/>
  <c r="BF277" s="1"/>
  <c r="BE37"/>
  <c r="BE38" s="1"/>
  <c r="BE278" s="1"/>
  <c r="BE277" s="1"/>
  <c r="BD37"/>
  <c r="BD38" s="1"/>
  <c r="BD278" s="1"/>
  <c r="BD277" s="1"/>
  <c r="BC37"/>
  <c r="BC38" s="1"/>
  <c r="BB37"/>
  <c r="BB38" s="1"/>
  <c r="BB278" s="1"/>
  <c r="BB277" s="1"/>
  <c r="BA37"/>
  <c r="BA38" s="1"/>
  <c r="BA278" s="1"/>
  <c r="BA277" s="1"/>
  <c r="AZ37"/>
  <c r="AZ38" s="1"/>
  <c r="AZ278" s="1"/>
  <c r="AZ277" s="1"/>
  <c r="AY37"/>
  <c r="AY38" s="1"/>
  <c r="AY278" s="1"/>
  <c r="AY277" s="1"/>
  <c r="AX37"/>
  <c r="AX38" s="1"/>
  <c r="AX278" s="1"/>
  <c r="AX277" s="1"/>
  <c r="AW37"/>
  <c r="AW38" s="1"/>
  <c r="AW278" s="1"/>
  <c r="AW277" s="1"/>
  <c r="AV37"/>
  <c r="AV38" s="1"/>
  <c r="AV278" s="1"/>
  <c r="AV277" s="1"/>
  <c r="AU37"/>
  <c r="AU38" s="1"/>
  <c r="AU278" s="1"/>
  <c r="AU277" s="1"/>
  <c r="AT37"/>
  <c r="AT38" s="1"/>
  <c r="AT278" s="1"/>
  <c r="AT277" s="1"/>
  <c r="AS37"/>
  <c r="AS38" s="1"/>
  <c r="AS278" s="1"/>
  <c r="AS277" s="1"/>
  <c r="AR37"/>
  <c r="AR38" s="1"/>
  <c r="AR278" s="1"/>
  <c r="AR277" s="1"/>
  <c r="AQ37"/>
  <c r="AQ38" s="1"/>
  <c r="AQ278" s="1"/>
  <c r="AQ277" s="1"/>
  <c r="AP37"/>
  <c r="AP38" s="1"/>
  <c r="AP278" s="1"/>
  <c r="AP277" s="1"/>
  <c r="AO37"/>
  <c r="AO38" s="1"/>
  <c r="AO278" s="1"/>
  <c r="AO277" s="1"/>
  <c r="AN37"/>
  <c r="AN38" s="1"/>
  <c r="AN278" s="1"/>
  <c r="AN277" s="1"/>
  <c r="AM37"/>
  <c r="AM38" s="1"/>
  <c r="AL37"/>
  <c r="AL38" s="1"/>
  <c r="AK37"/>
  <c r="AK38" s="1"/>
  <c r="AK278" s="1"/>
  <c r="AK277" s="1"/>
  <c r="AJ37"/>
  <c r="AJ38" s="1"/>
  <c r="AJ278" s="1"/>
  <c r="AJ277" s="1"/>
  <c r="AI37"/>
  <c r="AI38" s="1"/>
  <c r="AI278" s="1"/>
  <c r="AI277" s="1"/>
  <c r="AH37"/>
  <c r="AH38" s="1"/>
  <c r="AG37"/>
  <c r="AG38" s="1"/>
  <c r="AF37"/>
  <c r="AF38" s="1"/>
  <c r="AF278" s="1"/>
  <c r="AF277" s="1"/>
  <c r="AE37"/>
  <c r="AE38" s="1"/>
  <c r="AD37"/>
  <c r="AC37"/>
  <c r="AC38" s="1"/>
  <c r="AC278" s="1"/>
  <c r="AC277" s="1"/>
  <c r="AB37"/>
  <c r="AB38" s="1"/>
  <c r="AB278" s="1"/>
  <c r="AB277" s="1"/>
  <c r="AA37"/>
  <c r="AA38" s="1"/>
  <c r="AA278" s="1"/>
  <c r="AA277" s="1"/>
  <c r="Z37"/>
  <c r="Z38" s="1"/>
  <c r="Y37"/>
  <c r="Y38" s="1"/>
  <c r="Y98" s="1"/>
  <c r="Y97" s="1"/>
  <c r="X37"/>
  <c r="X38" s="1"/>
  <c r="X278" s="1"/>
  <c r="X277" s="1"/>
  <c r="O37"/>
  <c r="O38" s="1"/>
  <c r="N37"/>
  <c r="N38" s="1"/>
  <c r="N278" s="1"/>
  <c r="N277" s="1"/>
  <c r="T37"/>
  <c r="T38" s="1"/>
  <c r="T278" s="1"/>
  <c r="T277" s="1"/>
  <c r="S37"/>
  <c r="S38" s="1"/>
  <c r="S278" s="1"/>
  <c r="S277" s="1"/>
  <c r="W37"/>
  <c r="W38" s="1"/>
  <c r="W98" s="1"/>
  <c r="W97" s="1"/>
  <c r="V37"/>
  <c r="V38" s="1"/>
  <c r="V278" s="1"/>
  <c r="V277" s="1"/>
  <c r="U37"/>
  <c r="U38" s="1"/>
  <c r="U98" s="1"/>
  <c r="U97" s="1"/>
  <c r="Q37"/>
  <c r="Q38" s="1"/>
  <c r="Q278" s="1"/>
  <c r="Q277" s="1"/>
  <c r="P37"/>
  <c r="P38" s="1"/>
  <c r="J37"/>
  <c r="J38" s="1"/>
  <c r="J278" s="1"/>
  <c r="J277" s="1"/>
  <c r="R37"/>
  <c r="R38" s="1"/>
  <c r="M37"/>
  <c r="M38" s="1"/>
  <c r="M278" s="1"/>
  <c r="M277" s="1"/>
  <c r="L37"/>
  <c r="L38" s="1"/>
  <c r="L278" s="1"/>
  <c r="L277" s="1"/>
  <c r="K37"/>
  <c r="K38" s="1"/>
  <c r="K278" s="1"/>
  <c r="K277" s="1"/>
  <c r="I37"/>
  <c r="I38" s="1"/>
  <c r="I278" s="1"/>
  <c r="I277" s="1"/>
  <c r="H37"/>
  <c r="H38" s="1"/>
  <c r="H278" s="1"/>
  <c r="H277" s="1"/>
  <c r="AD38"/>
  <c r="G37"/>
  <c r="F37"/>
  <c r="F38" s="1"/>
  <c r="E37"/>
  <c r="E38" s="1"/>
  <c r="G375"/>
  <c r="E372"/>
  <c r="G376"/>
  <c r="E353"/>
  <c r="E380" i="12" s="1"/>
  <c r="G356" i="9"/>
  <c r="G357"/>
  <c r="G107"/>
  <c r="E105"/>
  <c r="G89"/>
  <c r="G303"/>
  <c r="E70"/>
  <c r="E226" i="12" s="1"/>
  <c r="E242" s="1"/>
  <c r="E253" s="1"/>
  <c r="F45" i="9"/>
  <c r="E45"/>
  <c r="E58"/>
  <c r="E55"/>
  <c r="E51"/>
  <c r="BI33"/>
  <c r="BH33"/>
  <c r="BH287" s="1"/>
  <c r="BH286" s="1"/>
  <c r="BG33"/>
  <c r="BG287" s="1"/>
  <c r="BG286" s="1"/>
  <c r="BF33"/>
  <c r="BF287" s="1"/>
  <c r="BF286" s="1"/>
  <c r="BE33"/>
  <c r="BE287" s="1"/>
  <c r="BE286" s="1"/>
  <c r="BD33"/>
  <c r="BD287" s="1"/>
  <c r="BD286" s="1"/>
  <c r="BC33"/>
  <c r="BC287" s="1"/>
  <c r="BC286" s="1"/>
  <c r="BB33"/>
  <c r="BB287" s="1"/>
  <c r="BB286" s="1"/>
  <c r="BA33"/>
  <c r="BA287"/>
  <c r="BA286" s="1"/>
  <c r="AZ33"/>
  <c r="AZ287" s="1"/>
  <c r="AZ286" s="1"/>
  <c r="AY33"/>
  <c r="AY287" s="1"/>
  <c r="AY286" s="1"/>
  <c r="AX33"/>
  <c r="AX287" s="1"/>
  <c r="AX286" s="1"/>
  <c r="AW33"/>
  <c r="AW287" s="1"/>
  <c r="AW286" s="1"/>
  <c r="AV33"/>
  <c r="AV287" s="1"/>
  <c r="AV286" s="1"/>
  <c r="AU33"/>
  <c r="AU287" s="1"/>
  <c r="AU286" s="1"/>
  <c r="AT33"/>
  <c r="AT287" s="1"/>
  <c r="AT286" s="1"/>
  <c r="AS33"/>
  <c r="AS287" s="1"/>
  <c r="AS286" s="1"/>
  <c r="AR33"/>
  <c r="AR287" s="1"/>
  <c r="AR286" s="1"/>
  <c r="AQ33"/>
  <c r="AQ287" s="1"/>
  <c r="AQ286" s="1"/>
  <c r="AP33"/>
  <c r="AP287" s="1"/>
  <c r="AP286" s="1"/>
  <c r="AO33"/>
  <c r="AO287" s="1"/>
  <c r="AO286" s="1"/>
  <c r="AN33"/>
  <c r="AN287" s="1"/>
  <c r="AN286" s="1"/>
  <c r="AM33"/>
  <c r="AM287" s="1"/>
  <c r="AM286" s="1"/>
  <c r="AL33"/>
  <c r="AL287" s="1"/>
  <c r="AL286" s="1"/>
  <c r="AK33"/>
  <c r="AK287" s="1"/>
  <c r="AK286" s="1"/>
  <c r="AJ33"/>
  <c r="AJ287" s="1"/>
  <c r="AJ286" s="1"/>
  <c r="AI33"/>
  <c r="AI287" s="1"/>
  <c r="AI286" s="1"/>
  <c r="AH33"/>
  <c r="AH287" s="1"/>
  <c r="AH286" s="1"/>
  <c r="AG33"/>
  <c r="AG287" s="1"/>
  <c r="AG286" s="1"/>
  <c r="AF33"/>
  <c r="AF287" s="1"/>
  <c r="AF286" s="1"/>
  <c r="AE33"/>
  <c r="AE287" s="1"/>
  <c r="AE286" s="1"/>
  <c r="AD33"/>
  <c r="AD287" s="1"/>
  <c r="AD286" s="1"/>
  <c r="AC33"/>
  <c r="AC287" s="1"/>
  <c r="AC286" s="1"/>
  <c r="AB33"/>
  <c r="AB287" s="1"/>
  <c r="AB286" s="1"/>
  <c r="AA33"/>
  <c r="AA287" s="1"/>
  <c r="AA286" s="1"/>
  <c r="Z33"/>
  <c r="Z287" s="1"/>
  <c r="Z286" s="1"/>
  <c r="Y33"/>
  <c r="Y287" s="1"/>
  <c r="Y286" s="1"/>
  <c r="X33"/>
  <c r="X287" s="1"/>
  <c r="X286" s="1"/>
  <c r="O33"/>
  <c r="O287" s="1"/>
  <c r="O286" s="1"/>
  <c r="N33"/>
  <c r="N287" s="1"/>
  <c r="N286" s="1"/>
  <c r="T33"/>
  <c r="T287" s="1"/>
  <c r="T286" s="1"/>
  <c r="S33"/>
  <c r="S287" s="1"/>
  <c r="S286" s="1"/>
  <c r="W33"/>
  <c r="W287" s="1"/>
  <c r="W286" s="1"/>
  <c r="V33"/>
  <c r="V287" s="1"/>
  <c r="V286" s="1"/>
  <c r="U33"/>
  <c r="U287" s="1"/>
  <c r="U286" s="1"/>
  <c r="Q33"/>
  <c r="Q287" s="1"/>
  <c r="Q286" s="1"/>
  <c r="P33"/>
  <c r="P287" s="1"/>
  <c r="P286" s="1"/>
  <c r="J33"/>
  <c r="J287" s="1"/>
  <c r="J286" s="1"/>
  <c r="R33"/>
  <c r="R287" s="1"/>
  <c r="R286" s="1"/>
  <c r="M33"/>
  <c r="M287" s="1"/>
  <c r="M286" s="1"/>
  <c r="L33"/>
  <c r="L287" s="1"/>
  <c r="L286" s="1"/>
  <c r="K33"/>
  <c r="K287" s="1"/>
  <c r="K286" s="1"/>
  <c r="I33"/>
  <c r="I287" s="1"/>
  <c r="I286" s="1"/>
  <c r="H33"/>
  <c r="G32"/>
  <c r="F32"/>
  <c r="F33" s="1"/>
  <c r="F287" s="1"/>
  <c r="E32"/>
  <c r="E33" s="1"/>
  <c r="E287" s="1"/>
  <c r="BI28"/>
  <c r="BI269" s="1"/>
  <c r="BI268" s="1"/>
  <c r="BH28"/>
  <c r="BG28"/>
  <c r="BG269" s="1"/>
  <c r="BG268" s="1"/>
  <c r="BF28"/>
  <c r="BF269" s="1"/>
  <c r="BF268" s="1"/>
  <c r="BE28"/>
  <c r="BE269" s="1"/>
  <c r="BE268" s="1"/>
  <c r="BD28"/>
  <c r="BD269" s="1"/>
  <c r="BD268" s="1"/>
  <c r="BC28"/>
  <c r="BC269" s="1"/>
  <c r="BC268" s="1"/>
  <c r="BB28"/>
  <c r="BA28"/>
  <c r="BA269" s="1"/>
  <c r="BA268" s="1"/>
  <c r="AZ28"/>
  <c r="AY28"/>
  <c r="AY269" s="1"/>
  <c r="AY268" s="1"/>
  <c r="AX28"/>
  <c r="AW28"/>
  <c r="AW269" s="1"/>
  <c r="AW268" s="1"/>
  <c r="AV28"/>
  <c r="AV269" s="1"/>
  <c r="AV268" s="1"/>
  <c r="AU28"/>
  <c r="AU269" s="1"/>
  <c r="AU268" s="1"/>
  <c r="AT28"/>
  <c r="AT269" s="1"/>
  <c r="AT268" s="1"/>
  <c r="AS28"/>
  <c r="AS269" s="1"/>
  <c r="AS268" s="1"/>
  <c r="AR28"/>
  <c r="AQ28"/>
  <c r="AQ269" s="1"/>
  <c r="AQ268" s="1"/>
  <c r="AP28"/>
  <c r="AP269" s="1"/>
  <c r="AP268" s="1"/>
  <c r="AO28"/>
  <c r="AO269" s="1"/>
  <c r="AO268" s="1"/>
  <c r="AN28"/>
  <c r="AN269" s="1"/>
  <c r="AN268" s="1"/>
  <c r="AM28"/>
  <c r="AM269" s="1"/>
  <c r="AM268" s="1"/>
  <c r="AL28"/>
  <c r="AL269" s="1"/>
  <c r="AL268" s="1"/>
  <c r="AK28"/>
  <c r="AJ28"/>
  <c r="AJ269" s="1"/>
  <c r="AJ268" s="1"/>
  <c r="AI28"/>
  <c r="AI269" s="1"/>
  <c r="AI268" s="1"/>
  <c r="AH28"/>
  <c r="AH269" s="1"/>
  <c r="AH268" s="1"/>
  <c r="AG28"/>
  <c r="AG269" s="1"/>
  <c r="AG268" s="1"/>
  <c r="AF28"/>
  <c r="AF269" s="1"/>
  <c r="AF268" s="1"/>
  <c r="AE28"/>
  <c r="AD28"/>
  <c r="AD269" s="1"/>
  <c r="AD268" s="1"/>
  <c r="AC28"/>
  <c r="AB28"/>
  <c r="AB269" s="1"/>
  <c r="AB268" s="1"/>
  <c r="AA28"/>
  <c r="AA269" s="1"/>
  <c r="AA268" s="1"/>
  <c r="Z28"/>
  <c r="Z269" s="1"/>
  <c r="Z268" s="1"/>
  <c r="Y28"/>
  <c r="X28"/>
  <c r="X269" s="1"/>
  <c r="X268" s="1"/>
  <c r="O28"/>
  <c r="O269" s="1"/>
  <c r="O268" s="1"/>
  <c r="N28"/>
  <c r="N269" s="1"/>
  <c r="N268" s="1"/>
  <c r="T28"/>
  <c r="T269" s="1"/>
  <c r="T268" s="1"/>
  <c r="S28"/>
  <c r="S269" s="1"/>
  <c r="S268" s="1"/>
  <c r="W28"/>
  <c r="W269" s="1"/>
  <c r="W268" s="1"/>
  <c r="V28"/>
  <c r="U28"/>
  <c r="U269" s="1"/>
  <c r="U268" s="1"/>
  <c r="Q28"/>
  <c r="Q269" s="1"/>
  <c r="Q268" s="1"/>
  <c r="P28"/>
  <c r="P269" s="1"/>
  <c r="P268" s="1"/>
  <c r="J28"/>
  <c r="R28"/>
  <c r="R269" s="1"/>
  <c r="R268" s="1"/>
  <c r="M28"/>
  <c r="M269" s="1"/>
  <c r="M268" s="1"/>
  <c r="L28"/>
  <c r="L269" s="1"/>
  <c r="L268" s="1"/>
  <c r="K28"/>
  <c r="K269" s="1"/>
  <c r="K268" s="1"/>
  <c r="I28"/>
  <c r="I269" s="1"/>
  <c r="I268" s="1"/>
  <c r="H28"/>
  <c r="H269" s="1"/>
  <c r="H268" s="1"/>
  <c r="G27"/>
  <c r="G106" s="1"/>
  <c r="F27"/>
  <c r="F97" s="1"/>
  <c r="E27"/>
  <c r="BI17"/>
  <c r="BH17"/>
  <c r="BH251" s="1"/>
  <c r="BG17"/>
  <c r="BG18" s="1"/>
  <c r="BF17"/>
  <c r="BE17"/>
  <c r="BE18" s="1"/>
  <c r="BE72" s="1"/>
  <c r="BD17"/>
  <c r="BD251" s="1"/>
  <c r="BC17"/>
  <c r="BC18" s="1"/>
  <c r="BC149" s="1"/>
  <c r="BB17"/>
  <c r="BA17"/>
  <c r="BA18" s="1"/>
  <c r="BA426" s="1"/>
  <c r="BA425" s="1"/>
  <c r="AZ17"/>
  <c r="AZ251" s="1"/>
  <c r="AY17"/>
  <c r="AY18" s="1"/>
  <c r="AY303" s="1"/>
  <c r="AX17"/>
  <c r="AW17"/>
  <c r="AW18" s="1"/>
  <c r="AV17"/>
  <c r="AV251" s="1"/>
  <c r="AU17"/>
  <c r="AU18" s="1"/>
  <c r="AT17"/>
  <c r="AS17"/>
  <c r="AR17"/>
  <c r="AR251" s="1"/>
  <c r="AQ17"/>
  <c r="AQ18" s="1"/>
  <c r="AP17"/>
  <c r="AO17"/>
  <c r="AO18" s="1"/>
  <c r="AN17"/>
  <c r="AN251" s="1"/>
  <c r="AM17"/>
  <c r="AM18" s="1"/>
  <c r="AL17"/>
  <c r="AK17"/>
  <c r="AK18" s="1"/>
  <c r="AJ17"/>
  <c r="AI17"/>
  <c r="AH17"/>
  <c r="AG17"/>
  <c r="AG18" s="1"/>
  <c r="AG303" s="1"/>
  <c r="AF17"/>
  <c r="AE17"/>
  <c r="AE18" s="1"/>
  <c r="AE149" s="1"/>
  <c r="AD17"/>
  <c r="AC17"/>
  <c r="AC18" s="1"/>
  <c r="AB17"/>
  <c r="AA17"/>
  <c r="AA18" s="1"/>
  <c r="Z17"/>
  <c r="Y17"/>
  <c r="Y18" s="1"/>
  <c r="X17"/>
  <c r="O17"/>
  <c r="O18" s="1"/>
  <c r="O149" s="1"/>
  <c r="N17"/>
  <c r="T17"/>
  <c r="T18" s="1"/>
  <c r="S17"/>
  <c r="W17"/>
  <c r="W18" s="1"/>
  <c r="V17"/>
  <c r="U17"/>
  <c r="U18" s="1"/>
  <c r="U72" s="1"/>
  <c r="Q17"/>
  <c r="P17"/>
  <c r="P18" s="1"/>
  <c r="J17"/>
  <c r="R17"/>
  <c r="M17"/>
  <c r="L17"/>
  <c r="L18" s="1"/>
  <c r="K17"/>
  <c r="I17"/>
  <c r="I18" s="1"/>
  <c r="I303" s="1"/>
  <c r="H17"/>
  <c r="G17"/>
  <c r="G398" s="1"/>
  <c r="F17"/>
  <c r="F355" s="1"/>
  <c r="E17"/>
  <c r="E425" s="1"/>
  <c r="D207"/>
  <c r="D43"/>
  <c r="C23" i="12" s="1"/>
  <c r="C95" s="1"/>
  <c r="C220" s="1"/>
  <c r="BI12" i="9"/>
  <c r="BH12"/>
  <c r="BG12"/>
  <c r="BF12"/>
  <c r="BE12"/>
  <c r="BD12"/>
  <c r="BI83" i="14"/>
  <c r="BH83"/>
  <c r="BG83"/>
  <c r="BF83"/>
  <c r="BE83"/>
  <c r="BD83"/>
  <c r="BI5"/>
  <c r="BG5"/>
  <c r="BD5"/>
  <c r="BI4"/>
  <c r="BH4"/>
  <c r="BG4"/>
  <c r="BD4"/>
  <c r="BI3"/>
  <c r="BF3"/>
  <c r="BE3"/>
  <c r="BD3"/>
  <c r="BI2"/>
  <c r="BH2"/>
  <c r="BH94" i="29" s="1"/>
  <c r="BG2" i="14"/>
  <c r="BG94" i="29" s="1"/>
  <c r="BF2" i="14"/>
  <c r="BF9" i="12" s="1"/>
  <c r="BE2" i="14"/>
  <c r="BE94" i="29" s="1"/>
  <c r="BD2" i="14"/>
  <c r="BD94" i="29" s="1"/>
  <c r="BI35" i="3"/>
  <c r="BI10" i="5" s="1"/>
  <c r="BI21"/>
  <c r="BH21"/>
  <c r="BG21"/>
  <c r="BF21"/>
  <c r="BE21"/>
  <c r="BD21"/>
  <c r="BI20"/>
  <c r="BI14" i="9" s="1"/>
  <c r="BI421" s="1"/>
  <c r="BH20" i="5"/>
  <c r="BH14" i="9" s="1"/>
  <c r="BH421" s="1"/>
  <c r="BG20" i="5"/>
  <c r="BG14" i="9" s="1"/>
  <c r="BG421" s="1"/>
  <c r="BF20" i="5"/>
  <c r="BF14" i="9" s="1"/>
  <c r="BE20" i="5"/>
  <c r="BE14" i="9" s="1"/>
  <c r="BE421" s="1"/>
  <c r="BD20" i="5"/>
  <c r="BD14" i="9" s="1"/>
  <c r="BD421" s="1"/>
  <c r="BI18" i="5"/>
  <c r="BH18"/>
  <c r="BG18"/>
  <c r="BF18"/>
  <c r="BE18"/>
  <c r="BI12"/>
  <c r="BF12"/>
  <c r="BE12"/>
  <c r="BD12"/>
  <c r="BI11"/>
  <c r="BH11"/>
  <c r="BH16" s="1"/>
  <c r="BG11"/>
  <c r="BG16" s="1"/>
  <c r="BG28" s="1"/>
  <c r="BG25" s="1"/>
  <c r="BG35" s="1"/>
  <c r="BG11" i="29" s="1"/>
  <c r="BF11" i="5"/>
  <c r="BE11"/>
  <c r="BD11"/>
  <c r="BD16" s="1"/>
  <c r="BG10"/>
  <c r="BI9"/>
  <c r="BH9"/>
  <c r="BG9"/>
  <c r="BF9"/>
  <c r="BE9"/>
  <c r="BD9"/>
  <c r="BI46" i="3"/>
  <c r="BI73" s="1"/>
  <c r="BF46"/>
  <c r="BE46"/>
  <c r="BD46"/>
  <c r="BD13" i="5" s="1"/>
  <c r="BG3" i="14"/>
  <c r="BH41" i="3"/>
  <c r="BH44" s="1"/>
  <c r="BH35"/>
  <c r="BH10" i="5" s="1"/>
  <c r="BH27" i="3"/>
  <c r="BH5" i="14" s="1"/>
  <c r="BH569" i="12"/>
  <c r="BF35" i="3"/>
  <c r="BF10" i="5" s="1"/>
  <c r="BF19" s="1"/>
  <c r="BF24" i="3"/>
  <c r="BF4" i="14" s="1"/>
  <c r="BE35" i="3"/>
  <c r="BE10" i="5" s="1"/>
  <c r="BE24" i="3"/>
  <c r="BE4" i="14" s="1"/>
  <c r="E20"/>
  <c r="E63" s="1"/>
  <c r="D52" i="9" s="1"/>
  <c r="E39" i="14"/>
  <c r="H24" i="11"/>
  <c r="BG575" i="12" s="1"/>
  <c r="BG577" s="1"/>
  <c r="H22" i="11"/>
  <c r="H575" i="12"/>
  <c r="H567"/>
  <c r="G542"/>
  <c r="F542"/>
  <c r="E542"/>
  <c r="G550"/>
  <c r="G539"/>
  <c r="F539"/>
  <c r="E539"/>
  <c r="J24" i="11"/>
  <c r="I25"/>
  <c r="I24"/>
  <c r="BB576" i="12" s="1"/>
  <c r="J22" i="11"/>
  <c r="J15"/>
  <c r="K4"/>
  <c r="J4"/>
  <c r="H494" i="12"/>
  <c r="I23" i="11"/>
  <c r="BH495" i="12" s="1"/>
  <c r="I22" i="11"/>
  <c r="G468" i="12"/>
  <c r="F468"/>
  <c r="E468"/>
  <c r="G477"/>
  <c r="G465"/>
  <c r="F465"/>
  <c r="E465"/>
  <c r="BC14" i="3"/>
  <c r="BB14"/>
  <c r="BB11" i="12" s="1"/>
  <c r="BA14" i="3"/>
  <c r="AY14"/>
  <c r="AY15" s="1"/>
  <c r="AY12" i="12" s="1"/>
  <c r="AX14" i="3"/>
  <c r="AW14"/>
  <c r="AW15" s="1"/>
  <c r="AW12" i="12" s="1"/>
  <c r="AV14" i="3"/>
  <c r="AU14"/>
  <c r="AU15" s="1"/>
  <c r="AU12" i="12" s="1"/>
  <c r="AT14" i="3"/>
  <c r="AS14"/>
  <c r="AS15" s="1"/>
  <c r="AS12" i="12" s="1"/>
  <c r="AR14" i="3"/>
  <c r="AQ14"/>
  <c r="AQ15" s="1"/>
  <c r="AQ12" i="12" s="1"/>
  <c r="AP14" i="3"/>
  <c r="AO14"/>
  <c r="AO15" s="1"/>
  <c r="AO12" i="12" s="1"/>
  <c r="BC12" i="9"/>
  <c r="BB12"/>
  <c r="BA12"/>
  <c r="AZ12"/>
  <c r="AY12"/>
  <c r="AX12"/>
  <c r="AW12"/>
  <c r="AV12"/>
  <c r="AU12"/>
  <c r="AT12"/>
  <c r="AS12"/>
  <c r="AR12"/>
  <c r="AQ12"/>
  <c r="AP12"/>
  <c r="AO12"/>
  <c r="AN12"/>
  <c r="AM12"/>
  <c r="AL12"/>
  <c r="AK12"/>
  <c r="AJ12"/>
  <c r="AI12"/>
  <c r="AH12"/>
  <c r="AG12"/>
  <c r="AF12"/>
  <c r="AE12"/>
  <c r="AD12"/>
  <c r="AC12"/>
  <c r="AB12"/>
  <c r="AA12"/>
  <c r="Z12"/>
  <c r="Y12"/>
  <c r="X12"/>
  <c r="BC83" i="14"/>
  <c r="BB83"/>
  <c r="BA83"/>
  <c r="AZ83"/>
  <c r="AY83"/>
  <c r="AX83"/>
  <c r="AW83"/>
  <c r="AV83"/>
  <c r="AU83"/>
  <c r="AT83"/>
  <c r="AS83"/>
  <c r="AR83"/>
  <c r="AQ83"/>
  <c r="AP83"/>
  <c r="AO83"/>
  <c r="AN83"/>
  <c r="AM83"/>
  <c r="AL83"/>
  <c r="AK83"/>
  <c r="AJ83"/>
  <c r="AI83"/>
  <c r="AH83"/>
  <c r="AG83"/>
  <c r="AF83"/>
  <c r="AE83"/>
  <c r="AD83"/>
  <c r="AC83"/>
  <c r="AB83"/>
  <c r="AA83"/>
  <c r="Z83"/>
  <c r="Y83"/>
  <c r="X83"/>
  <c r="BC3"/>
  <c r="BB3"/>
  <c r="BA3"/>
  <c r="AZ3"/>
  <c r="AY3"/>
  <c r="AW3"/>
  <c r="AV3"/>
  <c r="AU3"/>
  <c r="AT3"/>
  <c r="AS3"/>
  <c r="AR3"/>
  <c r="AQ3"/>
  <c r="AP3"/>
  <c r="AO3"/>
  <c r="AN3"/>
  <c r="AM3"/>
  <c r="AL3"/>
  <c r="AK3"/>
  <c r="AJ3"/>
  <c r="AI3"/>
  <c r="AH3"/>
  <c r="AG3"/>
  <c r="AF3"/>
  <c r="AE3"/>
  <c r="AD3"/>
  <c r="AC3"/>
  <c r="AB3"/>
  <c r="AA3"/>
  <c r="Z3"/>
  <c r="Y3"/>
  <c r="X3"/>
  <c r="BC2"/>
  <c r="BC94" i="29" s="1"/>
  <c r="BB2" i="14"/>
  <c r="BA2"/>
  <c r="BA94" i="29" s="1"/>
  <c r="AZ2" i="14"/>
  <c r="AY2"/>
  <c r="AY9" i="26" s="1"/>
  <c r="AY9" i="33" s="1"/>
  <c r="AX2" i="14"/>
  <c r="AW2"/>
  <c r="AV2"/>
  <c r="AU2"/>
  <c r="AU94" i="29" s="1"/>
  <c r="AT2" i="14"/>
  <c r="AS2"/>
  <c r="AS94" i="29" s="1"/>
  <c r="AR2" i="14"/>
  <c r="AQ2"/>
  <c r="AP2"/>
  <c r="AO2"/>
  <c r="AN2"/>
  <c r="AM2"/>
  <c r="AA2"/>
  <c r="Z2"/>
  <c r="Y2"/>
  <c r="X2"/>
  <c r="X94" i="29" s="1"/>
  <c r="BC21" i="5"/>
  <c r="BC20"/>
  <c r="BC14" i="9" s="1"/>
  <c r="BC18" i="5"/>
  <c r="BC12"/>
  <c r="BC11"/>
  <c r="BC10"/>
  <c r="BC9"/>
  <c r="BB21"/>
  <c r="BA21"/>
  <c r="BB20"/>
  <c r="BB14" i="9" s="1"/>
  <c r="BB421" s="1"/>
  <c r="BA20" i="5"/>
  <c r="BA14" i="9" s="1"/>
  <c r="BA421" s="1"/>
  <c r="BB18" i="5"/>
  <c r="BA18"/>
  <c r="BB12"/>
  <c r="BA12"/>
  <c r="BB11"/>
  <c r="BB16" s="1"/>
  <c r="BA11"/>
  <c r="BB10"/>
  <c r="BA10"/>
  <c r="BB9"/>
  <c r="BA9"/>
  <c r="AZ21"/>
  <c r="AY21"/>
  <c r="AX21"/>
  <c r="AW21"/>
  <c r="AV21"/>
  <c r="AU21"/>
  <c r="AT21"/>
  <c r="AS21"/>
  <c r="AR21"/>
  <c r="AQ21"/>
  <c r="AP21"/>
  <c r="AO21"/>
  <c r="AN21"/>
  <c r="AM21"/>
  <c r="AL21"/>
  <c r="AK21"/>
  <c r="AJ21"/>
  <c r="AI21"/>
  <c r="AH21"/>
  <c r="AG21"/>
  <c r="AF21"/>
  <c r="AE21"/>
  <c r="AD21"/>
  <c r="AC21"/>
  <c r="AB21"/>
  <c r="AA21"/>
  <c r="Z21"/>
  <c r="Y21"/>
  <c r="X21"/>
  <c r="AZ20"/>
  <c r="AZ14" i="9" s="1"/>
  <c r="AZ421" s="1"/>
  <c r="AY20" i="5"/>
  <c r="AY14" i="9" s="1"/>
  <c r="AY421" s="1"/>
  <c r="AX20" i="5"/>
  <c r="AX14" i="9" s="1"/>
  <c r="AX421" s="1"/>
  <c r="AW20" i="5"/>
  <c r="AW14" i="9" s="1"/>
  <c r="AW421" s="1"/>
  <c r="AV20" i="5"/>
  <c r="AV14" i="9" s="1"/>
  <c r="AV421" s="1"/>
  <c r="AU20" i="5"/>
  <c r="AU14" i="9" s="1"/>
  <c r="AT20" i="5"/>
  <c r="AT14" i="9" s="1"/>
  <c r="AT421" s="1"/>
  <c r="AS20" i="5"/>
  <c r="AS14" i="9" s="1"/>
  <c r="AS421" s="1"/>
  <c r="AR20" i="5"/>
  <c r="AR14" i="9" s="1"/>
  <c r="AR421" s="1"/>
  <c r="AQ20" i="5"/>
  <c r="AP20"/>
  <c r="AP14" i="9" s="1"/>
  <c r="AO20" i="5"/>
  <c r="AO14" i="9" s="1"/>
  <c r="AO421" s="1"/>
  <c r="AN20" i="5"/>
  <c r="AN14" i="9" s="1"/>
  <c r="AN421" s="1"/>
  <c r="AM20" i="5"/>
  <c r="AM14" i="9" s="1"/>
  <c r="AL20" i="5"/>
  <c r="AL14" i="9" s="1"/>
  <c r="AL421" s="1"/>
  <c r="AK20" i="5"/>
  <c r="AK14" i="9" s="1"/>
  <c r="AK421" s="1"/>
  <c r="AJ20" i="5"/>
  <c r="AJ14" i="9" s="1"/>
  <c r="AJ421" s="1"/>
  <c r="AI20" i="5"/>
  <c r="AI14" i="9" s="1"/>
  <c r="AI421" s="1"/>
  <c r="AH20" i="5"/>
  <c r="AH14" i="9" s="1"/>
  <c r="AH421" s="1"/>
  <c r="AG20" i="5"/>
  <c r="AG14" i="9" s="1"/>
  <c r="AF20" i="5"/>
  <c r="AF14" i="9" s="1"/>
  <c r="AF421" s="1"/>
  <c r="AE20" i="5"/>
  <c r="AE14" i="9" s="1"/>
  <c r="AE421" s="1"/>
  <c r="AD20" i="5"/>
  <c r="AD14" i="9" s="1"/>
  <c r="AD421" s="1"/>
  <c r="AC20" i="5"/>
  <c r="AC14" i="9" s="1"/>
  <c r="AC421" s="1"/>
  <c r="AB20" i="5"/>
  <c r="AB14" i="9" s="1"/>
  <c r="AB421" s="1"/>
  <c r="AA20" i="5"/>
  <c r="AA14" i="9" s="1"/>
  <c r="AA421" s="1"/>
  <c r="Z20" i="5"/>
  <c r="Z14" i="9" s="1"/>
  <c r="Z421" s="1"/>
  <c r="Y20" i="5"/>
  <c r="Y14" i="9" s="1"/>
  <c r="Y421" s="1"/>
  <c r="X20" i="5"/>
  <c r="X14" i="9" s="1"/>
  <c r="X421" s="1"/>
  <c r="AZ18" i="5"/>
  <c r="AY18"/>
  <c r="AX18"/>
  <c r="AW18"/>
  <c r="AV18"/>
  <c r="AU18"/>
  <c r="AT18"/>
  <c r="AS18"/>
  <c r="AR18"/>
  <c r="AQ18"/>
  <c r="AP18"/>
  <c r="AO18"/>
  <c r="AN18"/>
  <c r="AM18"/>
  <c r="AL18"/>
  <c r="AK18"/>
  <c r="AJ18"/>
  <c r="AI18"/>
  <c r="AH18"/>
  <c r="AG18"/>
  <c r="AF18"/>
  <c r="AE18"/>
  <c r="AD18"/>
  <c r="AC18"/>
  <c r="AB18"/>
  <c r="AA18"/>
  <c r="Z18"/>
  <c r="Y18"/>
  <c r="X18"/>
  <c r="AM13"/>
  <c r="AM17" s="1"/>
  <c r="AZ12"/>
  <c r="AY12"/>
  <c r="AW12"/>
  <c r="AV12"/>
  <c r="AU12"/>
  <c r="AT12"/>
  <c r="AS12"/>
  <c r="AR12"/>
  <c r="AQ12"/>
  <c r="AP12"/>
  <c r="AO12"/>
  <c r="AN12"/>
  <c r="AM12"/>
  <c r="AL12"/>
  <c r="AK12"/>
  <c r="AJ12"/>
  <c r="AI12"/>
  <c r="AH12"/>
  <c r="AG12"/>
  <c r="AF12"/>
  <c r="AE12"/>
  <c r="AD12"/>
  <c r="AC12"/>
  <c r="AB12"/>
  <c r="AA12"/>
  <c r="Z12"/>
  <c r="Y12"/>
  <c r="X12"/>
  <c r="AZ11"/>
  <c r="AZ16" s="1"/>
  <c r="AY11"/>
  <c r="AX11"/>
  <c r="AX16" s="1"/>
  <c r="AW11"/>
  <c r="AW16" s="1"/>
  <c r="AV11"/>
  <c r="AV16" s="1"/>
  <c r="AU11"/>
  <c r="AU16" s="1"/>
  <c r="AT11"/>
  <c r="AS11"/>
  <c r="AS16" s="1"/>
  <c r="AR11"/>
  <c r="AQ11"/>
  <c r="AP11"/>
  <c r="AO11"/>
  <c r="AO16" s="1"/>
  <c r="AN11"/>
  <c r="AN16" s="1"/>
  <c r="AM11"/>
  <c r="AM16" s="1"/>
  <c r="AL11"/>
  <c r="AL16" s="1"/>
  <c r="AK11"/>
  <c r="AK16" s="1"/>
  <c r="AJ11"/>
  <c r="AI11"/>
  <c r="AI16" s="1"/>
  <c r="AH11"/>
  <c r="AG11"/>
  <c r="AF11"/>
  <c r="AE11"/>
  <c r="AE16" s="1"/>
  <c r="AD11"/>
  <c r="AD16" s="1"/>
  <c r="AC11"/>
  <c r="AC16" s="1"/>
  <c r="AB11"/>
  <c r="AA11"/>
  <c r="AA16" s="1"/>
  <c r="Z11"/>
  <c r="Y11"/>
  <c r="Y16" s="1"/>
  <c r="X11"/>
  <c r="AZ10"/>
  <c r="AY10"/>
  <c r="AX10"/>
  <c r="AW10"/>
  <c r="AV10"/>
  <c r="AU10"/>
  <c r="AT10"/>
  <c r="AS10"/>
  <c r="AR10"/>
  <c r="AQ10"/>
  <c r="AP10"/>
  <c r="AO10"/>
  <c r="AN10"/>
  <c r="AZ9"/>
  <c r="AY9"/>
  <c r="AX9"/>
  <c r="AW9"/>
  <c r="AV9"/>
  <c r="AU9"/>
  <c r="AT9"/>
  <c r="AS9"/>
  <c r="AR9"/>
  <c r="AQ9"/>
  <c r="AP9"/>
  <c r="AO9"/>
  <c r="AN9"/>
  <c r="AM9"/>
  <c r="AA9"/>
  <c r="Z9"/>
  <c r="Y9"/>
  <c r="X9"/>
  <c r="O12" i="9"/>
  <c r="N12"/>
  <c r="T12"/>
  <c r="S12"/>
  <c r="W12"/>
  <c r="V12"/>
  <c r="U12"/>
  <c r="Q12"/>
  <c r="P12"/>
  <c r="J12"/>
  <c r="R12"/>
  <c r="M12"/>
  <c r="L12"/>
  <c r="K12"/>
  <c r="I12"/>
  <c r="H12"/>
  <c r="AN46" i="3"/>
  <c r="AN13" i="5" s="1"/>
  <c r="AN17" s="1"/>
  <c r="AN24" i="3"/>
  <c r="AN4" i="14" s="1"/>
  <c r="T9" i="3"/>
  <c r="T10" i="12" s="1"/>
  <c r="T496" s="1"/>
  <c r="S9" i="3"/>
  <c r="W9"/>
  <c r="V9"/>
  <c r="U9"/>
  <c r="AA9"/>
  <c r="AA10" i="12" s="1"/>
  <c r="AA496" s="1"/>
  <c r="Y9" i="3"/>
  <c r="Y10" i="12" s="1"/>
  <c r="T34" i="24"/>
  <c r="AD34" s="1"/>
  <c r="R34"/>
  <c r="Q34"/>
  <c r="V34" s="1"/>
  <c r="P34"/>
  <c r="O34"/>
  <c r="T33"/>
  <c r="AD33" s="1"/>
  <c r="R33"/>
  <c r="Q33"/>
  <c r="V33" s="1"/>
  <c r="P33"/>
  <c r="O33"/>
  <c r="T32"/>
  <c r="AD32"/>
  <c r="R32"/>
  <c r="Q32"/>
  <c r="V32" s="1"/>
  <c r="P32"/>
  <c r="O32"/>
  <c r="T31"/>
  <c r="AD31" s="1"/>
  <c r="R31"/>
  <c r="Q31"/>
  <c r="V31" s="1"/>
  <c r="P31"/>
  <c r="O31"/>
  <c r="T30"/>
  <c r="AD30"/>
  <c r="R30"/>
  <c r="Q30"/>
  <c r="V30" s="1"/>
  <c r="P30"/>
  <c r="O30"/>
  <c r="T29"/>
  <c r="AD29"/>
  <c r="R29"/>
  <c r="Q29"/>
  <c r="V29" s="1"/>
  <c r="P29"/>
  <c r="O29"/>
  <c r="T28"/>
  <c r="AD28" s="1"/>
  <c r="R28"/>
  <c r="Q28"/>
  <c r="V28" s="1"/>
  <c r="P28"/>
  <c r="O28"/>
  <c r="T27"/>
  <c r="AD27"/>
  <c r="R27"/>
  <c r="Q27"/>
  <c r="V27" s="1"/>
  <c r="P27"/>
  <c r="O27"/>
  <c r="T26"/>
  <c r="AD26" s="1"/>
  <c r="R26"/>
  <c r="Q26"/>
  <c r="V26" s="1"/>
  <c r="P26"/>
  <c r="O26"/>
  <c r="T25"/>
  <c r="X25" s="1"/>
  <c r="R25"/>
  <c r="Q25"/>
  <c r="V25" s="1"/>
  <c r="Y25" s="1"/>
  <c r="P25"/>
  <c r="O25"/>
  <c r="AD24"/>
  <c r="AA24"/>
  <c r="X24"/>
  <c r="V24"/>
  <c r="AE24" s="1"/>
  <c r="R24"/>
  <c r="Q24"/>
  <c r="P24"/>
  <c r="O24"/>
  <c r="M24"/>
  <c r="L24"/>
  <c r="K24"/>
  <c r="AD23"/>
  <c r="AA23"/>
  <c r="X23"/>
  <c r="V23"/>
  <c r="AE23"/>
  <c r="R23"/>
  <c r="Q23"/>
  <c r="P23"/>
  <c r="O23"/>
  <c r="M23"/>
  <c r="L23"/>
  <c r="K23"/>
  <c r="AD22"/>
  <c r="AA22"/>
  <c r="X22"/>
  <c r="V22"/>
  <c r="AE22"/>
  <c r="R22"/>
  <c r="Q22"/>
  <c r="P22"/>
  <c r="O22"/>
  <c r="AD21"/>
  <c r="AA21"/>
  <c r="X21"/>
  <c r="V21"/>
  <c r="AE21" s="1"/>
  <c r="R21"/>
  <c r="Q21"/>
  <c r="P21"/>
  <c r="O21"/>
  <c r="AD20"/>
  <c r="AA20"/>
  <c r="X20"/>
  <c r="V20"/>
  <c r="AE20"/>
  <c r="R20"/>
  <c r="Q20"/>
  <c r="P20"/>
  <c r="O20"/>
  <c r="M20"/>
  <c r="L20"/>
  <c r="K20"/>
  <c r="AD19"/>
  <c r="AA19"/>
  <c r="X19"/>
  <c r="V19"/>
  <c r="AE19"/>
  <c r="R19"/>
  <c r="Q19"/>
  <c r="P19"/>
  <c r="O19"/>
  <c r="AD18"/>
  <c r="AA18"/>
  <c r="X18"/>
  <c r="V18"/>
  <c r="AE18" s="1"/>
  <c r="R18"/>
  <c r="Q18"/>
  <c r="P18"/>
  <c r="O18"/>
  <c r="M18"/>
  <c r="L18"/>
  <c r="K18"/>
  <c r="AD17"/>
  <c r="AA17"/>
  <c r="X17"/>
  <c r="V17"/>
  <c r="AE17" s="1"/>
  <c r="R17"/>
  <c r="Q17"/>
  <c r="P17"/>
  <c r="O17"/>
  <c r="AA16"/>
  <c r="Y16"/>
  <c r="X16"/>
  <c r="R16"/>
  <c r="Q16"/>
  <c r="P16"/>
  <c r="O16"/>
  <c r="AD15"/>
  <c r="AA15"/>
  <c r="X15"/>
  <c r="V15"/>
  <c r="AE15" s="1"/>
  <c r="AD14"/>
  <c r="AA14"/>
  <c r="X14"/>
  <c r="V14"/>
  <c r="AE14"/>
  <c r="R14"/>
  <c r="Q14"/>
  <c r="P14"/>
  <c r="O14"/>
  <c r="M14"/>
  <c r="L14"/>
  <c r="K14"/>
  <c r="AA13"/>
  <c r="X13"/>
  <c r="V13"/>
  <c r="AB13" s="1"/>
  <c r="R13"/>
  <c r="Q13"/>
  <c r="P13"/>
  <c r="O13"/>
  <c r="AE12"/>
  <c r="AD12"/>
  <c r="AB12"/>
  <c r="AA12"/>
  <c r="Y12"/>
  <c r="X12"/>
  <c r="R12"/>
  <c r="Q12"/>
  <c r="P12"/>
  <c r="O12"/>
  <c r="AD11"/>
  <c r="AA11"/>
  <c r="X11"/>
  <c r="V11"/>
  <c r="AE11"/>
  <c r="R11"/>
  <c r="Q11"/>
  <c r="P11"/>
  <c r="O11"/>
  <c r="M11"/>
  <c r="L11"/>
  <c r="K11"/>
  <c r="AE10"/>
  <c r="AD10"/>
  <c r="AA10"/>
  <c r="X10"/>
  <c r="R10"/>
  <c r="Q10"/>
  <c r="P10"/>
  <c r="O10"/>
  <c r="M10"/>
  <c r="L10"/>
  <c r="K10"/>
  <c r="AD9"/>
  <c r="AA9"/>
  <c r="X9"/>
  <c r="V9"/>
  <c r="AE9" s="1"/>
  <c r="AE8"/>
  <c r="AD8"/>
  <c r="AB8"/>
  <c r="AA8"/>
  <c r="Y8"/>
  <c r="X8"/>
  <c r="R8"/>
  <c r="Q8"/>
  <c r="P8"/>
  <c r="O8"/>
  <c r="AE7"/>
  <c r="AD7"/>
  <c r="AB7"/>
  <c r="AA7"/>
  <c r="Y7"/>
  <c r="X7"/>
  <c r="R7"/>
  <c r="Q7"/>
  <c r="P7"/>
  <c r="O7"/>
  <c r="AD6"/>
  <c r="AA6"/>
  <c r="X6"/>
  <c r="V6"/>
  <c r="AE6"/>
  <c r="R6"/>
  <c r="Q6"/>
  <c r="P6"/>
  <c r="O6"/>
  <c r="M6"/>
  <c r="L6"/>
  <c r="K6"/>
  <c r="AL6" i="3"/>
  <c r="AK6"/>
  <c r="AJ6"/>
  <c r="AI6"/>
  <c r="Y3" i="30" s="1"/>
  <c r="AH6" i="3"/>
  <c r="AG6"/>
  <c r="AF6"/>
  <c r="AE6"/>
  <c r="AB3" i="30" s="1"/>
  <c r="AD6" i="3"/>
  <c r="AC6"/>
  <c r="AB6"/>
  <c r="AA54"/>
  <c r="Z54"/>
  <c r="Y54"/>
  <c r="X54"/>
  <c r="X9" s="1"/>
  <c r="X10" i="12" s="1"/>
  <c r="AA35" i="3"/>
  <c r="AA10" i="5" s="1"/>
  <c r="Z35" i="3"/>
  <c r="Z10" i="5" s="1"/>
  <c r="Y35" i="3"/>
  <c r="Y10" i="5" s="1"/>
  <c r="AL35" i="3"/>
  <c r="AL10" i="5" s="1"/>
  <c r="AK35" i="3"/>
  <c r="AK10" i="5" s="1"/>
  <c r="AJ35" i="3"/>
  <c r="AJ10" i="5" s="1"/>
  <c r="AI35" i="3"/>
  <c r="AI10" i="5" s="1"/>
  <c r="AH35" i="3"/>
  <c r="AH10" i="5" s="1"/>
  <c r="AG35" i="3"/>
  <c r="AG10" i="5" s="1"/>
  <c r="AF35" i="3"/>
  <c r="AF10" i="5" s="1"/>
  <c r="AE35" i="3"/>
  <c r="AE10" i="5" s="1"/>
  <c r="AD35" i="3"/>
  <c r="AD10" i="5" s="1"/>
  <c r="AC35" i="3"/>
  <c r="AC10" i="5" s="1"/>
  <c r="AB35" i="3"/>
  <c r="AB10" i="5" s="1"/>
  <c r="X10"/>
  <c r="AA24" i="3"/>
  <c r="Z24"/>
  <c r="Z4" i="14" s="1"/>
  <c r="Y24" i="3"/>
  <c r="X24"/>
  <c r="X4" i="14" s="1"/>
  <c r="BC24" i="3"/>
  <c r="BB24"/>
  <c r="BB27" s="1"/>
  <c r="BB5" i="14" s="1"/>
  <c r="BA24" i="3"/>
  <c r="BA27" s="1"/>
  <c r="BA5" i="14" s="1"/>
  <c r="AZ24" i="3"/>
  <c r="AZ27" s="1"/>
  <c r="AZ5" i="14" s="1"/>
  <c r="AY24" i="3"/>
  <c r="AY27" s="1"/>
  <c r="AY5" i="14" s="1"/>
  <c r="AX24" i="3"/>
  <c r="AW24"/>
  <c r="AW27" s="1"/>
  <c r="AW5" i="14" s="1"/>
  <c r="AV24" i="3"/>
  <c r="AV27" s="1"/>
  <c r="AV5" i="14" s="1"/>
  <c r="AU24" i="3"/>
  <c r="AU27" s="1"/>
  <c r="AU5" i="14" s="1"/>
  <c r="AT24" i="3"/>
  <c r="AS24"/>
  <c r="AS27" s="1"/>
  <c r="AS5" i="14" s="1"/>
  <c r="AR24" i="3"/>
  <c r="AR27" s="1"/>
  <c r="AR5" i="14" s="1"/>
  <c r="AQ24" i="3"/>
  <c r="AP24"/>
  <c r="AP27" s="1"/>
  <c r="AP5" i="14" s="1"/>
  <c r="AO24" i="3"/>
  <c r="AO27" s="1"/>
  <c r="AO5" i="14" s="1"/>
  <c r="AM24" i="3"/>
  <c r="AM27" s="1"/>
  <c r="AM5" i="14" s="1"/>
  <c r="AL24" i="3"/>
  <c r="AK24"/>
  <c r="AK27" s="1"/>
  <c r="AK5" i="14" s="1"/>
  <c r="AJ24" i="3"/>
  <c r="AJ27" s="1"/>
  <c r="AJ5" i="14" s="1"/>
  <c r="AI24" i="3"/>
  <c r="AI27" s="1"/>
  <c r="AI5" i="14" s="1"/>
  <c r="AH24" i="3"/>
  <c r="AH27" s="1"/>
  <c r="AH5" i="14" s="1"/>
  <c r="AG24" i="3"/>
  <c r="AF24"/>
  <c r="AF27" s="1"/>
  <c r="AF5" i="14" s="1"/>
  <c r="AE24" i="3"/>
  <c r="AE27" s="1"/>
  <c r="AE5" i="14" s="1"/>
  <c r="AD24" i="3"/>
  <c r="AD27" s="1"/>
  <c r="AD5" i="14" s="1"/>
  <c r="AC24" i="3"/>
  <c r="AB24"/>
  <c r="AB27" s="1"/>
  <c r="AB5" i="14" s="1"/>
  <c r="Z27" i="3"/>
  <c r="Z5" i="14" s="1"/>
  <c r="X27" i="3"/>
  <c r="X5" i="14" s="1"/>
  <c r="BC46" i="3"/>
  <c r="BC13" i="5" s="1"/>
  <c r="BC17" s="1"/>
  <c r="BB46" i="3"/>
  <c r="BB13" i="5" s="1"/>
  <c r="BB17" s="1"/>
  <c r="BA46" i="3"/>
  <c r="AZ46"/>
  <c r="AY46"/>
  <c r="AY13" i="5" s="1"/>
  <c r="AY17" s="1"/>
  <c r="AW46" i="3"/>
  <c r="AW13" i="5" s="1"/>
  <c r="AV46" i="3"/>
  <c r="AU46"/>
  <c r="AU13" i="5" s="1"/>
  <c r="AU17" s="1"/>
  <c r="AT46" i="3"/>
  <c r="AT13" i="5" s="1"/>
  <c r="AT17" s="1"/>
  <c r="AS46" i="3"/>
  <c r="AS13" i="5" s="1"/>
  <c r="AS17" s="1"/>
  <c r="AR46" i="3"/>
  <c r="AQ46"/>
  <c r="AQ13" i="5" s="1"/>
  <c r="AQ17" s="1"/>
  <c r="AP46" i="3"/>
  <c r="AP13" i="5" s="1"/>
  <c r="AP17" s="1"/>
  <c r="AO46" i="3"/>
  <c r="AO13" i="5" s="1"/>
  <c r="AO17" s="1"/>
  <c r="AL46" i="3"/>
  <c r="AL13" i="5" s="1"/>
  <c r="AL17" s="1"/>
  <c r="AK46" i="3"/>
  <c r="AK13" i="5" s="1"/>
  <c r="AK17" s="1"/>
  <c r="AJ46" i="3"/>
  <c r="AJ13" i="5" s="1"/>
  <c r="AJ17" s="1"/>
  <c r="AI46" i="3"/>
  <c r="AI13" i="5" s="1"/>
  <c r="AI17" s="1"/>
  <c r="AH46" i="3"/>
  <c r="AG46"/>
  <c r="AG13" i="5" s="1"/>
  <c r="AG17" s="1"/>
  <c r="AF46" i="3"/>
  <c r="AF13" i="5" s="1"/>
  <c r="AF17" s="1"/>
  <c r="AE46" i="3"/>
  <c r="AE13" i="5" s="1"/>
  <c r="AE17" s="1"/>
  <c r="AD46" i="3"/>
  <c r="AD13" i="5" s="1"/>
  <c r="AD17" s="1"/>
  <c r="AC46" i="3"/>
  <c r="AC13" i="5" s="1"/>
  <c r="AC17" s="1"/>
  <c r="AB46" i="3"/>
  <c r="AA46"/>
  <c r="Z46"/>
  <c r="Z13" i="5" s="1"/>
  <c r="Y46" i="3"/>
  <c r="Y13" i="5" s="1"/>
  <c r="Y17" s="1"/>
  <c r="X46" i="3"/>
  <c r="X13" i="5" s="1"/>
  <c r="X17" s="1"/>
  <c r="AX44" i="3"/>
  <c r="G9" i="12"/>
  <c r="F9"/>
  <c r="F9" i="9"/>
  <c r="G9"/>
  <c r="T12" i="5"/>
  <c r="S12"/>
  <c r="U12"/>
  <c r="O11"/>
  <c r="O16" s="1"/>
  <c r="N11"/>
  <c r="T11"/>
  <c r="T16" s="1"/>
  <c r="S11"/>
  <c r="S16" s="1"/>
  <c r="W11"/>
  <c r="W16" s="1"/>
  <c r="V11"/>
  <c r="V16" s="1"/>
  <c r="U11"/>
  <c r="U16" s="1"/>
  <c r="Q11"/>
  <c r="P11"/>
  <c r="P16" s="1"/>
  <c r="J11"/>
  <c r="R11"/>
  <c r="R16" s="1"/>
  <c r="M11"/>
  <c r="L11"/>
  <c r="L16" s="1"/>
  <c r="K11"/>
  <c r="I11"/>
  <c r="I16" s="1"/>
  <c r="O9"/>
  <c r="N9"/>
  <c r="T9"/>
  <c r="S9"/>
  <c r="W9"/>
  <c r="V9"/>
  <c r="U9"/>
  <c r="Q9"/>
  <c r="P9"/>
  <c r="J9"/>
  <c r="R9"/>
  <c r="M9"/>
  <c r="L9"/>
  <c r="K9"/>
  <c r="I9"/>
  <c r="H9"/>
  <c r="M46" i="3"/>
  <c r="M13" i="5" s="1"/>
  <c r="M17" s="1"/>
  <c r="M10"/>
  <c r="M5" i="14"/>
  <c r="M4"/>
  <c r="R46" i="3"/>
  <c r="R10" i="5"/>
  <c r="T3" i="14"/>
  <c r="S3"/>
  <c r="U3"/>
  <c r="O2"/>
  <c r="N2"/>
  <c r="N9" i="9" s="1"/>
  <c r="T2" i="14"/>
  <c r="T94" i="29" s="1"/>
  <c r="S2" i="14"/>
  <c r="W2"/>
  <c r="V2"/>
  <c r="V94" i="29" s="1"/>
  <c r="U2" i="14"/>
  <c r="U9" i="12" s="1"/>
  <c r="Q2" i="14"/>
  <c r="Q94" i="29" s="1"/>
  <c r="P2" i="14"/>
  <c r="P9" i="9" s="1"/>
  <c r="J2" i="14"/>
  <c r="R2"/>
  <c r="M2"/>
  <c r="M94" i="29" s="1"/>
  <c r="L2" i="14"/>
  <c r="K2"/>
  <c r="K94" i="29" s="1"/>
  <c r="I2" i="14"/>
  <c r="I9" i="9" s="1"/>
  <c r="H2" i="14"/>
  <c r="H94" i="29" s="1"/>
  <c r="O46" i="3"/>
  <c r="O10" i="5"/>
  <c r="O5" i="14"/>
  <c r="O4"/>
  <c r="T46" i="3"/>
  <c r="T13" i="5" s="1"/>
  <c r="T17" s="1"/>
  <c r="T10"/>
  <c r="T5" i="14"/>
  <c r="T4"/>
  <c r="V10" i="5"/>
  <c r="V5" i="14"/>
  <c r="V75" i="3"/>
  <c r="Q46"/>
  <c r="Q10" i="5"/>
  <c r="Q5" i="14"/>
  <c r="Q4"/>
  <c r="I35" i="3"/>
  <c r="I24"/>
  <c r="I75"/>
  <c r="D21" i="5"/>
  <c r="I83" i="14"/>
  <c r="I20" i="5"/>
  <c r="I14" i="9" s="1"/>
  <c r="I421" s="1"/>
  <c r="I18" i="5"/>
  <c r="O20"/>
  <c r="N20"/>
  <c r="T20"/>
  <c r="S20"/>
  <c r="W20"/>
  <c r="V20"/>
  <c r="U20"/>
  <c r="P20"/>
  <c r="J20"/>
  <c r="R20"/>
  <c r="R14" i="9" s="1"/>
  <c r="R421" s="1"/>
  <c r="M20" i="5"/>
  <c r="L20"/>
  <c r="K20"/>
  <c r="H20"/>
  <c r="O18"/>
  <c r="N18"/>
  <c r="T18"/>
  <c r="S18"/>
  <c r="W18"/>
  <c r="V18"/>
  <c r="U18"/>
  <c r="P18"/>
  <c r="J18"/>
  <c r="R18"/>
  <c r="M18"/>
  <c r="L18"/>
  <c r="K18"/>
  <c r="H18"/>
  <c r="G14" i="9"/>
  <c r="G421" s="1"/>
  <c r="F14"/>
  <c r="F421" s="1"/>
  <c r="E14"/>
  <c r="E421" s="1"/>
  <c r="E13"/>
  <c r="E420" s="1"/>
  <c r="G13"/>
  <c r="G420" s="1"/>
  <c r="F13"/>
  <c r="F420" s="1"/>
  <c r="G304"/>
  <c r="H11" i="5"/>
  <c r="K16"/>
  <c r="G13"/>
  <c r="Q18"/>
  <c r="Q20"/>
  <c r="F4" i="14"/>
  <c r="G4"/>
  <c r="E5"/>
  <c r="F5"/>
  <c r="G5"/>
  <c r="E8"/>
  <c r="F8"/>
  <c r="G8"/>
  <c r="E9"/>
  <c r="F9"/>
  <c r="G9"/>
  <c r="G10"/>
  <c r="E14"/>
  <c r="E114" s="1"/>
  <c r="E15"/>
  <c r="F15"/>
  <c r="G15"/>
  <c r="E16"/>
  <c r="F16"/>
  <c r="G16"/>
  <c r="G17"/>
  <c r="E21"/>
  <c r="F21"/>
  <c r="G21"/>
  <c r="E22"/>
  <c r="F22"/>
  <c r="G22"/>
  <c r="G23"/>
  <c r="E44"/>
  <c r="E45"/>
  <c r="F45"/>
  <c r="G45"/>
  <c r="E46"/>
  <c r="F46"/>
  <c r="G46"/>
  <c r="G47"/>
  <c r="E50"/>
  <c r="E51"/>
  <c r="F51"/>
  <c r="G51"/>
  <c r="E52"/>
  <c r="F52"/>
  <c r="G52"/>
  <c r="G53"/>
  <c r="E56"/>
  <c r="E57"/>
  <c r="F57"/>
  <c r="G57"/>
  <c r="E58"/>
  <c r="F58"/>
  <c r="G58"/>
  <c r="G59"/>
  <c r="H83"/>
  <c r="K83"/>
  <c r="L83"/>
  <c r="M83"/>
  <c r="R83"/>
  <c r="J83"/>
  <c r="P83"/>
  <c r="Q83"/>
  <c r="U83"/>
  <c r="V83"/>
  <c r="W83"/>
  <c r="S83"/>
  <c r="T83"/>
  <c r="N83"/>
  <c r="O83"/>
  <c r="G85"/>
  <c r="E122"/>
  <c r="D214" i="9" s="1"/>
  <c r="D421" s="1"/>
  <c r="E127" i="14"/>
  <c r="G138"/>
  <c r="G45" i="9"/>
  <c r="E212"/>
  <c r="F212"/>
  <c r="G212"/>
  <c r="E10" i="12"/>
  <c r="F10"/>
  <c r="E11"/>
  <c r="F11"/>
  <c r="G11"/>
  <c r="E12"/>
  <c r="F12"/>
  <c r="G12"/>
  <c r="I6" i="11"/>
  <c r="H7"/>
  <c r="H8"/>
  <c r="BF130" i="12" s="1"/>
  <c r="BF132" s="1"/>
  <c r="H15" i="11"/>
  <c r="H16"/>
  <c r="BG396" i="12" s="1"/>
  <c r="BG398" s="1"/>
  <c r="I17" i="11"/>
  <c r="I18"/>
  <c r="I19"/>
  <c r="I20"/>
  <c r="I21"/>
  <c r="I12" i="4"/>
  <c r="J12" s="1"/>
  <c r="I13"/>
  <c r="J13" s="1"/>
  <c r="K13"/>
  <c r="I31"/>
  <c r="J31" s="1"/>
  <c r="K31"/>
  <c r="BI16" i="14" s="1"/>
  <c r="G15" i="4"/>
  <c r="I21" i="5"/>
  <c r="H17" i="4"/>
  <c r="I17" s="1"/>
  <c r="J17" s="1"/>
  <c r="I14"/>
  <c r="J14"/>
  <c r="G18"/>
  <c r="H18"/>
  <c r="H19"/>
  <c r="I19"/>
  <c r="J19" s="1"/>
  <c r="H20"/>
  <c r="H21"/>
  <c r="I21" s="1"/>
  <c r="J21" s="1"/>
  <c r="J22"/>
  <c r="K22"/>
  <c r="H23"/>
  <c r="J23"/>
  <c r="K23"/>
  <c r="I24"/>
  <c r="J24" s="1"/>
  <c r="K24"/>
  <c r="H75" i="3"/>
  <c r="W75"/>
  <c r="H24"/>
  <c r="K4" i="14"/>
  <c r="L24" i="3"/>
  <c r="L4" i="14" s="1"/>
  <c r="J24" i="3"/>
  <c r="J4" i="14" s="1"/>
  <c r="P24" i="3"/>
  <c r="P4" i="14" s="1"/>
  <c r="U24" i="3"/>
  <c r="U4" i="14" s="1"/>
  <c r="S24" i="3"/>
  <c r="S4" i="14" s="1"/>
  <c r="N24" i="3"/>
  <c r="N4" i="14" s="1"/>
  <c r="K27" i="3"/>
  <c r="K5" i="14" s="1"/>
  <c r="L27" i="3"/>
  <c r="L5" i="14" s="1"/>
  <c r="P27" i="3"/>
  <c r="P5" i="14" s="1"/>
  <c r="U27" i="3"/>
  <c r="U5" i="14" s="1"/>
  <c r="S27" i="3"/>
  <c r="S5" i="14" s="1"/>
  <c r="N27" i="3"/>
  <c r="N5" i="14" s="1"/>
  <c r="H35" i="3"/>
  <c r="K10" i="5"/>
  <c r="L10"/>
  <c r="J35" i="3"/>
  <c r="P10" i="5"/>
  <c r="U10"/>
  <c r="W10"/>
  <c r="S10"/>
  <c r="N10"/>
  <c r="H46" i="3"/>
  <c r="K12" i="5"/>
  <c r="L3" i="14"/>
  <c r="J3"/>
  <c r="N3"/>
  <c r="U46" i="3"/>
  <c r="U13" i="5" s="1"/>
  <c r="S46" i="3"/>
  <c r="S13" i="5" s="1"/>
  <c r="S17" s="1"/>
  <c r="H51" i="10"/>
  <c r="K15" i="11" s="1"/>
  <c r="I15" i="10"/>
  <c r="J15"/>
  <c r="I16"/>
  <c r="J16"/>
  <c r="J17"/>
  <c r="I18"/>
  <c r="J18"/>
  <c r="I19"/>
  <c r="J19"/>
  <c r="J20"/>
  <c r="I21"/>
  <c r="J21"/>
  <c r="J25"/>
  <c r="J27"/>
  <c r="I28"/>
  <c r="BI41" i="12" s="1"/>
  <c r="I37" i="10"/>
  <c r="H39" s="1"/>
  <c r="I38"/>
  <c r="H40" s="1"/>
  <c r="H42"/>
  <c r="H43"/>
  <c r="H44"/>
  <c r="H59"/>
  <c r="H64" s="1"/>
  <c r="N12" i="4"/>
  <c r="K21" i="5"/>
  <c r="M21"/>
  <c r="J21"/>
  <c r="U21"/>
  <c r="W21"/>
  <c r="T21"/>
  <c r="O21"/>
  <c r="H21"/>
  <c r="L21"/>
  <c r="R21"/>
  <c r="P21"/>
  <c r="V21"/>
  <c r="S21"/>
  <c r="N21"/>
  <c r="Q21"/>
  <c r="I15" i="4"/>
  <c r="K15"/>
  <c r="BI46" i="14" s="1"/>
  <c r="N15" i="4"/>
  <c r="L16" i="14"/>
  <c r="W16"/>
  <c r="O16"/>
  <c r="J16"/>
  <c r="N16"/>
  <c r="Q16"/>
  <c r="K21" i="4"/>
  <c r="BH58" i="14" s="1"/>
  <c r="K17" i="4"/>
  <c r="H3" i="14"/>
  <c r="S22" i="5"/>
  <c r="P22"/>
  <c r="L22"/>
  <c r="I22"/>
  <c r="T22"/>
  <c r="U22"/>
  <c r="M22"/>
  <c r="K58" i="14"/>
  <c r="J58"/>
  <c r="V58"/>
  <c r="N58"/>
  <c r="R58"/>
  <c r="T58"/>
  <c r="P58"/>
  <c r="O58"/>
  <c r="K46"/>
  <c r="M46"/>
  <c r="J46"/>
  <c r="Q46"/>
  <c r="V46"/>
  <c r="S46"/>
  <c r="N46"/>
  <c r="L46"/>
  <c r="P46"/>
  <c r="W46"/>
  <c r="O46"/>
  <c r="H46"/>
  <c r="R46"/>
  <c r="U46"/>
  <c r="T46"/>
  <c r="Q22" i="5"/>
  <c r="J15" i="4"/>
  <c r="N45" i="14" s="1"/>
  <c r="H16" i="5"/>
  <c r="Y16" i="14"/>
  <c r="AA16"/>
  <c r="AC16"/>
  <c r="AE16"/>
  <c r="AG16"/>
  <c r="AI16"/>
  <c r="AK16"/>
  <c r="AM16"/>
  <c r="AN16"/>
  <c r="AP16"/>
  <c r="AR16"/>
  <c r="AT16"/>
  <c r="AV16"/>
  <c r="AX16"/>
  <c r="AZ16"/>
  <c r="BB16"/>
  <c r="X16"/>
  <c r="Z16"/>
  <c r="AB16"/>
  <c r="AD16"/>
  <c r="AF16"/>
  <c r="AH16"/>
  <c r="AJ16"/>
  <c r="AL16"/>
  <c r="AO16"/>
  <c r="AQ16"/>
  <c r="AS16"/>
  <c r="AU16"/>
  <c r="AW16"/>
  <c r="AY16"/>
  <c r="BA16"/>
  <c r="AB9" i="5"/>
  <c r="AD9"/>
  <c r="AF9"/>
  <c r="AH9"/>
  <c r="AJ9"/>
  <c r="AL9"/>
  <c r="AC9"/>
  <c r="AG9"/>
  <c r="AK9"/>
  <c r="AB4" i="14"/>
  <c r="AD4"/>
  <c r="AF4"/>
  <c r="AH4"/>
  <c r="AJ4"/>
  <c r="AO4"/>
  <c r="AS4"/>
  <c r="AU4"/>
  <c r="AW4"/>
  <c r="AY4"/>
  <c r="BA4"/>
  <c r="AW9" i="9"/>
  <c r="AX9"/>
  <c r="AN27" i="3"/>
  <c r="AN5" i="14" s="1"/>
  <c r="AE4"/>
  <c r="AI4"/>
  <c r="AK4"/>
  <c r="AM4"/>
  <c r="AP4"/>
  <c r="AR4"/>
  <c r="AZ4"/>
  <c r="BB4"/>
  <c r="Y9" i="9"/>
  <c r="AN9"/>
  <c r="AR9"/>
  <c r="AV9"/>
  <c r="AQ16" i="5"/>
  <c r="AY16"/>
  <c r="AG16"/>
  <c r="K3" i="14"/>
  <c r="Q3"/>
  <c r="M12" i="5"/>
  <c r="P46" i="3"/>
  <c r="V4" i="14"/>
  <c r="R12" i="5"/>
  <c r="O12"/>
  <c r="Y9" i="24"/>
  <c r="AB9"/>
  <c r="Y13"/>
  <c r="Y14"/>
  <c r="AB14"/>
  <c r="Y19"/>
  <c r="AB19"/>
  <c r="Y20"/>
  <c r="AB20"/>
  <c r="Y22"/>
  <c r="AB22"/>
  <c r="Y23"/>
  <c r="AB23"/>
  <c r="Y24"/>
  <c r="AB24"/>
  <c r="Y6"/>
  <c r="AB6"/>
  <c r="Y11"/>
  <c r="AB11"/>
  <c r="Y15"/>
  <c r="AB15"/>
  <c r="Y17"/>
  <c r="AB17"/>
  <c r="Y18"/>
  <c r="AB18"/>
  <c r="Y21"/>
  <c r="AB21"/>
  <c r="X26"/>
  <c r="AA26"/>
  <c r="X27"/>
  <c r="AA27"/>
  <c r="X28"/>
  <c r="AA28"/>
  <c r="X29"/>
  <c r="AA29"/>
  <c r="X30"/>
  <c r="AA30"/>
  <c r="X31"/>
  <c r="AA31"/>
  <c r="X32"/>
  <c r="AA32"/>
  <c r="X33"/>
  <c r="AA33"/>
  <c r="X34"/>
  <c r="AA34"/>
  <c r="J14" i="9"/>
  <c r="J421" s="1"/>
  <c r="V14"/>
  <c r="V421" s="1"/>
  <c r="H396" i="12"/>
  <c r="H388"/>
  <c r="H77"/>
  <c r="H68"/>
  <c r="H495"/>
  <c r="H502"/>
  <c r="H503"/>
  <c r="H52" i="10"/>
  <c r="I375" i="12" s="1"/>
  <c r="H576"/>
  <c r="L45" i="14"/>
  <c r="R45"/>
  <c r="X22" i="5"/>
  <c r="Z22"/>
  <c r="AB22"/>
  <c r="AD22"/>
  <c r="AF22"/>
  <c r="AH22"/>
  <c r="AJ22"/>
  <c r="AL22"/>
  <c r="AO22"/>
  <c r="AQ22"/>
  <c r="AS22"/>
  <c r="AU22"/>
  <c r="AW22"/>
  <c r="AY22"/>
  <c r="BB22"/>
  <c r="BC22"/>
  <c r="AD45" i="14"/>
  <c r="AL45"/>
  <c r="AU45"/>
  <c r="BC45"/>
  <c r="X46"/>
  <c r="Z46"/>
  <c r="AB46"/>
  <c r="AD46"/>
  <c r="AF46"/>
  <c r="AH46"/>
  <c r="AJ46"/>
  <c r="AL46"/>
  <c r="AO46"/>
  <c r="AQ46"/>
  <c r="AS46"/>
  <c r="AU46"/>
  <c r="AW46"/>
  <c r="AY46"/>
  <c r="BA46"/>
  <c r="BC46"/>
  <c r="M45"/>
  <c r="I46"/>
  <c r="Y22" i="5"/>
  <c r="AA22"/>
  <c r="AC22"/>
  <c r="AE22"/>
  <c r="AG22"/>
  <c r="AI22"/>
  <c r="AK22"/>
  <c r="AM22"/>
  <c r="AN22"/>
  <c r="AP22"/>
  <c r="AR22"/>
  <c r="AT22"/>
  <c r="AV22"/>
  <c r="AX22"/>
  <c r="AZ22"/>
  <c r="BA22"/>
  <c r="AA45" i="14"/>
  <c r="AI45"/>
  <c r="AP45"/>
  <c r="AX45"/>
  <c r="Y46"/>
  <c r="AA46"/>
  <c r="AC46"/>
  <c r="AE46"/>
  <c r="AG46"/>
  <c r="AI46"/>
  <c r="AK46"/>
  <c r="AM46"/>
  <c r="AN46"/>
  <c r="AP46"/>
  <c r="AR46"/>
  <c r="AT46"/>
  <c r="AV46"/>
  <c r="AX46"/>
  <c r="AZ46"/>
  <c r="R3"/>
  <c r="P45"/>
  <c r="K19" i="4"/>
  <c r="Y58" i="14"/>
  <c r="AA58"/>
  <c r="AC58"/>
  <c r="AE58"/>
  <c r="AG58"/>
  <c r="AI58"/>
  <c r="AK58"/>
  <c r="AM58"/>
  <c r="AN58"/>
  <c r="AP58"/>
  <c r="AR58"/>
  <c r="AT58"/>
  <c r="AV58"/>
  <c r="AX58"/>
  <c r="AZ58"/>
  <c r="BB58"/>
  <c r="I58"/>
  <c r="X58"/>
  <c r="Z58"/>
  <c r="AB58"/>
  <c r="AD58"/>
  <c r="AF58"/>
  <c r="AH58"/>
  <c r="AJ58"/>
  <c r="AL58"/>
  <c r="AO58"/>
  <c r="AQ58"/>
  <c r="AS58"/>
  <c r="AU58"/>
  <c r="AW58"/>
  <c r="AY58"/>
  <c r="BA58"/>
  <c r="J46" i="3"/>
  <c r="J13" i="5" s="1"/>
  <c r="K46" i="3"/>
  <c r="J28" i="10"/>
  <c r="BH48" i="12" s="1"/>
  <c r="H60" i="10"/>
  <c r="BH468" i="12" s="1"/>
  <c r="K22" i="11"/>
  <c r="BG24" i="5"/>
  <c r="BG38" s="1"/>
  <c r="M3" i="14"/>
  <c r="H468" i="12"/>
  <c r="BF9" i="26"/>
  <c r="BF9" i="33" s="1"/>
  <c r="T9" i="12"/>
  <c r="BG9"/>
  <c r="L569"/>
  <c r="AF577"/>
  <c r="AF398"/>
  <c r="AL504"/>
  <c r="AO577"/>
  <c r="AQ504"/>
  <c r="AS398"/>
  <c r="AW577"/>
  <c r="AY504"/>
  <c r="BA398"/>
  <c r="AE70"/>
  <c r="AP70"/>
  <c r="AR70"/>
  <c r="AT70"/>
  <c r="AV70"/>
  <c r="AX70"/>
  <c r="AZ70"/>
  <c r="BB70"/>
  <c r="M496"/>
  <c r="N496"/>
  <c r="AC496"/>
  <c r="AE569"/>
  <c r="AE398"/>
  <c r="AE496"/>
  <c r="AG496"/>
  <c r="AI496"/>
  <c r="AK496"/>
  <c r="AM569"/>
  <c r="AM398"/>
  <c r="AM496"/>
  <c r="AN569"/>
  <c r="AN496"/>
  <c r="AP577"/>
  <c r="AP569"/>
  <c r="AP504"/>
  <c r="AP398"/>
  <c r="AP390"/>
  <c r="AP496"/>
  <c r="AR577"/>
  <c r="AR569"/>
  <c r="AR504"/>
  <c r="AR398"/>
  <c r="AR390"/>
  <c r="AR496"/>
  <c r="AT577"/>
  <c r="AT569"/>
  <c r="AT504"/>
  <c r="AT398"/>
  <c r="AT390"/>
  <c r="AT496"/>
  <c r="AV577"/>
  <c r="AV569"/>
  <c r="AV504"/>
  <c r="AV398"/>
  <c r="AV390"/>
  <c r="AV496"/>
  <c r="AX577"/>
  <c r="AX569"/>
  <c r="AX504"/>
  <c r="AX398"/>
  <c r="AX390"/>
  <c r="AX496"/>
  <c r="AZ577"/>
  <c r="AZ569"/>
  <c r="AZ504"/>
  <c r="AZ398"/>
  <c r="AZ390"/>
  <c r="AZ496"/>
  <c r="BB577"/>
  <c r="BB569"/>
  <c r="BB504"/>
  <c r="BB398"/>
  <c r="BB390"/>
  <c r="BB496"/>
  <c r="BD569"/>
  <c r="BD496"/>
  <c r="BF569"/>
  <c r="BF496"/>
  <c r="BH496"/>
  <c r="AW70"/>
  <c r="BC79"/>
  <c r="H41"/>
  <c r="H48"/>
  <c r="BB46" i="14"/>
  <c r="BE58"/>
  <c r="BG58"/>
  <c r="BI58"/>
  <c r="BC58"/>
  <c r="BD58"/>
  <c r="BF58"/>
  <c r="BE22" i="5"/>
  <c r="BG22"/>
  <c r="BI22"/>
  <c r="BD16" i="14"/>
  <c r="BF16"/>
  <c r="BH16"/>
  <c r="BD45"/>
  <c r="BH45"/>
  <c r="BD46"/>
  <c r="BF46"/>
  <c r="BH46"/>
  <c r="W45"/>
  <c r="BC16"/>
  <c r="BD22" i="5"/>
  <c r="BF22"/>
  <c r="BH22"/>
  <c r="BE16" i="14"/>
  <c r="BG16"/>
  <c r="BE45"/>
  <c r="BE46"/>
  <c r="BG46"/>
  <c r="AW89" i="9"/>
  <c r="AW88" s="1"/>
  <c r="M107"/>
  <c r="H375"/>
  <c r="H374" s="1"/>
  <c r="K375"/>
  <c r="K374"/>
  <c r="M375"/>
  <c r="M374"/>
  <c r="J375"/>
  <c r="J374"/>
  <c r="Q375"/>
  <c r="Q374"/>
  <c r="V375"/>
  <c r="V374"/>
  <c r="S375"/>
  <c r="S374"/>
  <c r="N375"/>
  <c r="N374"/>
  <c r="Y375"/>
  <c r="Y374"/>
  <c r="AA375"/>
  <c r="AA374"/>
  <c r="AC375"/>
  <c r="AC374"/>
  <c r="AE375"/>
  <c r="AE374"/>
  <c r="AG375"/>
  <c r="AG374"/>
  <c r="AI375"/>
  <c r="AI374"/>
  <c r="AK375"/>
  <c r="AK374"/>
  <c r="AM375"/>
  <c r="AM374"/>
  <c r="AN375"/>
  <c r="AN374"/>
  <c r="AP375"/>
  <c r="AP374"/>
  <c r="AR375"/>
  <c r="AR374"/>
  <c r="AT375"/>
  <c r="AT374"/>
  <c r="AV375"/>
  <c r="AV374"/>
  <c r="AX375"/>
  <c r="AX374"/>
  <c r="AZ375"/>
  <c r="AZ374"/>
  <c r="BB375"/>
  <c r="BB374"/>
  <c r="BD375"/>
  <c r="BD374"/>
  <c r="BF375"/>
  <c r="BF374"/>
  <c r="BH375"/>
  <c r="BH374"/>
  <c r="I375"/>
  <c r="I374"/>
  <c r="R375"/>
  <c r="R374"/>
  <c r="U375"/>
  <c r="U374"/>
  <c r="T375"/>
  <c r="T374"/>
  <c r="X375"/>
  <c r="X374"/>
  <c r="AB375"/>
  <c r="AB374"/>
  <c r="AF375"/>
  <c r="AF374"/>
  <c r="AJ375"/>
  <c r="AJ374"/>
  <c r="AO375"/>
  <c r="AO374"/>
  <c r="AS375"/>
  <c r="AS374"/>
  <c r="AW375"/>
  <c r="AW374"/>
  <c r="BA375"/>
  <c r="BA374"/>
  <c r="BE375"/>
  <c r="BE374"/>
  <c r="BI375"/>
  <c r="BI374"/>
  <c r="G374"/>
  <c r="K356"/>
  <c r="K355" s="1"/>
  <c r="J356"/>
  <c r="J355" s="1"/>
  <c r="V356"/>
  <c r="V355" s="1"/>
  <c r="N356"/>
  <c r="N355" s="1"/>
  <c r="Y356"/>
  <c r="Y355" s="1"/>
  <c r="AC356"/>
  <c r="AC355" s="1"/>
  <c r="AG356"/>
  <c r="AG355" s="1"/>
  <c r="AK356"/>
  <c r="AK355" s="1"/>
  <c r="AP356"/>
  <c r="AP355" s="1"/>
  <c r="AT356"/>
  <c r="AT355" s="1"/>
  <c r="AX356"/>
  <c r="AX355" s="1"/>
  <c r="BB356"/>
  <c r="BB355" s="1"/>
  <c r="BF356"/>
  <c r="BF355" s="1"/>
  <c r="I356"/>
  <c r="I355" s="1"/>
  <c r="L356"/>
  <c r="L355" s="1"/>
  <c r="R356"/>
  <c r="R355" s="1"/>
  <c r="P356"/>
  <c r="P355" s="1"/>
  <c r="U356"/>
  <c r="U355" s="1"/>
  <c r="W356"/>
  <c r="W355" s="1"/>
  <c r="T356"/>
  <c r="T355" s="1"/>
  <c r="O356"/>
  <c r="O355" s="1"/>
  <c r="X356"/>
  <c r="X355" s="1"/>
  <c r="Z356"/>
  <c r="Z355" s="1"/>
  <c r="AB356"/>
  <c r="AB355" s="1"/>
  <c r="AD356"/>
  <c r="AD355" s="1"/>
  <c r="AF356"/>
  <c r="AF355" s="1"/>
  <c r="AH356"/>
  <c r="AH355" s="1"/>
  <c r="AJ356"/>
  <c r="AJ355" s="1"/>
  <c r="AL356"/>
  <c r="AL355" s="1"/>
  <c r="AO356"/>
  <c r="AO355" s="1"/>
  <c r="AQ356"/>
  <c r="AQ355" s="1"/>
  <c r="AS356"/>
  <c r="AS355" s="1"/>
  <c r="AU356"/>
  <c r="AU355" s="1"/>
  <c r="AW356"/>
  <c r="AW355" s="1"/>
  <c r="AY356"/>
  <c r="AY355" s="1"/>
  <c r="BA356"/>
  <c r="BA355" s="1"/>
  <c r="BC356"/>
  <c r="BC355" s="1"/>
  <c r="BE356"/>
  <c r="BE355" s="1"/>
  <c r="BG356"/>
  <c r="BG355" s="1"/>
  <c r="BI356"/>
  <c r="BI355" s="1"/>
  <c r="E106"/>
  <c r="F106"/>
  <c r="K496" i="12"/>
  <c r="AQ79"/>
  <c r="AL79"/>
  <c r="BA70"/>
  <c r="AF70"/>
  <c r="BC577"/>
  <c r="AY398"/>
  <c r="AW504"/>
  <c r="AU577"/>
  <c r="AQ398"/>
  <c r="AO504"/>
  <c r="AL398"/>
  <c r="AL577"/>
  <c r="AF504"/>
  <c r="AM124"/>
  <c r="L9"/>
  <c r="W9"/>
  <c r="N9"/>
  <c r="BG9" i="26"/>
  <c r="BG9" i="33" s="1"/>
  <c r="AF132" i="12"/>
  <c r="AF124"/>
  <c r="AO132"/>
  <c r="AO124"/>
  <c r="AQ132"/>
  <c r="AQ124"/>
  <c r="AS132"/>
  <c r="AS124"/>
  <c r="AU132"/>
  <c r="AU124"/>
  <c r="AW132"/>
  <c r="AW124"/>
  <c r="AY132"/>
  <c r="AY124"/>
  <c r="BA132"/>
  <c r="BA124"/>
  <c r="BC132"/>
  <c r="BC124"/>
  <c r="AA9"/>
  <c r="AN9"/>
  <c r="AR9"/>
  <c r="AV9"/>
  <c r="AZ9"/>
  <c r="BI9" i="9"/>
  <c r="AE132" i="12"/>
  <c r="AL132"/>
  <c r="AP132"/>
  <c r="AR132"/>
  <c r="AT132"/>
  <c r="AV132"/>
  <c r="AX132"/>
  <c r="AZ132"/>
  <c r="BB132"/>
  <c r="I569"/>
  <c r="O569"/>
  <c r="AB569"/>
  <c r="AD569"/>
  <c r="AF569"/>
  <c r="AH569"/>
  <c r="AJ569"/>
  <c r="AL569"/>
  <c r="AO569"/>
  <c r="AQ569"/>
  <c r="AS569"/>
  <c r="AU569"/>
  <c r="AW569"/>
  <c r="AY569"/>
  <c r="BA569"/>
  <c r="BC569"/>
  <c r="BE569"/>
  <c r="BG569"/>
  <c r="BI569"/>
  <c r="AE79"/>
  <c r="AM79"/>
  <c r="AP79"/>
  <c r="AR79"/>
  <c r="AT79"/>
  <c r="AV79"/>
  <c r="AX79"/>
  <c r="AZ79"/>
  <c r="BB79"/>
  <c r="P496"/>
  <c r="Z496"/>
  <c r="P569"/>
  <c r="Z569"/>
  <c r="BA79"/>
  <c r="AW79"/>
  <c r="AS79"/>
  <c r="AO79"/>
  <c r="AF79"/>
  <c r="BC70"/>
  <c r="AY70"/>
  <c r="AU70"/>
  <c r="AQ70"/>
  <c r="AL70"/>
  <c r="Q496"/>
  <c r="Q569"/>
  <c r="J496"/>
  <c r="J569"/>
  <c r="BI496"/>
  <c r="BG496"/>
  <c r="BE496"/>
  <c r="BC390"/>
  <c r="BC496"/>
  <c r="BA390"/>
  <c r="BA496"/>
  <c r="AY390"/>
  <c r="AY496"/>
  <c r="AW390"/>
  <c r="AW496"/>
  <c r="AU390"/>
  <c r="AU496"/>
  <c r="AS390"/>
  <c r="AS496"/>
  <c r="AQ390"/>
  <c r="AQ496"/>
  <c r="AO390"/>
  <c r="AO496"/>
  <c r="AL390"/>
  <c r="AL496"/>
  <c r="AJ496"/>
  <c r="AH496"/>
  <c r="AF390"/>
  <c r="AF496"/>
  <c r="AD496"/>
  <c r="AB496"/>
  <c r="O496"/>
  <c r="I496"/>
  <c r="J89" i="9"/>
  <c r="J88" s="1"/>
  <c r="E88"/>
  <c r="AA107"/>
  <c r="BF89"/>
  <c r="BF88" s="1"/>
  <c r="K107"/>
  <c r="AN107"/>
  <c r="S107"/>
  <c r="AI107"/>
  <c r="AV107"/>
  <c r="AV106" s="1"/>
  <c r="V89"/>
  <c r="V88" s="1"/>
  <c r="AG89"/>
  <c r="AG88" s="1"/>
  <c r="AT89"/>
  <c r="AT88" s="1"/>
  <c r="Q107"/>
  <c r="AE107"/>
  <c r="AM107"/>
  <c r="AR107"/>
  <c r="AR106" s="1"/>
  <c r="AZ107"/>
  <c r="H89"/>
  <c r="H88" s="1"/>
  <c r="AE89"/>
  <c r="AE88" s="1"/>
  <c r="AM89"/>
  <c r="AM88" s="1"/>
  <c r="AR89"/>
  <c r="AZ89"/>
  <c r="AZ88" s="1"/>
  <c r="BH89"/>
  <c r="BH88" s="1"/>
  <c r="H107"/>
  <c r="H106" s="1"/>
  <c r="J107"/>
  <c r="V107"/>
  <c r="N107"/>
  <c r="N106" s="1"/>
  <c r="Y107"/>
  <c r="AC107"/>
  <c r="AG107"/>
  <c r="AK107"/>
  <c r="AP107"/>
  <c r="AP106" s="1"/>
  <c r="AT107"/>
  <c r="AX107"/>
  <c r="BB107"/>
  <c r="BF107"/>
  <c r="F436"/>
  <c r="I89"/>
  <c r="L89"/>
  <c r="R89"/>
  <c r="P89"/>
  <c r="P88" s="1"/>
  <c r="U89"/>
  <c r="W89"/>
  <c r="T89"/>
  <c r="O89"/>
  <c r="O88" s="1"/>
  <c r="X89"/>
  <c r="Z89"/>
  <c r="AB89"/>
  <c r="AD89"/>
  <c r="AD88" s="1"/>
  <c r="AF89"/>
  <c r="AH89"/>
  <c r="AJ89"/>
  <c r="AL89"/>
  <c r="AL88" s="1"/>
  <c r="AO89"/>
  <c r="AQ89"/>
  <c r="AS89"/>
  <c r="AS88" s="1"/>
  <c r="AU89"/>
  <c r="AY89"/>
  <c r="BA89"/>
  <c r="BC89"/>
  <c r="BC88" s="1"/>
  <c r="BE89"/>
  <c r="BG89"/>
  <c r="BI89"/>
  <c r="I107"/>
  <c r="I106" s="1"/>
  <c r="R107"/>
  <c r="U107"/>
  <c r="U106" s="1"/>
  <c r="T107"/>
  <c r="X107"/>
  <c r="X106" s="1"/>
  <c r="AB107"/>
  <c r="AF107"/>
  <c r="AF106" s="1"/>
  <c r="AJ107"/>
  <c r="AO107"/>
  <c r="AS107"/>
  <c r="AS106" s="1"/>
  <c r="AW107"/>
  <c r="BA107"/>
  <c r="BA106" s="1"/>
  <c r="BE107"/>
  <c r="BH107"/>
  <c r="E486" i="12"/>
  <c r="E489"/>
  <c r="E30"/>
  <c r="E42" s="1"/>
  <c r="E54" s="1"/>
  <c r="S106" i="9"/>
  <c r="AE106"/>
  <c r="AZ106"/>
  <c r="BB106"/>
  <c r="AT106"/>
  <c r="AG106"/>
  <c r="Y106"/>
  <c r="AK106"/>
  <c r="J106"/>
  <c r="AR88"/>
  <c r="BI88"/>
  <c r="BE88"/>
  <c r="BA88"/>
  <c r="AU88"/>
  <c r="AQ88"/>
  <c r="AJ88"/>
  <c r="AF88"/>
  <c r="AB88"/>
  <c r="X88"/>
  <c r="T88"/>
  <c r="U88"/>
  <c r="R88"/>
  <c r="I88"/>
  <c r="BH106"/>
  <c r="BE106"/>
  <c r="AW106"/>
  <c r="AO106"/>
  <c r="AJ106"/>
  <c r="AB106"/>
  <c r="T106"/>
  <c r="R106"/>
  <c r="BG88"/>
  <c r="AY88"/>
  <c r="AO88"/>
  <c r="AH88"/>
  <c r="Z88"/>
  <c r="W88"/>
  <c r="L88"/>
  <c r="I195" i="12"/>
  <c r="M195"/>
  <c r="J195"/>
  <c r="N195"/>
  <c r="O195"/>
  <c r="Z195"/>
  <c r="AB195"/>
  <c r="AF203"/>
  <c r="AF195"/>
  <c r="AI195"/>
  <c r="AJ195"/>
  <c r="AM203"/>
  <c r="AM195"/>
  <c r="AN195"/>
  <c r="AQ203"/>
  <c r="AQ195"/>
  <c r="AR203"/>
  <c r="AR195"/>
  <c r="AU203"/>
  <c r="AU195"/>
  <c r="AV203"/>
  <c r="AV195"/>
  <c r="AY203"/>
  <c r="AY195"/>
  <c r="AZ203"/>
  <c r="AZ195"/>
  <c r="BC203"/>
  <c r="BC195"/>
  <c r="BF195"/>
  <c r="BG195"/>
  <c r="BI195"/>
  <c r="K195"/>
  <c r="L195"/>
  <c r="P195"/>
  <c r="Q195"/>
  <c r="AC195"/>
  <c r="AD195"/>
  <c r="AE203"/>
  <c r="AE195"/>
  <c r="AG195"/>
  <c r="AH195"/>
  <c r="AK195"/>
  <c r="AL203"/>
  <c r="AL195"/>
  <c r="AO203"/>
  <c r="AO195"/>
  <c r="AP203"/>
  <c r="AP195"/>
  <c r="AS203"/>
  <c r="AS195"/>
  <c r="AT203"/>
  <c r="AT195"/>
  <c r="AW203"/>
  <c r="AW195"/>
  <c r="AX203"/>
  <c r="AX195"/>
  <c r="BA203"/>
  <c r="BA195"/>
  <c r="BB203"/>
  <c r="BB195"/>
  <c r="BD195"/>
  <c r="BE195"/>
  <c r="BH195"/>
  <c r="N12" i="5"/>
  <c r="N46" i="3"/>
  <c r="P12" i="5"/>
  <c r="P3" i="14"/>
  <c r="L12" i="5"/>
  <c r="L46" i="3"/>
  <c r="L13" i="5" s="1"/>
  <c r="L17" s="1"/>
  <c r="W46" i="3"/>
  <c r="W13" i="5" s="1"/>
  <c r="J12"/>
  <c r="Y75" i="3"/>
  <c r="AA75"/>
  <c r="O3" i="14"/>
  <c r="Q12" i="5"/>
  <c r="AX3" i="14"/>
  <c r="X75" i="3"/>
  <c r="X71"/>
  <c r="X13" i="12" s="1"/>
  <c r="Z75" i="3"/>
  <c r="Z71"/>
  <c r="BE27"/>
  <c r="BE5" i="14" s="1"/>
  <c r="BG46" i="3"/>
  <c r="BG12" i="5"/>
  <c r="BF27" i="3"/>
  <c r="BF5" i="14" s="1"/>
  <c r="K346" i="12"/>
  <c r="M346"/>
  <c r="J346"/>
  <c r="Q346"/>
  <c r="N346"/>
  <c r="AA346"/>
  <c r="AC346"/>
  <c r="AG346"/>
  <c r="AI346"/>
  <c r="AK346"/>
  <c r="AN346"/>
  <c r="BD346"/>
  <c r="BF346"/>
  <c r="BH346"/>
  <c r="AF346"/>
  <c r="AM346"/>
  <c r="AO346"/>
  <c r="AQ346"/>
  <c r="AS346"/>
  <c r="AU346"/>
  <c r="AW346"/>
  <c r="AY346"/>
  <c r="BA346"/>
  <c r="BC346"/>
  <c r="AE354"/>
  <c r="AL354"/>
  <c r="AP354"/>
  <c r="AR354"/>
  <c r="AT354"/>
  <c r="AV354"/>
  <c r="AX354"/>
  <c r="AZ354"/>
  <c r="BB354"/>
  <c r="I346"/>
  <c r="L346"/>
  <c r="P346"/>
  <c r="O346"/>
  <c r="Z346"/>
  <c r="AB346"/>
  <c r="AD346"/>
  <c r="AH346"/>
  <c r="AJ346"/>
  <c r="BE346"/>
  <c r="BG346"/>
  <c r="BI346"/>
  <c r="F42" i="26"/>
  <c r="F42" i="33" s="1"/>
  <c r="AE124" i="12"/>
  <c r="AP124"/>
  <c r="AR124"/>
  <c r="AT124"/>
  <c r="AV124"/>
  <c r="AX124"/>
  <c r="AZ124"/>
  <c r="BB124"/>
  <c r="L496"/>
  <c r="AL124"/>
  <c r="F16" i="26"/>
  <c r="F16" i="33" s="1"/>
  <c r="K12" i="4"/>
  <c r="F174" i="9"/>
  <c r="H166"/>
  <c r="H165" s="1"/>
  <c r="K166"/>
  <c r="K165" s="1"/>
  <c r="M166"/>
  <c r="M165" s="1"/>
  <c r="J166"/>
  <c r="J165" s="1"/>
  <c r="Q166"/>
  <c r="Q165" s="1"/>
  <c r="V166"/>
  <c r="V165" s="1"/>
  <c r="S166"/>
  <c r="S165" s="1"/>
  <c r="N437"/>
  <c r="N436" s="1"/>
  <c r="N166"/>
  <c r="N165" s="1"/>
  <c r="Y437"/>
  <c r="Y436" s="1"/>
  <c r="Y166"/>
  <c r="Y165" s="1"/>
  <c r="AA437"/>
  <c r="AA436" s="1"/>
  <c r="AA166"/>
  <c r="AA165" s="1"/>
  <c r="AC437"/>
  <c r="AC436" s="1"/>
  <c r="AC166"/>
  <c r="AC165" s="1"/>
  <c r="AE437"/>
  <c r="AE436" s="1"/>
  <c r="AE166"/>
  <c r="AE165" s="1"/>
  <c r="AG437"/>
  <c r="AG436" s="1"/>
  <c r="AG166"/>
  <c r="AG165" s="1"/>
  <c r="AI437"/>
  <c r="AI436" s="1"/>
  <c r="AI166"/>
  <c r="AI165" s="1"/>
  <c r="AK437"/>
  <c r="AK436" s="1"/>
  <c r="AK166"/>
  <c r="AK165" s="1"/>
  <c r="AM437"/>
  <c r="AM436" s="1"/>
  <c r="AM166"/>
  <c r="AM165" s="1"/>
  <c r="AN437"/>
  <c r="AN436" s="1"/>
  <c r="AN166"/>
  <c r="AN165" s="1"/>
  <c r="AP437"/>
  <c r="AP436" s="1"/>
  <c r="AP166"/>
  <c r="AP165" s="1"/>
  <c r="AR437"/>
  <c r="AR436" s="1"/>
  <c r="AR166"/>
  <c r="AR165" s="1"/>
  <c r="AT437"/>
  <c r="AT436" s="1"/>
  <c r="AT166"/>
  <c r="AT165" s="1"/>
  <c r="AV437"/>
  <c r="AV436" s="1"/>
  <c r="AV166"/>
  <c r="AV165" s="1"/>
  <c r="AX437"/>
  <c r="AX436" s="1"/>
  <c r="AX166"/>
  <c r="AX165" s="1"/>
  <c r="AZ437"/>
  <c r="AZ436" s="1"/>
  <c r="AZ166"/>
  <c r="AZ165"/>
  <c r="BB437"/>
  <c r="BB436"/>
  <c r="BB166"/>
  <c r="BB165"/>
  <c r="BD437"/>
  <c r="BD436"/>
  <c r="BD166"/>
  <c r="BD165"/>
  <c r="BF437"/>
  <c r="BF436"/>
  <c r="BF166"/>
  <c r="BF165"/>
  <c r="BH437"/>
  <c r="BH436"/>
  <c r="BH166"/>
  <c r="BH165"/>
  <c r="K444"/>
  <c r="K443"/>
  <c r="K175"/>
  <c r="K174"/>
  <c r="M444"/>
  <c r="M443"/>
  <c r="M175"/>
  <c r="M174"/>
  <c r="J444"/>
  <c r="J443"/>
  <c r="J175"/>
  <c r="J174"/>
  <c r="Q444"/>
  <c r="Q443"/>
  <c r="Q175"/>
  <c r="Q174"/>
  <c r="V444"/>
  <c r="V443"/>
  <c r="V175"/>
  <c r="V174"/>
  <c r="S444"/>
  <c r="S443"/>
  <c r="S175"/>
  <c r="S174"/>
  <c r="N444"/>
  <c r="N443"/>
  <c r="N175"/>
  <c r="N174"/>
  <c r="Y444"/>
  <c r="Y443"/>
  <c r="Y175"/>
  <c r="Y174"/>
  <c r="AA444"/>
  <c r="AA443"/>
  <c r="AA175"/>
  <c r="AA174"/>
  <c r="AC444"/>
  <c r="AC443"/>
  <c r="AC175"/>
  <c r="AC174"/>
  <c r="AE444"/>
  <c r="AE443"/>
  <c r="AE175"/>
  <c r="AE174"/>
  <c r="AG444"/>
  <c r="AG443"/>
  <c r="AG175"/>
  <c r="AG174"/>
  <c r="AI444"/>
  <c r="AI443"/>
  <c r="AI175"/>
  <c r="AI174"/>
  <c r="AK444"/>
  <c r="AK443"/>
  <c r="AK175"/>
  <c r="AK174"/>
  <c r="AM444"/>
  <c r="AM443"/>
  <c r="AM175"/>
  <c r="AM174"/>
  <c r="AN444"/>
  <c r="AN443"/>
  <c r="AN175"/>
  <c r="AN174"/>
  <c r="AP444"/>
  <c r="AP443"/>
  <c r="AP175"/>
  <c r="AP174"/>
  <c r="AR444"/>
  <c r="AR443"/>
  <c r="AR175"/>
  <c r="AR174"/>
  <c r="AT444"/>
  <c r="AT443"/>
  <c r="AT175"/>
  <c r="AT174"/>
  <c r="AV444"/>
  <c r="AV443"/>
  <c r="AV175"/>
  <c r="AV174"/>
  <c r="AX444"/>
  <c r="AX443"/>
  <c r="AX175"/>
  <c r="AX174"/>
  <c r="AZ444"/>
  <c r="AZ443"/>
  <c r="AZ175"/>
  <c r="AZ174"/>
  <c r="BB444"/>
  <c r="BB443"/>
  <c r="BB175"/>
  <c r="BB174"/>
  <c r="BD444"/>
  <c r="BD443"/>
  <c r="BD175"/>
  <c r="BD174"/>
  <c r="BF444"/>
  <c r="BF443"/>
  <c r="BF175"/>
  <c r="BF174"/>
  <c r="BH444"/>
  <c r="BH443"/>
  <c r="BH175"/>
  <c r="BH174"/>
  <c r="E186"/>
  <c r="E165"/>
  <c r="G174"/>
  <c r="I437"/>
  <c r="I436" s="1"/>
  <c r="I166"/>
  <c r="I165" s="1"/>
  <c r="L437"/>
  <c r="L436" s="1"/>
  <c r="L166"/>
  <c r="L165" s="1"/>
  <c r="R437"/>
  <c r="R436" s="1"/>
  <c r="R166"/>
  <c r="R165" s="1"/>
  <c r="P437"/>
  <c r="P436" s="1"/>
  <c r="P166"/>
  <c r="P165" s="1"/>
  <c r="U437"/>
  <c r="U436" s="1"/>
  <c r="U166"/>
  <c r="U165" s="1"/>
  <c r="W437"/>
  <c r="W436" s="1"/>
  <c r="W166"/>
  <c r="W165" s="1"/>
  <c r="T437"/>
  <c r="T436" s="1"/>
  <c r="T166"/>
  <c r="T165" s="1"/>
  <c r="O437"/>
  <c r="O436" s="1"/>
  <c r="O166"/>
  <c r="O165" s="1"/>
  <c r="X437"/>
  <c r="X436" s="1"/>
  <c r="X166"/>
  <c r="X165" s="1"/>
  <c r="Z437"/>
  <c r="Z436" s="1"/>
  <c r="Z166"/>
  <c r="Z165" s="1"/>
  <c r="AB437"/>
  <c r="AB436" s="1"/>
  <c r="AB166"/>
  <c r="AB165" s="1"/>
  <c r="AD437"/>
  <c r="AD436" s="1"/>
  <c r="AD166"/>
  <c r="AD165" s="1"/>
  <c r="AF437"/>
  <c r="AF436" s="1"/>
  <c r="AF166"/>
  <c r="AF165" s="1"/>
  <c r="AH437"/>
  <c r="AH436" s="1"/>
  <c r="AH166"/>
  <c r="AH165" s="1"/>
  <c r="AJ437"/>
  <c r="AJ436" s="1"/>
  <c r="AJ166"/>
  <c r="AJ165" s="1"/>
  <c r="AL437"/>
  <c r="AL436" s="1"/>
  <c r="AL166"/>
  <c r="AL165" s="1"/>
  <c r="AO437"/>
  <c r="AO436" s="1"/>
  <c r="AO166"/>
  <c r="AO165" s="1"/>
  <c r="AQ437"/>
  <c r="AQ436" s="1"/>
  <c r="AQ166"/>
  <c r="AQ165" s="1"/>
  <c r="AS437"/>
  <c r="AS436" s="1"/>
  <c r="AS166"/>
  <c r="AS165" s="1"/>
  <c r="AU437"/>
  <c r="AU436" s="1"/>
  <c r="AU166"/>
  <c r="AU165" s="1"/>
  <c r="AW437"/>
  <c r="AW436" s="1"/>
  <c r="AW166"/>
  <c r="AW165" s="1"/>
  <c r="AY437"/>
  <c r="AY436" s="1"/>
  <c r="AY166"/>
  <c r="AY165" s="1"/>
  <c r="BA437"/>
  <c r="BA436" s="1"/>
  <c r="BA166"/>
  <c r="BA165" s="1"/>
  <c r="BC437"/>
  <c r="BC436" s="1"/>
  <c r="BC166"/>
  <c r="BC165" s="1"/>
  <c r="BE437"/>
  <c r="BE436" s="1"/>
  <c r="BE166"/>
  <c r="BE165" s="1"/>
  <c r="BG437"/>
  <c r="BG436" s="1"/>
  <c r="BG166"/>
  <c r="BG165" s="1"/>
  <c r="BI437"/>
  <c r="BI436" s="1"/>
  <c r="BI166"/>
  <c r="BI165" s="1"/>
  <c r="I444"/>
  <c r="I443" s="1"/>
  <c r="I175"/>
  <c r="I174" s="1"/>
  <c r="L444"/>
  <c r="L443" s="1"/>
  <c r="L175"/>
  <c r="L174" s="1"/>
  <c r="R444"/>
  <c r="R443" s="1"/>
  <c r="R175"/>
  <c r="R174" s="1"/>
  <c r="P444"/>
  <c r="P443" s="1"/>
  <c r="P175"/>
  <c r="P174" s="1"/>
  <c r="U444"/>
  <c r="U443" s="1"/>
  <c r="U175"/>
  <c r="U174" s="1"/>
  <c r="W444"/>
  <c r="W443" s="1"/>
  <c r="W175"/>
  <c r="W174" s="1"/>
  <c r="T444"/>
  <c r="T443" s="1"/>
  <c r="T175"/>
  <c r="T174" s="1"/>
  <c r="O444"/>
  <c r="O443" s="1"/>
  <c r="O175"/>
  <c r="O174" s="1"/>
  <c r="X444"/>
  <c r="X443" s="1"/>
  <c r="X175"/>
  <c r="X174" s="1"/>
  <c r="Z444"/>
  <c r="Z443" s="1"/>
  <c r="Z175"/>
  <c r="Z174" s="1"/>
  <c r="AB444"/>
  <c r="AB443" s="1"/>
  <c r="AB175"/>
  <c r="AB174" s="1"/>
  <c r="AD444"/>
  <c r="AD443" s="1"/>
  <c r="AD175"/>
  <c r="AD174" s="1"/>
  <c r="AF444"/>
  <c r="AF443" s="1"/>
  <c r="AF175"/>
  <c r="AF174" s="1"/>
  <c r="AH444"/>
  <c r="AH443" s="1"/>
  <c r="AH175"/>
  <c r="AH174" s="1"/>
  <c r="AJ444"/>
  <c r="AJ443" s="1"/>
  <c r="AJ175"/>
  <c r="AJ174" s="1"/>
  <c r="AL444"/>
  <c r="AL443" s="1"/>
  <c r="AL175"/>
  <c r="AL174" s="1"/>
  <c r="AO444"/>
  <c r="AO443" s="1"/>
  <c r="AO175"/>
  <c r="AO174" s="1"/>
  <c r="AQ444"/>
  <c r="AQ443" s="1"/>
  <c r="AQ175"/>
  <c r="AQ174" s="1"/>
  <c r="AS444"/>
  <c r="AS443" s="1"/>
  <c r="AS175"/>
  <c r="AS174" s="1"/>
  <c r="AU444"/>
  <c r="AU443" s="1"/>
  <c r="AU175"/>
  <c r="AU174" s="1"/>
  <c r="AW444"/>
  <c r="AW443" s="1"/>
  <c r="AW175"/>
  <c r="AW174" s="1"/>
  <c r="AY444"/>
  <c r="AY443" s="1"/>
  <c r="AY175"/>
  <c r="AY174" s="1"/>
  <c r="BA444"/>
  <c r="BA443" s="1"/>
  <c r="BA175"/>
  <c r="BA174" s="1"/>
  <c r="BC444"/>
  <c r="BC443" s="1"/>
  <c r="BC175"/>
  <c r="BC174" s="1"/>
  <c r="BE444"/>
  <c r="BE443" s="1"/>
  <c r="BE175"/>
  <c r="BE174" s="1"/>
  <c r="BG444"/>
  <c r="BG443" s="1"/>
  <c r="BG175"/>
  <c r="BG174" s="1"/>
  <c r="BI444"/>
  <c r="BI443" s="1"/>
  <c r="BI175"/>
  <c r="BI174" s="1"/>
  <c r="H444"/>
  <c r="H443" s="1"/>
  <c r="E300"/>
  <c r="E476" i="12" s="1"/>
  <c r="BF106" i="9"/>
  <c r="AM106"/>
  <c r="Q106"/>
  <c r="AI106"/>
  <c r="AN106"/>
  <c r="K106"/>
  <c r="BD107"/>
  <c r="BD106" s="1"/>
  <c r="E424"/>
  <c r="E36" i="12"/>
  <c r="E45" s="1"/>
  <c r="AX106" i="9"/>
  <c r="AC106"/>
  <c r="V106"/>
  <c r="AA106"/>
  <c r="M106"/>
  <c r="E100" i="12"/>
  <c r="E109" s="1"/>
  <c r="E115" s="1"/>
  <c r="AZ9" i="26"/>
  <c r="AZ9" i="33" s="1"/>
  <c r="H578" i="12"/>
  <c r="AP9" i="26"/>
  <c r="AP9" i="33" s="1"/>
  <c r="AT9" i="26"/>
  <c r="AT9" i="33" s="1"/>
  <c r="X9" i="12"/>
  <c r="I9" i="26"/>
  <c r="I9" i="33" s="1"/>
  <c r="R9" i="26"/>
  <c r="R9" i="33" s="1"/>
  <c r="U9" i="26"/>
  <c r="U9" i="33" s="1"/>
  <c r="T9" i="26"/>
  <c r="T9" i="33" s="1"/>
  <c r="O9" i="26"/>
  <c r="O9" i="33" s="1"/>
  <c r="BD9" i="9"/>
  <c r="BE9" i="26"/>
  <c r="BF9" i="9"/>
  <c r="BG9"/>
  <c r="BH9"/>
  <c r="BI9" i="26"/>
  <c r="BI9" i="33" s="1"/>
  <c r="AA195" i="12"/>
  <c r="E376"/>
  <c r="E549"/>
  <c r="F53" i="26"/>
  <c r="F53" i="33" s="1"/>
  <c r="AL346" i="12"/>
  <c r="AM354"/>
  <c r="K262"/>
  <c r="M262"/>
  <c r="J262"/>
  <c r="Q262"/>
  <c r="N262"/>
  <c r="Y262"/>
  <c r="AC262"/>
  <c r="AG262"/>
  <c r="AI262"/>
  <c r="AK262"/>
  <c r="AN262"/>
  <c r="BD262"/>
  <c r="BF262"/>
  <c r="BH262"/>
  <c r="AF262"/>
  <c r="AM262"/>
  <c r="AO262"/>
  <c r="AQ262"/>
  <c r="AS262"/>
  <c r="AU262"/>
  <c r="AW262"/>
  <c r="AY262"/>
  <c r="BA262"/>
  <c r="BC262"/>
  <c r="AE270"/>
  <c r="AL270"/>
  <c r="AP270"/>
  <c r="AR270"/>
  <c r="AT270"/>
  <c r="AV270"/>
  <c r="AX270"/>
  <c r="AZ270"/>
  <c r="BB270"/>
  <c r="I262"/>
  <c r="L262"/>
  <c r="P262"/>
  <c r="O262"/>
  <c r="Z262"/>
  <c r="AB262"/>
  <c r="AD262"/>
  <c r="AH262"/>
  <c r="AJ262"/>
  <c r="BE262"/>
  <c r="BG262"/>
  <c r="BI262"/>
  <c r="AE262"/>
  <c r="AL262"/>
  <c r="AP262"/>
  <c r="AR262"/>
  <c r="AT262"/>
  <c r="AV262"/>
  <c r="AX262"/>
  <c r="AZ262"/>
  <c r="BB262"/>
  <c r="AF270"/>
  <c r="AM270"/>
  <c r="AO270"/>
  <c r="AQ270"/>
  <c r="AS270"/>
  <c r="AU270"/>
  <c r="AW270"/>
  <c r="AY270"/>
  <c r="BA270"/>
  <c r="BC270"/>
  <c r="E175"/>
  <c r="E182" s="1"/>
  <c r="E310"/>
  <c r="E326" s="1"/>
  <c r="E337" s="1"/>
  <c r="E164" i="9"/>
  <c r="E97"/>
  <c r="R18"/>
  <c r="Z18"/>
  <c r="Z426" s="1"/>
  <c r="Z425" s="1"/>
  <c r="AD18"/>
  <c r="AH18"/>
  <c r="AL18"/>
  <c r="AL303" s="1"/>
  <c r="AS18"/>
  <c r="AS149" s="1"/>
  <c r="BI18"/>
  <c r="K18"/>
  <c r="K426" s="1"/>
  <c r="K425" s="1"/>
  <c r="J18"/>
  <c r="J72" s="1"/>
  <c r="V18"/>
  <c r="N18"/>
  <c r="AI18"/>
  <c r="AI426" s="1"/>
  <c r="AI425" s="1"/>
  <c r="AN18"/>
  <c r="AN149" s="1"/>
  <c r="AR18"/>
  <c r="AV18"/>
  <c r="AV149" s="1"/>
  <c r="AZ18"/>
  <c r="AZ426" s="1"/>
  <c r="AZ425" s="1"/>
  <c r="BD18"/>
  <c r="BD303" s="1"/>
  <c r="BH18"/>
  <c r="I426"/>
  <c r="I425" s="1"/>
  <c r="AS426"/>
  <c r="AS425" s="1"/>
  <c r="E171" i="12"/>
  <c r="E180" s="1"/>
  <c r="E186" s="1"/>
  <c r="E316"/>
  <c r="E333" s="1"/>
  <c r="CN62" i="30"/>
  <c r="CF62"/>
  <c r="CI62"/>
  <c r="CB62"/>
  <c r="CQ62"/>
  <c r="CM62"/>
  <c r="CE62"/>
  <c r="CH62"/>
  <c r="CA62"/>
  <c r="BT62"/>
  <c r="BL62"/>
  <c r="BO62"/>
  <c r="BH62"/>
  <c r="BW62"/>
  <c r="BS62"/>
  <c r="BK62"/>
  <c r="BN62"/>
  <c r="BG62"/>
  <c r="CN66"/>
  <c r="CF66"/>
  <c r="CI66"/>
  <c r="CB66"/>
  <c r="CQ66"/>
  <c r="CM66"/>
  <c r="CE66"/>
  <c r="CH66"/>
  <c r="CA66"/>
  <c r="BT66"/>
  <c r="BL66"/>
  <c r="BO66"/>
  <c r="BH66"/>
  <c r="BW66"/>
  <c r="BS66"/>
  <c r="BK66"/>
  <c r="BN66"/>
  <c r="BG66"/>
  <c r="CO246"/>
  <c r="CG246"/>
  <c r="CJ246"/>
  <c r="CC246"/>
  <c r="CP246"/>
  <c r="CL246"/>
  <c r="CK246"/>
  <c r="CD246"/>
  <c r="BZ246"/>
  <c r="BT246"/>
  <c r="BL246"/>
  <c r="BO246"/>
  <c r="BH246"/>
  <c r="BW246"/>
  <c r="BS246"/>
  <c r="BK246"/>
  <c r="BN246"/>
  <c r="BG246"/>
  <c r="CO189"/>
  <c r="CG189"/>
  <c r="CJ189"/>
  <c r="CC189"/>
  <c r="CP189"/>
  <c r="CL189"/>
  <c r="CK189"/>
  <c r="CD189"/>
  <c r="BZ189"/>
  <c r="BT189"/>
  <c r="BL189"/>
  <c r="BO189"/>
  <c r="BH189"/>
  <c r="BW189"/>
  <c r="BS189"/>
  <c r="BK189"/>
  <c r="BN189"/>
  <c r="BG189"/>
  <c r="CQ299"/>
  <c r="CO299"/>
  <c r="CM299"/>
  <c r="CG299"/>
  <c r="CE299"/>
  <c r="CJ299"/>
  <c r="CH299"/>
  <c r="CC299"/>
  <c r="CA299"/>
  <c r="CP299"/>
  <c r="CN299"/>
  <c r="CL299"/>
  <c r="CF299"/>
  <c r="CK299"/>
  <c r="CI299"/>
  <c r="CD299"/>
  <c r="CB299"/>
  <c r="BZ299"/>
  <c r="BV299"/>
  <c r="BT299"/>
  <c r="BR299"/>
  <c r="BL299"/>
  <c r="BQ299"/>
  <c r="BO299"/>
  <c r="BJ299"/>
  <c r="BH299"/>
  <c r="BF299"/>
  <c r="BW299"/>
  <c r="BU299"/>
  <c r="BS299"/>
  <c r="BM299"/>
  <c r="BK299"/>
  <c r="BP299"/>
  <c r="BN299"/>
  <c r="BI299"/>
  <c r="BG299"/>
  <c r="CQ209"/>
  <c r="CM209"/>
  <c r="CE209"/>
  <c r="CH209"/>
  <c r="CA209"/>
  <c r="CN209"/>
  <c r="CF209"/>
  <c r="CI209"/>
  <c r="CB209"/>
  <c r="BV209"/>
  <c r="BR209"/>
  <c r="BQ209"/>
  <c r="BJ209"/>
  <c r="BF209"/>
  <c r="BU209"/>
  <c r="BM209"/>
  <c r="BP209"/>
  <c r="BI209"/>
  <c r="CO219"/>
  <c r="CG219"/>
  <c r="CJ219"/>
  <c r="CC219"/>
  <c r="CP219"/>
  <c r="CL219"/>
  <c r="CK219"/>
  <c r="CD219"/>
  <c r="BZ219"/>
  <c r="BT219"/>
  <c r="BL219"/>
  <c r="BO219"/>
  <c r="BH219"/>
  <c r="BW219"/>
  <c r="BS219"/>
  <c r="BK219"/>
  <c r="BN219"/>
  <c r="BG219"/>
  <c r="CO244"/>
  <c r="CG244"/>
  <c r="CJ244"/>
  <c r="CC244"/>
  <c r="CP244"/>
  <c r="CL244"/>
  <c r="CK244"/>
  <c r="CD244"/>
  <c r="BZ244"/>
  <c r="BT244"/>
  <c r="BL244"/>
  <c r="BO244"/>
  <c r="BH244"/>
  <c r="BW244"/>
  <c r="BS244"/>
  <c r="BK244"/>
  <c r="BN244"/>
  <c r="BG244"/>
  <c r="CO131"/>
  <c r="CG131"/>
  <c r="CJ131"/>
  <c r="CC131"/>
  <c r="CP131"/>
  <c r="CL131"/>
  <c r="CK131"/>
  <c r="CD131"/>
  <c r="BZ131"/>
  <c r="BU131"/>
  <c r="BM131"/>
  <c r="BP131"/>
  <c r="BI131"/>
  <c r="BV131"/>
  <c r="BR131"/>
  <c r="BQ131"/>
  <c r="BJ131"/>
  <c r="BF131"/>
  <c r="CO116"/>
  <c r="CG116"/>
  <c r="CJ116"/>
  <c r="CC116"/>
  <c r="CP116"/>
  <c r="CL116"/>
  <c r="CK116"/>
  <c r="CD116"/>
  <c r="BZ116"/>
  <c r="BU116"/>
  <c r="BM116"/>
  <c r="BP116"/>
  <c r="BI116"/>
  <c r="BV116"/>
  <c r="BR116"/>
  <c r="BQ116"/>
  <c r="BJ116"/>
  <c r="BF116"/>
  <c r="AZ209"/>
  <c r="AX209"/>
  <c r="AR209"/>
  <c r="AW209"/>
  <c r="AU209"/>
  <c r="AP209"/>
  <c r="AN209"/>
  <c r="AL209"/>
  <c r="BC209"/>
  <c r="BA209"/>
  <c r="AY209"/>
  <c r="AS209"/>
  <c r="AQ209"/>
  <c r="AV209"/>
  <c r="AT209"/>
  <c r="AO209"/>
  <c r="AM209"/>
  <c r="AZ219"/>
  <c r="AR219"/>
  <c r="AU219"/>
  <c r="AN219"/>
  <c r="BC219"/>
  <c r="AY219"/>
  <c r="AQ219"/>
  <c r="AT219"/>
  <c r="AM219"/>
  <c r="AX244"/>
  <c r="AW244"/>
  <c r="AP244"/>
  <c r="AL244"/>
  <c r="BA244"/>
  <c r="AS244"/>
  <c r="AV244"/>
  <c r="AO244"/>
  <c r="AZ116"/>
  <c r="AR116"/>
  <c r="AU116"/>
  <c r="AN116"/>
  <c r="BC116"/>
  <c r="AY116"/>
  <c r="AQ116"/>
  <c r="AT116"/>
  <c r="AM116"/>
  <c r="AZ246"/>
  <c r="AR246"/>
  <c r="AU246"/>
  <c r="AN246"/>
  <c r="BC246"/>
  <c r="AY246"/>
  <c r="AQ246"/>
  <c r="AT246"/>
  <c r="AM246"/>
  <c r="AZ189"/>
  <c r="AR189"/>
  <c r="AU189"/>
  <c r="AN189"/>
  <c r="BC189"/>
  <c r="AY189"/>
  <c r="AQ189"/>
  <c r="AT189"/>
  <c r="AM189"/>
  <c r="AX62"/>
  <c r="AW62"/>
  <c r="AP62"/>
  <c r="BA62"/>
  <c r="AS62"/>
  <c r="AV62"/>
  <c r="AN62"/>
  <c r="AM62"/>
  <c r="AZ131"/>
  <c r="AR131"/>
  <c r="AU131"/>
  <c r="AN131"/>
  <c r="BC131"/>
  <c r="AY131"/>
  <c r="AQ131"/>
  <c r="AT131"/>
  <c r="AM131"/>
  <c r="AX66"/>
  <c r="AW66"/>
  <c r="AP66"/>
  <c r="AL66"/>
  <c r="BA66"/>
  <c r="AS66"/>
  <c r="AV66"/>
  <c r="AO66"/>
  <c r="AZ299"/>
  <c r="AX299"/>
  <c r="AR299"/>
  <c r="AW299"/>
  <c r="AU299"/>
  <c r="AP299"/>
  <c r="AN299"/>
  <c r="AL299"/>
  <c r="BC299"/>
  <c r="BA299"/>
  <c r="AY299"/>
  <c r="AS299"/>
  <c r="AQ299"/>
  <c r="AV299"/>
  <c r="AT299"/>
  <c r="AO299"/>
  <c r="AM299"/>
  <c r="AI116"/>
  <c r="AE116"/>
  <c r="W116"/>
  <c r="Z116"/>
  <c r="S116"/>
  <c r="AD116"/>
  <c r="AC116"/>
  <c r="V116"/>
  <c r="R116"/>
  <c r="J63"/>
  <c r="AH63" s="1"/>
  <c r="AG62"/>
  <c r="Y62"/>
  <c r="AB62"/>
  <c r="U62"/>
  <c r="AF62"/>
  <c r="X62"/>
  <c r="AA62"/>
  <c r="T62"/>
  <c r="AI131"/>
  <c r="AE131"/>
  <c r="W131"/>
  <c r="Z131"/>
  <c r="S131"/>
  <c r="AD131"/>
  <c r="AC131"/>
  <c r="V131"/>
  <c r="R131"/>
  <c r="AI66"/>
  <c r="AE66"/>
  <c r="W66"/>
  <c r="Z66"/>
  <c r="S66"/>
  <c r="AD66"/>
  <c r="AC66"/>
  <c r="V66"/>
  <c r="R66"/>
  <c r="AF299"/>
  <c r="AD299"/>
  <c r="X299"/>
  <c r="AC299"/>
  <c r="AA299"/>
  <c r="V299"/>
  <c r="T299"/>
  <c r="R299"/>
  <c r="AI299"/>
  <c r="AG299"/>
  <c r="AE299"/>
  <c r="Y299"/>
  <c r="W299"/>
  <c r="AB299"/>
  <c r="Z299"/>
  <c r="U299"/>
  <c r="S299"/>
  <c r="AF209"/>
  <c r="AD209"/>
  <c r="X209"/>
  <c r="AC209"/>
  <c r="AA209"/>
  <c r="V209"/>
  <c r="T209"/>
  <c r="R209"/>
  <c r="AI209"/>
  <c r="AG209"/>
  <c r="AE209"/>
  <c r="Y209"/>
  <c r="W209"/>
  <c r="AB209"/>
  <c r="Z209"/>
  <c r="U209"/>
  <c r="S209"/>
  <c r="AG219"/>
  <c r="Y219"/>
  <c r="X219"/>
  <c r="AA219"/>
  <c r="T219"/>
  <c r="AD219"/>
  <c r="AB219"/>
  <c r="U219"/>
  <c r="AF244"/>
  <c r="X244"/>
  <c r="AA244"/>
  <c r="T244"/>
  <c r="AI244"/>
  <c r="AE244"/>
  <c r="W244"/>
  <c r="Z244"/>
  <c r="S244"/>
  <c r="AD246"/>
  <c r="AG246"/>
  <c r="AC246"/>
  <c r="V246"/>
  <c r="R246"/>
  <c r="AE246"/>
  <c r="AB246"/>
  <c r="U246"/>
  <c r="AD189"/>
  <c r="AC189"/>
  <c r="V189"/>
  <c r="R189"/>
  <c r="AG189"/>
  <c r="Y189"/>
  <c r="AB189"/>
  <c r="U189"/>
  <c r="AA72" i="3"/>
  <c r="BH3" i="14"/>
  <c r="BE13" i="5"/>
  <c r="BE17" s="1"/>
  <c r="BH72" i="3"/>
  <c r="J73"/>
  <c r="K73"/>
  <c r="K13" i="5"/>
  <c r="K17" s="1"/>
  <c r="AK73" i="3"/>
  <c r="AI73"/>
  <c r="AH31" i="5"/>
  <c r="BH31"/>
  <c r="BH32" s="1"/>
  <c r="BH10" i="26" s="1"/>
  <c r="BH10" i="33" s="1"/>
  <c r="AB13" i="5"/>
  <c r="AB17" s="1"/>
  <c r="AH13"/>
  <c r="AR13"/>
  <c r="AR17" s="1"/>
  <c r="AV13"/>
  <c r="AV17" s="1"/>
  <c r="AZ13"/>
  <c r="AZ17" s="1"/>
  <c r="BA13"/>
  <c r="BA17" s="1"/>
  <c r="BI13"/>
  <c r="BI17" s="1"/>
  <c r="M73" i="3"/>
  <c r="Y73"/>
  <c r="M31" i="5"/>
  <c r="P31"/>
  <c r="U31"/>
  <c r="O31"/>
  <c r="AA31"/>
  <c r="P72" i="3"/>
  <c r="N72"/>
  <c r="Z72"/>
  <c r="L73"/>
  <c r="X73"/>
  <c r="Z73"/>
  <c r="L31" i="5"/>
  <c r="X31"/>
  <c r="H474" i="12"/>
  <c r="I32" i="5"/>
  <c r="I10" i="26" s="1"/>
  <c r="I10" i="33" s="1"/>
  <c r="AG73" i="3"/>
  <c r="AJ72"/>
  <c r="BA149" i="9"/>
  <c r="CP63" i="30"/>
  <c r="CK63"/>
  <c r="BZ63"/>
  <c r="CG63"/>
  <c r="CC63"/>
  <c r="BR63"/>
  <c r="BJ63"/>
  <c r="BU63"/>
  <c r="BP63"/>
  <c r="AX63"/>
  <c r="AP63"/>
  <c r="BA63"/>
  <c r="AV63"/>
  <c r="J64"/>
  <c r="AH64" s="1"/>
  <c r="Y63"/>
  <c r="U63"/>
  <c r="X63"/>
  <c r="T63"/>
  <c r="AW17" i="5"/>
  <c r="J17"/>
  <c r="BU64" i="30"/>
  <c r="BJ77" i="33"/>
  <c r="G38" i="26"/>
  <c r="G64" s="1"/>
  <c r="F27"/>
  <c r="F27" i="33" s="1"/>
  <c r="BJ78"/>
  <c r="BJ76"/>
  <c r="BJ50"/>
  <c r="BJ61"/>
  <c r="BJ72"/>
  <c r="BJ34"/>
  <c r="BJ49"/>
  <c r="BJ75"/>
  <c r="CS74"/>
  <c r="DP74"/>
  <c r="DK37"/>
  <c r="DD43"/>
  <c r="DK43"/>
  <c r="DD63"/>
  <c r="DD74"/>
  <c r="DK74"/>
  <c r="DE28"/>
  <c r="DK28"/>
  <c r="DE37"/>
  <c r="DE43"/>
  <c r="DL43"/>
  <c r="DE52"/>
  <c r="DL52"/>
  <c r="DE63"/>
  <c r="DL63"/>
  <c r="DC74"/>
  <c r="DE74"/>
  <c r="DJ74"/>
  <c r="DL74"/>
  <c r="DD28"/>
  <c r="DJ28"/>
  <c r="BU74"/>
  <c r="DS74" s="1"/>
  <c r="BD17" i="5"/>
  <c r="BJ35" i="33"/>
  <c r="S98" i="9"/>
  <c r="S97" s="1"/>
  <c r="Y399"/>
  <c r="Y398" s="1"/>
  <c r="AN98"/>
  <c r="AN97" s="1"/>
  <c r="AV98"/>
  <c r="AV97" s="1"/>
  <c r="BB98"/>
  <c r="BB97" s="1"/>
  <c r="G80" i="33"/>
  <c r="G408" i="12"/>
  <c r="G12" i="34" s="1"/>
  <c r="F408" i="12"/>
  <c r="F12" i="34" s="1"/>
  <c r="G213" i="12"/>
  <c r="G214" s="1"/>
  <c r="G215" s="1"/>
  <c r="G280"/>
  <c r="G281" s="1"/>
  <c r="G282" s="1"/>
  <c r="G364"/>
  <c r="G365" s="1"/>
  <c r="G366" s="1"/>
  <c r="G514"/>
  <c r="G13" i="29" s="1"/>
  <c r="G587" i="12"/>
  <c r="G588" s="1"/>
  <c r="G589" s="1"/>
  <c r="G29" i="26" s="1"/>
  <c r="F280" i="12"/>
  <c r="F281" s="1"/>
  <c r="F282" s="1"/>
  <c r="F514"/>
  <c r="F18" i="34" s="1"/>
  <c r="G142" i="12"/>
  <c r="G22" i="29" s="1"/>
  <c r="H557" i="12"/>
  <c r="H484"/>
  <c r="H324"/>
  <c r="H52"/>
  <c r="H240"/>
  <c r="BG46" i="33"/>
  <c r="BG68"/>
  <c r="BG57"/>
  <c r="G515" i="12"/>
  <c r="G19" i="34" s="1"/>
  <c r="K495" i="12"/>
  <c r="Q495"/>
  <c r="X495"/>
  <c r="AF495"/>
  <c r="AN495"/>
  <c r="AV495"/>
  <c r="BD495"/>
  <c r="P575"/>
  <c r="P577" s="1"/>
  <c r="O575"/>
  <c r="O577" s="1"/>
  <c r="AE575"/>
  <c r="AM575"/>
  <c r="AU575"/>
  <c r="BC575"/>
  <c r="K576"/>
  <c r="V576"/>
  <c r="Z576"/>
  <c r="AH576"/>
  <c r="AP576"/>
  <c r="AX576"/>
  <c r="BF576"/>
  <c r="M495"/>
  <c r="S495"/>
  <c r="AB495"/>
  <c r="AJ495"/>
  <c r="AR495"/>
  <c r="AZ495"/>
  <c r="L575"/>
  <c r="L577" s="1"/>
  <c r="W575"/>
  <c r="AA575"/>
  <c r="AA577" s="1"/>
  <c r="AI575"/>
  <c r="AI577" s="1"/>
  <c r="AQ575"/>
  <c r="AY575"/>
  <c r="J576"/>
  <c r="N576"/>
  <c r="AD576"/>
  <c r="AL576"/>
  <c r="AT576"/>
  <c r="BH388"/>
  <c r="BF388"/>
  <c r="BF390" s="1"/>
  <c r="BD388"/>
  <c r="BD390" s="1"/>
  <c r="BB388"/>
  <c r="AZ388"/>
  <c r="AX388"/>
  <c r="AV388"/>
  <c r="AT388"/>
  <c r="AR388"/>
  <c r="AP388"/>
  <c r="AN388"/>
  <c r="AN390" s="1"/>
  <c r="AL388"/>
  <c r="AJ388"/>
  <c r="AJ390" s="1"/>
  <c r="AH388"/>
  <c r="AH390" s="1"/>
  <c r="AF388"/>
  <c r="AD388"/>
  <c r="AD390" s="1"/>
  <c r="AB388"/>
  <c r="AB390" s="1"/>
  <c r="Z388"/>
  <c r="Z390" s="1"/>
  <c r="X388"/>
  <c r="N388"/>
  <c r="N390" s="1"/>
  <c r="S388"/>
  <c r="V388"/>
  <c r="Q388"/>
  <c r="Q390" s="1"/>
  <c r="J388"/>
  <c r="J390" s="1"/>
  <c r="M388"/>
  <c r="M390" s="1"/>
  <c r="K388"/>
  <c r="K390" s="1"/>
  <c r="I15" i="11"/>
  <c r="BI122" i="12"/>
  <c r="BI124" s="1"/>
  <c r="BG122"/>
  <c r="BG124" s="1"/>
  <c r="BE122"/>
  <c r="BE124" s="1"/>
  <c r="BC122"/>
  <c r="BA122"/>
  <c r="AY122"/>
  <c r="AW122"/>
  <c r="AU122"/>
  <c r="AS122"/>
  <c r="AQ122"/>
  <c r="AO122"/>
  <c r="AM122"/>
  <c r="AK122"/>
  <c r="AK124" s="1"/>
  <c r="AI122"/>
  <c r="AI124" s="1"/>
  <c r="AG122"/>
  <c r="AG124" s="1"/>
  <c r="AE122"/>
  <c r="AC122"/>
  <c r="AC124" s="1"/>
  <c r="AA122"/>
  <c r="Y122"/>
  <c r="O122"/>
  <c r="O124" s="1"/>
  <c r="T122"/>
  <c r="W122"/>
  <c r="U122"/>
  <c r="P122"/>
  <c r="P124" s="1"/>
  <c r="R122"/>
  <c r="L122"/>
  <c r="L124" s="1"/>
  <c r="I122"/>
  <c r="I124" s="1"/>
  <c r="H122"/>
  <c r="BF122"/>
  <c r="BF124" s="1"/>
  <c r="BB122"/>
  <c r="AX122"/>
  <c r="AT122"/>
  <c r="AP122"/>
  <c r="AL122"/>
  <c r="AH122"/>
  <c r="AH124" s="1"/>
  <c r="AD122"/>
  <c r="AD124" s="1"/>
  <c r="Z122"/>
  <c r="Z124" s="1"/>
  <c r="N122"/>
  <c r="N124" s="1"/>
  <c r="V122"/>
  <c r="J122"/>
  <c r="J124" s="1"/>
  <c r="K122"/>
  <c r="K124" s="1"/>
  <c r="BI68"/>
  <c r="BI70" s="1"/>
  <c r="BG68"/>
  <c r="BG70" s="1"/>
  <c r="BE68"/>
  <c r="BE70" s="1"/>
  <c r="BC68"/>
  <c r="BA68"/>
  <c r="AY68"/>
  <c r="AW68"/>
  <c r="AU68"/>
  <c r="AS68"/>
  <c r="AQ68"/>
  <c r="AO68"/>
  <c r="AM68"/>
  <c r="AK68"/>
  <c r="AK70" s="1"/>
  <c r="AI68"/>
  <c r="AI70" s="1"/>
  <c r="AG68"/>
  <c r="AG70" s="1"/>
  <c r="AE68"/>
  <c r="AC68"/>
  <c r="AC70" s="1"/>
  <c r="AA68"/>
  <c r="AA70" s="1"/>
  <c r="Y68"/>
  <c r="O68"/>
  <c r="O70" s="1"/>
  <c r="T68"/>
  <c r="W68"/>
  <c r="U68"/>
  <c r="P68"/>
  <c r="P70" s="1"/>
  <c r="R68"/>
  <c r="L68"/>
  <c r="L70" s="1"/>
  <c r="I68"/>
  <c r="I70" s="1"/>
  <c r="I7" i="11"/>
  <c r="BI503" i="12"/>
  <c r="BG503"/>
  <c r="BE503"/>
  <c r="BC503"/>
  <c r="BA503"/>
  <c r="AY503"/>
  <c r="AW503"/>
  <c r="AU503"/>
  <c r="AS503"/>
  <c r="AQ503"/>
  <c r="AO503"/>
  <c r="AM503"/>
  <c r="AK503"/>
  <c r="AI503"/>
  <c r="AG503"/>
  <c r="AE503"/>
  <c r="AC503"/>
  <c r="AA503"/>
  <c r="Y503"/>
  <c r="O503"/>
  <c r="T503"/>
  <c r="W503"/>
  <c r="U503"/>
  <c r="P503"/>
  <c r="R503"/>
  <c r="L503"/>
  <c r="I503"/>
  <c r="BH503"/>
  <c r="BD503"/>
  <c r="AZ503"/>
  <c r="AV503"/>
  <c r="AR503"/>
  <c r="AN503"/>
  <c r="AJ503"/>
  <c r="AF503"/>
  <c r="AB503"/>
  <c r="X503"/>
  <c r="S503"/>
  <c r="Q503"/>
  <c r="M503"/>
  <c r="BI261"/>
  <c r="BG261"/>
  <c r="BE261"/>
  <c r="BC261"/>
  <c r="BA261"/>
  <c r="AY261"/>
  <c r="AW261"/>
  <c r="AU261"/>
  <c r="AS261"/>
  <c r="AQ261"/>
  <c r="AO261"/>
  <c r="AM261"/>
  <c r="AK261"/>
  <c r="AI261"/>
  <c r="AG261"/>
  <c r="AE261"/>
  <c r="AC261"/>
  <c r="AA261"/>
  <c r="Y261"/>
  <c r="O261"/>
  <c r="T261"/>
  <c r="W261"/>
  <c r="U261"/>
  <c r="P261"/>
  <c r="R261"/>
  <c r="L261"/>
  <c r="I261"/>
  <c r="BI345"/>
  <c r="BG345"/>
  <c r="BE345"/>
  <c r="BC345"/>
  <c r="BA345"/>
  <c r="AY345"/>
  <c r="AW345"/>
  <c r="AU345"/>
  <c r="AS345"/>
  <c r="AQ345"/>
  <c r="AO345"/>
  <c r="AM345"/>
  <c r="AK345"/>
  <c r="AI345"/>
  <c r="AG345"/>
  <c r="AE345"/>
  <c r="AC345"/>
  <c r="AA345"/>
  <c r="Y345"/>
  <c r="O345"/>
  <c r="T345"/>
  <c r="W345"/>
  <c r="U345"/>
  <c r="P345"/>
  <c r="R345"/>
  <c r="L345"/>
  <c r="I345"/>
  <c r="BH194"/>
  <c r="BF194"/>
  <c r="BD194"/>
  <c r="BB194"/>
  <c r="AZ194"/>
  <c r="AX194"/>
  <c r="AV194"/>
  <c r="AT194"/>
  <c r="AR194"/>
  <c r="AP194"/>
  <c r="AN194"/>
  <c r="AL194"/>
  <c r="AJ194"/>
  <c r="AH194"/>
  <c r="AF194"/>
  <c r="AD194"/>
  <c r="AB194"/>
  <c r="Z194"/>
  <c r="X194"/>
  <c r="N194"/>
  <c r="S194"/>
  <c r="V194"/>
  <c r="Q194"/>
  <c r="J194"/>
  <c r="M194"/>
  <c r="K194"/>
  <c r="BH261"/>
  <c r="BF261"/>
  <c r="BD261"/>
  <c r="BB261"/>
  <c r="AZ261"/>
  <c r="AX261"/>
  <c r="AV261"/>
  <c r="AT261"/>
  <c r="AR261"/>
  <c r="AP261"/>
  <c r="AN261"/>
  <c r="AL261"/>
  <c r="AJ261"/>
  <c r="AH261"/>
  <c r="AF261"/>
  <c r="AD261"/>
  <c r="AB261"/>
  <c r="Z261"/>
  <c r="X261"/>
  <c r="N261"/>
  <c r="S261"/>
  <c r="V261"/>
  <c r="Q261"/>
  <c r="J261"/>
  <c r="M261"/>
  <c r="K261"/>
  <c r="H261"/>
  <c r="BH345"/>
  <c r="BF345"/>
  <c r="BD345"/>
  <c r="BB345"/>
  <c r="AZ345"/>
  <c r="AX345"/>
  <c r="AV345"/>
  <c r="AT345"/>
  <c r="AR345"/>
  <c r="AP345"/>
  <c r="AN345"/>
  <c r="AL345"/>
  <c r="AJ345"/>
  <c r="AH345"/>
  <c r="AF345"/>
  <c r="AD345"/>
  <c r="AB345"/>
  <c r="Z345"/>
  <c r="X345"/>
  <c r="N345"/>
  <c r="S345"/>
  <c r="V345"/>
  <c r="Q345"/>
  <c r="J345"/>
  <c r="M345"/>
  <c r="K345"/>
  <c r="H345"/>
  <c r="BI194"/>
  <c r="BG194"/>
  <c r="BE194"/>
  <c r="BC194"/>
  <c r="BA194"/>
  <c r="AY194"/>
  <c r="AW194"/>
  <c r="AU194"/>
  <c r="AS194"/>
  <c r="AQ194"/>
  <c r="AO194"/>
  <c r="AM194"/>
  <c r="AK194"/>
  <c r="AI194"/>
  <c r="AG194"/>
  <c r="AE194"/>
  <c r="AC194"/>
  <c r="AA194"/>
  <c r="Y194"/>
  <c r="O194"/>
  <c r="T194"/>
  <c r="W194"/>
  <c r="U194"/>
  <c r="P194"/>
  <c r="R194"/>
  <c r="L194"/>
  <c r="I194"/>
  <c r="H194"/>
  <c r="BI568"/>
  <c r="BG568"/>
  <c r="BE568"/>
  <c r="BC568"/>
  <c r="BA568"/>
  <c r="AY568"/>
  <c r="AW568"/>
  <c r="AU568"/>
  <c r="AS568"/>
  <c r="AQ568"/>
  <c r="AO568"/>
  <c r="AM568"/>
  <c r="AK568"/>
  <c r="AI568"/>
  <c r="AG568"/>
  <c r="AE568"/>
  <c r="AC568"/>
  <c r="AA568"/>
  <c r="Y568"/>
  <c r="O568"/>
  <c r="T568"/>
  <c r="W568"/>
  <c r="U568"/>
  <c r="P568"/>
  <c r="R568"/>
  <c r="L568"/>
  <c r="I568"/>
  <c r="BF568"/>
  <c r="BB568"/>
  <c r="AX568"/>
  <c r="AT568"/>
  <c r="AP568"/>
  <c r="AL568"/>
  <c r="AH568"/>
  <c r="AD568"/>
  <c r="Z568"/>
  <c r="N568"/>
  <c r="V568"/>
  <c r="J568"/>
  <c r="K568"/>
  <c r="BH502"/>
  <c r="BF502"/>
  <c r="BF504" s="1"/>
  <c r="BD502"/>
  <c r="BD504" s="1"/>
  <c r="BB502"/>
  <c r="AZ502"/>
  <c r="AX502"/>
  <c r="AV502"/>
  <c r="AT502"/>
  <c r="AR502"/>
  <c r="AP502"/>
  <c r="AN502"/>
  <c r="AN504" s="1"/>
  <c r="AL502"/>
  <c r="AJ502"/>
  <c r="AJ504" s="1"/>
  <c r="AH502"/>
  <c r="AH504" s="1"/>
  <c r="AF502"/>
  <c r="AD502"/>
  <c r="AD504" s="1"/>
  <c r="AB502"/>
  <c r="AB504" s="1"/>
  <c r="Z502"/>
  <c r="Z504" s="1"/>
  <c r="X502"/>
  <c r="N502"/>
  <c r="N504" s="1"/>
  <c r="S502"/>
  <c r="V502"/>
  <c r="Q502"/>
  <c r="Q504" s="1"/>
  <c r="J502"/>
  <c r="J504" s="1"/>
  <c r="M502"/>
  <c r="M504" s="1"/>
  <c r="K502"/>
  <c r="K504" s="1"/>
  <c r="BI502"/>
  <c r="BI504" s="1"/>
  <c r="BE502"/>
  <c r="BE504" s="1"/>
  <c r="BA502"/>
  <c r="AW502"/>
  <c r="AS502"/>
  <c r="AO502"/>
  <c r="AK502"/>
  <c r="AK504" s="1"/>
  <c r="AG502"/>
  <c r="AG504" s="1"/>
  <c r="AC502"/>
  <c r="AC504" s="1"/>
  <c r="Y502"/>
  <c r="T502"/>
  <c r="U502"/>
  <c r="R502"/>
  <c r="I502"/>
  <c r="I504" s="1"/>
  <c r="H568"/>
  <c r="M68"/>
  <c r="M70" s="1"/>
  <c r="Q68"/>
  <c r="Q70" s="1"/>
  <c r="S68"/>
  <c r="X68"/>
  <c r="AB68"/>
  <c r="AB70" s="1"/>
  <c r="AF68"/>
  <c r="AJ68"/>
  <c r="AJ70" s="1"/>
  <c r="AN68"/>
  <c r="AN70" s="1"/>
  <c r="AR68"/>
  <c r="AV68"/>
  <c r="AZ68"/>
  <c r="BD68"/>
  <c r="BD70" s="1"/>
  <c r="BH68"/>
  <c r="BH70" s="1"/>
  <c r="K77"/>
  <c r="K79" s="1"/>
  <c r="J77"/>
  <c r="J79" s="1"/>
  <c r="V77"/>
  <c r="N77"/>
  <c r="N79" s="1"/>
  <c r="Z77"/>
  <c r="Z79" s="1"/>
  <c r="AD77"/>
  <c r="AD79" s="1"/>
  <c r="AH77"/>
  <c r="AH79" s="1"/>
  <c r="AL77"/>
  <c r="AP77"/>
  <c r="AT77"/>
  <c r="AX77"/>
  <c r="BB77"/>
  <c r="BF77"/>
  <c r="BF79" s="1"/>
  <c r="I388"/>
  <c r="I390" s="1"/>
  <c r="R388"/>
  <c r="U388"/>
  <c r="T388"/>
  <c r="Y388"/>
  <c r="AC388"/>
  <c r="AC390" s="1"/>
  <c r="AG388"/>
  <c r="AG390" s="1"/>
  <c r="AK388"/>
  <c r="AK390" s="1"/>
  <c r="AO388"/>
  <c r="AS388"/>
  <c r="AW388"/>
  <c r="BA388"/>
  <c r="BE388"/>
  <c r="BE390" s="1"/>
  <c r="BI388"/>
  <c r="BI390" s="1"/>
  <c r="L396"/>
  <c r="L398" s="1"/>
  <c r="P396"/>
  <c r="P398" s="1"/>
  <c r="W396"/>
  <c r="O396"/>
  <c r="O398" s="1"/>
  <c r="AA396"/>
  <c r="AA398" s="1"/>
  <c r="AE396"/>
  <c r="AI396"/>
  <c r="AI398" s="1"/>
  <c r="AM396"/>
  <c r="AQ396"/>
  <c r="AU396"/>
  <c r="AY396"/>
  <c r="BC396"/>
  <c r="P502"/>
  <c r="P504" s="1"/>
  <c r="O502"/>
  <c r="O504" s="1"/>
  <c r="AE502"/>
  <c r="AM502"/>
  <c r="AU502"/>
  <c r="BC502"/>
  <c r="K503"/>
  <c r="V503"/>
  <c r="Z503"/>
  <c r="AH503"/>
  <c r="AP503"/>
  <c r="AX503"/>
  <c r="BF503"/>
  <c r="M568"/>
  <c r="S568"/>
  <c r="AB568"/>
  <c r="AJ568"/>
  <c r="AR568"/>
  <c r="AZ568"/>
  <c r="BH568"/>
  <c r="M122"/>
  <c r="M124" s="1"/>
  <c r="S122"/>
  <c r="AB122"/>
  <c r="AB124" s="1"/>
  <c r="AJ122"/>
  <c r="AJ124" s="1"/>
  <c r="AR122"/>
  <c r="AZ122"/>
  <c r="BH122"/>
  <c r="BH124" s="1"/>
  <c r="K130"/>
  <c r="K132" s="1"/>
  <c r="V130"/>
  <c r="Z130"/>
  <c r="Z132" s="1"/>
  <c r="AH130"/>
  <c r="AH132" s="1"/>
  <c r="AP130"/>
  <c r="AX130"/>
  <c r="BH396"/>
  <c r="BF396"/>
  <c r="BF398" s="1"/>
  <c r="BD396"/>
  <c r="BD398" s="1"/>
  <c r="BB396"/>
  <c r="AZ396"/>
  <c r="AX396"/>
  <c r="AV396"/>
  <c r="AT396"/>
  <c r="AR396"/>
  <c r="AP396"/>
  <c r="AN396"/>
  <c r="AN398" s="1"/>
  <c r="AL396"/>
  <c r="AJ396"/>
  <c r="AJ398" s="1"/>
  <c r="AH396"/>
  <c r="AH398" s="1"/>
  <c r="AF396"/>
  <c r="AD396"/>
  <c r="AD398" s="1"/>
  <c r="AB396"/>
  <c r="AB398" s="1"/>
  <c r="Z396"/>
  <c r="Z398" s="1"/>
  <c r="X396"/>
  <c r="N396"/>
  <c r="N398" s="1"/>
  <c r="S396"/>
  <c r="V396"/>
  <c r="Q396"/>
  <c r="Q398" s="1"/>
  <c r="J396"/>
  <c r="J398" s="1"/>
  <c r="M396"/>
  <c r="M398" s="1"/>
  <c r="K396"/>
  <c r="K398" s="1"/>
  <c r="I16" i="11"/>
  <c r="BI130" i="12"/>
  <c r="BI132" s="1"/>
  <c r="BG130"/>
  <c r="BG132" s="1"/>
  <c r="BE130"/>
  <c r="BE132" s="1"/>
  <c r="BC130"/>
  <c r="BA130"/>
  <c r="AY130"/>
  <c r="AW130"/>
  <c r="AU130"/>
  <c r="AS130"/>
  <c r="AQ130"/>
  <c r="AO130"/>
  <c r="AM130"/>
  <c r="AK130"/>
  <c r="AK132" s="1"/>
  <c r="AI130"/>
  <c r="AI132" s="1"/>
  <c r="AG130"/>
  <c r="AG132" s="1"/>
  <c r="AE130"/>
  <c r="AC130"/>
  <c r="AC132" s="1"/>
  <c r="AA130"/>
  <c r="Y130"/>
  <c r="O130"/>
  <c r="O132" s="1"/>
  <c r="T130"/>
  <c r="W130"/>
  <c r="U130"/>
  <c r="P130"/>
  <c r="P132" s="1"/>
  <c r="R130"/>
  <c r="L130"/>
  <c r="L132" s="1"/>
  <c r="I130"/>
  <c r="I132" s="1"/>
  <c r="H130"/>
  <c r="BH130"/>
  <c r="BH132" s="1"/>
  <c r="BD130"/>
  <c r="BD132" s="1"/>
  <c r="AZ130"/>
  <c r="AV130"/>
  <c r="AR130"/>
  <c r="AN130"/>
  <c r="AN132" s="1"/>
  <c r="AJ130"/>
  <c r="AJ132" s="1"/>
  <c r="AF130"/>
  <c r="AB130"/>
  <c r="AB132" s="1"/>
  <c r="X130"/>
  <c r="S130"/>
  <c r="Q130"/>
  <c r="Q132" s="1"/>
  <c r="M130"/>
  <c r="M132" s="1"/>
  <c r="BI77"/>
  <c r="BI79" s="1"/>
  <c r="BG77"/>
  <c r="BG79" s="1"/>
  <c r="BE77"/>
  <c r="BE79" s="1"/>
  <c r="BC77"/>
  <c r="BA77"/>
  <c r="AY77"/>
  <c r="AW77"/>
  <c r="AU77"/>
  <c r="AS77"/>
  <c r="AQ77"/>
  <c r="AO77"/>
  <c r="AM77"/>
  <c r="AK77"/>
  <c r="AK79" s="1"/>
  <c r="AI77"/>
  <c r="AI79" s="1"/>
  <c r="AG77"/>
  <c r="AG79" s="1"/>
  <c r="AE77"/>
  <c r="AC77"/>
  <c r="AC79" s="1"/>
  <c r="AA77"/>
  <c r="AA79" s="1"/>
  <c r="Y77"/>
  <c r="O77"/>
  <c r="O79" s="1"/>
  <c r="T77"/>
  <c r="W77"/>
  <c r="U77"/>
  <c r="P77"/>
  <c r="P79" s="1"/>
  <c r="R77"/>
  <c r="L77"/>
  <c r="L79" s="1"/>
  <c r="I77"/>
  <c r="I79" s="1"/>
  <c r="I8" i="11"/>
  <c r="I10"/>
  <c r="K68" i="12"/>
  <c r="K70" s="1"/>
  <c r="J68"/>
  <c r="J70" s="1"/>
  <c r="V68"/>
  <c r="N68"/>
  <c r="N70" s="1"/>
  <c r="Z68"/>
  <c r="Z70" s="1"/>
  <c r="AD68"/>
  <c r="AD70" s="1"/>
  <c r="AH68"/>
  <c r="AH70" s="1"/>
  <c r="AL68"/>
  <c r="AP68"/>
  <c r="AT68"/>
  <c r="AX68"/>
  <c r="BB68"/>
  <c r="BF68"/>
  <c r="BF70" s="1"/>
  <c r="M77"/>
  <c r="M79" s="1"/>
  <c r="Q77"/>
  <c r="Q79" s="1"/>
  <c r="S77"/>
  <c r="X77"/>
  <c r="AB77"/>
  <c r="AB79" s="1"/>
  <c r="AF77"/>
  <c r="AJ77"/>
  <c r="AJ79" s="1"/>
  <c r="AN77"/>
  <c r="AN79" s="1"/>
  <c r="AR77"/>
  <c r="AV77"/>
  <c r="AZ77"/>
  <c r="BD77"/>
  <c r="BD79" s="1"/>
  <c r="BH77"/>
  <c r="BH79" s="1"/>
  <c r="L388"/>
  <c r="L390" s="1"/>
  <c r="P388"/>
  <c r="P390" s="1"/>
  <c r="W388"/>
  <c r="O388"/>
  <c r="O390" s="1"/>
  <c r="AA388"/>
  <c r="AE388"/>
  <c r="AI388"/>
  <c r="AI390" s="1"/>
  <c r="AM388"/>
  <c r="AQ388"/>
  <c r="AU388"/>
  <c r="AY388"/>
  <c r="BC388"/>
  <c r="BG388"/>
  <c r="BG390" s="1"/>
  <c r="I396"/>
  <c r="I398" s="1"/>
  <c r="R396"/>
  <c r="U396"/>
  <c r="T396"/>
  <c r="T398"/>
  <c r="Y396"/>
  <c r="Y398"/>
  <c r="AC396"/>
  <c r="AC398"/>
  <c r="AG396"/>
  <c r="AG398"/>
  <c r="AK396"/>
  <c r="AK398"/>
  <c r="AO396"/>
  <c r="AS396"/>
  <c r="AW396"/>
  <c r="BA396"/>
  <c r="BE396"/>
  <c r="BE398"/>
  <c r="BI396"/>
  <c r="BI398"/>
  <c r="L502"/>
  <c r="L504"/>
  <c r="W502"/>
  <c r="AA502"/>
  <c r="AA504"/>
  <c r="AI502"/>
  <c r="AI504"/>
  <c r="AQ502"/>
  <c r="AY502"/>
  <c r="BG502"/>
  <c r="BG504"/>
  <c r="J503"/>
  <c r="N503"/>
  <c r="AD503"/>
  <c r="AL503"/>
  <c r="AT503"/>
  <c r="BB503"/>
  <c r="Q568"/>
  <c r="X568"/>
  <c r="AF568"/>
  <c r="AN568"/>
  <c r="AV568"/>
  <c r="BD568"/>
  <c r="Q122"/>
  <c r="Q124" s="1"/>
  <c r="X122"/>
  <c r="AF122"/>
  <c r="AN122"/>
  <c r="AN124" s="1"/>
  <c r="AV122"/>
  <c r="BD122"/>
  <c r="BD124" s="1"/>
  <c r="J130"/>
  <c r="J132" s="1"/>
  <c r="N130"/>
  <c r="N132" s="1"/>
  <c r="AD130"/>
  <c r="AD132" s="1"/>
  <c r="AL130"/>
  <c r="AT130"/>
  <c r="BB130"/>
  <c r="BI495"/>
  <c r="BG495"/>
  <c r="BE495"/>
  <c r="BC495"/>
  <c r="BA495"/>
  <c r="AY495"/>
  <c r="AW495"/>
  <c r="AU495"/>
  <c r="AS495"/>
  <c r="AQ495"/>
  <c r="AO495"/>
  <c r="AM495"/>
  <c r="AK495"/>
  <c r="AI495"/>
  <c r="AG495"/>
  <c r="AE495"/>
  <c r="AC495"/>
  <c r="AA495"/>
  <c r="Y495"/>
  <c r="O495"/>
  <c r="T495"/>
  <c r="W495"/>
  <c r="U495"/>
  <c r="P495"/>
  <c r="R495"/>
  <c r="BI269"/>
  <c r="BG269"/>
  <c r="BE269"/>
  <c r="BC269"/>
  <c r="BA269"/>
  <c r="AY269"/>
  <c r="AW269"/>
  <c r="AU269"/>
  <c r="AS269"/>
  <c r="AQ269"/>
  <c r="AO269"/>
  <c r="AM269"/>
  <c r="AK269"/>
  <c r="AI269"/>
  <c r="AG269"/>
  <c r="AE269"/>
  <c r="AC269"/>
  <c r="AA269"/>
  <c r="Y269"/>
  <c r="O269"/>
  <c r="T269"/>
  <c r="W269"/>
  <c r="U269"/>
  <c r="P269"/>
  <c r="R269"/>
  <c r="L269"/>
  <c r="I269"/>
  <c r="BI353"/>
  <c r="BG353"/>
  <c r="BE353"/>
  <c r="BC353"/>
  <c r="BA353"/>
  <c r="AY353"/>
  <c r="AW353"/>
  <c r="AU353"/>
  <c r="AS353"/>
  <c r="AQ353"/>
  <c r="AO353"/>
  <c r="AM353"/>
  <c r="AK353"/>
  <c r="AI353"/>
  <c r="AG353"/>
  <c r="AE353"/>
  <c r="AC353"/>
  <c r="AA353"/>
  <c r="Y353"/>
  <c r="O353"/>
  <c r="T353"/>
  <c r="W353"/>
  <c r="U353"/>
  <c r="P353"/>
  <c r="R353"/>
  <c r="L353"/>
  <c r="I353"/>
  <c r="BH202"/>
  <c r="BF202"/>
  <c r="BD202"/>
  <c r="BB202"/>
  <c r="AZ202"/>
  <c r="AX202"/>
  <c r="AV202"/>
  <c r="AT202"/>
  <c r="AR202"/>
  <c r="AP202"/>
  <c r="AN202"/>
  <c r="AL202"/>
  <c r="AJ202"/>
  <c r="AH202"/>
  <c r="AF202"/>
  <c r="AD202"/>
  <c r="AB202"/>
  <c r="Z202"/>
  <c r="X202"/>
  <c r="N202"/>
  <c r="S202"/>
  <c r="V202"/>
  <c r="Q202"/>
  <c r="J202"/>
  <c r="M202"/>
  <c r="K202"/>
  <c r="BH269"/>
  <c r="BF269"/>
  <c r="BD269"/>
  <c r="BB269"/>
  <c r="AZ269"/>
  <c r="AZ271" s="1"/>
  <c r="AX269"/>
  <c r="AV269"/>
  <c r="AT269"/>
  <c r="AR269"/>
  <c r="AP269"/>
  <c r="AN269"/>
  <c r="AN271" s="1"/>
  <c r="AL269"/>
  <c r="AL271" s="1"/>
  <c r="AJ269"/>
  <c r="AJ271" s="1"/>
  <c r="AH269"/>
  <c r="AH271" s="1"/>
  <c r="AF269"/>
  <c r="AF271" s="1"/>
  <c r="AD269"/>
  <c r="AD271" s="1"/>
  <c r="AB269"/>
  <c r="AB271" s="1"/>
  <c r="Z269"/>
  <c r="X269"/>
  <c r="N269"/>
  <c r="N271" s="1"/>
  <c r="S269"/>
  <c r="S271" s="1"/>
  <c r="V269"/>
  <c r="V271" s="1"/>
  <c r="Q269"/>
  <c r="Q271" s="1"/>
  <c r="J269"/>
  <c r="J271" s="1"/>
  <c r="M269"/>
  <c r="M271" s="1"/>
  <c r="K269"/>
  <c r="K271" s="1"/>
  <c r="H269"/>
  <c r="BH353"/>
  <c r="BH355" s="1"/>
  <c r="BF353"/>
  <c r="BF355" s="1"/>
  <c r="BD353"/>
  <c r="BD355" s="1"/>
  <c r="BB353"/>
  <c r="AZ353"/>
  <c r="AZ355" s="1"/>
  <c r="AX353"/>
  <c r="AV353"/>
  <c r="AT353"/>
  <c r="AR353"/>
  <c r="AP353"/>
  <c r="AN353"/>
  <c r="AN355" s="1"/>
  <c r="AL353"/>
  <c r="AL355" s="1"/>
  <c r="AJ353"/>
  <c r="AJ355" s="1"/>
  <c r="AH353"/>
  <c r="AH355" s="1"/>
  <c r="AF353"/>
  <c r="AF355" s="1"/>
  <c r="AD353"/>
  <c r="AD355" s="1"/>
  <c r="AB353"/>
  <c r="AB355" s="1"/>
  <c r="Z353"/>
  <c r="X353"/>
  <c r="N353"/>
  <c r="N355" s="1"/>
  <c r="S353"/>
  <c r="S355" s="1"/>
  <c r="V353"/>
  <c r="V355" s="1"/>
  <c r="Q353"/>
  <c r="Q355" s="1"/>
  <c r="J353"/>
  <c r="J355" s="1"/>
  <c r="M353"/>
  <c r="M355" s="1"/>
  <c r="K353"/>
  <c r="H353"/>
  <c r="H355" s="1"/>
  <c r="BI202"/>
  <c r="BI204" s="1"/>
  <c r="BG202"/>
  <c r="BG204" s="1"/>
  <c r="BE202"/>
  <c r="BE204" s="1"/>
  <c r="BC202"/>
  <c r="BA202"/>
  <c r="AY202"/>
  <c r="AW202"/>
  <c r="AW204" s="1"/>
  <c r="AU202"/>
  <c r="AS202"/>
  <c r="AS204" s="1"/>
  <c r="AQ202"/>
  <c r="AO202"/>
  <c r="AO204" s="1"/>
  <c r="AM202"/>
  <c r="AM204" s="1"/>
  <c r="AK202"/>
  <c r="AK204" s="1"/>
  <c r="AI202"/>
  <c r="AI204" s="1"/>
  <c r="AG202"/>
  <c r="AG204" s="1"/>
  <c r="AE202"/>
  <c r="AE204" s="1"/>
  <c r="AC202"/>
  <c r="AC204" s="1"/>
  <c r="AA202"/>
  <c r="AA204" s="1"/>
  <c r="Y202"/>
  <c r="Y204" s="1"/>
  <c r="O202"/>
  <c r="O204" s="1"/>
  <c r="T202"/>
  <c r="T204" s="1"/>
  <c r="W202"/>
  <c r="W204" s="1"/>
  <c r="U202"/>
  <c r="U204" s="1"/>
  <c r="P202"/>
  <c r="P204" s="1"/>
  <c r="R202"/>
  <c r="R204" s="1"/>
  <c r="L202"/>
  <c r="I202"/>
  <c r="H202"/>
  <c r="H204" s="1"/>
  <c r="BI576"/>
  <c r="BI578" s="1"/>
  <c r="BG576"/>
  <c r="BG578" s="1"/>
  <c r="BE576"/>
  <c r="BE578" s="1"/>
  <c r="BC576"/>
  <c r="BA576"/>
  <c r="AY576"/>
  <c r="AW576"/>
  <c r="AW578" s="1"/>
  <c r="AU576"/>
  <c r="AS576"/>
  <c r="AS578" s="1"/>
  <c r="AQ576"/>
  <c r="AO576"/>
  <c r="AM576"/>
  <c r="AK576"/>
  <c r="AI576"/>
  <c r="AG576"/>
  <c r="AE576"/>
  <c r="AC576"/>
  <c r="AA576"/>
  <c r="Y576"/>
  <c r="O576"/>
  <c r="T576"/>
  <c r="W576"/>
  <c r="U576"/>
  <c r="P576"/>
  <c r="R576"/>
  <c r="L576"/>
  <c r="I576"/>
  <c r="BI268"/>
  <c r="BI270" s="1"/>
  <c r="BG268"/>
  <c r="BG270" s="1"/>
  <c r="BE268"/>
  <c r="BE270" s="1"/>
  <c r="BC268"/>
  <c r="BA268"/>
  <c r="AY268"/>
  <c r="AW268"/>
  <c r="AU268"/>
  <c r="AS268"/>
  <c r="AQ268"/>
  <c r="AO268"/>
  <c r="AM268"/>
  <c r="AK268"/>
  <c r="AK270" s="1"/>
  <c r="AI268"/>
  <c r="AI270" s="1"/>
  <c r="AG268"/>
  <c r="AG270" s="1"/>
  <c r="AE268"/>
  <c r="AC268"/>
  <c r="AC270" s="1"/>
  <c r="AA268"/>
  <c r="AA270" s="1"/>
  <c r="Y268"/>
  <c r="O268"/>
  <c r="O270" s="1"/>
  <c r="T268"/>
  <c r="W268"/>
  <c r="U268"/>
  <c r="P268"/>
  <c r="P270" s="1"/>
  <c r="R268"/>
  <c r="L268"/>
  <c r="L270" s="1"/>
  <c r="I268"/>
  <c r="I270" s="1"/>
  <c r="BI352"/>
  <c r="BI354" s="1"/>
  <c r="BG352"/>
  <c r="BG354" s="1"/>
  <c r="BE352"/>
  <c r="BE354" s="1"/>
  <c r="BC352"/>
  <c r="BA352"/>
  <c r="AY352"/>
  <c r="AW352"/>
  <c r="AU352"/>
  <c r="AS352"/>
  <c r="AQ352"/>
  <c r="AO352"/>
  <c r="AM352"/>
  <c r="AK352"/>
  <c r="AK354" s="1"/>
  <c r="AI352"/>
  <c r="AI354" s="1"/>
  <c r="AG352"/>
  <c r="AG354" s="1"/>
  <c r="AE352"/>
  <c r="AC352"/>
  <c r="AC354" s="1"/>
  <c r="AA352"/>
  <c r="AA354" s="1"/>
  <c r="Y352"/>
  <c r="O352"/>
  <c r="O354" s="1"/>
  <c r="T352"/>
  <c r="W352"/>
  <c r="U352"/>
  <c r="P352"/>
  <c r="P354" s="1"/>
  <c r="R352"/>
  <c r="L352"/>
  <c r="L354" s="1"/>
  <c r="I352"/>
  <c r="I354" s="1"/>
  <c r="BI201"/>
  <c r="BI203" s="1"/>
  <c r="BG201"/>
  <c r="BG203" s="1"/>
  <c r="BE201"/>
  <c r="BE203" s="1"/>
  <c r="BC201"/>
  <c r="BA201"/>
  <c r="AY201"/>
  <c r="AW201"/>
  <c r="AU201"/>
  <c r="AS201"/>
  <c r="AQ201"/>
  <c r="AO201"/>
  <c r="AM201"/>
  <c r="AK201"/>
  <c r="AK203" s="1"/>
  <c r="AI201"/>
  <c r="AI203" s="1"/>
  <c r="AG201"/>
  <c r="AG203" s="1"/>
  <c r="AE201"/>
  <c r="AC201"/>
  <c r="AC203" s="1"/>
  <c r="AA201"/>
  <c r="AA203" s="1"/>
  <c r="Y201"/>
  <c r="O201"/>
  <c r="O203" s="1"/>
  <c r="T201"/>
  <c r="W201"/>
  <c r="U201"/>
  <c r="P201"/>
  <c r="P203" s="1"/>
  <c r="R201"/>
  <c r="L201"/>
  <c r="L203" s="1"/>
  <c r="I201"/>
  <c r="I203" s="1"/>
  <c r="H201"/>
  <c r="BH268"/>
  <c r="BH270" s="1"/>
  <c r="BF268"/>
  <c r="BF270" s="1"/>
  <c r="BD268"/>
  <c r="BD270" s="1"/>
  <c r="BB268"/>
  <c r="AZ268"/>
  <c r="AX268"/>
  <c r="AV268"/>
  <c r="AT268"/>
  <c r="AR268"/>
  <c r="AP268"/>
  <c r="AN268"/>
  <c r="AN270" s="1"/>
  <c r="AL268"/>
  <c r="AJ268"/>
  <c r="AJ270" s="1"/>
  <c r="AH268"/>
  <c r="AH270" s="1"/>
  <c r="AF268"/>
  <c r="AD268"/>
  <c r="AD270" s="1"/>
  <c r="AB268"/>
  <c r="AB270" s="1"/>
  <c r="Z268"/>
  <c r="Z270" s="1"/>
  <c r="X268"/>
  <c r="N268"/>
  <c r="N270" s="1"/>
  <c r="S268"/>
  <c r="V268"/>
  <c r="Q268"/>
  <c r="Q270" s="1"/>
  <c r="J268"/>
  <c r="J270" s="1"/>
  <c r="M268"/>
  <c r="M270" s="1"/>
  <c r="K268"/>
  <c r="K270" s="1"/>
  <c r="H268"/>
  <c r="BH352"/>
  <c r="BH354" s="1"/>
  <c r="BF352"/>
  <c r="BF354" s="1"/>
  <c r="BD352"/>
  <c r="BD354" s="1"/>
  <c r="BB352"/>
  <c r="AZ352"/>
  <c r="AX352"/>
  <c r="AV352"/>
  <c r="AT352"/>
  <c r="AR352"/>
  <c r="AP352"/>
  <c r="AN352"/>
  <c r="AN354" s="1"/>
  <c r="AL352"/>
  <c r="AJ352"/>
  <c r="AJ354" s="1"/>
  <c r="AH352"/>
  <c r="AH354" s="1"/>
  <c r="AF352"/>
  <c r="AD352"/>
  <c r="AD354" s="1"/>
  <c r="AB352"/>
  <c r="AB354" s="1"/>
  <c r="Z352"/>
  <c r="Z354" s="1"/>
  <c r="X352"/>
  <c r="N352"/>
  <c r="N354" s="1"/>
  <c r="S352"/>
  <c r="V352"/>
  <c r="Q352"/>
  <c r="Q354" s="1"/>
  <c r="J352"/>
  <c r="J354" s="1"/>
  <c r="M352"/>
  <c r="M354" s="1"/>
  <c r="K352"/>
  <c r="K354" s="1"/>
  <c r="H352"/>
  <c r="BH201"/>
  <c r="BH203" s="1"/>
  <c r="BF201"/>
  <c r="BF203" s="1"/>
  <c r="BD201"/>
  <c r="BD203" s="1"/>
  <c r="BB201"/>
  <c r="AZ201"/>
  <c r="AX201"/>
  <c r="AV201"/>
  <c r="AT201"/>
  <c r="AR201"/>
  <c r="AP201"/>
  <c r="AN201"/>
  <c r="AN203" s="1"/>
  <c r="AL201"/>
  <c r="AJ201"/>
  <c r="AJ203" s="1"/>
  <c r="AH201"/>
  <c r="AH203" s="1"/>
  <c r="AF201"/>
  <c r="AD201"/>
  <c r="AD203" s="1"/>
  <c r="AB201"/>
  <c r="AB203" s="1"/>
  <c r="Z201"/>
  <c r="Z203" s="1"/>
  <c r="X201"/>
  <c r="N201"/>
  <c r="N203" s="1"/>
  <c r="S201"/>
  <c r="V201"/>
  <c r="Q201"/>
  <c r="Q203" s="1"/>
  <c r="J201"/>
  <c r="J203" s="1"/>
  <c r="M201"/>
  <c r="M203" s="1"/>
  <c r="K201"/>
  <c r="K203" s="1"/>
  <c r="BH575"/>
  <c r="BH577" s="1"/>
  <c r="BF575"/>
  <c r="BF577" s="1"/>
  <c r="BD575"/>
  <c r="BD577" s="1"/>
  <c r="BB575"/>
  <c r="AZ575"/>
  <c r="AX575"/>
  <c r="AV575"/>
  <c r="AT575"/>
  <c r="AR575"/>
  <c r="AP575"/>
  <c r="AN575"/>
  <c r="AN577" s="1"/>
  <c r="AL575"/>
  <c r="AJ575"/>
  <c r="AJ577" s="1"/>
  <c r="AH575"/>
  <c r="AH577" s="1"/>
  <c r="AF575"/>
  <c r="AD575"/>
  <c r="AD577" s="1"/>
  <c r="AB575"/>
  <c r="AB577" s="1"/>
  <c r="Z575"/>
  <c r="Z577" s="1"/>
  <c r="X575"/>
  <c r="N575"/>
  <c r="N577" s="1"/>
  <c r="S575"/>
  <c r="V575"/>
  <c r="Q575"/>
  <c r="Q577" s="1"/>
  <c r="J575"/>
  <c r="J577" s="1"/>
  <c r="M575"/>
  <c r="M577" s="1"/>
  <c r="K575"/>
  <c r="K577" s="1"/>
  <c r="I495"/>
  <c r="L495"/>
  <c r="J495"/>
  <c r="V495"/>
  <c r="N495"/>
  <c r="Z495"/>
  <c r="AD495"/>
  <c r="AH495"/>
  <c r="AL495"/>
  <c r="AP495"/>
  <c r="AT495"/>
  <c r="AX495"/>
  <c r="BB495"/>
  <c r="BF495"/>
  <c r="I575"/>
  <c r="I577" s="1"/>
  <c r="R575"/>
  <c r="U575"/>
  <c r="T575"/>
  <c r="T577" s="1"/>
  <c r="Y575"/>
  <c r="AC575"/>
  <c r="AC577" s="1"/>
  <c r="AG575"/>
  <c r="AG577" s="1"/>
  <c r="AK575"/>
  <c r="AK577" s="1"/>
  <c r="AO575"/>
  <c r="AS575"/>
  <c r="AW575"/>
  <c r="BA575"/>
  <c r="BE575"/>
  <c r="BE577" s="1"/>
  <c r="BI575"/>
  <c r="BI577" s="1"/>
  <c r="M576"/>
  <c r="M578" s="1"/>
  <c r="Q576"/>
  <c r="Q578" s="1"/>
  <c r="S576"/>
  <c r="S578" s="1"/>
  <c r="X576"/>
  <c r="AB576"/>
  <c r="AB578" s="1"/>
  <c r="AF576"/>
  <c r="AF578" s="1"/>
  <c r="AJ576"/>
  <c r="AJ578" s="1"/>
  <c r="AN576"/>
  <c r="AN578" s="1"/>
  <c r="AR576"/>
  <c r="AV576"/>
  <c r="AZ576"/>
  <c r="AZ578" s="1"/>
  <c r="BD576"/>
  <c r="BD578" s="1"/>
  <c r="BH576"/>
  <c r="BH578" s="1"/>
  <c r="K41"/>
  <c r="M41"/>
  <c r="J41"/>
  <c r="Q41"/>
  <c r="V41"/>
  <c r="S41"/>
  <c r="N41"/>
  <c r="X41"/>
  <c r="Z41"/>
  <c r="AB41"/>
  <c r="AD41"/>
  <c r="AF41"/>
  <c r="AH41"/>
  <c r="AJ41"/>
  <c r="AL41"/>
  <c r="AN41"/>
  <c r="AP41"/>
  <c r="AR41"/>
  <c r="AT41"/>
  <c r="AV41"/>
  <c r="AX41"/>
  <c r="AZ41"/>
  <c r="BB41"/>
  <c r="BD41"/>
  <c r="BF41"/>
  <c r="BH41"/>
  <c r="I48"/>
  <c r="L48"/>
  <c r="R48"/>
  <c r="P48"/>
  <c r="U48"/>
  <c r="W48"/>
  <c r="T48"/>
  <c r="O48"/>
  <c r="Y48"/>
  <c r="AA48"/>
  <c r="AC48"/>
  <c r="AE48"/>
  <c r="AG48"/>
  <c r="AI48"/>
  <c r="AK48"/>
  <c r="AM48"/>
  <c r="AO48"/>
  <c r="AQ48"/>
  <c r="AS48"/>
  <c r="AU48"/>
  <c r="AW48"/>
  <c r="AY48"/>
  <c r="BA48"/>
  <c r="BC48"/>
  <c r="BE48"/>
  <c r="BG48"/>
  <c r="BI48"/>
  <c r="I468"/>
  <c r="L468"/>
  <c r="R468"/>
  <c r="P468"/>
  <c r="U468"/>
  <c r="W468"/>
  <c r="T468"/>
  <c r="O468"/>
  <c r="Y468"/>
  <c r="AA468"/>
  <c r="AC468"/>
  <c r="AE468"/>
  <c r="AG468"/>
  <c r="AI468"/>
  <c r="AK468"/>
  <c r="AM468"/>
  <c r="AO468"/>
  <c r="AQ468"/>
  <c r="AS468"/>
  <c r="AU468"/>
  <c r="AW468"/>
  <c r="AY468"/>
  <c r="BA468"/>
  <c r="BC468"/>
  <c r="BE468"/>
  <c r="BG468"/>
  <c r="BI468"/>
  <c r="BH375"/>
  <c r="BF375"/>
  <c r="BD375"/>
  <c r="BB375"/>
  <c r="AZ375"/>
  <c r="AX375"/>
  <c r="AV375"/>
  <c r="AT375"/>
  <c r="AR375"/>
  <c r="AP375"/>
  <c r="AN375"/>
  <c r="AL375"/>
  <c r="AJ375"/>
  <c r="AH375"/>
  <c r="AF375"/>
  <c r="AD375"/>
  <c r="AB375"/>
  <c r="Z375"/>
  <c r="X375"/>
  <c r="N375"/>
  <c r="S375"/>
  <c r="V375"/>
  <c r="Q375"/>
  <c r="J375"/>
  <c r="M375"/>
  <c r="K375"/>
  <c r="H375"/>
  <c r="I41"/>
  <c r="L41"/>
  <c r="R41"/>
  <c r="P41"/>
  <c r="U41"/>
  <c r="W41"/>
  <c r="T41"/>
  <c r="O41"/>
  <c r="Y41"/>
  <c r="AA41"/>
  <c r="AC41"/>
  <c r="AE41"/>
  <c r="AG41"/>
  <c r="AI41"/>
  <c r="AK41"/>
  <c r="AM41"/>
  <c r="AO41"/>
  <c r="AQ41"/>
  <c r="AS41"/>
  <c r="AU41"/>
  <c r="AW41"/>
  <c r="AY41"/>
  <c r="BA41"/>
  <c r="BC41"/>
  <c r="BE41"/>
  <c r="BG41"/>
  <c r="K48"/>
  <c r="M48"/>
  <c r="J48"/>
  <c r="Q48"/>
  <c r="V48"/>
  <c r="S48"/>
  <c r="N48"/>
  <c r="X48"/>
  <c r="Z48"/>
  <c r="AB48"/>
  <c r="AD48"/>
  <c r="AF48"/>
  <c r="AH48"/>
  <c r="AJ48"/>
  <c r="AL48"/>
  <c r="AN48"/>
  <c r="AP48"/>
  <c r="AR48"/>
  <c r="AT48"/>
  <c r="AV48"/>
  <c r="AX48"/>
  <c r="AZ48"/>
  <c r="BB48"/>
  <c r="BD48"/>
  <c r="BF48"/>
  <c r="K468"/>
  <c r="M468"/>
  <c r="J468"/>
  <c r="Q468"/>
  <c r="V468"/>
  <c r="S468"/>
  <c r="N468"/>
  <c r="X468"/>
  <c r="Z468"/>
  <c r="AB468"/>
  <c r="AD468"/>
  <c r="AF468"/>
  <c r="AH468"/>
  <c r="AJ468"/>
  <c r="AL468"/>
  <c r="AN468"/>
  <c r="AP468"/>
  <c r="AR468"/>
  <c r="AT468"/>
  <c r="AV468"/>
  <c r="AX468"/>
  <c r="AZ468"/>
  <c r="BB468"/>
  <c r="BD468"/>
  <c r="BF468"/>
  <c r="BI375"/>
  <c r="BG375"/>
  <c r="BE375"/>
  <c r="BC375"/>
  <c r="BA375"/>
  <c r="AY375"/>
  <c r="AW375"/>
  <c r="AU375"/>
  <c r="AS375"/>
  <c r="AQ375"/>
  <c r="AO375"/>
  <c r="AM375"/>
  <c r="AK375"/>
  <c r="AI375"/>
  <c r="AG375"/>
  <c r="AE375"/>
  <c r="AC375"/>
  <c r="AA375"/>
  <c r="Y375"/>
  <c r="O375"/>
  <c r="T375"/>
  <c r="W375"/>
  <c r="U375"/>
  <c r="P375"/>
  <c r="R375"/>
  <c r="L375"/>
  <c r="K14" i="4"/>
  <c r="H22" i="14" s="1"/>
  <c r="O22" i="4"/>
  <c r="I16" i="14"/>
  <c r="I30"/>
  <c r="L30"/>
  <c r="R30"/>
  <c r="P30"/>
  <c r="U30"/>
  <c r="W30"/>
  <c r="T30"/>
  <c r="O30"/>
  <c r="Y30"/>
  <c r="AA30"/>
  <c r="AC30"/>
  <c r="AE30"/>
  <c r="AG30"/>
  <c r="AI30"/>
  <c r="AK30"/>
  <c r="AM30"/>
  <c r="AO30"/>
  <c r="AQ30"/>
  <c r="AS30"/>
  <c r="AU30"/>
  <c r="AW30"/>
  <c r="AY30"/>
  <c r="BA30"/>
  <c r="BC30"/>
  <c r="BE30"/>
  <c r="BG30"/>
  <c r="BI30"/>
  <c r="I22"/>
  <c r="R22"/>
  <c r="P22"/>
  <c r="U22"/>
  <c r="W22"/>
  <c r="T22"/>
  <c r="O22"/>
  <c r="O25" s="1"/>
  <c r="Y22"/>
  <c r="AA22"/>
  <c r="AC22"/>
  <c r="AE22"/>
  <c r="AG22"/>
  <c r="AI22"/>
  <c r="AK22"/>
  <c r="AM22"/>
  <c r="AO22"/>
  <c r="AQ22"/>
  <c r="AS22"/>
  <c r="AU22"/>
  <c r="AU25" s="1"/>
  <c r="AW22"/>
  <c r="AY22"/>
  <c r="BA22"/>
  <c r="BA25" s="1"/>
  <c r="BC22"/>
  <c r="BD22"/>
  <c r="BF22"/>
  <c r="BF25" s="1"/>
  <c r="H30"/>
  <c r="K30"/>
  <c r="M30"/>
  <c r="J30"/>
  <c r="Q30"/>
  <c r="V30"/>
  <c r="S30"/>
  <c r="N30"/>
  <c r="X30"/>
  <c r="Z30"/>
  <c r="AB30"/>
  <c r="AD30"/>
  <c r="AF30"/>
  <c r="AH30"/>
  <c r="AJ30"/>
  <c r="AL30"/>
  <c r="AN30"/>
  <c r="AP30"/>
  <c r="AR30"/>
  <c r="AT30"/>
  <c r="AV30"/>
  <c r="AX30"/>
  <c r="AZ30"/>
  <c r="BB30"/>
  <c r="BD30"/>
  <c r="BF30"/>
  <c r="Y81" i="9"/>
  <c r="Y80" s="1"/>
  <c r="K81"/>
  <c r="K80" s="1"/>
  <c r="AG81"/>
  <c r="AG80" s="1"/>
  <c r="BB81"/>
  <c r="BB80" s="1"/>
  <c r="AT81"/>
  <c r="AT80" s="1"/>
  <c r="W399"/>
  <c r="W398" s="1"/>
  <c r="Z399"/>
  <c r="Z398" s="1"/>
  <c r="AD98"/>
  <c r="AD97" s="1"/>
  <c r="AH399"/>
  <c r="AH398" s="1"/>
  <c r="BI454"/>
  <c r="BI453" s="1"/>
  <c r="U454"/>
  <c r="U453" s="1"/>
  <c r="J337"/>
  <c r="J336"/>
  <c r="J81"/>
  <c r="J80"/>
  <c r="AC337"/>
  <c r="AC81"/>
  <c r="AP337"/>
  <c r="AP336"/>
  <c r="AP81"/>
  <c r="AP80"/>
  <c r="BH337"/>
  <c r="BH336"/>
  <c r="BH81"/>
  <c r="BH80"/>
  <c r="E374"/>
  <c r="E436"/>
  <c r="G355"/>
  <c r="G453"/>
  <c r="F28"/>
  <c r="F89" s="1"/>
  <c r="H356"/>
  <c r="H355" s="1"/>
  <c r="H437"/>
  <c r="H436" s="1"/>
  <c r="K89"/>
  <c r="K88" s="1"/>
  <c r="K437"/>
  <c r="K436" s="1"/>
  <c r="M356"/>
  <c r="M355" s="1"/>
  <c r="M89"/>
  <c r="M88" s="1"/>
  <c r="M437"/>
  <c r="M436" s="1"/>
  <c r="Q356"/>
  <c r="Q355" s="1"/>
  <c r="Q89"/>
  <c r="Q88" s="1"/>
  <c r="Q437"/>
  <c r="Q436" s="1"/>
  <c r="S356"/>
  <c r="S355" s="1"/>
  <c r="S89"/>
  <c r="S88" s="1"/>
  <c r="S437"/>
  <c r="S436" s="1"/>
  <c r="AA356"/>
  <c r="AA355" s="1"/>
  <c r="AA89"/>
  <c r="AI356"/>
  <c r="AI89"/>
  <c r="AI88" s="1"/>
  <c r="AN356"/>
  <c r="AN355" s="1"/>
  <c r="AN89"/>
  <c r="AN88" s="1"/>
  <c r="AV356"/>
  <c r="AV355" s="1"/>
  <c r="AV89"/>
  <c r="AV88" s="1"/>
  <c r="BD356"/>
  <c r="BD355" s="1"/>
  <c r="BD89"/>
  <c r="BD88" s="1"/>
  <c r="L375"/>
  <c r="L374" s="1"/>
  <c r="L107"/>
  <c r="L106" s="1"/>
  <c r="P375"/>
  <c r="P374" s="1"/>
  <c r="P107"/>
  <c r="P106" s="1"/>
  <c r="W375"/>
  <c r="W374" s="1"/>
  <c r="W107"/>
  <c r="W106" s="1"/>
  <c r="O375"/>
  <c r="O374" s="1"/>
  <c r="O107"/>
  <c r="O106" s="1"/>
  <c r="Z375"/>
  <c r="Z374"/>
  <c r="Z107"/>
  <c r="Z106"/>
  <c r="AD375"/>
  <c r="AD107"/>
  <c r="AD106" s="1"/>
  <c r="AH375"/>
  <c r="AH374" s="1"/>
  <c r="AH107"/>
  <c r="AL375"/>
  <c r="AL374"/>
  <c r="AL107"/>
  <c r="AL106"/>
  <c r="AQ375"/>
  <c r="AQ107"/>
  <c r="AQ106" s="1"/>
  <c r="AU375"/>
  <c r="AU374" s="1"/>
  <c r="AU107"/>
  <c r="AU106" s="1"/>
  <c r="AY375"/>
  <c r="AY374" s="1"/>
  <c r="AY107"/>
  <c r="AY106" s="1"/>
  <c r="BC375"/>
  <c r="BC374" s="1"/>
  <c r="BC107"/>
  <c r="BC106" s="1"/>
  <c r="BG375"/>
  <c r="BG374" s="1"/>
  <c r="BG107"/>
  <c r="BG106" s="1"/>
  <c r="N337"/>
  <c r="N336" s="1"/>
  <c r="N81"/>
  <c r="N80" s="1"/>
  <c r="AK337"/>
  <c r="AK336" s="1"/>
  <c r="AK81"/>
  <c r="AK80" s="1"/>
  <c r="AX337"/>
  <c r="AX336" s="1"/>
  <c r="AX81"/>
  <c r="AX80" s="1"/>
  <c r="BF81"/>
  <c r="BF80" s="1"/>
  <c r="H81"/>
  <c r="H80" s="1"/>
  <c r="M81"/>
  <c r="M80" s="1"/>
  <c r="Q81"/>
  <c r="Q80" s="1"/>
  <c r="S81"/>
  <c r="S80" s="1"/>
  <c r="AA81"/>
  <c r="AE81"/>
  <c r="AE80" s="1"/>
  <c r="AI81"/>
  <c r="AI80" s="1"/>
  <c r="AM81"/>
  <c r="AM80" s="1"/>
  <c r="AN81"/>
  <c r="AN80" s="1"/>
  <c r="AR81"/>
  <c r="AR80" s="1"/>
  <c r="AV81"/>
  <c r="AV80" s="1"/>
  <c r="AZ81"/>
  <c r="AZ80" s="1"/>
  <c r="BD81"/>
  <c r="BD80" s="1"/>
  <c r="I81"/>
  <c r="I80" s="1"/>
  <c r="L81"/>
  <c r="L80" s="1"/>
  <c r="R81"/>
  <c r="R80" s="1"/>
  <c r="P81"/>
  <c r="P80" s="1"/>
  <c r="U81"/>
  <c r="U80" s="1"/>
  <c r="W81"/>
  <c r="W80" s="1"/>
  <c r="T81"/>
  <c r="T80" s="1"/>
  <c r="O81"/>
  <c r="O80" s="1"/>
  <c r="X81"/>
  <c r="X80" s="1"/>
  <c r="Z81"/>
  <c r="Z80" s="1"/>
  <c r="AB81"/>
  <c r="AB80" s="1"/>
  <c r="AD81"/>
  <c r="AD80" s="1"/>
  <c r="AF81"/>
  <c r="AF80" s="1"/>
  <c r="AH81"/>
  <c r="AJ81"/>
  <c r="AJ80" s="1"/>
  <c r="AL81"/>
  <c r="AL80" s="1"/>
  <c r="AO81"/>
  <c r="AO80" s="1"/>
  <c r="AQ81"/>
  <c r="AQ80" s="1"/>
  <c r="AS81"/>
  <c r="AS80" s="1"/>
  <c r="AU81"/>
  <c r="AU80" s="1"/>
  <c r="AW81"/>
  <c r="AW80" s="1"/>
  <c r="AY81"/>
  <c r="AY80" s="1"/>
  <c r="BA81"/>
  <c r="BA80" s="1"/>
  <c r="BC81"/>
  <c r="BC80" s="1"/>
  <c r="BE81"/>
  <c r="BE80" s="1"/>
  <c r="BG81"/>
  <c r="BG80" s="1"/>
  <c r="BI81"/>
  <c r="BI80" s="1"/>
  <c r="Q454"/>
  <c r="Q453" s="1"/>
  <c r="Q399"/>
  <c r="Q398" s="1"/>
  <c r="Q98"/>
  <c r="Q97" s="1"/>
  <c r="Q187"/>
  <c r="Q186" s="1"/>
  <c r="AE187"/>
  <c r="AE186" s="1"/>
  <c r="BD454"/>
  <c r="BD453" s="1"/>
  <c r="BD399"/>
  <c r="BD398" s="1"/>
  <c r="BD98"/>
  <c r="BD97" s="1"/>
  <c r="BD187"/>
  <c r="BD186" s="1"/>
  <c r="AM399"/>
  <c r="AM398" s="1"/>
  <c r="AK72" i="3"/>
  <c r="BG13" i="5"/>
  <c r="BG17" s="1"/>
  <c r="BG29" s="1"/>
  <c r="T10" i="14"/>
  <c r="T12" s="1"/>
  <c r="O13" i="5"/>
  <c r="O17" s="1"/>
  <c r="O73" i="3"/>
  <c r="Z31" i="5"/>
  <c r="U17"/>
  <c r="Z17"/>
  <c r="U73" i="3"/>
  <c r="T73"/>
  <c r="T72"/>
  <c r="AY25" i="14"/>
  <c r="AY10"/>
  <c r="AY12" s="1"/>
  <c r="V31" i="5"/>
  <c r="V72" i="3"/>
  <c r="W17" i="5"/>
  <c r="AB10" i="14"/>
  <c r="AB12" s="1"/>
  <c r="BA10"/>
  <c r="BA12" s="1"/>
  <c r="AB2"/>
  <c r="AC2"/>
  <c r="AC9" i="9" s="1"/>
  <c r="AD2" i="14"/>
  <c r="AE2"/>
  <c r="AF2"/>
  <c r="AG2"/>
  <c r="AH2"/>
  <c r="AI2"/>
  <c r="AI9" i="9" s="1"/>
  <c r="AJ2" i="14"/>
  <c r="AK2"/>
  <c r="AL2"/>
  <c r="AT3" i="30"/>
  <c r="AV3"/>
  <c r="AQ3"/>
  <c r="AS3"/>
  <c r="AY3"/>
  <c r="BN3"/>
  <c r="BP3"/>
  <c r="BK3"/>
  <c r="BM3"/>
  <c r="BS3"/>
  <c r="CD3"/>
  <c r="CI3"/>
  <c r="CK3"/>
  <c r="CF3"/>
  <c r="CL3"/>
  <c r="CN3"/>
  <c r="AM72" i="3"/>
  <c r="AL31" i="5"/>
  <c r="AP3" i="30"/>
  <c r="AU3"/>
  <c r="AW3"/>
  <c r="AR3"/>
  <c r="AX3"/>
  <c r="AZ3"/>
  <c r="BH131" i="12"/>
  <c r="BH133" s="1"/>
  <c r="BF131"/>
  <c r="BF133" s="1"/>
  <c r="BD131"/>
  <c r="BD133" s="1"/>
  <c r="BB131"/>
  <c r="AZ131"/>
  <c r="AZ133" s="1"/>
  <c r="AX131"/>
  <c r="AV131"/>
  <c r="AT131"/>
  <c r="AR131"/>
  <c r="AP131"/>
  <c r="AN131"/>
  <c r="AN133" s="1"/>
  <c r="AL131"/>
  <c r="AL133" s="1"/>
  <c r="BI131"/>
  <c r="BI133" s="1"/>
  <c r="BG131"/>
  <c r="BG133" s="1"/>
  <c r="BE131"/>
  <c r="BE133" s="1"/>
  <c r="BC131"/>
  <c r="BA131"/>
  <c r="AY131"/>
  <c r="AW131"/>
  <c r="AU131"/>
  <c r="AS131"/>
  <c r="AQ131"/>
  <c r="AO131"/>
  <c r="AM131"/>
  <c r="AM133" s="1"/>
  <c r="AJ131"/>
  <c r="AJ133" s="1"/>
  <c r="AH131"/>
  <c r="AH133" s="1"/>
  <c r="AF131"/>
  <c r="AF133" s="1"/>
  <c r="AD131"/>
  <c r="AD133" s="1"/>
  <c r="AB131"/>
  <c r="AB133" s="1"/>
  <c r="Z131"/>
  <c r="Z133" s="1"/>
  <c r="X131"/>
  <c r="X133" s="1"/>
  <c r="N131"/>
  <c r="N133" s="1"/>
  <c r="S131"/>
  <c r="S133" s="1"/>
  <c r="V131"/>
  <c r="V133" s="1"/>
  <c r="Q131"/>
  <c r="Q133" s="1"/>
  <c r="J131"/>
  <c r="J133" s="1"/>
  <c r="M131"/>
  <c r="M133" s="1"/>
  <c r="K131"/>
  <c r="K133" s="1"/>
  <c r="AK131"/>
  <c r="AK133" s="1"/>
  <c r="AG131"/>
  <c r="AG133" s="1"/>
  <c r="AI131"/>
  <c r="AI133" s="1"/>
  <c r="AE131"/>
  <c r="AE133" s="1"/>
  <c r="AA131"/>
  <c r="AA133" s="1"/>
  <c r="O131"/>
  <c r="O133" s="1"/>
  <c r="W131"/>
  <c r="W133" s="1"/>
  <c r="P131"/>
  <c r="P133" s="1"/>
  <c r="L131"/>
  <c r="L133" s="1"/>
  <c r="BH78"/>
  <c r="BH80" s="1"/>
  <c r="BF78"/>
  <c r="BF80" s="1"/>
  <c r="BD78"/>
  <c r="BD80" s="1"/>
  <c r="BB78"/>
  <c r="BB80" s="1"/>
  <c r="AZ78"/>
  <c r="AZ80" s="1"/>
  <c r="AX78"/>
  <c r="AV78"/>
  <c r="AT78"/>
  <c r="AR78"/>
  <c r="AP78"/>
  <c r="AN78"/>
  <c r="AN80" s="1"/>
  <c r="AL78"/>
  <c r="AL80" s="1"/>
  <c r="AJ78"/>
  <c r="AJ80" s="1"/>
  <c r="AH78"/>
  <c r="AH80" s="1"/>
  <c r="AF78"/>
  <c r="AF80" s="1"/>
  <c r="AD78"/>
  <c r="AD80" s="1"/>
  <c r="AB78"/>
  <c r="AB80" s="1"/>
  <c r="Z78"/>
  <c r="Z80" s="1"/>
  <c r="X78"/>
  <c r="X80" s="1"/>
  <c r="N78"/>
  <c r="N80" s="1"/>
  <c r="S78"/>
  <c r="S80" s="1"/>
  <c r="V78"/>
  <c r="V80" s="1"/>
  <c r="Q78"/>
  <c r="Q80" s="1"/>
  <c r="J78"/>
  <c r="J80" s="1"/>
  <c r="M78"/>
  <c r="M80" s="1"/>
  <c r="K78"/>
  <c r="K80" s="1"/>
  <c r="Y131"/>
  <c r="Y133" s="1"/>
  <c r="U131"/>
  <c r="U133" s="1"/>
  <c r="I131"/>
  <c r="I133" s="1"/>
  <c r="H131"/>
  <c r="H133" s="1"/>
  <c r="BG78"/>
  <c r="BG80" s="1"/>
  <c r="BC78"/>
  <c r="AY78"/>
  <c r="AU78"/>
  <c r="AQ78"/>
  <c r="AM78"/>
  <c r="AM80" s="1"/>
  <c r="AI78"/>
  <c r="AI80" s="1"/>
  <c r="AE78"/>
  <c r="AE80" s="1"/>
  <c r="AA78"/>
  <c r="AA80" s="1"/>
  <c r="O78"/>
  <c r="O80" s="1"/>
  <c r="W78"/>
  <c r="W80" s="1"/>
  <c r="P78"/>
  <c r="P80" s="1"/>
  <c r="L78"/>
  <c r="L80" s="1"/>
  <c r="H78"/>
  <c r="H80" s="1"/>
  <c r="AC131"/>
  <c r="AC133" s="1"/>
  <c r="T131"/>
  <c r="T133" s="1"/>
  <c r="R131"/>
  <c r="R133" s="1"/>
  <c r="BI78"/>
  <c r="BI80" s="1"/>
  <c r="BE78"/>
  <c r="BE80" s="1"/>
  <c r="BA78"/>
  <c r="AW78"/>
  <c r="AS78"/>
  <c r="AO78"/>
  <c r="AK78"/>
  <c r="AK80" s="1"/>
  <c r="AG78"/>
  <c r="AG80" s="1"/>
  <c r="AC78"/>
  <c r="AC80" s="1"/>
  <c r="Y78"/>
  <c r="Y80" s="1"/>
  <c r="T78"/>
  <c r="T80" s="1"/>
  <c r="U78"/>
  <c r="U80" s="1"/>
  <c r="R78"/>
  <c r="R80" s="1"/>
  <c r="I78"/>
  <c r="I80" s="1"/>
  <c r="BH123"/>
  <c r="BF123"/>
  <c r="BD123"/>
  <c r="BB123"/>
  <c r="AZ123"/>
  <c r="AX123"/>
  <c r="AV123"/>
  <c r="AT123"/>
  <c r="AR123"/>
  <c r="AP123"/>
  <c r="AN123"/>
  <c r="AL123"/>
  <c r="AJ123"/>
  <c r="AH123"/>
  <c r="AF123"/>
  <c r="AD123"/>
  <c r="AB123"/>
  <c r="Z123"/>
  <c r="X123"/>
  <c r="N123"/>
  <c r="S123"/>
  <c r="V123"/>
  <c r="Q123"/>
  <c r="J123"/>
  <c r="M123"/>
  <c r="K123"/>
  <c r="BI123"/>
  <c r="BE123"/>
  <c r="BA123"/>
  <c r="AW123"/>
  <c r="AS123"/>
  <c r="AO123"/>
  <c r="AK123"/>
  <c r="AG123"/>
  <c r="AC123"/>
  <c r="Y123"/>
  <c r="T123"/>
  <c r="U123"/>
  <c r="R123"/>
  <c r="I123"/>
  <c r="H123"/>
  <c r="BH69"/>
  <c r="BF69"/>
  <c r="BD69"/>
  <c r="BB69"/>
  <c r="AZ69"/>
  <c r="AX69"/>
  <c r="AV69"/>
  <c r="AT69"/>
  <c r="AR69"/>
  <c r="AP69"/>
  <c r="AN69"/>
  <c r="AL69"/>
  <c r="AJ69"/>
  <c r="AH69"/>
  <c r="AF69"/>
  <c r="AD69"/>
  <c r="AB69"/>
  <c r="Z69"/>
  <c r="X69"/>
  <c r="N69"/>
  <c r="S69"/>
  <c r="V69"/>
  <c r="Q69"/>
  <c r="J69"/>
  <c r="M69"/>
  <c r="K69"/>
  <c r="BG123"/>
  <c r="AY123"/>
  <c r="AQ123"/>
  <c r="AI123"/>
  <c r="AA123"/>
  <c r="W123"/>
  <c r="L123"/>
  <c r="BI69"/>
  <c r="BE69"/>
  <c r="BA69"/>
  <c r="AW69"/>
  <c r="AS69"/>
  <c r="AO69"/>
  <c r="AK69"/>
  <c r="AG69"/>
  <c r="AC69"/>
  <c r="Y69"/>
  <c r="T69"/>
  <c r="U69"/>
  <c r="R69"/>
  <c r="I69"/>
  <c r="BC123"/>
  <c r="AU123"/>
  <c r="AM123"/>
  <c r="AE123"/>
  <c r="O123"/>
  <c r="P123"/>
  <c r="BG69"/>
  <c r="BC69"/>
  <c r="AY69"/>
  <c r="AU69"/>
  <c r="AQ69"/>
  <c r="AM69"/>
  <c r="AI69"/>
  <c r="AE69"/>
  <c r="AA69"/>
  <c r="O69"/>
  <c r="W69"/>
  <c r="P69"/>
  <c r="L69"/>
  <c r="H69"/>
  <c r="BI397"/>
  <c r="BI399" s="1"/>
  <c r="BG397"/>
  <c r="BG399" s="1"/>
  <c r="BE397"/>
  <c r="BE399" s="1"/>
  <c r="BC397"/>
  <c r="BA397"/>
  <c r="AY397"/>
  <c r="AW397"/>
  <c r="AU397"/>
  <c r="AS397"/>
  <c r="AQ397"/>
  <c r="AO397"/>
  <c r="AM397"/>
  <c r="AM399" s="1"/>
  <c r="AK397"/>
  <c r="AK399" s="1"/>
  <c r="AI397"/>
  <c r="AI399" s="1"/>
  <c r="AG397"/>
  <c r="AG399" s="1"/>
  <c r="AE397"/>
  <c r="AE399" s="1"/>
  <c r="AC397"/>
  <c r="AC399" s="1"/>
  <c r="AA397"/>
  <c r="AA399" s="1"/>
  <c r="Y397"/>
  <c r="Y399" s="1"/>
  <c r="O397"/>
  <c r="O399" s="1"/>
  <c r="T397"/>
  <c r="T399" s="1"/>
  <c r="W397"/>
  <c r="W399" s="1"/>
  <c r="U397"/>
  <c r="U399" s="1"/>
  <c r="P397"/>
  <c r="P399" s="1"/>
  <c r="R397"/>
  <c r="R399" s="1"/>
  <c r="L397"/>
  <c r="L399" s="1"/>
  <c r="I397"/>
  <c r="I399" s="1"/>
  <c r="BH397"/>
  <c r="BH399" s="1"/>
  <c r="BD397"/>
  <c r="BD399" s="1"/>
  <c r="AZ397"/>
  <c r="AZ399" s="1"/>
  <c r="AV397"/>
  <c r="AR397"/>
  <c r="AN397"/>
  <c r="AN399" s="1"/>
  <c r="AJ397"/>
  <c r="AJ399" s="1"/>
  <c r="AF397"/>
  <c r="AF399" s="1"/>
  <c r="AB397"/>
  <c r="AB399" s="1"/>
  <c r="X397"/>
  <c r="X399" s="1"/>
  <c r="S397"/>
  <c r="S399" s="1"/>
  <c r="Q397"/>
  <c r="Q399" s="1"/>
  <c r="M397"/>
  <c r="M399" s="1"/>
  <c r="H397"/>
  <c r="H399" s="1"/>
  <c r="BF397"/>
  <c r="BF399" s="1"/>
  <c r="BB397"/>
  <c r="BB399" s="1"/>
  <c r="AX397"/>
  <c r="AT397"/>
  <c r="AP397"/>
  <c r="AL397"/>
  <c r="AL399" s="1"/>
  <c r="AH397"/>
  <c r="AH399" s="1"/>
  <c r="AD397"/>
  <c r="AD399" s="1"/>
  <c r="Z397"/>
  <c r="Z399" s="1"/>
  <c r="N397"/>
  <c r="N399" s="1"/>
  <c r="V397"/>
  <c r="V399" s="1"/>
  <c r="J397"/>
  <c r="J399" s="1"/>
  <c r="K397"/>
  <c r="K399" s="1"/>
  <c r="BI389"/>
  <c r="BG389"/>
  <c r="BE389"/>
  <c r="BC389"/>
  <c r="BA389"/>
  <c r="AY389"/>
  <c r="AW389"/>
  <c r="AU389"/>
  <c r="AS389"/>
  <c r="AQ389"/>
  <c r="AO389"/>
  <c r="AM389"/>
  <c r="AK389"/>
  <c r="AI389"/>
  <c r="AG389"/>
  <c r="AE389"/>
  <c r="AC389"/>
  <c r="AA389"/>
  <c r="Y389"/>
  <c r="O389"/>
  <c r="T389"/>
  <c r="W389"/>
  <c r="U389"/>
  <c r="P389"/>
  <c r="R389"/>
  <c r="L389"/>
  <c r="I389"/>
  <c r="BF389"/>
  <c r="BB389"/>
  <c r="AX389"/>
  <c r="AT389"/>
  <c r="AP389"/>
  <c r="AL389"/>
  <c r="AH389"/>
  <c r="AD389"/>
  <c r="Z389"/>
  <c r="N389"/>
  <c r="V389"/>
  <c r="J389"/>
  <c r="K389"/>
  <c r="BH389"/>
  <c r="BD389"/>
  <c r="AZ389"/>
  <c r="AV389"/>
  <c r="AR389"/>
  <c r="AN389"/>
  <c r="AJ389"/>
  <c r="AF389"/>
  <c r="AB389"/>
  <c r="X389"/>
  <c r="S389"/>
  <c r="Q389"/>
  <c r="M389"/>
  <c r="H389"/>
  <c r="AH106" i="9"/>
  <c r="AA88"/>
  <c r="F356"/>
  <c r="AC336"/>
  <c r="AQ374"/>
  <c r="AD374"/>
  <c r="AI355"/>
  <c r="AC80"/>
  <c r="AA80"/>
  <c r="AH80"/>
  <c r="AS355" i="12"/>
  <c r="AG9" i="26"/>
  <c r="AL9"/>
  <c r="AL9" i="12"/>
  <c r="AJ9" i="9"/>
  <c r="AJ9" i="12"/>
  <c r="AH9"/>
  <c r="AH9" i="29"/>
  <c r="AF9" i="9"/>
  <c r="AF9" i="26"/>
  <c r="AF9" i="29"/>
  <c r="AD9" i="26"/>
  <c r="AD9" i="12"/>
  <c r="AB9" i="9"/>
  <c r="AB9" i="12"/>
  <c r="F269" i="9"/>
  <c r="V303"/>
  <c r="N149"/>
  <c r="AS303"/>
  <c r="T426"/>
  <c r="T425" s="1"/>
  <c r="R426"/>
  <c r="R425" s="1"/>
  <c r="E355"/>
  <c r="E443"/>
  <c r="E398"/>
  <c r="E453"/>
  <c r="E18"/>
  <c r="E72" s="1"/>
  <c r="G436"/>
  <c r="G443"/>
  <c r="L426"/>
  <c r="L425" s="1"/>
  <c r="L149"/>
  <c r="AG426"/>
  <c r="AG425" s="1"/>
  <c r="AG149"/>
  <c r="AK149"/>
  <c r="AK426"/>
  <c r="AK425" s="1"/>
  <c r="AY426"/>
  <c r="AY425" s="1"/>
  <c r="AY149"/>
  <c r="BC426"/>
  <c r="BC425" s="1"/>
  <c r="BC303"/>
  <c r="BG303"/>
  <c r="BG149"/>
  <c r="F186"/>
  <c r="F88"/>
  <c r="F165"/>
  <c r="Z278"/>
  <c r="Z277" s="1"/>
  <c r="Z454"/>
  <c r="Z453" s="1"/>
  <c r="Z187"/>
  <c r="Z186" s="1"/>
  <c r="Z98"/>
  <c r="Z97" s="1"/>
  <c r="AH278"/>
  <c r="AH277" s="1"/>
  <c r="AH98"/>
  <c r="AH97" s="1"/>
  <c r="BI278"/>
  <c r="BI277" s="1"/>
  <c r="BI98"/>
  <c r="BI97" s="1"/>
  <c r="P278"/>
  <c r="P277" s="1"/>
  <c r="U278"/>
  <c r="U277" s="1"/>
  <c r="W278"/>
  <c r="W277" s="1"/>
  <c r="Y278"/>
  <c r="Y277" s="1"/>
  <c r="AE278"/>
  <c r="AE277" s="1"/>
  <c r="AG278"/>
  <c r="AG277" s="1"/>
  <c r="AM278"/>
  <c r="AM277" s="1"/>
  <c r="AM98"/>
  <c r="AM97" s="1"/>
  <c r="BC98"/>
  <c r="BC97" s="1"/>
  <c r="O187"/>
  <c r="O186" s="1"/>
  <c r="O454"/>
  <c r="O453" s="1"/>
  <c r="BH149"/>
  <c r="BG426"/>
  <c r="BG425" s="1"/>
  <c r="AV303"/>
  <c r="AK303"/>
  <c r="AC303"/>
  <c r="AH426"/>
  <c r="AH425" s="1"/>
  <c r="O426"/>
  <c r="O425" s="1"/>
  <c r="L303"/>
  <c r="AM356"/>
  <c r="AM355" s="1"/>
  <c r="AP89"/>
  <c r="AP88" s="1"/>
  <c r="O303"/>
  <c r="AN337"/>
  <c r="AN336" s="1"/>
  <c r="V81"/>
  <c r="V80" s="1"/>
  <c r="X337"/>
  <c r="X336" s="1"/>
  <c r="AZ337"/>
  <c r="AZ336" s="1"/>
  <c r="AI149"/>
  <c r="AA149"/>
  <c r="V72"/>
  <c r="K252"/>
  <c r="BA72"/>
  <c r="AS252"/>
  <c r="T72"/>
  <c r="I252"/>
  <c r="E302"/>
  <c r="E251"/>
  <c r="G302"/>
  <c r="G251"/>
  <c r="I302"/>
  <c r="I251"/>
  <c r="L233"/>
  <c r="L251"/>
  <c r="R233"/>
  <c r="R251"/>
  <c r="P233"/>
  <c r="P251"/>
  <c r="U302"/>
  <c r="U251"/>
  <c r="W302"/>
  <c r="W251"/>
  <c r="T233"/>
  <c r="T251"/>
  <c r="O302"/>
  <c r="O251"/>
  <c r="Y302"/>
  <c r="Y251"/>
  <c r="AA302"/>
  <c r="AA251"/>
  <c r="AC302"/>
  <c r="AC251"/>
  <c r="AE302"/>
  <c r="AE251"/>
  <c r="AG302"/>
  <c r="AG251"/>
  <c r="AI302"/>
  <c r="AI251"/>
  <c r="AK302"/>
  <c r="AK251"/>
  <c r="AM302"/>
  <c r="AM251"/>
  <c r="AO302"/>
  <c r="AO251"/>
  <c r="AQ302"/>
  <c r="AQ251"/>
  <c r="AS302"/>
  <c r="AS251"/>
  <c r="AU302"/>
  <c r="AU251"/>
  <c r="AW302"/>
  <c r="AW251"/>
  <c r="AY302"/>
  <c r="AY251"/>
  <c r="BA302"/>
  <c r="BA251"/>
  <c r="BC302"/>
  <c r="BC251"/>
  <c r="BE302"/>
  <c r="BE251"/>
  <c r="BG302"/>
  <c r="BG251"/>
  <c r="BI302"/>
  <c r="BI251"/>
  <c r="F286"/>
  <c r="F277"/>
  <c r="F268"/>
  <c r="J437"/>
  <c r="J269"/>
  <c r="J268" s="1"/>
  <c r="V437"/>
  <c r="V436" s="1"/>
  <c r="V269"/>
  <c r="V268" s="1"/>
  <c r="Y89"/>
  <c r="Y88" s="1"/>
  <c r="Y269"/>
  <c r="Y268" s="1"/>
  <c r="AC89"/>
  <c r="AC88" s="1"/>
  <c r="AC269"/>
  <c r="AC268" s="1"/>
  <c r="AE356"/>
  <c r="AE269"/>
  <c r="AE268" s="1"/>
  <c r="AK89"/>
  <c r="AK88"/>
  <c r="AK269"/>
  <c r="AK268"/>
  <c r="H175"/>
  <c r="H174"/>
  <c r="H287"/>
  <c r="H286"/>
  <c r="E96"/>
  <c r="E276"/>
  <c r="F261"/>
  <c r="F260"/>
  <c r="I337"/>
  <c r="I336"/>
  <c r="I261"/>
  <c r="I260"/>
  <c r="L337"/>
  <c r="L336"/>
  <c r="L261"/>
  <c r="L260"/>
  <c r="R337"/>
  <c r="R336"/>
  <c r="R261"/>
  <c r="R260"/>
  <c r="P337"/>
  <c r="P336"/>
  <c r="P261"/>
  <c r="P260"/>
  <c r="S337"/>
  <c r="S336"/>
  <c r="S261"/>
  <c r="S260"/>
  <c r="Y337"/>
  <c r="Y336"/>
  <c r="Y261"/>
  <c r="Y260"/>
  <c r="AA337"/>
  <c r="AA336"/>
  <c r="AA261"/>
  <c r="AA260"/>
  <c r="AE337"/>
  <c r="AE336"/>
  <c r="AE261"/>
  <c r="AE260"/>
  <c r="AH337"/>
  <c r="AH336"/>
  <c r="AH261"/>
  <c r="AH260"/>
  <c r="AJ337"/>
  <c r="AJ336"/>
  <c r="AJ261"/>
  <c r="AJ260"/>
  <c r="AL337"/>
  <c r="AL336"/>
  <c r="AL261"/>
  <c r="AL260"/>
  <c r="AO337"/>
  <c r="AO336"/>
  <c r="AO261"/>
  <c r="AO260"/>
  <c r="AQ337"/>
  <c r="AQ336"/>
  <c r="AQ261"/>
  <c r="AQ260"/>
  <c r="AS337"/>
  <c r="AS336"/>
  <c r="AS261"/>
  <c r="AS260"/>
  <c r="AV337"/>
  <c r="AV336"/>
  <c r="AV261"/>
  <c r="AV260"/>
  <c r="BA337"/>
  <c r="BA336"/>
  <c r="BA261"/>
  <c r="BA260"/>
  <c r="BC337"/>
  <c r="BC336"/>
  <c r="BC261"/>
  <c r="BC260"/>
  <c r="BF337"/>
  <c r="BF336"/>
  <c r="BF261"/>
  <c r="BF260"/>
  <c r="N89"/>
  <c r="N88"/>
  <c r="E252"/>
  <c r="AZ252"/>
  <c r="AK72"/>
  <c r="AK252"/>
  <c r="AG72"/>
  <c r="AG252"/>
  <c r="AC72"/>
  <c r="AC252"/>
  <c r="BG72"/>
  <c r="BG252"/>
  <c r="BC72"/>
  <c r="BC252"/>
  <c r="AY72"/>
  <c r="AY252"/>
  <c r="AQ303"/>
  <c r="AQ252"/>
  <c r="AL252"/>
  <c r="AD252"/>
  <c r="O72"/>
  <c r="O252"/>
  <c r="P149"/>
  <c r="P252"/>
  <c r="L72"/>
  <c r="L252"/>
  <c r="F233"/>
  <c r="H233"/>
  <c r="K302"/>
  <c r="M302"/>
  <c r="J233"/>
  <c r="Q302"/>
  <c r="V233"/>
  <c r="S302"/>
  <c r="N233"/>
  <c r="X233"/>
  <c r="Z233"/>
  <c r="AB233"/>
  <c r="AD233"/>
  <c r="AF233"/>
  <c r="AH233"/>
  <c r="AJ233"/>
  <c r="AL233"/>
  <c r="AN233"/>
  <c r="AP233"/>
  <c r="AR233"/>
  <c r="AT233"/>
  <c r="AV233"/>
  <c r="AX233"/>
  <c r="AZ233"/>
  <c r="BB233"/>
  <c r="BD233"/>
  <c r="BF233"/>
  <c r="BH233"/>
  <c r="E286"/>
  <c r="E268"/>
  <c r="G277"/>
  <c r="AR356"/>
  <c r="AR355" s="1"/>
  <c r="AR269"/>
  <c r="AR268" s="1"/>
  <c r="AX89"/>
  <c r="AX88" s="1"/>
  <c r="AX269"/>
  <c r="AX268" s="1"/>
  <c r="AZ356"/>
  <c r="AZ355" s="1"/>
  <c r="AZ269"/>
  <c r="AZ268" s="1"/>
  <c r="BB89"/>
  <c r="BB88" s="1"/>
  <c r="BB269"/>
  <c r="BB268" s="1"/>
  <c r="BH356"/>
  <c r="BH355" s="1"/>
  <c r="BH269"/>
  <c r="BH268" s="1"/>
  <c r="BI107"/>
  <c r="BI106" s="1"/>
  <c r="BI287"/>
  <c r="BI286" s="1"/>
  <c r="E152" i="12"/>
  <c r="E267" i="9"/>
  <c r="E260"/>
  <c r="E261"/>
  <c r="H337"/>
  <c r="H336" s="1"/>
  <c r="H261"/>
  <c r="H260" s="1"/>
  <c r="K337"/>
  <c r="K336" s="1"/>
  <c r="K261"/>
  <c r="K260" s="1"/>
  <c r="M337"/>
  <c r="M336" s="1"/>
  <c r="M261"/>
  <c r="M260" s="1"/>
  <c r="U337"/>
  <c r="U336" s="1"/>
  <c r="U261"/>
  <c r="U260" s="1"/>
  <c r="W337"/>
  <c r="W336" s="1"/>
  <c r="W261"/>
  <c r="W260" s="1"/>
  <c r="T337"/>
  <c r="T336" s="1"/>
  <c r="T261"/>
  <c r="T260" s="1"/>
  <c r="O337"/>
  <c r="O336" s="1"/>
  <c r="O261"/>
  <c r="O260" s="1"/>
  <c r="Z337"/>
  <c r="Z336" s="1"/>
  <c r="Z261"/>
  <c r="Z260" s="1"/>
  <c r="AB337"/>
  <c r="AB336" s="1"/>
  <c r="AB261"/>
  <c r="AB260" s="1"/>
  <c r="AD337"/>
  <c r="AD336" s="1"/>
  <c r="AD261"/>
  <c r="AD260" s="1"/>
  <c r="AG337"/>
  <c r="AG336" s="1"/>
  <c r="AG261"/>
  <c r="AG260" s="1"/>
  <c r="AI337"/>
  <c r="AI336" s="1"/>
  <c r="AI261"/>
  <c r="AI260" s="1"/>
  <c r="AM337"/>
  <c r="AM336" s="1"/>
  <c r="AM261"/>
  <c r="AM260" s="1"/>
  <c r="AR337"/>
  <c r="AR336" s="1"/>
  <c r="AR261"/>
  <c r="AR260" s="1"/>
  <c r="AU337"/>
  <c r="AU336" s="1"/>
  <c r="AU261"/>
  <c r="AU260" s="1"/>
  <c r="AW337"/>
  <c r="AW336" s="1"/>
  <c r="AW261"/>
  <c r="AW260" s="1"/>
  <c r="AY337"/>
  <c r="AY336" s="1"/>
  <c r="AY261"/>
  <c r="AY260" s="1"/>
  <c r="BB337"/>
  <c r="BB336" s="1"/>
  <c r="BB261"/>
  <c r="BB260" s="1"/>
  <c r="BE337"/>
  <c r="BE336" s="1"/>
  <c r="BE261"/>
  <c r="BE260" s="1"/>
  <c r="BG337"/>
  <c r="BG336" s="1"/>
  <c r="BG261"/>
  <c r="BG260" s="1"/>
  <c r="BI337"/>
  <c r="BI336" s="1"/>
  <c r="BI261"/>
  <c r="BI260" s="1"/>
  <c r="Q337"/>
  <c r="Q336" s="1"/>
  <c r="V337"/>
  <c r="V336" s="1"/>
  <c r="AF337"/>
  <c r="AF336" s="1"/>
  <c r="AT337"/>
  <c r="AT336" s="1"/>
  <c r="BD337"/>
  <c r="BD336" s="1"/>
  <c r="E87"/>
  <c r="E71"/>
  <c r="G71"/>
  <c r="I71"/>
  <c r="M71"/>
  <c r="O71"/>
  <c r="Q71"/>
  <c r="U71"/>
  <c r="W71"/>
  <c r="Y71"/>
  <c r="AA71"/>
  <c r="AC71"/>
  <c r="AE71"/>
  <c r="AG71"/>
  <c r="AI71"/>
  <c r="AK71"/>
  <c r="AM71"/>
  <c r="AO71"/>
  <c r="AQ71"/>
  <c r="AS71"/>
  <c r="AU71"/>
  <c r="AW71"/>
  <c r="AY71"/>
  <c r="BA71"/>
  <c r="BC71"/>
  <c r="BE71"/>
  <c r="BG71"/>
  <c r="BI71"/>
  <c r="P72"/>
  <c r="AL72"/>
  <c r="H71"/>
  <c r="L71"/>
  <c r="P71"/>
  <c r="R71"/>
  <c r="T71"/>
  <c r="X71"/>
  <c r="AB71"/>
  <c r="AF71"/>
  <c r="AJ71"/>
  <c r="AN71"/>
  <c r="AR71"/>
  <c r="AV71"/>
  <c r="AZ71"/>
  <c r="BD71"/>
  <c r="BH71"/>
  <c r="AA72"/>
  <c r="AQ72"/>
  <c r="H148"/>
  <c r="L148"/>
  <c r="P148"/>
  <c r="R148"/>
  <c r="T148"/>
  <c r="X148"/>
  <c r="AB148"/>
  <c r="AF148"/>
  <c r="AJ148"/>
  <c r="AL148"/>
  <c r="AN148"/>
  <c r="AP148"/>
  <c r="AR148"/>
  <c r="AT148"/>
  <c r="AV148"/>
  <c r="AX148"/>
  <c r="AZ148"/>
  <c r="BB148"/>
  <c r="BD148"/>
  <c r="BF148"/>
  <c r="BH148"/>
  <c r="E148"/>
  <c r="G148"/>
  <c r="I148"/>
  <c r="K148"/>
  <c r="M148"/>
  <c r="O148"/>
  <c r="Q148"/>
  <c r="S148"/>
  <c r="U148"/>
  <c r="W148"/>
  <c r="Y148"/>
  <c r="AA148"/>
  <c r="AC148"/>
  <c r="AE148"/>
  <c r="AG148"/>
  <c r="AI148"/>
  <c r="AK148"/>
  <c r="AM148"/>
  <c r="AO148"/>
  <c r="AQ148"/>
  <c r="AS148"/>
  <c r="AU148"/>
  <c r="AW148"/>
  <c r="AY148"/>
  <c r="BA148"/>
  <c r="BC148"/>
  <c r="BE148"/>
  <c r="BG148"/>
  <c r="BI148"/>
  <c r="AW399"/>
  <c r="AW398" s="1"/>
  <c r="AW454"/>
  <c r="AW453" s="1"/>
  <c r="AW187"/>
  <c r="AW186" s="1"/>
  <c r="AW98"/>
  <c r="AW97" s="1"/>
  <c r="E527" i="12"/>
  <c r="E290"/>
  <c r="D14" i="29"/>
  <c r="I474" i="12"/>
  <c r="I484"/>
  <c r="I240"/>
  <c r="I324"/>
  <c r="I331"/>
  <c r="G159"/>
  <c r="F109" i="29"/>
  <c r="F535" i="12"/>
  <c r="G297"/>
  <c r="F297"/>
  <c r="G531"/>
  <c r="F531"/>
  <c r="AQ355"/>
  <c r="AQ204"/>
  <c r="AQ271"/>
  <c r="AQ505"/>
  <c r="G143"/>
  <c r="G18" i="26"/>
  <c r="G18" i="33" s="1"/>
  <c r="BE505" i="12"/>
  <c r="BG505"/>
  <c r="BI505"/>
  <c r="AU505"/>
  <c r="AW505"/>
  <c r="AY505"/>
  <c r="K578"/>
  <c r="J578"/>
  <c r="V578"/>
  <c r="N578"/>
  <c r="AD578"/>
  <c r="AH578"/>
  <c r="AL578"/>
  <c r="BF578"/>
  <c r="G19" i="26"/>
  <c r="G19" i="33" s="1"/>
  <c r="G109" i="29"/>
  <c r="G45" i="33"/>
  <c r="G84" s="1"/>
  <c r="G85" s="1"/>
  <c r="G86" s="1"/>
  <c r="D31" i="29"/>
  <c r="D30"/>
  <c r="I399" i="9"/>
  <c r="I398" s="1"/>
  <c r="I454"/>
  <c r="I453" s="1"/>
  <c r="I187"/>
  <c r="I186" s="1"/>
  <c r="I98"/>
  <c r="I97" s="1"/>
  <c r="T98"/>
  <c r="T399"/>
  <c r="T398" s="1"/>
  <c r="T454"/>
  <c r="T453" s="1"/>
  <c r="T187"/>
  <c r="T186" s="1"/>
  <c r="AA187"/>
  <c r="AA186" s="1"/>
  <c r="AA98"/>
  <c r="AA97" s="1"/>
  <c r="AA454"/>
  <c r="AA453" s="1"/>
  <c r="AA399"/>
  <c r="AA398" s="1"/>
  <c r="AC454"/>
  <c r="AC453" s="1"/>
  <c r="AC187"/>
  <c r="AC186" s="1"/>
  <c r="AC399"/>
  <c r="AC98"/>
  <c r="AC97" s="1"/>
  <c r="H454"/>
  <c r="H98"/>
  <c r="H97" s="1"/>
  <c r="H399"/>
  <c r="H398" s="1"/>
  <c r="H187"/>
  <c r="H186" s="1"/>
  <c r="K187"/>
  <c r="K186" s="1"/>
  <c r="K454"/>
  <c r="K453" s="1"/>
  <c r="K399"/>
  <c r="K98"/>
  <c r="K97" s="1"/>
  <c r="N187"/>
  <c r="N98"/>
  <c r="N97" s="1"/>
  <c r="N454"/>
  <c r="N453" s="1"/>
  <c r="N399"/>
  <c r="N398" s="1"/>
  <c r="AB98"/>
  <c r="AB97" s="1"/>
  <c r="AB399"/>
  <c r="AB398" s="1"/>
  <c r="AB454"/>
  <c r="AB453" s="1"/>
  <c r="AB187"/>
  <c r="L98"/>
  <c r="L97" s="1"/>
  <c r="L399"/>
  <c r="L454"/>
  <c r="L453" s="1"/>
  <c r="L187"/>
  <c r="AP399"/>
  <c r="AP398" s="1"/>
  <c r="AP454"/>
  <c r="AP453" s="1"/>
  <c r="AP187"/>
  <c r="AP186" s="1"/>
  <c r="AP98"/>
  <c r="AP97" s="1"/>
  <c r="AR399"/>
  <c r="AR398" s="1"/>
  <c r="AR98"/>
  <c r="AR454"/>
  <c r="AR453" s="1"/>
  <c r="AR187"/>
  <c r="AR186" s="1"/>
  <c r="AT454"/>
  <c r="AT453" s="1"/>
  <c r="AT187"/>
  <c r="AT399"/>
  <c r="AT398" s="1"/>
  <c r="AT98"/>
  <c r="AT97" s="1"/>
  <c r="AO98"/>
  <c r="AO399"/>
  <c r="AO398" s="1"/>
  <c r="AO454"/>
  <c r="AO453" s="1"/>
  <c r="AO187"/>
  <c r="AO186" s="1"/>
  <c r="AQ98"/>
  <c r="AQ97" s="1"/>
  <c r="AQ399"/>
  <c r="AQ398" s="1"/>
  <c r="AQ454"/>
  <c r="AQ453" s="1"/>
  <c r="AQ187"/>
  <c r="AQ186" s="1"/>
  <c r="AS98"/>
  <c r="AS454"/>
  <c r="AS453" s="1"/>
  <c r="AS399"/>
  <c r="AS398" s="1"/>
  <c r="AS187"/>
  <c r="AS186" s="1"/>
  <c r="F302"/>
  <c r="H302"/>
  <c r="J302"/>
  <c r="L302"/>
  <c r="N302"/>
  <c r="P302"/>
  <c r="R302"/>
  <c r="T302"/>
  <c r="V302"/>
  <c r="X302"/>
  <c r="Z302"/>
  <c r="AB302"/>
  <c r="AD302"/>
  <c r="AF302"/>
  <c r="AH302"/>
  <c r="AJ302"/>
  <c r="AL302"/>
  <c r="AN302"/>
  <c r="AP302"/>
  <c r="AR302"/>
  <c r="AT302"/>
  <c r="AV302"/>
  <c r="AX302"/>
  <c r="AZ302"/>
  <c r="BB302"/>
  <c r="BD302"/>
  <c r="BF302"/>
  <c r="BH302"/>
  <c r="E233"/>
  <c r="G233"/>
  <c r="I233"/>
  <c r="K233"/>
  <c r="M233"/>
  <c r="O233"/>
  <c r="Q233"/>
  <c r="S233"/>
  <c r="U233"/>
  <c r="W233"/>
  <c r="Y233"/>
  <c r="AA233"/>
  <c r="AC233"/>
  <c r="AE233"/>
  <c r="AG233"/>
  <c r="AI233"/>
  <c r="AK233"/>
  <c r="AM233"/>
  <c r="AO233"/>
  <c r="AQ233"/>
  <c r="AS233"/>
  <c r="AU233"/>
  <c r="AW233"/>
  <c r="AY233"/>
  <c r="BA233"/>
  <c r="BC233"/>
  <c r="BE233"/>
  <c r="BG233"/>
  <c r="BI233"/>
  <c r="E175"/>
  <c r="E444"/>
  <c r="E107"/>
  <c r="E375"/>
  <c r="AJ98"/>
  <c r="AJ399"/>
  <c r="AJ398" s="1"/>
  <c r="AJ454"/>
  <c r="AJ453" s="1"/>
  <c r="AJ187"/>
  <c r="AJ186" s="1"/>
  <c r="AX454"/>
  <c r="AX453" s="1"/>
  <c r="AX98"/>
  <c r="AX97" s="1"/>
  <c r="AX187"/>
  <c r="AX399"/>
  <c r="AX398" s="1"/>
  <c r="AZ399"/>
  <c r="AZ398" s="1"/>
  <c r="AZ187"/>
  <c r="AZ186" s="1"/>
  <c r="AZ454"/>
  <c r="AZ453" s="1"/>
  <c r="AZ98"/>
  <c r="AZ97" s="1"/>
  <c r="BF454"/>
  <c r="BF453" s="1"/>
  <c r="BF187"/>
  <c r="BF186" s="1"/>
  <c r="BF399"/>
  <c r="BF398" s="1"/>
  <c r="BF98"/>
  <c r="BF97" s="1"/>
  <c r="BH454"/>
  <c r="BH453" s="1"/>
  <c r="BH187"/>
  <c r="BH186" s="1"/>
  <c r="BH399"/>
  <c r="BH398" s="1"/>
  <c r="BH98"/>
  <c r="BH97" s="1"/>
  <c r="F107"/>
  <c r="F444"/>
  <c r="F375"/>
  <c r="F175"/>
  <c r="AI454"/>
  <c r="AI453" s="1"/>
  <c r="AI187"/>
  <c r="AI399"/>
  <c r="AI398" s="1"/>
  <c r="AI98"/>
  <c r="AI97" s="1"/>
  <c r="AK399"/>
  <c r="AK398" s="1"/>
  <c r="AK454"/>
  <c r="AK453" s="1"/>
  <c r="AK187"/>
  <c r="AK186" s="1"/>
  <c r="AK98"/>
  <c r="AK97" s="1"/>
  <c r="AY454"/>
  <c r="AY453" s="1"/>
  <c r="AY187"/>
  <c r="AY399"/>
  <c r="AY398" s="1"/>
  <c r="AY98"/>
  <c r="AY97" s="1"/>
  <c r="BE98"/>
  <c r="BE97" s="1"/>
  <c r="BE399"/>
  <c r="BE398" s="1"/>
  <c r="BE454"/>
  <c r="BE453" s="1"/>
  <c r="BE187"/>
  <c r="BE186" s="1"/>
  <c r="BG98"/>
  <c r="BG97" s="1"/>
  <c r="BG454"/>
  <c r="BG187"/>
  <c r="BG186" s="1"/>
  <c r="BG399"/>
  <c r="BG398" s="1"/>
  <c r="R454"/>
  <c r="R453" s="1"/>
  <c r="R187"/>
  <c r="R186" s="1"/>
  <c r="R399"/>
  <c r="P454"/>
  <c r="P453" s="1"/>
  <c r="P187"/>
  <c r="P186" s="1"/>
  <c r="U399"/>
  <c r="U398" s="1"/>
  <c r="U187"/>
  <c r="U186" s="1"/>
  <c r="W187"/>
  <c r="W186" s="1"/>
  <c r="W454"/>
  <c r="W453" s="1"/>
  <c r="Y454"/>
  <c r="Y453" s="1"/>
  <c r="Y187"/>
  <c r="Y186" s="1"/>
  <c r="AF187"/>
  <c r="AF186" s="1"/>
  <c r="AF98"/>
  <c r="AF97" s="1"/>
  <c r="AF454"/>
  <c r="AF453" s="1"/>
  <c r="AF399"/>
  <c r="AU187"/>
  <c r="AU186" s="1"/>
  <c r="AU98"/>
  <c r="AU97" s="1"/>
  <c r="AU454"/>
  <c r="AU453" s="1"/>
  <c r="AU399"/>
  <c r="AU398" s="1"/>
  <c r="BB454"/>
  <c r="BB453" s="1"/>
  <c r="BB187"/>
  <c r="BB186" s="1"/>
  <c r="E81"/>
  <c r="E337"/>
  <c r="E80"/>
  <c r="E157"/>
  <c r="E158"/>
  <c r="E336"/>
  <c r="M454"/>
  <c r="M453" s="1"/>
  <c r="M187"/>
  <c r="M399"/>
  <c r="M398" s="1"/>
  <c r="M98"/>
  <c r="M97" s="1"/>
  <c r="J454"/>
  <c r="J453" s="1"/>
  <c r="J187"/>
  <c r="J186" s="1"/>
  <c r="J98"/>
  <c r="J97" s="1"/>
  <c r="J399"/>
  <c r="J398" s="1"/>
  <c r="V454"/>
  <c r="V453" s="1"/>
  <c r="V187"/>
  <c r="V186" s="1"/>
  <c r="V399"/>
  <c r="V398" s="1"/>
  <c r="S454"/>
  <c r="S453" s="1"/>
  <c r="S187"/>
  <c r="S186" s="1"/>
  <c r="S399"/>
  <c r="X399"/>
  <c r="X398" s="1"/>
  <c r="X187"/>
  <c r="X98"/>
  <c r="X97" s="1"/>
  <c r="X454"/>
  <c r="X453" s="1"/>
  <c r="AG454"/>
  <c r="AG453" s="1"/>
  <c r="AG187"/>
  <c r="AG186" s="1"/>
  <c r="AN454"/>
  <c r="AN453" s="1"/>
  <c r="AN187"/>
  <c r="AN186" s="1"/>
  <c r="AV454"/>
  <c r="AV453" s="1"/>
  <c r="AV187"/>
  <c r="AV186" s="1"/>
  <c r="BA187"/>
  <c r="BA186" s="1"/>
  <c r="BA98"/>
  <c r="BA97" s="1"/>
  <c r="BA454"/>
  <c r="BA453" s="1"/>
  <c r="BA399"/>
  <c r="BA398" s="1"/>
  <c r="BC187"/>
  <c r="BC186" s="1"/>
  <c r="BC454"/>
  <c r="BC453" s="1"/>
  <c r="F157"/>
  <c r="F80"/>
  <c r="F337"/>
  <c r="F81"/>
  <c r="F336"/>
  <c r="F158"/>
  <c r="E426"/>
  <c r="AE355"/>
  <c r="J436"/>
  <c r="E102" i="12"/>
  <c r="E118" s="1"/>
  <c r="E314"/>
  <c r="E340" s="1"/>
  <c r="E230"/>
  <c r="E256" s="1"/>
  <c r="E34"/>
  <c r="E62" s="1"/>
  <c r="E173"/>
  <c r="E189" s="1"/>
  <c r="AB186" i="9"/>
  <c r="N186"/>
  <c r="H453"/>
  <c r="T97"/>
  <c r="K398"/>
  <c r="AC398"/>
  <c r="AS97"/>
  <c r="AO97"/>
  <c r="AT186"/>
  <c r="AR97"/>
  <c r="L398"/>
  <c r="L186"/>
  <c r="BG453"/>
  <c r="AI186"/>
  <c r="AJ97"/>
  <c r="AY186"/>
  <c r="AX186"/>
  <c r="S398"/>
  <c r="M186"/>
  <c r="AF398"/>
  <c r="R398"/>
  <c r="X186"/>
  <c r="BQ74" i="33"/>
  <c r="DV74" s="1"/>
  <c r="BP74"/>
  <c r="DN74"/>
  <c r="G140" i="26"/>
  <c r="BJ23" i="33"/>
  <c r="BJ25"/>
  <c r="BJ69"/>
  <c r="BJ71"/>
  <c r="BJ58"/>
  <c r="BJ81"/>
  <c r="K16" i="4"/>
  <c r="D29" i="33"/>
  <c r="N16" i="4"/>
  <c r="D29" i="26"/>
  <c r="H9" i="29"/>
  <c r="Q9"/>
  <c r="Y9"/>
  <c r="AR9"/>
  <c r="AZ9"/>
  <c r="BD9"/>
  <c r="I9"/>
  <c r="K9"/>
  <c r="R9"/>
  <c r="J9"/>
  <c r="U9"/>
  <c r="V9"/>
  <c r="Z9"/>
  <c r="AA9"/>
  <c r="AO9"/>
  <c r="AP9"/>
  <c r="AS9"/>
  <c r="AT9"/>
  <c r="AW9"/>
  <c r="AX9"/>
  <c r="BA9"/>
  <c r="BE9"/>
  <c r="BF9"/>
  <c r="BI9"/>
  <c r="L9"/>
  <c r="P9"/>
  <c r="W9"/>
  <c r="O9"/>
  <c r="X9"/>
  <c r="AM9"/>
  <c r="AQ9"/>
  <c r="AU9"/>
  <c r="AY9"/>
  <c r="BC9"/>
  <c r="BG9"/>
  <c r="O17" i="4"/>
  <c r="G418" i="9"/>
  <c r="H14"/>
  <c r="H421" s="1"/>
  <c r="BI45" i="14"/>
  <c r="U45"/>
  <c r="J45"/>
  <c r="V45"/>
  <c r="X45"/>
  <c r="AB45"/>
  <c r="AF45"/>
  <c r="AF47" s="1"/>
  <c r="AF145" i="9" s="1"/>
  <c r="AJ45" i="14"/>
  <c r="AJ47" s="1"/>
  <c r="AO45"/>
  <c r="AO47" s="1"/>
  <c r="AO68" i="9" s="1"/>
  <c r="AS45" i="14"/>
  <c r="AW45"/>
  <c r="AW47" s="1"/>
  <c r="AW68" i="9" s="1"/>
  <c r="BA45" i="14"/>
  <c r="BA47" s="1"/>
  <c r="H45"/>
  <c r="Q45"/>
  <c r="I45"/>
  <c r="Y45"/>
  <c r="AC45"/>
  <c r="AG45"/>
  <c r="AK45"/>
  <c r="AN45"/>
  <c r="AR45"/>
  <c r="AV45"/>
  <c r="AZ45"/>
  <c r="BB45"/>
  <c r="O45"/>
  <c r="O47" s="1"/>
  <c r="T45"/>
  <c r="T47" s="1"/>
  <c r="BF45"/>
  <c r="BF47" s="1"/>
  <c r="BF248" i="9" s="1"/>
  <c r="BG45" i="14"/>
  <c r="I20" i="4"/>
  <c r="J20" s="1"/>
  <c r="O20" s="1"/>
  <c r="K20"/>
  <c r="E79" i="14"/>
  <c r="AQ14" i="9"/>
  <c r="AQ421" s="1"/>
  <c r="E118" i="14"/>
  <c r="I18" i="4"/>
  <c r="BE40" i="14"/>
  <c r="AW40"/>
  <c r="AO40"/>
  <c r="AF40"/>
  <c r="X40"/>
  <c r="U40"/>
  <c r="I40"/>
  <c r="BB40"/>
  <c r="AT40"/>
  <c r="AM40"/>
  <c r="AE40"/>
  <c r="N40"/>
  <c r="J40"/>
  <c r="BG40"/>
  <c r="AY40"/>
  <c r="AQ40"/>
  <c r="AH40"/>
  <c r="Z40"/>
  <c r="W40"/>
  <c r="L40"/>
  <c r="BD40"/>
  <c r="AV40"/>
  <c r="AN40"/>
  <c r="AG40"/>
  <c r="Y40"/>
  <c r="Q40"/>
  <c r="H40"/>
  <c r="BH22"/>
  <c r="I35"/>
  <c r="L35"/>
  <c r="W35"/>
  <c r="Z35"/>
  <c r="AH35"/>
  <c r="AQ35"/>
  <c r="AY35"/>
  <c r="BG35"/>
  <c r="M35"/>
  <c r="S35"/>
  <c r="AC35"/>
  <c r="AK35"/>
  <c r="AR35"/>
  <c r="AZ35"/>
  <c r="BH35"/>
  <c r="P35"/>
  <c r="O35"/>
  <c r="AD35"/>
  <c r="AL35"/>
  <c r="AU35"/>
  <c r="BC35"/>
  <c r="H35"/>
  <c r="Q35"/>
  <c r="Y35"/>
  <c r="AG35"/>
  <c r="AN35"/>
  <c r="AV35"/>
  <c r="BD35"/>
  <c r="G248" i="9"/>
  <c r="AH187"/>
  <c r="AH454"/>
  <c r="AH453" s="1"/>
  <c r="DN43" i="33"/>
  <c r="F45"/>
  <c r="F84" s="1"/>
  <c r="F85" s="1"/>
  <c r="F86" s="1"/>
  <c r="CS28"/>
  <c r="CS43"/>
  <c r="G39" i="26"/>
  <c r="G39" i="33" s="1"/>
  <c r="CC74"/>
  <c r="CU74"/>
  <c r="G107" i="29"/>
  <c r="G84" i="26"/>
  <c r="G85" s="1"/>
  <c r="G86" s="1"/>
  <c r="CC28" i="33"/>
  <c r="CC43"/>
  <c r="CC63"/>
  <c r="BI41" i="14"/>
  <c r="J41"/>
  <c r="N41"/>
  <c r="AE41"/>
  <c r="AM41"/>
  <c r="AT41"/>
  <c r="BB41"/>
  <c r="BH41"/>
  <c r="P41"/>
  <c r="O41"/>
  <c r="AD41"/>
  <c r="AL41"/>
  <c r="AU41"/>
  <c r="BC41"/>
  <c r="H41"/>
  <c r="Q41"/>
  <c r="Y41"/>
  <c r="AG41"/>
  <c r="AN41"/>
  <c r="AV41"/>
  <c r="BF41"/>
  <c r="R41"/>
  <c r="T41"/>
  <c r="AB41"/>
  <c r="AJ41"/>
  <c r="AS41"/>
  <c r="BA41"/>
  <c r="K41"/>
  <c r="V41"/>
  <c r="AA41"/>
  <c r="AI41"/>
  <c r="AP41"/>
  <c r="AX41"/>
  <c r="BD41"/>
  <c r="BD42" s="1"/>
  <c r="BD69" s="1"/>
  <c r="L41"/>
  <c r="W41"/>
  <c r="Z41"/>
  <c r="AH41"/>
  <c r="AH42" s="1"/>
  <c r="AQ41"/>
  <c r="AY41"/>
  <c r="AY42" s="1"/>
  <c r="BE41"/>
  <c r="M41"/>
  <c r="S41"/>
  <c r="AC41"/>
  <c r="AK41"/>
  <c r="AR41"/>
  <c r="AZ41"/>
  <c r="I41"/>
  <c r="U41"/>
  <c r="X41"/>
  <c r="AF41"/>
  <c r="AO41"/>
  <c r="AO42" s="1"/>
  <c r="AO69" s="1"/>
  <c r="AW41"/>
  <c r="BG41"/>
  <c r="BA40"/>
  <c r="AJ40"/>
  <c r="AJ42" s="1"/>
  <c r="T40"/>
  <c r="BF40"/>
  <c r="BF42" s="1"/>
  <c r="AP40"/>
  <c r="AA40"/>
  <c r="K40"/>
  <c r="AU40"/>
  <c r="AU42" s="1"/>
  <c r="AD40"/>
  <c r="P40"/>
  <c r="AZ40"/>
  <c r="AK40"/>
  <c r="S40"/>
  <c r="BI40"/>
  <c r="BI42" s="1"/>
  <c r="AB40"/>
  <c r="AB42" s="1"/>
  <c r="AB69" s="1"/>
  <c r="AX40"/>
  <c r="V40"/>
  <c r="AL40"/>
  <c r="BH40"/>
  <c r="AC40"/>
  <c r="AS40"/>
  <c r="AS42" s="1"/>
  <c r="R40"/>
  <c r="AI40"/>
  <c r="BC40"/>
  <c r="O40"/>
  <c r="O42" s="1"/>
  <c r="O69" s="1"/>
  <c r="AR40"/>
  <c r="M40"/>
  <c r="M42" s="1"/>
  <c r="J18" i="4"/>
  <c r="W51" i="14" s="1"/>
  <c r="AH186" i="9"/>
  <c r="BR74" i="33"/>
  <c r="BV74"/>
  <c r="DT74" s="1"/>
  <c r="CV74"/>
  <c r="L51" i="14"/>
  <c r="AX51"/>
  <c r="U51"/>
  <c r="AH51"/>
  <c r="AY51"/>
  <c r="O51"/>
  <c r="Y51"/>
  <c r="AG51"/>
  <c r="AN51"/>
  <c r="AV51"/>
  <c r="S51"/>
  <c r="T51"/>
  <c r="I51"/>
  <c r="X51"/>
  <c r="AB51"/>
  <c r="AF51"/>
  <c r="AJ51"/>
  <c r="AO51"/>
  <c r="AS51"/>
  <c r="AW51"/>
  <c r="BA51"/>
  <c r="BH51"/>
  <c r="BG51"/>
  <c r="BF51"/>
  <c r="BC51"/>
  <c r="BI51"/>
  <c r="BD51"/>
  <c r="BE51"/>
  <c r="BS74" i="33"/>
  <c r="BT74"/>
  <c r="BW74"/>
  <c r="BX74"/>
  <c r="BY74"/>
  <c r="DW74" s="1"/>
  <c r="BZ74"/>
  <c r="DX74" s="1"/>
  <c r="CA74"/>
  <c r="DY74" s="1"/>
  <c r="AP22" i="14"/>
  <c r="U8" i="4"/>
  <c r="AN22" i="14"/>
  <c r="AN25" s="1"/>
  <c r="AL22"/>
  <c r="AJ22"/>
  <c r="AJ25" s="1"/>
  <c r="AH22"/>
  <c r="AH25" s="1"/>
  <c r="AF22"/>
  <c r="AF25" s="1"/>
  <c r="AD22"/>
  <c r="AD25" s="1"/>
  <c r="AB22"/>
  <c r="AB25" s="1"/>
  <c r="Z22"/>
  <c r="I8" i="4"/>
  <c r="K8"/>
  <c r="X22" i="14"/>
  <c r="N22"/>
  <c r="S22"/>
  <c r="V22"/>
  <c r="Q22"/>
  <c r="J22"/>
  <c r="M22"/>
  <c r="M25" s="1"/>
  <c r="O15" i="4"/>
  <c r="AT45" i="14"/>
  <c r="AM45"/>
  <c r="AE45"/>
  <c r="S45"/>
  <c r="AY45"/>
  <c r="AY47" s="1"/>
  <c r="AQ45"/>
  <c r="AH45"/>
  <c r="AH47" s="1"/>
  <c r="Z45"/>
  <c r="K45"/>
  <c r="W58"/>
  <c r="L58"/>
  <c r="U58"/>
  <c r="H58"/>
  <c r="S58"/>
  <c r="Q58"/>
  <c r="M58"/>
  <c r="K22" i="5"/>
  <c r="J22"/>
  <c r="W22"/>
  <c r="O22"/>
  <c r="H22"/>
  <c r="R22"/>
  <c r="V22"/>
  <c r="N22"/>
  <c r="S16" i="14"/>
  <c r="M16"/>
  <c r="V16"/>
  <c r="K16"/>
  <c r="T16"/>
  <c r="U16"/>
  <c r="R16"/>
  <c r="H16"/>
  <c r="N21" i="4"/>
  <c r="K22" i="14"/>
  <c r="L14" i="9"/>
  <c r="L421" s="1"/>
  <c r="N14"/>
  <c r="N421" s="1"/>
  <c r="M10" i="14"/>
  <c r="M12" s="1"/>
  <c r="BD47"/>
  <c r="BD68" i="9" s="1"/>
  <c r="AN42" i="14"/>
  <c r="BG47"/>
  <c r="BG248" i="9" s="1"/>
  <c r="AN47" i="14"/>
  <c r="AS47"/>
  <c r="AS73" s="1"/>
  <c r="AB47"/>
  <c r="AU47"/>
  <c r="AU97" s="1"/>
  <c r="AD47"/>
  <c r="Q14" i="9"/>
  <c r="Q421" s="1"/>
  <c r="R9" i="4"/>
  <c r="S9" s="1"/>
  <c r="U9" s="1"/>
  <c r="AU271" i="12"/>
  <c r="AU355"/>
  <c r="AY271"/>
  <c r="AY355"/>
  <c r="P303" i="9"/>
  <c r="P426"/>
  <c r="P425" s="1"/>
  <c r="K204" i="12"/>
  <c r="K505"/>
  <c r="M505"/>
  <c r="M204"/>
  <c r="J505"/>
  <c r="J204"/>
  <c r="Q505"/>
  <c r="Q204"/>
  <c r="V204"/>
  <c r="V505"/>
  <c r="S505"/>
  <c r="S204"/>
  <c r="N505"/>
  <c r="N204"/>
  <c r="AB505"/>
  <c r="AB204"/>
  <c r="AD505"/>
  <c r="AD204"/>
  <c r="AF505"/>
  <c r="AF204"/>
  <c r="AH204"/>
  <c r="AH505"/>
  <c r="AJ505"/>
  <c r="AJ204"/>
  <c r="AL505"/>
  <c r="AL204"/>
  <c r="AN505"/>
  <c r="AN204"/>
  <c r="BD505"/>
  <c r="BD204"/>
  <c r="BD271"/>
  <c r="BF204"/>
  <c r="BF271"/>
  <c r="BF505"/>
  <c r="BH505"/>
  <c r="BH204"/>
  <c r="BH271"/>
  <c r="AO505"/>
  <c r="AO271"/>
  <c r="AO355"/>
  <c r="AO578"/>
  <c r="AW271"/>
  <c r="AW355"/>
  <c r="AQ426" i="9"/>
  <c r="AQ425" s="1"/>
  <c r="AQ149"/>
  <c r="I505" i="12"/>
  <c r="I271"/>
  <c r="I355"/>
  <c r="I578"/>
  <c r="R505"/>
  <c r="R271"/>
  <c r="R355"/>
  <c r="R578"/>
  <c r="P505"/>
  <c r="P271"/>
  <c r="P355"/>
  <c r="P578"/>
  <c r="U505"/>
  <c r="U271"/>
  <c r="U355"/>
  <c r="U578"/>
  <c r="W505"/>
  <c r="W271"/>
  <c r="W355"/>
  <c r="W578"/>
  <c r="T505"/>
  <c r="T271"/>
  <c r="T355"/>
  <c r="T578"/>
  <c r="O505"/>
  <c r="O271"/>
  <c r="O355"/>
  <c r="O578"/>
  <c r="Y505"/>
  <c r="Y271"/>
  <c r="Y355"/>
  <c r="Y578"/>
  <c r="AA505"/>
  <c r="AA271"/>
  <c r="AA355"/>
  <c r="AA578"/>
  <c r="AC505"/>
  <c r="AC271"/>
  <c r="AC355"/>
  <c r="AC578"/>
  <c r="AE505"/>
  <c r="AE271"/>
  <c r="AE355"/>
  <c r="AE578"/>
  <c r="AG505"/>
  <c r="AG271"/>
  <c r="AG355"/>
  <c r="AG578"/>
  <c r="AI505"/>
  <c r="AI271"/>
  <c r="AI355"/>
  <c r="AI578"/>
  <c r="AK505"/>
  <c r="AK271"/>
  <c r="AK355"/>
  <c r="AK578"/>
  <c r="AM505"/>
  <c r="AM271"/>
  <c r="AM355"/>
  <c r="AM578"/>
  <c r="AZ505"/>
  <c r="AZ204"/>
  <c r="BE271"/>
  <c r="BE355"/>
  <c r="BG271"/>
  <c r="BG355"/>
  <c r="BI271"/>
  <c r="BI355"/>
  <c r="AD19" i="5"/>
  <c r="AJ19"/>
  <c r="AR19"/>
  <c r="AV19"/>
  <c r="BB19"/>
  <c r="BB25" s="1"/>
  <c r="BB35" s="1"/>
  <c r="BB11" i="29" s="1"/>
  <c r="AN426" i="9"/>
  <c r="AN425" s="1"/>
  <c r="AI303"/>
  <c r="K149"/>
  <c r="P19" i="5"/>
  <c r="P25" s="1"/>
  <c r="S15" i="4"/>
  <c r="U15" s="1"/>
  <c r="BH48" i="14" s="1"/>
  <c r="BF421" i="9"/>
  <c r="BI47" i="14"/>
  <c r="BI124" s="1"/>
  <c r="O19" i="4"/>
  <c r="BD34" i="14"/>
  <c r="AV34"/>
  <c r="AN34"/>
  <c r="AG34"/>
  <c r="Y34"/>
  <c r="Q34"/>
  <c r="H34"/>
  <c r="BC34"/>
  <c r="AU34"/>
  <c r="AL34"/>
  <c r="AD34"/>
  <c r="O34"/>
  <c r="O36" s="1"/>
  <c r="P34"/>
  <c r="BF34"/>
  <c r="AX34"/>
  <c r="AP34"/>
  <c r="AI34"/>
  <c r="AA34"/>
  <c r="N34"/>
  <c r="J34"/>
  <c r="BI34"/>
  <c r="BA34"/>
  <c r="AS34"/>
  <c r="AJ34"/>
  <c r="AB34"/>
  <c r="T34"/>
  <c r="R34"/>
  <c r="BH34"/>
  <c r="BH36" s="1"/>
  <c r="BH93" s="1"/>
  <c r="AZ34"/>
  <c r="AR34"/>
  <c r="AK34"/>
  <c r="AC34"/>
  <c r="S34"/>
  <c r="M34"/>
  <c r="M36" s="1"/>
  <c r="BG34"/>
  <c r="BG36" s="1"/>
  <c r="AY34"/>
  <c r="AY36" s="1"/>
  <c r="AQ34"/>
  <c r="AH34"/>
  <c r="Z34"/>
  <c r="W34"/>
  <c r="L34"/>
  <c r="BB34"/>
  <c r="AT34"/>
  <c r="AM34"/>
  <c r="AE34"/>
  <c r="V34"/>
  <c r="K34"/>
  <c r="BE34"/>
  <c r="AW34"/>
  <c r="AO34"/>
  <c r="AF34"/>
  <c r="X34"/>
  <c r="U34"/>
  <c r="I34"/>
  <c r="BB35"/>
  <c r="AT35"/>
  <c r="AM35"/>
  <c r="AE35"/>
  <c r="N35"/>
  <c r="J35"/>
  <c r="BI35"/>
  <c r="BI36" s="1"/>
  <c r="BI93" s="1"/>
  <c r="BA35"/>
  <c r="AS35"/>
  <c r="AJ35"/>
  <c r="AB35"/>
  <c r="AB36" s="1"/>
  <c r="T35"/>
  <c r="R35"/>
  <c r="BF35"/>
  <c r="AX35"/>
  <c r="AP35"/>
  <c r="AI35"/>
  <c r="AA35"/>
  <c r="V35"/>
  <c r="K35"/>
  <c r="BE35"/>
  <c r="AW35"/>
  <c r="AO35"/>
  <c r="AF35"/>
  <c r="X35"/>
  <c r="U35"/>
  <c r="BD36"/>
  <c r="N18" i="4"/>
  <c r="K18"/>
  <c r="BH29" i="14"/>
  <c r="I29"/>
  <c r="R29"/>
  <c r="U29"/>
  <c r="T29"/>
  <c r="T31" s="1"/>
  <c r="T89" s="1"/>
  <c r="Y29"/>
  <c r="AC29"/>
  <c r="AG29"/>
  <c r="AK29"/>
  <c r="AO29"/>
  <c r="AO31" s="1"/>
  <c r="AO89" s="1"/>
  <c r="AS29"/>
  <c r="AS31" s="1"/>
  <c r="AS89" s="1"/>
  <c r="AW29"/>
  <c r="AW31" s="1"/>
  <c r="AW89" s="1"/>
  <c r="BA29"/>
  <c r="BA31" s="1"/>
  <c r="BA89" s="1"/>
  <c r="BE29"/>
  <c r="BI29"/>
  <c r="BI31" s="1"/>
  <c r="BI89" s="1"/>
  <c r="K29"/>
  <c r="J29"/>
  <c r="V29"/>
  <c r="N29"/>
  <c r="Z29"/>
  <c r="AD29"/>
  <c r="AD31" s="1"/>
  <c r="AD89" s="1"/>
  <c r="AH29"/>
  <c r="AH31" s="1"/>
  <c r="AH89" s="1"/>
  <c r="AL29"/>
  <c r="AP29"/>
  <c r="AT29"/>
  <c r="AX29"/>
  <c r="BB29"/>
  <c r="BF29"/>
  <c r="BF31" s="1"/>
  <c r="BF89" s="1"/>
  <c r="L29"/>
  <c r="P29"/>
  <c r="W29"/>
  <c r="O29"/>
  <c r="O31" s="1"/>
  <c r="O89" s="1"/>
  <c r="AA29"/>
  <c r="AE29"/>
  <c r="AI29"/>
  <c r="AM29"/>
  <c r="AQ29"/>
  <c r="AU29"/>
  <c r="AY29"/>
  <c r="AY31" s="1"/>
  <c r="AY89" s="1"/>
  <c r="BC29"/>
  <c r="BG29"/>
  <c r="BG31" s="1"/>
  <c r="BG89" s="1"/>
  <c r="H29"/>
  <c r="M29"/>
  <c r="M31" s="1"/>
  <c r="M89" s="1"/>
  <c r="Q29"/>
  <c r="S29"/>
  <c r="X29"/>
  <c r="AB29"/>
  <c r="AF29"/>
  <c r="AF31" s="1"/>
  <c r="AF89" s="1"/>
  <c r="AJ29"/>
  <c r="AN29"/>
  <c r="AN31" s="1"/>
  <c r="AN89" s="1"/>
  <c r="AR29"/>
  <c r="AV29"/>
  <c r="AZ29"/>
  <c r="BD29"/>
  <c r="AH36"/>
  <c r="AH93" s="1"/>
  <c r="AU421" i="9"/>
  <c r="AP421"/>
  <c r="BF68"/>
  <c r="BF73" i="14"/>
  <c r="BF145" i="9"/>
  <c r="AW248"/>
  <c r="BG73" i="14"/>
  <c r="BA97"/>
  <c r="AS418" i="9"/>
  <c r="AS419" s="1"/>
  <c r="AB68"/>
  <c r="AB248"/>
  <c r="AB145"/>
  <c r="AB124" i="14"/>
  <c r="BC421" i="9"/>
  <c r="BF69" i="14"/>
  <c r="M69"/>
  <c r="AS69"/>
  <c r="P21"/>
  <c r="AD21"/>
  <c r="AU21"/>
  <c r="AY21"/>
  <c r="BC21"/>
  <c r="K21"/>
  <c r="J21"/>
  <c r="N21"/>
  <c r="AA21"/>
  <c r="AE21"/>
  <c r="R21"/>
  <c r="X21"/>
  <c r="AB21"/>
  <c r="AF21"/>
  <c r="AJ21"/>
  <c r="AO21"/>
  <c r="AS21"/>
  <c r="AW21"/>
  <c r="BA21"/>
  <c r="BF21"/>
  <c r="H21"/>
  <c r="M21"/>
  <c r="Q21"/>
  <c r="AC21"/>
  <c r="AG21"/>
  <c r="AK21"/>
  <c r="AN21"/>
  <c r="AR21"/>
  <c r="AZ21"/>
  <c r="BG21"/>
  <c r="BI21"/>
  <c r="L21"/>
  <c r="W21"/>
  <c r="O21"/>
  <c r="Z21"/>
  <c r="AH21"/>
  <c r="AL21"/>
  <c r="AQ21"/>
  <c r="BD21"/>
  <c r="BH21"/>
  <c r="V21"/>
  <c r="V24" s="1"/>
  <c r="AI21"/>
  <c r="AM21"/>
  <c r="AP21"/>
  <c r="AT21"/>
  <c r="AX21"/>
  <c r="BB21"/>
  <c r="BB24" s="1"/>
  <c r="BE21"/>
  <c r="I21"/>
  <c r="U21"/>
  <c r="T21"/>
  <c r="T23" s="1"/>
  <c r="T65" s="1"/>
  <c r="S21"/>
  <c r="Y21"/>
  <c r="AV21"/>
  <c r="O14" i="4"/>
  <c r="AB32" i="24"/>
  <c r="Y32"/>
  <c r="AE32"/>
  <c r="AE27"/>
  <c r="Y27"/>
  <c r="AB27"/>
  <c r="AB29"/>
  <c r="AE29"/>
  <c r="Y29"/>
  <c r="BA145" i="9"/>
  <c r="T97" i="14"/>
  <c r="AD418" i="9"/>
  <c r="AD419" s="1"/>
  <c r="AD124" i="14"/>
  <c r="AD145" i="9"/>
  <c r="AD97" i="14"/>
  <c r="AD68" i="9"/>
  <c r="AD73" i="14"/>
  <c r="AD248" i="9"/>
  <c r="AU73" i="14"/>
  <c r="AU68" i="9"/>
  <c r="AU124" i="14"/>
  <c r="AU145" i="9"/>
  <c r="AN68"/>
  <c r="AN418"/>
  <c r="AN419" s="1"/>
  <c r="AN73" i="14"/>
  <c r="BD73"/>
  <c r="BD248" i="9"/>
  <c r="BI97" i="14"/>
  <c r="BH120"/>
  <c r="H52"/>
  <c r="U52"/>
  <c r="K52"/>
  <c r="M52"/>
  <c r="AA52"/>
  <c r="AI52"/>
  <c r="AP52"/>
  <c r="AX52"/>
  <c r="X52"/>
  <c r="AF52"/>
  <c r="AO52"/>
  <c r="AO53" s="1"/>
  <c r="AW52"/>
  <c r="BG52"/>
  <c r="I52"/>
  <c r="P52"/>
  <c r="O52"/>
  <c r="O53" s="1"/>
  <c r="N52"/>
  <c r="Y52"/>
  <c r="AG52"/>
  <c r="AN52"/>
  <c r="AN53" s="1"/>
  <c r="AV52"/>
  <c r="Z52"/>
  <c r="AH52"/>
  <c r="AH53" s="1"/>
  <c r="AQ52"/>
  <c r="AY52"/>
  <c r="BI52"/>
  <c r="BF52"/>
  <c r="BF53" s="1"/>
  <c r="BH52"/>
  <c r="R52"/>
  <c r="T52"/>
  <c r="T53" s="1"/>
  <c r="V52"/>
  <c r="S52"/>
  <c r="AE52"/>
  <c r="AM52"/>
  <c r="AT52"/>
  <c r="BB52"/>
  <c r="AB52"/>
  <c r="AJ52"/>
  <c r="AJ53" s="1"/>
  <c r="AS52"/>
  <c r="BA52"/>
  <c r="BA53" s="1"/>
  <c r="BA102" s="1"/>
  <c r="BD52"/>
  <c r="L52"/>
  <c r="W52"/>
  <c r="J52"/>
  <c r="Q52"/>
  <c r="AC52"/>
  <c r="AK52"/>
  <c r="AR52"/>
  <c r="AZ52"/>
  <c r="AD52"/>
  <c r="AL52"/>
  <c r="AU52"/>
  <c r="BE52"/>
  <c r="BC52"/>
  <c r="O18" i="4"/>
  <c r="T24" i="14"/>
  <c r="AM24"/>
  <c r="U24"/>
  <c r="BE24"/>
  <c r="AP24"/>
  <c r="AI24"/>
  <c r="BH24"/>
  <c r="AH24"/>
  <c r="O24"/>
  <c r="O26" s="1"/>
  <c r="O23"/>
  <c r="O65" s="1"/>
  <c r="BG24"/>
  <c r="AR24"/>
  <c r="AK24"/>
  <c r="M24"/>
  <c r="M26" s="1"/>
  <c r="M23"/>
  <c r="M65" s="1"/>
  <c r="BF24"/>
  <c r="BF26" s="1"/>
  <c r="BF23"/>
  <c r="BF65" s="1"/>
  <c r="AW24"/>
  <c r="AO24"/>
  <c r="AO23"/>
  <c r="AO65" s="1"/>
  <c r="AF23"/>
  <c r="AF65" s="1"/>
  <c r="AF24"/>
  <c r="AF26" s="1"/>
  <c r="X24"/>
  <c r="AE24"/>
  <c r="N24"/>
  <c r="AY24"/>
  <c r="AY26" s="1"/>
  <c r="AY23"/>
  <c r="AY65" s="1"/>
  <c r="AD24"/>
  <c r="AD23"/>
  <c r="AD65" s="1"/>
  <c r="BI120"/>
  <c r="AH69"/>
  <c r="AO97"/>
  <c r="AO124"/>
  <c r="AF418" i="9"/>
  <c r="AF419" s="1"/>
  <c r="AF97" i="14"/>
  <c r="AF248" i="9"/>
  <c r="AF73" i="14"/>
  <c r="G29" i="33"/>
  <c r="BH474" i="12"/>
  <c r="BH547"/>
  <c r="BH331"/>
  <c r="BH247"/>
  <c r="BH52"/>
  <c r="BH60"/>
  <c r="BH240"/>
  <c r="BH557"/>
  <c r="BH484"/>
  <c r="BH324"/>
  <c r="AC426" i="9"/>
  <c r="AC425" s="1"/>
  <c r="AC149"/>
  <c r="BA19" i="5"/>
  <c r="BA25" s="1"/>
  <c r="AR426" i="9"/>
  <c r="AR425" s="1"/>
  <c r="BG19" i="5"/>
  <c r="BG42" i="14" l="1"/>
  <c r="BG69" s="1"/>
  <c r="AF42"/>
  <c r="AF69" s="1"/>
  <c r="AO36"/>
  <c r="P16"/>
  <c r="AF36"/>
  <c r="AF120" s="1"/>
  <c r="AW36"/>
  <c r="AW120" s="1"/>
  <c r="AS36"/>
  <c r="AS120" s="1"/>
  <c r="T9" i="9"/>
  <c r="CH3" i="30"/>
  <c r="Z3"/>
  <c r="CE3"/>
  <c r="W3"/>
  <c r="CM3"/>
  <c r="AE3"/>
  <c r="BJ3"/>
  <c r="V3"/>
  <c r="BO3"/>
  <c r="AA3"/>
  <c r="BQ3"/>
  <c r="AC3"/>
  <c r="BL3"/>
  <c r="X3"/>
  <c r="BR3"/>
  <c r="AD3"/>
  <c r="BT3"/>
  <c r="AF3"/>
  <c r="AX19" i="5"/>
  <c r="BE19"/>
  <c r="BE25" s="1"/>
  <c r="Z64" i="30"/>
  <c r="AA63"/>
  <c r="AF63"/>
  <c r="AB63"/>
  <c r="AG63"/>
  <c r="AO63"/>
  <c r="AS63"/>
  <c r="AL63"/>
  <c r="AW63"/>
  <c r="BI63"/>
  <c r="BM63"/>
  <c r="BF63"/>
  <c r="BQ63"/>
  <c r="BV63"/>
  <c r="CJ63"/>
  <c r="CO63"/>
  <c r="CD63"/>
  <c r="CL63"/>
  <c r="O309"/>
  <c r="BM10"/>
  <c r="BR12"/>
  <c r="BS14"/>
  <c r="BT18"/>
  <c r="BT20"/>
  <c r="BT22"/>
  <c r="BU24"/>
  <c r="BS26"/>
  <c r="BS28"/>
  <c r="BG32"/>
  <c r="BJ34"/>
  <c r="BJ36"/>
  <c r="BN38"/>
  <c r="BJ40"/>
  <c r="BN42"/>
  <c r="BP45"/>
  <c r="BQ47"/>
  <c r="BQ49"/>
  <c r="BP59"/>
  <c r="BP61"/>
  <c r="BQ68"/>
  <c r="BQ70"/>
  <c r="BQ76"/>
  <c r="BQ78"/>
  <c r="BM91"/>
  <c r="BR93"/>
  <c r="BS95"/>
  <c r="BT99"/>
  <c r="BT101"/>
  <c r="BU103"/>
  <c r="BQ113"/>
  <c r="BQ117"/>
  <c r="BQ119"/>
  <c r="BO122"/>
  <c r="BO124"/>
  <c r="BP127"/>
  <c r="BP130"/>
  <c r="BQ133"/>
  <c r="BQ135"/>
  <c r="BQ138"/>
  <c r="BQ140"/>
  <c r="BC64"/>
  <c r="CG64"/>
  <c r="R63"/>
  <c r="V63"/>
  <c r="AC63"/>
  <c r="AD63"/>
  <c r="S63"/>
  <c r="Z63"/>
  <c r="W63"/>
  <c r="AE63"/>
  <c r="AI63"/>
  <c r="AM63"/>
  <c r="AT63"/>
  <c r="AQ63"/>
  <c r="AY63"/>
  <c r="BC63"/>
  <c r="AN63"/>
  <c r="AU63"/>
  <c r="AR63"/>
  <c r="AZ63"/>
  <c r="BG63"/>
  <c r="BN63"/>
  <c r="BK63"/>
  <c r="BS63"/>
  <c r="BW63"/>
  <c r="BH63"/>
  <c r="BO63"/>
  <c r="BL63"/>
  <c r="BT63"/>
  <c r="CA63"/>
  <c r="CH63"/>
  <c r="CE63"/>
  <c r="CM63"/>
  <c r="CQ63"/>
  <c r="CB63"/>
  <c r="CI63"/>
  <c r="CF63"/>
  <c r="CN63"/>
  <c r="S189"/>
  <c r="Z189"/>
  <c r="W189"/>
  <c r="AE189"/>
  <c r="AI189"/>
  <c r="T189"/>
  <c r="AA189"/>
  <c r="X189"/>
  <c r="AF189"/>
  <c r="S246"/>
  <c r="Z246"/>
  <c r="W246"/>
  <c r="AI246"/>
  <c r="T246"/>
  <c r="AA246"/>
  <c r="Y246"/>
  <c r="X246"/>
  <c r="AF246"/>
  <c r="U244"/>
  <c r="AB244"/>
  <c r="Y244"/>
  <c r="AG244"/>
  <c r="R244"/>
  <c r="V244"/>
  <c r="AC244"/>
  <c r="AD244"/>
  <c r="S219"/>
  <c r="Z219"/>
  <c r="W219"/>
  <c r="R219"/>
  <c r="V219"/>
  <c r="AC219"/>
  <c r="AF219"/>
  <c r="AE219"/>
  <c r="AI219"/>
  <c r="T66"/>
  <c r="AA66"/>
  <c r="X66"/>
  <c r="AF66"/>
  <c r="U66"/>
  <c r="AB66"/>
  <c r="Y66"/>
  <c r="AG66"/>
  <c r="J67"/>
  <c r="T131"/>
  <c r="AA131"/>
  <c r="X131"/>
  <c r="AF131"/>
  <c r="U131"/>
  <c r="AB131"/>
  <c r="Y131"/>
  <c r="AG131"/>
  <c r="R62"/>
  <c r="V62"/>
  <c r="AC62"/>
  <c r="AD62"/>
  <c r="S62"/>
  <c r="Z62"/>
  <c r="W62"/>
  <c r="AE62"/>
  <c r="AI62"/>
  <c r="T116"/>
  <c r="AA116"/>
  <c r="X116"/>
  <c r="AF116"/>
  <c r="U116"/>
  <c r="AB116"/>
  <c r="Y116"/>
  <c r="AG116"/>
  <c r="J115"/>
  <c r="AM66"/>
  <c r="AT66"/>
  <c r="AQ66"/>
  <c r="AY66"/>
  <c r="BC66"/>
  <c r="AN66"/>
  <c r="AU66"/>
  <c r="AR66"/>
  <c r="AZ66"/>
  <c r="AO131"/>
  <c r="AV131"/>
  <c r="AS131"/>
  <c r="BA131"/>
  <c r="AL131"/>
  <c r="AP131"/>
  <c r="AW131"/>
  <c r="AX131"/>
  <c r="AL62"/>
  <c r="AO62"/>
  <c r="AT62"/>
  <c r="AQ62"/>
  <c r="AY62"/>
  <c r="BC62"/>
  <c r="AU62"/>
  <c r="AR62"/>
  <c r="AZ62"/>
  <c r="AO189"/>
  <c r="AV189"/>
  <c r="AS189"/>
  <c r="BA189"/>
  <c r="AL189"/>
  <c r="AP189"/>
  <c r="AW189"/>
  <c r="AX189"/>
  <c r="AO246"/>
  <c r="AV246"/>
  <c r="AS246"/>
  <c r="BA246"/>
  <c r="AL246"/>
  <c r="AP246"/>
  <c r="AW246"/>
  <c r="AX246"/>
  <c r="AO116"/>
  <c r="AV116"/>
  <c r="AS116"/>
  <c r="BA116"/>
  <c r="AL116"/>
  <c r="AP116"/>
  <c r="AW116"/>
  <c r="AX116"/>
  <c r="AM244"/>
  <c r="AT244"/>
  <c r="AQ244"/>
  <c r="AY244"/>
  <c r="BC244"/>
  <c r="AN244"/>
  <c r="AU244"/>
  <c r="AR244"/>
  <c r="AZ244"/>
  <c r="AO219"/>
  <c r="AV219"/>
  <c r="AS219"/>
  <c r="BA219"/>
  <c r="AL219"/>
  <c r="AP219"/>
  <c r="AW219"/>
  <c r="AX219"/>
  <c r="BH116"/>
  <c r="BO116"/>
  <c r="BL116"/>
  <c r="BT116"/>
  <c r="BG116"/>
  <c r="BN116"/>
  <c r="BK116"/>
  <c r="BS116"/>
  <c r="BW116"/>
  <c r="CB116"/>
  <c r="CI116"/>
  <c r="CF116"/>
  <c r="CN116"/>
  <c r="CA116"/>
  <c r="CH116"/>
  <c r="CE116"/>
  <c r="CM116"/>
  <c r="CQ116"/>
  <c r="BH131"/>
  <c r="BO131"/>
  <c r="BL131"/>
  <c r="BT131"/>
  <c r="BG131"/>
  <c r="BN131"/>
  <c r="BK131"/>
  <c r="BS131"/>
  <c r="BW131"/>
  <c r="CB131"/>
  <c r="CI131"/>
  <c r="CF131"/>
  <c r="CN131"/>
  <c r="CA131"/>
  <c r="CH131"/>
  <c r="CE131"/>
  <c r="CM131"/>
  <c r="CQ131"/>
  <c r="BI244"/>
  <c r="BP244"/>
  <c r="BM244"/>
  <c r="BU244"/>
  <c r="BF244"/>
  <c r="BJ244"/>
  <c r="BQ244"/>
  <c r="BR244"/>
  <c r="BV244"/>
  <c r="CB244"/>
  <c r="CI244"/>
  <c r="CF244"/>
  <c r="CN244"/>
  <c r="CA244"/>
  <c r="CH244"/>
  <c r="CE244"/>
  <c r="CM244"/>
  <c r="CQ244"/>
  <c r="BI219"/>
  <c r="BP219"/>
  <c r="BM219"/>
  <c r="BU219"/>
  <c r="BF219"/>
  <c r="BJ219"/>
  <c r="BQ219"/>
  <c r="BR219"/>
  <c r="BV219"/>
  <c r="CB219"/>
  <c r="CI219"/>
  <c r="CF219"/>
  <c r="CN219"/>
  <c r="CA219"/>
  <c r="CH219"/>
  <c r="CE219"/>
  <c r="CM219"/>
  <c r="CQ219"/>
  <c r="BI189"/>
  <c r="BP189"/>
  <c r="BM189"/>
  <c r="BU189"/>
  <c r="BF189"/>
  <c r="BJ189"/>
  <c r="BQ189"/>
  <c r="BR189"/>
  <c r="BV189"/>
  <c r="CB189"/>
  <c r="CI189"/>
  <c r="CF189"/>
  <c r="CN189"/>
  <c r="CA189"/>
  <c r="CH189"/>
  <c r="CE189"/>
  <c r="CM189"/>
  <c r="CQ189"/>
  <c r="BI246"/>
  <c r="BP246"/>
  <c r="BM246"/>
  <c r="BU246"/>
  <c r="BF246"/>
  <c r="BJ246"/>
  <c r="BQ246"/>
  <c r="BR246"/>
  <c r="BV246"/>
  <c r="CB246"/>
  <c r="CI246"/>
  <c r="CF246"/>
  <c r="CN246"/>
  <c r="CA246"/>
  <c r="CH246"/>
  <c r="CE246"/>
  <c r="CM246"/>
  <c r="CQ246"/>
  <c r="BI66"/>
  <c r="BP66"/>
  <c r="BM66"/>
  <c r="BU66"/>
  <c r="BF66"/>
  <c r="BJ66"/>
  <c r="BQ66"/>
  <c r="BR66"/>
  <c r="BV66"/>
  <c r="CC66"/>
  <c r="CJ66"/>
  <c r="CG66"/>
  <c r="CO66"/>
  <c r="BZ66"/>
  <c r="CD66"/>
  <c r="CK66"/>
  <c r="CL66"/>
  <c r="CP66"/>
  <c r="BI62"/>
  <c r="BP62"/>
  <c r="BM62"/>
  <c r="BU62"/>
  <c r="BF62"/>
  <c r="BJ62"/>
  <c r="BQ62"/>
  <c r="BR62"/>
  <c r="BV62"/>
  <c r="CC62"/>
  <c r="CJ62"/>
  <c r="CG62"/>
  <c r="CO62"/>
  <c r="BZ62"/>
  <c r="CD62"/>
  <c r="CK62"/>
  <c r="CL62"/>
  <c r="CP62"/>
  <c r="AC160"/>
  <c r="R160"/>
  <c r="AD158"/>
  <c r="AC158"/>
  <c r="V158"/>
  <c r="R158"/>
  <c r="AD156"/>
  <c r="AC156"/>
  <c r="V156"/>
  <c r="R156"/>
  <c r="AD154"/>
  <c r="AC154"/>
  <c r="V154"/>
  <c r="R154"/>
  <c r="U165"/>
  <c r="AB165"/>
  <c r="Y165"/>
  <c r="AG165"/>
  <c r="R165"/>
  <c r="V165"/>
  <c r="AC165"/>
  <c r="AD165"/>
  <c r="S167"/>
  <c r="Z167"/>
  <c r="W167"/>
  <c r="AE167"/>
  <c r="AI167"/>
  <c r="T167"/>
  <c r="AA167"/>
  <c r="X167"/>
  <c r="AF167"/>
  <c r="U169"/>
  <c r="AB169"/>
  <c r="Y169"/>
  <c r="AG169"/>
  <c r="R169"/>
  <c r="V169"/>
  <c r="AC169"/>
  <c r="AD169"/>
  <c r="S171"/>
  <c r="Z171"/>
  <c r="W171"/>
  <c r="AE171"/>
  <c r="AI171"/>
  <c r="T171"/>
  <c r="AA171"/>
  <c r="X171"/>
  <c r="AF171"/>
  <c r="U173"/>
  <c r="AB173"/>
  <c r="Y173"/>
  <c r="AG173"/>
  <c r="R173"/>
  <c r="V173"/>
  <c r="AC173"/>
  <c r="AD173"/>
  <c r="S175"/>
  <c r="Z175"/>
  <c r="W175"/>
  <c r="AE175"/>
  <c r="AI175"/>
  <c r="T175"/>
  <c r="AA175"/>
  <c r="X175"/>
  <c r="AF175"/>
  <c r="U177"/>
  <c r="AB177"/>
  <c r="Y177"/>
  <c r="AG177"/>
  <c r="R177"/>
  <c r="V177"/>
  <c r="AC177"/>
  <c r="AD177"/>
  <c r="S180"/>
  <c r="Z180"/>
  <c r="W180"/>
  <c r="AE180"/>
  <c r="AI180"/>
  <c r="T180"/>
  <c r="AA180"/>
  <c r="X180"/>
  <c r="AF180"/>
  <c r="U182"/>
  <c r="AB182"/>
  <c r="Y182"/>
  <c r="AG182"/>
  <c r="R182"/>
  <c r="V182"/>
  <c r="AC182"/>
  <c r="AD182"/>
  <c r="S184"/>
  <c r="Z184"/>
  <c r="W184"/>
  <c r="AE184"/>
  <c r="AI184"/>
  <c r="T184"/>
  <c r="AA184"/>
  <c r="X184"/>
  <c r="AF184"/>
  <c r="U187"/>
  <c r="AB187"/>
  <c r="Y187"/>
  <c r="AG187"/>
  <c r="R187"/>
  <c r="V187"/>
  <c r="AC187"/>
  <c r="AD187"/>
  <c r="S190"/>
  <c r="Z190"/>
  <c r="W190"/>
  <c r="AE190"/>
  <c r="AI190"/>
  <c r="T190"/>
  <c r="AA190"/>
  <c r="X190"/>
  <c r="AF190"/>
  <c r="U192"/>
  <c r="AB192"/>
  <c r="Y192"/>
  <c r="AG192"/>
  <c r="R192"/>
  <c r="V192"/>
  <c r="AC192"/>
  <c r="AD192"/>
  <c r="S194"/>
  <c r="Z194"/>
  <c r="W194"/>
  <c r="AE194"/>
  <c r="AI194"/>
  <c r="T194"/>
  <c r="AA194"/>
  <c r="X194"/>
  <c r="AF194"/>
  <c r="U196"/>
  <c r="AB196"/>
  <c r="Y196"/>
  <c r="AG196"/>
  <c r="R196"/>
  <c r="V196"/>
  <c r="AC196"/>
  <c r="AD196"/>
  <c r="S198"/>
  <c r="Z198"/>
  <c r="W198"/>
  <c r="AE198"/>
  <c r="AI198"/>
  <c r="T198"/>
  <c r="AA198"/>
  <c r="X198"/>
  <c r="AF198"/>
  <c r="U202"/>
  <c r="AB202"/>
  <c r="Y202"/>
  <c r="AG202"/>
  <c r="R202"/>
  <c r="V202"/>
  <c r="AC202"/>
  <c r="AD202"/>
  <c r="J203"/>
  <c r="U205"/>
  <c r="AB205"/>
  <c r="Y205"/>
  <c r="AG205"/>
  <c r="R205"/>
  <c r="V205"/>
  <c r="AC205"/>
  <c r="AD205"/>
  <c r="S207"/>
  <c r="Z207"/>
  <c r="W207"/>
  <c r="AE207"/>
  <c r="AI207"/>
  <c r="T207"/>
  <c r="AA207"/>
  <c r="X207"/>
  <c r="AF207"/>
  <c r="U211"/>
  <c r="AB211"/>
  <c r="Y211"/>
  <c r="AG211"/>
  <c r="R211"/>
  <c r="V211"/>
  <c r="AC211"/>
  <c r="AD211"/>
  <c r="S213"/>
  <c r="Z213"/>
  <c r="W213"/>
  <c r="AE213"/>
  <c r="AI213"/>
  <c r="T213"/>
  <c r="AA213"/>
  <c r="X213"/>
  <c r="AF213"/>
  <c r="U216"/>
  <c r="AB216"/>
  <c r="Y216"/>
  <c r="AG216"/>
  <c r="R216"/>
  <c r="V216"/>
  <c r="AC216"/>
  <c r="AD216"/>
  <c r="S218"/>
  <c r="Z218"/>
  <c r="W218"/>
  <c r="AE218"/>
  <c r="AI218"/>
  <c r="T218"/>
  <c r="AA218"/>
  <c r="X218"/>
  <c r="AF218"/>
  <c r="R221"/>
  <c r="AC221"/>
  <c r="T221"/>
  <c r="X221"/>
  <c r="S221"/>
  <c r="Z221"/>
  <c r="W221"/>
  <c r="AE221"/>
  <c r="AI221"/>
  <c r="V223"/>
  <c r="AD223"/>
  <c r="AA223"/>
  <c r="S223"/>
  <c r="Z223"/>
  <c r="W223"/>
  <c r="AE223"/>
  <c r="AI223"/>
  <c r="S225"/>
  <c r="Z225"/>
  <c r="W225"/>
  <c r="AE225"/>
  <c r="AI225"/>
  <c r="T225"/>
  <c r="AA225"/>
  <c r="X225"/>
  <c r="AF225"/>
  <c r="U227"/>
  <c r="AB227"/>
  <c r="Y227"/>
  <c r="AG227"/>
  <c r="R227"/>
  <c r="V227"/>
  <c r="AC227"/>
  <c r="AD227"/>
  <c r="S229"/>
  <c r="Z229"/>
  <c r="W229"/>
  <c r="AE229"/>
  <c r="AI229"/>
  <c r="T229"/>
  <c r="AA229"/>
  <c r="X229"/>
  <c r="AF229"/>
  <c r="U231"/>
  <c r="AB231"/>
  <c r="Y231"/>
  <c r="AG231"/>
  <c r="R231"/>
  <c r="V231"/>
  <c r="AC231"/>
  <c r="AD231"/>
  <c r="S233"/>
  <c r="Z233"/>
  <c r="W233"/>
  <c r="AE233"/>
  <c r="AI233"/>
  <c r="T233"/>
  <c r="AA233"/>
  <c r="X233"/>
  <c r="AF233"/>
  <c r="U235"/>
  <c r="AB235"/>
  <c r="Y235"/>
  <c r="AG235"/>
  <c r="R235"/>
  <c r="V235"/>
  <c r="AC235"/>
  <c r="AD235"/>
  <c r="S237"/>
  <c r="Z237"/>
  <c r="W237"/>
  <c r="AE237"/>
  <c r="AI237"/>
  <c r="T237"/>
  <c r="AA237"/>
  <c r="X237"/>
  <c r="AF237"/>
  <c r="U239"/>
  <c r="AB239"/>
  <c r="Y239"/>
  <c r="AG239"/>
  <c r="R239"/>
  <c r="V239"/>
  <c r="AC239"/>
  <c r="AD239"/>
  <c r="S241"/>
  <c r="Z241"/>
  <c r="W241"/>
  <c r="AE241"/>
  <c r="AI241"/>
  <c r="T241"/>
  <c r="AA241"/>
  <c r="X241"/>
  <c r="AF241"/>
  <c r="U243"/>
  <c r="AB243"/>
  <c r="Y243"/>
  <c r="AG243"/>
  <c r="R243"/>
  <c r="V243"/>
  <c r="AC243"/>
  <c r="AD243"/>
  <c r="U247"/>
  <c r="Y247"/>
  <c r="S247"/>
  <c r="W247"/>
  <c r="AI247"/>
  <c r="T247"/>
  <c r="AA247"/>
  <c r="X247"/>
  <c r="AF247"/>
  <c r="AB249"/>
  <c r="Z249"/>
  <c r="Y249"/>
  <c r="AG249"/>
  <c r="R249"/>
  <c r="V249"/>
  <c r="AC249"/>
  <c r="AD249"/>
  <c r="S251"/>
  <c r="Z251"/>
  <c r="W251"/>
  <c r="AE251"/>
  <c r="AI251"/>
  <c r="T251"/>
  <c r="AA251"/>
  <c r="X251"/>
  <c r="AF251"/>
  <c r="U253"/>
  <c r="AB253"/>
  <c r="Y253"/>
  <c r="AG253"/>
  <c r="R253"/>
  <c r="V253"/>
  <c r="AC253"/>
  <c r="AD253"/>
  <c r="S256"/>
  <c r="Z256"/>
  <c r="W256"/>
  <c r="AE256"/>
  <c r="AI256"/>
  <c r="T256"/>
  <c r="AA256"/>
  <c r="X256"/>
  <c r="AF256"/>
  <c r="U258"/>
  <c r="AB258"/>
  <c r="Y258"/>
  <c r="AG258"/>
  <c r="R258"/>
  <c r="V258"/>
  <c r="AC258"/>
  <c r="AD258"/>
  <c r="S261"/>
  <c r="Z261"/>
  <c r="W261"/>
  <c r="AE261"/>
  <c r="AI261"/>
  <c r="T261"/>
  <c r="AA261"/>
  <c r="X261"/>
  <c r="AF261"/>
  <c r="U263"/>
  <c r="AB263"/>
  <c r="Y263"/>
  <c r="AG263"/>
  <c r="R263"/>
  <c r="V263"/>
  <c r="AC263"/>
  <c r="AD263"/>
  <c r="S265"/>
  <c r="Z265"/>
  <c r="W265"/>
  <c r="AE265"/>
  <c r="AI265"/>
  <c r="T265"/>
  <c r="AA265"/>
  <c r="X265"/>
  <c r="AF265"/>
  <c r="U267"/>
  <c r="AB267"/>
  <c r="Y267"/>
  <c r="AG267"/>
  <c r="R267"/>
  <c r="V267"/>
  <c r="AC267"/>
  <c r="AD267"/>
  <c r="S269"/>
  <c r="Z269"/>
  <c r="W269"/>
  <c r="AE269"/>
  <c r="AI269"/>
  <c r="T269"/>
  <c r="AA269"/>
  <c r="X269"/>
  <c r="AF269"/>
  <c r="U271"/>
  <c r="AB271"/>
  <c r="Y271"/>
  <c r="AG271"/>
  <c r="R271"/>
  <c r="V271"/>
  <c r="AC271"/>
  <c r="AD271"/>
  <c r="S273"/>
  <c r="Z273"/>
  <c r="W273"/>
  <c r="AE273"/>
  <c r="AI273"/>
  <c r="T273"/>
  <c r="AA273"/>
  <c r="X273"/>
  <c r="AF273"/>
  <c r="U275"/>
  <c r="AB275"/>
  <c r="Y275"/>
  <c r="AG275"/>
  <c r="R275"/>
  <c r="V275"/>
  <c r="AC275"/>
  <c r="AD275"/>
  <c r="AF160"/>
  <c r="AA160"/>
  <c r="AG158"/>
  <c r="Y158"/>
  <c r="AB158"/>
  <c r="U158"/>
  <c r="AG156"/>
  <c r="Y156"/>
  <c r="AB156"/>
  <c r="U156"/>
  <c r="AG154"/>
  <c r="Y154"/>
  <c r="AB154"/>
  <c r="U154"/>
  <c r="S160"/>
  <c r="Z160"/>
  <c r="W160"/>
  <c r="AE160"/>
  <c r="AI160"/>
  <c r="U162"/>
  <c r="AB162"/>
  <c r="Y162"/>
  <c r="AG162"/>
  <c r="R162"/>
  <c r="V162"/>
  <c r="AC162"/>
  <c r="AD162"/>
  <c r="Z46"/>
  <c r="AF43"/>
  <c r="X43"/>
  <c r="AA43"/>
  <c r="T43"/>
  <c r="AF41"/>
  <c r="X41"/>
  <c r="AA41"/>
  <c r="T41"/>
  <c r="AF39"/>
  <c r="X39"/>
  <c r="AA39"/>
  <c r="T39"/>
  <c r="AF37"/>
  <c r="X37"/>
  <c r="AA37"/>
  <c r="T37"/>
  <c r="AF35"/>
  <c r="X35"/>
  <c r="AA35"/>
  <c r="T35"/>
  <c r="AF33"/>
  <c r="X33"/>
  <c r="AA33"/>
  <c r="T33"/>
  <c r="AF31"/>
  <c r="X31"/>
  <c r="AA31"/>
  <c r="T31"/>
  <c r="AF29"/>
  <c r="X29"/>
  <c r="AA29"/>
  <c r="T29"/>
  <c r="AF27"/>
  <c r="X27"/>
  <c r="AA27"/>
  <c r="T27"/>
  <c r="AF23"/>
  <c r="X23"/>
  <c r="AA23"/>
  <c r="T23"/>
  <c r="AF21"/>
  <c r="X21"/>
  <c r="AA21"/>
  <c r="T21"/>
  <c r="AF19"/>
  <c r="X19"/>
  <c r="AA19"/>
  <c r="T19"/>
  <c r="AF17"/>
  <c r="X17"/>
  <c r="AA17"/>
  <c r="T17"/>
  <c r="AF15"/>
  <c r="X15"/>
  <c r="AA15"/>
  <c r="T15"/>
  <c r="AF13"/>
  <c r="X13"/>
  <c r="AA13"/>
  <c r="T13"/>
  <c r="AF11"/>
  <c r="X11"/>
  <c r="AA11"/>
  <c r="T11"/>
  <c r="AF9"/>
  <c r="X9"/>
  <c r="AA9"/>
  <c r="T9"/>
  <c r="R201"/>
  <c r="V201"/>
  <c r="AC201"/>
  <c r="AD201"/>
  <c r="S201"/>
  <c r="Z201"/>
  <c r="W201"/>
  <c r="AE201"/>
  <c r="AI201"/>
  <c r="T186"/>
  <c r="AA186"/>
  <c r="X186"/>
  <c r="AF186"/>
  <c r="U186"/>
  <c r="AB186"/>
  <c r="Y186"/>
  <c r="AG186"/>
  <c r="R277"/>
  <c r="V277"/>
  <c r="AC277"/>
  <c r="AD277"/>
  <c r="S277"/>
  <c r="Z277"/>
  <c r="W277"/>
  <c r="AE277"/>
  <c r="AI277"/>
  <c r="T279"/>
  <c r="AA279"/>
  <c r="X279"/>
  <c r="AF279"/>
  <c r="U279"/>
  <c r="AB279"/>
  <c r="Y279"/>
  <c r="AG279"/>
  <c r="R281"/>
  <c r="V281"/>
  <c r="AC281"/>
  <c r="AD281"/>
  <c r="S281"/>
  <c r="Z281"/>
  <c r="W281"/>
  <c r="AE281"/>
  <c r="AI281"/>
  <c r="U283"/>
  <c r="AB283"/>
  <c r="Y283"/>
  <c r="AG283"/>
  <c r="R283"/>
  <c r="V283"/>
  <c r="AC283"/>
  <c r="AD283"/>
  <c r="S285"/>
  <c r="Z285"/>
  <c r="W285"/>
  <c r="AE285"/>
  <c r="AI285"/>
  <c r="T285"/>
  <c r="AA285"/>
  <c r="X285"/>
  <c r="AF285"/>
  <c r="U287"/>
  <c r="AB287"/>
  <c r="Y287"/>
  <c r="AG287"/>
  <c r="R287"/>
  <c r="V287"/>
  <c r="AC287"/>
  <c r="AD287"/>
  <c r="S289"/>
  <c r="Z289"/>
  <c r="W289"/>
  <c r="AE289"/>
  <c r="AI289"/>
  <c r="T289"/>
  <c r="AA289"/>
  <c r="X289"/>
  <c r="AF289"/>
  <c r="U291"/>
  <c r="AB291"/>
  <c r="Y291"/>
  <c r="AG291"/>
  <c r="R291"/>
  <c r="V291"/>
  <c r="AC291"/>
  <c r="AD291"/>
  <c r="S293"/>
  <c r="Z293"/>
  <c r="W293"/>
  <c r="AE293"/>
  <c r="AI293"/>
  <c r="T293"/>
  <c r="AA293"/>
  <c r="X293"/>
  <c r="AF293"/>
  <c r="U295"/>
  <c r="AB295"/>
  <c r="Y295"/>
  <c r="AG295"/>
  <c r="R295"/>
  <c r="V295"/>
  <c r="AC295"/>
  <c r="AD295"/>
  <c r="S298"/>
  <c r="Z298"/>
  <c r="W298"/>
  <c r="AE298"/>
  <c r="AI298"/>
  <c r="T298"/>
  <c r="AA298"/>
  <c r="X298"/>
  <c r="AF298"/>
  <c r="U301"/>
  <c r="AB301"/>
  <c r="Y301"/>
  <c r="AG301"/>
  <c r="R301"/>
  <c r="V301"/>
  <c r="AC301"/>
  <c r="AD301"/>
  <c r="S303"/>
  <c r="Z303"/>
  <c r="W303"/>
  <c r="AE303"/>
  <c r="AI303"/>
  <c r="T303"/>
  <c r="AA303"/>
  <c r="X303"/>
  <c r="AF303"/>
  <c r="U307"/>
  <c r="AB307"/>
  <c r="Y307"/>
  <c r="AG307"/>
  <c r="R307"/>
  <c r="V307"/>
  <c r="AC307"/>
  <c r="AD307"/>
  <c r="S309"/>
  <c r="Z309"/>
  <c r="W309"/>
  <c r="AE309"/>
  <c r="AI309"/>
  <c r="T309"/>
  <c r="AA309"/>
  <c r="X309"/>
  <c r="AF309"/>
  <c r="U311"/>
  <c r="AB311"/>
  <c r="Y311"/>
  <c r="AG311"/>
  <c r="R311"/>
  <c r="V311"/>
  <c r="AC311"/>
  <c r="AD311"/>
  <c r="AB46"/>
  <c r="AG43"/>
  <c r="Y43"/>
  <c r="AB43"/>
  <c r="U43"/>
  <c r="AG41"/>
  <c r="Y41"/>
  <c r="AB41"/>
  <c r="U41"/>
  <c r="AG39"/>
  <c r="Y39"/>
  <c r="AB39"/>
  <c r="U39"/>
  <c r="AG37"/>
  <c r="Y37"/>
  <c r="AB37"/>
  <c r="U37"/>
  <c r="AG35"/>
  <c r="Y35"/>
  <c r="AB35"/>
  <c r="U35"/>
  <c r="AG33"/>
  <c r="Y33"/>
  <c r="AB33"/>
  <c r="U33"/>
  <c r="AG31"/>
  <c r="Y31"/>
  <c r="AB31"/>
  <c r="U31"/>
  <c r="AI29"/>
  <c r="AE29"/>
  <c r="W29"/>
  <c r="Z29"/>
  <c r="S29"/>
  <c r="AI27"/>
  <c r="AE27"/>
  <c r="W27"/>
  <c r="Z27"/>
  <c r="S27"/>
  <c r="AI23"/>
  <c r="AE23"/>
  <c r="W23"/>
  <c r="Z23"/>
  <c r="S23"/>
  <c r="AI21"/>
  <c r="AE21"/>
  <c r="W21"/>
  <c r="Z21"/>
  <c r="S21"/>
  <c r="AI19"/>
  <c r="AE19"/>
  <c r="W19"/>
  <c r="Z19"/>
  <c r="S19"/>
  <c r="AI17"/>
  <c r="AE17"/>
  <c r="W17"/>
  <c r="Z17"/>
  <c r="S17"/>
  <c r="AI15"/>
  <c r="AE15"/>
  <c r="W15"/>
  <c r="Z15"/>
  <c r="S15"/>
  <c r="AI13"/>
  <c r="AE13"/>
  <c r="W13"/>
  <c r="Z13"/>
  <c r="S13"/>
  <c r="AI11"/>
  <c r="AE11"/>
  <c r="W11"/>
  <c r="Z11"/>
  <c r="S11"/>
  <c r="AI9"/>
  <c r="AE9"/>
  <c r="W9"/>
  <c r="Z9"/>
  <c r="S9"/>
  <c r="T46"/>
  <c r="AA46"/>
  <c r="X46"/>
  <c r="AF46"/>
  <c r="Y46"/>
  <c r="AG46"/>
  <c r="R48"/>
  <c r="V48"/>
  <c r="AC48"/>
  <c r="AD48"/>
  <c r="S48"/>
  <c r="Z48"/>
  <c r="W48"/>
  <c r="AE48"/>
  <c r="AI48"/>
  <c r="T51"/>
  <c r="AA51"/>
  <c r="X51"/>
  <c r="AF51"/>
  <c r="U51"/>
  <c r="AB51"/>
  <c r="Y51"/>
  <c r="AG51"/>
  <c r="R53"/>
  <c r="V53"/>
  <c r="AC53"/>
  <c r="AD53"/>
  <c r="S53"/>
  <c r="Z53"/>
  <c r="W53"/>
  <c r="AE53"/>
  <c r="AI53"/>
  <c r="T55"/>
  <c r="AA55"/>
  <c r="X55"/>
  <c r="AF55"/>
  <c r="U55"/>
  <c r="AB55"/>
  <c r="Y55"/>
  <c r="AG55"/>
  <c r="R58"/>
  <c r="V58"/>
  <c r="AC58"/>
  <c r="AD58"/>
  <c r="S58"/>
  <c r="Z58"/>
  <c r="W58"/>
  <c r="AE58"/>
  <c r="AI58"/>
  <c r="T60"/>
  <c r="AA60"/>
  <c r="X60"/>
  <c r="AF60"/>
  <c r="U60"/>
  <c r="AB60"/>
  <c r="Y60"/>
  <c r="AG60"/>
  <c r="R65"/>
  <c r="V65"/>
  <c r="AC65"/>
  <c r="AD65"/>
  <c r="S65"/>
  <c r="Z65"/>
  <c r="W65"/>
  <c r="AE65"/>
  <c r="AI65"/>
  <c r="R69"/>
  <c r="V69"/>
  <c r="AC69"/>
  <c r="AD69"/>
  <c r="S69"/>
  <c r="Z69"/>
  <c r="W69"/>
  <c r="AE69"/>
  <c r="AI69"/>
  <c r="T75"/>
  <c r="AA75"/>
  <c r="X75"/>
  <c r="AF75"/>
  <c r="U75"/>
  <c r="AB75"/>
  <c r="Y75"/>
  <c r="AG75"/>
  <c r="R77"/>
  <c r="V77"/>
  <c r="AC77"/>
  <c r="AD77"/>
  <c r="S77"/>
  <c r="Z77"/>
  <c r="W77"/>
  <c r="AE77"/>
  <c r="AI77"/>
  <c r="T88"/>
  <c r="AA88"/>
  <c r="X88"/>
  <c r="AF88"/>
  <c r="U88"/>
  <c r="AB88"/>
  <c r="Y88"/>
  <c r="AG88"/>
  <c r="R90"/>
  <c r="V90"/>
  <c r="AC90"/>
  <c r="AD90"/>
  <c r="S90"/>
  <c r="Z90"/>
  <c r="W90"/>
  <c r="AE90"/>
  <c r="AI90"/>
  <c r="T92"/>
  <c r="AA92"/>
  <c r="X92"/>
  <c r="AF92"/>
  <c r="U92"/>
  <c r="AB92"/>
  <c r="Y92"/>
  <c r="AG92"/>
  <c r="R94"/>
  <c r="V94"/>
  <c r="AC94"/>
  <c r="AD94"/>
  <c r="S94"/>
  <c r="Z94"/>
  <c r="W94"/>
  <c r="AE94"/>
  <c r="AI94"/>
  <c r="T96"/>
  <c r="AA96"/>
  <c r="X96"/>
  <c r="AF96"/>
  <c r="U96"/>
  <c r="AB96"/>
  <c r="Y96"/>
  <c r="AG96"/>
  <c r="R98"/>
  <c r="V98"/>
  <c r="AC98"/>
  <c r="AD98"/>
  <c r="S98"/>
  <c r="Z98"/>
  <c r="W98"/>
  <c r="AE98"/>
  <c r="AI98"/>
  <c r="T100"/>
  <c r="AA100"/>
  <c r="X100"/>
  <c r="AF100"/>
  <c r="U100"/>
  <c r="AB100"/>
  <c r="Y100"/>
  <c r="AG100"/>
  <c r="R102"/>
  <c r="V102"/>
  <c r="AC102"/>
  <c r="AD102"/>
  <c r="S102"/>
  <c r="Z102"/>
  <c r="W102"/>
  <c r="AE102"/>
  <c r="AI102"/>
  <c r="T105"/>
  <c r="AA105"/>
  <c r="X105"/>
  <c r="AF105"/>
  <c r="U105"/>
  <c r="AB105"/>
  <c r="Y105"/>
  <c r="AG105"/>
  <c r="R107"/>
  <c r="V107"/>
  <c r="AC107"/>
  <c r="AD107"/>
  <c r="S107"/>
  <c r="Z107"/>
  <c r="W107"/>
  <c r="AE107"/>
  <c r="AI107"/>
  <c r="T110"/>
  <c r="AA110"/>
  <c r="X110"/>
  <c r="AF110"/>
  <c r="U110"/>
  <c r="AB110"/>
  <c r="Y110"/>
  <c r="AG110"/>
  <c r="R112"/>
  <c r="V112"/>
  <c r="AC112"/>
  <c r="AD112"/>
  <c r="S112"/>
  <c r="Z112"/>
  <c r="W112"/>
  <c r="AE112"/>
  <c r="AI112"/>
  <c r="T114"/>
  <c r="AA114"/>
  <c r="X114"/>
  <c r="AF114"/>
  <c r="U114"/>
  <c r="AB114"/>
  <c r="Y114"/>
  <c r="AG114"/>
  <c r="R118"/>
  <c r="V118"/>
  <c r="AC118"/>
  <c r="AD118"/>
  <c r="S118"/>
  <c r="Z118"/>
  <c r="W118"/>
  <c r="AE118"/>
  <c r="AI118"/>
  <c r="S121"/>
  <c r="T121"/>
  <c r="AA121"/>
  <c r="X121"/>
  <c r="AF121"/>
  <c r="AB121"/>
  <c r="Y121"/>
  <c r="AG121"/>
  <c r="R123"/>
  <c r="V123"/>
  <c r="AC123"/>
  <c r="AD123"/>
  <c r="S123"/>
  <c r="Z123"/>
  <c r="W123"/>
  <c r="AE123"/>
  <c r="AI123"/>
  <c r="T126"/>
  <c r="AA126"/>
  <c r="X126"/>
  <c r="AF126"/>
  <c r="U126"/>
  <c r="AB126"/>
  <c r="Y126"/>
  <c r="AG126"/>
  <c r="R129"/>
  <c r="V129"/>
  <c r="AC129"/>
  <c r="AD129"/>
  <c r="S129"/>
  <c r="Z129"/>
  <c r="W129"/>
  <c r="AE129"/>
  <c r="AI129"/>
  <c r="T132"/>
  <c r="AA132"/>
  <c r="X132"/>
  <c r="AF132"/>
  <c r="U132"/>
  <c r="AB132"/>
  <c r="Y132"/>
  <c r="AG132"/>
  <c r="R134"/>
  <c r="V134"/>
  <c r="AC134"/>
  <c r="AD134"/>
  <c r="S134"/>
  <c r="Z134"/>
  <c r="W134"/>
  <c r="AE134"/>
  <c r="AI134"/>
  <c r="T137"/>
  <c r="AA137"/>
  <c r="X137"/>
  <c r="AF137"/>
  <c r="U137"/>
  <c r="AB137"/>
  <c r="Y137"/>
  <c r="AG137"/>
  <c r="J136"/>
  <c r="T139"/>
  <c r="AA139"/>
  <c r="X139"/>
  <c r="AF139"/>
  <c r="U139"/>
  <c r="AB139"/>
  <c r="Y139"/>
  <c r="AG139"/>
  <c r="R142"/>
  <c r="V142"/>
  <c r="AC142"/>
  <c r="AD142"/>
  <c r="S142"/>
  <c r="Z142"/>
  <c r="W142"/>
  <c r="AE142"/>
  <c r="AI142"/>
  <c r="BA60"/>
  <c r="AS60"/>
  <c r="AV60"/>
  <c r="AO60"/>
  <c r="BC58"/>
  <c r="AY58"/>
  <c r="AQ58"/>
  <c r="AT58"/>
  <c r="AM58"/>
  <c r="BA55"/>
  <c r="AS55"/>
  <c r="AV55"/>
  <c r="AO55"/>
  <c r="BC53"/>
  <c r="AY53"/>
  <c r="AQ53"/>
  <c r="AT53"/>
  <c r="AM53"/>
  <c r="BA51"/>
  <c r="AS51"/>
  <c r="AV51"/>
  <c r="AO51"/>
  <c r="BC48"/>
  <c r="AY48"/>
  <c r="AQ48"/>
  <c r="AT48"/>
  <c r="AM48"/>
  <c r="BA46"/>
  <c r="AS46"/>
  <c r="AV46"/>
  <c r="AO46"/>
  <c r="BC43"/>
  <c r="AY43"/>
  <c r="AQ43"/>
  <c r="AT43"/>
  <c r="AM43"/>
  <c r="BA41"/>
  <c r="AS41"/>
  <c r="AV41"/>
  <c r="AO41"/>
  <c r="BC39"/>
  <c r="AY39"/>
  <c r="AQ39"/>
  <c r="AT39"/>
  <c r="AM39"/>
  <c r="BA37"/>
  <c r="AS37"/>
  <c r="AV37"/>
  <c r="AO37"/>
  <c r="BC35"/>
  <c r="AY35"/>
  <c r="AQ35"/>
  <c r="AT35"/>
  <c r="AM35"/>
  <c r="BA33"/>
  <c r="AS33"/>
  <c r="AV33"/>
  <c r="AO33"/>
  <c r="BC31"/>
  <c r="AY31"/>
  <c r="AQ31"/>
  <c r="AT31"/>
  <c r="AM31"/>
  <c r="AM65"/>
  <c r="AT65"/>
  <c r="AQ65"/>
  <c r="AY65"/>
  <c r="BC65"/>
  <c r="AN65"/>
  <c r="AU65"/>
  <c r="AR65"/>
  <c r="AZ65"/>
  <c r="AO69"/>
  <c r="AV69"/>
  <c r="AS69"/>
  <c r="BA69"/>
  <c r="AL69"/>
  <c r="AP69"/>
  <c r="AW69"/>
  <c r="AX69"/>
  <c r="AM75"/>
  <c r="AT75"/>
  <c r="AQ75"/>
  <c r="AY75"/>
  <c r="BC75"/>
  <c r="AN75"/>
  <c r="AU75"/>
  <c r="AR75"/>
  <c r="AO77"/>
  <c r="AV77"/>
  <c r="AS77"/>
  <c r="BA77"/>
  <c r="AL77"/>
  <c r="AP77"/>
  <c r="AW77"/>
  <c r="AX77"/>
  <c r="AM88"/>
  <c r="AT88"/>
  <c r="AQ88"/>
  <c r="AY88"/>
  <c r="BC88"/>
  <c r="AN88"/>
  <c r="AU88"/>
  <c r="AR88"/>
  <c r="AZ88"/>
  <c r="AO90"/>
  <c r="AV90"/>
  <c r="AS90"/>
  <c r="BA90"/>
  <c r="AL90"/>
  <c r="AP90"/>
  <c r="AW90"/>
  <c r="AX90"/>
  <c r="AM92"/>
  <c r="AT92"/>
  <c r="AQ92"/>
  <c r="AY92"/>
  <c r="BC92"/>
  <c r="AN92"/>
  <c r="AU92"/>
  <c r="AR92"/>
  <c r="AZ92"/>
  <c r="AO94"/>
  <c r="AV94"/>
  <c r="AS94"/>
  <c r="BA94"/>
  <c r="AL94"/>
  <c r="AP94"/>
  <c r="AW94"/>
  <c r="AX94"/>
  <c r="AM96"/>
  <c r="AT96"/>
  <c r="AQ96"/>
  <c r="AY96"/>
  <c r="BC96"/>
  <c r="AN96"/>
  <c r="AU96"/>
  <c r="AR96"/>
  <c r="AZ96"/>
  <c r="AO98"/>
  <c r="AV98"/>
  <c r="AS98"/>
  <c r="BA98"/>
  <c r="AL98"/>
  <c r="AP98"/>
  <c r="AW98"/>
  <c r="AX98"/>
  <c r="AM100"/>
  <c r="AT100"/>
  <c r="AQ100"/>
  <c r="AY100"/>
  <c r="BC100"/>
  <c r="AN100"/>
  <c r="AU100"/>
  <c r="AR100"/>
  <c r="AZ100"/>
  <c r="AO102"/>
  <c r="AV102"/>
  <c r="AS102"/>
  <c r="BA102"/>
  <c r="AL102"/>
  <c r="AP102"/>
  <c r="AW102"/>
  <c r="AX102"/>
  <c r="AM105"/>
  <c r="AT105"/>
  <c r="AQ105"/>
  <c r="AY105"/>
  <c r="BC105"/>
  <c r="AN105"/>
  <c r="AU105"/>
  <c r="AR105"/>
  <c r="AZ105"/>
  <c r="AO107"/>
  <c r="AV107"/>
  <c r="AS107"/>
  <c r="BA107"/>
  <c r="AL107"/>
  <c r="AP107"/>
  <c r="AW107"/>
  <c r="AX107"/>
  <c r="AM110"/>
  <c r="AT110"/>
  <c r="AQ110"/>
  <c r="AY110"/>
  <c r="BC110"/>
  <c r="AN110"/>
  <c r="AU110"/>
  <c r="AR110"/>
  <c r="AZ110"/>
  <c r="AO112"/>
  <c r="AV112"/>
  <c r="AS112"/>
  <c r="BA112"/>
  <c r="AL112"/>
  <c r="AP112"/>
  <c r="AW112"/>
  <c r="AX112"/>
  <c r="AM114"/>
  <c r="AT114"/>
  <c r="AQ114"/>
  <c r="AY114"/>
  <c r="BC114"/>
  <c r="AN114"/>
  <c r="AU114"/>
  <c r="AR114"/>
  <c r="AZ114"/>
  <c r="AO118"/>
  <c r="AV118"/>
  <c r="AS118"/>
  <c r="BA118"/>
  <c r="AN118"/>
  <c r="AR118"/>
  <c r="AO121"/>
  <c r="AS121"/>
  <c r="AL121"/>
  <c r="AW121"/>
  <c r="AM123"/>
  <c r="AQ123"/>
  <c r="BC123"/>
  <c r="AU123"/>
  <c r="AZ123"/>
  <c r="AV126"/>
  <c r="BA126"/>
  <c r="AP126"/>
  <c r="AX126"/>
  <c r="AT129"/>
  <c r="AY129"/>
  <c r="AN129"/>
  <c r="AR129"/>
  <c r="AO132"/>
  <c r="AS132"/>
  <c r="AL132"/>
  <c r="AW132"/>
  <c r="AM134"/>
  <c r="AQ134"/>
  <c r="BC134"/>
  <c r="AU134"/>
  <c r="AZ134"/>
  <c r="AV137"/>
  <c r="BA137"/>
  <c r="AP137"/>
  <c r="AX137"/>
  <c r="AT139"/>
  <c r="AY139"/>
  <c r="AN139"/>
  <c r="AR139"/>
  <c r="AO142"/>
  <c r="AS142"/>
  <c r="AL142"/>
  <c r="AW142"/>
  <c r="AV154"/>
  <c r="BA154"/>
  <c r="AP154"/>
  <c r="AX154"/>
  <c r="AT156"/>
  <c r="AY156"/>
  <c r="AN156"/>
  <c r="AR156"/>
  <c r="AO158"/>
  <c r="AS158"/>
  <c r="AL158"/>
  <c r="AW158"/>
  <c r="AM160"/>
  <c r="AQ160"/>
  <c r="BC160"/>
  <c r="AU160"/>
  <c r="AZ160"/>
  <c r="AV162"/>
  <c r="BA162"/>
  <c r="AP162"/>
  <c r="AX162"/>
  <c r="N309"/>
  <c r="BQ309" s="1"/>
  <c r="AV186"/>
  <c r="BA186"/>
  <c r="AP186"/>
  <c r="AX186"/>
  <c r="AP27"/>
  <c r="AX27"/>
  <c r="AT27"/>
  <c r="AY27"/>
  <c r="AN11"/>
  <c r="AR11"/>
  <c r="AO11"/>
  <c r="AS11"/>
  <c r="AL15"/>
  <c r="AW15"/>
  <c r="AM15"/>
  <c r="AQ15"/>
  <c r="BC15"/>
  <c r="AU21"/>
  <c r="AZ21"/>
  <c r="AV21"/>
  <c r="BA21"/>
  <c r="AT169"/>
  <c r="AY169"/>
  <c r="AN169"/>
  <c r="AR169"/>
  <c r="AO173"/>
  <c r="AS173"/>
  <c r="AL173"/>
  <c r="AW173"/>
  <c r="AM177"/>
  <c r="AQ177"/>
  <c r="BC177"/>
  <c r="AU177"/>
  <c r="AZ177"/>
  <c r="AV182"/>
  <c r="BA182"/>
  <c r="AP182"/>
  <c r="AX182"/>
  <c r="AT187"/>
  <c r="AY187"/>
  <c r="AN187"/>
  <c r="AR187"/>
  <c r="AO192"/>
  <c r="AS192"/>
  <c r="AL192"/>
  <c r="AW192"/>
  <c r="AM196"/>
  <c r="AQ196"/>
  <c r="BC196"/>
  <c r="AU196"/>
  <c r="AZ196"/>
  <c r="AV202"/>
  <c r="BA202"/>
  <c r="AP202"/>
  <c r="AX202"/>
  <c r="AT207"/>
  <c r="AY207"/>
  <c r="AN207"/>
  <c r="AR207"/>
  <c r="AO213"/>
  <c r="AS213"/>
  <c r="AL213"/>
  <c r="AW213"/>
  <c r="AM221"/>
  <c r="AQ221"/>
  <c r="BC221"/>
  <c r="AU221"/>
  <c r="AZ221"/>
  <c r="AV225"/>
  <c r="BA225"/>
  <c r="AP225"/>
  <c r="AX225"/>
  <c r="AT229"/>
  <c r="AY229"/>
  <c r="AN229"/>
  <c r="AR229"/>
  <c r="AO233"/>
  <c r="AS233"/>
  <c r="AL233"/>
  <c r="AW233"/>
  <c r="AM237"/>
  <c r="AQ237"/>
  <c r="BC237"/>
  <c r="AU237"/>
  <c r="AZ237"/>
  <c r="AV239"/>
  <c r="BA239"/>
  <c r="AP239"/>
  <c r="AX239"/>
  <c r="AT243"/>
  <c r="AY243"/>
  <c r="AN243"/>
  <c r="AR243"/>
  <c r="AO249"/>
  <c r="AS249"/>
  <c r="AL249"/>
  <c r="AW249"/>
  <c r="AM253"/>
  <c r="AQ253"/>
  <c r="BC253"/>
  <c r="AU253"/>
  <c r="AZ253"/>
  <c r="AV258"/>
  <c r="BA258"/>
  <c r="AP258"/>
  <c r="AX258"/>
  <c r="AT263"/>
  <c r="AY263"/>
  <c r="AN263"/>
  <c r="AR263"/>
  <c r="AO267"/>
  <c r="AS267"/>
  <c r="AL267"/>
  <c r="AW267"/>
  <c r="AM271"/>
  <c r="AQ271"/>
  <c r="BC271"/>
  <c r="AU271"/>
  <c r="AZ271"/>
  <c r="AV275"/>
  <c r="BA275"/>
  <c r="AP275"/>
  <c r="AX275"/>
  <c r="AT279"/>
  <c r="AY279"/>
  <c r="AN279"/>
  <c r="AR279"/>
  <c r="AO283"/>
  <c r="AS283"/>
  <c r="AL283"/>
  <c r="AW283"/>
  <c r="AM287"/>
  <c r="AQ287"/>
  <c r="BC287"/>
  <c r="AU287"/>
  <c r="AZ287"/>
  <c r="AV293"/>
  <c r="BA293"/>
  <c r="AP293"/>
  <c r="AX293"/>
  <c r="AT298"/>
  <c r="AY298"/>
  <c r="AN298"/>
  <c r="AR298"/>
  <c r="AO303"/>
  <c r="AS303"/>
  <c r="AL303"/>
  <c r="AW303"/>
  <c r="AM307"/>
  <c r="AQ307"/>
  <c r="BC307"/>
  <c r="AU307"/>
  <c r="AZ307"/>
  <c r="AV311"/>
  <c r="BA311"/>
  <c r="AP311"/>
  <c r="AX311"/>
  <c r="AT201"/>
  <c r="AY201"/>
  <c r="AN201"/>
  <c r="AR201"/>
  <c r="AN29"/>
  <c r="AR29"/>
  <c r="AO29"/>
  <c r="AS29"/>
  <c r="AL9"/>
  <c r="AW9"/>
  <c r="AM9"/>
  <c r="AQ9"/>
  <c r="BC9"/>
  <c r="AU13"/>
  <c r="AZ13"/>
  <c r="AV13"/>
  <c r="BA13"/>
  <c r="AP17"/>
  <c r="AX17"/>
  <c r="AT17"/>
  <c r="AY17"/>
  <c r="AN19"/>
  <c r="AR19"/>
  <c r="AO19"/>
  <c r="AS19"/>
  <c r="AL23"/>
  <c r="AW23"/>
  <c r="AM23"/>
  <c r="AQ23"/>
  <c r="AV165"/>
  <c r="BA165"/>
  <c r="AP165"/>
  <c r="AX165"/>
  <c r="AT167"/>
  <c r="AY167"/>
  <c r="AN167"/>
  <c r="AR167"/>
  <c r="AO171"/>
  <c r="AS171"/>
  <c r="AL171"/>
  <c r="AW171"/>
  <c r="AM175"/>
  <c r="AQ175"/>
  <c r="BC175"/>
  <c r="AU175"/>
  <c r="AZ175"/>
  <c r="AV180"/>
  <c r="BA180"/>
  <c r="AP180"/>
  <c r="AX180"/>
  <c r="AT184"/>
  <c r="AY184"/>
  <c r="AN184"/>
  <c r="AR184"/>
  <c r="AO190"/>
  <c r="AS190"/>
  <c r="AL190"/>
  <c r="AW190"/>
  <c r="AM194"/>
  <c r="AQ194"/>
  <c r="BC194"/>
  <c r="AU194"/>
  <c r="AZ194"/>
  <c r="AV198"/>
  <c r="BA198"/>
  <c r="AP198"/>
  <c r="AX198"/>
  <c r="AT205"/>
  <c r="AY205"/>
  <c r="AN205"/>
  <c r="AR205"/>
  <c r="AO211"/>
  <c r="AS211"/>
  <c r="AL211"/>
  <c r="AW211"/>
  <c r="AM216"/>
  <c r="AQ216"/>
  <c r="BC216"/>
  <c r="AU216"/>
  <c r="AZ216"/>
  <c r="AV218"/>
  <c r="BA218"/>
  <c r="AP218"/>
  <c r="AX218"/>
  <c r="AT223"/>
  <c r="AY223"/>
  <c r="AN223"/>
  <c r="AR223"/>
  <c r="AO227"/>
  <c r="AS227"/>
  <c r="AL227"/>
  <c r="AW227"/>
  <c r="AM231"/>
  <c r="AQ231"/>
  <c r="BC231"/>
  <c r="AU231"/>
  <c r="AZ231"/>
  <c r="AV235"/>
  <c r="BA235"/>
  <c r="AP235"/>
  <c r="AX235"/>
  <c r="AT241"/>
  <c r="AY241"/>
  <c r="AN241"/>
  <c r="AR241"/>
  <c r="AO247"/>
  <c r="AS247"/>
  <c r="AL247"/>
  <c r="AW247"/>
  <c r="AM251"/>
  <c r="AQ251"/>
  <c r="BC251"/>
  <c r="AU251"/>
  <c r="AZ251"/>
  <c r="AV256"/>
  <c r="BA256"/>
  <c r="AP256"/>
  <c r="AX256"/>
  <c r="AT261"/>
  <c r="AY261"/>
  <c r="AN261"/>
  <c r="AR261"/>
  <c r="AO265"/>
  <c r="AS265"/>
  <c r="AL265"/>
  <c r="AW265"/>
  <c r="AM269"/>
  <c r="AQ269"/>
  <c r="BC269"/>
  <c r="AU269"/>
  <c r="AZ269"/>
  <c r="AV273"/>
  <c r="BA273"/>
  <c r="AP273"/>
  <c r="AX273"/>
  <c r="AT277"/>
  <c r="AY277"/>
  <c r="AN277"/>
  <c r="AR277"/>
  <c r="AO281"/>
  <c r="AS281"/>
  <c r="AL281"/>
  <c r="AW281"/>
  <c r="AM285"/>
  <c r="AQ285"/>
  <c r="BC285"/>
  <c r="AU285"/>
  <c r="AZ285"/>
  <c r="AV289"/>
  <c r="BA289"/>
  <c r="AP289"/>
  <c r="AX289"/>
  <c r="AT291"/>
  <c r="AY291"/>
  <c r="AN291"/>
  <c r="AR291"/>
  <c r="AO295"/>
  <c r="AS295"/>
  <c r="AL295"/>
  <c r="AW295"/>
  <c r="AM301"/>
  <c r="AQ301"/>
  <c r="BC301"/>
  <c r="AU301"/>
  <c r="AZ301"/>
  <c r="AV309"/>
  <c r="BA309"/>
  <c r="AP309"/>
  <c r="AX309"/>
  <c r="BF107"/>
  <c r="BV105"/>
  <c r="BQ105"/>
  <c r="BF105"/>
  <c r="BV102"/>
  <c r="BQ102"/>
  <c r="BF102"/>
  <c r="BV100"/>
  <c r="BQ100"/>
  <c r="BF100"/>
  <c r="BV98"/>
  <c r="BQ98"/>
  <c r="BF98"/>
  <c r="BV96"/>
  <c r="BQ96"/>
  <c r="BF96"/>
  <c r="BV94"/>
  <c r="BQ94"/>
  <c r="BF94"/>
  <c r="BR92"/>
  <c r="BJ92"/>
  <c r="BR90"/>
  <c r="BJ90"/>
  <c r="BR88"/>
  <c r="BJ88"/>
  <c r="BU105"/>
  <c r="BP105"/>
  <c r="BW102"/>
  <c r="BK102"/>
  <c r="BG102"/>
  <c r="BM100"/>
  <c r="BI100"/>
  <c r="BS98"/>
  <c r="BN98"/>
  <c r="BU96"/>
  <c r="BP96"/>
  <c r="BS94"/>
  <c r="BN94"/>
  <c r="BU92"/>
  <c r="BP92"/>
  <c r="BW90"/>
  <c r="BK90"/>
  <c r="BG90"/>
  <c r="BM88"/>
  <c r="BI88"/>
  <c r="CD88"/>
  <c r="CL88"/>
  <c r="CC88"/>
  <c r="BZ90"/>
  <c r="CK90"/>
  <c r="CP90"/>
  <c r="CJ90"/>
  <c r="CD92"/>
  <c r="CL92"/>
  <c r="CC92"/>
  <c r="BZ94"/>
  <c r="CK94"/>
  <c r="CP94"/>
  <c r="CJ94"/>
  <c r="CD96"/>
  <c r="CL96"/>
  <c r="CC96"/>
  <c r="BZ98"/>
  <c r="CK98"/>
  <c r="CP98"/>
  <c r="CJ98"/>
  <c r="CD100"/>
  <c r="CL100"/>
  <c r="CC100"/>
  <c r="BZ102"/>
  <c r="CK102"/>
  <c r="CP102"/>
  <c r="CJ102"/>
  <c r="CD105"/>
  <c r="CL105"/>
  <c r="CC105"/>
  <c r="BH107"/>
  <c r="BL107"/>
  <c r="BZ107"/>
  <c r="CK107"/>
  <c r="CP107"/>
  <c r="BU107"/>
  <c r="CH107"/>
  <c r="BH110"/>
  <c r="BL110"/>
  <c r="BZ110"/>
  <c r="CK110"/>
  <c r="CP110"/>
  <c r="BP110"/>
  <c r="BU110"/>
  <c r="CH110"/>
  <c r="BH112"/>
  <c r="BL112"/>
  <c r="BZ112"/>
  <c r="CK112"/>
  <c r="CP112"/>
  <c r="BP112"/>
  <c r="BU112"/>
  <c r="CH112"/>
  <c r="BH114"/>
  <c r="BL114"/>
  <c r="BZ114"/>
  <c r="CK114"/>
  <c r="BI114"/>
  <c r="BM114"/>
  <c r="CA114"/>
  <c r="CE114"/>
  <c r="BH118"/>
  <c r="BL118"/>
  <c r="BG118"/>
  <c r="BK118"/>
  <c r="BW118"/>
  <c r="CI118"/>
  <c r="CN118"/>
  <c r="CH118"/>
  <c r="BH121"/>
  <c r="BL121"/>
  <c r="BG121"/>
  <c r="BK121"/>
  <c r="BW121"/>
  <c r="CI121"/>
  <c r="CN121"/>
  <c r="CH121"/>
  <c r="BH123"/>
  <c r="BL123"/>
  <c r="BG123"/>
  <c r="BK123"/>
  <c r="BW123"/>
  <c r="CI123"/>
  <c r="CN123"/>
  <c r="CH123"/>
  <c r="BH126"/>
  <c r="BL126"/>
  <c r="BG126"/>
  <c r="BK126"/>
  <c r="BW126"/>
  <c r="CI126"/>
  <c r="CN126"/>
  <c r="CH126"/>
  <c r="BH129"/>
  <c r="BL129"/>
  <c r="BG129"/>
  <c r="BK129"/>
  <c r="BW129"/>
  <c r="CI129"/>
  <c r="CN129"/>
  <c r="CH129"/>
  <c r="BH132"/>
  <c r="BL132"/>
  <c r="BG132"/>
  <c r="BK132"/>
  <c r="BW132"/>
  <c r="CI132"/>
  <c r="CN132"/>
  <c r="CH132"/>
  <c r="BH134"/>
  <c r="BL134"/>
  <c r="BG134"/>
  <c r="BK134"/>
  <c r="BW134"/>
  <c r="CI134"/>
  <c r="CN134"/>
  <c r="CH134"/>
  <c r="BH137"/>
  <c r="BL137"/>
  <c r="BG137"/>
  <c r="BK137"/>
  <c r="BW137"/>
  <c r="CI137"/>
  <c r="CN137"/>
  <c r="CH137"/>
  <c r="BH139"/>
  <c r="BL139"/>
  <c r="BG139"/>
  <c r="BK139"/>
  <c r="BW139"/>
  <c r="CI139"/>
  <c r="CN139"/>
  <c r="CH139"/>
  <c r="BH142"/>
  <c r="BL142"/>
  <c r="BG142"/>
  <c r="BK142"/>
  <c r="BW142"/>
  <c r="CI142"/>
  <c r="CN142"/>
  <c r="CH142"/>
  <c r="BT265"/>
  <c r="BO265"/>
  <c r="BL263"/>
  <c r="BH263"/>
  <c r="BT261"/>
  <c r="BO261"/>
  <c r="BL258"/>
  <c r="BH258"/>
  <c r="BT256"/>
  <c r="BO256"/>
  <c r="BL253"/>
  <c r="BH253"/>
  <c r="BT251"/>
  <c r="BO251"/>
  <c r="BL249"/>
  <c r="BH249"/>
  <c r="BT247"/>
  <c r="BO247"/>
  <c r="BL243"/>
  <c r="BH243"/>
  <c r="BT241"/>
  <c r="BO241"/>
  <c r="BL239"/>
  <c r="BH239"/>
  <c r="BT237"/>
  <c r="BO237"/>
  <c r="BL235"/>
  <c r="BH235"/>
  <c r="BT233"/>
  <c r="BO233"/>
  <c r="BL231"/>
  <c r="BH231"/>
  <c r="BT229"/>
  <c r="BO229"/>
  <c r="BL227"/>
  <c r="BH227"/>
  <c r="BT225"/>
  <c r="BO225"/>
  <c r="BL223"/>
  <c r="BH223"/>
  <c r="BT221"/>
  <c r="BO221"/>
  <c r="BL218"/>
  <c r="BH218"/>
  <c r="BT216"/>
  <c r="BO216"/>
  <c r="BV213"/>
  <c r="BQ213"/>
  <c r="BF213"/>
  <c r="BV211"/>
  <c r="BQ211"/>
  <c r="BF211"/>
  <c r="BV207"/>
  <c r="BQ207"/>
  <c r="BF207"/>
  <c r="BV205"/>
  <c r="BQ205"/>
  <c r="BF205"/>
  <c r="BV202"/>
  <c r="BQ202"/>
  <c r="BF202"/>
  <c r="BL201"/>
  <c r="BH201"/>
  <c r="BR198"/>
  <c r="BJ198"/>
  <c r="BR196"/>
  <c r="BJ196"/>
  <c r="BR194"/>
  <c r="BJ194"/>
  <c r="BR192"/>
  <c r="BJ192"/>
  <c r="BR190"/>
  <c r="BJ190"/>
  <c r="BR187"/>
  <c r="BJ187"/>
  <c r="BT186"/>
  <c r="BO186"/>
  <c r="BL184"/>
  <c r="BH184"/>
  <c r="BT182"/>
  <c r="BO182"/>
  <c r="BL180"/>
  <c r="BH180"/>
  <c r="BR177"/>
  <c r="BJ177"/>
  <c r="BR175"/>
  <c r="BJ175"/>
  <c r="BR173"/>
  <c r="BJ173"/>
  <c r="BR171"/>
  <c r="BJ171"/>
  <c r="BR169"/>
  <c r="BJ169"/>
  <c r="BR167"/>
  <c r="BJ167"/>
  <c r="BR165"/>
  <c r="BJ165"/>
  <c r="BT162"/>
  <c r="BO162"/>
  <c r="BL160"/>
  <c r="BH160"/>
  <c r="BT158"/>
  <c r="BO158"/>
  <c r="BL156"/>
  <c r="BH156"/>
  <c r="BT154"/>
  <c r="BO154"/>
  <c r="BZ154"/>
  <c r="CK154"/>
  <c r="CP154"/>
  <c r="CJ154"/>
  <c r="CO154"/>
  <c r="CD156"/>
  <c r="CL156"/>
  <c r="CC156"/>
  <c r="CG156"/>
  <c r="BZ158"/>
  <c r="CK158"/>
  <c r="CP158"/>
  <c r="CJ158"/>
  <c r="CO158"/>
  <c r="CD160"/>
  <c r="CL160"/>
  <c r="CC160"/>
  <c r="CG160"/>
  <c r="BZ162"/>
  <c r="CK162"/>
  <c r="CP162"/>
  <c r="CJ162"/>
  <c r="CO162"/>
  <c r="BU265"/>
  <c r="BP265"/>
  <c r="BW263"/>
  <c r="BK263"/>
  <c r="BG263"/>
  <c r="BM261"/>
  <c r="BI261"/>
  <c r="BS258"/>
  <c r="BN258"/>
  <c r="BU256"/>
  <c r="BP256"/>
  <c r="BW253"/>
  <c r="BK253"/>
  <c r="BG253"/>
  <c r="BM251"/>
  <c r="BI251"/>
  <c r="BS249"/>
  <c r="BN249"/>
  <c r="BU247"/>
  <c r="BP247"/>
  <c r="BW243"/>
  <c r="BK243"/>
  <c r="BG243"/>
  <c r="BM241"/>
  <c r="BI241"/>
  <c r="BS239"/>
  <c r="BN239"/>
  <c r="BP237"/>
  <c r="BK235"/>
  <c r="BM233"/>
  <c r="BS231"/>
  <c r="BU229"/>
  <c r="BW227"/>
  <c r="BG227"/>
  <c r="BI225"/>
  <c r="BN223"/>
  <c r="BP221"/>
  <c r="BK218"/>
  <c r="BM216"/>
  <c r="BS213"/>
  <c r="BU211"/>
  <c r="BW207"/>
  <c r="BG207"/>
  <c r="BI205"/>
  <c r="BN202"/>
  <c r="BP201"/>
  <c r="BK198"/>
  <c r="BM196"/>
  <c r="BS194"/>
  <c r="BU192"/>
  <c r="BW190"/>
  <c r="BG190"/>
  <c r="BI187"/>
  <c r="BN186"/>
  <c r="BP184"/>
  <c r="BK182"/>
  <c r="BM180"/>
  <c r="BS177"/>
  <c r="BU175"/>
  <c r="BW173"/>
  <c r="BG173"/>
  <c r="BI171"/>
  <c r="BN169"/>
  <c r="BP167"/>
  <c r="BK165"/>
  <c r="CI201"/>
  <c r="CB186"/>
  <c r="CA186"/>
  <c r="CN165"/>
  <c r="CF167"/>
  <c r="CI169"/>
  <c r="CB171"/>
  <c r="CA171"/>
  <c r="CN173"/>
  <c r="CF175"/>
  <c r="CI177"/>
  <c r="CB180"/>
  <c r="CA180"/>
  <c r="CN182"/>
  <c r="CF184"/>
  <c r="CI187"/>
  <c r="CB190"/>
  <c r="CA190"/>
  <c r="CN192"/>
  <c r="CF194"/>
  <c r="CI196"/>
  <c r="CB198"/>
  <c r="CA198"/>
  <c r="CN202"/>
  <c r="CF205"/>
  <c r="CI207"/>
  <c r="CB211"/>
  <c r="CA211"/>
  <c r="CN213"/>
  <c r="CF216"/>
  <c r="CI218"/>
  <c r="CB221"/>
  <c r="CA221"/>
  <c r="CN223"/>
  <c r="CF225"/>
  <c r="CI227"/>
  <c r="CB229"/>
  <c r="CA229"/>
  <c r="CN231"/>
  <c r="CF233"/>
  <c r="CI235"/>
  <c r="CB237"/>
  <c r="CA237"/>
  <c r="CN239"/>
  <c r="CF241"/>
  <c r="CI243"/>
  <c r="CB247"/>
  <c r="CA247"/>
  <c r="CN249"/>
  <c r="CF251"/>
  <c r="CI253"/>
  <c r="CB256"/>
  <c r="CA256"/>
  <c r="CN258"/>
  <c r="CF261"/>
  <c r="CI263"/>
  <c r="CB265"/>
  <c r="CA265"/>
  <c r="BU267"/>
  <c r="BR267"/>
  <c r="CF267"/>
  <c r="BP269"/>
  <c r="BJ269"/>
  <c r="CB269"/>
  <c r="CA269"/>
  <c r="BU271"/>
  <c r="BR271"/>
  <c r="CF271"/>
  <c r="BP273"/>
  <c r="BJ273"/>
  <c r="CB273"/>
  <c r="CA273"/>
  <c r="BU275"/>
  <c r="BR275"/>
  <c r="CF275"/>
  <c r="BP277"/>
  <c r="BJ277"/>
  <c r="CB277"/>
  <c r="CA277"/>
  <c r="BU279"/>
  <c r="BR279"/>
  <c r="CF279"/>
  <c r="BP281"/>
  <c r="BJ281"/>
  <c r="CB281"/>
  <c r="CA281"/>
  <c r="BU283"/>
  <c r="BR283"/>
  <c r="CA283"/>
  <c r="BP285"/>
  <c r="BJ285"/>
  <c r="CB285"/>
  <c r="CA285"/>
  <c r="BF287"/>
  <c r="BM289"/>
  <c r="BI291"/>
  <c r="BV291"/>
  <c r="BQ293"/>
  <c r="BF295"/>
  <c r="BM298"/>
  <c r="BI301"/>
  <c r="BV301"/>
  <c r="BQ303"/>
  <c r="BF307"/>
  <c r="BM309"/>
  <c r="BP311"/>
  <c r="CB311"/>
  <c r="BU21"/>
  <c r="BI15"/>
  <c r="AP55"/>
  <c r="AP46"/>
  <c r="AP37"/>
  <c r="BO31"/>
  <c r="BW33"/>
  <c r="BK35"/>
  <c r="BG37"/>
  <c r="BT37"/>
  <c r="BO39"/>
  <c r="BW41"/>
  <c r="BK43"/>
  <c r="BN46"/>
  <c r="AH311"/>
  <c r="CO311"/>
  <c r="CG311"/>
  <c r="CJ311"/>
  <c r="CC311"/>
  <c r="CP311"/>
  <c r="CL311"/>
  <c r="CK311"/>
  <c r="CD311"/>
  <c r="BZ311"/>
  <c r="BT311"/>
  <c r="BL311"/>
  <c r="BO311"/>
  <c r="BH311"/>
  <c r="BW311"/>
  <c r="BS311"/>
  <c r="BK311"/>
  <c r="BN311"/>
  <c r="BG311"/>
  <c r="CM311"/>
  <c r="CH311"/>
  <c r="CN311"/>
  <c r="CI311"/>
  <c r="BV311"/>
  <c r="BQ311"/>
  <c r="BF311"/>
  <c r="BM311"/>
  <c r="BI311"/>
  <c r="CE311"/>
  <c r="CF311"/>
  <c r="BR311"/>
  <c r="BU311"/>
  <c r="AZ311"/>
  <c r="AR311"/>
  <c r="AU311"/>
  <c r="AN311"/>
  <c r="BC311"/>
  <c r="AY311"/>
  <c r="AQ311"/>
  <c r="AT311"/>
  <c r="AM311"/>
  <c r="AH309"/>
  <c r="CO309"/>
  <c r="CG309"/>
  <c r="CJ309"/>
  <c r="CC309"/>
  <c r="CP309"/>
  <c r="CL309"/>
  <c r="CI309"/>
  <c r="CB309"/>
  <c r="BV309"/>
  <c r="BR309"/>
  <c r="BO309"/>
  <c r="BH309"/>
  <c r="BW309"/>
  <c r="BS309"/>
  <c r="BK309"/>
  <c r="BN309"/>
  <c r="BG309"/>
  <c r="CM309"/>
  <c r="CH309"/>
  <c r="CN309"/>
  <c r="CD309"/>
  <c r="BT309"/>
  <c r="BJ309"/>
  <c r="BU309"/>
  <c r="BP309"/>
  <c r="CQ309"/>
  <c r="CA309"/>
  <c r="BZ309"/>
  <c r="BF309"/>
  <c r="BI309"/>
  <c r="AZ309"/>
  <c r="AR309"/>
  <c r="AU309"/>
  <c r="AN309"/>
  <c r="BC309"/>
  <c r="AY309"/>
  <c r="AQ309"/>
  <c r="AT309"/>
  <c r="AM309"/>
  <c r="AH307"/>
  <c r="CO307"/>
  <c r="CG307"/>
  <c r="CJ307"/>
  <c r="CC307"/>
  <c r="CP307"/>
  <c r="CL307"/>
  <c r="CK307"/>
  <c r="CD307"/>
  <c r="BZ307"/>
  <c r="BT307"/>
  <c r="BL307"/>
  <c r="BO307"/>
  <c r="BH307"/>
  <c r="BW307"/>
  <c r="BS307"/>
  <c r="BK307"/>
  <c r="BN307"/>
  <c r="BG307"/>
  <c r="CQ307"/>
  <c r="CE307"/>
  <c r="CA307"/>
  <c r="CF307"/>
  <c r="CB307"/>
  <c r="BR307"/>
  <c r="BJ307"/>
  <c r="BU307"/>
  <c r="BP307"/>
  <c r="CH307"/>
  <c r="CI307"/>
  <c r="BQ307"/>
  <c r="BM307"/>
  <c r="AX307"/>
  <c r="AW307"/>
  <c r="AP307"/>
  <c r="AL307"/>
  <c r="BA307"/>
  <c r="AS307"/>
  <c r="AV307"/>
  <c r="AO307"/>
  <c r="AH303"/>
  <c r="CO303"/>
  <c r="CG303"/>
  <c r="CJ303"/>
  <c r="CC303"/>
  <c r="CP303"/>
  <c r="CL303"/>
  <c r="CK303"/>
  <c r="CD303"/>
  <c r="BZ303"/>
  <c r="BT303"/>
  <c r="BL303"/>
  <c r="BO303"/>
  <c r="BH303"/>
  <c r="BW303"/>
  <c r="BS303"/>
  <c r="BK303"/>
  <c r="BN303"/>
  <c r="BG303"/>
  <c r="CQ303"/>
  <c r="CE303"/>
  <c r="CA303"/>
  <c r="CF303"/>
  <c r="CB303"/>
  <c r="BR303"/>
  <c r="BJ303"/>
  <c r="BU303"/>
  <c r="BP303"/>
  <c r="CM303"/>
  <c r="CN303"/>
  <c r="BV303"/>
  <c r="BF303"/>
  <c r="BI303"/>
  <c r="AZ303"/>
  <c r="AR303"/>
  <c r="AU303"/>
  <c r="AN303"/>
  <c r="BC303"/>
  <c r="AY303"/>
  <c r="AQ303"/>
  <c r="AT303"/>
  <c r="AM303"/>
  <c r="AH301"/>
  <c r="CO301"/>
  <c r="CG301"/>
  <c r="CJ301"/>
  <c r="CC301"/>
  <c r="CP301"/>
  <c r="CL301"/>
  <c r="CK301"/>
  <c r="CD301"/>
  <c r="BZ301"/>
  <c r="BT301"/>
  <c r="BL301"/>
  <c r="BO301"/>
  <c r="BH301"/>
  <c r="BW301"/>
  <c r="BS301"/>
  <c r="BK301"/>
  <c r="BN301"/>
  <c r="BG301"/>
  <c r="CQ301"/>
  <c r="CE301"/>
  <c r="CA301"/>
  <c r="CF301"/>
  <c r="CB301"/>
  <c r="BR301"/>
  <c r="BJ301"/>
  <c r="BU301"/>
  <c r="BP301"/>
  <c r="CH301"/>
  <c r="CI301"/>
  <c r="BQ301"/>
  <c r="BM301"/>
  <c r="AX301"/>
  <c r="AW301"/>
  <c r="AP301"/>
  <c r="AL301"/>
  <c r="BA301"/>
  <c r="AS301"/>
  <c r="AV301"/>
  <c r="AO301"/>
  <c r="AH298"/>
  <c r="CO298"/>
  <c r="CG298"/>
  <c r="CJ298"/>
  <c r="CC298"/>
  <c r="CP298"/>
  <c r="CL298"/>
  <c r="CK298"/>
  <c r="CD298"/>
  <c r="BZ298"/>
  <c r="BT298"/>
  <c r="BL298"/>
  <c r="BO298"/>
  <c r="BH298"/>
  <c r="BW298"/>
  <c r="BS298"/>
  <c r="BK298"/>
  <c r="BN298"/>
  <c r="BG298"/>
  <c r="CQ298"/>
  <c r="CE298"/>
  <c r="CA298"/>
  <c r="CF298"/>
  <c r="CB298"/>
  <c r="BR298"/>
  <c r="BJ298"/>
  <c r="BU298"/>
  <c r="BP298"/>
  <c r="CM298"/>
  <c r="CN298"/>
  <c r="BV298"/>
  <c r="BF298"/>
  <c r="BI298"/>
  <c r="AX298"/>
  <c r="AW298"/>
  <c r="AP298"/>
  <c r="AL298"/>
  <c r="BA298"/>
  <c r="AS298"/>
  <c r="AV298"/>
  <c r="AO298"/>
  <c r="AH295"/>
  <c r="CO295"/>
  <c r="CG295"/>
  <c r="CJ295"/>
  <c r="CC295"/>
  <c r="CP295"/>
  <c r="CL295"/>
  <c r="CK295"/>
  <c r="CD295"/>
  <c r="BZ295"/>
  <c r="BT295"/>
  <c r="BL295"/>
  <c r="BO295"/>
  <c r="BH295"/>
  <c r="BW295"/>
  <c r="BS295"/>
  <c r="BK295"/>
  <c r="BN295"/>
  <c r="BG295"/>
  <c r="CQ295"/>
  <c r="CE295"/>
  <c r="CA295"/>
  <c r="CF295"/>
  <c r="CB295"/>
  <c r="BR295"/>
  <c r="BJ295"/>
  <c r="BU295"/>
  <c r="BP295"/>
  <c r="CH295"/>
  <c r="CI295"/>
  <c r="BQ295"/>
  <c r="BM295"/>
  <c r="AZ295"/>
  <c r="AR295"/>
  <c r="AU295"/>
  <c r="AN295"/>
  <c r="BC295"/>
  <c r="AY295"/>
  <c r="AQ295"/>
  <c r="AT295"/>
  <c r="AM295"/>
  <c r="AH293"/>
  <c r="CO293"/>
  <c r="CG293"/>
  <c r="CJ293"/>
  <c r="CC293"/>
  <c r="CP293"/>
  <c r="CL293"/>
  <c r="CK293"/>
  <c r="CD293"/>
  <c r="BZ293"/>
  <c r="BT293"/>
  <c r="BL293"/>
  <c r="BO293"/>
  <c r="BH293"/>
  <c r="BW293"/>
  <c r="BS293"/>
  <c r="BK293"/>
  <c r="BN293"/>
  <c r="BG293"/>
  <c r="CQ293"/>
  <c r="CE293"/>
  <c r="CA293"/>
  <c r="CF293"/>
  <c r="CB293"/>
  <c r="BR293"/>
  <c r="BJ293"/>
  <c r="BU293"/>
  <c r="BP293"/>
  <c r="CM293"/>
  <c r="CN293"/>
  <c r="BV293"/>
  <c r="BF293"/>
  <c r="BI293"/>
  <c r="AZ293"/>
  <c r="AR293"/>
  <c r="AU293"/>
  <c r="AN293"/>
  <c r="BC293"/>
  <c r="AY293"/>
  <c r="AQ293"/>
  <c r="AT293"/>
  <c r="AM293"/>
  <c r="AH291"/>
  <c r="CO291"/>
  <c r="CG291"/>
  <c r="CJ291"/>
  <c r="CC291"/>
  <c r="CP291"/>
  <c r="CL291"/>
  <c r="CK291"/>
  <c r="CD291"/>
  <c r="BZ291"/>
  <c r="BT291"/>
  <c r="BL291"/>
  <c r="BO291"/>
  <c r="BH291"/>
  <c r="BW291"/>
  <c r="BS291"/>
  <c r="BK291"/>
  <c r="BN291"/>
  <c r="BG291"/>
  <c r="CQ291"/>
  <c r="CE291"/>
  <c r="CA291"/>
  <c r="CF291"/>
  <c r="CB291"/>
  <c r="BR291"/>
  <c r="BJ291"/>
  <c r="BU291"/>
  <c r="BP291"/>
  <c r="CH291"/>
  <c r="CI291"/>
  <c r="BQ291"/>
  <c r="BM291"/>
  <c r="AX291"/>
  <c r="AW291"/>
  <c r="AP291"/>
  <c r="AL291"/>
  <c r="BA291"/>
  <c r="AS291"/>
  <c r="AV291"/>
  <c r="AO291"/>
  <c r="AH289"/>
  <c r="CO289"/>
  <c r="CG289"/>
  <c r="CJ289"/>
  <c r="CC289"/>
  <c r="CP289"/>
  <c r="CL289"/>
  <c r="CK289"/>
  <c r="CD289"/>
  <c r="BZ289"/>
  <c r="BT289"/>
  <c r="BL289"/>
  <c r="BO289"/>
  <c r="BH289"/>
  <c r="BW289"/>
  <c r="BS289"/>
  <c r="BK289"/>
  <c r="BN289"/>
  <c r="BG289"/>
  <c r="CQ289"/>
  <c r="CE289"/>
  <c r="CA289"/>
  <c r="CF289"/>
  <c r="CB289"/>
  <c r="BR289"/>
  <c r="BJ289"/>
  <c r="BU289"/>
  <c r="BP289"/>
  <c r="CM289"/>
  <c r="CN289"/>
  <c r="BV289"/>
  <c r="BF289"/>
  <c r="BI289"/>
  <c r="AZ289"/>
  <c r="AR289"/>
  <c r="AU289"/>
  <c r="AN289"/>
  <c r="BC289"/>
  <c r="AY289"/>
  <c r="AQ289"/>
  <c r="AT289"/>
  <c r="AM289"/>
  <c r="AH287"/>
  <c r="CO287"/>
  <c r="CG287"/>
  <c r="CJ287"/>
  <c r="CC287"/>
  <c r="CP287"/>
  <c r="CL287"/>
  <c r="CK287"/>
  <c r="CD287"/>
  <c r="BZ287"/>
  <c r="BT287"/>
  <c r="BL287"/>
  <c r="BO287"/>
  <c r="BH287"/>
  <c r="BW287"/>
  <c r="BS287"/>
  <c r="CQ287"/>
  <c r="CE287"/>
  <c r="CA287"/>
  <c r="CF287"/>
  <c r="CB287"/>
  <c r="BR287"/>
  <c r="BJ287"/>
  <c r="BU287"/>
  <c r="BK287"/>
  <c r="BN287"/>
  <c r="BG287"/>
  <c r="CH287"/>
  <c r="CI287"/>
  <c r="BQ287"/>
  <c r="BM287"/>
  <c r="BI287"/>
  <c r="AX287"/>
  <c r="AW287"/>
  <c r="AP287"/>
  <c r="AL287"/>
  <c r="BA287"/>
  <c r="AS287"/>
  <c r="AV287"/>
  <c r="AO287"/>
  <c r="AH285"/>
  <c r="CO285"/>
  <c r="CG285"/>
  <c r="CJ285"/>
  <c r="CC285"/>
  <c r="CP285"/>
  <c r="CL285"/>
  <c r="CK285"/>
  <c r="CD285"/>
  <c r="BZ285"/>
  <c r="BT285"/>
  <c r="BL285"/>
  <c r="BO285"/>
  <c r="BH285"/>
  <c r="BW285"/>
  <c r="BS285"/>
  <c r="BK285"/>
  <c r="BN285"/>
  <c r="BG285"/>
  <c r="CM285"/>
  <c r="CH285"/>
  <c r="CN285"/>
  <c r="CI285"/>
  <c r="BV285"/>
  <c r="BQ285"/>
  <c r="BF285"/>
  <c r="BM285"/>
  <c r="BI285"/>
  <c r="AX285"/>
  <c r="AW285"/>
  <c r="AP285"/>
  <c r="AL285"/>
  <c r="BA285"/>
  <c r="AS285"/>
  <c r="AV285"/>
  <c r="AO285"/>
  <c r="AH283"/>
  <c r="CO283"/>
  <c r="CG283"/>
  <c r="CN283"/>
  <c r="CF283"/>
  <c r="CJ283"/>
  <c r="CC283"/>
  <c r="CK283"/>
  <c r="CD283"/>
  <c r="BZ283"/>
  <c r="BT283"/>
  <c r="BL283"/>
  <c r="BO283"/>
  <c r="BH283"/>
  <c r="BW283"/>
  <c r="BS283"/>
  <c r="BK283"/>
  <c r="BN283"/>
  <c r="BG283"/>
  <c r="CM283"/>
  <c r="CL283"/>
  <c r="CH283"/>
  <c r="CI283"/>
  <c r="BV283"/>
  <c r="BQ283"/>
  <c r="BF283"/>
  <c r="BM283"/>
  <c r="BI283"/>
  <c r="AZ283"/>
  <c r="AR283"/>
  <c r="AU283"/>
  <c r="AN283"/>
  <c r="BC283"/>
  <c r="AY283"/>
  <c r="AQ283"/>
  <c r="AT283"/>
  <c r="AM283"/>
  <c r="AH281"/>
  <c r="CO281"/>
  <c r="CG281"/>
  <c r="CJ281"/>
  <c r="CC281"/>
  <c r="CP281"/>
  <c r="CL281"/>
  <c r="CK281"/>
  <c r="CD281"/>
  <c r="BZ281"/>
  <c r="BT281"/>
  <c r="BL281"/>
  <c r="BO281"/>
  <c r="BH281"/>
  <c r="BW281"/>
  <c r="BS281"/>
  <c r="BK281"/>
  <c r="BN281"/>
  <c r="BG281"/>
  <c r="CM281"/>
  <c r="CH281"/>
  <c r="CN281"/>
  <c r="CI281"/>
  <c r="BV281"/>
  <c r="BQ281"/>
  <c r="BF281"/>
  <c r="BM281"/>
  <c r="BI281"/>
  <c r="AZ281"/>
  <c r="AR281"/>
  <c r="AU281"/>
  <c r="AN281"/>
  <c r="BC281"/>
  <c r="AY281"/>
  <c r="AQ281"/>
  <c r="AT281"/>
  <c r="AM281"/>
  <c r="AH279"/>
  <c r="CO279"/>
  <c r="CG279"/>
  <c r="CJ279"/>
  <c r="CC279"/>
  <c r="CP279"/>
  <c r="CL279"/>
  <c r="CK279"/>
  <c r="CD279"/>
  <c r="BZ279"/>
  <c r="BT279"/>
  <c r="BL279"/>
  <c r="BO279"/>
  <c r="BH279"/>
  <c r="BW279"/>
  <c r="BS279"/>
  <c r="BK279"/>
  <c r="BN279"/>
  <c r="BG279"/>
  <c r="CM279"/>
  <c r="CH279"/>
  <c r="CN279"/>
  <c r="CI279"/>
  <c r="BV279"/>
  <c r="BQ279"/>
  <c r="BF279"/>
  <c r="BM279"/>
  <c r="BI279"/>
  <c r="AX279"/>
  <c r="AW279"/>
  <c r="AP279"/>
  <c r="AL279"/>
  <c r="BA279"/>
  <c r="AS279"/>
  <c r="AV279"/>
  <c r="AO279"/>
  <c r="AH277"/>
  <c r="CO277"/>
  <c r="CG277"/>
  <c r="CJ277"/>
  <c r="CC277"/>
  <c r="CP277"/>
  <c r="CL277"/>
  <c r="CK277"/>
  <c r="CD277"/>
  <c r="BZ277"/>
  <c r="BT277"/>
  <c r="BL277"/>
  <c r="BO277"/>
  <c r="BH277"/>
  <c r="BW277"/>
  <c r="BS277"/>
  <c r="BK277"/>
  <c r="BN277"/>
  <c r="BG277"/>
  <c r="CM277"/>
  <c r="CH277"/>
  <c r="CN277"/>
  <c r="CI277"/>
  <c r="BV277"/>
  <c r="BQ277"/>
  <c r="BF277"/>
  <c r="BM277"/>
  <c r="BI277"/>
  <c r="AX277"/>
  <c r="AW277"/>
  <c r="AP277"/>
  <c r="AL277"/>
  <c r="BA277"/>
  <c r="AS277"/>
  <c r="AV277"/>
  <c r="AO277"/>
  <c r="AH275"/>
  <c r="CO275"/>
  <c r="CG275"/>
  <c r="CJ275"/>
  <c r="CC275"/>
  <c r="CP275"/>
  <c r="CL275"/>
  <c r="CK275"/>
  <c r="CD275"/>
  <c r="BZ275"/>
  <c r="BT275"/>
  <c r="BL275"/>
  <c r="BO275"/>
  <c r="BH275"/>
  <c r="BW275"/>
  <c r="BS275"/>
  <c r="BK275"/>
  <c r="BN275"/>
  <c r="BG275"/>
  <c r="CM275"/>
  <c r="CH275"/>
  <c r="CN275"/>
  <c r="CI275"/>
  <c r="BV275"/>
  <c r="BQ275"/>
  <c r="BF275"/>
  <c r="BM275"/>
  <c r="BI275"/>
  <c r="AZ275"/>
  <c r="AR275"/>
  <c r="AU275"/>
  <c r="AN275"/>
  <c r="BC275"/>
  <c r="AY275"/>
  <c r="AQ275"/>
  <c r="AT275"/>
  <c r="AM275"/>
  <c r="AH273"/>
  <c r="CO273"/>
  <c r="CG273"/>
  <c r="CJ273"/>
  <c r="CC273"/>
  <c r="CP273"/>
  <c r="CL273"/>
  <c r="CK273"/>
  <c r="CD273"/>
  <c r="BZ273"/>
  <c r="BT273"/>
  <c r="BL273"/>
  <c r="BO273"/>
  <c r="BH273"/>
  <c r="BW273"/>
  <c r="BS273"/>
  <c r="BK273"/>
  <c r="BN273"/>
  <c r="BG273"/>
  <c r="CM273"/>
  <c r="CH273"/>
  <c r="CN273"/>
  <c r="CI273"/>
  <c r="BV273"/>
  <c r="BQ273"/>
  <c r="BF273"/>
  <c r="BM273"/>
  <c r="BI273"/>
  <c r="AZ273"/>
  <c r="AR273"/>
  <c r="AU273"/>
  <c r="AN273"/>
  <c r="BC273"/>
  <c r="AY273"/>
  <c r="AQ273"/>
  <c r="AT273"/>
  <c r="AM273"/>
  <c r="AH271"/>
  <c r="CO271"/>
  <c r="CG271"/>
  <c r="CJ271"/>
  <c r="CC271"/>
  <c r="CP271"/>
  <c r="CL271"/>
  <c r="CK271"/>
  <c r="CD271"/>
  <c r="BZ271"/>
  <c r="BT271"/>
  <c r="BL271"/>
  <c r="BO271"/>
  <c r="BH271"/>
  <c r="BW271"/>
  <c r="BS271"/>
  <c r="BK271"/>
  <c r="BN271"/>
  <c r="BG271"/>
  <c r="CM271"/>
  <c r="CH271"/>
  <c r="CN271"/>
  <c r="CI271"/>
  <c r="BV271"/>
  <c r="BQ271"/>
  <c r="BF271"/>
  <c r="BM271"/>
  <c r="BI271"/>
  <c r="AX271"/>
  <c r="AW271"/>
  <c r="AP271"/>
  <c r="AL271"/>
  <c r="BA271"/>
  <c r="AS271"/>
  <c r="AV271"/>
  <c r="AO271"/>
  <c r="AH269"/>
  <c r="CO269"/>
  <c r="CG269"/>
  <c r="CJ269"/>
  <c r="CC269"/>
  <c r="CP269"/>
  <c r="CL269"/>
  <c r="CK269"/>
  <c r="CD269"/>
  <c r="BZ269"/>
  <c r="BT269"/>
  <c r="BL269"/>
  <c r="BO269"/>
  <c r="BH269"/>
  <c r="BW269"/>
  <c r="BS269"/>
  <c r="BK269"/>
  <c r="BN269"/>
  <c r="BG269"/>
  <c r="CM269"/>
  <c r="CH269"/>
  <c r="CN269"/>
  <c r="CI269"/>
  <c r="BV269"/>
  <c r="BQ269"/>
  <c r="BF269"/>
  <c r="BM269"/>
  <c r="BI269"/>
  <c r="AX269"/>
  <c r="AW269"/>
  <c r="AP269"/>
  <c r="AL269"/>
  <c r="BA269"/>
  <c r="AS269"/>
  <c r="AV269"/>
  <c r="AO269"/>
  <c r="AH267"/>
  <c r="CO267"/>
  <c r="CG267"/>
  <c r="CJ267"/>
  <c r="CC267"/>
  <c r="CP267"/>
  <c r="CL267"/>
  <c r="CK267"/>
  <c r="CD267"/>
  <c r="BZ267"/>
  <c r="BT267"/>
  <c r="BL267"/>
  <c r="BO267"/>
  <c r="BH267"/>
  <c r="BW267"/>
  <c r="BS267"/>
  <c r="BK267"/>
  <c r="BN267"/>
  <c r="BG267"/>
  <c r="CM267"/>
  <c r="CH267"/>
  <c r="CN267"/>
  <c r="CI267"/>
  <c r="BV267"/>
  <c r="BQ267"/>
  <c r="BF267"/>
  <c r="BM267"/>
  <c r="BI267"/>
  <c r="AZ267"/>
  <c r="AR267"/>
  <c r="AU267"/>
  <c r="AN267"/>
  <c r="BC267"/>
  <c r="AY267"/>
  <c r="AQ267"/>
  <c r="AT267"/>
  <c r="AM267"/>
  <c r="AH265"/>
  <c r="CO265"/>
  <c r="CG265"/>
  <c r="CJ265"/>
  <c r="CC265"/>
  <c r="CP265"/>
  <c r="CL265"/>
  <c r="CK265"/>
  <c r="CD265"/>
  <c r="BZ265"/>
  <c r="CM265"/>
  <c r="CH265"/>
  <c r="CN265"/>
  <c r="CI265"/>
  <c r="BG265"/>
  <c r="BN265"/>
  <c r="BK265"/>
  <c r="BS265"/>
  <c r="BW265"/>
  <c r="BF265"/>
  <c r="BJ265"/>
  <c r="BQ265"/>
  <c r="BR265"/>
  <c r="BV265"/>
  <c r="AZ265"/>
  <c r="AR265"/>
  <c r="AU265"/>
  <c r="AN265"/>
  <c r="BC265"/>
  <c r="AY265"/>
  <c r="AQ265"/>
  <c r="AT265"/>
  <c r="AM265"/>
  <c r="AH263"/>
  <c r="CO263"/>
  <c r="CG263"/>
  <c r="CJ263"/>
  <c r="CC263"/>
  <c r="CP263"/>
  <c r="CL263"/>
  <c r="CK263"/>
  <c r="CD263"/>
  <c r="BZ263"/>
  <c r="CQ263"/>
  <c r="CE263"/>
  <c r="CA263"/>
  <c r="CF263"/>
  <c r="CB263"/>
  <c r="BI263"/>
  <c r="BP263"/>
  <c r="BM263"/>
  <c r="BU263"/>
  <c r="BF263"/>
  <c r="BJ263"/>
  <c r="BQ263"/>
  <c r="BR263"/>
  <c r="BV263"/>
  <c r="AX263"/>
  <c r="AW263"/>
  <c r="AP263"/>
  <c r="AL263"/>
  <c r="BA263"/>
  <c r="AS263"/>
  <c r="AV263"/>
  <c r="AO263"/>
  <c r="AH261"/>
  <c r="CO261"/>
  <c r="CG261"/>
  <c r="CJ261"/>
  <c r="CC261"/>
  <c r="CP261"/>
  <c r="CL261"/>
  <c r="CK261"/>
  <c r="CD261"/>
  <c r="BZ261"/>
  <c r="CM261"/>
  <c r="CH261"/>
  <c r="CN261"/>
  <c r="CI261"/>
  <c r="BG261"/>
  <c r="BN261"/>
  <c r="BK261"/>
  <c r="BS261"/>
  <c r="BW261"/>
  <c r="BF261"/>
  <c r="BJ261"/>
  <c r="BQ261"/>
  <c r="BR261"/>
  <c r="BV261"/>
  <c r="AX261"/>
  <c r="AW261"/>
  <c r="AP261"/>
  <c r="AL261"/>
  <c r="BA261"/>
  <c r="AS261"/>
  <c r="AV261"/>
  <c r="AO261"/>
  <c r="AH258"/>
  <c r="CO258"/>
  <c r="CG258"/>
  <c r="CJ258"/>
  <c r="CC258"/>
  <c r="CP258"/>
  <c r="CL258"/>
  <c r="CK258"/>
  <c r="CD258"/>
  <c r="BZ258"/>
  <c r="CQ258"/>
  <c r="CE258"/>
  <c r="CA258"/>
  <c r="CF258"/>
  <c r="CB258"/>
  <c r="BI258"/>
  <c r="BP258"/>
  <c r="BM258"/>
  <c r="BU258"/>
  <c r="BF258"/>
  <c r="BJ258"/>
  <c r="BQ258"/>
  <c r="BR258"/>
  <c r="BV258"/>
  <c r="AZ258"/>
  <c r="AR258"/>
  <c r="AU258"/>
  <c r="AN258"/>
  <c r="BC258"/>
  <c r="AY258"/>
  <c r="AQ258"/>
  <c r="AT258"/>
  <c r="AM258"/>
  <c r="AH256"/>
  <c r="CO256"/>
  <c r="CG256"/>
  <c r="CJ256"/>
  <c r="CC256"/>
  <c r="CP256"/>
  <c r="CL256"/>
  <c r="CK256"/>
  <c r="CD256"/>
  <c r="BZ256"/>
  <c r="CM256"/>
  <c r="CH256"/>
  <c r="CN256"/>
  <c r="CI256"/>
  <c r="BG256"/>
  <c r="BN256"/>
  <c r="BK256"/>
  <c r="BS256"/>
  <c r="BW256"/>
  <c r="BF256"/>
  <c r="BJ256"/>
  <c r="BQ256"/>
  <c r="BR256"/>
  <c r="BV256"/>
  <c r="AZ256"/>
  <c r="AR256"/>
  <c r="AU256"/>
  <c r="AN256"/>
  <c r="BC256"/>
  <c r="AY256"/>
  <c r="AQ256"/>
  <c r="AT256"/>
  <c r="AM256"/>
  <c r="AH253"/>
  <c r="CO253"/>
  <c r="CG253"/>
  <c r="CJ253"/>
  <c r="CC253"/>
  <c r="CP253"/>
  <c r="CL253"/>
  <c r="CK253"/>
  <c r="CD253"/>
  <c r="BZ253"/>
  <c r="CQ253"/>
  <c r="CE253"/>
  <c r="CA253"/>
  <c r="CF253"/>
  <c r="CB253"/>
  <c r="BI253"/>
  <c r="BP253"/>
  <c r="BM253"/>
  <c r="BU253"/>
  <c r="BF253"/>
  <c r="BJ253"/>
  <c r="BQ253"/>
  <c r="BR253"/>
  <c r="BV253"/>
  <c r="AX253"/>
  <c r="AW253"/>
  <c r="AP253"/>
  <c r="AL253"/>
  <c r="BA253"/>
  <c r="AS253"/>
  <c r="AV253"/>
  <c r="AO253"/>
  <c r="AH251"/>
  <c r="CO251"/>
  <c r="CG251"/>
  <c r="CJ251"/>
  <c r="CC251"/>
  <c r="CP251"/>
  <c r="CL251"/>
  <c r="CK251"/>
  <c r="CD251"/>
  <c r="BZ251"/>
  <c r="CM251"/>
  <c r="CH251"/>
  <c r="CN251"/>
  <c r="CI251"/>
  <c r="BG251"/>
  <c r="BN251"/>
  <c r="BK251"/>
  <c r="BS251"/>
  <c r="BW251"/>
  <c r="BF251"/>
  <c r="BJ251"/>
  <c r="BQ251"/>
  <c r="BR251"/>
  <c r="BV251"/>
  <c r="AX251"/>
  <c r="AW251"/>
  <c r="AP251"/>
  <c r="AL251"/>
  <c r="BA251"/>
  <c r="AS251"/>
  <c r="AV251"/>
  <c r="AO251"/>
  <c r="AH249"/>
  <c r="CO249"/>
  <c r="CG249"/>
  <c r="CJ249"/>
  <c r="CC249"/>
  <c r="CP249"/>
  <c r="CL249"/>
  <c r="CK249"/>
  <c r="CD249"/>
  <c r="BZ249"/>
  <c r="CQ249"/>
  <c r="CE249"/>
  <c r="CA249"/>
  <c r="CF249"/>
  <c r="CB249"/>
  <c r="BI249"/>
  <c r="BP249"/>
  <c r="BM249"/>
  <c r="BU249"/>
  <c r="BF249"/>
  <c r="BJ249"/>
  <c r="BQ249"/>
  <c r="BR249"/>
  <c r="BV249"/>
  <c r="AZ249"/>
  <c r="AR249"/>
  <c r="AU249"/>
  <c r="AN249"/>
  <c r="BC249"/>
  <c r="AY249"/>
  <c r="AQ249"/>
  <c r="AT249"/>
  <c r="AM249"/>
  <c r="AH247"/>
  <c r="CO247"/>
  <c r="CG247"/>
  <c r="CJ247"/>
  <c r="CC247"/>
  <c r="CP247"/>
  <c r="CL247"/>
  <c r="CK247"/>
  <c r="CD247"/>
  <c r="BZ247"/>
  <c r="CM247"/>
  <c r="CH247"/>
  <c r="CN247"/>
  <c r="CI247"/>
  <c r="BG247"/>
  <c r="BN247"/>
  <c r="BK247"/>
  <c r="BS247"/>
  <c r="BW247"/>
  <c r="BF247"/>
  <c r="BJ247"/>
  <c r="BQ247"/>
  <c r="BR247"/>
  <c r="BV247"/>
  <c r="AZ247"/>
  <c r="AR247"/>
  <c r="AU247"/>
  <c r="AN247"/>
  <c r="BC247"/>
  <c r="AY247"/>
  <c r="AQ247"/>
  <c r="AT247"/>
  <c r="AM247"/>
  <c r="AH243"/>
  <c r="CO243"/>
  <c r="CG243"/>
  <c r="CJ243"/>
  <c r="CC243"/>
  <c r="CP243"/>
  <c r="CL243"/>
  <c r="CK243"/>
  <c r="CD243"/>
  <c r="BZ243"/>
  <c r="CQ243"/>
  <c r="CE243"/>
  <c r="CA243"/>
  <c r="CF243"/>
  <c r="CB243"/>
  <c r="BI243"/>
  <c r="BP243"/>
  <c r="BM243"/>
  <c r="BU243"/>
  <c r="BF243"/>
  <c r="BJ243"/>
  <c r="BQ243"/>
  <c r="BR243"/>
  <c r="BV243"/>
  <c r="AX243"/>
  <c r="AW243"/>
  <c r="AP243"/>
  <c r="AL243"/>
  <c r="BA243"/>
  <c r="AS243"/>
  <c r="AV243"/>
  <c r="AO243"/>
  <c r="AH241"/>
  <c r="CO241"/>
  <c r="CG241"/>
  <c r="CJ241"/>
  <c r="CC241"/>
  <c r="CP241"/>
  <c r="CL241"/>
  <c r="CK241"/>
  <c r="CD241"/>
  <c r="BZ241"/>
  <c r="CM241"/>
  <c r="CH241"/>
  <c r="CN241"/>
  <c r="CI241"/>
  <c r="BG241"/>
  <c r="BN241"/>
  <c r="BK241"/>
  <c r="BS241"/>
  <c r="BW241"/>
  <c r="BF241"/>
  <c r="BJ241"/>
  <c r="BQ241"/>
  <c r="BR241"/>
  <c r="BV241"/>
  <c r="AX241"/>
  <c r="AW241"/>
  <c r="AP241"/>
  <c r="AL241"/>
  <c r="BA241"/>
  <c r="AS241"/>
  <c r="AV241"/>
  <c r="AO241"/>
  <c r="AH239"/>
  <c r="CO239"/>
  <c r="CG239"/>
  <c r="CJ239"/>
  <c r="CC239"/>
  <c r="CP239"/>
  <c r="CL239"/>
  <c r="CK239"/>
  <c r="CD239"/>
  <c r="BZ239"/>
  <c r="BI239"/>
  <c r="CQ239"/>
  <c r="CE239"/>
  <c r="CA239"/>
  <c r="CF239"/>
  <c r="CB239"/>
  <c r="BG239"/>
  <c r="BP239"/>
  <c r="BM239"/>
  <c r="BU239"/>
  <c r="BF239"/>
  <c r="BJ239"/>
  <c r="BQ239"/>
  <c r="BR239"/>
  <c r="BV239"/>
  <c r="AZ239"/>
  <c r="AR239"/>
  <c r="AU239"/>
  <c r="AN239"/>
  <c r="BC239"/>
  <c r="AY239"/>
  <c r="AQ239"/>
  <c r="AT239"/>
  <c r="AM239"/>
  <c r="AH237"/>
  <c r="CO237"/>
  <c r="CG237"/>
  <c r="CJ237"/>
  <c r="CC237"/>
  <c r="CP237"/>
  <c r="CL237"/>
  <c r="CK237"/>
  <c r="CD237"/>
  <c r="BZ237"/>
  <c r="BG237"/>
  <c r="BN237"/>
  <c r="BK237"/>
  <c r="BS237"/>
  <c r="BW237"/>
  <c r="CM237"/>
  <c r="CH237"/>
  <c r="CN237"/>
  <c r="CI237"/>
  <c r="BI237"/>
  <c r="BM237"/>
  <c r="BF237"/>
  <c r="BJ237"/>
  <c r="BQ237"/>
  <c r="BR237"/>
  <c r="BV237"/>
  <c r="AX237"/>
  <c r="AW237"/>
  <c r="AP237"/>
  <c r="AL237"/>
  <c r="BA237"/>
  <c r="AS237"/>
  <c r="AV237"/>
  <c r="AO237"/>
  <c r="AH235"/>
  <c r="CO235"/>
  <c r="CG235"/>
  <c r="CJ235"/>
  <c r="CC235"/>
  <c r="CP235"/>
  <c r="CL235"/>
  <c r="CK235"/>
  <c r="CD235"/>
  <c r="BZ235"/>
  <c r="BI235"/>
  <c r="BP235"/>
  <c r="BM235"/>
  <c r="BU235"/>
  <c r="CQ235"/>
  <c r="CE235"/>
  <c r="CA235"/>
  <c r="CF235"/>
  <c r="CB235"/>
  <c r="BN235"/>
  <c r="BS235"/>
  <c r="BF235"/>
  <c r="BJ235"/>
  <c r="BQ235"/>
  <c r="BR235"/>
  <c r="BV235"/>
  <c r="AZ235"/>
  <c r="AR235"/>
  <c r="AU235"/>
  <c r="AN235"/>
  <c r="BC235"/>
  <c r="AY235"/>
  <c r="AQ235"/>
  <c r="AT235"/>
  <c r="AM235"/>
  <c r="AH233"/>
  <c r="CO233"/>
  <c r="CG233"/>
  <c r="CJ233"/>
  <c r="CC233"/>
  <c r="CP233"/>
  <c r="CL233"/>
  <c r="CK233"/>
  <c r="CD233"/>
  <c r="BZ233"/>
  <c r="BG233"/>
  <c r="BN233"/>
  <c r="BK233"/>
  <c r="BS233"/>
  <c r="BW233"/>
  <c r="CM233"/>
  <c r="CH233"/>
  <c r="CN233"/>
  <c r="CI233"/>
  <c r="BP233"/>
  <c r="BU233"/>
  <c r="BF233"/>
  <c r="BJ233"/>
  <c r="BQ233"/>
  <c r="BR233"/>
  <c r="BV233"/>
  <c r="AZ233"/>
  <c r="AR233"/>
  <c r="AU233"/>
  <c r="AN233"/>
  <c r="BC233"/>
  <c r="AY233"/>
  <c r="AQ233"/>
  <c r="AT233"/>
  <c r="AM233"/>
  <c r="AH231"/>
  <c r="CO231"/>
  <c r="CG231"/>
  <c r="CJ231"/>
  <c r="CC231"/>
  <c r="CP231"/>
  <c r="CL231"/>
  <c r="CK231"/>
  <c r="CD231"/>
  <c r="BZ231"/>
  <c r="BI231"/>
  <c r="BP231"/>
  <c r="BM231"/>
  <c r="BU231"/>
  <c r="CQ231"/>
  <c r="CE231"/>
  <c r="CA231"/>
  <c r="CF231"/>
  <c r="CB231"/>
  <c r="BG231"/>
  <c r="BK231"/>
  <c r="BW231"/>
  <c r="BF231"/>
  <c r="BJ231"/>
  <c r="BQ231"/>
  <c r="BR231"/>
  <c r="BV231"/>
  <c r="AX231"/>
  <c r="AW231"/>
  <c r="AP231"/>
  <c r="AL231"/>
  <c r="BA231"/>
  <c r="AS231"/>
  <c r="AV231"/>
  <c r="AO231"/>
  <c r="AH229"/>
  <c r="CO229"/>
  <c r="CG229"/>
  <c r="CJ229"/>
  <c r="CC229"/>
  <c r="CP229"/>
  <c r="CL229"/>
  <c r="CK229"/>
  <c r="CD229"/>
  <c r="BZ229"/>
  <c r="BG229"/>
  <c r="BN229"/>
  <c r="BK229"/>
  <c r="BS229"/>
  <c r="BW229"/>
  <c r="CM229"/>
  <c r="CH229"/>
  <c r="CN229"/>
  <c r="CI229"/>
  <c r="BI229"/>
  <c r="BM229"/>
  <c r="BF229"/>
  <c r="BJ229"/>
  <c r="BQ229"/>
  <c r="BR229"/>
  <c r="BV229"/>
  <c r="AX229"/>
  <c r="AW229"/>
  <c r="AP229"/>
  <c r="AL229"/>
  <c r="BA229"/>
  <c r="AS229"/>
  <c r="AV229"/>
  <c r="AO229"/>
  <c r="AH227"/>
  <c r="CO227"/>
  <c r="CG227"/>
  <c r="CJ227"/>
  <c r="CC227"/>
  <c r="CP227"/>
  <c r="CL227"/>
  <c r="CK227"/>
  <c r="CD227"/>
  <c r="BZ227"/>
  <c r="BI227"/>
  <c r="BP227"/>
  <c r="BM227"/>
  <c r="BU227"/>
  <c r="CQ227"/>
  <c r="CE227"/>
  <c r="CA227"/>
  <c r="CF227"/>
  <c r="CB227"/>
  <c r="BN227"/>
  <c r="BS227"/>
  <c r="BF227"/>
  <c r="BJ227"/>
  <c r="BQ227"/>
  <c r="BR227"/>
  <c r="BV227"/>
  <c r="AZ227"/>
  <c r="AR227"/>
  <c r="AU227"/>
  <c r="AN227"/>
  <c r="BC227"/>
  <c r="AY227"/>
  <c r="AQ227"/>
  <c r="AT227"/>
  <c r="AM227"/>
  <c r="AH225"/>
  <c r="CO225"/>
  <c r="CG225"/>
  <c r="CJ225"/>
  <c r="CC225"/>
  <c r="CP225"/>
  <c r="CL225"/>
  <c r="CK225"/>
  <c r="CD225"/>
  <c r="BZ225"/>
  <c r="BG225"/>
  <c r="BN225"/>
  <c r="BK225"/>
  <c r="BS225"/>
  <c r="BW225"/>
  <c r="CM225"/>
  <c r="CH225"/>
  <c r="CN225"/>
  <c r="CI225"/>
  <c r="BP225"/>
  <c r="BU225"/>
  <c r="BF225"/>
  <c r="BJ225"/>
  <c r="BQ225"/>
  <c r="BR225"/>
  <c r="BV225"/>
  <c r="AZ225"/>
  <c r="AR225"/>
  <c r="AU225"/>
  <c r="AN225"/>
  <c r="BC225"/>
  <c r="AY225"/>
  <c r="AQ225"/>
  <c r="AT225"/>
  <c r="AM225"/>
  <c r="AH223"/>
  <c r="CO223"/>
  <c r="CG223"/>
  <c r="CJ223"/>
  <c r="CC223"/>
  <c r="CP223"/>
  <c r="CL223"/>
  <c r="CK223"/>
  <c r="CD223"/>
  <c r="BZ223"/>
  <c r="BI223"/>
  <c r="BP223"/>
  <c r="BM223"/>
  <c r="BU223"/>
  <c r="CQ223"/>
  <c r="CE223"/>
  <c r="CA223"/>
  <c r="CF223"/>
  <c r="CB223"/>
  <c r="BG223"/>
  <c r="BK223"/>
  <c r="BW223"/>
  <c r="BF223"/>
  <c r="BJ223"/>
  <c r="BQ223"/>
  <c r="BR223"/>
  <c r="BV223"/>
  <c r="AX223"/>
  <c r="AW223"/>
  <c r="AP223"/>
  <c r="AL223"/>
  <c r="BA223"/>
  <c r="AS223"/>
  <c r="AV223"/>
  <c r="AO223"/>
  <c r="AH221"/>
  <c r="CO221"/>
  <c r="CG221"/>
  <c r="CJ221"/>
  <c r="CC221"/>
  <c r="CP221"/>
  <c r="CL221"/>
  <c r="CK221"/>
  <c r="CD221"/>
  <c r="BZ221"/>
  <c r="BG221"/>
  <c r="BN221"/>
  <c r="BK221"/>
  <c r="BS221"/>
  <c r="BW221"/>
  <c r="CM221"/>
  <c r="CH221"/>
  <c r="CN221"/>
  <c r="CI221"/>
  <c r="BI221"/>
  <c r="BM221"/>
  <c r="BF221"/>
  <c r="BJ221"/>
  <c r="BQ221"/>
  <c r="BR221"/>
  <c r="BV221"/>
  <c r="AX221"/>
  <c r="AW221"/>
  <c r="AP221"/>
  <c r="AL221"/>
  <c r="BA221"/>
  <c r="AS221"/>
  <c r="AV221"/>
  <c r="AO221"/>
  <c r="AH218"/>
  <c r="CO218"/>
  <c r="CG218"/>
  <c r="CJ218"/>
  <c r="CC218"/>
  <c r="CP218"/>
  <c r="CL218"/>
  <c r="CK218"/>
  <c r="CD218"/>
  <c r="BZ218"/>
  <c r="BI218"/>
  <c r="BP218"/>
  <c r="BM218"/>
  <c r="BU218"/>
  <c r="CQ218"/>
  <c r="CE218"/>
  <c r="CA218"/>
  <c r="CF218"/>
  <c r="CB218"/>
  <c r="BN218"/>
  <c r="BS218"/>
  <c r="BF218"/>
  <c r="BJ218"/>
  <c r="BQ218"/>
  <c r="BR218"/>
  <c r="BV218"/>
  <c r="AZ218"/>
  <c r="AR218"/>
  <c r="AU218"/>
  <c r="AN218"/>
  <c r="BC218"/>
  <c r="AY218"/>
  <c r="AQ218"/>
  <c r="AT218"/>
  <c r="AM218"/>
  <c r="AH216"/>
  <c r="CO216"/>
  <c r="CG216"/>
  <c r="CJ216"/>
  <c r="CC216"/>
  <c r="CP216"/>
  <c r="CL216"/>
  <c r="CK216"/>
  <c r="CD216"/>
  <c r="BZ216"/>
  <c r="BG216"/>
  <c r="BN216"/>
  <c r="BK216"/>
  <c r="BS216"/>
  <c r="BW216"/>
  <c r="CM216"/>
  <c r="CH216"/>
  <c r="CN216"/>
  <c r="CI216"/>
  <c r="BP216"/>
  <c r="BU216"/>
  <c r="BF216"/>
  <c r="BJ216"/>
  <c r="BQ216"/>
  <c r="BR216"/>
  <c r="BV216"/>
  <c r="AX216"/>
  <c r="AW216"/>
  <c r="AP216"/>
  <c r="AL216"/>
  <c r="BA216"/>
  <c r="AS216"/>
  <c r="AV216"/>
  <c r="AO216"/>
  <c r="AH213"/>
  <c r="CO213"/>
  <c r="CG213"/>
  <c r="CJ213"/>
  <c r="CC213"/>
  <c r="CP213"/>
  <c r="CL213"/>
  <c r="CK213"/>
  <c r="CD213"/>
  <c r="BZ213"/>
  <c r="BI213"/>
  <c r="BP213"/>
  <c r="BM213"/>
  <c r="BU213"/>
  <c r="CQ213"/>
  <c r="CE213"/>
  <c r="CA213"/>
  <c r="CF213"/>
  <c r="CB213"/>
  <c r="BG213"/>
  <c r="BK213"/>
  <c r="BW213"/>
  <c r="BH213"/>
  <c r="BO213"/>
  <c r="BL213"/>
  <c r="BT213"/>
  <c r="AZ213"/>
  <c r="AR213"/>
  <c r="AU213"/>
  <c r="AN213"/>
  <c r="BC213"/>
  <c r="AY213"/>
  <c r="AQ213"/>
  <c r="AT213"/>
  <c r="AM213"/>
  <c r="AH211"/>
  <c r="CO211"/>
  <c r="CG211"/>
  <c r="CJ211"/>
  <c r="CC211"/>
  <c r="CP211"/>
  <c r="CL211"/>
  <c r="CK211"/>
  <c r="CD211"/>
  <c r="BZ211"/>
  <c r="BG211"/>
  <c r="BN211"/>
  <c r="BK211"/>
  <c r="BS211"/>
  <c r="BW211"/>
  <c r="CM211"/>
  <c r="CH211"/>
  <c r="CN211"/>
  <c r="CI211"/>
  <c r="BI211"/>
  <c r="BM211"/>
  <c r="BH211"/>
  <c r="BO211"/>
  <c r="BL211"/>
  <c r="BT211"/>
  <c r="AZ211"/>
  <c r="AR211"/>
  <c r="AU211"/>
  <c r="AN211"/>
  <c r="BC211"/>
  <c r="AY211"/>
  <c r="AQ211"/>
  <c r="AT211"/>
  <c r="AM211"/>
  <c r="AH207"/>
  <c r="CO207"/>
  <c r="CG207"/>
  <c r="CJ207"/>
  <c r="CC207"/>
  <c r="CP207"/>
  <c r="CL207"/>
  <c r="CK207"/>
  <c r="CD207"/>
  <c r="BZ207"/>
  <c r="BI207"/>
  <c r="BP207"/>
  <c r="BM207"/>
  <c r="BU207"/>
  <c r="CQ207"/>
  <c r="CE207"/>
  <c r="CA207"/>
  <c r="CF207"/>
  <c r="CB207"/>
  <c r="BN207"/>
  <c r="BS207"/>
  <c r="BH207"/>
  <c r="BO207"/>
  <c r="BL207"/>
  <c r="BT207"/>
  <c r="AX207"/>
  <c r="AW207"/>
  <c r="AP207"/>
  <c r="AL207"/>
  <c r="BA207"/>
  <c r="AS207"/>
  <c r="AV207"/>
  <c r="AO207"/>
  <c r="AH205"/>
  <c r="CO205"/>
  <c r="CG205"/>
  <c r="CJ205"/>
  <c r="CC205"/>
  <c r="CP205"/>
  <c r="CL205"/>
  <c r="CK205"/>
  <c r="CD205"/>
  <c r="BZ205"/>
  <c r="BG205"/>
  <c r="BN205"/>
  <c r="BK205"/>
  <c r="BS205"/>
  <c r="BW205"/>
  <c r="CM205"/>
  <c r="CH205"/>
  <c r="CN205"/>
  <c r="CI205"/>
  <c r="BP205"/>
  <c r="BU205"/>
  <c r="BH205"/>
  <c r="BO205"/>
  <c r="BL205"/>
  <c r="BT205"/>
  <c r="AX205"/>
  <c r="AW205"/>
  <c r="AP205"/>
  <c r="AL205"/>
  <c r="BA205"/>
  <c r="AS205"/>
  <c r="AV205"/>
  <c r="AO205"/>
  <c r="AH202"/>
  <c r="CO202"/>
  <c r="CG202"/>
  <c r="CJ202"/>
  <c r="CC202"/>
  <c r="CP202"/>
  <c r="CL202"/>
  <c r="CK202"/>
  <c r="CD202"/>
  <c r="BZ202"/>
  <c r="BI202"/>
  <c r="BP202"/>
  <c r="BM202"/>
  <c r="BU202"/>
  <c r="CQ202"/>
  <c r="CE202"/>
  <c r="CA202"/>
  <c r="CF202"/>
  <c r="CB202"/>
  <c r="BG202"/>
  <c r="BK202"/>
  <c r="BW202"/>
  <c r="BH202"/>
  <c r="BO202"/>
  <c r="BL202"/>
  <c r="BT202"/>
  <c r="AZ202"/>
  <c r="AR202"/>
  <c r="AU202"/>
  <c r="AN202"/>
  <c r="BC202"/>
  <c r="AY202"/>
  <c r="AQ202"/>
  <c r="AT202"/>
  <c r="AM202"/>
  <c r="AH198"/>
  <c r="CO198"/>
  <c r="CG198"/>
  <c r="CJ198"/>
  <c r="CC198"/>
  <c r="CP198"/>
  <c r="CL198"/>
  <c r="CK198"/>
  <c r="CD198"/>
  <c r="BZ198"/>
  <c r="BI198"/>
  <c r="BP198"/>
  <c r="BM198"/>
  <c r="BU198"/>
  <c r="CM198"/>
  <c r="CH198"/>
  <c r="CN198"/>
  <c r="CI198"/>
  <c r="BN198"/>
  <c r="BS198"/>
  <c r="BH198"/>
  <c r="BO198"/>
  <c r="BL198"/>
  <c r="BT198"/>
  <c r="AZ198"/>
  <c r="AR198"/>
  <c r="AU198"/>
  <c r="AN198"/>
  <c r="BC198"/>
  <c r="AY198"/>
  <c r="AQ198"/>
  <c r="AT198"/>
  <c r="AM198"/>
  <c r="AH196"/>
  <c r="CO196"/>
  <c r="CG196"/>
  <c r="CJ196"/>
  <c r="CC196"/>
  <c r="CP196"/>
  <c r="CL196"/>
  <c r="CK196"/>
  <c r="CD196"/>
  <c r="BZ196"/>
  <c r="BG196"/>
  <c r="BN196"/>
  <c r="BK196"/>
  <c r="BS196"/>
  <c r="BW196"/>
  <c r="CQ196"/>
  <c r="CE196"/>
  <c r="CA196"/>
  <c r="CF196"/>
  <c r="CB196"/>
  <c r="BP196"/>
  <c r="BU196"/>
  <c r="BH196"/>
  <c r="BO196"/>
  <c r="BL196"/>
  <c r="BT196"/>
  <c r="AX196"/>
  <c r="AW196"/>
  <c r="AP196"/>
  <c r="AL196"/>
  <c r="BA196"/>
  <c r="AS196"/>
  <c r="AV196"/>
  <c r="AO196"/>
  <c r="AH194"/>
  <c r="CO194"/>
  <c r="CG194"/>
  <c r="CJ194"/>
  <c r="CC194"/>
  <c r="CP194"/>
  <c r="CL194"/>
  <c r="CK194"/>
  <c r="CD194"/>
  <c r="BZ194"/>
  <c r="BI194"/>
  <c r="BP194"/>
  <c r="BM194"/>
  <c r="BU194"/>
  <c r="CM194"/>
  <c r="CH194"/>
  <c r="CN194"/>
  <c r="CI194"/>
  <c r="BG194"/>
  <c r="BK194"/>
  <c r="BW194"/>
  <c r="BH194"/>
  <c r="BO194"/>
  <c r="BL194"/>
  <c r="BT194"/>
  <c r="AX194"/>
  <c r="AW194"/>
  <c r="AP194"/>
  <c r="AL194"/>
  <c r="BA194"/>
  <c r="AS194"/>
  <c r="AV194"/>
  <c r="AO194"/>
  <c r="AH192"/>
  <c r="CO192"/>
  <c r="CG192"/>
  <c r="CJ192"/>
  <c r="CC192"/>
  <c r="CP192"/>
  <c r="CL192"/>
  <c r="CK192"/>
  <c r="CD192"/>
  <c r="BZ192"/>
  <c r="BG192"/>
  <c r="BN192"/>
  <c r="BK192"/>
  <c r="BS192"/>
  <c r="BW192"/>
  <c r="CQ192"/>
  <c r="CE192"/>
  <c r="CA192"/>
  <c r="CF192"/>
  <c r="CB192"/>
  <c r="BI192"/>
  <c r="BM192"/>
  <c r="BH192"/>
  <c r="BO192"/>
  <c r="BL192"/>
  <c r="BT192"/>
  <c r="AZ192"/>
  <c r="AR192"/>
  <c r="AU192"/>
  <c r="AN192"/>
  <c r="BC192"/>
  <c r="AY192"/>
  <c r="AQ192"/>
  <c r="AT192"/>
  <c r="AM192"/>
  <c r="AH190"/>
  <c r="CO190"/>
  <c r="CG190"/>
  <c r="CJ190"/>
  <c r="CC190"/>
  <c r="CP190"/>
  <c r="CL190"/>
  <c r="CK190"/>
  <c r="CD190"/>
  <c r="BZ190"/>
  <c r="BI190"/>
  <c r="BP190"/>
  <c r="BM190"/>
  <c r="BU190"/>
  <c r="CM190"/>
  <c r="CH190"/>
  <c r="CN190"/>
  <c r="CI190"/>
  <c r="BN190"/>
  <c r="BS190"/>
  <c r="BH190"/>
  <c r="BO190"/>
  <c r="BL190"/>
  <c r="BT190"/>
  <c r="AZ190"/>
  <c r="AR190"/>
  <c r="AU190"/>
  <c r="AN190"/>
  <c r="BC190"/>
  <c r="AY190"/>
  <c r="AQ190"/>
  <c r="AT190"/>
  <c r="AM190"/>
  <c r="AH187"/>
  <c r="CO187"/>
  <c r="CG187"/>
  <c r="CJ187"/>
  <c r="CC187"/>
  <c r="CP187"/>
  <c r="CL187"/>
  <c r="CK187"/>
  <c r="CD187"/>
  <c r="BZ187"/>
  <c r="BG187"/>
  <c r="BN187"/>
  <c r="BK187"/>
  <c r="BS187"/>
  <c r="BW187"/>
  <c r="CQ187"/>
  <c r="CE187"/>
  <c r="CA187"/>
  <c r="CF187"/>
  <c r="CB187"/>
  <c r="BP187"/>
  <c r="BU187"/>
  <c r="BH187"/>
  <c r="BO187"/>
  <c r="BL187"/>
  <c r="BT187"/>
  <c r="AX187"/>
  <c r="AW187"/>
  <c r="AP187"/>
  <c r="AL187"/>
  <c r="BA187"/>
  <c r="AS187"/>
  <c r="AV187"/>
  <c r="AO187"/>
  <c r="AH184"/>
  <c r="CO184"/>
  <c r="CG184"/>
  <c r="CJ184"/>
  <c r="CC184"/>
  <c r="CP184"/>
  <c r="CL184"/>
  <c r="CK184"/>
  <c r="CD184"/>
  <c r="BZ184"/>
  <c r="BG184"/>
  <c r="BN184"/>
  <c r="BK184"/>
  <c r="BS184"/>
  <c r="BW184"/>
  <c r="CM184"/>
  <c r="CH184"/>
  <c r="CN184"/>
  <c r="CI184"/>
  <c r="BI184"/>
  <c r="BM184"/>
  <c r="BF184"/>
  <c r="BJ184"/>
  <c r="BQ184"/>
  <c r="BR184"/>
  <c r="BV184"/>
  <c r="AX184"/>
  <c r="AW184"/>
  <c r="AP184"/>
  <c r="AL184"/>
  <c r="BA184"/>
  <c r="AS184"/>
  <c r="AV184"/>
  <c r="AO184"/>
  <c r="AH182"/>
  <c r="CO182"/>
  <c r="CG182"/>
  <c r="CJ182"/>
  <c r="CC182"/>
  <c r="CP182"/>
  <c r="CL182"/>
  <c r="CK182"/>
  <c r="CD182"/>
  <c r="BZ182"/>
  <c r="BI182"/>
  <c r="BP182"/>
  <c r="BM182"/>
  <c r="BU182"/>
  <c r="CQ182"/>
  <c r="CE182"/>
  <c r="CA182"/>
  <c r="CF182"/>
  <c r="CB182"/>
  <c r="BN182"/>
  <c r="BS182"/>
  <c r="BF182"/>
  <c r="BJ182"/>
  <c r="BQ182"/>
  <c r="BR182"/>
  <c r="BV182"/>
  <c r="AZ182"/>
  <c r="AR182"/>
  <c r="AU182"/>
  <c r="AN182"/>
  <c r="BC182"/>
  <c r="AY182"/>
  <c r="AQ182"/>
  <c r="AT182"/>
  <c r="AM182"/>
  <c r="AH180"/>
  <c r="CO180"/>
  <c r="CG180"/>
  <c r="CJ180"/>
  <c r="CC180"/>
  <c r="CP180"/>
  <c r="CL180"/>
  <c r="CK180"/>
  <c r="CD180"/>
  <c r="BZ180"/>
  <c r="BG180"/>
  <c r="BN180"/>
  <c r="BK180"/>
  <c r="BS180"/>
  <c r="BW180"/>
  <c r="CM180"/>
  <c r="CH180"/>
  <c r="CN180"/>
  <c r="CI180"/>
  <c r="BP180"/>
  <c r="BU180"/>
  <c r="BF180"/>
  <c r="BJ180"/>
  <c r="BQ180"/>
  <c r="BR180"/>
  <c r="BV180"/>
  <c r="AZ180"/>
  <c r="AR180"/>
  <c r="AU180"/>
  <c r="AN180"/>
  <c r="BC180"/>
  <c r="AY180"/>
  <c r="AQ180"/>
  <c r="AT180"/>
  <c r="AM180"/>
  <c r="AH177"/>
  <c r="CO177"/>
  <c r="CG177"/>
  <c r="CJ177"/>
  <c r="CC177"/>
  <c r="CP177"/>
  <c r="CL177"/>
  <c r="CK177"/>
  <c r="CD177"/>
  <c r="BZ177"/>
  <c r="BI177"/>
  <c r="BP177"/>
  <c r="BM177"/>
  <c r="BU177"/>
  <c r="CQ177"/>
  <c r="CE177"/>
  <c r="CA177"/>
  <c r="CF177"/>
  <c r="CB177"/>
  <c r="BG177"/>
  <c r="BK177"/>
  <c r="BW177"/>
  <c r="BH177"/>
  <c r="BO177"/>
  <c r="BL177"/>
  <c r="BT177"/>
  <c r="AX177"/>
  <c r="AW177"/>
  <c r="AP177"/>
  <c r="AL177"/>
  <c r="BA177"/>
  <c r="AS177"/>
  <c r="AV177"/>
  <c r="AO177"/>
  <c r="AH175"/>
  <c r="CO175"/>
  <c r="CG175"/>
  <c r="CJ175"/>
  <c r="CC175"/>
  <c r="CP175"/>
  <c r="CL175"/>
  <c r="CK175"/>
  <c r="CD175"/>
  <c r="BZ175"/>
  <c r="BG175"/>
  <c r="BN175"/>
  <c r="BK175"/>
  <c r="BS175"/>
  <c r="BW175"/>
  <c r="CM175"/>
  <c r="CH175"/>
  <c r="CN175"/>
  <c r="CI175"/>
  <c r="BI175"/>
  <c r="BM175"/>
  <c r="BH175"/>
  <c r="BO175"/>
  <c r="BL175"/>
  <c r="BT175"/>
  <c r="AX175"/>
  <c r="AW175"/>
  <c r="AP175"/>
  <c r="AL175"/>
  <c r="BA175"/>
  <c r="AS175"/>
  <c r="AV175"/>
  <c r="AO175"/>
  <c r="AH173"/>
  <c r="CO173"/>
  <c r="CG173"/>
  <c r="CJ173"/>
  <c r="CC173"/>
  <c r="CP173"/>
  <c r="CL173"/>
  <c r="CK173"/>
  <c r="CD173"/>
  <c r="BZ173"/>
  <c r="BI173"/>
  <c r="BP173"/>
  <c r="BM173"/>
  <c r="BU173"/>
  <c r="CQ173"/>
  <c r="CE173"/>
  <c r="CA173"/>
  <c r="CF173"/>
  <c r="CB173"/>
  <c r="BN173"/>
  <c r="BS173"/>
  <c r="BH173"/>
  <c r="BO173"/>
  <c r="BL173"/>
  <c r="BT173"/>
  <c r="AZ173"/>
  <c r="AR173"/>
  <c r="AU173"/>
  <c r="AN173"/>
  <c r="BC173"/>
  <c r="AY173"/>
  <c r="AQ173"/>
  <c r="AT173"/>
  <c r="AM173"/>
  <c r="AH171"/>
  <c r="CO171"/>
  <c r="CG171"/>
  <c r="CJ171"/>
  <c r="CC171"/>
  <c r="CP171"/>
  <c r="CL171"/>
  <c r="CK171"/>
  <c r="CD171"/>
  <c r="BZ171"/>
  <c r="BG171"/>
  <c r="BN171"/>
  <c r="BK171"/>
  <c r="BS171"/>
  <c r="BW171"/>
  <c r="CM171"/>
  <c r="CH171"/>
  <c r="CN171"/>
  <c r="CI171"/>
  <c r="BP171"/>
  <c r="BU171"/>
  <c r="BH171"/>
  <c r="BO171"/>
  <c r="BL171"/>
  <c r="BT171"/>
  <c r="AZ171"/>
  <c r="AR171"/>
  <c r="AU171"/>
  <c r="AN171"/>
  <c r="BC171"/>
  <c r="AY171"/>
  <c r="AQ171"/>
  <c r="AT171"/>
  <c r="AM171"/>
  <c r="AH169"/>
  <c r="CO169"/>
  <c r="CG169"/>
  <c r="CJ169"/>
  <c r="CC169"/>
  <c r="CP169"/>
  <c r="CL169"/>
  <c r="CK169"/>
  <c r="CD169"/>
  <c r="BZ169"/>
  <c r="BI169"/>
  <c r="BP169"/>
  <c r="BM169"/>
  <c r="BU169"/>
  <c r="CQ169"/>
  <c r="CE169"/>
  <c r="CA169"/>
  <c r="CF169"/>
  <c r="CB169"/>
  <c r="BG169"/>
  <c r="BK169"/>
  <c r="BW169"/>
  <c r="BH169"/>
  <c r="BO169"/>
  <c r="BL169"/>
  <c r="BT169"/>
  <c r="AX169"/>
  <c r="AW169"/>
  <c r="AP169"/>
  <c r="AL169"/>
  <c r="BA169"/>
  <c r="AS169"/>
  <c r="AV169"/>
  <c r="AO169"/>
  <c r="AH167"/>
  <c r="CO167"/>
  <c r="CG167"/>
  <c r="CJ167"/>
  <c r="CC167"/>
  <c r="CP167"/>
  <c r="CL167"/>
  <c r="CK167"/>
  <c r="CD167"/>
  <c r="BZ167"/>
  <c r="BG167"/>
  <c r="BN167"/>
  <c r="BK167"/>
  <c r="BS167"/>
  <c r="BW167"/>
  <c r="CM167"/>
  <c r="CH167"/>
  <c r="CN167"/>
  <c r="CI167"/>
  <c r="BI167"/>
  <c r="BM167"/>
  <c r="BH167"/>
  <c r="BO167"/>
  <c r="BL167"/>
  <c r="BT167"/>
  <c r="AX167"/>
  <c r="AW167"/>
  <c r="AP167"/>
  <c r="AL167"/>
  <c r="BA167"/>
  <c r="AS167"/>
  <c r="AV167"/>
  <c r="AO167"/>
  <c r="AH165"/>
  <c r="CO165"/>
  <c r="CG165"/>
  <c r="CJ165"/>
  <c r="CC165"/>
  <c r="CP165"/>
  <c r="CL165"/>
  <c r="CK165"/>
  <c r="CD165"/>
  <c r="BZ165"/>
  <c r="BI165"/>
  <c r="BP165"/>
  <c r="BM165"/>
  <c r="BU165"/>
  <c r="CQ165"/>
  <c r="CE165"/>
  <c r="CA165"/>
  <c r="CF165"/>
  <c r="CB165"/>
  <c r="BN165"/>
  <c r="BS165"/>
  <c r="BH165"/>
  <c r="BO165"/>
  <c r="BL165"/>
  <c r="BT165"/>
  <c r="AZ165"/>
  <c r="AR165"/>
  <c r="AU165"/>
  <c r="AN165"/>
  <c r="BC165"/>
  <c r="AY165"/>
  <c r="AQ165"/>
  <c r="AT165"/>
  <c r="AM165"/>
  <c r="AH162"/>
  <c r="BG162"/>
  <c r="BN162"/>
  <c r="BK162"/>
  <c r="BS162"/>
  <c r="BI162"/>
  <c r="BM162"/>
  <c r="CQ162"/>
  <c r="CM162"/>
  <c r="CE162"/>
  <c r="CH162"/>
  <c r="CA162"/>
  <c r="CN162"/>
  <c r="CF162"/>
  <c r="CI162"/>
  <c r="CB162"/>
  <c r="BF162"/>
  <c r="BJ162"/>
  <c r="BQ162"/>
  <c r="BR162"/>
  <c r="BV162"/>
  <c r="AZ162"/>
  <c r="AR162"/>
  <c r="AU162"/>
  <c r="AN162"/>
  <c r="BC162"/>
  <c r="AY162"/>
  <c r="AQ162"/>
  <c r="AT162"/>
  <c r="AM162"/>
  <c r="AH160"/>
  <c r="BI160"/>
  <c r="BP160"/>
  <c r="BM160"/>
  <c r="BU160"/>
  <c r="BN160"/>
  <c r="BS160"/>
  <c r="CQ160"/>
  <c r="CM160"/>
  <c r="CE160"/>
  <c r="CH160"/>
  <c r="CA160"/>
  <c r="CN160"/>
  <c r="CF160"/>
  <c r="CI160"/>
  <c r="CB160"/>
  <c r="BF160"/>
  <c r="BJ160"/>
  <c r="BQ160"/>
  <c r="BR160"/>
  <c r="BV160"/>
  <c r="AX160"/>
  <c r="AW160"/>
  <c r="AP160"/>
  <c r="AL160"/>
  <c r="BA160"/>
  <c r="AS160"/>
  <c r="AV160"/>
  <c r="AO160"/>
  <c r="AH158"/>
  <c r="BG158"/>
  <c r="BN158"/>
  <c r="BK158"/>
  <c r="BS158"/>
  <c r="BI158"/>
  <c r="BM158"/>
  <c r="CQ158"/>
  <c r="CM158"/>
  <c r="CE158"/>
  <c r="CH158"/>
  <c r="CA158"/>
  <c r="CN158"/>
  <c r="CF158"/>
  <c r="CI158"/>
  <c r="CB158"/>
  <c r="BF158"/>
  <c r="BJ158"/>
  <c r="BQ158"/>
  <c r="BR158"/>
  <c r="BV158"/>
  <c r="AZ158"/>
  <c r="AR158"/>
  <c r="AU158"/>
  <c r="AN158"/>
  <c r="BC158"/>
  <c r="AY158"/>
  <c r="AQ158"/>
  <c r="AT158"/>
  <c r="AM158"/>
  <c r="AH156"/>
  <c r="BI156"/>
  <c r="BP156"/>
  <c r="BM156"/>
  <c r="BU156"/>
  <c r="BN156"/>
  <c r="BS156"/>
  <c r="CQ156"/>
  <c r="CM156"/>
  <c r="CE156"/>
  <c r="CH156"/>
  <c r="CA156"/>
  <c r="CN156"/>
  <c r="CF156"/>
  <c r="CI156"/>
  <c r="CB156"/>
  <c r="BF156"/>
  <c r="BJ156"/>
  <c r="BQ156"/>
  <c r="BR156"/>
  <c r="BV156"/>
  <c r="AX156"/>
  <c r="AW156"/>
  <c r="AP156"/>
  <c r="AL156"/>
  <c r="BA156"/>
  <c r="AS156"/>
  <c r="AV156"/>
  <c r="AO156"/>
  <c r="AH154"/>
  <c r="BG154"/>
  <c r="BN154"/>
  <c r="BK154"/>
  <c r="BS154"/>
  <c r="BI154"/>
  <c r="BM154"/>
  <c r="CQ154"/>
  <c r="CM154"/>
  <c r="CE154"/>
  <c r="CH154"/>
  <c r="CA154"/>
  <c r="CN154"/>
  <c r="CF154"/>
  <c r="CI154"/>
  <c r="CB154"/>
  <c r="BF154"/>
  <c r="BJ154"/>
  <c r="BQ154"/>
  <c r="BR154"/>
  <c r="BV154"/>
  <c r="AZ154"/>
  <c r="AR154"/>
  <c r="AU154"/>
  <c r="AN154"/>
  <c r="BC154"/>
  <c r="AY154"/>
  <c r="AQ154"/>
  <c r="AT154"/>
  <c r="AM154"/>
  <c r="AH142"/>
  <c r="CO142"/>
  <c r="CG142"/>
  <c r="CJ142"/>
  <c r="CC142"/>
  <c r="CP142"/>
  <c r="CL142"/>
  <c r="CK142"/>
  <c r="CD142"/>
  <c r="BZ142"/>
  <c r="BU142"/>
  <c r="BM142"/>
  <c r="BP142"/>
  <c r="BI142"/>
  <c r="BV142"/>
  <c r="BR142"/>
  <c r="BQ142"/>
  <c r="BJ142"/>
  <c r="BF142"/>
  <c r="AZ142"/>
  <c r="AR142"/>
  <c r="AU142"/>
  <c r="AN142"/>
  <c r="BC142"/>
  <c r="AY142"/>
  <c r="AQ142"/>
  <c r="AT142"/>
  <c r="AM142"/>
  <c r="AH139"/>
  <c r="CO139"/>
  <c r="CG139"/>
  <c r="CJ139"/>
  <c r="CC139"/>
  <c r="CP139"/>
  <c r="CL139"/>
  <c r="CK139"/>
  <c r="CD139"/>
  <c r="BZ139"/>
  <c r="BU139"/>
  <c r="BM139"/>
  <c r="BP139"/>
  <c r="BI139"/>
  <c r="BV139"/>
  <c r="BR139"/>
  <c r="BQ139"/>
  <c r="BJ139"/>
  <c r="BF139"/>
  <c r="AX139"/>
  <c r="AW139"/>
  <c r="AP139"/>
  <c r="AL139"/>
  <c r="BA139"/>
  <c r="AS139"/>
  <c r="AV139"/>
  <c r="AO139"/>
  <c r="AH137"/>
  <c r="CO137"/>
  <c r="CG137"/>
  <c r="CJ137"/>
  <c r="CC137"/>
  <c r="CP137"/>
  <c r="CL137"/>
  <c r="CK137"/>
  <c r="CD137"/>
  <c r="BZ137"/>
  <c r="BU137"/>
  <c r="BM137"/>
  <c r="BP137"/>
  <c r="BI137"/>
  <c r="BV137"/>
  <c r="BR137"/>
  <c r="BQ137"/>
  <c r="BJ137"/>
  <c r="BF137"/>
  <c r="AZ137"/>
  <c r="AR137"/>
  <c r="AU137"/>
  <c r="AN137"/>
  <c r="BC137"/>
  <c r="AY137"/>
  <c r="AQ137"/>
  <c r="AT137"/>
  <c r="AM137"/>
  <c r="AH134"/>
  <c r="CO134"/>
  <c r="CG134"/>
  <c r="CJ134"/>
  <c r="CC134"/>
  <c r="CP134"/>
  <c r="CL134"/>
  <c r="CK134"/>
  <c r="CD134"/>
  <c r="BZ134"/>
  <c r="BU134"/>
  <c r="BM134"/>
  <c r="BP134"/>
  <c r="BI134"/>
  <c r="BV134"/>
  <c r="BR134"/>
  <c r="BQ134"/>
  <c r="BJ134"/>
  <c r="BF134"/>
  <c r="AX134"/>
  <c r="AW134"/>
  <c r="AP134"/>
  <c r="AL134"/>
  <c r="BA134"/>
  <c r="AS134"/>
  <c r="AV134"/>
  <c r="AO134"/>
  <c r="AH132"/>
  <c r="CO132"/>
  <c r="CG132"/>
  <c r="CJ132"/>
  <c r="CC132"/>
  <c r="CP132"/>
  <c r="CL132"/>
  <c r="CK132"/>
  <c r="CD132"/>
  <c r="BZ132"/>
  <c r="BU132"/>
  <c r="BM132"/>
  <c r="BP132"/>
  <c r="BI132"/>
  <c r="BV132"/>
  <c r="BR132"/>
  <c r="BQ132"/>
  <c r="BJ132"/>
  <c r="BF132"/>
  <c r="AZ132"/>
  <c r="AR132"/>
  <c r="AU132"/>
  <c r="AN132"/>
  <c r="BC132"/>
  <c r="AY132"/>
  <c r="AQ132"/>
  <c r="AT132"/>
  <c r="AM132"/>
  <c r="AH129"/>
  <c r="CO129"/>
  <c r="CG129"/>
  <c r="CJ129"/>
  <c r="CC129"/>
  <c r="CP129"/>
  <c r="CL129"/>
  <c r="CK129"/>
  <c r="CD129"/>
  <c r="BZ129"/>
  <c r="BU129"/>
  <c r="BM129"/>
  <c r="BP129"/>
  <c r="BI129"/>
  <c r="BV129"/>
  <c r="BR129"/>
  <c r="BQ129"/>
  <c r="BJ129"/>
  <c r="BF129"/>
  <c r="AX129"/>
  <c r="AW129"/>
  <c r="AP129"/>
  <c r="AL129"/>
  <c r="BA129"/>
  <c r="AS129"/>
  <c r="AV129"/>
  <c r="AO129"/>
  <c r="AH126"/>
  <c r="CO126"/>
  <c r="CG126"/>
  <c r="CJ126"/>
  <c r="CC126"/>
  <c r="CP126"/>
  <c r="CL126"/>
  <c r="CK126"/>
  <c r="CD126"/>
  <c r="BZ126"/>
  <c r="BU126"/>
  <c r="BM126"/>
  <c r="BP126"/>
  <c r="BI126"/>
  <c r="BV126"/>
  <c r="BR126"/>
  <c r="BQ126"/>
  <c r="BJ126"/>
  <c r="BF126"/>
  <c r="AZ126"/>
  <c r="AR126"/>
  <c r="AU126"/>
  <c r="AN126"/>
  <c r="BC126"/>
  <c r="AY126"/>
  <c r="AQ126"/>
  <c r="AT126"/>
  <c r="AM126"/>
  <c r="AH123"/>
  <c r="CO123"/>
  <c r="CG123"/>
  <c r="CJ123"/>
  <c r="CC123"/>
  <c r="CP123"/>
  <c r="CL123"/>
  <c r="CK123"/>
  <c r="CD123"/>
  <c r="BZ123"/>
  <c r="BU123"/>
  <c r="BM123"/>
  <c r="BP123"/>
  <c r="BI123"/>
  <c r="BV123"/>
  <c r="BR123"/>
  <c r="BQ123"/>
  <c r="BJ123"/>
  <c r="BF123"/>
  <c r="AX123"/>
  <c r="AW123"/>
  <c r="AP123"/>
  <c r="AL123"/>
  <c r="BA123"/>
  <c r="AS123"/>
  <c r="AV123"/>
  <c r="AO123"/>
  <c r="AH121"/>
  <c r="CO121"/>
  <c r="CG121"/>
  <c r="CJ121"/>
  <c r="CC121"/>
  <c r="CP121"/>
  <c r="CL121"/>
  <c r="CK121"/>
  <c r="CD121"/>
  <c r="BZ121"/>
  <c r="BU121"/>
  <c r="BM121"/>
  <c r="BP121"/>
  <c r="BI121"/>
  <c r="BV121"/>
  <c r="BR121"/>
  <c r="BQ121"/>
  <c r="BJ121"/>
  <c r="BF121"/>
  <c r="AZ121"/>
  <c r="AR121"/>
  <c r="AU121"/>
  <c r="AN121"/>
  <c r="BC121"/>
  <c r="AY121"/>
  <c r="AQ121"/>
  <c r="AT121"/>
  <c r="AM121"/>
  <c r="AH118"/>
  <c r="CO118"/>
  <c r="CG118"/>
  <c r="CJ118"/>
  <c r="CC118"/>
  <c r="CP118"/>
  <c r="CL118"/>
  <c r="CK118"/>
  <c r="CD118"/>
  <c r="BZ118"/>
  <c r="BU118"/>
  <c r="BM118"/>
  <c r="BP118"/>
  <c r="BI118"/>
  <c r="BV118"/>
  <c r="BR118"/>
  <c r="BQ118"/>
  <c r="BJ118"/>
  <c r="BF118"/>
  <c r="AX118"/>
  <c r="AW118"/>
  <c r="AP118"/>
  <c r="AL118"/>
  <c r="AH114"/>
  <c r="CO114"/>
  <c r="CP114"/>
  <c r="CG114"/>
  <c r="CJ114"/>
  <c r="CC114"/>
  <c r="BW114"/>
  <c r="BS114"/>
  <c r="BK114"/>
  <c r="BN114"/>
  <c r="BG114"/>
  <c r="CF114"/>
  <c r="CI114"/>
  <c r="CB114"/>
  <c r="BV114"/>
  <c r="BR114"/>
  <c r="BQ114"/>
  <c r="BJ114"/>
  <c r="BF114"/>
  <c r="AH112"/>
  <c r="CO112"/>
  <c r="CG112"/>
  <c r="CJ112"/>
  <c r="CC112"/>
  <c r="BW112"/>
  <c r="BS112"/>
  <c r="BK112"/>
  <c r="BN112"/>
  <c r="BG112"/>
  <c r="CN112"/>
  <c r="CF112"/>
  <c r="CI112"/>
  <c r="CB112"/>
  <c r="BV112"/>
  <c r="BR112"/>
  <c r="BQ112"/>
  <c r="BJ112"/>
  <c r="BF112"/>
  <c r="AH110"/>
  <c r="CO110"/>
  <c r="CG110"/>
  <c r="CJ110"/>
  <c r="CC110"/>
  <c r="BW110"/>
  <c r="BS110"/>
  <c r="BK110"/>
  <c r="BN110"/>
  <c r="BG110"/>
  <c r="CN110"/>
  <c r="CF110"/>
  <c r="CI110"/>
  <c r="CB110"/>
  <c r="BV110"/>
  <c r="BR110"/>
  <c r="BQ110"/>
  <c r="BJ110"/>
  <c r="BF110"/>
  <c r="AH107"/>
  <c r="CO107"/>
  <c r="CG107"/>
  <c r="CJ107"/>
  <c r="CC107"/>
  <c r="BW107"/>
  <c r="BS107"/>
  <c r="BK107"/>
  <c r="CN107"/>
  <c r="CF107"/>
  <c r="CI107"/>
  <c r="CB107"/>
  <c r="BV107"/>
  <c r="BR107"/>
  <c r="BQ107"/>
  <c r="BJ107"/>
  <c r="BN107"/>
  <c r="BI107"/>
  <c r="AH105"/>
  <c r="CQ105"/>
  <c r="CM105"/>
  <c r="CE105"/>
  <c r="CH105"/>
  <c r="CA105"/>
  <c r="CN105"/>
  <c r="CF105"/>
  <c r="CI105"/>
  <c r="CB105"/>
  <c r="BG105"/>
  <c r="BN105"/>
  <c r="BK105"/>
  <c r="BS105"/>
  <c r="BW105"/>
  <c r="BH105"/>
  <c r="BO105"/>
  <c r="BL105"/>
  <c r="BT105"/>
  <c r="AH102"/>
  <c r="CQ102"/>
  <c r="CM102"/>
  <c r="CE102"/>
  <c r="CH102"/>
  <c r="CA102"/>
  <c r="CN102"/>
  <c r="CF102"/>
  <c r="CI102"/>
  <c r="CB102"/>
  <c r="BI102"/>
  <c r="BP102"/>
  <c r="BM102"/>
  <c r="BU102"/>
  <c r="BH102"/>
  <c r="BO102"/>
  <c r="BL102"/>
  <c r="BT102"/>
  <c r="AH100"/>
  <c r="CQ100"/>
  <c r="CM100"/>
  <c r="CE100"/>
  <c r="CH100"/>
  <c r="CA100"/>
  <c r="CN100"/>
  <c r="CF100"/>
  <c r="CI100"/>
  <c r="CB100"/>
  <c r="BG100"/>
  <c r="BN100"/>
  <c r="BK100"/>
  <c r="BS100"/>
  <c r="BW100"/>
  <c r="BH100"/>
  <c r="BO100"/>
  <c r="BL100"/>
  <c r="BT100"/>
  <c r="AH98"/>
  <c r="CQ98"/>
  <c r="CM98"/>
  <c r="CE98"/>
  <c r="CH98"/>
  <c r="CA98"/>
  <c r="CN98"/>
  <c r="CF98"/>
  <c r="CI98"/>
  <c r="CB98"/>
  <c r="BI98"/>
  <c r="BP98"/>
  <c r="BM98"/>
  <c r="BU98"/>
  <c r="BH98"/>
  <c r="BO98"/>
  <c r="BL98"/>
  <c r="BT98"/>
  <c r="AH96"/>
  <c r="CQ96"/>
  <c r="CM96"/>
  <c r="CE96"/>
  <c r="CH96"/>
  <c r="CA96"/>
  <c r="CN96"/>
  <c r="CF96"/>
  <c r="CI96"/>
  <c r="CB96"/>
  <c r="BG96"/>
  <c r="BN96"/>
  <c r="BK96"/>
  <c r="BS96"/>
  <c r="BW96"/>
  <c r="BH96"/>
  <c r="BO96"/>
  <c r="BL96"/>
  <c r="BT96"/>
  <c r="AH94"/>
  <c r="CQ94"/>
  <c r="CM94"/>
  <c r="CE94"/>
  <c r="CH94"/>
  <c r="CA94"/>
  <c r="CN94"/>
  <c r="CF94"/>
  <c r="CI94"/>
  <c r="CB94"/>
  <c r="BI94"/>
  <c r="BP94"/>
  <c r="BM94"/>
  <c r="BU94"/>
  <c r="BH94"/>
  <c r="BO94"/>
  <c r="BL94"/>
  <c r="BT94"/>
  <c r="AH92"/>
  <c r="CQ92"/>
  <c r="CM92"/>
  <c r="CE92"/>
  <c r="CH92"/>
  <c r="CA92"/>
  <c r="CN92"/>
  <c r="CF92"/>
  <c r="CI92"/>
  <c r="CB92"/>
  <c r="BG92"/>
  <c r="BN92"/>
  <c r="BK92"/>
  <c r="BS92"/>
  <c r="BW92"/>
  <c r="BH92"/>
  <c r="BO92"/>
  <c r="BL92"/>
  <c r="BT92"/>
  <c r="AH90"/>
  <c r="CQ90"/>
  <c r="CM90"/>
  <c r="CE90"/>
  <c r="CH90"/>
  <c r="CA90"/>
  <c r="CN90"/>
  <c r="CF90"/>
  <c r="CI90"/>
  <c r="CB90"/>
  <c r="BI90"/>
  <c r="BP90"/>
  <c r="BM90"/>
  <c r="BU90"/>
  <c r="BH90"/>
  <c r="BO90"/>
  <c r="BL90"/>
  <c r="BT90"/>
  <c r="AH88"/>
  <c r="CQ88"/>
  <c r="CM88"/>
  <c r="CE88"/>
  <c r="CH88"/>
  <c r="CA88"/>
  <c r="CN88"/>
  <c r="CF88"/>
  <c r="CI88"/>
  <c r="CB88"/>
  <c r="BG88"/>
  <c r="BN88"/>
  <c r="BK88"/>
  <c r="BS88"/>
  <c r="BW88"/>
  <c r="BH88"/>
  <c r="BO88"/>
  <c r="BL88"/>
  <c r="BT88"/>
  <c r="AH77"/>
  <c r="CN77"/>
  <c r="CF77"/>
  <c r="CI77"/>
  <c r="CB77"/>
  <c r="CQ77"/>
  <c r="CM77"/>
  <c r="CE77"/>
  <c r="CH77"/>
  <c r="CA77"/>
  <c r="BT77"/>
  <c r="BL77"/>
  <c r="BO77"/>
  <c r="BH77"/>
  <c r="BW77"/>
  <c r="BS77"/>
  <c r="BK77"/>
  <c r="BN77"/>
  <c r="BG77"/>
  <c r="CL77"/>
  <c r="CD77"/>
  <c r="CO77"/>
  <c r="CJ77"/>
  <c r="BV77"/>
  <c r="BQ77"/>
  <c r="BF77"/>
  <c r="BM77"/>
  <c r="BI77"/>
  <c r="CK77"/>
  <c r="CG77"/>
  <c r="BR77"/>
  <c r="BU77"/>
  <c r="BZ77"/>
  <c r="BJ77"/>
  <c r="CP77"/>
  <c r="BP77"/>
  <c r="AH75"/>
  <c r="CN75"/>
  <c r="CF75"/>
  <c r="CI75"/>
  <c r="CB75"/>
  <c r="CQ75"/>
  <c r="CM75"/>
  <c r="CE75"/>
  <c r="CH75"/>
  <c r="CA75"/>
  <c r="BT75"/>
  <c r="BL75"/>
  <c r="BO75"/>
  <c r="BH75"/>
  <c r="BW75"/>
  <c r="BS75"/>
  <c r="BK75"/>
  <c r="BN75"/>
  <c r="BG75"/>
  <c r="CL75"/>
  <c r="CD75"/>
  <c r="CO75"/>
  <c r="CJ75"/>
  <c r="BV75"/>
  <c r="BQ75"/>
  <c r="BF75"/>
  <c r="BM75"/>
  <c r="BI75"/>
  <c r="CP75"/>
  <c r="BZ75"/>
  <c r="CC75"/>
  <c r="BJ75"/>
  <c r="BP75"/>
  <c r="CK75"/>
  <c r="BR75"/>
  <c r="BU75"/>
  <c r="AH69"/>
  <c r="CN69"/>
  <c r="CF69"/>
  <c r="CI69"/>
  <c r="CB69"/>
  <c r="CQ69"/>
  <c r="CM69"/>
  <c r="CE69"/>
  <c r="CH69"/>
  <c r="CA69"/>
  <c r="BT69"/>
  <c r="BL69"/>
  <c r="BO69"/>
  <c r="BH69"/>
  <c r="BW69"/>
  <c r="BS69"/>
  <c r="BK69"/>
  <c r="BN69"/>
  <c r="BG69"/>
  <c r="CL69"/>
  <c r="CD69"/>
  <c r="CO69"/>
  <c r="CJ69"/>
  <c r="BV69"/>
  <c r="BQ69"/>
  <c r="BF69"/>
  <c r="BM69"/>
  <c r="BI69"/>
  <c r="CK69"/>
  <c r="CG69"/>
  <c r="BR69"/>
  <c r="BU69"/>
  <c r="CP69"/>
  <c r="CC69"/>
  <c r="BP69"/>
  <c r="BJ69"/>
  <c r="AH65"/>
  <c r="CN65"/>
  <c r="CF65"/>
  <c r="CI65"/>
  <c r="CB65"/>
  <c r="CQ65"/>
  <c r="CM65"/>
  <c r="CE65"/>
  <c r="CH65"/>
  <c r="CA65"/>
  <c r="BT65"/>
  <c r="BL65"/>
  <c r="CL65"/>
  <c r="CD65"/>
  <c r="CO65"/>
  <c r="CJ65"/>
  <c r="BV65"/>
  <c r="BQ65"/>
  <c r="BJ65"/>
  <c r="BF65"/>
  <c r="BU65"/>
  <c r="BM65"/>
  <c r="BP65"/>
  <c r="BI65"/>
  <c r="CP65"/>
  <c r="BZ65"/>
  <c r="CC65"/>
  <c r="BO65"/>
  <c r="BW65"/>
  <c r="BK65"/>
  <c r="BG65"/>
  <c r="CG65"/>
  <c r="BH65"/>
  <c r="BN65"/>
  <c r="BR65"/>
  <c r="AH60"/>
  <c r="AN60"/>
  <c r="AR60"/>
  <c r="CP60"/>
  <c r="CL60"/>
  <c r="CK60"/>
  <c r="CD60"/>
  <c r="BZ60"/>
  <c r="CO60"/>
  <c r="CG60"/>
  <c r="CJ60"/>
  <c r="CC60"/>
  <c r="BV60"/>
  <c r="BR60"/>
  <c r="BQ60"/>
  <c r="BJ60"/>
  <c r="BF60"/>
  <c r="BU60"/>
  <c r="BM60"/>
  <c r="BP60"/>
  <c r="BI60"/>
  <c r="AU60"/>
  <c r="CF60"/>
  <c r="CB60"/>
  <c r="CM60"/>
  <c r="CH60"/>
  <c r="BT60"/>
  <c r="BO60"/>
  <c r="BW60"/>
  <c r="BK60"/>
  <c r="BG60"/>
  <c r="AL60"/>
  <c r="AW60"/>
  <c r="CI60"/>
  <c r="CE60"/>
  <c r="BL60"/>
  <c r="BS60"/>
  <c r="AX60"/>
  <c r="CN60"/>
  <c r="CA60"/>
  <c r="BN60"/>
  <c r="AH58"/>
  <c r="AL58"/>
  <c r="AW58"/>
  <c r="AX58"/>
  <c r="CP58"/>
  <c r="CL58"/>
  <c r="CK58"/>
  <c r="CD58"/>
  <c r="BZ58"/>
  <c r="CO58"/>
  <c r="CG58"/>
  <c r="CJ58"/>
  <c r="CC58"/>
  <c r="BV58"/>
  <c r="BR58"/>
  <c r="BQ58"/>
  <c r="BJ58"/>
  <c r="BF58"/>
  <c r="BU58"/>
  <c r="BM58"/>
  <c r="BP58"/>
  <c r="BI58"/>
  <c r="CF58"/>
  <c r="CB58"/>
  <c r="CM58"/>
  <c r="CH58"/>
  <c r="BT58"/>
  <c r="BO58"/>
  <c r="BW58"/>
  <c r="BK58"/>
  <c r="BG58"/>
  <c r="AN58"/>
  <c r="AR58"/>
  <c r="CN58"/>
  <c r="CQ58"/>
  <c r="CA58"/>
  <c r="BH58"/>
  <c r="BN58"/>
  <c r="AZ58"/>
  <c r="AP58"/>
  <c r="CE58"/>
  <c r="BS58"/>
  <c r="AU58"/>
  <c r="AH55"/>
  <c r="AU55"/>
  <c r="AR55"/>
  <c r="CP55"/>
  <c r="CL55"/>
  <c r="CK55"/>
  <c r="CD55"/>
  <c r="BZ55"/>
  <c r="CO55"/>
  <c r="CG55"/>
  <c r="CJ55"/>
  <c r="CC55"/>
  <c r="BV55"/>
  <c r="BR55"/>
  <c r="BQ55"/>
  <c r="BJ55"/>
  <c r="BF55"/>
  <c r="BU55"/>
  <c r="BM55"/>
  <c r="BP55"/>
  <c r="BI55"/>
  <c r="AN55"/>
  <c r="CF55"/>
  <c r="CB55"/>
  <c r="CM55"/>
  <c r="CH55"/>
  <c r="BT55"/>
  <c r="BO55"/>
  <c r="BW55"/>
  <c r="BK55"/>
  <c r="BG55"/>
  <c r="AL55"/>
  <c r="AW55"/>
  <c r="CI55"/>
  <c r="CE55"/>
  <c r="BL55"/>
  <c r="BS55"/>
  <c r="AX55"/>
  <c r="CQ55"/>
  <c r="BH55"/>
  <c r="AH53"/>
  <c r="AP53"/>
  <c r="AX53"/>
  <c r="AW53"/>
  <c r="CP53"/>
  <c r="CL53"/>
  <c r="CK53"/>
  <c r="CD53"/>
  <c r="BZ53"/>
  <c r="CO53"/>
  <c r="CG53"/>
  <c r="CJ53"/>
  <c r="CC53"/>
  <c r="BV53"/>
  <c r="BR53"/>
  <c r="BQ53"/>
  <c r="BJ53"/>
  <c r="BF53"/>
  <c r="BU53"/>
  <c r="BM53"/>
  <c r="BP53"/>
  <c r="BI53"/>
  <c r="CF53"/>
  <c r="CB53"/>
  <c r="CM53"/>
  <c r="CH53"/>
  <c r="BT53"/>
  <c r="BO53"/>
  <c r="BW53"/>
  <c r="BK53"/>
  <c r="BG53"/>
  <c r="AN53"/>
  <c r="AR53"/>
  <c r="AL53"/>
  <c r="CN53"/>
  <c r="CQ53"/>
  <c r="CA53"/>
  <c r="BH53"/>
  <c r="BN53"/>
  <c r="AZ53"/>
  <c r="CI53"/>
  <c r="BL53"/>
  <c r="AU53"/>
  <c r="AH51"/>
  <c r="AN51"/>
  <c r="AR51"/>
  <c r="AU51"/>
  <c r="CP51"/>
  <c r="CL51"/>
  <c r="CK51"/>
  <c r="CD51"/>
  <c r="BZ51"/>
  <c r="CO51"/>
  <c r="CG51"/>
  <c r="CJ51"/>
  <c r="CC51"/>
  <c r="BV51"/>
  <c r="BR51"/>
  <c r="BQ51"/>
  <c r="BJ51"/>
  <c r="BF51"/>
  <c r="BU51"/>
  <c r="BM51"/>
  <c r="BP51"/>
  <c r="BI51"/>
  <c r="CF51"/>
  <c r="CB51"/>
  <c r="CM51"/>
  <c r="CH51"/>
  <c r="BT51"/>
  <c r="BO51"/>
  <c r="BW51"/>
  <c r="BK51"/>
  <c r="BG51"/>
  <c r="AL51"/>
  <c r="AW51"/>
  <c r="CI51"/>
  <c r="CE51"/>
  <c r="BL51"/>
  <c r="BS51"/>
  <c r="AX51"/>
  <c r="CN51"/>
  <c r="CA51"/>
  <c r="BN51"/>
  <c r="AH48"/>
  <c r="AL48"/>
  <c r="AW48"/>
  <c r="AP48"/>
  <c r="CP48"/>
  <c r="CL48"/>
  <c r="CK48"/>
  <c r="CD48"/>
  <c r="CQ48"/>
  <c r="CM48"/>
  <c r="CE48"/>
  <c r="CH48"/>
  <c r="CA48"/>
  <c r="BV48"/>
  <c r="BR48"/>
  <c r="BQ48"/>
  <c r="BJ48"/>
  <c r="BF48"/>
  <c r="BU48"/>
  <c r="BM48"/>
  <c r="BP48"/>
  <c r="BI48"/>
  <c r="AX48"/>
  <c r="CF48"/>
  <c r="CB48"/>
  <c r="CG48"/>
  <c r="CC48"/>
  <c r="BT48"/>
  <c r="BO48"/>
  <c r="BW48"/>
  <c r="BK48"/>
  <c r="BG48"/>
  <c r="AN48"/>
  <c r="AR48"/>
  <c r="CN48"/>
  <c r="CO48"/>
  <c r="BZ48"/>
  <c r="BH48"/>
  <c r="BN48"/>
  <c r="AZ48"/>
  <c r="CJ48"/>
  <c r="BS48"/>
  <c r="AU48"/>
  <c r="AH46"/>
  <c r="AU46"/>
  <c r="AN46"/>
  <c r="CP46"/>
  <c r="CL46"/>
  <c r="CK46"/>
  <c r="CD46"/>
  <c r="BZ46"/>
  <c r="CO46"/>
  <c r="CG46"/>
  <c r="CJ46"/>
  <c r="CC46"/>
  <c r="BV46"/>
  <c r="BR46"/>
  <c r="BQ46"/>
  <c r="BJ46"/>
  <c r="BF46"/>
  <c r="BU46"/>
  <c r="BM46"/>
  <c r="BP46"/>
  <c r="BI46"/>
  <c r="CF46"/>
  <c r="CB46"/>
  <c r="CM46"/>
  <c r="CH46"/>
  <c r="BT46"/>
  <c r="BO46"/>
  <c r="BW46"/>
  <c r="BK46"/>
  <c r="BG46"/>
  <c r="AL46"/>
  <c r="AW46"/>
  <c r="CI46"/>
  <c r="CE46"/>
  <c r="BL46"/>
  <c r="BS46"/>
  <c r="AX46"/>
  <c r="CQ46"/>
  <c r="BH46"/>
  <c r="AH43"/>
  <c r="AP43"/>
  <c r="AX43"/>
  <c r="AL43"/>
  <c r="CP43"/>
  <c r="AW43"/>
  <c r="CL43"/>
  <c r="CK43"/>
  <c r="CD43"/>
  <c r="BZ43"/>
  <c r="CO43"/>
  <c r="CG43"/>
  <c r="CJ43"/>
  <c r="CC43"/>
  <c r="BV43"/>
  <c r="BR43"/>
  <c r="BQ43"/>
  <c r="BJ43"/>
  <c r="BF43"/>
  <c r="BU43"/>
  <c r="BM43"/>
  <c r="BP43"/>
  <c r="BI43"/>
  <c r="AN43"/>
  <c r="AR43"/>
  <c r="CN43"/>
  <c r="CI43"/>
  <c r="CQ43"/>
  <c r="CE43"/>
  <c r="CA43"/>
  <c r="BL43"/>
  <c r="BH43"/>
  <c r="BS43"/>
  <c r="BN43"/>
  <c r="AZ43"/>
  <c r="CF43"/>
  <c r="CM43"/>
  <c r="BT43"/>
  <c r="BW43"/>
  <c r="BG43"/>
  <c r="AU43"/>
  <c r="AH41"/>
  <c r="AN41"/>
  <c r="AR41"/>
  <c r="CP41"/>
  <c r="CL41"/>
  <c r="CK41"/>
  <c r="CD41"/>
  <c r="BZ41"/>
  <c r="CO41"/>
  <c r="CG41"/>
  <c r="CJ41"/>
  <c r="CC41"/>
  <c r="BV41"/>
  <c r="BR41"/>
  <c r="BQ41"/>
  <c r="BJ41"/>
  <c r="BF41"/>
  <c r="BU41"/>
  <c r="BM41"/>
  <c r="BP41"/>
  <c r="BI41"/>
  <c r="AL41"/>
  <c r="AW41"/>
  <c r="AU41"/>
  <c r="CN41"/>
  <c r="CI41"/>
  <c r="CQ41"/>
  <c r="CE41"/>
  <c r="CA41"/>
  <c r="BL41"/>
  <c r="BH41"/>
  <c r="BS41"/>
  <c r="BN41"/>
  <c r="AX41"/>
  <c r="CB41"/>
  <c r="CH41"/>
  <c r="BO41"/>
  <c r="BK41"/>
  <c r="AH39"/>
  <c r="AL39"/>
  <c r="AW39"/>
  <c r="AX39"/>
  <c r="AP39"/>
  <c r="CP39"/>
  <c r="CL39"/>
  <c r="CK39"/>
  <c r="CD39"/>
  <c r="BZ39"/>
  <c r="CO39"/>
  <c r="CG39"/>
  <c r="CJ39"/>
  <c r="CC39"/>
  <c r="BV39"/>
  <c r="BR39"/>
  <c r="BQ39"/>
  <c r="BJ39"/>
  <c r="BF39"/>
  <c r="BU39"/>
  <c r="BM39"/>
  <c r="BP39"/>
  <c r="BI39"/>
  <c r="AN39"/>
  <c r="AR39"/>
  <c r="CN39"/>
  <c r="CI39"/>
  <c r="CQ39"/>
  <c r="CE39"/>
  <c r="CA39"/>
  <c r="BL39"/>
  <c r="BH39"/>
  <c r="BS39"/>
  <c r="BN39"/>
  <c r="AZ39"/>
  <c r="CF39"/>
  <c r="CM39"/>
  <c r="BT39"/>
  <c r="BW39"/>
  <c r="BG39"/>
  <c r="AU39"/>
  <c r="AH37"/>
  <c r="AU37"/>
  <c r="AR37"/>
  <c r="CP37"/>
  <c r="CL37"/>
  <c r="CK37"/>
  <c r="CD37"/>
  <c r="BZ37"/>
  <c r="CO37"/>
  <c r="CG37"/>
  <c r="CJ37"/>
  <c r="CC37"/>
  <c r="BV37"/>
  <c r="BR37"/>
  <c r="BQ37"/>
  <c r="BJ37"/>
  <c r="BF37"/>
  <c r="BU37"/>
  <c r="BM37"/>
  <c r="BP37"/>
  <c r="BI37"/>
  <c r="AL37"/>
  <c r="AW37"/>
  <c r="CN37"/>
  <c r="CI37"/>
  <c r="CQ37"/>
  <c r="CE37"/>
  <c r="CA37"/>
  <c r="BL37"/>
  <c r="BH37"/>
  <c r="BS37"/>
  <c r="BN37"/>
  <c r="AX37"/>
  <c r="AN37"/>
  <c r="CB37"/>
  <c r="CH37"/>
  <c r="BO37"/>
  <c r="BK37"/>
  <c r="AH35"/>
  <c r="AP35"/>
  <c r="AX35"/>
  <c r="AW35"/>
  <c r="AL35"/>
  <c r="CP35"/>
  <c r="CL35"/>
  <c r="CK35"/>
  <c r="CD35"/>
  <c r="BZ35"/>
  <c r="CO35"/>
  <c r="CG35"/>
  <c r="CJ35"/>
  <c r="CC35"/>
  <c r="BV35"/>
  <c r="BR35"/>
  <c r="BQ35"/>
  <c r="BJ35"/>
  <c r="BF35"/>
  <c r="BU35"/>
  <c r="BM35"/>
  <c r="BP35"/>
  <c r="BI35"/>
  <c r="AN35"/>
  <c r="AR35"/>
  <c r="CN35"/>
  <c r="CI35"/>
  <c r="CQ35"/>
  <c r="CE35"/>
  <c r="CA35"/>
  <c r="BL35"/>
  <c r="BH35"/>
  <c r="BS35"/>
  <c r="BN35"/>
  <c r="AZ35"/>
  <c r="CF35"/>
  <c r="CM35"/>
  <c r="BT35"/>
  <c r="BW35"/>
  <c r="BG35"/>
  <c r="AU35"/>
  <c r="AH33"/>
  <c r="AN33"/>
  <c r="AR33"/>
  <c r="AU33"/>
  <c r="CP33"/>
  <c r="CL33"/>
  <c r="CK33"/>
  <c r="CD33"/>
  <c r="BZ33"/>
  <c r="CO33"/>
  <c r="CG33"/>
  <c r="CJ33"/>
  <c r="CC33"/>
  <c r="BV33"/>
  <c r="BR33"/>
  <c r="BQ33"/>
  <c r="BJ33"/>
  <c r="BF33"/>
  <c r="BU33"/>
  <c r="BM33"/>
  <c r="BP33"/>
  <c r="BI33"/>
  <c r="AL33"/>
  <c r="AW33"/>
  <c r="CN33"/>
  <c r="CI33"/>
  <c r="CQ33"/>
  <c r="CE33"/>
  <c r="CA33"/>
  <c r="BL33"/>
  <c r="BH33"/>
  <c r="BS33"/>
  <c r="BN33"/>
  <c r="AX33"/>
  <c r="CB33"/>
  <c r="CH33"/>
  <c r="BO33"/>
  <c r="BK33"/>
  <c r="AH31"/>
  <c r="AL31"/>
  <c r="AW31"/>
  <c r="AP31"/>
  <c r="CP31"/>
  <c r="CL31"/>
  <c r="CK31"/>
  <c r="CD31"/>
  <c r="BZ31"/>
  <c r="CO31"/>
  <c r="CG31"/>
  <c r="CJ31"/>
  <c r="CC31"/>
  <c r="BV31"/>
  <c r="BR31"/>
  <c r="BQ31"/>
  <c r="BJ31"/>
  <c r="BF31"/>
  <c r="BU31"/>
  <c r="BM31"/>
  <c r="BP31"/>
  <c r="BI31"/>
  <c r="AN31"/>
  <c r="AR31"/>
  <c r="AX31"/>
  <c r="CN31"/>
  <c r="CI31"/>
  <c r="CQ31"/>
  <c r="CE31"/>
  <c r="CA31"/>
  <c r="BL31"/>
  <c r="BH31"/>
  <c r="BS31"/>
  <c r="BN31"/>
  <c r="AZ31"/>
  <c r="CF31"/>
  <c r="CM31"/>
  <c r="BT31"/>
  <c r="BW31"/>
  <c r="BG31"/>
  <c r="AU31"/>
  <c r="AH23"/>
  <c r="CP23"/>
  <c r="CL23"/>
  <c r="CK23"/>
  <c r="CD23"/>
  <c r="BZ23"/>
  <c r="CO23"/>
  <c r="CG23"/>
  <c r="CJ23"/>
  <c r="CC23"/>
  <c r="BV23"/>
  <c r="BR23"/>
  <c r="BQ23"/>
  <c r="BJ23"/>
  <c r="BU23"/>
  <c r="BM23"/>
  <c r="BP23"/>
  <c r="BI23"/>
  <c r="BF23"/>
  <c r="CN23"/>
  <c r="CI23"/>
  <c r="CQ23"/>
  <c r="CE23"/>
  <c r="CA23"/>
  <c r="BL23"/>
  <c r="BW23"/>
  <c r="BK23"/>
  <c r="BG23"/>
  <c r="CB23"/>
  <c r="CH23"/>
  <c r="BO23"/>
  <c r="BN23"/>
  <c r="BH23"/>
  <c r="CM23"/>
  <c r="BS23"/>
  <c r="BT23"/>
  <c r="BA23"/>
  <c r="AS23"/>
  <c r="AV23"/>
  <c r="AO23"/>
  <c r="AZ23"/>
  <c r="AR23"/>
  <c r="AU23"/>
  <c r="AN23"/>
  <c r="AH21"/>
  <c r="CP21"/>
  <c r="CL21"/>
  <c r="CK21"/>
  <c r="CD21"/>
  <c r="BZ21"/>
  <c r="CO21"/>
  <c r="CG21"/>
  <c r="CJ21"/>
  <c r="CC21"/>
  <c r="BH21"/>
  <c r="BO21"/>
  <c r="BL21"/>
  <c r="BT21"/>
  <c r="CF21"/>
  <c r="CB21"/>
  <c r="CM21"/>
  <c r="CH21"/>
  <c r="BF21"/>
  <c r="BQ21"/>
  <c r="BV21"/>
  <c r="CI21"/>
  <c r="CE21"/>
  <c r="BJ21"/>
  <c r="BG21"/>
  <c r="BN21"/>
  <c r="BK21"/>
  <c r="BS21"/>
  <c r="BW21"/>
  <c r="CQ21"/>
  <c r="BI21"/>
  <c r="BM21"/>
  <c r="CA21"/>
  <c r="BR21"/>
  <c r="BP21"/>
  <c r="BC21"/>
  <c r="AY21"/>
  <c r="AQ21"/>
  <c r="AT21"/>
  <c r="AM21"/>
  <c r="AX21"/>
  <c r="AW21"/>
  <c r="AP21"/>
  <c r="AL21"/>
  <c r="AH19"/>
  <c r="CP19"/>
  <c r="CL19"/>
  <c r="CK19"/>
  <c r="CD19"/>
  <c r="BZ19"/>
  <c r="CO19"/>
  <c r="CG19"/>
  <c r="CJ19"/>
  <c r="CC19"/>
  <c r="BF19"/>
  <c r="BJ19"/>
  <c r="BQ19"/>
  <c r="BR19"/>
  <c r="BV19"/>
  <c r="CN19"/>
  <c r="CI19"/>
  <c r="CQ19"/>
  <c r="CE19"/>
  <c r="CA19"/>
  <c r="BO19"/>
  <c r="BT19"/>
  <c r="CF19"/>
  <c r="CM19"/>
  <c r="BL19"/>
  <c r="BG19"/>
  <c r="BN19"/>
  <c r="BK19"/>
  <c r="BS19"/>
  <c r="BW19"/>
  <c r="CB19"/>
  <c r="BP19"/>
  <c r="BU19"/>
  <c r="BH19"/>
  <c r="BM19"/>
  <c r="BC19"/>
  <c r="AY19"/>
  <c r="AQ19"/>
  <c r="AT19"/>
  <c r="AM19"/>
  <c r="AX19"/>
  <c r="AW19"/>
  <c r="AP19"/>
  <c r="AL19"/>
  <c r="AH17"/>
  <c r="CP17"/>
  <c r="CL17"/>
  <c r="CQ17"/>
  <c r="CM17"/>
  <c r="CE17"/>
  <c r="CH17"/>
  <c r="CA17"/>
  <c r="CI17"/>
  <c r="CB17"/>
  <c r="BH17"/>
  <c r="BO17"/>
  <c r="BL17"/>
  <c r="BT17"/>
  <c r="CF17"/>
  <c r="CG17"/>
  <c r="CC17"/>
  <c r="CD17"/>
  <c r="BF17"/>
  <c r="BQ17"/>
  <c r="BV17"/>
  <c r="CN17"/>
  <c r="CJ17"/>
  <c r="BZ17"/>
  <c r="BJ17"/>
  <c r="BG17"/>
  <c r="BN17"/>
  <c r="BK17"/>
  <c r="BS17"/>
  <c r="BW17"/>
  <c r="CO17"/>
  <c r="BI17"/>
  <c r="BM17"/>
  <c r="CK17"/>
  <c r="BR17"/>
  <c r="BP17"/>
  <c r="BA17"/>
  <c r="AS17"/>
  <c r="AV17"/>
  <c r="AO17"/>
  <c r="AZ17"/>
  <c r="AR17"/>
  <c r="AU17"/>
  <c r="AN17"/>
  <c r="AH15"/>
  <c r="CQ15"/>
  <c r="CM15"/>
  <c r="CE15"/>
  <c r="CH15"/>
  <c r="CA15"/>
  <c r="CN15"/>
  <c r="CF15"/>
  <c r="CI15"/>
  <c r="CB15"/>
  <c r="BF15"/>
  <c r="BJ15"/>
  <c r="BQ15"/>
  <c r="BR15"/>
  <c r="BV15"/>
  <c r="CO15"/>
  <c r="CJ15"/>
  <c r="CP15"/>
  <c r="CK15"/>
  <c r="BZ15"/>
  <c r="BH15"/>
  <c r="BL15"/>
  <c r="CC15"/>
  <c r="CD15"/>
  <c r="BO15"/>
  <c r="BG15"/>
  <c r="BN15"/>
  <c r="BK15"/>
  <c r="BS15"/>
  <c r="BW15"/>
  <c r="CG15"/>
  <c r="BT15"/>
  <c r="BP15"/>
  <c r="BU15"/>
  <c r="BM15"/>
  <c r="BA15"/>
  <c r="AS15"/>
  <c r="AV15"/>
  <c r="AO15"/>
  <c r="AZ15"/>
  <c r="AR15"/>
  <c r="AU15"/>
  <c r="AN15"/>
  <c r="AH13"/>
  <c r="CQ13"/>
  <c r="CM13"/>
  <c r="CE13"/>
  <c r="CH13"/>
  <c r="CA13"/>
  <c r="CN13"/>
  <c r="CF13"/>
  <c r="CI13"/>
  <c r="CB13"/>
  <c r="BH13"/>
  <c r="BO13"/>
  <c r="BL13"/>
  <c r="BT13"/>
  <c r="CG13"/>
  <c r="CC13"/>
  <c r="CL13"/>
  <c r="CD13"/>
  <c r="BJ13"/>
  <c r="BR13"/>
  <c r="CJ13"/>
  <c r="CK13"/>
  <c r="BQ13"/>
  <c r="BG13"/>
  <c r="BN13"/>
  <c r="BK13"/>
  <c r="BS13"/>
  <c r="BW13"/>
  <c r="CO13"/>
  <c r="BZ13"/>
  <c r="BF13"/>
  <c r="BI13"/>
  <c r="BM13"/>
  <c r="CP13"/>
  <c r="BU13"/>
  <c r="BC13"/>
  <c r="AY13"/>
  <c r="AQ13"/>
  <c r="AT13"/>
  <c r="AM13"/>
  <c r="AX13"/>
  <c r="AW13"/>
  <c r="AP13"/>
  <c r="AL13"/>
  <c r="AH11"/>
  <c r="CQ11"/>
  <c r="CM11"/>
  <c r="CE11"/>
  <c r="CH11"/>
  <c r="CA11"/>
  <c r="CN11"/>
  <c r="CF11"/>
  <c r="CI11"/>
  <c r="CB11"/>
  <c r="BF11"/>
  <c r="BJ11"/>
  <c r="BQ11"/>
  <c r="BR11"/>
  <c r="BV11"/>
  <c r="CO11"/>
  <c r="CJ11"/>
  <c r="CP11"/>
  <c r="CK11"/>
  <c r="BZ11"/>
  <c r="BO11"/>
  <c r="BT11"/>
  <c r="CG11"/>
  <c r="CL11"/>
  <c r="BL11"/>
  <c r="BG11"/>
  <c r="BN11"/>
  <c r="BK11"/>
  <c r="BS11"/>
  <c r="BW11"/>
  <c r="CD11"/>
  <c r="BP11"/>
  <c r="BU11"/>
  <c r="BI11"/>
  <c r="BC11"/>
  <c r="AY11"/>
  <c r="AQ11"/>
  <c r="AT11"/>
  <c r="AM11"/>
  <c r="AX11"/>
  <c r="AW11"/>
  <c r="AP11"/>
  <c r="AL11"/>
  <c r="AH9"/>
  <c r="CQ9"/>
  <c r="CM9"/>
  <c r="CE9"/>
  <c r="CH9"/>
  <c r="CA9"/>
  <c r="CN9"/>
  <c r="CF9"/>
  <c r="CI9"/>
  <c r="CB9"/>
  <c r="BH9"/>
  <c r="BO9"/>
  <c r="BL9"/>
  <c r="BT9"/>
  <c r="CG9"/>
  <c r="CC9"/>
  <c r="CL9"/>
  <c r="CD9"/>
  <c r="BF9"/>
  <c r="BQ9"/>
  <c r="BV9"/>
  <c r="CO9"/>
  <c r="CP9"/>
  <c r="BZ9"/>
  <c r="BR9"/>
  <c r="BG9"/>
  <c r="BN9"/>
  <c r="BK9"/>
  <c r="BS9"/>
  <c r="BW9"/>
  <c r="CK9"/>
  <c r="BJ9"/>
  <c r="BP9"/>
  <c r="BU9"/>
  <c r="CJ9"/>
  <c r="BI9"/>
  <c r="BA9"/>
  <c r="AS9"/>
  <c r="AV9"/>
  <c r="AO9"/>
  <c r="AZ9"/>
  <c r="AR9"/>
  <c r="AU9"/>
  <c r="AN9"/>
  <c r="AH27"/>
  <c r="CP27"/>
  <c r="CL27"/>
  <c r="CK27"/>
  <c r="CD27"/>
  <c r="BZ27"/>
  <c r="CO27"/>
  <c r="CG27"/>
  <c r="CJ27"/>
  <c r="CC27"/>
  <c r="BV27"/>
  <c r="BR27"/>
  <c r="BQ27"/>
  <c r="BJ27"/>
  <c r="BF27"/>
  <c r="BU27"/>
  <c r="BM27"/>
  <c r="BP27"/>
  <c r="BI27"/>
  <c r="CN27"/>
  <c r="CI27"/>
  <c r="CQ27"/>
  <c r="CE27"/>
  <c r="CA27"/>
  <c r="BL27"/>
  <c r="BH27"/>
  <c r="BS27"/>
  <c r="BN27"/>
  <c r="CB27"/>
  <c r="CH27"/>
  <c r="BO27"/>
  <c r="BK27"/>
  <c r="CM27"/>
  <c r="BW27"/>
  <c r="BT27"/>
  <c r="BA27"/>
  <c r="AS27"/>
  <c r="AV27"/>
  <c r="AO27"/>
  <c r="AZ27"/>
  <c r="AR27"/>
  <c r="AU27"/>
  <c r="AN27"/>
  <c r="AH29"/>
  <c r="CP29"/>
  <c r="CL29"/>
  <c r="CK29"/>
  <c r="CD29"/>
  <c r="BZ29"/>
  <c r="CO29"/>
  <c r="CG29"/>
  <c r="CJ29"/>
  <c r="CC29"/>
  <c r="BV29"/>
  <c r="BR29"/>
  <c r="BQ29"/>
  <c r="BJ29"/>
  <c r="BF29"/>
  <c r="BU29"/>
  <c r="BM29"/>
  <c r="BP29"/>
  <c r="BI29"/>
  <c r="CN29"/>
  <c r="CI29"/>
  <c r="CQ29"/>
  <c r="CE29"/>
  <c r="CA29"/>
  <c r="BL29"/>
  <c r="BH29"/>
  <c r="BS29"/>
  <c r="BN29"/>
  <c r="CF29"/>
  <c r="CM29"/>
  <c r="BT29"/>
  <c r="BW29"/>
  <c r="BG29"/>
  <c r="CB29"/>
  <c r="BO29"/>
  <c r="CH29"/>
  <c r="BC29"/>
  <c r="AY29"/>
  <c r="AQ29"/>
  <c r="AT29"/>
  <c r="AM29"/>
  <c r="AX29"/>
  <c r="AW29"/>
  <c r="AP29"/>
  <c r="AL29"/>
  <c r="AH186"/>
  <c r="CO186"/>
  <c r="CG186"/>
  <c r="CJ186"/>
  <c r="CC186"/>
  <c r="CP186"/>
  <c r="CL186"/>
  <c r="CK186"/>
  <c r="CD186"/>
  <c r="BZ186"/>
  <c r="BI186"/>
  <c r="BP186"/>
  <c r="BM186"/>
  <c r="BU186"/>
  <c r="CM186"/>
  <c r="CH186"/>
  <c r="CN186"/>
  <c r="CI186"/>
  <c r="BG186"/>
  <c r="BK186"/>
  <c r="BW186"/>
  <c r="BF186"/>
  <c r="BJ186"/>
  <c r="BQ186"/>
  <c r="BR186"/>
  <c r="BV186"/>
  <c r="AZ186"/>
  <c r="AR186"/>
  <c r="AU186"/>
  <c r="AN186"/>
  <c r="BC186"/>
  <c r="AY186"/>
  <c r="AQ186"/>
  <c r="AT186"/>
  <c r="AM186"/>
  <c r="AH201"/>
  <c r="CO201"/>
  <c r="CG201"/>
  <c r="CJ201"/>
  <c r="CC201"/>
  <c r="CP201"/>
  <c r="CL201"/>
  <c r="CK201"/>
  <c r="CD201"/>
  <c r="BZ201"/>
  <c r="BG201"/>
  <c r="BN201"/>
  <c r="BK201"/>
  <c r="BS201"/>
  <c r="BW201"/>
  <c r="CQ201"/>
  <c r="CE201"/>
  <c r="CA201"/>
  <c r="CF201"/>
  <c r="CB201"/>
  <c r="BI201"/>
  <c r="BM201"/>
  <c r="BF201"/>
  <c r="BJ201"/>
  <c r="BQ201"/>
  <c r="BR201"/>
  <c r="BV201"/>
  <c r="AX201"/>
  <c r="AW201"/>
  <c r="AP201"/>
  <c r="AL201"/>
  <c r="BA201"/>
  <c r="AS201"/>
  <c r="AV201"/>
  <c r="AO201"/>
  <c r="CK309"/>
  <c r="AA64"/>
  <c r="AM64"/>
  <c r="AZ64"/>
  <c r="BR64"/>
  <c r="CK64"/>
  <c r="R67"/>
  <c r="AI67"/>
  <c r="AR67"/>
  <c r="AF64"/>
  <c r="AE64"/>
  <c r="AQ64"/>
  <c r="AU64"/>
  <c r="BP64"/>
  <c r="BJ64"/>
  <c r="CC64"/>
  <c r="BZ64"/>
  <c r="CP64"/>
  <c r="CH67"/>
  <c r="AC67"/>
  <c r="W67"/>
  <c r="AT67"/>
  <c r="AN67"/>
  <c r="BO67"/>
  <c r="BK67"/>
  <c r="CF67"/>
  <c r="BB115"/>
  <c r="BB209"/>
  <c r="BB203"/>
  <c r="BB136"/>
  <c r="BB299"/>
  <c r="BB311"/>
  <c r="BB309"/>
  <c r="BB307"/>
  <c r="BB303"/>
  <c r="BB301"/>
  <c r="BB298"/>
  <c r="BB295"/>
  <c r="BB293"/>
  <c r="BB291"/>
  <c r="BB289"/>
  <c r="BB287"/>
  <c r="BB285"/>
  <c r="BB283"/>
  <c r="BB281"/>
  <c r="BB279"/>
  <c r="BB277"/>
  <c r="BB275"/>
  <c r="BB273"/>
  <c r="BB271"/>
  <c r="BB269"/>
  <c r="BB267"/>
  <c r="BB265"/>
  <c r="BB263"/>
  <c r="BB261"/>
  <c r="BB258"/>
  <c r="BB256"/>
  <c r="BB253"/>
  <c r="BB251"/>
  <c r="BB249"/>
  <c r="BB247"/>
  <c r="BB243"/>
  <c r="BB241"/>
  <c r="BB239"/>
  <c r="BB237"/>
  <c r="BB235"/>
  <c r="BB233"/>
  <c r="BB231"/>
  <c r="BB229"/>
  <c r="BB227"/>
  <c r="BB225"/>
  <c r="BB223"/>
  <c r="BB221"/>
  <c r="BB218"/>
  <c r="BB216"/>
  <c r="BB213"/>
  <c r="BB211"/>
  <c r="BB207"/>
  <c r="BB205"/>
  <c r="BB202"/>
  <c r="BB198"/>
  <c r="BB196"/>
  <c r="BB194"/>
  <c r="BB192"/>
  <c r="BB190"/>
  <c r="BB187"/>
  <c r="BB184"/>
  <c r="BB182"/>
  <c r="BB180"/>
  <c r="BB177"/>
  <c r="BB175"/>
  <c r="BB173"/>
  <c r="BB171"/>
  <c r="BB169"/>
  <c r="BB167"/>
  <c r="BB165"/>
  <c r="BB142"/>
  <c r="BB139"/>
  <c r="BB137"/>
  <c r="BB134"/>
  <c r="BB132"/>
  <c r="BB129"/>
  <c r="BB126"/>
  <c r="BB123"/>
  <c r="BB121"/>
  <c r="BB118"/>
  <c r="BB114"/>
  <c r="BB112"/>
  <c r="BB110"/>
  <c r="BB107"/>
  <c r="BB105"/>
  <c r="BB102"/>
  <c r="BB100"/>
  <c r="BB98"/>
  <c r="BB96"/>
  <c r="BB94"/>
  <c r="BB92"/>
  <c r="BB90"/>
  <c r="BB88"/>
  <c r="BB77"/>
  <c r="BB75"/>
  <c r="BB69"/>
  <c r="BB65"/>
  <c r="BB58"/>
  <c r="BB53"/>
  <c r="BB48"/>
  <c r="BB43"/>
  <c r="BB39"/>
  <c r="BB35"/>
  <c r="BB31"/>
  <c r="BB23"/>
  <c r="BB21"/>
  <c r="BB19"/>
  <c r="BB17"/>
  <c r="BB15"/>
  <c r="BB13"/>
  <c r="BB11"/>
  <c r="BB9"/>
  <c r="BB27"/>
  <c r="BB29"/>
  <c r="BB186"/>
  <c r="BB201"/>
  <c r="BB63"/>
  <c r="BB246"/>
  <c r="BB219"/>
  <c r="BB189"/>
  <c r="BB244"/>
  <c r="BB62"/>
  <c r="BB116"/>
  <c r="BB131"/>
  <c r="BB66"/>
  <c r="BB310"/>
  <c r="BB308"/>
  <c r="BB305"/>
  <c r="BB302"/>
  <c r="BB300"/>
  <c r="BB296"/>
  <c r="BB294"/>
  <c r="BB292"/>
  <c r="BB290"/>
  <c r="BB288"/>
  <c r="BB286"/>
  <c r="BB284"/>
  <c r="BB282"/>
  <c r="BB280"/>
  <c r="BB278"/>
  <c r="BB276"/>
  <c r="BB274"/>
  <c r="BB272"/>
  <c r="BB270"/>
  <c r="BB268"/>
  <c r="BB161"/>
  <c r="BB159"/>
  <c r="BB157"/>
  <c r="BB155"/>
  <c r="BB153"/>
  <c r="BB144"/>
  <c r="BB140"/>
  <c r="BB138"/>
  <c r="BB135"/>
  <c r="BB133"/>
  <c r="BB130"/>
  <c r="BB127"/>
  <c r="BB124"/>
  <c r="BB122"/>
  <c r="BB119"/>
  <c r="BB117"/>
  <c r="BB113"/>
  <c r="BB111"/>
  <c r="BB108"/>
  <c r="BB78"/>
  <c r="BB76"/>
  <c r="BB70"/>
  <c r="BB68"/>
  <c r="BB61"/>
  <c r="BB59"/>
  <c r="BB56"/>
  <c r="BB54"/>
  <c r="BB52"/>
  <c r="BB49"/>
  <c r="BB47"/>
  <c r="BB45"/>
  <c r="BB42"/>
  <c r="BB40"/>
  <c r="BB38"/>
  <c r="BB36"/>
  <c r="BB34"/>
  <c r="BB32"/>
  <c r="BB26"/>
  <c r="AA115"/>
  <c r="AF115"/>
  <c r="AB115"/>
  <c r="AG115"/>
  <c r="V67"/>
  <c r="AD67"/>
  <c r="Z67"/>
  <c r="AE67"/>
  <c r="AO115"/>
  <c r="AS115"/>
  <c r="AL115"/>
  <c r="AW115"/>
  <c r="AM67"/>
  <c r="AQ67"/>
  <c r="BC67"/>
  <c r="AU67"/>
  <c r="AZ67"/>
  <c r="BF115"/>
  <c r="BQ115"/>
  <c r="BV115"/>
  <c r="BP115"/>
  <c r="BU115"/>
  <c r="CD115"/>
  <c r="CL115"/>
  <c r="CC115"/>
  <c r="CG115"/>
  <c r="BG67"/>
  <c r="BW67"/>
  <c r="BT67"/>
  <c r="CB67"/>
  <c r="BG209"/>
  <c r="BN209"/>
  <c r="BK209"/>
  <c r="BS209"/>
  <c r="BW209"/>
  <c r="BH209"/>
  <c r="BO209"/>
  <c r="BL209"/>
  <c r="BT209"/>
  <c r="BZ209"/>
  <c r="CD209"/>
  <c r="CK209"/>
  <c r="CL209"/>
  <c r="CP209"/>
  <c r="CC209"/>
  <c r="CJ209"/>
  <c r="CG209"/>
  <c r="CO209"/>
  <c r="J320"/>
  <c r="R115"/>
  <c r="V115"/>
  <c r="AC115"/>
  <c r="AD115"/>
  <c r="S115"/>
  <c r="Z115"/>
  <c r="W115"/>
  <c r="AE115"/>
  <c r="AI115"/>
  <c r="T67"/>
  <c r="AA67"/>
  <c r="X67"/>
  <c r="AF67"/>
  <c r="U67"/>
  <c r="AB67"/>
  <c r="Y67"/>
  <c r="AG67"/>
  <c r="AM115"/>
  <c r="AT115"/>
  <c r="AQ115"/>
  <c r="AY115"/>
  <c r="BC115"/>
  <c r="AN115"/>
  <c r="AU115"/>
  <c r="AR115"/>
  <c r="AZ115"/>
  <c r="AO67"/>
  <c r="AV67"/>
  <c r="AS67"/>
  <c r="BA67"/>
  <c r="AL67"/>
  <c r="AP67"/>
  <c r="AW67"/>
  <c r="AX67"/>
  <c r="BH115"/>
  <c r="BO115"/>
  <c r="BL115"/>
  <c r="BT115"/>
  <c r="BG115"/>
  <c r="BN115"/>
  <c r="BK115"/>
  <c r="BS115"/>
  <c r="BW115"/>
  <c r="CB115"/>
  <c r="CI115"/>
  <c r="CF115"/>
  <c r="CN115"/>
  <c r="CA115"/>
  <c r="CH115"/>
  <c r="CE115"/>
  <c r="CM115"/>
  <c r="CQ115"/>
  <c r="BN67"/>
  <c r="BS67"/>
  <c r="BH67"/>
  <c r="BL67"/>
  <c r="CA67"/>
  <c r="CM67"/>
  <c r="BB64"/>
  <c r="CN64"/>
  <c r="CF64"/>
  <c r="CI64"/>
  <c r="CB64"/>
  <c r="CQ64"/>
  <c r="CM64"/>
  <c r="CE64"/>
  <c r="CH64"/>
  <c r="CA64"/>
  <c r="BT64"/>
  <c r="BL64"/>
  <c r="BO64"/>
  <c r="BH64"/>
  <c r="BW64"/>
  <c r="BS64"/>
  <c r="BK64"/>
  <c r="BN64"/>
  <c r="BG64"/>
  <c r="AX64"/>
  <c r="AW64"/>
  <c r="AP64"/>
  <c r="AL64"/>
  <c r="BA64"/>
  <c r="AS64"/>
  <c r="AV64"/>
  <c r="AO64"/>
  <c r="J319"/>
  <c r="Q64" s="1"/>
  <c r="AG64"/>
  <c r="Y64"/>
  <c r="AB64"/>
  <c r="U64"/>
  <c r="AD64"/>
  <c r="AC64"/>
  <c r="V64"/>
  <c r="R64"/>
  <c r="T64"/>
  <c r="X64"/>
  <c r="S64"/>
  <c r="W64"/>
  <c r="AI64"/>
  <c r="AT64"/>
  <c r="AY64"/>
  <c r="AN64"/>
  <c r="AR64"/>
  <c r="BI64"/>
  <c r="BM64"/>
  <c r="BF64"/>
  <c r="BQ64"/>
  <c r="BV64"/>
  <c r="CJ64"/>
  <c r="CO64"/>
  <c r="CD64"/>
  <c r="CL64"/>
  <c r="CP67"/>
  <c r="BB67"/>
  <c r="BW162"/>
  <c r="BB162"/>
  <c r="BW160"/>
  <c r="BB160"/>
  <c r="BW158"/>
  <c r="BB158"/>
  <c r="BW156"/>
  <c r="BB156"/>
  <c r="BW154"/>
  <c r="BB154"/>
  <c r="AZ60"/>
  <c r="BB60"/>
  <c r="AZ55"/>
  <c r="BB55"/>
  <c r="AZ51"/>
  <c r="BB51"/>
  <c r="AZ46"/>
  <c r="BB46"/>
  <c r="AZ41"/>
  <c r="BB41"/>
  <c r="AZ37"/>
  <c r="BB37"/>
  <c r="AZ33"/>
  <c r="BB33"/>
  <c r="BU266"/>
  <c r="BB266"/>
  <c r="BW264"/>
  <c r="BB264"/>
  <c r="BW262"/>
  <c r="BB262"/>
  <c r="BW260"/>
  <c r="BB260"/>
  <c r="BW257"/>
  <c r="BB257"/>
  <c r="BW254"/>
  <c r="BB254"/>
  <c r="BW252"/>
  <c r="BB252"/>
  <c r="BW250"/>
  <c r="BB250"/>
  <c r="BW248"/>
  <c r="BB248"/>
  <c r="BW245"/>
  <c r="BB245"/>
  <c r="BW242"/>
  <c r="BB242"/>
  <c r="BW240"/>
  <c r="BB240"/>
  <c r="BW236"/>
  <c r="BB236"/>
  <c r="BW234"/>
  <c r="BB234"/>
  <c r="BW232"/>
  <c r="BB232"/>
  <c r="BW230"/>
  <c r="BB230"/>
  <c r="BW228"/>
  <c r="BB228"/>
  <c r="BW224"/>
  <c r="BB224"/>
  <c r="BW222"/>
  <c r="BB222"/>
  <c r="BW220"/>
  <c r="BB220"/>
  <c r="BW217"/>
  <c r="BB217"/>
  <c r="BW215"/>
  <c r="BB215"/>
  <c r="BW212"/>
  <c r="BB212"/>
  <c r="BW208"/>
  <c r="BB208"/>
  <c r="BW206"/>
  <c r="BB206"/>
  <c r="BW204"/>
  <c r="BB204"/>
  <c r="BW199"/>
  <c r="BB199"/>
  <c r="BW197"/>
  <c r="BB197"/>
  <c r="BW195"/>
  <c r="BB195"/>
  <c r="BW193"/>
  <c r="BB193"/>
  <c r="BW191"/>
  <c r="BB191"/>
  <c r="BW188"/>
  <c r="BB188"/>
  <c r="BW185"/>
  <c r="BB185"/>
  <c r="BW183"/>
  <c r="BB183"/>
  <c r="BW181"/>
  <c r="BB181"/>
  <c r="BW178"/>
  <c r="BB178"/>
  <c r="BW176"/>
  <c r="BB176"/>
  <c r="BW174"/>
  <c r="BB174"/>
  <c r="BW172"/>
  <c r="BB172"/>
  <c r="BW170"/>
  <c r="BB170"/>
  <c r="BW168"/>
  <c r="BB168"/>
  <c r="BW166"/>
  <c r="BB166"/>
  <c r="BW164"/>
  <c r="BB164"/>
  <c r="BW106"/>
  <c r="BB106"/>
  <c r="BW103"/>
  <c r="BB103"/>
  <c r="BW101"/>
  <c r="BB101"/>
  <c r="BW99"/>
  <c r="BB99"/>
  <c r="BW97"/>
  <c r="BB97"/>
  <c r="BW95"/>
  <c r="BB95"/>
  <c r="BW93"/>
  <c r="BB93"/>
  <c r="BW91"/>
  <c r="BB91"/>
  <c r="BW89"/>
  <c r="BB89"/>
  <c r="BB146" s="1"/>
  <c r="AZ24"/>
  <c r="BB24"/>
  <c r="BV22"/>
  <c r="BB22"/>
  <c r="BV20"/>
  <c r="BB20"/>
  <c r="BV18"/>
  <c r="BB18"/>
  <c r="BV16"/>
  <c r="BB16"/>
  <c r="BV14"/>
  <c r="BB14"/>
  <c r="BV12"/>
  <c r="BB12"/>
  <c r="BV10"/>
  <c r="BB10"/>
  <c r="AZ28"/>
  <c r="BB28"/>
  <c r="BW179"/>
  <c r="BB179"/>
  <c r="BW200"/>
  <c r="BB200"/>
  <c r="BW214"/>
  <c r="BB214"/>
  <c r="BI67"/>
  <c r="BP67"/>
  <c r="BM67"/>
  <c r="BU67"/>
  <c r="BF67"/>
  <c r="BJ67"/>
  <c r="BQ67"/>
  <c r="BR67"/>
  <c r="BV67"/>
  <c r="CC67"/>
  <c r="CE67"/>
  <c r="CQ67"/>
  <c r="CI67"/>
  <c r="CN67"/>
  <c r="AB33" i="24"/>
  <c r="Y33"/>
  <c r="AE33"/>
  <c r="AE31"/>
  <c r="AB31"/>
  <c r="Y31"/>
  <c r="AE34"/>
  <c r="AB34"/>
  <c r="Y34"/>
  <c r="BF10" i="14"/>
  <c r="BF12" s="1"/>
  <c r="BB23" i="5"/>
  <c r="BB24" s="1"/>
  <c r="BB38" s="1"/>
  <c r="AK19"/>
  <c r="AO19"/>
  <c r="AU19"/>
  <c r="AU25" s="1"/>
  <c r="AY19"/>
  <c r="BC19"/>
  <c r="BC25" s="1"/>
  <c r="BC23" s="1"/>
  <c r="BC24" s="1"/>
  <c r="AL94" i="29"/>
  <c r="AL9" i="9"/>
  <c r="AL9" i="29"/>
  <c r="AJ94"/>
  <c r="AJ9" i="26"/>
  <c r="AJ9" i="29"/>
  <c r="AH94"/>
  <c r="AH9" i="9"/>
  <c r="AH9" i="26"/>
  <c r="AF94" i="29"/>
  <c r="AF9" i="12"/>
  <c r="AD94" i="29"/>
  <c r="AD9" i="9"/>
  <c r="AD9" i="29"/>
  <c r="AB94"/>
  <c r="AB9" i="26"/>
  <c r="AB9" i="33" s="1"/>
  <c r="AB9" i="29"/>
  <c r="N426" i="9"/>
  <c r="N425" s="1"/>
  <c r="N72"/>
  <c r="BI426"/>
  <c r="BI425" s="1"/>
  <c r="BI149"/>
  <c r="BI252"/>
  <c r="AD426"/>
  <c r="AD425" s="1"/>
  <c r="AD303"/>
  <c r="R303"/>
  <c r="R252"/>
  <c r="AF124" i="14"/>
  <c r="AF68" i="9"/>
  <c r="AO73" i="14"/>
  <c r="AO145" i="9"/>
  <c r="AF93" i="14"/>
  <c r="AW93"/>
  <c r="AH23"/>
  <c r="AH65" s="1"/>
  <c r="BD53"/>
  <c r="AS53"/>
  <c r="AB53"/>
  <c r="AY53"/>
  <c r="BG53"/>
  <c r="BG129" s="1"/>
  <c r="AU248" i="9"/>
  <c r="AU418"/>
  <c r="AU419" s="1"/>
  <c r="BF97" i="14"/>
  <c r="E149" i="9"/>
  <c r="N9" i="26"/>
  <c r="N9" i="33" s="1"/>
  <c r="F443" i="9"/>
  <c r="F18"/>
  <c r="K14"/>
  <c r="K421" s="1"/>
  <c r="M14"/>
  <c r="M421" s="1"/>
  <c r="AW10" i="14"/>
  <c r="AW12" s="1"/>
  <c r="BH303" i="9"/>
  <c r="BH252"/>
  <c r="AR149"/>
  <c r="AR252"/>
  <c r="AH149"/>
  <c r="AH252"/>
  <c r="Z149"/>
  <c r="Z252"/>
  <c r="Z72"/>
  <c r="U14"/>
  <c r="U421" s="1"/>
  <c r="J94" i="29"/>
  <c r="S94"/>
  <c r="S9" i="9"/>
  <c r="N94" i="29"/>
  <c r="Y569" i="12"/>
  <c r="Y195"/>
  <c r="U10"/>
  <c r="U72" i="3"/>
  <c r="W10" i="12"/>
  <c r="Z94" i="29"/>
  <c r="Z9" i="12"/>
  <c r="AM94" i="29"/>
  <c r="AM9" i="12"/>
  <c r="AO94" i="29"/>
  <c r="AO9" i="9"/>
  <c r="AQ94" i="29"/>
  <c r="AQ9" i="26"/>
  <c r="AQ9" i="33" s="1"/>
  <c r="AW94" i="29"/>
  <c r="AY94"/>
  <c r="AY9" i="9"/>
  <c r="BF94" i="29"/>
  <c r="F398" i="9"/>
  <c r="F374"/>
  <c r="F453"/>
  <c r="F425"/>
  <c r="F251"/>
  <c r="F71"/>
  <c r="F148"/>
  <c r="H18"/>
  <c r="H251"/>
  <c r="K251"/>
  <c r="K71"/>
  <c r="M18"/>
  <c r="M251"/>
  <c r="J251"/>
  <c r="J71"/>
  <c r="J148"/>
  <c r="Q18"/>
  <c r="Q251"/>
  <c r="V251"/>
  <c r="V71"/>
  <c r="V148"/>
  <c r="S18"/>
  <c r="S251"/>
  <c r="S71"/>
  <c r="N251"/>
  <c r="N71"/>
  <c r="N148"/>
  <c r="X18"/>
  <c r="X72" s="1"/>
  <c r="X251"/>
  <c r="Z251"/>
  <c r="Z71"/>
  <c r="Z148"/>
  <c r="AB18"/>
  <c r="AB251"/>
  <c r="AD251"/>
  <c r="AD71"/>
  <c r="AD148"/>
  <c r="AF18"/>
  <c r="AF72" s="1"/>
  <c r="AF251"/>
  <c r="AH251"/>
  <c r="AH71"/>
  <c r="AH148"/>
  <c r="AJ18"/>
  <c r="AJ251"/>
  <c r="AL251"/>
  <c r="AL71"/>
  <c r="AP18"/>
  <c r="AP251"/>
  <c r="AP71"/>
  <c r="AT18"/>
  <c r="AT251"/>
  <c r="AT71"/>
  <c r="AX18"/>
  <c r="AX251"/>
  <c r="AX71"/>
  <c r="BB18"/>
  <c r="BB251"/>
  <c r="BB71"/>
  <c r="BF18"/>
  <c r="BF251"/>
  <c r="BF71"/>
  <c r="E28"/>
  <c r="E174"/>
  <c r="E277"/>
  <c r="G88"/>
  <c r="G186"/>
  <c r="G165"/>
  <c r="G97"/>
  <c r="G286"/>
  <c r="G268"/>
  <c r="AD278"/>
  <c r="AD277" s="1"/>
  <c r="AD187"/>
  <c r="AD186" s="1"/>
  <c r="AD399"/>
  <c r="AD398" s="1"/>
  <c r="R278"/>
  <c r="R277" s="1"/>
  <c r="R98"/>
  <c r="R97" s="1"/>
  <c r="P98"/>
  <c r="P97" s="1"/>
  <c r="P399"/>
  <c r="P398" s="1"/>
  <c r="O278"/>
  <c r="O277" s="1"/>
  <c r="O399"/>
  <c r="O398" s="1"/>
  <c r="O98"/>
  <c r="O97" s="1"/>
  <c r="AE454"/>
  <c r="AE453" s="1"/>
  <c r="AE399"/>
  <c r="AE398" s="1"/>
  <c r="AE98"/>
  <c r="AE97" s="1"/>
  <c r="AG399"/>
  <c r="AG398" s="1"/>
  <c r="AG98"/>
  <c r="AG97" s="1"/>
  <c r="AM187"/>
  <c r="AM186" s="1"/>
  <c r="AM454"/>
  <c r="AM453" s="1"/>
  <c r="BC399"/>
  <c r="BC398" s="1"/>
  <c r="BC278"/>
  <c r="BC277" s="1"/>
  <c r="BI187"/>
  <c r="BI186" s="1"/>
  <c r="BI399"/>
  <c r="BI398" s="1"/>
  <c r="BB133" i="12"/>
  <c r="BD25" i="14"/>
  <c r="AS25"/>
  <c r="AO25"/>
  <c r="T25"/>
  <c r="T26" s="1"/>
  <c r="Y577" i="12"/>
  <c r="U577"/>
  <c r="U203"/>
  <c r="W354"/>
  <c r="U270"/>
  <c r="AQ578"/>
  <c r="AU578"/>
  <c r="AY578"/>
  <c r="AU204"/>
  <c r="AY204"/>
  <c r="W79"/>
  <c r="U132"/>
  <c r="T132"/>
  <c r="Y132"/>
  <c r="W398"/>
  <c r="Y390"/>
  <c r="U390"/>
  <c r="U504"/>
  <c r="W70"/>
  <c r="U124"/>
  <c r="BH10" i="14"/>
  <c r="BH12" s="1"/>
  <c r="AB19" i="5"/>
  <c r="AF19"/>
  <c r="I48" i="14"/>
  <c r="K48"/>
  <c r="M48"/>
  <c r="O48"/>
  <c r="Q48"/>
  <c r="S48"/>
  <c r="U48"/>
  <c r="W48"/>
  <c r="Y48"/>
  <c r="AA48"/>
  <c r="AC48"/>
  <c r="AE48"/>
  <c r="AG48"/>
  <c r="AI48"/>
  <c r="AK48"/>
  <c r="AM48"/>
  <c r="AO48"/>
  <c r="AQ48"/>
  <c r="AS48"/>
  <c r="AU48"/>
  <c r="AW48"/>
  <c r="AY48"/>
  <c r="BA48"/>
  <c r="BC48"/>
  <c r="BE48"/>
  <c r="BG48"/>
  <c r="BI48"/>
  <c r="H48"/>
  <c r="J48"/>
  <c r="L48"/>
  <c r="N48"/>
  <c r="P48"/>
  <c r="R48"/>
  <c r="T48"/>
  <c r="V48"/>
  <c r="X48"/>
  <c r="Z48"/>
  <c r="AB48"/>
  <c r="AD48"/>
  <c r="AF48"/>
  <c r="AH48"/>
  <c r="AJ48"/>
  <c r="AL48"/>
  <c r="AN48"/>
  <c r="AP48"/>
  <c r="AR48"/>
  <c r="AT48"/>
  <c r="AV48"/>
  <c r="AX48"/>
  <c r="AZ48"/>
  <c r="BB48"/>
  <c r="BD48"/>
  <c r="BF48"/>
  <c r="J10" i="5"/>
  <c r="J36" i="3"/>
  <c r="I10" i="5"/>
  <c r="I36" i="3"/>
  <c r="H10" i="5"/>
  <c r="H36" i="3"/>
  <c r="BD10" i="5"/>
  <c r="BD19" s="1"/>
  <c r="BD36" i="3"/>
  <c r="AV4" i="14"/>
  <c r="AV24" s="1"/>
  <c r="BH426" i="9"/>
  <c r="BH425" s="1"/>
  <c r="Z303"/>
  <c r="E89"/>
  <c r="X505" i="12"/>
  <c r="X204"/>
  <c r="X578"/>
  <c r="X271"/>
  <c r="X355"/>
  <c r="Z505"/>
  <c r="Z578"/>
  <c r="Z204"/>
  <c r="Z355"/>
  <c r="Z271"/>
  <c r="AS93" i="14"/>
  <c r="AH120"/>
  <c r="BI73"/>
  <c r="BI68" i="9"/>
  <c r="AP149"/>
  <c r="H12" i="5"/>
  <c r="AK10" i="14"/>
  <c r="AK12" s="1"/>
  <c r="BB47"/>
  <c r="BB97" s="1"/>
  <c r="AK47"/>
  <c r="BB31"/>
  <c r="BB89" s="1"/>
  <c r="AK31"/>
  <c r="AK89" s="1"/>
  <c r="BB36"/>
  <c r="AK42"/>
  <c r="T9" i="29"/>
  <c r="N9"/>
  <c r="N13" i="5"/>
  <c r="N17" s="1"/>
  <c r="N73" i="3"/>
  <c r="W3" i="14"/>
  <c r="W12" i="5"/>
  <c r="AX46" i="3"/>
  <c r="AX13" i="5" s="1"/>
  <c r="AX12"/>
  <c r="AA13"/>
  <c r="AA17" s="1"/>
  <c r="AA73" i="3"/>
  <c r="AT27"/>
  <c r="AT5" i="14" s="1"/>
  <c r="AT4"/>
  <c r="AX27" i="3"/>
  <c r="AX5" i="14" s="1"/>
  <c r="AX4"/>
  <c r="AX24" s="1"/>
  <c r="BC27" i="3"/>
  <c r="BC5" i="14" s="1"/>
  <c r="BC4"/>
  <c r="Y4"/>
  <c r="Y24" s="1"/>
  <c r="Y27" i="3"/>
  <c r="Y5" i="14" s="1"/>
  <c r="AA4"/>
  <c r="AA27" i="3"/>
  <c r="AA5" i="14" s="1"/>
  <c r="CJ3" i="30"/>
  <c r="AE9" i="5"/>
  <c r="CG3" i="30"/>
  <c r="AI9" i="5"/>
  <c r="R10" i="12"/>
  <c r="R132" s="1"/>
  <c r="V10"/>
  <c r="V398" s="1"/>
  <c r="S10"/>
  <c r="BB570"/>
  <c r="BB497"/>
  <c r="BB391"/>
  <c r="BB347"/>
  <c r="BB263"/>
  <c r="BB196"/>
  <c r="BB125"/>
  <c r="BB71"/>
  <c r="BH12" i="5"/>
  <c r="BH46" i="3"/>
  <c r="BF73"/>
  <c r="BF13" i="5"/>
  <c r="BF17" s="1"/>
  <c r="BI94" i="29"/>
  <c r="T149" i="9"/>
  <c r="T303"/>
  <c r="AA426"/>
  <c r="AA425" s="1"/>
  <c r="AA303"/>
  <c r="AH72" i="3"/>
  <c r="AH13" i="12"/>
  <c r="AJ13"/>
  <c r="AJ31" i="5"/>
  <c r="AJ73" i="3"/>
  <c r="AL13" i="12"/>
  <c r="AL72" i="3"/>
  <c r="AL73"/>
  <c r="BE72"/>
  <c r="BE31" i="5"/>
  <c r="BE32" s="1"/>
  <c r="BE10" i="26" s="1"/>
  <c r="BE10" i="33" s="1"/>
  <c r="BE13" i="12"/>
  <c r="BG72" i="3"/>
  <c r="BG31" i="5"/>
  <c r="BG13" i="12"/>
  <c r="BG474" s="1"/>
  <c r="BG475" s="1"/>
  <c r="BG23" i="26" s="1"/>
  <c r="BG23" i="33" s="1"/>
  <c r="M72" i="3"/>
  <c r="M13" i="12"/>
  <c r="Q72" i="3"/>
  <c r="Q31" i="5"/>
  <c r="Q13" i="12"/>
  <c r="BE570"/>
  <c r="BE497"/>
  <c r="BE391"/>
  <c r="BE347"/>
  <c r="BE263"/>
  <c r="BE196"/>
  <c r="BE125"/>
  <c r="BE71"/>
  <c r="V354"/>
  <c r="V132"/>
  <c r="P13" i="5"/>
  <c r="P17" s="1"/>
  <c r="P73" i="3"/>
  <c r="W4" i="14"/>
  <c r="W5"/>
  <c r="H4"/>
  <c r="H27" i="3"/>
  <c r="H5" i="14" s="1"/>
  <c r="G68" i="9"/>
  <c r="G145"/>
  <c r="I27" i="3"/>
  <c r="I5" i="14" s="1"/>
  <c r="I4"/>
  <c r="I24" s="1"/>
  <c r="I46" i="3"/>
  <c r="I12" i="5"/>
  <c r="I3" i="14"/>
  <c r="V46" i="3"/>
  <c r="V12" i="5"/>
  <c r="V3" i="14"/>
  <c r="V10" s="1"/>
  <c r="V12" s="1"/>
  <c r="I94" i="29"/>
  <c r="I9" i="12"/>
  <c r="L94" i="29"/>
  <c r="L9" i="9"/>
  <c r="L9" i="26"/>
  <c r="L9" i="33" s="1"/>
  <c r="R94" i="29"/>
  <c r="R9" i="9"/>
  <c r="R9" i="12"/>
  <c r="P94" i="29"/>
  <c r="P9" i="12"/>
  <c r="P9" i="26"/>
  <c r="P9" i="33" s="1"/>
  <c r="U94" i="29"/>
  <c r="U9" i="9"/>
  <c r="W94" i="29"/>
  <c r="W9" i="9"/>
  <c r="W9" i="26"/>
  <c r="W9" i="33" s="1"/>
  <c r="O94" i="29"/>
  <c r="O9" i="9"/>
  <c r="R5" i="14"/>
  <c r="R25" s="1"/>
  <c r="R4"/>
  <c r="R13" i="5"/>
  <c r="R73" i="3"/>
  <c r="AC27"/>
  <c r="AC5" i="14" s="1"/>
  <c r="AC25" s="1"/>
  <c r="AC4"/>
  <c r="AG27" i="3"/>
  <c r="AG5" i="14" s="1"/>
  <c r="AG4"/>
  <c r="AL27" i="3"/>
  <c r="AL5" i="14" s="1"/>
  <c r="AL25" s="1"/>
  <c r="AL4"/>
  <c r="AQ27" i="3"/>
  <c r="AQ5" i="14" s="1"/>
  <c r="AQ25" s="1"/>
  <c r="AQ4"/>
  <c r="U496" i="12"/>
  <c r="U262"/>
  <c r="Y94" i="29"/>
  <c r="Y9" i="12"/>
  <c r="Y9" i="26"/>
  <c r="Y9" i="33" s="1"/>
  <c r="AA94" i="29"/>
  <c r="AA9" i="9"/>
  <c r="AA9" i="26"/>
  <c r="AN94" i="29"/>
  <c r="AN9" i="26"/>
  <c r="AN9" i="33" s="1"/>
  <c r="AP94" i="29"/>
  <c r="AP9" i="9"/>
  <c r="AP9" i="12"/>
  <c r="AR94" i="29"/>
  <c r="AR9" i="26"/>
  <c r="AR9" i="33" s="1"/>
  <c r="AT94" i="29"/>
  <c r="AT9" i="9"/>
  <c r="AT9" i="12"/>
  <c r="AV94" i="29"/>
  <c r="AV9" i="26"/>
  <c r="AV9" i="33" s="1"/>
  <c r="AX94" i="29"/>
  <c r="AX9" i="12"/>
  <c r="AX9" i="26"/>
  <c r="AX9" i="33" s="1"/>
  <c r="AZ94" i="29"/>
  <c r="AZ9" i="9"/>
  <c r="BB94" i="29"/>
  <c r="BB9" i="12"/>
  <c r="BB9" i="26"/>
  <c r="BB9" i="33" s="1"/>
  <c r="AP11" i="12"/>
  <c r="AP80" s="1"/>
  <c r="AP15" i="3"/>
  <c r="AP12" i="12" s="1"/>
  <c r="AP355" s="1"/>
  <c r="AR11"/>
  <c r="AR399" s="1"/>
  <c r="AR15" i="3"/>
  <c r="AR12" i="12" s="1"/>
  <c r="AT11"/>
  <c r="AT399" s="1"/>
  <c r="AT15" i="3"/>
  <c r="AT12" i="12" s="1"/>
  <c r="AT355" s="1"/>
  <c r="AV11"/>
  <c r="AV133" s="1"/>
  <c r="AV15" i="3"/>
  <c r="AV12" i="12" s="1"/>
  <c r="AV355" s="1"/>
  <c r="AX11"/>
  <c r="AX80" s="1"/>
  <c r="AX15" i="3"/>
  <c r="AX12" i="12" s="1"/>
  <c r="AX578" s="1"/>
  <c r="BA15" i="3"/>
  <c r="BA12" i="12" s="1"/>
  <c r="BA505" s="1"/>
  <c r="BA11"/>
  <c r="BC15" i="3"/>
  <c r="BC12" i="12" s="1"/>
  <c r="BC505" s="1"/>
  <c r="BC11"/>
  <c r="BC399" s="1"/>
  <c r="J72" i="3"/>
  <c r="J13" i="12"/>
  <c r="J31" i="5"/>
  <c r="J32" s="1"/>
  <c r="J10" i="26" s="1"/>
  <c r="J10" i="33" s="1"/>
  <c r="AI31" i="5"/>
  <c r="AI72" i="3"/>
  <c r="AI13" i="12"/>
  <c r="AK31" i="5"/>
  <c r="AK13" i="12"/>
  <c r="AM31" i="5"/>
  <c r="AM13" i="12"/>
  <c r="BF13"/>
  <c r="BF72" i="3"/>
  <c r="BF31" i="5"/>
  <c r="T13" i="12"/>
  <c r="T31" i="5"/>
  <c r="O72" i="3"/>
  <c r="O13" i="12"/>
  <c r="Y72" i="3"/>
  <c r="Y31" i="5"/>
  <c r="Y13" i="12"/>
  <c r="AG72" i="3"/>
  <c r="AG31" i="5"/>
  <c r="AG13" i="12"/>
  <c r="AT31" i="14"/>
  <c r="AT89" s="1"/>
  <c r="AT36"/>
  <c r="BC36"/>
  <c r="AL42"/>
  <c r="AL69" s="1"/>
  <c r="BC25"/>
  <c r="H570" i="12"/>
  <c r="H497"/>
  <c r="H391"/>
  <c r="H347"/>
  <c r="H263"/>
  <c r="H196"/>
  <c r="H125"/>
  <c r="H71"/>
  <c r="I570"/>
  <c r="I497"/>
  <c r="I391"/>
  <c r="I347"/>
  <c r="I263"/>
  <c r="I196"/>
  <c r="I125"/>
  <c r="I71"/>
  <c r="K570"/>
  <c r="K497"/>
  <c r="K391"/>
  <c r="K347"/>
  <c r="K263"/>
  <c r="K196"/>
  <c r="K125"/>
  <c r="K71"/>
  <c r="M570"/>
  <c r="M497"/>
  <c r="M391"/>
  <c r="M347"/>
  <c r="M263"/>
  <c r="M196"/>
  <c r="M125"/>
  <c r="M71"/>
  <c r="O570"/>
  <c r="O497"/>
  <c r="O391"/>
  <c r="O347"/>
  <c r="O263"/>
  <c r="O196"/>
  <c r="O125"/>
  <c r="O71"/>
  <c r="Q570"/>
  <c r="Q497"/>
  <c r="Q391"/>
  <c r="Q347"/>
  <c r="Q263"/>
  <c r="Q196"/>
  <c r="Q125"/>
  <c r="Q71"/>
  <c r="S570"/>
  <c r="S497"/>
  <c r="S391"/>
  <c r="S347"/>
  <c r="S263"/>
  <c r="S196"/>
  <c r="S125"/>
  <c r="S71"/>
  <c r="U570"/>
  <c r="U497"/>
  <c r="U391"/>
  <c r="U347"/>
  <c r="U263"/>
  <c r="U196"/>
  <c r="U125"/>
  <c r="U71"/>
  <c r="W570"/>
  <c r="W497"/>
  <c r="W391"/>
  <c r="W347"/>
  <c r="W263"/>
  <c r="W196"/>
  <c r="W125"/>
  <c r="W71"/>
  <c r="Y570"/>
  <c r="Y497"/>
  <c r="Y391"/>
  <c r="Y347"/>
  <c r="Y263"/>
  <c r="Y196"/>
  <c r="Y125"/>
  <c r="Y71"/>
  <c r="AA570"/>
  <c r="AA497"/>
  <c r="AA391"/>
  <c r="AA347"/>
  <c r="AA263"/>
  <c r="AA196"/>
  <c r="AA125"/>
  <c r="AA71"/>
  <c r="AC570"/>
  <c r="AC497"/>
  <c r="AC391"/>
  <c r="AC347"/>
  <c r="AC263"/>
  <c r="AC196"/>
  <c r="AC125"/>
  <c r="AC71"/>
  <c r="AE570"/>
  <c r="AE497"/>
  <c r="AE391"/>
  <c r="AE347"/>
  <c r="AE263"/>
  <c r="AE196"/>
  <c r="AE125"/>
  <c r="AE71"/>
  <c r="AG570"/>
  <c r="AG497"/>
  <c r="AG391"/>
  <c r="AG347"/>
  <c r="AG263"/>
  <c r="AG196"/>
  <c r="AG125"/>
  <c r="AG71"/>
  <c r="AI570"/>
  <c r="AI497"/>
  <c r="AI391"/>
  <c r="AI347"/>
  <c r="AI263"/>
  <c r="AI196"/>
  <c r="AI125"/>
  <c r="AI71"/>
  <c r="AK570"/>
  <c r="AK497"/>
  <c r="AK391"/>
  <c r="AK347"/>
  <c r="AK263"/>
  <c r="AK196"/>
  <c r="AK125"/>
  <c r="AK71"/>
  <c r="AM570"/>
  <c r="AM497"/>
  <c r="AM391"/>
  <c r="AM347"/>
  <c r="AM263"/>
  <c r="AM196"/>
  <c r="AM125"/>
  <c r="AM71"/>
  <c r="BG570"/>
  <c r="BG497"/>
  <c r="BG391"/>
  <c r="BG347"/>
  <c r="BG263"/>
  <c r="BG196"/>
  <c r="BG125"/>
  <c r="BG71"/>
  <c r="BI570"/>
  <c r="BI497"/>
  <c r="BI391"/>
  <c r="BI347"/>
  <c r="BI263"/>
  <c r="BI196"/>
  <c r="BI125"/>
  <c r="BI71"/>
  <c r="AO11"/>
  <c r="AO399" s="1"/>
  <c r="AQ11"/>
  <c r="AS11"/>
  <c r="AS80" s="1"/>
  <c r="AU11"/>
  <c r="AW11"/>
  <c r="AW399" s="1"/>
  <c r="AY11"/>
  <c r="BB15" i="3"/>
  <c r="BB12" i="12" s="1"/>
  <c r="BB271" s="1"/>
  <c r="J570"/>
  <c r="J497"/>
  <c r="J391"/>
  <c r="J347"/>
  <c r="J263"/>
  <c r="J196"/>
  <c r="J125"/>
  <c r="J71"/>
  <c r="L570"/>
  <c r="L497"/>
  <c r="L391"/>
  <c r="L347"/>
  <c r="L263"/>
  <c r="L196"/>
  <c r="L125"/>
  <c r="L71"/>
  <c r="N570"/>
  <c r="N497"/>
  <c r="N391"/>
  <c r="N347"/>
  <c r="N263"/>
  <c r="N196"/>
  <c r="N125"/>
  <c r="N71"/>
  <c r="P570"/>
  <c r="P497"/>
  <c r="P391"/>
  <c r="P347"/>
  <c r="P263"/>
  <c r="P196"/>
  <c r="P125"/>
  <c r="P71"/>
  <c r="R570"/>
  <c r="R497"/>
  <c r="R391"/>
  <c r="R347"/>
  <c r="R263"/>
  <c r="R196"/>
  <c r="R125"/>
  <c r="R71"/>
  <c r="T570"/>
  <c r="T497"/>
  <c r="T391"/>
  <c r="T347"/>
  <c r="T263"/>
  <c r="T196"/>
  <c r="T125"/>
  <c r="T71"/>
  <c r="V570"/>
  <c r="V497"/>
  <c r="V391"/>
  <c r="V347"/>
  <c r="V263"/>
  <c r="V196"/>
  <c r="V125"/>
  <c r="V71"/>
  <c r="X570"/>
  <c r="X497"/>
  <c r="X391"/>
  <c r="X347"/>
  <c r="X263"/>
  <c r="X196"/>
  <c r="X125"/>
  <c r="X71"/>
  <c r="Z570"/>
  <c r="Z497"/>
  <c r="Z391"/>
  <c r="Z347"/>
  <c r="Z263"/>
  <c r="Z196"/>
  <c r="Z125"/>
  <c r="Z71"/>
  <c r="AB570"/>
  <c r="AB497"/>
  <c r="AB391"/>
  <c r="AB347"/>
  <c r="AB263"/>
  <c r="AB196"/>
  <c r="AB125"/>
  <c r="AB71"/>
  <c r="AD570"/>
  <c r="AD497"/>
  <c r="AD391"/>
  <c r="AD347"/>
  <c r="AD263"/>
  <c r="AD196"/>
  <c r="AD125"/>
  <c r="AD71"/>
  <c r="AF570"/>
  <c r="AF497"/>
  <c r="AF391"/>
  <c r="AF347"/>
  <c r="AF263"/>
  <c r="AF196"/>
  <c r="AF125"/>
  <c r="AF71"/>
  <c r="AH570"/>
  <c r="AH497"/>
  <c r="AH391"/>
  <c r="AH347"/>
  <c r="AH263"/>
  <c r="AH196"/>
  <c r="AH125"/>
  <c r="AH71"/>
  <c r="AJ570"/>
  <c r="AJ497"/>
  <c r="AJ391"/>
  <c r="AJ347"/>
  <c r="AJ263"/>
  <c r="AJ196"/>
  <c r="AJ125"/>
  <c r="AJ71"/>
  <c r="AL570"/>
  <c r="AL497"/>
  <c r="AL391"/>
  <c r="AL347"/>
  <c r="AL263"/>
  <c r="AL196"/>
  <c r="AL125"/>
  <c r="AL71"/>
  <c r="AN570"/>
  <c r="AN497"/>
  <c r="AN391"/>
  <c r="AN347"/>
  <c r="AN263"/>
  <c r="AN196"/>
  <c r="AN125"/>
  <c r="AN71"/>
  <c r="AZ570"/>
  <c r="AZ497"/>
  <c r="AZ391"/>
  <c r="AZ347"/>
  <c r="AZ263"/>
  <c r="AZ196"/>
  <c r="AZ125"/>
  <c r="AZ71"/>
  <c r="BD570"/>
  <c r="BD497"/>
  <c r="BD391"/>
  <c r="BD347"/>
  <c r="BD263"/>
  <c r="BD196"/>
  <c r="BD125"/>
  <c r="BD71"/>
  <c r="BF570"/>
  <c r="BF497"/>
  <c r="BF391"/>
  <c r="BF347"/>
  <c r="BF263"/>
  <c r="BF196"/>
  <c r="BF125"/>
  <c r="BF71"/>
  <c r="BH570"/>
  <c r="BH497"/>
  <c r="BH391"/>
  <c r="BH347"/>
  <c r="BH263"/>
  <c r="BH196"/>
  <c r="BH125"/>
  <c r="BH71"/>
  <c r="AX355"/>
  <c r="AR271"/>
  <c r="AV204"/>
  <c r="BA271"/>
  <c r="U79"/>
  <c r="BH398"/>
  <c r="T390"/>
  <c r="V79"/>
  <c r="T504"/>
  <c r="BH504"/>
  <c r="AV505"/>
  <c r="U70"/>
  <c r="AA124"/>
  <c r="BH390"/>
  <c r="W577"/>
  <c r="BG73" i="3"/>
  <c r="AB67"/>
  <c r="AB71" s="1"/>
  <c r="AB13" i="12" s="1"/>
  <c r="AH73" i="3"/>
  <c r="BE73"/>
  <c r="AM73"/>
  <c r="L13" i="12"/>
  <c r="N13"/>
  <c r="R13"/>
  <c r="Z13"/>
  <c r="H505"/>
  <c r="H569"/>
  <c r="H195"/>
  <c r="H390"/>
  <c r="H577"/>
  <c r="H79"/>
  <c r="H346"/>
  <c r="H354"/>
  <c r="H203"/>
  <c r="H132"/>
  <c r="H124"/>
  <c r="H398"/>
  <c r="H270"/>
  <c r="G40" i="26"/>
  <c r="G40" i="33" s="1"/>
  <c r="AM426" i="9"/>
  <c r="AM425" s="1"/>
  <c r="AM149"/>
  <c r="AM252"/>
  <c r="AM303"/>
  <c r="AM72"/>
  <c r="AO426"/>
  <c r="AO425" s="1"/>
  <c r="AO72"/>
  <c r="AW426"/>
  <c r="AW425" s="1"/>
  <c r="AW72"/>
  <c r="AL278"/>
  <c r="AL277" s="1"/>
  <c r="AL98"/>
  <c r="AL97" s="1"/>
  <c r="AL187"/>
  <c r="AL186" s="1"/>
  <c r="AL399"/>
  <c r="AL398" s="1"/>
  <c r="E303"/>
  <c r="AI72"/>
  <c r="S72"/>
  <c r="AD72"/>
  <c r="AD149"/>
  <c r="AH72"/>
  <c r="AL149"/>
  <c r="M252"/>
  <c r="Q252"/>
  <c r="S252"/>
  <c r="AN252"/>
  <c r="AV252"/>
  <c r="BD252"/>
  <c r="BH72"/>
  <c r="I72"/>
  <c r="R72"/>
  <c r="T252"/>
  <c r="AS72"/>
  <c r="BA252"/>
  <c r="BI72"/>
  <c r="K72"/>
  <c r="AA252"/>
  <c r="AH303"/>
  <c r="M149"/>
  <c r="AN303"/>
  <c r="R149"/>
  <c r="BI303"/>
  <c r="E437"/>
  <c r="BB399"/>
  <c r="BB398" s="1"/>
  <c r="AV399"/>
  <c r="AV398" s="1"/>
  <c r="AN399"/>
  <c r="AN398" s="1"/>
  <c r="V98"/>
  <c r="V97" s="1"/>
  <c r="AL426"/>
  <c r="AL425" s="1"/>
  <c r="AZ303"/>
  <c r="BA303"/>
  <c r="Q149"/>
  <c r="K303"/>
  <c r="I149"/>
  <c r="AD454"/>
  <c r="AD453" s="1"/>
  <c r="BH19" i="5"/>
  <c r="G18" i="34"/>
  <c r="G29"/>
  <c r="J18" i="14"/>
  <c r="L18"/>
  <c r="N18"/>
  <c r="P18"/>
  <c r="R18"/>
  <c r="T18"/>
  <c r="V18"/>
  <c r="X18"/>
  <c r="Z18"/>
  <c r="AB18"/>
  <c r="AD18"/>
  <c r="AF18"/>
  <c r="AH18"/>
  <c r="AJ18"/>
  <c r="AL18"/>
  <c r="AN18"/>
  <c r="AP18"/>
  <c r="AR18"/>
  <c r="AT18"/>
  <c r="AV18"/>
  <c r="AX18"/>
  <c r="AZ18"/>
  <c r="BB18"/>
  <c r="BD18"/>
  <c r="BF18"/>
  <c r="BH18"/>
  <c r="H18"/>
  <c r="I18"/>
  <c r="K18"/>
  <c r="M18"/>
  <c r="O18"/>
  <c r="Q18"/>
  <c r="S18"/>
  <c r="U18"/>
  <c r="W18"/>
  <c r="Y18"/>
  <c r="AA18"/>
  <c r="AC18"/>
  <c r="AE18"/>
  <c r="AG18"/>
  <c r="AI18"/>
  <c r="AK18"/>
  <c r="AM18"/>
  <c r="AO18"/>
  <c r="AQ18"/>
  <c r="AS18"/>
  <c r="AU18"/>
  <c r="AW18"/>
  <c r="AY18"/>
  <c r="BA18"/>
  <c r="BC18"/>
  <c r="BE18"/>
  <c r="BG18"/>
  <c r="H37"/>
  <c r="J37"/>
  <c r="L37"/>
  <c r="N37"/>
  <c r="P37"/>
  <c r="R37"/>
  <c r="T37"/>
  <c r="V37"/>
  <c r="X37"/>
  <c r="Z37"/>
  <c r="AB37"/>
  <c r="AD37"/>
  <c r="AF37"/>
  <c r="AH37"/>
  <c r="AJ37"/>
  <c r="AL37"/>
  <c r="AN37"/>
  <c r="AP37"/>
  <c r="AR37"/>
  <c r="AT37"/>
  <c r="AV37"/>
  <c r="AX37"/>
  <c r="AZ37"/>
  <c r="BB37"/>
  <c r="BD37"/>
  <c r="BF37"/>
  <c r="BH37"/>
  <c r="I37"/>
  <c r="K37"/>
  <c r="M37"/>
  <c r="O37"/>
  <c r="Q37"/>
  <c r="S37"/>
  <c r="U37"/>
  <c r="W37"/>
  <c r="Y37"/>
  <c r="AA37"/>
  <c r="AC37"/>
  <c r="AE37"/>
  <c r="AG37"/>
  <c r="AI37"/>
  <c r="AK37"/>
  <c r="AM37"/>
  <c r="AO37"/>
  <c r="AQ37"/>
  <c r="AS37"/>
  <c r="AU37"/>
  <c r="AW37"/>
  <c r="AY37"/>
  <c r="BA37"/>
  <c r="BC37"/>
  <c r="BE37"/>
  <c r="BG37"/>
  <c r="BI37"/>
  <c r="BI139" s="1"/>
  <c r="F54"/>
  <c r="F60"/>
  <c r="G54"/>
  <c r="G60"/>
  <c r="G48"/>
  <c r="E48"/>
  <c r="E60"/>
  <c r="E37"/>
  <c r="F48"/>
  <c r="D122" i="9"/>
  <c r="D48"/>
  <c r="AQ51" i="14"/>
  <c r="Z51"/>
  <c r="M51"/>
  <c r="M53" s="1"/>
  <c r="M77" s="1"/>
  <c r="AP51"/>
  <c r="E75"/>
  <c r="E71"/>
  <c r="BF129"/>
  <c r="AY102"/>
  <c r="BD145" i="9"/>
  <c r="AI51" i="14"/>
  <c r="L22"/>
  <c r="BE22"/>
  <c r="AE376" i="9"/>
  <c r="AN304"/>
  <c r="AB304"/>
  <c r="M304"/>
  <c r="AK304"/>
  <c r="AF338"/>
  <c r="AO357"/>
  <c r="AK338"/>
  <c r="U304"/>
  <c r="AV357"/>
  <c r="AY357"/>
  <c r="BE376"/>
  <c r="BF357"/>
  <c r="M400"/>
  <c r="BH357"/>
  <c r="AH338"/>
  <c r="AZ400"/>
  <c r="R357"/>
  <c r="BE400"/>
  <c r="BF400"/>
  <c r="BH338"/>
  <c r="AB338"/>
  <c r="BE338"/>
  <c r="Y338"/>
  <c r="N357"/>
  <c r="AI400"/>
  <c r="AV304"/>
  <c r="AR304"/>
  <c r="AM376"/>
  <c r="AU304"/>
  <c r="AQ304"/>
  <c r="BB338"/>
  <c r="N338"/>
  <c r="H376"/>
  <c r="AL357"/>
  <c r="P400"/>
  <c r="AO376"/>
  <c r="Q400"/>
  <c r="AP376"/>
  <c r="AF304"/>
  <c r="AW400"/>
  <c r="X400"/>
  <c r="AY376"/>
  <c r="V304"/>
  <c r="AZ376"/>
  <c r="Z400"/>
  <c r="BG338"/>
  <c r="AA338"/>
  <c r="AH400"/>
  <c r="AC357"/>
  <c r="AK376"/>
  <c r="AL376"/>
  <c r="AY304"/>
  <c r="AO304"/>
  <c r="AT400"/>
  <c r="Q376"/>
  <c r="AH304"/>
  <c r="K357"/>
  <c r="AD304"/>
  <c r="V376"/>
  <c r="AS357"/>
  <c r="T357"/>
  <c r="J304"/>
  <c r="Z376"/>
  <c r="O357"/>
  <c r="AE338"/>
  <c r="AE304"/>
  <c r="AN376"/>
  <c r="AU400"/>
  <c r="P357"/>
  <c r="AN338"/>
  <c r="H338"/>
  <c r="AS338"/>
  <c r="R338"/>
  <c r="BE304"/>
  <c r="I376"/>
  <c r="K376"/>
  <c r="U400"/>
  <c r="W376"/>
  <c r="Y400"/>
  <c r="T376"/>
  <c r="AP338"/>
  <c r="K338"/>
  <c r="AV400"/>
  <c r="BA304"/>
  <c r="BH304"/>
  <c r="AS304"/>
  <c r="AJ338"/>
  <c r="AT357"/>
  <c r="AG338"/>
  <c r="AS400"/>
  <c r="AL304"/>
  <c r="AQ357"/>
  <c r="AP357"/>
  <c r="AX376"/>
  <c r="BA357"/>
  <c r="AZ357"/>
  <c r="BC357"/>
  <c r="AD338"/>
  <c r="AI357"/>
  <c r="BB357"/>
  <c r="AZ304"/>
  <c r="H400"/>
  <c r="AF357"/>
  <c r="I400"/>
  <c r="AE357"/>
  <c r="R304"/>
  <c r="AP400"/>
  <c r="V400"/>
  <c r="AR376"/>
  <c r="X304"/>
  <c r="AS376"/>
  <c r="S400"/>
  <c r="AY338"/>
  <c r="W338"/>
  <c r="T400"/>
  <c r="Q357"/>
  <c r="L304"/>
  <c r="X376"/>
  <c r="AG304"/>
  <c r="AJ376"/>
  <c r="BD304"/>
  <c r="AN400"/>
  <c r="BG304"/>
  <c r="AO400"/>
  <c r="L376"/>
  <c r="AM357"/>
  <c r="M357"/>
  <c r="S376"/>
  <c r="J357"/>
  <c r="BC338"/>
  <c r="O338"/>
  <c r="AA400"/>
  <c r="X357"/>
  <c r="AD376"/>
  <c r="AP304"/>
  <c r="AB357"/>
  <c r="Q304"/>
  <c r="AV338"/>
  <c r="Q338"/>
  <c r="BA338"/>
  <c r="T338"/>
  <c r="U357"/>
  <c r="AB400"/>
  <c r="AC400"/>
  <c r="I304"/>
  <c r="AF376"/>
  <c r="AM400"/>
  <c r="AH376"/>
  <c r="AX338"/>
  <c r="V338"/>
  <c r="S357"/>
  <c r="K304"/>
  <c r="AR338"/>
  <c r="M338"/>
  <c r="AO338"/>
  <c r="I338"/>
  <c r="O304"/>
  <c r="BE357"/>
  <c r="BD357"/>
  <c r="K400"/>
  <c r="M376"/>
  <c r="W400"/>
  <c r="J376"/>
  <c r="AL338"/>
  <c r="BG400"/>
  <c r="AB376"/>
  <c r="AW357"/>
  <c r="BC376"/>
  <c r="W304"/>
  <c r="BD376"/>
  <c r="Z357"/>
  <c r="AT304"/>
  <c r="AL400"/>
  <c r="L400"/>
  <c r="AM304"/>
  <c r="AW304"/>
  <c r="AI304"/>
  <c r="R400"/>
  <c r="AQ338"/>
  <c r="L338"/>
  <c r="BI376"/>
  <c r="AC304"/>
  <c r="Y304"/>
  <c r="BF304"/>
  <c r="AI376"/>
  <c r="BH400"/>
  <c r="AC376"/>
  <c r="P304"/>
  <c r="AJ400"/>
  <c r="AK400"/>
  <c r="BG357"/>
  <c r="AH357"/>
  <c r="BI304"/>
  <c r="AQ400"/>
  <c r="R376"/>
  <c r="AR400"/>
  <c r="I357"/>
  <c r="AU338"/>
  <c r="P338"/>
  <c r="J400"/>
  <c r="L357"/>
  <c r="AJ304"/>
  <c r="AX400"/>
  <c r="AY400"/>
  <c r="BD338"/>
  <c r="X338"/>
  <c r="BI338"/>
  <c r="AC338"/>
  <c r="AD357"/>
  <c r="AA304"/>
  <c r="AK357"/>
  <c r="BC304"/>
  <c r="AQ376"/>
  <c r="AR357"/>
  <c r="AU357"/>
  <c r="BF338"/>
  <c r="Z338"/>
  <c r="H304"/>
  <c r="Z304"/>
  <c r="AG357"/>
  <c r="AJ357"/>
  <c r="AZ338"/>
  <c r="S338"/>
  <c r="AW338"/>
  <c r="U338"/>
  <c r="H357"/>
  <c r="N400"/>
  <c r="U376"/>
  <c r="Y376"/>
  <c r="AF400"/>
  <c r="AA376"/>
  <c r="AT338"/>
  <c r="J338"/>
  <c r="P376"/>
  <c r="AN357"/>
  <c r="T304"/>
  <c r="AV376"/>
  <c r="O400"/>
  <c r="AW376"/>
  <c r="V357"/>
  <c r="BD400"/>
  <c r="AE400"/>
  <c r="BF376"/>
  <c r="BG376"/>
  <c r="AG400"/>
  <c r="BH376"/>
  <c r="AI338"/>
  <c r="AT376"/>
  <c r="AU376"/>
  <c r="BB400"/>
  <c r="BC400"/>
  <c r="N304"/>
  <c r="N376"/>
  <c r="BA400"/>
  <c r="O376"/>
  <c r="W357"/>
  <c r="AD400"/>
  <c r="AX357"/>
  <c r="Y357"/>
  <c r="S304"/>
  <c r="AG376"/>
  <c r="BI357"/>
  <c r="AA357"/>
  <c r="BB304"/>
  <c r="AM338"/>
  <c r="BA376"/>
  <c r="BB376"/>
  <c r="BI400"/>
  <c r="AX304"/>
  <c r="BI22" i="14"/>
  <c r="BI25" s="1"/>
  <c r="AV22"/>
  <c r="AA51"/>
  <c r="AZ22"/>
  <c r="AR22"/>
  <c r="D30" i="34"/>
  <c r="J51" i="14"/>
  <c r="BI19" i="5"/>
  <c r="BI25" s="1"/>
  <c r="T36" i="14"/>
  <c r="Q19" i="5"/>
  <c r="Q25" s="1"/>
  <c r="L24" i="14"/>
  <c r="S24"/>
  <c r="K24"/>
  <c r="Q10"/>
  <c r="Q12" s="1"/>
  <c r="I13" i="5"/>
  <c r="I17" s="1"/>
  <c r="I73" i="3"/>
  <c r="AP10" i="14"/>
  <c r="AP12" s="1"/>
  <c r="AP47"/>
  <c r="AP23"/>
  <c r="AP65" s="1"/>
  <c r="AN72" i="3"/>
  <c r="BB67"/>
  <c r="BB71" s="1"/>
  <c r="BB13" i="12" s="1"/>
  <c r="AS67" i="3"/>
  <c r="AS71" s="1"/>
  <c r="AS13" i="12" s="1"/>
  <c r="AO67" i="3"/>
  <c r="AO71" s="1"/>
  <c r="AO13" i="12" s="1"/>
  <c r="AN73" i="3"/>
  <c r="AC67"/>
  <c r="AZ67"/>
  <c r="AZ71" s="1"/>
  <c r="AZ13" i="12" s="1"/>
  <c r="AX67" i="3"/>
  <c r="AX71" s="1"/>
  <c r="AX13" i="12" s="1"/>
  <c r="AV67" i="3"/>
  <c r="AV71" s="1"/>
  <c r="AV13" i="12" s="1"/>
  <c r="AT67" i="3"/>
  <c r="AT71" s="1"/>
  <c r="AT13" i="12" s="1"/>
  <c r="AR67" i="3"/>
  <c r="AR71" s="1"/>
  <c r="AR13" i="12" s="1"/>
  <c r="AP67" i="3"/>
  <c r="AP71" s="1"/>
  <c r="AP13" i="12" s="1"/>
  <c r="BC67" i="3"/>
  <c r="BC71" s="1"/>
  <c r="BC13" i="12" s="1"/>
  <c r="BA67" i="3"/>
  <c r="BA71" s="1"/>
  <c r="BA13" i="12" s="1"/>
  <c r="AY67" i="3"/>
  <c r="AY71" s="1"/>
  <c r="AY13" i="12" s="1"/>
  <c r="AW67" i="3"/>
  <c r="AW71" s="1"/>
  <c r="AW13" i="12" s="1"/>
  <c r="AU67" i="3"/>
  <c r="AU71" s="1"/>
  <c r="AU13" i="12" s="1"/>
  <c r="AQ67" i="3"/>
  <c r="AQ71" s="1"/>
  <c r="AQ13" i="12" s="1"/>
  <c r="AN31" i="5"/>
  <c r="AX53" i="14"/>
  <c r="AX129" s="1"/>
  <c r="Q36"/>
  <c r="Q93" s="1"/>
  <c r="AX42"/>
  <c r="U36"/>
  <c r="U93" s="1"/>
  <c r="J27" i="3"/>
  <c r="J5" i="14" s="1"/>
  <c r="J42" s="1"/>
  <c r="J69" s="1"/>
  <c r="K23"/>
  <c r="K65" s="1"/>
  <c r="AR23"/>
  <c r="AR65" s="1"/>
  <c r="AG53"/>
  <c r="AP53"/>
  <c r="AX31"/>
  <c r="AX89" s="1"/>
  <c r="AP31"/>
  <c r="AP89" s="1"/>
  <c r="AG31"/>
  <c r="AG89" s="1"/>
  <c r="Q25"/>
  <c r="AP25"/>
  <c r="AP26" s="1"/>
  <c r="AP42"/>
  <c r="AG47"/>
  <c r="AG418" i="9" s="1"/>
  <c r="AG419" s="1"/>
  <c r="Q47" i="14"/>
  <c r="W10"/>
  <c r="W12" s="1"/>
  <c r="V19" i="5"/>
  <c r="AV23" i="14"/>
  <c r="AV65" s="1"/>
  <c r="H10"/>
  <c r="H12" s="1"/>
  <c r="S10"/>
  <c r="S12" s="1"/>
  <c r="S23"/>
  <c r="S65" s="1"/>
  <c r="I36"/>
  <c r="Y23"/>
  <c r="Y65" s="1"/>
  <c r="AA47"/>
  <c r="AA145" i="9" s="1"/>
  <c r="AA25" i="14"/>
  <c r="AI10"/>
  <c r="AI12" s="1"/>
  <c r="AI47"/>
  <c r="AI36"/>
  <c r="AI93" s="1"/>
  <c r="AI23"/>
  <c r="AI65" s="1"/>
  <c r="AI25"/>
  <c r="AI26" s="1"/>
  <c r="X72" i="3"/>
  <c r="S31" i="5"/>
  <c r="S72" i="3"/>
  <c r="S73"/>
  <c r="BE47" i="14"/>
  <c r="BE23"/>
  <c r="BE65" s="1"/>
  <c r="BE10"/>
  <c r="BE12" s="1"/>
  <c r="BE25"/>
  <c r="BE26" s="1"/>
  <c r="H13" i="5"/>
  <c r="H17" s="1"/>
  <c r="H73" i="3"/>
  <c r="N10" i="14"/>
  <c r="N12" s="1"/>
  <c r="N23"/>
  <c r="N65" s="1"/>
  <c r="N47"/>
  <c r="N418" i="9" s="1"/>
  <c r="N419" s="1"/>
  <c r="P25" i="14"/>
  <c r="P47"/>
  <c r="L47"/>
  <c r="L68" i="9" s="1"/>
  <c r="L23" i="14"/>
  <c r="L65" s="1"/>
  <c r="V23"/>
  <c r="V65" s="1"/>
  <c r="X36"/>
  <c r="X23"/>
  <c r="X65" s="1"/>
  <c r="Z47"/>
  <c r="Z10"/>
  <c r="Z12" s="1"/>
  <c r="AE10"/>
  <c r="AE12" s="1"/>
  <c r="AE36"/>
  <c r="AE23"/>
  <c r="AE65" s="1"/>
  <c r="AE47"/>
  <c r="AM25"/>
  <c r="AM26" s="1"/>
  <c r="AM42"/>
  <c r="AM36"/>
  <c r="AM120" s="1"/>
  <c r="W72" i="3"/>
  <c r="W31" i="5"/>
  <c r="W73" i="3"/>
  <c r="BD72"/>
  <c r="BD73"/>
  <c r="BD31" i="5"/>
  <c r="AV53" i="14"/>
  <c r="X53"/>
  <c r="AA53"/>
  <c r="U53"/>
  <c r="AV31"/>
  <c r="AV89" s="1"/>
  <c r="X31"/>
  <c r="X89" s="1"/>
  <c r="AM31"/>
  <c r="AM89" s="1"/>
  <c r="AE31"/>
  <c r="AE89" s="1"/>
  <c r="P31"/>
  <c r="P89" s="1"/>
  <c r="Z31"/>
  <c r="Z89" s="1"/>
  <c r="V31"/>
  <c r="V89" s="1"/>
  <c r="K31"/>
  <c r="K89" s="1"/>
  <c r="BE31"/>
  <c r="BE89" s="1"/>
  <c r="W36"/>
  <c r="K25"/>
  <c r="S47"/>
  <c r="S124" s="1"/>
  <c r="AM47"/>
  <c r="J25"/>
  <c r="N25"/>
  <c r="Z25"/>
  <c r="AR42"/>
  <c r="P42"/>
  <c r="AA42"/>
  <c r="AA69" s="1"/>
  <c r="X42"/>
  <c r="I42"/>
  <c r="AE42"/>
  <c r="AV47"/>
  <c r="V47"/>
  <c r="V124" s="1"/>
  <c r="U47"/>
  <c r="AE25"/>
  <c r="AE26" s="1"/>
  <c r="L25"/>
  <c r="AV25"/>
  <c r="AV26" s="1"/>
  <c r="H25"/>
  <c r="BD10"/>
  <c r="BD12" s="1"/>
  <c r="L26"/>
  <c r="J53"/>
  <c r="L53"/>
  <c r="S53"/>
  <c r="S77" s="1"/>
  <c r="Z53"/>
  <c r="I53"/>
  <c r="AI53"/>
  <c r="AM23"/>
  <c r="AM65" s="1"/>
  <c r="AZ31"/>
  <c r="AZ89" s="1"/>
  <c r="S31"/>
  <c r="S89" s="1"/>
  <c r="L31"/>
  <c r="L89" s="1"/>
  <c r="N31"/>
  <c r="N89" s="1"/>
  <c r="U31"/>
  <c r="U89" s="1"/>
  <c r="BE36"/>
  <c r="BE93" s="1"/>
  <c r="N36"/>
  <c r="N120" s="1"/>
  <c r="K36"/>
  <c r="L36"/>
  <c r="L120" s="1"/>
  <c r="Z36"/>
  <c r="AR36"/>
  <c r="AV36"/>
  <c r="K47"/>
  <c r="K418" i="9" s="1"/>
  <c r="K419" s="1"/>
  <c r="S25" i="14"/>
  <c r="X25"/>
  <c r="X26" s="1"/>
  <c r="K42"/>
  <c r="BE42"/>
  <c r="BE69" s="1"/>
  <c r="Z42"/>
  <c r="L42"/>
  <c r="L69" s="1"/>
  <c r="AZ47"/>
  <c r="AR47"/>
  <c r="I47"/>
  <c r="X47"/>
  <c r="Y25"/>
  <c r="I25"/>
  <c r="AZ25"/>
  <c r="AR25"/>
  <c r="AR26" s="1"/>
  <c r="AL19" i="5"/>
  <c r="AL25" s="1"/>
  <c r="AO37" i="34"/>
  <c r="AQ37"/>
  <c r="BF63"/>
  <c r="AO63"/>
  <c r="CS63" i="33" s="1"/>
  <c r="AQ63" i="34"/>
  <c r="AO52"/>
  <c r="AQ52"/>
  <c r="CU52" i="33" s="1"/>
  <c r="BF52" i="34"/>
  <c r="BF37"/>
  <c r="BD63"/>
  <c r="BD52"/>
  <c r="BD37"/>
  <c r="AT9"/>
  <c r="N9"/>
  <c r="AE9"/>
  <c r="CI9" i="33" s="1"/>
  <c r="AF9"/>
  <c r="AV9" i="34"/>
  <c r="DF9" i="33" s="1"/>
  <c r="P9" i="34"/>
  <c r="AG9"/>
  <c r="V9"/>
  <c r="BZ9" i="33" s="1"/>
  <c r="AM9" i="34"/>
  <c r="CQ9" i="33" s="1"/>
  <c r="BB9" i="34"/>
  <c r="DL9" i="33" s="1"/>
  <c r="Q9" i="34"/>
  <c r="AH9"/>
  <c r="L9"/>
  <c r="BP9" i="33" s="1"/>
  <c r="AC9" i="34"/>
  <c r="CG9" i="33" s="1"/>
  <c r="AH9"/>
  <c r="R9" i="34"/>
  <c r="BV9" i="33" s="1"/>
  <c r="AI9" i="34"/>
  <c r="CM9" i="33" s="1"/>
  <c r="AJ9"/>
  <c r="T9" i="34"/>
  <c r="BX9" i="33" s="1"/>
  <c r="AK9" i="34"/>
  <c r="CO9" i="33" s="1"/>
  <c r="AZ9" i="34"/>
  <c r="DJ9" i="33" s="1"/>
  <c r="K9" i="34"/>
  <c r="BO9" i="33" s="1"/>
  <c r="AB9" i="34"/>
  <c r="CF9" i="33" s="1"/>
  <c r="I9" i="34"/>
  <c r="BM9" i="33" s="1"/>
  <c r="F64" i="34"/>
  <c r="F65" s="1"/>
  <c r="F66" s="1"/>
  <c r="F39"/>
  <c r="F40" s="1"/>
  <c r="G27"/>
  <c r="G38"/>
  <c r="F53"/>
  <c r="F54" s="1"/>
  <c r="F55" s="1"/>
  <c r="H70" i="12"/>
  <c r="I17" i="10"/>
  <c r="I20" s="1"/>
  <c r="H34"/>
  <c r="H28"/>
  <c r="M108" i="12" s="1"/>
  <c r="K24" i="11"/>
  <c r="H65" i="10"/>
  <c r="H114" i="12"/>
  <c r="S108"/>
  <c r="AC108"/>
  <c r="AK108"/>
  <c r="AR108"/>
  <c r="AZ108"/>
  <c r="BH108"/>
  <c r="P114"/>
  <c r="O114"/>
  <c r="AD114"/>
  <c r="AL114"/>
  <c r="AU114"/>
  <c r="BC114"/>
  <c r="H108"/>
  <c r="P108"/>
  <c r="O108"/>
  <c r="AD108"/>
  <c r="AL108"/>
  <c r="AU108"/>
  <c r="BC108"/>
  <c r="K114"/>
  <c r="V114"/>
  <c r="AA114"/>
  <c r="AI114"/>
  <c r="AP114"/>
  <c r="AX114"/>
  <c r="BF114"/>
  <c r="J108"/>
  <c r="N108"/>
  <c r="AE108"/>
  <c r="AM108"/>
  <c r="AT108"/>
  <c r="AX108"/>
  <c r="BB108"/>
  <c r="BF108"/>
  <c r="I114"/>
  <c r="R114"/>
  <c r="U114"/>
  <c r="T114"/>
  <c r="X114"/>
  <c r="AB114"/>
  <c r="AF114"/>
  <c r="AJ114"/>
  <c r="AO114"/>
  <c r="AS114"/>
  <c r="AW114"/>
  <c r="BA114"/>
  <c r="BE114"/>
  <c r="BI114"/>
  <c r="I108"/>
  <c r="R108"/>
  <c r="U108"/>
  <c r="T108"/>
  <c r="X108"/>
  <c r="AB108"/>
  <c r="AF108"/>
  <c r="AJ108"/>
  <c r="AO108"/>
  <c r="AS108"/>
  <c r="AW108"/>
  <c r="BA108"/>
  <c r="BE108"/>
  <c r="BI108"/>
  <c r="M114"/>
  <c r="Q114"/>
  <c r="S114"/>
  <c r="Y114"/>
  <c r="AC114"/>
  <c r="AG114"/>
  <c r="AK114"/>
  <c r="AN114"/>
  <c r="AR114"/>
  <c r="AV114"/>
  <c r="AZ114"/>
  <c r="BD114"/>
  <c r="BH114"/>
  <c r="S102" i="14"/>
  <c r="M57"/>
  <c r="AD57"/>
  <c r="AD59" s="1"/>
  <c r="AD133" s="1"/>
  <c r="V57"/>
  <c r="V59" s="1"/>
  <c r="V81" s="1"/>
  <c r="AG57"/>
  <c r="AV57"/>
  <c r="AV59" s="1"/>
  <c r="AV106" s="1"/>
  <c r="Q57"/>
  <c r="Q59" s="1"/>
  <c r="Q81" s="1"/>
  <c r="L57"/>
  <c r="L59" s="1"/>
  <c r="L81" s="1"/>
  <c r="H57"/>
  <c r="AA57"/>
  <c r="AA59" s="1"/>
  <c r="AI57"/>
  <c r="AI59" s="1"/>
  <c r="AP57"/>
  <c r="AP59" s="1"/>
  <c r="AX57"/>
  <c r="AH57"/>
  <c r="AH59" s="1"/>
  <c r="AH133" s="1"/>
  <c r="AQ57"/>
  <c r="AY57"/>
  <c r="AY59" s="1"/>
  <c r="AY106" s="1"/>
  <c r="BE57"/>
  <c r="BE59" s="1"/>
  <c r="BE106" s="1"/>
  <c r="BD57"/>
  <c r="BD59" s="1"/>
  <c r="O21" i="4"/>
  <c r="N57" i="14"/>
  <c r="N59" s="1"/>
  <c r="N81" s="1"/>
  <c r="O57"/>
  <c r="O59" s="1"/>
  <c r="T57"/>
  <c r="T59" s="1"/>
  <c r="T106" s="1"/>
  <c r="AC57"/>
  <c r="AR57"/>
  <c r="AR59" s="1"/>
  <c r="AR133" s="1"/>
  <c r="X57"/>
  <c r="X59" s="1"/>
  <c r="AF57"/>
  <c r="AF59" s="1"/>
  <c r="AO57"/>
  <c r="AO59" s="1"/>
  <c r="AW57"/>
  <c r="AW59" s="1"/>
  <c r="BG57"/>
  <c r="BG59" s="1"/>
  <c r="BB57"/>
  <c r="BB59" s="1"/>
  <c r="BB133" s="1"/>
  <c r="K57"/>
  <c r="K59" s="1"/>
  <c r="K81" s="1"/>
  <c r="AN57"/>
  <c r="AN59" s="1"/>
  <c r="AN106" s="1"/>
  <c r="I57"/>
  <c r="S57"/>
  <c r="W57"/>
  <c r="U57"/>
  <c r="AE57"/>
  <c r="AE59" s="1"/>
  <c r="AM57"/>
  <c r="AM59" s="1"/>
  <c r="AT57"/>
  <c r="Z57"/>
  <c r="Z59" s="1"/>
  <c r="AL57"/>
  <c r="AU57"/>
  <c r="AU59" s="1"/>
  <c r="BC57"/>
  <c r="BI57"/>
  <c r="BI59" s="1"/>
  <c r="BH57"/>
  <c r="J57"/>
  <c r="P57"/>
  <c r="P59" s="1"/>
  <c r="R57"/>
  <c r="R59" s="1"/>
  <c r="R106" s="1"/>
  <c r="Y57"/>
  <c r="AK57"/>
  <c r="AK59" s="1"/>
  <c r="AK133" s="1"/>
  <c r="AZ57"/>
  <c r="AZ59" s="1"/>
  <c r="AZ81" s="1"/>
  <c r="AB57"/>
  <c r="AB59" s="1"/>
  <c r="AB133" s="1"/>
  <c r="AJ57"/>
  <c r="AJ59" s="1"/>
  <c r="AS57"/>
  <c r="AS59" s="1"/>
  <c r="AS133" s="1"/>
  <c r="BA57"/>
  <c r="BA59" s="1"/>
  <c r="BA133" s="1"/>
  <c r="BF57"/>
  <c r="BF59" s="1"/>
  <c r="BF133" s="1"/>
  <c r="AJ36"/>
  <c r="AJ93" s="1"/>
  <c r="BA36"/>
  <c r="BA93" s="1"/>
  <c r="M59"/>
  <c r="S59"/>
  <c r="U59"/>
  <c r="R51"/>
  <c r="R53" s="1"/>
  <c r="V51"/>
  <c r="AZ51"/>
  <c r="AR51"/>
  <c r="AR53" s="1"/>
  <c r="AK51"/>
  <c r="AK53" s="1"/>
  <c r="AC51"/>
  <c r="N51"/>
  <c r="P51"/>
  <c r="P53" s="1"/>
  <c r="AU51"/>
  <c r="AU53" s="1"/>
  <c r="AL51"/>
  <c r="AD51"/>
  <c r="AD53" s="1"/>
  <c r="H51"/>
  <c r="K51"/>
  <c r="K53" s="1"/>
  <c r="BB51"/>
  <c r="BB53" s="1"/>
  <c r="AT51"/>
  <c r="AM51"/>
  <c r="AM53" s="1"/>
  <c r="AE51"/>
  <c r="Q51"/>
  <c r="Q53" s="1"/>
  <c r="BG22"/>
  <c r="BB22"/>
  <c r="BB25" s="1"/>
  <c r="BB26" s="1"/>
  <c r="AX22"/>
  <c r="AT22"/>
  <c r="O77"/>
  <c r="O129"/>
  <c r="AY73"/>
  <c r="AY124"/>
  <c r="K10"/>
  <c r="K12" s="1"/>
  <c r="AA36"/>
  <c r="AP36"/>
  <c r="BF36"/>
  <c r="BF120" s="1"/>
  <c r="Q42"/>
  <c r="Q69" s="1"/>
  <c r="AV42"/>
  <c r="AV69" s="1"/>
  <c r="O10"/>
  <c r="O12" s="1"/>
  <c r="AE28" i="24"/>
  <c r="AB28"/>
  <c r="Y28"/>
  <c r="Y26"/>
  <c r="AB26"/>
  <c r="AE26"/>
  <c r="AE30"/>
  <c r="Y30"/>
  <c r="AB30"/>
  <c r="O120" i="14"/>
  <c r="O93"/>
  <c r="U120"/>
  <c r="BD93"/>
  <c r="BD120"/>
  <c r="AO93"/>
  <c r="AO120"/>
  <c r="AB120"/>
  <c r="AB93"/>
  <c r="N93"/>
  <c r="K120"/>
  <c r="K93"/>
  <c r="AY93"/>
  <c r="AY120"/>
  <c r="BG120"/>
  <c r="BG93"/>
  <c r="M120"/>
  <c r="M93"/>
  <c r="BA120"/>
  <c r="Q120"/>
  <c r="AP97"/>
  <c r="AP418" i="9"/>
  <c r="AP419" s="1"/>
  <c r="AP145"/>
  <c r="AP124" i="14"/>
  <c r="AE124"/>
  <c r="AE97"/>
  <c r="AE145" i="9"/>
  <c r="AE248"/>
  <c r="AS248"/>
  <c r="AS68"/>
  <c r="AS124" i="14"/>
  <c r="AS97"/>
  <c r="AS145" i="9"/>
  <c r="AN248"/>
  <c r="AN124" i="14"/>
  <c r="AN145" i="9"/>
  <c r="AN97" i="14"/>
  <c r="BG145" i="9"/>
  <c r="BG68"/>
  <c r="BG97" i="14"/>
  <c r="BG418" i="9"/>
  <c r="BG419" s="1"/>
  <c r="BG124" i="14"/>
  <c r="Q106"/>
  <c r="BE133"/>
  <c r="L145" i="9"/>
  <c r="G23" i="29"/>
  <c r="G144" i="12"/>
  <c r="BG52"/>
  <c r="BG53" s="1"/>
  <c r="BG47" i="26" s="1"/>
  <c r="BG47" i="33" s="1"/>
  <c r="BF557" i="12"/>
  <c r="BF474"/>
  <c r="BF52"/>
  <c r="BH47" i="14"/>
  <c r="BH25"/>
  <c r="BA129"/>
  <c r="BA77"/>
  <c r="S129"/>
  <c r="AX77"/>
  <c r="M102"/>
  <c r="M129"/>
  <c r="AI120"/>
  <c r="AE93"/>
  <c r="AE120"/>
  <c r="AM93"/>
  <c r="N145" i="9"/>
  <c r="N68"/>
  <c r="AH73" i="14"/>
  <c r="AH418" i="9"/>
  <c r="AH419" s="1"/>
  <c r="AH145"/>
  <c r="AY97" i="14"/>
  <c r="AY68" i="9"/>
  <c r="AM124" i="14"/>
  <c r="AM97"/>
  <c r="AM73"/>
  <c r="AG9" i="33"/>
  <c r="CL9"/>
  <c r="AK94" i="29"/>
  <c r="AK9" i="26"/>
  <c r="AK9" i="9"/>
  <c r="AI94" i="29"/>
  <c r="AI9"/>
  <c r="AG94"/>
  <c r="AG9" i="9"/>
  <c r="AE94" i="29"/>
  <c r="AE9" i="9"/>
  <c r="AE9" i="26"/>
  <c r="AE9" i="12"/>
  <c r="AC94" i="29"/>
  <c r="AC9"/>
  <c r="O102" i="14"/>
  <c r="BD24"/>
  <c r="BD26" s="1"/>
  <c r="BD23"/>
  <c r="BD65" s="1"/>
  <c r="AL24"/>
  <c r="Z24"/>
  <c r="Z23"/>
  <c r="Z65" s="1"/>
  <c r="W24"/>
  <c r="BI24"/>
  <c r="BI26" s="1"/>
  <c r="BI23"/>
  <c r="BI65" s="1"/>
  <c r="AZ24"/>
  <c r="AZ26" s="1"/>
  <c r="AZ23"/>
  <c r="AZ65" s="1"/>
  <c r="AN24"/>
  <c r="AN26" s="1"/>
  <c r="AN23"/>
  <c r="AN65" s="1"/>
  <c r="AG24"/>
  <c r="Q24"/>
  <c r="Q23"/>
  <c r="Q65" s="1"/>
  <c r="H24"/>
  <c r="H26" s="1"/>
  <c r="BA23"/>
  <c r="BA65" s="1"/>
  <c r="BA24"/>
  <c r="BA26" s="1"/>
  <c r="AS24"/>
  <c r="AS26" s="1"/>
  <c r="AS23"/>
  <c r="AS65" s="1"/>
  <c r="AJ24"/>
  <c r="AJ26" s="1"/>
  <c r="AJ23"/>
  <c r="AJ65" s="1"/>
  <c r="AB23"/>
  <c r="AB65" s="1"/>
  <c r="AB24"/>
  <c r="AB26" s="1"/>
  <c r="R24"/>
  <c r="AA24"/>
  <c r="J24"/>
  <c r="J26" s="1"/>
  <c r="J23"/>
  <c r="J65" s="1"/>
  <c r="BC24"/>
  <c r="BC26" s="1"/>
  <c r="AU24"/>
  <c r="AU26" s="1"/>
  <c r="AU23"/>
  <c r="AU65" s="1"/>
  <c r="P24"/>
  <c r="P26" s="1"/>
  <c r="P23"/>
  <c r="P65" s="1"/>
  <c r="BI248" i="9"/>
  <c r="BI418"/>
  <c r="BI419" s="1"/>
  <c r="BI145"/>
  <c r="AB418"/>
  <c r="AB419" s="1"/>
  <c r="AB73" i="14"/>
  <c r="AB97"/>
  <c r="BB145" i="9"/>
  <c r="AN69" i="14"/>
  <c r="AR69"/>
  <c r="BI69"/>
  <c r="P69"/>
  <c r="AJ69"/>
  <c r="BF81"/>
  <c r="BA81"/>
  <c r="AS81"/>
  <c r="AJ81"/>
  <c r="AB106"/>
  <c r="AZ133"/>
  <c r="AK106"/>
  <c r="R133"/>
  <c r="P81"/>
  <c r="AN81"/>
  <c r="V133"/>
  <c r="AD106"/>
  <c r="T248" i="9"/>
  <c r="T124" i="14"/>
  <c r="AV124"/>
  <c r="AV97"/>
  <c r="BA248" i="9"/>
  <c r="BA418"/>
  <c r="BA419" s="1"/>
  <c r="BA73" i="14"/>
  <c r="AJ68" i="9"/>
  <c r="AJ145"/>
  <c r="AJ248"/>
  <c r="V68"/>
  <c r="U97" i="14"/>
  <c r="U124"/>
  <c r="AS271" i="12"/>
  <c r="AS505"/>
  <c r="F437" i="9"/>
  <c r="F166"/>
  <c r="AW25" i="14"/>
  <c r="AW26" s="1"/>
  <c r="AW23"/>
  <c r="AW65" s="1"/>
  <c r="AK25"/>
  <c r="AK26" s="1"/>
  <c r="AK23"/>
  <c r="AK65" s="1"/>
  <c r="U25"/>
  <c r="U26" s="1"/>
  <c r="U23"/>
  <c r="U65" s="1"/>
  <c r="BG25"/>
  <c r="BG26" s="1"/>
  <c r="BG23"/>
  <c r="BG65" s="1"/>
  <c r="AX25"/>
  <c r="AX26" s="1"/>
  <c r="G409" i="12"/>
  <c r="G13" i="34" s="1"/>
  <c r="BH26" i="14"/>
  <c r="BH59"/>
  <c r="BH23"/>
  <c r="BH65" s="1"/>
  <c r="N42"/>
  <c r="BB42"/>
  <c r="U42"/>
  <c r="AW42"/>
  <c r="AW69" s="1"/>
  <c r="V346" i="12"/>
  <c r="V195"/>
  <c r="V569"/>
  <c r="T346"/>
  <c r="T569"/>
  <c r="T195"/>
  <c r="T262"/>
  <c r="T124"/>
  <c r="T203"/>
  <c r="W346"/>
  <c r="W195"/>
  <c r="W124"/>
  <c r="W203"/>
  <c r="AA569"/>
  <c r="AA262"/>
  <c r="F303" i="9"/>
  <c r="F149"/>
  <c r="AD26" i="14"/>
  <c r="N26"/>
  <c r="AO26"/>
  <c r="AH26"/>
  <c r="BE53"/>
  <c r="AL53"/>
  <c r="AZ53"/>
  <c r="AC53"/>
  <c r="AC129" s="1"/>
  <c r="AE53"/>
  <c r="BH53"/>
  <c r="BI53"/>
  <c r="BI77" s="1"/>
  <c r="BI84" s="1"/>
  <c r="N53"/>
  <c r="AW53"/>
  <c r="AW77" s="1"/>
  <c r="AF53"/>
  <c r="BD31"/>
  <c r="BD89" s="1"/>
  <c r="AR31"/>
  <c r="AR89" s="1"/>
  <c r="AJ31"/>
  <c r="AJ89" s="1"/>
  <c r="AB31"/>
  <c r="AB89" s="1"/>
  <c r="Q31"/>
  <c r="Q89" s="1"/>
  <c r="BC31"/>
  <c r="BC89" s="1"/>
  <c r="AU31"/>
  <c r="AU89" s="1"/>
  <c r="AI31"/>
  <c r="AI89" s="1"/>
  <c r="W31"/>
  <c r="W89" s="1"/>
  <c r="BH31"/>
  <c r="BH89" s="1"/>
  <c r="S36"/>
  <c r="AK36"/>
  <c r="AZ36"/>
  <c r="P36"/>
  <c r="AD36"/>
  <c r="AU36"/>
  <c r="H36"/>
  <c r="AN36"/>
  <c r="DU74" i="33"/>
  <c r="AI42" i="14"/>
  <c r="BH42"/>
  <c r="S42"/>
  <c r="AZ42"/>
  <c r="AD42"/>
  <c r="T42"/>
  <c r="BA42"/>
  <c r="AW149" i="9"/>
  <c r="BF426"/>
  <c r="BF425" s="1"/>
  <c r="BF149"/>
  <c r="AX426"/>
  <c r="AX425" s="1"/>
  <c r="AX303"/>
  <c r="AE426"/>
  <c r="AE425" s="1"/>
  <c r="AE303"/>
  <c r="V426"/>
  <c r="V425" s="1"/>
  <c r="V149"/>
  <c r="J426"/>
  <c r="J425" s="1"/>
  <c r="J303"/>
  <c r="H426"/>
  <c r="H425" s="1"/>
  <c r="H303"/>
  <c r="BE426"/>
  <c r="BE425" s="1"/>
  <c r="BE303"/>
  <c r="BE149"/>
  <c r="AO149"/>
  <c r="AO303"/>
  <c r="AF303"/>
  <c r="AF426"/>
  <c r="AF425" s="1"/>
  <c r="X303"/>
  <c r="X149"/>
  <c r="U303"/>
  <c r="U426"/>
  <c r="U425" s="1"/>
  <c r="R496" i="12"/>
  <c r="R262"/>
  <c r="R203"/>
  <c r="BE331"/>
  <c r="BE60"/>
  <c r="Y346"/>
  <c r="Y496"/>
  <c r="L10" i="14"/>
  <c r="L12" s="1"/>
  <c r="R577" i="12"/>
  <c r="V577"/>
  <c r="V203"/>
  <c r="V270"/>
  <c r="Y203"/>
  <c r="R354"/>
  <c r="T354"/>
  <c r="Y354"/>
  <c r="R270"/>
  <c r="T270"/>
  <c r="Y270"/>
  <c r="I204"/>
  <c r="K355"/>
  <c r="H271"/>
  <c r="AA390"/>
  <c r="W390"/>
  <c r="V70"/>
  <c r="R79"/>
  <c r="T79"/>
  <c r="Y79"/>
  <c r="W132"/>
  <c r="AA132"/>
  <c r="Y504"/>
  <c r="V504"/>
  <c r="T70"/>
  <c r="Y70"/>
  <c r="V124"/>
  <c r="Y124"/>
  <c r="H262"/>
  <c r="S9" i="26"/>
  <c r="S9" i="33" s="1"/>
  <c r="V9" i="26"/>
  <c r="V9" i="33" s="1"/>
  <c r="Q9" i="26"/>
  <c r="Q9" i="33" s="1"/>
  <c r="J9" i="26"/>
  <c r="J9" i="33" s="1"/>
  <c r="M9" i="26"/>
  <c r="M9" i="33" s="1"/>
  <c r="K9" i="26"/>
  <c r="K9" i="33" s="1"/>
  <c r="H9" i="26"/>
  <c r="H9" i="33" s="1"/>
  <c r="AW9" i="12"/>
  <c r="AU9"/>
  <c r="AS9"/>
  <c r="AQ9"/>
  <c r="AO9"/>
  <c r="AM9" i="26"/>
  <c r="AY9" i="12"/>
  <c r="BC9"/>
  <c r="BA9"/>
  <c r="AL454" i="9"/>
  <c r="AL453" s="1"/>
  <c r="R72" i="3"/>
  <c r="G425" i="9"/>
  <c r="H496" i="12"/>
  <c r="H504"/>
  <c r="BE9" i="9"/>
  <c r="BC9" i="26"/>
  <c r="BC9" i="33" s="1"/>
  <c r="AU9" i="26"/>
  <c r="AU9" i="33" s="1"/>
  <c r="Z9" i="26"/>
  <c r="BI9" i="12"/>
  <c r="BE9"/>
  <c r="K9" i="9"/>
  <c r="Q9"/>
  <c r="AS9"/>
  <c r="X9"/>
  <c r="AJ10" i="14"/>
  <c r="AJ12" s="1"/>
  <c r="BC9" i="9"/>
  <c r="E67" i="14"/>
  <c r="E131"/>
  <c r="L19" i="5"/>
  <c r="L25" s="1"/>
  <c r="L23" s="1"/>
  <c r="L24" s="1"/>
  <c r="K19"/>
  <c r="K25" s="1"/>
  <c r="T19"/>
  <c r="X19"/>
  <c r="X25" s="1"/>
  <c r="X35" s="1"/>
  <c r="X11" i="29" s="1"/>
  <c r="AH19" i="5"/>
  <c r="AH25" s="1"/>
  <c r="AH35" s="1"/>
  <c r="AH11" i="29" s="1"/>
  <c r="AN19" i="5"/>
  <c r="AN25" s="1"/>
  <c r="AN26" s="1"/>
  <c r="AP19"/>
  <c r="AP25" s="1"/>
  <c r="AP23" s="1"/>
  <c r="AP24" s="1"/>
  <c r="AT19"/>
  <c r="AT25" s="1"/>
  <c r="AT35" s="1"/>
  <c r="AT11" i="29" s="1"/>
  <c r="AZ19" i="5"/>
  <c r="AZ25" s="1"/>
  <c r="AZ35" s="1"/>
  <c r="AZ11" i="29" s="1"/>
  <c r="BI10" i="14"/>
  <c r="BI12" s="1"/>
  <c r="AC569" i="12"/>
  <c r="AG569"/>
  <c r="AI569"/>
  <c r="AK569"/>
  <c r="DP63" i="33"/>
  <c r="AG19" i="5"/>
  <c r="AG25" s="1"/>
  <c r="AG35" s="1"/>
  <c r="AG11" i="29" s="1"/>
  <c r="BF60" i="12"/>
  <c r="BF247"/>
  <c r="BF547"/>
  <c r="BF324"/>
  <c r="BB27" i="5"/>
  <c r="BG32"/>
  <c r="BG10" i="26" s="1"/>
  <c r="BG10" i="33" s="1"/>
  <c r="AD25" i="5"/>
  <c r="AD26" s="1"/>
  <c r="AL32"/>
  <c r="AL10" i="26" s="1"/>
  <c r="AL10" i="33" s="1"/>
  <c r="BD25" i="5"/>
  <c r="BD35" s="1"/>
  <c r="BD11" i="29" s="1"/>
  <c r="W14" i="9"/>
  <c r="W421" s="1"/>
  <c r="G12" i="26"/>
  <c r="G12" i="33" s="1"/>
  <c r="AM32" i="5"/>
  <c r="AM10" i="26" s="1"/>
  <c r="AM10" i="33" s="1"/>
  <c r="T14" i="9"/>
  <c r="T421" s="1"/>
  <c r="O14"/>
  <c r="O421" s="1"/>
  <c r="H19" i="5"/>
  <c r="H25" s="1"/>
  <c r="N19"/>
  <c r="N25" s="1"/>
  <c r="N23" s="1"/>
  <c r="N24" s="1"/>
  <c r="N27" s="1"/>
  <c r="I19"/>
  <c r="I25" s="1"/>
  <c r="O19"/>
  <c r="AY25"/>
  <c r="AY35" s="1"/>
  <c r="AY11" i="29" s="1"/>
  <c r="BH25" i="5"/>
  <c r="BH23" s="1"/>
  <c r="BC35"/>
  <c r="BC11" i="29" s="1"/>
  <c r="BC26" i="5"/>
  <c r="F12" i="26"/>
  <c r="F12" i="33" s="1"/>
  <c r="F409" i="12"/>
  <c r="F13" i="34" s="1"/>
  <c r="BG557" i="12"/>
  <c r="BG558" s="1"/>
  <c r="BG33" i="26" s="1"/>
  <c r="BG33" i="33" s="1"/>
  <c r="BG484" i="12"/>
  <c r="BG485" s="1"/>
  <c r="BG24" i="26" s="1"/>
  <c r="BG24" i="33" s="1"/>
  <c r="BG240" i="12"/>
  <c r="BG241" s="1"/>
  <c r="BG58" i="26" s="1"/>
  <c r="BG58" i="33" s="1"/>
  <c r="BG331" i="12"/>
  <c r="BG332" s="1"/>
  <c r="BG70" i="26" s="1"/>
  <c r="BG70" i="33" s="1"/>
  <c r="P14" i="9"/>
  <c r="P421" s="1"/>
  <c r="S14"/>
  <c r="S421" s="1"/>
  <c r="J16" i="5"/>
  <c r="N16"/>
  <c r="AA19"/>
  <c r="AA25" s="1"/>
  <c r="AM19"/>
  <c r="AM25" s="1"/>
  <c r="AM23" s="1"/>
  <c r="AM24" s="1"/>
  <c r="AQ19"/>
  <c r="AQ25" s="1"/>
  <c r="AQ26" s="1"/>
  <c r="AS19"/>
  <c r="AS25" s="1"/>
  <c r="AS28" s="1"/>
  <c r="AW19"/>
  <c r="AW25" s="1"/>
  <c r="AW28" s="1"/>
  <c r="X23"/>
  <c r="X24" s="1"/>
  <c r="Z16"/>
  <c r="AH16"/>
  <c r="AP16"/>
  <c r="AP28" s="1"/>
  <c r="AR16"/>
  <c r="BA16"/>
  <c r="BA28" s="1"/>
  <c r="BC16"/>
  <c r="BC28" s="1"/>
  <c r="BF16"/>
  <c r="N28"/>
  <c r="V25"/>
  <c r="AO25"/>
  <c r="BD26"/>
  <c r="BB26"/>
  <c r="BB28"/>
  <c r="G14" i="29"/>
  <c r="G516" i="12"/>
  <c r="F13" i="29"/>
  <c r="F515" i="12"/>
  <c r="F19" i="34" s="1"/>
  <c r="BE557" i="12"/>
  <c r="BE484"/>
  <c r="BE324"/>
  <c r="BE52"/>
  <c r="BE240"/>
  <c r="AG421" i="9"/>
  <c r="AM421"/>
  <c r="F89" i="12"/>
  <c r="F90" s="1"/>
  <c r="F91" s="1"/>
  <c r="F142"/>
  <c r="F213"/>
  <c r="F214" s="1"/>
  <c r="F215" s="1"/>
  <c r="F364"/>
  <c r="F365" s="1"/>
  <c r="F366" s="1"/>
  <c r="F587"/>
  <c r="F588" s="1"/>
  <c r="F589" s="1"/>
  <c r="F159"/>
  <c r="F163"/>
  <c r="I557"/>
  <c r="I60"/>
  <c r="I247"/>
  <c r="I547"/>
  <c r="I52"/>
  <c r="BI32" i="5"/>
  <c r="BI10" i="26" s="1"/>
  <c r="BI10" i="33" s="1"/>
  <c r="I26" i="5"/>
  <c r="AX25"/>
  <c r="AV25"/>
  <c r="AV26" s="1"/>
  <c r="AR25"/>
  <c r="AR23" s="1"/>
  <c r="AR24" s="1"/>
  <c r="AJ25"/>
  <c r="AF25"/>
  <c r="AF35" s="1"/>
  <c r="AF11" i="29" s="1"/>
  <c r="AB25" i="5"/>
  <c r="O25"/>
  <c r="O26" s="1"/>
  <c r="O29" s="1"/>
  <c r="BF25"/>
  <c r="BF35" s="1"/>
  <c r="BF11" i="29" s="1"/>
  <c r="T25" i="5"/>
  <c r="T23" s="1"/>
  <c r="T24" s="1"/>
  <c r="AC19"/>
  <c r="AC25" s="1"/>
  <c r="AC35" s="1"/>
  <c r="AC11" i="29" s="1"/>
  <c r="AE19" i="5"/>
  <c r="AE25" s="1"/>
  <c r="AE23" s="1"/>
  <c r="AE24" s="1"/>
  <c r="Y19"/>
  <c r="Y25" s="1"/>
  <c r="F18" i="26"/>
  <c r="F18" i="33" s="1"/>
  <c r="P26" i="5"/>
  <c r="P35"/>
  <c r="P11" i="29" s="1"/>
  <c r="P23" i="5"/>
  <c r="P24" s="1"/>
  <c r="P27" s="1"/>
  <c r="P28"/>
  <c r="BE120" i="14"/>
  <c r="BB69"/>
  <c r="N35" i="5"/>
  <c r="N11" i="29" s="1"/>
  <c r="AM145" i="9"/>
  <c r="AM418"/>
  <c r="AM419" s="1"/>
  <c r="AM68"/>
  <c r="AM248"/>
  <c r="AP68"/>
  <c r="AP248"/>
  <c r="AE418"/>
  <c r="AE419" s="1"/>
  <c r="AE73" i="14"/>
  <c r="AE68" i="9"/>
  <c r="AU35" i="5"/>
  <c r="AU11" i="29" s="1"/>
  <c r="AU26" i="5"/>
  <c r="P97" i="14"/>
  <c r="P248" i="9"/>
  <c r="P418"/>
  <c r="P419" s="1"/>
  <c r="P145"/>
  <c r="AH248"/>
  <c r="AH124" i="14"/>
  <c r="AH68" i="9"/>
  <c r="AH97" i="14"/>
  <c r="AY145" i="9"/>
  <c r="AY248"/>
  <c r="AY418"/>
  <c r="AY419" s="1"/>
  <c r="AX69" i="14"/>
  <c r="AK69"/>
  <c r="AU69"/>
  <c r="U145" i="9"/>
  <c r="U248"/>
  <c r="U418"/>
  <c r="U419" s="1"/>
  <c r="U73" i="14"/>
  <c r="AA248" i="9"/>
  <c r="AA418"/>
  <c r="L73" i="14"/>
  <c r="L418" i="9"/>
  <c r="L419" s="1"/>
  <c r="AD9" i="33"/>
  <c r="BR9"/>
  <c r="BT9"/>
  <c r="CK9"/>
  <c r="AL9"/>
  <c r="BC38" i="5"/>
  <c r="BC27"/>
  <c r="V418" i="9"/>
  <c r="V419" s="1"/>
  <c r="AJ418"/>
  <c r="AJ124" i="14"/>
  <c r="AJ97"/>
  <c r="AJ73"/>
  <c r="BA124"/>
  <c r="BA137" s="1"/>
  <c r="BA68" i="9"/>
  <c r="AG248"/>
  <c r="AG97" i="14"/>
  <c r="AG124"/>
  <c r="AV68" i="9"/>
  <c r="AV248"/>
  <c r="AV418"/>
  <c r="AV419" s="1"/>
  <c r="AV73" i="14"/>
  <c r="T68" i="9"/>
  <c r="T145"/>
  <c r="T418"/>
  <c r="T419" s="1"/>
  <c r="T73" i="14"/>
  <c r="AV133"/>
  <c r="L106"/>
  <c r="L133"/>
  <c r="AH106"/>
  <c r="AY81"/>
  <c r="BD97"/>
  <c r="BD418" i="9"/>
  <c r="BD124" i="14"/>
  <c r="AW23" i="5"/>
  <c r="AW24" s="1"/>
  <c r="AE28"/>
  <c r="N124" i="14"/>
  <c r="N73"/>
  <c r="N97"/>
  <c r="BG106"/>
  <c r="AW81"/>
  <c r="AO106"/>
  <c r="AF133"/>
  <c r="X133"/>
  <c r="X106"/>
  <c r="AR106"/>
  <c r="T81"/>
  <c r="O106"/>
  <c r="N133"/>
  <c r="AG23" i="5"/>
  <c r="AG24" s="1"/>
  <c r="AM35"/>
  <c r="AM11" i="29" s="1"/>
  <c r="AY26" i="5"/>
  <c r="BE35"/>
  <c r="BE11" i="29" s="1"/>
  <c r="DD9" i="33"/>
  <c r="BG547" i="12"/>
  <c r="BG548" s="1"/>
  <c r="BG32" i="26" s="1"/>
  <c r="BG32" i="33" s="1"/>
  <c r="BG247" i="12"/>
  <c r="BG248" s="1"/>
  <c r="BG59" i="26" s="1"/>
  <c r="BG59" i="33" s="1"/>
  <c r="BG60" i="12"/>
  <c r="BG61" s="1"/>
  <c r="BG48" i="26" s="1"/>
  <c r="BG48" i="33" s="1"/>
  <c r="BG324" i="12"/>
  <c r="BG325" s="1"/>
  <c r="BG69" i="26" s="1"/>
  <c r="AA9" i="33"/>
  <c r="AE72" i="9"/>
  <c r="H149"/>
  <c r="AN72"/>
  <c r="AR72"/>
  <c r="AV72"/>
  <c r="AZ72"/>
  <c r="BD72"/>
  <c r="U252"/>
  <c r="X252"/>
  <c r="AB252"/>
  <c r="AF252"/>
  <c r="AJ252"/>
  <c r="AO252"/>
  <c r="AW252"/>
  <c r="BE252"/>
  <c r="J252"/>
  <c r="V252"/>
  <c r="N252"/>
  <c r="AE252"/>
  <c r="AI252"/>
  <c r="BF252"/>
  <c r="AR303"/>
  <c r="BD149"/>
  <c r="N303"/>
  <c r="J149"/>
  <c r="AJ149"/>
  <c r="BU9" i="33"/>
  <c r="AC9" i="26"/>
  <c r="AC9" i="12"/>
  <c r="AE9" i="29"/>
  <c r="AG9"/>
  <c r="AG9" i="12"/>
  <c r="AI9"/>
  <c r="AI9" i="26"/>
  <c r="AK9" i="29"/>
  <c r="AK9" i="12"/>
  <c r="X354"/>
  <c r="X132"/>
  <c r="X195"/>
  <c r="X398"/>
  <c r="X504"/>
  <c r="X569"/>
  <c r="X346"/>
  <c r="H247"/>
  <c r="H60"/>
  <c r="H331"/>
  <c r="H547"/>
  <c r="AH17" i="5"/>
  <c r="AZ149" i="9"/>
  <c r="BD426"/>
  <c r="BD425" s="1"/>
  <c r="BF32" i="5"/>
  <c r="BF10" i="26" s="1"/>
  <c r="BF10" i="33" s="1"/>
  <c r="AW303" i="9"/>
  <c r="AF149"/>
  <c r="X426"/>
  <c r="X425" s="1"/>
  <c r="U149"/>
  <c r="BA9" i="26"/>
  <c r="BA9" i="33" s="1"/>
  <c r="AW9" i="26"/>
  <c r="AW9" i="33" s="1"/>
  <c r="AS9" i="26"/>
  <c r="AS9" i="33" s="1"/>
  <c r="AO9" i="26"/>
  <c r="AO9" i="33" s="1"/>
  <c r="X9" i="26"/>
  <c r="S9" i="12"/>
  <c r="V9"/>
  <c r="Q9"/>
  <c r="J9"/>
  <c r="M9"/>
  <c r="K9"/>
  <c r="H9"/>
  <c r="AM132"/>
  <c r="AQ577"/>
  <c r="AS504"/>
  <c r="AU398"/>
  <c r="AY577"/>
  <c r="BA504"/>
  <c r="BC398"/>
  <c r="AS70"/>
  <c r="AY79"/>
  <c r="W47" i="14"/>
  <c r="AU79" i="12"/>
  <c r="AO70"/>
  <c r="AM390"/>
  <c r="AM504"/>
  <c r="AM577"/>
  <c r="AE390"/>
  <c r="AE504"/>
  <c r="AE577"/>
  <c r="BC504"/>
  <c r="BA577"/>
  <c r="AW398"/>
  <c r="AU504"/>
  <c r="AS577"/>
  <c r="AO398"/>
  <c r="BH9"/>
  <c r="BD9"/>
  <c r="O9"/>
  <c r="BD9" i="26"/>
  <c r="BH9"/>
  <c r="BH9" i="33" s="1"/>
  <c r="BI16" i="5"/>
  <c r="BE16"/>
  <c r="BE28" s="1"/>
  <c r="H9" i="9"/>
  <c r="M9"/>
  <c r="J9"/>
  <c r="V9"/>
  <c r="AT16" i="5"/>
  <c r="AT28" s="1"/>
  <c r="AJ16"/>
  <c r="AJ28" s="1"/>
  <c r="AF16"/>
  <c r="AB16"/>
  <c r="AB28" s="1"/>
  <c r="X16"/>
  <c r="X28" s="1"/>
  <c r="AM9" i="9"/>
  <c r="AR10" i="14"/>
  <c r="AR12" s="1"/>
  <c r="BB9" i="9"/>
  <c r="AU9"/>
  <c r="AQ9"/>
  <c r="Z9"/>
  <c r="BA9"/>
  <c r="Q16" i="5"/>
  <c r="M16"/>
  <c r="BB9" i="29"/>
  <c r="DQ74" i="33"/>
  <c r="BJ60"/>
  <c r="CZ9"/>
  <c r="DA9"/>
  <c r="CY9"/>
  <c r="G65" i="26"/>
  <c r="G64" i="33"/>
  <c r="CU37"/>
  <c r="G38"/>
  <c r="CS52"/>
  <c r="CS37"/>
  <c r="F84" i="26"/>
  <c r="F85" s="1"/>
  <c r="F86" s="1"/>
  <c r="DP37" i="33"/>
  <c r="E44"/>
  <c r="DN37"/>
  <c r="F54" i="26"/>
  <c r="G27"/>
  <c r="G27" i="33" s="1"/>
  <c r="F38" i="26"/>
  <c r="G53"/>
  <c r="BJ79" i="33"/>
  <c r="CJ67" i="30"/>
  <c r="CJ82" s="1"/>
  <c r="CG67"/>
  <c r="CO67"/>
  <c r="BZ67"/>
  <c r="CD67"/>
  <c r="CD81" s="1"/>
  <c r="CK67"/>
  <c r="CL67"/>
  <c r="AA82"/>
  <c r="T82"/>
  <c r="AB82"/>
  <c r="U82"/>
  <c r="AL82"/>
  <c r="AP82"/>
  <c r="AW82"/>
  <c r="AO82"/>
  <c r="AV82"/>
  <c r="BP82"/>
  <c r="BI82"/>
  <c r="BO81"/>
  <c r="BH82"/>
  <c r="CB81"/>
  <c r="CI82"/>
  <c r="CA82"/>
  <c r="CH81"/>
  <c r="AC82"/>
  <c r="V82"/>
  <c r="R82"/>
  <c r="Z82"/>
  <c r="AN82"/>
  <c r="AU82"/>
  <c r="AM82"/>
  <c r="AT82"/>
  <c r="BN81"/>
  <c r="BG82"/>
  <c r="BV82"/>
  <c r="BQ81"/>
  <c r="BJ82"/>
  <c r="BF82"/>
  <c r="BZ81"/>
  <c r="CK82"/>
  <c r="CP82"/>
  <c r="CC82"/>
  <c r="AF82"/>
  <c r="X82"/>
  <c r="AG82"/>
  <c r="Y82"/>
  <c r="AX82"/>
  <c r="AS82"/>
  <c r="BA82"/>
  <c r="BU82"/>
  <c r="BM82"/>
  <c r="BT81"/>
  <c r="BL81"/>
  <c r="CF82"/>
  <c r="CN82"/>
  <c r="CE82"/>
  <c r="CM82"/>
  <c r="CQ82"/>
  <c r="U81"/>
  <c r="Z81"/>
  <c r="AB81"/>
  <c r="AM81"/>
  <c r="AO81"/>
  <c r="AT81"/>
  <c r="AV81"/>
  <c r="BG81"/>
  <c r="BI81"/>
  <c r="BP81"/>
  <c r="BV81"/>
  <c r="CA81"/>
  <c r="CC81"/>
  <c r="CP81"/>
  <c r="BO82"/>
  <c r="BQ82"/>
  <c r="BZ82"/>
  <c r="CB82"/>
  <c r="AD82"/>
  <c r="AI82"/>
  <c r="AE82"/>
  <c r="W82"/>
  <c r="AR82"/>
  <c r="AZ82"/>
  <c r="AQ82"/>
  <c r="BC82"/>
  <c r="BW82"/>
  <c r="BS82"/>
  <c r="BK82"/>
  <c r="BR81"/>
  <c r="CL82"/>
  <c r="CG82"/>
  <c r="CO82"/>
  <c r="R81"/>
  <c r="T81"/>
  <c r="V81"/>
  <c r="AA81"/>
  <c r="AC81"/>
  <c r="AL81"/>
  <c r="AN81"/>
  <c r="AP81"/>
  <c r="AU81"/>
  <c r="AW81"/>
  <c r="BF81"/>
  <c r="BH81"/>
  <c r="BJ81"/>
  <c r="CI81"/>
  <c r="CK81"/>
  <c r="DP43" i="33"/>
  <c r="W81" i="30"/>
  <c r="Y81"/>
  <c r="AE81"/>
  <c r="AG81"/>
  <c r="AI81"/>
  <c r="AQ81"/>
  <c r="AS81"/>
  <c r="BA81"/>
  <c r="BC81"/>
  <c r="BK81"/>
  <c r="BM81"/>
  <c r="BS81"/>
  <c r="BU81"/>
  <c r="BW81"/>
  <c r="CE81"/>
  <c r="CG81"/>
  <c r="CM81"/>
  <c r="CO81"/>
  <c r="CQ81"/>
  <c r="BL82"/>
  <c r="BR82"/>
  <c r="BT82"/>
  <c r="X81"/>
  <c r="AD81"/>
  <c r="AF81"/>
  <c r="AR81"/>
  <c r="AX81"/>
  <c r="AZ81"/>
  <c r="CF81"/>
  <c r="CL81"/>
  <c r="CN81"/>
  <c r="Q153"/>
  <c r="BE156"/>
  <c r="BE152"/>
  <c r="BE134"/>
  <c r="AK310"/>
  <c r="AK296"/>
  <c r="AK288"/>
  <c r="AK280"/>
  <c r="AK272"/>
  <c r="AK264"/>
  <c r="AK252"/>
  <c r="AK240"/>
  <c r="AK232"/>
  <c r="AK224"/>
  <c r="AK212"/>
  <c r="AK200"/>
  <c r="AK174"/>
  <c r="AK166"/>
  <c r="AK158"/>
  <c r="AK142"/>
  <c r="AK118"/>
  <c r="AK102"/>
  <c r="AK94"/>
  <c r="AK77"/>
  <c r="AK55"/>
  <c r="AK41"/>
  <c r="AK33"/>
  <c r="BE127"/>
  <c r="BE76"/>
  <c r="AK301"/>
  <c r="AK281"/>
  <c r="AK265"/>
  <c r="AK241"/>
  <c r="AK225"/>
  <c r="AK201"/>
  <c r="AK165"/>
  <c r="AK133"/>
  <c r="AK97"/>
  <c r="AK56"/>
  <c r="AK32"/>
  <c r="BE27"/>
  <c r="BE15"/>
  <c r="BE25"/>
  <c r="AK61"/>
  <c r="AK122"/>
  <c r="AK144"/>
  <c r="BE182"/>
  <c r="AK192"/>
  <c r="AK202"/>
  <c r="BE225"/>
  <c r="BE239"/>
  <c r="BE258"/>
  <c r="BE271"/>
  <c r="BE167"/>
  <c r="BE135"/>
  <c r="BE97"/>
  <c r="BE70"/>
  <c r="BE40"/>
  <c r="AK251"/>
  <c r="AK227"/>
  <c r="AK171"/>
  <c r="AK155"/>
  <c r="AK111"/>
  <c r="AK91"/>
  <c r="AK54"/>
  <c r="BE201"/>
  <c r="AK9"/>
  <c r="AK17"/>
  <c r="AK23"/>
  <c r="BE108"/>
  <c r="BE175"/>
  <c r="AK194"/>
  <c r="AK218"/>
  <c r="BE256"/>
  <c r="AK207"/>
  <c r="AK187"/>
  <c r="AK14"/>
  <c r="AK58"/>
  <c r="AK195"/>
  <c r="BE87"/>
  <c r="AK121"/>
  <c r="BE16"/>
  <c r="BE179"/>
  <c r="BE286"/>
  <c r="BE73"/>
  <c r="AK45"/>
  <c r="AK59"/>
  <c r="AK124"/>
  <c r="BE140"/>
  <c r="AK180"/>
  <c r="AK190"/>
  <c r="AK198"/>
  <c r="AK216"/>
  <c r="BE227"/>
  <c r="BE247"/>
  <c r="BE261"/>
  <c r="BE277"/>
  <c r="AK263"/>
  <c r="AK307"/>
  <c r="AK267"/>
  <c r="AK10"/>
  <c r="AK18"/>
  <c r="AK46"/>
  <c r="AK107"/>
  <c r="AK179"/>
  <c r="AK259"/>
  <c r="BE46"/>
  <c r="AK12"/>
  <c r="AK72"/>
  <c r="AK141"/>
  <c r="AK257"/>
  <c r="BE48"/>
  <c r="BE137"/>
  <c r="BE191"/>
  <c r="BE255"/>
  <c r="AK57"/>
  <c r="AK304"/>
  <c r="BE128"/>
  <c r="AK22"/>
  <c r="AK30"/>
  <c r="AK50"/>
  <c r="AK74"/>
  <c r="AK123"/>
  <c r="AK143"/>
  <c r="AK183"/>
  <c r="AK215"/>
  <c r="BE14"/>
  <c r="BE30"/>
  <c r="BE58"/>
  <c r="BE123"/>
  <c r="AK20"/>
  <c r="AK48"/>
  <c r="AK105"/>
  <c r="AK129"/>
  <c r="AK181"/>
  <c r="AK217"/>
  <c r="AK305"/>
  <c r="BE24"/>
  <c r="BE74"/>
  <c r="BE125"/>
  <c r="BE143"/>
  <c r="BE183"/>
  <c r="BE195"/>
  <c r="BE217"/>
  <c r="BE259"/>
  <c r="BE302"/>
  <c r="AK73"/>
  <c r="AK128"/>
  <c r="BE57"/>
  <c r="BE104"/>
  <c r="BE306"/>
  <c r="AK191"/>
  <c r="AK199"/>
  <c r="AK255"/>
  <c r="BE10"/>
  <c r="BE18"/>
  <c r="BE26"/>
  <c r="BE44"/>
  <c r="BE50"/>
  <c r="BE72"/>
  <c r="BE107"/>
  <c r="BE139"/>
  <c r="AK16"/>
  <c r="AK24"/>
  <c r="AK44"/>
  <c r="AK60"/>
  <c r="AK87"/>
  <c r="AK109"/>
  <c r="AK125"/>
  <c r="AK137"/>
  <c r="AK151"/>
  <c r="AK185"/>
  <c r="AK197"/>
  <c r="AK245"/>
  <c r="AK297"/>
  <c r="BE12"/>
  <c r="BE20"/>
  <c r="BE28"/>
  <c r="BE60"/>
  <c r="BE105"/>
  <c r="BE121"/>
  <c r="BE129"/>
  <c r="BE141"/>
  <c r="BE151"/>
  <c r="BE181"/>
  <c r="BE185"/>
  <c r="BE193"/>
  <c r="BE197"/>
  <c r="BE215"/>
  <c r="BE245"/>
  <c r="BE257"/>
  <c r="BE280"/>
  <c r="BE294"/>
  <c r="BE310"/>
  <c r="AK71"/>
  <c r="AK79"/>
  <c r="AK120"/>
  <c r="AK210"/>
  <c r="AK306"/>
  <c r="BE71"/>
  <c r="BE79"/>
  <c r="BE120"/>
  <c r="BE210"/>
  <c r="BE311"/>
  <c r="CU63" i="33"/>
  <c r="CU43"/>
  <c r="CU28"/>
  <c r="DN63"/>
  <c r="DN52"/>
  <c r="DN28"/>
  <c r="DP52"/>
  <c r="DP28"/>
  <c r="DC43"/>
  <c r="AN9" i="29"/>
  <c r="J8" i="4"/>
  <c r="BF15" i="14"/>
  <c r="BF17" s="1"/>
  <c r="S15"/>
  <c r="Q15"/>
  <c r="Q17" s="1"/>
  <c r="BH15"/>
  <c r="BH17" s="1"/>
  <c r="AW15"/>
  <c r="AW17" s="1"/>
  <c r="R15"/>
  <c r="AR15"/>
  <c r="AR17" s="1"/>
  <c r="AA15"/>
  <c r="AA17" s="1"/>
  <c r="W15"/>
  <c r="W17" s="1"/>
  <c r="AY15"/>
  <c r="AY17" s="1"/>
  <c r="AC15"/>
  <c r="AC17" s="1"/>
  <c r="BC15"/>
  <c r="BC17" s="1"/>
  <c r="AL15"/>
  <c r="AL17" s="1"/>
  <c r="BE15"/>
  <c r="BE17" s="1"/>
  <c r="AK15"/>
  <c r="AK17" s="1"/>
  <c r="U15"/>
  <c r="U17" s="1"/>
  <c r="AX15"/>
  <c r="AX17" s="1"/>
  <c r="P15"/>
  <c r="P17" s="1"/>
  <c r="AQ15"/>
  <c r="AQ17" s="1"/>
  <c r="H15"/>
  <c r="H17" s="1"/>
  <c r="BB15"/>
  <c r="BB17" s="1"/>
  <c r="Y15"/>
  <c r="Y17" s="1"/>
  <c r="O15"/>
  <c r="O17" s="1"/>
  <c r="BA15"/>
  <c r="BA17" s="1"/>
  <c r="AS15"/>
  <c r="AS17" s="1"/>
  <c r="AO15"/>
  <c r="AO17" s="1"/>
  <c r="AJ15"/>
  <c r="AJ17" s="1"/>
  <c r="AF15"/>
  <c r="AF17" s="1"/>
  <c r="AB15"/>
  <c r="AB17" s="1"/>
  <c r="T15"/>
  <c r="T17" s="1"/>
  <c r="AZ15"/>
  <c r="AZ17" s="1"/>
  <c r="AV15"/>
  <c r="AV17" s="1"/>
  <c r="AN15"/>
  <c r="AN17" s="1"/>
  <c r="AM15"/>
  <c r="AM17" s="1"/>
  <c r="AI15"/>
  <c r="AI17" s="1"/>
  <c r="I15"/>
  <c r="I17" s="1"/>
  <c r="BD15"/>
  <c r="BD17" s="1"/>
  <c r="X15"/>
  <c r="X17" s="1"/>
  <c r="V15"/>
  <c r="V17" s="1"/>
  <c r="AE15"/>
  <c r="AE17" s="1"/>
  <c r="L15"/>
  <c r="L17" s="1"/>
  <c r="J15"/>
  <c r="J17" s="1"/>
  <c r="AT15"/>
  <c r="AT17" s="1"/>
  <c r="BG15"/>
  <c r="BG17" s="1"/>
  <c r="AU15"/>
  <c r="AU17" s="1"/>
  <c r="AD15"/>
  <c r="AD17" s="1"/>
  <c r="AH15"/>
  <c r="AH17" s="1"/>
  <c r="M15"/>
  <c r="M17" s="1"/>
  <c r="AG15"/>
  <c r="AG17" s="1"/>
  <c r="BI15"/>
  <c r="BI17" s="1"/>
  <c r="Z15"/>
  <c r="Z17" s="1"/>
  <c r="K15"/>
  <c r="K17" s="1"/>
  <c r="AP15"/>
  <c r="AP17" s="1"/>
  <c r="N15"/>
  <c r="N17" s="1"/>
  <c r="R17"/>
  <c r="S17"/>
  <c r="J77"/>
  <c r="J129"/>
  <c r="J102"/>
  <c r="BH129"/>
  <c r="BH77"/>
  <c r="BH102"/>
  <c r="AW102"/>
  <c r="AN102"/>
  <c r="AN77"/>
  <c r="AN84" s="1"/>
  <c r="AN129"/>
  <c r="O23" i="5"/>
  <c r="O24" s="1"/>
  <c r="S68" i="9"/>
  <c r="S73" i="14"/>
  <c r="AU133"/>
  <c r="AU106"/>
  <c r="AU81"/>
  <c r="W252" i="9"/>
  <c r="W426"/>
  <c r="W425" s="1"/>
  <c r="W303"/>
  <c r="W72"/>
  <c r="W149"/>
  <c r="Y149"/>
  <c r="Y426"/>
  <c r="Y252"/>
  <c r="Y303"/>
  <c r="Y72"/>
  <c r="AU252"/>
  <c r="AU72"/>
  <c r="AU303"/>
  <c r="AU149"/>
  <c r="AU426"/>
  <c r="AU425" s="1"/>
  <c r="E278"/>
  <c r="E399"/>
  <c r="E187"/>
  <c r="E454"/>
  <c r="E98"/>
  <c r="AY69" i="14"/>
  <c r="BG221" i="12"/>
  <c r="BG26" i="5"/>
  <c r="BG97" i="12"/>
  <c r="BG25"/>
  <c r="BG539"/>
  <c r="BG372"/>
  <c r="BG465"/>
  <c r="BG168"/>
  <c r="BG305"/>
  <c r="F399" i="9"/>
  <c r="F454"/>
  <c r="F187"/>
  <c r="F278"/>
  <c r="F98"/>
  <c r="L271" i="12"/>
  <c r="L578"/>
  <c r="L505"/>
  <c r="L355"/>
  <c r="L204"/>
  <c r="U10" i="14"/>
  <c r="U12" s="1"/>
  <c r="AF10"/>
  <c r="AF12" s="1"/>
  <c r="AM10"/>
  <c r="AM12" s="1"/>
  <c r="AO10"/>
  <c r="AO12" s="1"/>
  <c r="AS10"/>
  <c r="AS12" s="1"/>
  <c r="AZ10"/>
  <c r="AZ12" s="1"/>
  <c r="X10"/>
  <c r="X12" s="1"/>
  <c r="BH9" i="29"/>
  <c r="P10" i="14"/>
  <c r="P12" s="1"/>
  <c r="M9" i="29"/>
  <c r="AC10" i="14"/>
  <c r="AC12" s="1"/>
  <c r="AL10"/>
  <c r="AL12" s="1"/>
  <c r="AQ10"/>
  <c r="AQ12" s="1"/>
  <c r="AU10"/>
  <c r="AU12" s="1"/>
  <c r="AA10"/>
  <c r="AA12" s="1"/>
  <c r="AK25" i="5"/>
  <c r="AV9" i="29"/>
  <c r="L102" i="14"/>
  <c r="L129"/>
  <c r="L77"/>
  <c r="BI102"/>
  <c r="BI110" s="1"/>
  <c r="AF102"/>
  <c r="AF129"/>
  <c r="AF77"/>
  <c r="AF84" s="1"/>
  <c r="U102"/>
  <c r="U77"/>
  <c r="U129"/>
  <c r="U137" s="1"/>
  <c r="AC102"/>
  <c r="AC77"/>
  <c r="AJ102"/>
  <c r="AJ129"/>
  <c r="AJ77"/>
  <c r="T77"/>
  <c r="T102"/>
  <c r="T129"/>
  <c r="Z77"/>
  <c r="Z102"/>
  <c r="Z129"/>
  <c r="I77"/>
  <c r="I129"/>
  <c r="I102"/>
  <c r="AI102"/>
  <c r="AI129"/>
  <c r="AI77"/>
  <c r="AV35" i="5"/>
  <c r="AV11" i="29" s="1"/>
  <c r="AV23" i="5"/>
  <c r="AV24" s="1"/>
  <c r="AV28"/>
  <c r="AJ35"/>
  <c r="AJ11" i="29" s="1"/>
  <c r="AB23" i="5"/>
  <c r="AB24" s="1"/>
  <c r="S106" i="14"/>
  <c r="S133"/>
  <c r="S81"/>
  <c r="BD106"/>
  <c r="BD81"/>
  <c r="BD133"/>
  <c r="Z106"/>
  <c r="Z81"/>
  <c r="Z133"/>
  <c r="AM106"/>
  <c r="AM81"/>
  <c r="AM133"/>
  <c r="AE133"/>
  <c r="AE106"/>
  <c r="AE81"/>
  <c r="Q124"/>
  <c r="Q97"/>
  <c r="Q73"/>
  <c r="Q248" i="9"/>
  <c r="Q418"/>
  <c r="Q68"/>
  <c r="Q145"/>
  <c r="AO31" i="5"/>
  <c r="AO73" i="3"/>
  <c r="AO72"/>
  <c r="AS31" i="5"/>
  <c r="AS73" i="3"/>
  <c r="AS72"/>
  <c r="BB31" i="5"/>
  <c r="BB73" i="3"/>
  <c r="BB72"/>
  <c r="T26" i="5"/>
  <c r="AZ23"/>
  <c r="AZ24" s="1"/>
  <c r="AZ26"/>
  <c r="AN35"/>
  <c r="AN11" i="29" s="1"/>
  <c r="AN28" i="5"/>
  <c r="AH23"/>
  <c r="AH24" s="1"/>
  <c r="AH38" s="1"/>
  <c r="AD28"/>
  <c r="AD23"/>
  <c r="AD24" s="1"/>
  <c r="X26"/>
  <c r="BH106" i="14"/>
  <c r="BH133"/>
  <c r="BH81"/>
  <c r="BI133"/>
  <c r="BI81"/>
  <c r="BI106"/>
  <c r="AP81"/>
  <c r="AP106"/>
  <c r="AP133"/>
  <c r="AI106"/>
  <c r="AI81"/>
  <c r="AI133"/>
  <c r="AA106"/>
  <c r="AA81"/>
  <c r="AA133"/>
  <c r="X69"/>
  <c r="AZ124"/>
  <c r="AZ68" i="9"/>
  <c r="AZ248"/>
  <c r="AZ97" i="14"/>
  <c r="AK68" i="9"/>
  <c r="AK248"/>
  <c r="I97" i="14"/>
  <c r="I73"/>
  <c r="I248" i="9"/>
  <c r="I418"/>
  <c r="I124" i="14"/>
  <c r="I145" i="9"/>
  <c r="I68"/>
  <c r="AO248"/>
  <c r="AO418"/>
  <c r="AQ31" i="5"/>
  <c r="AQ72" i="3"/>
  <c r="AQ73"/>
  <c r="AU72"/>
  <c r="AU31" i="5"/>
  <c r="AU73" i="3"/>
  <c r="W19" i="5"/>
  <c r="W25" s="1"/>
  <c r="V13"/>
  <c r="V73" i="3"/>
  <c r="M19" i="5"/>
  <c r="M25" s="1"/>
  <c r="AI19"/>
  <c r="AI25" s="1"/>
  <c r="Z19"/>
  <c r="Z25" s="1"/>
  <c r="AB72" i="3"/>
  <c r="AB73"/>
  <c r="AB31" i="5"/>
  <c r="S19"/>
  <c r="S25" s="1"/>
  <c r="U19"/>
  <c r="U25" s="1"/>
  <c r="J19"/>
  <c r="J25" s="1"/>
  <c r="Q13"/>
  <c r="Q73" i="3"/>
  <c r="R17" i="5"/>
  <c r="AX17"/>
  <c r="AX10" i="14"/>
  <c r="AX12" s="1"/>
  <c r="I10"/>
  <c r="I12" s="1"/>
  <c r="BB10"/>
  <c r="BB12" s="1"/>
  <c r="AH10"/>
  <c r="AH12" s="1"/>
  <c r="R19" i="5"/>
  <c r="R25" s="1"/>
  <c r="S9" i="29"/>
  <c r="AN10" i="14"/>
  <c r="AN12" s="1"/>
  <c r="M47"/>
  <c r="AV10"/>
  <c r="AV12" s="1"/>
  <c r="AD10"/>
  <c r="AD12" s="1"/>
  <c r="BG10"/>
  <c r="BG12" s="1"/>
  <c r="BX81" i="30"/>
  <c r="BA35" i="5"/>
  <c r="BA11" i="29" s="1"/>
  <c r="BA23" i="5"/>
  <c r="BA24" s="1"/>
  <c r="BA26"/>
  <c r="BE102" i="14"/>
  <c r="BE77"/>
  <c r="AZ77"/>
  <c r="BD77"/>
  <c r="BD84" s="1"/>
  <c r="BD129"/>
  <c r="BD137" s="1"/>
  <c r="BD102"/>
  <c r="AB102"/>
  <c r="AB110" s="1"/>
  <c r="AE77"/>
  <c r="AE102"/>
  <c r="AE109" s="1"/>
  <c r="AY129"/>
  <c r="AY77"/>
  <c r="AY84" s="1"/>
  <c r="AV77"/>
  <c r="AV102"/>
  <c r="AV129"/>
  <c r="N129"/>
  <c r="N77"/>
  <c r="BG102"/>
  <c r="BG110" s="1"/>
  <c r="BG77"/>
  <c r="BG84" s="1"/>
  <c r="X129"/>
  <c r="X102"/>
  <c r="AA129"/>
  <c r="AA77"/>
  <c r="W93"/>
  <c r="W120"/>
  <c r="S120"/>
  <c r="S93"/>
  <c r="AK93"/>
  <c r="AK120"/>
  <c r="AN120"/>
  <c r="AN93"/>
  <c r="M133"/>
  <c r="M106"/>
  <c r="M81"/>
  <c r="AL102"/>
  <c r="AL129"/>
  <c r="AS102"/>
  <c r="AS129"/>
  <c r="AS77"/>
  <c r="AS84" s="1"/>
  <c r="BF77"/>
  <c r="BF84" s="1"/>
  <c r="BF102"/>
  <c r="AH129"/>
  <c r="AH102"/>
  <c r="AH110" s="1"/>
  <c r="AH77"/>
  <c r="AH84" s="1"/>
  <c r="AG129"/>
  <c r="AG102"/>
  <c r="AO77"/>
  <c r="AO84" s="1"/>
  <c r="AO102"/>
  <c r="AO129"/>
  <c r="AP102"/>
  <c r="N38" i="5"/>
  <c r="L93" i="14"/>
  <c r="Z120"/>
  <c r="Z93"/>
  <c r="AD93"/>
  <c r="AD120"/>
  <c r="AU93"/>
  <c r="AU120"/>
  <c r="AV93"/>
  <c r="AV110" s="1"/>
  <c r="AV120"/>
  <c r="U81"/>
  <c r="U106"/>
  <c r="U133"/>
  <c r="AR418" i="9"/>
  <c r="AR97" i="14"/>
  <c r="AR73"/>
  <c r="AR145" i="9"/>
  <c r="AR124" i="14"/>
  <c r="AW418" i="9"/>
  <c r="AW73" i="14"/>
  <c r="AW97"/>
  <c r="AW145" i="9"/>
  <c r="AW124" i="14"/>
  <c r="BF418" i="9"/>
  <c r="BF124" i="14"/>
  <c r="O73"/>
  <c r="O84" s="1"/>
  <c r="O418" i="9"/>
  <c r="O248"/>
  <c r="O68"/>
  <c r="O145"/>
  <c r="O97" i="14"/>
  <c r="O124"/>
  <c r="DB9" i="33"/>
  <c r="AV426" i="9"/>
  <c r="AG42" i="14" l="1"/>
  <c r="AG69" s="1"/>
  <c r="BE26" i="5"/>
  <c r="BE23"/>
  <c r="BE241" i="12" s="1"/>
  <c r="BE58" i="26" s="1"/>
  <c r="BE58" i="33" s="1"/>
  <c r="CD82" i="30"/>
  <c r="CJ81"/>
  <c r="CR81" s="1"/>
  <c r="AH136"/>
  <c r="CO136"/>
  <c r="CG136"/>
  <c r="CG146" s="1"/>
  <c r="CJ136"/>
  <c r="CC136"/>
  <c r="CC146" s="1"/>
  <c r="CP136"/>
  <c r="CK136"/>
  <c r="CD136"/>
  <c r="CD146" s="1"/>
  <c r="BU136"/>
  <c r="BU146" s="1"/>
  <c r="BP136"/>
  <c r="BP146" s="1"/>
  <c r="BV136"/>
  <c r="BV146" s="1"/>
  <c r="BQ136"/>
  <c r="BQ146" s="1"/>
  <c r="BF136"/>
  <c r="BF146" s="1"/>
  <c r="AX136"/>
  <c r="AW136"/>
  <c r="AW146" s="1"/>
  <c r="AP136"/>
  <c r="BA136"/>
  <c r="AS136"/>
  <c r="AS146" s="1"/>
  <c r="AO136"/>
  <c r="AO146" s="1"/>
  <c r="AG136"/>
  <c r="AG146" s="1"/>
  <c r="Y136"/>
  <c r="U136"/>
  <c r="AF136"/>
  <c r="AF146" s="1"/>
  <c r="AA136"/>
  <c r="AA146" s="1"/>
  <c r="CQ136"/>
  <c r="CQ146" s="1"/>
  <c r="CM136"/>
  <c r="CM146" s="1"/>
  <c r="CE136"/>
  <c r="CE146" s="1"/>
  <c r="CH136"/>
  <c r="CH146" s="1"/>
  <c r="CA136"/>
  <c r="CA146" s="1"/>
  <c r="CN136"/>
  <c r="CN146" s="1"/>
  <c r="CF136"/>
  <c r="CF146" s="1"/>
  <c r="CI136"/>
  <c r="CI146" s="1"/>
  <c r="CB136"/>
  <c r="CB146" s="1"/>
  <c r="BW136"/>
  <c r="BW146" s="1"/>
  <c r="BS136"/>
  <c r="BS146" s="1"/>
  <c r="BK136"/>
  <c r="BK146" s="1"/>
  <c r="BN136"/>
  <c r="BN146" s="1"/>
  <c r="BG136"/>
  <c r="BG146" s="1"/>
  <c r="BT136"/>
  <c r="BT146" s="1"/>
  <c r="BL136"/>
  <c r="BL146" s="1"/>
  <c r="BO136"/>
  <c r="BO146" s="1"/>
  <c r="BH136"/>
  <c r="BH146" s="1"/>
  <c r="AZ136"/>
  <c r="AZ146" s="1"/>
  <c r="AR136"/>
  <c r="AR146" s="1"/>
  <c r="AU136"/>
  <c r="AU146" s="1"/>
  <c r="AN136"/>
  <c r="AN146" s="1"/>
  <c r="BC136"/>
  <c r="BC146" s="1"/>
  <c r="AY136"/>
  <c r="AY146" s="1"/>
  <c r="AQ136"/>
  <c r="AQ146" s="1"/>
  <c r="AT136"/>
  <c r="AT146" s="1"/>
  <c r="AM136"/>
  <c r="AM146" s="1"/>
  <c r="AI136"/>
  <c r="AI146" s="1"/>
  <c r="AE136"/>
  <c r="AE146" s="1"/>
  <c r="W136"/>
  <c r="W146" s="1"/>
  <c r="Z136"/>
  <c r="Z146" s="1"/>
  <c r="S136"/>
  <c r="S146" s="1"/>
  <c r="AD136"/>
  <c r="AD146" s="1"/>
  <c r="AC136"/>
  <c r="AC146" s="1"/>
  <c r="V136"/>
  <c r="V146" s="1"/>
  <c r="R136"/>
  <c r="R146" s="1"/>
  <c r="CL136"/>
  <c r="CL146" s="1"/>
  <c r="BZ136"/>
  <c r="BM136"/>
  <c r="BI136"/>
  <c r="BR136"/>
  <c r="BJ136"/>
  <c r="AL136"/>
  <c r="AL146" s="1"/>
  <c r="AV136"/>
  <c r="AB136"/>
  <c r="AB146" s="1"/>
  <c r="X136"/>
  <c r="T136"/>
  <c r="AH203"/>
  <c r="AH313" s="1"/>
  <c r="CO203"/>
  <c r="CO313" s="1"/>
  <c r="CG203"/>
  <c r="CG313" s="1"/>
  <c r="CJ203"/>
  <c r="CJ313" s="1"/>
  <c r="CC203"/>
  <c r="CC313" s="1"/>
  <c r="CP203"/>
  <c r="CP313" s="1"/>
  <c r="CK203"/>
  <c r="CK313" s="1"/>
  <c r="CD203"/>
  <c r="CD313" s="1"/>
  <c r="BZ203"/>
  <c r="BZ313" s="1"/>
  <c r="BT203"/>
  <c r="BT313" s="1"/>
  <c r="BO203"/>
  <c r="BO313" s="1"/>
  <c r="BH203"/>
  <c r="BH313" s="1"/>
  <c r="BS203"/>
  <c r="BS313" s="1"/>
  <c r="BN203"/>
  <c r="BN313" s="1"/>
  <c r="AS203"/>
  <c r="AS313" s="1"/>
  <c r="AA203"/>
  <c r="AA313" s="1"/>
  <c r="AI203"/>
  <c r="AI313" s="1"/>
  <c r="W203"/>
  <c r="W313" s="1"/>
  <c r="S203"/>
  <c r="S313" s="1"/>
  <c r="CQ203"/>
  <c r="CQ313" s="1"/>
  <c r="CM203"/>
  <c r="CM313" s="1"/>
  <c r="CE203"/>
  <c r="CE313" s="1"/>
  <c r="CH203"/>
  <c r="CH313" s="1"/>
  <c r="CA203"/>
  <c r="CA313" s="1"/>
  <c r="CN203"/>
  <c r="CN313" s="1"/>
  <c r="CF203"/>
  <c r="CF313" s="1"/>
  <c r="CI203"/>
  <c r="CI313" s="1"/>
  <c r="CB203"/>
  <c r="CB313" s="1"/>
  <c r="BV203"/>
  <c r="BV313" s="1"/>
  <c r="BR203"/>
  <c r="BR313" s="1"/>
  <c r="BQ203"/>
  <c r="BQ313" s="1"/>
  <c r="BJ203"/>
  <c r="BJ313" s="1"/>
  <c r="BF203"/>
  <c r="BF313" s="1"/>
  <c r="BU203"/>
  <c r="BU313" s="1"/>
  <c r="BM203"/>
  <c r="BM313" s="1"/>
  <c r="BP203"/>
  <c r="BP313" s="1"/>
  <c r="BI203"/>
  <c r="BI313" s="1"/>
  <c r="AZ203"/>
  <c r="AZ313" s="1"/>
  <c r="AR203"/>
  <c r="AR313" s="1"/>
  <c r="AU203"/>
  <c r="AU313" s="1"/>
  <c r="AN203"/>
  <c r="AN313" s="1"/>
  <c r="BC203"/>
  <c r="BC313" s="1"/>
  <c r="AY203"/>
  <c r="AY313" s="1"/>
  <c r="AQ203"/>
  <c r="AQ313" s="1"/>
  <c r="AT203"/>
  <c r="AT313" s="1"/>
  <c r="AM203"/>
  <c r="AM313" s="1"/>
  <c r="AD203"/>
  <c r="AD313" s="1"/>
  <c r="AC203"/>
  <c r="AC313" s="1"/>
  <c r="V203"/>
  <c r="V313" s="1"/>
  <c r="R203"/>
  <c r="R313" s="1"/>
  <c r="AG203"/>
  <c r="AG313" s="1"/>
  <c r="Y203"/>
  <c r="Y313" s="1"/>
  <c r="AB203"/>
  <c r="AB313" s="1"/>
  <c r="U203"/>
  <c r="U313" s="1"/>
  <c r="CL203"/>
  <c r="CL313" s="1"/>
  <c r="BL203"/>
  <c r="BL313" s="1"/>
  <c r="BW203"/>
  <c r="BW313" s="1"/>
  <c r="BK203"/>
  <c r="BK313" s="1"/>
  <c r="BG203"/>
  <c r="BG313" s="1"/>
  <c r="AX203"/>
  <c r="AX313" s="1"/>
  <c r="AW203"/>
  <c r="AW313" s="1"/>
  <c r="AP203"/>
  <c r="AP313" s="1"/>
  <c r="AL203"/>
  <c r="AL313" s="1"/>
  <c r="BA203"/>
  <c r="BA313" s="1"/>
  <c r="AV203"/>
  <c r="AV313" s="1"/>
  <c r="AO203"/>
  <c r="AO313" s="1"/>
  <c r="AF203"/>
  <c r="AF313" s="1"/>
  <c r="X203"/>
  <c r="X313" s="1"/>
  <c r="T203"/>
  <c r="T313" s="1"/>
  <c r="AE203"/>
  <c r="AE313" s="1"/>
  <c r="Z203"/>
  <c r="Z313" s="1"/>
  <c r="AH115"/>
  <c r="AH146" s="1"/>
  <c r="BZ115"/>
  <c r="BZ146" s="1"/>
  <c r="BJ115"/>
  <c r="BJ146" s="1"/>
  <c r="AV115"/>
  <c r="AV146" s="1"/>
  <c r="CJ115"/>
  <c r="CJ146" s="1"/>
  <c r="CK115"/>
  <c r="CK146" s="1"/>
  <c r="BM115"/>
  <c r="BM146" s="1"/>
  <c r="BR115"/>
  <c r="BR146" s="1"/>
  <c r="AX115"/>
  <c r="AX146" s="1"/>
  <c r="BA115"/>
  <c r="BA146" s="1"/>
  <c r="U115"/>
  <c r="U146" s="1"/>
  <c r="T115"/>
  <c r="T146" s="1"/>
  <c r="CO115"/>
  <c r="CO146" s="1"/>
  <c r="CP115"/>
  <c r="CP146" s="1"/>
  <c r="BI115"/>
  <c r="BI146" s="1"/>
  <c r="AP115"/>
  <c r="AP146" s="1"/>
  <c r="Y115"/>
  <c r="Y146" s="1"/>
  <c r="X115"/>
  <c r="X146" s="1"/>
  <c r="AH67"/>
  <c r="S67"/>
  <c r="AY67"/>
  <c r="BB313"/>
  <c r="BB82"/>
  <c r="BB81"/>
  <c r="BE64"/>
  <c r="AK104"/>
  <c r="BE109"/>
  <c r="AK28"/>
  <c r="AK139"/>
  <c r="AK283"/>
  <c r="BE269"/>
  <c r="BE211"/>
  <c r="BE130"/>
  <c r="AK19"/>
  <c r="AK29"/>
  <c r="AK78"/>
  <c r="AK127"/>
  <c r="AK211"/>
  <c r="AK295"/>
  <c r="BE89"/>
  <c r="BE159"/>
  <c r="BE263"/>
  <c r="BE233"/>
  <c r="AK196"/>
  <c r="BE173"/>
  <c r="BE106"/>
  <c r="BE21"/>
  <c r="BE186"/>
  <c r="AK76"/>
  <c r="AK157"/>
  <c r="AK213"/>
  <c r="AK253"/>
  <c r="AK289"/>
  <c r="BE119"/>
  <c r="AK37"/>
  <c r="AK69"/>
  <c r="AK98"/>
  <c r="AK132"/>
  <c r="AK162"/>
  <c r="AK178"/>
  <c r="AK220"/>
  <c r="AK236"/>
  <c r="AK260"/>
  <c r="AK276"/>
  <c r="AK292"/>
  <c r="BE132"/>
  <c r="BE154"/>
  <c r="BE160"/>
  <c r="BE164"/>
  <c r="BE168"/>
  <c r="BE172"/>
  <c r="BE176"/>
  <c r="BE188"/>
  <c r="BE250"/>
  <c r="BE254"/>
  <c r="BE288"/>
  <c r="BE304"/>
  <c r="BE283"/>
  <c r="BE291"/>
  <c r="BE303"/>
  <c r="AK303"/>
  <c r="AK239"/>
  <c r="AK287"/>
  <c r="AK243"/>
  <c r="BE265"/>
  <c r="BE251"/>
  <c r="BE231"/>
  <c r="BE218"/>
  <c r="BE205"/>
  <c r="BE194"/>
  <c r="BE184"/>
  <c r="BE171"/>
  <c r="AK130"/>
  <c r="AK108"/>
  <c r="BE49"/>
  <c r="BE23"/>
  <c r="BE17"/>
  <c r="BE9"/>
  <c r="AK34"/>
  <c r="AK70"/>
  <c r="AK95"/>
  <c r="AK119"/>
  <c r="AK159"/>
  <c r="AK175"/>
  <c r="AK231"/>
  <c r="AK291"/>
  <c r="BE36"/>
  <c r="BE78"/>
  <c r="BE101"/>
  <c r="BE155"/>
  <c r="AK298"/>
  <c r="BE267"/>
  <c r="BE253"/>
  <c r="BE237"/>
  <c r="BE221"/>
  <c r="BE202"/>
  <c r="BE192"/>
  <c r="BE177"/>
  <c r="BE144"/>
  <c r="BE122"/>
  <c r="BE61"/>
  <c r="AK25"/>
  <c r="AK15"/>
  <c r="AK27"/>
  <c r="AK36"/>
  <c r="AK68"/>
  <c r="AK101"/>
  <c r="AK153"/>
  <c r="AK169"/>
  <c r="AK205"/>
  <c r="AK229"/>
  <c r="AK249"/>
  <c r="AK269"/>
  <c r="AK285"/>
  <c r="AK309"/>
  <c r="BE38"/>
  <c r="BE54"/>
  <c r="BE95"/>
  <c r="BE103"/>
  <c r="BE153"/>
  <c r="BE161"/>
  <c r="AK31"/>
  <c r="AK39"/>
  <c r="AK53"/>
  <c r="AK75"/>
  <c r="AK92"/>
  <c r="AK100"/>
  <c r="AK114"/>
  <c r="AK134"/>
  <c r="AK156"/>
  <c r="AK164"/>
  <c r="AK172"/>
  <c r="AK188"/>
  <c r="AK208"/>
  <c r="AK222"/>
  <c r="AK230"/>
  <c r="AK238"/>
  <c r="AK250"/>
  <c r="AK262"/>
  <c r="AK270"/>
  <c r="AK278"/>
  <c r="AK286"/>
  <c r="AK294"/>
  <c r="AK308"/>
  <c r="BE33"/>
  <c r="BE37"/>
  <c r="BE41"/>
  <c r="BE51"/>
  <c r="BE55"/>
  <c r="BE69"/>
  <c r="BE77"/>
  <c r="BE90"/>
  <c r="BE94"/>
  <c r="BE98"/>
  <c r="BE102"/>
  <c r="BE112"/>
  <c r="BE118"/>
  <c r="BE200"/>
  <c r="BE206"/>
  <c r="BE212"/>
  <c r="BE220"/>
  <c r="BE224"/>
  <c r="BE228"/>
  <c r="BE232"/>
  <c r="BE236"/>
  <c r="BE240"/>
  <c r="BE260"/>
  <c r="BE264"/>
  <c r="BE268"/>
  <c r="BE272"/>
  <c r="BE276"/>
  <c r="BE290"/>
  <c r="BE292"/>
  <c r="BE308"/>
  <c r="BE285"/>
  <c r="BE293"/>
  <c r="BE301"/>
  <c r="BE309"/>
  <c r="BE219"/>
  <c r="AK116"/>
  <c r="AK246"/>
  <c r="BE189"/>
  <c r="BE131"/>
  <c r="AK299"/>
  <c r="AK209"/>
  <c r="BE244"/>
  <c r="BE136"/>
  <c r="AK203"/>
  <c r="AK62"/>
  <c r="AK66"/>
  <c r="AK67"/>
  <c r="BE67"/>
  <c r="AK115"/>
  <c r="Q308"/>
  <c r="Q300"/>
  <c r="Q292"/>
  <c r="Q284"/>
  <c r="Q210"/>
  <c r="Q140"/>
  <c r="Q132"/>
  <c r="Q124"/>
  <c r="Q116"/>
  <c r="Q108"/>
  <c r="Q100"/>
  <c r="Q92"/>
  <c r="Q77"/>
  <c r="Q69"/>
  <c r="Q61"/>
  <c r="Q53"/>
  <c r="Q45"/>
  <c r="BE199"/>
  <c r="BE22"/>
  <c r="AK279"/>
  <c r="AK184"/>
  <c r="AK13"/>
  <c r="AK99"/>
  <c r="AK235"/>
  <c r="BE113"/>
  <c r="BE249"/>
  <c r="BE187"/>
  <c r="BE47"/>
  <c r="AK40"/>
  <c r="AK173"/>
  <c r="AK273"/>
  <c r="BE133"/>
  <c r="AK90"/>
  <c r="AK154"/>
  <c r="AK206"/>
  <c r="AK248"/>
  <c r="AK284"/>
  <c r="BE142"/>
  <c r="BE162"/>
  <c r="BE170"/>
  <c r="BE178"/>
  <c r="BE252"/>
  <c r="BE296"/>
  <c r="BE287"/>
  <c r="BE307"/>
  <c r="AK311"/>
  <c r="BE273"/>
  <c r="BE241"/>
  <c r="BE216"/>
  <c r="BE190"/>
  <c r="AK140"/>
  <c r="BE59"/>
  <c r="BE19"/>
  <c r="BE29"/>
  <c r="AK89"/>
  <c r="AK135"/>
  <c r="AK223"/>
  <c r="BE32"/>
  <c r="BE93"/>
  <c r="BE163"/>
  <c r="AK258"/>
  <c r="BE229"/>
  <c r="BE196"/>
  <c r="BE169"/>
  <c r="AK106"/>
  <c r="AK21"/>
  <c r="AK186"/>
  <c r="AK93"/>
  <c r="AK161"/>
  <c r="AK221"/>
  <c r="AK261"/>
  <c r="AK293"/>
  <c r="BE42"/>
  <c r="BE99"/>
  <c r="BE157"/>
  <c r="AK35"/>
  <c r="AK65"/>
  <c r="AK96"/>
  <c r="AK126"/>
  <c r="AK160"/>
  <c r="AK176"/>
  <c r="AK214"/>
  <c r="AK234"/>
  <c r="AK254"/>
  <c r="AK274"/>
  <c r="AK290"/>
  <c r="BE31"/>
  <c r="BE39"/>
  <c r="BE53"/>
  <c r="BE75"/>
  <c r="BE92"/>
  <c r="BE100"/>
  <c r="BE114"/>
  <c r="BE204"/>
  <c r="BE214"/>
  <c r="BE226"/>
  <c r="BE234"/>
  <c r="BE242"/>
  <c r="BE266"/>
  <c r="BE274"/>
  <c r="BE284"/>
  <c r="BE281"/>
  <c r="BE297"/>
  <c r="BE209"/>
  <c r="AK136"/>
  <c r="BE62"/>
  <c r="BE299"/>
  <c r="BE116"/>
  <c r="AK189"/>
  <c r="BE63"/>
  <c r="BE115"/>
  <c r="Q304"/>
  <c r="Q288"/>
  <c r="Q186"/>
  <c r="Q128"/>
  <c r="Q112"/>
  <c r="Q96"/>
  <c r="Q73"/>
  <c r="Q57"/>
  <c r="Q41"/>
  <c r="Q33"/>
  <c r="Q25"/>
  <c r="Q17"/>
  <c r="Q9"/>
  <c r="Q305"/>
  <c r="Q297"/>
  <c r="Q289"/>
  <c r="Q281"/>
  <c r="Q255"/>
  <c r="Q143"/>
  <c r="Q135"/>
  <c r="Q127"/>
  <c r="Q119"/>
  <c r="Q111"/>
  <c r="Q103"/>
  <c r="Q95"/>
  <c r="Q87"/>
  <c r="Q72"/>
  <c r="Q56"/>
  <c r="Q48"/>
  <c r="Q40"/>
  <c r="Q32"/>
  <c r="Q24"/>
  <c r="Q16"/>
  <c r="Q271"/>
  <c r="Q237"/>
  <c r="Q268"/>
  <c r="Q250"/>
  <c r="Q232"/>
  <c r="Q215"/>
  <c r="Q193"/>
  <c r="Q174"/>
  <c r="Q158"/>
  <c r="Q261"/>
  <c r="Q225"/>
  <c r="Q203"/>
  <c r="Q182"/>
  <c r="Q165"/>
  <c r="Q245"/>
  <c r="Q258"/>
  <c r="Q223"/>
  <c r="Q262"/>
  <c r="Q242"/>
  <c r="Q226"/>
  <c r="Q206"/>
  <c r="Q185"/>
  <c r="Q168"/>
  <c r="Q152"/>
  <c r="Q247"/>
  <c r="Q216"/>
  <c r="Q194"/>
  <c r="Q175"/>
  <c r="Q159"/>
  <c r="Q202"/>
  <c r="Q310"/>
  <c r="Q302"/>
  <c r="Q294"/>
  <c r="Q286"/>
  <c r="Q278"/>
  <c r="Q142"/>
  <c r="Q134"/>
  <c r="Q126"/>
  <c r="Q118"/>
  <c r="Q110"/>
  <c r="Q102"/>
  <c r="Q94"/>
  <c r="Q79"/>
  <c r="Q71"/>
  <c r="Q63"/>
  <c r="Q55"/>
  <c r="Q47"/>
  <c r="Q39"/>
  <c r="Q31"/>
  <c r="Q23"/>
  <c r="Q15"/>
  <c r="Q311"/>
  <c r="Q303"/>
  <c r="Q295"/>
  <c r="Q287"/>
  <c r="Q279"/>
  <c r="Q201"/>
  <c r="Q141"/>
  <c r="Q133"/>
  <c r="Q125"/>
  <c r="Q117"/>
  <c r="Q109"/>
  <c r="Q101"/>
  <c r="Q93"/>
  <c r="Q78"/>
  <c r="Q70"/>
  <c r="Q62"/>
  <c r="Q54"/>
  <c r="Q46"/>
  <c r="Q38"/>
  <c r="Q30"/>
  <c r="Q22"/>
  <c r="Q14"/>
  <c r="Q263"/>
  <c r="Q229"/>
  <c r="Q264"/>
  <c r="Q244"/>
  <c r="Q228"/>
  <c r="Q208"/>
  <c r="Q188"/>
  <c r="Q170"/>
  <c r="Q154"/>
  <c r="Q251"/>
  <c r="Q219"/>
  <c r="Q196"/>
  <c r="Q177"/>
  <c r="Q161"/>
  <c r="Q267"/>
  <c r="Q233"/>
  <c r="Q266"/>
  <c r="Q248"/>
  <c r="Q230"/>
  <c r="Q212"/>
  <c r="Q189"/>
  <c r="Q172"/>
  <c r="Q156"/>
  <c r="Q256"/>
  <c r="Q221"/>
  <c r="Q198"/>
  <c r="Q180"/>
  <c r="Q163"/>
  <c r="Q191"/>
  <c r="AK193"/>
  <c r="AK26"/>
  <c r="BE235"/>
  <c r="AK49"/>
  <c r="AK38"/>
  <c r="AK163"/>
  <c r="BE52"/>
  <c r="BE298"/>
  <c r="BE213"/>
  <c r="BE138"/>
  <c r="BE11"/>
  <c r="AK113"/>
  <c r="AK233"/>
  <c r="BE68"/>
  <c r="AK51"/>
  <c r="AK112"/>
  <c r="AK170"/>
  <c r="AK228"/>
  <c r="AK268"/>
  <c r="AK302"/>
  <c r="BE158"/>
  <c r="BE166"/>
  <c r="BE174"/>
  <c r="BE248"/>
  <c r="BE282"/>
  <c r="BE279"/>
  <c r="BE295"/>
  <c r="AK275"/>
  <c r="AK271"/>
  <c r="AK256"/>
  <c r="BE223"/>
  <c r="BE198"/>
  <c r="BE180"/>
  <c r="BE124"/>
  <c r="BE45"/>
  <c r="BE13"/>
  <c r="AK42"/>
  <c r="AK103"/>
  <c r="AK167"/>
  <c r="AK247"/>
  <c r="BE56"/>
  <c r="BE117"/>
  <c r="BE275"/>
  <c r="BE243"/>
  <c r="BE207"/>
  <c r="AK182"/>
  <c r="AK138"/>
  <c r="AK47"/>
  <c r="AK11"/>
  <c r="AK52"/>
  <c r="AK117"/>
  <c r="AK177"/>
  <c r="AK237"/>
  <c r="AK277"/>
  <c r="BE34"/>
  <c r="BE91"/>
  <c r="BE111"/>
  <c r="BE165"/>
  <c r="AK43"/>
  <c r="AK88"/>
  <c r="AK110"/>
  <c r="AK152"/>
  <c r="AK168"/>
  <c r="AK204"/>
  <c r="AK226"/>
  <c r="AK242"/>
  <c r="AK266"/>
  <c r="AK282"/>
  <c r="AK300"/>
  <c r="BE35"/>
  <c r="BE43"/>
  <c r="BE65"/>
  <c r="BE88"/>
  <c r="BE96"/>
  <c r="BE110"/>
  <c r="BE126"/>
  <c r="BE208"/>
  <c r="BE222"/>
  <c r="BE230"/>
  <c r="BE238"/>
  <c r="BE262"/>
  <c r="BE270"/>
  <c r="BE278"/>
  <c r="BE300"/>
  <c r="BE289"/>
  <c r="BE305"/>
  <c r="AK244"/>
  <c r="BE203"/>
  <c r="BE66"/>
  <c r="AK219"/>
  <c r="BE246"/>
  <c r="AK131"/>
  <c r="AK63"/>
  <c r="AK64"/>
  <c r="Q296"/>
  <c r="Q280"/>
  <c r="Q136"/>
  <c r="Q120"/>
  <c r="Q104"/>
  <c r="Q88"/>
  <c r="Q65"/>
  <c r="Q49"/>
  <c r="Q37"/>
  <c r="Q29"/>
  <c r="Q21"/>
  <c r="Q13"/>
  <c r="Q309"/>
  <c r="Q301"/>
  <c r="Q293"/>
  <c r="Q285"/>
  <c r="Q277"/>
  <c r="Q179"/>
  <c r="Q139"/>
  <c r="Q131"/>
  <c r="Q123"/>
  <c r="Q115"/>
  <c r="Q107"/>
  <c r="Q99"/>
  <c r="Q91"/>
  <c r="Q76"/>
  <c r="Q68"/>
  <c r="Q60"/>
  <c r="Q52"/>
  <c r="Q44"/>
  <c r="Q36"/>
  <c r="Q28"/>
  <c r="Q20"/>
  <c r="Q12"/>
  <c r="Q253"/>
  <c r="Q276"/>
  <c r="Q260"/>
  <c r="Q240"/>
  <c r="Q224"/>
  <c r="Q204"/>
  <c r="Q183"/>
  <c r="Q166"/>
  <c r="Q214"/>
  <c r="Q239"/>
  <c r="Q213"/>
  <c r="Q192"/>
  <c r="Q173"/>
  <c r="Q157"/>
  <c r="Q275"/>
  <c r="Q241"/>
  <c r="Q270"/>
  <c r="Q252"/>
  <c r="Q234"/>
  <c r="Q217"/>
  <c r="Q195"/>
  <c r="Q176"/>
  <c r="Q160"/>
  <c r="Q265"/>
  <c r="Q227"/>
  <c r="Q205"/>
  <c r="Q184"/>
  <c r="Q167"/>
  <c r="Q144"/>
  <c r="Q209"/>
  <c r="Q306"/>
  <c r="Q298"/>
  <c r="Q290"/>
  <c r="Q282"/>
  <c r="Q200"/>
  <c r="Q138"/>
  <c r="Q130"/>
  <c r="Q122"/>
  <c r="Q114"/>
  <c r="Q106"/>
  <c r="Q98"/>
  <c r="Q90"/>
  <c r="Q75"/>
  <c r="Q67"/>
  <c r="Q59"/>
  <c r="Q51"/>
  <c r="Q43"/>
  <c r="Q35"/>
  <c r="Q27"/>
  <c r="Q19"/>
  <c r="Q11"/>
  <c r="Q307"/>
  <c r="Q299"/>
  <c r="Q291"/>
  <c r="Q283"/>
  <c r="Q259"/>
  <c r="Q151"/>
  <c r="Q137"/>
  <c r="Q129"/>
  <c r="Q121"/>
  <c r="Q113"/>
  <c r="Q105"/>
  <c r="Q97"/>
  <c r="Q89"/>
  <c r="Q74"/>
  <c r="Q66"/>
  <c r="Q58"/>
  <c r="Q50"/>
  <c r="Q42"/>
  <c r="Q34"/>
  <c r="Q26"/>
  <c r="Q18"/>
  <c r="Q10"/>
  <c r="Q243"/>
  <c r="Q272"/>
  <c r="Q254"/>
  <c r="Q236"/>
  <c r="Q220"/>
  <c r="Q197"/>
  <c r="Q178"/>
  <c r="Q162"/>
  <c r="Q269"/>
  <c r="Q231"/>
  <c r="Q207"/>
  <c r="Q187"/>
  <c r="Q169"/>
  <c r="Q218"/>
  <c r="Q249"/>
  <c r="Q274"/>
  <c r="Q257"/>
  <c r="Q238"/>
  <c r="Q222"/>
  <c r="Q199"/>
  <c r="Q181"/>
  <c r="Q164"/>
  <c r="Q273"/>
  <c r="Q235"/>
  <c r="Q211"/>
  <c r="Q190"/>
  <c r="Q171"/>
  <c r="Q155"/>
  <c r="Q246"/>
  <c r="AU23" i="5"/>
  <c r="AU24" s="1"/>
  <c r="AU28"/>
  <c r="BF303" i="9"/>
  <c r="BF72"/>
  <c r="AX149"/>
  <c r="AX72"/>
  <c r="AX252"/>
  <c r="AP426"/>
  <c r="AP425" s="1"/>
  <c r="AP303"/>
  <c r="AP72"/>
  <c r="AP252"/>
  <c r="AJ303"/>
  <c r="AJ426"/>
  <c r="AJ425" s="1"/>
  <c r="AJ72"/>
  <c r="AB149"/>
  <c r="AB426"/>
  <c r="AB425" s="1"/>
  <c r="AB303"/>
  <c r="AB72"/>
  <c r="Q426"/>
  <c r="Q425" s="1"/>
  <c r="Q303"/>
  <c r="Q72"/>
  <c r="U569" i="12"/>
  <c r="U346"/>
  <c r="U195"/>
  <c r="U398"/>
  <c r="AB129" i="14"/>
  <c r="AB137" s="1"/>
  <c r="AB77"/>
  <c r="AH137"/>
  <c r="T35" i="5"/>
  <c r="T11" i="29" s="1"/>
  <c r="O28" i="5"/>
  <c r="P38"/>
  <c r="BH26"/>
  <c r="AS23"/>
  <c r="AS24" s="1"/>
  <c r="BD28"/>
  <c r="BG139" i="14"/>
  <c r="BC139"/>
  <c r="AY139"/>
  <c r="AU139"/>
  <c r="AQ139"/>
  <c r="AM139"/>
  <c r="AI139"/>
  <c r="AE139"/>
  <c r="AA139"/>
  <c r="W139"/>
  <c r="S139"/>
  <c r="O139"/>
  <c r="K139"/>
  <c r="H139"/>
  <c r="H223" i="9" s="1"/>
  <c r="U354" i="12"/>
  <c r="E269" i="9"/>
  <c r="E166"/>
  <c r="E356"/>
  <c r="BB426"/>
  <c r="BB425" s="1"/>
  <c r="BB303"/>
  <c r="BB72"/>
  <c r="BB149"/>
  <c r="BB252"/>
  <c r="AT426"/>
  <c r="AT425" s="1"/>
  <c r="AT72"/>
  <c r="AT149"/>
  <c r="AT252"/>
  <c r="AT303"/>
  <c r="S303"/>
  <c r="S426"/>
  <c r="S425" s="1"/>
  <c r="S149"/>
  <c r="M426"/>
  <c r="M425" s="1"/>
  <c r="M303"/>
  <c r="M72"/>
  <c r="H252"/>
  <c r="H72"/>
  <c r="W496" i="12"/>
  <c r="W262"/>
  <c r="W569"/>
  <c r="W504"/>
  <c r="F252" i="9"/>
  <c r="F426"/>
  <c r="F72"/>
  <c r="BE139" i="14"/>
  <c r="BA139"/>
  <c r="AW139"/>
  <c r="AS139"/>
  <c r="AO139"/>
  <c r="AK139"/>
  <c r="AG139"/>
  <c r="AC139"/>
  <c r="Y139"/>
  <c r="U139"/>
  <c r="Q139"/>
  <c r="M139"/>
  <c r="I139"/>
  <c r="W270" i="12"/>
  <c r="AH27" i="5"/>
  <c r="BC53" i="14"/>
  <c r="BC129" s="1"/>
  <c r="BB106"/>
  <c r="BB73"/>
  <c r="AB109"/>
  <c r="AR26" i="5"/>
  <c r="AG26"/>
  <c r="AH28"/>
  <c r="AD81" i="14"/>
  <c r="K133"/>
  <c r="AA26"/>
  <c r="Q26"/>
  <c r="Z26"/>
  <c r="S248" i="9"/>
  <c r="K124" i="14"/>
  <c r="N248" i="9"/>
  <c r="AX102" i="14"/>
  <c r="AJ120"/>
  <c r="AJ137" s="1"/>
  <c r="J59"/>
  <c r="J81" s="1"/>
  <c r="J47"/>
  <c r="S26"/>
  <c r="J31"/>
  <c r="J89" s="1"/>
  <c r="BG137"/>
  <c r="K106"/>
  <c r="K68" i="9"/>
  <c r="BD23" i="5"/>
  <c r="BD24" s="1"/>
  <c r="V390" i="12"/>
  <c r="J10" i="14"/>
  <c r="J12" s="1"/>
  <c r="BA109"/>
  <c r="BA110"/>
  <c r="Q23" i="5"/>
  <c r="Q24" s="1"/>
  <c r="Q35"/>
  <c r="Q11" i="29" s="1"/>
  <c r="Q26" i="5"/>
  <c r="BI35"/>
  <c r="BI11" i="29" s="1"/>
  <c r="BI23" i="5"/>
  <c r="BI26"/>
  <c r="BI28"/>
  <c r="AP35"/>
  <c r="AP11" i="29" s="1"/>
  <c r="BB81" i="14"/>
  <c r="BC355" i="12"/>
  <c r="AP133"/>
  <c r="Q28" i="5"/>
  <c r="AC28"/>
  <c r="BF93" i="14"/>
  <c r="AG10"/>
  <c r="AG12" s="1"/>
  <c r="H42"/>
  <c r="H69" s="1"/>
  <c r="W42"/>
  <c r="AA23"/>
  <c r="AA65" s="1"/>
  <c r="BC42"/>
  <c r="BC69" s="1"/>
  <c r="AX47"/>
  <c r="AT53"/>
  <c r="AT77" s="1"/>
  <c r="W25"/>
  <c r="W26" s="1"/>
  <c r="AT23" i="5"/>
  <c r="AT24" s="1"/>
  <c r="BD32"/>
  <c r="BD10" i="26" s="1"/>
  <c r="BD10" i="33" s="1"/>
  <c r="K26" i="14"/>
  <c r="T38" i="5"/>
  <c r="T27"/>
  <c r="O465" i="12"/>
  <c r="O25"/>
  <c r="O305"/>
  <c r="O168"/>
  <c r="O539"/>
  <c r="O221"/>
  <c r="O97"/>
  <c r="O372"/>
  <c r="BH548"/>
  <c r="BH32" i="26" s="1"/>
  <c r="BH32" i="33" s="1"/>
  <c r="BH485" i="12"/>
  <c r="BH24" i="26" s="1"/>
  <c r="BH24" i="33" s="1"/>
  <c r="AL35" i="5"/>
  <c r="AL11" i="29" s="1"/>
  <c r="AL26" i="5"/>
  <c r="AL23"/>
  <c r="AL24" s="1"/>
  <c r="AL28"/>
  <c r="L84" i="14"/>
  <c r="U110"/>
  <c r="AW84"/>
  <c r="BG79" i="26"/>
  <c r="BG79" i="33" s="1"/>
  <c r="AV84" i="14"/>
  <c r="AD35" i="5"/>
  <c r="AD11" i="29" s="1"/>
  <c r="AH26" i="5"/>
  <c r="AZ28"/>
  <c r="T28"/>
  <c r="AJ84" i="14"/>
  <c r="BI129"/>
  <c r="BI137" s="1"/>
  <c r="O35" i="5"/>
  <c r="O11" i="29" s="1"/>
  <c r="AW129" i="14"/>
  <c r="AF28" i="5"/>
  <c r="AM28"/>
  <c r="AG28"/>
  <c r="AH81" i="14"/>
  <c r="AG145" i="9"/>
  <c r="AG68"/>
  <c r="V248"/>
  <c r="V145"/>
  <c r="L248"/>
  <c r="L97" i="14"/>
  <c r="AA73"/>
  <c r="N26" i="5"/>
  <c r="AM26"/>
  <c r="L28"/>
  <c r="R124" i="12"/>
  <c r="R195"/>
  <c r="V42" i="14"/>
  <c r="Y36"/>
  <c r="AA31"/>
  <c r="AA89" s="1"/>
  <c r="H31"/>
  <c r="H89" s="1"/>
  <c r="AX23"/>
  <c r="AX65" s="1"/>
  <c r="BF106"/>
  <c r="BB124"/>
  <c r="BB68" i="9"/>
  <c r="BC23" i="14"/>
  <c r="BC65" s="1"/>
  <c r="R23"/>
  <c r="R65" s="1"/>
  <c r="H23"/>
  <c r="H65" s="1"/>
  <c r="AG23"/>
  <c r="AG65" s="1"/>
  <c r="W23"/>
  <c r="W65" s="1"/>
  <c r="AL23"/>
  <c r="AL65" s="1"/>
  <c r="S418" i="9"/>
  <c r="S419" s="1"/>
  <c r="K97" i="14"/>
  <c r="K248" i="9"/>
  <c r="AT25" i="14"/>
  <c r="H53"/>
  <c r="V53"/>
  <c r="W59"/>
  <c r="W53"/>
  <c r="Y59"/>
  <c r="Y133" s="1"/>
  <c r="BC59"/>
  <c r="BC106" s="1"/>
  <c r="AL59"/>
  <c r="AL133" s="1"/>
  <c r="AT59"/>
  <c r="I59"/>
  <c r="AC59"/>
  <c r="AQ59"/>
  <c r="AX59"/>
  <c r="H59"/>
  <c r="AG59"/>
  <c r="Z9" i="34"/>
  <c r="CD9" i="33" s="1"/>
  <c r="BB578" i="12"/>
  <c r="H47" i="14"/>
  <c r="Y42"/>
  <c r="V36"/>
  <c r="I31"/>
  <c r="I89" s="1"/>
  <c r="Y53"/>
  <c r="V25"/>
  <c r="V26" s="1"/>
  <c r="Y31"/>
  <c r="Y89" s="1"/>
  <c r="Y10"/>
  <c r="Y12" s="1"/>
  <c r="Y47"/>
  <c r="I23"/>
  <c r="I65" s="1"/>
  <c r="AG25"/>
  <c r="AG26" s="1"/>
  <c r="AG36"/>
  <c r="AX36"/>
  <c r="AQ53"/>
  <c r="R70" i="12"/>
  <c r="R504"/>
  <c r="R390"/>
  <c r="AX505"/>
  <c r="AV271"/>
  <c r="BB355"/>
  <c r="AC36" i="14"/>
  <c r="R36"/>
  <c r="AQ31"/>
  <c r="AQ89" s="1"/>
  <c r="AL31"/>
  <c r="AL89" s="1"/>
  <c r="R42"/>
  <c r="R69" s="1"/>
  <c r="AT42"/>
  <c r="AT69" s="1"/>
  <c r="L27" i="5"/>
  <c r="L38"/>
  <c r="J36" i="14"/>
  <c r="BA578" i="12"/>
  <c r="AX133"/>
  <c r="AR80"/>
  <c r="BG109" i="14"/>
  <c r="AX399" i="12"/>
  <c r="BA204"/>
  <c r="AT133"/>
  <c r="AV80"/>
  <c r="AP399"/>
  <c r="BH475"/>
  <c r="BH23" i="26" s="1"/>
  <c r="BH23" i="33" s="1"/>
  <c r="Y26" i="14"/>
  <c r="AV578" i="12"/>
  <c r="AC47" i="14"/>
  <c r="AC42"/>
  <c r="AC69" s="1"/>
  <c r="AL36"/>
  <c r="AC31"/>
  <c r="AC89" s="1"/>
  <c r="BC133" i="12"/>
  <c r="BB248" i="9"/>
  <c r="BB418"/>
  <c r="BB419" s="1"/>
  <c r="BB93" i="14"/>
  <c r="BB120"/>
  <c r="BH332" i="12"/>
  <c r="BH70" i="26" s="1"/>
  <c r="BH70" i="33" s="1"/>
  <c r="AC23" i="5"/>
  <c r="AC24" s="1"/>
  <c r="AK145" i="9"/>
  <c r="AK97" i="14"/>
  <c r="AK124"/>
  <c r="AK73"/>
  <c r="AK418" i="9"/>
  <c r="AK419" s="1"/>
  <c r="AY570" i="12"/>
  <c r="AY497"/>
  <c r="AY391"/>
  <c r="AY347"/>
  <c r="AY263"/>
  <c r="AY196"/>
  <c r="AY125"/>
  <c r="AY71"/>
  <c r="AU570"/>
  <c r="AU497"/>
  <c r="AU391"/>
  <c r="AU347"/>
  <c r="AU263"/>
  <c r="AU196"/>
  <c r="AU125"/>
  <c r="AU71"/>
  <c r="AQ570"/>
  <c r="AQ497"/>
  <c r="AQ391"/>
  <c r="AQ347"/>
  <c r="AQ263"/>
  <c r="AQ196"/>
  <c r="AQ125"/>
  <c r="AQ71"/>
  <c r="BC120" i="14"/>
  <c r="BC93"/>
  <c r="BC570" i="12"/>
  <c r="BC497"/>
  <c r="BC391"/>
  <c r="BC347"/>
  <c r="BC263"/>
  <c r="BC196"/>
  <c r="BC125"/>
  <c r="BC71"/>
  <c r="BA570"/>
  <c r="BA497"/>
  <c r="BA391"/>
  <c r="BA347"/>
  <c r="BA263"/>
  <c r="BA196"/>
  <c r="BA125"/>
  <c r="BA71"/>
  <c r="AT505"/>
  <c r="AT578"/>
  <c r="AR505"/>
  <c r="AR204"/>
  <c r="AP505"/>
  <c r="AP578"/>
  <c r="AP204"/>
  <c r="BH13" i="5"/>
  <c r="BH17" s="1"/>
  <c r="BH73" i="3"/>
  <c r="U109" i="14"/>
  <c r="AE110"/>
  <c r="BI109"/>
  <c r="R26"/>
  <c r="AL26"/>
  <c r="I26"/>
  <c r="AU133" i="12"/>
  <c r="AY80"/>
  <c r="AW80"/>
  <c r="AU399"/>
  <c r="BC271"/>
  <c r="AX204"/>
  <c r="AT271"/>
  <c r="BC204"/>
  <c r="BA133"/>
  <c r="AS133"/>
  <c r="AU80"/>
  <c r="BB505"/>
  <c r="BB204"/>
  <c r="AW570"/>
  <c r="AW497"/>
  <c r="AW391"/>
  <c r="AW347"/>
  <c r="AW263"/>
  <c r="AW196"/>
  <c r="AW125"/>
  <c r="AW71"/>
  <c r="AS570"/>
  <c r="AS497"/>
  <c r="AS391"/>
  <c r="AS347"/>
  <c r="AS263"/>
  <c r="AS196"/>
  <c r="AS125"/>
  <c r="AS71"/>
  <c r="AO570"/>
  <c r="AO497"/>
  <c r="AO391"/>
  <c r="AO347"/>
  <c r="AO263"/>
  <c r="AO196"/>
  <c r="AO125"/>
  <c r="AO71"/>
  <c r="AC418" i="9"/>
  <c r="AC419" s="1"/>
  <c r="AC248"/>
  <c r="AC145"/>
  <c r="AC97" i="14"/>
  <c r="AC124"/>
  <c r="AC68" i="9"/>
  <c r="AC73" i="14"/>
  <c r="AT93"/>
  <c r="AT120"/>
  <c r="BF484" i="12"/>
  <c r="BF240"/>
  <c r="BF331"/>
  <c r="AX570"/>
  <c r="AX497"/>
  <c r="AX391"/>
  <c r="AX347"/>
  <c r="AX263"/>
  <c r="AX196"/>
  <c r="AX125"/>
  <c r="AX71"/>
  <c r="AV570"/>
  <c r="AV497"/>
  <c r="AV391"/>
  <c r="AV347"/>
  <c r="AV263"/>
  <c r="AV196"/>
  <c r="AV125"/>
  <c r="AV71"/>
  <c r="AT570"/>
  <c r="AT497"/>
  <c r="AT391"/>
  <c r="AT347"/>
  <c r="AT263"/>
  <c r="AT196"/>
  <c r="AT125"/>
  <c r="AT71"/>
  <c r="AR570"/>
  <c r="AR497"/>
  <c r="AR391"/>
  <c r="AR347"/>
  <c r="AR263"/>
  <c r="AR196"/>
  <c r="AR125"/>
  <c r="AR71"/>
  <c r="AP570"/>
  <c r="AP497"/>
  <c r="AP391"/>
  <c r="AP347"/>
  <c r="AP263"/>
  <c r="AP196"/>
  <c r="AP125"/>
  <c r="AP71"/>
  <c r="AQ36" i="14"/>
  <c r="AQ42"/>
  <c r="AQ69" s="1"/>
  <c r="AQ23"/>
  <c r="AQ65" s="1"/>
  <c r="AQ47"/>
  <c r="AQ24"/>
  <c r="AQ26" s="1"/>
  <c r="AC24"/>
  <c r="AC26" s="1"/>
  <c r="AC23"/>
  <c r="AC65" s="1"/>
  <c r="R10"/>
  <c r="R12" s="1"/>
  <c r="R47"/>
  <c r="BE474" i="12"/>
  <c r="BE475" s="1"/>
  <c r="BE23" i="26" s="1"/>
  <c r="BE23" i="33" s="1"/>
  <c r="BE547" i="12"/>
  <c r="BE548" s="1"/>
  <c r="BE32" i="26" s="1"/>
  <c r="BE32" i="33" s="1"/>
  <c r="BE247" i="12"/>
  <c r="BE248" s="1"/>
  <c r="BE59" i="26" s="1"/>
  <c r="BE59" i="33" s="1"/>
  <c r="V496" i="12"/>
  <c r="V262"/>
  <c r="R569"/>
  <c r="R346"/>
  <c r="R398"/>
  <c r="BC47" i="14"/>
  <c r="BC10"/>
  <c r="BC12" s="1"/>
  <c r="AT47"/>
  <c r="AT24"/>
  <c r="AT26" s="1"/>
  <c r="AT10"/>
  <c r="AT12" s="1"/>
  <c r="AC84"/>
  <c r="AY133" i="12"/>
  <c r="AQ133"/>
  <c r="AQ80"/>
  <c r="AO80"/>
  <c r="AY399"/>
  <c r="AQ399"/>
  <c r="AL47" i="14"/>
  <c r="BA355" i="12"/>
  <c r="AT204"/>
  <c r="AX271"/>
  <c r="AP271"/>
  <c r="AR355"/>
  <c r="BC578"/>
  <c r="AR578"/>
  <c r="AR133"/>
  <c r="AW133"/>
  <c r="AO133"/>
  <c r="AT80"/>
  <c r="BC80"/>
  <c r="BA80"/>
  <c r="BA399"/>
  <c r="AS399"/>
  <c r="AV399"/>
  <c r="R31" i="14"/>
  <c r="R89" s="1"/>
  <c r="BG78" i="26"/>
  <c r="BG78" i="33" s="1"/>
  <c r="BG69"/>
  <c r="BI223" i="9"/>
  <c r="BG223"/>
  <c r="BC223"/>
  <c r="AY223"/>
  <c r="AU223"/>
  <c r="AQ223"/>
  <c r="AM223"/>
  <c r="AI223"/>
  <c r="AE223"/>
  <c r="AA223"/>
  <c r="W223"/>
  <c r="S223"/>
  <c r="O223"/>
  <c r="K223"/>
  <c r="BE223"/>
  <c r="BA223"/>
  <c r="AW223"/>
  <c r="AS223"/>
  <c r="AO223"/>
  <c r="AK223"/>
  <c r="AG223"/>
  <c r="AC223"/>
  <c r="Y223"/>
  <c r="U223"/>
  <c r="Q223"/>
  <c r="M223"/>
  <c r="I223"/>
  <c r="BF139" i="14"/>
  <c r="BB139"/>
  <c r="AX139"/>
  <c r="AT139"/>
  <c r="AP139"/>
  <c r="AL139"/>
  <c r="AH139"/>
  <c r="AD139"/>
  <c r="Z139"/>
  <c r="V139"/>
  <c r="R139"/>
  <c r="N139"/>
  <c r="J139"/>
  <c r="BH139"/>
  <c r="BD139"/>
  <c r="AZ139"/>
  <c r="AV139"/>
  <c r="AR139"/>
  <c r="AN139"/>
  <c r="AJ139"/>
  <c r="AF139"/>
  <c r="AB139"/>
  <c r="X139"/>
  <c r="T139"/>
  <c r="P139"/>
  <c r="L139"/>
  <c r="G44" i="26"/>
  <c r="G44" i="33" s="1"/>
  <c r="G44" i="34"/>
  <c r="F29" i="26"/>
  <c r="F29" i="33" s="1"/>
  <c r="F29" i="34"/>
  <c r="G20" i="26"/>
  <c r="G20" i="34"/>
  <c r="AQ129" i="14"/>
  <c r="AQ77"/>
  <c r="AQ102"/>
  <c r="BE81"/>
  <c r="Q133"/>
  <c r="Y69"/>
  <c r="AV145" i="9"/>
  <c r="L124" i="14"/>
  <c r="AE129"/>
  <c r="AE137" s="1"/>
  <c r="W81"/>
  <c r="W102"/>
  <c r="AA102"/>
  <c r="AP73"/>
  <c r="AX418" i="9"/>
  <c r="AX419" s="1"/>
  <c r="AX145"/>
  <c r="AX97" i="14"/>
  <c r="AX124"/>
  <c r="T120"/>
  <c r="T93"/>
  <c r="T109" s="1"/>
  <c r="K102"/>
  <c r="K129"/>
  <c r="AD102"/>
  <c r="AD110" s="1"/>
  <c r="AD77"/>
  <c r="AD129"/>
  <c r="AX248" i="9"/>
  <c r="AX68"/>
  <c r="AX73" i="14"/>
  <c r="AX84" s="1"/>
  <c r="AQ20" i="12"/>
  <c r="AQ13" i="9"/>
  <c r="AQ29" i="5"/>
  <c r="AP69" i="14"/>
  <c r="AP129"/>
  <c r="AP77"/>
  <c r="AY72" i="3"/>
  <c r="AY73"/>
  <c r="AY31" i="5"/>
  <c r="BC31"/>
  <c r="BC72" i="3"/>
  <c r="BC73"/>
  <c r="AR73"/>
  <c r="AR31" i="5"/>
  <c r="AR72" i="3"/>
  <c r="AV73"/>
  <c r="AV72"/>
  <c r="AV31" i="5"/>
  <c r="AZ72" i="3"/>
  <c r="AZ31" i="5"/>
  <c r="AZ73" i="3"/>
  <c r="AT26" i="5"/>
  <c r="AN23"/>
  <c r="AN24" s="1"/>
  <c r="AG73" i="14"/>
  <c r="AG77"/>
  <c r="AW73" i="3"/>
  <c r="AW72"/>
  <c r="AW31" i="5"/>
  <c r="BA72" i="3"/>
  <c r="BA73"/>
  <c r="BA31" i="5"/>
  <c r="AP31"/>
  <c r="AP73" i="3"/>
  <c r="AP72"/>
  <c r="AT72"/>
  <c r="AT31" i="5"/>
  <c r="AT73" i="3"/>
  <c r="AX31" i="5"/>
  <c r="AX73" i="3"/>
  <c r="AX72"/>
  <c r="AC71"/>
  <c r="AC13" i="12" s="1"/>
  <c r="AD67" i="3"/>
  <c r="AN20" i="12"/>
  <c r="AN13" i="9"/>
  <c r="AN19" s="1"/>
  <c r="J68"/>
  <c r="J145"/>
  <c r="H97" i="14"/>
  <c r="H124"/>
  <c r="H248" i="9"/>
  <c r="H418"/>
  <c r="H419" s="1"/>
  <c r="H73" i="14"/>
  <c r="H68" i="9"/>
  <c r="H145"/>
  <c r="AR248"/>
  <c r="AR68"/>
  <c r="Z69" i="14"/>
  <c r="K69"/>
  <c r="V97"/>
  <c r="V73"/>
  <c r="AE69"/>
  <c r="I69"/>
  <c r="I84" s="1"/>
  <c r="S145" i="9"/>
  <c r="S97" i="14"/>
  <c r="AM69"/>
  <c r="P124"/>
  <c r="P68" i="9"/>
  <c r="P73" i="14"/>
  <c r="BE73"/>
  <c r="BE84" s="1"/>
  <c r="BE418" i="9"/>
  <c r="BE419" s="1"/>
  <c r="BE97" i="14"/>
  <c r="BE109" s="1"/>
  <c r="BE145" i="9"/>
  <c r="BE248"/>
  <c r="BE124" i="14"/>
  <c r="BE68" i="9"/>
  <c r="AA68"/>
  <c r="AA97" i="14"/>
  <c r="AA124"/>
  <c r="I93"/>
  <c r="I120"/>
  <c r="AE84"/>
  <c r="BH558" i="12"/>
  <c r="BH33" i="26" s="1"/>
  <c r="BH33" i="33" s="1"/>
  <c r="X124" i="14"/>
  <c r="X248" i="9"/>
  <c r="X145"/>
  <c r="X97" i="14"/>
  <c r="X418" i="9"/>
  <c r="X419" s="1"/>
  <c r="X68"/>
  <c r="X73" i="14"/>
  <c r="AZ418" i="9"/>
  <c r="AZ419" s="1"/>
  <c r="AZ73" i="14"/>
  <c r="AZ145" i="9"/>
  <c r="K145"/>
  <c r="K73" i="14"/>
  <c r="AR93"/>
  <c r="AR120"/>
  <c r="U68" i="9"/>
  <c r="W69" i="14"/>
  <c r="X77"/>
  <c r="Z124"/>
  <c r="Z137" s="1"/>
  <c r="Z418" i="9"/>
  <c r="Z419" s="1"/>
  <c r="Z97" i="14"/>
  <c r="Z145" i="9"/>
  <c r="Z73" i="14"/>
  <c r="Z84" s="1"/>
  <c r="Z248" i="9"/>
  <c r="Z68"/>
  <c r="X93" i="14"/>
  <c r="X120"/>
  <c r="X124" i="12"/>
  <c r="X262"/>
  <c r="X70"/>
  <c r="X270"/>
  <c r="X577"/>
  <c r="X390"/>
  <c r="X203"/>
  <c r="X79"/>
  <c r="X496"/>
  <c r="AI97" i="14"/>
  <c r="AI418" i="9"/>
  <c r="AI419" s="1"/>
  <c r="AI68"/>
  <c r="AI73" i="14"/>
  <c r="AI145" i="9"/>
  <c r="AI248"/>
  <c r="AI124" i="14"/>
  <c r="Y145" i="9"/>
  <c r="Y248"/>
  <c r="Y73" i="14"/>
  <c r="Y418" i="9"/>
  <c r="Y419" s="1"/>
  <c r="H9" i="34"/>
  <c r="Y9"/>
  <c r="S9"/>
  <c r="AJ9"/>
  <c r="M9"/>
  <c r="AD9"/>
  <c r="AS9"/>
  <c r="W9"/>
  <c r="CA9" i="33" s="1"/>
  <c r="AN9" i="34"/>
  <c r="BC9"/>
  <c r="U9"/>
  <c r="AL9"/>
  <c r="BA9"/>
  <c r="J9"/>
  <c r="BN9" i="33" s="1"/>
  <c r="AA9" i="34"/>
  <c r="O9"/>
  <c r="BS9" i="33" s="1"/>
  <c r="AF9" i="34"/>
  <c r="AU9"/>
  <c r="DE9" i="33" s="1"/>
  <c r="G64" i="34"/>
  <c r="G65" s="1"/>
  <c r="G66" s="1"/>
  <c r="G39"/>
  <c r="G40" s="1"/>
  <c r="AP108" i="12"/>
  <c r="AI108"/>
  <c r="AA108"/>
  <c r="V108"/>
  <c r="K108"/>
  <c r="BB114"/>
  <c r="AT114"/>
  <c r="AM114"/>
  <c r="AE114"/>
  <c r="N114"/>
  <c r="J114"/>
  <c r="BG108"/>
  <c r="AY108"/>
  <c r="AQ108"/>
  <c r="AH108"/>
  <c r="Z108"/>
  <c r="W108"/>
  <c r="L108"/>
  <c r="BG114"/>
  <c r="AY114"/>
  <c r="AQ114"/>
  <c r="AH114"/>
  <c r="Z114"/>
  <c r="W114"/>
  <c r="L114"/>
  <c r="BD108"/>
  <c r="AV108"/>
  <c r="AN108"/>
  <c r="AG108"/>
  <c r="Y108"/>
  <c r="Q108"/>
  <c r="M179"/>
  <c r="Q179"/>
  <c r="S179"/>
  <c r="X179"/>
  <c r="AB179"/>
  <c r="AF179"/>
  <c r="AJ179"/>
  <c r="AN179"/>
  <c r="AR179"/>
  <c r="AV179"/>
  <c r="AZ179"/>
  <c r="BD179"/>
  <c r="BH179"/>
  <c r="K320"/>
  <c r="J320"/>
  <c r="V320"/>
  <c r="N320"/>
  <c r="Z320"/>
  <c r="AD320"/>
  <c r="AH320"/>
  <c r="AL320"/>
  <c r="AP320"/>
  <c r="AT320"/>
  <c r="AX320"/>
  <c r="BB320"/>
  <c r="BF320"/>
  <c r="H236"/>
  <c r="M236"/>
  <c r="Q236"/>
  <c r="S236"/>
  <c r="X236"/>
  <c r="AB236"/>
  <c r="AF236"/>
  <c r="AJ236"/>
  <c r="AN236"/>
  <c r="AR236"/>
  <c r="AV236"/>
  <c r="AZ236"/>
  <c r="BD236"/>
  <c r="BH236"/>
  <c r="H179"/>
  <c r="L179"/>
  <c r="P179"/>
  <c r="W179"/>
  <c r="O179"/>
  <c r="AA179"/>
  <c r="AE179"/>
  <c r="AI179"/>
  <c r="AM179"/>
  <c r="AQ179"/>
  <c r="AU179"/>
  <c r="AY179"/>
  <c r="BC179"/>
  <c r="BG179"/>
  <c r="I320"/>
  <c r="R320"/>
  <c r="U320"/>
  <c r="T320"/>
  <c r="Y320"/>
  <c r="AC320"/>
  <c r="AG320"/>
  <c r="AK320"/>
  <c r="AO320"/>
  <c r="AS320"/>
  <c r="AW320"/>
  <c r="BA320"/>
  <c r="BE320"/>
  <c r="BI320"/>
  <c r="L236"/>
  <c r="P236"/>
  <c r="W236"/>
  <c r="O236"/>
  <c r="AA236"/>
  <c r="AE236"/>
  <c r="AI236"/>
  <c r="AM236"/>
  <c r="AQ236"/>
  <c r="AU236"/>
  <c r="AY236"/>
  <c r="BC236"/>
  <c r="BG236"/>
  <c r="BI236"/>
  <c r="K179"/>
  <c r="J179"/>
  <c r="V179"/>
  <c r="N179"/>
  <c r="Z179"/>
  <c r="AD179"/>
  <c r="AH179"/>
  <c r="AL179"/>
  <c r="AP179"/>
  <c r="AT179"/>
  <c r="AX179"/>
  <c r="BB179"/>
  <c r="BF179"/>
  <c r="H320"/>
  <c r="M320"/>
  <c r="Q320"/>
  <c r="S320"/>
  <c r="X320"/>
  <c r="AB320"/>
  <c r="AF320"/>
  <c r="AJ320"/>
  <c r="AN320"/>
  <c r="AR320"/>
  <c r="AV320"/>
  <c r="AZ320"/>
  <c r="BD320"/>
  <c r="BH320"/>
  <c r="K236"/>
  <c r="J236"/>
  <c r="V236"/>
  <c r="N236"/>
  <c r="Z236"/>
  <c r="AD236"/>
  <c r="AH236"/>
  <c r="AL236"/>
  <c r="AP236"/>
  <c r="AT236"/>
  <c r="AX236"/>
  <c r="BB236"/>
  <c r="BF236"/>
  <c r="I179"/>
  <c r="R179"/>
  <c r="U179"/>
  <c r="T179"/>
  <c r="Y179"/>
  <c r="AC179"/>
  <c r="AG179"/>
  <c r="AK179"/>
  <c r="AO179"/>
  <c r="AS179"/>
  <c r="AW179"/>
  <c r="BA179"/>
  <c r="BE179"/>
  <c r="BI179"/>
  <c r="L320"/>
  <c r="P320"/>
  <c r="W320"/>
  <c r="O320"/>
  <c r="AA320"/>
  <c r="AE320"/>
  <c r="AI320"/>
  <c r="AM320"/>
  <c r="AQ320"/>
  <c r="AU320"/>
  <c r="AY320"/>
  <c r="BC320"/>
  <c r="BG320"/>
  <c r="I236"/>
  <c r="R236"/>
  <c r="U236"/>
  <c r="T236"/>
  <c r="Y236"/>
  <c r="AC236"/>
  <c r="AG236"/>
  <c r="AK236"/>
  <c r="AO236"/>
  <c r="AS236"/>
  <c r="AW236"/>
  <c r="BA236"/>
  <c r="BE236"/>
  <c r="BG542"/>
  <c r="BC542"/>
  <c r="AY542"/>
  <c r="AU542"/>
  <c r="AQ542"/>
  <c r="AM542"/>
  <c r="AI542"/>
  <c r="AE542"/>
  <c r="AA542"/>
  <c r="O542"/>
  <c r="W542"/>
  <c r="P542"/>
  <c r="L542"/>
  <c r="BH542"/>
  <c r="BD542"/>
  <c r="AZ542"/>
  <c r="AV542"/>
  <c r="AR542"/>
  <c r="AN542"/>
  <c r="AJ542"/>
  <c r="AF542"/>
  <c r="AB542"/>
  <c r="X542"/>
  <c r="S542"/>
  <c r="Q542"/>
  <c r="M542"/>
  <c r="H542"/>
  <c r="BI542"/>
  <c r="BE542"/>
  <c r="BA542"/>
  <c r="AW542"/>
  <c r="AS542"/>
  <c r="AO542"/>
  <c r="AK542"/>
  <c r="AG542"/>
  <c r="AC542"/>
  <c r="Y542"/>
  <c r="T542"/>
  <c r="U542"/>
  <c r="R542"/>
  <c r="I542"/>
  <c r="BF542"/>
  <c r="BB542"/>
  <c r="AX542"/>
  <c r="AT542"/>
  <c r="AP542"/>
  <c r="AL542"/>
  <c r="AH542"/>
  <c r="AD542"/>
  <c r="Z542"/>
  <c r="N542"/>
  <c r="V542"/>
  <c r="J542"/>
  <c r="K542"/>
  <c r="Q129" i="14"/>
  <c r="Q137" s="1"/>
  <c r="Q102"/>
  <c r="Q77"/>
  <c r="Q84" s="1"/>
  <c r="AM129"/>
  <c r="AM77"/>
  <c r="AM84" s="1"/>
  <c r="AM102"/>
  <c r="BB129"/>
  <c r="BB137" s="1"/>
  <c r="BB102"/>
  <c r="BB77"/>
  <c r="H129"/>
  <c r="H102"/>
  <c r="H77"/>
  <c r="H84" s="1"/>
  <c r="P77"/>
  <c r="P84" s="1"/>
  <c r="P129"/>
  <c r="P102"/>
  <c r="AR77"/>
  <c r="AR84" s="1"/>
  <c r="AR129"/>
  <c r="AR102"/>
  <c r="AR110" s="1"/>
  <c r="V129"/>
  <c r="V77"/>
  <c r="V102"/>
  <c r="AU102"/>
  <c r="AU129"/>
  <c r="AU77"/>
  <c r="AU84" s="1"/>
  <c r="AK129"/>
  <c r="AK102"/>
  <c r="AK77"/>
  <c r="AK84" s="1"/>
  <c r="R129"/>
  <c r="R77"/>
  <c r="R102"/>
  <c r="AS106"/>
  <c r="AB81"/>
  <c r="AK81"/>
  <c r="R81"/>
  <c r="J133"/>
  <c r="J106"/>
  <c r="AN133"/>
  <c r="AW106"/>
  <c r="AW133"/>
  <c r="AF81"/>
  <c r="AF106"/>
  <c r="AR81"/>
  <c r="T133"/>
  <c r="N106"/>
  <c r="AY133"/>
  <c r="AV81"/>
  <c r="V106"/>
  <c r="AT23"/>
  <c r="AT65" s="1"/>
  <c r="K77"/>
  <c r="K84" s="1"/>
  <c r="BA106"/>
  <c r="AJ133"/>
  <c r="AJ106"/>
  <c r="AZ106"/>
  <c r="Y81"/>
  <c r="Y106"/>
  <c r="P106"/>
  <c r="P133"/>
  <c r="BC133"/>
  <c r="BC81"/>
  <c r="AL81"/>
  <c r="AL106"/>
  <c r="BG133"/>
  <c r="BG81"/>
  <c r="AO81"/>
  <c r="AO133"/>
  <c r="X81"/>
  <c r="AC106"/>
  <c r="AC81"/>
  <c r="AC133"/>
  <c r="O133"/>
  <c r="O81"/>
  <c r="H133"/>
  <c r="AR137"/>
  <c r="AP26" i="5"/>
  <c r="BB23" i="14"/>
  <c r="BB65" s="1"/>
  <c r="AA93"/>
  <c r="AA110" s="1"/>
  <c r="AA120"/>
  <c r="AA109"/>
  <c r="AP120"/>
  <c r="AP137" s="1"/>
  <c r="AP93"/>
  <c r="AD109"/>
  <c r="AV109"/>
  <c r="AB84"/>
  <c r="AB45" i="9" s="1"/>
  <c r="AB49" s="1"/>
  <c r="CE9" i="33"/>
  <c r="Z9"/>
  <c r="S346" i="12"/>
  <c r="S496"/>
  <c r="S262"/>
  <c r="S203"/>
  <c r="S132"/>
  <c r="S504"/>
  <c r="S195"/>
  <c r="S390"/>
  <c r="S270"/>
  <c r="S569"/>
  <c r="T69" i="14"/>
  <c r="T84" s="1"/>
  <c r="AZ69"/>
  <c r="V69"/>
  <c r="V84" s="1"/>
  <c r="AI69"/>
  <c r="AI84" s="1"/>
  <c r="H120"/>
  <c r="H137" s="1"/>
  <c r="H93"/>
  <c r="AZ93"/>
  <c r="AZ120"/>
  <c r="AL77"/>
  <c r="U69"/>
  <c r="U84" s="1"/>
  <c r="N69"/>
  <c r="N84" s="1"/>
  <c r="BY9" i="33"/>
  <c r="DK9"/>
  <c r="CP9"/>
  <c r="AK9"/>
  <c r="BH418" i="9"/>
  <c r="BH419" s="1"/>
  <c r="BH248"/>
  <c r="BH145"/>
  <c r="BH97" i="14"/>
  <c r="BH73"/>
  <c r="BH68" i="9"/>
  <c r="BH124" i="14"/>
  <c r="BH137" s="1"/>
  <c r="BA119" i="9"/>
  <c r="BA123" s="1"/>
  <c r="BA309" i="12" s="1"/>
  <c r="BA322" s="1"/>
  <c r="BA111" i="14"/>
  <c r="AY109"/>
  <c r="AY110"/>
  <c r="S124" i="12"/>
  <c r="S354"/>
  <c r="S79"/>
  <c r="L26" i="5"/>
  <c r="L35"/>
  <c r="L11" i="29" s="1"/>
  <c r="DM9" i="33"/>
  <c r="CR9"/>
  <c r="AM9"/>
  <c r="BA69" i="14"/>
  <c r="BA84" s="1"/>
  <c r="AD69"/>
  <c r="AD84" s="1"/>
  <c r="S69"/>
  <c r="S84" s="1"/>
  <c r="BH69"/>
  <c r="BH84" s="1"/>
  <c r="Y120"/>
  <c r="Y93"/>
  <c r="P120"/>
  <c r="P137" s="1"/>
  <c r="P93"/>
  <c r="AA111"/>
  <c r="AA119" i="9"/>
  <c r="AA123" s="1"/>
  <c r="AA309" i="12" s="1"/>
  <c r="AA322" s="1"/>
  <c r="N102" i="14"/>
  <c r="AT102"/>
  <c r="AZ129"/>
  <c r="AZ102"/>
  <c r="BE129"/>
  <c r="BE137" s="1"/>
  <c r="G410" i="12"/>
  <c r="G14" i="34" s="1"/>
  <c r="G13" i="26"/>
  <c r="G13" i="33" s="1"/>
  <c r="AE9"/>
  <c r="CJ9"/>
  <c r="AZ84" i="14"/>
  <c r="S70" i="12"/>
  <c r="S398"/>
  <c r="S577"/>
  <c r="H26" i="5"/>
  <c r="H23"/>
  <c r="H35"/>
  <c r="H11" i="29" s="1"/>
  <c r="H28" i="5"/>
  <c r="BH35"/>
  <c r="BH11" i="29" s="1"/>
  <c r="BH28" i="5"/>
  <c r="AP38"/>
  <c r="AP27"/>
  <c r="AY23"/>
  <c r="AY24" s="1"/>
  <c r="AY28"/>
  <c r="I23"/>
  <c r="I61" i="12" s="1"/>
  <c r="I48" i="26" s="1"/>
  <c r="I48" i="33" s="1"/>
  <c r="I28" i="5"/>
  <c r="I35"/>
  <c r="I11" i="29" s="1"/>
  <c r="AT27" i="5"/>
  <c r="AT38"/>
  <c r="AT20" i="12"/>
  <c r="AT13" i="9"/>
  <c r="AT29" i="5"/>
  <c r="AN29"/>
  <c r="AN32"/>
  <c r="AN10" i="26" s="1"/>
  <c r="AN10" i="33" s="1"/>
  <c r="I248" i="12"/>
  <c r="I59" i="26" s="1"/>
  <c r="I59" i="33" s="1"/>
  <c r="AE35" i="5"/>
  <c r="AE11" i="29" s="1"/>
  <c r="AE26" i="5"/>
  <c r="AB26"/>
  <c r="AB35"/>
  <c r="AB11" i="29" s="1"/>
  <c r="AJ23" i="5"/>
  <c r="AJ24" s="1"/>
  <c r="AJ26"/>
  <c r="AV13" i="9"/>
  <c r="AV29" i="5"/>
  <c r="AV20" i="12"/>
  <c r="AX26" i="5"/>
  <c r="AX35"/>
  <c r="AX11" i="29" s="1"/>
  <c r="AX28" i="5"/>
  <c r="I29"/>
  <c r="I20" i="12"/>
  <c r="I13" i="9"/>
  <c r="Q13"/>
  <c r="Q20" i="12"/>
  <c r="AN29" i="9"/>
  <c r="AN420"/>
  <c r="AN422" s="1"/>
  <c r="BB29" i="5"/>
  <c r="BB13" i="9"/>
  <c r="BB20" i="12"/>
  <c r="AG13" i="9"/>
  <c r="AG32" i="5"/>
  <c r="AG10" i="26" s="1"/>
  <c r="AG10" i="33" s="1"/>
  <c r="AO35" i="5"/>
  <c r="AO11" i="29" s="1"/>
  <c r="AO28" i="5"/>
  <c r="AO23"/>
  <c r="AO24" s="1"/>
  <c r="AO26"/>
  <c r="V28"/>
  <c r="V26"/>
  <c r="V23"/>
  <c r="V24" s="1"/>
  <c r="V35"/>
  <c r="V11" i="29" s="1"/>
  <c r="K35" i="5"/>
  <c r="K11" i="29" s="1"/>
  <c r="K28" i="5"/>
  <c r="K26"/>
  <c r="AW35"/>
  <c r="AW11" i="29" s="1"/>
  <c r="AW26" i="5"/>
  <c r="AS35"/>
  <c r="AS11" i="29" s="1"/>
  <c r="AS26" i="5"/>
  <c r="AQ35"/>
  <c r="AQ11" i="29" s="1"/>
  <c r="AQ28" i="5"/>
  <c r="AQ23"/>
  <c r="AQ24" s="1"/>
  <c r="AM27"/>
  <c r="AM38"/>
  <c r="AA35"/>
  <c r="AA11" i="29" s="1"/>
  <c r="AA23" i="5"/>
  <c r="AA24" s="1"/>
  <c r="AA28"/>
  <c r="AA26"/>
  <c r="BI20" i="12"/>
  <c r="BI29" i="5"/>
  <c r="BI13" i="9"/>
  <c r="Y35" i="5"/>
  <c r="Y11" i="29" s="1"/>
  <c r="Y23" i="5"/>
  <c r="Y24" s="1"/>
  <c r="Y28"/>
  <c r="Y26"/>
  <c r="BF28"/>
  <c r="BF26"/>
  <c r="AF23"/>
  <c r="AF24" s="1"/>
  <c r="AF26"/>
  <c r="AR28"/>
  <c r="AR35"/>
  <c r="AR11" i="29" s="1"/>
  <c r="BI247" i="12"/>
  <c r="BI248" s="1"/>
  <c r="BI59" i="26" s="1"/>
  <c r="BI59" i="33" s="1"/>
  <c r="BI324" i="12"/>
  <c r="BI325" s="1"/>
  <c r="BI69" i="26" s="1"/>
  <c r="BI60" i="12"/>
  <c r="BI61" s="1"/>
  <c r="BI48" i="26" s="1"/>
  <c r="BI547" i="12"/>
  <c r="BI548" s="1"/>
  <c r="BI32" i="26" s="1"/>
  <c r="BI32" i="33" s="1"/>
  <c r="BI484" i="12"/>
  <c r="BI485" s="1"/>
  <c r="BI24" i="26" s="1"/>
  <c r="BI24" i="33" s="1"/>
  <c r="BI331" i="12"/>
  <c r="BI332" s="1"/>
  <c r="BI70" i="26" s="1"/>
  <c r="BI52" i="12"/>
  <c r="BI53" s="1"/>
  <c r="BI47" i="26" s="1"/>
  <c r="BI474" i="12"/>
  <c r="BI475" s="1"/>
  <c r="BI23" i="26" s="1"/>
  <c r="BI23" i="33" s="1"/>
  <c r="BI557" i="12"/>
  <c r="BI558" s="1"/>
  <c r="BI33" i="26" s="1"/>
  <c r="BI33" i="33" s="1"/>
  <c r="BI240" i="12"/>
  <c r="BI241" s="1"/>
  <c r="BI58" i="26" s="1"/>
  <c r="BI58" i="33" s="1"/>
  <c r="F22" i="29"/>
  <c r="F143" i="12"/>
  <c r="F14" i="29"/>
  <c r="F19" i="26"/>
  <c r="F19" i="33" s="1"/>
  <c r="F516" i="12"/>
  <c r="BD29" i="5"/>
  <c r="BD13" i="9"/>
  <c r="BD20" i="12"/>
  <c r="AL27" i="5"/>
  <c r="AL38"/>
  <c r="X27"/>
  <c r="X38"/>
  <c r="F13" i="26"/>
  <c r="F13" i="33" s="1"/>
  <c r="F410" i="12"/>
  <c r="F14" i="34" s="1"/>
  <c r="BC29" i="5"/>
  <c r="BC20" i="12"/>
  <c r="BC13" i="9"/>
  <c r="BI24" i="5"/>
  <c r="AX29"/>
  <c r="AC26"/>
  <c r="BF23"/>
  <c r="AX23"/>
  <c r="AX24" s="1"/>
  <c r="K23"/>
  <c r="K24" s="1"/>
  <c r="W73" i="14"/>
  <c r="W124"/>
  <c r="W97"/>
  <c r="W248" i="9"/>
  <c r="W68"/>
  <c r="W418"/>
  <c r="W419" s="1"/>
  <c r="W145"/>
  <c r="N109" i="14"/>
  <c r="N110"/>
  <c r="AE38" i="5"/>
  <c r="AE27"/>
  <c r="AW27"/>
  <c r="AW38"/>
  <c r="BD419" i="9"/>
  <c r="AJ419"/>
  <c r="BH20" i="12"/>
  <c r="BH29" i="5"/>
  <c r="BH13" i="9"/>
  <c r="AA419"/>
  <c r="AQ420"/>
  <c r="AQ19"/>
  <c r="AQ34"/>
  <c r="AQ29"/>
  <c r="AQ39"/>
  <c r="AQ24"/>
  <c r="AR13"/>
  <c r="AR20" i="12"/>
  <c r="AR32" i="5"/>
  <c r="AR10" i="26" s="1"/>
  <c r="AR10" i="33" s="1"/>
  <c r="AR29" i="5"/>
  <c r="P29"/>
  <c r="P32"/>
  <c r="P10" i="26" s="1"/>
  <c r="P10" i="33" s="1"/>
  <c r="P20" i="12"/>
  <c r="P13" i="9"/>
  <c r="CX9" i="33"/>
  <c r="X9"/>
  <c r="BL9"/>
  <c r="CC9"/>
  <c r="BW9"/>
  <c r="AI9"/>
  <c r="CN9"/>
  <c r="AC9"/>
  <c r="BQ9"/>
  <c r="DC9"/>
  <c r="CH9"/>
  <c r="AY13" i="9"/>
  <c r="AY20" i="12"/>
  <c r="AY29" i="5"/>
  <c r="AG38"/>
  <c r="AG27"/>
  <c r="BH24"/>
  <c r="BH248" i="12"/>
  <c r="BH59" i="26" s="1"/>
  <c r="BH53" i="12"/>
  <c r="BH47" i="26" s="1"/>
  <c r="BH47" i="33" s="1"/>
  <c r="BH61" i="12"/>
  <c r="BH48" i="26" s="1"/>
  <c r="BH48" i="33" s="1"/>
  <c r="BH241" i="12"/>
  <c r="BH58" i="26" s="1"/>
  <c r="BH58" i="33" s="1"/>
  <c r="BH325" i="12"/>
  <c r="BH69" i="26" s="1"/>
  <c r="AQ465" i="12"/>
  <c r="AQ372"/>
  <c r="AQ221"/>
  <c r="AQ97"/>
  <c r="AQ168"/>
  <c r="AQ305"/>
  <c r="AQ25"/>
  <c r="AQ539"/>
  <c r="AC38" i="5"/>
  <c r="AC27"/>
  <c r="AU29"/>
  <c r="AU20" i="12"/>
  <c r="AU13" i="9"/>
  <c r="AR27" i="5"/>
  <c r="AR38"/>
  <c r="N29"/>
  <c r="N20" i="12"/>
  <c r="N32" i="5"/>
  <c r="N10" i="26" s="1"/>
  <c r="N10" i="33" s="1"/>
  <c r="N13" i="9"/>
  <c r="F38" i="33"/>
  <c r="F39" i="26"/>
  <c r="F64"/>
  <c r="F54" i="33"/>
  <c r="F55" i="26"/>
  <c r="F55" i="33" s="1"/>
  <c r="G65"/>
  <c r="G66" i="26"/>
  <c r="G66" i="33" s="1"/>
  <c r="G54" i="26"/>
  <c r="G53" i="33"/>
  <c r="BJ26"/>
  <c r="BJ80"/>
  <c r="AK35" i="5"/>
  <c r="AK11" i="29" s="1"/>
  <c r="AK23" i="5"/>
  <c r="AK24" s="1"/>
  <c r="AK26"/>
  <c r="AK28"/>
  <c r="H248" i="12"/>
  <c r="H59" i="26" s="1"/>
  <c r="H59" i="33" s="1"/>
  <c r="H24" i="5"/>
  <c r="H475" i="12"/>
  <c r="H23" i="26" s="1"/>
  <c r="H23" i="33" s="1"/>
  <c r="H61" i="12"/>
  <c r="H48" i="26" s="1"/>
  <c r="H48" i="33" s="1"/>
  <c r="H485" i="12"/>
  <c r="H24" i="26" s="1"/>
  <c r="H24" i="33" s="1"/>
  <c r="H241" i="12"/>
  <c r="H58" i="26" s="1"/>
  <c r="H58" i="33" s="1"/>
  <c r="H325" i="12"/>
  <c r="H69" i="26" s="1"/>
  <c r="H53" i="12"/>
  <c r="H47" i="26" s="1"/>
  <c r="H47" i="33" s="1"/>
  <c r="H558" i="12"/>
  <c r="H33" i="26" s="1"/>
  <c r="H33" i="33" s="1"/>
  <c r="H332" i="12"/>
  <c r="H70" i="26" s="1"/>
  <c r="H548" i="12"/>
  <c r="H32" i="26" s="1"/>
  <c r="H32" i="33" s="1"/>
  <c r="H13" i="9"/>
  <c r="H20" i="12"/>
  <c r="H29" i="5"/>
  <c r="Y425" i="9"/>
  <c r="O38" i="5"/>
  <c r="O27"/>
  <c r="AU85" i="14"/>
  <c r="AU45" i="9"/>
  <c r="BH110" i="14"/>
  <c r="BH109"/>
  <c r="BG20" i="12"/>
  <c r="BG13" i="9"/>
  <c r="O20" i="12"/>
  <c r="O13" i="9"/>
  <c r="O32" i="5"/>
  <c r="O10" i="26" s="1"/>
  <c r="O10" i="33" s="1"/>
  <c r="AN45" i="9"/>
  <c r="AN85" i="14"/>
  <c r="BH85"/>
  <c r="BH45" i="9"/>
  <c r="BH112" i="14"/>
  <c r="BN82" i="30"/>
  <c r="BX82" s="1"/>
  <c r="BX146"/>
  <c r="BP147" s="1"/>
  <c r="R23" i="5"/>
  <c r="R24" s="1"/>
  <c r="R28"/>
  <c r="R26"/>
  <c r="R35"/>
  <c r="R11" i="29" s="1"/>
  <c r="AX465" i="12"/>
  <c r="AX97"/>
  <c r="AX305"/>
  <c r="AX168"/>
  <c r="AX25"/>
  <c r="AX539"/>
  <c r="AX372"/>
  <c r="AX221"/>
  <c r="U35" i="5"/>
  <c r="U11" i="29" s="1"/>
  <c r="U26" i="5"/>
  <c r="U23"/>
  <c r="U24" s="1"/>
  <c r="U28"/>
  <c r="AB32"/>
  <c r="AB10" i="26" s="1"/>
  <c r="AB10" i="33" s="1"/>
  <c r="Z26" i="5"/>
  <c r="Z35"/>
  <c r="Z11" i="29" s="1"/>
  <c r="Z28" i="5"/>
  <c r="Z23"/>
  <c r="Z24" s="1"/>
  <c r="M26"/>
  <c r="M28"/>
  <c r="M35"/>
  <c r="M11" i="29" s="1"/>
  <c r="M23" i="5"/>
  <c r="M24" s="1"/>
  <c r="V17"/>
  <c r="V29" s="1"/>
  <c r="V32"/>
  <c r="V10" i="26" s="1"/>
  <c r="V10" i="33" s="1"/>
  <c r="AO419" i="9"/>
  <c r="I137" i="14"/>
  <c r="I419" i="9"/>
  <c r="I110" i="14"/>
  <c r="I109"/>
  <c r="AZ109"/>
  <c r="AZ110"/>
  <c r="X32" i="5"/>
  <c r="X10" i="26" s="1"/>
  <c r="X10" i="33" s="1"/>
  <c r="X20" i="12"/>
  <c r="X29" i="5"/>
  <c r="X13" i="9"/>
  <c r="AD20" i="12"/>
  <c r="AD29" i="5"/>
  <c r="AD13" i="9"/>
  <c r="AH29" i="5"/>
  <c r="AH32"/>
  <c r="AH10" i="26" s="1"/>
  <c r="AH10" i="33" s="1"/>
  <c r="AH20" i="12"/>
  <c r="AH13" i="9"/>
  <c r="BB32" i="5"/>
  <c r="BB10" i="26" s="1"/>
  <c r="BB10" i="33" s="1"/>
  <c r="AO32" i="5"/>
  <c r="AO10" i="26" s="1"/>
  <c r="AO10" i="33" s="1"/>
  <c r="Q419" i="9"/>
  <c r="T137" i="14"/>
  <c r="AJ85"/>
  <c r="AJ45" i="9"/>
  <c r="AC85" i="14"/>
  <c r="AC45" i="9"/>
  <c r="AF85" i="14"/>
  <c r="AF45" i="9"/>
  <c r="AF110" i="14"/>
  <c r="AF109"/>
  <c r="BI112"/>
  <c r="BI45" i="9"/>
  <c r="BI85" i="14"/>
  <c r="AM137"/>
  <c r="L45" i="9"/>
  <c r="L85" i="14"/>
  <c r="CH82" i="30"/>
  <c r="M68" i="9"/>
  <c r="M418"/>
  <c r="M419" s="1"/>
  <c r="M97" i="14"/>
  <c r="M145" i="9"/>
  <c r="M248"/>
  <c r="M124" i="14"/>
  <c r="M137" s="1"/>
  <c r="M73"/>
  <c r="M84" s="1"/>
  <c r="T111"/>
  <c r="T119" i="9"/>
  <c r="Q17" i="5"/>
  <c r="Q29" s="1"/>
  <c r="Q32"/>
  <c r="Q10" i="26" s="1"/>
  <c r="Q10" i="33" s="1"/>
  <c r="J23" i="5"/>
  <c r="J24" s="1"/>
  <c r="J28"/>
  <c r="J26"/>
  <c r="J35"/>
  <c r="J11" i="29" s="1"/>
  <c r="S23" i="5"/>
  <c r="S24" s="1"/>
  <c r="S35"/>
  <c r="S11" i="29" s="1"/>
  <c r="S28" i="5"/>
  <c r="S26"/>
  <c r="AI28"/>
  <c r="AI35"/>
  <c r="AI11" i="29" s="1"/>
  <c r="AI23" i="5"/>
  <c r="AI24" s="1"/>
  <c r="AI26"/>
  <c r="W35"/>
  <c r="W11" i="29" s="1"/>
  <c r="W26" i="5"/>
  <c r="W28"/>
  <c r="W23"/>
  <c r="W24" s="1"/>
  <c r="BI119" i="9"/>
  <c r="BI111" i="14"/>
  <c r="AU32" i="5"/>
  <c r="AU10" i="26" s="1"/>
  <c r="AU10" i="33" s="1"/>
  <c r="AQ32" i="5"/>
  <c r="AQ10" i="26" s="1"/>
  <c r="AQ10" i="33" s="1"/>
  <c r="AZ137" i="14"/>
  <c r="AD38" i="5"/>
  <c r="AD27"/>
  <c r="AZ20" i="12"/>
  <c r="AZ13" i="9"/>
  <c r="AZ29" i="5"/>
  <c r="AZ27"/>
  <c r="AZ38"/>
  <c r="T20" i="12"/>
  <c r="T32" i="5"/>
  <c r="T10" i="26" s="1"/>
  <c r="T10" i="33" s="1"/>
  <c r="T29" i="5"/>
  <c r="T13" i="9"/>
  <c r="AS32" i="5"/>
  <c r="AS10" i="26" s="1"/>
  <c r="AS10" i="33" s="1"/>
  <c r="AB27" i="5"/>
  <c r="AB38"/>
  <c r="AV27"/>
  <c r="AV38"/>
  <c r="AI137" i="14"/>
  <c r="AJ110"/>
  <c r="AJ109"/>
  <c r="AJ112" s="1"/>
  <c r="AF137"/>
  <c r="AM110"/>
  <c r="AM109"/>
  <c r="AM112" s="1"/>
  <c r="BQ147" i="30"/>
  <c r="AO45" i="9"/>
  <c r="AO85" i="14"/>
  <c r="AW85"/>
  <c r="AW45" i="9"/>
  <c r="AE45"/>
  <c r="AE112" i="14"/>
  <c r="AE85"/>
  <c r="AZ45" i="9"/>
  <c r="AZ85" i="14"/>
  <c r="AZ112"/>
  <c r="O137"/>
  <c r="O419" i="9"/>
  <c r="O85" i="14"/>
  <c r="O45" i="9"/>
  <c r="O49" s="1"/>
  <c r="BF419"/>
  <c r="AW137" i="14"/>
  <c r="AW109"/>
  <c r="AW112" s="1"/>
  <c r="AW110"/>
  <c r="AR419" i="9"/>
  <c r="BG119"/>
  <c r="BG111" i="14"/>
  <c r="AV137"/>
  <c r="AU137"/>
  <c r="AD137"/>
  <c r="Z110"/>
  <c r="Z109"/>
  <c r="L137"/>
  <c r="AO109"/>
  <c r="AO110"/>
  <c r="P109"/>
  <c r="P110"/>
  <c r="AK85"/>
  <c r="AK45" i="9"/>
  <c r="N45"/>
  <c r="N85" i="14"/>
  <c r="N112"/>
  <c r="AN110"/>
  <c r="AN109"/>
  <c r="AK137"/>
  <c r="S110"/>
  <c r="S109"/>
  <c r="H45" i="9"/>
  <c r="H85" i="14"/>
  <c r="H109"/>
  <c r="H112" s="1"/>
  <c r="H110"/>
  <c r="AA137"/>
  <c r="X110"/>
  <c r="X109"/>
  <c r="BG85"/>
  <c r="BG112"/>
  <c r="BG45" i="9"/>
  <c r="N137" i="14"/>
  <c r="BD110"/>
  <c r="BD109"/>
  <c r="Q85"/>
  <c r="Q45" i="9"/>
  <c r="BA20" i="12"/>
  <c r="BA13" i="9"/>
  <c r="BA29" i="5"/>
  <c r="BA27"/>
  <c r="BA38"/>
  <c r="AH109" i="14"/>
  <c r="AR109"/>
  <c r="AS137"/>
  <c r="AV425" i="9"/>
  <c r="J557" i="12"/>
  <c r="J558" s="1"/>
  <c r="J33" i="26" s="1"/>
  <c r="J33" i="33" s="1"/>
  <c r="J484" i="12"/>
  <c r="J485" s="1"/>
  <c r="J24" i="26" s="1"/>
  <c r="J24" i="33" s="1"/>
  <c r="J324" i="12"/>
  <c r="J325" s="1"/>
  <c r="J69" i="26" s="1"/>
  <c r="J474" i="12"/>
  <c r="J475" s="1"/>
  <c r="J23" i="26" s="1"/>
  <c r="J23" i="33" s="1"/>
  <c r="J547" i="12"/>
  <c r="J548" s="1"/>
  <c r="J32" i="26" s="1"/>
  <c r="J32" i="33" s="1"/>
  <c r="J331" i="12"/>
  <c r="J332" s="1"/>
  <c r="J70" i="26" s="1"/>
  <c r="J52" i="12"/>
  <c r="J53" s="1"/>
  <c r="J47" i="26" s="1"/>
  <c r="J47" i="33" s="1"/>
  <c r="J60" i="12"/>
  <c r="J61" s="1"/>
  <c r="J48" i="26" s="1"/>
  <c r="J48" i="33" s="1"/>
  <c r="J240" i="12"/>
  <c r="J241" s="1"/>
  <c r="J58" i="26" s="1"/>
  <c r="J58" i="33" s="1"/>
  <c r="J247" i="12"/>
  <c r="J248" s="1"/>
  <c r="J59" i="26" s="1"/>
  <c r="J59" i="33" s="1"/>
  <c r="O110" i="14"/>
  <c r="O109"/>
  <c r="O112" s="1"/>
  <c r="O90" i="9"/>
  <c r="O91" s="1"/>
  <c r="O82"/>
  <c r="O83" s="1"/>
  <c r="O73"/>
  <c r="O99"/>
  <c r="O100" s="1"/>
  <c r="O108"/>
  <c r="O109" s="1"/>
  <c r="BF137" i="14"/>
  <c r="AW419" i="9"/>
  <c r="U119"/>
  <c r="U111" i="14"/>
  <c r="AD119" i="9"/>
  <c r="AD111" i="14"/>
  <c r="AV111"/>
  <c r="AV119" i="9"/>
  <c r="AU109" i="14"/>
  <c r="AU110"/>
  <c r="L110"/>
  <c r="L109"/>
  <c r="K137"/>
  <c r="AP109"/>
  <c r="AP110"/>
  <c r="AO137"/>
  <c r="P85"/>
  <c r="P45" i="9"/>
  <c r="P112" i="14"/>
  <c r="AH85"/>
  <c r="AH112"/>
  <c r="AH45" i="9"/>
  <c r="BF110" i="14"/>
  <c r="BF109"/>
  <c r="BF112" s="1"/>
  <c r="BF45" i="9"/>
  <c r="BF85" i="14"/>
  <c r="AS45" i="9"/>
  <c r="AS85" i="14"/>
  <c r="AS109"/>
  <c r="AS112" s="1"/>
  <c r="AS110"/>
  <c r="BE119" i="9"/>
  <c r="BE111" i="14"/>
  <c r="AB119" i="9"/>
  <c r="AB111" i="14"/>
  <c r="AB112"/>
  <c r="AE111"/>
  <c r="AE119" i="9"/>
  <c r="AY45"/>
  <c r="AY85" i="14"/>
  <c r="AY112"/>
  <c r="AN137"/>
  <c r="AK109"/>
  <c r="AK110"/>
  <c r="S137"/>
  <c r="W110"/>
  <c r="W109"/>
  <c r="AV45" i="9"/>
  <c r="AV112" i="14"/>
  <c r="AV85"/>
  <c r="AY137"/>
  <c r="BD112"/>
  <c r="BD45" i="9"/>
  <c r="BD85" i="14"/>
  <c r="Q109"/>
  <c r="Q110"/>
  <c r="X137"/>
  <c r="CR82" i="30" l="1"/>
  <c r="CR146"/>
  <c r="BD313"/>
  <c r="CR313"/>
  <c r="AJ146"/>
  <c r="AC147" s="1"/>
  <c r="AJ313"/>
  <c r="BD146"/>
  <c r="U85" i="14"/>
  <c r="U45" i="9"/>
  <c r="U49" s="1"/>
  <c r="U112" i="14"/>
  <c r="BE29" i="5"/>
  <c r="BE20" i="12"/>
  <c r="BE13" i="9"/>
  <c r="BE485" i="12"/>
  <c r="BE24" i="26" s="1"/>
  <c r="BE24" i="33" s="1"/>
  <c r="BE558" i="12"/>
  <c r="BE33" i="26" s="1"/>
  <c r="BE33" i="33" s="1"/>
  <c r="BE24" i="5"/>
  <c r="BE332" i="12"/>
  <c r="BE70" i="26" s="1"/>
  <c r="BE53" i="12"/>
  <c r="BE47" i="26" s="1"/>
  <c r="BE47" i="33" s="1"/>
  <c r="BE61" i="12"/>
  <c r="BE48" i="26" s="1"/>
  <c r="BE48" i="33" s="1"/>
  <c r="BE325" i="12"/>
  <c r="BE69" i="26" s="1"/>
  <c r="AH147" i="30"/>
  <c r="AB147"/>
  <c r="Y147"/>
  <c r="S147"/>
  <c r="AD147"/>
  <c r="AF147"/>
  <c r="Z147"/>
  <c r="U147"/>
  <c r="AY82"/>
  <c r="BD82" s="1"/>
  <c r="AY81"/>
  <c r="BD81" s="1"/>
  <c r="AH81"/>
  <c r="AH82"/>
  <c r="S81"/>
  <c r="AJ81" s="1"/>
  <c r="S82"/>
  <c r="AJ82" s="1"/>
  <c r="BX313"/>
  <c r="AW314"/>
  <c r="AS314"/>
  <c r="AN314"/>
  <c r="AY314"/>
  <c r="AT314"/>
  <c r="AM314"/>
  <c r="BA314"/>
  <c r="AO314"/>
  <c r="AX314"/>
  <c r="AP314"/>
  <c r="BC314"/>
  <c r="AV314"/>
  <c r="AU314"/>
  <c r="AL314"/>
  <c r="AZ314"/>
  <c r="AR314"/>
  <c r="AQ314"/>
  <c r="AA147"/>
  <c r="V147"/>
  <c r="BB314"/>
  <c r="AI45" i="9"/>
  <c r="AI49" s="1"/>
  <c r="AI85" i="14"/>
  <c r="AT129"/>
  <c r="BC102"/>
  <c r="AU38" i="5"/>
  <c r="AU27"/>
  <c r="AS27"/>
  <c r="AS38"/>
  <c r="BC77" i="14"/>
  <c r="AG20" i="12"/>
  <c r="AG29" i="5"/>
  <c r="J73" i="14"/>
  <c r="J84" s="1"/>
  <c r="J124"/>
  <c r="J97"/>
  <c r="J418" i="9"/>
  <c r="J419" s="1"/>
  <c r="J248"/>
  <c r="AA84" i="14"/>
  <c r="AA85" s="1"/>
  <c r="BD38" i="5"/>
  <c r="BD27"/>
  <c r="Q27"/>
  <c r="Q38"/>
  <c r="R120" i="14"/>
  <c r="R93"/>
  <c r="AX93"/>
  <c r="AX120"/>
  <c r="AX137" s="1"/>
  <c r="Y68" i="9"/>
  <c r="Y97" i="14"/>
  <c r="Y124"/>
  <c r="Y77"/>
  <c r="Y84" s="1"/>
  <c r="Y129"/>
  <c r="Y102"/>
  <c r="V93"/>
  <c r="V120"/>
  <c r="V137" s="1"/>
  <c r="H81"/>
  <c r="H106"/>
  <c r="AQ133"/>
  <c r="AQ81"/>
  <c r="AQ106"/>
  <c r="I106"/>
  <c r="I81"/>
  <c r="I133"/>
  <c r="W106"/>
  <c r="W133"/>
  <c r="AM13" i="9"/>
  <c r="AM20" i="12"/>
  <c r="AM29" i="5"/>
  <c r="AL20" i="12"/>
  <c r="AL29" i="5"/>
  <c r="AL13" i="9"/>
  <c r="AC120" i="14"/>
  <c r="AC137" s="1"/>
  <c r="AC93"/>
  <c r="AG93"/>
  <c r="AG120"/>
  <c r="AG137" s="1"/>
  <c r="AG133"/>
  <c r="AG81"/>
  <c r="AG106"/>
  <c r="AX106"/>
  <c r="AX133"/>
  <c r="AX81"/>
  <c r="AT81"/>
  <c r="AT133"/>
  <c r="AT106"/>
  <c r="W77"/>
  <c r="W84" s="1"/>
  <c r="W129"/>
  <c r="W137" s="1"/>
  <c r="J120"/>
  <c r="J93"/>
  <c r="AL120"/>
  <c r="AL93"/>
  <c r="AD45" i="9"/>
  <c r="AD49" s="1"/>
  <c r="AD85" i="14"/>
  <c r="AD112"/>
  <c r="V85"/>
  <c r="V45" i="9"/>
  <c r="R68"/>
  <c r="R97" i="14"/>
  <c r="R124"/>
  <c r="R418" i="9"/>
  <c r="R419" s="1"/>
  <c r="R73" i="14"/>
  <c r="R84" s="1"/>
  <c r="R248" i="9"/>
  <c r="R145"/>
  <c r="AQ120" i="14"/>
  <c r="AQ93"/>
  <c r="AL248" i="9"/>
  <c r="AL124" i="14"/>
  <c r="AL418" i="9"/>
  <c r="AL419" s="1"/>
  <c r="AL145"/>
  <c r="AL97" i="14"/>
  <c r="AL73"/>
  <c r="AL84" s="1"/>
  <c r="AL68" i="9"/>
  <c r="AT145"/>
  <c r="AT68"/>
  <c r="AT248"/>
  <c r="AT97" i="14"/>
  <c r="AT109" s="1"/>
  <c r="AT124"/>
  <c r="AT137" s="1"/>
  <c r="AT73"/>
  <c r="AT84" s="1"/>
  <c r="AT418" i="9"/>
  <c r="AT419" s="1"/>
  <c r="BC145"/>
  <c r="BC248"/>
  <c r="BC97" i="14"/>
  <c r="BC68" i="9"/>
  <c r="BC73" i="14"/>
  <c r="BC84" s="1"/>
  <c r="BC418" i="9"/>
  <c r="BC419" s="1"/>
  <c r="BC124" i="14"/>
  <c r="BC137" s="1"/>
  <c r="AQ97"/>
  <c r="AQ418" i="9"/>
  <c r="AQ419" s="1"/>
  <c r="AQ422" s="1"/>
  <c r="AQ68"/>
  <c r="AQ248"/>
  <c r="AQ124" i="14"/>
  <c r="AQ73"/>
  <c r="AQ84" s="1"/>
  <c r="AQ145" i="9"/>
  <c r="AN24"/>
  <c r="AU73"/>
  <c r="P223"/>
  <c r="X223"/>
  <c r="AF223"/>
  <c r="AN223"/>
  <c r="AV223"/>
  <c r="BD223"/>
  <c r="J223"/>
  <c r="R223"/>
  <c r="Z223"/>
  <c r="AH223"/>
  <c r="AP223"/>
  <c r="AX223"/>
  <c r="BF223"/>
  <c r="L223"/>
  <c r="T223"/>
  <c r="AB223"/>
  <c r="AJ223"/>
  <c r="AR223"/>
  <c r="AZ223"/>
  <c r="BH223"/>
  <c r="N223"/>
  <c r="V223"/>
  <c r="AD223"/>
  <c r="AL223"/>
  <c r="AT223"/>
  <c r="BB223"/>
  <c r="F20" i="26"/>
  <c r="F20" i="33" s="1"/>
  <c r="F20" i="34"/>
  <c r="G20" i="33"/>
  <c r="G139" i="26"/>
  <c r="Y110" i="14"/>
  <c r="BE110"/>
  <c r="X84"/>
  <c r="X85" s="1"/>
  <c r="AB85"/>
  <c r="AG84"/>
  <c r="AG85" s="1"/>
  <c r="T110"/>
  <c r="Z85"/>
  <c r="Z45" i="9"/>
  <c r="Z49" s="1"/>
  <c r="AX45"/>
  <c r="AX49" s="1"/>
  <c r="AX85" i="14"/>
  <c r="K110"/>
  <c r="K109"/>
  <c r="AG45" i="9"/>
  <c r="AP84" i="14"/>
  <c r="AP85" s="1"/>
  <c r="I45" i="9"/>
  <c r="I49" s="1"/>
  <c r="I85" i="14"/>
  <c r="AC31" i="5"/>
  <c r="AC72" i="3"/>
  <c r="AC73"/>
  <c r="BA32" i="5"/>
  <c r="BA10" i="26" s="1"/>
  <c r="BA10" i="33" s="1"/>
  <c r="AN27" i="5"/>
  <c r="AN38"/>
  <c r="AZ32"/>
  <c r="AZ10" i="26" s="1"/>
  <c r="AZ10" i="33" s="1"/>
  <c r="AV32" i="5"/>
  <c r="AV10" i="26" s="1"/>
  <c r="AV10" i="33" s="1"/>
  <c r="BC32" i="5"/>
  <c r="BC10" i="26" s="1"/>
  <c r="BC10" i="33" s="1"/>
  <c r="AD71" i="3"/>
  <c r="AD13" i="12" s="1"/>
  <c r="AE67" i="3"/>
  <c r="AX32" i="5"/>
  <c r="AX10" i="26" s="1"/>
  <c r="AX10" i="33" s="1"/>
  <c r="AT32" i="5"/>
  <c r="AT10" i="26" s="1"/>
  <c r="AT10" i="33" s="1"/>
  <c r="AW32" i="5"/>
  <c r="AW10" i="26" s="1"/>
  <c r="AW10" i="33" s="1"/>
  <c r="AY32" i="5"/>
  <c r="AY10" i="26" s="1"/>
  <c r="AY10" i="33" s="1"/>
  <c r="AP45" i="9"/>
  <c r="AP49" s="1"/>
  <c r="I112" i="14"/>
  <c r="BE45" i="9"/>
  <c r="BE112" i="14"/>
  <c r="BE85"/>
  <c r="AI109"/>
  <c r="AI110"/>
  <c r="AN34" i="9"/>
  <c r="AN39"/>
  <c r="T85" i="14"/>
  <c r="T45" i="9"/>
  <c r="T49" s="1"/>
  <c r="T112" i="14"/>
  <c r="AR45" i="9"/>
  <c r="AR85" i="14"/>
  <c r="AP13" i="9"/>
  <c r="AP32" i="5"/>
  <c r="AP10" i="26" s="1"/>
  <c r="AP10" i="33" s="1"/>
  <c r="AP20" i="12"/>
  <c r="AP29" i="5"/>
  <c r="K45" i="9"/>
  <c r="K49" s="1"/>
  <c r="K85" i="14"/>
  <c r="BB84"/>
  <c r="BB110"/>
  <c r="BB109"/>
  <c r="AM85"/>
  <c r="AM45" i="9"/>
  <c r="BA85" i="14"/>
  <c r="BA45" i="9"/>
  <c r="BA112" i="14"/>
  <c r="S85"/>
  <c r="S45" i="9"/>
  <c r="S49" s="1"/>
  <c r="AY111" i="14"/>
  <c r="AY119" i="9"/>
  <c r="AY123" s="1"/>
  <c r="AY309" i="12" s="1"/>
  <c r="AY322" s="1"/>
  <c r="I558"/>
  <c r="I33" i="26" s="1"/>
  <c r="I33" i="33" s="1"/>
  <c r="I53" i="12"/>
  <c r="I47" i="26" s="1"/>
  <c r="I47" i="33" s="1"/>
  <c r="G14" i="26"/>
  <c r="G14" i="33" s="1"/>
  <c r="AT110" i="14"/>
  <c r="L13" i="9"/>
  <c r="L32" i="5"/>
  <c r="L10" i="26" s="1"/>
  <c r="L10" i="33" s="1"/>
  <c r="L29" i="5"/>
  <c r="L20" i="12"/>
  <c r="AN168"/>
  <c r="AN465"/>
  <c r="AN25"/>
  <c r="AN97"/>
  <c r="AN539"/>
  <c r="AN372"/>
  <c r="AN305"/>
  <c r="AN221"/>
  <c r="AT420" i="9"/>
  <c r="AT422" s="1"/>
  <c r="AT39"/>
  <c r="AT34"/>
  <c r="AT19"/>
  <c r="AT29"/>
  <c r="AT24"/>
  <c r="AT221" i="12"/>
  <c r="AT465"/>
  <c r="AT25"/>
  <c r="AT372"/>
  <c r="AT539"/>
  <c r="AT97"/>
  <c r="AT168"/>
  <c r="AT305"/>
  <c r="I24" i="5"/>
  <c r="I241" i="12"/>
  <c r="I58" i="26" s="1"/>
  <c r="I58" i="33" s="1"/>
  <c r="I332" i="12"/>
  <c r="I70" i="26" s="1"/>
  <c r="I325" i="12"/>
  <c r="I69" i="26" s="1"/>
  <c r="I485" i="12"/>
  <c r="I24" i="26" s="1"/>
  <c r="I24" i="33" s="1"/>
  <c r="I475" i="12"/>
  <c r="I23" i="26" s="1"/>
  <c r="I23" i="33" s="1"/>
  <c r="AY38" i="5"/>
  <c r="AY27"/>
  <c r="I548" i="12"/>
  <c r="I32" i="26" s="1"/>
  <c r="I32" i="33" s="1"/>
  <c r="AX38" i="5"/>
  <c r="AX27"/>
  <c r="BI27"/>
  <c r="BI38"/>
  <c r="BC420" i="9"/>
  <c r="BC29"/>
  <c r="BC39"/>
  <c r="BC24"/>
  <c r="BC19"/>
  <c r="BC34"/>
  <c r="BC539" i="12"/>
  <c r="BC465"/>
  <c r="BC25"/>
  <c r="BC372"/>
  <c r="BC97"/>
  <c r="BC221"/>
  <c r="BC305"/>
  <c r="BC168"/>
  <c r="F14" i="26"/>
  <c r="F14" i="33" s="1"/>
  <c r="BD39" i="9"/>
  <c r="BD34"/>
  <c r="BD420"/>
  <c r="BD422" s="1"/>
  <c r="BD29"/>
  <c r="BD24"/>
  <c r="BD19"/>
  <c r="BI50" i="26"/>
  <c r="BI50" i="33" s="1"/>
  <c r="BI48"/>
  <c r="AF29" i="5"/>
  <c r="AF13" i="9"/>
  <c r="AF20" i="12"/>
  <c r="BF13" i="9"/>
  <c r="BF29" i="5"/>
  <c r="BF20" i="12"/>
  <c r="Y13" i="9"/>
  <c r="Y29" i="5"/>
  <c r="Y20" i="12"/>
  <c r="Y32" i="5"/>
  <c r="Y10" i="26" s="1"/>
  <c r="Y10" i="33" s="1"/>
  <c r="Y38" i="5"/>
  <c r="Y27"/>
  <c r="BI39" i="9"/>
  <c r="BI24"/>
  <c r="BI34"/>
  <c r="BI420"/>
  <c r="BI422" s="1"/>
  <c r="BI19"/>
  <c r="BI29"/>
  <c r="AS20" i="12"/>
  <c r="AS29" i="5"/>
  <c r="AS13" i="9"/>
  <c r="AW29" i="5"/>
  <c r="AW20" i="12"/>
  <c r="AW13" i="9"/>
  <c r="K13"/>
  <c r="K29" i="5"/>
  <c r="K32"/>
  <c r="K10" i="26" s="1"/>
  <c r="K10" i="33" s="1"/>
  <c r="K20" i="12"/>
  <c r="V20"/>
  <c r="V13" i="9"/>
  <c r="AO13"/>
  <c r="AO20" i="12"/>
  <c r="AO29" i="5"/>
  <c r="BB34" i="9"/>
  <c r="BB24"/>
  <c r="BB19"/>
  <c r="BB420"/>
  <c r="BB422" s="1"/>
  <c r="BB39"/>
  <c r="BB29"/>
  <c r="AN445"/>
  <c r="AN438"/>
  <c r="AN427"/>
  <c r="AN455"/>
  <c r="Q420"/>
  <c r="Q34"/>
  <c r="Q19"/>
  <c r="Q39"/>
  <c r="Q24"/>
  <c r="Q29"/>
  <c r="I420"/>
  <c r="I422" s="1"/>
  <c r="I39"/>
  <c r="I34"/>
  <c r="I29"/>
  <c r="I19"/>
  <c r="I24"/>
  <c r="I539" i="12"/>
  <c r="I305"/>
  <c r="I221"/>
  <c r="I168"/>
  <c r="I97"/>
  <c r="I372"/>
  <c r="I465"/>
  <c r="I25"/>
  <c r="AV19" i="9"/>
  <c r="AV420"/>
  <c r="AV422" s="1"/>
  <c r="AV24"/>
  <c r="AV39"/>
  <c r="AV34"/>
  <c r="AV29"/>
  <c r="AJ27" i="5"/>
  <c r="AJ38"/>
  <c r="AB20" i="12"/>
  <c r="AB29" i="5"/>
  <c r="AB13" i="9"/>
  <c r="AB52" s="1"/>
  <c r="AB97" i="29" s="1"/>
  <c r="BC422" i="9"/>
  <c r="BC427" s="1"/>
  <c r="K27" i="5"/>
  <c r="K38"/>
  <c r="BF24"/>
  <c r="BF61" i="12"/>
  <c r="BF48" i="26" s="1"/>
  <c r="BF48" i="33" s="1"/>
  <c r="BF548" i="12"/>
  <c r="BF32" i="26" s="1"/>
  <c r="BF32" i="33" s="1"/>
  <c r="BF558" i="12"/>
  <c r="BF33" i="26" s="1"/>
  <c r="BF33" i="33" s="1"/>
  <c r="BF53" i="12"/>
  <c r="BF47" i="26" s="1"/>
  <c r="BF47" i="33" s="1"/>
  <c r="BF475" i="12"/>
  <c r="BF23" i="26" s="1"/>
  <c r="BF23" i="33" s="1"/>
  <c r="BF248" i="12"/>
  <c r="BF59" i="26" s="1"/>
  <c r="BF59" i="33" s="1"/>
  <c r="BF325" i="12"/>
  <c r="BF69" i="26" s="1"/>
  <c r="BF241" i="12"/>
  <c r="BF58" i="26" s="1"/>
  <c r="BF58" i="33" s="1"/>
  <c r="BF332" i="12"/>
  <c r="BF70" i="26" s="1"/>
  <c r="BF485" i="12"/>
  <c r="BF24" i="26" s="1"/>
  <c r="BF24" i="33" s="1"/>
  <c r="AC20" i="12"/>
  <c r="AC13" i="9"/>
  <c r="AC29" i="5"/>
  <c r="AC32"/>
  <c r="AC10" i="26" s="1"/>
  <c r="AC10" i="33" s="1"/>
  <c r="BI47"/>
  <c r="BI49" i="26"/>
  <c r="BD97" i="12"/>
  <c r="BD168"/>
  <c r="BD25"/>
  <c r="BD305"/>
  <c r="BD539"/>
  <c r="BD372"/>
  <c r="BD465"/>
  <c r="BD221"/>
  <c r="F144"/>
  <c r="F23" i="29"/>
  <c r="BI79" i="26"/>
  <c r="BI79" i="33" s="1"/>
  <c r="BI70"/>
  <c r="BI69"/>
  <c r="BI78" i="26"/>
  <c r="BI78" i="33" s="1"/>
  <c r="AF38" i="5"/>
  <c r="AF27"/>
  <c r="BI25" i="12"/>
  <c r="BI465"/>
  <c r="BI372"/>
  <c r="BI305"/>
  <c r="BI168"/>
  <c r="BI539"/>
  <c r="BI97"/>
  <c r="BI221"/>
  <c r="AA29" i="5"/>
  <c r="AA13" i="9"/>
  <c r="AA20" i="12"/>
  <c r="AA32" i="5"/>
  <c r="AA10" i="26" s="1"/>
  <c r="AA10" i="33" s="1"/>
  <c r="AA27" i="5"/>
  <c r="AA38"/>
  <c r="AQ27"/>
  <c r="AQ38"/>
  <c r="V27"/>
  <c r="V38"/>
  <c r="AO27"/>
  <c r="AO38"/>
  <c r="AG420" i="9"/>
  <c r="AG422" s="1"/>
  <c r="AG34"/>
  <c r="AG24"/>
  <c r="AG29"/>
  <c r="AG39"/>
  <c r="AG19"/>
  <c r="BB305" i="12"/>
  <c r="BB372"/>
  <c r="BB168"/>
  <c r="BB25"/>
  <c r="BB539"/>
  <c r="BB97"/>
  <c r="BB465"/>
  <c r="BB221"/>
  <c r="AX13" i="9"/>
  <c r="AX20" i="12"/>
  <c r="AV539"/>
  <c r="AV465"/>
  <c r="AV221"/>
  <c r="AV25"/>
  <c r="AV168"/>
  <c r="AV305"/>
  <c r="AV372"/>
  <c r="AV97"/>
  <c r="AJ29" i="5"/>
  <c r="AJ32"/>
  <c r="AJ10" i="26" s="1"/>
  <c r="AJ10" i="33" s="1"/>
  <c r="AJ13" i="9"/>
  <c r="AJ20" i="12"/>
  <c r="AE29" i="5"/>
  <c r="AE20" i="12"/>
  <c r="AE13" i="9"/>
  <c r="Q422"/>
  <c r="BC438"/>
  <c r="BH38" i="5"/>
  <c r="BH27"/>
  <c r="AY221" i="12"/>
  <c r="AY168"/>
  <c r="AY465"/>
  <c r="AY25"/>
  <c r="AY539"/>
  <c r="AY305"/>
  <c r="AY372"/>
  <c r="AY97"/>
  <c r="AY420" i="9"/>
  <c r="AY422" s="1"/>
  <c r="AY29"/>
  <c r="AY34"/>
  <c r="AY135" s="1"/>
  <c r="AY39"/>
  <c r="AY19"/>
  <c r="AY24"/>
  <c r="AY128"/>
  <c r="AB225" i="12"/>
  <c r="AB238" s="1"/>
  <c r="AB29"/>
  <c r="AB50" s="1"/>
  <c r="P420" i="9"/>
  <c r="P422" s="1"/>
  <c r="P29"/>
  <c r="P19"/>
  <c r="P39"/>
  <c r="P24"/>
  <c r="P34"/>
  <c r="AR539" i="12"/>
  <c r="AR97"/>
  <c r="AR372"/>
  <c r="AR168"/>
  <c r="AR305"/>
  <c r="AR221"/>
  <c r="AR25"/>
  <c r="AR465"/>
  <c r="BH539"/>
  <c r="BH25"/>
  <c r="BH465"/>
  <c r="BH372"/>
  <c r="BH168"/>
  <c r="BH221"/>
  <c r="BH97"/>
  <c r="BH305"/>
  <c r="N119" i="9"/>
  <c r="N123" s="1"/>
  <c r="N111" i="14"/>
  <c r="AY176" i="9"/>
  <c r="AY177" s="1"/>
  <c r="N24"/>
  <c r="N19"/>
  <c r="N420"/>
  <c r="N422" s="1"/>
  <c r="N34"/>
  <c r="N29"/>
  <c r="N39"/>
  <c r="N372" i="12"/>
  <c r="N221"/>
  <c r="N25"/>
  <c r="N168"/>
  <c r="N465"/>
  <c r="N97"/>
  <c r="N305"/>
  <c r="N539"/>
  <c r="AU420" i="9"/>
  <c r="AU422" s="1"/>
  <c r="AU29"/>
  <c r="AU24"/>
  <c r="AU39"/>
  <c r="AU34"/>
  <c r="AU19"/>
  <c r="AU465" i="12"/>
  <c r="AU221"/>
  <c r="AU305"/>
  <c r="AU372"/>
  <c r="AU25"/>
  <c r="AU168"/>
  <c r="AU97"/>
  <c r="AU539"/>
  <c r="BH69" i="33"/>
  <c r="BH78" i="26"/>
  <c r="BH78" i="33" s="1"/>
  <c r="BH59"/>
  <c r="BH79" i="26"/>
  <c r="BH79" i="33" s="1"/>
  <c r="P25" i="12"/>
  <c r="P305"/>
  <c r="P221"/>
  <c r="P539"/>
  <c r="P97"/>
  <c r="P465"/>
  <c r="P372"/>
  <c r="P168"/>
  <c r="AR420" i="9"/>
  <c r="AR19"/>
  <c r="AR29"/>
  <c r="AR24"/>
  <c r="AR34"/>
  <c r="AR39"/>
  <c r="BH29"/>
  <c r="BH24"/>
  <c r="BH19"/>
  <c r="BH34"/>
  <c r="BH420"/>
  <c r="BH422" s="1"/>
  <c r="BH39"/>
  <c r="AR422"/>
  <c r="AY159"/>
  <c r="AY160" s="1"/>
  <c r="AY150"/>
  <c r="AY151" s="1"/>
  <c r="AY188"/>
  <c r="AY189" s="1"/>
  <c r="F64" i="33"/>
  <c r="F65" i="26"/>
  <c r="G55"/>
  <c r="G55" i="33" s="1"/>
  <c r="G54"/>
  <c r="F39"/>
  <c r="F40" i="26"/>
  <c r="F40" i="33" s="1"/>
  <c r="AT315" i="30"/>
  <c r="BA316" s="1"/>
  <c r="BQ83"/>
  <c r="BK83"/>
  <c r="BL83"/>
  <c r="BU83"/>
  <c r="BV83"/>
  <c r="BW83"/>
  <c r="BH83"/>
  <c r="BP83"/>
  <c r="BI83"/>
  <c r="AL315"/>
  <c r="BH90" i="9"/>
  <c r="BH91" s="1"/>
  <c r="BH92" s="1"/>
  <c r="BH82"/>
  <c r="BH83" s="1"/>
  <c r="BH108"/>
  <c r="BH109" s="1"/>
  <c r="BH99"/>
  <c r="BH100" s="1"/>
  <c r="BH73"/>
  <c r="BH49"/>
  <c r="BG420"/>
  <c r="BG422" s="1"/>
  <c r="BG39"/>
  <c r="BG19"/>
  <c r="BG34"/>
  <c r="BG24"/>
  <c r="BG29"/>
  <c r="BH111" i="14"/>
  <c r="BH119" i="9"/>
  <c r="AU99"/>
  <c r="AU100" s="1"/>
  <c r="AU82"/>
  <c r="AU83" s="1"/>
  <c r="AU84" s="1"/>
  <c r="AU108"/>
  <c r="AU109" s="1"/>
  <c r="AU90"/>
  <c r="AU91" s="1"/>
  <c r="AU49"/>
  <c r="H465" i="12"/>
  <c r="H305"/>
  <c r="H97"/>
  <c r="H25"/>
  <c r="H372"/>
  <c r="H539"/>
  <c r="H168"/>
  <c r="H221"/>
  <c r="H69" i="33"/>
  <c r="H78" i="26"/>
  <c r="H78" i="33" s="1"/>
  <c r="AK29" i="5"/>
  <c r="AK20" i="12"/>
  <c r="AK13" i="9"/>
  <c r="AK32" i="5"/>
  <c r="AK10" i="26" s="1"/>
  <c r="AK10" i="33" s="1"/>
  <c r="I108" i="9"/>
  <c r="I109" s="1"/>
  <c r="I111" s="1"/>
  <c r="AU432"/>
  <c r="AU98" i="29"/>
  <c r="AU74" i="9"/>
  <c r="AU24" i="29"/>
  <c r="AN49" i="9"/>
  <c r="AN90"/>
  <c r="AN91" s="1"/>
  <c r="AN92" s="1"/>
  <c r="AN73"/>
  <c r="AN99"/>
  <c r="AN100" s="1"/>
  <c r="AN101" s="1"/>
  <c r="AN233" i="12" s="1"/>
  <c r="AN250" s="1"/>
  <c r="AN273" s="1"/>
  <c r="AN108" i="9"/>
  <c r="AN109" s="1"/>
  <c r="AN110" s="1"/>
  <c r="AN82"/>
  <c r="AN83" s="1"/>
  <c r="AN84" s="1"/>
  <c r="O420"/>
  <c r="O422" s="1"/>
  <c r="O29"/>
  <c r="O92" s="1"/>
  <c r="O39"/>
  <c r="O19"/>
  <c r="O24"/>
  <c r="O34"/>
  <c r="H420"/>
  <c r="H422" s="1"/>
  <c r="H29"/>
  <c r="H39"/>
  <c r="H19"/>
  <c r="H24"/>
  <c r="H34"/>
  <c r="H70" i="33"/>
  <c r="H79" i="26"/>
  <c r="H79" i="33" s="1"/>
  <c r="H27" i="5"/>
  <c r="H38"/>
  <c r="AK27"/>
  <c r="AK38"/>
  <c r="O84" i="9"/>
  <c r="I73"/>
  <c r="I90"/>
  <c r="I91" s="1"/>
  <c r="I92" s="1"/>
  <c r="BZ83" i="30"/>
  <c r="CF83"/>
  <c r="CQ83"/>
  <c r="CP83"/>
  <c r="CO83"/>
  <c r="CI83"/>
  <c r="CM83"/>
  <c r="CL83"/>
  <c r="CG83"/>
  <c r="CA83"/>
  <c r="CB83"/>
  <c r="CE83"/>
  <c r="CK83"/>
  <c r="CD83"/>
  <c r="CJ83"/>
  <c r="CN83"/>
  <c r="CC83"/>
  <c r="AP225" i="12"/>
  <c r="AP238" s="1"/>
  <c r="AP29"/>
  <c r="AP50" s="1"/>
  <c r="AP52" i="9"/>
  <c r="AP97" i="29" s="1"/>
  <c r="AM119" i="9"/>
  <c r="AM111" i="14"/>
  <c r="T29" i="9"/>
  <c r="T19"/>
  <c r="T420"/>
  <c r="T422" s="1"/>
  <c r="T159"/>
  <c r="T160" s="1"/>
  <c r="T188"/>
  <c r="T189" s="1"/>
  <c r="T150"/>
  <c r="T151" s="1"/>
  <c r="T152" s="1"/>
  <c r="T311" i="12" s="1"/>
  <c r="T24" i="9"/>
  <c r="T39"/>
  <c r="T34"/>
  <c r="T176"/>
  <c r="T177" s="1"/>
  <c r="T167"/>
  <c r="T168" s="1"/>
  <c r="T169" s="1"/>
  <c r="T315" i="12" s="1"/>
  <c r="T99" i="9"/>
  <c r="T100" s="1"/>
  <c r="T73"/>
  <c r="T82"/>
  <c r="T83" s="1"/>
  <c r="T108"/>
  <c r="T109" s="1"/>
  <c r="T111" s="1"/>
  <c r="T90"/>
  <c r="T91" s="1"/>
  <c r="T74"/>
  <c r="T221" i="12"/>
  <c r="T25"/>
  <c r="T465"/>
  <c r="T168"/>
  <c r="T305"/>
  <c r="T372"/>
  <c r="T97"/>
  <c r="T539"/>
  <c r="AZ19" i="9"/>
  <c r="AZ34"/>
  <c r="AZ39"/>
  <c r="AZ29"/>
  <c r="AZ24"/>
  <c r="AZ420"/>
  <c r="AZ422" s="1"/>
  <c r="BI167"/>
  <c r="BI168" s="1"/>
  <c r="BI169" s="1"/>
  <c r="BI315" i="12" s="1"/>
  <c r="BI123" i="9"/>
  <c r="BI150"/>
  <c r="BI151" s="1"/>
  <c r="BI152" s="1"/>
  <c r="BI311" i="12" s="1"/>
  <c r="BI176" i="9"/>
  <c r="BI177" s="1"/>
  <c r="BI178" s="1"/>
  <c r="BI159"/>
  <c r="BI160" s="1"/>
  <c r="BI161" s="1"/>
  <c r="BI313" i="12" s="1"/>
  <c r="BI329" s="1"/>
  <c r="BI330" s="1"/>
  <c r="BI188" i="9"/>
  <c r="BI189" s="1"/>
  <c r="BI190" s="1"/>
  <c r="BI317" i="12" s="1"/>
  <c r="BI334" s="1"/>
  <c r="BI357" s="1"/>
  <c r="BI359" s="1"/>
  <c r="BI195" i="9"/>
  <c r="AI32" i="5"/>
  <c r="AI10" i="26" s="1"/>
  <c r="AI10" i="33" s="1"/>
  <c r="AI13" i="9"/>
  <c r="AI20" i="12"/>
  <c r="AI29" i="5"/>
  <c r="S29"/>
  <c r="S32"/>
  <c r="S10" i="26" s="1"/>
  <c r="S10" i="33" s="1"/>
  <c r="S13" i="9"/>
  <c r="S20" i="12"/>
  <c r="J13" i="9"/>
  <c r="J29" i="5"/>
  <c r="J20" i="12"/>
  <c r="J38" i="5"/>
  <c r="J27"/>
  <c r="Q539" i="12"/>
  <c r="Q305"/>
  <c r="Q221"/>
  <c r="Q372"/>
  <c r="Q25"/>
  <c r="Q168"/>
  <c r="Q97"/>
  <c r="Q465"/>
  <c r="M85" i="14"/>
  <c r="M45" i="9"/>
  <c r="M49" s="1"/>
  <c r="L82"/>
  <c r="L83" s="1"/>
  <c r="L90"/>
  <c r="L91" s="1"/>
  <c r="L49"/>
  <c r="L99"/>
  <c r="L100" s="1"/>
  <c r="L73"/>
  <c r="L108"/>
  <c r="L109" s="1"/>
  <c r="BI108"/>
  <c r="BI109" s="1"/>
  <c r="BI90"/>
  <c r="BI91" s="1"/>
  <c r="BI92" s="1"/>
  <c r="BI49"/>
  <c r="BI82"/>
  <c r="BI83" s="1"/>
  <c r="BI84" s="1"/>
  <c r="BI73"/>
  <c r="BI99"/>
  <c r="BI100" s="1"/>
  <c r="AF119"/>
  <c r="AF111" i="14"/>
  <c r="AC49" i="9"/>
  <c r="AC99"/>
  <c r="AC100" s="1"/>
  <c r="AC73"/>
  <c r="AC108"/>
  <c r="AC109" s="1"/>
  <c r="AC82"/>
  <c r="AC83" s="1"/>
  <c r="AC90"/>
  <c r="AC91" s="1"/>
  <c r="AJ49"/>
  <c r="AJ108"/>
  <c r="AJ109" s="1"/>
  <c r="AJ90"/>
  <c r="AJ91" s="1"/>
  <c r="AJ73"/>
  <c r="AJ99"/>
  <c r="AJ100" s="1"/>
  <c r="AJ82"/>
  <c r="AJ83" s="1"/>
  <c r="Z29" i="12"/>
  <c r="Z50" s="1"/>
  <c r="Z225"/>
  <c r="Z238" s="1"/>
  <c r="AH39" i="9"/>
  <c r="AH19"/>
  <c r="AH29"/>
  <c r="AH34"/>
  <c r="AH24"/>
  <c r="AH420"/>
  <c r="AH422" s="1"/>
  <c r="AD34"/>
  <c r="AD59" s="1"/>
  <c r="AD24"/>
  <c r="AD420"/>
  <c r="AD422" s="1"/>
  <c r="AD29"/>
  <c r="AD56" s="1"/>
  <c r="AD39"/>
  <c r="AD65" s="1"/>
  <c r="AD294" i="12" s="1"/>
  <c r="AD19" i="9"/>
  <c r="AD108"/>
  <c r="AD109" s="1"/>
  <c r="AD110" s="1"/>
  <c r="AD73"/>
  <c r="AD99"/>
  <c r="AD100" s="1"/>
  <c r="AD102" s="1"/>
  <c r="AD90"/>
  <c r="AD91" s="1"/>
  <c r="AD93" s="1"/>
  <c r="AD82"/>
  <c r="AD83" s="1"/>
  <c r="AD85" s="1"/>
  <c r="AD74"/>
  <c r="AD76" s="1"/>
  <c r="X29"/>
  <c r="X39"/>
  <c r="X34"/>
  <c r="X420"/>
  <c r="X422" s="1"/>
  <c r="X24"/>
  <c r="X19"/>
  <c r="I119"/>
  <c r="I111" i="14"/>
  <c r="I225" i="12"/>
  <c r="I238" s="1"/>
  <c r="I239" s="1"/>
  <c r="I52" i="9"/>
  <c r="I97" i="29" s="1"/>
  <c r="I65" i="9"/>
  <c r="I294" i="12" s="1"/>
  <c r="I29"/>
  <c r="I50" s="1"/>
  <c r="I51" s="1"/>
  <c r="I59" i="9"/>
  <c r="I56"/>
  <c r="I53"/>
  <c r="I93"/>
  <c r="M27" i="5"/>
  <c r="M38"/>
  <c r="Z27"/>
  <c r="Z38"/>
  <c r="U32"/>
  <c r="U10" i="26" s="1"/>
  <c r="U10" i="33" s="1"/>
  <c r="U29" i="5"/>
  <c r="U20" i="12"/>
  <c r="U13" i="9"/>
  <c r="U52" s="1"/>
  <c r="U97" i="29" s="1"/>
  <c r="R29" i="5"/>
  <c r="R20" i="12"/>
  <c r="R32" i="5"/>
  <c r="R10" i="26" s="1"/>
  <c r="R10" i="33" s="1"/>
  <c r="R13" i="9"/>
  <c r="R38" i="5"/>
  <c r="R27"/>
  <c r="BW147" i="30"/>
  <c r="BH147"/>
  <c r="BV147"/>
  <c r="BN147"/>
  <c r="BJ147"/>
  <c r="BL147"/>
  <c r="BT147"/>
  <c r="BG147"/>
  <c r="BM147"/>
  <c r="BK147"/>
  <c r="BF147"/>
  <c r="BO147"/>
  <c r="BS147"/>
  <c r="BI147"/>
  <c r="BU147"/>
  <c r="BR147"/>
  <c r="BF83"/>
  <c r="BG83"/>
  <c r="BT83"/>
  <c r="AF112" i="14"/>
  <c r="I99" i="9"/>
  <c r="I100" s="1"/>
  <c r="I82"/>
  <c r="I83" s="1"/>
  <c r="I84" s="1"/>
  <c r="BJ83" i="30"/>
  <c r="AJ111" i="14"/>
  <c r="AJ119" i="9"/>
  <c r="T52"/>
  <c r="T97" i="29" s="1"/>
  <c r="T93" i="9"/>
  <c r="T225" i="12"/>
  <c r="T238" s="1"/>
  <c r="T239" s="1"/>
  <c r="T240" s="1"/>
  <c r="T241" s="1"/>
  <c r="T58" i="26" s="1"/>
  <c r="T58" i="33" s="1"/>
  <c r="T29" i="12"/>
  <c r="T50" s="1"/>
  <c r="AZ25"/>
  <c r="AZ465"/>
  <c r="AZ539"/>
  <c r="AZ168"/>
  <c r="AZ305"/>
  <c r="AZ372"/>
  <c r="AZ97"/>
  <c r="AZ221"/>
  <c r="W27" i="5"/>
  <c r="W38"/>
  <c r="W20" i="12"/>
  <c r="W29" i="5"/>
  <c r="W13" i="9"/>
  <c r="W32" i="5"/>
  <c r="W10" i="26" s="1"/>
  <c r="W10" i="33" s="1"/>
  <c r="AI38" i="5"/>
  <c r="AI27"/>
  <c r="S27"/>
  <c r="S38"/>
  <c r="T123" i="9"/>
  <c r="T196" s="1"/>
  <c r="T195"/>
  <c r="M109" i="14"/>
  <c r="M110"/>
  <c r="AD29" i="12"/>
  <c r="AD50" s="1"/>
  <c r="AD225"/>
  <c r="AD238" s="1"/>
  <c r="AD52" i="9"/>
  <c r="AD97" i="29" s="1"/>
  <c r="AF49" i="9"/>
  <c r="AF99"/>
  <c r="AF100" s="1"/>
  <c r="AF90"/>
  <c r="AF91" s="1"/>
  <c r="AF73"/>
  <c r="AF108"/>
  <c r="AF109" s="1"/>
  <c r="AF82"/>
  <c r="AF83" s="1"/>
  <c r="U29" i="12"/>
  <c r="U50" s="1"/>
  <c r="U225"/>
  <c r="U238" s="1"/>
  <c r="AX225"/>
  <c r="AX238" s="1"/>
  <c r="AX239" s="1"/>
  <c r="AX240" s="1"/>
  <c r="AX241" s="1"/>
  <c r="AX58" i="26" s="1"/>
  <c r="AX58" i="33" s="1"/>
  <c r="AX52" i="9"/>
  <c r="AX97" i="29" s="1"/>
  <c r="AX29" i="12"/>
  <c r="AX50" s="1"/>
  <c r="AX51" s="1"/>
  <c r="AX52" s="1"/>
  <c r="AX53" s="1"/>
  <c r="AX47" i="26" s="1"/>
  <c r="AX47" i="33" s="1"/>
  <c r="AI29" i="12"/>
  <c r="AI50" s="1"/>
  <c r="AI225"/>
  <c r="AI238" s="1"/>
  <c r="AI52" i="9"/>
  <c r="AI97" i="29" s="1"/>
  <c r="Q438" i="9"/>
  <c r="Q455"/>
  <c r="Q427"/>
  <c r="Q445"/>
  <c r="AH372" i="12"/>
  <c r="AH221"/>
  <c r="AH25"/>
  <c r="AH97"/>
  <c r="AH305"/>
  <c r="AH168"/>
  <c r="AH465"/>
  <c r="AH539"/>
  <c r="AD168"/>
  <c r="AD97"/>
  <c r="AD221"/>
  <c r="AD305"/>
  <c r="AD539"/>
  <c r="AD465"/>
  <c r="AD372"/>
  <c r="AD25"/>
  <c r="X25"/>
  <c r="X168"/>
  <c r="X372"/>
  <c r="X539"/>
  <c r="X465"/>
  <c r="X305"/>
  <c r="X97"/>
  <c r="X221"/>
  <c r="AZ119" i="9"/>
  <c r="AZ123" s="1"/>
  <c r="AZ111" i="14"/>
  <c r="I24" i="29"/>
  <c r="I98"/>
  <c r="I74" i="9"/>
  <c r="I432"/>
  <c r="I110"/>
  <c r="V372" i="12"/>
  <c r="V465"/>
  <c r="V539"/>
  <c r="V221"/>
  <c r="V97"/>
  <c r="V305"/>
  <c r="V25"/>
  <c r="V168"/>
  <c r="M29" i="5"/>
  <c r="M13" i="9"/>
  <c r="M108" s="1"/>
  <c r="M109" s="1"/>
  <c r="M32" i="5"/>
  <c r="M10" i="26" s="1"/>
  <c r="M10" i="33" s="1"/>
  <c r="M20" i="12"/>
  <c r="Z13" i="9"/>
  <c r="Z29" i="5"/>
  <c r="Z32"/>
  <c r="Z10" i="26" s="1"/>
  <c r="Z10" i="33" s="1"/>
  <c r="Z20" i="12"/>
  <c r="U38" i="5"/>
  <c r="U27"/>
  <c r="CH83" i="30"/>
  <c r="BM83"/>
  <c r="BO83"/>
  <c r="BS83"/>
  <c r="BR83"/>
  <c r="BN83"/>
  <c r="AN275" i="12"/>
  <c r="Q111" i="14"/>
  <c r="Q119" i="9"/>
  <c r="BD73"/>
  <c r="BD99"/>
  <c r="BD100" s="1"/>
  <c r="BD90"/>
  <c r="BD91" s="1"/>
  <c r="BD92" s="1"/>
  <c r="BD108"/>
  <c r="BD109" s="1"/>
  <c r="BD82"/>
  <c r="BD83" s="1"/>
  <c r="BD84" s="1"/>
  <c r="BD49"/>
  <c r="AK119"/>
  <c r="AK111" i="14"/>
  <c r="AY82" i="9"/>
  <c r="AY83" s="1"/>
  <c r="AY84" s="1"/>
  <c r="AY73"/>
  <c r="AY90"/>
  <c r="AY91" s="1"/>
  <c r="AY92" s="1"/>
  <c r="AY49"/>
  <c r="AY108"/>
  <c r="AY109" s="1"/>
  <c r="AY99"/>
  <c r="AY100" s="1"/>
  <c r="AY195"/>
  <c r="BE123"/>
  <c r="BE159"/>
  <c r="BE160" s="1"/>
  <c r="BE188"/>
  <c r="BE189" s="1"/>
  <c r="BE150"/>
  <c r="BE151" s="1"/>
  <c r="BE176"/>
  <c r="BE177" s="1"/>
  <c r="BE167"/>
  <c r="BE168" s="1"/>
  <c r="BE195"/>
  <c r="AS82"/>
  <c r="AS83" s="1"/>
  <c r="AS49"/>
  <c r="AS90"/>
  <c r="AS91" s="1"/>
  <c r="AS99"/>
  <c r="AS100" s="1"/>
  <c r="AS73"/>
  <c r="AS108"/>
  <c r="AS109" s="1"/>
  <c r="V90"/>
  <c r="V91" s="1"/>
  <c r="V49"/>
  <c r="V99"/>
  <c r="V100" s="1"/>
  <c r="V108"/>
  <c r="V109" s="1"/>
  <c r="V73"/>
  <c r="V82"/>
  <c r="V83" s="1"/>
  <c r="BF49"/>
  <c r="BF90"/>
  <c r="BF91" s="1"/>
  <c r="BF99"/>
  <c r="BF100" s="1"/>
  <c r="BF108"/>
  <c r="BF109" s="1"/>
  <c r="BF82"/>
  <c r="BF83" s="1"/>
  <c r="BF73"/>
  <c r="AH90"/>
  <c r="AH91" s="1"/>
  <c r="AH92" s="1"/>
  <c r="AH82"/>
  <c r="AH83" s="1"/>
  <c r="AH84" s="1"/>
  <c r="AH99"/>
  <c r="AH100" s="1"/>
  <c r="AH108"/>
  <c r="AH109" s="1"/>
  <c r="AH73"/>
  <c r="AH49"/>
  <c r="P49"/>
  <c r="P90"/>
  <c r="P91" s="1"/>
  <c r="P82"/>
  <c r="P83" s="1"/>
  <c r="P84" s="1"/>
  <c r="P108"/>
  <c r="P109" s="1"/>
  <c r="P99"/>
  <c r="P100" s="1"/>
  <c r="P73"/>
  <c r="AP119"/>
  <c r="AP111" i="14"/>
  <c r="AP112"/>
  <c r="L119" i="9"/>
  <c r="L112" i="14"/>
  <c r="L111"/>
  <c r="AV123" i="9"/>
  <c r="AV176"/>
  <c r="AV177" s="1"/>
  <c r="AV178" s="1"/>
  <c r="AV167"/>
  <c r="AV168" s="1"/>
  <c r="AV169" s="1"/>
  <c r="AV315" i="12" s="1"/>
  <c r="AV188" i="9"/>
  <c r="AV189" s="1"/>
  <c r="AV190" s="1"/>
  <c r="AV317" i="12" s="1"/>
  <c r="AV334" s="1"/>
  <c r="AV357" s="1"/>
  <c r="AV359" s="1"/>
  <c r="AV159" i="9"/>
  <c r="AV160" s="1"/>
  <c r="AV161" s="1"/>
  <c r="AV313" i="12" s="1"/>
  <c r="AV329" s="1"/>
  <c r="AV330" s="1"/>
  <c r="AV331" s="1"/>
  <c r="AV332" s="1"/>
  <c r="AV70" i="26" s="1"/>
  <c r="AV150" i="9"/>
  <c r="AV151" s="1"/>
  <c r="AV152" s="1"/>
  <c r="AV311" i="12" s="1"/>
  <c r="AV195" i="9"/>
  <c r="AD123"/>
  <c r="AD188"/>
  <c r="AD189" s="1"/>
  <c r="AD176"/>
  <c r="AD177" s="1"/>
  <c r="AD159"/>
  <c r="AD160" s="1"/>
  <c r="AD161" s="1"/>
  <c r="AD313" i="12" s="1"/>
  <c r="AD329" s="1"/>
  <c r="AD150" i="9"/>
  <c r="AD151" s="1"/>
  <c r="AD167"/>
  <c r="AD168" s="1"/>
  <c r="AD169" s="1"/>
  <c r="AD315" i="12" s="1"/>
  <c r="AD195" i="9"/>
  <c r="O110"/>
  <c r="O74"/>
  <c r="O76" s="1"/>
  <c r="O24" i="29"/>
  <c r="O98"/>
  <c r="O432" i="9"/>
  <c r="J69" i="33"/>
  <c r="J78" i="26"/>
  <c r="J78" i="33" s="1"/>
  <c r="AR111" i="14"/>
  <c r="AR119" i="9"/>
  <c r="BA305" i="12"/>
  <c r="BA97"/>
  <c r="BA372"/>
  <c r="BA465"/>
  <c r="BA539"/>
  <c r="BA221"/>
  <c r="BA25"/>
  <c r="BA168"/>
  <c r="X112" i="14"/>
  <c r="X119" i="9"/>
  <c r="X111" i="14"/>
  <c r="H82" i="9"/>
  <c r="H83" s="1"/>
  <c r="H84" s="1"/>
  <c r="H99"/>
  <c r="H100" s="1"/>
  <c r="H73"/>
  <c r="H49"/>
  <c r="H90"/>
  <c r="H91" s="1"/>
  <c r="H92" s="1"/>
  <c r="H108"/>
  <c r="H109" s="1"/>
  <c r="AK99"/>
  <c r="AK100" s="1"/>
  <c r="AK73"/>
  <c r="AK49"/>
  <c r="AK82"/>
  <c r="AK83" s="1"/>
  <c r="AK108"/>
  <c r="AK109" s="1"/>
  <c r="AK90"/>
  <c r="AK91" s="1"/>
  <c r="AO111" i="14"/>
  <c r="AO119" i="9"/>
  <c r="Z112" i="14"/>
  <c r="Z111"/>
  <c r="Z119" i="9"/>
  <c r="AR455"/>
  <c r="AR438"/>
  <c r="AR445"/>
  <c r="AR427"/>
  <c r="O111"/>
  <c r="O52"/>
  <c r="O97" i="29" s="1"/>
  <c r="O225" i="12"/>
  <c r="O238" s="1"/>
  <c r="O239" s="1"/>
  <c r="O240" s="1"/>
  <c r="O241" s="1"/>
  <c r="O58" i="26" s="1"/>
  <c r="O58" i="33" s="1"/>
  <c r="O102" i="9"/>
  <c r="O53"/>
  <c r="O59"/>
  <c r="O29" i="12"/>
  <c r="O50" s="1"/>
  <c r="O51" s="1"/>
  <c r="O52" s="1"/>
  <c r="O53" s="1"/>
  <c r="O47" i="26" s="1"/>
  <c r="O47" i="33" s="1"/>
  <c r="O93" i="9"/>
  <c r="O56"/>
  <c r="O85"/>
  <c r="O65"/>
  <c r="O294" i="12" s="1"/>
  <c r="AZ49" i="9"/>
  <c r="AZ108"/>
  <c r="AZ109" s="1"/>
  <c r="AZ90"/>
  <c r="AZ91" s="1"/>
  <c r="AZ92" s="1"/>
  <c r="AZ195"/>
  <c r="AZ73"/>
  <c r="AZ99"/>
  <c r="AZ100" s="1"/>
  <c r="AZ82"/>
  <c r="AZ83" s="1"/>
  <c r="AZ84" s="1"/>
  <c r="AO108"/>
  <c r="AO109" s="1"/>
  <c r="AO99"/>
  <c r="AO100" s="1"/>
  <c r="AO90"/>
  <c r="AO91" s="1"/>
  <c r="AO49"/>
  <c r="AO82"/>
  <c r="AO83" s="1"/>
  <c r="AO73"/>
  <c r="Q112" i="14"/>
  <c r="AO112"/>
  <c r="BE108" i="9"/>
  <c r="BE109" s="1"/>
  <c r="BE73"/>
  <c r="BE90"/>
  <c r="BE91" s="1"/>
  <c r="BE99"/>
  <c r="BE100" s="1"/>
  <c r="BE82"/>
  <c r="BE83" s="1"/>
  <c r="BE49"/>
  <c r="AV90"/>
  <c r="AV91" s="1"/>
  <c r="AV92" s="1"/>
  <c r="AV82"/>
  <c r="AV83" s="1"/>
  <c r="AV84" s="1"/>
  <c r="AV99"/>
  <c r="AV100" s="1"/>
  <c r="AV108"/>
  <c r="AV109" s="1"/>
  <c r="AV73"/>
  <c r="AV49"/>
  <c r="W111" i="14"/>
  <c r="W119" i="9"/>
  <c r="AE150"/>
  <c r="AE151" s="1"/>
  <c r="AE176"/>
  <c r="AE177" s="1"/>
  <c r="AE159"/>
  <c r="AE160" s="1"/>
  <c r="AE188"/>
  <c r="AE189" s="1"/>
  <c r="AE167"/>
  <c r="AE168" s="1"/>
  <c r="AE123"/>
  <c r="AE195"/>
  <c r="AB123"/>
  <c r="AB150"/>
  <c r="AB151" s="1"/>
  <c r="AB167"/>
  <c r="AB168" s="1"/>
  <c r="AB188"/>
  <c r="AB189" s="1"/>
  <c r="AB176"/>
  <c r="AB177" s="1"/>
  <c r="AB159"/>
  <c r="AB160" s="1"/>
  <c r="AB195"/>
  <c r="AS119"/>
  <c r="AS111" i="14"/>
  <c r="BF111"/>
  <c r="BF119" i="9"/>
  <c r="AU119"/>
  <c r="AU111" i="14"/>
  <c r="AU112"/>
  <c r="U150" i="9"/>
  <c r="U151" s="1"/>
  <c r="U167"/>
  <c r="U168" s="1"/>
  <c r="U188"/>
  <c r="U189" s="1"/>
  <c r="U123"/>
  <c r="U176"/>
  <c r="U177" s="1"/>
  <c r="U159"/>
  <c r="U160" s="1"/>
  <c r="U195"/>
  <c r="O101"/>
  <c r="O229" i="12"/>
  <c r="O245" s="1"/>
  <c r="O246" s="1"/>
  <c r="O247" s="1"/>
  <c r="O248" s="1"/>
  <c r="O59" i="26" s="1"/>
  <c r="O59" i="33" s="1"/>
  <c r="O33" i="12"/>
  <c r="O58" s="1"/>
  <c r="O59" s="1"/>
  <c r="O60" s="1"/>
  <c r="O61" s="1"/>
  <c r="O48" i="26" s="1"/>
  <c r="O48" i="33" s="1"/>
  <c r="O119" i="9"/>
  <c r="O111" i="14"/>
  <c r="J79" i="26"/>
  <c r="J79" i="33" s="1"/>
  <c r="J70"/>
  <c r="AH119" i="9"/>
  <c r="AH111" i="14"/>
  <c r="BA34" i="9"/>
  <c r="BA24"/>
  <c r="BA82"/>
  <c r="BA73"/>
  <c r="BA74" s="1"/>
  <c r="BA176"/>
  <c r="BA420"/>
  <c r="BA422" s="1"/>
  <c r="BA19"/>
  <c r="BA29"/>
  <c r="BA99"/>
  <c r="BA100" s="1"/>
  <c r="BA90"/>
  <c r="BA91" s="1"/>
  <c r="BA39"/>
  <c r="BA108"/>
  <c r="BA109" s="1"/>
  <c r="BA83"/>
  <c r="BA159"/>
  <c r="BA160" s="1"/>
  <c r="BA177"/>
  <c r="BA167"/>
  <c r="BA168" s="1"/>
  <c r="BA150"/>
  <c r="BA151" s="1"/>
  <c r="BA188"/>
  <c r="BA189" s="1"/>
  <c r="BA128"/>
  <c r="K52"/>
  <c r="K97" i="29" s="1"/>
  <c r="K225" i="12"/>
  <c r="K238" s="1"/>
  <c r="K29"/>
  <c r="K50" s="1"/>
  <c r="Q90" i="9"/>
  <c r="Q91" s="1"/>
  <c r="Q92" s="1"/>
  <c r="Q99"/>
  <c r="Q100" s="1"/>
  <c r="Q108"/>
  <c r="Q109" s="1"/>
  <c r="Q73"/>
  <c r="Q82"/>
  <c r="Q83" s="1"/>
  <c r="Q84" s="1"/>
  <c r="Q49"/>
  <c r="BD111" i="14"/>
  <c r="BD119" i="9"/>
  <c r="BG82"/>
  <c r="BG83" s="1"/>
  <c r="BG84" s="1"/>
  <c r="BG99"/>
  <c r="BG100" s="1"/>
  <c r="BG73"/>
  <c r="BG108"/>
  <c r="BG109" s="1"/>
  <c r="BG90"/>
  <c r="BG91" s="1"/>
  <c r="BG92" s="1"/>
  <c r="BG49"/>
  <c r="H111" i="14"/>
  <c r="H119" i="9"/>
  <c r="S111" i="14"/>
  <c r="S119" i="9"/>
  <c r="S112" i="14"/>
  <c r="AN111"/>
  <c r="AN112"/>
  <c r="AN119" i="9"/>
  <c r="N108"/>
  <c r="N109" s="1"/>
  <c r="N82"/>
  <c r="N83" s="1"/>
  <c r="N84" s="1"/>
  <c r="N99"/>
  <c r="N100" s="1"/>
  <c r="N90"/>
  <c r="N91" s="1"/>
  <c r="N92" s="1"/>
  <c r="N73"/>
  <c r="N49"/>
  <c r="N195"/>
  <c r="S29" i="12"/>
  <c r="S50" s="1"/>
  <c r="S52" i="9"/>
  <c r="S97" i="29" s="1"/>
  <c r="S225" i="12"/>
  <c r="S238" s="1"/>
  <c r="P119" i="9"/>
  <c r="P111" i="14"/>
  <c r="BG123" i="9"/>
  <c r="BG150"/>
  <c r="BG151" s="1"/>
  <c r="BG152" s="1"/>
  <c r="BG311" i="12" s="1"/>
  <c r="BG188" i="9"/>
  <c r="BG189" s="1"/>
  <c r="BG190" s="1"/>
  <c r="BG317" i="12" s="1"/>
  <c r="BG334" s="1"/>
  <c r="BG357" s="1"/>
  <c r="BG359" s="1"/>
  <c r="BG176" i="9"/>
  <c r="BG177" s="1"/>
  <c r="BG178" s="1"/>
  <c r="BG167"/>
  <c r="BG168" s="1"/>
  <c r="BG169" s="1"/>
  <c r="BG315" i="12" s="1"/>
  <c r="BG159" i="9"/>
  <c r="BG160" s="1"/>
  <c r="BG161" s="1"/>
  <c r="BG313" i="12" s="1"/>
  <c r="BG329" s="1"/>
  <c r="BG330" s="1"/>
  <c r="BG195" i="9"/>
  <c r="AR108"/>
  <c r="AR109" s="1"/>
  <c r="AR90"/>
  <c r="AR91" s="1"/>
  <c r="AR92" s="1"/>
  <c r="AR49"/>
  <c r="AR99"/>
  <c r="AR100" s="1"/>
  <c r="AR82"/>
  <c r="AR83" s="1"/>
  <c r="AR84" s="1"/>
  <c r="AR73"/>
  <c r="AW111" i="14"/>
  <c r="AW119" i="9"/>
  <c r="AE49"/>
  <c r="AE73"/>
  <c r="AE99"/>
  <c r="AE100" s="1"/>
  <c r="AE82"/>
  <c r="AE83" s="1"/>
  <c r="AE108"/>
  <c r="AE109" s="1"/>
  <c r="AE90"/>
  <c r="AE91" s="1"/>
  <c r="AW49"/>
  <c r="AW99"/>
  <c r="AW100" s="1"/>
  <c r="AW108"/>
  <c r="AW109" s="1"/>
  <c r="AW73"/>
  <c r="AW82"/>
  <c r="AW83" s="1"/>
  <c r="AW90"/>
  <c r="AW91" s="1"/>
  <c r="W112" i="14"/>
  <c r="AK112"/>
  <c r="AR112"/>
  <c r="T147" i="30" l="1"/>
  <c r="AG147"/>
  <c r="W147"/>
  <c r="R147"/>
  <c r="X147"/>
  <c r="AE147"/>
  <c r="Z148" s="1"/>
  <c r="AI147"/>
  <c r="AH148" s="1"/>
  <c r="AH149" s="1"/>
  <c r="BE70" i="33"/>
  <c r="BE79" i="26"/>
  <c r="BE79" i="33" s="1"/>
  <c r="BE34" i="9"/>
  <c r="BE420"/>
  <c r="BE422" s="1"/>
  <c r="BE19"/>
  <c r="BE29"/>
  <c r="BE169" s="1"/>
  <c r="BE24"/>
  <c r="BE161" s="1"/>
  <c r="BE313" i="12" s="1"/>
  <c r="BE329" s="1"/>
  <c r="BE39" i="9"/>
  <c r="BE168" i="12"/>
  <c r="BE97"/>
  <c r="BE465"/>
  <c r="BE539"/>
  <c r="BE25"/>
  <c r="BE372"/>
  <c r="BE305"/>
  <c r="BE221"/>
  <c r="BE84" i="9"/>
  <c r="BE92"/>
  <c r="BE178"/>
  <c r="BE190"/>
  <c r="BE317" i="12" s="1"/>
  <c r="BE334" s="1"/>
  <c r="BE357" s="1"/>
  <c r="BE69" i="33"/>
  <c r="BE78" i="26"/>
  <c r="BE78" i="33" s="1"/>
  <c r="BE27" i="5"/>
  <c r="BE38"/>
  <c r="BE152" i="9"/>
  <c r="BE311" i="12" s="1"/>
  <c r="CR83" i="30"/>
  <c r="AQ316"/>
  <c r="BD314"/>
  <c r="CK314"/>
  <c r="CA314"/>
  <c r="CN314"/>
  <c r="CC314"/>
  <c r="CO314"/>
  <c r="CG314"/>
  <c r="CQ314"/>
  <c r="CM314"/>
  <c r="CF314"/>
  <c r="CH314"/>
  <c r="CD314"/>
  <c r="CP314"/>
  <c r="CE314"/>
  <c r="CI314"/>
  <c r="CB314"/>
  <c r="CJ314"/>
  <c r="BZ314"/>
  <c r="CL314"/>
  <c r="CG147"/>
  <c r="CD147"/>
  <c r="BZ147"/>
  <c r="CL147"/>
  <c r="CN147"/>
  <c r="CF147"/>
  <c r="CC147"/>
  <c r="CO147"/>
  <c r="CB147"/>
  <c r="CQ147"/>
  <c r="CM147"/>
  <c r="CI147"/>
  <c r="CH147"/>
  <c r="CA147"/>
  <c r="CP147"/>
  <c r="CE147"/>
  <c r="CK147"/>
  <c r="CJ147"/>
  <c r="AH314"/>
  <c r="V314"/>
  <c r="AD314"/>
  <c r="R314"/>
  <c r="T314"/>
  <c r="AG314"/>
  <c r="AE314"/>
  <c r="AB314"/>
  <c r="AI314"/>
  <c r="AH315" s="1"/>
  <c r="AH316" s="1"/>
  <c r="W314"/>
  <c r="U314"/>
  <c r="AA314"/>
  <c r="X314"/>
  <c r="Z314"/>
  <c r="Y314"/>
  <c r="AC314"/>
  <c r="AF314"/>
  <c r="S314"/>
  <c r="AY83"/>
  <c r="BP314"/>
  <c r="BS314"/>
  <c r="BF314"/>
  <c r="BI314"/>
  <c r="BH314"/>
  <c r="BO314"/>
  <c r="BL314"/>
  <c r="BT314"/>
  <c r="BU314"/>
  <c r="BW314"/>
  <c r="BM314"/>
  <c r="BG314"/>
  <c r="BK314"/>
  <c r="BN314"/>
  <c r="BR314"/>
  <c r="BV314"/>
  <c r="BJ314"/>
  <c r="BQ314"/>
  <c r="S83"/>
  <c r="AO147"/>
  <c r="BB147"/>
  <c r="AY147"/>
  <c r="AN147"/>
  <c r="AW147"/>
  <c r="AZ147"/>
  <c r="AQ147"/>
  <c r="AM147"/>
  <c r="AP147"/>
  <c r="AL147"/>
  <c r="AR147"/>
  <c r="BA147"/>
  <c r="AT147"/>
  <c r="AV147"/>
  <c r="BC147"/>
  <c r="AU147"/>
  <c r="AX147"/>
  <c r="AS147"/>
  <c r="AI149"/>
  <c r="BB315"/>
  <c r="BC316" s="1"/>
  <c r="J137" i="14"/>
  <c r="AA112"/>
  <c r="J45" i="9"/>
  <c r="J85" i="14"/>
  <c r="AG539" i="12"/>
  <c r="AG465"/>
  <c r="AG25"/>
  <c r="AG221"/>
  <c r="AG168"/>
  <c r="AG97"/>
  <c r="AG305"/>
  <c r="AG372"/>
  <c r="R109" i="14"/>
  <c r="P92" i="9"/>
  <c r="AA45"/>
  <c r="AY167"/>
  <c r="AY168" s="1"/>
  <c r="AY141"/>
  <c r="AY132"/>
  <c r="AY323" i="12"/>
  <c r="AY324" s="1"/>
  <c r="AY325" s="1"/>
  <c r="AY69" i="26" s="1"/>
  <c r="AY69" i="33" s="1"/>
  <c r="Y109" i="14"/>
  <c r="Y112" s="1"/>
  <c r="R110"/>
  <c r="AL137"/>
  <c r="AQ110"/>
  <c r="R137"/>
  <c r="AG110"/>
  <c r="AG109"/>
  <c r="AL29" i="9"/>
  <c r="AL19"/>
  <c r="AL24"/>
  <c r="AL39"/>
  <c r="AL420"/>
  <c r="AL422" s="1"/>
  <c r="AL427" s="1"/>
  <c r="AL34"/>
  <c r="Y85" i="14"/>
  <c r="Y45" i="9"/>
  <c r="W45"/>
  <c r="W85" i="14"/>
  <c r="AC110"/>
  <c r="AC109"/>
  <c r="AL539" i="12"/>
  <c r="AL465"/>
  <c r="AL25"/>
  <c r="AL168"/>
  <c r="AL97"/>
  <c r="AL372"/>
  <c r="AL305"/>
  <c r="AL221"/>
  <c r="AM465"/>
  <c r="AM305"/>
  <c r="AM372"/>
  <c r="AM25"/>
  <c r="AM221"/>
  <c r="AM168"/>
  <c r="AM539"/>
  <c r="AM97"/>
  <c r="AM34" i="9"/>
  <c r="AM420"/>
  <c r="AM422" s="1"/>
  <c r="AM39"/>
  <c r="AM19"/>
  <c r="AM29"/>
  <c r="AM24"/>
  <c r="V109" i="14"/>
  <c r="V110"/>
  <c r="AX110"/>
  <c r="AX109"/>
  <c r="Y137"/>
  <c r="J109"/>
  <c r="J110"/>
  <c r="AQ137"/>
  <c r="AQ45" i="9"/>
  <c r="AQ108" s="1"/>
  <c r="AQ109" s="1"/>
  <c r="AQ110" s="1"/>
  <c r="AQ85" i="14"/>
  <c r="AQ445" i="9"/>
  <c r="AQ438"/>
  <c r="AQ455"/>
  <c r="AQ427"/>
  <c r="AT45"/>
  <c r="AT85" i="14"/>
  <c r="AL45" i="9"/>
  <c r="AL85" i="14"/>
  <c r="R45" i="9"/>
  <c r="R85" i="14"/>
  <c r="AQ109"/>
  <c r="BC85"/>
  <c r="BC45" i="9"/>
  <c r="BC110" i="14"/>
  <c r="BC109"/>
  <c r="AL109"/>
  <c r="AL110"/>
  <c r="T51" i="12"/>
  <c r="T52" s="1"/>
  <c r="T53" s="1"/>
  <c r="T47" i="26" s="1"/>
  <c r="T47" i="33" s="1"/>
  <c r="BD455" i="9"/>
  <c r="BD456" s="1"/>
  <c r="BD176" i="12" s="1"/>
  <c r="BD183" s="1"/>
  <c r="BD206" s="1"/>
  <c r="BD208" s="1"/>
  <c r="BD438" i="9"/>
  <c r="BD445"/>
  <c r="BD446" s="1"/>
  <c r="BD427"/>
  <c r="T92"/>
  <c r="T178"/>
  <c r="N188"/>
  <c r="N189" s="1"/>
  <c r="N190" s="1"/>
  <c r="BC455"/>
  <c r="F44" i="26"/>
  <c r="F44" i="33" s="1"/>
  <c r="F44" i="34"/>
  <c r="AD330" i="12"/>
  <c r="AD111" i="9"/>
  <c r="AU110"/>
  <c r="BC445"/>
  <c r="X45"/>
  <c r="N150"/>
  <c r="N151" s="1"/>
  <c r="N152" s="1"/>
  <c r="N311" i="12" s="1"/>
  <c r="K111" i="14"/>
  <c r="K112"/>
  <c r="K119" i="9"/>
  <c r="AG49"/>
  <c r="AG82"/>
  <c r="AG83" s="1"/>
  <c r="AG84" s="1"/>
  <c r="AG99"/>
  <c r="AG100" s="1"/>
  <c r="AG101" s="1"/>
  <c r="AG108"/>
  <c r="AG109" s="1"/>
  <c r="AG110" s="1"/>
  <c r="AG73"/>
  <c r="AG90"/>
  <c r="AG91" s="1"/>
  <c r="AG92" s="1"/>
  <c r="AD31" i="5"/>
  <c r="AD72" i="3"/>
  <c r="AD73"/>
  <c r="AE71"/>
  <c r="AE13" i="12" s="1"/>
  <c r="AF67" i="3"/>
  <c r="AF71" s="1"/>
  <c r="AF13" i="12" s="1"/>
  <c r="AI119" i="9"/>
  <c r="AI112" i="14"/>
  <c r="AI111"/>
  <c r="O116" i="29"/>
  <c r="AU101" i="9"/>
  <c r="AU233" i="12" s="1"/>
  <c r="AU250" s="1"/>
  <c r="AU273" s="1"/>
  <c r="AU275" s="1"/>
  <c r="AP305"/>
  <c r="AP25"/>
  <c r="AP51" s="1"/>
  <c r="AP52" s="1"/>
  <c r="AP53" s="1"/>
  <c r="AP47" i="26" s="1"/>
  <c r="AP47" i="33" s="1"/>
  <c r="AP221" i="12"/>
  <c r="AP539"/>
  <c r="AP465"/>
  <c r="AP372"/>
  <c r="AP97"/>
  <c r="AP168"/>
  <c r="AM82" i="9"/>
  <c r="AM83" s="1"/>
  <c r="AM84" s="1"/>
  <c r="AM99"/>
  <c r="AM100" s="1"/>
  <c r="AM101" s="1"/>
  <c r="AM108"/>
  <c r="AM109" s="1"/>
  <c r="AM49"/>
  <c r="AM73"/>
  <c r="AM90"/>
  <c r="AM91" s="1"/>
  <c r="AM92" s="1"/>
  <c r="BB111" i="14"/>
  <c r="BB119" i="9"/>
  <c r="R111" i="14"/>
  <c r="R112"/>
  <c r="R119" i="9"/>
  <c r="BB45"/>
  <c r="BB112" i="14"/>
  <c r="BB85"/>
  <c r="AP24" i="9"/>
  <c r="AP19"/>
  <c r="AP34"/>
  <c r="AP59" s="1"/>
  <c r="AP29"/>
  <c r="AP56" s="1"/>
  <c r="AP39"/>
  <c r="AP65" s="1"/>
  <c r="AP294" i="12" s="1"/>
  <c r="AP420" i="9"/>
  <c r="AP422" s="1"/>
  <c r="AP99"/>
  <c r="AP100" s="1"/>
  <c r="AP90"/>
  <c r="AP91" s="1"/>
  <c r="AP82"/>
  <c r="AP83" s="1"/>
  <c r="AP73"/>
  <c r="AP108"/>
  <c r="AP109" s="1"/>
  <c r="I455"/>
  <c r="I445"/>
  <c r="I438"/>
  <c r="I427"/>
  <c r="AU75"/>
  <c r="AU92"/>
  <c r="BH84"/>
  <c r="BH229" i="12" s="1"/>
  <c r="BH245" s="1"/>
  <c r="BH246" s="1"/>
  <c r="N159" i="9"/>
  <c r="N160" s="1"/>
  <c r="N161" s="1"/>
  <c r="N313" i="12" s="1"/>
  <c r="N329" s="1"/>
  <c r="N141" i="9"/>
  <c r="N135"/>
  <c r="AD84"/>
  <c r="L221" i="12"/>
  <c r="L168"/>
  <c r="L25"/>
  <c r="L305"/>
  <c r="L539"/>
  <c r="L97"/>
  <c r="L372"/>
  <c r="L465"/>
  <c r="N132" i="9"/>
  <c r="N167"/>
  <c r="N168" s="1"/>
  <c r="N176"/>
  <c r="N177" s="1"/>
  <c r="L34"/>
  <c r="L110" s="1"/>
  <c r="L39"/>
  <c r="L29"/>
  <c r="L92" s="1"/>
  <c r="L19"/>
  <c r="L24"/>
  <c r="L84" s="1"/>
  <c r="L420"/>
  <c r="L422" s="1"/>
  <c r="AT111" i="14"/>
  <c r="AT119" i="9"/>
  <c r="AT112" i="14"/>
  <c r="BA195" i="9"/>
  <c r="BA49"/>
  <c r="L101"/>
  <c r="L233" i="12" s="1"/>
  <c r="L250" s="1"/>
  <c r="L273" s="1"/>
  <c r="I70" i="33"/>
  <c r="I79" i="26"/>
  <c r="I79" i="33" s="1"/>
  <c r="I27" i="5"/>
  <c r="I38"/>
  <c r="AT438" i="9"/>
  <c r="AT427"/>
  <c r="AT445"/>
  <c r="AT455"/>
  <c r="AD101"/>
  <c r="AD233" i="12" s="1"/>
  <c r="AD250" s="1"/>
  <c r="AD273" s="1"/>
  <c r="I69" i="33"/>
  <c r="I78" i="26"/>
  <c r="I78" i="33" s="1"/>
  <c r="AA420" i="9"/>
  <c r="AA422" s="1"/>
  <c r="AA128"/>
  <c r="AA34"/>
  <c r="AA135" s="1"/>
  <c r="AA29"/>
  <c r="AA132" s="1"/>
  <c r="AA19"/>
  <c r="AA24"/>
  <c r="AA39"/>
  <c r="AA141" s="1"/>
  <c r="AA159"/>
  <c r="AA160" s="1"/>
  <c r="AA167"/>
  <c r="AA168" s="1"/>
  <c r="AA150"/>
  <c r="AA151" s="1"/>
  <c r="AA188"/>
  <c r="AA189" s="1"/>
  <c r="AA176"/>
  <c r="AA177" s="1"/>
  <c r="BI49" i="33"/>
  <c r="AC24" i="9"/>
  <c r="AC84" s="1"/>
  <c r="AC29"/>
  <c r="AC92" s="1"/>
  <c r="AC19"/>
  <c r="AC420"/>
  <c r="AC422" s="1"/>
  <c r="AC34"/>
  <c r="AC39"/>
  <c r="AC101" s="1"/>
  <c r="AC233" i="12" s="1"/>
  <c r="AC250" s="1"/>
  <c r="AC273" s="1"/>
  <c r="BF27" i="5"/>
  <c r="BF38"/>
  <c r="AB97" i="12"/>
  <c r="AB305"/>
  <c r="AB372"/>
  <c r="AB168"/>
  <c r="AB539"/>
  <c r="AB465"/>
  <c r="AB221"/>
  <c r="AB25"/>
  <c r="AV455" i="9"/>
  <c r="AV427"/>
  <c r="AV438"/>
  <c r="AV445"/>
  <c r="AN428"/>
  <c r="AN172" i="12" s="1"/>
  <c r="AN429" i="9"/>
  <c r="AN446"/>
  <c r="AN447"/>
  <c r="BB455"/>
  <c r="BB438"/>
  <c r="BB427"/>
  <c r="BB445"/>
  <c r="V19"/>
  <c r="V24"/>
  <c r="V84" s="1"/>
  <c r="V34"/>
  <c r="V39"/>
  <c r="V29"/>
  <c r="V92" s="1"/>
  <c r="V420"/>
  <c r="V422" s="1"/>
  <c r="K305" i="12"/>
  <c r="K25"/>
  <c r="K239" s="1"/>
  <c r="K240" s="1"/>
  <c r="K241" s="1"/>
  <c r="K58" i="26" s="1"/>
  <c r="K58" i="33" s="1"/>
  <c r="K372" i="12"/>
  <c r="K221"/>
  <c r="K168"/>
  <c r="K465"/>
  <c r="K539"/>
  <c r="K97"/>
  <c r="AW420" i="9"/>
  <c r="AW422" s="1"/>
  <c r="AW29"/>
  <c r="AW92" s="1"/>
  <c r="AW19"/>
  <c r="AW39"/>
  <c r="AW34"/>
  <c r="AW24"/>
  <c r="AW84" s="1"/>
  <c r="AW305" i="12"/>
  <c r="AW539"/>
  <c r="AW97"/>
  <c r="AW168"/>
  <c r="AW221"/>
  <c r="AW25"/>
  <c r="AW465"/>
  <c r="AW372"/>
  <c r="AS465"/>
  <c r="AS372"/>
  <c r="AS97"/>
  <c r="AS168"/>
  <c r="AS25"/>
  <c r="AS221"/>
  <c r="AS305"/>
  <c r="AS539"/>
  <c r="Y97"/>
  <c r="Y305"/>
  <c r="Y372"/>
  <c r="Y539"/>
  <c r="Y168"/>
  <c r="Y25"/>
  <c r="Y465"/>
  <c r="Y221"/>
  <c r="BF34" i="9"/>
  <c r="BF420"/>
  <c r="BF422" s="1"/>
  <c r="BF39"/>
  <c r="BF29"/>
  <c r="BF19"/>
  <c r="BF24"/>
  <c r="BF84" s="1"/>
  <c r="AF39"/>
  <c r="AF24"/>
  <c r="AF84" s="1"/>
  <c r="AF34"/>
  <c r="AF420"/>
  <c r="AF422" s="1"/>
  <c r="AF19"/>
  <c r="AF29"/>
  <c r="AF92" s="1"/>
  <c r="AC110"/>
  <c r="AE420"/>
  <c r="AE422" s="1"/>
  <c r="AE29"/>
  <c r="AE92" s="1"/>
  <c r="AE24"/>
  <c r="AE84" s="1"/>
  <c r="AE19"/>
  <c r="AE34"/>
  <c r="AE39"/>
  <c r="AE190" s="1"/>
  <c r="AE317" i="12" s="1"/>
  <c r="AE334" s="1"/>
  <c r="AE357" s="1"/>
  <c r="AE97"/>
  <c r="AE465"/>
  <c r="AE539"/>
  <c r="AE25"/>
  <c r="AE168"/>
  <c r="AE305"/>
  <c r="AE372"/>
  <c r="AE221"/>
  <c r="AJ34" i="9"/>
  <c r="AJ39"/>
  <c r="AJ29"/>
  <c r="AJ19"/>
  <c r="AJ24"/>
  <c r="AJ84" s="1"/>
  <c r="AJ420"/>
  <c r="AJ422" s="1"/>
  <c r="AJ539" i="12"/>
  <c r="AJ305"/>
  <c r="AJ372"/>
  <c r="AJ168"/>
  <c r="AJ465"/>
  <c r="AJ25"/>
  <c r="AJ221"/>
  <c r="AJ97"/>
  <c r="AX29" i="9"/>
  <c r="AX420"/>
  <c r="AX422" s="1"/>
  <c r="AX24"/>
  <c r="AX39"/>
  <c r="AX34"/>
  <c r="AX19"/>
  <c r="AX90"/>
  <c r="AX91" s="1"/>
  <c r="AX99"/>
  <c r="AX100" s="1"/>
  <c r="AX73"/>
  <c r="AX108"/>
  <c r="AX109" s="1"/>
  <c r="AX82"/>
  <c r="AX83" s="1"/>
  <c r="AG455"/>
  <c r="AG438"/>
  <c r="AG445"/>
  <c r="AG427"/>
  <c r="AA25" i="12"/>
  <c r="AA323" s="1"/>
  <c r="AA324" s="1"/>
  <c r="AA325" s="1"/>
  <c r="AA69" i="26" s="1"/>
  <c r="K69" i="34" s="1"/>
  <c r="AA97" i="12"/>
  <c r="AA221"/>
  <c r="AA305"/>
  <c r="AA168"/>
  <c r="AA372"/>
  <c r="AA539"/>
  <c r="AA465"/>
  <c r="AC372"/>
  <c r="AC25"/>
  <c r="AC465"/>
  <c r="AC221"/>
  <c r="AC97"/>
  <c r="AC539"/>
  <c r="AC305"/>
  <c r="AC168"/>
  <c r="BF79" i="26"/>
  <c r="BF79" i="33" s="1"/>
  <c r="BF70"/>
  <c r="BF78" i="26"/>
  <c r="BF78" i="33" s="1"/>
  <c r="BF69"/>
  <c r="AB39" i="9"/>
  <c r="AB65" s="1"/>
  <c r="AB294" i="12" s="1"/>
  <c r="AB420" i="9"/>
  <c r="AB422" s="1"/>
  <c r="AB34"/>
  <c r="AB59" s="1"/>
  <c r="AB19"/>
  <c r="AB73"/>
  <c r="AB29"/>
  <c r="AB99"/>
  <c r="AB100" s="1"/>
  <c r="AB108"/>
  <c r="AB109" s="1"/>
  <c r="AB24"/>
  <c r="AB161" s="1"/>
  <c r="AB313" i="12" s="1"/>
  <c r="AB329" s="1"/>
  <c r="AB90" i="9"/>
  <c r="AB91" s="1"/>
  <c r="AB82"/>
  <c r="AB83" s="1"/>
  <c r="AN456"/>
  <c r="AN176" i="12" s="1"/>
  <c r="AN183" s="1"/>
  <c r="AN206" s="1"/>
  <c r="AN208" s="1"/>
  <c r="AN457" i="9"/>
  <c r="AN439"/>
  <c r="AN174" i="12" s="1"/>
  <c r="AN440" i="9"/>
  <c r="AO305" i="12"/>
  <c r="AO465"/>
  <c r="AO372"/>
  <c r="AO25"/>
  <c r="AO539"/>
  <c r="AO97"/>
  <c r="AO168"/>
  <c r="AO221"/>
  <c r="AO19" i="9"/>
  <c r="AO29"/>
  <c r="AO92" s="1"/>
  <c r="AO420"/>
  <c r="AO422" s="1"/>
  <c r="AO24"/>
  <c r="AO84" s="1"/>
  <c r="AO39"/>
  <c r="AO34"/>
  <c r="K29"/>
  <c r="K56" s="1"/>
  <c r="K39"/>
  <c r="K65" s="1"/>
  <c r="K294" i="12" s="1"/>
  <c r="K34" i="9"/>
  <c r="K59" s="1"/>
  <c r="K24"/>
  <c r="K19"/>
  <c r="K420"/>
  <c r="K422" s="1"/>
  <c r="K108"/>
  <c r="K109" s="1"/>
  <c r="K73"/>
  <c r="K99"/>
  <c r="K100" s="1"/>
  <c r="K82"/>
  <c r="K83" s="1"/>
  <c r="K90"/>
  <c r="K91" s="1"/>
  <c r="AS29"/>
  <c r="AS92" s="1"/>
  <c r="AS19"/>
  <c r="AS420"/>
  <c r="AS422" s="1"/>
  <c r="AS39"/>
  <c r="AS24"/>
  <c r="AS34"/>
  <c r="BI438"/>
  <c r="BI445"/>
  <c r="BI455"/>
  <c r="BI427"/>
  <c r="Y39"/>
  <c r="Y19"/>
  <c r="Y34"/>
  <c r="Y24"/>
  <c r="Y29"/>
  <c r="Y420"/>
  <c r="Y422" s="1"/>
  <c r="BF372" i="12"/>
  <c r="BF465"/>
  <c r="BF97"/>
  <c r="BF539"/>
  <c r="BF221"/>
  <c r="BF168"/>
  <c r="BF25"/>
  <c r="BF305"/>
  <c r="AF305"/>
  <c r="AF168"/>
  <c r="AF372"/>
  <c r="AF465"/>
  <c r="AF221"/>
  <c r="AF539"/>
  <c r="AF25"/>
  <c r="AF97"/>
  <c r="AB169" i="9"/>
  <c r="AB315" i="12" s="1"/>
  <c r="AE178" i="9"/>
  <c r="BF92"/>
  <c r="AJ92"/>
  <c r="T161"/>
  <c r="T313" i="12" s="1"/>
  <c r="T329" s="1"/>
  <c r="N178" i="9"/>
  <c r="AB51" i="12"/>
  <c r="AB52" s="1"/>
  <c r="AB53" s="1"/>
  <c r="AB47" i="26" s="1"/>
  <c r="AB239" i="12"/>
  <c r="AB240" s="1"/>
  <c r="AB241" s="1"/>
  <c r="AB58" i="26" s="1"/>
  <c r="N330" i="12"/>
  <c r="N331" s="1"/>
  <c r="N332" s="1"/>
  <c r="N70" i="26" s="1"/>
  <c r="N70" i="33" s="1"/>
  <c r="O103" i="12"/>
  <c r="O231"/>
  <c r="O35"/>
  <c r="AY190" i="9"/>
  <c r="AY317" i="12" s="1"/>
  <c r="AY334" s="1"/>
  <c r="AY357" s="1"/>
  <c r="AY359" s="1"/>
  <c r="AY191" i="9"/>
  <c r="AY161"/>
  <c r="AY313" i="12" s="1"/>
  <c r="AY329" s="1"/>
  <c r="AY330" s="1"/>
  <c r="AY331" s="1"/>
  <c r="AY332" s="1"/>
  <c r="AY70" i="26" s="1"/>
  <c r="AY70" i="33" s="1"/>
  <c r="AY162" i="9"/>
  <c r="BH427"/>
  <c r="BH445"/>
  <c r="BH455"/>
  <c r="BH438"/>
  <c r="AQ439"/>
  <c r="AQ174" i="12" s="1"/>
  <c r="AQ440" i="9"/>
  <c r="AQ447"/>
  <c r="AQ446"/>
  <c r="N138"/>
  <c r="N129"/>
  <c r="AY178"/>
  <c r="AY179"/>
  <c r="BD440"/>
  <c r="BD439"/>
  <c r="BD174" i="12" s="1"/>
  <c r="BD457" i="9"/>
  <c r="AY129"/>
  <c r="BC440"/>
  <c r="BC439"/>
  <c r="BC174" i="12" s="1"/>
  <c r="BC457" i="9"/>
  <c r="BC456"/>
  <c r="BC176" i="12" s="1"/>
  <c r="BC183" s="1"/>
  <c r="BC206" s="1"/>
  <c r="BC208" s="1"/>
  <c r="AY152" i="9"/>
  <c r="AY311" i="12" s="1"/>
  <c r="AY153" i="9"/>
  <c r="AQ429"/>
  <c r="AQ428"/>
  <c r="AQ172" i="12" s="1"/>
  <c r="AQ456" i="9"/>
  <c r="AQ176" i="12" s="1"/>
  <c r="AQ183" s="1"/>
  <c r="AQ206" s="1"/>
  <c r="AQ208" s="1"/>
  <c r="AQ457" i="9"/>
  <c r="AU427"/>
  <c r="AU455"/>
  <c r="AU445"/>
  <c r="AU438"/>
  <c r="N427"/>
  <c r="N438"/>
  <c r="N445"/>
  <c r="N455"/>
  <c r="AY169"/>
  <c r="AY315" i="12" s="1"/>
  <c r="AY170" i="9"/>
  <c r="N170"/>
  <c r="N191"/>
  <c r="N128"/>
  <c r="N309" i="12"/>
  <c r="N322" s="1"/>
  <c r="N323" s="1"/>
  <c r="N324" s="1"/>
  <c r="N325" s="1"/>
  <c r="N69" i="26" s="1"/>
  <c r="N69" i="33" s="1"/>
  <c r="N179" i="9"/>
  <c r="N162"/>
  <c r="N153"/>
  <c r="BD429"/>
  <c r="BD428"/>
  <c r="BD172" i="12" s="1"/>
  <c r="BD447" i="9"/>
  <c r="P427"/>
  <c r="P438"/>
  <c r="P455"/>
  <c r="P445"/>
  <c r="AY180"/>
  <c r="AY138"/>
  <c r="AY438"/>
  <c r="AY455"/>
  <c r="AY445"/>
  <c r="AY427"/>
  <c r="BC447"/>
  <c r="BC446"/>
  <c r="BC428"/>
  <c r="BC172" i="12" s="1"/>
  <c r="BC429" i="9"/>
  <c r="I116" i="29"/>
  <c r="N169" i="9"/>
  <c r="N315" i="12" s="1"/>
  <c r="F65" i="33"/>
  <c r="F66" i="26"/>
  <c r="F66" i="33" s="1"/>
  <c r="BV84" i="30"/>
  <c r="BV85" s="1"/>
  <c r="AM316"/>
  <c r="AX316"/>
  <c r="AZ316"/>
  <c r="AV316"/>
  <c r="AT316"/>
  <c r="AW316"/>
  <c r="AY316"/>
  <c r="AU316"/>
  <c r="AL316"/>
  <c r="AS316"/>
  <c r="AO316"/>
  <c r="AN316"/>
  <c r="AP316"/>
  <c r="AR316"/>
  <c r="O455" i="9"/>
  <c r="O438"/>
  <c r="O445"/>
  <c r="O427"/>
  <c r="H445"/>
  <c r="H455"/>
  <c r="H438"/>
  <c r="H427"/>
  <c r="AN229" i="12"/>
  <c r="AN245" s="1"/>
  <c r="AN246" s="1"/>
  <c r="AN247" s="1"/>
  <c r="AN248" s="1"/>
  <c r="AN59" i="26" s="1"/>
  <c r="AN59" i="33" s="1"/>
  <c r="AN33" i="12"/>
  <c r="AN58" s="1"/>
  <c r="AN59" s="1"/>
  <c r="AN60" s="1"/>
  <c r="AN61" s="1"/>
  <c r="AN48" i="26" s="1"/>
  <c r="AN48" i="33" s="1"/>
  <c r="AN103" i="12"/>
  <c r="AN35"/>
  <c r="AN231"/>
  <c r="AU101"/>
  <c r="AU227"/>
  <c r="AU31"/>
  <c r="AU231"/>
  <c r="AU35"/>
  <c r="AU103"/>
  <c r="AU33"/>
  <c r="AU58" s="1"/>
  <c r="AU59" s="1"/>
  <c r="AU60" s="1"/>
  <c r="AU61" s="1"/>
  <c r="AU48" i="26" s="1"/>
  <c r="AU48" i="33" s="1"/>
  <c r="AU229" i="12"/>
  <c r="AU245" s="1"/>
  <c r="AU246" s="1"/>
  <c r="AU247" s="1"/>
  <c r="AU248" s="1"/>
  <c r="AU59" i="26" s="1"/>
  <c r="AU59" i="33" s="1"/>
  <c r="BH123" i="9"/>
  <c r="BH195"/>
  <c r="BH150"/>
  <c r="BH151" s="1"/>
  <c r="BH152" s="1"/>
  <c r="BH311" i="12" s="1"/>
  <c r="BH159" i="9"/>
  <c r="BH160" s="1"/>
  <c r="BH161" s="1"/>
  <c r="BH313" i="12" s="1"/>
  <c r="BH329" s="1"/>
  <c r="BH330" s="1"/>
  <c r="BH167" i="9"/>
  <c r="BH168" s="1"/>
  <c r="BH169" s="1"/>
  <c r="BH315" i="12" s="1"/>
  <c r="BH188" i="9"/>
  <c r="BH189" s="1"/>
  <c r="BH190" s="1"/>
  <c r="BH317" i="12" s="1"/>
  <c r="BH334" s="1"/>
  <c r="BH357" s="1"/>
  <c r="BH359" s="1"/>
  <c r="BH176" i="9"/>
  <c r="BH177" s="1"/>
  <c r="BH178" s="1"/>
  <c r="BH183" s="1"/>
  <c r="BH111"/>
  <c r="BH196"/>
  <c r="BH56"/>
  <c r="BH93"/>
  <c r="BH65"/>
  <c r="BH294" i="12" s="1"/>
  <c r="BH53" i="9"/>
  <c r="BH29" i="12"/>
  <c r="BH50" s="1"/>
  <c r="BH51" s="1"/>
  <c r="BH225"/>
  <c r="BH238" s="1"/>
  <c r="BH239" s="1"/>
  <c r="BH102" i="9"/>
  <c r="BH52"/>
  <c r="BH97" i="29" s="1"/>
  <c r="BH85" i="9"/>
  <c r="BH59"/>
  <c r="BH101"/>
  <c r="BH33" i="12"/>
  <c r="BH58" s="1"/>
  <c r="BH59" s="1"/>
  <c r="AD239"/>
  <c r="M82" i="9"/>
  <c r="M83" s="1"/>
  <c r="M85" s="1"/>
  <c r="M99"/>
  <c r="M100" s="1"/>
  <c r="BI183"/>
  <c r="I231" i="12"/>
  <c r="I103"/>
  <c r="I35"/>
  <c r="AN115" i="9"/>
  <c r="AN98" i="29"/>
  <c r="AN74" i="9"/>
  <c r="AN75" s="1"/>
  <c r="AN432"/>
  <c r="AN24" i="29"/>
  <c r="AN52" i="9"/>
  <c r="AN97" i="29" s="1"/>
  <c r="AN116" s="1"/>
  <c r="AN76" i="9"/>
  <c r="AN225" i="12"/>
  <c r="AN238" s="1"/>
  <c r="AN239" s="1"/>
  <c r="AN240" s="1"/>
  <c r="AN241" s="1"/>
  <c r="AN58" i="26" s="1"/>
  <c r="AN58" i="33" s="1"/>
  <c r="AN56" i="9"/>
  <c r="AN29" i="12"/>
  <c r="AN50" s="1"/>
  <c r="AN51" s="1"/>
  <c r="AN52" s="1"/>
  <c r="AN53" s="1"/>
  <c r="AN47" i="26" s="1"/>
  <c r="AN47" i="33" s="1"/>
  <c r="AN53" i="9"/>
  <c r="AN65"/>
  <c r="AN294" i="12" s="1"/>
  <c r="AN295" s="1"/>
  <c r="AN59" i="9"/>
  <c r="AN62" s="1"/>
  <c r="AN156" i="12" s="1"/>
  <c r="AN111" i="9"/>
  <c r="AN85"/>
  <c r="AN93"/>
  <c r="AN102"/>
  <c r="AK29"/>
  <c r="AK92" s="1"/>
  <c r="AK19"/>
  <c r="AK24"/>
  <c r="AK84" s="1"/>
  <c r="AK420"/>
  <c r="AK422" s="1"/>
  <c r="AK34"/>
  <c r="AK39"/>
  <c r="AK25" i="12"/>
  <c r="AK305"/>
  <c r="AK168"/>
  <c r="AK539"/>
  <c r="AK97"/>
  <c r="AK465"/>
  <c r="AK221"/>
  <c r="AK372"/>
  <c r="AU53" i="9"/>
  <c r="AU59"/>
  <c r="AU93"/>
  <c r="AU65"/>
  <c r="AU294" i="12" s="1"/>
  <c r="AU295" s="1"/>
  <c r="AU85" i="9"/>
  <c r="AU56"/>
  <c r="AU29" i="12"/>
  <c r="AU50" s="1"/>
  <c r="AU51" s="1"/>
  <c r="AU52" s="1"/>
  <c r="AU53" s="1"/>
  <c r="AU47" i="26" s="1"/>
  <c r="AU47" i="33" s="1"/>
  <c r="AU76" i="9"/>
  <c r="AU225" i="12"/>
  <c r="AU238" s="1"/>
  <c r="AU239" s="1"/>
  <c r="AU240" s="1"/>
  <c r="AU241" s="1"/>
  <c r="AU58" i="26" s="1"/>
  <c r="AU58" i="33" s="1"/>
  <c r="AU52" i="9"/>
  <c r="AU97" i="29" s="1"/>
  <c r="AU116" s="1"/>
  <c r="AU111" i="9"/>
  <c r="AU102"/>
  <c r="BG455"/>
  <c r="BG445"/>
  <c r="BG427"/>
  <c r="BG438"/>
  <c r="BH98" i="29"/>
  <c r="BH432" i="9"/>
  <c r="BH74"/>
  <c r="BH110"/>
  <c r="BH231" i="12"/>
  <c r="BH35"/>
  <c r="BH103"/>
  <c r="AV183" i="9"/>
  <c r="AN433"/>
  <c r="T84"/>
  <c r="T85"/>
  <c r="T201"/>
  <c r="T101"/>
  <c r="T102"/>
  <c r="CH84" i="30"/>
  <c r="CH85" s="1"/>
  <c r="M116" i="34" s="1"/>
  <c r="Z19" i="9"/>
  <c r="Z29"/>
  <c r="Z56" s="1"/>
  <c r="Z420"/>
  <c r="Z422" s="1"/>
  <c r="Z39"/>
  <c r="Z65" s="1"/>
  <c r="Z294" i="12" s="1"/>
  <c r="Z34" i="9"/>
  <c r="Z59" s="1"/>
  <c r="Z24"/>
  <c r="Z73"/>
  <c r="Z74" s="1"/>
  <c r="Z108"/>
  <c r="Z109" s="1"/>
  <c r="Z90"/>
  <c r="Z91" s="1"/>
  <c r="Z99"/>
  <c r="Z100" s="1"/>
  <c r="Z82"/>
  <c r="Z83" s="1"/>
  <c r="M39"/>
  <c r="M65" s="1"/>
  <c r="M294" i="12" s="1"/>
  <c r="M34" i="9"/>
  <c r="M59" s="1"/>
  <c r="M420"/>
  <c r="M422" s="1"/>
  <c r="M29"/>
  <c r="M56" s="1"/>
  <c r="M19"/>
  <c r="M24"/>
  <c r="I115"/>
  <c r="I75"/>
  <c r="Q428"/>
  <c r="Q172" i="12" s="1"/>
  <c r="Q429" i="9"/>
  <c r="Q439"/>
  <c r="Q174" i="12" s="1"/>
  <c r="Q440" i="9"/>
  <c r="AF24" i="29"/>
  <c r="AF432" i="9"/>
  <c r="AF74"/>
  <c r="AF76" s="1"/>
  <c r="AF101"/>
  <c r="T309" i="12"/>
  <c r="T322" s="1"/>
  <c r="T128" i="9"/>
  <c r="T153"/>
  <c r="T170"/>
  <c r="T179"/>
  <c r="T162"/>
  <c r="T191"/>
  <c r="W19"/>
  <c r="W24"/>
  <c r="W39"/>
  <c r="W34"/>
  <c r="W29"/>
  <c r="W420"/>
  <c r="W422" s="1"/>
  <c r="I229" i="12"/>
  <c r="I245" s="1"/>
  <c r="I246" s="1"/>
  <c r="I33"/>
  <c r="I58" s="1"/>
  <c r="I59" s="1"/>
  <c r="BF84" i="30"/>
  <c r="BJ85" s="1"/>
  <c r="L118" i="34" s="1"/>
  <c r="BX83" i="30"/>
  <c r="BN148"/>
  <c r="BN149" s="1"/>
  <c r="R24" i="9"/>
  <c r="R29"/>
  <c r="R39"/>
  <c r="R420"/>
  <c r="R422" s="1"/>
  <c r="R19"/>
  <c r="R34"/>
  <c r="R97" i="12"/>
  <c r="R168"/>
  <c r="R305"/>
  <c r="R25"/>
  <c r="R372"/>
  <c r="R465"/>
  <c r="R221"/>
  <c r="R539"/>
  <c r="U420" i="9"/>
  <c r="U422" s="1"/>
  <c r="U34"/>
  <c r="U59" s="1"/>
  <c r="U19"/>
  <c r="U24"/>
  <c r="U39"/>
  <c r="U65" s="1"/>
  <c r="U294" i="12" s="1"/>
  <c r="U29" i="9"/>
  <c r="U56" s="1"/>
  <c r="U90"/>
  <c r="U73"/>
  <c r="U74" s="1"/>
  <c r="U99"/>
  <c r="U100" s="1"/>
  <c r="U82"/>
  <c r="U83" s="1"/>
  <c r="U91"/>
  <c r="U108"/>
  <c r="U109" s="1"/>
  <c r="U168" i="12"/>
  <c r="U465"/>
  <c r="U97"/>
  <c r="U221"/>
  <c r="U539"/>
  <c r="U25"/>
  <c r="U239" s="1"/>
  <c r="U240" s="1"/>
  <c r="U241" s="1"/>
  <c r="U58" i="26" s="1"/>
  <c r="U58" i="33" s="1"/>
  <c r="U305" i="12"/>
  <c r="U372"/>
  <c r="I429" i="9"/>
  <c r="I428"/>
  <c r="I172" i="12" s="1"/>
  <c r="I439" i="9"/>
  <c r="I174" i="12" s="1"/>
  <c r="I440" i="9"/>
  <c r="I62"/>
  <c r="I156" i="12" s="1"/>
  <c r="I112" i="9"/>
  <c r="I123"/>
  <c r="I195"/>
  <c r="I150"/>
  <c r="I151" s="1"/>
  <c r="I152" s="1"/>
  <c r="I311" i="12" s="1"/>
  <c r="I167" i="9"/>
  <c r="I168" s="1"/>
  <c r="I169" s="1"/>
  <c r="I315" i="12" s="1"/>
  <c r="I159" i="9"/>
  <c r="I160" s="1"/>
  <c r="I161" s="1"/>
  <c r="I313" i="12" s="1"/>
  <c r="I329" s="1"/>
  <c r="I330" s="1"/>
  <c r="I176" i="9"/>
  <c r="I177" s="1"/>
  <c r="I188"/>
  <c r="I189" s="1"/>
  <c r="I190" s="1"/>
  <c r="I317" i="12" s="1"/>
  <c r="I334" s="1"/>
  <c r="I357" s="1"/>
  <c r="I359" s="1"/>
  <c r="X445" i="9"/>
  <c r="X427"/>
  <c r="X455"/>
  <c r="X438"/>
  <c r="AD432"/>
  <c r="AD24" i="29"/>
  <c r="AD98"/>
  <c r="AD116" s="1"/>
  <c r="AJ432" i="9"/>
  <c r="AJ74"/>
  <c r="AJ98" i="29"/>
  <c r="AJ24"/>
  <c r="AJ110" i="9"/>
  <c r="AF123"/>
  <c r="AF176"/>
  <c r="AF177" s="1"/>
  <c r="AF178" s="1"/>
  <c r="AF167"/>
  <c r="AF168" s="1"/>
  <c r="AF169" s="1"/>
  <c r="AF315" i="12" s="1"/>
  <c r="AF195" i="9"/>
  <c r="AF188"/>
  <c r="AF189" s="1"/>
  <c r="AF190" s="1"/>
  <c r="AF317" i="12" s="1"/>
  <c r="AF334" s="1"/>
  <c r="AF357" s="1"/>
  <c r="AF359" s="1"/>
  <c r="AF150" i="9"/>
  <c r="AF151" s="1"/>
  <c r="AF152" s="1"/>
  <c r="AF311" i="12" s="1"/>
  <c r="AF159" i="9"/>
  <c r="AF160" s="1"/>
  <c r="AF161" s="1"/>
  <c r="AF313" i="12" s="1"/>
  <c r="AF329" s="1"/>
  <c r="AF330" s="1"/>
  <c r="BI74" i="9"/>
  <c r="BI98" i="29"/>
  <c r="BI432" i="9"/>
  <c r="BI59"/>
  <c r="BI93"/>
  <c r="BI65"/>
  <c r="BI294" i="12" s="1"/>
  <c r="BI29"/>
  <c r="BI50" s="1"/>
  <c r="BI51" s="1"/>
  <c r="BI53" i="9"/>
  <c r="BI52"/>
  <c r="BI97" i="29" s="1"/>
  <c r="BI225" i="12"/>
  <c r="BI238" s="1"/>
  <c r="BI239" s="1"/>
  <c r="BI56" i="9"/>
  <c r="BI196"/>
  <c r="BI102"/>
  <c r="BI111"/>
  <c r="BI85"/>
  <c r="BI110"/>
  <c r="BI204"/>
  <c r="L74"/>
  <c r="L75" s="1"/>
  <c r="L24" i="29"/>
  <c r="L98"/>
  <c r="L432" i="9"/>
  <c r="L225" i="12"/>
  <c r="L238" s="1"/>
  <c r="L239" s="1"/>
  <c r="L240" s="1"/>
  <c r="L241" s="1"/>
  <c r="L58" i="26" s="1"/>
  <c r="L58" i="33" s="1"/>
  <c r="L102" i="9"/>
  <c r="L111"/>
  <c r="L85"/>
  <c r="L59"/>
  <c r="L65"/>
  <c r="L294" i="12" s="1"/>
  <c r="L295" s="1"/>
  <c r="L52" i="9"/>
  <c r="L97" i="29" s="1"/>
  <c r="L29" i="12"/>
  <c r="L50" s="1"/>
  <c r="L51" s="1"/>
  <c r="L52" s="1"/>
  <c r="L53" s="1"/>
  <c r="L47" i="26" s="1"/>
  <c r="L47" i="33" s="1"/>
  <c r="L93" i="9"/>
  <c r="L56"/>
  <c r="L53"/>
  <c r="M225" i="12"/>
  <c r="M238" s="1"/>
  <c r="M52" i="9"/>
  <c r="M97" i="29" s="1"/>
  <c r="M29" i="12"/>
  <c r="M50" s="1"/>
  <c r="M111" i="9"/>
  <c r="M102"/>
  <c r="S168" i="12"/>
  <c r="S305"/>
  <c r="S97"/>
  <c r="S221"/>
  <c r="S465"/>
  <c r="S539"/>
  <c r="S25"/>
  <c r="S372"/>
  <c r="AI168"/>
  <c r="AI97"/>
  <c r="AI465"/>
  <c r="AI539"/>
  <c r="AI221"/>
  <c r="AI372"/>
  <c r="AI305"/>
  <c r="AI25"/>
  <c r="AI239" s="1"/>
  <c r="AI240" s="1"/>
  <c r="AI241" s="1"/>
  <c r="AI58" i="26" s="1"/>
  <c r="AI420" i="9"/>
  <c r="AI422" s="1"/>
  <c r="AI34"/>
  <c r="AI29"/>
  <c r="AI150"/>
  <c r="AI151" s="1"/>
  <c r="AI167"/>
  <c r="AI168" s="1"/>
  <c r="AI176"/>
  <c r="AI177" s="1"/>
  <c r="AI99"/>
  <c r="AI100" s="1"/>
  <c r="AI73"/>
  <c r="AI74" s="1"/>
  <c r="AI90"/>
  <c r="AI91" s="1"/>
  <c r="AI24"/>
  <c r="AI39"/>
  <c r="AI19"/>
  <c r="AI159"/>
  <c r="AI160" s="1"/>
  <c r="AI188"/>
  <c r="AI189" s="1"/>
  <c r="AI108"/>
  <c r="AI109" s="1"/>
  <c r="AI82"/>
  <c r="AI83" s="1"/>
  <c r="BI327" i="12"/>
  <c r="BI356" s="1"/>
  <c r="BI358" s="1"/>
  <c r="BI338"/>
  <c r="AZ427" i="9"/>
  <c r="AZ438"/>
  <c r="AZ455"/>
  <c r="AZ445"/>
  <c r="AZ129"/>
  <c r="T110"/>
  <c r="T204"/>
  <c r="T432"/>
  <c r="T24" i="29"/>
  <c r="T98"/>
  <c r="T116" s="1"/>
  <c r="T135" i="9"/>
  <c r="T59"/>
  <c r="T129"/>
  <c r="T154" s="1"/>
  <c r="T53"/>
  <c r="AM188"/>
  <c r="AM189" s="1"/>
  <c r="AM167"/>
  <c r="AM168" s="1"/>
  <c r="AM169" s="1"/>
  <c r="AM315" i="12" s="1"/>
  <c r="AM123" i="9"/>
  <c r="AM176"/>
  <c r="AM177" s="1"/>
  <c r="AM150"/>
  <c r="AM151" s="1"/>
  <c r="AM152" s="1"/>
  <c r="AM311" i="12" s="1"/>
  <c r="AM159" i="9"/>
  <c r="AM160" s="1"/>
  <c r="AM161" s="1"/>
  <c r="AM313" i="12" s="1"/>
  <c r="AM329" s="1"/>
  <c r="AM330" s="1"/>
  <c r="AM331" s="1"/>
  <c r="AM332" s="1"/>
  <c r="AM70" i="26" s="1"/>
  <c r="AM195" i="9"/>
  <c r="BZ84" i="30"/>
  <c r="AD51" i="12"/>
  <c r="M90" i="9"/>
  <c r="M91" s="1"/>
  <c r="M92" s="1"/>
  <c r="M73"/>
  <c r="BO149" i="30"/>
  <c r="I76" i="9"/>
  <c r="AD75"/>
  <c r="AD92"/>
  <c r="AD94" s="1"/>
  <c r="AZ159"/>
  <c r="AZ160" s="1"/>
  <c r="AZ161" s="1"/>
  <c r="AZ313" i="12" s="1"/>
  <c r="AZ329" s="1"/>
  <c r="AZ330" s="1"/>
  <c r="AZ331" s="1"/>
  <c r="AZ332" s="1"/>
  <c r="AZ70" i="26" s="1"/>
  <c r="AZ70" i="33" s="1"/>
  <c r="AZ176" i="9"/>
  <c r="AZ177" s="1"/>
  <c r="AZ178" s="1"/>
  <c r="AZ150"/>
  <c r="AZ151" s="1"/>
  <c r="AZ152" s="1"/>
  <c r="AZ311" i="12" s="1"/>
  <c r="AZ132" i="9"/>
  <c r="AZ141"/>
  <c r="T183"/>
  <c r="T190"/>
  <c r="T317" i="12" s="1"/>
  <c r="T334" s="1"/>
  <c r="T357" s="1"/>
  <c r="T359" s="1"/>
  <c r="CK85" i="30"/>
  <c r="P116" i="34" s="1"/>
  <c r="CG85" i="30"/>
  <c r="CO85"/>
  <c r="W116" i="34" s="1"/>
  <c r="BN84" i="30"/>
  <c r="BN85" s="1"/>
  <c r="M118" i="34" s="1"/>
  <c r="Z372" i="12"/>
  <c r="Z305"/>
  <c r="Z25"/>
  <c r="Z168"/>
  <c r="Z97"/>
  <c r="Z465"/>
  <c r="Z539"/>
  <c r="Z221"/>
  <c r="M97"/>
  <c r="M305"/>
  <c r="M221"/>
  <c r="M539"/>
  <c r="M465"/>
  <c r="M372"/>
  <c r="M168"/>
  <c r="M25"/>
  <c r="AZ128" i="9"/>
  <c r="AZ309" i="12"/>
  <c r="AZ322" s="1"/>
  <c r="AZ323" s="1"/>
  <c r="AZ324" s="1"/>
  <c r="AZ325" s="1"/>
  <c r="AZ69" i="26" s="1"/>
  <c r="AZ69" i="33" s="1"/>
  <c r="Q447" i="9"/>
  <c r="Q446"/>
  <c r="Q450" s="1"/>
  <c r="Q456"/>
  <c r="Q176" i="12" s="1"/>
  <c r="Q183" s="1"/>
  <c r="Q206" s="1"/>
  <c r="Q208" s="1"/>
  <c r="Q457" i="9"/>
  <c r="AF110"/>
  <c r="AF204"/>
  <c r="AF93"/>
  <c r="AF111"/>
  <c r="AF225" i="12"/>
  <c r="AF238" s="1"/>
  <c r="AF239" s="1"/>
  <c r="AF85" i="9"/>
  <c r="AF102"/>
  <c r="AF196"/>
  <c r="AF59"/>
  <c r="AF52"/>
  <c r="AF97" i="29" s="1"/>
  <c r="AF29" i="12"/>
  <c r="AF50" s="1"/>
  <c r="AF51" s="1"/>
  <c r="AF53" i="9"/>
  <c r="AF98" i="29" s="1"/>
  <c r="AF116" s="1"/>
  <c r="AF65" i="9"/>
  <c r="AF294" i="12" s="1"/>
  <c r="AF56" i="9"/>
  <c r="M111" i="14"/>
  <c r="M112"/>
  <c r="M119" i="9"/>
  <c r="W97" i="12"/>
  <c r="W465"/>
  <c r="W25"/>
  <c r="W539"/>
  <c r="W221"/>
  <c r="W168"/>
  <c r="W372"/>
  <c r="W305"/>
  <c r="AJ150" i="9"/>
  <c r="AJ151" s="1"/>
  <c r="AJ152" s="1"/>
  <c r="AJ311" i="12" s="1"/>
  <c r="AJ188" i="9"/>
  <c r="AJ189" s="1"/>
  <c r="AJ190" s="1"/>
  <c r="AJ317" i="12" s="1"/>
  <c r="AJ334" s="1"/>
  <c r="AJ357" s="1"/>
  <c r="AJ359" s="1"/>
  <c r="AJ123" i="9"/>
  <c r="AJ196" s="1"/>
  <c r="AJ159"/>
  <c r="AJ160" s="1"/>
  <c r="AJ161" s="1"/>
  <c r="AJ313" i="12" s="1"/>
  <c r="AJ329" s="1"/>
  <c r="AJ330" s="1"/>
  <c r="AJ331" s="1"/>
  <c r="AJ332" s="1"/>
  <c r="AJ70" i="26" s="1"/>
  <c r="AJ176" i="9"/>
  <c r="AJ177" s="1"/>
  <c r="AJ178" s="1"/>
  <c r="AJ167"/>
  <c r="AJ168" s="1"/>
  <c r="AJ169" s="1"/>
  <c r="AJ315" i="12" s="1"/>
  <c r="AJ195" i="9"/>
  <c r="I201"/>
  <c r="I101"/>
  <c r="I103" s="1"/>
  <c r="BX147" i="30"/>
  <c r="BF148"/>
  <c r="BV148"/>
  <c r="BV149" s="1"/>
  <c r="AB58" i="33"/>
  <c r="AB47"/>
  <c r="I447" i="9"/>
  <c r="I446"/>
  <c r="I450" s="1"/>
  <c r="I457"/>
  <c r="I456"/>
  <c r="I176" i="12" s="1"/>
  <c r="I183" s="1"/>
  <c r="I206" s="1"/>
  <c r="I208" s="1"/>
  <c r="I288"/>
  <c r="I150"/>
  <c r="I77" i="9"/>
  <c r="I153" i="12"/>
  <c r="I291"/>
  <c r="I94" i="9"/>
  <c r="AD229" i="12"/>
  <c r="AD245" s="1"/>
  <c r="AD246" s="1"/>
  <c r="AD33"/>
  <c r="AD58" s="1"/>
  <c r="AD59" s="1"/>
  <c r="AD53" i="9"/>
  <c r="AD291" i="12"/>
  <c r="AD153"/>
  <c r="AD103" i="9"/>
  <c r="AD455"/>
  <c r="AD445"/>
  <c r="AD438"/>
  <c r="AD427"/>
  <c r="AD62"/>
  <c r="AD156" i="12" s="1"/>
  <c r="AD112" i="9"/>
  <c r="AH427"/>
  <c r="AH455"/>
  <c r="AH438"/>
  <c r="AH445"/>
  <c r="AJ101"/>
  <c r="AJ231" i="12"/>
  <c r="AJ103"/>
  <c r="AJ35"/>
  <c r="AJ53" i="9"/>
  <c r="AJ52"/>
  <c r="AJ97" i="29" s="1"/>
  <c r="AJ116" s="1"/>
  <c r="AJ111" i="9"/>
  <c r="AJ85"/>
  <c r="AJ59"/>
  <c r="AJ56"/>
  <c r="AJ65"/>
  <c r="AJ294" i="12" s="1"/>
  <c r="AJ225"/>
  <c r="AJ238" s="1"/>
  <c r="AJ239" s="1"/>
  <c r="AJ240" s="1"/>
  <c r="AJ241" s="1"/>
  <c r="AJ58" i="26" s="1"/>
  <c r="AJ29" i="12"/>
  <c r="AJ50" s="1"/>
  <c r="AJ51" s="1"/>
  <c r="AJ52" s="1"/>
  <c r="AJ53" s="1"/>
  <c r="AJ47" i="26" s="1"/>
  <c r="AJ76" i="9"/>
  <c r="AJ93"/>
  <c r="AJ102"/>
  <c r="AC24" i="29"/>
  <c r="AC74" i="9"/>
  <c r="AC75" s="1"/>
  <c r="AC432"/>
  <c r="AC98" i="29"/>
  <c r="AC53" i="9"/>
  <c r="AC59"/>
  <c r="AC52"/>
  <c r="AC97" i="29" s="1"/>
  <c r="AC225" i="12"/>
  <c r="AC238" s="1"/>
  <c r="AC239" s="1"/>
  <c r="AC240" s="1"/>
  <c r="AC241" s="1"/>
  <c r="AC58" i="26" s="1"/>
  <c r="AC111" i="9"/>
  <c r="AC56"/>
  <c r="AC85"/>
  <c r="AC102"/>
  <c r="AC29" i="12"/>
  <c r="AC50" s="1"/>
  <c r="AC51" s="1"/>
  <c r="AC52" s="1"/>
  <c r="AC53" s="1"/>
  <c r="AC47" i="26" s="1"/>
  <c r="AC93" i="9"/>
  <c r="AC65"/>
  <c r="AC294" i="12" s="1"/>
  <c r="BI101" i="9"/>
  <c r="BI201"/>
  <c r="BI229" i="12"/>
  <c r="BI245" s="1"/>
  <c r="BI246" s="1"/>
  <c r="BI33"/>
  <c r="BI58" s="1"/>
  <c r="BI59" s="1"/>
  <c r="BI103"/>
  <c r="BI231"/>
  <c r="BI35"/>
  <c r="L275"/>
  <c r="J97"/>
  <c r="J168"/>
  <c r="J465"/>
  <c r="J305"/>
  <c r="J539"/>
  <c r="J25"/>
  <c r="J372"/>
  <c r="J221"/>
  <c r="J420" i="9"/>
  <c r="J422" s="1"/>
  <c r="J39"/>
  <c r="J34"/>
  <c r="J19"/>
  <c r="J29"/>
  <c r="J24"/>
  <c r="S34"/>
  <c r="S59" s="1"/>
  <c r="S29"/>
  <c r="S56" s="1"/>
  <c r="S153" i="12" s="1"/>
  <c r="S39" i="9"/>
  <c r="S65" s="1"/>
  <c r="S294" i="12" s="1"/>
  <c r="S420" i="9"/>
  <c r="S422" s="1"/>
  <c r="S24"/>
  <c r="S19"/>
  <c r="S99"/>
  <c r="S100" s="1"/>
  <c r="S73"/>
  <c r="S90"/>
  <c r="S91" s="1"/>
  <c r="S108"/>
  <c r="S109" s="1"/>
  <c r="S82"/>
  <c r="S83" s="1"/>
  <c r="BI135"/>
  <c r="BI129"/>
  <c r="BI154" s="1"/>
  <c r="BI170"/>
  <c r="BI309" i="12"/>
  <c r="BI322" s="1"/>
  <c r="BI323" s="1"/>
  <c r="BI153" i="9"/>
  <c r="BI191"/>
  <c r="BI128"/>
  <c r="BI132"/>
  <c r="BI171" s="1"/>
  <c r="BI141"/>
  <c r="BI192" s="1"/>
  <c r="BI179"/>
  <c r="BI162"/>
  <c r="T323" i="12"/>
  <c r="T324" s="1"/>
  <c r="T325" s="1"/>
  <c r="T69" i="26" s="1"/>
  <c r="T76" i="9"/>
  <c r="T198"/>
  <c r="T75"/>
  <c r="T35" i="12"/>
  <c r="T103"/>
  <c r="T231"/>
  <c r="T141" i="9"/>
  <c r="T65"/>
  <c r="T294" i="12" s="1"/>
  <c r="T327"/>
  <c r="T356" s="1"/>
  <c r="T358" s="1"/>
  <c r="T338"/>
  <c r="T348" s="1"/>
  <c r="T350" s="1"/>
  <c r="T427" i="9"/>
  <c r="T438"/>
  <c r="T445"/>
  <c r="T455"/>
  <c r="T132"/>
  <c r="T171" s="1"/>
  <c r="T56"/>
  <c r="AP62"/>
  <c r="AP156" i="12" s="1"/>
  <c r="AP291"/>
  <c r="AP153"/>
  <c r="CP84" i="30"/>
  <c r="CQ85" s="1"/>
  <c r="S239" i="12"/>
  <c r="S240" s="1"/>
  <c r="S241" s="1"/>
  <c r="S58" i="26" s="1"/>
  <c r="S58" i="33" s="1"/>
  <c r="S51" i="12"/>
  <c r="S52" s="1"/>
  <c r="S53" s="1"/>
  <c r="S47" i="26" s="1"/>
  <c r="S47" i="33" s="1"/>
  <c r="U161" i="9"/>
  <c r="U313" i="12" s="1"/>
  <c r="U329" s="1"/>
  <c r="U330" s="1"/>
  <c r="U331" s="1"/>
  <c r="U332" s="1"/>
  <c r="U70" i="26" s="1"/>
  <c r="U169" i="9"/>
  <c r="U315" i="12" s="1"/>
  <c r="BM85" i="30"/>
  <c r="S118" i="34" s="1"/>
  <c r="AI51" i="12"/>
  <c r="AI52" s="1"/>
  <c r="AI53" s="1"/>
  <c r="AI47" i="26" s="1"/>
  <c r="U51" i="12"/>
  <c r="U52" s="1"/>
  <c r="U53" s="1"/>
  <c r="U47" i="26" s="1"/>
  <c r="U47" i="33" s="1"/>
  <c r="M110" i="9"/>
  <c r="M115" s="1"/>
  <c r="M101"/>
  <c r="M233" i="12" s="1"/>
  <c r="M250" s="1"/>
  <c r="M273" s="1"/>
  <c r="M295" s="1"/>
  <c r="BG85" i="30"/>
  <c r="BS149"/>
  <c r="BM149"/>
  <c r="BT149"/>
  <c r="BJ149"/>
  <c r="BW149"/>
  <c r="I85" i="9"/>
  <c r="I102"/>
  <c r="Z52"/>
  <c r="Z97" i="29" s="1"/>
  <c r="Z239" i="12"/>
  <c r="Z240" s="1"/>
  <c r="Z241" s="1"/>
  <c r="Z58" i="26" s="1"/>
  <c r="J58" i="34" s="1"/>
  <c r="AZ167" i="9"/>
  <c r="AZ168" s="1"/>
  <c r="AZ169" s="1"/>
  <c r="AZ315" i="12" s="1"/>
  <c r="AZ188" i="9"/>
  <c r="AZ189" s="1"/>
  <c r="AZ190" s="1"/>
  <c r="AZ317" i="12" s="1"/>
  <c r="AZ334" s="1"/>
  <c r="AZ357" s="1"/>
  <c r="AZ359" s="1"/>
  <c r="AZ135" i="9"/>
  <c r="T330" i="12"/>
  <c r="T331" s="1"/>
  <c r="T332" s="1"/>
  <c r="T70" i="26" s="1"/>
  <c r="CE85" i="30"/>
  <c r="CI85"/>
  <c r="N116" i="34" s="1"/>
  <c r="BA204" i="9"/>
  <c r="BA110"/>
  <c r="BA111"/>
  <c r="BA191"/>
  <c r="BA190"/>
  <c r="BA317" i="12" s="1"/>
  <c r="BA334" s="1"/>
  <c r="BA357" s="1"/>
  <c r="BA170" i="9"/>
  <c r="BA169"/>
  <c r="BA315" i="12" s="1"/>
  <c r="BA162" i="9"/>
  <c r="BA161"/>
  <c r="BA313" i="12" s="1"/>
  <c r="BA329" s="1"/>
  <c r="BA101" i="9"/>
  <c r="BA201"/>
  <c r="BA102"/>
  <c r="BA152"/>
  <c r="BA311" i="12" s="1"/>
  <c r="BA153" i="9"/>
  <c r="BA92"/>
  <c r="BA93"/>
  <c r="AW74"/>
  <c r="AW98" i="29"/>
  <c r="AW24"/>
  <c r="AW432" i="9"/>
  <c r="AW101"/>
  <c r="AE204"/>
  <c r="AE110"/>
  <c r="AE201"/>
  <c r="AE101"/>
  <c r="AE93"/>
  <c r="AE85"/>
  <c r="AE52"/>
  <c r="AE97" i="29" s="1"/>
  <c r="AE59" i="9"/>
  <c r="AE53"/>
  <c r="AE56"/>
  <c r="AE65"/>
  <c r="AE294" i="12" s="1"/>
  <c r="AE225"/>
  <c r="AE238" s="1"/>
  <c r="AE239" s="1"/>
  <c r="AE29"/>
  <c r="AE50" s="1"/>
  <c r="AE51" s="1"/>
  <c r="AE111" i="9"/>
  <c r="AE102"/>
  <c r="AE196"/>
  <c r="AW123"/>
  <c r="AW195"/>
  <c r="AW188"/>
  <c r="AW189" s="1"/>
  <c r="AW190" s="1"/>
  <c r="AW317" i="12" s="1"/>
  <c r="AW334" s="1"/>
  <c r="AW357" s="1"/>
  <c r="AW359" s="1"/>
  <c r="AW167" i="9"/>
  <c r="AW168" s="1"/>
  <c r="AW169" s="1"/>
  <c r="AW315" i="12" s="1"/>
  <c r="AW150" i="9"/>
  <c r="AW151" s="1"/>
  <c r="AW152" s="1"/>
  <c r="AW311" i="12" s="1"/>
  <c r="AW159" i="9"/>
  <c r="AW160" s="1"/>
  <c r="AW161" s="1"/>
  <c r="AW313" i="12" s="1"/>
  <c r="AW329" s="1"/>
  <c r="AW330" s="1"/>
  <c r="AW331" s="1"/>
  <c r="AW332" s="1"/>
  <c r="AW70" i="26" s="1"/>
  <c r="AW176" i="9"/>
  <c r="AW177" s="1"/>
  <c r="AW178" s="1"/>
  <c r="AR432"/>
  <c r="AR24" i="29"/>
  <c r="AR98"/>
  <c r="AR74" i="9"/>
  <c r="AR101"/>
  <c r="AR231" i="12"/>
  <c r="AR103"/>
  <c r="AR35"/>
  <c r="BG162" i="9"/>
  <c r="BG191"/>
  <c r="BG135"/>
  <c r="BG179"/>
  <c r="BG309" i="12"/>
  <c r="BG322" s="1"/>
  <c r="BG323" s="1"/>
  <c r="BG128" i="9"/>
  <c r="BG170"/>
  <c r="BG141"/>
  <c r="BG192" s="1"/>
  <c r="BG153"/>
  <c r="BG129"/>
  <c r="BG154" s="1"/>
  <c r="BG132"/>
  <c r="BG171" s="1"/>
  <c r="N102"/>
  <c r="N29" i="12"/>
  <c r="N50" s="1"/>
  <c r="N51" s="1"/>
  <c r="N52" s="1"/>
  <c r="N53" s="1"/>
  <c r="N47" i="26" s="1"/>
  <c r="N47" i="33" s="1"/>
  <c r="N111" i="9"/>
  <c r="N65"/>
  <c r="N294" i="12" s="1"/>
  <c r="N52" i="9"/>
  <c r="N97" i="29" s="1"/>
  <c r="N225" i="12"/>
  <c r="N238" s="1"/>
  <c r="N239" s="1"/>
  <c r="N240" s="1"/>
  <c r="N241" s="1"/>
  <c r="N58" i="26" s="1"/>
  <c r="N85" i="9"/>
  <c r="N93"/>
  <c r="N59"/>
  <c r="N53"/>
  <c r="N56"/>
  <c r="N196"/>
  <c r="N103" i="12"/>
  <c r="N231"/>
  <c r="N35"/>
  <c r="N229"/>
  <c r="N245" s="1"/>
  <c r="N246" s="1"/>
  <c r="N247" s="1"/>
  <c r="N248" s="1"/>
  <c r="N59" i="26" s="1"/>
  <c r="N33" i="12"/>
  <c r="N58" s="1"/>
  <c r="N59" s="1"/>
  <c r="N60" s="1"/>
  <c r="N61" s="1"/>
  <c r="N48" i="26" s="1"/>
  <c r="N48" i="33" s="1"/>
  <c r="AN195" i="9"/>
  <c r="AN188"/>
  <c r="AN189" s="1"/>
  <c r="AN167"/>
  <c r="AN168" s="1"/>
  <c r="AN169" s="1"/>
  <c r="AN315" i="12" s="1"/>
  <c r="AN150" i="9"/>
  <c r="AN151" s="1"/>
  <c r="AN176"/>
  <c r="AN177" s="1"/>
  <c r="AN123"/>
  <c r="AN159"/>
  <c r="AN160" s="1"/>
  <c r="AN161" s="1"/>
  <c r="AN313" i="12" s="1"/>
  <c r="AN329" s="1"/>
  <c r="AN330" s="1"/>
  <c r="AN331" s="1"/>
  <c r="AN332" s="1"/>
  <c r="AN70" i="26" s="1"/>
  <c r="BG103" i="12"/>
  <c r="BG231"/>
  <c r="BG35"/>
  <c r="BG24" i="29"/>
  <c r="BG98"/>
  <c r="BG432" i="9"/>
  <c r="BG74"/>
  <c r="BG229" i="12"/>
  <c r="BG245" s="1"/>
  <c r="BG246" s="1"/>
  <c r="BG33"/>
  <c r="BG58" s="1"/>
  <c r="BG59" s="1"/>
  <c r="BD150" i="9"/>
  <c r="BD151" s="1"/>
  <c r="BD152" s="1"/>
  <c r="BD311" i="12" s="1"/>
  <c r="BD167" i="9"/>
  <c r="BD168" s="1"/>
  <c r="BD169" s="1"/>
  <c r="BD315" i="12" s="1"/>
  <c r="BD176" i="9"/>
  <c r="BD177" s="1"/>
  <c r="BD178" s="1"/>
  <c r="BD159"/>
  <c r="BD160" s="1"/>
  <c r="BD161" s="1"/>
  <c r="BD313" i="12" s="1"/>
  <c r="BD329" s="1"/>
  <c r="BD330" s="1"/>
  <c r="BD331" s="1"/>
  <c r="BD332" s="1"/>
  <c r="BD70" i="26" s="1"/>
  <c r="BD195" i="9"/>
  <c r="BD123"/>
  <c r="BD188"/>
  <c r="BD189" s="1"/>
  <c r="BD190" s="1"/>
  <c r="BD317" i="12" s="1"/>
  <c r="BD334" s="1"/>
  <c r="BD357" s="1"/>
  <c r="BD359" s="1"/>
  <c r="Q53" i="9"/>
  <c r="Q111"/>
  <c r="Q93"/>
  <c r="Q65"/>
  <c r="Q294" i="12" s="1"/>
  <c r="Q85" i="9"/>
  <c r="Q52"/>
  <c r="Q97" i="29" s="1"/>
  <c r="Q56" i="9"/>
  <c r="Q225" i="12"/>
  <c r="Q238" s="1"/>
  <c r="Q239" s="1"/>
  <c r="Q240" s="1"/>
  <c r="Q241" s="1"/>
  <c r="Q58" i="26" s="1"/>
  <c r="Q58" i="33" s="1"/>
  <c r="Q29" i="12"/>
  <c r="Q50" s="1"/>
  <c r="Q51" s="1"/>
  <c r="Q52" s="1"/>
  <c r="Q53" s="1"/>
  <c r="Q47" i="26" s="1"/>
  <c r="Q47" i="33" s="1"/>
  <c r="Q102" i="9"/>
  <c r="Q59"/>
  <c r="Q74"/>
  <c r="Q76" s="1"/>
  <c r="Q432"/>
  <c r="Q433"/>
  <c r="Q24" i="29"/>
  <c r="Q98"/>
  <c r="Q101" i="9"/>
  <c r="BA84"/>
  <c r="BA85"/>
  <c r="BA65"/>
  <c r="BA294" i="12" s="1"/>
  <c r="BA141" i="9"/>
  <c r="BA53"/>
  <c r="BA129"/>
  <c r="BA24" i="29"/>
  <c r="BA432" i="9"/>
  <c r="BA98" i="29"/>
  <c r="BA59" i="9"/>
  <c r="BA135"/>
  <c r="AW110"/>
  <c r="AW29" i="12"/>
  <c r="AW50" s="1"/>
  <c r="AW51" s="1"/>
  <c r="AW52" s="1"/>
  <c r="AW53" s="1"/>
  <c r="AW47" i="26" s="1"/>
  <c r="AW47" i="33" s="1"/>
  <c r="AW225" i="12"/>
  <c r="AW238" s="1"/>
  <c r="AW239" s="1"/>
  <c r="AW240" s="1"/>
  <c r="AW241" s="1"/>
  <c r="AW58" i="26" s="1"/>
  <c r="AW58" i="33" s="1"/>
  <c r="AW76" i="9"/>
  <c r="AW102"/>
  <c r="AW65"/>
  <c r="AW294" i="12" s="1"/>
  <c r="AW52" i="9"/>
  <c r="AW97" i="29" s="1"/>
  <c r="AW111" i="9"/>
  <c r="AW53"/>
  <c r="AW93"/>
  <c r="AW56"/>
  <c r="AW59"/>
  <c r="AW85"/>
  <c r="AW196"/>
  <c r="AE24" i="29"/>
  <c r="AE432" i="9"/>
  <c r="AE98" i="29"/>
  <c r="AE74" i="9"/>
  <c r="AR33" i="12"/>
  <c r="AR58" s="1"/>
  <c r="AR59" s="1"/>
  <c r="AR60" s="1"/>
  <c r="AR61" s="1"/>
  <c r="AR48" i="26" s="1"/>
  <c r="AR48" i="33" s="1"/>
  <c r="AR229" i="12"/>
  <c r="AR245" s="1"/>
  <c r="AR246" s="1"/>
  <c r="AR247" s="1"/>
  <c r="AR248" s="1"/>
  <c r="AR59" i="26" s="1"/>
  <c r="AR59" i="33" s="1"/>
  <c r="AR225" i="12"/>
  <c r="AR238" s="1"/>
  <c r="AR239" s="1"/>
  <c r="AR240" s="1"/>
  <c r="AR241" s="1"/>
  <c r="AR58" i="26" s="1"/>
  <c r="AR58" i="33" s="1"/>
  <c r="AR65" i="9"/>
  <c r="AR294" i="12" s="1"/>
  <c r="AR111" i="9"/>
  <c r="AR102"/>
  <c r="AR85"/>
  <c r="AR53"/>
  <c r="AR52"/>
  <c r="AR97" i="29" s="1"/>
  <c r="AR93" i="9"/>
  <c r="AR29" i="12"/>
  <c r="AR50" s="1"/>
  <c r="AR51" s="1"/>
  <c r="AR52" s="1"/>
  <c r="AR53" s="1"/>
  <c r="AR47" i="26" s="1"/>
  <c r="AR47" i="33" s="1"/>
  <c r="AR76" i="9"/>
  <c r="AR59"/>
  <c r="AR56"/>
  <c r="AR110"/>
  <c r="BG327" i="12"/>
  <c r="BG356" s="1"/>
  <c r="BG358" s="1"/>
  <c r="BG338"/>
  <c r="P195" i="9"/>
  <c r="P123"/>
  <c r="P188"/>
  <c r="P189" s="1"/>
  <c r="P190" s="1"/>
  <c r="P317" i="12" s="1"/>
  <c r="P334" s="1"/>
  <c r="P357" s="1"/>
  <c r="P359" s="1"/>
  <c r="P167" i="9"/>
  <c r="P168" s="1"/>
  <c r="P169" s="1"/>
  <c r="P315" i="12" s="1"/>
  <c r="P159" i="9"/>
  <c r="P160" s="1"/>
  <c r="P161" s="1"/>
  <c r="P313" i="12" s="1"/>
  <c r="P329" s="1"/>
  <c r="P330" s="1"/>
  <c r="P331" s="1"/>
  <c r="P332" s="1"/>
  <c r="P70" i="26" s="1"/>
  <c r="P176" i="9"/>
  <c r="P177" s="1"/>
  <c r="P178" s="1"/>
  <c r="P183" s="1"/>
  <c r="P150"/>
  <c r="P151" s="1"/>
  <c r="P152" s="1"/>
  <c r="P311" i="12" s="1"/>
  <c r="S62" i="9"/>
  <c r="S156" i="12" s="1"/>
  <c r="N98" i="29"/>
  <c r="N432" i="9"/>
  <c r="N24" i="29"/>
  <c r="N74" i="9"/>
  <c r="N101"/>
  <c r="N201"/>
  <c r="N110"/>
  <c r="N204"/>
  <c r="S123"/>
  <c r="S167"/>
  <c r="S168" s="1"/>
  <c r="S169" s="1"/>
  <c r="S315" i="12" s="1"/>
  <c r="S150" i="9"/>
  <c r="S151" s="1"/>
  <c r="S176"/>
  <c r="S177" s="1"/>
  <c r="S195"/>
  <c r="S188"/>
  <c r="S189" s="1"/>
  <c r="S159"/>
  <c r="S160" s="1"/>
  <c r="S161" s="1"/>
  <c r="S313" i="12" s="1"/>
  <c r="S329" s="1"/>
  <c r="S330" s="1"/>
  <c r="S331" s="1"/>
  <c r="S332" s="1"/>
  <c r="S70" i="26" s="1"/>
  <c r="H195" i="9"/>
  <c r="H159"/>
  <c r="H160" s="1"/>
  <c r="H161" s="1"/>
  <c r="H313" i="12" s="1"/>
  <c r="H329" s="1"/>
  <c r="H330" s="1"/>
  <c r="H176" i="9"/>
  <c r="H177" s="1"/>
  <c r="H178" s="1"/>
  <c r="H150"/>
  <c r="H151" s="1"/>
  <c r="H152" s="1"/>
  <c r="H311" i="12" s="1"/>
  <c r="H167" i="9"/>
  <c r="H168" s="1"/>
  <c r="H169" s="1"/>
  <c r="H315" i="12" s="1"/>
  <c r="H188" i="9"/>
  <c r="H189" s="1"/>
  <c r="H190" s="1"/>
  <c r="H317" i="12" s="1"/>
  <c r="H334" s="1"/>
  <c r="H357" s="1"/>
  <c r="H359" s="1"/>
  <c r="H123" i="9"/>
  <c r="H196" s="1"/>
  <c r="BG29" i="12"/>
  <c r="BG50" s="1"/>
  <c r="BG51" s="1"/>
  <c r="BG225"/>
  <c r="BG238" s="1"/>
  <c r="BG239" s="1"/>
  <c r="BG52" i="9"/>
  <c r="BG97" i="29" s="1"/>
  <c r="BG116" s="1"/>
  <c r="BG102" i="9"/>
  <c r="BG93"/>
  <c r="BG196"/>
  <c r="BG56"/>
  <c r="BG59"/>
  <c r="BG65"/>
  <c r="BG294" i="12" s="1"/>
  <c r="BG85" i="9"/>
  <c r="BG111"/>
  <c r="BG76"/>
  <c r="BG53"/>
  <c r="BG110"/>
  <c r="BG204"/>
  <c r="BG201"/>
  <c r="BG101"/>
  <c r="AM233" i="12"/>
  <c r="AM250" s="1"/>
  <c r="AM273" s="1"/>
  <c r="Q229"/>
  <c r="Q245" s="1"/>
  <c r="Q246" s="1"/>
  <c r="Q247" s="1"/>
  <c r="Q248" s="1"/>
  <c r="Q59" i="26" s="1"/>
  <c r="Q59" i="33" s="1"/>
  <c r="Q33" i="12"/>
  <c r="Q58" s="1"/>
  <c r="Q59" s="1"/>
  <c r="Q60" s="1"/>
  <c r="Q61" s="1"/>
  <c r="Q48" i="26" s="1"/>
  <c r="Q48" i="33" s="1"/>
  <c r="Q110" i="9"/>
  <c r="Q35" i="12"/>
  <c r="Q231"/>
  <c r="Q103"/>
  <c r="K62" i="9"/>
  <c r="K156" i="12" s="1"/>
  <c r="K291"/>
  <c r="K153"/>
  <c r="BA178" i="9"/>
  <c r="BA183" s="1"/>
  <c r="BA179"/>
  <c r="BA75"/>
  <c r="BA198"/>
  <c r="BA76"/>
  <c r="BA56"/>
  <c r="BA132"/>
  <c r="BA171" s="1"/>
  <c r="BA455"/>
  <c r="BA445"/>
  <c r="BA438"/>
  <c r="BA427"/>
  <c r="BG183"/>
  <c r="AH159"/>
  <c r="AH160" s="1"/>
  <c r="AH161" s="1"/>
  <c r="AH313" i="12" s="1"/>
  <c r="AH329" s="1"/>
  <c r="AH330" s="1"/>
  <c r="AH331" s="1"/>
  <c r="AH332" s="1"/>
  <c r="AH70" i="26" s="1"/>
  <c r="AH188" i="9"/>
  <c r="AH189" s="1"/>
  <c r="AH190" s="1"/>
  <c r="AH317" i="12" s="1"/>
  <c r="AH334" s="1"/>
  <c r="AH357" s="1"/>
  <c r="AH359" s="1"/>
  <c r="AH123" i="9"/>
  <c r="AH167"/>
  <c r="AH168" s="1"/>
  <c r="AH169" s="1"/>
  <c r="AH315" i="12" s="1"/>
  <c r="AH176" i="9"/>
  <c r="AH177" s="1"/>
  <c r="AH178" s="1"/>
  <c r="AH150"/>
  <c r="AH151" s="1"/>
  <c r="AH152" s="1"/>
  <c r="AH311" i="12" s="1"/>
  <c r="AH195" i="9"/>
  <c r="O233" i="12"/>
  <c r="O250" s="1"/>
  <c r="O273" s="1"/>
  <c r="U178" i="9"/>
  <c r="U204"/>
  <c r="U190"/>
  <c r="U201"/>
  <c r="U152"/>
  <c r="AU123"/>
  <c r="AU176"/>
  <c r="AU177" s="1"/>
  <c r="AU167"/>
  <c r="AU168" s="1"/>
  <c r="AU169" s="1"/>
  <c r="AU315" i="12" s="1"/>
  <c r="AU188" i="9"/>
  <c r="AU189" s="1"/>
  <c r="AU150"/>
  <c r="AU151" s="1"/>
  <c r="AU159"/>
  <c r="AU160" s="1"/>
  <c r="AU161" s="1"/>
  <c r="AU313" i="12" s="1"/>
  <c r="AU329" s="1"/>
  <c r="AU330" s="1"/>
  <c r="AU331" s="1"/>
  <c r="AU332" s="1"/>
  <c r="AU70" i="26" s="1"/>
  <c r="AU195" i="9"/>
  <c r="BF176"/>
  <c r="BF177" s="1"/>
  <c r="BF178" s="1"/>
  <c r="BF188"/>
  <c r="BF189" s="1"/>
  <c r="BF190" s="1"/>
  <c r="BF317" i="12" s="1"/>
  <c r="BF334" s="1"/>
  <c r="BF357" s="1"/>
  <c r="BF359" s="1"/>
  <c r="BF195" i="9"/>
  <c r="BF159"/>
  <c r="BF160" s="1"/>
  <c r="BF161" s="1"/>
  <c r="BF313" i="12" s="1"/>
  <c r="BF329" s="1"/>
  <c r="BF330" s="1"/>
  <c r="BF167" i="9"/>
  <c r="BF168" s="1"/>
  <c r="BF169" s="1"/>
  <c r="BF315" i="12" s="1"/>
  <c r="BF150" i="9"/>
  <c r="BF151" s="1"/>
  <c r="BF152" s="1"/>
  <c r="BF311" i="12" s="1"/>
  <c r="BF123" i="9"/>
  <c r="AS150"/>
  <c r="AS151" s="1"/>
  <c r="AS152" s="1"/>
  <c r="AS311" i="12" s="1"/>
  <c r="AS195" i="9"/>
  <c r="AS167"/>
  <c r="AS168" s="1"/>
  <c r="AS169" s="1"/>
  <c r="AS315" i="12" s="1"/>
  <c r="AS188" i="9"/>
  <c r="AS189" s="1"/>
  <c r="AS190" s="1"/>
  <c r="AS317" i="12" s="1"/>
  <c r="AS334" s="1"/>
  <c r="AS357" s="1"/>
  <c r="AS359" s="1"/>
  <c r="AS176" i="9"/>
  <c r="AS177" s="1"/>
  <c r="AS178" s="1"/>
  <c r="AS159"/>
  <c r="AS160" s="1"/>
  <c r="AS161" s="1"/>
  <c r="AS313" i="12" s="1"/>
  <c r="AS329" s="1"/>
  <c r="AS330" s="1"/>
  <c r="AS331" s="1"/>
  <c r="AS332" s="1"/>
  <c r="AS70" i="26" s="1"/>
  <c r="AS123" i="9"/>
  <c r="AB190"/>
  <c r="AB201"/>
  <c r="AB152"/>
  <c r="AV52"/>
  <c r="AV97" i="29" s="1"/>
  <c r="AV53" i="9"/>
  <c r="AV56"/>
  <c r="AV29" i="12"/>
  <c r="AV50" s="1"/>
  <c r="AV51" s="1"/>
  <c r="AV52" s="1"/>
  <c r="AV53" s="1"/>
  <c r="AV47" i="26" s="1"/>
  <c r="AV47" i="33" s="1"/>
  <c r="AV225" i="12"/>
  <c r="AV238" s="1"/>
  <c r="AV239" s="1"/>
  <c r="AV240" s="1"/>
  <c r="AV241" s="1"/>
  <c r="AV58" i="26" s="1"/>
  <c r="AV58" i="33" s="1"/>
  <c r="AV93" i="9"/>
  <c r="AV196"/>
  <c r="AV111"/>
  <c r="AV85"/>
  <c r="AV65"/>
  <c r="AV294" i="12" s="1"/>
  <c r="AV59" i="9"/>
  <c r="AV102"/>
  <c r="AV204"/>
  <c r="AV110"/>
  <c r="AV229" i="12"/>
  <c r="AV245" s="1"/>
  <c r="AV246" s="1"/>
  <c r="AV247" s="1"/>
  <c r="AV248" s="1"/>
  <c r="AV59" i="26" s="1"/>
  <c r="AV59" i="33" s="1"/>
  <c r="AV33" i="12"/>
  <c r="AV58" s="1"/>
  <c r="AV59" s="1"/>
  <c r="AV60" s="1"/>
  <c r="AV61" s="1"/>
  <c r="AV48" i="26" s="1"/>
  <c r="AV48" i="33" s="1"/>
  <c r="BE111" i="9"/>
  <c r="BE85"/>
  <c r="BE102"/>
  <c r="BE65"/>
  <c r="BE294" i="12" s="1"/>
  <c r="BE29"/>
  <c r="BE50" s="1"/>
  <c r="BE51" s="1"/>
  <c r="BE53" i="9"/>
  <c r="BE93"/>
  <c r="BE59"/>
  <c r="BE56"/>
  <c r="BE196"/>
  <c r="BE52"/>
  <c r="BE97" i="29" s="1"/>
  <c r="BE225" i="12"/>
  <c r="BE238" s="1"/>
  <c r="BE239" s="1"/>
  <c r="BE101" i="9"/>
  <c r="BE201"/>
  <c r="BE24" i="29"/>
  <c r="BE98"/>
  <c r="BE432" i="9"/>
  <c r="BE74"/>
  <c r="BE76" s="1"/>
  <c r="AO98" i="29"/>
  <c r="AO24"/>
  <c r="AO432" i="9"/>
  <c r="AO74"/>
  <c r="AO59"/>
  <c r="AO52"/>
  <c r="AO97" i="29" s="1"/>
  <c r="AO93" i="9"/>
  <c r="AO85"/>
  <c r="AO111"/>
  <c r="AO65"/>
  <c r="AO294" i="12" s="1"/>
  <c r="AO102" i="9"/>
  <c r="AO29" i="12"/>
  <c r="AO50" s="1"/>
  <c r="AO51" s="1"/>
  <c r="AO52" s="1"/>
  <c r="AO53" s="1"/>
  <c r="AO47" i="26" s="1"/>
  <c r="AO47" i="33" s="1"/>
  <c r="AO225" i="12"/>
  <c r="AO238" s="1"/>
  <c r="AO239" s="1"/>
  <c r="AO240" s="1"/>
  <c r="AO241" s="1"/>
  <c r="AO58" i="26" s="1"/>
  <c r="AO58" i="33" s="1"/>
  <c r="AO53" i="9"/>
  <c r="AO56"/>
  <c r="AO101"/>
  <c r="AZ33" i="12"/>
  <c r="AZ58" s="1"/>
  <c r="AZ59" s="1"/>
  <c r="AZ60" s="1"/>
  <c r="AZ61" s="1"/>
  <c r="AZ48" i="26" s="1"/>
  <c r="AZ48" i="33" s="1"/>
  <c r="AZ229" i="12"/>
  <c r="AZ245" s="1"/>
  <c r="AZ246" s="1"/>
  <c r="AZ247" s="1"/>
  <c r="AZ248" s="1"/>
  <c r="AZ59" i="26" s="1"/>
  <c r="AZ98" i="29"/>
  <c r="AZ24"/>
  <c r="AZ432" i="9"/>
  <c r="AZ74"/>
  <c r="AZ231" i="12"/>
  <c r="AZ35"/>
  <c r="AZ103"/>
  <c r="AZ225"/>
  <c r="AZ238" s="1"/>
  <c r="AZ239" s="1"/>
  <c r="AZ240" s="1"/>
  <c r="AZ241" s="1"/>
  <c r="AZ58" i="26" s="1"/>
  <c r="AZ65" i="9"/>
  <c r="AZ294" i="12" s="1"/>
  <c r="AZ59" i="9"/>
  <c r="AZ52"/>
  <c r="AZ97" i="29" s="1"/>
  <c r="AZ116" s="1"/>
  <c r="AZ29" i="12"/>
  <c r="AZ50" s="1"/>
  <c r="AZ51" s="1"/>
  <c r="AZ52" s="1"/>
  <c r="AZ53" s="1"/>
  <c r="AZ47" i="26" s="1"/>
  <c r="AZ47" i="33" s="1"/>
  <c r="AZ53" i="9"/>
  <c r="AZ56"/>
  <c r="AZ85"/>
  <c r="AZ93"/>
  <c r="AZ102"/>
  <c r="AZ111"/>
  <c r="AZ196"/>
  <c r="O428"/>
  <c r="O172" i="12" s="1"/>
  <c r="O429" i="9"/>
  <c r="O447"/>
  <c r="O446"/>
  <c r="O288" i="12"/>
  <c r="O150"/>
  <c r="AR428" i="9"/>
  <c r="AR172" i="12" s="1"/>
  <c r="AR429" i="9"/>
  <c r="AR440"/>
  <c r="AR439"/>
  <c r="AR174" i="12" s="1"/>
  <c r="Z167" i="9"/>
  <c r="Z168" s="1"/>
  <c r="Z169" s="1"/>
  <c r="Z315" i="12" s="1"/>
  <c r="Z176" i="9"/>
  <c r="Z177" s="1"/>
  <c r="Z159"/>
  <c r="Z160" s="1"/>
  <c r="Z161" s="1"/>
  <c r="Z313" i="12" s="1"/>
  <c r="Z329" s="1"/>
  <c r="Z330" s="1"/>
  <c r="Z331" s="1"/>
  <c r="Z332" s="1"/>
  <c r="Z70" i="26" s="1"/>
  <c r="J70" i="34" s="1"/>
  <c r="Z150" i="9"/>
  <c r="Z151" s="1"/>
  <c r="Z188"/>
  <c r="Z189" s="1"/>
  <c r="Z195"/>
  <c r="Z123"/>
  <c r="AO123"/>
  <c r="AO196" s="1"/>
  <c r="AO176"/>
  <c r="AO177" s="1"/>
  <c r="AO178" s="1"/>
  <c r="AO150"/>
  <c r="AO151" s="1"/>
  <c r="AO152" s="1"/>
  <c r="AO311" i="12" s="1"/>
  <c r="AO159" i="9"/>
  <c r="AO160" s="1"/>
  <c r="AO161" s="1"/>
  <c r="AO313" i="12" s="1"/>
  <c r="AO329" s="1"/>
  <c r="AO330" s="1"/>
  <c r="AO331" s="1"/>
  <c r="AO332" s="1"/>
  <c r="AO70" i="26" s="1"/>
  <c r="AO195" i="9"/>
  <c r="AO188"/>
  <c r="AO189" s="1"/>
  <c r="AO190" s="1"/>
  <c r="AO317" i="12" s="1"/>
  <c r="AO334" s="1"/>
  <c r="AO357" s="1"/>
  <c r="AO359" s="1"/>
  <c r="AO167" i="9"/>
  <c r="AO168" s="1"/>
  <c r="AO169" s="1"/>
  <c r="AO315" i="12" s="1"/>
  <c r="AK432" i="9"/>
  <c r="AK24" i="29"/>
  <c r="AK74" i="9"/>
  <c r="AK76" s="1"/>
  <c r="AK98" i="29"/>
  <c r="H110" i="9"/>
  <c r="H65"/>
  <c r="H294" i="12" s="1"/>
  <c r="H59" i="9"/>
  <c r="H111"/>
  <c r="H85"/>
  <c r="H225" i="12"/>
  <c r="H238" s="1"/>
  <c r="H239" s="1"/>
  <c r="H102" i="9"/>
  <c r="H52"/>
  <c r="H97" i="29" s="1"/>
  <c r="H29" i="12"/>
  <c r="H50" s="1"/>
  <c r="H51" s="1"/>
  <c r="H56" i="9"/>
  <c r="H93"/>
  <c r="H53"/>
  <c r="H101"/>
  <c r="O63" i="12"/>
  <c r="O119"/>
  <c r="O75" i="9"/>
  <c r="O115"/>
  <c r="AD152"/>
  <c r="AD198"/>
  <c r="AD178"/>
  <c r="AD204"/>
  <c r="AD309" i="12"/>
  <c r="AD322" s="1"/>
  <c r="AD323" s="1"/>
  <c r="AD128" i="9"/>
  <c r="AD191"/>
  <c r="AD135"/>
  <c r="AD153"/>
  <c r="AD141"/>
  <c r="AD132"/>
  <c r="AD171" s="1"/>
  <c r="AD196"/>
  <c r="AD170"/>
  <c r="AD179"/>
  <c r="AD162"/>
  <c r="AD129"/>
  <c r="AV327" i="12"/>
  <c r="AV356" s="1"/>
  <c r="AV358" s="1"/>
  <c r="AV338"/>
  <c r="L123" i="9"/>
  <c r="L167"/>
  <c r="L168" s="1"/>
  <c r="L169" s="1"/>
  <c r="L315" i="12" s="1"/>
  <c r="L188" i="9"/>
  <c r="L189" s="1"/>
  <c r="L195"/>
  <c r="L150"/>
  <c r="L151" s="1"/>
  <c r="L159"/>
  <c r="L160" s="1"/>
  <c r="L161" s="1"/>
  <c r="L313" i="12" s="1"/>
  <c r="L329" s="1"/>
  <c r="L330" s="1"/>
  <c r="L331" s="1"/>
  <c r="L332" s="1"/>
  <c r="L70" i="26" s="1"/>
  <c r="L176" i="9"/>
  <c r="L177" s="1"/>
  <c r="AP123"/>
  <c r="AP167"/>
  <c r="AP168" s="1"/>
  <c r="AP169" s="1"/>
  <c r="AP315" i="12" s="1"/>
  <c r="AP159" i="9"/>
  <c r="AP160" s="1"/>
  <c r="AP161" s="1"/>
  <c r="AP313" i="12" s="1"/>
  <c r="AP329" s="1"/>
  <c r="AP330" s="1"/>
  <c r="AP331" s="1"/>
  <c r="AP332" s="1"/>
  <c r="AP70" i="26" s="1"/>
  <c r="AP188" i="9"/>
  <c r="AP189" s="1"/>
  <c r="AP150"/>
  <c r="AP151" s="1"/>
  <c r="AP176"/>
  <c r="AP177" s="1"/>
  <c r="AP195"/>
  <c r="P101"/>
  <c r="P201"/>
  <c r="P33" i="12"/>
  <c r="P58" s="1"/>
  <c r="P59" s="1"/>
  <c r="P60" s="1"/>
  <c r="P61" s="1"/>
  <c r="P48" i="26" s="1"/>
  <c r="P48" i="33" s="1"/>
  <c r="P229" i="12"/>
  <c r="P245" s="1"/>
  <c r="P246" s="1"/>
  <c r="P247" s="1"/>
  <c r="P248" s="1"/>
  <c r="P59" i="26" s="1"/>
  <c r="P59" i="33" s="1"/>
  <c r="P29" i="12"/>
  <c r="P50" s="1"/>
  <c r="P51" s="1"/>
  <c r="P52" s="1"/>
  <c r="P53" s="1"/>
  <c r="P47" i="26" s="1"/>
  <c r="P47" i="33" s="1"/>
  <c r="P225" i="12"/>
  <c r="P238" s="1"/>
  <c r="P239" s="1"/>
  <c r="P240" s="1"/>
  <c r="P241" s="1"/>
  <c r="P58" i="26" s="1"/>
  <c r="P58" i="33" s="1"/>
  <c r="P196" i="9"/>
  <c r="P52"/>
  <c r="P97" i="29" s="1"/>
  <c r="P111" i="9"/>
  <c r="P93"/>
  <c r="P56"/>
  <c r="P102"/>
  <c r="P59"/>
  <c r="P53"/>
  <c r="P85"/>
  <c r="P65"/>
  <c r="P294" i="12" s="1"/>
  <c r="AH24" i="29"/>
  <c r="AH98"/>
  <c r="AH432" i="9"/>
  <c r="AH74"/>
  <c r="AH76" s="1"/>
  <c r="AH201"/>
  <c r="AH101"/>
  <c r="AH103" i="12"/>
  <c r="AH231"/>
  <c r="AH35"/>
  <c r="BF98" i="29"/>
  <c r="BF74" i="9"/>
  <c r="BF432"/>
  <c r="BF24" i="29"/>
  <c r="BF110" i="9"/>
  <c r="BF103" i="12"/>
  <c r="BF231"/>
  <c r="BF35"/>
  <c r="V110" i="9"/>
  <c r="V85"/>
  <c r="V52"/>
  <c r="V97" i="29" s="1"/>
  <c r="V93" i="9"/>
  <c r="V225" i="12"/>
  <c r="V238" s="1"/>
  <c r="V239" s="1"/>
  <c r="V240" s="1"/>
  <c r="V241" s="1"/>
  <c r="V58" i="26" s="1"/>
  <c r="V58" i="33" s="1"/>
  <c r="V29" i="12"/>
  <c r="V50" s="1"/>
  <c r="V51" s="1"/>
  <c r="V52" s="1"/>
  <c r="V53" s="1"/>
  <c r="V47" i="26" s="1"/>
  <c r="V47" i="33" s="1"/>
  <c r="V56" i="9"/>
  <c r="V53"/>
  <c r="V65"/>
  <c r="V294" i="12" s="1"/>
  <c r="V102" i="9"/>
  <c r="V111"/>
  <c r="V59"/>
  <c r="AS432"/>
  <c r="AS98" i="29"/>
  <c r="AS74" i="9"/>
  <c r="AS76" s="1"/>
  <c r="AS24" i="29"/>
  <c r="BE309" i="12"/>
  <c r="BE322" s="1"/>
  <c r="BE323" s="1"/>
  <c r="BE128" i="9"/>
  <c r="BE162"/>
  <c r="BE153"/>
  <c r="BE191"/>
  <c r="BE141"/>
  <c r="BE192" s="1"/>
  <c r="BE132"/>
  <c r="BE170"/>
  <c r="BE179"/>
  <c r="BE129"/>
  <c r="BE154" s="1"/>
  <c r="BE135"/>
  <c r="AY101"/>
  <c r="AY201"/>
  <c r="AY111"/>
  <c r="AY52"/>
  <c r="AY97" i="29" s="1"/>
  <c r="AY29" i="12"/>
  <c r="AY50" s="1"/>
  <c r="AY51" s="1"/>
  <c r="AY52" s="1"/>
  <c r="AY53" s="1"/>
  <c r="AY47" i="26" s="1"/>
  <c r="AY47" i="33" s="1"/>
  <c r="AY85" i="9"/>
  <c r="AY53"/>
  <c r="AY102"/>
  <c r="AY225" i="12"/>
  <c r="AY238" s="1"/>
  <c r="AY239" s="1"/>
  <c r="AY240" s="1"/>
  <c r="AY241" s="1"/>
  <c r="AY58" i="26" s="1"/>
  <c r="AY93" i="9"/>
  <c r="AY65"/>
  <c r="AY294" i="12" s="1"/>
  <c r="AY59" i="9"/>
  <c r="AY56"/>
  <c r="AY196"/>
  <c r="AY74"/>
  <c r="AY76" s="1"/>
  <c r="AY24" i="29"/>
  <c r="AY98"/>
  <c r="AY432" i="9"/>
  <c r="BD33" i="12"/>
  <c r="BD58" s="1"/>
  <c r="BD59" s="1"/>
  <c r="BD60" s="1"/>
  <c r="BD61" s="1"/>
  <c r="BD48" i="26" s="1"/>
  <c r="BD48" i="33" s="1"/>
  <c r="BD229" i="12"/>
  <c r="BD245" s="1"/>
  <c r="BD246" s="1"/>
  <c r="BD247" s="1"/>
  <c r="BD248" s="1"/>
  <c r="BD59" i="26" s="1"/>
  <c r="BD59" i="33" s="1"/>
  <c r="BD103" i="12"/>
  <c r="BD35"/>
  <c r="BD231"/>
  <c r="BD433" i="9"/>
  <c r="BD24" i="29"/>
  <c r="BD74" i="9"/>
  <c r="BD76" s="1"/>
  <c r="BD432"/>
  <c r="BD98" i="29"/>
  <c r="O195" i="9"/>
  <c r="O123"/>
  <c r="O167"/>
  <c r="O168" s="1"/>
  <c r="O169" s="1"/>
  <c r="O315" i="12" s="1"/>
  <c r="O176" i="9"/>
  <c r="O177" s="1"/>
  <c r="O159"/>
  <c r="O160" s="1"/>
  <c r="O161" s="1"/>
  <c r="O313" i="12" s="1"/>
  <c r="O329" s="1"/>
  <c r="O330" s="1"/>
  <c r="O331" s="1"/>
  <c r="O332" s="1"/>
  <c r="O70" i="26" s="1"/>
  <c r="O150" i="9"/>
  <c r="O151" s="1"/>
  <c r="O152" s="1"/>
  <c r="O311" i="12" s="1"/>
  <c r="O188" i="9"/>
  <c r="O189" s="1"/>
  <c r="U70" i="33"/>
  <c r="U141" i="9"/>
  <c r="U192" s="1"/>
  <c r="U153"/>
  <c r="U162"/>
  <c r="U179"/>
  <c r="U128"/>
  <c r="U135"/>
  <c r="U191"/>
  <c r="U309" i="12"/>
  <c r="U322" s="1"/>
  <c r="U323" s="1"/>
  <c r="U324" s="1"/>
  <c r="U325" s="1"/>
  <c r="U69" i="26" s="1"/>
  <c r="U129" i="9"/>
  <c r="U154" s="1"/>
  <c r="U170"/>
  <c r="U132"/>
  <c r="U171" s="1"/>
  <c r="U196"/>
  <c r="AB178"/>
  <c r="AB204"/>
  <c r="AB309" i="12"/>
  <c r="AB322" s="1"/>
  <c r="AB323" s="1"/>
  <c r="AB324" s="1"/>
  <c r="AB325" s="1"/>
  <c r="AB69" i="26" s="1"/>
  <c r="AB128" i="9"/>
  <c r="AB179"/>
  <c r="AB191"/>
  <c r="AB170"/>
  <c r="AB132"/>
  <c r="AB171" s="1"/>
  <c r="AB141"/>
  <c r="AB192" s="1"/>
  <c r="AB153"/>
  <c r="AB162"/>
  <c r="AB135"/>
  <c r="AB129"/>
  <c r="AB154" s="1"/>
  <c r="AB196"/>
  <c r="AE129"/>
  <c r="AE135"/>
  <c r="AE191"/>
  <c r="AE309" i="12"/>
  <c r="AE322" s="1"/>
  <c r="AE323" s="1"/>
  <c r="AE153" i="9"/>
  <c r="AE162"/>
  <c r="AE128"/>
  <c r="AE141"/>
  <c r="AE132"/>
  <c r="AE179"/>
  <c r="AE170"/>
  <c r="W123"/>
  <c r="W159"/>
  <c r="W160" s="1"/>
  <c r="W161" s="1"/>
  <c r="W313" i="12" s="1"/>
  <c r="W329" s="1"/>
  <c r="W330" s="1"/>
  <c r="W331" s="1"/>
  <c r="W332" s="1"/>
  <c r="W70" i="26" s="1"/>
  <c r="W195" i="9"/>
  <c r="W188"/>
  <c r="W189" s="1"/>
  <c r="W167"/>
  <c r="W168" s="1"/>
  <c r="W169" s="1"/>
  <c r="W315" i="12" s="1"/>
  <c r="W176" i="9"/>
  <c r="W177" s="1"/>
  <c r="W178" s="1"/>
  <c r="W150"/>
  <c r="W151" s="1"/>
  <c r="W152" s="1"/>
  <c r="W311" i="12" s="1"/>
  <c r="AV98" i="29"/>
  <c r="AV24"/>
  <c r="AV432" i="9"/>
  <c r="AV74"/>
  <c r="AV101"/>
  <c r="AV201"/>
  <c r="AV231" i="12"/>
  <c r="AV103"/>
  <c r="AV35"/>
  <c r="BE33"/>
  <c r="BE58" s="1"/>
  <c r="BE59" s="1"/>
  <c r="BE229"/>
  <c r="BE245" s="1"/>
  <c r="BE246" s="1"/>
  <c r="BE103"/>
  <c r="BE231"/>
  <c r="BE35"/>
  <c r="BE110" i="9"/>
  <c r="BE204"/>
  <c r="AO110"/>
  <c r="AZ101"/>
  <c r="AZ201"/>
  <c r="AZ110"/>
  <c r="AZ204"/>
  <c r="O440"/>
  <c r="O439"/>
  <c r="O174" i="12" s="1"/>
  <c r="O457" i="9"/>
  <c r="O456"/>
  <c r="O176" i="12" s="1"/>
  <c r="O183" s="1"/>
  <c r="O206" s="1"/>
  <c r="O208" s="1"/>
  <c r="O291"/>
  <c r="O153"/>
  <c r="O94" i="9"/>
  <c r="O103"/>
  <c r="O62"/>
  <c r="O156" i="12" s="1"/>
  <c r="O112" i="9"/>
  <c r="AR446"/>
  <c r="AR450" s="1"/>
  <c r="AR447"/>
  <c r="AR456"/>
  <c r="AR176" i="12" s="1"/>
  <c r="AR183" s="1"/>
  <c r="AR206" s="1"/>
  <c r="AR208" s="1"/>
  <c r="AR457" i="9"/>
  <c r="AK110"/>
  <c r="AK52"/>
  <c r="AK97" i="29" s="1"/>
  <c r="AK111" i="9"/>
  <c r="AK225" i="12"/>
  <c r="AK238" s="1"/>
  <c r="AK239" s="1"/>
  <c r="AK240" s="1"/>
  <c r="AK241" s="1"/>
  <c r="AK58" i="26" s="1"/>
  <c r="AK85" i="9"/>
  <c r="AK93"/>
  <c r="AK29" i="12"/>
  <c r="AK50" s="1"/>
  <c r="AK51" s="1"/>
  <c r="AK52" s="1"/>
  <c r="AK53" s="1"/>
  <c r="AK47" i="26" s="1"/>
  <c r="AK102" i="9"/>
  <c r="AK53"/>
  <c r="AK65"/>
  <c r="AK294" i="12" s="1"/>
  <c r="AK56" i="9"/>
  <c r="AK59"/>
  <c r="AK101"/>
  <c r="H103" i="12"/>
  <c r="H231"/>
  <c r="H35"/>
  <c r="H74" i="9"/>
  <c r="H98" i="29"/>
  <c r="H432" i="9"/>
  <c r="H24" i="29"/>
  <c r="H229" i="12"/>
  <c r="H245" s="1"/>
  <c r="H246" s="1"/>
  <c r="H33"/>
  <c r="H58" s="1"/>
  <c r="H59" s="1"/>
  <c r="X195" i="9"/>
  <c r="X188"/>
  <c r="X189" s="1"/>
  <c r="X123"/>
  <c r="X150"/>
  <c r="X151" s="1"/>
  <c r="X167"/>
  <c r="X168" s="1"/>
  <c r="X169" s="1"/>
  <c r="X315" i="12" s="1"/>
  <c r="X176" i="9"/>
  <c r="X177" s="1"/>
  <c r="X159"/>
  <c r="X160" s="1"/>
  <c r="X161" s="1"/>
  <c r="X313" i="12" s="1"/>
  <c r="X329" s="1"/>
  <c r="X330" s="1"/>
  <c r="X331" s="1"/>
  <c r="X332" s="1"/>
  <c r="X70" i="26" s="1"/>
  <c r="BA323" i="12"/>
  <c r="BA324" s="1"/>
  <c r="BA325" s="1"/>
  <c r="BA69" i="26" s="1"/>
  <c r="BA330" i="12"/>
  <c r="BA331" s="1"/>
  <c r="BA332" s="1"/>
  <c r="BA70" i="26" s="1"/>
  <c r="BA359" i="12"/>
  <c r="AR195" i="9"/>
  <c r="AR123"/>
  <c r="AR150"/>
  <c r="AR151" s="1"/>
  <c r="AR152" s="1"/>
  <c r="AR311" i="12" s="1"/>
  <c r="AR188" i="9"/>
  <c r="AR189" s="1"/>
  <c r="AR176"/>
  <c r="AR177" s="1"/>
  <c r="AR159"/>
  <c r="AR160" s="1"/>
  <c r="AR161" s="1"/>
  <c r="AR313" i="12" s="1"/>
  <c r="AR329" s="1"/>
  <c r="AR330" s="1"/>
  <c r="AR331" s="1"/>
  <c r="AR332" s="1"/>
  <c r="AR70" i="26" s="1"/>
  <c r="AR167" i="9"/>
  <c r="AR168" s="1"/>
  <c r="AR169" s="1"/>
  <c r="AR315" i="12" s="1"/>
  <c r="AD190" i="9"/>
  <c r="AD201"/>
  <c r="AV70" i="33"/>
  <c r="AV79" i="26"/>
  <c r="AV79" i="33" s="1"/>
  <c r="AV309" i="12"/>
  <c r="AV322" s="1"/>
  <c r="AV323" s="1"/>
  <c r="AV324" s="1"/>
  <c r="AV325" s="1"/>
  <c r="AV69" i="26" s="1"/>
  <c r="AV153" i="9"/>
  <c r="AV162"/>
  <c r="AV132"/>
  <c r="AV171" s="1"/>
  <c r="AV191"/>
  <c r="AV135"/>
  <c r="AV128"/>
  <c r="AV170"/>
  <c r="AV141"/>
  <c r="AV192" s="1"/>
  <c r="AV129"/>
  <c r="AV154" s="1"/>
  <c r="AV179"/>
  <c r="P74"/>
  <c r="P98" i="29"/>
  <c r="P24"/>
  <c r="P432" i="9"/>
  <c r="P110"/>
  <c r="P204"/>
  <c r="P231" i="12"/>
  <c r="P103"/>
  <c r="P35"/>
  <c r="AH85" i="9"/>
  <c r="AH29" i="12"/>
  <c r="AH50" s="1"/>
  <c r="AH51" s="1"/>
  <c r="AH52" s="1"/>
  <c r="AH53" s="1"/>
  <c r="AH47" i="26" s="1"/>
  <c r="AH93" i="9"/>
  <c r="AH111"/>
  <c r="AH225" i="12"/>
  <c r="AH238" s="1"/>
  <c r="AH239" s="1"/>
  <c r="AH240" s="1"/>
  <c r="AH241" s="1"/>
  <c r="AH58" i="26" s="1"/>
  <c r="AH52" i="9"/>
  <c r="AH97" i="29" s="1"/>
  <c r="AH196" i="9"/>
  <c r="AH65"/>
  <c r="AH294" i="12" s="1"/>
  <c r="AH59" i="9"/>
  <c r="AH56"/>
  <c r="AH102"/>
  <c r="AH53"/>
  <c r="AH110"/>
  <c r="AH204"/>
  <c r="AH33" i="12"/>
  <c r="AH58" s="1"/>
  <c r="AH59" s="1"/>
  <c r="AH60" s="1"/>
  <c r="AH61" s="1"/>
  <c r="AH48" i="26" s="1"/>
  <c r="AH229" i="12"/>
  <c r="AH245" s="1"/>
  <c r="AH246" s="1"/>
  <c r="AH247" s="1"/>
  <c r="AH248" s="1"/>
  <c r="AH59" i="26" s="1"/>
  <c r="BF101" i="9"/>
  <c r="BF201"/>
  <c r="BF29" i="12"/>
  <c r="BF50" s="1"/>
  <c r="BF51" s="1"/>
  <c r="BF65" i="9"/>
  <c r="BF294" i="12" s="1"/>
  <c r="BF53" i="9"/>
  <c r="BF102"/>
  <c r="BF59"/>
  <c r="BF225" i="12"/>
  <c r="BF238" s="1"/>
  <c r="BF239" s="1"/>
  <c r="BF85" i="9"/>
  <c r="BF93"/>
  <c r="BF52"/>
  <c r="BF97" i="29" s="1"/>
  <c r="BF111" i="9"/>
  <c r="BF76"/>
  <c r="BF196"/>
  <c r="BF56"/>
  <c r="V74"/>
  <c r="V432"/>
  <c r="V24" i="29"/>
  <c r="V98"/>
  <c r="V101" i="9"/>
  <c r="AS110"/>
  <c r="AS101"/>
  <c r="AS201"/>
  <c r="AS29" i="12"/>
  <c r="AS50" s="1"/>
  <c r="AS51" s="1"/>
  <c r="AS52" s="1"/>
  <c r="AS53" s="1"/>
  <c r="AS47" i="26" s="1"/>
  <c r="AS47" i="33" s="1"/>
  <c r="AS59" i="9"/>
  <c r="AS225" i="12"/>
  <c r="AS238" s="1"/>
  <c r="AS239" s="1"/>
  <c r="AS240" s="1"/>
  <c r="AS241" s="1"/>
  <c r="AS58" i="26" s="1"/>
  <c r="AS58" i="33" s="1"/>
  <c r="AS52" i="9"/>
  <c r="AS97" i="29" s="1"/>
  <c r="AS116" s="1"/>
  <c r="AS111" i="9"/>
  <c r="AS85"/>
  <c r="AS56"/>
  <c r="AS65"/>
  <c r="AS294" i="12" s="1"/>
  <c r="AS53" i="9"/>
  <c r="AS102"/>
  <c r="AS93"/>
  <c r="AS196"/>
  <c r="BE338" i="12"/>
  <c r="BE327"/>
  <c r="BE356" s="1"/>
  <c r="BE358" s="1"/>
  <c r="AY110" i="9"/>
  <c r="AY204"/>
  <c r="AY35" i="12"/>
  <c r="AY103"/>
  <c r="AY231"/>
  <c r="AY229"/>
  <c r="AY245" s="1"/>
  <c r="AY246" s="1"/>
  <c r="AY247" s="1"/>
  <c r="AY248" s="1"/>
  <c r="AY59" i="26" s="1"/>
  <c r="AY33" i="12"/>
  <c r="AY58" s="1"/>
  <c r="AY59" s="1"/>
  <c r="AY60" s="1"/>
  <c r="AY61" s="1"/>
  <c r="AY48" i="26" s="1"/>
  <c r="AY48" i="33" s="1"/>
  <c r="AK195" i="9"/>
  <c r="AK167"/>
  <c r="AK168" s="1"/>
  <c r="AK169" s="1"/>
  <c r="AK315" i="12" s="1"/>
  <c r="AK150" i="9"/>
  <c r="AK151" s="1"/>
  <c r="AK152" s="1"/>
  <c r="AK311" i="12" s="1"/>
  <c r="AK188" i="9"/>
  <c r="AK189" s="1"/>
  <c r="AK190" s="1"/>
  <c r="AK317" i="12" s="1"/>
  <c r="AK334" s="1"/>
  <c r="AK357" s="1"/>
  <c r="AK359" s="1"/>
  <c r="AK176" i="9"/>
  <c r="AK177" s="1"/>
  <c r="AK178" s="1"/>
  <c r="AK123"/>
  <c r="AK159"/>
  <c r="AK160" s="1"/>
  <c r="AK161" s="1"/>
  <c r="AK313" i="12" s="1"/>
  <c r="AK329" s="1"/>
  <c r="AK330" s="1"/>
  <c r="AK331" s="1"/>
  <c r="AK332" s="1"/>
  <c r="AK70" i="26" s="1"/>
  <c r="BD65" i="9"/>
  <c r="BD294" i="12" s="1"/>
  <c r="BD29"/>
  <c r="BD50" s="1"/>
  <c r="BD51" s="1"/>
  <c r="BD52" s="1"/>
  <c r="BD53" s="1"/>
  <c r="BD47" i="26" s="1"/>
  <c r="BD47" i="33" s="1"/>
  <c r="BD111" i="9"/>
  <c r="BD225" i="12"/>
  <c r="BD238" s="1"/>
  <c r="BD239" s="1"/>
  <c r="BD240" s="1"/>
  <c r="BD241" s="1"/>
  <c r="BD58" i="26" s="1"/>
  <c r="BD58" i="33" s="1"/>
  <c r="BD53" i="9"/>
  <c r="BD56"/>
  <c r="BD85"/>
  <c r="BD59"/>
  <c r="BD52"/>
  <c r="BD97" i="29" s="1"/>
  <c r="BD93" i="9"/>
  <c r="BD102"/>
  <c r="BD196"/>
  <c r="BD204"/>
  <c r="BD110"/>
  <c r="BD101"/>
  <c r="BD201"/>
  <c r="Q159"/>
  <c r="Q160" s="1"/>
  <c r="Q161" s="1"/>
  <c r="Q313" i="12" s="1"/>
  <c r="Q329" s="1"/>
  <c r="Q330" s="1"/>
  <c r="Q331" s="1"/>
  <c r="Q332" s="1"/>
  <c r="Q70" i="26" s="1"/>
  <c r="Q176" i="9"/>
  <c r="Q177" s="1"/>
  <c r="Q123"/>
  <c r="Q188"/>
  <c r="Q189" s="1"/>
  <c r="Q167"/>
  <c r="Q168" s="1"/>
  <c r="Q169" s="1"/>
  <c r="Q315" i="12" s="1"/>
  <c r="Q150" i="9"/>
  <c r="Q151" s="1"/>
  <c r="Q152" s="1"/>
  <c r="Q311" i="12" s="1"/>
  <c r="Q195" i="9"/>
  <c r="AG233" i="12"/>
  <c r="AG250" s="1"/>
  <c r="AG273" s="1"/>
  <c r="BE359" l="1"/>
  <c r="BE330"/>
  <c r="AJ147" i="30"/>
  <c r="AE149"/>
  <c r="AB149"/>
  <c r="Z149"/>
  <c r="AC149"/>
  <c r="AF149"/>
  <c r="AG149"/>
  <c r="AD149"/>
  <c r="AA149"/>
  <c r="CR314"/>
  <c r="R148"/>
  <c r="AU115" i="9"/>
  <c r="AM110"/>
  <c r="AM115" s="1"/>
  <c r="BF204"/>
  <c r="BE315" i="12"/>
  <c r="BE183" i="9"/>
  <c r="BE171"/>
  <c r="BE445"/>
  <c r="BE455"/>
  <c r="BE427"/>
  <c r="BE438"/>
  <c r="CC85" i="30"/>
  <c r="CR84"/>
  <c r="CR147"/>
  <c r="BZ85"/>
  <c r="BD147"/>
  <c r="BD315"/>
  <c r="AJ314"/>
  <c r="CF85"/>
  <c r="CA85"/>
  <c r="CD85"/>
  <c r="BU149"/>
  <c r="BR85"/>
  <c r="T118" i="34" s="1"/>
  <c r="CB85" i="30"/>
  <c r="BR149"/>
  <c r="BF85"/>
  <c r="BX84"/>
  <c r="AI316"/>
  <c r="BB148"/>
  <c r="BB149" s="1"/>
  <c r="CP315"/>
  <c r="AH83"/>
  <c r="AE83"/>
  <c r="Y83"/>
  <c r="W83"/>
  <c r="V83"/>
  <c r="AF83"/>
  <c r="X83"/>
  <c r="U83"/>
  <c r="AI83"/>
  <c r="AD83"/>
  <c r="AA83"/>
  <c r="AC83"/>
  <c r="AB83"/>
  <c r="R83"/>
  <c r="AG83"/>
  <c r="T83"/>
  <c r="Z83"/>
  <c r="BF315"/>
  <c r="BX314"/>
  <c r="AQ83"/>
  <c r="AT83"/>
  <c r="AU83"/>
  <c r="BA83"/>
  <c r="AW83"/>
  <c r="AZ83"/>
  <c r="AV83"/>
  <c r="BB83"/>
  <c r="AO83"/>
  <c r="AP83"/>
  <c r="BC83"/>
  <c r="AS83"/>
  <c r="AL83"/>
  <c r="AM83"/>
  <c r="AN83"/>
  <c r="AX83"/>
  <c r="AR83"/>
  <c r="BZ148"/>
  <c r="BZ315"/>
  <c r="BC149"/>
  <c r="AT148"/>
  <c r="CP148"/>
  <c r="CH148"/>
  <c r="CM149" s="1"/>
  <c r="CC149"/>
  <c r="AL148"/>
  <c r="BV315"/>
  <c r="BV316" s="1"/>
  <c r="R315"/>
  <c r="BN315"/>
  <c r="Z315"/>
  <c r="AA316" s="1"/>
  <c r="CH315"/>
  <c r="BW85"/>
  <c r="BB316"/>
  <c r="AC35" i="12"/>
  <c r="AC103"/>
  <c r="AC231"/>
  <c r="AC115" i="9"/>
  <c r="S291" i="12"/>
  <c r="J108" i="9"/>
  <c r="J109" s="1"/>
  <c r="J110" s="1"/>
  <c r="J82"/>
  <c r="J83" s="1"/>
  <c r="J73"/>
  <c r="J49"/>
  <c r="J90"/>
  <c r="J91" s="1"/>
  <c r="J99"/>
  <c r="J100" s="1"/>
  <c r="J101" s="1"/>
  <c r="J92"/>
  <c r="J84"/>
  <c r="N180"/>
  <c r="N154"/>
  <c r="AA82"/>
  <c r="AA83" s="1"/>
  <c r="AA84" s="1"/>
  <c r="AA49"/>
  <c r="AA90"/>
  <c r="AA91" s="1"/>
  <c r="AA99"/>
  <c r="AA100" s="1"/>
  <c r="AA108"/>
  <c r="AA109" s="1"/>
  <c r="AA73"/>
  <c r="AA195"/>
  <c r="AL445"/>
  <c r="AR116" i="29"/>
  <c r="BD450" i="9"/>
  <c r="BD116" i="29"/>
  <c r="K51" i="12"/>
  <c r="K52" s="1"/>
  <c r="K53" s="1"/>
  <c r="K47" i="26" s="1"/>
  <c r="K47" i="33" s="1"/>
  <c r="H204" i="9"/>
  <c r="S152"/>
  <c r="S311" i="12" s="1"/>
  <c r="AW116" i="29"/>
  <c r="AD115" i="9"/>
  <c r="Y111" i="14"/>
  <c r="Y119" i="9"/>
  <c r="Y150" s="1"/>
  <c r="Y151" s="1"/>
  <c r="Y152" s="1"/>
  <c r="Y311" i="12" s="1"/>
  <c r="AL455" i="9"/>
  <c r="AL438"/>
  <c r="AL440" s="1"/>
  <c r="AX119"/>
  <c r="AX112" i="14"/>
  <c r="AX111"/>
  <c r="AM445" i="9"/>
  <c r="AM455"/>
  <c r="AM427"/>
  <c r="AM438"/>
  <c r="Y159"/>
  <c r="Y160" s="1"/>
  <c r="Y161" s="1"/>
  <c r="Y313" i="12" s="1"/>
  <c r="Y329" s="1"/>
  <c r="Y330" s="1"/>
  <c r="Y331" s="1"/>
  <c r="Y332" s="1"/>
  <c r="Y70" i="26" s="1"/>
  <c r="AC119" i="9"/>
  <c r="AC112" i="14"/>
  <c r="AC111"/>
  <c r="V119" i="9"/>
  <c r="V112" i="14"/>
  <c r="V111"/>
  <c r="W49" i="9"/>
  <c r="W99"/>
  <c r="W100" s="1"/>
  <c r="W101" s="1"/>
  <c r="W73"/>
  <c r="W108"/>
  <c r="W109" s="1"/>
  <c r="W110" s="1"/>
  <c r="W82"/>
  <c r="W83" s="1"/>
  <c r="W84" s="1"/>
  <c r="W90"/>
  <c r="W91" s="1"/>
  <c r="W92" s="1"/>
  <c r="Y49"/>
  <c r="Y99"/>
  <c r="Y100" s="1"/>
  <c r="Y90"/>
  <c r="Y91" s="1"/>
  <c r="Y92" s="1"/>
  <c r="Y108"/>
  <c r="Y109" s="1"/>
  <c r="Y82"/>
  <c r="Y83" s="1"/>
  <c r="Y73"/>
  <c r="AG111" i="14"/>
  <c r="AG119" i="9"/>
  <c r="AG112" i="14"/>
  <c r="J112"/>
  <c r="J111"/>
  <c r="J119" i="9"/>
  <c r="J231" i="12"/>
  <c r="J35"/>
  <c r="J103"/>
  <c r="AQ82" i="9"/>
  <c r="AQ83" s="1"/>
  <c r="AQ84" s="1"/>
  <c r="AQ229" i="12" s="1"/>
  <c r="AQ245" s="1"/>
  <c r="AQ246" s="1"/>
  <c r="AQ247" s="1"/>
  <c r="AQ248" s="1"/>
  <c r="AQ59" i="26" s="1"/>
  <c r="AQ90" i="9"/>
  <c r="AQ91" s="1"/>
  <c r="AQ92" s="1"/>
  <c r="AQ231" i="12" s="1"/>
  <c r="AQ49" i="9"/>
  <c r="AQ29" i="12" s="1"/>
  <c r="AQ50" s="1"/>
  <c r="AQ51" s="1"/>
  <c r="AQ52" s="1"/>
  <c r="AQ53" s="1"/>
  <c r="AQ47" i="26" s="1"/>
  <c r="AQ47" i="33" s="1"/>
  <c r="AQ115" i="9"/>
  <c r="N317" i="12"/>
  <c r="N334" s="1"/>
  <c r="N357" s="1"/>
  <c r="N359" s="1"/>
  <c r="N192" i="9"/>
  <c r="AQ99"/>
  <c r="AQ100" s="1"/>
  <c r="AQ101" s="1"/>
  <c r="AQ233" i="12" s="1"/>
  <c r="AQ250" s="1"/>
  <c r="AQ273" s="1"/>
  <c r="AQ73" i="9"/>
  <c r="AQ24" i="29" s="1"/>
  <c r="AL119" i="9"/>
  <c r="AL112" i="14"/>
  <c r="AL111"/>
  <c r="AL457" i="9"/>
  <c r="AL456"/>
  <c r="AL176" i="12" s="1"/>
  <c r="AL183" s="1"/>
  <c r="AL206" s="1"/>
  <c r="AL208" s="1"/>
  <c r="AL446" i="9"/>
  <c r="AL447"/>
  <c r="BC112" i="14"/>
  <c r="BC113" s="1"/>
  <c r="BC119" i="9"/>
  <c r="BC111" i="14"/>
  <c r="BC49" i="9"/>
  <c r="BC90"/>
  <c r="BC91" s="1"/>
  <c r="BC92" s="1"/>
  <c r="BC99"/>
  <c r="BC100" s="1"/>
  <c r="BC108"/>
  <c r="BC109" s="1"/>
  <c r="BC110" s="1"/>
  <c r="BC82"/>
  <c r="BC83" s="1"/>
  <c r="BC84" s="1"/>
  <c r="BC73"/>
  <c r="AL439"/>
  <c r="AL174" i="12" s="1"/>
  <c r="AL429" i="9"/>
  <c r="AL428"/>
  <c r="AL172" i="12" s="1"/>
  <c r="AQ111" i="14"/>
  <c r="AQ119" i="9"/>
  <c r="R99"/>
  <c r="R100" s="1"/>
  <c r="R101" s="1"/>
  <c r="R82"/>
  <c r="R83" s="1"/>
  <c r="R84" s="1"/>
  <c r="R73"/>
  <c r="R108"/>
  <c r="R109" s="1"/>
  <c r="R110" s="1"/>
  <c r="R49"/>
  <c r="R90"/>
  <c r="R91" s="1"/>
  <c r="R92" s="1"/>
  <c r="AL49"/>
  <c r="AL108"/>
  <c r="AL109" s="1"/>
  <c r="AL110" s="1"/>
  <c r="AL90"/>
  <c r="AL91" s="1"/>
  <c r="AL92" s="1"/>
  <c r="AL99"/>
  <c r="AL100" s="1"/>
  <c r="AL101" s="1"/>
  <c r="AL233" i="12" s="1"/>
  <c r="AL250" s="1"/>
  <c r="AL273" s="1"/>
  <c r="AL275" s="1"/>
  <c r="AL73" i="9"/>
  <c r="AL82"/>
  <c r="AL83" s="1"/>
  <c r="AL84" s="1"/>
  <c r="AT90"/>
  <c r="AT91" s="1"/>
  <c r="AT92" s="1"/>
  <c r="AT49"/>
  <c r="AT82"/>
  <c r="AT83" s="1"/>
  <c r="AT84" s="1"/>
  <c r="AT108"/>
  <c r="AT109" s="1"/>
  <c r="AT110" s="1"/>
  <c r="AT99"/>
  <c r="AT100" s="1"/>
  <c r="AT101" s="1"/>
  <c r="AT73"/>
  <c r="AQ112" i="14"/>
  <c r="AE359" i="12"/>
  <c r="H201" i="9"/>
  <c r="V103" i="12"/>
  <c r="V231"/>
  <c r="V35"/>
  <c r="AS231"/>
  <c r="AS103"/>
  <c r="AS35"/>
  <c r="AO231"/>
  <c r="AO35"/>
  <c r="AO103"/>
  <c r="AS183" i="9"/>
  <c r="AS204"/>
  <c r="BA154"/>
  <c r="BA192"/>
  <c r="T192"/>
  <c r="AC33" i="12"/>
  <c r="AC58" s="1"/>
  <c r="AC59" s="1"/>
  <c r="AC60" s="1"/>
  <c r="AC61" s="1"/>
  <c r="AC48" i="26" s="1"/>
  <c r="AS48" i="34" s="1"/>
  <c r="DC48" i="33" s="1"/>
  <c r="AC229" i="12"/>
  <c r="AC245" s="1"/>
  <c r="AC246" s="1"/>
  <c r="AC247" s="1"/>
  <c r="AC248" s="1"/>
  <c r="AC59" i="26" s="1"/>
  <c r="AE192" i="9"/>
  <c r="AI161"/>
  <c r="AI313" i="12" s="1"/>
  <c r="AI329" s="1"/>
  <c r="AI330" s="1"/>
  <c r="AI331" s="1"/>
  <c r="AI332" s="1"/>
  <c r="AI70" i="26" s="1"/>
  <c r="BC450" i="9"/>
  <c r="L35" i="12"/>
  <c r="L103"/>
  <c r="L231"/>
  <c r="BH204" i="9"/>
  <c r="Y84"/>
  <c r="AQ33" i="12"/>
  <c r="AQ58" s="1"/>
  <c r="AQ59" s="1"/>
  <c r="AQ60" s="1"/>
  <c r="AQ61" s="1"/>
  <c r="AQ48" i="26" s="1"/>
  <c r="AQ48" i="33" s="1"/>
  <c r="AQ35" i="12"/>
  <c r="AQ59" i="9"/>
  <c r="AQ53"/>
  <c r="AC275" i="12"/>
  <c r="AQ432" i="9"/>
  <c r="AQ74"/>
  <c r="AC295" i="12"/>
  <c r="AY192" i="9"/>
  <c r="AS84"/>
  <c r="AB330" i="12"/>
  <c r="AB331" s="1"/>
  <c r="AB332" s="1"/>
  <c r="AB70" i="26" s="1"/>
  <c r="AC70" i="34" s="1"/>
  <c r="CG70" i="33" s="1"/>
  <c r="X49" i="9"/>
  <c r="X82"/>
  <c r="X83" s="1"/>
  <c r="X84" s="1"/>
  <c r="X90"/>
  <c r="X91" s="1"/>
  <c r="X92" s="1"/>
  <c r="X99"/>
  <c r="X100" s="1"/>
  <c r="X101" s="1"/>
  <c r="X233" i="12" s="1"/>
  <c r="X250" s="1"/>
  <c r="X273" s="1"/>
  <c r="X108" i="9"/>
  <c r="X109" s="1"/>
  <c r="X110" s="1"/>
  <c r="X115" s="1"/>
  <c r="X73"/>
  <c r="AJ201"/>
  <c r="AG231" i="12"/>
  <c r="AG35"/>
  <c r="AG103"/>
  <c r="AG115" i="9"/>
  <c r="K123"/>
  <c r="K176"/>
  <c r="K177" s="1"/>
  <c r="K159"/>
  <c r="K160" s="1"/>
  <c r="K161" s="1"/>
  <c r="K313" i="12" s="1"/>
  <c r="K329" s="1"/>
  <c r="K330" s="1"/>
  <c r="K331" s="1"/>
  <c r="K332" s="1"/>
  <c r="K70" i="26" s="1"/>
  <c r="K70" i="33" s="1"/>
  <c r="K188" i="9"/>
  <c r="K189" s="1"/>
  <c r="K195"/>
  <c r="K150"/>
  <c r="K151" s="1"/>
  <c r="K167"/>
  <c r="K168" s="1"/>
  <c r="K169" s="1"/>
  <c r="AG229" i="12"/>
  <c r="AG245" s="1"/>
  <c r="AG246" s="1"/>
  <c r="AG247" s="1"/>
  <c r="AG248" s="1"/>
  <c r="AG59" i="26" s="1"/>
  <c r="AG59" i="33" s="1"/>
  <c r="AG33" i="12"/>
  <c r="AG58" s="1"/>
  <c r="AG59" s="1"/>
  <c r="AG60" s="1"/>
  <c r="AG61" s="1"/>
  <c r="AG48" i="26" s="1"/>
  <c r="AG48" i="33" s="1"/>
  <c r="AG24" i="29"/>
  <c r="AG98"/>
  <c r="AG74" i="9"/>
  <c r="AG432"/>
  <c r="AG65"/>
  <c r="AG294" i="12" s="1"/>
  <c r="AG56" i="9"/>
  <c r="AG52"/>
  <c r="AG97" i="29" s="1"/>
  <c r="AG59" i="9"/>
  <c r="AG111"/>
  <c r="AG53"/>
  <c r="AG102"/>
  <c r="AG93"/>
  <c r="AG225" i="12"/>
  <c r="AG238" s="1"/>
  <c r="AG239" s="1"/>
  <c r="AG240" s="1"/>
  <c r="AG241" s="1"/>
  <c r="AG58" i="26" s="1"/>
  <c r="AG29" i="12"/>
  <c r="AG50" s="1"/>
  <c r="AG51" s="1"/>
  <c r="AG52" s="1"/>
  <c r="AG53" s="1"/>
  <c r="AG47" i="26" s="1"/>
  <c r="AG85" i="9"/>
  <c r="AE73" i="3"/>
  <c r="AE72"/>
  <c r="AE31" i="5"/>
  <c r="AD331" i="12"/>
  <c r="AD332" s="1"/>
  <c r="AD70" i="26" s="1"/>
  <c r="AD32" i="5"/>
  <c r="AD10" i="26" s="1"/>
  <c r="AD10" i="33" s="1"/>
  <c r="AF31" i="5"/>
  <c r="AF72" i="3"/>
  <c r="AF73"/>
  <c r="AP239" i="12"/>
  <c r="AP240" s="1"/>
  <c r="AP241" s="1"/>
  <c r="AP58" i="26" s="1"/>
  <c r="AP58" i="33" s="1"/>
  <c r="AI123" i="9"/>
  <c r="AI191" s="1"/>
  <c r="AI195"/>
  <c r="AI153"/>
  <c r="AI48" i="34"/>
  <c r="AI58"/>
  <c r="CM58" i="33" s="1"/>
  <c r="BA47" i="34"/>
  <c r="AS58"/>
  <c r="DC58" i="33" s="1"/>
  <c r="AZ58" i="34"/>
  <c r="AZ70"/>
  <c r="DJ70" i="33" s="1"/>
  <c r="BC70" i="34"/>
  <c r="AJ70"/>
  <c r="CN70" i="33" s="1"/>
  <c r="AJ58" i="34"/>
  <c r="AC58"/>
  <c r="BA70"/>
  <c r="AI59"/>
  <c r="CM59" i="33" s="1"/>
  <c r="AI47" i="34"/>
  <c r="H70"/>
  <c r="Y70"/>
  <c r="BA58"/>
  <c r="DK58" i="33" s="1"/>
  <c r="AC69" i="34"/>
  <c r="AI70"/>
  <c r="CM70" i="33" s="1"/>
  <c r="AJ47" i="34"/>
  <c r="AS47"/>
  <c r="DC47" i="33" s="1"/>
  <c r="AS59" i="34"/>
  <c r="AZ47"/>
  <c r="DJ47" i="33" s="1"/>
  <c r="AC47" i="34"/>
  <c r="AZ162" i="9"/>
  <c r="AP98" i="29"/>
  <c r="AP116" s="1"/>
  <c r="AP24"/>
  <c r="AP74" i="9"/>
  <c r="AP432"/>
  <c r="AP101"/>
  <c r="AP102"/>
  <c r="AP445"/>
  <c r="AP427"/>
  <c r="AP438"/>
  <c r="AP455"/>
  <c r="R167"/>
  <c r="R168" s="1"/>
  <c r="R169" s="1"/>
  <c r="R315" i="12" s="1"/>
  <c r="R150" i="9"/>
  <c r="R151" s="1"/>
  <c r="R152" s="1"/>
  <c r="R311" i="12" s="1"/>
  <c r="R123" i="9"/>
  <c r="R195"/>
  <c r="R176"/>
  <c r="R177" s="1"/>
  <c r="R188"/>
  <c r="R189" s="1"/>
  <c r="R159"/>
  <c r="R160" s="1"/>
  <c r="R161" s="1"/>
  <c r="R313" i="12" s="1"/>
  <c r="R329" s="1"/>
  <c r="R330" s="1"/>
  <c r="R331" s="1"/>
  <c r="R332" s="1"/>
  <c r="R70" i="26" s="1"/>
  <c r="R70" i="33" s="1"/>
  <c r="AM98" i="29"/>
  <c r="AM432" i="9"/>
  <c r="AM74"/>
  <c r="AM24" i="29"/>
  <c r="AM229" i="12"/>
  <c r="AM245" s="1"/>
  <c r="AM246" s="1"/>
  <c r="AM247" s="1"/>
  <c r="AM248" s="1"/>
  <c r="AM59" i="26" s="1"/>
  <c r="AM33" i="12"/>
  <c r="AM58" s="1"/>
  <c r="AM59" s="1"/>
  <c r="AM60" s="1"/>
  <c r="AM61" s="1"/>
  <c r="AM48" i="26" s="1"/>
  <c r="AP110" i="9"/>
  <c r="AP111"/>
  <c r="AP84"/>
  <c r="AP85"/>
  <c r="AP92"/>
  <c r="AP93"/>
  <c r="AP53"/>
  <c r="BB90"/>
  <c r="BB91" s="1"/>
  <c r="BB92" s="1"/>
  <c r="BB99"/>
  <c r="BB100" s="1"/>
  <c r="BB49"/>
  <c r="BB73"/>
  <c r="BB108"/>
  <c r="BB109" s="1"/>
  <c r="BB82"/>
  <c r="BB83" s="1"/>
  <c r="BB84" s="1"/>
  <c r="BB167"/>
  <c r="BB168" s="1"/>
  <c r="BB169" s="1"/>
  <c r="BB315" i="12" s="1"/>
  <c r="BB159" i="9"/>
  <c r="BB160" s="1"/>
  <c r="BB161" s="1"/>
  <c r="BB313" i="12" s="1"/>
  <c r="BB329" s="1"/>
  <c r="BB330" s="1"/>
  <c r="BB331" s="1"/>
  <c r="BB332" s="1"/>
  <c r="BB70" i="26" s="1"/>
  <c r="BB176" i="9"/>
  <c r="BB177" s="1"/>
  <c r="BB178" s="1"/>
  <c r="BB123"/>
  <c r="BB188"/>
  <c r="BB189" s="1"/>
  <c r="BB190" s="1"/>
  <c r="BB150"/>
  <c r="BB151" s="1"/>
  <c r="BB152" s="1"/>
  <c r="BB195"/>
  <c r="AM231" i="12"/>
  <c r="AM103"/>
  <c r="AM35"/>
  <c r="AM65" i="9"/>
  <c r="AM294" i="12" s="1"/>
  <c r="AM56" i="9"/>
  <c r="AM29" i="12"/>
  <c r="AM50" s="1"/>
  <c r="AM51" s="1"/>
  <c r="AM52" s="1"/>
  <c r="AM53" s="1"/>
  <c r="AM47" i="26" s="1"/>
  <c r="AM111" i="9"/>
  <c r="AM102"/>
  <c r="AM93"/>
  <c r="AM85"/>
  <c r="AM225" i="12"/>
  <c r="AM238" s="1"/>
  <c r="AM239" s="1"/>
  <c r="AM240" s="1"/>
  <c r="AM241" s="1"/>
  <c r="AM58" i="26" s="1"/>
  <c r="AM52" i="9"/>
  <c r="AM97" i="29" s="1"/>
  <c r="AM59" i="9"/>
  <c r="AM53"/>
  <c r="N338" i="12"/>
  <c r="N327"/>
  <c r="N356" s="1"/>
  <c r="N358" s="1"/>
  <c r="AZ153" i="9"/>
  <c r="AC116" i="29"/>
  <c r="AZ179" i="9"/>
  <c r="AO229" i="12"/>
  <c r="AO245" s="1"/>
  <c r="AO246" s="1"/>
  <c r="AO247" s="1"/>
  <c r="AO248" s="1"/>
  <c r="AO59" i="26" s="1"/>
  <c r="AO59" i="33" s="1"/>
  <c r="AO33" i="12"/>
  <c r="AO58" s="1"/>
  <c r="AO59" s="1"/>
  <c r="AO60" s="1"/>
  <c r="AO61" s="1"/>
  <c r="AO48" i="26" s="1"/>
  <c r="AO48" i="33" s="1"/>
  <c r="AF229" i="12"/>
  <c r="AF245" s="1"/>
  <c r="AF246" s="1"/>
  <c r="AF33"/>
  <c r="AF58" s="1"/>
  <c r="AF59" s="1"/>
  <c r="BF229"/>
  <c r="BF245" s="1"/>
  <c r="BF246" s="1"/>
  <c r="BF33"/>
  <c r="BF58" s="1"/>
  <c r="BF59" s="1"/>
  <c r="AW231"/>
  <c r="AW35"/>
  <c r="AW103"/>
  <c r="V33"/>
  <c r="V58" s="1"/>
  <c r="V59" s="1"/>
  <c r="V60" s="1"/>
  <c r="V61" s="1"/>
  <c r="V48" i="26" s="1"/>
  <c r="V48" i="33" s="1"/>
  <c r="V229" i="12"/>
  <c r="V245" s="1"/>
  <c r="V246" s="1"/>
  <c r="V247" s="1"/>
  <c r="V248" s="1"/>
  <c r="V59" i="26" s="1"/>
  <c r="V59" i="33" s="1"/>
  <c r="L229" i="12"/>
  <c r="L245" s="1"/>
  <c r="L246" s="1"/>
  <c r="L247" s="1"/>
  <c r="L248" s="1"/>
  <c r="L59" i="26" s="1"/>
  <c r="L59" i="33" s="1"/>
  <c r="L33" i="12"/>
  <c r="L58" s="1"/>
  <c r="L59" s="1"/>
  <c r="L60" s="1"/>
  <c r="L61" s="1"/>
  <c r="L48" i="26" s="1"/>
  <c r="L48" i="33" s="1"/>
  <c r="AW204" i="9"/>
  <c r="BH201"/>
  <c r="AA92"/>
  <c r="L115"/>
  <c r="BA29" i="12"/>
  <c r="BA50" s="1"/>
  <c r="BA51" s="1"/>
  <c r="BA52" s="1"/>
  <c r="BA53" s="1"/>
  <c r="BA47" i="26" s="1"/>
  <c r="BA47" i="33" s="1"/>
  <c r="BA196" i="9"/>
  <c r="BA52"/>
  <c r="BA97" i="29" s="1"/>
  <c r="BA116" s="1"/>
  <c r="BA225" i="12"/>
  <c r="BA238" s="1"/>
  <c r="BA239" s="1"/>
  <c r="BA240" s="1"/>
  <c r="BA241" s="1"/>
  <c r="BA58" i="26" s="1"/>
  <c r="BA58" i="33" s="1"/>
  <c r="AT123" i="9"/>
  <c r="AT150"/>
  <c r="AT151" s="1"/>
  <c r="AT152" s="1"/>
  <c r="AT311" i="12" s="1"/>
  <c r="AT327" s="1"/>
  <c r="AT356" s="1"/>
  <c r="AT358" s="1"/>
  <c r="AT176" i="9"/>
  <c r="AT177" s="1"/>
  <c r="AT167"/>
  <c r="AT168" s="1"/>
  <c r="AT169" s="1"/>
  <c r="AT315" i="12" s="1"/>
  <c r="AT188" i="9"/>
  <c r="AT189" s="1"/>
  <c r="AT159"/>
  <c r="AT160" s="1"/>
  <c r="AT161" s="1"/>
  <c r="AT313" i="12" s="1"/>
  <c r="AT329" s="1"/>
  <c r="AT330" s="1"/>
  <c r="AT331" s="1"/>
  <c r="AT332" s="1"/>
  <c r="AT70" i="26" s="1"/>
  <c r="AT70" i="33" s="1"/>
  <c r="AT195" i="9"/>
  <c r="L445"/>
  <c r="L455"/>
  <c r="L427"/>
  <c r="L438"/>
  <c r="AF231" i="12"/>
  <c r="AF103"/>
  <c r="AF35"/>
  <c r="AW229"/>
  <c r="AW245" s="1"/>
  <c r="AW246" s="1"/>
  <c r="AW247" s="1"/>
  <c r="AW248" s="1"/>
  <c r="AW59" i="26" s="1"/>
  <c r="AW59" i="33" s="1"/>
  <c r="AW33" i="12"/>
  <c r="AW58" s="1"/>
  <c r="AW59" s="1"/>
  <c r="AW60" s="1"/>
  <c r="AW61" s="1"/>
  <c r="AW48" i="26" s="1"/>
  <c r="AW48" i="33" s="1"/>
  <c r="AD295" i="12"/>
  <c r="AD275"/>
  <c r="AT457" i="9"/>
  <c r="AT456"/>
  <c r="AT176" i="12" s="1"/>
  <c r="AT183" s="1"/>
  <c r="AT206" s="1"/>
  <c r="AT208" s="1"/>
  <c r="AT428" i="9"/>
  <c r="AT172" i="12" s="1"/>
  <c r="AT429" i="9"/>
  <c r="AO116" i="29"/>
  <c r="AI190" i="9"/>
  <c r="AI317" i="12" s="1"/>
  <c r="AI334" s="1"/>
  <c r="AI357" s="1"/>
  <c r="BI116" i="29"/>
  <c r="AU37" i="12"/>
  <c r="AU105"/>
  <c r="AT447" i="9"/>
  <c r="AT446"/>
  <c r="AT440"/>
  <c r="AT439"/>
  <c r="AT174" i="12" s="1"/>
  <c r="AJ229"/>
  <c r="AJ245" s="1"/>
  <c r="AJ246" s="1"/>
  <c r="AJ247" s="1"/>
  <c r="AJ248" s="1"/>
  <c r="AJ59" i="26" s="1"/>
  <c r="AJ33" i="12"/>
  <c r="AJ58" s="1"/>
  <c r="AJ59" s="1"/>
  <c r="AJ60" s="1"/>
  <c r="AJ61" s="1"/>
  <c r="AJ48" i="26" s="1"/>
  <c r="AE33" i="12"/>
  <c r="AE58" s="1"/>
  <c r="AE59" s="1"/>
  <c r="AE229"/>
  <c r="AE245" s="1"/>
  <c r="AE246" s="1"/>
  <c r="AE103"/>
  <c r="AE231"/>
  <c r="AE35"/>
  <c r="Y455" i="9"/>
  <c r="Y445"/>
  <c r="Y438"/>
  <c r="Y427"/>
  <c r="BI428"/>
  <c r="BI172" i="12" s="1"/>
  <c r="BI429" i="9"/>
  <c r="BI447"/>
  <c r="BI446"/>
  <c r="K92"/>
  <c r="K93"/>
  <c r="K101"/>
  <c r="K102"/>
  <c r="K111"/>
  <c r="K110"/>
  <c r="K445"/>
  <c r="K427"/>
  <c r="K438"/>
  <c r="K455"/>
  <c r="AO427"/>
  <c r="AO438"/>
  <c r="AO455"/>
  <c r="AO445"/>
  <c r="AN257" i="12"/>
  <c r="AN265" s="1"/>
  <c r="AN267" s="1"/>
  <c r="AN278" s="1"/>
  <c r="AN281" s="1"/>
  <c r="AN190"/>
  <c r="AN198" s="1"/>
  <c r="AN200" s="1"/>
  <c r="AN211" s="1"/>
  <c r="AN214" s="1"/>
  <c r="AN341"/>
  <c r="AN349" s="1"/>
  <c r="AN351" s="1"/>
  <c r="AB92" i="9"/>
  <c r="AB93"/>
  <c r="AB110"/>
  <c r="AB111"/>
  <c r="AB56"/>
  <c r="AB74"/>
  <c r="AB432"/>
  <c r="AB98" i="29"/>
  <c r="AB116" s="1"/>
  <c r="AB24"/>
  <c r="AB455" i="9"/>
  <c r="AB427"/>
  <c r="AB445"/>
  <c r="AB438"/>
  <c r="AG446"/>
  <c r="AG447"/>
  <c r="AG457"/>
  <c r="AG456"/>
  <c r="AG176" i="12" s="1"/>
  <c r="AG183" s="1"/>
  <c r="AG206" s="1"/>
  <c r="AG208" s="1"/>
  <c r="AX110" i="9"/>
  <c r="AX111"/>
  <c r="AX101"/>
  <c r="AX102"/>
  <c r="AX53"/>
  <c r="AX65"/>
  <c r="AX294" i="12" s="1"/>
  <c r="AX455" i="9"/>
  <c r="AX427"/>
  <c r="AX445"/>
  <c r="AX438"/>
  <c r="AJ427"/>
  <c r="AJ438"/>
  <c r="AJ455"/>
  <c r="AJ445"/>
  <c r="AF427"/>
  <c r="AF438"/>
  <c r="AF455"/>
  <c r="AF445"/>
  <c r="BF438"/>
  <c r="BF455"/>
  <c r="BF427"/>
  <c r="BF445"/>
  <c r="BB428"/>
  <c r="BB172" i="12" s="1"/>
  <c r="BB429" i="9"/>
  <c r="BB457"/>
  <c r="BB456"/>
  <c r="BB176" i="12" s="1"/>
  <c r="BB183" s="1"/>
  <c r="BB206" s="1"/>
  <c r="BB208" s="1"/>
  <c r="AN187"/>
  <c r="AN181"/>
  <c r="AN205" s="1"/>
  <c r="AN207" s="1"/>
  <c r="AV440" i="9"/>
  <c r="AV439"/>
  <c r="AV174" i="12" s="1"/>
  <c r="AV457" i="9"/>
  <c r="AV456"/>
  <c r="AV176" i="12" s="1"/>
  <c r="AV183" s="1"/>
  <c r="AV206" s="1"/>
  <c r="AV208" s="1"/>
  <c r="AA191" i="9"/>
  <c r="AA190"/>
  <c r="AA169"/>
  <c r="AA170"/>
  <c r="AA129"/>
  <c r="AA438"/>
  <c r="AA455"/>
  <c r="AA445"/>
  <c r="AA427"/>
  <c r="AE152"/>
  <c r="AE311" i="12" s="1"/>
  <c r="AE169" i="9"/>
  <c r="AN450"/>
  <c r="AA138"/>
  <c r="AA69" i="33"/>
  <c r="BO69"/>
  <c r="BI456" i="9"/>
  <c r="BI176" i="12" s="1"/>
  <c r="BI183" s="1"/>
  <c r="BI206" s="1"/>
  <c r="BI208" s="1"/>
  <c r="BI457" i="9"/>
  <c r="BI440"/>
  <c r="BI439"/>
  <c r="BI174" i="12" s="1"/>
  <c r="AS455" i="9"/>
  <c r="AS445"/>
  <c r="AS427"/>
  <c r="AS438"/>
  <c r="K84"/>
  <c r="K85"/>
  <c r="K24" i="29"/>
  <c r="K432" i="9"/>
  <c r="K98" i="29"/>
  <c r="K116" s="1"/>
  <c r="K74" i="9"/>
  <c r="K53"/>
  <c r="AB84"/>
  <c r="AB85"/>
  <c r="AB101"/>
  <c r="AB233" i="12" s="1"/>
  <c r="AB250" s="1"/>
  <c r="AB273" s="1"/>
  <c r="AB275" s="1"/>
  <c r="AB102" i="9"/>
  <c r="AB53"/>
  <c r="AG429"/>
  <c r="AG428"/>
  <c r="AG172" i="12" s="1"/>
  <c r="AG439" i="9"/>
  <c r="AG174" i="12" s="1"/>
  <c r="AG440" i="9"/>
  <c r="AX84"/>
  <c r="AX85"/>
  <c r="AX98" i="29"/>
  <c r="AX116" s="1"/>
  <c r="AX432" i="9"/>
  <c r="AX24" i="29"/>
  <c r="AX74" i="9"/>
  <c r="AX92"/>
  <c r="AX93"/>
  <c r="AX59"/>
  <c r="AX56"/>
  <c r="AE427"/>
  <c r="AE455"/>
  <c r="AE445"/>
  <c r="AE438"/>
  <c r="AW455"/>
  <c r="AW427"/>
  <c r="AW445"/>
  <c r="AW438"/>
  <c r="V427"/>
  <c r="V445"/>
  <c r="V455"/>
  <c r="V438"/>
  <c r="BB446"/>
  <c r="BB447"/>
  <c r="BB440"/>
  <c r="BB439"/>
  <c r="BB174" i="12" s="1"/>
  <c r="AN430" i="9"/>
  <c r="AN431" s="1"/>
  <c r="AN29" i="29"/>
  <c r="AV446" i="9"/>
  <c r="AV447"/>
  <c r="AV429"/>
  <c r="AV428"/>
  <c r="AV172" i="12" s="1"/>
  <c r="AC455" i="9"/>
  <c r="AC438"/>
  <c r="AC445"/>
  <c r="AC427"/>
  <c r="AA178"/>
  <c r="AA179"/>
  <c r="AA152"/>
  <c r="AA311" i="12" s="1"/>
  <c r="AA153" i="9"/>
  <c r="AA161"/>
  <c r="AA313" i="12" s="1"/>
  <c r="AA329" s="1"/>
  <c r="AA330" s="1"/>
  <c r="AA331" s="1"/>
  <c r="AA332" s="1"/>
  <c r="AA70" i="26" s="1"/>
  <c r="K70" i="34" s="1"/>
  <c r="AA162" i="9"/>
  <c r="AY116" i="29"/>
  <c r="P116"/>
  <c r="L116"/>
  <c r="AE161" i="9"/>
  <c r="AE313" i="12" s="1"/>
  <c r="AE329" s="1"/>
  <c r="AE330" s="1"/>
  <c r="K152" i="9"/>
  <c r="K311" i="12" s="1"/>
  <c r="AI169" i="9"/>
  <c r="AI315" i="12" s="1"/>
  <c r="AI170" i="9"/>
  <c r="BC181" i="12"/>
  <c r="BC205" s="1"/>
  <c r="BC207" s="1"/>
  <c r="BC187"/>
  <c r="AY446" i="9"/>
  <c r="AY447"/>
  <c r="AY440"/>
  <c r="AY439"/>
  <c r="AY174" i="12" s="1"/>
  <c r="P447" i="9"/>
  <c r="P446"/>
  <c r="P440"/>
  <c r="P439"/>
  <c r="P174" i="12" s="1"/>
  <c r="BD29" i="29"/>
  <c r="BD430" i="9"/>
  <c r="BD431" s="1"/>
  <c r="N457"/>
  <c r="N456"/>
  <c r="N176" i="12" s="1"/>
  <c r="N183" s="1"/>
  <c r="N206" s="1"/>
  <c r="N208" s="1"/>
  <c r="N439" i="9"/>
  <c r="N174" i="12" s="1"/>
  <c r="N440" i="9"/>
  <c r="AU440"/>
  <c r="AU439"/>
  <c r="AU174" i="12" s="1"/>
  <c r="AU457" i="9"/>
  <c r="AU456"/>
  <c r="AU176" i="12" s="1"/>
  <c r="AU183" s="1"/>
  <c r="AU206" s="1"/>
  <c r="AU208" s="1"/>
  <c r="AQ187"/>
  <c r="AQ181"/>
  <c r="AQ205" s="1"/>
  <c r="AQ207" s="1"/>
  <c r="BH457" i="9"/>
  <c r="BH456"/>
  <c r="BH176" i="12" s="1"/>
  <c r="BH183" s="1"/>
  <c r="BH206" s="1"/>
  <c r="BH208" s="1"/>
  <c r="BH428" i="9"/>
  <c r="BH172" i="12" s="1"/>
  <c r="BH429" i="9"/>
  <c r="AV116" i="29"/>
  <c r="Q116"/>
  <c r="N116"/>
  <c r="AE116"/>
  <c r="M84" i="9"/>
  <c r="N183"/>
  <c r="N171"/>
  <c r="AY171"/>
  <c r="AY183"/>
  <c r="AQ450"/>
  <c r="BC29" i="29"/>
  <c r="BC430" i="9"/>
  <c r="BC431" s="1"/>
  <c r="AY428"/>
  <c r="AY172" i="12" s="1"/>
  <c r="AY429" i="9"/>
  <c r="AY457"/>
  <c r="AY456"/>
  <c r="AY176" i="12" s="1"/>
  <c r="AY183" s="1"/>
  <c r="AY206" s="1"/>
  <c r="AY208" s="1"/>
  <c r="P456" i="9"/>
  <c r="P176" i="12" s="1"/>
  <c r="P183" s="1"/>
  <c r="P206" s="1"/>
  <c r="P208" s="1"/>
  <c r="P457" i="9"/>
  <c r="P429"/>
  <c r="P428"/>
  <c r="P172" i="12" s="1"/>
  <c r="BD181"/>
  <c r="BD205" s="1"/>
  <c r="BD207" s="1"/>
  <c r="BD187"/>
  <c r="N446" i="9"/>
  <c r="N447"/>
  <c r="N429"/>
  <c r="N428"/>
  <c r="N172" i="12" s="1"/>
  <c r="AU447" i="9"/>
  <c r="AU446"/>
  <c r="AU428"/>
  <c r="AU172" i="12" s="1"/>
  <c r="AU429" i="9"/>
  <c r="AQ433"/>
  <c r="AQ430"/>
  <c r="AQ431" s="1"/>
  <c r="AQ29" i="29"/>
  <c r="AY327" i="12"/>
  <c r="AY356" s="1"/>
  <c r="AY358" s="1"/>
  <c r="AY338"/>
  <c r="BC257"/>
  <c r="BC265" s="1"/>
  <c r="BC267" s="1"/>
  <c r="BC190"/>
  <c r="BC198" s="1"/>
  <c r="BC200" s="1"/>
  <c r="BC211" s="1"/>
  <c r="BC214" s="1"/>
  <c r="BC341"/>
  <c r="BC349" s="1"/>
  <c r="BC351" s="1"/>
  <c r="BD341"/>
  <c r="BD349" s="1"/>
  <c r="BD351" s="1"/>
  <c r="BD362" s="1"/>
  <c r="BD365" s="1"/>
  <c r="BD65" i="26" s="1"/>
  <c r="BD65" i="33" s="1"/>
  <c r="BD190" i="12"/>
  <c r="BD198" s="1"/>
  <c r="BD200" s="1"/>
  <c r="BD211" s="1"/>
  <c r="BD214" s="1"/>
  <c r="BD257"/>
  <c r="BD265" s="1"/>
  <c r="BD267" s="1"/>
  <c r="AQ190"/>
  <c r="AQ198" s="1"/>
  <c r="AQ200" s="1"/>
  <c r="AQ211" s="1"/>
  <c r="AQ214" s="1"/>
  <c r="AQ257"/>
  <c r="AQ265" s="1"/>
  <c r="AQ267" s="1"/>
  <c r="AQ341"/>
  <c r="AQ349" s="1"/>
  <c r="AQ351" s="1"/>
  <c r="BH440" i="9"/>
  <c r="BH439"/>
  <c r="BH174" i="12" s="1"/>
  <c r="BH447" i="9"/>
  <c r="BH446"/>
  <c r="BH450" s="1"/>
  <c r="BF116" i="29"/>
  <c r="AH116"/>
  <c r="AK116"/>
  <c r="AO204" i="9"/>
  <c r="V116" i="29"/>
  <c r="H116"/>
  <c r="BE116"/>
  <c r="BH116"/>
  <c r="AY154" i="9"/>
  <c r="CL85" i="30"/>
  <c r="T116" i="34" s="1"/>
  <c r="CN85" i="30"/>
  <c r="V116" i="34" s="1"/>
  <c r="CM85" i="30"/>
  <c r="U116" i="34" s="1"/>
  <c r="CJ85" i="30"/>
  <c r="O116" i="34" s="1"/>
  <c r="CP85" i="30"/>
  <c r="AK229" i="12"/>
  <c r="AK245" s="1"/>
  <c r="AK246" s="1"/>
  <c r="AK247" s="1"/>
  <c r="AK248" s="1"/>
  <c r="AK59" i="26" s="1"/>
  <c r="AK79" s="1"/>
  <c r="AK33" i="12"/>
  <c r="AK58" s="1"/>
  <c r="AK59" s="1"/>
  <c r="AK60" s="1"/>
  <c r="AK61" s="1"/>
  <c r="AK48" i="26" s="1"/>
  <c r="AK103" i="12"/>
  <c r="AK35"/>
  <c r="AK231"/>
  <c r="BG429" i="9"/>
  <c r="BG428"/>
  <c r="BG172" i="12" s="1"/>
  <c r="BG457" i="9"/>
  <c r="BG456"/>
  <c r="BG176" i="12" s="1"/>
  <c r="BG183" s="1"/>
  <c r="BG206" s="1"/>
  <c r="BG208" s="1"/>
  <c r="AU288"/>
  <c r="AU77" i="9"/>
  <c r="AU150" i="12"/>
  <c r="AK438" i="9"/>
  <c r="AK427"/>
  <c r="AK445"/>
  <c r="AK455"/>
  <c r="AN150" i="12"/>
  <c r="AN77" i="9"/>
  <c r="AN288" i="12"/>
  <c r="AN153"/>
  <c r="AN291"/>
  <c r="AN94" i="9"/>
  <c r="AN103"/>
  <c r="AN101" i="12"/>
  <c r="AN227"/>
  <c r="AN31"/>
  <c r="AN37"/>
  <c r="AN105"/>
  <c r="BH233"/>
  <c r="BH250" s="1"/>
  <c r="BH273" s="1"/>
  <c r="BH202" i="9"/>
  <c r="BH112"/>
  <c r="BH62"/>
  <c r="BH156" i="12" s="1"/>
  <c r="BH288"/>
  <c r="BH150"/>
  <c r="BH327"/>
  <c r="BH356" s="1"/>
  <c r="BH358" s="1"/>
  <c r="BH338"/>
  <c r="BH128" i="9"/>
  <c r="BH170"/>
  <c r="BH309" i="12"/>
  <c r="BH322" s="1"/>
  <c r="BH323" s="1"/>
  <c r="BH129" i="9"/>
  <c r="BH154" s="1"/>
  <c r="BH141"/>
  <c r="BH192" s="1"/>
  <c r="BH153"/>
  <c r="BH162"/>
  <c r="BH135"/>
  <c r="BH179"/>
  <c r="BH191"/>
  <c r="BH132"/>
  <c r="BH171" s="1"/>
  <c r="AU119" i="12"/>
  <c r="AU63"/>
  <c r="AU243"/>
  <c r="AU272" s="1"/>
  <c r="AU274" s="1"/>
  <c r="AU254"/>
  <c r="AN63"/>
  <c r="AN119"/>
  <c r="H439" i="9"/>
  <c r="H174" i="12" s="1"/>
  <c r="H440" i="9"/>
  <c r="H446"/>
  <c r="H450" s="1"/>
  <c r="H447"/>
  <c r="AK183"/>
  <c r="BD183"/>
  <c r="AW183"/>
  <c r="T361" i="12"/>
  <c r="T364" s="1"/>
  <c r="T64" i="26" s="1"/>
  <c r="T64" i="33" s="1"/>
  <c r="AC76" i="9"/>
  <c r="AI178"/>
  <c r="AI183" s="1"/>
  <c r="BH63" i="12"/>
  <c r="BH119"/>
  <c r="BH115" i="9"/>
  <c r="BH205"/>
  <c r="BH198"/>
  <c r="BH75"/>
  <c r="BH77" s="1"/>
  <c r="BG439"/>
  <c r="BG174" i="12" s="1"/>
  <c r="BG440" i="9"/>
  <c r="BG447"/>
  <c r="BG446"/>
  <c r="AU94"/>
  <c r="AU291" i="12"/>
  <c r="AU153"/>
  <c r="AU103" i="9"/>
  <c r="AU62"/>
  <c r="AU156" i="12" s="1"/>
  <c r="AU112" i="9"/>
  <c r="I119" i="12"/>
  <c r="I63"/>
  <c r="BH94" i="9"/>
  <c r="BH103"/>
  <c r="BH291" i="12"/>
  <c r="BH153"/>
  <c r="AU55"/>
  <c r="AU116"/>
  <c r="AU117" s="1"/>
  <c r="AU43"/>
  <c r="AU110"/>
  <c r="H428" i="9"/>
  <c r="H172" i="12" s="1"/>
  <c r="H429" i="9"/>
  <c r="H456"/>
  <c r="H176" i="12" s="1"/>
  <c r="H183" s="1"/>
  <c r="H206" s="1"/>
  <c r="H208" s="1"/>
  <c r="H457" i="9"/>
  <c r="AN112"/>
  <c r="BH76"/>
  <c r="J33" i="12"/>
  <c r="J58" s="1"/>
  <c r="J59" s="1"/>
  <c r="J229"/>
  <c r="J245" s="1"/>
  <c r="J246" s="1"/>
  <c r="AI84" i="9"/>
  <c r="AI85"/>
  <c r="U75"/>
  <c r="U76"/>
  <c r="U198"/>
  <c r="Z84"/>
  <c r="Z85"/>
  <c r="T70" i="33"/>
  <c r="AZ138" i="9"/>
  <c r="AZ180"/>
  <c r="X37" i="12"/>
  <c r="X105"/>
  <c r="X157" s="1"/>
  <c r="T94" i="9"/>
  <c r="T153" i="12"/>
  <c r="T291"/>
  <c r="T103" i="9"/>
  <c r="T457"/>
  <c r="T456"/>
  <c r="T176" i="12" s="1"/>
  <c r="T183" s="1"/>
  <c r="T206" s="1"/>
  <c r="T208" s="1"/>
  <c r="T439" i="9"/>
  <c r="T174" i="12" s="1"/>
  <c r="T440" i="9"/>
  <c r="T63" i="12"/>
  <c r="T119"/>
  <c r="BI180" i="9"/>
  <c r="BI138"/>
  <c r="S111"/>
  <c r="S110"/>
  <c r="S24" i="29"/>
  <c r="S432" i="9"/>
  <c r="S98" i="29"/>
  <c r="S116" s="1"/>
  <c r="S74" i="9"/>
  <c r="S53"/>
  <c r="J438"/>
  <c r="J455"/>
  <c r="J445"/>
  <c r="J427"/>
  <c r="L119" i="12"/>
  <c r="L63"/>
  <c r="AC94" i="9"/>
  <c r="AC291" i="12"/>
  <c r="AC153"/>
  <c r="AC103" i="9"/>
  <c r="AC58" i="33"/>
  <c r="AC112" i="9"/>
  <c r="AC62"/>
  <c r="AC156" i="12" s="1"/>
  <c r="AC59" i="33"/>
  <c r="DC59"/>
  <c r="AJ47"/>
  <c r="AJ62" i="9"/>
  <c r="AJ156" i="12" s="1"/>
  <c r="AJ112" i="9"/>
  <c r="AJ119" i="12"/>
  <c r="AJ63"/>
  <c r="AJ233"/>
  <c r="AJ250" s="1"/>
  <c r="AJ273" s="1"/>
  <c r="AJ202" i="9"/>
  <c r="AH440"/>
  <c r="AH439"/>
  <c r="AH174" i="12" s="1"/>
  <c r="AH429" i="9"/>
  <c r="AH428"/>
  <c r="AH172" i="12" s="1"/>
  <c r="AD439" i="9"/>
  <c r="AD174" i="12" s="1"/>
  <c r="AD440" i="9"/>
  <c r="AD457"/>
  <c r="AD456"/>
  <c r="AD176" i="12" s="1"/>
  <c r="AD183" s="1"/>
  <c r="AD206" s="1"/>
  <c r="AD208" s="1"/>
  <c r="AD288"/>
  <c r="AD150"/>
  <c r="AD77" i="9"/>
  <c r="AJ70" i="33"/>
  <c r="M123" i="9"/>
  <c r="M150"/>
  <c r="M151" s="1"/>
  <c r="M152" s="1"/>
  <c r="M188"/>
  <c r="M189" s="1"/>
  <c r="M195"/>
  <c r="M176"/>
  <c r="M177" s="1"/>
  <c r="M167"/>
  <c r="M168" s="1"/>
  <c r="M169" s="1"/>
  <c r="M315" i="12" s="1"/>
  <c r="M159" i="9"/>
  <c r="M160" s="1"/>
  <c r="M161" s="1"/>
  <c r="M313" i="12" s="1"/>
  <c r="M329" s="1"/>
  <c r="M330" s="1"/>
  <c r="M331" s="1"/>
  <c r="M332" s="1"/>
  <c r="M70" i="26" s="1"/>
  <c r="AF94" i="9"/>
  <c r="AF153" i="12"/>
  <c r="AF103" i="9"/>
  <c r="AF291" i="12"/>
  <c r="AF150"/>
  <c r="AF288"/>
  <c r="M51"/>
  <c r="M52" s="1"/>
  <c r="M53" s="1"/>
  <c r="M47" i="26" s="1"/>
  <c r="M47" i="33" s="1"/>
  <c r="M239" i="12"/>
  <c r="M240" s="1"/>
  <c r="M241" s="1"/>
  <c r="M58" i="26" s="1"/>
  <c r="M58" i="33" s="1"/>
  <c r="BQ85" i="30"/>
  <c r="P118" i="34" s="1"/>
  <c r="BU85" i="30"/>
  <c r="W118" i="34" s="1"/>
  <c r="BP85" i="30"/>
  <c r="O118" i="34" s="1"/>
  <c r="AC37" i="12"/>
  <c r="AC105"/>
  <c r="AD35"/>
  <c r="AD231"/>
  <c r="AD103"/>
  <c r="M432" i="9"/>
  <c r="M98" i="29"/>
  <c r="M116" s="1"/>
  <c r="M24"/>
  <c r="AM70" i="33"/>
  <c r="DM70"/>
  <c r="AM178" i="9"/>
  <c r="AM204"/>
  <c r="BC115"/>
  <c r="T288" i="12"/>
  <c r="T150"/>
  <c r="T138" i="9"/>
  <c r="T180"/>
  <c r="T115"/>
  <c r="T205"/>
  <c r="AZ446"/>
  <c r="AZ447"/>
  <c r="AZ439"/>
  <c r="AZ174" i="12" s="1"/>
  <c r="AZ440" i="9"/>
  <c r="BI348" i="12"/>
  <c r="BI350" s="1"/>
  <c r="BI339"/>
  <c r="AI198" i="9"/>
  <c r="AI75"/>
  <c r="AI76"/>
  <c r="AI110"/>
  <c r="AI204"/>
  <c r="AI111"/>
  <c r="AI141"/>
  <c r="AI192" s="1"/>
  <c r="AI65"/>
  <c r="AI294" i="12" s="1"/>
  <c r="AI24" i="29"/>
  <c r="AI98"/>
  <c r="AI116" s="1"/>
  <c r="AI432" i="9"/>
  <c r="AI135"/>
  <c r="AI59"/>
  <c r="L153" i="12"/>
  <c r="L94" i="9"/>
  <c r="L103"/>
  <c r="L291" i="12"/>
  <c r="BI115" i="9"/>
  <c r="BI205"/>
  <c r="BI150" i="12"/>
  <c r="BI288"/>
  <c r="BI62" i="9"/>
  <c r="BI156" i="12" s="1"/>
  <c r="BI112" i="9"/>
  <c r="BI76"/>
  <c r="BI75"/>
  <c r="BI198"/>
  <c r="AF338" i="12"/>
  <c r="AF327"/>
  <c r="AF356" s="1"/>
  <c r="AF358" s="1"/>
  <c r="AJ59" i="33"/>
  <c r="X439" i="9"/>
  <c r="X174" i="12" s="1"/>
  <c r="X440" i="9"/>
  <c r="X428"/>
  <c r="X172" i="12" s="1"/>
  <c r="X429" i="9"/>
  <c r="I178"/>
  <c r="I204"/>
  <c r="I181" i="12"/>
  <c r="I205" s="1"/>
  <c r="I207" s="1"/>
  <c r="I187"/>
  <c r="I29" i="29"/>
  <c r="I433" i="9"/>
  <c r="I430"/>
  <c r="I431" s="1"/>
  <c r="U92"/>
  <c r="U93"/>
  <c r="U101"/>
  <c r="U233" i="12" s="1"/>
  <c r="U250" s="1"/>
  <c r="U273" s="1"/>
  <c r="U295" s="1"/>
  <c r="U102" i="9"/>
  <c r="U53"/>
  <c r="U445"/>
  <c r="U427"/>
  <c r="U438"/>
  <c r="U455"/>
  <c r="BI85" i="30"/>
  <c r="BH85"/>
  <c r="BK85"/>
  <c r="BL85"/>
  <c r="W445" i="9"/>
  <c r="W455"/>
  <c r="W427"/>
  <c r="W438"/>
  <c r="AF233" i="12"/>
  <c r="AF250" s="1"/>
  <c r="AF273" s="1"/>
  <c r="AF202" i="9"/>
  <c r="AF75"/>
  <c r="AF77" s="1"/>
  <c r="AF198"/>
  <c r="Q341" i="12"/>
  <c r="Q349" s="1"/>
  <c r="Q351" s="1"/>
  <c r="Q257"/>
  <c r="Q265" s="1"/>
  <c r="Q267" s="1"/>
  <c r="Q190"/>
  <c r="Q198" s="1"/>
  <c r="Q200" s="1"/>
  <c r="Q211" s="1"/>
  <c r="Q214" s="1"/>
  <c r="Q181"/>
  <c r="Q205" s="1"/>
  <c r="Q207" s="1"/>
  <c r="Q187"/>
  <c r="I37"/>
  <c r="I105"/>
  <c r="M53" i="9"/>
  <c r="M445"/>
  <c r="M438"/>
  <c r="M427"/>
  <c r="M455"/>
  <c r="Z101"/>
  <c r="Z233" i="12" s="1"/>
  <c r="Z250" s="1"/>
  <c r="Z273" s="1"/>
  <c r="Z295" s="1"/>
  <c r="Z102" i="9"/>
  <c r="Z110"/>
  <c r="Z111"/>
  <c r="Z62"/>
  <c r="Z156" i="12" s="1"/>
  <c r="Z291"/>
  <c r="Z153"/>
  <c r="T202" i="9"/>
  <c r="T233" i="12"/>
  <c r="T250" s="1"/>
  <c r="T273" s="1"/>
  <c r="W204" i="9"/>
  <c r="BX148" i="30"/>
  <c r="AZ192" i="9"/>
  <c r="AZ183"/>
  <c r="BL149" i="30"/>
  <c r="BK149"/>
  <c r="BI149"/>
  <c r="BT85"/>
  <c r="V118" i="34" s="1"/>
  <c r="BO85" i="30"/>
  <c r="N118" i="34" s="1"/>
  <c r="AZ154" i="9"/>
  <c r="AI359" i="12"/>
  <c r="AI152" i="9"/>
  <c r="AI311" i="12" s="1"/>
  <c r="M93" i="9"/>
  <c r="L76"/>
  <c r="AF183"/>
  <c r="AJ204"/>
  <c r="I198"/>
  <c r="BN58" i="33"/>
  <c r="Z58"/>
  <c r="AD37" i="12"/>
  <c r="AD105"/>
  <c r="M105"/>
  <c r="M157" s="1"/>
  <c r="M37"/>
  <c r="CN47" i="33"/>
  <c r="AI47"/>
  <c r="T446" i="9"/>
  <c r="T447"/>
  <c r="T428"/>
  <c r="T172" i="12" s="1"/>
  <c r="T429" i="9"/>
  <c r="T77"/>
  <c r="T227" i="12"/>
  <c r="T101"/>
  <c r="T31"/>
  <c r="T199" i="9"/>
  <c r="T69" i="33"/>
  <c r="T78" i="26"/>
  <c r="T78" i="33" s="1"/>
  <c r="S84" i="9"/>
  <c r="S85"/>
  <c r="S92"/>
  <c r="S93"/>
  <c r="S102"/>
  <c r="S101"/>
  <c r="S427"/>
  <c r="S438"/>
  <c r="S455"/>
  <c r="S445"/>
  <c r="BI63" i="12"/>
  <c r="BI119"/>
  <c r="BI233"/>
  <c r="BI250" s="1"/>
  <c r="BI273" s="1"/>
  <c r="BI202" i="9"/>
  <c r="AC47" i="33"/>
  <c r="AC150" i="12"/>
  <c r="AC77" i="9"/>
  <c r="AC288" i="12"/>
  <c r="AC227"/>
  <c r="AC31"/>
  <c r="AC101"/>
  <c r="AC48" i="33"/>
  <c r="DJ58"/>
  <c r="AJ58"/>
  <c r="AJ291" i="12"/>
  <c r="AJ153"/>
  <c r="AJ94" i="9"/>
  <c r="AJ103"/>
  <c r="AJ150" i="12"/>
  <c r="AJ288"/>
  <c r="AH446" i="9"/>
  <c r="AH447"/>
  <c r="AH457"/>
  <c r="AH456"/>
  <c r="AH176" i="12" s="1"/>
  <c r="AH183" s="1"/>
  <c r="AH206" s="1"/>
  <c r="AH208" s="1"/>
  <c r="AD428" i="9"/>
  <c r="AD172" i="12" s="1"/>
  <c r="AD429" i="9"/>
  <c r="AD446"/>
  <c r="AD450" s="1"/>
  <c r="AD447"/>
  <c r="I233" i="12"/>
  <c r="I250" s="1"/>
  <c r="I273" s="1"/>
  <c r="I202" i="9"/>
  <c r="AJ128"/>
  <c r="AJ309" i="12"/>
  <c r="AJ322" s="1"/>
  <c r="AJ323" s="1"/>
  <c r="AJ324" s="1"/>
  <c r="AJ325" s="1"/>
  <c r="AJ69" i="26" s="1"/>
  <c r="AJ135" i="9"/>
  <c r="AJ179"/>
  <c r="AJ132"/>
  <c r="AJ171" s="1"/>
  <c r="AJ153"/>
  <c r="AJ141"/>
  <c r="AJ192" s="1"/>
  <c r="AJ129"/>
  <c r="AJ154" s="1"/>
  <c r="AJ170"/>
  <c r="AJ162"/>
  <c r="AJ191"/>
  <c r="AJ327" i="12"/>
  <c r="AJ356" s="1"/>
  <c r="AJ358" s="1"/>
  <c r="AJ338"/>
  <c r="AF112" i="9"/>
  <c r="AF62"/>
  <c r="AF156" i="12" s="1"/>
  <c r="AF63"/>
  <c r="AF119"/>
  <c r="AF115" i="9"/>
  <c r="AF205"/>
  <c r="M275" i="12"/>
  <c r="AZ338"/>
  <c r="AZ327"/>
  <c r="AZ356" s="1"/>
  <c r="AZ358" s="1"/>
  <c r="AD101"/>
  <c r="AD227"/>
  <c r="AD31"/>
  <c r="X35"/>
  <c r="X103"/>
  <c r="X231"/>
  <c r="M103"/>
  <c r="M35"/>
  <c r="M231"/>
  <c r="CN58" i="33"/>
  <c r="AI58"/>
  <c r="AM338" i="12"/>
  <c r="AM327"/>
  <c r="AM356" s="1"/>
  <c r="AM358" s="1"/>
  <c r="AM309"/>
  <c r="AM322" s="1"/>
  <c r="AM323" s="1"/>
  <c r="AM324" s="1"/>
  <c r="AM325" s="1"/>
  <c r="AM69" i="26" s="1"/>
  <c r="AM179" i="9"/>
  <c r="AM153"/>
  <c r="AM129"/>
  <c r="AM154" s="1"/>
  <c r="AM135"/>
  <c r="AM170"/>
  <c r="AM128"/>
  <c r="AM191"/>
  <c r="AM141"/>
  <c r="AM132"/>
  <c r="AM171" s="1"/>
  <c r="AM162"/>
  <c r="AM196"/>
  <c r="AM190"/>
  <c r="AM201"/>
  <c r="T62"/>
  <c r="T156" i="12" s="1"/>
  <c r="T112" i="9"/>
  <c r="AZ457"/>
  <c r="AZ456"/>
  <c r="AZ176" i="12" s="1"/>
  <c r="AZ183" s="1"/>
  <c r="AZ206" s="1"/>
  <c r="AZ208" s="1"/>
  <c r="AZ428" i="9"/>
  <c r="AZ172" i="12" s="1"/>
  <c r="AZ429" i="9"/>
  <c r="AI70" i="33"/>
  <c r="AI129" i="9"/>
  <c r="AI154" s="1"/>
  <c r="AI53"/>
  <c r="AI92"/>
  <c r="AI93"/>
  <c r="AI201"/>
  <c r="AI101"/>
  <c r="AI102"/>
  <c r="AI132"/>
  <c r="AI171" s="1"/>
  <c r="AI56"/>
  <c r="AI445"/>
  <c r="AI455"/>
  <c r="AI427"/>
  <c r="AI438"/>
  <c r="L288" i="12"/>
  <c r="L150"/>
  <c r="L112" i="9"/>
  <c r="L62"/>
  <c r="L156" i="12" s="1"/>
  <c r="L77" i="9"/>
  <c r="L227" i="12"/>
  <c r="L101"/>
  <c r="L31"/>
  <c r="BI153"/>
  <c r="BI291"/>
  <c r="BI94" i="9"/>
  <c r="BI103"/>
  <c r="AF309" i="12"/>
  <c r="AF322" s="1"/>
  <c r="AF323" s="1"/>
  <c r="AF129" i="9"/>
  <c r="AF154" s="1"/>
  <c r="AF132"/>
  <c r="AF171" s="1"/>
  <c r="AF141"/>
  <c r="AF192" s="1"/>
  <c r="AF128"/>
  <c r="AF135"/>
  <c r="AF162"/>
  <c r="AF153"/>
  <c r="AF170"/>
  <c r="AF191"/>
  <c r="AF179"/>
  <c r="AC63" i="12"/>
  <c r="AC119"/>
  <c r="AJ205" i="9"/>
  <c r="AJ115"/>
  <c r="AJ198"/>
  <c r="AJ75"/>
  <c r="AJ77" s="1"/>
  <c r="AJ48" i="33"/>
  <c r="X456" i="9"/>
  <c r="X176" i="12" s="1"/>
  <c r="X183" s="1"/>
  <c r="X206" s="1"/>
  <c r="X208" s="1"/>
  <c r="X457" i="9"/>
  <c r="X446"/>
  <c r="X447"/>
  <c r="I327" i="12"/>
  <c r="I356" s="1"/>
  <c r="I358" s="1"/>
  <c r="I338"/>
  <c r="I162" i="9"/>
  <c r="I170"/>
  <c r="I128"/>
  <c r="I129"/>
  <c r="I154" s="1"/>
  <c r="I309" i="12"/>
  <c r="I322" s="1"/>
  <c r="I323" s="1"/>
  <c r="I153" i="9"/>
  <c r="I141"/>
  <c r="I192" s="1"/>
  <c r="I179"/>
  <c r="I132"/>
  <c r="I171" s="1"/>
  <c r="I191"/>
  <c r="I135"/>
  <c r="I196"/>
  <c r="I257" i="12"/>
  <c r="I265" s="1"/>
  <c r="I341"/>
  <c r="I349" s="1"/>
  <c r="I351" s="1"/>
  <c r="I362" s="1"/>
  <c r="I365" s="1"/>
  <c r="I65" i="26" s="1"/>
  <c r="I65" i="33" s="1"/>
  <c r="I190" i="12"/>
  <c r="I198" s="1"/>
  <c r="I200" s="1"/>
  <c r="I211" s="1"/>
  <c r="I214" s="1"/>
  <c r="U275"/>
  <c r="U110" i="9"/>
  <c r="U111"/>
  <c r="U84"/>
  <c r="U85"/>
  <c r="U98" i="29"/>
  <c r="U116" s="1"/>
  <c r="U24"/>
  <c r="U432" i="9"/>
  <c r="U153" i="12"/>
  <c r="U291"/>
  <c r="U94" i="9"/>
  <c r="U62"/>
  <c r="U156" i="12" s="1"/>
  <c r="R445" i="9"/>
  <c r="R427"/>
  <c r="R455"/>
  <c r="R438"/>
  <c r="BQ149" i="30"/>
  <c r="BP149"/>
  <c r="Q29" i="29"/>
  <c r="Q430" i="9"/>
  <c r="Q431" s="1"/>
  <c r="I101" i="12"/>
  <c r="I227"/>
  <c r="I199" i="9"/>
  <c r="I31" i="12"/>
  <c r="M229"/>
  <c r="M245" s="1"/>
  <c r="M246" s="1"/>
  <c r="M247" s="1"/>
  <c r="M248" s="1"/>
  <c r="M59" i="26" s="1"/>
  <c r="M59" i="33" s="1"/>
  <c r="M33" i="12"/>
  <c r="M58" s="1"/>
  <c r="M59" s="1"/>
  <c r="M60" s="1"/>
  <c r="M61" s="1"/>
  <c r="M48" i="26" s="1"/>
  <c r="M48" i="33" s="1"/>
  <c r="M153" i="12"/>
  <c r="M291"/>
  <c r="M94" i="9"/>
  <c r="M103"/>
  <c r="M62"/>
  <c r="M156" i="12" s="1"/>
  <c r="M112" i="9"/>
  <c r="Z75"/>
  <c r="Z76"/>
  <c r="Z92"/>
  <c r="Z93"/>
  <c r="Z432"/>
  <c r="Z98" i="29"/>
  <c r="Z116" s="1"/>
  <c r="Z24"/>
  <c r="Z445" i="9"/>
  <c r="Z438"/>
  <c r="Z455"/>
  <c r="Z427"/>
  <c r="Z53"/>
  <c r="T229" i="12"/>
  <c r="T245" s="1"/>
  <c r="T246" s="1"/>
  <c r="T247" s="1"/>
  <c r="T248" s="1"/>
  <c r="T59" i="26" s="1"/>
  <c r="T59" i="33" s="1"/>
  <c r="T33" i="12"/>
  <c r="T58" s="1"/>
  <c r="T59" s="1"/>
  <c r="T60" s="1"/>
  <c r="T61" s="1"/>
  <c r="T48" i="26" s="1"/>
  <c r="T48" i="33" s="1"/>
  <c r="AO183" i="9"/>
  <c r="T339" i="12"/>
  <c r="BF149" i="30"/>
  <c r="AJ183" i="9"/>
  <c r="AZ191"/>
  <c r="AZ170"/>
  <c r="AZ171"/>
  <c r="Z51" i="12"/>
  <c r="Z52" s="1"/>
  <c r="Z53" s="1"/>
  <c r="Z47" i="26" s="1"/>
  <c r="J47" i="34" s="1"/>
  <c r="BH149" i="30"/>
  <c r="BG149"/>
  <c r="BS85"/>
  <c r="U118" i="34" s="1"/>
  <c r="BI361" i="12"/>
  <c r="BI364" s="1"/>
  <c r="AF201" i="9"/>
  <c r="M74"/>
  <c r="AG275" i="12"/>
  <c r="AG295"/>
  <c r="Q338"/>
  <c r="Q327"/>
  <c r="Q356" s="1"/>
  <c r="Q358" s="1"/>
  <c r="Q190" i="9"/>
  <c r="Q317" i="12" s="1"/>
  <c r="Q334" s="1"/>
  <c r="Q357" s="1"/>
  <c r="Q359" s="1"/>
  <c r="Q362" s="1"/>
  <c r="Q365" s="1"/>
  <c r="Q65" i="26" s="1"/>
  <c r="Q65" i="33" s="1"/>
  <c r="Q201" i="9"/>
  <c r="Q178"/>
  <c r="Q183" s="1"/>
  <c r="Q204"/>
  <c r="BD205"/>
  <c r="BD115"/>
  <c r="BD288" i="12"/>
  <c r="BD150"/>
  <c r="AK191" i="9"/>
  <c r="AK135"/>
  <c r="AK141"/>
  <c r="AK192" s="1"/>
  <c r="AK309" i="12"/>
  <c r="AK322" s="1"/>
  <c r="AK323" s="1"/>
  <c r="AK324" s="1"/>
  <c r="AK325" s="1"/>
  <c r="AK69" i="26" s="1"/>
  <c r="AK128" i="9"/>
  <c r="AK153"/>
  <c r="AK129"/>
  <c r="AK154" s="1"/>
  <c r="AK162"/>
  <c r="AK132"/>
  <c r="AK171" s="1"/>
  <c r="AK170"/>
  <c r="AK179"/>
  <c r="AY119" i="12"/>
  <c r="AY63"/>
  <c r="AY115" i="9"/>
  <c r="AY205"/>
  <c r="BE348" i="12"/>
  <c r="BE350" s="1"/>
  <c r="BE361" s="1"/>
  <c r="BE364" s="1"/>
  <c r="BE339"/>
  <c r="AS288"/>
  <c r="AS150"/>
  <c r="AS291"/>
  <c r="AS103" i="9"/>
  <c r="AS94"/>
  <c r="AS153" i="12"/>
  <c r="AS202" i="9"/>
  <c r="AS233" i="12"/>
  <c r="AS250" s="1"/>
  <c r="AS273" s="1"/>
  <c r="AS205" i="9"/>
  <c r="AS115"/>
  <c r="BF291" i="12"/>
  <c r="BF103" i="9"/>
  <c r="BF153" i="12"/>
  <c r="BF94" i="9"/>
  <c r="BF112"/>
  <c r="BF62"/>
  <c r="BF156" i="12" s="1"/>
  <c r="BF150"/>
  <c r="BF288"/>
  <c r="BF233"/>
  <c r="BF250" s="1"/>
  <c r="BF273" s="1"/>
  <c r="BF202" i="9"/>
  <c r="AQ275" i="12"/>
  <c r="CM48" i="33"/>
  <c r="AH48"/>
  <c r="AH205" i="9"/>
  <c r="AH115"/>
  <c r="AH62"/>
  <c r="AH156" i="12" s="1"/>
  <c r="AH112" i="9"/>
  <c r="CM47" i="33"/>
  <c r="AH47"/>
  <c r="P63" i="12"/>
  <c r="P119"/>
  <c r="P205" i="9"/>
  <c r="P115"/>
  <c r="AV69" i="33"/>
  <c r="AV78" i="26"/>
  <c r="AV78" i="33" s="1"/>
  <c r="AD317" i="12"/>
  <c r="AD334" s="1"/>
  <c r="AD357" s="1"/>
  <c r="AD359" s="1"/>
  <c r="AD202" i="9"/>
  <c r="AR70" i="33"/>
  <c r="AR79" i="26"/>
  <c r="AR79" i="33" s="1"/>
  <c r="AR190" i="9"/>
  <c r="AR317" i="12" s="1"/>
  <c r="AR334" s="1"/>
  <c r="AR357" s="1"/>
  <c r="AR359" s="1"/>
  <c r="AR201" i="9"/>
  <c r="AR132"/>
  <c r="AR171" s="1"/>
  <c r="AR153"/>
  <c r="AR129"/>
  <c r="AR154" s="1"/>
  <c r="AR309" i="12"/>
  <c r="AR322" s="1"/>
  <c r="AR323" s="1"/>
  <c r="AR324" s="1"/>
  <c r="AR325" s="1"/>
  <c r="AR69" i="26" s="1"/>
  <c r="AR191" i="9"/>
  <c r="AR135"/>
  <c r="AR128"/>
  <c r="AR162"/>
  <c r="AR179"/>
  <c r="AR141"/>
  <c r="AR170"/>
  <c r="AR196"/>
  <c r="BA70" i="33"/>
  <c r="BA78" i="26"/>
  <c r="BA78" i="33" s="1"/>
  <c r="BA69"/>
  <c r="R233" i="12"/>
  <c r="R250" s="1"/>
  <c r="R273" s="1"/>
  <c r="X70" i="33"/>
  <c r="X309" i="12"/>
  <c r="X322" s="1"/>
  <c r="X323" s="1"/>
  <c r="X324" s="1"/>
  <c r="X325" s="1"/>
  <c r="X69" i="26" s="1"/>
  <c r="X153" i="9"/>
  <c r="X170"/>
  <c r="X162"/>
  <c r="X129"/>
  <c r="X141"/>
  <c r="X132"/>
  <c r="X171" s="1"/>
  <c r="X191"/>
  <c r="X196"/>
  <c r="X179"/>
  <c r="X135"/>
  <c r="X128"/>
  <c r="H198"/>
  <c r="H75"/>
  <c r="H77" s="1"/>
  <c r="H76"/>
  <c r="AK103"/>
  <c r="AK153" i="12"/>
  <c r="AK291"/>
  <c r="AK94" i="9"/>
  <c r="AK58" i="33"/>
  <c r="AK115" i="9"/>
  <c r="AK205"/>
  <c r="O341" i="12"/>
  <c r="O349" s="1"/>
  <c r="O351" s="1"/>
  <c r="O257"/>
  <c r="O265" s="1"/>
  <c r="O190"/>
  <c r="O198" s="1"/>
  <c r="O200" s="1"/>
  <c r="O211" s="1"/>
  <c r="O214" s="1"/>
  <c r="AO119"/>
  <c r="AO63"/>
  <c r="AG105"/>
  <c r="AG157" s="1"/>
  <c r="AG37"/>
  <c r="BE205" i="9"/>
  <c r="BE115"/>
  <c r="AV119" i="12"/>
  <c r="AV63"/>
  <c r="AV202" i="9"/>
  <c r="AV233" i="12"/>
  <c r="AV250" s="1"/>
  <c r="AV273" s="1"/>
  <c r="W190" i="9"/>
  <c r="W317" i="12" s="1"/>
  <c r="W334" s="1"/>
  <c r="W357" s="1"/>
  <c r="W359" s="1"/>
  <c r="W201" i="9"/>
  <c r="W70" i="33"/>
  <c r="AB69"/>
  <c r="AB78" i="26"/>
  <c r="AB205" i="9"/>
  <c r="AB183"/>
  <c r="BB183"/>
  <c r="W205"/>
  <c r="O327" i="12"/>
  <c r="O356" s="1"/>
  <c r="O358" s="1"/>
  <c r="O338"/>
  <c r="O178" i="9"/>
  <c r="O204"/>
  <c r="O309" i="12"/>
  <c r="O322" s="1"/>
  <c r="O323" s="1"/>
  <c r="O324" s="1"/>
  <c r="O325" s="1"/>
  <c r="O69" i="26" s="1"/>
  <c r="O162" i="9"/>
  <c r="O191"/>
  <c r="O128"/>
  <c r="O135"/>
  <c r="O132"/>
  <c r="O171" s="1"/>
  <c r="O153"/>
  <c r="O129"/>
  <c r="O154" s="1"/>
  <c r="O170"/>
  <c r="O179"/>
  <c r="O141"/>
  <c r="O196"/>
  <c r="AY62"/>
  <c r="AY156" i="12" s="1"/>
  <c r="AY112" i="9"/>
  <c r="AY150" i="12"/>
  <c r="AY288"/>
  <c r="AY233"/>
  <c r="AY250" s="1"/>
  <c r="AY273" s="1"/>
  <c r="AY202" i="9"/>
  <c r="V291" i="12"/>
  <c r="V94" i="9"/>
  <c r="V153" i="12"/>
  <c r="V103" i="9"/>
  <c r="AK201"/>
  <c r="AK196"/>
  <c r="W183"/>
  <c r="AN54" i="26"/>
  <c r="AN54" i="33" s="1"/>
  <c r="Q179" i="9"/>
  <c r="Q309" i="12"/>
  <c r="Q322" s="1"/>
  <c r="Q323" s="1"/>
  <c r="Q324" s="1"/>
  <c r="Q325" s="1"/>
  <c r="Q69" i="26" s="1"/>
  <c r="Q135" i="9"/>
  <c r="Q141"/>
  <c r="Q132"/>
  <c r="Q171" s="1"/>
  <c r="Q128"/>
  <c r="Q191"/>
  <c r="Q153"/>
  <c r="Q129"/>
  <c r="Q154" s="1"/>
  <c r="Q162"/>
  <c r="Q170"/>
  <c r="Q196"/>
  <c r="Q70" i="33"/>
  <c r="Q79" i="26"/>
  <c r="Q79" i="33" s="1"/>
  <c r="BD233" i="12"/>
  <c r="BD250" s="1"/>
  <c r="BD273" s="1"/>
  <c r="BD202" i="9"/>
  <c r="BD62"/>
  <c r="BD156" i="12" s="1"/>
  <c r="BD112" i="9"/>
  <c r="BD153" i="12"/>
  <c r="BD291"/>
  <c r="BD292" s="1"/>
  <c r="BD103" i="9"/>
  <c r="BD94"/>
  <c r="AK70" i="33"/>
  <c r="DK70"/>
  <c r="AK338" i="12"/>
  <c r="AK327"/>
  <c r="AK356" s="1"/>
  <c r="AK358" s="1"/>
  <c r="AY59" i="33"/>
  <c r="AY79" i="26"/>
  <c r="AY79" i="33" s="1"/>
  <c r="AS62" i="9"/>
  <c r="AS156" i="12" s="1"/>
  <c r="AS112" i="9"/>
  <c r="V119" i="12"/>
  <c r="V63"/>
  <c r="V233"/>
  <c r="V250" s="1"/>
  <c r="V273" s="1"/>
  <c r="V75" i="9"/>
  <c r="V77" s="1"/>
  <c r="AH59" i="33"/>
  <c r="AH288" i="12"/>
  <c r="AH150"/>
  <c r="AH94" i="9"/>
  <c r="AH103"/>
  <c r="AH291" i="12"/>
  <c r="AH153"/>
  <c r="AH58" i="33"/>
  <c r="P75" i="9"/>
  <c r="P198"/>
  <c r="AV180"/>
  <c r="AV138"/>
  <c r="AR178"/>
  <c r="AR183" s="1"/>
  <c r="AR204"/>
  <c r="AR327" i="12"/>
  <c r="AR356" s="1"/>
  <c r="AR358" s="1"/>
  <c r="AR338"/>
  <c r="X178" i="9"/>
  <c r="X204"/>
  <c r="X152"/>
  <c r="X190"/>
  <c r="X201"/>
  <c r="H63" i="12"/>
  <c r="H119"/>
  <c r="AK233"/>
  <c r="AK250" s="1"/>
  <c r="AK273" s="1"/>
  <c r="AK202" i="9"/>
  <c r="AK62"/>
  <c r="AK156" i="12" s="1"/>
  <c r="AK112" i="9"/>
  <c r="AK288" i="12"/>
  <c r="AK150"/>
  <c r="AK47" i="33"/>
  <c r="DK47"/>
  <c r="AZ205" i="9"/>
  <c r="AZ115"/>
  <c r="AZ202"/>
  <c r="AZ233" i="12"/>
  <c r="AZ250" s="1"/>
  <c r="AZ273" s="1"/>
  <c r="AO115" i="9"/>
  <c r="AO205"/>
  <c r="BE119" i="12"/>
  <c r="BE63"/>
  <c r="AV75" i="9"/>
  <c r="AV198"/>
  <c r="AV76"/>
  <c r="W327" i="12"/>
  <c r="W356" s="1"/>
  <c r="W358" s="1"/>
  <c r="W338"/>
  <c r="W179" i="9"/>
  <c r="W170"/>
  <c r="W162"/>
  <c r="W129"/>
  <c r="W154" s="1"/>
  <c r="W141"/>
  <c r="W132"/>
  <c r="W171" s="1"/>
  <c r="W309" i="12"/>
  <c r="W322" s="1"/>
  <c r="W323" s="1"/>
  <c r="W324" s="1"/>
  <c r="W325" s="1"/>
  <c r="W69" i="26" s="1"/>
  <c r="W191" i="9"/>
  <c r="W128"/>
  <c r="W153"/>
  <c r="W135"/>
  <c r="W196"/>
  <c r="AE180"/>
  <c r="AE138"/>
  <c r="AB180"/>
  <c r="AB138"/>
  <c r="U69" i="33"/>
  <c r="U78" i="26"/>
  <c r="U78" i="33" s="1"/>
  <c r="U180" i="9"/>
  <c r="U138"/>
  <c r="J119" i="12"/>
  <c r="J63"/>
  <c r="J233"/>
  <c r="J250" s="1"/>
  <c r="J273" s="1"/>
  <c r="O190" i="9"/>
  <c r="O201"/>
  <c r="O70" i="33"/>
  <c r="O79" i="26"/>
  <c r="O79" i="33" s="1"/>
  <c r="BD75" i="9"/>
  <c r="BD77" s="1"/>
  <c r="BD198"/>
  <c r="BD119" i="12"/>
  <c r="BD63"/>
  <c r="AY75" i="9"/>
  <c r="AY198"/>
  <c r="AY94"/>
  <c r="AY103"/>
  <c r="AY291" i="12"/>
  <c r="AY153"/>
  <c r="AY58" i="33"/>
  <c r="AY78" i="26"/>
  <c r="AY78" i="33" s="1"/>
  <c r="BE138" i="9"/>
  <c r="BE180"/>
  <c r="AS119" i="12"/>
  <c r="AS63"/>
  <c r="AS198" i="9"/>
  <c r="AS75"/>
  <c r="V62"/>
  <c r="V156" i="12" s="1"/>
  <c r="V112" i="9"/>
  <c r="V288" i="12"/>
  <c r="V150"/>
  <c r="V115" i="9"/>
  <c r="BF198"/>
  <c r="BF75"/>
  <c r="AH119" i="12"/>
  <c r="AH63"/>
  <c r="P62" i="9"/>
  <c r="P156" i="12" s="1"/>
  <c r="P112" i="9"/>
  <c r="P291" i="12"/>
  <c r="P153"/>
  <c r="P94" i="9"/>
  <c r="P103"/>
  <c r="AP152"/>
  <c r="AP198"/>
  <c r="AP70" i="33"/>
  <c r="AP170" i="9"/>
  <c r="AP153"/>
  <c r="AP135"/>
  <c r="AP132"/>
  <c r="AP171" s="1"/>
  <c r="AP128"/>
  <c r="AP309" i="12"/>
  <c r="AP322" s="1"/>
  <c r="AP323" s="1"/>
  <c r="AP324" s="1"/>
  <c r="AP325" s="1"/>
  <c r="AP69" i="26" s="1"/>
  <c r="AP191" i="9"/>
  <c r="AP162"/>
  <c r="AP129"/>
  <c r="AP141"/>
  <c r="AP179"/>
  <c r="AP196"/>
  <c r="L178"/>
  <c r="L204"/>
  <c r="L152"/>
  <c r="L198"/>
  <c r="L190"/>
  <c r="L201"/>
  <c r="L196"/>
  <c r="L128"/>
  <c r="L135"/>
  <c r="L141"/>
  <c r="L179"/>
  <c r="L162"/>
  <c r="L170"/>
  <c r="L153"/>
  <c r="L309" i="12"/>
  <c r="L322" s="1"/>
  <c r="L323" s="1"/>
  <c r="L324" s="1"/>
  <c r="L325" s="1"/>
  <c r="L69" i="26" s="1"/>
  <c r="L132" i="9"/>
  <c r="L171" s="1"/>
  <c r="L191"/>
  <c r="L129"/>
  <c r="AD183"/>
  <c r="AD205"/>
  <c r="AD311" i="12"/>
  <c r="AD199" i="9"/>
  <c r="O105" i="12"/>
  <c r="O157" s="1"/>
  <c r="O37"/>
  <c r="O73"/>
  <c r="O75" s="1"/>
  <c r="O127"/>
  <c r="AK204" i="9"/>
  <c r="V76"/>
  <c r="P76"/>
  <c r="O198"/>
  <c r="R115"/>
  <c r="H233" i="12"/>
  <c r="H250" s="1"/>
  <c r="H273" s="1"/>
  <c r="H202" i="9"/>
  <c r="H150" i="12"/>
  <c r="H288"/>
  <c r="H291"/>
  <c r="H103" i="9"/>
  <c r="H153" i="12"/>
  <c r="H94" i="9"/>
  <c r="H115"/>
  <c r="H205"/>
  <c r="AK198"/>
  <c r="AK75"/>
  <c r="AK48" i="33"/>
  <c r="AO79" i="26"/>
  <c r="AO79" i="33" s="1"/>
  <c r="AO70"/>
  <c r="Z152" i="9"/>
  <c r="Z198"/>
  <c r="Z178"/>
  <c r="Z204"/>
  <c r="AR29" i="29"/>
  <c r="AR433" i="9"/>
  <c r="AR430"/>
  <c r="AR431" s="1"/>
  <c r="O29" i="29"/>
  <c r="O433" i="9"/>
  <c r="O430"/>
  <c r="O431" s="1"/>
  <c r="O181" i="12"/>
  <c r="O205" s="1"/>
  <c r="O207" s="1"/>
  <c r="O187"/>
  <c r="AZ153"/>
  <c r="AZ103" i="9"/>
  <c r="AZ94"/>
  <c r="AZ291" i="12"/>
  <c r="AZ62" i="9"/>
  <c r="AZ156" i="12" s="1"/>
  <c r="AZ112" i="9"/>
  <c r="AZ58" i="33"/>
  <c r="AZ78" i="26"/>
  <c r="AZ78" i="33" s="1"/>
  <c r="AZ119" i="12"/>
  <c r="AZ63"/>
  <c r="AZ198" i="9"/>
  <c r="AZ75"/>
  <c r="AZ59" i="33"/>
  <c r="AZ79" i="26"/>
  <c r="AZ79" i="33" s="1"/>
  <c r="AO150" i="12"/>
  <c r="AO288"/>
  <c r="AO62" i="9"/>
  <c r="AO156" i="12" s="1"/>
  <c r="AO112" i="9"/>
  <c r="AO198"/>
  <c r="AO75"/>
  <c r="BE291" i="12"/>
  <c r="BE103" i="9"/>
  <c r="BE153" i="12"/>
  <c r="BE94" i="9"/>
  <c r="AV115"/>
  <c r="AV205"/>
  <c r="AV112"/>
  <c r="AV62"/>
  <c r="AV156" i="12" s="1"/>
  <c r="AV291"/>
  <c r="AV153"/>
  <c r="AV94" i="9"/>
  <c r="AV103"/>
  <c r="BB317" i="12"/>
  <c r="BB334" s="1"/>
  <c r="BB357" s="1"/>
  <c r="BB359" s="1"/>
  <c r="BB311"/>
  <c r="W233"/>
  <c r="W250" s="1"/>
  <c r="W273" s="1"/>
  <c r="W202" i="9"/>
  <c r="AS129"/>
  <c r="AS154" s="1"/>
  <c r="AS132"/>
  <c r="AS171" s="1"/>
  <c r="AS135"/>
  <c r="AS153"/>
  <c r="AS128"/>
  <c r="AS170"/>
  <c r="AS191"/>
  <c r="AS162"/>
  <c r="AS141"/>
  <c r="AS192" s="1"/>
  <c r="AS309" i="12"/>
  <c r="AS322" s="1"/>
  <c r="AS323" s="1"/>
  <c r="AS324" s="1"/>
  <c r="AS325" s="1"/>
  <c r="AS69" i="26" s="1"/>
  <c r="AS179" i="9"/>
  <c r="AS327" i="12"/>
  <c r="AS356" s="1"/>
  <c r="AS358" s="1"/>
  <c r="AS338"/>
  <c r="BF327"/>
  <c r="BF356" s="1"/>
  <c r="BF358" s="1"/>
  <c r="BF338"/>
  <c r="AU152" i="9"/>
  <c r="AU198"/>
  <c r="AU309" i="12"/>
  <c r="AU322" s="1"/>
  <c r="AU323" s="1"/>
  <c r="AU324" s="1"/>
  <c r="AU325" s="1"/>
  <c r="AU69" i="26" s="1"/>
  <c r="AU128" i="9"/>
  <c r="AU162"/>
  <c r="AU129"/>
  <c r="AU179"/>
  <c r="AU153"/>
  <c r="AU132"/>
  <c r="AU171" s="1"/>
  <c r="AU170"/>
  <c r="AU191"/>
  <c r="AU141"/>
  <c r="AU135"/>
  <c r="AU196"/>
  <c r="U311" i="12"/>
  <c r="U199" i="9"/>
  <c r="U317" i="12"/>
  <c r="U334" s="1"/>
  <c r="U357" s="1"/>
  <c r="U359" s="1"/>
  <c r="U202" i="9"/>
  <c r="U183"/>
  <c r="U205"/>
  <c r="J115"/>
  <c r="O295" i="12"/>
  <c r="O275"/>
  <c r="AH327"/>
  <c r="AH356" s="1"/>
  <c r="AH358" s="1"/>
  <c r="AH338"/>
  <c r="BA428" i="9"/>
  <c r="BA172" i="12" s="1"/>
  <c r="BA429" i="9"/>
  <c r="BA446"/>
  <c r="BA447"/>
  <c r="BA291" i="12"/>
  <c r="BA94" i="9"/>
  <c r="BA153" i="12"/>
  <c r="BA103" i="9"/>
  <c r="BA31" i="12"/>
  <c r="BA101"/>
  <c r="BA199" i="9"/>
  <c r="BA227" i="12"/>
  <c r="Q119"/>
  <c r="Q63"/>
  <c r="Q115" i="9"/>
  <c r="Q205"/>
  <c r="AM105" i="12"/>
  <c r="AM37"/>
  <c r="AM275"/>
  <c r="AM295"/>
  <c r="BG115" i="9"/>
  <c r="BG205"/>
  <c r="BG62"/>
  <c r="BG156" i="12" s="1"/>
  <c r="BG112" i="9"/>
  <c r="H338" i="12"/>
  <c r="H327"/>
  <c r="H356" s="1"/>
  <c r="H358" s="1"/>
  <c r="S190" i="9"/>
  <c r="S201"/>
  <c r="S178"/>
  <c r="S204"/>
  <c r="P327" i="12"/>
  <c r="P356" s="1"/>
  <c r="P358" s="1"/>
  <c r="P338"/>
  <c r="P70" i="33"/>
  <c r="P79" i="26"/>
  <c r="P79" i="33" s="1"/>
  <c r="AR115" i="9"/>
  <c r="AR62"/>
  <c r="AR156" i="12" s="1"/>
  <c r="AR112" i="9"/>
  <c r="AR150" i="12"/>
  <c r="AR288"/>
  <c r="AE75" i="9"/>
  <c r="AE77" s="1"/>
  <c r="AE198"/>
  <c r="AE119" i="12"/>
  <c r="AE63"/>
  <c r="AW153"/>
  <c r="AW94" i="9"/>
  <c r="AW103"/>
  <c r="AW291" i="12"/>
  <c r="AW150"/>
  <c r="AW288"/>
  <c r="BA229"/>
  <c r="BA245" s="1"/>
  <c r="BA246" s="1"/>
  <c r="BA247" s="1"/>
  <c r="BA248" s="1"/>
  <c r="BA59" i="26" s="1"/>
  <c r="BA59" i="33" s="1"/>
  <c r="BA33" i="12"/>
  <c r="BA58" s="1"/>
  <c r="BA59" s="1"/>
  <c r="BA60" s="1"/>
  <c r="BA61" s="1"/>
  <c r="BA48" i="26" s="1"/>
  <c r="BA48" i="33" s="1"/>
  <c r="Q233" i="12"/>
  <c r="Q250" s="1"/>
  <c r="Q273" s="1"/>
  <c r="Q202" i="9"/>
  <c r="Q75"/>
  <c r="Q77" s="1"/>
  <c r="Q198"/>
  <c r="Q62"/>
  <c r="Q156" i="12" s="1"/>
  <c r="Q112" i="9"/>
  <c r="Q150" i="12"/>
  <c r="Q288"/>
  <c r="BD309"/>
  <c r="BD322" s="1"/>
  <c r="BD323" s="1"/>
  <c r="BD324" s="1"/>
  <c r="BD325" s="1"/>
  <c r="BD69" i="26" s="1"/>
  <c r="BD162" i="9"/>
  <c r="BD191"/>
  <c r="BD135"/>
  <c r="BD170"/>
  <c r="BD179"/>
  <c r="BD128"/>
  <c r="BD153"/>
  <c r="BD141"/>
  <c r="BD192" s="1"/>
  <c r="BD129"/>
  <c r="BD154" s="1"/>
  <c r="BD132"/>
  <c r="BD171" s="1"/>
  <c r="BD70" i="33"/>
  <c r="BD79" i="26"/>
  <c r="BD79" i="33" s="1"/>
  <c r="BG75" i="9"/>
  <c r="BG77" s="1"/>
  <c r="BG198"/>
  <c r="AN70" i="33"/>
  <c r="AN79" i="26"/>
  <c r="AN79" i="33" s="1"/>
  <c r="AN204" i="9"/>
  <c r="AN178"/>
  <c r="N59" i="33"/>
  <c r="N79" i="26"/>
  <c r="N79" i="33" s="1"/>
  <c r="N150" i="12"/>
  <c r="N288"/>
  <c r="N62" i="9"/>
  <c r="N156" i="12" s="1"/>
  <c r="N112" i="9"/>
  <c r="AT115"/>
  <c r="AT233" i="12"/>
  <c r="AT250" s="1"/>
  <c r="AT273" s="1"/>
  <c r="AR119"/>
  <c r="AR63"/>
  <c r="AR202" i="9"/>
  <c r="AR233" i="12"/>
  <c r="AR250" s="1"/>
  <c r="AR273" s="1"/>
  <c r="AW70" i="33"/>
  <c r="AW79" i="26"/>
  <c r="AW79" i="33" s="1"/>
  <c r="AE291" i="12"/>
  <c r="AE103" i="9"/>
  <c r="AE94"/>
  <c r="AE153" i="12"/>
  <c r="AE288"/>
  <c r="AE150"/>
  <c r="AW202" i="9"/>
  <c r="AW233" i="12"/>
  <c r="AW250" s="1"/>
  <c r="AW273" s="1"/>
  <c r="AW75" i="9"/>
  <c r="AW198"/>
  <c r="BA35" i="12"/>
  <c r="BA231"/>
  <c r="BA103"/>
  <c r="BA233"/>
  <c r="BA250" s="1"/>
  <c r="BA273" s="1"/>
  <c r="BA202" i="9"/>
  <c r="O450"/>
  <c r="AO201"/>
  <c r="AQ278" i="12"/>
  <c r="BF63"/>
  <c r="BF119"/>
  <c r="BF205" i="9"/>
  <c r="BF115"/>
  <c r="AH202"/>
  <c r="AH233" i="12"/>
  <c r="AH250" s="1"/>
  <c r="AH273" s="1"/>
  <c r="AH75" i="9"/>
  <c r="AH77" s="1"/>
  <c r="AH198"/>
  <c r="P288" i="12"/>
  <c r="P77" i="9"/>
  <c r="P150" i="12"/>
  <c r="P233"/>
  <c r="P250" s="1"/>
  <c r="P273" s="1"/>
  <c r="P202" i="9"/>
  <c r="AP178"/>
  <c r="AP204"/>
  <c r="AP190"/>
  <c r="AP201"/>
  <c r="L79" i="26"/>
  <c r="L79" i="33" s="1"/>
  <c r="L70"/>
  <c r="AV348" i="12"/>
  <c r="AV350" s="1"/>
  <c r="AV361" s="1"/>
  <c r="AV364" s="1"/>
  <c r="AV339"/>
  <c r="AD180" i="9"/>
  <c r="AD138"/>
  <c r="O101" i="12"/>
  <c r="O199" i="9"/>
  <c r="O31" i="12"/>
  <c r="O227"/>
  <c r="H62" i="9"/>
  <c r="H156" i="12" s="1"/>
  <c r="H112" i="9"/>
  <c r="AK63" i="12"/>
  <c r="AK119"/>
  <c r="AO338"/>
  <c r="AO327"/>
  <c r="AO356" s="1"/>
  <c r="AO358" s="1"/>
  <c r="AO141" i="9"/>
  <c r="AO192" s="1"/>
  <c r="AO153"/>
  <c r="AO309" i="12"/>
  <c r="AO322" s="1"/>
  <c r="AO323" s="1"/>
  <c r="AO324" s="1"/>
  <c r="AO325" s="1"/>
  <c r="AO69" i="26" s="1"/>
  <c r="AO179" i="9"/>
  <c r="AO135"/>
  <c r="AO128"/>
  <c r="AO132"/>
  <c r="AO171" s="1"/>
  <c r="AO162"/>
  <c r="AO170"/>
  <c r="AO129"/>
  <c r="AO154" s="1"/>
  <c r="AO191"/>
  <c r="Z196"/>
  <c r="Z132"/>
  <c r="Z171" s="1"/>
  <c r="Z141"/>
  <c r="Z179"/>
  <c r="Z129"/>
  <c r="Z154" s="1"/>
  <c r="Z153"/>
  <c r="Z170"/>
  <c r="Z309" i="12"/>
  <c r="Z322" s="1"/>
  <c r="Z323" s="1"/>
  <c r="Z324" s="1"/>
  <c r="Z325" s="1"/>
  <c r="Z69" i="26" s="1"/>
  <c r="J69" i="34" s="1"/>
  <c r="Z128" i="9"/>
  <c r="Z191"/>
  <c r="Z135"/>
  <c r="Z162"/>
  <c r="Z190"/>
  <c r="Z201"/>
  <c r="BN70" i="33"/>
  <c r="Z70"/>
  <c r="AR257" i="12"/>
  <c r="AR265" s="1"/>
  <c r="AR190"/>
  <c r="AR198" s="1"/>
  <c r="AR200" s="1"/>
  <c r="AR211" s="1"/>
  <c r="AR214" s="1"/>
  <c r="AR341"/>
  <c r="AR349" s="1"/>
  <c r="AR351" s="1"/>
  <c r="AR362" s="1"/>
  <c r="AR365" s="1"/>
  <c r="AR65" i="26" s="1"/>
  <c r="AR65" i="33" s="1"/>
  <c r="AR181" i="12"/>
  <c r="AR205" s="1"/>
  <c r="AR207" s="1"/>
  <c r="AR187"/>
  <c r="AZ288"/>
  <c r="AZ150"/>
  <c r="AZ77" i="9"/>
  <c r="AO233" i="12"/>
  <c r="AO250" s="1"/>
  <c r="AO273" s="1"/>
  <c r="AO202" i="9"/>
  <c r="AO94"/>
  <c r="AO153" i="12"/>
  <c r="AO291"/>
  <c r="AO103" i="9"/>
  <c r="BE198"/>
  <c r="BE75"/>
  <c r="BE202"/>
  <c r="BE233" i="12"/>
  <c r="BE250" s="1"/>
  <c r="BE273" s="1"/>
  <c r="BE62" i="9"/>
  <c r="BE156" i="12" s="1"/>
  <c r="BE112" i="9"/>
  <c r="BE150" i="12"/>
  <c r="BE77" i="9"/>
  <c r="BE288" i="12"/>
  <c r="AV77" i="9"/>
  <c r="AV288" i="12"/>
  <c r="AV150"/>
  <c r="AB311"/>
  <c r="AB317"/>
  <c r="AB334" s="1"/>
  <c r="AB357" s="1"/>
  <c r="AB359" s="1"/>
  <c r="AB202" i="9"/>
  <c r="AS70" i="33"/>
  <c r="BF191" i="9"/>
  <c r="BF309" i="12"/>
  <c r="BF322" s="1"/>
  <c r="BF323" s="1"/>
  <c r="BF128" i="9"/>
  <c r="BF170"/>
  <c r="BF141"/>
  <c r="BF192" s="1"/>
  <c r="BF129"/>
  <c r="BF154" s="1"/>
  <c r="BF135"/>
  <c r="BF162"/>
  <c r="BF153"/>
  <c r="BF179"/>
  <c r="BF132"/>
  <c r="BF171" s="1"/>
  <c r="AQ105" i="12"/>
  <c r="AQ37"/>
  <c r="AU70" i="33"/>
  <c r="AU79" i="26"/>
  <c r="AU79" i="33" s="1"/>
  <c r="AU190" i="9"/>
  <c r="AU201"/>
  <c r="AU178"/>
  <c r="AU204"/>
  <c r="AH135"/>
  <c r="AH170"/>
  <c r="AH191"/>
  <c r="AH309" i="12"/>
  <c r="AH322" s="1"/>
  <c r="AH323" s="1"/>
  <c r="AH324" s="1"/>
  <c r="AH325" s="1"/>
  <c r="AH69" i="26" s="1"/>
  <c r="AH162" i="9"/>
  <c r="AH129"/>
  <c r="AH154" s="1"/>
  <c r="AH128"/>
  <c r="AH132"/>
  <c r="AH171" s="1"/>
  <c r="AH141"/>
  <c r="AH192" s="1"/>
  <c r="AH153"/>
  <c r="AH179"/>
  <c r="AH70" i="33"/>
  <c r="AH79" i="26"/>
  <c r="BA439" i="9"/>
  <c r="BA174" i="12" s="1"/>
  <c r="BA440" i="9"/>
  <c r="BA457"/>
  <c r="BA456"/>
  <c r="BA176" i="12" s="1"/>
  <c r="BA183" s="1"/>
  <c r="BA206" s="1"/>
  <c r="BA208" s="1"/>
  <c r="BG233"/>
  <c r="BG250" s="1"/>
  <c r="BG273" s="1"/>
  <c r="BG202" i="9"/>
  <c r="BG150" i="12"/>
  <c r="BG288"/>
  <c r="BG153"/>
  <c r="BG94" i="9"/>
  <c r="BG103"/>
  <c r="BG291" i="12"/>
  <c r="H179" i="9"/>
  <c r="H153"/>
  <c r="H132"/>
  <c r="H171" s="1"/>
  <c r="H170"/>
  <c r="H135"/>
  <c r="H128"/>
  <c r="H129"/>
  <c r="H154" s="1"/>
  <c r="H191"/>
  <c r="H309" i="12"/>
  <c r="H322" s="1"/>
  <c r="H323" s="1"/>
  <c r="H162" i="9"/>
  <c r="H141"/>
  <c r="H192" s="1"/>
  <c r="S70" i="33"/>
  <c r="S327" i="12"/>
  <c r="S356" s="1"/>
  <c r="S358" s="1"/>
  <c r="S338"/>
  <c r="S128" i="9"/>
  <c r="S162"/>
  <c r="S191"/>
  <c r="S141"/>
  <c r="S192" s="1"/>
  <c r="S135"/>
  <c r="S179"/>
  <c r="S309" i="12"/>
  <c r="S322" s="1"/>
  <c r="S323" s="1"/>
  <c r="S324" s="1"/>
  <c r="S325" s="1"/>
  <c r="S69" i="26" s="1"/>
  <c r="S132" i="9"/>
  <c r="S171" s="1"/>
  <c r="S170"/>
  <c r="S153"/>
  <c r="S129"/>
  <c r="S154" s="1"/>
  <c r="S196"/>
  <c r="N115"/>
  <c r="N205"/>
  <c r="N233" i="12"/>
  <c r="N250" s="1"/>
  <c r="N273" s="1"/>
  <c r="N202" i="9"/>
  <c r="N75"/>
  <c r="N198"/>
  <c r="P309" i="12"/>
  <c r="P322" s="1"/>
  <c r="P323" s="1"/>
  <c r="P324" s="1"/>
  <c r="P325" s="1"/>
  <c r="P69" i="26" s="1"/>
  <c r="P128" i="9"/>
  <c r="P162"/>
  <c r="P153"/>
  <c r="P191"/>
  <c r="P179"/>
  <c r="P135"/>
  <c r="P132"/>
  <c r="P171" s="1"/>
  <c r="P170"/>
  <c r="P141"/>
  <c r="P192" s="1"/>
  <c r="P129"/>
  <c r="P154" s="1"/>
  <c r="BG348" i="12"/>
  <c r="BG350" s="1"/>
  <c r="BG361" s="1"/>
  <c r="BG364" s="1"/>
  <c r="BG339"/>
  <c r="AR291"/>
  <c r="AR103" i="9"/>
  <c r="AR94"/>
  <c r="AR153" i="12"/>
  <c r="AW62" i="9"/>
  <c r="AW156" i="12" s="1"/>
  <c r="AW112" i="9"/>
  <c r="AW205"/>
  <c r="AW115"/>
  <c r="BA180"/>
  <c r="BA138"/>
  <c r="BA112"/>
  <c r="BA62"/>
  <c r="BA156" i="12" s="1"/>
  <c r="BA77" i="9"/>
  <c r="BA150" i="12"/>
  <c r="BA288"/>
  <c r="Q94" i="9"/>
  <c r="Q291" i="12"/>
  <c r="Q292" s="1"/>
  <c r="Q103" i="9"/>
  <c r="Q153" i="12"/>
  <c r="BD338"/>
  <c r="BD327"/>
  <c r="BD356" s="1"/>
  <c r="BD358" s="1"/>
  <c r="BG63"/>
  <c r="BG119"/>
  <c r="AN309"/>
  <c r="AN322" s="1"/>
  <c r="AN323" s="1"/>
  <c r="AN324" s="1"/>
  <c r="AN325" s="1"/>
  <c r="AN69" i="26" s="1"/>
  <c r="AN162" i="9"/>
  <c r="AN132"/>
  <c r="AN171" s="1"/>
  <c r="AN135"/>
  <c r="AN153"/>
  <c r="AN129"/>
  <c r="AN191"/>
  <c r="AN141"/>
  <c r="AN128"/>
  <c r="AN170"/>
  <c r="AN179"/>
  <c r="AN196"/>
  <c r="AN152"/>
  <c r="AN198"/>
  <c r="AN190"/>
  <c r="AN201"/>
  <c r="N63" i="12"/>
  <c r="N119"/>
  <c r="N103" i="9"/>
  <c r="N153" i="12"/>
  <c r="N291"/>
  <c r="N94" i="9"/>
  <c r="N58" i="33"/>
  <c r="N78" i="26"/>
  <c r="N78" i="33" s="1"/>
  <c r="M311" i="12"/>
  <c r="BG180" i="9"/>
  <c r="BG138"/>
  <c r="AR75"/>
  <c r="AR198"/>
  <c r="AW338" i="12"/>
  <c r="AW327"/>
  <c r="AW356" s="1"/>
  <c r="AW358" s="1"/>
  <c r="AW309"/>
  <c r="AW322" s="1"/>
  <c r="AW323" s="1"/>
  <c r="AW324" s="1"/>
  <c r="AW325" s="1"/>
  <c r="AW69" i="26" s="1"/>
  <c r="AW128" i="9"/>
  <c r="AW191"/>
  <c r="AW170"/>
  <c r="AW132"/>
  <c r="AW171" s="1"/>
  <c r="AW153"/>
  <c r="AW179"/>
  <c r="AW162"/>
  <c r="AW129"/>
  <c r="AW154" s="1"/>
  <c r="AW141"/>
  <c r="AW192" s="1"/>
  <c r="AW135"/>
  <c r="AE62"/>
  <c r="AE156" i="12" s="1"/>
  <c r="AE112" i="9"/>
  <c r="AE202"/>
  <c r="AE233" i="12"/>
  <c r="AE250" s="1"/>
  <c r="AE273" s="1"/>
  <c r="AE205" i="9"/>
  <c r="AE115"/>
  <c r="AW119" i="12"/>
  <c r="AW63"/>
  <c r="BA338"/>
  <c r="BA327"/>
  <c r="BA356" s="1"/>
  <c r="BA358" s="1"/>
  <c r="BA115" i="9"/>
  <c r="BA205"/>
  <c r="AD154"/>
  <c r="AD192"/>
  <c r="O77"/>
  <c r="AZ76"/>
  <c r="AO76"/>
  <c r="BF183"/>
  <c r="AH183"/>
  <c r="H183"/>
  <c r="N76"/>
  <c r="AE76"/>
  <c r="AW201"/>
  <c r="BW316" i="30" l="1"/>
  <c r="AJ315"/>
  <c r="Y149"/>
  <c r="AJ148"/>
  <c r="V149"/>
  <c r="U149"/>
  <c r="X149"/>
  <c r="T149"/>
  <c r="W149"/>
  <c r="S149"/>
  <c r="R149"/>
  <c r="X450" i="9"/>
  <c r="BE440"/>
  <c r="BE439"/>
  <c r="BE174" i="12" s="1"/>
  <c r="BE456" i="9"/>
  <c r="BE176" i="12" s="1"/>
  <c r="BE183" s="1"/>
  <c r="BE206" s="1"/>
  <c r="BE208" s="1"/>
  <c r="BE457" i="9"/>
  <c r="BE429"/>
  <c r="BE428"/>
  <c r="BE172" i="12" s="1"/>
  <c r="BE446" i="9"/>
  <c r="BE447"/>
  <c r="CR315" i="30"/>
  <c r="CG149"/>
  <c r="CR148"/>
  <c r="BD148"/>
  <c r="BD83"/>
  <c r="AJ83"/>
  <c r="Y316"/>
  <c r="CF149"/>
  <c r="CP316"/>
  <c r="CQ316"/>
  <c r="CD149"/>
  <c r="CL149"/>
  <c r="CO149"/>
  <c r="AB316"/>
  <c r="CN149"/>
  <c r="CK316"/>
  <c r="CJ316"/>
  <c r="CN316"/>
  <c r="CM316"/>
  <c r="CL316"/>
  <c r="CI316"/>
  <c r="CO316"/>
  <c r="CH316"/>
  <c r="BN316"/>
  <c r="BP316"/>
  <c r="BT316"/>
  <c r="BR316"/>
  <c r="BU316"/>
  <c r="BO316"/>
  <c r="BQ316"/>
  <c r="BS316"/>
  <c r="AS149"/>
  <c r="AO149"/>
  <c r="AQ149"/>
  <c r="AR149"/>
  <c r="AN149"/>
  <c r="AM149"/>
  <c r="AL149"/>
  <c r="AP149"/>
  <c r="CH149"/>
  <c r="CJ149"/>
  <c r="CI149"/>
  <c r="CK149"/>
  <c r="BZ316"/>
  <c r="H115" i="34" s="1"/>
  <c r="CD316" i="30"/>
  <c r="L115" i="34" s="1"/>
  <c r="CC316" i="30"/>
  <c r="CG316"/>
  <c r="S115" i="34" s="1"/>
  <c r="CE316" i="30"/>
  <c r="Q115" i="34" s="1"/>
  <c r="CF316" i="30"/>
  <c r="R115" i="34" s="1"/>
  <c r="CA316" i="30"/>
  <c r="I115" i="34" s="1"/>
  <c r="CB316" i="30"/>
  <c r="BZ149"/>
  <c r="CE149"/>
  <c r="CA149"/>
  <c r="CB149"/>
  <c r="AT84"/>
  <c r="AY85" s="1"/>
  <c r="Z84"/>
  <c r="Z85" s="1"/>
  <c r="S316"/>
  <c r="T316"/>
  <c r="BB84"/>
  <c r="BB85" s="1"/>
  <c r="AH84"/>
  <c r="AH85" s="1"/>
  <c r="AD316"/>
  <c r="AC316"/>
  <c r="Z316"/>
  <c r="AE316"/>
  <c r="AG316"/>
  <c r="AF316"/>
  <c r="R316"/>
  <c r="W316"/>
  <c r="V316"/>
  <c r="U316"/>
  <c r="CP149"/>
  <c r="CQ149"/>
  <c r="AT149"/>
  <c r="AV149"/>
  <c r="AY149"/>
  <c r="AU149"/>
  <c r="AX149"/>
  <c r="BA149"/>
  <c r="AZ149"/>
  <c r="AW149"/>
  <c r="AL84"/>
  <c r="BD84" s="1"/>
  <c r="BM316"/>
  <c r="S117" i="34" s="1"/>
  <c r="BX315" i="30"/>
  <c r="BJ316"/>
  <c r="L117" i="34" s="1"/>
  <c r="BG316" i="30"/>
  <c r="I117" i="34" s="1"/>
  <c r="BL316" i="30"/>
  <c r="R117" i="34" s="1"/>
  <c r="BH316" i="30"/>
  <c r="BI316"/>
  <c r="BF316"/>
  <c r="H117" i="34" s="1"/>
  <c r="BK316" i="30"/>
  <c r="Q117" i="34" s="1"/>
  <c r="R84" i="30"/>
  <c r="X316"/>
  <c r="AQ85" i="9"/>
  <c r="AQ56"/>
  <c r="AQ93"/>
  <c r="J432"/>
  <c r="J24" i="29"/>
  <c r="J74" i="9"/>
  <c r="J75" s="1"/>
  <c r="J98" i="29"/>
  <c r="J29" i="12"/>
  <c r="J50" s="1"/>
  <c r="J51" s="1"/>
  <c r="J52" i="9"/>
  <c r="J97" i="29" s="1"/>
  <c r="J116" s="1"/>
  <c r="J56" i="9"/>
  <c r="J59"/>
  <c r="J93"/>
  <c r="J53"/>
  <c r="J225" i="12"/>
  <c r="J238" s="1"/>
  <c r="J239" s="1"/>
  <c r="J85" i="9"/>
  <c r="J102"/>
  <c r="J111"/>
  <c r="J65"/>
  <c r="J294" i="12" s="1"/>
  <c r="AA33"/>
  <c r="AA58" s="1"/>
  <c r="AA59" s="1"/>
  <c r="AA60" s="1"/>
  <c r="AA61" s="1"/>
  <c r="AA48" i="26" s="1"/>
  <c r="AA229" i="12"/>
  <c r="AA245" s="1"/>
  <c r="AA246" s="1"/>
  <c r="AA247" s="1"/>
  <c r="AA248" s="1"/>
  <c r="AA59" i="26" s="1"/>
  <c r="AQ102" i="9"/>
  <c r="AA110"/>
  <c r="AA204"/>
  <c r="AA98" i="29"/>
  <c r="AA74" i="9"/>
  <c r="AA24" i="29"/>
  <c r="AA432" i="9"/>
  <c r="AA101"/>
  <c r="AA201"/>
  <c r="AA85"/>
  <c r="AA29" i="12"/>
  <c r="AA50" s="1"/>
  <c r="AA51" s="1"/>
  <c r="AA52" s="1"/>
  <c r="AA53" s="1"/>
  <c r="AA47" i="26" s="1"/>
  <c r="AA59" i="9"/>
  <c r="AA53"/>
  <c r="AA65"/>
  <c r="AA294" i="12" s="1"/>
  <c r="AA225"/>
  <c r="AA238" s="1"/>
  <c r="AA239" s="1"/>
  <c r="AA240" s="1"/>
  <c r="AA241" s="1"/>
  <c r="AA58" i="26" s="1"/>
  <c r="AA196" i="9"/>
  <c r="AA102"/>
  <c r="AA52"/>
  <c r="AA97" i="29" s="1"/>
  <c r="AA116" s="1"/>
  <c r="AA76" i="9"/>
  <c r="AA111"/>
  <c r="AA93"/>
  <c r="AA56"/>
  <c r="Y195"/>
  <c r="Y188"/>
  <c r="Y189" s="1"/>
  <c r="Y190" s="1"/>
  <c r="Y317" i="12" s="1"/>
  <c r="Y334" s="1"/>
  <c r="Y357" s="1"/>
  <c r="Y359" s="1"/>
  <c r="Y167" i="9"/>
  <c r="Y168" s="1"/>
  <c r="Y169" s="1"/>
  <c r="Y123"/>
  <c r="Y176"/>
  <c r="Y177" s="1"/>
  <c r="Y178" s="1"/>
  <c r="Y35" i="12"/>
  <c r="Y103"/>
  <c r="Y231"/>
  <c r="W35"/>
  <c r="W231"/>
  <c r="W103"/>
  <c r="W115" i="9"/>
  <c r="I70" i="34"/>
  <c r="Z70"/>
  <c r="CD70" i="33" s="1"/>
  <c r="Y70"/>
  <c r="Y85" i="9"/>
  <c r="Y56"/>
  <c r="Y196"/>
  <c r="Y59"/>
  <c r="Y111"/>
  <c r="Y102"/>
  <c r="Y225" i="12"/>
  <c r="Y238" s="1"/>
  <c r="Y239" s="1"/>
  <c r="Y240" s="1"/>
  <c r="Y241" s="1"/>
  <c r="Y58" i="26" s="1"/>
  <c r="Y65" i="9"/>
  <c r="Y294" i="12" s="1"/>
  <c r="Y53" i="9"/>
  <c r="Y29" i="12"/>
  <c r="Y50" s="1"/>
  <c r="Y51" s="1"/>
  <c r="Y52" s="1"/>
  <c r="Y53" s="1"/>
  <c r="Y47" i="26" s="1"/>
  <c r="Y52" i="9"/>
  <c r="Y97" i="29" s="1"/>
  <c r="Y93" i="9"/>
  <c r="W33" i="12"/>
  <c r="W58" s="1"/>
  <c r="W59" s="1"/>
  <c r="W60" s="1"/>
  <c r="W61" s="1"/>
  <c r="W48" i="26" s="1"/>
  <c r="W48" i="33" s="1"/>
  <c r="W229" i="12"/>
  <c r="W245" s="1"/>
  <c r="W246" s="1"/>
  <c r="W247" s="1"/>
  <c r="W248" s="1"/>
  <c r="W59" i="26" s="1"/>
  <c r="W98" i="29"/>
  <c r="W432" i="9"/>
  <c r="W74"/>
  <c r="W76" s="1"/>
  <c r="W24" i="29"/>
  <c r="W65" i="9"/>
  <c r="W294" i="12" s="1"/>
  <c r="W29"/>
  <c r="W50" s="1"/>
  <c r="W51" s="1"/>
  <c r="W52" s="1"/>
  <c r="W53" s="1"/>
  <c r="W47" i="26" s="1"/>
  <c r="W47" i="33" s="1"/>
  <c r="W102" i="9"/>
  <c r="W85"/>
  <c r="W59"/>
  <c r="W111"/>
  <c r="W53"/>
  <c r="W52"/>
  <c r="W97" i="29" s="1"/>
  <c r="W56" i="9"/>
  <c r="W225" i="12"/>
  <c r="W238" s="1"/>
  <c r="W239" s="1"/>
  <c r="W240" s="1"/>
  <c r="W241" s="1"/>
  <c r="W58" i="26" s="1"/>
  <c r="W58" i="33" s="1"/>
  <c r="W93" i="9"/>
  <c r="AC195"/>
  <c r="AC123"/>
  <c r="AC150"/>
  <c r="AC151" s="1"/>
  <c r="AC188"/>
  <c r="AC189" s="1"/>
  <c r="AC159"/>
  <c r="AC160" s="1"/>
  <c r="AC161" s="1"/>
  <c r="AC313" i="12" s="1"/>
  <c r="AC329" s="1"/>
  <c r="AC330" s="1"/>
  <c r="AC331" s="1"/>
  <c r="AC332" s="1"/>
  <c r="AC70" i="26" s="1"/>
  <c r="AC167" i="9"/>
  <c r="AC168" s="1"/>
  <c r="AC169" s="1"/>
  <c r="AC315" i="12" s="1"/>
  <c r="AC176" i="9"/>
  <c r="AC177" s="1"/>
  <c r="Y141"/>
  <c r="Y192" s="1"/>
  <c r="Y128"/>
  <c r="Y153"/>
  <c r="Y162"/>
  <c r="Y129"/>
  <c r="Y132"/>
  <c r="Y191"/>
  <c r="Y135"/>
  <c r="Y309" i="12"/>
  <c r="Y322" s="1"/>
  <c r="Y323" s="1"/>
  <c r="Y324" s="1"/>
  <c r="Y325" s="1"/>
  <c r="Y69" i="26" s="1"/>
  <c r="AM439" i="9"/>
  <c r="AM174" i="12" s="1"/>
  <c r="AM440" i="9"/>
  <c r="AM456"/>
  <c r="AM176" i="12" s="1"/>
  <c r="AM183" s="1"/>
  <c r="AM206" s="1"/>
  <c r="AM208" s="1"/>
  <c r="AM457" i="9"/>
  <c r="AX123"/>
  <c r="AX176"/>
  <c r="AX177" s="1"/>
  <c r="AX188"/>
  <c r="AX189" s="1"/>
  <c r="AX195"/>
  <c r="AX167"/>
  <c r="AX168" s="1"/>
  <c r="AX169" s="1"/>
  <c r="AX315" i="12" s="1"/>
  <c r="AX150" i="9"/>
  <c r="AX151" s="1"/>
  <c r="AX152" s="1"/>
  <c r="AX311" i="12" s="1"/>
  <c r="AX159" i="9"/>
  <c r="AX160" s="1"/>
  <c r="AX161" s="1"/>
  <c r="AX313" i="12" s="1"/>
  <c r="AX329" s="1"/>
  <c r="AX330" s="1"/>
  <c r="AX331" s="1"/>
  <c r="AX332" s="1"/>
  <c r="AX70" i="26" s="1"/>
  <c r="AG150" i="9"/>
  <c r="AG151" s="1"/>
  <c r="AG152" s="1"/>
  <c r="AG311" i="12" s="1"/>
  <c r="AG123" i="9"/>
  <c r="AG167"/>
  <c r="AG168" s="1"/>
  <c r="AG169" s="1"/>
  <c r="AG315" i="12" s="1"/>
  <c r="AG176" i="9"/>
  <c r="AG177" s="1"/>
  <c r="AG159"/>
  <c r="AG160" s="1"/>
  <c r="AG161" s="1"/>
  <c r="AG313" i="12" s="1"/>
  <c r="AG329" s="1"/>
  <c r="AG330" s="1"/>
  <c r="AG331" s="1"/>
  <c r="AG332" s="1"/>
  <c r="AG70" i="26" s="1"/>
  <c r="AG188" i="9"/>
  <c r="AG189" s="1"/>
  <c r="AG195"/>
  <c r="Y24" i="29"/>
  <c r="Y432" i="9"/>
  <c r="Y74"/>
  <c r="Y98" i="29"/>
  <c r="Y110" i="9"/>
  <c r="Y101"/>
  <c r="Y201"/>
  <c r="V159"/>
  <c r="V160" s="1"/>
  <c r="V161" s="1"/>
  <c r="V313" i="12" s="1"/>
  <c r="V329" s="1"/>
  <c r="V330" s="1"/>
  <c r="V331" s="1"/>
  <c r="V332" s="1"/>
  <c r="V70" i="26" s="1"/>
  <c r="V150" i="9"/>
  <c r="V151" s="1"/>
  <c r="V123"/>
  <c r="V195"/>
  <c r="V167"/>
  <c r="V168" s="1"/>
  <c r="V169" s="1"/>
  <c r="V315" i="12" s="1"/>
  <c r="V188" i="9"/>
  <c r="V189" s="1"/>
  <c r="V176"/>
  <c r="V177" s="1"/>
  <c r="AM429"/>
  <c r="AM428"/>
  <c r="AM172" i="12" s="1"/>
  <c r="AM446" i="9"/>
  <c r="AM447"/>
  <c r="J123"/>
  <c r="J159"/>
  <c r="J160" s="1"/>
  <c r="J161" s="1"/>
  <c r="J313" i="12" s="1"/>
  <c r="J329" s="1"/>
  <c r="J330" s="1"/>
  <c r="J188" i="9"/>
  <c r="J189" s="1"/>
  <c r="J150"/>
  <c r="J151" s="1"/>
  <c r="J195"/>
  <c r="J176"/>
  <c r="J177" s="1"/>
  <c r="J167"/>
  <c r="J168" s="1"/>
  <c r="J169" s="1"/>
  <c r="J315" i="12" s="1"/>
  <c r="AQ98" i="29"/>
  <c r="AQ103" i="12"/>
  <c r="L70" i="34"/>
  <c r="T450" i="9"/>
  <c r="AN292" i="12"/>
  <c r="AN298" s="1"/>
  <c r="AH59" i="34"/>
  <c r="CL59" i="33" s="1"/>
  <c r="AQ65" i="9"/>
  <c r="AQ294" i="12" s="1"/>
  <c r="AQ295" s="1"/>
  <c r="AQ225"/>
  <c r="AQ238" s="1"/>
  <c r="AQ239" s="1"/>
  <c r="AQ240" s="1"/>
  <c r="AQ241" s="1"/>
  <c r="AQ58" i="26" s="1"/>
  <c r="AQ58" i="33" s="1"/>
  <c r="AQ52" i="9"/>
  <c r="AQ97" i="29" s="1"/>
  <c r="AQ116" s="1"/>
  <c r="AQ111" i="9"/>
  <c r="AL115"/>
  <c r="AL37" i="12" s="1"/>
  <c r="AT229"/>
  <c r="AT245" s="1"/>
  <c r="AT246" s="1"/>
  <c r="AT247" s="1"/>
  <c r="AT248" s="1"/>
  <c r="AT59" i="26" s="1"/>
  <c r="AT59" i="33" s="1"/>
  <c r="AT33" i="12"/>
  <c r="AT58" s="1"/>
  <c r="AT59" s="1"/>
  <c r="AT60" s="1"/>
  <c r="AT61" s="1"/>
  <c r="AT48" i="26" s="1"/>
  <c r="AT48" i="33" s="1"/>
  <c r="AT231" i="12"/>
  <c r="AT35"/>
  <c r="AT103"/>
  <c r="AL98" i="29"/>
  <c r="AL24"/>
  <c r="AL432" i="9"/>
  <c r="AL74"/>
  <c r="AL103" i="12"/>
  <c r="AL231"/>
  <c r="AL35"/>
  <c r="AL225"/>
  <c r="AL238" s="1"/>
  <c r="AL239" s="1"/>
  <c r="AL240" s="1"/>
  <c r="AL241" s="1"/>
  <c r="AL58" i="26" s="1"/>
  <c r="AL53" i="9"/>
  <c r="AL29" i="12"/>
  <c r="AL50" s="1"/>
  <c r="AL51" s="1"/>
  <c r="AL52" s="1"/>
  <c r="AL53" s="1"/>
  <c r="AL47" i="26" s="1"/>
  <c r="AL102" i="9"/>
  <c r="AL52"/>
  <c r="AL97" i="29" s="1"/>
  <c r="AL93" i="9"/>
  <c r="AL56"/>
  <c r="AL65"/>
  <c r="AL294" i="12" s="1"/>
  <c r="AL295" s="1"/>
  <c r="AL59" i="9"/>
  <c r="AL111"/>
  <c r="AL85"/>
  <c r="R65"/>
  <c r="R294" i="12" s="1"/>
  <c r="R102" i="9"/>
  <c r="R56"/>
  <c r="R52"/>
  <c r="R97" i="29" s="1"/>
  <c r="R225" i="12"/>
  <c r="R238" s="1"/>
  <c r="R239" s="1"/>
  <c r="R240" s="1"/>
  <c r="R241" s="1"/>
  <c r="R58" i="26" s="1"/>
  <c r="R58" i="33" s="1"/>
  <c r="R29" i="12"/>
  <c r="R50" s="1"/>
  <c r="R51" s="1"/>
  <c r="R52" s="1"/>
  <c r="R53" s="1"/>
  <c r="R47" i="26" s="1"/>
  <c r="R47" i="33" s="1"/>
  <c r="R85" i="9"/>
  <c r="R93"/>
  <c r="R59"/>
  <c r="R111"/>
  <c r="R53"/>
  <c r="R74"/>
  <c r="R24" i="29"/>
  <c r="R98"/>
  <c r="R432" i="9"/>
  <c r="AL430"/>
  <c r="AL431" s="1"/>
  <c r="AL29" i="29"/>
  <c r="AL433" i="9"/>
  <c r="AL190" i="12"/>
  <c r="AL198" s="1"/>
  <c r="AL200" s="1"/>
  <c r="AL211" s="1"/>
  <c r="AL214" s="1"/>
  <c r="AL341"/>
  <c r="AL349" s="1"/>
  <c r="AL351" s="1"/>
  <c r="AL257"/>
  <c r="AL265" s="1"/>
  <c r="BC33"/>
  <c r="BC58" s="1"/>
  <c r="BC59" s="1"/>
  <c r="BC60" s="1"/>
  <c r="BC61" s="1"/>
  <c r="BC48" i="26" s="1"/>
  <c r="BC48" i="33" s="1"/>
  <c r="BC229" i="12"/>
  <c r="BC245" s="1"/>
  <c r="BC246" s="1"/>
  <c r="BC247" s="1"/>
  <c r="BC248" s="1"/>
  <c r="BC59" i="26" s="1"/>
  <c r="BC59" i="33" s="1"/>
  <c r="BC101" i="9"/>
  <c r="BC59"/>
  <c r="BC102"/>
  <c r="BC111"/>
  <c r="BC93"/>
  <c r="BC65"/>
  <c r="BC294" i="12" s="1"/>
  <c r="BC225"/>
  <c r="BC238" s="1"/>
  <c r="BC239" s="1"/>
  <c r="BC240" s="1"/>
  <c r="BC241" s="1"/>
  <c r="BC58" i="26" s="1"/>
  <c r="BC58" i="33" s="1"/>
  <c r="BC53" i="9"/>
  <c r="BC85"/>
  <c r="BC52"/>
  <c r="BC97" i="29" s="1"/>
  <c r="BC29" i="12"/>
  <c r="BC50" s="1"/>
  <c r="BC51" s="1"/>
  <c r="BC52" s="1"/>
  <c r="BC53" s="1"/>
  <c r="BC47" i="26" s="1"/>
  <c r="BC47" i="33" s="1"/>
  <c r="BC56" i="9"/>
  <c r="BC167"/>
  <c r="BC168" s="1"/>
  <c r="BC169" s="1"/>
  <c r="BC315" i="12" s="1"/>
  <c r="BC150" i="9"/>
  <c r="BC151" s="1"/>
  <c r="BC152" s="1"/>
  <c r="BC311" i="12" s="1"/>
  <c r="BC188" i="9"/>
  <c r="BC189" s="1"/>
  <c r="BC190" s="1"/>
  <c r="BC317" i="12" s="1"/>
  <c r="BC334" s="1"/>
  <c r="BC357" s="1"/>
  <c r="BC359" s="1"/>
  <c r="BC195" i="9"/>
  <c r="BC159"/>
  <c r="BC160" s="1"/>
  <c r="BC161" s="1"/>
  <c r="BC313" i="12" s="1"/>
  <c r="BC329" s="1"/>
  <c r="BC330" s="1"/>
  <c r="BC331" s="1"/>
  <c r="BC332" s="1"/>
  <c r="BC70" i="26" s="1"/>
  <c r="BC123" i="9"/>
  <c r="BC176"/>
  <c r="BC177" s="1"/>
  <c r="AL195"/>
  <c r="AL150"/>
  <c r="AL151" s="1"/>
  <c r="AL152" s="1"/>
  <c r="AL167"/>
  <c r="AL168" s="1"/>
  <c r="AL169" s="1"/>
  <c r="AL315" i="12" s="1"/>
  <c r="AL176" i="9"/>
  <c r="AL177" s="1"/>
  <c r="AL123"/>
  <c r="AL188"/>
  <c r="AL189" s="1"/>
  <c r="AL159"/>
  <c r="AL160" s="1"/>
  <c r="AL161" s="1"/>
  <c r="AL313" i="12" s="1"/>
  <c r="AL329" s="1"/>
  <c r="AL330" s="1"/>
  <c r="AL331" s="1"/>
  <c r="AL332" s="1"/>
  <c r="AL70" i="26" s="1"/>
  <c r="BC362" i="12"/>
  <c r="BC365" s="1"/>
  <c r="BC65" i="26" s="1"/>
  <c r="BC65" i="33" s="1"/>
  <c r="AT432" i="9"/>
  <c r="AT24" i="29"/>
  <c r="AT98"/>
  <c r="AT74" i="9"/>
  <c r="AT76" s="1"/>
  <c r="AT56"/>
  <c r="AT93"/>
  <c r="AT29" i="12"/>
  <c r="AT50" s="1"/>
  <c r="AT51" s="1"/>
  <c r="AT52" s="1"/>
  <c r="AT53" s="1"/>
  <c r="AT47" i="26" s="1"/>
  <c r="AT47" i="33" s="1"/>
  <c r="AT65" i="9"/>
  <c r="AT294" i="12" s="1"/>
  <c r="AT52" i="9"/>
  <c r="AT97" i="29" s="1"/>
  <c r="AT116" s="1"/>
  <c r="AT59" i="9"/>
  <c r="AT85"/>
  <c r="AT111"/>
  <c r="AT53"/>
  <c r="AT225" i="12"/>
  <c r="AT238" s="1"/>
  <c r="AT239" s="1"/>
  <c r="AT240" s="1"/>
  <c r="AT241" s="1"/>
  <c r="AT58" i="26" s="1"/>
  <c r="AT58" i="33" s="1"/>
  <c r="AT102" i="9"/>
  <c r="AL229" i="12"/>
  <c r="AL245" s="1"/>
  <c r="AL246" s="1"/>
  <c r="AL247" s="1"/>
  <c r="AL248" s="1"/>
  <c r="AL59" i="26" s="1"/>
  <c r="AL33" i="12"/>
  <c r="AL58" s="1"/>
  <c r="AL59" s="1"/>
  <c r="AL60" s="1"/>
  <c r="AL61" s="1"/>
  <c r="AL48" i="26" s="1"/>
  <c r="R103" i="12"/>
  <c r="R231"/>
  <c r="R35"/>
  <c r="R33"/>
  <c r="R58" s="1"/>
  <c r="R59" s="1"/>
  <c r="R60" s="1"/>
  <c r="R61" s="1"/>
  <c r="R48" i="26" s="1"/>
  <c r="R48" i="33" s="1"/>
  <c r="R229" i="12"/>
  <c r="R245" s="1"/>
  <c r="R246" s="1"/>
  <c r="R247" s="1"/>
  <c r="R248" s="1"/>
  <c r="R59" i="26" s="1"/>
  <c r="AQ188" i="9"/>
  <c r="AQ189" s="1"/>
  <c r="AQ150"/>
  <c r="AQ151" s="1"/>
  <c r="AQ152" s="1"/>
  <c r="AQ311" i="12" s="1"/>
  <c r="AQ167" i="9"/>
  <c r="AQ168" s="1"/>
  <c r="AQ169" s="1"/>
  <c r="AQ315" i="12" s="1"/>
  <c r="AQ123" i="9"/>
  <c r="AQ159"/>
  <c r="AQ160" s="1"/>
  <c r="AQ161" s="1"/>
  <c r="AQ313" i="12" s="1"/>
  <c r="AQ329" s="1"/>
  <c r="AQ330" s="1"/>
  <c r="AQ331" s="1"/>
  <c r="AQ332" s="1"/>
  <c r="AQ70" i="26" s="1"/>
  <c r="AQ70" i="33" s="1"/>
  <c r="AQ195" i="9"/>
  <c r="AQ176"/>
  <c r="AQ177" s="1"/>
  <c r="AL181" i="12"/>
  <c r="AL205" s="1"/>
  <c r="AL207" s="1"/>
  <c r="AL187"/>
  <c r="BC432" i="9"/>
  <c r="BC433"/>
  <c r="BC74"/>
  <c r="BC24" i="29"/>
  <c r="BC98"/>
  <c r="BC35" i="12"/>
  <c r="BC231"/>
  <c r="BC103"/>
  <c r="AL450" i="9"/>
  <c r="AD247" i="12"/>
  <c r="AD248" s="1"/>
  <c r="AD59" i="26" s="1"/>
  <c r="AD79" s="1"/>
  <c r="U103" i="9"/>
  <c r="U115"/>
  <c r="AH450"/>
  <c r="AB70" i="33"/>
  <c r="BM70"/>
  <c r="Q192" i="9"/>
  <c r="AK59" i="33"/>
  <c r="AT79" i="26"/>
  <c r="AT79" i="33" s="1"/>
  <c r="AB295" i="12"/>
  <c r="AM116" i="29"/>
  <c r="AR205" i="9"/>
  <c r="AT338" i="12"/>
  <c r="AT348" s="1"/>
  <c r="AT350" s="1"/>
  <c r="AT361" s="1"/>
  <c r="AT364" s="1"/>
  <c r="Y229"/>
  <c r="Y245" s="1"/>
  <c r="Y246" s="1"/>
  <c r="Y247" s="1"/>
  <c r="Y248" s="1"/>
  <c r="Y59" i="26" s="1"/>
  <c r="Y33" i="12"/>
  <c r="Y58" s="1"/>
  <c r="Y59" s="1"/>
  <c r="Y60" s="1"/>
  <c r="Y61" s="1"/>
  <c r="Y48" i="26" s="1"/>
  <c r="AV450" i="9"/>
  <c r="AH48" i="34"/>
  <c r="CL48" i="33" s="1"/>
  <c r="AQ76" i="9"/>
  <c r="AQ75"/>
  <c r="AQ59" i="33"/>
  <c r="AQ288" i="12"/>
  <c r="AQ150"/>
  <c r="AQ103" i="9"/>
  <c r="AQ153" i="12"/>
  <c r="AQ291"/>
  <c r="AQ292" s="1"/>
  <c r="AQ94" i="9"/>
  <c r="AQ112"/>
  <c r="AQ62"/>
  <c r="AQ156" i="12" s="1"/>
  <c r="AQ119"/>
  <c r="AQ63"/>
  <c r="AS229"/>
  <c r="AS245" s="1"/>
  <c r="AS246" s="1"/>
  <c r="AS247" s="1"/>
  <c r="AS248" s="1"/>
  <c r="AS59" i="26" s="1"/>
  <c r="AS33" i="12"/>
  <c r="AS58" s="1"/>
  <c r="AS59" s="1"/>
  <c r="AS60" s="1"/>
  <c r="AS61" s="1"/>
  <c r="AS48" i="26" s="1"/>
  <c r="AS48" i="33" s="1"/>
  <c r="X225" i="12"/>
  <c r="X238" s="1"/>
  <c r="X239" s="1"/>
  <c r="X240" s="1"/>
  <c r="X241" s="1"/>
  <c r="X58" i="26" s="1"/>
  <c r="X111" i="9"/>
  <c r="X29" i="12"/>
  <c r="X50" s="1"/>
  <c r="X51" s="1"/>
  <c r="X52" s="1"/>
  <c r="X53" s="1"/>
  <c r="X47" i="26" s="1"/>
  <c r="X52" i="9"/>
  <c r="X97" i="29" s="1"/>
  <c r="X93" i="9"/>
  <c r="X56"/>
  <c r="X94" s="1"/>
  <c r="X102"/>
  <c r="X53"/>
  <c r="X65"/>
  <c r="X294" i="12" s="1"/>
  <c r="X295" s="1"/>
  <c r="X59" i="9"/>
  <c r="X85"/>
  <c r="X74"/>
  <c r="X76" s="1"/>
  <c r="X24" i="29"/>
  <c r="X98"/>
  <c r="X432" i="9"/>
  <c r="X275" i="12"/>
  <c r="X33"/>
  <c r="X58" s="1"/>
  <c r="X59" s="1"/>
  <c r="X60" s="1"/>
  <c r="X61" s="1"/>
  <c r="X48" i="26" s="1"/>
  <c r="X229" i="12"/>
  <c r="X245" s="1"/>
  <c r="X246" s="1"/>
  <c r="X247" s="1"/>
  <c r="X248" s="1"/>
  <c r="X59" i="26" s="1"/>
  <c r="K162" i="9"/>
  <c r="K191"/>
  <c r="K141"/>
  <c r="K132"/>
  <c r="K171" s="1"/>
  <c r="K179"/>
  <c r="K153"/>
  <c r="K196"/>
  <c r="K128"/>
  <c r="K129"/>
  <c r="K170"/>
  <c r="K135"/>
  <c r="K309" i="12"/>
  <c r="K322" s="1"/>
  <c r="K323" s="1"/>
  <c r="K324" s="1"/>
  <c r="K325" s="1"/>
  <c r="K69" i="26" s="1"/>
  <c r="K201" i="9"/>
  <c r="K190"/>
  <c r="K317" i="12" s="1"/>
  <c r="K334" s="1"/>
  <c r="K357" s="1"/>
  <c r="K359" s="1"/>
  <c r="K204" i="9"/>
  <c r="K178"/>
  <c r="K183" s="1"/>
  <c r="AG119" i="12"/>
  <c r="AG63"/>
  <c r="AH58" i="34"/>
  <c r="CL58" i="33" s="1"/>
  <c r="AG58"/>
  <c r="AG76" i="9"/>
  <c r="AG198"/>
  <c r="AG75"/>
  <c r="AG116" i="29"/>
  <c r="AH47" i="34"/>
  <c r="CL47" i="33" s="1"/>
  <c r="AG47"/>
  <c r="AG77" i="9"/>
  <c r="AG150" i="12"/>
  <c r="AG288"/>
  <c r="AG62" i="9"/>
  <c r="AG156" i="12" s="1"/>
  <c r="AG112" i="9"/>
  <c r="AG153" i="12"/>
  <c r="AG103" i="9"/>
  <c r="AG291" i="12"/>
  <c r="AG94" i="9"/>
  <c r="AE331" i="12"/>
  <c r="AE332" s="1"/>
  <c r="AE70" i="26" s="1"/>
  <c r="AE32" i="5"/>
  <c r="AE10" i="26" s="1"/>
  <c r="AE10" i="33" s="1"/>
  <c r="AE247" i="12"/>
  <c r="AE248" s="1"/>
  <c r="AE59" i="26" s="1"/>
  <c r="AE59" i="33" s="1"/>
  <c r="AD240" i="12"/>
  <c r="AD241" s="1"/>
  <c r="AD58" i="26" s="1"/>
  <c r="AD52" i="12"/>
  <c r="AD53" s="1"/>
  <c r="AD47" i="26" s="1"/>
  <c r="AD60" i="12"/>
  <c r="AD61" s="1"/>
  <c r="AD48" i="26" s="1"/>
  <c r="AD324" i="12"/>
  <c r="AD325" s="1"/>
  <c r="AD69" i="26" s="1"/>
  <c r="AF324" i="12"/>
  <c r="AF325" s="1"/>
  <c r="AF69" i="26" s="1"/>
  <c r="AF32" i="5"/>
  <c r="AF10" i="26" s="1"/>
  <c r="AF10" i="33" s="1"/>
  <c r="AD70"/>
  <c r="AT70" i="34"/>
  <c r="DD70" i="33" s="1"/>
  <c r="AE60" i="12"/>
  <c r="AE61" s="1"/>
  <c r="AE48" i="26" s="1"/>
  <c r="AE48" i="33" s="1"/>
  <c r="AP154" i="9"/>
  <c r="AI309" i="12"/>
  <c r="AI322" s="1"/>
  <c r="AI323" s="1"/>
  <c r="AI324" s="1"/>
  <c r="AI325" s="1"/>
  <c r="AI69" i="26" s="1"/>
  <c r="AI128" i="9"/>
  <c r="AI196"/>
  <c r="AI162"/>
  <c r="AI179"/>
  <c r="AI79" i="34"/>
  <c r="AI69"/>
  <c r="CM69" i="33" s="1"/>
  <c r="AC78" i="34"/>
  <c r="BA69"/>
  <c r="BC69"/>
  <c r="AZ69"/>
  <c r="BA59"/>
  <c r="DK59" i="33" s="1"/>
  <c r="AJ79" i="26"/>
  <c r="AZ59" i="34"/>
  <c r="DJ59" i="33" s="1"/>
  <c r="BC58" i="34"/>
  <c r="DM58" i="33" s="1"/>
  <c r="BC48" i="34"/>
  <c r="DM48" i="33" s="1"/>
  <c r="AR70" i="34"/>
  <c r="CV70" i="33" s="1"/>
  <c r="BA79" i="34"/>
  <c r="H69"/>
  <c r="Y69"/>
  <c r="BA48"/>
  <c r="DK48" i="33" s="1"/>
  <c r="AZ48" i="34"/>
  <c r="DJ48" i="33" s="1"/>
  <c r="BC47" i="34"/>
  <c r="DM47" i="33" s="1"/>
  <c r="BC59" i="34"/>
  <c r="CG47" i="33"/>
  <c r="CG58"/>
  <c r="AM112" i="9"/>
  <c r="AM62"/>
  <c r="AM156" i="12" s="1"/>
  <c r="AM58" i="33"/>
  <c r="AM103" i="9"/>
  <c r="AM94"/>
  <c r="AM153" i="12"/>
  <c r="AM291"/>
  <c r="AM63"/>
  <c r="AM119"/>
  <c r="BB128" i="9"/>
  <c r="BB141"/>
  <c r="BB192" s="1"/>
  <c r="BB179"/>
  <c r="BB129"/>
  <c r="BB154" s="1"/>
  <c r="BB135"/>
  <c r="BB309" i="12"/>
  <c r="BB322" s="1"/>
  <c r="BB323" s="1"/>
  <c r="BB324" s="1"/>
  <c r="BB325" s="1"/>
  <c r="BB69" i="26" s="1"/>
  <c r="BB153" i="9"/>
  <c r="BB162"/>
  <c r="BB132"/>
  <c r="BB171" s="1"/>
  <c r="BB191"/>
  <c r="BB170"/>
  <c r="BB70" i="33"/>
  <c r="BB33" i="12"/>
  <c r="BB58" s="1"/>
  <c r="BB59" s="1"/>
  <c r="BB60" s="1"/>
  <c r="BB61" s="1"/>
  <c r="BB48" i="26" s="1"/>
  <c r="BB48" i="33" s="1"/>
  <c r="BB229" i="12"/>
  <c r="BB245" s="1"/>
  <c r="BB246" s="1"/>
  <c r="BB247" s="1"/>
  <c r="BB248" s="1"/>
  <c r="BB59" i="26" s="1"/>
  <c r="BB59" i="33" s="1"/>
  <c r="BB24" i="29"/>
  <c r="BB74" i="9"/>
  <c r="BB98" i="29"/>
  <c r="BB432" i="9"/>
  <c r="BB101"/>
  <c r="BB201"/>
  <c r="AP288" i="12"/>
  <c r="AP150"/>
  <c r="AM48" i="33"/>
  <c r="R178" i="9"/>
  <c r="R204"/>
  <c r="R135"/>
  <c r="R129"/>
  <c r="R154" s="1"/>
  <c r="R309" i="12"/>
  <c r="R322" s="1"/>
  <c r="R323" s="1"/>
  <c r="R324" s="1"/>
  <c r="R325" s="1"/>
  <c r="R69" i="26" s="1"/>
  <c r="R153" i="9"/>
  <c r="R141"/>
  <c r="R132"/>
  <c r="R171" s="1"/>
  <c r="R170"/>
  <c r="R162"/>
  <c r="R128"/>
  <c r="R179"/>
  <c r="R191"/>
  <c r="R196"/>
  <c r="AP440"/>
  <c r="AP439"/>
  <c r="AP174" i="12" s="1"/>
  <c r="AP446" i="9"/>
  <c r="AP447"/>
  <c r="AP233" i="12"/>
  <c r="AP250" s="1"/>
  <c r="AP273" s="1"/>
  <c r="AP103" i="9"/>
  <c r="AP75"/>
  <c r="AP77" s="1"/>
  <c r="AP76"/>
  <c r="AM288" i="12"/>
  <c r="AM150"/>
  <c r="AM47" i="33"/>
  <c r="BB110" i="9"/>
  <c r="BB204"/>
  <c r="BB59"/>
  <c r="BB52"/>
  <c r="BB97" i="29" s="1"/>
  <c r="BB102" i="9"/>
  <c r="BB93"/>
  <c r="BB85"/>
  <c r="BB196"/>
  <c r="BB53"/>
  <c r="BB29" i="12"/>
  <c r="BB50" s="1"/>
  <c r="BB51" s="1"/>
  <c r="BB52" s="1"/>
  <c r="BB53" s="1"/>
  <c r="BB47" i="26" s="1"/>
  <c r="BB47" i="33" s="1"/>
  <c r="BB56" i="9"/>
  <c r="BB225" i="12"/>
  <c r="BB238" s="1"/>
  <c r="BB239" s="1"/>
  <c r="BB240" s="1"/>
  <c r="BB241" s="1"/>
  <c r="BB58" i="26" s="1"/>
  <c r="BB58" i="33" s="1"/>
  <c r="BB65" i="9"/>
  <c r="BB294" i="12" s="1"/>
  <c r="BB111" i="9"/>
  <c r="BB231" i="12"/>
  <c r="BB103"/>
  <c r="BB35"/>
  <c r="AP231"/>
  <c r="AP103"/>
  <c r="AP35"/>
  <c r="AP94" i="9"/>
  <c r="AP33" i="12"/>
  <c r="AP58" s="1"/>
  <c r="AP59" s="1"/>
  <c r="AP60" s="1"/>
  <c r="AP61" s="1"/>
  <c r="AP48" i="26" s="1"/>
  <c r="AP48" i="33" s="1"/>
  <c r="AP229" i="12"/>
  <c r="AP245" s="1"/>
  <c r="AP246" s="1"/>
  <c r="AP247" s="1"/>
  <c r="AP248" s="1"/>
  <c r="AP59" i="26" s="1"/>
  <c r="AP115" i="9"/>
  <c r="AP112"/>
  <c r="AM59" i="33"/>
  <c r="DM59"/>
  <c r="AM79" i="26"/>
  <c r="AM76" i="9"/>
  <c r="AM198"/>
  <c r="AM75"/>
  <c r="R190"/>
  <c r="R201"/>
  <c r="R327" i="12"/>
  <c r="R356" s="1"/>
  <c r="R358" s="1"/>
  <c r="R338"/>
  <c r="AP456" i="9"/>
  <c r="AP176" i="12" s="1"/>
  <c r="AP183" s="1"/>
  <c r="AP206" s="1"/>
  <c r="AP208" s="1"/>
  <c r="AP457" i="9"/>
  <c r="AP429"/>
  <c r="AP428"/>
  <c r="AP172" i="12" s="1"/>
  <c r="N348"/>
  <c r="N350" s="1"/>
  <c r="N361" s="1"/>
  <c r="N364" s="1"/>
  <c r="N64" i="26" s="1"/>
  <c r="N64" i="33" s="1"/>
  <c r="N339" i="12"/>
  <c r="N450" i="9"/>
  <c r="L440"/>
  <c r="L439"/>
  <c r="L174" i="12" s="1"/>
  <c r="L456" i="9"/>
  <c r="L176" i="12" s="1"/>
  <c r="L183" s="1"/>
  <c r="L206" s="1"/>
  <c r="L208" s="1"/>
  <c r="L457" i="9"/>
  <c r="AT190"/>
  <c r="AT201"/>
  <c r="AT204"/>
  <c r="AT178"/>
  <c r="AT309" i="12"/>
  <c r="AT322" s="1"/>
  <c r="AT323" s="1"/>
  <c r="AT324" s="1"/>
  <c r="AT325" s="1"/>
  <c r="AT69" i="26" s="1"/>
  <c r="AT128" i="9"/>
  <c r="AT132"/>
  <c r="AT171" s="1"/>
  <c r="AT141"/>
  <c r="AT135"/>
  <c r="AT179"/>
  <c r="AT196"/>
  <c r="AT153"/>
  <c r="AT129"/>
  <c r="AT154" s="1"/>
  <c r="AT162"/>
  <c r="AT191"/>
  <c r="AT170"/>
  <c r="AA35" i="12"/>
  <c r="AA231"/>
  <c r="AA103"/>
  <c r="AU450" i="9"/>
  <c r="L428"/>
  <c r="L172" i="12" s="1"/>
  <c r="L429" i="9"/>
  <c r="L446"/>
  <c r="L447"/>
  <c r="L105" i="12"/>
  <c r="L157" s="1"/>
  <c r="L37"/>
  <c r="AT257"/>
  <c r="AT265" s="1"/>
  <c r="AT267" s="1"/>
  <c r="AT190"/>
  <c r="AT198" s="1"/>
  <c r="AT200" s="1"/>
  <c r="AT211" s="1"/>
  <c r="AT214" s="1"/>
  <c r="AT341"/>
  <c r="AT349" s="1"/>
  <c r="AT351" s="1"/>
  <c r="AT29" i="29"/>
  <c r="AT430" i="9"/>
  <c r="AT431" s="1"/>
  <c r="AT433"/>
  <c r="AT450"/>
  <c r="AU46" i="12"/>
  <c r="AU112"/>
  <c r="AT187"/>
  <c r="AT181"/>
  <c r="AT205" s="1"/>
  <c r="AT207" s="1"/>
  <c r="BO70" i="33"/>
  <c r="AA70"/>
  <c r="AA338" i="12"/>
  <c r="AA327"/>
  <c r="AA356" s="1"/>
  <c r="AA358" s="1"/>
  <c r="AA180" i="9"/>
  <c r="AA183"/>
  <c r="AC446"/>
  <c r="AC447"/>
  <c r="AC456"/>
  <c r="AC176" i="12" s="1"/>
  <c r="AC183" s="1"/>
  <c r="AC206" s="1"/>
  <c r="AC208" s="1"/>
  <c r="AC457" i="9"/>
  <c r="AV29" i="29"/>
  <c r="AV430" i="9"/>
  <c r="AV431" s="1"/>
  <c r="AV433"/>
  <c r="V456"/>
  <c r="V176" i="12" s="1"/>
  <c r="V183" s="1"/>
  <c r="V206" s="1"/>
  <c r="V208" s="1"/>
  <c r="V457" i="9"/>
  <c r="V428"/>
  <c r="V172" i="12" s="1"/>
  <c r="V429" i="9"/>
  <c r="AW447"/>
  <c r="AW446"/>
  <c r="AW457"/>
  <c r="AW456"/>
  <c r="AW176" i="12" s="1"/>
  <c r="AW183" s="1"/>
  <c r="AW206" s="1"/>
  <c r="AW208" s="1"/>
  <c r="AE447" i="9"/>
  <c r="AE446"/>
  <c r="AE429"/>
  <c r="AE428"/>
  <c r="AE172" i="12" s="1"/>
  <c r="AX35"/>
  <c r="AX231"/>
  <c r="AX103"/>
  <c r="AX33"/>
  <c r="AX58" s="1"/>
  <c r="AX59" s="1"/>
  <c r="AX60" s="1"/>
  <c r="AX61" s="1"/>
  <c r="AX48" i="26" s="1"/>
  <c r="AX48" i="33" s="1"/>
  <c r="AX229" i="12"/>
  <c r="AX245" s="1"/>
  <c r="AX246" s="1"/>
  <c r="AX247" s="1"/>
  <c r="AX248" s="1"/>
  <c r="AX59" i="26" s="1"/>
  <c r="AX59" i="33" s="1"/>
  <c r="AG257" i="12"/>
  <c r="AG265" s="1"/>
  <c r="AG190"/>
  <c r="AG198" s="1"/>
  <c r="AG200" s="1"/>
  <c r="AG211" s="1"/>
  <c r="AG214" s="1"/>
  <c r="AG341"/>
  <c r="AG349" s="1"/>
  <c r="AG351" s="1"/>
  <c r="AG430" i="9"/>
  <c r="AG431" s="1"/>
  <c r="AG29" i="29"/>
  <c r="AG433" i="9"/>
  <c r="AB229" i="12"/>
  <c r="AB245" s="1"/>
  <c r="AB246" s="1"/>
  <c r="AB247" s="1"/>
  <c r="AB248" s="1"/>
  <c r="AB59" i="26" s="1"/>
  <c r="AB33" i="12"/>
  <c r="AB58" s="1"/>
  <c r="AB59" s="1"/>
  <c r="AB60" s="1"/>
  <c r="AB61" s="1"/>
  <c r="AB48" i="26" s="1"/>
  <c r="K229" i="12"/>
  <c r="K245" s="1"/>
  <c r="K246" s="1"/>
  <c r="K247" s="1"/>
  <c r="K248" s="1"/>
  <c r="K59" i="26" s="1"/>
  <c r="K33" i="12"/>
  <c r="K58" s="1"/>
  <c r="K59" s="1"/>
  <c r="K60" s="1"/>
  <c r="K61" s="1"/>
  <c r="K48" i="26" s="1"/>
  <c r="K48" i="33" s="1"/>
  <c r="AS428" i="9"/>
  <c r="AS172" i="12" s="1"/>
  <c r="AS429" i="9"/>
  <c r="AS457"/>
  <c r="AS456"/>
  <c r="AS176" i="12" s="1"/>
  <c r="AS183" s="1"/>
  <c r="AS206" s="1"/>
  <c r="AS208" s="1"/>
  <c r="K315"/>
  <c r="AE338"/>
  <c r="AE327"/>
  <c r="AE356" s="1"/>
  <c r="AE358" s="1"/>
  <c r="AA447" i="9"/>
  <c r="AA446"/>
  <c r="AA439"/>
  <c r="AA174" i="12" s="1"/>
  <c r="AA440" i="9"/>
  <c r="AA317" i="12"/>
  <c r="AA334" s="1"/>
  <c r="AA357" s="1"/>
  <c r="AA359" s="1"/>
  <c r="AA192" i="9"/>
  <c r="AV190" i="12"/>
  <c r="AV198" s="1"/>
  <c r="AV200" s="1"/>
  <c r="AV211" s="1"/>
  <c r="AV214" s="1"/>
  <c r="AV341"/>
  <c r="AV349" s="1"/>
  <c r="AV351" s="1"/>
  <c r="AV362" s="1"/>
  <c r="AV365" s="1"/>
  <c r="AV65" i="26" s="1"/>
  <c r="AV65" i="33" s="1"/>
  <c r="AV257" i="12"/>
  <c r="AV265" s="1"/>
  <c r="AV267" s="1"/>
  <c r="BB430" i="9"/>
  <c r="BB431" s="1"/>
  <c r="BB29" i="29"/>
  <c r="BB433" i="9"/>
  <c r="BF446"/>
  <c r="BF447"/>
  <c r="BF456"/>
  <c r="BF176" i="12" s="1"/>
  <c r="BF183" s="1"/>
  <c r="BF206" s="1"/>
  <c r="BF208" s="1"/>
  <c r="BF457" i="9"/>
  <c r="AF447"/>
  <c r="AF446"/>
  <c r="AF440"/>
  <c r="AF439"/>
  <c r="AF174" i="12" s="1"/>
  <c r="AJ446" i="9"/>
  <c r="AJ447"/>
  <c r="AJ439"/>
  <c r="AJ174" i="12" s="1"/>
  <c r="AJ440" i="9"/>
  <c r="AX338" i="12"/>
  <c r="AX327"/>
  <c r="AX356" s="1"/>
  <c r="AX358" s="1"/>
  <c r="AX440" i="9"/>
  <c r="AX439"/>
  <c r="AX174" i="12" s="1"/>
  <c r="AX428" i="9"/>
  <c r="AX172" i="12" s="1"/>
  <c r="AX429" i="9"/>
  <c r="AX150" i="12"/>
  <c r="AX288"/>
  <c r="AX233"/>
  <c r="AX250" s="1"/>
  <c r="AX273" s="1"/>
  <c r="AB447" i="9"/>
  <c r="AB446"/>
  <c r="AB457"/>
  <c r="AB456"/>
  <c r="AB176" i="12" s="1"/>
  <c r="AB183" s="1"/>
  <c r="AB206" s="1"/>
  <c r="AB208" s="1"/>
  <c r="AB75" i="9"/>
  <c r="AB77" s="1"/>
  <c r="AB76"/>
  <c r="AB198"/>
  <c r="AB115"/>
  <c r="AB112"/>
  <c r="AB231" i="12"/>
  <c r="AB35"/>
  <c r="AB103"/>
  <c r="AN85" i="33"/>
  <c r="AN31" i="29"/>
  <c r="AN85" i="26"/>
  <c r="AO446" i="9"/>
  <c r="AO447"/>
  <c r="AO439"/>
  <c r="AO174" i="12" s="1"/>
  <c r="AO440" i="9"/>
  <c r="K456"/>
  <c r="K176" i="12" s="1"/>
  <c r="K183" s="1"/>
  <c r="K206" s="1"/>
  <c r="K208" s="1"/>
  <c r="K457" i="9"/>
  <c r="K429"/>
  <c r="K428"/>
  <c r="K172" i="12" s="1"/>
  <c r="K115" i="9"/>
  <c r="K112"/>
  <c r="K205"/>
  <c r="BI430"/>
  <c r="BI431" s="1"/>
  <c r="BI433"/>
  <c r="Y428"/>
  <c r="Y172" i="12" s="1"/>
  <c r="Y429" i="9"/>
  <c r="Y447"/>
  <c r="Y446"/>
  <c r="Y154"/>
  <c r="BB450"/>
  <c r="K154"/>
  <c r="AE154"/>
  <c r="AG450"/>
  <c r="BI450"/>
  <c r="K327" i="12"/>
  <c r="K356" s="1"/>
  <c r="K358" s="1"/>
  <c r="K338"/>
  <c r="Y338"/>
  <c r="Y327"/>
  <c r="Y356" s="1"/>
  <c r="Y358" s="1"/>
  <c r="AC428" i="9"/>
  <c r="AC172" i="12" s="1"/>
  <c r="AC429" i="9"/>
  <c r="AC440"/>
  <c r="AC439"/>
  <c r="AC174" i="12" s="1"/>
  <c r="AV187"/>
  <c r="AV181"/>
  <c r="AV205" s="1"/>
  <c r="AV207" s="1"/>
  <c r="BB257"/>
  <c r="BB265" s="1"/>
  <c r="BB267" s="1"/>
  <c r="BB190"/>
  <c r="BB198" s="1"/>
  <c r="BB200" s="1"/>
  <c r="BB211" s="1"/>
  <c r="BB214" s="1"/>
  <c r="BB341"/>
  <c r="BB349" s="1"/>
  <c r="BB351" s="1"/>
  <c r="BB362" s="1"/>
  <c r="BB365" s="1"/>
  <c r="BB65" i="26" s="1"/>
  <c r="BB65" i="33" s="1"/>
  <c r="V439" i="9"/>
  <c r="V174" i="12" s="1"/>
  <c r="V440" i="9"/>
  <c r="V447"/>
  <c r="V446"/>
  <c r="AW439"/>
  <c r="AW174" i="12" s="1"/>
  <c r="AW440" i="9"/>
  <c r="AW428"/>
  <c r="AW172" i="12" s="1"/>
  <c r="AW429" i="9"/>
  <c r="AE439"/>
  <c r="AE174" i="12" s="1"/>
  <c r="AE440" i="9"/>
  <c r="AE456"/>
  <c r="AE176" i="12" s="1"/>
  <c r="AE183" s="1"/>
  <c r="AE206" s="1"/>
  <c r="AE208" s="1"/>
  <c r="AE457" i="9"/>
  <c r="AX94"/>
  <c r="AX103"/>
  <c r="AX153" i="12"/>
  <c r="AX291"/>
  <c r="AX62" i="9"/>
  <c r="AX156" i="12" s="1"/>
  <c r="AX112" i="9"/>
  <c r="AX76"/>
  <c r="AX75"/>
  <c r="AX198"/>
  <c r="AG187" i="12"/>
  <c r="AG181"/>
  <c r="AG205" s="1"/>
  <c r="AG207" s="1"/>
  <c r="AB150"/>
  <c r="AB288"/>
  <c r="K150"/>
  <c r="K288"/>
  <c r="K75" i="9"/>
  <c r="K76"/>
  <c r="K198"/>
  <c r="AS439"/>
  <c r="AS174" i="12" s="1"/>
  <c r="AS440" i="9"/>
  <c r="AS447"/>
  <c r="AS446"/>
  <c r="BI341" i="12"/>
  <c r="BI349" s="1"/>
  <c r="BI351" s="1"/>
  <c r="BI362" s="1"/>
  <c r="BI365" s="1"/>
  <c r="BI65" i="26" s="1"/>
  <c r="BI65" i="33" s="1"/>
  <c r="BI257" i="12"/>
  <c r="BI265" s="1"/>
  <c r="BI267" s="1"/>
  <c r="BI190"/>
  <c r="BI198" s="1"/>
  <c r="BI200" s="1"/>
  <c r="BI211" s="1"/>
  <c r="BI214" s="1"/>
  <c r="AE315"/>
  <c r="AE183" i="9"/>
  <c r="Y315" i="12"/>
  <c r="Y183" i="9"/>
  <c r="AA429"/>
  <c r="AA428"/>
  <c r="AA172" i="12" s="1"/>
  <c r="AA456" i="9"/>
  <c r="AA176" i="12" s="1"/>
  <c r="AA183" s="1"/>
  <c r="AA206" s="1"/>
  <c r="AA208" s="1"/>
  <c r="AA457" i="9"/>
  <c r="AA171"/>
  <c r="AA315" i="12"/>
  <c r="AN197"/>
  <c r="AN199" s="1"/>
  <c r="AN210" s="1"/>
  <c r="AN213" s="1"/>
  <c r="AN188"/>
  <c r="BB187"/>
  <c r="BB181"/>
  <c r="BB205" s="1"/>
  <c r="BB207" s="1"/>
  <c r="BF429" i="9"/>
  <c r="BF428"/>
  <c r="BF172" i="12" s="1"/>
  <c r="BF439" i="9"/>
  <c r="BF174" i="12" s="1"/>
  <c r="BF440" i="9"/>
  <c r="AF456"/>
  <c r="AF176" i="12" s="1"/>
  <c r="AF183" s="1"/>
  <c r="AF206" s="1"/>
  <c r="AF208" s="1"/>
  <c r="AF457" i="9"/>
  <c r="AF429"/>
  <c r="AF428"/>
  <c r="AF172" i="12" s="1"/>
  <c r="AJ456" i="9"/>
  <c r="AJ176" i="12" s="1"/>
  <c r="AJ183" s="1"/>
  <c r="AJ206" s="1"/>
  <c r="AJ208" s="1"/>
  <c r="AJ457" i="9"/>
  <c r="AJ428"/>
  <c r="AJ172" i="12" s="1"/>
  <c r="AJ429" i="9"/>
  <c r="AX70" i="33"/>
  <c r="AX446" i="9"/>
  <c r="AX447"/>
  <c r="AX456"/>
  <c r="AX176" i="12" s="1"/>
  <c r="AX183" s="1"/>
  <c r="AX206" s="1"/>
  <c r="AX208" s="1"/>
  <c r="AX457" i="9"/>
  <c r="AX115"/>
  <c r="AB440"/>
  <c r="AB439"/>
  <c r="AB174" i="12" s="1"/>
  <c r="AB428" i="9"/>
  <c r="AB172" i="12" s="1"/>
  <c r="AB429" i="9"/>
  <c r="AB94"/>
  <c r="AB291" i="12"/>
  <c r="AB153"/>
  <c r="AB103" i="9"/>
  <c r="AB62"/>
  <c r="AB156" i="12" s="1"/>
  <c r="AO457" i="9"/>
  <c r="AO456"/>
  <c r="AO176" i="12" s="1"/>
  <c r="AO183" s="1"/>
  <c r="AO206" s="1"/>
  <c r="AO208" s="1"/>
  <c r="AO429" i="9"/>
  <c r="AO428"/>
  <c r="AO172" i="12" s="1"/>
  <c r="K440" i="9"/>
  <c r="K439"/>
  <c r="K174" i="12" s="1"/>
  <c r="K447" i="9"/>
  <c r="K446"/>
  <c r="K450" s="1"/>
  <c r="K202"/>
  <c r="K103"/>
  <c r="K233" i="12"/>
  <c r="K250" s="1"/>
  <c r="K273" s="1"/>
  <c r="K231"/>
  <c r="K103"/>
  <c r="K35"/>
  <c r="K94" i="9"/>
  <c r="BI181" i="12"/>
  <c r="BI205" s="1"/>
  <c r="BI207" s="1"/>
  <c r="BI187"/>
  <c r="Y439" i="9"/>
  <c r="Y174" i="12" s="1"/>
  <c r="Y440" i="9"/>
  <c r="Y457"/>
  <c r="Y456"/>
  <c r="Y176" i="12" s="1"/>
  <c r="Y183" s="1"/>
  <c r="Y206" s="1"/>
  <c r="Y208" s="1"/>
  <c r="AE171" i="9"/>
  <c r="AA154"/>
  <c r="BG450"/>
  <c r="AU29" i="29"/>
  <c r="AU430" i="9"/>
  <c r="AU431" s="1"/>
  <c r="AU433"/>
  <c r="N181" i="12"/>
  <c r="N205" s="1"/>
  <c r="N207" s="1"/>
  <c r="N187"/>
  <c r="BD188"/>
  <c r="BD197"/>
  <c r="BD199" s="1"/>
  <c r="BD210" s="1"/>
  <c r="BD213" s="1"/>
  <c r="P430" i="9"/>
  <c r="P431" s="1"/>
  <c r="P29" i="29"/>
  <c r="P433" i="9"/>
  <c r="AY181" i="12"/>
  <c r="AY205" s="1"/>
  <c r="AY207" s="1"/>
  <c r="AY187"/>
  <c r="BH430" i="9"/>
  <c r="BH431" s="1"/>
  <c r="BH433"/>
  <c r="AQ188" i="12"/>
  <c r="AQ197"/>
  <c r="AQ199" s="1"/>
  <c r="AQ210" s="1"/>
  <c r="AQ213" s="1"/>
  <c r="N190"/>
  <c r="N198" s="1"/>
  <c r="N200" s="1"/>
  <c r="N211" s="1"/>
  <c r="N214" s="1"/>
  <c r="N257"/>
  <c r="N265" s="1"/>
  <c r="N267" s="1"/>
  <c r="N341"/>
  <c r="N349" s="1"/>
  <c r="N351" s="1"/>
  <c r="N362" s="1"/>
  <c r="N365" s="1"/>
  <c r="N292"/>
  <c r="W192" i="9"/>
  <c r="AY450"/>
  <c r="BH341" i="12"/>
  <c r="BH349" s="1"/>
  <c r="BH351" s="1"/>
  <c r="BH362" s="1"/>
  <c r="BH365" s="1"/>
  <c r="BH65" i="26" s="1"/>
  <c r="BH65" i="33" s="1"/>
  <c r="BH190" i="12"/>
  <c r="BH198" s="1"/>
  <c r="BH200" s="1"/>
  <c r="BH211" s="1"/>
  <c r="BH214" s="1"/>
  <c r="BH257"/>
  <c r="BH265" s="1"/>
  <c r="BH267" s="1"/>
  <c r="AQ31" i="29"/>
  <c r="AQ85" i="33"/>
  <c r="AQ85" i="26"/>
  <c r="BD85" i="33"/>
  <c r="BD85" i="26"/>
  <c r="BD31" i="29"/>
  <c r="BC85" i="33"/>
  <c r="BC31" i="29"/>
  <c r="BC85" i="26"/>
  <c r="AY339" i="12"/>
  <c r="AY348"/>
  <c r="AY350" s="1"/>
  <c r="AY361" s="1"/>
  <c r="AY364" s="1"/>
  <c r="AU181"/>
  <c r="AU205" s="1"/>
  <c r="AU207" s="1"/>
  <c r="AU187"/>
  <c r="N29" i="29"/>
  <c r="N430" i="9"/>
  <c r="N431" s="1"/>
  <c r="N433"/>
  <c r="P181" i="12"/>
  <c r="P205" s="1"/>
  <c r="P207" s="1"/>
  <c r="P187"/>
  <c r="AY29" i="29"/>
  <c r="AY430" i="9"/>
  <c r="AY431" s="1"/>
  <c r="AY433"/>
  <c r="BH181" i="12"/>
  <c r="BH205" s="1"/>
  <c r="BH207" s="1"/>
  <c r="BH187"/>
  <c r="AU257"/>
  <c r="AU265" s="1"/>
  <c r="AU267" s="1"/>
  <c r="AU278" s="1"/>
  <c r="AU190"/>
  <c r="AU198" s="1"/>
  <c r="AU200" s="1"/>
  <c r="AU211" s="1"/>
  <c r="AU214" s="1"/>
  <c r="AU341"/>
  <c r="AU349" s="1"/>
  <c r="AU351" s="1"/>
  <c r="P257"/>
  <c r="P265" s="1"/>
  <c r="P267" s="1"/>
  <c r="P341"/>
  <c r="P349" s="1"/>
  <c r="P351" s="1"/>
  <c r="P362" s="1"/>
  <c r="P365" s="1"/>
  <c r="P65" i="26" s="1"/>
  <c r="P65" i="33" s="1"/>
  <c r="P190" i="12"/>
  <c r="P198" s="1"/>
  <c r="P200" s="1"/>
  <c r="P211" s="1"/>
  <c r="P214" s="1"/>
  <c r="AY190"/>
  <c r="AY198" s="1"/>
  <c r="AY200" s="1"/>
  <c r="AY211" s="1"/>
  <c r="AY214" s="1"/>
  <c r="AY257"/>
  <c r="AY265" s="1"/>
  <c r="AY267" s="1"/>
  <c r="AY341"/>
  <c r="AY349" s="1"/>
  <c r="AY351" s="1"/>
  <c r="AY362" s="1"/>
  <c r="AY365" s="1"/>
  <c r="AY65" i="26" s="1"/>
  <c r="AY65" i="33" s="1"/>
  <c r="BC188" i="12"/>
  <c r="BC197"/>
  <c r="BC199" s="1"/>
  <c r="BC210" s="1"/>
  <c r="BC213" s="1"/>
  <c r="P292"/>
  <c r="P450" i="9"/>
  <c r="H29" i="29"/>
  <c r="H430" i="9"/>
  <c r="H431" s="1"/>
  <c r="H433"/>
  <c r="BG341" i="12"/>
  <c r="BG349" s="1"/>
  <c r="BG351" s="1"/>
  <c r="BG362" s="1"/>
  <c r="BG365" s="1"/>
  <c r="BG65" i="26" s="1"/>
  <c r="BG65" i="33" s="1"/>
  <c r="BG190" i="12"/>
  <c r="BG198" s="1"/>
  <c r="BG200" s="1"/>
  <c r="BG211" s="1"/>
  <c r="BG214" s="1"/>
  <c r="BG257"/>
  <c r="BG265" s="1"/>
  <c r="BG267" s="1"/>
  <c r="BH37"/>
  <c r="BH105"/>
  <c r="BH127"/>
  <c r="BH73"/>
  <c r="BH75" s="1"/>
  <c r="H190"/>
  <c r="H198" s="1"/>
  <c r="H200" s="1"/>
  <c r="H211" s="1"/>
  <c r="H214" s="1"/>
  <c r="H341"/>
  <c r="H349" s="1"/>
  <c r="H351" s="1"/>
  <c r="H362" s="1"/>
  <c r="H365" s="1"/>
  <c r="H65" i="26" s="1"/>
  <c r="H65" i="33" s="1"/>
  <c r="H257" i="12"/>
  <c r="H265" s="1"/>
  <c r="H267" s="1"/>
  <c r="AU264"/>
  <c r="AU266" s="1"/>
  <c r="AU277" s="1"/>
  <c r="AU280" s="1"/>
  <c r="AU255"/>
  <c r="AU73"/>
  <c r="AU75" s="1"/>
  <c r="AU127"/>
  <c r="AN112"/>
  <c r="AN46"/>
  <c r="AN254"/>
  <c r="AN243"/>
  <c r="AN272" s="1"/>
  <c r="AN274" s="1"/>
  <c r="AK446" i="9"/>
  <c r="AK447"/>
  <c r="AK439"/>
  <c r="AK174" i="12" s="1"/>
  <c r="AK440" i="9"/>
  <c r="BG187" i="12"/>
  <c r="BG181"/>
  <c r="BG205" s="1"/>
  <c r="BG207" s="1"/>
  <c r="H181"/>
  <c r="H205" s="1"/>
  <c r="H207" s="1"/>
  <c r="H187"/>
  <c r="AU44"/>
  <c r="AU134"/>
  <c r="AU136" s="1"/>
  <c r="AU81"/>
  <c r="AU83" s="1"/>
  <c r="AU72"/>
  <c r="AU74" s="1"/>
  <c r="AU126"/>
  <c r="AU128" s="1"/>
  <c r="AU56"/>
  <c r="I127"/>
  <c r="I73"/>
  <c r="I75" s="1"/>
  <c r="BH101"/>
  <c r="BH199" i="9"/>
  <c r="BH31" i="12"/>
  <c r="BH227"/>
  <c r="AN127"/>
  <c r="AN73"/>
  <c r="AN75" s="1"/>
  <c r="BH138" i="9"/>
  <c r="BH180"/>
  <c r="BH339" i="12"/>
  <c r="BH348"/>
  <c r="BH350" s="1"/>
  <c r="BH361" s="1"/>
  <c r="BH364" s="1"/>
  <c r="BH295"/>
  <c r="BH275"/>
  <c r="AN43"/>
  <c r="AN110"/>
  <c r="AN116"/>
  <c r="AN117" s="1"/>
  <c r="AN55"/>
  <c r="AK457" i="9"/>
  <c r="AK456"/>
  <c r="AK176" i="12" s="1"/>
  <c r="AK183" s="1"/>
  <c r="AK206" s="1"/>
  <c r="AK208" s="1"/>
  <c r="AK429" i="9"/>
  <c r="AK428"/>
  <c r="AK172" i="12" s="1"/>
  <c r="BG430" i="9"/>
  <c r="BG431" s="1"/>
  <c r="BG29" i="29"/>
  <c r="BG433" i="9"/>
  <c r="L154"/>
  <c r="BI64" i="26"/>
  <c r="BI64" i="33" s="1"/>
  <c r="Z47"/>
  <c r="BN47"/>
  <c r="Z288" i="12"/>
  <c r="Z77" i="9"/>
  <c r="Z150" i="12"/>
  <c r="Z429" i="9"/>
  <c r="Z428"/>
  <c r="Z172" i="12" s="1"/>
  <c r="Z440" i="9"/>
  <c r="Z439"/>
  <c r="Z174" i="12" s="1"/>
  <c r="Z103"/>
  <c r="Z35"/>
  <c r="Z231"/>
  <c r="Z227"/>
  <c r="Z101"/>
  <c r="Z31"/>
  <c r="I116"/>
  <c r="I117" s="1"/>
  <c r="I43"/>
  <c r="I55"/>
  <c r="I110"/>
  <c r="I243"/>
  <c r="I272" s="1"/>
  <c r="I274" s="1"/>
  <c r="I254"/>
  <c r="R439" i="9"/>
  <c r="R174" i="12" s="1"/>
  <c r="R440" i="9"/>
  <c r="R428"/>
  <c r="R172" i="12" s="1"/>
  <c r="R429" i="9"/>
  <c r="U229" i="12"/>
  <c r="U245" s="1"/>
  <c r="U246" s="1"/>
  <c r="U247" s="1"/>
  <c r="U248" s="1"/>
  <c r="U59" i="26" s="1"/>
  <c r="U33" i="12"/>
  <c r="U58" s="1"/>
  <c r="U59" s="1"/>
  <c r="U60" s="1"/>
  <c r="U61" s="1"/>
  <c r="U48" i="26" s="1"/>
  <c r="U48" i="33" s="1"/>
  <c r="U105" i="12"/>
  <c r="U37"/>
  <c r="I85" i="26"/>
  <c r="I31" i="29"/>
  <c r="I85" i="33"/>
  <c r="I267" i="12"/>
  <c r="I292"/>
  <c r="I138" i="9"/>
  <c r="I180"/>
  <c r="AC127" i="12"/>
  <c r="AC73"/>
  <c r="AC75" s="1"/>
  <c r="AF138" i="9"/>
  <c r="AF180"/>
  <c r="AI439"/>
  <c r="AI174" i="12" s="1"/>
  <c r="AI440" i="9"/>
  <c r="AI457"/>
  <c r="AI456"/>
  <c r="AI176" i="12" s="1"/>
  <c r="AI183" s="1"/>
  <c r="AI206" s="1"/>
  <c r="AI208" s="1"/>
  <c r="AI103" i="9"/>
  <c r="AI291" i="12"/>
  <c r="AI153"/>
  <c r="AI94" i="9"/>
  <c r="AI35" i="12"/>
  <c r="AI103"/>
  <c r="AI231"/>
  <c r="AI288"/>
  <c r="AI77" i="9"/>
  <c r="AI150" i="12"/>
  <c r="AZ433" i="9"/>
  <c r="AZ29" i="29"/>
  <c r="AZ430" i="9"/>
  <c r="AZ431" s="1"/>
  <c r="AM317" i="12"/>
  <c r="AM334" s="1"/>
  <c r="AM357" s="1"/>
  <c r="AM359" s="1"/>
  <c r="AM202" i="9"/>
  <c r="AM180"/>
  <c r="AM138"/>
  <c r="AM69" i="33"/>
  <c r="DM69"/>
  <c r="AM78" i="26"/>
  <c r="AM348" i="12"/>
  <c r="AM350" s="1"/>
  <c r="AM361" s="1"/>
  <c r="AM364" s="1"/>
  <c r="AM339"/>
  <c r="AD116"/>
  <c r="AD117" s="1"/>
  <c r="AD110"/>
  <c r="AD43"/>
  <c r="AD55"/>
  <c r="AZ348"/>
  <c r="AZ350" s="1"/>
  <c r="AZ361" s="1"/>
  <c r="AZ364" s="1"/>
  <c r="AZ339"/>
  <c r="AJ348"/>
  <c r="AJ350" s="1"/>
  <c r="AJ361" s="1"/>
  <c r="AJ364" s="1"/>
  <c r="AJ339"/>
  <c r="AJ138" i="9"/>
  <c r="AJ180"/>
  <c r="I295" i="12"/>
  <c r="I275"/>
  <c r="AD187"/>
  <c r="AD181"/>
  <c r="AD205" s="1"/>
  <c r="AD207" s="1"/>
  <c r="AC116"/>
  <c r="AC117" s="1"/>
  <c r="AC43"/>
  <c r="AC110"/>
  <c r="AC55"/>
  <c r="S446" i="9"/>
  <c r="S447"/>
  <c r="S439"/>
  <c r="S174" i="12" s="1"/>
  <c r="S440" i="9"/>
  <c r="S233" i="12"/>
  <c r="S250" s="1"/>
  <c r="S273" s="1"/>
  <c r="S103" i="9"/>
  <c r="T29" i="29"/>
  <c r="T430" i="9"/>
  <c r="T431" s="1"/>
  <c r="T433"/>
  <c r="M429"/>
  <c r="M428"/>
  <c r="M172" i="12" s="1"/>
  <c r="M447" i="9"/>
  <c r="M446"/>
  <c r="M288" i="12"/>
  <c r="M150"/>
  <c r="I46"/>
  <c r="I112"/>
  <c r="W428" i="9"/>
  <c r="W172" i="12" s="1"/>
  <c r="W429" i="9"/>
  <c r="W447"/>
  <c r="W446"/>
  <c r="U457"/>
  <c r="U456"/>
  <c r="U176" i="12" s="1"/>
  <c r="U183" s="1"/>
  <c r="U206" s="1"/>
  <c r="U208" s="1"/>
  <c r="U428" i="9"/>
  <c r="U172" i="12" s="1"/>
  <c r="U429" i="9"/>
  <c r="U150" i="12"/>
  <c r="U288"/>
  <c r="U77" i="9"/>
  <c r="I183"/>
  <c r="I205"/>
  <c r="X181" i="12"/>
  <c r="X205" s="1"/>
  <c r="X207" s="1"/>
  <c r="X187"/>
  <c r="X257"/>
  <c r="X265" s="1"/>
  <c r="X267" s="1"/>
  <c r="X278" s="1"/>
  <c r="X190"/>
  <c r="X198" s="1"/>
  <c r="X200" s="1"/>
  <c r="X211" s="1"/>
  <c r="X214" s="1"/>
  <c r="X341"/>
  <c r="X349" s="1"/>
  <c r="X351" s="1"/>
  <c r="AF348"/>
  <c r="AF350" s="1"/>
  <c r="AF361" s="1"/>
  <c r="AF364" s="1"/>
  <c r="AF339"/>
  <c r="BI31"/>
  <c r="BI101"/>
  <c r="BI199" i="9"/>
  <c r="BI227" i="12"/>
  <c r="BI105"/>
  <c r="BI37"/>
  <c r="AI138" i="9"/>
  <c r="AI180"/>
  <c r="AI115"/>
  <c r="AI205"/>
  <c r="AI227" i="12"/>
  <c r="AI199" i="9"/>
  <c r="AI101" i="12"/>
  <c r="AI31"/>
  <c r="BC37"/>
  <c r="BC105"/>
  <c r="M79" i="26"/>
  <c r="M79" i="33" s="1"/>
  <c r="M70"/>
  <c r="M204" i="9"/>
  <c r="M178"/>
  <c r="M190"/>
  <c r="M201"/>
  <c r="M132"/>
  <c r="M171" s="1"/>
  <c r="M153"/>
  <c r="M309" i="12"/>
  <c r="M322" s="1"/>
  <c r="M323" s="1"/>
  <c r="M324" s="1"/>
  <c r="M325" s="1"/>
  <c r="M69" i="26" s="1"/>
  <c r="M129" i="9"/>
  <c r="M154" s="1"/>
  <c r="M170"/>
  <c r="M179"/>
  <c r="M135"/>
  <c r="M162"/>
  <c r="M128"/>
  <c r="M141"/>
  <c r="M191"/>
  <c r="M196"/>
  <c r="AH181" i="12"/>
  <c r="AH205" s="1"/>
  <c r="AH207" s="1"/>
  <c r="AH187"/>
  <c r="AH430" i="9"/>
  <c r="AH431" s="1"/>
  <c r="AH29" i="29"/>
  <c r="AH433" i="9"/>
  <c r="AJ295" i="12"/>
  <c r="AJ275"/>
  <c r="J447" i="9"/>
  <c r="J446"/>
  <c r="J440"/>
  <c r="J439"/>
  <c r="J174" i="12" s="1"/>
  <c r="T190"/>
  <c r="T198" s="1"/>
  <c r="T200" s="1"/>
  <c r="T211" s="1"/>
  <c r="T214" s="1"/>
  <c r="T341"/>
  <c r="T349" s="1"/>
  <c r="T351" s="1"/>
  <c r="T362" s="1"/>
  <c r="T365" s="1"/>
  <c r="T257"/>
  <c r="T265" s="1"/>
  <c r="X46"/>
  <c r="X112"/>
  <c r="Z33"/>
  <c r="Z58" s="1"/>
  <c r="Z59" s="1"/>
  <c r="Z60" s="1"/>
  <c r="Z61" s="1"/>
  <c r="Z48" i="26" s="1"/>
  <c r="J48" i="34" s="1"/>
  <c r="Z229" i="12"/>
  <c r="Z245" s="1"/>
  <c r="Z246" s="1"/>
  <c r="Z247" s="1"/>
  <c r="Z248" s="1"/>
  <c r="Z59" i="26" s="1"/>
  <c r="J59" i="34" s="1"/>
  <c r="AM192" i="9"/>
  <c r="Z94"/>
  <c r="Z115"/>
  <c r="Z275" i="12"/>
  <c r="M75" i="9"/>
  <c r="M77" s="1"/>
  <c r="M76"/>
  <c r="M198"/>
  <c r="Z456"/>
  <c r="Z176" i="12" s="1"/>
  <c r="Z183" s="1"/>
  <c r="Z206" s="1"/>
  <c r="Z208" s="1"/>
  <c r="Z457" i="9"/>
  <c r="Z446"/>
  <c r="Z450" s="1"/>
  <c r="Z447"/>
  <c r="R457"/>
  <c r="R456"/>
  <c r="R176" i="12" s="1"/>
  <c r="R183" s="1"/>
  <c r="R206" s="1"/>
  <c r="R208" s="1"/>
  <c r="R446" i="9"/>
  <c r="R447"/>
  <c r="I348" i="12"/>
  <c r="I350" s="1"/>
  <c r="I361" s="1"/>
  <c r="I364" s="1"/>
  <c r="I339"/>
  <c r="AJ31"/>
  <c r="AJ199" i="9"/>
  <c r="AJ227" i="12"/>
  <c r="AJ101"/>
  <c r="AJ37"/>
  <c r="AJ105"/>
  <c r="L43"/>
  <c r="L55"/>
  <c r="L110"/>
  <c r="L116"/>
  <c r="L117" s="1"/>
  <c r="L254"/>
  <c r="L243"/>
  <c r="L272" s="1"/>
  <c r="L274" s="1"/>
  <c r="AI429" i="9"/>
  <c r="AI428"/>
  <c r="AI172" i="12" s="1"/>
  <c r="AI446" i="9"/>
  <c r="AI450" s="1"/>
  <c r="AI447"/>
  <c r="AI233" i="12"/>
  <c r="AI250" s="1"/>
  <c r="AI273" s="1"/>
  <c r="AI202" i="9"/>
  <c r="AZ187" i="12"/>
  <c r="AZ181"/>
  <c r="AZ205" s="1"/>
  <c r="AZ207" s="1"/>
  <c r="M63"/>
  <c r="M119"/>
  <c r="X63"/>
  <c r="X119"/>
  <c r="AD254"/>
  <c r="AD243"/>
  <c r="AD272" s="1"/>
  <c r="AD274" s="1"/>
  <c r="AF37"/>
  <c r="AF105"/>
  <c r="AF73"/>
  <c r="AF75" s="1"/>
  <c r="AF127"/>
  <c r="AJ69" i="33"/>
  <c r="AJ78" i="26"/>
  <c r="DJ69" i="33"/>
  <c r="AD433" i="9"/>
  <c r="AD430"/>
  <c r="AD431" s="1"/>
  <c r="AD29" i="29"/>
  <c r="AC254" i="12"/>
  <c r="AC243"/>
  <c r="AC272" s="1"/>
  <c r="AC274" s="1"/>
  <c r="BI295"/>
  <c r="BI275"/>
  <c r="BI127"/>
  <c r="BI73"/>
  <c r="BI75" s="1"/>
  <c r="S456" i="9"/>
  <c r="S176" i="12" s="1"/>
  <c r="S183" s="1"/>
  <c r="S206" s="1"/>
  <c r="S208" s="1"/>
  <c r="S457" i="9"/>
  <c r="S428"/>
  <c r="S172" i="12" s="1"/>
  <c r="S429" i="9"/>
  <c r="S231" i="12"/>
  <c r="S103"/>
  <c r="S35"/>
  <c r="S94" i="9"/>
  <c r="S33" i="12"/>
  <c r="S58" s="1"/>
  <c r="S59" s="1"/>
  <c r="S60" s="1"/>
  <c r="S61" s="1"/>
  <c r="S48" i="26" s="1"/>
  <c r="S48" i="33" s="1"/>
  <c r="S229" i="12"/>
  <c r="S245" s="1"/>
  <c r="S246" s="1"/>
  <c r="S247" s="1"/>
  <c r="S248" s="1"/>
  <c r="S59" i="26" s="1"/>
  <c r="T110" i="12"/>
  <c r="T116"/>
  <c r="T117" s="1"/>
  <c r="T55"/>
  <c r="T43"/>
  <c r="T243"/>
  <c r="T272" s="1"/>
  <c r="T274" s="1"/>
  <c r="T254"/>
  <c r="T187"/>
  <c r="T181"/>
  <c r="T205" s="1"/>
  <c r="T207" s="1"/>
  <c r="M46"/>
  <c r="M112"/>
  <c r="AD46"/>
  <c r="AD112"/>
  <c r="AI327"/>
  <c r="AI356" s="1"/>
  <c r="AI358" s="1"/>
  <c r="AI338"/>
  <c r="T295"/>
  <c r="T275"/>
  <c r="M456" i="9"/>
  <c r="M176" i="12" s="1"/>
  <c r="M183" s="1"/>
  <c r="M206" s="1"/>
  <c r="M208" s="1"/>
  <c r="M457" i="9"/>
  <c r="M439"/>
  <c r="M174" i="12" s="1"/>
  <c r="M440" i="9"/>
  <c r="Q197" i="12"/>
  <c r="Q199" s="1"/>
  <c r="Q210" s="1"/>
  <c r="Q213" s="1"/>
  <c r="Q188"/>
  <c r="Q85" i="33"/>
  <c r="Q85" i="26"/>
  <c r="Q31" i="29"/>
  <c r="AF101" i="12"/>
  <c r="AF31"/>
  <c r="AF227"/>
  <c r="AF199" i="9"/>
  <c r="AF295" i="12"/>
  <c r="AF275"/>
  <c r="W439" i="9"/>
  <c r="W174" i="12" s="1"/>
  <c r="W440" i="9"/>
  <c r="W457"/>
  <c r="W456"/>
  <c r="W176" i="12" s="1"/>
  <c r="W183" s="1"/>
  <c r="W206" s="1"/>
  <c r="W208" s="1"/>
  <c r="U439" i="9"/>
  <c r="U174" i="12" s="1"/>
  <c r="U440" i="9"/>
  <c r="U446"/>
  <c r="U450" s="1"/>
  <c r="U447"/>
  <c r="U231" i="12"/>
  <c r="U35"/>
  <c r="U103"/>
  <c r="I188"/>
  <c r="I197"/>
  <c r="I199" s="1"/>
  <c r="I210" s="1"/>
  <c r="I213" s="1"/>
  <c r="X29" i="29"/>
  <c r="X430" i="9"/>
  <c r="X431" s="1"/>
  <c r="X433"/>
  <c r="AI112"/>
  <c r="AI62"/>
  <c r="AI156" i="12" s="1"/>
  <c r="AZ257"/>
  <c r="AZ265" s="1"/>
  <c r="AZ267" s="1"/>
  <c r="AZ190"/>
  <c r="AZ198" s="1"/>
  <c r="AZ200" s="1"/>
  <c r="AZ211" s="1"/>
  <c r="AZ214" s="1"/>
  <c r="AZ341"/>
  <c r="AZ349" s="1"/>
  <c r="AZ351" s="1"/>
  <c r="AZ362" s="1"/>
  <c r="AZ365" s="1"/>
  <c r="AZ65" i="26" s="1"/>
  <c r="AZ65" i="33" s="1"/>
  <c r="T105" i="12"/>
  <c r="T157" s="1"/>
  <c r="T37"/>
  <c r="AM183" i="9"/>
  <c r="AM205"/>
  <c r="AD63" i="12"/>
  <c r="AD119"/>
  <c r="AC112"/>
  <c r="AC46"/>
  <c r="AJ79" i="33"/>
  <c r="AD257" i="12"/>
  <c r="AD265" s="1"/>
  <c r="AD341"/>
  <c r="AD349" s="1"/>
  <c r="AD351" s="1"/>
  <c r="AD362" s="1"/>
  <c r="AD365" s="1"/>
  <c r="AD65" i="26" s="1"/>
  <c r="AD190" i="12"/>
  <c r="AD198" s="1"/>
  <c r="AD200" s="1"/>
  <c r="AD211" s="1"/>
  <c r="AD214" s="1"/>
  <c r="AH341"/>
  <c r="AH349" s="1"/>
  <c r="AH351" s="1"/>
  <c r="AH362" s="1"/>
  <c r="AH365" s="1"/>
  <c r="AH65" i="26" s="1"/>
  <c r="AH190" i="12"/>
  <c r="AH198" s="1"/>
  <c r="AH200" s="1"/>
  <c r="AH211" s="1"/>
  <c r="AH214" s="1"/>
  <c r="AH257"/>
  <c r="AH265" s="1"/>
  <c r="AH267" s="1"/>
  <c r="AJ127"/>
  <c r="AJ73"/>
  <c r="AJ75" s="1"/>
  <c r="L73"/>
  <c r="L75" s="1"/>
  <c r="L127"/>
  <c r="J429" i="9"/>
  <c r="J428"/>
  <c r="J172" i="12" s="1"/>
  <c r="J457" i="9"/>
  <c r="J456"/>
  <c r="J176" i="12" s="1"/>
  <c r="J183" s="1"/>
  <c r="J206" s="1"/>
  <c r="J208" s="1"/>
  <c r="S288"/>
  <c r="S150"/>
  <c r="S76" i="9"/>
  <c r="S75"/>
  <c r="S198"/>
  <c r="S115"/>
  <c r="S112"/>
  <c r="T127" i="12"/>
  <c r="T73"/>
  <c r="T75" s="1"/>
  <c r="U101"/>
  <c r="U227"/>
  <c r="U31"/>
  <c r="AI33"/>
  <c r="AI58" s="1"/>
  <c r="AI59" s="1"/>
  <c r="AI60" s="1"/>
  <c r="AI61" s="1"/>
  <c r="AI48" i="26" s="1"/>
  <c r="AI229" i="12"/>
  <c r="AI245" s="1"/>
  <c r="AI246" s="1"/>
  <c r="AI247" s="1"/>
  <c r="AI248" s="1"/>
  <c r="AI59" i="26" s="1"/>
  <c r="L192" i="9"/>
  <c r="U112"/>
  <c r="Z103"/>
  <c r="Z112"/>
  <c r="BI77"/>
  <c r="AZ450"/>
  <c r="T79" i="26"/>
  <c r="T79" i="33" s="1"/>
  <c r="BA37" i="12"/>
  <c r="BA105"/>
  <c r="AW78" i="26"/>
  <c r="AW78" i="33" s="1"/>
  <c r="AW69"/>
  <c r="AR101" i="12"/>
  <c r="AR31"/>
  <c r="AR227"/>
  <c r="AR199" i="9"/>
  <c r="AW73" i="12"/>
  <c r="AW75" s="1"/>
  <c r="AW127"/>
  <c r="AE105"/>
  <c r="AE37"/>
  <c r="AE295"/>
  <c r="AE275"/>
  <c r="M327"/>
  <c r="M356" s="1"/>
  <c r="M358" s="1"/>
  <c r="M338"/>
  <c r="AN138" i="9"/>
  <c r="AN180"/>
  <c r="P180"/>
  <c r="P138"/>
  <c r="P78" i="26"/>
  <c r="P78" i="33" s="1"/>
  <c r="P69"/>
  <c r="N227" i="12"/>
  <c r="N101"/>
  <c r="N31"/>
  <c r="N199" i="9"/>
  <c r="N295" i="12"/>
  <c r="N275"/>
  <c r="N278" s="1"/>
  <c r="N105"/>
  <c r="N157" s="1"/>
  <c r="N37"/>
  <c r="S69" i="33"/>
  <c r="S78" i="26"/>
  <c r="S78" i="33" s="1"/>
  <c r="S180" i="9"/>
  <c r="S138"/>
  <c r="H180"/>
  <c r="H138"/>
  <c r="BA257" i="12"/>
  <c r="BA265" s="1"/>
  <c r="BA341"/>
  <c r="BA349" s="1"/>
  <c r="BA351" s="1"/>
  <c r="BA362" s="1"/>
  <c r="BA365" s="1"/>
  <c r="BA65" i="26" s="1"/>
  <c r="BA65" i="33" s="1"/>
  <c r="BA190" i="12"/>
  <c r="BA198" s="1"/>
  <c r="BA200" s="1"/>
  <c r="BA211" s="1"/>
  <c r="BA214" s="1"/>
  <c r="AH69" i="33"/>
  <c r="AH78" i="26"/>
  <c r="AQ46" i="12"/>
  <c r="AQ112"/>
  <c r="BF180" i="9"/>
  <c r="BF138"/>
  <c r="BE295" i="12"/>
  <c r="BE275"/>
  <c r="BE227"/>
  <c r="BE101"/>
  <c r="BE31"/>
  <c r="BE199" i="9"/>
  <c r="AO275" i="12"/>
  <c r="AO295"/>
  <c r="AR197"/>
  <c r="AR199" s="1"/>
  <c r="AR210" s="1"/>
  <c r="AR213" s="1"/>
  <c r="AR188"/>
  <c r="AR267"/>
  <c r="AR292"/>
  <c r="BN69" i="33"/>
  <c r="Z69"/>
  <c r="Z78" i="26"/>
  <c r="J78" i="34" s="1"/>
  <c r="AO180" i="9"/>
  <c r="AO138"/>
  <c r="AO78" i="26"/>
  <c r="AO78" i="33" s="1"/>
  <c r="AO69"/>
  <c r="AO348" i="12"/>
  <c r="AO350" s="1"/>
  <c r="AO361" s="1"/>
  <c r="AO364" s="1"/>
  <c r="AO339"/>
  <c r="AK73"/>
  <c r="AK75" s="1"/>
  <c r="AK127"/>
  <c r="O55"/>
  <c r="O110"/>
  <c r="O116"/>
  <c r="O117" s="1"/>
  <c r="O43"/>
  <c r="AV64" i="26"/>
  <c r="AV64" i="33" s="1"/>
  <c r="AV366" i="12"/>
  <c r="AP317"/>
  <c r="AP334" s="1"/>
  <c r="AP357" s="1"/>
  <c r="AP359" s="1"/>
  <c r="AP202" i="9"/>
  <c r="AP183"/>
  <c r="AP205"/>
  <c r="P295" i="12"/>
  <c r="P275"/>
  <c r="P278" s="1"/>
  <c r="AH275"/>
  <c r="AH295"/>
  <c r="BF105"/>
  <c r="BF37"/>
  <c r="AW101"/>
  <c r="AW227"/>
  <c r="AW31"/>
  <c r="AW199" i="9"/>
  <c r="AR275" i="12"/>
  <c r="AR295"/>
  <c r="AR73"/>
  <c r="AR75" s="1"/>
  <c r="AR127"/>
  <c r="BD69" i="33"/>
  <c r="BD78" i="26"/>
  <c r="BD78" i="33" s="1"/>
  <c r="AE227" i="12"/>
  <c r="AE101"/>
  <c r="AE199" i="9"/>
  <c r="AE31" i="12"/>
  <c r="AR105"/>
  <c r="AR37"/>
  <c r="P348"/>
  <c r="P350" s="1"/>
  <c r="P361" s="1"/>
  <c r="P364" s="1"/>
  <c r="P339"/>
  <c r="H348"/>
  <c r="H350" s="1"/>
  <c r="H361" s="1"/>
  <c r="H364" s="1"/>
  <c r="H339"/>
  <c r="BG37"/>
  <c r="BG105"/>
  <c r="BG157" s="1"/>
  <c r="AM112"/>
  <c r="AM46"/>
  <c r="Q73"/>
  <c r="Q75" s="1"/>
  <c r="Q127"/>
  <c r="BA116"/>
  <c r="BA117" s="1"/>
  <c r="BA110"/>
  <c r="BA55"/>
  <c r="BA43"/>
  <c r="BA181"/>
  <c r="BA205" s="1"/>
  <c r="BA207" s="1"/>
  <c r="BA187"/>
  <c r="J37"/>
  <c r="J105"/>
  <c r="AS69" i="33"/>
  <c r="AS78" i="26"/>
  <c r="AS78" i="33" s="1"/>
  <c r="AV37" i="12"/>
  <c r="AV105"/>
  <c r="AO199" i="9"/>
  <c r="AO101" i="12"/>
  <c r="AO227"/>
  <c r="AO31"/>
  <c r="O197"/>
  <c r="O199" s="1"/>
  <c r="O210" s="1"/>
  <c r="O213" s="1"/>
  <c r="O188"/>
  <c r="Z183" i="9"/>
  <c r="Z205"/>
  <c r="Z311" i="12"/>
  <c r="Z199" i="9"/>
  <c r="AK227" i="12"/>
  <c r="AK31"/>
  <c r="AK199" i="9"/>
  <c r="AK101" i="12"/>
  <c r="H275"/>
  <c r="H278" s="1"/>
  <c r="H295"/>
  <c r="O154"/>
  <c r="O129"/>
  <c r="O46"/>
  <c r="O112"/>
  <c r="L78" i="26"/>
  <c r="L78" i="33" s="1"/>
  <c r="L69"/>
  <c r="L138" i="9"/>
  <c r="L180"/>
  <c r="L317" i="12"/>
  <c r="L334" s="1"/>
  <c r="L357" s="1"/>
  <c r="L359" s="1"/>
  <c r="L202" i="9"/>
  <c r="L311" i="12"/>
  <c r="L199" i="9"/>
  <c r="L183"/>
  <c r="L205"/>
  <c r="AP180"/>
  <c r="AP138"/>
  <c r="AP311" i="12"/>
  <c r="AP199" i="9"/>
  <c r="AH127" i="12"/>
  <c r="AH73"/>
  <c r="AH75" s="1"/>
  <c r="BF101"/>
  <c r="BF31"/>
  <c r="BF199" i="9"/>
  <c r="BF227" i="12"/>
  <c r="V105"/>
  <c r="V157" s="1"/>
  <c r="V37"/>
  <c r="AS101"/>
  <c r="AS227"/>
  <c r="AS31"/>
  <c r="AS199" i="9"/>
  <c r="AS73" i="12"/>
  <c r="AS75" s="1"/>
  <c r="AS127"/>
  <c r="BD73"/>
  <c r="BD75" s="1"/>
  <c r="BD127"/>
  <c r="O317"/>
  <c r="O334" s="1"/>
  <c r="O357" s="1"/>
  <c r="O359" s="1"/>
  <c r="O362" s="1"/>
  <c r="O365" s="1"/>
  <c r="O65" i="26" s="1"/>
  <c r="O65" i="33" s="1"/>
  <c r="O202" i="9"/>
  <c r="W348" i="12"/>
  <c r="W350" s="1"/>
  <c r="W361" s="1"/>
  <c r="W364" s="1"/>
  <c r="W339"/>
  <c r="AV199" i="9"/>
  <c r="AV227" i="12"/>
  <c r="AV31"/>
  <c r="AV101"/>
  <c r="AZ295"/>
  <c r="AZ275"/>
  <c r="AZ37"/>
  <c r="AZ105"/>
  <c r="V227"/>
  <c r="V31"/>
  <c r="V101"/>
  <c r="AK348"/>
  <c r="AK350" s="1"/>
  <c r="AK361" s="1"/>
  <c r="AK364" s="1"/>
  <c r="AK339"/>
  <c r="DK79" i="33"/>
  <c r="AK79"/>
  <c r="Q69"/>
  <c r="Q78" i="26"/>
  <c r="Q78" i="33" s="1"/>
  <c r="O348" i="12"/>
  <c r="O350" s="1"/>
  <c r="O361" s="1"/>
  <c r="O364" s="1"/>
  <c r="O339"/>
  <c r="W105"/>
  <c r="W157" s="1"/>
  <c r="W37"/>
  <c r="AG112"/>
  <c r="AG46"/>
  <c r="O292"/>
  <c r="O267"/>
  <c r="O278" s="1"/>
  <c r="H199" i="9"/>
  <c r="H31" i="12"/>
  <c r="H101"/>
  <c r="H227"/>
  <c r="CC70" i="33"/>
  <c r="BL70"/>
  <c r="R275" i="12"/>
  <c r="R295"/>
  <c r="AR180" i="9"/>
  <c r="AR138"/>
  <c r="AR78" i="26"/>
  <c r="AR78" i="33" s="1"/>
  <c r="AR69"/>
  <c r="P37" i="12"/>
  <c r="P105"/>
  <c r="P157" s="1"/>
  <c r="BE64" i="26"/>
  <c r="BE64" i="33" s="1"/>
  <c r="AY37" i="12"/>
  <c r="AY105"/>
  <c r="Q339"/>
  <c r="Q348"/>
  <c r="Q350" s="1"/>
  <c r="Q361" s="1"/>
  <c r="Q364" s="1"/>
  <c r="AN192" i="9"/>
  <c r="AN154"/>
  <c r="N77"/>
  <c r="AR77"/>
  <c r="AU192"/>
  <c r="AU154"/>
  <c r="AO77"/>
  <c r="X192"/>
  <c r="AR192"/>
  <c r="BF77"/>
  <c r="AS77"/>
  <c r="BA348" i="12"/>
  <c r="BA350" s="1"/>
  <c r="BA361" s="1"/>
  <c r="BA364" s="1"/>
  <c r="BA339"/>
  <c r="AW138" i="9"/>
  <c r="AW180"/>
  <c r="AW348" i="12"/>
  <c r="AW350" s="1"/>
  <c r="AW361" s="1"/>
  <c r="AW364" s="1"/>
  <c r="AW339"/>
  <c r="N73"/>
  <c r="N75" s="1"/>
  <c r="N127"/>
  <c r="AN317"/>
  <c r="AN334" s="1"/>
  <c r="AN357" s="1"/>
  <c r="AN359" s="1"/>
  <c r="AN362" s="1"/>
  <c r="AN365" s="1"/>
  <c r="AN65" i="26" s="1"/>
  <c r="AN65" i="33" s="1"/>
  <c r="AN202" i="9"/>
  <c r="AN311" i="12"/>
  <c r="AN199" i="9"/>
  <c r="AN69" i="33"/>
  <c r="AN78" i="26"/>
  <c r="AN78" i="33" s="1"/>
  <c r="AL311" i="12"/>
  <c r="BG127"/>
  <c r="BG73"/>
  <c r="BG75" s="1"/>
  <c r="BD348"/>
  <c r="BD350" s="1"/>
  <c r="BD361" s="1"/>
  <c r="BD364" s="1"/>
  <c r="BD339"/>
  <c r="AW105"/>
  <c r="AW37"/>
  <c r="BG64" i="26"/>
  <c r="BG64" i="33" s="1"/>
  <c r="S348" i="12"/>
  <c r="S350" s="1"/>
  <c r="S361" s="1"/>
  <c r="S364" s="1"/>
  <c r="S339"/>
  <c r="BG275"/>
  <c r="BG278" s="1"/>
  <c r="BG295"/>
  <c r="CM79" i="33"/>
  <c r="AH79"/>
  <c r="AH138" i="9"/>
  <c r="AH180"/>
  <c r="AU183"/>
  <c r="AU205"/>
  <c r="AU317" i="12"/>
  <c r="AU334" s="1"/>
  <c r="AU357" s="1"/>
  <c r="AU359" s="1"/>
  <c r="AU362" s="1"/>
  <c r="AU365" s="1"/>
  <c r="AU65" i="26" s="1"/>
  <c r="AU65" i="33" s="1"/>
  <c r="AU202" i="9"/>
  <c r="AB327" i="12"/>
  <c r="AB356" s="1"/>
  <c r="AB358" s="1"/>
  <c r="AB338"/>
  <c r="AR85" i="26"/>
  <c r="AR31" i="29"/>
  <c r="AR85" i="33"/>
  <c r="Z317" i="12"/>
  <c r="Z334" s="1"/>
  <c r="Z357" s="1"/>
  <c r="Z359" s="1"/>
  <c r="Z202" i="9"/>
  <c r="Z138"/>
  <c r="Z180"/>
  <c r="O254" i="12"/>
  <c r="O243"/>
  <c r="O272" s="1"/>
  <c r="O274" s="1"/>
  <c r="AH101"/>
  <c r="AH199" i="9"/>
  <c r="AH227" i="12"/>
  <c r="AH31"/>
  <c r="BF73"/>
  <c r="BF75" s="1"/>
  <c r="BF127"/>
  <c r="AQ281"/>
  <c r="AQ54" i="26" s="1"/>
  <c r="AQ54" i="33" s="1"/>
  <c r="AQ298" i="12"/>
  <c r="BA295"/>
  <c r="BA275"/>
  <c r="BA63"/>
  <c r="BA119"/>
  <c r="AW295"/>
  <c r="AW275"/>
  <c r="AT275"/>
  <c r="AT295"/>
  <c r="AT105"/>
  <c r="AT37"/>
  <c r="AN183" i="9"/>
  <c r="AN205"/>
  <c r="BG101" i="12"/>
  <c r="BG199" i="9"/>
  <c r="BG31" i="12"/>
  <c r="BG227"/>
  <c r="BD180" i="9"/>
  <c r="BD138"/>
  <c r="Q227" i="12"/>
  <c r="Q199" i="9"/>
  <c r="Q101" i="12"/>
  <c r="Q31"/>
  <c r="Q275"/>
  <c r="Q278" s="1"/>
  <c r="Q295"/>
  <c r="AE73"/>
  <c r="AE75" s="1"/>
  <c r="AE127"/>
  <c r="S183" i="9"/>
  <c r="S205"/>
  <c r="S317" i="12"/>
  <c r="S334" s="1"/>
  <c r="S357" s="1"/>
  <c r="S359" s="1"/>
  <c r="S202" i="9"/>
  <c r="Q105" i="12"/>
  <c r="Q157" s="1"/>
  <c r="Q37"/>
  <c r="BA243"/>
  <c r="BA272" s="1"/>
  <c r="BA274" s="1"/>
  <c r="BA254"/>
  <c r="BA433" i="9"/>
  <c r="BA430"/>
  <c r="BA431" s="1"/>
  <c r="BA29" i="29"/>
  <c r="AH348" i="12"/>
  <c r="AH350" s="1"/>
  <c r="AH361" s="1"/>
  <c r="AH364" s="1"/>
  <c r="AH339"/>
  <c r="J227"/>
  <c r="J101"/>
  <c r="J31"/>
  <c r="U327"/>
  <c r="U356" s="1"/>
  <c r="U358" s="1"/>
  <c r="U338"/>
  <c r="AU180" i="9"/>
  <c r="AU138"/>
  <c r="AU69" i="33"/>
  <c r="AU78" i="26"/>
  <c r="AU78" i="33" s="1"/>
  <c r="AU311" i="12"/>
  <c r="AU199" i="9"/>
  <c r="BF339" i="12"/>
  <c r="BF348"/>
  <c r="BF350" s="1"/>
  <c r="BF361" s="1"/>
  <c r="BF364" s="1"/>
  <c r="AS348"/>
  <c r="AS350" s="1"/>
  <c r="AS361" s="1"/>
  <c r="AS364" s="1"/>
  <c r="AS339"/>
  <c r="AS138" i="9"/>
  <c r="AS180"/>
  <c r="W295" i="12"/>
  <c r="W275"/>
  <c r="BB327"/>
  <c r="BB356" s="1"/>
  <c r="BB358" s="1"/>
  <c r="BB338"/>
  <c r="AZ199" i="9"/>
  <c r="AZ31" i="12"/>
  <c r="AZ227"/>
  <c r="AZ101"/>
  <c r="AZ73"/>
  <c r="AZ75" s="1"/>
  <c r="AZ127"/>
  <c r="H105"/>
  <c r="H37"/>
  <c r="R105"/>
  <c r="R157" s="1"/>
  <c r="R37"/>
  <c r="AD338"/>
  <c r="AD327"/>
  <c r="AD356" s="1"/>
  <c r="AD358" s="1"/>
  <c r="AP69" i="33"/>
  <c r="AP78" i="26"/>
  <c r="AP78" i="33" s="1"/>
  <c r="AY31" i="12"/>
  <c r="AY227"/>
  <c r="AY101"/>
  <c r="AY199" i="9"/>
  <c r="BD101" i="12"/>
  <c r="BD31"/>
  <c r="BD199" i="9"/>
  <c r="BD227" i="12"/>
  <c r="J295"/>
  <c r="J275"/>
  <c r="J73"/>
  <c r="J75" s="1"/>
  <c r="J127"/>
  <c r="W180" i="9"/>
  <c r="W138"/>
  <c r="W78" i="26"/>
  <c r="W78" i="33" s="1"/>
  <c r="W69"/>
  <c r="BE127" i="12"/>
  <c r="BE73"/>
  <c r="BE75" s="1"/>
  <c r="AO105"/>
  <c r="AO37"/>
  <c r="AK275"/>
  <c r="AK295"/>
  <c r="H73"/>
  <c r="H75" s="1"/>
  <c r="H127"/>
  <c r="X317"/>
  <c r="X334" s="1"/>
  <c r="X357" s="1"/>
  <c r="X359" s="1"/>
  <c r="X362" s="1"/>
  <c r="X365" s="1"/>
  <c r="X65" i="26" s="1"/>
  <c r="X202" i="9"/>
  <c r="X311" i="12"/>
  <c r="X183" i="9"/>
  <c r="X205"/>
  <c r="AR348" i="12"/>
  <c r="AR350" s="1"/>
  <c r="AR361" s="1"/>
  <c r="AR364" s="1"/>
  <c r="AR339"/>
  <c r="P199" i="9"/>
  <c r="P227" i="12"/>
  <c r="P31"/>
  <c r="P101"/>
  <c r="V275"/>
  <c r="V295"/>
  <c r="V73"/>
  <c r="V75" s="1"/>
  <c r="V127"/>
  <c r="BD295"/>
  <c r="BD275"/>
  <c r="BD278" s="1"/>
  <c r="Q138" i="9"/>
  <c r="Q180"/>
  <c r="AY295" i="12"/>
  <c r="AY275"/>
  <c r="AY278" s="1"/>
  <c r="O138" i="9"/>
  <c r="O180"/>
  <c r="O78" i="26"/>
  <c r="O78" i="33" s="1"/>
  <c r="O69"/>
  <c r="O183" i="9"/>
  <c r="O205"/>
  <c r="AB78" i="33"/>
  <c r="CG69"/>
  <c r="AV275" i="12"/>
  <c r="AV278" s="1"/>
  <c r="AV295"/>
  <c r="AV73"/>
  <c r="AV75" s="1"/>
  <c r="AV127"/>
  <c r="BE37"/>
  <c r="BE105"/>
  <c r="AO73"/>
  <c r="AO75" s="1"/>
  <c r="AO127"/>
  <c r="O31" i="29"/>
  <c r="O85" i="33"/>
  <c r="O85" i="26"/>
  <c r="AK37" i="12"/>
  <c r="AK105"/>
  <c r="X138" i="9"/>
  <c r="X180"/>
  <c r="X78" i="26"/>
  <c r="X69" i="33"/>
  <c r="P127" i="12"/>
  <c r="P73"/>
  <c r="P75" s="1"/>
  <c r="AH37"/>
  <c r="AH105"/>
  <c r="AH157" s="1"/>
  <c r="BF295"/>
  <c r="BF275"/>
  <c r="AS37"/>
  <c r="AS105"/>
  <c r="AS295"/>
  <c r="AS275"/>
  <c r="AY127"/>
  <c r="AY73"/>
  <c r="AY75" s="1"/>
  <c r="DK69" i="33"/>
  <c r="AK69"/>
  <c r="AK78" i="26"/>
  <c r="AK180" i="9"/>
  <c r="AK138"/>
  <c r="BD37" i="12"/>
  <c r="BD105"/>
  <c r="Z192" i="9"/>
  <c r="AW77"/>
  <c r="BA450"/>
  <c r="AP192"/>
  <c r="AK77"/>
  <c r="AY77"/>
  <c r="O192"/>
  <c r="J77"/>
  <c r="X154"/>
  <c r="BA79" i="26"/>
  <c r="BA79" i="33" s="1"/>
  <c r="BC85" i="30" l="1"/>
  <c r="AL85"/>
  <c r="BE450" i="9"/>
  <c r="BE181" i="12"/>
  <c r="BE205" s="1"/>
  <c r="BE207" s="1"/>
  <c r="BE187"/>
  <c r="BE29" i="29"/>
  <c r="BE430" i="9"/>
  <c r="BE431" s="1"/>
  <c r="BE433"/>
  <c r="BE341" i="12"/>
  <c r="BE349" s="1"/>
  <c r="BE351" s="1"/>
  <c r="BE362" s="1"/>
  <c r="BE365" s="1"/>
  <c r="BE257"/>
  <c r="BE265" s="1"/>
  <c r="BE190"/>
  <c r="BE198" s="1"/>
  <c r="BE200" s="1"/>
  <c r="BE211" s="1"/>
  <c r="BE214" s="1"/>
  <c r="AJ84" i="30"/>
  <c r="U85"/>
  <c r="X85"/>
  <c r="AS85"/>
  <c r="AU85"/>
  <c r="AV85"/>
  <c r="AQ85"/>
  <c r="AW85"/>
  <c r="AO85"/>
  <c r="AN85"/>
  <c r="BA85"/>
  <c r="W85"/>
  <c r="T85"/>
  <c r="AR85"/>
  <c r="Y85"/>
  <c r="AT85"/>
  <c r="AZ85"/>
  <c r="AX85"/>
  <c r="R85"/>
  <c r="S85"/>
  <c r="Q43" i="34"/>
  <c r="Q52"/>
  <c r="L28"/>
  <c r="L52"/>
  <c r="Q63"/>
  <c r="Q28"/>
  <c r="L37"/>
  <c r="L63"/>
  <c r="Q37"/>
  <c r="L43"/>
  <c r="AP85" i="30"/>
  <c r="AD85"/>
  <c r="AF85"/>
  <c r="AE85"/>
  <c r="AA85"/>
  <c r="AC85"/>
  <c r="AB85"/>
  <c r="AG85"/>
  <c r="V85"/>
  <c r="AI85"/>
  <c r="AM85"/>
  <c r="AL105" i="12"/>
  <c r="Y204" i="9"/>
  <c r="Q70" i="34"/>
  <c r="R70" s="1"/>
  <c r="Y170" i="9"/>
  <c r="Y171"/>
  <c r="Y179"/>
  <c r="J76"/>
  <c r="BH278" i="12"/>
  <c r="W116" i="29"/>
  <c r="AT339" i="12"/>
  <c r="J291"/>
  <c r="J94" i="9"/>
  <c r="J153" i="12"/>
  <c r="J103" i="9"/>
  <c r="J288" i="12"/>
  <c r="J150"/>
  <c r="J62" i="9"/>
  <c r="J156" i="12" s="1"/>
  <c r="J112" i="9"/>
  <c r="K48" i="34"/>
  <c r="BO48" i="33" s="1"/>
  <c r="AA48"/>
  <c r="K59" i="34"/>
  <c r="BO59" i="33" s="1"/>
  <c r="AA79" i="26"/>
  <c r="AA59" i="33"/>
  <c r="AA94" i="9"/>
  <c r="AA103"/>
  <c r="AA153" i="12"/>
  <c r="AA291"/>
  <c r="AA112" i="9"/>
  <c r="AA62"/>
  <c r="AA156" i="12" s="1"/>
  <c r="AA202" i="9"/>
  <c r="AA233" i="12"/>
  <c r="AA250" s="1"/>
  <c r="AA273" s="1"/>
  <c r="AA205" i="9"/>
  <c r="AA115"/>
  <c r="K58" i="34"/>
  <c r="BO58" i="33" s="1"/>
  <c r="AA58"/>
  <c r="AA78" i="26"/>
  <c r="AA288" i="12"/>
  <c r="AA150"/>
  <c r="K47" i="34"/>
  <c r="BO47" i="33" s="1"/>
  <c r="AA47"/>
  <c r="AA75" i="9"/>
  <c r="AA198"/>
  <c r="R450"/>
  <c r="AX79" i="26"/>
  <c r="AX79" i="33" s="1"/>
  <c r="BI70" i="34"/>
  <c r="AX450" i="9"/>
  <c r="AU59" i="34"/>
  <c r="DE59" i="33" s="1"/>
  <c r="Y119" i="12"/>
  <c r="Y63"/>
  <c r="AQ79" i="26"/>
  <c r="AQ79" i="33" s="1"/>
  <c r="AM450" i="9"/>
  <c r="AM430"/>
  <c r="AM431" s="1"/>
  <c r="AM433"/>
  <c r="AM29" i="29"/>
  <c r="V190" i="9"/>
  <c r="V201"/>
  <c r="V152"/>
  <c r="V198"/>
  <c r="AH70" i="34"/>
  <c r="AG70" i="33"/>
  <c r="AG79" i="26"/>
  <c r="AG338" i="12"/>
  <c r="AG327"/>
  <c r="AG356" s="1"/>
  <c r="AG358" s="1"/>
  <c r="AX190" i="9"/>
  <c r="AX201"/>
  <c r="AX128"/>
  <c r="AX196"/>
  <c r="AX129"/>
  <c r="AX154" s="1"/>
  <c r="AX141"/>
  <c r="AX153"/>
  <c r="AX179"/>
  <c r="AX309" i="12"/>
  <c r="AX322" s="1"/>
  <c r="AX323" s="1"/>
  <c r="AX324" s="1"/>
  <c r="AX325" s="1"/>
  <c r="AX69" i="26" s="1"/>
  <c r="AX162" i="9"/>
  <c r="AX135"/>
  <c r="AX191"/>
  <c r="AX132"/>
  <c r="AX171" s="1"/>
  <c r="AX170"/>
  <c r="AM341" i="12"/>
  <c r="AM349" s="1"/>
  <c r="AM351" s="1"/>
  <c r="AM190"/>
  <c r="AM198" s="1"/>
  <c r="AM200" s="1"/>
  <c r="AM211" s="1"/>
  <c r="AM214" s="1"/>
  <c r="AM257"/>
  <c r="AM265" s="1"/>
  <c r="AM267" s="1"/>
  <c r="AM278" s="1"/>
  <c r="I69" i="34"/>
  <c r="Y69" i="33"/>
  <c r="Z69" i="34"/>
  <c r="CD69" i="33" s="1"/>
  <c r="Y78" i="26"/>
  <c r="AC178" i="9"/>
  <c r="AC204"/>
  <c r="AC79" i="26"/>
  <c r="AS70" i="34"/>
  <c r="DC70" i="33" s="1"/>
  <c r="AC70"/>
  <c r="AC198" i="9"/>
  <c r="AC152"/>
  <c r="W288" i="12"/>
  <c r="W150"/>
  <c r="W59" i="33"/>
  <c r="W79" i="26"/>
  <c r="W79" i="33" s="1"/>
  <c r="I47" i="34"/>
  <c r="Y47" i="33"/>
  <c r="Z47" i="34"/>
  <c r="Y112" i="9"/>
  <c r="Y62"/>
  <c r="Y156" i="12" s="1"/>
  <c r="Y153"/>
  <c r="Y103" i="9"/>
  <c r="Y291" i="12"/>
  <c r="Y94" i="9"/>
  <c r="W119" i="12"/>
  <c r="W63"/>
  <c r="AM187"/>
  <c r="AM181"/>
  <c r="AM205" s="1"/>
  <c r="AM207" s="1"/>
  <c r="V178" i="9"/>
  <c r="V204"/>
  <c r="V196"/>
  <c r="V141"/>
  <c r="V135"/>
  <c r="V128"/>
  <c r="V162"/>
  <c r="V153"/>
  <c r="V132"/>
  <c r="V171" s="1"/>
  <c r="V309" i="12"/>
  <c r="V322" s="1"/>
  <c r="V323" s="1"/>
  <c r="V324" s="1"/>
  <c r="V325" s="1"/>
  <c r="V69" i="26" s="1"/>
  <c r="V179" i="9"/>
  <c r="V129"/>
  <c r="V170"/>
  <c r="V191"/>
  <c r="V79" i="26"/>
  <c r="V79" i="33" s="1"/>
  <c r="V70"/>
  <c r="Y202" i="9"/>
  <c r="Y233" i="12"/>
  <c r="Y250" s="1"/>
  <c r="Y273" s="1"/>
  <c r="Y115" i="9"/>
  <c r="Y205"/>
  <c r="Y198"/>
  <c r="Y75"/>
  <c r="Y76"/>
  <c r="AG201"/>
  <c r="AG190"/>
  <c r="AG178"/>
  <c r="AG204"/>
  <c r="AG129"/>
  <c r="AG154" s="1"/>
  <c r="AG135"/>
  <c r="AG170"/>
  <c r="AG128"/>
  <c r="AG309" i="12"/>
  <c r="AG322" s="1"/>
  <c r="AG323" s="1"/>
  <c r="AG324" s="1"/>
  <c r="AG325" s="1"/>
  <c r="AG69" i="26" s="1"/>
  <c r="AP69" i="34" s="1"/>
  <c r="CT69" i="33" s="1"/>
  <c r="AG196" i="9"/>
  <c r="AG141"/>
  <c r="AG153"/>
  <c r="AG132"/>
  <c r="AG171" s="1"/>
  <c r="AG179"/>
  <c r="AG191"/>
  <c r="AG162"/>
  <c r="AX204"/>
  <c r="AX178"/>
  <c r="Y180"/>
  <c r="Y138"/>
  <c r="AC201"/>
  <c r="AC190"/>
  <c r="AC129"/>
  <c r="AC141"/>
  <c r="AC192" s="1"/>
  <c r="AC132"/>
  <c r="AC171" s="1"/>
  <c r="AC128"/>
  <c r="AC309" i="12"/>
  <c r="AC322" s="1"/>
  <c r="AC323" s="1"/>
  <c r="AC324" s="1"/>
  <c r="AC325" s="1"/>
  <c r="AC69" i="26" s="1"/>
  <c r="AC162" i="9"/>
  <c r="AC179"/>
  <c r="AC170"/>
  <c r="AC191"/>
  <c r="AC196"/>
  <c r="AC153"/>
  <c r="AC135"/>
  <c r="W153" i="12"/>
  <c r="W103" i="9"/>
  <c r="W94"/>
  <c r="W291" i="12"/>
  <c r="W62" i="9"/>
  <c r="W156" i="12" s="1"/>
  <c r="W112" i="9"/>
  <c r="W198"/>
  <c r="W75"/>
  <c r="Y288" i="12"/>
  <c r="Y150"/>
  <c r="I58" i="34"/>
  <c r="Y58" i="33"/>
  <c r="Z58" i="34"/>
  <c r="CD58" i="33" s="1"/>
  <c r="AM362" i="12"/>
  <c r="AM365" s="1"/>
  <c r="AM65" i="26" s="1"/>
  <c r="AP70" i="34"/>
  <c r="CT70" i="33" s="1"/>
  <c r="Y116" i="29"/>
  <c r="AZ278" i="12"/>
  <c r="J190" i="9"/>
  <c r="J201"/>
  <c r="J196"/>
  <c r="J128"/>
  <c r="J191"/>
  <c r="J170"/>
  <c r="J162"/>
  <c r="J135"/>
  <c r="J309" i="12"/>
  <c r="J322" s="1"/>
  <c r="J323" s="1"/>
  <c r="J153" i="9"/>
  <c r="J129"/>
  <c r="J179"/>
  <c r="J132"/>
  <c r="J171" s="1"/>
  <c r="J141"/>
  <c r="J178"/>
  <c r="J204"/>
  <c r="J152"/>
  <c r="J198"/>
  <c r="M70" i="34"/>
  <c r="BP70" i="33"/>
  <c r="AQ198" i="9"/>
  <c r="BC75"/>
  <c r="BC198"/>
  <c r="AQ128"/>
  <c r="AQ179"/>
  <c r="AQ129"/>
  <c r="AQ154" s="1"/>
  <c r="AQ135"/>
  <c r="AQ153"/>
  <c r="AQ191"/>
  <c r="AQ309" i="12"/>
  <c r="AQ322" s="1"/>
  <c r="AQ323" s="1"/>
  <c r="AQ324" s="1"/>
  <c r="AQ325" s="1"/>
  <c r="AQ69" i="26" s="1"/>
  <c r="AQ141" i="9"/>
  <c r="AQ170"/>
  <c r="AQ196"/>
  <c r="AQ132"/>
  <c r="AQ171" s="1"/>
  <c r="AQ162"/>
  <c r="AQ327" i="12"/>
  <c r="AQ356" s="1"/>
  <c r="AQ358" s="1"/>
  <c r="AQ338"/>
  <c r="R79" i="26"/>
  <c r="R79" i="33" s="1"/>
  <c r="R59"/>
  <c r="R119" i="12"/>
  <c r="R63"/>
  <c r="BB59" i="34"/>
  <c r="DL59" i="33" s="1"/>
  <c r="AL59"/>
  <c r="AT62" i="9"/>
  <c r="AT156" i="12" s="1"/>
  <c r="AT112" i="9"/>
  <c r="AT94"/>
  <c r="AT103"/>
  <c r="AT153" i="12"/>
  <c r="AT291"/>
  <c r="BB70" i="34"/>
  <c r="DL70" i="33" s="1"/>
  <c r="AL79" i="26"/>
  <c r="AL70" i="33"/>
  <c r="AL129" i="9"/>
  <c r="AL154" s="1"/>
  <c r="AL309" i="12"/>
  <c r="AL322" s="1"/>
  <c r="AL323" s="1"/>
  <c r="AL324" s="1"/>
  <c r="AL325" s="1"/>
  <c r="AL69" i="26" s="1"/>
  <c r="AL196" i="9"/>
  <c r="AL162"/>
  <c r="AL135"/>
  <c r="AL153"/>
  <c r="AL179"/>
  <c r="AL128"/>
  <c r="AL191"/>
  <c r="AL141"/>
  <c r="AL132"/>
  <c r="AL171" s="1"/>
  <c r="AL170"/>
  <c r="BC196"/>
  <c r="BC309" i="12"/>
  <c r="BC322" s="1"/>
  <c r="BC323" s="1"/>
  <c r="BC324" s="1"/>
  <c r="BC325" s="1"/>
  <c r="BC69" i="26" s="1"/>
  <c r="BC170" i="9"/>
  <c r="BC141"/>
  <c r="BC192" s="1"/>
  <c r="BC135"/>
  <c r="BC128"/>
  <c r="BC129"/>
  <c r="BC154" s="1"/>
  <c r="BC153"/>
  <c r="BC191"/>
  <c r="BC132"/>
  <c r="BC171" s="1"/>
  <c r="BC162"/>
  <c r="BC179"/>
  <c r="BC327" i="12"/>
  <c r="BC356" s="1"/>
  <c r="BC358" s="1"/>
  <c r="BC338"/>
  <c r="BC103" i="9"/>
  <c r="BC153" i="12"/>
  <c r="BC291"/>
  <c r="BC292" s="1"/>
  <c r="BC94" i="9"/>
  <c r="BC202"/>
  <c r="BC233" i="12"/>
  <c r="BC250" s="1"/>
  <c r="BC273" s="1"/>
  <c r="AL267"/>
  <c r="AL278" s="1"/>
  <c r="AL85" i="26"/>
  <c r="AL85" i="33"/>
  <c r="AL31" i="29"/>
  <c r="R288" i="12"/>
  <c r="R150"/>
  <c r="AL62" i="9"/>
  <c r="AL156" i="12" s="1"/>
  <c r="AL112" i="9"/>
  <c r="AL94"/>
  <c r="AL153" i="12"/>
  <c r="AL103" i="9"/>
  <c r="AL291" i="12"/>
  <c r="AL292" s="1"/>
  <c r="BB47" i="34"/>
  <c r="DL47" i="33" s="1"/>
  <c r="AL47"/>
  <c r="BB58" i="34"/>
  <c r="DL58" i="33" s="1"/>
  <c r="AL58"/>
  <c r="AL76" i="9"/>
  <c r="AL75"/>
  <c r="AL198"/>
  <c r="BC116" i="29"/>
  <c r="R116"/>
  <c r="BC119" i="12"/>
  <c r="BC63"/>
  <c r="AL197"/>
  <c r="AL199" s="1"/>
  <c r="AL210" s="1"/>
  <c r="AL213" s="1"/>
  <c r="AL188"/>
  <c r="AQ178" i="9"/>
  <c r="AQ204"/>
  <c r="AQ190"/>
  <c r="AQ201"/>
  <c r="AL112" i="12"/>
  <c r="AL46"/>
  <c r="AL48" i="33"/>
  <c r="BB48" i="34"/>
  <c r="DL48" i="33" s="1"/>
  <c r="AT288" i="12"/>
  <c r="AT150"/>
  <c r="AT75" i="9"/>
  <c r="AT198"/>
  <c r="AL201"/>
  <c r="AL190"/>
  <c r="AL204"/>
  <c r="AL178"/>
  <c r="BC178"/>
  <c r="BC204"/>
  <c r="BC79" i="26"/>
  <c r="BC79" i="33" s="1"/>
  <c r="BC70"/>
  <c r="BC150" i="12"/>
  <c r="BC288"/>
  <c r="BC112" i="9"/>
  <c r="BC62"/>
  <c r="BC156" i="12" s="1"/>
  <c r="R198" i="9"/>
  <c r="R75"/>
  <c r="R76"/>
  <c r="R62"/>
  <c r="R156" i="12" s="1"/>
  <c r="R112" i="9"/>
  <c r="R291" i="12"/>
  <c r="R153"/>
  <c r="R103" i="9"/>
  <c r="R94"/>
  <c r="AL150" i="12"/>
  <c r="AL288"/>
  <c r="AL63"/>
  <c r="AL119"/>
  <c r="AT119"/>
  <c r="AT63"/>
  <c r="BC76" i="9"/>
  <c r="BC201"/>
  <c r="AL116" i="29"/>
  <c r="AT59" i="34"/>
  <c r="DD59" i="33" s="1"/>
  <c r="AD59"/>
  <c r="AU48" i="34"/>
  <c r="DE48" i="33" s="1"/>
  <c r="I278" i="12"/>
  <c r="AO58" i="34"/>
  <c r="CS58" i="33" s="1"/>
  <c r="AF69"/>
  <c r="AV69" i="34"/>
  <c r="DF69" i="33" s="1"/>
  <c r="AF247" i="12"/>
  <c r="AF248" s="1"/>
  <c r="AF59" i="26" s="1"/>
  <c r="AT278" i="12"/>
  <c r="BG366"/>
  <c r="BI278"/>
  <c r="BG292"/>
  <c r="AH278"/>
  <c r="BI366"/>
  <c r="L450" i="9"/>
  <c r="Z59" i="34"/>
  <c r="CD59" i="33" s="1"/>
  <c r="Y59"/>
  <c r="I59" i="34"/>
  <c r="L59" s="1"/>
  <c r="BP59" i="33" s="1"/>
  <c r="Y79" i="26"/>
  <c r="I48" i="34"/>
  <c r="L48" s="1"/>
  <c r="BP48" i="33" s="1"/>
  <c r="Z48" i="34"/>
  <c r="CD48" i="33" s="1"/>
  <c r="Y48"/>
  <c r="AQ227" i="12"/>
  <c r="AQ199" i="9"/>
  <c r="AQ101" i="12"/>
  <c r="AQ31"/>
  <c r="AQ77" i="9"/>
  <c r="AQ73" i="12"/>
  <c r="AQ75" s="1"/>
  <c r="AQ127"/>
  <c r="AS59" i="33"/>
  <c r="AS79" i="26"/>
  <c r="AS79" i="33" s="1"/>
  <c r="H48" i="34"/>
  <c r="Y48"/>
  <c r="CC48" i="33" s="1"/>
  <c r="X48"/>
  <c r="X75" i="9"/>
  <c r="X198"/>
  <c r="Y47" i="34"/>
  <c r="AP47"/>
  <c r="CT47" i="33" s="1"/>
  <c r="H47" i="34"/>
  <c r="X47" i="33"/>
  <c r="X58"/>
  <c r="AP58" i="34"/>
  <c r="CT58" i="33" s="1"/>
  <c r="Y58" i="34"/>
  <c r="H58"/>
  <c r="X116" i="29"/>
  <c r="Y59" i="34"/>
  <c r="CC59" i="33" s="1"/>
  <c r="X59"/>
  <c r="X79" i="26"/>
  <c r="H59" i="34"/>
  <c r="X112" i="9"/>
  <c r="X62"/>
  <c r="X156" i="12" s="1"/>
  <c r="X288"/>
  <c r="X77" i="9"/>
  <c r="X150" i="12"/>
  <c r="X153"/>
  <c r="X291"/>
  <c r="X292" s="1"/>
  <c r="X103" i="9"/>
  <c r="BB116" i="29"/>
  <c r="K192" i="9"/>
  <c r="K180"/>
  <c r="K138"/>
  <c r="AG73" i="12"/>
  <c r="AG75" s="1"/>
  <c r="AG127"/>
  <c r="K69" i="33"/>
  <c r="K78" i="26"/>
  <c r="K78" i="33" s="1"/>
  <c r="H292" i="12"/>
  <c r="AE70" i="33"/>
  <c r="AU70" i="34"/>
  <c r="DE70" i="33" s="1"/>
  <c r="AE79" i="26"/>
  <c r="AU79" i="34" s="1"/>
  <c r="DE79" i="33" s="1"/>
  <c r="AG227" i="12"/>
  <c r="AG199" i="9"/>
  <c r="AG101" i="12"/>
  <c r="AG31"/>
  <c r="AD79" i="33"/>
  <c r="AT79" i="34"/>
  <c r="DD79" i="33" s="1"/>
  <c r="AF52" i="12"/>
  <c r="AF53" s="1"/>
  <c r="AF47" i="26" s="1"/>
  <c r="AF331" i="12"/>
  <c r="AF332" s="1"/>
  <c r="AF70" i="26" s="1"/>
  <c r="AF240" i="12"/>
  <c r="AF241" s="1"/>
  <c r="AF58" i="26" s="1"/>
  <c r="AT48" i="34"/>
  <c r="DD48" i="33" s="1"/>
  <c r="AD48"/>
  <c r="AD58"/>
  <c r="AT58" i="34"/>
  <c r="AE324" i="12"/>
  <c r="AE325" s="1"/>
  <c r="AE69" i="26" s="1"/>
  <c r="AE52" i="12"/>
  <c r="AE53" s="1"/>
  <c r="AE47" i="26" s="1"/>
  <c r="BE47" i="34" s="1"/>
  <c r="DO47" i="33" s="1"/>
  <c r="AE240" i="12"/>
  <c r="AE241" s="1"/>
  <c r="AE58" i="26" s="1"/>
  <c r="AF60" i="12"/>
  <c r="AF61" s="1"/>
  <c r="AF48" i="26" s="1"/>
  <c r="AT69" i="34"/>
  <c r="DD69" i="33" s="1"/>
  <c r="AD69"/>
  <c r="AD78" i="26"/>
  <c r="AT47" i="34"/>
  <c r="AD47" i="33"/>
  <c r="AJ69" i="34"/>
  <c r="AI69" i="33"/>
  <c r="AI78" i="26"/>
  <c r="H78" i="34"/>
  <c r="Y78"/>
  <c r="H65"/>
  <c r="Y65"/>
  <c r="AJ48"/>
  <c r="AZ78"/>
  <c r="BC78"/>
  <c r="BC65"/>
  <c r="AC48"/>
  <c r="CG48" i="33" s="1"/>
  <c r="AP48" i="34"/>
  <c r="AZ79"/>
  <c r="DJ79" i="33" s="1"/>
  <c r="BA78" i="34"/>
  <c r="AI78"/>
  <c r="CM78" i="33" s="1"/>
  <c r="AJ59" i="34"/>
  <c r="AI65"/>
  <c r="AT65"/>
  <c r="AP59"/>
  <c r="AC59"/>
  <c r="CG59" i="33" s="1"/>
  <c r="BC79" i="34"/>
  <c r="DM79" i="33" s="1"/>
  <c r="AP181" i="12"/>
  <c r="AP205" s="1"/>
  <c r="AP207" s="1"/>
  <c r="AP187"/>
  <c r="R339"/>
  <c r="R348"/>
  <c r="R350" s="1"/>
  <c r="R361" s="1"/>
  <c r="R364" s="1"/>
  <c r="R64" i="26" s="1"/>
  <c r="R64" i="33" s="1"/>
  <c r="AM77" i="9"/>
  <c r="AM199"/>
  <c r="AM101" i="12"/>
  <c r="AM31"/>
  <c r="AM227"/>
  <c r="AP59" i="33"/>
  <c r="AP79" i="26"/>
  <c r="AP79" i="33" s="1"/>
  <c r="BB63" i="12"/>
  <c r="BB119"/>
  <c r="BB291"/>
  <c r="BB292" s="1"/>
  <c r="BB103" i="9"/>
  <c r="BB153" i="12"/>
  <c r="BB94" i="9"/>
  <c r="BB288" i="12"/>
  <c r="BB150"/>
  <c r="BB112" i="9"/>
  <c r="BB62"/>
  <c r="BB156" i="12" s="1"/>
  <c r="BB115" i="9"/>
  <c r="BB205"/>
  <c r="AP227" i="12"/>
  <c r="AP101"/>
  <c r="AP31"/>
  <c r="AP295"/>
  <c r="AP275"/>
  <c r="R69" i="33"/>
  <c r="R78" i="26"/>
  <c r="R78" i="33" s="1"/>
  <c r="R180" i="9"/>
  <c r="R138"/>
  <c r="R183"/>
  <c r="R205"/>
  <c r="BB75"/>
  <c r="BB77" s="1"/>
  <c r="BB198"/>
  <c r="BB76"/>
  <c r="BB138"/>
  <c r="BB180"/>
  <c r="AM73" i="12"/>
  <c r="AM75" s="1"/>
  <c r="AM127"/>
  <c r="V450" i="9"/>
  <c r="AV292" i="12"/>
  <c r="AT192" i="9"/>
  <c r="AP450"/>
  <c r="R192"/>
  <c r="BB79" i="26"/>
  <c r="BB79" i="33" s="1"/>
  <c r="AP29" i="29"/>
  <c r="AP433" i="9"/>
  <c r="AP430"/>
  <c r="AP431" s="1"/>
  <c r="R317" i="12"/>
  <c r="R334" s="1"/>
  <c r="R357" s="1"/>
  <c r="R359" s="1"/>
  <c r="R202" i="9"/>
  <c r="AM79" i="33"/>
  <c r="AP105" i="12"/>
  <c r="AP37"/>
  <c r="AP119"/>
  <c r="AP63"/>
  <c r="AP257"/>
  <c r="AP265" s="1"/>
  <c r="AP190"/>
  <c r="AP198" s="1"/>
  <c r="AP200" s="1"/>
  <c r="AP211" s="1"/>
  <c r="AP214" s="1"/>
  <c r="AP341"/>
  <c r="AP349" s="1"/>
  <c r="AP351" s="1"/>
  <c r="AP362" s="1"/>
  <c r="AP365" s="1"/>
  <c r="AP65" i="26" s="1"/>
  <c r="AP65" i="33" s="1"/>
  <c r="BB233" i="12"/>
  <c r="BB250" s="1"/>
  <c r="BB273" s="1"/>
  <c r="BB202" i="9"/>
  <c r="BB69" i="33"/>
  <c r="BB78" i="26"/>
  <c r="BB78" i="33" s="1"/>
  <c r="BH292" i="12"/>
  <c r="L112"/>
  <c r="L46"/>
  <c r="L29" i="29"/>
  <c r="L430" i="9"/>
  <c r="L431" s="1"/>
  <c r="L433"/>
  <c r="AT138"/>
  <c r="AT180"/>
  <c r="AT69" i="33"/>
  <c r="AT78" i="26"/>
  <c r="AT78" i="33" s="1"/>
  <c r="AT317" i="12"/>
  <c r="AT334" s="1"/>
  <c r="AT357" s="1"/>
  <c r="AT359" s="1"/>
  <c r="AT362" s="1"/>
  <c r="AT365" s="1"/>
  <c r="AT202" i="9"/>
  <c r="AT292" i="12"/>
  <c r="L181"/>
  <c r="L205" s="1"/>
  <c r="L207" s="1"/>
  <c r="L187"/>
  <c r="AA63"/>
  <c r="AA119"/>
  <c r="AT205" i="9"/>
  <c r="AT183"/>
  <c r="L341" i="12"/>
  <c r="L349" s="1"/>
  <c r="L351" s="1"/>
  <c r="L362" s="1"/>
  <c r="L365" s="1"/>
  <c r="L65" i="26" s="1"/>
  <c r="L65" i="33" s="1"/>
  <c r="L257" i="12"/>
  <c r="L265" s="1"/>
  <c r="L190"/>
  <c r="L198" s="1"/>
  <c r="L200" s="1"/>
  <c r="L211" s="1"/>
  <c r="L214" s="1"/>
  <c r="AT197"/>
  <c r="AT199" s="1"/>
  <c r="AT210" s="1"/>
  <c r="AT213" s="1"/>
  <c r="AT188"/>
  <c r="AU135"/>
  <c r="AU82"/>
  <c r="AU84" s="1"/>
  <c r="AU87" s="1"/>
  <c r="AU90" s="1"/>
  <c r="AT64" i="26"/>
  <c r="AT64" i="33" s="1"/>
  <c r="AT31" i="29"/>
  <c r="AT85" i="33"/>
  <c r="AT85" i="26"/>
  <c r="AS450" i="9"/>
  <c r="BB85" i="26"/>
  <c r="BB85" i="33"/>
  <c r="BB31" i="29"/>
  <c r="BI197" i="12"/>
  <c r="BI199" s="1"/>
  <c r="BI210" s="1"/>
  <c r="BI213" s="1"/>
  <c r="BI215" s="1"/>
  <c r="BI216" s="1"/>
  <c r="BI217" s="1"/>
  <c r="BI188"/>
  <c r="K275"/>
  <c r="K295"/>
  <c r="AO433" i="9"/>
  <c r="AO430"/>
  <c r="AO431" s="1"/>
  <c r="AO29" i="29"/>
  <c r="AB29"/>
  <c r="AB430" i="9"/>
  <c r="AB431" s="1"/>
  <c r="AB433"/>
  <c r="AB190" i="12"/>
  <c r="AB198" s="1"/>
  <c r="AB200" s="1"/>
  <c r="AB211" s="1"/>
  <c r="AB214" s="1"/>
  <c r="AB341"/>
  <c r="AB349" s="1"/>
  <c r="AB351" s="1"/>
  <c r="AB362" s="1"/>
  <c r="AB365" s="1"/>
  <c r="AB65" i="26" s="1"/>
  <c r="AB257" i="12"/>
  <c r="AB265" s="1"/>
  <c r="AX37"/>
  <c r="AX105"/>
  <c r="AJ433" i="9"/>
  <c r="AJ430"/>
  <c r="AJ431" s="1"/>
  <c r="AJ29" i="29"/>
  <c r="AF181" i="12"/>
  <c r="AF205" s="1"/>
  <c r="AF207" s="1"/>
  <c r="AF187"/>
  <c r="BF181"/>
  <c r="BF205" s="1"/>
  <c r="BF207" s="1"/>
  <c r="BF187"/>
  <c r="AA181"/>
  <c r="AA205" s="1"/>
  <c r="AA207" s="1"/>
  <c r="AA187"/>
  <c r="AS190"/>
  <c r="AS198" s="1"/>
  <c r="AS200" s="1"/>
  <c r="AS211" s="1"/>
  <c r="AS214" s="1"/>
  <c r="AS257"/>
  <c r="AS265" s="1"/>
  <c r="AS341"/>
  <c r="AS349" s="1"/>
  <c r="AS351" s="1"/>
  <c r="AS362" s="1"/>
  <c r="AS365" s="1"/>
  <c r="AS65" i="26" s="1"/>
  <c r="AS65" i="33" s="1"/>
  <c r="AE341" i="12"/>
  <c r="AE349" s="1"/>
  <c r="AE351" s="1"/>
  <c r="AE362" s="1"/>
  <c r="AE365" s="1"/>
  <c r="AE65" i="26" s="1"/>
  <c r="AE190" i="12"/>
  <c r="AE198" s="1"/>
  <c r="AE200" s="1"/>
  <c r="AE211" s="1"/>
  <c r="AE214" s="1"/>
  <c r="AE257"/>
  <c r="AE265" s="1"/>
  <c r="AW187"/>
  <c r="AW181"/>
  <c r="AW205" s="1"/>
  <c r="AW207" s="1"/>
  <c r="AW341"/>
  <c r="AW349" s="1"/>
  <c r="AW351" s="1"/>
  <c r="AW362" s="1"/>
  <c r="AW365" s="1"/>
  <c r="AW65" i="26" s="1"/>
  <c r="AW65" i="33" s="1"/>
  <c r="AW257" i="12"/>
  <c r="AW265" s="1"/>
  <c r="AW190"/>
  <c r="AW198" s="1"/>
  <c r="AW200" s="1"/>
  <c r="AW211" s="1"/>
  <c r="AW214" s="1"/>
  <c r="V341"/>
  <c r="V349" s="1"/>
  <c r="V351" s="1"/>
  <c r="V190"/>
  <c r="V198" s="1"/>
  <c r="V200" s="1"/>
  <c r="V211" s="1"/>
  <c r="V214" s="1"/>
  <c r="V257"/>
  <c r="V265" s="1"/>
  <c r="AC190"/>
  <c r="AC198" s="1"/>
  <c r="AC200" s="1"/>
  <c r="AC211" s="1"/>
  <c r="AC214" s="1"/>
  <c r="AC341"/>
  <c r="AC349" s="1"/>
  <c r="AC351" s="1"/>
  <c r="AC257"/>
  <c r="AC265" s="1"/>
  <c r="AC430" i="9"/>
  <c r="AC431" s="1"/>
  <c r="AC29" i="29"/>
  <c r="AC433" i="9"/>
  <c r="K339" i="12"/>
  <c r="K348"/>
  <c r="K350" s="1"/>
  <c r="K361" s="1"/>
  <c r="K364" s="1"/>
  <c r="Y181"/>
  <c r="Y205" s="1"/>
  <c r="Y207" s="1"/>
  <c r="Y187"/>
  <c r="K187"/>
  <c r="K181"/>
  <c r="K205" s="1"/>
  <c r="K207" s="1"/>
  <c r="AB105"/>
  <c r="AB37"/>
  <c r="AX295"/>
  <c r="AX275"/>
  <c r="AX430" i="9"/>
  <c r="AX431" s="1"/>
  <c r="AX433"/>
  <c r="AX29" i="29"/>
  <c r="AX190" i="12"/>
  <c r="AX198" s="1"/>
  <c r="AX200" s="1"/>
  <c r="AX211" s="1"/>
  <c r="AX214" s="1"/>
  <c r="AX341"/>
  <c r="AX349" s="1"/>
  <c r="AX351" s="1"/>
  <c r="AX257"/>
  <c r="AX265" s="1"/>
  <c r="AF257"/>
  <c r="AF265" s="1"/>
  <c r="AF341"/>
  <c r="AF349" s="1"/>
  <c r="AF351" s="1"/>
  <c r="AF362" s="1"/>
  <c r="AF365" s="1"/>
  <c r="AF65" i="26" s="1"/>
  <c r="AF190" i="12"/>
  <c r="AF198" s="1"/>
  <c r="AF200" s="1"/>
  <c r="AF211" s="1"/>
  <c r="AF214" s="1"/>
  <c r="AS433" i="9"/>
  <c r="AS29" i="29"/>
  <c r="AS430" i="9"/>
  <c r="AS431" s="1"/>
  <c r="AB48" i="33"/>
  <c r="AG85"/>
  <c r="AG31" i="29"/>
  <c r="AG85" i="26"/>
  <c r="AX119" i="12"/>
  <c r="AX63"/>
  <c r="AE29" i="29"/>
  <c r="AE433" i="9"/>
  <c r="AE430"/>
  <c r="AE431" s="1"/>
  <c r="V181" i="12"/>
  <c r="V205" s="1"/>
  <c r="V207" s="1"/>
  <c r="V187"/>
  <c r="BI292"/>
  <c r="AB450" i="9"/>
  <c r="AF450"/>
  <c r="AA450"/>
  <c r="Y341" i="12"/>
  <c r="Y349" s="1"/>
  <c r="Y351" s="1"/>
  <c r="Y362" s="1"/>
  <c r="Y365" s="1"/>
  <c r="Y65" i="26" s="1"/>
  <c r="Y190" i="12"/>
  <c r="Y198" s="1"/>
  <c r="Y200" s="1"/>
  <c r="Y211" s="1"/>
  <c r="Y214" s="1"/>
  <c r="Y257"/>
  <c r="Y265" s="1"/>
  <c r="K119"/>
  <c r="K63"/>
  <c r="K257"/>
  <c r="K265" s="1"/>
  <c r="K190"/>
  <c r="K198" s="1"/>
  <c r="K200" s="1"/>
  <c r="K211" s="1"/>
  <c r="K214" s="1"/>
  <c r="K341"/>
  <c r="K349" s="1"/>
  <c r="K351" s="1"/>
  <c r="K362" s="1"/>
  <c r="K365" s="1"/>
  <c r="K65" i="26" s="1"/>
  <c r="K65" i="33" s="1"/>
  <c r="AO181" i="12"/>
  <c r="AO205" s="1"/>
  <c r="AO207" s="1"/>
  <c r="AO187"/>
  <c r="AB187"/>
  <c r="AB181"/>
  <c r="AB205" s="1"/>
  <c r="AB207" s="1"/>
  <c r="AJ181"/>
  <c r="AJ205" s="1"/>
  <c r="AJ207" s="1"/>
  <c r="AJ187"/>
  <c r="AF430" i="9"/>
  <c r="AF431" s="1"/>
  <c r="AF29" i="29"/>
  <c r="AF433" i="9"/>
  <c r="BF341" i="12"/>
  <c r="BF349" s="1"/>
  <c r="BF351" s="1"/>
  <c r="BF362" s="1"/>
  <c r="BF365" s="1"/>
  <c r="BF65" i="26" s="1"/>
  <c r="BF65" i="33" s="1"/>
  <c r="BF190" i="12"/>
  <c r="BF198" s="1"/>
  <c r="BF200" s="1"/>
  <c r="BF211" s="1"/>
  <c r="BF214" s="1"/>
  <c r="BF257"/>
  <c r="BF265" s="1"/>
  <c r="BF29" i="29"/>
  <c r="BF433" i="9"/>
  <c r="BF430"/>
  <c r="BF431" s="1"/>
  <c r="BB188" i="12"/>
  <c r="BB197"/>
  <c r="BB199" s="1"/>
  <c r="BB210" s="1"/>
  <c r="BB213" s="1"/>
  <c r="AN30" i="29"/>
  <c r="AN84" i="33"/>
  <c r="AN215" i="12"/>
  <c r="AN84" i="26"/>
  <c r="AA433" i="9"/>
  <c r="AA430"/>
  <c r="AA431" s="1"/>
  <c r="AA29" i="29"/>
  <c r="K227" i="12"/>
  <c r="K199" i="9"/>
  <c r="K101" i="12"/>
  <c r="K31"/>
  <c r="AG197"/>
  <c r="AG199" s="1"/>
  <c r="AG210" s="1"/>
  <c r="AG213" s="1"/>
  <c r="AG188"/>
  <c r="AX227"/>
  <c r="AX31"/>
  <c r="AX77" i="9"/>
  <c r="AX101" i="12"/>
  <c r="AX199" i="9"/>
  <c r="AW433"/>
  <c r="AW430"/>
  <c r="AW431" s="1"/>
  <c r="AW29" i="29"/>
  <c r="AV188" i="12"/>
  <c r="AV197"/>
  <c r="AV199" s="1"/>
  <c r="AV210" s="1"/>
  <c r="AV213" s="1"/>
  <c r="AC181"/>
  <c r="AC205" s="1"/>
  <c r="AC207" s="1"/>
  <c r="AC187"/>
  <c r="Y348"/>
  <c r="Y350" s="1"/>
  <c r="Y361" s="1"/>
  <c r="Y364" s="1"/>
  <c r="Y339"/>
  <c r="Y29" i="29"/>
  <c r="Y433" i="9"/>
  <c r="Y430"/>
  <c r="Y431" s="1"/>
  <c r="K105" i="12"/>
  <c r="K157" s="1"/>
  <c r="K37"/>
  <c r="K433" i="9"/>
  <c r="K430"/>
  <c r="K431" s="1"/>
  <c r="K29" i="29"/>
  <c r="AO257" i="12"/>
  <c r="AO265" s="1"/>
  <c r="AO341"/>
  <c r="AO349" s="1"/>
  <c r="AO351" s="1"/>
  <c r="AO362" s="1"/>
  <c r="AO365" s="1"/>
  <c r="AO65" i="26" s="1"/>
  <c r="AO65" i="33" s="1"/>
  <c r="AO190" i="12"/>
  <c r="AO198" s="1"/>
  <c r="AO200" s="1"/>
  <c r="AO211" s="1"/>
  <c r="AO214" s="1"/>
  <c r="AB63"/>
  <c r="AB119"/>
  <c r="AB31"/>
  <c r="AB101"/>
  <c r="AB227"/>
  <c r="AB199" i="9"/>
  <c r="AX187" i="12"/>
  <c r="AX181"/>
  <c r="AX205" s="1"/>
  <c r="AX207" s="1"/>
  <c r="AX348"/>
  <c r="AX350" s="1"/>
  <c r="AX361" s="1"/>
  <c r="AX364" s="1"/>
  <c r="AX339"/>
  <c r="AJ190"/>
  <c r="AJ198" s="1"/>
  <c r="AJ200" s="1"/>
  <c r="AJ211" s="1"/>
  <c r="AJ214" s="1"/>
  <c r="AJ257"/>
  <c r="AJ265" s="1"/>
  <c r="AJ341"/>
  <c r="AJ349" s="1"/>
  <c r="AJ351" s="1"/>
  <c r="AJ362" s="1"/>
  <c r="AJ365" s="1"/>
  <c r="AJ65" i="26" s="1"/>
  <c r="AV85"/>
  <c r="AV85" i="33"/>
  <c r="AV31" i="29"/>
  <c r="AA341" i="12"/>
  <c r="AA349" s="1"/>
  <c r="AA351" s="1"/>
  <c r="AA362" s="1"/>
  <c r="AA365" s="1"/>
  <c r="AA65" i="26" s="1"/>
  <c r="K65" i="34" s="1"/>
  <c r="AA257" i="12"/>
  <c r="AA265" s="1"/>
  <c r="AA190"/>
  <c r="AA198" s="1"/>
  <c r="AA200" s="1"/>
  <c r="AA211" s="1"/>
  <c r="AA214" s="1"/>
  <c r="AE348"/>
  <c r="AE350" s="1"/>
  <c r="AE361" s="1"/>
  <c r="AE364" s="1"/>
  <c r="AE339"/>
  <c r="AS187"/>
  <c r="AS181"/>
  <c r="AS205" s="1"/>
  <c r="AS207" s="1"/>
  <c r="K59" i="33"/>
  <c r="K79" i="26"/>
  <c r="K79" i="33" s="1"/>
  <c r="AB59"/>
  <c r="AB79" i="26"/>
  <c r="AG267" i="12"/>
  <c r="AG278" s="1"/>
  <c r="AG292"/>
  <c r="AE181"/>
  <c r="AE205" s="1"/>
  <c r="AE207" s="1"/>
  <c r="AE187"/>
  <c r="V433" i="9"/>
  <c r="V29" i="29"/>
  <c r="V430" i="9"/>
  <c r="V431" s="1"/>
  <c r="AA348" i="12"/>
  <c r="AA350" s="1"/>
  <c r="AA361" s="1"/>
  <c r="AA364" s="1"/>
  <c r="AA339"/>
  <c r="AE79" i="33"/>
  <c r="K77" i="9"/>
  <c r="Y450"/>
  <c r="AO450"/>
  <c r="AJ450"/>
  <c r="BF450"/>
  <c r="AE450"/>
  <c r="AW450"/>
  <c r="AC450"/>
  <c r="BC84" i="33"/>
  <c r="BC30" i="29"/>
  <c r="BC215" i="12"/>
  <c r="BC84" i="26"/>
  <c r="AY85"/>
  <c r="AY85" i="33"/>
  <c r="AY31" i="29"/>
  <c r="AU281" i="12"/>
  <c r="P197"/>
  <c r="P199" s="1"/>
  <c r="P210" s="1"/>
  <c r="P213" s="1"/>
  <c r="P188"/>
  <c r="AY366"/>
  <c r="AY64" i="26"/>
  <c r="AY64" i="33" s="1"/>
  <c r="N65" i="26"/>
  <c r="N65" i="33" s="1"/>
  <c r="N366" i="12"/>
  <c r="N85" i="26"/>
  <c r="N31" i="29"/>
  <c r="N85" i="33"/>
  <c r="AY197" i="12"/>
  <c r="AY199" s="1"/>
  <c r="AY210" s="1"/>
  <c r="AY213" s="1"/>
  <c r="AY188"/>
  <c r="P85" i="26"/>
  <c r="P31" i="29"/>
  <c r="P85" i="33"/>
  <c r="AU85"/>
  <c r="AU31" i="29"/>
  <c r="AU85" i="26"/>
  <c r="BH197" i="12"/>
  <c r="BH199" s="1"/>
  <c r="BH210" s="1"/>
  <c r="BH213" s="1"/>
  <c r="BH188"/>
  <c r="AU197"/>
  <c r="AU199" s="1"/>
  <c r="AU210" s="1"/>
  <c r="AU213" s="1"/>
  <c r="AU188"/>
  <c r="BH85" i="33"/>
  <c r="BH85" i="26"/>
  <c r="BH31" i="29"/>
  <c r="AQ215" i="12"/>
  <c r="AQ84" i="26"/>
  <c r="AQ30" i="29"/>
  <c r="AQ84" i="33"/>
  <c r="BD215" i="12"/>
  <c r="BD84" i="33"/>
  <c r="BD84" i="26"/>
  <c r="BD30" i="29"/>
  <c r="N197" i="12"/>
  <c r="N199" s="1"/>
  <c r="N210" s="1"/>
  <c r="N213" s="1"/>
  <c r="N188"/>
  <c r="AU139"/>
  <c r="AU142" s="1"/>
  <c r="AU22" i="29" s="1"/>
  <c r="AU292" i="12"/>
  <c r="AU298" s="1"/>
  <c r="AY292"/>
  <c r="AK187"/>
  <c r="AK181"/>
  <c r="AK205" s="1"/>
  <c r="AK207" s="1"/>
  <c r="AN56"/>
  <c r="AN72"/>
  <c r="AN74" s="1"/>
  <c r="AN126"/>
  <c r="AN128" s="1"/>
  <c r="BH254"/>
  <c r="BH243"/>
  <c r="BH272" s="1"/>
  <c r="BH274" s="1"/>
  <c r="AK190"/>
  <c r="AK198" s="1"/>
  <c r="AK200" s="1"/>
  <c r="AK211" s="1"/>
  <c r="AK214" s="1"/>
  <c r="AK341"/>
  <c r="AK349" s="1"/>
  <c r="AK351" s="1"/>
  <c r="AK362" s="1"/>
  <c r="AK365" s="1"/>
  <c r="AK65" i="26" s="1"/>
  <c r="AK257" i="12"/>
  <c r="AK265" s="1"/>
  <c r="AN264"/>
  <c r="AN266" s="1"/>
  <c r="AN277" s="1"/>
  <c r="AN280" s="1"/>
  <c r="AN255"/>
  <c r="AU154"/>
  <c r="AU129"/>
  <c r="M192" i="9"/>
  <c r="AU86" i="12"/>
  <c r="AU89" s="1"/>
  <c r="AK450" i="9"/>
  <c r="AK430"/>
  <c r="AK431" s="1"/>
  <c r="AK29" i="29"/>
  <c r="AK433" i="9"/>
  <c r="AN81" i="12"/>
  <c r="AN83" s="1"/>
  <c r="AN44"/>
  <c r="AN134"/>
  <c r="AN136" s="1"/>
  <c r="BH281"/>
  <c r="BH54" i="26" s="1"/>
  <c r="BH54" i="33" s="1"/>
  <c r="BH298" i="12"/>
  <c r="BH366"/>
  <c r="BH64" i="26"/>
  <c r="BH64" i="33" s="1"/>
  <c r="AN129" i="12"/>
  <c r="AN154"/>
  <c r="BH43"/>
  <c r="BH110"/>
  <c r="BH116"/>
  <c r="BH117" s="1"/>
  <c r="BH55"/>
  <c r="I129"/>
  <c r="I154"/>
  <c r="H188"/>
  <c r="H197"/>
  <c r="H199" s="1"/>
  <c r="H210" s="1"/>
  <c r="H213" s="1"/>
  <c r="BG188"/>
  <c r="BG197"/>
  <c r="BG199" s="1"/>
  <c r="BG210" s="1"/>
  <c r="BG213" s="1"/>
  <c r="BG215" s="1"/>
  <c r="AN82"/>
  <c r="AN84" s="1"/>
  <c r="AN87" s="1"/>
  <c r="AN90" s="1"/>
  <c r="AN135"/>
  <c r="AU297"/>
  <c r="AU53" i="26"/>
  <c r="AU53" i="33" s="1"/>
  <c r="H85"/>
  <c r="H31" i="29"/>
  <c r="H85" i="26"/>
  <c r="BH154" i="12"/>
  <c r="BH129"/>
  <c r="BH112"/>
  <c r="BH46"/>
  <c r="BG85" i="26"/>
  <c r="BG31" i="29"/>
  <c r="BG85" i="33"/>
  <c r="DD65"/>
  <c r="AD65"/>
  <c r="AI48"/>
  <c r="CT48"/>
  <c r="U243" i="12"/>
  <c r="U272" s="1"/>
  <c r="U274" s="1"/>
  <c r="U254"/>
  <c r="T154"/>
  <c r="T129"/>
  <c r="S105"/>
  <c r="S157" s="1"/>
  <c r="S37"/>
  <c r="S101"/>
  <c r="S199" i="9"/>
  <c r="S227" i="12"/>
  <c r="S31"/>
  <c r="J433" i="9"/>
  <c r="J430"/>
  <c r="J431" s="1"/>
  <c r="J29" i="29"/>
  <c r="AJ129" i="12"/>
  <c r="AJ154"/>
  <c r="AH31" i="29"/>
  <c r="AH85" i="33"/>
  <c r="AH85" i="26"/>
  <c r="AD31" i="29"/>
  <c r="AD85" i="26"/>
  <c r="AD85" i="33"/>
  <c r="AD292" i="12"/>
  <c r="AD267"/>
  <c r="AD278" s="1"/>
  <c r="AC82"/>
  <c r="AC84" s="1"/>
  <c r="AC87" s="1"/>
  <c r="AC90" s="1"/>
  <c r="AC135"/>
  <c r="AZ85" i="33"/>
  <c r="AZ31" i="29"/>
  <c r="AZ85" i="26"/>
  <c r="I84"/>
  <c r="I84" i="33"/>
  <c r="I30" i="29"/>
  <c r="I215" i="12"/>
  <c r="U341"/>
  <c r="U349" s="1"/>
  <c r="U351" s="1"/>
  <c r="U362" s="1"/>
  <c r="U365" s="1"/>
  <c r="U65" i="26" s="1"/>
  <c r="U65" i="33" s="1"/>
  <c r="U257" i="12"/>
  <c r="U265" s="1"/>
  <c r="U190"/>
  <c r="U198" s="1"/>
  <c r="U200" s="1"/>
  <c r="U211" s="1"/>
  <c r="U214" s="1"/>
  <c r="W341"/>
  <c r="W349" s="1"/>
  <c r="W351" s="1"/>
  <c r="W362" s="1"/>
  <c r="W365" s="1"/>
  <c r="W65" i="26" s="1"/>
  <c r="W65" i="33" s="1"/>
  <c r="W257" i="12"/>
  <c r="W265" s="1"/>
  <c r="W190"/>
  <c r="W198" s="1"/>
  <c r="W200" s="1"/>
  <c r="W211" s="1"/>
  <c r="W214" s="1"/>
  <c r="AF254"/>
  <c r="AF243"/>
  <c r="AF272" s="1"/>
  <c r="AF274" s="1"/>
  <c r="Q215"/>
  <c r="Q84" i="26"/>
  <c r="Q30" i="29"/>
  <c r="Q84" i="33"/>
  <c r="M341" i="12"/>
  <c r="M349" s="1"/>
  <c r="M351" s="1"/>
  <c r="M190"/>
  <c r="M198" s="1"/>
  <c r="M200" s="1"/>
  <c r="M211" s="1"/>
  <c r="M214" s="1"/>
  <c r="M257"/>
  <c r="M265" s="1"/>
  <c r="AD135"/>
  <c r="AD82"/>
  <c r="AD84" s="1"/>
  <c r="T197"/>
  <c r="T199" s="1"/>
  <c r="T210" s="1"/>
  <c r="T213" s="1"/>
  <c r="T188"/>
  <c r="T72"/>
  <c r="T74" s="1"/>
  <c r="T126"/>
  <c r="T128" s="1"/>
  <c r="T56"/>
  <c r="S59" i="33"/>
  <c r="S79" i="26"/>
  <c r="S79" i="33" s="1"/>
  <c r="S430" i="9"/>
  <c r="S431" s="1"/>
  <c r="S29" i="29"/>
  <c r="S433" i="9"/>
  <c r="BI298" i="12"/>
  <c r="BI281"/>
  <c r="BI54" i="26" s="1"/>
  <c r="BI54" i="33" s="1"/>
  <c r="AF112" i="12"/>
  <c r="AF46"/>
  <c r="AD264"/>
  <c r="AD266" s="1"/>
  <c r="AD277" s="1"/>
  <c r="AD280" s="1"/>
  <c r="AD255"/>
  <c r="X73"/>
  <c r="X75" s="1"/>
  <c r="X127"/>
  <c r="M127"/>
  <c r="M73"/>
  <c r="M75" s="1"/>
  <c r="AZ197"/>
  <c r="AZ199" s="1"/>
  <c r="AZ210" s="1"/>
  <c r="AZ213" s="1"/>
  <c r="AZ188"/>
  <c r="AI295"/>
  <c r="AI275"/>
  <c r="AI181"/>
  <c r="AI205" s="1"/>
  <c r="AI207" s="1"/>
  <c r="AI187"/>
  <c r="L126"/>
  <c r="L128" s="1"/>
  <c r="L56"/>
  <c r="L72"/>
  <c r="L74" s="1"/>
  <c r="BN59" i="33"/>
  <c r="Z59"/>
  <c r="Z79" i="26"/>
  <c r="J79" i="34" s="1"/>
  <c r="X135" i="12"/>
  <c r="X137" s="1"/>
  <c r="X82"/>
  <c r="X84" s="1"/>
  <c r="T65" i="26"/>
  <c r="T65" i="33" s="1"/>
  <c r="T366" i="12"/>
  <c r="AH197"/>
  <c r="AH199" s="1"/>
  <c r="AH210" s="1"/>
  <c r="AH213" s="1"/>
  <c r="AH188"/>
  <c r="M180" i="9"/>
  <c r="M138"/>
  <c r="M78" i="26"/>
  <c r="M78" i="33" s="1"/>
  <c r="M69"/>
  <c r="M202" i="9"/>
  <c r="M317" i="12"/>
  <c r="M334" s="1"/>
  <c r="M357" s="1"/>
  <c r="M359" s="1"/>
  <c r="AI55"/>
  <c r="AI110"/>
  <c r="AI43"/>
  <c r="AI116"/>
  <c r="AI117" s="1"/>
  <c r="BI46"/>
  <c r="BI112"/>
  <c r="BI243"/>
  <c r="BI272" s="1"/>
  <c r="BI274" s="1"/>
  <c r="BI254"/>
  <c r="X281"/>
  <c r="X54" i="26" s="1"/>
  <c r="X298" i="12"/>
  <c r="U187"/>
  <c r="U181"/>
  <c r="U205" s="1"/>
  <c r="U207" s="1"/>
  <c r="W430" i="9"/>
  <c r="W431" s="1"/>
  <c r="W29" i="29"/>
  <c r="W433" i="9"/>
  <c r="I135" i="12"/>
  <c r="I82"/>
  <c r="I84" s="1"/>
  <c r="I87" s="1"/>
  <c r="I90" s="1"/>
  <c r="M187"/>
  <c r="M181"/>
  <c r="M205" s="1"/>
  <c r="M207" s="1"/>
  <c r="AC126"/>
  <c r="AC128" s="1"/>
  <c r="AC72"/>
  <c r="AC74" s="1"/>
  <c r="AC56"/>
  <c r="AC134"/>
  <c r="AC136" s="1"/>
  <c r="AC81"/>
  <c r="AC83" s="1"/>
  <c r="AC44"/>
  <c r="I298"/>
  <c r="I281"/>
  <c r="I54" i="26" s="1"/>
  <c r="I54" i="33" s="1"/>
  <c r="AD126" i="12"/>
  <c r="AD128" s="1"/>
  <c r="AD72"/>
  <c r="AD74" s="1"/>
  <c r="AD56"/>
  <c r="AM78" i="33"/>
  <c r="DM78"/>
  <c r="DM65"/>
  <c r="AM65"/>
  <c r="AC154" i="12"/>
  <c r="AC129"/>
  <c r="U59" i="33"/>
  <c r="U79" i="26"/>
  <c r="U79" i="33" s="1"/>
  <c r="R181" i="12"/>
  <c r="R205" s="1"/>
  <c r="R207" s="1"/>
  <c r="R187"/>
  <c r="R257"/>
  <c r="R265" s="1"/>
  <c r="R341"/>
  <c r="R349" s="1"/>
  <c r="R351" s="1"/>
  <c r="R362" s="1"/>
  <c r="R365" s="1"/>
  <c r="R190"/>
  <c r="R198" s="1"/>
  <c r="R200" s="1"/>
  <c r="R211" s="1"/>
  <c r="R214" s="1"/>
  <c r="I264"/>
  <c r="I266" s="1"/>
  <c r="I277" s="1"/>
  <c r="I280" s="1"/>
  <c r="I255"/>
  <c r="I134"/>
  <c r="I136" s="1"/>
  <c r="I81"/>
  <c r="I83" s="1"/>
  <c r="I44"/>
  <c r="Z43"/>
  <c r="Z116"/>
  <c r="Z117" s="1"/>
  <c r="Z110"/>
  <c r="Z55"/>
  <c r="Z254"/>
  <c r="Z243"/>
  <c r="Z272" s="1"/>
  <c r="Z274" s="1"/>
  <c r="Z63"/>
  <c r="Z119"/>
  <c r="Z190"/>
  <c r="Z198" s="1"/>
  <c r="Z200" s="1"/>
  <c r="Z211" s="1"/>
  <c r="Z214" s="1"/>
  <c r="Z257"/>
  <c r="Z265" s="1"/>
  <c r="Z267" s="1"/>
  <c r="Z278" s="1"/>
  <c r="Z341"/>
  <c r="Z349" s="1"/>
  <c r="Z351" s="1"/>
  <c r="Z362" s="1"/>
  <c r="Z365" s="1"/>
  <c r="Z65" i="26" s="1"/>
  <c r="J65" i="34" s="1"/>
  <c r="Z181" i="12"/>
  <c r="Z205" s="1"/>
  <c r="Z207" s="1"/>
  <c r="Z187"/>
  <c r="S77" i="9"/>
  <c r="AZ292" i="12"/>
  <c r="M450" i="9"/>
  <c r="AI59" i="33"/>
  <c r="CT59"/>
  <c r="AI79" i="26"/>
  <c r="U43" i="12"/>
  <c r="U55"/>
  <c r="U110"/>
  <c r="U116"/>
  <c r="U117" s="1"/>
  <c r="J187"/>
  <c r="J181"/>
  <c r="J205" s="1"/>
  <c r="J207" s="1"/>
  <c r="L129"/>
  <c r="L154"/>
  <c r="CM65" i="33"/>
  <c r="AH65"/>
  <c r="AD127" i="12"/>
  <c r="AD73"/>
  <c r="AD75" s="1"/>
  <c r="T112"/>
  <c r="T46"/>
  <c r="U119"/>
  <c r="U63"/>
  <c r="AF55"/>
  <c r="AF116"/>
  <c r="AF117" s="1"/>
  <c r="AF43"/>
  <c r="AF110"/>
  <c r="AI348"/>
  <c r="AI350" s="1"/>
  <c r="AI361" s="1"/>
  <c r="AI364" s="1"/>
  <c r="AI339"/>
  <c r="M82"/>
  <c r="M84" s="1"/>
  <c r="M135"/>
  <c r="M137" s="1"/>
  <c r="T264"/>
  <c r="T266" s="1"/>
  <c r="T277" s="1"/>
  <c r="T280" s="1"/>
  <c r="T255"/>
  <c r="T134"/>
  <c r="T136" s="1"/>
  <c r="T81"/>
  <c r="T83" s="1"/>
  <c r="T44"/>
  <c r="S63"/>
  <c r="S119"/>
  <c r="S181"/>
  <c r="S205" s="1"/>
  <c r="S207" s="1"/>
  <c r="S187"/>
  <c r="BI154"/>
  <c r="BI129"/>
  <c r="AC255"/>
  <c r="AC264"/>
  <c r="AC266" s="1"/>
  <c r="AC277" s="1"/>
  <c r="AC280" s="1"/>
  <c r="DJ78" i="33"/>
  <c r="AJ78"/>
  <c r="AF154" i="12"/>
  <c r="AF129"/>
  <c r="AI430" i="9"/>
  <c r="AI431" s="1"/>
  <c r="AI29" i="29"/>
  <c r="AI433" i="9"/>
  <c r="L255" i="12"/>
  <c r="L264"/>
  <c r="L266" s="1"/>
  <c r="L277" s="1"/>
  <c r="L280" s="1"/>
  <c r="L81"/>
  <c r="L83" s="1"/>
  <c r="L134"/>
  <c r="L136" s="1"/>
  <c r="L44"/>
  <c r="AJ112"/>
  <c r="AJ46"/>
  <c r="AJ243"/>
  <c r="AJ272" s="1"/>
  <c r="AJ274" s="1"/>
  <c r="AJ254"/>
  <c r="AJ116"/>
  <c r="AJ117" s="1"/>
  <c r="AJ43"/>
  <c r="AJ110"/>
  <c r="AJ55"/>
  <c r="I64" i="26"/>
  <c r="I64" i="33" s="1"/>
  <c r="I366" i="12"/>
  <c r="M227"/>
  <c r="M31"/>
  <c r="M101"/>
  <c r="M199" i="9"/>
  <c r="Z105" i="12"/>
  <c r="Z37"/>
  <c r="Z48" i="33"/>
  <c r="BN48"/>
  <c r="T292" i="12"/>
  <c r="T267"/>
  <c r="T278" s="1"/>
  <c r="T31" i="29"/>
  <c r="T85" i="33"/>
  <c r="T85" i="26"/>
  <c r="J257" i="12"/>
  <c r="J265" s="1"/>
  <c r="J341"/>
  <c r="J349" s="1"/>
  <c r="J351" s="1"/>
  <c r="J190"/>
  <c r="J198" s="1"/>
  <c r="J200" s="1"/>
  <c r="J211" s="1"/>
  <c r="J214" s="1"/>
  <c r="M205" i="9"/>
  <c r="M183"/>
  <c r="BC46" i="12"/>
  <c r="BC112"/>
  <c r="AI243"/>
  <c r="AI272" s="1"/>
  <c r="AI274" s="1"/>
  <c r="AI254"/>
  <c r="AI105"/>
  <c r="AI37"/>
  <c r="BI55"/>
  <c r="BI43"/>
  <c r="BI116"/>
  <c r="BI117" s="1"/>
  <c r="BI110"/>
  <c r="AF366"/>
  <c r="AF64" i="26"/>
  <c r="X85" i="33"/>
  <c r="X31" i="29"/>
  <c r="X85" i="26"/>
  <c r="X197" i="12"/>
  <c r="X199" s="1"/>
  <c r="X210" s="1"/>
  <c r="X213" s="1"/>
  <c r="X188"/>
  <c r="U430" i="9"/>
  <c r="U431" s="1"/>
  <c r="U29" i="29"/>
  <c r="U433" i="9"/>
  <c r="W187" i="12"/>
  <c r="W181"/>
  <c r="W205" s="1"/>
  <c r="W207" s="1"/>
  <c r="M29" i="29"/>
  <c r="M433" i="9"/>
  <c r="M430"/>
  <c r="M431" s="1"/>
  <c r="S275" i="12"/>
  <c r="S295"/>
  <c r="S341"/>
  <c r="S349" s="1"/>
  <c r="S351" s="1"/>
  <c r="S257"/>
  <c r="S265" s="1"/>
  <c r="S190"/>
  <c r="S198" s="1"/>
  <c r="S200" s="1"/>
  <c r="S211" s="1"/>
  <c r="S214" s="1"/>
  <c r="AD197"/>
  <c r="AD199" s="1"/>
  <c r="AD210" s="1"/>
  <c r="AD213" s="1"/>
  <c r="AD188"/>
  <c r="AJ64" i="26"/>
  <c r="AJ366" i="12"/>
  <c r="AZ64" i="26"/>
  <c r="AZ64" i="33" s="1"/>
  <c r="AZ366" i="12"/>
  <c r="AD81"/>
  <c r="AD83" s="1"/>
  <c r="AD134"/>
  <c r="AD136" s="1"/>
  <c r="AD44"/>
  <c r="AM64" i="26"/>
  <c r="AM366" i="12"/>
  <c r="AI63"/>
  <c r="AI119"/>
  <c r="AI341"/>
  <c r="AI349" s="1"/>
  <c r="AI351" s="1"/>
  <c r="AI362" s="1"/>
  <c r="AI365" s="1"/>
  <c r="AI65" i="26" s="1"/>
  <c r="AI257" i="12"/>
  <c r="AI265" s="1"/>
  <c r="AI190"/>
  <c r="AI198" s="1"/>
  <c r="AI200" s="1"/>
  <c r="AI211" s="1"/>
  <c r="AI214" s="1"/>
  <c r="U46"/>
  <c r="U112"/>
  <c r="R430" i="9"/>
  <c r="R431" s="1"/>
  <c r="R29" i="29"/>
  <c r="R433" i="9"/>
  <c r="I72" i="12"/>
  <c r="I74" s="1"/>
  <c r="I126"/>
  <c r="I128" s="1"/>
  <c r="I56"/>
  <c r="Z29" i="29"/>
  <c r="Z430" i="9"/>
  <c r="Z431" s="1"/>
  <c r="Z433"/>
  <c r="BI367" i="12"/>
  <c r="BI66" i="26"/>
  <c r="BI66" i="33" s="1"/>
  <c r="S362" i="12"/>
  <c r="S365" s="1"/>
  <c r="S65" i="26" s="1"/>
  <c r="S65" i="33" s="1"/>
  <c r="AH292" i="12"/>
  <c r="J450" i="9"/>
  <c r="W450"/>
  <c r="S450"/>
  <c r="Z292" i="12"/>
  <c r="BD112"/>
  <c r="BD46"/>
  <c r="AH46"/>
  <c r="AH112"/>
  <c r="P154"/>
  <c r="P129"/>
  <c r="CC69" i="33"/>
  <c r="AV129" i="12"/>
  <c r="AV154"/>
  <c r="CG78" i="33"/>
  <c r="P116" i="12"/>
  <c r="P117" s="1"/>
  <c r="P55"/>
  <c r="P110"/>
  <c r="P43"/>
  <c r="AR64" i="26"/>
  <c r="AR64" i="33" s="1"/>
  <c r="AR366" i="12"/>
  <c r="X327"/>
  <c r="X356" s="1"/>
  <c r="X358" s="1"/>
  <c r="X338"/>
  <c r="X65" i="33"/>
  <c r="BE154" i="12"/>
  <c r="BE129"/>
  <c r="J129"/>
  <c r="J154"/>
  <c r="AY116"/>
  <c r="AY117" s="1"/>
  <c r="AY43"/>
  <c r="AY55"/>
  <c r="AY110"/>
  <c r="AD348"/>
  <c r="AD350" s="1"/>
  <c r="AD361" s="1"/>
  <c r="AD364" s="1"/>
  <c r="AD339"/>
  <c r="AZ154"/>
  <c r="AZ129"/>
  <c r="AZ110"/>
  <c r="AZ55"/>
  <c r="AZ43"/>
  <c r="AZ116"/>
  <c r="AZ117" s="1"/>
  <c r="BB348"/>
  <c r="BB350" s="1"/>
  <c r="BB361" s="1"/>
  <c r="BB364" s="1"/>
  <c r="BB339"/>
  <c r="AU338"/>
  <c r="AU327"/>
  <c r="AU356" s="1"/>
  <c r="AU358" s="1"/>
  <c r="J254"/>
  <c r="J243"/>
  <c r="J272" s="1"/>
  <c r="J274" s="1"/>
  <c r="BA264"/>
  <c r="BA266" s="1"/>
  <c r="BA277" s="1"/>
  <c r="BA280" s="1"/>
  <c r="BA255"/>
  <c r="Q46"/>
  <c r="Q112"/>
  <c r="Q110"/>
  <c r="Q116"/>
  <c r="Q117" s="1"/>
  <c r="Q55"/>
  <c r="Q43"/>
  <c r="BG243"/>
  <c r="BG272" s="1"/>
  <c r="BG274" s="1"/>
  <c r="BG254"/>
  <c r="AT281"/>
  <c r="AT54" i="26" s="1"/>
  <c r="AT54" i="33" s="1"/>
  <c r="AT298" i="12"/>
  <c r="AH254"/>
  <c r="AH243"/>
  <c r="AH272" s="1"/>
  <c r="AH274" s="1"/>
  <c r="AB348"/>
  <c r="AB350" s="1"/>
  <c r="AB361" s="1"/>
  <c r="AB364" s="1"/>
  <c r="AB339"/>
  <c r="AW112"/>
  <c r="AW46"/>
  <c r="BG154"/>
  <c r="BG129"/>
  <c r="N129"/>
  <c r="N154"/>
  <c r="AW64" i="26"/>
  <c r="AW64" i="33" s="1"/>
  <c r="AW366" i="12"/>
  <c r="AY112"/>
  <c r="AY46"/>
  <c r="O298"/>
  <c r="O281"/>
  <c r="O54" i="26" s="1"/>
  <c r="O54" i="33" s="1"/>
  <c r="AK64" i="26"/>
  <c r="AK366" i="12"/>
  <c r="V243"/>
  <c r="V272" s="1"/>
  <c r="V274" s="1"/>
  <c r="V254"/>
  <c r="AZ46"/>
  <c r="AZ112"/>
  <c r="AV243"/>
  <c r="AV272" s="1"/>
  <c r="AV274" s="1"/>
  <c r="AV254"/>
  <c r="AS116"/>
  <c r="AS117" s="1"/>
  <c r="AS110"/>
  <c r="AS55"/>
  <c r="AS43"/>
  <c r="V112"/>
  <c r="V46"/>
  <c r="BF254"/>
  <c r="BF243"/>
  <c r="BF272" s="1"/>
  <c r="BF274" s="1"/>
  <c r="BF43"/>
  <c r="BF116"/>
  <c r="BF117" s="1"/>
  <c r="BF110"/>
  <c r="BF55"/>
  <c r="AP338"/>
  <c r="AP327"/>
  <c r="AP356" s="1"/>
  <c r="AP358" s="1"/>
  <c r="L327"/>
  <c r="L356" s="1"/>
  <c r="L358" s="1"/>
  <c r="L338"/>
  <c r="O82"/>
  <c r="O84" s="1"/>
  <c r="O87" s="1"/>
  <c r="O90" s="1"/>
  <c r="O135"/>
  <c r="O137" s="1"/>
  <c r="O140" s="1"/>
  <c r="AK55"/>
  <c r="AK116"/>
  <c r="AK117" s="1"/>
  <c r="AK110"/>
  <c r="AK43"/>
  <c r="Z338"/>
  <c r="Z327"/>
  <c r="Z356" s="1"/>
  <c r="Z358" s="1"/>
  <c r="O84" i="33"/>
  <c r="O30" i="29"/>
  <c r="O215" i="12"/>
  <c r="O84" i="26"/>
  <c r="AO55" i="12"/>
  <c r="AO116"/>
  <c r="AO117" s="1"/>
  <c r="AO110"/>
  <c r="AO43"/>
  <c r="BA197"/>
  <c r="BA199" s="1"/>
  <c r="BA210" s="1"/>
  <c r="BA213" s="1"/>
  <c r="BA188"/>
  <c r="BA134"/>
  <c r="BA136" s="1"/>
  <c r="BA81"/>
  <c r="BA83" s="1"/>
  <c r="BA44"/>
  <c r="Q154"/>
  <c r="Q129"/>
  <c r="AM82"/>
  <c r="AM84" s="1"/>
  <c r="AM87" s="1"/>
  <c r="AM90" s="1"/>
  <c r="AM135"/>
  <c r="H64" i="26"/>
  <c r="H64" i="33" s="1"/>
  <c r="H366" i="12"/>
  <c r="P366"/>
  <c r="P64" i="26"/>
  <c r="P64" i="33" s="1"/>
  <c r="AE254" i="12"/>
  <c r="AE243"/>
  <c r="AE272" s="1"/>
  <c r="AE274" s="1"/>
  <c r="AR154"/>
  <c r="AR129"/>
  <c r="AW254"/>
  <c r="AW243"/>
  <c r="AW272" s="1"/>
  <c r="AW274" s="1"/>
  <c r="BF112"/>
  <c r="BF46"/>
  <c r="P298"/>
  <c r="P281"/>
  <c r="P54" i="26" s="1"/>
  <c r="P54" i="33" s="1"/>
  <c r="AV367" i="12"/>
  <c r="AV66" i="26"/>
  <c r="O81" i="12"/>
  <c r="O83" s="1"/>
  <c r="O134"/>
  <c r="O136" s="1"/>
  <c r="O44"/>
  <c r="AK154"/>
  <c r="AK129"/>
  <c r="AR30" i="29"/>
  <c r="AR84" i="26"/>
  <c r="AR84" i="33"/>
  <c r="AR215" i="12"/>
  <c r="AH78" i="33"/>
  <c r="N112" i="12"/>
  <c r="N46"/>
  <c r="N298"/>
  <c r="N281"/>
  <c r="N54" i="26" s="1"/>
  <c r="N54" i="33" s="1"/>
  <c r="M348" i="12"/>
  <c r="M350" s="1"/>
  <c r="M361" s="1"/>
  <c r="M364" s="1"/>
  <c r="M339"/>
  <c r="AE46"/>
  <c r="AE112"/>
  <c r="AR254"/>
  <c r="AR243"/>
  <c r="AR272" s="1"/>
  <c r="AR274" s="1"/>
  <c r="AR278"/>
  <c r="DK78" i="33"/>
  <c r="AK78"/>
  <c r="AY129" i="12"/>
  <c r="AY154"/>
  <c r="AS112"/>
  <c r="AS46"/>
  <c r="BL69" i="33"/>
  <c r="X78"/>
  <c r="AK112" i="12"/>
  <c r="AK46"/>
  <c r="AO129"/>
  <c r="AO154"/>
  <c r="BE112"/>
  <c r="BE46"/>
  <c r="AV281"/>
  <c r="AV54" i="26" s="1"/>
  <c r="AV54" i="33" s="1"/>
  <c r="AV298" i="12"/>
  <c r="AY298"/>
  <c r="AY281"/>
  <c r="AY54" i="26" s="1"/>
  <c r="AY54" i="33" s="1"/>
  <c r="BD281" i="12"/>
  <c r="BD54" i="26" s="1"/>
  <c r="BD54" i="33" s="1"/>
  <c r="BD298" i="12"/>
  <c r="V154"/>
  <c r="V129"/>
  <c r="P254"/>
  <c r="P243"/>
  <c r="P272" s="1"/>
  <c r="P274" s="1"/>
  <c r="H129"/>
  <c r="H154"/>
  <c r="AO112"/>
  <c r="AO46"/>
  <c r="BD243"/>
  <c r="BD272" s="1"/>
  <c r="BD274" s="1"/>
  <c r="BD254"/>
  <c r="BD116"/>
  <c r="BD117" s="1"/>
  <c r="BD43"/>
  <c r="BD110"/>
  <c r="BD55"/>
  <c r="AY243"/>
  <c r="AY272" s="1"/>
  <c r="AY274" s="1"/>
  <c r="AY254"/>
  <c r="R112"/>
  <c r="R46"/>
  <c r="H112"/>
  <c r="H46"/>
  <c r="AZ254"/>
  <c r="AZ243"/>
  <c r="AZ272" s="1"/>
  <c r="AZ274" s="1"/>
  <c r="AS64" i="26"/>
  <c r="AS64" i="33" s="1"/>
  <c r="AS366" i="12"/>
  <c r="BF64" i="26"/>
  <c r="BF64" i="33" s="1"/>
  <c r="BF366" i="12"/>
  <c r="U339"/>
  <c r="U348"/>
  <c r="U350" s="1"/>
  <c r="U361" s="1"/>
  <c r="U364" s="1"/>
  <c r="J116"/>
  <c r="J117" s="1"/>
  <c r="J55"/>
  <c r="J110"/>
  <c r="J43"/>
  <c r="AH64" i="26"/>
  <c r="AH366" i="12"/>
  <c r="AE154"/>
  <c r="AE129"/>
  <c r="Q281"/>
  <c r="Q54" i="26" s="1"/>
  <c r="Q54" i="33" s="1"/>
  <c r="Q298" i="12"/>
  <c r="Q254"/>
  <c r="Q243"/>
  <c r="Q272" s="1"/>
  <c r="Q274" s="1"/>
  <c r="BG116"/>
  <c r="BG117" s="1"/>
  <c r="BG110"/>
  <c r="BG55"/>
  <c r="BG43"/>
  <c r="AT112"/>
  <c r="AT46"/>
  <c r="BA73"/>
  <c r="BA75" s="1"/>
  <c r="BA127"/>
  <c r="BF129"/>
  <c r="BF154"/>
  <c r="AH43"/>
  <c r="AH55"/>
  <c r="AH116"/>
  <c r="AH117" s="1"/>
  <c r="AH110"/>
  <c r="O264"/>
  <c r="O266" s="1"/>
  <c r="O277" s="1"/>
  <c r="O280" s="1"/>
  <c r="O255"/>
  <c r="BG298"/>
  <c r="BG281"/>
  <c r="BG54" i="26" s="1"/>
  <c r="BG54" i="33" s="1"/>
  <c r="S64" i="26"/>
  <c r="S64" i="33" s="1"/>
  <c r="BG66" i="26"/>
  <c r="BG367" i="12"/>
  <c r="BG67" i="26" s="1"/>
  <c r="BD64"/>
  <c r="BD64" i="33" s="1"/>
  <c r="BD366" i="12"/>
  <c r="AL338"/>
  <c r="AL327"/>
  <c r="AL356" s="1"/>
  <c r="AL358" s="1"/>
  <c r="AN327"/>
  <c r="AN356" s="1"/>
  <c r="AN358" s="1"/>
  <c r="AN338"/>
  <c r="BA64" i="26"/>
  <c r="BA64" i="33" s="1"/>
  <c r="BA366" i="12"/>
  <c r="Q64" i="26"/>
  <c r="Q64" i="33" s="1"/>
  <c r="Q366" i="12"/>
  <c r="P112"/>
  <c r="P46"/>
  <c r="H243"/>
  <c r="H272" s="1"/>
  <c r="H274" s="1"/>
  <c r="H254"/>
  <c r="H55"/>
  <c r="H116"/>
  <c r="H117" s="1"/>
  <c r="H43"/>
  <c r="H110"/>
  <c r="AG82"/>
  <c r="AG84" s="1"/>
  <c r="AG87" s="1"/>
  <c r="AG90" s="1"/>
  <c r="AG135"/>
  <c r="AG137" s="1"/>
  <c r="W46"/>
  <c r="W112"/>
  <c r="O64" i="26"/>
  <c r="O64" i="33" s="1"/>
  <c r="O366" i="12"/>
  <c r="V55"/>
  <c r="V116"/>
  <c r="V117" s="1"/>
  <c r="V110"/>
  <c r="V43"/>
  <c r="AZ298"/>
  <c r="AZ281"/>
  <c r="AZ54" i="26" s="1"/>
  <c r="AZ54" i="33" s="1"/>
  <c r="AV43" i="12"/>
  <c r="AV55"/>
  <c r="AV110"/>
  <c r="AV116"/>
  <c r="AV117" s="1"/>
  <c r="W64" i="26"/>
  <c r="W64" i="33" s="1"/>
  <c r="BD154" i="12"/>
  <c r="BD129"/>
  <c r="AS129"/>
  <c r="AS154"/>
  <c r="AS243"/>
  <c r="AS272" s="1"/>
  <c r="AS274" s="1"/>
  <c r="AS254"/>
  <c r="AH129"/>
  <c r="AH154"/>
  <c r="H281"/>
  <c r="H54" i="26" s="1"/>
  <c r="H54" i="33" s="1"/>
  <c r="H298" i="12"/>
  <c r="AK243"/>
  <c r="AK272" s="1"/>
  <c r="AK274" s="1"/>
  <c r="AK254"/>
  <c r="AO243"/>
  <c r="AO272" s="1"/>
  <c r="AO274" s="1"/>
  <c r="AO254"/>
  <c r="AV46"/>
  <c r="AV112"/>
  <c r="J112"/>
  <c r="J46"/>
  <c r="BA126"/>
  <c r="BA128" s="1"/>
  <c r="BA72"/>
  <c r="BA74" s="1"/>
  <c r="BA86" s="1"/>
  <c r="BA89" s="1"/>
  <c r="BA56"/>
  <c r="BG112"/>
  <c r="BG46"/>
  <c r="AR112"/>
  <c r="AR46"/>
  <c r="AE43"/>
  <c r="AE110"/>
  <c r="AE116"/>
  <c r="AE117" s="1"/>
  <c r="AE55"/>
  <c r="AW110"/>
  <c r="AW116"/>
  <c r="AW117" s="1"/>
  <c r="AW55"/>
  <c r="AW43"/>
  <c r="AH298"/>
  <c r="AH281"/>
  <c r="AH54" i="26" s="1"/>
  <c r="O126" i="12"/>
  <c r="O128" s="1"/>
  <c r="O72"/>
  <c r="O74" s="1"/>
  <c r="O56"/>
  <c r="AO64" i="26"/>
  <c r="AO64" i="33" s="1"/>
  <c r="AO366" i="12"/>
  <c r="BN78" i="33"/>
  <c r="Z78"/>
  <c r="BE110" i="12"/>
  <c r="BE55"/>
  <c r="BE116"/>
  <c r="BE117" s="1"/>
  <c r="BE43"/>
  <c r="BE254"/>
  <c r="BE243"/>
  <c r="BE272" s="1"/>
  <c r="BE274" s="1"/>
  <c r="AQ82"/>
  <c r="AQ84" s="1"/>
  <c r="AQ87" s="1"/>
  <c r="AQ90" s="1"/>
  <c r="AQ135"/>
  <c r="BA85" i="33"/>
  <c r="BA31" i="29"/>
  <c r="BA85" i="26"/>
  <c r="BA292" i="12"/>
  <c r="BA267"/>
  <c r="BA278" s="1"/>
  <c r="N110"/>
  <c r="N43"/>
  <c r="N116"/>
  <c r="N117" s="1"/>
  <c r="N55"/>
  <c r="N243"/>
  <c r="N272" s="1"/>
  <c r="N274" s="1"/>
  <c r="N254"/>
  <c r="AW154"/>
  <c r="AW129"/>
  <c r="AR116"/>
  <c r="AR117" s="1"/>
  <c r="AR43"/>
  <c r="AR55"/>
  <c r="AR110"/>
  <c r="BA112"/>
  <c r="BA46"/>
  <c r="BE267" l="1"/>
  <c r="BE278" s="1"/>
  <c r="BE292"/>
  <c r="BE31" i="29"/>
  <c r="BE85" i="26"/>
  <c r="BE85" i="33"/>
  <c r="BE65" i="26"/>
  <c r="BE65" i="33" s="1"/>
  <c r="BE366" i="12"/>
  <c r="BE197"/>
  <c r="BE199" s="1"/>
  <c r="BE210" s="1"/>
  <c r="BE213" s="1"/>
  <c r="BE188"/>
  <c r="BI37" i="34"/>
  <c r="R37"/>
  <c r="BU37" i="33"/>
  <c r="DS37" s="1"/>
  <c r="M37" i="34"/>
  <c r="BP37" i="33"/>
  <c r="BI63" i="34"/>
  <c r="BU63" i="33"/>
  <c r="DS63" s="1"/>
  <c r="R63" i="34"/>
  <c r="M28"/>
  <c r="BP28" i="33"/>
  <c r="BI43" i="34"/>
  <c r="BU43" i="33"/>
  <c r="DS43" s="1"/>
  <c r="R43" i="34"/>
  <c r="M43"/>
  <c r="BP43" i="33"/>
  <c r="M63" i="34"/>
  <c r="BP63" i="33"/>
  <c r="BI28" i="34"/>
  <c r="R28"/>
  <c r="BU28" i="33"/>
  <c r="DS28" s="1"/>
  <c r="BP52"/>
  <c r="M52" i="34"/>
  <c r="R52"/>
  <c r="BU52" i="33"/>
  <c r="DS52" s="1"/>
  <c r="BI52" i="34"/>
  <c r="BU70" i="33"/>
  <c r="DS70" s="1"/>
  <c r="BV70"/>
  <c r="DT70" s="1"/>
  <c r="S70" i="34"/>
  <c r="BW70" i="33" s="1"/>
  <c r="DU70" s="1"/>
  <c r="BJ70" i="34"/>
  <c r="K79"/>
  <c r="BO79" i="33" s="1"/>
  <c r="AA79"/>
  <c r="K78" i="34"/>
  <c r="BO78" i="33" s="1"/>
  <c r="AA78"/>
  <c r="AA31" i="12"/>
  <c r="AA227"/>
  <c r="AA77" i="9"/>
  <c r="AA199"/>
  <c r="AA101" i="12"/>
  <c r="AA37"/>
  <c r="AA105"/>
  <c r="AA295"/>
  <c r="AA275"/>
  <c r="AC154" i="9"/>
  <c r="V154"/>
  <c r="V192"/>
  <c r="Y73" i="12"/>
  <c r="Y75" s="1"/>
  <c r="Y127"/>
  <c r="AG192" i="9"/>
  <c r="AM292" i="12"/>
  <c r="AX192" i="9"/>
  <c r="W77"/>
  <c r="W227" i="12"/>
  <c r="W101"/>
  <c r="W31"/>
  <c r="W199" i="9"/>
  <c r="AS69" i="34"/>
  <c r="DC69" i="33" s="1"/>
  <c r="AC69"/>
  <c r="AC78" i="26"/>
  <c r="AH69" i="34"/>
  <c r="CL69" i="33" s="1"/>
  <c r="AG69"/>
  <c r="AG78" i="26"/>
  <c r="Q69" i="34"/>
  <c r="AG205" i="9"/>
  <c r="AG183"/>
  <c r="Y227" i="12"/>
  <c r="Y199" i="9"/>
  <c r="Y77"/>
  <c r="Y31" i="12"/>
  <c r="Y101"/>
  <c r="Y275"/>
  <c r="Y295"/>
  <c r="V78" i="26"/>
  <c r="V78" i="33" s="1"/>
  <c r="V69"/>
  <c r="W73" i="12"/>
  <c r="W75" s="1"/>
  <c r="W127"/>
  <c r="CD47" i="33"/>
  <c r="AO47" i="34"/>
  <c r="CS47" i="33" s="1"/>
  <c r="BM47"/>
  <c r="Q47" i="34"/>
  <c r="BI47" s="1"/>
  <c r="L47"/>
  <c r="Z78"/>
  <c r="CD78" i="33" s="1"/>
  <c r="I78" i="34"/>
  <c r="Y78" i="33"/>
  <c r="AM281" i="12"/>
  <c r="AM54" i="26" s="1"/>
  <c r="AM298" i="12"/>
  <c r="AX138" i="9"/>
  <c r="AX180"/>
  <c r="AX78" i="26"/>
  <c r="AX78" i="33" s="1"/>
  <c r="AX69"/>
  <c r="AX317" i="12"/>
  <c r="AX334" s="1"/>
  <c r="AX357" s="1"/>
  <c r="AX359" s="1"/>
  <c r="AX362" s="1"/>
  <c r="AX365" s="1"/>
  <c r="AX65" i="26" s="1"/>
  <c r="AX65" i="33" s="1"/>
  <c r="AX202" i="9"/>
  <c r="AG348" i="12"/>
  <c r="AG350" s="1"/>
  <c r="AG361" s="1"/>
  <c r="AG364" s="1"/>
  <c r="AG339"/>
  <c r="AP78" i="34"/>
  <c r="CT78" i="33" s="1"/>
  <c r="AQ69" i="34"/>
  <c r="CU69" i="33" s="1"/>
  <c r="Q58" i="34"/>
  <c r="BI58" s="1"/>
  <c r="L58"/>
  <c r="AR58" s="1"/>
  <c r="CV58" i="33" s="1"/>
  <c r="BM58"/>
  <c r="AC180" i="9"/>
  <c r="AC138"/>
  <c r="AC317" i="12"/>
  <c r="AC334" s="1"/>
  <c r="AC357" s="1"/>
  <c r="AC359" s="1"/>
  <c r="AC362" s="1"/>
  <c r="AC365" s="1"/>
  <c r="AC65" i="26" s="1"/>
  <c r="AC65" i="33" s="1"/>
  <c r="AC202" i="9"/>
  <c r="AX205"/>
  <c r="AX183"/>
  <c r="AG138"/>
  <c r="AG180"/>
  <c r="AG317" i="12"/>
  <c r="AG334" s="1"/>
  <c r="AG357" s="1"/>
  <c r="AG359" s="1"/>
  <c r="AG362" s="1"/>
  <c r="AG365" s="1"/>
  <c r="AG65" i="26" s="1"/>
  <c r="AG202" i="9"/>
  <c r="Y105" i="12"/>
  <c r="Y37"/>
  <c r="V138" i="9"/>
  <c r="V180"/>
  <c r="V183"/>
  <c r="V205"/>
  <c r="AM188" i="12"/>
  <c r="AM197"/>
  <c r="AM199" s="1"/>
  <c r="AM210" s="1"/>
  <c r="AM213" s="1"/>
  <c r="AC311"/>
  <c r="AC199" i="9"/>
  <c r="AC79" i="33"/>
  <c r="AS79" i="34"/>
  <c r="DC79" i="33" s="1"/>
  <c r="AC205" i="9"/>
  <c r="AC183"/>
  <c r="L69" i="34"/>
  <c r="BM69" i="33"/>
  <c r="AM85" i="26"/>
  <c r="AM31" i="29"/>
  <c r="AM85" i="33"/>
  <c r="AH79" i="34"/>
  <c r="CL79" i="33" s="1"/>
  <c r="AG79"/>
  <c r="CL70"/>
  <c r="AO70" i="34"/>
  <c r="CS70" i="33" s="1"/>
  <c r="AQ70" i="34"/>
  <c r="CU70" i="33" s="1"/>
  <c r="V311" i="12"/>
  <c r="V199" i="9"/>
  <c r="V317" i="12"/>
  <c r="V334" s="1"/>
  <c r="V357" s="1"/>
  <c r="V359" s="1"/>
  <c r="V362" s="1"/>
  <c r="V365" s="1"/>
  <c r="V65" i="26" s="1"/>
  <c r="V65" i="33" s="1"/>
  <c r="V202" i="9"/>
  <c r="J192"/>
  <c r="J311" i="12"/>
  <c r="J199" i="9"/>
  <c r="J205"/>
  <c r="J183"/>
  <c r="J317" i="12"/>
  <c r="J334" s="1"/>
  <c r="J357" s="1"/>
  <c r="J359" s="1"/>
  <c r="J202" i="9"/>
  <c r="J362" i="12"/>
  <c r="J365" s="1"/>
  <c r="J65" i="26" s="1"/>
  <c r="J65" i="33" s="1"/>
  <c r="J154" i="9"/>
  <c r="J180"/>
  <c r="J138"/>
  <c r="BA139" i="12"/>
  <c r="BA142" s="1"/>
  <c r="I86"/>
  <c r="I89" s="1"/>
  <c r="N70" i="34"/>
  <c r="BQ70" i="33"/>
  <c r="DQ70" s="1"/>
  <c r="BG70" i="34"/>
  <c r="AT127" i="12"/>
  <c r="AT73"/>
  <c r="AT75" s="1"/>
  <c r="R31"/>
  <c r="R199" i="9"/>
  <c r="R101" i="12"/>
  <c r="R227"/>
  <c r="AL205" i="9"/>
  <c r="AL183"/>
  <c r="AL202"/>
  <c r="AL317" i="12"/>
  <c r="AL334" s="1"/>
  <c r="AL357" s="1"/>
  <c r="AL359" s="1"/>
  <c r="AL362" s="1"/>
  <c r="AL365" s="1"/>
  <c r="AL65" i="26" s="1"/>
  <c r="BE65" i="34" s="1"/>
  <c r="DO65" i="33" s="1"/>
  <c r="AL82" i="12"/>
  <c r="AL84" s="1"/>
  <c r="AL135"/>
  <c r="BC73"/>
  <c r="BC75" s="1"/>
  <c r="BC127"/>
  <c r="BC275"/>
  <c r="BC278" s="1"/>
  <c r="BC295"/>
  <c r="BC348"/>
  <c r="BC350" s="1"/>
  <c r="BC361" s="1"/>
  <c r="BC364" s="1"/>
  <c r="BC339"/>
  <c r="BC69" i="33"/>
  <c r="BC78" i="26"/>
  <c r="BC78" i="33" s="1"/>
  <c r="AL69"/>
  <c r="BB69" i="34"/>
  <c r="DL69" i="33" s="1"/>
  <c r="AL78" i="26"/>
  <c r="AQ78"/>
  <c r="AQ78" i="33" s="1"/>
  <c r="AQ69"/>
  <c r="BC77" i="9"/>
  <c r="BC227" i="12"/>
  <c r="BC199" i="9"/>
  <c r="BC31" i="12"/>
  <c r="BC101"/>
  <c r="AL192" i="9"/>
  <c r="AL127" i="12"/>
  <c r="AL73"/>
  <c r="AL75" s="1"/>
  <c r="BC183" i="9"/>
  <c r="BC205"/>
  <c r="AT101" i="12"/>
  <c r="AT199" i="9"/>
  <c r="AT227" i="12"/>
  <c r="AT31"/>
  <c r="AT77" i="9"/>
  <c r="AQ202"/>
  <c r="AQ317" i="12"/>
  <c r="AQ334" s="1"/>
  <c r="AQ357" s="1"/>
  <c r="AQ359" s="1"/>
  <c r="AQ362" s="1"/>
  <c r="AQ365" s="1"/>
  <c r="AQ65" i="26" s="1"/>
  <c r="AQ65" i="33" s="1"/>
  <c r="AQ183" i="9"/>
  <c r="AQ205"/>
  <c r="AL215" i="12"/>
  <c r="AL84" i="33"/>
  <c r="AL84" i="26"/>
  <c r="AL30" i="29"/>
  <c r="AL31" i="12"/>
  <c r="AL227"/>
  <c r="AL199" i="9"/>
  <c r="AL101" i="12"/>
  <c r="AL77" i="9"/>
  <c r="AL281" i="12"/>
  <c r="AL54" i="26" s="1"/>
  <c r="BB54" i="34" s="1"/>
  <c r="DL54" i="33" s="1"/>
  <c r="AL298" i="12"/>
  <c r="BC180" i="9"/>
  <c r="BC138"/>
  <c r="AL138"/>
  <c r="AL180"/>
  <c r="BB79" i="34"/>
  <c r="DL79" i="33" s="1"/>
  <c r="AL79"/>
  <c r="R73" i="12"/>
  <c r="R75" s="1"/>
  <c r="R127"/>
  <c r="AQ348"/>
  <c r="AQ350" s="1"/>
  <c r="AQ361" s="1"/>
  <c r="AQ364" s="1"/>
  <c r="AQ339"/>
  <c r="AQ180" i="9"/>
  <c r="AQ138"/>
  <c r="R77"/>
  <c r="AQ192"/>
  <c r="O86" i="12"/>
  <c r="O89" s="1"/>
  <c r="O139"/>
  <c r="O142" s="1"/>
  <c r="AD87"/>
  <c r="AD90" s="1"/>
  <c r="AU159"/>
  <c r="AF59" i="33"/>
  <c r="AV59" i="34"/>
  <c r="BE59"/>
  <c r="DO59" i="33" s="1"/>
  <c r="Q48" i="34"/>
  <c r="BI48" s="1"/>
  <c r="BM48" i="33"/>
  <c r="Q59" i="34"/>
  <c r="BI59" s="1"/>
  <c r="BM59" i="33"/>
  <c r="Y79"/>
  <c r="Z79" i="34"/>
  <c r="CD79" i="33" s="1"/>
  <c r="I79" i="34"/>
  <c r="AQ154" i="12"/>
  <c r="AQ129"/>
  <c r="AQ243"/>
  <c r="AQ272" s="1"/>
  <c r="AQ274" s="1"/>
  <c r="AQ254"/>
  <c r="AQ110"/>
  <c r="AQ43"/>
  <c r="AQ116"/>
  <c r="AQ117" s="1"/>
  <c r="AQ55"/>
  <c r="H79" i="34"/>
  <c r="X79" i="33"/>
  <c r="Y79" i="34"/>
  <c r="CC79" i="33" s="1"/>
  <c r="BL58"/>
  <c r="BL48"/>
  <c r="BL59"/>
  <c r="AQ58" i="34"/>
  <c r="CU58" i="33" s="1"/>
  <c r="CC58"/>
  <c r="AR47" i="34"/>
  <c r="CV47" i="33" s="1"/>
  <c r="BL47"/>
  <c r="CC47"/>
  <c r="AQ47" i="34"/>
  <c r="CU47" i="33" s="1"/>
  <c r="X101" i="12"/>
  <c r="X227"/>
  <c r="X31"/>
  <c r="X199" i="9"/>
  <c r="AG129" i="12"/>
  <c r="AG140" s="1"/>
  <c r="AG154"/>
  <c r="AG254"/>
  <c r="AG243"/>
  <c r="AG272" s="1"/>
  <c r="AG274" s="1"/>
  <c r="AG110"/>
  <c r="AG55"/>
  <c r="AG43"/>
  <c r="AG116"/>
  <c r="AG117" s="1"/>
  <c r="DD47" i="33"/>
  <c r="AE47"/>
  <c r="AU47" i="34"/>
  <c r="DD58" i="33"/>
  <c r="AF58"/>
  <c r="AV58" i="34"/>
  <c r="DF58" i="33" s="1"/>
  <c r="AF78" i="26"/>
  <c r="AF47" i="33"/>
  <c r="AV47" i="34"/>
  <c r="DF47" i="33" s="1"/>
  <c r="AT78" i="34"/>
  <c r="DD78" i="33" s="1"/>
  <c r="AD78"/>
  <c r="AF48"/>
  <c r="AV48" i="34"/>
  <c r="BE48"/>
  <c r="DO48" i="33" s="1"/>
  <c r="AU58" i="34"/>
  <c r="AE58" i="33"/>
  <c r="BE58" i="34"/>
  <c r="DO58" i="33" s="1"/>
  <c r="AU69" i="34"/>
  <c r="AE78" i="26"/>
  <c r="AE69" i="33"/>
  <c r="BE69" i="34"/>
  <c r="DO69" i="33" s="1"/>
  <c r="AV70" i="34"/>
  <c r="AF70" i="33"/>
  <c r="AF79" i="26"/>
  <c r="BE70" i="34"/>
  <c r="DO70" i="33" s="1"/>
  <c r="AJ78" i="34"/>
  <c r="CN78" i="33" s="1"/>
  <c r="AI78"/>
  <c r="CN69"/>
  <c r="AO69" i="34"/>
  <c r="CS69" i="33" s="1"/>
  <c r="U64" i="34"/>
  <c r="BA64"/>
  <c r="DK64" i="33" s="1"/>
  <c r="AJ65" i="34"/>
  <c r="BC64"/>
  <c r="DM64" i="33" s="1"/>
  <c r="AV64" i="34"/>
  <c r="AJ79"/>
  <c r="H54"/>
  <c r="Y54"/>
  <c r="CC54" i="33" s="1"/>
  <c r="AO59" i="34"/>
  <c r="AQ59"/>
  <c r="CU59" i="33" s="1"/>
  <c r="AO48" i="34"/>
  <c r="AQ48"/>
  <c r="CU48" i="33" s="1"/>
  <c r="AI54" i="34"/>
  <c r="R64"/>
  <c r="AI64"/>
  <c r="T64"/>
  <c r="BX64" i="33" s="1"/>
  <c r="AZ64" i="34"/>
  <c r="DJ64" i="33" s="1"/>
  <c r="BA65" i="34"/>
  <c r="DK65" i="33" s="1"/>
  <c r="AP79" i="34"/>
  <c r="L79"/>
  <c r="AC79"/>
  <c r="AZ65"/>
  <c r="DJ65" i="33" s="1"/>
  <c r="I65" i="34"/>
  <c r="Q65" s="1"/>
  <c r="Z65"/>
  <c r="CD65" i="33" s="1"/>
  <c r="AS65" i="34"/>
  <c r="DC65" i="33" s="1"/>
  <c r="AV65" i="34"/>
  <c r="DF65" i="33" s="1"/>
  <c r="AU65" i="34"/>
  <c r="DE65" i="33" s="1"/>
  <c r="AP65" i="34"/>
  <c r="CT65" i="33" s="1"/>
  <c r="AC65" i="34"/>
  <c r="CG65" i="33" s="1"/>
  <c r="T70" i="34"/>
  <c r="BX70" i="33" s="1"/>
  <c r="DV70" s="1"/>
  <c r="M59" i="34"/>
  <c r="BQ59" i="33" s="1"/>
  <c r="DQ59" s="1"/>
  <c r="AR59" i="34"/>
  <c r="CV59" i="33" s="1"/>
  <c r="M48" i="34"/>
  <c r="BQ48" i="33" s="1"/>
  <c r="DQ48" s="1"/>
  <c r="AR48" i="34"/>
  <c r="CV48" i="33" s="1"/>
  <c r="AP267" i="12"/>
  <c r="AP278" s="1"/>
  <c r="AP292"/>
  <c r="AP110"/>
  <c r="AP55"/>
  <c r="AP43"/>
  <c r="AP116"/>
  <c r="AP117" s="1"/>
  <c r="AP243"/>
  <c r="AP272" s="1"/>
  <c r="AP274" s="1"/>
  <c r="AP254"/>
  <c r="BB105"/>
  <c r="BB37"/>
  <c r="AM243"/>
  <c r="AM272" s="1"/>
  <c r="AM274" s="1"/>
  <c r="AM254"/>
  <c r="BB275"/>
  <c r="BB278" s="1"/>
  <c r="BB281" s="1"/>
  <c r="BB54" i="26" s="1"/>
  <c r="BB54" i="33" s="1"/>
  <c r="BB295" i="12"/>
  <c r="AP31" i="29"/>
  <c r="AP85" i="33"/>
  <c r="AP85" i="26"/>
  <c r="AP73" i="12"/>
  <c r="AP75" s="1"/>
  <c r="AP127"/>
  <c r="AP46"/>
  <c r="AP112"/>
  <c r="AM154"/>
  <c r="AM129"/>
  <c r="BB101"/>
  <c r="BB31"/>
  <c r="BB227"/>
  <c r="BB199" i="9"/>
  <c r="BB127" i="12"/>
  <c r="BB73"/>
  <c r="BB75" s="1"/>
  <c r="AM43"/>
  <c r="AM116"/>
  <c r="AM117" s="1"/>
  <c r="AM110"/>
  <c r="AM55"/>
  <c r="AP188"/>
  <c r="AP197"/>
  <c r="AP199" s="1"/>
  <c r="AP210" s="1"/>
  <c r="AP213" s="1"/>
  <c r="M362"/>
  <c r="M365" s="1"/>
  <c r="M65" i="26" s="1"/>
  <c r="M65" i="33" s="1"/>
  <c r="AT65" i="26"/>
  <c r="AT65" i="33" s="1"/>
  <c r="AT366" i="12"/>
  <c r="AT66" i="26" s="1"/>
  <c r="AT66" i="33" s="1"/>
  <c r="L31" i="29"/>
  <c r="L85" i="33"/>
  <c r="L85" i="26"/>
  <c r="AA73" i="12"/>
  <c r="AA75" s="1"/>
  <c r="AA127"/>
  <c r="L267"/>
  <c r="L278" s="1"/>
  <c r="L292"/>
  <c r="L197"/>
  <c r="L199" s="1"/>
  <c r="L210" s="1"/>
  <c r="L213" s="1"/>
  <c r="L188"/>
  <c r="L135"/>
  <c r="L137" s="1"/>
  <c r="L140" s="1"/>
  <c r="L82"/>
  <c r="L84" s="1"/>
  <c r="L87" s="1"/>
  <c r="L90" s="1"/>
  <c r="L39" i="26" s="1"/>
  <c r="L39" i="33" s="1"/>
  <c r="AU157" i="12"/>
  <c r="AU137"/>
  <c r="AU140" s="1"/>
  <c r="AU143" s="1"/>
  <c r="AT84" i="33"/>
  <c r="AT84" i="26"/>
  <c r="AT30" i="29"/>
  <c r="AT215" i="12"/>
  <c r="AU39" i="26"/>
  <c r="AU39" i="33" s="1"/>
  <c r="AA64" i="26"/>
  <c r="K64" i="34" s="1"/>
  <c r="AA366" i="12"/>
  <c r="AE197"/>
  <c r="AE199" s="1"/>
  <c r="AE210" s="1"/>
  <c r="AE213" s="1"/>
  <c r="AE188"/>
  <c r="AB79" i="33"/>
  <c r="CG79"/>
  <c r="AS197" i="12"/>
  <c r="AS199" s="1"/>
  <c r="AS210" s="1"/>
  <c r="AS213" s="1"/>
  <c r="AS188"/>
  <c r="AE366"/>
  <c r="AE64" i="26"/>
  <c r="AA267" i="12"/>
  <c r="AA278" s="1"/>
  <c r="AA292"/>
  <c r="AJ65" i="33"/>
  <c r="AJ85" i="26"/>
  <c r="AJ31" i="29"/>
  <c r="AJ85" i="33"/>
  <c r="AX64" i="26"/>
  <c r="AX64" i="33" s="1"/>
  <c r="AX188" i="12"/>
  <c r="AX197"/>
  <c r="AX199" s="1"/>
  <c r="AX210" s="1"/>
  <c r="AX213" s="1"/>
  <c r="AB254"/>
  <c r="AB243"/>
  <c r="AB272" s="1"/>
  <c r="AB274" s="1"/>
  <c r="AB116"/>
  <c r="AB117" s="1"/>
  <c r="AB43"/>
  <c r="AB110"/>
  <c r="AB55"/>
  <c r="AB127"/>
  <c r="AB73"/>
  <c r="AB75" s="1"/>
  <c r="AC197"/>
  <c r="AC199" s="1"/>
  <c r="AC210" s="1"/>
  <c r="AC213" s="1"/>
  <c r="AC188"/>
  <c r="AV84" i="33"/>
  <c r="AV30" i="29"/>
  <c r="AV84" i="26"/>
  <c r="AV215" i="12"/>
  <c r="AX110"/>
  <c r="AX55"/>
  <c r="AX116"/>
  <c r="AX117" s="1"/>
  <c r="AX43"/>
  <c r="K43"/>
  <c r="K55"/>
  <c r="K116"/>
  <c r="K117" s="1"/>
  <c r="K110"/>
  <c r="AN32" i="29"/>
  <c r="AN86" i="33"/>
  <c r="AN86" i="26"/>
  <c r="AN216" i="12"/>
  <c r="BB84" i="33"/>
  <c r="BB30" i="29"/>
  <c r="BB84" i="26"/>
  <c r="BB215" i="12"/>
  <c r="BF85" i="26"/>
  <c r="BF31" i="29"/>
  <c r="BF85" i="33"/>
  <c r="AB197" i="12"/>
  <c r="AB199" s="1"/>
  <c r="AB210" s="1"/>
  <c r="AB213" s="1"/>
  <c r="AB188"/>
  <c r="K31" i="29"/>
  <c r="K85" i="26"/>
  <c r="K85" i="33"/>
  <c r="K127" i="12"/>
  <c r="K73"/>
  <c r="K75" s="1"/>
  <c r="Y267"/>
  <c r="Y278" s="1"/>
  <c r="Y292"/>
  <c r="Y65" i="33"/>
  <c r="V188" i="12"/>
  <c r="V197"/>
  <c r="V199" s="1"/>
  <c r="V210" s="1"/>
  <c r="V213" s="1"/>
  <c r="AF31" i="29"/>
  <c r="AF85" i="33"/>
  <c r="AF85" i="26"/>
  <c r="AF267" i="12"/>
  <c r="AF278" s="1"/>
  <c r="AF292"/>
  <c r="K188"/>
  <c r="K197"/>
  <c r="K199" s="1"/>
  <c r="K210" s="1"/>
  <c r="K213" s="1"/>
  <c r="AC267"/>
  <c r="AC278" s="1"/>
  <c r="AC292"/>
  <c r="AC31" i="29"/>
  <c r="AC85" i="33"/>
  <c r="AC85" i="26"/>
  <c r="V31" i="29"/>
  <c r="V85" i="33"/>
  <c r="V85" i="26"/>
  <c r="AW85"/>
  <c r="AW85" i="33"/>
  <c r="AW31" i="29"/>
  <c r="AW188" i="12"/>
  <c r="AW197"/>
  <c r="AW199" s="1"/>
  <c r="AW210" s="1"/>
  <c r="AW213" s="1"/>
  <c r="AE85" i="26"/>
  <c r="AE31" i="29"/>
  <c r="AE85" i="33"/>
  <c r="AS31" i="29"/>
  <c r="AS85" i="26"/>
  <c r="AS85" i="33"/>
  <c r="AB292" i="12"/>
  <c r="AB267"/>
  <c r="AB278" s="1"/>
  <c r="AB31" i="29"/>
  <c r="AB85" i="33"/>
  <c r="AB85" i="26"/>
  <c r="AG281" i="12"/>
  <c r="AG54" i="26" s="1"/>
  <c r="AG298" i="12"/>
  <c r="AA85" i="26"/>
  <c r="AA31" i="29"/>
  <c r="AA85" i="33"/>
  <c r="AA65"/>
  <c r="BO65"/>
  <c r="AJ267" i="12"/>
  <c r="AJ278" s="1"/>
  <c r="AJ292"/>
  <c r="AO31" i="29"/>
  <c r="AO85" i="33"/>
  <c r="AO85" i="26"/>
  <c r="AO267" i="12"/>
  <c r="AO278" s="1"/>
  <c r="AO292"/>
  <c r="K46"/>
  <c r="K112"/>
  <c r="Y64" i="26"/>
  <c r="Y366" i="12"/>
  <c r="AX243"/>
  <c r="AX272" s="1"/>
  <c r="AX274" s="1"/>
  <c r="AX254"/>
  <c r="AG215"/>
  <c r="AG30" i="29"/>
  <c r="AG84" i="33"/>
  <c r="AG84" i="26"/>
  <c r="K243" i="12"/>
  <c r="K272" s="1"/>
  <c r="K274" s="1"/>
  <c r="K254"/>
  <c r="BF267"/>
  <c r="BF278" s="1"/>
  <c r="BF292"/>
  <c r="AJ188"/>
  <c r="AJ197"/>
  <c r="AJ199" s="1"/>
  <c r="AJ210" s="1"/>
  <c r="AJ213" s="1"/>
  <c r="AO197"/>
  <c r="AO199" s="1"/>
  <c r="AO210" s="1"/>
  <c r="AO213" s="1"/>
  <c r="AO188"/>
  <c r="K267"/>
  <c r="K278" s="1"/>
  <c r="K292"/>
  <c r="Y31" i="29"/>
  <c r="Y85" i="33"/>
  <c r="Y85" i="26"/>
  <c r="AX127" i="12"/>
  <c r="AX73"/>
  <c r="AX75" s="1"/>
  <c r="AF65" i="33"/>
  <c r="AX292" i="12"/>
  <c r="AX267"/>
  <c r="AX278" s="1"/>
  <c r="AX85" i="33"/>
  <c r="AX31" i="29"/>
  <c r="AX85" i="26"/>
  <c r="AB46" i="12"/>
  <c r="AB112"/>
  <c r="Y197"/>
  <c r="Y199" s="1"/>
  <c r="Y210" s="1"/>
  <c r="Y213" s="1"/>
  <c r="Y188"/>
  <c r="K366"/>
  <c r="K64" i="26"/>
  <c r="K64" i="33" s="1"/>
  <c r="V267" i="12"/>
  <c r="V278" s="1"/>
  <c r="V292"/>
  <c r="AW267"/>
  <c r="AW278" s="1"/>
  <c r="AW292"/>
  <c r="AE267"/>
  <c r="AE278" s="1"/>
  <c r="AE292"/>
  <c r="AE65" i="33"/>
  <c r="AS267" i="12"/>
  <c r="AS278" s="1"/>
  <c r="AS292"/>
  <c r="AA197"/>
  <c r="AA199" s="1"/>
  <c r="AA210" s="1"/>
  <c r="AA213" s="1"/>
  <c r="AA188"/>
  <c r="BF197"/>
  <c r="BF199" s="1"/>
  <c r="BF210" s="1"/>
  <c r="BF213" s="1"/>
  <c r="BF188"/>
  <c r="AF197"/>
  <c r="AF199" s="1"/>
  <c r="AF210" s="1"/>
  <c r="AF213" s="1"/>
  <c r="AF188"/>
  <c r="AX46"/>
  <c r="AX112"/>
  <c r="AB65" i="33"/>
  <c r="BD216" i="12"/>
  <c r="BD86" i="26"/>
  <c r="BD86" i="33"/>
  <c r="BD32" i="29"/>
  <c r="AQ86" i="33"/>
  <c r="AQ32" i="29"/>
  <c r="AQ216" i="12"/>
  <c r="AQ86" i="26"/>
  <c r="AY367" i="12"/>
  <c r="AY66" i="26"/>
  <c r="AY66" i="33" s="1"/>
  <c r="P84"/>
  <c r="P215" i="12"/>
  <c r="P84" i="26"/>
  <c r="P30" i="29"/>
  <c r="AU299" i="12"/>
  <c r="AU300" s="1"/>
  <c r="AU301" s="1"/>
  <c r="AN86"/>
  <c r="AN89" s="1"/>
  <c r="AN91" s="1"/>
  <c r="N30" i="29"/>
  <c r="N215" i="12"/>
  <c r="N84" i="26"/>
  <c r="N84" i="33"/>
  <c r="AU84" i="26"/>
  <c r="AU215" i="12"/>
  <c r="AU84" i="33"/>
  <c r="AU30" i="29"/>
  <c r="BH84" i="26"/>
  <c r="BH30" i="29"/>
  <c r="BH84" i="33"/>
  <c r="BH215" i="12"/>
  <c r="AY84" i="26"/>
  <c r="AY84" i="33"/>
  <c r="AY215" i="12"/>
  <c r="AY30" i="29"/>
  <c r="N367" i="12"/>
  <c r="N66" i="26"/>
  <c r="N66" i="33" s="1"/>
  <c r="AU54" i="26"/>
  <c r="AU54" i="33" s="1"/>
  <c r="AU282" i="12"/>
  <c r="BC32" i="29"/>
  <c r="BC86" i="33"/>
  <c r="BC216" i="12"/>
  <c r="BC86" i="26"/>
  <c r="CV43" i="33"/>
  <c r="CV28"/>
  <c r="AN39" i="26"/>
  <c r="AN39" i="33" s="1"/>
  <c r="AN157" i="12"/>
  <c r="AN137"/>
  <c r="AN140" s="1"/>
  <c r="BH56"/>
  <c r="BH72"/>
  <c r="BH74" s="1"/>
  <c r="BH126"/>
  <c r="BH128" s="1"/>
  <c r="AU38" i="26"/>
  <c r="AU38" i="33" s="1"/>
  <c r="AU91" i="12"/>
  <c r="AN53" i="26"/>
  <c r="AN53" i="33" s="1"/>
  <c r="AN297" i="12"/>
  <c r="AN299" s="1"/>
  <c r="AN300" s="1"/>
  <c r="AN301" s="1"/>
  <c r="AN282"/>
  <c r="AK65" i="33"/>
  <c r="AK197" i="12"/>
  <c r="AK199" s="1"/>
  <c r="AK210" s="1"/>
  <c r="AK213" s="1"/>
  <c r="AK188"/>
  <c r="AD139"/>
  <c r="AD142" s="1"/>
  <c r="AD159" s="1"/>
  <c r="AC86"/>
  <c r="AC89" s="1"/>
  <c r="AN139"/>
  <c r="AN142" s="1"/>
  <c r="BH82"/>
  <c r="BH84" s="1"/>
  <c r="BH87" s="1"/>
  <c r="BH90" s="1"/>
  <c r="BH135"/>
  <c r="BG86" i="33"/>
  <c r="BG32" i="29"/>
  <c r="BG216" i="12"/>
  <c r="BG86" i="26"/>
  <c r="H84" i="33"/>
  <c r="H215" i="12"/>
  <c r="H30" i="29"/>
  <c r="H84" i="26"/>
  <c r="BH134" i="12"/>
  <c r="BH136" s="1"/>
  <c r="BH44"/>
  <c r="BH81"/>
  <c r="BH83" s="1"/>
  <c r="BH66" i="26"/>
  <c r="BH367" i="12"/>
  <c r="AK267"/>
  <c r="AK278" s="1"/>
  <c r="AK292"/>
  <c r="AK85" i="26"/>
  <c r="AK31" i="29"/>
  <c r="AK85" i="33"/>
  <c r="BH264" i="12"/>
  <c r="BH266" s="1"/>
  <c r="BH277" s="1"/>
  <c r="BH280" s="1"/>
  <c r="BH255"/>
  <c r="AN38" i="26"/>
  <c r="AN38" i="33" s="1"/>
  <c r="Z65"/>
  <c r="BN65"/>
  <c r="AC39" i="26"/>
  <c r="BI67"/>
  <c r="BI368" i="12"/>
  <c r="BI68" i="26" s="1"/>
  <c r="BI68" i="33" s="1"/>
  <c r="I38" i="26"/>
  <c r="I38" i="33" s="1"/>
  <c r="I91" i="12"/>
  <c r="U82"/>
  <c r="U84" s="1"/>
  <c r="U135"/>
  <c r="AI267"/>
  <c r="AI292"/>
  <c r="AM66" i="26"/>
  <c r="AM367" i="12"/>
  <c r="AJ64" i="33"/>
  <c r="AD84" i="26"/>
  <c r="AD30" i="29"/>
  <c r="AD84" i="33"/>
  <c r="AD215" i="12"/>
  <c r="S292"/>
  <c r="S267"/>
  <c r="S278" s="1"/>
  <c r="X30" i="29"/>
  <c r="X84" i="26"/>
  <c r="X84" i="33"/>
  <c r="X215" i="12"/>
  <c r="AF66" i="26"/>
  <c r="AF367" i="12"/>
  <c r="BI126"/>
  <c r="BI128" s="1"/>
  <c r="BI72"/>
  <c r="BI74" s="1"/>
  <c r="BI56"/>
  <c r="BC135"/>
  <c r="BC82"/>
  <c r="BC84" s="1"/>
  <c r="BC87" s="1"/>
  <c r="BC90" s="1"/>
  <c r="J31" i="29"/>
  <c r="J85" i="33"/>
  <c r="J85" i="26"/>
  <c r="J267" i="12"/>
  <c r="J278" s="1"/>
  <c r="J292"/>
  <c r="M243"/>
  <c r="M272" s="1"/>
  <c r="M274" s="1"/>
  <c r="M254"/>
  <c r="I66" i="26"/>
  <c r="I367" i="12"/>
  <c r="AJ72"/>
  <c r="AJ74" s="1"/>
  <c r="AJ126"/>
  <c r="AJ128" s="1"/>
  <c r="AJ56"/>
  <c r="AJ81"/>
  <c r="AJ83" s="1"/>
  <c r="AJ134"/>
  <c r="AJ136" s="1"/>
  <c r="AJ44"/>
  <c r="AJ264"/>
  <c r="AJ266" s="1"/>
  <c r="AJ277" s="1"/>
  <c r="AJ280" s="1"/>
  <c r="AJ255"/>
  <c r="AJ135"/>
  <c r="AJ82"/>
  <c r="AJ84" s="1"/>
  <c r="AJ87" s="1"/>
  <c r="AJ90" s="1"/>
  <c r="S127"/>
  <c r="S73"/>
  <c r="S75" s="1"/>
  <c r="AI64" i="26"/>
  <c r="AI366" i="12"/>
  <c r="AF134"/>
  <c r="AF136" s="1"/>
  <c r="AF81"/>
  <c r="AF83" s="1"/>
  <c r="AF44"/>
  <c r="AF126"/>
  <c r="AF128" s="1"/>
  <c r="AF72"/>
  <c r="AF74" s="1"/>
  <c r="AF56"/>
  <c r="AD39" i="26"/>
  <c r="U81" i="12"/>
  <c r="U83" s="1"/>
  <c r="U134"/>
  <c r="U136" s="1"/>
  <c r="U44"/>
  <c r="CN59" i="33"/>
  <c r="CS59"/>
  <c r="Z197" i="12"/>
  <c r="Z199" s="1"/>
  <c r="Z210" s="1"/>
  <c r="Z213" s="1"/>
  <c r="Z188"/>
  <c r="Z85" i="26"/>
  <c r="Z31" i="29"/>
  <c r="Z85" i="33"/>
  <c r="Z73" i="12"/>
  <c r="Z75" s="1"/>
  <c r="Z127"/>
  <c r="Z264"/>
  <c r="Z266" s="1"/>
  <c r="Z277" s="1"/>
  <c r="Z280" s="1"/>
  <c r="Z255"/>
  <c r="Z81"/>
  <c r="Z83" s="1"/>
  <c r="Z134"/>
  <c r="Z136" s="1"/>
  <c r="Z44"/>
  <c r="R31" i="29"/>
  <c r="R85" i="33"/>
  <c r="R85" i="26"/>
  <c r="R267" i="12"/>
  <c r="R278" s="1"/>
  <c r="R292"/>
  <c r="AD22" i="29"/>
  <c r="AC38" i="26"/>
  <c r="AC91" i="12"/>
  <c r="AL54" i="33"/>
  <c r="I39" i="26"/>
  <c r="I39" i="33" s="1"/>
  <c r="U197" i="12"/>
  <c r="U199" s="1"/>
  <c r="U210" s="1"/>
  <c r="U213" s="1"/>
  <c r="U188"/>
  <c r="X54" i="33"/>
  <c r="BL54"/>
  <c r="BI82" i="12"/>
  <c r="BI84" s="1"/>
  <c r="BI87" s="1"/>
  <c r="BI90" s="1"/>
  <c r="BI135"/>
  <c r="AI81"/>
  <c r="AI83" s="1"/>
  <c r="AI134"/>
  <c r="AI136" s="1"/>
  <c r="AI44"/>
  <c r="AI72"/>
  <c r="AI74" s="1"/>
  <c r="AI126"/>
  <c r="AI128" s="1"/>
  <c r="AI56"/>
  <c r="T66" i="26"/>
  <c r="T367" i="12"/>
  <c r="BN79" i="33"/>
  <c r="Z79"/>
  <c r="AI197" i="12"/>
  <c r="AI199" s="1"/>
  <c r="AI210" s="1"/>
  <c r="AI213" s="1"/>
  <c r="AI188"/>
  <c r="M154"/>
  <c r="M129"/>
  <c r="M140" s="1"/>
  <c r="AD297"/>
  <c r="AD53" i="26"/>
  <c r="T84"/>
  <c r="T84" i="33"/>
  <c r="T30" i="29"/>
  <c r="T215" i="12"/>
  <c r="AD137"/>
  <c r="AD157"/>
  <c r="M85" i="26"/>
  <c r="M31" i="29"/>
  <c r="M85" i="33"/>
  <c r="Q86" i="26"/>
  <c r="Q32" i="29"/>
  <c r="Q216" i="12"/>
  <c r="Q86" i="33"/>
  <c r="AF264" i="12"/>
  <c r="AF266" s="1"/>
  <c r="AF277" s="1"/>
  <c r="AF280" s="1"/>
  <c r="AF255"/>
  <c r="W85" i="26"/>
  <c r="W31" i="29"/>
  <c r="W85" i="33"/>
  <c r="U31" i="29"/>
  <c r="U85" i="26"/>
  <c r="U85" i="33"/>
  <c r="AC137" i="12"/>
  <c r="AC140" s="1"/>
  <c r="AC157"/>
  <c r="AD298"/>
  <c r="AD281"/>
  <c r="AD54" i="26" s="1"/>
  <c r="S254" i="12"/>
  <c r="S243"/>
  <c r="S272" s="1"/>
  <c r="S274" s="1"/>
  <c r="U264"/>
  <c r="U266" s="1"/>
  <c r="U277" s="1"/>
  <c r="U280" s="1"/>
  <c r="U255"/>
  <c r="L143"/>
  <c r="L23" i="29" s="1"/>
  <c r="L160" i="12"/>
  <c r="AI85" i="26"/>
  <c r="AI85" i="33"/>
  <c r="AI31" i="29"/>
  <c r="CN65" i="33"/>
  <c r="AI65"/>
  <c r="AI73" i="12"/>
  <c r="AI75" s="1"/>
  <c r="AI127"/>
  <c r="AM64" i="33"/>
  <c r="AZ66" i="26"/>
  <c r="AZ66" i="33" s="1"/>
  <c r="AZ367" i="12"/>
  <c r="AJ66" i="26"/>
  <c r="AJ367" i="12"/>
  <c r="S85" i="33"/>
  <c r="S85" i="26"/>
  <c r="S31" i="29"/>
  <c r="W197" i="12"/>
  <c r="W199" s="1"/>
  <c r="W210" s="1"/>
  <c r="W213" s="1"/>
  <c r="W188"/>
  <c r="AF64" i="33"/>
  <c r="DF64"/>
  <c r="BI134" i="12"/>
  <c r="BI136" s="1"/>
  <c r="BI81"/>
  <c r="BI83" s="1"/>
  <c r="BI44"/>
  <c r="AI46"/>
  <c r="AI112"/>
  <c r="AI264"/>
  <c r="AI266" s="1"/>
  <c r="AI277" s="1"/>
  <c r="AI280" s="1"/>
  <c r="AI255"/>
  <c r="T298"/>
  <c r="T281"/>
  <c r="T54" i="26" s="1"/>
  <c r="T54" i="33" s="1"/>
  <c r="Z112" i="12"/>
  <c r="Z46"/>
  <c r="M116"/>
  <c r="M117" s="1"/>
  <c r="M43"/>
  <c r="M55"/>
  <c r="M110"/>
  <c r="L297"/>
  <c r="L53" i="26"/>
  <c r="L53" i="33" s="1"/>
  <c r="AC297" i="12"/>
  <c r="AC53" i="26"/>
  <c r="S197" i="12"/>
  <c r="S199" s="1"/>
  <c r="S210" s="1"/>
  <c r="S213" s="1"/>
  <c r="S188"/>
  <c r="T53" i="26"/>
  <c r="T53" i="33" s="1"/>
  <c r="T297" i="12"/>
  <c r="U73"/>
  <c r="U75" s="1"/>
  <c r="U127"/>
  <c r="T135"/>
  <c r="T137" s="1"/>
  <c r="T140" s="1"/>
  <c r="T82"/>
  <c r="T84" s="1"/>
  <c r="T87" s="1"/>
  <c r="T90" s="1"/>
  <c r="AD154"/>
  <c r="AD129"/>
  <c r="AD140" s="1"/>
  <c r="J197"/>
  <c r="J199" s="1"/>
  <c r="J210" s="1"/>
  <c r="J213" s="1"/>
  <c r="J188"/>
  <c r="U126"/>
  <c r="U128" s="1"/>
  <c r="U72"/>
  <c r="U74" s="1"/>
  <c r="U56"/>
  <c r="AI79" i="33"/>
  <c r="CT79"/>
  <c r="Z298" i="12"/>
  <c r="Z281"/>
  <c r="Z54" i="26" s="1"/>
  <c r="J54" i="34" s="1"/>
  <c r="Z126" i="12"/>
  <c r="Z128" s="1"/>
  <c r="Z139" s="1"/>
  <c r="Z142" s="1"/>
  <c r="Z72"/>
  <c r="Z74" s="1"/>
  <c r="Z56"/>
  <c r="I53" i="26"/>
  <c r="I53" i="33" s="1"/>
  <c r="I297" i="12"/>
  <c r="I299" s="1"/>
  <c r="I300" s="1"/>
  <c r="I301" s="1"/>
  <c r="I282"/>
  <c r="R65" i="26"/>
  <c r="R65" i="33" s="1"/>
  <c r="R366" i="12"/>
  <c r="R197"/>
  <c r="R199" s="1"/>
  <c r="R210" s="1"/>
  <c r="R213" s="1"/>
  <c r="R188"/>
  <c r="M188"/>
  <c r="M197"/>
  <c r="M199" s="1"/>
  <c r="M210" s="1"/>
  <c r="M213" s="1"/>
  <c r="I137"/>
  <c r="I140" s="1"/>
  <c r="I157"/>
  <c r="BI264"/>
  <c r="BI266" s="1"/>
  <c r="BI277" s="1"/>
  <c r="BI280" s="1"/>
  <c r="BI255"/>
  <c r="AH84" i="26"/>
  <c r="AH30" i="29"/>
  <c r="AH84" i="33"/>
  <c r="AH215" i="12"/>
  <c r="AZ84" i="26"/>
  <c r="AZ215" i="12"/>
  <c r="AZ30" i="29"/>
  <c r="AZ84" i="33"/>
  <c r="X129" i="12"/>
  <c r="X140" s="1"/>
  <c r="X154"/>
  <c r="AF135"/>
  <c r="AF82"/>
  <c r="AF84" s="1"/>
  <c r="AF87" s="1"/>
  <c r="AF90" s="1"/>
  <c r="M292"/>
  <c r="M267"/>
  <c r="M278" s="1"/>
  <c r="W267"/>
  <c r="W278" s="1"/>
  <c r="W292"/>
  <c r="U267"/>
  <c r="U278" s="1"/>
  <c r="U292"/>
  <c r="I216"/>
  <c r="I32" i="29"/>
  <c r="I86" i="26"/>
  <c r="I86" i="33"/>
  <c r="S110" i="12"/>
  <c r="S55"/>
  <c r="S43"/>
  <c r="S116"/>
  <c r="S117" s="1"/>
  <c r="S112"/>
  <c r="S46"/>
  <c r="CN48" i="33"/>
  <c r="CS48"/>
  <c r="AI278" i="12"/>
  <c r="X87"/>
  <c r="X90" s="1"/>
  <c r="T86"/>
  <c r="T89" s="1"/>
  <c r="W366"/>
  <c r="W66" i="26" s="1"/>
  <c r="S366" i="12"/>
  <c r="S367" s="1"/>
  <c r="I139"/>
  <c r="I142" s="1"/>
  <c r="AD86"/>
  <c r="AD89" s="1"/>
  <c r="AC139"/>
  <c r="AC142" s="1"/>
  <c r="L86"/>
  <c r="L89" s="1"/>
  <c r="L139"/>
  <c r="L142" s="1"/>
  <c r="M87"/>
  <c r="M90" s="1"/>
  <c r="T139"/>
  <c r="T142" s="1"/>
  <c r="N264"/>
  <c r="N266" s="1"/>
  <c r="N277" s="1"/>
  <c r="N280" s="1"/>
  <c r="N255"/>
  <c r="N81"/>
  <c r="N83" s="1"/>
  <c r="N44"/>
  <c r="N134"/>
  <c r="N136" s="1"/>
  <c r="AG143"/>
  <c r="AG23" i="29" s="1"/>
  <c r="AG160" i="12"/>
  <c r="O143"/>
  <c r="O23" i="29" s="1"/>
  <c r="O160" i="12"/>
  <c r="AR126"/>
  <c r="AR128" s="1"/>
  <c r="AR72"/>
  <c r="AR74" s="1"/>
  <c r="AR56"/>
  <c r="BA298"/>
  <c r="BA281"/>
  <c r="BA54" i="26" s="1"/>
  <c r="BA54" i="33" s="1"/>
  <c r="AQ137" i="12"/>
  <c r="AQ140" s="1"/>
  <c r="AQ157"/>
  <c r="BE264"/>
  <c r="BE266" s="1"/>
  <c r="BE277" s="1"/>
  <c r="BE280" s="1"/>
  <c r="BE255"/>
  <c r="AO66" i="26"/>
  <c r="AO367" i="12"/>
  <c r="O38" i="26"/>
  <c r="O38" i="33" s="1"/>
  <c r="O91" i="12"/>
  <c r="AW72"/>
  <c r="AW74" s="1"/>
  <c r="AW126"/>
  <c r="AW128" s="1"/>
  <c r="AW56"/>
  <c r="AE72"/>
  <c r="AE74" s="1"/>
  <c r="AE126"/>
  <c r="AE128" s="1"/>
  <c r="AE56"/>
  <c r="AR82"/>
  <c r="AR84" s="1"/>
  <c r="AR87" s="1"/>
  <c r="AR90" s="1"/>
  <c r="AR135"/>
  <c r="BG82"/>
  <c r="BG84" s="1"/>
  <c r="BG87" s="1"/>
  <c r="BG90" s="1"/>
  <c r="BG135"/>
  <c r="BG137" s="1"/>
  <c r="BG140" s="1"/>
  <c r="BA159"/>
  <c r="BA22" i="29"/>
  <c r="AV82" i="12"/>
  <c r="AV84" s="1"/>
  <c r="AV87" s="1"/>
  <c r="AV90" s="1"/>
  <c r="AV135"/>
  <c r="AK264"/>
  <c r="AK266" s="1"/>
  <c r="AK277" s="1"/>
  <c r="AK280" s="1"/>
  <c r="AK255"/>
  <c r="AS255"/>
  <c r="AS264"/>
  <c r="AS266" s="1"/>
  <c r="AS277" s="1"/>
  <c r="AS280" s="1"/>
  <c r="AV126"/>
  <c r="AV128" s="1"/>
  <c r="AV72"/>
  <c r="AV74" s="1"/>
  <c r="AV56"/>
  <c r="V126"/>
  <c r="V128" s="1"/>
  <c r="V72"/>
  <c r="V74" s="1"/>
  <c r="V56"/>
  <c r="O66" i="26"/>
  <c r="O367" i="12"/>
  <c r="W82"/>
  <c r="W84" s="1"/>
  <c r="W87" s="1"/>
  <c r="W90" s="1"/>
  <c r="W135"/>
  <c r="W137" s="1"/>
  <c r="AG39" i="26"/>
  <c r="H81" i="12"/>
  <c r="H83" s="1"/>
  <c r="H134"/>
  <c r="H136" s="1"/>
  <c r="H44"/>
  <c r="H72"/>
  <c r="H74" s="1"/>
  <c r="H126"/>
  <c r="H128" s="1"/>
  <c r="H56"/>
  <c r="AL348"/>
  <c r="AL350" s="1"/>
  <c r="AL361" s="1"/>
  <c r="AL364" s="1"/>
  <c r="AL339"/>
  <c r="BG66" i="33"/>
  <c r="AH126" i="12"/>
  <c r="AH128" s="1"/>
  <c r="AH72"/>
  <c r="AH74" s="1"/>
  <c r="AH56"/>
  <c r="BA154"/>
  <c r="BA129"/>
  <c r="AT82"/>
  <c r="AT84" s="1"/>
  <c r="AT87" s="1"/>
  <c r="AT90" s="1"/>
  <c r="AT135"/>
  <c r="BG81"/>
  <c r="BG83" s="1"/>
  <c r="BG134"/>
  <c r="BG136" s="1"/>
  <c r="BG44"/>
  <c r="AH367"/>
  <c r="AH66" i="26"/>
  <c r="AZ264" i="12"/>
  <c r="AZ266" s="1"/>
  <c r="AZ277" s="1"/>
  <c r="AZ280" s="1"/>
  <c r="AZ255"/>
  <c r="H82"/>
  <c r="H84" s="1"/>
  <c r="H87" s="1"/>
  <c r="H90" s="1"/>
  <c r="H135"/>
  <c r="R82"/>
  <c r="R84" s="1"/>
  <c r="R87" s="1"/>
  <c r="R90" s="1"/>
  <c r="R135"/>
  <c r="R137" s="1"/>
  <c r="AY264"/>
  <c r="AY266" s="1"/>
  <c r="AY277" s="1"/>
  <c r="AY280" s="1"/>
  <c r="AY255"/>
  <c r="AO82"/>
  <c r="AO84" s="1"/>
  <c r="AO87" s="1"/>
  <c r="AO90" s="1"/>
  <c r="AO135"/>
  <c r="AK82"/>
  <c r="AK84" s="1"/>
  <c r="AK87" s="1"/>
  <c r="AK90" s="1"/>
  <c r="AK135"/>
  <c r="BL78" i="33"/>
  <c r="N82" i="12"/>
  <c r="N84" s="1"/>
  <c r="N87" s="1"/>
  <c r="N90" s="1"/>
  <c r="N135"/>
  <c r="N137" s="1"/>
  <c r="N140" s="1"/>
  <c r="AR216"/>
  <c r="AR32" i="29"/>
  <c r="AR86" i="33"/>
  <c r="AR86" i="26"/>
  <c r="AV67"/>
  <c r="AV368" i="12"/>
  <c r="AV68" i="26" s="1"/>
  <c r="AV68" i="33" s="1"/>
  <c r="AW264" i="12"/>
  <c r="AW266" s="1"/>
  <c r="AW277" s="1"/>
  <c r="AW280" s="1"/>
  <c r="AW255"/>
  <c r="H367"/>
  <c r="H66" i="26"/>
  <c r="AM39"/>
  <c r="AO72" i="12"/>
  <c r="AO74" s="1"/>
  <c r="AO126"/>
  <c r="AO128" s="1"/>
  <c r="AO56"/>
  <c r="O216"/>
  <c r="O86" i="26"/>
  <c r="O32" i="29"/>
  <c r="O86" i="33"/>
  <c r="AK134" i="12"/>
  <c r="AK136" s="1"/>
  <c r="AK44"/>
  <c r="AK81"/>
  <c r="AK83" s="1"/>
  <c r="L348"/>
  <c r="L350" s="1"/>
  <c r="L361" s="1"/>
  <c r="L364" s="1"/>
  <c r="L339"/>
  <c r="BF126"/>
  <c r="BF128" s="1"/>
  <c r="BF72"/>
  <c r="BF74" s="1"/>
  <c r="BF56"/>
  <c r="V82"/>
  <c r="V84" s="1"/>
  <c r="V87" s="1"/>
  <c r="V90" s="1"/>
  <c r="V135"/>
  <c r="V137" s="1"/>
  <c r="V140" s="1"/>
  <c r="AS81"/>
  <c r="AS83" s="1"/>
  <c r="AS134"/>
  <c r="AS136" s="1"/>
  <c r="AS44"/>
  <c r="AV264"/>
  <c r="AV266" s="1"/>
  <c r="AV277" s="1"/>
  <c r="AV280" s="1"/>
  <c r="AV255"/>
  <c r="AZ82"/>
  <c r="AZ84" s="1"/>
  <c r="AZ87" s="1"/>
  <c r="AZ90" s="1"/>
  <c r="AZ135"/>
  <c r="AK64" i="33"/>
  <c r="AY82" i="12"/>
  <c r="AY84" s="1"/>
  <c r="AY87" s="1"/>
  <c r="AY90" s="1"/>
  <c r="AY135"/>
  <c r="AB366"/>
  <c r="AB64" i="26"/>
  <c r="AH264" i="12"/>
  <c r="AH266" s="1"/>
  <c r="AH277" s="1"/>
  <c r="AH280" s="1"/>
  <c r="AH255"/>
  <c r="Q134"/>
  <c r="Q136" s="1"/>
  <c r="Q81"/>
  <c r="Q83" s="1"/>
  <c r="Q44"/>
  <c r="Q82"/>
  <c r="Q84" s="1"/>
  <c r="Q87" s="1"/>
  <c r="Q90" s="1"/>
  <c r="Q135"/>
  <c r="Q137" s="1"/>
  <c r="Q140" s="1"/>
  <c r="BA53" i="26"/>
  <c r="BA53" i="33" s="1"/>
  <c r="BA282" i="12"/>
  <c r="BA297"/>
  <c r="BA299" s="1"/>
  <c r="BA300" s="1"/>
  <c r="BA301" s="1"/>
  <c r="J264"/>
  <c r="J266" s="1"/>
  <c r="J277" s="1"/>
  <c r="J280" s="1"/>
  <c r="J255"/>
  <c r="AU348"/>
  <c r="AU350" s="1"/>
  <c r="AU361" s="1"/>
  <c r="AU364" s="1"/>
  <c r="AU339"/>
  <c r="AZ126"/>
  <c r="AZ128" s="1"/>
  <c r="AZ72"/>
  <c r="AZ74" s="1"/>
  <c r="AZ56"/>
  <c r="AY81"/>
  <c r="AY83" s="1"/>
  <c r="AY134"/>
  <c r="AY136" s="1"/>
  <c r="AY44"/>
  <c r="BL65" i="33"/>
  <c r="X348" i="12"/>
  <c r="X350" s="1"/>
  <c r="X361" s="1"/>
  <c r="X364" s="1"/>
  <c r="X339"/>
  <c r="AH135"/>
  <c r="AH137" s="1"/>
  <c r="AH82"/>
  <c r="AH84" s="1"/>
  <c r="AH87" s="1"/>
  <c r="AH90" s="1"/>
  <c r="BD82"/>
  <c r="BD84" s="1"/>
  <c r="BD87" s="1"/>
  <c r="BD90" s="1"/>
  <c r="BD135"/>
  <c r="BA82"/>
  <c r="BA84" s="1"/>
  <c r="BA87" s="1"/>
  <c r="BA90" s="1"/>
  <c r="BA91" s="1"/>
  <c r="BA135"/>
  <c r="AR134"/>
  <c r="AR136" s="1"/>
  <c r="AR81"/>
  <c r="AR83" s="1"/>
  <c r="AR44"/>
  <c r="N72"/>
  <c r="N74" s="1"/>
  <c r="N126"/>
  <c r="N128" s="1"/>
  <c r="N139" s="1"/>
  <c r="N142" s="1"/>
  <c r="N56"/>
  <c r="AQ39" i="26"/>
  <c r="AQ39" i="33" s="1"/>
  <c r="BE81" i="12"/>
  <c r="BE83" s="1"/>
  <c r="BE134"/>
  <c r="BE136" s="1"/>
  <c r="BE44"/>
  <c r="BE126"/>
  <c r="BE128" s="1"/>
  <c r="BE139" s="1"/>
  <c r="BE142" s="1"/>
  <c r="BE72"/>
  <c r="BE74" s="1"/>
  <c r="BE86" s="1"/>
  <c r="BE89" s="1"/>
  <c r="BE56"/>
  <c r="O22" i="29"/>
  <c r="O159" i="12"/>
  <c r="AH54" i="33"/>
  <c r="AW81" i="12"/>
  <c r="AW83" s="1"/>
  <c r="AW134"/>
  <c r="AW136" s="1"/>
  <c r="AW44"/>
  <c r="AE81"/>
  <c r="AE83" s="1"/>
  <c r="AE134"/>
  <c r="AE136" s="1"/>
  <c r="AE44"/>
  <c r="BA38" i="26"/>
  <c r="BA38" i="33" s="1"/>
  <c r="J82" i="12"/>
  <c r="J84" s="1"/>
  <c r="J87" s="1"/>
  <c r="J90" s="1"/>
  <c r="J135"/>
  <c r="AO264"/>
  <c r="AO266" s="1"/>
  <c r="AO277" s="1"/>
  <c r="AO280" s="1"/>
  <c r="AO255"/>
  <c r="AV134"/>
  <c r="AV136" s="1"/>
  <c r="AV44"/>
  <c r="AV81"/>
  <c r="AV83" s="1"/>
  <c r="V134"/>
  <c r="V136" s="1"/>
  <c r="V81"/>
  <c r="V83" s="1"/>
  <c r="V44"/>
  <c r="H264"/>
  <c r="H266" s="1"/>
  <c r="H277" s="1"/>
  <c r="H280" s="1"/>
  <c r="H255"/>
  <c r="P82"/>
  <c r="P84" s="1"/>
  <c r="P87" s="1"/>
  <c r="P90" s="1"/>
  <c r="P135"/>
  <c r="P137" s="1"/>
  <c r="P140" s="1"/>
  <c r="Q367"/>
  <c r="Q66" i="26"/>
  <c r="BA367" i="12"/>
  <c r="BA66" i="26"/>
  <c r="AN348" i="12"/>
  <c r="AN350" s="1"/>
  <c r="AN361" s="1"/>
  <c r="AN364" s="1"/>
  <c r="AN339"/>
  <c r="BD66" i="26"/>
  <c r="BD367" i="12"/>
  <c r="BG73" i="26"/>
  <c r="BG67" i="33"/>
  <c r="BG71" i="26"/>
  <c r="BG72"/>
  <c r="S66"/>
  <c r="O297" i="12"/>
  <c r="O299" s="1"/>
  <c r="O300" s="1"/>
  <c r="O301" s="1"/>
  <c r="O53" i="26"/>
  <c r="O53" i="33" s="1"/>
  <c r="O282" i="12"/>
  <c r="AH81"/>
  <c r="AH83" s="1"/>
  <c r="AH134"/>
  <c r="AH136" s="1"/>
  <c r="AH44"/>
  <c r="BG72"/>
  <c r="BG74" s="1"/>
  <c r="BG56"/>
  <c r="BG126"/>
  <c r="BG128" s="1"/>
  <c r="BG139" s="1"/>
  <c r="BG142" s="1"/>
  <c r="Q264"/>
  <c r="Q266" s="1"/>
  <c r="Q277" s="1"/>
  <c r="Q280" s="1"/>
  <c r="Q255"/>
  <c r="CM64" i="33"/>
  <c r="AH64"/>
  <c r="J81" i="12"/>
  <c r="J83" s="1"/>
  <c r="J134"/>
  <c r="J136" s="1"/>
  <c r="J44"/>
  <c r="J126"/>
  <c r="J128" s="1"/>
  <c r="J139" s="1"/>
  <c r="J142" s="1"/>
  <c r="J72"/>
  <c r="J74" s="1"/>
  <c r="J86" s="1"/>
  <c r="J89" s="1"/>
  <c r="J56"/>
  <c r="U64" i="26"/>
  <c r="U64" i="33" s="1"/>
  <c r="U366" i="12"/>
  <c r="BF367"/>
  <c r="BF66" i="26"/>
  <c r="AS66"/>
  <c r="AS367" i="12"/>
  <c r="BD72"/>
  <c r="BD74" s="1"/>
  <c r="BD126"/>
  <c r="BD128" s="1"/>
  <c r="BD56"/>
  <c r="BD81"/>
  <c r="BD83" s="1"/>
  <c r="BD44"/>
  <c r="BD134"/>
  <c r="BD136" s="1"/>
  <c r="BD264"/>
  <c r="BD266" s="1"/>
  <c r="BD277" s="1"/>
  <c r="BD280" s="1"/>
  <c r="BD255"/>
  <c r="P264"/>
  <c r="P266" s="1"/>
  <c r="P277" s="1"/>
  <c r="P280" s="1"/>
  <c r="P255"/>
  <c r="BE82"/>
  <c r="BE84" s="1"/>
  <c r="BE87" s="1"/>
  <c r="BE90" s="1"/>
  <c r="BE135"/>
  <c r="CC78" i="33"/>
  <c r="AS82" i="12"/>
  <c r="AS84" s="1"/>
  <c r="AS87" s="1"/>
  <c r="AS90" s="1"/>
  <c r="AS135"/>
  <c r="AR298"/>
  <c r="AR281"/>
  <c r="AR54" i="26" s="1"/>
  <c r="AR54" i="33" s="1"/>
  <c r="BF298" i="12"/>
  <c r="BF281"/>
  <c r="BF54" i="26" s="1"/>
  <c r="BF54" i="33" s="1"/>
  <c r="J298" i="12"/>
  <c r="J281"/>
  <c r="J54" i="26" s="1"/>
  <c r="J54" i="33" s="1"/>
  <c r="AR264" i="12"/>
  <c r="AR266" s="1"/>
  <c r="AR277" s="1"/>
  <c r="AR280" s="1"/>
  <c r="AR255"/>
  <c r="AE82"/>
  <c r="AE84" s="1"/>
  <c r="AE87" s="1"/>
  <c r="AE90" s="1"/>
  <c r="AE135"/>
  <c r="M64" i="26"/>
  <c r="M64" i="33" s="1"/>
  <c r="M366" i="12"/>
  <c r="AV66" i="33"/>
  <c r="BF82" i="12"/>
  <c r="BF84" s="1"/>
  <c r="BF87" s="1"/>
  <c r="BF90" s="1"/>
  <c r="BF135"/>
  <c r="AE264"/>
  <c r="AE266" s="1"/>
  <c r="AE277" s="1"/>
  <c r="AE280" s="1"/>
  <c r="AE255"/>
  <c r="P367"/>
  <c r="P66" i="26"/>
  <c r="AM137" i="12"/>
  <c r="AM140" s="1"/>
  <c r="AM157"/>
  <c r="BA30" i="29"/>
  <c r="BA84" i="33"/>
  <c r="BA215" i="12"/>
  <c r="BA84" i="26"/>
  <c r="AO134" i="12"/>
  <c r="AO136" s="1"/>
  <c r="AO81"/>
  <c r="AO83" s="1"/>
  <c r="AO44"/>
  <c r="Z348"/>
  <c r="Z350" s="1"/>
  <c r="Z361" s="1"/>
  <c r="Z364" s="1"/>
  <c r="Z339"/>
  <c r="AK126"/>
  <c r="AK128" s="1"/>
  <c r="AK72"/>
  <c r="AK74" s="1"/>
  <c r="AK86" s="1"/>
  <c r="AK89" s="1"/>
  <c r="AK56"/>
  <c r="O39" i="26"/>
  <c r="O39" i="33" s="1"/>
  <c r="AP348" i="12"/>
  <c r="AP350" s="1"/>
  <c r="AP361" s="1"/>
  <c r="AP364" s="1"/>
  <c r="AP339"/>
  <c r="BF81"/>
  <c r="BF83" s="1"/>
  <c r="BF44"/>
  <c r="BF134"/>
  <c r="BF136" s="1"/>
  <c r="BF264"/>
  <c r="BF266" s="1"/>
  <c r="BF277" s="1"/>
  <c r="BF280" s="1"/>
  <c r="BF255"/>
  <c r="AS72"/>
  <c r="AS74" s="1"/>
  <c r="AS86" s="1"/>
  <c r="AS89" s="1"/>
  <c r="AS56"/>
  <c r="AS126"/>
  <c r="AS128" s="1"/>
  <c r="V264"/>
  <c r="V266" s="1"/>
  <c r="V277" s="1"/>
  <c r="V280" s="1"/>
  <c r="V255"/>
  <c r="AK367"/>
  <c r="AK66" i="26"/>
  <c r="AW66"/>
  <c r="AW367" i="12"/>
  <c r="AW82"/>
  <c r="AW84" s="1"/>
  <c r="AW87" s="1"/>
  <c r="AW90" s="1"/>
  <c r="AW135"/>
  <c r="BG264"/>
  <c r="BG266" s="1"/>
  <c r="BG277" s="1"/>
  <c r="BG280" s="1"/>
  <c r="BG255"/>
  <c r="Q126"/>
  <c r="Q128" s="1"/>
  <c r="Q72"/>
  <c r="Q74" s="1"/>
  <c r="Q56"/>
  <c r="BB64" i="26"/>
  <c r="BB64" i="33" s="1"/>
  <c r="BB366" i="12"/>
  <c r="AZ134"/>
  <c r="AZ136" s="1"/>
  <c r="AZ81"/>
  <c r="AZ83" s="1"/>
  <c r="AZ44"/>
  <c r="AD64" i="26"/>
  <c r="AD366" i="12"/>
  <c r="AY72"/>
  <c r="AY74" s="1"/>
  <c r="AY126"/>
  <c r="AY128" s="1"/>
  <c r="AY56"/>
  <c r="CC65" i="33"/>
  <c r="AR66" i="26"/>
  <c r="AR367" i="12"/>
  <c r="P81"/>
  <c r="P83" s="1"/>
  <c r="P134"/>
  <c r="P136" s="1"/>
  <c r="P44"/>
  <c r="P72"/>
  <c r="P74" s="1"/>
  <c r="P126"/>
  <c r="P128" s="1"/>
  <c r="P56"/>
  <c r="AH140"/>
  <c r="Q139" l="1"/>
  <c r="Q142" s="1"/>
  <c r="AK139"/>
  <c r="AK142" s="1"/>
  <c r="Z86"/>
  <c r="Z89" s="1"/>
  <c r="U86"/>
  <c r="U89" s="1"/>
  <c r="BE367"/>
  <c r="BE66" i="26"/>
  <c r="BE66" i="33" s="1"/>
  <c r="BE281" i="12"/>
  <c r="BE54" i="26" s="1"/>
  <c r="BE54" i="33" s="1"/>
  <c r="BE298" i="12"/>
  <c r="BE215"/>
  <c r="BE84" i="26"/>
  <c r="BE84" i="33"/>
  <c r="BE30" i="29"/>
  <c r="S52" i="34"/>
  <c r="BJ52"/>
  <c r="BV52" i="33"/>
  <c r="DT52" s="1"/>
  <c r="BJ28" i="34"/>
  <c r="S28"/>
  <c r="BV28" i="33"/>
  <c r="DT28" s="1"/>
  <c r="BJ43" i="34"/>
  <c r="S43"/>
  <c r="BV43" i="33"/>
  <c r="DT43" s="1"/>
  <c r="N28" i="34"/>
  <c r="BQ28" i="33"/>
  <c r="N52" i="34"/>
  <c r="BQ52" i="33"/>
  <c r="BQ63"/>
  <c r="N63" i="34"/>
  <c r="N43"/>
  <c r="BQ43" i="33"/>
  <c r="BJ63" i="34"/>
  <c r="BV63" i="33"/>
  <c r="DT63" s="1"/>
  <c r="S63" i="34"/>
  <c r="N37"/>
  <c r="BQ37" i="33"/>
  <c r="S37" i="34"/>
  <c r="BV37" i="33"/>
  <c r="DT37" s="1"/>
  <c r="BJ37" i="34"/>
  <c r="BK70"/>
  <c r="AU23" i="29"/>
  <c r="AU144" i="12"/>
  <c r="AD299"/>
  <c r="AD300" s="1"/>
  <c r="AD301" s="1"/>
  <c r="U137"/>
  <c r="U157"/>
  <c r="AA55"/>
  <c r="AA116"/>
  <c r="AA117" s="1"/>
  <c r="AA110"/>
  <c r="AA43"/>
  <c r="AA112"/>
  <c r="AA46"/>
  <c r="AA243"/>
  <c r="AA272" s="1"/>
  <c r="AA274" s="1"/>
  <c r="AA254"/>
  <c r="AU160"/>
  <c r="AU161" s="1"/>
  <c r="AU162" s="1"/>
  <c r="AU163" s="1"/>
  <c r="W367"/>
  <c r="AX366"/>
  <c r="Y154"/>
  <c r="Y129"/>
  <c r="BP69" i="33"/>
  <c r="AR69" i="34"/>
  <c r="CV69" i="33" s="1"/>
  <c r="AC327" i="12"/>
  <c r="AC356" s="1"/>
  <c r="AC358" s="1"/>
  <c r="AC338"/>
  <c r="AG65" i="33"/>
  <c r="AH65" i="34"/>
  <c r="CL65" i="33" s="1"/>
  <c r="R58" i="34"/>
  <c r="BU58" i="33"/>
  <c r="DS58" s="1"/>
  <c r="R47" i="34"/>
  <c r="BU47" i="33"/>
  <c r="W129" i="12"/>
  <c r="W140" s="1"/>
  <c r="W143" s="1"/>
  <c r="W23" i="29" s="1"/>
  <c r="W154" i="12"/>
  <c r="Y254"/>
  <c r="Y243"/>
  <c r="Y272" s="1"/>
  <c r="Y274" s="1"/>
  <c r="Q78" i="34"/>
  <c r="AG78" i="33"/>
  <c r="AH78" i="34"/>
  <c r="AQ78" s="1"/>
  <c r="CU78" i="33" s="1"/>
  <c r="DS47"/>
  <c r="M69" i="34"/>
  <c r="V338" i="12"/>
  <c r="V327"/>
  <c r="V356" s="1"/>
  <c r="V358" s="1"/>
  <c r="AM84" i="26"/>
  <c r="AM84" i="33"/>
  <c r="AM30" i="29"/>
  <c r="AM215" i="12"/>
  <c r="Y46"/>
  <c r="Y112"/>
  <c r="M58" i="34"/>
  <c r="BP58" i="33"/>
  <c r="AG366" i="12"/>
  <c r="AG64" i="26"/>
  <c r="BC54" i="34"/>
  <c r="DM54" i="33" s="1"/>
  <c r="AM54"/>
  <c r="L78" i="34"/>
  <c r="M78" s="1"/>
  <c r="BM78" i="33"/>
  <c r="M47" i="34"/>
  <c r="BP47" i="33"/>
  <c r="Y110" i="12"/>
  <c r="Y116"/>
  <c r="Y117" s="1"/>
  <c r="Y55"/>
  <c r="Y43"/>
  <c r="BI69" i="34"/>
  <c r="R69"/>
  <c r="BU69" i="33"/>
  <c r="DS69" s="1"/>
  <c r="AS78" i="34"/>
  <c r="DC78" i="33" s="1"/>
  <c r="AC78"/>
  <c r="W43" i="12"/>
  <c r="W55"/>
  <c r="W116"/>
  <c r="W117" s="1"/>
  <c r="W110"/>
  <c r="W254"/>
  <c r="W243"/>
  <c r="W272" s="1"/>
  <c r="W274" s="1"/>
  <c r="J327"/>
  <c r="J356" s="1"/>
  <c r="J358" s="1"/>
  <c r="J338"/>
  <c r="AY139"/>
  <c r="AY142" s="1"/>
  <c r="O144"/>
  <c r="N86"/>
  <c r="N89" s="1"/>
  <c r="N38" i="26" s="1"/>
  <c r="N38" i="33" s="1"/>
  <c r="O70" i="34"/>
  <c r="BR70" i="33"/>
  <c r="AO65" i="34"/>
  <c r="CS65" i="33" s="1"/>
  <c r="AQ64" i="26"/>
  <c r="AQ64" i="33" s="1"/>
  <c r="AQ366" i="12"/>
  <c r="AL254"/>
  <c r="AL243"/>
  <c r="AL272" s="1"/>
  <c r="AL274" s="1"/>
  <c r="AL86" i="33"/>
  <c r="AL216" i="12"/>
  <c r="AL32" i="29"/>
  <c r="AL86" i="26"/>
  <c r="AT110" i="12"/>
  <c r="AT55"/>
  <c r="AT43"/>
  <c r="AT116"/>
  <c r="AT117" s="1"/>
  <c r="BC116"/>
  <c r="BC117" s="1"/>
  <c r="BC110"/>
  <c r="BC55"/>
  <c r="BC43"/>
  <c r="BC254"/>
  <c r="BC243"/>
  <c r="BC272" s="1"/>
  <c r="BC274" s="1"/>
  <c r="AL78" i="33"/>
  <c r="BB78" i="34"/>
  <c r="DL78" i="33" s="1"/>
  <c r="BC366" i="12"/>
  <c r="BC64" i="26"/>
  <c r="BC64" i="33" s="1"/>
  <c r="BC298" i="12"/>
  <c r="BC281"/>
  <c r="BC54" i="26" s="1"/>
  <c r="BC54" i="33" s="1"/>
  <c r="R110" i="12"/>
  <c r="R55"/>
  <c r="R116"/>
  <c r="R117" s="1"/>
  <c r="R43"/>
  <c r="AT154"/>
  <c r="AT129"/>
  <c r="AL87"/>
  <c r="AL90" s="1"/>
  <c r="R154"/>
  <c r="R129"/>
  <c r="R140" s="1"/>
  <c r="AL55"/>
  <c r="AL110"/>
  <c r="AL116"/>
  <c r="AL117" s="1"/>
  <c r="AL43"/>
  <c r="AT254"/>
  <c r="AT243"/>
  <c r="AT272" s="1"/>
  <c r="AT274" s="1"/>
  <c r="AL154"/>
  <c r="AL129"/>
  <c r="BC154"/>
  <c r="BC129"/>
  <c r="AL157"/>
  <c r="AL137"/>
  <c r="AL140" s="1"/>
  <c r="BB65" i="34"/>
  <c r="DL65" i="33" s="1"/>
  <c r="AL65"/>
  <c r="R243" i="12"/>
  <c r="R272" s="1"/>
  <c r="R274" s="1"/>
  <c r="R254"/>
  <c r="AY86"/>
  <c r="AY89" s="1"/>
  <c r="AY91" s="1"/>
  <c r="AS139"/>
  <c r="AS142" s="1"/>
  <c r="BG86"/>
  <c r="BG89" s="1"/>
  <c r="O161"/>
  <c r="O162" s="1"/>
  <c r="U139"/>
  <c r="U142" s="1"/>
  <c r="U22" i="29" s="1"/>
  <c r="Q86" i="12"/>
  <c r="Q89" s="1"/>
  <c r="DF59" i="33"/>
  <c r="BD59" i="34"/>
  <c r="DN59" i="33" s="1"/>
  <c r="BF59" i="34"/>
  <c r="DP59" i="33" s="1"/>
  <c r="AT367" i="12"/>
  <c r="AT368" s="1"/>
  <c r="AT68" i="26" s="1"/>
  <c r="AT68" i="33" s="1"/>
  <c r="BM79"/>
  <c r="Q79" i="34"/>
  <c r="BI79" s="1"/>
  <c r="R59"/>
  <c r="BU59" i="33"/>
  <c r="DS59" s="1"/>
  <c r="R48" i="34"/>
  <c r="BU48" i="33"/>
  <c r="DS48" s="1"/>
  <c r="AQ56" i="12"/>
  <c r="AQ126"/>
  <c r="AQ128" s="1"/>
  <c r="AQ72"/>
  <c r="AQ74" s="1"/>
  <c r="AQ134"/>
  <c r="AQ136" s="1"/>
  <c r="AQ81"/>
  <c r="AQ83" s="1"/>
  <c r="AQ44"/>
  <c r="AQ264"/>
  <c r="AQ266" s="1"/>
  <c r="AQ277" s="1"/>
  <c r="AQ280" s="1"/>
  <c r="AQ255"/>
  <c r="X110"/>
  <c r="X55"/>
  <c r="X116"/>
  <c r="X117" s="1"/>
  <c r="X43"/>
  <c r="BL79" i="33"/>
  <c r="X243" i="12"/>
  <c r="X272" s="1"/>
  <c r="X274" s="1"/>
  <c r="X254"/>
  <c r="AG81"/>
  <c r="AG83" s="1"/>
  <c r="AG44"/>
  <c r="AG134"/>
  <c r="AG136" s="1"/>
  <c r="AG264"/>
  <c r="AG266" s="1"/>
  <c r="AG277" s="1"/>
  <c r="AG280" s="1"/>
  <c r="AG255"/>
  <c r="AG126"/>
  <c r="AG128" s="1"/>
  <c r="AG72"/>
  <c r="AG74" s="1"/>
  <c r="AG86" s="1"/>
  <c r="AG89" s="1"/>
  <c r="AG56"/>
  <c r="AE78" i="33"/>
  <c r="AU78" i="34"/>
  <c r="BE78"/>
  <c r="DO78" i="33" s="1"/>
  <c r="DE58"/>
  <c r="BF58" i="34"/>
  <c r="DP58" i="33" s="1"/>
  <c r="DF48"/>
  <c r="BF48" i="34"/>
  <c r="DP48" i="33" s="1"/>
  <c r="DE47"/>
  <c r="BF47" i="34"/>
  <c r="DP47" i="33" s="1"/>
  <c r="BB298" i="12"/>
  <c r="BD48" i="34"/>
  <c r="DN48" i="33" s="1"/>
  <c r="BD58" i="34"/>
  <c r="DN58" i="33" s="1"/>
  <c r="AV79" i="34"/>
  <c r="AF79" i="33"/>
  <c r="BE79" i="34"/>
  <c r="DO79" i="33" s="1"/>
  <c r="DF70"/>
  <c r="BD70" i="34"/>
  <c r="DN70" i="33" s="1"/>
  <c r="BF70" i="34"/>
  <c r="DP70" i="33" s="1"/>
  <c r="DE69"/>
  <c r="BF69" i="34"/>
  <c r="DP69" i="33" s="1"/>
  <c r="BD69" i="34"/>
  <c r="DN69" i="33" s="1"/>
  <c r="AF78"/>
  <c r="AV78" i="34"/>
  <c r="DF78" i="33" s="1"/>
  <c r="BD47" i="34"/>
  <c r="DN47" i="33" s="1"/>
  <c r="L65" i="34"/>
  <c r="AR65" s="1"/>
  <c r="CV65" i="33" s="1"/>
  <c r="U66" i="34"/>
  <c r="BA66"/>
  <c r="DK66" i="33" s="1"/>
  <c r="BC39" i="34"/>
  <c r="R66"/>
  <c r="AI66"/>
  <c r="M53"/>
  <c r="BQ53" i="33" s="1"/>
  <c r="AS53" i="34"/>
  <c r="AS38"/>
  <c r="DC38" i="33" s="1"/>
  <c r="M38" i="34"/>
  <c r="AT39"/>
  <c r="AV66"/>
  <c r="AS39"/>
  <c r="DC39" i="33" s="1"/>
  <c r="I64" i="34"/>
  <c r="BJ64" s="1"/>
  <c r="Z64"/>
  <c r="CD64" i="33" s="1"/>
  <c r="AH54" i="34"/>
  <c r="CL54" i="33" s="1"/>
  <c r="AU64" i="34"/>
  <c r="DE64" i="33" s="1"/>
  <c r="BG48" i="34"/>
  <c r="N48"/>
  <c r="O48" s="1"/>
  <c r="P48" s="1"/>
  <c r="BG59"/>
  <c r="N59"/>
  <c r="O59" s="1"/>
  <c r="P59" s="1"/>
  <c r="BI65"/>
  <c r="R65"/>
  <c r="M79"/>
  <c r="AR79"/>
  <c r="CV79" i="33" s="1"/>
  <c r="N64" i="34"/>
  <c r="O64" s="1"/>
  <c r="P64" s="1"/>
  <c r="AT64"/>
  <c r="DD64" i="33" s="1"/>
  <c r="L64" i="34"/>
  <c r="AC64"/>
  <c r="AH39"/>
  <c r="T66"/>
  <c r="BX66" i="33" s="1"/>
  <c r="AZ66" i="34"/>
  <c r="DJ66" i="33" s="1"/>
  <c r="AT54" i="34"/>
  <c r="DD54" i="33" s="1"/>
  <c r="AT53" i="34"/>
  <c r="DD53" i="33" s="1"/>
  <c r="N53" i="34"/>
  <c r="BR53" i="33" s="1"/>
  <c r="S64" i="34"/>
  <c r="BW64" i="33" s="1"/>
  <c r="AJ64" i="34"/>
  <c r="CN64" i="33" s="1"/>
  <c r="BC66" i="34"/>
  <c r="DM66" i="33" s="1"/>
  <c r="BL70" i="34"/>
  <c r="U70"/>
  <c r="BY70" i="33" s="1"/>
  <c r="AO79" i="34"/>
  <c r="CS79" i="33" s="1"/>
  <c r="AQ79" i="34"/>
  <c r="CU79" i="33" s="1"/>
  <c r="AP30" i="29"/>
  <c r="AP215" i="12"/>
  <c r="AP84" i="26"/>
  <c r="AP84" i="33"/>
  <c r="AM126" i="12"/>
  <c r="AM128" s="1"/>
  <c r="AM72"/>
  <c r="AM74" s="1"/>
  <c r="AM56"/>
  <c r="BB55"/>
  <c r="BB110"/>
  <c r="BB116"/>
  <c r="BB117" s="1"/>
  <c r="BB43"/>
  <c r="AP129"/>
  <c r="AP154"/>
  <c r="AP81"/>
  <c r="AP83" s="1"/>
  <c r="AP44"/>
  <c r="AP134"/>
  <c r="AP136" s="1"/>
  <c r="AP281"/>
  <c r="AP54" i="26" s="1"/>
  <c r="AP54" i="33" s="1"/>
  <c r="AP298" i="12"/>
  <c r="AM134"/>
  <c r="AM136" s="1"/>
  <c r="AM44"/>
  <c r="AM81"/>
  <c r="AM83" s="1"/>
  <c r="BB129"/>
  <c r="BB154"/>
  <c r="BB243"/>
  <c r="BB272" s="1"/>
  <c r="BB274" s="1"/>
  <c r="BB254"/>
  <c r="AP82"/>
  <c r="AP84" s="1"/>
  <c r="AP87" s="1"/>
  <c r="AP90" s="1"/>
  <c r="AP135"/>
  <c r="AM264"/>
  <c r="AM266" s="1"/>
  <c r="AM277" s="1"/>
  <c r="AM280" s="1"/>
  <c r="AM255"/>
  <c r="BB112"/>
  <c r="BB46"/>
  <c r="AP264"/>
  <c r="AP266" s="1"/>
  <c r="AP277" s="1"/>
  <c r="AP280" s="1"/>
  <c r="AP255"/>
  <c r="AP56"/>
  <c r="AP72"/>
  <c r="AP74" s="1"/>
  <c r="AP126"/>
  <c r="AP128" s="1"/>
  <c r="AP139" s="1"/>
  <c r="AP142" s="1"/>
  <c r="L30" i="29"/>
  <c r="L215" i="12"/>
  <c r="L84" i="26"/>
  <c r="L84" i="33"/>
  <c r="L281" i="12"/>
  <c r="L298"/>
  <c r="L299" s="1"/>
  <c r="L300" s="1"/>
  <c r="L301" s="1"/>
  <c r="AA129"/>
  <c r="AA154"/>
  <c r="AT32" i="29"/>
  <c r="AT216" i="12"/>
  <c r="AT86" i="33"/>
  <c r="AT86" i="26"/>
  <c r="AT67"/>
  <c r="K298" i="12"/>
  <c r="K281"/>
  <c r="K54" i="26" s="1"/>
  <c r="K54" i="33" s="1"/>
  <c r="AX82" i="12"/>
  <c r="AX84" s="1"/>
  <c r="AX87" s="1"/>
  <c r="AX90" s="1"/>
  <c r="AX135"/>
  <c r="AF30" i="29"/>
  <c r="AF84" i="26"/>
  <c r="AF84" i="33"/>
  <c r="AF215" i="12"/>
  <c r="BF84" i="26"/>
  <c r="BF215" i="12"/>
  <c r="BF84" i="33"/>
  <c r="BF30" i="29"/>
  <c r="AA84" i="26"/>
  <c r="AA30" i="29"/>
  <c r="AA215" i="12"/>
  <c r="AA84" i="33"/>
  <c r="AS298" i="12"/>
  <c r="AS281"/>
  <c r="AS54" i="26" s="1"/>
  <c r="AS54" i="33" s="1"/>
  <c r="AE281" i="12"/>
  <c r="AE54" i="26" s="1"/>
  <c r="AE298" i="12"/>
  <c r="AW298"/>
  <c r="AW281"/>
  <c r="AW54" i="26" s="1"/>
  <c r="AW54" i="33" s="1"/>
  <c r="V281" i="12"/>
  <c r="V54" i="26" s="1"/>
  <c r="V54" i="33" s="1"/>
  <c r="V298" i="12"/>
  <c r="K367"/>
  <c r="K66" i="26"/>
  <c r="K66" i="33" s="1"/>
  <c r="Y84"/>
  <c r="Y84" i="26"/>
  <c r="Y30" i="29"/>
  <c r="Y215" i="12"/>
  <c r="AB135"/>
  <c r="AB82"/>
  <c r="AB84" s="1"/>
  <c r="AB87" s="1"/>
  <c r="AB90" s="1"/>
  <c r="AX129"/>
  <c r="AX154"/>
  <c r="AO84" i="33"/>
  <c r="AO84" i="26"/>
  <c r="AO215" i="12"/>
  <c r="AO30" i="29"/>
  <c r="AX255" i="12"/>
  <c r="AX264"/>
  <c r="AX266" s="1"/>
  <c r="AX277" s="1"/>
  <c r="AX280" s="1"/>
  <c r="Y367"/>
  <c r="Y66" i="26"/>
  <c r="AB298" i="12"/>
  <c r="AB281"/>
  <c r="AB54" i="26" s="1"/>
  <c r="AW215" i="12"/>
  <c r="AW30" i="29"/>
  <c r="AW84" i="26"/>
  <c r="AW84" i="33"/>
  <c r="K84" i="26"/>
  <c r="K215" i="12"/>
  <c r="K30" i="29"/>
  <c r="K84" i="33"/>
  <c r="V30" i="29"/>
  <c r="V215" i="12"/>
  <c r="V84" i="26"/>
  <c r="V84" i="33"/>
  <c r="Y298" i="12"/>
  <c r="Y281"/>
  <c r="Y54" i="26" s="1"/>
  <c r="K154" i="12"/>
  <c r="K129"/>
  <c r="AB84" i="33"/>
  <c r="AB84" i="26"/>
  <c r="AB30" i="29"/>
  <c r="AB215" i="12"/>
  <c r="AN87" i="33"/>
  <c r="AN217" i="12"/>
  <c r="AN87" i="26"/>
  <c r="AN33" i="29"/>
  <c r="K81" i="12"/>
  <c r="K83" s="1"/>
  <c r="K44"/>
  <c r="K134"/>
  <c r="K136" s="1"/>
  <c r="AB126"/>
  <c r="AB128" s="1"/>
  <c r="AB56"/>
  <c r="AB72"/>
  <c r="AB74" s="1"/>
  <c r="AB81"/>
  <c r="AB83" s="1"/>
  <c r="AB44"/>
  <c r="AB134"/>
  <c r="AB136" s="1"/>
  <c r="AX84" i="33"/>
  <c r="AX30" i="29"/>
  <c r="AX215" i="12"/>
  <c r="AX84" i="26"/>
  <c r="AX66"/>
  <c r="AX66" i="33" s="1"/>
  <c r="AX367" i="12"/>
  <c r="AE64" i="33"/>
  <c r="BP79"/>
  <c r="AE215" i="12"/>
  <c r="AE84" i="33"/>
  <c r="AE30" i="29"/>
  <c r="AE84" i="26"/>
  <c r="BO64" i="33"/>
  <c r="AA64"/>
  <c r="AX298" i="12"/>
  <c r="AX281"/>
  <c r="AX54" i="26" s="1"/>
  <c r="AX54" i="33" s="1"/>
  <c r="AJ30" i="29"/>
  <c r="AJ84" i="33"/>
  <c r="AJ84" i="26"/>
  <c r="AJ215" i="12"/>
  <c r="K255"/>
  <c r="K264"/>
  <c r="K266" s="1"/>
  <c r="K277" s="1"/>
  <c r="K280" s="1"/>
  <c r="AG32" i="29"/>
  <c r="AG86" i="26"/>
  <c r="AG216" i="12"/>
  <c r="AG86" i="33"/>
  <c r="BM64"/>
  <c r="Y64"/>
  <c r="K135" i="12"/>
  <c r="K137" s="1"/>
  <c r="K82"/>
  <c r="K84" s="1"/>
  <c r="K87" s="1"/>
  <c r="K90" s="1"/>
  <c r="AO281"/>
  <c r="AO54" i="26" s="1"/>
  <c r="AO54" i="33" s="1"/>
  <c r="AO298" i="12"/>
  <c r="AJ298"/>
  <c r="AJ281"/>
  <c r="AJ54" i="26" s="1"/>
  <c r="AG54" i="33"/>
  <c r="AC281" i="12"/>
  <c r="AC298"/>
  <c r="AC299" s="1"/>
  <c r="AC300" s="1"/>
  <c r="AC301" s="1"/>
  <c r="AF298"/>
  <c r="AF281"/>
  <c r="AF54" i="26" s="1"/>
  <c r="BM65" i="33"/>
  <c r="BB32" i="29"/>
  <c r="BB86" i="26"/>
  <c r="BB216" i="12"/>
  <c r="BB86" i="33"/>
  <c r="K126" i="12"/>
  <c r="K128" s="1"/>
  <c r="K139" s="1"/>
  <c r="K142" s="1"/>
  <c r="K72"/>
  <c r="K74" s="1"/>
  <c r="K56"/>
  <c r="AX134"/>
  <c r="AX136" s="1"/>
  <c r="AX81"/>
  <c r="AX83" s="1"/>
  <c r="AX44"/>
  <c r="AX126"/>
  <c r="AX128" s="1"/>
  <c r="AX72"/>
  <c r="AX74" s="1"/>
  <c r="AX56"/>
  <c r="AV86" i="33"/>
  <c r="AV216" i="12"/>
  <c r="AV32" i="29"/>
  <c r="AV86" i="26"/>
  <c r="AC84" i="33"/>
  <c r="AC30" i="29"/>
  <c r="AC215" i="12"/>
  <c r="AC84" i="26"/>
  <c r="AB129" i="12"/>
  <c r="AB154"/>
  <c r="AB255"/>
  <c r="AB264"/>
  <c r="AB266" s="1"/>
  <c r="AB277" s="1"/>
  <c r="AB280" s="1"/>
  <c r="AA281"/>
  <c r="AA54" i="26" s="1"/>
  <c r="K54" i="34" s="1"/>
  <c r="AA298" i="12"/>
  <c r="AE66" i="26"/>
  <c r="AE367" i="12"/>
  <c r="AS84" i="33"/>
  <c r="AS30" i="29"/>
  <c r="AS84" i="26"/>
  <c r="AS215" i="12"/>
  <c r="AA66" i="26"/>
  <c r="K66" i="34" s="1"/>
  <c r="AA367" i="12"/>
  <c r="AF86"/>
  <c r="AF89" s="1"/>
  <c r="BC33" i="29"/>
  <c r="BC87" i="33"/>
  <c r="BC87" i="26"/>
  <c r="BC217" i="12"/>
  <c r="AU283"/>
  <c r="AU55" i="26"/>
  <c r="AU55" i="33" s="1"/>
  <c r="N368" i="12"/>
  <c r="N68" i="26" s="1"/>
  <c r="N68" i="33" s="1"/>
  <c r="N67" i="26"/>
  <c r="BH86"/>
  <c r="BH216" i="12"/>
  <c r="BH32" i="29"/>
  <c r="BH86" i="33"/>
  <c r="N86"/>
  <c r="N216" i="12"/>
  <c r="N32" i="29"/>
  <c r="N86" i="26"/>
  <c r="P86" i="33"/>
  <c r="P216" i="12"/>
  <c r="P32" i="29"/>
  <c r="P86" i="26"/>
  <c r="AY67"/>
  <c r="AY368" i="12"/>
  <c r="AY68" i="26" s="1"/>
  <c r="AY68" i="33" s="1"/>
  <c r="BD33" i="29"/>
  <c r="BD87" i="33"/>
  <c r="BD87" i="26"/>
  <c r="BD217" i="12"/>
  <c r="H139"/>
  <c r="H142" s="1"/>
  <c r="AI86"/>
  <c r="AI89" s="1"/>
  <c r="AJ139"/>
  <c r="AJ142" s="1"/>
  <c r="AJ22" i="29" s="1"/>
  <c r="AY216" i="12"/>
  <c r="AY32" i="29"/>
  <c r="AY86" i="33"/>
  <c r="AY86" i="26"/>
  <c r="AU32" i="29"/>
  <c r="AU86" i="26"/>
  <c r="AU216" i="12"/>
  <c r="AU86" i="33"/>
  <c r="AQ33" i="29"/>
  <c r="AQ217" i="12"/>
  <c r="AQ87" i="33"/>
  <c r="AQ87" i="26"/>
  <c r="AN40"/>
  <c r="AN40" i="33" s="1"/>
  <c r="AN92" i="12"/>
  <c r="BH66" i="33"/>
  <c r="H216" i="12"/>
  <c r="H86" i="26"/>
  <c r="H86" i="33"/>
  <c r="H32" i="29"/>
  <c r="BH39" i="26"/>
  <c r="BH39" i="33" s="1"/>
  <c r="AN22" i="29"/>
  <c r="AN159" i="12"/>
  <c r="AN283"/>
  <c r="AN55" i="26"/>
  <c r="AN55" i="33" s="1"/>
  <c r="BH139" i="12"/>
  <c r="BH142" s="1"/>
  <c r="AN160"/>
  <c r="AN143"/>
  <c r="BH53" i="26"/>
  <c r="BH53" i="33" s="1"/>
  <c r="BH297" i="12"/>
  <c r="BH299" s="1"/>
  <c r="BH300" s="1"/>
  <c r="BH301" s="1"/>
  <c r="BH282"/>
  <c r="AK298"/>
  <c r="AK281"/>
  <c r="AK54" i="26" s="1"/>
  <c r="BH67"/>
  <c r="BH368" i="12"/>
  <c r="BH68" i="26" s="1"/>
  <c r="BH68" i="33" s="1"/>
  <c r="BH137" i="12"/>
  <c r="BH140" s="1"/>
  <c r="BH157"/>
  <c r="AK30" i="29"/>
  <c r="AK84" i="26"/>
  <c r="AK215" i="12"/>
  <c r="AK84" i="33"/>
  <c r="AU92" i="12"/>
  <c r="AU40" i="26"/>
  <c r="AU40" i="33" s="1"/>
  <c r="BH86" i="12"/>
  <c r="BH89" s="1"/>
  <c r="T22" i="29"/>
  <c r="T159" i="12"/>
  <c r="L144"/>
  <c r="L159"/>
  <c r="L161" s="1"/>
  <c r="L162" s="1"/>
  <c r="L22" i="29"/>
  <c r="AC22"/>
  <c r="AC159" i="12"/>
  <c r="I159"/>
  <c r="I22" i="29"/>
  <c r="X39" i="26"/>
  <c r="AI298" i="12"/>
  <c r="AI281"/>
  <c r="AI54" i="26" s="1"/>
  <c r="S135" i="12"/>
  <c r="S137" s="1"/>
  <c r="S82"/>
  <c r="S84" s="1"/>
  <c r="S87" s="1"/>
  <c r="S90" s="1"/>
  <c r="S72"/>
  <c r="S74" s="1"/>
  <c r="S56"/>
  <c r="S126"/>
  <c r="S128" s="1"/>
  <c r="I87" i="33"/>
  <c r="I87" i="26"/>
  <c r="I217" i="12"/>
  <c r="I33" i="29"/>
  <c r="U298" i="12"/>
  <c r="U281"/>
  <c r="U54" i="26" s="1"/>
  <c r="U54" i="33" s="1"/>
  <c r="W298" i="12"/>
  <c r="W281"/>
  <c r="W54" i="26" s="1"/>
  <c r="W54" i="33" s="1"/>
  <c r="M281" i="12"/>
  <c r="M54" i="26" s="1"/>
  <c r="M54" i="33" s="1"/>
  <c r="M298" i="12"/>
  <c r="AF137"/>
  <c r="AF140" s="1"/>
  <c r="AF157"/>
  <c r="X160"/>
  <c r="X143"/>
  <c r="AH86" i="26"/>
  <c r="AH216" i="12"/>
  <c r="AH32" i="29"/>
  <c r="AH86" i="33"/>
  <c r="BI53" i="26"/>
  <c r="BI53" i="33" s="1"/>
  <c r="BI297" i="12"/>
  <c r="BI299" s="1"/>
  <c r="BI300" s="1"/>
  <c r="BI301" s="1"/>
  <c r="BI282"/>
  <c r="I160"/>
  <c r="I143"/>
  <c r="R30" i="29"/>
  <c r="R84" i="26"/>
  <c r="R84" i="33"/>
  <c r="R215" i="12"/>
  <c r="Z22" i="29"/>
  <c r="Z159" i="12"/>
  <c r="U38" i="26"/>
  <c r="U38" i="33" s="1"/>
  <c r="T160" i="12"/>
  <c r="T143"/>
  <c r="T23" i="29" s="1"/>
  <c r="S84" i="33"/>
  <c r="S30" i="29"/>
  <c r="S215" i="12"/>
  <c r="S84" i="26"/>
  <c r="M72" i="12"/>
  <c r="M74" s="1"/>
  <c r="M126"/>
  <c r="M128" s="1"/>
  <c r="M56"/>
  <c r="AI53" i="26"/>
  <c r="AI297" i="12"/>
  <c r="AI82"/>
  <c r="AI84" s="1"/>
  <c r="AI87" s="1"/>
  <c r="AI90" s="1"/>
  <c r="AI135"/>
  <c r="AJ368"/>
  <c r="AJ68" i="26" s="1"/>
  <c r="AJ67"/>
  <c r="AZ368" i="12"/>
  <c r="AZ68" i="26" s="1"/>
  <c r="AZ68" i="33" s="1"/>
  <c r="AZ67" i="26"/>
  <c r="AI154" i="12"/>
  <c r="AI129"/>
  <c r="U53" i="26"/>
  <c r="U53" i="33" s="1"/>
  <c r="U297" i="12"/>
  <c r="AD54" i="33"/>
  <c r="Q87" i="26"/>
  <c r="Q217" i="12"/>
  <c r="Q87" i="33"/>
  <c r="Q33" i="29"/>
  <c r="T66" i="33"/>
  <c r="BI39" i="26"/>
  <c r="BI39" i="33" s="1"/>
  <c r="AC40" i="26"/>
  <c r="AC92" i="12"/>
  <c r="AC38" i="33"/>
  <c r="BQ38"/>
  <c r="Z297" i="12"/>
  <c r="Z299" s="1"/>
  <c r="Z300" s="1"/>
  <c r="Z301" s="1"/>
  <c r="Z53" i="26"/>
  <c r="J53" i="34" s="1"/>
  <c r="Z282" i="12"/>
  <c r="Z215"/>
  <c r="Z30" i="29"/>
  <c r="Z84" i="26"/>
  <c r="Z84" i="33"/>
  <c r="AI367" i="12"/>
  <c r="AI66" i="26"/>
  <c r="AJ157" i="12"/>
  <c r="AJ137"/>
  <c r="AJ140" s="1"/>
  <c r="AJ53" i="26"/>
  <c r="AJ297" i="12"/>
  <c r="I66" i="33"/>
  <c r="M264" i="12"/>
  <c r="M266" s="1"/>
  <c r="M277" s="1"/>
  <c r="M280" s="1"/>
  <c r="M255"/>
  <c r="BC39" i="26"/>
  <c r="BC39" i="33" s="1"/>
  <c r="AF66"/>
  <c r="DF66"/>
  <c r="AD86" i="26"/>
  <c r="AD32" i="29"/>
  <c r="AD216" i="12"/>
  <c r="AD86" i="33"/>
  <c r="AM368" i="12"/>
  <c r="AM68" i="26" s="1"/>
  <c r="AM67"/>
  <c r="I40"/>
  <c r="I40" i="33" s="1"/>
  <c r="I92" i="12"/>
  <c r="BI72" i="26"/>
  <c r="BI72" i="33" s="1"/>
  <c r="BI67"/>
  <c r="BI71" i="26"/>
  <c r="BI71" i="33" s="1"/>
  <c r="AC39"/>
  <c r="P86" i="12"/>
  <c r="P89" s="1"/>
  <c r="P91" s="1"/>
  <c r="T282"/>
  <c r="T299"/>
  <c r="T300" s="1"/>
  <c r="T301" s="1"/>
  <c r="AD282"/>
  <c r="AI139"/>
  <c r="AI142" s="1"/>
  <c r="AF139"/>
  <c r="AF142" s="1"/>
  <c r="AJ86"/>
  <c r="AJ89" s="1"/>
  <c r="BI139"/>
  <c r="BI142" s="1"/>
  <c r="M39" i="26"/>
  <c r="M39" i="33" s="1"/>
  <c r="L38" i="26"/>
  <c r="L38" i="33" s="1"/>
  <c r="L91" i="12"/>
  <c r="AD38" i="26"/>
  <c r="AD91" i="12"/>
  <c r="AC143"/>
  <c r="AC23" i="29" s="1"/>
  <c r="AC160" i="12"/>
  <c r="S281"/>
  <c r="S54" i="26" s="1"/>
  <c r="S54" i="33" s="1"/>
  <c r="S298" i="12"/>
  <c r="T38" i="26"/>
  <c r="T38" i="33" s="1"/>
  <c r="T91" i="12"/>
  <c r="S81"/>
  <c r="S83" s="1"/>
  <c r="S134"/>
  <c r="S136" s="1"/>
  <c r="S44"/>
  <c r="AF39" i="26"/>
  <c r="AZ86"/>
  <c r="AZ32" i="29"/>
  <c r="AZ216" i="12"/>
  <c r="AZ86" i="33"/>
  <c r="M30" i="29"/>
  <c r="M215" i="12"/>
  <c r="M84" i="33"/>
  <c r="M84" i="26"/>
  <c r="R367" i="12"/>
  <c r="R66" i="26"/>
  <c r="R66" i="33" s="1"/>
  <c r="I283" i="12"/>
  <c r="I55" i="26"/>
  <c r="I55" i="33" s="1"/>
  <c r="Z38" i="26"/>
  <c r="J38" i="34" s="1"/>
  <c r="BN54" i="33"/>
  <c r="Z54"/>
  <c r="CN79"/>
  <c r="U159" i="12"/>
  <c r="J84" i="26"/>
  <c r="J30" i="29"/>
  <c r="J84" i="33"/>
  <c r="J215" i="12"/>
  <c r="AD160"/>
  <c r="AD161" s="1"/>
  <c r="AD162" s="1"/>
  <c r="AD143"/>
  <c r="T39" i="26"/>
  <c r="T39" i="33" s="1"/>
  <c r="U154" i="12"/>
  <c r="U129"/>
  <c r="U140" s="1"/>
  <c r="AC53" i="33"/>
  <c r="DC53"/>
  <c r="M134" i="12"/>
  <c r="M136" s="1"/>
  <c r="M81"/>
  <c r="M83" s="1"/>
  <c r="M44"/>
  <c r="Z82"/>
  <c r="Z84" s="1"/>
  <c r="Z87" s="1"/>
  <c r="Z90" s="1"/>
  <c r="Z135"/>
  <c r="W30" i="29"/>
  <c r="W215" i="12"/>
  <c r="W84" i="33"/>
  <c r="W84" i="26"/>
  <c r="AJ66" i="33"/>
  <c r="S264" i="12"/>
  <c r="S266" s="1"/>
  <c r="S277" s="1"/>
  <c r="S280" s="1"/>
  <c r="S255"/>
  <c r="AF53" i="26"/>
  <c r="AF282" i="12"/>
  <c r="AF297"/>
  <c r="AF299" s="1"/>
  <c r="AF300" s="1"/>
  <c r="AF301" s="1"/>
  <c r="T32" i="29"/>
  <c r="T86" i="26"/>
  <c r="T216" i="12"/>
  <c r="T86" i="33"/>
  <c r="AD53"/>
  <c r="M143" i="12"/>
  <c r="M23" i="29" s="1"/>
  <c r="M160" i="12"/>
  <c r="AI215"/>
  <c r="AI30" i="29"/>
  <c r="AI84" i="33"/>
  <c r="AI84" i="26"/>
  <c r="T368" i="12"/>
  <c r="T68" i="26" s="1"/>
  <c r="T68" i="33" s="1"/>
  <c r="T67" i="26"/>
  <c r="BI157" i="12"/>
  <c r="BI137"/>
  <c r="BI140" s="1"/>
  <c r="U30" i="29"/>
  <c r="U84" i="33"/>
  <c r="U84" i="26"/>
  <c r="U215" i="12"/>
  <c r="R298"/>
  <c r="R281"/>
  <c r="R54" i="26" s="1"/>
  <c r="R54" i="33" s="1"/>
  <c r="Z154" i="12"/>
  <c r="Z129"/>
  <c r="AD39" i="33"/>
  <c r="DD39"/>
  <c r="AF38" i="26"/>
  <c r="AF91" i="12"/>
  <c r="AI64" i="33"/>
  <c r="S129" i="12"/>
  <c r="S140" s="1"/>
  <c r="S154"/>
  <c r="AJ39" i="26"/>
  <c r="I67"/>
  <c r="I368" i="12"/>
  <c r="I68" i="26" s="1"/>
  <c r="I68" i="33" s="1"/>
  <c r="BC157" i="12"/>
  <c r="BC137"/>
  <c r="BC140" s="1"/>
  <c r="AF368"/>
  <c r="AF68" i="26" s="1"/>
  <c r="AF67"/>
  <c r="X216" i="12"/>
  <c r="X32" i="29"/>
  <c r="X86" i="26"/>
  <c r="X86" i="33"/>
  <c r="AM66"/>
  <c r="BI86" i="12"/>
  <c r="BI89" s="1"/>
  <c r="U87"/>
  <c r="U90" s="1"/>
  <c r="BA40" i="26"/>
  <c r="BA40" i="33" s="1"/>
  <c r="BA92" i="12"/>
  <c r="AR368"/>
  <c r="AR68" i="26" s="1"/>
  <c r="AR68" i="33" s="1"/>
  <c r="AR67" i="26"/>
  <c r="AY38"/>
  <c r="AY38" i="33" s="1"/>
  <c r="P160" i="12"/>
  <c r="P143"/>
  <c r="P23" i="29" s="1"/>
  <c r="BG143" i="12"/>
  <c r="BG23" i="29" s="1"/>
  <c r="BG160" i="12"/>
  <c r="Q143"/>
  <c r="Q23" i="29" s="1"/>
  <c r="Q160" i="12"/>
  <c r="AH143"/>
  <c r="AH23" i="29" s="1"/>
  <c r="AH160" i="12"/>
  <c r="AR66" i="33"/>
  <c r="AY159" i="12"/>
  <c r="AY22" i="29"/>
  <c r="AD367" i="12"/>
  <c r="AD66" i="26"/>
  <c r="BB367" i="12"/>
  <c r="BB66" i="26"/>
  <c r="Q38"/>
  <c r="Q38" i="33" s="1"/>
  <c r="Q91" i="12"/>
  <c r="AW39" i="26"/>
  <c r="AW39" i="33" s="1"/>
  <c r="AW66"/>
  <c r="AK368" i="12"/>
  <c r="AK68" i="26" s="1"/>
  <c r="AK67"/>
  <c r="V297" i="12"/>
  <c r="V299" s="1"/>
  <c r="V300" s="1"/>
  <c r="V301" s="1"/>
  <c r="V53" i="26"/>
  <c r="V53" i="33" s="1"/>
  <c r="V282" i="12"/>
  <c r="AS22" i="29"/>
  <c r="AS159" i="12"/>
  <c r="AS91"/>
  <c r="AS38" i="26"/>
  <c r="AS38" i="33" s="1"/>
  <c r="BF297" i="12"/>
  <c r="BF299" s="1"/>
  <c r="BF300" s="1"/>
  <c r="BF301" s="1"/>
  <c r="BF53" i="26"/>
  <c r="BF53" i="33" s="1"/>
  <c r="BF282" i="12"/>
  <c r="AK91"/>
  <c r="AK38" i="26"/>
  <c r="BA86"/>
  <c r="BA216" i="12"/>
  <c r="BA86" i="33"/>
  <c r="BA32" i="29"/>
  <c r="P66" i="33"/>
  <c r="BF39" i="26"/>
  <c r="BF39" i="33" s="1"/>
  <c r="AE39" i="26"/>
  <c r="AR297" i="12"/>
  <c r="AR299" s="1"/>
  <c r="AR300" s="1"/>
  <c r="AR301" s="1"/>
  <c r="AR53" i="26"/>
  <c r="AR53" i="33" s="1"/>
  <c r="AR282" i="12"/>
  <c r="AS39" i="26"/>
  <c r="AS39" i="33" s="1"/>
  <c r="BE39" i="26"/>
  <c r="BE39" i="33" s="1"/>
  <c r="BD53" i="26"/>
  <c r="BD53" i="33" s="1"/>
  <c r="BD297" i="12"/>
  <c r="BD299" s="1"/>
  <c r="BD300" s="1"/>
  <c r="BD301" s="1"/>
  <c r="BD282"/>
  <c r="AS67" i="26"/>
  <c r="AS368" i="12"/>
  <c r="AS68" i="26" s="1"/>
  <c r="AS68" i="33" s="1"/>
  <c r="BF66"/>
  <c r="U367" i="12"/>
  <c r="U66" i="26"/>
  <c r="J22" i="29"/>
  <c r="J159" i="12"/>
  <c r="BV64" i="33"/>
  <c r="DT64" s="1"/>
  <c r="Q297" i="12"/>
  <c r="Q299" s="1"/>
  <c r="Q300" s="1"/>
  <c r="Q301" s="1"/>
  <c r="Q53" i="26"/>
  <c r="Q53" i="33" s="1"/>
  <c r="Q282" i="12"/>
  <c r="S66" i="33"/>
  <c r="BG72"/>
  <c r="BD66"/>
  <c r="AN64" i="26"/>
  <c r="AN64" i="33" s="1"/>
  <c r="AN366" i="12"/>
  <c r="BA368"/>
  <c r="BA68" i="26" s="1"/>
  <c r="BA68" i="33" s="1"/>
  <c r="BA67" i="26"/>
  <c r="Q67"/>
  <c r="Q368" i="12"/>
  <c r="Q68" i="26" s="1"/>
  <c r="Q68" i="33" s="1"/>
  <c r="P39" i="26"/>
  <c r="P39" i="33" s="1"/>
  <c r="H297" i="12"/>
  <c r="H299" s="1"/>
  <c r="H300" s="1"/>
  <c r="H301" s="1"/>
  <c r="H53" i="26"/>
  <c r="H53" i="33" s="1"/>
  <c r="H282" i="12"/>
  <c r="J137"/>
  <c r="J140" s="1"/>
  <c r="J157"/>
  <c r="CM54" i="33"/>
  <c r="O44" i="26"/>
  <c r="O145" i="12"/>
  <c r="BE22" i="29"/>
  <c r="BE159" i="12"/>
  <c r="N91"/>
  <c r="N143"/>
  <c r="N23" i="29" s="1"/>
  <c r="N160" i="12"/>
  <c r="W160"/>
  <c r="K22" i="29"/>
  <c r="K159" i="12"/>
  <c r="BD137"/>
  <c r="BD140" s="1"/>
  <c r="BD157"/>
  <c r="AH39" i="26"/>
  <c r="AU64"/>
  <c r="AU64" i="33" s="1"/>
  <c r="AU366" i="12"/>
  <c r="J53" i="26"/>
  <c r="J53" i="33" s="1"/>
  <c r="J282" i="12"/>
  <c r="J297"/>
  <c r="J299" s="1"/>
  <c r="J300" s="1"/>
  <c r="J301" s="1"/>
  <c r="BA55" i="26"/>
  <c r="BA55" i="33" s="1"/>
  <c r="BA283" i="12"/>
  <c r="AB64" i="33"/>
  <c r="AY137" i="12"/>
  <c r="AY140" s="1"/>
  <c r="AY157"/>
  <c r="BY64" i="33"/>
  <c r="AU145" i="12"/>
  <c r="AU44" i="26"/>
  <c r="AZ137" i="12"/>
  <c r="AZ140" s="1"/>
  <c r="AZ157"/>
  <c r="AV53" i="26"/>
  <c r="AV53" i="33" s="1"/>
  <c r="AV297" i="12"/>
  <c r="AV299" s="1"/>
  <c r="AV300" s="1"/>
  <c r="AV301" s="1"/>
  <c r="AV282"/>
  <c r="L366"/>
  <c r="L64" i="26"/>
  <c r="L64" i="33" s="1"/>
  <c r="DM39"/>
  <c r="AM39"/>
  <c r="H368" i="12"/>
  <c r="H68" i="26" s="1"/>
  <c r="H68" i="33" s="1"/>
  <c r="H67" i="26"/>
  <c r="AW297" i="12"/>
  <c r="AW53" i="26"/>
  <c r="AW53" i="33" s="1"/>
  <c r="AW282" i="12"/>
  <c r="AV72" i="26"/>
  <c r="AV71"/>
  <c r="AV73"/>
  <c r="AV67" i="33"/>
  <c r="AK39" i="26"/>
  <c r="AO137" i="12"/>
  <c r="AO140" s="1"/>
  <c r="AO157"/>
  <c r="AY53" i="26"/>
  <c r="AY53" i="33" s="1"/>
  <c r="AY297" i="12"/>
  <c r="AY299" s="1"/>
  <c r="AY300" s="1"/>
  <c r="AY301" s="1"/>
  <c r="AY282"/>
  <c r="H137"/>
  <c r="H140" s="1"/>
  <c r="H157"/>
  <c r="CM66" i="33"/>
  <c r="AH66"/>
  <c r="AT137" i="12"/>
  <c r="AT157"/>
  <c r="AL366"/>
  <c r="AL64" i="26"/>
  <c r="O66" i="33"/>
  <c r="W67" i="26"/>
  <c r="W368" i="12"/>
  <c r="W68" i="26" s="1"/>
  <c r="W68" i="33" s="1"/>
  <c r="AK297" i="12"/>
  <c r="AK299" s="1"/>
  <c r="AK300" s="1"/>
  <c r="AK301" s="1"/>
  <c r="AK53" i="26"/>
  <c r="AV39"/>
  <c r="AV39" i="33" s="1"/>
  <c r="AR137" i="12"/>
  <c r="AR140" s="1"/>
  <c r="AR157"/>
  <c r="O92"/>
  <c r="O40" i="26"/>
  <c r="O40" i="33" s="1"/>
  <c r="AO66"/>
  <c r="BE53" i="26"/>
  <c r="BE53" i="33" s="1"/>
  <c r="BE297" i="12"/>
  <c r="BE299" s="1"/>
  <c r="BE300" s="1"/>
  <c r="BE301" s="1"/>
  <c r="BE282"/>
  <c r="P139"/>
  <c r="P142" s="1"/>
  <c r="BD86"/>
  <c r="BD89" s="1"/>
  <c r="AZ139"/>
  <c r="AZ142" s="1"/>
  <c r="BF139"/>
  <c r="BF142" s="1"/>
  <c r="AO86"/>
  <c r="AO89" s="1"/>
  <c r="AH139"/>
  <c r="AH142" s="1"/>
  <c r="H86"/>
  <c r="H89" s="1"/>
  <c r="V86"/>
  <c r="V89" s="1"/>
  <c r="AV139"/>
  <c r="AV142" s="1"/>
  <c r="AE86"/>
  <c r="AE89" s="1"/>
  <c r="AW86"/>
  <c r="AW89" s="1"/>
  <c r="AR139"/>
  <c r="AR142" s="1"/>
  <c r="BA39" i="26"/>
  <c r="BA39" i="33" s="1"/>
  <c r="AD64"/>
  <c r="Q159" i="12"/>
  <c r="Q144"/>
  <c r="Q22" i="29"/>
  <c r="BG53" i="26"/>
  <c r="BG53" i="33" s="1"/>
  <c r="BG297" i="12"/>
  <c r="BG299" s="1"/>
  <c r="BG300" s="1"/>
  <c r="BG301" s="1"/>
  <c r="BG282"/>
  <c r="AW137"/>
  <c r="AW140" s="1"/>
  <c r="AW157"/>
  <c r="AW67" i="26"/>
  <c r="AW368" i="12"/>
  <c r="AW68" i="26" s="1"/>
  <c r="AW68" i="33" s="1"/>
  <c r="AK66"/>
  <c r="AP64" i="26"/>
  <c r="AP64" i="33" s="1"/>
  <c r="AP366" i="12"/>
  <c r="AK22" i="29"/>
  <c r="AK159" i="12"/>
  <c r="Z366"/>
  <c r="Z64" i="26"/>
  <c r="J64" i="34" s="1"/>
  <c r="AM143" i="12"/>
  <c r="AM23" i="29" s="1"/>
  <c r="AM160" i="12"/>
  <c r="P368"/>
  <c r="P68" i="26" s="1"/>
  <c r="P68" i="33" s="1"/>
  <c r="P67" i="26"/>
  <c r="AE297" i="12"/>
  <c r="AE299" s="1"/>
  <c r="AE300" s="1"/>
  <c r="AE301" s="1"/>
  <c r="AE282"/>
  <c r="AE53" i="26"/>
  <c r="BF137" i="12"/>
  <c r="BF140" s="1"/>
  <c r="BF157"/>
  <c r="M367"/>
  <c r="M66" i="26"/>
  <c r="AE137" i="12"/>
  <c r="AE140" s="1"/>
  <c r="AE157"/>
  <c r="AS137"/>
  <c r="AS140" s="1"/>
  <c r="AS157"/>
  <c r="BE137"/>
  <c r="BE140" s="1"/>
  <c r="BE157"/>
  <c r="P297"/>
  <c r="P299" s="1"/>
  <c r="P300" s="1"/>
  <c r="P301" s="1"/>
  <c r="P53" i="26"/>
  <c r="P53" i="33" s="1"/>
  <c r="P282" i="12"/>
  <c r="AS66" i="33"/>
  <c r="BF67" i="26"/>
  <c r="BF368" i="12"/>
  <c r="BF68" i="26" s="1"/>
  <c r="BF68" i="33" s="1"/>
  <c r="J38" i="26"/>
  <c r="J38" i="33" s="1"/>
  <c r="J91" i="12"/>
  <c r="BG159"/>
  <c r="BG161" s="1"/>
  <c r="BG162" s="1"/>
  <c r="BG22" i="29"/>
  <c r="BG38" i="26"/>
  <c r="BG38" i="33" s="1"/>
  <c r="BG91" i="12"/>
  <c r="O55" i="26"/>
  <c r="O55" i="33" s="1"/>
  <c r="O283" i="12"/>
  <c r="S67" i="26"/>
  <c r="S368" i="12"/>
  <c r="S68" i="26" s="1"/>
  <c r="S68" i="33" s="1"/>
  <c r="BG71"/>
  <c r="BG73"/>
  <c r="BD67" i="26"/>
  <c r="BD368" i="12"/>
  <c r="BD68" i="26" s="1"/>
  <c r="BD68" i="33" s="1"/>
  <c r="BA66"/>
  <c r="Q66"/>
  <c r="AO297" i="12"/>
  <c r="AO53" i="26"/>
  <c r="AO53" i="33" s="1"/>
  <c r="AO282" i="12"/>
  <c r="J39" i="26"/>
  <c r="J39" i="33" s="1"/>
  <c r="O106" i="29"/>
  <c r="O163" i="12"/>
  <c r="BE38" i="26"/>
  <c r="BE38" i="33" s="1"/>
  <c r="BE91" i="12"/>
  <c r="N159"/>
  <c r="N22" i="29"/>
  <c r="N144" i="12"/>
  <c r="BA137"/>
  <c r="BA140" s="1"/>
  <c r="BA157"/>
  <c r="AG38" i="26"/>
  <c r="AG91" i="12"/>
  <c r="V143"/>
  <c r="V23" i="29" s="1"/>
  <c r="V160" i="12"/>
  <c r="BD39" i="26"/>
  <c r="BD39" i="33" s="1"/>
  <c r="X366" i="12"/>
  <c r="X64" i="26"/>
  <c r="Q39"/>
  <c r="Q39" i="33" s="1"/>
  <c r="AH297" i="12"/>
  <c r="AH299" s="1"/>
  <c r="AH300" s="1"/>
  <c r="AH301" s="1"/>
  <c r="AH282"/>
  <c r="AH53" i="26"/>
  <c r="AB66"/>
  <c r="AB367" i="12"/>
  <c r="AY39" i="26"/>
  <c r="AY39" i="33" s="1"/>
  <c r="AZ39" i="26"/>
  <c r="AZ39" i="33" s="1"/>
  <c r="V39" i="26"/>
  <c r="V39" i="33" s="1"/>
  <c r="O87" i="26"/>
  <c r="O33" i="29"/>
  <c r="O217" i="12"/>
  <c r="O87" i="33"/>
  <c r="H66"/>
  <c r="AR87"/>
  <c r="AR33" i="29"/>
  <c r="AR87" i="26"/>
  <c r="AR217" i="12"/>
  <c r="N39" i="26"/>
  <c r="N39" i="33" s="1"/>
  <c r="AK137" i="12"/>
  <c r="AK140" s="1"/>
  <c r="AK157"/>
  <c r="AO39" i="26"/>
  <c r="AO39" i="33" s="1"/>
  <c r="R39" i="26"/>
  <c r="R39" i="33" s="1"/>
  <c r="H39" i="26"/>
  <c r="H39" i="33" s="1"/>
  <c r="AZ297" i="12"/>
  <c r="AZ299" s="1"/>
  <c r="AZ300" s="1"/>
  <c r="AZ301" s="1"/>
  <c r="AZ53" i="26"/>
  <c r="AZ53" i="33" s="1"/>
  <c r="AZ282" i="12"/>
  <c r="AH67" i="26"/>
  <c r="AH368" i="12"/>
  <c r="AH68" i="26" s="1"/>
  <c r="AT39"/>
  <c r="AT39" i="33" s="1"/>
  <c r="H159" i="12"/>
  <c r="H22" i="29"/>
  <c r="AG39" i="33"/>
  <c r="W39" i="26"/>
  <c r="W39" i="33" s="1"/>
  <c r="O368" i="12"/>
  <c r="O68" i="26" s="1"/>
  <c r="O68" i="33" s="1"/>
  <c r="O67" i="26"/>
  <c r="W66" i="33"/>
  <c r="AS53" i="26"/>
  <c r="AS53" i="33" s="1"/>
  <c r="AS297" i="12"/>
  <c r="AS282"/>
  <c r="AV137"/>
  <c r="AV140" s="1"/>
  <c r="AV157"/>
  <c r="BG39" i="26"/>
  <c r="BG39" i="33" s="1"/>
  <c r="AR39" i="26"/>
  <c r="AR39" i="33" s="1"/>
  <c r="AO368" i="12"/>
  <c r="AO68" i="26" s="1"/>
  <c r="AO68" i="33" s="1"/>
  <c r="AO67" i="26"/>
  <c r="AQ160" i="12"/>
  <c r="AQ143"/>
  <c r="N53" i="26"/>
  <c r="N53" i="33" s="1"/>
  <c r="N297" i="12"/>
  <c r="N299" s="1"/>
  <c r="N300" s="1"/>
  <c r="N301" s="1"/>
  <c r="N282"/>
  <c r="BD139"/>
  <c r="BD142" s="1"/>
  <c r="AZ86"/>
  <c r="AZ89" s="1"/>
  <c r="BF86"/>
  <c r="BF89" s="1"/>
  <c r="AO139"/>
  <c r="AO142" s="1"/>
  <c r="AH86"/>
  <c r="AH89" s="1"/>
  <c r="V139"/>
  <c r="V142" s="1"/>
  <c r="AV86"/>
  <c r="AV89" s="1"/>
  <c r="AE139"/>
  <c r="AE142" s="1"/>
  <c r="AW139"/>
  <c r="AW142" s="1"/>
  <c r="AR86"/>
  <c r="AR89" s="1"/>
  <c r="P38" i="26" l="1"/>
  <c r="P38" i="33" s="1"/>
  <c r="AJ159" i="12"/>
  <c r="AJ299"/>
  <c r="AJ300" s="1"/>
  <c r="AJ301" s="1"/>
  <c r="BE86" i="33"/>
  <c r="BE32" i="29"/>
  <c r="BE216" i="12"/>
  <c r="BE86" i="26"/>
  <c r="BE368" i="12"/>
  <c r="BE68" i="26" s="1"/>
  <c r="BE68" i="33" s="1"/>
  <c r="BE67" i="26"/>
  <c r="AR37" i="34"/>
  <c r="CV37" i="33" s="1"/>
  <c r="BK37" i="34"/>
  <c r="T37"/>
  <c r="BW37" i="33"/>
  <c r="DU37" s="1"/>
  <c r="O37" i="34"/>
  <c r="BR37" i="33"/>
  <c r="O63" i="34"/>
  <c r="BR63" i="33"/>
  <c r="T28" i="34"/>
  <c r="BW28" i="33"/>
  <c r="DU28" s="1"/>
  <c r="BK28" i="34"/>
  <c r="T52"/>
  <c r="BK52"/>
  <c r="AR52"/>
  <c r="CV52" i="33" s="1"/>
  <c r="BW52"/>
  <c r="DU52" s="1"/>
  <c r="AR63" i="34"/>
  <c r="CV63" i="33" s="1"/>
  <c r="BK63" i="34"/>
  <c r="BW63" i="33"/>
  <c r="DU63" s="1"/>
  <c r="T63" i="34"/>
  <c r="O43"/>
  <c r="BR43" i="33"/>
  <c r="O52" i="34"/>
  <c r="BR52" i="33"/>
  <c r="O28" i="34"/>
  <c r="BR28" i="33"/>
  <c r="BK43" i="34"/>
  <c r="T43"/>
  <c r="BW43" i="33"/>
  <c r="DU43" s="1"/>
  <c r="BR59"/>
  <c r="BF65" i="34"/>
  <c r="DP65" i="33" s="1"/>
  <c r="AQ65" i="34"/>
  <c r="CU65" i="33" s="1"/>
  <c r="BP65"/>
  <c r="AI282" i="12"/>
  <c r="Z137"/>
  <c r="Z157"/>
  <c r="AI137"/>
  <c r="AI157"/>
  <c r="Z140"/>
  <c r="AA72"/>
  <c r="AA74" s="1"/>
  <c r="AA126"/>
  <c r="AA128" s="1"/>
  <c r="AA56"/>
  <c r="AA255"/>
  <c r="AA264"/>
  <c r="AA266" s="1"/>
  <c r="AA277" s="1"/>
  <c r="AA280" s="1"/>
  <c r="AA82"/>
  <c r="AA84" s="1"/>
  <c r="AA87" s="1"/>
  <c r="AA90" s="1"/>
  <c r="AA135"/>
  <c r="AA134"/>
  <c r="AA136" s="1"/>
  <c r="AA44"/>
  <c r="AA81"/>
  <c r="AA83" s="1"/>
  <c r="AU106" i="29"/>
  <c r="AI91" i="12"/>
  <c r="DW70" i="33"/>
  <c r="AS299" i="12"/>
  <c r="AS300" s="1"/>
  <c r="AS301" s="1"/>
  <c r="N161"/>
  <c r="N162" s="1"/>
  <c r="AO299"/>
  <c r="AO300" s="1"/>
  <c r="AO301" s="1"/>
  <c r="BG144"/>
  <c r="BG145" s="1"/>
  <c r="AK282"/>
  <c r="AT140"/>
  <c r="AW299"/>
  <c r="AW300" s="1"/>
  <c r="AW301" s="1"/>
  <c r="AI38" i="26"/>
  <c r="AC161" i="12"/>
  <c r="AC162" s="1"/>
  <c r="AJ282"/>
  <c r="BR48" i="33"/>
  <c r="BD65" i="34"/>
  <c r="DN65" i="33" s="1"/>
  <c r="N78" i="34"/>
  <c r="BG78"/>
  <c r="BQ78" i="33"/>
  <c r="DQ78" s="1"/>
  <c r="W72" i="12"/>
  <c r="W74" s="1"/>
  <c r="W56"/>
  <c r="W126"/>
  <c r="W128" s="1"/>
  <c r="S69" i="34"/>
  <c r="BV69" i="33"/>
  <c r="DT69" s="1"/>
  <c r="BJ69" i="34"/>
  <c r="Y81" i="12"/>
  <c r="Y83" s="1"/>
  <c r="Y44"/>
  <c r="Y134"/>
  <c r="Y136" s="1"/>
  <c r="AH64" i="34"/>
  <c r="CL64" i="33" s="1"/>
  <c r="Q64" i="34"/>
  <c r="BU64" i="33" s="1"/>
  <c r="AG64"/>
  <c r="AM86" i="26"/>
  <c r="AM216" i="12"/>
  <c r="AM86" i="33"/>
  <c r="AM32" i="29"/>
  <c r="V339" i="12"/>
  <c r="V348"/>
  <c r="V350" s="1"/>
  <c r="V361" s="1"/>
  <c r="V364" s="1"/>
  <c r="CL78" i="33"/>
  <c r="AO78" i="34"/>
  <c r="CS78" i="33" s="1"/>
  <c r="R78" i="34"/>
  <c r="BI78"/>
  <c r="BU78" i="33"/>
  <c r="DS78" s="1"/>
  <c r="Y264" i="12"/>
  <c r="Y266" s="1"/>
  <c r="Y277" s="1"/>
  <c r="Y280" s="1"/>
  <c r="Y255"/>
  <c r="BJ47" i="34"/>
  <c r="S47"/>
  <c r="BV47" i="33"/>
  <c r="DT47" s="1"/>
  <c r="BJ58" i="34"/>
  <c r="S58"/>
  <c r="BV58" i="33"/>
  <c r="DT58" s="1"/>
  <c r="W264" i="12"/>
  <c r="W266" s="1"/>
  <c r="W277" s="1"/>
  <c r="W280" s="1"/>
  <c r="W255"/>
  <c r="W81"/>
  <c r="W83" s="1"/>
  <c r="W134"/>
  <c r="W136" s="1"/>
  <c r="W44"/>
  <c r="Y72"/>
  <c r="Y74" s="1"/>
  <c r="Y86" s="1"/>
  <c r="Y89" s="1"/>
  <c r="Y126"/>
  <c r="Y128" s="1"/>
  <c r="Y56"/>
  <c r="BG47" i="34"/>
  <c r="N47"/>
  <c r="BQ47" i="33"/>
  <c r="DQ47" s="1"/>
  <c r="BP78"/>
  <c r="AR78" i="34"/>
  <c r="CV78" i="33" s="1"/>
  <c r="AG66" i="26"/>
  <c r="AG367" i="12"/>
  <c r="BG58" i="34"/>
  <c r="N58"/>
  <c r="BQ58" i="33"/>
  <c r="DQ58" s="1"/>
  <c r="Y82" i="12"/>
  <c r="Y84" s="1"/>
  <c r="Y87" s="1"/>
  <c r="Y90" s="1"/>
  <c r="Y135"/>
  <c r="BG69" i="34"/>
  <c r="BQ69" i="33"/>
  <c r="DQ69" s="1"/>
  <c r="N69" i="34"/>
  <c r="AC339" i="12"/>
  <c r="AC348"/>
  <c r="AC350" s="1"/>
  <c r="AC361" s="1"/>
  <c r="AC364" s="1"/>
  <c r="J339"/>
  <c r="J348"/>
  <c r="J350" s="1"/>
  <c r="J361" s="1"/>
  <c r="J364" s="1"/>
  <c r="BA75" i="26"/>
  <c r="Q161" i="12"/>
  <c r="Q162" s="1"/>
  <c r="P70" i="34"/>
  <c r="BT70" i="33" s="1"/>
  <c r="BS70"/>
  <c r="R160" i="12"/>
  <c r="R143"/>
  <c r="R23" i="29" s="1"/>
  <c r="R255" i="12"/>
  <c r="R264"/>
  <c r="R266" s="1"/>
  <c r="R277" s="1"/>
  <c r="R280" s="1"/>
  <c r="AL160"/>
  <c r="AL143"/>
  <c r="AL23" i="29" s="1"/>
  <c r="AL134" i="12"/>
  <c r="AL136" s="1"/>
  <c r="AL44"/>
  <c r="AL81"/>
  <c r="AL83" s="1"/>
  <c r="AL39" i="26"/>
  <c r="R81" i="12"/>
  <c r="R83" s="1"/>
  <c r="R44"/>
  <c r="R134"/>
  <c r="R136" s="1"/>
  <c r="R72"/>
  <c r="R74" s="1"/>
  <c r="R126"/>
  <c r="R128" s="1"/>
  <c r="R139" s="1"/>
  <c r="R142" s="1"/>
  <c r="R56"/>
  <c r="BC134"/>
  <c r="BC136" s="1"/>
  <c r="BC44"/>
  <c r="BC81"/>
  <c r="BC83" s="1"/>
  <c r="AT126"/>
  <c r="AT128" s="1"/>
  <c r="AT56"/>
  <c r="AT72"/>
  <c r="AT74" s="1"/>
  <c r="AL33" i="29"/>
  <c r="AL87" i="26"/>
  <c r="AL87" i="33"/>
  <c r="AL217" i="12"/>
  <c r="AL255"/>
  <c r="AL264"/>
  <c r="AL266" s="1"/>
  <c r="AL277" s="1"/>
  <c r="AL280" s="1"/>
  <c r="AT264"/>
  <c r="AT266" s="1"/>
  <c r="AT277" s="1"/>
  <c r="AT280" s="1"/>
  <c r="AT255"/>
  <c r="AL72"/>
  <c r="AL74" s="1"/>
  <c r="AL86" s="1"/>
  <c r="AL89" s="1"/>
  <c r="AL126"/>
  <c r="AL128" s="1"/>
  <c r="AL56"/>
  <c r="BC66" i="26"/>
  <c r="BC66" i="33" s="1"/>
  <c r="BC367" i="12"/>
  <c r="BC264"/>
  <c r="BC266" s="1"/>
  <c r="BC277" s="1"/>
  <c r="BC280" s="1"/>
  <c r="BC255"/>
  <c r="BC56"/>
  <c r="BC72"/>
  <c r="BC74" s="1"/>
  <c r="BC126"/>
  <c r="BC128" s="1"/>
  <c r="BC139" s="1"/>
  <c r="BC142" s="1"/>
  <c r="AT134"/>
  <c r="AT136" s="1"/>
  <c r="AT81"/>
  <c r="AT83" s="1"/>
  <c r="AT44"/>
  <c r="AQ66" i="26"/>
  <c r="AQ66" i="33" s="1"/>
  <c r="AQ367" i="12"/>
  <c r="K86"/>
  <c r="K89" s="1"/>
  <c r="K38" i="26" s="1"/>
  <c r="K38" i="33" s="1"/>
  <c r="BJ48" i="34"/>
  <c r="S48"/>
  <c r="BV48" i="33"/>
  <c r="DT48" s="1"/>
  <c r="BJ59" i="34"/>
  <c r="S59"/>
  <c r="BV59" i="33"/>
  <c r="DT59" s="1"/>
  <c r="R79" i="34"/>
  <c r="BU79" i="33"/>
  <c r="DS79" s="1"/>
  <c r="AQ86" i="12"/>
  <c r="AQ89" s="1"/>
  <c r="AQ53" i="26"/>
  <c r="AQ53" i="33" s="1"/>
  <c r="AQ297" i="12"/>
  <c r="AQ299" s="1"/>
  <c r="AQ300" s="1"/>
  <c r="AQ301" s="1"/>
  <c r="AQ282"/>
  <c r="AQ139"/>
  <c r="AQ142" s="1"/>
  <c r="X255"/>
  <c r="X264"/>
  <c r="X266" s="1"/>
  <c r="X277" s="1"/>
  <c r="X280" s="1"/>
  <c r="X134"/>
  <c r="X136" s="1"/>
  <c r="X81"/>
  <c r="X83" s="1"/>
  <c r="X44"/>
  <c r="X72"/>
  <c r="X74" s="1"/>
  <c r="X86" s="1"/>
  <c r="X89" s="1"/>
  <c r="X56"/>
  <c r="X126"/>
  <c r="X128" s="1"/>
  <c r="I161"/>
  <c r="I162" s="1"/>
  <c r="U282"/>
  <c r="U283" s="1"/>
  <c r="M65" i="34"/>
  <c r="N65" s="1"/>
  <c r="O65" s="1"/>
  <c r="P65" s="1"/>
  <c r="AG139" i="12"/>
  <c r="AG142" s="1"/>
  <c r="AX86"/>
  <c r="AX89" s="1"/>
  <c r="AG282"/>
  <c r="AG297"/>
  <c r="AG299" s="1"/>
  <c r="AG300" s="1"/>
  <c r="AG301" s="1"/>
  <c r="AG53" i="26"/>
  <c r="DF79" i="33"/>
  <c r="BF79" i="34"/>
  <c r="DP79" i="33" s="1"/>
  <c r="BD79" i="34"/>
  <c r="DN79" i="33" s="1"/>
  <c r="DE78"/>
  <c r="BF78" i="34"/>
  <c r="DP78" i="33" s="1"/>
  <c r="BD78" i="34"/>
  <c r="DN78" i="33" s="1"/>
  <c r="AP86" i="12"/>
  <c r="AP89" s="1"/>
  <c r="AI67" i="34"/>
  <c r="R53"/>
  <c r="AI53"/>
  <c r="Q38"/>
  <c r="AH38"/>
  <c r="O53"/>
  <c r="P53" s="1"/>
  <c r="AU53"/>
  <c r="V64"/>
  <c r="BB64"/>
  <c r="DL64" i="33" s="1"/>
  <c r="BA39" i="34"/>
  <c r="U38"/>
  <c r="BA38"/>
  <c r="BA67"/>
  <c r="DK67" i="33" s="1"/>
  <c r="AV67" i="34"/>
  <c r="AZ39"/>
  <c r="DJ39" i="33" s="1"/>
  <c r="AV38" i="34"/>
  <c r="AV53"/>
  <c r="N38"/>
  <c r="AT38"/>
  <c r="DD38" i="33" s="1"/>
  <c r="BC67" i="34"/>
  <c r="T53"/>
  <c r="BL53" s="1"/>
  <c r="AZ53"/>
  <c r="DJ53" i="33" s="1"/>
  <c r="AS40" i="34"/>
  <c r="DC40" i="33" s="1"/>
  <c r="M40" i="34"/>
  <c r="AZ67"/>
  <c r="DJ67" i="33" s="1"/>
  <c r="S53" i="34"/>
  <c r="AJ53"/>
  <c r="CN53" i="33" s="1"/>
  <c r="AJ54" i="34"/>
  <c r="H39"/>
  <c r="Y39"/>
  <c r="AC54"/>
  <c r="CG54" i="33" s="1"/>
  <c r="AP54" i="34"/>
  <c r="I66"/>
  <c r="BJ66" s="1"/>
  <c r="Z66"/>
  <c r="CD66" i="33" s="1"/>
  <c r="BJ65" i="34"/>
  <c r="S65"/>
  <c r="BK64"/>
  <c r="AO64"/>
  <c r="BM64"/>
  <c r="AI68"/>
  <c r="CM68" i="33" s="1"/>
  <c r="L66" i="34"/>
  <c r="AC66"/>
  <c r="H64"/>
  <c r="Y64"/>
  <c r="AQ64" s="1"/>
  <c r="U53"/>
  <c r="BM53" s="1"/>
  <c r="BA53"/>
  <c r="AI39"/>
  <c r="CM39" i="33" s="1"/>
  <c r="AU39" i="34"/>
  <c r="BA68"/>
  <c r="DK68" i="33" s="1"/>
  <c r="N66" i="34"/>
  <c r="BM66" s="1"/>
  <c r="AT66"/>
  <c r="AV68"/>
  <c r="S38"/>
  <c r="AJ38"/>
  <c r="AV39"/>
  <c r="BC68"/>
  <c r="S66"/>
  <c r="BK66" s="1"/>
  <c r="AJ66"/>
  <c r="AZ68"/>
  <c r="DJ68" i="33" s="1"/>
  <c r="BA54" i="34"/>
  <c r="AU66"/>
  <c r="DE66" i="33" s="1"/>
  <c r="AV54" i="34"/>
  <c r="DF54" i="33" s="1"/>
  <c r="AZ54" i="34"/>
  <c r="I54"/>
  <c r="Z54"/>
  <c r="CD54" i="33" s="1"/>
  <c r="AU54" i="34"/>
  <c r="DE54" i="33" s="1"/>
  <c r="BM70" i="34"/>
  <c r="V70"/>
  <c r="BZ70" i="33" s="1"/>
  <c r="DX70" s="1"/>
  <c r="BG79" i="34"/>
  <c r="N79"/>
  <c r="O79" s="1"/>
  <c r="P79" s="1"/>
  <c r="AP64"/>
  <c r="CT64" i="33" s="1"/>
  <c r="BE39" i="34"/>
  <c r="AP22" i="29"/>
  <c r="AP159" i="12"/>
  <c r="AP53" i="26"/>
  <c r="AP53" i="33" s="1"/>
  <c r="AP282" i="12"/>
  <c r="AP297"/>
  <c r="AP299" s="1"/>
  <c r="AP300" s="1"/>
  <c r="AP301" s="1"/>
  <c r="AM53" i="26"/>
  <c r="AM282" i="12"/>
  <c r="AM297"/>
  <c r="AM299" s="1"/>
  <c r="AM300" s="1"/>
  <c r="AM301" s="1"/>
  <c r="BB56"/>
  <c r="BB126"/>
  <c r="BB128" s="1"/>
  <c r="BB72"/>
  <c r="BB74" s="1"/>
  <c r="AM86"/>
  <c r="AM89" s="1"/>
  <c r="AP39" i="26"/>
  <c r="AP39" i="33" s="1"/>
  <c r="AP91" i="12"/>
  <c r="BB135"/>
  <c r="BB82"/>
  <c r="BB84" s="1"/>
  <c r="BB87" s="1"/>
  <c r="BB90" s="1"/>
  <c r="AP137"/>
  <c r="AP140" s="1"/>
  <c r="AP157"/>
  <c r="BB255"/>
  <c r="BB264"/>
  <c r="BB266" s="1"/>
  <c r="BB277" s="1"/>
  <c r="BB280" s="1"/>
  <c r="BB134"/>
  <c r="BB136" s="1"/>
  <c r="BB81"/>
  <c r="BB83" s="1"/>
  <c r="BB44"/>
  <c r="AP86" i="33"/>
  <c r="AP86" i="26"/>
  <c r="AP216" i="12"/>
  <c r="AP32" i="29"/>
  <c r="AM139" i="12"/>
  <c r="AM142" s="1"/>
  <c r="AM144" s="1"/>
  <c r="L54" i="26"/>
  <c r="L54" i="33" s="1"/>
  <c r="L282" i="12"/>
  <c r="L32" i="29"/>
  <c r="L86" i="33"/>
  <c r="L86" i="26"/>
  <c r="L216" i="12"/>
  <c r="AT73" i="26"/>
  <c r="AT73" i="33" s="1"/>
  <c r="AT71" i="26"/>
  <c r="AT71" i="33" s="1"/>
  <c r="AT67"/>
  <c r="AT72" i="26"/>
  <c r="AT72" i="33" s="1"/>
  <c r="AT87" i="26"/>
  <c r="AT217" i="12"/>
  <c r="AT33" i="29"/>
  <c r="AT87" i="33"/>
  <c r="AB86" i="12"/>
  <c r="AB89" s="1"/>
  <c r="AB91" s="1"/>
  <c r="AB139"/>
  <c r="AB142" s="1"/>
  <c r="AB159" s="1"/>
  <c r="AA66" i="33"/>
  <c r="BO66"/>
  <c r="AE368" i="12"/>
  <c r="AE68" i="26" s="1"/>
  <c r="AE67"/>
  <c r="AB53"/>
  <c r="AB297" i="12"/>
  <c r="AB299" s="1"/>
  <c r="AB300" s="1"/>
  <c r="AB301" s="1"/>
  <c r="AB282"/>
  <c r="AC32" i="29"/>
  <c r="AC86" i="26"/>
  <c r="AC216" i="12"/>
  <c r="AC86" i="33"/>
  <c r="AV33" i="29"/>
  <c r="AV87" i="26"/>
  <c r="AV217" i="12"/>
  <c r="AV87" i="33"/>
  <c r="BU65"/>
  <c r="DS65" s="1"/>
  <c r="AF54"/>
  <c r="AJ54"/>
  <c r="DJ54"/>
  <c r="K39" i="26"/>
  <c r="K39" i="33" s="1"/>
  <c r="K297" i="12"/>
  <c r="K299" s="1"/>
  <c r="K300" s="1"/>
  <c r="K301" s="1"/>
  <c r="K53" i="26"/>
  <c r="K53" i="33" s="1"/>
  <c r="K282" i="12"/>
  <c r="AJ86" i="33"/>
  <c r="AJ32" i="29"/>
  <c r="AJ216" i="12"/>
  <c r="AJ86" i="26"/>
  <c r="AX216" i="12"/>
  <c r="AX86" i="33"/>
  <c r="AX86" i="26"/>
  <c r="AX32" i="29"/>
  <c r="AN35"/>
  <c r="AN88" i="33"/>
  <c r="AN88" i="26"/>
  <c r="AB86"/>
  <c r="AB32" i="29"/>
  <c r="AB86" i="33"/>
  <c r="AB216" i="12"/>
  <c r="AB54" i="33"/>
  <c r="BM66"/>
  <c r="Y66"/>
  <c r="AX282" i="12"/>
  <c r="AX297"/>
  <c r="AX299" s="1"/>
  <c r="AX300" s="1"/>
  <c r="AX301" s="1"/>
  <c r="AX53" i="26"/>
  <c r="AX53" i="33" s="1"/>
  <c r="AO216" i="12"/>
  <c r="AO32" i="29"/>
  <c r="AO86" i="26"/>
  <c r="AO86" i="33"/>
  <c r="AB137" i="12"/>
  <c r="AB140" s="1"/>
  <c r="AB157"/>
  <c r="AA86" i="26"/>
  <c r="AA32" i="29"/>
  <c r="AA216" i="12"/>
  <c r="AA86" i="33"/>
  <c r="AF32" i="29"/>
  <c r="AF216" i="12"/>
  <c r="AF86" i="26"/>
  <c r="AF86" i="33"/>
  <c r="AX39" i="26"/>
  <c r="AX39" i="33" s="1"/>
  <c r="AX139" i="12"/>
  <c r="AX142" s="1"/>
  <c r="AA368"/>
  <c r="AA68" i="26" s="1"/>
  <c r="K68" i="34" s="1"/>
  <c r="AA67" i="26"/>
  <c r="K67" i="34" s="1"/>
  <c r="AS86" i="26"/>
  <c r="AS32" i="29"/>
  <c r="AS86" i="33"/>
  <c r="AS216" i="12"/>
  <c r="AE66" i="33"/>
  <c r="BO54"/>
  <c r="AA54"/>
  <c r="AX38" i="26"/>
  <c r="AX38" i="33" s="1"/>
  <c r="AX91" i="12"/>
  <c r="K91"/>
  <c r="BB33" i="29"/>
  <c r="BB87" i="33"/>
  <c r="BB87" i="26"/>
  <c r="BB217" i="12"/>
  <c r="AC54" i="26"/>
  <c r="AC282" i="12"/>
  <c r="AG33" i="29"/>
  <c r="AG87" i="26"/>
  <c r="AG87" i="33"/>
  <c r="AG217" i="12"/>
  <c r="BQ65" i="33"/>
  <c r="DQ65" s="1"/>
  <c r="AB39" i="26"/>
  <c r="AE86" i="33"/>
  <c r="AE86" i="26"/>
  <c r="AE216" i="12"/>
  <c r="AE32" i="29"/>
  <c r="BQ79" i="33"/>
  <c r="DQ79" s="1"/>
  <c r="AX368" i="12"/>
  <c r="AX68" i="26" s="1"/>
  <c r="AX68" i="33" s="1"/>
  <c r="AX67" i="26"/>
  <c r="AB38"/>
  <c r="Y54" i="33"/>
  <c r="V86" i="26"/>
  <c r="V86" i="33"/>
  <c r="V216" i="12"/>
  <c r="V32" i="29"/>
  <c r="K32"/>
  <c r="K86" i="26"/>
  <c r="K86" i="33"/>
  <c r="K216" i="12"/>
  <c r="AW32" i="29"/>
  <c r="AW86" i="33"/>
  <c r="AW216" i="12"/>
  <c r="AW86" i="26"/>
  <c r="Y368" i="12"/>
  <c r="Y68" i="26" s="1"/>
  <c r="Y67"/>
  <c r="Y86"/>
  <c r="Y86" i="33"/>
  <c r="Y32" i="29"/>
  <c r="Y216" i="12"/>
  <c r="K67" i="26"/>
  <c r="K368" i="12"/>
  <c r="K68" i="26" s="1"/>
  <c r="K68" i="33" s="1"/>
  <c r="AE54"/>
  <c r="BF86"/>
  <c r="BF32" i="29"/>
  <c r="BF216" i="12"/>
  <c r="BF86" i="26"/>
  <c r="AX137" i="12"/>
  <c r="AX140" s="1"/>
  <c r="AX157"/>
  <c r="K140"/>
  <c r="AN161"/>
  <c r="AN162" s="1"/>
  <c r="AN163" s="1"/>
  <c r="AQ35" i="29"/>
  <c r="AQ88" i="26"/>
  <c r="AQ88" i="33"/>
  <c r="AY87" i="26"/>
  <c r="AY33" i="29"/>
  <c r="AY87" i="33"/>
  <c r="AY217" i="12"/>
  <c r="AY73" i="26"/>
  <c r="AY73" i="33" s="1"/>
  <c r="AY71" i="26"/>
  <c r="AY71" i="33" s="1"/>
  <c r="AY67"/>
  <c r="AY72" i="26"/>
  <c r="AY72" i="33" s="1"/>
  <c r="BH33" i="29"/>
  <c r="BH217" i="12"/>
  <c r="BH87" i="33"/>
  <c r="BH87" i="26"/>
  <c r="BC88"/>
  <c r="BC35" i="29"/>
  <c r="BC88" i="33"/>
  <c r="AU33" i="29"/>
  <c r="AU87" i="26"/>
  <c r="AU87" i="33"/>
  <c r="AU217" i="12"/>
  <c r="AL91"/>
  <c r="AL38" i="26"/>
  <c r="BD88"/>
  <c r="BD35" i="29"/>
  <c r="BD88" i="33"/>
  <c r="P87"/>
  <c r="P33" i="29"/>
  <c r="P87" i="26"/>
  <c r="P217" i="12"/>
  <c r="N87" i="26"/>
  <c r="N33" i="29"/>
  <c r="N87" i="33"/>
  <c r="N217" i="12"/>
  <c r="N72" i="26"/>
  <c r="N72" i="33" s="1"/>
  <c r="N67"/>
  <c r="N71" i="26"/>
  <c r="N71" i="33" s="1"/>
  <c r="N73" i="26"/>
  <c r="N73" i="33" s="1"/>
  <c r="AU56" i="26"/>
  <c r="AU284" i="12"/>
  <c r="AU57" i="26" s="1"/>
  <c r="AU57" i="33" s="1"/>
  <c r="AU93" i="12"/>
  <c r="AU41" i="26"/>
  <c r="AU41" i="33" s="1"/>
  <c r="AK54"/>
  <c r="BH55" i="26"/>
  <c r="BH283" i="12"/>
  <c r="H87" i="33"/>
  <c r="H217" i="12"/>
  <c r="H33" i="29"/>
  <c r="H87" i="26"/>
  <c r="BH38"/>
  <c r="BH38" i="33" s="1"/>
  <c r="BH91" i="12"/>
  <c r="AK216"/>
  <c r="AK32" i="29"/>
  <c r="AK86" i="33"/>
  <c r="AK86" i="26"/>
  <c r="BH160" i="12"/>
  <c r="BH143"/>
  <c r="BH23" i="29" s="1"/>
  <c r="BH67" i="33"/>
  <c r="BH72" i="26"/>
  <c r="BH73"/>
  <c r="BH71"/>
  <c r="AN23" i="29"/>
  <c r="AN144" i="12"/>
  <c r="BH159"/>
  <c r="BH161" s="1"/>
  <c r="BH162" s="1"/>
  <c r="BH22" i="29"/>
  <c r="AN284" i="12"/>
  <c r="AN57" i="26" s="1"/>
  <c r="AN57" i="33" s="1"/>
  <c r="AN56" i="26"/>
  <c r="AN41"/>
  <c r="AN41" i="33" s="1"/>
  <c r="AN93" i="12"/>
  <c r="U160"/>
  <c r="U161" s="1"/>
  <c r="U162" s="1"/>
  <c r="U143"/>
  <c r="U39" i="26"/>
  <c r="U39" i="33" s="1"/>
  <c r="BI38" i="26"/>
  <c r="BI38" i="33" s="1"/>
  <c r="BI91" i="12"/>
  <c r="AF73" i="26"/>
  <c r="DF67" i="33"/>
  <c r="AF71" i="26"/>
  <c r="AF72"/>
  <c r="AF67" i="33"/>
  <c r="BC143" i="12"/>
  <c r="BC23" i="29" s="1"/>
  <c r="BC160" i="12"/>
  <c r="AJ39" i="33"/>
  <c r="S143" i="12"/>
  <c r="S23" i="29" s="1"/>
  <c r="S160" i="12"/>
  <c r="AF92"/>
  <c r="AF40" i="26"/>
  <c r="Z160" i="12"/>
  <c r="Z161" s="1"/>
  <c r="Z162" s="1"/>
  <c r="Z143"/>
  <c r="BI143"/>
  <c r="BI23" i="29" s="1"/>
  <c r="BI160" i="12"/>
  <c r="AI38" i="33"/>
  <c r="CN38"/>
  <c r="AI40" i="26"/>
  <c r="AI92" i="12"/>
  <c r="AF53" i="33"/>
  <c r="DF53"/>
  <c r="W86" i="26"/>
  <c r="W32" i="29"/>
  <c r="W216" i="12"/>
  <c r="W86" i="33"/>
  <c r="AD23" i="29"/>
  <c r="AD144" i="12"/>
  <c r="J216"/>
  <c r="J86" i="26"/>
  <c r="J86" i="33"/>
  <c r="J32" i="29"/>
  <c r="BN38" i="33"/>
  <c r="Z38"/>
  <c r="M86" i="26"/>
  <c r="M216" i="12"/>
  <c r="M32" i="29"/>
  <c r="M86" i="33"/>
  <c r="AF39"/>
  <c r="DF39"/>
  <c r="AD38"/>
  <c r="BR38"/>
  <c r="L92" i="12"/>
  <c r="L40" i="26"/>
  <c r="L40" i="33" s="1"/>
  <c r="AI22" i="29"/>
  <c r="AI159" i="12"/>
  <c r="AD283"/>
  <c r="AD55" i="26"/>
  <c r="T283" i="12"/>
  <c r="T55" i="26"/>
  <c r="Y38"/>
  <c r="Y91" i="12"/>
  <c r="I93"/>
  <c r="I41" i="26"/>
  <c r="I41" i="33" s="1"/>
  <c r="DM68"/>
  <c r="AM68"/>
  <c r="AD87" i="26"/>
  <c r="AD33" i="29"/>
  <c r="AD87" i="33"/>
  <c r="AD217" i="12"/>
  <c r="AJ55" i="26"/>
  <c r="AJ283" i="12"/>
  <c r="AJ53" i="33"/>
  <c r="AI67" i="26"/>
  <c r="AI368" i="12"/>
  <c r="AI68" i="26" s="1"/>
  <c r="Z216" i="12"/>
  <c r="Z86" i="33"/>
  <c r="Z32" i="29"/>
  <c r="Z86" i="26"/>
  <c r="Z283" i="12"/>
  <c r="Z55" i="26"/>
  <c r="J55" i="34" s="1"/>
  <c r="AC41" i="26"/>
  <c r="AC93" i="12"/>
  <c r="Q35" i="29"/>
  <c r="Q88" i="33"/>
  <c r="Q88" i="26"/>
  <c r="U55"/>
  <c r="U55" i="33" s="1"/>
  <c r="AZ71" i="26"/>
  <c r="AZ71" i="33" s="1"/>
  <c r="AZ73" i="26"/>
  <c r="AZ73" i="33" s="1"/>
  <c r="AZ67"/>
  <c r="AZ72" i="26"/>
  <c r="AZ72" i="33" s="1"/>
  <c r="AJ72" i="26"/>
  <c r="AJ67" i="33"/>
  <c r="AJ73" i="26"/>
  <c r="AJ71"/>
  <c r="AI55"/>
  <c r="AI283" i="12"/>
  <c r="AI53" i="33"/>
  <c r="S86" i="26"/>
  <c r="S32" i="29"/>
  <c r="S216" i="12"/>
  <c r="S86" i="33"/>
  <c r="I106" i="29"/>
  <c r="I163" i="12"/>
  <c r="AH33" i="29"/>
  <c r="AH217" i="12"/>
  <c r="AH87" i="33"/>
  <c r="AH87" i="26"/>
  <c r="X23" i="29"/>
  <c r="S39" i="26"/>
  <c r="S39" i="33" s="1"/>
  <c r="AI54"/>
  <c r="CT54"/>
  <c r="X39"/>
  <c r="CC39"/>
  <c r="L145" i="12"/>
  <c r="L44" i="26"/>
  <c r="AI140" i="12"/>
  <c r="M139"/>
  <c r="M142" s="1"/>
  <c r="T161"/>
  <c r="T162" s="1"/>
  <c r="M297"/>
  <c r="M299" s="1"/>
  <c r="M300" s="1"/>
  <c r="M301" s="1"/>
  <c r="M53" i="26"/>
  <c r="M53" i="33" s="1"/>
  <c r="M282" i="12"/>
  <c r="X87" i="33"/>
  <c r="X87" i="26"/>
  <c r="X33" i="29"/>
  <c r="X217" i="12"/>
  <c r="AF68" i="33"/>
  <c r="DF68"/>
  <c r="I67"/>
  <c r="I72" i="26"/>
  <c r="I73"/>
  <c r="I71"/>
  <c r="DF38" i="33"/>
  <c r="AF38"/>
  <c r="U86"/>
  <c r="U86" i="26"/>
  <c r="U32" i="29"/>
  <c r="U216" i="12"/>
  <c r="T72" i="26"/>
  <c r="T71"/>
  <c r="T73"/>
  <c r="T67" i="33"/>
  <c r="AI86" i="26"/>
  <c r="AI32" i="29"/>
  <c r="AI216" i="12"/>
  <c r="AI86" i="33"/>
  <c r="T87"/>
  <c r="T33" i="29"/>
  <c r="T87" i="26"/>
  <c r="T217" i="12"/>
  <c r="AF55" i="26"/>
  <c r="AF283" i="12"/>
  <c r="S53" i="26"/>
  <c r="S53" i="33" s="1"/>
  <c r="S297" i="12"/>
  <c r="S299" s="1"/>
  <c r="S300" s="1"/>
  <c r="S301" s="1"/>
  <c r="S282"/>
  <c r="Z39" i="26"/>
  <c r="J39" i="34" s="1"/>
  <c r="AD163" i="12"/>
  <c r="AD106" i="29"/>
  <c r="I56" i="26"/>
  <c r="I76" s="1"/>
  <c r="I284" i="12"/>
  <c r="I57" i="26" s="1"/>
  <c r="I57" i="33" s="1"/>
  <c r="R368" i="12"/>
  <c r="R68" i="26" s="1"/>
  <c r="R68" i="33" s="1"/>
  <c r="R67" i="26"/>
  <c r="AZ87" i="33"/>
  <c r="AZ87" i="26"/>
  <c r="AZ33" i="29"/>
  <c r="AZ217" i="12"/>
  <c r="T40" i="26"/>
  <c r="T40" i="33" s="1"/>
  <c r="T92" i="12"/>
  <c r="AC163"/>
  <c r="AC106" i="29"/>
  <c r="AD40" i="26"/>
  <c r="AD92" i="12"/>
  <c r="BI159"/>
  <c r="BI22" i="29"/>
  <c r="AJ38" i="26"/>
  <c r="AJ91" i="12"/>
  <c r="AF159"/>
  <c r="AF22" i="29"/>
  <c r="BC159" i="12"/>
  <c r="BC22" i="29"/>
  <c r="BC144" i="12"/>
  <c r="AM73" i="26"/>
  <c r="AM67" i="33"/>
  <c r="DM67"/>
  <c r="AM72" i="26"/>
  <c r="AM71"/>
  <c r="AJ143" i="12"/>
  <c r="AJ160"/>
  <c r="AJ161" s="1"/>
  <c r="AJ162" s="1"/>
  <c r="BT59" i="33"/>
  <c r="BS59"/>
  <c r="CN66"/>
  <c r="AI66"/>
  <c r="AI75" i="26"/>
  <c r="BS48" i="33"/>
  <c r="BT48"/>
  <c r="Z53"/>
  <c r="BN53"/>
  <c r="BQ40"/>
  <c r="AC40"/>
  <c r="AJ68"/>
  <c r="AI39" i="26"/>
  <c r="R32" i="29"/>
  <c r="R86" i="26"/>
  <c r="R86" i="33"/>
  <c r="R216" i="12"/>
  <c r="I144"/>
  <c r="I23" i="29"/>
  <c r="BI283" i="12"/>
  <c r="BI55" i="26"/>
  <c r="AF143" i="12"/>
  <c r="AF23" i="29" s="1"/>
  <c r="AF160" i="12"/>
  <c r="I88" i="33"/>
  <c r="I88" i="26"/>
  <c r="I35" i="29"/>
  <c r="L106"/>
  <c r="L163" i="12"/>
  <c r="Z91"/>
  <c r="I75" i="26"/>
  <c r="I75" i="33" s="1"/>
  <c r="M86" i="12"/>
  <c r="M89" s="1"/>
  <c r="U91"/>
  <c r="U299"/>
  <c r="U300" s="1"/>
  <c r="U301" s="1"/>
  <c r="S139"/>
  <c r="S142" s="1"/>
  <c r="S86"/>
  <c r="S89" s="1"/>
  <c r="AI299"/>
  <c r="AI300" s="1"/>
  <c r="AI301" s="1"/>
  <c r="AC144"/>
  <c r="T144"/>
  <c r="BA160"/>
  <c r="BA161" s="1"/>
  <c r="BA162" s="1"/>
  <c r="BA143"/>
  <c r="AV91"/>
  <c r="AV38" i="26"/>
  <c r="AV38" i="33" s="1"/>
  <c r="AQ23" i="29"/>
  <c r="AQ144" i="12"/>
  <c r="AR38" i="26"/>
  <c r="AR38" i="33" s="1"/>
  <c r="AR91" i="12"/>
  <c r="AW22" i="29"/>
  <c r="AW159" i="12"/>
  <c r="V22" i="29"/>
  <c r="V144" i="12"/>
  <c r="V159"/>
  <c r="V161" s="1"/>
  <c r="V162" s="1"/>
  <c r="AH91"/>
  <c r="AH38" i="26"/>
  <c r="BF38"/>
  <c r="BF38" i="33" s="1"/>
  <c r="BF91" i="12"/>
  <c r="AZ91"/>
  <c r="AZ38" i="26"/>
  <c r="AZ38" i="33" s="1"/>
  <c r="BD22" i="29"/>
  <c r="BD159" i="12"/>
  <c r="N55" i="26"/>
  <c r="N283" i="12"/>
  <c r="AV143"/>
  <c r="AV23" i="29" s="1"/>
  <c r="AV160" i="12"/>
  <c r="O71" i="26"/>
  <c r="O72"/>
  <c r="O73"/>
  <c r="O67" i="33"/>
  <c r="CL39"/>
  <c r="AH67"/>
  <c r="CM67"/>
  <c r="AH73" i="26"/>
  <c r="AH72"/>
  <c r="AH71"/>
  <c r="AZ283" i="12"/>
  <c r="AZ55" i="26"/>
  <c r="AB66" i="33"/>
  <c r="AH283" i="12"/>
  <c r="AH55" i="26"/>
  <c r="X64" i="33"/>
  <c r="AG92" i="12"/>
  <c r="AG40" i="26"/>
  <c r="AG38" i="33"/>
  <c r="BE40" i="26"/>
  <c r="BE40" i="33" s="1"/>
  <c r="BE92" i="12"/>
  <c r="BD72" i="26"/>
  <c r="BD67" i="33"/>
  <c r="BD71" i="26"/>
  <c r="BD73"/>
  <c r="S67" i="33"/>
  <c r="S72" i="26"/>
  <c r="S71"/>
  <c r="S73"/>
  <c r="BG44"/>
  <c r="BG163" i="12"/>
  <c r="BG106" i="29"/>
  <c r="J40" i="26"/>
  <c r="J40" i="33" s="1"/>
  <c r="J92" i="12"/>
  <c r="BF73" i="26"/>
  <c r="BF71"/>
  <c r="BF72"/>
  <c r="BF67" i="33"/>
  <c r="P55" i="26"/>
  <c r="P283" i="12"/>
  <c r="M66" i="33"/>
  <c r="AE283" i="12"/>
  <c r="AE55" i="26"/>
  <c r="P73"/>
  <c r="P71"/>
  <c r="P72"/>
  <c r="P67" i="33"/>
  <c r="BN64"/>
  <c r="Z64"/>
  <c r="BY66"/>
  <c r="AW73" i="26"/>
  <c r="AW67" i="33"/>
  <c r="AW72" i="26"/>
  <c r="AW71"/>
  <c r="BG283" i="12"/>
  <c r="BG56" i="26" s="1"/>
  <c r="BG55"/>
  <c r="Q44"/>
  <c r="Q145" i="12"/>
  <c r="BR64" i="33"/>
  <c r="AW38" i="26"/>
  <c r="AW38" i="33" s="1"/>
  <c r="AW91" i="12"/>
  <c r="AV159"/>
  <c r="AV22" i="29"/>
  <c r="AH159" i="12"/>
  <c r="AH161" s="1"/>
  <c r="AH162" s="1"/>
  <c r="AH22" i="29"/>
  <c r="AH144" i="12"/>
  <c r="BF159"/>
  <c r="BF22" i="29"/>
  <c r="R144" i="12"/>
  <c r="R22" i="29"/>
  <c r="R159" i="12"/>
  <c r="R161" s="1"/>
  <c r="R162" s="1"/>
  <c r="O93"/>
  <c r="O41" i="26"/>
  <c r="O41" i="33" s="1"/>
  <c r="AR143" i="12"/>
  <c r="AR23" i="29" s="1"/>
  <c r="AR160" i="12"/>
  <c r="AK283"/>
  <c r="AK55" i="26"/>
  <c r="AL64" i="33"/>
  <c r="DK39"/>
  <c r="AK39"/>
  <c r="AV71"/>
  <c r="AW55" i="26"/>
  <c r="AW283" i="12"/>
  <c r="L367"/>
  <c r="L66" i="26"/>
  <c r="AU122"/>
  <c r="AU44" i="33"/>
  <c r="AY143" i="12"/>
  <c r="AY160"/>
  <c r="AY161" s="1"/>
  <c r="AY162" s="1"/>
  <c r="BP64" i="33"/>
  <c r="DU64" s="1"/>
  <c r="BA56" i="26"/>
  <c r="BA76" s="1"/>
  <c r="BA284" i="12"/>
  <c r="BA57" i="26" s="1"/>
  <c r="BA57" i="33" s="1"/>
  <c r="O122" i="26"/>
  <c r="O44" i="33"/>
  <c r="Q71" i="26"/>
  <c r="Q67" i="33"/>
  <c r="Q72" i="26"/>
  <c r="Q73"/>
  <c r="Q55"/>
  <c r="Q283" i="12"/>
  <c r="U66" i="33"/>
  <c r="AR55" i="26"/>
  <c r="AR283" i="12"/>
  <c r="AE39" i="33"/>
  <c r="DO39"/>
  <c r="DK38"/>
  <c r="AK38"/>
  <c r="V55" i="26"/>
  <c r="V283" i="12"/>
  <c r="AK68" i="33"/>
  <c r="BB66"/>
  <c r="AD368" i="12"/>
  <c r="AD68" i="26" s="1"/>
  <c r="AD67"/>
  <c r="AY40"/>
  <c r="AY40" i="33" s="1"/>
  <c r="AY92" i="12"/>
  <c r="P92"/>
  <c r="P40" i="26"/>
  <c r="P40" i="33" s="1"/>
  <c r="BA93" i="12"/>
  <c r="BA41" i="26"/>
  <c r="BA41" i="33" s="1"/>
  <c r="O75" i="26"/>
  <c r="AE159" i="12"/>
  <c r="AE22" i="29"/>
  <c r="AO159" i="12"/>
  <c r="AO22" i="29"/>
  <c r="AO73" i="26"/>
  <c r="AO72"/>
  <c r="AO71"/>
  <c r="AO67" i="33"/>
  <c r="AS283" i="12"/>
  <c r="AS55" i="26"/>
  <c r="AH68" i="33"/>
  <c r="AK143" i="12"/>
  <c r="AK160"/>
  <c r="AK161" s="1"/>
  <c r="AK162" s="1"/>
  <c r="AR88" i="26"/>
  <c r="AR88" i="33"/>
  <c r="AR35" i="29"/>
  <c r="O88" i="33"/>
  <c r="O35" i="29"/>
  <c r="O88" i="26"/>
  <c r="AB368" i="12"/>
  <c r="AB68" i="26" s="1"/>
  <c r="AB67"/>
  <c r="CM53" i="33"/>
  <c r="AH53"/>
  <c r="X66" i="26"/>
  <c r="X367" i="12"/>
  <c r="N145"/>
  <c r="N44" i="26"/>
  <c r="N163" i="12"/>
  <c r="N106" i="29"/>
  <c r="AO55" i="26"/>
  <c r="AO283" i="12"/>
  <c r="BA75" i="33"/>
  <c r="BA129" i="26"/>
  <c r="O56"/>
  <c r="O284" i="12"/>
  <c r="O57" i="26" s="1"/>
  <c r="O57" i="33" s="1"/>
  <c r="BG92" i="12"/>
  <c r="BG40" i="26"/>
  <c r="BG40" i="33" s="1"/>
  <c r="BE143" i="12"/>
  <c r="BE160"/>
  <c r="BE161" s="1"/>
  <c r="BE162" s="1"/>
  <c r="AS143"/>
  <c r="AS160"/>
  <c r="AS161" s="1"/>
  <c r="AS162" s="1"/>
  <c r="AE143"/>
  <c r="AE23" i="29" s="1"/>
  <c r="AE160" i="12"/>
  <c r="M368"/>
  <c r="M68" i="26" s="1"/>
  <c r="M68" i="33" s="1"/>
  <c r="M67" i="26"/>
  <c r="BF143" i="12"/>
  <c r="BF23" i="29" s="1"/>
  <c r="BF160" i="12"/>
  <c r="AE53" i="33"/>
  <c r="Z367" i="12"/>
  <c r="Z66" i="26"/>
  <c r="J66" i="34" s="1"/>
  <c r="AP66" i="26"/>
  <c r="AP367" i="12"/>
  <c r="AW143"/>
  <c r="AW23" i="29" s="1"/>
  <c r="AW160" i="12"/>
  <c r="Q163"/>
  <c r="Q106" i="29"/>
  <c r="AR22"/>
  <c r="AR159" i="12"/>
  <c r="AR144"/>
  <c r="AE38" i="26"/>
  <c r="AE91" i="12"/>
  <c r="V38" i="26"/>
  <c r="V38" i="33" s="1"/>
  <c r="V91" i="12"/>
  <c r="H38" i="26"/>
  <c r="H38" i="33" s="1"/>
  <c r="H91" i="12"/>
  <c r="AO38" i="26"/>
  <c r="AO38" i="33" s="1"/>
  <c r="AO91" i="12"/>
  <c r="AZ159"/>
  <c r="AZ22" i="29"/>
  <c r="BD91" i="12"/>
  <c r="BD38" i="26"/>
  <c r="BD38" i="33" s="1"/>
  <c r="P22" i="29"/>
  <c r="P144" i="12"/>
  <c r="P159"/>
  <c r="P161" s="1"/>
  <c r="P162" s="1"/>
  <c r="BE55" i="26"/>
  <c r="BE283" i="12"/>
  <c r="DK53" i="33"/>
  <c r="AK53"/>
  <c r="W71" i="26"/>
  <c r="W72"/>
  <c r="W73"/>
  <c r="W67" i="33"/>
  <c r="AL367" i="12"/>
  <c r="AL66" i="26"/>
  <c r="AT143" i="12"/>
  <c r="AT160"/>
  <c r="BV66" i="33"/>
  <c r="DT66" s="1"/>
  <c r="H143" i="12"/>
  <c r="H160"/>
  <c r="H161" s="1"/>
  <c r="H162" s="1"/>
  <c r="AY283"/>
  <c r="AY55" i="26"/>
  <c r="AO143" i="12"/>
  <c r="AO23" i="29" s="1"/>
  <c r="AO160" i="12"/>
  <c r="AV73" i="33"/>
  <c r="AV72"/>
  <c r="H72" i="26"/>
  <c r="H67" i="33"/>
  <c r="H71" i="26"/>
  <c r="H73"/>
  <c r="AV283" i="12"/>
  <c r="AV55" i="26"/>
  <c r="AZ143" i="12"/>
  <c r="AZ23" i="29" s="1"/>
  <c r="AZ160" i="12"/>
  <c r="AU25" i="29"/>
  <c r="AU45" i="26"/>
  <c r="AU146" i="12"/>
  <c r="CS64" i="33"/>
  <c r="CG64"/>
  <c r="J283" i="12"/>
  <c r="J55" i="26"/>
  <c r="AU367" i="12"/>
  <c r="AU66" i="26"/>
  <c r="AH39" i="33"/>
  <c r="BD143" i="12"/>
  <c r="BD23" i="29" s="1"/>
  <c r="BD160" i="12"/>
  <c r="N40" i="26"/>
  <c r="N40" i="33" s="1"/>
  <c r="N92" i="12"/>
  <c r="O25" i="29"/>
  <c r="O45" i="26"/>
  <c r="O146" i="12"/>
  <c r="J143"/>
  <c r="J160"/>
  <c r="J161" s="1"/>
  <c r="J162" s="1"/>
  <c r="H283"/>
  <c r="H55" i="26"/>
  <c r="BA73"/>
  <c r="BA67" i="33"/>
  <c r="BA71" i="26"/>
  <c r="BA72"/>
  <c r="AN367" i="12"/>
  <c r="AN66" i="26"/>
  <c r="U368" i="12"/>
  <c r="U68" i="26" s="1"/>
  <c r="U68" i="33" s="1"/>
  <c r="U67" i="26"/>
  <c r="AS72"/>
  <c r="AS67" i="33"/>
  <c r="AS71" i="26"/>
  <c r="AS73"/>
  <c r="BD55"/>
  <c r="BD283" i="12"/>
  <c r="BA87" i="26"/>
  <c r="BA33" i="29"/>
  <c r="BA217" i="12"/>
  <c r="BA87" i="33"/>
  <c r="AK40" i="26"/>
  <c r="AK92" i="12"/>
  <c r="BF55" i="26"/>
  <c r="BF283" i="12"/>
  <c r="AS40" i="26"/>
  <c r="AS40" i="33" s="1"/>
  <c r="AS92" i="12"/>
  <c r="AK71" i="26"/>
  <c r="AK72"/>
  <c r="AK73"/>
  <c r="AK67" i="33"/>
  <c r="Q40" i="26"/>
  <c r="Q40" i="33" s="1"/>
  <c r="Q92" i="12"/>
  <c r="BB67" i="26"/>
  <c r="BB368" i="12"/>
  <c r="BB68" i="26" s="1"/>
  <c r="BB68" i="33" s="1"/>
  <c r="AD66"/>
  <c r="DD66"/>
  <c r="AD75" i="26"/>
  <c r="AR67" i="33"/>
  <c r="AR72" i="26"/>
  <c r="AR73"/>
  <c r="AR71"/>
  <c r="DW64" i="33"/>
  <c r="AB22" i="29" l="1"/>
  <c r="BE217" i="12"/>
  <c r="BE87" i="26"/>
  <c r="BE33" i="29"/>
  <c r="BE87" i="33"/>
  <c r="BE72" i="26"/>
  <c r="BE72" i="33" s="1"/>
  <c r="BE71" i="26"/>
  <c r="BE71" i="33" s="1"/>
  <c r="BE73" i="26"/>
  <c r="BE73" i="33" s="1"/>
  <c r="BE67"/>
  <c r="BL43" i="34"/>
  <c r="BX43" i="33"/>
  <c r="DV43" s="1"/>
  <c r="U43" i="34"/>
  <c r="BL63"/>
  <c r="BX63" i="33"/>
  <c r="DV63" s="1"/>
  <c r="U63" i="34"/>
  <c r="BL28"/>
  <c r="BX28" i="33"/>
  <c r="DV28" s="1"/>
  <c r="U28" i="34"/>
  <c r="P63"/>
  <c r="BT63" i="33" s="1"/>
  <c r="BS63"/>
  <c r="P37" i="34"/>
  <c r="BT37" i="33" s="1"/>
  <c r="BS37"/>
  <c r="BL37" i="34"/>
  <c r="U37"/>
  <c r="BX37" i="33"/>
  <c r="DV37" s="1"/>
  <c r="P28" i="34"/>
  <c r="BT28" i="33" s="1"/>
  <c r="BS28"/>
  <c r="P52" i="34"/>
  <c r="BT52" i="33" s="1"/>
  <c r="BS52"/>
  <c r="P43" i="34"/>
  <c r="BT43" i="33" s="1"/>
  <c r="BS43"/>
  <c r="U52" i="34"/>
  <c r="BL52"/>
  <c r="BX52" i="33"/>
  <c r="DV52" s="1"/>
  <c r="BW66"/>
  <c r="AR161" i="12"/>
  <c r="AR162" s="1"/>
  <c r="Y137"/>
  <c r="Y140" s="1"/>
  <c r="Y157"/>
  <c r="AA137"/>
  <c r="AA140" s="1"/>
  <c r="AA160" s="1"/>
  <c r="AA157"/>
  <c r="AP38" i="26"/>
  <c r="AP38" i="33" s="1"/>
  <c r="AA139" i="12"/>
  <c r="AA142" s="1"/>
  <c r="AA143"/>
  <c r="AA39" i="26"/>
  <c r="AA86" i="12"/>
  <c r="AA89" s="1"/>
  <c r="AA297"/>
  <c r="AA299" s="1"/>
  <c r="AA300" s="1"/>
  <c r="AA301" s="1"/>
  <c r="AA282"/>
  <c r="AA53" i="26"/>
  <c r="Y139" i="12"/>
  <c r="Y142" s="1"/>
  <c r="Y22" i="29" s="1"/>
  <c r="AV144" i="12"/>
  <c r="AC366"/>
  <c r="AC64" i="26"/>
  <c r="O69" i="34"/>
  <c r="BR69" i="33"/>
  <c r="Y39" i="26"/>
  <c r="O58" i="34"/>
  <c r="BR58" i="33"/>
  <c r="AG368" i="12"/>
  <c r="AG68" i="26" s="1"/>
  <c r="AG67"/>
  <c r="W53"/>
  <c r="W53" i="33" s="1"/>
  <c r="W297" i="12"/>
  <c r="W299" s="1"/>
  <c r="W300" s="1"/>
  <c r="W301" s="1"/>
  <c r="W282"/>
  <c r="T58" i="34"/>
  <c r="BK58"/>
  <c r="BW58" i="33"/>
  <c r="DU58" s="1"/>
  <c r="Y297" i="12"/>
  <c r="Y299" s="1"/>
  <c r="Y300" s="1"/>
  <c r="Y301" s="1"/>
  <c r="Y282"/>
  <c r="Y53" i="26"/>
  <c r="AM87"/>
  <c r="AM87" i="33"/>
  <c r="AM33" i="29"/>
  <c r="AM217" i="12"/>
  <c r="T69" i="34"/>
  <c r="BW69" i="33"/>
  <c r="DU69" s="1"/>
  <c r="BK69" i="34"/>
  <c r="O78"/>
  <c r="BR78" i="33"/>
  <c r="Y143" i="12"/>
  <c r="Y160"/>
  <c r="Q66" i="34"/>
  <c r="BU66" i="33" s="1"/>
  <c r="AH66" i="34"/>
  <c r="CL66" i="33" s="1"/>
  <c r="AG66"/>
  <c r="O47" i="34"/>
  <c r="BR47" i="33"/>
  <c r="T47" i="34"/>
  <c r="BK47"/>
  <c r="BW47" i="33"/>
  <c r="DU47" s="1"/>
  <c r="S78" i="34"/>
  <c r="BJ78"/>
  <c r="BV78" i="33"/>
  <c r="DT78" s="1"/>
  <c r="V366" i="12"/>
  <c r="V64" i="26"/>
  <c r="V64" i="33" s="1"/>
  <c r="W139" i="12"/>
  <c r="W142" s="1"/>
  <c r="W86"/>
  <c r="W89" s="1"/>
  <c r="J64" i="26"/>
  <c r="J64" i="33" s="1"/>
  <c r="J366" i="12"/>
  <c r="BG65" i="34"/>
  <c r="BC86" i="12"/>
  <c r="BC89" s="1"/>
  <c r="AT86"/>
  <c r="AT89" s="1"/>
  <c r="R86"/>
  <c r="R89" s="1"/>
  <c r="AQ67" i="26"/>
  <c r="AQ368" i="12"/>
  <c r="AQ68" i="26" s="1"/>
  <c r="AQ68" i="33" s="1"/>
  <c r="BC368" i="12"/>
  <c r="BC68" i="26" s="1"/>
  <c r="BC68" i="33" s="1"/>
  <c r="BC67" i="26"/>
  <c r="AT297" i="12"/>
  <c r="AT299" s="1"/>
  <c r="AT300" s="1"/>
  <c r="AT301" s="1"/>
  <c r="AT53" i="26"/>
  <c r="AT53" i="33" s="1"/>
  <c r="AT282" i="12"/>
  <c r="BB39" i="34"/>
  <c r="DL39" i="33" s="1"/>
  <c r="AL39"/>
  <c r="AT139" i="12"/>
  <c r="AT142" s="1"/>
  <c r="BC297"/>
  <c r="BC299" s="1"/>
  <c r="BC300" s="1"/>
  <c r="BC301" s="1"/>
  <c r="BC282"/>
  <c r="BC53" i="26"/>
  <c r="BC53" i="33" s="1"/>
  <c r="AL297" i="12"/>
  <c r="AL299" s="1"/>
  <c r="AL300" s="1"/>
  <c r="AL301" s="1"/>
  <c r="AL282"/>
  <c r="AL53" i="26"/>
  <c r="BE53" i="34" s="1"/>
  <c r="DO53" i="33" s="1"/>
  <c r="AL88"/>
  <c r="AL35" i="29"/>
  <c r="AL88" i="26"/>
  <c r="R297" i="12"/>
  <c r="R299" s="1"/>
  <c r="R300" s="1"/>
  <c r="R301" s="1"/>
  <c r="R53" i="26"/>
  <c r="R53" i="33" s="1"/>
  <c r="R282" i="12"/>
  <c r="AL139"/>
  <c r="AL142" s="1"/>
  <c r="BI144"/>
  <c r="BI145" s="1"/>
  <c r="BI146" s="1"/>
  <c r="AN106" i="29"/>
  <c r="AQ54" i="34"/>
  <c r="BK59"/>
  <c r="T59"/>
  <c r="BW59" i="33"/>
  <c r="DU59" s="1"/>
  <c r="BJ79" i="34"/>
  <c r="S79"/>
  <c r="BV79" i="33"/>
  <c r="DT79" s="1"/>
  <c r="T48" i="34"/>
  <c r="BK48"/>
  <c r="BW48" i="33"/>
  <c r="DU48" s="1"/>
  <c r="AQ283" i="12"/>
  <c r="AQ55" i="26"/>
  <c r="AQ22" i="29"/>
  <c r="AQ159" i="12"/>
  <c r="AQ161" s="1"/>
  <c r="AQ162" s="1"/>
  <c r="AQ38" i="26"/>
  <c r="AQ38" i="33" s="1"/>
  <c r="AQ91" i="12"/>
  <c r="X38" i="26"/>
  <c r="AP38" i="34" s="1"/>
  <c r="CT38" i="33" s="1"/>
  <c r="X91" i="12"/>
  <c r="X53" i="26"/>
  <c r="AP53" i="34" s="1"/>
  <c r="CT53" i="33" s="1"/>
  <c r="X297" i="12"/>
  <c r="X299" s="1"/>
  <c r="X300" s="1"/>
  <c r="X301" s="1"/>
  <c r="X282"/>
  <c r="X139"/>
  <c r="X142" s="1"/>
  <c r="U75" i="26"/>
  <c r="AV161" i="12"/>
  <c r="AV162" s="1"/>
  <c r="AV106" i="29" s="1"/>
  <c r="AG22"/>
  <c r="AG159" i="12"/>
  <c r="AG161" s="1"/>
  <c r="AG162" s="1"/>
  <c r="AG144"/>
  <c r="Q53" i="34"/>
  <c r="AH53"/>
  <c r="CL53" i="33" s="1"/>
  <c r="AG53"/>
  <c r="AG55" i="26"/>
  <c r="AG283" i="12"/>
  <c r="BA72" i="34"/>
  <c r="DK72" i="33" s="1"/>
  <c r="V66" i="34"/>
  <c r="BB66"/>
  <c r="AU38"/>
  <c r="O38"/>
  <c r="AC67"/>
  <c r="AT68"/>
  <c r="DD68" i="33" s="1"/>
  <c r="U55" i="34"/>
  <c r="BA55"/>
  <c r="AU55"/>
  <c r="R55"/>
  <c r="AI55"/>
  <c r="AI71"/>
  <c r="CM71" i="33" s="1"/>
  <c r="R73" i="34"/>
  <c r="AI73"/>
  <c r="CM73" i="33" s="1"/>
  <c r="AJ39" i="34"/>
  <c r="BC71"/>
  <c r="DM71" i="33" s="1"/>
  <c r="BC73" i="34"/>
  <c r="DM73" i="33" s="1"/>
  <c r="AV55" i="34"/>
  <c r="DF55" i="33" s="1"/>
  <c r="S55" i="34"/>
  <c r="AJ55"/>
  <c r="CN55" i="33" s="1"/>
  <c r="T73" i="34"/>
  <c r="BX73" i="33" s="1"/>
  <c r="AZ73" i="34"/>
  <c r="AS41"/>
  <c r="DC41" i="33" s="1"/>
  <c r="AJ67" i="34"/>
  <c r="CN67" i="33" s="1"/>
  <c r="T55" i="34"/>
  <c r="AZ55"/>
  <c r="AT55"/>
  <c r="N55"/>
  <c r="O55" s="1"/>
  <c r="P55" s="1"/>
  <c r="S40"/>
  <c r="AJ40"/>
  <c r="CN40" i="33" s="1"/>
  <c r="AV71" i="34"/>
  <c r="AV73"/>
  <c r="DF73" i="33" s="1"/>
  <c r="V38" i="34"/>
  <c r="BB38"/>
  <c r="DL38" i="33" s="1"/>
  <c r="I68" i="34"/>
  <c r="Q68" s="1"/>
  <c r="Z68"/>
  <c r="L38"/>
  <c r="BK38" s="1"/>
  <c r="AC38"/>
  <c r="CG38" i="33" s="1"/>
  <c r="AS54" i="34"/>
  <c r="BE54"/>
  <c r="DO54" i="33" s="1"/>
  <c r="AU67" i="34"/>
  <c r="BC53"/>
  <c r="DM53" i="33" s="1"/>
  <c r="BN70" i="34"/>
  <c r="W70"/>
  <c r="BO70" s="1"/>
  <c r="AR64"/>
  <c r="BI64"/>
  <c r="O66"/>
  <c r="P66" s="1"/>
  <c r="BF39"/>
  <c r="DP39" i="33" s="1"/>
  <c r="AO54" i="34"/>
  <c r="CS54" i="33" s="1"/>
  <c r="N75" i="34"/>
  <c r="BR75" i="33" s="1"/>
  <c r="AT75" i="34"/>
  <c r="DD75" i="33" s="1"/>
  <c r="U73" i="34"/>
  <c r="BA73"/>
  <c r="BA71"/>
  <c r="U40"/>
  <c r="BA40"/>
  <c r="H66"/>
  <c r="Y66"/>
  <c r="AQ66" s="1"/>
  <c r="AC68"/>
  <c r="AT67"/>
  <c r="DD67" i="33" s="1"/>
  <c r="Q40" i="34"/>
  <c r="AH40"/>
  <c r="AI72"/>
  <c r="R38"/>
  <c r="AI38"/>
  <c r="S75"/>
  <c r="BW75" i="33" s="1"/>
  <c r="AJ75" i="34"/>
  <c r="BC72"/>
  <c r="DM72" i="33" s="1"/>
  <c r="T38" i="34"/>
  <c r="BL38" s="1"/>
  <c r="AZ38"/>
  <c r="DJ38" i="33" s="1"/>
  <c r="N40" i="34"/>
  <c r="AT40"/>
  <c r="DD40" i="33" s="1"/>
  <c r="AZ71" i="34"/>
  <c r="AZ72"/>
  <c r="DJ72" i="33" s="1"/>
  <c r="AJ68" i="34"/>
  <c r="I38"/>
  <c r="Z38"/>
  <c r="AV40"/>
  <c r="DF40" i="33" s="1"/>
  <c r="AV72" i="34"/>
  <c r="I67"/>
  <c r="Q67" s="1"/>
  <c r="Z67"/>
  <c r="CD67" i="33" s="1"/>
  <c r="AP39" i="34"/>
  <c r="CT39" i="33" s="1"/>
  <c r="AC39" i="34"/>
  <c r="L53"/>
  <c r="BK53" s="1"/>
  <c r="AC53"/>
  <c r="AO53" s="1"/>
  <c r="CS53" i="33" s="1"/>
  <c r="AU68" i="34"/>
  <c r="DE68" i="33" s="1"/>
  <c r="Q54" i="34"/>
  <c r="BK65"/>
  <c r="T65"/>
  <c r="BN64"/>
  <c r="W64"/>
  <c r="BO64" s="1"/>
  <c r="AP66"/>
  <c r="L54"/>
  <c r="M54" s="1"/>
  <c r="V53"/>
  <c r="BN53" s="1"/>
  <c r="BM38"/>
  <c r="AM22" i="29"/>
  <c r="AM159" i="12"/>
  <c r="AM161" s="1"/>
  <c r="AM162" s="1"/>
  <c r="AP217"/>
  <c r="AP87" i="33"/>
  <c r="AP33" i="29"/>
  <c r="AP87" i="26"/>
  <c r="BB157" i="12"/>
  <c r="BB137"/>
  <c r="BB140" s="1"/>
  <c r="AP92"/>
  <c r="AP40" i="26"/>
  <c r="AP40" i="33" s="1"/>
  <c r="AM38" i="26"/>
  <c r="AM91" i="12"/>
  <c r="AM283"/>
  <c r="AM55" i="26"/>
  <c r="BB86" i="12"/>
  <c r="BB89" s="1"/>
  <c r="BB53" i="26"/>
  <c r="BB53" i="33" s="1"/>
  <c r="BB282" i="12"/>
  <c r="BB297"/>
  <c r="BB299" s="1"/>
  <c r="BB300" s="1"/>
  <c r="BB301" s="1"/>
  <c r="BB39" i="26"/>
  <c r="BB39" i="33" s="1"/>
  <c r="AP160" i="12"/>
  <c r="AP161" s="1"/>
  <c r="AP162" s="1"/>
  <c r="AP143"/>
  <c r="AM53" i="33"/>
  <c r="AP55" i="26"/>
  <c r="AP55" i="33" s="1"/>
  <c r="AP283" i="12"/>
  <c r="BB139"/>
  <c r="BB142" s="1"/>
  <c r="L55" i="26"/>
  <c r="L55" i="33" s="1"/>
  <c r="L283" i="12"/>
  <c r="L87" i="26"/>
  <c r="L87" i="33"/>
  <c r="L217" i="12"/>
  <c r="L33" i="29"/>
  <c r="AT35"/>
  <c r="AT88" i="33"/>
  <c r="AT88" i="26"/>
  <c r="BF87" i="33"/>
  <c r="BF217" i="12"/>
  <c r="BF87" i="26"/>
  <c r="BF33" i="29"/>
  <c r="K71" i="26"/>
  <c r="K71" i="33" s="1"/>
  <c r="K72" i="26"/>
  <c r="K72" i="33" s="1"/>
  <c r="K67"/>
  <c r="K73" i="26"/>
  <c r="K73" i="33" s="1"/>
  <c r="Y73" i="26"/>
  <c r="Y71"/>
  <c r="Y67" i="33"/>
  <c r="Y72" i="26"/>
  <c r="AW217" i="12"/>
  <c r="AW87" i="26"/>
  <c r="AW33" i="29"/>
  <c r="AW87" i="33"/>
  <c r="V33" i="29"/>
  <c r="V217" i="12"/>
  <c r="V87" i="26"/>
  <c r="V87" i="33"/>
  <c r="AB40" i="26"/>
  <c r="AB92" i="12"/>
  <c r="AX73" i="26"/>
  <c r="AX73" i="33" s="1"/>
  <c r="AX71" i="26"/>
  <c r="AX71" i="33" s="1"/>
  <c r="AX72" i="26"/>
  <c r="AX72" i="33" s="1"/>
  <c r="AX67"/>
  <c r="AB39"/>
  <c r="AC283" i="12"/>
  <c r="AC55" i="26"/>
  <c r="BB88"/>
  <c r="BB88" i="33"/>
  <c r="BB35" i="29"/>
  <c r="AX92" i="12"/>
  <c r="AX40" i="26"/>
  <c r="AX40" i="33" s="1"/>
  <c r="AA73" i="26"/>
  <c r="K73" i="34" s="1"/>
  <c r="AA72" i="26"/>
  <c r="K72" i="34" s="1"/>
  <c r="BO67" i="33"/>
  <c r="AA67"/>
  <c r="AA71" i="26"/>
  <c r="K71" i="34" s="1"/>
  <c r="AX22" i="29"/>
  <c r="AX159" i="12"/>
  <c r="AF87" i="33"/>
  <c r="AF33" i="29"/>
  <c r="AF217" i="12"/>
  <c r="AF87" i="26"/>
  <c r="AA87" i="33"/>
  <c r="AA33" i="29"/>
  <c r="AA87" i="26"/>
  <c r="AA217" i="12"/>
  <c r="AB143"/>
  <c r="AB160"/>
  <c r="AB161" s="1"/>
  <c r="AB162" s="1"/>
  <c r="AX283"/>
  <c r="AX55" i="26"/>
  <c r="AB87"/>
  <c r="AB217" i="12"/>
  <c r="AB33" i="29"/>
  <c r="AB87" i="33"/>
  <c r="AX87"/>
  <c r="AX217" i="12"/>
  <c r="AX33" i="29"/>
  <c r="AX87" i="26"/>
  <c r="K283" i="12"/>
  <c r="K55" i="26"/>
  <c r="BV65" i="33"/>
  <c r="DT65" s="1"/>
  <c r="AC87"/>
  <c r="AC217" i="12"/>
  <c r="AC87" i="26"/>
  <c r="AC33" i="29"/>
  <c r="AB55" i="26"/>
  <c r="AB283" i="12"/>
  <c r="AB53" i="33"/>
  <c r="AE68"/>
  <c r="K160" i="12"/>
  <c r="K161" s="1"/>
  <c r="K162" s="1"/>
  <c r="K143"/>
  <c r="AX143"/>
  <c r="AX160"/>
  <c r="Y33" i="29"/>
  <c r="Y217" i="12"/>
  <c r="Y87" i="33"/>
  <c r="Y87" i="26"/>
  <c r="Y68" i="33"/>
  <c r="CD68"/>
  <c r="K87" i="26"/>
  <c r="K33" i="29"/>
  <c r="K217" i="12"/>
  <c r="K87" i="33"/>
  <c r="BM54"/>
  <c r="AB38"/>
  <c r="BP38"/>
  <c r="BR79"/>
  <c r="AE87"/>
  <c r="AE217" i="12"/>
  <c r="AE87" i="26"/>
  <c r="AE33" i="29"/>
  <c r="BR65" i="33"/>
  <c r="AG88" i="26"/>
  <c r="AG88" i="33"/>
  <c r="AG35" i="29"/>
  <c r="DC54" i="33"/>
  <c r="AC54"/>
  <c r="K92" i="12"/>
  <c r="K40" i="26"/>
  <c r="K40" i="33" s="1"/>
  <c r="AS87" i="26"/>
  <c r="AS87" i="33"/>
  <c r="AS217" i="12"/>
  <c r="AS33" i="29"/>
  <c r="AA68" i="33"/>
  <c r="BO68"/>
  <c r="AO33" i="29"/>
  <c r="AO87" i="26"/>
  <c r="AO217" i="12"/>
  <c r="AO87" i="33"/>
  <c r="AJ33" i="29"/>
  <c r="AJ87" i="26"/>
  <c r="AJ217" i="12"/>
  <c r="AJ87" i="33"/>
  <c r="AV88" i="26"/>
  <c r="AV88" i="33"/>
  <c r="AV35" i="29"/>
  <c r="AE72" i="26"/>
  <c r="AE73"/>
  <c r="AE67" i="33"/>
  <c r="DE67"/>
  <c r="AE71" i="26"/>
  <c r="AU56" i="33"/>
  <c r="AU62" i="26"/>
  <c r="AU62" i="33" s="1"/>
  <c r="AU61" i="26"/>
  <c r="AU61" i="33" s="1"/>
  <c r="AU60" i="26"/>
  <c r="AU60" i="33" s="1"/>
  <c r="P35" i="29"/>
  <c r="P88" i="26"/>
  <c r="P88" i="33"/>
  <c r="AL38"/>
  <c r="BH88" i="26"/>
  <c r="BH88" i="33"/>
  <c r="BH35" i="29"/>
  <c r="N88" i="26"/>
  <c r="N88" i="33"/>
  <c r="N35" i="29"/>
  <c r="AL92" i="12"/>
  <c r="AL40" i="26"/>
  <c r="AU35" i="29"/>
  <c r="AU88" i="33"/>
  <c r="AU88" i="26"/>
  <c r="AY88" i="33"/>
  <c r="AY88" i="26"/>
  <c r="AY35" i="29"/>
  <c r="AN145" i="12"/>
  <c r="AN44" i="26"/>
  <c r="BH71" i="33"/>
  <c r="BH40" i="26"/>
  <c r="BH40" i="33" s="1"/>
  <c r="BH92" i="12"/>
  <c r="H88" i="26"/>
  <c r="H35" i="29"/>
  <c r="H88" i="33"/>
  <c r="BH55"/>
  <c r="BH75" i="26"/>
  <c r="AU42"/>
  <c r="AU42" i="33" s="1"/>
  <c r="BH144" i="12"/>
  <c r="AN42" i="26"/>
  <c r="AN42" i="33" s="1"/>
  <c r="AN56"/>
  <c r="AN60" i="26"/>
  <c r="AN60" i="33" s="1"/>
  <c r="AN61" i="26"/>
  <c r="AN61" i="33" s="1"/>
  <c r="AN62" i="26"/>
  <c r="AN62" i="33" s="1"/>
  <c r="BH163" i="12"/>
  <c r="BH106" i="29"/>
  <c r="BH73" i="33"/>
  <c r="BH72"/>
  <c r="AK87"/>
  <c r="AK33" i="29"/>
  <c r="AK87" i="26"/>
  <c r="AK217" i="12"/>
  <c r="BH56" i="26"/>
  <c r="BH284" i="12"/>
  <c r="BH57" i="26" s="1"/>
  <c r="BH57" i="33" s="1"/>
  <c r="DK54"/>
  <c r="T145" i="12"/>
  <c r="T44" i="26"/>
  <c r="S144" i="12"/>
  <c r="S159"/>
  <c r="S161" s="1"/>
  <c r="S162" s="1"/>
  <c r="S22" i="29"/>
  <c r="U92" i="12"/>
  <c r="U40" i="26"/>
  <c r="U40" i="33" s="1"/>
  <c r="U106" i="29"/>
  <c r="U163" i="12"/>
  <c r="BI284"/>
  <c r="BI57" i="26" s="1"/>
  <c r="BI57" i="33" s="1"/>
  <c r="BI56" i="26"/>
  <c r="AI39" i="33"/>
  <c r="CN39"/>
  <c r="CN75"/>
  <c r="AI129" i="26"/>
  <c r="AI75" i="33"/>
  <c r="AJ163" i="12"/>
  <c r="AJ106" i="29"/>
  <c r="AM72" i="33"/>
  <c r="AD40"/>
  <c r="BR40"/>
  <c r="T41" i="26"/>
  <c r="T41" i="33" s="1"/>
  <c r="T93" i="12"/>
  <c r="I62" i="26"/>
  <c r="I62" i="33" s="1"/>
  <c r="I61" i="26"/>
  <c r="I61" i="33" s="1"/>
  <c r="I56"/>
  <c r="I60" i="26"/>
  <c r="I60" i="33" s="1"/>
  <c r="BN39"/>
  <c r="Z39"/>
  <c r="S283" i="12"/>
  <c r="S55" i="26"/>
  <c r="AF55" i="33"/>
  <c r="AF75" i="26"/>
  <c r="T73" i="33"/>
  <c r="T72"/>
  <c r="I71"/>
  <c r="I72"/>
  <c r="M55" i="26"/>
  <c r="M283" i="12"/>
  <c r="M22" i="29"/>
  <c r="M159" i="12"/>
  <c r="M161" s="1"/>
  <c r="M162" s="1"/>
  <c r="M144"/>
  <c r="L146"/>
  <c r="L45" i="26"/>
  <c r="L25" i="29"/>
  <c r="CN54" i="33"/>
  <c r="CU54"/>
  <c r="S87"/>
  <c r="S217" i="12"/>
  <c r="S33" i="29"/>
  <c r="S87" i="26"/>
  <c r="AI284" i="12"/>
  <c r="AI57" i="26" s="1"/>
  <c r="AI56"/>
  <c r="AJ73" i="33"/>
  <c r="DJ73"/>
  <c r="U284" i="12"/>
  <c r="U57" i="26" s="1"/>
  <c r="U57" i="33" s="1"/>
  <c r="U56" i="26"/>
  <c r="U76" s="1"/>
  <c r="AC41" i="33"/>
  <c r="BN55"/>
  <c r="Z55"/>
  <c r="Z217" i="12"/>
  <c r="Z87" i="26"/>
  <c r="Z33" i="29"/>
  <c r="Z87" i="33"/>
  <c r="AI73" i="26"/>
  <c r="AI72"/>
  <c r="AI67" i="33"/>
  <c r="AI71" i="26"/>
  <c r="BX53" i="33"/>
  <c r="DV53" s="1"/>
  <c r="AJ56" i="26"/>
  <c r="AJ284" i="12"/>
  <c r="AJ57" i="26" s="1"/>
  <c r="AD35" i="29"/>
  <c r="AD88" i="33"/>
  <c r="AD88" i="26"/>
  <c r="I42"/>
  <c r="I42" i="33" s="1"/>
  <c r="Y92" i="12"/>
  <c r="Y40" i="26"/>
  <c r="BM38" i="33"/>
  <c r="Y38"/>
  <c r="CD38"/>
  <c r="T284" i="12"/>
  <c r="T57" i="26" s="1"/>
  <c r="T57" i="33" s="1"/>
  <c r="T56" i="26"/>
  <c r="AD56"/>
  <c r="AD284" i="12"/>
  <c r="AD57" i="26" s="1"/>
  <c r="L41"/>
  <c r="L41" i="33" s="1"/>
  <c r="L93" i="12"/>
  <c r="M87" i="33"/>
  <c r="M217" i="12"/>
  <c r="M33" i="29"/>
  <c r="M87" i="26"/>
  <c r="J87" i="33"/>
  <c r="J217" i="12"/>
  <c r="J33" i="29"/>
  <c r="J87" i="26"/>
  <c r="W217" i="12"/>
  <c r="W87" i="33"/>
  <c r="W87" i="26"/>
  <c r="W33" i="29"/>
  <c r="AI40" i="33"/>
  <c r="Z163" i="12"/>
  <c r="Z106" i="29"/>
  <c r="AF71" i="33"/>
  <c r="DF71"/>
  <c r="BI40" i="26"/>
  <c r="BI40" i="33" s="1"/>
  <c r="BI92" i="12"/>
  <c r="AF144"/>
  <c r="AF161"/>
  <c r="AF162" s="1"/>
  <c r="BI161"/>
  <c r="BI162" s="1"/>
  <c r="BC161"/>
  <c r="BC162" s="1"/>
  <c r="AC145"/>
  <c r="AC44" i="26"/>
  <c r="S38"/>
  <c r="S38" i="33" s="1"/>
  <c r="S91" i="12"/>
  <c r="M38" i="26"/>
  <c r="M38" i="33" s="1"/>
  <c r="M91" i="12"/>
  <c r="Z92"/>
  <c r="Z40" i="26"/>
  <c r="J40" i="34" s="1"/>
  <c r="BI55" i="33"/>
  <c r="BI75" i="26"/>
  <c r="I44"/>
  <c r="I44" i="33" s="1"/>
  <c r="I145" i="12"/>
  <c r="R217"/>
  <c r="R87" i="26"/>
  <c r="R33" i="29"/>
  <c r="R87" i="33"/>
  <c r="AJ144" i="12"/>
  <c r="AJ23" i="29"/>
  <c r="AM71" i="33"/>
  <c r="AM73"/>
  <c r="BC145" i="12"/>
  <c r="BC44" i="26"/>
  <c r="AJ40"/>
  <c r="AJ92" i="12"/>
  <c r="AJ38" i="33"/>
  <c r="AD41" i="26"/>
  <c r="AD93" i="12"/>
  <c r="AZ88" i="26"/>
  <c r="AZ88" i="33"/>
  <c r="AZ35" i="29"/>
  <c r="R72" i="26"/>
  <c r="R72" i="33" s="1"/>
  <c r="R71" i="26"/>
  <c r="R71" i="33" s="1"/>
  <c r="R67"/>
  <c r="R73" i="26"/>
  <c r="R73" i="33" s="1"/>
  <c r="AF284" i="12"/>
  <c r="AF57" i="26" s="1"/>
  <c r="AF56"/>
  <c r="T88" i="33"/>
  <c r="T88" i="26"/>
  <c r="T35" i="29"/>
  <c r="AI217" i="12"/>
  <c r="AI33" i="29"/>
  <c r="AI87" i="26"/>
  <c r="AI87" i="33"/>
  <c r="T71"/>
  <c r="U87"/>
  <c r="U33" i="29"/>
  <c r="U217" i="12"/>
  <c r="U87" i="26"/>
  <c r="I77"/>
  <c r="I77" i="33" s="1"/>
  <c r="I76"/>
  <c r="I73"/>
  <c r="X88" i="26"/>
  <c r="X35" i="29"/>
  <c r="X88" i="33"/>
  <c r="T163" i="12"/>
  <c r="T106" i="29"/>
  <c r="AI143" i="12"/>
  <c r="AI160"/>
  <c r="AI161" s="1"/>
  <c r="AI162" s="1"/>
  <c r="L44" i="33"/>
  <c r="L122" i="26"/>
  <c r="BL39" i="33"/>
  <c r="AH88" i="26"/>
  <c r="AH35" i="29"/>
  <c r="AH88" i="33"/>
  <c r="BW53"/>
  <c r="AI55"/>
  <c r="AJ71"/>
  <c r="DJ71"/>
  <c r="AJ72"/>
  <c r="AC42" i="26"/>
  <c r="Z56"/>
  <c r="J56" i="34" s="1"/>
  <c r="Z284" i="12"/>
  <c r="Z57" i="26" s="1"/>
  <c r="J57" i="34" s="1"/>
  <c r="AI68" i="33"/>
  <c r="CN68"/>
  <c r="AJ55"/>
  <c r="DJ55"/>
  <c r="AJ75" i="26"/>
  <c r="T55" i="33"/>
  <c r="T75" i="26"/>
  <c r="DD55" i="33"/>
  <c r="AD55"/>
  <c r="BR55"/>
  <c r="AD145" i="12"/>
  <c r="AD44" i="26"/>
  <c r="AI93" i="12"/>
  <c r="AI41" i="26"/>
  <c r="BW38" i="33"/>
  <c r="Z144" i="12"/>
  <c r="Z23" i="29"/>
  <c r="AF40" i="33"/>
  <c r="AF41" i="26"/>
  <c r="AF93" i="12"/>
  <c r="AF72" i="33"/>
  <c r="DF72"/>
  <c r="AF73"/>
  <c r="U23" i="29"/>
  <c r="U144" i="12"/>
  <c r="J163"/>
  <c r="J106" i="29"/>
  <c r="H106"/>
  <c r="H163" i="12"/>
  <c r="AS163"/>
  <c r="AS106" i="29"/>
  <c r="BE106"/>
  <c r="BE163" i="12"/>
  <c r="AK106" i="29"/>
  <c r="AK163" i="12"/>
  <c r="AR71" i="33"/>
  <c r="AR72"/>
  <c r="BR66"/>
  <c r="DW66" s="1"/>
  <c r="BB73" i="26"/>
  <c r="BB72"/>
  <c r="BB67" i="33"/>
  <c r="BB71" i="26"/>
  <c r="AK72" i="33"/>
  <c r="AS41" i="26"/>
  <c r="AS41" i="33" s="1"/>
  <c r="AS93" i="12"/>
  <c r="BF55" i="33"/>
  <c r="BF75" i="26"/>
  <c r="AK93" i="12"/>
  <c r="AK41" i="26"/>
  <c r="BA88"/>
  <c r="BA88" i="33"/>
  <c r="BA35" i="29"/>
  <c r="BD56" i="26"/>
  <c r="BD284" i="12"/>
  <c r="BD57" i="26" s="1"/>
  <c r="BD57" i="33" s="1"/>
  <c r="AS71"/>
  <c r="AS72"/>
  <c r="AN66"/>
  <c r="AN75" i="26"/>
  <c r="BA77"/>
  <c r="BA77" i="33" s="1"/>
  <c r="BA130" i="26"/>
  <c r="BA76" i="33"/>
  <c r="BA71"/>
  <c r="BA73"/>
  <c r="H56" i="26"/>
  <c r="H284" i="12"/>
  <c r="H57" i="26" s="1"/>
  <c r="H57" i="33" s="1"/>
  <c r="O46" i="26"/>
  <c r="O46" i="33" s="1"/>
  <c r="AU66"/>
  <c r="AU75" i="26"/>
  <c r="J55" i="33"/>
  <c r="AV56" i="26"/>
  <c r="AV284" i="12"/>
  <c r="AV57" i="26" s="1"/>
  <c r="AV57" i="33" s="1"/>
  <c r="H73"/>
  <c r="AY284" i="12"/>
  <c r="AY57" i="26" s="1"/>
  <c r="AY57" i="33" s="1"/>
  <c r="AY56" i="26"/>
  <c r="H23" i="29"/>
  <c r="H144" i="12"/>
  <c r="AT23" i="29"/>
  <c r="AT144" i="12"/>
  <c r="AL368"/>
  <c r="AL68" i="26" s="1"/>
  <c r="AL67"/>
  <c r="W72" i="33"/>
  <c r="W71"/>
  <c r="BE56" i="26"/>
  <c r="BE284" i="12"/>
  <c r="BE57" i="26" s="1"/>
  <c r="BE57" i="33" s="1"/>
  <c r="P163" i="12"/>
  <c r="P106" i="29"/>
  <c r="AO92" i="12"/>
  <c r="AO40" i="26"/>
  <c r="AO40" i="33" s="1"/>
  <c r="H92" i="12"/>
  <c r="H40" i="26"/>
  <c r="H40" i="33" s="1"/>
  <c r="V40" i="26"/>
  <c r="V40" i="33" s="1"/>
  <c r="V92" i="12"/>
  <c r="AE38" i="33"/>
  <c r="AR106" i="29"/>
  <c r="AR163" i="12"/>
  <c r="AP67" i="26"/>
  <c r="AP368" i="12"/>
  <c r="AP68" i="26" s="1"/>
  <c r="AP68" i="33" s="1"/>
  <c r="BN66"/>
  <c r="Z66"/>
  <c r="Z75" i="26"/>
  <c r="J75" i="34" s="1"/>
  <c r="BS53" i="33"/>
  <c r="BT53"/>
  <c r="AO56" i="26"/>
  <c r="AO284" i="12"/>
  <c r="AO57" i="26" s="1"/>
  <c r="AO57" i="33" s="1"/>
  <c r="N25" i="29"/>
  <c r="N45" i="26"/>
  <c r="N146" i="12"/>
  <c r="X66" i="33"/>
  <c r="BV53"/>
  <c r="AB68"/>
  <c r="AS284" i="12"/>
  <c r="AS57" i="26" s="1"/>
  <c r="AS57" i="33" s="1"/>
  <c r="AS56" i="26"/>
  <c r="AO72" i="33"/>
  <c r="AM44" i="26"/>
  <c r="AM145" i="12"/>
  <c r="P93"/>
  <c r="P41" i="26"/>
  <c r="P41" i="33" s="1"/>
  <c r="AD68"/>
  <c r="V55"/>
  <c r="DE39"/>
  <c r="AR55"/>
  <c r="AR75" i="26"/>
  <c r="Q55" i="33"/>
  <c r="Q75" i="26"/>
  <c r="Q73" i="33"/>
  <c r="BA62" i="26"/>
  <c r="BA62" i="33" s="1"/>
  <c r="BA56"/>
  <c r="BA60" i="26"/>
  <c r="BA60" i="33" s="1"/>
  <c r="BA61" i="26"/>
  <c r="BA61" i="33" s="1"/>
  <c r="AY23" i="29"/>
  <c r="AY144" i="12"/>
  <c r="L67" i="26"/>
  <c r="L368" i="12"/>
  <c r="L68" i="26" s="1"/>
  <c r="L68" i="33" s="1"/>
  <c r="AW55"/>
  <c r="AW75" i="26"/>
  <c r="BZ64" i="33"/>
  <c r="DK55"/>
  <c r="AK55"/>
  <c r="AK75" i="26"/>
  <c r="O42"/>
  <c r="O42" i="33" s="1"/>
  <c r="R106" i="29"/>
  <c r="R163" i="12"/>
  <c r="R44" i="26"/>
  <c r="R145" i="12"/>
  <c r="AW40" i="26"/>
  <c r="AW40" i="33" s="1"/>
  <c r="AW92" i="12"/>
  <c r="Q122" i="26"/>
  <c r="Q44" i="33"/>
  <c r="BG56"/>
  <c r="BG61" i="26"/>
  <c r="BG60"/>
  <c r="BG62"/>
  <c r="BG76"/>
  <c r="AW71" i="33"/>
  <c r="P73"/>
  <c r="AE284" i="12"/>
  <c r="AE57" i="26" s="1"/>
  <c r="AE56"/>
  <c r="P55" i="33"/>
  <c r="P75" i="26"/>
  <c r="BF72" i="33"/>
  <c r="BF71"/>
  <c r="J41" i="26"/>
  <c r="J41" i="33" s="1"/>
  <c r="J93" i="12"/>
  <c r="BG45" i="26"/>
  <c r="BG25" i="29"/>
  <c r="S71" i="33"/>
  <c r="S72"/>
  <c r="BD71"/>
  <c r="BD72"/>
  <c r="BU38"/>
  <c r="CC64"/>
  <c r="CU64"/>
  <c r="BL64"/>
  <c r="DS64" s="1"/>
  <c r="CV64"/>
  <c r="AH284" i="12"/>
  <c r="AH57" i="26" s="1"/>
  <c r="AH56"/>
  <c r="CG66" i="33"/>
  <c r="AZ56" i="26"/>
  <c r="AZ284" i="12"/>
  <c r="AZ57" i="26" s="1"/>
  <c r="AZ57" i="33" s="1"/>
  <c r="AH71"/>
  <c r="O72"/>
  <c r="N55"/>
  <c r="N75" i="26"/>
  <c r="BF40"/>
  <c r="BF40" i="33" s="1"/>
  <c r="BF92" i="12"/>
  <c r="V106" i="29"/>
  <c r="V163" i="12"/>
  <c r="AR92"/>
  <c r="AR40" i="26"/>
  <c r="AR40" i="33" s="1"/>
  <c r="BA106" i="29"/>
  <c r="BA163" i="12"/>
  <c r="AO144"/>
  <c r="AO161"/>
  <c r="AO162" s="1"/>
  <c r="BF144"/>
  <c r="BF161"/>
  <c r="BF162" s="1"/>
  <c r="CT66" i="33"/>
  <c r="BD161" i="12"/>
  <c r="BD162" s="1"/>
  <c r="AW144"/>
  <c r="AM106" i="29"/>
  <c r="AM163" i="12"/>
  <c r="AY163"/>
  <c r="AY106" i="29"/>
  <c r="AR73" i="33"/>
  <c r="AD129" i="26"/>
  <c r="AD75" i="33"/>
  <c r="Q93" i="12"/>
  <c r="Q41" i="26"/>
  <c r="Q41" i="33" s="1"/>
  <c r="DK73"/>
  <c r="AK73"/>
  <c r="DK71"/>
  <c r="AK71"/>
  <c r="BF284" i="12"/>
  <c r="BF57" i="26" s="1"/>
  <c r="BF57" i="33" s="1"/>
  <c r="BF56" i="26"/>
  <c r="DK40" i="33"/>
  <c r="AK40"/>
  <c r="BD55"/>
  <c r="BD75" i="26"/>
  <c r="AS73" i="33"/>
  <c r="U73" i="26"/>
  <c r="U71"/>
  <c r="U67" i="33"/>
  <c r="U72" i="26"/>
  <c r="AN67"/>
  <c r="AN368" i="12"/>
  <c r="AN68" i="26" s="1"/>
  <c r="AN68" i="33" s="1"/>
  <c r="BA72"/>
  <c r="H55"/>
  <c r="H75" i="26"/>
  <c r="H75" i="33" s="1"/>
  <c r="J23" i="29"/>
  <c r="J144" i="12"/>
  <c r="O107" i="29"/>
  <c r="O110" s="1"/>
  <c r="O49" i="26"/>
  <c r="O50"/>
  <c r="O50" i="33" s="1"/>
  <c r="O123" i="26"/>
  <c r="O51"/>
  <c r="O51" i="33" s="1"/>
  <c r="O45"/>
  <c r="N93" i="12"/>
  <c r="N41" i="26"/>
  <c r="N41" i="33" s="1"/>
  <c r="AU368" i="12"/>
  <c r="AU68" i="26" s="1"/>
  <c r="AU68" i="33" s="1"/>
  <c r="AU67" i="26"/>
  <c r="J284" i="12"/>
  <c r="J57" i="26" s="1"/>
  <c r="J57" i="33" s="1"/>
  <c r="J56" i="26"/>
  <c r="AU46"/>
  <c r="AU46" i="33" s="1"/>
  <c r="AU45"/>
  <c r="AU50" i="26"/>
  <c r="AU50" i="33" s="1"/>
  <c r="AU107" i="29"/>
  <c r="AU110" s="1"/>
  <c r="AU51" i="26"/>
  <c r="AU51" i="33" s="1"/>
  <c r="AU49" i="26"/>
  <c r="AU123"/>
  <c r="AV55" i="33"/>
  <c r="AV75" i="26"/>
  <c r="H71" i="33"/>
  <c r="H72"/>
  <c r="AY55"/>
  <c r="AY75" i="26"/>
  <c r="AL66" i="33"/>
  <c r="DL66"/>
  <c r="W73"/>
  <c r="BY53"/>
  <c r="DW53" s="1"/>
  <c r="BE55"/>
  <c r="BE75" i="26"/>
  <c r="P145" i="12"/>
  <c r="P44" i="26"/>
  <c r="BD40"/>
  <c r="BD40" i="33" s="1"/>
  <c r="BD92" i="12"/>
  <c r="AE40" i="26"/>
  <c r="AE92" i="12"/>
  <c r="AR44" i="26"/>
  <c r="AR145" i="12"/>
  <c r="AP66" i="33"/>
  <c r="AP75" i="26"/>
  <c r="Z368" i="12"/>
  <c r="Z68" i="26" s="1"/>
  <c r="J68" i="34" s="1"/>
  <c r="Z67" i="26"/>
  <c r="J67" i="34" s="1"/>
  <c r="DE53" i="33"/>
  <c r="M71" i="26"/>
  <c r="M67" i="33"/>
  <c r="M73" i="26"/>
  <c r="M72"/>
  <c r="AS23" i="29"/>
  <c r="AS144" i="12"/>
  <c r="BE23" i="29"/>
  <c r="BE144" i="12"/>
  <c r="BG41" i="26"/>
  <c r="BG41" i="33" s="1"/>
  <c r="O61" i="26"/>
  <c r="O61" i="33" s="1"/>
  <c r="O62" i="26"/>
  <c r="O62" i="33" s="1"/>
  <c r="O60" i="26"/>
  <c r="O60" i="33" s="1"/>
  <c r="O56"/>
  <c r="AO55"/>
  <c r="AO75" i="26"/>
  <c r="N44" i="33"/>
  <c r="N122" i="26"/>
  <c r="X368" i="12"/>
  <c r="X68" i="26" s="1"/>
  <c r="X67"/>
  <c r="AB72"/>
  <c r="AB67" i="33"/>
  <c r="AB71" i="26"/>
  <c r="AB73"/>
  <c r="AK23" i="29"/>
  <c r="AK144" i="12"/>
  <c r="AS55" i="33"/>
  <c r="AS75" i="26"/>
  <c r="AO71" i="33"/>
  <c r="AO73"/>
  <c r="O75"/>
  <c r="O129" i="26"/>
  <c r="BA42"/>
  <c r="BA42" i="33" s="1"/>
  <c r="AY41" i="26"/>
  <c r="AY41" i="33" s="1"/>
  <c r="AY93" i="12"/>
  <c r="AD67" i="33"/>
  <c r="AD73" i="26"/>
  <c r="AD71"/>
  <c r="AD72"/>
  <c r="AD76"/>
  <c r="V284" i="12"/>
  <c r="V57" i="26" s="1"/>
  <c r="V57" i="33" s="1"/>
  <c r="V56" i="26"/>
  <c r="BY38" i="33"/>
  <c r="DW38" s="1"/>
  <c r="AR56" i="26"/>
  <c r="AR284" i="12"/>
  <c r="AR57" i="26" s="1"/>
  <c r="AR57" i="33" s="1"/>
  <c r="U75"/>
  <c r="U129" i="26"/>
  <c r="Q284" i="12"/>
  <c r="Q57" i="26" s="1"/>
  <c r="Q57" i="33" s="1"/>
  <c r="Q56" i="26"/>
  <c r="Q72" i="33"/>
  <c r="Q71"/>
  <c r="L66"/>
  <c r="L75" i="26"/>
  <c r="AW56"/>
  <c r="AW284" i="12"/>
  <c r="AW57" i="26" s="1"/>
  <c r="AW57" i="33" s="1"/>
  <c r="AK284" i="12"/>
  <c r="AK57" i="26" s="1"/>
  <c r="AK56"/>
  <c r="AH145" i="12"/>
  <c r="AH44" i="26"/>
  <c r="AH163" i="12"/>
  <c r="AH106" i="29"/>
  <c r="AV44" i="26"/>
  <c r="AV145" i="12"/>
  <c r="AV163"/>
  <c r="BS64" i="33"/>
  <c r="BT64"/>
  <c r="Q146" i="12"/>
  <c r="Q25" i="29"/>
  <c r="Q45" i="26"/>
  <c r="BG55" i="33"/>
  <c r="BG75" i="26"/>
  <c r="AW72" i="33"/>
  <c r="AW73"/>
  <c r="P72"/>
  <c r="P71"/>
  <c r="AE55"/>
  <c r="AE75" i="26"/>
  <c r="P284" i="12"/>
  <c r="P57" i="26" s="1"/>
  <c r="P57" i="33" s="1"/>
  <c r="P56" i="26"/>
  <c r="BF73" i="33"/>
  <c r="BG44"/>
  <c r="BG122" i="26"/>
  <c r="S73" i="33"/>
  <c r="BD73"/>
  <c r="BE41" i="26"/>
  <c r="BE41" i="33" s="1"/>
  <c r="BE93" i="12"/>
  <c r="CL38" i="33"/>
  <c r="AG40"/>
  <c r="AG93" i="12"/>
  <c r="AG41" i="26"/>
  <c r="AH55" i="33"/>
  <c r="CM55"/>
  <c r="AH75" i="26"/>
  <c r="BP66" i="33"/>
  <c r="AZ55"/>
  <c r="AZ75" i="26"/>
  <c r="CM72" i="33"/>
  <c r="AH72"/>
  <c r="AH73"/>
  <c r="O73"/>
  <c r="O82" s="1"/>
  <c r="O71"/>
  <c r="N284" i="12"/>
  <c r="N57" i="26" s="1"/>
  <c r="N57" i="33" s="1"/>
  <c r="N56" i="26"/>
  <c r="AZ92" i="12"/>
  <c r="AZ40" i="26"/>
  <c r="AZ40" i="33" s="1"/>
  <c r="AH38"/>
  <c r="CM38"/>
  <c r="AH92" i="12"/>
  <c r="AH40" i="26"/>
  <c r="V145" i="12"/>
  <c r="V44" i="26"/>
  <c r="AQ145" i="12"/>
  <c r="AQ44" i="26"/>
  <c r="AV92" i="12"/>
  <c r="AV40" i="26"/>
  <c r="AV40" i="33" s="1"/>
  <c r="BA23" i="29"/>
  <c r="BA144" i="12"/>
  <c r="AZ144"/>
  <c r="AZ161"/>
  <c r="AZ162" s="1"/>
  <c r="AE144"/>
  <c r="AE161"/>
  <c r="AE162" s="1"/>
  <c r="O76" i="26"/>
  <c r="BD144" i="12"/>
  <c r="AW161"/>
  <c r="AW162" s="1"/>
  <c r="BE88" i="26" l="1"/>
  <c r="BE35" i="29"/>
  <c r="BE88" i="33"/>
  <c r="V52" i="34"/>
  <c r="BY52" i="33"/>
  <c r="DW52" s="1"/>
  <c r="BM52" i="34"/>
  <c r="BM37"/>
  <c r="BY37" i="33"/>
  <c r="DW37" s="1"/>
  <c r="V37" i="34"/>
  <c r="BM28"/>
  <c r="V28"/>
  <c r="BY28" i="33"/>
  <c r="DW28" s="1"/>
  <c r="BM43" i="34"/>
  <c r="V43"/>
  <c r="BY43" i="33"/>
  <c r="DW43" s="1"/>
  <c r="BM63" i="34"/>
  <c r="V63"/>
  <c r="BY63" i="33"/>
  <c r="DW63" s="1"/>
  <c r="CG53"/>
  <c r="DU66"/>
  <c r="CA70"/>
  <c r="DY70" s="1"/>
  <c r="DU38"/>
  <c r="I82" i="26"/>
  <c r="AO66" i="34"/>
  <c r="CS66" i="33" s="1"/>
  <c r="Y159" i="12"/>
  <c r="AA159"/>
  <c r="AA22" i="29"/>
  <c r="AA161" i="12"/>
  <c r="AA162" s="1"/>
  <c r="AA163" s="1"/>
  <c r="K53" i="34"/>
  <c r="BO53" i="33" s="1"/>
  <c r="AA53"/>
  <c r="K39" i="34"/>
  <c r="BO39" i="33" s="1"/>
  <c r="AA39"/>
  <c r="AA23" i="29"/>
  <c r="AA144" i="12"/>
  <c r="AA283"/>
  <c r="AA55" i="26"/>
  <c r="AA91" i="12"/>
  <c r="AA38" i="26"/>
  <c r="W144" i="12"/>
  <c r="W159"/>
  <c r="W161" s="1"/>
  <c r="W162" s="1"/>
  <c r="W22" i="29"/>
  <c r="V367" i="12"/>
  <c r="V66" i="26"/>
  <c r="U47" i="34"/>
  <c r="BL47"/>
  <c r="BX47" i="33"/>
  <c r="DV47" s="1"/>
  <c r="P47" i="34"/>
  <c r="BT47" i="33" s="1"/>
  <c r="BS47"/>
  <c r="BL69" i="34"/>
  <c r="U69"/>
  <c r="BX69" i="33"/>
  <c r="DV69" s="1"/>
  <c r="I53" i="34"/>
  <c r="Z53"/>
  <c r="CD53" i="33" s="1"/>
  <c r="Y53"/>
  <c r="W55" i="26"/>
  <c r="W283" i="12"/>
  <c r="AH68" i="34"/>
  <c r="CL68" i="33" s="1"/>
  <c r="AG68"/>
  <c r="P58" i="34"/>
  <c r="BT58" i="33" s="1"/>
  <c r="BS58"/>
  <c r="P69" i="34"/>
  <c r="BT69" i="33" s="1"/>
  <c r="BS69"/>
  <c r="AC66" i="26"/>
  <c r="AC367" i="12"/>
  <c r="Y161"/>
  <c r="Y162" s="1"/>
  <c r="W38" i="26"/>
  <c r="W38" i="33" s="1"/>
  <c r="W91" i="12"/>
  <c r="T78" i="34"/>
  <c r="BK78"/>
  <c r="BW78" i="33"/>
  <c r="DU78" s="1"/>
  <c r="Y144" i="12"/>
  <c r="Y23" i="29"/>
  <c r="P78" i="34"/>
  <c r="BT78" i="33" s="1"/>
  <c r="BS78"/>
  <c r="AM35" i="29"/>
  <c r="AM88" i="26"/>
  <c r="AM88" i="33"/>
  <c r="Y55" i="26"/>
  <c r="Y283" i="12"/>
  <c r="U58" i="34"/>
  <c r="BL58"/>
  <c r="BX58" i="33"/>
  <c r="DV58" s="1"/>
  <c r="AG71" i="26"/>
  <c r="AG67" i="33"/>
  <c r="AH67" i="34"/>
  <c r="CL67" i="33" s="1"/>
  <c r="AG72" i="26"/>
  <c r="AG73"/>
  <c r="I39" i="34"/>
  <c r="Y39" i="33"/>
  <c r="Z39" i="34"/>
  <c r="CD39" i="33" s="1"/>
  <c r="AS64" i="34"/>
  <c r="BE64"/>
  <c r="DO64" i="33" s="1"/>
  <c r="M64" i="34"/>
  <c r="BG64" s="1"/>
  <c r="AC64" i="33"/>
  <c r="J367" i="12"/>
  <c r="J66" i="26"/>
  <c r="AT38"/>
  <c r="AT38" i="33" s="1"/>
  <c r="BC38" i="26"/>
  <c r="BC38" i="33" s="1"/>
  <c r="BC91" i="12"/>
  <c r="BC40" i="26" s="1"/>
  <c r="BC40" i="33" s="1"/>
  <c r="BD39" i="34"/>
  <c r="DN39" i="33" s="1"/>
  <c r="AT91" i="12"/>
  <c r="AT40" i="26" s="1"/>
  <c r="AT40" i="33" s="1"/>
  <c r="R38" i="26"/>
  <c r="R38" i="33" s="1"/>
  <c r="R91" i="12"/>
  <c r="AL159"/>
  <c r="AL161" s="1"/>
  <c r="AL162" s="1"/>
  <c r="AL22" i="29"/>
  <c r="AL144" i="12"/>
  <c r="R283"/>
  <c r="R55" i="26"/>
  <c r="BB53" i="34"/>
  <c r="DL53" i="33" s="1"/>
  <c r="AL53"/>
  <c r="BC283" i="12"/>
  <c r="BC55" i="26"/>
  <c r="AT22" i="29"/>
  <c r="AT159" i="12"/>
  <c r="AT161" s="1"/>
  <c r="AT162" s="1"/>
  <c r="BC67" i="33"/>
  <c r="BC73" i="26"/>
  <c r="BC73" i="33" s="1"/>
  <c r="BC71" i="26"/>
  <c r="BC71" i="33" s="1"/>
  <c r="BC72" i="26"/>
  <c r="BC72" i="33" s="1"/>
  <c r="AQ72" i="26"/>
  <c r="AQ72" i="33" s="1"/>
  <c r="AQ67"/>
  <c r="AQ71" i="26"/>
  <c r="AQ71" i="33" s="1"/>
  <c r="AQ73" i="26"/>
  <c r="AQ73" i="33" s="1"/>
  <c r="AL283" i="12"/>
  <c r="AL55" i="26"/>
  <c r="BE55" i="34" s="1"/>
  <c r="DO55" i="33" s="1"/>
  <c r="AT55" i="26"/>
  <c r="AT283" i="12"/>
  <c r="BA81" i="26"/>
  <c r="BA81" i="33" s="1"/>
  <c r="CG39"/>
  <c r="L68" i="34"/>
  <c r="BP68" i="33" s="1"/>
  <c r="O80" i="26"/>
  <c r="O82"/>
  <c r="I82" i="33"/>
  <c r="I81" i="26"/>
  <c r="I81" i="33" s="1"/>
  <c r="I80" i="26"/>
  <c r="I80" i="33" s="1"/>
  <c r="BN38" i="34"/>
  <c r="BL48"/>
  <c r="U48"/>
  <c r="BX48" i="33"/>
  <c r="DV48" s="1"/>
  <c r="BK79" i="34"/>
  <c r="T79"/>
  <c r="BW79" i="33"/>
  <c r="DU79" s="1"/>
  <c r="BL59" i="34"/>
  <c r="U59"/>
  <c r="BX59" i="33"/>
  <c r="DV59" s="1"/>
  <c r="AQ92" i="12"/>
  <c r="AQ40" i="26"/>
  <c r="AQ40" i="33" s="1"/>
  <c r="AQ163" i="12"/>
  <c r="AQ106" i="29"/>
  <c r="AQ284" i="12"/>
  <c r="AQ57" i="26" s="1"/>
  <c r="AQ57" i="33" s="1"/>
  <c r="AQ56" i="26"/>
  <c r="AQ55" i="33"/>
  <c r="AQ75" i="26"/>
  <c r="X283" i="12"/>
  <c r="X55" i="26"/>
  <c r="AP55" i="34" s="1"/>
  <c r="CT55" i="33" s="1"/>
  <c r="H53" i="34"/>
  <c r="BL53" i="33" s="1"/>
  <c r="Y53" i="34"/>
  <c r="CC53" i="33" s="1"/>
  <c r="X53"/>
  <c r="H38" i="34"/>
  <c r="AR38" s="1"/>
  <c r="CV38" i="33" s="1"/>
  <c r="Y38" i="34"/>
  <c r="CC38" i="33" s="1"/>
  <c r="X38"/>
  <c r="X159" i="12"/>
  <c r="X161" s="1"/>
  <c r="X162" s="1"/>
  <c r="X22" i="29"/>
  <c r="X144" i="12"/>
  <c r="X40" i="26"/>
  <c r="AP40" i="34" s="1"/>
  <c r="CT40" i="33" s="1"/>
  <c r="X92" i="12"/>
  <c r="AG44" i="26"/>
  <c r="AG145" i="12"/>
  <c r="AG106" i="29"/>
  <c r="AG163" i="12"/>
  <c r="Q55" i="34"/>
  <c r="AG55" i="33"/>
  <c r="AG75" i="26"/>
  <c r="AH55" i="34"/>
  <c r="CL55" i="33" s="1"/>
  <c r="AG56" i="26"/>
  <c r="AG284" i="12"/>
  <c r="AG57" i="26" s="1"/>
  <c r="BU53" i="33"/>
  <c r="AR54" i="34"/>
  <c r="CV54" i="33" s="1"/>
  <c r="BG54" i="34"/>
  <c r="N54"/>
  <c r="O54" s="1"/>
  <c r="P54" s="1"/>
  <c r="R40"/>
  <c r="AI40"/>
  <c r="CM40" i="33" s="1"/>
  <c r="R44" i="34"/>
  <c r="AI44"/>
  <c r="CM44" i="33" s="1"/>
  <c r="BA57" i="34"/>
  <c r="AT72"/>
  <c r="DD72" i="33" s="1"/>
  <c r="AT73" i="34"/>
  <c r="AC71"/>
  <c r="AC72"/>
  <c r="H67"/>
  <c r="BI67" s="1"/>
  <c r="Y67"/>
  <c r="AQ67" s="1"/>
  <c r="AI57"/>
  <c r="CM57" i="33" s="1"/>
  <c r="AU57" i="34"/>
  <c r="U75"/>
  <c r="BM75" s="1"/>
  <c r="BA75"/>
  <c r="BB68"/>
  <c r="DL68" i="33" s="1"/>
  <c r="N44" i="34"/>
  <c r="BR44" i="33" s="1"/>
  <c r="AT44" i="34"/>
  <c r="T75"/>
  <c r="BX75" i="33" s="1"/>
  <c r="AZ75" i="34"/>
  <c r="DJ75" i="33" s="1"/>
  <c r="AV57" i="34"/>
  <c r="T40"/>
  <c r="BL40" s="1"/>
  <c r="AZ40"/>
  <c r="AT57"/>
  <c r="DD57" i="33" s="1"/>
  <c r="I40" i="34"/>
  <c r="BM40" i="33" s="1"/>
  <c r="Z40" i="34"/>
  <c r="CD40" i="33" s="1"/>
  <c r="AZ56" i="34"/>
  <c r="DJ56" i="33" s="1"/>
  <c r="AJ71" i="34"/>
  <c r="S73"/>
  <c r="BW73" i="33" s="1"/>
  <c r="AJ73" i="34"/>
  <c r="CN73" i="33" s="1"/>
  <c r="AJ57" i="34"/>
  <c r="AV75"/>
  <c r="DF75" i="33" s="1"/>
  <c r="AU73" i="34"/>
  <c r="DE73" i="33" s="1"/>
  <c r="L55" i="34"/>
  <c r="BK55" s="1"/>
  <c r="AC55"/>
  <c r="CG55" i="33" s="1"/>
  <c r="M55" i="34"/>
  <c r="BL55" s="1"/>
  <c r="AS55"/>
  <c r="DC55" i="33" s="1"/>
  <c r="L40" i="34"/>
  <c r="BK40" s="1"/>
  <c r="AC40"/>
  <c r="BC55"/>
  <c r="DM55" i="33" s="1"/>
  <c r="W38" i="34"/>
  <c r="BC38"/>
  <c r="BD38" s="1"/>
  <c r="DN38" i="33" s="1"/>
  <c r="BI54" i="34"/>
  <c r="R54"/>
  <c r="R67"/>
  <c r="R68"/>
  <c r="BN66"/>
  <c r="W66"/>
  <c r="BO66" s="1"/>
  <c r="AR53"/>
  <c r="CV53" i="33" s="1"/>
  <c r="BJ38" i="34"/>
  <c r="BM40"/>
  <c r="BE38"/>
  <c r="DO38" i="33" s="1"/>
  <c r="W53" i="34"/>
  <c r="BO53" s="1"/>
  <c r="AP67"/>
  <c r="CT67" i="33" s="1"/>
  <c r="R75" i="34"/>
  <c r="AI75"/>
  <c r="AH41"/>
  <c r="AU75"/>
  <c r="O75"/>
  <c r="P75" s="1"/>
  <c r="BA56"/>
  <c r="AT76"/>
  <c r="DD76" i="33" s="1"/>
  <c r="AT71" i="34"/>
  <c r="AC73"/>
  <c r="H68"/>
  <c r="BI68" s="1"/>
  <c r="Y68"/>
  <c r="AU40"/>
  <c r="O40"/>
  <c r="P40" s="1"/>
  <c r="AI56"/>
  <c r="AU56"/>
  <c r="BC44"/>
  <c r="BB67"/>
  <c r="DL67" i="33" s="1"/>
  <c r="BA41" i="34"/>
  <c r="AV41"/>
  <c r="DF41" i="33" s="1"/>
  <c r="AJ41" i="34"/>
  <c r="CN41" i="33" s="1"/>
  <c r="AS42" i="34"/>
  <c r="DC42" i="33" s="1"/>
  <c r="AV56" i="34"/>
  <c r="DF56" i="33" s="1"/>
  <c r="AT41" i="34"/>
  <c r="DD41" i="33" s="1"/>
  <c r="AS44" i="34"/>
  <c r="DC44" i="33" s="1"/>
  <c r="M44" i="34"/>
  <c r="BQ44" i="33" s="1"/>
  <c r="AT56" i="34"/>
  <c r="DD56" i="33" s="1"/>
  <c r="AZ57" i="34"/>
  <c r="DJ57" i="33" s="1"/>
  <c r="AJ72" i="34"/>
  <c r="CN72" i="33" s="1"/>
  <c r="AI76" i="26"/>
  <c r="AI76" i="33" s="1"/>
  <c r="AJ56" i="34"/>
  <c r="CN56" i="33" s="1"/>
  <c r="V40" i="34"/>
  <c r="BB40"/>
  <c r="DL40" i="33" s="1"/>
  <c r="AU71" i="34"/>
  <c r="DE71" i="33" s="1"/>
  <c r="AU72" i="34"/>
  <c r="DE72" i="33" s="1"/>
  <c r="I72" i="34"/>
  <c r="Q72" s="1"/>
  <c r="Z72"/>
  <c r="CD72" i="33" s="1"/>
  <c r="I71" i="34"/>
  <c r="Z71"/>
  <c r="CD71" i="33" s="1"/>
  <c r="I73" i="34"/>
  <c r="BJ73" s="1"/>
  <c r="Z73"/>
  <c r="CD73" i="33" s="1"/>
  <c r="BL65" i="34"/>
  <c r="U65"/>
  <c r="AR66"/>
  <c r="CV66" i="33" s="1"/>
  <c r="BI66" i="34"/>
  <c r="BD54"/>
  <c r="DN54" i="33" s="1"/>
  <c r="BF54" i="34"/>
  <c r="DP54" i="33" s="1"/>
  <c r="P38" i="34"/>
  <c r="BT38" i="33" s="1"/>
  <c r="AP68" i="34"/>
  <c r="AO38"/>
  <c r="BM55"/>
  <c r="L67"/>
  <c r="BP67" i="33" s="1"/>
  <c r="AP106" i="29"/>
  <c r="AP163" i="12"/>
  <c r="AP56" i="26"/>
  <c r="AP76" s="1"/>
  <c r="AP284" i="12"/>
  <c r="AP57" i="26" s="1"/>
  <c r="AP57" i="33" s="1"/>
  <c r="AP144" i="12"/>
  <c r="AP23" i="29"/>
  <c r="AM55" i="33"/>
  <c r="AM75" i="26"/>
  <c r="AM38" i="33"/>
  <c r="BB143" i="12"/>
  <c r="BB23" i="29" s="1"/>
  <c r="BB160" i="12"/>
  <c r="AP88" i="33"/>
  <c r="AP88" i="26"/>
  <c r="AP35" i="29"/>
  <c r="BB22"/>
  <c r="BB159" i="12"/>
  <c r="BB55" i="26"/>
  <c r="BB283" i="12"/>
  <c r="BB91"/>
  <c r="BB38" i="26"/>
  <c r="BB38" i="33" s="1"/>
  <c r="AM56" i="26"/>
  <c r="AM284" i="12"/>
  <c r="AM57" i="26" s="1"/>
  <c r="AM92" i="12"/>
  <c r="AM40" i="26"/>
  <c r="BE40" i="34" s="1"/>
  <c r="DO40" i="33" s="1"/>
  <c r="AP93" i="12"/>
  <c r="AP41" i="26"/>
  <c r="AP41" i="33" s="1"/>
  <c r="L88"/>
  <c r="L35" i="29"/>
  <c r="L88" i="26"/>
  <c r="L56"/>
  <c r="L284" i="12"/>
  <c r="L57" i="26" s="1"/>
  <c r="L57" i="33" s="1"/>
  <c r="AE71"/>
  <c r="AE72"/>
  <c r="AJ35" i="29"/>
  <c r="AJ88" i="33"/>
  <c r="AJ88" i="26"/>
  <c r="AO88" i="33"/>
  <c r="AO88" i="26"/>
  <c r="AO35" i="29"/>
  <c r="BS65" i="33"/>
  <c r="BT65"/>
  <c r="BS79"/>
  <c r="BT79"/>
  <c r="BP54"/>
  <c r="Y88" i="26"/>
  <c r="Y88" i="33"/>
  <c r="Y35" i="29"/>
  <c r="AX23"/>
  <c r="AX144" i="12"/>
  <c r="K163"/>
  <c r="K106" i="29"/>
  <c r="AB56" i="26"/>
  <c r="AB284" i="12"/>
  <c r="AB57" i="26" s="1"/>
  <c r="BW65" i="33"/>
  <c r="DU65" s="1"/>
  <c r="K75" i="26"/>
  <c r="K55" i="33"/>
  <c r="AX88" i="26"/>
  <c r="AX88" i="33"/>
  <c r="AX35" i="29"/>
  <c r="AB35"/>
  <c r="AB88" i="26"/>
  <c r="AB88" i="33"/>
  <c r="AX55"/>
  <c r="AX75" i="26"/>
  <c r="AB106" i="29"/>
  <c r="AB163" i="12"/>
  <c r="AA88" i="33"/>
  <c r="AA35" i="29"/>
  <c r="AA88" i="26"/>
  <c r="AF35" i="29"/>
  <c r="AF88" i="26"/>
  <c r="AF88" i="33"/>
  <c r="AA71"/>
  <c r="BO71"/>
  <c r="AA73"/>
  <c r="BO73"/>
  <c r="AX93" i="12"/>
  <c r="AX41" i="26"/>
  <c r="AX41" i="33" s="1"/>
  <c r="AC56" i="26"/>
  <c r="AC284" i="12"/>
  <c r="AC57" i="26" s="1"/>
  <c r="AB41"/>
  <c r="AB93" i="12"/>
  <c r="BM67" i="33"/>
  <c r="AX161" i="12"/>
  <c r="AX162" s="1"/>
  <c r="AE73" i="33"/>
  <c r="AS88" i="26"/>
  <c r="AS35" i="29"/>
  <c r="AS88" i="33"/>
  <c r="K93" i="12"/>
  <c r="K41" i="26"/>
  <c r="K41" i="33" s="1"/>
  <c r="AE88" i="26"/>
  <c r="AE35" i="29"/>
  <c r="AE88" i="33"/>
  <c r="BU54"/>
  <c r="DS54" s="1"/>
  <c r="K35" i="29"/>
  <c r="K88" i="26"/>
  <c r="K88" i="33"/>
  <c r="BM68"/>
  <c r="K23" i="29"/>
  <c r="K144" i="12"/>
  <c r="BP53" i="33"/>
  <c r="DU53" s="1"/>
  <c r="AB55"/>
  <c r="AB75" i="26"/>
  <c r="AC35" i="29"/>
  <c r="AC88" i="33"/>
  <c r="AC88" i="26"/>
  <c r="K284" i="12"/>
  <c r="K57" i="26" s="1"/>
  <c r="K57" i="33" s="1"/>
  <c r="K56" i="26"/>
  <c r="AX56"/>
  <c r="AX284" i="12"/>
  <c r="AX57" i="26" s="1"/>
  <c r="AX57" i="33" s="1"/>
  <c r="AB23" i="29"/>
  <c r="AB144" i="12"/>
  <c r="AA72" i="33"/>
  <c r="BO72"/>
  <c r="AC55"/>
  <c r="AB40"/>
  <c r="CG40"/>
  <c r="V88"/>
  <c r="V35" i="29"/>
  <c r="V88" i="26"/>
  <c r="AW35" i="29"/>
  <c r="AW88" i="33"/>
  <c r="AW88" i="26"/>
  <c r="Y72" i="33"/>
  <c r="Y71"/>
  <c r="Y73"/>
  <c r="BF88"/>
  <c r="BF88" i="26"/>
  <c r="BF35" i="29"/>
  <c r="AL40" i="33"/>
  <c r="AL93" i="12"/>
  <c r="AL41" i="26"/>
  <c r="AK88" i="33"/>
  <c r="AK88" i="26"/>
  <c r="AK35" i="29"/>
  <c r="BH75" i="33"/>
  <c r="BH129" i="26"/>
  <c r="AN25" i="29"/>
  <c r="AN45" i="26"/>
  <c r="AN146" i="12"/>
  <c r="BH62" i="26"/>
  <c r="BH56" i="33"/>
  <c r="BH61" i="26"/>
  <c r="BH60"/>
  <c r="BH76"/>
  <c r="BH145" i="12"/>
  <c r="BH44" i="26"/>
  <c r="BH41"/>
  <c r="BH41" i="33" s="1"/>
  <c r="BH93" i="12"/>
  <c r="AN44" i="33"/>
  <c r="AN122" i="26"/>
  <c r="U145" i="12"/>
  <c r="U44" i="26"/>
  <c r="AF42"/>
  <c r="AF41" i="33"/>
  <c r="Z44" i="26"/>
  <c r="J44" i="34" s="1"/>
  <c r="Z145" i="12"/>
  <c r="DD44" i="33"/>
  <c r="AD44"/>
  <c r="AD122" i="26"/>
  <c r="T129"/>
  <c r="T75" i="33"/>
  <c r="AJ75"/>
  <c r="AJ129" i="26"/>
  <c r="BX55" i="33"/>
  <c r="BN57"/>
  <c r="Z57"/>
  <c r="AC42"/>
  <c r="U88"/>
  <c r="U35" i="29"/>
  <c r="U88" i="26"/>
  <c r="AF57" i="33"/>
  <c r="DF57"/>
  <c r="AD41"/>
  <c r="BX38"/>
  <c r="DV38" s="1"/>
  <c r="AJ93" i="12"/>
  <c r="AJ41" i="26"/>
  <c r="BC44" i="33"/>
  <c r="BC122" i="26"/>
  <c r="R88" i="33"/>
  <c r="R88" i="26"/>
  <c r="R35" i="29"/>
  <c r="I146" i="12"/>
  <c r="I25" i="29"/>
  <c r="I45" i="26"/>
  <c r="BI75" i="33"/>
  <c r="BI129" i="26"/>
  <c r="Z40" i="33"/>
  <c r="BN40"/>
  <c r="M40" i="26"/>
  <c r="M40" i="33" s="1"/>
  <c r="M92" i="12"/>
  <c r="S40" i="26"/>
  <c r="S40" i="33" s="1"/>
  <c r="S92" i="12"/>
  <c r="AC122" i="26"/>
  <c r="AC44" i="33"/>
  <c r="BC106" i="29"/>
  <c r="BC163" i="12"/>
  <c r="AF44" i="26"/>
  <c r="AF145" i="12"/>
  <c r="BI41" i="26"/>
  <c r="BI41" i="33" s="1"/>
  <c r="BI93" i="12"/>
  <c r="J35" i="29"/>
  <c r="J88" i="33"/>
  <c r="J88" i="26"/>
  <c r="L42"/>
  <c r="L42" i="33" s="1"/>
  <c r="AD57"/>
  <c r="T62" i="26"/>
  <c r="T56" i="33"/>
  <c r="T60" i="26"/>
  <c r="T61"/>
  <c r="T76"/>
  <c r="Y40" i="33"/>
  <c r="AJ56"/>
  <c r="AJ62" i="26"/>
  <c r="AJ60"/>
  <c r="AJ61"/>
  <c r="AJ76"/>
  <c r="AI130"/>
  <c r="AI73" i="33"/>
  <c r="U56"/>
  <c r="U61" i="26"/>
  <c r="U61" i="33" s="1"/>
  <c r="U60" i="26"/>
  <c r="U60" i="33" s="1"/>
  <c r="U62" i="26"/>
  <c r="U62" i="33" s="1"/>
  <c r="AI56"/>
  <c r="AI60" i="26"/>
  <c r="AI80" s="1"/>
  <c r="AI61"/>
  <c r="AI62"/>
  <c r="L51"/>
  <c r="L51" i="33" s="1"/>
  <c r="L50" i="26"/>
  <c r="L50" i="33" s="1"/>
  <c r="L107" i="29"/>
  <c r="L110" s="1"/>
  <c r="L45" i="33"/>
  <c r="L123" i="26"/>
  <c r="L49"/>
  <c r="M145" i="12"/>
  <c r="M44" i="26"/>
  <c r="M55" i="33"/>
  <c r="M75" i="26"/>
  <c r="S284" i="12"/>
  <c r="S57" i="26" s="1"/>
  <c r="S57" i="33" s="1"/>
  <c r="S56" i="26"/>
  <c r="U93" i="12"/>
  <c r="U41" i="26"/>
  <c r="U41" i="33" s="1"/>
  <c r="S44" i="26"/>
  <c r="S145" i="12"/>
  <c r="T45" i="26"/>
  <c r="T146" i="12"/>
  <c r="T25" i="29"/>
  <c r="AI106"/>
  <c r="AI163" i="12"/>
  <c r="AI41" i="33"/>
  <c r="AI42" i="26"/>
  <c r="AD45"/>
  <c r="AD25" i="29"/>
  <c r="AD146" i="12"/>
  <c r="Z56" i="33"/>
  <c r="Z62" i="26"/>
  <c r="J62" i="34" s="1"/>
  <c r="Z60" i="26"/>
  <c r="J60" i="34" s="1"/>
  <c r="BN56" i="33"/>
  <c r="Z61" i="26"/>
  <c r="J61" i="34" s="1"/>
  <c r="BW55" i="33"/>
  <c r="AI23" i="29"/>
  <c r="AI144" i="12"/>
  <c r="AI88" i="33"/>
  <c r="AI35" i="29"/>
  <c r="AI88" i="26"/>
  <c r="AF62"/>
  <c r="AF61"/>
  <c r="AF60"/>
  <c r="AF56" i="33"/>
  <c r="AF76" i="26"/>
  <c r="AD42"/>
  <c r="DJ40" i="33"/>
  <c r="AJ40"/>
  <c r="BC25" i="29"/>
  <c r="BC45" i="26"/>
  <c r="BC146" i="12"/>
  <c r="AJ44" i="26"/>
  <c r="AJ145" i="12"/>
  <c r="Z41" i="26"/>
  <c r="J41" i="34" s="1"/>
  <c r="Z93" i="12"/>
  <c r="AC25" i="29"/>
  <c r="AC45" i="26"/>
  <c r="AC146" i="12"/>
  <c r="BI163"/>
  <c r="BI106" i="29"/>
  <c r="BI110" s="1"/>
  <c r="AF163" i="12"/>
  <c r="AF106" i="29"/>
  <c r="BW40" i="33"/>
  <c r="W88" i="26"/>
  <c r="W35" i="29"/>
  <c r="W88" i="33"/>
  <c r="M35" i="29"/>
  <c r="M88" i="26"/>
  <c r="M88" i="33"/>
  <c r="AD61" i="26"/>
  <c r="AD56" i="33"/>
  <c r="AD62" i="26"/>
  <c r="AD82" s="1"/>
  <c r="AD60"/>
  <c r="AD80" s="1"/>
  <c r="Y41"/>
  <c r="Y93" i="12"/>
  <c r="AJ57" i="33"/>
  <c r="CN71"/>
  <c r="AI71"/>
  <c r="AI72"/>
  <c r="Z88" i="26"/>
  <c r="Z35" i="29"/>
  <c r="Z88" i="33"/>
  <c r="AI57"/>
  <c r="CN57"/>
  <c r="S88"/>
  <c r="S35" i="29"/>
  <c r="S88" i="26"/>
  <c r="L46"/>
  <c r="L46" i="33" s="1"/>
  <c r="M106" i="29"/>
  <c r="M163" i="12"/>
  <c r="M284"/>
  <c r="M57" i="26" s="1"/>
  <c r="M57" i="33" s="1"/>
  <c r="M56" i="26"/>
  <c r="AF75" i="33"/>
  <c r="AF129" i="26"/>
  <c r="S55" i="33"/>
  <c r="S75" i="26"/>
  <c r="T42"/>
  <c r="T42" i="33" s="1"/>
  <c r="BI60" i="26"/>
  <c r="BI61"/>
  <c r="BI56" i="33"/>
  <c r="BI76" i="26"/>
  <c r="S106" i="29"/>
  <c r="S163" i="12"/>
  <c r="T44" i="33"/>
  <c r="T122" i="26"/>
  <c r="BD145" i="12"/>
  <c r="BD44" i="26"/>
  <c r="AE145" i="12"/>
  <c r="AE44" i="26"/>
  <c r="BA145" i="12"/>
  <c r="BA44" i="26"/>
  <c r="AV41"/>
  <c r="AV41" i="33" s="1"/>
  <c r="AV93" i="12"/>
  <c r="V146"/>
  <c r="V25" i="29"/>
  <c r="V45" i="26"/>
  <c r="O80" i="33"/>
  <c r="AW106" i="29"/>
  <c r="AW163" i="12"/>
  <c r="O77" i="26"/>
  <c r="O77" i="33" s="1"/>
  <c r="O130" i="26"/>
  <c r="O76" i="33"/>
  <c r="AE106" i="29"/>
  <c r="AE163" i="12"/>
  <c r="AZ145"/>
  <c r="AZ44" i="26"/>
  <c r="AQ44" i="33"/>
  <c r="AQ122" i="26"/>
  <c r="V44" i="33"/>
  <c r="V122" i="26"/>
  <c r="AH93" i="12"/>
  <c r="AH41" i="26"/>
  <c r="AZ41"/>
  <c r="AZ41" i="33" s="1"/>
  <c r="AZ93" i="12"/>
  <c r="N60" i="26"/>
  <c r="N62"/>
  <c r="N61"/>
  <c r="N56" i="33"/>
  <c r="N76" i="26"/>
  <c r="BV73" i="33"/>
  <c r="AZ75"/>
  <c r="AZ129" i="26"/>
  <c r="CM75" i="33"/>
  <c r="AH75"/>
  <c r="AH129" i="26"/>
  <c r="AG42"/>
  <c r="BU40" i="33"/>
  <c r="BE42" i="26"/>
  <c r="BE42" i="33" s="1"/>
  <c r="BG129" i="26"/>
  <c r="BG75" i="33"/>
  <c r="Q51" i="26"/>
  <c r="Q51" i="33" s="1"/>
  <c r="Q107" i="29"/>
  <c r="Q110" s="1"/>
  <c r="Q49" i="26"/>
  <c r="Q123"/>
  <c r="Q50"/>
  <c r="Q50" i="33" s="1"/>
  <c r="Q45"/>
  <c r="Q46" i="26"/>
  <c r="Q46" i="33" s="1"/>
  <c r="AV122" i="26"/>
  <c r="AV44" i="33"/>
  <c r="AH25" i="29"/>
  <c r="AH45" i="26"/>
  <c r="AH146" i="12"/>
  <c r="AK61" i="26"/>
  <c r="AK62"/>
  <c r="AK60"/>
  <c r="DK56" i="33"/>
  <c r="AK56"/>
  <c r="AK76" i="26"/>
  <c r="L75" i="33"/>
  <c r="L129" i="26"/>
  <c r="Q56" i="33"/>
  <c r="Q62" i="26"/>
  <c r="Q61"/>
  <c r="Q60"/>
  <c r="Q76"/>
  <c r="BZ38" i="33"/>
  <c r="V56"/>
  <c r="V61" i="26"/>
  <c r="V62"/>
  <c r="V60"/>
  <c r="AD76" i="33"/>
  <c r="AD130" i="26"/>
  <c r="AD77"/>
  <c r="AD72" i="33"/>
  <c r="DD73"/>
  <c r="AD73"/>
  <c r="AS129" i="26"/>
  <c r="AS75" i="33"/>
  <c r="AK44" i="26"/>
  <c r="AK145" i="12"/>
  <c r="AB71" i="33"/>
  <c r="CG67"/>
  <c r="X68"/>
  <c r="AO129" i="26"/>
  <c r="AO75" i="33"/>
  <c r="BE145" i="12"/>
  <c r="BE44" i="26"/>
  <c r="AS145" i="12"/>
  <c r="AS44" i="26"/>
  <c r="M72" i="33"/>
  <c r="BN68"/>
  <c r="Z68"/>
  <c r="AR45" i="26"/>
  <c r="AR25" i="29"/>
  <c r="AR146" i="12"/>
  <c r="AE93"/>
  <c r="AE41" i="26"/>
  <c r="BD41"/>
  <c r="BD41" i="33" s="1"/>
  <c r="BD93" i="12"/>
  <c r="P122" i="26"/>
  <c r="P44" i="33"/>
  <c r="BZ66"/>
  <c r="AY75"/>
  <c r="AY129" i="26"/>
  <c r="AV129"/>
  <c r="AV75" i="33"/>
  <c r="J62" i="26"/>
  <c r="J60"/>
  <c r="J56" i="33"/>
  <c r="J61" i="26"/>
  <c r="AU72"/>
  <c r="AU67" i="33"/>
  <c r="AU71" i="26"/>
  <c r="AU73"/>
  <c r="AU76"/>
  <c r="O49" i="33"/>
  <c r="J44" i="26"/>
  <c r="J44" i="33" s="1"/>
  <c r="J145" i="12"/>
  <c r="AN67" i="33"/>
  <c r="AN73" i="26"/>
  <c r="AN72"/>
  <c r="AN71"/>
  <c r="AN76"/>
  <c r="U72" i="33"/>
  <c r="U81" i="26"/>
  <c r="U81" i="33" s="1"/>
  <c r="U71"/>
  <c r="U80" i="26"/>
  <c r="BD75" i="33"/>
  <c r="BD129" i="26"/>
  <c r="BY40" i="33"/>
  <c r="DW40" s="1"/>
  <c r="BY73"/>
  <c r="Q42" i="26"/>
  <c r="Q42" i="33" s="1"/>
  <c r="BF163" i="12"/>
  <c r="BF106" i="29"/>
  <c r="AO106"/>
  <c r="AO163" i="12"/>
  <c r="AZ60" i="26"/>
  <c r="AZ62"/>
  <c r="AZ56" i="33"/>
  <c r="AZ61" i="26"/>
  <c r="AZ76"/>
  <c r="AH57" i="33"/>
  <c r="BG107" i="29"/>
  <c r="BG110" s="1"/>
  <c r="BG49" i="26"/>
  <c r="BG123"/>
  <c r="BG50"/>
  <c r="BG50" i="33" s="1"/>
  <c r="BG45"/>
  <c r="BG51" i="26"/>
  <c r="BG51" i="33" s="1"/>
  <c r="P129" i="26"/>
  <c r="P75" i="33"/>
  <c r="AE61" i="26"/>
  <c r="AE60"/>
  <c r="AE56" i="33"/>
  <c r="AE62" i="26"/>
  <c r="AE76"/>
  <c r="BG77"/>
  <c r="BG77" i="33" s="1"/>
  <c r="BG76"/>
  <c r="BG130" i="26"/>
  <c r="BG60" i="33"/>
  <c r="BG80" i="26"/>
  <c r="AW41"/>
  <c r="AW41" i="33" s="1"/>
  <c r="AW93" i="12"/>
  <c r="R44" i="33"/>
  <c r="R122" i="26"/>
  <c r="BY55" i="33"/>
  <c r="DW55" s="1"/>
  <c r="CA64"/>
  <c r="DY64" s="1"/>
  <c r="L71" i="26"/>
  <c r="L72"/>
  <c r="L67" i="33"/>
  <c r="L73" i="26"/>
  <c r="L76"/>
  <c r="Q75" i="33"/>
  <c r="Q129" i="26"/>
  <c r="AR75" i="33"/>
  <c r="AR129" i="26"/>
  <c r="P42"/>
  <c r="P42" i="33" s="1"/>
  <c r="AM146" i="12"/>
  <c r="AM45" i="26"/>
  <c r="AM25" i="29"/>
  <c r="AS62" i="26"/>
  <c r="AS60"/>
  <c r="AS61"/>
  <c r="AS56" i="33"/>
  <c r="AS76" i="26"/>
  <c r="BL66" i="33"/>
  <c r="DS66" s="1"/>
  <c r="N45"/>
  <c r="N50" i="26"/>
  <c r="N50" i="33" s="1"/>
  <c r="N49" i="26"/>
  <c r="N51"/>
  <c r="N51" i="33" s="1"/>
  <c r="N107" i="29"/>
  <c r="N110" s="1"/>
  <c r="N123" i="26"/>
  <c r="AO62"/>
  <c r="AO56" i="33"/>
  <c r="AO60" i="26"/>
  <c r="AO61"/>
  <c r="AO76"/>
  <c r="Z129"/>
  <c r="BN75" i="33"/>
  <c r="Z75"/>
  <c r="AP71" i="26"/>
  <c r="AP72"/>
  <c r="AP73"/>
  <c r="AP67" i="33"/>
  <c r="DE38"/>
  <c r="H93" i="12"/>
  <c r="H41" i="26"/>
  <c r="H41" i="33" s="1"/>
  <c r="AO41" i="26"/>
  <c r="AO41" i="33" s="1"/>
  <c r="AO93" i="12"/>
  <c r="AL68" i="33"/>
  <c r="AV60" i="26"/>
  <c r="AV61"/>
  <c r="AV56" i="33"/>
  <c r="AV62" i="26"/>
  <c r="AV76"/>
  <c r="AU129"/>
  <c r="AU75" i="33"/>
  <c r="H60" i="26"/>
  <c r="H62"/>
  <c r="H56" i="33"/>
  <c r="H61" i="26"/>
  <c r="H76"/>
  <c r="AN129"/>
  <c r="AN75" i="33"/>
  <c r="BD61" i="26"/>
  <c r="BD56" i="33"/>
  <c r="BD62" i="26"/>
  <c r="BD60"/>
  <c r="BD76"/>
  <c r="DK41" i="33"/>
  <c r="AK41"/>
  <c r="AK42" i="26"/>
  <c r="BB71" i="33"/>
  <c r="BB72"/>
  <c r="BS66"/>
  <c r="BT66"/>
  <c r="CS38"/>
  <c r="DX64"/>
  <c r="CT68"/>
  <c r="BA82"/>
  <c r="AZ163" i="12"/>
  <c r="AZ106" i="29"/>
  <c r="AQ25"/>
  <c r="AQ146" i="12"/>
  <c r="AQ45" i="26"/>
  <c r="AH40" i="33"/>
  <c r="BV38"/>
  <c r="DT38" s="1"/>
  <c r="BV55"/>
  <c r="AG41"/>
  <c r="CL40"/>
  <c r="P61" i="26"/>
  <c r="P62"/>
  <c r="P60"/>
  <c r="P56" i="33"/>
  <c r="P76" i="26"/>
  <c r="DE75" i="33"/>
  <c r="AE129" i="26"/>
  <c r="AE75" i="33"/>
  <c r="BS55"/>
  <c r="BT55"/>
  <c r="DE55"/>
  <c r="AV146" i="12"/>
  <c r="AV25" i="29"/>
  <c r="AV45" i="26"/>
  <c r="AH122"/>
  <c r="AH44" i="33"/>
  <c r="DK57"/>
  <c r="AK57"/>
  <c r="AW56"/>
  <c r="AW60" i="26"/>
  <c r="AW62"/>
  <c r="AW61"/>
  <c r="AW76"/>
  <c r="AR56" i="33"/>
  <c r="AR62" i="26"/>
  <c r="AR61"/>
  <c r="AR60"/>
  <c r="AR76"/>
  <c r="AD71" i="33"/>
  <c r="DD71"/>
  <c r="AY42" i="26"/>
  <c r="AY42" i="33" s="1"/>
  <c r="AB73"/>
  <c r="AB72"/>
  <c r="X72" i="26"/>
  <c r="AP72" i="34" s="1"/>
  <c r="X71" i="26"/>
  <c r="X73"/>
  <c r="AP73" i="34" s="1"/>
  <c r="X67" i="33"/>
  <c r="M73"/>
  <c r="M71"/>
  <c r="Z73" i="26"/>
  <c r="J73" i="34" s="1"/>
  <c r="BN67" i="33"/>
  <c r="Z67"/>
  <c r="Z72" i="26"/>
  <c r="J72" i="34" s="1"/>
  <c r="Z71" i="26"/>
  <c r="J71" i="34" s="1"/>
  <c r="Z76" i="26"/>
  <c r="J76" i="34" s="1"/>
  <c r="AP75" i="33"/>
  <c r="AP129" i="26"/>
  <c r="AR44" i="33"/>
  <c r="AR122" i="26"/>
  <c r="AE40" i="33"/>
  <c r="P146" i="12"/>
  <c r="P25" i="29"/>
  <c r="P45" i="26"/>
  <c r="BE75" i="33"/>
  <c r="BE129" i="26"/>
  <c r="BZ53" i="33"/>
  <c r="DX53" s="1"/>
  <c r="AU49"/>
  <c r="N42" i="26"/>
  <c r="N42" i="33" s="1"/>
  <c r="U77" i="26"/>
  <c r="U77" i="33" s="1"/>
  <c r="U76"/>
  <c r="U130" i="26"/>
  <c r="U73" i="33"/>
  <c r="U82" s="1"/>
  <c r="BF56"/>
  <c r="BF60" i="26"/>
  <c r="BF62"/>
  <c r="BF61"/>
  <c r="BF76"/>
  <c r="AW44"/>
  <c r="AW145" i="12"/>
  <c r="BD106" i="29"/>
  <c r="BD163" i="12"/>
  <c r="BF44" i="26"/>
  <c r="BF145" i="12"/>
  <c r="AO44" i="26"/>
  <c r="AO145" i="12"/>
  <c r="AR41" i="26"/>
  <c r="AR41" i="33" s="1"/>
  <c r="AR93" i="12"/>
  <c r="BF93"/>
  <c r="BF41" i="26"/>
  <c r="BF41" i="33" s="1"/>
  <c r="N75"/>
  <c r="N129" i="26"/>
  <c r="AH60"/>
  <c r="AH56" i="33"/>
  <c r="CM56"/>
  <c r="AH61" i="26"/>
  <c r="AH62"/>
  <c r="AH76"/>
  <c r="J42"/>
  <c r="J42" i="33" s="1"/>
  <c r="AE57"/>
  <c r="BG62"/>
  <c r="BG82" s="1"/>
  <c r="BG82" i="26"/>
  <c r="BG61" i="33"/>
  <c r="BG81" i="26"/>
  <c r="BG81" i="33" s="1"/>
  <c r="R45" i="26"/>
  <c r="R25" i="29"/>
  <c r="R146" i="12"/>
  <c r="DK75" i="33"/>
  <c r="AK75"/>
  <c r="AK129" i="26"/>
  <c r="AW129"/>
  <c r="AW75" i="33"/>
  <c r="AY44" i="26"/>
  <c r="AY145" i="12"/>
  <c r="AM44" i="33"/>
  <c r="DM44"/>
  <c r="AM122" i="26"/>
  <c r="CG68" i="33"/>
  <c r="CU66"/>
  <c r="CC66"/>
  <c r="N46" i="26"/>
  <c r="N46" i="33" s="1"/>
  <c r="BS38"/>
  <c r="V41" i="26"/>
  <c r="V41" i="33" s="1"/>
  <c r="V93" i="12"/>
  <c r="BE61" i="26"/>
  <c r="BE56" i="33"/>
  <c r="BE60" i="26"/>
  <c r="BE62"/>
  <c r="BE76"/>
  <c r="AL71"/>
  <c r="AL72"/>
  <c r="AL67" i="33"/>
  <c r="AL73" i="26"/>
  <c r="AT145" i="12"/>
  <c r="AT44" i="26"/>
  <c r="H44"/>
  <c r="H44" i="33" s="1"/>
  <c r="H145" i="12"/>
  <c r="AY62" i="26"/>
  <c r="AY61"/>
  <c r="AY60"/>
  <c r="AY56" i="33"/>
  <c r="AY76" i="26"/>
  <c r="BF129"/>
  <c r="BF75" i="33"/>
  <c r="AS42" i="26"/>
  <c r="AS42" i="33" s="1"/>
  <c r="BB73"/>
  <c r="O81" i="26"/>
  <c r="O81" i="33" s="1"/>
  <c r="BA82" i="26"/>
  <c r="BA80"/>
  <c r="Q71" i="34" l="1"/>
  <c r="AQ68"/>
  <c r="AO67"/>
  <c r="CS67" i="33" s="1"/>
  <c r="AO68" i="34"/>
  <c r="CS68" i="33" s="1"/>
  <c r="BI53" i="34"/>
  <c r="W43"/>
  <c r="BZ43" i="33"/>
  <c r="DX43" s="1"/>
  <c r="BN43" i="34"/>
  <c r="BN52"/>
  <c r="W52"/>
  <c r="BG52" s="1"/>
  <c r="BZ52" i="33"/>
  <c r="BN63" i="34"/>
  <c r="W63"/>
  <c r="BG63" s="1"/>
  <c r="BZ63" i="33"/>
  <c r="BN28" i="34"/>
  <c r="BZ28" i="33"/>
  <c r="W28" i="34"/>
  <c r="W37"/>
  <c r="BZ37" i="33"/>
  <c r="DX37" s="1"/>
  <c r="BN37" i="34"/>
  <c r="BQ55" i="33"/>
  <c r="BP55"/>
  <c r="DU55" s="1"/>
  <c r="AA106" i="29"/>
  <c r="AA92" i="12"/>
  <c r="AA40" i="26"/>
  <c r="AA284" i="12"/>
  <c r="AA57" i="26" s="1"/>
  <c r="AA56"/>
  <c r="K38" i="34"/>
  <c r="BO38" i="33" s="1"/>
  <c r="AA38"/>
  <c r="K55" i="34"/>
  <c r="BO55" i="33" s="1"/>
  <c r="AA55"/>
  <c r="AA75" i="26"/>
  <c r="AA44"/>
  <c r="AA145" i="12"/>
  <c r="L73" i="34"/>
  <c r="BK73" s="1"/>
  <c r="BF53"/>
  <c r="DP53" i="33" s="1"/>
  <c r="AQ39" i="34"/>
  <c r="CU39" i="33" s="1"/>
  <c r="AO39" i="34"/>
  <c r="CS39" i="33" s="1"/>
  <c r="Q39" i="34"/>
  <c r="BM39" i="33"/>
  <c r="L39" i="34"/>
  <c r="AH72"/>
  <c r="CL72" i="33" s="1"/>
  <c r="AG72"/>
  <c r="BM58" i="34"/>
  <c r="V58"/>
  <c r="BY58" i="33"/>
  <c r="DW58" s="1"/>
  <c r="I55" i="34"/>
  <c r="Z55"/>
  <c r="CD55" i="33" s="1"/>
  <c r="Y55"/>
  <c r="Y75" i="26"/>
  <c r="BL78" i="34"/>
  <c r="U78"/>
  <c r="BX78" i="33"/>
  <c r="DV78" s="1"/>
  <c r="W40" i="26"/>
  <c r="W40" i="33" s="1"/>
  <c r="W92" i="12"/>
  <c r="Y163"/>
  <c r="Y106" i="29"/>
  <c r="AS66" i="34"/>
  <c r="BE66"/>
  <c r="DO66" i="33" s="1"/>
  <c r="AC66"/>
  <c r="AC75" i="26"/>
  <c r="M66" i="34"/>
  <c r="W75" i="26"/>
  <c r="W55" i="33"/>
  <c r="V66"/>
  <c r="V75" i="26"/>
  <c r="W145" i="12"/>
  <c r="W44" i="26"/>
  <c r="BL64" i="34"/>
  <c r="BQ64" i="33"/>
  <c r="DV64" s="1"/>
  <c r="BF64" i="34"/>
  <c r="DP64" i="33" s="1"/>
  <c r="BD64" i="34"/>
  <c r="DN64" i="33" s="1"/>
  <c r="DC64"/>
  <c r="Q73" i="34"/>
  <c r="BU73" i="33" s="1"/>
  <c r="AH73" i="34"/>
  <c r="CL73" i="33" s="1"/>
  <c r="AG73"/>
  <c r="AH71" i="34"/>
  <c r="CL71" i="33" s="1"/>
  <c r="AG71"/>
  <c r="Y284" i="12"/>
  <c r="Y57" i="26" s="1"/>
  <c r="Y56"/>
  <c r="Y145" i="12"/>
  <c r="Y44" i="26"/>
  <c r="AC368" i="12"/>
  <c r="AC68" i="26" s="1"/>
  <c r="AC67"/>
  <c r="W56"/>
  <c r="W284" i="12"/>
  <c r="W57" i="26" s="1"/>
  <c r="W57" i="33" s="1"/>
  <c r="BM53"/>
  <c r="DT53" s="1"/>
  <c r="BJ53" i="34"/>
  <c r="V69"/>
  <c r="BM69"/>
  <c r="BY69" i="33"/>
  <c r="DW69" s="1"/>
  <c r="BM47" i="34"/>
  <c r="V47"/>
  <c r="BY47" i="33"/>
  <c r="DW47" s="1"/>
  <c r="V67" i="26"/>
  <c r="V368" i="12"/>
  <c r="V68" i="26" s="1"/>
  <c r="V68" i="33" s="1"/>
  <c r="W106" i="29"/>
  <c r="W163" i="12"/>
  <c r="J368"/>
  <c r="J68" i="26" s="1"/>
  <c r="J68" i="33" s="1"/>
  <c r="J67" i="26"/>
  <c r="J66" i="33"/>
  <c r="J75" i="26"/>
  <c r="J75" i="33" s="1"/>
  <c r="DM38"/>
  <c r="BC92" i="12"/>
  <c r="BC41" i="26" s="1"/>
  <c r="BC41" i="33" s="1"/>
  <c r="BD53" i="34"/>
  <c r="DN53" i="33" s="1"/>
  <c r="AT92" i="12"/>
  <c r="AT41" i="26" s="1"/>
  <c r="AT41" i="33" s="1"/>
  <c r="R92" i="12"/>
  <c r="R40" i="26"/>
  <c r="R40" i="33" s="1"/>
  <c r="AT75" i="26"/>
  <c r="AT55" i="33"/>
  <c r="AL56" i="26"/>
  <c r="AL284" i="12"/>
  <c r="AL57" i="26" s="1"/>
  <c r="AT163" i="12"/>
  <c r="AT106" i="29"/>
  <c r="BC55" i="33"/>
  <c r="BC75" i="26"/>
  <c r="R55" i="33"/>
  <c r="R75" i="26"/>
  <c r="AL44"/>
  <c r="AL145" i="12"/>
  <c r="AL106" i="29"/>
  <c r="AL163" i="12"/>
  <c r="AT284"/>
  <c r="AT57" i="26" s="1"/>
  <c r="AT57" i="33" s="1"/>
  <c r="AT56" i="26"/>
  <c r="V55" i="34"/>
  <c r="BZ55" i="33" s="1"/>
  <c r="DX55" s="1"/>
  <c r="AL55"/>
  <c r="AL75" i="26"/>
  <c r="V75" i="34" s="1"/>
  <c r="BN75" s="1"/>
  <c r="BB55"/>
  <c r="DL55" i="33" s="1"/>
  <c r="BC284" i="12"/>
  <c r="BC57" i="26" s="1"/>
  <c r="BC57" i="33" s="1"/>
  <c r="BC56" i="26"/>
  <c r="R284" i="12"/>
  <c r="R57" i="26" s="1"/>
  <c r="R57" i="33" s="1"/>
  <c r="R56" i="26"/>
  <c r="BP40" i="33"/>
  <c r="DU40" s="1"/>
  <c r="BG38" i="34"/>
  <c r="M68"/>
  <c r="N68" s="1"/>
  <c r="O68" s="1"/>
  <c r="P68" s="1"/>
  <c r="AQ53"/>
  <c r="CU53" i="33" s="1"/>
  <c r="AI77" i="26"/>
  <c r="AJ77" i="34" s="1"/>
  <c r="CN77" i="33" s="1"/>
  <c r="DV55"/>
  <c r="BM73"/>
  <c r="DT73" s="1"/>
  <c r="BB144" i="12"/>
  <c r="BB44" i="26" s="1"/>
  <c r="BG53" i="34"/>
  <c r="AO55"/>
  <c r="CS55" i="33" s="1"/>
  <c r="U82" i="26"/>
  <c r="BB161" i="12"/>
  <c r="BB162" s="1"/>
  <c r="BB163" s="1"/>
  <c r="AO40" i="34"/>
  <c r="CS40" i="33" s="1"/>
  <c r="U79" i="34"/>
  <c r="BL79"/>
  <c r="BX79" i="33"/>
  <c r="DV79" s="1"/>
  <c r="BM59" i="34"/>
  <c r="V59"/>
  <c r="BY59" i="33"/>
  <c r="DW59" s="1"/>
  <c r="BM48" i="34"/>
  <c r="V48"/>
  <c r="BY48" i="33"/>
  <c r="DW48" s="1"/>
  <c r="AQ38" i="34"/>
  <c r="CU38" i="33" s="1"/>
  <c r="DS53"/>
  <c r="AQ75"/>
  <c r="AQ129" i="26"/>
  <c r="AQ60"/>
  <c r="AQ61"/>
  <c r="AQ56" i="33"/>
  <c r="AQ62" i="26"/>
  <c r="AQ76"/>
  <c r="AQ93" i="12"/>
  <c r="AQ41" i="26"/>
  <c r="AQ41" i="33" s="1"/>
  <c r="X93" i="12"/>
  <c r="X41" i="26"/>
  <c r="AP41" i="34" s="1"/>
  <c r="CT41" i="33" s="1"/>
  <c r="X56" i="26"/>
  <c r="AP56" i="34" s="1"/>
  <c r="CT56" i="33" s="1"/>
  <c r="X284" i="12"/>
  <c r="X57" i="26" s="1"/>
  <c r="AP57" i="34" s="1"/>
  <c r="CT57" i="33" s="1"/>
  <c r="H40" i="34"/>
  <c r="AR40" s="1"/>
  <c r="CV40" i="33" s="1"/>
  <c r="Y40" i="34"/>
  <c r="X40" i="33"/>
  <c r="X44" i="26"/>
  <c r="X145" i="12"/>
  <c r="X163"/>
  <c r="X106" i="29"/>
  <c r="BL38" i="33"/>
  <c r="DS38" s="1"/>
  <c r="BI38" i="34"/>
  <c r="Y55"/>
  <c r="CC55" i="33" s="1"/>
  <c r="H55" i="34"/>
  <c r="BL55" i="33" s="1"/>
  <c r="X55"/>
  <c r="X75" i="26"/>
  <c r="AP75" i="34" s="1"/>
  <c r="CT75" i="33" s="1"/>
  <c r="AH44" i="34"/>
  <c r="CL44" i="33" s="1"/>
  <c r="AG122" i="26"/>
  <c r="Q44" i="34"/>
  <c r="AG44" i="33"/>
  <c r="AG146" i="12"/>
  <c r="AG45" i="26"/>
  <c r="AG25" i="29"/>
  <c r="BN40" i="34"/>
  <c r="AG76" i="26"/>
  <c r="AH56" i="34"/>
  <c r="CL56" i="33" s="1"/>
  <c r="AG56"/>
  <c r="AG61" i="26"/>
  <c r="AG60"/>
  <c r="AG62"/>
  <c r="AH75" i="34"/>
  <c r="CL75" i="33" s="1"/>
  <c r="AG129" i="26"/>
  <c r="Q75" i="34"/>
  <c r="AG75" i="33"/>
  <c r="BU55"/>
  <c r="AH57" i="34"/>
  <c r="CL57" i="33" s="1"/>
  <c r="AG57"/>
  <c r="BF38" i="34"/>
  <c r="DP38" i="33" s="1"/>
  <c r="BB71" i="34"/>
  <c r="DL71" i="33" s="1"/>
  <c r="R62" i="34"/>
  <c r="AI62"/>
  <c r="CM62" i="33" s="1"/>
  <c r="AI60" i="34"/>
  <c r="CM60" i="33" s="1"/>
  <c r="H71" i="34"/>
  <c r="BI71" s="1"/>
  <c r="Y71"/>
  <c r="AT80"/>
  <c r="AU76"/>
  <c r="DE76" i="33" s="1"/>
  <c r="AU62" i="34"/>
  <c r="AU60"/>
  <c r="AU41"/>
  <c r="U44"/>
  <c r="BA44"/>
  <c r="DK44" i="33" s="1"/>
  <c r="BA60" i="34"/>
  <c r="BA61"/>
  <c r="DK61" i="33" s="1"/>
  <c r="AI45" i="34"/>
  <c r="CM45" i="33" s="1"/>
  <c r="AH42" i="34"/>
  <c r="AU44"/>
  <c r="O44"/>
  <c r="P44" s="1"/>
  <c r="I41"/>
  <c r="Q41" s="1"/>
  <c r="R41" s="1"/>
  <c r="Z41"/>
  <c r="CD41" i="33" s="1"/>
  <c r="AT62" i="34"/>
  <c r="DD62" i="33" s="1"/>
  <c r="T44" i="34"/>
  <c r="BL44" s="1"/>
  <c r="AZ44"/>
  <c r="DJ44" i="33" s="1"/>
  <c r="AT42" i="34"/>
  <c r="AV61"/>
  <c r="DF61" i="33" s="1"/>
  <c r="AT45" i="34"/>
  <c r="AJ61"/>
  <c r="CN61" i="33" s="1"/>
  <c r="AZ61" i="34"/>
  <c r="DJ61" i="33" s="1"/>
  <c r="AV44" i="34"/>
  <c r="AV42"/>
  <c r="DF42" i="33" s="1"/>
  <c r="L75" i="34"/>
  <c r="BK75" s="1"/>
  <c r="AC75"/>
  <c r="BE57"/>
  <c r="DO57" i="33" s="1"/>
  <c r="AS57" i="34"/>
  <c r="DC57" i="33" s="1"/>
  <c r="AC57" i="34"/>
  <c r="BC56"/>
  <c r="DM56" i="33" s="1"/>
  <c r="BC75" i="34"/>
  <c r="AJ76"/>
  <c r="CN76" i="33" s="1"/>
  <c r="BG66" i="34"/>
  <c r="BO38"/>
  <c r="M67"/>
  <c r="BQ67" i="33" s="1"/>
  <c r="L72" i="34"/>
  <c r="BP72" i="33" s="1"/>
  <c r="L71" i="34"/>
  <c r="BP71" i="33" s="1"/>
  <c r="V73" i="34"/>
  <c r="BB73"/>
  <c r="BB72"/>
  <c r="DL72" i="33" s="1"/>
  <c r="AI76" i="34"/>
  <c r="CM76" i="33" s="1"/>
  <c r="AI61" i="34"/>
  <c r="CM61" i="33" s="1"/>
  <c r="CT73"/>
  <c r="H73" i="34"/>
  <c r="Y73"/>
  <c r="AQ73" s="1"/>
  <c r="H72"/>
  <c r="BI72" s="1"/>
  <c r="Y72"/>
  <c r="AQ72" s="1"/>
  <c r="BA42"/>
  <c r="DK42" i="33" s="1"/>
  <c r="BC45" i="34"/>
  <c r="DM45" i="33" s="1"/>
  <c r="AU61" i="34"/>
  <c r="AT82"/>
  <c r="AT77"/>
  <c r="BA76"/>
  <c r="DK76" i="33" s="1"/>
  <c r="U62" i="34"/>
  <c r="BA62"/>
  <c r="DK62" i="33" s="1"/>
  <c r="AI41" i="34"/>
  <c r="CM41" i="33" s="1"/>
  <c r="AJ80" i="34"/>
  <c r="AT60"/>
  <c r="AD81" i="26"/>
  <c r="AD81" i="33" s="1"/>
  <c r="AT61" i="34"/>
  <c r="M45"/>
  <c r="BQ45" i="33" s="1"/>
  <c r="AS45" i="34"/>
  <c r="AV76"/>
  <c r="DF76" i="33" s="1"/>
  <c r="AV60" i="34"/>
  <c r="DF60" i="33" s="1"/>
  <c r="AV62" i="34"/>
  <c r="DF62" i="33" s="1"/>
  <c r="AJ42" i="34"/>
  <c r="AI82" i="26"/>
  <c r="S62" i="34"/>
  <c r="AJ62"/>
  <c r="CN62" i="33" s="1"/>
  <c r="AJ60" i="34"/>
  <c r="AZ76"/>
  <c r="DJ76" i="33" s="1"/>
  <c r="AZ60" i="34"/>
  <c r="T62"/>
  <c r="AZ62"/>
  <c r="DJ62" i="33" s="1"/>
  <c r="AZ41" i="34"/>
  <c r="DJ41" i="33" s="1"/>
  <c r="BB41" i="34"/>
  <c r="L41"/>
  <c r="M41" s="1"/>
  <c r="AC41"/>
  <c r="AS56"/>
  <c r="DC56" i="33" s="1"/>
  <c r="BE56" i="34"/>
  <c r="DO56" i="33" s="1"/>
  <c r="AC56" i="34"/>
  <c r="W40"/>
  <c r="BO40" s="1"/>
  <c r="BC40"/>
  <c r="BF40" s="1"/>
  <c r="DP40" i="33" s="1"/>
  <c r="BC57" i="34"/>
  <c r="DM57" i="33" s="1"/>
  <c r="BM65" i="34"/>
  <c r="V65"/>
  <c r="R71"/>
  <c r="R72"/>
  <c r="BJ68"/>
  <c r="S68"/>
  <c r="AR68" s="1"/>
  <c r="BJ67"/>
  <c r="S67"/>
  <c r="AR67" s="1"/>
  <c r="BJ54"/>
  <c r="S54"/>
  <c r="BE44"/>
  <c r="DO44" i="33" s="1"/>
  <c r="AP71" i="34"/>
  <c r="CT71" i="33" s="1"/>
  <c r="BE75" i="34"/>
  <c r="DO75" i="33" s="1"/>
  <c r="BJ40" i="34"/>
  <c r="AM41" i="26"/>
  <c r="AM93" i="12"/>
  <c r="AM62" i="26"/>
  <c r="AM61"/>
  <c r="AM60"/>
  <c r="AM56" i="33"/>
  <c r="AM76" i="26"/>
  <c r="BB92" i="12"/>
  <c r="BB40" i="26"/>
  <c r="BB40" i="33" s="1"/>
  <c r="BB56" i="26"/>
  <c r="BB284" i="12"/>
  <c r="BB57" i="26" s="1"/>
  <c r="BB57" i="33" s="1"/>
  <c r="BB145" i="12"/>
  <c r="AM129" i="26"/>
  <c r="AM75" i="33"/>
  <c r="AP44" i="26"/>
  <c r="AP145" i="12"/>
  <c r="AP62" i="26"/>
  <c r="AP62" i="33" s="1"/>
  <c r="AP56"/>
  <c r="AP61" i="26"/>
  <c r="AP61" i="33" s="1"/>
  <c r="AP60" i="26"/>
  <c r="AP60" i="33" s="1"/>
  <c r="AP42" i="26"/>
  <c r="AP42" i="33" s="1"/>
  <c r="AM40"/>
  <c r="AM57"/>
  <c r="BB55"/>
  <c r="BB75" i="26"/>
  <c r="BB106" i="29"/>
  <c r="L60" i="26"/>
  <c r="L60" i="33" s="1"/>
  <c r="L56"/>
  <c r="L61" i="26"/>
  <c r="L61" i="33" s="1"/>
  <c r="L62" i="26"/>
  <c r="L62" i="33" s="1"/>
  <c r="BM71"/>
  <c r="BM72"/>
  <c r="AX62" i="26"/>
  <c r="AX56" i="33"/>
  <c r="AX76" i="26"/>
  <c r="AX60"/>
  <c r="AX61"/>
  <c r="AB75" i="33"/>
  <c r="AB129" i="26"/>
  <c r="K44"/>
  <c r="K145" i="12"/>
  <c r="BU68" i="33"/>
  <c r="K42" i="26"/>
  <c r="K42" i="33" s="1"/>
  <c r="AX106" i="29"/>
  <c r="AX163" i="12"/>
  <c r="BU67" i="33"/>
  <c r="AB42" i="26"/>
  <c r="AB41" i="33"/>
  <c r="AC62" i="26"/>
  <c r="AC60"/>
  <c r="AC56" i="33"/>
  <c r="AC61" i="26"/>
  <c r="AX129"/>
  <c r="AX75" i="33"/>
  <c r="BX65"/>
  <c r="DV65" s="1"/>
  <c r="AB60" i="26"/>
  <c r="AB62"/>
  <c r="AB61"/>
  <c r="AB56" i="33"/>
  <c r="AB76" i="26"/>
  <c r="BQ54" i="33"/>
  <c r="DQ54" s="1"/>
  <c r="AB145" i="12"/>
  <c r="AB44" i="26"/>
  <c r="K62"/>
  <c r="K60"/>
  <c r="K56" i="33"/>
  <c r="K61" i="26"/>
  <c r="K76"/>
  <c r="BV54" i="33"/>
  <c r="DT54" s="1"/>
  <c r="AC57"/>
  <c r="AX42" i="26"/>
  <c r="AX42" i="33" s="1"/>
  <c r="K129" i="26"/>
  <c r="K75" i="33"/>
  <c r="AB57"/>
  <c r="AX145" i="12"/>
  <c r="AX44" i="26"/>
  <c r="AL42"/>
  <c r="DL41" i="33"/>
  <c r="AL41"/>
  <c r="BH45" i="26"/>
  <c r="BH25" i="29"/>
  <c r="BH146" i="12"/>
  <c r="BH60" i="33"/>
  <c r="BH80" i="26"/>
  <c r="AN46"/>
  <c r="AN46" i="33" s="1"/>
  <c r="BH42" i="26"/>
  <c r="BH42" i="33" s="1"/>
  <c r="BH44"/>
  <c r="BH122" i="26"/>
  <c r="BH77"/>
  <c r="BH77" i="33" s="1"/>
  <c r="BH130" i="26"/>
  <c r="BH76" i="33"/>
  <c r="BH61"/>
  <c r="BH81" i="26"/>
  <c r="BH81" i="33" s="1"/>
  <c r="BH62"/>
  <c r="BH82" s="1"/>
  <c r="BH82" i="26"/>
  <c r="AN107" i="29"/>
  <c r="AN110" s="1"/>
  <c r="AN50" i="26"/>
  <c r="AN50" i="33" s="1"/>
  <c r="AN123" i="26"/>
  <c r="AN51"/>
  <c r="AN51" i="33" s="1"/>
  <c r="AN45"/>
  <c r="AN49" i="26"/>
  <c r="BI77"/>
  <c r="BI77" i="33" s="1"/>
  <c r="BI76"/>
  <c r="BI130" i="26"/>
  <c r="BI61" i="33"/>
  <c r="BI81" i="26"/>
  <c r="BI81" i="33" s="1"/>
  <c r="Y41"/>
  <c r="AD62"/>
  <c r="AD82" s="1"/>
  <c r="AC46" i="26"/>
  <c r="BN41" i="33"/>
  <c r="Z41"/>
  <c r="AJ146" i="12"/>
  <c r="AJ25" i="29"/>
  <c r="AJ45" i="26"/>
  <c r="BC46"/>
  <c r="BC46" i="33" s="1"/>
  <c r="DD42"/>
  <c r="AD42"/>
  <c r="AF76"/>
  <c r="AF77" i="26"/>
  <c r="AF130"/>
  <c r="AF60" i="33"/>
  <c r="AF80" i="26"/>
  <c r="AF62" i="33"/>
  <c r="AF82" s="1"/>
  <c r="AF82" i="26"/>
  <c r="AI145" i="12"/>
  <c r="AI44" i="26"/>
  <c r="BN62" i="33"/>
  <c r="Z62"/>
  <c r="AD46" i="26"/>
  <c r="AD49"/>
  <c r="AD107" i="29"/>
  <c r="AD110" s="1"/>
  <c r="AD50" i="26"/>
  <c r="AD51"/>
  <c r="AD123"/>
  <c r="DD45" i="33"/>
  <c r="AD45"/>
  <c r="T46" i="26"/>
  <c r="T46" i="33" s="1"/>
  <c r="S146" i="12"/>
  <c r="S25" i="29"/>
  <c r="S45" i="26"/>
  <c r="M129"/>
  <c r="M75" i="33"/>
  <c r="M44"/>
  <c r="M122" i="26"/>
  <c r="AI81"/>
  <c r="AI61" i="33"/>
  <c r="AJ76"/>
  <c r="AJ77" i="26"/>
  <c r="AJ130"/>
  <c r="AJ60" i="33"/>
  <c r="DJ60"/>
  <c r="AJ80" i="26"/>
  <c r="AJ62" i="33"/>
  <c r="AJ82" s="1"/>
  <c r="AJ82" i="26"/>
  <c r="T61" i="33"/>
  <c r="T81" i="26"/>
  <c r="T81" i="33" s="1"/>
  <c r="DF44"/>
  <c r="AF44"/>
  <c r="AF122" i="26"/>
  <c r="M93" i="12"/>
  <c r="M41" i="26"/>
  <c r="M41" i="33" s="1"/>
  <c r="I45"/>
  <c r="I49" i="26"/>
  <c r="I51"/>
  <c r="I51" i="33" s="1"/>
  <c r="I50" i="26"/>
  <c r="I50" i="33" s="1"/>
  <c r="I107" i="29"/>
  <c r="I110" s="1"/>
  <c r="AJ42" i="26"/>
  <c r="Z44" i="33"/>
  <c r="Z122" i="26"/>
  <c r="BN44" i="33"/>
  <c r="AF42"/>
  <c r="U25" i="29"/>
  <c r="U45" i="26"/>
  <c r="U146" i="12"/>
  <c r="BI60" i="33"/>
  <c r="BI80" i="26"/>
  <c r="S129"/>
  <c r="S75" i="33"/>
  <c r="M56"/>
  <c r="M62" i="26"/>
  <c r="M60"/>
  <c r="M61"/>
  <c r="M76"/>
  <c r="AI80" i="33"/>
  <c r="Y42" i="26"/>
  <c r="AD60" i="33"/>
  <c r="DD60"/>
  <c r="AD61"/>
  <c r="DD61"/>
  <c r="AC45"/>
  <c r="DC45"/>
  <c r="AC49" i="26"/>
  <c r="AC123"/>
  <c r="AC107" i="29"/>
  <c r="AC110" s="1"/>
  <c r="AC51" i="26"/>
  <c r="AC50"/>
  <c r="Z42"/>
  <c r="J42" i="34" s="1"/>
  <c r="AJ44" i="33"/>
  <c r="AJ122" i="26"/>
  <c r="BC123"/>
  <c r="BC107" i="29"/>
  <c r="BC110" s="1"/>
  <c r="BC51" i="26"/>
  <c r="BC51" i="33" s="1"/>
  <c r="BC45"/>
  <c r="BC50" i="26"/>
  <c r="BC50" i="33" s="1"/>
  <c r="BC49" i="26"/>
  <c r="BX40" i="33"/>
  <c r="DV40" s="1"/>
  <c r="AF61"/>
  <c r="AF81" i="26"/>
  <c r="BN61" i="33"/>
  <c r="Z61"/>
  <c r="Z60"/>
  <c r="BN60"/>
  <c r="CN42"/>
  <c r="AI42"/>
  <c r="T107" i="29"/>
  <c r="T110" s="1"/>
  <c r="T50" i="26"/>
  <c r="T50" i="33" s="1"/>
  <c r="T123" i="26"/>
  <c r="T45" i="33"/>
  <c r="T51" i="26"/>
  <c r="T51" i="33" s="1"/>
  <c r="T49" i="26"/>
  <c r="S122"/>
  <c r="S44" i="33"/>
  <c r="U42" i="26"/>
  <c r="U42" i="33" s="1"/>
  <c r="S61" i="26"/>
  <c r="S60"/>
  <c r="S56" i="33"/>
  <c r="S62" i="26"/>
  <c r="S76"/>
  <c r="M25" i="29"/>
  <c r="M146" i="12"/>
  <c r="M45" i="26"/>
  <c r="L49" i="33"/>
  <c r="AI62"/>
  <c r="AI82" s="1"/>
  <c r="AI60"/>
  <c r="CN60"/>
  <c r="AI77"/>
  <c r="AJ61"/>
  <c r="AJ81" i="26"/>
  <c r="T77"/>
  <c r="T77" i="33" s="1"/>
  <c r="T130" i="26"/>
  <c r="T76" i="33"/>
  <c r="T60"/>
  <c r="T80" i="26"/>
  <c r="T62" i="33"/>
  <c r="T82" s="1"/>
  <c r="T82" i="26"/>
  <c r="BI42"/>
  <c r="BI42" i="33" s="1"/>
  <c r="AF146" i="12"/>
  <c r="AF45" i="26"/>
  <c r="AF25" i="29"/>
  <c r="S93" i="12"/>
  <c r="S41" i="26"/>
  <c r="S41" i="33" s="1"/>
  <c r="I46" i="26"/>
  <c r="I46" i="33" s="1"/>
  <c r="AJ41"/>
  <c r="Z146" i="12"/>
  <c r="Z45" i="26"/>
  <c r="J45" i="34" s="1"/>
  <c r="Z25" i="29"/>
  <c r="U122" i="26"/>
  <c r="U44" i="33"/>
  <c r="BA80"/>
  <c r="AY61"/>
  <c r="AY81" i="26"/>
  <c r="AY81" i="33" s="1"/>
  <c r="H45" i="26"/>
  <c r="H25" i="29"/>
  <c r="H146" i="12"/>
  <c r="AT44" i="33"/>
  <c r="AT122" i="26"/>
  <c r="DL73" i="33"/>
  <c r="AL73"/>
  <c r="AL72"/>
  <c r="BE62"/>
  <c r="BE82" s="1"/>
  <c r="BE82" i="26"/>
  <c r="V42"/>
  <c r="V42" i="33" s="1"/>
  <c r="AY122" i="26"/>
  <c r="AY44" i="33"/>
  <c r="BY75"/>
  <c r="DW75" s="1"/>
  <c r="R45"/>
  <c r="R107" i="29"/>
  <c r="R110" s="1"/>
  <c r="R51" i="26"/>
  <c r="R51" i="33" s="1"/>
  <c r="R50" i="26"/>
  <c r="R50" i="33" s="1"/>
  <c r="R123" i="26"/>
  <c r="R49"/>
  <c r="DE57" i="33"/>
  <c r="AH62"/>
  <c r="AH82" s="1"/>
  <c r="AH82" i="26"/>
  <c r="AR42"/>
  <c r="AR42" i="33" s="1"/>
  <c r="AO44"/>
  <c r="AO122" i="26"/>
  <c r="BF44" i="33"/>
  <c r="BF122" i="26"/>
  <c r="AW122"/>
  <c r="AW44" i="33"/>
  <c r="BF77" i="26"/>
  <c r="BF77" i="33" s="1"/>
  <c r="BF76"/>
  <c r="BF130" i="26"/>
  <c r="BF62" i="33"/>
  <c r="BF82" s="1"/>
  <c r="BF82" i="26"/>
  <c r="CA53" i="33"/>
  <c r="BS40"/>
  <c r="BT40"/>
  <c r="BN71"/>
  <c r="Z71"/>
  <c r="Z80" i="26"/>
  <c r="J80" i="34" s="1"/>
  <c r="BN73" i="33"/>
  <c r="Z73"/>
  <c r="Z82" s="1"/>
  <c r="BN82" s="1"/>
  <c r="Z82" i="26"/>
  <c r="J82" i="34" s="1"/>
  <c r="CC67" i="33"/>
  <c r="CU67"/>
  <c r="X72"/>
  <c r="CG73"/>
  <c r="AD80"/>
  <c r="AR77" i="26"/>
  <c r="AR77" i="33" s="1"/>
  <c r="AR76"/>
  <c r="AR130" i="26"/>
  <c r="AR61" i="33"/>
  <c r="AR81" i="26"/>
  <c r="AR81" i="33" s="1"/>
  <c r="AW61"/>
  <c r="AW81" i="26"/>
  <c r="AW81" i="33" s="1"/>
  <c r="AW60"/>
  <c r="AW80" i="26"/>
  <c r="AV123"/>
  <c r="AV45" i="33"/>
  <c r="AV107" i="29"/>
  <c r="AV110" s="1"/>
  <c r="AV50" i="26"/>
  <c r="AV50" i="33" s="1"/>
  <c r="AV51" i="26"/>
  <c r="AV51" i="33" s="1"/>
  <c r="AV49" i="26"/>
  <c r="BS75" i="33"/>
  <c r="BT75"/>
  <c r="P130" i="26"/>
  <c r="P77"/>
  <c r="P77" i="33" s="1"/>
  <c r="P76"/>
  <c r="P60"/>
  <c r="P80" i="26"/>
  <c r="P61" i="33"/>
  <c r="P81" i="26"/>
  <c r="P81" i="33" s="1"/>
  <c r="CL41"/>
  <c r="AQ51" i="26"/>
  <c r="AQ51" i="33" s="1"/>
  <c r="AQ49" i="26"/>
  <c r="AQ50"/>
  <c r="AQ50" i="33" s="1"/>
  <c r="AQ45"/>
  <c r="AQ107" i="29"/>
  <c r="AQ110" s="1"/>
  <c r="AQ123" i="26"/>
  <c r="BD60" i="33"/>
  <c r="BD80" i="26"/>
  <c r="H61" i="33"/>
  <c r="H81" i="26"/>
  <c r="H81" i="33" s="1"/>
  <c r="H62"/>
  <c r="H82" s="1"/>
  <c r="H82" i="26"/>
  <c r="AV62" i="33"/>
  <c r="AV82" s="1"/>
  <c r="AV82" i="26"/>
  <c r="AV61" i="33"/>
  <c r="AV81" i="26"/>
  <c r="AV81" i="33" s="1"/>
  <c r="AO42" i="26"/>
  <c r="AO42" i="33" s="1"/>
  <c r="AP72"/>
  <c r="AP81" i="26"/>
  <c r="AP81" i="33" s="1"/>
  <c r="AO130" i="26"/>
  <c r="AO77"/>
  <c r="AO77" i="33" s="1"/>
  <c r="AO76"/>
  <c r="AO60"/>
  <c r="AO80" i="26"/>
  <c r="AO62" i="33"/>
  <c r="AO82" s="1"/>
  <c r="AO82" i="26"/>
  <c r="N49" i="33"/>
  <c r="AS60"/>
  <c r="AS80" i="26"/>
  <c r="AM46"/>
  <c r="L73" i="33"/>
  <c r="L72"/>
  <c r="L81" i="26"/>
  <c r="L81" i="33" s="1"/>
  <c r="AW42" i="26"/>
  <c r="AW42" i="33" s="1"/>
  <c r="AE77" i="26"/>
  <c r="AE76" i="33"/>
  <c r="AE130" i="26"/>
  <c r="AE60" i="33"/>
  <c r="AE80" i="26"/>
  <c r="BG49" i="33"/>
  <c r="AZ77" i="26"/>
  <c r="AZ77" i="33" s="1"/>
  <c r="AZ76"/>
  <c r="AZ130" i="26"/>
  <c r="AZ60" i="33"/>
  <c r="AZ80" i="26"/>
  <c r="BZ40" i="33"/>
  <c r="AN71"/>
  <c r="AN80" i="26"/>
  <c r="AN73" i="33"/>
  <c r="AN82" s="1"/>
  <c r="AN82" i="26"/>
  <c r="J146" i="12"/>
  <c r="J45" i="26"/>
  <c r="J25" i="29"/>
  <c r="AU77" i="26"/>
  <c r="AU77" i="33" s="1"/>
  <c r="AU130" i="26"/>
  <c r="AU76" i="33"/>
  <c r="AU71"/>
  <c r="AU80" i="26"/>
  <c r="AU72" i="33"/>
  <c r="AU81" i="26"/>
  <c r="AU81" i="33" s="1"/>
  <c r="J61"/>
  <c r="J60"/>
  <c r="BD42" i="26"/>
  <c r="BD42" i="33" s="1"/>
  <c r="AE42" i="26"/>
  <c r="AR46"/>
  <c r="AR46" i="33" s="1"/>
  <c r="AS122" i="26"/>
  <c r="AS44" i="33"/>
  <c r="BE44"/>
  <c r="BE122" i="26"/>
  <c r="CC68" i="33"/>
  <c r="CU68"/>
  <c r="CG71"/>
  <c r="AK146" i="12"/>
  <c r="AK25" i="29"/>
  <c r="AK45" i="26"/>
  <c r="V60" i="33"/>
  <c r="V61"/>
  <c r="CA38"/>
  <c r="DY38" s="1"/>
  <c r="Q60"/>
  <c r="Q80" i="26"/>
  <c r="Q62" i="33"/>
  <c r="Q82" s="1"/>
  <c r="Q82" i="26"/>
  <c r="AK76" i="33"/>
  <c r="AK77" i="26"/>
  <c r="AK130"/>
  <c r="AK61" i="33"/>
  <c r="AK81" i="26"/>
  <c r="AH46"/>
  <c r="AH51"/>
  <c r="AH49"/>
  <c r="AH107" i="29"/>
  <c r="AH110" s="1"/>
  <c r="AH45" i="33"/>
  <c r="AH50" i="26"/>
  <c r="AH123"/>
  <c r="AG42" i="33"/>
  <c r="BV75"/>
  <c r="N77" i="26"/>
  <c r="N77" i="33" s="1"/>
  <c r="N76"/>
  <c r="N130" i="26"/>
  <c r="N61" i="33"/>
  <c r="N81" i="26"/>
  <c r="N81" i="33" s="1"/>
  <c r="N60"/>
  <c r="N80" i="26"/>
  <c r="AZ42"/>
  <c r="AZ42" i="33" s="1"/>
  <c r="AZ44"/>
  <c r="AZ122" i="26"/>
  <c r="AV42"/>
  <c r="AV42" i="33" s="1"/>
  <c r="BA45" i="26"/>
  <c r="BA146" i="12"/>
  <c r="BA25" i="29"/>
  <c r="AE146" i="12"/>
  <c r="AE45" i="26"/>
  <c r="AE25" i="29"/>
  <c r="BD45" i="26"/>
  <c r="BD146" i="12"/>
  <c r="BD25" i="29"/>
  <c r="CT72" i="33"/>
  <c r="DX38"/>
  <c r="AY76"/>
  <c r="AY130" i="26"/>
  <c r="AY77"/>
  <c r="AY77" i="33" s="1"/>
  <c r="AY60"/>
  <c r="AY80" i="26"/>
  <c r="AY62" i="33"/>
  <c r="AY82" s="1"/>
  <c r="AY82" i="26"/>
  <c r="AT25" i="29"/>
  <c r="AT45" i="26"/>
  <c r="AT146" i="12"/>
  <c r="AL71" i="33"/>
  <c r="BE77" i="26"/>
  <c r="BE77" i="33" s="1"/>
  <c r="BE76"/>
  <c r="BE130" i="26"/>
  <c r="BE60" i="33"/>
  <c r="BE80" i="26"/>
  <c r="BE61" i="33"/>
  <c r="BE81" i="26"/>
  <c r="BE81" i="33" s="1"/>
  <c r="AY45" i="26"/>
  <c r="AY25" i="29"/>
  <c r="AY146" i="12"/>
  <c r="R46" i="26"/>
  <c r="R46" i="33" s="1"/>
  <c r="AH130" i="26"/>
  <c r="AH77"/>
  <c r="AH76" i="33"/>
  <c r="AH61"/>
  <c r="AH81" i="26"/>
  <c r="AH60" i="33"/>
  <c r="AH80" i="26"/>
  <c r="BF42"/>
  <c r="BF42" i="33" s="1"/>
  <c r="AO45" i="26"/>
  <c r="AO146" i="12"/>
  <c r="AO25" i="29"/>
  <c r="BF45" i="26"/>
  <c r="BF146" i="12"/>
  <c r="BF25" i="29"/>
  <c r="AW146" i="12"/>
  <c r="AW45" i="26"/>
  <c r="AW25" i="29"/>
  <c r="BF61" i="33"/>
  <c r="BF81" i="26"/>
  <c r="BF81" i="33" s="1"/>
  <c r="BF60"/>
  <c r="BF80" i="26"/>
  <c r="P45" i="33"/>
  <c r="P51" i="26"/>
  <c r="P51" i="33" s="1"/>
  <c r="P107" i="29"/>
  <c r="P110" s="1"/>
  <c r="P50" i="26"/>
  <c r="P50" i="33" s="1"/>
  <c r="P123" i="26"/>
  <c r="P49"/>
  <c r="P46"/>
  <c r="P46" i="33" s="1"/>
  <c r="DE40"/>
  <c r="Z77" i="26"/>
  <c r="J77" i="34" s="1"/>
  <c r="BN76" i="33"/>
  <c r="Z76"/>
  <c r="Z130" i="26"/>
  <c r="BN72" i="33"/>
  <c r="Z72"/>
  <c r="Z81" i="26"/>
  <c r="J81" i="34" s="1"/>
  <c r="X73" i="33"/>
  <c r="X71"/>
  <c r="BL67"/>
  <c r="DS67" s="1"/>
  <c r="CG72"/>
  <c r="BP73"/>
  <c r="DU73" s="1"/>
  <c r="AR60"/>
  <c r="AR80" i="26"/>
  <c r="AR62" i="33"/>
  <c r="AR82" s="1"/>
  <c r="AR82" i="26"/>
  <c r="AW76" i="33"/>
  <c r="AW130" i="26"/>
  <c r="AW77"/>
  <c r="AW77" i="33" s="1"/>
  <c r="AW62"/>
  <c r="AW82" s="1"/>
  <c r="AW82" i="26"/>
  <c r="BV44" i="33"/>
  <c r="AV46" i="26"/>
  <c r="AV46" i="33" s="1"/>
  <c r="P62"/>
  <c r="P82" s="1"/>
  <c r="P82" i="26"/>
  <c r="BV40" i="33"/>
  <c r="DT40" s="1"/>
  <c r="AQ46" i="26"/>
  <c r="AQ46" i="33" s="1"/>
  <c r="AK42"/>
  <c r="BD76"/>
  <c r="BD77" i="26"/>
  <c r="BD77" i="33" s="1"/>
  <c r="BD130" i="26"/>
  <c r="BD62" i="33"/>
  <c r="BD82" s="1"/>
  <c r="BD82" i="26"/>
  <c r="BD61" i="33"/>
  <c r="BD81" i="26"/>
  <c r="BD81" i="33" s="1"/>
  <c r="H77" i="26"/>
  <c r="H77" i="33" s="1"/>
  <c r="H76"/>
  <c r="H60"/>
  <c r="H80" i="26"/>
  <c r="AV130"/>
  <c r="AV77"/>
  <c r="AV77" i="33" s="1"/>
  <c r="AV76"/>
  <c r="AV60"/>
  <c r="AV80" i="26"/>
  <c r="H42"/>
  <c r="H42" i="33" s="1"/>
  <c r="AP130" i="26"/>
  <c r="AP77"/>
  <c r="AP77" i="33" s="1"/>
  <c r="AP76"/>
  <c r="AP73"/>
  <c r="AP82" s="1"/>
  <c r="AP71"/>
  <c r="AP80" i="26"/>
  <c r="AO61" i="33"/>
  <c r="AO81" i="26"/>
  <c r="AO81" i="33" s="1"/>
  <c r="AS77" i="26"/>
  <c r="AS77" i="33" s="1"/>
  <c r="AS130" i="26"/>
  <c r="AS76" i="33"/>
  <c r="AS61"/>
  <c r="AS81" i="26"/>
  <c r="AS81" i="33" s="1"/>
  <c r="AS62"/>
  <c r="AS82" s="1"/>
  <c r="AS82" i="26"/>
  <c r="AM51"/>
  <c r="AM123"/>
  <c r="AM45" i="33"/>
  <c r="AM107" i="29"/>
  <c r="AM110" s="1"/>
  <c r="AM49" i="26"/>
  <c r="AM50"/>
  <c r="L77"/>
  <c r="L77" i="33" s="1"/>
  <c r="L76"/>
  <c r="L130" i="26"/>
  <c r="L71" i="33"/>
  <c r="L80" i="26"/>
  <c r="BG80" i="33"/>
  <c r="AE62"/>
  <c r="AE82" s="1"/>
  <c r="AE82" i="26"/>
  <c r="DE56" i="33"/>
  <c r="AE61"/>
  <c r="AE81" i="26"/>
  <c r="AZ61" i="33"/>
  <c r="AZ81" i="26"/>
  <c r="AZ81" i="33" s="1"/>
  <c r="AZ62"/>
  <c r="AZ82" s="1"/>
  <c r="AZ82" i="26"/>
  <c r="U80" i="33"/>
  <c r="AN77" i="26"/>
  <c r="AN77" i="33" s="1"/>
  <c r="AN130" i="26"/>
  <c r="AN76" i="33"/>
  <c r="AN72"/>
  <c r="AN81" i="26"/>
  <c r="AN81" i="33" s="1"/>
  <c r="AU73"/>
  <c r="AU82" s="1"/>
  <c r="AU82" i="26"/>
  <c r="J62" i="33"/>
  <c r="CA66"/>
  <c r="DY66" s="1"/>
  <c r="AE41"/>
  <c r="AR45"/>
  <c r="AR107" i="29"/>
  <c r="AR110" s="1"/>
  <c r="AR50" i="26"/>
  <c r="AR50" i="33" s="1"/>
  <c r="AR49" i="26"/>
  <c r="AR51"/>
  <c r="AR51" i="33" s="1"/>
  <c r="AR123" i="26"/>
  <c r="AS25" i="29"/>
  <c r="AS146" i="12"/>
  <c r="AS45" i="26"/>
  <c r="BE146" i="12"/>
  <c r="BE45" i="26"/>
  <c r="BE25" i="29"/>
  <c r="BL68" i="33"/>
  <c r="AK44"/>
  <c r="AK122" i="26"/>
  <c r="DD77" i="33"/>
  <c r="AD77"/>
  <c r="V62"/>
  <c r="Q130" i="26"/>
  <c r="Q76" i="33"/>
  <c r="Q77" i="26"/>
  <c r="Q77" i="33" s="1"/>
  <c r="Q61"/>
  <c r="Q81" i="26"/>
  <c r="Q81" i="33" s="1"/>
  <c r="DK60"/>
  <c r="AK60"/>
  <c r="AK80" i="26"/>
  <c r="AK62" i="33"/>
  <c r="AK82" s="1"/>
  <c r="AK82" i="26"/>
  <c r="Q49" i="33"/>
  <c r="N62"/>
  <c r="N82" s="1"/>
  <c r="N82" i="26"/>
  <c r="AH41" i="33"/>
  <c r="AH42" i="26"/>
  <c r="AZ25" i="29"/>
  <c r="AZ45" i="26"/>
  <c r="AZ146" i="12"/>
  <c r="V107" i="29"/>
  <c r="V110" s="1"/>
  <c r="V45" i="33"/>
  <c r="V50" i="26"/>
  <c r="V50" i="33" s="1"/>
  <c r="V49" i="26"/>
  <c r="V123"/>
  <c r="V51"/>
  <c r="V51" i="33" s="1"/>
  <c r="V46" i="26"/>
  <c r="V46" i="33" s="1"/>
  <c r="BA44"/>
  <c r="BA122" i="26"/>
  <c r="AE122"/>
  <c r="AE44" i="33"/>
  <c r="BD122" i="26"/>
  <c r="BD44" i="33"/>
  <c r="DX66"/>
  <c r="BD55" i="34" l="1"/>
  <c r="DN55" i="33" s="1"/>
  <c r="DQ64"/>
  <c r="AO72" i="34"/>
  <c r="CS72" i="33" s="1"/>
  <c r="BF55" i="34"/>
  <c r="DP55" i="33" s="1"/>
  <c r="BO37" i="34"/>
  <c r="CA37" i="33"/>
  <c r="BG37" i="34"/>
  <c r="DX28" i="33"/>
  <c r="DX63"/>
  <c r="BO28" i="34"/>
  <c r="CA28" i="33"/>
  <c r="DY28" s="1"/>
  <c r="BO63" i="34"/>
  <c r="CA63" i="33"/>
  <c r="DY63" s="1"/>
  <c r="DX52"/>
  <c r="BO52" i="34"/>
  <c r="CA52" i="33"/>
  <c r="DY52" s="1"/>
  <c r="BO43" i="34"/>
  <c r="CA43" i="33"/>
  <c r="BQ68"/>
  <c r="AO71" i="34"/>
  <c r="CS71" i="33" s="1"/>
  <c r="AQ71" i="34"/>
  <c r="CU71" i="33" s="1"/>
  <c r="AO73" i="34"/>
  <c r="CS73" i="33" s="1"/>
  <c r="BI55" i="34"/>
  <c r="BC93" i="12"/>
  <c r="K44" i="34"/>
  <c r="BO44" i="33" s="1"/>
  <c r="AA44"/>
  <c r="AA122" i="26"/>
  <c r="K56" i="34"/>
  <c r="BO56" i="33" s="1"/>
  <c r="AA62" i="26"/>
  <c r="AA61"/>
  <c r="AA60"/>
  <c r="AA56" i="33"/>
  <c r="AA76" i="26"/>
  <c r="K40" i="34"/>
  <c r="BO40" i="33" s="1"/>
  <c r="AA40"/>
  <c r="AA93" i="12"/>
  <c r="AA41" i="26"/>
  <c r="AA25" i="29"/>
  <c r="AA146" i="12"/>
  <c r="AA45" i="26"/>
  <c r="K75" i="34"/>
  <c r="BO75" i="33" s="1"/>
  <c r="AA129" i="26"/>
  <c r="AA75" i="33"/>
  <c r="K57" i="34"/>
  <c r="BO57" i="33" s="1"/>
  <c r="AA57"/>
  <c r="V67"/>
  <c r="V73" i="26"/>
  <c r="V72"/>
  <c r="V71"/>
  <c r="V76"/>
  <c r="W47" i="34"/>
  <c r="BN47"/>
  <c r="BZ47" i="33"/>
  <c r="DX47" s="1"/>
  <c r="BN69" i="34"/>
  <c r="W69"/>
  <c r="BZ69" i="33"/>
  <c r="DX69" s="1"/>
  <c r="W60" i="26"/>
  <c r="W62"/>
  <c r="W76"/>
  <c r="W61"/>
  <c r="W56" i="33"/>
  <c r="AS68" i="34"/>
  <c r="AC68" i="33"/>
  <c r="BE68" i="34"/>
  <c r="DO68" i="33" s="1"/>
  <c r="Y146" i="12"/>
  <c r="Y45" i="26"/>
  <c r="Y25" i="29"/>
  <c r="Z57" i="34"/>
  <c r="CD57" i="33" s="1"/>
  <c r="I57" i="34"/>
  <c r="Y57" i="33"/>
  <c r="W44"/>
  <c r="W122" i="26"/>
  <c r="V129"/>
  <c r="V75" i="33"/>
  <c r="BL66" i="34"/>
  <c r="BQ66" i="33"/>
  <c r="DV66" s="1"/>
  <c r="BD66" i="34"/>
  <c r="DN66" i="33" s="1"/>
  <c r="BF66" i="34"/>
  <c r="DP66" i="33" s="1"/>
  <c r="DC66"/>
  <c r="BM55"/>
  <c r="DT55" s="1"/>
  <c r="BJ55" i="34"/>
  <c r="W58"/>
  <c r="BN58"/>
  <c r="BZ58" i="33"/>
  <c r="DX58" s="1"/>
  <c r="M39" i="34"/>
  <c r="AR39"/>
  <c r="CV39" i="33" s="1"/>
  <c r="BP39"/>
  <c r="R39" i="34"/>
  <c r="BI39"/>
  <c r="BU39" i="33"/>
  <c r="DS39" s="1"/>
  <c r="BE67" i="34"/>
  <c r="DO67" i="33" s="1"/>
  <c r="AC72" i="26"/>
  <c r="AC67" i="33"/>
  <c r="AS67" i="34"/>
  <c r="AC71" i="26"/>
  <c r="M71" i="34" s="1"/>
  <c r="AC73" i="26"/>
  <c r="AC76"/>
  <c r="Z44" i="34"/>
  <c r="CD44" i="33" s="1"/>
  <c r="Y122" i="26"/>
  <c r="I44" i="34"/>
  <c r="Y44" i="33"/>
  <c r="Z56" i="34"/>
  <c r="CD56" i="33" s="1"/>
  <c r="Y61" i="26"/>
  <c r="Y76"/>
  <c r="I56" i="34"/>
  <c r="Y56" i="33"/>
  <c r="Y60" i="26"/>
  <c r="Y62"/>
  <c r="W146" i="12"/>
  <c r="W25" i="29"/>
  <c r="W45" i="26"/>
  <c r="W75" i="33"/>
  <c r="W129" i="26"/>
  <c r="M75" i="34"/>
  <c r="AC75" i="33"/>
  <c r="AS75" i="34"/>
  <c r="DC75" i="33" s="1"/>
  <c r="AC129" i="26"/>
  <c r="W41"/>
  <c r="W41" i="33" s="1"/>
  <c r="W93" i="12"/>
  <c r="V78" i="34"/>
  <c r="BM78"/>
  <c r="BY78" i="33"/>
  <c r="DW78" s="1"/>
  <c r="I75" i="34"/>
  <c r="Y75" i="33"/>
  <c r="Z75" i="34"/>
  <c r="CD75" i="33" s="1"/>
  <c r="Y129" i="26"/>
  <c r="J73"/>
  <c r="J67" i="33"/>
  <c r="J71" i="26"/>
  <c r="J72"/>
  <c r="J76"/>
  <c r="DM40" i="33"/>
  <c r="AT93" i="12"/>
  <c r="R93"/>
  <c r="R41" i="26"/>
  <c r="R41" i="33" s="1"/>
  <c r="AT56"/>
  <c r="AT61" i="26"/>
  <c r="AT60"/>
  <c r="AT76"/>
  <c r="AT62"/>
  <c r="AL146" i="12"/>
  <c r="AL25" i="29"/>
  <c r="AL45" i="26"/>
  <c r="R129"/>
  <c r="R75" i="33"/>
  <c r="BC75"/>
  <c r="BC129" i="26"/>
  <c r="BC42"/>
  <c r="BC42" i="33" s="1"/>
  <c r="BB56" i="34"/>
  <c r="DL56" i="33" s="1"/>
  <c r="AL61" i="26"/>
  <c r="BE61" i="34" s="1"/>
  <c r="DO61" i="33" s="1"/>
  <c r="AL62" i="26"/>
  <c r="AL60"/>
  <c r="AL56" i="33"/>
  <c r="AL76" i="26"/>
  <c r="AT129"/>
  <c r="AT75" i="33"/>
  <c r="R62" i="26"/>
  <c r="R61"/>
  <c r="R76"/>
  <c r="R56" i="33"/>
  <c r="R60" i="26"/>
  <c r="BC61"/>
  <c r="BC56" i="33"/>
  <c r="BC60" i="26"/>
  <c r="BC62"/>
  <c r="BC76"/>
  <c r="AL129"/>
  <c r="AL75" i="33"/>
  <c r="BB75" i="34"/>
  <c r="BN55"/>
  <c r="W55"/>
  <c r="AL122" i="26"/>
  <c r="BB44" i="34"/>
  <c r="DL44" i="33" s="1"/>
  <c r="AL44"/>
  <c r="BB57" i="34"/>
  <c r="DL57" i="33" s="1"/>
  <c r="AL57"/>
  <c r="V62" i="34"/>
  <c r="W62" s="1"/>
  <c r="AO75"/>
  <c r="CS75" i="33" s="1"/>
  <c r="DQ38"/>
  <c r="DS68"/>
  <c r="L82" i="26"/>
  <c r="AO41" i="34"/>
  <c r="CG41" i="33"/>
  <c r="DM75"/>
  <c r="AQ55" i="34"/>
  <c r="CU55" i="33" s="1"/>
  <c r="AP82" i="26"/>
  <c r="L82" i="33"/>
  <c r="DS55"/>
  <c r="AR55" i="34"/>
  <c r="CV55" i="33" s="1"/>
  <c r="BN48" i="34"/>
  <c r="W48"/>
  <c r="BZ48" i="33"/>
  <c r="DX48" s="1"/>
  <c r="BM79" i="34"/>
  <c r="BY79" i="33"/>
  <c r="DW79" s="1"/>
  <c r="V79" i="34"/>
  <c r="BN59"/>
  <c r="W59"/>
  <c r="BZ59" i="33"/>
  <c r="DX59" s="1"/>
  <c r="AQ62"/>
  <c r="AQ82" s="1"/>
  <c r="AQ82" i="26"/>
  <c r="AQ61" i="33"/>
  <c r="AQ81" i="26"/>
  <c r="AQ81" i="33" s="1"/>
  <c r="AQ42" i="26"/>
  <c r="AQ42" i="33" s="1"/>
  <c r="AQ77" i="26"/>
  <c r="AQ77" i="33" s="1"/>
  <c r="AQ130" i="26"/>
  <c r="AQ76" i="33"/>
  <c r="AQ60"/>
  <c r="AQ80" i="26"/>
  <c r="AQ80" i="33" s="1"/>
  <c r="Y75" i="34"/>
  <c r="X129" i="26"/>
  <c r="H75" i="34"/>
  <c r="BI75" s="1"/>
  <c r="X75" i="33"/>
  <c r="X146" i="12"/>
  <c r="X45" i="26"/>
  <c r="X25" i="29"/>
  <c r="BL40" i="33"/>
  <c r="DS40" s="1"/>
  <c r="BI40" i="34"/>
  <c r="Y57"/>
  <c r="CC57" i="33" s="1"/>
  <c r="X57"/>
  <c r="H57" i="34"/>
  <c r="X42" i="26"/>
  <c r="AP42" i="34" s="1"/>
  <c r="CT42" i="33" s="1"/>
  <c r="H44" i="34"/>
  <c r="BL44" i="33" s="1"/>
  <c r="X44"/>
  <c r="Y44" i="34"/>
  <c r="CC44" i="33" s="1"/>
  <c r="X122" i="26"/>
  <c r="CC40" i="33"/>
  <c r="AQ40" i="34"/>
  <c r="CU40" i="33" s="1"/>
  <c r="H56" i="34"/>
  <c r="X56" i="33"/>
  <c r="X61" i="26"/>
  <c r="Y56" i="34"/>
  <c r="CC56" i="33" s="1"/>
  <c r="X60" i="26"/>
  <c r="X62"/>
  <c r="AP62" i="34" s="1"/>
  <c r="CT62" i="33" s="1"/>
  <c r="X76" i="26"/>
  <c r="AP76" i="34" s="1"/>
  <c r="CT76" i="33" s="1"/>
  <c r="H41" i="34"/>
  <c r="BL41" i="33" s="1"/>
  <c r="X41"/>
  <c r="Y41" i="34"/>
  <c r="CC41" i="33" s="1"/>
  <c r="BD40" i="34"/>
  <c r="DN40" i="33" s="1"/>
  <c r="AG46" i="26"/>
  <c r="BU44" i="33"/>
  <c r="AG51" i="26"/>
  <c r="AG50"/>
  <c r="AG45" i="33"/>
  <c r="AH45" i="34"/>
  <c r="CL45" i="33" s="1"/>
  <c r="AG107" i="29"/>
  <c r="AG110" s="1"/>
  <c r="AG123" i="26"/>
  <c r="AG49"/>
  <c r="BU75" i="33"/>
  <c r="AG60"/>
  <c r="AH60" i="34"/>
  <c r="CL60" i="33" s="1"/>
  <c r="AG80" i="26"/>
  <c r="AH76" i="34"/>
  <c r="CL76" i="33" s="1"/>
  <c r="AG76"/>
  <c r="AG77" i="26"/>
  <c r="AG130"/>
  <c r="AG82"/>
  <c r="AH62" i="34"/>
  <c r="CL62" i="33" s="1"/>
  <c r="Q62" i="34"/>
  <c r="AG62" i="33"/>
  <c r="AG82" s="1"/>
  <c r="AG81" i="26"/>
  <c r="AH61" i="34"/>
  <c r="CL61" i="33" s="1"/>
  <c r="AG61"/>
  <c r="BG40" i="34"/>
  <c r="AI42"/>
  <c r="CM42" i="33" s="1"/>
  <c r="BA80" i="34"/>
  <c r="AU81"/>
  <c r="DE81" i="33" s="1"/>
  <c r="AU82" i="34"/>
  <c r="BC50"/>
  <c r="DM50" i="33" s="1"/>
  <c r="BC51" i="34"/>
  <c r="DM51" i="33" s="1"/>
  <c r="AI81" i="34"/>
  <c r="CM81" i="33" s="1"/>
  <c r="AI77" i="34"/>
  <c r="CM77" i="33" s="1"/>
  <c r="AU45" i="34"/>
  <c r="AI50"/>
  <c r="CM50" i="33" s="1"/>
  <c r="R51" i="34"/>
  <c r="AI51"/>
  <c r="AI46"/>
  <c r="BA81"/>
  <c r="DK81" i="33" s="1"/>
  <c r="BA77" i="34"/>
  <c r="DK77" i="33" s="1"/>
  <c r="BA45" i="34"/>
  <c r="DK45" i="33" s="1"/>
  <c r="AU42" i="34"/>
  <c r="BC46"/>
  <c r="AV81"/>
  <c r="AS50"/>
  <c r="DC50" i="33" s="1"/>
  <c r="AS51" i="34"/>
  <c r="DC51" i="33" s="1"/>
  <c r="I42" i="34"/>
  <c r="Q42" s="1"/>
  <c r="Z42"/>
  <c r="CD42" i="33" s="1"/>
  <c r="AZ80" i="34"/>
  <c r="AT51"/>
  <c r="DD51" i="33" s="1"/>
  <c r="AT46" i="34"/>
  <c r="DD46" i="33" s="1"/>
  <c r="S44" i="34"/>
  <c r="AJ44"/>
  <c r="AV82"/>
  <c r="AZ45"/>
  <c r="DJ45" i="33" s="1"/>
  <c r="AS46" i="34"/>
  <c r="DC46" i="33" s="1"/>
  <c r="M46" i="34"/>
  <c r="N46" s="1"/>
  <c r="AC76"/>
  <c r="AC61"/>
  <c r="CG61" i="33" s="1"/>
  <c r="AC60" i="34"/>
  <c r="AS61"/>
  <c r="DC61" i="33" s="1"/>
  <c r="AS60" i="34"/>
  <c r="DC60" i="33" s="1"/>
  <c r="BE60" i="34"/>
  <c r="DO60" i="33" s="1"/>
  <c r="AS62" i="34"/>
  <c r="DC62" i="33" s="1"/>
  <c r="BE62" i="34"/>
  <c r="DO62" i="33" s="1"/>
  <c r="BC60" i="34"/>
  <c r="DM60" i="33" s="1"/>
  <c r="BC62" i="34"/>
  <c r="DM62" i="33" s="1"/>
  <c r="BN65" i="34"/>
  <c r="W65"/>
  <c r="BO65" s="1"/>
  <c r="N41"/>
  <c r="O41" s="1"/>
  <c r="P41" s="1"/>
  <c r="AR73"/>
  <c r="CV73" i="33" s="1"/>
  <c r="BI73" i="34"/>
  <c r="AQ57"/>
  <c r="CU57" i="33" s="1"/>
  <c r="M72" i="34"/>
  <c r="BQ72" i="33" s="1"/>
  <c r="U82" i="34"/>
  <c r="BA82"/>
  <c r="BC49"/>
  <c r="AI80"/>
  <c r="AI49"/>
  <c r="AU80"/>
  <c r="AU77"/>
  <c r="DE77" i="33" s="1"/>
  <c r="R82" i="34"/>
  <c r="AI82"/>
  <c r="AV45"/>
  <c r="AZ81"/>
  <c r="DJ81" i="33" s="1"/>
  <c r="AS49" i="34"/>
  <c r="AZ42"/>
  <c r="DJ42" i="33" s="1"/>
  <c r="T82" i="34"/>
  <c r="AZ82"/>
  <c r="AZ77"/>
  <c r="DJ77" i="33" s="1"/>
  <c r="AJ81" i="34"/>
  <c r="CN81" i="33" s="1"/>
  <c r="AT50" i="34"/>
  <c r="DD50" i="33" s="1"/>
  <c r="AT49" i="34"/>
  <c r="AV80"/>
  <c r="AV77"/>
  <c r="DF77" i="33" s="1"/>
  <c r="BB42" i="34"/>
  <c r="L44"/>
  <c r="AC44"/>
  <c r="CG44" i="33" s="1"/>
  <c r="AP44" i="34"/>
  <c r="CT44" i="33" s="1"/>
  <c r="AC62" i="34"/>
  <c r="L42"/>
  <c r="M42" s="1"/>
  <c r="AC42"/>
  <c r="CG42" i="33" s="1"/>
  <c r="BC76" i="34"/>
  <c r="BC61"/>
  <c r="DM61" i="33" s="1"/>
  <c r="BC41" i="34"/>
  <c r="BF41" s="1"/>
  <c r="DP41" i="33" s="1"/>
  <c r="BK54" i="34"/>
  <c r="T54"/>
  <c r="BK67"/>
  <c r="T67"/>
  <c r="BK68"/>
  <c r="T68"/>
  <c r="BJ72"/>
  <c r="S72"/>
  <c r="AR72" s="1"/>
  <c r="BJ71"/>
  <c r="S71"/>
  <c r="AR71" s="1"/>
  <c r="AO56"/>
  <c r="CS56" i="33" s="1"/>
  <c r="AJ82" i="34"/>
  <c r="S82"/>
  <c r="AT81"/>
  <c r="DD81" i="33" s="1"/>
  <c r="BJ41" i="34"/>
  <c r="S41"/>
  <c r="W73"/>
  <c r="N67"/>
  <c r="O67" s="1"/>
  <c r="P67" s="1"/>
  <c r="BM44"/>
  <c r="V44"/>
  <c r="BE45"/>
  <c r="DO45" i="33" s="1"/>
  <c r="BE41" i="34"/>
  <c r="DO41" i="33" s="1"/>
  <c r="W75" i="34"/>
  <c r="N45"/>
  <c r="BR45" i="33" s="1"/>
  <c r="DD82"/>
  <c r="DX40"/>
  <c r="BB129" i="26"/>
  <c r="BB75" i="33"/>
  <c r="AP44"/>
  <c r="AP122" i="26"/>
  <c r="BB146" i="12"/>
  <c r="BB25" i="29"/>
  <c r="BB45" i="26"/>
  <c r="BB56" i="33"/>
  <c r="BB62" i="26"/>
  <c r="BB76"/>
  <c r="BB60"/>
  <c r="BB61"/>
  <c r="AM77"/>
  <c r="AM76" i="33"/>
  <c r="AM130" i="26"/>
  <c r="AM61" i="33"/>
  <c r="AM81" i="26"/>
  <c r="AM41" i="33"/>
  <c r="AP146" i="12"/>
  <c r="AP45" i="26"/>
  <c r="AP25" i="29"/>
  <c r="BB122" i="26"/>
  <c r="BB44" i="33"/>
  <c r="BB41" i="26"/>
  <c r="BB41" i="33" s="1"/>
  <c r="BB93" i="12"/>
  <c r="AM80" i="26"/>
  <c r="AM60" i="33"/>
  <c r="AM82" i="26"/>
  <c r="AM62" i="33"/>
  <c r="AM82" s="1"/>
  <c r="AM42" i="26"/>
  <c r="AX45"/>
  <c r="AX25" i="29"/>
  <c r="AX146" i="12"/>
  <c r="CG57" i="33"/>
  <c r="BW54"/>
  <c r="DU54" s="1"/>
  <c r="K81" i="26"/>
  <c r="K81" i="33" s="1"/>
  <c r="K61"/>
  <c r="K60"/>
  <c r="K80" i="26"/>
  <c r="AB122"/>
  <c r="AB44" i="33"/>
  <c r="BR54"/>
  <c r="AB76"/>
  <c r="AB77" i="26"/>
  <c r="AB130"/>
  <c r="AB61" i="33"/>
  <c r="AB81" i="26"/>
  <c r="AB62" i="33"/>
  <c r="AB82" s="1"/>
  <c r="AB82" i="26"/>
  <c r="BP41" i="33"/>
  <c r="BV67"/>
  <c r="DT67" s="1"/>
  <c r="BV68"/>
  <c r="DT68" s="1"/>
  <c r="K122" i="26"/>
  <c r="K44" i="33"/>
  <c r="BP75"/>
  <c r="DU75" s="1"/>
  <c r="CG75"/>
  <c r="AX81" i="26"/>
  <c r="AX81" i="33" s="1"/>
  <c r="AX61"/>
  <c r="AX77" i="26"/>
  <c r="AX77" i="33" s="1"/>
  <c r="AX76"/>
  <c r="AX130" i="26"/>
  <c r="AX62" i="33"/>
  <c r="AX82" s="1"/>
  <c r="AX82" i="26"/>
  <c r="AX44" i="33"/>
  <c r="AX122" i="26"/>
  <c r="K130"/>
  <c r="K76" i="33"/>
  <c r="K77" i="26"/>
  <c r="K77" i="33" s="1"/>
  <c r="K62"/>
  <c r="K82" s="1"/>
  <c r="K82" i="26"/>
  <c r="AB146" i="12"/>
  <c r="AB25" i="29"/>
  <c r="AB45" i="26"/>
  <c r="CG56" i="33"/>
  <c r="AB60"/>
  <c r="AB80" i="26"/>
  <c r="BY65" i="33"/>
  <c r="DW65" s="1"/>
  <c r="AC61"/>
  <c r="AC60"/>
  <c r="AC62"/>
  <c r="AB42"/>
  <c r="K45" i="26"/>
  <c r="K25" i="29"/>
  <c r="K146" i="12"/>
  <c r="AX80" i="26"/>
  <c r="AX60" i="33"/>
  <c r="BU72"/>
  <c r="BU71"/>
  <c r="AL42"/>
  <c r="DL42"/>
  <c r="AN49"/>
  <c r="BH51" i="26"/>
  <c r="BH51" i="33" s="1"/>
  <c r="BH45"/>
  <c r="BH107" i="29"/>
  <c r="BH110" s="1"/>
  <c r="BH49" i="26"/>
  <c r="BH50"/>
  <c r="BH50" i="33" s="1"/>
  <c r="BH123" i="26"/>
  <c r="BH80" i="33"/>
  <c r="BH46" i="26"/>
  <c r="BH46" i="33" s="1"/>
  <c r="BW82"/>
  <c r="CN82"/>
  <c r="Z46" i="26"/>
  <c r="J46" i="34" s="1"/>
  <c r="AF46" i="26"/>
  <c r="T80" i="33"/>
  <c r="M107" i="29"/>
  <c r="M110" s="1"/>
  <c r="M49" i="26"/>
  <c r="M50"/>
  <c r="M50" i="33" s="1"/>
  <c r="M51" i="26"/>
  <c r="M51" i="33" s="1"/>
  <c r="M123" i="26"/>
  <c r="M45" i="33"/>
  <c r="S130" i="26"/>
  <c r="S76" i="33"/>
  <c r="S77" i="26"/>
  <c r="S77" i="33" s="1"/>
  <c r="S61"/>
  <c r="S81" i="26"/>
  <c r="S81" i="33" s="1"/>
  <c r="T49"/>
  <c r="AF81"/>
  <c r="DF81"/>
  <c r="Z42"/>
  <c r="BN42"/>
  <c r="AC50"/>
  <c r="AC51"/>
  <c r="M77" i="26"/>
  <c r="M77" i="33" s="1"/>
  <c r="M130" i="26"/>
  <c r="M76" i="33"/>
  <c r="M60"/>
  <c r="M80" i="26"/>
  <c r="U46"/>
  <c r="U46" i="33" s="1"/>
  <c r="AJ42"/>
  <c r="BX62"/>
  <c r="AJ77"/>
  <c r="AI81"/>
  <c r="AD50"/>
  <c r="AD49"/>
  <c r="AI122" i="26"/>
  <c r="AI44" i="33"/>
  <c r="AJ50" i="26"/>
  <c r="AJ45" i="33"/>
  <c r="AJ51" i="26"/>
  <c r="AJ123"/>
  <c r="AJ49"/>
  <c r="AJ107" i="29"/>
  <c r="AJ110" s="1"/>
  <c r="AJ46" i="26"/>
  <c r="BM41" i="33"/>
  <c r="Z123" i="26"/>
  <c r="Z51"/>
  <c r="J51" i="34" s="1"/>
  <c r="Z50" i="26"/>
  <c r="J50" i="34" s="1"/>
  <c r="BN45" i="33"/>
  <c r="Z45"/>
  <c r="Z107" i="29"/>
  <c r="Z110" s="1"/>
  <c r="Z49" i="26"/>
  <c r="J49" i="34" s="1"/>
  <c r="S42" i="26"/>
  <c r="S42" i="33" s="1"/>
  <c r="AF123" i="26"/>
  <c r="AF45" i="33"/>
  <c r="DF45"/>
  <c r="AF50" i="26"/>
  <c r="AF107" i="29"/>
  <c r="AF110" s="1"/>
  <c r="AF51" i="26"/>
  <c r="AF49"/>
  <c r="AJ81" i="33"/>
  <c r="BW62"/>
  <c r="M46" i="26"/>
  <c r="M46" i="33" s="1"/>
  <c r="S62"/>
  <c r="S82" s="1"/>
  <c r="S82" i="26"/>
  <c r="S60" i="33"/>
  <c r="S80" i="26"/>
  <c r="BC49" i="33"/>
  <c r="BX44"/>
  <c r="DV44" s="1"/>
  <c r="AC49"/>
  <c r="Y42"/>
  <c r="CN80"/>
  <c r="M61"/>
  <c r="M81" i="26"/>
  <c r="M81" i="33" s="1"/>
  <c r="M62"/>
  <c r="M82" s="1"/>
  <c r="M82" i="26"/>
  <c r="BI80" i="33"/>
  <c r="U49" i="26"/>
  <c r="U51"/>
  <c r="U51" i="33" s="1"/>
  <c r="U45"/>
  <c r="U107" i="29"/>
  <c r="U110" s="1"/>
  <c r="U50" i="26"/>
  <c r="U50" i="33" s="1"/>
  <c r="U123" i="26"/>
  <c r="I49" i="33"/>
  <c r="M42" i="26"/>
  <c r="M42" i="33" s="1"/>
  <c r="BX82"/>
  <c r="DJ82"/>
  <c r="AJ80"/>
  <c r="S45"/>
  <c r="S50" i="26"/>
  <c r="S50" i="33" s="1"/>
  <c r="S49" i="26"/>
  <c r="S107" i="29"/>
  <c r="S110" s="1"/>
  <c r="S123" i="26"/>
  <c r="S51"/>
  <c r="S51" i="33" s="1"/>
  <c r="S46" i="26"/>
  <c r="S46" i="33" s="1"/>
  <c r="AD51"/>
  <c r="AD46"/>
  <c r="AI146" i="12"/>
  <c r="AI45" i="26"/>
  <c r="AI25" i="29"/>
  <c r="DF82" i="33"/>
  <c r="AF80"/>
  <c r="AF77"/>
  <c r="AC46"/>
  <c r="V49"/>
  <c r="AZ45"/>
  <c r="AZ107" i="29"/>
  <c r="AZ110" s="1"/>
  <c r="AZ50" i="26"/>
  <c r="AZ50" i="33" s="1"/>
  <c r="AZ51" i="26"/>
  <c r="AZ51" i="33" s="1"/>
  <c r="AZ123" i="26"/>
  <c r="AZ49"/>
  <c r="DK82" i="33"/>
  <c r="BY82"/>
  <c r="BY62"/>
  <c r="BY44"/>
  <c r="DW44" s="1"/>
  <c r="BE46" i="26"/>
  <c r="BE46" i="33" s="1"/>
  <c r="AS46" i="26"/>
  <c r="AS46" i="33" s="1"/>
  <c r="AR49"/>
  <c r="DE82"/>
  <c r="CA55"/>
  <c r="AM49"/>
  <c r="AP80"/>
  <c r="AR80"/>
  <c r="CU73"/>
  <c r="CC73"/>
  <c r="BN81"/>
  <c r="Z81"/>
  <c r="Z77"/>
  <c r="BN77"/>
  <c r="P49"/>
  <c r="AW107" i="29"/>
  <c r="AW110" s="1"/>
  <c r="AW50" i="26"/>
  <c r="AW50" i="33" s="1"/>
  <c r="AW51" i="26"/>
  <c r="AW51" i="33" s="1"/>
  <c r="AW49" i="26"/>
  <c r="AW123"/>
  <c r="AW45" i="33"/>
  <c r="AW46" i="26"/>
  <c r="AW46" i="33" s="1"/>
  <c r="BF46" i="26"/>
  <c r="BF46" i="33" s="1"/>
  <c r="BF49" i="26"/>
  <c r="BF107" i="29"/>
  <c r="BF110" s="1"/>
  <c r="BF123" i="26"/>
  <c r="BF45" i="33"/>
  <c r="BF50" i="26"/>
  <c r="BF50" i="33" s="1"/>
  <c r="BF51" i="26"/>
  <c r="BF51" i="33" s="1"/>
  <c r="AO46" i="26"/>
  <c r="AO46" i="33" s="1"/>
  <c r="AO107" i="29"/>
  <c r="AO110" s="1"/>
  <c r="AO45" i="33"/>
  <c r="AO49" i="26"/>
  <c r="AO50"/>
  <c r="AO50" i="33" s="1"/>
  <c r="AO51" i="26"/>
  <c r="AO51" i="33" s="1"/>
  <c r="AO123" i="26"/>
  <c r="AH81" i="33"/>
  <c r="AH77"/>
  <c r="AT123" i="26"/>
  <c r="AT45" i="33"/>
  <c r="AT49" i="26"/>
  <c r="AT51"/>
  <c r="AT51" i="33" s="1"/>
  <c r="AT50" i="26"/>
  <c r="AT50" i="33" s="1"/>
  <c r="AT107" i="29"/>
  <c r="AT110" s="1"/>
  <c r="AY80" i="33"/>
  <c r="BD123" i="26"/>
  <c r="BD51"/>
  <c r="BD51" i="33" s="1"/>
  <c r="BD45"/>
  <c r="BD107" i="29"/>
  <c r="BD110" s="1"/>
  <c r="BD50" i="26"/>
  <c r="BD50" i="33" s="1"/>
  <c r="BD49" i="26"/>
  <c r="N80" i="33"/>
  <c r="CL42"/>
  <c r="AH51"/>
  <c r="CM46"/>
  <c r="AH46"/>
  <c r="AK81"/>
  <c r="Q80"/>
  <c r="AK46" i="26"/>
  <c r="AE42" i="33"/>
  <c r="AN80"/>
  <c r="CA40"/>
  <c r="DY40" s="1"/>
  <c r="AE80"/>
  <c r="DE60"/>
  <c r="AE77"/>
  <c r="AS80"/>
  <c r="BD80"/>
  <c r="AQ49"/>
  <c r="DY53"/>
  <c r="DQ53"/>
  <c r="BV82"/>
  <c r="CM82"/>
  <c r="BZ73"/>
  <c r="BZ75"/>
  <c r="DX75" s="1"/>
  <c r="DE44"/>
  <c r="BS44"/>
  <c r="BT44"/>
  <c r="AZ46" i="26"/>
  <c r="AZ46" i="33" s="1"/>
  <c r="AH42"/>
  <c r="AK80"/>
  <c r="BE51" i="26"/>
  <c r="BE51" i="33" s="1"/>
  <c r="BE50" i="26"/>
  <c r="BE50" i="33" s="1"/>
  <c r="BE107" i="29"/>
  <c r="BE110" s="1"/>
  <c r="BE123" i="26"/>
  <c r="BE49"/>
  <c r="AS123"/>
  <c r="AS51"/>
  <c r="AS51" i="33" s="1"/>
  <c r="AS107" i="29"/>
  <c r="AS110" s="1"/>
  <c r="AS50" i="26"/>
  <c r="AS50" i="33" s="1"/>
  <c r="AS49" i="26"/>
  <c r="AS45" i="33"/>
  <c r="DE41"/>
  <c r="AE81"/>
  <c r="DE61"/>
  <c r="DE62"/>
  <c r="L80"/>
  <c r="AM50"/>
  <c r="AM51"/>
  <c r="AV80"/>
  <c r="H80"/>
  <c r="BL71"/>
  <c r="CC71"/>
  <c r="BL73"/>
  <c r="DS73" s="1"/>
  <c r="BF80"/>
  <c r="AH80"/>
  <c r="AY46" i="26"/>
  <c r="AY46" i="33" s="1"/>
  <c r="AY107" i="29"/>
  <c r="AY110" s="1"/>
  <c r="AY49" i="26"/>
  <c r="AY123"/>
  <c r="AY50"/>
  <c r="AY50" i="33" s="1"/>
  <c r="AY51" i="26"/>
  <c r="AY51" i="33" s="1"/>
  <c r="AY45"/>
  <c r="BE80"/>
  <c r="AT46" i="26"/>
  <c r="AT46" i="33" s="1"/>
  <c r="BD46" i="26"/>
  <c r="BD46" i="33" s="1"/>
  <c r="AE49" i="26"/>
  <c r="AE45" i="33"/>
  <c r="AE123" i="26"/>
  <c r="AE107" i="29"/>
  <c r="AE110" s="1"/>
  <c r="AE50" i="26"/>
  <c r="AE51"/>
  <c r="AE46"/>
  <c r="BA46"/>
  <c r="BA46" i="33" s="1"/>
  <c r="BA107" i="29"/>
  <c r="BA110" s="1"/>
  <c r="BA51" i="26"/>
  <c r="BA51" i="33" s="1"/>
  <c r="BA45"/>
  <c r="BA49" i="26"/>
  <c r="BA50"/>
  <c r="BA50" i="33" s="1"/>
  <c r="BA123" i="26"/>
  <c r="AH50" i="33"/>
  <c r="AH49"/>
  <c r="AK77"/>
  <c r="AK50" i="26"/>
  <c r="AK107" i="29"/>
  <c r="AK110" s="1"/>
  <c r="AK123" i="26"/>
  <c r="AK49"/>
  <c r="AK51"/>
  <c r="AK45" i="33"/>
  <c r="AU80"/>
  <c r="J107" i="29"/>
  <c r="J110" s="1"/>
  <c r="J51" i="26"/>
  <c r="J51" i="33" s="1"/>
  <c r="J49" i="26"/>
  <c r="J50"/>
  <c r="J50" i="33" s="1"/>
  <c r="J45"/>
  <c r="J46" i="26"/>
  <c r="J46" i="33" s="1"/>
  <c r="AZ80"/>
  <c r="DM46"/>
  <c r="AM46"/>
  <c r="AO80"/>
  <c r="P80"/>
  <c r="AV49"/>
  <c r="AW80"/>
  <c r="DD80"/>
  <c r="CC72"/>
  <c r="CU72"/>
  <c r="BL72"/>
  <c r="DS72" s="1"/>
  <c r="Z80"/>
  <c r="BV62"/>
  <c r="BR68"/>
  <c r="R49"/>
  <c r="H46" i="26"/>
  <c r="H46" i="33" s="1"/>
  <c r="H49" i="26"/>
  <c r="H51"/>
  <c r="H51" i="33" s="1"/>
  <c r="H107" i="29"/>
  <c r="H110" s="1"/>
  <c r="H50" i="26"/>
  <c r="H50" i="33" s="1"/>
  <c r="H45"/>
  <c r="CS41"/>
  <c r="AO62" i="34" l="1"/>
  <c r="BD57"/>
  <c r="DN57" i="33" s="1"/>
  <c r="BF56" i="34"/>
  <c r="DP56" i="33" s="1"/>
  <c r="DQ63"/>
  <c r="DQ28"/>
  <c r="BQ46"/>
  <c r="AQ56" i="34"/>
  <c r="CU56" i="33" s="1"/>
  <c r="AO57" i="34"/>
  <c r="CS57" i="33" s="1"/>
  <c r="DQ66"/>
  <c r="DY43"/>
  <c r="DQ43"/>
  <c r="DQ52"/>
  <c r="DY37"/>
  <c r="DQ37"/>
  <c r="BF57" i="34"/>
  <c r="DP57" i="33" s="1"/>
  <c r="AR44" i="34"/>
  <c r="CV44" i="33" s="1"/>
  <c r="BD56" i="34"/>
  <c r="DN56" i="33" s="1"/>
  <c r="AA46" i="26"/>
  <c r="K76" i="34"/>
  <c r="BO76" i="33" s="1"/>
  <c r="AA76"/>
  <c r="AA77" i="26"/>
  <c r="AA130"/>
  <c r="K60" i="34"/>
  <c r="BO60" i="33" s="1"/>
  <c r="AA60"/>
  <c r="AA80" i="26"/>
  <c r="K62" i="34"/>
  <c r="BO62" i="33" s="1"/>
  <c r="AA62"/>
  <c r="AA82" s="1"/>
  <c r="BO82" s="1"/>
  <c r="AA82" i="26"/>
  <c r="K82" i="34" s="1"/>
  <c r="K45"/>
  <c r="BO45" i="33" s="1"/>
  <c r="AA123" i="26"/>
  <c r="AA107" i="29"/>
  <c r="AA110" s="1"/>
  <c r="AA45" i="33"/>
  <c r="AA49" i="26"/>
  <c r="AA51"/>
  <c r="AA50"/>
  <c r="K41" i="34"/>
  <c r="BO41" i="33" s="1"/>
  <c r="AA41"/>
  <c r="AA42" i="26"/>
  <c r="K61" i="34"/>
  <c r="BO61" i="33" s="1"/>
  <c r="AA81" i="26"/>
  <c r="AA61" i="33"/>
  <c r="DQ40"/>
  <c r="AP60" i="34"/>
  <c r="CT60" i="33" s="1"/>
  <c r="AP61" i="34"/>
  <c r="CT61" i="33" s="1"/>
  <c r="BF44" i="34"/>
  <c r="DP44" i="33" s="1"/>
  <c r="BE76" i="34"/>
  <c r="DO76" i="33" s="1"/>
  <c r="BQ71"/>
  <c r="N71" i="34"/>
  <c r="O71" s="1"/>
  <c r="P71" s="1"/>
  <c r="AO42"/>
  <c r="BF75"/>
  <c r="DP75" i="33" s="1"/>
  <c r="BM75"/>
  <c r="DT75" s="1"/>
  <c r="BJ75" i="34"/>
  <c r="BQ75" i="33"/>
  <c r="DV75" s="1"/>
  <c r="BL75" i="34"/>
  <c r="I60"/>
  <c r="Y60" i="33"/>
  <c r="Z60" i="34"/>
  <c r="CD60" i="33" s="1"/>
  <c r="Y80" i="26"/>
  <c r="L56" i="34"/>
  <c r="BM56" i="33"/>
  <c r="Q56" i="34"/>
  <c r="Z61"/>
  <c r="CD61" i="33" s="1"/>
  <c r="Y81" i="26"/>
  <c r="I61" i="34"/>
  <c r="Y61" i="33"/>
  <c r="AC76"/>
  <c r="AS76" i="34"/>
  <c r="DC76" i="33" s="1"/>
  <c r="AC77" i="26"/>
  <c r="AC130"/>
  <c r="AS71" i="34"/>
  <c r="BE71"/>
  <c r="DO71" i="33" s="1"/>
  <c r="AC80" i="26"/>
  <c r="AC71" i="33"/>
  <c r="BG39" i="34"/>
  <c r="N39"/>
  <c r="BQ39" i="33"/>
  <c r="DQ39" s="1"/>
  <c r="Q57" i="34"/>
  <c r="L57"/>
  <c r="BM57" i="33"/>
  <c r="I45" i="34"/>
  <c r="Y49" i="26"/>
  <c r="Y123"/>
  <c r="Y51"/>
  <c r="Z45" i="34"/>
  <c r="CD45" i="33" s="1"/>
  <c r="Y107" i="29"/>
  <c r="Y110" s="1"/>
  <c r="Y45" i="33"/>
  <c r="Y50" i="26"/>
  <c r="BF68" i="34"/>
  <c r="DP68" i="33" s="1"/>
  <c r="BD68" i="34"/>
  <c r="DN68" i="33" s="1"/>
  <c r="DC68"/>
  <c r="W81" i="26"/>
  <c r="W81" i="33" s="1"/>
  <c r="W61"/>
  <c r="W62"/>
  <c r="W82" s="1"/>
  <c r="W82" i="26"/>
  <c r="V77"/>
  <c r="V77" i="33" s="1"/>
  <c r="V76"/>
  <c r="V130" i="26"/>
  <c r="V72" i="33"/>
  <c r="V81" i="26"/>
  <c r="V81" i="33" s="1"/>
  <c r="BN78" i="34"/>
  <c r="W78"/>
  <c r="BZ78" i="33"/>
  <c r="DX78" s="1"/>
  <c r="W42" i="26"/>
  <c r="W42" i="33" s="1"/>
  <c r="W45"/>
  <c r="W49" i="26"/>
  <c r="W49" i="33" s="1"/>
  <c r="W123" i="26"/>
  <c r="W51"/>
  <c r="W51" i="33" s="1"/>
  <c r="W107" i="29"/>
  <c r="W110" s="1"/>
  <c r="W50" i="26"/>
  <c r="W50" i="33" s="1"/>
  <c r="W46" i="26"/>
  <c r="W46" i="33" s="1"/>
  <c r="I62" i="34"/>
  <c r="L62" s="1"/>
  <c r="M62" s="1"/>
  <c r="BQ62" i="33" s="1"/>
  <c r="DV62" s="1"/>
  <c r="Y82" i="26"/>
  <c r="Z62" i="34"/>
  <c r="CD62" i="33" s="1"/>
  <c r="Y62"/>
  <c r="Y82" s="1"/>
  <c r="Z76" i="34"/>
  <c r="CD76" i="33" s="1"/>
  <c r="Y77" i="26"/>
  <c r="I76" i="34"/>
  <c r="Y130" i="26"/>
  <c r="Y76" i="33"/>
  <c r="BM44"/>
  <c r="DT44" s="1"/>
  <c r="BJ44" i="34"/>
  <c r="M73"/>
  <c r="N73" s="1"/>
  <c r="AS73"/>
  <c r="AC73" i="33"/>
  <c r="AC82" s="1"/>
  <c r="BE73" i="34"/>
  <c r="DO73" i="33" s="1"/>
  <c r="AC82" i="26"/>
  <c r="BD67" i="34"/>
  <c r="DN67" i="33" s="1"/>
  <c r="DC67"/>
  <c r="BF67" i="34"/>
  <c r="DP67" i="33" s="1"/>
  <c r="AS72" i="34"/>
  <c r="BE72"/>
  <c r="DO72" i="33" s="1"/>
  <c r="AC72"/>
  <c r="BJ39" i="34"/>
  <c r="S39"/>
  <c r="BV39" i="33"/>
  <c r="DT39" s="1"/>
  <c r="BO58" i="34"/>
  <c r="CA58" i="33"/>
  <c r="DY58" s="1"/>
  <c r="Y46" i="26"/>
  <c r="W77"/>
  <c r="W77" i="33" s="1"/>
  <c r="W76"/>
  <c r="W130" i="26"/>
  <c r="W60" i="33"/>
  <c r="W80" i="26"/>
  <c r="W80" i="33" s="1"/>
  <c r="BO69" i="34"/>
  <c r="CA69" i="33"/>
  <c r="DY69" s="1"/>
  <c r="BO47" i="34"/>
  <c r="CA47" i="33"/>
  <c r="DY47" s="1"/>
  <c r="V71"/>
  <c r="V80" i="26"/>
  <c r="V80" i="33" s="1"/>
  <c r="V73"/>
  <c r="V82" s="1"/>
  <c r="V82" i="26"/>
  <c r="AC81"/>
  <c r="J77"/>
  <c r="J77" i="33" s="1"/>
  <c r="J76"/>
  <c r="J71"/>
  <c r="J80" i="26"/>
  <c r="J80" i="33" s="1"/>
  <c r="J73"/>
  <c r="J82" s="1"/>
  <c r="J82" i="26"/>
  <c r="J72" i="33"/>
  <c r="J81" i="26"/>
  <c r="J81" i="33" s="1"/>
  <c r="BP44"/>
  <c r="AT42" i="26"/>
  <c r="AT42" i="33" s="1"/>
  <c r="BD44" i="34"/>
  <c r="DN44" i="33" s="1"/>
  <c r="R42" i="26"/>
  <c r="R42" i="33" s="1"/>
  <c r="BC77" i="26"/>
  <c r="BC77" i="33" s="1"/>
  <c r="BC130" i="26"/>
  <c r="BC76" i="33"/>
  <c r="BC80" i="26"/>
  <c r="BC80" i="33" s="1"/>
  <c r="BC60"/>
  <c r="BC81" i="26"/>
  <c r="BC81" i="33" s="1"/>
  <c r="BC61"/>
  <c r="R81" i="26"/>
  <c r="R81" i="33" s="1"/>
  <c r="R61"/>
  <c r="BB76" i="34"/>
  <c r="DL76" i="33" s="1"/>
  <c r="AL77" i="26"/>
  <c r="AL76" i="33"/>
  <c r="AL130" i="26"/>
  <c r="AL80"/>
  <c r="BB60" i="34"/>
  <c r="DL60" i="33" s="1"/>
  <c r="AL60"/>
  <c r="BB61" i="34"/>
  <c r="DL61" i="33" s="1"/>
  <c r="AL81" i="26"/>
  <c r="AL61" i="33"/>
  <c r="AT62"/>
  <c r="AT82" s="1"/>
  <c r="AT82" i="26"/>
  <c r="AT60" i="33"/>
  <c r="AT80" i="26"/>
  <c r="AT80" i="33" s="1"/>
  <c r="BF76" i="34"/>
  <c r="DP76" i="33" s="1"/>
  <c r="BO55" i="34"/>
  <c r="BG55"/>
  <c r="DL75" i="33"/>
  <c r="BD75" i="34"/>
  <c r="DN75" i="33" s="1"/>
  <c r="BC82" i="26"/>
  <c r="BC62" i="33"/>
  <c r="BC82" s="1"/>
  <c r="R60"/>
  <c r="R80" i="26"/>
  <c r="R80" i="33" s="1"/>
  <c r="R130" i="26"/>
  <c r="R76" i="33"/>
  <c r="R77" i="26"/>
  <c r="R77" i="33" s="1"/>
  <c r="R82" i="26"/>
  <c r="R62" i="33"/>
  <c r="R82" s="1"/>
  <c r="AL62"/>
  <c r="AL82" s="1"/>
  <c r="BB62" i="34"/>
  <c r="DL62" i="33" s="1"/>
  <c r="AL82" i="26"/>
  <c r="BB45" i="34"/>
  <c r="DL45" i="33" s="1"/>
  <c r="AL51" i="26"/>
  <c r="AL45" i="33"/>
  <c r="AL49" i="26"/>
  <c r="AL107" i="29"/>
  <c r="AL110" s="1"/>
  <c r="AL123" i="26"/>
  <c r="AL50"/>
  <c r="AL46"/>
  <c r="AT77"/>
  <c r="AT77" i="33" s="1"/>
  <c r="AT130" i="26"/>
  <c r="AT76" i="33"/>
  <c r="AT61"/>
  <c r="AT81" i="26"/>
  <c r="AT81" i="33" s="1"/>
  <c r="BE80" i="34"/>
  <c r="DO80" i="33" s="1"/>
  <c r="BE77" i="34"/>
  <c r="BR67" i="33"/>
  <c r="DS71"/>
  <c r="AQ41" i="34"/>
  <c r="CU41" i="33" s="1"/>
  <c r="AO60" i="34"/>
  <c r="CS60" i="33" s="1"/>
  <c r="DS44"/>
  <c r="BI44" i="34"/>
  <c r="BO59"/>
  <c r="CA59" i="33"/>
  <c r="DY59" s="1"/>
  <c r="W79" i="34"/>
  <c r="BZ79" i="33"/>
  <c r="DX79" s="1"/>
  <c r="BN79" i="34"/>
  <c r="BO48"/>
  <c r="CA48" i="33"/>
  <c r="DY48" s="1"/>
  <c r="BI41" i="34"/>
  <c r="Y62"/>
  <c r="CC62" i="33" s="1"/>
  <c r="H62" i="34"/>
  <c r="BL62" i="33" s="1"/>
  <c r="X62"/>
  <c r="X82" s="1"/>
  <c r="BL82" s="1"/>
  <c r="X82" i="26"/>
  <c r="H82" i="34" s="1"/>
  <c r="Y42"/>
  <c r="CC42" i="33" s="1"/>
  <c r="H42" i="34"/>
  <c r="BL42" i="33" s="1"/>
  <c r="X42"/>
  <c r="BL57"/>
  <c r="BI57" i="34"/>
  <c r="H45"/>
  <c r="X107" i="29"/>
  <c r="X110" s="1"/>
  <c r="X45" i="33"/>
  <c r="X123" i="26"/>
  <c r="Y45" i="34"/>
  <c r="CC45" i="33" s="1"/>
  <c r="X51" i="26"/>
  <c r="X50"/>
  <c r="X49"/>
  <c r="X46"/>
  <c r="BL75" i="33"/>
  <c r="DS75" s="1"/>
  <c r="AR75" i="34"/>
  <c r="CV75" i="33" s="1"/>
  <c r="AQ75" i="34"/>
  <c r="CU75" i="33" s="1"/>
  <c r="CC75"/>
  <c r="H76" i="34"/>
  <c r="X76" i="33"/>
  <c r="Y76" i="34"/>
  <c r="X77" i="26"/>
  <c r="X130"/>
  <c r="Y60" i="34"/>
  <c r="CC60" i="33" s="1"/>
  <c r="X60"/>
  <c r="H60" i="34"/>
  <c r="X80" i="26"/>
  <c r="AP80" i="34" s="1"/>
  <c r="H61"/>
  <c r="Y61"/>
  <c r="CC61" i="33" s="1"/>
  <c r="X61"/>
  <c r="X81" i="26"/>
  <c r="AP81" i="34" s="1"/>
  <c r="CT81" i="33" s="1"/>
  <c r="BL56"/>
  <c r="BI56" i="34"/>
  <c r="DM41" i="33"/>
  <c r="DM76"/>
  <c r="AO76" i="34"/>
  <c r="AG49" i="33"/>
  <c r="AH49" i="34"/>
  <c r="CL49" i="33" s="1"/>
  <c r="Q51" i="34"/>
  <c r="AG51" i="33"/>
  <c r="AH51" i="34"/>
  <c r="CL51" i="33" s="1"/>
  <c r="AH50" i="34"/>
  <c r="CL50" i="33" s="1"/>
  <c r="AG50"/>
  <c r="AH46" i="34"/>
  <c r="CL46" i="33" s="1"/>
  <c r="AG46"/>
  <c r="AG81"/>
  <c r="AH81" i="34"/>
  <c r="CL81" i="33" s="1"/>
  <c r="BU62"/>
  <c r="AH82" i="34"/>
  <c r="Q82"/>
  <c r="AH80"/>
  <c r="CL80" i="33" s="1"/>
  <c r="AG80"/>
  <c r="CL82"/>
  <c r="BU82"/>
  <c r="AH77" i="34"/>
  <c r="CL77" i="33" s="1"/>
  <c r="AG77"/>
  <c r="BE49" i="34"/>
  <c r="BA49"/>
  <c r="AU46"/>
  <c r="O46"/>
  <c r="P46" s="1"/>
  <c r="AU51"/>
  <c r="BA46"/>
  <c r="AV49"/>
  <c r="AZ46"/>
  <c r="AV46"/>
  <c r="DF46" i="33" s="1"/>
  <c r="AC80" i="34"/>
  <c r="AP45"/>
  <c r="L45"/>
  <c r="AC45"/>
  <c r="CG45" i="33" s="1"/>
  <c r="AC82" i="34"/>
  <c r="W82"/>
  <c r="BC82"/>
  <c r="BC81"/>
  <c r="DM81" i="33" s="1"/>
  <c r="BO75" i="34"/>
  <c r="BG75"/>
  <c r="AO44"/>
  <c r="AQ44"/>
  <c r="CU44" i="33" s="1"/>
  <c r="N72" i="34"/>
  <c r="O72" s="1"/>
  <c r="P72" s="1"/>
  <c r="BD60"/>
  <c r="DN60" i="33" s="1"/>
  <c r="AO61" i="34"/>
  <c r="CS61" i="33" s="1"/>
  <c r="O45" i="34"/>
  <c r="P45" s="1"/>
  <c r="BT45" i="33" s="1"/>
  <c r="BE81" i="34"/>
  <c r="DO81" i="33" s="1"/>
  <c r="R42" i="34"/>
  <c r="BD41"/>
  <c r="DN41" i="33" s="1"/>
  <c r="AQ62" i="34"/>
  <c r="CU62" i="33" s="1"/>
  <c r="U51" i="34"/>
  <c r="BA51"/>
  <c r="DK51" i="33" s="1"/>
  <c r="BA50" i="34"/>
  <c r="DK50" i="33" s="1"/>
  <c r="AU50" i="34"/>
  <c r="AU49"/>
  <c r="AJ45"/>
  <c r="AV51"/>
  <c r="DF51" i="33" s="1"/>
  <c r="AV50" i="34"/>
  <c r="DF50" i="33" s="1"/>
  <c r="AZ49" i="34"/>
  <c r="T51"/>
  <c r="AZ51"/>
  <c r="DJ51" i="33" s="1"/>
  <c r="AZ50" i="34"/>
  <c r="DJ50" i="33" s="1"/>
  <c r="AC81" i="34"/>
  <c r="CG81" i="33" s="1"/>
  <c r="AP77" i="34"/>
  <c r="CT77" i="33" s="1"/>
  <c r="AC77" i="34"/>
  <c r="BC42"/>
  <c r="BF42" s="1"/>
  <c r="DP42" i="33" s="1"/>
  <c r="BC80" i="34"/>
  <c r="DO77" i="33"/>
  <c r="BC77" i="34"/>
  <c r="BN44"/>
  <c r="W44"/>
  <c r="BO44" s="1"/>
  <c r="BK41"/>
  <c r="T41"/>
  <c r="AR41"/>
  <c r="BK71"/>
  <c r="T71"/>
  <c r="BK72"/>
  <c r="T72"/>
  <c r="BL68"/>
  <c r="U68"/>
  <c r="BL67"/>
  <c r="U67"/>
  <c r="BL54"/>
  <c r="U54"/>
  <c r="N42"/>
  <c r="O42" s="1"/>
  <c r="P42" s="1"/>
  <c r="BD62"/>
  <c r="DN62" i="33" s="1"/>
  <c r="BF62" i="34"/>
  <c r="DP62" i="33" s="1"/>
  <c r="BD61" i="34"/>
  <c r="DN61" i="33" s="1"/>
  <c r="BF61" i="34"/>
  <c r="DP61" i="33" s="1"/>
  <c r="BE42" i="34"/>
  <c r="DO42" i="33" s="1"/>
  <c r="BK62" i="34"/>
  <c r="BE46"/>
  <c r="DO46" i="33" s="1"/>
  <c r="BK44" i="34"/>
  <c r="BE51"/>
  <c r="DO51" i="33" s="1"/>
  <c r="BE50" i="34"/>
  <c r="DO50" i="33" s="1"/>
  <c r="AQ60" i="34"/>
  <c r="CU60" i="33" s="1"/>
  <c r="AM81"/>
  <c r="BB60"/>
  <c r="BB80" i="26"/>
  <c r="BB62" i="33"/>
  <c r="BB82" s="1"/>
  <c r="BB82" i="26"/>
  <c r="AM42" i="33"/>
  <c r="DM82"/>
  <c r="CA82"/>
  <c r="AM80"/>
  <c r="BB42" i="26"/>
  <c r="BB42" i="33" s="1"/>
  <c r="AP123" i="26"/>
  <c r="AP45" i="33"/>
  <c r="AP51" i="26"/>
  <c r="AP51" i="33" s="1"/>
  <c r="AP107" i="29"/>
  <c r="AP110" s="1"/>
  <c r="AP50" i="26"/>
  <c r="AP50" i="33" s="1"/>
  <c r="AP49" i="26"/>
  <c r="AP46"/>
  <c r="AP46" i="33" s="1"/>
  <c r="AM77"/>
  <c r="BB61"/>
  <c r="BB81" i="26"/>
  <c r="BB81" i="33" s="1"/>
  <c r="BB130" i="26"/>
  <c r="BB76" i="33"/>
  <c r="BB77" i="26"/>
  <c r="BB77" i="33" s="1"/>
  <c r="BB51" i="26"/>
  <c r="BB51" i="33" s="1"/>
  <c r="BB45"/>
  <c r="BB49" i="26"/>
  <c r="BB107" i="29"/>
  <c r="BB110" s="1"/>
  <c r="BB123" i="26"/>
  <c r="BB50"/>
  <c r="BB50" i="33" s="1"/>
  <c r="BB46" i="26"/>
  <c r="BB46" i="33" s="1"/>
  <c r="K46" i="26"/>
  <c r="K46" i="33" s="1"/>
  <c r="BP42"/>
  <c r="BZ65"/>
  <c r="DX65" s="1"/>
  <c r="CG60"/>
  <c r="AB45"/>
  <c r="AB123" i="26"/>
  <c r="AB50"/>
  <c r="AB107" i="29"/>
  <c r="AB110" s="1"/>
  <c r="BP45" i="33"/>
  <c r="AB49" i="26"/>
  <c r="AB51"/>
  <c r="AB46"/>
  <c r="BW68" i="33"/>
  <c r="DU68" s="1"/>
  <c r="CV68"/>
  <c r="BW67"/>
  <c r="DU67" s="1"/>
  <c r="CV67"/>
  <c r="BQ41"/>
  <c r="BP62"/>
  <c r="DU62" s="1"/>
  <c r="CG82"/>
  <c r="AB81"/>
  <c r="CG77"/>
  <c r="AB77"/>
  <c r="AX46" i="26"/>
  <c r="AX46" i="33" s="1"/>
  <c r="AX49" i="26"/>
  <c r="AX50"/>
  <c r="AX50" i="33" s="1"/>
  <c r="AX45"/>
  <c r="AX51" i="26"/>
  <c r="AX51" i="33" s="1"/>
  <c r="AX123" i="26"/>
  <c r="AX107" i="29"/>
  <c r="AX110" s="1"/>
  <c r="BV71" i="33"/>
  <c r="DT71" s="1"/>
  <c r="BV72"/>
  <c r="DT72" s="1"/>
  <c r="AX80"/>
  <c r="K51" i="26"/>
  <c r="K51" i="33" s="1"/>
  <c r="K107" i="29"/>
  <c r="K110" s="1"/>
  <c r="K123" i="26"/>
  <c r="K50"/>
  <c r="K50" i="33" s="1"/>
  <c r="K45"/>
  <c r="K49" i="26"/>
  <c r="AB80" i="33"/>
  <c r="CG62"/>
  <c r="CS62"/>
  <c r="CG76"/>
  <c r="CS76"/>
  <c r="BT54"/>
  <c r="BS54"/>
  <c r="K80"/>
  <c r="BX54"/>
  <c r="DV54" s="1"/>
  <c r="BH49"/>
  <c r="AI51" i="26"/>
  <c r="AI50"/>
  <c r="AI49"/>
  <c r="AI45" i="33"/>
  <c r="AI107" i="29"/>
  <c r="AI110" s="1"/>
  <c r="AI123" i="26"/>
  <c r="CT45" i="33"/>
  <c r="AI46" i="26"/>
  <c r="S49" i="33"/>
  <c r="DJ80"/>
  <c r="U49"/>
  <c r="DC49"/>
  <c r="S80"/>
  <c r="AF49"/>
  <c r="BN51"/>
  <c r="Z51"/>
  <c r="AJ49"/>
  <c r="AJ51"/>
  <c r="AJ50"/>
  <c r="BW44"/>
  <c r="DU44" s="1"/>
  <c r="M80"/>
  <c r="M49"/>
  <c r="DF80"/>
  <c r="BM42"/>
  <c r="AF51"/>
  <c r="AF50"/>
  <c r="Z49"/>
  <c r="BN50"/>
  <c r="Z50"/>
  <c r="BU41"/>
  <c r="DS41" s="1"/>
  <c r="DJ46"/>
  <c r="AJ46"/>
  <c r="CN44"/>
  <c r="CS44"/>
  <c r="DD49"/>
  <c r="AF46"/>
  <c r="Z46"/>
  <c r="BN46"/>
  <c r="BR46"/>
  <c r="H49"/>
  <c r="BS68"/>
  <c r="BT68"/>
  <c r="BN80"/>
  <c r="BS67"/>
  <c r="BT67"/>
  <c r="J49"/>
  <c r="AK51"/>
  <c r="BA49"/>
  <c r="AE50"/>
  <c r="DE45"/>
  <c r="BS45"/>
  <c r="AE49"/>
  <c r="AY49"/>
  <c r="CM80"/>
  <c r="BE49"/>
  <c r="DK80"/>
  <c r="CA75"/>
  <c r="DY75" s="1"/>
  <c r="DE80"/>
  <c r="DE42"/>
  <c r="AK46"/>
  <c r="DK46"/>
  <c r="BV51"/>
  <c r="AW49"/>
  <c r="AZ49"/>
  <c r="AK49"/>
  <c r="AK50"/>
  <c r="CM49"/>
  <c r="AE46"/>
  <c r="AE51"/>
  <c r="AS49"/>
  <c r="CA73"/>
  <c r="CM51"/>
  <c r="BD49"/>
  <c r="AT49"/>
  <c r="AO49"/>
  <c r="BF49"/>
  <c r="DM49"/>
  <c r="DY55"/>
  <c r="DQ55"/>
  <c r="BR72"/>
  <c r="BZ44"/>
  <c r="DX44" s="1"/>
  <c r="BZ62"/>
  <c r="CS42"/>
  <c r="AR62" i="34" l="1"/>
  <c r="CV62" i="33" s="1"/>
  <c r="BD45" i="34"/>
  <c r="DN45" i="33" s="1"/>
  <c r="BF60" i="34"/>
  <c r="DP60" i="33" s="1"/>
  <c r="BR71"/>
  <c r="BD76" i="34"/>
  <c r="DN76" i="33" s="1"/>
  <c r="K81" i="34"/>
  <c r="BO81" i="33" s="1"/>
  <c r="AA81"/>
  <c r="K50" i="34"/>
  <c r="BO50" i="33" s="1"/>
  <c r="AA50"/>
  <c r="K49" i="34"/>
  <c r="BO49" i="33" s="1"/>
  <c r="AA49"/>
  <c r="K80" i="34"/>
  <c r="BO80" i="33" s="1"/>
  <c r="AA80"/>
  <c r="K77" i="34"/>
  <c r="BO77" i="33" s="1"/>
  <c r="AA77"/>
  <c r="K46" i="34"/>
  <c r="BO46" i="33" s="1"/>
  <c r="AA46"/>
  <c r="K42" i="34"/>
  <c r="BO42" i="33" s="1"/>
  <c r="AA42"/>
  <c r="K51" i="34"/>
  <c r="BO51" i="33" s="1"/>
  <c r="AA51"/>
  <c r="BR73"/>
  <c r="DW73" s="1"/>
  <c r="O73" i="34"/>
  <c r="BM73"/>
  <c r="BL62"/>
  <c r="N62"/>
  <c r="DC82" i="33"/>
  <c r="DP82" s="1"/>
  <c r="AS81" i="34"/>
  <c r="DC81" i="33" s="1"/>
  <c r="AC81"/>
  <c r="Z46" i="34"/>
  <c r="CD46" i="33" s="1"/>
  <c r="I46" i="34"/>
  <c r="Y46" i="33"/>
  <c r="BF73" i="34"/>
  <c r="DP73" i="33" s="1"/>
  <c r="BD73" i="34"/>
  <c r="DN73" i="33" s="1"/>
  <c r="DC73"/>
  <c r="L76" i="34"/>
  <c r="Q76"/>
  <c r="BI76" s="1"/>
  <c r="BM76" i="33"/>
  <c r="BM62"/>
  <c r="DT62" s="1"/>
  <c r="BJ62" i="34"/>
  <c r="BO78"/>
  <c r="CA78" i="33"/>
  <c r="DY78" s="1"/>
  <c r="Z50" i="34"/>
  <c r="CD50" i="33" s="1"/>
  <c r="I50" i="34"/>
  <c r="Y50" i="33"/>
  <c r="Z51" i="34"/>
  <c r="CD51" i="33" s="1"/>
  <c r="I51" i="34"/>
  <c r="Y51" i="33"/>
  <c r="Z49" i="34"/>
  <c r="CD49" i="33" s="1"/>
  <c r="Y49"/>
  <c r="I49" i="34"/>
  <c r="R57"/>
  <c r="BU57" i="33"/>
  <c r="DS57" s="1"/>
  <c r="O39" i="34"/>
  <c r="BR39" i="33"/>
  <c r="I81" i="34"/>
  <c r="Y81" i="33"/>
  <c r="Z81" i="34"/>
  <c r="CD81" i="33" s="1"/>
  <c r="R56" i="34"/>
  <c r="BU56" i="33"/>
  <c r="DS56" s="1"/>
  <c r="M56" i="34"/>
  <c r="BP56" i="33"/>
  <c r="L60" i="34"/>
  <c r="BM60" i="33"/>
  <c r="Q60" i="34"/>
  <c r="BI60" s="1"/>
  <c r="AO81"/>
  <c r="CS81" i="33" s="1"/>
  <c r="BK39" i="34"/>
  <c r="T39"/>
  <c r="BW39" i="33"/>
  <c r="DU39" s="1"/>
  <c r="BF72" i="34"/>
  <c r="DP72" i="33" s="1"/>
  <c r="DC72"/>
  <c r="BD72" i="34"/>
  <c r="DN72" i="33" s="1"/>
  <c r="AS82" i="34"/>
  <c r="BL73"/>
  <c r="BQ73" i="33"/>
  <c r="DV73" s="1"/>
  <c r="I77" i="34"/>
  <c r="Z77"/>
  <c r="CD77" i="33" s="1"/>
  <c r="Y77"/>
  <c r="BM82"/>
  <c r="CD82"/>
  <c r="I82" i="34"/>
  <c r="Z82"/>
  <c r="Q45"/>
  <c r="BM45" i="33"/>
  <c r="M57" i="34"/>
  <c r="BP57" i="33"/>
  <c r="AS80" i="34"/>
  <c r="DC80" i="33" s="1"/>
  <c r="AC80"/>
  <c r="BD71" i="34"/>
  <c r="DN71" i="33" s="1"/>
  <c r="DC71"/>
  <c r="BF71" i="34"/>
  <c r="DP71" i="33" s="1"/>
  <c r="AS77" i="34"/>
  <c r="DC77" i="33" s="1"/>
  <c r="AC77"/>
  <c r="L61" i="34"/>
  <c r="Q61"/>
  <c r="BI61" s="1"/>
  <c r="BM61" i="33"/>
  <c r="I80" i="34"/>
  <c r="Z80"/>
  <c r="CD80" i="33" s="1"/>
  <c r="Y80"/>
  <c r="AO80" i="34"/>
  <c r="CS80" i="33" s="1"/>
  <c r="AQ42" i="34"/>
  <c r="CU42" i="33" s="1"/>
  <c r="BF45" i="34"/>
  <c r="DP45" i="33" s="1"/>
  <c r="AL50"/>
  <c r="BB50" i="34"/>
  <c r="DL50" i="33" s="1"/>
  <c r="AL77"/>
  <c r="BB77" i="34"/>
  <c r="DL77" i="33" s="1"/>
  <c r="BB46" i="34"/>
  <c r="BF46" s="1"/>
  <c r="DP46" i="33" s="1"/>
  <c r="AL46"/>
  <c r="BB49" i="34"/>
  <c r="DL49" i="33" s="1"/>
  <c r="AL49"/>
  <c r="BB51" i="34"/>
  <c r="DL51" i="33" s="1"/>
  <c r="AL51"/>
  <c r="BB82" i="34"/>
  <c r="V82"/>
  <c r="DL82" i="33"/>
  <c r="BZ82"/>
  <c r="BB81" i="34"/>
  <c r="AL81" i="33"/>
  <c r="BB80" i="34"/>
  <c r="DL80" i="33" s="1"/>
  <c r="AL80"/>
  <c r="BD42" i="34"/>
  <c r="DN42" i="33" s="1"/>
  <c r="AQ61" i="34"/>
  <c r="CU61" i="33" s="1"/>
  <c r="DM42"/>
  <c r="BG44" i="34"/>
  <c r="BI62"/>
  <c r="DS82" i="33"/>
  <c r="BO79" i="34"/>
  <c r="CA79" i="33"/>
  <c r="DY79" s="1"/>
  <c r="DM77"/>
  <c r="BI82" i="34"/>
  <c r="DS62" i="33"/>
  <c r="BI42" i="34"/>
  <c r="H81"/>
  <c r="Y81"/>
  <c r="CC81" i="33" s="1"/>
  <c r="X81"/>
  <c r="H80" i="34"/>
  <c r="Y80"/>
  <c r="X80" i="33"/>
  <c r="AQ76" i="34"/>
  <c r="CU76" i="33" s="1"/>
  <c r="CC76"/>
  <c r="BL76"/>
  <c r="Y46" i="34"/>
  <c r="CC46" i="33" s="1"/>
  <c r="X46"/>
  <c r="H46" i="34"/>
  <c r="Y49"/>
  <c r="CC49" i="33" s="1"/>
  <c r="X49"/>
  <c r="H49" i="34"/>
  <c r="Y51"/>
  <c r="CC51" i="33" s="1"/>
  <c r="H51" i="34"/>
  <c r="BL51" i="33" s="1"/>
  <c r="X51"/>
  <c r="BL61"/>
  <c r="BL60"/>
  <c r="H77" i="34"/>
  <c r="Y77"/>
  <c r="CC77" i="33" s="1"/>
  <c r="X77"/>
  <c r="Y50" i="34"/>
  <c r="CC50" i="33" s="1"/>
  <c r="H50" i="34"/>
  <c r="X50" i="33"/>
  <c r="BL45"/>
  <c r="BI45" i="34"/>
  <c r="BI51"/>
  <c r="BU51" i="33"/>
  <c r="DQ75"/>
  <c r="BF50" i="34"/>
  <c r="DP50" i="33" s="1"/>
  <c r="AJ46" i="34"/>
  <c r="AJ50"/>
  <c r="L46"/>
  <c r="BP46" i="33" s="1"/>
  <c r="AC46" i="34"/>
  <c r="CG46" i="33" s="1"/>
  <c r="AP46" i="34"/>
  <c r="CT46" i="33" s="1"/>
  <c r="AP51" i="34"/>
  <c r="CT51" i="33" s="1"/>
  <c r="L51" i="34"/>
  <c r="AC51"/>
  <c r="CG51" i="33" s="1"/>
  <c r="L50" i="34"/>
  <c r="M50" s="1"/>
  <c r="AC50"/>
  <c r="CG50" i="33" s="1"/>
  <c r="AP50" i="34"/>
  <c r="CT50" i="33" s="1"/>
  <c r="BM54" i="34"/>
  <c r="V54"/>
  <c r="BM67"/>
  <c r="V67"/>
  <c r="BL41"/>
  <c r="U41"/>
  <c r="V51"/>
  <c r="AJ49"/>
  <c r="S51"/>
  <c r="AJ51"/>
  <c r="AP49"/>
  <c r="L49"/>
  <c r="M49" s="1"/>
  <c r="AC49"/>
  <c r="BM68"/>
  <c r="V68"/>
  <c r="BL72"/>
  <c r="U72"/>
  <c r="BL71"/>
  <c r="U71"/>
  <c r="BJ42"/>
  <c r="S42"/>
  <c r="AR42" s="1"/>
  <c r="AQ82"/>
  <c r="AO82"/>
  <c r="AO45"/>
  <c r="CS45" i="33" s="1"/>
  <c r="AQ45" i="34"/>
  <c r="CU45" i="33" s="1"/>
  <c r="BB49"/>
  <c r="AP49"/>
  <c r="DM80"/>
  <c r="BB80"/>
  <c r="BY54"/>
  <c r="DW54" s="1"/>
  <c r="CG80"/>
  <c r="BW72"/>
  <c r="DU72" s="1"/>
  <c r="CV72"/>
  <c r="BW71"/>
  <c r="DU71" s="1"/>
  <c r="CV71"/>
  <c r="AB49"/>
  <c r="BQ42"/>
  <c r="CT80"/>
  <c r="K49"/>
  <c r="AX49"/>
  <c r="CU82"/>
  <c r="CS82"/>
  <c r="BR41"/>
  <c r="BX67"/>
  <c r="DV67" s="1"/>
  <c r="BX68"/>
  <c r="DV68" s="1"/>
  <c r="AB46"/>
  <c r="AB51"/>
  <c r="AB50"/>
  <c r="CA65"/>
  <c r="DY65" s="1"/>
  <c r="BN49"/>
  <c r="DF49"/>
  <c r="AI50"/>
  <c r="BV41"/>
  <c r="DT41" s="1"/>
  <c r="CV41"/>
  <c r="BU42"/>
  <c r="DS42" s="1"/>
  <c r="BX51"/>
  <c r="DJ49"/>
  <c r="AI46"/>
  <c r="CN45"/>
  <c r="AI49"/>
  <c r="AI51"/>
  <c r="DK49"/>
  <c r="DO49"/>
  <c r="DE49"/>
  <c r="CA62"/>
  <c r="CA44"/>
  <c r="BS71"/>
  <c r="BS72"/>
  <c r="DE51"/>
  <c r="BS46"/>
  <c r="BT46"/>
  <c r="DE46"/>
  <c r="DE50"/>
  <c r="BY51"/>
  <c r="BD51" i="34" l="1"/>
  <c r="DN51" i="33" s="1"/>
  <c r="AQ81" i="34"/>
  <c r="CU81" i="33" s="1"/>
  <c r="BF82" i="34"/>
  <c r="BD50"/>
  <c r="DN50" i="33" s="1"/>
  <c r="BF80" i="34"/>
  <c r="DP80" i="33" s="1"/>
  <c r="BD80" i="34"/>
  <c r="DN80" i="33" s="1"/>
  <c r="BD49" i="34"/>
  <c r="DN49" i="33" s="1"/>
  <c r="DN82"/>
  <c r="BQ50"/>
  <c r="N50" i="34"/>
  <c r="BP51" i="33"/>
  <c r="M51" i="34"/>
  <c r="BJ82"/>
  <c r="L82"/>
  <c r="AR82" s="1"/>
  <c r="DT82" i="33"/>
  <c r="BP82"/>
  <c r="CV82" s="1"/>
  <c r="O62" i="34"/>
  <c r="BR62" i="33"/>
  <c r="DW62" s="1"/>
  <c r="BM62" i="34"/>
  <c r="N49"/>
  <c r="BQ49" i="33"/>
  <c r="P73" i="34"/>
  <c r="BG73" s="1"/>
  <c r="BS73" i="33"/>
  <c r="BN73" i="34"/>
  <c r="AO77"/>
  <c r="CS77" i="33" s="1"/>
  <c r="BF51" i="34"/>
  <c r="DP51" i="33" s="1"/>
  <c r="BF49" i="34"/>
  <c r="DP49" i="33" s="1"/>
  <c r="BF77" i="34"/>
  <c r="DP77" i="33" s="1"/>
  <c r="M61" i="34"/>
  <c r="BP61" i="33"/>
  <c r="L77" i="34"/>
  <c r="Q77"/>
  <c r="BI77" s="1"/>
  <c r="BM77" i="33"/>
  <c r="Q81" i="34"/>
  <c r="BI81" s="1"/>
  <c r="L81"/>
  <c r="BM81" i="33"/>
  <c r="P39" i="34"/>
  <c r="BT39" i="33" s="1"/>
  <c r="BS39"/>
  <c r="S57" i="34"/>
  <c r="BJ57"/>
  <c r="BV57" i="33"/>
  <c r="DT57" s="1"/>
  <c r="BM50"/>
  <c r="Q50" i="34"/>
  <c r="BI50" s="1"/>
  <c r="M76"/>
  <c r="BP76" i="33"/>
  <c r="BM80"/>
  <c r="Q80" i="34"/>
  <c r="BI80" s="1"/>
  <c r="L80"/>
  <c r="R61"/>
  <c r="BU61" i="33"/>
  <c r="DS61" s="1"/>
  <c r="BQ57"/>
  <c r="N57" i="34"/>
  <c r="R45"/>
  <c r="BU45" i="33"/>
  <c r="U39" i="34"/>
  <c r="BL39"/>
  <c r="BX39" i="33"/>
  <c r="DV39" s="1"/>
  <c r="R60" i="34"/>
  <c r="BU60" i="33"/>
  <c r="DS60" s="1"/>
  <c r="M60" i="34"/>
  <c r="BP60" i="33"/>
  <c r="N56" i="34"/>
  <c r="BQ56" i="33"/>
  <c r="S56" i="34"/>
  <c r="BJ56"/>
  <c r="AR56"/>
  <c r="CV56" i="33" s="1"/>
  <c r="BV56"/>
  <c r="DT56" s="1"/>
  <c r="Q49" i="34"/>
  <c r="BI49" s="1"/>
  <c r="BM49" i="33"/>
  <c r="BM51"/>
  <c r="DT51" s="1"/>
  <c r="BJ51" i="34"/>
  <c r="R76"/>
  <c r="BU76" i="33"/>
  <c r="DS76" s="1"/>
  <c r="Q46" i="34"/>
  <c r="BI46" s="1"/>
  <c r="BM46" i="33"/>
  <c r="DS45"/>
  <c r="BD82" i="34"/>
  <c r="BD77"/>
  <c r="DN77" i="33" s="1"/>
  <c r="DL81"/>
  <c r="BD81" i="34"/>
  <c r="DN81" i="33" s="1"/>
  <c r="DL46"/>
  <c r="BD46" i="34"/>
  <c r="DN46" i="33" s="1"/>
  <c r="BF81" i="34"/>
  <c r="DP81" i="33" s="1"/>
  <c r="BP50"/>
  <c r="AQ77" i="34"/>
  <c r="CU77" i="33" s="1"/>
  <c r="BL46"/>
  <c r="AQ80" i="34"/>
  <c r="CU80" i="33" s="1"/>
  <c r="CC80"/>
  <c r="BL81"/>
  <c r="DS51"/>
  <c r="BL50"/>
  <c r="BL77"/>
  <c r="BL49"/>
  <c r="BL80"/>
  <c r="BK51" i="34"/>
  <c r="BK42"/>
  <c r="T42"/>
  <c r="BM71"/>
  <c r="V71"/>
  <c r="BM72"/>
  <c r="V72"/>
  <c r="BN68"/>
  <c r="W68"/>
  <c r="BO68" s="1"/>
  <c r="AO49"/>
  <c r="AQ49"/>
  <c r="CU49" i="33" s="1"/>
  <c r="W51" i="34"/>
  <c r="BM41"/>
  <c r="V41"/>
  <c r="BN67"/>
  <c r="W67"/>
  <c r="BN54"/>
  <c r="W54"/>
  <c r="BO54" s="1"/>
  <c r="AR51"/>
  <c r="CV51" i="33" s="1"/>
  <c r="AO50" i="34"/>
  <c r="CS50" i="33" s="1"/>
  <c r="AQ50" i="34"/>
  <c r="CU50" i="33" s="1"/>
  <c r="AO51" i="34"/>
  <c r="CS51" i="33" s="1"/>
  <c r="AQ51" i="34"/>
  <c r="CU51" i="33" s="1"/>
  <c r="AO46" i="34"/>
  <c r="CS46" i="33" s="1"/>
  <c r="AQ46" i="34"/>
  <c r="CU46" i="33" s="1"/>
  <c r="BY68"/>
  <c r="BY67"/>
  <c r="DW67" s="1"/>
  <c r="BT41"/>
  <c r="BS41"/>
  <c r="CG49"/>
  <c r="BX71"/>
  <c r="DV71" s="1"/>
  <c r="BX72"/>
  <c r="DV72" s="1"/>
  <c r="BZ54"/>
  <c r="DX54" s="1"/>
  <c r="BR42"/>
  <c r="BP49"/>
  <c r="CN51"/>
  <c r="CN49"/>
  <c r="BW41"/>
  <c r="DU41" s="1"/>
  <c r="BW51"/>
  <c r="CT49"/>
  <c r="CN46"/>
  <c r="BV42"/>
  <c r="DT42" s="1"/>
  <c r="CN50"/>
  <c r="BT72"/>
  <c r="BT71"/>
  <c r="BZ51"/>
  <c r="DY44"/>
  <c r="DQ44"/>
  <c r="DU51" l="1"/>
  <c r="DX73"/>
  <c r="BT73"/>
  <c r="DY73" s="1"/>
  <c r="BO73" i="34"/>
  <c r="O49"/>
  <c r="BR49" i="33"/>
  <c r="P62" i="34"/>
  <c r="BG62" s="1"/>
  <c r="BS62" i="33"/>
  <c r="BN62" i="34"/>
  <c r="BQ82" i="33"/>
  <c r="DU82"/>
  <c r="BK82" i="34"/>
  <c r="M82"/>
  <c r="N51"/>
  <c r="BQ51" i="33"/>
  <c r="DV51" s="1"/>
  <c r="BL51" i="34"/>
  <c r="BR50" i="33"/>
  <c r="O50" i="34"/>
  <c r="R46"/>
  <c r="BU46" i="33"/>
  <c r="DS46" s="1"/>
  <c r="BJ76" i="34"/>
  <c r="S76"/>
  <c r="AR76" s="1"/>
  <c r="CV76" i="33" s="1"/>
  <c r="BV76"/>
  <c r="DT76" s="1"/>
  <c r="R49" i="34"/>
  <c r="BU49" i="33"/>
  <c r="DS49" s="1"/>
  <c r="T56" i="34"/>
  <c r="BK56"/>
  <c r="BW56" i="33"/>
  <c r="DU56" s="1"/>
  <c r="O56" i="34"/>
  <c r="BR56" i="33"/>
  <c r="N60" i="34"/>
  <c r="BQ60" i="33"/>
  <c r="BJ60" i="34"/>
  <c r="S60"/>
  <c r="AR60" s="1"/>
  <c r="CV60" i="33" s="1"/>
  <c r="BV60"/>
  <c r="DT60" s="1"/>
  <c r="O57" i="34"/>
  <c r="BR57" i="33"/>
  <c r="M80" i="34"/>
  <c r="BP80" i="33"/>
  <c r="N76" i="34"/>
  <c r="BQ76" i="33"/>
  <c r="R81" i="34"/>
  <c r="BU81" i="33"/>
  <c r="DS81" s="1"/>
  <c r="R77" i="34"/>
  <c r="BU77" i="33"/>
  <c r="DS77" s="1"/>
  <c r="N61" i="34"/>
  <c r="BQ61" i="33"/>
  <c r="V39" i="34"/>
  <c r="BM39"/>
  <c r="BY39" i="33"/>
  <c r="DW39" s="1"/>
  <c r="BJ45" i="34"/>
  <c r="S45"/>
  <c r="AR45" s="1"/>
  <c r="CV45" i="33" s="1"/>
  <c r="BV45"/>
  <c r="DT45" s="1"/>
  <c r="BJ61" i="34"/>
  <c r="S61"/>
  <c r="AR61" s="1"/>
  <c r="CV61" i="33" s="1"/>
  <c r="BV61"/>
  <c r="DT61" s="1"/>
  <c r="R80" i="34"/>
  <c r="BU80" i="33"/>
  <c r="DS80" s="1"/>
  <c r="R50" i="34"/>
  <c r="BU50" i="33"/>
  <c r="DS50" s="1"/>
  <c r="AR57" i="34"/>
  <c r="CV57" i="33" s="1"/>
  <c r="T57" i="34"/>
  <c r="BK57"/>
  <c r="BW57" i="33"/>
  <c r="DU57" s="1"/>
  <c r="M81" i="34"/>
  <c r="BP81" i="33"/>
  <c r="M77" i="34"/>
  <c r="BP77" i="33"/>
  <c r="BG68" i="34"/>
  <c r="BO67"/>
  <c r="BG67"/>
  <c r="BN41"/>
  <c r="W41"/>
  <c r="BO41" s="1"/>
  <c r="BN72"/>
  <c r="W72"/>
  <c r="BN71"/>
  <c r="W71"/>
  <c r="BO71" s="1"/>
  <c r="BL42"/>
  <c r="U42"/>
  <c r="BS42" i="33"/>
  <c r="BT42"/>
  <c r="CA54"/>
  <c r="DY54" s="1"/>
  <c r="BY71"/>
  <c r="DW71" s="1"/>
  <c r="BZ67"/>
  <c r="BZ68"/>
  <c r="DX68" s="1"/>
  <c r="BY72"/>
  <c r="DW72" s="1"/>
  <c r="DW68"/>
  <c r="BX41"/>
  <c r="DV41" s="1"/>
  <c r="CV42"/>
  <c r="BW42"/>
  <c r="DU42" s="1"/>
  <c r="CS49"/>
  <c r="CA51"/>
  <c r="DX62" l="1"/>
  <c r="DQ73"/>
  <c r="BL82" i="34"/>
  <c r="N82"/>
  <c r="BT62" i="33"/>
  <c r="DY62" s="1"/>
  <c r="BO62" i="34"/>
  <c r="P49"/>
  <c r="BT49" i="33" s="1"/>
  <c r="BS49"/>
  <c r="P50" i="34"/>
  <c r="BT50" i="33" s="1"/>
  <c r="BS50"/>
  <c r="BR51"/>
  <c r="DW51" s="1"/>
  <c r="O51" i="34"/>
  <c r="BM51"/>
  <c r="DV82" i="33"/>
  <c r="BR82"/>
  <c r="N77" i="34"/>
  <c r="BQ77" i="33"/>
  <c r="N81" i="34"/>
  <c r="BQ81" i="33"/>
  <c r="BJ50" i="34"/>
  <c r="S50"/>
  <c r="AR50" s="1"/>
  <c r="CV50" i="33" s="1"/>
  <c r="BV50"/>
  <c r="DT50" s="1"/>
  <c r="S80" i="34"/>
  <c r="BJ80"/>
  <c r="AR80"/>
  <c r="CV80" i="33" s="1"/>
  <c r="BV80"/>
  <c r="DT80" s="1"/>
  <c r="T61" i="34"/>
  <c r="BK61"/>
  <c r="BW61" i="33"/>
  <c r="DU61" s="1"/>
  <c r="T45" i="34"/>
  <c r="BK45"/>
  <c r="BP45" s="1"/>
  <c r="BW45" i="33"/>
  <c r="DU45" s="1"/>
  <c r="DZ45" s="1"/>
  <c r="BN39" i="34"/>
  <c r="W39"/>
  <c r="BZ39" i="33"/>
  <c r="DX39" s="1"/>
  <c r="O61" i="34"/>
  <c r="BR61" i="33"/>
  <c r="S77" i="34"/>
  <c r="AR77" s="1"/>
  <c r="CV77" i="33" s="1"/>
  <c r="BJ77" i="34"/>
  <c r="BV77" i="33"/>
  <c r="DT77" s="1"/>
  <c r="S81" i="34"/>
  <c r="BJ81"/>
  <c r="AR81"/>
  <c r="CV81" i="33" s="1"/>
  <c r="BV81"/>
  <c r="DT81" s="1"/>
  <c r="O76" i="34"/>
  <c r="BR76" i="33"/>
  <c r="N80" i="34"/>
  <c r="BQ80" i="33"/>
  <c r="P57" i="34"/>
  <c r="BT57" i="33" s="1"/>
  <c r="BS57"/>
  <c r="O60" i="34"/>
  <c r="BR60" i="33"/>
  <c r="P56" i="34"/>
  <c r="BT56" i="33" s="1"/>
  <c r="BS56"/>
  <c r="BJ46" i="34"/>
  <c r="S46"/>
  <c r="BV46" i="33"/>
  <c r="DT46" s="1"/>
  <c r="BL57" i="34"/>
  <c r="U57"/>
  <c r="BX57" i="33"/>
  <c r="DV57" s="1"/>
  <c r="T60" i="34"/>
  <c r="BK60"/>
  <c r="BW60" i="33"/>
  <c r="DU60" s="1"/>
  <c r="BL56" i="34"/>
  <c r="U56"/>
  <c r="BX56" i="33"/>
  <c r="DV56" s="1"/>
  <c r="BJ49" i="34"/>
  <c r="S49"/>
  <c r="AR49" s="1"/>
  <c r="CV49" i="33" s="1"/>
  <c r="BV49"/>
  <c r="DT49" s="1"/>
  <c r="T76" i="34"/>
  <c r="BK76"/>
  <c r="BP76" s="1"/>
  <c r="BW76" i="33"/>
  <c r="DU76" s="1"/>
  <c r="DZ76" s="1"/>
  <c r="BG71" i="34"/>
  <c r="BO72"/>
  <c r="BG72"/>
  <c r="BG41"/>
  <c r="BM42"/>
  <c r="V42"/>
  <c r="BZ72" i="33"/>
  <c r="DX67"/>
  <c r="CA68"/>
  <c r="CA67"/>
  <c r="DY67" s="1"/>
  <c r="BZ71"/>
  <c r="BX42"/>
  <c r="DV42" s="1"/>
  <c r="BY41"/>
  <c r="DW41" s="1"/>
  <c r="DQ62" l="1"/>
  <c r="P51" i="34"/>
  <c r="BG51" s="1"/>
  <c r="BS51" i="33"/>
  <c r="BN51" i="34"/>
  <c r="BS82" i="33"/>
  <c r="DW82"/>
  <c r="O82" i="34"/>
  <c r="BM82"/>
  <c r="BL76"/>
  <c r="U76"/>
  <c r="BX76" i="33"/>
  <c r="DV76" s="1"/>
  <c r="V56" i="34"/>
  <c r="BM56"/>
  <c r="BY56" i="33"/>
  <c r="DW56" s="1"/>
  <c r="BL60" i="34"/>
  <c r="U60"/>
  <c r="BX60" i="33"/>
  <c r="DV60" s="1"/>
  <c r="BM57" i="34"/>
  <c r="V57"/>
  <c r="BY57" i="33"/>
  <c r="DW57" s="1"/>
  <c r="BK46" i="34"/>
  <c r="T46"/>
  <c r="AR46"/>
  <c r="CV46" i="33" s="1"/>
  <c r="BW46"/>
  <c r="DU46" s="1"/>
  <c r="U61" i="34"/>
  <c r="BL61"/>
  <c r="BX61" i="33"/>
  <c r="DV61" s="1"/>
  <c r="BK80" i="34"/>
  <c r="T80"/>
  <c r="BW80" i="33"/>
  <c r="DU80" s="1"/>
  <c r="O81" i="34"/>
  <c r="BR81" i="33"/>
  <c r="O77" i="34"/>
  <c r="BR77" i="33"/>
  <c r="T49" i="34"/>
  <c r="BK49"/>
  <c r="BW49" i="33"/>
  <c r="DU49" s="1"/>
  <c r="P60" i="34"/>
  <c r="BT60" i="33" s="1"/>
  <c r="BS60"/>
  <c r="O80" i="34"/>
  <c r="BR80" i="33"/>
  <c r="P76" i="34"/>
  <c r="BS76" i="33"/>
  <c r="T81" i="34"/>
  <c r="BK81"/>
  <c r="BW81" i="33"/>
  <c r="DU81" s="1"/>
  <c r="T77" i="34"/>
  <c r="BK77"/>
  <c r="BW77" i="33"/>
  <c r="DU77" s="1"/>
  <c r="P61" i="34"/>
  <c r="BS61" i="33"/>
  <c r="BO39" i="34"/>
  <c r="CA39" i="33"/>
  <c r="DY39" s="1"/>
  <c r="BL45" i="34"/>
  <c r="U45"/>
  <c r="BX45" i="33"/>
  <c r="DV45" s="1"/>
  <c r="BK50" i="34"/>
  <c r="T50"/>
  <c r="BW50" i="33"/>
  <c r="DU50" s="1"/>
  <c r="BN42" i="34"/>
  <c r="W42"/>
  <c r="DQ67" i="33"/>
  <c r="DX71"/>
  <c r="DY68"/>
  <c r="DQ68"/>
  <c r="DX72"/>
  <c r="CA71"/>
  <c r="DY71" s="1"/>
  <c r="CA72"/>
  <c r="DY72" s="1"/>
  <c r="BY42"/>
  <c r="DW42" s="1"/>
  <c r="BZ41"/>
  <c r="DX41" s="1"/>
  <c r="DX51" l="1"/>
  <c r="BT51"/>
  <c r="DY51" s="1"/>
  <c r="BO51" i="34"/>
  <c r="P82"/>
  <c r="BO82" s="1"/>
  <c r="BN82"/>
  <c r="BT82" i="33"/>
  <c r="DY82" s="1"/>
  <c r="DX82"/>
  <c r="BL50" i="34"/>
  <c r="U50"/>
  <c r="BX50" i="33"/>
  <c r="DV50" s="1"/>
  <c r="BM45" i="34"/>
  <c r="V45"/>
  <c r="BY45" i="33"/>
  <c r="DW45" s="1"/>
  <c r="BL77" i="34"/>
  <c r="U77"/>
  <c r="BX77" i="33"/>
  <c r="DV77" s="1"/>
  <c r="BL49" i="34"/>
  <c r="U49"/>
  <c r="BX49" i="33"/>
  <c r="DV49" s="1"/>
  <c r="P77" i="34"/>
  <c r="BT77" i="33" s="1"/>
  <c r="BS77"/>
  <c r="P81" i="34"/>
  <c r="BT81" i="33" s="1"/>
  <c r="BS81"/>
  <c r="BL80" i="34"/>
  <c r="U80"/>
  <c r="BX80" i="33"/>
  <c r="DV80" s="1"/>
  <c r="BM61" i="34"/>
  <c r="V61"/>
  <c r="BY61" i="33"/>
  <c r="DW61" s="1"/>
  <c r="BN57" i="34"/>
  <c r="W57"/>
  <c r="BG57" s="1"/>
  <c r="BZ57" i="33"/>
  <c r="DX57" s="1"/>
  <c r="BT61"/>
  <c r="BL81" i="34"/>
  <c r="U81"/>
  <c r="BX81" i="33"/>
  <c r="DV81" s="1"/>
  <c r="BT76"/>
  <c r="P80" i="34"/>
  <c r="BT80" i="33" s="1"/>
  <c r="BS80"/>
  <c r="BL46" i="34"/>
  <c r="U46"/>
  <c r="BX46" i="33"/>
  <c r="DV46" s="1"/>
  <c r="BM60" i="34"/>
  <c r="V60"/>
  <c r="BY60" i="33"/>
  <c r="DW60" s="1"/>
  <c r="W56" i="34"/>
  <c r="BN56"/>
  <c r="BG56"/>
  <c r="BZ56" i="33"/>
  <c r="DX56" s="1"/>
  <c r="BM76" i="34"/>
  <c r="V76"/>
  <c r="BY76" i="33"/>
  <c r="DW76" s="1"/>
  <c r="BO42" i="34"/>
  <c r="BG42"/>
  <c r="DQ72" i="33"/>
  <c r="DQ71"/>
  <c r="CA41"/>
  <c r="BZ42"/>
  <c r="DX42" s="1"/>
  <c r="DQ51" l="1"/>
  <c r="DQ82"/>
  <c r="BG82" i="34"/>
  <c r="BO56"/>
  <c r="CA56" i="33"/>
  <c r="BN60" i="34"/>
  <c r="W60"/>
  <c r="BG60" s="1"/>
  <c r="BZ60" i="33"/>
  <c r="DX60" s="1"/>
  <c r="BM81" i="34"/>
  <c r="V81"/>
  <c r="BY81" i="33"/>
  <c r="DW81" s="1"/>
  <c r="BN61" i="34"/>
  <c r="W61"/>
  <c r="BZ61" i="33"/>
  <c r="DX61" s="1"/>
  <c r="BM49" i="34"/>
  <c r="V49"/>
  <c r="BY49" i="33"/>
  <c r="DW49" s="1"/>
  <c r="BN45" i="34"/>
  <c r="W45"/>
  <c r="BG45" s="1"/>
  <c r="BZ45" i="33"/>
  <c r="DX45" s="1"/>
  <c r="BN76" i="34"/>
  <c r="W76"/>
  <c r="BZ76" i="33"/>
  <c r="DX76" s="1"/>
  <c r="BM46" i="34"/>
  <c r="V46"/>
  <c r="BY46" i="33"/>
  <c r="DW46" s="1"/>
  <c r="BO57" i="34"/>
  <c r="CA57" i="33"/>
  <c r="BM80" i="34"/>
  <c r="V80"/>
  <c r="BY80" i="33"/>
  <c r="DW80" s="1"/>
  <c r="BM77" i="34"/>
  <c r="V77"/>
  <c r="BY77" i="33"/>
  <c r="DW77" s="1"/>
  <c r="BM50" i="34"/>
  <c r="V50"/>
  <c r="BY50" i="33"/>
  <c r="DW50" s="1"/>
  <c r="BG76" i="34"/>
  <c r="CA42" i="33"/>
  <c r="DY42" s="1"/>
  <c r="DQ41"/>
  <c r="DY41"/>
  <c r="DQ42" l="1"/>
  <c r="BN77" i="34"/>
  <c r="W77"/>
  <c r="BZ77" i="33"/>
  <c r="DX77" s="1"/>
  <c r="W46" i="34"/>
  <c r="BN46"/>
  <c r="BG46"/>
  <c r="BZ46" i="33"/>
  <c r="DX46" s="1"/>
  <c r="BN49" i="34"/>
  <c r="W49"/>
  <c r="BG49" s="1"/>
  <c r="BZ49" i="33"/>
  <c r="DX49" s="1"/>
  <c r="BN81" i="34"/>
  <c r="W81"/>
  <c r="BZ81" i="33"/>
  <c r="DX81" s="1"/>
  <c r="BO60" i="34"/>
  <c r="CA60" i="33"/>
  <c r="DY56"/>
  <c r="DQ56"/>
  <c r="W50" i="34"/>
  <c r="BG50" s="1"/>
  <c r="BN50"/>
  <c r="BZ50" i="33"/>
  <c r="DX50" s="1"/>
  <c r="W80" i="34"/>
  <c r="BG80" s="1"/>
  <c r="BN80"/>
  <c r="BZ80" i="33"/>
  <c r="DX80" s="1"/>
  <c r="DQ57"/>
  <c r="DY57"/>
  <c r="BO76" i="34"/>
  <c r="BQ76" s="1"/>
  <c r="CA76" i="33"/>
  <c r="BO45" i="34"/>
  <c r="BQ45" s="1"/>
  <c r="CA45" i="33"/>
  <c r="BO61" i="34"/>
  <c r="BG61"/>
  <c r="CA61" i="33"/>
  <c r="AL116" i="14"/>
  <c r="AL136" s="1"/>
  <c r="AL212" i="9" s="1"/>
  <c r="AT116" i="14"/>
  <c r="AT136" s="1"/>
  <c r="AT212" i="9" s="1"/>
  <c r="V8" i="4"/>
  <c r="AM116" i="14"/>
  <c r="AM136" s="1"/>
  <c r="AM212" i="9" s="1"/>
  <c r="DY45" i="33" l="1"/>
  <c r="EA45" s="1"/>
  <c r="DQ45"/>
  <c r="DY76"/>
  <c r="EA76" s="1"/>
  <c r="DQ76"/>
  <c r="DY60"/>
  <c r="DQ60"/>
  <c r="BO81" i="34"/>
  <c r="CA81" i="33"/>
  <c r="BO49" i="34"/>
  <c r="CA49" i="33"/>
  <c r="BO77" i="34"/>
  <c r="CA77" i="33"/>
  <c r="DY61"/>
  <c r="DQ61"/>
  <c r="BO80" i="34"/>
  <c r="CA80" i="33"/>
  <c r="BO50" i="34"/>
  <c r="CA50" i="33"/>
  <c r="BO46" i="34"/>
  <c r="CA46" i="33"/>
  <c r="BG81" i="34"/>
  <c r="BG77"/>
  <c r="AM262" i="9"/>
  <c r="AM263" s="1"/>
  <c r="AM264" s="1"/>
  <c r="AM270"/>
  <c r="AM271" s="1"/>
  <c r="AM272" s="1"/>
  <c r="AM279"/>
  <c r="AM280" s="1"/>
  <c r="AM281" s="1"/>
  <c r="AM213"/>
  <c r="AM288"/>
  <c r="AM289" s="1"/>
  <c r="AM290" s="1"/>
  <c r="AM253"/>
  <c r="M116" i="14"/>
  <c r="M136" s="1"/>
  <c r="M135"/>
  <c r="M140" s="1"/>
  <c r="AM135"/>
  <c r="AM140" s="1"/>
  <c r="AL135"/>
  <c r="AL140" s="1"/>
  <c r="AT262" i="9"/>
  <c r="AT263" s="1"/>
  <c r="AT264" s="1"/>
  <c r="AT288"/>
  <c r="AT289" s="1"/>
  <c r="AT290" s="1"/>
  <c r="AT253"/>
  <c r="AT270"/>
  <c r="AT271" s="1"/>
  <c r="AT272" s="1"/>
  <c r="AT279"/>
  <c r="AT280" s="1"/>
  <c r="AT281" s="1"/>
  <c r="AT213"/>
  <c r="AL262"/>
  <c r="AL263" s="1"/>
  <c r="AL264" s="1"/>
  <c r="AL270"/>
  <c r="AL271" s="1"/>
  <c r="AL272" s="1"/>
  <c r="AL279"/>
  <c r="AL280" s="1"/>
  <c r="AL281" s="1"/>
  <c r="AL253"/>
  <c r="AL288"/>
  <c r="AL289" s="1"/>
  <c r="AL290" s="1"/>
  <c r="AL213"/>
  <c r="AT135" i="14"/>
  <c r="AT140" s="1"/>
  <c r="DY46" i="33" l="1"/>
  <c r="DQ46"/>
  <c r="DY50"/>
  <c r="DQ50"/>
  <c r="DY80"/>
  <c r="DQ80"/>
  <c r="DY77"/>
  <c r="DQ77"/>
  <c r="DQ49"/>
  <c r="DY49"/>
  <c r="DQ81"/>
  <c r="DY81"/>
  <c r="AS116" i="14"/>
  <c r="AS136" s="1"/>
  <c r="AS212" i="9" s="1"/>
  <c r="AS135" i="14"/>
  <c r="AS140" s="1"/>
  <c r="BA116"/>
  <c r="BA136" s="1"/>
  <c r="BA212" i="9" s="1"/>
  <c r="BA135" i="14"/>
  <c r="BA140" s="1"/>
  <c r="BH116"/>
  <c r="BH136" s="1"/>
  <c r="BH212" i="9" s="1"/>
  <c r="BH135" i="14"/>
  <c r="BH140" s="1"/>
  <c r="K116"/>
  <c r="K136" s="1"/>
  <c r="K135"/>
  <c r="K140" s="1"/>
  <c r="AX116"/>
  <c r="AX136" s="1"/>
  <c r="AX212" i="9" s="1"/>
  <c r="AX135" i="14"/>
  <c r="AX140" s="1"/>
  <c r="O116"/>
  <c r="O136" s="1"/>
  <c r="O135"/>
  <c r="O140" s="1"/>
  <c r="AP116"/>
  <c r="AP136" s="1"/>
  <c r="AP212" i="9" s="1"/>
  <c r="AP135" i="14"/>
  <c r="AP140" s="1"/>
  <c r="AF116"/>
  <c r="AF136" s="1"/>
  <c r="AF212" i="9" s="1"/>
  <c r="AF135" i="14"/>
  <c r="AF140" s="1"/>
  <c r="AL265" i="9"/>
  <c r="AL291"/>
  <c r="AL273"/>
  <c r="AL282"/>
  <c r="AL214"/>
  <c r="AL101" i="29" s="1"/>
  <c r="AL219" i="9"/>
  <c r="AZ116" i="14"/>
  <c r="AZ136" s="1"/>
  <c r="AZ212" i="9" s="1"/>
  <c r="AZ135" i="14"/>
  <c r="AZ140" s="1"/>
  <c r="AQ116"/>
  <c r="AQ136" s="1"/>
  <c r="AQ212" i="9" s="1"/>
  <c r="AQ135" i="14"/>
  <c r="AQ140" s="1"/>
  <c r="S116"/>
  <c r="S136" s="1"/>
  <c r="S135"/>
  <c r="S140" s="1"/>
  <c r="L116"/>
  <c r="L136" s="1"/>
  <c r="L135"/>
  <c r="L140" s="1"/>
  <c r="BD116"/>
  <c r="BD136" s="1"/>
  <c r="BD212" i="9" s="1"/>
  <c r="BD135" i="14"/>
  <c r="BD140" s="1"/>
  <c r="V116"/>
  <c r="V136" s="1"/>
  <c r="V135"/>
  <c r="V140" s="1"/>
  <c r="N116"/>
  <c r="N136" s="1"/>
  <c r="N135"/>
  <c r="N140" s="1"/>
  <c r="AO116"/>
  <c r="AO136" s="1"/>
  <c r="AO212" i="9" s="1"/>
  <c r="AO135" i="14"/>
  <c r="AO140" s="1"/>
  <c r="H116"/>
  <c r="H136" s="1"/>
  <c r="H135"/>
  <c r="H140" s="1"/>
  <c r="AV116"/>
  <c r="AV136" s="1"/>
  <c r="AV212" i="9" s="1"/>
  <c r="AV135" i="14"/>
  <c r="AV140" s="1"/>
  <c r="X116"/>
  <c r="X136" s="1"/>
  <c r="X212" i="9" s="1"/>
  <c r="X135" i="14"/>
  <c r="X140" s="1"/>
  <c r="AH116"/>
  <c r="AH136" s="1"/>
  <c r="AH212" i="9" s="1"/>
  <c r="AH135" i="14"/>
  <c r="AH140" s="1"/>
  <c r="AJ116"/>
  <c r="AJ136" s="1"/>
  <c r="AJ212" i="9" s="1"/>
  <c r="AJ135" i="14"/>
  <c r="AJ140" s="1"/>
  <c r="AT103" i="29"/>
  <c r="AT254" i="9"/>
  <c r="AT255" s="1"/>
  <c r="BE116" i="14"/>
  <c r="BE136" s="1"/>
  <c r="BE212" i="9" s="1"/>
  <c r="BE135" i="14"/>
  <c r="BE140" s="1"/>
  <c r="U116"/>
  <c r="U136" s="1"/>
  <c r="U135"/>
  <c r="U140" s="1"/>
  <c r="AN116"/>
  <c r="AN136" s="1"/>
  <c r="AN212" i="9" s="1"/>
  <c r="AN135" i="14"/>
  <c r="AN140" s="1"/>
  <c r="AU116"/>
  <c r="AU136" s="1"/>
  <c r="AU212" i="9" s="1"/>
  <c r="AU135" i="14"/>
  <c r="AU140" s="1"/>
  <c r="BF116"/>
  <c r="BF136" s="1"/>
  <c r="BF212" i="9" s="1"/>
  <c r="BF135" i="14"/>
  <c r="BF140" s="1"/>
  <c r="BG116"/>
  <c r="BG136" s="1"/>
  <c r="BG212" i="9" s="1"/>
  <c r="BG135" i="14"/>
  <c r="BG140" s="1"/>
  <c r="I116"/>
  <c r="I136" s="1"/>
  <c r="I135"/>
  <c r="I140" s="1"/>
  <c r="AA116"/>
  <c r="AA136" s="1"/>
  <c r="AA212" i="9" s="1"/>
  <c r="AA135" i="14"/>
  <c r="AA140" s="1"/>
  <c r="AG116"/>
  <c r="AG136" s="1"/>
  <c r="AG212" i="9" s="1"/>
  <c r="AG135" i="14"/>
  <c r="AG140" s="1"/>
  <c r="AI116"/>
  <c r="AI136" s="1"/>
  <c r="AI212" i="9" s="1"/>
  <c r="AI135" i="14"/>
  <c r="AI140" s="1"/>
  <c r="AC116"/>
  <c r="AC136" s="1"/>
  <c r="AC212" i="9" s="1"/>
  <c r="AC135" i="14"/>
  <c r="AC140" s="1"/>
  <c r="AL295" i="9"/>
  <c r="AM295"/>
  <c r="R116" i="14"/>
  <c r="R136" s="1"/>
  <c r="R135"/>
  <c r="R140" s="1"/>
  <c r="Q116"/>
  <c r="Q136" s="1"/>
  <c r="Q135"/>
  <c r="Q140" s="1"/>
  <c r="W116"/>
  <c r="W136" s="1"/>
  <c r="W135"/>
  <c r="W140" s="1"/>
  <c r="AY116"/>
  <c r="AY136" s="1"/>
  <c r="AY212" i="9" s="1"/>
  <c r="AY135" i="14"/>
  <c r="AY140" s="1"/>
  <c r="Z116"/>
  <c r="Z136" s="1"/>
  <c r="Z212" i="9" s="1"/>
  <c r="Z135" i="14"/>
  <c r="Z140" s="1"/>
  <c r="AE116"/>
  <c r="AE136" s="1"/>
  <c r="AE212" i="9" s="1"/>
  <c r="AE135" i="14"/>
  <c r="AE140" s="1"/>
  <c r="AL103" i="29"/>
  <c r="AL254" i="9"/>
  <c r="AL255" s="1"/>
  <c r="AT273"/>
  <c r="AT265"/>
  <c r="AT282"/>
  <c r="AT291"/>
  <c r="AT214"/>
  <c r="AT101" i="29" s="1"/>
  <c r="AT219" i="9"/>
  <c r="BI116" i="14"/>
  <c r="BI136" s="1"/>
  <c r="BI212" i="9" s="1"/>
  <c r="BI135" i="14"/>
  <c r="BI140" s="1"/>
  <c r="BC116"/>
  <c r="BC136" s="1"/>
  <c r="BC212" i="9" s="1"/>
  <c r="BC135" i="14"/>
  <c r="BC140" s="1"/>
  <c r="J116"/>
  <c r="J136" s="1"/>
  <c r="J135"/>
  <c r="J140" s="1"/>
  <c r="P116"/>
  <c r="P136" s="1"/>
  <c r="P135"/>
  <c r="P140" s="1"/>
  <c r="BB116"/>
  <c r="BB136" s="1"/>
  <c r="BB212" i="9" s="1"/>
  <c r="BB135" i="14"/>
  <c r="BB140" s="1"/>
  <c r="AW116"/>
  <c r="AW136" s="1"/>
  <c r="AW212" i="9" s="1"/>
  <c r="AW135" i="14"/>
  <c r="AW140" s="1"/>
  <c r="T116"/>
  <c r="T136" s="1"/>
  <c r="T135"/>
  <c r="T140" s="1"/>
  <c r="AR116"/>
  <c r="AR136" s="1"/>
  <c r="AR212" i="9" s="1"/>
  <c r="AR135" i="14"/>
  <c r="AR140" s="1"/>
  <c r="Y116"/>
  <c r="Y136" s="1"/>
  <c r="Y212" i="9" s="1"/>
  <c r="Y135" i="14"/>
  <c r="Y140" s="1"/>
  <c r="AB116"/>
  <c r="AB136" s="1"/>
  <c r="AB212" i="9" s="1"/>
  <c r="AB135" i="14"/>
  <c r="AB140" s="1"/>
  <c r="AD116"/>
  <c r="AD136" s="1"/>
  <c r="AD212" i="9" s="1"/>
  <c r="AD135" i="14"/>
  <c r="AD140" s="1"/>
  <c r="AK116"/>
  <c r="AK136" s="1"/>
  <c r="AK212" i="9" s="1"/>
  <c r="AK135" i="14"/>
  <c r="AK140" s="1"/>
  <c r="M212" i="9"/>
  <c r="AM103" i="29"/>
  <c r="AM254" i="9"/>
  <c r="AM255" s="1"/>
  <c r="AM291"/>
  <c r="AM282"/>
  <c r="AM265"/>
  <c r="AM273"/>
  <c r="AM214"/>
  <c r="AM101" i="29" s="1"/>
  <c r="AM219" i="9"/>
  <c r="AT295"/>
  <c r="AT256" l="1"/>
  <c r="M270"/>
  <c r="M271" s="1"/>
  <c r="M272" s="1"/>
  <c r="M279"/>
  <c r="M280" s="1"/>
  <c r="M281" s="1"/>
  <c r="M262"/>
  <c r="M263" s="1"/>
  <c r="M264" s="1"/>
  <c r="M213"/>
  <c r="M288"/>
  <c r="M289" s="1"/>
  <c r="M290" s="1"/>
  <c r="M295" s="1"/>
  <c r="M253"/>
  <c r="AM257"/>
  <c r="AK262"/>
  <c r="AK263" s="1"/>
  <c r="AK264" s="1"/>
  <c r="AK270"/>
  <c r="AK271" s="1"/>
  <c r="AK272" s="1"/>
  <c r="AK213"/>
  <c r="AK279"/>
  <c r="AK280" s="1"/>
  <c r="AK281" s="1"/>
  <c r="AK253"/>
  <c r="AK288"/>
  <c r="AK289" s="1"/>
  <c r="AK290" s="1"/>
  <c r="AK295" s="1"/>
  <c r="AD262"/>
  <c r="AD263" s="1"/>
  <c r="AD264" s="1"/>
  <c r="AD253"/>
  <c r="AD270"/>
  <c r="AD271" s="1"/>
  <c r="AD272" s="1"/>
  <c r="AD279"/>
  <c r="AD280" s="1"/>
  <c r="AD281" s="1"/>
  <c r="AD288"/>
  <c r="AD289" s="1"/>
  <c r="AD290" s="1"/>
  <c r="AD295" s="1"/>
  <c r="AD213"/>
  <c r="AB262"/>
  <c r="AB263" s="1"/>
  <c r="AB264" s="1"/>
  <c r="AB270"/>
  <c r="AB271" s="1"/>
  <c r="AB272" s="1"/>
  <c r="AB279"/>
  <c r="AB280" s="1"/>
  <c r="AB281" s="1"/>
  <c r="AB288"/>
  <c r="AB289" s="1"/>
  <c r="AB290" s="1"/>
  <c r="AB295" s="1"/>
  <c r="AB213"/>
  <c r="AB253"/>
  <c r="Y262"/>
  <c r="Y263" s="1"/>
  <c r="Y264" s="1"/>
  <c r="Y288"/>
  <c r="Y289" s="1"/>
  <c r="Y290" s="1"/>
  <c r="Y270"/>
  <c r="Y271" s="1"/>
  <c r="Y272" s="1"/>
  <c r="Y279"/>
  <c r="Y280" s="1"/>
  <c r="Y281" s="1"/>
  <c r="Y213"/>
  <c r="Y253"/>
  <c r="AR262"/>
  <c r="AR263" s="1"/>
  <c r="AR264" s="1"/>
  <c r="AR270"/>
  <c r="AR271" s="1"/>
  <c r="AR272" s="1"/>
  <c r="AR279"/>
  <c r="AR280" s="1"/>
  <c r="AR281" s="1"/>
  <c r="AR288"/>
  <c r="AR289" s="1"/>
  <c r="AR290" s="1"/>
  <c r="AR295" s="1"/>
  <c r="AR213"/>
  <c r="AR253"/>
  <c r="T212"/>
  <c r="P212"/>
  <c r="J212"/>
  <c r="AT257"/>
  <c r="AE262"/>
  <c r="AE263" s="1"/>
  <c r="AE264" s="1"/>
  <c r="AE279"/>
  <c r="AE280" s="1"/>
  <c r="AE281" s="1"/>
  <c r="AE270"/>
  <c r="AE271" s="1"/>
  <c r="AE272" s="1"/>
  <c r="AE213"/>
  <c r="AE253"/>
  <c r="AE288"/>
  <c r="AE289" s="1"/>
  <c r="AE290" s="1"/>
  <c r="Z262"/>
  <c r="Z263" s="1"/>
  <c r="Z264" s="1"/>
  <c r="Z279"/>
  <c r="Z280" s="1"/>
  <c r="Z281" s="1"/>
  <c r="Z270"/>
  <c r="Z271" s="1"/>
  <c r="Z272" s="1"/>
  <c r="Z288"/>
  <c r="Z289" s="1"/>
  <c r="Z290" s="1"/>
  <c r="Z213"/>
  <c r="Z253"/>
  <c r="AY262"/>
  <c r="AY263" s="1"/>
  <c r="AY264" s="1"/>
  <c r="AY279"/>
  <c r="AY280" s="1"/>
  <c r="AY281" s="1"/>
  <c r="AY213"/>
  <c r="AY270"/>
  <c r="AY271" s="1"/>
  <c r="AY272" s="1"/>
  <c r="AY288"/>
  <c r="AY289" s="1"/>
  <c r="AY290" s="1"/>
  <c r="AY253"/>
  <c r="W212"/>
  <c r="Q212"/>
  <c r="AC262"/>
  <c r="AC263" s="1"/>
  <c r="AC264" s="1"/>
  <c r="AC270"/>
  <c r="AC271" s="1"/>
  <c r="AC272" s="1"/>
  <c r="AC279"/>
  <c r="AC280" s="1"/>
  <c r="AC281" s="1"/>
  <c r="AC288"/>
  <c r="AC289" s="1"/>
  <c r="AC290" s="1"/>
  <c r="AC295" s="1"/>
  <c r="AC213"/>
  <c r="AC253"/>
  <c r="AI279"/>
  <c r="AI280" s="1"/>
  <c r="AI281" s="1"/>
  <c r="AI262"/>
  <c r="AI263" s="1"/>
  <c r="AI264" s="1"/>
  <c r="AI288"/>
  <c r="AI289" s="1"/>
  <c r="AI290" s="1"/>
  <c r="AI270"/>
  <c r="AI271" s="1"/>
  <c r="AI272" s="1"/>
  <c r="AI213"/>
  <c r="AI253"/>
  <c r="AG262"/>
  <c r="AG263" s="1"/>
  <c r="AG264" s="1"/>
  <c r="AG288"/>
  <c r="AG289" s="1"/>
  <c r="AG290" s="1"/>
  <c r="AG279"/>
  <c r="AG280" s="1"/>
  <c r="AG281" s="1"/>
  <c r="AG270"/>
  <c r="AG271" s="1"/>
  <c r="AG272" s="1"/>
  <c r="AG213"/>
  <c r="AG253"/>
  <c r="AA262"/>
  <c r="AA263" s="1"/>
  <c r="AA264" s="1"/>
  <c r="AA279"/>
  <c r="AA280" s="1"/>
  <c r="AA281" s="1"/>
  <c r="AA270"/>
  <c r="AA271" s="1"/>
  <c r="AA272" s="1"/>
  <c r="AA253"/>
  <c r="AA213"/>
  <c r="AA288"/>
  <c r="AA289" s="1"/>
  <c r="AA290" s="1"/>
  <c r="I212"/>
  <c r="BG262"/>
  <c r="BG263" s="1"/>
  <c r="BG264" s="1"/>
  <c r="BG279"/>
  <c r="BG280" s="1"/>
  <c r="BG281" s="1"/>
  <c r="BG288"/>
  <c r="BG289" s="1"/>
  <c r="BG290" s="1"/>
  <c r="BG270"/>
  <c r="BG271" s="1"/>
  <c r="BG272" s="1"/>
  <c r="BG213"/>
  <c r="BG253"/>
  <c r="BF262"/>
  <c r="BF263" s="1"/>
  <c r="BF264" s="1"/>
  <c r="BF270"/>
  <c r="BF271" s="1"/>
  <c r="BF272" s="1"/>
  <c r="BF279"/>
  <c r="BF280" s="1"/>
  <c r="BF281" s="1"/>
  <c r="BF253"/>
  <c r="BF213"/>
  <c r="BF288"/>
  <c r="BF289" s="1"/>
  <c r="BF290" s="1"/>
  <c r="BF295" s="1"/>
  <c r="AU262"/>
  <c r="AU263" s="1"/>
  <c r="AU264" s="1"/>
  <c r="AU279"/>
  <c r="AU280" s="1"/>
  <c r="AU281" s="1"/>
  <c r="AU213"/>
  <c r="AU270"/>
  <c r="AU271" s="1"/>
  <c r="AU272" s="1"/>
  <c r="AU253"/>
  <c r="AU288"/>
  <c r="AU289" s="1"/>
  <c r="AU290" s="1"/>
  <c r="AU295" s="1"/>
  <c r="AN262"/>
  <c r="AN263" s="1"/>
  <c r="AN264" s="1"/>
  <c r="AN270"/>
  <c r="AN271" s="1"/>
  <c r="AN272" s="1"/>
  <c r="AN279"/>
  <c r="AN280" s="1"/>
  <c r="AN281" s="1"/>
  <c r="AN253"/>
  <c r="AN213"/>
  <c r="AN288"/>
  <c r="AN289" s="1"/>
  <c r="AN290" s="1"/>
  <c r="AN295" s="1"/>
  <c r="U212"/>
  <c r="AG138" i="14"/>
  <c r="R138"/>
  <c r="AB138"/>
  <c r="AM138"/>
  <c r="BD138"/>
  <c r="Z138"/>
  <c r="N138"/>
  <c r="AP138"/>
  <c r="Y138"/>
  <c r="I138"/>
  <c r="L138"/>
  <c r="V138"/>
  <c r="W138"/>
  <c r="H138"/>
  <c r="BE138"/>
  <c r="U138"/>
  <c r="AE138"/>
  <c r="T138"/>
  <c r="P138"/>
  <c r="AY138"/>
  <c r="AQ138"/>
  <c r="BH138"/>
  <c r="AI138"/>
  <c r="S138"/>
  <c r="AV138"/>
  <c r="AO138"/>
  <c r="AK138"/>
  <c r="AH138"/>
  <c r="AX138"/>
  <c r="BG138"/>
  <c r="AR138"/>
  <c r="AC138"/>
  <c r="AN138"/>
  <c r="X138"/>
  <c r="BA138"/>
  <c r="AZ138"/>
  <c r="BF138"/>
  <c r="O138"/>
  <c r="K138"/>
  <c r="AD138"/>
  <c r="BI138"/>
  <c r="AJ138"/>
  <c r="BB138"/>
  <c r="AF138"/>
  <c r="AL138"/>
  <c r="AW138"/>
  <c r="J138"/>
  <c r="AS138"/>
  <c r="M138"/>
  <c r="BC138"/>
  <c r="Q138"/>
  <c r="AT138"/>
  <c r="AA138"/>
  <c r="AU138"/>
  <c r="V212" i="9"/>
  <c r="AQ262"/>
  <c r="AQ263" s="1"/>
  <c r="AQ264" s="1"/>
  <c r="AQ270"/>
  <c r="AQ271" s="1"/>
  <c r="AQ272" s="1"/>
  <c r="AQ279"/>
  <c r="AQ280" s="1"/>
  <c r="AQ281" s="1"/>
  <c r="AQ253"/>
  <c r="AQ213"/>
  <c r="AQ288"/>
  <c r="AQ289" s="1"/>
  <c r="AQ290" s="1"/>
  <c r="AQ295" s="1"/>
  <c r="AZ279"/>
  <c r="AZ280" s="1"/>
  <c r="AZ281" s="1"/>
  <c r="AZ262"/>
  <c r="AZ263" s="1"/>
  <c r="AZ264" s="1"/>
  <c r="AZ288"/>
  <c r="AZ289" s="1"/>
  <c r="AZ290" s="1"/>
  <c r="AZ270"/>
  <c r="AZ271" s="1"/>
  <c r="AZ272" s="1"/>
  <c r="AZ253"/>
  <c r="AZ213"/>
  <c r="AX262"/>
  <c r="AX263" s="1"/>
  <c r="AX264" s="1"/>
  <c r="AX279"/>
  <c r="AX280" s="1"/>
  <c r="AX281" s="1"/>
  <c r="AX270"/>
  <c r="AX271" s="1"/>
  <c r="AX272" s="1"/>
  <c r="AX213"/>
  <c r="AX253"/>
  <c r="AX288"/>
  <c r="AX289" s="1"/>
  <c r="AX290" s="1"/>
  <c r="K212"/>
  <c r="BH262"/>
  <c r="BH263" s="1"/>
  <c r="BH264" s="1"/>
  <c r="BH270"/>
  <c r="BH271" s="1"/>
  <c r="BH272" s="1"/>
  <c r="BH279"/>
  <c r="BH280" s="1"/>
  <c r="BH281" s="1"/>
  <c r="BH253"/>
  <c r="BH213"/>
  <c r="BH288"/>
  <c r="BH289" s="1"/>
  <c r="BH290" s="1"/>
  <c r="BH295" s="1"/>
  <c r="BA253"/>
  <c r="BA279"/>
  <c r="BA280" s="1"/>
  <c r="BA281" s="1"/>
  <c r="BA262"/>
  <c r="BA263" s="1"/>
  <c r="BA264" s="1"/>
  <c r="BA270"/>
  <c r="BA271" s="1"/>
  <c r="BA272" s="1"/>
  <c r="BA288"/>
  <c r="BA289" s="1"/>
  <c r="BA290" s="1"/>
  <c r="BA213"/>
  <c r="AS279"/>
  <c r="AS280" s="1"/>
  <c r="AS281" s="1"/>
  <c r="AS288"/>
  <c r="AS289" s="1"/>
  <c r="AS290" s="1"/>
  <c r="AS262"/>
  <c r="AS263" s="1"/>
  <c r="AS264" s="1"/>
  <c r="AS270"/>
  <c r="AS271" s="1"/>
  <c r="AS272" s="1"/>
  <c r="AS213"/>
  <c r="AS253"/>
  <c r="AM256"/>
  <c r="AL256"/>
  <c r="AW262"/>
  <c r="AW263" s="1"/>
  <c r="AW264" s="1"/>
  <c r="AW270"/>
  <c r="AW271" s="1"/>
  <c r="AW272" s="1"/>
  <c r="AW279"/>
  <c r="AW280" s="1"/>
  <c r="AW281" s="1"/>
  <c r="AW213"/>
  <c r="AW253"/>
  <c r="AW288"/>
  <c r="AW289" s="1"/>
  <c r="AW290" s="1"/>
  <c r="AW295" s="1"/>
  <c r="BB262"/>
  <c r="BB263" s="1"/>
  <c r="BB264" s="1"/>
  <c r="BB270"/>
  <c r="BB271" s="1"/>
  <c r="BB272" s="1"/>
  <c r="BB279"/>
  <c r="BB280" s="1"/>
  <c r="BB281" s="1"/>
  <c r="BB288"/>
  <c r="BB289" s="1"/>
  <c r="BB290" s="1"/>
  <c r="BB295" s="1"/>
  <c r="BB213"/>
  <c r="BB253"/>
  <c r="BC262"/>
  <c r="BC263" s="1"/>
  <c r="BC264" s="1"/>
  <c r="BC279"/>
  <c r="BC280" s="1"/>
  <c r="BC281" s="1"/>
  <c r="BC288"/>
  <c r="BC289" s="1"/>
  <c r="BC290" s="1"/>
  <c r="BC270"/>
  <c r="BC271" s="1"/>
  <c r="BC272" s="1"/>
  <c r="BC213"/>
  <c r="BC253"/>
  <c r="BI262"/>
  <c r="BI263" s="1"/>
  <c r="BI264" s="1"/>
  <c r="BI279"/>
  <c r="BI280" s="1"/>
  <c r="BI281" s="1"/>
  <c r="BI270"/>
  <c r="BI271" s="1"/>
  <c r="BI272" s="1"/>
  <c r="BI288"/>
  <c r="BI289" s="1"/>
  <c r="BI290" s="1"/>
  <c r="BI213"/>
  <c r="BI253"/>
  <c r="R212"/>
  <c r="BE262"/>
  <c r="BE263" s="1"/>
  <c r="BE264" s="1"/>
  <c r="BE270"/>
  <c r="BE271" s="1"/>
  <c r="BE272" s="1"/>
  <c r="BE279"/>
  <c r="BE280" s="1"/>
  <c r="BE281" s="1"/>
  <c r="BE213"/>
  <c r="BE288"/>
  <c r="BE289" s="1"/>
  <c r="BE290" s="1"/>
  <c r="BE253"/>
  <c r="AJ262"/>
  <c r="AJ263" s="1"/>
  <c r="AJ264" s="1"/>
  <c r="AJ279"/>
  <c r="AJ280" s="1"/>
  <c r="AJ281" s="1"/>
  <c r="AJ270"/>
  <c r="AJ271" s="1"/>
  <c r="AJ272" s="1"/>
  <c r="AJ213"/>
  <c r="AJ288"/>
  <c r="AJ289" s="1"/>
  <c r="AJ290" s="1"/>
  <c r="AJ295" s="1"/>
  <c r="AJ253"/>
  <c r="AH262"/>
  <c r="AH263" s="1"/>
  <c r="AH264" s="1"/>
  <c r="AH279"/>
  <c r="AH280" s="1"/>
  <c r="AH281" s="1"/>
  <c r="AH253"/>
  <c r="AH288"/>
  <c r="AH289" s="1"/>
  <c r="AH290" s="1"/>
  <c r="AH270"/>
  <c r="AH271" s="1"/>
  <c r="AH272" s="1"/>
  <c r="AH213"/>
  <c r="X262"/>
  <c r="X263" s="1"/>
  <c r="X264" s="1"/>
  <c r="X270"/>
  <c r="X271" s="1"/>
  <c r="X272" s="1"/>
  <c r="X288"/>
  <c r="X289" s="1"/>
  <c r="X290" s="1"/>
  <c r="X279"/>
  <c r="X280" s="1"/>
  <c r="X281" s="1"/>
  <c r="X213"/>
  <c r="X253"/>
  <c r="AV262"/>
  <c r="AV263" s="1"/>
  <c r="AV264" s="1"/>
  <c r="AV270"/>
  <c r="AV271" s="1"/>
  <c r="AV272" s="1"/>
  <c r="AV288"/>
  <c r="AV289" s="1"/>
  <c r="AV290" s="1"/>
  <c r="AV279"/>
  <c r="AV280" s="1"/>
  <c r="AV281" s="1"/>
  <c r="AV213"/>
  <c r="AV253"/>
  <c r="H212"/>
  <c r="AO262"/>
  <c r="AO263" s="1"/>
  <c r="AO264" s="1"/>
  <c r="AO270"/>
  <c r="AO271" s="1"/>
  <c r="AO272" s="1"/>
  <c r="AO279"/>
  <c r="AO280" s="1"/>
  <c r="AO281" s="1"/>
  <c r="AO288"/>
  <c r="AO289" s="1"/>
  <c r="AO290" s="1"/>
  <c r="AO295" s="1"/>
  <c r="AO213"/>
  <c r="AO253"/>
  <c r="N212"/>
  <c r="BD262"/>
  <c r="BD263" s="1"/>
  <c r="BD264" s="1"/>
  <c r="BD279"/>
  <c r="BD280" s="1"/>
  <c r="BD281" s="1"/>
  <c r="BD270"/>
  <c r="BD271" s="1"/>
  <c r="BD272" s="1"/>
  <c r="BD288"/>
  <c r="BD289" s="1"/>
  <c r="BD290" s="1"/>
  <c r="BD213"/>
  <c r="BD253"/>
  <c r="L212"/>
  <c r="S212"/>
  <c r="AL257"/>
  <c r="AF262"/>
  <c r="AF263" s="1"/>
  <c r="AF264" s="1"/>
  <c r="AF270"/>
  <c r="AF271" s="1"/>
  <c r="AF272" s="1"/>
  <c r="AF279"/>
  <c r="AF280" s="1"/>
  <c r="AF281" s="1"/>
  <c r="AF213"/>
  <c r="AF253"/>
  <c r="AF288"/>
  <c r="AF289" s="1"/>
  <c r="AF290" s="1"/>
  <c r="AF295" s="1"/>
  <c r="AP262"/>
  <c r="AP263" s="1"/>
  <c r="AP264" s="1"/>
  <c r="AP279"/>
  <c r="AP280" s="1"/>
  <c r="AP281" s="1"/>
  <c r="AP270"/>
  <c r="AP271" s="1"/>
  <c r="AP272" s="1"/>
  <c r="AP213"/>
  <c r="AP253"/>
  <c r="AP288"/>
  <c r="AP289" s="1"/>
  <c r="AP290" s="1"/>
  <c r="O212"/>
  <c r="AA295" l="1"/>
  <c r="Z295"/>
  <c r="AE295"/>
  <c r="BD295"/>
  <c r="AV295"/>
  <c r="X295"/>
  <c r="BE295"/>
  <c r="BI295"/>
  <c r="BA341"/>
  <c r="BA342" s="1"/>
  <c r="BA345" s="1"/>
  <c r="AQ341"/>
  <c r="AQ342" s="1"/>
  <c r="AQ345" s="1"/>
  <c r="AC379"/>
  <c r="AC380" s="1"/>
  <c r="AC383" s="1"/>
  <c r="BA295"/>
  <c r="BA379"/>
  <c r="BA380" s="1"/>
  <c r="BA224"/>
  <c r="BA307"/>
  <c r="AQ379"/>
  <c r="AQ380" s="1"/>
  <c r="BG341"/>
  <c r="BG342" s="1"/>
  <c r="BG403"/>
  <c r="BG404" s="1"/>
  <c r="BG379"/>
  <c r="BG380" s="1"/>
  <c r="BG224"/>
  <c r="BG360"/>
  <c r="BG361" s="1"/>
  <c r="BG307"/>
  <c r="Z379"/>
  <c r="Z380" s="1"/>
  <c r="Z403"/>
  <c r="Z404" s="1"/>
  <c r="Z341"/>
  <c r="Z342" s="1"/>
  <c r="Z224"/>
  <c r="Z360"/>
  <c r="Z361" s="1"/>
  <c r="Z307"/>
  <c r="AR379"/>
  <c r="AR380" s="1"/>
  <c r="AR341"/>
  <c r="AR342" s="1"/>
  <c r="AR403"/>
  <c r="AR404" s="1"/>
  <c r="AR224"/>
  <c r="AR360"/>
  <c r="AR361" s="1"/>
  <c r="AR307"/>
  <c r="K403"/>
  <c r="K404" s="1"/>
  <c r="K341"/>
  <c r="K342" s="1"/>
  <c r="K379"/>
  <c r="K380" s="1"/>
  <c r="K224"/>
  <c r="K360"/>
  <c r="K361" s="1"/>
  <c r="K307"/>
  <c r="AF103" i="29"/>
  <c r="AF254" i="9"/>
  <c r="AF255" s="1"/>
  <c r="S262"/>
  <c r="S263" s="1"/>
  <c r="S264" s="1"/>
  <c r="S279"/>
  <c r="S280" s="1"/>
  <c r="S281" s="1"/>
  <c r="S270"/>
  <c r="S271" s="1"/>
  <c r="S272" s="1"/>
  <c r="S213"/>
  <c r="S253"/>
  <c r="S288"/>
  <c r="S289" s="1"/>
  <c r="S290" s="1"/>
  <c r="AO273"/>
  <c r="AO282"/>
  <c r="AO265"/>
  <c r="AO291"/>
  <c r="AO214"/>
  <c r="AO101" i="29" s="1"/>
  <c r="AO219" i="9"/>
  <c r="AV282"/>
  <c r="AV265"/>
  <c r="AV291"/>
  <c r="AV273"/>
  <c r="AV214"/>
  <c r="AV101" i="29" s="1"/>
  <c r="AV219" i="9"/>
  <c r="X291"/>
  <c r="X282"/>
  <c r="X265"/>
  <c r="X273"/>
  <c r="X219"/>
  <c r="X214"/>
  <c r="X101" i="29" s="1"/>
  <c r="AH103"/>
  <c r="AH254" i="9"/>
  <c r="AH255" s="1"/>
  <c r="R270"/>
  <c r="R271" s="1"/>
  <c r="R272" s="1"/>
  <c r="R279"/>
  <c r="R280" s="1"/>
  <c r="R281" s="1"/>
  <c r="R288"/>
  <c r="R289" s="1"/>
  <c r="R290" s="1"/>
  <c r="R295" s="1"/>
  <c r="R262"/>
  <c r="R263" s="1"/>
  <c r="R264" s="1"/>
  <c r="R253"/>
  <c r="R213"/>
  <c r="BI103" i="29"/>
  <c r="BI254" i="9"/>
  <c r="BI255" s="1"/>
  <c r="BC103" i="29"/>
  <c r="BC254" i="9"/>
  <c r="BC255" s="1"/>
  <c r="BB273"/>
  <c r="BB265"/>
  <c r="BB282"/>
  <c r="BB291"/>
  <c r="BB214"/>
  <c r="BB101" i="29" s="1"/>
  <c r="BB219" i="9"/>
  <c r="AW103" i="29"/>
  <c r="AW254" i="9"/>
  <c r="AW255" s="1"/>
  <c r="AS291"/>
  <c r="AS273"/>
  <c r="AS282"/>
  <c r="AS265"/>
  <c r="AS214"/>
  <c r="AS101" i="29" s="1"/>
  <c r="AS219" i="9"/>
  <c r="BA103" i="29"/>
  <c r="BA254" i="9"/>
  <c r="BA255" s="1"/>
  <c r="BH291"/>
  <c r="BH273"/>
  <c r="BH265"/>
  <c r="BH282"/>
  <c r="BH214"/>
  <c r="BH101" i="29" s="1"/>
  <c r="BH219" i="9"/>
  <c r="AX103" i="29"/>
  <c r="AX254" i="9"/>
  <c r="AX255" s="1"/>
  <c r="AZ282"/>
  <c r="AZ273"/>
  <c r="AZ265"/>
  <c r="AZ291"/>
  <c r="AZ214"/>
  <c r="AZ101" i="29" s="1"/>
  <c r="AZ219" i="9"/>
  <c r="AQ103" i="29"/>
  <c r="AQ254" i="9"/>
  <c r="AQ255" s="1"/>
  <c r="V262"/>
  <c r="V263" s="1"/>
  <c r="V264" s="1"/>
  <c r="V270"/>
  <c r="V271" s="1"/>
  <c r="V272" s="1"/>
  <c r="V288"/>
  <c r="V289" s="1"/>
  <c r="V290" s="1"/>
  <c r="V279"/>
  <c r="V280" s="1"/>
  <c r="V281" s="1"/>
  <c r="V253"/>
  <c r="V213"/>
  <c r="U262"/>
  <c r="U263" s="1"/>
  <c r="U264" s="1"/>
  <c r="U253"/>
  <c r="U279"/>
  <c r="U280" s="1"/>
  <c r="U281" s="1"/>
  <c r="U270"/>
  <c r="U271" s="1"/>
  <c r="U272" s="1"/>
  <c r="U213"/>
  <c r="U288"/>
  <c r="U289" s="1"/>
  <c r="U290" s="1"/>
  <c r="U295" s="1"/>
  <c r="AN103" i="29"/>
  <c r="AN254" i="9"/>
  <c r="AN255" s="1"/>
  <c r="BF103" i="29"/>
  <c r="BF254" i="9"/>
  <c r="BF255" s="1"/>
  <c r="BG103" i="29"/>
  <c r="BG254" i="9"/>
  <c r="BG255" s="1"/>
  <c r="I262"/>
  <c r="I263" s="1"/>
  <c r="I264" s="1"/>
  <c r="I270"/>
  <c r="I271" s="1"/>
  <c r="I272" s="1"/>
  <c r="I279"/>
  <c r="I280" s="1"/>
  <c r="I281" s="1"/>
  <c r="I288"/>
  <c r="I289" s="1"/>
  <c r="I290" s="1"/>
  <c r="I295" s="1"/>
  <c r="I253"/>
  <c r="I213"/>
  <c r="AA103" i="29"/>
  <c r="AA254" i="9"/>
  <c r="AA255" s="1"/>
  <c r="AG103" i="29"/>
  <c r="AG254" i="9"/>
  <c r="AG255" s="1"/>
  <c r="AI103" i="29"/>
  <c r="AI254" i="9"/>
  <c r="AI255" s="1"/>
  <c r="AC103" i="29"/>
  <c r="AC254" i="9"/>
  <c r="AC255" s="1"/>
  <c r="W262"/>
  <c r="W263" s="1"/>
  <c r="W264" s="1"/>
  <c r="W270"/>
  <c r="W271" s="1"/>
  <c r="W272" s="1"/>
  <c r="W279"/>
  <c r="W280" s="1"/>
  <c r="W281" s="1"/>
  <c r="W288"/>
  <c r="W289" s="1"/>
  <c r="W290" s="1"/>
  <c r="W295" s="1"/>
  <c r="W213"/>
  <c r="W253"/>
  <c r="AY103" i="29"/>
  <c r="AY254" i="9"/>
  <c r="AY255" s="1"/>
  <c r="Z103" i="29"/>
  <c r="Z254" i="9"/>
  <c r="Z255" s="1"/>
  <c r="AE282"/>
  <c r="AE265"/>
  <c r="AE291"/>
  <c r="AE273"/>
  <c r="AE214"/>
  <c r="AE101" i="29" s="1"/>
  <c r="AE219" i="9"/>
  <c r="T279"/>
  <c r="T280" s="1"/>
  <c r="T281" s="1"/>
  <c r="T270"/>
  <c r="T271" s="1"/>
  <c r="T272" s="1"/>
  <c r="T262"/>
  <c r="T263" s="1"/>
  <c r="T264" s="1"/>
  <c r="T288"/>
  <c r="T289" s="1"/>
  <c r="T290" s="1"/>
  <c r="T295" s="1"/>
  <c r="T213"/>
  <c r="T253"/>
  <c r="AR103" i="29"/>
  <c r="AR254" i="9"/>
  <c r="AR255" s="1"/>
  <c r="Y103" i="29"/>
  <c r="Y254" i="9"/>
  <c r="Y255" s="1"/>
  <c r="AB103" i="29"/>
  <c r="AB254" i="9"/>
  <c r="AB255" s="1"/>
  <c r="AD291"/>
  <c r="AD214"/>
  <c r="AD101" i="29" s="1"/>
  <c r="AD265" i="9"/>
  <c r="AD282"/>
  <c r="AD273"/>
  <c r="AD219"/>
  <c r="AD103" i="29"/>
  <c r="AD254" i="9"/>
  <c r="AD255" s="1"/>
  <c r="AG295"/>
  <c r="Y295"/>
  <c r="AX403"/>
  <c r="AX404" s="1"/>
  <c r="AX407" s="1"/>
  <c r="AX341"/>
  <c r="AX342" s="1"/>
  <c r="AX379"/>
  <c r="AX380" s="1"/>
  <c r="AX383" s="1"/>
  <c r="AX224"/>
  <c r="AX360"/>
  <c r="AX361" s="1"/>
  <c r="AX307"/>
  <c r="AU403"/>
  <c r="AU404" s="1"/>
  <c r="AU224"/>
  <c r="AU379"/>
  <c r="AU380" s="1"/>
  <c r="AU383" s="1"/>
  <c r="AU341"/>
  <c r="AU342" s="1"/>
  <c r="AU360"/>
  <c r="AU361" s="1"/>
  <c r="AU307"/>
  <c r="AG379"/>
  <c r="AG380" s="1"/>
  <c r="AG403"/>
  <c r="AG404" s="1"/>
  <c r="AG224"/>
  <c r="AG341"/>
  <c r="AG342" s="1"/>
  <c r="AG360"/>
  <c r="AG361" s="1"/>
  <c r="AG364" s="1"/>
  <c r="AG307"/>
  <c r="AB403"/>
  <c r="AB404" s="1"/>
  <c r="AB379"/>
  <c r="AB380" s="1"/>
  <c r="AB224"/>
  <c r="AB360"/>
  <c r="AB361" s="1"/>
  <c r="AB341"/>
  <c r="AB342" s="1"/>
  <c r="AB307"/>
  <c r="AP103" i="29"/>
  <c r="AP254" i="9"/>
  <c r="AP255" s="1"/>
  <c r="L262"/>
  <c r="L263" s="1"/>
  <c r="L264" s="1"/>
  <c r="L279"/>
  <c r="L280" s="1"/>
  <c r="L281" s="1"/>
  <c r="L270"/>
  <c r="L271" s="1"/>
  <c r="L272" s="1"/>
  <c r="L213"/>
  <c r="L288"/>
  <c r="L289" s="1"/>
  <c r="L290" s="1"/>
  <c r="L295" s="1"/>
  <c r="L253"/>
  <c r="BD103" i="29"/>
  <c r="BD254" i="9"/>
  <c r="BD255" s="1"/>
  <c r="O262"/>
  <c r="O263" s="1"/>
  <c r="O264" s="1"/>
  <c r="O270"/>
  <c r="O271" s="1"/>
  <c r="O272" s="1"/>
  <c r="O279"/>
  <c r="O280" s="1"/>
  <c r="O281" s="1"/>
  <c r="O288"/>
  <c r="O289" s="1"/>
  <c r="O290" s="1"/>
  <c r="O295" s="1"/>
  <c r="O213"/>
  <c r="O253"/>
  <c r="AP273"/>
  <c r="AP291"/>
  <c r="AP214"/>
  <c r="AP101" i="29" s="1"/>
  <c r="AP282" i="9"/>
  <c r="AP265"/>
  <c r="AP219"/>
  <c r="AF265"/>
  <c r="AF282"/>
  <c r="AF291"/>
  <c r="AF214"/>
  <c r="AF101" i="29" s="1"/>
  <c r="AF256" i="9"/>
  <c r="AF273"/>
  <c r="AF219"/>
  <c r="BD291"/>
  <c r="BD282"/>
  <c r="BD214"/>
  <c r="BD101" i="29" s="1"/>
  <c r="BD273" i="9"/>
  <c r="BD265"/>
  <c r="BD219"/>
  <c r="N262"/>
  <c r="N263" s="1"/>
  <c r="N264" s="1"/>
  <c r="N270"/>
  <c r="N271" s="1"/>
  <c r="N272" s="1"/>
  <c r="N279"/>
  <c r="N280" s="1"/>
  <c r="N281" s="1"/>
  <c r="N288"/>
  <c r="N289" s="1"/>
  <c r="N290" s="1"/>
  <c r="N295" s="1"/>
  <c r="N213"/>
  <c r="N253"/>
  <c r="AO103" i="29"/>
  <c r="AO254" i="9"/>
  <c r="AO255" s="1"/>
  <c r="H262"/>
  <c r="H263" s="1"/>
  <c r="H264" s="1"/>
  <c r="H270"/>
  <c r="H271" s="1"/>
  <c r="H272" s="1"/>
  <c r="H279"/>
  <c r="H280" s="1"/>
  <c r="H281" s="1"/>
  <c r="H213"/>
  <c r="H253"/>
  <c r="H288"/>
  <c r="H289" s="1"/>
  <c r="H290" s="1"/>
  <c r="H295" s="1"/>
  <c r="AV103" i="29"/>
  <c r="AV254" i="9"/>
  <c r="AV255" s="1"/>
  <c r="X103" i="29"/>
  <c r="X254" i="9"/>
  <c r="X255" s="1"/>
  <c r="AH282"/>
  <c r="AH273"/>
  <c r="AH265"/>
  <c r="AH291"/>
  <c r="AH256"/>
  <c r="AH214"/>
  <c r="AH101" i="29" s="1"/>
  <c r="AH219" i="9"/>
  <c r="AJ103" i="29"/>
  <c r="AJ254" i="9"/>
  <c r="AJ255" s="1"/>
  <c r="AJ291"/>
  <c r="AJ273"/>
  <c r="AJ214"/>
  <c r="AJ101" i="29" s="1"/>
  <c r="AJ282" i="9"/>
  <c r="AJ265"/>
  <c r="AJ256"/>
  <c r="AJ219"/>
  <c r="BE103" i="29"/>
  <c r="BE254" i="9"/>
  <c r="BE255" s="1"/>
  <c r="BE273"/>
  <c r="BE282"/>
  <c r="BE265"/>
  <c r="BE291"/>
  <c r="BE214"/>
  <c r="BE101" i="29" s="1"/>
  <c r="BE219" i="9"/>
  <c r="BI291"/>
  <c r="BI282"/>
  <c r="BI265"/>
  <c r="BI273"/>
  <c r="BI256"/>
  <c r="BI214"/>
  <c r="BI101" i="29" s="1"/>
  <c r="BI219" i="9"/>
  <c r="BC265"/>
  <c r="BC214"/>
  <c r="BC101" i="29" s="1"/>
  <c r="BC282" i="9"/>
  <c r="BC256"/>
  <c r="BC291"/>
  <c r="BC273"/>
  <c r="BC219"/>
  <c r="BB103" i="29"/>
  <c r="BB254" i="9"/>
  <c r="BB255" s="1"/>
  <c r="AW265"/>
  <c r="AW273"/>
  <c r="AW214"/>
  <c r="AW101" i="29" s="1"/>
  <c r="AW291" i="9"/>
  <c r="AW282"/>
  <c r="AW256"/>
  <c r="AW219"/>
  <c r="AS103" i="29"/>
  <c r="AS254" i="9"/>
  <c r="AS255" s="1"/>
  <c r="BA265"/>
  <c r="BA291"/>
  <c r="BA256"/>
  <c r="BA282"/>
  <c r="BA273"/>
  <c r="BA383"/>
  <c r="BA214"/>
  <c r="BA101" i="29" s="1"/>
  <c r="BA219" i="9"/>
  <c r="BH103" i="29"/>
  <c r="BH254" i="9"/>
  <c r="BH255" s="1"/>
  <c r="K262"/>
  <c r="K263" s="1"/>
  <c r="K264" s="1"/>
  <c r="K279"/>
  <c r="K280" s="1"/>
  <c r="K281" s="1"/>
  <c r="K213"/>
  <c r="K270"/>
  <c r="K271" s="1"/>
  <c r="K272" s="1"/>
  <c r="K288"/>
  <c r="K289" s="1"/>
  <c r="K290" s="1"/>
  <c r="K253"/>
  <c r="AX345"/>
  <c r="AX364"/>
  <c r="AX256"/>
  <c r="AX273"/>
  <c r="AX265"/>
  <c r="AX291"/>
  <c r="AX282"/>
  <c r="AX214"/>
  <c r="AX101" i="29" s="1"/>
  <c r="AX219" i="9"/>
  <c r="AZ103" i="29"/>
  <c r="AZ254" i="9"/>
  <c r="AZ255" s="1"/>
  <c r="AQ291"/>
  <c r="AQ265"/>
  <c r="AQ273"/>
  <c r="AQ383"/>
  <c r="AQ282"/>
  <c r="AQ256"/>
  <c r="AQ214"/>
  <c r="AQ101" i="29" s="1"/>
  <c r="AQ219" i="9"/>
  <c r="AN291"/>
  <c r="AN265"/>
  <c r="AN273"/>
  <c r="AN256"/>
  <c r="AN282"/>
  <c r="AN214"/>
  <c r="AN101" i="29" s="1"/>
  <c r="AN219" i="9"/>
  <c r="AU103" i="29"/>
  <c r="AU254" i="9"/>
  <c r="AU255" s="1"/>
  <c r="AU345"/>
  <c r="AU291"/>
  <c r="AU364"/>
  <c r="AU273"/>
  <c r="AU407"/>
  <c r="AU282"/>
  <c r="AU265"/>
  <c r="AU214"/>
  <c r="AU101" i="29" s="1"/>
  <c r="AU219" i="9"/>
  <c r="BF256"/>
  <c r="BF291"/>
  <c r="BF214"/>
  <c r="BF101" i="29" s="1"/>
  <c r="BF265" i="9"/>
  <c r="BF282"/>
  <c r="BF273"/>
  <c r="BF219"/>
  <c r="BG345"/>
  <c r="BG282"/>
  <c r="BG273"/>
  <c r="BG291"/>
  <c r="BG214"/>
  <c r="BG101" i="29" s="1"/>
  <c r="BG364" i="9"/>
  <c r="BG265"/>
  <c r="BG407"/>
  <c r="BG383"/>
  <c r="BG256"/>
  <c r="BG219"/>
  <c r="AA273"/>
  <c r="AA265"/>
  <c r="AA256"/>
  <c r="AA282"/>
  <c r="AA291"/>
  <c r="AA214"/>
  <c r="AA101" i="29" s="1"/>
  <c r="AA219" i="9"/>
  <c r="AG282"/>
  <c r="AG256"/>
  <c r="AG265"/>
  <c r="AG291"/>
  <c r="AG214"/>
  <c r="AG101" i="29" s="1"/>
  <c r="AG383" i="9"/>
  <c r="AG273"/>
  <c r="AG407"/>
  <c r="AG345"/>
  <c r="AG219"/>
  <c r="AI291"/>
  <c r="AI282"/>
  <c r="AI273"/>
  <c r="AI265"/>
  <c r="AI256"/>
  <c r="AI214"/>
  <c r="AI101" i="29" s="1"/>
  <c r="AI219" i="9"/>
  <c r="AC282"/>
  <c r="AC273"/>
  <c r="AC265"/>
  <c r="AC256"/>
  <c r="AC291"/>
  <c r="AC214"/>
  <c r="AC101" i="29" s="1"/>
  <c r="AC219" i="9"/>
  <c r="Q262"/>
  <c r="Q263" s="1"/>
  <c r="Q264" s="1"/>
  <c r="Q279"/>
  <c r="Q280" s="1"/>
  <c r="Q281" s="1"/>
  <c r="Q270"/>
  <c r="Q271" s="1"/>
  <c r="Q272" s="1"/>
  <c r="Q213"/>
  <c r="Q288"/>
  <c r="Q289" s="1"/>
  <c r="Q290" s="1"/>
  <c r="Q253"/>
  <c r="AY273"/>
  <c r="AY256"/>
  <c r="AY291"/>
  <c r="AY214"/>
  <c r="AY101" i="29" s="1"/>
  <c r="AY265" i="9"/>
  <c r="AY282"/>
  <c r="AY219"/>
  <c r="Z256"/>
  <c r="Z364"/>
  <c r="Z383"/>
  <c r="Z265"/>
  <c r="Z291"/>
  <c r="Z407"/>
  <c r="Z282"/>
  <c r="Z273"/>
  <c r="Z345"/>
  <c r="Z214"/>
  <c r="Z101" i="29" s="1"/>
  <c r="Z219" i="9"/>
  <c r="AE103" i="29"/>
  <c r="AE254" i="9"/>
  <c r="AE255" s="1"/>
  <c r="J262"/>
  <c r="J263" s="1"/>
  <c r="J264" s="1"/>
  <c r="J270"/>
  <c r="J271" s="1"/>
  <c r="J272" s="1"/>
  <c r="J288"/>
  <c r="J289" s="1"/>
  <c r="J290" s="1"/>
  <c r="J279"/>
  <c r="J280" s="1"/>
  <c r="J281" s="1"/>
  <c r="J213"/>
  <c r="J253"/>
  <c r="P262"/>
  <c r="P263" s="1"/>
  <c r="P264" s="1"/>
  <c r="P270"/>
  <c r="P271" s="1"/>
  <c r="P272" s="1"/>
  <c r="P213"/>
  <c r="P279"/>
  <c r="P280" s="1"/>
  <c r="P281" s="1"/>
  <c r="P288"/>
  <c r="P289" s="1"/>
  <c r="P290" s="1"/>
  <c r="P253"/>
  <c r="AR345"/>
  <c r="AR282"/>
  <c r="AR383"/>
  <c r="AR265"/>
  <c r="AR291"/>
  <c r="AR407"/>
  <c r="AR273"/>
  <c r="AR364"/>
  <c r="AR256"/>
  <c r="AR214"/>
  <c r="AR101" i="29" s="1"/>
  <c r="AR219" i="9"/>
  <c r="Y256"/>
  <c r="Y214"/>
  <c r="Y101" i="29" s="1"/>
  <c r="Y291" i="9"/>
  <c r="Y265"/>
  <c r="Y273"/>
  <c r="Y282"/>
  <c r="Y219"/>
  <c r="AB282"/>
  <c r="AB364"/>
  <c r="AB383"/>
  <c r="AB407"/>
  <c r="AB345"/>
  <c r="AB256"/>
  <c r="AB265"/>
  <c r="AB273"/>
  <c r="AB291"/>
  <c r="AB214"/>
  <c r="AB101" i="29" s="1"/>
  <c r="AB219" i="9"/>
  <c r="AK103" i="29"/>
  <c r="AK254" i="9"/>
  <c r="AK255" s="1"/>
  <c r="AK282"/>
  <c r="AK291"/>
  <c r="AK214"/>
  <c r="AK101" i="29" s="1"/>
  <c r="AK273" i="9"/>
  <c r="AK265"/>
  <c r="AK219"/>
  <c r="M103" i="29"/>
  <c r="M254" i="9"/>
  <c r="M255" s="1"/>
  <c r="M273"/>
  <c r="M265"/>
  <c r="M282"/>
  <c r="M291"/>
  <c r="M214"/>
  <c r="M101" i="29" s="1"/>
  <c r="M219" i="9"/>
  <c r="AP295"/>
  <c r="AH295"/>
  <c r="BC295"/>
  <c r="AS295"/>
  <c r="AX295"/>
  <c r="AZ295"/>
  <c r="BG295"/>
  <c r="AI295"/>
  <c r="AY295"/>
  <c r="AK256" l="1"/>
  <c r="Q295"/>
  <c r="BD256"/>
  <c r="AP256"/>
  <c r="AC224"/>
  <c r="AC341"/>
  <c r="AC342" s="1"/>
  <c r="AC345" s="1"/>
  <c r="AC403"/>
  <c r="AC404" s="1"/>
  <c r="AC407" s="1"/>
  <c r="AC307"/>
  <c r="AC360"/>
  <c r="AC361" s="1"/>
  <c r="AC364" s="1"/>
  <c r="AQ307"/>
  <c r="AQ224"/>
  <c r="AQ360"/>
  <c r="AQ361" s="1"/>
  <c r="AQ364" s="1"/>
  <c r="AQ403"/>
  <c r="AQ404" s="1"/>
  <c r="AQ407" s="1"/>
  <c r="BA360"/>
  <c r="BA361" s="1"/>
  <c r="BA364" s="1"/>
  <c r="BA403"/>
  <c r="BA404" s="1"/>
  <c r="BA407" s="1"/>
  <c r="M256"/>
  <c r="L341"/>
  <c r="L342" s="1"/>
  <c r="L224"/>
  <c r="L403"/>
  <c r="L404" s="1"/>
  <c r="L379"/>
  <c r="L380" s="1"/>
  <c r="L360"/>
  <c r="L361" s="1"/>
  <c r="L364" s="1"/>
  <c r="L307"/>
  <c r="AH403"/>
  <c r="AH404" s="1"/>
  <c r="AH379"/>
  <c r="AH380" s="1"/>
  <c r="AH341"/>
  <c r="AH342" s="1"/>
  <c r="AH224"/>
  <c r="AH360"/>
  <c r="AH361" s="1"/>
  <c r="AH307"/>
  <c r="T379"/>
  <c r="T380" s="1"/>
  <c r="T383" s="1"/>
  <c r="T341"/>
  <c r="T342" s="1"/>
  <c r="T403"/>
  <c r="T404" s="1"/>
  <c r="T360"/>
  <c r="T361" s="1"/>
  <c r="T364" s="1"/>
  <c r="T224"/>
  <c r="T307"/>
  <c r="AE403"/>
  <c r="AE404" s="1"/>
  <c r="AE379"/>
  <c r="AE380" s="1"/>
  <c r="AE224"/>
  <c r="AE341"/>
  <c r="AE342" s="1"/>
  <c r="AE360"/>
  <c r="AE361" s="1"/>
  <c r="AE307"/>
  <c r="AZ379"/>
  <c r="AZ380" s="1"/>
  <c r="AZ341"/>
  <c r="AZ342" s="1"/>
  <c r="AZ403"/>
  <c r="AZ404" s="1"/>
  <c r="AZ224"/>
  <c r="AZ360"/>
  <c r="AZ361" s="1"/>
  <c r="AZ307"/>
  <c r="AK257"/>
  <c r="Y257"/>
  <c r="P103" i="29"/>
  <c r="P254" i="9"/>
  <c r="P255" s="1"/>
  <c r="J103" i="29"/>
  <c r="J254" i="9"/>
  <c r="J255" s="1"/>
  <c r="Z257"/>
  <c r="AI257"/>
  <c r="AA257"/>
  <c r="BF257"/>
  <c r="AN257"/>
  <c r="K103" i="29"/>
  <c r="K254" i="9"/>
  <c r="K255" s="1"/>
  <c r="BA257"/>
  <c r="AW257"/>
  <c r="BI257"/>
  <c r="AJ257"/>
  <c r="H282"/>
  <c r="H214"/>
  <c r="H101" i="29" s="1"/>
  <c r="H273" i="9"/>
  <c r="H265"/>
  <c r="H291"/>
  <c r="H219"/>
  <c r="N103" i="29"/>
  <c r="N254" i="9"/>
  <c r="N255" s="1"/>
  <c r="BD257"/>
  <c r="AP257"/>
  <c r="O265"/>
  <c r="O273"/>
  <c r="O214"/>
  <c r="O101" i="29" s="1"/>
  <c r="O291" i="9"/>
  <c r="O282"/>
  <c r="O219"/>
  <c r="M379"/>
  <c r="M380" s="1"/>
  <c r="M224"/>
  <c r="M403"/>
  <c r="M404" s="1"/>
  <c r="M341"/>
  <c r="M342" s="1"/>
  <c r="M307"/>
  <c r="M360"/>
  <c r="M361" s="1"/>
  <c r="AT379"/>
  <c r="AT380" s="1"/>
  <c r="AT403"/>
  <c r="AT404" s="1"/>
  <c r="AT341"/>
  <c r="AT342" s="1"/>
  <c r="AT224"/>
  <c r="AT360"/>
  <c r="AT361" s="1"/>
  <c r="AT307"/>
  <c r="AB102" i="29"/>
  <c r="AB308" i="9"/>
  <c r="AB362"/>
  <c r="AB381"/>
  <c r="AB384" s="1"/>
  <c r="AG102" i="29"/>
  <c r="AG308" i="9"/>
  <c r="AG343"/>
  <c r="AG405"/>
  <c r="AG408" s="1"/>
  <c r="AU102" i="29"/>
  <c r="AU308" i="9"/>
  <c r="AU343"/>
  <c r="AU225"/>
  <c r="AU100" i="29" s="1"/>
  <c r="AU226" i="9"/>
  <c r="AX102" i="29"/>
  <c r="AX308" i="9"/>
  <c r="AX225"/>
  <c r="AX100" i="29" s="1"/>
  <c r="AX226" i="9"/>
  <c r="AX343"/>
  <c r="AX349"/>
  <c r="AX350" s="1"/>
  <c r="N379"/>
  <c r="N380" s="1"/>
  <c r="N383" s="1"/>
  <c r="N403"/>
  <c r="N404" s="1"/>
  <c r="N341"/>
  <c r="N342" s="1"/>
  <c r="N224"/>
  <c r="N360"/>
  <c r="N361" s="1"/>
  <c r="N364" s="1"/>
  <c r="N307"/>
  <c r="S341"/>
  <c r="S342" s="1"/>
  <c r="S379"/>
  <c r="S380" s="1"/>
  <c r="S224"/>
  <c r="S403"/>
  <c r="S404" s="1"/>
  <c r="S360"/>
  <c r="S361" s="1"/>
  <c r="S364" s="1"/>
  <c r="S307"/>
  <c r="BB403"/>
  <c r="BB404" s="1"/>
  <c r="BB341"/>
  <c r="BB342" s="1"/>
  <c r="BB379"/>
  <c r="BB380" s="1"/>
  <c r="BB224"/>
  <c r="BB360"/>
  <c r="BB361" s="1"/>
  <c r="BB307"/>
  <c r="AJ379"/>
  <c r="AJ380" s="1"/>
  <c r="AJ403"/>
  <c r="AJ404" s="1"/>
  <c r="AJ224"/>
  <c r="AJ360"/>
  <c r="AJ361" s="1"/>
  <c r="AJ341"/>
  <c r="AJ342" s="1"/>
  <c r="AJ307"/>
  <c r="AO379"/>
  <c r="AO380" s="1"/>
  <c r="AO403"/>
  <c r="AO404" s="1"/>
  <c r="AO224"/>
  <c r="AO341"/>
  <c r="AO342" s="1"/>
  <c r="AO360"/>
  <c r="AO361" s="1"/>
  <c r="AO307"/>
  <c r="I379"/>
  <c r="I380" s="1"/>
  <c r="I383" s="1"/>
  <c r="I403"/>
  <c r="I404" s="1"/>
  <c r="I224"/>
  <c r="I341"/>
  <c r="I342" s="1"/>
  <c r="I360"/>
  <c r="I361" s="1"/>
  <c r="I364" s="1"/>
  <c r="I307"/>
  <c r="V379"/>
  <c r="V380" s="1"/>
  <c r="V383" s="1"/>
  <c r="V341"/>
  <c r="V342" s="1"/>
  <c r="V345" s="1"/>
  <c r="V403"/>
  <c r="V404" s="1"/>
  <c r="V407" s="1"/>
  <c r="V224"/>
  <c r="V360"/>
  <c r="V361" s="1"/>
  <c r="V364" s="1"/>
  <c r="V307"/>
  <c r="AD257"/>
  <c r="T273"/>
  <c r="T291"/>
  <c r="T214"/>
  <c r="T101" i="29" s="1"/>
  <c r="T282" i="9"/>
  <c r="T407"/>
  <c r="T345"/>
  <c r="T265"/>
  <c r="T219"/>
  <c r="AE257"/>
  <c r="W273"/>
  <c r="W282"/>
  <c r="W214"/>
  <c r="W101" i="29" s="1"/>
  <c r="W265" i="9"/>
  <c r="W291"/>
  <c r="W219"/>
  <c r="I103" i="29"/>
  <c r="I254" i="9"/>
  <c r="I255" s="1"/>
  <c r="U273"/>
  <c r="U291"/>
  <c r="U214"/>
  <c r="U101" i="29" s="1"/>
  <c r="U282" i="9"/>
  <c r="U265"/>
  <c r="U219"/>
  <c r="V273"/>
  <c r="V291"/>
  <c r="V282"/>
  <c r="V265"/>
  <c r="V214"/>
  <c r="V101" i="29" s="1"/>
  <c r="V219" i="9"/>
  <c r="BH257"/>
  <c r="BB257"/>
  <c r="R103" i="29"/>
  <c r="R254" i="9"/>
  <c r="R255" s="1"/>
  <c r="X257"/>
  <c r="AV257"/>
  <c r="S103" i="29"/>
  <c r="S254" i="9"/>
  <c r="S255" s="1"/>
  <c r="K362"/>
  <c r="K381"/>
  <c r="K405"/>
  <c r="AR362"/>
  <c r="AR405"/>
  <c r="AR381"/>
  <c r="AR384" s="1"/>
  <c r="Z362"/>
  <c r="Z365" s="1"/>
  <c r="Z343"/>
  <c r="Z346" s="1"/>
  <c r="Z381"/>
  <c r="Z384" s="1"/>
  <c r="AC102" i="29"/>
  <c r="AC308" i="9"/>
  <c r="AC362"/>
  <c r="AC365" s="1"/>
  <c r="AC381"/>
  <c r="BG362"/>
  <c r="BG365" s="1"/>
  <c r="BG381"/>
  <c r="BG343"/>
  <c r="AQ362"/>
  <c r="AQ405"/>
  <c r="AQ343"/>
  <c r="BA362"/>
  <c r="BA365" s="1"/>
  <c r="BA405"/>
  <c r="BA343"/>
  <c r="BA346" s="1"/>
  <c r="AD256"/>
  <c r="AZ256"/>
  <c r="BH256"/>
  <c r="AV256"/>
  <c r="AO256"/>
  <c r="Q379"/>
  <c r="Q380" s="1"/>
  <c r="Q383" s="1"/>
  <c r="Q341"/>
  <c r="Q342" s="1"/>
  <c r="Q403"/>
  <c r="Q404" s="1"/>
  <c r="Q224"/>
  <c r="Q360"/>
  <c r="Q361" s="1"/>
  <c r="Q364" s="1"/>
  <c r="Q307"/>
  <c r="BC379"/>
  <c r="BC380" s="1"/>
  <c r="BC403"/>
  <c r="BC404" s="1"/>
  <c r="BC341"/>
  <c r="BC342" s="1"/>
  <c r="BC224"/>
  <c r="BC360"/>
  <c r="BC361" s="1"/>
  <c r="BC307"/>
  <c r="BD379"/>
  <c r="BD380" s="1"/>
  <c r="BD341"/>
  <c r="BD342" s="1"/>
  <c r="BD403"/>
  <c r="BD404" s="1"/>
  <c r="BD224"/>
  <c r="BD360"/>
  <c r="BD361" s="1"/>
  <c r="BD307"/>
  <c r="AK403"/>
  <c r="AK404" s="1"/>
  <c r="AK379"/>
  <c r="AK380" s="1"/>
  <c r="AK224"/>
  <c r="AK341"/>
  <c r="AK342" s="1"/>
  <c r="AK307"/>
  <c r="AK360"/>
  <c r="AK361" s="1"/>
  <c r="AI379"/>
  <c r="AI380" s="1"/>
  <c r="AI403"/>
  <c r="AI404" s="1"/>
  <c r="AI224"/>
  <c r="AI341"/>
  <c r="AI342" s="1"/>
  <c r="AI360"/>
  <c r="AI361" s="1"/>
  <c r="AI307"/>
  <c r="BF403"/>
  <c r="BF404" s="1"/>
  <c r="BF224"/>
  <c r="BF379"/>
  <c r="BF380" s="1"/>
  <c r="BF341"/>
  <c r="BF342" s="1"/>
  <c r="BF360"/>
  <c r="BF361" s="1"/>
  <c r="BF307"/>
  <c r="AS379"/>
  <c r="AS380" s="1"/>
  <c r="AS403"/>
  <c r="AS404" s="1"/>
  <c r="AS341"/>
  <c r="AS342" s="1"/>
  <c r="AS360"/>
  <c r="AS361" s="1"/>
  <c r="AS224"/>
  <c r="AS307"/>
  <c r="P379"/>
  <c r="P380" s="1"/>
  <c r="P383" s="1"/>
  <c r="P341"/>
  <c r="P342" s="1"/>
  <c r="P403"/>
  <c r="P404" s="1"/>
  <c r="P407" s="1"/>
  <c r="P224"/>
  <c r="P360"/>
  <c r="P361" s="1"/>
  <c r="P364" s="1"/>
  <c r="P307"/>
  <c r="H341"/>
  <c r="H342" s="1"/>
  <c r="H403"/>
  <c r="H404" s="1"/>
  <c r="H407" s="1"/>
  <c r="H379"/>
  <c r="H380" s="1"/>
  <c r="H360"/>
  <c r="H361" s="1"/>
  <c r="H224"/>
  <c r="H307"/>
  <c r="O379"/>
  <c r="O380" s="1"/>
  <c r="O403"/>
  <c r="O404" s="1"/>
  <c r="O341"/>
  <c r="O342" s="1"/>
  <c r="O224"/>
  <c r="O360"/>
  <c r="O361" s="1"/>
  <c r="O307"/>
  <c r="AW379"/>
  <c r="AW380" s="1"/>
  <c r="AW403"/>
  <c r="AW404" s="1"/>
  <c r="AW341"/>
  <c r="AW342" s="1"/>
  <c r="AW224"/>
  <c r="AW360"/>
  <c r="AW361" s="1"/>
  <c r="AW307"/>
  <c r="BE379"/>
  <c r="BE380" s="1"/>
  <c r="BE403"/>
  <c r="BE404" s="1"/>
  <c r="BE341"/>
  <c r="BE342" s="1"/>
  <c r="BE360"/>
  <c r="BE361" s="1"/>
  <c r="BE224"/>
  <c r="BE307"/>
  <c r="AV379"/>
  <c r="AV380" s="1"/>
  <c r="AV403"/>
  <c r="AV404" s="1"/>
  <c r="AV341"/>
  <c r="AV342" s="1"/>
  <c r="AV224"/>
  <c r="AV360"/>
  <c r="AV361" s="1"/>
  <c r="AV307"/>
  <c r="AF403"/>
  <c r="AF404" s="1"/>
  <c r="AF379"/>
  <c r="AF380" s="1"/>
  <c r="AF341"/>
  <c r="AF342" s="1"/>
  <c r="AF224"/>
  <c r="AF360"/>
  <c r="AF361" s="1"/>
  <c r="AF307"/>
  <c r="W379"/>
  <c r="W380" s="1"/>
  <c r="W224"/>
  <c r="W403"/>
  <c r="W404" s="1"/>
  <c r="W341"/>
  <c r="W342" s="1"/>
  <c r="W360"/>
  <c r="W361" s="1"/>
  <c r="W307"/>
  <c r="U403"/>
  <c r="U404" s="1"/>
  <c r="U341"/>
  <c r="U342" s="1"/>
  <c r="U345" s="1"/>
  <c r="U379"/>
  <c r="U380" s="1"/>
  <c r="U224"/>
  <c r="U360"/>
  <c r="U361" s="1"/>
  <c r="U307"/>
  <c r="Y379"/>
  <c r="Y380" s="1"/>
  <c r="Y403"/>
  <c r="Y404" s="1"/>
  <c r="Y341"/>
  <c r="Y342" s="1"/>
  <c r="Y224"/>
  <c r="Y360"/>
  <c r="Y361" s="1"/>
  <c r="Y307"/>
  <c r="AY379"/>
  <c r="AY380" s="1"/>
  <c r="AY224"/>
  <c r="AY403"/>
  <c r="AY404" s="1"/>
  <c r="AY341"/>
  <c r="AY342" s="1"/>
  <c r="AY360"/>
  <c r="AY361" s="1"/>
  <c r="AY307"/>
  <c r="AA379"/>
  <c r="AA380" s="1"/>
  <c r="AA224"/>
  <c r="AA403"/>
  <c r="AA404" s="1"/>
  <c r="AA341"/>
  <c r="AA342" s="1"/>
  <c r="AA360"/>
  <c r="AA361" s="1"/>
  <c r="AA307"/>
  <c r="AN379"/>
  <c r="AN380" s="1"/>
  <c r="AN224"/>
  <c r="AN341"/>
  <c r="AN342" s="1"/>
  <c r="AN403"/>
  <c r="AN404" s="1"/>
  <c r="AN360"/>
  <c r="AN361" s="1"/>
  <c r="AN307"/>
  <c r="BH341"/>
  <c r="BH342" s="1"/>
  <c r="BH224"/>
  <c r="BH403"/>
  <c r="BH404" s="1"/>
  <c r="BH379"/>
  <c r="BH380" s="1"/>
  <c r="BH360"/>
  <c r="BH361" s="1"/>
  <c r="BH307"/>
  <c r="M257"/>
  <c r="AB257"/>
  <c r="AB365"/>
  <c r="AR365"/>
  <c r="AR257"/>
  <c r="AR408"/>
  <c r="P291"/>
  <c r="P345"/>
  <c r="P265"/>
  <c r="P282"/>
  <c r="P273"/>
  <c r="P256"/>
  <c r="P214"/>
  <c r="P101" i="29" s="1"/>
  <c r="P219" i="9"/>
  <c r="J282"/>
  <c r="J291"/>
  <c r="J273"/>
  <c r="J256"/>
  <c r="J265"/>
  <c r="J214"/>
  <c r="J101" i="29" s="1"/>
  <c r="J219" i="9"/>
  <c r="AY257"/>
  <c r="Q103" i="29"/>
  <c r="Q254" i="9"/>
  <c r="Q255" s="1"/>
  <c r="Q407"/>
  <c r="Q291"/>
  <c r="Q282"/>
  <c r="Q273"/>
  <c r="Q265"/>
  <c r="Q256"/>
  <c r="Q345"/>
  <c r="Q214"/>
  <c r="Q101" i="29" s="1"/>
  <c r="Q219" i="9"/>
  <c r="AC257"/>
  <c r="AC384"/>
  <c r="AG346"/>
  <c r="AG257"/>
  <c r="BG346"/>
  <c r="BG257"/>
  <c r="BG384"/>
  <c r="AU257"/>
  <c r="AU346"/>
  <c r="AQ346"/>
  <c r="AQ365"/>
  <c r="AQ408"/>
  <c r="AQ257"/>
  <c r="AX346"/>
  <c r="AX257"/>
  <c r="K265"/>
  <c r="K364"/>
  <c r="K345"/>
  <c r="K407"/>
  <c r="K256"/>
  <c r="K282"/>
  <c r="K273"/>
  <c r="K383"/>
  <c r="K291"/>
  <c r="K214"/>
  <c r="K101" i="29" s="1"/>
  <c r="K219" i="9"/>
  <c r="BC257"/>
  <c r="BE257"/>
  <c r="AH257"/>
  <c r="H103" i="29"/>
  <c r="H254" i="9"/>
  <c r="H255" s="1"/>
  <c r="N345"/>
  <c r="N265"/>
  <c r="N273"/>
  <c r="N407"/>
  <c r="N256"/>
  <c r="N282"/>
  <c r="N291"/>
  <c r="N214"/>
  <c r="N101" i="29" s="1"/>
  <c r="N219" i="9"/>
  <c r="AF257"/>
  <c r="O103" i="29"/>
  <c r="O254" i="9"/>
  <c r="O255" s="1"/>
  <c r="L103" i="29"/>
  <c r="L254" i="9"/>
  <c r="L255" s="1"/>
  <c r="L282"/>
  <c r="L265"/>
  <c r="L273"/>
  <c r="L345"/>
  <c r="L291"/>
  <c r="L407"/>
  <c r="L383"/>
  <c r="L214"/>
  <c r="L101" i="29" s="1"/>
  <c r="L219" i="9"/>
  <c r="AM379"/>
  <c r="AM380" s="1"/>
  <c r="AM403"/>
  <c r="AM404" s="1"/>
  <c r="AM341"/>
  <c r="AM342" s="1"/>
  <c r="AM224"/>
  <c r="AM360"/>
  <c r="AM361" s="1"/>
  <c r="AM307"/>
  <c r="AL379"/>
  <c r="AL380" s="1"/>
  <c r="AL403"/>
  <c r="AL404" s="1"/>
  <c r="AL341"/>
  <c r="AL342" s="1"/>
  <c r="AL224"/>
  <c r="AL360"/>
  <c r="AL361" s="1"/>
  <c r="AL307"/>
  <c r="AB343"/>
  <c r="AB346" s="1"/>
  <c r="AB225"/>
  <c r="AB100" i="29" s="1"/>
  <c r="AB226" i="9"/>
  <c r="AB367" s="1"/>
  <c r="AB368" s="1"/>
  <c r="AB405"/>
  <c r="AB411"/>
  <c r="AB412" s="1"/>
  <c r="AG362"/>
  <c r="AG365" s="1"/>
  <c r="AG225"/>
  <c r="AG100" i="29" s="1"/>
  <c r="AG226" i="9"/>
  <c r="AG349" s="1"/>
  <c r="AG350" s="1"/>
  <c r="AG381"/>
  <c r="AG384" s="1"/>
  <c r="AG387"/>
  <c r="AG388" s="1"/>
  <c r="AU362"/>
  <c r="AU365" s="1"/>
  <c r="AU367"/>
  <c r="AU368" s="1"/>
  <c r="AU381"/>
  <c r="AU384" s="1"/>
  <c r="AU387"/>
  <c r="AU388" s="1"/>
  <c r="AU394" s="1"/>
  <c r="AU384" i="12" s="1"/>
  <c r="AU385" s="1"/>
  <c r="AU401" s="1"/>
  <c r="AU403" s="1"/>
  <c r="AU411" i="9"/>
  <c r="AU412" s="1"/>
  <c r="AU405"/>
  <c r="AX362"/>
  <c r="AX365" s="1"/>
  <c r="AX367"/>
  <c r="AX368" s="1"/>
  <c r="AX381"/>
  <c r="AX384" s="1"/>
  <c r="AX387"/>
  <c r="AX388" s="1"/>
  <c r="AX394" s="1"/>
  <c r="AX384" i="12" s="1"/>
  <c r="AX385" s="1"/>
  <c r="AX401" s="1"/>
  <c r="AX403" s="1"/>
  <c r="AX411" i="9"/>
  <c r="AX412" s="1"/>
  <c r="AX405"/>
  <c r="AX408" s="1"/>
  <c r="AD379"/>
  <c r="AD380" s="1"/>
  <c r="AD403"/>
  <c r="AD404" s="1"/>
  <c r="AD341"/>
  <c r="AD342" s="1"/>
  <c r="AD224"/>
  <c r="AD307"/>
  <c r="AD360"/>
  <c r="AD361" s="1"/>
  <c r="BI379"/>
  <c r="BI380" s="1"/>
  <c r="BI341"/>
  <c r="BI342" s="1"/>
  <c r="BI403"/>
  <c r="BI404" s="1"/>
  <c r="BI224"/>
  <c r="BI360"/>
  <c r="BI361" s="1"/>
  <c r="BI307"/>
  <c r="X379"/>
  <c r="X380" s="1"/>
  <c r="X403"/>
  <c r="X404" s="1"/>
  <c r="X224"/>
  <c r="X341"/>
  <c r="X342" s="1"/>
  <c r="X360"/>
  <c r="X361" s="1"/>
  <c r="X307"/>
  <c r="AP341"/>
  <c r="AP342" s="1"/>
  <c r="AP224"/>
  <c r="AP403"/>
  <c r="AP404" s="1"/>
  <c r="AP379"/>
  <c r="AP380" s="1"/>
  <c r="AP360"/>
  <c r="AP361" s="1"/>
  <c r="AP307"/>
  <c r="J379"/>
  <c r="J380" s="1"/>
  <c r="J403"/>
  <c r="J404" s="1"/>
  <c r="J341"/>
  <c r="J342" s="1"/>
  <c r="J224"/>
  <c r="J360"/>
  <c r="J361" s="1"/>
  <c r="J307"/>
  <c r="R379"/>
  <c r="R380" s="1"/>
  <c r="R383" s="1"/>
  <c r="R403"/>
  <c r="R404" s="1"/>
  <c r="R407" s="1"/>
  <c r="R341"/>
  <c r="R342" s="1"/>
  <c r="R345" s="1"/>
  <c r="R224"/>
  <c r="R360"/>
  <c r="R361" s="1"/>
  <c r="R364" s="1"/>
  <c r="R307"/>
  <c r="T103" i="29"/>
  <c r="T254" i="9"/>
  <c r="T255" s="1"/>
  <c r="W103" i="29"/>
  <c r="W254" i="9"/>
  <c r="W255" s="1"/>
  <c r="I345"/>
  <c r="I273"/>
  <c r="I282"/>
  <c r="I265"/>
  <c r="I256"/>
  <c r="I407"/>
  <c r="I291"/>
  <c r="I214"/>
  <c r="I101" i="29" s="1"/>
  <c r="I219" i="9"/>
  <c r="U103" i="29"/>
  <c r="U254" i="9"/>
  <c r="U255" s="1"/>
  <c r="V103" i="29"/>
  <c r="V254" i="9"/>
  <c r="V255" s="1"/>
  <c r="AZ257"/>
  <c r="AS257"/>
  <c r="R282"/>
  <c r="R273"/>
  <c r="R214"/>
  <c r="R101" i="29" s="1"/>
  <c r="R291" i="9"/>
  <c r="R265"/>
  <c r="R256"/>
  <c r="R219"/>
  <c r="AO257"/>
  <c r="S383"/>
  <c r="S273"/>
  <c r="S407"/>
  <c r="S345"/>
  <c r="S265"/>
  <c r="S282"/>
  <c r="S291"/>
  <c r="S214"/>
  <c r="S101" i="29" s="1"/>
  <c r="S219" i="9"/>
  <c r="K102" i="29"/>
  <c r="K308" i="9"/>
  <c r="K225"/>
  <c r="K100" i="29" s="1"/>
  <c r="K226" i="9"/>
  <c r="K349" s="1"/>
  <c r="K350" s="1"/>
  <c r="K343"/>
  <c r="AR102" i="29"/>
  <c r="AR308" i="9"/>
  <c r="AR225"/>
  <c r="AR100" i="29" s="1"/>
  <c r="AR226" i="9"/>
  <c r="AR349" s="1"/>
  <c r="AR350" s="1"/>
  <c r="AR343"/>
  <c r="AR346" s="1"/>
  <c r="Z102" i="29"/>
  <c r="Z308" i="9"/>
  <c r="Z225"/>
  <c r="Z100" i="29" s="1"/>
  <c r="Z226" i="9"/>
  <c r="Z411" s="1"/>
  <c r="Z412" s="1"/>
  <c r="Z405"/>
  <c r="AC343"/>
  <c r="AC346" s="1"/>
  <c r="AC225"/>
  <c r="AC100" i="29" s="1"/>
  <c r="AC226" i="9"/>
  <c r="AC411" s="1"/>
  <c r="AC412" s="1"/>
  <c r="AC405"/>
  <c r="BG102" i="29"/>
  <c r="BG308" i="9"/>
  <c r="BG225"/>
  <c r="BG100" i="29" s="1"/>
  <c r="BG226" i="9"/>
  <c r="BG411" s="1"/>
  <c r="BG412" s="1"/>
  <c r="BG405"/>
  <c r="AQ102" i="29"/>
  <c r="AQ308" i="9"/>
  <c r="AQ225"/>
  <c r="AQ100" i="29" s="1"/>
  <c r="AQ226" i="9"/>
  <c r="AQ381"/>
  <c r="AQ384" s="1"/>
  <c r="AQ387"/>
  <c r="AQ388" s="1"/>
  <c r="BA102" i="29"/>
  <c r="BA308" i="9"/>
  <c r="BA225"/>
  <c r="BA100" i="29" s="1"/>
  <c r="BA226" i="9"/>
  <c r="BA387" s="1"/>
  <c r="BA388" s="1"/>
  <c r="BA381"/>
  <c r="BA384" s="1"/>
  <c r="P295"/>
  <c r="J295"/>
  <c r="AU256"/>
  <c r="K295"/>
  <c r="BE256"/>
  <c r="AE256"/>
  <c r="V295"/>
  <c r="AS256"/>
  <c r="BB256"/>
  <c r="X256"/>
  <c r="S295"/>
  <c r="S256" l="1"/>
  <c r="L256"/>
  <c r="AB560" i="12"/>
  <c r="AB561" s="1"/>
  <c r="AB572" s="1"/>
  <c r="AB574" s="1"/>
  <c r="AB381"/>
  <c r="AB382" s="1"/>
  <c r="AB393" s="1"/>
  <c r="AB395" s="1"/>
  <c r="AB487"/>
  <c r="AB488" s="1"/>
  <c r="AB499" s="1"/>
  <c r="AG554"/>
  <c r="AG555" s="1"/>
  <c r="AG556" s="1"/>
  <c r="AG557" s="1"/>
  <c r="AG558" s="1"/>
  <c r="AG33" i="26" s="1"/>
  <c r="AG481" i="12"/>
  <c r="AG482" s="1"/>
  <c r="AG483" s="1"/>
  <c r="AG484" s="1"/>
  <c r="AG485" s="1"/>
  <c r="AG24" i="26" s="1"/>
  <c r="BA389" i="9"/>
  <c r="BA544" i="12"/>
  <c r="BA545" s="1"/>
  <c r="BA546" s="1"/>
  <c r="BA547" s="1"/>
  <c r="BA548" s="1"/>
  <c r="BA32" i="26" s="1"/>
  <c r="BA32" i="33" s="1"/>
  <c r="BA471" i="12"/>
  <c r="BA472" s="1"/>
  <c r="BA473" s="1"/>
  <c r="BA474" s="1"/>
  <c r="BA475" s="1"/>
  <c r="BA23" i="26" s="1"/>
  <c r="BA23" i="33" s="1"/>
  <c r="BA238" i="9"/>
  <c r="BA244"/>
  <c r="BA234"/>
  <c r="BA227"/>
  <c r="BA99" i="29" s="1"/>
  <c r="BA241" i="9"/>
  <c r="BA390" s="1"/>
  <c r="BA228"/>
  <c r="BA309"/>
  <c r="BA312" s="1"/>
  <c r="BA323"/>
  <c r="BA315"/>
  <c r="BA311"/>
  <c r="AQ389"/>
  <c r="AQ544" i="12"/>
  <c r="AQ545" s="1"/>
  <c r="AQ546" s="1"/>
  <c r="AQ547" s="1"/>
  <c r="AQ548" s="1"/>
  <c r="AQ32" i="26" s="1"/>
  <c r="AQ32" i="33" s="1"/>
  <c r="AQ471" i="12"/>
  <c r="AQ472" s="1"/>
  <c r="AQ473" s="1"/>
  <c r="AQ474" s="1"/>
  <c r="AQ475" s="1"/>
  <c r="AQ23" i="26" s="1"/>
  <c r="AQ23" i="33" s="1"/>
  <c r="AQ234" i="9"/>
  <c r="AQ238"/>
  <c r="AQ244"/>
  <c r="AQ241"/>
  <c r="AQ390" s="1"/>
  <c r="AQ227"/>
  <c r="AQ99" i="29" s="1"/>
  <c r="AQ228" i="9"/>
  <c r="AQ309"/>
  <c r="AQ312" s="1"/>
  <c r="AQ323"/>
  <c r="AQ315"/>
  <c r="AQ311"/>
  <c r="BG563" i="12"/>
  <c r="BG564" s="1"/>
  <c r="BG580" s="1"/>
  <c r="BG582" s="1"/>
  <c r="BG490"/>
  <c r="BG491" s="1"/>
  <c r="BG507" s="1"/>
  <c r="BG413" i="9"/>
  <c r="BG471" i="12"/>
  <c r="BG472" s="1"/>
  <c r="BG473" s="1"/>
  <c r="BG544"/>
  <c r="BG545" s="1"/>
  <c r="BG546" s="1"/>
  <c r="BG234" i="9"/>
  <c r="BG241"/>
  <c r="BG238"/>
  <c r="BG244"/>
  <c r="BG227"/>
  <c r="BG99" i="29" s="1"/>
  <c r="BG228" i="9"/>
  <c r="BG309"/>
  <c r="BG312" s="1"/>
  <c r="BG323"/>
  <c r="BG315"/>
  <c r="BG319" s="1"/>
  <c r="BG311"/>
  <c r="AC563" i="12"/>
  <c r="AC564" s="1"/>
  <c r="AC580" s="1"/>
  <c r="AC582" s="1"/>
  <c r="AC490"/>
  <c r="AC491" s="1"/>
  <c r="AC507" s="1"/>
  <c r="AC413" i="9"/>
  <c r="AC234"/>
  <c r="AC238"/>
  <c r="AC241"/>
  <c r="AC227"/>
  <c r="AC99" i="29" s="1"/>
  <c r="AC244" i="9"/>
  <c r="AC544" i="12"/>
  <c r="AC545" s="1"/>
  <c r="AC546" s="1"/>
  <c r="AC547" s="1"/>
  <c r="AC548" s="1"/>
  <c r="AC32" i="26" s="1"/>
  <c r="AC471" i="12"/>
  <c r="AC472" s="1"/>
  <c r="AC473" s="1"/>
  <c r="AC474" s="1"/>
  <c r="AC475" s="1"/>
  <c r="AC23" i="26" s="1"/>
  <c r="AC228" i="9"/>
  <c r="Z563" i="12"/>
  <c r="Z564" s="1"/>
  <c r="Z580" s="1"/>
  <c r="Z582" s="1"/>
  <c r="Z490"/>
  <c r="Z491" s="1"/>
  <c r="Z507" s="1"/>
  <c r="Z413" i="9"/>
  <c r="Z544" i="12"/>
  <c r="Z545" s="1"/>
  <c r="Z546" s="1"/>
  <c r="Z547" s="1"/>
  <c r="Z548" s="1"/>
  <c r="Z32" i="26" s="1"/>
  <c r="Z471" i="12"/>
  <c r="Z472" s="1"/>
  <c r="Z473" s="1"/>
  <c r="Z474" s="1"/>
  <c r="Z475" s="1"/>
  <c r="Z23" i="26" s="1"/>
  <c r="Z234" i="9"/>
  <c r="Z238"/>
  <c r="Z244"/>
  <c r="Z241"/>
  <c r="Z227"/>
  <c r="Z99" i="29" s="1"/>
  <c r="Z228" i="9"/>
  <c r="Z309"/>
  <c r="Z312" s="1"/>
  <c r="Z323"/>
  <c r="Z328" s="1"/>
  <c r="Z315"/>
  <c r="Z311"/>
  <c r="AR554" i="12"/>
  <c r="AR555" s="1"/>
  <c r="AR556" s="1"/>
  <c r="AR557" s="1"/>
  <c r="AR558" s="1"/>
  <c r="AR33" i="26" s="1"/>
  <c r="AR33" i="33" s="1"/>
  <c r="AR481" i="12"/>
  <c r="AR482" s="1"/>
  <c r="AR483" s="1"/>
  <c r="AR484" s="1"/>
  <c r="AR485" s="1"/>
  <c r="AR24" i="26" s="1"/>
  <c r="AR24" i="33" s="1"/>
  <c r="AR241" i="9"/>
  <c r="AR351"/>
  <c r="AR471" i="12"/>
  <c r="AR472" s="1"/>
  <c r="AR473" s="1"/>
  <c r="AR474" s="1"/>
  <c r="AR475" s="1"/>
  <c r="AR23" i="26" s="1"/>
  <c r="AR23" i="33" s="1"/>
  <c r="AR544" i="12"/>
  <c r="AR545" s="1"/>
  <c r="AR546" s="1"/>
  <c r="AR547" s="1"/>
  <c r="AR548" s="1"/>
  <c r="AR32" i="26" s="1"/>
  <c r="AR32" i="33" s="1"/>
  <c r="AR238" i="9"/>
  <c r="AR244"/>
  <c r="AR234"/>
  <c r="AR227"/>
  <c r="AR99" i="29" s="1"/>
  <c r="AR228" i="9"/>
  <c r="AR309"/>
  <c r="AR312" s="1"/>
  <c r="AR323"/>
  <c r="AR315"/>
  <c r="AR319" s="1"/>
  <c r="AR311"/>
  <c r="K481" i="12"/>
  <c r="K482" s="1"/>
  <c r="K483" s="1"/>
  <c r="K484" s="1"/>
  <c r="K485" s="1"/>
  <c r="K24" i="26" s="1"/>
  <c r="K24" i="33" s="1"/>
  <c r="K554" i="12"/>
  <c r="K555" s="1"/>
  <c r="K556" s="1"/>
  <c r="K557" s="1"/>
  <c r="K558" s="1"/>
  <c r="K33" i="26" s="1"/>
  <c r="K33" i="33" s="1"/>
  <c r="K351" i="9"/>
  <c r="K241"/>
  <c r="K544" i="12"/>
  <c r="K545" s="1"/>
  <c r="K546" s="1"/>
  <c r="K547" s="1"/>
  <c r="K548" s="1"/>
  <c r="K32" i="26" s="1"/>
  <c r="K32" i="33" s="1"/>
  <c r="K238" i="9"/>
  <c r="K471" i="12"/>
  <c r="K472" s="1"/>
  <c r="K473" s="1"/>
  <c r="K474" s="1"/>
  <c r="K475" s="1"/>
  <c r="K23" i="26" s="1"/>
  <c r="K23" i="33" s="1"/>
  <c r="K234" i="9"/>
  <c r="K244"/>
  <c r="K227"/>
  <c r="K99" i="29" s="1"/>
  <c r="I257" i="9"/>
  <c r="R362"/>
  <c r="R343"/>
  <c r="R381"/>
  <c r="J362"/>
  <c r="J343"/>
  <c r="J381"/>
  <c r="J384" s="1"/>
  <c r="AP362"/>
  <c r="AP365" s="1"/>
  <c r="AP364"/>
  <c r="AP405"/>
  <c r="AP407"/>
  <c r="AP343"/>
  <c r="AP346" s="1"/>
  <c r="AP345"/>
  <c r="X362"/>
  <c r="X365" s="1"/>
  <c r="X364"/>
  <c r="X225"/>
  <c r="X100" i="29" s="1"/>
  <c r="X226" i="9"/>
  <c r="X367" s="1"/>
  <c r="X368" s="1"/>
  <c r="X381"/>
  <c r="X384" s="1"/>
  <c r="X387"/>
  <c r="X388" s="1"/>
  <c r="X383"/>
  <c r="BI362"/>
  <c r="BI365" s="1"/>
  <c r="BI364"/>
  <c r="BI405"/>
  <c r="BI407"/>
  <c r="BI381"/>
  <c r="BI384" s="1"/>
  <c r="BI383"/>
  <c r="AD102" i="29"/>
  <c r="AD308" i="9"/>
  <c r="AD343"/>
  <c r="AD346" s="1"/>
  <c r="AD345"/>
  <c r="AD381"/>
  <c r="AD384" s="1"/>
  <c r="AD383"/>
  <c r="AB490" i="12"/>
  <c r="AB491" s="1"/>
  <c r="AB507" s="1"/>
  <c r="AB563"/>
  <c r="AB564" s="1"/>
  <c r="AB580" s="1"/>
  <c r="AB582" s="1"/>
  <c r="AL362" i="9"/>
  <c r="AL365" s="1"/>
  <c r="AL364"/>
  <c r="AL343"/>
  <c r="AL346" s="1"/>
  <c r="AL345"/>
  <c r="AL381"/>
  <c r="AL384" s="1"/>
  <c r="AL383"/>
  <c r="AM362"/>
  <c r="AM365" s="1"/>
  <c r="AM364"/>
  <c r="AM343"/>
  <c r="AM346" s="1"/>
  <c r="AM345"/>
  <c r="AM381"/>
  <c r="AM384" s="1"/>
  <c r="AM383"/>
  <c r="Q257"/>
  <c r="J257"/>
  <c r="J365"/>
  <c r="J346"/>
  <c r="BH362"/>
  <c r="BH365" s="1"/>
  <c r="BH364"/>
  <c r="BH405"/>
  <c r="BH407"/>
  <c r="BH343"/>
  <c r="BH346" s="1"/>
  <c r="BH345"/>
  <c r="AN362"/>
  <c r="AN365" s="1"/>
  <c r="AN364"/>
  <c r="AN343"/>
  <c r="AN346" s="1"/>
  <c r="AN345"/>
  <c r="AN381"/>
  <c r="AN384" s="1"/>
  <c r="AN383"/>
  <c r="AA362"/>
  <c r="AA365" s="1"/>
  <c r="AA364"/>
  <c r="AA405"/>
  <c r="AA407"/>
  <c r="AA381"/>
  <c r="AA384" s="1"/>
  <c r="AA383"/>
  <c r="AY362"/>
  <c r="AY365" s="1"/>
  <c r="AY364"/>
  <c r="AY405"/>
  <c r="AY407"/>
  <c r="AY381"/>
  <c r="AY384" s="1"/>
  <c r="AY383"/>
  <c r="Y362"/>
  <c r="Y365" s="1"/>
  <c r="Y364"/>
  <c r="Y343"/>
  <c r="Y346" s="1"/>
  <c r="Y345"/>
  <c r="Y381"/>
  <c r="Y384" s="1"/>
  <c r="Y383"/>
  <c r="U362"/>
  <c r="U381"/>
  <c r="U405"/>
  <c r="W362"/>
  <c r="W405"/>
  <c r="W381"/>
  <c r="W384" s="1"/>
  <c r="AF362"/>
  <c r="AF365" s="1"/>
  <c r="AF364"/>
  <c r="AF343"/>
  <c r="AF346" s="1"/>
  <c r="AF345"/>
  <c r="AF405"/>
  <c r="AF407"/>
  <c r="AV362"/>
  <c r="AV365" s="1"/>
  <c r="AV364"/>
  <c r="AV343"/>
  <c r="AV346" s="1"/>
  <c r="AV345"/>
  <c r="AV381"/>
  <c r="AV384" s="1"/>
  <c r="AV383"/>
  <c r="BE225"/>
  <c r="BE100" i="29" s="1"/>
  <c r="BE226" i="9"/>
  <c r="BE387" s="1"/>
  <c r="BE388" s="1"/>
  <c r="BE343"/>
  <c r="BE346" s="1"/>
  <c r="BE349"/>
  <c r="BE350" s="1"/>
  <c r="BE345"/>
  <c r="BE381"/>
  <c r="BE384" s="1"/>
  <c r="BE383"/>
  <c r="AW362"/>
  <c r="AW365" s="1"/>
  <c r="AW364"/>
  <c r="AW343"/>
  <c r="AW346" s="1"/>
  <c r="AW345"/>
  <c r="AW381"/>
  <c r="AW384" s="1"/>
  <c r="AW383"/>
  <c r="O362"/>
  <c r="O365" s="1"/>
  <c r="O343"/>
  <c r="O381"/>
  <c r="O384" s="1"/>
  <c r="H225"/>
  <c r="H100" i="29" s="1"/>
  <c r="H226" i="9"/>
  <c r="H381"/>
  <c r="H387"/>
  <c r="H388" s="1"/>
  <c r="H343"/>
  <c r="H349"/>
  <c r="H350" s="1"/>
  <c r="P362"/>
  <c r="P405"/>
  <c r="P381"/>
  <c r="AS225"/>
  <c r="AS100" i="29" s="1"/>
  <c r="AS226" i="9"/>
  <c r="AS387" s="1"/>
  <c r="AS388" s="1"/>
  <c r="AS343"/>
  <c r="AS346" s="1"/>
  <c r="AS349"/>
  <c r="AS350" s="1"/>
  <c r="AS345"/>
  <c r="AS381"/>
  <c r="AS384" s="1"/>
  <c r="AS383"/>
  <c r="BF362"/>
  <c r="BF365" s="1"/>
  <c r="BF364"/>
  <c r="BF381"/>
  <c r="BF384" s="1"/>
  <c r="BF383"/>
  <c r="BF405"/>
  <c r="BF407"/>
  <c r="AI362"/>
  <c r="AI365" s="1"/>
  <c r="AI364"/>
  <c r="AI225"/>
  <c r="AI100" i="29" s="1"/>
  <c r="AI226" i="9"/>
  <c r="AI367" s="1"/>
  <c r="AI368" s="1"/>
  <c r="AI381"/>
  <c r="AI384" s="1"/>
  <c r="AI387"/>
  <c r="AI388" s="1"/>
  <c r="AI383"/>
  <c r="AK102" i="29"/>
  <c r="AK308" i="9"/>
  <c r="AK225"/>
  <c r="AK100" i="29" s="1"/>
  <c r="AK226" i="9"/>
  <c r="AK411" s="1"/>
  <c r="AK412" s="1"/>
  <c r="AK405"/>
  <c r="AK407"/>
  <c r="BD362"/>
  <c r="BD365" s="1"/>
  <c r="BD364"/>
  <c r="BD405"/>
  <c r="BD407"/>
  <c r="BD381"/>
  <c r="BD384" s="1"/>
  <c r="BD383"/>
  <c r="BC362"/>
  <c r="BC365" s="1"/>
  <c r="BC364"/>
  <c r="BC343"/>
  <c r="BC346" s="1"/>
  <c r="BC345"/>
  <c r="BC381"/>
  <c r="BC384" s="1"/>
  <c r="BC383"/>
  <c r="Q362"/>
  <c r="Q365" s="1"/>
  <c r="Q405"/>
  <c r="Q381"/>
  <c r="Q384" s="1"/>
  <c r="BA563" i="12"/>
  <c r="BA564" s="1"/>
  <c r="BA580" s="1"/>
  <c r="BA582" s="1"/>
  <c r="BA490"/>
  <c r="BA491" s="1"/>
  <c r="BA507" s="1"/>
  <c r="AQ563"/>
  <c r="AQ564" s="1"/>
  <c r="AQ580" s="1"/>
  <c r="AQ582" s="1"/>
  <c r="AQ490"/>
  <c r="AQ491" s="1"/>
  <c r="AQ507" s="1"/>
  <c r="AC309" i="9"/>
  <c r="AC312" s="1"/>
  <c r="AC323"/>
  <c r="AC328" s="1"/>
  <c r="AC315"/>
  <c r="AC311"/>
  <c r="AR563" i="12"/>
  <c r="AR564" s="1"/>
  <c r="AR580" s="1"/>
  <c r="AR582" s="1"/>
  <c r="AR490"/>
  <c r="AR491" s="1"/>
  <c r="AR507" s="1"/>
  <c r="K563"/>
  <c r="K564" s="1"/>
  <c r="K580" s="1"/>
  <c r="K582" s="1"/>
  <c r="K490"/>
  <c r="K491" s="1"/>
  <c r="K507" s="1"/>
  <c r="V257" i="9"/>
  <c r="W257"/>
  <c r="W365"/>
  <c r="W408"/>
  <c r="T257"/>
  <c r="V102" i="29"/>
  <c r="V308" i="9"/>
  <c r="V225"/>
  <c r="V100" i="29" s="1"/>
  <c r="V226" i="9"/>
  <c r="V343"/>
  <c r="V346" s="1"/>
  <c r="V349"/>
  <c r="V350" s="1"/>
  <c r="I102" i="29"/>
  <c r="I308" i="9"/>
  <c r="I343"/>
  <c r="I346" s="1"/>
  <c r="I405"/>
  <c r="I408" s="1"/>
  <c r="AO102" i="29"/>
  <c r="AO308" i="9"/>
  <c r="AO343"/>
  <c r="AO346" s="1"/>
  <c r="AO345"/>
  <c r="AO405"/>
  <c r="AO407"/>
  <c r="AJ102" i="29"/>
  <c r="AJ308" i="9"/>
  <c r="AJ362"/>
  <c r="AJ365" s="1"/>
  <c r="AJ364"/>
  <c r="AJ405"/>
  <c r="AJ407"/>
  <c r="BB102" i="29"/>
  <c r="BB308" i="9"/>
  <c r="BB225"/>
  <c r="BB100" i="29" s="1"/>
  <c r="BB226" i="9"/>
  <c r="BB343"/>
  <c r="BB346" s="1"/>
  <c r="BB349"/>
  <c r="BB350" s="1"/>
  <c r="BB345"/>
  <c r="S102" i="29"/>
  <c r="S308" i="9"/>
  <c r="S405"/>
  <c r="S408" s="1"/>
  <c r="S381"/>
  <c r="N102" i="29"/>
  <c r="N308" i="9"/>
  <c r="N225"/>
  <c r="N100" i="29" s="1"/>
  <c r="N226" i="9"/>
  <c r="N411" s="1"/>
  <c r="N412" s="1"/>
  <c r="N405"/>
  <c r="AX554" i="12"/>
  <c r="AX555" s="1"/>
  <c r="AX556" s="1"/>
  <c r="AX557" s="1"/>
  <c r="AX558" s="1"/>
  <c r="AX33" i="26" s="1"/>
  <c r="AX33" i="33" s="1"/>
  <c r="AX481" i="12"/>
  <c r="AX482" s="1"/>
  <c r="AX483" s="1"/>
  <c r="AX484" s="1"/>
  <c r="AX485" s="1"/>
  <c r="AX24" i="26" s="1"/>
  <c r="AX24" i="33" s="1"/>
  <c r="AX351" i="9"/>
  <c r="AX369"/>
  <c r="AX389"/>
  <c r="AX413"/>
  <c r="AX544" i="12"/>
  <c r="AX545" s="1"/>
  <c r="AX546" s="1"/>
  <c r="AX547" s="1"/>
  <c r="AX548" s="1"/>
  <c r="AX32" i="26" s="1"/>
  <c r="AX32" i="33" s="1"/>
  <c r="AX471" i="12"/>
  <c r="AX472" s="1"/>
  <c r="AX473" s="1"/>
  <c r="AX474" s="1"/>
  <c r="AX475" s="1"/>
  <c r="AX23" i="26" s="1"/>
  <c r="AX23" i="33" s="1"/>
  <c r="AX234" i="9"/>
  <c r="AX238"/>
  <c r="AX244"/>
  <c r="AX241"/>
  <c r="AX390" s="1"/>
  <c r="AX227"/>
  <c r="AX99" i="29" s="1"/>
  <c r="AX228" i="9"/>
  <c r="AX309"/>
  <c r="AX312" s="1"/>
  <c r="AX323"/>
  <c r="AX328" s="1"/>
  <c r="AX315"/>
  <c r="AX311"/>
  <c r="AU389"/>
  <c r="AU413"/>
  <c r="AU369"/>
  <c r="AU471" i="12"/>
  <c r="AU472" s="1"/>
  <c r="AU473" s="1"/>
  <c r="AU474" s="1"/>
  <c r="AU475" s="1"/>
  <c r="AU23" i="26" s="1"/>
  <c r="AU23" i="33" s="1"/>
  <c r="AU234" i="9"/>
  <c r="AU241"/>
  <c r="AU390" s="1"/>
  <c r="AU544" i="12"/>
  <c r="AU545" s="1"/>
  <c r="AU546" s="1"/>
  <c r="AU547" s="1"/>
  <c r="AU548" s="1"/>
  <c r="AU32" i="26" s="1"/>
  <c r="AU32" i="33" s="1"/>
  <c r="AU238" i="9"/>
  <c r="AU227"/>
  <c r="AU99" i="29" s="1"/>
  <c r="AU244" i="9"/>
  <c r="AU228"/>
  <c r="AU309"/>
  <c r="AU312" s="1"/>
  <c r="AU323"/>
  <c r="AU315"/>
  <c r="AU311"/>
  <c r="AG563" i="12"/>
  <c r="AG564" s="1"/>
  <c r="AG580" s="1"/>
  <c r="AG582" s="1"/>
  <c r="AG490"/>
  <c r="AG491" s="1"/>
  <c r="AG507" s="1"/>
  <c r="AG309" i="9"/>
  <c r="AG312" s="1"/>
  <c r="AG323"/>
  <c r="AG315"/>
  <c r="AG311"/>
  <c r="AB309"/>
  <c r="AB312" s="1"/>
  <c r="AB323"/>
  <c r="AB315"/>
  <c r="AB311"/>
  <c r="AT102" i="29"/>
  <c r="AT308" i="9"/>
  <c r="AT225"/>
  <c r="AT100" i="29" s="1"/>
  <c r="AT226" i="9"/>
  <c r="AT411" s="1"/>
  <c r="AT412" s="1"/>
  <c r="AT405"/>
  <c r="AT407"/>
  <c r="M362"/>
  <c r="M365" s="1"/>
  <c r="M364"/>
  <c r="M343"/>
  <c r="M346" s="1"/>
  <c r="M345"/>
  <c r="M225"/>
  <c r="M100" i="29" s="1"/>
  <c r="M226" i="9"/>
  <c r="M367" s="1"/>
  <c r="M368" s="1"/>
  <c r="O257"/>
  <c r="O346"/>
  <c r="AZ362"/>
  <c r="AZ365" s="1"/>
  <c r="AZ364"/>
  <c r="AZ405"/>
  <c r="AZ407"/>
  <c r="AZ381"/>
  <c r="AZ384" s="1"/>
  <c r="AZ383"/>
  <c r="AE362"/>
  <c r="AE365" s="1"/>
  <c r="AE364"/>
  <c r="AE225"/>
  <c r="AE100" i="29" s="1"/>
  <c r="AE226" i="9"/>
  <c r="AE367" s="1"/>
  <c r="AE368" s="1"/>
  <c r="AE405"/>
  <c r="AE407"/>
  <c r="T225"/>
  <c r="T100" i="29" s="1"/>
  <c r="T226" i="9"/>
  <c r="T411" s="1"/>
  <c r="T412" s="1"/>
  <c r="T405"/>
  <c r="T408" s="1"/>
  <c r="T381"/>
  <c r="T384" s="1"/>
  <c r="AH362"/>
  <c r="AH365" s="1"/>
  <c r="AH364"/>
  <c r="AH343"/>
  <c r="AH346" s="1"/>
  <c r="AH345"/>
  <c r="AH405"/>
  <c r="AH407"/>
  <c r="L362"/>
  <c r="L365" s="1"/>
  <c r="L405"/>
  <c r="L343"/>
  <c r="L346" s="1"/>
  <c r="AC349"/>
  <c r="AC350" s="1"/>
  <c r="K228"/>
  <c r="J383"/>
  <c r="BA349"/>
  <c r="BA350" s="1"/>
  <c r="BA367"/>
  <c r="BA368" s="1"/>
  <c r="BA394" s="1"/>
  <c r="BA384" i="12" s="1"/>
  <c r="BA385" s="1"/>
  <c r="BA401" s="1"/>
  <c r="BA403" s="1"/>
  <c r="AQ349" i="9"/>
  <c r="AQ350" s="1"/>
  <c r="AQ367"/>
  <c r="AQ368" s="1"/>
  <c r="BG349"/>
  <c r="BG350" s="1"/>
  <c r="BG387"/>
  <c r="BG388" s="1"/>
  <c r="BG367"/>
  <c r="BG368" s="1"/>
  <c r="AC387"/>
  <c r="AC388" s="1"/>
  <c r="AC367"/>
  <c r="AC368" s="1"/>
  <c r="Z387"/>
  <c r="Z388" s="1"/>
  <c r="Z349"/>
  <c r="Z350" s="1"/>
  <c r="Z351" s="1"/>
  <c r="Z367"/>
  <c r="Z368" s="1"/>
  <c r="AR387"/>
  <c r="AR388" s="1"/>
  <c r="AR367"/>
  <c r="AR368" s="1"/>
  <c r="K387"/>
  <c r="K388" s="1"/>
  <c r="K367"/>
  <c r="K368" s="1"/>
  <c r="U256"/>
  <c r="U383"/>
  <c r="W407"/>
  <c r="W383"/>
  <c r="T256"/>
  <c r="AU349"/>
  <c r="AU350" s="1"/>
  <c r="AB387"/>
  <c r="AB388" s="1"/>
  <c r="AB394" s="1"/>
  <c r="AB384" i="12" s="1"/>
  <c r="AB385" s="1"/>
  <c r="AB401" s="1"/>
  <c r="AB403" s="1"/>
  <c r="O345" i="9"/>
  <c r="O364"/>
  <c r="H383"/>
  <c r="H345"/>
  <c r="BA408"/>
  <c r="K309"/>
  <c r="K323"/>
  <c r="K315"/>
  <c r="K319" s="1"/>
  <c r="S384"/>
  <c r="S257"/>
  <c r="R257"/>
  <c r="R365"/>
  <c r="R346"/>
  <c r="R384"/>
  <c r="R102" i="29"/>
  <c r="R308" i="9"/>
  <c r="R225"/>
  <c r="R100" i="29" s="1"/>
  <c r="R226" i="9"/>
  <c r="R411" s="1"/>
  <c r="R412" s="1"/>
  <c r="R405"/>
  <c r="J102" i="29"/>
  <c r="J308" i="9"/>
  <c r="J225"/>
  <c r="J100" i="29" s="1"/>
  <c r="J226" i="9"/>
  <c r="J367" s="1"/>
  <c r="J368" s="1"/>
  <c r="J405"/>
  <c r="AP102" i="29"/>
  <c r="AP308" i="9"/>
  <c r="AP381"/>
  <c r="AP384" s="1"/>
  <c r="AP383"/>
  <c r="AP225"/>
  <c r="AP100" i="29" s="1"/>
  <c r="AP226" i="9"/>
  <c r="AP387" s="1"/>
  <c r="AP388" s="1"/>
  <c r="X102" i="29"/>
  <c r="X308" i="9"/>
  <c r="X343"/>
  <c r="X346" s="1"/>
  <c r="X349"/>
  <c r="X350" s="1"/>
  <c r="X345"/>
  <c r="X411"/>
  <c r="X412" s="1"/>
  <c r="X405"/>
  <c r="X407"/>
  <c r="BI102" i="29"/>
  <c r="BI308" i="9"/>
  <c r="BI225"/>
  <c r="BI100" i="29" s="1"/>
  <c r="BI226" i="9"/>
  <c r="BI343"/>
  <c r="BI346" s="1"/>
  <c r="BI349"/>
  <c r="BI350" s="1"/>
  <c r="BI345"/>
  <c r="AD362"/>
  <c r="AD365" s="1"/>
  <c r="AD364"/>
  <c r="AD225"/>
  <c r="AD100" i="29" s="1"/>
  <c r="AD226" i="9"/>
  <c r="AD367" s="1"/>
  <c r="AD368" s="1"/>
  <c r="AD405"/>
  <c r="AD407"/>
  <c r="AX490" i="12"/>
  <c r="AX491" s="1"/>
  <c r="AX507" s="1"/>
  <c r="AX563"/>
  <c r="AX564" s="1"/>
  <c r="AX580" s="1"/>
  <c r="AX582" s="1"/>
  <c r="AX560"/>
  <c r="AX561" s="1"/>
  <c r="AX572" s="1"/>
  <c r="AX574" s="1"/>
  <c r="AX381"/>
  <c r="AX382" s="1"/>
  <c r="AX393" s="1"/>
  <c r="AX395" s="1"/>
  <c r="AX406" s="1"/>
  <c r="AX409" s="1"/>
  <c r="AX487"/>
  <c r="AX488" s="1"/>
  <c r="AX499" s="1"/>
  <c r="AU563"/>
  <c r="AU564" s="1"/>
  <c r="AU580" s="1"/>
  <c r="AU582" s="1"/>
  <c r="AU490"/>
  <c r="AU491" s="1"/>
  <c r="AU507" s="1"/>
  <c r="AU560"/>
  <c r="AU561" s="1"/>
  <c r="AU572" s="1"/>
  <c r="AU574" s="1"/>
  <c r="AU585" s="1"/>
  <c r="AU588" s="1"/>
  <c r="AU381"/>
  <c r="AU382" s="1"/>
  <c r="AU393" s="1"/>
  <c r="AU395" s="1"/>
  <c r="AU406" s="1"/>
  <c r="AU409" s="1"/>
  <c r="AU487"/>
  <c r="AU488" s="1"/>
  <c r="AU499" s="1"/>
  <c r="AG328" i="9"/>
  <c r="AG351"/>
  <c r="AG389"/>
  <c r="AG319"/>
  <c r="AG244"/>
  <c r="AG238"/>
  <c r="AG234"/>
  <c r="AG241"/>
  <c r="AG390" s="1"/>
  <c r="AG471" i="12"/>
  <c r="AG472" s="1"/>
  <c r="AG473" s="1"/>
  <c r="AG474" s="1"/>
  <c r="AG475" s="1"/>
  <c r="AG23" i="26" s="1"/>
  <c r="AG227" i="9"/>
  <c r="AG99" i="29" s="1"/>
  <c r="AG544" i="12"/>
  <c r="AG545" s="1"/>
  <c r="AG546" s="1"/>
  <c r="AG547" s="1"/>
  <c r="AG548" s="1"/>
  <c r="AG32" i="26" s="1"/>
  <c r="AG228" i="9"/>
  <c r="AB328"/>
  <c r="AB244"/>
  <c r="AB369"/>
  <c r="AB319"/>
  <c r="AB413"/>
  <c r="AB241"/>
  <c r="AB390" s="1"/>
  <c r="AB238"/>
  <c r="AB234"/>
  <c r="AB544" i="12"/>
  <c r="AB545" s="1"/>
  <c r="AB546" s="1"/>
  <c r="AB547" s="1"/>
  <c r="AB548" s="1"/>
  <c r="AB32" i="26" s="1"/>
  <c r="AB471" i="12"/>
  <c r="AB472" s="1"/>
  <c r="AB473" s="1"/>
  <c r="AB474" s="1"/>
  <c r="AB475" s="1"/>
  <c r="AB23" i="26" s="1"/>
  <c r="AB227" i="9"/>
  <c r="AB99" i="29" s="1"/>
  <c r="AB228" i="9"/>
  <c r="AL102" i="29"/>
  <c r="AL308" i="9"/>
  <c r="AL225"/>
  <c r="AL100" i="29" s="1"/>
  <c r="AL226" i="9"/>
  <c r="AL367" s="1"/>
  <c r="AL368" s="1"/>
  <c r="AL405"/>
  <c r="AL407"/>
  <c r="AM102" i="29"/>
  <c r="AM308" i="9"/>
  <c r="AM225"/>
  <c r="AM100" i="29" s="1"/>
  <c r="AM226" i="9"/>
  <c r="AM411" s="1"/>
  <c r="AM412" s="1"/>
  <c r="AM405"/>
  <c r="AM407"/>
  <c r="L408"/>
  <c r="L257"/>
  <c r="N408"/>
  <c r="N257"/>
  <c r="K257"/>
  <c r="K365"/>
  <c r="K384"/>
  <c r="K312"/>
  <c r="K408"/>
  <c r="K235"/>
  <c r="K346"/>
  <c r="P384"/>
  <c r="P257"/>
  <c r="P408"/>
  <c r="P365"/>
  <c r="BH102" i="29"/>
  <c r="BH308" i="9"/>
  <c r="BH381"/>
  <c r="BH384" s="1"/>
  <c r="BH383"/>
  <c r="BH225"/>
  <c r="BH100" i="29" s="1"/>
  <c r="BH226" i="9"/>
  <c r="BH367" s="1"/>
  <c r="BH368" s="1"/>
  <c r="AN102" i="29"/>
  <c r="AN308" i="9"/>
  <c r="AN405"/>
  <c r="AN407"/>
  <c r="AN225"/>
  <c r="AN100" i="29" s="1"/>
  <c r="AN226" i="9"/>
  <c r="AA102" i="29"/>
  <c r="AA308" i="9"/>
  <c r="AA343"/>
  <c r="AA346" s="1"/>
  <c r="AA345"/>
  <c r="AA225"/>
  <c r="AA100" i="29" s="1"/>
  <c r="AA226" i="9"/>
  <c r="AA367" s="1"/>
  <c r="AA368" s="1"/>
  <c r="AY102" i="29"/>
  <c r="AY308" i="9"/>
  <c r="AY343"/>
  <c r="AY346" s="1"/>
  <c r="AY345"/>
  <c r="AY225"/>
  <c r="AY100" i="29" s="1"/>
  <c r="AY226" i="9"/>
  <c r="AY349" s="1"/>
  <c r="AY350" s="1"/>
  <c r="Y102" i="29"/>
  <c r="Y308" i="9"/>
  <c r="Y225"/>
  <c r="Y100" i="29" s="1"/>
  <c r="Y226" i="9"/>
  <c r="Y411" s="1"/>
  <c r="Y412" s="1"/>
  <c r="Y405"/>
  <c r="Y407"/>
  <c r="U102" i="29"/>
  <c r="U308" i="9"/>
  <c r="U225"/>
  <c r="U100" i="29" s="1"/>
  <c r="U226" i="9"/>
  <c r="U343"/>
  <c r="U346" s="1"/>
  <c r="U349"/>
  <c r="U350" s="1"/>
  <c r="W102" i="29"/>
  <c r="W308" i="9"/>
  <c r="W343"/>
  <c r="W346" s="1"/>
  <c r="W225"/>
  <c r="W100" i="29" s="1"/>
  <c r="W226" i="9"/>
  <c r="W411" s="1"/>
  <c r="W412" s="1"/>
  <c r="AF102" i="29"/>
  <c r="AF308" i="9"/>
  <c r="AF225"/>
  <c r="AF100" i="29" s="1"/>
  <c r="AF226" i="9"/>
  <c r="AF349" s="1"/>
  <c r="AF350" s="1"/>
  <c r="AF381"/>
  <c r="AF384" s="1"/>
  <c r="AF387"/>
  <c r="AF388" s="1"/>
  <c r="AF383"/>
  <c r="AV102" i="29"/>
  <c r="AV308" i="9"/>
  <c r="AV225"/>
  <c r="AV100" i="29" s="1"/>
  <c r="AV226" i="9"/>
  <c r="AV411" s="1"/>
  <c r="AV412" s="1"/>
  <c r="AV405"/>
  <c r="AV407"/>
  <c r="BE102" i="29"/>
  <c r="BE308" i="9"/>
  <c r="BE362"/>
  <c r="BE365" s="1"/>
  <c r="BE367"/>
  <c r="BE368" s="1"/>
  <c r="BE364"/>
  <c r="BE411"/>
  <c r="BE412" s="1"/>
  <c r="BE405"/>
  <c r="BE407"/>
  <c r="AW102" i="29"/>
  <c r="AW308" i="9"/>
  <c r="AW225"/>
  <c r="AW100" i="29" s="1"/>
  <c r="AW226" i="9"/>
  <c r="AW349" s="1"/>
  <c r="AW350" s="1"/>
  <c r="AW405"/>
  <c r="AW407"/>
  <c r="O102" i="29"/>
  <c r="O308" i="9"/>
  <c r="O225"/>
  <c r="O100" i="29" s="1"/>
  <c r="O226" i="9"/>
  <c r="O367" s="1"/>
  <c r="O368" s="1"/>
  <c r="O405"/>
  <c r="H102" i="29"/>
  <c r="H308" i="9"/>
  <c r="H362"/>
  <c r="H365" s="1"/>
  <c r="H367"/>
  <c r="H368" s="1"/>
  <c r="H411"/>
  <c r="H412" s="1"/>
  <c r="H405"/>
  <c r="H408" s="1"/>
  <c r="P102" i="29"/>
  <c r="P308" i="9"/>
  <c r="P225"/>
  <c r="P100" i="29" s="1"/>
  <c r="P226" i="9"/>
  <c r="P349" s="1"/>
  <c r="P350" s="1"/>
  <c r="P343"/>
  <c r="P346" s="1"/>
  <c r="AS102" i="29"/>
  <c r="AS308" i="9"/>
  <c r="AS362"/>
  <c r="AS365" s="1"/>
  <c r="AS367"/>
  <c r="AS368" s="1"/>
  <c r="AS364"/>
  <c r="AS411"/>
  <c r="AS412" s="1"/>
  <c r="AS405"/>
  <c r="AS407"/>
  <c r="BF102" i="29"/>
  <c r="BF308" i="9"/>
  <c r="BF343"/>
  <c r="BF346" s="1"/>
  <c r="BF345"/>
  <c r="BF225"/>
  <c r="BF100" i="29" s="1"/>
  <c r="BF226" i="9"/>
  <c r="BF387" s="1"/>
  <c r="BF388" s="1"/>
  <c r="AI102" i="29"/>
  <c r="AI308" i="9"/>
  <c r="AI343"/>
  <c r="AI346" s="1"/>
  <c r="AI349"/>
  <c r="AI350" s="1"/>
  <c r="AI345"/>
  <c r="AI411"/>
  <c r="AI412" s="1"/>
  <c r="AI405"/>
  <c r="AI407"/>
  <c r="AK362"/>
  <c r="AK365" s="1"/>
  <c r="AK367"/>
  <c r="AK368" s="1"/>
  <c r="AK364"/>
  <c r="AK343"/>
  <c r="AK346" s="1"/>
  <c r="AK349"/>
  <c r="AK350" s="1"/>
  <c r="AK345"/>
  <c r="AK381"/>
  <c r="AK384" s="1"/>
  <c r="AK387"/>
  <c r="AK388" s="1"/>
  <c r="AK394" s="1"/>
  <c r="AK384" i="12" s="1"/>
  <c r="AK385" s="1"/>
  <c r="AK401" s="1"/>
  <c r="AK403" s="1"/>
  <c r="AK383" i="9"/>
  <c r="BD102" i="29"/>
  <c r="BD308" i="9"/>
  <c r="BD225"/>
  <c r="BD100" i="29" s="1"/>
  <c r="BD226" i="9"/>
  <c r="BD343"/>
  <c r="BD346" s="1"/>
  <c r="BD349"/>
  <c r="BD350" s="1"/>
  <c r="BD345"/>
  <c r="BC102" i="29"/>
  <c r="BC308" i="9"/>
  <c r="BC225"/>
  <c r="BC100" i="29" s="1"/>
  <c r="BC226" i="9"/>
  <c r="BC367" s="1"/>
  <c r="BC368" s="1"/>
  <c r="BC405"/>
  <c r="BC407"/>
  <c r="Q102" i="29"/>
  <c r="Q308" i="9"/>
  <c r="Q225"/>
  <c r="Q100" i="29" s="1"/>
  <c r="Q226" i="9"/>
  <c r="Q411" s="1"/>
  <c r="Q412" s="1"/>
  <c r="Q343"/>
  <c r="Q346" s="1"/>
  <c r="Q349"/>
  <c r="Q350" s="1"/>
  <c r="U365"/>
  <c r="U408"/>
  <c r="U257"/>
  <c r="U384"/>
  <c r="V362"/>
  <c r="V365" s="1"/>
  <c r="V367"/>
  <c r="V368" s="1"/>
  <c r="V411"/>
  <c r="V412" s="1"/>
  <c r="V405"/>
  <c r="V381"/>
  <c r="V384" s="1"/>
  <c r="V387"/>
  <c r="V388" s="1"/>
  <c r="V394" s="1"/>
  <c r="V384" i="12" s="1"/>
  <c r="V385" s="1"/>
  <c r="V401" s="1"/>
  <c r="V403" s="1"/>
  <c r="I362" i="9"/>
  <c r="I365" s="1"/>
  <c r="I225"/>
  <c r="I100" i="29" s="1"/>
  <c r="I226" i="9"/>
  <c r="I411" s="1"/>
  <c r="I412" s="1"/>
  <c r="I381"/>
  <c r="I384" s="1"/>
  <c r="AO362"/>
  <c r="AO365" s="1"/>
  <c r="AO364"/>
  <c r="AO225"/>
  <c r="AO100" i="29" s="1"/>
  <c r="AO226" i="9"/>
  <c r="AO367" s="1"/>
  <c r="AO368" s="1"/>
  <c r="AO381"/>
  <c r="AO384" s="1"/>
  <c r="AO387"/>
  <c r="AO388" s="1"/>
  <c r="AO383"/>
  <c r="AJ343"/>
  <c r="AJ346" s="1"/>
  <c r="AJ345"/>
  <c r="AJ225"/>
  <c r="AJ100" i="29" s="1"/>
  <c r="AJ226" i="9"/>
  <c r="AJ349" s="1"/>
  <c r="AJ350" s="1"/>
  <c r="AJ381"/>
  <c r="AJ384" s="1"/>
  <c r="AJ387"/>
  <c r="AJ388" s="1"/>
  <c r="AJ383"/>
  <c r="BB362"/>
  <c r="BB365" s="1"/>
  <c r="BB367"/>
  <c r="BB368" s="1"/>
  <c r="BB364"/>
  <c r="BB381"/>
  <c r="BB384" s="1"/>
  <c r="BB387"/>
  <c r="BB388" s="1"/>
  <c r="BB383"/>
  <c r="BB405"/>
  <c r="BB411"/>
  <c r="BB412" s="1"/>
  <c r="BB407"/>
  <c r="S362"/>
  <c r="S365" s="1"/>
  <c r="S225"/>
  <c r="S100" i="29" s="1"/>
  <c r="S226" i="9"/>
  <c r="S387" s="1"/>
  <c r="S388" s="1"/>
  <c r="S343"/>
  <c r="S346" s="1"/>
  <c r="S349"/>
  <c r="S350" s="1"/>
  <c r="N362"/>
  <c r="N365" s="1"/>
  <c r="N367"/>
  <c r="N368" s="1"/>
  <c r="N343"/>
  <c r="N346" s="1"/>
  <c r="N349"/>
  <c r="N350" s="1"/>
  <c r="N381"/>
  <c r="N384" s="1"/>
  <c r="N387"/>
  <c r="N388" s="1"/>
  <c r="N394" s="1"/>
  <c r="N384" i="12" s="1"/>
  <c r="N385" s="1"/>
  <c r="N401" s="1"/>
  <c r="N403" s="1"/>
  <c r="AT362" i="9"/>
  <c r="AT365" s="1"/>
  <c r="AT367"/>
  <c r="AT368" s="1"/>
  <c r="AT364"/>
  <c r="AT343"/>
  <c r="AT346" s="1"/>
  <c r="AT349"/>
  <c r="AT350" s="1"/>
  <c r="AT345"/>
  <c r="AT381"/>
  <c r="AT384" s="1"/>
  <c r="AT387"/>
  <c r="AT388" s="1"/>
  <c r="AT394" s="1"/>
  <c r="AT384" i="12" s="1"/>
  <c r="AT385" s="1"/>
  <c r="AT401" s="1"/>
  <c r="AT403" s="1"/>
  <c r="AT383" i="9"/>
  <c r="M102" i="29"/>
  <c r="M308" i="9"/>
  <c r="M405"/>
  <c r="M411"/>
  <c r="M412" s="1"/>
  <c r="M407"/>
  <c r="M381"/>
  <c r="M384" s="1"/>
  <c r="M387"/>
  <c r="M388" s="1"/>
  <c r="M383"/>
  <c r="H384"/>
  <c r="H257"/>
  <c r="H346"/>
  <c r="AZ102" i="29"/>
  <c r="AZ308" i="9"/>
  <c r="AZ225"/>
  <c r="AZ100" i="29" s="1"/>
  <c r="AZ226" i="9"/>
  <c r="AZ349" s="1"/>
  <c r="AZ350" s="1"/>
  <c r="AZ343"/>
  <c r="AZ346" s="1"/>
  <c r="AZ345"/>
  <c r="AE102" i="29"/>
  <c r="AE308" i="9"/>
  <c r="AE343"/>
  <c r="AE346" s="1"/>
  <c r="AE349"/>
  <c r="AE350" s="1"/>
  <c r="AE345"/>
  <c r="AE381"/>
  <c r="AE384" s="1"/>
  <c r="AE387"/>
  <c r="AE388" s="1"/>
  <c r="AE383"/>
  <c r="T102" i="29"/>
  <c r="T308" i="9"/>
  <c r="T362"/>
  <c r="T365" s="1"/>
  <c r="T367"/>
  <c r="T368" s="1"/>
  <c r="T343"/>
  <c r="T346" s="1"/>
  <c r="T349"/>
  <c r="T350" s="1"/>
  <c r="AH102" i="29"/>
  <c r="AH308" i="9"/>
  <c r="AH225"/>
  <c r="AH100" i="29" s="1"/>
  <c r="AH226" i="9"/>
  <c r="AH349" s="1"/>
  <c r="AH350" s="1"/>
  <c r="AH381"/>
  <c r="AH384" s="1"/>
  <c r="AH383"/>
  <c r="L102" i="29"/>
  <c r="L308" i="9"/>
  <c r="L381"/>
  <c r="L384" s="1"/>
  <c r="L225"/>
  <c r="L100" i="29" s="1"/>
  <c r="L226" i="9"/>
  <c r="L367" s="1"/>
  <c r="L368" s="1"/>
  <c r="AG367"/>
  <c r="AG368" s="1"/>
  <c r="AB349"/>
  <c r="AB350" s="1"/>
  <c r="K311"/>
  <c r="AU408"/>
  <c r="BG408"/>
  <c r="AC408"/>
  <c r="J407"/>
  <c r="J345"/>
  <c r="J364"/>
  <c r="AB408"/>
  <c r="BA411"/>
  <c r="BA412" s="1"/>
  <c r="AQ411"/>
  <c r="AQ412" s="1"/>
  <c r="AR411"/>
  <c r="AR412" s="1"/>
  <c r="K411"/>
  <c r="K412" s="1"/>
  <c r="V256"/>
  <c r="U364"/>
  <c r="U407"/>
  <c r="W256"/>
  <c r="W345"/>
  <c r="W364"/>
  <c r="AG411"/>
  <c r="AG412" s="1"/>
  <c r="O256"/>
  <c r="O383"/>
  <c r="O407"/>
  <c r="H256"/>
  <c r="H364"/>
  <c r="Z408"/>
  <c r="AB389" l="1"/>
  <c r="I387"/>
  <c r="I388" s="1"/>
  <c r="AD411"/>
  <c r="AD412" s="1"/>
  <c r="T387"/>
  <c r="T388" s="1"/>
  <c r="K394"/>
  <c r="K384" i="12" s="1"/>
  <c r="K385" s="1"/>
  <c r="K401" s="1"/>
  <c r="K403" s="1"/>
  <c r="AR394" i="9"/>
  <c r="AR384" i="12" s="1"/>
  <c r="AR385" s="1"/>
  <c r="AR401" s="1"/>
  <c r="AR403" s="1"/>
  <c r="AS394" i="9"/>
  <c r="AS384" i="12" s="1"/>
  <c r="AS385" s="1"/>
  <c r="AS401" s="1"/>
  <c r="AS403" s="1"/>
  <c r="BE394" i="9"/>
  <c r="BE384" i="12" s="1"/>
  <c r="BE385" s="1"/>
  <c r="BE401" s="1"/>
  <c r="BE403" s="1"/>
  <c r="M394" i="9"/>
  <c r="M384" i="12" s="1"/>
  <c r="M385" s="1"/>
  <c r="M401" s="1"/>
  <c r="M403" s="1"/>
  <c r="L560"/>
  <c r="L561" s="1"/>
  <c r="L572" s="1"/>
  <c r="L574" s="1"/>
  <c r="L381"/>
  <c r="L382" s="1"/>
  <c r="L393" s="1"/>
  <c r="L395" s="1"/>
  <c r="L487"/>
  <c r="L488" s="1"/>
  <c r="L499" s="1"/>
  <c r="AH554"/>
  <c r="AH555" s="1"/>
  <c r="AH556" s="1"/>
  <c r="AH557" s="1"/>
  <c r="AH558" s="1"/>
  <c r="AH33" i="26" s="1"/>
  <c r="AH481" i="12"/>
  <c r="AH482" s="1"/>
  <c r="AH483" s="1"/>
  <c r="AH484" s="1"/>
  <c r="AH485" s="1"/>
  <c r="AH24" i="26" s="1"/>
  <c r="AW481" i="12"/>
  <c r="AW482" s="1"/>
  <c r="AW483" s="1"/>
  <c r="AW484" s="1"/>
  <c r="AW485" s="1"/>
  <c r="AW24" i="26" s="1"/>
  <c r="AW24" i="33" s="1"/>
  <c r="AW554" i="12"/>
  <c r="AW555" s="1"/>
  <c r="AW556" s="1"/>
  <c r="AW557" s="1"/>
  <c r="AW558" s="1"/>
  <c r="AW33" i="26" s="1"/>
  <c r="AW33" i="33" s="1"/>
  <c r="AF481" i="12"/>
  <c r="AF482" s="1"/>
  <c r="AF483" s="1"/>
  <c r="AF484" s="1"/>
  <c r="AF485" s="1"/>
  <c r="AF24" i="26" s="1"/>
  <c r="AF554" i="12"/>
  <c r="AF555" s="1"/>
  <c r="AF556" s="1"/>
  <c r="AF557" s="1"/>
  <c r="AF558" s="1"/>
  <c r="AF33" i="26" s="1"/>
  <c r="AL381" i="12"/>
  <c r="AL382" s="1"/>
  <c r="AL393" s="1"/>
  <c r="AL395" s="1"/>
  <c r="AL560"/>
  <c r="AL561" s="1"/>
  <c r="AL572" s="1"/>
  <c r="AL574" s="1"/>
  <c r="AL487"/>
  <c r="AL488" s="1"/>
  <c r="AL499" s="1"/>
  <c r="J560"/>
  <c r="J561" s="1"/>
  <c r="J572" s="1"/>
  <c r="J574" s="1"/>
  <c r="J381"/>
  <c r="J382" s="1"/>
  <c r="J393" s="1"/>
  <c r="J395" s="1"/>
  <c r="J487"/>
  <c r="J488" s="1"/>
  <c r="J499" s="1"/>
  <c r="AE560"/>
  <c r="AE561" s="1"/>
  <c r="AE572" s="1"/>
  <c r="AE574" s="1"/>
  <c r="AE381"/>
  <c r="AE382" s="1"/>
  <c r="AE393" s="1"/>
  <c r="AE395" s="1"/>
  <c r="AE487"/>
  <c r="AE488" s="1"/>
  <c r="AE499" s="1"/>
  <c r="AI381"/>
  <c r="AI382" s="1"/>
  <c r="AI393" s="1"/>
  <c r="AI395" s="1"/>
  <c r="AI560"/>
  <c r="AI561" s="1"/>
  <c r="AI572" s="1"/>
  <c r="AI574" s="1"/>
  <c r="AI487"/>
  <c r="AI488" s="1"/>
  <c r="AI499" s="1"/>
  <c r="BC560"/>
  <c r="BC561" s="1"/>
  <c r="BC572" s="1"/>
  <c r="BC574" s="1"/>
  <c r="BC381"/>
  <c r="BC382" s="1"/>
  <c r="BC393" s="1"/>
  <c r="BC395" s="1"/>
  <c r="BC487"/>
  <c r="BC488" s="1"/>
  <c r="BC499" s="1"/>
  <c r="O560"/>
  <c r="O561" s="1"/>
  <c r="O572" s="1"/>
  <c r="O574" s="1"/>
  <c r="O381"/>
  <c r="O382" s="1"/>
  <c r="O393" s="1"/>
  <c r="O395" s="1"/>
  <c r="O487"/>
  <c r="O488" s="1"/>
  <c r="O499" s="1"/>
  <c r="AA560"/>
  <c r="AA561" s="1"/>
  <c r="AA572" s="1"/>
  <c r="AA574" s="1"/>
  <c r="AA381"/>
  <c r="AA382" s="1"/>
  <c r="AA393" s="1"/>
  <c r="AA395" s="1"/>
  <c r="AA487"/>
  <c r="AA488" s="1"/>
  <c r="AA499" s="1"/>
  <c r="BH560"/>
  <c r="BH561" s="1"/>
  <c r="BH572" s="1"/>
  <c r="BH574" s="1"/>
  <c r="BH381"/>
  <c r="BH382" s="1"/>
  <c r="BH393" s="1"/>
  <c r="BH395" s="1"/>
  <c r="BH487"/>
  <c r="BH488" s="1"/>
  <c r="BH499" s="1"/>
  <c r="AG560"/>
  <c r="AG561" s="1"/>
  <c r="AG572" s="1"/>
  <c r="AG574" s="1"/>
  <c r="AG585" s="1"/>
  <c r="AG588" s="1"/>
  <c r="AG381"/>
  <c r="AG382" s="1"/>
  <c r="AG393" s="1"/>
  <c r="AG395" s="1"/>
  <c r="AG487"/>
  <c r="AG488" s="1"/>
  <c r="AG499" s="1"/>
  <c r="T481"/>
  <c r="T482" s="1"/>
  <c r="T483" s="1"/>
  <c r="T484" s="1"/>
  <c r="T485" s="1"/>
  <c r="T24" i="26" s="1"/>
  <c r="T24" i="33" s="1"/>
  <c r="T554" i="12"/>
  <c r="T555" s="1"/>
  <c r="T556" s="1"/>
  <c r="T557" s="1"/>
  <c r="T558" s="1"/>
  <c r="T33" i="26" s="1"/>
  <c r="T33" i="33" s="1"/>
  <c r="T309" i="9"/>
  <c r="T312" s="1"/>
  <c r="T323"/>
  <c r="T315"/>
  <c r="T311"/>
  <c r="AE309"/>
  <c r="AE312" s="1"/>
  <c r="AE323"/>
  <c r="AE315"/>
  <c r="AE311"/>
  <c r="M563" i="12"/>
  <c r="M564" s="1"/>
  <c r="M580" s="1"/>
  <c r="M582" s="1"/>
  <c r="M490"/>
  <c r="M491" s="1"/>
  <c r="M507" s="1"/>
  <c r="M408" i="9"/>
  <c r="AB554" i="12"/>
  <c r="AB555" s="1"/>
  <c r="AB556" s="1"/>
  <c r="AB557" s="1"/>
  <c r="AB558" s="1"/>
  <c r="AB33" i="26" s="1"/>
  <c r="AB481" i="12"/>
  <c r="AB482" s="1"/>
  <c r="AB483" s="1"/>
  <c r="AB484" s="1"/>
  <c r="AB485" s="1"/>
  <c r="AB24" i="26" s="1"/>
  <c r="L309" i="9"/>
  <c r="L312" s="1"/>
  <c r="L323"/>
  <c r="L315"/>
  <c r="L319" s="1"/>
  <c r="L311"/>
  <c r="AZ481" i="12"/>
  <c r="AZ482" s="1"/>
  <c r="AZ483" s="1"/>
  <c r="AZ484" s="1"/>
  <c r="AZ485" s="1"/>
  <c r="AZ24" i="26" s="1"/>
  <c r="AZ24" i="33" s="1"/>
  <c r="AZ554" i="12"/>
  <c r="AZ555" s="1"/>
  <c r="AZ556" s="1"/>
  <c r="AZ557" s="1"/>
  <c r="AZ558" s="1"/>
  <c r="AZ33" i="26" s="1"/>
  <c r="AZ33" i="33" s="1"/>
  <c r="AZ244" i="9"/>
  <c r="AZ351"/>
  <c r="AZ544" i="12"/>
  <c r="AZ545" s="1"/>
  <c r="AZ546" s="1"/>
  <c r="AZ547" s="1"/>
  <c r="AZ548" s="1"/>
  <c r="AZ32" i="26" s="1"/>
  <c r="AZ32" i="33" s="1"/>
  <c r="AZ241" i="9"/>
  <c r="AZ471" i="12"/>
  <c r="AZ472" s="1"/>
  <c r="AZ473" s="1"/>
  <c r="AZ474" s="1"/>
  <c r="AZ475" s="1"/>
  <c r="AZ23" i="26" s="1"/>
  <c r="AZ23" i="33" s="1"/>
  <c r="AZ234" i="9"/>
  <c r="AZ238"/>
  <c r="AZ227"/>
  <c r="AZ99" i="29" s="1"/>
  <c r="AZ228" i="9"/>
  <c r="AZ309"/>
  <c r="AZ312" s="1"/>
  <c r="AZ323"/>
  <c r="AZ328" s="1"/>
  <c r="AZ315"/>
  <c r="AZ311"/>
  <c r="M309"/>
  <c r="M312" s="1"/>
  <c r="M323"/>
  <c r="M315"/>
  <c r="M311"/>
  <c r="AT554" i="12"/>
  <c r="AT555" s="1"/>
  <c r="AT556" s="1"/>
  <c r="AT557" s="1"/>
  <c r="AT558" s="1"/>
  <c r="AT33" i="26" s="1"/>
  <c r="AT33" i="33" s="1"/>
  <c r="AT481" i="12"/>
  <c r="AT482" s="1"/>
  <c r="AT483" s="1"/>
  <c r="AT484" s="1"/>
  <c r="AT485" s="1"/>
  <c r="AT24" i="26" s="1"/>
  <c r="AT24" i="33" s="1"/>
  <c r="BB563" i="12"/>
  <c r="BB564" s="1"/>
  <c r="BB580" s="1"/>
  <c r="BB582" s="1"/>
  <c r="BB490"/>
  <c r="BB491" s="1"/>
  <c r="BB507" s="1"/>
  <c r="BB408" i="9"/>
  <c r="AJ389"/>
  <c r="AJ351"/>
  <c r="AJ234"/>
  <c r="AJ238"/>
  <c r="AJ244"/>
  <c r="AJ241"/>
  <c r="AJ390" s="1"/>
  <c r="AJ227"/>
  <c r="AJ99" i="29" s="1"/>
  <c r="AJ544" i="12"/>
  <c r="AJ545" s="1"/>
  <c r="AJ546" s="1"/>
  <c r="AJ547" s="1"/>
  <c r="AJ548" s="1"/>
  <c r="AJ32" i="26" s="1"/>
  <c r="AJ471" i="12"/>
  <c r="AJ472" s="1"/>
  <c r="AJ473" s="1"/>
  <c r="AJ474" s="1"/>
  <c r="AJ475" s="1"/>
  <c r="AJ23" i="26" s="1"/>
  <c r="AJ228" i="9"/>
  <c r="AO369"/>
  <c r="AO389"/>
  <c r="AO471" i="12"/>
  <c r="AO472" s="1"/>
  <c r="AO473" s="1"/>
  <c r="AO474" s="1"/>
  <c r="AO475" s="1"/>
  <c r="AO23" i="26" s="1"/>
  <c r="AO23" i="33" s="1"/>
  <c r="AO544" i="12"/>
  <c r="AO545" s="1"/>
  <c r="AO546" s="1"/>
  <c r="AO547" s="1"/>
  <c r="AO548" s="1"/>
  <c r="AO32" i="26" s="1"/>
  <c r="AO32" i="33" s="1"/>
  <c r="AO241" i="9"/>
  <c r="AO390" s="1"/>
  <c r="AO227"/>
  <c r="AO99" i="29" s="1"/>
  <c r="AO238" i="9"/>
  <c r="AO234"/>
  <c r="AO244"/>
  <c r="AO228"/>
  <c r="Q309"/>
  <c r="Q312" s="1"/>
  <c r="Q323"/>
  <c r="Q315"/>
  <c r="Q311"/>
  <c r="BD554" i="12"/>
  <c r="BD555" s="1"/>
  <c r="BD556" s="1"/>
  <c r="BD557" s="1"/>
  <c r="BD558" s="1"/>
  <c r="BD33" i="26" s="1"/>
  <c r="BD33" i="33" s="1"/>
  <c r="BD481" i="12"/>
  <c r="BD482" s="1"/>
  <c r="BD483" s="1"/>
  <c r="BD484" s="1"/>
  <c r="BD485" s="1"/>
  <c r="BD24" i="26" s="1"/>
  <c r="BD24" i="33" s="1"/>
  <c r="BD241" i="9"/>
  <c r="BD351"/>
  <c r="BD544" i="12"/>
  <c r="BD545" s="1"/>
  <c r="BD546" s="1"/>
  <c r="BD547" s="1"/>
  <c r="BD548" s="1"/>
  <c r="BD32" i="26" s="1"/>
  <c r="BD32" i="33" s="1"/>
  <c r="BD471" i="12"/>
  <c r="BD472" s="1"/>
  <c r="BD473" s="1"/>
  <c r="BD474" s="1"/>
  <c r="BD475" s="1"/>
  <c r="BD23" i="26" s="1"/>
  <c r="BD23" i="33" s="1"/>
  <c r="BD238" i="9"/>
  <c r="BD244"/>
  <c r="BD234"/>
  <c r="BD227"/>
  <c r="BD99" i="29" s="1"/>
  <c r="BD228" i="9"/>
  <c r="BD309"/>
  <c r="BD312" s="1"/>
  <c r="BD323"/>
  <c r="BD315"/>
  <c r="BD311"/>
  <c r="AK481" i="12"/>
  <c r="AK482" s="1"/>
  <c r="AK483" s="1"/>
  <c r="AK484" s="1"/>
  <c r="AK485" s="1"/>
  <c r="AK24" i="26" s="1"/>
  <c r="AK554" i="12"/>
  <c r="AK555" s="1"/>
  <c r="AK556" s="1"/>
  <c r="AK557" s="1"/>
  <c r="AK558" s="1"/>
  <c r="AK33" i="26" s="1"/>
  <c r="AI563" i="12"/>
  <c r="AI564" s="1"/>
  <c r="AI580" s="1"/>
  <c r="AI582" s="1"/>
  <c r="AI490"/>
  <c r="AI491" s="1"/>
  <c r="AI507" s="1"/>
  <c r="AI408" i="9"/>
  <c r="BF309"/>
  <c r="BF312" s="1"/>
  <c r="BF323"/>
  <c r="BF315"/>
  <c r="BF319" s="1"/>
  <c r="BF311"/>
  <c r="AS560" i="12"/>
  <c r="AS561" s="1"/>
  <c r="AS572" s="1"/>
  <c r="AS574" s="1"/>
  <c r="AS487"/>
  <c r="AS488" s="1"/>
  <c r="AS499" s="1"/>
  <c r="AS381"/>
  <c r="AS382" s="1"/>
  <c r="AS393" s="1"/>
  <c r="AS395" s="1"/>
  <c r="AS406" s="1"/>
  <c r="AS409" s="1"/>
  <c r="AS309" i="9"/>
  <c r="AS312" s="1"/>
  <c r="AS323"/>
  <c r="AS315"/>
  <c r="AS311"/>
  <c r="P554" i="12"/>
  <c r="P555" s="1"/>
  <c r="P556" s="1"/>
  <c r="P557" s="1"/>
  <c r="P558" s="1"/>
  <c r="P33" i="26" s="1"/>
  <c r="P33" i="33" s="1"/>
  <c r="P481" i="12"/>
  <c r="P482" s="1"/>
  <c r="P483" s="1"/>
  <c r="P484" s="1"/>
  <c r="P485" s="1"/>
  <c r="P24" i="26" s="1"/>
  <c r="P24" i="33" s="1"/>
  <c r="P351" i="9"/>
  <c r="P544" i="12"/>
  <c r="P545" s="1"/>
  <c r="P546" s="1"/>
  <c r="P547" s="1"/>
  <c r="P548" s="1"/>
  <c r="P32" i="26" s="1"/>
  <c r="P32" i="33" s="1"/>
  <c r="P471" i="12"/>
  <c r="P472" s="1"/>
  <c r="P473" s="1"/>
  <c r="P474" s="1"/>
  <c r="P475" s="1"/>
  <c r="P23" i="26" s="1"/>
  <c r="P23" i="33" s="1"/>
  <c r="P241" i="9"/>
  <c r="P234"/>
  <c r="P238"/>
  <c r="P244"/>
  <c r="P227"/>
  <c r="P99" i="29" s="1"/>
  <c r="P228" i="9"/>
  <c r="O309"/>
  <c r="O312" s="1"/>
  <c r="O323"/>
  <c r="O315"/>
  <c r="O311"/>
  <c r="BE563" i="12"/>
  <c r="BE564" s="1"/>
  <c r="BE580" s="1"/>
  <c r="BE582" s="1"/>
  <c r="BE490"/>
  <c r="BE491" s="1"/>
  <c r="BE507" s="1"/>
  <c r="BE408" i="9"/>
  <c r="AV563" i="12"/>
  <c r="AV564" s="1"/>
  <c r="AV580" s="1"/>
  <c r="AV582" s="1"/>
  <c r="AV490"/>
  <c r="AV491" s="1"/>
  <c r="AV507" s="1"/>
  <c r="AV408" i="9"/>
  <c r="AV413"/>
  <c r="AV471" i="12"/>
  <c r="AV472" s="1"/>
  <c r="AV473" s="1"/>
  <c r="AV474" s="1"/>
  <c r="AV475" s="1"/>
  <c r="AV23" i="26" s="1"/>
  <c r="AV23" i="33" s="1"/>
  <c r="AV544" i="12"/>
  <c r="AV545" s="1"/>
  <c r="AV546" s="1"/>
  <c r="AV547" s="1"/>
  <c r="AV548" s="1"/>
  <c r="AV32" i="26" s="1"/>
  <c r="AV32" i="33" s="1"/>
  <c r="AV234" i="9"/>
  <c r="AV238"/>
  <c r="AV244"/>
  <c r="AV241"/>
  <c r="AV227"/>
  <c r="AV99" i="29" s="1"/>
  <c r="AV228" i="9"/>
  <c r="AV309"/>
  <c r="AV312" s="1"/>
  <c r="AV323"/>
  <c r="AV315"/>
  <c r="AV311"/>
  <c r="W309"/>
  <c r="W312" s="1"/>
  <c r="W323"/>
  <c r="W315"/>
  <c r="W311"/>
  <c r="U481" i="12"/>
  <c r="U482" s="1"/>
  <c r="U483" s="1"/>
  <c r="U484" s="1"/>
  <c r="U485" s="1"/>
  <c r="U24" i="26" s="1"/>
  <c r="U24" i="33" s="1"/>
  <c r="U554" i="12"/>
  <c r="U555" s="1"/>
  <c r="U556" s="1"/>
  <c r="U557" s="1"/>
  <c r="U558" s="1"/>
  <c r="U33" i="26" s="1"/>
  <c r="U33" i="33" s="1"/>
  <c r="U351" i="9"/>
  <c r="U544" i="12"/>
  <c r="U545" s="1"/>
  <c r="U546" s="1"/>
  <c r="U547" s="1"/>
  <c r="U548" s="1"/>
  <c r="U32" i="26" s="1"/>
  <c r="U32" i="33" s="1"/>
  <c r="U241" i="9"/>
  <c r="U244"/>
  <c r="U471" i="12"/>
  <c r="U472" s="1"/>
  <c r="U473" s="1"/>
  <c r="U474" s="1"/>
  <c r="U475" s="1"/>
  <c r="U23" i="26" s="1"/>
  <c r="U23" i="33" s="1"/>
  <c r="U238" i="9"/>
  <c r="U234"/>
  <c r="U227"/>
  <c r="U99" i="29" s="1"/>
  <c r="U228" i="9"/>
  <c r="Y563" i="12"/>
  <c r="Y564" s="1"/>
  <c r="Y580" s="1"/>
  <c r="Y582" s="1"/>
  <c r="Y490"/>
  <c r="Y491" s="1"/>
  <c r="Y507" s="1"/>
  <c r="Y408" i="9"/>
  <c r="Y413"/>
  <c r="Y244"/>
  <c r="Y234"/>
  <c r="Y238"/>
  <c r="Y544" i="12"/>
  <c r="Y545" s="1"/>
  <c r="Y546" s="1"/>
  <c r="Y547" s="1"/>
  <c r="Y548" s="1"/>
  <c r="Y32" i="26" s="1"/>
  <c r="Y241" i="9"/>
  <c r="Y471" i="12"/>
  <c r="Y472" s="1"/>
  <c r="Y473" s="1"/>
  <c r="Y474" s="1"/>
  <c r="Y475" s="1"/>
  <c r="Y23" i="26" s="1"/>
  <c r="Y227" i="9"/>
  <c r="Y99" i="29" s="1"/>
  <c r="Y228" i="9"/>
  <c r="Y309"/>
  <c r="Y312" s="1"/>
  <c r="Y323"/>
  <c r="Y315"/>
  <c r="Y319" s="1"/>
  <c r="Y311"/>
  <c r="AY351"/>
  <c r="AY544" i="12"/>
  <c r="AY545" s="1"/>
  <c r="AY546" s="1"/>
  <c r="AY547" s="1"/>
  <c r="AY548" s="1"/>
  <c r="AY32" i="26" s="1"/>
  <c r="AY32" i="33" s="1"/>
  <c r="AY471" i="12"/>
  <c r="AY472" s="1"/>
  <c r="AY473" s="1"/>
  <c r="AY474" s="1"/>
  <c r="AY475" s="1"/>
  <c r="AY23" i="26" s="1"/>
  <c r="AY23" i="33" s="1"/>
  <c r="AY244" i="9"/>
  <c r="AY241"/>
  <c r="AY234"/>
  <c r="AY238"/>
  <c r="AY227"/>
  <c r="AY99" i="29" s="1"/>
  <c r="AY228" i="9"/>
  <c r="AA309"/>
  <c r="AA312" s="1"/>
  <c r="AA323"/>
  <c r="AA328" s="1"/>
  <c r="AA315"/>
  <c r="AA311"/>
  <c r="AN241"/>
  <c r="AN471" i="12"/>
  <c r="AN472" s="1"/>
  <c r="AN473" s="1"/>
  <c r="AN474" s="1"/>
  <c r="AN475" s="1"/>
  <c r="AN23" i="26" s="1"/>
  <c r="AN23" i="33" s="1"/>
  <c r="AN544" i="12"/>
  <c r="AN545" s="1"/>
  <c r="AN546" s="1"/>
  <c r="AN547" s="1"/>
  <c r="AN548" s="1"/>
  <c r="AN32" i="26" s="1"/>
  <c r="AN32" i="33" s="1"/>
  <c r="AN234" i="9"/>
  <c r="AN227"/>
  <c r="AN99" i="29" s="1"/>
  <c r="AN244" i="9"/>
  <c r="AN238"/>
  <c r="AN228"/>
  <c r="BH309"/>
  <c r="BH312" s="1"/>
  <c r="BH323"/>
  <c r="BH328" s="1"/>
  <c r="BH315"/>
  <c r="BH311"/>
  <c r="AM563" i="12"/>
  <c r="AM564" s="1"/>
  <c r="AM580" s="1"/>
  <c r="AM582" s="1"/>
  <c r="AM490"/>
  <c r="AM491" s="1"/>
  <c r="AM507" s="1"/>
  <c r="AM408" i="9"/>
  <c r="AM413"/>
  <c r="AM241"/>
  <c r="AM234"/>
  <c r="AM238"/>
  <c r="AM244"/>
  <c r="AM227"/>
  <c r="AM99" i="29" s="1"/>
  <c r="AM471" i="12"/>
  <c r="AM472" s="1"/>
  <c r="AM473" s="1"/>
  <c r="AM474" s="1"/>
  <c r="AM475" s="1"/>
  <c r="AM23" i="26" s="1"/>
  <c r="AM544" i="12"/>
  <c r="AM545" s="1"/>
  <c r="AM546" s="1"/>
  <c r="AM547" s="1"/>
  <c r="AM548" s="1"/>
  <c r="AM32" i="26" s="1"/>
  <c r="AM228" i="9"/>
  <c r="AM309"/>
  <c r="AM312" s="1"/>
  <c r="AM323"/>
  <c r="AM328" s="1"/>
  <c r="AM315"/>
  <c r="AM311"/>
  <c r="AC32" i="34"/>
  <c r="AB32" i="33"/>
  <c r="AB525" i="12"/>
  <c r="AB370" i="9"/>
  <c r="AG32" i="33"/>
  <c r="AH32" i="34"/>
  <c r="CL32" i="33" s="1"/>
  <c r="AG23"/>
  <c r="AH23" i="34"/>
  <c r="CL23" i="33" s="1"/>
  <c r="AG382" i="9"/>
  <c r="AG522" i="12"/>
  <c r="AG406" i="9"/>
  <c r="AG344"/>
  <c r="AG363"/>
  <c r="AG310"/>
  <c r="AG235"/>
  <c r="AG528" i="12"/>
  <c r="AG414" i="9"/>
  <c r="AU13" i="26"/>
  <c r="AU13" i="33" s="1"/>
  <c r="AU509" i="12"/>
  <c r="AX501"/>
  <c r="AX509"/>
  <c r="AD563"/>
  <c r="AD564" s="1"/>
  <c r="AD580" s="1"/>
  <c r="AD582" s="1"/>
  <c r="AD490"/>
  <c r="AD491" s="1"/>
  <c r="AD507" s="1"/>
  <c r="AD408" i="9"/>
  <c r="AD413"/>
  <c r="AD369"/>
  <c r="AD244"/>
  <c r="AD234"/>
  <c r="AD238"/>
  <c r="AD241"/>
  <c r="AD227"/>
  <c r="AD99" i="29" s="1"/>
  <c r="AD544" i="12"/>
  <c r="AD545" s="1"/>
  <c r="AD546" s="1"/>
  <c r="AD547" s="1"/>
  <c r="AD548" s="1"/>
  <c r="AD32" i="26" s="1"/>
  <c r="AD471" i="12"/>
  <c r="AD472" s="1"/>
  <c r="AD473" s="1"/>
  <c r="AD474" s="1"/>
  <c r="AD475" s="1"/>
  <c r="AD23" i="26" s="1"/>
  <c r="AD228" i="9"/>
  <c r="BI481" i="12"/>
  <c r="BI482" s="1"/>
  <c r="BI483" s="1"/>
  <c r="BI554"/>
  <c r="BI555" s="1"/>
  <c r="BI556" s="1"/>
  <c r="BI544"/>
  <c r="BI545" s="1"/>
  <c r="BI546" s="1"/>
  <c r="BI241" i="9"/>
  <c r="BI351"/>
  <c r="BI471" i="12"/>
  <c r="BI472" s="1"/>
  <c r="BI473" s="1"/>
  <c r="BI238" i="9"/>
  <c r="BI234"/>
  <c r="BI244"/>
  <c r="BI227"/>
  <c r="BI99" i="29" s="1"/>
  <c r="BI228" i="9"/>
  <c r="BI309"/>
  <c r="BI312" s="1"/>
  <c r="BI323"/>
  <c r="BI315"/>
  <c r="BI311"/>
  <c r="X554" i="12"/>
  <c r="X555" s="1"/>
  <c r="X556" s="1"/>
  <c r="X557" s="1"/>
  <c r="X558" s="1"/>
  <c r="X33" i="26" s="1"/>
  <c r="X481" i="12"/>
  <c r="X482" s="1"/>
  <c r="X483" s="1"/>
  <c r="X484" s="1"/>
  <c r="X485" s="1"/>
  <c r="X24" i="26" s="1"/>
  <c r="X309" i="9"/>
  <c r="X312" s="1"/>
  <c r="X323"/>
  <c r="X328" s="1"/>
  <c r="X315"/>
  <c r="X311"/>
  <c r="AP389"/>
  <c r="AP544" i="12"/>
  <c r="AP545" s="1"/>
  <c r="AP546" s="1"/>
  <c r="AP547" s="1"/>
  <c r="AP548" s="1"/>
  <c r="AP32" i="26" s="1"/>
  <c r="AP32" i="33" s="1"/>
  <c r="AP471" i="12"/>
  <c r="AP472" s="1"/>
  <c r="AP473" s="1"/>
  <c r="AP474" s="1"/>
  <c r="AP475" s="1"/>
  <c r="AP23" i="26" s="1"/>
  <c r="AP23" i="33" s="1"/>
  <c r="AP234" i="9"/>
  <c r="AP241"/>
  <c r="AP390" s="1"/>
  <c r="AP238"/>
  <c r="AP244"/>
  <c r="AP227"/>
  <c r="AP99" i="29" s="1"/>
  <c r="AP228" i="9"/>
  <c r="J309"/>
  <c r="J312" s="1"/>
  <c r="J323"/>
  <c r="J315"/>
  <c r="J319" s="1"/>
  <c r="J311"/>
  <c r="R563" i="12"/>
  <c r="R564" s="1"/>
  <c r="R580" s="1"/>
  <c r="R582" s="1"/>
  <c r="R490"/>
  <c r="R491" s="1"/>
  <c r="R507" s="1"/>
  <c r="R413" i="9"/>
  <c r="R234"/>
  <c r="R238"/>
  <c r="R471" i="12"/>
  <c r="R472" s="1"/>
  <c r="R473" s="1"/>
  <c r="R474" s="1"/>
  <c r="R475" s="1"/>
  <c r="R23" i="26" s="1"/>
  <c r="R23" i="33" s="1"/>
  <c r="R544" i="12"/>
  <c r="R545" s="1"/>
  <c r="R546" s="1"/>
  <c r="R547" s="1"/>
  <c r="R548" s="1"/>
  <c r="R32" i="26" s="1"/>
  <c r="R32" i="33" s="1"/>
  <c r="R244" i="9"/>
  <c r="R241"/>
  <c r="R227"/>
  <c r="R99" i="29" s="1"/>
  <c r="R228" i="9"/>
  <c r="K331"/>
  <c r="K324"/>
  <c r="K325"/>
  <c r="AU481" i="12"/>
  <c r="AU482" s="1"/>
  <c r="AU483" s="1"/>
  <c r="AU484" s="1"/>
  <c r="AU485" s="1"/>
  <c r="AU24" i="26" s="1"/>
  <c r="AU24" i="33" s="1"/>
  <c r="AU554" i="12"/>
  <c r="AU555" s="1"/>
  <c r="AU556" s="1"/>
  <c r="AU557" s="1"/>
  <c r="AU558" s="1"/>
  <c r="AU33" i="26" s="1"/>
  <c r="AU33" i="33" s="1"/>
  <c r="K560" i="12"/>
  <c r="K561" s="1"/>
  <c r="K572" s="1"/>
  <c r="K574" s="1"/>
  <c r="K585" s="1"/>
  <c r="K588" s="1"/>
  <c r="K381"/>
  <c r="K382" s="1"/>
  <c r="K393" s="1"/>
  <c r="K395" s="1"/>
  <c r="K487"/>
  <c r="K488" s="1"/>
  <c r="K499" s="1"/>
  <c r="AR560"/>
  <c r="AR561" s="1"/>
  <c r="AR572" s="1"/>
  <c r="AR574" s="1"/>
  <c r="AR585" s="1"/>
  <c r="AR588" s="1"/>
  <c r="AR381"/>
  <c r="AR382" s="1"/>
  <c r="AR393" s="1"/>
  <c r="AR395" s="1"/>
  <c r="AR406" s="1"/>
  <c r="AR409" s="1"/>
  <c r="AR487"/>
  <c r="AR488" s="1"/>
  <c r="AR499" s="1"/>
  <c r="Z381"/>
  <c r="Z382" s="1"/>
  <c r="Z393" s="1"/>
  <c r="Z395" s="1"/>
  <c r="Z560"/>
  <c r="Z561" s="1"/>
  <c r="Z572" s="1"/>
  <c r="Z574" s="1"/>
  <c r="Z585" s="1"/>
  <c r="Z588" s="1"/>
  <c r="Z487"/>
  <c r="Z488" s="1"/>
  <c r="Z499" s="1"/>
  <c r="AQ560"/>
  <c r="AQ561" s="1"/>
  <c r="AQ572" s="1"/>
  <c r="AQ574" s="1"/>
  <c r="AQ585" s="1"/>
  <c r="AQ588" s="1"/>
  <c r="AQ381"/>
  <c r="AQ382" s="1"/>
  <c r="AQ393" s="1"/>
  <c r="AQ395" s="1"/>
  <c r="AQ487"/>
  <c r="AQ488" s="1"/>
  <c r="AQ499" s="1"/>
  <c r="BA560"/>
  <c r="BA561" s="1"/>
  <c r="BA572" s="1"/>
  <c r="BA574" s="1"/>
  <c r="BA585" s="1"/>
  <c r="BA588" s="1"/>
  <c r="BA381"/>
  <c r="BA382" s="1"/>
  <c r="BA393" s="1"/>
  <c r="BA395" s="1"/>
  <c r="BA406" s="1"/>
  <c r="BA409" s="1"/>
  <c r="BA487"/>
  <c r="BA488" s="1"/>
  <c r="BA499" s="1"/>
  <c r="L563"/>
  <c r="L564" s="1"/>
  <c r="L580" s="1"/>
  <c r="L582" s="1"/>
  <c r="L490"/>
  <c r="L491" s="1"/>
  <c r="L507" s="1"/>
  <c r="AZ563"/>
  <c r="AZ564" s="1"/>
  <c r="AZ580" s="1"/>
  <c r="AZ582" s="1"/>
  <c r="AZ490"/>
  <c r="AZ491" s="1"/>
  <c r="AZ507" s="1"/>
  <c r="AZ408" i="9"/>
  <c r="M389"/>
  <c r="M413"/>
  <c r="M369"/>
  <c r="M328"/>
  <c r="M319"/>
  <c r="M241"/>
  <c r="M390" s="1"/>
  <c r="M471" i="12"/>
  <c r="M472" s="1"/>
  <c r="M473" s="1"/>
  <c r="M474" s="1"/>
  <c r="M475" s="1"/>
  <c r="M23" i="26" s="1"/>
  <c r="M23" i="33" s="1"/>
  <c r="M544" i="12"/>
  <c r="M545" s="1"/>
  <c r="M546" s="1"/>
  <c r="M547" s="1"/>
  <c r="M548" s="1"/>
  <c r="M32" i="26" s="1"/>
  <c r="M32" i="33" s="1"/>
  <c r="M234" i="9"/>
  <c r="M238"/>
  <c r="M244"/>
  <c r="M227"/>
  <c r="M99" i="29" s="1"/>
  <c r="M228" i="9"/>
  <c r="AT563" i="12"/>
  <c r="AT564" s="1"/>
  <c r="AT580" s="1"/>
  <c r="AT582" s="1"/>
  <c r="AT490"/>
  <c r="AT491" s="1"/>
  <c r="AT507" s="1"/>
  <c r="AT408" i="9"/>
  <c r="AT413"/>
  <c r="AT351"/>
  <c r="AT369"/>
  <c r="AT389"/>
  <c r="AT471" i="12"/>
  <c r="AT472" s="1"/>
  <c r="AT473" s="1"/>
  <c r="AT474" s="1"/>
  <c r="AT475" s="1"/>
  <c r="AT23" i="26" s="1"/>
  <c r="AT23" i="33" s="1"/>
  <c r="AT234" i="9"/>
  <c r="AT544" i="12"/>
  <c r="AT545" s="1"/>
  <c r="AT546" s="1"/>
  <c r="AT547" s="1"/>
  <c r="AT548" s="1"/>
  <c r="AT32" i="26" s="1"/>
  <c r="AT32" i="33" s="1"/>
  <c r="AT244" i="9"/>
  <c r="AT238"/>
  <c r="AT241"/>
  <c r="AT390" s="1"/>
  <c r="AT227"/>
  <c r="AT99" i="29" s="1"/>
  <c r="AT228" i="9"/>
  <c r="AT309"/>
  <c r="AT312" s="1"/>
  <c r="AT323"/>
  <c r="AT328" s="1"/>
  <c r="AT315"/>
  <c r="AT311"/>
  <c r="AB316"/>
  <c r="AB317"/>
  <c r="AB320" s="1"/>
  <c r="AG316"/>
  <c r="AG317"/>
  <c r="AG320" s="1"/>
  <c r="AU316"/>
  <c r="AU317"/>
  <c r="AU320" s="1"/>
  <c r="AU528" i="12"/>
  <c r="AU529" s="1"/>
  <c r="AU414" i="9"/>
  <c r="AU525" i="12"/>
  <c r="AU370" i="9"/>
  <c r="AX316"/>
  <c r="AX317"/>
  <c r="AX320" s="1"/>
  <c r="AX528" i="12"/>
  <c r="AX529" s="1"/>
  <c r="AX414" i="9"/>
  <c r="AX363"/>
  <c r="AX406"/>
  <c r="AX382"/>
  <c r="AX310"/>
  <c r="AX344"/>
  <c r="AX522" i="12"/>
  <c r="AX235" i="9"/>
  <c r="N309"/>
  <c r="N312" s="1"/>
  <c r="N323"/>
  <c r="N315"/>
  <c r="N311"/>
  <c r="S563" i="12"/>
  <c r="S564" s="1"/>
  <c r="S580" s="1"/>
  <c r="S582" s="1"/>
  <c r="S490"/>
  <c r="S491" s="1"/>
  <c r="S507" s="1"/>
  <c r="S309" i="9"/>
  <c r="S312" s="1"/>
  <c r="S323"/>
  <c r="S328" s="1"/>
  <c r="S315"/>
  <c r="S311"/>
  <c r="AJ563" i="12"/>
  <c r="AJ564" s="1"/>
  <c r="AJ580" s="1"/>
  <c r="AJ582" s="1"/>
  <c r="AJ490"/>
  <c r="AJ491" s="1"/>
  <c r="AJ507" s="1"/>
  <c r="AJ408" i="9"/>
  <c r="AO563" i="12"/>
  <c r="AO564" s="1"/>
  <c r="AO580" s="1"/>
  <c r="AO582" s="1"/>
  <c r="AO490"/>
  <c r="AO491" s="1"/>
  <c r="AO507" s="1"/>
  <c r="AO408" i="9"/>
  <c r="V309"/>
  <c r="V312" s="1"/>
  <c r="V323"/>
  <c r="V315"/>
  <c r="V311"/>
  <c r="AC316"/>
  <c r="AC317"/>
  <c r="BD563" i="12"/>
  <c r="BD564" s="1"/>
  <c r="BD580" s="1"/>
  <c r="BD582" s="1"/>
  <c r="BD490"/>
  <c r="BD491" s="1"/>
  <c r="BD507" s="1"/>
  <c r="BD408" i="9"/>
  <c r="AK563" i="12"/>
  <c r="AK564" s="1"/>
  <c r="AK580" s="1"/>
  <c r="AK582" s="1"/>
  <c r="AK490"/>
  <c r="AK491" s="1"/>
  <c r="AK507" s="1"/>
  <c r="AK408" i="9"/>
  <c r="AK413"/>
  <c r="AK369"/>
  <c r="AK389"/>
  <c r="AK351"/>
  <c r="AK238"/>
  <c r="AK234"/>
  <c r="AK227"/>
  <c r="AK99" i="29" s="1"/>
  <c r="AK244" i="9"/>
  <c r="AK241"/>
  <c r="AK390" s="1"/>
  <c r="AK471" i="12"/>
  <c r="AK472" s="1"/>
  <c r="AK473" s="1"/>
  <c r="AK474" s="1"/>
  <c r="AK475" s="1"/>
  <c r="AK23" i="26" s="1"/>
  <c r="AK544" i="12"/>
  <c r="AK545" s="1"/>
  <c r="AK546" s="1"/>
  <c r="AK547" s="1"/>
  <c r="AK548" s="1"/>
  <c r="AK32" i="26" s="1"/>
  <c r="AK228" i="9"/>
  <c r="AK309"/>
  <c r="AK312" s="1"/>
  <c r="AK323"/>
  <c r="AK328" s="1"/>
  <c r="AK315"/>
  <c r="AK311"/>
  <c r="AY563" i="12"/>
  <c r="AY564" s="1"/>
  <c r="AY580" s="1"/>
  <c r="AY582" s="1"/>
  <c r="AY490"/>
  <c r="AY491" s="1"/>
  <c r="AY507" s="1"/>
  <c r="AY408" i="9"/>
  <c r="AD309"/>
  <c r="AD312" s="1"/>
  <c r="AD323"/>
  <c r="AD315"/>
  <c r="AD311"/>
  <c r="BI563" i="12"/>
  <c r="BI564" s="1"/>
  <c r="BI580" s="1"/>
  <c r="BI582" s="1"/>
  <c r="BI490"/>
  <c r="BI491" s="1"/>
  <c r="BI507" s="1"/>
  <c r="BI408" i="9"/>
  <c r="X369"/>
  <c r="X389"/>
  <c r="X351"/>
  <c r="X413"/>
  <c r="X319"/>
  <c r="X234"/>
  <c r="X244"/>
  <c r="X238"/>
  <c r="X241"/>
  <c r="X390" s="1"/>
  <c r="X471" i="12"/>
  <c r="X472" s="1"/>
  <c r="X473" s="1"/>
  <c r="X474" s="1"/>
  <c r="X475" s="1"/>
  <c r="X23" i="26" s="1"/>
  <c r="X227" i="9"/>
  <c r="X99" i="29" s="1"/>
  <c r="X544" i="12"/>
  <c r="X545" s="1"/>
  <c r="X546" s="1"/>
  <c r="X547" s="1"/>
  <c r="X548" s="1"/>
  <c r="X32" i="26" s="1"/>
  <c r="X228" i="9"/>
  <c r="K414"/>
  <c r="K528" i="12"/>
  <c r="K529" s="1"/>
  <c r="AR331" i="9"/>
  <c r="AR324"/>
  <c r="AR325"/>
  <c r="AR406"/>
  <c r="AR344"/>
  <c r="AR310"/>
  <c r="AR382"/>
  <c r="AR522" i="12"/>
  <c r="AR363" i="9"/>
  <c r="AR235"/>
  <c r="AR525" i="12"/>
  <c r="AR370" i="9"/>
  <c r="Z331"/>
  <c r="Z324"/>
  <c r="Z325"/>
  <c r="Z370"/>
  <c r="Z525" i="12"/>
  <c r="Z23" i="33"/>
  <c r="J23" i="34"/>
  <c r="BN23" i="33" s="1"/>
  <c r="Z509" i="12"/>
  <c r="AC32" i="33"/>
  <c r="AS32" i="34"/>
  <c r="AC525" i="12"/>
  <c r="AC370" i="9"/>
  <c r="AC509" i="12"/>
  <c r="BG324" i="9"/>
  <c r="BG331"/>
  <c r="BG325"/>
  <c r="BG329" s="1"/>
  <c r="BG528" i="12"/>
  <c r="BG529" s="1"/>
  <c r="BG414" i="9"/>
  <c r="BG509" i="12"/>
  <c r="AQ331" i="9"/>
  <c r="AQ324"/>
  <c r="AQ325"/>
  <c r="AQ329" s="1"/>
  <c r="AQ370"/>
  <c r="AQ525" i="12"/>
  <c r="BA324" i="9"/>
  <c r="BA331"/>
  <c r="BA325"/>
  <c r="BA528" i="12"/>
  <c r="BA414" i="9"/>
  <c r="AG24" i="33"/>
  <c r="AH24" i="34"/>
  <c r="CL24" i="33" s="1"/>
  <c r="AB526" i="12"/>
  <c r="AB501"/>
  <c r="AH387" i="9"/>
  <c r="AH388" s="1"/>
  <c r="AG394"/>
  <c r="AG384" i="12" s="1"/>
  <c r="AG385" s="1"/>
  <c r="AG401" s="1"/>
  <c r="AG403" s="1"/>
  <c r="L387" i="9"/>
  <c r="L388" s="1"/>
  <c r="L394" s="1"/>
  <c r="L384" i="12" s="1"/>
  <c r="L385" s="1"/>
  <c r="L401" s="1"/>
  <c r="L403" s="1"/>
  <c r="AE394" i="9"/>
  <c r="AE384" i="12" s="1"/>
  <c r="AE385" s="1"/>
  <c r="AE401" s="1"/>
  <c r="AE403" s="1"/>
  <c r="S367" i="9"/>
  <c r="S368" s="1"/>
  <c r="S394" s="1"/>
  <c r="S384" i="12" s="1"/>
  <c r="S385" s="1"/>
  <c r="S401" s="1"/>
  <c r="S403" s="1"/>
  <c r="BB394" i="9"/>
  <c r="BB384" i="12" s="1"/>
  <c r="BB385" s="1"/>
  <c r="BB401" s="1"/>
  <c r="BB403" s="1"/>
  <c r="AO394" i="9"/>
  <c r="AO384" i="12" s="1"/>
  <c r="AO385" s="1"/>
  <c r="AO401" s="1"/>
  <c r="AO403" s="1"/>
  <c r="BC411" i="9"/>
  <c r="BC412" s="1"/>
  <c r="BF349"/>
  <c r="BF350" s="1"/>
  <c r="O411"/>
  <c r="O412" s="1"/>
  <c r="AW411"/>
  <c r="AW412" s="1"/>
  <c r="W349"/>
  <c r="W350" s="1"/>
  <c r="W351" s="1"/>
  <c r="AA349"/>
  <c r="AA350" s="1"/>
  <c r="AA351" s="1"/>
  <c r="AN411"/>
  <c r="AN412" s="1"/>
  <c r="BH387"/>
  <c r="BH388" s="1"/>
  <c r="BH394" s="1"/>
  <c r="BH384" i="12" s="1"/>
  <c r="BH385" s="1"/>
  <c r="BH401" s="1"/>
  <c r="BH403" s="1"/>
  <c r="AL411" i="9"/>
  <c r="AL412" s="1"/>
  <c r="AG369"/>
  <c r="AX585" i="12"/>
  <c r="AX588" s="1"/>
  <c r="J411" i="9"/>
  <c r="J412" s="1"/>
  <c r="R408"/>
  <c r="Z394"/>
  <c r="Z384" i="12" s="1"/>
  <c r="Z385" s="1"/>
  <c r="Z401" s="1"/>
  <c r="Z403" s="1"/>
  <c r="AC394" i="9"/>
  <c r="AC384" i="12" s="1"/>
  <c r="AC385" s="1"/>
  <c r="AC401" s="1"/>
  <c r="AC403" s="1"/>
  <c r="BG394" i="9"/>
  <c r="BG384" i="12" s="1"/>
  <c r="BG385" s="1"/>
  <c r="BG401" s="1"/>
  <c r="BG403" s="1"/>
  <c r="AQ394" i="9"/>
  <c r="AQ384" i="12" s="1"/>
  <c r="AQ385" s="1"/>
  <c r="AQ401" s="1"/>
  <c r="AQ403" s="1"/>
  <c r="L349" i="9"/>
  <c r="L350" s="1"/>
  <c r="L351" s="1"/>
  <c r="AH411"/>
  <c r="AH412" s="1"/>
  <c r="AE411"/>
  <c r="AE412" s="1"/>
  <c r="M349"/>
  <c r="M350" s="1"/>
  <c r="AU319"/>
  <c r="AX319"/>
  <c r="BC387"/>
  <c r="BC388" s="1"/>
  <c r="BC394" s="1"/>
  <c r="BC384" i="12" s="1"/>
  <c r="BC385" s="1"/>
  <c r="BC401" s="1"/>
  <c r="BC403" s="1"/>
  <c r="BF411" i="9"/>
  <c r="BF412" s="1"/>
  <c r="P411"/>
  <c r="P412" s="1"/>
  <c r="O387"/>
  <c r="O388" s="1"/>
  <c r="O394" s="1"/>
  <c r="O384" i="12" s="1"/>
  <c r="O385" s="1"/>
  <c r="O401" s="1"/>
  <c r="O403" s="1"/>
  <c r="O349" i="9"/>
  <c r="O350" s="1"/>
  <c r="O351" s="1"/>
  <c r="AV387"/>
  <c r="AV388" s="1"/>
  <c r="AV367"/>
  <c r="AV368" s="1"/>
  <c r="AF411"/>
  <c r="AF412" s="1"/>
  <c r="U411"/>
  <c r="U412" s="1"/>
  <c r="Y367"/>
  <c r="Y368" s="1"/>
  <c r="AA387"/>
  <c r="AA388" s="1"/>
  <c r="AA394" s="1"/>
  <c r="AA384" i="12" s="1"/>
  <c r="AA385" s="1"/>
  <c r="AA401" s="1"/>
  <c r="AA403" s="1"/>
  <c r="AA411" i="9"/>
  <c r="AA412" s="1"/>
  <c r="AN349"/>
  <c r="AN350" s="1"/>
  <c r="BH349"/>
  <c r="BH350" s="1"/>
  <c r="BH351" s="1"/>
  <c r="BH411"/>
  <c r="BH412" s="1"/>
  <c r="AM349"/>
  <c r="AM350" s="1"/>
  <c r="AL387"/>
  <c r="AL388" s="1"/>
  <c r="AL394" s="1"/>
  <c r="AL384" i="12" s="1"/>
  <c r="AL385" s="1"/>
  <c r="AL401" s="1"/>
  <c r="AL403" s="1"/>
  <c r="AD349" i="9"/>
  <c r="AD350" s="1"/>
  <c r="AD351" s="1"/>
  <c r="X394"/>
  <c r="X384" i="12" s="1"/>
  <c r="X385" s="1"/>
  <c r="X401" s="1"/>
  <c r="X403" s="1"/>
  <c r="AP349" i="9"/>
  <c r="AP350" s="1"/>
  <c r="AP411"/>
  <c r="AP412" s="1"/>
  <c r="AP367"/>
  <c r="AP368" s="1"/>
  <c r="AP394" s="1"/>
  <c r="AP384" i="12" s="1"/>
  <c r="AP385" s="1"/>
  <c r="AP401" s="1"/>
  <c r="AP403" s="1"/>
  <c r="J387" i="9"/>
  <c r="J388" s="1"/>
  <c r="J394" s="1"/>
  <c r="J384" i="12" s="1"/>
  <c r="J385" s="1"/>
  <c r="J401" s="1"/>
  <c r="J403" s="1"/>
  <c r="J349" i="9"/>
  <c r="J350" s="1"/>
  <c r="R387"/>
  <c r="R388" s="1"/>
  <c r="R349"/>
  <c r="R350" s="1"/>
  <c r="R367"/>
  <c r="R368" s="1"/>
  <c r="K413"/>
  <c r="K389"/>
  <c r="AR328"/>
  <c r="AR390"/>
  <c r="Z390"/>
  <c r="Z369"/>
  <c r="AC369"/>
  <c r="AC389"/>
  <c r="BG390"/>
  <c r="BG328"/>
  <c r="AQ413"/>
  <c r="AQ369"/>
  <c r="BA369"/>
  <c r="AB585" i="12"/>
  <c r="AB588" s="1"/>
  <c r="L369" i="9"/>
  <c r="L389"/>
  <c r="L328"/>
  <c r="L544" i="12"/>
  <c r="L545" s="1"/>
  <c r="L546" s="1"/>
  <c r="L547" s="1"/>
  <c r="L548" s="1"/>
  <c r="L32" i="26" s="1"/>
  <c r="L32" i="33" s="1"/>
  <c r="L471" i="12"/>
  <c r="L472" s="1"/>
  <c r="L473" s="1"/>
  <c r="L474" s="1"/>
  <c r="L475" s="1"/>
  <c r="L23" i="26" s="1"/>
  <c r="L23" i="33" s="1"/>
  <c r="L238" i="9"/>
  <c r="L244"/>
  <c r="L241"/>
  <c r="L234"/>
  <c r="L227"/>
  <c r="L99" i="29" s="1"/>
  <c r="L228" i="9"/>
  <c r="AH351"/>
  <c r="AH238"/>
  <c r="AH244"/>
  <c r="AH234"/>
  <c r="AH241"/>
  <c r="AH227"/>
  <c r="AH99" i="29" s="1"/>
  <c r="AH471" i="12"/>
  <c r="AH472" s="1"/>
  <c r="AH473" s="1"/>
  <c r="AH474" s="1"/>
  <c r="AH475" s="1"/>
  <c r="AH23" i="26" s="1"/>
  <c r="AH544" i="12"/>
  <c r="AH545" s="1"/>
  <c r="AH546" s="1"/>
  <c r="AH547" s="1"/>
  <c r="AH548" s="1"/>
  <c r="AH32" i="26" s="1"/>
  <c r="AH228" i="9"/>
  <c r="AH309"/>
  <c r="AH312" s="1"/>
  <c r="AH323"/>
  <c r="AH315"/>
  <c r="AH311"/>
  <c r="T560" i="12"/>
  <c r="T561" s="1"/>
  <c r="T572" s="1"/>
  <c r="T574" s="1"/>
  <c r="T381"/>
  <c r="T382" s="1"/>
  <c r="T393" s="1"/>
  <c r="T395" s="1"/>
  <c r="T487"/>
  <c r="T488" s="1"/>
  <c r="T499" s="1"/>
  <c r="AE554"/>
  <c r="AE555" s="1"/>
  <c r="AE556" s="1"/>
  <c r="AE557" s="1"/>
  <c r="AE558" s="1"/>
  <c r="AE33" i="26" s="1"/>
  <c r="AE481" i="12"/>
  <c r="AE482" s="1"/>
  <c r="AE483" s="1"/>
  <c r="AE484" s="1"/>
  <c r="AE485" s="1"/>
  <c r="AE24" i="26" s="1"/>
  <c r="AT560" i="12"/>
  <c r="AT561" s="1"/>
  <c r="AT572" s="1"/>
  <c r="AT574" s="1"/>
  <c r="AT381"/>
  <c r="AT382" s="1"/>
  <c r="AT393" s="1"/>
  <c r="AT395" s="1"/>
  <c r="AT406" s="1"/>
  <c r="AT409" s="1"/>
  <c r="AT487"/>
  <c r="AT488" s="1"/>
  <c r="AT499" s="1"/>
  <c r="N481"/>
  <c r="N482" s="1"/>
  <c r="N483" s="1"/>
  <c r="N484" s="1"/>
  <c r="N485" s="1"/>
  <c r="N24" i="26" s="1"/>
  <c r="N24" i="33" s="1"/>
  <c r="N554" i="12"/>
  <c r="N555" s="1"/>
  <c r="N556" s="1"/>
  <c r="N557" s="1"/>
  <c r="N558" s="1"/>
  <c r="N33" i="26" s="1"/>
  <c r="N33" i="33" s="1"/>
  <c r="N560" i="12"/>
  <c r="N561" s="1"/>
  <c r="N572" s="1"/>
  <c r="N574" s="1"/>
  <c r="N381"/>
  <c r="N382" s="1"/>
  <c r="N393" s="1"/>
  <c r="N395" s="1"/>
  <c r="N487"/>
  <c r="N488" s="1"/>
  <c r="N499" s="1"/>
  <c r="S481"/>
  <c r="S482" s="1"/>
  <c r="S483" s="1"/>
  <c r="S484" s="1"/>
  <c r="S485" s="1"/>
  <c r="S24" i="26" s="1"/>
  <c r="S24" i="33" s="1"/>
  <c r="S554" i="12"/>
  <c r="S555" s="1"/>
  <c r="S556" s="1"/>
  <c r="S557" s="1"/>
  <c r="S558" s="1"/>
  <c r="S33" i="26" s="1"/>
  <c r="S33" i="33" s="1"/>
  <c r="S389" i="9"/>
  <c r="S351"/>
  <c r="S544" i="12"/>
  <c r="S545" s="1"/>
  <c r="S546" s="1"/>
  <c r="S547" s="1"/>
  <c r="S548" s="1"/>
  <c r="S32" i="26" s="1"/>
  <c r="S32" i="33" s="1"/>
  <c r="S319" i="9"/>
  <c r="S471" i="12"/>
  <c r="S472" s="1"/>
  <c r="S473" s="1"/>
  <c r="S474" s="1"/>
  <c r="S475" s="1"/>
  <c r="S23" i="26" s="1"/>
  <c r="S23" i="33" s="1"/>
  <c r="S227" i="9"/>
  <c r="S99" i="29" s="1"/>
  <c r="S238" i="9"/>
  <c r="S234"/>
  <c r="S244"/>
  <c r="S241"/>
  <c r="S390" s="1"/>
  <c r="S228"/>
  <c r="BB560" i="12"/>
  <c r="BB561" s="1"/>
  <c r="BB572" s="1"/>
  <c r="BB574" s="1"/>
  <c r="BB585" s="1"/>
  <c r="BB588" s="1"/>
  <c r="BB381"/>
  <c r="BB382" s="1"/>
  <c r="BB393" s="1"/>
  <c r="BB395" s="1"/>
  <c r="BB487"/>
  <c r="BB488" s="1"/>
  <c r="BB499" s="1"/>
  <c r="AJ554"/>
  <c r="AJ555" s="1"/>
  <c r="AJ556" s="1"/>
  <c r="AJ557" s="1"/>
  <c r="AJ558" s="1"/>
  <c r="AJ33" i="26" s="1"/>
  <c r="AJ481" i="12"/>
  <c r="AJ482" s="1"/>
  <c r="AJ483" s="1"/>
  <c r="AJ484" s="1"/>
  <c r="AJ485" s="1"/>
  <c r="AJ24" i="26" s="1"/>
  <c r="AO560" i="12"/>
  <c r="AO561" s="1"/>
  <c r="AO572" s="1"/>
  <c r="AO574" s="1"/>
  <c r="AO381"/>
  <c r="AO382" s="1"/>
  <c r="AO393" s="1"/>
  <c r="AO395" s="1"/>
  <c r="AO406" s="1"/>
  <c r="AO409" s="1"/>
  <c r="AO487"/>
  <c r="AO488" s="1"/>
  <c r="AO499" s="1"/>
  <c r="I389" i="9"/>
  <c r="I544" i="12"/>
  <c r="I545" s="1"/>
  <c r="I546" s="1"/>
  <c r="I471"/>
  <c r="I472" s="1"/>
  <c r="I473" s="1"/>
  <c r="I413" i="9"/>
  <c r="I241"/>
  <c r="I390" s="1"/>
  <c r="I234"/>
  <c r="I238"/>
  <c r="I227"/>
  <c r="I99" i="29" s="1"/>
  <c r="I244" i="9"/>
  <c r="I228"/>
  <c r="V563" i="12"/>
  <c r="V564" s="1"/>
  <c r="V580" s="1"/>
  <c r="V582" s="1"/>
  <c r="V490"/>
  <c r="V491" s="1"/>
  <c r="V507" s="1"/>
  <c r="V560"/>
  <c r="V561" s="1"/>
  <c r="V572" s="1"/>
  <c r="V574" s="1"/>
  <c r="V585" s="1"/>
  <c r="V588" s="1"/>
  <c r="V381"/>
  <c r="V382" s="1"/>
  <c r="V393" s="1"/>
  <c r="V395" s="1"/>
  <c r="V406" s="1"/>
  <c r="V409" s="1"/>
  <c r="V487"/>
  <c r="V488" s="1"/>
  <c r="V499" s="1"/>
  <c r="Q554"/>
  <c r="Q555" s="1"/>
  <c r="Q556" s="1"/>
  <c r="Q557" s="1"/>
  <c r="Q558" s="1"/>
  <c r="Q33" i="26" s="1"/>
  <c r="Q33" i="33" s="1"/>
  <c r="Q481" i="12"/>
  <c r="Q482" s="1"/>
  <c r="Q483" s="1"/>
  <c r="Q484" s="1"/>
  <c r="Q485" s="1"/>
  <c r="Q24" i="26" s="1"/>
  <c r="Q24" i="33" s="1"/>
  <c r="Q351" i="9"/>
  <c r="Q328"/>
  <c r="Q413"/>
  <c r="Q319"/>
  <c r="Q544" i="12"/>
  <c r="Q545" s="1"/>
  <c r="Q546" s="1"/>
  <c r="Q547" s="1"/>
  <c r="Q548" s="1"/>
  <c r="Q32" i="26" s="1"/>
  <c r="Q32" i="33" s="1"/>
  <c r="Q471" i="12"/>
  <c r="Q472" s="1"/>
  <c r="Q473" s="1"/>
  <c r="Q474" s="1"/>
  <c r="Q475" s="1"/>
  <c r="Q23" i="26" s="1"/>
  <c r="Q23" i="33" s="1"/>
  <c r="Q241" i="9"/>
  <c r="Q234"/>
  <c r="Q238"/>
  <c r="Q244"/>
  <c r="Q227"/>
  <c r="Q99" i="29" s="1"/>
  <c r="Q228" i="9"/>
  <c r="BC563" i="12"/>
  <c r="BC564" s="1"/>
  <c r="BC580" s="1"/>
  <c r="BC582" s="1"/>
  <c r="BC490"/>
  <c r="BC491" s="1"/>
  <c r="BC507" s="1"/>
  <c r="BC408" i="9"/>
  <c r="BC389"/>
  <c r="BC544" i="12"/>
  <c r="BC545" s="1"/>
  <c r="BC546" s="1"/>
  <c r="BC547" s="1"/>
  <c r="BC548" s="1"/>
  <c r="BC32" i="26" s="1"/>
  <c r="BC32" i="33" s="1"/>
  <c r="BC471" i="12"/>
  <c r="BC472" s="1"/>
  <c r="BC473" s="1"/>
  <c r="BC474" s="1"/>
  <c r="BC475" s="1"/>
  <c r="BC23" i="26" s="1"/>
  <c r="BC23" i="33" s="1"/>
  <c r="BC369" i="9"/>
  <c r="BC244"/>
  <c r="BC234"/>
  <c r="BC238"/>
  <c r="BC241"/>
  <c r="BC227"/>
  <c r="BC99" i="29" s="1"/>
  <c r="BC228" i="9"/>
  <c r="BC309"/>
  <c r="BC312" s="1"/>
  <c r="BC323"/>
  <c r="BC315"/>
  <c r="BC311"/>
  <c r="AK381" i="12"/>
  <c r="AK382" s="1"/>
  <c r="AK393" s="1"/>
  <c r="AK395" s="1"/>
  <c r="AK406" s="1"/>
  <c r="AK409" s="1"/>
  <c r="AK560"/>
  <c r="AK561" s="1"/>
  <c r="AK572" s="1"/>
  <c r="AK574" s="1"/>
  <c r="AK585" s="1"/>
  <c r="AK588" s="1"/>
  <c r="AK487"/>
  <c r="AK488" s="1"/>
  <c r="AK499" s="1"/>
  <c r="AI554"/>
  <c r="AI555" s="1"/>
  <c r="AI556" s="1"/>
  <c r="AI557" s="1"/>
  <c r="AI558" s="1"/>
  <c r="AI33" i="26" s="1"/>
  <c r="AI481" i="12"/>
  <c r="AI482" s="1"/>
  <c r="AI483" s="1"/>
  <c r="AI484" s="1"/>
  <c r="AI485" s="1"/>
  <c r="AI24" i="26" s="1"/>
  <c r="AI309" i="9"/>
  <c r="AI312" s="1"/>
  <c r="AI323"/>
  <c r="AI315"/>
  <c r="AI311"/>
  <c r="BF389"/>
  <c r="BF328"/>
  <c r="BF351"/>
  <c r="BF471" i="12"/>
  <c r="BF472" s="1"/>
  <c r="BF473" s="1"/>
  <c r="BF241" i="9"/>
  <c r="BF390" s="1"/>
  <c r="BF544" i="12"/>
  <c r="BF545" s="1"/>
  <c r="BF546" s="1"/>
  <c r="BF234" i="9"/>
  <c r="BF227"/>
  <c r="BF99" i="29" s="1"/>
  <c r="BF244" i="9"/>
  <c r="BF238"/>
  <c r="BF228"/>
  <c r="AS563" i="12"/>
  <c r="AS564" s="1"/>
  <c r="AS580" s="1"/>
  <c r="AS582" s="1"/>
  <c r="AS490"/>
  <c r="AS491" s="1"/>
  <c r="AS507" s="1"/>
  <c r="AS408" i="9"/>
  <c r="P309"/>
  <c r="P312" s="1"/>
  <c r="P323"/>
  <c r="P315"/>
  <c r="P311"/>
  <c r="H563" i="12"/>
  <c r="H564" s="1"/>
  <c r="H580" s="1"/>
  <c r="H582" s="1"/>
  <c r="H490"/>
  <c r="H491" s="1"/>
  <c r="H507" s="1"/>
  <c r="H560"/>
  <c r="H561" s="1"/>
  <c r="H572" s="1"/>
  <c r="H574" s="1"/>
  <c r="H585" s="1"/>
  <c r="H588" s="1"/>
  <c r="H381"/>
  <c r="H382" s="1"/>
  <c r="H393" s="1"/>
  <c r="H395" s="1"/>
  <c r="H487"/>
  <c r="H488" s="1"/>
  <c r="H499" s="1"/>
  <c r="H309" i="9"/>
  <c r="H312" s="1"/>
  <c r="H323"/>
  <c r="H315"/>
  <c r="H311"/>
  <c r="O563" i="12"/>
  <c r="O564" s="1"/>
  <c r="O580" s="1"/>
  <c r="O582" s="1"/>
  <c r="O490"/>
  <c r="O491" s="1"/>
  <c r="O507" s="1"/>
  <c r="O369" i="9"/>
  <c r="O319"/>
  <c r="O328"/>
  <c r="O413"/>
  <c r="O471" i="12"/>
  <c r="O472" s="1"/>
  <c r="O473" s="1"/>
  <c r="O474" s="1"/>
  <c r="O475" s="1"/>
  <c r="O23" i="26" s="1"/>
  <c r="O23" i="33" s="1"/>
  <c r="O544" i="12"/>
  <c r="O545" s="1"/>
  <c r="O546" s="1"/>
  <c r="O547" s="1"/>
  <c r="O548" s="1"/>
  <c r="O32" i="26" s="1"/>
  <c r="O32" i="33" s="1"/>
  <c r="O238" i="9"/>
  <c r="O244"/>
  <c r="O234"/>
  <c r="O241"/>
  <c r="O227"/>
  <c r="O99" i="29" s="1"/>
  <c r="O228" i="9"/>
  <c r="AW563" i="12"/>
  <c r="AW564" s="1"/>
  <c r="AW580" s="1"/>
  <c r="AW582" s="1"/>
  <c r="AW490"/>
  <c r="AW491" s="1"/>
  <c r="AW507" s="1"/>
  <c r="AW408" i="9"/>
  <c r="AW351"/>
  <c r="AW471" i="12"/>
  <c r="AW472" s="1"/>
  <c r="AW473" s="1"/>
  <c r="AW474" s="1"/>
  <c r="AW475" s="1"/>
  <c r="AW23" i="26" s="1"/>
  <c r="AW23" i="33" s="1"/>
  <c r="AW413" i="9"/>
  <c r="AW544" i="12"/>
  <c r="AW545" s="1"/>
  <c r="AW546" s="1"/>
  <c r="AW547" s="1"/>
  <c r="AW548" s="1"/>
  <c r="AW32" i="26" s="1"/>
  <c r="AW32" i="33" s="1"/>
  <c r="AW244" i="9"/>
  <c r="AW241"/>
  <c r="AW238"/>
  <c r="AW234"/>
  <c r="AW227"/>
  <c r="AW99" i="29" s="1"/>
  <c r="AW228" i="9"/>
  <c r="AW309"/>
  <c r="AW312" s="1"/>
  <c r="AW323"/>
  <c r="AW328" s="1"/>
  <c r="AW315"/>
  <c r="AW311"/>
  <c r="BE560" i="12"/>
  <c r="BE561" s="1"/>
  <c r="BE572" s="1"/>
  <c r="BE574" s="1"/>
  <c r="BE487"/>
  <c r="BE488" s="1"/>
  <c r="BE499" s="1"/>
  <c r="BE381"/>
  <c r="BE382" s="1"/>
  <c r="BE393" s="1"/>
  <c r="BE395" s="1"/>
  <c r="BE406" s="1"/>
  <c r="BE409" s="1"/>
  <c r="BE309" i="9"/>
  <c r="BE312" s="1"/>
  <c r="BE323"/>
  <c r="BE328" s="1"/>
  <c r="BE315"/>
  <c r="BE311"/>
  <c r="AF389"/>
  <c r="AF413"/>
  <c r="AF351"/>
  <c r="AF234"/>
  <c r="AF241"/>
  <c r="AF390" s="1"/>
  <c r="AF238"/>
  <c r="AF244"/>
  <c r="AF471" i="12"/>
  <c r="AF472" s="1"/>
  <c r="AF473" s="1"/>
  <c r="AF474" s="1"/>
  <c r="AF475" s="1"/>
  <c r="AF23" i="26" s="1"/>
  <c r="AF227" i="9"/>
  <c r="AF99" i="29" s="1"/>
  <c r="AF544" i="12"/>
  <c r="AF545" s="1"/>
  <c r="AF546" s="1"/>
  <c r="AF547" s="1"/>
  <c r="AF548" s="1"/>
  <c r="AF32" i="26" s="1"/>
  <c r="AF228" i="9"/>
  <c r="AF309"/>
  <c r="AF312" s="1"/>
  <c r="AF323"/>
  <c r="AF315"/>
  <c r="AF319" s="1"/>
  <c r="AF311"/>
  <c r="W328"/>
  <c r="W319"/>
  <c r="W413"/>
  <c r="W471" i="12"/>
  <c r="W472" s="1"/>
  <c r="W473" s="1"/>
  <c r="W474" s="1"/>
  <c r="W475" s="1"/>
  <c r="W23" i="26" s="1"/>
  <c r="W23" i="33" s="1"/>
  <c r="W544" i="12"/>
  <c r="W545" s="1"/>
  <c r="W546" s="1"/>
  <c r="W547" s="1"/>
  <c r="W548" s="1"/>
  <c r="W32" i="26" s="1"/>
  <c r="W32" i="33" s="1"/>
  <c r="W234" i="9"/>
  <c r="W244"/>
  <c r="W241"/>
  <c r="W227"/>
  <c r="W99" i="29" s="1"/>
  <c r="W238" i="9"/>
  <c r="W228"/>
  <c r="U309"/>
  <c r="U312" s="1"/>
  <c r="U323"/>
  <c r="U315"/>
  <c r="U319" s="1"/>
  <c r="U311"/>
  <c r="AY481" i="12"/>
  <c r="AY482" s="1"/>
  <c r="AY483" s="1"/>
  <c r="AY484" s="1"/>
  <c r="AY485" s="1"/>
  <c r="AY24" i="26" s="1"/>
  <c r="AY24" i="33" s="1"/>
  <c r="AY554" i="12"/>
  <c r="AY555" s="1"/>
  <c r="AY556" s="1"/>
  <c r="AY557" s="1"/>
  <c r="AY558" s="1"/>
  <c r="AY33" i="26" s="1"/>
  <c r="AY33" i="33" s="1"/>
  <c r="AY309" i="9"/>
  <c r="AY312" s="1"/>
  <c r="AY323"/>
  <c r="AY315"/>
  <c r="AY311"/>
  <c r="AA369"/>
  <c r="AA319"/>
  <c r="AA389"/>
  <c r="AA244"/>
  <c r="AA238"/>
  <c r="AA234"/>
  <c r="AA241"/>
  <c r="AA544" i="12"/>
  <c r="AA545" s="1"/>
  <c r="AA546" s="1"/>
  <c r="AA547" s="1"/>
  <c r="AA548" s="1"/>
  <c r="AA32" i="26" s="1"/>
  <c r="AA227" i="9"/>
  <c r="AA99" i="29" s="1"/>
  <c r="AA471" i="12"/>
  <c r="AA472" s="1"/>
  <c r="AA473" s="1"/>
  <c r="AA474" s="1"/>
  <c r="AA475" s="1"/>
  <c r="AA23" i="26" s="1"/>
  <c r="AA228" i="9"/>
  <c r="AN563" i="12"/>
  <c r="AN564" s="1"/>
  <c r="AN580" s="1"/>
  <c r="AN582" s="1"/>
  <c r="AN490"/>
  <c r="AN491" s="1"/>
  <c r="AN507" s="1"/>
  <c r="AN408" i="9"/>
  <c r="AN309"/>
  <c r="AN312" s="1"/>
  <c r="AN323"/>
  <c r="AN315"/>
  <c r="AN311"/>
  <c r="BH369"/>
  <c r="BH413"/>
  <c r="BH319"/>
  <c r="BH471" i="12"/>
  <c r="BH472" s="1"/>
  <c r="BH473" s="1"/>
  <c r="BH544"/>
  <c r="BH545" s="1"/>
  <c r="BH546" s="1"/>
  <c r="BH238" i="9"/>
  <c r="BH241"/>
  <c r="BH244"/>
  <c r="BH234"/>
  <c r="BH227"/>
  <c r="BH99" i="29" s="1"/>
  <c r="BH228" i="9"/>
  <c r="AL563" i="12"/>
  <c r="AL564" s="1"/>
  <c r="AL580" s="1"/>
  <c r="AL582" s="1"/>
  <c r="AL490"/>
  <c r="AL491" s="1"/>
  <c r="AL507" s="1"/>
  <c r="AL408" i="9"/>
  <c r="AL369"/>
  <c r="AL244"/>
  <c r="AL241"/>
  <c r="AL390" s="1"/>
  <c r="AL234"/>
  <c r="AL238"/>
  <c r="AL227"/>
  <c r="AL99" i="29" s="1"/>
  <c r="AL471" i="12"/>
  <c r="AL472" s="1"/>
  <c r="AL473" s="1"/>
  <c r="AL474" s="1"/>
  <c r="AL475" s="1"/>
  <c r="AL23" i="26" s="1"/>
  <c r="AL544" i="12"/>
  <c r="AL545" s="1"/>
  <c r="AL546" s="1"/>
  <c r="AL547" s="1"/>
  <c r="AL548" s="1"/>
  <c r="AL32" i="26" s="1"/>
  <c r="AL228" i="9"/>
  <c r="AL309"/>
  <c r="AL312" s="1"/>
  <c r="AL323"/>
  <c r="AL315"/>
  <c r="AL311"/>
  <c r="AC23" i="34"/>
  <c r="AB23" i="33"/>
  <c r="AB406" i="9"/>
  <c r="AB344"/>
  <c r="AB382"/>
  <c r="AB310"/>
  <c r="AB522" i="12"/>
  <c r="AB363" i="9"/>
  <c r="AB235"/>
  <c r="AB528" i="12"/>
  <c r="AB414" i="9"/>
  <c r="AG525" i="12"/>
  <c r="AG370" i="9"/>
  <c r="AU526" i="12"/>
  <c r="AU501"/>
  <c r="AX13" i="26"/>
  <c r="AX13" i="33" s="1"/>
  <c r="AD560" i="12"/>
  <c r="AD561" s="1"/>
  <c r="AD572" s="1"/>
  <c r="AD574" s="1"/>
  <c r="AD585" s="1"/>
  <c r="AD588" s="1"/>
  <c r="AD381"/>
  <c r="AD382" s="1"/>
  <c r="AD393" s="1"/>
  <c r="AD395" s="1"/>
  <c r="AD487"/>
  <c r="AD488" s="1"/>
  <c r="AD499" s="1"/>
  <c r="X563"/>
  <c r="X564" s="1"/>
  <c r="X580" s="1"/>
  <c r="X582" s="1"/>
  <c r="X490"/>
  <c r="X491" s="1"/>
  <c r="X507" s="1"/>
  <c r="X408" i="9"/>
  <c r="AP309"/>
  <c r="AP312" s="1"/>
  <c r="AP323"/>
  <c r="AP328" s="1"/>
  <c r="AP315"/>
  <c r="AP311"/>
  <c r="J563" i="12"/>
  <c r="J564" s="1"/>
  <c r="J580" s="1"/>
  <c r="J582" s="1"/>
  <c r="J490"/>
  <c r="J491" s="1"/>
  <c r="J507" s="1"/>
  <c r="J328" i="9"/>
  <c r="J351"/>
  <c r="J471" i="12"/>
  <c r="J472" s="1"/>
  <c r="J473" s="1"/>
  <c r="J241" i="9"/>
  <c r="J390" s="1"/>
  <c r="J369"/>
  <c r="J389"/>
  <c r="J544" i="12"/>
  <c r="J545" s="1"/>
  <c r="J546" s="1"/>
  <c r="J238" i="9"/>
  <c r="J244"/>
  <c r="J234"/>
  <c r="J227"/>
  <c r="J99" i="29" s="1"/>
  <c r="J228" i="9"/>
  <c r="R309"/>
  <c r="R312" s="1"/>
  <c r="R323"/>
  <c r="R315"/>
  <c r="R311"/>
  <c r="K316"/>
  <c r="K317"/>
  <c r="K320" s="1"/>
  <c r="Z481" i="12"/>
  <c r="Z482" s="1"/>
  <c r="Z483" s="1"/>
  <c r="Z484" s="1"/>
  <c r="Z485" s="1"/>
  <c r="Z24" i="26" s="1"/>
  <c r="Z554" i="12"/>
  <c r="Z555" s="1"/>
  <c r="Z556" s="1"/>
  <c r="Z557" s="1"/>
  <c r="Z558" s="1"/>
  <c r="Z33" i="26" s="1"/>
  <c r="AC381" i="12"/>
  <c r="AC382" s="1"/>
  <c r="AC393" s="1"/>
  <c r="AC395" s="1"/>
  <c r="AC560"/>
  <c r="AC561" s="1"/>
  <c r="AC572" s="1"/>
  <c r="AC574" s="1"/>
  <c r="AC585" s="1"/>
  <c r="AC588" s="1"/>
  <c r="AC487"/>
  <c r="AC488" s="1"/>
  <c r="AC499" s="1"/>
  <c r="BG560"/>
  <c r="BG561" s="1"/>
  <c r="BG572" s="1"/>
  <c r="BG574" s="1"/>
  <c r="BG585" s="1"/>
  <c r="BG588" s="1"/>
  <c r="BG381"/>
  <c r="BG382" s="1"/>
  <c r="BG393" s="1"/>
  <c r="BG395" s="1"/>
  <c r="BG487"/>
  <c r="BG488" s="1"/>
  <c r="BG499" s="1"/>
  <c r="BG481"/>
  <c r="BG482" s="1"/>
  <c r="BG483" s="1"/>
  <c r="BG554"/>
  <c r="BG555" s="1"/>
  <c r="BG556" s="1"/>
  <c r="AQ481"/>
  <c r="AQ482" s="1"/>
  <c r="AQ483" s="1"/>
  <c r="AQ484" s="1"/>
  <c r="AQ485" s="1"/>
  <c r="AQ24" i="26" s="1"/>
  <c r="AQ24" i="33" s="1"/>
  <c r="AQ554" i="12"/>
  <c r="AQ555" s="1"/>
  <c r="AQ556" s="1"/>
  <c r="AQ557" s="1"/>
  <c r="AQ558" s="1"/>
  <c r="AQ33" i="26" s="1"/>
  <c r="AQ33" i="33" s="1"/>
  <c r="BA481" i="12"/>
  <c r="BA482" s="1"/>
  <c r="BA483" s="1"/>
  <c r="BA484" s="1"/>
  <c r="BA485" s="1"/>
  <c r="BA24" i="26" s="1"/>
  <c r="BA24" i="33" s="1"/>
  <c r="BA554" i="12"/>
  <c r="BA555" s="1"/>
  <c r="BA556" s="1"/>
  <c r="BA557" s="1"/>
  <c r="BA558" s="1"/>
  <c r="BA33" i="26" s="1"/>
  <c r="BA33" i="33" s="1"/>
  <c r="AC481" i="12"/>
  <c r="AC482" s="1"/>
  <c r="AC483" s="1"/>
  <c r="AC484" s="1"/>
  <c r="AC485" s="1"/>
  <c r="AC24" i="26" s="1"/>
  <c r="AC554" i="12"/>
  <c r="AC555" s="1"/>
  <c r="AC556" s="1"/>
  <c r="AC557" s="1"/>
  <c r="AC558" s="1"/>
  <c r="AC33" i="26" s="1"/>
  <c r="AH563" i="12"/>
  <c r="AH564" s="1"/>
  <c r="AH580" s="1"/>
  <c r="AH582" s="1"/>
  <c r="AH490"/>
  <c r="AH491" s="1"/>
  <c r="AH507" s="1"/>
  <c r="AH408" i="9"/>
  <c r="T563" i="12"/>
  <c r="T564" s="1"/>
  <c r="T580" s="1"/>
  <c r="T582" s="1"/>
  <c r="T490"/>
  <c r="T491" s="1"/>
  <c r="T507" s="1"/>
  <c r="T351" i="9"/>
  <c r="T369"/>
  <c r="T413"/>
  <c r="T471" i="12"/>
  <c r="T472" s="1"/>
  <c r="T473" s="1"/>
  <c r="T474" s="1"/>
  <c r="T475" s="1"/>
  <c r="T23" i="26" s="1"/>
  <c r="T23" i="33" s="1"/>
  <c r="T328" i="9"/>
  <c r="T319"/>
  <c r="T389"/>
  <c r="T544" i="12"/>
  <c r="T545" s="1"/>
  <c r="T546" s="1"/>
  <c r="T547" s="1"/>
  <c r="T548" s="1"/>
  <c r="T32" i="26" s="1"/>
  <c r="T32" i="33" s="1"/>
  <c r="T244" i="9"/>
  <c r="T238"/>
  <c r="T234"/>
  <c r="T241"/>
  <c r="T390" s="1"/>
  <c r="T227"/>
  <c r="T99" i="29" s="1"/>
  <c r="T228" i="9"/>
  <c r="AE563" i="12"/>
  <c r="AE564" s="1"/>
  <c r="AE580" s="1"/>
  <c r="AE582" s="1"/>
  <c r="AE490"/>
  <c r="AE491" s="1"/>
  <c r="AE507" s="1"/>
  <c r="AE408" i="9"/>
  <c r="AE389"/>
  <c r="AE328"/>
  <c r="AE351"/>
  <c r="AE369"/>
  <c r="AE319"/>
  <c r="AE241"/>
  <c r="AE390" s="1"/>
  <c r="AE238"/>
  <c r="AE244"/>
  <c r="AE234"/>
  <c r="AE227"/>
  <c r="AE99" i="29" s="1"/>
  <c r="AE471" i="12"/>
  <c r="AE472" s="1"/>
  <c r="AE473" s="1"/>
  <c r="AE474" s="1"/>
  <c r="AE475" s="1"/>
  <c r="AE23" i="26" s="1"/>
  <c r="AE544" i="12"/>
  <c r="AE545" s="1"/>
  <c r="AE546" s="1"/>
  <c r="AE547" s="1"/>
  <c r="AE548" s="1"/>
  <c r="AE32" i="26" s="1"/>
  <c r="AE228" i="9"/>
  <c r="M560" i="12"/>
  <c r="M561" s="1"/>
  <c r="M572" s="1"/>
  <c r="M574" s="1"/>
  <c r="M585" s="1"/>
  <c r="M588" s="1"/>
  <c r="M381"/>
  <c r="M382" s="1"/>
  <c r="M393" s="1"/>
  <c r="M395" s="1"/>
  <c r="M406" s="1"/>
  <c r="M409" s="1"/>
  <c r="M487"/>
  <c r="M488" s="1"/>
  <c r="M499" s="1"/>
  <c r="AB324" i="9"/>
  <c r="AB331"/>
  <c r="AB325"/>
  <c r="AG331"/>
  <c r="AG324"/>
  <c r="AG325"/>
  <c r="AG529" i="12"/>
  <c r="AG509"/>
  <c r="AU331" i="9"/>
  <c r="AU324"/>
  <c r="AU325"/>
  <c r="AU329" s="1"/>
  <c r="AU344"/>
  <c r="AU382"/>
  <c r="AU310"/>
  <c r="AU406"/>
  <c r="AU363"/>
  <c r="AU522" i="12"/>
  <c r="AU235" i="9"/>
  <c r="AX331"/>
  <c r="AX324"/>
  <c r="AX325"/>
  <c r="AX525" i="12"/>
  <c r="AX526" s="1"/>
  <c r="AX370" i="9"/>
  <c r="N563" i="12"/>
  <c r="N564" s="1"/>
  <c r="N580" s="1"/>
  <c r="N582" s="1"/>
  <c r="N490"/>
  <c r="N491" s="1"/>
  <c r="N507" s="1"/>
  <c r="N319" i="9"/>
  <c r="N369"/>
  <c r="N351"/>
  <c r="N389"/>
  <c r="N413"/>
  <c r="N328"/>
  <c r="N544" i="12"/>
  <c r="N545" s="1"/>
  <c r="N546" s="1"/>
  <c r="N547" s="1"/>
  <c r="N548" s="1"/>
  <c r="N32" i="26" s="1"/>
  <c r="N32" i="33" s="1"/>
  <c r="N471" i="12"/>
  <c r="N472" s="1"/>
  <c r="N473" s="1"/>
  <c r="N474" s="1"/>
  <c r="N475" s="1"/>
  <c r="N23" i="26" s="1"/>
  <c r="N23" i="33" s="1"/>
  <c r="N234" i="9"/>
  <c r="N244"/>
  <c r="N241"/>
  <c r="N390" s="1"/>
  <c r="N238"/>
  <c r="N227"/>
  <c r="N99" i="29" s="1"/>
  <c r="N228" i="9"/>
  <c r="BB481" i="12"/>
  <c r="BB482" s="1"/>
  <c r="BB483" s="1"/>
  <c r="BB484" s="1"/>
  <c r="BB485" s="1"/>
  <c r="BB24" i="26" s="1"/>
  <c r="BB24" i="33" s="1"/>
  <c r="BB554" i="12"/>
  <c r="BB555" s="1"/>
  <c r="BB556" s="1"/>
  <c r="BB557" s="1"/>
  <c r="BB558" s="1"/>
  <c r="BB33" i="26" s="1"/>
  <c r="BB33" i="33" s="1"/>
  <c r="BB369" i="9"/>
  <c r="BB351"/>
  <c r="BB413"/>
  <c r="BB389"/>
  <c r="BB244"/>
  <c r="BB471" i="12"/>
  <c r="BB472" s="1"/>
  <c r="BB473" s="1"/>
  <c r="BB474" s="1"/>
  <c r="BB475" s="1"/>
  <c r="BB23" i="26" s="1"/>
  <c r="BB23" i="33" s="1"/>
  <c r="BB544" i="12"/>
  <c r="BB545" s="1"/>
  <c r="BB546" s="1"/>
  <c r="BB547" s="1"/>
  <c r="BB548" s="1"/>
  <c r="BB32" i="26" s="1"/>
  <c r="BB32" i="33" s="1"/>
  <c r="BB234" i="9"/>
  <c r="BB241"/>
  <c r="BB390" s="1"/>
  <c r="BB238"/>
  <c r="BB227"/>
  <c r="BB99" i="29" s="1"/>
  <c r="BB228" i="9"/>
  <c r="BB309"/>
  <c r="BB312" s="1"/>
  <c r="BB323"/>
  <c r="BB315"/>
  <c r="BB311"/>
  <c r="AJ309"/>
  <c r="AJ312" s="1"/>
  <c r="AJ323"/>
  <c r="AJ315"/>
  <c r="AJ319" s="1"/>
  <c r="AJ311"/>
  <c r="AO309"/>
  <c r="AO312" s="1"/>
  <c r="AO323"/>
  <c r="AO315"/>
  <c r="AO319" s="1"/>
  <c r="AO311"/>
  <c r="I563" i="12"/>
  <c r="I564" s="1"/>
  <c r="I580" s="1"/>
  <c r="I582" s="1"/>
  <c r="I490"/>
  <c r="I491" s="1"/>
  <c r="I507" s="1"/>
  <c r="I309" i="9"/>
  <c r="I312" s="1"/>
  <c r="I323"/>
  <c r="I315"/>
  <c r="I311"/>
  <c r="V554" i="12"/>
  <c r="V555" s="1"/>
  <c r="V556" s="1"/>
  <c r="V557" s="1"/>
  <c r="V558" s="1"/>
  <c r="V33" i="26" s="1"/>
  <c r="V33" i="33" s="1"/>
  <c r="V481" i="12"/>
  <c r="V482" s="1"/>
  <c r="V483" s="1"/>
  <c r="V484" s="1"/>
  <c r="V485" s="1"/>
  <c r="V24" i="26" s="1"/>
  <c r="V24" i="33" s="1"/>
  <c r="V389" i="9"/>
  <c r="V351"/>
  <c r="V319"/>
  <c r="V369"/>
  <c r="V413"/>
  <c r="V328"/>
  <c r="V471" i="12"/>
  <c r="V472" s="1"/>
  <c r="V473" s="1"/>
  <c r="V474" s="1"/>
  <c r="V475" s="1"/>
  <c r="V23" i="26" s="1"/>
  <c r="V23" i="33" s="1"/>
  <c r="V244" i="9"/>
  <c r="V544" i="12"/>
  <c r="V545" s="1"/>
  <c r="V546" s="1"/>
  <c r="V547" s="1"/>
  <c r="V548" s="1"/>
  <c r="V32" i="26" s="1"/>
  <c r="V32" i="33" s="1"/>
  <c r="V234" i="9"/>
  <c r="V241"/>
  <c r="V390" s="1"/>
  <c r="V238"/>
  <c r="V227"/>
  <c r="V99" i="29" s="1"/>
  <c r="V228" i="9"/>
  <c r="K509" i="12"/>
  <c r="AR509"/>
  <c r="AC324" i="9"/>
  <c r="AC331"/>
  <c r="AC325"/>
  <c r="AC329" s="1"/>
  <c r="AQ509" i="12"/>
  <c r="BA509"/>
  <c r="BA529"/>
  <c r="Q563"/>
  <c r="Q564" s="1"/>
  <c r="Q580" s="1"/>
  <c r="Q582" s="1"/>
  <c r="Q490"/>
  <c r="Q491" s="1"/>
  <c r="Q507" s="1"/>
  <c r="AI351" i="9"/>
  <c r="AI328"/>
  <c r="AI413"/>
  <c r="AI244"/>
  <c r="AI241"/>
  <c r="AI390" s="1"/>
  <c r="AI369"/>
  <c r="AI389"/>
  <c r="AI319"/>
  <c r="AI238"/>
  <c r="AI234"/>
  <c r="AI227"/>
  <c r="AI99" i="29" s="1"/>
  <c r="AI544" i="12"/>
  <c r="AI545" s="1"/>
  <c r="AI546" s="1"/>
  <c r="AI547" s="1"/>
  <c r="AI548" s="1"/>
  <c r="AI32" i="26" s="1"/>
  <c r="AI471" i="12"/>
  <c r="AI472" s="1"/>
  <c r="AI473" s="1"/>
  <c r="AI474" s="1"/>
  <c r="AI475" s="1"/>
  <c r="AI23" i="26" s="1"/>
  <c r="AI228" i="9"/>
  <c r="BF563" i="12"/>
  <c r="BF564" s="1"/>
  <c r="BF580" s="1"/>
  <c r="BF582" s="1"/>
  <c r="BF490"/>
  <c r="BF491" s="1"/>
  <c r="BF507" s="1"/>
  <c r="BF408" i="9"/>
  <c r="AS554" i="12"/>
  <c r="AS555" s="1"/>
  <c r="AS556" s="1"/>
  <c r="AS557" s="1"/>
  <c r="AS558" s="1"/>
  <c r="AS33" i="26" s="1"/>
  <c r="AS33" i="33" s="1"/>
  <c r="AS481" i="12"/>
  <c r="AS482" s="1"/>
  <c r="AS483" s="1"/>
  <c r="AS484" s="1"/>
  <c r="AS485" s="1"/>
  <c r="AS24" i="26" s="1"/>
  <c r="AS24" i="33" s="1"/>
  <c r="AS413" i="9"/>
  <c r="AS389"/>
  <c r="AS328"/>
  <c r="AS544" i="12"/>
  <c r="AS545" s="1"/>
  <c r="AS546" s="1"/>
  <c r="AS547" s="1"/>
  <c r="AS548" s="1"/>
  <c r="AS32" i="26" s="1"/>
  <c r="AS32" i="33" s="1"/>
  <c r="AS319" i="9"/>
  <c r="AS369"/>
  <c r="AS351"/>
  <c r="AS471" i="12"/>
  <c r="AS472" s="1"/>
  <c r="AS473" s="1"/>
  <c r="AS474" s="1"/>
  <c r="AS475" s="1"/>
  <c r="AS23" i="26" s="1"/>
  <c r="AS23" i="33" s="1"/>
  <c r="AS238" i="9"/>
  <c r="AS234"/>
  <c r="AS244"/>
  <c r="AS241"/>
  <c r="AS390" s="1"/>
  <c r="AS227"/>
  <c r="AS99" i="29" s="1"/>
  <c r="AS228" i="9"/>
  <c r="P563" i="12"/>
  <c r="P564" s="1"/>
  <c r="P580" s="1"/>
  <c r="P582" s="1"/>
  <c r="P490"/>
  <c r="P491" s="1"/>
  <c r="P507" s="1"/>
  <c r="H554"/>
  <c r="H555" s="1"/>
  <c r="H556" s="1"/>
  <c r="H481"/>
  <c r="H482" s="1"/>
  <c r="H483" s="1"/>
  <c r="H413" i="9"/>
  <c r="H389"/>
  <c r="H351"/>
  <c r="H471" i="12"/>
  <c r="H472" s="1"/>
  <c r="H473" s="1"/>
  <c r="H328" i="9"/>
  <c r="H319"/>
  <c r="H369"/>
  <c r="H544" i="12"/>
  <c r="H545" s="1"/>
  <c r="H546" s="1"/>
  <c r="H238" i="9"/>
  <c r="H244"/>
  <c r="H234"/>
  <c r="H241"/>
  <c r="H390" s="1"/>
  <c r="H227"/>
  <c r="H99" i="29" s="1"/>
  <c r="H228" i="9"/>
  <c r="BE481" i="12"/>
  <c r="BE482" s="1"/>
  <c r="BE483" s="1"/>
  <c r="BE554"/>
  <c r="BE555" s="1"/>
  <c r="BE556" s="1"/>
  <c r="BE413" i="9"/>
  <c r="BE369"/>
  <c r="BE351"/>
  <c r="BE544" i="12"/>
  <c r="BE545" s="1"/>
  <c r="BE546" s="1"/>
  <c r="BE471"/>
  <c r="BE472" s="1"/>
  <c r="BE473" s="1"/>
  <c r="BE389" i="9"/>
  <c r="BE319"/>
  <c r="BE241"/>
  <c r="BE390" s="1"/>
  <c r="BE244"/>
  <c r="BE238"/>
  <c r="BE234"/>
  <c r="BE227"/>
  <c r="BE99" i="29" s="1"/>
  <c r="BE228" i="9"/>
  <c r="AF563" i="12"/>
  <c r="AF564" s="1"/>
  <c r="AF580" s="1"/>
  <c r="AF582" s="1"/>
  <c r="AF490"/>
  <c r="AF491" s="1"/>
  <c r="AF507" s="1"/>
  <c r="AF408" i="9"/>
  <c r="W563" i="12"/>
  <c r="W564" s="1"/>
  <c r="W580" s="1"/>
  <c r="W582" s="1"/>
  <c r="W490"/>
  <c r="W491" s="1"/>
  <c r="W507" s="1"/>
  <c r="U563"/>
  <c r="U564" s="1"/>
  <c r="U580" s="1"/>
  <c r="U582" s="1"/>
  <c r="U490"/>
  <c r="U491" s="1"/>
  <c r="U507" s="1"/>
  <c r="AA563"/>
  <c r="AA564" s="1"/>
  <c r="AA580" s="1"/>
  <c r="AA582" s="1"/>
  <c r="AA490"/>
  <c r="AA491" s="1"/>
  <c r="AA507" s="1"/>
  <c r="AA408" i="9"/>
  <c r="BH563" i="12"/>
  <c r="BH564" s="1"/>
  <c r="BH580" s="1"/>
  <c r="BH582" s="1"/>
  <c r="BH490"/>
  <c r="BH491" s="1"/>
  <c r="BH507" s="1"/>
  <c r="BH408" i="9"/>
  <c r="AB529" i="12"/>
  <c r="AB509"/>
  <c r="X560"/>
  <c r="X561" s="1"/>
  <c r="X572" s="1"/>
  <c r="X574" s="1"/>
  <c r="X381"/>
  <c r="X382" s="1"/>
  <c r="X393" s="1"/>
  <c r="X395" s="1"/>
  <c r="X487"/>
  <c r="X488" s="1"/>
  <c r="X499" s="1"/>
  <c r="AP563"/>
  <c r="AP564" s="1"/>
  <c r="AP580" s="1"/>
  <c r="AP582" s="1"/>
  <c r="AP490"/>
  <c r="AP491" s="1"/>
  <c r="AP507" s="1"/>
  <c r="AP408" i="9"/>
  <c r="K329"/>
  <c r="K344"/>
  <c r="K363"/>
  <c r="K382"/>
  <c r="K310"/>
  <c r="K406"/>
  <c r="K522" i="12"/>
  <c r="K370" i="9"/>
  <c r="K525" i="12"/>
  <c r="AR316" i="9"/>
  <c r="AR317"/>
  <c r="AR320" s="1"/>
  <c r="AR528" i="12"/>
  <c r="AR529" s="1"/>
  <c r="AR414" i="9"/>
  <c r="Z316"/>
  <c r="Z317"/>
  <c r="Z320" s="1"/>
  <c r="Z528" i="12"/>
  <c r="Z529" s="1"/>
  <c r="Z414" i="9"/>
  <c r="Z363"/>
  <c r="Z382"/>
  <c r="Z344"/>
  <c r="Z310"/>
  <c r="Z522" i="12"/>
  <c r="Z329" i="9"/>
  <c r="Z406"/>
  <c r="Z235"/>
  <c r="J32" i="34"/>
  <c r="BN32" i="33" s="1"/>
  <c r="Z32"/>
  <c r="AC23"/>
  <c r="AS23" i="34"/>
  <c r="AC528" i="12"/>
  <c r="AC529" s="1"/>
  <c r="AC414" i="9"/>
  <c r="AC344"/>
  <c r="AC382"/>
  <c r="AC522" i="12"/>
  <c r="AC406" i="9"/>
  <c r="AC310"/>
  <c r="AC363"/>
  <c r="AC320"/>
  <c r="AC235"/>
  <c r="BG316"/>
  <c r="BG317"/>
  <c r="BG320" s="1"/>
  <c r="BG370"/>
  <c r="BG525" i="12"/>
  <c r="BG522"/>
  <c r="BG363" i="9"/>
  <c r="BG344"/>
  <c r="BG406"/>
  <c r="BG382"/>
  <c r="BG310"/>
  <c r="BG235"/>
  <c r="AQ316"/>
  <c r="AQ317"/>
  <c r="AQ320" s="1"/>
  <c r="AQ414"/>
  <c r="AQ528" i="12"/>
  <c r="AQ529" s="1"/>
  <c r="AQ310" i="9"/>
  <c r="AQ522" i="12"/>
  <c r="AQ406" i="9"/>
  <c r="AQ344"/>
  <c r="AQ382"/>
  <c r="AQ363"/>
  <c r="AQ235"/>
  <c r="BA316"/>
  <c r="BA317"/>
  <c r="BA406"/>
  <c r="BA363"/>
  <c r="BA382"/>
  <c r="BA329"/>
  <c r="BA522" i="12"/>
  <c r="BA344" i="9"/>
  <c r="BA310"/>
  <c r="BA235"/>
  <c r="BA525" i="12"/>
  <c r="BA370" i="9"/>
  <c r="AG33" i="33"/>
  <c r="AH33" i="34"/>
  <c r="CL33" i="33" s="1"/>
  <c r="I367" i="9"/>
  <c r="I368" s="1"/>
  <c r="I394" s="1"/>
  <c r="I384" i="12" s="1"/>
  <c r="I385" s="1"/>
  <c r="I401" s="1"/>
  <c r="I403" s="1"/>
  <c r="AB351" i="9"/>
  <c r="AG413"/>
  <c r="L411"/>
  <c r="L412" s="1"/>
  <c r="AH367"/>
  <c r="AH368" s="1"/>
  <c r="T394"/>
  <c r="T384" i="12" s="1"/>
  <c r="T385" s="1"/>
  <c r="T401" s="1"/>
  <c r="T403" s="1"/>
  <c r="AZ387" i="9"/>
  <c r="AZ388" s="1"/>
  <c r="AZ411"/>
  <c r="AZ412" s="1"/>
  <c r="AZ367"/>
  <c r="AZ368" s="1"/>
  <c r="O408"/>
  <c r="AU328"/>
  <c r="AU351"/>
  <c r="S411"/>
  <c r="S412" s="1"/>
  <c r="AJ411"/>
  <c r="AJ412" s="1"/>
  <c r="AJ367"/>
  <c r="AJ368" s="1"/>
  <c r="AO411"/>
  <c r="AO412" s="1"/>
  <c r="AO349"/>
  <c r="AO350" s="1"/>
  <c r="I349"/>
  <c r="I350" s="1"/>
  <c r="V408"/>
  <c r="Q387"/>
  <c r="Q388" s="1"/>
  <c r="Q367"/>
  <c r="Q368" s="1"/>
  <c r="BC349"/>
  <c r="BC350" s="1"/>
  <c r="BD387"/>
  <c r="BD388" s="1"/>
  <c r="BD411"/>
  <c r="BD412" s="1"/>
  <c r="BD367"/>
  <c r="BD368" s="1"/>
  <c r="AI394"/>
  <c r="AI384" i="12" s="1"/>
  <c r="AI385" s="1"/>
  <c r="AI401" s="1"/>
  <c r="AI403" s="1"/>
  <c r="BF367" i="9"/>
  <c r="BF368" s="1"/>
  <c r="P387"/>
  <c r="P388" s="1"/>
  <c r="P367"/>
  <c r="P368" s="1"/>
  <c r="H394"/>
  <c r="H384" i="12" s="1"/>
  <c r="H385" s="1"/>
  <c r="H401" s="1"/>
  <c r="H403" s="1"/>
  <c r="AW387" i="9"/>
  <c r="AW388" s="1"/>
  <c r="AW367"/>
  <c r="AW368" s="1"/>
  <c r="AV349"/>
  <c r="AV350" s="1"/>
  <c r="AV351" s="1"/>
  <c r="AF367"/>
  <c r="AF368" s="1"/>
  <c r="W387"/>
  <c r="W388" s="1"/>
  <c r="W367"/>
  <c r="W368" s="1"/>
  <c r="U387"/>
  <c r="U388" s="1"/>
  <c r="U367"/>
  <c r="U368" s="1"/>
  <c r="Y387"/>
  <c r="Y388" s="1"/>
  <c r="Y349"/>
  <c r="Y350" s="1"/>
  <c r="AY387"/>
  <c r="AY388" s="1"/>
  <c r="AY411"/>
  <c r="AY412" s="1"/>
  <c r="AY367"/>
  <c r="AY368" s="1"/>
  <c r="AN387"/>
  <c r="AN388" s="1"/>
  <c r="AN367"/>
  <c r="AN368" s="1"/>
  <c r="J408"/>
  <c r="Q408"/>
  <c r="AM387"/>
  <c r="AM388" s="1"/>
  <c r="AM367"/>
  <c r="AM368" s="1"/>
  <c r="AL349"/>
  <c r="AL350" s="1"/>
  <c r="AD387"/>
  <c r="AD388" s="1"/>
  <c r="AD394" s="1"/>
  <c r="AD384" i="12" s="1"/>
  <c r="AD385" s="1"/>
  <c r="AD401" s="1"/>
  <c r="AD403" s="1"/>
  <c r="BI387" i="9"/>
  <c r="BI388" s="1"/>
  <c r="BI411"/>
  <c r="BI412" s="1"/>
  <c r="BI367"/>
  <c r="BI368" s="1"/>
  <c r="K390"/>
  <c r="K328"/>
  <c r="K369"/>
  <c r="AR369"/>
  <c r="AR389"/>
  <c r="AR413"/>
  <c r="Z319"/>
  <c r="Z389"/>
  <c r="AC390"/>
  <c r="AC351"/>
  <c r="AC319"/>
  <c r="BG369"/>
  <c r="BG351"/>
  <c r="BG389"/>
  <c r="AQ328"/>
  <c r="AQ319"/>
  <c r="AQ351"/>
  <c r="BA351"/>
  <c r="BA413"/>
  <c r="BA328"/>
  <c r="BA319"/>
  <c r="AB406" i="12"/>
  <c r="AB409" s="1"/>
  <c r="X406" l="1"/>
  <c r="X409" s="1"/>
  <c r="AE413" i="9"/>
  <c r="BG406" i="12"/>
  <c r="BG409" s="1"/>
  <c r="J413" i="9"/>
  <c r="AL389"/>
  <c r="BH390"/>
  <c r="BH389"/>
  <c r="AA390"/>
  <c r="BC390"/>
  <c r="S369"/>
  <c r="AH390"/>
  <c r="O390"/>
  <c r="BF413"/>
  <c r="BC413"/>
  <c r="AH389"/>
  <c r="L390"/>
  <c r="BE23" i="34"/>
  <c r="DO23" i="33" s="1"/>
  <c r="X585" i="12"/>
  <c r="X588" s="1"/>
  <c r="AC406"/>
  <c r="AC409" s="1"/>
  <c r="BE585"/>
  <c r="BE588" s="1"/>
  <c r="AO585"/>
  <c r="AO588" s="1"/>
  <c r="Y394" i="9"/>
  <c r="Y384" i="12" s="1"/>
  <c r="Y385" s="1"/>
  <c r="Y401" s="1"/>
  <c r="Y403" s="1"/>
  <c r="AU512"/>
  <c r="AL413" i="9"/>
  <c r="AA413"/>
  <c r="O389"/>
  <c r="BB406" i="12"/>
  <c r="BB409" s="1"/>
  <c r="AH413" i="9"/>
  <c r="AT585" i="12"/>
  <c r="AT588" s="1"/>
  <c r="AM394" i="9"/>
  <c r="AM384" i="12" s="1"/>
  <c r="AM385" s="1"/>
  <c r="AM401" s="1"/>
  <c r="AM403" s="1"/>
  <c r="AN394" i="9"/>
  <c r="AN384" i="12" s="1"/>
  <c r="AN385" s="1"/>
  <c r="AN401" s="1"/>
  <c r="AN403" s="1"/>
  <c r="P394" i="9"/>
  <c r="P384" i="12" s="1"/>
  <c r="P385" s="1"/>
  <c r="P401" s="1"/>
  <c r="P403" s="1"/>
  <c r="Q394" i="9"/>
  <c r="Q384" i="12" s="1"/>
  <c r="Q385" s="1"/>
  <c r="Q401" s="1"/>
  <c r="Q403" s="1"/>
  <c r="BI394" i="9"/>
  <c r="BI384" i="12" s="1"/>
  <c r="BI385" s="1"/>
  <c r="BI401" s="1"/>
  <c r="BI403" s="1"/>
  <c r="BI560"/>
  <c r="BI561" s="1"/>
  <c r="BI572" s="1"/>
  <c r="BI574" s="1"/>
  <c r="BI585" s="1"/>
  <c r="BI588" s="1"/>
  <c r="BI381"/>
  <c r="BI382" s="1"/>
  <c r="BI393" s="1"/>
  <c r="BI395" s="1"/>
  <c r="BI406" s="1"/>
  <c r="BI409" s="1"/>
  <c r="BI487"/>
  <c r="BI488" s="1"/>
  <c r="BI499" s="1"/>
  <c r="U560"/>
  <c r="U561" s="1"/>
  <c r="U572" s="1"/>
  <c r="U574" s="1"/>
  <c r="U585" s="1"/>
  <c r="U588" s="1"/>
  <c r="U487"/>
  <c r="U488" s="1"/>
  <c r="U499" s="1"/>
  <c r="U381"/>
  <c r="U382" s="1"/>
  <c r="U393" s="1"/>
  <c r="U395" s="1"/>
  <c r="AF560"/>
  <c r="AF561" s="1"/>
  <c r="AF572" s="1"/>
  <c r="AF574" s="1"/>
  <c r="AF585" s="1"/>
  <c r="AF588" s="1"/>
  <c r="AF381"/>
  <c r="AF382" s="1"/>
  <c r="AF393" s="1"/>
  <c r="AF395" s="1"/>
  <c r="AF487"/>
  <c r="AF488" s="1"/>
  <c r="AF499" s="1"/>
  <c r="AW560"/>
  <c r="AW561" s="1"/>
  <c r="AW572" s="1"/>
  <c r="AW574" s="1"/>
  <c r="AW585" s="1"/>
  <c r="AW588" s="1"/>
  <c r="AW381"/>
  <c r="AW382" s="1"/>
  <c r="AW393" s="1"/>
  <c r="AW395" s="1"/>
  <c r="AW487"/>
  <c r="AW488" s="1"/>
  <c r="AW499" s="1"/>
  <c r="BA318" i="9"/>
  <c r="BA550" i="12"/>
  <c r="BA551" s="1"/>
  <c r="BA377"/>
  <c r="BA378" s="1"/>
  <c r="BA477"/>
  <c r="BA478" s="1"/>
  <c r="AQ104" i="29"/>
  <c r="AQ117" s="1"/>
  <c r="AQ15"/>
  <c r="BG15"/>
  <c r="BG104"/>
  <c r="BG117" s="1"/>
  <c r="Z15"/>
  <c r="Z104"/>
  <c r="Z117" s="1"/>
  <c r="AR15"/>
  <c r="AR104"/>
  <c r="AR117" s="1"/>
  <c r="AP509" i="12"/>
  <c r="X501"/>
  <c r="BH509"/>
  <c r="AF509"/>
  <c r="BE344" i="9"/>
  <c r="BE522" i="12"/>
  <c r="BE363" i="9"/>
  <c r="BE382"/>
  <c r="BE310"/>
  <c r="BE406"/>
  <c r="BE235"/>
  <c r="BE414"/>
  <c r="BE528" i="12"/>
  <c r="H528"/>
  <c r="H414" i="9"/>
  <c r="P509" i="12"/>
  <c r="AS382" i="9"/>
  <c r="AS344"/>
  <c r="AS522" i="12"/>
  <c r="AS363" i="9"/>
  <c r="AS310"/>
  <c r="AS406"/>
  <c r="AS235"/>
  <c r="AJ23" i="34"/>
  <c r="CN23" i="33" s="1"/>
  <c r="AI23"/>
  <c r="AI525" i="12"/>
  <c r="AI370" i="9"/>
  <c r="V370"/>
  <c r="V525" i="12"/>
  <c r="V526" s="1"/>
  <c r="V344" i="9"/>
  <c r="V310"/>
  <c r="V363"/>
  <c r="V382"/>
  <c r="V522" i="12"/>
  <c r="V406" i="9"/>
  <c r="V235"/>
  <c r="V528" i="12"/>
  <c r="V414" i="9"/>
  <c r="I324"/>
  <c r="I331"/>
  <c r="I325"/>
  <c r="I509" i="12"/>
  <c r="AO324" i="9"/>
  <c r="AO331"/>
  <c r="AO325"/>
  <c r="AJ331"/>
  <c r="AJ325"/>
  <c r="AJ324"/>
  <c r="BB331"/>
  <c r="BB324"/>
  <c r="BB325"/>
  <c r="BB329" s="1"/>
  <c r="BB370"/>
  <c r="BB525" i="12"/>
  <c r="BB406" i="9"/>
  <c r="BB310"/>
  <c r="BB363"/>
  <c r="BB522" i="12"/>
  <c r="BB344" i="9"/>
  <c r="BB382"/>
  <c r="BB235"/>
  <c r="N525" i="12"/>
  <c r="N370" i="9"/>
  <c r="N414"/>
  <c r="N528" i="12"/>
  <c r="N529" s="1"/>
  <c r="N509"/>
  <c r="AG332" i="9"/>
  <c r="AG326"/>
  <c r="M501" i="12"/>
  <c r="AE32" i="33"/>
  <c r="AU32" i="34"/>
  <c r="DE32" i="33" s="1"/>
  <c r="AE528" i="12"/>
  <c r="AE529" s="1"/>
  <c r="AE414" i="9"/>
  <c r="AE509" i="12"/>
  <c r="T525"/>
  <c r="T370" i="9"/>
  <c r="T509" i="12"/>
  <c r="AC24" i="33"/>
  <c r="AS24" i="34"/>
  <c r="BG13" i="26"/>
  <c r="BG13" i="33" s="1"/>
  <c r="AC526" i="12"/>
  <c r="AC501"/>
  <c r="AC512" s="1"/>
  <c r="J24" i="34"/>
  <c r="BN24" i="33" s="1"/>
  <c r="Z24"/>
  <c r="K104" i="29"/>
  <c r="K117" s="1"/>
  <c r="K15"/>
  <c r="R316" i="9"/>
  <c r="R317"/>
  <c r="J528" i="12"/>
  <c r="J414" i="9"/>
  <c r="AP316"/>
  <c r="AP317"/>
  <c r="X509" i="12"/>
  <c r="AD501"/>
  <c r="AL324" i="9"/>
  <c r="AL331"/>
  <c r="AL325"/>
  <c r="AL23" i="33"/>
  <c r="BB23" i="34"/>
  <c r="DL23" i="33" s="1"/>
  <c r="AL370" i="9"/>
  <c r="AL525" i="12"/>
  <c r="BH528"/>
  <c r="BH529" s="1"/>
  <c r="BH414" i="9"/>
  <c r="BH525" i="12"/>
  <c r="BH526" s="1"/>
  <c r="BH370" i="9"/>
  <c r="AN316"/>
  <c r="AN317"/>
  <c r="AN509" i="12"/>
  <c r="AA370" i="9"/>
  <c r="AA525" i="12"/>
  <c r="AA526" s="1"/>
  <c r="AY331" i="9"/>
  <c r="AY324"/>
  <c r="AY325"/>
  <c r="U331"/>
  <c r="U324"/>
  <c r="U325"/>
  <c r="W528" i="12"/>
  <c r="W414" i="9"/>
  <c r="AF324"/>
  <c r="AF331"/>
  <c r="AF325"/>
  <c r="AF528" i="12"/>
  <c r="AF529" s="1"/>
  <c r="AF414" i="9"/>
  <c r="BE324"/>
  <c r="BE331"/>
  <c r="BE325"/>
  <c r="BE13" i="26"/>
  <c r="BE13" i="33" s="1"/>
  <c r="AW316" i="9"/>
  <c r="AW317"/>
  <c r="AW525" i="12"/>
  <c r="AW370" i="9"/>
  <c r="AW528" i="12"/>
  <c r="AW414" i="9"/>
  <c r="AW529" i="12"/>
  <c r="AW509"/>
  <c r="O528"/>
  <c r="O414" i="9"/>
  <c r="O529" i="12"/>
  <c r="O509"/>
  <c r="H331" i="9"/>
  <c r="H324"/>
  <c r="H325"/>
  <c r="H501" i="12"/>
  <c r="P316" i="9"/>
  <c r="P317"/>
  <c r="AS509" i="12"/>
  <c r="BF528"/>
  <c r="BF529" s="1"/>
  <c r="BF414" i="9"/>
  <c r="BF522" i="12"/>
  <c r="BF382" i="9"/>
  <c r="BF344"/>
  <c r="BF406"/>
  <c r="BF363"/>
  <c r="BF310"/>
  <c r="BF235"/>
  <c r="AI331"/>
  <c r="AI324"/>
  <c r="AI325"/>
  <c r="AI24" i="33"/>
  <c r="AJ24" i="34"/>
  <c r="CN24" i="33" s="1"/>
  <c r="AK501" i="12"/>
  <c r="AK13" i="26"/>
  <c r="AK13" i="33" s="1"/>
  <c r="BC316" i="9"/>
  <c r="BC317"/>
  <c r="BC525" i="12"/>
  <c r="BC370" i="9"/>
  <c r="BC528" i="12"/>
  <c r="BC414" i="9"/>
  <c r="BC529" i="12"/>
  <c r="BC509"/>
  <c r="Q528"/>
  <c r="Q414" i="9"/>
  <c r="Q522" i="12"/>
  <c r="Q363" i="9"/>
  <c r="Q310"/>
  <c r="Q406"/>
  <c r="Q344"/>
  <c r="Q382"/>
  <c r="Q235"/>
  <c r="V501" i="12"/>
  <c r="I528"/>
  <c r="I529" s="1"/>
  <c r="I414" i="9"/>
  <c r="I525" i="12"/>
  <c r="I370" i="9"/>
  <c r="AO13" i="26"/>
  <c r="AO13" i="33" s="1"/>
  <c r="AJ24"/>
  <c r="AZ24" i="34"/>
  <c r="DJ24" i="33" s="1"/>
  <c r="BB526" i="12"/>
  <c r="BB501"/>
  <c r="S344" i="9"/>
  <c r="S310"/>
  <c r="S382"/>
  <c r="S522" i="12"/>
  <c r="S406" i="9"/>
  <c r="S363"/>
  <c r="S235"/>
  <c r="N406" i="12"/>
  <c r="N409" s="1"/>
  <c r="AT501"/>
  <c r="AE33" i="33"/>
  <c r="AU33" i="34"/>
  <c r="DE33" i="33" s="1"/>
  <c r="T406" i="12"/>
  <c r="T409" s="1"/>
  <c r="AH324" i="9"/>
  <c r="AH331"/>
  <c r="AH325"/>
  <c r="AH23" i="33"/>
  <c r="AI23" i="34"/>
  <c r="CM23" i="33" s="1"/>
  <c r="AH528" i="12"/>
  <c r="AH414" i="9"/>
  <c r="L344"/>
  <c r="L363"/>
  <c r="L406"/>
  <c r="L522" i="12"/>
  <c r="L310" i="9"/>
  <c r="L382"/>
  <c r="L235"/>
  <c r="L414"/>
  <c r="L528" i="12"/>
  <c r="R560"/>
  <c r="R561" s="1"/>
  <c r="R572" s="1"/>
  <c r="R574" s="1"/>
  <c r="R585" s="1"/>
  <c r="R588" s="1"/>
  <c r="R381"/>
  <c r="R382" s="1"/>
  <c r="R393" s="1"/>
  <c r="R395" s="1"/>
  <c r="R487"/>
  <c r="R488" s="1"/>
  <c r="R499" s="1"/>
  <c r="AN554"/>
  <c r="AN555" s="1"/>
  <c r="AN556" s="1"/>
  <c r="AN557" s="1"/>
  <c r="AN558" s="1"/>
  <c r="AN33" i="26" s="1"/>
  <c r="AN33" i="33" s="1"/>
  <c r="AN481" i="12"/>
  <c r="AN482" s="1"/>
  <c r="AN483" s="1"/>
  <c r="AN484" s="1"/>
  <c r="AN485" s="1"/>
  <c r="AN24" i="26" s="1"/>
  <c r="AN24" i="33" s="1"/>
  <c r="AV560" i="12"/>
  <c r="AV561" s="1"/>
  <c r="AV572" s="1"/>
  <c r="AV574" s="1"/>
  <c r="AV585" s="1"/>
  <c r="AV588" s="1"/>
  <c r="AV381"/>
  <c r="AV382" s="1"/>
  <c r="AV393" s="1"/>
  <c r="AV395" s="1"/>
  <c r="AV487"/>
  <c r="AV488" s="1"/>
  <c r="AV499" s="1"/>
  <c r="O554"/>
  <c r="O555" s="1"/>
  <c r="O556" s="1"/>
  <c r="O557" s="1"/>
  <c r="O558" s="1"/>
  <c r="O33" i="26" s="1"/>
  <c r="O33" i="33" s="1"/>
  <c r="O481" i="12"/>
  <c r="O482" s="1"/>
  <c r="O483" s="1"/>
  <c r="O484" s="1"/>
  <c r="O485" s="1"/>
  <c r="O24" i="26" s="1"/>
  <c r="O24" i="33" s="1"/>
  <c r="M481" i="12"/>
  <c r="M482" s="1"/>
  <c r="M483" s="1"/>
  <c r="M484" s="1"/>
  <c r="M485" s="1"/>
  <c r="M24" i="26" s="1"/>
  <c r="M24" i="33" s="1"/>
  <c r="M554" i="12"/>
  <c r="M555" s="1"/>
  <c r="M556" s="1"/>
  <c r="M557" s="1"/>
  <c r="M558" s="1"/>
  <c r="M33" i="26" s="1"/>
  <c r="M33" i="33" s="1"/>
  <c r="AA554" i="12"/>
  <c r="AA555" s="1"/>
  <c r="AA556" s="1"/>
  <c r="AA557" s="1"/>
  <c r="AA558" s="1"/>
  <c r="AA33" i="26" s="1"/>
  <c r="AA481" i="12"/>
  <c r="AA482" s="1"/>
  <c r="AA483" s="1"/>
  <c r="AA484" s="1"/>
  <c r="AA485" s="1"/>
  <c r="AA24" i="26" s="1"/>
  <c r="BF481" i="12"/>
  <c r="BF482" s="1"/>
  <c r="BF483" s="1"/>
  <c r="BF554"/>
  <c r="BF555" s="1"/>
  <c r="BF556" s="1"/>
  <c r="BG332" i="9"/>
  <c r="BG326"/>
  <c r="AR332"/>
  <c r="AR326"/>
  <c r="X32" i="33"/>
  <c r="AP32" i="34"/>
  <c r="CT32" i="33" s="1"/>
  <c r="H32" i="34"/>
  <c r="Y32"/>
  <c r="X23" i="33"/>
  <c r="AP23" i="34"/>
  <c r="CT23" i="33" s="1"/>
  <c r="Y23" i="34"/>
  <c r="H23"/>
  <c r="X525" i="12"/>
  <c r="X526" s="1"/>
  <c r="X370" i="9"/>
  <c r="X344"/>
  <c r="X382"/>
  <c r="X406"/>
  <c r="X310"/>
  <c r="X522" i="12"/>
  <c r="X363" i="9"/>
  <c r="X235"/>
  <c r="BI509" i="12"/>
  <c r="AD324" i="9"/>
  <c r="AD331"/>
  <c r="AD325"/>
  <c r="AK316"/>
  <c r="AK317"/>
  <c r="AK32" i="33"/>
  <c r="BA32" i="34"/>
  <c r="DK32" i="33" s="1"/>
  <c r="AK525" i="12"/>
  <c r="AK526" s="1"/>
  <c r="AK370" i="9"/>
  <c r="AK509" i="12"/>
  <c r="AC15" i="29"/>
  <c r="AC104"/>
  <c r="AC117" s="1"/>
  <c r="V316" i="9"/>
  <c r="V317"/>
  <c r="AO509" i="12"/>
  <c r="S316" i="9"/>
  <c r="S317"/>
  <c r="N316"/>
  <c r="N317"/>
  <c r="AX318"/>
  <c r="AX377" i="12"/>
  <c r="AX378" s="1"/>
  <c r="AX550"/>
  <c r="AX551" s="1"/>
  <c r="AX477"/>
  <c r="AX478" s="1"/>
  <c r="AU104" i="29"/>
  <c r="AU117" s="1"/>
  <c r="AU15"/>
  <c r="AG104"/>
  <c r="AG117" s="1"/>
  <c r="AG15"/>
  <c r="AB104"/>
  <c r="AB117" s="1"/>
  <c r="AB15"/>
  <c r="AT316" i="9"/>
  <c r="AT317"/>
  <c r="AT370"/>
  <c r="AT525" i="12"/>
  <c r="AT526" s="1"/>
  <c r="AT509"/>
  <c r="M528"/>
  <c r="M414" i="9"/>
  <c r="M344"/>
  <c r="M522" i="12"/>
  <c r="M310" i="9"/>
  <c r="M406"/>
  <c r="M382"/>
  <c r="M363"/>
  <c r="M235"/>
  <c r="BA13" i="26"/>
  <c r="BA13" i="33" s="1"/>
  <c r="AQ526" i="12"/>
  <c r="AQ501"/>
  <c r="AQ512" s="1"/>
  <c r="AR526"/>
  <c r="AR501"/>
  <c r="AR512" s="1"/>
  <c r="K406"/>
  <c r="K409" s="1"/>
  <c r="K326" i="9"/>
  <c r="K332"/>
  <c r="R414"/>
  <c r="R528" i="12"/>
  <c r="R382" i="9"/>
  <c r="R344"/>
  <c r="R363"/>
  <c r="R406"/>
  <c r="R310"/>
  <c r="R522" i="12"/>
  <c r="R320" i="9"/>
  <c r="R235"/>
  <c r="J316"/>
  <c r="J317"/>
  <c r="AP370"/>
  <c r="AP525" i="12"/>
  <c r="AP310" i="9"/>
  <c r="AP320"/>
  <c r="AP363"/>
  <c r="AP344"/>
  <c r="AP522" i="12"/>
  <c r="AP406" i="9"/>
  <c r="AP382"/>
  <c r="AP235"/>
  <c r="X316"/>
  <c r="X317"/>
  <c r="X33" i="33"/>
  <c r="H33" i="34"/>
  <c r="Y33"/>
  <c r="BI316" i="9"/>
  <c r="BI104" i="29" s="1"/>
  <c r="BI117" s="1"/>
  <c r="BI317" i="9"/>
  <c r="BI320" s="1"/>
  <c r="BI363"/>
  <c r="BI344"/>
  <c r="BI382"/>
  <c r="BI310"/>
  <c r="BI522" i="12"/>
  <c r="BI406" i="9"/>
  <c r="BI235"/>
  <c r="AD23" i="33"/>
  <c r="AT23" i="34"/>
  <c r="DD23" i="33" s="1"/>
  <c r="AD370" i="9"/>
  <c r="AD525" i="12"/>
  <c r="AD526" s="1"/>
  <c r="AD528"/>
  <c r="AD414" i="9"/>
  <c r="AD529" i="12"/>
  <c r="AD509"/>
  <c r="CG32" i="33"/>
  <c r="AM316" i="9"/>
  <c r="AM317"/>
  <c r="BC32" i="34"/>
  <c r="DM32" i="33" s="1"/>
  <c r="AM32"/>
  <c r="AM525" i="12"/>
  <c r="AM370" i="9"/>
  <c r="AM509" i="12"/>
  <c r="BH324" i="9"/>
  <c r="BH331"/>
  <c r="BH325"/>
  <c r="AN528" i="12"/>
  <c r="AN529" s="1"/>
  <c r="AN414" i="9"/>
  <c r="AN522" i="12"/>
  <c r="AN382" i="9"/>
  <c r="AN320"/>
  <c r="AN363"/>
  <c r="AN310"/>
  <c r="AN406"/>
  <c r="AN344"/>
  <c r="AN235"/>
  <c r="AA331"/>
  <c r="AA325"/>
  <c r="AA324"/>
  <c r="AY370"/>
  <c r="AY525" i="12"/>
  <c r="Y324" i="9"/>
  <c r="Y331"/>
  <c r="Y325"/>
  <c r="Y329" s="1"/>
  <c r="Y23" i="33"/>
  <c r="Z23" i="34"/>
  <c r="CD23" i="33" s="1"/>
  <c r="I23" i="34"/>
  <c r="Y32" i="33"/>
  <c r="I32" i="34"/>
  <c r="Z32"/>
  <c r="CD32" i="33" s="1"/>
  <c r="Y382" i="9"/>
  <c r="Y310"/>
  <c r="Y363"/>
  <c r="Y522" i="12"/>
  <c r="Y344" i="9"/>
  <c r="Y406"/>
  <c r="Y235"/>
  <c r="U525" i="12"/>
  <c r="U370" i="9"/>
  <c r="U414"/>
  <c r="U528" i="12"/>
  <c r="W316" i="9"/>
  <c r="W317"/>
  <c r="AV316"/>
  <c r="AV317"/>
  <c r="AV320" s="1"/>
  <c r="AV414"/>
  <c r="AV528" i="12"/>
  <c r="AV529" s="1"/>
  <c r="AV382" i="9"/>
  <c r="AV363"/>
  <c r="AV344"/>
  <c r="AV406"/>
  <c r="AV522" i="12"/>
  <c r="AV310" i="9"/>
  <c r="AV235"/>
  <c r="AV509" i="12"/>
  <c r="O316" i="9"/>
  <c r="O317"/>
  <c r="P525" i="12"/>
  <c r="P370" i="9"/>
  <c r="AS316"/>
  <c r="AS317"/>
  <c r="AS501" i="12"/>
  <c r="AS512" s="1"/>
  <c r="BF331" i="9"/>
  <c r="BF324"/>
  <c r="BF325"/>
  <c r="AK24" i="33"/>
  <c r="BA24" i="34"/>
  <c r="DK24" i="33" s="1"/>
  <c r="BD316" i="9"/>
  <c r="BD317"/>
  <c r="BD528" i="12"/>
  <c r="BD414" i="9"/>
  <c r="Q316"/>
  <c r="Q317"/>
  <c r="AO528" i="12"/>
  <c r="AO529" s="1"/>
  <c r="AO414" i="9"/>
  <c r="AO370"/>
  <c r="AO525" i="12"/>
  <c r="AJ23" i="33"/>
  <c r="AZ23" i="34"/>
  <c r="DJ23" i="33" s="1"/>
  <c r="AJ528" i="12"/>
  <c r="AJ414" i="9"/>
  <c r="AJ522" i="12"/>
  <c r="AJ344" i="9"/>
  <c r="AJ406"/>
  <c r="AJ382"/>
  <c r="AJ310"/>
  <c r="AJ363"/>
  <c r="AJ329"/>
  <c r="AJ235"/>
  <c r="BB509" i="12"/>
  <c r="M324" i="9"/>
  <c r="M331"/>
  <c r="M325"/>
  <c r="M329" s="1"/>
  <c r="AZ331"/>
  <c r="AZ324"/>
  <c r="AZ325"/>
  <c r="AZ525" i="12"/>
  <c r="AZ370" i="9"/>
  <c r="AZ528" i="12"/>
  <c r="AZ414" i="9"/>
  <c r="L331"/>
  <c r="L324"/>
  <c r="L325"/>
  <c r="AB24" i="33"/>
  <c r="AC24" i="34"/>
  <c r="AE316" i="9"/>
  <c r="AE317"/>
  <c r="T316"/>
  <c r="T317"/>
  <c r="BH501" i="12"/>
  <c r="BH512" s="1"/>
  <c r="O501"/>
  <c r="O512" s="1"/>
  <c r="AI526"/>
  <c r="AI501"/>
  <c r="J501"/>
  <c r="AV33" i="34"/>
  <c r="DF33" i="33" s="1"/>
  <c r="AF33"/>
  <c r="AH24"/>
  <c r="AI24" i="34"/>
  <c r="CM24" i="33" s="1"/>
  <c r="L501" i="12"/>
  <c r="AZ394" i="9"/>
  <c r="AZ384" i="12" s="1"/>
  <c r="AZ385" s="1"/>
  <c r="AZ401" s="1"/>
  <c r="AZ403" s="1"/>
  <c r="AF394" i="9"/>
  <c r="AF384" i="12" s="1"/>
  <c r="AF385" s="1"/>
  <c r="AF401" s="1"/>
  <c r="AF403" s="1"/>
  <c r="BB328" i="9"/>
  <c r="AL328"/>
  <c r="W369"/>
  <c r="AF328"/>
  <c r="AW319"/>
  <c r="AW389"/>
  <c r="BC319"/>
  <c r="I328"/>
  <c r="I369"/>
  <c r="AH369"/>
  <c r="L413"/>
  <c r="R394"/>
  <c r="R384" i="12" s="1"/>
  <c r="R385" s="1"/>
  <c r="R401" s="1"/>
  <c r="R403" s="1"/>
  <c r="AB512"/>
  <c r="BE32" i="34"/>
  <c r="DO32" i="33" s="1"/>
  <c r="AK319" i="9"/>
  <c r="AT319"/>
  <c r="M351"/>
  <c r="R389"/>
  <c r="R369"/>
  <c r="AP369"/>
  <c r="AP413"/>
  <c r="BI390"/>
  <c r="BI319"/>
  <c r="BI369"/>
  <c r="AD389"/>
  <c r="AX512" i="12"/>
  <c r="AM390" i="9"/>
  <c r="AM319"/>
  <c r="AN369"/>
  <c r="AN389"/>
  <c r="AN390"/>
  <c r="AY390"/>
  <c r="AY389"/>
  <c r="AY413"/>
  <c r="AY369"/>
  <c r="Y328"/>
  <c r="Y369"/>
  <c r="U369"/>
  <c r="U328"/>
  <c r="AV319"/>
  <c r="AV389"/>
  <c r="P390"/>
  <c r="P389"/>
  <c r="P413"/>
  <c r="BD389"/>
  <c r="BD319"/>
  <c r="BD413"/>
  <c r="AO328"/>
  <c r="AJ328"/>
  <c r="AZ369"/>
  <c r="AZ413"/>
  <c r="AG406" i="12"/>
  <c r="AG409" s="1"/>
  <c r="BH585"/>
  <c r="BH588" s="1"/>
  <c r="AA406"/>
  <c r="AA409" s="1"/>
  <c r="O585"/>
  <c r="O588" s="1"/>
  <c r="BC406"/>
  <c r="BC409" s="1"/>
  <c r="AI406"/>
  <c r="AI409" s="1"/>
  <c r="AE406"/>
  <c r="AE409" s="1"/>
  <c r="J585"/>
  <c r="J588" s="1"/>
  <c r="AL585"/>
  <c r="AL588" s="1"/>
  <c r="L585"/>
  <c r="L588" s="1"/>
  <c r="AL554"/>
  <c r="AL555" s="1"/>
  <c r="AL556" s="1"/>
  <c r="AL557" s="1"/>
  <c r="AL558" s="1"/>
  <c r="AL33" i="26" s="1"/>
  <c r="AL481" i="12"/>
  <c r="AL482" s="1"/>
  <c r="AL483" s="1"/>
  <c r="AL484" s="1"/>
  <c r="AL485" s="1"/>
  <c r="AL24" i="26" s="1"/>
  <c r="Y554" i="12"/>
  <c r="Y555" s="1"/>
  <c r="Y556" s="1"/>
  <c r="Y557" s="1"/>
  <c r="Y558" s="1"/>
  <c r="Y33" i="26" s="1"/>
  <c r="AP33" i="34" s="1"/>
  <c r="CT33" i="33" s="1"/>
  <c r="Y481" i="12"/>
  <c r="Y482" s="1"/>
  <c r="Y483" s="1"/>
  <c r="Y484" s="1"/>
  <c r="Y485" s="1"/>
  <c r="Y24" i="26" s="1"/>
  <c r="W560" i="12"/>
  <c r="W561" s="1"/>
  <c r="W572" s="1"/>
  <c r="W574" s="1"/>
  <c r="W585" s="1"/>
  <c r="W588" s="1"/>
  <c r="W381"/>
  <c r="W382" s="1"/>
  <c r="W393" s="1"/>
  <c r="W395" s="1"/>
  <c r="W487"/>
  <c r="W488" s="1"/>
  <c r="W499" s="1"/>
  <c r="BC481"/>
  <c r="BC482" s="1"/>
  <c r="BC483" s="1"/>
  <c r="BC484" s="1"/>
  <c r="BC485" s="1"/>
  <c r="BC24" i="26" s="1"/>
  <c r="BC24" i="33" s="1"/>
  <c r="BC554" i="12"/>
  <c r="BC555" s="1"/>
  <c r="BC556" s="1"/>
  <c r="BC557" s="1"/>
  <c r="BC558" s="1"/>
  <c r="BC33" i="26" s="1"/>
  <c r="BC33" i="33" s="1"/>
  <c r="I481" i="12"/>
  <c r="I482" s="1"/>
  <c r="I483" s="1"/>
  <c r="I554"/>
  <c r="I555" s="1"/>
  <c r="I556" s="1"/>
  <c r="AZ560"/>
  <c r="AZ561" s="1"/>
  <c r="AZ572" s="1"/>
  <c r="AZ574" s="1"/>
  <c r="AZ585" s="1"/>
  <c r="AZ588" s="1"/>
  <c r="AZ381"/>
  <c r="AZ382" s="1"/>
  <c r="AZ393" s="1"/>
  <c r="AZ395" s="1"/>
  <c r="AZ487"/>
  <c r="AZ488" s="1"/>
  <c r="AZ499" s="1"/>
  <c r="AH560"/>
  <c r="AH561" s="1"/>
  <c r="AH572" s="1"/>
  <c r="AH574" s="1"/>
  <c r="AH585" s="1"/>
  <c r="AH588" s="1"/>
  <c r="AH381"/>
  <c r="AH382" s="1"/>
  <c r="AH393" s="1"/>
  <c r="AH395" s="1"/>
  <c r="AH487"/>
  <c r="AH488" s="1"/>
  <c r="AH499" s="1"/>
  <c r="AB13" i="26"/>
  <c r="AB13" i="33" s="1"/>
  <c r="AM560" i="12"/>
  <c r="AM561" s="1"/>
  <c r="AM572" s="1"/>
  <c r="AM574" s="1"/>
  <c r="AM585" s="1"/>
  <c r="AM588" s="1"/>
  <c r="AM381"/>
  <c r="AM382" s="1"/>
  <c r="AM393" s="1"/>
  <c r="AM395" s="1"/>
  <c r="AM406" s="1"/>
  <c r="AM409" s="1"/>
  <c r="AM487"/>
  <c r="AM488" s="1"/>
  <c r="AM499" s="1"/>
  <c r="AN560"/>
  <c r="AN561" s="1"/>
  <c r="AN572" s="1"/>
  <c r="AN574" s="1"/>
  <c r="AN585" s="1"/>
  <c r="AN588" s="1"/>
  <c r="AN381"/>
  <c r="AN382" s="1"/>
  <c r="AN393" s="1"/>
  <c r="AN395" s="1"/>
  <c r="AN406" s="1"/>
  <c r="AN409" s="1"/>
  <c r="AN487"/>
  <c r="AN488" s="1"/>
  <c r="AN499" s="1"/>
  <c r="AY560"/>
  <c r="AY561" s="1"/>
  <c r="AY572" s="1"/>
  <c r="AY574" s="1"/>
  <c r="AY585" s="1"/>
  <c r="AY588" s="1"/>
  <c r="AY381"/>
  <c r="AY382" s="1"/>
  <c r="AY393" s="1"/>
  <c r="AY395" s="1"/>
  <c r="AY487"/>
  <c r="AY488" s="1"/>
  <c r="AY499" s="1"/>
  <c r="AV554"/>
  <c r="AV555" s="1"/>
  <c r="AV556" s="1"/>
  <c r="AV557" s="1"/>
  <c r="AV558" s="1"/>
  <c r="AV33" i="26" s="1"/>
  <c r="AV33" i="33" s="1"/>
  <c r="AV481" i="12"/>
  <c r="AV482" s="1"/>
  <c r="AV483" s="1"/>
  <c r="AV484" s="1"/>
  <c r="AV485" s="1"/>
  <c r="AV24" i="26" s="1"/>
  <c r="AV24" i="33" s="1"/>
  <c r="P560" i="12"/>
  <c r="P561" s="1"/>
  <c r="P572" s="1"/>
  <c r="P574" s="1"/>
  <c r="P585" s="1"/>
  <c r="P588" s="1"/>
  <c r="P381"/>
  <c r="P382" s="1"/>
  <c r="P393" s="1"/>
  <c r="P395" s="1"/>
  <c r="P406" s="1"/>
  <c r="P409" s="1"/>
  <c r="P487"/>
  <c r="P488" s="1"/>
  <c r="P499" s="1"/>
  <c r="BF560"/>
  <c r="BF561" s="1"/>
  <c r="BF572" s="1"/>
  <c r="BF574" s="1"/>
  <c r="BF585" s="1"/>
  <c r="BF588" s="1"/>
  <c r="BF381"/>
  <c r="BF382" s="1"/>
  <c r="BF393" s="1"/>
  <c r="BF395" s="1"/>
  <c r="BF487"/>
  <c r="BF488" s="1"/>
  <c r="BF499" s="1"/>
  <c r="BD560"/>
  <c r="BD561" s="1"/>
  <c r="BD572" s="1"/>
  <c r="BD574" s="1"/>
  <c r="BD585" s="1"/>
  <c r="BD588" s="1"/>
  <c r="BD381"/>
  <c r="BD382" s="1"/>
  <c r="BD393" s="1"/>
  <c r="BD395" s="1"/>
  <c r="BD487"/>
  <c r="BD488" s="1"/>
  <c r="BD499" s="1"/>
  <c r="Q560"/>
  <c r="Q561" s="1"/>
  <c r="Q572" s="1"/>
  <c r="Q574" s="1"/>
  <c r="Q585" s="1"/>
  <c r="Q588" s="1"/>
  <c r="Q381"/>
  <c r="Q382" s="1"/>
  <c r="Q393" s="1"/>
  <c r="Q395" s="1"/>
  <c r="Q406" s="1"/>
  <c r="Q409" s="1"/>
  <c r="Q487"/>
  <c r="Q488" s="1"/>
  <c r="Q499" s="1"/>
  <c r="AO554"/>
  <c r="AO555" s="1"/>
  <c r="AO556" s="1"/>
  <c r="AO557" s="1"/>
  <c r="AO558" s="1"/>
  <c r="AO33" i="26" s="1"/>
  <c r="AO33" i="33" s="1"/>
  <c r="AO481" i="12"/>
  <c r="AO482" s="1"/>
  <c r="AO483" s="1"/>
  <c r="AO484" s="1"/>
  <c r="AO485" s="1"/>
  <c r="AO24" i="26" s="1"/>
  <c r="AO24" i="33" s="1"/>
  <c r="AJ560" i="12"/>
  <c r="AJ561" s="1"/>
  <c r="AJ572" s="1"/>
  <c r="AJ574" s="1"/>
  <c r="AJ585" s="1"/>
  <c r="AJ588" s="1"/>
  <c r="AJ381"/>
  <c r="AJ382" s="1"/>
  <c r="AJ393" s="1"/>
  <c r="AJ395" s="1"/>
  <c r="AJ487"/>
  <c r="AJ488" s="1"/>
  <c r="AJ499" s="1"/>
  <c r="I560"/>
  <c r="I561" s="1"/>
  <c r="I572" s="1"/>
  <c r="I574" s="1"/>
  <c r="I585" s="1"/>
  <c r="I588" s="1"/>
  <c r="I381"/>
  <c r="I382" s="1"/>
  <c r="I393" s="1"/>
  <c r="I395" s="1"/>
  <c r="I406" s="1"/>
  <c r="I409" s="1"/>
  <c r="I487"/>
  <c r="I488" s="1"/>
  <c r="I499" s="1"/>
  <c r="BA15" i="29"/>
  <c r="BA104"/>
  <c r="BA117" s="1"/>
  <c r="AQ318" i="9"/>
  <c r="AQ477" i="12"/>
  <c r="AQ478" s="1"/>
  <c r="AQ550"/>
  <c r="AQ551" s="1"/>
  <c r="AQ377"/>
  <c r="AQ378" s="1"/>
  <c r="BG318" i="9"/>
  <c r="BG377" i="12"/>
  <c r="BG378" s="1"/>
  <c r="BG477"/>
  <c r="BG478" s="1"/>
  <c r="BG550"/>
  <c r="BG551" s="1"/>
  <c r="DC23" i="33"/>
  <c r="Z318" i="9"/>
  <c r="Z377" i="12"/>
  <c r="Z378" s="1"/>
  <c r="Z550"/>
  <c r="Z551" s="1"/>
  <c r="Z477"/>
  <c r="Z478" s="1"/>
  <c r="AR318" i="9"/>
  <c r="AR377" i="12"/>
  <c r="AR378" s="1"/>
  <c r="AR477"/>
  <c r="AR478" s="1"/>
  <c r="AR550"/>
  <c r="AR551" s="1"/>
  <c r="X13" i="26"/>
  <c r="X13" i="33" s="1"/>
  <c r="AA509" i="12"/>
  <c r="U529"/>
  <c r="U509"/>
  <c r="W509"/>
  <c r="W529"/>
  <c r="BE370" i="9"/>
  <c r="BE525" i="12"/>
  <c r="BE526" s="1"/>
  <c r="H522"/>
  <c r="H310" i="9"/>
  <c r="H406"/>
  <c r="H329"/>
  <c r="H344"/>
  <c r="H382"/>
  <c r="H363"/>
  <c r="H235"/>
  <c r="H525" i="12"/>
  <c r="H526" s="1"/>
  <c r="H370" i="9"/>
  <c r="AS528" i="12"/>
  <c r="AS529" s="1"/>
  <c r="AS414" i="9"/>
  <c r="AS370"/>
  <c r="AS525" i="12"/>
  <c r="AS526" s="1"/>
  <c r="BF509"/>
  <c r="AI32" i="33"/>
  <c r="AJ32" i="34"/>
  <c r="CN32" i="33" s="1"/>
  <c r="AI522" i="12"/>
  <c r="AI310" i="9"/>
  <c r="AI363"/>
  <c r="AI329"/>
  <c r="AI406"/>
  <c r="AI344"/>
  <c r="AI382"/>
  <c r="AI235"/>
  <c r="AI414"/>
  <c r="AI528" i="12"/>
  <c r="Q509"/>
  <c r="Q529"/>
  <c r="AC326" i="9"/>
  <c r="AC332"/>
  <c r="I316"/>
  <c r="I317"/>
  <c r="AO316"/>
  <c r="AO317"/>
  <c r="AJ316"/>
  <c r="AJ317"/>
  <c r="BB316"/>
  <c r="BB317"/>
  <c r="BB528" i="12"/>
  <c r="BB529" s="1"/>
  <c r="BB414" i="9"/>
  <c r="N310"/>
  <c r="N406"/>
  <c r="N522" i="12"/>
  <c r="N382" i="9"/>
  <c r="N344"/>
  <c r="N363"/>
  <c r="N320"/>
  <c r="N235"/>
  <c r="AX332"/>
  <c r="AX326"/>
  <c r="AU326"/>
  <c r="AU332"/>
  <c r="AB332"/>
  <c r="AB326"/>
  <c r="M13" i="26"/>
  <c r="M13" i="33" s="1"/>
  <c r="AE23"/>
  <c r="AU23" i="34"/>
  <c r="DE23" i="33" s="1"/>
  <c r="AE406" i="9"/>
  <c r="AE382"/>
  <c r="AE310"/>
  <c r="AE522" i="12"/>
  <c r="AE363" i="9"/>
  <c r="AE344"/>
  <c r="AE320"/>
  <c r="AE235"/>
  <c r="AE525" i="12"/>
  <c r="AE370" i="9"/>
  <c r="T363"/>
  <c r="T406"/>
  <c r="T382"/>
  <c r="T310"/>
  <c r="T522" i="12"/>
  <c r="T320" i="9"/>
  <c r="T344"/>
  <c r="T235"/>
  <c r="T528" i="12"/>
  <c r="T529" s="1"/>
  <c r="T414" i="9"/>
  <c r="AH509" i="12"/>
  <c r="AH529"/>
  <c r="AC33" i="33"/>
  <c r="AS33" i="34"/>
  <c r="BG526" i="12"/>
  <c r="BG501"/>
  <c r="BG512" s="1"/>
  <c r="J33" i="34"/>
  <c r="BN33" i="33" s="1"/>
  <c r="Z33"/>
  <c r="K318" i="9"/>
  <c r="K550" i="12"/>
  <c r="K551" s="1"/>
  <c r="K377"/>
  <c r="K378" s="1"/>
  <c r="K477"/>
  <c r="K478" s="1"/>
  <c r="R331" i="9"/>
  <c r="R324"/>
  <c r="R325"/>
  <c r="J310"/>
  <c r="J522" i="12"/>
  <c r="J344" i="9"/>
  <c r="J320"/>
  <c r="J382"/>
  <c r="J406"/>
  <c r="J363"/>
  <c r="J235"/>
  <c r="J525" i="12"/>
  <c r="J526" s="1"/>
  <c r="J370" i="9"/>
  <c r="J509" i="12"/>
  <c r="J529"/>
  <c r="AP324" i="9"/>
  <c r="AP331"/>
  <c r="AP325"/>
  <c r="AU532" i="12"/>
  <c r="AU515"/>
  <c r="CG23" i="33"/>
  <c r="AO23" i="34"/>
  <c r="CS23" i="33" s="1"/>
  <c r="AL316" i="9"/>
  <c r="AL317"/>
  <c r="AL32" i="33"/>
  <c r="BB32" i="34"/>
  <c r="DL32" i="33" s="1"/>
  <c r="AL406" i="9"/>
  <c r="AL329"/>
  <c r="AL522" i="12"/>
  <c r="AL310" i="9"/>
  <c r="AL344"/>
  <c r="AL320"/>
  <c r="AL363"/>
  <c r="AL382"/>
  <c r="AL235"/>
  <c r="AL528" i="12"/>
  <c r="AL529" s="1"/>
  <c r="AL414" i="9"/>
  <c r="AL509" i="12"/>
  <c r="BH344" i="9"/>
  <c r="BH310"/>
  <c r="BH406"/>
  <c r="BH382"/>
  <c r="BH329"/>
  <c r="BH522" i="12"/>
  <c r="BH363" i="9"/>
  <c r="BH235"/>
  <c r="AN331"/>
  <c r="AN324"/>
  <c r="AN325"/>
  <c r="AA23" i="33"/>
  <c r="K23" i="34"/>
  <c r="BO23" i="33" s="1"/>
  <c r="K32" i="34"/>
  <c r="BO32" i="33" s="1"/>
  <c r="AA32"/>
  <c r="AA406" i="9"/>
  <c r="AA522" i="12"/>
  <c r="AA382" i="9"/>
  <c r="AA344"/>
  <c r="AA310"/>
  <c r="AA363"/>
  <c r="AA329"/>
  <c r="AA235"/>
  <c r="AA528" i="12"/>
  <c r="AA529" s="1"/>
  <c r="AA414" i="9"/>
  <c r="AY316"/>
  <c r="AY317"/>
  <c r="U316"/>
  <c r="U317"/>
  <c r="W525" i="12"/>
  <c r="W370" i="9"/>
  <c r="W363"/>
  <c r="W310"/>
  <c r="W406"/>
  <c r="W320"/>
  <c r="W522" i="12"/>
  <c r="W344" i="9"/>
  <c r="W382"/>
  <c r="W235"/>
  <c r="AF316"/>
  <c r="AF317"/>
  <c r="AF320" s="1"/>
  <c r="AF32" i="33"/>
  <c r="AV32" i="34"/>
  <c r="DF32" i="33" s="1"/>
  <c r="AF23"/>
  <c r="AV23" i="34"/>
  <c r="DF23" i="33" s="1"/>
  <c r="AF370" i="9"/>
  <c r="AF525" i="12"/>
  <c r="AF329" i="9"/>
  <c r="AF363"/>
  <c r="AF344"/>
  <c r="AF310"/>
  <c r="AF522" i="12"/>
  <c r="AF406" i="9"/>
  <c r="AF382"/>
  <c r="AF235"/>
  <c r="BE316"/>
  <c r="BE317"/>
  <c r="BE501" i="12"/>
  <c r="AW324" i="9"/>
  <c r="AW331"/>
  <c r="AW325"/>
  <c r="AW329" s="1"/>
  <c r="AW406"/>
  <c r="AW522" i="12"/>
  <c r="AW320" i="9"/>
  <c r="AW363"/>
  <c r="AW310"/>
  <c r="AW344"/>
  <c r="AW382"/>
  <c r="AW235"/>
  <c r="O522" i="12"/>
  <c r="O344" i="9"/>
  <c r="O320"/>
  <c r="O363"/>
  <c r="O310"/>
  <c r="O382"/>
  <c r="O406"/>
  <c r="O235"/>
  <c r="O370"/>
  <c r="O525" i="12"/>
  <c r="O526" s="1"/>
  <c r="H316" i="9"/>
  <c r="H317"/>
  <c r="H529" i="12"/>
  <c r="H509"/>
  <c r="P331" i="9"/>
  <c r="P324"/>
  <c r="P325"/>
  <c r="BF525" i="12"/>
  <c r="BF370" i="9"/>
  <c r="AI316"/>
  <c r="AI317"/>
  <c r="AI320" s="1"/>
  <c r="AI33" i="33"/>
  <c r="AJ33" i="34"/>
  <c r="CN33" i="33" s="1"/>
  <c r="BC331" i="9"/>
  <c r="BC324"/>
  <c r="BC325"/>
  <c r="BC344"/>
  <c r="BC382"/>
  <c r="BC406"/>
  <c r="BC329"/>
  <c r="BC320"/>
  <c r="BC363"/>
  <c r="BC522" i="12"/>
  <c r="BC310" i="9"/>
  <c r="BC235"/>
  <c r="Q370"/>
  <c r="Q525" i="12"/>
  <c r="V13" i="26"/>
  <c r="V13" i="33" s="1"/>
  <c r="V529" i="12"/>
  <c r="V509"/>
  <c r="I382" i="9"/>
  <c r="I522" i="12"/>
  <c r="I406" i="9"/>
  <c r="I329"/>
  <c r="I320"/>
  <c r="I363"/>
  <c r="I344"/>
  <c r="I310"/>
  <c r="I235"/>
  <c r="AO526" i="12"/>
  <c r="AO501"/>
  <c r="AO512" s="1"/>
  <c r="AJ33" i="33"/>
  <c r="AZ33" i="34"/>
  <c r="DJ33" i="33" s="1"/>
  <c r="BB13" i="26"/>
  <c r="BB13" i="33" s="1"/>
  <c r="S414" i="9"/>
  <c r="S528" i="12"/>
  <c r="S370" i="9"/>
  <c r="S525" i="12"/>
  <c r="N526"/>
  <c r="N501"/>
  <c r="N512" s="1"/>
  <c r="AT13" i="26"/>
  <c r="AT13" i="33" s="1"/>
  <c r="AE24"/>
  <c r="AU24" i="34"/>
  <c r="DE24" i="33" s="1"/>
  <c r="T526" i="12"/>
  <c r="T501"/>
  <c r="T512" s="1"/>
  <c r="AH316" i="9"/>
  <c r="AH317"/>
  <c r="AH320" s="1"/>
  <c r="AH32" i="33"/>
  <c r="AI32" i="34"/>
  <c r="CM32" i="33" s="1"/>
  <c r="AH522" i="12"/>
  <c r="AH406" i="9"/>
  <c r="AH363"/>
  <c r="AH310"/>
  <c r="AH329"/>
  <c r="AH344"/>
  <c r="AH382"/>
  <c r="AH235"/>
  <c r="AH370"/>
  <c r="AH525" i="12"/>
  <c r="L370" i="9"/>
  <c r="L525" i="12"/>
  <c r="L526" s="1"/>
  <c r="R554"/>
  <c r="R555" s="1"/>
  <c r="R556" s="1"/>
  <c r="R557" s="1"/>
  <c r="R558" s="1"/>
  <c r="R33" i="26" s="1"/>
  <c r="R33" i="33" s="1"/>
  <c r="R481" i="12"/>
  <c r="R482" s="1"/>
  <c r="R483" s="1"/>
  <c r="R484" s="1"/>
  <c r="R485" s="1"/>
  <c r="R24" i="26" s="1"/>
  <c r="R24" i="33" s="1"/>
  <c r="J481" i="12"/>
  <c r="J482" s="1"/>
  <c r="J483" s="1"/>
  <c r="J554"/>
  <c r="J555" s="1"/>
  <c r="J556" s="1"/>
  <c r="AP560"/>
  <c r="AP561" s="1"/>
  <c r="AP572" s="1"/>
  <c r="AP574" s="1"/>
  <c r="AP585" s="1"/>
  <c r="AP588" s="1"/>
  <c r="AP381"/>
  <c r="AP382" s="1"/>
  <c r="AP393" s="1"/>
  <c r="AP395" s="1"/>
  <c r="AP406" s="1"/>
  <c r="AP409" s="1"/>
  <c r="AP487"/>
  <c r="AP488" s="1"/>
  <c r="AP499" s="1"/>
  <c r="AP481"/>
  <c r="AP482" s="1"/>
  <c r="AP483" s="1"/>
  <c r="AP484" s="1"/>
  <c r="AP485" s="1"/>
  <c r="AP24" i="26" s="1"/>
  <c r="AP24" i="33" s="1"/>
  <c r="AP554" i="12"/>
  <c r="AP555" s="1"/>
  <c r="AP556" s="1"/>
  <c r="AP557" s="1"/>
  <c r="AP558" s="1"/>
  <c r="AP33" i="26" s="1"/>
  <c r="AP33" i="33" s="1"/>
  <c r="AD481" i="12"/>
  <c r="AD482" s="1"/>
  <c r="AD483" s="1"/>
  <c r="AD484" s="1"/>
  <c r="AD485" s="1"/>
  <c r="AD24" i="26" s="1"/>
  <c r="AD554" i="12"/>
  <c r="AD555" s="1"/>
  <c r="AD556" s="1"/>
  <c r="AD557" s="1"/>
  <c r="AD558" s="1"/>
  <c r="AD33" i="26" s="1"/>
  <c r="AM481" i="12"/>
  <c r="AM482" s="1"/>
  <c r="AM483" s="1"/>
  <c r="AM484" s="1"/>
  <c r="AM485" s="1"/>
  <c r="AM24" i="26" s="1"/>
  <c r="AM554" i="12"/>
  <c r="AM555" s="1"/>
  <c r="AM556" s="1"/>
  <c r="AM557" s="1"/>
  <c r="AM558" s="1"/>
  <c r="AM33" i="26" s="1"/>
  <c r="BH481" i="12"/>
  <c r="BH482" s="1"/>
  <c r="BH483" s="1"/>
  <c r="BH554"/>
  <c r="BH555" s="1"/>
  <c r="BH556" s="1"/>
  <c r="Y560"/>
  <c r="Y561" s="1"/>
  <c r="Y572" s="1"/>
  <c r="Y574" s="1"/>
  <c r="Y585" s="1"/>
  <c r="Y588" s="1"/>
  <c r="Y381"/>
  <c r="Y382" s="1"/>
  <c r="Y393" s="1"/>
  <c r="Y395" s="1"/>
  <c r="Y487"/>
  <c r="Y488" s="1"/>
  <c r="Y499" s="1"/>
  <c r="L481"/>
  <c r="L482" s="1"/>
  <c r="L483" s="1"/>
  <c r="L484" s="1"/>
  <c r="L485" s="1"/>
  <c r="L24" i="26" s="1"/>
  <c r="L24" i="33" s="1"/>
  <c r="L554" i="12"/>
  <c r="L555" s="1"/>
  <c r="L556" s="1"/>
  <c r="L557" s="1"/>
  <c r="L558" s="1"/>
  <c r="L33" i="26" s="1"/>
  <c r="L33" i="33" s="1"/>
  <c r="W481" i="12"/>
  <c r="W482" s="1"/>
  <c r="W483" s="1"/>
  <c r="W484" s="1"/>
  <c r="W485" s="1"/>
  <c r="W24" i="26" s="1"/>
  <c r="W24" i="33" s="1"/>
  <c r="W554" i="12"/>
  <c r="W555" s="1"/>
  <c r="W556" s="1"/>
  <c r="W557" s="1"/>
  <c r="W558" s="1"/>
  <c r="W33" i="26" s="1"/>
  <c r="W33" i="33" s="1"/>
  <c r="S560" i="12"/>
  <c r="S561" s="1"/>
  <c r="S572" s="1"/>
  <c r="S574" s="1"/>
  <c r="S585" s="1"/>
  <c r="S588" s="1"/>
  <c r="S381"/>
  <c r="S382" s="1"/>
  <c r="S393" s="1"/>
  <c r="S395" s="1"/>
  <c r="S406" s="1"/>
  <c r="S409" s="1"/>
  <c r="S487"/>
  <c r="S488" s="1"/>
  <c r="S499" s="1"/>
  <c r="BA326" i="9"/>
  <c r="BA332"/>
  <c r="AQ326"/>
  <c r="AQ332"/>
  <c r="DC32" i="33"/>
  <c r="Z332" i="9"/>
  <c r="Z326"/>
  <c r="X414"/>
  <c r="X528" i="12"/>
  <c r="X529" s="1"/>
  <c r="AD316" i="9"/>
  <c r="AD317"/>
  <c r="AD320" s="1"/>
  <c r="AY509" i="12"/>
  <c r="AK331" i="9"/>
  <c r="AK324"/>
  <c r="AK325"/>
  <c r="AK329" s="1"/>
  <c r="AK23" i="33"/>
  <c r="BA23" i="34"/>
  <c r="DK23" i="33" s="1"/>
  <c r="AK528" i="12"/>
  <c r="AK529" s="1"/>
  <c r="AK414" i="9"/>
  <c r="AK363"/>
  <c r="AK522" i="12"/>
  <c r="AK382" i="9"/>
  <c r="AK406"/>
  <c r="AK310"/>
  <c r="AK320"/>
  <c r="AK344"/>
  <c r="AK235"/>
  <c r="BD529" i="12"/>
  <c r="BD509"/>
  <c r="AC318" i="9"/>
  <c r="AC377" i="12"/>
  <c r="AC378" s="1"/>
  <c r="AC477"/>
  <c r="AC478" s="1"/>
  <c r="AC550"/>
  <c r="AC551" s="1"/>
  <c r="V331" i="9"/>
  <c r="V324"/>
  <c r="V325"/>
  <c r="V329" s="1"/>
  <c r="AJ529" i="12"/>
  <c r="AJ509"/>
  <c r="S324" i="9"/>
  <c r="S331"/>
  <c r="S325"/>
  <c r="S509" i="12"/>
  <c r="S529"/>
  <c r="N331" i="9"/>
  <c r="N324"/>
  <c r="N325"/>
  <c r="N329" s="1"/>
  <c r="AX15" i="29"/>
  <c r="AX104"/>
  <c r="AX117" s="1"/>
  <c r="AU318" i="9"/>
  <c r="AU550" i="12"/>
  <c r="AU551" s="1"/>
  <c r="AU377"/>
  <c r="AU378" s="1"/>
  <c r="AU477"/>
  <c r="AU478" s="1"/>
  <c r="AG318" i="9"/>
  <c r="AG377" i="12"/>
  <c r="AG378" s="1"/>
  <c r="AG477"/>
  <c r="AG478" s="1"/>
  <c r="AG550"/>
  <c r="AG551" s="1"/>
  <c r="AB318" i="9"/>
  <c r="AB477" i="12"/>
  <c r="AB478" s="1"/>
  <c r="AB377"/>
  <c r="AB378" s="1"/>
  <c r="AB550"/>
  <c r="AB551" s="1"/>
  <c r="AT331" i="9"/>
  <c r="AT324"/>
  <c r="AT325"/>
  <c r="AT329" s="1"/>
  <c r="AT528" i="12"/>
  <c r="AT529" s="1"/>
  <c r="AT414" i="9"/>
  <c r="AT522" i="12"/>
  <c r="AT406" i="9"/>
  <c r="AT344"/>
  <c r="AT382"/>
  <c r="AT310"/>
  <c r="AT363"/>
  <c r="AT320"/>
  <c r="AT235"/>
  <c r="M370"/>
  <c r="M525" i="12"/>
  <c r="M526" s="1"/>
  <c r="AZ509"/>
  <c r="AZ529"/>
  <c r="L509"/>
  <c r="L529"/>
  <c r="BA526"/>
  <c r="BA501"/>
  <c r="BA512" s="1"/>
  <c r="Z526"/>
  <c r="Z501"/>
  <c r="Z512" s="1"/>
  <c r="AR13" i="26"/>
  <c r="AR13" i="33" s="1"/>
  <c r="K526" i="12"/>
  <c r="K501"/>
  <c r="K512" s="1"/>
  <c r="R370" i="9"/>
  <c r="R525" i="12"/>
  <c r="R509"/>
  <c r="R529"/>
  <c r="J324" i="9"/>
  <c r="J325"/>
  <c r="J329" s="1"/>
  <c r="J331"/>
  <c r="AP528" i="12"/>
  <c r="AP529" s="1"/>
  <c r="AP414" i="9"/>
  <c r="X324"/>
  <c r="X331"/>
  <c r="X325"/>
  <c r="X329" s="1"/>
  <c r="AP24" i="34"/>
  <c r="CT24" i="33" s="1"/>
  <c r="X24"/>
  <c r="Y24" i="34"/>
  <c r="H24"/>
  <c r="BI324" i="9"/>
  <c r="BI331"/>
  <c r="BI325"/>
  <c r="BI528" i="12"/>
  <c r="BI529" s="1"/>
  <c r="BI414" i="9"/>
  <c r="BI370"/>
  <c r="BI525" i="12"/>
  <c r="AT32" i="34"/>
  <c r="DD32" i="33" s="1"/>
  <c r="AD32"/>
  <c r="AD310" i="9"/>
  <c r="AD406"/>
  <c r="AD344"/>
  <c r="AD522" i="12"/>
  <c r="AD363" i="9"/>
  <c r="AD382"/>
  <c r="AD329"/>
  <c r="AD235"/>
  <c r="AM324"/>
  <c r="AM331"/>
  <c r="AM325"/>
  <c r="BC23" i="34"/>
  <c r="DM23" i="33" s="1"/>
  <c r="AM23"/>
  <c r="AM528" i="12"/>
  <c r="AM529" s="1"/>
  <c r="AM414" i="9"/>
  <c r="AM310"/>
  <c r="AM329"/>
  <c r="AM406"/>
  <c r="AM382"/>
  <c r="AM363"/>
  <c r="AM320"/>
  <c r="AM522" i="12"/>
  <c r="AM344" i="9"/>
  <c r="AM235"/>
  <c r="BH316"/>
  <c r="BH104" i="29" s="1"/>
  <c r="BH117" s="1"/>
  <c r="BH317" i="9"/>
  <c r="AN370"/>
  <c r="AN525" i="12"/>
  <c r="AA316" i="9"/>
  <c r="AA317"/>
  <c r="AY310"/>
  <c r="AY406"/>
  <c r="AY363"/>
  <c r="AY382"/>
  <c r="AY522" i="12"/>
  <c r="AY329" i="9"/>
  <c r="AY344"/>
  <c r="AY320"/>
  <c r="AY235"/>
  <c r="AY414"/>
  <c r="AY528" i="12"/>
  <c r="AY529" s="1"/>
  <c r="Y316" i="9"/>
  <c r="Y317"/>
  <c r="Y525" i="12"/>
  <c r="Y370" i="9"/>
  <c r="Y528" i="12"/>
  <c r="Y529" s="1"/>
  <c r="Y414" i="9"/>
  <c r="Y509" i="12"/>
  <c r="U382" i="9"/>
  <c r="U329"/>
  <c r="U406"/>
  <c r="U344"/>
  <c r="U363"/>
  <c r="U522" i="12"/>
  <c r="U320" i="9"/>
  <c r="U310"/>
  <c r="U235"/>
  <c r="W331"/>
  <c r="W324"/>
  <c r="W325"/>
  <c r="AV331"/>
  <c r="AV324"/>
  <c r="AV325"/>
  <c r="AV329" s="1"/>
  <c r="AV525" i="12"/>
  <c r="AV370" i="9"/>
  <c r="BE509" i="12"/>
  <c r="BE529"/>
  <c r="O324" i="9"/>
  <c r="O331"/>
  <c r="O325"/>
  <c r="O329" s="1"/>
  <c r="P528" i="12"/>
  <c r="P529" s="1"/>
  <c r="P414" i="9"/>
  <c r="P382"/>
  <c r="P406"/>
  <c r="P363"/>
  <c r="P344"/>
  <c r="P310"/>
  <c r="P522" i="12"/>
  <c r="P320" i="9"/>
  <c r="P329"/>
  <c r="P235"/>
  <c r="AS331"/>
  <c r="AS325"/>
  <c r="AS329" s="1"/>
  <c r="AS324"/>
  <c r="AS13" i="26"/>
  <c r="AS13" i="33" s="1"/>
  <c r="BF316" i="9"/>
  <c r="BF317"/>
  <c r="AI509" i="12"/>
  <c r="AI529"/>
  <c r="AK33" i="33"/>
  <c r="BA33" i="34"/>
  <c r="DK33" i="33" s="1"/>
  <c r="BD324" i="9"/>
  <c r="BD331"/>
  <c r="BD325"/>
  <c r="BD329" s="1"/>
  <c r="BD406"/>
  <c r="BD363"/>
  <c r="BD522" i="12"/>
  <c r="BD320" i="9"/>
  <c r="BD344"/>
  <c r="BD382"/>
  <c r="BD310"/>
  <c r="BD235"/>
  <c r="BD370"/>
  <c r="BD525" i="12"/>
  <c r="Q324" i="9"/>
  <c r="Q331"/>
  <c r="Q325"/>
  <c r="AO329"/>
  <c r="AO310"/>
  <c r="AO320"/>
  <c r="AO522" i="12"/>
  <c r="AO363" i="9"/>
  <c r="AO382"/>
  <c r="AO344"/>
  <c r="AO406"/>
  <c r="AO235"/>
  <c r="AJ32" i="33"/>
  <c r="AZ32" i="34"/>
  <c r="DJ32" i="33" s="1"/>
  <c r="AJ525" i="12"/>
  <c r="AJ370" i="9"/>
  <c r="M316"/>
  <c r="M317"/>
  <c r="AZ316"/>
  <c r="AZ317"/>
  <c r="AZ320" s="1"/>
  <c r="AZ382"/>
  <c r="AZ406"/>
  <c r="AZ310"/>
  <c r="AZ363"/>
  <c r="AZ344"/>
  <c r="AZ329"/>
  <c r="AZ522" i="12"/>
  <c r="AZ235" i="9"/>
  <c r="L316"/>
  <c r="L317"/>
  <c r="L320" s="1"/>
  <c r="AC33" i="34"/>
  <c r="AB33" i="33"/>
  <c r="M509" i="12"/>
  <c r="M529"/>
  <c r="AE324" i="9"/>
  <c r="AE331"/>
  <c r="AE325"/>
  <c r="AE329" s="1"/>
  <c r="T324"/>
  <c r="T331"/>
  <c r="T325"/>
  <c r="AG526" i="12"/>
  <c r="AG501"/>
  <c r="AG512" s="1"/>
  <c r="AA501"/>
  <c r="AA512" s="1"/>
  <c r="O406"/>
  <c r="O409" s="1"/>
  <c r="BC526"/>
  <c r="BC501"/>
  <c r="BC512" s="1"/>
  <c r="AE526"/>
  <c r="AE501"/>
  <c r="AE512" s="1"/>
  <c r="AL526"/>
  <c r="AL501"/>
  <c r="AL512" s="1"/>
  <c r="AF24" i="33"/>
  <c r="AV24" i="34"/>
  <c r="DF24" i="33" s="1"/>
  <c r="AH33"/>
  <c r="AI33" i="34"/>
  <c r="CM33" i="33" s="1"/>
  <c r="AY394" i="9"/>
  <c r="AY384" i="12" s="1"/>
  <c r="AY385" s="1"/>
  <c r="AY401" s="1"/>
  <c r="AY403" s="1"/>
  <c r="U394" i="9"/>
  <c r="U384" i="12" s="1"/>
  <c r="U385" s="1"/>
  <c r="U401" s="1"/>
  <c r="U403" s="1"/>
  <c r="W394" i="9"/>
  <c r="W384" i="12" s="1"/>
  <c r="W385" s="1"/>
  <c r="W401" s="1"/>
  <c r="W403" s="1"/>
  <c r="AW394" i="9"/>
  <c r="AW384" i="12" s="1"/>
  <c r="AW385" s="1"/>
  <c r="AW401" s="1"/>
  <c r="AW403" s="1"/>
  <c r="BD394" i="9"/>
  <c r="BD384" i="12" s="1"/>
  <c r="BD385" s="1"/>
  <c r="BD401" s="1"/>
  <c r="BD403" s="1"/>
  <c r="BA320" i="9"/>
  <c r="BB319"/>
  <c r="AD406" i="12"/>
  <c r="AD409" s="1"/>
  <c r="AB329" i="9"/>
  <c r="AL351"/>
  <c r="AL319"/>
  <c r="W390"/>
  <c r="W389"/>
  <c r="AF369"/>
  <c r="AW390"/>
  <c r="AW369"/>
  <c r="H406" i="12"/>
  <c r="H409" s="1"/>
  <c r="BF369" i="9"/>
  <c r="BC328"/>
  <c r="BC351"/>
  <c r="Q390"/>
  <c r="Q369"/>
  <c r="Q389"/>
  <c r="I319"/>
  <c r="I351"/>
  <c r="S413"/>
  <c r="N585" i="12"/>
  <c r="N588" s="1"/>
  <c r="T585"/>
  <c r="T588" s="1"/>
  <c r="AH319" i="9"/>
  <c r="AH328"/>
  <c r="AV394"/>
  <c r="AV384" i="12" s="1"/>
  <c r="AV385" s="1"/>
  <c r="AV401" s="1"/>
  <c r="AV403" s="1"/>
  <c r="AJ394" i="9"/>
  <c r="AJ384" i="12" s="1"/>
  <c r="AJ385" s="1"/>
  <c r="AJ401" s="1"/>
  <c r="AJ403" s="1"/>
  <c r="AH394" i="9"/>
  <c r="AH384" i="12" s="1"/>
  <c r="AH385" s="1"/>
  <c r="AH401" s="1"/>
  <c r="AH403" s="1"/>
  <c r="AR329" i="9"/>
  <c r="AX329"/>
  <c r="AQ406" i="12"/>
  <c r="AQ409" s="1"/>
  <c r="Z406"/>
  <c r="Z409" s="1"/>
  <c r="R390" i="9"/>
  <c r="R328"/>
  <c r="R351"/>
  <c r="R319"/>
  <c r="AP351"/>
  <c r="AP319"/>
  <c r="BI328"/>
  <c r="BI389"/>
  <c r="BI413"/>
  <c r="AD390"/>
  <c r="AD319"/>
  <c r="AD328"/>
  <c r="AG329"/>
  <c r="AM351"/>
  <c r="AM389"/>
  <c r="AM369"/>
  <c r="AN351"/>
  <c r="AN328"/>
  <c r="AN319"/>
  <c r="AN413"/>
  <c r="AY319"/>
  <c r="AY328"/>
  <c r="Y390"/>
  <c r="Y389"/>
  <c r="Y351"/>
  <c r="U390"/>
  <c r="U389"/>
  <c r="U413"/>
  <c r="AV390"/>
  <c r="AV328"/>
  <c r="AV369"/>
  <c r="P328"/>
  <c r="P319"/>
  <c r="P369"/>
  <c r="AS585" i="12"/>
  <c r="AS588" s="1"/>
  <c r="BD328" i="9"/>
  <c r="BD369"/>
  <c r="BD390"/>
  <c r="AO351"/>
  <c r="AO413"/>
  <c r="AJ413"/>
  <c r="AJ369"/>
  <c r="AZ390"/>
  <c r="AZ319"/>
  <c r="AZ389"/>
  <c r="BH406" i="12"/>
  <c r="BH409" s="1"/>
  <c r="AA585"/>
  <c r="AA588" s="1"/>
  <c r="BC585"/>
  <c r="BC588" s="1"/>
  <c r="BF394" i="9"/>
  <c r="BF384" i="12" s="1"/>
  <c r="BF385" s="1"/>
  <c r="BF401" s="1"/>
  <c r="BF403" s="1"/>
  <c r="AI585"/>
  <c r="AI588" s="1"/>
  <c r="AE585"/>
  <c r="AE588" s="1"/>
  <c r="J406"/>
  <c r="J409" s="1"/>
  <c r="AL406"/>
  <c r="AL409" s="1"/>
  <c r="L406"/>
  <c r="L409" s="1"/>
  <c r="AZ406" l="1"/>
  <c r="AZ409" s="1"/>
  <c r="AC13" i="26"/>
  <c r="AC13" i="33" s="1"/>
  <c r="Y406" i="12"/>
  <c r="Y409" s="1"/>
  <c r="BM32" i="33"/>
  <c r="Q32" i="34"/>
  <c r="L32"/>
  <c r="BM23" i="33"/>
  <c r="L23" i="34"/>
  <c r="Q23"/>
  <c r="AL13" i="26"/>
  <c r="AL13" i="33" s="1"/>
  <c r="Z13" i="26"/>
  <c r="Z13" i="33" s="1"/>
  <c r="L13" i="26"/>
  <c r="L13" i="33" s="1"/>
  <c r="J13" i="26"/>
  <c r="J13" i="33" s="1"/>
  <c r="BH13" i="26"/>
  <c r="BH13" i="33" s="1"/>
  <c r="AQ13" i="26"/>
  <c r="AQ13" i="33" s="1"/>
  <c r="H13" i="26"/>
  <c r="H13" i="33" s="1"/>
  <c r="AL532" i="12"/>
  <c r="AL515"/>
  <c r="AE532"/>
  <c r="AE515"/>
  <c r="BC532"/>
  <c r="BC515"/>
  <c r="AA532"/>
  <c r="AA515"/>
  <c r="AG532"/>
  <c r="AG515"/>
  <c r="T332" i="9"/>
  <c r="T326"/>
  <c r="L15" i="29"/>
  <c r="L104"/>
  <c r="L117" s="1"/>
  <c r="AZ318" i="9"/>
  <c r="AZ377" i="12"/>
  <c r="AZ378" s="1"/>
  <c r="AZ477"/>
  <c r="AZ478" s="1"/>
  <c r="AZ550"/>
  <c r="AZ551" s="1"/>
  <c r="M318" i="9"/>
  <c r="M477" i="12"/>
  <c r="M478" s="1"/>
  <c r="M377"/>
  <c r="M378" s="1"/>
  <c r="M550"/>
  <c r="M551" s="1"/>
  <c r="BD326" i="9"/>
  <c r="BD332"/>
  <c r="BF318"/>
  <c r="BF550" i="12"/>
  <c r="BF551" s="1"/>
  <c r="BF477"/>
  <c r="BF478" s="1"/>
  <c r="BF377"/>
  <c r="BF378" s="1"/>
  <c r="W326" i="9"/>
  <c r="W332"/>
  <c r="Y318"/>
  <c r="Y377" i="12"/>
  <c r="Y378" s="1"/>
  <c r="Y550"/>
  <c r="Y551" s="1"/>
  <c r="Y477"/>
  <c r="Y478" s="1"/>
  <c r="AA15" i="29"/>
  <c r="AA104"/>
  <c r="AA117" s="1"/>
  <c r="BH318" i="9"/>
  <c r="BH377" i="12"/>
  <c r="BH378" s="1"/>
  <c r="BH477"/>
  <c r="BH478" s="1"/>
  <c r="BH550"/>
  <c r="BH551" s="1"/>
  <c r="AM332" i="9"/>
  <c r="AM326"/>
  <c r="BI326"/>
  <c r="BI332"/>
  <c r="CC24" i="33"/>
  <c r="K532" i="12"/>
  <c r="K515"/>
  <c r="Z532"/>
  <c r="Z515"/>
  <c r="BA532"/>
  <c r="BA515"/>
  <c r="AT326" i="9"/>
  <c r="AT332"/>
  <c r="AB379" i="12"/>
  <c r="AB400"/>
  <c r="AB402" s="1"/>
  <c r="AB392"/>
  <c r="AB394" s="1"/>
  <c r="AG479"/>
  <c r="AG506"/>
  <c r="AG508" s="1"/>
  <c r="AG498"/>
  <c r="AG500" s="1"/>
  <c r="AU379"/>
  <c r="AU392"/>
  <c r="AU394" s="1"/>
  <c r="AU400"/>
  <c r="AU402" s="1"/>
  <c r="S332" i="9"/>
  <c r="S326"/>
  <c r="AC552" i="12"/>
  <c r="AC579"/>
  <c r="AC581" s="1"/>
  <c r="AC571"/>
  <c r="AC573" s="1"/>
  <c r="AC379"/>
  <c r="AC392"/>
  <c r="AC394" s="1"/>
  <c r="AC400"/>
  <c r="AC402" s="1"/>
  <c r="AK332" i="9"/>
  <c r="AK326"/>
  <c r="AD104" i="29"/>
  <c r="AD117" s="1"/>
  <c r="AD15"/>
  <c r="S526" i="12"/>
  <c r="S501"/>
  <c r="S512" s="1"/>
  <c r="Y13" i="26"/>
  <c r="Y13" i="33" s="1"/>
  <c r="AM33"/>
  <c r="BC33" i="34"/>
  <c r="DM33" i="33" s="1"/>
  <c r="AT33" i="34"/>
  <c r="DD33" i="33" s="1"/>
  <c r="AD33"/>
  <c r="AP526" i="12"/>
  <c r="AP501"/>
  <c r="AP512" s="1"/>
  <c r="AH104" i="29"/>
  <c r="AH117" s="1"/>
  <c r="AH15"/>
  <c r="N532" i="12"/>
  <c r="N515"/>
  <c r="AO532"/>
  <c r="AO515"/>
  <c r="AI15" i="29"/>
  <c r="AI104"/>
  <c r="AI117" s="1"/>
  <c r="P332" i="9"/>
  <c r="P326"/>
  <c r="H104" i="29"/>
  <c r="H117" s="1"/>
  <c r="H15"/>
  <c r="BE318" i="9"/>
  <c r="BE550" i="12"/>
  <c r="BE551" s="1"/>
  <c r="BE477"/>
  <c r="BE478" s="1"/>
  <c r="BE377"/>
  <c r="BE378" s="1"/>
  <c r="AF318" i="9"/>
  <c r="AF377" i="12"/>
  <c r="AF378" s="1"/>
  <c r="AF477"/>
  <c r="AF478" s="1"/>
  <c r="AF550"/>
  <c r="AF551" s="1"/>
  <c r="U104" i="29"/>
  <c r="U117" s="1"/>
  <c r="U15"/>
  <c r="AY104"/>
  <c r="AY117" s="1"/>
  <c r="AY15"/>
  <c r="AN326" i="9"/>
  <c r="AN332"/>
  <c r="AL318"/>
  <c r="AL377" i="12"/>
  <c r="AL378" s="1"/>
  <c r="AL550"/>
  <c r="AL551" s="1"/>
  <c r="AL477"/>
  <c r="AL478" s="1"/>
  <c r="AU14" i="29"/>
  <c r="AU19" i="26"/>
  <c r="AU19" i="33" s="1"/>
  <c r="AP326" i="9"/>
  <c r="AP332"/>
  <c r="R326"/>
  <c r="R332"/>
  <c r="K379" i="12"/>
  <c r="K400"/>
  <c r="K402" s="1"/>
  <c r="K392"/>
  <c r="K394" s="1"/>
  <c r="DC33" i="33"/>
  <c r="BB318" i="9"/>
  <c r="BB377" i="12"/>
  <c r="BB378" s="1"/>
  <c r="BB550"/>
  <c r="BB551" s="1"/>
  <c r="BB477"/>
  <c r="BB478" s="1"/>
  <c r="AJ318" i="9"/>
  <c r="AJ377" i="12"/>
  <c r="AJ378" s="1"/>
  <c r="AJ550"/>
  <c r="AJ551" s="1"/>
  <c r="AJ477"/>
  <c r="AJ478" s="1"/>
  <c r="AO318" i="9"/>
  <c r="AO377" i="12"/>
  <c r="AO378" s="1"/>
  <c r="AO550"/>
  <c r="AO551" s="1"/>
  <c r="AO477"/>
  <c r="AO478" s="1"/>
  <c r="I318" i="9"/>
  <c r="I550" i="12"/>
  <c r="I551" s="1"/>
  <c r="I377"/>
  <c r="I378" s="1"/>
  <c r="I477"/>
  <c r="I478" s="1"/>
  <c r="AR479"/>
  <c r="AR506"/>
  <c r="AR508" s="1"/>
  <c r="AR498"/>
  <c r="AR500" s="1"/>
  <c r="Z552"/>
  <c r="Z579"/>
  <c r="Z581" s="1"/>
  <c r="Z571"/>
  <c r="Z573" s="1"/>
  <c r="BG552"/>
  <c r="BG579"/>
  <c r="BG581" s="1"/>
  <c r="BG571"/>
  <c r="BG573" s="1"/>
  <c r="BG379"/>
  <c r="BG400"/>
  <c r="BG402" s="1"/>
  <c r="BG392"/>
  <c r="BG394" s="1"/>
  <c r="AQ379"/>
  <c r="AQ400"/>
  <c r="AQ402" s="1"/>
  <c r="AQ392"/>
  <c r="AQ394" s="1"/>
  <c r="AQ479"/>
  <c r="AQ506"/>
  <c r="AQ508" s="1"/>
  <c r="AQ498"/>
  <c r="AQ500" s="1"/>
  <c r="I526"/>
  <c r="I501"/>
  <c r="I512" s="1"/>
  <c r="Q526"/>
  <c r="Q501"/>
  <c r="Q512" s="1"/>
  <c r="BF501"/>
  <c r="BF512" s="1"/>
  <c r="BF526"/>
  <c r="P13" i="26"/>
  <c r="P13" i="33" s="1"/>
  <c r="AY526" i="12"/>
  <c r="AY501"/>
  <c r="AY512" s="1"/>
  <c r="AN13" i="26"/>
  <c r="AN13" i="33" s="1"/>
  <c r="AM526" i="12"/>
  <c r="AM501"/>
  <c r="AM512" s="1"/>
  <c r="AZ526"/>
  <c r="AZ501"/>
  <c r="AZ512" s="1"/>
  <c r="Y24" i="33"/>
  <c r="Z24" i="34"/>
  <c r="CD24" i="33" s="1"/>
  <c r="I24" i="34"/>
  <c r="AL24" i="33"/>
  <c r="BB24" i="34"/>
  <c r="DL24" i="33" s="1"/>
  <c r="AI13" i="26"/>
  <c r="AI13" i="33" s="1"/>
  <c r="AB532" i="12"/>
  <c r="AB515"/>
  <c r="T104" i="29"/>
  <c r="T117" s="1"/>
  <c r="T15"/>
  <c r="AE15"/>
  <c r="AE104"/>
  <c r="AE117" s="1"/>
  <c r="AO24" i="34"/>
  <c r="CS24" i="33" s="1"/>
  <c r="CG24"/>
  <c r="L326" i="9"/>
  <c r="L332"/>
  <c r="AZ326"/>
  <c r="AZ332"/>
  <c r="Q15" i="29"/>
  <c r="Q104"/>
  <c r="Q117" s="1"/>
  <c r="BD104"/>
  <c r="BD117" s="1"/>
  <c r="BD15"/>
  <c r="BF326" i="9"/>
  <c r="BF332"/>
  <c r="AS104" i="29"/>
  <c r="AS117" s="1"/>
  <c r="AS15"/>
  <c r="O318" i="9"/>
  <c r="O377" i="12"/>
  <c r="O378" s="1"/>
  <c r="O550"/>
  <c r="O551" s="1"/>
  <c r="O477"/>
  <c r="O478" s="1"/>
  <c r="AV104" i="29"/>
  <c r="AV117" s="1"/>
  <c r="AV15"/>
  <c r="W15"/>
  <c r="W104"/>
  <c r="W117" s="1"/>
  <c r="AA332" i="9"/>
  <c r="AA326"/>
  <c r="AM318"/>
  <c r="AM377" i="12"/>
  <c r="AM378" s="1"/>
  <c r="AM550"/>
  <c r="AM551" s="1"/>
  <c r="AM477"/>
  <c r="AM478" s="1"/>
  <c r="BL33" i="33"/>
  <c r="X104" i="29"/>
  <c r="X117" s="1"/>
  <c r="X15"/>
  <c r="J104"/>
  <c r="J117" s="1"/>
  <c r="J15"/>
  <c r="AT318" i="9"/>
  <c r="AT477" i="12"/>
  <c r="AT478" s="1"/>
  <c r="AT550"/>
  <c r="AT551" s="1"/>
  <c r="AT377"/>
  <c r="AT378" s="1"/>
  <c r="AX479"/>
  <c r="AX506"/>
  <c r="AX508" s="1"/>
  <c r="AX498"/>
  <c r="AX500" s="1"/>
  <c r="AX379"/>
  <c r="AX400"/>
  <c r="AX402" s="1"/>
  <c r="AX392"/>
  <c r="AX394" s="1"/>
  <c r="N318" i="9"/>
  <c r="N550" i="12"/>
  <c r="N551" s="1"/>
  <c r="N377"/>
  <c r="N378" s="1"/>
  <c r="N477"/>
  <c r="N478" s="1"/>
  <c r="S318" i="9"/>
  <c r="S550" i="12"/>
  <c r="S551" s="1"/>
  <c r="S377"/>
  <c r="S378" s="1"/>
  <c r="S477"/>
  <c r="S478" s="1"/>
  <c r="V318" i="9"/>
  <c r="V550" i="12"/>
  <c r="V551" s="1"/>
  <c r="V377"/>
  <c r="V378" s="1"/>
  <c r="V477"/>
  <c r="V478" s="1"/>
  <c r="AK318" i="9"/>
  <c r="AK377" i="12"/>
  <c r="AK378" s="1"/>
  <c r="AK477"/>
  <c r="AK478" s="1"/>
  <c r="AK550"/>
  <c r="AK551" s="1"/>
  <c r="AD332" i="9"/>
  <c r="AD326"/>
  <c r="AQ23" i="34"/>
  <c r="CU23" i="33" s="1"/>
  <c r="CC23"/>
  <c r="BL32"/>
  <c r="AA33"/>
  <c r="K33" i="34"/>
  <c r="BO33" i="33" s="1"/>
  <c r="R526" i="12"/>
  <c r="R501"/>
  <c r="R512" s="1"/>
  <c r="AH332" i="9"/>
  <c r="AH326"/>
  <c r="N13" i="26"/>
  <c r="N13" i="33" s="1"/>
  <c r="BC15" i="29"/>
  <c r="BC104"/>
  <c r="BC117" s="1"/>
  <c r="AI326" i="9"/>
  <c r="AI332"/>
  <c r="P318"/>
  <c r="P550" i="12"/>
  <c r="P551" s="1"/>
  <c r="P477"/>
  <c r="P478" s="1"/>
  <c r="P377"/>
  <c r="P378" s="1"/>
  <c r="H326" i="9"/>
  <c r="H332"/>
  <c r="AW318"/>
  <c r="AW477" i="12"/>
  <c r="AW478" s="1"/>
  <c r="AW377"/>
  <c r="AW378" s="1"/>
  <c r="AW550"/>
  <c r="AW551" s="1"/>
  <c r="BE326" i="9"/>
  <c r="BE332"/>
  <c r="U326"/>
  <c r="U332"/>
  <c r="AN104" i="29"/>
  <c r="AN117" s="1"/>
  <c r="AN15"/>
  <c r="AL332" i="9"/>
  <c r="AL326"/>
  <c r="AP15" i="29"/>
  <c r="AP104"/>
  <c r="AP117" s="1"/>
  <c r="R104"/>
  <c r="R117" s="1"/>
  <c r="R15"/>
  <c r="DC24" i="33"/>
  <c r="BB332" i="9"/>
  <c r="BB326"/>
  <c r="AJ326"/>
  <c r="AJ332"/>
  <c r="AO326"/>
  <c r="AO332"/>
  <c r="BA379" i="12"/>
  <c r="BA400"/>
  <c r="BA402" s="1"/>
  <c r="BA392"/>
  <c r="BA394" s="1"/>
  <c r="AF526"/>
  <c r="AF501"/>
  <c r="AF512" s="1"/>
  <c r="U526"/>
  <c r="U501"/>
  <c r="U512" s="1"/>
  <c r="BI526"/>
  <c r="BI501"/>
  <c r="BI512" s="1"/>
  <c r="BD32" i="34"/>
  <c r="DN32" i="33" s="1"/>
  <c r="BE512" i="12"/>
  <c r="BE33" i="34"/>
  <c r="DO33" i="33" s="1"/>
  <c r="T329" i="9"/>
  <c r="AJ406" i="12"/>
  <c r="AJ409" s="1"/>
  <c r="BD406"/>
  <c r="BD409" s="1"/>
  <c r="AH406"/>
  <c r="AH409" s="1"/>
  <c r="W406"/>
  <c r="W409" s="1"/>
  <c r="AJ320" i="9"/>
  <c r="Y320"/>
  <c r="AN329"/>
  <c r="AO32" i="34"/>
  <c r="CS32" i="33" s="1"/>
  <c r="BI329" i="9"/>
  <c r="AP329"/>
  <c r="R329"/>
  <c r="AV406" i="12"/>
  <c r="AV409" s="1"/>
  <c r="AT512"/>
  <c r="S329" i="9"/>
  <c r="BB512" i="12"/>
  <c r="V512"/>
  <c r="BF320" i="9"/>
  <c r="H512" i="12"/>
  <c r="V320" i="9"/>
  <c r="BE329"/>
  <c r="AW406" i="12"/>
  <c r="AW409" s="1"/>
  <c r="AD13" i="26"/>
  <c r="AD13" i="33" s="1"/>
  <c r="O13" i="26"/>
  <c r="O13" i="33" s="1"/>
  <c r="AE332" i="9"/>
  <c r="AE326"/>
  <c r="CG33" i="33"/>
  <c r="AO33" i="34"/>
  <c r="CS33" i="33" s="1"/>
  <c r="L318" i="9"/>
  <c r="L377" i="12"/>
  <c r="L378" s="1"/>
  <c r="L550"/>
  <c r="L551" s="1"/>
  <c r="L477"/>
  <c r="L478" s="1"/>
  <c r="AZ104" i="29"/>
  <c r="AZ117" s="1"/>
  <c r="AZ15"/>
  <c r="M104"/>
  <c r="M117" s="1"/>
  <c r="M15"/>
  <c r="Q332" i="9"/>
  <c r="Q326"/>
  <c r="BF104" i="29"/>
  <c r="BF117" s="1"/>
  <c r="BF15"/>
  <c r="AS326" i="9"/>
  <c r="AS332"/>
  <c r="O332"/>
  <c r="O326"/>
  <c r="AV332"/>
  <c r="AV326"/>
  <c r="Y104" i="29"/>
  <c r="Y117" s="1"/>
  <c r="Y15"/>
  <c r="AA318" i="9"/>
  <c r="AA377" i="12"/>
  <c r="AA378" s="1"/>
  <c r="AA477"/>
  <c r="AA478" s="1"/>
  <c r="AA550"/>
  <c r="AA551" s="1"/>
  <c r="BL24" i="33"/>
  <c r="X326" i="9"/>
  <c r="X332"/>
  <c r="J332"/>
  <c r="J326"/>
  <c r="AB552" i="12"/>
  <c r="AB579"/>
  <c r="AB581" s="1"/>
  <c r="AB571"/>
  <c r="AB573" s="1"/>
  <c r="AB479"/>
  <c r="AB506"/>
  <c r="AB508" s="1"/>
  <c r="AB498"/>
  <c r="AB500" s="1"/>
  <c r="AG552"/>
  <c r="AG579"/>
  <c r="AG581" s="1"/>
  <c r="AG571"/>
  <c r="AG573" s="1"/>
  <c r="AG400"/>
  <c r="AG402" s="1"/>
  <c r="AG379"/>
  <c r="AG392"/>
  <c r="AG394" s="1"/>
  <c r="AG405" s="1"/>
  <c r="AG408" s="1"/>
  <c r="AU479"/>
  <c r="AU506"/>
  <c r="AU508" s="1"/>
  <c r="AU498"/>
  <c r="AU500" s="1"/>
  <c r="AU552"/>
  <c r="AU571"/>
  <c r="AU573" s="1"/>
  <c r="AU579"/>
  <c r="AU581" s="1"/>
  <c r="N332" i="9"/>
  <c r="N326"/>
  <c r="V332"/>
  <c r="V326"/>
  <c r="AC506" i="12"/>
  <c r="AC508" s="1"/>
  <c r="AC479"/>
  <c r="AC498"/>
  <c r="AC500" s="1"/>
  <c r="AC511" s="1"/>
  <c r="AC514" s="1"/>
  <c r="AD318" i="9"/>
  <c r="AD377" i="12"/>
  <c r="AD378" s="1"/>
  <c r="AD477"/>
  <c r="AD478" s="1"/>
  <c r="AD550"/>
  <c r="AD551" s="1"/>
  <c r="S13" i="26"/>
  <c r="S13" i="33" s="1"/>
  <c r="Y526" i="12"/>
  <c r="Y501"/>
  <c r="Y512" s="1"/>
  <c r="AM24" i="33"/>
  <c r="BC24" i="34"/>
  <c r="DM24" i="33" s="1"/>
  <c r="AD24"/>
  <c r="AT24" i="34"/>
  <c r="DD24" i="33" s="1"/>
  <c r="AP13" i="26"/>
  <c r="AP13" i="33" s="1"/>
  <c r="AH318" i="9"/>
  <c r="AH377" i="12"/>
  <c r="AH378" s="1"/>
  <c r="AH550"/>
  <c r="AH551" s="1"/>
  <c r="AH477"/>
  <c r="AH478" s="1"/>
  <c r="T532"/>
  <c r="T515"/>
  <c r="BC326" i="9"/>
  <c r="BC332"/>
  <c r="AI318"/>
  <c r="AI477" i="12"/>
  <c r="AI478" s="1"/>
  <c r="AI377"/>
  <c r="AI378" s="1"/>
  <c r="AI550"/>
  <c r="AI551" s="1"/>
  <c r="H318" i="9"/>
  <c r="H477" i="12"/>
  <c r="H478" s="1"/>
  <c r="H377"/>
  <c r="H378" s="1"/>
  <c r="H550"/>
  <c r="H551" s="1"/>
  <c r="AW326" i="9"/>
  <c r="AW332"/>
  <c r="BE104" i="29"/>
  <c r="BE117" s="1"/>
  <c r="BE15"/>
  <c r="AF15"/>
  <c r="AF104"/>
  <c r="AF117" s="1"/>
  <c r="U318" i="9"/>
  <c r="U377" i="12"/>
  <c r="U378" s="1"/>
  <c r="U550"/>
  <c r="U551" s="1"/>
  <c r="U477"/>
  <c r="U478" s="1"/>
  <c r="AY318" i="9"/>
  <c r="AY377" i="12"/>
  <c r="AY378" s="1"/>
  <c r="AY550"/>
  <c r="AY551" s="1"/>
  <c r="AY477"/>
  <c r="AY478" s="1"/>
  <c r="AL15" i="29"/>
  <c r="AL104"/>
  <c r="AL117" s="1"/>
  <c r="K479" i="12"/>
  <c r="K506"/>
  <c r="K508" s="1"/>
  <c r="K498"/>
  <c r="K500" s="1"/>
  <c r="K552"/>
  <c r="K579"/>
  <c r="K581" s="1"/>
  <c r="K571"/>
  <c r="K573" s="1"/>
  <c r="BG532"/>
  <c r="BG515"/>
  <c r="BB104" i="29"/>
  <c r="BB117" s="1"/>
  <c r="BB15"/>
  <c r="AJ104"/>
  <c r="AJ117" s="1"/>
  <c r="AJ15"/>
  <c r="AO104"/>
  <c r="AO117" s="1"/>
  <c r="AO15"/>
  <c r="I104"/>
  <c r="I117" s="1"/>
  <c r="I15"/>
  <c r="AR552" i="12"/>
  <c r="AR579"/>
  <c r="AR581" s="1"/>
  <c r="AR571"/>
  <c r="AR573" s="1"/>
  <c r="AR400"/>
  <c r="AR402" s="1"/>
  <c r="AR379"/>
  <c r="AR392"/>
  <c r="AR394" s="1"/>
  <c r="AR405" s="1"/>
  <c r="AR408" s="1"/>
  <c r="Z506"/>
  <c r="Z508" s="1"/>
  <c r="Z479"/>
  <c r="Z498"/>
  <c r="Z500" s="1"/>
  <c r="Z511" s="1"/>
  <c r="Z514" s="1"/>
  <c r="Z379"/>
  <c r="Z400"/>
  <c r="Z402" s="1"/>
  <c r="Z392"/>
  <c r="Z394" s="1"/>
  <c r="BG506"/>
  <c r="BG508" s="1"/>
  <c r="BG479"/>
  <c r="BG498"/>
  <c r="BG500" s="1"/>
  <c r="BG511" s="1"/>
  <c r="BG514" s="1"/>
  <c r="AQ552"/>
  <c r="AQ579"/>
  <c r="AQ581" s="1"/>
  <c r="AQ571"/>
  <c r="AQ573" s="1"/>
  <c r="I13" i="26"/>
  <c r="I13" i="33" s="1"/>
  <c r="AJ526" i="12"/>
  <c r="AJ501"/>
  <c r="AJ512" s="1"/>
  <c r="Q13" i="26"/>
  <c r="Q13" i="33" s="1"/>
  <c r="BD526" i="12"/>
  <c r="BD501"/>
  <c r="BD512" s="1"/>
  <c r="P526"/>
  <c r="P501"/>
  <c r="P512" s="1"/>
  <c r="AN526"/>
  <c r="AN501"/>
  <c r="AN512" s="1"/>
  <c r="AM13" i="26"/>
  <c r="AM13" i="33" s="1"/>
  <c r="AH526" i="12"/>
  <c r="AH501"/>
  <c r="AH512" s="1"/>
  <c r="AZ13" i="26"/>
  <c r="AZ13" i="33" s="1"/>
  <c r="W526" i="12"/>
  <c r="W501"/>
  <c r="W512" s="1"/>
  <c r="Y33" i="33"/>
  <c r="Z33" i="34"/>
  <c r="CD33" i="33" s="1"/>
  <c r="I33" i="34"/>
  <c r="AL33" i="33"/>
  <c r="BB33" i="34"/>
  <c r="DL33" i="33" s="1"/>
  <c r="AE13" i="26"/>
  <c r="AE13" i="33" s="1"/>
  <c r="BC13" i="26"/>
  <c r="BC13" i="33" s="1"/>
  <c r="AA13" i="26"/>
  <c r="AA13" i="33" s="1"/>
  <c r="AG13" i="26"/>
  <c r="AG13" i="33" s="1"/>
  <c r="AX515" i="12"/>
  <c r="AX532"/>
  <c r="O532"/>
  <c r="O515"/>
  <c r="BH532"/>
  <c r="BH515"/>
  <c r="T318" i="9"/>
  <c r="T550" i="12"/>
  <c r="T551" s="1"/>
  <c r="T377"/>
  <c r="T378" s="1"/>
  <c r="T477"/>
  <c r="T478" s="1"/>
  <c r="AE318" i="9"/>
  <c r="AE377" i="12"/>
  <c r="AE378" s="1"/>
  <c r="AE550"/>
  <c r="AE551" s="1"/>
  <c r="AE477"/>
  <c r="AE478" s="1"/>
  <c r="M326" i="9"/>
  <c r="M332"/>
  <c r="Q318"/>
  <c r="Q550" i="12"/>
  <c r="Q551" s="1"/>
  <c r="Q377"/>
  <c r="Q378" s="1"/>
  <c r="Q477"/>
  <c r="Q478" s="1"/>
  <c r="BD318" i="9"/>
  <c r="BD377" i="12"/>
  <c r="BD378" s="1"/>
  <c r="BD477"/>
  <c r="BD478" s="1"/>
  <c r="BD550"/>
  <c r="BD551" s="1"/>
  <c r="AS515"/>
  <c r="AS532"/>
  <c r="AS318" i="9"/>
  <c r="AS550" i="12"/>
  <c r="AS551" s="1"/>
  <c r="AS477"/>
  <c r="AS478" s="1"/>
  <c r="AS377"/>
  <c r="AS378" s="1"/>
  <c r="O15" i="29"/>
  <c r="O104"/>
  <c r="O117" s="1"/>
  <c r="AV318" i="9"/>
  <c r="AV550" i="12"/>
  <c r="AV551" s="1"/>
  <c r="AV377"/>
  <c r="AV378" s="1"/>
  <c r="AV477"/>
  <c r="AV478" s="1"/>
  <c r="W318" i="9"/>
  <c r="W550" i="12"/>
  <c r="W551" s="1"/>
  <c r="W377"/>
  <c r="W378" s="1"/>
  <c r="W477"/>
  <c r="W478" s="1"/>
  <c r="Y326" i="9"/>
  <c r="Y332"/>
  <c r="BH332"/>
  <c r="BH326"/>
  <c r="AM104" i="29"/>
  <c r="AM117" s="1"/>
  <c r="AM15"/>
  <c r="BI318" i="9"/>
  <c r="BI550" i="12"/>
  <c r="BI551" s="1"/>
  <c r="BI377"/>
  <c r="BI378" s="1"/>
  <c r="BI477"/>
  <c r="BI478" s="1"/>
  <c r="CC33" i="33"/>
  <c r="X318" i="9"/>
  <c r="X477" i="12"/>
  <c r="X478" s="1"/>
  <c r="X377"/>
  <c r="X378" s="1"/>
  <c r="X550"/>
  <c r="X551" s="1"/>
  <c r="J318" i="9"/>
  <c r="J550" i="12"/>
  <c r="J551" s="1"/>
  <c r="J477"/>
  <c r="J478" s="1"/>
  <c r="J377"/>
  <c r="J378" s="1"/>
  <c r="K13" i="26"/>
  <c r="K13" i="33" s="1"/>
  <c r="AR532" i="12"/>
  <c r="AR515"/>
  <c r="AQ532"/>
  <c r="AQ515"/>
  <c r="AT104" i="29"/>
  <c r="AT117" s="1"/>
  <c r="AT15"/>
  <c r="AX552" i="12"/>
  <c r="AX579"/>
  <c r="AX581" s="1"/>
  <c r="AX571"/>
  <c r="AX573" s="1"/>
  <c r="N104" i="29"/>
  <c r="N117" s="1"/>
  <c r="N15"/>
  <c r="S104"/>
  <c r="S117" s="1"/>
  <c r="S15"/>
  <c r="V104"/>
  <c r="V117" s="1"/>
  <c r="V15"/>
  <c r="AK104"/>
  <c r="AK117" s="1"/>
  <c r="AK15"/>
  <c r="BL23" i="33"/>
  <c r="AQ32" i="34"/>
  <c r="CU32" i="33" s="1"/>
  <c r="CC32"/>
  <c r="AA24"/>
  <c r="K24" i="34"/>
  <c r="BO24" i="33" s="1"/>
  <c r="AV526" i="12"/>
  <c r="AV501"/>
  <c r="AV512" s="1"/>
  <c r="R406"/>
  <c r="R409" s="1"/>
  <c r="T13" i="26"/>
  <c r="T13" i="33" s="1"/>
  <c r="BC318" i="9"/>
  <c r="BC377" i="12"/>
  <c r="BC378" s="1"/>
  <c r="BC477"/>
  <c r="BC478" s="1"/>
  <c r="BC550"/>
  <c r="BC551" s="1"/>
  <c r="P104" i="29"/>
  <c r="P117" s="1"/>
  <c r="P15"/>
  <c r="AW15"/>
  <c r="AW104"/>
  <c r="AW117" s="1"/>
  <c r="AF332" i="9"/>
  <c r="AF326"/>
  <c r="AY326"/>
  <c r="AY332"/>
  <c r="AN318"/>
  <c r="AN550" i="12"/>
  <c r="AN551" s="1"/>
  <c r="AN477"/>
  <c r="AN478" s="1"/>
  <c r="AN377"/>
  <c r="AN378" s="1"/>
  <c r="AP318" i="9"/>
  <c r="AP377" i="12"/>
  <c r="AP378" s="1"/>
  <c r="AP550"/>
  <c r="AP551" s="1"/>
  <c r="AP477"/>
  <c r="AP478" s="1"/>
  <c r="R318" i="9"/>
  <c r="R550" i="12"/>
  <c r="R551" s="1"/>
  <c r="R377"/>
  <c r="R378" s="1"/>
  <c r="R477"/>
  <c r="R478" s="1"/>
  <c r="AC532"/>
  <c r="AC515"/>
  <c r="I326" i="9"/>
  <c r="I332"/>
  <c r="BA479" i="12"/>
  <c r="BA506"/>
  <c r="BA508" s="1"/>
  <c r="BA498"/>
  <c r="BA500" s="1"/>
  <c r="BA579"/>
  <c r="BA581" s="1"/>
  <c r="BA552"/>
  <c r="BA571"/>
  <c r="BA573" s="1"/>
  <c r="BA584" s="1"/>
  <c r="BA587" s="1"/>
  <c r="BA589" s="1"/>
  <c r="AW526"/>
  <c r="AW501"/>
  <c r="AW512" s="1"/>
  <c r="BI13" i="26"/>
  <c r="BI13" i="33" s="1"/>
  <c r="BF32" i="34"/>
  <c r="DP32" i="33" s="1"/>
  <c r="W329" i="9"/>
  <c r="AA320"/>
  <c r="BH320"/>
  <c r="H320"/>
  <c r="BD23" i="34"/>
  <c r="DN23" i="33" s="1"/>
  <c r="BF23" i="34"/>
  <c r="DP23" i="33" s="1"/>
  <c r="BF406" i="12"/>
  <c r="BF409" s="1"/>
  <c r="AY406"/>
  <c r="AY409" s="1"/>
  <c r="L512"/>
  <c r="J512"/>
  <c r="AI512"/>
  <c r="M320" i="9"/>
  <c r="X320"/>
  <c r="L329"/>
  <c r="S320"/>
  <c r="Q320"/>
  <c r="Q329"/>
  <c r="AK512" i="12"/>
  <c r="BF329" i="9"/>
  <c r="AD512" i="12"/>
  <c r="BE24" i="34"/>
  <c r="DO24" i="33" s="1"/>
  <c r="M512" i="12"/>
  <c r="BB320" i="9"/>
  <c r="AS320"/>
  <c r="BE320"/>
  <c r="X512" i="12"/>
  <c r="AF406"/>
  <c r="AF409" s="1"/>
  <c r="U406"/>
  <c r="U409" s="1"/>
  <c r="BM33" i="33" l="1"/>
  <c r="Q33" i="34"/>
  <c r="L33"/>
  <c r="BP23" i="33"/>
  <c r="M23" i="34"/>
  <c r="BP32" i="33"/>
  <c r="M32" i="34"/>
  <c r="BM24" i="33"/>
  <c r="Q24" i="34"/>
  <c r="L24"/>
  <c r="R23"/>
  <c r="BI23"/>
  <c r="BU23" i="33"/>
  <c r="DS23" s="1"/>
  <c r="R32" i="34"/>
  <c r="BU32" i="33"/>
  <c r="DS32" s="1"/>
  <c r="BI32" i="34"/>
  <c r="AQ584" i="12"/>
  <c r="AQ587" s="1"/>
  <c r="AQ589" s="1"/>
  <c r="AQ29" i="26" s="1"/>
  <c r="Z405" i="12"/>
  <c r="Z408" s="1"/>
  <c r="BA405"/>
  <c r="BA408" s="1"/>
  <c r="AX405"/>
  <c r="AX408" s="1"/>
  <c r="AC405"/>
  <c r="AC408" s="1"/>
  <c r="AC12" i="26" s="1"/>
  <c r="AC12" i="33" s="1"/>
  <c r="AC584" i="12"/>
  <c r="AC587" s="1"/>
  <c r="AC589" s="1"/>
  <c r="AU405"/>
  <c r="AU408" s="1"/>
  <c r="AU12" i="26" s="1"/>
  <c r="AU12" i="33" s="1"/>
  <c r="AG511" i="12"/>
  <c r="AG514" s="1"/>
  <c r="BA511"/>
  <c r="BA514" s="1"/>
  <c r="BA516" s="1"/>
  <c r="AQ33" i="34"/>
  <c r="CU33" i="33" s="1"/>
  <c r="K584" i="12"/>
  <c r="K587" s="1"/>
  <c r="K589" s="1"/>
  <c r="K29" i="26" s="1"/>
  <c r="AU584" i="12"/>
  <c r="AU587" s="1"/>
  <c r="AU589" s="1"/>
  <c r="AU511"/>
  <c r="AU514" s="1"/>
  <c r="AU531" s="1"/>
  <c r="AU533" s="1"/>
  <c r="AU534" s="1"/>
  <c r="AG584"/>
  <c r="AG587" s="1"/>
  <c r="AG589" s="1"/>
  <c r="AB584"/>
  <c r="AB587" s="1"/>
  <c r="AB589" s="1"/>
  <c r="AB590" s="1"/>
  <c r="AQ511"/>
  <c r="AQ514" s="1"/>
  <c r="BG405"/>
  <c r="BG408" s="1"/>
  <c r="BG12" i="26" s="1"/>
  <c r="BG12" i="33" s="1"/>
  <c r="Z584" i="12"/>
  <c r="Z587" s="1"/>
  <c r="Z589" s="1"/>
  <c r="U13" i="26"/>
  <c r="U13" i="33" s="1"/>
  <c r="BA13" i="29"/>
  <c r="AF13" i="26"/>
  <c r="AF13" i="33" s="1"/>
  <c r="AK532" i="12"/>
  <c r="AK515"/>
  <c r="AI532"/>
  <c r="AI515"/>
  <c r="L532"/>
  <c r="L515"/>
  <c r="BF13" i="26"/>
  <c r="BF13" i="33" s="1"/>
  <c r="AW532" i="12"/>
  <c r="AW515"/>
  <c r="BA29" i="26"/>
  <c r="BA590" i="12"/>
  <c r="AC14" i="29"/>
  <c r="AC19" i="26"/>
  <c r="R506" i="12"/>
  <c r="R508" s="1"/>
  <c r="R479"/>
  <c r="R498"/>
  <c r="R500" s="1"/>
  <c r="R511" s="1"/>
  <c r="R514" s="1"/>
  <c r="R552"/>
  <c r="R579"/>
  <c r="R581" s="1"/>
  <c r="R571"/>
  <c r="R573" s="1"/>
  <c r="AP479"/>
  <c r="AP506"/>
  <c r="AP508" s="1"/>
  <c r="AP498"/>
  <c r="AP500" s="1"/>
  <c r="AP400"/>
  <c r="AP402" s="1"/>
  <c r="AP379"/>
  <c r="AP392"/>
  <c r="AP394" s="1"/>
  <c r="AP405" s="1"/>
  <c r="AP408" s="1"/>
  <c r="AN379"/>
  <c r="AN400"/>
  <c r="AN402" s="1"/>
  <c r="AN392"/>
  <c r="AN394" s="1"/>
  <c r="AN579"/>
  <c r="AN581" s="1"/>
  <c r="AN552"/>
  <c r="AN571"/>
  <c r="AN573" s="1"/>
  <c r="AN584" s="1"/>
  <c r="AN587" s="1"/>
  <c r="AN589" s="1"/>
  <c r="BC552"/>
  <c r="BC579"/>
  <c r="BC581" s="1"/>
  <c r="BC571"/>
  <c r="BC573" s="1"/>
  <c r="BC379"/>
  <c r="BC400"/>
  <c r="BC402" s="1"/>
  <c r="BC392"/>
  <c r="BC394" s="1"/>
  <c r="R13" i="26"/>
  <c r="R13" i="33" s="1"/>
  <c r="AV532" i="12"/>
  <c r="AV515"/>
  <c r="J506"/>
  <c r="J508" s="1"/>
  <c r="J479"/>
  <c r="J498"/>
  <c r="J500" s="1"/>
  <c r="J511" s="1"/>
  <c r="J514" s="1"/>
  <c r="X400"/>
  <c r="X402" s="1"/>
  <c r="X379"/>
  <c r="X392"/>
  <c r="X394" s="1"/>
  <c r="X405" s="1"/>
  <c r="X408" s="1"/>
  <c r="BI379"/>
  <c r="BI400"/>
  <c r="BI402" s="1"/>
  <c r="BI392"/>
  <c r="BI394" s="1"/>
  <c r="W379"/>
  <c r="W400"/>
  <c r="W402" s="1"/>
  <c r="W392"/>
  <c r="W394" s="1"/>
  <c r="AV400"/>
  <c r="AV402" s="1"/>
  <c r="AV379"/>
  <c r="AV392"/>
  <c r="AV394" s="1"/>
  <c r="AV405" s="1"/>
  <c r="AV408" s="1"/>
  <c r="AS479"/>
  <c r="AS506"/>
  <c r="AS508" s="1"/>
  <c r="AS498"/>
  <c r="AS500" s="1"/>
  <c r="AS14" i="29"/>
  <c r="AS19" i="26"/>
  <c r="AS19" i="33" s="1"/>
  <c r="BD479" i="12"/>
  <c r="BD506"/>
  <c r="BD508" s="1"/>
  <c r="BD498"/>
  <c r="BD500" s="1"/>
  <c r="Q379"/>
  <c r="Q400"/>
  <c r="Q402" s="1"/>
  <c r="Q392"/>
  <c r="Q394" s="1"/>
  <c r="AE579"/>
  <c r="AE581" s="1"/>
  <c r="AE552"/>
  <c r="AE571"/>
  <c r="AE573" s="1"/>
  <c r="AE584" s="1"/>
  <c r="AE587" s="1"/>
  <c r="AE589" s="1"/>
  <c r="T379"/>
  <c r="T400"/>
  <c r="T402" s="1"/>
  <c r="T392"/>
  <c r="T394" s="1"/>
  <c r="AX14" i="29"/>
  <c r="AX19" i="26"/>
  <c r="AX19" i="33" s="1"/>
  <c r="BG13" i="29"/>
  <c r="BG531" i="12"/>
  <c r="BG533" s="1"/>
  <c r="BG534" s="1"/>
  <c r="BG18" i="26"/>
  <c r="BG18" i="33" s="1"/>
  <c r="BG516" i="12"/>
  <c r="Z13" i="29"/>
  <c r="Z18" i="26"/>
  <c r="Z531" i="12"/>
  <c r="Z533" s="1"/>
  <c r="Z534" s="1"/>
  <c r="Z516"/>
  <c r="AY552"/>
  <c r="AY579"/>
  <c r="AY581" s="1"/>
  <c r="AY571"/>
  <c r="AY573" s="1"/>
  <c r="U552"/>
  <c r="U579"/>
  <c r="U581" s="1"/>
  <c r="U571"/>
  <c r="U573" s="1"/>
  <c r="H379"/>
  <c r="H400"/>
  <c r="H402" s="1"/>
  <c r="H392"/>
  <c r="H394" s="1"/>
  <c r="AI379"/>
  <c r="AI400"/>
  <c r="AI402" s="1"/>
  <c r="AI392"/>
  <c r="AI394" s="1"/>
  <c r="AH552"/>
  <c r="AH579"/>
  <c r="AH581" s="1"/>
  <c r="AH571"/>
  <c r="AH573" s="1"/>
  <c r="AD479"/>
  <c r="AD506"/>
  <c r="AD508" s="1"/>
  <c r="AD498"/>
  <c r="AD500" s="1"/>
  <c r="AG410"/>
  <c r="AG12" i="26"/>
  <c r="AG12" i="33" s="1"/>
  <c r="AA552" i="12"/>
  <c r="AA579"/>
  <c r="AA581" s="1"/>
  <c r="AA571"/>
  <c r="AA573" s="1"/>
  <c r="AA379"/>
  <c r="AA400"/>
  <c r="AA402" s="1"/>
  <c r="AA392"/>
  <c r="AA394" s="1"/>
  <c r="L506"/>
  <c r="L508" s="1"/>
  <c r="L479"/>
  <c r="L498"/>
  <c r="L500" s="1"/>
  <c r="L511" s="1"/>
  <c r="L514" s="1"/>
  <c r="L379"/>
  <c r="L400"/>
  <c r="L402" s="1"/>
  <c r="L392"/>
  <c r="L394" s="1"/>
  <c r="AW13" i="26"/>
  <c r="AW13" i="33" s="1"/>
  <c r="H532" i="12"/>
  <c r="H515"/>
  <c r="V532"/>
  <c r="V515"/>
  <c r="AV13" i="26"/>
  <c r="AV13" i="33" s="1"/>
  <c r="AH13" i="26"/>
  <c r="AH13" i="33" s="1"/>
  <c r="AJ13" i="26"/>
  <c r="AJ13" i="33" s="1"/>
  <c r="AW379" i="12"/>
  <c r="AW400"/>
  <c r="AW402" s="1"/>
  <c r="AW392"/>
  <c r="AW394" s="1"/>
  <c r="P479"/>
  <c r="P506"/>
  <c r="P508" s="1"/>
  <c r="P498"/>
  <c r="P500" s="1"/>
  <c r="AK479"/>
  <c r="AK506"/>
  <c r="AK508" s="1"/>
  <c r="AK498"/>
  <c r="AK500" s="1"/>
  <c r="V379"/>
  <c r="V400"/>
  <c r="V402" s="1"/>
  <c r="V392"/>
  <c r="V394" s="1"/>
  <c r="S379"/>
  <c r="S400"/>
  <c r="S402" s="1"/>
  <c r="S392"/>
  <c r="S394" s="1"/>
  <c r="N400"/>
  <c r="N402" s="1"/>
  <c r="N379"/>
  <c r="N392"/>
  <c r="N394" s="1"/>
  <c r="AT552"/>
  <c r="AT579"/>
  <c r="AT581" s="1"/>
  <c r="AT571"/>
  <c r="AT573" s="1"/>
  <c r="AM552"/>
  <c r="AM579"/>
  <c r="AM581" s="1"/>
  <c r="AM571"/>
  <c r="AM573" s="1"/>
  <c r="O552"/>
  <c r="O579"/>
  <c r="O581" s="1"/>
  <c r="O571"/>
  <c r="O573" s="1"/>
  <c r="BF532"/>
  <c r="BF515"/>
  <c r="I379"/>
  <c r="I400"/>
  <c r="I402" s="1"/>
  <c r="I392"/>
  <c r="I394" s="1"/>
  <c r="AO552"/>
  <c r="AO579"/>
  <c r="AO581" s="1"/>
  <c r="AO571"/>
  <c r="AO573" s="1"/>
  <c r="AJ552"/>
  <c r="AJ579"/>
  <c r="AJ581" s="1"/>
  <c r="AJ571"/>
  <c r="AJ573" s="1"/>
  <c r="BB579"/>
  <c r="BB581" s="1"/>
  <c r="BB552"/>
  <c r="BB571"/>
  <c r="BB573" s="1"/>
  <c r="BB584" s="1"/>
  <c r="BB587" s="1"/>
  <c r="BB589" s="1"/>
  <c r="K405"/>
  <c r="K408" s="1"/>
  <c r="AL506"/>
  <c r="AL508" s="1"/>
  <c r="AL479"/>
  <c r="AL498"/>
  <c r="AL500" s="1"/>
  <c r="AL511" s="1"/>
  <c r="AL514" s="1"/>
  <c r="AL400"/>
  <c r="AL402" s="1"/>
  <c r="AL379"/>
  <c r="AL392"/>
  <c r="AL394" s="1"/>
  <c r="AL405" s="1"/>
  <c r="AL408" s="1"/>
  <c r="AF579"/>
  <c r="AF581" s="1"/>
  <c r="AF552"/>
  <c r="AF571"/>
  <c r="AF573" s="1"/>
  <c r="AF584" s="1"/>
  <c r="AF587" s="1"/>
  <c r="AF589" s="1"/>
  <c r="AF379"/>
  <c r="AF400"/>
  <c r="AF402" s="1"/>
  <c r="AF392"/>
  <c r="AF394" s="1"/>
  <c r="BE379"/>
  <c r="BE400"/>
  <c r="BE402" s="1"/>
  <c r="BE392"/>
  <c r="BE394" s="1"/>
  <c r="BE552"/>
  <c r="BE579"/>
  <c r="BE581" s="1"/>
  <c r="BE571"/>
  <c r="BE573" s="1"/>
  <c r="AO19" i="26"/>
  <c r="AO19" i="33" s="1"/>
  <c r="AO14" i="29"/>
  <c r="N14"/>
  <c r="N19" i="26"/>
  <c r="N19" i="33" s="1"/>
  <c r="AP532" i="12"/>
  <c r="AP515"/>
  <c r="S532"/>
  <c r="S515"/>
  <c r="BH506"/>
  <c r="BH508" s="1"/>
  <c r="BH479"/>
  <c r="BH498"/>
  <c r="BH500" s="1"/>
  <c r="BH511" s="1"/>
  <c r="BH514" s="1"/>
  <c r="Y552"/>
  <c r="Y579"/>
  <c r="Y581" s="1"/>
  <c r="Y571"/>
  <c r="Y573" s="1"/>
  <c r="BF479"/>
  <c r="BF506"/>
  <c r="BF508" s="1"/>
  <c r="BF498"/>
  <c r="BF500" s="1"/>
  <c r="M400"/>
  <c r="M402" s="1"/>
  <c r="M379"/>
  <c r="M392"/>
  <c r="M394" s="1"/>
  <c r="AZ479"/>
  <c r="AZ506"/>
  <c r="AZ508" s="1"/>
  <c r="AZ498"/>
  <c r="AZ500" s="1"/>
  <c r="AX584"/>
  <c r="AX587" s="1"/>
  <c r="AX589" s="1"/>
  <c r="AR584"/>
  <c r="AR587" s="1"/>
  <c r="AR589" s="1"/>
  <c r="K511"/>
  <c r="K514" s="1"/>
  <c r="AB511"/>
  <c r="AB514" s="1"/>
  <c r="BF24" i="34"/>
  <c r="DP24" i="33" s="1"/>
  <c r="BD24" i="34"/>
  <c r="DN24" i="33" s="1"/>
  <c r="AX511" i="12"/>
  <c r="AX514" s="1"/>
  <c r="AQ405"/>
  <c r="AQ408" s="1"/>
  <c r="BG584"/>
  <c r="BG587" s="1"/>
  <c r="BG589" s="1"/>
  <c r="AR511"/>
  <c r="AR514" s="1"/>
  <c r="BD33" i="34"/>
  <c r="DN33" i="33" s="1"/>
  <c r="AB405" i="12"/>
  <c r="AB408" s="1"/>
  <c r="X532"/>
  <c r="X515"/>
  <c r="M532"/>
  <c r="M515"/>
  <c r="AD532"/>
  <c r="AD515"/>
  <c r="J532"/>
  <c r="J515"/>
  <c r="AY13" i="26"/>
  <c r="AY13" i="33" s="1"/>
  <c r="R400" i="12"/>
  <c r="R402" s="1"/>
  <c r="R379"/>
  <c r="R392"/>
  <c r="R394" s="1"/>
  <c r="AP552"/>
  <c r="AP579"/>
  <c r="AP581" s="1"/>
  <c r="AP571"/>
  <c r="AP573" s="1"/>
  <c r="AN479"/>
  <c r="AN506"/>
  <c r="AN508" s="1"/>
  <c r="AN498"/>
  <c r="AN500" s="1"/>
  <c r="BC479"/>
  <c r="BC506"/>
  <c r="BC508" s="1"/>
  <c r="BC498"/>
  <c r="BC500" s="1"/>
  <c r="AQ14" i="29"/>
  <c r="AQ19" i="26"/>
  <c r="AQ19" i="33" s="1"/>
  <c r="AR14" i="29"/>
  <c r="AR19" i="26"/>
  <c r="AR19" i="33" s="1"/>
  <c r="J379" i="12"/>
  <c r="J400"/>
  <c r="J402" s="1"/>
  <c r="J392"/>
  <c r="J394" s="1"/>
  <c r="J552"/>
  <c r="J571"/>
  <c r="J573" s="1"/>
  <c r="J579"/>
  <c r="J581" s="1"/>
  <c r="X552"/>
  <c r="X579"/>
  <c r="X581" s="1"/>
  <c r="X571"/>
  <c r="X573" s="1"/>
  <c r="X479"/>
  <c r="X506"/>
  <c r="X508" s="1"/>
  <c r="X498"/>
  <c r="X500" s="1"/>
  <c r="BI479"/>
  <c r="BI506"/>
  <c r="BI508" s="1"/>
  <c r="BI498"/>
  <c r="BI500" s="1"/>
  <c r="BI552"/>
  <c r="BI579"/>
  <c r="BI581" s="1"/>
  <c r="BI571"/>
  <c r="BI573" s="1"/>
  <c r="W506"/>
  <c r="W508" s="1"/>
  <c r="W479"/>
  <c r="W498"/>
  <c r="W500" s="1"/>
  <c r="W511" s="1"/>
  <c r="W514" s="1"/>
  <c r="W552"/>
  <c r="W571"/>
  <c r="W573" s="1"/>
  <c r="W579"/>
  <c r="W581" s="1"/>
  <c r="AV506"/>
  <c r="AV508" s="1"/>
  <c r="AV479"/>
  <c r="AV498"/>
  <c r="AV500" s="1"/>
  <c r="AV511" s="1"/>
  <c r="AV514" s="1"/>
  <c r="AV552"/>
  <c r="AV579"/>
  <c r="AV581" s="1"/>
  <c r="AV571"/>
  <c r="AV573" s="1"/>
  <c r="AS400"/>
  <c r="AS402" s="1"/>
  <c r="AS379"/>
  <c r="AS392"/>
  <c r="AS394" s="1"/>
  <c r="AS552"/>
  <c r="AS579"/>
  <c r="AS581" s="1"/>
  <c r="AS571"/>
  <c r="AS573" s="1"/>
  <c r="BD552"/>
  <c r="BD579"/>
  <c r="BD581" s="1"/>
  <c r="BD571"/>
  <c r="BD573" s="1"/>
  <c r="BD379"/>
  <c r="BD400"/>
  <c r="BD402" s="1"/>
  <c r="BD392"/>
  <c r="BD394" s="1"/>
  <c r="Q479"/>
  <c r="Q506"/>
  <c r="Q508" s="1"/>
  <c r="Q498"/>
  <c r="Q500" s="1"/>
  <c r="Q552"/>
  <c r="Q579"/>
  <c r="Q581" s="1"/>
  <c r="Q571"/>
  <c r="Q573" s="1"/>
  <c r="AE479"/>
  <c r="AE506"/>
  <c r="AE508" s="1"/>
  <c r="AE498"/>
  <c r="AE500" s="1"/>
  <c r="AE400"/>
  <c r="AE402" s="1"/>
  <c r="AE379"/>
  <c r="AE392"/>
  <c r="AE394" s="1"/>
  <c r="AE405" s="1"/>
  <c r="AE408" s="1"/>
  <c r="T479"/>
  <c r="T506"/>
  <c r="T508" s="1"/>
  <c r="T498"/>
  <c r="T500" s="1"/>
  <c r="T552"/>
  <c r="T579"/>
  <c r="T581" s="1"/>
  <c r="T571"/>
  <c r="T573" s="1"/>
  <c r="BH14" i="29"/>
  <c r="BH19" i="26"/>
  <c r="BH19" i="33" s="1"/>
  <c r="O14" i="29"/>
  <c r="O19" i="26"/>
  <c r="O19" i="33" s="1"/>
  <c r="W532" i="12"/>
  <c r="W515"/>
  <c r="AH532"/>
  <c r="AH515"/>
  <c r="AN532"/>
  <c r="AN515"/>
  <c r="P532"/>
  <c r="P515"/>
  <c r="BD532"/>
  <c r="BD515"/>
  <c r="AJ532"/>
  <c r="AJ515"/>
  <c r="AQ590"/>
  <c r="Z12" i="26"/>
  <c r="Z12" i="33" s="1"/>
  <c r="Z410" i="12"/>
  <c r="AR12" i="26"/>
  <c r="AR12" i="33" s="1"/>
  <c r="AR410" i="12"/>
  <c r="BG14" i="29"/>
  <c r="BG19" i="26"/>
  <c r="BG19" i="33" s="1"/>
  <c r="K590" i="12"/>
  <c r="AY479"/>
  <c r="AY506"/>
  <c r="AY508" s="1"/>
  <c r="AY498"/>
  <c r="AY500" s="1"/>
  <c r="AY379"/>
  <c r="AY400"/>
  <c r="AY402" s="1"/>
  <c r="AY392"/>
  <c r="AY394" s="1"/>
  <c r="U479"/>
  <c r="U506"/>
  <c r="U508" s="1"/>
  <c r="U498"/>
  <c r="U500" s="1"/>
  <c r="U379"/>
  <c r="U400"/>
  <c r="U402" s="1"/>
  <c r="U392"/>
  <c r="U394" s="1"/>
  <c r="H579"/>
  <c r="H581" s="1"/>
  <c r="H552"/>
  <c r="H571"/>
  <c r="H573" s="1"/>
  <c r="H584" s="1"/>
  <c r="H587" s="1"/>
  <c r="H589" s="1"/>
  <c r="H479"/>
  <c r="H506"/>
  <c r="H508" s="1"/>
  <c r="H498"/>
  <c r="H500" s="1"/>
  <c r="AI552"/>
  <c r="AI579"/>
  <c r="AI581" s="1"/>
  <c r="AI571"/>
  <c r="AI573" s="1"/>
  <c r="AI479"/>
  <c r="AI506"/>
  <c r="AI508" s="1"/>
  <c r="AI498"/>
  <c r="AI500" s="1"/>
  <c r="T14" i="29"/>
  <c r="T19" i="26"/>
  <c r="T19" i="33" s="1"/>
  <c r="AH479" i="12"/>
  <c r="AH506"/>
  <c r="AH508" s="1"/>
  <c r="AH498"/>
  <c r="AH500" s="1"/>
  <c r="AH379"/>
  <c r="AH400"/>
  <c r="AH402" s="1"/>
  <c r="AH392"/>
  <c r="AH394" s="1"/>
  <c r="Y532"/>
  <c r="Y515"/>
  <c r="AD552"/>
  <c r="AD579"/>
  <c r="AD581" s="1"/>
  <c r="AD571"/>
  <c r="AD573" s="1"/>
  <c r="AD379"/>
  <c r="AD400"/>
  <c r="AD402" s="1"/>
  <c r="AD392"/>
  <c r="AD394" s="1"/>
  <c r="AC531"/>
  <c r="AC533" s="1"/>
  <c r="AC534" s="1"/>
  <c r="AC13" i="29"/>
  <c r="AC18" i="26"/>
  <c r="AC516" i="12"/>
  <c r="AU29" i="26"/>
  <c r="AU590" i="12"/>
  <c r="AU13" i="29"/>
  <c r="AU18" i="26"/>
  <c r="AU18" i="33" s="1"/>
  <c r="AG29" i="26"/>
  <c r="AG590" i="12"/>
  <c r="AB29" i="26"/>
  <c r="AA479" i="12"/>
  <c r="AA506"/>
  <c r="AA508" s="1"/>
  <c r="AA498"/>
  <c r="AA500" s="1"/>
  <c r="L552"/>
  <c r="L579"/>
  <c r="L581" s="1"/>
  <c r="L571"/>
  <c r="L573" s="1"/>
  <c r="BB532"/>
  <c r="BB515"/>
  <c r="AT532"/>
  <c r="AT515"/>
  <c r="W13" i="26"/>
  <c r="W13" i="33" s="1"/>
  <c r="BD13" i="26"/>
  <c r="BD13" i="33" s="1"/>
  <c r="BE532" i="12"/>
  <c r="BE515"/>
  <c r="BI532"/>
  <c r="BI515"/>
  <c r="U532"/>
  <c r="U515"/>
  <c r="AF532"/>
  <c r="AF515"/>
  <c r="BA12" i="26"/>
  <c r="BA12" i="33" s="1"/>
  <c r="BA410" i="12"/>
  <c r="AW552"/>
  <c r="AW579"/>
  <c r="AW581" s="1"/>
  <c r="AW571"/>
  <c r="AW573" s="1"/>
  <c r="AW479"/>
  <c r="AW506"/>
  <c r="AW508" s="1"/>
  <c r="AW498"/>
  <c r="AW500" s="1"/>
  <c r="P379"/>
  <c r="P400"/>
  <c r="P402" s="1"/>
  <c r="P392"/>
  <c r="P394" s="1"/>
  <c r="P579"/>
  <c r="P581" s="1"/>
  <c r="P552"/>
  <c r="P571"/>
  <c r="P573" s="1"/>
  <c r="P584" s="1"/>
  <c r="P587" s="1"/>
  <c r="P589" s="1"/>
  <c r="R532"/>
  <c r="R515"/>
  <c r="AK579"/>
  <c r="AK581" s="1"/>
  <c r="AK552"/>
  <c r="AK571"/>
  <c r="AK573" s="1"/>
  <c r="AK584" s="1"/>
  <c r="AK587" s="1"/>
  <c r="AK589" s="1"/>
  <c r="AK400"/>
  <c r="AK402" s="1"/>
  <c r="AK379"/>
  <c r="AK392"/>
  <c r="AK394" s="1"/>
  <c r="AK405" s="1"/>
  <c r="AK408" s="1"/>
  <c r="V506"/>
  <c r="V508" s="1"/>
  <c r="V479"/>
  <c r="V498"/>
  <c r="V500" s="1"/>
  <c r="V511" s="1"/>
  <c r="V514" s="1"/>
  <c r="V552"/>
  <c r="V579"/>
  <c r="V581" s="1"/>
  <c r="V571"/>
  <c r="V573" s="1"/>
  <c r="S479"/>
  <c r="S506"/>
  <c r="S508" s="1"/>
  <c r="S498"/>
  <c r="S500" s="1"/>
  <c r="S552"/>
  <c r="S579"/>
  <c r="S581" s="1"/>
  <c r="S571"/>
  <c r="S573" s="1"/>
  <c r="N479"/>
  <c r="N506"/>
  <c r="N508" s="1"/>
  <c r="N498"/>
  <c r="N500" s="1"/>
  <c r="N579"/>
  <c r="N581" s="1"/>
  <c r="N552"/>
  <c r="N571"/>
  <c r="N573" s="1"/>
  <c r="N584" s="1"/>
  <c r="N587" s="1"/>
  <c r="N589" s="1"/>
  <c r="AX12" i="26"/>
  <c r="AX12" i="33" s="1"/>
  <c r="AX410" i="12"/>
  <c r="AT379"/>
  <c r="AT400"/>
  <c r="AT402" s="1"/>
  <c r="AT392"/>
  <c r="AT394" s="1"/>
  <c r="AT479"/>
  <c r="AT506"/>
  <c r="AT508" s="1"/>
  <c r="AT498"/>
  <c r="AT500" s="1"/>
  <c r="AM506"/>
  <c r="AM508" s="1"/>
  <c r="AM479"/>
  <c r="AM498"/>
  <c r="AM500" s="1"/>
  <c r="AM511" s="1"/>
  <c r="AM514" s="1"/>
  <c r="AM379"/>
  <c r="AM400"/>
  <c r="AM402" s="1"/>
  <c r="AM392"/>
  <c r="AM394" s="1"/>
  <c r="O479"/>
  <c r="O506"/>
  <c r="O508" s="1"/>
  <c r="O498"/>
  <c r="O500" s="1"/>
  <c r="O379"/>
  <c r="O400"/>
  <c r="O402" s="1"/>
  <c r="O392"/>
  <c r="O394" s="1"/>
  <c r="AB14" i="29"/>
  <c r="AB19" i="26"/>
  <c r="AZ515" i="12"/>
  <c r="AZ532"/>
  <c r="AM532"/>
  <c r="AM515"/>
  <c r="AY532"/>
  <c r="AY515"/>
  <c r="Q532"/>
  <c r="Q515"/>
  <c r="I532"/>
  <c r="I515"/>
  <c r="AQ13" i="29"/>
  <c r="AQ531" i="12"/>
  <c r="AQ533" s="1"/>
  <c r="AQ534" s="1"/>
  <c r="AQ516"/>
  <c r="AQ18" i="26"/>
  <c r="AQ18" i="33" s="1"/>
  <c r="BG410" i="12"/>
  <c r="Z29" i="26"/>
  <c r="Z590" i="12"/>
  <c r="I479"/>
  <c r="I506"/>
  <c r="I508" s="1"/>
  <c r="I498"/>
  <c r="I500" s="1"/>
  <c r="I552"/>
  <c r="I579"/>
  <c r="I581" s="1"/>
  <c r="I571"/>
  <c r="I573" s="1"/>
  <c r="AO479"/>
  <c r="AO506"/>
  <c r="AO508" s="1"/>
  <c r="AO498"/>
  <c r="AO500" s="1"/>
  <c r="AO400"/>
  <c r="AO402" s="1"/>
  <c r="AO379"/>
  <c r="AO392"/>
  <c r="AO394" s="1"/>
  <c r="AO405" s="1"/>
  <c r="AO408" s="1"/>
  <c r="AJ479"/>
  <c r="AJ506"/>
  <c r="AJ508" s="1"/>
  <c r="AJ498"/>
  <c r="AJ500" s="1"/>
  <c r="AJ379"/>
  <c r="AJ400"/>
  <c r="AJ402" s="1"/>
  <c r="AJ392"/>
  <c r="AJ394" s="1"/>
  <c r="BB506"/>
  <c r="BB508" s="1"/>
  <c r="BB479"/>
  <c r="BB498"/>
  <c r="BB500" s="1"/>
  <c r="BB511" s="1"/>
  <c r="BB514" s="1"/>
  <c r="BB379"/>
  <c r="BB400"/>
  <c r="BB402" s="1"/>
  <c r="BB392"/>
  <c r="BB394" s="1"/>
  <c r="AL552"/>
  <c r="AL579"/>
  <c r="AL581" s="1"/>
  <c r="AL571"/>
  <c r="AL573" s="1"/>
  <c r="AF479"/>
  <c r="AF506"/>
  <c r="AF508" s="1"/>
  <c r="AF498"/>
  <c r="AF500" s="1"/>
  <c r="BE479"/>
  <c r="BE506"/>
  <c r="BE508" s="1"/>
  <c r="BE498"/>
  <c r="BE500" s="1"/>
  <c r="AC410"/>
  <c r="AC29" i="26"/>
  <c r="AC590" i="12"/>
  <c r="AG13" i="29"/>
  <c r="AG531" i="12"/>
  <c r="AG533" s="1"/>
  <c r="AG534" s="1"/>
  <c r="AG516"/>
  <c r="AG18" i="26"/>
  <c r="BA14" i="29"/>
  <c r="BA19" i="26"/>
  <c r="BA19" i="33" s="1"/>
  <c r="Z14" i="29"/>
  <c r="Z19" i="26"/>
  <c r="K14" i="29"/>
  <c r="K19" i="26"/>
  <c r="K19" i="33" s="1"/>
  <c r="BH579" i="12"/>
  <c r="BH581" s="1"/>
  <c r="BH552"/>
  <c r="BH571"/>
  <c r="BH573" s="1"/>
  <c r="BH584" s="1"/>
  <c r="BH587" s="1"/>
  <c r="BH589" s="1"/>
  <c r="BH379"/>
  <c r="BH392"/>
  <c r="BH394" s="1"/>
  <c r="BH400"/>
  <c r="BH402" s="1"/>
  <c r="Y506"/>
  <c r="Y508" s="1"/>
  <c r="Y479"/>
  <c r="Y498"/>
  <c r="Y500" s="1"/>
  <c r="Y511" s="1"/>
  <c r="Y514" s="1"/>
  <c r="Y379"/>
  <c r="Y400"/>
  <c r="Y402" s="1"/>
  <c r="Y392"/>
  <c r="Y394" s="1"/>
  <c r="BF379"/>
  <c r="BF400"/>
  <c r="BF402" s="1"/>
  <c r="BF392"/>
  <c r="BF394" s="1"/>
  <c r="BF552"/>
  <c r="BF579"/>
  <c r="BF581" s="1"/>
  <c r="BF571"/>
  <c r="BF573" s="1"/>
  <c r="M552"/>
  <c r="M579"/>
  <c r="M581" s="1"/>
  <c r="M571"/>
  <c r="M573" s="1"/>
  <c r="M479"/>
  <c r="M506"/>
  <c r="M508" s="1"/>
  <c r="M498"/>
  <c r="M500" s="1"/>
  <c r="AZ579"/>
  <c r="AZ581" s="1"/>
  <c r="AZ552"/>
  <c r="AZ571"/>
  <c r="AZ573" s="1"/>
  <c r="AZ584" s="1"/>
  <c r="AZ587" s="1"/>
  <c r="AZ589" s="1"/>
  <c r="AZ379"/>
  <c r="AZ400"/>
  <c r="AZ402" s="1"/>
  <c r="AZ392"/>
  <c r="AZ394" s="1"/>
  <c r="AG14" i="29"/>
  <c r="AG19" i="26"/>
  <c r="AA14" i="29"/>
  <c r="AA19" i="26"/>
  <c r="BC19"/>
  <c r="BC19" i="33" s="1"/>
  <c r="BC14" i="29"/>
  <c r="AE14"/>
  <c r="AE19" i="26"/>
  <c r="AL14" i="29"/>
  <c r="AL19" i="26"/>
  <c r="BF33" i="34"/>
  <c r="DP33" i="33" s="1"/>
  <c r="AQ24" i="34"/>
  <c r="CU24" i="33" s="1"/>
  <c r="AS405" i="12" l="1"/>
  <c r="AS408" s="1"/>
  <c r="AU410"/>
  <c r="AU14" i="26" s="1"/>
  <c r="AU14" i="33" s="1"/>
  <c r="AU516" i="12"/>
  <c r="BA18" i="26"/>
  <c r="BA18" i="33" s="1"/>
  <c r="BA531" i="12"/>
  <c r="BA533" s="1"/>
  <c r="BA534" s="1"/>
  <c r="S32" i="34"/>
  <c r="AR32" s="1"/>
  <c r="CV32" i="33" s="1"/>
  <c r="BV32"/>
  <c r="DT32" s="1"/>
  <c r="BJ32" i="34"/>
  <c r="BP24" i="33"/>
  <c r="M24" i="34"/>
  <c r="BQ32" i="33"/>
  <c r="N32" i="34"/>
  <c r="BQ23" i="33"/>
  <c r="N23" i="34"/>
  <c r="BP33" i="33"/>
  <c r="M33" i="34"/>
  <c r="S23"/>
  <c r="AR23" s="1"/>
  <c r="CV23" i="33" s="1"/>
  <c r="BV23"/>
  <c r="DT23" s="1"/>
  <c r="BJ23" i="34"/>
  <c r="R24"/>
  <c r="BU24" i="33"/>
  <c r="DS24" s="1"/>
  <c r="BI24" i="34"/>
  <c r="BU33" i="33"/>
  <c r="DS33" s="1"/>
  <c r="R33" i="34"/>
  <c r="BI33"/>
  <c r="AH584" i="12"/>
  <c r="AH587" s="1"/>
  <c r="AH589" s="1"/>
  <c r="H405"/>
  <c r="H408" s="1"/>
  <c r="U584"/>
  <c r="U587" s="1"/>
  <c r="U589" s="1"/>
  <c r="AS511"/>
  <c r="AS514" s="1"/>
  <c r="BI405"/>
  <c r="BI408" s="1"/>
  <c r="BI12" i="26" s="1"/>
  <c r="BI12" i="33" s="1"/>
  <c r="BC584" i="12"/>
  <c r="BC587" s="1"/>
  <c r="BC589" s="1"/>
  <c r="AN405"/>
  <c r="AN408" s="1"/>
  <c r="AP511"/>
  <c r="AP514" s="1"/>
  <c r="M584"/>
  <c r="M587" s="1"/>
  <c r="M589" s="1"/>
  <c r="M590" s="1"/>
  <c r="BF405"/>
  <c r="BF408" s="1"/>
  <c r="BH405"/>
  <c r="BH408" s="1"/>
  <c r="AF511"/>
  <c r="AF514" s="1"/>
  <c r="BB405"/>
  <c r="BB408" s="1"/>
  <c r="AJ405"/>
  <c r="AJ408" s="1"/>
  <c r="AJ12" i="26" s="1"/>
  <c r="AJ12" i="33" s="1"/>
  <c r="I584" i="12"/>
  <c r="I587" s="1"/>
  <c r="I589" s="1"/>
  <c r="I590" s="1"/>
  <c r="AM405"/>
  <c r="AM408" s="1"/>
  <c r="AT511"/>
  <c r="AT514" s="1"/>
  <c r="N511"/>
  <c r="N514" s="1"/>
  <c r="S511"/>
  <c r="S514" s="1"/>
  <c r="AW511"/>
  <c r="AW514" s="1"/>
  <c r="AA511"/>
  <c r="AA514" s="1"/>
  <c r="AA13" i="29" s="1"/>
  <c r="AD584" i="12"/>
  <c r="AD587" s="1"/>
  <c r="AD589" s="1"/>
  <c r="AH511"/>
  <c r="AH514" s="1"/>
  <c r="AI584"/>
  <c r="AI587" s="1"/>
  <c r="AI589" s="1"/>
  <c r="AY405"/>
  <c r="AY408" s="1"/>
  <c r="T584"/>
  <c r="T587" s="1"/>
  <c r="T589" s="1"/>
  <c r="Q584"/>
  <c r="Q587" s="1"/>
  <c r="Q589" s="1"/>
  <c r="BD405"/>
  <c r="BD408" s="1"/>
  <c r="AS584"/>
  <c r="AS587" s="1"/>
  <c r="AS589" s="1"/>
  <c r="AV584"/>
  <c r="AV587" s="1"/>
  <c r="AV589" s="1"/>
  <c r="BI584"/>
  <c r="BI587" s="1"/>
  <c r="BI589" s="1"/>
  <c r="BI29" i="26" s="1"/>
  <c r="X511" i="12"/>
  <c r="X514" s="1"/>
  <c r="AN511"/>
  <c r="AN514" s="1"/>
  <c r="AZ511"/>
  <c r="AZ514" s="1"/>
  <c r="Y584"/>
  <c r="Y587" s="1"/>
  <c r="Y589" s="1"/>
  <c r="Y590" s="1"/>
  <c r="BE584"/>
  <c r="BE587" s="1"/>
  <c r="BE589" s="1"/>
  <c r="AF405"/>
  <c r="AF408" s="1"/>
  <c r="AO584"/>
  <c r="AO587" s="1"/>
  <c r="AO589" s="1"/>
  <c r="O584"/>
  <c r="O587" s="1"/>
  <c r="O589" s="1"/>
  <c r="AT584"/>
  <c r="AT587" s="1"/>
  <c r="AT589" s="1"/>
  <c r="P511"/>
  <c r="P514" s="1"/>
  <c r="AA405"/>
  <c r="AA408" s="1"/>
  <c r="M29" i="26"/>
  <c r="Y13" i="29"/>
  <c r="Y531" i="12"/>
  <c r="Y533" s="1"/>
  <c r="Y534" s="1"/>
  <c r="Y18" i="26"/>
  <c r="Y516" i="12"/>
  <c r="BH29" i="26"/>
  <c r="BH590" i="12"/>
  <c r="AC411"/>
  <c r="AC14" i="26"/>
  <c r="AC14" i="33" s="1"/>
  <c r="I29" i="26"/>
  <c r="BG14"/>
  <c r="BG14" i="33" s="1"/>
  <c r="BG411" i="12"/>
  <c r="AL19" i="33"/>
  <c r="BB19" i="34"/>
  <c r="DL19" i="33" s="1"/>
  <c r="AE19"/>
  <c r="AU19" i="34"/>
  <c r="DE19" i="33" s="1"/>
  <c r="AA19"/>
  <c r="K19" i="34"/>
  <c r="BO19" i="33" s="1"/>
  <c r="AG19"/>
  <c r="AH19" i="34"/>
  <c r="CL19" i="33" s="1"/>
  <c r="Z19"/>
  <c r="J19" i="34"/>
  <c r="BN19" i="33" s="1"/>
  <c r="AG18"/>
  <c r="AH18" i="34"/>
  <c r="CL18" i="33" s="1"/>
  <c r="AG108" i="29"/>
  <c r="AG535" i="12"/>
  <c r="AU411"/>
  <c r="AC29" i="33"/>
  <c r="AC147" i="26"/>
  <c r="AS29" i="34"/>
  <c r="BB18" i="26"/>
  <c r="BB18" i="33" s="1"/>
  <c r="BB531" i="12"/>
  <c r="BB533" s="1"/>
  <c r="BB534" s="1"/>
  <c r="BB13" i="29"/>
  <c r="BB516" i="12"/>
  <c r="Z29" i="33"/>
  <c r="J29" i="34"/>
  <c r="BN29" i="33" s="1"/>
  <c r="Z147" i="26"/>
  <c r="AQ535" i="12"/>
  <c r="AQ108" i="29"/>
  <c r="I14"/>
  <c r="I19" i="26"/>
  <c r="I19" i="33" s="1"/>
  <c r="Q14" i="29"/>
  <c r="Q19" i="26"/>
  <c r="Q19" i="33" s="1"/>
  <c r="AY14" i="29"/>
  <c r="AY19" i="26"/>
  <c r="AY19" i="33" s="1"/>
  <c r="AM14" i="29"/>
  <c r="AM19" i="26"/>
  <c r="AB19" i="33"/>
  <c r="AC19" i="34"/>
  <c r="O405" i="12"/>
  <c r="O408" s="1"/>
  <c r="AM13" i="29"/>
  <c r="AM531" i="12"/>
  <c r="AM533" s="1"/>
  <c r="AM534" s="1"/>
  <c r="AM18" i="26"/>
  <c r="AM516" i="12"/>
  <c r="N29" i="26"/>
  <c r="N590" i="12"/>
  <c r="AK12" i="26"/>
  <c r="AK12" i="33" s="1"/>
  <c r="AK410" i="12"/>
  <c r="R14" i="29"/>
  <c r="R19" i="26"/>
  <c r="R19" i="33" s="1"/>
  <c r="P29" i="26"/>
  <c r="P590" i="12"/>
  <c r="AF14" i="29"/>
  <c r="AF19" i="26"/>
  <c r="U19"/>
  <c r="U19" i="33" s="1"/>
  <c r="U14" i="29"/>
  <c r="BI14"/>
  <c r="BI19" i="26"/>
  <c r="BI19" i="33" s="1"/>
  <c r="BE19" i="26"/>
  <c r="BE19" i="33" s="1"/>
  <c r="BE14" i="29"/>
  <c r="AT19" i="26"/>
  <c r="AT19" i="33" s="1"/>
  <c r="AT14" i="29"/>
  <c r="BB14"/>
  <c r="BB19" i="26"/>
  <c r="BB19" i="33" s="1"/>
  <c r="AB30" i="26"/>
  <c r="AB591" i="12"/>
  <c r="AG591"/>
  <c r="AG30" i="26"/>
  <c r="AU20"/>
  <c r="AU517" i="12"/>
  <c r="AU108" i="29"/>
  <c r="AU535" i="12"/>
  <c r="AU591"/>
  <c r="AU30" i="26"/>
  <c r="AC20"/>
  <c r="AC517" i="12"/>
  <c r="Y14" i="29"/>
  <c r="Y19" i="26"/>
  <c r="U405" i="12"/>
  <c r="U408" s="1"/>
  <c r="K29" i="33"/>
  <c r="K147" i="26"/>
  <c r="AQ147"/>
  <c r="AQ29" i="33"/>
  <c r="AS12" i="26"/>
  <c r="AS12" i="33" s="1"/>
  <c r="AS410" i="12"/>
  <c r="AV13" i="29"/>
  <c r="AV18" i="26"/>
  <c r="AV18" i="33" s="1"/>
  <c r="AV531" i="12"/>
  <c r="AV533" s="1"/>
  <c r="AV534" s="1"/>
  <c r="AV516"/>
  <c r="W13" i="29"/>
  <c r="W531" i="12"/>
  <c r="W533" s="1"/>
  <c r="W534" s="1"/>
  <c r="W18" i="26"/>
  <c r="W18" i="33" s="1"/>
  <c r="W516" i="12"/>
  <c r="J405"/>
  <c r="J408" s="1"/>
  <c r="AD14" i="29"/>
  <c r="AD19" i="26"/>
  <c r="M19"/>
  <c r="M19" i="33" s="1"/>
  <c r="M14" i="29"/>
  <c r="X14"/>
  <c r="X19" i="26"/>
  <c r="BG29"/>
  <c r="BG590" i="12"/>
  <c r="K13" i="29"/>
  <c r="K531" i="12"/>
  <c r="K533" s="1"/>
  <c r="K534" s="1"/>
  <c r="K18" i="26"/>
  <c r="K18" i="33" s="1"/>
  <c r="K516" i="12"/>
  <c r="AX29" i="26"/>
  <c r="AX590" i="12"/>
  <c r="M405"/>
  <c r="M408" s="1"/>
  <c r="BH13" i="29"/>
  <c r="BH18" i="26"/>
  <c r="BH18" i="33" s="1"/>
  <c r="BH531" i="12"/>
  <c r="BH533" s="1"/>
  <c r="BH534" s="1"/>
  <c r="BH516"/>
  <c r="AF29" i="26"/>
  <c r="AF590" i="12"/>
  <c r="AL13" i="29"/>
  <c r="AL531" i="12"/>
  <c r="AL533" s="1"/>
  <c r="AL534" s="1"/>
  <c r="AL18" i="26"/>
  <c r="AL516" i="12"/>
  <c r="N405"/>
  <c r="N408" s="1"/>
  <c r="S405"/>
  <c r="S408" s="1"/>
  <c r="V405"/>
  <c r="V408" s="1"/>
  <c r="V14" i="29"/>
  <c r="V19" i="26"/>
  <c r="V19" i="33" s="1"/>
  <c r="H14" i="29"/>
  <c r="H19" i="26"/>
  <c r="H19" i="33" s="1"/>
  <c r="L405" i="12"/>
  <c r="L408" s="1"/>
  <c r="L18" i="26"/>
  <c r="L18" i="33" s="1"/>
  <c r="L13" i="29"/>
  <c r="L531" i="12"/>
  <c r="L533" s="1"/>
  <c r="L534" s="1"/>
  <c r="L516"/>
  <c r="AG14" i="26"/>
  <c r="AG14" i="33" s="1"/>
  <c r="AG411" i="12"/>
  <c r="Z535"/>
  <c r="Z108" i="29"/>
  <c r="Q405" i="12"/>
  <c r="Q408" s="1"/>
  <c r="AV12" i="26"/>
  <c r="AV12" i="33" s="1"/>
  <c r="AV410" i="12"/>
  <c r="X12" i="26"/>
  <c r="X12" i="33" s="1"/>
  <c r="X410" i="12"/>
  <c r="AV19" i="26"/>
  <c r="AV19" i="33" s="1"/>
  <c r="AV14" i="29"/>
  <c r="AN29" i="26"/>
  <c r="AN590" i="12"/>
  <c r="AP12" i="26"/>
  <c r="AP12" i="33" s="1"/>
  <c r="AP410" i="12"/>
  <c r="AC19" i="33"/>
  <c r="AS19" i="34"/>
  <c r="BA30" i="26"/>
  <c r="BA591" i="12"/>
  <c r="AW14" i="29"/>
  <c r="AW19" i="26"/>
  <c r="AW19" i="33" s="1"/>
  <c r="L14" i="29"/>
  <c r="L19" i="26"/>
  <c r="L19" i="33" s="1"/>
  <c r="AI14" i="29"/>
  <c r="AI19" i="26"/>
  <c r="AK14" i="29"/>
  <c r="AK19" i="26"/>
  <c r="AZ405" i="12"/>
  <c r="AZ408" s="1"/>
  <c r="M511"/>
  <c r="M514" s="1"/>
  <c r="BF584"/>
  <c r="BF587" s="1"/>
  <c r="BF589" s="1"/>
  <c r="Y405"/>
  <c r="Y408" s="1"/>
  <c r="BE511"/>
  <c r="BE514" s="1"/>
  <c r="AL584"/>
  <c r="AL587" s="1"/>
  <c r="AL589" s="1"/>
  <c r="AJ511"/>
  <c r="AJ514" s="1"/>
  <c r="AO511"/>
  <c r="AO514" s="1"/>
  <c r="I511"/>
  <c r="I514" s="1"/>
  <c r="O511"/>
  <c r="O514" s="1"/>
  <c r="AT405"/>
  <c r="AT408" s="1"/>
  <c r="S584"/>
  <c r="S587" s="1"/>
  <c r="S589" s="1"/>
  <c r="V584"/>
  <c r="V587" s="1"/>
  <c r="V589" s="1"/>
  <c r="AW584"/>
  <c r="AW587" s="1"/>
  <c r="AW589" s="1"/>
  <c r="L584"/>
  <c r="L587" s="1"/>
  <c r="L589" s="1"/>
  <c r="AD405"/>
  <c r="AD408" s="1"/>
  <c r="AH405"/>
  <c r="AH408" s="1"/>
  <c r="AI511"/>
  <c r="AI514" s="1"/>
  <c r="H511"/>
  <c r="H514" s="1"/>
  <c r="U511"/>
  <c r="U514" s="1"/>
  <c r="AY511"/>
  <c r="AY514" s="1"/>
  <c r="T511"/>
  <c r="T514" s="1"/>
  <c r="AE511"/>
  <c r="AE514" s="1"/>
  <c r="Q511"/>
  <c r="Q514" s="1"/>
  <c r="BD584"/>
  <c r="BD587" s="1"/>
  <c r="BD589" s="1"/>
  <c r="W584"/>
  <c r="W587" s="1"/>
  <c r="W589" s="1"/>
  <c r="BI511"/>
  <c r="BI514" s="1"/>
  <c r="X584"/>
  <c r="X587" s="1"/>
  <c r="X589" s="1"/>
  <c r="J584"/>
  <c r="J587" s="1"/>
  <c r="J589" s="1"/>
  <c r="BC511"/>
  <c r="BC514" s="1"/>
  <c r="AP584"/>
  <c r="AP587" s="1"/>
  <c r="AP589" s="1"/>
  <c r="BF511"/>
  <c r="BF514" s="1"/>
  <c r="BE405"/>
  <c r="BE408" s="1"/>
  <c r="AJ584"/>
  <c r="AJ587" s="1"/>
  <c r="AJ589" s="1"/>
  <c r="I405"/>
  <c r="I408" s="1"/>
  <c r="AM584"/>
  <c r="AM587" s="1"/>
  <c r="AM589" s="1"/>
  <c r="AK511"/>
  <c r="AK514" s="1"/>
  <c r="AW405"/>
  <c r="AW408" s="1"/>
  <c r="AA584"/>
  <c r="AA587" s="1"/>
  <c r="AA589" s="1"/>
  <c r="AD511"/>
  <c r="AD514" s="1"/>
  <c r="AI405"/>
  <c r="AI408" s="1"/>
  <c r="AY584"/>
  <c r="AY587" s="1"/>
  <c r="AY589" s="1"/>
  <c r="BD511"/>
  <c r="BD514" s="1"/>
  <c r="BC405"/>
  <c r="BC408" s="1"/>
  <c r="R584"/>
  <c r="R587" s="1"/>
  <c r="R589" s="1"/>
  <c r="AZ29" i="26"/>
  <c r="AZ590" i="12"/>
  <c r="BF12" i="26"/>
  <c r="BF12" i="33" s="1"/>
  <c r="BF410" i="12"/>
  <c r="BH12" i="26"/>
  <c r="BH12" i="33" s="1"/>
  <c r="AG20" i="26"/>
  <c r="AG517" i="12"/>
  <c r="AC591"/>
  <c r="AC30" i="26"/>
  <c r="AF13" i="29"/>
  <c r="AF18" i="26"/>
  <c r="AF531" i="12"/>
  <c r="AF533" s="1"/>
  <c r="AF534" s="1"/>
  <c r="AF516"/>
  <c r="BB410"/>
  <c r="BB12" i="26"/>
  <c r="BB12" i="33" s="1"/>
  <c r="AO410" i="12"/>
  <c r="AO12" i="26"/>
  <c r="AO12" i="33" s="1"/>
  <c r="Z591" i="12"/>
  <c r="Z30" i="26"/>
  <c r="AQ20"/>
  <c r="AQ517" i="12"/>
  <c r="AZ14" i="29"/>
  <c r="AZ19" i="26"/>
  <c r="AZ19" i="33" s="1"/>
  <c r="AM12" i="26"/>
  <c r="AM12" i="33" s="1"/>
  <c r="AM410" i="12"/>
  <c r="AT18" i="26"/>
  <c r="AT18" i="33" s="1"/>
  <c r="AT13" i="29"/>
  <c r="AT531" i="12"/>
  <c r="AT533" s="1"/>
  <c r="AT534" s="1"/>
  <c r="AT516"/>
  <c r="AX14" i="26"/>
  <c r="AX14" i="33" s="1"/>
  <c r="AX411" i="12"/>
  <c r="N13" i="29"/>
  <c r="N531" i="12"/>
  <c r="N533" s="1"/>
  <c r="N534" s="1"/>
  <c r="N18" i="26"/>
  <c r="N18" i="33" s="1"/>
  <c r="N516" i="12"/>
  <c r="S13" i="29"/>
  <c r="S18" i="26"/>
  <c r="S18" i="33" s="1"/>
  <c r="S531" i="12"/>
  <c r="S533" s="1"/>
  <c r="S534" s="1"/>
  <c r="S516"/>
  <c r="V13" i="29"/>
  <c r="V18" i="26"/>
  <c r="V18" i="33" s="1"/>
  <c r="V531" i="12"/>
  <c r="V533" s="1"/>
  <c r="V534" s="1"/>
  <c r="V516"/>
  <c r="AK29" i="26"/>
  <c r="AK590" i="12"/>
  <c r="P405"/>
  <c r="P408" s="1"/>
  <c r="AW531"/>
  <c r="AW533" s="1"/>
  <c r="AW534" s="1"/>
  <c r="AW13" i="29"/>
  <c r="AW18" i="26"/>
  <c r="AW18" i="33" s="1"/>
  <c r="AW516" i="12"/>
  <c r="BA14" i="26"/>
  <c r="BA14" i="33" s="1"/>
  <c r="BA411" i="12"/>
  <c r="AA531"/>
  <c r="AA533" s="1"/>
  <c r="AA534" s="1"/>
  <c r="AA516"/>
  <c r="AB147" i="26"/>
  <c r="AC29" i="34"/>
  <c r="AB29" i="33"/>
  <c r="AG147" i="26"/>
  <c r="AH29" i="34"/>
  <c r="CL29" i="33" s="1"/>
  <c r="AG29"/>
  <c r="AU29"/>
  <c r="AU147" i="26"/>
  <c r="AS18" i="34"/>
  <c r="AC18" i="33"/>
  <c r="AC108" i="29"/>
  <c r="AC535" i="12"/>
  <c r="AD29" i="26"/>
  <c r="AD590" i="12"/>
  <c r="AH531"/>
  <c r="AH533" s="1"/>
  <c r="AH534" s="1"/>
  <c r="AH13" i="29"/>
  <c r="AH516" i="12"/>
  <c r="AH18" i="26"/>
  <c r="AI29"/>
  <c r="AI590" i="12"/>
  <c r="H29" i="26"/>
  <c r="H590" i="12"/>
  <c r="AY12" i="26"/>
  <c r="AY12" i="33" s="1"/>
  <c r="AY410" i="12"/>
  <c r="K591"/>
  <c r="K30" i="26"/>
  <c r="AR14"/>
  <c r="AR14" i="33" s="1"/>
  <c r="AR411" i="12"/>
  <c r="Z14" i="26"/>
  <c r="Z14" i="33" s="1"/>
  <c r="Z411" i="12"/>
  <c r="AQ591"/>
  <c r="AQ30" i="26"/>
  <c r="AJ14" i="29"/>
  <c r="AJ19" i="26"/>
  <c r="BD14" i="29"/>
  <c r="BD19" i="26"/>
  <c r="BD19" i="33" s="1"/>
  <c r="P14" i="29"/>
  <c r="P19" i="26"/>
  <c r="P19" i="33" s="1"/>
  <c r="AN14" i="29"/>
  <c r="AN19" i="26"/>
  <c r="AN19" i="33" s="1"/>
  <c r="AH14" i="29"/>
  <c r="AH19" i="26"/>
  <c r="W14" i="29"/>
  <c r="W19" i="26"/>
  <c r="W19" i="33" s="1"/>
  <c r="T29" i="26"/>
  <c r="T590" i="12"/>
  <c r="AE12" i="26"/>
  <c r="AE12" i="33" s="1"/>
  <c r="AE410" i="12"/>
  <c r="Q29" i="26"/>
  <c r="Q590" i="12"/>
  <c r="BD12" i="26"/>
  <c r="BD12" i="33" s="1"/>
  <c r="BD410" i="12"/>
  <c r="AS29" i="26"/>
  <c r="AS590" i="12"/>
  <c r="AV29" i="26"/>
  <c r="AV590" i="12"/>
  <c r="BI590"/>
  <c r="X13" i="29"/>
  <c r="X531" i="12"/>
  <c r="X533" s="1"/>
  <c r="X534" s="1"/>
  <c r="X18" i="26"/>
  <c r="X516" i="12"/>
  <c r="AN18" i="26"/>
  <c r="AN18" i="33" s="1"/>
  <c r="AN13" i="29"/>
  <c r="AN531" i="12"/>
  <c r="AN533" s="1"/>
  <c r="AN534" s="1"/>
  <c r="AN516"/>
  <c r="R405"/>
  <c r="R408" s="1"/>
  <c r="J14" i="29"/>
  <c r="J19" i="26"/>
  <c r="J19" i="33" s="1"/>
  <c r="AB12" i="26"/>
  <c r="AB12" i="33" s="1"/>
  <c r="AB410" i="12"/>
  <c r="AR531"/>
  <c r="AR533" s="1"/>
  <c r="AR534" s="1"/>
  <c r="AR13" i="29"/>
  <c r="AR18" i="26"/>
  <c r="AR18" i="33" s="1"/>
  <c r="AR516" i="12"/>
  <c r="AQ12" i="26"/>
  <c r="AQ12" i="33" s="1"/>
  <c r="AQ410" i="12"/>
  <c r="AX13" i="29"/>
  <c r="AX531" i="12"/>
  <c r="AX533" s="1"/>
  <c r="AX534" s="1"/>
  <c r="AX18" i="26"/>
  <c r="AX18" i="33" s="1"/>
  <c r="AX516" i="12"/>
  <c r="AB13" i="29"/>
  <c r="AB531" i="12"/>
  <c r="AB533" s="1"/>
  <c r="AB534" s="1"/>
  <c r="AB18" i="26"/>
  <c r="AB516" i="12"/>
  <c r="AR29" i="26"/>
  <c r="AR590" i="12"/>
  <c r="AZ18" i="26"/>
  <c r="AZ18" i="33" s="1"/>
  <c r="AZ13" i="29"/>
  <c r="AZ516" i="12"/>
  <c r="AZ531"/>
  <c r="AZ533" s="1"/>
  <c r="AZ534" s="1"/>
  <c r="Y29" i="26"/>
  <c r="S19"/>
  <c r="S19" i="33" s="1"/>
  <c r="S14" i="29"/>
  <c r="AP14"/>
  <c r="AP19" i="26"/>
  <c r="AP19" i="33" s="1"/>
  <c r="BE590" i="12"/>
  <c r="BE29" i="26"/>
  <c r="AF12"/>
  <c r="AF12" i="33" s="1"/>
  <c r="AF410" i="12"/>
  <c r="AL12" i="26"/>
  <c r="AL12" i="33" s="1"/>
  <c r="AL410" i="12"/>
  <c r="K12" i="26"/>
  <c r="K12" i="33" s="1"/>
  <c r="K410" i="12"/>
  <c r="BB29" i="26"/>
  <c r="BB590" i="12"/>
  <c r="AO29" i="26"/>
  <c r="AO590" i="12"/>
  <c r="BF19" i="26"/>
  <c r="BF19" i="33" s="1"/>
  <c r="BF14" i="29"/>
  <c r="O29" i="26"/>
  <c r="O590" i="12"/>
  <c r="AT29" i="26"/>
  <c r="AT590" i="12"/>
  <c r="P13" i="29"/>
  <c r="P18" i="26"/>
  <c r="P18" i="33" s="1"/>
  <c r="P531" i="12"/>
  <c r="P533" s="1"/>
  <c r="P534" s="1"/>
  <c r="P516"/>
  <c r="AA12" i="26"/>
  <c r="AA12" i="33" s="1"/>
  <c r="AA410" i="12"/>
  <c r="AH29" i="26"/>
  <c r="AH590" i="12"/>
  <c r="H12" i="26"/>
  <c r="H12" i="33" s="1"/>
  <c r="H410" i="12"/>
  <c r="U29" i="26"/>
  <c r="U590" i="12"/>
  <c r="Z20" i="26"/>
  <c r="Z517" i="12"/>
  <c r="J18" i="34"/>
  <c r="BN18" i="33" s="1"/>
  <c r="Z18"/>
  <c r="BG20" i="26"/>
  <c r="BG517" i="12"/>
  <c r="BG108" i="29"/>
  <c r="BG535" i="12"/>
  <c r="T405"/>
  <c r="T408" s="1"/>
  <c r="AE29" i="26"/>
  <c r="AE590" i="12"/>
  <c r="AS13" i="29"/>
  <c r="AS531" i="12"/>
  <c r="AS533" s="1"/>
  <c r="AS534" s="1"/>
  <c r="AS18" i="26"/>
  <c r="AS18" i="33" s="1"/>
  <c r="AS516" i="12"/>
  <c r="W405"/>
  <c r="W408" s="1"/>
  <c r="J531"/>
  <c r="J533" s="1"/>
  <c r="J534" s="1"/>
  <c r="J13" i="29"/>
  <c r="J18" i="26"/>
  <c r="J18" i="33" s="1"/>
  <c r="J516" i="12"/>
  <c r="BC29" i="26"/>
  <c r="BC590" i="12"/>
  <c r="AN12" i="26"/>
  <c r="AN12" i="33" s="1"/>
  <c r="AN410" i="12"/>
  <c r="AP531"/>
  <c r="AP533" s="1"/>
  <c r="AP534" s="1"/>
  <c r="AP13" i="29"/>
  <c r="AP18" i="26"/>
  <c r="AP18" i="33" s="1"/>
  <c r="AP516" i="12"/>
  <c r="R531"/>
  <c r="R533" s="1"/>
  <c r="R534" s="1"/>
  <c r="R13" i="29"/>
  <c r="R18" i="26"/>
  <c r="R18" i="33" s="1"/>
  <c r="R516" i="12"/>
  <c r="BA147" i="26"/>
  <c r="BA29" i="33"/>
  <c r="BA535" i="12"/>
  <c r="BA108" i="29"/>
  <c r="BA20" i="26"/>
  <c r="BA517" i="12"/>
  <c r="BI410" l="1"/>
  <c r="AA18" i="26"/>
  <c r="BH410" i="12"/>
  <c r="BH14" i="26" s="1"/>
  <c r="BH14" i="33" s="1"/>
  <c r="BE19" i="34"/>
  <c r="DO19" i="33" s="1"/>
  <c r="AJ410" i="12"/>
  <c r="AJ14" i="26" s="1"/>
  <c r="AJ14" i="33" s="1"/>
  <c r="S33" i="34"/>
  <c r="AR33" s="1"/>
  <c r="CV33" i="33" s="1"/>
  <c r="BV33"/>
  <c r="DT33" s="1"/>
  <c r="BJ33" i="34"/>
  <c r="S24"/>
  <c r="AR24" s="1"/>
  <c r="CV24" i="33" s="1"/>
  <c r="BV24"/>
  <c r="DT24" s="1"/>
  <c r="BJ24" i="34"/>
  <c r="N33"/>
  <c r="BQ33" i="33"/>
  <c r="BR23"/>
  <c r="O23" i="34"/>
  <c r="BR32" i="33"/>
  <c r="O32" i="34"/>
  <c r="BQ24" i="33"/>
  <c r="N24" i="34"/>
  <c r="T32"/>
  <c r="BW32" i="33"/>
  <c r="DU32" s="1"/>
  <c r="BK32" i="34"/>
  <c r="T23"/>
  <c r="BW23" i="33"/>
  <c r="DU23" s="1"/>
  <c r="BK23" i="34"/>
  <c r="BA20" i="33"/>
  <c r="BA139" i="26"/>
  <c r="R108" i="29"/>
  <c r="R535" i="12"/>
  <c r="AP108" i="29"/>
  <c r="AP535" i="12"/>
  <c r="BC591"/>
  <c r="BC30" i="26"/>
  <c r="J20"/>
  <c r="J517" i="12"/>
  <c r="AE29" i="33"/>
  <c r="AU29" i="34"/>
  <c r="DE29" i="33" s="1"/>
  <c r="AE147" i="26"/>
  <c r="BG20" i="33"/>
  <c r="BG139" i="26"/>
  <c r="Z20" i="33"/>
  <c r="Z139" i="26"/>
  <c r="J20" i="34"/>
  <c r="BN20" i="33" s="1"/>
  <c r="U147" i="26"/>
  <c r="U29" i="33"/>
  <c r="AH30" i="26"/>
  <c r="AH591" i="12"/>
  <c r="AA14" i="26"/>
  <c r="AA14" i="33" s="1"/>
  <c r="AA411" i="12"/>
  <c r="P20" i="26"/>
  <c r="P517" i="12"/>
  <c r="AT30" i="26"/>
  <c r="AT591" i="12"/>
  <c r="O591"/>
  <c r="O30" i="26"/>
  <c r="AO591" i="12"/>
  <c r="AO30" i="26"/>
  <c r="BB591" i="12"/>
  <c r="BB30" i="26"/>
  <c r="K14"/>
  <c r="K14" i="33" s="1"/>
  <c r="K411" i="12"/>
  <c r="AF14" i="26"/>
  <c r="AF14" i="33" s="1"/>
  <c r="AF411" i="12"/>
  <c r="BE30" i="26"/>
  <c r="BE591" i="12"/>
  <c r="Y591"/>
  <c r="Y30" i="26"/>
  <c r="AZ108" i="29"/>
  <c r="AZ535" i="12"/>
  <c r="AR591"/>
  <c r="AR30" i="26"/>
  <c r="AB20"/>
  <c r="AB517" i="12"/>
  <c r="AB108" i="29"/>
  <c r="AB535" i="12"/>
  <c r="AX20" i="26"/>
  <c r="AX517" i="12"/>
  <c r="AX108" i="29"/>
  <c r="AX535" i="12"/>
  <c r="AQ14" i="26"/>
  <c r="AQ14" i="33" s="1"/>
  <c r="AQ411" i="12"/>
  <c r="AR535"/>
  <c r="AR108" i="29"/>
  <c r="AN108"/>
  <c r="AN535" i="12"/>
  <c r="X18" i="33"/>
  <c r="H18" i="34"/>
  <c r="Y18"/>
  <c r="BI30" i="26"/>
  <c r="BI591" i="12"/>
  <c r="AV147" i="26"/>
  <c r="AV29" i="33"/>
  <c r="AS147" i="26"/>
  <c r="AS29" i="33"/>
  <c r="BD14" i="26"/>
  <c r="BD14" i="33" s="1"/>
  <c r="BD411" i="12"/>
  <c r="Q591"/>
  <c r="Q30" i="26"/>
  <c r="T147"/>
  <c r="T29" i="33"/>
  <c r="AQ31" i="26"/>
  <c r="AQ31" i="33" s="1"/>
  <c r="Z15" i="26"/>
  <c r="Z15" i="33" s="1"/>
  <c r="Z412" i="12"/>
  <c r="K31" i="26"/>
  <c r="K31" i="33" s="1"/>
  <c r="H591" i="12"/>
  <c r="H30" i="26"/>
  <c r="AI30"/>
  <c r="AI591" i="12"/>
  <c r="AI18" i="34"/>
  <c r="CM18" i="33" s="1"/>
  <c r="AH18"/>
  <c r="AD30" i="26"/>
  <c r="AD591" i="12"/>
  <c r="DC18" i="33"/>
  <c r="AA20" i="26"/>
  <c r="AA517" i="12"/>
  <c r="AA108" i="29"/>
  <c r="AA535" i="12"/>
  <c r="BA412"/>
  <c r="BA15" i="26"/>
  <c r="BA15" i="33" s="1"/>
  <c r="AW535" i="12"/>
  <c r="AW108" i="29"/>
  <c r="AK147" i="26"/>
  <c r="BA29" i="34"/>
  <c r="DK29" i="33" s="1"/>
  <c r="AK29"/>
  <c r="V108" i="29"/>
  <c r="V535" i="12"/>
  <c r="S535"/>
  <c r="S108" i="29"/>
  <c r="AT20" i="26"/>
  <c r="AT517" i="12"/>
  <c r="AM14" i="26"/>
  <c r="AM14" i="33" s="1"/>
  <c r="AM411" i="12"/>
  <c r="AQ139" i="26"/>
  <c r="AQ20" i="33"/>
  <c r="Z31" i="26"/>
  <c r="AO14"/>
  <c r="AO14" i="33" s="1"/>
  <c r="AO411" i="12"/>
  <c r="BB14" i="26"/>
  <c r="BB14" i="33" s="1"/>
  <c r="BB411" i="12"/>
  <c r="AF20" i="26"/>
  <c r="AF517" i="12"/>
  <c r="AF18" i="33"/>
  <c r="AV18" i="34"/>
  <c r="DF18" i="33" s="1"/>
  <c r="AC148" i="26"/>
  <c r="AC30" i="33"/>
  <c r="AS30" i="34"/>
  <c r="AC36" i="26"/>
  <c r="AC35"/>
  <c r="AC34"/>
  <c r="AG139"/>
  <c r="AG20" i="33"/>
  <c r="AH20" i="34"/>
  <c r="CL20" i="33" s="1"/>
  <c r="BF14" i="26"/>
  <c r="BF14" i="33" s="1"/>
  <c r="BF411" i="12"/>
  <c r="AZ29" i="33"/>
  <c r="AZ147" i="26"/>
  <c r="BC12"/>
  <c r="BC12" i="33" s="1"/>
  <c r="BC410" i="12"/>
  <c r="AY29" i="26"/>
  <c r="AY590" i="12"/>
  <c r="AD13" i="29"/>
  <c r="AD531" i="12"/>
  <c r="AD533" s="1"/>
  <c r="AD534" s="1"/>
  <c r="AD516"/>
  <c r="AD18" i="26"/>
  <c r="AW12"/>
  <c r="AW12" i="33" s="1"/>
  <c r="AW410" i="12"/>
  <c r="AM29" i="26"/>
  <c r="AM590" i="12"/>
  <c r="AJ29" i="26"/>
  <c r="AJ590" i="12"/>
  <c r="BF13" i="29"/>
  <c r="BF18" i="26"/>
  <c r="BF18" i="33" s="1"/>
  <c r="BF531" i="12"/>
  <c r="BF533" s="1"/>
  <c r="BF534" s="1"/>
  <c r="BF516"/>
  <c r="BC13" i="29"/>
  <c r="BC531" i="12"/>
  <c r="BC533" s="1"/>
  <c r="BC534" s="1"/>
  <c r="BC18" i="26"/>
  <c r="BC18" i="33" s="1"/>
  <c r="BC516" i="12"/>
  <c r="X29" i="26"/>
  <c r="X590" i="12"/>
  <c r="W29" i="26"/>
  <c r="W590" i="12"/>
  <c r="Q18" i="26"/>
  <c r="Q18" i="33" s="1"/>
  <c r="Q531" i="12"/>
  <c r="Q533" s="1"/>
  <c r="Q534" s="1"/>
  <c r="Q13" i="29"/>
  <c r="Q516" i="12"/>
  <c r="T13" i="29"/>
  <c r="T18" i="26"/>
  <c r="T18" i="33" s="1"/>
  <c r="T531" i="12"/>
  <c r="T533" s="1"/>
  <c r="T534" s="1"/>
  <c r="T516"/>
  <c r="U13" i="29"/>
  <c r="U18" i="26"/>
  <c r="U18" i="33" s="1"/>
  <c r="U531" i="12"/>
  <c r="U533" s="1"/>
  <c r="U534" s="1"/>
  <c r="U516"/>
  <c r="AI531"/>
  <c r="AI533" s="1"/>
  <c r="AI534" s="1"/>
  <c r="AI13" i="29"/>
  <c r="AI516" i="12"/>
  <c r="AI18" i="26"/>
  <c r="AD12"/>
  <c r="AD12" i="33" s="1"/>
  <c r="AD410" i="12"/>
  <c r="AW29" i="26"/>
  <c r="AW590" i="12"/>
  <c r="S29" i="26"/>
  <c r="S590" i="12"/>
  <c r="O18" i="26"/>
  <c r="O18" i="33" s="1"/>
  <c r="O531" i="12"/>
  <c r="O533" s="1"/>
  <c r="O534" s="1"/>
  <c r="O13" i="29"/>
  <c r="O516" i="12"/>
  <c r="I18" i="26"/>
  <c r="I18" i="33" s="1"/>
  <c r="I13" i="29"/>
  <c r="I531" i="12"/>
  <c r="I533" s="1"/>
  <c r="I534" s="1"/>
  <c r="I516"/>
  <c r="AJ13" i="29"/>
  <c r="AJ531" i="12"/>
  <c r="AJ533" s="1"/>
  <c r="AJ534" s="1"/>
  <c r="AJ18" i="26"/>
  <c r="AJ516" i="12"/>
  <c r="BE18" i="26"/>
  <c r="BE18" i="33" s="1"/>
  <c r="BE531" i="12"/>
  <c r="BE533" s="1"/>
  <c r="BE534" s="1"/>
  <c r="BE13" i="29"/>
  <c r="BE516" i="12"/>
  <c r="BF29" i="26"/>
  <c r="BF590" i="12"/>
  <c r="AZ410"/>
  <c r="AZ12" i="26"/>
  <c r="AZ12" i="33" s="1"/>
  <c r="BA34" i="26"/>
  <c r="BA34" i="33" s="1"/>
  <c r="BA36" i="26"/>
  <c r="BA36" i="33" s="1"/>
  <c r="BA30"/>
  <c r="BA148" i="26"/>
  <c r="BA35"/>
  <c r="BA35" i="33" s="1"/>
  <c r="DC19"/>
  <c r="AP14" i="26"/>
  <c r="AP14" i="33" s="1"/>
  <c r="AP411" i="12"/>
  <c r="AN147" i="26"/>
  <c r="AN29" i="33"/>
  <c r="AV14" i="26"/>
  <c r="AV14" i="33" s="1"/>
  <c r="AV411" i="12"/>
  <c r="L20" i="26"/>
  <c r="L517" i="12"/>
  <c r="L12" i="26"/>
  <c r="L12" i="33" s="1"/>
  <c r="L410" i="12"/>
  <c r="V12" i="26"/>
  <c r="V12" i="33" s="1"/>
  <c r="V410" i="12"/>
  <c r="S12" i="26"/>
  <c r="S12" i="33" s="1"/>
  <c r="S410" i="12"/>
  <c r="N12" i="26"/>
  <c r="N12" i="33" s="1"/>
  <c r="N410" i="12"/>
  <c r="AL20" i="26"/>
  <c r="AL517" i="12"/>
  <c r="AL108" i="29"/>
  <c r="AL535" i="12"/>
  <c r="AF30" i="26"/>
  <c r="AF591" i="12"/>
  <c r="BH20" i="26"/>
  <c r="BH517" i="12"/>
  <c r="M12" i="26"/>
  <c r="M12" i="33" s="1"/>
  <c r="M410" i="12"/>
  <c r="AX591"/>
  <c r="AX30" i="26"/>
  <c r="K20"/>
  <c r="K517" i="12"/>
  <c r="K535"/>
  <c r="K108" i="29"/>
  <c r="BG30" i="26"/>
  <c r="X19" i="33"/>
  <c r="Y19" i="34"/>
  <c r="AP19"/>
  <c r="CT19" i="33" s="1"/>
  <c r="H19" i="34"/>
  <c r="AD19" i="33"/>
  <c r="AT19" i="34"/>
  <c r="DD19" i="33" s="1"/>
  <c r="J12" i="26"/>
  <c r="J12" i="33" s="1"/>
  <c r="J410" i="12"/>
  <c r="W20" i="26"/>
  <c r="W517" i="12"/>
  <c r="W108" i="29"/>
  <c r="W535" i="12"/>
  <c r="AV20" i="26"/>
  <c r="AV517" i="12"/>
  <c r="AS14" i="26"/>
  <c r="AS14" i="33" s="1"/>
  <c r="AS411" i="12"/>
  <c r="Z19" i="34"/>
  <c r="CD19" i="33" s="1"/>
  <c r="I19" i="34"/>
  <c r="Y19" i="33"/>
  <c r="AC16" i="29"/>
  <c r="AC21" i="26"/>
  <c r="AC518" i="12"/>
  <c r="AU31" i="26"/>
  <c r="AU31" i="33" s="1"/>
  <c r="AU139" i="26"/>
  <c r="AU20" i="33"/>
  <c r="AG31" i="26"/>
  <c r="AB31"/>
  <c r="P29" i="33"/>
  <c r="P147" i="26"/>
  <c r="N591" i="12"/>
  <c r="N30" i="26"/>
  <c r="AM20"/>
  <c r="AM517" i="12"/>
  <c r="AM535"/>
  <c r="AM108" i="29"/>
  <c r="O12" i="26"/>
  <c r="O12" i="33" s="1"/>
  <c r="O410" i="12"/>
  <c r="CG19" i="33"/>
  <c r="BB20" i="26"/>
  <c r="BB517" i="12"/>
  <c r="BB108" i="29"/>
  <c r="BB535" i="12"/>
  <c r="DC29" i="33"/>
  <c r="AU15" i="26"/>
  <c r="AU15" i="33" s="1"/>
  <c r="AU412" i="12"/>
  <c r="I29" i="33"/>
  <c r="I147" i="26"/>
  <c r="BH29" i="33"/>
  <c r="BH147" i="26"/>
  <c r="Z18" i="34"/>
  <c r="CD18" i="33" s="1"/>
  <c r="I18" i="34"/>
  <c r="Y18" i="33"/>
  <c r="M29"/>
  <c r="M147" i="26"/>
  <c r="BA518" i="12"/>
  <c r="BA21" i="26"/>
  <c r="BA16" i="29"/>
  <c r="R20" i="26"/>
  <c r="R517" i="12"/>
  <c r="AP20" i="26"/>
  <c r="AP517" i="12"/>
  <c r="AN14" i="26"/>
  <c r="AN14" i="33" s="1"/>
  <c r="AN411" i="12"/>
  <c r="BC29" i="33"/>
  <c r="BC147" i="26"/>
  <c r="J535" i="12"/>
  <c r="J108" i="29"/>
  <c r="W12" i="26"/>
  <c r="W12" i="33" s="1"/>
  <c r="W410" i="12"/>
  <c r="AS20" i="26"/>
  <c r="AS517" i="12"/>
  <c r="AS535"/>
  <c r="AS108" i="29"/>
  <c r="AE591" i="12"/>
  <c r="AE30" i="26"/>
  <c r="T12"/>
  <c r="T12" i="33" s="1"/>
  <c r="T410" i="12"/>
  <c r="BG16" i="29"/>
  <c r="BG21" i="26"/>
  <c r="Z16" i="29"/>
  <c r="Z518" i="12"/>
  <c r="Z21" i="26"/>
  <c r="U591" i="12"/>
  <c r="U30" i="26"/>
  <c r="H14"/>
  <c r="H14" i="33" s="1"/>
  <c r="H411" i="12"/>
  <c r="AH147" i="26"/>
  <c r="AI29" i="34"/>
  <c r="CM29" i="33" s="1"/>
  <c r="AH29"/>
  <c r="P535" i="12"/>
  <c r="P108" i="29"/>
  <c r="AT29" i="33"/>
  <c r="AT147" i="26"/>
  <c r="O147"/>
  <c r="O29" i="33"/>
  <c r="AO29"/>
  <c r="AO147" i="26"/>
  <c r="BB147"/>
  <c r="BB29" i="33"/>
  <c r="AL14" i="26"/>
  <c r="AL14" i="33" s="1"/>
  <c r="AL411" i="12"/>
  <c r="BE29" i="33"/>
  <c r="BE147" i="26"/>
  <c r="Y29" i="33"/>
  <c r="Z29" i="34"/>
  <c r="CD29" i="33" s="1"/>
  <c r="Y147" i="26"/>
  <c r="I29" i="34"/>
  <c r="AZ20" i="26"/>
  <c r="AZ517" i="12"/>
  <c r="AR29" i="33"/>
  <c r="AR147" i="26"/>
  <c r="AB18" i="33"/>
  <c r="AC18" i="34"/>
  <c r="L18"/>
  <c r="AR20" i="26"/>
  <c r="AR517" i="12"/>
  <c r="AB14" i="26"/>
  <c r="AB14" i="33" s="1"/>
  <c r="AB411" i="12"/>
  <c r="R12" i="26"/>
  <c r="R12" i="33" s="1"/>
  <c r="R410" i="12"/>
  <c r="AN20" i="26"/>
  <c r="AN517" i="12"/>
  <c r="X20" i="26"/>
  <c r="X517" i="12"/>
  <c r="X108" i="29"/>
  <c r="X535" i="12"/>
  <c r="BI147" i="26"/>
  <c r="BI29" i="33"/>
  <c r="AV591" i="12"/>
  <c r="AV30" i="26"/>
  <c r="AS30"/>
  <c r="AS591" i="12"/>
  <c r="Q147" i="26"/>
  <c r="Q29" i="33"/>
  <c r="AE14" i="26"/>
  <c r="AE14" i="33" s="1"/>
  <c r="AE411" i="12"/>
  <c r="T591"/>
  <c r="T30" i="26"/>
  <c r="AI19" i="34"/>
  <c r="CM19" i="33" s="1"/>
  <c r="AH19"/>
  <c r="AZ19" i="34"/>
  <c r="DJ19" i="33" s="1"/>
  <c r="AJ19"/>
  <c r="AQ148" i="26"/>
  <c r="AQ30" i="33"/>
  <c r="AQ35" i="26"/>
  <c r="AQ35" i="33" s="1"/>
  <c r="AQ36" i="26"/>
  <c r="AQ36" i="33" s="1"/>
  <c r="AQ34" i="26"/>
  <c r="AQ34" i="33" s="1"/>
  <c r="AR15" i="26"/>
  <c r="AR15" i="33" s="1"/>
  <c r="AR412" i="12"/>
  <c r="K30" i="33"/>
  <c r="K148" i="26"/>
  <c r="K34"/>
  <c r="K34" i="33" s="1"/>
  <c r="K36" i="26"/>
  <c r="K36" i="33" s="1"/>
  <c r="K35" i="26"/>
  <c r="K35" i="33" s="1"/>
  <c r="AY14" i="26"/>
  <c r="AY14" i="33" s="1"/>
  <c r="AY411" i="12"/>
  <c r="H147" i="26"/>
  <c r="H29" i="33"/>
  <c r="AI147" i="26"/>
  <c r="AI29" i="33"/>
  <c r="AJ29" i="34"/>
  <c r="CN29" i="33" s="1"/>
  <c r="AH20" i="26"/>
  <c r="AH517" i="12"/>
  <c r="AH535"/>
  <c r="AH108" i="29"/>
  <c r="AD29" i="33"/>
  <c r="AD147" i="26"/>
  <c r="AT29" i="34"/>
  <c r="DD29" i="33" s="1"/>
  <c r="CG29"/>
  <c r="K18" i="34"/>
  <c r="BO18" i="33" s="1"/>
  <c r="AA18"/>
  <c r="AW20" i="26"/>
  <c r="AW517" i="12"/>
  <c r="P12" i="26"/>
  <c r="P12" i="33" s="1"/>
  <c r="P410" i="12"/>
  <c r="AK30" i="26"/>
  <c r="AK591" i="12"/>
  <c r="V20" i="26"/>
  <c r="V517" i="12"/>
  <c r="S20" i="26"/>
  <c r="S517" i="12"/>
  <c r="N20" i="26"/>
  <c r="N517" i="12"/>
  <c r="N108" i="29"/>
  <c r="N535" i="12"/>
  <c r="AX412"/>
  <c r="AX15" i="26"/>
  <c r="AX15" i="33" s="1"/>
  <c r="AT108" i="29"/>
  <c r="AT535" i="12"/>
  <c r="AQ16" i="29"/>
  <c r="AQ518" i="12"/>
  <c r="AQ21" i="26"/>
  <c r="Z148"/>
  <c r="Z30" i="33"/>
  <c r="J30" i="34"/>
  <c r="BN30" i="33" s="1"/>
  <c r="Z34" i="26"/>
  <c r="Z36"/>
  <c r="Z35"/>
  <c r="AF535" i="12"/>
  <c r="AF108" i="29"/>
  <c r="AC31" i="26"/>
  <c r="AG16" i="29"/>
  <c r="AG518" i="12"/>
  <c r="AG21" i="26"/>
  <c r="BH411" i="12"/>
  <c r="AZ591"/>
  <c r="AZ30" i="26"/>
  <c r="R590" i="12"/>
  <c r="R29" i="26"/>
  <c r="BD531" i="12"/>
  <c r="BD533" s="1"/>
  <c r="BD534" s="1"/>
  <c r="BD13" i="29"/>
  <c r="BD18" i="26"/>
  <c r="BD18" i="33" s="1"/>
  <c r="BD516" i="12"/>
  <c r="AI12" i="26"/>
  <c r="AI12" i="33" s="1"/>
  <c r="AI410" i="12"/>
  <c r="AA29" i="26"/>
  <c r="AA590" i="12"/>
  <c r="AK531"/>
  <c r="AK533" s="1"/>
  <c r="AK534" s="1"/>
  <c r="AK13" i="29"/>
  <c r="AK18" i="26"/>
  <c r="AK516" i="12"/>
  <c r="I12" i="26"/>
  <c r="I12" i="33" s="1"/>
  <c r="I410" i="12"/>
  <c r="BE12" i="26"/>
  <c r="BE12" i="33" s="1"/>
  <c r="BE410" i="12"/>
  <c r="AP29" i="26"/>
  <c r="AP590" i="12"/>
  <c r="J590"/>
  <c r="J29" i="26"/>
  <c r="BI13" i="29"/>
  <c r="BI18" i="26"/>
  <c r="BI18" i="33" s="1"/>
  <c r="BI531" i="12"/>
  <c r="BI533" s="1"/>
  <c r="BI534" s="1"/>
  <c r="BI516"/>
  <c r="BD29" i="26"/>
  <c r="BD590" i="12"/>
  <c r="AE13" i="29"/>
  <c r="AE531" i="12"/>
  <c r="AE533" s="1"/>
  <c r="AE534" s="1"/>
  <c r="AE18" i="26"/>
  <c r="AE516" i="12"/>
  <c r="AY13" i="29"/>
  <c r="AY18" i="26"/>
  <c r="AY18" i="33" s="1"/>
  <c r="AY531" i="12"/>
  <c r="AY533" s="1"/>
  <c r="AY534" s="1"/>
  <c r="AY516"/>
  <c r="H13" i="29"/>
  <c r="H18" i="26"/>
  <c r="H18" i="33" s="1"/>
  <c r="H516" i="12"/>
  <c r="H531"/>
  <c r="H533" s="1"/>
  <c r="H534" s="1"/>
  <c r="AH410"/>
  <c r="AH12" i="26"/>
  <c r="AH12" i="33" s="1"/>
  <c r="L29" i="26"/>
  <c r="L590" i="12"/>
  <c r="V29" i="26"/>
  <c r="V590" i="12"/>
  <c r="AT12" i="26"/>
  <c r="AT12" i="33" s="1"/>
  <c r="AT410" i="12"/>
  <c r="AO13" i="29"/>
  <c r="AO18" i="26"/>
  <c r="AO18" i="33" s="1"/>
  <c r="AO531" i="12"/>
  <c r="AO533" s="1"/>
  <c r="AO534" s="1"/>
  <c r="AO516"/>
  <c r="AL29" i="26"/>
  <c r="AL590" i="12"/>
  <c r="Y410"/>
  <c r="Y12" i="26"/>
  <c r="Y12" i="33" s="1"/>
  <c r="M13" i="29"/>
  <c r="M18" i="26"/>
  <c r="M18" i="33" s="1"/>
  <c r="M531" i="12"/>
  <c r="M533" s="1"/>
  <c r="M534" s="1"/>
  <c r="M516"/>
  <c r="BA19" i="34"/>
  <c r="DK19" i="33" s="1"/>
  <c r="AK19"/>
  <c r="AJ19" i="34"/>
  <c r="CN19" i="33" s="1"/>
  <c r="AI19"/>
  <c r="BA31" i="26"/>
  <c r="BA31" i="33" s="1"/>
  <c r="AN30" i="26"/>
  <c r="AN591" i="12"/>
  <c r="X14" i="26"/>
  <c r="X14" i="33" s="1"/>
  <c r="X411" i="12"/>
  <c r="Q12" i="26"/>
  <c r="Q12" i="33" s="1"/>
  <c r="Q410" i="12"/>
  <c r="AG15" i="26"/>
  <c r="AG15" i="33" s="1"/>
  <c r="AG412" i="12"/>
  <c r="L535"/>
  <c r="L108" i="29"/>
  <c r="BB18" i="34"/>
  <c r="DL18" i="33" s="1"/>
  <c r="AL18"/>
  <c r="AF147" i="26"/>
  <c r="AF29" i="33"/>
  <c r="AV29" i="34"/>
  <c r="DF29" i="33" s="1"/>
  <c r="BH535" i="12"/>
  <c r="BH108" i="29"/>
  <c r="AX29" i="33"/>
  <c r="AX147" i="26"/>
  <c r="BG29" i="33"/>
  <c r="BG147" i="26"/>
  <c r="AV535" i="12"/>
  <c r="AV108" i="29"/>
  <c r="U12" i="26"/>
  <c r="U12" i="33" s="1"/>
  <c r="U410" i="12"/>
  <c r="AC139" i="26"/>
  <c r="AC20" i="33"/>
  <c r="AS20" i="34"/>
  <c r="AU30" i="33"/>
  <c r="AU34" i="26"/>
  <c r="AU34" i="33" s="1"/>
  <c r="AU148" i="26"/>
  <c r="AU35"/>
  <c r="AU35" i="33" s="1"/>
  <c r="AU36" i="26"/>
  <c r="AU36" i="33" s="1"/>
  <c r="AU16" i="29"/>
  <c r="AU518" i="12"/>
  <c r="AU21" i="26"/>
  <c r="AG30" i="33"/>
  <c r="AG148" i="26"/>
  <c r="AG35"/>
  <c r="AG34"/>
  <c r="AH30" i="34"/>
  <c r="CL30" i="33" s="1"/>
  <c r="AG36" i="26"/>
  <c r="AB30" i="33"/>
  <c r="AC30" i="34"/>
  <c r="AB36" i="26"/>
  <c r="AB148"/>
  <c r="AB35"/>
  <c r="AB34"/>
  <c r="AF19" i="33"/>
  <c r="AV19" i="34"/>
  <c r="DF19" i="33" s="1"/>
  <c r="P591" i="12"/>
  <c r="P30" i="26"/>
  <c r="AK14"/>
  <c r="AK14" i="33" s="1"/>
  <c r="AK411" i="12"/>
  <c r="N147" i="26"/>
  <c r="N29" i="33"/>
  <c r="AM18"/>
  <c r="BC18" i="34"/>
  <c r="DM18" i="33" s="1"/>
  <c r="AM19"/>
  <c r="BC19" i="34"/>
  <c r="DM19" i="33" s="1"/>
  <c r="BG15" i="26"/>
  <c r="BG15" i="33" s="1"/>
  <c r="I30" i="26"/>
  <c r="I591" i="12"/>
  <c r="AJ411"/>
  <c r="AC15" i="26"/>
  <c r="AC15" i="33" s="1"/>
  <c r="AC412" i="12"/>
  <c r="BH591"/>
  <c r="BH30" i="26"/>
  <c r="Y20"/>
  <c r="Y517" i="12"/>
  <c r="Y535"/>
  <c r="Y108" i="29"/>
  <c r="M591" i="12"/>
  <c r="M30" i="26"/>
  <c r="BI14" l="1"/>
  <c r="BI14" i="33" s="1"/>
  <c r="BI411" i="12"/>
  <c r="BI412" s="1"/>
  <c r="AO29" i="34"/>
  <c r="CS29" i="33" s="1"/>
  <c r="BP18"/>
  <c r="M18" i="34"/>
  <c r="BQ18" i="33" s="1"/>
  <c r="BL32" i="34"/>
  <c r="BX32" i="33"/>
  <c r="DV32" s="1"/>
  <c r="U32" i="34"/>
  <c r="O33"/>
  <c r="BR33" i="33"/>
  <c r="BW33"/>
  <c r="DU33" s="1"/>
  <c r="T33" i="34"/>
  <c r="BK33"/>
  <c r="BM29" i="33"/>
  <c r="L29" i="34"/>
  <c r="Q29"/>
  <c r="BM18" i="33"/>
  <c r="Q18" i="34"/>
  <c r="U23"/>
  <c r="BL23"/>
  <c r="BX23" i="33"/>
  <c r="DV23" s="1"/>
  <c r="BR24"/>
  <c r="O24" i="34"/>
  <c r="BS32" i="33"/>
  <c r="P32" i="34"/>
  <c r="BS23" i="33"/>
  <c r="P23" i="34"/>
  <c r="BT23" i="33" s="1"/>
  <c r="T24" i="34"/>
  <c r="BK24"/>
  <c r="BW24" i="33"/>
  <c r="DU24" s="1"/>
  <c r="M31" i="26"/>
  <c r="M31" i="33" s="1"/>
  <c r="BH30"/>
  <c r="BH148" i="26"/>
  <c r="BH34"/>
  <c r="BH34" i="33" s="1"/>
  <c r="BH36" i="26"/>
  <c r="BH36" i="33" s="1"/>
  <c r="BH35" i="26"/>
  <c r="BH35" i="33" s="1"/>
  <c r="M30"/>
  <c r="M148" i="26"/>
  <c r="M35"/>
  <c r="M35" i="33" s="1"/>
  <c r="M34" i="26"/>
  <c r="M34" i="33" s="1"/>
  <c r="M36" i="26"/>
  <c r="M36" i="33" s="1"/>
  <c r="Y20"/>
  <c r="Z20" i="34"/>
  <c r="CD20" i="33" s="1"/>
  <c r="Y139" i="26"/>
  <c r="I20" i="34"/>
  <c r="BH31" i="26"/>
  <c r="BH31" i="33" s="1"/>
  <c r="AC16" i="26"/>
  <c r="AC16" i="33" s="1"/>
  <c r="I31" i="26"/>
  <c r="I31" i="33" s="1"/>
  <c r="AK15" i="26"/>
  <c r="AK15" i="33" s="1"/>
  <c r="AK412" i="12"/>
  <c r="P36" i="26"/>
  <c r="P36" i="33" s="1"/>
  <c r="P148" i="26"/>
  <c r="P30" i="33"/>
  <c r="P34" i="26"/>
  <c r="P34" i="33" s="1"/>
  <c r="P35" i="26"/>
  <c r="P35" i="33" s="1"/>
  <c r="AB34"/>
  <c r="AC34" i="34"/>
  <c r="AB36" i="33"/>
  <c r="AC36" i="34"/>
  <c r="AG34" i="33"/>
  <c r="AH34" i="34"/>
  <c r="CL34" i="33" s="1"/>
  <c r="AU21"/>
  <c r="AU27" i="26"/>
  <c r="AU27" i="33" s="1"/>
  <c r="AU25" i="26"/>
  <c r="AU25" i="33" s="1"/>
  <c r="AU140" i="26"/>
  <c r="AU109" i="29"/>
  <c r="AU111" s="1"/>
  <c r="AU26" i="26"/>
  <c r="AU26" i="33" s="1"/>
  <c r="DC20"/>
  <c r="U411" i="12"/>
  <c r="U14" i="26"/>
  <c r="U14" i="33" s="1"/>
  <c r="AG16" i="26"/>
  <c r="AG16" i="33" s="1"/>
  <c r="X15" i="26"/>
  <c r="X15" i="33" s="1"/>
  <c r="X412" i="12"/>
  <c r="AN148" i="26"/>
  <c r="AN35"/>
  <c r="AN35" i="33" s="1"/>
  <c r="AN34" i="26"/>
  <c r="AN34" i="33" s="1"/>
  <c r="AN30"/>
  <c r="AN36" i="26"/>
  <c r="AN36" i="33" s="1"/>
  <c r="M20" i="26"/>
  <c r="M517" i="12"/>
  <c r="Y14" i="26"/>
  <c r="Y14" i="33" s="1"/>
  <c r="Y411" i="12"/>
  <c r="AL147" i="26"/>
  <c r="BB29" i="34"/>
  <c r="DL29" i="33" s="1"/>
  <c r="AL29"/>
  <c r="AO535" i="12"/>
  <c r="AO108" i="29"/>
  <c r="V591" i="12"/>
  <c r="V30" i="26"/>
  <c r="L591" i="12"/>
  <c r="L30" i="26"/>
  <c r="AH14"/>
  <c r="AH14" i="33" s="1"/>
  <c r="AH411" i="12"/>
  <c r="H20" i="26"/>
  <c r="H517" i="12"/>
  <c r="AY535"/>
  <c r="AY108" i="29"/>
  <c r="AE18" i="33"/>
  <c r="AU18" i="34"/>
  <c r="DE18" i="33" s="1"/>
  <c r="BD29"/>
  <c r="BD147" i="26"/>
  <c r="BI108" i="29"/>
  <c r="BI535" i="12"/>
  <c r="J591"/>
  <c r="J30" i="26"/>
  <c r="AP147"/>
  <c r="AP29" i="33"/>
  <c r="I14" i="26"/>
  <c r="I14" i="33" s="1"/>
  <c r="I411" i="12"/>
  <c r="BA18" i="34"/>
  <c r="DK18" i="33" s="1"/>
  <c r="AK18"/>
  <c r="AK108" i="29"/>
  <c r="AK535" i="12"/>
  <c r="AA147" i="26"/>
  <c r="AA29" i="33"/>
  <c r="K29" i="34"/>
  <c r="BO29" i="33" s="1"/>
  <c r="BD20" i="26"/>
  <c r="BD517" i="12"/>
  <c r="R147" i="26"/>
  <c r="R29" i="33"/>
  <c r="AZ30"/>
  <c r="AZ36" i="26"/>
  <c r="AZ36" i="33" s="1"/>
  <c r="AZ148" i="26"/>
  <c r="AZ34"/>
  <c r="AZ34" i="33" s="1"/>
  <c r="AZ35" i="26"/>
  <c r="AZ35" i="33" s="1"/>
  <c r="AG21"/>
  <c r="AH21" i="34"/>
  <c r="CL21" i="33" s="1"/>
  <c r="AG140" i="26"/>
  <c r="AG109" i="29"/>
  <c r="AG111" s="1"/>
  <c r="AG26" i="26"/>
  <c r="AG27"/>
  <c r="AG25"/>
  <c r="AC31" i="33"/>
  <c r="AS31" i="34"/>
  <c r="J35"/>
  <c r="BN35" i="33" s="1"/>
  <c r="Z35"/>
  <c r="J34" i="34"/>
  <c r="BN34" i="33" s="1"/>
  <c r="Z34"/>
  <c r="AQ22" i="26"/>
  <c r="AQ22" i="33" s="1"/>
  <c r="N139" i="26"/>
  <c r="N20" i="33"/>
  <c r="S139" i="26"/>
  <c r="S20" i="33"/>
  <c r="V139" i="26"/>
  <c r="V20" i="33"/>
  <c r="AK30"/>
  <c r="BA30" i="34"/>
  <c r="DK30" i="33" s="1"/>
  <c r="AK148" i="26"/>
  <c r="AK36"/>
  <c r="AK35"/>
  <c r="AK34"/>
  <c r="P14"/>
  <c r="P14" i="33" s="1"/>
  <c r="P411" i="12"/>
  <c r="AW139" i="26"/>
  <c r="AW20" i="33"/>
  <c r="AH20"/>
  <c r="AH139" i="26"/>
  <c r="AI20" i="34"/>
  <c r="CM20" i="33" s="1"/>
  <c r="AY15" i="26"/>
  <c r="AY15" i="33" s="1"/>
  <c r="AY412" i="12"/>
  <c r="T31" i="26"/>
  <c r="T31" i="33" s="1"/>
  <c r="AE15" i="26"/>
  <c r="AE15" i="33" s="1"/>
  <c r="AE412" i="12"/>
  <c r="AV36" i="26"/>
  <c r="AV36" i="33" s="1"/>
  <c r="AV30"/>
  <c r="AV148" i="26"/>
  <c r="AV35"/>
  <c r="AV35" i="33" s="1"/>
  <c r="AV34" i="26"/>
  <c r="AV34" i="33" s="1"/>
  <c r="X20"/>
  <c r="X139" i="26"/>
  <c r="Y20" i="34"/>
  <c r="H20"/>
  <c r="AN20" i="33"/>
  <c r="AN139" i="26"/>
  <c r="AB15"/>
  <c r="AB15" i="33" s="1"/>
  <c r="AB412" i="12"/>
  <c r="AR139" i="26"/>
  <c r="AR20" i="33"/>
  <c r="CG18"/>
  <c r="AZ16" i="29"/>
  <c r="AZ21" i="26"/>
  <c r="AZ518" i="12"/>
  <c r="AL15" i="26"/>
  <c r="AL15" i="33" s="1"/>
  <c r="AL412" i="12"/>
  <c r="H15" i="26"/>
  <c r="H15" i="33" s="1"/>
  <c r="H412" i="12"/>
  <c r="U31" i="26"/>
  <c r="U31" i="33" s="1"/>
  <c r="Z140" i="26"/>
  <c r="Z109" i="29"/>
  <c r="Z111" s="1"/>
  <c r="Z21" i="33"/>
  <c r="J21" i="34"/>
  <c r="BN21" i="33" s="1"/>
  <c r="Z26" i="26"/>
  <c r="Z25"/>
  <c r="Z27"/>
  <c r="BG109" i="29"/>
  <c r="BG111" s="1"/>
  <c r="BG140" i="26"/>
  <c r="BG21" i="33"/>
  <c r="BG27" i="26"/>
  <c r="BG27" i="33" s="1"/>
  <c r="BG25" i="26"/>
  <c r="BG25" i="33" s="1"/>
  <c r="BG26" i="26"/>
  <c r="BG26" i="33" s="1"/>
  <c r="AE148" i="26"/>
  <c r="AE30" i="33"/>
  <c r="AU30" i="34"/>
  <c r="DE30" i="33" s="1"/>
  <c r="AE35" i="26"/>
  <c r="AE34"/>
  <c r="AE36"/>
  <c r="AS20" i="33"/>
  <c r="AS139" i="26"/>
  <c r="AN15"/>
  <c r="AN15" i="33" s="1"/>
  <c r="AN412" i="12"/>
  <c r="AP139" i="26"/>
  <c r="AP20" i="33"/>
  <c r="R20"/>
  <c r="R139" i="26"/>
  <c r="BA140"/>
  <c r="BA25"/>
  <c r="BA25" i="33" s="1"/>
  <c r="BA26" i="26"/>
  <c r="BA26" i="33" s="1"/>
  <c r="BA21"/>
  <c r="BA27" i="26"/>
  <c r="BA27" i="33" s="1"/>
  <c r="BA109" i="29"/>
  <c r="BA111" s="1"/>
  <c r="AU16" i="26"/>
  <c r="AU16" i="33" s="1"/>
  <c r="BB16" i="29"/>
  <c r="BB518" i="12"/>
  <c r="BB21" i="26"/>
  <c r="O14"/>
  <c r="O14" i="33" s="1"/>
  <c r="O411" i="12"/>
  <c r="AM20" i="33"/>
  <c r="AM139" i="26"/>
  <c r="BC20" i="34"/>
  <c r="DM20" i="33" s="1"/>
  <c r="AC31" i="34"/>
  <c r="AB31" i="33"/>
  <c r="AG31"/>
  <c r="AH31" i="34"/>
  <c r="CL31" i="33" s="1"/>
  <c r="AC22" i="26"/>
  <c r="AV16" i="29"/>
  <c r="AV518" i="12"/>
  <c r="AV21" i="26"/>
  <c r="W16" i="29"/>
  <c r="W518" i="12"/>
  <c r="W21" i="26"/>
  <c r="J14"/>
  <c r="J14" i="33" s="1"/>
  <c r="J411" i="12"/>
  <c r="BL19" i="33"/>
  <c r="CC19"/>
  <c r="AQ19" i="34"/>
  <c r="CU19" i="33" s="1"/>
  <c r="BG34" i="26"/>
  <c r="BG34" i="33" s="1"/>
  <c r="BG148" i="26"/>
  <c r="BG30" i="33"/>
  <c r="BG36" i="26"/>
  <c r="BG36" i="33" s="1"/>
  <c r="BG35" i="26"/>
  <c r="BG35" i="33" s="1"/>
  <c r="K16" i="29"/>
  <c r="K518" i="12"/>
  <c r="K21" i="26"/>
  <c r="AX30" i="33"/>
  <c r="AX36" i="26"/>
  <c r="AX36" i="33" s="1"/>
  <c r="AX148" i="26"/>
  <c r="AX34"/>
  <c r="AX34" i="33" s="1"/>
  <c r="AX35" i="26"/>
  <c r="AX35" i="33" s="1"/>
  <c r="AX31" i="26"/>
  <c r="AX31" i="33" s="1"/>
  <c r="BH518" i="12"/>
  <c r="BH21" i="26"/>
  <c r="BH16" i="29"/>
  <c r="AF31" i="26"/>
  <c r="AL139"/>
  <c r="BB20" i="34"/>
  <c r="DL20" i="33" s="1"/>
  <c r="AL20"/>
  <c r="S14" i="26"/>
  <c r="S14" i="33" s="1"/>
  <c r="S411" i="12"/>
  <c r="L14" i="26"/>
  <c r="L14" i="33" s="1"/>
  <c r="L411" i="12"/>
  <c r="L139" i="26"/>
  <c r="L20" i="33"/>
  <c r="AP15" i="26"/>
  <c r="AP15" i="33" s="1"/>
  <c r="AP412" i="12"/>
  <c r="AZ14" i="26"/>
  <c r="AZ14" i="33" s="1"/>
  <c r="AZ411" i="12"/>
  <c r="BF591"/>
  <c r="BF30" i="26"/>
  <c r="BE20"/>
  <c r="BE517" i="12"/>
  <c r="BE108" i="29"/>
  <c r="BE535" i="12"/>
  <c r="AJ20" i="26"/>
  <c r="AJ517" i="12"/>
  <c r="AJ535"/>
  <c r="AJ108" i="29"/>
  <c r="I20" i="26"/>
  <c r="I517" i="12"/>
  <c r="O20" i="26"/>
  <c r="O517" i="12"/>
  <c r="O535"/>
  <c r="O108" i="29"/>
  <c r="S30" i="26"/>
  <c r="S591" i="12"/>
  <c r="AW591"/>
  <c r="AW30" i="26"/>
  <c r="AD411" i="12"/>
  <c r="AD14" i="26"/>
  <c r="AD14" i="33" s="1"/>
  <c r="AI20" i="26"/>
  <c r="AI517" i="12"/>
  <c r="AI108" i="29"/>
  <c r="AI535" i="12"/>
  <c r="U108" i="29"/>
  <c r="U535" i="12"/>
  <c r="T108" i="29"/>
  <c r="T535" i="12"/>
  <c r="W29" i="33"/>
  <c r="W147" i="26"/>
  <c r="X147"/>
  <c r="AP29" i="34"/>
  <c r="CT29" i="33" s="1"/>
  <c r="Y29" i="34"/>
  <c r="X29" i="33"/>
  <c r="H29" i="34"/>
  <c r="BF108" i="29"/>
  <c r="BF535" i="12"/>
  <c r="AJ147" i="26"/>
  <c r="AJ29" i="33"/>
  <c r="AZ29" i="34"/>
  <c r="DJ29" i="33" s="1"/>
  <c r="AM29"/>
  <c r="BC29" i="34"/>
  <c r="DM29" i="33" s="1"/>
  <c r="AM147" i="26"/>
  <c r="AD18" i="33"/>
  <c r="AT18" i="34"/>
  <c r="N18"/>
  <c r="BE18"/>
  <c r="DO18" i="33" s="1"/>
  <c r="AD535" i="12"/>
  <c r="AD108" i="29"/>
  <c r="AY591" i="12"/>
  <c r="AY30" i="26"/>
  <c r="BC14"/>
  <c r="BC14" i="33" s="1"/>
  <c r="BC411" i="12"/>
  <c r="AC35" i="33"/>
  <c r="AS35" i="34"/>
  <c r="DC30" i="33"/>
  <c r="AF20"/>
  <c r="AF139" i="26"/>
  <c r="AV20" i="34"/>
  <c r="DF20" i="33" s="1"/>
  <c r="AO412" i="12"/>
  <c r="AO15" i="26"/>
  <c r="AO15" i="33" s="1"/>
  <c r="AT16" i="29"/>
  <c r="AT518" i="12"/>
  <c r="AT21" i="26"/>
  <c r="BA16"/>
  <c r="BA16" i="33" s="1"/>
  <c r="AA139" i="26"/>
  <c r="AA20" i="33"/>
  <c r="K20" i="34"/>
  <c r="BO20" i="33" s="1"/>
  <c r="AD31" i="26"/>
  <c r="AI31"/>
  <c r="H31"/>
  <c r="H31" i="33" s="1"/>
  <c r="Q31" i="26"/>
  <c r="Q31" i="33" s="1"/>
  <c r="BD412" i="12"/>
  <c r="BD15" i="26"/>
  <c r="BD15" i="33" s="1"/>
  <c r="CC18"/>
  <c r="BL18"/>
  <c r="AX16" i="29"/>
  <c r="AX518" i="12"/>
  <c r="AX21" i="26"/>
  <c r="AB16" i="29"/>
  <c r="AB518" i="12"/>
  <c r="AB21" i="26"/>
  <c r="AR36"/>
  <c r="AR36" i="33" s="1"/>
  <c r="AR148" i="26"/>
  <c r="AR30" i="33"/>
  <c r="AR34" i="26"/>
  <c r="AR34" i="33" s="1"/>
  <c r="AR35" i="26"/>
  <c r="AR35" i="33" s="1"/>
  <c r="BE31" i="26"/>
  <c r="BE31" i="33" s="1"/>
  <c r="K15" i="26"/>
  <c r="K15" i="33" s="1"/>
  <c r="K412" i="12"/>
  <c r="BB31" i="26"/>
  <c r="BB31" i="33" s="1"/>
  <c r="AO148" i="26"/>
  <c r="AO36"/>
  <c r="AO36" i="33" s="1"/>
  <c r="AO34" i="26"/>
  <c r="AO34" i="33" s="1"/>
  <c r="AO30"/>
  <c r="AO35" i="26"/>
  <c r="AO35" i="33" s="1"/>
  <c r="O31" i="26"/>
  <c r="O31" i="33" s="1"/>
  <c r="AT31" i="26"/>
  <c r="AT31" i="33" s="1"/>
  <c r="P20"/>
  <c r="P139" i="26"/>
  <c r="AH31"/>
  <c r="BI15"/>
  <c r="BI15" i="33" s="1"/>
  <c r="J139" i="26"/>
  <c r="J20" i="33"/>
  <c r="AO19" i="34"/>
  <c r="CS19" i="33" s="1"/>
  <c r="BF19" i="34"/>
  <c r="DP19" i="33" s="1"/>
  <c r="BE29" i="34"/>
  <c r="DO29" i="33" s="1"/>
  <c r="Y16" i="29"/>
  <c r="Y518" i="12"/>
  <c r="Y21" i="26"/>
  <c r="AJ412" i="12"/>
  <c r="AJ15" i="26"/>
  <c r="AJ15" i="33" s="1"/>
  <c r="I148" i="26"/>
  <c r="I35"/>
  <c r="I35" i="33" s="1"/>
  <c r="I34" i="26"/>
  <c r="I34" i="33" s="1"/>
  <c r="I30"/>
  <c r="I36" i="26"/>
  <c r="I36" i="33" s="1"/>
  <c r="P31" i="26"/>
  <c r="P31" i="33" s="1"/>
  <c r="AB35"/>
  <c r="AC35" i="34"/>
  <c r="CG30" i="33"/>
  <c r="AG36"/>
  <c r="AH36" i="34"/>
  <c r="CL36" i="33" s="1"/>
  <c r="AG35"/>
  <c r="AH35" i="34"/>
  <c r="CL35" i="33" s="1"/>
  <c r="AU22" i="26"/>
  <c r="AU22" i="33" s="1"/>
  <c r="Q14" i="26"/>
  <c r="Q14" i="33" s="1"/>
  <c r="Q411" i="12"/>
  <c r="AN31" i="26"/>
  <c r="AN31" i="33" s="1"/>
  <c r="M535" i="12"/>
  <c r="M108" i="29"/>
  <c r="AL591" i="12"/>
  <c r="AL30" i="26"/>
  <c r="AO20"/>
  <c r="AO517" i="12"/>
  <c r="AT14" i="26"/>
  <c r="AT14" i="33" s="1"/>
  <c r="AT411" i="12"/>
  <c r="V29" i="33"/>
  <c r="V147" i="26"/>
  <c r="L29" i="33"/>
  <c r="L147" i="26"/>
  <c r="H535" i="12"/>
  <c r="H108" i="29"/>
  <c r="AY20" i="26"/>
  <c r="AY517" i="12"/>
  <c r="AE517"/>
  <c r="AE20" i="26"/>
  <c r="AE535" i="12"/>
  <c r="AE108" i="29"/>
  <c r="BD591" i="12"/>
  <c r="BD30" i="26"/>
  <c r="BI20"/>
  <c r="BI517" i="12"/>
  <c r="J29" i="33"/>
  <c r="J147" i="26"/>
  <c r="AP591" i="12"/>
  <c r="AP30" i="26"/>
  <c r="BE14"/>
  <c r="BE14" i="33" s="1"/>
  <c r="BE411" i="12"/>
  <c r="AK517"/>
  <c r="AK20" i="26"/>
  <c r="AA591" i="12"/>
  <c r="AA30" i="26"/>
  <c r="AI14"/>
  <c r="AI14" i="33" s="1"/>
  <c r="AI411" i="12"/>
  <c r="BD535"/>
  <c r="BD108" i="29"/>
  <c r="R591" i="12"/>
  <c r="R30" i="26"/>
  <c r="AZ31"/>
  <c r="AZ31" i="33" s="1"/>
  <c r="BH15" i="26"/>
  <c r="BH15" i="33" s="1"/>
  <c r="BH412" i="12"/>
  <c r="AG22" i="26"/>
  <c r="J36" i="34"/>
  <c r="BN36" i="33" s="1"/>
  <c r="Z36"/>
  <c r="AQ140" i="26"/>
  <c r="AQ21" i="33"/>
  <c r="AQ26" i="26"/>
  <c r="AQ26" i="33" s="1"/>
  <c r="AQ109" i="29"/>
  <c r="AQ111" s="1"/>
  <c r="AQ27" i="26"/>
  <c r="AQ27" i="33" s="1"/>
  <c r="AQ25" i="26"/>
  <c r="AQ25" i="33" s="1"/>
  <c r="AX16" i="26"/>
  <c r="AX16" i="33" s="1"/>
  <c r="N16" i="29"/>
  <c r="N518" i="12"/>
  <c r="N21" i="26"/>
  <c r="S16" i="29"/>
  <c r="S518" i="12"/>
  <c r="S21" i="26"/>
  <c r="V16" i="29"/>
  <c r="V518" i="12"/>
  <c r="V21" i="26"/>
  <c r="AK31"/>
  <c r="AW16" i="29"/>
  <c r="AW21" i="26"/>
  <c r="AW518" i="12"/>
  <c r="AH16" i="29"/>
  <c r="AH518" i="12"/>
  <c r="AH21" i="26"/>
  <c r="AR16"/>
  <c r="AR16" i="33" s="1"/>
  <c r="T148" i="26"/>
  <c r="T36"/>
  <c r="T36" i="33" s="1"/>
  <c r="T35" i="26"/>
  <c r="T35" i="33" s="1"/>
  <c r="T30"/>
  <c r="T34" i="26"/>
  <c r="T34" i="33" s="1"/>
  <c r="AS31" i="26"/>
  <c r="AS31" i="33" s="1"/>
  <c r="AS30"/>
  <c r="AS36" i="26"/>
  <c r="AS36" i="33" s="1"/>
  <c r="AS34" i="26"/>
  <c r="AS34" i="33" s="1"/>
  <c r="AS148" i="26"/>
  <c r="AS35"/>
  <c r="AS35" i="33" s="1"/>
  <c r="AV31" i="26"/>
  <c r="AV31" i="33" s="1"/>
  <c r="X16" i="29"/>
  <c r="X21" i="26"/>
  <c r="X518" i="12"/>
  <c r="AN16" i="29"/>
  <c r="AN518" i="12"/>
  <c r="AN21" i="26"/>
  <c r="R14"/>
  <c r="R14" i="33" s="1"/>
  <c r="R411" i="12"/>
  <c r="AR16" i="29"/>
  <c r="AR21" i="26"/>
  <c r="AR518" i="12"/>
  <c r="AZ139" i="26"/>
  <c r="AZ20" i="33"/>
  <c r="U148" i="26"/>
  <c r="U34"/>
  <c r="U34" i="33" s="1"/>
  <c r="U30"/>
  <c r="U35" i="26"/>
  <c r="U35" i="33" s="1"/>
  <c r="U36" i="26"/>
  <c r="U36" i="33" s="1"/>
  <c r="Z22" i="26"/>
  <c r="T14"/>
  <c r="T14" i="33" s="1"/>
  <c r="T411" i="12"/>
  <c r="AE31" i="26"/>
  <c r="AS16" i="29"/>
  <c r="AS21" i="26"/>
  <c r="AS518" i="12"/>
  <c r="W14" i="26"/>
  <c r="W14" i="33" s="1"/>
  <c r="W411" i="12"/>
  <c r="AP16" i="29"/>
  <c r="AP518" i="12"/>
  <c r="AP21" i="26"/>
  <c r="R16" i="29"/>
  <c r="R518" i="12"/>
  <c r="R21" i="26"/>
  <c r="BA22"/>
  <c r="BA22" i="33" s="1"/>
  <c r="BB139" i="26"/>
  <c r="BB20" i="33"/>
  <c r="AM16" i="29"/>
  <c r="AM21" i="26"/>
  <c r="AM518" i="12"/>
  <c r="N148" i="26"/>
  <c r="N36"/>
  <c r="N36" i="33" s="1"/>
  <c r="N34" i="26"/>
  <c r="N34" i="33" s="1"/>
  <c r="N35" i="26"/>
  <c r="N35" i="33" s="1"/>
  <c r="N30"/>
  <c r="N31" i="26"/>
  <c r="N31" i="33" s="1"/>
  <c r="AC140" i="26"/>
  <c r="AC109" i="29"/>
  <c r="AC111" s="1"/>
  <c r="AC21" i="33"/>
  <c r="AS21" i="34"/>
  <c r="AC27" i="26"/>
  <c r="AC25"/>
  <c r="AC26"/>
  <c r="BM19" i="33"/>
  <c r="Q19" i="34"/>
  <c r="L19"/>
  <c r="AS15" i="26"/>
  <c r="AS15" i="33" s="1"/>
  <c r="AS412" i="12"/>
  <c r="AV20" i="33"/>
  <c r="AV139" i="26"/>
  <c r="W20" i="33"/>
  <c r="W139" i="26"/>
  <c r="K20" i="33"/>
  <c r="K139" i="26"/>
  <c r="M14"/>
  <c r="M14" i="33" s="1"/>
  <c r="M411" i="12"/>
  <c r="BH20" i="33"/>
  <c r="BH139" i="26"/>
  <c r="AF30" i="33"/>
  <c r="AF148" i="26"/>
  <c r="AV30" i="34"/>
  <c r="DF30" i="33" s="1"/>
  <c r="AF36" i="26"/>
  <c r="AF34"/>
  <c r="AF35"/>
  <c r="AL16" i="29"/>
  <c r="AL518" i="12"/>
  <c r="AL21" i="26"/>
  <c r="N14"/>
  <c r="N14" i="33" s="1"/>
  <c r="N411" i="12"/>
  <c r="V14" i="26"/>
  <c r="V14" i="33" s="1"/>
  <c r="V411" i="12"/>
  <c r="L16" i="29"/>
  <c r="L518" i="12"/>
  <c r="L21" i="26"/>
  <c r="AV15"/>
  <c r="AV15" i="33" s="1"/>
  <c r="AV412" i="12"/>
  <c r="BF29" i="33"/>
  <c r="BF147" i="26"/>
  <c r="AJ18" i="33"/>
  <c r="AZ18" i="34"/>
  <c r="DJ18" i="33" s="1"/>
  <c r="I535" i="12"/>
  <c r="I108" i="29"/>
  <c r="S29" i="33"/>
  <c r="S147" i="26"/>
  <c r="AW147"/>
  <c r="AW29" i="33"/>
  <c r="AJ18" i="34"/>
  <c r="CN18" i="33" s="1"/>
  <c r="AI18"/>
  <c r="U20" i="26"/>
  <c r="U517" i="12"/>
  <c r="T20" i="26"/>
  <c r="T517" i="12"/>
  <c r="Q20" i="26"/>
  <c r="Q517" i="12"/>
  <c r="Q108" i="29"/>
  <c r="Q535" i="12"/>
  <c r="W30" i="26"/>
  <c r="W591" i="12"/>
  <c r="X591"/>
  <c r="X30" i="26"/>
  <c r="BC20"/>
  <c r="BC517" i="12"/>
  <c r="BC108" i="29"/>
  <c r="BC535" i="12"/>
  <c r="BF20" i="26"/>
  <c r="BF517" i="12"/>
  <c r="AJ591"/>
  <c r="AJ30" i="26"/>
  <c r="AM591" i="12"/>
  <c r="AM30" i="26"/>
  <c r="AW14"/>
  <c r="AW14" i="33" s="1"/>
  <c r="AW411" i="12"/>
  <c r="AD20" i="26"/>
  <c r="AD517" i="12"/>
  <c r="AY147" i="26"/>
  <c r="AY29" i="33"/>
  <c r="BF15" i="26"/>
  <c r="BF15" i="33" s="1"/>
  <c r="BF412" i="12"/>
  <c r="AC34" i="33"/>
  <c r="AS34" i="34"/>
  <c r="AC36" i="33"/>
  <c r="AS36" i="34"/>
  <c r="AF16" i="29"/>
  <c r="AF518" i="12"/>
  <c r="AF21" i="26"/>
  <c r="BB412" i="12"/>
  <c r="BB15" i="26"/>
  <c r="BB15" i="33" s="1"/>
  <c r="Z31"/>
  <c r="J31" i="34"/>
  <c r="BN31" i="33" s="1"/>
  <c r="AM15" i="26"/>
  <c r="AM15" i="33" s="1"/>
  <c r="AM412" i="12"/>
  <c r="AT139" i="26"/>
  <c r="AT20" i="33"/>
  <c r="AA16" i="29"/>
  <c r="AA518" i="12"/>
  <c r="AA21" i="26"/>
  <c r="AD30" i="33"/>
  <c r="AD148" i="26"/>
  <c r="AT30" i="34"/>
  <c r="DD30" i="33" s="1"/>
  <c r="AD36" i="26"/>
  <c r="AD35"/>
  <c r="AD34"/>
  <c r="AI30" i="33"/>
  <c r="AI148" i="26"/>
  <c r="AJ30" i="34"/>
  <c r="CN30" i="33" s="1"/>
  <c r="AI35" i="26"/>
  <c r="AI36"/>
  <c r="AI34"/>
  <c r="H30" i="33"/>
  <c r="H148" i="26"/>
  <c r="H34"/>
  <c r="H34" i="33" s="1"/>
  <c r="H36" i="26"/>
  <c r="H36" i="33" s="1"/>
  <c r="H35" i="26"/>
  <c r="H35" i="33" s="1"/>
  <c r="Z16" i="26"/>
  <c r="Z16" i="33" s="1"/>
  <c r="Q30"/>
  <c r="Q34" i="26"/>
  <c r="Q34" i="33" s="1"/>
  <c r="Q36" i="26"/>
  <c r="Q36" i="33" s="1"/>
  <c r="Q148" i="26"/>
  <c r="Q35"/>
  <c r="Q35" i="33" s="1"/>
  <c r="BI31" i="26"/>
  <c r="BI31" i="33" s="1"/>
  <c r="BI34" i="26"/>
  <c r="BI34" i="33" s="1"/>
  <c r="BI30"/>
  <c r="BI148" i="26"/>
  <c r="BI35"/>
  <c r="BI35" i="33" s="1"/>
  <c r="AQ15" i="26"/>
  <c r="AQ15" i="33" s="1"/>
  <c r="AQ412" i="12"/>
  <c r="AX139" i="26"/>
  <c r="AX20" i="33"/>
  <c r="AB20"/>
  <c r="AB139" i="26"/>
  <c r="AC20" i="34"/>
  <c r="L20"/>
  <c r="AR31" i="26"/>
  <c r="AR31" i="33" s="1"/>
  <c r="Y148" i="26"/>
  <c r="Y30" i="33"/>
  <c r="Z30" i="34"/>
  <c r="CD30" i="33" s="1"/>
  <c r="I30" i="34"/>
  <c r="L30" s="1"/>
  <c r="Y34" i="26"/>
  <c r="Y36"/>
  <c r="Y35"/>
  <c r="Y31"/>
  <c r="BE148"/>
  <c r="BE36"/>
  <c r="BE36" i="33" s="1"/>
  <c r="BE35" i="26"/>
  <c r="BE35" i="33" s="1"/>
  <c r="BE34" i="26"/>
  <c r="BE34" i="33" s="1"/>
  <c r="AF15" i="26"/>
  <c r="AF15" i="33" s="1"/>
  <c r="AF412" i="12"/>
  <c r="BB148" i="26"/>
  <c r="BB34"/>
  <c r="BB34" i="33" s="1"/>
  <c r="BB30"/>
  <c r="BB36" i="26"/>
  <c r="BB36" i="33" s="1"/>
  <c r="BB35" i="26"/>
  <c r="BB35" i="33" s="1"/>
  <c r="AO31" i="26"/>
  <c r="AO31" i="33" s="1"/>
  <c r="O148" i="26"/>
  <c r="O30" i="33"/>
  <c r="O34" i="26"/>
  <c r="O34" i="33" s="1"/>
  <c r="O36" i="26"/>
  <c r="O36" i="33" s="1"/>
  <c r="O35" i="26"/>
  <c r="O35" i="33" s="1"/>
  <c r="AT34" i="26"/>
  <c r="AT34" i="33" s="1"/>
  <c r="AT148" i="26"/>
  <c r="AT35"/>
  <c r="AT35" i="33" s="1"/>
  <c r="AT30"/>
  <c r="AT36" i="26"/>
  <c r="AT36" i="33" s="1"/>
  <c r="P16" i="29"/>
  <c r="P518" i="12"/>
  <c r="P21" i="26"/>
  <c r="AA15"/>
  <c r="AA15" i="33" s="1"/>
  <c r="AA412" i="12"/>
  <c r="AH148" i="26"/>
  <c r="AI30" i="34"/>
  <c r="CM30" i="33" s="1"/>
  <c r="AH30"/>
  <c r="AH35" i="26"/>
  <c r="AH36"/>
  <c r="AH34"/>
  <c r="J16" i="29"/>
  <c r="J518" i="12"/>
  <c r="J21" i="26"/>
  <c r="BC30" i="33"/>
  <c r="BC36" i="26"/>
  <c r="BC36" i="33" s="1"/>
  <c r="BC148" i="26"/>
  <c r="BC34"/>
  <c r="BC34" i="33" s="1"/>
  <c r="BC35" i="26"/>
  <c r="BC35" i="33" s="1"/>
  <c r="BC31" i="26"/>
  <c r="BC31" i="33" s="1"/>
  <c r="BD19" i="34"/>
  <c r="DN19" i="33" s="1"/>
  <c r="AP18" i="34"/>
  <c r="CT18" i="33" s="1"/>
  <c r="BF29" i="34" l="1"/>
  <c r="DP29" i="33" s="1"/>
  <c r="BD29" i="34"/>
  <c r="DN29" i="33" s="1"/>
  <c r="BE30" i="34"/>
  <c r="DO30" i="33" s="1"/>
  <c r="BT32"/>
  <c r="BM20"/>
  <c r="Q20" i="34"/>
  <c r="U24"/>
  <c r="BX24" i="33"/>
  <c r="DV24" s="1"/>
  <c r="BL24" i="34"/>
  <c r="BU18" i="33"/>
  <c r="DS18" s="1"/>
  <c r="R18" i="34"/>
  <c r="BI18"/>
  <c r="BU29" i="33"/>
  <c r="R29" i="34"/>
  <c r="BX33" i="33"/>
  <c r="DV33" s="1"/>
  <c r="U33" i="34"/>
  <c r="BL33"/>
  <c r="BY32" i="33"/>
  <c r="DW32" s="1"/>
  <c r="V32" i="34"/>
  <c r="BM32"/>
  <c r="BP30" i="33"/>
  <c r="M30" i="34"/>
  <c r="BP20" i="33"/>
  <c r="M20" i="34"/>
  <c r="BQ20" i="33" s="1"/>
  <c r="P24" i="34"/>
  <c r="BS24" i="33"/>
  <c r="BY23"/>
  <c r="DW23" s="1"/>
  <c r="BM23" i="34"/>
  <c r="V23"/>
  <c r="BP29" i="33"/>
  <c r="M29" i="34"/>
  <c r="BS33" i="33"/>
  <c r="P33" i="34"/>
  <c r="BT33" i="33" s="1"/>
  <c r="J109" i="29"/>
  <c r="J111" s="1"/>
  <c r="J21" i="33"/>
  <c r="J27" i="26"/>
  <c r="J27" i="33" s="1"/>
  <c r="J140" i="26"/>
  <c r="J25"/>
  <c r="J25" i="33" s="1"/>
  <c r="J26" i="26"/>
  <c r="J26" i="33" s="1"/>
  <c r="P21"/>
  <c r="P109" i="29"/>
  <c r="P111" s="1"/>
  <c r="P25" i="26"/>
  <c r="P25" i="33" s="1"/>
  <c r="P140" i="26"/>
  <c r="P27"/>
  <c r="P27" i="33" s="1"/>
  <c r="P26" i="26"/>
  <c r="P26" i="33" s="1"/>
  <c r="Y31"/>
  <c r="Z31" i="34"/>
  <c r="CD31" i="33" s="1"/>
  <c r="I31" i="34"/>
  <c r="L31" s="1"/>
  <c r="Y35" i="33"/>
  <c r="I35" i="34"/>
  <c r="Z35"/>
  <c r="CD35" i="33" s="1"/>
  <c r="Z34" i="34"/>
  <c r="CD34" i="33" s="1"/>
  <c r="I34" i="34"/>
  <c r="Y34" i="33"/>
  <c r="CG20"/>
  <c r="AJ34" i="34"/>
  <c r="CN34" i="33" s="1"/>
  <c r="AI34"/>
  <c r="AI36"/>
  <c r="AJ36" i="34"/>
  <c r="CN36" i="33" s="1"/>
  <c r="AD35"/>
  <c r="AT35" i="34"/>
  <c r="DD35" i="33" s="1"/>
  <c r="AA140" i="26"/>
  <c r="AA26"/>
  <c r="AA109" i="29"/>
  <c r="AA111" s="1"/>
  <c r="K21" i="34"/>
  <c r="BO21" i="33" s="1"/>
  <c r="AA27" i="26"/>
  <c r="AA21" i="33"/>
  <c r="AA25" i="26"/>
  <c r="AM16"/>
  <c r="AM16" i="33" s="1"/>
  <c r="BB16" i="26"/>
  <c r="BB16" i="33" s="1"/>
  <c r="AF140" i="26"/>
  <c r="AF21" i="33"/>
  <c r="AV21" i="34"/>
  <c r="DF21" i="33" s="1"/>
  <c r="AF109" i="29"/>
  <c r="AF111" s="1"/>
  <c r="AF25" i="26"/>
  <c r="AF26"/>
  <c r="AF27"/>
  <c r="DC36" i="33"/>
  <c r="DC34"/>
  <c r="BF16" i="26"/>
  <c r="BF16" i="33" s="1"/>
  <c r="AD139" i="26"/>
  <c r="AT20" i="34"/>
  <c r="AD20" i="33"/>
  <c r="N20" i="34"/>
  <c r="O20" s="1"/>
  <c r="BE20"/>
  <c r="DO20" i="33" s="1"/>
  <c r="AM30"/>
  <c r="BC30" i="34"/>
  <c r="DM30" i="33" s="1"/>
  <c r="AM148" i="26"/>
  <c r="AM36"/>
  <c r="AM35"/>
  <c r="AM34"/>
  <c r="AJ31"/>
  <c r="BF16" i="29"/>
  <c r="BF518" i="12"/>
  <c r="BF21" i="26"/>
  <c r="BC518" i="12"/>
  <c r="BC16" i="29"/>
  <c r="BC21" i="26"/>
  <c r="X30" i="33"/>
  <c r="AP30" i="34"/>
  <c r="CT30" i="33" s="1"/>
  <c r="X148" i="26"/>
  <c r="H30" i="34"/>
  <c r="X35" i="26"/>
  <c r="Y30" i="34"/>
  <c r="X36" i="26"/>
  <c r="X34"/>
  <c r="Q16" i="29"/>
  <c r="Q518" i="12"/>
  <c r="Q21" i="26"/>
  <c r="T16" i="29"/>
  <c r="T518" i="12"/>
  <c r="T21" i="26"/>
  <c r="U16" i="29"/>
  <c r="U518" i="12"/>
  <c r="U21" i="26"/>
  <c r="AV16"/>
  <c r="AV16" i="33" s="1"/>
  <c r="L22" i="26"/>
  <c r="L22" i="33" s="1"/>
  <c r="N412" i="12"/>
  <c r="N15" i="26"/>
  <c r="N15" i="33" s="1"/>
  <c r="AL22" i="26"/>
  <c r="AF34" i="33"/>
  <c r="AV34" i="34"/>
  <c r="DF34" i="33" s="1"/>
  <c r="AS16" i="26"/>
  <c r="AS16" i="33" s="1"/>
  <c r="BP19"/>
  <c r="M19" i="34"/>
  <c r="AC27" i="33"/>
  <c r="AS27" i="34"/>
  <c r="AM21" i="33"/>
  <c r="BC21" i="34"/>
  <c r="DM21" i="33" s="1"/>
  <c r="AM27" i="26"/>
  <c r="AM140"/>
  <c r="AM109" i="29"/>
  <c r="AM111" s="1"/>
  <c r="AM25" i="26"/>
  <c r="AM26"/>
  <c r="R22"/>
  <c r="R22" i="33" s="1"/>
  <c r="AP22" i="26"/>
  <c r="AP22" i="33" s="1"/>
  <c r="AS22" i="26"/>
  <c r="AS22" i="33" s="1"/>
  <c r="AS140" i="26"/>
  <c r="AS27"/>
  <c r="AS27" i="33" s="1"/>
  <c r="AS109" i="29"/>
  <c r="AS111" s="1"/>
  <c r="AS25" i="26"/>
  <c r="AS25" i="33" s="1"/>
  <c r="AS21"/>
  <c r="AS26" i="26"/>
  <c r="AS26" i="33" s="1"/>
  <c r="AE31"/>
  <c r="AU31" i="34"/>
  <c r="DE31" i="33" s="1"/>
  <c r="T15" i="26"/>
  <c r="T15" i="33" s="1"/>
  <c r="T412" i="12"/>
  <c r="AR109" i="29"/>
  <c r="AR111" s="1"/>
  <c r="AR140" i="26"/>
  <c r="AR21" i="33"/>
  <c r="AR25" i="26"/>
  <c r="AR25" i="33" s="1"/>
  <c r="AR26" i="26"/>
  <c r="AR26" i="33" s="1"/>
  <c r="AR27" i="26"/>
  <c r="AR27" i="33" s="1"/>
  <c r="R15" i="26"/>
  <c r="R15" i="33" s="1"/>
  <c r="R412" i="12"/>
  <c r="AN21" i="33"/>
  <c r="AN140" i="26"/>
  <c r="AN27"/>
  <c r="AN27" i="33" s="1"/>
  <c r="AN25" i="26"/>
  <c r="AN25" i="33" s="1"/>
  <c r="AN109" i="29"/>
  <c r="AN111" s="1"/>
  <c r="AN26" i="26"/>
  <c r="AN26" i="33" s="1"/>
  <c r="AN22" i="26"/>
  <c r="AN22" i="33" s="1"/>
  <c r="X22" i="26"/>
  <c r="AH140"/>
  <c r="AI21" i="34"/>
  <c r="CM21" i="33" s="1"/>
  <c r="AH21"/>
  <c r="AH109" i="29"/>
  <c r="AH111" s="1"/>
  <c r="AH26" i="26"/>
  <c r="AH25"/>
  <c r="AH27"/>
  <c r="AW22"/>
  <c r="AW22" i="33" s="1"/>
  <c r="AK31"/>
  <c r="BA31" i="34"/>
  <c r="DK31" i="33" s="1"/>
  <c r="V140" i="26"/>
  <c r="V27"/>
  <c r="V27" i="33" s="1"/>
  <c r="V26" i="26"/>
  <c r="V26" i="33" s="1"/>
  <c r="V21"/>
  <c r="V25" i="26"/>
  <c r="V25" i="33" s="1"/>
  <c r="V109" i="29"/>
  <c r="V111" s="1"/>
  <c r="S140" i="26"/>
  <c r="S21" i="33"/>
  <c r="S109" i="29"/>
  <c r="S111" s="1"/>
  <c r="S25" i="26"/>
  <c r="S25" i="33" s="1"/>
  <c r="S26" i="26"/>
  <c r="S26" i="33" s="1"/>
  <c r="S27" i="26"/>
  <c r="S27" i="33" s="1"/>
  <c r="N27" i="26"/>
  <c r="N27" i="33" s="1"/>
  <c r="N25" i="26"/>
  <c r="N25" i="33" s="1"/>
  <c r="N109" i="29"/>
  <c r="N111" s="1"/>
  <c r="N26" i="26"/>
  <c r="N26" i="33" s="1"/>
  <c r="N140" i="26"/>
  <c r="N21" i="33"/>
  <c r="AG22"/>
  <c r="AH22" i="34"/>
  <c r="CL22" i="33" s="1"/>
  <c r="BH16" i="26"/>
  <c r="BH16" i="33" s="1"/>
  <c r="AI15" i="26"/>
  <c r="AI15" i="33" s="1"/>
  <c r="AI412" i="12"/>
  <c r="AA31" i="26"/>
  <c r="AK139"/>
  <c r="AK20" i="33"/>
  <c r="BA20" i="34"/>
  <c r="DK20" i="33" s="1"/>
  <c r="BE15" i="26"/>
  <c r="BE15" i="33" s="1"/>
  <c r="BE412" i="12"/>
  <c r="AP31" i="26"/>
  <c r="AP31" i="33" s="1"/>
  <c r="BI16" i="29"/>
  <c r="BI518" i="12"/>
  <c r="BI21" i="26"/>
  <c r="BD148"/>
  <c r="BD30" i="33"/>
  <c r="BD34" i="26"/>
  <c r="BD34" i="33" s="1"/>
  <c r="BD36" i="26"/>
  <c r="BD36" i="33" s="1"/>
  <c r="BD35" i="26"/>
  <c r="BD35" i="33" s="1"/>
  <c r="AE16" i="29"/>
  <c r="AE518" i="12"/>
  <c r="AE21" i="26"/>
  <c r="AY20" i="33"/>
  <c r="AY139" i="26"/>
  <c r="AO16" i="29"/>
  <c r="AO518" i="12"/>
  <c r="AO21" i="26"/>
  <c r="AL148"/>
  <c r="AL30" i="33"/>
  <c r="BB30" i="34"/>
  <c r="DL30" i="33" s="1"/>
  <c r="AL35" i="26"/>
  <c r="AL34"/>
  <c r="AL36"/>
  <c r="Y22"/>
  <c r="BI16"/>
  <c r="BI16" i="33" s="1"/>
  <c r="AH31"/>
  <c r="AI31" i="34"/>
  <c r="CM31" i="33" s="1"/>
  <c r="AB22" i="26"/>
  <c r="AX22"/>
  <c r="AX22" i="33" s="1"/>
  <c r="BD16" i="26"/>
  <c r="BD16" i="33" s="1"/>
  <c r="AI31"/>
  <c r="AJ31" i="34"/>
  <c r="CN31" i="33" s="1"/>
  <c r="AD31"/>
  <c r="AT31" i="34"/>
  <c r="DD31" i="33" s="1"/>
  <c r="AO16" i="26"/>
  <c r="AO16" i="33" s="1"/>
  <c r="DC35"/>
  <c r="AY148" i="26"/>
  <c r="AY30" i="33"/>
  <c r="AY34" i="26"/>
  <c r="AY34" i="33" s="1"/>
  <c r="AY36" i="26"/>
  <c r="AY36" i="33" s="1"/>
  <c r="AY35" i="26"/>
  <c r="AY35" i="33" s="1"/>
  <c r="BR18"/>
  <c r="AI16" i="29"/>
  <c r="AI518" i="12"/>
  <c r="AI21" i="26"/>
  <c r="AW31"/>
  <c r="AW31" i="33" s="1"/>
  <c r="S31" i="26"/>
  <c r="S31" i="33" s="1"/>
  <c r="O139" i="26"/>
  <c r="O20" i="33"/>
  <c r="I139" i="26"/>
  <c r="I20" i="33"/>
  <c r="AZ20" i="34"/>
  <c r="DJ20" i="33" s="1"/>
  <c r="AJ139" i="26"/>
  <c r="AJ20" i="33"/>
  <c r="BE139" i="26"/>
  <c r="BE20" i="33"/>
  <c r="BF31" i="26"/>
  <c r="BF31" i="33" s="1"/>
  <c r="AZ15" i="26"/>
  <c r="AZ15" i="33" s="1"/>
  <c r="AZ412" i="12"/>
  <c r="L15" i="26"/>
  <c r="L15" i="33" s="1"/>
  <c r="L412" i="12"/>
  <c r="AF31" i="33"/>
  <c r="AV31" i="34"/>
  <c r="DF31" i="33" s="1"/>
  <c r="BH22" i="26"/>
  <c r="BH22" i="33" s="1"/>
  <c r="K22" i="26"/>
  <c r="K22" i="33" s="1"/>
  <c r="J15" i="26"/>
  <c r="J15" i="33" s="1"/>
  <c r="J412" i="12"/>
  <c r="W22" i="26"/>
  <c r="W22" i="33" s="1"/>
  <c r="AV22" i="26"/>
  <c r="AV22" i="33" s="1"/>
  <c r="CG31"/>
  <c r="BB21"/>
  <c r="BB27" i="26"/>
  <c r="BB27" i="33" s="1"/>
  <c r="BB25" i="26"/>
  <c r="BB25" i="33" s="1"/>
  <c r="BB109" i="29"/>
  <c r="BB111" s="1"/>
  <c r="BB140" i="26"/>
  <c r="BB26"/>
  <c r="BB26" i="33" s="1"/>
  <c r="AN16" i="26"/>
  <c r="AN16" i="33" s="1"/>
  <c r="AE34"/>
  <c r="AU34" i="34"/>
  <c r="DE34" i="33" s="1"/>
  <c r="J27" i="34"/>
  <c r="BN27" i="33" s="1"/>
  <c r="Z27"/>
  <c r="Z26"/>
  <c r="J26" i="34"/>
  <c r="BN26" i="33" s="1"/>
  <c r="AL16" i="26"/>
  <c r="AL16" i="33" s="1"/>
  <c r="BL20"/>
  <c r="AE16" i="26"/>
  <c r="AE16" i="33" s="1"/>
  <c r="P15" i="26"/>
  <c r="P15" i="33" s="1"/>
  <c r="P412" i="12"/>
  <c r="AK36" i="33"/>
  <c r="BA36" i="34"/>
  <c r="DK36" i="33" s="1"/>
  <c r="DC31"/>
  <c r="AG27"/>
  <c r="AH27" i="34"/>
  <c r="CL27" i="33" s="1"/>
  <c r="BD20"/>
  <c r="BD139" i="26"/>
  <c r="J31"/>
  <c r="J31" i="33" s="1"/>
  <c r="H16" i="29"/>
  <c r="H21" i="26"/>
  <c r="H518" i="12"/>
  <c r="AH15" i="26"/>
  <c r="AH15" i="33" s="1"/>
  <c r="AH412" i="12"/>
  <c r="L31" i="26"/>
  <c r="L31" i="33" s="1"/>
  <c r="V148" i="26"/>
  <c r="V30" i="33"/>
  <c r="V34" i="26"/>
  <c r="V34" i="33" s="1"/>
  <c r="V36" i="26"/>
  <c r="V36" i="33" s="1"/>
  <c r="V35" i="26"/>
  <c r="V35" i="33" s="1"/>
  <c r="M16" i="29"/>
  <c r="M21" i="26"/>
  <c r="M518" i="12"/>
  <c r="CG36" i="33"/>
  <c r="CG34"/>
  <c r="AK16" i="26"/>
  <c r="AK16" i="33" s="1"/>
  <c r="AO30" i="34"/>
  <c r="CS30" i="33" s="1"/>
  <c r="AR19" i="34"/>
  <c r="CV19" i="33" s="1"/>
  <c r="AI34" i="34"/>
  <c r="CM34" i="33" s="1"/>
  <c r="AH34"/>
  <c r="J22" i="26"/>
  <c r="J22" i="33" s="1"/>
  <c r="AH36"/>
  <c r="AI36" i="34"/>
  <c r="CM36" i="33" s="1"/>
  <c r="AH35"/>
  <c r="AI35" i="34"/>
  <c r="CM35" i="33" s="1"/>
  <c r="AA16" i="26"/>
  <c r="AA16" i="33" s="1"/>
  <c r="P22" i="26"/>
  <c r="P22" i="33" s="1"/>
  <c r="AF16" i="26"/>
  <c r="AF16" i="33" s="1"/>
  <c r="Z36" i="34"/>
  <c r="CD36" i="33" s="1"/>
  <c r="Y36"/>
  <c r="I36" i="34"/>
  <c r="BM30" i="33"/>
  <c r="Q30" i="34"/>
  <c r="AQ16" i="26"/>
  <c r="AQ16" i="33" s="1"/>
  <c r="AI35"/>
  <c r="AJ35" i="34"/>
  <c r="CN35" i="33" s="1"/>
  <c r="AT34" i="34"/>
  <c r="DD34" i="33" s="1"/>
  <c r="AD34"/>
  <c r="AT36" i="34"/>
  <c r="DD36" i="33" s="1"/>
  <c r="AD36"/>
  <c r="AA22" i="26"/>
  <c r="AF22"/>
  <c r="AD16" i="29"/>
  <c r="AD518" i="12"/>
  <c r="AD21" i="26"/>
  <c r="AW15"/>
  <c r="AW15" i="33" s="1"/>
  <c r="AW412" i="12"/>
  <c r="AM31" i="26"/>
  <c r="AJ30" i="33"/>
  <c r="AZ30" i="34"/>
  <c r="DJ30" i="33" s="1"/>
  <c r="AJ148" i="26"/>
  <c r="AJ36"/>
  <c r="AJ35"/>
  <c r="AJ34"/>
  <c r="BF139"/>
  <c r="BF20" i="33"/>
  <c r="BC139" i="26"/>
  <c r="BC20" i="33"/>
  <c r="X31" i="26"/>
  <c r="W31"/>
  <c r="W31" i="33" s="1"/>
  <c r="W148" i="26"/>
  <c r="W36"/>
  <c r="W36" i="33" s="1"/>
  <c r="W34" i="26"/>
  <c r="W34" i="33" s="1"/>
  <c r="W30"/>
  <c r="W35" i="26"/>
  <c r="W35" i="33" s="1"/>
  <c r="Q139" i="26"/>
  <c r="Q20" i="33"/>
  <c r="T139" i="26"/>
  <c r="T20" i="33"/>
  <c r="U20"/>
  <c r="U139" i="26"/>
  <c r="L21" i="33"/>
  <c r="L140" i="26"/>
  <c r="L109" i="29"/>
  <c r="L111" s="1"/>
  <c r="L27" i="26"/>
  <c r="L27" i="33" s="1"/>
  <c r="L25" i="26"/>
  <c r="L25" i="33" s="1"/>
  <c r="L26" i="26"/>
  <c r="L26" i="33" s="1"/>
  <c r="V15" i="26"/>
  <c r="V15" i="33" s="1"/>
  <c r="V412" i="12"/>
  <c r="AL21" i="33"/>
  <c r="BB21" i="34"/>
  <c r="DL21" i="33" s="1"/>
  <c r="AL140" i="26"/>
  <c r="AL109" i="29"/>
  <c r="AL111" s="1"/>
  <c r="AL26" i="26"/>
  <c r="AL27"/>
  <c r="AL25"/>
  <c r="AV35" i="34"/>
  <c r="DF35" i="33" s="1"/>
  <c r="AF35"/>
  <c r="AF36"/>
  <c r="AV36" i="34"/>
  <c r="DF36" i="33" s="1"/>
  <c r="M412" i="12"/>
  <c r="M15" i="26"/>
  <c r="M15" i="33" s="1"/>
  <c r="BI19" i="34"/>
  <c r="BU19" i="33"/>
  <c r="DS19" s="1"/>
  <c r="R19" i="34"/>
  <c r="AS26"/>
  <c r="AC26" i="33"/>
  <c r="AC25"/>
  <c r="AS25" i="34"/>
  <c r="DC21" i="33"/>
  <c r="AM22" i="26"/>
  <c r="R140"/>
  <c r="R27"/>
  <c r="R27" i="33" s="1"/>
  <c r="R109" i="29"/>
  <c r="R111" s="1"/>
  <c r="R25" i="26"/>
  <c r="R25" i="33" s="1"/>
  <c r="R21"/>
  <c r="R26" i="26"/>
  <c r="R26" i="33" s="1"/>
  <c r="AP21"/>
  <c r="AP140" i="26"/>
  <c r="AP25"/>
  <c r="AP25" i="33" s="1"/>
  <c r="AP27" i="26"/>
  <c r="AP27" i="33" s="1"/>
  <c r="AP109" i="29"/>
  <c r="AP111" s="1"/>
  <c r="AP26" i="26"/>
  <c r="AP26" i="33" s="1"/>
  <c r="W15" i="26"/>
  <c r="W15" i="33" s="1"/>
  <c r="W412" i="12"/>
  <c r="J22" i="34"/>
  <c r="BN22" i="33" s="1"/>
  <c r="Z22"/>
  <c r="AR22" i="26"/>
  <c r="AR22" i="33" s="1"/>
  <c r="X140" i="26"/>
  <c r="X21" i="33"/>
  <c r="X109" i="29"/>
  <c r="X111" s="1"/>
  <c r="AP21" i="34"/>
  <c r="CT21" i="33" s="1"/>
  <c r="H21" i="34"/>
  <c r="Y21"/>
  <c r="X27" i="26"/>
  <c r="X25"/>
  <c r="X26"/>
  <c r="AH22"/>
  <c r="AW21" i="33"/>
  <c r="AW140" i="26"/>
  <c r="AW27"/>
  <c r="AW27" i="33" s="1"/>
  <c r="AW25" i="26"/>
  <c r="AW25" i="33" s="1"/>
  <c r="AW109" i="29"/>
  <c r="AW111" s="1"/>
  <c r="AW26" i="26"/>
  <c r="AW26" i="33" s="1"/>
  <c r="V22" i="26"/>
  <c r="V22" i="33" s="1"/>
  <c r="S22" i="26"/>
  <c r="S22" i="33" s="1"/>
  <c r="N22" i="26"/>
  <c r="N22" i="33" s="1"/>
  <c r="R148" i="26"/>
  <c r="R34"/>
  <c r="R34" i="33" s="1"/>
  <c r="R30"/>
  <c r="R36" i="26"/>
  <c r="R36" i="33" s="1"/>
  <c r="R35" i="26"/>
  <c r="R35" i="33" s="1"/>
  <c r="R31" i="26"/>
  <c r="R31" i="33" s="1"/>
  <c r="AA30"/>
  <c r="AA148" i="26"/>
  <c r="K30" i="34"/>
  <c r="BO30" i="33" s="1"/>
  <c r="AA36" i="26"/>
  <c r="AA35"/>
  <c r="AA34"/>
  <c r="AK16" i="29"/>
  <c r="AK21" i="26"/>
  <c r="AK518" i="12"/>
  <c r="AP148" i="26"/>
  <c r="AP34"/>
  <c r="AP34" i="33" s="1"/>
  <c r="AP30"/>
  <c r="AP36" i="26"/>
  <c r="AP36" i="33" s="1"/>
  <c r="AP35" i="26"/>
  <c r="AP35" i="33" s="1"/>
  <c r="BI20"/>
  <c r="BI139" i="26"/>
  <c r="BD31"/>
  <c r="BD31" i="33" s="1"/>
  <c r="AE20"/>
  <c r="AE139" i="26"/>
  <c r="AU20" i="34"/>
  <c r="DE20" i="33" s="1"/>
  <c r="AY16" i="29"/>
  <c r="AY518" i="12"/>
  <c r="AY21" i="26"/>
  <c r="AT15"/>
  <c r="AT15" i="33" s="1"/>
  <c r="AT412" i="12"/>
  <c r="AO139" i="26"/>
  <c r="AO20" i="33"/>
  <c r="AL31" i="26"/>
  <c r="Q15"/>
  <c r="Q15" i="33" s="1"/>
  <c r="Q412" i="12"/>
  <c r="CG35" i="33"/>
  <c r="AJ16" i="26"/>
  <c r="AJ16" i="33" s="1"/>
  <c r="Y21"/>
  <c r="Y140" i="26"/>
  <c r="Y25"/>
  <c r="Y109" i="29"/>
  <c r="Y111" s="1"/>
  <c r="Z21" i="34"/>
  <c r="CD21" i="33" s="1"/>
  <c r="I21" i="34"/>
  <c r="Y26" i="26"/>
  <c r="Y27"/>
  <c r="K16"/>
  <c r="K16" i="33" s="1"/>
  <c r="AB140" i="26"/>
  <c r="AB21" i="33"/>
  <c r="AB109" i="29"/>
  <c r="AB111" s="1"/>
  <c r="AB27" i="26"/>
  <c r="AB26"/>
  <c r="L21" i="34"/>
  <c r="AB25" i="26"/>
  <c r="AC21" i="34"/>
  <c r="AX140" i="26"/>
  <c r="AX27"/>
  <c r="AX27" i="33" s="1"/>
  <c r="AX25" i="26"/>
  <c r="AX25" i="33" s="1"/>
  <c r="AX21"/>
  <c r="AX26" i="26"/>
  <c r="AX26" i="33" s="1"/>
  <c r="AX109" i="29"/>
  <c r="AX111" s="1"/>
  <c r="AT140" i="26"/>
  <c r="AT109" i="29"/>
  <c r="AT111" s="1"/>
  <c r="AT21" i="33"/>
  <c r="AT25" i="26"/>
  <c r="AT25" i="33" s="1"/>
  <c r="AT27" i="26"/>
  <c r="AT27" i="33" s="1"/>
  <c r="AT26" i="26"/>
  <c r="AT26" i="33" s="1"/>
  <c r="AT22" i="26"/>
  <c r="AT22" i="33" s="1"/>
  <c r="BC15" i="26"/>
  <c r="BC15" i="33" s="1"/>
  <c r="BC412" i="12"/>
  <c r="AY31" i="26"/>
  <c r="AY31" i="33" s="1"/>
  <c r="DD18"/>
  <c r="BF18" i="34"/>
  <c r="DP18" i="33" s="1"/>
  <c r="BD18" i="34"/>
  <c r="DN18" i="33" s="1"/>
  <c r="BL29"/>
  <c r="BI29" i="34"/>
  <c r="CC29" i="33"/>
  <c r="AQ29" i="34"/>
  <c r="CU29" i="33" s="1"/>
  <c r="AI139" i="26"/>
  <c r="AI20" i="33"/>
  <c r="AJ20" i="34"/>
  <c r="CN20" i="33" s="1"/>
  <c r="AD15" i="26"/>
  <c r="AD15" i="33" s="1"/>
  <c r="AD412" i="12"/>
  <c r="AW148" i="26"/>
  <c r="AW30" i="33"/>
  <c r="AW34" i="26"/>
  <c r="AW34" i="33" s="1"/>
  <c r="AW36" i="26"/>
  <c r="AW36" i="33" s="1"/>
  <c r="AW35" i="26"/>
  <c r="AW35" i="33" s="1"/>
  <c r="S30"/>
  <c r="S35" i="26"/>
  <c r="S35" i="33" s="1"/>
  <c r="S34" i="26"/>
  <c r="S34" i="33" s="1"/>
  <c r="S148" i="26"/>
  <c r="S36"/>
  <c r="S36" i="33" s="1"/>
  <c r="O16" i="29"/>
  <c r="O21" i="26"/>
  <c r="O518" i="12"/>
  <c r="I16" i="29"/>
  <c r="I518" i="12"/>
  <c r="I21" i="26"/>
  <c r="AJ16" i="29"/>
  <c r="AJ518" i="12"/>
  <c r="AJ21" i="26"/>
  <c r="BE21"/>
  <c r="BE16" i="29"/>
  <c r="BE518" i="12"/>
  <c r="BF148" i="26"/>
  <c r="BF30" i="33"/>
  <c r="BF35" i="26"/>
  <c r="BF35" i="33" s="1"/>
  <c r="BF36" i="26"/>
  <c r="BF36" i="33" s="1"/>
  <c r="BF34" i="26"/>
  <c r="BF34" i="33" s="1"/>
  <c r="AP16" i="26"/>
  <c r="AP16" i="33" s="1"/>
  <c r="S15" i="26"/>
  <c r="S15" i="33" s="1"/>
  <c r="S412" i="12"/>
  <c r="BH109" i="29"/>
  <c r="BH111" s="1"/>
  <c r="BH21" i="33"/>
  <c r="BH140" i="26"/>
  <c r="BH25"/>
  <c r="BH25" i="33" s="1"/>
  <c r="BH27" i="26"/>
  <c r="BH27" i="33" s="1"/>
  <c r="BH26" i="26"/>
  <c r="BH26" i="33" s="1"/>
  <c r="K109" i="29"/>
  <c r="K111" s="1"/>
  <c r="K25" i="26"/>
  <c r="K25" i="33" s="1"/>
  <c r="K21"/>
  <c r="K27" i="26"/>
  <c r="K27" i="33" s="1"/>
  <c r="K140" i="26"/>
  <c r="K26"/>
  <c r="K26" i="33" s="1"/>
  <c r="W21"/>
  <c r="W25" i="26"/>
  <c r="W25" i="33" s="1"/>
  <c r="W27" i="26"/>
  <c r="W27" i="33" s="1"/>
  <c r="W109" i="29"/>
  <c r="W111" s="1"/>
  <c r="W26" i="26"/>
  <c r="W26" i="33" s="1"/>
  <c r="W140" i="26"/>
  <c r="AV21" i="33"/>
  <c r="AV25" i="26"/>
  <c r="AV25" i="33" s="1"/>
  <c r="AV109" i="29"/>
  <c r="AV111" s="1"/>
  <c r="AV140" i="26"/>
  <c r="AV26"/>
  <c r="AV26" i="33" s="1"/>
  <c r="AV27" i="26"/>
  <c r="AV27" i="33" s="1"/>
  <c r="AC22"/>
  <c r="AS22" i="34"/>
  <c r="O15" i="26"/>
  <c r="O15" i="33" s="1"/>
  <c r="O412" i="12"/>
  <c r="BB22" i="26"/>
  <c r="BB22" i="33" s="1"/>
  <c r="AE36"/>
  <c r="AU36" i="34"/>
  <c r="DE36" i="33" s="1"/>
  <c r="AE35"/>
  <c r="AU35" i="34"/>
  <c r="DE35" i="33" s="1"/>
  <c r="Z25"/>
  <c r="J25" i="34"/>
  <c r="BN25" i="33" s="1"/>
  <c r="H16" i="26"/>
  <c r="H16" i="33" s="1"/>
  <c r="AZ22" i="26"/>
  <c r="AZ22" i="33" s="1"/>
  <c r="AZ140" i="26"/>
  <c r="AZ27"/>
  <c r="AZ27" i="33" s="1"/>
  <c r="AZ25" i="26"/>
  <c r="AZ25" i="33" s="1"/>
  <c r="AZ21"/>
  <c r="AZ109" i="29"/>
  <c r="AZ111" s="1"/>
  <c r="AZ26" i="26"/>
  <c r="AZ26" i="33" s="1"/>
  <c r="AB16" i="26"/>
  <c r="AB16" i="33" s="1"/>
  <c r="CC20"/>
  <c r="AQ20" i="34"/>
  <c r="CU20" i="33" s="1"/>
  <c r="AY16" i="26"/>
  <c r="AY16" i="33" s="1"/>
  <c r="AK34"/>
  <c r="BA34" i="34"/>
  <c r="DK34" i="33" s="1"/>
  <c r="AK35"/>
  <c r="BA35" i="34"/>
  <c r="DK35" i="33" s="1"/>
  <c r="AG25"/>
  <c r="AH25" i="34"/>
  <c r="CL25" i="33" s="1"/>
  <c r="AG26"/>
  <c r="AH26" i="34"/>
  <c r="CL26" i="33" s="1"/>
  <c r="BD16" i="29"/>
  <c r="BD518" i="12"/>
  <c r="BD21" i="26"/>
  <c r="I15"/>
  <c r="I15" i="33" s="1"/>
  <c r="I412" i="12"/>
  <c r="J30" i="33"/>
  <c r="J34" i="26"/>
  <c r="J34" i="33" s="1"/>
  <c r="J148" i="26"/>
  <c r="J36"/>
  <c r="J36" i="33" s="1"/>
  <c r="J35" i="26"/>
  <c r="J35" i="33" s="1"/>
  <c r="H139" i="26"/>
  <c r="H20" i="33"/>
  <c r="L30"/>
  <c r="L148" i="26"/>
  <c r="L36"/>
  <c r="L36" i="33" s="1"/>
  <c r="L34" i="26"/>
  <c r="L34" i="33" s="1"/>
  <c r="L35" i="26"/>
  <c r="L35" i="33" s="1"/>
  <c r="V31" i="26"/>
  <c r="V31" i="33" s="1"/>
  <c r="Y412" i="12"/>
  <c r="Y15" i="26"/>
  <c r="Y15" i="33" s="1"/>
  <c r="M139" i="26"/>
  <c r="M20" i="33"/>
  <c r="X16" i="26"/>
  <c r="X16" i="33" s="1"/>
  <c r="U15" i="26"/>
  <c r="U15" i="33" s="1"/>
  <c r="U412" i="12"/>
  <c r="AQ18" i="34"/>
  <c r="CU18" i="33" s="1"/>
  <c r="AO18" i="34"/>
  <c r="CS18" i="33" s="1"/>
  <c r="AP20" i="34"/>
  <c r="CT20" i="33" s="1"/>
  <c r="O18" i="34"/>
  <c r="BF30" l="1"/>
  <c r="DP30" i="33" s="1"/>
  <c r="DS29"/>
  <c r="AO35" i="34"/>
  <c r="CS35" i="33" s="1"/>
  <c r="AO31" i="34"/>
  <c r="CS31" i="33" s="1"/>
  <c r="BP21"/>
  <c r="M21" i="34"/>
  <c r="BQ21" i="33" s="1"/>
  <c r="BM21"/>
  <c r="Q21" i="34"/>
  <c r="BI21" s="1"/>
  <c r="BM35" i="33"/>
  <c r="Q35" i="34"/>
  <c r="L35"/>
  <c r="BP31" i="33"/>
  <c r="M31" i="34"/>
  <c r="BZ32" i="33"/>
  <c r="DX32" s="1"/>
  <c r="BN32" i="34"/>
  <c r="W32"/>
  <c r="BG32" s="1"/>
  <c r="BV18" i="33"/>
  <c r="DT18" s="1"/>
  <c r="S18" i="34"/>
  <c r="AR18" s="1"/>
  <c r="CV18" i="33" s="1"/>
  <c r="BJ18" i="34"/>
  <c r="BM24"/>
  <c r="V24"/>
  <c r="BY24" i="33"/>
  <c r="DW24" s="1"/>
  <c r="BM36"/>
  <c r="Q36" i="34"/>
  <c r="L36"/>
  <c r="BM34" i="33"/>
  <c r="L34" i="34"/>
  <c r="Q34"/>
  <c r="N29"/>
  <c r="BQ29" i="33"/>
  <c r="BZ23"/>
  <c r="DX23" s="1"/>
  <c r="W23" i="34"/>
  <c r="BG23" s="1"/>
  <c r="BN23"/>
  <c r="BT24" i="33"/>
  <c r="BQ30"/>
  <c r="N30" i="34"/>
  <c r="BY33" i="33"/>
  <c r="BM33" i="34"/>
  <c r="V33"/>
  <c r="S29"/>
  <c r="AR29" s="1"/>
  <c r="CV29" i="33" s="1"/>
  <c r="BJ29" i="34"/>
  <c r="BV29" i="33"/>
  <c r="DT29" s="1"/>
  <c r="BI20" i="34"/>
  <c r="R20"/>
  <c r="BU20" i="33"/>
  <c r="DS20" s="1"/>
  <c r="AO36" i="34"/>
  <c r="CS36" i="33" s="1"/>
  <c r="BS18"/>
  <c r="P18" i="34"/>
  <c r="BT18" i="33" s="1"/>
  <c r="Y16" i="26"/>
  <c r="Y16" i="33" s="1"/>
  <c r="BD21"/>
  <c r="BD27" i="26"/>
  <c r="BD27" i="33" s="1"/>
  <c r="BD25" i="26"/>
  <c r="BD25" i="33" s="1"/>
  <c r="BD109" i="29"/>
  <c r="BD111" s="1"/>
  <c r="BD140" i="26"/>
  <c r="BD26"/>
  <c r="BD26" i="33" s="1"/>
  <c r="BD22" i="26"/>
  <c r="BD22" i="33" s="1"/>
  <c r="O16" i="26"/>
  <c r="O16" i="33" s="1"/>
  <c r="AJ22" i="26"/>
  <c r="I22"/>
  <c r="I22" i="33" s="1"/>
  <c r="O140" i="26"/>
  <c r="O26"/>
  <c r="O26" i="33" s="1"/>
  <c r="O27" i="26"/>
  <c r="O27" i="33" s="1"/>
  <c r="O109" i="29"/>
  <c r="O111" s="1"/>
  <c r="O21" i="33"/>
  <c r="O25" i="26"/>
  <c r="O25" i="33" s="1"/>
  <c r="BC16" i="26"/>
  <c r="BC16" i="33" s="1"/>
  <c r="AB25"/>
  <c r="AC25" i="34"/>
  <c r="AB26" i="33"/>
  <c r="AC26" i="34"/>
  <c r="Z26"/>
  <c r="CD26" i="33" s="1"/>
  <c r="I26" i="34"/>
  <c r="L26" s="1"/>
  <c r="Y26" i="33"/>
  <c r="Y25"/>
  <c r="Z25" i="34"/>
  <c r="CD25" i="33" s="1"/>
  <c r="I25" i="34"/>
  <c r="L25" s="1"/>
  <c r="AL31" i="33"/>
  <c r="BB31" i="34"/>
  <c r="DL31" i="33" s="1"/>
  <c r="AT16" i="26"/>
  <c r="AT16" i="33" s="1"/>
  <c r="AY22" i="26"/>
  <c r="AY22" i="33" s="1"/>
  <c r="AK22" i="26"/>
  <c r="K34" i="34"/>
  <c r="BO34" i="33" s="1"/>
  <c r="AA34"/>
  <c r="AA36"/>
  <c r="K36" i="34"/>
  <c r="BO36" i="33" s="1"/>
  <c r="X25"/>
  <c r="H25" i="34"/>
  <c r="Y25"/>
  <c r="CC21" i="33"/>
  <c r="W16" i="26"/>
  <c r="W16" i="33" s="1"/>
  <c r="DC25"/>
  <c r="DC26"/>
  <c r="BJ19" i="34"/>
  <c r="BV19" i="33"/>
  <c r="DT19" s="1"/>
  <c r="S19" i="34"/>
  <c r="M16" i="26"/>
  <c r="M16" i="33" s="1"/>
  <c r="AL25"/>
  <c r="BB25" i="34"/>
  <c r="DL25" i="33" s="1"/>
  <c r="AL26"/>
  <c r="BB26" i="34"/>
  <c r="DL26" i="33" s="1"/>
  <c r="V16" i="26"/>
  <c r="V16" i="33" s="1"/>
  <c r="X31"/>
  <c r="AP31" i="34"/>
  <c r="CT31" i="33" s="1"/>
  <c r="Y31" i="34"/>
  <c r="H31"/>
  <c r="AZ34"/>
  <c r="DJ34" i="33" s="1"/>
  <c r="AJ34"/>
  <c r="BE34" i="34"/>
  <c r="DO34" i="33" s="1"/>
  <c r="AD21"/>
  <c r="AD140" i="26"/>
  <c r="AD109" i="29"/>
  <c r="AD111" s="1"/>
  <c r="AT21" i="34"/>
  <c r="AD25" i="26"/>
  <c r="N21" i="34"/>
  <c r="O21" s="1"/>
  <c r="AD26" i="26"/>
  <c r="AD27"/>
  <c r="BE21" i="34"/>
  <c r="DO21" i="33" s="1"/>
  <c r="AF22"/>
  <c r="AV22" i="34"/>
  <c r="DF22" i="33" s="1"/>
  <c r="M22" i="26"/>
  <c r="M22" i="33" s="1"/>
  <c r="M21"/>
  <c r="M140" i="26"/>
  <c r="M25"/>
  <c r="M25" i="33" s="1"/>
  <c r="M27" i="26"/>
  <c r="M27" i="33" s="1"/>
  <c r="M109" i="29"/>
  <c r="M111" s="1"/>
  <c r="M26" i="26"/>
  <c r="M26" i="33" s="1"/>
  <c r="H22" i="26"/>
  <c r="H22" i="33" s="1"/>
  <c r="P16" i="26"/>
  <c r="P16" i="33" s="1"/>
  <c r="J16" i="26"/>
  <c r="J16" i="33" s="1"/>
  <c r="L16" i="26"/>
  <c r="L16" i="33" s="1"/>
  <c r="AZ16" i="26"/>
  <c r="AZ16" i="33" s="1"/>
  <c r="AI21"/>
  <c r="AI140" i="26"/>
  <c r="AI109" i="29"/>
  <c r="AI111" s="1"/>
  <c r="AI26" i="26"/>
  <c r="AJ21" i="34"/>
  <c r="CN21" i="33" s="1"/>
  <c r="AI27" i="26"/>
  <c r="AI25"/>
  <c r="AB22" i="33"/>
  <c r="AC22" i="34"/>
  <c r="Y22" i="33"/>
  <c r="I22" i="34"/>
  <c r="Z22"/>
  <c r="CD22" i="33" s="1"/>
  <c r="AL34"/>
  <c r="BB34" i="34"/>
  <c r="DL34" i="33" s="1"/>
  <c r="AO22" i="26"/>
  <c r="AO22" i="33" s="1"/>
  <c r="AE22" i="26"/>
  <c r="BI140"/>
  <c r="BI21" i="33"/>
  <c r="BI25" i="26"/>
  <c r="BI25" i="33" s="1"/>
  <c r="BI109" i="29"/>
  <c r="BI111" s="1"/>
  <c r="BI26" i="26"/>
  <c r="BI26" i="33" s="1"/>
  <c r="BI22" i="26"/>
  <c r="BI22" i="33" s="1"/>
  <c r="BE16" i="26"/>
  <c r="BE16" i="33" s="1"/>
  <c r="AH27"/>
  <c r="AI27" i="34"/>
  <c r="CM27" i="33" s="1"/>
  <c r="AH26"/>
  <c r="AI26" i="34"/>
  <c r="CM26" i="33" s="1"/>
  <c r="X22"/>
  <c r="Y22" i="34"/>
  <c r="H22"/>
  <c r="R16" i="26"/>
  <c r="R16" i="33" s="1"/>
  <c r="T16" i="26"/>
  <c r="T16" i="33" s="1"/>
  <c r="AM26"/>
  <c r="BC26" i="34"/>
  <c r="DM26" i="33" s="1"/>
  <c r="DC27"/>
  <c r="BG19" i="34"/>
  <c r="BQ19" i="33"/>
  <c r="DQ19" s="1"/>
  <c r="N19" i="34"/>
  <c r="N16" i="26"/>
  <c r="N16" i="33" s="1"/>
  <c r="U140" i="26"/>
  <c r="U21" i="33"/>
  <c r="U25" i="26"/>
  <c r="U25" i="33" s="1"/>
  <c r="U27" i="26"/>
  <c r="U27" i="33" s="1"/>
  <c r="U109" i="29"/>
  <c r="U111" s="1"/>
  <c r="U26" i="26"/>
  <c r="U26" i="33" s="1"/>
  <c r="T140" i="26"/>
  <c r="T109" i="29"/>
  <c r="T111" s="1"/>
  <c r="T25" i="26"/>
  <c r="T25" i="33" s="1"/>
  <c r="T21"/>
  <c r="T27" i="26"/>
  <c r="T27" i="33" s="1"/>
  <c r="T26" i="26"/>
  <c r="T26" i="33" s="1"/>
  <c r="Q140" i="26"/>
  <c r="Q109" i="29"/>
  <c r="Q111" s="1"/>
  <c r="Q25" i="26"/>
  <c r="Q25" i="33" s="1"/>
  <c r="Q27" i="26"/>
  <c r="Q27" i="33" s="1"/>
  <c r="Q21"/>
  <c r="Q26" i="26"/>
  <c r="Q26" i="33" s="1"/>
  <c r="H34" i="34"/>
  <c r="X34" i="33"/>
  <c r="AP34" i="34"/>
  <c r="CT34" i="33" s="1"/>
  <c r="Y34" i="34"/>
  <c r="CC30" i="33"/>
  <c r="AQ30" i="34"/>
  <c r="CU30" i="33" s="1"/>
  <c r="BL30"/>
  <c r="BC21"/>
  <c r="BC27" i="26"/>
  <c r="BC27" i="33" s="1"/>
  <c r="BC140" i="26"/>
  <c r="BC25"/>
  <c r="BC25" i="33" s="1"/>
  <c r="BC109" i="29"/>
  <c r="BC111" s="1"/>
  <c r="BC26" i="26"/>
  <c r="BC26" i="33" s="1"/>
  <c r="BC22" i="26"/>
  <c r="BC22" i="33" s="1"/>
  <c r="BF140" i="26"/>
  <c r="BF27"/>
  <c r="BF27" i="33" s="1"/>
  <c r="BF109" i="29"/>
  <c r="BF111" s="1"/>
  <c r="BF26" i="26"/>
  <c r="BF26" i="33" s="1"/>
  <c r="BF25" i="26"/>
  <c r="BF25" i="33" s="1"/>
  <c r="BF21"/>
  <c r="AZ31" i="34"/>
  <c r="AJ31" i="33"/>
  <c r="BC34" i="34"/>
  <c r="DM34" i="33" s="1"/>
  <c r="AM34"/>
  <c r="AM35"/>
  <c r="BC35" i="34"/>
  <c r="DM35" i="33" s="1"/>
  <c r="BR20"/>
  <c r="DD20"/>
  <c r="BD20" i="34"/>
  <c r="DN20" i="33" s="1"/>
  <c r="BF20" i="34"/>
  <c r="DP20" i="33" s="1"/>
  <c r="AF27"/>
  <c r="AV27" i="34"/>
  <c r="DF27" i="33" s="1"/>
  <c r="AF25"/>
  <c r="AV25" i="34"/>
  <c r="DF25" i="33" s="1"/>
  <c r="AA25"/>
  <c r="K25" i="34"/>
  <c r="BO25" i="33" s="1"/>
  <c r="AA27"/>
  <c r="K27" i="34"/>
  <c r="BO27" i="33" s="1"/>
  <c r="BM31"/>
  <c r="Q31" i="34"/>
  <c r="BD30"/>
  <c r="DN30" i="33" s="1"/>
  <c r="AO34" i="34"/>
  <c r="CS34" i="33" s="1"/>
  <c r="AO20" i="34"/>
  <c r="CS20" i="33" s="1"/>
  <c r="U16" i="26"/>
  <c r="U16" i="33" s="1"/>
  <c r="I16" i="26"/>
  <c r="I16" i="33" s="1"/>
  <c r="DC22"/>
  <c r="S16" i="26"/>
  <c r="S16" i="33" s="1"/>
  <c r="BE22" i="26"/>
  <c r="BE22" i="33" s="1"/>
  <c r="BE109" i="29"/>
  <c r="BE111" s="1"/>
  <c r="BE25" i="26"/>
  <c r="BE25" i="33" s="1"/>
  <c r="BE140" i="26"/>
  <c r="BE27"/>
  <c r="BE27" i="33" s="1"/>
  <c r="BE26" i="26"/>
  <c r="BE26" i="33" s="1"/>
  <c r="AJ21"/>
  <c r="AZ21" i="34"/>
  <c r="DJ21" i="33" s="1"/>
  <c r="AJ140" i="26"/>
  <c r="AJ109" i="29"/>
  <c r="AJ111" s="1"/>
  <c r="AJ25" i="26"/>
  <c r="AJ27"/>
  <c r="AJ26"/>
  <c r="I21" i="33"/>
  <c r="I140" i="26"/>
  <c r="I109" i="29"/>
  <c r="I111" s="1"/>
  <c r="I25" i="26"/>
  <c r="I25" i="33" s="1"/>
  <c r="I27" i="26"/>
  <c r="I27" i="33" s="1"/>
  <c r="I26" i="26"/>
  <c r="I26" i="33" s="1"/>
  <c r="O22" i="26"/>
  <c r="O22" i="33" s="1"/>
  <c r="AD16" i="26"/>
  <c r="AD16" i="33" s="1"/>
  <c r="CG21"/>
  <c r="AB27"/>
  <c r="AC27" i="34"/>
  <c r="I27"/>
  <c r="L27" s="1"/>
  <c r="Y27" i="33"/>
  <c r="Z27" i="34"/>
  <c r="CD27" i="33" s="1"/>
  <c r="Q16" i="26"/>
  <c r="Q16" i="33" s="1"/>
  <c r="AY21"/>
  <c r="AY109" i="29"/>
  <c r="AY111" s="1"/>
  <c r="AY27" i="26"/>
  <c r="AY27" i="33" s="1"/>
  <c r="AY25" i="26"/>
  <c r="AY25" i="33" s="1"/>
  <c r="AY26" i="26"/>
  <c r="AY26" i="33" s="1"/>
  <c r="AY140" i="26"/>
  <c r="BS20" i="33"/>
  <c r="P20" i="34"/>
  <c r="BT20" i="33" s="1"/>
  <c r="AK21"/>
  <c r="AK140" i="26"/>
  <c r="AK109" i="29"/>
  <c r="AK111" s="1"/>
  <c r="AK27" i="26"/>
  <c r="BA21" i="34"/>
  <c r="DK21" i="33" s="1"/>
  <c r="AK25" i="26"/>
  <c r="AK26"/>
  <c r="AA35" i="33"/>
  <c r="K35" i="34"/>
  <c r="BO35" i="33" s="1"/>
  <c r="AH22"/>
  <c r="AI22" i="34"/>
  <c r="CM22" i="33" s="1"/>
  <c r="X26"/>
  <c r="Y26" i="34"/>
  <c r="AP26"/>
  <c r="CT26" i="33" s="1"/>
  <c r="H26" i="34"/>
  <c r="X27" i="33"/>
  <c r="AP27" i="34"/>
  <c r="CT27" i="33" s="1"/>
  <c r="H27" i="34"/>
  <c r="Y27"/>
  <c r="BL21" i="33"/>
  <c r="AM22"/>
  <c r="BC22" i="34"/>
  <c r="DM22" i="33" s="1"/>
  <c r="AL27"/>
  <c r="BB27" i="34"/>
  <c r="DL27" i="33" s="1"/>
  <c r="AJ35"/>
  <c r="AZ35" i="34"/>
  <c r="DJ35" i="33" s="1"/>
  <c r="AJ36"/>
  <c r="AZ36" i="34"/>
  <c r="DJ36" i="33" s="1"/>
  <c r="BE36" i="34"/>
  <c r="DO36" i="33" s="1"/>
  <c r="AM31"/>
  <c r="BC31" i="34"/>
  <c r="DM31" i="33" s="1"/>
  <c r="AW16" i="26"/>
  <c r="AW16" i="33" s="1"/>
  <c r="AD22" i="26"/>
  <c r="K22" i="34"/>
  <c r="BO22" i="33" s="1"/>
  <c r="AA22"/>
  <c r="BI30" i="34"/>
  <c r="BU30" i="33"/>
  <c r="R30" i="34"/>
  <c r="S30" s="1"/>
  <c r="AH16" i="26"/>
  <c r="AH16" i="33" s="1"/>
  <c r="H21"/>
  <c r="H109" i="29"/>
  <c r="H111" s="1"/>
  <c r="H140" i="26"/>
  <c r="H27"/>
  <c r="H27" i="33" s="1"/>
  <c r="H25" i="26"/>
  <c r="H25" i="33" s="1"/>
  <c r="H26" i="26"/>
  <c r="H26" i="33" s="1"/>
  <c r="AI22" i="26"/>
  <c r="AL36" i="33"/>
  <c r="BB36" i="34"/>
  <c r="DL36" i="33" s="1"/>
  <c r="AL35"/>
  <c r="BB35" i="34"/>
  <c r="DL35" i="33" s="1"/>
  <c r="AO140" i="26"/>
  <c r="AO27"/>
  <c r="AO27" i="33" s="1"/>
  <c r="AO26" i="26"/>
  <c r="AO26" i="33" s="1"/>
  <c r="AO21"/>
  <c r="AO25" i="26"/>
  <c r="AO25" i="33" s="1"/>
  <c r="AO109" i="29"/>
  <c r="AO111" s="1"/>
  <c r="AE21" i="33"/>
  <c r="AE140" i="26"/>
  <c r="AE109" i="29"/>
  <c r="AE111" s="1"/>
  <c r="AE27" i="26"/>
  <c r="AE25"/>
  <c r="AU21" i="34"/>
  <c r="DE21" i="33" s="1"/>
  <c r="AE26" i="26"/>
  <c r="AA31" i="33"/>
  <c r="K31" i="34"/>
  <c r="BO31" i="33" s="1"/>
  <c r="AI16" i="26"/>
  <c r="AI16" i="33" s="1"/>
  <c r="AH25"/>
  <c r="AI25" i="34"/>
  <c r="CM25" i="33" s="1"/>
  <c r="BC25" i="34"/>
  <c r="DM25" i="33" s="1"/>
  <c r="AM25"/>
  <c r="AM27"/>
  <c r="BC27" i="34"/>
  <c r="DM27" i="33" s="1"/>
  <c r="AL22"/>
  <c r="BB22" i="34"/>
  <c r="DL22" i="33" s="1"/>
  <c r="U22" i="26"/>
  <c r="U22" i="33" s="1"/>
  <c r="T22" i="26"/>
  <c r="T22" i="33" s="1"/>
  <c r="Q22" i="26"/>
  <c r="Q22" i="33" s="1"/>
  <c r="X36"/>
  <c r="AP36" i="34"/>
  <c r="CT36" i="33" s="1"/>
  <c r="Y36" i="34"/>
  <c r="H36"/>
  <c r="X35" i="33"/>
  <c r="AP35" i="34"/>
  <c r="CT35" i="33" s="1"/>
  <c r="Y35" i="34"/>
  <c r="H35"/>
  <c r="BF22" i="26"/>
  <c r="BF22" i="33" s="1"/>
  <c r="AM36"/>
  <c r="BC36" i="34"/>
  <c r="DM36" i="33" s="1"/>
  <c r="AF26"/>
  <c r="AV26" i="34"/>
  <c r="DF26" i="33" s="1"/>
  <c r="AA26"/>
  <c r="K26" i="34"/>
  <c r="BO26" i="33" s="1"/>
  <c r="BE31" i="34"/>
  <c r="DO31" i="33" s="1"/>
  <c r="BE35" i="34"/>
  <c r="DO35" i="33" s="1"/>
  <c r="DS30" l="1"/>
  <c r="AO21" i="34"/>
  <c r="CS21" i="33" s="1"/>
  <c r="BF35" i="34"/>
  <c r="DP35" i="33" s="1"/>
  <c r="DW33"/>
  <c r="BM27"/>
  <c r="Q27" i="34"/>
  <c r="BI27" s="1"/>
  <c r="BM25" i="33"/>
  <c r="Q25" i="34"/>
  <c r="BM26" i="33"/>
  <c r="Q26" i="34"/>
  <c r="BI26" s="1"/>
  <c r="BZ33" i="33"/>
  <c r="DX33" s="1"/>
  <c r="BN33" i="34"/>
  <c r="W33"/>
  <c r="BG33" s="1"/>
  <c r="BO23"/>
  <c r="CA23" i="33"/>
  <c r="DY23" s="1"/>
  <c r="BU34"/>
  <c r="R34" i="34"/>
  <c r="R36"/>
  <c r="BU36" i="33"/>
  <c r="W24" i="34"/>
  <c r="BG24" s="1"/>
  <c r="BZ24" i="33"/>
  <c r="DX24" s="1"/>
  <c r="BN24" i="34"/>
  <c r="N31"/>
  <c r="BQ31" i="33"/>
  <c r="BP35"/>
  <c r="M35" i="34"/>
  <c r="BW30" i="33"/>
  <c r="DU30" s="1"/>
  <c r="BK30" i="34"/>
  <c r="T30"/>
  <c r="BP27" i="33"/>
  <c r="M27" i="34"/>
  <c r="BQ27" i="33" s="1"/>
  <c r="BM22"/>
  <c r="Q22" i="34"/>
  <c r="BI22" s="1"/>
  <c r="BP26" i="33"/>
  <c r="M26" i="34"/>
  <c r="BQ26" i="33" s="1"/>
  <c r="BP25"/>
  <c r="M25" i="34"/>
  <c r="BQ25" i="33" s="1"/>
  <c r="BJ20" i="34"/>
  <c r="BV20" i="33"/>
  <c r="DT20" s="1"/>
  <c r="S20" i="34"/>
  <c r="AR20" s="1"/>
  <c r="CV20" i="33" s="1"/>
  <c r="BK29" i="34"/>
  <c r="T29"/>
  <c r="BW29" i="33"/>
  <c r="DU29" s="1"/>
  <c r="BR30"/>
  <c r="O30" i="34"/>
  <c r="BR29" i="33"/>
  <c r="O29" i="34"/>
  <c r="BP34" i="33"/>
  <c r="M34" i="34"/>
  <c r="BP36" i="33"/>
  <c r="M36" i="34"/>
  <c r="T18"/>
  <c r="BW18" i="33"/>
  <c r="DU18" s="1"/>
  <c r="BK18" i="34"/>
  <c r="BO32"/>
  <c r="CA32" i="33"/>
  <c r="DY32" s="1"/>
  <c r="BU35"/>
  <c r="R35" i="34"/>
  <c r="R21"/>
  <c r="BU21" i="33"/>
  <c r="DS21" s="1"/>
  <c r="L22" i="34"/>
  <c r="BD34"/>
  <c r="DN34" i="33" s="1"/>
  <c r="BF34" i="34"/>
  <c r="DP34" i="33" s="1"/>
  <c r="BD36" i="34"/>
  <c r="DN36" i="33" s="1"/>
  <c r="BL36"/>
  <c r="BI36" i="34"/>
  <c r="CC35" i="33"/>
  <c r="AQ35" i="34"/>
  <c r="CU35" i="33" s="1"/>
  <c r="CC36"/>
  <c r="AQ36" i="34"/>
  <c r="CU36" i="33" s="1"/>
  <c r="BS21"/>
  <c r="P21" i="34"/>
  <c r="BT21" i="33" s="1"/>
  <c r="AE27"/>
  <c r="AU27" i="34"/>
  <c r="DE27" i="33" s="1"/>
  <c r="AJ22" i="34"/>
  <c r="CN22" i="33" s="1"/>
  <c r="AI22"/>
  <c r="BV30"/>
  <c r="DT30" s="1"/>
  <c r="BJ30" i="34"/>
  <c r="BP30" s="1"/>
  <c r="BL27" i="33"/>
  <c r="BA26" i="34"/>
  <c r="DK26" i="33" s="1"/>
  <c r="AK26"/>
  <c r="BA25" i="34"/>
  <c r="DK25" i="33" s="1"/>
  <c r="AK25"/>
  <c r="AK27"/>
  <c r="BA27" i="34"/>
  <c r="DK27" i="33" s="1"/>
  <c r="CG27"/>
  <c r="AJ26"/>
  <c r="AZ26" i="34"/>
  <c r="DJ26" i="33" s="1"/>
  <c r="AJ27"/>
  <c r="AZ27" i="34"/>
  <c r="DJ27" i="33" s="1"/>
  <c r="DJ31"/>
  <c r="BF31" i="34"/>
  <c r="DP31" i="33" s="1"/>
  <c r="BD31" i="34"/>
  <c r="DN31" i="33" s="1"/>
  <c r="BL34"/>
  <c r="DS34" s="1"/>
  <c r="BI34" i="34"/>
  <c r="BL22" i="33"/>
  <c r="CG22"/>
  <c r="AI25"/>
  <c r="AJ25" i="34"/>
  <c r="CN25" i="33" s="1"/>
  <c r="AT26" i="34"/>
  <c r="N26"/>
  <c r="O26" s="1"/>
  <c r="AD26" i="33"/>
  <c r="BE26" i="34"/>
  <c r="DO26" i="33" s="1"/>
  <c r="AT25" i="34"/>
  <c r="AD25" i="33"/>
  <c r="N25" i="34"/>
  <c r="O25" s="1"/>
  <c r="BE25"/>
  <c r="DO25" i="33" s="1"/>
  <c r="BL31"/>
  <c r="BK19" i="34"/>
  <c r="BW19" i="33"/>
  <c r="DU19" s="1"/>
  <c r="T19" i="34"/>
  <c r="BL25" i="33"/>
  <c r="CG26"/>
  <c r="CG25"/>
  <c r="AO25" i="34"/>
  <c r="CS25" i="33" s="1"/>
  <c r="AJ22"/>
  <c r="AZ22" i="34"/>
  <c r="DJ22" i="33" s="1"/>
  <c r="BD35" i="34"/>
  <c r="DN35" i="33" s="1"/>
  <c r="AR30" i="34"/>
  <c r="CV30" i="33" s="1"/>
  <c r="AP22" i="34"/>
  <c r="CT22" i="33" s="1"/>
  <c r="BL35"/>
  <c r="BI35" i="34"/>
  <c r="AE26" i="33"/>
  <c r="AU26" i="34"/>
  <c r="DE26" i="33" s="1"/>
  <c r="AU25" i="34"/>
  <c r="DE25" i="33" s="1"/>
  <c r="AE25"/>
  <c r="AD22"/>
  <c r="AT22" i="34"/>
  <c r="BE22"/>
  <c r="DO22" i="33" s="1"/>
  <c r="CC27"/>
  <c r="BL26"/>
  <c r="CC26"/>
  <c r="AJ25"/>
  <c r="AZ25" i="34"/>
  <c r="DJ25" i="33" s="1"/>
  <c r="BI31" i="34"/>
  <c r="BU31" i="33"/>
  <c r="DS31" s="1"/>
  <c r="R31" i="34"/>
  <c r="CC34" i="33"/>
  <c r="AQ34" i="34"/>
  <c r="CU34" i="33" s="1"/>
  <c r="BR19"/>
  <c r="O19" i="34"/>
  <c r="CC22" i="33"/>
  <c r="AE22"/>
  <c r="AU22" i="34"/>
  <c r="DE22" i="33" s="1"/>
  <c r="AI27"/>
  <c r="AJ27" i="34"/>
  <c r="CN27" i="33" s="1"/>
  <c r="AJ26" i="34"/>
  <c r="CN26" i="33" s="1"/>
  <c r="AI26"/>
  <c r="AD27"/>
  <c r="N27" i="34"/>
  <c r="O27" s="1"/>
  <c r="AT27"/>
  <c r="BE27"/>
  <c r="DO27" i="33" s="1"/>
  <c r="BR21"/>
  <c r="DD21"/>
  <c r="BF21" i="34"/>
  <c r="DP21" i="33" s="1"/>
  <c r="BD21" i="34"/>
  <c r="DN21" i="33" s="1"/>
  <c r="CC31"/>
  <c r="AQ31" i="34"/>
  <c r="CU31" i="33" s="1"/>
  <c r="AQ25" i="34"/>
  <c r="CU25" i="33" s="1"/>
  <c r="CC25"/>
  <c r="AK22"/>
  <c r="BA22" i="34"/>
  <c r="DK22" i="33" s="1"/>
  <c r="BF36" i="34"/>
  <c r="DP36" i="33" s="1"/>
  <c r="AQ21" i="34"/>
  <c r="CU21" i="33" s="1"/>
  <c r="AP25" i="34"/>
  <c r="CT25" i="33" s="1"/>
  <c r="DZ30" l="1"/>
  <c r="AQ22" i="34"/>
  <c r="CU22" i="33" s="1"/>
  <c r="DS35"/>
  <c r="AO22" i="34"/>
  <c r="CS22" i="33" s="1"/>
  <c r="DS36"/>
  <c r="DQ23"/>
  <c r="DQ32"/>
  <c r="S35" i="34"/>
  <c r="AR35" s="1"/>
  <c r="CV35" i="33" s="1"/>
  <c r="BJ35" i="34"/>
  <c r="BV35" i="33"/>
  <c r="DT35" s="1"/>
  <c r="U18" i="34"/>
  <c r="BX18" i="33"/>
  <c r="DV18" s="1"/>
  <c r="BL18" i="34"/>
  <c r="U29"/>
  <c r="BX29" i="33"/>
  <c r="DV29" s="1"/>
  <c r="BL29" i="34"/>
  <c r="T20"/>
  <c r="BK20"/>
  <c r="BW20" i="33"/>
  <c r="DU20" s="1"/>
  <c r="BR31"/>
  <c r="O31" i="34"/>
  <c r="S34"/>
  <c r="AR34" s="1"/>
  <c r="CV34" i="33" s="1"/>
  <c r="BV34"/>
  <c r="DT34" s="1"/>
  <c r="BJ34" i="34"/>
  <c r="BO33"/>
  <c r="CA33" i="33"/>
  <c r="DY33" s="1"/>
  <c r="S31" i="34"/>
  <c r="AR31" s="1"/>
  <c r="CV31" i="33" s="1"/>
  <c r="BP22"/>
  <c r="M22" i="34"/>
  <c r="S21"/>
  <c r="AR21" s="1"/>
  <c r="CV21" i="33" s="1"/>
  <c r="BJ21" i="34"/>
  <c r="BV21" i="33"/>
  <c r="DT21" s="1"/>
  <c r="BQ36"/>
  <c r="N36" i="34"/>
  <c r="N34"/>
  <c r="BQ34" i="33"/>
  <c r="BS29"/>
  <c r="P29" i="34"/>
  <c r="BT29" i="33" s="1"/>
  <c r="P30" i="34"/>
  <c r="BT30" i="33" s="1"/>
  <c r="BS30"/>
  <c r="BU22"/>
  <c r="DS22" s="1"/>
  <c r="R22" i="34"/>
  <c r="BX30" i="33"/>
  <c r="DV30" s="1"/>
  <c r="BL30" i="34"/>
  <c r="U30"/>
  <c r="BQ35" i="33"/>
  <c r="N35" i="34"/>
  <c r="CA24" i="33"/>
  <c r="BO24" i="34"/>
  <c r="S36"/>
  <c r="AR36" s="1"/>
  <c r="CV36" i="33" s="1"/>
  <c r="BV36"/>
  <c r="DT36" s="1"/>
  <c r="BJ36" i="34"/>
  <c r="BU26" i="33"/>
  <c r="DS26" s="1"/>
  <c r="R26" i="34"/>
  <c r="BU25" i="33"/>
  <c r="DS25" s="1"/>
  <c r="R25" i="34"/>
  <c r="BI25"/>
  <c r="R27"/>
  <c r="BU27" i="33"/>
  <c r="DS27" s="1"/>
  <c r="BR27"/>
  <c r="BS25"/>
  <c r="P25" i="34"/>
  <c r="BT25" i="33" s="1"/>
  <c r="BR26"/>
  <c r="BS27"/>
  <c r="P27" i="34"/>
  <c r="BT27" i="33" s="1"/>
  <c r="AQ26" i="34"/>
  <c r="CU26" i="33" s="1"/>
  <c r="AO27" i="34"/>
  <c r="CS27" i="33" s="1"/>
  <c r="DD27"/>
  <c r="BF27" i="34"/>
  <c r="DP27" i="33" s="1"/>
  <c r="BD27" i="34"/>
  <c r="DN27" i="33" s="1"/>
  <c r="BS19"/>
  <c r="P19" i="34"/>
  <c r="BT19" i="33" s="1"/>
  <c r="BJ31" i="34"/>
  <c r="BV31" i="33"/>
  <c r="DT31" s="1"/>
  <c r="DD22"/>
  <c r="BD22" i="34"/>
  <c r="DN22" i="33" s="1"/>
  <c r="BF22" i="34"/>
  <c r="DP22" i="33" s="1"/>
  <c r="BS26"/>
  <c r="P26" i="34"/>
  <c r="BT26" i="33" s="1"/>
  <c r="BL19" i="34"/>
  <c r="BX19" i="33"/>
  <c r="DV19" s="1"/>
  <c r="U19" i="34"/>
  <c r="BR25" i="33"/>
  <c r="DD25"/>
  <c r="BF25" i="34"/>
  <c r="DP25" i="33" s="1"/>
  <c r="BD25" i="34"/>
  <c r="DN25" i="33" s="1"/>
  <c r="DD26"/>
  <c r="BF26" i="34"/>
  <c r="DP26" i="33" s="1"/>
  <c r="BD26" i="34"/>
  <c r="DN26" i="33" s="1"/>
  <c r="AQ27" i="34"/>
  <c r="CU27" i="33" s="1"/>
  <c r="AO26" i="34"/>
  <c r="CS26" i="33" s="1"/>
  <c r="DY24" l="1"/>
  <c r="DQ24"/>
  <c r="DQ33"/>
  <c r="BV27"/>
  <c r="DT27" s="1"/>
  <c r="S27" i="34"/>
  <c r="BJ27"/>
  <c r="BJ25"/>
  <c r="BV25" i="33"/>
  <c r="DT25" s="1"/>
  <c r="S25" i="34"/>
  <c r="BV26" i="33"/>
  <c r="DT26" s="1"/>
  <c r="BJ26" i="34"/>
  <c r="S26"/>
  <c r="AR26" s="1"/>
  <c r="CV26" i="33" s="1"/>
  <c r="BK36" i="34"/>
  <c r="T36"/>
  <c r="BW36" i="33"/>
  <c r="DU36" s="1"/>
  <c r="BV22"/>
  <c r="DT22" s="1"/>
  <c r="S22" i="34"/>
  <c r="AR22" s="1"/>
  <c r="CV22" i="33" s="1"/>
  <c r="BJ22" i="34"/>
  <c r="BQ22" i="33"/>
  <c r="N22" i="34"/>
  <c r="BK31"/>
  <c r="T31"/>
  <c r="BW31" i="33"/>
  <c r="DU31" s="1"/>
  <c r="BK34" i="34"/>
  <c r="T34"/>
  <c r="BW34" i="33"/>
  <c r="DU34" s="1"/>
  <c r="BY29"/>
  <c r="DW29" s="1"/>
  <c r="V29" i="34"/>
  <c r="BM29"/>
  <c r="BK35"/>
  <c r="T35"/>
  <c r="BW35" i="33"/>
  <c r="DU35" s="1"/>
  <c r="BR35"/>
  <c r="O35" i="34"/>
  <c r="BY30" i="33"/>
  <c r="DW30" s="1"/>
  <c r="V30" i="34"/>
  <c r="BM30"/>
  <c r="BR34" i="33"/>
  <c r="O34" i="34"/>
  <c r="BR36" i="33"/>
  <c r="O36" i="34"/>
  <c r="T21"/>
  <c r="BW21" i="33"/>
  <c r="DU21" s="1"/>
  <c r="DZ21" s="1"/>
  <c r="BK21" i="34"/>
  <c r="BP21" s="1"/>
  <c r="BS31" i="33"/>
  <c r="P31" i="34"/>
  <c r="BT31" i="33" s="1"/>
  <c r="U20" i="34"/>
  <c r="BL20"/>
  <c r="BX20" i="33"/>
  <c r="DV20" s="1"/>
  <c r="BM18" i="34"/>
  <c r="V18"/>
  <c r="BY18" i="33"/>
  <c r="BM19" i="34"/>
  <c r="BY19" i="33"/>
  <c r="DW19" s="1"/>
  <c r="V19" i="34"/>
  <c r="DW18" i="33" l="1"/>
  <c r="U21" i="34"/>
  <c r="BX21" i="33"/>
  <c r="DV21" s="1"/>
  <c r="BL21" i="34"/>
  <c r="BN30"/>
  <c r="BZ30" i="33"/>
  <c r="DX30" s="1"/>
  <c r="W30" i="34"/>
  <c r="BS35" i="33"/>
  <c r="P35" i="34"/>
  <c r="BT35" i="33" s="1"/>
  <c r="W29" i="34"/>
  <c r="BG29" s="1"/>
  <c r="BZ29" i="33"/>
  <c r="DX29" s="1"/>
  <c r="BN29" i="34"/>
  <c r="BL31"/>
  <c r="U31"/>
  <c r="BX31" i="33"/>
  <c r="DV31" s="1"/>
  <c r="O22" i="34"/>
  <c r="BR22" i="33"/>
  <c r="U36" i="34"/>
  <c r="BL36"/>
  <c r="BX36" i="33"/>
  <c r="DV36" s="1"/>
  <c r="T26" i="34"/>
  <c r="BK26"/>
  <c r="BW26" i="33"/>
  <c r="DU26" s="1"/>
  <c r="BZ18"/>
  <c r="DX18" s="1"/>
  <c r="BN18" i="34"/>
  <c r="W18"/>
  <c r="BG18" s="1"/>
  <c r="BY20" i="33"/>
  <c r="BM20" i="34"/>
  <c r="V20"/>
  <c r="BS36" i="33"/>
  <c r="P36" i="34"/>
  <c r="BT36" i="33" s="1"/>
  <c r="BS34"/>
  <c r="P34" i="34"/>
  <c r="BT34" i="33" s="1"/>
  <c r="BL35" i="34"/>
  <c r="U35"/>
  <c r="BX35" i="33"/>
  <c r="DV35" s="1"/>
  <c r="BX34"/>
  <c r="DV34" s="1"/>
  <c r="BL34" i="34"/>
  <c r="U34"/>
  <c r="T22"/>
  <c r="BK22"/>
  <c r="BW22" i="33"/>
  <c r="DU22" s="1"/>
  <c r="AR25" i="34"/>
  <c r="CV25" i="33" s="1"/>
  <c r="T25" i="34"/>
  <c r="BK25"/>
  <c r="BW25" i="33"/>
  <c r="DU25" s="1"/>
  <c r="AR27" i="34"/>
  <c r="CV27" i="33" s="1"/>
  <c r="T27" i="34"/>
  <c r="BK27"/>
  <c r="BW27" i="33"/>
  <c r="DU27" s="1"/>
  <c r="BN19" i="34"/>
  <c r="BZ19" i="33"/>
  <c r="DX19" s="1"/>
  <c r="W19" i="34"/>
  <c r="DW20" i="33" l="1"/>
  <c r="BY34"/>
  <c r="DW34" s="1"/>
  <c r="BM34" i="34"/>
  <c r="V34"/>
  <c r="BM35"/>
  <c r="V35"/>
  <c r="BY35" i="33"/>
  <c r="DW35" s="1"/>
  <c r="U27" i="34"/>
  <c r="BL27"/>
  <c r="BX27" i="33"/>
  <c r="DV27" s="1"/>
  <c r="BL25" i="34"/>
  <c r="BX25" i="33"/>
  <c r="DV25" s="1"/>
  <c r="U25" i="34"/>
  <c r="U22"/>
  <c r="BL22"/>
  <c r="BX22" i="33"/>
  <c r="DV22" s="1"/>
  <c r="CA18"/>
  <c r="DY18" s="1"/>
  <c r="BO18" i="34"/>
  <c r="BY36" i="33"/>
  <c r="DW36" s="1"/>
  <c r="BM36" i="34"/>
  <c r="V36"/>
  <c r="P22"/>
  <c r="BS22" i="33"/>
  <c r="BM31" i="34"/>
  <c r="BY31" i="33"/>
  <c r="DW31" s="1"/>
  <c r="V31" i="34"/>
  <c r="BO29"/>
  <c r="CA29" i="33"/>
  <c r="BM21" i="34"/>
  <c r="V21"/>
  <c r="BY21" i="33"/>
  <c r="BZ20"/>
  <c r="DX20" s="1"/>
  <c r="BN20" i="34"/>
  <c r="W20"/>
  <c r="U26"/>
  <c r="BL26"/>
  <c r="BX26" i="33"/>
  <c r="DV26" s="1"/>
  <c r="BG30" i="34"/>
  <c r="CA30" i="33"/>
  <c r="BO30" i="34"/>
  <c r="BQ30" s="1"/>
  <c r="BO19"/>
  <c r="CA19" i="33"/>
  <c r="DY19" s="1"/>
  <c r="DY29" l="1"/>
  <c r="DQ29"/>
  <c r="DY30"/>
  <c r="EA30" s="1"/>
  <c r="DQ30"/>
  <c r="DW21"/>
  <c r="DQ18"/>
  <c r="BT22"/>
  <c r="BG20" i="34"/>
  <c r="BO20"/>
  <c r="CA20" i="33"/>
  <c r="DY20" s="1"/>
  <c r="BN21" i="34"/>
  <c r="W21"/>
  <c r="BG21" s="1"/>
  <c r="BZ21" i="33"/>
  <c r="DX21" s="1"/>
  <c r="BN31" i="34"/>
  <c r="BZ31" i="33"/>
  <c r="W31" i="34"/>
  <c r="BG31" s="1"/>
  <c r="BM22"/>
  <c r="V22"/>
  <c r="BY22" i="33"/>
  <c r="DW22" s="1"/>
  <c r="BM27" i="34"/>
  <c r="BY27" i="33"/>
  <c r="V27" i="34"/>
  <c r="BN35"/>
  <c r="BZ35" i="33"/>
  <c r="W35" i="34"/>
  <c r="BN34"/>
  <c r="BZ34" i="33"/>
  <c r="W34" i="34"/>
  <c r="BG34" s="1"/>
  <c r="BY26" i="33"/>
  <c r="BM26" i="34"/>
  <c r="V26"/>
  <c r="W36"/>
  <c r="BG36" s="1"/>
  <c r="BZ36" i="33"/>
  <c r="DX36" s="1"/>
  <c r="BN36" i="34"/>
  <c r="BM25"/>
  <c r="BY25" i="33"/>
  <c r="DW25" s="1"/>
  <c r="V25" i="34"/>
  <c r="DX35" i="33" l="1"/>
  <c r="DW26"/>
  <c r="DX34"/>
  <c r="DW27"/>
  <c r="DX31"/>
  <c r="DQ20"/>
  <c r="BN25" i="34"/>
  <c r="W25"/>
  <c r="BG25" s="1"/>
  <c r="BZ25" i="33"/>
  <c r="DX25" s="1"/>
  <c r="BG35" i="34"/>
  <c r="CA35" i="33"/>
  <c r="DY35" s="1"/>
  <c r="BO35" i="34"/>
  <c r="CA36" i="33"/>
  <c r="BO36" i="34"/>
  <c r="BO34"/>
  <c r="CA34" i="33"/>
  <c r="DY34" s="1"/>
  <c r="BN27" i="34"/>
  <c r="BZ27" i="33"/>
  <c r="DX27" s="1"/>
  <c r="W27" i="34"/>
  <c r="BG27" s="1"/>
  <c r="W22"/>
  <c r="BG22" s="1"/>
  <c r="BZ22" i="33"/>
  <c r="DX22" s="1"/>
  <c r="BN22" i="34"/>
  <c r="CA31" i="33"/>
  <c r="DY31" s="1"/>
  <c r="BO31" i="34"/>
  <c r="CA21" i="33"/>
  <c r="BO21" i="34"/>
  <c r="BQ21" s="1"/>
  <c r="BN26"/>
  <c r="W26"/>
  <c r="BZ26" i="33"/>
  <c r="DX26" s="1"/>
  <c r="DQ31" l="1"/>
  <c r="DQ35"/>
  <c r="DY21"/>
  <c r="EA21" s="1"/>
  <c r="DQ21"/>
  <c r="DY36"/>
  <c r="DQ36"/>
  <c r="DQ34"/>
  <c r="BG26" i="34"/>
  <c r="BO26"/>
  <c r="CA26" i="33"/>
  <c r="DY26" s="1"/>
  <c r="BO22" i="34"/>
  <c r="CA22" i="33"/>
  <c r="BO27" i="34"/>
  <c r="CA27" i="33"/>
  <c r="DY27" s="1"/>
  <c r="CA25"/>
  <c r="DY25" s="1"/>
  <c r="BO25" i="34"/>
  <c r="DQ26" i="33" l="1"/>
  <c r="DQ27"/>
  <c r="DY22"/>
  <c r="DQ22"/>
  <c r="DQ25"/>
</calcChain>
</file>

<file path=xl/comments1.xml><?xml version="1.0" encoding="utf-8"?>
<comments xmlns="http://schemas.openxmlformats.org/spreadsheetml/2006/main">
  <authors>
    <author>HAZEBROUCK</author>
  </authors>
  <commentList>
    <comment ref="BH9" authorId="0">
      <text>
        <r>
          <rPr>
            <b/>
            <sz val="8"/>
            <color indexed="81"/>
            <rFont val="Tahoma"/>
            <family val="2"/>
          </rPr>
          <t>HAZEBROUCK:</t>
        </r>
        <r>
          <rPr>
            <sz val="8"/>
            <color indexed="81"/>
            <rFont val="Tahoma"/>
            <family val="2"/>
          </rPr>
          <t xml:space="preserve">
</t>
        </r>
        <r>
          <rPr>
            <sz val="12"/>
            <color indexed="81"/>
            <rFont val="Tahoma"/>
            <family val="2"/>
          </rPr>
          <t>RfD= 0,1 µg. kg-1.j-1 à partir du sang et tx absorption orale de 95% ==&gt; dériv° avec taux absorption par inhalation de 100% (poids des pers.: femmes de 60 kg)</t>
        </r>
      </text>
    </comment>
    <comment ref="J11" authorId="0">
      <text>
        <r>
          <rPr>
            <b/>
            <sz val="8"/>
            <color indexed="81"/>
            <rFont val="Tahoma"/>
            <family val="2"/>
          </rPr>
          <t>HAZEBROUCK:</t>
        </r>
        <r>
          <rPr>
            <sz val="8"/>
            <color indexed="81"/>
            <rFont val="Tahoma"/>
            <family val="2"/>
          </rPr>
          <t xml:space="preserve">
vérification 2011</t>
        </r>
      </text>
    </comment>
    <comment ref="K11" authorId="0">
      <text>
        <r>
          <rPr>
            <b/>
            <sz val="8"/>
            <color indexed="81"/>
            <rFont val="Tahoma"/>
            <family val="2"/>
          </rPr>
          <t>HAZEBROUCK:</t>
        </r>
        <r>
          <rPr>
            <sz val="8"/>
            <color indexed="81"/>
            <rFont val="Tahoma"/>
            <family val="2"/>
          </rPr>
          <t xml:space="preserve">
US EPA IRIS: 0,1 mg/m3</t>
        </r>
      </text>
    </comment>
    <comment ref="L11" authorId="0">
      <text>
        <r>
          <rPr>
            <b/>
            <sz val="8"/>
            <color indexed="81"/>
            <rFont val="Tahoma"/>
            <family val="2"/>
          </rPr>
          <t>HAZEBROUCK:</t>
        </r>
        <r>
          <rPr>
            <sz val="8"/>
            <color indexed="81"/>
            <rFont val="Tahoma"/>
            <family val="2"/>
          </rPr>
          <t xml:space="preserve">
Valeur provisoire de  RIVM (prise dans ETS) ici remplacée par définitive</t>
        </r>
      </text>
    </comment>
    <comment ref="M11" authorId="0">
      <text>
        <r>
          <rPr>
            <b/>
            <sz val="8"/>
            <color indexed="81"/>
            <rFont val="Tahoma"/>
            <family val="2"/>
          </rPr>
          <t>HAZEBROUCK:</t>
        </r>
        <r>
          <rPr>
            <sz val="8"/>
            <color indexed="81"/>
            <rFont val="Tahoma"/>
            <family val="2"/>
          </rPr>
          <t xml:space="preserve">
Valeur provisoire de  RIVM (prise dans ETS) ici remplacée par définitive</t>
        </r>
      </text>
    </comment>
    <comment ref="AA11" authorId="0">
      <text>
        <r>
          <rPr>
            <b/>
            <sz val="8"/>
            <color indexed="81"/>
            <rFont val="Tahoma"/>
            <family val="2"/>
          </rPr>
          <t>HAZEBROUCK:</t>
        </r>
        <r>
          <rPr>
            <sz val="8"/>
            <color indexed="81"/>
            <rFont val="Tahoma"/>
            <family val="2"/>
          </rPr>
          <t xml:space="preserve">
</t>
        </r>
        <r>
          <rPr>
            <sz val="10"/>
            <color indexed="81"/>
            <rFont val="Tahoma"/>
            <family val="2"/>
          </rPr>
          <t>ATSDR, 2007: 0,218 = choix de Aurélie</t>
        </r>
      </text>
    </comment>
    <comment ref="BD11" authorId="0">
      <text>
        <r>
          <rPr>
            <b/>
            <sz val="8"/>
            <color indexed="81"/>
            <rFont val="Tahoma"/>
            <family val="2"/>
          </rPr>
          <t>HAZEBROUCK:</t>
        </r>
        <r>
          <rPr>
            <sz val="8"/>
            <color indexed="81"/>
            <rFont val="Tahoma"/>
            <family val="2"/>
          </rPr>
          <t xml:space="preserve">
INERIS: choix OEHHA, 2003: 0,2 mg/m3.</t>
        </r>
      </text>
    </comment>
    <comment ref="BG11" authorId="0">
      <text>
        <r>
          <rPr>
            <b/>
            <sz val="8"/>
            <color indexed="81"/>
            <rFont val="Tahoma"/>
            <family val="2"/>
          </rPr>
          <t>HAZEBROUCK:</t>
        </r>
        <r>
          <rPr>
            <sz val="8"/>
            <color indexed="81"/>
            <rFont val="Tahoma"/>
            <family val="2"/>
          </rPr>
          <t xml:space="preserve">
Choix INERIS 2011</t>
        </r>
      </text>
    </comment>
    <comment ref="K14" authorId="0">
      <text>
        <r>
          <rPr>
            <b/>
            <sz val="8"/>
            <color indexed="81"/>
            <rFont val="Tahoma"/>
            <family val="2"/>
          </rPr>
          <t>HAZEBROUCK:</t>
        </r>
        <r>
          <rPr>
            <sz val="8"/>
            <color indexed="81"/>
            <rFont val="Tahoma"/>
            <family val="2"/>
          </rPr>
          <t xml:space="preserve">
IRIS. 4,4E-3</t>
        </r>
      </text>
    </comment>
    <comment ref="P17" authorId="0">
      <text>
        <r>
          <rPr>
            <b/>
            <sz val="8"/>
            <color indexed="81"/>
            <rFont val="Tahoma"/>
            <family val="2"/>
          </rPr>
          <t>HAZEBROUCK:</t>
        </r>
        <r>
          <rPr>
            <sz val="8"/>
            <color indexed="81"/>
            <rFont val="Tahoma"/>
            <family val="2"/>
          </rPr>
          <t xml:space="preserve">
(US EPA Draft ERUi = 2.10-6 à 2.10-5
(Sg/m3)-1)</t>
        </r>
      </text>
    </comment>
    <comment ref="Q17" authorId="0">
      <text>
        <r>
          <rPr>
            <b/>
            <sz val="8"/>
            <color indexed="81"/>
            <rFont val="Tahoma"/>
            <family val="2"/>
          </rPr>
          <t>HAZEBROUCK:</t>
        </r>
        <r>
          <rPr>
            <sz val="8"/>
            <color indexed="81"/>
            <rFont val="Tahoma"/>
            <family val="2"/>
          </rPr>
          <t xml:space="preserve">
(US EPA Draft ERUi = 2.10-6 à 2.10-5
(Sg/m3)-1)</t>
        </r>
      </text>
    </comment>
    <comment ref="X17" authorId="0">
      <text>
        <r>
          <rPr>
            <b/>
            <sz val="10"/>
            <color indexed="81"/>
            <rFont val="Tahoma"/>
            <family val="2"/>
          </rPr>
          <t>HAZEBROUCK:</t>
        </r>
        <r>
          <rPr>
            <sz val="10"/>
            <color indexed="81"/>
            <rFont val="Tahoma"/>
            <family val="2"/>
          </rPr>
          <t xml:space="preserve">
valeur  retenue  par  le  conseil  suprieur  d’hygine  publique  de  France  dans  le
cadre  de  la  directive  relative    la  pollution  de  l'air  ambiant  (1997).  Il  s’agit  de  la  valeur
retenue par la directive de la qualit de l’air et confirme en 2000 par l’OMS.
(par ailleursVGAI 0,02 mg/m3)
</t>
        </r>
      </text>
    </comment>
    <comment ref="BF17" authorId="0">
      <text>
        <r>
          <rPr>
            <b/>
            <sz val="8"/>
            <color indexed="81"/>
            <rFont val="Tahoma"/>
            <family val="2"/>
          </rPr>
          <t>HAZEBROUCK:</t>
        </r>
        <r>
          <rPr>
            <sz val="8"/>
            <color indexed="81"/>
            <rFont val="Tahoma"/>
            <family val="2"/>
          </rPr>
          <t xml:space="preserve">
Expo adulte seule: ERU =A 0,11</t>
        </r>
      </text>
    </comment>
    <comment ref="AM22" authorId="0">
      <text>
        <r>
          <rPr>
            <b/>
            <sz val="8"/>
            <color indexed="81"/>
            <rFont val="Tahoma"/>
            <family val="2"/>
          </rPr>
          <t>HAZEBROUCK:</t>
        </r>
        <r>
          <rPr>
            <sz val="8"/>
            <color indexed="81"/>
            <rFont val="Tahoma"/>
            <family val="2"/>
          </rPr>
          <t xml:space="preserve">
</t>
        </r>
        <r>
          <rPr>
            <sz val="10"/>
            <color indexed="81"/>
            <rFont val="Tahoma"/>
            <family val="2"/>
          </rPr>
          <t>Approximation d'apès gamme + large TPH</t>
        </r>
      </text>
    </comment>
    <comment ref="H24" authorId="0">
      <text>
        <r>
          <rPr>
            <b/>
            <sz val="8"/>
            <color indexed="81"/>
            <rFont val="Tahoma"/>
            <family val="2"/>
          </rPr>
          <t>HAZEBROUCK:</t>
        </r>
        <r>
          <rPr>
            <sz val="8"/>
            <color indexed="81"/>
            <rFont val="Tahoma"/>
            <family val="2"/>
          </rPr>
          <t xml:space="preserve">
HSDB: Diffusion coefficient: 0.025 sq m/hr in air at 0 deg C and 1 atm</t>
        </r>
      </text>
    </comment>
    <comment ref="BH24" authorId="0">
      <text>
        <r>
          <rPr>
            <b/>
            <sz val="8"/>
            <color indexed="81"/>
            <rFont val="Tahoma"/>
            <family val="2"/>
          </rPr>
          <t>HAZEBROUCK:</t>
        </r>
        <r>
          <rPr>
            <sz val="8"/>
            <color indexed="81"/>
            <rFont val="Tahoma"/>
            <family val="2"/>
          </rPr>
          <t xml:space="preserve">
Fiche INERIS 2010</t>
        </r>
      </text>
    </comment>
    <comment ref="BD32" authorId="0">
      <text>
        <r>
          <rPr>
            <b/>
            <sz val="8"/>
            <color indexed="81"/>
            <rFont val="Tahoma"/>
            <family val="2"/>
          </rPr>
          <t>HAZEBROUCK:</t>
        </r>
        <r>
          <rPr>
            <sz val="8"/>
            <color indexed="81"/>
            <rFont val="Tahoma"/>
            <family val="2"/>
          </rPr>
          <t xml:space="preserve">
HSDB, vdb94: 1,46</t>
        </r>
      </text>
    </comment>
    <comment ref="K34" authorId="0">
      <text>
        <r>
          <rPr>
            <b/>
            <sz val="8"/>
            <color indexed="81"/>
            <rFont val="Tahoma"/>
            <family val="2"/>
          </rPr>
          <t>HAZEBROUCK:</t>
        </r>
        <r>
          <rPr>
            <sz val="8"/>
            <color indexed="81"/>
            <rFont val="Tahoma"/>
            <family val="2"/>
          </rPr>
          <t xml:space="preserve">
ATSDR: 1,99 ; T:nd,  mesure ou pas: nd</t>
        </r>
      </text>
    </comment>
    <comment ref="N35" authorId="0">
      <text>
        <r>
          <rPr>
            <b/>
            <sz val="8"/>
            <color indexed="81"/>
            <rFont val="Tahoma"/>
            <family val="2"/>
          </rPr>
          <t>HAZEBROUCK:</t>
        </r>
        <r>
          <rPr>
            <sz val="8"/>
            <color indexed="81"/>
            <rFont val="Tahoma"/>
            <family val="2"/>
          </rPr>
          <t xml:space="preserve">
F. INERIS: (1) les valeurs rapportées dans la littérature varient de 30 à plus de 1 000 (ATSDR, 1995), Hempfling et al., 1997,
IUCLID, 1996, STF, 1991, US EPA, 1996). La valeur proposée est une moyenne géométrique d’une vingtaine de
valeurs mesurées sur des sols sableux, limoneux, silteux… (variant entre 70 et 190 L/kg, la majorité se situant
dans l’intervalle 90 - 140 L/kg), rapportées dans les bases IUCLID (1996) et STF (1991) et le document de l’US EPA
(1996).</t>
        </r>
      </text>
    </comment>
    <comment ref="O35" authorId="0">
      <text>
        <r>
          <rPr>
            <b/>
            <sz val="8"/>
            <color indexed="81"/>
            <rFont val="Tahoma"/>
            <family val="2"/>
          </rPr>
          <t>HAZEBROUCK:</t>
        </r>
        <r>
          <rPr>
            <sz val="8"/>
            <color indexed="81"/>
            <rFont val="Tahoma"/>
            <family val="2"/>
          </rPr>
          <t xml:space="preserve">
F. INERIS: (1) les valeurs rapportées dans la littérature varient de 30 à plus de 1 000 (ATSDR, 1995), Hempfling et al., 1997,
IUCLID, 1996, STF, 1991, US EPA, 1996). La valeur proposée est une moyenne géométrique d’une vingtaine de
valeurs mesurées sur des sols sableux, limoneux, silteux… (variant entre 70 et 190 L/kg, la majorité se situant
dans l’intervalle 90 - 140 L/kg), rapportées dans les bases IUCLID (1996) et STF (1991) et le document de l’US EPA
(1996).</t>
        </r>
      </text>
    </comment>
    <comment ref="P35" authorId="0">
      <text>
        <r>
          <rPr>
            <b/>
            <sz val="8"/>
            <color indexed="81"/>
            <rFont val="Tahoma"/>
            <family val="2"/>
          </rPr>
          <t>HAZEBROUCK:</t>
        </r>
        <r>
          <rPr>
            <sz val="8"/>
            <color indexed="81"/>
            <rFont val="Tahoma"/>
            <family val="2"/>
          </rPr>
          <t xml:space="preserve">
F. INERIS:(1) Les valeurs rapportées dans la littérature varient de 80 à plus de 1 000 L.kg-1 (ATSDR, 1997 ; Hempfling et al.,
1997 ; IUCLID, 1996). La valeur proposée est une moyenne géométrique d’une dizaine de valeurs mesurées sur des sols
sableux, limoneux, argileux (variant entre 200 et 360 L.kg-1), rapportées dans la base STF (1991) et le document de
l’US EPA (1996).</t>
        </r>
      </text>
    </comment>
    <comment ref="Q35" authorId="0">
      <text>
        <r>
          <rPr>
            <b/>
            <sz val="8"/>
            <color indexed="81"/>
            <rFont val="Tahoma"/>
            <family val="2"/>
          </rPr>
          <t>HAZEBROUCK:</t>
        </r>
        <r>
          <rPr>
            <sz val="8"/>
            <color indexed="81"/>
            <rFont val="Tahoma"/>
            <family val="2"/>
          </rPr>
          <t xml:space="preserve">
F. INERIS:(1) Les valeurs rapportées dans la littérature varient de 80 à plus de 1 000 L.kg-1 (ATSDR, 1997 ; Hempfling et al.,
1997 ; IUCLID, 1996). La valeur proposée est une moyenne géométrique d’une dizaine de valeurs mesurées sur des sols
sableux, limoneux, argileux (variant entre 200 et 360 L.kg-1), rapportées dans la base STF (1991) et le document de
l’US EPA (1996).</t>
        </r>
      </text>
    </comment>
    <comment ref="S35" authorId="0">
      <text>
        <r>
          <rPr>
            <b/>
            <sz val="8"/>
            <color indexed="81"/>
            <rFont val="Tahoma"/>
            <family val="2"/>
          </rPr>
          <t>HAZEBROUCK:</t>
        </r>
        <r>
          <rPr>
            <sz val="8"/>
            <color indexed="81"/>
            <rFont val="Tahoma"/>
            <family val="2"/>
          </rPr>
          <t xml:space="preserve">
F. Ineris:(4) Moyenne géométrique de 10 valeurs comprises entre 28 et 251 ; d'autres valeurs citées correspondent à des
limites inférieures et supérieures de séries pour lesquelles les valeurs individuelles ne sont pas précisées (cas
de la valeur extrême 650).</t>
        </r>
      </text>
    </comment>
    <comment ref="T35" authorId="0">
      <text>
        <r>
          <rPr>
            <b/>
            <sz val="8"/>
            <color indexed="81"/>
            <rFont val="Tahoma"/>
            <family val="2"/>
          </rPr>
          <t>HAZEBROUCK:</t>
        </r>
        <r>
          <rPr>
            <sz val="8"/>
            <color indexed="81"/>
            <rFont val="Tahoma"/>
            <family val="2"/>
          </rPr>
          <t xml:space="preserve">
F. Ineris:(4) Moyenne géométrique de 10 valeurs comprises entre 28 et 251 ; d'autres valeurs citées correspondent à des
limites inférieures et supérieures de séries pour lesquelles les valeurs individuelles ne sont pas précisées (cas
de la valeur extrême 650).</t>
        </r>
      </text>
    </comment>
    <comment ref="K37" authorId="0">
      <text>
        <r>
          <rPr>
            <b/>
            <sz val="8"/>
            <color indexed="81"/>
            <rFont val="Tahoma"/>
            <family val="2"/>
          </rPr>
          <t>HAZEBROUCK:</t>
        </r>
        <r>
          <rPr>
            <sz val="8"/>
            <color indexed="81"/>
            <rFont val="Tahoma"/>
            <family val="2"/>
          </rPr>
          <t xml:space="preserve">
F. INERIS: 8-98, peu d'info ou calculé de Kow, S, MCI</t>
        </r>
      </text>
    </comment>
    <comment ref="BD37" authorId="0">
      <text>
        <r>
          <rPr>
            <b/>
            <sz val="10"/>
            <color indexed="81"/>
            <rFont val="Tahoma"/>
            <family val="2"/>
          </rPr>
          <t>HAZEBROUCK:</t>
        </r>
        <r>
          <rPr>
            <sz val="10"/>
            <color indexed="81"/>
            <rFont val="Tahoma"/>
            <family val="2"/>
          </rPr>
          <t xml:space="preserve">
F. INERIS:  tant donne l’tendue des valeurs, aucune moyenne exprimentale n’a t ralise:  valeur de 83 L/kg,
obtenue par  calcul  (log Koc  =  0,57  x  log Kow + 1,08,  d’aprs  TGD). </t>
        </r>
      </text>
    </comment>
    <comment ref="J38" authorId="0">
      <text>
        <r>
          <rPr>
            <b/>
            <sz val="8"/>
            <color indexed="81"/>
            <rFont val="Tahoma"/>
            <family val="2"/>
          </rPr>
          <t>HAZEBROUCK:</t>
        </r>
        <r>
          <rPr>
            <sz val="8"/>
            <color indexed="81"/>
            <rFont val="Tahoma"/>
            <family val="2"/>
          </rPr>
          <t xml:space="preserve">
HSDB: In water, 3.53X10+5 mg/L at 10 deg C; 1.9X10+5 mg/L at 90 deg C
[Verschueren, K. Handbook of Environmental Data on Organic Chemicals. Volumes 1-2. 4th ed. John Wiley &amp; Sons. New York, NY. 2001, p. V2: 1492] **PEER REVIEWED**
In water, 2.23X10+5 mg/L at 25 deg C
[Taft RW et al; Nature 313: 384-6 (1985)] **PEER REVIEWED** 
ATSDR: 1,36 E5 à 25°C</t>
        </r>
      </text>
    </comment>
    <comment ref="BG38" authorId="0">
      <text>
        <r>
          <rPr>
            <b/>
            <sz val="8"/>
            <color indexed="81"/>
            <rFont val="Tahoma"/>
            <family val="2"/>
          </rPr>
          <t>HAZEBROUCK:</t>
        </r>
        <r>
          <rPr>
            <sz val="8"/>
            <color indexed="81"/>
            <rFont val="Tahoma"/>
            <family val="2"/>
          </rPr>
          <t xml:space="preserve">
à 20°C Portail ineris</t>
        </r>
      </text>
    </comment>
    <comment ref="BH38" authorId="0">
      <text>
        <r>
          <rPr>
            <b/>
            <sz val="8"/>
            <color indexed="81"/>
            <rFont val="Tahoma"/>
            <family val="2"/>
          </rPr>
          <t>HAZEBROUCK:</t>
        </r>
        <r>
          <rPr>
            <sz val="8"/>
            <color indexed="81"/>
            <rFont val="Tahoma"/>
            <family val="2"/>
          </rPr>
          <t xml:space="preserve">
25°C, fiche INERIS</t>
        </r>
      </text>
    </comment>
    <comment ref="J39" authorId="0">
      <text>
        <r>
          <rPr>
            <b/>
            <sz val="8"/>
            <color indexed="81"/>
            <rFont val="Tahoma"/>
            <family val="2"/>
          </rPr>
          <t>HAZEBROUCK:</t>
        </r>
        <r>
          <rPr>
            <sz val="8"/>
            <color indexed="81"/>
            <rFont val="Tahoma"/>
            <family val="2"/>
          </rPr>
          <t xml:space="preserve">
Retenu car + pénalisant ici, même si H à 25°C (==&gt; HxS surestimé; ne jouera pas)</t>
        </r>
      </text>
    </comment>
    <comment ref="K41" authorId="0">
      <text>
        <r>
          <rPr>
            <b/>
            <sz val="10"/>
            <color indexed="81"/>
            <rFont val="Tahoma"/>
            <family val="2"/>
          </rPr>
          <t>HAZEBROUCK:</t>
        </r>
        <r>
          <rPr>
            <sz val="10"/>
            <color indexed="81"/>
            <rFont val="Tahoma"/>
            <family val="2"/>
          </rPr>
          <t xml:space="preserve">
hsdb:2,8E3 =  =0,0278*101300 à 25°C</t>
        </r>
      </text>
    </comment>
    <comment ref="U41" authorId="0">
      <text>
        <r>
          <rPr>
            <b/>
            <sz val="8"/>
            <color indexed="81"/>
            <rFont val="Tahoma"/>
            <family val="2"/>
          </rPr>
          <t>HAZEBROUCK:</t>
        </r>
        <r>
          <rPr>
            <sz val="8"/>
            <color indexed="81"/>
            <rFont val="Tahoma"/>
            <family val="2"/>
          </rPr>
          <t xml:space="preserve">
Erruer d'unité dans F. INERIS (Pa au lieu de Atm.). 
HSDB: Henry's Law Constant for carbon tetrachloride has been measured to be 3.04 X 10-2 atm-cu m/mole at 24.8 deg C.</t>
        </r>
      </text>
    </comment>
    <comment ref="BD41" authorId="0">
      <text>
        <r>
          <rPr>
            <b/>
            <sz val="10"/>
            <color indexed="81"/>
            <rFont val="Tahoma"/>
            <family val="2"/>
          </rPr>
          <t>HAZEBROUCK:</t>
        </r>
        <r>
          <rPr>
            <sz val="10"/>
            <color indexed="81"/>
            <rFont val="Tahoma"/>
            <family val="2"/>
          </rPr>
          <t xml:space="preserve">
HSDB: Henry's law constant: 3.33X10-7 atm-cu m/mol @ 25 deg C. Même résultat sur H que Vand den Berg, 94
INERIS: 4,5610-2 à 20°C.</t>
        </r>
      </text>
    </comment>
    <comment ref="BH41" authorId="0">
      <text>
        <r>
          <rPr>
            <b/>
            <sz val="10"/>
            <color indexed="81"/>
            <rFont val="Tahoma"/>
            <family val="2"/>
          </rPr>
          <t>HAZEBROUCK:</t>
        </r>
        <r>
          <rPr>
            <sz val="10"/>
            <color indexed="81"/>
            <rFont val="Tahoma"/>
            <family val="2"/>
          </rPr>
          <t xml:space="preserve">
HSDB: 3.7X10-7 atm-cu m/mol  à 20° C
Fiche Ineris: 6,6.10-2 Pa.m3/mol à 25 °C
</t>
        </r>
      </text>
    </comment>
    <comment ref="AM44" authorId="0">
      <text>
        <r>
          <rPr>
            <b/>
            <sz val="8"/>
            <color indexed="81"/>
            <rFont val="Tahoma"/>
            <family val="2"/>
          </rPr>
          <t>HAZEBROUCK:</t>
        </r>
        <r>
          <rPr>
            <sz val="8"/>
            <color indexed="81"/>
            <rFont val="Tahoma"/>
            <family val="2"/>
          </rPr>
          <t xml:space="preserve">
</t>
        </r>
        <r>
          <rPr>
            <sz val="10"/>
            <color indexed="81"/>
            <rFont val="Tahoma"/>
            <family val="2"/>
          </rPr>
          <t>Approximation d'apès gamme + large TPH</t>
        </r>
      </text>
    </comment>
    <comment ref="H46" authorId="0">
      <text>
        <r>
          <rPr>
            <b/>
            <sz val="8"/>
            <color indexed="81"/>
            <rFont val="Tahoma"/>
            <family val="2"/>
          </rPr>
          <t>HAZEBROUCK:</t>
        </r>
        <r>
          <rPr>
            <sz val="8"/>
            <color indexed="81"/>
            <rFont val="Tahoma"/>
            <family val="2"/>
          </rPr>
          <t xml:space="preserve">
HSDB: Sat concn in air 20 g/cu m at 20 deg C; 39 g/cu m at 30 deg C</t>
        </r>
      </text>
    </comment>
    <comment ref="J46" authorId="0">
      <text>
        <r>
          <rPr>
            <b/>
            <sz val="8"/>
            <color indexed="81"/>
            <rFont val="Tahoma"/>
            <family val="2"/>
          </rPr>
          <t>HAZEBROUCK:</t>
        </r>
        <r>
          <rPr>
            <sz val="8"/>
            <color indexed="81"/>
            <rFont val="Tahoma"/>
            <family val="2"/>
          </rPr>
          <t xml:space="preserve">
HSDB: SATURATED AIR CONCN IS 102,000 PPM @ 77.5 TORR, 20 DEG C</t>
        </r>
      </text>
    </comment>
    <comment ref="BG46" authorId="0">
      <text>
        <r>
          <rPr>
            <b/>
            <sz val="8"/>
            <color indexed="81"/>
            <rFont val="Tahoma"/>
            <family val="2"/>
          </rPr>
          <t>HAZEBROUCK:</t>
        </r>
        <r>
          <rPr>
            <sz val="8"/>
            <color indexed="81"/>
            <rFont val="Tahoma"/>
            <family val="2"/>
          </rPr>
          <t xml:space="preserve">
SATURATED ATMOSPHERE AT 24 DEG C CONTAINS APPROX 18 MG/CU M</t>
        </r>
      </text>
    </comment>
    <comment ref="BH46" authorId="0">
      <text>
        <r>
          <rPr>
            <b/>
            <sz val="10"/>
            <color indexed="81"/>
            <rFont val="Tahoma"/>
            <family val="2"/>
          </rPr>
          <t>HAZEBROUCK:</t>
        </r>
        <r>
          <rPr>
            <sz val="10"/>
            <color indexed="81"/>
            <rFont val="Tahoma"/>
            <family val="2"/>
          </rPr>
          <t xml:space="preserve">
SATURATION CONCN OF METHYLMERCURY CHLORIDE AT 20 DEG C IS 90000 MG MERCURY/CU M</t>
        </r>
      </text>
    </comment>
    <comment ref="Z67" authorId="0">
      <text>
        <r>
          <rPr>
            <b/>
            <sz val="10"/>
            <color indexed="81"/>
            <rFont val="Tahoma"/>
            <family val="2"/>
          </rPr>
          <t>HAZEBROUCK:</t>
        </r>
        <r>
          <rPr>
            <sz val="10"/>
            <color indexed="81"/>
            <rFont val="Tahoma"/>
            <family val="2"/>
          </rPr>
          <t xml:space="preserve">
0,4: detection.
Odor teshold: 2-2,6 mg/m3</t>
        </r>
      </text>
    </comment>
    <comment ref="AG68" authorId="0">
      <text>
        <r>
          <rPr>
            <b/>
            <sz val="10"/>
            <color indexed="81"/>
            <rFont val="Tahoma"/>
            <family val="2"/>
          </rPr>
          <t>HAZEBROUCK:</t>
        </r>
        <r>
          <rPr>
            <sz val="10"/>
            <color indexed="81"/>
            <rFont val="Tahoma"/>
            <family val="2"/>
          </rPr>
          <t xml:space="preserve">
pas pentane ni heptane. Ni methypentane et methyhexane, -heptane
Aussi 875 mg/m3</t>
        </r>
      </text>
    </comment>
  </commentList>
</comments>
</file>

<file path=xl/comments2.xml><?xml version="1.0" encoding="utf-8"?>
<comments xmlns="http://schemas.openxmlformats.org/spreadsheetml/2006/main">
  <authors>
    <author>HAZEBROUCK</author>
  </authors>
  <commentList>
    <comment ref="F9" authorId="0">
      <text>
        <r>
          <rPr>
            <b/>
            <sz val="8"/>
            <color indexed="81"/>
            <rFont val="Tahoma"/>
            <family val="2"/>
          </rPr>
          <t>HAZEBROUCK:</t>
        </r>
        <r>
          <rPr>
            <sz val="8"/>
            <color indexed="81"/>
            <rFont val="Tahoma"/>
            <family val="2"/>
          </rPr>
          <t xml:space="preserve">
valeur: 2,1: expertise </t>
        </r>
      </text>
    </comment>
    <comment ref="F11" authorId="0">
      <text>
        <r>
          <rPr>
            <b/>
            <sz val="8"/>
            <color indexed="81"/>
            <rFont val="Tahoma"/>
            <family val="2"/>
          </rPr>
          <t>HAZEBROUCK:</t>
        </r>
        <r>
          <rPr>
            <sz val="8"/>
            <color indexed="81"/>
            <rFont val="Tahoma"/>
            <family val="2"/>
          </rPr>
          <t xml:space="preserve">
valeur: 2,1: expertise </t>
        </r>
      </text>
    </comment>
    <comment ref="P12" authorId="0">
      <text>
        <r>
          <rPr>
            <b/>
            <sz val="8"/>
            <color indexed="81"/>
            <rFont val="Tahoma"/>
            <family val="2"/>
          </rPr>
          <t>HAZEBROUCK:</t>
        </r>
        <r>
          <rPr>
            <sz val="8"/>
            <color indexed="81"/>
            <rFont val="Tahoma"/>
            <family val="2"/>
          </rPr>
          <t xml:space="preserve">
"limoneux aux caractéristiques intermédiaires entre un sol argileux et un sol sableux."</t>
        </r>
      </text>
    </comment>
    <comment ref="F14" authorId="0">
      <text>
        <r>
          <rPr>
            <b/>
            <sz val="8"/>
            <color indexed="81"/>
            <rFont val="Tahoma"/>
            <family val="2"/>
          </rPr>
          <t>HAZEBROUCK:</t>
        </r>
        <r>
          <rPr>
            <sz val="8"/>
            <color indexed="81"/>
            <rFont val="Tahoma"/>
            <family val="2"/>
          </rPr>
          <t xml:space="preserve">
valeur: 1,6</t>
        </r>
      </text>
    </comment>
    <comment ref="P15" authorId="0">
      <text>
        <r>
          <rPr>
            <b/>
            <sz val="8"/>
            <color indexed="81"/>
            <rFont val="Tahoma"/>
            <family val="2"/>
          </rPr>
          <t>HAZEBROUCK:</t>
        </r>
        <r>
          <rPr>
            <sz val="8"/>
            <color indexed="81"/>
            <rFont val="Tahoma"/>
            <family val="2"/>
          </rPr>
          <t xml:space="preserve">
Csoil:  van den Berg, 1994 p 51; aussi Volasoil 1996 p 51; </t>
        </r>
        <r>
          <rPr>
            <sz val="10"/>
            <color indexed="81"/>
            <rFont val="Tahoma"/>
            <family val="2"/>
          </rPr>
          <t>Volasoil 2008: valeurs pour fine sand et silty sand:  plus humide, donc moins passant en diffucion, donc moins conservatoire</t>
        </r>
      </text>
    </comment>
    <comment ref="U39" authorId="0">
      <text>
        <r>
          <rPr>
            <b/>
            <sz val="8"/>
            <color indexed="81"/>
            <rFont val="Tahoma"/>
            <family val="2"/>
          </rPr>
          <t>HAZEBROUCK:</t>
        </r>
        <r>
          <rPr>
            <sz val="8"/>
            <color indexed="81"/>
            <rFont val="Tahoma"/>
            <family val="2"/>
          </rPr>
          <t xml:space="preserve">
La valeur donnée avec VOLASOIL (1996 et 2008 p 77), 6E-9 Pa.h, soit 2,16 E-5 Pa.s, correspond à une température proche de 100°C d’après les tables proposées dans Wikipedia ("viscosité", et "air").</t>
        </r>
      </text>
    </comment>
  </commentList>
</comments>
</file>

<file path=xl/comments3.xml><?xml version="1.0" encoding="utf-8"?>
<comments xmlns="http://schemas.openxmlformats.org/spreadsheetml/2006/main">
  <authors>
    <author>HAZEBROUCK</author>
  </authors>
  <commentList>
    <comment ref="U9" authorId="0">
      <text>
        <r>
          <rPr>
            <b/>
            <sz val="8"/>
            <color indexed="81"/>
            <rFont val="Tahoma"/>
            <family val="2"/>
          </rPr>
          <t>HAZEBROUCK:</t>
        </r>
        <r>
          <rPr>
            <sz val="8"/>
            <color indexed="81"/>
            <rFont val="Tahoma"/>
            <family val="2"/>
          </rPr>
          <t xml:space="preserve">
</t>
        </r>
        <r>
          <rPr>
            <sz val="12"/>
            <color indexed="81"/>
            <rFont val="Tahoma"/>
            <family val="2"/>
          </rPr>
          <t>tétrachlorométhane</t>
        </r>
      </text>
    </comment>
  </commentList>
</comments>
</file>

<file path=xl/comments4.xml><?xml version="1.0" encoding="utf-8"?>
<comments xmlns="http://schemas.openxmlformats.org/spreadsheetml/2006/main">
  <authors>
    <author>HAZEBROUCK</author>
  </authors>
  <commentList>
    <comment ref="U2" authorId="0">
      <text>
        <r>
          <rPr>
            <b/>
            <sz val="8"/>
            <color indexed="81"/>
            <rFont val="Tahoma"/>
            <family val="2"/>
          </rPr>
          <t>HAZEBROUCK:</t>
        </r>
        <r>
          <rPr>
            <sz val="8"/>
            <color indexed="81"/>
            <rFont val="Tahoma"/>
            <family val="2"/>
          </rPr>
          <t xml:space="preserve">
</t>
        </r>
        <r>
          <rPr>
            <sz val="12"/>
            <color indexed="81"/>
            <rFont val="Tahoma"/>
            <family val="2"/>
          </rPr>
          <t>tétrachlorométhane</t>
        </r>
      </text>
    </comment>
  </commentList>
</comments>
</file>

<file path=xl/comments5.xml><?xml version="1.0" encoding="utf-8"?>
<comments xmlns="http://schemas.openxmlformats.org/spreadsheetml/2006/main">
  <authors>
    <author>HAZEBROUCK</author>
  </authors>
  <commentList>
    <comment ref="K319" authorId="0">
      <text>
        <r>
          <rPr>
            <b/>
            <sz val="8"/>
            <color indexed="81"/>
            <rFont val="Tahoma"/>
            <family val="2"/>
          </rPr>
          <t>HAZEBROUCK:</t>
        </r>
        <r>
          <rPr>
            <sz val="8"/>
            <color indexed="81"/>
            <rFont val="Tahoma"/>
            <family val="2"/>
          </rPr>
          <t xml:space="preserve">
</t>
        </r>
        <r>
          <rPr>
            <sz val="10"/>
            <color indexed="81"/>
            <rFont val="Tahoma"/>
            <family val="2"/>
          </rPr>
          <t>Limité par diffusion du CV en régime permanent!</t>
        </r>
      </text>
    </comment>
    <comment ref="K328" authorId="0">
      <text>
        <r>
          <rPr>
            <b/>
            <sz val="8"/>
            <color indexed="81"/>
            <rFont val="Tahoma"/>
            <family val="2"/>
          </rPr>
          <t>HAZEBROUCK:</t>
        </r>
        <r>
          <rPr>
            <sz val="8"/>
            <color indexed="81"/>
            <rFont val="Tahoma"/>
            <family val="2"/>
          </rPr>
          <t xml:space="preserve">
</t>
        </r>
        <r>
          <rPr>
            <sz val="10"/>
            <color indexed="81"/>
            <rFont val="Tahoma"/>
            <family val="2"/>
          </rPr>
          <t>Limité par diffusion du CV en régime permanent!</t>
        </r>
      </text>
    </comment>
    <comment ref="K351" authorId="0">
      <text>
        <r>
          <rPr>
            <b/>
            <sz val="8"/>
            <color indexed="81"/>
            <rFont val="Tahoma"/>
            <family val="2"/>
          </rPr>
          <t>HAZEBROUCK:</t>
        </r>
        <r>
          <rPr>
            <sz val="8"/>
            <color indexed="81"/>
            <rFont val="Tahoma"/>
            <family val="2"/>
          </rPr>
          <t xml:space="preserve">
</t>
        </r>
        <r>
          <rPr>
            <sz val="10"/>
            <color indexed="81"/>
            <rFont val="Tahoma"/>
            <family val="2"/>
          </rPr>
          <t>Limité par diffusion du CV en régime permanent!</t>
        </r>
      </text>
    </comment>
    <comment ref="K369" authorId="0">
      <text>
        <r>
          <rPr>
            <b/>
            <sz val="8"/>
            <color indexed="81"/>
            <rFont val="Tahoma"/>
            <family val="2"/>
          </rPr>
          <t>HAZEBROUCK:</t>
        </r>
        <r>
          <rPr>
            <sz val="8"/>
            <color indexed="81"/>
            <rFont val="Tahoma"/>
            <family val="2"/>
          </rPr>
          <t xml:space="preserve">
</t>
        </r>
        <r>
          <rPr>
            <sz val="10"/>
            <color indexed="81"/>
            <rFont val="Tahoma"/>
            <family val="2"/>
          </rPr>
          <t>Limité par diffusion du CV en régime permanent!</t>
        </r>
      </text>
    </comment>
    <comment ref="K389" authorId="0">
      <text>
        <r>
          <rPr>
            <b/>
            <sz val="8"/>
            <color indexed="81"/>
            <rFont val="Tahoma"/>
            <family val="2"/>
          </rPr>
          <t>HAZEBROUCK:</t>
        </r>
        <r>
          <rPr>
            <sz val="8"/>
            <color indexed="81"/>
            <rFont val="Tahoma"/>
            <family val="2"/>
          </rPr>
          <t xml:space="preserve">
</t>
        </r>
        <r>
          <rPr>
            <sz val="10"/>
            <color indexed="81"/>
            <rFont val="Tahoma"/>
            <family val="2"/>
          </rPr>
          <t>Limité par diffusion du CV en régime permanent!</t>
        </r>
      </text>
    </comment>
    <comment ref="K413" authorId="0">
      <text>
        <r>
          <rPr>
            <b/>
            <sz val="8"/>
            <color indexed="81"/>
            <rFont val="Tahoma"/>
            <family val="2"/>
          </rPr>
          <t>HAZEBROUCK:</t>
        </r>
        <r>
          <rPr>
            <sz val="8"/>
            <color indexed="81"/>
            <rFont val="Tahoma"/>
            <family val="2"/>
          </rPr>
          <t xml:space="preserve">
</t>
        </r>
        <r>
          <rPr>
            <sz val="10"/>
            <color indexed="81"/>
            <rFont val="Tahoma"/>
            <family val="2"/>
          </rPr>
          <t>Limité par diffusion du CV en régime permanent!</t>
        </r>
      </text>
    </comment>
  </commentList>
</comments>
</file>

<file path=xl/comments6.xml><?xml version="1.0" encoding="utf-8"?>
<comments xmlns="http://schemas.openxmlformats.org/spreadsheetml/2006/main">
  <authors>
    <author>HAZEBROUCK</author>
  </authors>
  <commentList>
    <comment ref="BG18"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53"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64"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84"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102"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110"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134"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List>
</comments>
</file>

<file path=xl/comments7.xml><?xml version="1.0" encoding="utf-8"?>
<comments xmlns="http://schemas.openxmlformats.org/spreadsheetml/2006/main">
  <authors>
    <author>HAZEBROUCK</author>
  </authors>
  <commentList>
    <comment ref="BG30"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58"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List>
</comments>
</file>

<file path=xl/comments8.xml><?xml version="1.0" encoding="utf-8"?>
<comments xmlns="http://schemas.openxmlformats.org/spreadsheetml/2006/main">
  <authors>
    <author>HAZEBROUCK</author>
  </authors>
  <commentList>
    <comment ref="Z9" authorId="0">
      <text>
        <r>
          <rPr>
            <b/>
            <sz val="10"/>
            <color indexed="81"/>
            <rFont val="Tahoma"/>
            <family val="2"/>
          </rPr>
          <t>HAZEBROUCK:</t>
        </r>
        <r>
          <rPr>
            <sz val="10"/>
            <color indexed="81"/>
            <rFont val="Tahoma"/>
            <family val="2"/>
          </rPr>
          <t xml:space="preserve">
Toluène en secours pour c5-c10 "min" ou "pondération" si toutes les coupes sont PVL</t>
        </r>
      </text>
    </comment>
  </commentList>
</comments>
</file>

<file path=xl/comments9.xml><?xml version="1.0" encoding="utf-8"?>
<comments xmlns="http://schemas.openxmlformats.org/spreadsheetml/2006/main">
  <authors>
    <author>HAZEBROUCK</author>
  </authors>
  <commentList>
    <comment ref="CD9" authorId="0">
      <text>
        <r>
          <rPr>
            <b/>
            <sz val="10"/>
            <color indexed="81"/>
            <rFont val="Tahoma"/>
            <family val="2"/>
          </rPr>
          <t>HAZEBROUCK:</t>
        </r>
        <r>
          <rPr>
            <sz val="10"/>
            <color indexed="81"/>
            <rFont val="Tahoma"/>
            <family val="2"/>
          </rPr>
          <t xml:space="preserve">
Toluène en secours pour c5-c10 "min" ou "pondération" si toutes les coupes sont PVL</t>
        </r>
      </text>
    </comment>
    <comment ref="BG18"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53"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64"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84"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102"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 ref="BG110" authorId="0">
      <text>
        <r>
          <rPr>
            <b/>
            <sz val="8"/>
            <color indexed="81"/>
            <rFont val="Tahoma"/>
            <family val="2"/>
          </rPr>
          <t>HAZEBROUCK:</t>
        </r>
        <r>
          <rPr>
            <sz val="8"/>
            <color indexed="81"/>
            <rFont val="Tahoma"/>
            <family val="2"/>
          </rPr>
          <t xml:space="preserve">
</t>
        </r>
        <r>
          <rPr>
            <sz val="10"/>
            <color indexed="81"/>
            <rFont val="Tahoma"/>
            <family val="2"/>
          </rPr>
          <t>Entrée manuelle après itérations (source non vidée).
Pour les autres, les seuils correspondent à source vide ==&gt; linéaire avec seuil le + haut (récréatif)</t>
        </r>
      </text>
    </comment>
  </commentList>
</comments>
</file>

<file path=xl/sharedStrings.xml><?xml version="1.0" encoding="utf-8"?>
<sst xmlns="http://schemas.openxmlformats.org/spreadsheetml/2006/main" count="8947" uniqueCount="1294">
  <si>
    <t>Paramètre</t>
  </si>
  <si>
    <t>NC</t>
  </si>
  <si>
    <t>Symbole</t>
  </si>
  <si>
    <t>Unité</t>
  </si>
  <si>
    <t>Naphtalène</t>
  </si>
  <si>
    <t>Chlorure de vinyle</t>
  </si>
  <si>
    <t>Al
&gt;EC6-EC8</t>
  </si>
  <si>
    <t>Al 
&gt;EC8-EC10</t>
  </si>
  <si>
    <t>Al &gt;
EC10-EC12</t>
  </si>
  <si>
    <t>Al 
&gt;EC12-EC16</t>
  </si>
  <si>
    <t>Masse molaire</t>
  </si>
  <si>
    <t>(g/mol)</t>
  </si>
  <si>
    <t>S</t>
  </si>
  <si>
    <t>mg/l</t>
  </si>
  <si>
    <t>H</t>
  </si>
  <si>
    <t>(mg/la)/(mg/lw)</t>
  </si>
  <si>
    <t>Sa</t>
  </si>
  <si>
    <t>Ss</t>
  </si>
  <si>
    <t>mg/kgms</t>
  </si>
  <si>
    <t>Cs</t>
  </si>
  <si>
    <t>mg/kg ms</t>
  </si>
  <si>
    <t>%</t>
  </si>
  <si>
    <t>X</t>
  </si>
  <si>
    <t>mol/mol</t>
  </si>
  <si>
    <t>mg/m3</t>
  </si>
  <si>
    <t>ERU,c</t>
  </si>
  <si>
    <t>(mg/m3)-1</t>
  </si>
  <si>
    <t>Limite inférieure d'explosivité</t>
  </si>
  <si>
    <t>LIE</t>
  </si>
  <si>
    <t>% vol</t>
  </si>
  <si>
    <t>Conversion 1 ppm v en mg/m3 (source: INRS, 1996)</t>
  </si>
  <si>
    <t>Log Kow</t>
  </si>
  <si>
    <t>coefficient de diffusion dans l'air</t>
  </si>
  <si>
    <t>Da</t>
  </si>
  <si>
    <t xml:space="preserve">Log du coefficient de partage n-Octanol/Eau </t>
  </si>
  <si>
    <t>-</t>
  </si>
  <si>
    <t>Koc</t>
  </si>
  <si>
    <r>
      <t>(mg/kg</t>
    </r>
    <r>
      <rPr>
        <vertAlign val="subscript"/>
        <sz val="10"/>
        <rFont val="Arial"/>
        <family val="2"/>
      </rPr>
      <t>OC</t>
    </r>
    <r>
      <rPr>
        <sz val="10"/>
        <rFont val="Arial"/>
        <family val="2"/>
      </rPr>
      <t>)/(mg/lw)</t>
    </r>
  </si>
  <si>
    <t>Vp</t>
  </si>
  <si>
    <t>Source pour le seuil de détection olfactive</t>
  </si>
  <si>
    <t>Vw = SD w = SD (1-fms) / fms</t>
  </si>
  <si>
    <t>1)  Tableau de base avec calcul et direct pour Texte Word</t>
  </si>
  <si>
    <t>foc</t>
  </si>
  <si>
    <t>n</t>
  </si>
  <si>
    <t>SD</t>
  </si>
  <si>
    <t>fms</t>
  </si>
  <si>
    <t>Vw</t>
  </si>
  <si>
    <t>Va</t>
  </si>
  <si>
    <t>Dsa/Da</t>
  </si>
  <si>
    <t>Dpw / Dsa</t>
  </si>
  <si>
    <t>%kgOC/kgms</t>
  </si>
  <si>
    <t>lvide/lsol</t>
  </si>
  <si>
    <t>kgms/l</t>
  </si>
  <si>
    <t>kgms/kgmh</t>
  </si>
  <si>
    <t>lpw/lsol</t>
  </si>
  <si>
    <t>lsa/lsol</t>
  </si>
  <si>
    <t>Sol de surface (pour potager, limoneux, 0-0,25m), standard</t>
  </si>
  <si>
    <t>Argile</t>
  </si>
  <si>
    <t>Couche limite</t>
  </si>
  <si>
    <t>VOLASOIL</t>
  </si>
  <si>
    <t>TV potager</t>
  </si>
  <si>
    <t xml:space="preserve">standard et contrôle matière sèche, </t>
  </si>
  <si>
    <t>Remblais sable (+limon)</t>
  </si>
  <si>
    <t>d'après sables et limons standards</t>
  </si>
  <si>
    <t>Frange capillaire (sable)</t>
  </si>
  <si>
    <t>EPA, 1988</t>
  </si>
  <si>
    <t>Sable vaseux-argile saturé</t>
  </si>
  <si>
    <t>densité du sol sec en place</t>
  </si>
  <si>
    <t>fraction volumique d’eau dans le sol</t>
  </si>
  <si>
    <t>fraction volumique d’air dans le sol</t>
  </si>
  <si>
    <t>m2/ m2</t>
  </si>
  <si>
    <t>Résistance à la  diffusion dans l'air du matériau en place  (rapporté à Csa)</t>
  </si>
  <si>
    <t>l  Da / Dsa / fi</t>
  </si>
  <si>
    <t>m</t>
  </si>
  <si>
    <t>épaisseur de la couche i</t>
  </si>
  <si>
    <t>li</t>
  </si>
  <si>
    <t xml:space="preserve">scénario </t>
  </si>
  <si>
    <t>Zone</t>
  </si>
  <si>
    <t>(mg/kgOC)/(mg/lw)</t>
  </si>
  <si>
    <r>
      <t xml:space="preserve">solubilité= </t>
    </r>
    <r>
      <rPr>
        <b/>
        <sz val="10"/>
        <rFont val="Times New Roman"/>
        <family val="1"/>
      </rPr>
      <t>CT de la fraction molaire xi à l'eau</t>
    </r>
  </si>
  <si>
    <r>
      <t>S</t>
    </r>
    <r>
      <rPr>
        <b/>
        <sz val="10"/>
        <rFont val="Times New Roman"/>
        <family val="1"/>
      </rPr>
      <t xml:space="preserve">= CTx-&gt;pw </t>
    </r>
  </si>
  <si>
    <r>
      <t xml:space="preserve">constante de Henry= </t>
    </r>
    <r>
      <rPr>
        <b/>
        <sz val="10"/>
        <rFont val="Times New Roman"/>
        <family val="1"/>
      </rPr>
      <t>CT de l'eau à l'air</t>
    </r>
  </si>
  <si>
    <r>
      <t xml:space="preserve">H= </t>
    </r>
    <r>
      <rPr>
        <b/>
        <sz val="10"/>
        <rFont val="Times New Roman"/>
        <family val="1"/>
      </rPr>
      <t>CTpw-&gt;sa</t>
    </r>
  </si>
  <si>
    <t>(mg/la) / (mg/lw)</t>
  </si>
  <si>
    <r>
      <t xml:space="preserve">concentration de saturation dans l'air d'un composant pur
</t>
    </r>
    <r>
      <rPr>
        <b/>
        <sz val="10"/>
        <rFont val="Times New Roman"/>
        <family val="1"/>
      </rPr>
      <t>= CT de la fraction molaire x</t>
    </r>
    <r>
      <rPr>
        <b/>
        <vertAlign val="subscript"/>
        <sz val="10"/>
        <rFont val="Times New Roman"/>
        <family val="1"/>
      </rPr>
      <t>i</t>
    </r>
    <r>
      <rPr>
        <b/>
        <sz val="10"/>
        <rFont val="Times New Roman"/>
        <family val="1"/>
      </rPr>
      <t xml:space="preserve"> à l'air du sol</t>
    </r>
  </si>
  <si>
    <r>
      <t xml:space="preserve">Sa = </t>
    </r>
    <r>
      <rPr>
        <b/>
        <sz val="10"/>
        <rFont val="Times New Roman"/>
        <family val="1"/>
      </rPr>
      <t>CTx-&gt;sa</t>
    </r>
  </si>
  <si>
    <t xml:space="preserve">concentration moyenne sur zone </t>
  </si>
  <si>
    <t>fraction molaire dans le mélange</t>
  </si>
  <si>
    <t>Contrôle saturation</t>
  </si>
  <si>
    <t>oui/non</t>
  </si>
  <si>
    <t>concentration dans l'eau interstitielle</t>
  </si>
  <si>
    <t>Cpw</t>
  </si>
  <si>
    <t>mg/lpw</t>
  </si>
  <si>
    <t>Csao</t>
  </si>
  <si>
    <t>mg/lsa</t>
  </si>
  <si>
    <t>teneur de saturation dans l'eau de la fraction molaire</t>
  </si>
  <si>
    <t>Cpwsat</t>
  </si>
  <si>
    <t>teneur de saturation dans l'air de la fraction molaire</t>
  </si>
  <si>
    <t>Csasat</t>
  </si>
  <si>
    <t>kgOC/kgms</t>
  </si>
  <si>
    <t>coefficient de partage solide/liquide</t>
  </si>
  <si>
    <t xml:space="preserve">Kd </t>
  </si>
  <si>
    <t>kg ms/l de sol sec</t>
  </si>
  <si>
    <t>l d’eau/l de sol</t>
  </si>
  <si>
    <t>l d’air/l de sol</t>
  </si>
  <si>
    <t xml:space="preserve">concentration de saturation dans le sol, composant pur </t>
  </si>
  <si>
    <t>concentration de saturation dans le sol de la fraction molaire xi</t>
  </si>
  <si>
    <t>Cssat</t>
  </si>
  <si>
    <t>CT du sol à l'eau interstitielle</t>
  </si>
  <si>
    <t xml:space="preserve">CTs--&gt;pw </t>
  </si>
  <si>
    <t>CT du sol à l'air du sol</t>
  </si>
  <si>
    <t xml:space="preserve">CTs--&gt;sa </t>
  </si>
  <si>
    <t>extérieur</t>
  </si>
  <si>
    <t>intérieur</t>
  </si>
  <si>
    <t>Profondeur de la source</t>
  </si>
  <si>
    <t>L</t>
  </si>
  <si>
    <t xml:space="preserve">Résistance totale du sol à la diffusion </t>
  </si>
  <si>
    <t>r</t>
  </si>
  <si>
    <t>fof</t>
  </si>
  <si>
    <t>nof</t>
  </si>
  <si>
    <t>Source</t>
  </si>
  <si>
    <t>nua</t>
  </si>
  <si>
    <t>K</t>
  </si>
  <si>
    <t>m-2</t>
  </si>
  <si>
    <t>Pa.s</t>
  </si>
  <si>
    <t>m3/m/Pa/s</t>
  </si>
  <si>
    <t>Perméabilité de porosité</t>
  </si>
  <si>
    <t>m/s</t>
  </si>
  <si>
    <t xml:space="preserve">estimation </t>
  </si>
  <si>
    <t>estimation  + humidité</t>
  </si>
  <si>
    <t>Valeur</t>
  </si>
  <si>
    <t>Pa.s/m</t>
  </si>
  <si>
    <t>Ktot</t>
  </si>
  <si>
    <t>Résistance totale à la convection</t>
  </si>
  <si>
    <t>L / Ktot</t>
  </si>
  <si>
    <t>Pa</t>
  </si>
  <si>
    <t>Fci</t>
  </si>
  <si>
    <t>lsa / m2 / s</t>
  </si>
  <si>
    <t>CTsao-&gt;ém</t>
  </si>
  <si>
    <t>(mg/m2/s)/(mg/l)</t>
  </si>
  <si>
    <t>CTsao-&gt;diff</t>
  </si>
  <si>
    <t>zones cibles</t>
  </si>
  <si>
    <t>Sur place</t>
  </si>
  <si>
    <t>d'émission</t>
  </si>
  <si>
    <t>adulte</t>
  </si>
  <si>
    <t>enfant</t>
  </si>
  <si>
    <t>longueur de la zone d'émission dans le sens du vent</t>
  </si>
  <si>
    <t>Lw</t>
  </si>
  <si>
    <t>DH</t>
  </si>
  <si>
    <t>V</t>
  </si>
  <si>
    <t>CTpour la dispersion en extérieur</t>
  </si>
  <si>
    <t>CTém-&gt;oa</t>
  </si>
  <si>
    <t>(mg/m3)/ (mg/m2/s)</t>
  </si>
  <si>
    <t>distance de la cible à la source (amonts éoliens)</t>
  </si>
  <si>
    <t>Ldisp</t>
  </si>
  <si>
    <t>hauteur de régime normal du vent</t>
  </si>
  <si>
    <t>Z10</t>
  </si>
  <si>
    <t>vitesse de régime normal du vent (hauteur Z10)</t>
  </si>
  <si>
    <t>V10</t>
  </si>
  <si>
    <t>hauteur de respiration  / de diffusion</t>
  </si>
  <si>
    <t>z  / DH</t>
  </si>
  <si>
    <t>constante de Karmann (empirique)</t>
  </si>
  <si>
    <t>k</t>
  </si>
  <si>
    <t>hauteur de rugosité (hauteur de vitesse nulle du vent)</t>
  </si>
  <si>
    <t>Zo</t>
  </si>
  <si>
    <t>vitesse à la hauteur z considérée</t>
  </si>
  <si>
    <t>Vx</t>
  </si>
  <si>
    <t>vitesse de friction</t>
  </si>
  <si>
    <t>V'</t>
  </si>
  <si>
    <t>vitesse moyenne du vent</t>
  </si>
  <si>
    <t>Vg</t>
  </si>
  <si>
    <t>facteur correctif pour la longueur de la rugosité</t>
  </si>
  <si>
    <t>Co</t>
  </si>
  <si>
    <t>hauteur de diffusion équivalente</t>
  </si>
  <si>
    <t>Sz</t>
  </si>
  <si>
    <t>CTpour la dispersion en extérieur, CSOIL</t>
  </si>
  <si>
    <t>CTpour la dispersion en extérieur, boîte</t>
  </si>
  <si>
    <t>DISPERSION de vapeurs EN EXTERIEUR</t>
  </si>
  <si>
    <t>CT émission à concentration moyenne, non cancerigènes</t>
  </si>
  <si>
    <t>CTém-&gt;&lt;a&gt;</t>
  </si>
  <si>
    <t>(mg/ma3)/(mg/m2/s)</t>
  </si>
  <si>
    <t>FEM</t>
  </si>
  <si>
    <t>h/j</t>
  </si>
  <si>
    <t>CT émission à concentration moyenne, cancerigènes</t>
  </si>
  <si>
    <t>FEMcanc</t>
  </si>
  <si>
    <t>fréquence d'exposition moyenne (annuelle) à l'air considéré</t>
  </si>
  <si>
    <t>fréquence d'exposition moyenne sur 70 ans à l'air considéré</t>
  </si>
  <si>
    <t>DISPERSION EN INTERIEUR de vapeurs pénétrant par le plancher</t>
  </si>
  <si>
    <t>Hvd</t>
  </si>
  <si>
    <t xml:space="preserve"> m</t>
  </si>
  <si>
    <t>Rv</t>
  </si>
  <si>
    <t>CT dispersion: émission int. -&gt; air atmosphq int.</t>
  </si>
  <si>
    <t>CTémi-&gt;ia</t>
  </si>
  <si>
    <t>Rythmes d'exposition</t>
  </si>
  <si>
    <t>DE</t>
  </si>
  <si>
    <t>fréquences FEM (h/j)</t>
  </si>
  <si>
    <t>année</t>
  </si>
  <si>
    <t>sur 70 ans</t>
  </si>
  <si>
    <t>années</t>
  </si>
  <si>
    <t>avec</t>
  </si>
  <si>
    <t>Durée d'exposition</t>
  </si>
  <si>
    <t>ans</t>
  </si>
  <si>
    <t xml:space="preserve">mg/m3 </t>
  </si>
  <si>
    <t>Emission dans l'air atmosphérique (extérieur)</t>
  </si>
  <si>
    <t>CTsa-&gt;ém</t>
  </si>
  <si>
    <t>CT dispersion: émission tot -&gt; air atmosphérique ext, adulte</t>
  </si>
  <si>
    <t>(mg/m3)/(mg/l)</t>
  </si>
  <si>
    <t>CT dispersion: émission tot -&gt; air atmosphérique ext, enfant</t>
  </si>
  <si>
    <t>Enfants</t>
  </si>
  <si>
    <t>Des concentrations d'exposition au risque</t>
  </si>
  <si>
    <t>FEM(canc)</t>
  </si>
  <si>
    <t>CTa-&gt;ERI</t>
  </si>
  <si>
    <t>ERI/(mg/ma3)</t>
  </si>
  <si>
    <t>ERI</t>
  </si>
  <si>
    <t>tous</t>
  </si>
  <si>
    <t>CTsa-&gt;ia</t>
  </si>
  <si>
    <t>Cia</t>
  </si>
  <si>
    <t>Somme</t>
  </si>
  <si>
    <t>h-1</t>
  </si>
  <si>
    <t>Vert: donnée d'entrée</t>
  </si>
  <si>
    <t>Coefficient de partage carbone organique / eau pris en compte</t>
  </si>
  <si>
    <t>(mg/kg ms)/(mg/l eau)</t>
  </si>
  <si>
    <t>toutes</t>
  </si>
  <si>
    <t>butanol</t>
  </si>
  <si>
    <t>dichlorométhane</t>
  </si>
  <si>
    <t>cis-dichloroéthylène</t>
  </si>
  <si>
    <t>méthyléthylcétone</t>
  </si>
  <si>
    <t>chlorure de vinyle</t>
  </si>
  <si>
    <t>tétrachloroéthylène</t>
  </si>
  <si>
    <t>1,1,1-trichloroéthane</t>
  </si>
  <si>
    <t>trichloroéthylène</t>
  </si>
  <si>
    <t>M</t>
  </si>
  <si>
    <t>Log Koc</t>
  </si>
  <si>
    <t>CTsa-&gt;ERI</t>
  </si>
  <si>
    <t>(ERI)/(mg/lsa)</t>
  </si>
  <si>
    <t>Dpw/Dw</t>
  </si>
  <si>
    <t>coefficient de diffusion dans l'eau</t>
  </si>
  <si>
    <t>Dw</t>
  </si>
  <si>
    <t>Remarque</t>
  </si>
  <si>
    <t>Coeff. De diffusion effectif (rapporté à Csa)</t>
  </si>
  <si>
    <t>Deff</t>
  </si>
  <si>
    <t>Coeff. De diffusion effectif (rapporté à Csa) total</t>
  </si>
  <si>
    <t>Résistance à la diffusion de la couche</t>
  </si>
  <si>
    <t>li/Deff</t>
  </si>
  <si>
    <t>Dueq</t>
  </si>
  <si>
    <t>constante de Henry= CT de l'eau à l'air</t>
  </si>
  <si>
    <t>L/Dueq</t>
  </si>
  <si>
    <t>Commentaire</t>
  </si>
  <si>
    <t>Perméabilité à l'air moyenne du sol, de la source à la surface</t>
  </si>
  <si>
    <t>Longueur de la zone d'émission dans le sens du vent</t>
  </si>
  <si>
    <t>Vitesse du vent</t>
  </si>
  <si>
    <t>Hauteur en intérieur</t>
  </si>
  <si>
    <t>Taux de ventilation en intérieur</t>
  </si>
  <si>
    <t>m3 /m</t>
  </si>
  <si>
    <t>Viscosité dynamique de l'air</t>
  </si>
  <si>
    <t>Concentration d'exposition dans l'air atmosphérique dans les bâtiments</t>
  </si>
  <si>
    <t>(mg/m2/s)/(mg/l/m)</t>
  </si>
  <si>
    <t>MAISON</t>
  </si>
  <si>
    <t>Maison</t>
  </si>
  <si>
    <t>1h - 7j/7</t>
  </si>
  <si>
    <t>8h - 7j/7</t>
  </si>
  <si>
    <t xml:space="preserve"> 3h - 5j/7                 12h - 2j/7</t>
  </si>
  <si>
    <t>23h - 7j/7</t>
  </si>
  <si>
    <t>16h - 7j/7</t>
  </si>
  <si>
    <t>14h - 5j/7                   23h - 2j/7</t>
  </si>
  <si>
    <t>12h - 7j/7</t>
  </si>
  <si>
    <t>Jardin</t>
  </si>
  <si>
    <t>Enfant</t>
  </si>
  <si>
    <t>Adulte</t>
  </si>
  <si>
    <t>(mg/l)/(mg/m2/s)</t>
  </si>
  <si>
    <t>(mg/m3)/(mg/m2/s)</t>
  </si>
  <si>
    <t>Frange capillaire (limons)</t>
  </si>
  <si>
    <t>mesures + estimation</t>
  </si>
  <si>
    <t>employé adulte</t>
  </si>
  <si>
    <t>usager enfant</t>
  </si>
  <si>
    <t>Longueur</t>
  </si>
  <si>
    <t>Largeur</t>
  </si>
  <si>
    <t>Taux d'échange d'air intérieur</t>
  </si>
  <si>
    <t>m3/h</t>
  </si>
  <si>
    <t>Conductivité à l'air</t>
  </si>
  <si>
    <t>estimation</t>
  </si>
  <si>
    <t>theta r</t>
  </si>
  <si>
    <t>M van Genuchten</t>
  </si>
  <si>
    <t>Ste</t>
  </si>
  <si>
    <t>Mvg</t>
  </si>
  <si>
    <t xml:space="preserve">Résistance totale hors béton du sol à la diffusion </t>
  </si>
  <si>
    <t>L'/D'ueq</t>
  </si>
  <si>
    <t>BUREAUX</t>
  </si>
  <si>
    <t>tétrachlorométhane</t>
  </si>
  <si>
    <t>trichlorométhane</t>
  </si>
  <si>
    <t>hiver</t>
  </si>
  <si>
    <t>été</t>
  </si>
  <si>
    <t>Durée d'exposition considérée</t>
  </si>
  <si>
    <t>t</t>
  </si>
  <si>
    <t>s</t>
  </si>
  <si>
    <t>an</t>
  </si>
  <si>
    <t>Epaisseur de source volatilisée à t = 0</t>
  </si>
  <si>
    <t>Epaisseur de source volatilisée à t</t>
  </si>
  <si>
    <r>
      <t>L</t>
    </r>
    <r>
      <rPr>
        <vertAlign val="subscript"/>
        <sz val="10"/>
        <rFont val="Times New Roman"/>
        <family val="1"/>
      </rPr>
      <t>0</t>
    </r>
  </si>
  <si>
    <t>Epaisseur de la zone source</t>
  </si>
  <si>
    <t>CT / CT</t>
  </si>
  <si>
    <r>
      <t>HESP</t>
    </r>
    <r>
      <rPr>
        <vertAlign val="superscript"/>
        <sz val="10"/>
        <rFont val="Arial"/>
        <family val="2"/>
      </rPr>
      <t>a</t>
    </r>
    <r>
      <rPr>
        <sz val="10"/>
        <rFont val="Arial"/>
        <family val="2"/>
      </rPr>
      <t>, expertise pour SD</t>
    </r>
  </si>
  <si>
    <r>
      <t>a</t>
    </r>
    <r>
      <rPr>
        <sz val="10"/>
        <rFont val="Arial"/>
        <family val="2"/>
      </rPr>
      <t xml:space="preserve">  valeurs indicatives correspondant à un maximum de porosité (pénalisantes), manuel de Référence du modèle HESP (Veerkamp et ten Berge, 1994).</t>
    </r>
  </si>
  <si>
    <t>E</t>
  </si>
  <si>
    <t xml:space="preserve">Teneur initiale dans sol source </t>
  </si>
  <si>
    <t>Teneur limite (non cancérigène)</t>
  </si>
  <si>
    <t>Teneur limite (cancérigène)</t>
  </si>
  <si>
    <t>CT sans atténuation / CT conv° avec atténuation</t>
  </si>
  <si>
    <t>Sable limoneux</t>
  </si>
  <si>
    <t>CV</t>
  </si>
  <si>
    <t>cis-DCE</t>
  </si>
  <si>
    <t>TCE</t>
  </si>
  <si>
    <t>1,1,1-TCA</t>
  </si>
  <si>
    <t>PCMA</t>
  </si>
  <si>
    <t>PCE</t>
  </si>
  <si>
    <t>DCMA</t>
  </si>
  <si>
    <t>MEK</t>
  </si>
  <si>
    <t>Benzène</t>
  </si>
  <si>
    <t>Ar 
&gt;EC6-EC8 (Toluène)</t>
  </si>
  <si>
    <t>Ethyl
benzène</t>
  </si>
  <si>
    <t>Xylène</t>
  </si>
  <si>
    <t>Naphtalène 
(C10-12)</t>
  </si>
  <si>
    <t>Ar 
&gt;EC8-EC10</t>
  </si>
  <si>
    <t>Ar
&gt;EC10-EC12</t>
  </si>
  <si>
    <t>Ar
 &gt;EC12 - EC16</t>
  </si>
  <si>
    <t>Ar
 &gt;EC16 - EC21</t>
  </si>
  <si>
    <t>Ar
 &gt;EC21 - EC35</t>
  </si>
  <si>
    <t>Al 
EC5-EC6</t>
  </si>
  <si>
    <t>Al 
&gt;EC16- EC21</t>
  </si>
  <si>
    <t>BaA</t>
  </si>
  <si>
    <t>BbF</t>
  </si>
  <si>
    <t>BkF</t>
  </si>
  <si>
    <t>DahA</t>
  </si>
  <si>
    <t>BghP</t>
  </si>
  <si>
    <t>IcdP</t>
  </si>
  <si>
    <t>atm</t>
  </si>
  <si>
    <t>kPa</t>
  </si>
  <si>
    <t>van den Berg, 1994</t>
  </si>
  <si>
    <t>4,5-39</t>
  </si>
  <si>
    <t>Rippen</t>
  </si>
  <si>
    <t>R</t>
  </si>
  <si>
    <t>Pam3/mol/k</t>
  </si>
  <si>
    <t>1 atm</t>
  </si>
  <si>
    <t>Al 
&gt;EC21 (n C20)</t>
  </si>
  <si>
    <t>42/37</t>
  </si>
  <si>
    <t>40/39</t>
  </si>
  <si>
    <t>pent / hex</t>
  </si>
  <si>
    <t>hept / oct</t>
  </si>
  <si>
    <t>1,4 /1,1</t>
  </si>
  <si>
    <t>1 / 0,8</t>
  </si>
  <si>
    <t>B</t>
  </si>
  <si>
    <t>T</t>
  </si>
  <si>
    <t>Al  &gt;EC21</t>
  </si>
  <si>
    <t>Valeurs de gestion des phases 2 et 3</t>
  </si>
  <si>
    <t>Substances</t>
  </si>
  <si>
    <r>
      <t xml:space="preserve">Valeurs de gestion retenues pour la démarche ETS
</t>
    </r>
    <r>
      <rPr>
        <b/>
        <u/>
        <sz val="11"/>
        <color indexed="8"/>
        <rFont val="Calibri"/>
        <family val="2"/>
      </rPr>
      <t>Milieu air ambiant</t>
    </r>
  </si>
  <si>
    <r>
      <t xml:space="preserve">Valeur de gestion retenues pour la démarche ETS
</t>
    </r>
    <r>
      <rPr>
        <b/>
        <u/>
        <sz val="11"/>
        <color indexed="8"/>
        <rFont val="Calibri"/>
        <family val="2"/>
      </rPr>
      <t xml:space="preserve">FD = 10 </t>
    </r>
  </si>
  <si>
    <r>
      <t xml:space="preserve">Valeurs de gestion retenues pour la démarche ETS
</t>
    </r>
    <r>
      <rPr>
        <b/>
        <u/>
        <sz val="11"/>
        <color indexed="8"/>
        <rFont val="Calibri"/>
        <family val="2"/>
      </rPr>
      <t xml:space="preserve">FD = 100 </t>
    </r>
  </si>
  <si>
    <t>Borne inférieure</t>
  </si>
  <si>
    <t>Borne supérieure</t>
  </si>
  <si>
    <t>VGAI long terme pour les effets non cancérigènes (AFSSET, 2009)</t>
  </si>
  <si>
    <t>VGAI court terme (AFSSET, 2009)</t>
  </si>
  <si>
    <t>Familles de substances</t>
  </si>
  <si>
    <t>VTR chroniques (valeurs les plus conservatoires)
Dernière revue toxicologique : novembre 2009</t>
  </si>
  <si>
    <t>VTR aigues (valeurs les plus conservatoires)
Dernière revue toxicologique : mai 2010</t>
  </si>
  <si>
    <r>
      <t xml:space="preserve">Valeur de gestion retenues pour la démarche ETS
</t>
    </r>
    <r>
      <rPr>
        <b/>
        <u/>
        <sz val="11"/>
        <color indexed="8"/>
        <rFont val="Calibri"/>
        <family val="2"/>
      </rPr>
      <t>FD = 1  (Air ambiant)</t>
    </r>
  </si>
  <si>
    <t>Effets à seuil</t>
  </si>
  <si>
    <t>Effets sans seuil</t>
  </si>
  <si>
    <t>VTR intermédiaire
(15 j à 1 an)</t>
  </si>
  <si>
    <t>VTR court terme
(&lt; 15 j)</t>
  </si>
  <si>
    <t>Borne inférieure
=
Minimum de la VTR chronique pour les effets à seuil et de la VTR chronique pour les effets sans seuil  ou VGAI (AFSSET)</t>
  </si>
  <si>
    <t>Borne supérieure
=
Minimum de la VTR court terme, de 10 fois la VTR chronique pour les effets à seuil , ou 10 fois la VGAI (AFSSET) ou VGAI aigüe ou MRL.</t>
  </si>
  <si>
    <t>Effet critique</t>
  </si>
  <si>
    <t>Référence</t>
  </si>
  <si>
    <t>Année</t>
  </si>
  <si>
    <t>Concentration correspondant à un excès de risque de 10-6 (mg/m3)</t>
  </si>
  <si>
    <t>Concentration correspondant à un excès de risque de 10-5 (mg/m3)</t>
  </si>
  <si>
    <t>Concentration correspondant à un excès de risque de 10-4 (mg/m3)</t>
  </si>
  <si>
    <t>Référence, année</t>
  </si>
  <si>
    <t>Valeur retenue (mg/m3)</t>
  </si>
  <si>
    <t>COHV</t>
  </si>
  <si>
    <t>Foie</t>
  </si>
  <si>
    <t>US EPA</t>
  </si>
  <si>
    <t>circulaire du MEDD</t>
  </si>
  <si>
    <t>VTR chronique pour les effets sans seuil  (circulaire du MEDD, 2001)</t>
  </si>
  <si>
    <t>10 fois la VTR chronique pour les effets à seuil (US EPA, 2000) et de la VTR chronique pour les effets sans seuil  (circulaire du MEDD, 2001)</t>
  </si>
  <si>
    <t>cis-1,2-dichloroéthylène (CIS)</t>
  </si>
  <si>
    <t>Sang</t>
  </si>
  <si>
    <t>RIVM</t>
  </si>
  <si>
    <t>VTR chronique pour les effets à seuil (RIVM, 2000)</t>
  </si>
  <si>
    <t>10 fois la VTR chronique pour les effets à seuil (RIVM, 2000)</t>
  </si>
  <si>
    <t>1,1,1-trichloroéthane (1,1,1-TCA)</t>
  </si>
  <si>
    <t>Système nerveux</t>
  </si>
  <si>
    <t>OEHHA</t>
  </si>
  <si>
    <t>VTR chronique pour les effets à seuil (OEHHA 2005)</t>
  </si>
  <si>
    <t>VTR court terme (US EPA, 2007)</t>
  </si>
  <si>
    <t>Trichloréthylène (TCE)</t>
  </si>
  <si>
    <t xml:space="preserve"> VGAI long terme pour les effets cancérigènes  (AFSSET, 2009)</t>
  </si>
  <si>
    <t>10 x VGAI long terme (AFSSET, 2009)</t>
  </si>
  <si>
    <t>Tétrachloréthylène (PCE)</t>
  </si>
  <si>
    <t>Reins, appareil digestif (foie)</t>
  </si>
  <si>
    <t>Dichlorométhane (chlorure de méthylène)</t>
  </si>
  <si>
    <t>Système cardio-vasculaire, système nerveux</t>
  </si>
  <si>
    <t>VTR chronique pour les effets sans seuil  (OEHHA, 2002)</t>
  </si>
  <si>
    <t>10 x VTR chronique pour les effets sans seuil  (OEHHA, 2002)</t>
  </si>
  <si>
    <t>Trichlorométhane (chloroforme) (TCM)</t>
  </si>
  <si>
    <t>Cancer du rein</t>
  </si>
  <si>
    <t>AFSSET</t>
  </si>
  <si>
    <t>VTR chronique pour les effets à seuil (AFSSET, 2008)</t>
  </si>
  <si>
    <t>VTR court terme (OEHHA, 1999)</t>
  </si>
  <si>
    <t>Tétrachlorométhane (tétrachlorure de carbone) (TCC)</t>
  </si>
  <si>
    <t>10 x la VTR chronique pour les effets à seuil (AFSSET, 2008)</t>
  </si>
  <si>
    <t>Bromoforme</t>
  </si>
  <si>
    <t>Dérivation voie orale --&gt; inhalation car effets sanitaires communs sur : système nerveux, foie, reins, appareil digestif</t>
  </si>
  <si>
    <t>dérivation 
valeur de l'OMS</t>
  </si>
  <si>
    <t>VTR chronique pour les effets sans seuil  (US EPA, 1991)</t>
  </si>
  <si>
    <t>10 x VTR chronique pour les effets sans seuil  (US EPA, 1991)</t>
  </si>
  <si>
    <t>BTEX</t>
  </si>
  <si>
    <t>VGAI long terme pour les effets cancérigènes  (AFSSET, 2008)</t>
  </si>
  <si>
    <t>10 x VGAI long terme pour les effets cancérigènes (AFSSET, 2008)</t>
  </si>
  <si>
    <t>Toluène</t>
  </si>
  <si>
    <t>OMS</t>
  </si>
  <si>
    <t>VTR chronique pour les effets à seuil (OMS, 2000)</t>
  </si>
  <si>
    <t>10 X la VTR chronique pour les effets à seuil (OMS, 2000)</t>
  </si>
  <si>
    <t>Xylènes totaux</t>
  </si>
  <si>
    <t>Système nerveux (coordination motrice)</t>
  </si>
  <si>
    <t>VTR chronique pour les effets à seuil (US EPA, 2003)</t>
  </si>
  <si>
    <t>10 x la VTR chronique pour les effets à seuil (US EPA, 2003)</t>
  </si>
  <si>
    <t>Ethylbenzène</t>
  </si>
  <si>
    <t>Foie, Reins</t>
  </si>
  <si>
    <t>VTR chronique pour les effets sans seuil  (OEHHA, 2007)</t>
  </si>
  <si>
    <t>10 x VTR chronique pour les effets sans seuil  (OEHHA, 2007)</t>
  </si>
  <si>
    <t>Composés chloro-aromatiques</t>
  </si>
  <si>
    <t>Monochlorobenzène</t>
  </si>
  <si>
    <t>Santé Canada</t>
  </si>
  <si>
    <t>VTR chronique pour les effets à seuil (Santé Canada,1991)</t>
  </si>
  <si>
    <t>10 x la VTR chronique pour les effets à seuil (Santé Canada,1991)</t>
  </si>
  <si>
    <t>1,4-dichlorobenzène</t>
  </si>
  <si>
    <t>Appareil respiratoire</t>
  </si>
  <si>
    <t>ATSDR</t>
  </si>
  <si>
    <t>Trichlorobenzènes</t>
  </si>
  <si>
    <t>Effets urinaires</t>
  </si>
  <si>
    <t>VTR chronique pour les effets à seuil (RIVM, 2001)</t>
  </si>
  <si>
    <t>10 x la VTR chronique pour les effets à seuil (RIVM, 2001)</t>
  </si>
  <si>
    <t>Phénols</t>
  </si>
  <si>
    <t>Phénol</t>
  </si>
  <si>
    <t>Foie, poumons, reins, système cardiovasculaire</t>
  </si>
  <si>
    <t>HAP</t>
  </si>
  <si>
    <t>Epithélium respiratoire et olfactif</t>
  </si>
  <si>
    <t>10 x la VGAI long terme pour les effets non cancérigènes (AFSSET, 2009)</t>
  </si>
  <si>
    <t>TPH</t>
  </si>
  <si>
    <t>Aromatiques EC&gt;6-7</t>
  </si>
  <si>
    <t>Système immunitaire</t>
  </si>
  <si>
    <t>VTR chronique pour les effets sans seuil  (OMS, 2000)</t>
  </si>
  <si>
    <t>Aromatiques EC&gt;7-8</t>
  </si>
  <si>
    <t>10 x la VTR chronique pour les effets à seuil (OMS, 2000)</t>
  </si>
  <si>
    <t>Aromatiques EC&gt;8-10</t>
  </si>
  <si>
    <t>diminution du poids corporel</t>
  </si>
  <si>
    <t>TPHCWG</t>
  </si>
  <si>
    <t>VTR chronique pour les effets à seuil (TPHCWG, 1999)</t>
  </si>
  <si>
    <t>10 x la VTR chronique pour les effets à seuil (TPHCWG, 1999)</t>
  </si>
  <si>
    <t>Aromatiques EC&gt;10-12</t>
  </si>
  <si>
    <t>Aromatiques EC&gt;12-16</t>
  </si>
  <si>
    <t>Aliphatique EC C5-C6</t>
  </si>
  <si>
    <t>Foie, Reins, Neurotoxicité</t>
  </si>
  <si>
    <t>Aliphatique EC&gt;C6-C8</t>
  </si>
  <si>
    <t>Aliphatique EC&gt;C8-C10</t>
  </si>
  <si>
    <t>Changements hépatiques et hématologiques</t>
  </si>
  <si>
    <t>Aliphatique EC&gt;C10-C12</t>
  </si>
  <si>
    <t>Aliphatique EC&gt;C12-C16</t>
  </si>
  <si>
    <t>Métaux</t>
  </si>
  <si>
    <t>Mercure Hg°</t>
  </si>
  <si>
    <t>VTR chronique pour les effets à seuil (OEHHA, 2008)</t>
  </si>
  <si>
    <t>VTR court terme (OEHHA, 2008)</t>
  </si>
  <si>
    <t>TPH CWG</t>
  </si>
  <si>
    <t>épaisseur de la couche i (au dessus de la source)</t>
  </si>
  <si>
    <t>Equivalent air du sol</t>
  </si>
  <si>
    <t>Acénaphtène</t>
  </si>
  <si>
    <t>Acénaphthylène</t>
  </si>
  <si>
    <t>Anthracène</t>
  </si>
  <si>
    <t>Benz[a]anthracène</t>
  </si>
  <si>
    <t>Benzo[a]pyrène</t>
  </si>
  <si>
    <t>Benzo[b]fluoranthène</t>
  </si>
  <si>
    <t>Benzo[g,h,i]perylène</t>
  </si>
  <si>
    <t>Benzo[k]fluornathène</t>
  </si>
  <si>
    <t>Chrysène</t>
  </si>
  <si>
    <t>Dibenz[a,h]anthracène</t>
  </si>
  <si>
    <t>Fluoranthène</t>
  </si>
  <si>
    <t>Fluorène</t>
  </si>
  <si>
    <t>Indeno[1,2,3-cd]pyrène</t>
  </si>
  <si>
    <t>Phénanthrène</t>
  </si>
  <si>
    <t>Pyrène</t>
  </si>
  <si>
    <t>QD</t>
  </si>
  <si>
    <t>Teneur limite avant contrôle de la saturation</t>
  </si>
  <si>
    <t>EMISSION ET EXPOSITION DANS LE BUREAU</t>
  </si>
  <si>
    <t>INDUSTRIEL &amp; COMMERCIAL</t>
  </si>
  <si>
    <t>Ventilation</t>
  </si>
  <si>
    <t>EMISSION ET EXPOSITION DANS LE BATIMENT INDUSTRIEL / COMMERCIAL</t>
  </si>
  <si>
    <t>PVL</t>
  </si>
  <si>
    <t>Teneur limite</t>
  </si>
  <si>
    <t>Contrôle de masse</t>
  </si>
  <si>
    <t>CT de l'air du sol de la source à l'émission, int. (après contrôle de masse)</t>
  </si>
  <si>
    <t>CT diffusion seule, intérieur, avant contrôle de masse</t>
  </si>
  <si>
    <t>CT diffusion seule, intérieur (après contrôle de masse, coloré si impact du contrôle)</t>
  </si>
  <si>
    <t>CT sans (new VOLASOIL)/ CT avec atténuation</t>
  </si>
  <si>
    <t>CT sans / CT avec atténuation, source sans fond (i.e. avant contrôle de masse)</t>
  </si>
  <si>
    <t>Diffusion seule sur convectif avec atténuat°, avant contrôle de masse (source sans fond)</t>
  </si>
  <si>
    <t>Diffusion seule sur convectif avec atténuat° (après contrôle de masse)</t>
  </si>
  <si>
    <t>Diffusion seule sur convectif + diffusif, avant contrôle de masse (source sans fond)</t>
  </si>
  <si>
    <t>Diffusion seule sur convectif + diffusif avec atténuat° (après contrôle de masse)</t>
  </si>
  <si>
    <t>8h/j - 220 j/an</t>
  </si>
  <si>
    <t>nd</t>
  </si>
  <si>
    <t>RIVM, 2001</t>
  </si>
  <si>
    <t>OEHHA, 2000</t>
  </si>
  <si>
    <t>CAS</t>
  </si>
  <si>
    <t>75-01-4</t>
  </si>
  <si>
    <t>156-59-2</t>
  </si>
  <si>
    <t>75-09-2</t>
  </si>
  <si>
    <t>127-18-4</t>
  </si>
  <si>
    <t>56-23-5</t>
  </si>
  <si>
    <t>71-55-6</t>
  </si>
  <si>
    <t>67-66-3</t>
  </si>
  <si>
    <t>79-01-6</t>
  </si>
  <si>
    <t>71-43-2</t>
  </si>
  <si>
    <t>108-88-3</t>
  </si>
  <si>
    <t>100-41-4</t>
  </si>
  <si>
    <t>1330-20-7</t>
  </si>
  <si>
    <t>91-20-3</t>
  </si>
  <si>
    <t>208-96-8</t>
  </si>
  <si>
    <t>83-32-9</t>
  </si>
  <si>
    <t>86-73-7</t>
  </si>
  <si>
    <t>85-01-8</t>
  </si>
  <si>
    <t>120-12-7</t>
  </si>
  <si>
    <t>206-44-0</t>
  </si>
  <si>
    <t>129-00-0</t>
  </si>
  <si>
    <t>56-55-3</t>
  </si>
  <si>
    <t>218-01-9</t>
  </si>
  <si>
    <t>205-99-2</t>
  </si>
  <si>
    <t>207-08-9</t>
  </si>
  <si>
    <t>50-32-8</t>
  </si>
  <si>
    <t>53-70-3</t>
  </si>
  <si>
    <t>191-24-2</t>
  </si>
  <si>
    <t>139-39-5</t>
  </si>
  <si>
    <t>PCB somme des congénéres</t>
  </si>
  <si>
    <t>PCB equivalent aroclor 1254</t>
  </si>
  <si>
    <t>Cyanures/HCN</t>
  </si>
  <si>
    <t>CN/HCN</t>
  </si>
  <si>
    <t>1336-36-3</t>
  </si>
  <si>
    <t>108-95-2</t>
  </si>
  <si>
    <t>mercure élémentaire</t>
  </si>
  <si>
    <t>mercure organique</t>
  </si>
  <si>
    <t>Hg0</t>
  </si>
  <si>
    <t>7439-97-6</t>
  </si>
  <si>
    <t>115-09-3</t>
  </si>
  <si>
    <t>OEHHA 1996</t>
  </si>
  <si>
    <t>2X10-3 mm Hg @ 25 deg C</t>
  </si>
  <si>
    <t>1 cm2/s= 10-4 (mg/m2/s)/(mg/m3/m)= 0,1 (mg/m2/s)/(mg/l/m)</t>
  </si>
  <si>
    <t>Pa.m3/mol</t>
  </si>
  <si>
    <t>HSDB/portail ineris</t>
  </si>
  <si>
    <t>3-PCB; vdBerg, 94</t>
  </si>
  <si>
    <t>portail ineris, H à vérifier notamment</t>
  </si>
  <si>
    <t>Constante R</t>
  </si>
  <si>
    <t>Pa.m3/mol/K</t>
  </si>
  <si>
    <t>HSDB, Fiche INERIS (S, Da)</t>
  </si>
  <si>
    <t>Bâti</t>
  </si>
  <si>
    <t>Terres</t>
  </si>
  <si>
    <t>Excavées</t>
  </si>
  <si>
    <t>oui</t>
  </si>
  <si>
    <t>Hauteur de mélange</t>
  </si>
  <si>
    <t>CT de l'air du sol de la source à l'émission, contrôle de masse</t>
  </si>
  <si>
    <t>CT de l'air du sol de la source à l'émission, avant contrôle masse</t>
  </si>
  <si>
    <t>Période chronique</t>
  </si>
  <si>
    <t>Période adulte 6-70 ans (effets sans seuil)</t>
  </si>
  <si>
    <t>Période enfant 0-6 ans (effets sans seuil)</t>
  </si>
  <si>
    <t>Période vie entière 0-70 ans (effets sans seuil)</t>
  </si>
  <si>
    <t>CT de l'air du sol de la source à l'émission, après contrôle masse</t>
  </si>
  <si>
    <t>SANS ATTENUATION</t>
  </si>
  <si>
    <t>Couverture 30 cm:</t>
  </si>
  <si>
    <t>AVEC ATTENUATION</t>
  </si>
  <si>
    <t>Conductivité à l'air de la zone source</t>
  </si>
  <si>
    <t>Duo</t>
  </si>
  <si>
    <t>Zo(t)</t>
  </si>
  <si>
    <t>Rapport des CT sans/avec atténuation, avant contrôle de masse (source sans fond)</t>
  </si>
  <si>
    <t>Rapport des CT sans/avec atténuation (après contrôle de masse)</t>
  </si>
  <si>
    <t>Période employé (40 ans)</t>
  </si>
  <si>
    <t>(vie entière)</t>
  </si>
  <si>
    <t>Enfant + adulte</t>
  </si>
  <si>
    <t>employé</t>
  </si>
  <si>
    <t>(expo adulte seule)</t>
  </si>
  <si>
    <t>(enfant)</t>
  </si>
  <si>
    <t>(si enfant, changer VTR adulte: vie entière)</t>
  </si>
  <si>
    <t>Employé</t>
  </si>
  <si>
    <t>Concentration dans l'air du sol</t>
  </si>
  <si>
    <t>Adultes</t>
  </si>
  <si>
    <t>Concentrations d'exposition dans l'air atmosphérique extérieur</t>
  </si>
  <si>
    <t>Saturation</t>
  </si>
  <si>
    <t>Sous bâtiment RESIDENTIEL</t>
  </si>
  <si>
    <t>Sous bâtiment BUREAUX</t>
  </si>
  <si>
    <t>Sous bâtiment INDUSTRIEL / COMMERCIAL</t>
  </si>
  <si>
    <r>
      <t>EXTERIEUR, sous couverture terre végétale</t>
    </r>
    <r>
      <rPr>
        <sz val="10"/>
        <rFont val="Times New Roman"/>
        <family val="1"/>
      </rPr>
      <t xml:space="preserve"> (30 cm)</t>
    </r>
  </si>
  <si>
    <t>PCB-A1254</t>
  </si>
  <si>
    <t>CH3HgCl</t>
  </si>
  <si>
    <t>Diffusivité multiphase effective de la zone source (rapportée à Csa)</t>
  </si>
  <si>
    <t>Diffusivité multiphase effective de la zone source (rapportée à Csv)</t>
  </si>
  <si>
    <t>cm2/s: (mg/cm2/s) /(mg/cm3air/cm)</t>
  </si>
  <si>
    <t>cm2/s: (mg/cm2/s) /(mg/cm3sol/cm)</t>
  </si>
  <si>
    <t>(mg/l air)/(mg/kg ms)</t>
  </si>
  <si>
    <t>(mg/l eau)/(mg/kg ms)</t>
  </si>
  <si>
    <t>Epaisseur de source volatilisée avant contrôle de masse</t>
  </si>
  <si>
    <t>Epaisseur de source volatilisée à t avant contrôle de masse</t>
  </si>
  <si>
    <t>CT de l'air du sol de la source à l'émission, avant contrôle de masse</t>
  </si>
  <si>
    <t>CT de l'air du sol de la source à l'émission (après contrôle de masse)</t>
  </si>
  <si>
    <t>CT de l'air du sol de la source à l'émission, avant contrôle de masse, pour toit de source constant à Zo(t)</t>
  </si>
  <si>
    <t>Rapport depuis surface / á Zo(t) (&gt; 1)</t>
  </si>
  <si>
    <t>CT/CT</t>
  </si>
  <si>
    <t>Zo/Zo</t>
  </si>
  <si>
    <t>Zo(t) source à 30 cm de profondeur avant contrôle de masse</t>
  </si>
  <si>
    <t>Rapport Zo(t) ici / Zo(t) source à 30 cm de profondeur avant contrôle de masse (&gt;1) (&lt;==&gt; rapport des CT avant contrôle masse)</t>
  </si>
  <si>
    <t>habitation rdc</t>
  </si>
  <si>
    <t>Locaux rdc</t>
  </si>
  <si>
    <t>4h/j - 220 j/an</t>
  </si>
  <si>
    <t>CT dispersion moyen int. et ext.: émission tot -&gt; air ambiant, adulte</t>
  </si>
  <si>
    <t>CT dispersion moyen int. et ext.: émission tot -&gt; air ambiant, enfant</t>
  </si>
  <si>
    <r>
      <t>Zone récréative + habitations (ZAC), terres en ext. sous couverture terre végétale</t>
    </r>
    <r>
      <rPr>
        <sz val="10"/>
        <rFont val="Times New Roman"/>
        <family val="1"/>
      </rPr>
      <t xml:space="preserve"> (30 cm)</t>
    </r>
  </si>
  <si>
    <r>
      <t>Zone récréative, terres en ext. sous couverture terre végétale</t>
    </r>
    <r>
      <rPr>
        <sz val="10"/>
        <rFont val="Times New Roman"/>
        <family val="1"/>
      </rPr>
      <t xml:space="preserve"> (30 cm)</t>
    </r>
  </si>
  <si>
    <t>Concentrations d'exposition dans l'air atmosphérique extérieur et RdC des bâtiments</t>
  </si>
  <si>
    <t>Zone industrielle, terres en surface, exposition employé en extérieur (mi-temps) et en intérieur</t>
  </si>
  <si>
    <t>Zone récréative, terres en ext. sous couverture terre végétale (30 cm)</t>
  </si>
  <si>
    <t>Zone récréative + habitations (ZAC), terres en ext. sous couverture terre végétale (30 cm)</t>
  </si>
  <si>
    <t>coarse sand</t>
  </si>
  <si>
    <t>medium sand</t>
  </si>
  <si>
    <t>fine sand</t>
  </si>
  <si>
    <t>silty sand</t>
  </si>
  <si>
    <t>silt</t>
  </si>
  <si>
    <t>clay</t>
  </si>
  <si>
    <t>mg/kg</t>
  </si>
  <si>
    <t>BaP</t>
  </si>
  <si>
    <t>Seuil de détection olfactive retenu</t>
  </si>
  <si>
    <t>ZI terres surface</t>
  </si>
  <si>
    <t xml:space="preserve">Résistance totale hors bitume du sol à la diffusion </t>
  </si>
  <si>
    <t>EMISSION EN EXTERIEUR (ZAC)  ET EXPOSITION  EN EXTERIEUR ET EN INTERIEUR (RdC), couverture 30 cm TV</t>
  </si>
  <si>
    <t>Sans atténuation ni contrôle de masse</t>
  </si>
  <si>
    <t>Avec atténuation sans contrôle de masse</t>
  </si>
  <si>
    <t>Avec atténuation avec contrôle de masse</t>
  </si>
  <si>
    <t>(L/DUEq)/(L/DUEq)</t>
  </si>
  <si>
    <t>coeff. De diffusion effectif (rapporté à Csa), part air</t>
  </si>
  <si>
    <t>coeff. De diffusion effectif (rapporté à Csa), part eau</t>
  </si>
  <si>
    <t>Deff sa</t>
  </si>
  <si>
    <t>Deff pw</t>
  </si>
  <si>
    <t>Def/deff</t>
  </si>
  <si>
    <t>CT de l'air du sol de la source à l'émission (après contrôle de masse, coloré si impact du contrôle)</t>
  </si>
  <si>
    <t>Zone industrielle, terres sous parking, exposition employé en extérieur (mi-temps) et en intérieur</t>
  </si>
  <si>
    <t>Seuil de détection olfactive (ETS)</t>
  </si>
  <si>
    <t>ppm</t>
  </si>
  <si>
    <t>Conversion 1 ppm v en mg/m3 (source: ETS)</t>
  </si>
  <si>
    <t>Concentration de saturation dans l'air / Seuil de détection olfactive</t>
  </si>
  <si>
    <t>Seuil pour détection olfactive air du sol</t>
  </si>
  <si>
    <t>Seuil de détection olfactive / VTR seuil</t>
  </si>
  <si>
    <t>Emission de départ (i.e. sans atténuation)</t>
  </si>
  <si>
    <t>Seuil dont détection olfactive air ambiant</t>
  </si>
  <si>
    <t>Seuil dont détection olfactive air du sol</t>
  </si>
  <si>
    <t>Rapport des diffusivités tot parking/TV</t>
  </si>
  <si>
    <t>Rapport des diffusivités totales</t>
  </si>
  <si>
    <t>sans couverture</t>
  </si>
  <si>
    <t>Ext. Sous TV</t>
  </si>
  <si>
    <t>Ext. parking</t>
  </si>
  <si>
    <t>EMISSION EN EXTERIEUR (ZI)  ET EXPOSITION  EN EXTERIEUR ET EN INTERIEUR (RdC), couverture 30 cm TV</t>
  </si>
  <si>
    <t>Zone industrielle, terres sous terre végétale (30cm), exposition employé en extérieur (mi-temps) et en intérieur</t>
  </si>
  <si>
    <t>Zone industrielle, terres sous TV ou parking, exposition employé en extérieur (mi-temps) et en intérieur</t>
  </si>
  <si>
    <t>Seuil avant contrôle de détection olfactive</t>
  </si>
  <si>
    <t>Seuil (non cancérigène)</t>
  </si>
  <si>
    <t>Seuil (cancérigène)</t>
  </si>
  <si>
    <t>Seuil avant contrôle de la saturation</t>
  </si>
  <si>
    <t>Practically odorless; mild aromatic odor (HSDB)</t>
  </si>
  <si>
    <t>Practically odorless; mild hydrocarbon odor (HSDB)</t>
  </si>
  <si>
    <t xml:space="preserve">Versch </t>
  </si>
  <si>
    <t>Verschueren hexane</t>
  </si>
  <si>
    <t>0,1-10; 0,73</t>
  </si>
  <si>
    <t>Rippen,1996, Verschueren (0,73)</t>
  </si>
  <si>
    <t>Concentration dans l'air ambiant, hauteur adulte</t>
  </si>
  <si>
    <t>Concentration dans l'air ambiant, hauteur enfant</t>
  </si>
  <si>
    <t>Concentration dans l'air ambiant</t>
  </si>
  <si>
    <t>moyenne</t>
  </si>
  <si>
    <t>dodecane</t>
  </si>
  <si>
    <t>E-X moyenne</t>
  </si>
  <si>
    <t>26-52 Versc</t>
  </si>
  <si>
    <t>N carbones</t>
  </si>
  <si>
    <t>EC</t>
  </si>
  <si>
    <t>% poids min</t>
  </si>
  <si>
    <t>% poids max</t>
  </si>
  <si>
    <t>DIESEL</t>
  </si>
  <si>
    <t>Straight</t>
  </si>
  <si>
    <t>Chain</t>
  </si>
  <si>
    <t>Alkanes</t>
  </si>
  <si>
    <t>n-Octane</t>
  </si>
  <si>
    <t>BP,</t>
  </si>
  <si>
    <t>n-Nonane</t>
  </si>
  <si>
    <t>n-Decane</t>
  </si>
  <si>
    <t>n-Undecane</t>
  </si>
  <si>
    <t>n-Dodecane</t>
  </si>
  <si>
    <t>n-Tridecane</t>
  </si>
  <si>
    <t>n-Tetradecane</t>
  </si>
  <si>
    <t>n-Pentadecane</t>
  </si>
  <si>
    <t>n-Hexadecane</t>
  </si>
  <si>
    <t>n-Heptadecane</t>
  </si>
  <si>
    <t>n-Octadecane</t>
  </si>
  <si>
    <t>n-Nonadecane</t>
  </si>
  <si>
    <t>n-Eicosane</t>
  </si>
  <si>
    <t>n-Heneicosane</t>
  </si>
  <si>
    <t>n-Docosane</t>
  </si>
  <si>
    <t>n-Tetracosane</t>
  </si>
  <si>
    <t>Branched</t>
  </si>
  <si>
    <t>3-Methylundecane</t>
  </si>
  <si>
    <t>2-Methyldodecane</t>
  </si>
  <si>
    <t>3-Methyltridecane</t>
  </si>
  <si>
    <t>2-Methyltetradecane</t>
  </si>
  <si>
    <t>Alkyl</t>
  </si>
  <si>
    <t>Benzenes</t>
  </si>
  <si>
    <t>Benzene</t>
  </si>
  <si>
    <t>Toluene</t>
  </si>
  <si>
    <t>Ethylbenzene</t>
  </si>
  <si>
    <t>o-Xylene</t>
  </si>
  <si>
    <t>m-Xylene</t>
  </si>
  <si>
    <t>p-Xylene</t>
  </si>
  <si>
    <t>Styrene</t>
  </si>
  <si>
    <t>1-Methyl-4-isopropylbenzene</t>
  </si>
  <si>
    <t>1,3,5-Trimethylbenzene</t>
  </si>
  <si>
    <t>n-Propylbenzene</t>
  </si>
  <si>
    <t>Isopropylbenzene</t>
  </si>
  <si>
    <t>n-Butylbenzene</t>
  </si>
  <si>
    <t>Biphenyl</t>
  </si>
  <si>
    <t>Naphtheno-Benzenes</t>
  </si>
  <si>
    <t>Fluorene</t>
  </si>
  <si>
    <t>Fluoranthene</t>
  </si>
  <si>
    <t>Benz(b)fluoranthene</t>
  </si>
  <si>
    <t>Benz(k)fluoranthene</t>
  </si>
  <si>
    <t>Indeno (1,2,3-cd) pyrene</t>
  </si>
  <si>
    <t>Naphthalenes</t>
  </si>
  <si>
    <t>Naphthalene</t>
  </si>
  <si>
    <t>1-Methylnaphthalene</t>
  </si>
  <si>
    <t>2-Methylnaphthalene</t>
  </si>
  <si>
    <t>1,3-Dimethylnaphthalene</t>
  </si>
  <si>
    <t>1,4-Dimethylnaphthalene</t>
  </si>
  <si>
    <t>1,5-Dimethylnaphthalene</t>
  </si>
  <si>
    <t>Polynuclear</t>
  </si>
  <si>
    <t>Aromatics</t>
  </si>
  <si>
    <t>Anthracene</t>
  </si>
  <si>
    <t xml:space="preserve">- </t>
  </si>
  <si>
    <t>2-Methyl anthracene</t>
  </si>
  <si>
    <t>Phenanthrene</t>
  </si>
  <si>
    <t>1-Methylphenanthrene</t>
  </si>
  <si>
    <t>2-Methylphenanthrene</t>
  </si>
  <si>
    <t>3-Methylphenanthrene</t>
  </si>
  <si>
    <t>4 &amp; 9-Methylphenanthrene</t>
  </si>
  <si>
    <t>Pyrene</t>
  </si>
  <si>
    <t>1-Methylpyrene</t>
  </si>
  <si>
    <t>2-Methylpyrene</t>
  </si>
  <si>
    <t>Benz(a)anthracene</t>
  </si>
  <si>
    <t>Chrysene</t>
  </si>
  <si>
    <t>Triphenylene</t>
  </si>
  <si>
    <t>Cyclopenta(cd)pyrene</t>
  </si>
  <si>
    <t>1-Methyl-7- isopropylphenanthrene</t>
  </si>
  <si>
    <t>3-Methylchrysene</t>
  </si>
  <si>
    <t>6-Methylchrysene</t>
  </si>
  <si>
    <t>Benz(a)pyrene</t>
  </si>
  <si>
    <t>Benz(e)pyrene</t>
  </si>
  <si>
    <t>Perylene</t>
  </si>
  <si>
    <t>Benz(ghi)perylene</t>
  </si>
  <si>
    <t>Picene</t>
  </si>
  <si>
    <t>FUEL</t>
  </si>
  <si>
    <t>OIL</t>
  </si>
  <si>
    <t>#2</t>
  </si>
  <si>
    <t>Acenaphthene</t>
  </si>
  <si>
    <t>Acenaphthylene</t>
  </si>
  <si>
    <t>2,3- Benzofluorene</t>
  </si>
  <si>
    <t>Benzo(a)fluorene</t>
  </si>
  <si>
    <t>Benzo(ghi)fluoranthene</t>
  </si>
  <si>
    <t>9,10-Dimethyl anthracene</t>
  </si>
  <si>
    <t>Benzo(b)chrysene</t>
  </si>
  <si>
    <t>Benzo(ghi)pyrene</t>
  </si>
  <si>
    <t>3-Methylcholanthrene</t>
  </si>
  <si>
    <t>Coronene</t>
  </si>
  <si>
    <t>GASOLINE</t>
  </si>
  <si>
    <t>Propane</t>
  </si>
  <si>
    <t>LUFT,</t>
  </si>
  <si>
    <t>n-Butane</t>
  </si>
  <si>
    <t>n-Pentane</t>
  </si>
  <si>
    <t>n-Hexane</t>
  </si>
  <si>
    <t>n-Heptane</t>
  </si>
  <si>
    <t>Isobutane</t>
  </si>
  <si>
    <t>2,2-Dimethylbutane</t>
  </si>
  <si>
    <t>2,3-Dimethylbutane</t>
  </si>
  <si>
    <t>2,2,3-Trimethylbutane</t>
  </si>
  <si>
    <t>Neopentane</t>
  </si>
  <si>
    <t>Isopentane</t>
  </si>
  <si>
    <t>2-Methylpentane</t>
  </si>
  <si>
    <t>3-Methylpentane</t>
  </si>
  <si>
    <t>(vol)</t>
  </si>
  <si>
    <t>2,4-Dimethylpentane</t>
  </si>
  <si>
    <t>2,3-Dimethylpentane</t>
  </si>
  <si>
    <t>3,3-Dimethylpentane</t>
  </si>
  <si>
    <t>2,2,3-Trimethylpentane</t>
  </si>
  <si>
    <t>2,2,4-Trimethylpentane</t>
  </si>
  <si>
    <t>2,3,3-Trimethylpentane</t>
  </si>
  <si>
    <t>2,3,4-Trimethylpentane</t>
  </si>
  <si>
    <t>2,4-Dimethyl-3-ethylpentane</t>
  </si>
  <si>
    <t>2-Methylhexane</t>
  </si>
  <si>
    <t>3-Methylhexane</t>
  </si>
  <si>
    <t>2,4-Dimethylhexane</t>
  </si>
  <si>
    <t>2,5-Dimethylhexane</t>
  </si>
  <si>
    <t>3,4-Dimethylhexane</t>
  </si>
  <si>
    <t>3-Ethylhexane</t>
  </si>
  <si>
    <t>2-Methyl-3-ethylhexane</t>
  </si>
  <si>
    <t>2,2,4-Trimethylhexane</t>
  </si>
  <si>
    <t>2,2,5-Trimethylhexane</t>
  </si>
  <si>
    <t>2,3,3-Trimethylhexane</t>
  </si>
  <si>
    <t>2,3,5-Trimethylhexane</t>
  </si>
  <si>
    <t>2,4,4-Trimethylhexane</t>
  </si>
  <si>
    <t>2-Methylheptane</t>
  </si>
  <si>
    <t>3-Methylheptane</t>
  </si>
  <si>
    <t>4-Methylheptane</t>
  </si>
  <si>
    <t>2,2-Dimethylheptane</t>
  </si>
  <si>
    <t>2,3-Dimethylheptane</t>
  </si>
  <si>
    <t>2,6-Dimethylheptane</t>
  </si>
  <si>
    <t>3,3-Dimethylheptane</t>
  </si>
  <si>
    <t>3,4-Dimethylheptane</t>
  </si>
  <si>
    <t>2,2,4-Trimethylheptane</t>
  </si>
  <si>
    <t>3,3,5-Trimethylheptane</t>
  </si>
  <si>
    <t>3-Ethylheptane</t>
  </si>
  <si>
    <t>2-Methyloctane</t>
  </si>
  <si>
    <t>3-Methyloctane</t>
  </si>
  <si>
    <t>4-Methyloctane</t>
  </si>
  <si>
    <t>2,6-Dimethyloctane</t>
  </si>
  <si>
    <t>2-Methylnonane</t>
  </si>
  <si>
    <t>3-Methylnonane</t>
  </si>
  <si>
    <t>4-Methylnonane</t>
  </si>
  <si>
    <t>Cycloalkanes</t>
  </si>
  <si>
    <t>Cyclopentane</t>
  </si>
  <si>
    <t>Methylcyclopentane</t>
  </si>
  <si>
    <t>NQ</t>
  </si>
  <si>
    <t>1-Methyl-cis-2-ethylcyclopentane</t>
  </si>
  <si>
    <t>1-Methyl-trans-3-ethylcyclopentane</t>
  </si>
  <si>
    <t>1-cis-2-Dimethylcyclopentane</t>
  </si>
  <si>
    <t>1-trans-2-Dimethylcyclopentane</t>
  </si>
  <si>
    <t>1,1,2-Trimethylcyclopentane</t>
  </si>
  <si>
    <t>1-trans-2-cis-4-Trimethylcyclopentane</t>
  </si>
  <si>
    <t>Ethylcyclopentane</t>
  </si>
  <si>
    <t>n-Propylcyclopentane</t>
  </si>
  <si>
    <t>Isopropylcyclopentane</t>
  </si>
  <si>
    <t>1-trans-3-Dimethylcyclohexane</t>
  </si>
  <si>
    <t>Ethylcyclohexane</t>
  </si>
  <si>
    <t>Cyclohexane</t>
  </si>
  <si>
    <t>API,</t>
  </si>
  <si>
    <t>Chained</t>
  </si>
  <si>
    <t>Alkenes</t>
  </si>
  <si>
    <t>cis-2-Butene</t>
  </si>
  <si>
    <t>trans-2-Butene</t>
  </si>
  <si>
    <t>Pentene-1</t>
  </si>
  <si>
    <t>cis-2-Pentene</t>
  </si>
  <si>
    <t>trans-2-Pentene</t>
  </si>
  <si>
    <t>cis-2-Hexene</t>
  </si>
  <si>
    <t>trans-2-Hexene</t>
  </si>
  <si>
    <t>cis-3-Hexene</t>
  </si>
  <si>
    <t>trans-3-Hexene</t>
  </si>
  <si>
    <t>cis-3-Heptene</t>
  </si>
  <si>
    <t>trans-2-Heptene</t>
  </si>
  <si>
    <t>2-Methyl-1-butene</t>
  </si>
  <si>
    <t>3-Methyl-1-butene</t>
  </si>
  <si>
    <t>2-Methyl-2-butene</t>
  </si>
  <si>
    <t>2,3-Dimethyl-1-butene</t>
  </si>
  <si>
    <t>2-Methyl-1-pentene</t>
  </si>
  <si>
    <t>2,3-Dimethyl-1-pentene</t>
  </si>
  <si>
    <t>2,4-Dimethyl-1-pentene</t>
  </si>
  <si>
    <t>4,4-Dimethyl-1-pentene</t>
  </si>
  <si>
    <t>2-Methyl-2-pentene</t>
  </si>
  <si>
    <t>3-Methyl-cis-2-pentene</t>
  </si>
  <si>
    <t>3-Methyl-trans-2-pentene</t>
  </si>
  <si>
    <t>4-Methyl-cis-2-pentene</t>
  </si>
  <si>
    <t>4-Methyl-trans-2-pentene</t>
  </si>
  <si>
    <t>4,4-Dimethyl-cis-2-pentene</t>
  </si>
  <si>
    <t>4,4-Dimethyl-trans-2-pentene</t>
  </si>
  <si>
    <t>3-Ethyl-2-pentene</t>
  </si>
  <si>
    <t>Cycloalkenes</t>
  </si>
  <si>
    <t>Cyclopentene</t>
  </si>
  <si>
    <t>3-Methylcyclopentene</t>
  </si>
  <si>
    <t>Cyclohexene</t>
  </si>
  <si>
    <t>1-Methyl-4-ethylbenzene</t>
  </si>
  <si>
    <t>1-Methyl-2-ethylbenzene</t>
  </si>
  <si>
    <t>1-Methyl-3-ethylbenzene</t>
  </si>
  <si>
    <t>1-Methyl-2-n-propylbenzene</t>
  </si>
  <si>
    <t>1-Methyl-3-n-propylbenzene</t>
  </si>
  <si>
    <t>1-Methyl-2-isopropylbenzene</t>
  </si>
  <si>
    <t>1-Methyl-3-t-butylbenzene</t>
  </si>
  <si>
    <t>1-Methyl-4-t-butylbenzene</t>
  </si>
  <si>
    <t>1,2-Dimethyl-3-ethylbenzene</t>
  </si>
  <si>
    <t>1,2-Dimethyl-4-ethylbenzene</t>
  </si>
  <si>
    <t>1,3-Dimethyl-2-ethylbenzene</t>
  </si>
  <si>
    <t>1,3-Dimethyl-4-ethylbenzene</t>
  </si>
  <si>
    <t>1,3-Dimethyl-5-ethylbenzene</t>
  </si>
  <si>
    <t>1,3-Dimethyl-5-t-butylbenzene</t>
  </si>
  <si>
    <t>1,4-Dimethyl-2-ethylbenzene</t>
  </si>
  <si>
    <t>1,2,3-Trimethylbenzene</t>
  </si>
  <si>
    <t>1,2,4-Trimethylbenzene</t>
  </si>
  <si>
    <t>1,2,3,4-Tetramethylbenzene</t>
  </si>
  <si>
    <t>1,2,3,5-Tetramethylbenzene</t>
  </si>
  <si>
    <t>1,2,4,5-Tetramethylbenzene</t>
  </si>
  <si>
    <t>1,2-Diethylbenzene</t>
  </si>
  <si>
    <t>1,3-Diethylbenzene</t>
  </si>
  <si>
    <t>Isobutylbenzene</t>
  </si>
  <si>
    <t>sec-Butylbenzene</t>
  </si>
  <si>
    <t>t-Butylbenzene</t>
  </si>
  <si>
    <t>n-Pentylbenzene</t>
  </si>
  <si>
    <t>Isopentylbenzene</t>
  </si>
  <si>
    <t>Naphtheno</t>
  </si>
  <si>
    <t>Indan</t>
  </si>
  <si>
    <t>1-Methylindan</t>
  </si>
  <si>
    <t>2-Methylindan</t>
  </si>
  <si>
    <t>4-Methylindan</t>
  </si>
  <si>
    <t>5-Methylindan</t>
  </si>
  <si>
    <t>Tetralin (tetrahydronaphthalene)</t>
  </si>
  <si>
    <t>Données d'entrée du TPHCWG</t>
  </si>
  <si>
    <t>&lt;,002</t>
  </si>
  <si>
    <t>&lt;0,01</t>
  </si>
  <si>
    <t>&lt;0,001</t>
  </si>
  <si>
    <t>&lt;0,0005</t>
  </si>
  <si>
    <t>&lt;0,0001</t>
  </si>
  <si>
    <t>&lt;0,125</t>
  </si>
  <si>
    <t>&lt;0,0024</t>
  </si>
  <si>
    <t>&lt;0,0006</t>
  </si>
  <si>
    <t>&lt;0,00006</t>
  </si>
  <si>
    <t>&lt;0,0012</t>
  </si>
  <si>
    <t>&lt;0,0036</t>
  </si>
  <si>
    <t>&lt;0,00012</t>
  </si>
  <si>
    <t>&lt;0,000024</t>
  </si>
  <si>
    <t>&lt;10,01</t>
  </si>
  <si>
    <t>1-trans-2-cis-3-Trimethylcyclopentane</t>
  </si>
  <si>
    <t>&gt; EC</t>
  </si>
  <si>
    <t>min</t>
  </si>
  <si>
    <t>max</t>
  </si>
  <si>
    <t>Ar
&lt;EC5</t>
  </si>
  <si>
    <t>Al
&lt;EC5</t>
  </si>
  <si>
    <t>Min                         Min                         Min                         Min                         Min                         Min                         Min                         Min</t>
  </si>
  <si>
    <t>Som-me</t>
  </si>
  <si>
    <t>En % massique</t>
  </si>
  <si>
    <t>Données retravaillées</t>
  </si>
  <si>
    <t>Max                         Max                         Max                         Max                         Max                         Max                         Max                         Max</t>
  </si>
  <si>
    <t>Moyenn géomq</t>
  </si>
  <si>
    <t>Moyenn arithmq</t>
  </si>
  <si>
    <t>Moyenne géométrique                 Moyenne géométrique                 Moyenne géométrique                 Moyenne géométrique                 Moyenne géométrique                 Moyenne géométrique                 Moyenne géométrique                 Min</t>
  </si>
  <si>
    <t>Moyenne arithmétique                 Moyenne arithmétique                 Moyenne arithmétique                 Moyenne arithmétique                 Moyenne arithmétique                 Moyenne arithmétique                 Moyenne arithmétique                 Min</t>
  </si>
  <si>
    <t>Période 2 mois (odeur)</t>
  </si>
  <si>
    <t>mois</t>
  </si>
  <si>
    <t>Rapport des CT sans atténuation avant contrôle/avec atténuation après contrôle de masse</t>
  </si>
  <si>
    <t>Seuil pour détection olfactive air ambiant immédiate</t>
  </si>
  <si>
    <t>Seuil dont détection olfactive air ambiant immédiat</t>
  </si>
  <si>
    <r>
      <t xml:space="preserve">Seuils </t>
    </r>
    <r>
      <rPr>
        <sz val="10"/>
        <rFont val="Times New Roman"/>
        <family val="1"/>
      </rPr>
      <t>en mg/kg ms</t>
    </r>
  </si>
  <si>
    <t>Somme normée</t>
  </si>
  <si>
    <t>C5-C10</t>
  </si>
  <si>
    <t>C5-C10 d'après</t>
  </si>
  <si>
    <t>Arithm</t>
  </si>
  <si>
    <t>géomq</t>
  </si>
  <si>
    <t>Extrapolation de VPL sur classe proche et mélange type</t>
  </si>
  <si>
    <t>Somme des teneurs (extrap)</t>
  </si>
  <si>
    <t>AL+Ar 
EC5-EC6</t>
  </si>
  <si>
    <t>AL+Ar
&gt;EC6-EC8</t>
  </si>
  <si>
    <t>AL+Ar 
&gt;EC8-EC10</t>
  </si>
  <si>
    <t>AL+Ar &gt;
EC10-EC12</t>
  </si>
  <si>
    <t>AL+Ar 
&gt;EC12-EC16</t>
  </si>
  <si>
    <t>AL+Ar 
&gt;EC16- EC21</t>
  </si>
  <si>
    <t>AL+Ar  &gt;EC21</t>
  </si>
  <si>
    <t>Classes Aromatiques + Aliphatiques</t>
  </si>
  <si>
    <t>C10-C40 d'après les différentes classes</t>
  </si>
  <si>
    <t>C5-C10 "essence" d'après  les différentes classes</t>
  </si>
  <si>
    <t>Seuil sans contrôle de détection olfactive</t>
  </si>
  <si>
    <t>C10-C40</t>
  </si>
  <si>
    <t>Fractions des coupes essence dans C5-C10, 
sur base de moyenne géométrique des min-max</t>
  </si>
  <si>
    <t>Fractions des coupes gasoil dans C10-C40, 
sur base de moyenne géométrique des min-max</t>
  </si>
  <si>
    <t>Fractions des coupes essence dans C5-C10, 
sur base de moyenne arithmétique des min-max</t>
  </si>
  <si>
    <t>Fractions des coupes gasoil dans C10-C40, 
sur base de moyenne arithmétique des min-max</t>
  </si>
  <si>
    <t>Somme calculée</t>
  </si>
  <si>
    <t>Somme corrigée</t>
  </si>
  <si>
    <t>Indice Phénol</t>
  </si>
  <si>
    <t>7 PCB</t>
  </si>
  <si>
    <t>Seuil pour détection olfactive air ambiant 2 mois</t>
  </si>
  <si>
    <t>Seuil dont détection olfactive air ambiant 2 mois</t>
  </si>
  <si>
    <t>Teneur limite sol</t>
  </si>
  <si>
    <t>PCB (7)</t>
  </si>
  <si>
    <t>Risque ciblé, (effet à seuil)</t>
  </si>
  <si>
    <t>Risque partiel (effet à seuil)</t>
  </si>
  <si>
    <t>Teneur limite (effet à seuil)</t>
  </si>
  <si>
    <t>Risque ciblé, (effet sans seuil)</t>
  </si>
  <si>
    <t>Risque partiel (effet sans seuil)</t>
  </si>
  <si>
    <t>Teneur limite (effet sans seuil)</t>
  </si>
  <si>
    <t>PVL: Pas de Valeur Limite</t>
  </si>
  <si>
    <t>(Hg: 4,5 µg/kg)</t>
  </si>
  <si>
    <t>Terres excavées</t>
  </si>
  <si>
    <t xml:space="preserve">Gravier (sec) </t>
  </si>
  <si>
    <t>Enrobé parking</t>
  </si>
  <si>
    <t>TV pelouse</t>
  </si>
  <si>
    <t>Limon sableux pelouse</t>
  </si>
  <si>
    <t>Dalle</t>
  </si>
  <si>
    <t>Sous dalle</t>
  </si>
  <si>
    <t>Bitume parking</t>
  </si>
  <si>
    <t>Couche</t>
  </si>
  <si>
    <t>Grisé: donnée d'entrée</t>
  </si>
  <si>
    <t>Fond blanc: calculé</t>
  </si>
  <si>
    <t>ZAC résidentielle</t>
  </si>
  <si>
    <t>ZI</t>
  </si>
  <si>
    <t>Fréquence d'exposition moyenne (annuelle) à l'air considéré</t>
  </si>
  <si>
    <t>Fréquence d'exposition moyenne sur 70 ans à l'air considéré</t>
  </si>
  <si>
    <t>Sensibilité aux variantes du modèle</t>
  </si>
  <si>
    <t>Sous bâti</t>
  </si>
  <si>
    <t>Epaisseur de source volatilisée à t*, avant contrôle de masse global</t>
  </si>
  <si>
    <t xml:space="preserve">Ci-dessous: </t>
  </si>
  <si>
    <t xml:space="preserve">Ci-dessus: </t>
  </si>
  <si>
    <t>Teneur limite pour détection olfactive air ambiant, avant contrôle de la saturation</t>
  </si>
  <si>
    <t>Teneur limite pour détection olfactive air ambiant, après contrôle de la saturation</t>
  </si>
  <si>
    <t>ZAC</t>
  </si>
  <si>
    <t>Source:</t>
  </si>
  <si>
    <t>Tous</t>
  </si>
  <si>
    <t>Effet à seuil</t>
  </si>
  <si>
    <t>Effet sans seuil</t>
  </si>
  <si>
    <t>Calcul de la teneur limite avec source permanente mais contrôle global de masse (pour étude de sensibilité)</t>
  </si>
  <si>
    <t>Source permanente</t>
  </si>
  <si>
    <t>Source décroissante</t>
  </si>
  <si>
    <t>Bureau</t>
  </si>
  <si>
    <t>Scénario</t>
  </si>
  <si>
    <t>Rapport : Avec / Sans source  décroissante</t>
  </si>
  <si>
    <t>Rapport des CT foc =0,1 / foc =0,6</t>
  </si>
  <si>
    <t>CT du sol à l'eau interstitielle, foc = 0,6</t>
  </si>
  <si>
    <t>Rapport des CT du sol à l'eau interstitielle, foc=0,1 / foc = 0,6</t>
  </si>
  <si>
    <t>concentration de saturation dans le sol de la fraction molaire xi, , foc = 0,6</t>
  </si>
  <si>
    <t>Rapport des Cs sat, foc =0,6/ foc =0,1</t>
  </si>
  <si>
    <t>* Teneur limite (effet à seuil /sans seuil): avant contrôle de la saturation</t>
  </si>
  <si>
    <t>Teneur limite (effet à seuil) *</t>
  </si>
  <si>
    <t>Teneur limite (effet sans seuil)  *</t>
  </si>
  <si>
    <t>Facteur de transfert retenu: Min (convection et diffusion sans atténuation; convection seule avec  atténuation + diffusion seule avec  atténuation)</t>
  </si>
  <si>
    <t>Flux d'air de convection du sol en intérieur = CT convection seule</t>
  </si>
  <si>
    <t>Epaisseur de source volatilisée à t, convection seule source permanente</t>
  </si>
  <si>
    <t>Epaisseur de source volatilisée à t, conv° + diff°, source permanente</t>
  </si>
  <si>
    <t>Epaisseur de source volatilisée à t, diffusion seule source permanente</t>
  </si>
  <si>
    <t>Source permanente , convection seule</t>
  </si>
  <si>
    <t>Source permanente , diffusion seule</t>
  </si>
  <si>
    <t>Source décroissante , convection seule</t>
  </si>
  <si>
    <t>Source décroissante , diffusion seule</t>
  </si>
  <si>
    <t>Source permanente, convection &amp; diffusion</t>
  </si>
  <si>
    <t>Source décroissante, convection &amp; diffusion*</t>
  </si>
  <si>
    <t>*= Facteur de transfert retenu, moyennant le  contrôle de masse global qui écrête à 3 m</t>
  </si>
  <si>
    <t>Check ups:</t>
  </si>
  <si>
    <t>HESP, avec Vw = 0 au lieu de 0,01</t>
  </si>
  <si>
    <t>USIRF, 2011: porosité efficace 0-3%  pour porosité totale 5-8%</t>
  </si>
  <si>
    <t>Remblais graveleux-sable</t>
  </si>
  <si>
    <t>Remblais argile-sable</t>
  </si>
  <si>
    <t>dans frange capillaire site 1999</t>
  </si>
  <si>
    <t>corrigé avec part limoneuse par rapport à un pur sable+gravier car fms "faible", site 1999</t>
  </si>
  <si>
    <t>Sous enrobé</t>
  </si>
  <si>
    <t>fraction de carbone organique du sol</t>
  </si>
  <si>
    <t>Ratio - Teneur limite avant contrôle de la saturation</t>
  </si>
  <si>
    <t>Ratio - Teneur limite sol</t>
  </si>
  <si>
    <t>Rapp coeff diffusion effectif air / eau</t>
  </si>
  <si>
    <t>d'après standard et mesure fms</t>
  </si>
  <si>
    <t>Terre de couverture sèche</t>
  </si>
  <si>
    <t>INERIS, 2001</t>
  </si>
  <si>
    <t>Béton mauvaise qualité</t>
  </si>
  <si>
    <t>Béton sec qualité normale</t>
  </si>
  <si>
    <t>Vw: ci-dessus; foc: mesures</t>
  </si>
  <si>
    <t>Perméabilité de fissure (VOLASOIL)</t>
  </si>
  <si>
    <t>Sol limoneux</t>
  </si>
  <si>
    <t>HESP (1995 p 31; ECETOC n°40), avec Vw = 0 au lieu de 0,01</t>
  </si>
  <si>
    <t>Conductivité hydraulique du sol</t>
  </si>
  <si>
    <t>Кmax</t>
  </si>
  <si>
    <t>К</t>
  </si>
  <si>
    <t>Кmax: valeur majorante calculée à partir de k</t>
  </si>
  <si>
    <t>de Marsily, 1981</t>
  </si>
  <si>
    <t>Choix du GT</t>
  </si>
  <si>
    <t>données entrées</t>
  </si>
  <si>
    <t xml:space="preserve">Source des </t>
  </si>
  <si>
    <t>Source des données entrées</t>
  </si>
  <si>
    <t>Perméabilité intrinsèque du sol</t>
  </si>
  <si>
    <t>Volasoil: at field capacity water content</t>
  </si>
  <si>
    <t>Rapport des seuils avant contrôles</t>
  </si>
  <si>
    <t>N carbones: nombre de carbones</t>
  </si>
  <si>
    <r>
      <rPr>
        <sz val="8"/>
        <rFont val="Calibri"/>
        <family val="2"/>
      </rPr>
      <t>≤</t>
    </r>
    <r>
      <rPr>
        <sz val="8"/>
        <rFont val="Arial"/>
        <family val="2"/>
      </rPr>
      <t xml:space="preserve"> EC</t>
    </r>
  </si>
  <si>
    <t>=</t>
  </si>
  <si>
    <t>Case grisée: % volumique</t>
  </si>
  <si>
    <t>Case grisée: EC extrapolé depuis HC proche</t>
  </si>
  <si>
    <t>Ali / Aro</t>
  </si>
  <si>
    <t>ali</t>
  </si>
  <si>
    <t>aro</t>
  </si>
  <si>
    <t>Aliphatique / Aromatique</t>
  </si>
  <si>
    <r>
      <t xml:space="preserve">Pondération:
</t>
    </r>
    <r>
      <rPr>
        <sz val="10"/>
        <rFont val="Calibri"/>
        <family val="2"/>
      </rPr>
      <t>Σ</t>
    </r>
    <r>
      <rPr>
        <sz val="10"/>
        <rFont val="Times New Roman"/>
        <family val="1"/>
      </rPr>
      <t xml:space="preserve">poids    Seuil
(%)  </t>
    </r>
    <r>
      <rPr>
        <sz val="10"/>
        <color rgb="FFFFFFCC"/>
        <rFont val="Times New Roman"/>
        <family val="1"/>
      </rPr>
      <t>---------</t>
    </r>
  </si>
  <si>
    <t>Min</t>
  </si>
  <si>
    <t>Min hors B,T</t>
  </si>
  <si>
    <r>
      <t xml:space="preserve">Pondération:
</t>
    </r>
    <r>
      <rPr>
        <sz val="10"/>
        <rFont val="Calibri"/>
        <family val="2"/>
      </rPr>
      <t>Σ</t>
    </r>
    <r>
      <rPr>
        <sz val="10"/>
        <rFont val="Times New Roman"/>
        <family val="1"/>
      </rPr>
      <t xml:space="preserve">poids    Seuil
(%)  </t>
    </r>
    <r>
      <rPr>
        <sz val="10"/>
        <color rgb="FF00FF00"/>
        <rFont val="Times New Roman"/>
        <family val="1"/>
      </rPr>
      <t>---------</t>
    </r>
  </si>
  <si>
    <t>C10-C40 "gasoil" d'après les différentes classes</t>
  </si>
  <si>
    <t>1 atmosphère</t>
  </si>
  <si>
    <t>Air</t>
  </si>
  <si>
    <t>repris de Substances</t>
  </si>
  <si>
    <t>repris de Sols</t>
  </si>
  <si>
    <t>Zone de dispersion</t>
  </si>
  <si>
    <t>Zone d'exposition</t>
  </si>
  <si>
    <t>a &amp; e</t>
  </si>
  <si>
    <t>Personnes</t>
  </si>
  <si>
    <t>Extrapolation de PVL sur classe proche et mélange type (pour info: non retenu dans l'élaboration du seuil)</t>
  </si>
  <si>
    <t>Coefficient de Henry (10 °C) calculé</t>
  </si>
  <si>
    <t>Coefficient de Henry (18 °C) calculé</t>
  </si>
  <si>
    <t>Coefficient de Henry (25 °C) calculé</t>
  </si>
  <si>
    <t>Coefficient de Henry (35 °C)calculé</t>
  </si>
  <si>
    <t>Verschueren, 1997</t>
  </si>
  <si>
    <t>Coefficient de Henry (25 °C) mesuré</t>
  </si>
  <si>
    <t xml:space="preserve">A masquer pour Annexe 3: Répétition de ligne pour affichage dans corps du rapport </t>
  </si>
  <si>
    <t>DeltaPis</t>
  </si>
  <si>
    <t>CT de l'air du sol à l'air atmosphq, adulte</t>
  </si>
  <si>
    <t>CT de l'air du sol à l'air atmosphq, enfant</t>
  </si>
  <si>
    <t>CT de l'air du sol à l'air atmosphq</t>
  </si>
  <si>
    <t>CTsa-&gt;a</t>
  </si>
  <si>
    <t>Ca</t>
  </si>
  <si>
    <t>HESP: Shell, 1995</t>
  </si>
  <si>
    <t>ZAC en extérieur (zones récréatives)</t>
  </si>
  <si>
    <t>ZAC en intérieur (RdC, complément)</t>
  </si>
  <si>
    <t>ZI en extérieur (employé 50% dehors)</t>
  </si>
  <si>
    <t>ZI en intérieur (RdC, complément)</t>
  </si>
  <si>
    <t>BUREAUX (en intérieur)</t>
  </si>
  <si>
    <t>Local INDUSTRIEL ou COMMERCIAL (en intérieur)</t>
  </si>
  <si>
    <t>Zone d'émission</t>
  </si>
  <si>
    <t>Extérieur</t>
  </si>
  <si>
    <t>Intérieur</t>
  </si>
  <si>
    <t>EMISSION EN EXTERIEUR SOUS PARKING (ZI)  ET EXPOSITION  EN EXTERIEUR ET EN INTERIEUR (RdC)</t>
  </si>
  <si>
    <t>CONTROLEE DE MASSE</t>
  </si>
  <si>
    <r>
      <t>L</t>
    </r>
    <r>
      <rPr>
        <vertAlign val="subscript"/>
        <sz val="10"/>
        <rFont val="Arial"/>
        <family val="2"/>
      </rPr>
      <t>0</t>
    </r>
  </si>
  <si>
    <r>
      <t>Z</t>
    </r>
    <r>
      <rPr>
        <vertAlign val="subscript"/>
        <sz val="10"/>
        <rFont val="Arial"/>
        <family val="2"/>
      </rPr>
      <t>0</t>
    </r>
    <r>
      <rPr>
        <sz val="10"/>
        <rFont val="Arial"/>
        <family val="2"/>
      </rPr>
      <t>(t=0)</t>
    </r>
  </si>
  <si>
    <r>
      <t>Z</t>
    </r>
    <r>
      <rPr>
        <vertAlign val="subscript"/>
        <sz val="10"/>
        <rFont val="Arial"/>
        <family val="2"/>
      </rPr>
      <t>0</t>
    </r>
    <r>
      <rPr>
        <sz val="10"/>
        <rFont val="Arial"/>
        <family val="2"/>
      </rPr>
      <t>(t)</t>
    </r>
  </si>
  <si>
    <r>
      <t>K</t>
    </r>
    <r>
      <rPr>
        <vertAlign val="subscript"/>
        <sz val="10"/>
        <rFont val="Arial"/>
        <family val="2"/>
      </rPr>
      <t>0</t>
    </r>
  </si>
  <si>
    <r>
      <t>D</t>
    </r>
    <r>
      <rPr>
        <vertAlign val="subscript"/>
        <sz val="10"/>
        <rFont val="Arial"/>
        <family val="2"/>
      </rPr>
      <t>E</t>
    </r>
  </si>
  <si>
    <t>(Rose: impact du contrôle de masse)</t>
  </si>
  <si>
    <t>COMPARAISON 30 CM TV / PARKING: RAPPORT DES CT EMISSIONS EN EXTERIEUR</t>
  </si>
  <si>
    <t>SANS ATTENUATION DE LA SOURCE, DIFFUSION SEULE</t>
  </si>
  <si>
    <t>EMISSIONS SOUS BATI</t>
  </si>
  <si>
    <t>CT de l'air du sol de la source à l'émission (diffusion + convection), avant contrôle de masse</t>
  </si>
  <si>
    <t>AVEC ATTENUATION DE LA SOURCE, DIFFUSION SEULE</t>
  </si>
  <si>
    <t>EMISSION EN EXTERIEUR, SOURCE SOUS parking (ZI)   (diffusion)</t>
  </si>
  <si>
    <t>EMISSION EN EXTERIEUR, SOURCE SOUS TERRE VEGETALE (30 cm)   (diffusion)</t>
  </si>
  <si>
    <t>AVEC ATTENUATION DE LA SOURCE, CONVECTION SEULE PUIS CONVECTION ET DIFFUSION</t>
  </si>
  <si>
    <t>Convection seule</t>
  </si>
  <si>
    <t>Diffusion seule sur convectif seul avec atténuat°, avant contrôle de masse (source sans fond)</t>
  </si>
  <si>
    <r>
      <t xml:space="preserve">Pour info: Min (convection et diffusion sans atténuation; convection seule avec  atténuation + diffusion seule </t>
    </r>
    <r>
      <rPr>
        <b/>
        <u/>
        <sz val="10"/>
        <color rgb="FF0070C0"/>
        <rFont val="Arial"/>
        <family val="2"/>
      </rPr>
      <t>sans</t>
    </r>
    <r>
      <rPr>
        <b/>
        <sz val="10"/>
        <rFont val="Arial"/>
        <family val="2"/>
      </rPr>
      <t xml:space="preserve"> atténuation)</t>
    </r>
  </si>
  <si>
    <t>Convection et diffusion: Facteur de transfert retenu: Min (convection et diffusion sans atténuation; convection seule avec  atténuation + diffusion seule avec  atténuation)</t>
  </si>
  <si>
    <t>Avant contrôle de masse</t>
  </si>
  <si>
    <t>Après contrôle de masse</t>
  </si>
  <si>
    <r>
      <t xml:space="preserve">CT sans (new VOLASOIL)/ CT avec atténuation </t>
    </r>
    <r>
      <rPr>
        <sz val="10"/>
        <rFont val="Arial"/>
        <family val="2"/>
      </rPr>
      <t>(après contrôle masse)</t>
    </r>
  </si>
  <si>
    <t>Impact de atténuation de la diffusion: rapp des CT [atténuation de convection seule]/ [atténuation de convection &amp; diffusion]</t>
  </si>
  <si>
    <t>CT sans atténuation (New VOLASOIL) / CT avec atténuation sur convection seule</t>
  </si>
  <si>
    <t>SANS ATTENUATION DE LA SOURCE, (convection seule puis) CONVECTION ET DIFFUSION</t>
  </si>
  <si>
    <t>AVEC ATTENUATION D’UNE SOURCE EN SURFACE  (diffusion, modèle Jury selon US EPA 1996: source décroissante d'épaisseur infinie ; puis contrôle de masse)</t>
  </si>
  <si>
    <r>
      <t xml:space="preserve">EMISSION </t>
    </r>
    <r>
      <rPr>
        <b/>
        <i/>
        <sz val="12"/>
        <rFont val="Arial"/>
        <family val="2"/>
      </rPr>
      <t>ET EXPOSITION</t>
    </r>
    <r>
      <rPr>
        <b/>
        <sz val="12"/>
        <rFont val="Arial"/>
        <family val="2"/>
      </rPr>
      <t xml:space="preserve"> SUR LA ZONE EN EXTERIEUR, ZAC, couverture 30 cm TV</t>
    </r>
  </si>
  <si>
    <t>CTa-&gt;QD</t>
  </si>
  <si>
    <t>(QD)/(mg/ma3)</t>
  </si>
  <si>
    <t>(QD)/(mg/lsa)</t>
  </si>
  <si>
    <t>CTsa-&gt;QD</t>
  </si>
  <si>
    <t xml:space="preserve">fréquence d'exposition moyenne à l'air </t>
  </si>
  <si>
    <t>fréquence d'exposition moyenne à l'air, sur la vie</t>
  </si>
  <si>
    <t>Teneurs limites</t>
  </si>
  <si>
    <r>
      <t>EMISSION EN EXTERIEUR (ZI)  SANS COUVERTURE  (SOURCE EN SURFACE) E</t>
    </r>
    <r>
      <rPr>
        <b/>
        <i/>
        <sz val="12"/>
        <rFont val="Arial"/>
        <family val="2"/>
      </rPr>
      <t xml:space="preserve">T EXPOSITION  EN EXTERIEUR </t>
    </r>
    <r>
      <rPr>
        <b/>
        <sz val="12"/>
        <rFont val="Arial"/>
        <family val="2"/>
      </rPr>
      <t>ET EN INTERIEUR (RdC)</t>
    </r>
  </si>
  <si>
    <t>Durée t considérée (effet à seuil)</t>
  </si>
  <si>
    <r>
      <rPr>
        <b/>
        <sz val="10"/>
        <rFont val="Arial"/>
        <family val="2"/>
      </rPr>
      <t>Epaisseur de source volatilisée</t>
    </r>
    <r>
      <rPr>
        <sz val="10"/>
        <rFont val="Arial"/>
        <family val="2"/>
      </rPr>
      <t xml:space="preserve"> avant contrôle de masse global et de la saturation de l'équilibre multiphase (le contrôle de masse global limite cette épaisseur à 3 m)</t>
    </r>
  </si>
  <si>
    <t>RIVM, 2009</t>
  </si>
  <si>
    <t>AFSSET, 2009</t>
  </si>
  <si>
    <t>OEHHA, 1991</t>
  </si>
  <si>
    <t>AFSSET, 2008</t>
  </si>
  <si>
    <t>OEHHA, 2005</t>
  </si>
  <si>
    <t>ATSDR, 2007</t>
  </si>
  <si>
    <t>OMS, 2000</t>
  </si>
  <si>
    <t>US EPA, 2003</t>
  </si>
  <si>
    <t>ND</t>
  </si>
  <si>
    <t>US EPA, 1998</t>
  </si>
  <si>
    <t>RfC</t>
  </si>
  <si>
    <t>OEHHA, 2008</t>
  </si>
  <si>
    <t>ND, dérivé de seuil sang (US EPA, 2001. Etude sur femmes enceintes ==&gt; laissé à 1 an)</t>
  </si>
  <si>
    <t>fréquence d'exposition moyenne à l'air</t>
  </si>
  <si>
    <r>
      <t xml:space="preserve">Adulte </t>
    </r>
    <r>
      <rPr>
        <sz val="10"/>
        <rFont val="Arial"/>
        <family val="2"/>
      </rPr>
      <t>(exposition "vie entière" suite à période "enfant")</t>
    </r>
  </si>
  <si>
    <t>vie entière</t>
  </si>
  <si>
    <t>CT de l'air atmosphérique au risque "sans seuil"</t>
  </si>
  <si>
    <t>CT de l'air du sol au risque "sans seuil"</t>
  </si>
  <si>
    <t>CT de l'air atmosphérique au risque "à seuil"</t>
  </si>
  <si>
    <t>CT de l'air du sol au risque "à seuil"</t>
  </si>
  <si>
    <t>US-EPA, 2010</t>
  </si>
  <si>
    <t>MEDD, 2001</t>
  </si>
  <si>
    <t>Source RfC</t>
  </si>
  <si>
    <t>Source ERU</t>
  </si>
  <si>
    <t>OEHHA, 2002</t>
  </si>
  <si>
    <t>US EPA, 2001</t>
  </si>
  <si>
    <t>OEHHA,2007</t>
  </si>
  <si>
    <t>ETS: VGAI: effet sans seuil</t>
  </si>
  <si>
    <t>Choix ineris: ATSDR: 0,22 mg/m3</t>
  </si>
  <si>
    <t>Choix ineris: OEHHA: 0,2 mg/m3</t>
  </si>
  <si>
    <t>Pas dans ETS</t>
  </si>
  <si>
    <t>ETS: 3E-2 mg/m3: RIVM, 2001</t>
  </si>
  <si>
    <t>ETS: VGAI: effet à seuil</t>
  </si>
  <si>
    <t>ERUi: Valeur du CHSPF</t>
  </si>
  <si>
    <t>D'après Arochlor A1254</t>
  </si>
  <si>
    <t>Dérivée enfant RfD US EPA 1997</t>
  </si>
  <si>
    <t>Italique: dérivée voie-à-voie (indicative!)</t>
  </si>
  <si>
    <t>Exposition pendant la  "vie entière"</t>
  </si>
  <si>
    <t>Exposition pendant "vie adulte" seule</t>
  </si>
  <si>
    <t>Excès de risque unitaire, inhalation (effets sans seuil)</t>
  </si>
  <si>
    <t>Concentration de référence (effets à seuils)</t>
  </si>
  <si>
    <t>78-93-3</t>
  </si>
  <si>
    <t xml:space="preserve">71-36-3 </t>
  </si>
  <si>
    <t>Variations du coefficient de Henry</t>
  </si>
  <si>
    <t>Borne basse rapportée par fiche substance Ineris (20-25 °C)</t>
  </si>
  <si>
    <t>Borne haute rapportée par fiche substance Ineris (20-25 °C)</t>
  </si>
  <si>
    <r>
      <rPr>
        <u/>
        <sz val="10"/>
        <rFont val="Arial"/>
        <family val="2"/>
      </rPr>
      <t>Seuil de détection olfactive</t>
    </r>
    <r>
      <rPr>
        <sz val="10"/>
        <rFont val="Arial"/>
        <family val="2"/>
      </rPr>
      <t xml:space="preserve"> (diverses sources)</t>
    </r>
  </si>
  <si>
    <r>
      <rPr>
        <u/>
        <sz val="10"/>
        <rFont val="Arial"/>
        <family val="2"/>
      </rPr>
      <t>Conversion 1 ppm v en mg/m3</t>
    </r>
    <r>
      <rPr>
        <sz val="10"/>
        <rFont val="Arial"/>
        <family val="2"/>
      </rPr>
      <t xml:space="preserve"> (calcul, 20°C)</t>
    </r>
  </si>
  <si>
    <t>1 m2/s= 1000 (mg/m2/s)/(mg/l/m)</t>
  </si>
  <si>
    <r>
      <t xml:space="preserve">Coefficient de partage carbone organique / eau, </t>
    </r>
    <r>
      <rPr>
        <u/>
        <sz val="10"/>
        <rFont val="Arial"/>
        <family val="2"/>
      </rPr>
      <t>calculé de Kow</t>
    </r>
  </si>
  <si>
    <t>Coefficient de partage carbone organique / eau, retenu</t>
  </si>
  <si>
    <t>Log du coefficient de partage C.org./Eau, littérature</t>
  </si>
  <si>
    <t>H [(mg/la)/(mg/lw)] = H [Pa.m3/mol] / R /T</t>
  </si>
  <si>
    <t>°C</t>
  </si>
  <si>
    <t xml:space="preserve">0°C </t>
  </si>
  <si>
    <t>HSDB</t>
  </si>
  <si>
    <t xml:space="preserve">Température de mesure </t>
  </si>
  <si>
    <t>20-25°C</t>
  </si>
  <si>
    <t>F. Ineris</t>
  </si>
  <si>
    <t>f° de M</t>
  </si>
  <si>
    <t>f° de Da</t>
  </si>
  <si>
    <t>f° de Kow</t>
  </si>
  <si>
    <t>mmHg</t>
  </si>
  <si>
    <t>25°C HSDB</t>
  </si>
  <si>
    <t>concentration de saturation dans l'air ( = H x S)</t>
  </si>
  <si>
    <t>?</t>
  </si>
  <si>
    <t xml:space="preserve">Solubilité </t>
  </si>
  <si>
    <t>20-25</t>
  </si>
  <si>
    <t>F. Ineris Calcul US EPA</t>
  </si>
  <si>
    <t>F. Ineris basse</t>
  </si>
  <si>
    <t>Température de mesure (par défaut 20°C )</t>
  </si>
  <si>
    <t>Coefficient de Henry</t>
  </si>
  <si>
    <t>Pression de vapeur</t>
  </si>
  <si>
    <t>chloroforme</t>
  </si>
  <si>
    <t>HSDB, 25°C</t>
  </si>
  <si>
    <t>Cf. A3</t>
  </si>
  <si>
    <t>Pression de vapeur (TPHCWG, T non précisé)</t>
  </si>
  <si>
    <t>Sans couleur: calcul</t>
  </si>
  <si>
    <t>TPHCWG, 1997a</t>
  </si>
  <si>
    <t>TPHCWG, 1997a, Al&gt;EC21 d'après HCT individuels &gt;EC21</t>
  </si>
  <si>
    <t>TPHCWG, 1997a, BkF pour BbF (Koc absent)</t>
  </si>
  <si>
    <t>HSDB, vdb94</t>
  </si>
  <si>
    <t>3-PCB: HSDB</t>
  </si>
  <si>
    <t>F. Ineris: Fiches INERIS de données toxicologiques et environnementales des substances chimiques: http://www.ineris.fr</t>
  </si>
  <si>
    <r>
      <rPr>
        <u/>
        <sz val="10"/>
        <rFont val="Arial"/>
        <family val="2"/>
      </rPr>
      <t>Epaisseur de source volatilisée</t>
    </r>
    <r>
      <rPr>
        <sz val="10"/>
        <rFont val="Arial"/>
        <family val="2"/>
      </rPr>
      <t xml:space="preserve"> à t, avant contrôle de masse global</t>
    </r>
  </si>
  <si>
    <r>
      <t>Zone récréative + habitations (ZAC), terres en ext. sous couverture terre végétale</t>
    </r>
    <r>
      <rPr>
        <sz val="10"/>
        <rFont val="Arial"/>
        <family val="2"/>
      </rPr>
      <t xml:space="preserve"> (30 cm)</t>
    </r>
  </si>
  <si>
    <r>
      <rPr>
        <u/>
        <sz val="10"/>
        <rFont val="Arial"/>
        <family val="2"/>
      </rPr>
      <t>Epaisseur de source volatilisée à t</t>
    </r>
    <r>
      <rPr>
        <sz val="10"/>
        <rFont val="Arial"/>
        <family val="2"/>
      </rPr>
      <t>, avant contrôle de masse global</t>
    </r>
  </si>
  <si>
    <r>
      <rPr>
        <b/>
        <sz val="10"/>
        <rFont val="Arial"/>
        <family val="2"/>
      </rPr>
      <t>Teneurs limites calculées dans le sol</t>
    </r>
    <r>
      <rPr>
        <sz val="10"/>
        <rFont val="Arial"/>
        <family val="2"/>
      </rPr>
      <t xml:space="preserve"> </t>
    </r>
    <r>
      <rPr>
        <u/>
        <sz val="10"/>
        <rFont val="Arial"/>
        <family val="2"/>
      </rPr>
      <t>après contrôle de masse global et de la saturation de l'équilibre multiphase</t>
    </r>
    <r>
      <rPr>
        <sz val="10"/>
        <rFont val="Arial"/>
        <family val="2"/>
      </rPr>
      <t>)</t>
    </r>
  </si>
  <si>
    <t>Sensibilité à k et foc</t>
  </si>
  <si>
    <t>En vert: Valeur ETS ( diagnostics de bâtiments accueillant du public établis sur d’anciens sites industriels)                              ND: non déterminé (pas de VTR)                     VGAI: Valeur Guide Air Intérieur (AFSSET/ANSES)                       Cf. Détails en Annexe 3 du rapport.</t>
  </si>
  <si>
    <t>Groupe</t>
  </si>
  <si>
    <t>&lt; C5</t>
  </si>
  <si>
    <t>Total Groupe</t>
  </si>
  <si>
    <t>Part (-) de coupe dans Groupe</t>
  </si>
  <si>
    <t>Composé / 
Coupe</t>
  </si>
  <si>
    <t>Infos annexes non reprises dans les teneurs limites finales</t>
  </si>
  <si>
    <t>Informations annexes non reprises dans les teneurs limites finales</t>
  </si>
  <si>
    <t>Formules ou valeurs de conversion d'unités</t>
  </si>
  <si>
    <t>Dépression entre l'intérieur du bâtiment et l'air du sol</t>
  </si>
  <si>
    <t>"Standard soil" HESP un peu + sec</t>
  </si>
  <si>
    <r>
      <rPr>
        <b/>
        <sz val="10"/>
        <rFont val="Arial"/>
        <family val="2"/>
      </rPr>
      <t xml:space="preserve">Matériau </t>
    </r>
    <r>
      <rPr>
        <sz val="10"/>
        <rFont val="Arial"/>
        <family val="2"/>
      </rPr>
      <t xml:space="preserve">                Unité</t>
    </r>
  </si>
  <si>
    <t>CSOIL; HESP "standard soil"
(Volasoil 2008: n=0,45, Vw=0,25)</t>
  </si>
  <si>
    <t>CSOIL; VOLASOIL 1996, 2008</t>
  </si>
  <si>
    <t>Durée d'exposition considérée fixée à 1 an par prudence bien que les VTR soient d'inspiration US EPA.</t>
  </si>
  <si>
    <t xml:space="preserve"> </t>
  </si>
  <si>
    <t>Teneur en carbone organique (OC) dans le sol</t>
  </si>
  <si>
    <t>Porosité</t>
  </si>
  <si>
    <t>Densité du sol sec en place</t>
  </si>
  <si>
    <t>Fraction volumique d’eau dans le sol</t>
  </si>
  <si>
    <t>Fraction volumique d’air dans le sol</t>
  </si>
  <si>
    <t>Epaisseur de la couche i (au dessus de la source)</t>
  </si>
  <si>
    <t>Teneur (massique ) en matière sèche</t>
  </si>
  <si>
    <t>Teneur en eau résiduelle</t>
  </si>
  <si>
    <t>Paramètre M de van Genuchten</t>
  </si>
  <si>
    <t>Saturation effective totale</t>
  </si>
  <si>
    <t>Potentiel de diffusion dans l'air interstitiel  (rapporté à Csa)</t>
  </si>
  <si>
    <t>Potentiel de diffusion dans l'eau interstitielle (rapporté à Cpw)</t>
  </si>
  <si>
    <t>Rayon moyen des ouvertures dans la dalle</t>
  </si>
  <si>
    <t>Fraction surfacique des ouvertures de la dalle</t>
  </si>
  <si>
    <t>Densité surfacique des ouvertures de la dalle</t>
  </si>
  <si>
    <t>CT air du sol -&gt; air atmosphq int., via dalle</t>
  </si>
  <si>
    <t>Concentration dans l'air intérieur, via dalle</t>
  </si>
  <si>
    <t>NC: non concerné      TV: Terre Végétale</t>
  </si>
  <si>
    <t xml:space="preserve">Profondeur de la source </t>
  </si>
  <si>
    <r>
      <t>Zone récréative, terres en ext. sous couverture terre végétale</t>
    </r>
    <r>
      <rPr>
        <sz val="10"/>
        <rFont val="Arial"/>
        <family val="2"/>
      </rPr>
      <t xml:space="preserve"> (30 cm)</t>
    </r>
  </si>
  <si>
    <t>EMISSION ET EXPOSITION DANS UN BATIMENT d'HABITATION</t>
  </si>
  <si>
    <r>
      <rPr>
        <b/>
        <u/>
        <sz val="10"/>
        <rFont val="Arial"/>
        <family val="2"/>
      </rPr>
      <t>Paramètre</t>
    </r>
    <r>
      <rPr>
        <b/>
        <sz val="10"/>
        <rFont val="Arial"/>
        <family val="2"/>
      </rPr>
      <t xml:space="preserve">
</t>
    </r>
    <r>
      <rPr>
        <sz val="10"/>
        <rFont val="Arial"/>
        <family val="2"/>
      </rPr>
      <t>(</t>
    </r>
    <r>
      <rPr>
        <b/>
        <u/>
        <sz val="10"/>
        <rFont val="Arial"/>
        <family val="2"/>
      </rPr>
      <t>Grisé: modélisation alternative</t>
    </r>
    <r>
      <rPr>
        <sz val="10"/>
        <rFont val="Arial"/>
        <family val="2"/>
      </rPr>
      <t xml:space="preserve"> non reprise dans les seuils)</t>
    </r>
  </si>
  <si>
    <t>OEHHA / INERIS, 2003-2006</t>
  </si>
  <si>
    <t>FET: Facteur d'Equivalence Toxicologique (INERIS, 2003-2006)</t>
  </si>
</sst>
</file>

<file path=xl/styles.xml><?xml version="1.0" encoding="utf-8"?>
<styleSheet xmlns="http://schemas.openxmlformats.org/spreadsheetml/2006/main">
  <numFmts count="16">
    <numFmt numFmtId="164" formatCode="_-* #,##0.00\ _D_M_-;\-* #,##0.00\ _D_M_-;_-* &quot;-&quot;??\ _D_M_-;_-@_-"/>
    <numFmt numFmtId="165" formatCode="_-* #,##0\ &quot;F&quot;_-;\-* #,##0\ &quot;F&quot;_-;_-* &quot;-&quot;\ &quot;F&quot;_-;_-@_-"/>
    <numFmt numFmtId="166" formatCode="_-* #,##0\ _F_-;\-* #,##0\ _F_-;_-* &quot;-&quot;\ _F_-;_-@_-"/>
    <numFmt numFmtId="167" formatCode="_-* #,##0.00\ &quot;F&quot;_-;\-* #,##0.00\ &quot;F&quot;_-;_-* &quot;-&quot;??\ &quot;F&quot;_-;_-@_-"/>
    <numFmt numFmtId="168" formatCode="_-* #,##0.00\ _F_-;\-* #,##0.00\ _F_-;_-* &quot;-&quot;??\ _F_-;_-@_-"/>
    <numFmt numFmtId="169" formatCode="0.0E+0"/>
    <numFmt numFmtId="170" formatCode="0.0E+00"/>
    <numFmt numFmtId="171" formatCode="0.00E+0"/>
    <numFmt numFmtId="172" formatCode="0.000"/>
    <numFmt numFmtId="173" formatCode="0.0"/>
    <numFmt numFmtId="174" formatCode="0E+0"/>
    <numFmt numFmtId="175" formatCode="0.0000"/>
    <numFmt numFmtId="176" formatCode="0.00000"/>
    <numFmt numFmtId="177" formatCode="0.000000"/>
    <numFmt numFmtId="178" formatCode="0.0%"/>
    <numFmt numFmtId="179" formatCode="0.000E+0"/>
  </numFmts>
  <fonts count="64">
    <font>
      <sz val="10"/>
      <name val="Arial"/>
    </font>
    <font>
      <b/>
      <sz val="10"/>
      <name val="Arial"/>
      <family val="2"/>
    </font>
    <font>
      <sz val="10"/>
      <name val="Arial"/>
      <family val="2"/>
    </font>
    <font>
      <vertAlign val="subscript"/>
      <sz val="10"/>
      <name val="Arial"/>
      <family val="2"/>
    </font>
    <font>
      <sz val="10"/>
      <name val="Arial"/>
      <family val="2"/>
    </font>
    <font>
      <sz val="10"/>
      <name val="Times New Roman"/>
      <family val="1"/>
    </font>
    <font>
      <b/>
      <sz val="10"/>
      <name val="Times New Roman"/>
      <family val="1"/>
    </font>
    <font>
      <i/>
      <sz val="10"/>
      <name val="Times New Roman"/>
      <family val="1"/>
    </font>
    <font>
      <b/>
      <sz val="20"/>
      <name val="Times New Roman"/>
      <family val="1"/>
    </font>
    <font>
      <sz val="8"/>
      <name val="Times New Roman"/>
      <family val="1"/>
    </font>
    <font>
      <b/>
      <sz val="10"/>
      <name val="Times New Roman"/>
      <family val="1"/>
    </font>
    <font>
      <sz val="10"/>
      <name val="Times New Roman"/>
      <family val="1"/>
    </font>
    <font>
      <vertAlign val="superscript"/>
      <sz val="10"/>
      <name val="Arial"/>
      <family val="2"/>
    </font>
    <font>
      <sz val="8"/>
      <name val="Arial"/>
      <family val="2"/>
    </font>
    <font>
      <sz val="10"/>
      <name val="Arial"/>
      <family val="2"/>
    </font>
    <font>
      <sz val="9"/>
      <name val="Times New Roman"/>
      <family val="1"/>
    </font>
    <font>
      <b/>
      <sz val="12"/>
      <name val="Arial"/>
      <family val="2"/>
    </font>
    <font>
      <b/>
      <u/>
      <sz val="14"/>
      <name val="Arial"/>
      <family val="2"/>
    </font>
    <font>
      <u/>
      <sz val="10"/>
      <name val="Arial"/>
      <family val="2"/>
    </font>
    <font>
      <sz val="10"/>
      <color indexed="8"/>
      <name val="Times New Roman"/>
      <family val="1"/>
    </font>
    <font>
      <b/>
      <sz val="10"/>
      <name val="Arial"/>
      <family val="2"/>
    </font>
    <font>
      <b/>
      <vertAlign val="subscript"/>
      <sz val="10"/>
      <name val="Times New Roman"/>
      <family val="1"/>
    </font>
    <font>
      <u/>
      <sz val="10"/>
      <name val="Times New Roman"/>
      <family val="1"/>
    </font>
    <font>
      <b/>
      <sz val="14"/>
      <name val="Arial"/>
      <family val="2"/>
    </font>
    <font>
      <vertAlign val="subscript"/>
      <sz val="10"/>
      <name val="Times New Roman"/>
      <family val="1"/>
    </font>
    <font>
      <i/>
      <sz val="10"/>
      <name val="Arial"/>
      <family val="2"/>
    </font>
    <font>
      <b/>
      <sz val="20"/>
      <name val="Arial"/>
      <family val="2"/>
    </font>
    <font>
      <sz val="11"/>
      <color indexed="8"/>
      <name val="Calibri"/>
      <family val="2"/>
    </font>
    <font>
      <b/>
      <sz val="11"/>
      <color indexed="8"/>
      <name val="Calibri"/>
      <family val="2"/>
    </font>
    <font>
      <sz val="10"/>
      <color indexed="10"/>
      <name val="Arial"/>
      <family val="2"/>
    </font>
    <font>
      <sz val="10"/>
      <color indexed="8"/>
      <name val="Arial"/>
      <family val="2"/>
    </font>
    <font>
      <sz val="8"/>
      <color indexed="81"/>
      <name val="Tahoma"/>
      <family val="2"/>
    </font>
    <font>
      <b/>
      <sz val="8"/>
      <color indexed="81"/>
      <name val="Tahoma"/>
      <family val="2"/>
    </font>
    <font>
      <sz val="12"/>
      <color indexed="81"/>
      <name val="Tahoma"/>
      <family val="2"/>
    </font>
    <font>
      <b/>
      <u/>
      <sz val="11"/>
      <color indexed="8"/>
      <name val="Calibri"/>
      <family val="2"/>
    </font>
    <font>
      <sz val="11"/>
      <name val="Calibri"/>
      <family val="2"/>
    </font>
    <font>
      <sz val="10"/>
      <color indexed="81"/>
      <name val="Tahoma"/>
      <family val="2"/>
    </font>
    <font>
      <b/>
      <sz val="10"/>
      <color indexed="81"/>
      <name val="Tahoma"/>
      <family val="2"/>
    </font>
    <font>
      <sz val="11"/>
      <color indexed="10"/>
      <name val="Calibri"/>
      <family val="2"/>
    </font>
    <font>
      <b/>
      <i/>
      <sz val="10"/>
      <name val="Times New Roman"/>
      <family val="1"/>
    </font>
    <font>
      <b/>
      <sz val="8"/>
      <name val="Times New Roman"/>
      <family val="1"/>
    </font>
    <font>
      <sz val="7.5"/>
      <name val="Arial"/>
      <family val="2"/>
    </font>
    <font>
      <b/>
      <sz val="7.5"/>
      <name val="Arial"/>
      <family val="2"/>
    </font>
    <font>
      <sz val="10"/>
      <name val="Calibri"/>
      <family val="2"/>
    </font>
    <font>
      <sz val="10"/>
      <color indexed="23"/>
      <name val="Arial"/>
      <family val="2"/>
    </font>
    <font>
      <sz val="10"/>
      <color indexed="55"/>
      <name val="Arial"/>
      <family val="2"/>
    </font>
    <font>
      <sz val="10"/>
      <color indexed="10"/>
      <name val="Times New Roman"/>
      <family val="1"/>
    </font>
    <font>
      <sz val="11"/>
      <color theme="1"/>
      <name val="Calibri"/>
      <family val="2"/>
      <scheme val="minor"/>
    </font>
    <font>
      <b/>
      <u/>
      <sz val="10"/>
      <name val="Arial"/>
      <family val="2"/>
    </font>
    <font>
      <sz val="9"/>
      <name val="Arial"/>
      <family val="2"/>
    </font>
    <font>
      <sz val="8"/>
      <name val="Calibri"/>
      <family val="2"/>
    </font>
    <font>
      <b/>
      <sz val="8"/>
      <name val="Arial"/>
      <family val="2"/>
    </font>
    <font>
      <sz val="10"/>
      <color rgb="FFFFFFCC"/>
      <name val="Times New Roman"/>
      <family val="1"/>
    </font>
    <font>
      <sz val="10"/>
      <color rgb="FF00FF00"/>
      <name val="Times New Roman"/>
      <family val="1"/>
    </font>
    <font>
      <b/>
      <i/>
      <sz val="12"/>
      <name val="Arial"/>
      <family val="2"/>
    </font>
    <font>
      <b/>
      <u/>
      <sz val="10"/>
      <color rgb="FF0070C0"/>
      <name val="Arial"/>
      <family val="2"/>
    </font>
    <font>
      <b/>
      <u/>
      <sz val="12"/>
      <name val="Arial"/>
      <family val="2"/>
    </font>
    <font>
      <sz val="12"/>
      <name val="Arial"/>
      <family val="2"/>
    </font>
    <font>
      <b/>
      <sz val="10"/>
      <color rgb="FFFF0000"/>
      <name val="Arial"/>
      <family val="2"/>
    </font>
    <font>
      <b/>
      <sz val="10"/>
      <color indexed="10"/>
      <name val="Arial"/>
      <family val="2"/>
    </font>
    <font>
      <b/>
      <i/>
      <sz val="10"/>
      <name val="Arial"/>
      <family val="2"/>
    </font>
    <font>
      <b/>
      <sz val="10"/>
      <color indexed="23"/>
      <name val="Arial"/>
      <family val="2"/>
    </font>
    <font>
      <b/>
      <i/>
      <sz val="10"/>
      <color indexed="23"/>
      <name val="Arial"/>
      <family val="2"/>
    </font>
    <font>
      <i/>
      <sz val="10"/>
      <color indexed="23"/>
      <name val="Arial"/>
      <family val="2"/>
    </font>
  </fonts>
  <fills count="33">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0"/>
        <bgColor indexed="64"/>
      </patternFill>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46"/>
        <bgColor indexed="64"/>
      </patternFill>
    </fill>
    <fill>
      <patternFill patternType="solid">
        <fgColor indexed="33"/>
        <bgColor indexed="64"/>
      </patternFill>
    </fill>
    <fill>
      <patternFill patternType="solid">
        <fgColor indexed="22"/>
        <bgColor indexed="64"/>
      </patternFill>
    </fill>
    <fill>
      <patternFill patternType="solid">
        <fgColor indexed="40"/>
        <bgColor indexed="64"/>
      </patternFill>
    </fill>
    <fill>
      <patternFill patternType="solid">
        <fgColor indexed="48"/>
        <bgColor indexed="64"/>
      </patternFill>
    </fill>
    <fill>
      <patternFill patternType="solid">
        <fgColor indexed="51"/>
        <bgColor indexed="64"/>
      </patternFill>
    </fill>
    <fill>
      <patternFill patternType="solid">
        <fgColor indexed="27"/>
        <bgColor indexed="64"/>
      </patternFill>
    </fill>
    <fill>
      <patternFill patternType="solid">
        <fgColor indexed="45"/>
        <bgColor indexed="64"/>
      </patternFill>
    </fill>
    <fill>
      <patternFill patternType="solid">
        <fgColor indexed="65"/>
        <bgColor indexed="64"/>
      </patternFill>
    </fill>
    <fill>
      <patternFill patternType="solid">
        <fgColor indexed="29"/>
        <bgColor indexed="64"/>
      </patternFill>
    </fill>
    <fill>
      <patternFill patternType="solid">
        <fgColor indexed="11"/>
        <bgColor indexed="64"/>
      </patternFill>
    </fill>
    <fill>
      <patternFill patternType="solid">
        <fgColor indexed="47"/>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FF00"/>
        <bgColor indexed="64"/>
      </patternFill>
    </fill>
    <fill>
      <patternFill patternType="solid">
        <fgColor rgb="FFFFE0C1"/>
        <bgColor indexed="64"/>
      </patternFill>
    </fill>
    <fill>
      <patternFill patternType="solid">
        <fgColor rgb="FFCCFFCC"/>
        <bgColor indexed="64"/>
      </patternFill>
    </fill>
    <fill>
      <patternFill patternType="solid">
        <fgColor rgb="FFCCFF99"/>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0" tint="-4.9989318521683403E-2"/>
        <bgColor indexed="64"/>
      </patternFill>
    </fill>
  </fills>
  <borders count="133">
    <border>
      <left/>
      <right/>
      <top/>
      <bottom/>
      <diagonal/>
    </border>
    <border>
      <left/>
      <right style="medium">
        <color indexed="64"/>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dashed">
        <color indexed="64"/>
      </left>
      <right style="dotted">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bottom style="dashed">
        <color indexed="64"/>
      </bottom>
      <diagonal/>
    </border>
    <border>
      <left style="thin">
        <color indexed="64"/>
      </left>
      <right/>
      <top style="thin">
        <color indexed="64"/>
      </top>
      <bottom style="medium">
        <color indexed="64"/>
      </bottom>
      <diagonal/>
    </border>
    <border>
      <left style="medium">
        <color indexed="64"/>
      </left>
      <right/>
      <top style="dotted">
        <color indexed="64"/>
      </top>
      <bottom/>
      <diagonal/>
    </border>
    <border>
      <left style="medium">
        <color indexed="64"/>
      </left>
      <right/>
      <top style="dotted">
        <color indexed="64"/>
      </top>
      <bottom style="medium">
        <color indexed="64"/>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top style="medium">
        <color indexed="64"/>
      </top>
      <bottom style="dashed">
        <color indexed="64"/>
      </bottom>
      <diagonal/>
    </border>
    <border>
      <left style="thin">
        <color indexed="64"/>
      </left>
      <right/>
      <top style="medium">
        <color indexed="64"/>
      </top>
      <bottom style="dashed">
        <color indexed="64"/>
      </bottom>
      <diagonal/>
    </border>
    <border>
      <left style="medium">
        <color indexed="64"/>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medium">
        <color indexed="64"/>
      </right>
      <top style="medium">
        <color indexed="64"/>
      </top>
      <bottom style="dashed">
        <color indexed="64"/>
      </bottom>
      <diagonal/>
    </border>
    <border>
      <left/>
      <right style="medium">
        <color indexed="64"/>
      </right>
      <top style="thin">
        <color indexed="64"/>
      </top>
      <bottom style="dashed">
        <color indexed="64"/>
      </bottom>
      <diagonal/>
    </border>
    <border>
      <left/>
      <right style="thin">
        <color indexed="64"/>
      </right>
      <top style="dotted">
        <color indexed="64"/>
      </top>
      <bottom style="thin">
        <color indexed="64"/>
      </bottom>
      <diagonal/>
    </border>
    <border>
      <left style="dashed">
        <color indexed="64"/>
      </left>
      <right/>
      <top style="medium">
        <color indexed="64"/>
      </top>
      <bottom style="dashed">
        <color indexed="64"/>
      </bottom>
      <diagonal/>
    </border>
    <border>
      <left style="dashed">
        <color indexed="64"/>
      </left>
      <right/>
      <top/>
      <bottom style="thin">
        <color indexed="64"/>
      </bottom>
      <diagonal/>
    </border>
    <border>
      <left style="dashed">
        <color indexed="64"/>
      </left>
      <right/>
      <top style="thin">
        <color indexed="64"/>
      </top>
      <bottom style="dashed">
        <color indexed="64"/>
      </bottom>
      <diagonal/>
    </border>
    <border>
      <left style="dashed">
        <color indexed="64"/>
      </left>
      <right/>
      <top/>
      <bottom style="medium">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thin">
        <color indexed="64"/>
      </top>
      <bottom style="dash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thin">
        <color theme="0" tint="-0.24994659260841701"/>
      </bottom>
      <diagonal/>
    </border>
    <border>
      <left style="medium">
        <color indexed="64"/>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right style="medium">
        <color indexed="64"/>
      </right>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medium">
        <color indexed="64"/>
      </left>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style="medium">
        <color indexed="64"/>
      </right>
      <top style="thin">
        <color theme="0" tint="-0.24994659260841701"/>
      </top>
      <bottom style="thin">
        <color indexed="64"/>
      </bottom>
      <diagonal/>
    </border>
  </borders>
  <cellStyleXfs count="44">
    <xf numFmtId="0" fontId="0" fillId="0" borderId="0">
      <alignment vertical="top"/>
    </xf>
    <xf numFmtId="166"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47" fillId="0" borderId="0"/>
    <xf numFmtId="0" fontId="2" fillId="0" borderId="0"/>
    <xf numFmtId="9" fontId="2" fillId="0" borderId="0" applyFont="0" applyFill="0" applyBorder="0" applyAlignment="0" applyProtection="0"/>
    <xf numFmtId="169" fontId="5" fillId="0" borderId="0"/>
    <xf numFmtId="165" fontId="2" fillId="0" borderId="0" applyFont="0" applyFill="0" applyBorder="0" applyAlignment="0" applyProtection="0"/>
    <xf numFmtId="167" fontId="2" fillId="0" borderId="0" applyFont="0" applyFill="0" applyBorder="0" applyAlignment="0" applyProtection="0"/>
  </cellStyleXfs>
  <cellXfs count="4206">
    <xf numFmtId="0" fontId="0" fillId="0" borderId="0" xfId="0">
      <alignment vertical="top"/>
    </xf>
    <xf numFmtId="0" fontId="0" fillId="0" borderId="0" xfId="0" applyAlignment="1">
      <alignment vertical="top"/>
    </xf>
    <xf numFmtId="169" fontId="2" fillId="0" borderId="0" xfId="0" applyNumberFormat="1" applyFont="1" applyFill="1" applyBorder="1" applyAlignment="1">
      <alignment horizontal="justify" vertical="top" wrapText="1"/>
    </xf>
    <xf numFmtId="0" fontId="0" fillId="0" borderId="0" xfId="0" applyBorder="1">
      <alignment vertical="top"/>
    </xf>
    <xf numFmtId="0" fontId="0" fillId="0" borderId="0" xfId="0" applyFill="1" applyBorder="1" applyAlignment="1">
      <alignment horizontal="left" vertical="top" wrapText="1"/>
    </xf>
    <xf numFmtId="0" fontId="0" fillId="0" borderId="2" xfId="0" applyBorder="1" applyAlignment="1">
      <alignment horizontal="center" vertical="top"/>
    </xf>
    <xf numFmtId="170" fontId="5" fillId="0" borderId="0" xfId="41" applyNumberFormat="1" applyBorder="1" applyAlignment="1">
      <alignment horizontal="justify" vertical="top"/>
    </xf>
    <xf numFmtId="170" fontId="5" fillId="0" borderId="1" xfId="41" applyNumberFormat="1" applyBorder="1" applyAlignment="1">
      <alignment horizontal="justify" vertical="top"/>
    </xf>
    <xf numFmtId="170" fontId="5" fillId="0" borderId="3" xfId="41" applyNumberFormat="1" applyBorder="1" applyAlignment="1">
      <alignment horizontal="justify" vertical="top"/>
    </xf>
    <xf numFmtId="170" fontId="5" fillId="0" borderId="4" xfId="41" applyNumberFormat="1" applyBorder="1" applyAlignment="1">
      <alignment horizontal="justify" vertical="top"/>
    </xf>
    <xf numFmtId="170" fontId="5" fillId="0" borderId="5" xfId="41" applyNumberFormat="1" applyBorder="1" applyAlignment="1">
      <alignment horizontal="justify" vertical="top"/>
    </xf>
    <xf numFmtId="170" fontId="5" fillId="0" borderId="2" xfId="41" applyNumberFormat="1" applyBorder="1" applyAlignment="1">
      <alignment horizontal="justify" vertical="top"/>
    </xf>
    <xf numFmtId="170" fontId="5" fillId="0" borderId="0" xfId="41" applyNumberFormat="1" applyFill="1" applyBorder="1" applyAlignment="1">
      <alignment horizontal="justify" vertical="top"/>
    </xf>
    <xf numFmtId="0" fontId="0" fillId="2" borderId="2" xfId="0" applyFill="1" applyBorder="1" applyAlignment="1">
      <alignment horizontal="left" vertical="top" wrapText="1"/>
    </xf>
    <xf numFmtId="170" fontId="5" fillId="0" borderId="0" xfId="41" applyNumberFormat="1" applyFont="1" applyFill="1" applyBorder="1" applyAlignment="1">
      <alignment horizontal="justify" vertical="top"/>
    </xf>
    <xf numFmtId="169" fontId="5" fillId="0" borderId="0" xfId="41" applyFill="1" applyBorder="1" applyAlignment="1">
      <alignment vertical="top"/>
    </xf>
    <xf numFmtId="170" fontId="5" fillId="0" borderId="0" xfId="41" applyNumberFormat="1" applyFill="1" applyBorder="1" applyAlignment="1">
      <alignment vertical="top"/>
    </xf>
    <xf numFmtId="170" fontId="6" fillId="0" borderId="0" xfId="41" applyNumberFormat="1" applyFont="1" applyFill="1" applyBorder="1" applyAlignment="1">
      <alignment vertical="top"/>
    </xf>
    <xf numFmtId="0" fontId="0" fillId="0" borderId="0" xfId="0" applyBorder="1" applyAlignment="1">
      <alignment vertical="top"/>
    </xf>
    <xf numFmtId="169" fontId="5" fillId="0" borderId="0" xfId="41" applyAlignment="1">
      <alignment vertical="top"/>
    </xf>
    <xf numFmtId="170" fontId="5" fillId="0" borderId="0" xfId="41" applyNumberFormat="1" applyAlignment="1">
      <alignment vertical="top"/>
    </xf>
    <xf numFmtId="169" fontId="5" fillId="0" borderId="0" xfId="41" applyBorder="1" applyAlignment="1">
      <alignment vertical="top"/>
    </xf>
    <xf numFmtId="170" fontId="5" fillId="0" borderId="0" xfId="41" applyNumberFormat="1" applyBorder="1" applyAlignment="1">
      <alignment vertical="top"/>
    </xf>
    <xf numFmtId="169" fontId="5" fillId="0" borderId="2" xfId="41" applyFont="1" applyBorder="1" applyAlignment="1">
      <alignment vertical="top"/>
    </xf>
    <xf numFmtId="170" fontId="6" fillId="0" borderId="0" xfId="41" applyNumberFormat="1" applyFont="1" applyBorder="1" applyAlignment="1">
      <alignment vertical="top"/>
    </xf>
    <xf numFmtId="0" fontId="0" fillId="0" borderId="6" xfId="0" applyBorder="1" applyAlignment="1">
      <alignment vertical="top"/>
    </xf>
    <xf numFmtId="169" fontId="5" fillId="0" borderId="0" xfId="41" applyFont="1" applyFill="1" applyBorder="1" applyAlignment="1">
      <alignment vertical="top"/>
    </xf>
    <xf numFmtId="170" fontId="5" fillId="0" borderId="0" xfId="41" applyNumberFormat="1" applyFont="1" applyFill="1" applyBorder="1" applyAlignment="1">
      <alignment vertical="top"/>
    </xf>
    <xf numFmtId="170" fontId="11" fillId="0" borderId="0" xfId="41" applyNumberFormat="1" applyFont="1" applyBorder="1" applyAlignment="1">
      <alignment horizontal="justify" vertical="top"/>
    </xf>
    <xf numFmtId="169" fontId="0" fillId="0" borderId="0" xfId="0" applyNumberFormat="1" applyBorder="1" applyAlignment="1">
      <alignment horizontal="justify" vertical="top"/>
    </xf>
    <xf numFmtId="0" fontId="0" fillId="2" borderId="0" xfId="0" applyFill="1" applyBorder="1" applyAlignment="1">
      <alignment horizontal="left" vertical="top" wrapText="1"/>
    </xf>
    <xf numFmtId="0" fontId="0" fillId="2" borderId="0" xfId="0" applyFill="1" applyBorder="1" applyAlignment="1">
      <alignment horizontal="justify" vertical="top" wrapText="1"/>
    </xf>
    <xf numFmtId="0" fontId="0" fillId="2" borderId="6" xfId="0" applyFill="1" applyBorder="1" applyAlignment="1">
      <alignment horizontal="left" vertical="top" wrapText="1"/>
    </xf>
    <xf numFmtId="0" fontId="0" fillId="0" borderId="0" xfId="0" applyFill="1" applyBorder="1" applyAlignment="1">
      <alignment horizontal="justify" vertical="top" wrapText="1"/>
    </xf>
    <xf numFmtId="0" fontId="0" fillId="0" borderId="0" xfId="0" applyFill="1" applyBorder="1" applyAlignment="1">
      <alignment vertical="top"/>
    </xf>
    <xf numFmtId="0" fontId="0" fillId="0" borderId="0" xfId="0" applyFill="1" applyBorder="1" applyAlignment="1">
      <alignment horizontal="left" vertical="top"/>
    </xf>
    <xf numFmtId="0" fontId="0" fillId="0" borderId="0" xfId="0" applyFill="1" applyBorder="1" applyAlignment="1">
      <alignment horizontal="center" vertical="top"/>
    </xf>
    <xf numFmtId="0" fontId="0" fillId="0" borderId="2" xfId="0" applyFill="1" applyBorder="1" applyAlignment="1">
      <alignment horizontal="left" vertical="top"/>
    </xf>
    <xf numFmtId="169" fontId="2" fillId="0" borderId="1" xfId="0" applyNumberFormat="1" applyFont="1" applyFill="1" applyBorder="1" applyAlignment="1">
      <alignment horizontal="left" vertical="top" wrapText="1"/>
    </xf>
    <xf numFmtId="0" fontId="0" fillId="2" borderId="0" xfId="0" applyFill="1" applyBorder="1" applyAlignment="1">
      <alignment horizontal="left" vertical="top"/>
    </xf>
    <xf numFmtId="170" fontId="5" fillId="0" borderId="0" xfId="41" applyNumberFormat="1" applyFont="1" applyBorder="1" applyAlignment="1">
      <alignment vertical="top"/>
    </xf>
    <xf numFmtId="0" fontId="0" fillId="0" borderId="0" xfId="0" applyFill="1" applyBorder="1">
      <alignment vertical="top"/>
    </xf>
    <xf numFmtId="0" fontId="0" fillId="0" borderId="0" xfId="0" applyFill="1">
      <alignment vertical="top"/>
    </xf>
    <xf numFmtId="169" fontId="6" fillId="0" borderId="0" xfId="41" applyFont="1" applyFill="1" applyBorder="1" applyAlignment="1">
      <alignment vertical="top"/>
    </xf>
    <xf numFmtId="0" fontId="0" fillId="0" borderId="0" xfId="0" applyAlignment="1">
      <alignment horizontal="center" vertical="top"/>
    </xf>
    <xf numFmtId="169" fontId="2" fillId="0" borderId="0" xfId="0" applyNumberFormat="1" applyFont="1" applyBorder="1" applyAlignment="1">
      <alignment horizontal="left" vertical="top"/>
    </xf>
    <xf numFmtId="0" fontId="0" fillId="0" borderId="9" xfId="0" applyBorder="1">
      <alignment vertical="top"/>
    </xf>
    <xf numFmtId="0" fontId="0" fillId="0" borderId="11" xfId="0" applyBorder="1" applyAlignment="1">
      <alignment vertical="top"/>
    </xf>
    <xf numFmtId="0" fontId="0" fillId="0" borderId="12" xfId="0" applyBorder="1">
      <alignment vertical="top"/>
    </xf>
    <xf numFmtId="169" fontId="0" fillId="0" borderId="0" xfId="0" applyNumberFormat="1" applyAlignment="1">
      <alignment horizontal="left" vertical="top"/>
    </xf>
    <xf numFmtId="0" fontId="0" fillId="0" borderId="13" xfId="0" applyBorder="1">
      <alignment vertical="top"/>
    </xf>
    <xf numFmtId="0" fontId="0" fillId="0" borderId="11" xfId="0" applyBorder="1">
      <alignment vertical="top"/>
    </xf>
    <xf numFmtId="0" fontId="0" fillId="0" borderId="10" xfId="0" applyBorder="1">
      <alignment vertical="top"/>
    </xf>
    <xf numFmtId="0" fontId="0" fillId="0" borderId="15" xfId="0" applyBorder="1">
      <alignment vertical="top"/>
    </xf>
    <xf numFmtId="169" fontId="0" fillId="0" borderId="0" xfId="0" applyNumberFormat="1" applyBorder="1" applyAlignment="1">
      <alignment horizontal="left" vertical="top"/>
    </xf>
    <xf numFmtId="170" fontId="5" fillId="2" borderId="6" xfId="41" applyNumberFormat="1" applyFill="1" applyBorder="1" applyAlignment="1">
      <alignment vertical="top"/>
    </xf>
    <xf numFmtId="169" fontId="5" fillId="0" borderId="0" xfId="41" applyNumberFormat="1" applyFont="1" applyFill="1" applyBorder="1" applyAlignment="1">
      <alignment horizontal="center" vertical="top"/>
    </xf>
    <xf numFmtId="169" fontId="5" fillId="0" borderId="1" xfId="41" applyNumberFormat="1" applyFont="1" applyFill="1" applyBorder="1" applyAlignment="1">
      <alignment horizontal="center" vertical="top"/>
    </xf>
    <xf numFmtId="169" fontId="5" fillId="0" borderId="0" xfId="41" applyNumberFormat="1" applyBorder="1" applyAlignment="1">
      <alignment horizontal="center" vertical="top"/>
    </xf>
    <xf numFmtId="169" fontId="5" fillId="2" borderId="0" xfId="41" applyFont="1" applyFill="1" applyBorder="1" applyAlignment="1">
      <alignment vertical="top"/>
    </xf>
    <xf numFmtId="170" fontId="5" fillId="2" borderId="0" xfId="41" applyNumberFormat="1" applyFont="1" applyFill="1" applyBorder="1" applyAlignment="1">
      <alignment horizontal="left" vertical="top"/>
    </xf>
    <xf numFmtId="170" fontId="5" fillId="2" borderId="0" xfId="41" applyNumberFormat="1" applyFill="1" applyAlignment="1">
      <alignment vertical="top"/>
    </xf>
    <xf numFmtId="169" fontId="5" fillId="0" borderId="0" xfId="41" applyNumberFormat="1" applyFont="1" applyFill="1" applyBorder="1" applyAlignment="1">
      <alignment horizontal="justify" vertical="top"/>
    </xf>
    <xf numFmtId="170" fontId="5" fillId="0" borderId="9" xfId="41" applyNumberFormat="1" applyFont="1" applyFill="1" applyBorder="1" applyAlignment="1">
      <alignment horizontal="justify" vertical="top"/>
    </xf>
    <xf numFmtId="169" fontId="6" fillId="0" borderId="2" xfId="41" applyFont="1" applyBorder="1" applyAlignment="1">
      <alignment vertical="top"/>
    </xf>
    <xf numFmtId="169" fontId="6" fillId="0" borderId="2" xfId="41" applyFont="1" applyFill="1" applyBorder="1" applyAlignment="1">
      <alignment vertical="top"/>
    </xf>
    <xf numFmtId="170" fontId="5" fillId="0" borderId="6" xfId="41" applyNumberFormat="1" applyFont="1" applyFill="1" applyBorder="1" applyAlignment="1">
      <alignment horizontal="justify" vertical="top"/>
    </xf>
    <xf numFmtId="0" fontId="0" fillId="0" borderId="2" xfId="0" applyBorder="1" applyAlignment="1">
      <alignment vertical="top"/>
    </xf>
    <xf numFmtId="170" fontId="7" fillId="3" borderId="17" xfId="41" applyNumberFormat="1" applyFont="1" applyFill="1" applyBorder="1" applyAlignment="1">
      <alignment horizontal="center" vertical="top"/>
    </xf>
    <xf numFmtId="170" fontId="7" fillId="3" borderId="18" xfId="41" applyNumberFormat="1" applyFont="1" applyFill="1" applyBorder="1" applyAlignment="1">
      <alignment horizontal="center" vertical="top"/>
    </xf>
    <xf numFmtId="170" fontId="7" fillId="3" borderId="13" xfId="41" applyNumberFormat="1" applyFont="1" applyFill="1" applyBorder="1" applyAlignment="1">
      <alignment horizontal="center" vertical="top"/>
    </xf>
    <xf numFmtId="170" fontId="7" fillId="3" borderId="11" xfId="41" applyNumberFormat="1" applyFont="1" applyFill="1" applyBorder="1" applyAlignment="1">
      <alignment horizontal="center" vertical="top"/>
    </xf>
    <xf numFmtId="169" fontId="5" fillId="0" borderId="13" xfId="41" applyBorder="1" applyAlignment="1">
      <alignment horizontal="center" vertical="top"/>
    </xf>
    <xf numFmtId="169" fontId="5" fillId="0" borderId="11" xfId="41" applyBorder="1" applyAlignment="1">
      <alignment horizontal="center" vertical="top"/>
    </xf>
    <xf numFmtId="170" fontId="5" fillId="0" borderId="0" xfId="41" applyNumberFormat="1" applyBorder="1" applyAlignment="1">
      <alignment horizontal="center" vertical="top"/>
    </xf>
    <xf numFmtId="170" fontId="5" fillId="2" borderId="0" xfId="41" applyNumberFormat="1" applyFill="1" applyBorder="1" applyAlignment="1">
      <alignment horizontal="center" vertical="top"/>
    </xf>
    <xf numFmtId="0" fontId="2" fillId="0" borderId="0" xfId="0" applyFont="1" applyFill="1" applyBorder="1" applyAlignment="1">
      <alignment horizontal="justify" vertical="top" wrapText="1"/>
    </xf>
    <xf numFmtId="169" fontId="5" fillId="0" borderId="2" xfId="41" applyFont="1" applyFill="1" applyBorder="1" applyAlignment="1">
      <alignment vertical="top"/>
    </xf>
    <xf numFmtId="0" fontId="2" fillId="0" borderId="0" xfId="0" applyFont="1" applyBorder="1">
      <alignment vertical="top"/>
    </xf>
    <xf numFmtId="169" fontId="5" fillId="0" borderId="0" xfId="41" applyNumberFormat="1" applyFill="1" applyBorder="1" applyAlignment="1">
      <alignment horizontal="center" vertical="top"/>
    </xf>
    <xf numFmtId="0" fontId="0" fillId="0" borderId="0" xfId="0" applyBorder="1" applyAlignment="1">
      <alignment horizontal="center" vertical="top"/>
    </xf>
    <xf numFmtId="0" fontId="0" fillId="0" borderId="19" xfId="0" applyBorder="1" applyAlignment="1">
      <alignment vertical="top"/>
    </xf>
    <xf numFmtId="0" fontId="0" fillId="0" borderId="3" xfId="0" applyBorder="1" applyAlignment="1">
      <alignment vertical="top"/>
    </xf>
    <xf numFmtId="0" fontId="0" fillId="0" borderId="21" xfId="0" applyBorder="1" applyAlignment="1">
      <alignment horizontal="center" vertical="top"/>
    </xf>
    <xf numFmtId="0" fontId="0" fillId="0" borderId="19" xfId="0" applyBorder="1" applyAlignment="1">
      <alignment horizontal="center" vertical="top"/>
    </xf>
    <xf numFmtId="169" fontId="5" fillId="0" borderId="2" xfId="41" applyNumberFormat="1" applyFont="1" applyFill="1" applyBorder="1" applyAlignment="1">
      <alignment horizontal="center" vertical="top"/>
    </xf>
    <xf numFmtId="169" fontId="5" fillId="0" borderId="2" xfId="41" applyNumberFormat="1" applyFill="1" applyBorder="1" applyAlignment="1">
      <alignment horizontal="center" vertical="top"/>
    </xf>
    <xf numFmtId="169" fontId="5" fillId="2" borderId="22" xfId="41" applyFill="1" applyBorder="1" applyAlignment="1">
      <alignment vertical="top"/>
    </xf>
    <xf numFmtId="170" fontId="5" fillId="2" borderId="7" xfId="41" applyNumberFormat="1" applyFill="1" applyBorder="1" applyAlignment="1">
      <alignment vertical="top"/>
    </xf>
    <xf numFmtId="170" fontId="5" fillId="0" borderId="1" xfId="41" applyNumberFormat="1" applyFill="1" applyBorder="1" applyAlignment="1">
      <alignment horizontal="justify" vertical="top"/>
    </xf>
    <xf numFmtId="170" fontId="5" fillId="0" borderId="1" xfId="41" applyNumberFormat="1" applyBorder="1" applyAlignment="1">
      <alignment horizontal="left" vertical="top"/>
    </xf>
    <xf numFmtId="170" fontId="5" fillId="0" borderId="0" xfId="41" applyNumberFormat="1" applyFill="1" applyBorder="1" applyAlignment="1">
      <alignment horizontal="left" vertical="top"/>
    </xf>
    <xf numFmtId="0" fontId="0" fillId="0" borderId="0" xfId="0" applyFill="1" applyAlignment="1">
      <alignment vertical="top"/>
    </xf>
    <xf numFmtId="170" fontId="5" fillId="2" borderId="4" xfId="41" applyNumberFormat="1" applyFill="1" applyBorder="1" applyAlignment="1">
      <alignment horizontal="justify" vertical="top"/>
    </xf>
    <xf numFmtId="170" fontId="6" fillId="0" borderId="13" xfId="41" applyNumberFormat="1" applyFont="1" applyFill="1" applyBorder="1" applyAlignment="1">
      <alignment vertical="top"/>
    </xf>
    <xf numFmtId="169" fontId="5" fillId="0" borderId="0" xfId="41" applyFont="1" applyFill="1" applyBorder="1" applyAlignment="1">
      <alignment horizontal="justify" vertical="top"/>
    </xf>
    <xf numFmtId="169" fontId="5" fillId="2" borderId="0" xfId="41" applyNumberFormat="1" applyFont="1" applyFill="1" applyBorder="1" applyAlignment="1">
      <alignment horizontal="justify" vertical="top"/>
    </xf>
    <xf numFmtId="0" fontId="1" fillId="0" borderId="0" xfId="0" applyFont="1" applyFill="1" applyBorder="1">
      <alignment vertical="top"/>
    </xf>
    <xf numFmtId="0" fontId="13" fillId="0" borderId="0" xfId="0" applyFont="1" applyFill="1" applyBorder="1">
      <alignment vertical="top"/>
    </xf>
    <xf numFmtId="170" fontId="5" fillId="0" borderId="13" xfId="41" applyNumberFormat="1" applyFill="1" applyBorder="1" applyAlignment="1">
      <alignment vertical="top"/>
    </xf>
    <xf numFmtId="0" fontId="4" fillId="0" borderId="0" xfId="0" applyFont="1" applyFill="1" applyBorder="1">
      <alignment vertical="top"/>
    </xf>
    <xf numFmtId="0" fontId="0" fillId="0" borderId="34" xfId="0" applyFill="1" applyBorder="1" applyAlignment="1">
      <alignment horizontal="center" vertical="top"/>
    </xf>
    <xf numFmtId="170" fontId="5" fillId="0" borderId="2" xfId="41" applyNumberFormat="1" applyFill="1" applyBorder="1" applyAlignment="1">
      <alignment horizontal="justify" vertical="top"/>
    </xf>
    <xf numFmtId="170" fontId="5" fillId="0" borderId="2" xfId="41" applyNumberFormat="1" applyFont="1" applyFill="1" applyBorder="1" applyAlignment="1">
      <alignment horizontal="justify" vertical="top"/>
    </xf>
    <xf numFmtId="170" fontId="8" fillId="0" borderId="1" xfId="41" applyNumberFormat="1" applyFont="1" applyBorder="1" applyAlignment="1">
      <alignment vertical="top"/>
    </xf>
    <xf numFmtId="170" fontId="5" fillId="0" borderId="1" xfId="41" applyNumberFormat="1" applyFont="1" applyFill="1" applyBorder="1" applyAlignment="1">
      <alignment horizontal="justify" vertical="top"/>
    </xf>
    <xf numFmtId="0" fontId="12" fillId="0" borderId="0" xfId="0" applyFont="1" applyBorder="1" applyAlignment="1" applyProtection="1">
      <alignment vertical="top"/>
      <protection locked="0"/>
    </xf>
    <xf numFmtId="169" fontId="5" fillId="0" borderId="1" xfId="41" applyNumberFormat="1" applyFont="1" applyFill="1" applyBorder="1" applyAlignment="1">
      <alignment horizontal="justify" vertical="top"/>
    </xf>
    <xf numFmtId="0" fontId="11" fillId="0" borderId="0" xfId="41" applyNumberFormat="1" applyFont="1" applyFill="1" applyBorder="1" applyAlignment="1">
      <alignment horizontal="center" vertical="top"/>
    </xf>
    <xf numFmtId="169" fontId="11" fillId="0" borderId="2" xfId="41" applyFont="1" applyFill="1" applyBorder="1" applyAlignment="1">
      <alignment vertical="top"/>
    </xf>
    <xf numFmtId="170" fontId="11" fillId="0" borderId="0" xfId="41" applyNumberFormat="1" applyFont="1" applyFill="1" applyBorder="1" applyAlignment="1">
      <alignment vertical="top"/>
    </xf>
    <xf numFmtId="170" fontId="11" fillId="0" borderId="0" xfId="41" applyNumberFormat="1" applyFont="1" applyFill="1" applyBorder="1" applyAlignment="1">
      <alignment horizontal="justify" vertical="top"/>
    </xf>
    <xf numFmtId="169" fontId="11" fillId="0" borderId="0" xfId="41" applyFont="1" applyFill="1" applyBorder="1" applyAlignment="1">
      <alignment vertical="top"/>
    </xf>
    <xf numFmtId="169" fontId="11" fillId="0" borderId="0" xfId="41" applyNumberFormat="1" applyFont="1" applyFill="1" applyBorder="1" applyAlignment="1">
      <alignment horizontal="center" vertical="top"/>
    </xf>
    <xf numFmtId="169" fontId="11" fillId="0" borderId="2" xfId="41" applyFont="1" applyBorder="1" applyAlignment="1">
      <alignment vertical="top"/>
    </xf>
    <xf numFmtId="170" fontId="11" fillId="0" borderId="0" xfId="41" applyNumberFormat="1" applyFont="1" applyBorder="1" applyAlignment="1">
      <alignment vertical="top"/>
    </xf>
    <xf numFmtId="169" fontId="11" fillId="0" borderId="0" xfId="41" applyFont="1" applyBorder="1" applyAlignment="1">
      <alignment vertical="top"/>
    </xf>
    <xf numFmtId="0" fontId="0" fillId="0" borderId="1" xfId="0" applyBorder="1" applyAlignment="1">
      <alignment horizontal="left" vertical="top"/>
    </xf>
    <xf numFmtId="170" fontId="11" fillId="0" borderId="1" xfId="41" applyNumberFormat="1" applyFont="1" applyBorder="1" applyAlignment="1">
      <alignment horizontal="justify" vertical="top"/>
    </xf>
    <xf numFmtId="169" fontId="11" fillId="0" borderId="2" xfId="41" applyNumberFormat="1" applyFont="1" applyFill="1" applyBorder="1" applyAlignment="1">
      <alignment horizontal="center" vertical="top"/>
    </xf>
    <xf numFmtId="169" fontId="11" fillId="0" borderId="1" xfId="41" applyNumberFormat="1" applyFont="1" applyFill="1" applyBorder="1" applyAlignment="1">
      <alignment horizontal="center" vertical="top"/>
    </xf>
    <xf numFmtId="170" fontId="11" fillId="2" borderId="0" xfId="41" applyNumberFormat="1" applyFont="1" applyFill="1" applyBorder="1" applyAlignment="1">
      <alignment horizontal="justify" vertical="top"/>
    </xf>
    <xf numFmtId="169" fontId="11" fillId="0" borderId="0" xfId="41" applyNumberFormat="1" applyFont="1" applyBorder="1" applyAlignment="1">
      <alignment horizontal="center" vertical="top"/>
    </xf>
    <xf numFmtId="170" fontId="11" fillId="2" borderId="6" xfId="41" applyNumberFormat="1" applyFont="1" applyFill="1" applyBorder="1" applyAlignment="1">
      <alignment horizontal="justify" vertical="top" wrapText="1"/>
    </xf>
    <xf numFmtId="169" fontId="11" fillId="0" borderId="0" xfId="41" applyFont="1" applyAlignment="1">
      <alignment vertical="top"/>
    </xf>
    <xf numFmtId="170" fontId="11" fillId="0" borderId="0" xfId="41" applyNumberFormat="1" applyFont="1" applyAlignment="1">
      <alignment vertical="top"/>
    </xf>
    <xf numFmtId="170" fontId="10" fillId="0" borderId="2" xfId="41" applyNumberFormat="1" applyFont="1" applyBorder="1" applyAlignment="1">
      <alignment vertical="top"/>
    </xf>
    <xf numFmtId="170" fontId="11" fillId="0" borderId="3" xfId="41" applyNumberFormat="1" applyFont="1" applyBorder="1" applyAlignment="1">
      <alignment horizontal="justify" vertical="top"/>
    </xf>
    <xf numFmtId="170" fontId="11" fillId="0" borderId="4" xfId="41" applyNumberFormat="1" applyFont="1" applyBorder="1" applyAlignment="1">
      <alignment horizontal="justify" vertical="top"/>
    </xf>
    <xf numFmtId="170" fontId="11" fillId="2" borderId="0" xfId="41" applyNumberFormat="1" applyFont="1" applyFill="1" applyBorder="1" applyAlignment="1">
      <alignment vertical="top"/>
    </xf>
    <xf numFmtId="0" fontId="11" fillId="0" borderId="2" xfId="0" applyFont="1" applyFill="1" applyBorder="1" applyAlignment="1">
      <alignment horizontal="justify" vertical="top" wrapText="1"/>
    </xf>
    <xf numFmtId="170" fontId="10" fillId="0" borderId="0" xfId="41" applyNumberFormat="1" applyFont="1" applyBorder="1" applyAlignment="1">
      <alignment vertical="top"/>
    </xf>
    <xf numFmtId="170" fontId="10" fillId="0" borderId="0" xfId="41" applyNumberFormat="1" applyFont="1" applyFill="1" applyBorder="1" applyAlignment="1">
      <alignment vertical="top"/>
    </xf>
    <xf numFmtId="0" fontId="11" fillId="0" borderId="0" xfId="0" applyFont="1" applyBorder="1">
      <alignment vertical="top"/>
    </xf>
    <xf numFmtId="170" fontId="10" fillId="0" borderId="5" xfId="41" applyNumberFormat="1" applyFont="1" applyBorder="1" applyAlignment="1">
      <alignment vertical="top"/>
    </xf>
    <xf numFmtId="169" fontId="11" fillId="2" borderId="0" xfId="41" applyNumberFormat="1" applyFont="1" applyFill="1" applyBorder="1" applyAlignment="1">
      <alignment horizontal="center" vertical="top"/>
    </xf>
    <xf numFmtId="169" fontId="10" fillId="0" borderId="0" xfId="41" applyFont="1" applyFill="1" applyBorder="1" applyAlignment="1">
      <alignment vertical="top"/>
    </xf>
    <xf numFmtId="0" fontId="11" fillId="0" borderId="0" xfId="0" applyFont="1" applyFill="1" applyBorder="1">
      <alignment vertical="top"/>
    </xf>
    <xf numFmtId="0" fontId="11" fillId="0" borderId="2" xfId="0" applyFont="1" applyFill="1" applyBorder="1">
      <alignment vertical="top"/>
    </xf>
    <xf numFmtId="169" fontId="10" fillId="0" borderId="2" xfId="41" applyFont="1" applyBorder="1" applyAlignment="1">
      <alignment vertical="top"/>
    </xf>
    <xf numFmtId="169" fontId="10" fillId="0" borderId="2" xfId="41" applyFont="1" applyFill="1" applyBorder="1" applyAlignment="1">
      <alignment vertical="top"/>
    </xf>
    <xf numFmtId="169" fontId="5" fillId="0" borderId="2" xfId="41" applyFont="1" applyFill="1" applyBorder="1" applyAlignment="1">
      <alignment horizontal="justify" vertical="top"/>
    </xf>
    <xf numFmtId="169" fontId="5" fillId="0" borderId="1" xfId="41" applyFont="1" applyFill="1" applyBorder="1" applyAlignment="1">
      <alignment horizontal="justify" vertical="top"/>
    </xf>
    <xf numFmtId="170" fontId="5" fillId="2" borderId="1" xfId="41" applyNumberFormat="1" applyFont="1" applyFill="1" applyBorder="1" applyAlignment="1">
      <alignment horizontal="left" vertical="top"/>
    </xf>
    <xf numFmtId="169" fontId="5" fillId="2" borderId="1" xfId="41" applyNumberFormat="1" applyFont="1" applyFill="1" applyBorder="1" applyAlignment="1">
      <alignment horizontal="justify" vertical="top"/>
    </xf>
    <xf numFmtId="170" fontId="6" fillId="2" borderId="2" xfId="41" applyNumberFormat="1" applyFont="1" applyFill="1" applyBorder="1" applyAlignment="1">
      <alignment horizontal="left" vertical="top"/>
    </xf>
    <xf numFmtId="170" fontId="5" fillId="0" borderId="1" xfId="41" applyNumberFormat="1" applyFont="1" applyFill="1" applyBorder="1" applyAlignment="1">
      <alignment horizontal="left" vertical="top"/>
    </xf>
    <xf numFmtId="170" fontId="5" fillId="0" borderId="0" xfId="41" applyNumberFormat="1" applyFont="1" applyFill="1" applyBorder="1" applyAlignment="1">
      <alignment horizontal="left" vertical="top"/>
    </xf>
    <xf numFmtId="170" fontId="6" fillId="0" borderId="2" xfId="41" applyNumberFormat="1" applyFont="1" applyFill="1" applyBorder="1" applyAlignment="1">
      <alignment vertical="top"/>
    </xf>
    <xf numFmtId="169" fontId="19" fillId="0" borderId="0" xfId="41" applyFont="1" applyFill="1" applyBorder="1" applyAlignment="1">
      <alignment vertical="top"/>
    </xf>
    <xf numFmtId="0" fontId="0" fillId="6" borderId="0" xfId="0" applyFill="1" applyBorder="1" applyAlignment="1">
      <alignment vertical="top"/>
    </xf>
    <xf numFmtId="0" fontId="0" fillId="6" borderId="2" xfId="0" applyFill="1" applyBorder="1" applyAlignment="1">
      <alignment horizontal="center" vertical="top"/>
    </xf>
    <xf numFmtId="0" fontId="0" fillId="6" borderId="3" xfId="0" applyFill="1" applyBorder="1" applyAlignment="1">
      <alignment vertical="top"/>
    </xf>
    <xf numFmtId="0" fontId="0" fillId="0" borderId="49" xfId="0" applyFill="1" applyBorder="1" applyAlignment="1">
      <alignment horizontal="center" vertical="top"/>
    </xf>
    <xf numFmtId="0" fontId="1" fillId="0" borderId="0" xfId="0" applyFont="1" applyFill="1" applyBorder="1" applyAlignment="1">
      <alignment horizontal="right" vertical="top"/>
    </xf>
    <xf numFmtId="0" fontId="0" fillId="0" borderId="9" xfId="0" applyBorder="1" applyAlignment="1">
      <alignment vertical="top"/>
    </xf>
    <xf numFmtId="0" fontId="0" fillId="0" borderId="32" xfId="0" applyBorder="1" applyAlignment="1">
      <alignment vertical="top"/>
    </xf>
    <xf numFmtId="0" fontId="0" fillId="0" borderId="5" xfId="0" applyBorder="1" applyAlignment="1">
      <alignment vertical="top"/>
    </xf>
    <xf numFmtId="0" fontId="0" fillId="0" borderId="50" xfId="0" applyBorder="1" applyAlignment="1">
      <alignment vertical="top"/>
    </xf>
    <xf numFmtId="0" fontId="0" fillId="0" borderId="31" xfId="0" applyBorder="1" applyAlignment="1">
      <alignment vertical="top"/>
    </xf>
    <xf numFmtId="0" fontId="0" fillId="6" borderId="13" xfId="0" applyFill="1" applyBorder="1" applyAlignment="1">
      <alignment vertical="top"/>
    </xf>
    <xf numFmtId="169" fontId="5" fillId="0" borderId="1" xfId="41" applyNumberFormat="1" applyFont="1" applyFill="1" applyBorder="1" applyAlignment="1">
      <alignment horizontal="left" vertical="top"/>
    </xf>
    <xf numFmtId="170" fontId="5" fillId="0" borderId="0" xfId="41" applyNumberFormat="1" applyFill="1" applyBorder="1" applyAlignment="1">
      <alignment horizontal="center" vertical="top"/>
    </xf>
    <xf numFmtId="2" fontId="11" fillId="0" borderId="0" xfId="41" applyNumberFormat="1" applyFont="1" applyBorder="1" applyAlignment="1">
      <alignment horizontal="center" vertical="top"/>
    </xf>
    <xf numFmtId="169" fontId="11" fillId="0" borderId="6" xfId="41" applyNumberFormat="1" applyFont="1" applyFill="1" applyBorder="1" applyAlignment="1">
      <alignment horizontal="center" vertical="top"/>
    </xf>
    <xf numFmtId="170" fontId="11" fillId="0" borderId="2" xfId="41" applyNumberFormat="1" applyFont="1" applyFill="1" applyBorder="1" applyAlignment="1">
      <alignment horizontal="justify" vertical="top"/>
    </xf>
    <xf numFmtId="0" fontId="11" fillId="0" borderId="0" xfId="0" applyFont="1" applyFill="1" applyBorder="1" applyAlignment="1">
      <alignment horizontal="center" vertical="top" wrapText="1"/>
    </xf>
    <xf numFmtId="169" fontId="11" fillId="0" borderId="0" xfId="0" applyNumberFormat="1" applyFont="1" applyFill="1" applyBorder="1" applyAlignment="1">
      <alignment horizontal="center" vertical="top" wrapText="1"/>
    </xf>
    <xf numFmtId="169" fontId="11" fillId="2" borderId="0" xfId="0" applyNumberFormat="1" applyFont="1" applyFill="1" applyBorder="1" applyAlignment="1">
      <alignment horizontal="center" vertical="top" wrapText="1"/>
    </xf>
    <xf numFmtId="169" fontId="11" fillId="2" borderId="6" xfId="0" applyNumberFormat="1" applyFont="1" applyFill="1" applyBorder="1" applyAlignment="1">
      <alignment horizontal="center" vertical="top" wrapText="1"/>
    </xf>
    <xf numFmtId="170" fontId="11" fillId="3" borderId="3" xfId="41" applyNumberFormat="1" applyFont="1" applyFill="1" applyBorder="1" applyAlignment="1">
      <alignment horizontal="center" vertical="top"/>
    </xf>
    <xf numFmtId="170" fontId="11" fillId="3" borderId="4" xfId="41" applyNumberFormat="1" applyFont="1" applyFill="1" applyBorder="1" applyAlignment="1">
      <alignment horizontal="center" vertical="top"/>
    </xf>
    <xf numFmtId="170" fontId="11" fillId="3" borderId="0" xfId="41" applyNumberFormat="1" applyFont="1" applyFill="1" applyBorder="1" applyAlignment="1">
      <alignment vertical="top"/>
    </xf>
    <xf numFmtId="170" fontId="11" fillId="3" borderId="0" xfId="41" applyNumberFormat="1" applyFont="1" applyFill="1" applyBorder="1" applyAlignment="1">
      <alignment horizontal="center" vertical="top"/>
    </xf>
    <xf numFmtId="170" fontId="11" fillId="3" borderId="1" xfId="41" applyNumberFormat="1" applyFont="1" applyFill="1" applyBorder="1" applyAlignment="1">
      <alignment horizontal="center" vertical="top"/>
    </xf>
    <xf numFmtId="169" fontId="11" fillId="0" borderId="0" xfId="41" applyFont="1" applyBorder="1" applyAlignment="1">
      <alignment horizontal="center" vertical="top"/>
    </xf>
    <xf numFmtId="169" fontId="11" fillId="0" borderId="1" xfId="41" applyFont="1" applyBorder="1" applyAlignment="1">
      <alignment horizontal="center" vertical="top"/>
    </xf>
    <xf numFmtId="170" fontId="11" fillId="0" borderId="2" xfId="41" applyNumberFormat="1" applyFont="1" applyBorder="1" applyAlignment="1">
      <alignment horizontal="justify" vertical="top"/>
    </xf>
    <xf numFmtId="0" fontId="11" fillId="2" borderId="0" xfId="0" applyFont="1" applyFill="1">
      <alignment vertical="top"/>
    </xf>
    <xf numFmtId="170" fontId="10" fillId="2" borderId="0" xfId="41" applyNumberFormat="1" applyFont="1" applyFill="1" applyAlignment="1">
      <alignment vertical="top"/>
    </xf>
    <xf numFmtId="170" fontId="11" fillId="2" borderId="2" xfId="41" applyNumberFormat="1" applyFont="1" applyFill="1" applyBorder="1" applyAlignment="1">
      <alignment horizontal="justify" vertical="top"/>
    </xf>
    <xf numFmtId="170" fontId="11" fillId="2" borderId="19" xfId="41" applyNumberFormat="1" applyFont="1" applyFill="1" applyBorder="1" applyAlignment="1">
      <alignment horizontal="justify" vertical="top" wrapText="1"/>
    </xf>
    <xf numFmtId="170" fontId="19" fillId="0" borderId="3" xfId="41" applyNumberFormat="1" applyFont="1" applyFill="1" applyBorder="1" applyAlignment="1">
      <alignment vertical="top"/>
    </xf>
    <xf numFmtId="170" fontId="19" fillId="0" borderId="3" xfId="41" applyNumberFormat="1" applyFont="1" applyFill="1" applyBorder="1" applyAlignment="1">
      <alignment horizontal="justify" vertical="top"/>
    </xf>
    <xf numFmtId="169" fontId="11" fillId="0" borderId="3" xfId="41" applyNumberFormat="1" applyFont="1" applyFill="1" applyBorder="1" applyAlignment="1">
      <alignment horizontal="center" vertical="top"/>
    </xf>
    <xf numFmtId="169" fontId="11" fillId="0" borderId="4" xfId="41" applyNumberFormat="1" applyFont="1" applyFill="1" applyBorder="1" applyAlignment="1">
      <alignment horizontal="center" vertical="top"/>
    </xf>
    <xf numFmtId="169" fontId="11" fillId="0" borderId="0" xfId="41" applyFont="1" applyFill="1" applyBorder="1" applyAlignment="1">
      <alignment horizontal="center" vertical="top"/>
    </xf>
    <xf numFmtId="169" fontId="11" fillId="2" borderId="2" xfId="41" applyFont="1" applyFill="1" applyBorder="1" applyAlignment="1">
      <alignment vertical="top"/>
    </xf>
    <xf numFmtId="0" fontId="11" fillId="2" borderId="2" xfId="0" applyFont="1" applyFill="1" applyBorder="1" applyAlignment="1">
      <alignment horizontal="justify" vertical="top" wrapText="1"/>
    </xf>
    <xf numFmtId="0" fontId="11" fillId="2" borderId="2" xfId="0" applyFont="1" applyFill="1" applyBorder="1">
      <alignment vertical="top"/>
    </xf>
    <xf numFmtId="169" fontId="19" fillId="0" borderId="5" xfId="41" applyFont="1" applyFill="1" applyBorder="1" applyAlignment="1">
      <alignment vertical="top"/>
    </xf>
    <xf numFmtId="0" fontId="11" fillId="0" borderId="3" xfId="0" applyFont="1" applyFill="1" applyBorder="1">
      <alignment vertical="top"/>
    </xf>
    <xf numFmtId="170" fontId="11" fillId="0" borderId="0" xfId="41" applyNumberFormat="1" applyFont="1" applyBorder="1" applyAlignment="1">
      <alignment horizontal="center" vertical="top"/>
    </xf>
    <xf numFmtId="170" fontId="11" fillId="0" borderId="1" xfId="41" applyNumberFormat="1" applyFont="1" applyBorder="1" applyAlignment="1">
      <alignment horizontal="center" vertical="top"/>
    </xf>
    <xf numFmtId="170" fontId="11" fillId="0" borderId="13" xfId="41" applyNumberFormat="1" applyFont="1" applyFill="1" applyBorder="1" applyAlignment="1">
      <alignment vertical="top"/>
    </xf>
    <xf numFmtId="0" fontId="11" fillId="0" borderId="1" xfId="0" applyFont="1" applyFill="1" applyBorder="1">
      <alignment vertical="top"/>
    </xf>
    <xf numFmtId="170" fontId="11" fillId="8" borderId="6" xfId="41" applyNumberFormat="1" applyFont="1" applyFill="1" applyBorder="1" applyAlignment="1">
      <alignment horizontal="justify" vertical="top"/>
    </xf>
    <xf numFmtId="169" fontId="11" fillId="8" borderId="6" xfId="41" applyNumberFormat="1" applyFont="1" applyFill="1" applyBorder="1" applyAlignment="1">
      <alignment horizontal="center" vertical="top"/>
    </xf>
    <xf numFmtId="0" fontId="17" fillId="8" borderId="0" xfId="0" applyFont="1" applyFill="1" applyBorder="1" applyAlignment="1">
      <alignment horizontal="left" vertical="top"/>
    </xf>
    <xf numFmtId="0" fontId="0" fillId="7" borderId="0" xfId="0" applyFill="1" applyBorder="1" applyAlignment="1">
      <alignment horizontal="center" vertical="top"/>
    </xf>
    <xf numFmtId="170" fontId="5" fillId="0" borderId="2" xfId="41" applyNumberFormat="1" applyFont="1" applyFill="1" applyBorder="1" applyAlignment="1">
      <alignment horizontal="left" vertical="top"/>
    </xf>
    <xf numFmtId="170" fontId="5" fillId="0" borderId="2" xfId="41" applyNumberFormat="1" applyFont="1" applyFill="1" applyBorder="1" applyAlignment="1">
      <alignment horizontal="left" vertical="top" wrapText="1"/>
    </xf>
    <xf numFmtId="169" fontId="11" fillId="8" borderId="0" xfId="41" applyNumberFormat="1" applyFont="1" applyFill="1" applyBorder="1" applyAlignment="1">
      <alignment horizontal="center" vertical="top"/>
    </xf>
    <xf numFmtId="170" fontId="5" fillId="8" borderId="1" xfId="41" applyNumberFormat="1" applyFont="1" applyFill="1" applyBorder="1" applyAlignment="1">
      <alignment horizontal="justify" vertical="top"/>
    </xf>
    <xf numFmtId="0" fontId="0" fillId="0" borderId="0" xfId="0" applyAlignment="1">
      <alignment vertical="center"/>
    </xf>
    <xf numFmtId="0" fontId="2" fillId="0" borderId="0" xfId="0" applyNumberFormat="1" applyFont="1" applyFill="1" applyBorder="1" applyAlignment="1">
      <alignment horizontal="justify" vertical="center" wrapText="1"/>
    </xf>
    <xf numFmtId="0" fontId="2" fillId="0" borderId="0" xfId="0" applyNumberFormat="1" applyFont="1" applyFill="1" applyBorder="1" applyAlignment="1">
      <alignment horizontal="left" vertical="center" wrapText="1"/>
    </xf>
    <xf numFmtId="169" fontId="2" fillId="0" borderId="0" xfId="0" applyNumberFormat="1" applyFont="1" applyFill="1" applyBorder="1" applyAlignment="1">
      <alignment horizontal="justify" vertical="center" wrapText="1"/>
    </xf>
    <xf numFmtId="0" fontId="2" fillId="0" borderId="2" xfId="0" applyNumberFormat="1" applyFont="1" applyFill="1" applyBorder="1" applyAlignment="1">
      <alignment horizontal="left" vertical="center" wrapText="1"/>
    </xf>
    <xf numFmtId="0" fontId="2" fillId="0" borderId="62" xfId="0" applyNumberFormat="1" applyFont="1" applyFill="1" applyBorder="1" applyAlignment="1">
      <alignment horizontal="left" vertical="center" wrapText="1"/>
    </xf>
    <xf numFmtId="170" fontId="19" fillId="0" borderId="5" xfId="41" applyNumberFormat="1" applyFont="1" applyFill="1" applyBorder="1" applyAlignment="1">
      <alignment horizontal="justify" vertical="top"/>
    </xf>
    <xf numFmtId="170" fontId="7" fillId="3" borderId="5" xfId="41" applyNumberFormat="1" applyFont="1" applyFill="1" applyBorder="1" applyAlignment="1">
      <alignment horizontal="center" vertical="top"/>
    </xf>
    <xf numFmtId="170" fontId="7" fillId="3" borderId="3" xfId="41" applyNumberFormat="1" applyFont="1" applyFill="1" applyBorder="1" applyAlignment="1">
      <alignment horizontal="center" vertical="top"/>
    </xf>
    <xf numFmtId="170" fontId="7" fillId="3" borderId="1" xfId="41" applyNumberFormat="1" applyFont="1" applyFill="1" applyBorder="1" applyAlignment="1">
      <alignment horizontal="center" vertical="top"/>
    </xf>
    <xf numFmtId="170" fontId="7" fillId="3" borderId="0" xfId="41" applyNumberFormat="1" applyFont="1" applyFill="1" applyBorder="1" applyAlignment="1">
      <alignment horizontal="center" vertical="top"/>
    </xf>
    <xf numFmtId="170" fontId="7" fillId="3" borderId="2" xfId="41" applyNumberFormat="1" applyFont="1" applyFill="1" applyBorder="1" applyAlignment="1">
      <alignment horizontal="center" vertical="top"/>
    </xf>
    <xf numFmtId="169" fontId="5" fillId="0" borderId="2" xfId="41" applyBorder="1" applyAlignment="1">
      <alignment horizontal="center" vertical="top"/>
    </xf>
    <xf numFmtId="169" fontId="5" fillId="0" borderId="0" xfId="41" applyBorder="1" applyAlignment="1">
      <alignment horizontal="center" vertical="top"/>
    </xf>
    <xf numFmtId="169" fontId="5" fillId="0" borderId="1" xfId="41" applyBorder="1" applyAlignment="1">
      <alignment horizontal="center" vertical="top"/>
    </xf>
    <xf numFmtId="170" fontId="5" fillId="0" borderId="0" xfId="41" applyNumberFormat="1" applyFont="1" applyFill="1" applyBorder="1" applyAlignment="1">
      <alignment horizontal="center" vertical="top"/>
    </xf>
    <xf numFmtId="170" fontId="11" fillId="0" borderId="0" xfId="41" applyNumberFormat="1" applyFont="1" applyFill="1" applyBorder="1" applyAlignment="1">
      <alignment horizontal="center" vertical="top"/>
    </xf>
    <xf numFmtId="169" fontId="11" fillId="0" borderId="0" xfId="0" applyNumberFormat="1" applyFont="1" applyFill="1" applyBorder="1" applyAlignment="1">
      <alignment horizontal="center" vertical="top"/>
    </xf>
    <xf numFmtId="170" fontId="5" fillId="0" borderId="2" xfId="41" applyNumberFormat="1" applyBorder="1" applyAlignment="1">
      <alignment horizontal="center" vertical="top"/>
    </xf>
    <xf numFmtId="170" fontId="5" fillId="0" borderId="1" xfId="41" applyNumberFormat="1" applyBorder="1" applyAlignment="1">
      <alignment horizontal="center" vertical="top"/>
    </xf>
    <xf numFmtId="0" fontId="2" fillId="0" borderId="0" xfId="0" applyFont="1" applyFill="1" applyBorder="1">
      <alignment vertical="top"/>
    </xf>
    <xf numFmtId="169" fontId="6" fillId="0" borderId="0" xfId="41" applyNumberFormat="1" applyFont="1" applyFill="1" applyBorder="1" applyAlignment="1">
      <alignment horizontal="justify" vertical="top"/>
    </xf>
    <xf numFmtId="170" fontId="11" fillId="8" borderId="0" xfId="41" applyNumberFormat="1" applyFont="1" applyFill="1" applyBorder="1" applyAlignment="1">
      <alignment horizontal="justify" vertical="top"/>
    </xf>
    <xf numFmtId="173" fontId="11" fillId="0" borderId="0" xfId="41" applyNumberFormat="1" applyFont="1" applyBorder="1" applyAlignment="1">
      <alignment horizontal="center" vertical="top"/>
    </xf>
    <xf numFmtId="170" fontId="7" fillId="0" borderId="3" xfId="41" applyNumberFormat="1" applyFont="1" applyFill="1" applyBorder="1" applyAlignment="1">
      <alignment horizontal="center" vertical="top"/>
    </xf>
    <xf numFmtId="170" fontId="7" fillId="0" borderId="0" xfId="41" applyNumberFormat="1" applyFont="1" applyFill="1" applyBorder="1" applyAlignment="1">
      <alignment horizontal="center" vertical="top"/>
    </xf>
    <xf numFmtId="169" fontId="5" fillId="0" borderId="0" xfId="41" applyFill="1" applyBorder="1" applyAlignment="1">
      <alignment horizontal="center" vertical="top"/>
    </xf>
    <xf numFmtId="2" fontId="11" fillId="0" borderId="0" xfId="41" applyNumberFormat="1" applyFont="1" applyFill="1" applyBorder="1" applyAlignment="1">
      <alignment horizontal="center" vertical="top"/>
    </xf>
    <xf numFmtId="2" fontId="11" fillId="0" borderId="1" xfId="41" applyNumberFormat="1" applyFont="1" applyFill="1" applyBorder="1" applyAlignment="1">
      <alignment horizontal="center" vertical="top"/>
    </xf>
    <xf numFmtId="169" fontId="4" fillId="0" borderId="0" xfId="0" applyNumberFormat="1" applyFont="1" applyBorder="1" applyAlignment="1">
      <alignment horizontal="center" vertical="top"/>
    </xf>
    <xf numFmtId="170" fontId="11" fillId="0" borderId="3" xfId="41" applyNumberFormat="1" applyFont="1" applyFill="1" applyBorder="1" applyAlignment="1">
      <alignment horizontal="center" vertical="top"/>
    </xf>
    <xf numFmtId="169" fontId="11" fillId="0" borderId="6" xfId="0" applyNumberFormat="1" applyFont="1" applyFill="1" applyBorder="1" applyAlignment="1">
      <alignment horizontal="center" vertical="top" wrapText="1"/>
    </xf>
    <xf numFmtId="169" fontId="11" fillId="2" borderId="9" xfId="41" applyNumberFormat="1" applyFont="1" applyFill="1" applyBorder="1" applyAlignment="1">
      <alignment horizontal="center" vertical="top"/>
    </xf>
    <xf numFmtId="169" fontId="11" fillId="0" borderId="9" xfId="41" applyNumberFormat="1" applyFont="1" applyFill="1" applyBorder="1" applyAlignment="1">
      <alignment horizontal="center" vertical="top"/>
    </xf>
    <xf numFmtId="0" fontId="11" fillId="8" borderId="2" xfId="0" applyFont="1" applyFill="1" applyBorder="1">
      <alignment vertical="top"/>
    </xf>
    <xf numFmtId="0" fontId="1" fillId="0" borderId="5" xfId="0" applyFont="1" applyFill="1" applyBorder="1">
      <alignment vertical="top"/>
    </xf>
    <xf numFmtId="0" fontId="1" fillId="0" borderId="2" xfId="0" applyFont="1" applyFill="1" applyBorder="1">
      <alignment vertical="top"/>
    </xf>
    <xf numFmtId="169" fontId="5" fillId="0" borderId="19" xfId="41" applyFont="1" applyFill="1" applyBorder="1" applyAlignment="1">
      <alignment horizontal="center" vertical="top"/>
    </xf>
    <xf numFmtId="169" fontId="5" fillId="0" borderId="6" xfId="41" applyFont="1" applyFill="1" applyBorder="1" applyAlignment="1">
      <alignment horizontal="center" vertical="top"/>
    </xf>
    <xf numFmtId="169" fontId="5" fillId="0" borderId="29" xfId="41" applyFont="1" applyFill="1" applyBorder="1" applyAlignment="1">
      <alignment horizontal="center" vertical="top"/>
    </xf>
    <xf numFmtId="170" fontId="15" fillId="0" borderId="3" xfId="41" applyNumberFormat="1" applyFont="1" applyFill="1" applyBorder="1" applyAlignment="1">
      <alignment horizontal="justify" vertical="top"/>
    </xf>
    <xf numFmtId="170" fontId="7" fillId="0" borderId="0" xfId="41" applyNumberFormat="1" applyFont="1" applyFill="1" applyBorder="1" applyAlignment="1">
      <alignment vertical="top"/>
    </xf>
    <xf numFmtId="169" fontId="5" fillId="0" borderId="19" xfId="41" applyFont="1" applyFill="1" applyBorder="1" applyAlignment="1">
      <alignment horizontal="justify" vertical="top"/>
    </xf>
    <xf numFmtId="169" fontId="5" fillId="0" borderId="6" xfId="41" applyFont="1" applyFill="1" applyBorder="1" applyAlignment="1">
      <alignment horizontal="justify" vertical="top"/>
    </xf>
    <xf numFmtId="169" fontId="5" fillId="0" borderId="29" xfId="41" applyFont="1" applyFill="1" applyBorder="1" applyAlignment="1">
      <alignment horizontal="justify" vertical="top"/>
    </xf>
    <xf numFmtId="0" fontId="13" fillId="0" borderId="19" xfId="0" applyFont="1" applyFill="1" applyBorder="1">
      <alignment vertical="top"/>
    </xf>
    <xf numFmtId="0" fontId="13" fillId="0" borderId="6" xfId="0" applyFont="1" applyFill="1" applyBorder="1">
      <alignment vertical="top"/>
    </xf>
    <xf numFmtId="0" fontId="9" fillId="0" borderId="29" xfId="0" applyFont="1" applyFill="1" applyBorder="1">
      <alignment vertical="top"/>
    </xf>
    <xf numFmtId="0" fontId="13" fillId="0" borderId="3" xfId="0" applyFont="1" applyFill="1" applyBorder="1">
      <alignment vertical="top"/>
    </xf>
    <xf numFmtId="170" fontId="5" fillId="0" borderId="5" xfId="41" applyNumberFormat="1" applyFill="1" applyBorder="1" applyAlignment="1">
      <alignment horizontal="justify" vertical="top"/>
    </xf>
    <xf numFmtId="170" fontId="5" fillId="0" borderId="3" xfId="41" applyNumberFormat="1" applyFill="1" applyBorder="1" applyAlignment="1">
      <alignment horizontal="justify" vertical="top"/>
    </xf>
    <xf numFmtId="170" fontId="5" fillId="0" borderId="4" xfId="41" applyNumberFormat="1" applyFill="1" applyBorder="1" applyAlignment="1">
      <alignment horizontal="justify" vertical="top"/>
    </xf>
    <xf numFmtId="170" fontId="6" fillId="0" borderId="19" xfId="41" applyNumberFormat="1" applyFont="1" applyFill="1" applyBorder="1" applyAlignment="1">
      <alignment vertical="top"/>
    </xf>
    <xf numFmtId="170" fontId="5" fillId="0" borderId="6" xfId="41" applyNumberFormat="1" applyFont="1" applyFill="1" applyBorder="1" applyAlignment="1">
      <alignment vertical="top"/>
    </xf>
    <xf numFmtId="170" fontId="5" fillId="0" borderId="19" xfId="41" applyNumberFormat="1" applyFont="1" applyFill="1" applyBorder="1" applyAlignment="1">
      <alignment horizontal="justify" vertical="top"/>
    </xf>
    <xf numFmtId="170" fontId="5" fillId="0" borderId="3" xfId="41" applyNumberFormat="1" applyFont="1" applyFill="1" applyBorder="1" applyAlignment="1">
      <alignment horizontal="justify" vertical="top"/>
    </xf>
    <xf numFmtId="170" fontId="5" fillId="0" borderId="4" xfId="41" applyNumberFormat="1" applyFont="1" applyFill="1" applyBorder="1" applyAlignment="1">
      <alignment horizontal="justify" vertical="top"/>
    </xf>
    <xf numFmtId="170" fontId="5" fillId="0" borderId="3" xfId="41" applyNumberFormat="1" applyFont="1" applyFill="1" applyBorder="1" applyAlignment="1">
      <alignment vertical="top"/>
    </xf>
    <xf numFmtId="0" fontId="11" fillId="0" borderId="4" xfId="0" applyFont="1" applyFill="1" applyBorder="1">
      <alignment vertical="top"/>
    </xf>
    <xf numFmtId="0" fontId="9" fillId="0" borderId="1" xfId="0" applyFont="1" applyFill="1" applyBorder="1">
      <alignment vertical="top"/>
    </xf>
    <xf numFmtId="170" fontId="11" fillId="0" borderId="2" xfId="41" applyNumberFormat="1" applyFont="1" applyFill="1" applyBorder="1" applyAlignment="1">
      <alignment vertical="top"/>
    </xf>
    <xf numFmtId="170" fontId="11" fillId="0" borderId="1" xfId="41" applyNumberFormat="1" applyFont="1" applyFill="1" applyBorder="1" applyAlignment="1">
      <alignment vertical="top"/>
    </xf>
    <xf numFmtId="169" fontId="5" fillId="0" borderId="1" xfId="41" applyFill="1" applyBorder="1" applyAlignment="1">
      <alignment horizontal="center" vertical="top"/>
    </xf>
    <xf numFmtId="169" fontId="5" fillId="0" borderId="3" xfId="41" applyNumberFormat="1" applyFont="1" applyBorder="1" applyAlignment="1">
      <alignment horizontal="center" vertical="top"/>
    </xf>
    <xf numFmtId="0" fontId="0" fillId="0" borderId="12" xfId="0" applyBorder="1" applyAlignment="1">
      <alignment horizontal="center" vertical="top"/>
    </xf>
    <xf numFmtId="0" fontId="0" fillId="0" borderId="68" xfId="0" applyBorder="1" applyAlignment="1">
      <alignment horizontal="center" vertical="top"/>
    </xf>
    <xf numFmtId="0" fontId="0" fillId="0" borderId="0" xfId="0" applyFill="1" applyAlignment="1">
      <alignment horizontal="center" vertical="top"/>
    </xf>
    <xf numFmtId="170" fontId="10" fillId="0" borderId="2" xfId="41" applyNumberFormat="1" applyFont="1" applyFill="1" applyBorder="1" applyAlignment="1">
      <alignment vertical="top"/>
    </xf>
    <xf numFmtId="170" fontId="4" fillId="0" borderId="0" xfId="41" applyNumberFormat="1" applyFont="1" applyFill="1" applyBorder="1" applyAlignment="1">
      <alignment vertical="top"/>
    </xf>
    <xf numFmtId="170" fontId="20" fillId="0" borderId="0" xfId="41" applyNumberFormat="1" applyFont="1" applyFill="1" applyBorder="1" applyAlignment="1">
      <alignment vertical="top"/>
    </xf>
    <xf numFmtId="0" fontId="23" fillId="8" borderId="0" xfId="0" applyFont="1" applyFill="1" applyBorder="1" applyAlignment="1">
      <alignment horizontal="left" vertical="top"/>
    </xf>
    <xf numFmtId="170" fontId="11" fillId="8" borderId="2" xfId="41" applyNumberFormat="1" applyFont="1" applyFill="1" applyBorder="1" applyAlignment="1">
      <alignment horizontal="justify" vertical="top"/>
    </xf>
    <xf numFmtId="0" fontId="2" fillId="0" borderId="2" xfId="0" applyFont="1" applyFill="1" applyBorder="1">
      <alignment vertical="top"/>
    </xf>
    <xf numFmtId="169" fontId="5" fillId="0" borderId="5" xfId="41" applyFont="1" applyFill="1" applyBorder="1" applyAlignment="1">
      <alignment horizontal="center" vertical="top"/>
    </xf>
    <xf numFmtId="169" fontId="5" fillId="0" borderId="3" xfId="41" applyFont="1" applyFill="1" applyBorder="1" applyAlignment="1">
      <alignment horizontal="center" vertical="top"/>
    </xf>
    <xf numFmtId="169" fontId="5" fillId="0" borderId="4" xfId="41" applyFont="1" applyFill="1" applyBorder="1" applyAlignment="1">
      <alignment horizontal="center" vertical="top"/>
    </xf>
    <xf numFmtId="0" fontId="11" fillId="8" borderId="1" xfId="0" applyFont="1" applyFill="1" applyBorder="1">
      <alignment vertical="top"/>
    </xf>
    <xf numFmtId="0" fontId="11" fillId="6" borderId="1" xfId="0" applyFont="1" applyFill="1" applyBorder="1">
      <alignment vertical="top"/>
    </xf>
    <xf numFmtId="169" fontId="5" fillId="0" borderId="0" xfId="41" applyFont="1" applyFill="1" applyBorder="1" applyAlignment="1">
      <alignment horizontal="center" vertical="top"/>
    </xf>
    <xf numFmtId="169" fontId="11" fillId="0" borderId="6" xfId="41" applyFont="1" applyBorder="1" applyAlignment="1">
      <alignment vertical="center"/>
    </xf>
    <xf numFmtId="170" fontId="10" fillId="0" borderId="6" xfId="41" applyNumberFormat="1" applyFont="1" applyBorder="1" applyAlignment="1">
      <alignment vertical="center"/>
    </xf>
    <xf numFmtId="0" fontId="11" fillId="0" borderId="2" xfId="0" applyFont="1" applyFill="1" applyBorder="1" applyAlignment="1">
      <alignment vertical="center"/>
    </xf>
    <xf numFmtId="169" fontId="11" fillId="0" borderId="0" xfId="0" applyNumberFormat="1" applyFont="1" applyFill="1" applyBorder="1" applyAlignment="1">
      <alignment horizontal="center" vertical="center" wrapText="1"/>
    </xf>
    <xf numFmtId="169" fontId="19" fillId="0" borderId="0" xfId="41" applyFont="1" applyFill="1" applyBorder="1" applyAlignment="1">
      <alignment vertical="center"/>
    </xf>
    <xf numFmtId="0" fontId="11" fillId="0" borderId="0" xfId="0" applyFont="1" applyFill="1" applyAlignment="1">
      <alignment vertical="center"/>
    </xf>
    <xf numFmtId="170" fontId="19" fillId="0" borderId="0" xfId="41" applyNumberFormat="1" applyFont="1" applyFill="1" applyBorder="1" applyAlignment="1">
      <alignment vertical="center"/>
    </xf>
    <xf numFmtId="0" fontId="11" fillId="0" borderId="2" xfId="0" applyFont="1" applyBorder="1" applyAlignment="1">
      <alignment horizontal="left" vertical="center" wrapText="1"/>
    </xf>
    <xf numFmtId="0" fontId="11" fillId="0" borderId="0" xfId="0" applyFont="1" applyBorder="1" applyAlignment="1">
      <alignment horizontal="left" vertical="center" wrapText="1"/>
    </xf>
    <xf numFmtId="169" fontId="11" fillId="0" borderId="0" xfId="0" applyNumberFormat="1" applyFont="1" applyBorder="1" applyAlignment="1">
      <alignment horizontal="center" vertical="center" wrapText="1"/>
    </xf>
    <xf numFmtId="169" fontId="11" fillId="0" borderId="0" xfId="41" applyFont="1" applyFill="1" applyBorder="1" applyAlignment="1">
      <alignment vertical="center"/>
    </xf>
    <xf numFmtId="170" fontId="11" fillId="0" borderId="0" xfId="41" applyNumberFormat="1" applyFont="1" applyFill="1" applyBorder="1" applyAlignment="1">
      <alignment vertical="center"/>
    </xf>
    <xf numFmtId="170" fontId="11" fillId="0" borderId="0" xfId="41" applyNumberFormat="1" applyFont="1" applyFill="1" applyBorder="1" applyAlignment="1">
      <alignment horizontal="justify" vertical="center"/>
    </xf>
    <xf numFmtId="169" fontId="11" fillId="0" borderId="3" xfId="41" applyNumberFormat="1" applyFont="1" applyFill="1" applyBorder="1" applyAlignment="1">
      <alignment horizontal="center" vertical="center"/>
    </xf>
    <xf numFmtId="169" fontId="11" fillId="0" borderId="0" xfId="41" applyFont="1" applyBorder="1" applyAlignment="1">
      <alignment vertical="center"/>
    </xf>
    <xf numFmtId="0" fontId="11" fillId="0" borderId="0" xfId="0" applyFont="1" applyAlignment="1">
      <alignment vertical="center"/>
    </xf>
    <xf numFmtId="170" fontId="11" fillId="0" borderId="0" xfId="41" applyNumberFormat="1" applyFont="1" applyBorder="1" applyAlignment="1">
      <alignment vertical="center"/>
    </xf>
    <xf numFmtId="170" fontId="11" fillId="0" borderId="1" xfId="41" applyNumberFormat="1" applyFont="1" applyBorder="1" applyAlignment="1">
      <alignment horizontal="justify" vertical="center"/>
    </xf>
    <xf numFmtId="169" fontId="11" fillId="0" borderId="0" xfId="41" applyNumberFormat="1" applyFont="1" applyBorder="1" applyAlignment="1">
      <alignment horizontal="center" vertical="center"/>
    </xf>
    <xf numFmtId="169" fontId="11" fillId="0" borderId="0" xfId="41" applyNumberFormat="1" applyFont="1" applyFill="1" applyBorder="1" applyAlignment="1">
      <alignment horizontal="center" vertical="center"/>
    </xf>
    <xf numFmtId="169" fontId="11" fillId="8" borderId="0" xfId="41" applyFont="1" applyFill="1" applyBorder="1" applyAlignment="1">
      <alignment vertical="center"/>
    </xf>
    <xf numFmtId="169" fontId="11" fillId="8" borderId="0" xfId="41" applyNumberFormat="1" applyFont="1" applyFill="1" applyBorder="1" applyAlignment="1">
      <alignment horizontal="center" vertical="center"/>
    </xf>
    <xf numFmtId="169" fontId="11" fillId="0" borderId="2" xfId="41" applyFont="1" applyFill="1" applyBorder="1" applyAlignment="1">
      <alignment vertical="center"/>
    </xf>
    <xf numFmtId="169" fontId="10" fillId="0" borderId="0" xfId="41" applyFont="1" applyFill="1" applyBorder="1" applyAlignment="1">
      <alignment vertical="center"/>
    </xf>
    <xf numFmtId="169" fontId="10" fillId="0" borderId="2" xfId="41" applyFont="1" applyFill="1" applyBorder="1" applyAlignment="1">
      <alignment vertical="center"/>
    </xf>
    <xf numFmtId="170" fontId="10" fillId="0" borderId="0" xfId="41" applyNumberFormat="1" applyFont="1" applyFill="1" applyBorder="1" applyAlignment="1">
      <alignment vertical="center"/>
    </xf>
    <xf numFmtId="0" fontId="11" fillId="0" borderId="0" xfId="41" applyNumberFormat="1" applyFont="1" applyFill="1" applyBorder="1" applyAlignment="1">
      <alignment horizontal="center" vertical="center"/>
    </xf>
    <xf numFmtId="0" fontId="11" fillId="0" borderId="2" xfId="0" applyFont="1" applyFill="1" applyBorder="1" applyAlignment="1">
      <alignment horizontal="justify" vertical="center" wrapText="1"/>
    </xf>
    <xf numFmtId="169" fontId="10" fillId="0" borderId="2" xfId="41" applyFont="1" applyBorder="1" applyAlignment="1">
      <alignment vertical="center"/>
    </xf>
    <xf numFmtId="170" fontId="10" fillId="0" borderId="0" xfId="41" applyNumberFormat="1" applyFont="1" applyBorder="1" applyAlignment="1">
      <alignment vertical="center"/>
    </xf>
    <xf numFmtId="169" fontId="10" fillId="0" borderId="0" xfId="41" applyFont="1" applyBorder="1" applyAlignment="1">
      <alignment vertical="center"/>
    </xf>
    <xf numFmtId="169" fontId="10" fillId="0" borderId="19" xfId="41" applyFont="1" applyBorder="1" applyAlignment="1">
      <alignment vertical="center"/>
    </xf>
    <xf numFmtId="0" fontId="11" fillId="0" borderId="19" xfId="0" applyFont="1" applyFill="1" applyBorder="1" applyAlignment="1">
      <alignment horizontal="justify" vertical="center" wrapText="1"/>
    </xf>
    <xf numFmtId="169" fontId="11" fillId="0" borderId="6" xfId="41" applyNumberFormat="1" applyFont="1" applyFill="1" applyBorder="1" applyAlignment="1">
      <alignment horizontal="center" vertical="center"/>
    </xf>
    <xf numFmtId="0" fontId="0" fillId="0" borderId="69" xfId="0" applyFill="1" applyBorder="1" applyAlignment="1">
      <alignment horizontal="left" vertical="center"/>
    </xf>
    <xf numFmtId="169" fontId="19" fillId="0" borderId="5" xfId="41" applyFont="1" applyFill="1" applyBorder="1" applyAlignment="1">
      <alignment vertical="center"/>
    </xf>
    <xf numFmtId="0" fontId="11" fillId="0" borderId="3" xfId="0" applyFont="1" applyFill="1" applyBorder="1" applyAlignment="1">
      <alignment vertical="center"/>
    </xf>
    <xf numFmtId="170" fontId="19" fillId="0" borderId="3" xfId="41" applyNumberFormat="1" applyFont="1" applyFill="1" applyBorder="1" applyAlignment="1">
      <alignment vertical="center"/>
    </xf>
    <xf numFmtId="170" fontId="19" fillId="0" borderId="5" xfId="41" applyNumberFormat="1" applyFont="1" applyFill="1" applyBorder="1" applyAlignment="1">
      <alignment horizontal="justify" vertical="center"/>
    </xf>
    <xf numFmtId="170" fontId="19" fillId="0" borderId="3" xfId="41" applyNumberFormat="1" applyFont="1" applyFill="1" applyBorder="1" applyAlignment="1">
      <alignment horizontal="justify" vertical="center"/>
    </xf>
    <xf numFmtId="170" fontId="22" fillId="0" borderId="2" xfId="41" applyNumberFormat="1" applyFont="1" applyFill="1" applyBorder="1" applyAlignment="1">
      <alignment horizontal="justify" vertical="center"/>
    </xf>
    <xf numFmtId="169" fontId="0" fillId="0" borderId="2" xfId="0" applyNumberFormat="1" applyBorder="1" applyAlignment="1">
      <alignment horizontal="left" vertical="center"/>
    </xf>
    <xf numFmtId="0" fontId="0" fillId="0" borderId="2" xfId="0" applyBorder="1" applyAlignment="1">
      <alignment horizontal="justify" vertical="center" wrapText="1"/>
    </xf>
    <xf numFmtId="170" fontId="11" fillId="0" borderId="2" xfId="41" applyNumberFormat="1" applyFont="1" applyFill="1" applyBorder="1" applyAlignment="1">
      <alignment horizontal="justify" vertical="center"/>
    </xf>
    <xf numFmtId="0" fontId="0" fillId="0" borderId="2" xfId="0" applyFill="1" applyBorder="1" applyAlignment="1">
      <alignment horizontal="justify" vertical="center" wrapText="1"/>
    </xf>
    <xf numFmtId="0" fontId="11" fillId="0" borderId="0" xfId="0" applyFont="1" applyFill="1" applyBorder="1" applyAlignment="1">
      <alignment horizontal="justify" vertical="center" wrapText="1"/>
    </xf>
    <xf numFmtId="0" fontId="0" fillId="0" borderId="0" xfId="0" applyFill="1" applyBorder="1" applyAlignment="1">
      <alignment horizontal="left" vertical="center"/>
    </xf>
    <xf numFmtId="170" fontId="11" fillId="0" borderId="2" xfId="41" applyNumberFormat="1" applyFont="1" applyBorder="1" applyAlignment="1">
      <alignment horizontal="justify" vertical="center"/>
    </xf>
    <xf numFmtId="170" fontId="11" fillId="0" borderId="0" xfId="41" applyNumberFormat="1" applyFont="1" applyBorder="1" applyAlignment="1">
      <alignment horizontal="justify" vertical="center"/>
    </xf>
    <xf numFmtId="170" fontId="11" fillId="0" borderId="0" xfId="41" applyNumberFormat="1" applyFont="1" applyBorder="1" applyAlignment="1">
      <alignment horizontal="center" vertical="center"/>
    </xf>
    <xf numFmtId="169" fontId="11" fillId="0" borderId="0" xfId="41" applyFont="1" applyBorder="1" applyAlignment="1">
      <alignment horizontal="center" vertical="center"/>
    </xf>
    <xf numFmtId="169" fontId="11" fillId="0" borderId="0" xfId="41" applyFont="1" applyAlignment="1">
      <alignment vertical="center"/>
    </xf>
    <xf numFmtId="170" fontId="11" fillId="0" borderId="0" xfId="41" applyNumberFormat="1" applyFont="1" applyAlignment="1">
      <alignment vertical="center"/>
    </xf>
    <xf numFmtId="170" fontId="10" fillId="0" borderId="2" xfId="41" applyNumberFormat="1" applyFont="1" applyBorder="1" applyAlignment="1">
      <alignment vertical="center"/>
    </xf>
    <xf numFmtId="170" fontId="11" fillId="0" borderId="1" xfId="41" applyNumberFormat="1" applyFont="1" applyBorder="1" applyAlignment="1">
      <alignment horizontal="center" vertical="center"/>
    </xf>
    <xf numFmtId="169" fontId="11" fillId="0" borderId="1" xfId="41" applyFont="1" applyBorder="1" applyAlignment="1">
      <alignment horizontal="center" vertical="center"/>
    </xf>
    <xf numFmtId="169" fontId="11" fillId="0" borderId="0" xfId="41" applyNumberFormat="1" applyFont="1" applyFill="1" applyBorder="1" applyAlignment="1">
      <alignment vertical="top"/>
    </xf>
    <xf numFmtId="0" fontId="11" fillId="0" borderId="0" xfId="0" applyFont="1" applyFill="1" applyBorder="1" applyAlignment="1">
      <alignment vertical="center"/>
    </xf>
    <xf numFmtId="170" fontId="11" fillId="0" borderId="1" xfId="41" applyNumberFormat="1" applyFont="1" applyFill="1" applyBorder="1" applyAlignment="1">
      <alignment horizontal="justify" vertical="top"/>
    </xf>
    <xf numFmtId="2" fontId="11" fillId="0" borderId="0" xfId="41" applyNumberFormat="1" applyFont="1" applyBorder="1" applyAlignment="1">
      <alignment horizontal="center" vertical="center"/>
    </xf>
    <xf numFmtId="169" fontId="11" fillId="6" borderId="0" xfId="41" applyNumberFormat="1" applyFont="1" applyFill="1" applyBorder="1" applyAlignment="1">
      <alignment horizontal="center" vertical="top"/>
    </xf>
    <xf numFmtId="170" fontId="11" fillId="6" borderId="1" xfId="41" applyNumberFormat="1" applyFont="1" applyFill="1" applyBorder="1" applyAlignment="1">
      <alignment horizontal="justify" vertical="top"/>
    </xf>
    <xf numFmtId="169" fontId="11" fillId="6" borderId="0" xfId="41" applyFont="1" applyFill="1" applyBorder="1" applyAlignment="1">
      <alignment vertical="top"/>
    </xf>
    <xf numFmtId="169" fontId="11" fillId="6" borderId="1" xfId="41" applyNumberFormat="1" applyFont="1" applyFill="1" applyBorder="1" applyAlignment="1">
      <alignment horizontal="center" vertical="top"/>
    </xf>
    <xf numFmtId="0" fontId="2" fillId="0" borderId="1" xfId="0" applyNumberFormat="1" applyFont="1" applyFill="1" applyBorder="1" applyAlignment="1">
      <alignment horizontal="left" vertical="center" wrapText="1"/>
    </xf>
    <xf numFmtId="169" fontId="2" fillId="0" borderId="1" xfId="0" applyNumberFormat="1"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2" borderId="7" xfId="0" applyFont="1" applyFill="1" applyBorder="1" applyAlignment="1">
      <alignment horizontal="center" vertical="center" wrapText="1"/>
    </xf>
    <xf numFmtId="170" fontId="5" fillId="0" borderId="2" xfId="41" applyNumberFormat="1" applyFont="1" applyBorder="1" applyAlignment="1">
      <alignment horizontal="justify" vertical="top"/>
    </xf>
    <xf numFmtId="170" fontId="5" fillId="0" borderId="21" xfId="41" applyNumberFormat="1" applyFont="1" applyFill="1" applyBorder="1" applyAlignment="1">
      <alignment horizontal="justify" vertical="top"/>
    </xf>
    <xf numFmtId="0" fontId="2" fillId="0" borderId="0" xfId="0" applyFont="1" applyProtection="1">
      <alignment vertical="top"/>
      <protection locked="0"/>
    </xf>
    <xf numFmtId="0" fontId="2" fillId="0" borderId="0" xfId="0" applyFont="1" applyAlignment="1" applyProtection="1">
      <alignment horizontal="center" vertical="top"/>
      <protection locked="0"/>
    </xf>
    <xf numFmtId="0" fontId="2" fillId="0" borderId="0" xfId="0" applyFont="1">
      <alignment vertical="top"/>
    </xf>
    <xf numFmtId="172" fontId="2" fillId="0" borderId="0" xfId="0" applyNumberFormat="1" applyFont="1" applyAlignment="1" applyProtection="1">
      <alignment horizontal="center" vertical="top"/>
      <protection locked="0"/>
    </xf>
    <xf numFmtId="170" fontId="2" fillId="0" borderId="35" xfId="41" applyNumberFormat="1" applyFont="1" applyBorder="1" applyAlignment="1" applyProtection="1">
      <alignment horizontal="justify" vertical="top"/>
      <protection locked="0"/>
    </xf>
    <xf numFmtId="170" fontId="2" fillId="0" borderId="0" xfId="41" applyNumberFormat="1" applyFont="1" applyFill="1" applyBorder="1" applyAlignment="1" applyProtection="1">
      <alignment horizontal="justify" vertical="top"/>
      <protection locked="0"/>
    </xf>
    <xf numFmtId="0" fontId="2" fillId="0" borderId="0" xfId="0" applyFont="1" applyFill="1" applyBorder="1" applyProtection="1">
      <alignment vertical="top"/>
      <protection locked="0"/>
    </xf>
    <xf numFmtId="170" fontId="2" fillId="0" borderId="36" xfId="41" applyNumberFormat="1" applyFont="1" applyBorder="1" applyAlignment="1" applyProtection="1">
      <alignment horizontal="justify" vertical="top"/>
      <protection locked="0"/>
    </xf>
    <xf numFmtId="170" fontId="20" fillId="0" borderId="0" xfId="41" applyNumberFormat="1" applyFont="1" applyFill="1" applyBorder="1" applyAlignment="1" applyProtection="1">
      <alignment horizontal="justify" vertical="top"/>
      <protection locked="0"/>
    </xf>
    <xf numFmtId="0" fontId="2" fillId="0" borderId="0" xfId="0" applyFont="1" applyFill="1" applyProtection="1">
      <alignment vertical="top"/>
      <protection locked="0"/>
    </xf>
    <xf numFmtId="0" fontId="2" fillId="0" borderId="0" xfId="0" applyFont="1" applyFill="1" applyAlignment="1" applyProtection="1">
      <alignment horizontal="center" vertical="top"/>
      <protection locked="0"/>
    </xf>
    <xf numFmtId="0" fontId="2" fillId="0" borderId="2" xfId="0" applyFont="1" applyBorder="1" applyProtection="1">
      <alignment vertical="top"/>
      <protection locked="0"/>
    </xf>
    <xf numFmtId="0" fontId="2" fillId="7" borderId="0" xfId="0" applyFont="1" applyFill="1" applyBorder="1" applyAlignment="1" applyProtection="1">
      <alignment horizontal="center" vertical="top"/>
      <protection locked="0"/>
    </xf>
    <xf numFmtId="172" fontId="2" fillId="8" borderId="0" xfId="0" applyNumberFormat="1" applyFont="1" applyFill="1" applyBorder="1" applyAlignment="1" applyProtection="1">
      <alignment horizontal="center" vertical="top"/>
      <protection locked="0"/>
    </xf>
    <xf numFmtId="172" fontId="2" fillId="7" borderId="0" xfId="0" applyNumberFormat="1" applyFont="1" applyFill="1" applyBorder="1" applyAlignment="1" applyProtection="1">
      <alignment horizontal="center" vertical="top"/>
      <protection locked="0"/>
    </xf>
    <xf numFmtId="0" fontId="2" fillId="0" borderId="0" xfId="0" applyFont="1" applyFill="1" applyBorder="1" applyAlignment="1" applyProtection="1">
      <alignment horizontal="center" vertical="top"/>
      <protection locked="0"/>
    </xf>
    <xf numFmtId="2" fontId="2" fillId="0" borderId="0" xfId="0" applyNumberFormat="1" applyFont="1" applyFill="1" applyBorder="1" applyAlignment="1" applyProtection="1">
      <alignment horizontal="center" vertical="top"/>
      <protection locked="0"/>
    </xf>
    <xf numFmtId="169" fontId="2" fillId="0" borderId="0" xfId="0" applyNumberFormat="1" applyFont="1" applyFill="1" applyBorder="1" applyAlignment="1" applyProtection="1">
      <alignment horizontal="center" vertical="top"/>
      <protection locked="0"/>
    </xf>
    <xf numFmtId="172" fontId="2" fillId="0" borderId="0" xfId="0" applyNumberFormat="1" applyFont="1" applyFill="1" applyBorder="1" applyAlignment="1" applyProtection="1">
      <alignment horizontal="center" vertical="top"/>
      <protection locked="0"/>
    </xf>
    <xf numFmtId="0" fontId="25" fillId="0" borderId="0" xfId="0" applyFont="1" applyFill="1" applyBorder="1" applyAlignment="1" applyProtection="1">
      <alignment horizontal="center" vertical="top"/>
      <protection locked="0"/>
    </xf>
    <xf numFmtId="2" fontId="2" fillId="7" borderId="0" xfId="0" applyNumberFormat="1" applyFont="1" applyFill="1" applyBorder="1" applyAlignment="1" applyProtection="1">
      <alignment horizontal="center" vertical="top"/>
      <protection locked="0"/>
    </xf>
    <xf numFmtId="170" fontId="2" fillId="0" borderId="0" xfId="41" applyNumberFormat="1" applyFont="1" applyFill="1" applyBorder="1" applyAlignment="1" applyProtection="1">
      <alignment horizontal="left" vertical="top"/>
      <protection locked="0"/>
    </xf>
    <xf numFmtId="0" fontId="2" fillId="0" borderId="0" xfId="0" applyFont="1" applyBorder="1" applyAlignment="1" applyProtection="1">
      <alignment horizontal="center" vertical="top"/>
      <protection locked="0"/>
    </xf>
    <xf numFmtId="177" fontId="2" fillId="0" borderId="0" xfId="0" applyNumberFormat="1" applyFont="1" applyFill="1" applyBorder="1" applyAlignment="1" applyProtection="1">
      <alignment horizontal="center" vertical="top"/>
      <protection locked="0"/>
    </xf>
    <xf numFmtId="175" fontId="2" fillId="0" borderId="0" xfId="0" applyNumberFormat="1" applyFont="1" applyFill="1" applyBorder="1" applyAlignment="1" applyProtection="1">
      <alignment horizontal="center" vertical="top"/>
      <protection locked="0"/>
    </xf>
    <xf numFmtId="0" fontId="2" fillId="0" borderId="0" xfId="0" applyFont="1" applyFill="1" applyBorder="1" applyAlignment="1" applyProtection="1">
      <alignment horizontal="left" vertical="top"/>
      <protection locked="0"/>
    </xf>
    <xf numFmtId="0" fontId="2" fillId="0" borderId="2" xfId="0" applyFont="1" applyFill="1" applyBorder="1" applyProtection="1">
      <alignment vertical="top"/>
      <protection locked="0"/>
    </xf>
    <xf numFmtId="0" fontId="2" fillId="0" borderId="0" xfId="0" applyFont="1" applyBorder="1" applyProtection="1">
      <alignment vertical="top"/>
      <protection locked="0"/>
    </xf>
    <xf numFmtId="169" fontId="2" fillId="8" borderId="0" xfId="0" applyNumberFormat="1" applyFont="1" applyFill="1" applyBorder="1" applyAlignment="1" applyProtection="1">
      <alignment horizontal="center" vertical="top"/>
      <protection locked="0"/>
    </xf>
    <xf numFmtId="1" fontId="2" fillId="0" borderId="0" xfId="0" applyNumberFormat="1" applyFont="1" applyFill="1" applyBorder="1" applyAlignment="1" applyProtection="1">
      <alignment horizontal="center" vertical="top"/>
      <protection locked="0"/>
    </xf>
    <xf numFmtId="0" fontId="2" fillId="0" borderId="0" xfId="0" applyNumberFormat="1" applyFont="1" applyFill="1" applyBorder="1" applyAlignment="1" applyProtection="1">
      <alignment horizontal="center" vertical="top"/>
      <protection locked="0"/>
    </xf>
    <xf numFmtId="0" fontId="2" fillId="0" borderId="0" xfId="0" applyFont="1" applyBorder="1" applyAlignment="1" applyProtection="1">
      <alignment vertical="top"/>
      <protection locked="0"/>
    </xf>
    <xf numFmtId="169" fontId="2" fillId="0" borderId="0" xfId="41" applyNumberFormat="1" applyFont="1" applyBorder="1" applyAlignment="1" applyProtection="1">
      <alignment horizontal="left" vertical="top"/>
      <protection locked="0"/>
    </xf>
    <xf numFmtId="172" fontId="25" fillId="0" borderId="0" xfId="0" applyNumberFormat="1" applyFont="1" applyFill="1" applyBorder="1" applyAlignment="1" applyProtection="1">
      <alignment horizontal="center" vertical="top"/>
      <protection locked="0"/>
    </xf>
    <xf numFmtId="0" fontId="2" fillId="0" borderId="0" xfId="0" applyFont="1" applyBorder="1" applyAlignment="1">
      <alignment vertical="top"/>
    </xf>
    <xf numFmtId="169" fontId="2" fillId="0" borderId="12" xfId="0" applyNumberFormat="1" applyFont="1" applyBorder="1" applyAlignment="1">
      <alignment horizontal="left" vertical="top"/>
    </xf>
    <xf numFmtId="170" fontId="20" fillId="0" borderId="0" xfId="41" applyNumberFormat="1" applyFont="1" applyBorder="1" applyAlignment="1" applyProtection="1">
      <alignment horizontal="justify" vertical="top"/>
      <protection locked="0"/>
    </xf>
    <xf numFmtId="0" fontId="2" fillId="0" borderId="2" xfId="0" applyFont="1" applyBorder="1">
      <alignment vertical="top"/>
    </xf>
    <xf numFmtId="170" fontId="2" fillId="0" borderId="0" xfId="41" applyNumberFormat="1" applyFont="1" applyBorder="1" applyAlignment="1" applyProtection="1">
      <alignment horizontal="justify" vertical="top"/>
      <protection locked="0"/>
    </xf>
    <xf numFmtId="172" fontId="2" fillId="0" borderId="0" xfId="0" applyNumberFormat="1" applyFont="1">
      <alignment vertical="top"/>
    </xf>
    <xf numFmtId="169" fontId="25" fillId="0" borderId="0" xfId="41" applyNumberFormat="1" applyFont="1" applyFill="1" applyBorder="1" applyAlignment="1" applyProtection="1">
      <alignment vertical="top"/>
      <protection locked="0"/>
    </xf>
    <xf numFmtId="0" fontId="2" fillId="0" borderId="8" xfId="0" applyFont="1" applyBorder="1" applyAlignment="1">
      <alignment horizontal="left" vertical="center" wrapText="1"/>
    </xf>
    <xf numFmtId="170" fontId="6" fillId="0" borderId="62" xfId="41" applyNumberFormat="1" applyFont="1" applyFill="1" applyBorder="1" applyAlignment="1">
      <alignment vertical="top"/>
    </xf>
    <xf numFmtId="0" fontId="2" fillId="2" borderId="8" xfId="0" applyFont="1" applyFill="1" applyBorder="1" applyAlignment="1">
      <alignment horizontal="center" vertical="center" wrapText="1"/>
    </xf>
    <xf numFmtId="0" fontId="1" fillId="6" borderId="2" xfId="0" applyFont="1" applyFill="1" applyBorder="1">
      <alignment vertical="top"/>
    </xf>
    <xf numFmtId="170" fontId="6" fillId="6" borderId="2" xfId="41" applyNumberFormat="1" applyFont="1" applyFill="1" applyBorder="1" applyAlignment="1">
      <alignment vertical="top"/>
    </xf>
    <xf numFmtId="0" fontId="0" fillId="6" borderId="2" xfId="0" applyFill="1" applyBorder="1" applyAlignment="1">
      <alignment horizontal="left" vertical="top" wrapText="1"/>
    </xf>
    <xf numFmtId="0" fontId="0" fillId="6" borderId="2" xfId="0" applyFill="1" applyBorder="1" applyAlignment="1">
      <alignment horizontal="left" vertical="top"/>
    </xf>
    <xf numFmtId="0" fontId="4" fillId="6" borderId="2" xfId="0" applyFont="1" applyFill="1" applyBorder="1">
      <alignment vertical="top"/>
    </xf>
    <xf numFmtId="170" fontId="6" fillId="6" borderId="19" xfId="41" applyNumberFormat="1" applyFont="1" applyFill="1" applyBorder="1" applyAlignment="1">
      <alignment vertical="top"/>
    </xf>
    <xf numFmtId="169" fontId="5" fillId="0" borderId="6" xfId="41" applyFont="1" applyFill="1" applyBorder="1" applyAlignment="1">
      <alignment vertical="top"/>
    </xf>
    <xf numFmtId="0" fontId="2" fillId="2" borderId="22"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0" fillId="0" borderId="3" xfId="0" applyFill="1" applyBorder="1" applyAlignment="1">
      <alignment horizontal="center" vertical="center" wrapText="1"/>
    </xf>
    <xf numFmtId="0" fontId="2" fillId="2" borderId="5" xfId="0" applyFont="1" applyFill="1" applyBorder="1" applyAlignment="1">
      <alignment horizontal="center" vertical="center" wrapText="1"/>
    </xf>
    <xf numFmtId="169" fontId="11" fillId="0" borderId="3" xfId="41" applyFont="1" applyBorder="1" applyAlignment="1">
      <alignment horizontal="center" vertical="center"/>
    </xf>
    <xf numFmtId="169" fontId="11" fillId="0" borderId="3" xfId="41" applyFont="1" applyFill="1" applyBorder="1" applyAlignment="1">
      <alignment horizontal="center" vertical="center"/>
    </xf>
    <xf numFmtId="169" fontId="11" fillId="2" borderId="5" xfId="41" applyFont="1" applyFill="1" applyBorder="1" applyAlignment="1">
      <alignment vertical="center"/>
    </xf>
    <xf numFmtId="170" fontId="11" fillId="2" borderId="3" xfId="41" applyNumberFormat="1" applyFont="1" applyFill="1" applyBorder="1" applyAlignment="1">
      <alignment vertical="center"/>
    </xf>
    <xf numFmtId="170" fontId="10" fillId="2" borderId="5" xfId="41" applyNumberFormat="1" applyFont="1" applyFill="1" applyBorder="1" applyAlignment="1">
      <alignment vertical="center"/>
    </xf>
    <xf numFmtId="170" fontId="10" fillId="2" borderId="5" xfId="41" applyNumberFormat="1" applyFont="1" applyFill="1" applyBorder="1" applyAlignment="1">
      <alignment horizontal="justify" vertical="center"/>
    </xf>
    <xf numFmtId="170" fontId="10" fillId="2" borderId="3" xfId="41" applyNumberFormat="1" applyFont="1" applyFill="1" applyBorder="1" applyAlignment="1">
      <alignment horizontal="justify" vertical="center"/>
    </xf>
    <xf numFmtId="0" fontId="2" fillId="2" borderId="3" xfId="0" applyFont="1" applyFill="1" applyBorder="1" applyAlignment="1">
      <alignment horizontal="center" vertical="center" wrapText="1"/>
    </xf>
    <xf numFmtId="169" fontId="11" fillId="0" borderId="3" xfId="41" applyFont="1" applyFill="1" applyBorder="1" applyAlignment="1">
      <alignment vertical="center"/>
    </xf>
    <xf numFmtId="0" fontId="2" fillId="0" borderId="0" xfId="0" applyFont="1" applyBorder="1" applyAlignment="1">
      <alignment horizontal="justify" vertical="center" wrapText="1"/>
    </xf>
    <xf numFmtId="0" fontId="2" fillId="0" borderId="0" xfId="0" applyNumberFormat="1"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center"/>
    </xf>
    <xf numFmtId="0" fontId="2" fillId="0" borderId="0" xfId="0" applyFont="1" applyFill="1" applyBorder="1" applyAlignment="1">
      <alignment horizontal="justify" vertical="center" wrapText="1"/>
    </xf>
    <xf numFmtId="0" fontId="28" fillId="0" borderId="0" xfId="38" applyFont="1" applyAlignment="1">
      <alignment vertical="center"/>
    </xf>
    <xf numFmtId="0" fontId="47" fillId="0" borderId="0" xfId="38" applyBorder="1" applyAlignment="1">
      <alignment horizontal="center" vertical="center" wrapText="1"/>
    </xf>
    <xf numFmtId="0" fontId="47" fillId="0" borderId="0" xfId="38" applyAlignment="1">
      <alignment vertical="center" wrapText="1"/>
    </xf>
    <xf numFmtId="0" fontId="47" fillId="0" borderId="53" xfId="38" applyBorder="1" applyAlignment="1">
      <alignment vertical="center" wrapText="1"/>
    </xf>
    <xf numFmtId="0" fontId="47" fillId="0" borderId="53" xfId="38" applyBorder="1" applyAlignment="1">
      <alignment horizontal="center" vertical="center" wrapText="1"/>
    </xf>
    <xf numFmtId="0" fontId="47" fillId="0" borderId="0" xfId="38"/>
    <xf numFmtId="0" fontId="47" fillId="0" borderId="0" xfId="38" applyAlignment="1"/>
    <xf numFmtId="0" fontId="28" fillId="0" borderId="0" xfId="38" applyFont="1" applyBorder="1" applyAlignment="1">
      <alignment horizontal="center" vertical="center" wrapText="1"/>
    </xf>
    <xf numFmtId="0" fontId="27" fillId="0" borderId="0" xfId="38" applyFont="1" applyBorder="1" applyAlignment="1">
      <alignment horizontal="center" vertical="center" wrapText="1"/>
    </xf>
    <xf numFmtId="0" fontId="27" fillId="11" borderId="53" xfId="38" applyFont="1" applyFill="1" applyBorder="1" applyAlignment="1">
      <alignment horizontal="center" vertical="center" wrapText="1"/>
    </xf>
    <xf numFmtId="0" fontId="27" fillId="11" borderId="14" xfId="38" applyFont="1" applyFill="1" applyBorder="1" applyAlignment="1">
      <alignment horizontal="center" vertical="center" wrapText="1"/>
    </xf>
    <xf numFmtId="0" fontId="27" fillId="0" borderId="0" xfId="38" applyFont="1" applyAlignment="1">
      <alignment vertical="center" wrapText="1"/>
    </xf>
    <xf numFmtId="0" fontId="27" fillId="5" borderId="27" xfId="38" applyFont="1" applyFill="1" applyBorder="1" applyAlignment="1">
      <alignment horizontal="center" vertical="center" wrapText="1"/>
    </xf>
    <xf numFmtId="0" fontId="27" fillId="5" borderId="70" xfId="38" applyFont="1" applyFill="1" applyBorder="1" applyAlignment="1">
      <alignment horizontal="center" vertical="center" wrapText="1"/>
    </xf>
    <xf numFmtId="0" fontId="27" fillId="12" borderId="27" xfId="38" applyFont="1" applyFill="1" applyBorder="1" applyAlignment="1">
      <alignment horizontal="center" vertical="center" wrapText="1"/>
    </xf>
    <xf numFmtId="0" fontId="27" fillId="12" borderId="70" xfId="38" applyFont="1" applyFill="1" applyBorder="1" applyAlignment="1">
      <alignment horizontal="center" vertical="center" wrapText="1"/>
    </xf>
    <xf numFmtId="0" fontId="27" fillId="13" borderId="27" xfId="38" applyFont="1" applyFill="1" applyBorder="1" applyAlignment="1">
      <alignment horizontal="center" vertical="center" wrapText="1"/>
    </xf>
    <xf numFmtId="0" fontId="27" fillId="13" borderId="70" xfId="38" applyFont="1" applyFill="1" applyBorder="1" applyAlignment="1">
      <alignment horizontal="center" vertical="center" wrapText="1"/>
    </xf>
    <xf numFmtId="170" fontId="47" fillId="0" borderId="53" xfId="38" applyNumberFormat="1" applyBorder="1" applyAlignment="1">
      <alignment horizontal="center" vertical="center" wrapText="1"/>
    </xf>
    <xf numFmtId="170" fontId="47" fillId="0" borderId="0" xfId="38" applyNumberFormat="1" applyBorder="1" applyAlignment="1">
      <alignment horizontal="center" vertical="center" wrapText="1"/>
    </xf>
    <xf numFmtId="170" fontId="35" fillId="0" borderId="53" xfId="38" applyNumberFormat="1" applyFont="1" applyBorder="1" applyAlignment="1">
      <alignment horizontal="center" vertical="center" wrapText="1"/>
    </xf>
    <xf numFmtId="172" fontId="35" fillId="0" borderId="53" xfId="38" applyNumberFormat="1" applyFont="1" applyBorder="1" applyAlignment="1">
      <alignment horizontal="center" vertical="center" wrapText="1"/>
    </xf>
    <xf numFmtId="2" fontId="47" fillId="0" borderId="53" xfId="38" applyNumberFormat="1" applyBorder="1" applyAlignment="1">
      <alignment horizontal="center" vertical="center" wrapText="1"/>
    </xf>
    <xf numFmtId="0" fontId="47" fillId="0" borderId="14" xfId="38" applyBorder="1" applyAlignment="1">
      <alignment horizontal="center" vertical="center" wrapText="1"/>
    </xf>
    <xf numFmtId="172" fontId="47" fillId="0" borderId="27" xfId="38" applyNumberFormat="1" applyBorder="1" applyAlignment="1">
      <alignment horizontal="center" vertical="center" wrapText="1"/>
    </xf>
    <xf numFmtId="2" fontId="47" fillId="0" borderId="70" xfId="38" applyNumberFormat="1" applyBorder="1" applyAlignment="1">
      <alignment horizontal="center" vertical="center" wrapText="1"/>
    </xf>
    <xf numFmtId="0" fontId="47" fillId="0" borderId="27" xfId="38" applyBorder="1" applyAlignment="1">
      <alignment horizontal="center" vertical="center" wrapText="1"/>
    </xf>
    <xf numFmtId="0" fontId="47" fillId="0" borderId="70" xfId="38" applyBorder="1" applyAlignment="1">
      <alignment horizontal="center" vertical="center" wrapText="1"/>
    </xf>
    <xf numFmtId="0" fontId="47" fillId="0" borderId="15" xfId="38" applyBorder="1" applyAlignment="1">
      <alignment horizontal="center" vertical="center" wrapText="1"/>
    </xf>
    <xf numFmtId="2" fontId="47" fillId="0" borderId="27" xfId="38" applyNumberFormat="1" applyBorder="1" applyAlignment="1">
      <alignment horizontal="center" vertical="center" wrapText="1"/>
    </xf>
    <xf numFmtId="173" fontId="47" fillId="0" borderId="70" xfId="38" applyNumberFormat="1" applyBorder="1" applyAlignment="1">
      <alignment horizontal="center" vertical="center" wrapText="1"/>
    </xf>
    <xf numFmtId="1" fontId="47" fillId="0" borderId="27" xfId="38" applyNumberFormat="1" applyBorder="1" applyAlignment="1">
      <alignment horizontal="center" vertical="center" wrapText="1"/>
    </xf>
    <xf numFmtId="1" fontId="47" fillId="0" borderId="70" xfId="38" applyNumberFormat="1" applyBorder="1" applyAlignment="1">
      <alignment horizontal="center" vertical="center" wrapText="1"/>
    </xf>
    <xf numFmtId="2" fontId="35" fillId="0" borderId="53" xfId="38" applyNumberFormat="1" applyFont="1" applyBorder="1" applyAlignment="1">
      <alignment horizontal="center" vertical="center" wrapText="1"/>
    </xf>
    <xf numFmtId="173" fontId="47" fillId="0" borderId="27" xfId="38" applyNumberFormat="1" applyBorder="1" applyAlignment="1">
      <alignment horizontal="center" vertical="center" wrapText="1"/>
    </xf>
    <xf numFmtId="172" fontId="47" fillId="0" borderId="15" xfId="38" applyNumberFormat="1" applyBorder="1" applyAlignment="1">
      <alignment horizontal="center" vertical="center" wrapText="1"/>
    </xf>
    <xf numFmtId="175" fontId="35" fillId="0" borderId="53" xfId="38" applyNumberFormat="1" applyFont="1" applyBorder="1" applyAlignment="1">
      <alignment horizontal="center" vertical="center" wrapText="1"/>
    </xf>
    <xf numFmtId="172" fontId="47" fillId="0" borderId="53" xfId="38" applyNumberFormat="1" applyBorder="1" applyAlignment="1">
      <alignment horizontal="center" vertical="center" wrapText="1"/>
    </xf>
    <xf numFmtId="175" fontId="47" fillId="0" borderId="15" xfId="38" applyNumberFormat="1" applyBorder="1" applyAlignment="1">
      <alignment horizontal="center" vertical="center" wrapText="1"/>
    </xf>
    <xf numFmtId="175" fontId="47" fillId="0" borderId="27" xfId="38" applyNumberFormat="1" applyBorder="1" applyAlignment="1">
      <alignment horizontal="center" vertical="center" wrapText="1"/>
    </xf>
    <xf numFmtId="172" fontId="47" fillId="0" borderId="70" xfId="38" applyNumberFormat="1" applyBorder="1" applyAlignment="1">
      <alignment horizontal="center" vertical="center" wrapText="1"/>
    </xf>
    <xf numFmtId="175" fontId="47" fillId="0" borderId="0" xfId="38" applyNumberFormat="1" applyBorder="1" applyAlignment="1">
      <alignment horizontal="center" vertical="center" wrapText="1"/>
    </xf>
    <xf numFmtId="0" fontId="47" fillId="0" borderId="64" xfId="38" applyBorder="1" applyAlignment="1">
      <alignment horizontal="center" vertical="center" wrapText="1"/>
    </xf>
    <xf numFmtId="0" fontId="47" fillId="0" borderId="59" xfId="38" applyBorder="1" applyAlignment="1">
      <alignment horizontal="center" vertical="center" wrapText="1"/>
    </xf>
    <xf numFmtId="0" fontId="47" fillId="0" borderId="67" xfId="38" applyBorder="1" applyAlignment="1">
      <alignment horizontal="center" vertical="center" wrapText="1"/>
    </xf>
    <xf numFmtId="176" fontId="47" fillId="0" borderId="25" xfId="38" applyNumberFormat="1" applyBorder="1" applyAlignment="1">
      <alignment horizontal="center" vertical="center" wrapText="1"/>
    </xf>
    <xf numFmtId="176" fontId="47" fillId="0" borderId="71" xfId="38" applyNumberFormat="1" applyBorder="1" applyAlignment="1">
      <alignment horizontal="center" vertical="center" wrapText="1"/>
    </xf>
    <xf numFmtId="175" fontId="47" fillId="0" borderId="25" xfId="38" applyNumberFormat="1" applyBorder="1" applyAlignment="1">
      <alignment horizontal="center" vertical="center" wrapText="1"/>
    </xf>
    <xf numFmtId="175" fontId="47" fillId="0" borderId="71" xfId="38" applyNumberFormat="1" applyBorder="1" applyAlignment="1">
      <alignment horizontal="center" vertical="center" wrapText="1"/>
    </xf>
    <xf numFmtId="172" fontId="47" fillId="0" borderId="25" xfId="38" applyNumberFormat="1" applyBorder="1" applyAlignment="1">
      <alignment horizontal="center" vertical="center" wrapText="1"/>
    </xf>
    <xf numFmtId="172" fontId="47" fillId="0" borderId="71" xfId="38" applyNumberFormat="1" applyBorder="1" applyAlignment="1">
      <alignment horizontal="center" vertical="center" wrapText="1"/>
    </xf>
    <xf numFmtId="2" fontId="2" fillId="0" borderId="1" xfId="0" applyNumberFormat="1" applyFont="1" applyFill="1" applyBorder="1" applyAlignment="1">
      <alignment horizontal="center" vertical="center" wrapText="1"/>
    </xf>
    <xf numFmtId="0" fontId="0" fillId="0" borderId="3" xfId="0" applyBorder="1" applyAlignment="1">
      <alignment horizontal="center" vertical="top"/>
    </xf>
    <xf numFmtId="169" fontId="2" fillId="0" borderId="2" xfId="0" applyNumberFormat="1" applyFont="1" applyBorder="1" applyAlignment="1">
      <alignment horizontal="left" vertical="center"/>
    </xf>
    <xf numFmtId="170" fontId="6" fillId="6" borderId="5" xfId="41" applyNumberFormat="1" applyFont="1" applyFill="1" applyBorder="1" applyAlignment="1">
      <alignment vertical="top"/>
    </xf>
    <xf numFmtId="170" fontId="5" fillId="6" borderId="3" xfId="41" applyNumberFormat="1" applyFont="1" applyFill="1" applyBorder="1" applyAlignment="1">
      <alignment vertical="top"/>
    </xf>
    <xf numFmtId="170" fontId="5" fillId="6" borderId="5" xfId="41" applyNumberFormat="1" applyFont="1" applyFill="1" applyBorder="1" applyAlignment="1">
      <alignment horizontal="justify" vertical="top"/>
    </xf>
    <xf numFmtId="170" fontId="5" fillId="6" borderId="3" xfId="41" applyNumberFormat="1" applyFont="1" applyFill="1" applyBorder="1" applyAlignment="1">
      <alignment horizontal="justify" vertical="top"/>
    </xf>
    <xf numFmtId="169" fontId="11" fillId="6" borderId="3" xfId="41" applyNumberFormat="1" applyFont="1" applyFill="1" applyBorder="1" applyAlignment="1">
      <alignment horizontal="center" vertical="top"/>
    </xf>
    <xf numFmtId="169" fontId="5" fillId="6" borderId="3" xfId="41" applyFont="1" applyFill="1" applyBorder="1" applyAlignment="1">
      <alignment vertical="top"/>
    </xf>
    <xf numFmtId="170" fontId="6" fillId="6" borderId="0" xfId="41" applyNumberFormat="1" applyFont="1" applyFill="1" applyBorder="1" applyAlignment="1">
      <alignment vertical="top"/>
    </xf>
    <xf numFmtId="2" fontId="0" fillId="2" borderId="0" xfId="0" applyNumberFormat="1" applyFill="1" applyBorder="1" applyAlignment="1">
      <alignment horizontal="center" vertical="top"/>
    </xf>
    <xf numFmtId="172" fontId="0" fillId="2" borderId="0" xfId="0" applyNumberFormat="1" applyFill="1" applyBorder="1" applyAlignment="1">
      <alignment horizontal="center" vertical="top"/>
    </xf>
    <xf numFmtId="0" fontId="0" fillId="0" borderId="29" xfId="0" applyFill="1" applyBorder="1" applyAlignment="1">
      <alignment horizontal="center" vertical="top"/>
    </xf>
    <xf numFmtId="0" fontId="0" fillId="0" borderId="5" xfId="0" applyBorder="1" applyAlignment="1">
      <alignment horizontal="center" vertical="top"/>
    </xf>
    <xf numFmtId="2" fontId="0" fillId="0" borderId="4" xfId="0" applyNumberFormat="1" applyBorder="1" applyAlignment="1">
      <alignment horizontal="center" vertical="top"/>
    </xf>
    <xf numFmtId="0" fontId="0" fillId="0" borderId="1" xfId="0" applyBorder="1" applyAlignment="1">
      <alignment horizontal="center" vertical="top"/>
    </xf>
    <xf numFmtId="0" fontId="0" fillId="6" borderId="5" xfId="0" applyFill="1" applyBorder="1" applyAlignment="1">
      <alignment horizontal="center" vertical="top"/>
    </xf>
    <xf numFmtId="0" fontId="0" fillId="6" borderId="4" xfId="0" applyFill="1" applyBorder="1" applyAlignment="1">
      <alignment horizontal="center" vertical="top"/>
    </xf>
    <xf numFmtId="0" fontId="0" fillId="6" borderId="1" xfId="0" applyFill="1" applyBorder="1" applyAlignment="1">
      <alignment horizontal="center" vertical="top"/>
    </xf>
    <xf numFmtId="170" fontId="5" fillId="6" borderId="0" xfId="41" applyNumberFormat="1" applyFont="1" applyFill="1" applyBorder="1" applyAlignment="1">
      <alignment vertical="top"/>
    </xf>
    <xf numFmtId="170" fontId="5" fillId="6" borderId="0" xfId="41" applyNumberFormat="1" applyFont="1" applyFill="1" applyBorder="1" applyAlignment="1">
      <alignment horizontal="justify" vertical="top"/>
    </xf>
    <xf numFmtId="169" fontId="11" fillId="6" borderId="2" xfId="41" applyNumberFormat="1" applyFont="1" applyFill="1" applyBorder="1" applyAlignment="1">
      <alignment horizontal="center" vertical="top"/>
    </xf>
    <xf numFmtId="169" fontId="5" fillId="6" borderId="0" xfId="41" applyFont="1" applyFill="1" applyBorder="1" applyAlignment="1">
      <alignment vertical="top"/>
    </xf>
    <xf numFmtId="170" fontId="11" fillId="0" borderId="3" xfId="41" applyNumberFormat="1" applyFont="1" applyFill="1" applyBorder="1" applyAlignment="1">
      <alignment vertical="center"/>
    </xf>
    <xf numFmtId="170" fontId="10" fillId="0" borderId="3" xfId="41" applyNumberFormat="1" applyFont="1" applyFill="1" applyBorder="1" applyAlignment="1">
      <alignment horizontal="justify" vertical="center"/>
    </xf>
    <xf numFmtId="0" fontId="2" fillId="0" borderId="5"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4" xfId="0" applyFont="1" applyFill="1" applyBorder="1" applyAlignment="1">
      <alignment horizontal="center" vertical="center" wrapText="1"/>
    </xf>
    <xf numFmtId="169" fontId="5" fillId="0" borderId="1" xfId="41" applyFont="1" applyFill="1" applyBorder="1" applyAlignment="1">
      <alignment vertical="top"/>
    </xf>
    <xf numFmtId="0" fontId="6" fillId="0" borderId="2" xfId="0" applyFont="1" applyFill="1" applyBorder="1">
      <alignment vertical="top"/>
    </xf>
    <xf numFmtId="174" fontId="6" fillId="0" borderId="1" xfId="0" applyNumberFormat="1" applyFont="1" applyFill="1" applyBorder="1" applyAlignment="1">
      <alignment horizontal="justify" vertical="top"/>
    </xf>
    <xf numFmtId="169" fontId="6" fillId="0" borderId="1" xfId="41" applyFont="1" applyFill="1" applyBorder="1" applyAlignment="1">
      <alignment vertical="top"/>
    </xf>
    <xf numFmtId="0" fontId="6" fillId="0" borderId="1" xfId="0" applyFont="1" applyFill="1" applyBorder="1" applyAlignment="1">
      <alignment horizontal="left" vertical="top"/>
    </xf>
    <xf numFmtId="0" fontId="6" fillId="0" borderId="1" xfId="0" applyFont="1" applyFill="1" applyBorder="1">
      <alignment vertical="top"/>
    </xf>
    <xf numFmtId="170" fontId="6" fillId="6" borderId="21" xfId="41" applyNumberFormat="1" applyFont="1" applyFill="1" applyBorder="1" applyAlignment="1">
      <alignment vertical="top"/>
    </xf>
    <xf numFmtId="170" fontId="6" fillId="0" borderId="0" xfId="41" applyNumberFormat="1" applyFont="1" applyFill="1" applyBorder="1" applyAlignment="1">
      <alignment horizontal="justify" vertical="center"/>
    </xf>
    <xf numFmtId="170" fontId="5" fillId="0" borderId="9" xfId="41" applyNumberFormat="1" applyFont="1" applyFill="1" applyBorder="1" applyAlignment="1">
      <alignment vertical="top"/>
    </xf>
    <xf numFmtId="169" fontId="11" fillId="0" borderId="21" xfId="41" applyNumberFormat="1" applyFont="1" applyFill="1" applyBorder="1" applyAlignment="1">
      <alignment horizontal="center" vertical="top"/>
    </xf>
    <xf numFmtId="169" fontId="11" fillId="0" borderId="48" xfId="41" applyNumberFormat="1" applyFont="1" applyFill="1" applyBorder="1" applyAlignment="1">
      <alignment horizontal="center" vertical="top"/>
    </xf>
    <xf numFmtId="169" fontId="5" fillId="0" borderId="9" xfId="41" applyFont="1" applyFill="1" applyBorder="1" applyAlignment="1">
      <alignment vertical="top"/>
    </xf>
    <xf numFmtId="170" fontId="5" fillId="0" borderId="20" xfId="41" applyNumberFormat="1" applyFont="1" applyFill="1" applyBorder="1" applyAlignment="1">
      <alignment horizontal="justify" vertical="top"/>
    </xf>
    <xf numFmtId="170" fontId="5" fillId="0" borderId="48" xfId="41" applyNumberFormat="1" applyFont="1" applyFill="1" applyBorder="1" applyAlignment="1">
      <alignment horizontal="justify" vertical="top"/>
    </xf>
    <xf numFmtId="172" fontId="38" fillId="0" borderId="53" xfId="38" applyNumberFormat="1" applyFont="1" applyBorder="1" applyAlignment="1">
      <alignment horizontal="center" vertical="center" wrapText="1"/>
    </xf>
    <xf numFmtId="175" fontId="38" fillId="0" borderId="53" xfId="38" applyNumberFormat="1" applyFont="1" applyBorder="1" applyAlignment="1">
      <alignment horizontal="center" vertical="center" wrapText="1"/>
    </xf>
    <xf numFmtId="0" fontId="2" fillId="0" borderId="0" xfId="13" applyFont="1" applyFill="1" applyBorder="1" applyAlignment="1">
      <alignment horizontal="justify" vertical="center" wrapText="1"/>
    </xf>
    <xf numFmtId="0" fontId="47" fillId="0" borderId="53" xfId="38" applyBorder="1" applyAlignment="1">
      <alignment horizontal="center" vertical="center" wrapText="1"/>
    </xf>
    <xf numFmtId="169" fontId="2" fillId="0" borderId="2" xfId="0" applyNumberFormat="1" applyFont="1" applyFill="1" applyBorder="1" applyAlignment="1">
      <alignment horizontal="left" vertical="center" wrapText="1"/>
    </xf>
    <xf numFmtId="170" fontId="5" fillId="0" borderId="2" xfId="41" applyNumberFormat="1" applyFont="1" applyFill="1" applyBorder="1" applyAlignment="1">
      <alignment horizontal="justify" vertical="center"/>
    </xf>
    <xf numFmtId="169" fontId="2" fillId="0" borderId="0" xfId="0" applyNumberFormat="1" applyFont="1" applyFill="1" applyBorder="1" applyAlignment="1">
      <alignment horizontal="center" vertical="top" wrapText="1"/>
    </xf>
    <xf numFmtId="169" fontId="30" fillId="0" borderId="2" xfId="41" applyFont="1" applyFill="1" applyBorder="1" applyAlignment="1">
      <alignment vertical="top"/>
    </xf>
    <xf numFmtId="170" fontId="30" fillId="0" borderId="2" xfId="41" applyNumberFormat="1" applyFont="1" applyFill="1" applyBorder="1" applyAlignment="1">
      <alignment vertical="top"/>
    </xf>
    <xf numFmtId="170" fontId="2" fillId="0" borderId="0" xfId="41" applyNumberFormat="1" applyFont="1" applyBorder="1" applyAlignment="1">
      <alignment horizontal="justify" vertical="top"/>
    </xf>
    <xf numFmtId="170" fontId="2" fillId="0" borderId="1" xfId="41" applyNumberFormat="1" applyFont="1" applyBorder="1" applyAlignment="1">
      <alignment horizontal="justify" vertical="top"/>
    </xf>
    <xf numFmtId="0" fontId="2" fillId="0" borderId="0" xfId="41" applyNumberFormat="1" applyFont="1" applyBorder="1" applyAlignment="1">
      <alignment horizontal="center" vertical="top"/>
    </xf>
    <xf numFmtId="0" fontId="2" fillId="12" borderId="0" xfId="41" applyNumberFormat="1" applyFont="1" applyFill="1" applyBorder="1" applyAlignment="1">
      <alignment horizontal="center" vertical="top"/>
    </xf>
    <xf numFmtId="169" fontId="30" fillId="0" borderId="0" xfId="41" applyFont="1" applyFill="1" applyBorder="1" applyAlignment="1">
      <alignment vertical="top"/>
    </xf>
    <xf numFmtId="0" fontId="2" fillId="0" borderId="0" xfId="0" applyFont="1" applyFill="1" applyBorder="1" applyAlignment="1">
      <alignment horizontal="center" vertical="center" wrapText="1"/>
    </xf>
    <xf numFmtId="0" fontId="44" fillId="0" borderId="0" xfId="0" applyFont="1" applyFill="1" applyBorder="1" applyAlignment="1">
      <alignment horizontal="center" vertical="center" wrapText="1"/>
    </xf>
    <xf numFmtId="169" fontId="44" fillId="0" borderId="0" xfId="0" applyNumberFormat="1" applyFont="1" applyFill="1" applyBorder="1" applyAlignment="1">
      <alignment horizontal="center" vertical="center" wrapText="1"/>
    </xf>
    <xf numFmtId="2" fontId="44" fillId="0" borderId="0" xfId="14" applyNumberFormat="1" applyFont="1" applyFill="1" applyBorder="1" applyAlignment="1">
      <alignment horizontal="center" vertical="center" wrapText="1"/>
    </xf>
    <xf numFmtId="169" fontId="44" fillId="0" borderId="0" xfId="14" applyNumberFormat="1" applyFont="1" applyFill="1" applyBorder="1" applyAlignment="1">
      <alignment horizontal="center" vertical="center"/>
    </xf>
    <xf numFmtId="169" fontId="44" fillId="0" borderId="0" xfId="14" applyNumberFormat="1" applyFont="1" applyFill="1" applyBorder="1" applyAlignment="1">
      <alignment horizontal="center" vertical="center" wrapText="1"/>
    </xf>
    <xf numFmtId="169" fontId="2" fillId="0" borderId="1" xfId="0" quotePrefix="1" applyNumberFormat="1" applyFont="1" applyFill="1" applyBorder="1" applyAlignment="1">
      <alignment horizontal="left" vertical="top" wrapText="1"/>
    </xf>
    <xf numFmtId="0" fontId="2" fillId="0" borderId="0" xfId="0" applyFont="1" applyFill="1" applyBorder="1" applyAlignment="1">
      <alignment vertical="center"/>
    </xf>
    <xf numFmtId="0" fontId="19" fillId="8" borderId="5" xfId="0" applyFont="1" applyFill="1" applyBorder="1" applyAlignment="1">
      <alignment horizontal="justify" vertical="top" wrapText="1"/>
    </xf>
    <xf numFmtId="0" fontId="6" fillId="8" borderId="2" xfId="0" applyFont="1" applyFill="1" applyBorder="1" applyAlignment="1">
      <alignment horizontal="left" vertical="top" wrapText="1"/>
    </xf>
    <xf numFmtId="0" fontId="5" fillId="8" borderId="2" xfId="0" applyFont="1" applyFill="1" applyBorder="1" applyAlignment="1">
      <alignment horizontal="justify" vertical="top" wrapText="1"/>
    </xf>
    <xf numFmtId="0" fontId="6" fillId="8" borderId="2" xfId="0" applyFont="1" applyFill="1" applyBorder="1" applyAlignment="1">
      <alignment horizontal="left" vertical="center"/>
    </xf>
    <xf numFmtId="170" fontId="11" fillId="8" borderId="2" xfId="41" applyNumberFormat="1" applyFont="1" applyFill="1" applyBorder="1" applyAlignment="1">
      <alignment vertical="top"/>
    </xf>
    <xf numFmtId="170" fontId="11" fillId="8" borderId="19" xfId="41" applyNumberFormat="1" applyFont="1" applyFill="1" applyBorder="1" applyAlignment="1">
      <alignment vertical="top"/>
    </xf>
    <xf numFmtId="170" fontId="11" fillId="0" borderId="5" xfId="41" applyNumberFormat="1" applyFont="1" applyBorder="1" applyAlignment="1">
      <alignment horizontal="justify" vertical="top"/>
    </xf>
    <xf numFmtId="170" fontId="10" fillId="0" borderId="1" xfId="41" applyNumberFormat="1" applyFont="1" applyBorder="1" applyAlignment="1">
      <alignment vertical="top"/>
    </xf>
    <xf numFmtId="170" fontId="10" fillId="2" borderId="4" xfId="41" applyNumberFormat="1" applyFont="1" applyFill="1" applyBorder="1" applyAlignment="1">
      <alignment horizontal="justify" vertical="center"/>
    </xf>
    <xf numFmtId="170" fontId="11" fillId="2" borderId="1" xfId="41" applyNumberFormat="1" applyFont="1" applyFill="1" applyBorder="1" applyAlignment="1">
      <alignment horizontal="justify" vertical="top"/>
    </xf>
    <xf numFmtId="170" fontId="11" fillId="2" borderId="29" xfId="41" applyNumberFormat="1" applyFont="1" applyFill="1" applyBorder="1" applyAlignment="1">
      <alignment horizontal="justify" vertical="top"/>
    </xf>
    <xf numFmtId="170" fontId="19" fillId="0" borderId="4" xfId="41" applyNumberFormat="1" applyFont="1" applyFill="1" applyBorder="1" applyAlignment="1">
      <alignment horizontal="justify" vertical="top"/>
    </xf>
    <xf numFmtId="170" fontId="11" fillId="8" borderId="1" xfId="41" applyNumberFormat="1" applyFont="1" applyFill="1" applyBorder="1" applyAlignment="1">
      <alignment horizontal="justify" vertical="top"/>
    </xf>
    <xf numFmtId="170" fontId="11" fillId="8" borderId="29" xfId="41" applyNumberFormat="1" applyFont="1" applyFill="1" applyBorder="1" applyAlignment="1">
      <alignment horizontal="justify" vertical="top"/>
    </xf>
    <xf numFmtId="169" fontId="11" fillId="15" borderId="0" xfId="41" applyNumberFormat="1" applyFont="1" applyFill="1" applyBorder="1" applyAlignment="1">
      <alignment horizontal="center" vertical="top"/>
    </xf>
    <xf numFmtId="169" fontId="11" fillId="2" borderId="37" xfId="0" applyNumberFormat="1" applyFont="1" applyFill="1" applyBorder="1" applyAlignment="1">
      <alignment horizontal="justify" vertical="top" wrapText="1"/>
    </xf>
    <xf numFmtId="169" fontId="11" fillId="0" borderId="0" xfId="41" applyNumberFormat="1" applyFont="1" applyBorder="1" applyAlignment="1">
      <alignment vertical="top"/>
    </xf>
    <xf numFmtId="169" fontId="10" fillId="0" borderId="2" xfId="41" applyNumberFormat="1" applyFont="1" applyFill="1" applyBorder="1" applyAlignment="1">
      <alignment vertical="top"/>
    </xf>
    <xf numFmtId="169" fontId="11" fillId="0" borderId="2" xfId="41" applyNumberFormat="1" applyFont="1" applyBorder="1" applyAlignment="1">
      <alignment horizontal="justify" vertical="top"/>
    </xf>
    <xf numFmtId="169" fontId="11" fillId="0" borderId="0" xfId="41" applyNumberFormat="1" applyFont="1" applyBorder="1" applyAlignment="1">
      <alignment horizontal="justify" vertical="top"/>
    </xf>
    <xf numFmtId="169" fontId="11" fillId="0" borderId="1" xfId="41" applyNumberFormat="1" applyFont="1" applyBorder="1" applyAlignment="1">
      <alignment horizontal="justify" vertical="top"/>
    </xf>
    <xf numFmtId="169" fontId="11" fillId="0" borderId="0" xfId="0" applyNumberFormat="1" applyFont="1" applyBorder="1" applyAlignment="1">
      <alignment horizontal="center" vertical="top" wrapText="1"/>
    </xf>
    <xf numFmtId="169" fontId="11" fillId="2" borderId="0" xfId="0" applyNumberFormat="1" applyFont="1" applyFill="1">
      <alignment vertical="top"/>
    </xf>
    <xf numFmtId="169" fontId="10" fillId="2" borderId="0" xfId="41" applyNumberFormat="1" applyFont="1" applyFill="1" applyAlignment="1">
      <alignment vertical="top"/>
    </xf>
    <xf numFmtId="169" fontId="11" fillId="2" borderId="2" xfId="41" applyNumberFormat="1" applyFont="1" applyFill="1" applyBorder="1" applyAlignment="1">
      <alignment horizontal="justify" vertical="top"/>
    </xf>
    <xf numFmtId="169" fontId="11" fillId="2" borderId="0" xfId="41" applyNumberFormat="1" applyFont="1" applyFill="1" applyBorder="1" applyAlignment="1">
      <alignment horizontal="justify" vertical="top"/>
    </xf>
    <xf numFmtId="169" fontId="11" fillId="2" borderId="1" xfId="41" applyNumberFormat="1" applyFont="1" applyFill="1" applyBorder="1" applyAlignment="1">
      <alignment horizontal="justify" vertical="top"/>
    </xf>
    <xf numFmtId="169" fontId="10" fillId="0" borderId="0" xfId="41" applyNumberFormat="1" applyFont="1" applyFill="1" applyBorder="1" applyAlignment="1">
      <alignment vertical="top"/>
    </xf>
    <xf numFmtId="169" fontId="11" fillId="2" borderId="0" xfId="41" applyNumberFormat="1" applyFont="1" applyFill="1" applyAlignment="1">
      <alignment vertical="top"/>
    </xf>
    <xf numFmtId="169" fontId="11" fillId="0" borderId="2" xfId="0" applyNumberFormat="1" applyFont="1" applyFill="1" applyBorder="1">
      <alignment vertical="top"/>
    </xf>
    <xf numFmtId="169" fontId="11" fillId="15" borderId="6" xfId="41" applyNumberFormat="1" applyFont="1" applyFill="1" applyBorder="1" applyAlignment="1">
      <alignment horizontal="center" vertical="top"/>
    </xf>
    <xf numFmtId="0" fontId="0" fillId="0" borderId="9" xfId="0" applyBorder="1" applyAlignment="1">
      <alignment horizontal="center" vertical="top"/>
    </xf>
    <xf numFmtId="169" fontId="5" fillId="0" borderId="1" xfId="41" applyNumberFormat="1" applyBorder="1" applyAlignment="1">
      <alignment horizontal="center" vertical="top"/>
    </xf>
    <xf numFmtId="169" fontId="5" fillId="0" borderId="1" xfId="41" applyNumberFormat="1" applyFill="1" applyBorder="1" applyAlignment="1">
      <alignment horizontal="center" vertical="top"/>
    </xf>
    <xf numFmtId="170" fontId="5" fillId="2" borderId="1" xfId="41" applyNumberFormat="1" applyFill="1" applyBorder="1" applyAlignment="1">
      <alignment horizontal="center" vertical="top"/>
    </xf>
    <xf numFmtId="170" fontId="5" fillId="0" borderId="1" xfId="41" applyNumberFormat="1" applyFill="1" applyBorder="1" applyAlignment="1">
      <alignment horizontal="center" vertical="top"/>
    </xf>
    <xf numFmtId="0" fontId="0" fillId="0" borderId="48" xfId="0" applyBorder="1" applyAlignment="1">
      <alignment horizontal="center" vertical="top"/>
    </xf>
    <xf numFmtId="0" fontId="0" fillId="0" borderId="29" xfId="0" applyBorder="1" applyAlignment="1">
      <alignment horizontal="center" vertical="top"/>
    </xf>
    <xf numFmtId="170" fontId="6" fillId="2" borderId="3" xfId="41" applyNumberFormat="1" applyFont="1" applyFill="1" applyBorder="1" applyAlignment="1">
      <alignment vertical="top"/>
    </xf>
    <xf numFmtId="170" fontId="20" fillId="0" borderId="36" xfId="41" applyNumberFormat="1" applyFont="1" applyFill="1" applyBorder="1" applyAlignment="1">
      <alignment vertical="top"/>
    </xf>
    <xf numFmtId="170" fontId="11" fillId="0" borderId="5" xfId="41" applyNumberFormat="1" applyFont="1" applyFill="1" applyBorder="1" applyAlignment="1">
      <alignment vertical="top"/>
    </xf>
    <xf numFmtId="0" fontId="0" fillId="0" borderId="4" xfId="0" applyBorder="1" applyAlignment="1">
      <alignment horizontal="center" vertical="top"/>
    </xf>
    <xf numFmtId="0" fontId="2" fillId="2" borderId="37" xfId="0" applyFont="1" applyFill="1" applyBorder="1" applyAlignment="1">
      <alignment horizontal="left" vertical="top" wrapText="1"/>
    </xf>
    <xf numFmtId="169" fontId="2" fillId="0" borderId="0" xfId="0" applyNumberFormat="1" applyFont="1" applyBorder="1" applyAlignment="1">
      <alignment horizontal="left" vertical="top" wrapText="1"/>
    </xf>
    <xf numFmtId="169" fontId="11" fillId="0" borderId="7" xfId="41" applyNumberFormat="1" applyFont="1" applyFill="1" applyBorder="1" applyAlignment="1">
      <alignment horizontal="center" vertical="top"/>
    </xf>
    <xf numFmtId="170" fontId="11" fillId="6" borderId="0" xfId="41" applyNumberFormat="1" applyFont="1" applyFill="1" applyBorder="1" applyAlignment="1">
      <alignment vertical="top"/>
    </xf>
    <xf numFmtId="170" fontId="5" fillId="6" borderId="1" xfId="41" applyNumberFormat="1" applyFont="1" applyFill="1" applyBorder="1" applyAlignment="1">
      <alignment horizontal="justify" vertical="top"/>
    </xf>
    <xf numFmtId="169" fontId="5" fillId="0" borderId="21" xfId="41" applyFont="1" applyFill="1" applyBorder="1" applyAlignment="1">
      <alignment vertical="top"/>
    </xf>
    <xf numFmtId="169" fontId="0" fillId="2" borderId="2" xfId="0" applyNumberFormat="1" applyFill="1" applyBorder="1" applyAlignment="1">
      <alignment vertical="top"/>
    </xf>
    <xf numFmtId="169" fontId="0" fillId="0" borderId="2" xfId="0" applyNumberFormat="1" applyFill="1" applyBorder="1" applyAlignment="1">
      <alignment vertical="top"/>
    </xf>
    <xf numFmtId="170" fontId="22" fillId="0" borderId="2" xfId="41" applyNumberFormat="1" applyFont="1" applyFill="1" applyBorder="1" applyAlignment="1">
      <alignment horizontal="left" vertical="top"/>
    </xf>
    <xf numFmtId="169" fontId="18" fillId="0" borderId="2" xfId="0" applyNumberFormat="1" applyFont="1" applyFill="1" applyBorder="1" applyAlignment="1">
      <alignment vertical="top"/>
    </xf>
    <xf numFmtId="169" fontId="22" fillId="0" borderId="2" xfId="41" applyFont="1" applyFill="1" applyBorder="1" applyAlignment="1">
      <alignment horizontal="justify" vertical="top"/>
    </xf>
    <xf numFmtId="170" fontId="5" fillId="8" borderId="19" xfId="41" applyNumberFormat="1" applyFont="1" applyFill="1" applyBorder="1" applyAlignment="1">
      <alignment horizontal="justify" vertical="top"/>
    </xf>
    <xf numFmtId="169" fontId="1" fillId="0" borderId="2" xfId="0" applyNumberFormat="1" applyFont="1" applyFill="1" applyBorder="1" applyAlignment="1">
      <alignment vertical="top"/>
    </xf>
    <xf numFmtId="169" fontId="6" fillId="0" borderId="1" xfId="41" applyNumberFormat="1" applyFont="1" applyFill="1" applyBorder="1" applyAlignment="1">
      <alignment horizontal="justify" vertical="top"/>
    </xf>
    <xf numFmtId="169" fontId="11" fillId="15" borderId="3" xfId="41" applyNumberFormat="1" applyFont="1" applyFill="1" applyBorder="1" applyAlignment="1">
      <alignment horizontal="center" vertical="top"/>
    </xf>
    <xf numFmtId="169" fontId="5" fillId="15" borderId="6" xfId="41" applyNumberFormat="1" applyFont="1" applyFill="1" applyBorder="1" applyAlignment="1">
      <alignment horizontal="center" vertical="top"/>
    </xf>
    <xf numFmtId="170" fontId="6" fillId="0" borderId="62" xfId="41" applyNumberFormat="1" applyFont="1" applyFill="1" applyBorder="1" applyAlignment="1">
      <alignment vertical="center"/>
    </xf>
    <xf numFmtId="170" fontId="6" fillId="0" borderId="20" xfId="41" applyNumberFormat="1" applyFont="1" applyFill="1" applyBorder="1" applyAlignment="1">
      <alignment vertical="center"/>
    </xf>
    <xf numFmtId="170" fontId="6" fillId="0" borderId="5" xfId="41" applyNumberFormat="1" applyFont="1" applyFill="1" applyBorder="1" applyAlignment="1">
      <alignment vertical="center"/>
    </xf>
    <xf numFmtId="170" fontId="6" fillId="0" borderId="3" xfId="41" applyNumberFormat="1" applyFont="1" applyFill="1" applyBorder="1" applyAlignment="1">
      <alignment vertical="center"/>
    </xf>
    <xf numFmtId="170" fontId="6" fillId="6" borderId="6" xfId="41" applyNumberFormat="1" applyFont="1" applyFill="1" applyBorder="1" applyAlignment="1">
      <alignment vertical="top"/>
    </xf>
    <xf numFmtId="170" fontId="11" fillId="2" borderId="22" xfId="41" applyNumberFormat="1" applyFont="1" applyFill="1" applyBorder="1" applyAlignment="1">
      <alignment vertical="center"/>
    </xf>
    <xf numFmtId="170" fontId="10" fillId="2" borderId="8" xfId="41" applyNumberFormat="1" applyFont="1" applyFill="1" applyBorder="1" applyAlignment="1">
      <alignment vertical="center"/>
    </xf>
    <xf numFmtId="169" fontId="6" fillId="0" borderId="19" xfId="41" applyFont="1" applyFill="1" applyBorder="1" applyAlignment="1">
      <alignment vertical="top"/>
    </xf>
    <xf numFmtId="169" fontId="6" fillId="0" borderId="29" xfId="41" applyFont="1" applyFill="1" applyBorder="1" applyAlignment="1">
      <alignment vertical="top"/>
    </xf>
    <xf numFmtId="170" fontId="7" fillId="3" borderId="4" xfId="41" applyNumberFormat="1" applyFont="1" applyFill="1" applyBorder="1" applyAlignment="1">
      <alignment horizontal="center" vertical="top"/>
    </xf>
    <xf numFmtId="169" fontId="7" fillId="0" borderId="1" xfId="41" applyFont="1" applyBorder="1" applyAlignment="1">
      <alignment horizontal="center" vertical="top"/>
    </xf>
    <xf numFmtId="0" fontId="25" fillId="2" borderId="4" xfId="0" applyFont="1" applyFill="1" applyBorder="1" applyAlignment="1">
      <alignment horizontal="center" vertical="center" wrapText="1"/>
    </xf>
    <xf numFmtId="169" fontId="7" fillId="0" borderId="1" xfId="41" applyNumberFormat="1" applyFont="1" applyFill="1" applyBorder="1" applyAlignment="1">
      <alignment horizontal="center" vertical="top"/>
    </xf>
    <xf numFmtId="169" fontId="7" fillId="6" borderId="1" xfId="41" applyNumberFormat="1" applyFont="1" applyFill="1" applyBorder="1" applyAlignment="1">
      <alignment horizontal="center" vertical="top"/>
    </xf>
    <xf numFmtId="169" fontId="7" fillId="0" borderId="48" xfId="41" applyNumberFormat="1" applyFont="1" applyFill="1" applyBorder="1" applyAlignment="1">
      <alignment horizontal="center" vertical="top"/>
    </xf>
    <xf numFmtId="170" fontId="7" fillId="0" borderId="1" xfId="41" applyNumberFormat="1" applyFont="1" applyBorder="1" applyAlignment="1">
      <alignment horizontal="center" vertical="top"/>
    </xf>
    <xf numFmtId="170" fontId="5" fillId="2" borderId="1" xfId="41" applyNumberFormat="1" applyFont="1" applyFill="1" applyBorder="1" applyAlignment="1">
      <alignment horizontal="justify" vertical="top"/>
    </xf>
    <xf numFmtId="170" fontId="5" fillId="6" borderId="9" xfId="41" applyNumberFormat="1" applyFont="1" applyFill="1" applyBorder="1" applyAlignment="1">
      <alignment horizontal="justify" vertical="top"/>
    </xf>
    <xf numFmtId="170" fontId="5" fillId="6" borderId="6" xfId="41" applyNumberFormat="1" applyFont="1" applyFill="1" applyBorder="1" applyAlignment="1">
      <alignment horizontal="justify" vertical="top"/>
    </xf>
    <xf numFmtId="0" fontId="0" fillId="0" borderId="30" xfId="0" applyBorder="1" applyAlignment="1">
      <alignment vertical="top"/>
    </xf>
    <xf numFmtId="0" fontId="2" fillId="0" borderId="2" xfId="0" applyFont="1" applyFill="1" applyBorder="1" applyAlignment="1">
      <alignment horizontal="left" vertical="top"/>
    </xf>
    <xf numFmtId="170" fontId="6" fillId="0" borderId="2" xfId="41" applyNumberFormat="1" applyFont="1" applyFill="1" applyBorder="1" applyAlignment="1">
      <alignment vertical="center"/>
    </xf>
    <xf numFmtId="170" fontId="6" fillId="0" borderId="0" xfId="41" applyNumberFormat="1" applyFont="1" applyFill="1" applyBorder="1" applyAlignment="1">
      <alignment vertical="center"/>
    </xf>
    <xf numFmtId="170" fontId="5" fillId="6" borderId="2" xfId="41" applyNumberFormat="1" applyFont="1" applyFill="1" applyBorder="1" applyAlignment="1">
      <alignment horizontal="justify" vertical="top"/>
    </xf>
    <xf numFmtId="170" fontId="5" fillId="0" borderId="29" xfId="41" applyNumberFormat="1" applyFont="1" applyFill="1" applyBorder="1" applyAlignment="1">
      <alignment horizontal="justify" vertical="top"/>
    </xf>
    <xf numFmtId="169" fontId="5" fillId="0" borderId="2" xfId="41" applyFont="1" applyFill="1" applyBorder="1" applyAlignment="1">
      <alignment horizontal="center" vertical="top"/>
    </xf>
    <xf numFmtId="0" fontId="6" fillId="0" borderId="19" xfId="0" applyFont="1" applyFill="1" applyBorder="1">
      <alignment vertical="top"/>
    </xf>
    <xf numFmtId="170" fontId="6" fillId="0" borderId="5" xfId="41" applyNumberFormat="1" applyFont="1" applyFill="1" applyBorder="1" applyAlignment="1">
      <alignment horizontal="justify" vertical="center"/>
    </xf>
    <xf numFmtId="170" fontId="10" fillId="0" borderId="4" xfId="41" applyNumberFormat="1" applyFont="1" applyFill="1" applyBorder="1" applyAlignment="1">
      <alignment horizontal="justify" vertical="center"/>
    </xf>
    <xf numFmtId="170" fontId="6" fillId="0" borderId="2" xfId="41" applyNumberFormat="1" applyFont="1" applyFill="1" applyBorder="1" applyAlignment="1">
      <alignment horizontal="justify" vertical="center"/>
    </xf>
    <xf numFmtId="170" fontId="5" fillId="6" borderId="19" xfId="41" applyNumberFormat="1" applyFont="1" applyFill="1" applyBorder="1" applyAlignment="1">
      <alignment horizontal="justify" vertical="top"/>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169" fontId="11" fillId="6" borderId="6" xfId="41" applyNumberFormat="1" applyFont="1" applyFill="1" applyBorder="1" applyAlignment="1">
      <alignment horizontal="center" vertical="top"/>
    </xf>
    <xf numFmtId="169" fontId="5" fillId="15" borderId="0" xfId="41" applyNumberFormat="1" applyFont="1" applyFill="1" applyBorder="1" applyAlignment="1">
      <alignment horizontal="center" vertical="top"/>
    </xf>
    <xf numFmtId="170" fontId="6" fillId="6" borderId="14" xfId="41" applyNumberFormat="1" applyFont="1" applyFill="1" applyBorder="1" applyAlignment="1">
      <alignment vertical="top"/>
    </xf>
    <xf numFmtId="170" fontId="6" fillId="6" borderId="73" xfId="41" applyNumberFormat="1" applyFont="1" applyFill="1" applyBorder="1" applyAlignment="1">
      <alignment vertical="top"/>
    </xf>
    <xf numFmtId="170" fontId="11" fillId="0" borderId="2" xfId="41" applyNumberFormat="1" applyFont="1" applyFill="1" applyBorder="1" applyAlignment="1">
      <alignment vertical="center"/>
    </xf>
    <xf numFmtId="170" fontId="10" fillId="0" borderId="1" xfId="41" applyNumberFormat="1" applyFont="1" applyFill="1" applyBorder="1" applyAlignment="1">
      <alignment vertical="center"/>
    </xf>
    <xf numFmtId="2" fontId="2" fillId="0" borderId="0" xfId="0" applyNumberFormat="1" applyFont="1" applyFill="1" applyBorder="1" applyAlignment="1">
      <alignment horizontal="center" vertical="center" wrapText="1"/>
    </xf>
    <xf numFmtId="0" fontId="2" fillId="7" borderId="0" xfId="0" applyNumberFormat="1" applyFont="1" applyFill="1" applyBorder="1" applyAlignment="1">
      <alignment horizontal="center" vertical="center" wrapText="1"/>
    </xf>
    <xf numFmtId="173" fontId="2" fillId="7" borderId="2" xfId="0" applyNumberFormat="1" applyFont="1" applyFill="1" applyBorder="1" applyAlignment="1">
      <alignment horizontal="center" vertical="center" wrapText="1"/>
    </xf>
    <xf numFmtId="173" fontId="2" fillId="7" borderId="0" xfId="0" applyNumberFormat="1" applyFont="1" applyFill="1" applyBorder="1" applyAlignment="1">
      <alignment horizontal="center" vertical="center" wrapText="1"/>
    </xf>
    <xf numFmtId="173" fontId="2" fillId="7" borderId="1" xfId="0" applyNumberFormat="1" applyFont="1" applyFill="1" applyBorder="1" applyAlignment="1">
      <alignment horizontal="center" vertical="center" wrapText="1"/>
    </xf>
    <xf numFmtId="169" fontId="2" fillId="0" borderId="0" xfId="0" applyNumberFormat="1" applyFont="1" applyFill="1" applyBorder="1" applyAlignment="1">
      <alignment horizontal="center" vertical="top"/>
    </xf>
    <xf numFmtId="169" fontId="2" fillId="0" borderId="9" xfId="0" applyNumberFormat="1" applyFont="1" applyFill="1" applyBorder="1" applyAlignment="1">
      <alignment horizontal="center" vertical="top"/>
    </xf>
    <xf numFmtId="2" fontId="5" fillId="0" borderId="2" xfId="41" applyNumberFormat="1" applyFont="1" applyFill="1" applyBorder="1" applyAlignment="1">
      <alignment horizontal="center" vertical="top"/>
    </xf>
    <xf numFmtId="2" fontId="5" fillId="0" borderId="0" xfId="41" applyNumberFormat="1" applyFont="1" applyFill="1" applyBorder="1" applyAlignment="1">
      <alignment horizontal="center" vertical="top"/>
    </xf>
    <xf numFmtId="2" fontId="5" fillId="0" borderId="1" xfId="41" applyNumberFormat="1" applyFont="1" applyFill="1" applyBorder="1" applyAlignment="1">
      <alignment horizontal="center" vertical="top"/>
    </xf>
    <xf numFmtId="2" fontId="7" fillId="0" borderId="1" xfId="41" applyNumberFormat="1" applyFont="1" applyFill="1" applyBorder="1" applyAlignment="1">
      <alignment horizontal="center" vertical="top"/>
    </xf>
    <xf numFmtId="2" fontId="5" fillId="0" borderId="0" xfId="41" applyNumberFormat="1" applyFont="1" applyFill="1" applyBorder="1" applyAlignment="1">
      <alignment vertical="top"/>
    </xf>
    <xf numFmtId="2" fontId="11" fillId="0" borderId="2" xfId="41" applyNumberFormat="1" applyFont="1" applyFill="1" applyBorder="1" applyAlignment="1">
      <alignment horizontal="center" vertical="top"/>
    </xf>
    <xf numFmtId="2" fontId="11" fillId="6" borderId="2" xfId="41" applyNumberFormat="1" applyFont="1" applyFill="1" applyBorder="1" applyAlignment="1">
      <alignment horizontal="center" vertical="top"/>
    </xf>
    <xf numFmtId="2" fontId="11" fillId="6" borderId="0" xfId="41" applyNumberFormat="1" applyFont="1" applyFill="1" applyBorder="1" applyAlignment="1">
      <alignment horizontal="center" vertical="top"/>
    </xf>
    <xf numFmtId="2" fontId="11" fillId="6" borderId="1" xfId="41" applyNumberFormat="1" applyFont="1" applyFill="1" applyBorder="1" applyAlignment="1">
      <alignment horizontal="center" vertical="top"/>
    </xf>
    <xf numFmtId="2" fontId="7" fillId="6" borderId="1" xfId="41" applyNumberFormat="1" applyFont="1" applyFill="1" applyBorder="1" applyAlignment="1">
      <alignment horizontal="center" vertical="top"/>
    </xf>
    <xf numFmtId="2" fontId="5" fillId="6" borderId="0" xfId="41" applyNumberFormat="1" applyFont="1" applyFill="1" applyBorder="1" applyAlignment="1">
      <alignment vertical="top"/>
    </xf>
    <xf numFmtId="2" fontId="11" fillId="0" borderId="21" xfId="41" applyNumberFormat="1" applyFont="1" applyFill="1" applyBorder="1" applyAlignment="1">
      <alignment horizontal="center" vertical="top"/>
    </xf>
    <xf numFmtId="2" fontId="11" fillId="0" borderId="9" xfId="41" applyNumberFormat="1" applyFont="1" applyFill="1" applyBorder="1" applyAlignment="1">
      <alignment horizontal="center" vertical="top"/>
    </xf>
    <xf numFmtId="2" fontId="11" fillId="0" borderId="48" xfId="41" applyNumberFormat="1" applyFont="1" applyFill="1" applyBorder="1" applyAlignment="1">
      <alignment horizontal="center" vertical="top"/>
    </xf>
    <xf numFmtId="2" fontId="7" fillId="0" borderId="48" xfId="41" applyNumberFormat="1" applyFont="1" applyFill="1" applyBorder="1" applyAlignment="1">
      <alignment horizontal="center" vertical="top"/>
    </xf>
    <xf numFmtId="2" fontId="11" fillId="0" borderId="6" xfId="41" applyNumberFormat="1" applyFont="1" applyFill="1" applyBorder="1" applyAlignment="1">
      <alignment horizontal="center" vertical="top"/>
    </xf>
    <xf numFmtId="2" fontId="5" fillId="0" borderId="6" xfId="41" applyNumberFormat="1" applyFont="1" applyFill="1" applyBorder="1" applyAlignment="1">
      <alignment vertical="top"/>
    </xf>
    <xf numFmtId="2" fontId="5" fillId="0" borderId="9" xfId="41" applyNumberFormat="1" applyFont="1" applyFill="1" applyBorder="1" applyAlignment="1">
      <alignment vertical="top"/>
    </xf>
    <xf numFmtId="2" fontId="2" fillId="0" borderId="3" xfId="0" applyNumberFormat="1" applyFont="1" applyFill="1" applyBorder="1" applyAlignment="1">
      <alignment horizontal="center" vertical="center" wrapText="1"/>
    </xf>
    <xf numFmtId="2" fontId="11" fillId="0" borderId="3" xfId="41" applyNumberFormat="1" applyFont="1" applyFill="1" applyBorder="1" applyAlignment="1">
      <alignment vertical="center"/>
    </xf>
    <xf numFmtId="2" fontId="5" fillId="15" borderId="0" xfId="41" applyNumberFormat="1" applyFont="1" applyFill="1" applyBorder="1" applyAlignment="1">
      <alignment horizontal="center" vertical="top"/>
    </xf>
    <xf numFmtId="2" fontId="11" fillId="6" borderId="19" xfId="41" applyNumberFormat="1" applyFont="1" applyFill="1" applyBorder="1" applyAlignment="1">
      <alignment horizontal="center" vertical="top"/>
    </xf>
    <xf numFmtId="2" fontId="11" fillId="6" borderId="6" xfId="41" applyNumberFormat="1" applyFont="1" applyFill="1" applyBorder="1" applyAlignment="1">
      <alignment horizontal="center" vertical="top"/>
    </xf>
    <xf numFmtId="2" fontId="11" fillId="6" borderId="29" xfId="41" applyNumberFormat="1" applyFont="1" applyFill="1" applyBorder="1" applyAlignment="1">
      <alignment horizontal="center" vertical="top"/>
    </xf>
    <xf numFmtId="2" fontId="7" fillId="6" borderId="29" xfId="41" applyNumberFormat="1" applyFont="1" applyFill="1" applyBorder="1" applyAlignment="1">
      <alignment horizontal="center" vertical="top"/>
    </xf>
    <xf numFmtId="1" fontId="11" fillId="0" borderId="9" xfId="41" applyNumberFormat="1" applyFont="1" applyFill="1" applyBorder="1" applyAlignment="1">
      <alignment horizontal="center" vertical="top"/>
    </xf>
    <xf numFmtId="173" fontId="11" fillId="0" borderId="0" xfId="41" applyNumberFormat="1" applyFont="1" applyFill="1" applyBorder="1" applyAlignment="1">
      <alignment horizontal="center" vertical="top"/>
    </xf>
    <xf numFmtId="1" fontId="11" fillId="0" borderId="0" xfId="41" applyNumberFormat="1" applyFont="1" applyFill="1" applyBorder="1" applyAlignment="1">
      <alignment horizontal="center" vertical="top"/>
    </xf>
    <xf numFmtId="1" fontId="11" fillId="0" borderId="2" xfId="41" applyNumberFormat="1" applyFont="1" applyFill="1" applyBorder="1" applyAlignment="1">
      <alignment horizontal="center" vertical="top"/>
    </xf>
    <xf numFmtId="173" fontId="7" fillId="6" borderId="1" xfId="41" applyNumberFormat="1" applyFont="1" applyFill="1" applyBorder="1" applyAlignment="1">
      <alignment horizontal="center" vertical="top"/>
    </xf>
    <xf numFmtId="1" fontId="7" fillId="6" borderId="1" xfId="41" applyNumberFormat="1" applyFont="1" applyFill="1" applyBorder="1" applyAlignment="1">
      <alignment horizontal="center" vertical="top"/>
    </xf>
    <xf numFmtId="173" fontId="11" fillId="6" borderId="0" xfId="41" applyNumberFormat="1" applyFont="1" applyFill="1" applyBorder="1" applyAlignment="1">
      <alignment horizontal="center" vertical="top"/>
    </xf>
    <xf numFmtId="1" fontId="11" fillId="6" borderId="0" xfId="41" applyNumberFormat="1" applyFont="1" applyFill="1" applyBorder="1" applyAlignment="1">
      <alignment horizontal="center" vertical="top"/>
    </xf>
    <xf numFmtId="173" fontId="11" fillId="6" borderId="1" xfId="41" applyNumberFormat="1" applyFont="1" applyFill="1" applyBorder="1" applyAlignment="1">
      <alignment horizontal="center" vertical="top"/>
    </xf>
    <xf numFmtId="173" fontId="11" fillId="6" borderId="2" xfId="41" applyNumberFormat="1" applyFont="1" applyFill="1" applyBorder="1" applyAlignment="1">
      <alignment horizontal="center" vertical="top"/>
    </xf>
    <xf numFmtId="1" fontId="11" fillId="6" borderId="1" xfId="41" applyNumberFormat="1" applyFont="1" applyFill="1" applyBorder="1" applyAlignment="1">
      <alignment horizontal="center" vertical="top"/>
    </xf>
    <xf numFmtId="1" fontId="11" fillId="6" borderId="2" xfId="41" applyNumberFormat="1" applyFont="1" applyFill="1" applyBorder="1" applyAlignment="1">
      <alignment horizontal="center" vertical="top"/>
    </xf>
    <xf numFmtId="170" fontId="5" fillId="0" borderId="2" xfId="41" applyNumberFormat="1" applyFont="1" applyFill="1" applyBorder="1" applyAlignment="1">
      <alignment vertical="top"/>
    </xf>
    <xf numFmtId="1" fontId="5" fillId="0" borderId="0" xfId="41" applyNumberFormat="1" applyFont="1" applyFill="1" applyBorder="1" applyAlignment="1">
      <alignment horizontal="center" vertical="top"/>
    </xf>
    <xf numFmtId="1" fontId="5" fillId="0" borderId="2" xfId="41" applyNumberFormat="1" applyFont="1" applyFill="1" applyBorder="1" applyAlignment="1">
      <alignment horizontal="center" vertical="top"/>
    </xf>
    <xf numFmtId="173" fontId="5" fillId="0" borderId="0" xfId="41" applyNumberFormat="1" applyFont="1" applyFill="1" applyBorder="1" applyAlignment="1">
      <alignment horizontal="center" vertical="top"/>
    </xf>
    <xf numFmtId="2" fontId="5" fillId="6" borderId="0" xfId="41" applyNumberFormat="1" applyFont="1" applyFill="1" applyBorder="1" applyAlignment="1">
      <alignment horizontal="center" vertical="top"/>
    </xf>
    <xf numFmtId="173" fontId="5" fillId="6" borderId="0" xfId="41" applyNumberFormat="1" applyFont="1" applyFill="1" applyBorder="1" applyAlignment="1">
      <alignment horizontal="center" vertical="top"/>
    </xf>
    <xf numFmtId="1" fontId="5" fillId="6" borderId="1" xfId="41" applyNumberFormat="1" applyFont="1" applyFill="1" applyBorder="1" applyAlignment="1">
      <alignment horizontal="center" vertical="top"/>
    </xf>
    <xf numFmtId="2" fontId="5" fillId="0" borderId="2" xfId="41" applyNumberFormat="1" applyFont="1" applyFill="1" applyBorder="1" applyAlignment="1">
      <alignment vertical="top"/>
    </xf>
    <xf numFmtId="2" fontId="5" fillId="0" borderId="1" xfId="41" applyNumberFormat="1" applyFont="1" applyFill="1" applyBorder="1" applyAlignment="1">
      <alignment vertical="top"/>
    </xf>
    <xf numFmtId="2" fontId="5" fillId="6" borderId="2" xfId="41" applyNumberFormat="1" applyFont="1" applyFill="1" applyBorder="1" applyAlignment="1">
      <alignment vertical="top"/>
    </xf>
    <xf numFmtId="2" fontId="5" fillId="6" borderId="1" xfId="41" applyNumberFormat="1" applyFont="1" applyFill="1" applyBorder="1" applyAlignment="1">
      <alignment vertical="top"/>
    </xf>
    <xf numFmtId="2" fontId="5" fillId="0" borderId="19" xfId="41" applyNumberFormat="1" applyFont="1" applyFill="1" applyBorder="1" applyAlignment="1">
      <alignment vertical="top"/>
    </xf>
    <xf numFmtId="2" fontId="5" fillId="0" borderId="29" xfId="41" applyNumberFormat="1" applyFont="1" applyFill="1" applyBorder="1" applyAlignment="1">
      <alignment vertical="top"/>
    </xf>
    <xf numFmtId="2" fontId="5" fillId="0" borderId="21" xfId="41" applyNumberFormat="1" applyFont="1" applyFill="1" applyBorder="1" applyAlignment="1">
      <alignment vertical="top"/>
    </xf>
    <xf numFmtId="2" fontId="5" fillId="0" borderId="48" xfId="41" applyNumberFormat="1" applyFont="1" applyFill="1" applyBorder="1" applyAlignment="1">
      <alignment vertical="top"/>
    </xf>
    <xf numFmtId="2" fontId="11" fillId="0" borderId="5" xfId="41" applyNumberFormat="1" applyFont="1" applyFill="1" applyBorder="1" applyAlignment="1">
      <alignment vertical="center"/>
    </xf>
    <xf numFmtId="2" fontId="11" fillId="0" borderId="4" xfId="41" applyNumberFormat="1" applyFont="1" applyFill="1" applyBorder="1" applyAlignment="1">
      <alignment vertical="center"/>
    </xf>
    <xf numFmtId="169" fontId="5" fillId="0" borderId="2" xfId="41" applyFill="1" applyBorder="1" applyAlignment="1">
      <alignment vertical="top"/>
    </xf>
    <xf numFmtId="169" fontId="19" fillId="0" borderId="2" xfId="41" applyFont="1" applyFill="1" applyBorder="1" applyAlignment="1">
      <alignment vertical="center"/>
    </xf>
    <xf numFmtId="170" fontId="19" fillId="0" borderId="2" xfId="41" applyNumberFormat="1" applyFont="1" applyFill="1" applyBorder="1" applyAlignment="1">
      <alignment horizontal="justify" vertical="center"/>
    </xf>
    <xf numFmtId="170" fontId="19" fillId="0" borderId="0" xfId="41" applyNumberFormat="1" applyFont="1" applyFill="1" applyBorder="1" applyAlignment="1">
      <alignment horizontal="justify" vertical="center"/>
    </xf>
    <xf numFmtId="170" fontId="6" fillId="3" borderId="2" xfId="41" applyNumberFormat="1" applyFont="1" applyFill="1" applyBorder="1" applyAlignment="1">
      <alignment vertical="top"/>
    </xf>
    <xf numFmtId="169" fontId="10" fillId="6" borderId="2" xfId="41" applyFont="1" applyFill="1" applyBorder="1" applyAlignment="1">
      <alignment vertical="center"/>
    </xf>
    <xf numFmtId="0" fontId="11" fillId="6" borderId="2" xfId="0" applyFont="1" applyFill="1" applyBorder="1" applyAlignment="1">
      <alignment horizontal="justify" vertical="center" wrapText="1"/>
    </xf>
    <xf numFmtId="170" fontId="10" fillId="6" borderId="0" xfId="41" applyNumberFormat="1" applyFont="1" applyFill="1" applyBorder="1" applyAlignment="1">
      <alignment vertical="center"/>
    </xf>
    <xf numFmtId="0" fontId="0" fillId="6" borderId="2" xfId="0" applyFill="1" applyBorder="1" applyAlignment="1">
      <alignment horizontal="justify" vertical="center" wrapText="1"/>
    </xf>
    <xf numFmtId="0" fontId="0" fillId="6" borderId="69" xfId="0" applyFill="1" applyBorder="1" applyAlignment="1">
      <alignment horizontal="left" vertical="center"/>
    </xf>
    <xf numFmtId="169" fontId="11" fillId="6" borderId="0" xfId="41" applyNumberFormat="1" applyFont="1" applyFill="1" applyBorder="1" applyAlignment="1">
      <alignment horizontal="center" vertical="center"/>
    </xf>
    <xf numFmtId="169" fontId="10" fillId="6" borderId="0" xfId="41" applyFont="1" applyFill="1" applyBorder="1" applyAlignment="1">
      <alignment vertical="center"/>
    </xf>
    <xf numFmtId="169" fontId="19" fillId="0" borderId="6" xfId="41" applyNumberFormat="1" applyFont="1" applyFill="1" applyBorder="1" applyAlignment="1">
      <alignment vertical="center"/>
    </xf>
    <xf numFmtId="169" fontId="11" fillId="0" borderId="6" xfId="0" applyNumberFormat="1" applyFont="1" applyFill="1" applyBorder="1" applyAlignment="1">
      <alignment vertical="center"/>
    </xf>
    <xf numFmtId="169" fontId="11" fillId="0" borderId="19" xfId="0" applyNumberFormat="1" applyFont="1" applyBorder="1" applyAlignment="1">
      <alignment horizontal="left" vertical="center" wrapText="1"/>
    </xf>
    <xf numFmtId="169" fontId="11" fillId="0" borderId="6" xfId="0" applyNumberFormat="1" applyFont="1" applyBorder="1" applyAlignment="1">
      <alignment horizontal="left" vertical="center" wrapText="1"/>
    </xf>
    <xf numFmtId="169" fontId="19" fillId="0" borderId="0" xfId="41" applyNumberFormat="1" applyFont="1" applyFill="1" applyBorder="1" applyAlignment="1">
      <alignment vertical="center"/>
    </xf>
    <xf numFmtId="169" fontId="5" fillId="0" borderId="0" xfId="41" applyFont="1" applyFill="1" applyBorder="1" applyAlignment="1">
      <alignment vertical="center"/>
    </xf>
    <xf numFmtId="0" fontId="0" fillId="0" borderId="20" xfId="0" applyBorder="1" applyAlignment="1">
      <alignment horizontal="center" vertical="top"/>
    </xf>
    <xf numFmtId="0" fontId="0" fillId="0" borderId="20" xfId="0" applyBorder="1">
      <alignment vertical="top"/>
    </xf>
    <xf numFmtId="0" fontId="44" fillId="0" borderId="20" xfId="0" applyFont="1" applyFill="1" applyBorder="1" applyAlignment="1">
      <alignment horizontal="center" vertical="center" wrapText="1"/>
    </xf>
    <xf numFmtId="0" fontId="44" fillId="0" borderId="9" xfId="0" applyFont="1" applyFill="1" applyBorder="1" applyAlignment="1">
      <alignment horizontal="center" vertical="center" wrapText="1"/>
    </xf>
    <xf numFmtId="170" fontId="11" fillId="6" borderId="0" xfId="41" applyNumberFormat="1" applyFont="1" applyFill="1" applyBorder="1" applyAlignment="1">
      <alignment horizontal="center" vertical="top"/>
    </xf>
    <xf numFmtId="169" fontId="11" fillId="6" borderId="0" xfId="41" applyFont="1" applyFill="1" applyBorder="1" applyAlignment="1">
      <alignment horizontal="center" vertical="top"/>
    </xf>
    <xf numFmtId="169" fontId="2" fillId="0" borderId="9" xfId="0" applyNumberFormat="1" applyFont="1" applyFill="1" applyBorder="1" applyAlignment="1">
      <alignment horizontal="justify" vertical="center" wrapText="1"/>
    </xf>
    <xf numFmtId="169" fontId="2" fillId="2" borderId="2" xfId="0" applyNumberFormat="1" applyFont="1" applyFill="1" applyBorder="1" applyAlignment="1">
      <alignment vertical="top"/>
    </xf>
    <xf numFmtId="169" fontId="2" fillId="0" borderId="2" xfId="0" applyNumberFormat="1" applyFont="1" applyFill="1" applyBorder="1" applyAlignment="1">
      <alignment vertical="top"/>
    </xf>
    <xf numFmtId="170" fontId="11" fillId="2" borderId="5" xfId="41" applyNumberFormat="1" applyFont="1" applyFill="1" applyBorder="1" applyAlignment="1">
      <alignment vertical="center"/>
    </xf>
    <xf numFmtId="170" fontId="10" fillId="2" borderId="4" xfId="41" applyNumberFormat="1" applyFont="1" applyFill="1" applyBorder="1" applyAlignment="1">
      <alignment vertical="center"/>
    </xf>
    <xf numFmtId="170" fontId="6" fillId="6" borderId="9" xfId="41" applyNumberFormat="1" applyFont="1" applyFill="1" applyBorder="1" applyAlignment="1">
      <alignment vertical="top"/>
    </xf>
    <xf numFmtId="170" fontId="5" fillId="6" borderId="21" xfId="41" applyNumberFormat="1" applyFont="1" applyFill="1" applyBorder="1" applyAlignment="1">
      <alignment horizontal="justify" vertical="top"/>
    </xf>
    <xf numFmtId="169" fontId="11" fillId="6" borderId="21" xfId="41" applyNumberFormat="1" applyFont="1" applyFill="1" applyBorder="1" applyAlignment="1">
      <alignment horizontal="center" vertical="top"/>
    </xf>
    <xf numFmtId="169" fontId="11" fillId="6" borderId="9" xfId="41" applyNumberFormat="1" applyFont="1" applyFill="1" applyBorder="1" applyAlignment="1">
      <alignment horizontal="center" vertical="top"/>
    </xf>
    <xf numFmtId="169" fontId="11" fillId="6" borderId="48" xfId="41" applyNumberFormat="1" applyFont="1" applyFill="1" applyBorder="1" applyAlignment="1">
      <alignment horizontal="center" vertical="top"/>
    </xf>
    <xf numFmtId="169" fontId="7" fillId="6" borderId="48" xfId="41" applyNumberFormat="1" applyFont="1" applyFill="1" applyBorder="1" applyAlignment="1">
      <alignment horizontal="center" vertical="top"/>
    </xf>
    <xf numFmtId="170" fontId="6" fillId="6" borderId="75" xfId="41" applyNumberFormat="1" applyFont="1" applyFill="1" applyBorder="1" applyAlignment="1">
      <alignment vertical="top"/>
    </xf>
    <xf numFmtId="170" fontId="5" fillId="0" borderId="76" xfId="41" applyNumberFormat="1" applyFont="1" applyFill="1" applyBorder="1" applyAlignment="1">
      <alignment vertical="top"/>
    </xf>
    <xf numFmtId="169" fontId="6" fillId="0" borderId="75" xfId="41" applyFont="1" applyFill="1" applyBorder="1" applyAlignment="1">
      <alignment vertical="top"/>
    </xf>
    <xf numFmtId="169" fontId="6" fillId="0" borderId="77" xfId="41" applyFont="1" applyFill="1" applyBorder="1" applyAlignment="1">
      <alignment vertical="top"/>
    </xf>
    <xf numFmtId="170" fontId="5" fillId="0" borderId="75" xfId="41" applyNumberFormat="1" applyFont="1" applyFill="1" applyBorder="1" applyAlignment="1">
      <alignment horizontal="justify" vertical="top"/>
    </xf>
    <xf numFmtId="170" fontId="5" fillId="0" borderId="76" xfId="41" applyNumberFormat="1" applyFont="1" applyFill="1" applyBorder="1" applyAlignment="1">
      <alignment horizontal="justify" vertical="top"/>
    </xf>
    <xf numFmtId="170" fontId="5" fillId="0" borderId="77" xfId="41" applyNumberFormat="1" applyFont="1" applyFill="1" applyBorder="1" applyAlignment="1">
      <alignment horizontal="justify" vertical="top"/>
    </xf>
    <xf numFmtId="169" fontId="11" fillId="0" borderId="75" xfId="41" applyNumberFormat="1" applyFont="1" applyFill="1" applyBorder="1" applyAlignment="1">
      <alignment horizontal="center" vertical="top"/>
    </xf>
    <xf numFmtId="169" fontId="11" fillId="0" borderId="76" xfId="41" applyNumberFormat="1" applyFont="1" applyFill="1" applyBorder="1" applyAlignment="1">
      <alignment horizontal="center" vertical="top"/>
    </xf>
    <xf numFmtId="169" fontId="11" fillId="0" borderId="77" xfId="41" applyNumberFormat="1" applyFont="1" applyFill="1" applyBorder="1" applyAlignment="1">
      <alignment horizontal="center" vertical="top"/>
    </xf>
    <xf numFmtId="169" fontId="5" fillId="0" borderId="76" xfId="41" applyFont="1" applyFill="1" applyBorder="1" applyAlignment="1">
      <alignment vertical="top"/>
    </xf>
    <xf numFmtId="169" fontId="5" fillId="0" borderId="75" xfId="41" applyFont="1" applyFill="1" applyBorder="1" applyAlignment="1">
      <alignment vertical="top"/>
    </xf>
    <xf numFmtId="169" fontId="5" fillId="0" borderId="77" xfId="41" applyFont="1" applyFill="1" applyBorder="1" applyAlignment="1">
      <alignment vertical="top"/>
    </xf>
    <xf numFmtId="170" fontId="10" fillId="0" borderId="0" xfId="41" applyNumberFormat="1" applyFont="1" applyFill="1" applyBorder="1" applyAlignment="1">
      <alignment horizontal="justify" vertical="center"/>
    </xf>
    <xf numFmtId="169" fontId="7" fillId="6" borderId="33" xfId="41" applyNumberFormat="1" applyFont="1" applyFill="1" applyBorder="1" applyAlignment="1">
      <alignment horizontal="center" vertical="top"/>
    </xf>
    <xf numFmtId="169" fontId="11" fillId="0" borderId="5" xfId="41" applyFont="1" applyFill="1" applyBorder="1" applyAlignment="1">
      <alignment vertical="center"/>
    </xf>
    <xf numFmtId="169" fontId="5" fillId="0" borderId="19" xfId="41" applyFont="1" applyFill="1" applyBorder="1" applyAlignment="1">
      <alignment vertical="top"/>
    </xf>
    <xf numFmtId="169" fontId="5" fillId="0" borderId="29" xfId="41" applyFont="1" applyFill="1" applyBorder="1" applyAlignment="1">
      <alignment vertical="top"/>
    </xf>
    <xf numFmtId="169" fontId="11" fillId="6" borderId="19" xfId="41" applyNumberFormat="1" applyFont="1" applyFill="1" applyBorder="1" applyAlignment="1">
      <alignment horizontal="center" vertical="top"/>
    </xf>
    <xf numFmtId="169" fontId="11" fillId="6" borderId="29" xfId="41" applyNumberFormat="1" applyFont="1" applyFill="1" applyBorder="1" applyAlignment="1">
      <alignment horizontal="center" vertical="top"/>
    </xf>
    <xf numFmtId="0" fontId="6" fillId="0" borderId="29" xfId="0" applyFont="1" applyFill="1" applyBorder="1">
      <alignment vertical="top"/>
    </xf>
    <xf numFmtId="170" fontId="6" fillId="8" borderId="2" xfId="41" applyNumberFormat="1" applyFont="1" applyFill="1" applyBorder="1" applyAlignment="1">
      <alignment vertical="center"/>
    </xf>
    <xf numFmtId="170" fontId="6" fillId="16" borderId="2" xfId="41" applyNumberFormat="1" applyFont="1" applyFill="1" applyBorder="1" applyAlignment="1">
      <alignment vertical="center"/>
    </xf>
    <xf numFmtId="170" fontId="6" fillId="8" borderId="0" xfId="41" applyNumberFormat="1" applyFont="1" applyFill="1" applyBorder="1" applyAlignment="1">
      <alignment vertical="center"/>
    </xf>
    <xf numFmtId="0" fontId="2" fillId="8" borderId="2" xfId="0" applyFont="1" applyFill="1" applyBorder="1" applyAlignment="1">
      <alignment horizontal="center" vertical="center" wrapText="1"/>
    </xf>
    <xf numFmtId="0" fontId="2" fillId="8" borderId="0" xfId="0" applyFont="1" applyFill="1" applyBorder="1" applyAlignment="1">
      <alignment horizontal="center" vertical="center" wrapText="1"/>
    </xf>
    <xf numFmtId="170" fontId="6" fillId="3" borderId="2" xfId="41" applyNumberFormat="1" applyFont="1" applyFill="1" applyBorder="1" applyAlignment="1">
      <alignment vertical="center"/>
    </xf>
    <xf numFmtId="170" fontId="6" fillId="3" borderId="0" xfId="41" applyNumberFormat="1" applyFont="1" applyFill="1" applyBorder="1" applyAlignment="1">
      <alignment vertical="center"/>
    </xf>
    <xf numFmtId="170" fontId="5" fillId="3" borderId="1" xfId="41" applyNumberFormat="1" applyFont="1" applyFill="1" applyBorder="1" applyAlignment="1">
      <alignment horizontal="justify" vertical="top"/>
    </xf>
    <xf numFmtId="0" fontId="2" fillId="3" borderId="2" xfId="0" applyFont="1" applyFill="1" applyBorder="1" applyAlignment="1">
      <alignment horizontal="center" vertical="center" wrapText="1"/>
    </xf>
    <xf numFmtId="0" fontId="2" fillId="3" borderId="0" xfId="0" applyFont="1" applyFill="1" applyBorder="1" applyAlignment="1">
      <alignment horizontal="center" vertical="center" wrapText="1"/>
    </xf>
    <xf numFmtId="170" fontId="6" fillId="16" borderId="0" xfId="41" applyNumberFormat="1" applyFont="1" applyFill="1" applyBorder="1" applyAlignment="1">
      <alignment vertical="center"/>
    </xf>
    <xf numFmtId="170" fontId="5" fillId="16" borderId="1" xfId="41" applyNumberFormat="1" applyFont="1" applyFill="1" applyBorder="1" applyAlignment="1">
      <alignment horizontal="justify" vertical="top"/>
    </xf>
    <xf numFmtId="0" fontId="2" fillId="16" borderId="2" xfId="0" applyFont="1" applyFill="1" applyBorder="1" applyAlignment="1">
      <alignment horizontal="center" vertical="center" wrapText="1"/>
    </xf>
    <xf numFmtId="0" fontId="2" fillId="16" borderId="0" xfId="0" applyFont="1" applyFill="1" applyBorder="1" applyAlignment="1">
      <alignment horizontal="center" vertical="center" wrapText="1"/>
    </xf>
    <xf numFmtId="170" fontId="39" fillId="6" borderId="51" xfId="41" applyNumberFormat="1" applyFont="1" applyFill="1" applyBorder="1" applyAlignment="1">
      <alignment vertical="top"/>
    </xf>
    <xf numFmtId="170" fontId="7" fillId="6" borderId="52" xfId="41" applyNumberFormat="1" applyFont="1" applyFill="1" applyBorder="1" applyAlignment="1">
      <alignment vertical="top"/>
    </xf>
    <xf numFmtId="0" fontId="7" fillId="0" borderId="2" xfId="0" applyFont="1" applyFill="1" applyBorder="1">
      <alignment vertical="top"/>
    </xf>
    <xf numFmtId="0" fontId="7" fillId="0" borderId="1" xfId="0" applyFont="1" applyFill="1" applyBorder="1">
      <alignment vertical="top"/>
    </xf>
    <xf numFmtId="170" fontId="7" fillId="6" borderId="51" xfId="41" applyNumberFormat="1" applyFont="1" applyFill="1" applyBorder="1" applyAlignment="1">
      <alignment horizontal="justify" vertical="top"/>
    </xf>
    <xf numFmtId="170" fontId="7" fillId="6" borderId="52" xfId="41" applyNumberFormat="1" applyFont="1" applyFill="1" applyBorder="1" applyAlignment="1">
      <alignment horizontal="justify" vertical="top"/>
    </xf>
    <xf numFmtId="169" fontId="7" fillId="6" borderId="51" xfId="41" applyNumberFormat="1" applyFont="1" applyFill="1" applyBorder="1" applyAlignment="1">
      <alignment horizontal="center" vertical="top"/>
    </xf>
    <xf numFmtId="169" fontId="7" fillId="6" borderId="52" xfId="41" applyNumberFormat="1" applyFont="1" applyFill="1" applyBorder="1" applyAlignment="1">
      <alignment horizontal="center" vertical="top"/>
    </xf>
    <xf numFmtId="169" fontId="7" fillId="6" borderId="52" xfId="41" applyFont="1" applyFill="1" applyBorder="1" applyAlignment="1">
      <alignment vertical="top"/>
    </xf>
    <xf numFmtId="170" fontId="39" fillId="6" borderId="0" xfId="41" applyNumberFormat="1" applyFont="1" applyFill="1" applyBorder="1" applyAlignment="1">
      <alignment vertical="top"/>
    </xf>
    <xf numFmtId="0" fontId="39" fillId="0" borderId="2" xfId="0" applyFont="1" applyFill="1" applyBorder="1">
      <alignment vertical="top"/>
    </xf>
    <xf numFmtId="0" fontId="39" fillId="0" borderId="1" xfId="0" applyFont="1" applyFill="1" applyBorder="1">
      <alignment vertical="top"/>
    </xf>
    <xf numFmtId="170" fontId="7" fillId="0" borderId="0" xfId="41" applyNumberFormat="1" applyFont="1" applyFill="1" applyBorder="1" applyAlignment="1">
      <alignment horizontal="justify" vertical="top"/>
    </xf>
    <xf numFmtId="169" fontId="7" fillId="0" borderId="2" xfId="41" applyNumberFormat="1" applyFont="1" applyFill="1" applyBorder="1" applyAlignment="1">
      <alignment horizontal="center" vertical="top"/>
    </xf>
    <xf numFmtId="169" fontId="7" fillId="0" borderId="0" xfId="41" applyNumberFormat="1" applyFont="1" applyFill="1" applyBorder="1" applyAlignment="1">
      <alignment horizontal="center" vertical="top"/>
    </xf>
    <xf numFmtId="169" fontId="7" fillId="0" borderId="0" xfId="41" applyFont="1" applyFill="1" applyBorder="1" applyAlignment="1">
      <alignment vertical="top"/>
    </xf>
    <xf numFmtId="169" fontId="5" fillId="15" borderId="1" xfId="41" applyFont="1" applyFill="1" applyBorder="1" applyAlignment="1">
      <alignment vertical="top"/>
    </xf>
    <xf numFmtId="0" fontId="39" fillId="15" borderId="1" xfId="0" applyFont="1" applyFill="1" applyBorder="1">
      <alignment vertical="top"/>
    </xf>
    <xf numFmtId="169" fontId="6" fillId="8" borderId="1" xfId="41" applyFont="1" applyFill="1" applyBorder="1" applyAlignment="1">
      <alignment vertical="top"/>
    </xf>
    <xf numFmtId="169" fontId="5" fillId="8" borderId="1" xfId="41" applyFont="1" applyFill="1" applyBorder="1" applyAlignment="1">
      <alignment vertical="top"/>
    </xf>
    <xf numFmtId="0" fontId="39" fillId="8" borderId="1" xfId="0" applyFont="1" applyFill="1" applyBorder="1">
      <alignment vertical="top"/>
    </xf>
    <xf numFmtId="169" fontId="6" fillId="3" borderId="1" xfId="41" applyFont="1" applyFill="1" applyBorder="1" applyAlignment="1">
      <alignment vertical="top"/>
    </xf>
    <xf numFmtId="0" fontId="11" fillId="3" borderId="1" xfId="0" applyFont="1" applyFill="1" applyBorder="1">
      <alignment vertical="top"/>
    </xf>
    <xf numFmtId="169" fontId="5" fillId="3" borderId="1" xfId="41" applyFont="1" applyFill="1" applyBorder="1" applyAlignment="1">
      <alignment vertical="top"/>
    </xf>
    <xf numFmtId="174" fontId="6" fillId="3" borderId="1" xfId="0" applyNumberFormat="1" applyFont="1" applyFill="1" applyBorder="1" applyAlignment="1">
      <alignment horizontal="justify" vertical="top"/>
    </xf>
    <xf numFmtId="0" fontId="39" fillId="3" borderId="1" xfId="0" applyFont="1" applyFill="1" applyBorder="1">
      <alignment vertical="top"/>
    </xf>
    <xf numFmtId="169" fontId="5" fillId="16" borderId="1" xfId="41" applyFont="1" applyFill="1" applyBorder="1" applyAlignment="1">
      <alignment vertical="top"/>
    </xf>
    <xf numFmtId="0" fontId="11" fillId="16" borderId="1" xfId="0" applyFont="1" applyFill="1" applyBorder="1">
      <alignment vertical="top"/>
    </xf>
    <xf numFmtId="174" fontId="6" fillId="16" borderId="1" xfId="0" applyNumberFormat="1" applyFont="1" applyFill="1" applyBorder="1" applyAlignment="1">
      <alignment horizontal="justify" vertical="top"/>
    </xf>
    <xf numFmtId="169" fontId="5" fillId="0" borderId="9" xfId="41" applyNumberFormat="1" applyFont="1" applyFill="1" applyBorder="1" applyAlignment="1">
      <alignment horizontal="center" vertical="top"/>
    </xf>
    <xf numFmtId="170" fontId="5" fillId="0" borderId="76" xfId="41" applyNumberFormat="1" applyFont="1" applyFill="1" applyBorder="1" applyAlignment="1">
      <alignment horizontal="left" vertical="top"/>
    </xf>
    <xf numFmtId="170" fontId="5" fillId="0" borderId="77" xfId="41" applyNumberFormat="1" applyFont="1" applyFill="1" applyBorder="1" applyAlignment="1">
      <alignment horizontal="left" vertical="top"/>
    </xf>
    <xf numFmtId="170" fontId="7" fillId="0" borderId="0" xfId="41" applyNumberFormat="1" applyFont="1" applyFill="1" applyBorder="1" applyAlignment="1">
      <alignment horizontal="left" vertical="top"/>
    </xf>
    <xf numFmtId="170" fontId="5" fillId="0" borderId="9" xfId="41" applyNumberFormat="1" applyFont="1" applyFill="1" applyBorder="1" applyAlignment="1">
      <alignment horizontal="left" vertical="top"/>
    </xf>
    <xf numFmtId="169" fontId="5" fillId="0" borderId="21" xfId="41" applyNumberFormat="1" applyFont="1" applyFill="1" applyBorder="1" applyAlignment="1">
      <alignment horizontal="center" vertical="top"/>
    </xf>
    <xf numFmtId="169" fontId="5" fillId="0" borderId="48" xfId="41" applyNumberFormat="1" applyFont="1" applyFill="1" applyBorder="1" applyAlignment="1">
      <alignment horizontal="center" vertical="top"/>
    </xf>
    <xf numFmtId="169" fontId="6" fillId="18" borderId="1" xfId="41" applyFont="1" applyFill="1" applyBorder="1" applyAlignment="1">
      <alignment vertical="top"/>
    </xf>
    <xf numFmtId="0" fontId="2" fillId="0" borderId="0" xfId="0" applyFont="1" applyBorder="1" applyAlignment="1">
      <alignment horizontal="center" vertical="top"/>
    </xf>
    <xf numFmtId="2" fontId="2" fillId="0" borderId="0" xfId="0" applyNumberFormat="1" applyFont="1" applyFill="1" applyBorder="1" applyAlignment="1">
      <alignment horizontal="center" vertical="top" wrapText="1"/>
    </xf>
    <xf numFmtId="0" fontId="2" fillId="0" borderId="0" xfId="0" applyFont="1" applyAlignment="1">
      <alignment horizontal="justify" vertical="center" wrapText="1"/>
    </xf>
    <xf numFmtId="169" fontId="2" fillId="6" borderId="0" xfId="0" applyNumberFormat="1"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0" borderId="2" xfId="13" applyFont="1" applyFill="1" applyBorder="1" applyAlignment="1">
      <alignment horizontal="left" vertical="center" wrapText="1"/>
    </xf>
    <xf numFmtId="0" fontId="41" fillId="0" borderId="0" xfId="0" applyFont="1" applyFill="1" applyBorder="1" applyAlignment="1">
      <alignment horizontal="left" vertical="top" wrapText="1"/>
    </xf>
    <xf numFmtId="0" fontId="0" fillId="0" borderId="3" xfId="0" applyBorder="1">
      <alignment vertical="top"/>
    </xf>
    <xf numFmtId="0" fontId="0" fillId="0" borderId="6" xfId="0" applyFill="1" applyBorder="1">
      <alignment vertical="top"/>
    </xf>
    <xf numFmtId="0" fontId="0" fillId="0" borderId="6" xfId="0" applyFill="1" applyBorder="1" applyAlignment="1">
      <alignment horizontal="center" vertical="top"/>
    </xf>
    <xf numFmtId="0" fontId="2" fillId="0" borderId="0" xfId="0" applyFont="1" applyAlignment="1">
      <alignment horizontal="center" vertical="top"/>
    </xf>
    <xf numFmtId="0" fontId="42" fillId="0" borderId="0" xfId="0" applyFont="1" applyBorder="1" applyAlignment="1">
      <alignment horizontal="left" vertical="top" wrapText="1"/>
    </xf>
    <xf numFmtId="0" fontId="41" fillId="0" borderId="0" xfId="0" applyFont="1" applyBorder="1" applyAlignment="1">
      <alignment horizontal="left" vertical="top" wrapText="1"/>
    </xf>
    <xf numFmtId="0" fontId="41" fillId="0" borderId="0" xfId="0" applyFont="1" applyBorder="1" applyAlignment="1">
      <alignment horizontal="justify" vertical="top" wrapText="1"/>
    </xf>
    <xf numFmtId="0" fontId="41" fillId="6" borderId="0" xfId="0" applyFont="1" applyFill="1" applyBorder="1" applyAlignment="1">
      <alignment horizontal="left" vertical="top" wrapText="1"/>
    </xf>
    <xf numFmtId="0" fontId="42" fillId="0" borderId="0" xfId="0" applyFont="1" applyBorder="1" applyAlignment="1">
      <alignment horizontal="left" vertical="top"/>
    </xf>
    <xf numFmtId="169" fontId="41" fillId="0" borderId="0" xfId="0" applyNumberFormat="1" applyFont="1" applyBorder="1" applyAlignment="1">
      <alignment horizontal="left" vertical="top" wrapText="1"/>
    </xf>
    <xf numFmtId="172" fontId="0" fillId="0" borderId="0" xfId="0" applyNumberFormat="1" applyBorder="1">
      <alignment vertical="top"/>
    </xf>
    <xf numFmtId="0" fontId="0" fillId="0" borderId="2" xfId="0" applyBorder="1">
      <alignment vertical="top"/>
    </xf>
    <xf numFmtId="0" fontId="41" fillId="0" borderId="11" xfId="0" applyFont="1" applyBorder="1" applyAlignment="1">
      <alignment horizontal="left" vertical="top" wrapText="1"/>
    </xf>
    <xf numFmtId="0" fontId="41" fillId="0" borderId="11" xfId="0" applyFont="1" applyBorder="1" applyAlignment="1">
      <alignment horizontal="justify" vertical="top" wrapText="1"/>
    </xf>
    <xf numFmtId="0" fontId="0" fillId="0" borderId="11" xfId="0" applyBorder="1" applyAlignment="1">
      <alignment horizontal="center" vertical="top"/>
    </xf>
    <xf numFmtId="0" fontId="0" fillId="0" borderId="57" xfId="0" applyBorder="1" applyAlignment="1">
      <alignment horizontal="center" vertical="top"/>
    </xf>
    <xf numFmtId="0" fontId="0" fillId="0" borderId="60" xfId="0" applyFill="1" applyBorder="1" applyAlignment="1">
      <alignment horizontal="center" vertical="top"/>
    </xf>
    <xf numFmtId="0" fontId="20" fillId="6" borderId="11" xfId="0" applyFont="1" applyFill="1" applyBorder="1">
      <alignment vertical="top"/>
    </xf>
    <xf numFmtId="0" fontId="2" fillId="0" borderId="1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0" fillId="0" borderId="13" xfId="0" applyBorder="1" applyAlignment="1">
      <alignment horizontal="center" vertical="top"/>
    </xf>
    <xf numFmtId="0" fontId="2" fillId="0" borderId="13" xfId="0" applyFont="1" applyBorder="1" applyAlignment="1">
      <alignment horizontal="center" vertical="top"/>
    </xf>
    <xf numFmtId="0" fontId="2" fillId="0" borderId="11" xfId="0" applyFont="1" applyBorder="1" applyAlignment="1">
      <alignment horizontal="center" vertical="top"/>
    </xf>
    <xf numFmtId="0" fontId="2" fillId="0" borderId="17"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18" xfId="0" applyFont="1" applyFill="1" applyBorder="1" applyAlignment="1">
      <alignment horizontal="center" vertical="center" wrapText="1"/>
    </xf>
    <xf numFmtId="169" fontId="41" fillId="0" borderId="15" xfId="0" applyNumberFormat="1" applyFont="1" applyBorder="1" applyAlignment="1">
      <alignment horizontal="justify" vertical="top" wrapText="1"/>
    </xf>
    <xf numFmtId="169" fontId="41" fillId="0" borderId="16" xfId="0" applyNumberFormat="1" applyFont="1" applyBorder="1" applyAlignment="1">
      <alignment horizontal="justify" vertical="top" wrapText="1"/>
    </xf>
    <xf numFmtId="169" fontId="0" fillId="0" borderId="15" xfId="0" applyNumberFormat="1" applyBorder="1">
      <alignment vertical="top"/>
    </xf>
    <xf numFmtId="169" fontId="41" fillId="0" borderId="15" xfId="0" applyNumberFormat="1" applyFont="1" applyFill="1" applyBorder="1" applyAlignment="1">
      <alignment horizontal="left" vertical="top" wrapText="1"/>
    </xf>
    <xf numFmtId="169" fontId="0" fillId="0" borderId="16" xfId="0" applyNumberFormat="1" applyBorder="1" applyAlignment="1">
      <alignment horizontal="center" vertical="top"/>
    </xf>
    <xf numFmtId="169" fontId="2" fillId="0" borderId="14" xfId="0" applyNumberFormat="1" applyFont="1" applyBorder="1" applyAlignment="1">
      <alignment horizontal="center" vertical="top"/>
    </xf>
    <xf numFmtId="169" fontId="2" fillId="0" borderId="15" xfId="0" applyNumberFormat="1" applyFont="1" applyBorder="1" applyAlignment="1">
      <alignment horizontal="center" vertical="top"/>
    </xf>
    <xf numFmtId="169" fontId="2" fillId="0" borderId="16" xfId="0" applyNumberFormat="1" applyFont="1" applyBorder="1" applyAlignment="1">
      <alignment horizontal="center" vertical="top"/>
    </xf>
    <xf numFmtId="175" fontId="41" fillId="0" borderId="0" xfId="0" applyNumberFormat="1" applyFont="1" applyBorder="1" applyAlignment="1">
      <alignment horizontal="left" vertical="top" wrapText="1"/>
    </xf>
    <xf numFmtId="0" fontId="2" fillId="6" borderId="3" xfId="0" applyFont="1" applyFill="1" applyBorder="1" applyAlignment="1">
      <alignment horizontal="left" vertical="top" wrapText="1"/>
    </xf>
    <xf numFmtId="0" fontId="2" fillId="6" borderId="57" xfId="0" applyFont="1" applyFill="1" applyBorder="1" applyAlignment="1">
      <alignment horizontal="left" vertical="top" wrapText="1"/>
    </xf>
    <xf numFmtId="0" fontId="0" fillId="6" borderId="3" xfId="0" applyFill="1" applyBorder="1">
      <alignment vertical="top"/>
    </xf>
    <xf numFmtId="0" fontId="41" fillId="6" borderId="3" xfId="0" applyFont="1" applyFill="1" applyBorder="1" applyAlignment="1">
      <alignment horizontal="left" vertical="top" wrapText="1"/>
    </xf>
    <xf numFmtId="0" fontId="0" fillId="6" borderId="57" xfId="0" applyFill="1" applyBorder="1" applyAlignment="1">
      <alignment horizontal="center" vertical="top"/>
    </xf>
    <xf numFmtId="0" fontId="0" fillId="0" borderId="5" xfId="0" applyBorder="1">
      <alignment vertical="top"/>
    </xf>
    <xf numFmtId="0" fontId="0" fillId="0" borderId="41" xfId="0" applyBorder="1" applyAlignment="1">
      <alignment horizontal="center" vertical="top"/>
    </xf>
    <xf numFmtId="170" fontId="7" fillId="0" borderId="2" xfId="41" applyNumberFormat="1" applyFont="1" applyFill="1" applyBorder="1" applyAlignment="1">
      <alignment horizontal="left" vertical="top"/>
    </xf>
    <xf numFmtId="170" fontId="6" fillId="2" borderId="3" xfId="41" applyNumberFormat="1" applyFont="1" applyFill="1" applyBorder="1" applyAlignment="1">
      <alignment horizontal="justify" vertical="center"/>
    </xf>
    <xf numFmtId="169" fontId="6" fillId="16" borderId="1" xfId="41" applyFont="1" applyFill="1" applyBorder="1" applyAlignment="1">
      <alignment vertical="top"/>
    </xf>
    <xf numFmtId="170" fontId="5" fillId="0" borderId="15" xfId="41" applyNumberFormat="1" applyFont="1" applyFill="1" applyBorder="1" applyAlignment="1">
      <alignment vertical="top"/>
    </xf>
    <xf numFmtId="169" fontId="6" fillId="0" borderId="28" xfId="41" applyFont="1" applyFill="1" applyBorder="1" applyAlignment="1">
      <alignment vertical="top"/>
    </xf>
    <xf numFmtId="169" fontId="6" fillId="0" borderId="26" xfId="41" applyFont="1" applyFill="1" applyBorder="1" applyAlignment="1">
      <alignment vertical="top"/>
    </xf>
    <xf numFmtId="170" fontId="5" fillId="0" borderId="28" xfId="41" applyNumberFormat="1" applyFont="1" applyFill="1" applyBorder="1" applyAlignment="1">
      <alignment horizontal="justify" vertical="top"/>
    </xf>
    <xf numFmtId="170" fontId="5" fillId="0" borderId="15" xfId="41" applyNumberFormat="1" applyFont="1" applyFill="1" applyBorder="1" applyAlignment="1">
      <alignment horizontal="justify" vertical="top"/>
    </xf>
    <xf numFmtId="169" fontId="11" fillId="0" borderId="28" xfId="41" applyNumberFormat="1" applyFont="1" applyFill="1" applyBorder="1" applyAlignment="1">
      <alignment horizontal="center" vertical="top"/>
    </xf>
    <xf numFmtId="169" fontId="11" fillId="0" borderId="15" xfId="41" applyNumberFormat="1" applyFont="1" applyFill="1" applyBorder="1" applyAlignment="1">
      <alignment horizontal="center" vertical="top"/>
    </xf>
    <xf numFmtId="169" fontId="5" fillId="0" borderId="15" xfId="41" applyFont="1" applyFill="1" applyBorder="1" applyAlignment="1">
      <alignment vertical="top"/>
    </xf>
    <xf numFmtId="170" fontId="5" fillId="0" borderId="0" xfId="41" quotePrefix="1" applyNumberFormat="1" applyBorder="1" applyAlignment="1">
      <alignment horizontal="justify" vertical="top"/>
    </xf>
    <xf numFmtId="170" fontId="7" fillId="3" borderId="20" xfId="41" applyNumberFormat="1" applyFont="1" applyFill="1" applyBorder="1" applyAlignment="1">
      <alignment horizontal="center" vertical="top"/>
    </xf>
    <xf numFmtId="0" fontId="2" fillId="2" borderId="41" xfId="0" applyFont="1" applyFill="1" applyBorder="1" applyAlignment="1">
      <alignment horizontal="center" vertical="center" wrapText="1"/>
    </xf>
    <xf numFmtId="0" fontId="2" fillId="2" borderId="57" xfId="0" applyFont="1" applyFill="1" applyBorder="1" applyAlignment="1">
      <alignment horizontal="center" vertical="center" wrapText="1"/>
    </xf>
    <xf numFmtId="169" fontId="7" fillId="6" borderId="78" xfId="41" applyNumberFormat="1" applyFont="1" applyFill="1" applyBorder="1" applyAlignment="1">
      <alignment horizontal="center" vertical="top"/>
    </xf>
    <xf numFmtId="169" fontId="7" fillId="6" borderId="79" xfId="41" applyNumberFormat="1" applyFont="1" applyFill="1" applyBorder="1" applyAlignment="1">
      <alignment horizontal="center" vertical="top"/>
    </xf>
    <xf numFmtId="169" fontId="5" fillId="0" borderId="13" xfId="41" applyNumberFormat="1" applyFont="1" applyFill="1" applyBorder="1" applyAlignment="1">
      <alignment horizontal="center" vertical="top"/>
    </xf>
    <xf numFmtId="169" fontId="5" fillId="0" borderId="11" xfId="41" applyNumberFormat="1" applyFont="1" applyFill="1" applyBorder="1" applyAlignment="1">
      <alignment horizontal="center" vertical="top"/>
    </xf>
    <xf numFmtId="169" fontId="11" fillId="0" borderId="13" xfId="41" applyNumberFormat="1" applyFont="1" applyFill="1" applyBorder="1" applyAlignment="1">
      <alignment horizontal="center" vertical="top"/>
    </xf>
    <xf numFmtId="169" fontId="11" fillId="0" borderId="11" xfId="41" applyNumberFormat="1" applyFont="1" applyFill="1" applyBorder="1" applyAlignment="1">
      <alignment horizontal="center" vertical="top"/>
    </xf>
    <xf numFmtId="169" fontId="11" fillId="6" borderId="13" xfId="41" applyNumberFormat="1" applyFont="1" applyFill="1" applyBorder="1" applyAlignment="1">
      <alignment horizontal="center" vertical="top"/>
    </xf>
    <xf numFmtId="169" fontId="11" fillId="6" borderId="11" xfId="41" applyNumberFormat="1" applyFont="1" applyFill="1" applyBorder="1" applyAlignment="1">
      <alignment horizontal="center" vertical="top"/>
    </xf>
    <xf numFmtId="169" fontId="11" fillId="0" borderId="12" xfId="41" applyNumberFormat="1" applyFont="1" applyFill="1" applyBorder="1" applyAlignment="1">
      <alignment horizontal="center" vertical="top"/>
    </xf>
    <xf numFmtId="169" fontId="11" fillId="0" borderId="10" xfId="41" applyNumberFormat="1" applyFont="1" applyFill="1" applyBorder="1" applyAlignment="1">
      <alignment horizontal="center" vertical="top"/>
    </xf>
    <xf numFmtId="169" fontId="11" fillId="0" borderId="80" xfId="41" applyNumberFormat="1" applyFont="1" applyFill="1" applyBorder="1" applyAlignment="1">
      <alignment horizontal="center" vertical="top"/>
    </xf>
    <xf numFmtId="169" fontId="11" fillId="0" borderId="81" xfId="41" applyNumberFormat="1" applyFont="1" applyFill="1" applyBorder="1" applyAlignment="1">
      <alignment horizontal="center" vertical="top"/>
    </xf>
    <xf numFmtId="169" fontId="7" fillId="0" borderId="13" xfId="41" applyNumberFormat="1" applyFont="1" applyFill="1" applyBorder="1" applyAlignment="1">
      <alignment horizontal="center" vertical="top"/>
    </xf>
    <xf numFmtId="169" fontId="7" fillId="0" borderId="11" xfId="41" applyNumberFormat="1" applyFont="1" applyFill="1" applyBorder="1" applyAlignment="1">
      <alignment horizontal="center" vertical="top"/>
    </xf>
    <xf numFmtId="169" fontId="5" fillId="0" borderId="12" xfId="41" applyNumberFormat="1" applyFont="1" applyFill="1" applyBorder="1" applyAlignment="1">
      <alignment horizontal="center" vertical="top"/>
    </xf>
    <xf numFmtId="169" fontId="5" fillId="0" borderId="10" xfId="41" applyNumberFormat="1" applyFont="1" applyFill="1" applyBorder="1" applyAlignment="1">
      <alignment horizontal="center" vertical="top"/>
    </xf>
    <xf numFmtId="169" fontId="11" fillId="0" borderId="14" xfId="41" applyNumberFormat="1" applyFont="1" applyFill="1" applyBorder="1" applyAlignment="1">
      <alignment horizontal="center" vertical="top"/>
    </xf>
    <xf numFmtId="169" fontId="11" fillId="6" borderId="34" xfId="41" applyNumberFormat="1" applyFont="1" applyFill="1" applyBorder="1" applyAlignment="1">
      <alignment horizontal="center" vertical="top"/>
    </xf>
    <xf numFmtId="169" fontId="11" fillId="6" borderId="60" xfId="41" applyNumberFormat="1" applyFont="1" applyFill="1" applyBorder="1" applyAlignment="1">
      <alignment horizontal="center" vertical="top"/>
    </xf>
    <xf numFmtId="169" fontId="11" fillId="6" borderId="12" xfId="41" applyNumberFormat="1" applyFont="1" applyFill="1" applyBorder="1" applyAlignment="1">
      <alignment horizontal="center" vertical="top"/>
    </xf>
    <xf numFmtId="169" fontId="11" fillId="6" borderId="10" xfId="41" applyNumberFormat="1" applyFont="1" applyFill="1" applyBorder="1" applyAlignment="1">
      <alignment horizontal="center" vertical="top"/>
    </xf>
    <xf numFmtId="170" fontId="5" fillId="0" borderId="13" xfId="41" applyNumberFormat="1" applyBorder="1" applyAlignment="1">
      <alignment horizontal="center" vertical="top"/>
    </xf>
    <xf numFmtId="170" fontId="5" fillId="0" borderId="11" xfId="41" applyNumberFormat="1" applyBorder="1" applyAlignment="1">
      <alignment horizontal="center" vertical="top"/>
    </xf>
    <xf numFmtId="170" fontId="7" fillId="3" borderId="41" xfId="41" applyNumberFormat="1" applyFont="1" applyFill="1" applyBorder="1" applyAlignment="1">
      <alignment horizontal="center" vertical="top"/>
    </xf>
    <xf numFmtId="169" fontId="5" fillId="0" borderId="13" xfId="41" applyFill="1" applyBorder="1" applyAlignment="1">
      <alignment vertical="top"/>
    </xf>
    <xf numFmtId="169" fontId="5" fillId="0" borderId="11" xfId="41" applyFill="1" applyBorder="1" applyAlignment="1">
      <alignment vertical="top"/>
    </xf>
    <xf numFmtId="169" fontId="7" fillId="6" borderId="78" xfId="41" applyFont="1" applyFill="1" applyBorder="1" applyAlignment="1">
      <alignment vertical="top"/>
    </xf>
    <xf numFmtId="169" fontId="7" fillId="6" borderId="79" xfId="41" applyFont="1" applyFill="1" applyBorder="1" applyAlignment="1">
      <alignment vertical="top"/>
    </xf>
    <xf numFmtId="169" fontId="11" fillId="0" borderId="13" xfId="41" applyFont="1" applyFill="1" applyBorder="1" applyAlignment="1">
      <alignment vertical="center"/>
    </xf>
    <xf numFmtId="169" fontId="11" fillId="0" borderId="11" xfId="41" applyFont="1" applyFill="1" applyBorder="1" applyAlignment="1">
      <alignment vertical="center"/>
    </xf>
    <xf numFmtId="169" fontId="5" fillId="0" borderId="13" xfId="41" applyFont="1" applyFill="1" applyBorder="1" applyAlignment="1">
      <alignment vertical="top"/>
    </xf>
    <xf numFmtId="169" fontId="5" fillId="0" borderId="11" xfId="41" applyFont="1" applyFill="1" applyBorder="1" applyAlignment="1">
      <alignment vertical="top"/>
    </xf>
    <xf numFmtId="169" fontId="5" fillId="6" borderId="13" xfId="41" applyFont="1" applyFill="1" applyBorder="1" applyAlignment="1">
      <alignment vertical="top"/>
    </xf>
    <xf numFmtId="169" fontId="5" fillId="6" borderId="11" xfId="41" applyFont="1" applyFill="1" applyBorder="1" applyAlignment="1">
      <alignment vertical="top"/>
    </xf>
    <xf numFmtId="169" fontId="5" fillId="0" borderId="34" xfId="41" applyFont="1" applyFill="1" applyBorder="1" applyAlignment="1">
      <alignment vertical="top"/>
    </xf>
    <xf numFmtId="169" fontId="5" fillId="0" borderId="60" xfId="41" applyFont="1" applyFill="1" applyBorder="1" applyAlignment="1">
      <alignment vertical="top"/>
    </xf>
    <xf numFmtId="169" fontId="11" fillId="0" borderId="3" xfId="41" applyFont="1" applyFill="1" applyBorder="1" applyAlignment="1">
      <alignment vertical="center" wrapText="1"/>
    </xf>
    <xf numFmtId="169" fontId="11" fillId="0" borderId="57" xfId="41" applyFont="1" applyFill="1" applyBorder="1" applyAlignment="1">
      <alignment vertical="center" wrapText="1"/>
    </xf>
    <xf numFmtId="169" fontId="11" fillId="0" borderId="41" xfId="41" applyFont="1" applyFill="1" applyBorder="1" applyAlignment="1">
      <alignment vertical="center" wrapText="1"/>
    </xf>
    <xf numFmtId="170" fontId="7" fillId="0" borderId="5" xfId="41" applyNumberFormat="1" applyFont="1" applyFill="1" applyBorder="1" applyAlignment="1">
      <alignment vertical="top"/>
    </xf>
    <xf numFmtId="170" fontId="7" fillId="0" borderId="3" xfId="41" applyNumberFormat="1" applyFont="1" applyFill="1" applyBorder="1" applyAlignment="1">
      <alignment vertical="top"/>
    </xf>
    <xf numFmtId="169" fontId="5" fillId="0" borderId="57" xfId="41" applyFill="1" applyBorder="1" applyAlignment="1">
      <alignment vertical="top"/>
    </xf>
    <xf numFmtId="169" fontId="5" fillId="0" borderId="3" xfId="41" applyFill="1" applyBorder="1" applyAlignment="1">
      <alignment vertical="top"/>
    </xf>
    <xf numFmtId="169" fontId="5" fillId="0" borderId="41" xfId="41" applyFill="1" applyBorder="1" applyAlignment="1">
      <alignment vertical="top"/>
    </xf>
    <xf numFmtId="169" fontId="5" fillId="0" borderId="4" xfId="41" applyFill="1" applyBorder="1" applyAlignment="1">
      <alignment vertical="top"/>
    </xf>
    <xf numFmtId="170" fontId="7" fillId="0" borderId="2" xfId="41" applyNumberFormat="1" applyFont="1" applyFill="1" applyBorder="1" applyAlignment="1">
      <alignment vertical="top"/>
    </xf>
    <xf numFmtId="169" fontId="5" fillId="0" borderId="1" xfId="41" applyFill="1" applyBorder="1" applyAlignment="1">
      <alignment vertical="top"/>
    </xf>
    <xf numFmtId="169" fontId="11" fillId="0" borderId="4" xfId="41" applyFont="1" applyFill="1" applyBorder="1" applyAlignment="1">
      <alignment vertical="center" wrapText="1"/>
    </xf>
    <xf numFmtId="169" fontId="7" fillId="6" borderId="51" xfId="41" applyFont="1" applyFill="1" applyBorder="1" applyAlignment="1">
      <alignment vertical="top"/>
    </xf>
    <xf numFmtId="169" fontId="7" fillId="6" borderId="33" xfId="41" applyFont="1" applyFill="1" applyBorder="1" applyAlignment="1">
      <alignment vertical="top"/>
    </xf>
    <xf numFmtId="169" fontId="11" fillId="0" borderId="1" xfId="41" applyFont="1" applyFill="1" applyBorder="1" applyAlignment="1">
      <alignment vertical="center"/>
    </xf>
    <xf numFmtId="169" fontId="5" fillId="6" borderId="2" xfId="41" applyFont="1" applyFill="1" applyBorder="1" applyAlignment="1">
      <alignment vertical="top"/>
    </xf>
    <xf numFmtId="169" fontId="5" fillId="6" borderId="1" xfId="41" applyFont="1" applyFill="1" applyBorder="1" applyAlignment="1">
      <alignment vertical="top"/>
    </xf>
    <xf numFmtId="169" fontId="7" fillId="0" borderId="2" xfId="41" applyFont="1" applyFill="1" applyBorder="1" applyAlignment="1">
      <alignment vertical="top"/>
    </xf>
    <xf numFmtId="169" fontId="5" fillId="0" borderId="48" xfId="41" applyFont="1" applyFill="1" applyBorder="1" applyAlignment="1">
      <alignment vertical="top"/>
    </xf>
    <xf numFmtId="169" fontId="11" fillId="0" borderId="4" xfId="41" applyFont="1" applyFill="1" applyBorder="1" applyAlignment="1">
      <alignment vertical="center"/>
    </xf>
    <xf numFmtId="169" fontId="5" fillId="0" borderId="5" xfId="41" applyFill="1" applyBorder="1" applyAlignment="1">
      <alignment vertical="top"/>
    </xf>
    <xf numFmtId="169" fontId="11" fillId="0" borderId="5" xfId="41" applyFont="1" applyFill="1" applyBorder="1" applyAlignment="1">
      <alignment vertical="center" wrapText="1"/>
    </xf>
    <xf numFmtId="0" fontId="7" fillId="3" borderId="1" xfId="0" applyFont="1" applyFill="1" applyBorder="1">
      <alignment vertical="top"/>
    </xf>
    <xf numFmtId="0" fontId="5" fillId="3" borderId="1" xfId="0" applyFont="1" applyFill="1" applyBorder="1">
      <alignment vertical="top"/>
    </xf>
    <xf numFmtId="0" fontId="2" fillId="0" borderId="64" xfId="0" applyFont="1" applyFill="1" applyBorder="1" applyAlignment="1">
      <alignment horizontal="center" vertical="center" wrapText="1"/>
    </xf>
    <xf numFmtId="0" fontId="0" fillId="0" borderId="61" xfId="0" applyFill="1" applyBorder="1" applyAlignment="1">
      <alignment horizontal="center" vertical="top"/>
    </xf>
    <xf numFmtId="0" fontId="0" fillId="0" borderId="58" xfId="0" applyBorder="1" applyAlignment="1">
      <alignment horizontal="center" vertical="top"/>
    </xf>
    <xf numFmtId="0" fontId="0" fillId="0" borderId="59" xfId="0" applyBorder="1" applyAlignment="1">
      <alignment horizontal="center" vertical="top"/>
    </xf>
    <xf numFmtId="0" fontId="2" fillId="0" borderId="59" xfId="0" applyFont="1" applyBorder="1" applyAlignment="1">
      <alignment horizontal="center" vertical="top"/>
    </xf>
    <xf numFmtId="169" fontId="2" fillId="0" borderId="53" xfId="0" applyNumberFormat="1" applyFont="1" applyBorder="1" applyAlignment="1">
      <alignment horizontal="center" vertical="top"/>
    </xf>
    <xf numFmtId="169" fontId="11" fillId="0" borderId="42" xfId="41" applyFont="1" applyFill="1" applyBorder="1" applyAlignment="1">
      <alignment vertical="center" wrapText="1"/>
    </xf>
    <xf numFmtId="170" fontId="7" fillId="0" borderId="59" xfId="41" applyNumberFormat="1" applyFont="1" applyFill="1" applyBorder="1" applyAlignment="1">
      <alignment vertical="top"/>
    </xf>
    <xf numFmtId="169" fontId="5" fillId="0" borderId="59" xfId="41" applyFill="1" applyBorder="1" applyAlignment="1">
      <alignment vertical="top"/>
    </xf>
    <xf numFmtId="169" fontId="11" fillId="0" borderId="58" xfId="41" applyFont="1" applyFill="1" applyBorder="1" applyAlignment="1">
      <alignment vertical="center" wrapText="1"/>
    </xf>
    <xf numFmtId="169" fontId="7" fillId="6" borderId="82" xfId="41" applyFont="1" applyFill="1" applyBorder="1" applyAlignment="1">
      <alignment vertical="top"/>
    </xf>
    <xf numFmtId="169" fontId="11" fillId="0" borderId="59" xfId="41" applyFont="1" applyFill="1" applyBorder="1" applyAlignment="1">
      <alignment vertical="center"/>
    </xf>
    <xf numFmtId="169" fontId="5" fillId="0" borderId="59" xfId="41" applyFont="1" applyFill="1" applyBorder="1" applyAlignment="1">
      <alignment vertical="top"/>
    </xf>
    <xf numFmtId="169" fontId="5" fillId="6" borderId="59" xfId="41" applyFont="1" applyFill="1" applyBorder="1" applyAlignment="1">
      <alignment vertical="top"/>
    </xf>
    <xf numFmtId="169" fontId="5" fillId="0" borderId="61" xfId="41" applyFont="1" applyFill="1" applyBorder="1" applyAlignment="1">
      <alignment vertical="top"/>
    </xf>
    <xf numFmtId="169" fontId="5" fillId="0" borderId="13" xfId="41" applyNumberFormat="1" applyFill="1" applyBorder="1" applyAlignment="1">
      <alignment horizontal="center" vertical="top"/>
    </xf>
    <xf numFmtId="170" fontId="5" fillId="0" borderId="13" xfId="41" applyNumberFormat="1" applyFill="1" applyBorder="1" applyAlignment="1">
      <alignment horizontal="center" vertical="top"/>
    </xf>
    <xf numFmtId="169" fontId="5" fillId="9" borderId="3" xfId="41" applyFill="1" applyBorder="1" applyAlignment="1">
      <alignment vertical="top"/>
    </xf>
    <xf numFmtId="169" fontId="5" fillId="9" borderId="0" xfId="41" applyFill="1" applyBorder="1" applyAlignment="1">
      <alignment vertical="top"/>
    </xf>
    <xf numFmtId="169" fontId="5" fillId="9" borderId="3" xfId="41" applyFont="1" applyFill="1" applyBorder="1" applyAlignment="1">
      <alignment vertical="center" wrapText="1"/>
    </xf>
    <xf numFmtId="169" fontId="7" fillId="9" borderId="52" xfId="41" applyFont="1" applyFill="1" applyBorder="1" applyAlignment="1">
      <alignment vertical="top"/>
    </xf>
    <xf numFmtId="169" fontId="11" fillId="9" borderId="0" xfId="41" applyFont="1" applyFill="1" applyBorder="1" applyAlignment="1">
      <alignment vertical="center"/>
    </xf>
    <xf numFmtId="169" fontId="5" fillId="9" borderId="0" xfId="41" applyFont="1" applyFill="1" applyBorder="1" applyAlignment="1">
      <alignment vertical="top"/>
    </xf>
    <xf numFmtId="169" fontId="5" fillId="9" borderId="6" xfId="41" applyFont="1" applyFill="1" applyBorder="1" applyAlignment="1">
      <alignment vertical="top"/>
    </xf>
    <xf numFmtId="170" fontId="5" fillId="9" borderId="0" xfId="41" applyNumberFormat="1" applyFill="1" applyBorder="1" applyAlignment="1">
      <alignment horizontal="center" vertical="top"/>
    </xf>
    <xf numFmtId="169" fontId="7" fillId="0" borderId="3" xfId="41" applyFont="1" applyFill="1" applyBorder="1" applyAlignment="1">
      <alignment horizontal="center" vertical="center"/>
    </xf>
    <xf numFmtId="169" fontId="5" fillId="2" borderId="57" xfId="41" applyFill="1" applyBorder="1" applyAlignment="1">
      <alignment vertical="top"/>
    </xf>
    <xf numFmtId="169" fontId="5" fillId="2" borderId="11" xfId="41" applyFill="1" applyBorder="1" applyAlignment="1">
      <alignment vertical="top"/>
    </xf>
    <xf numFmtId="169" fontId="7" fillId="2" borderId="79" xfId="41" applyFont="1" applyFill="1" applyBorder="1" applyAlignment="1">
      <alignment vertical="top"/>
    </xf>
    <xf numFmtId="169" fontId="11" fillId="2" borderId="11" xfId="41" applyFont="1" applyFill="1" applyBorder="1" applyAlignment="1">
      <alignment vertical="center"/>
    </xf>
    <xf numFmtId="169" fontId="5" fillId="2" borderId="11" xfId="41" applyFont="1" applyFill="1" applyBorder="1" applyAlignment="1">
      <alignment vertical="top"/>
    </xf>
    <xf numFmtId="169" fontId="5" fillId="2" borderId="60" xfId="41" applyFont="1" applyFill="1" applyBorder="1" applyAlignment="1">
      <alignment vertical="top"/>
    </xf>
    <xf numFmtId="169" fontId="5" fillId="2" borderId="11" xfId="41" applyFont="1" applyFill="1" applyBorder="1" applyAlignment="1">
      <alignment horizontal="center" vertical="top"/>
    </xf>
    <xf numFmtId="169" fontId="5" fillId="2" borderId="11" xfId="41" applyNumberFormat="1" applyFont="1" applyFill="1" applyBorder="1" applyAlignment="1">
      <alignment horizontal="center" vertical="top"/>
    </xf>
    <xf numFmtId="170" fontId="5" fillId="2" borderId="11" xfId="41" applyNumberFormat="1" applyFill="1" applyBorder="1" applyAlignment="1">
      <alignment horizontal="center" vertical="top"/>
    </xf>
    <xf numFmtId="169" fontId="5" fillId="19" borderId="57" xfId="41" applyFill="1" applyBorder="1" applyAlignment="1">
      <alignment horizontal="center" vertical="top"/>
    </xf>
    <xf numFmtId="169" fontId="5" fillId="19" borderId="11" xfId="41" applyFill="1" applyBorder="1" applyAlignment="1">
      <alignment horizontal="center" vertical="top"/>
    </xf>
    <xf numFmtId="169" fontId="7" fillId="19" borderId="79" xfId="41" applyFont="1" applyFill="1" applyBorder="1" applyAlignment="1">
      <alignment horizontal="center" vertical="top"/>
    </xf>
    <xf numFmtId="169" fontId="11" fillId="19" borderId="11" xfId="41" applyFont="1" applyFill="1" applyBorder="1" applyAlignment="1">
      <alignment horizontal="center" vertical="center"/>
    </xf>
    <xf numFmtId="169" fontId="5" fillId="19" borderId="11" xfId="41" applyFont="1" applyFill="1" applyBorder="1" applyAlignment="1">
      <alignment horizontal="center" vertical="top"/>
    </xf>
    <xf numFmtId="169" fontId="5" fillId="19" borderId="60" xfId="41" applyFont="1" applyFill="1" applyBorder="1" applyAlignment="1">
      <alignment horizontal="center" vertical="top"/>
    </xf>
    <xf numFmtId="169" fontId="5" fillId="19" borderId="81" xfId="41" applyFont="1" applyFill="1" applyBorder="1" applyAlignment="1">
      <alignment horizontal="center" vertical="top"/>
    </xf>
    <xf numFmtId="169" fontId="5" fillId="19" borderId="10" xfId="41" applyFont="1" applyFill="1" applyBorder="1" applyAlignment="1">
      <alignment horizontal="center" vertical="top"/>
    </xf>
    <xf numFmtId="169" fontId="11" fillId="19" borderId="57" xfId="41" applyFont="1" applyFill="1" applyBorder="1" applyAlignment="1">
      <alignment horizontal="center" vertical="center"/>
    </xf>
    <xf numFmtId="170" fontId="5" fillId="19" borderId="11" xfId="41" applyNumberFormat="1" applyFill="1" applyBorder="1" applyAlignment="1">
      <alignment horizontal="center" vertical="top"/>
    </xf>
    <xf numFmtId="169" fontId="5" fillId="6" borderId="4" xfId="41" applyFill="1" applyBorder="1" applyAlignment="1">
      <alignment vertical="top"/>
    </xf>
    <xf numFmtId="169" fontId="5" fillId="6" borderId="1" xfId="41" applyFill="1" applyBorder="1" applyAlignment="1">
      <alignment vertical="top"/>
    </xf>
    <xf numFmtId="169" fontId="5" fillId="6" borderId="4" xfId="41" applyFont="1" applyFill="1" applyBorder="1" applyAlignment="1">
      <alignment vertical="center" wrapText="1"/>
    </xf>
    <xf numFmtId="169" fontId="11" fillId="6" borderId="1" xfId="41" applyFont="1" applyFill="1" applyBorder="1" applyAlignment="1">
      <alignment vertical="center"/>
    </xf>
    <xf numFmtId="169" fontId="5" fillId="6" borderId="29" xfId="41" applyFont="1" applyFill="1" applyBorder="1" applyAlignment="1">
      <alignment vertical="top"/>
    </xf>
    <xf numFmtId="169" fontId="5" fillId="6" borderId="77" xfId="41" applyFont="1" applyFill="1" applyBorder="1" applyAlignment="1">
      <alignment vertical="top"/>
    </xf>
    <xf numFmtId="169" fontId="7" fillId="6" borderId="1" xfId="41" applyFont="1" applyFill="1" applyBorder="1" applyAlignment="1">
      <alignment vertical="top"/>
    </xf>
    <xf numFmtId="169" fontId="5" fillId="6" borderId="48" xfId="41" applyFont="1" applyFill="1" applyBorder="1" applyAlignment="1">
      <alignment vertical="top"/>
    </xf>
    <xf numFmtId="169" fontId="11" fillId="6" borderId="4" xfId="41" applyFont="1" applyFill="1" applyBorder="1" applyAlignment="1">
      <alignment vertical="center"/>
    </xf>
    <xf numFmtId="169" fontId="5" fillId="6" borderId="26" xfId="41" applyFont="1" applyFill="1" applyBorder="1" applyAlignment="1">
      <alignment vertical="top"/>
    </xf>
    <xf numFmtId="170" fontId="5" fillId="6" borderId="1" xfId="41" applyNumberFormat="1" applyFill="1" applyBorder="1" applyAlignment="1">
      <alignment horizontal="center" vertical="top"/>
    </xf>
    <xf numFmtId="0" fontId="11" fillId="6" borderId="2" xfId="0" applyFont="1" applyFill="1" applyBorder="1">
      <alignment vertical="top"/>
    </xf>
    <xf numFmtId="0" fontId="6" fillId="6" borderId="2" xfId="0" applyFont="1" applyFill="1" applyBorder="1">
      <alignment vertical="top"/>
    </xf>
    <xf numFmtId="174" fontId="6" fillId="6" borderId="1" xfId="0" applyNumberFormat="1" applyFont="1" applyFill="1" applyBorder="1" applyAlignment="1">
      <alignment horizontal="justify" vertical="top"/>
    </xf>
    <xf numFmtId="169" fontId="6" fillId="6" borderId="1" xfId="41" applyFont="1" applyFill="1" applyBorder="1" applyAlignment="1">
      <alignment vertical="top"/>
    </xf>
    <xf numFmtId="170" fontId="5" fillId="20" borderId="0" xfId="41" applyNumberFormat="1" applyFont="1" applyFill="1" applyBorder="1" applyAlignment="1">
      <alignment vertical="top"/>
    </xf>
    <xf numFmtId="0" fontId="5" fillId="20" borderId="2" xfId="0" applyFont="1" applyFill="1" applyBorder="1">
      <alignment vertical="top"/>
    </xf>
    <xf numFmtId="169" fontId="5" fillId="20" borderId="1" xfId="41" applyFont="1" applyFill="1" applyBorder="1" applyAlignment="1">
      <alignment vertical="top"/>
    </xf>
    <xf numFmtId="170" fontId="5" fillId="20" borderId="2" xfId="41" applyNumberFormat="1" applyFont="1" applyFill="1" applyBorder="1" applyAlignment="1">
      <alignment horizontal="justify" vertical="top"/>
    </xf>
    <xf numFmtId="170" fontId="5" fillId="20" borderId="0" xfId="41" applyNumberFormat="1" applyFont="1" applyFill="1" applyBorder="1" applyAlignment="1">
      <alignment horizontal="left" vertical="top"/>
    </xf>
    <xf numFmtId="169" fontId="5" fillId="20" borderId="2" xfId="41" applyNumberFormat="1" applyFont="1" applyFill="1" applyBorder="1" applyAlignment="1">
      <alignment horizontal="center" vertical="top"/>
    </xf>
    <xf numFmtId="169" fontId="5" fillId="20" borderId="0" xfId="41" applyNumberFormat="1" applyFont="1" applyFill="1" applyBorder="1" applyAlignment="1">
      <alignment horizontal="center" vertical="top"/>
    </xf>
    <xf numFmtId="169" fontId="5" fillId="20" borderId="1" xfId="41" applyNumberFormat="1" applyFont="1" applyFill="1" applyBorder="1" applyAlignment="1">
      <alignment horizontal="center" vertical="top"/>
    </xf>
    <xf numFmtId="169" fontId="5" fillId="20" borderId="13" xfId="41" applyNumberFormat="1" applyFont="1" applyFill="1" applyBorder="1" applyAlignment="1">
      <alignment horizontal="center" vertical="top"/>
    </xf>
    <xf numFmtId="169" fontId="5" fillId="20" borderId="11" xfId="41" applyNumberFormat="1" applyFont="1" applyFill="1" applyBorder="1" applyAlignment="1">
      <alignment horizontal="center" vertical="top"/>
    </xf>
    <xf numFmtId="169" fontId="5" fillId="20" borderId="0" xfId="41" applyFont="1" applyFill="1" applyBorder="1" applyAlignment="1">
      <alignment vertical="top"/>
    </xf>
    <xf numFmtId="169" fontId="5" fillId="20" borderId="2" xfId="41" applyFont="1" applyFill="1" applyBorder="1" applyAlignment="1">
      <alignment vertical="top"/>
    </xf>
    <xf numFmtId="170" fontId="5" fillId="3" borderId="0" xfId="41" applyNumberFormat="1" applyFont="1" applyFill="1" applyBorder="1" applyAlignment="1">
      <alignment vertical="top"/>
    </xf>
    <xf numFmtId="0" fontId="5" fillId="3" borderId="2" xfId="0" applyFont="1" applyFill="1" applyBorder="1">
      <alignment vertical="top"/>
    </xf>
    <xf numFmtId="170" fontId="5" fillId="3" borderId="2" xfId="41" applyNumberFormat="1" applyFont="1" applyFill="1" applyBorder="1" applyAlignment="1">
      <alignment horizontal="justify" vertical="top"/>
    </xf>
    <xf numFmtId="170" fontId="5" fillId="3" borderId="0" xfId="41" applyNumberFormat="1" applyFont="1" applyFill="1" applyBorder="1" applyAlignment="1">
      <alignment horizontal="left" vertical="top"/>
    </xf>
    <xf numFmtId="169" fontId="5" fillId="3" borderId="2" xfId="41" applyNumberFormat="1" applyFont="1" applyFill="1" applyBorder="1" applyAlignment="1">
      <alignment horizontal="center" vertical="top"/>
    </xf>
    <xf numFmtId="169" fontId="5" fillId="3" borderId="0" xfId="41" applyNumberFormat="1" applyFont="1" applyFill="1" applyBorder="1" applyAlignment="1">
      <alignment horizontal="center" vertical="top"/>
    </xf>
    <xf numFmtId="169" fontId="5" fillId="3" borderId="1" xfId="41" applyNumberFormat="1" applyFont="1" applyFill="1" applyBorder="1" applyAlignment="1">
      <alignment horizontal="center" vertical="top"/>
    </xf>
    <xf numFmtId="169" fontId="5" fillId="3" borderId="13" xfId="41" applyNumberFormat="1" applyFont="1" applyFill="1" applyBorder="1" applyAlignment="1">
      <alignment horizontal="center" vertical="top"/>
    </xf>
    <xf numFmtId="169" fontId="5" fillId="3" borderId="11" xfId="41" applyNumberFormat="1" applyFont="1" applyFill="1" applyBorder="1" applyAlignment="1">
      <alignment horizontal="center" vertical="top"/>
    </xf>
    <xf numFmtId="169" fontId="5" fillId="3" borderId="0" xfId="41" applyFont="1" applyFill="1" applyBorder="1" applyAlignment="1">
      <alignment vertical="top"/>
    </xf>
    <xf numFmtId="169" fontId="5" fillId="3" borderId="2" xfId="41" applyFont="1" applyFill="1" applyBorder="1" applyAlignment="1">
      <alignment vertical="top"/>
    </xf>
    <xf numFmtId="0" fontId="7" fillId="20" borderId="1" xfId="0" applyFont="1" applyFill="1" applyBorder="1">
      <alignment vertical="top"/>
    </xf>
    <xf numFmtId="0" fontId="6" fillId="3" borderId="2" xfId="0" applyFont="1" applyFill="1" applyBorder="1">
      <alignment vertical="top"/>
    </xf>
    <xf numFmtId="170" fontId="5" fillId="3" borderId="0" xfId="41" applyNumberFormat="1" applyFont="1" applyFill="1" applyBorder="1" applyAlignment="1">
      <alignment horizontal="justify" vertical="top"/>
    </xf>
    <xf numFmtId="169" fontId="11" fillId="3" borderId="2" xfId="41" applyNumberFormat="1" applyFont="1" applyFill="1" applyBorder="1" applyAlignment="1">
      <alignment horizontal="center" vertical="top"/>
    </xf>
    <xf numFmtId="169" fontId="11" fillId="3" borderId="0" xfId="41" applyNumberFormat="1" applyFont="1" applyFill="1" applyBorder="1" applyAlignment="1">
      <alignment horizontal="center" vertical="top"/>
    </xf>
    <xf numFmtId="169" fontId="11" fillId="3" borderId="1" xfId="41" applyNumberFormat="1" applyFont="1" applyFill="1" applyBorder="1" applyAlignment="1">
      <alignment horizontal="center" vertical="top"/>
    </xf>
    <xf numFmtId="169" fontId="11" fillId="3" borderId="13" xfId="41" applyNumberFormat="1" applyFont="1" applyFill="1" applyBorder="1" applyAlignment="1">
      <alignment horizontal="center" vertical="top"/>
    </xf>
    <xf numFmtId="169" fontId="11" fillId="3" borderId="11" xfId="41" applyNumberFormat="1" applyFont="1" applyFill="1" applyBorder="1" applyAlignment="1">
      <alignment horizontal="center" vertical="top"/>
    </xf>
    <xf numFmtId="169" fontId="5" fillId="0" borderId="37" xfId="41" applyFont="1" applyFill="1" applyBorder="1" applyAlignment="1">
      <alignment horizontal="center" vertical="top"/>
    </xf>
    <xf numFmtId="170" fontId="6" fillId="0" borderId="20" xfId="41" applyNumberFormat="1" applyFont="1" applyFill="1" applyBorder="1" applyAlignment="1">
      <alignment vertical="top"/>
    </xf>
    <xf numFmtId="169" fontId="6" fillId="0" borderId="62" xfId="41" applyFont="1" applyFill="1" applyBorder="1" applyAlignment="1">
      <alignment vertical="top"/>
    </xf>
    <xf numFmtId="169" fontId="6" fillId="18" borderId="65" xfId="41" applyFont="1" applyFill="1" applyBorder="1" applyAlignment="1">
      <alignment vertical="top"/>
    </xf>
    <xf numFmtId="170" fontId="6" fillId="18" borderId="62" xfId="41" applyNumberFormat="1" applyFont="1" applyFill="1" applyBorder="1" applyAlignment="1">
      <alignment vertical="center"/>
    </xf>
    <xf numFmtId="170" fontId="6" fillId="18" borderId="20" xfId="41" applyNumberFormat="1" applyFont="1" applyFill="1" applyBorder="1" applyAlignment="1">
      <alignment horizontal="justify" vertical="top"/>
    </xf>
    <xf numFmtId="169" fontId="6" fillId="18" borderId="62" xfId="41" applyNumberFormat="1" applyFont="1" applyFill="1" applyBorder="1" applyAlignment="1">
      <alignment horizontal="center" vertical="top"/>
    </xf>
    <xf numFmtId="169" fontId="6" fillId="18" borderId="20" xfId="41" applyNumberFormat="1" applyFont="1" applyFill="1" applyBorder="1" applyAlignment="1">
      <alignment horizontal="center" vertical="top"/>
    </xf>
    <xf numFmtId="169" fontId="6" fillId="0" borderId="20" xfId="41" applyNumberFormat="1" applyFont="1" applyFill="1" applyBorder="1" applyAlignment="1">
      <alignment horizontal="center" vertical="top"/>
    </xf>
    <xf numFmtId="169" fontId="6" fillId="0" borderId="65" xfId="41" applyNumberFormat="1" applyFont="1" applyFill="1" applyBorder="1" applyAlignment="1">
      <alignment horizontal="center" vertical="top"/>
    </xf>
    <xf numFmtId="169" fontId="6" fillId="0" borderId="17" xfId="41" applyNumberFormat="1" applyFont="1" applyFill="1" applyBorder="1" applyAlignment="1">
      <alignment horizontal="center" vertical="top"/>
    </xf>
    <xf numFmtId="169" fontId="6" fillId="0" borderId="18" xfId="41" applyNumberFormat="1" applyFont="1" applyFill="1" applyBorder="1" applyAlignment="1">
      <alignment horizontal="center" vertical="top"/>
    </xf>
    <xf numFmtId="169" fontId="6" fillId="0" borderId="20" xfId="41" applyFont="1" applyFill="1" applyBorder="1" applyAlignment="1">
      <alignment vertical="top"/>
    </xf>
    <xf numFmtId="169" fontId="6" fillId="0" borderId="65" xfId="41" applyFont="1" applyFill="1" applyBorder="1" applyAlignment="1">
      <alignment vertical="top"/>
    </xf>
    <xf numFmtId="169" fontId="6" fillId="6" borderId="65" xfId="41" applyFont="1" applyFill="1" applyBorder="1" applyAlignment="1">
      <alignment vertical="top"/>
    </xf>
    <xf numFmtId="169" fontId="11" fillId="0" borderId="20" xfId="41" applyFont="1" applyFill="1" applyBorder="1" applyAlignment="1">
      <alignment vertical="center"/>
    </xf>
    <xf numFmtId="170" fontId="11" fillId="0" borderId="20" xfId="41" applyNumberFormat="1" applyFont="1" applyFill="1" applyBorder="1" applyAlignment="1">
      <alignment vertical="center"/>
    </xf>
    <xf numFmtId="0" fontId="6" fillId="0" borderId="62" xfId="0" applyFont="1" applyFill="1" applyBorder="1">
      <alignment vertical="top"/>
    </xf>
    <xf numFmtId="0" fontId="6" fillId="15" borderId="65" xfId="0" applyFont="1" applyFill="1" applyBorder="1">
      <alignment vertical="top"/>
    </xf>
    <xf numFmtId="170" fontId="6" fillId="15" borderId="62" xfId="41" applyNumberFormat="1" applyFont="1" applyFill="1" applyBorder="1" applyAlignment="1">
      <alignment vertical="center"/>
    </xf>
    <xf numFmtId="170" fontId="6" fillId="15" borderId="20" xfId="41" applyNumberFormat="1" applyFont="1" applyFill="1" applyBorder="1" applyAlignment="1">
      <alignment vertical="center"/>
    </xf>
    <xf numFmtId="170" fontId="5" fillId="15" borderId="20" xfId="41" applyNumberFormat="1" applyFont="1" applyFill="1" applyBorder="1" applyAlignment="1">
      <alignment horizontal="justify" vertical="top"/>
    </xf>
    <xf numFmtId="0" fontId="2" fillId="15" borderId="62"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25" fillId="0" borderId="65" xfId="0" applyFont="1" applyFill="1" applyBorder="1" applyAlignment="1">
      <alignment horizontal="center" vertical="center" wrapText="1"/>
    </xf>
    <xf numFmtId="169" fontId="11" fillId="0" borderId="62" xfId="41" applyFont="1" applyFill="1" applyBorder="1" applyAlignment="1">
      <alignment vertical="center"/>
    </xf>
    <xf numFmtId="169" fontId="11" fillId="0" borderId="65" xfId="41" applyFont="1" applyFill="1" applyBorder="1" applyAlignment="1">
      <alignment vertical="center"/>
    </xf>
    <xf numFmtId="169" fontId="11" fillId="6" borderId="65" xfId="41" applyFont="1" applyFill="1" applyBorder="1" applyAlignment="1">
      <alignment vertical="center"/>
    </xf>
    <xf numFmtId="170" fontId="6" fillId="6" borderId="20" xfId="41" applyNumberFormat="1" applyFont="1" applyFill="1" applyBorder="1" applyAlignment="1">
      <alignment vertical="top"/>
    </xf>
    <xf numFmtId="170" fontId="5" fillId="0" borderId="20" xfId="41" applyNumberFormat="1" applyFont="1" applyFill="1" applyBorder="1" applyAlignment="1">
      <alignment vertical="top"/>
    </xf>
    <xf numFmtId="0" fontId="6" fillId="0" borderId="65" xfId="0" applyFont="1" applyFill="1" applyBorder="1">
      <alignment vertical="top"/>
    </xf>
    <xf numFmtId="169" fontId="11" fillId="0" borderId="62" xfId="41" applyNumberFormat="1" applyFont="1" applyFill="1" applyBorder="1" applyAlignment="1">
      <alignment horizontal="center" vertical="top"/>
    </xf>
    <xf numFmtId="169" fontId="11" fillId="0" borderId="20" xfId="41" applyNumberFormat="1" applyFont="1" applyFill="1" applyBorder="1" applyAlignment="1">
      <alignment horizontal="center" vertical="top"/>
    </xf>
    <xf numFmtId="169" fontId="11" fillId="0" borderId="65" xfId="41" applyNumberFormat="1" applyFont="1" applyFill="1" applyBorder="1" applyAlignment="1">
      <alignment horizontal="center" vertical="top"/>
    </xf>
    <xf numFmtId="169" fontId="11" fillId="0" borderId="17" xfId="41" applyNumberFormat="1" applyFont="1" applyFill="1" applyBorder="1" applyAlignment="1">
      <alignment horizontal="center" vertical="top"/>
    </xf>
    <xf numFmtId="169" fontId="11" fillId="0" borderId="18" xfId="41" applyNumberFormat="1" applyFont="1" applyFill="1" applyBorder="1" applyAlignment="1">
      <alignment horizontal="center" vertical="top"/>
    </xf>
    <xf numFmtId="169" fontId="5" fillId="0" borderId="20" xfId="41" applyFont="1" applyFill="1" applyBorder="1" applyAlignment="1">
      <alignment vertical="top"/>
    </xf>
    <xf numFmtId="169" fontId="5" fillId="0" borderId="62" xfId="41" applyFont="1" applyFill="1" applyBorder="1" applyAlignment="1">
      <alignment vertical="top"/>
    </xf>
    <xf numFmtId="169" fontId="5" fillId="6" borderId="65" xfId="41" applyFont="1" applyFill="1" applyBorder="1" applyAlignment="1">
      <alignment vertical="top"/>
    </xf>
    <xf numFmtId="0" fontId="6" fillId="15" borderId="1" xfId="0" applyFont="1" applyFill="1" applyBorder="1">
      <alignment vertical="top"/>
    </xf>
    <xf numFmtId="170" fontId="5" fillId="0" borderId="2" xfId="41" applyNumberFormat="1" applyFont="1" applyFill="1" applyBorder="1" applyAlignment="1">
      <alignment vertical="center"/>
    </xf>
    <xf numFmtId="169" fontId="5" fillId="18" borderId="1" xfId="41" applyFont="1" applyFill="1" applyBorder="1" applyAlignment="1">
      <alignment vertical="top"/>
    </xf>
    <xf numFmtId="1" fontId="5" fillId="15" borderId="0" xfId="41" applyNumberFormat="1" applyFont="1" applyFill="1" applyBorder="1" applyAlignment="1">
      <alignment vertical="top"/>
    </xf>
    <xf numFmtId="1" fontId="5" fillId="0" borderId="0" xfId="41" applyNumberFormat="1" applyFont="1" applyFill="1" applyBorder="1" applyAlignment="1">
      <alignment vertical="top"/>
    </xf>
    <xf numFmtId="170" fontId="5" fillId="0" borderId="0" xfId="41" applyNumberFormat="1" applyBorder="1" applyAlignment="1">
      <alignment horizontal="justify" vertical="top" wrapText="1"/>
    </xf>
    <xf numFmtId="170" fontId="5" fillId="19" borderId="0" xfId="41" applyNumberFormat="1" applyFill="1" applyBorder="1" applyAlignment="1">
      <alignment horizontal="center" vertical="top"/>
    </xf>
    <xf numFmtId="169" fontId="5" fillId="0" borderId="13" xfId="41" applyNumberFormat="1" applyFont="1" applyBorder="1" applyAlignment="1">
      <alignment horizontal="center" vertical="top"/>
    </xf>
    <xf numFmtId="169" fontId="5" fillId="0" borderId="0" xfId="41" applyNumberFormat="1" applyFont="1" applyBorder="1" applyAlignment="1">
      <alignment horizontal="center" vertical="top"/>
    </xf>
    <xf numFmtId="9" fontId="5" fillId="19" borderId="0" xfId="40" applyFont="1" applyFill="1" applyBorder="1" applyAlignment="1">
      <alignment horizontal="center" vertical="top"/>
    </xf>
    <xf numFmtId="9" fontId="5" fillId="19" borderId="76" xfId="40" applyFont="1" applyFill="1" applyBorder="1" applyAlignment="1">
      <alignment horizontal="center" vertical="top"/>
    </xf>
    <xf numFmtId="9" fontId="7" fillId="19" borderId="0" xfId="40" applyFont="1" applyFill="1" applyBorder="1" applyAlignment="1">
      <alignment horizontal="center" vertical="top"/>
    </xf>
    <xf numFmtId="9" fontId="5" fillId="19" borderId="20" xfId="40" applyFont="1" applyFill="1" applyBorder="1" applyAlignment="1">
      <alignment horizontal="center" vertical="top"/>
    </xf>
    <xf numFmtId="9" fontId="5" fillId="19" borderId="9" xfId="40" applyFont="1" applyFill="1" applyBorder="1" applyAlignment="1">
      <alignment horizontal="center" vertical="top"/>
    </xf>
    <xf numFmtId="9" fontId="11" fillId="19" borderId="0" xfId="40" applyFont="1" applyFill="1" applyBorder="1" applyAlignment="1">
      <alignment horizontal="center" vertical="center"/>
    </xf>
    <xf numFmtId="169" fontId="5" fillId="2" borderId="3" xfId="41" applyFill="1" applyBorder="1" applyAlignment="1">
      <alignment vertical="top"/>
    </xf>
    <xf numFmtId="169" fontId="5" fillId="2" borderId="0" xfId="41" applyFill="1" applyBorder="1" applyAlignment="1">
      <alignment vertical="top"/>
    </xf>
    <xf numFmtId="169" fontId="7" fillId="2" borderId="52" xfId="41" applyFont="1" applyFill="1" applyBorder="1" applyAlignment="1">
      <alignment vertical="top"/>
    </xf>
    <xf numFmtId="169" fontId="11" fillId="2" borderId="0" xfId="41" applyFont="1" applyFill="1" applyBorder="1" applyAlignment="1">
      <alignment vertical="center"/>
    </xf>
    <xf numFmtId="169" fontId="5" fillId="2" borderId="6" xfId="41" applyFont="1" applyFill="1" applyBorder="1" applyAlignment="1">
      <alignment vertical="top"/>
    </xf>
    <xf numFmtId="9" fontId="5" fillId="2" borderId="0" xfId="40" applyFont="1" applyFill="1" applyBorder="1" applyAlignment="1">
      <alignment horizontal="center" vertical="top"/>
    </xf>
    <xf numFmtId="9" fontId="5" fillId="2" borderId="76" xfId="40" applyFont="1" applyFill="1" applyBorder="1" applyAlignment="1">
      <alignment horizontal="center" vertical="top"/>
    </xf>
    <xf numFmtId="9" fontId="7" fillId="2" borderId="0" xfId="40" applyFont="1" applyFill="1" applyBorder="1" applyAlignment="1">
      <alignment horizontal="center" vertical="top"/>
    </xf>
    <xf numFmtId="9" fontId="5" fillId="2" borderId="20" xfId="40" applyFont="1" applyFill="1" applyBorder="1" applyAlignment="1">
      <alignment horizontal="center" vertical="top"/>
    </xf>
    <xf numFmtId="9" fontId="5" fillId="2" borderId="9" xfId="40" applyFont="1" applyFill="1" applyBorder="1" applyAlignment="1">
      <alignment horizontal="center" vertical="top"/>
    </xf>
    <xf numFmtId="9" fontId="11" fillId="2" borderId="0" xfId="40" applyFont="1" applyFill="1" applyBorder="1" applyAlignment="1">
      <alignment horizontal="center" vertical="center"/>
    </xf>
    <xf numFmtId="169" fontId="7" fillId="0" borderId="0" xfId="41" applyFont="1" applyFill="1" applyBorder="1" applyAlignment="1">
      <alignment horizontal="center" vertical="top"/>
    </xf>
    <xf numFmtId="169" fontId="7" fillId="6" borderId="52" xfId="41" applyFont="1" applyFill="1" applyBorder="1" applyAlignment="1">
      <alignment horizontal="center" vertical="top"/>
    </xf>
    <xf numFmtId="169" fontId="7" fillId="0" borderId="0" xfId="41" applyFont="1" applyFill="1" applyBorder="1" applyAlignment="1">
      <alignment horizontal="center" vertical="center"/>
    </xf>
    <xf numFmtId="169" fontId="7" fillId="6" borderId="0" xfId="41" applyFont="1" applyFill="1" applyBorder="1" applyAlignment="1">
      <alignment horizontal="center" vertical="top"/>
    </xf>
    <xf numFmtId="169" fontId="7" fillId="0" borderId="6" xfId="41" applyFont="1" applyFill="1" applyBorder="1" applyAlignment="1">
      <alignment horizontal="center" vertical="top"/>
    </xf>
    <xf numFmtId="169" fontId="5" fillId="0" borderId="59" xfId="41" applyFont="1" applyFill="1" applyBorder="1" applyAlignment="1">
      <alignment horizontal="center" vertical="top"/>
    </xf>
    <xf numFmtId="169" fontId="5" fillId="6" borderId="59" xfId="41" applyFont="1" applyFill="1" applyBorder="1" applyAlignment="1">
      <alignment horizontal="center" vertical="top"/>
    </xf>
    <xf numFmtId="169" fontId="5" fillId="0" borderId="83" xfId="41" applyFont="1" applyFill="1" applyBorder="1" applyAlignment="1">
      <alignment horizontal="center" vertical="top"/>
    </xf>
    <xf numFmtId="169" fontId="7" fillId="0" borderId="59" xfId="41" applyFont="1" applyFill="1" applyBorder="1" applyAlignment="1">
      <alignment horizontal="center" vertical="top"/>
    </xf>
    <xf numFmtId="169" fontId="5" fillId="20" borderId="59" xfId="41" applyFont="1" applyFill="1" applyBorder="1" applyAlignment="1">
      <alignment horizontal="center" vertical="top"/>
    </xf>
    <xf numFmtId="169" fontId="5" fillId="0" borderId="64" xfId="41" applyFont="1" applyFill="1" applyBorder="1" applyAlignment="1">
      <alignment horizontal="center" vertical="top"/>
    </xf>
    <xf numFmtId="169" fontId="5" fillId="0" borderId="67" xfId="41" applyFont="1" applyFill="1" applyBorder="1" applyAlignment="1">
      <alignment horizontal="center" vertical="top"/>
    </xf>
    <xf numFmtId="169" fontId="11" fillId="0" borderId="59" xfId="41" applyFont="1" applyFill="1" applyBorder="1" applyAlignment="1">
      <alignment horizontal="center" vertical="center"/>
    </xf>
    <xf numFmtId="169" fontId="11" fillId="0" borderId="64" xfId="41" applyFont="1" applyFill="1" applyBorder="1" applyAlignment="1">
      <alignment horizontal="center" vertical="center"/>
    </xf>
    <xf numFmtId="169" fontId="5" fillId="3" borderId="59" xfId="41" applyFont="1" applyFill="1" applyBorder="1" applyAlignment="1">
      <alignment horizontal="center" vertical="top"/>
    </xf>
    <xf numFmtId="169" fontId="6" fillId="0" borderId="64" xfId="41" applyFont="1" applyFill="1" applyBorder="1" applyAlignment="1">
      <alignment horizontal="center" vertical="top"/>
    </xf>
    <xf numFmtId="169" fontId="7" fillId="0" borderId="9" xfId="41" applyFont="1" applyFill="1" applyBorder="1" applyAlignment="1">
      <alignment horizontal="center" vertical="top"/>
    </xf>
    <xf numFmtId="169" fontId="7" fillId="0" borderId="76" xfId="41" applyFont="1" applyFill="1" applyBorder="1" applyAlignment="1">
      <alignment horizontal="center" vertical="top"/>
    </xf>
    <xf numFmtId="169" fontId="5" fillId="6" borderId="0" xfId="41" applyFont="1" applyFill="1" applyBorder="1" applyAlignment="1">
      <alignment horizontal="center" vertical="top"/>
    </xf>
    <xf numFmtId="169" fontId="5" fillId="20" borderId="0" xfId="41" applyFont="1" applyFill="1" applyBorder="1" applyAlignment="1">
      <alignment horizontal="center" vertical="top"/>
    </xf>
    <xf numFmtId="169" fontId="5" fillId="3" borderId="0" xfId="41" applyFont="1" applyFill="1" applyBorder="1" applyAlignment="1">
      <alignment horizontal="center" vertical="top"/>
    </xf>
    <xf numFmtId="170" fontId="5" fillId="0" borderId="11" xfId="41" applyNumberFormat="1" applyBorder="1" applyAlignment="1">
      <alignment vertical="top"/>
    </xf>
    <xf numFmtId="169" fontId="5" fillId="9" borderId="3" xfId="41" applyFill="1" applyBorder="1" applyAlignment="1">
      <alignment horizontal="center" vertical="top"/>
    </xf>
    <xf numFmtId="169" fontId="5" fillId="19" borderId="3" xfId="41" applyFill="1" applyBorder="1" applyAlignment="1">
      <alignment horizontal="center" vertical="top"/>
    </xf>
    <xf numFmtId="169" fontId="5" fillId="9" borderId="0" xfId="41" applyFill="1" applyBorder="1" applyAlignment="1">
      <alignment horizontal="center" vertical="top"/>
    </xf>
    <xf numFmtId="169" fontId="5" fillId="19" borderId="0" xfId="41" applyFill="1" applyBorder="1" applyAlignment="1">
      <alignment horizontal="center" vertical="top"/>
    </xf>
    <xf numFmtId="169" fontId="5" fillId="9" borderId="3" xfId="41" applyFont="1" applyFill="1" applyBorder="1" applyAlignment="1">
      <alignment horizontal="center" vertical="center" wrapText="1"/>
    </xf>
    <xf numFmtId="169" fontId="7" fillId="9" borderId="52" xfId="41" applyFont="1" applyFill="1" applyBorder="1" applyAlignment="1">
      <alignment horizontal="center" vertical="top"/>
    </xf>
    <xf numFmtId="169" fontId="7" fillId="19" borderId="52" xfId="41" applyFont="1" applyFill="1" applyBorder="1" applyAlignment="1">
      <alignment horizontal="center" vertical="top"/>
    </xf>
    <xf numFmtId="169" fontId="11" fillId="9" borderId="0" xfId="41" applyFont="1" applyFill="1" applyBorder="1" applyAlignment="1">
      <alignment horizontal="center" vertical="center"/>
    </xf>
    <xf numFmtId="169" fontId="11" fillId="19" borderId="0" xfId="41" applyFont="1" applyFill="1" applyBorder="1" applyAlignment="1">
      <alignment horizontal="center" vertical="center"/>
    </xf>
    <xf numFmtId="169" fontId="5" fillId="9" borderId="0" xfId="41" applyFont="1" applyFill="1" applyBorder="1" applyAlignment="1">
      <alignment horizontal="center" vertical="top"/>
    </xf>
    <xf numFmtId="169" fontId="5" fillId="19" borderId="0" xfId="41" applyFont="1" applyFill="1" applyBorder="1" applyAlignment="1">
      <alignment horizontal="center" vertical="top"/>
    </xf>
    <xf numFmtId="169" fontId="5" fillId="9" borderId="6" xfId="41" applyFont="1" applyFill="1" applyBorder="1" applyAlignment="1">
      <alignment horizontal="center" vertical="top"/>
    </xf>
    <xf numFmtId="169" fontId="5" fillId="19" borderId="6" xfId="41" applyFont="1" applyFill="1" applyBorder="1" applyAlignment="1">
      <alignment horizontal="center" vertical="top"/>
    </xf>
    <xf numFmtId="169" fontId="5" fillId="9" borderId="76" xfId="41" applyFont="1" applyFill="1" applyBorder="1" applyAlignment="1">
      <alignment horizontal="center" vertical="top"/>
    </xf>
    <xf numFmtId="169" fontId="7" fillId="9" borderId="0" xfId="41" applyFont="1" applyFill="1" applyBorder="1" applyAlignment="1">
      <alignment horizontal="center" vertical="top"/>
    </xf>
    <xf numFmtId="169" fontId="5" fillId="9" borderId="20" xfId="41" applyFont="1" applyFill="1" applyBorder="1" applyAlignment="1">
      <alignment horizontal="center" vertical="top"/>
    </xf>
    <xf numFmtId="169" fontId="5" fillId="9" borderId="9" xfId="41" applyFont="1" applyFill="1" applyBorder="1" applyAlignment="1">
      <alignment horizontal="center" vertical="top"/>
    </xf>
    <xf numFmtId="169" fontId="5" fillId="19" borderId="9" xfId="41" applyFont="1" applyFill="1" applyBorder="1" applyAlignment="1">
      <alignment horizontal="center" vertical="top"/>
    </xf>
    <xf numFmtId="169" fontId="11" fillId="9" borderId="3" xfId="41" applyFont="1" applyFill="1" applyBorder="1" applyAlignment="1">
      <alignment horizontal="center" vertical="center"/>
    </xf>
    <xf numFmtId="169" fontId="11" fillId="19" borderId="3" xfId="41" applyFont="1" applyFill="1" applyBorder="1" applyAlignment="1">
      <alignment horizontal="center" vertical="center"/>
    </xf>
    <xf numFmtId="169" fontId="5" fillId="19" borderId="76" xfId="41" applyFont="1" applyFill="1" applyBorder="1" applyAlignment="1">
      <alignment horizontal="center" vertical="top"/>
    </xf>
    <xf numFmtId="170" fontId="7" fillId="0" borderId="58" xfId="41" applyNumberFormat="1" applyFont="1" applyFill="1" applyBorder="1" applyAlignment="1">
      <alignment vertical="top"/>
    </xf>
    <xf numFmtId="169" fontId="5" fillId="6" borderId="4" xfId="41" applyFill="1" applyBorder="1" applyAlignment="1">
      <alignment horizontal="center" vertical="top"/>
    </xf>
    <xf numFmtId="169" fontId="5" fillId="6" borderId="1" xfId="41" applyFill="1" applyBorder="1" applyAlignment="1">
      <alignment horizontal="center" vertical="top"/>
    </xf>
    <xf numFmtId="169" fontId="5" fillId="6" borderId="4" xfId="41" applyFont="1" applyFill="1" applyBorder="1" applyAlignment="1">
      <alignment horizontal="center" vertical="center" wrapText="1"/>
    </xf>
    <xf numFmtId="169" fontId="7" fillId="6" borderId="33" xfId="41" applyFont="1" applyFill="1" applyBorder="1" applyAlignment="1">
      <alignment horizontal="center" vertical="top"/>
    </xf>
    <xf numFmtId="169" fontId="11" fillId="6" borderId="1" xfId="41" applyFont="1" applyFill="1" applyBorder="1" applyAlignment="1">
      <alignment horizontal="center" vertical="center"/>
    </xf>
    <xf numFmtId="169" fontId="5" fillId="6" borderId="1" xfId="41" applyFont="1" applyFill="1" applyBorder="1" applyAlignment="1">
      <alignment horizontal="center" vertical="top"/>
    </xf>
    <xf numFmtId="169" fontId="5" fillId="6" borderId="29" xfId="41" applyFont="1" applyFill="1" applyBorder="1" applyAlignment="1">
      <alignment horizontal="center" vertical="top"/>
    </xf>
    <xf numFmtId="1" fontId="5" fillId="15" borderId="1" xfId="41" applyNumberFormat="1" applyFont="1" applyFill="1" applyBorder="1" applyAlignment="1">
      <alignment horizontal="center" vertical="top"/>
    </xf>
    <xf numFmtId="169" fontId="5" fillId="20" borderId="1" xfId="41" applyFont="1" applyFill="1" applyBorder="1" applyAlignment="1">
      <alignment horizontal="center" vertical="top"/>
    </xf>
    <xf numFmtId="169" fontId="5" fillId="3" borderId="1" xfId="41" applyFont="1" applyFill="1" applyBorder="1" applyAlignment="1">
      <alignment horizontal="center" vertical="top"/>
    </xf>
    <xf numFmtId="2" fontId="5" fillId="19" borderId="11" xfId="41" applyNumberFormat="1" applyFont="1" applyFill="1" applyBorder="1" applyAlignment="1">
      <alignment horizontal="center" vertical="top"/>
    </xf>
    <xf numFmtId="2" fontId="5" fillId="19" borderId="81" xfId="41" applyNumberFormat="1" applyFont="1" applyFill="1" applyBorder="1" applyAlignment="1">
      <alignment horizontal="center" vertical="top"/>
    </xf>
    <xf numFmtId="2" fontId="7" fillId="19" borderId="11" xfId="41" applyNumberFormat="1" applyFont="1" applyFill="1" applyBorder="1" applyAlignment="1">
      <alignment horizontal="center" vertical="top"/>
    </xf>
    <xf numFmtId="2" fontId="5" fillId="20" borderId="11" xfId="41" applyNumberFormat="1" applyFont="1" applyFill="1" applyBorder="1" applyAlignment="1">
      <alignment horizontal="center" vertical="top"/>
    </xf>
    <xf numFmtId="2" fontId="5" fillId="19" borderId="10" xfId="41" applyNumberFormat="1" applyFont="1" applyFill="1" applyBorder="1" applyAlignment="1">
      <alignment horizontal="center" vertical="top"/>
    </xf>
    <xf numFmtId="2" fontId="11" fillId="19" borderId="11" xfId="41" applyNumberFormat="1" applyFont="1" applyFill="1" applyBorder="1" applyAlignment="1">
      <alignment horizontal="center" vertical="center"/>
    </xf>
    <xf numFmtId="2" fontId="5" fillId="3" borderId="11" xfId="41" applyNumberFormat="1" applyFont="1" applyFill="1" applyBorder="1" applyAlignment="1">
      <alignment horizontal="center" vertical="top"/>
    </xf>
    <xf numFmtId="1" fontId="5" fillId="19" borderId="11" xfId="41" applyNumberFormat="1" applyFont="1" applyFill="1" applyBorder="1" applyAlignment="1">
      <alignment horizontal="center" vertical="top"/>
    </xf>
    <xf numFmtId="1" fontId="5" fillId="6" borderId="11" xfId="41" applyNumberFormat="1" applyFont="1" applyFill="1" applyBorder="1" applyAlignment="1">
      <alignment horizontal="center" vertical="top"/>
    </xf>
    <xf numFmtId="1" fontId="5" fillId="19" borderId="81" xfId="41" applyNumberFormat="1" applyFont="1" applyFill="1" applyBorder="1" applyAlignment="1">
      <alignment horizontal="center" vertical="top"/>
    </xf>
    <xf numFmtId="1" fontId="7" fillId="19" borderId="11" xfId="41" applyNumberFormat="1" applyFont="1" applyFill="1" applyBorder="1" applyAlignment="1">
      <alignment horizontal="center" vertical="top"/>
    </xf>
    <xf numFmtId="1" fontId="5" fillId="20" borderId="11" xfId="41" applyNumberFormat="1" applyFont="1" applyFill="1" applyBorder="1" applyAlignment="1">
      <alignment horizontal="center" vertical="top"/>
    </xf>
    <xf numFmtId="1" fontId="5" fillId="19" borderId="18" xfId="41" applyNumberFormat="1" applyFont="1" applyFill="1" applyBorder="1" applyAlignment="1">
      <alignment horizontal="center" vertical="top"/>
    </xf>
    <xf numFmtId="1" fontId="5" fillId="19" borderId="10" xfId="41" applyNumberFormat="1" applyFont="1" applyFill="1" applyBorder="1" applyAlignment="1">
      <alignment horizontal="center" vertical="top"/>
    </xf>
    <xf numFmtId="1" fontId="11" fillId="19" borderId="11" xfId="41" applyNumberFormat="1" applyFont="1" applyFill="1" applyBorder="1" applyAlignment="1">
      <alignment horizontal="center" vertical="center"/>
    </xf>
    <xf numFmtId="1" fontId="11" fillId="19" borderId="18" xfId="41" applyNumberFormat="1" applyFont="1" applyFill="1" applyBorder="1" applyAlignment="1">
      <alignment horizontal="center" vertical="center"/>
    </xf>
    <xf numFmtId="1" fontId="5" fillId="3" borderId="11" xfId="41" applyNumberFormat="1" applyFont="1" applyFill="1" applyBorder="1" applyAlignment="1">
      <alignment horizontal="center" vertical="top"/>
    </xf>
    <xf numFmtId="1" fontId="6" fillId="19" borderId="18" xfId="41" applyNumberFormat="1" applyFont="1" applyFill="1" applyBorder="1" applyAlignment="1">
      <alignment horizontal="center" vertical="top"/>
    </xf>
    <xf numFmtId="169" fontId="41" fillId="6" borderId="15" xfId="0" applyNumberFormat="1" applyFont="1" applyFill="1" applyBorder="1" applyAlignment="1">
      <alignment horizontal="justify" vertical="top" wrapText="1"/>
    </xf>
    <xf numFmtId="169" fontId="41" fillId="6" borderId="16" xfId="0" applyNumberFormat="1" applyFont="1" applyFill="1" applyBorder="1" applyAlignment="1">
      <alignment horizontal="justify" vertical="top" wrapText="1"/>
    </xf>
    <xf numFmtId="169" fontId="2" fillId="6" borderId="15" xfId="0" applyNumberFormat="1" applyFont="1" applyFill="1" applyBorder="1">
      <alignment vertical="top"/>
    </xf>
    <xf numFmtId="169" fontId="41" fillId="6" borderId="15" xfId="0" applyNumberFormat="1" applyFont="1" applyFill="1" applyBorder="1" applyAlignment="1">
      <alignment horizontal="left" vertical="top" wrapText="1"/>
    </xf>
    <xf numFmtId="169" fontId="2" fillId="6" borderId="16" xfId="0" applyNumberFormat="1" applyFont="1" applyFill="1" applyBorder="1" applyAlignment="1">
      <alignment horizontal="center" vertical="top"/>
    </xf>
    <xf numFmtId="169" fontId="2" fillId="6" borderId="14" xfId="0" applyNumberFormat="1" applyFont="1" applyFill="1" applyBorder="1" applyAlignment="1">
      <alignment horizontal="center" vertical="top"/>
    </xf>
    <xf numFmtId="169" fontId="2" fillId="6" borderId="15" xfId="0" applyNumberFormat="1" applyFont="1" applyFill="1" applyBorder="1" applyAlignment="1">
      <alignment horizontal="center" vertical="top"/>
    </xf>
    <xf numFmtId="169" fontId="2" fillId="6" borderId="16" xfId="0" applyNumberFormat="1" applyFont="1" applyFill="1" applyBorder="1">
      <alignment vertical="top"/>
    </xf>
    <xf numFmtId="169" fontId="2" fillId="6" borderId="53" xfId="0" applyNumberFormat="1" applyFont="1" applyFill="1" applyBorder="1" applyAlignment="1">
      <alignment horizontal="center" vertical="top"/>
    </xf>
    <xf numFmtId="9" fontId="5" fillId="2" borderId="0" xfId="40" applyNumberFormat="1" applyFont="1" applyFill="1" applyBorder="1" applyAlignment="1">
      <alignment horizontal="center" vertical="top"/>
    </xf>
    <xf numFmtId="2" fontId="11" fillId="6" borderId="13" xfId="41" applyNumberFormat="1" applyFont="1" applyFill="1" applyBorder="1" applyAlignment="1">
      <alignment horizontal="center" vertical="top"/>
    </xf>
    <xf numFmtId="2" fontId="11" fillId="6" borderId="11" xfId="41" applyNumberFormat="1" applyFont="1" applyFill="1" applyBorder="1" applyAlignment="1">
      <alignment horizontal="center" vertical="top"/>
    </xf>
    <xf numFmtId="2" fontId="5" fillId="6" borderId="37" xfId="41" applyNumberFormat="1" applyFont="1" applyFill="1" applyBorder="1" applyAlignment="1">
      <alignment horizontal="center" vertical="top"/>
    </xf>
    <xf numFmtId="2" fontId="5" fillId="6" borderId="59" xfId="41" applyNumberFormat="1" applyFont="1" applyFill="1" applyBorder="1" applyAlignment="1">
      <alignment horizontal="center" vertical="top"/>
    </xf>
    <xf numFmtId="2" fontId="5" fillId="6" borderId="59" xfId="41" applyNumberFormat="1" applyFont="1" applyFill="1" applyBorder="1" applyAlignment="1">
      <alignment vertical="top"/>
    </xf>
    <xf numFmtId="2" fontId="5" fillId="6" borderId="11" xfId="41" applyNumberFormat="1" applyFont="1" applyFill="1" applyBorder="1" applyAlignment="1">
      <alignment vertical="top"/>
    </xf>
    <xf numFmtId="2" fontId="5" fillId="19" borderId="0" xfId="40" applyNumberFormat="1" applyFont="1" applyFill="1" applyBorder="1" applyAlignment="1">
      <alignment horizontal="center" vertical="top"/>
    </xf>
    <xf numFmtId="2" fontId="5" fillId="2" borderId="0" xfId="40" applyNumberFormat="1" applyFont="1" applyFill="1" applyBorder="1" applyAlignment="1">
      <alignment horizontal="center" vertical="top"/>
    </xf>
    <xf numFmtId="2" fontId="11" fillId="0" borderId="75" xfId="41" applyNumberFormat="1" applyFont="1" applyFill="1" applyBorder="1" applyAlignment="1">
      <alignment horizontal="center" vertical="top"/>
    </xf>
    <xf numFmtId="2" fontId="11" fillId="0" borderId="76" xfId="41" applyNumberFormat="1" applyFont="1" applyFill="1" applyBorder="1" applyAlignment="1">
      <alignment horizontal="center" vertical="top"/>
    </xf>
    <xf numFmtId="2" fontId="11" fillId="0" borderId="77" xfId="41" applyNumberFormat="1" applyFont="1" applyFill="1" applyBorder="1" applyAlignment="1">
      <alignment horizontal="center" vertical="top"/>
    </xf>
    <xf numFmtId="2" fontId="11" fillId="0" borderId="80" xfId="41" applyNumberFormat="1" applyFont="1" applyFill="1" applyBorder="1" applyAlignment="1">
      <alignment horizontal="center" vertical="top"/>
    </xf>
    <xf numFmtId="2" fontId="11" fillId="0" borderId="81" xfId="41" applyNumberFormat="1" applyFont="1" applyFill="1" applyBorder="1" applyAlignment="1">
      <alignment horizontal="center" vertical="top"/>
    </xf>
    <xf numFmtId="2" fontId="7" fillId="0" borderId="77" xfId="41" applyNumberFormat="1" applyFont="1" applyFill="1" applyBorder="1" applyAlignment="1">
      <alignment horizontal="center" vertical="top"/>
    </xf>
    <xf numFmtId="2" fontId="5" fillId="0" borderId="76" xfId="41" applyNumberFormat="1" applyFont="1" applyFill="1" applyBorder="1" applyAlignment="1">
      <alignment vertical="top"/>
    </xf>
    <xf numFmtId="2" fontId="5" fillId="0" borderId="84" xfId="41" applyNumberFormat="1" applyFont="1" applyFill="1" applyBorder="1" applyAlignment="1">
      <alignment horizontal="center" vertical="top"/>
    </xf>
    <xf numFmtId="2" fontId="5" fillId="0" borderId="83" xfId="41" applyNumberFormat="1" applyFont="1" applyFill="1" applyBorder="1" applyAlignment="1">
      <alignment horizontal="center" vertical="top"/>
    </xf>
    <xf numFmtId="2" fontId="5" fillId="0" borderId="83" xfId="41" applyNumberFormat="1" applyFont="1" applyFill="1" applyBorder="1" applyAlignment="1">
      <alignment vertical="top"/>
    </xf>
    <xf numFmtId="2" fontId="5" fillId="0" borderId="81" xfId="41" applyNumberFormat="1" applyFont="1" applyFill="1" applyBorder="1" applyAlignment="1">
      <alignment vertical="top"/>
    </xf>
    <xf numFmtId="2" fontId="5" fillId="0" borderId="77" xfId="41" applyNumberFormat="1" applyFont="1" applyFill="1" applyBorder="1" applyAlignment="1">
      <alignment vertical="top"/>
    </xf>
    <xf numFmtId="2" fontId="5" fillId="9" borderId="76" xfId="41" applyNumberFormat="1" applyFont="1" applyFill="1" applyBorder="1" applyAlignment="1">
      <alignment horizontal="center" vertical="top"/>
    </xf>
    <xf numFmtId="2" fontId="5" fillId="19" borderId="76" xfId="40" applyNumberFormat="1" applyFont="1" applyFill="1" applyBorder="1" applyAlignment="1">
      <alignment horizontal="center" vertical="top"/>
    </xf>
    <xf numFmtId="2" fontId="5" fillId="6" borderId="77" xfId="41" applyNumberFormat="1" applyFont="1" applyFill="1" applyBorder="1" applyAlignment="1">
      <alignment horizontal="center" vertical="top"/>
    </xf>
    <xf numFmtId="2" fontId="5" fillId="0" borderId="75" xfId="41" applyNumberFormat="1" applyFont="1" applyFill="1" applyBorder="1" applyAlignment="1">
      <alignment vertical="top"/>
    </xf>
    <xf numFmtId="2" fontId="5" fillId="0" borderId="80" xfId="41" applyNumberFormat="1" applyFont="1" applyFill="1" applyBorder="1" applyAlignment="1">
      <alignment vertical="top"/>
    </xf>
    <xf numFmtId="2" fontId="5" fillId="9" borderId="76" xfId="41" applyNumberFormat="1" applyFont="1" applyFill="1" applyBorder="1" applyAlignment="1">
      <alignment vertical="top"/>
    </xf>
    <xf numFmtId="2" fontId="5" fillId="2" borderId="76" xfId="40" applyNumberFormat="1" applyFont="1" applyFill="1" applyBorder="1" applyAlignment="1">
      <alignment horizontal="center" vertical="top"/>
    </xf>
    <xf numFmtId="2" fontId="5" fillId="2" borderId="81" xfId="41" applyNumberFormat="1" applyFont="1" applyFill="1" applyBorder="1" applyAlignment="1">
      <alignment vertical="top"/>
    </xf>
    <xf numFmtId="2" fontId="7" fillId="0" borderId="2" xfId="41" applyNumberFormat="1" applyFont="1" applyFill="1" applyBorder="1" applyAlignment="1">
      <alignment horizontal="center" vertical="top"/>
    </xf>
    <xf numFmtId="2" fontId="7" fillId="0" borderId="0" xfId="41" applyNumberFormat="1" applyFont="1" applyFill="1" applyBorder="1" applyAlignment="1">
      <alignment horizontal="center" vertical="top"/>
    </xf>
    <xf numFmtId="2" fontId="7" fillId="0" borderId="13" xfId="41" applyNumberFormat="1" applyFont="1" applyFill="1" applyBorder="1" applyAlignment="1">
      <alignment horizontal="center" vertical="top"/>
    </xf>
    <xf numFmtId="2" fontId="7" fillId="0" borderId="11" xfId="41" applyNumberFormat="1" applyFont="1" applyFill="1" applyBorder="1" applyAlignment="1">
      <alignment horizontal="center" vertical="top"/>
    </xf>
    <xf numFmtId="2" fontId="7" fillId="0" borderId="0" xfId="41" applyNumberFormat="1" applyFont="1" applyFill="1" applyBorder="1" applyAlignment="1">
      <alignment vertical="top"/>
    </xf>
    <xf numFmtId="2" fontId="7" fillId="0" borderId="37" xfId="41" applyNumberFormat="1" applyFont="1" applyFill="1" applyBorder="1" applyAlignment="1">
      <alignment horizontal="center" vertical="top"/>
    </xf>
    <xf numFmtId="2" fontId="7" fillId="0" borderId="59" xfId="41" applyNumberFormat="1" applyFont="1" applyFill="1" applyBorder="1" applyAlignment="1">
      <alignment horizontal="center" vertical="top"/>
    </xf>
    <xf numFmtId="2" fontId="7" fillId="0" borderId="59" xfId="41" applyNumberFormat="1" applyFont="1" applyFill="1" applyBorder="1" applyAlignment="1">
      <alignment vertical="top"/>
    </xf>
    <xf numFmtId="2" fontId="7" fillId="0" borderId="11" xfId="41" applyNumberFormat="1" applyFont="1" applyFill="1" applyBorder="1" applyAlignment="1">
      <alignment vertical="top"/>
    </xf>
    <xf numFmtId="2" fontId="7" fillId="0" borderId="1" xfId="41" applyNumberFormat="1" applyFont="1" applyFill="1" applyBorder="1" applyAlignment="1">
      <alignment vertical="top"/>
    </xf>
    <xf numFmtId="2" fontId="7" fillId="9" borderId="0" xfId="41" applyNumberFormat="1" applyFont="1" applyFill="1" applyBorder="1" applyAlignment="1">
      <alignment horizontal="center" vertical="top"/>
    </xf>
    <xf numFmtId="2" fontId="7" fillId="19" borderId="0" xfId="40" applyNumberFormat="1" applyFont="1" applyFill="1" applyBorder="1" applyAlignment="1">
      <alignment horizontal="center" vertical="top"/>
    </xf>
    <xf numFmtId="2" fontId="7" fillId="0" borderId="2" xfId="41" applyNumberFormat="1" applyFont="1" applyFill="1" applyBorder="1" applyAlignment="1">
      <alignment vertical="top"/>
    </xf>
    <xf numFmtId="2" fontId="7" fillId="0" borderId="13" xfId="41" applyNumberFormat="1" applyFont="1" applyFill="1" applyBorder="1" applyAlignment="1">
      <alignment vertical="top"/>
    </xf>
    <xf numFmtId="2" fontId="7" fillId="9" borderId="0" xfId="41" applyNumberFormat="1" applyFont="1" applyFill="1" applyBorder="1" applyAlignment="1">
      <alignment vertical="top"/>
    </xf>
    <xf numFmtId="2" fontId="7" fillId="2" borderId="0" xfId="40" applyNumberFormat="1" applyFont="1" applyFill="1" applyBorder="1" applyAlignment="1">
      <alignment horizontal="center" vertical="top"/>
    </xf>
    <xf numFmtId="2" fontId="7" fillId="2" borderId="11" xfId="41" applyNumberFormat="1" applyFont="1" applyFill="1" applyBorder="1" applyAlignment="1">
      <alignment vertical="top"/>
    </xf>
    <xf numFmtId="2" fontId="5" fillId="20" borderId="2" xfId="41" applyNumberFormat="1" applyFont="1" applyFill="1" applyBorder="1" applyAlignment="1">
      <alignment horizontal="center" vertical="top"/>
    </xf>
    <xf numFmtId="2" fontId="5" fillId="20" borderId="0" xfId="41" applyNumberFormat="1" applyFont="1" applyFill="1" applyBorder="1" applyAlignment="1">
      <alignment horizontal="center" vertical="top"/>
    </xf>
    <xf numFmtId="2" fontId="5" fillId="20" borderId="1" xfId="41" applyNumberFormat="1" applyFont="1" applyFill="1" applyBorder="1" applyAlignment="1">
      <alignment horizontal="center" vertical="top"/>
    </xf>
    <xf numFmtId="2" fontId="5" fillId="20" borderId="13" xfId="41" applyNumberFormat="1" applyFont="1" applyFill="1" applyBorder="1" applyAlignment="1">
      <alignment horizontal="center" vertical="top"/>
    </xf>
    <xf numFmtId="2" fontId="7" fillId="20" borderId="1" xfId="41" applyNumberFormat="1" applyFont="1" applyFill="1" applyBorder="1" applyAlignment="1">
      <alignment horizontal="center" vertical="top"/>
    </xf>
    <xf numFmtId="2" fontId="5" fillId="20" borderId="0" xfId="41" applyNumberFormat="1" applyFont="1" applyFill="1" applyBorder="1" applyAlignment="1">
      <alignment vertical="top"/>
    </xf>
    <xf numFmtId="2" fontId="5" fillId="20" borderId="37" xfId="41" applyNumberFormat="1" applyFont="1" applyFill="1" applyBorder="1" applyAlignment="1">
      <alignment horizontal="center" vertical="top"/>
    </xf>
    <xf numFmtId="2" fontId="5" fillId="20" borderId="59" xfId="41" applyNumberFormat="1" applyFont="1" applyFill="1" applyBorder="1" applyAlignment="1">
      <alignment horizontal="center" vertical="top"/>
    </xf>
    <xf numFmtId="2" fontId="5" fillId="20" borderId="59" xfId="41" applyNumberFormat="1" applyFont="1" applyFill="1" applyBorder="1" applyAlignment="1">
      <alignment vertical="top"/>
    </xf>
    <xf numFmtId="2" fontId="5" fillId="20" borderId="11" xfId="41" applyNumberFormat="1" applyFont="1" applyFill="1" applyBorder="1" applyAlignment="1">
      <alignment vertical="top"/>
    </xf>
    <xf numFmtId="2" fontId="5" fillId="20" borderId="1" xfId="41" applyNumberFormat="1" applyFont="1" applyFill="1" applyBorder="1" applyAlignment="1">
      <alignment vertical="top"/>
    </xf>
    <xf numFmtId="2" fontId="5" fillId="20" borderId="2" xfId="41" applyNumberFormat="1" applyFont="1" applyFill="1" applyBorder="1" applyAlignment="1">
      <alignment vertical="top"/>
    </xf>
    <xf numFmtId="2" fontId="5" fillId="20" borderId="13" xfId="41" applyNumberFormat="1" applyFont="1" applyFill="1" applyBorder="1" applyAlignment="1">
      <alignment vertical="top"/>
    </xf>
    <xf numFmtId="2" fontId="46" fillId="20" borderId="1" xfId="41" applyNumberFormat="1" applyFont="1" applyFill="1" applyBorder="1" applyAlignment="1">
      <alignment horizontal="center" vertical="top"/>
    </xf>
    <xf numFmtId="2" fontId="46" fillId="20" borderId="0" xfId="41" applyNumberFormat="1" applyFont="1" applyFill="1" applyBorder="1" applyAlignment="1">
      <alignment horizontal="center" vertical="top"/>
    </xf>
    <xf numFmtId="2" fontId="5" fillId="0" borderId="13" xfId="41" applyNumberFormat="1" applyFont="1" applyFill="1" applyBorder="1" applyAlignment="1">
      <alignment horizontal="center" vertical="top"/>
    </xf>
    <xf numFmtId="2" fontId="5" fillId="0" borderId="11" xfId="41" applyNumberFormat="1" applyFont="1" applyFill="1" applyBorder="1" applyAlignment="1">
      <alignment horizontal="center" vertical="top"/>
    </xf>
    <xf numFmtId="2" fontId="5" fillId="0" borderId="37" xfId="41" applyNumberFormat="1" applyFont="1" applyFill="1" applyBorder="1" applyAlignment="1">
      <alignment horizontal="center" vertical="top"/>
    </xf>
    <xf numFmtId="2" fontId="5" fillId="0" borderId="59" xfId="41" applyNumberFormat="1" applyFont="1" applyFill="1" applyBorder="1" applyAlignment="1">
      <alignment horizontal="center" vertical="top"/>
    </xf>
    <xf numFmtId="2" fontId="5" fillId="0" borderId="59" xfId="41" applyNumberFormat="1" applyFont="1" applyFill="1" applyBorder="1" applyAlignment="1">
      <alignment vertical="top"/>
    </xf>
    <xf numFmtId="2" fontId="5" fillId="0" borderId="11" xfId="41" applyNumberFormat="1" applyFont="1" applyFill="1" applyBorder="1" applyAlignment="1">
      <alignment vertical="top"/>
    </xf>
    <xf numFmtId="2" fontId="5" fillId="9" borderId="0" xfId="41" applyNumberFormat="1" applyFont="1" applyFill="1" applyBorder="1" applyAlignment="1">
      <alignment horizontal="center" vertical="top"/>
    </xf>
    <xf numFmtId="2" fontId="5" fillId="6" borderId="1" xfId="41" applyNumberFormat="1" applyFont="1" applyFill="1" applyBorder="1" applyAlignment="1">
      <alignment horizontal="center" vertical="top"/>
    </xf>
    <xf numFmtId="2" fontId="5" fillId="0" borderId="13" xfId="41" applyNumberFormat="1" applyFont="1" applyFill="1" applyBorder="1" applyAlignment="1">
      <alignment vertical="top"/>
    </xf>
    <xf numFmtId="2" fontId="5" fillId="9" borderId="0" xfId="41" applyNumberFormat="1" applyFont="1" applyFill="1" applyBorder="1" applyAlignment="1">
      <alignment vertical="top"/>
    </xf>
    <xf numFmtId="2" fontId="5" fillId="2" borderId="11" xfId="41" applyNumberFormat="1" applyFont="1" applyFill="1" applyBorder="1" applyAlignment="1">
      <alignment vertical="top"/>
    </xf>
    <xf numFmtId="2" fontId="11" fillId="0" borderId="62" xfId="41" applyNumberFormat="1" applyFont="1" applyFill="1" applyBorder="1" applyAlignment="1">
      <alignment horizontal="center" vertical="top"/>
    </xf>
    <xf numFmtId="2" fontId="11" fillId="0" borderId="20" xfId="41" applyNumberFormat="1" applyFont="1" applyFill="1" applyBorder="1" applyAlignment="1">
      <alignment horizontal="center" vertical="top"/>
    </xf>
    <xf numFmtId="2" fontId="11" fillId="0" borderId="65" xfId="41" applyNumberFormat="1" applyFont="1" applyFill="1" applyBorder="1" applyAlignment="1">
      <alignment horizontal="center" vertical="top"/>
    </xf>
    <xf numFmtId="2" fontId="11" fillId="0" borderId="17" xfId="41" applyNumberFormat="1" applyFont="1" applyFill="1" applyBorder="1" applyAlignment="1">
      <alignment horizontal="center" vertical="top"/>
    </xf>
    <xf numFmtId="2" fontId="11" fillId="0" borderId="18" xfId="41" applyNumberFormat="1" applyFont="1" applyFill="1" applyBorder="1" applyAlignment="1">
      <alignment horizontal="center" vertical="top"/>
    </xf>
    <xf numFmtId="2" fontId="7" fillId="0" borderId="65" xfId="41" applyNumberFormat="1" applyFont="1" applyFill="1" applyBorder="1" applyAlignment="1">
      <alignment horizontal="center" vertical="top"/>
    </xf>
    <xf numFmtId="2" fontId="5" fillId="0" borderId="20" xfId="41" applyNumberFormat="1" applyFont="1" applyFill="1" applyBorder="1" applyAlignment="1">
      <alignment vertical="top"/>
    </xf>
    <xf numFmtId="2" fontId="5" fillId="0" borderId="63" xfId="41" applyNumberFormat="1" applyFont="1" applyFill="1" applyBorder="1" applyAlignment="1">
      <alignment horizontal="center" vertical="top"/>
    </xf>
    <xf numFmtId="2" fontId="5" fillId="0" borderId="64" xfId="41" applyNumberFormat="1" applyFont="1" applyFill="1" applyBorder="1" applyAlignment="1">
      <alignment horizontal="center" vertical="top"/>
    </xf>
    <xf numFmtId="2" fontId="5" fillId="0" borderId="64" xfId="41" applyNumberFormat="1" applyFont="1" applyFill="1" applyBorder="1" applyAlignment="1">
      <alignment vertical="top"/>
    </xf>
    <xf numFmtId="2" fontId="5" fillId="0" borderId="18" xfId="41" applyNumberFormat="1" applyFont="1" applyFill="1" applyBorder="1" applyAlignment="1">
      <alignment vertical="top"/>
    </xf>
    <xf numFmtId="2" fontId="5" fillId="0" borderId="65" xfId="41" applyNumberFormat="1" applyFont="1" applyFill="1" applyBorder="1" applyAlignment="1">
      <alignment vertical="top"/>
    </xf>
    <xf numFmtId="2" fontId="5" fillId="9" borderId="20" xfId="41" applyNumberFormat="1" applyFont="1" applyFill="1" applyBorder="1" applyAlignment="1">
      <alignment horizontal="center" vertical="top"/>
    </xf>
    <xf numFmtId="2" fontId="5" fillId="19" borderId="20" xfId="40" applyNumberFormat="1" applyFont="1" applyFill="1" applyBorder="1" applyAlignment="1">
      <alignment horizontal="center" vertical="top"/>
    </xf>
    <xf numFmtId="2" fontId="11" fillId="0" borderId="13" xfId="41" applyNumberFormat="1" applyFont="1" applyFill="1" applyBorder="1" applyAlignment="1">
      <alignment horizontal="center" vertical="top"/>
    </xf>
    <xf numFmtId="2" fontId="11" fillId="0" borderId="11" xfId="41" applyNumberFormat="1" applyFont="1" applyFill="1" applyBorder="1" applyAlignment="1">
      <alignment horizontal="center" vertical="top"/>
    </xf>
    <xf numFmtId="2" fontId="5" fillId="0" borderId="21" xfId="41" applyNumberFormat="1" applyFont="1" applyFill="1" applyBorder="1" applyAlignment="1">
      <alignment horizontal="center" vertical="top"/>
    </xf>
    <xf numFmtId="2" fontId="5" fillId="0" borderId="9" xfId="41" applyNumberFormat="1" applyFont="1" applyFill="1" applyBorder="1" applyAlignment="1">
      <alignment horizontal="center" vertical="top"/>
    </xf>
    <xf numFmtId="2" fontId="5" fillId="0" borderId="48" xfId="41" applyNumberFormat="1" applyFont="1" applyFill="1" applyBorder="1" applyAlignment="1">
      <alignment horizontal="center" vertical="top"/>
    </xf>
    <xf numFmtId="2" fontId="5" fillId="0" borderId="12" xfId="41" applyNumberFormat="1" applyFont="1" applyFill="1" applyBorder="1" applyAlignment="1">
      <alignment horizontal="center" vertical="top"/>
    </xf>
    <xf numFmtId="2" fontId="5" fillId="0" borderId="10" xfId="41" applyNumberFormat="1" applyFont="1" applyFill="1" applyBorder="1" applyAlignment="1">
      <alignment horizontal="center" vertical="top"/>
    </xf>
    <xf numFmtId="2" fontId="5" fillId="0" borderId="66" xfId="41" applyNumberFormat="1" applyFont="1" applyFill="1" applyBorder="1" applyAlignment="1">
      <alignment horizontal="center" vertical="top"/>
    </xf>
    <xf numFmtId="2" fontId="5" fillId="0" borderId="67" xfId="41" applyNumberFormat="1" applyFont="1" applyFill="1" applyBorder="1" applyAlignment="1">
      <alignment horizontal="center" vertical="top"/>
    </xf>
    <xf numFmtId="2" fontId="5" fillId="0" borderId="67" xfId="41" applyNumberFormat="1" applyFont="1" applyFill="1" applyBorder="1" applyAlignment="1">
      <alignment vertical="top"/>
    </xf>
    <xf numFmtId="2" fontId="5" fillId="0" borderId="10" xfId="41" applyNumberFormat="1" applyFont="1" applyFill="1" applyBorder="1" applyAlignment="1">
      <alignment vertical="top"/>
    </xf>
    <xf numFmtId="2" fontId="5" fillId="9" borderId="9" xfId="41" applyNumberFormat="1" applyFont="1" applyFill="1" applyBorder="1" applyAlignment="1">
      <alignment horizontal="center" vertical="top"/>
    </xf>
    <xf numFmtId="2" fontId="5" fillId="19" borderId="9" xfId="40" applyNumberFormat="1" applyFont="1" applyFill="1" applyBorder="1" applyAlignment="1">
      <alignment horizontal="center" vertical="top"/>
    </xf>
    <xf numFmtId="2" fontId="5" fillId="6" borderId="48" xfId="41" applyNumberFormat="1" applyFont="1" applyFill="1" applyBorder="1" applyAlignment="1">
      <alignment horizontal="center" vertical="top"/>
    </xf>
    <xf numFmtId="2" fontId="5" fillId="0" borderId="12" xfId="41" applyNumberFormat="1" applyFont="1" applyFill="1" applyBorder="1" applyAlignment="1">
      <alignment vertical="top"/>
    </xf>
    <xf numFmtId="2" fontId="5" fillId="9" borderId="9" xfId="41" applyNumberFormat="1" applyFont="1" applyFill="1" applyBorder="1" applyAlignment="1">
      <alignment vertical="top"/>
    </xf>
    <xf numFmtId="2" fontId="5" fillId="2" borderId="10" xfId="41" applyNumberFormat="1" applyFont="1" applyFill="1" applyBorder="1" applyAlignment="1">
      <alignment vertical="top"/>
    </xf>
    <xf numFmtId="2" fontId="2" fillId="0" borderId="2" xfId="0" applyNumberFormat="1" applyFont="1" applyFill="1" applyBorder="1" applyAlignment="1">
      <alignment horizontal="center" vertical="center" wrapText="1"/>
    </xf>
    <xf numFmtId="2" fontId="2" fillId="0" borderId="13" xfId="0" applyNumberFormat="1" applyFont="1" applyFill="1" applyBorder="1" applyAlignment="1">
      <alignment horizontal="center" vertical="center" wrapText="1"/>
    </xf>
    <xf numFmtId="2" fontId="2" fillId="0" borderId="11" xfId="0" applyNumberFormat="1" applyFont="1" applyFill="1" applyBorder="1" applyAlignment="1">
      <alignment horizontal="center" vertical="center" wrapText="1"/>
    </xf>
    <xf numFmtId="2" fontId="25" fillId="0" borderId="1" xfId="0" applyNumberFormat="1" applyFont="1" applyFill="1" applyBorder="1" applyAlignment="1">
      <alignment horizontal="center" vertical="center" wrapText="1"/>
    </xf>
    <xf numFmtId="2" fontId="11" fillId="0" borderId="0" xfId="41" applyNumberFormat="1" applyFont="1" applyFill="1" applyBorder="1" applyAlignment="1">
      <alignment vertical="center"/>
    </xf>
    <xf numFmtId="2" fontId="11" fillId="0" borderId="37" xfId="41" applyNumberFormat="1" applyFont="1" applyFill="1" applyBorder="1" applyAlignment="1">
      <alignment horizontal="center" vertical="center"/>
    </xf>
    <xf numFmtId="2" fontId="11" fillId="0" borderId="59" xfId="41" applyNumberFormat="1" applyFont="1" applyFill="1" applyBorder="1" applyAlignment="1">
      <alignment horizontal="center" vertical="center"/>
    </xf>
    <xf numFmtId="2" fontId="11" fillId="0" borderId="59" xfId="41" applyNumberFormat="1" applyFont="1" applyFill="1" applyBorder="1" applyAlignment="1">
      <alignment vertical="center"/>
    </xf>
    <xf numFmtId="2" fontId="11" fillId="0" borderId="11" xfId="41" applyNumberFormat="1" applyFont="1" applyFill="1" applyBorder="1" applyAlignment="1">
      <alignment vertical="center"/>
    </xf>
    <xf numFmtId="2" fontId="11" fillId="0" borderId="1" xfId="41" applyNumberFormat="1" applyFont="1" applyFill="1" applyBorder="1" applyAlignment="1">
      <alignment vertical="center"/>
    </xf>
    <xf numFmtId="2" fontId="11" fillId="9" borderId="0" xfId="41" applyNumberFormat="1" applyFont="1" applyFill="1" applyBorder="1" applyAlignment="1">
      <alignment horizontal="center" vertical="center"/>
    </xf>
    <xf numFmtId="2" fontId="11" fillId="19" borderId="0" xfId="40" applyNumberFormat="1" applyFont="1" applyFill="1" applyBorder="1" applyAlignment="1">
      <alignment horizontal="center" vertical="center"/>
    </xf>
    <xf numFmtId="2" fontId="11" fillId="6" borderId="1" xfId="41" applyNumberFormat="1" applyFont="1" applyFill="1" applyBorder="1" applyAlignment="1">
      <alignment horizontal="center" vertical="center"/>
    </xf>
    <xf numFmtId="2" fontId="11" fillId="0" borderId="2" xfId="41" applyNumberFormat="1" applyFont="1" applyFill="1" applyBorder="1" applyAlignment="1">
      <alignment vertical="center"/>
    </xf>
    <xf numFmtId="2" fontId="11" fillId="0" borderId="13" xfId="41" applyNumberFormat="1" applyFont="1" applyFill="1" applyBorder="1" applyAlignment="1">
      <alignment vertical="center"/>
    </xf>
    <xf numFmtId="2" fontId="11" fillId="9" borderId="0" xfId="41" applyNumberFormat="1" applyFont="1" applyFill="1" applyBorder="1" applyAlignment="1">
      <alignment vertical="center"/>
    </xf>
    <xf numFmtId="2" fontId="11" fillId="2" borderId="11" xfId="41" applyNumberFormat="1" applyFont="1" applyFill="1" applyBorder="1" applyAlignment="1">
      <alignment vertical="center"/>
    </xf>
    <xf numFmtId="2" fontId="5" fillId="6" borderId="13" xfId="41" applyNumberFormat="1" applyFont="1" applyFill="1" applyBorder="1" applyAlignment="1">
      <alignment vertical="top"/>
    </xf>
    <xf numFmtId="2" fontId="2" fillId="15" borderId="62" xfId="0" applyNumberFormat="1" applyFont="1" applyFill="1" applyBorder="1" applyAlignment="1">
      <alignment horizontal="center" vertical="center" wrapText="1"/>
    </xf>
    <xf numFmtId="2" fontId="2" fillId="15" borderId="20" xfId="0" applyNumberFormat="1" applyFont="1" applyFill="1" applyBorder="1" applyAlignment="1">
      <alignment horizontal="center" vertical="center" wrapText="1"/>
    </xf>
    <xf numFmtId="2" fontId="2" fillId="0" borderId="20" xfId="0" applyNumberFormat="1" applyFont="1" applyFill="1" applyBorder="1" applyAlignment="1">
      <alignment horizontal="center" vertical="center" wrapText="1"/>
    </xf>
    <xf numFmtId="2" fontId="2" fillId="0" borderId="65" xfId="0" applyNumberFormat="1" applyFont="1" applyFill="1" applyBorder="1" applyAlignment="1">
      <alignment horizontal="center" vertical="center" wrapText="1"/>
    </xf>
    <xf numFmtId="2" fontId="2" fillId="0" borderId="17" xfId="0" applyNumberFormat="1" applyFont="1" applyFill="1" applyBorder="1" applyAlignment="1">
      <alignment horizontal="center" vertical="center" wrapText="1"/>
    </xf>
    <xf numFmtId="2" fontId="2" fillId="0" borderId="18" xfId="0" applyNumberFormat="1" applyFont="1" applyFill="1" applyBorder="1" applyAlignment="1">
      <alignment horizontal="center" vertical="center" wrapText="1"/>
    </xf>
    <xf numFmtId="2" fontId="2" fillId="0" borderId="62" xfId="0" applyNumberFormat="1" applyFont="1" applyFill="1" applyBorder="1" applyAlignment="1">
      <alignment horizontal="center" vertical="center" wrapText="1"/>
    </xf>
    <xf numFmtId="2" fontId="25" fillId="0" borderId="65" xfId="0" applyNumberFormat="1" applyFont="1" applyFill="1" applyBorder="1" applyAlignment="1">
      <alignment horizontal="center" vertical="center" wrapText="1"/>
    </xf>
    <xf numFmtId="2" fontId="11" fillId="0" borderId="20" xfId="41" applyNumberFormat="1" applyFont="1" applyFill="1" applyBorder="1" applyAlignment="1">
      <alignment vertical="center"/>
    </xf>
    <xf numFmtId="2" fontId="11" fillId="0" borderId="63" xfId="41" applyNumberFormat="1" applyFont="1" applyFill="1" applyBorder="1" applyAlignment="1">
      <alignment horizontal="center" vertical="center"/>
    </xf>
    <xf numFmtId="2" fontId="11" fillId="0" borderId="64" xfId="41" applyNumberFormat="1" applyFont="1" applyFill="1" applyBorder="1" applyAlignment="1">
      <alignment horizontal="center" vertical="center"/>
    </xf>
    <xf numFmtId="2" fontId="11" fillId="0" borderId="64" xfId="41" applyNumberFormat="1" applyFont="1" applyFill="1" applyBorder="1" applyAlignment="1">
      <alignment vertical="center"/>
    </xf>
    <xf numFmtId="2" fontId="11" fillId="0" borderId="18" xfId="41" applyNumberFormat="1" applyFont="1" applyFill="1" applyBorder="1" applyAlignment="1">
      <alignment vertical="center"/>
    </xf>
    <xf numFmtId="2" fontId="11" fillId="0" borderId="65" xfId="41" applyNumberFormat="1" applyFont="1" applyFill="1" applyBorder="1" applyAlignment="1">
      <alignment vertical="center"/>
    </xf>
    <xf numFmtId="2" fontId="11" fillId="9" borderId="20" xfId="41" applyNumberFormat="1" applyFont="1" applyFill="1" applyBorder="1" applyAlignment="1">
      <alignment horizontal="center" vertical="center"/>
    </xf>
    <xf numFmtId="2" fontId="11" fillId="19" borderId="20" xfId="40" applyNumberFormat="1" applyFont="1" applyFill="1" applyBorder="1" applyAlignment="1">
      <alignment horizontal="center" vertical="center"/>
    </xf>
    <xf numFmtId="2" fontId="2" fillId="8" borderId="2" xfId="0" applyNumberFormat="1" applyFont="1" applyFill="1" applyBorder="1" applyAlignment="1">
      <alignment horizontal="center" vertical="center" wrapText="1"/>
    </xf>
    <xf numFmtId="2" fontId="2" fillId="8" borderId="0" xfId="0" applyNumberFormat="1" applyFont="1" applyFill="1" applyBorder="1" applyAlignment="1">
      <alignment horizontal="center" vertical="center" wrapText="1"/>
    </xf>
    <xf numFmtId="2" fontId="11" fillId="3" borderId="2" xfId="41" applyNumberFormat="1" applyFont="1" applyFill="1" applyBorder="1" applyAlignment="1">
      <alignment horizontal="center" vertical="top"/>
    </xf>
    <xf numFmtId="2" fontId="11" fillId="3" borderId="0" xfId="41" applyNumberFormat="1" applyFont="1" applyFill="1" applyBorder="1" applyAlignment="1">
      <alignment horizontal="center" vertical="top"/>
    </xf>
    <xf numFmtId="2" fontId="11" fillId="3" borderId="1" xfId="41" applyNumberFormat="1" applyFont="1" applyFill="1" applyBorder="1" applyAlignment="1">
      <alignment horizontal="center" vertical="top"/>
    </xf>
    <xf numFmtId="2" fontId="11" fillId="3" borderId="13" xfId="41" applyNumberFormat="1" applyFont="1" applyFill="1" applyBorder="1" applyAlignment="1">
      <alignment horizontal="center" vertical="top"/>
    </xf>
    <xf numFmtId="2" fontId="11" fillId="3" borderId="11" xfId="41" applyNumberFormat="1" applyFont="1" applyFill="1" applyBorder="1" applyAlignment="1">
      <alignment horizontal="center" vertical="top"/>
    </xf>
    <xf numFmtId="2" fontId="7" fillId="3" borderId="1" xfId="41" applyNumberFormat="1" applyFont="1" applyFill="1" applyBorder="1" applyAlignment="1">
      <alignment horizontal="center" vertical="top"/>
    </xf>
    <xf numFmtId="2" fontId="5" fillId="3" borderId="0" xfId="41" applyNumberFormat="1" applyFont="1" applyFill="1" applyBorder="1" applyAlignment="1">
      <alignment vertical="top"/>
    </xf>
    <xf numFmtId="2" fontId="5" fillId="3" borderId="37" xfId="41" applyNumberFormat="1" applyFont="1" applyFill="1" applyBorder="1" applyAlignment="1">
      <alignment horizontal="center" vertical="top"/>
    </xf>
    <xf numFmtId="2" fontId="5" fillId="3" borderId="59" xfId="41" applyNumberFormat="1" applyFont="1" applyFill="1" applyBorder="1" applyAlignment="1">
      <alignment horizontal="center" vertical="top"/>
    </xf>
    <xf numFmtId="2" fontId="5" fillId="3" borderId="59" xfId="41" applyNumberFormat="1" applyFont="1" applyFill="1" applyBorder="1" applyAlignment="1">
      <alignment vertical="top"/>
    </xf>
    <xf numFmtId="2" fontId="5" fillId="3" borderId="11" xfId="41" applyNumberFormat="1" applyFont="1" applyFill="1" applyBorder="1" applyAlignment="1">
      <alignment vertical="top"/>
    </xf>
    <xf numFmtId="2" fontId="5" fillId="3" borderId="1" xfId="41" applyNumberFormat="1" applyFont="1" applyFill="1" applyBorder="1" applyAlignment="1">
      <alignment vertical="top"/>
    </xf>
    <xf numFmtId="2" fontId="5" fillId="3" borderId="0" xfId="41" applyNumberFormat="1" applyFont="1" applyFill="1" applyBorder="1" applyAlignment="1">
      <alignment horizontal="center" vertical="top"/>
    </xf>
    <xf numFmtId="2" fontId="5" fillId="3" borderId="1" xfId="41" applyNumberFormat="1" applyFont="1" applyFill="1" applyBorder="1" applyAlignment="1">
      <alignment horizontal="center" vertical="top"/>
    </xf>
    <xf numFmtId="2" fontId="5" fillId="3" borderId="2" xfId="41" applyNumberFormat="1" applyFont="1" applyFill="1" applyBorder="1" applyAlignment="1">
      <alignment horizontal="center" vertical="top"/>
    </xf>
    <xf numFmtId="2" fontId="5" fillId="3" borderId="13" xfId="41" applyNumberFormat="1" applyFont="1" applyFill="1" applyBorder="1" applyAlignment="1">
      <alignment horizontal="center" vertical="top"/>
    </xf>
    <xf numFmtId="2" fontId="2" fillId="3" borderId="2" xfId="0" applyNumberFormat="1" applyFont="1" applyFill="1" applyBorder="1" applyAlignment="1">
      <alignment horizontal="center" vertical="center" wrapText="1"/>
    </xf>
    <xf numFmtId="2" fontId="2" fillId="3" borderId="0" xfId="0" applyNumberFormat="1" applyFont="1" applyFill="1" applyBorder="1" applyAlignment="1">
      <alignment horizontal="center" vertical="center" wrapText="1"/>
    </xf>
    <xf numFmtId="2" fontId="6" fillId="18" borderId="62" xfId="41" applyNumberFormat="1" applyFont="1" applyFill="1" applyBorder="1" applyAlignment="1">
      <alignment horizontal="center" vertical="top"/>
    </xf>
    <xf numFmtId="2" fontId="6" fillId="18" borderId="20" xfId="41" applyNumberFormat="1" applyFont="1" applyFill="1" applyBorder="1" applyAlignment="1">
      <alignment horizontal="center" vertical="top"/>
    </xf>
    <xf numFmtId="2" fontId="6" fillId="0" borderId="20" xfId="41" applyNumberFormat="1" applyFont="1" applyFill="1" applyBorder="1" applyAlignment="1">
      <alignment horizontal="center" vertical="top"/>
    </xf>
    <xf numFmtId="2" fontId="6" fillId="0" borderId="65" xfId="41" applyNumberFormat="1" applyFont="1" applyFill="1" applyBorder="1" applyAlignment="1">
      <alignment horizontal="center" vertical="top"/>
    </xf>
    <xf numFmtId="2" fontId="6" fillId="0" borderId="17" xfId="41" applyNumberFormat="1" applyFont="1" applyFill="1" applyBorder="1" applyAlignment="1">
      <alignment horizontal="center" vertical="top"/>
    </xf>
    <xf numFmtId="2" fontId="6" fillId="0" borderId="18" xfId="41" applyNumberFormat="1" applyFont="1" applyFill="1" applyBorder="1" applyAlignment="1">
      <alignment horizontal="center" vertical="top"/>
    </xf>
    <xf numFmtId="2" fontId="6" fillId="0" borderId="62" xfId="41" applyNumberFormat="1" applyFont="1" applyFill="1" applyBorder="1" applyAlignment="1">
      <alignment horizontal="center" vertical="top"/>
    </xf>
    <xf numFmtId="2" fontId="39" fillId="0" borderId="65" xfId="41" applyNumberFormat="1" applyFont="1" applyFill="1" applyBorder="1" applyAlignment="1">
      <alignment horizontal="center" vertical="top"/>
    </xf>
    <xf numFmtId="2" fontId="6" fillId="0" borderId="20" xfId="41" applyNumberFormat="1" applyFont="1" applyFill="1" applyBorder="1" applyAlignment="1">
      <alignment vertical="top"/>
    </xf>
    <xf numFmtId="2" fontId="6" fillId="0" borderId="63" xfId="41" applyNumberFormat="1" applyFont="1" applyFill="1" applyBorder="1" applyAlignment="1">
      <alignment horizontal="center" vertical="top"/>
    </xf>
    <xf numFmtId="2" fontId="6" fillId="0" borderId="64" xfId="41" applyNumberFormat="1" applyFont="1" applyFill="1" applyBorder="1" applyAlignment="1">
      <alignment horizontal="center" vertical="top"/>
    </xf>
    <xf numFmtId="2" fontId="6" fillId="0" borderId="64" xfId="41" applyNumberFormat="1" applyFont="1" applyFill="1" applyBorder="1" applyAlignment="1">
      <alignment vertical="top"/>
    </xf>
    <xf numFmtId="2" fontId="6" fillId="0" borderId="18" xfId="41" applyNumberFormat="1" applyFont="1" applyFill="1" applyBorder="1" applyAlignment="1">
      <alignment vertical="top"/>
    </xf>
    <xf numFmtId="2" fontId="6" fillId="0" borderId="65" xfId="41" applyNumberFormat="1" applyFont="1" applyFill="1" applyBorder="1" applyAlignment="1">
      <alignment vertical="top"/>
    </xf>
    <xf numFmtId="2" fontId="6" fillId="9" borderId="20" xfId="41" applyNumberFormat="1" applyFont="1" applyFill="1" applyBorder="1" applyAlignment="1">
      <alignment horizontal="center" vertical="top"/>
    </xf>
    <xf numFmtId="2" fontId="6" fillId="19" borderId="20" xfId="40" applyNumberFormat="1" applyFont="1" applyFill="1" applyBorder="1" applyAlignment="1">
      <alignment horizontal="center" vertical="top"/>
    </xf>
    <xf numFmtId="2" fontId="7" fillId="0" borderId="9" xfId="41" applyNumberFormat="1" applyFont="1" applyFill="1" applyBorder="1" applyAlignment="1">
      <alignment horizontal="center" vertical="top"/>
    </xf>
    <xf numFmtId="2" fontId="5" fillId="19" borderId="9" xfId="41" applyNumberFormat="1" applyFont="1" applyFill="1" applyBorder="1" applyAlignment="1">
      <alignment horizontal="center" vertical="top"/>
    </xf>
    <xf numFmtId="2" fontId="5" fillId="2" borderId="9" xfId="41" applyNumberFormat="1" applyFont="1" applyFill="1" applyBorder="1" applyAlignment="1">
      <alignment vertical="top"/>
    </xf>
    <xf numFmtId="2" fontId="2" fillId="16" borderId="2" xfId="0" applyNumberFormat="1" applyFont="1" applyFill="1" applyBorder="1" applyAlignment="1">
      <alignment horizontal="center" vertical="center" wrapText="1"/>
    </xf>
    <xf numFmtId="2" fontId="2" fillId="16" borderId="0" xfId="0" applyNumberFormat="1" applyFont="1" applyFill="1" applyBorder="1" applyAlignment="1">
      <alignment horizontal="center" vertical="center" wrapText="1"/>
    </xf>
    <xf numFmtId="2" fontId="7" fillId="0" borderId="0" xfId="41" applyNumberFormat="1" applyFont="1" applyFill="1" applyBorder="1" applyAlignment="1">
      <alignment horizontal="center" vertical="center"/>
    </xf>
    <xf numFmtId="2" fontId="11" fillId="19" borderId="0" xfId="41" applyNumberFormat="1" applyFont="1" applyFill="1" applyBorder="1" applyAlignment="1">
      <alignment horizontal="center" vertical="center"/>
    </xf>
    <xf numFmtId="2" fontId="11" fillId="2" borderId="0" xfId="41" applyNumberFormat="1" applyFont="1" applyFill="1" applyBorder="1" applyAlignment="1">
      <alignment vertical="center"/>
    </xf>
    <xf numFmtId="2" fontId="5" fillId="19" borderId="0" xfId="41" applyNumberFormat="1" applyFont="1" applyFill="1" applyBorder="1" applyAlignment="1">
      <alignment horizontal="center" vertical="top"/>
    </xf>
    <xf numFmtId="2" fontId="5" fillId="2" borderId="0" xfId="41" applyNumberFormat="1" applyFont="1" applyFill="1" applyBorder="1" applyAlignment="1">
      <alignment vertical="top"/>
    </xf>
    <xf numFmtId="2" fontId="11" fillId="15" borderId="0" xfId="41" applyNumberFormat="1" applyFont="1" applyFill="1" applyBorder="1" applyAlignment="1">
      <alignment horizontal="center" vertical="top"/>
    </xf>
    <xf numFmtId="2" fontId="7" fillId="6" borderId="0" xfId="41" applyNumberFormat="1" applyFont="1" applyFill="1" applyBorder="1" applyAlignment="1">
      <alignment horizontal="center" vertical="top"/>
    </xf>
    <xf numFmtId="2" fontId="11" fillId="0" borderId="28" xfId="41" applyNumberFormat="1" applyFont="1" applyFill="1" applyBorder="1" applyAlignment="1">
      <alignment horizontal="center" vertical="top"/>
    </xf>
    <xf numFmtId="2" fontId="11" fillId="0" borderId="15" xfId="41" applyNumberFormat="1" applyFont="1" applyFill="1" applyBorder="1" applyAlignment="1">
      <alignment horizontal="center" vertical="top"/>
    </xf>
    <xf numFmtId="2" fontId="11" fillId="0" borderId="26" xfId="41" applyNumberFormat="1" applyFont="1" applyFill="1" applyBorder="1" applyAlignment="1">
      <alignment horizontal="center" vertical="top"/>
    </xf>
    <xf numFmtId="2" fontId="11" fillId="0" borderId="14" xfId="41" applyNumberFormat="1" applyFont="1" applyFill="1" applyBorder="1" applyAlignment="1">
      <alignment horizontal="center" vertical="top"/>
    </xf>
    <xf numFmtId="2" fontId="11" fillId="0" borderId="16" xfId="41" applyNumberFormat="1" applyFont="1" applyFill="1" applyBorder="1" applyAlignment="1">
      <alignment horizontal="center" vertical="top"/>
    </xf>
    <xf numFmtId="2" fontId="7" fillId="0" borderId="26" xfId="41" applyNumberFormat="1" applyFont="1" applyFill="1" applyBorder="1" applyAlignment="1">
      <alignment horizontal="center" vertical="top"/>
    </xf>
    <xf numFmtId="2" fontId="5" fillId="0" borderId="15" xfId="41" applyNumberFormat="1" applyFont="1" applyFill="1" applyBorder="1" applyAlignment="1">
      <alignment vertical="top"/>
    </xf>
    <xf numFmtId="2" fontId="5" fillId="0" borderId="28" xfId="41" applyNumberFormat="1" applyFont="1" applyFill="1" applyBorder="1" applyAlignment="1">
      <alignment vertical="top"/>
    </xf>
    <xf numFmtId="2" fontId="7" fillId="0" borderId="15" xfId="41" applyNumberFormat="1" applyFont="1" applyFill="1" applyBorder="1" applyAlignment="1">
      <alignment horizontal="center" vertical="top"/>
    </xf>
    <xf numFmtId="2" fontId="5" fillId="0" borderId="53" xfId="41" applyNumberFormat="1" applyFont="1" applyFill="1" applyBorder="1" applyAlignment="1">
      <alignment vertical="top"/>
    </xf>
    <xf numFmtId="2" fontId="5" fillId="0" borderId="16" xfId="41" applyNumberFormat="1" applyFont="1" applyFill="1" applyBorder="1" applyAlignment="1">
      <alignment vertical="top"/>
    </xf>
    <xf numFmtId="2" fontId="5" fillId="0" borderId="26" xfId="41" applyNumberFormat="1" applyFont="1" applyFill="1" applyBorder="1" applyAlignment="1">
      <alignment vertical="top"/>
    </xf>
    <xf numFmtId="2" fontId="5" fillId="9" borderId="15" xfId="41" applyNumberFormat="1" applyFont="1" applyFill="1" applyBorder="1" applyAlignment="1">
      <alignment horizontal="center" vertical="top"/>
    </xf>
    <xf numFmtId="2" fontId="5" fillId="19" borderId="15" xfId="41" applyNumberFormat="1" applyFont="1" applyFill="1" applyBorder="1" applyAlignment="1">
      <alignment horizontal="center" vertical="top"/>
    </xf>
    <xf numFmtId="2" fontId="5" fillId="19" borderId="16" xfId="41" applyNumberFormat="1" applyFont="1" applyFill="1" applyBorder="1" applyAlignment="1">
      <alignment horizontal="center" vertical="top"/>
    </xf>
    <xf numFmtId="2" fontId="5" fillId="6" borderId="26" xfId="41" applyNumberFormat="1" applyFont="1" applyFill="1" applyBorder="1" applyAlignment="1">
      <alignment horizontal="center" vertical="top"/>
    </xf>
    <xf numFmtId="2" fontId="5" fillId="0" borderId="14" xfId="41" applyNumberFormat="1" applyFont="1" applyFill="1" applyBorder="1" applyAlignment="1">
      <alignment vertical="top"/>
    </xf>
    <xf numFmtId="2" fontId="5" fillId="9" borderId="15" xfId="41" applyNumberFormat="1" applyFont="1" applyFill="1" applyBorder="1" applyAlignment="1">
      <alignment vertical="top"/>
    </xf>
    <xf numFmtId="2" fontId="5" fillId="2" borderId="15" xfId="41" applyNumberFormat="1" applyFont="1" applyFill="1" applyBorder="1" applyAlignment="1">
      <alignment vertical="top"/>
    </xf>
    <xf numFmtId="2" fontId="5" fillId="2" borderId="16" xfId="41" applyNumberFormat="1" applyFont="1" applyFill="1" applyBorder="1" applyAlignment="1">
      <alignment vertical="top"/>
    </xf>
    <xf numFmtId="2" fontId="11" fillId="0" borderId="12" xfId="41" applyNumberFormat="1" applyFont="1" applyFill="1" applyBorder="1" applyAlignment="1">
      <alignment horizontal="center" vertical="top"/>
    </xf>
    <xf numFmtId="2" fontId="11" fillId="0" borderId="10" xfId="41" applyNumberFormat="1" applyFont="1" applyFill="1" applyBorder="1" applyAlignment="1">
      <alignment horizontal="center" vertical="top"/>
    </xf>
    <xf numFmtId="2" fontId="7" fillId="0" borderId="3" xfId="41" applyNumberFormat="1" applyFont="1" applyFill="1" applyBorder="1" applyAlignment="1">
      <alignment horizontal="center" vertical="center"/>
    </xf>
    <xf numFmtId="2" fontId="11" fillId="0" borderId="58" xfId="41" applyNumberFormat="1" applyFont="1" applyFill="1" applyBorder="1" applyAlignment="1">
      <alignment vertical="center"/>
    </xf>
    <xf numFmtId="2" fontId="11" fillId="0" borderId="57" xfId="41" applyNumberFormat="1" applyFont="1" applyFill="1" applyBorder="1" applyAlignment="1">
      <alignment vertical="center"/>
    </xf>
    <xf numFmtId="2" fontId="11" fillId="9" borderId="3" xfId="41" applyNumberFormat="1" applyFont="1" applyFill="1" applyBorder="1" applyAlignment="1">
      <alignment horizontal="center" vertical="center"/>
    </xf>
    <xf numFmtId="2" fontId="11" fillId="19" borderId="3" xfId="41" applyNumberFormat="1" applyFont="1" applyFill="1" applyBorder="1" applyAlignment="1">
      <alignment horizontal="center" vertical="center"/>
    </xf>
    <xf numFmtId="2" fontId="11" fillId="19" borderId="57" xfId="41" applyNumberFormat="1" applyFont="1" applyFill="1" applyBorder="1" applyAlignment="1">
      <alignment horizontal="center" vertical="center"/>
    </xf>
    <xf numFmtId="2" fontId="11" fillId="6" borderId="4" xfId="41" applyNumberFormat="1" applyFont="1" applyFill="1" applyBorder="1" applyAlignment="1">
      <alignment horizontal="center" vertical="center"/>
    </xf>
    <xf numFmtId="2" fontId="11" fillId="0" borderId="41" xfId="41" applyNumberFormat="1" applyFont="1" applyFill="1" applyBorder="1" applyAlignment="1">
      <alignment vertical="center"/>
    </xf>
    <xf numFmtId="2" fontId="11" fillId="9" borderId="3" xfId="41" applyNumberFormat="1" applyFont="1" applyFill="1" applyBorder="1" applyAlignment="1">
      <alignment vertical="center"/>
    </xf>
    <xf numFmtId="2" fontId="11" fillId="2" borderId="3" xfId="41" applyNumberFormat="1" applyFont="1" applyFill="1" applyBorder="1" applyAlignment="1">
      <alignment vertical="center"/>
    </xf>
    <xf numFmtId="2" fontId="11" fillId="2" borderId="57" xfId="41" applyNumberFormat="1" applyFont="1" applyFill="1" applyBorder="1" applyAlignment="1">
      <alignment vertical="center"/>
    </xf>
    <xf numFmtId="2" fontId="7" fillId="0" borderId="76" xfId="41" applyNumberFormat="1" applyFont="1" applyFill="1" applyBorder="1" applyAlignment="1">
      <alignment horizontal="center" vertical="top"/>
    </xf>
    <xf numFmtId="2" fontId="5" fillId="19" borderId="76" xfId="41" applyNumberFormat="1" applyFont="1" applyFill="1" applyBorder="1" applyAlignment="1">
      <alignment horizontal="center" vertical="top"/>
    </xf>
    <xf numFmtId="2" fontId="5" fillId="2" borderId="76" xfId="41" applyNumberFormat="1" applyFont="1" applyFill="1" applyBorder="1" applyAlignment="1">
      <alignment vertical="top"/>
    </xf>
    <xf numFmtId="2" fontId="11" fillId="6" borderId="34" xfId="41" applyNumberFormat="1" applyFont="1" applyFill="1" applyBorder="1" applyAlignment="1">
      <alignment horizontal="center" vertical="top"/>
    </xf>
    <xf numFmtId="2" fontId="11" fillId="6" borderId="60" xfId="41" applyNumberFormat="1" applyFont="1" applyFill="1" applyBorder="1" applyAlignment="1">
      <alignment horizontal="center" vertical="top"/>
    </xf>
    <xf numFmtId="2" fontId="7" fillId="0" borderId="6" xfId="41" applyNumberFormat="1" applyFont="1" applyFill="1" applyBorder="1" applyAlignment="1">
      <alignment horizontal="center" vertical="top"/>
    </xf>
    <xf numFmtId="2" fontId="5" fillId="0" borderId="61" xfId="41" applyNumberFormat="1" applyFont="1" applyFill="1" applyBorder="1" applyAlignment="1">
      <alignment vertical="top"/>
    </xf>
    <xf numFmtId="2" fontId="5" fillId="0" borderId="60" xfId="41" applyNumberFormat="1" applyFont="1" applyFill="1" applyBorder="1" applyAlignment="1">
      <alignment vertical="top"/>
    </xf>
    <xf numFmtId="2" fontId="5" fillId="9" borderId="6" xfId="41" applyNumberFormat="1" applyFont="1" applyFill="1" applyBorder="1" applyAlignment="1">
      <alignment horizontal="center" vertical="top"/>
    </xf>
    <xf numFmtId="2" fontId="5" fillId="19" borderId="6" xfId="41" applyNumberFormat="1" applyFont="1" applyFill="1" applyBorder="1" applyAlignment="1">
      <alignment horizontal="center" vertical="top"/>
    </xf>
    <xf numFmtId="2" fontId="5" fillId="19" borderId="60" xfId="41" applyNumberFormat="1" applyFont="1" applyFill="1" applyBorder="1" applyAlignment="1">
      <alignment horizontal="center" vertical="top"/>
    </xf>
    <xf numFmtId="2" fontId="5" fillId="6" borderId="29" xfId="41" applyNumberFormat="1" applyFont="1" applyFill="1" applyBorder="1" applyAlignment="1">
      <alignment horizontal="center" vertical="top"/>
    </xf>
    <xf numFmtId="2" fontId="5" fillId="0" borderId="34" xfId="41" applyNumberFormat="1" applyFont="1" applyFill="1" applyBorder="1" applyAlignment="1">
      <alignment vertical="top"/>
    </xf>
    <xf numFmtId="2" fontId="5" fillId="9" borderId="6" xfId="41" applyNumberFormat="1" applyFont="1" applyFill="1" applyBorder="1" applyAlignment="1">
      <alignment vertical="top"/>
    </xf>
    <xf numFmtId="2" fontId="5" fillId="2" borderId="6" xfId="41" applyNumberFormat="1" applyFont="1" applyFill="1" applyBorder="1" applyAlignment="1">
      <alignment vertical="top"/>
    </xf>
    <xf numFmtId="2" fontId="5" fillId="2" borderId="60" xfId="41" applyNumberFormat="1" applyFont="1" applyFill="1" applyBorder="1" applyAlignment="1">
      <alignment vertical="top"/>
    </xf>
    <xf numFmtId="2" fontId="11" fillId="6" borderId="21" xfId="41" applyNumberFormat="1" applyFont="1" applyFill="1" applyBorder="1" applyAlignment="1">
      <alignment horizontal="center" vertical="top"/>
    </xf>
    <xf numFmtId="2" fontId="11" fillId="6" borderId="9" xfId="41" applyNumberFormat="1" applyFont="1" applyFill="1" applyBorder="1" applyAlignment="1">
      <alignment horizontal="center" vertical="top"/>
    </xf>
    <xf numFmtId="2" fontId="11" fillId="6" borderId="48" xfId="41" applyNumberFormat="1" applyFont="1" applyFill="1" applyBorder="1" applyAlignment="1">
      <alignment horizontal="center" vertical="top"/>
    </xf>
    <xf numFmtId="2" fontId="11" fillId="6" borderId="12" xfId="41" applyNumberFormat="1" applyFont="1" applyFill="1" applyBorder="1" applyAlignment="1">
      <alignment horizontal="center" vertical="top"/>
    </xf>
    <xf numFmtId="2" fontId="11" fillId="6" borderId="10" xfId="41" applyNumberFormat="1" applyFont="1" applyFill="1" applyBorder="1" applyAlignment="1">
      <alignment horizontal="center" vertical="top"/>
    </xf>
    <xf numFmtId="2" fontId="7" fillId="6" borderId="48" xfId="41" applyNumberFormat="1" applyFont="1" applyFill="1" applyBorder="1" applyAlignment="1">
      <alignment horizontal="center" vertical="top"/>
    </xf>
    <xf numFmtId="2" fontId="5" fillId="0" borderId="2" xfId="41" applyNumberFormat="1" applyBorder="1" applyAlignment="1">
      <alignment horizontal="center" vertical="top"/>
    </xf>
    <xf numFmtId="2" fontId="5" fillId="0" borderId="0" xfId="41" applyNumberFormat="1" applyBorder="1" applyAlignment="1">
      <alignment horizontal="center" vertical="top"/>
    </xf>
    <xf numFmtId="2" fontId="5" fillId="0" borderId="1" xfId="41" applyNumberFormat="1" applyBorder="1" applyAlignment="1">
      <alignment horizontal="center" vertical="top"/>
    </xf>
    <xf numFmtId="2" fontId="5" fillId="0" borderId="13" xfId="41" applyNumberFormat="1" applyBorder="1" applyAlignment="1">
      <alignment horizontal="center" vertical="top"/>
    </xf>
    <xf numFmtId="2" fontId="5" fillId="0" borderId="11" xfId="41" applyNumberFormat="1" applyBorder="1" applyAlignment="1">
      <alignment horizontal="center" vertical="top"/>
    </xf>
    <xf numFmtId="2" fontId="7" fillId="0" borderId="1" xfId="41" applyNumberFormat="1" applyFont="1" applyBorder="1" applyAlignment="1">
      <alignment horizontal="center" vertical="top"/>
    </xf>
    <xf numFmtId="2" fontId="5" fillId="0" borderId="0" xfId="41" applyNumberFormat="1" applyFill="1" applyBorder="1" applyAlignment="1">
      <alignment vertical="top"/>
    </xf>
    <xf numFmtId="2" fontId="5" fillId="0" borderId="2" xfId="41" applyNumberFormat="1" applyFill="1" applyBorder="1" applyAlignment="1">
      <alignment vertical="top"/>
    </xf>
    <xf numFmtId="2" fontId="5" fillId="0" borderId="59" xfId="41" applyNumberFormat="1" applyFill="1" applyBorder="1" applyAlignment="1">
      <alignment vertical="top"/>
    </xf>
    <xf numFmtId="2" fontId="5" fillId="0" borderId="11" xfId="41" applyNumberFormat="1" applyBorder="1" applyAlignment="1">
      <alignment vertical="top"/>
    </xf>
    <xf numFmtId="2" fontId="5" fillId="0" borderId="0" xfId="41" applyNumberFormat="1" applyBorder="1" applyAlignment="1">
      <alignment vertical="top"/>
    </xf>
    <xf numFmtId="2" fontId="5" fillId="9" borderId="0" xfId="41" applyNumberFormat="1" applyFill="1" applyBorder="1" applyAlignment="1">
      <alignment horizontal="center" vertical="top"/>
    </xf>
    <xf numFmtId="2" fontId="5" fillId="19" borderId="0" xfId="41" applyNumberFormat="1" applyFill="1" applyBorder="1" applyAlignment="1">
      <alignment horizontal="center" vertical="top"/>
    </xf>
    <xf numFmtId="2" fontId="5" fillId="19" borderId="11" xfId="41" applyNumberFormat="1" applyFill="1" applyBorder="1" applyAlignment="1">
      <alignment horizontal="center" vertical="top"/>
    </xf>
    <xf numFmtId="2" fontId="5" fillId="6" borderId="1" xfId="41" applyNumberFormat="1" applyFill="1" applyBorder="1" applyAlignment="1">
      <alignment horizontal="center" vertical="top"/>
    </xf>
    <xf numFmtId="2" fontId="5" fillId="2" borderId="0" xfId="41" applyNumberFormat="1" applyFill="1" applyBorder="1" applyAlignment="1">
      <alignment horizontal="center" vertical="top"/>
    </xf>
    <xf numFmtId="2" fontId="5" fillId="2" borderId="11" xfId="41" applyNumberFormat="1" applyFill="1" applyBorder="1" applyAlignment="1">
      <alignment horizontal="center" vertical="top"/>
    </xf>
    <xf numFmtId="173" fontId="11" fillId="0" borderId="76" xfId="41" applyNumberFormat="1" applyFont="1" applyFill="1" applyBorder="1" applyAlignment="1">
      <alignment horizontal="center" vertical="top"/>
    </xf>
    <xf numFmtId="173" fontId="7" fillId="0" borderId="0" xfId="41" applyNumberFormat="1" applyFont="1" applyFill="1" applyBorder="1" applyAlignment="1">
      <alignment horizontal="center" vertical="top"/>
    </xf>
    <xf numFmtId="173" fontId="5" fillId="20" borderId="0" xfId="41" applyNumberFormat="1" applyFont="1" applyFill="1" applyBorder="1" applyAlignment="1">
      <alignment horizontal="center" vertical="top"/>
    </xf>
    <xf numFmtId="173" fontId="11" fillId="0" borderId="20" xfId="41" applyNumberFormat="1" applyFont="1" applyFill="1" applyBorder="1" applyAlignment="1">
      <alignment horizontal="center" vertical="top"/>
    </xf>
    <xf numFmtId="1" fontId="7" fillId="3" borderId="3" xfId="41" applyNumberFormat="1" applyFont="1" applyFill="1" applyBorder="1" applyAlignment="1">
      <alignment horizontal="center" vertical="top"/>
    </xf>
    <xf numFmtId="1" fontId="7" fillId="3" borderId="0" xfId="41" applyNumberFormat="1" applyFont="1" applyFill="1" applyBorder="1" applyAlignment="1">
      <alignment horizontal="center" vertical="top"/>
    </xf>
    <xf numFmtId="1" fontId="5" fillId="0" borderId="0" xfId="41" applyNumberFormat="1" applyBorder="1" applyAlignment="1">
      <alignment horizontal="center" vertical="top"/>
    </xf>
    <xf numFmtId="1" fontId="2" fillId="2" borderId="3" xfId="0" applyNumberFormat="1" applyFont="1" applyFill="1" applyBorder="1" applyAlignment="1">
      <alignment horizontal="center" vertical="center" wrapText="1"/>
    </xf>
    <xf numFmtId="1" fontId="7" fillId="6" borderId="52" xfId="41" applyNumberFormat="1" applyFont="1" applyFill="1" applyBorder="1" applyAlignment="1">
      <alignment horizontal="center" vertical="top"/>
    </xf>
    <xf numFmtId="1" fontId="2" fillId="0" borderId="0" xfId="0" applyNumberFormat="1" applyFont="1" applyFill="1" applyBorder="1" applyAlignment="1">
      <alignment horizontal="center" vertical="center" wrapText="1"/>
    </xf>
    <xf numFmtId="1" fontId="11" fillId="0" borderId="76" xfId="41" applyNumberFormat="1" applyFont="1" applyFill="1" applyBorder="1" applyAlignment="1">
      <alignment horizontal="center" vertical="top"/>
    </xf>
    <xf numFmtId="1" fontId="7" fillId="0" borderId="0" xfId="41" applyNumberFormat="1" applyFont="1" applyFill="1" applyBorder="1" applyAlignment="1">
      <alignment horizontal="center" vertical="top"/>
    </xf>
    <xf numFmtId="1" fontId="5" fillId="20" borderId="0" xfId="41" applyNumberFormat="1" applyFont="1" applyFill="1" applyBorder="1" applyAlignment="1">
      <alignment horizontal="center" vertical="top"/>
    </xf>
    <xf numFmtId="1" fontId="11" fillId="0" borderId="20" xfId="41" applyNumberFormat="1" applyFont="1" applyFill="1" applyBorder="1" applyAlignment="1">
      <alignment horizontal="center" vertical="top"/>
    </xf>
    <xf numFmtId="1" fontId="5" fillId="0" borderId="9" xfId="41" applyNumberFormat="1" applyFont="1" applyFill="1" applyBorder="1" applyAlignment="1">
      <alignment horizontal="center" vertical="top"/>
    </xf>
    <xf numFmtId="1" fontId="2" fillId="0" borderId="20" xfId="0" applyNumberFormat="1" applyFont="1" applyFill="1" applyBorder="1" applyAlignment="1">
      <alignment horizontal="center" vertical="center" wrapText="1"/>
    </xf>
    <xf numFmtId="1" fontId="11" fillId="3" borderId="0" xfId="41" applyNumberFormat="1" applyFont="1" applyFill="1" applyBorder="1" applyAlignment="1">
      <alignment horizontal="center" vertical="top"/>
    </xf>
    <xf numFmtId="1" fontId="5" fillId="3" borderId="0" xfId="41" applyNumberFormat="1" applyFont="1" applyFill="1" applyBorder="1" applyAlignment="1">
      <alignment horizontal="center" vertical="top"/>
    </xf>
    <xf numFmtId="1" fontId="6" fillId="0" borderId="20" xfId="41" applyNumberFormat="1" applyFont="1" applyFill="1" applyBorder="1" applyAlignment="1">
      <alignment horizontal="center" vertical="top"/>
    </xf>
    <xf numFmtId="1" fontId="11" fillId="0" borderId="15" xfId="41" applyNumberFormat="1" applyFont="1" applyFill="1" applyBorder="1" applyAlignment="1">
      <alignment horizontal="center" vertical="top"/>
    </xf>
    <xf numFmtId="1" fontId="11" fillId="6" borderId="6" xfId="41" applyNumberFormat="1" applyFont="1" applyFill="1" applyBorder="1" applyAlignment="1">
      <alignment horizontal="center" vertical="top"/>
    </xf>
    <xf numFmtId="1" fontId="11" fillId="6" borderId="9" xfId="41" applyNumberFormat="1" applyFont="1" applyFill="1" applyBorder="1" applyAlignment="1">
      <alignment horizontal="center" vertical="top"/>
    </xf>
    <xf numFmtId="2" fontId="6" fillId="6" borderId="2" xfId="41" applyNumberFormat="1" applyFont="1" applyFill="1" applyBorder="1" applyAlignment="1">
      <alignment vertical="top"/>
    </xf>
    <xf numFmtId="2" fontId="6" fillId="6" borderId="2" xfId="0" applyNumberFormat="1" applyFont="1" applyFill="1" applyBorder="1">
      <alignment vertical="top"/>
    </xf>
    <xf numFmtId="2" fontId="6" fillId="6" borderId="1" xfId="41" applyNumberFormat="1" applyFont="1" applyFill="1" applyBorder="1" applyAlignment="1">
      <alignment vertical="top"/>
    </xf>
    <xf numFmtId="2" fontId="5" fillId="0" borderId="2" xfId="41" applyNumberFormat="1" applyFont="1" applyFill="1" applyBorder="1" applyAlignment="1">
      <alignment horizontal="justify" vertical="top"/>
    </xf>
    <xf numFmtId="2" fontId="5" fillId="6" borderId="0" xfId="41" applyNumberFormat="1" applyFont="1" applyFill="1" applyBorder="1" applyAlignment="1">
      <alignment horizontal="justify" vertical="top"/>
    </xf>
    <xf numFmtId="2" fontId="5" fillId="6" borderId="1" xfId="41" applyNumberFormat="1" applyFont="1" applyFill="1" applyBorder="1" applyAlignment="1">
      <alignment horizontal="justify" vertical="top"/>
    </xf>
    <xf numFmtId="173" fontId="11" fillId="6" borderId="13" xfId="41" applyNumberFormat="1" applyFont="1" applyFill="1" applyBorder="1" applyAlignment="1">
      <alignment horizontal="center" vertical="top"/>
    </xf>
    <xf numFmtId="173" fontId="11" fillId="6" borderId="11" xfId="41" applyNumberFormat="1" applyFont="1" applyFill="1" applyBorder="1" applyAlignment="1">
      <alignment horizontal="center" vertical="top"/>
    </xf>
    <xf numFmtId="173" fontId="5" fillId="6" borderId="0" xfId="41" applyNumberFormat="1" applyFont="1" applyFill="1" applyBorder="1" applyAlignment="1">
      <alignment vertical="top"/>
    </xf>
    <xf numFmtId="173" fontId="5" fillId="6" borderId="37" xfId="41" applyNumberFormat="1" applyFont="1" applyFill="1" applyBorder="1" applyAlignment="1">
      <alignment horizontal="center" vertical="top"/>
    </xf>
    <xf numFmtId="173" fontId="5" fillId="6" borderId="59" xfId="41" applyNumberFormat="1" applyFont="1" applyFill="1" applyBorder="1" applyAlignment="1">
      <alignment horizontal="center" vertical="top"/>
    </xf>
    <xf numFmtId="173" fontId="5" fillId="6" borderId="59" xfId="41" applyNumberFormat="1" applyFont="1" applyFill="1" applyBorder="1" applyAlignment="1">
      <alignment vertical="top"/>
    </xf>
    <xf numFmtId="173" fontId="5" fillId="6" borderId="11" xfId="41" applyNumberFormat="1" applyFont="1" applyFill="1" applyBorder="1" applyAlignment="1">
      <alignment vertical="top"/>
    </xf>
    <xf numFmtId="173" fontId="5" fillId="6" borderId="1" xfId="41" applyNumberFormat="1" applyFont="1" applyFill="1" applyBorder="1" applyAlignment="1">
      <alignment vertical="top"/>
    </xf>
    <xf numFmtId="173" fontId="5" fillId="19" borderId="0" xfId="40" applyNumberFormat="1" applyFont="1" applyFill="1" applyBorder="1" applyAlignment="1">
      <alignment horizontal="center" vertical="top"/>
    </xf>
    <xf numFmtId="1" fontId="5" fillId="6" borderId="0" xfId="41" applyNumberFormat="1" applyFont="1" applyFill="1" applyBorder="1" applyAlignment="1">
      <alignment vertical="top"/>
    </xf>
    <xf numFmtId="1" fontId="5" fillId="6" borderId="11" xfId="41" applyNumberFormat="1" applyFont="1" applyFill="1" applyBorder="1" applyAlignment="1">
      <alignment vertical="top"/>
    </xf>
    <xf numFmtId="1" fontId="11" fillId="0" borderId="75" xfId="41" applyNumberFormat="1" applyFont="1" applyFill="1" applyBorder="1" applyAlignment="1">
      <alignment horizontal="center" vertical="top"/>
    </xf>
    <xf numFmtId="1" fontId="7" fillId="0" borderId="2" xfId="41" applyNumberFormat="1" applyFont="1" applyFill="1" applyBorder="1" applyAlignment="1">
      <alignment horizontal="center" vertical="top"/>
    </xf>
    <xf numFmtId="1" fontId="5" fillId="20" borderId="2" xfId="41" applyNumberFormat="1" applyFont="1" applyFill="1" applyBorder="1" applyAlignment="1">
      <alignment horizontal="center" vertical="top"/>
    </xf>
    <xf numFmtId="1" fontId="11" fillId="0" borderId="62" xfId="41" applyNumberFormat="1" applyFont="1" applyFill="1" applyBorder="1" applyAlignment="1">
      <alignment horizontal="center" vertical="top"/>
    </xf>
    <xf numFmtId="1" fontId="5" fillId="0" borderId="21" xfId="41" applyNumberFormat="1" applyFont="1" applyFill="1" applyBorder="1" applyAlignment="1">
      <alignment horizontal="center" vertical="top"/>
    </xf>
    <xf numFmtId="1" fontId="2" fillId="0" borderId="2" xfId="0" applyNumberFormat="1" applyFont="1" applyFill="1" applyBorder="1" applyAlignment="1">
      <alignment horizontal="center" vertical="center" wrapText="1"/>
    </xf>
    <xf numFmtId="1" fontId="2" fillId="0" borderId="62" xfId="0" applyNumberFormat="1" applyFont="1" applyFill="1" applyBorder="1" applyAlignment="1">
      <alignment horizontal="center" vertical="center" wrapText="1"/>
    </xf>
    <xf numFmtId="1" fontId="11" fillId="3" borderId="2" xfId="41" applyNumberFormat="1" applyFont="1" applyFill="1" applyBorder="1" applyAlignment="1">
      <alignment horizontal="center" vertical="top"/>
    </xf>
    <xf numFmtId="1" fontId="5" fillId="3" borderId="2" xfId="41" applyNumberFormat="1" applyFont="1" applyFill="1" applyBorder="1" applyAlignment="1">
      <alignment horizontal="center" vertical="top"/>
    </xf>
    <xf numFmtId="1" fontId="6" fillId="0" borderId="62" xfId="41" applyNumberFormat="1" applyFont="1" applyFill="1" applyBorder="1" applyAlignment="1">
      <alignment horizontal="center" vertical="top"/>
    </xf>
    <xf numFmtId="1" fontId="5" fillId="6" borderId="2" xfId="41" applyNumberFormat="1" applyFont="1" applyFill="1" applyBorder="1" applyAlignment="1">
      <alignment vertical="top"/>
    </xf>
    <xf numFmtId="1" fontId="5" fillId="6" borderId="13" xfId="41" applyNumberFormat="1" applyFont="1" applyFill="1" applyBorder="1" applyAlignment="1">
      <alignment vertical="top"/>
    </xf>
    <xf numFmtId="1" fontId="5" fillId="2" borderId="0" xfId="40" applyNumberFormat="1" applyFont="1" applyFill="1" applyBorder="1" applyAlignment="1">
      <alignment horizontal="center" vertical="top"/>
    </xf>
    <xf numFmtId="1" fontId="5" fillId="6" borderId="77" xfId="41" applyNumberFormat="1" applyFont="1" applyFill="1" applyBorder="1" applyAlignment="1">
      <alignment horizontal="center" vertical="top"/>
    </xf>
    <xf numFmtId="1" fontId="5" fillId="0" borderId="75" xfId="41" applyNumberFormat="1" applyFont="1" applyFill="1" applyBorder="1" applyAlignment="1">
      <alignment vertical="top"/>
    </xf>
    <xf numFmtId="1" fontId="5" fillId="0" borderId="76" xfId="41" applyNumberFormat="1" applyFont="1" applyFill="1" applyBorder="1" applyAlignment="1">
      <alignment vertical="top"/>
    </xf>
    <xf numFmtId="1" fontId="5" fillId="0" borderId="80" xfId="41" applyNumberFormat="1" applyFont="1" applyFill="1" applyBorder="1" applyAlignment="1">
      <alignment vertical="top"/>
    </xf>
    <xf numFmtId="1" fontId="5" fillId="0" borderId="81" xfId="41" applyNumberFormat="1" applyFont="1" applyFill="1" applyBorder="1" applyAlignment="1">
      <alignment vertical="top"/>
    </xf>
    <xf numFmtId="1" fontId="5" fillId="9" borderId="76" xfId="41" applyNumberFormat="1" applyFont="1" applyFill="1" applyBorder="1" applyAlignment="1">
      <alignment vertical="top"/>
    </xf>
    <xf numFmtId="1" fontId="5" fillId="2" borderId="76" xfId="40" applyNumberFormat="1" applyFont="1" applyFill="1" applyBorder="1" applyAlignment="1">
      <alignment horizontal="center" vertical="top"/>
    </xf>
    <xf numFmtId="1" fontId="5" fillId="2" borderId="81" xfId="41" applyNumberFormat="1" applyFont="1" applyFill="1" applyBorder="1" applyAlignment="1">
      <alignment vertical="top"/>
    </xf>
    <xf numFmtId="1" fontId="7" fillId="0" borderId="2" xfId="41" applyNumberFormat="1" applyFont="1" applyFill="1" applyBorder="1" applyAlignment="1">
      <alignment vertical="top"/>
    </xf>
    <xf numFmtId="1" fontId="7" fillId="0" borderId="0" xfId="41" applyNumberFormat="1" applyFont="1" applyFill="1" applyBorder="1" applyAlignment="1">
      <alignment vertical="top"/>
    </xf>
    <xf numFmtId="1" fontId="7" fillId="0" borderId="13" xfId="41" applyNumberFormat="1" applyFont="1" applyFill="1" applyBorder="1" applyAlignment="1">
      <alignment vertical="top"/>
    </xf>
    <xf numFmtId="1" fontId="7" fillId="0" borderId="11" xfId="41" applyNumberFormat="1" applyFont="1" applyFill="1" applyBorder="1" applyAlignment="1">
      <alignment vertical="top"/>
    </xf>
    <xf numFmtId="1" fontId="7" fillId="9" borderId="0" xfId="41" applyNumberFormat="1" applyFont="1" applyFill="1" applyBorder="1" applyAlignment="1">
      <alignment vertical="top"/>
    </xf>
    <xf numFmtId="1" fontId="7" fillId="2" borderId="0" xfId="40" applyNumberFormat="1" applyFont="1" applyFill="1" applyBorder="1" applyAlignment="1">
      <alignment horizontal="center" vertical="top"/>
    </xf>
    <xf numFmtId="1" fontId="7" fillId="2" borderId="11" xfId="41" applyNumberFormat="1" applyFont="1" applyFill="1" applyBorder="1" applyAlignment="1">
      <alignment vertical="top"/>
    </xf>
    <xf numFmtId="1" fontId="5" fillId="20" borderId="1" xfId="41" applyNumberFormat="1" applyFont="1" applyFill="1" applyBorder="1" applyAlignment="1">
      <alignment horizontal="center" vertical="top"/>
    </xf>
    <xf numFmtId="1" fontId="5" fillId="20" borderId="2" xfId="41" applyNumberFormat="1" applyFont="1" applyFill="1" applyBorder="1" applyAlignment="1">
      <alignment vertical="top"/>
    </xf>
    <xf numFmtId="1" fontId="5" fillId="20" borderId="0" xfId="41" applyNumberFormat="1" applyFont="1" applyFill="1" applyBorder="1" applyAlignment="1">
      <alignment vertical="top"/>
    </xf>
    <xf numFmtId="1" fontId="5" fillId="20" borderId="13" xfId="41" applyNumberFormat="1" applyFont="1" applyFill="1" applyBorder="1" applyAlignment="1">
      <alignment vertical="top"/>
    </xf>
    <xf numFmtId="1" fontId="5" fillId="20" borderId="11" xfId="41" applyNumberFormat="1" applyFont="1" applyFill="1" applyBorder="1" applyAlignment="1">
      <alignment vertical="top"/>
    </xf>
    <xf numFmtId="1" fontId="5" fillId="0" borderId="2" xfId="41" applyNumberFormat="1" applyFont="1" applyFill="1" applyBorder="1" applyAlignment="1">
      <alignment vertical="top"/>
    </xf>
    <xf numFmtId="1" fontId="5" fillId="0" borderId="13" xfId="41" applyNumberFormat="1" applyFont="1" applyFill="1" applyBorder="1" applyAlignment="1">
      <alignment vertical="top"/>
    </xf>
    <xf numFmtId="1" fontId="5" fillId="0" borderId="11" xfId="41" applyNumberFormat="1" applyFont="1" applyFill="1" applyBorder="1" applyAlignment="1">
      <alignment vertical="top"/>
    </xf>
    <xf numFmtId="1" fontId="5" fillId="9" borderId="0" xfId="41" applyNumberFormat="1" applyFont="1" applyFill="1" applyBorder="1" applyAlignment="1">
      <alignment vertical="top"/>
    </xf>
    <xf numFmtId="1" fontId="5" fillId="2" borderId="11" xfId="41" applyNumberFormat="1" applyFont="1" applyFill="1" applyBorder="1" applyAlignment="1">
      <alignment vertical="top"/>
    </xf>
    <xf numFmtId="1" fontId="5" fillId="6" borderId="65" xfId="41" applyNumberFormat="1" applyFont="1" applyFill="1" applyBorder="1" applyAlignment="1">
      <alignment horizontal="center" vertical="top"/>
    </xf>
    <xf numFmtId="1" fontId="5" fillId="0" borderId="62" xfId="41" applyNumberFormat="1" applyFont="1" applyFill="1" applyBorder="1" applyAlignment="1">
      <alignment vertical="top"/>
    </xf>
    <xf numFmtId="1" fontId="5" fillId="0" borderId="20" xfId="41" applyNumberFormat="1" applyFont="1" applyFill="1" applyBorder="1" applyAlignment="1">
      <alignment vertical="top"/>
    </xf>
    <xf numFmtId="1" fontId="5" fillId="0" borderId="17" xfId="41" applyNumberFormat="1" applyFont="1" applyFill="1" applyBorder="1" applyAlignment="1">
      <alignment vertical="top"/>
    </xf>
    <xf numFmtId="1" fontId="5" fillId="0" borderId="18" xfId="41" applyNumberFormat="1" applyFont="1" applyFill="1" applyBorder="1" applyAlignment="1">
      <alignment vertical="top"/>
    </xf>
    <xf numFmtId="1" fontId="5" fillId="9" borderId="20" xfId="41" applyNumberFormat="1" applyFont="1" applyFill="1" applyBorder="1" applyAlignment="1">
      <alignment vertical="top"/>
    </xf>
    <xf numFmtId="1" fontId="5" fillId="2" borderId="20" xfId="40" applyNumberFormat="1" applyFont="1" applyFill="1" applyBorder="1" applyAlignment="1">
      <alignment horizontal="center" vertical="top"/>
    </xf>
    <xf numFmtId="1" fontId="5" fillId="2" borderId="18" xfId="41" applyNumberFormat="1" applyFont="1" applyFill="1" applyBorder="1" applyAlignment="1">
      <alignment vertical="top"/>
    </xf>
    <xf numFmtId="1" fontId="5" fillId="6" borderId="48" xfId="41" applyNumberFormat="1" applyFont="1" applyFill="1" applyBorder="1" applyAlignment="1">
      <alignment horizontal="center" vertical="top"/>
    </xf>
    <xf numFmtId="1" fontId="5" fillId="0" borderId="21" xfId="41" applyNumberFormat="1" applyFont="1" applyFill="1" applyBorder="1" applyAlignment="1">
      <alignment vertical="top"/>
    </xf>
    <xf numFmtId="1" fontId="5" fillId="0" borderId="9" xfId="41" applyNumberFormat="1" applyFont="1" applyFill="1" applyBorder="1" applyAlignment="1">
      <alignment vertical="top"/>
    </xf>
    <xf numFmtId="1" fontId="5" fillId="0" borderId="12" xfId="41" applyNumberFormat="1" applyFont="1" applyFill="1" applyBorder="1" applyAlignment="1">
      <alignment vertical="top"/>
    </xf>
    <xf numFmtId="1" fontId="5" fillId="0" borderId="10" xfId="41" applyNumberFormat="1" applyFont="1" applyFill="1" applyBorder="1" applyAlignment="1">
      <alignment vertical="top"/>
    </xf>
    <xf numFmtId="1" fontId="5" fillId="9" borderId="9" xfId="41" applyNumberFormat="1" applyFont="1" applyFill="1" applyBorder="1" applyAlignment="1">
      <alignment vertical="top"/>
    </xf>
    <xf numFmtId="1" fontId="5" fillId="2" borderId="9" xfId="40" applyNumberFormat="1" applyFont="1" applyFill="1" applyBorder="1" applyAlignment="1">
      <alignment horizontal="center" vertical="top"/>
    </xf>
    <xf numFmtId="1" fontId="5" fillId="2" borderId="10" xfId="41" applyNumberFormat="1" applyFont="1" applyFill="1" applyBorder="1" applyAlignment="1">
      <alignment vertical="top"/>
    </xf>
    <xf numFmtId="1" fontId="11" fillId="6" borderId="1" xfId="41" applyNumberFormat="1" applyFont="1" applyFill="1" applyBorder="1" applyAlignment="1">
      <alignment horizontal="center" vertical="center"/>
    </xf>
    <xf numFmtId="1" fontId="11" fillId="0" borderId="2" xfId="41" applyNumberFormat="1" applyFont="1" applyFill="1" applyBorder="1" applyAlignment="1">
      <alignment vertical="center"/>
    </xf>
    <xf numFmtId="1" fontId="11" fillId="0" borderId="0" xfId="41" applyNumberFormat="1" applyFont="1" applyFill="1" applyBorder="1" applyAlignment="1">
      <alignment vertical="center"/>
    </xf>
    <xf numFmtId="1" fontId="11" fillId="0" borderId="13" xfId="41" applyNumberFormat="1" applyFont="1" applyFill="1" applyBorder="1" applyAlignment="1">
      <alignment vertical="center"/>
    </xf>
    <xf numFmtId="1" fontId="11" fillId="0" borderId="11" xfId="41" applyNumberFormat="1" applyFont="1" applyFill="1" applyBorder="1" applyAlignment="1">
      <alignment vertical="center"/>
    </xf>
    <xf numFmtId="1" fontId="11" fillId="9" borderId="0" xfId="41" applyNumberFormat="1" applyFont="1" applyFill="1" applyBorder="1" applyAlignment="1">
      <alignment vertical="center"/>
    </xf>
    <xf numFmtId="1" fontId="11" fillId="2" borderId="0" xfId="40" applyNumberFormat="1" applyFont="1" applyFill="1" applyBorder="1" applyAlignment="1">
      <alignment horizontal="center" vertical="center"/>
    </xf>
    <xf numFmtId="1" fontId="11" fillId="2" borderId="11" xfId="41" applyNumberFormat="1" applyFont="1" applyFill="1" applyBorder="1" applyAlignment="1">
      <alignment vertical="center"/>
    </xf>
    <xf numFmtId="1" fontId="11" fillId="6" borderId="65" xfId="41" applyNumberFormat="1" applyFont="1" applyFill="1" applyBorder="1" applyAlignment="1">
      <alignment horizontal="center" vertical="center"/>
    </xf>
    <xf numFmtId="1" fontId="11" fillId="0" borderId="62" xfId="41" applyNumberFormat="1" applyFont="1" applyFill="1" applyBorder="1" applyAlignment="1">
      <alignment vertical="center"/>
    </xf>
    <xf numFmtId="1" fontId="11" fillId="0" borderId="20" xfId="41" applyNumberFormat="1" applyFont="1" applyFill="1" applyBorder="1" applyAlignment="1">
      <alignment vertical="center"/>
    </xf>
    <xf numFmtId="1" fontId="11" fillId="0" borderId="17" xfId="41" applyNumberFormat="1" applyFont="1" applyFill="1" applyBorder="1" applyAlignment="1">
      <alignment vertical="center"/>
    </xf>
    <xf numFmtId="1" fontId="11" fillId="0" borderId="18" xfId="41" applyNumberFormat="1" applyFont="1" applyFill="1" applyBorder="1" applyAlignment="1">
      <alignment vertical="center"/>
    </xf>
    <xf numFmtId="1" fontId="11" fillId="9" borderId="20" xfId="41" applyNumberFormat="1" applyFont="1" applyFill="1" applyBorder="1" applyAlignment="1">
      <alignment vertical="center"/>
    </xf>
    <xf numFmtId="1" fontId="11" fillId="2" borderId="20" xfId="40" applyNumberFormat="1" applyFont="1" applyFill="1" applyBorder="1" applyAlignment="1">
      <alignment horizontal="center" vertical="center"/>
    </xf>
    <xf numFmtId="1" fontId="11" fillId="2" borderId="18" xfId="41" applyNumberFormat="1" applyFont="1" applyFill="1" applyBorder="1" applyAlignment="1">
      <alignment vertical="center"/>
    </xf>
    <xf numFmtId="1" fontId="5" fillId="3" borderId="1" xfId="41" applyNumberFormat="1" applyFont="1" applyFill="1" applyBorder="1" applyAlignment="1">
      <alignment horizontal="center" vertical="top"/>
    </xf>
    <xf numFmtId="1" fontId="5" fillId="3" borderId="2" xfId="41" applyNumberFormat="1" applyFont="1" applyFill="1" applyBorder="1" applyAlignment="1">
      <alignment vertical="top"/>
    </xf>
    <xf numFmtId="1" fontId="5" fillId="3" borderId="0" xfId="41" applyNumberFormat="1" applyFont="1" applyFill="1" applyBorder="1" applyAlignment="1">
      <alignment vertical="top"/>
    </xf>
    <xf numFmtId="1" fontId="5" fillId="3" borderId="13" xfId="41" applyNumberFormat="1" applyFont="1" applyFill="1" applyBorder="1" applyAlignment="1">
      <alignment vertical="top"/>
    </xf>
    <xf numFmtId="1" fontId="5" fillId="3" borderId="11" xfId="41" applyNumberFormat="1" applyFont="1" applyFill="1" applyBorder="1" applyAlignment="1">
      <alignment vertical="top"/>
    </xf>
    <xf numFmtId="1" fontId="6" fillId="6" borderId="65" xfId="41" applyNumberFormat="1" applyFont="1" applyFill="1" applyBorder="1" applyAlignment="1">
      <alignment horizontal="center" vertical="top"/>
    </xf>
    <xf numFmtId="1" fontId="6" fillId="0" borderId="62" xfId="41" applyNumberFormat="1" applyFont="1" applyFill="1" applyBorder="1" applyAlignment="1">
      <alignment vertical="top"/>
    </xf>
    <xf numFmtId="1" fontId="6" fillId="0" borderId="20" xfId="41" applyNumberFormat="1" applyFont="1" applyFill="1" applyBorder="1" applyAlignment="1">
      <alignment vertical="top"/>
    </xf>
    <xf numFmtId="1" fontId="6" fillId="0" borderId="17" xfId="41" applyNumberFormat="1" applyFont="1" applyFill="1" applyBorder="1" applyAlignment="1">
      <alignment vertical="top"/>
    </xf>
    <xf numFmtId="1" fontId="6" fillId="0" borderId="18" xfId="41" applyNumberFormat="1" applyFont="1" applyFill="1" applyBorder="1" applyAlignment="1">
      <alignment vertical="top"/>
    </xf>
    <xf numFmtId="1" fontId="6" fillId="9" borderId="20" xfId="41" applyNumberFormat="1" applyFont="1" applyFill="1" applyBorder="1" applyAlignment="1">
      <alignment vertical="top"/>
    </xf>
    <xf numFmtId="1" fontId="6" fillId="2" borderId="20" xfId="40" applyNumberFormat="1" applyFont="1" applyFill="1" applyBorder="1" applyAlignment="1">
      <alignment horizontal="center" vertical="top"/>
    </xf>
    <xf numFmtId="1" fontId="6" fillId="2" borderId="18" xfId="41" applyNumberFormat="1" applyFont="1" applyFill="1" applyBorder="1" applyAlignment="1">
      <alignment vertical="top"/>
    </xf>
    <xf numFmtId="173" fontId="5" fillId="0" borderId="9" xfId="41" applyNumberFormat="1" applyFont="1" applyFill="1" applyBorder="1" applyAlignment="1">
      <alignment horizontal="center" vertical="top"/>
    </xf>
    <xf numFmtId="173" fontId="2" fillId="0" borderId="0" xfId="0" applyNumberFormat="1" applyFont="1" applyFill="1" applyBorder="1" applyAlignment="1">
      <alignment horizontal="center" vertical="center" wrapText="1"/>
    </xf>
    <xf numFmtId="173" fontId="2" fillId="0" borderId="20" xfId="0" applyNumberFormat="1" applyFont="1" applyFill="1" applyBorder="1" applyAlignment="1">
      <alignment horizontal="center" vertical="center" wrapText="1"/>
    </xf>
    <xf numFmtId="170" fontId="6" fillId="0" borderId="20" xfId="41" applyNumberFormat="1" applyFont="1" applyFill="1" applyBorder="1" applyAlignment="1">
      <alignment horizontal="justify" vertical="top"/>
    </xf>
    <xf numFmtId="169" fontId="6" fillId="0" borderId="20" xfId="41" applyFont="1" applyFill="1" applyBorder="1" applyAlignment="1">
      <alignment horizontal="center" vertical="top"/>
    </xf>
    <xf numFmtId="9" fontId="6" fillId="0" borderId="20" xfId="40" applyFont="1" applyFill="1" applyBorder="1" applyAlignment="1">
      <alignment horizontal="center" vertical="top"/>
    </xf>
    <xf numFmtId="1" fontId="6" fillId="0" borderId="18" xfId="41" applyNumberFormat="1" applyFont="1" applyFill="1" applyBorder="1" applyAlignment="1">
      <alignment horizontal="center" vertical="top"/>
    </xf>
    <xf numFmtId="169" fontId="6" fillId="0" borderId="65" xfId="41" applyFont="1" applyFill="1" applyBorder="1" applyAlignment="1">
      <alignment horizontal="center" vertical="top"/>
    </xf>
    <xf numFmtId="169" fontId="11" fillId="0" borderId="20" xfId="41" applyFont="1" applyFill="1" applyBorder="1" applyAlignment="1">
      <alignment horizontal="center" vertical="center"/>
    </xf>
    <xf numFmtId="9" fontId="11" fillId="0" borderId="20" xfId="40" applyFont="1" applyFill="1" applyBorder="1" applyAlignment="1">
      <alignment horizontal="center" vertical="center"/>
    </xf>
    <xf numFmtId="1" fontId="11" fillId="0" borderId="18" xfId="41" applyNumberFormat="1" applyFont="1" applyFill="1" applyBorder="1" applyAlignment="1">
      <alignment horizontal="center" vertical="center"/>
    </xf>
    <xf numFmtId="169" fontId="11" fillId="0" borderId="65" xfId="41" applyFont="1" applyFill="1" applyBorder="1" applyAlignment="1">
      <alignment horizontal="center" vertical="center"/>
    </xf>
    <xf numFmtId="170" fontId="39" fillId="6" borderId="21" xfId="41" applyNumberFormat="1" applyFont="1" applyFill="1" applyBorder="1" applyAlignment="1">
      <alignment vertical="top"/>
    </xf>
    <xf numFmtId="170" fontId="7" fillId="6" borderId="9" xfId="41" applyNumberFormat="1" applyFont="1" applyFill="1" applyBorder="1" applyAlignment="1">
      <alignment vertical="top"/>
    </xf>
    <xf numFmtId="170" fontId="7" fillId="6" borderId="21" xfId="41" applyNumberFormat="1" applyFont="1" applyFill="1" applyBorder="1" applyAlignment="1">
      <alignment horizontal="justify" vertical="top"/>
    </xf>
    <xf numFmtId="170" fontId="7" fillId="6" borderId="9" xfId="41" applyNumberFormat="1" applyFont="1" applyFill="1" applyBorder="1" applyAlignment="1">
      <alignment horizontal="justify" vertical="top"/>
    </xf>
    <xf numFmtId="169" fontId="7" fillId="6" borderId="9" xfId="41" applyNumberFormat="1" applyFont="1" applyFill="1" applyBorder="1" applyAlignment="1">
      <alignment horizontal="center" vertical="top"/>
    </xf>
    <xf numFmtId="169" fontId="7" fillId="6" borderId="12" xfId="41" applyNumberFormat="1" applyFont="1" applyFill="1" applyBorder="1" applyAlignment="1">
      <alignment horizontal="center" vertical="top"/>
    </xf>
    <xf numFmtId="169" fontId="7" fillId="6" borderId="10" xfId="41" applyNumberFormat="1" applyFont="1" applyFill="1" applyBorder="1" applyAlignment="1">
      <alignment horizontal="center" vertical="top"/>
    </xf>
    <xf numFmtId="169" fontId="7" fillId="6" borderId="9" xfId="41" applyFont="1" applyFill="1" applyBorder="1" applyAlignment="1">
      <alignment vertical="top"/>
    </xf>
    <xf numFmtId="169" fontId="7" fillId="6" borderId="21" xfId="41" applyFont="1" applyFill="1" applyBorder="1" applyAlignment="1">
      <alignment vertical="top"/>
    </xf>
    <xf numFmtId="169" fontId="7" fillId="6" borderId="9" xfId="41" applyFont="1" applyFill="1" applyBorder="1" applyAlignment="1">
      <alignment horizontal="center" vertical="top"/>
    </xf>
    <xf numFmtId="169" fontId="7" fillId="6" borderId="48" xfId="41" applyFont="1" applyFill="1" applyBorder="1" applyAlignment="1">
      <alignment vertical="top"/>
    </xf>
    <xf numFmtId="169" fontId="7" fillId="9" borderId="9" xfId="41" applyFont="1" applyFill="1" applyBorder="1" applyAlignment="1">
      <alignment horizontal="center" vertical="top"/>
    </xf>
    <xf numFmtId="169" fontId="7" fillId="19" borderId="9" xfId="41" applyFont="1" applyFill="1" applyBorder="1" applyAlignment="1">
      <alignment horizontal="center" vertical="top"/>
    </xf>
    <xf numFmtId="169" fontId="7" fillId="19" borderId="10" xfId="41" applyFont="1" applyFill="1" applyBorder="1" applyAlignment="1">
      <alignment horizontal="center" vertical="top"/>
    </xf>
    <xf numFmtId="169" fontId="7" fillId="6" borderId="48" xfId="41" applyFont="1" applyFill="1" applyBorder="1" applyAlignment="1">
      <alignment horizontal="center" vertical="top"/>
    </xf>
    <xf numFmtId="169" fontId="11" fillId="2" borderId="22" xfId="41" applyFont="1" applyFill="1" applyBorder="1" applyAlignment="1">
      <alignment vertical="center"/>
    </xf>
    <xf numFmtId="170" fontId="11" fillId="2" borderId="7" xfId="41" applyNumberFormat="1" applyFont="1" applyFill="1" applyBorder="1" applyAlignment="1">
      <alignment vertical="center"/>
    </xf>
    <xf numFmtId="170" fontId="10" fillId="2" borderId="7" xfId="41" applyNumberFormat="1" applyFont="1" applyFill="1" applyBorder="1" applyAlignment="1">
      <alignment horizontal="justify" vertical="center"/>
    </xf>
    <xf numFmtId="0" fontId="2" fillId="2" borderId="42" xfId="0" applyFont="1" applyFill="1" applyBorder="1" applyAlignment="1">
      <alignment horizontal="center" vertical="center" wrapText="1"/>
    </xf>
    <xf numFmtId="0" fontId="25" fillId="2" borderId="8" xfId="0" applyFont="1" applyFill="1" applyBorder="1" applyAlignment="1">
      <alignment horizontal="center" vertical="center" wrapText="1"/>
    </xf>
    <xf numFmtId="169" fontId="11" fillId="0" borderId="7" xfId="41" applyFont="1" applyFill="1" applyBorder="1" applyAlignment="1">
      <alignment vertical="center"/>
    </xf>
    <xf numFmtId="169" fontId="11" fillId="0" borderId="22" xfId="41" applyFont="1" applyFill="1" applyBorder="1" applyAlignment="1">
      <alignment vertical="center"/>
    </xf>
    <xf numFmtId="169" fontId="5" fillId="9" borderId="7" xfId="41" applyFont="1" applyFill="1" applyBorder="1" applyAlignment="1">
      <alignment horizontal="center" vertical="center" wrapText="1"/>
    </xf>
    <xf numFmtId="169" fontId="5" fillId="6" borderId="8" xfId="41" applyFont="1" applyFill="1" applyBorder="1" applyAlignment="1">
      <alignment vertical="center" wrapText="1"/>
    </xf>
    <xf numFmtId="0" fontId="11" fillId="0" borderId="5" xfId="0" applyFont="1" applyFill="1" applyBorder="1">
      <alignment vertical="top"/>
    </xf>
    <xf numFmtId="169" fontId="11" fillId="0" borderId="41" xfId="41" applyNumberFormat="1" applyFont="1" applyFill="1" applyBorder="1" applyAlignment="1">
      <alignment horizontal="center" vertical="top"/>
    </xf>
    <xf numFmtId="169" fontId="11" fillId="0" borderId="57" xfId="41" applyNumberFormat="1" applyFont="1" applyFill="1" applyBorder="1" applyAlignment="1">
      <alignment horizontal="center" vertical="top"/>
    </xf>
    <xf numFmtId="169" fontId="5" fillId="0" borderId="3" xfId="41" applyFont="1" applyFill="1" applyBorder="1" applyAlignment="1">
      <alignment vertical="top"/>
    </xf>
    <xf numFmtId="169" fontId="5" fillId="0" borderId="5" xfId="41" applyFont="1" applyFill="1" applyBorder="1" applyAlignment="1">
      <alignment vertical="top"/>
    </xf>
    <xf numFmtId="169" fontId="7" fillId="0" borderId="3" xfId="41" applyFont="1" applyFill="1" applyBorder="1" applyAlignment="1">
      <alignment horizontal="center" vertical="top"/>
    </xf>
    <xf numFmtId="169" fontId="5" fillId="9" borderId="3" xfId="41" applyFont="1" applyFill="1" applyBorder="1" applyAlignment="1">
      <alignment horizontal="center" vertical="top"/>
    </xf>
    <xf numFmtId="169" fontId="5" fillId="19" borderId="3" xfId="41" applyFont="1" applyFill="1" applyBorder="1" applyAlignment="1">
      <alignment horizontal="center" vertical="top"/>
    </xf>
    <xf numFmtId="169" fontId="5" fillId="19" borderId="57" xfId="41" applyFont="1" applyFill="1" applyBorder="1" applyAlignment="1">
      <alignment horizontal="center" vertical="top"/>
    </xf>
    <xf numFmtId="169" fontId="5" fillId="6" borderId="4" xfId="41" applyFont="1" applyFill="1" applyBorder="1" applyAlignment="1">
      <alignment vertical="top"/>
    </xf>
    <xf numFmtId="170" fontId="39" fillId="6" borderId="2" xfId="41" applyNumberFormat="1" applyFont="1" applyFill="1" applyBorder="1" applyAlignment="1">
      <alignment vertical="top"/>
    </xf>
    <xf numFmtId="170" fontId="5" fillId="20" borderId="2" xfId="41" applyNumberFormat="1" applyFont="1" applyFill="1" applyBorder="1" applyAlignment="1">
      <alignment vertical="top"/>
    </xf>
    <xf numFmtId="170" fontId="6" fillId="6" borderId="62" xfId="41" applyNumberFormat="1" applyFont="1" applyFill="1" applyBorder="1" applyAlignment="1">
      <alignment vertical="top"/>
    </xf>
    <xf numFmtId="170" fontId="5" fillId="0" borderId="21" xfId="41" applyNumberFormat="1" applyFont="1" applyFill="1" applyBorder="1" applyAlignment="1">
      <alignment vertical="top"/>
    </xf>
    <xf numFmtId="170" fontId="5" fillId="3" borderId="2" xfId="41" applyNumberFormat="1" applyFont="1" applyFill="1" applyBorder="1" applyAlignment="1">
      <alignment vertical="top"/>
    </xf>
    <xf numFmtId="170" fontId="5" fillId="0" borderId="23" xfId="41" applyNumberFormat="1" applyFont="1" applyFill="1" applyBorder="1" applyAlignment="1">
      <alignment vertical="top"/>
    </xf>
    <xf numFmtId="169" fontId="6" fillId="0" borderId="73" xfId="41" applyFont="1" applyFill="1" applyBorder="1" applyAlignment="1">
      <alignment vertical="top"/>
    </xf>
    <xf numFmtId="169" fontId="11" fillId="0" borderId="23" xfId="41" applyNumberFormat="1" applyFont="1" applyFill="1" applyBorder="1" applyAlignment="1">
      <alignment horizontal="center" vertical="top"/>
    </xf>
    <xf numFmtId="169" fontId="11" fillId="0" borderId="74" xfId="41" applyNumberFormat="1" applyFont="1" applyFill="1" applyBorder="1" applyAlignment="1">
      <alignment horizontal="center" vertical="top"/>
    </xf>
    <xf numFmtId="169" fontId="11" fillId="0" borderId="85" xfId="41" applyNumberFormat="1" applyFont="1" applyFill="1" applyBorder="1" applyAlignment="1">
      <alignment horizontal="center" vertical="top"/>
    </xf>
    <xf numFmtId="169" fontId="5" fillId="0" borderId="23" xfId="41" applyFont="1" applyFill="1" applyBorder="1" applyAlignment="1">
      <alignment vertical="top"/>
    </xf>
    <xf numFmtId="169" fontId="5" fillId="0" borderId="73" xfId="41" applyFont="1" applyFill="1" applyBorder="1" applyAlignment="1">
      <alignment vertical="top"/>
    </xf>
    <xf numFmtId="169" fontId="5" fillId="6" borderId="74" xfId="41" applyFont="1" applyFill="1" applyBorder="1" applyAlignment="1">
      <alignment vertical="top"/>
    </xf>
    <xf numFmtId="170" fontId="6" fillId="2" borderId="22" xfId="41" applyNumberFormat="1" applyFont="1" applyFill="1" applyBorder="1" applyAlignment="1">
      <alignment horizontal="justify" vertical="center"/>
    </xf>
    <xf numFmtId="170" fontId="10" fillId="2" borderId="8" xfId="41" applyNumberFormat="1" applyFont="1" applyFill="1" applyBorder="1" applyAlignment="1">
      <alignment horizontal="justify" vertical="center"/>
    </xf>
    <xf numFmtId="170" fontId="7" fillId="6" borderId="48" xfId="41" applyNumberFormat="1" applyFont="1" applyFill="1" applyBorder="1" applyAlignment="1">
      <alignment horizontal="justify" vertical="top"/>
    </xf>
    <xf numFmtId="170" fontId="10" fillId="0" borderId="1" xfId="41" applyNumberFormat="1" applyFont="1" applyFill="1" applyBorder="1" applyAlignment="1">
      <alignment horizontal="justify" vertical="center"/>
    </xf>
    <xf numFmtId="170" fontId="7" fillId="0" borderId="1" xfId="41" applyNumberFormat="1" applyFont="1" applyFill="1" applyBorder="1" applyAlignment="1">
      <alignment horizontal="justify" vertical="top"/>
    </xf>
    <xf numFmtId="170" fontId="5" fillId="20" borderId="1" xfId="41" applyNumberFormat="1" applyFont="1" applyFill="1" applyBorder="1" applyAlignment="1">
      <alignment horizontal="left" vertical="top"/>
    </xf>
    <xf numFmtId="170" fontId="5" fillId="0" borderId="65" xfId="41" applyNumberFormat="1" applyFont="1" applyFill="1" applyBorder="1" applyAlignment="1">
      <alignment horizontal="justify" vertical="top"/>
    </xf>
    <xf numFmtId="170" fontId="5" fillId="0" borderId="48" xfId="41" applyNumberFormat="1" applyFont="1" applyFill="1" applyBorder="1" applyAlignment="1">
      <alignment horizontal="left" vertical="top"/>
    </xf>
    <xf numFmtId="170" fontId="5" fillId="3" borderId="1" xfId="41" applyNumberFormat="1" applyFont="1" applyFill="1" applyBorder="1" applyAlignment="1">
      <alignment horizontal="left" vertical="top"/>
    </xf>
    <xf numFmtId="170" fontId="6" fillId="0" borderId="65" xfId="41" applyNumberFormat="1" applyFont="1" applyFill="1" applyBorder="1" applyAlignment="1">
      <alignment horizontal="justify" vertical="top"/>
    </xf>
    <xf numFmtId="170" fontId="7" fillId="0" borderId="1" xfId="41" applyNumberFormat="1" applyFont="1" applyFill="1" applyBorder="1" applyAlignment="1">
      <alignment horizontal="left" vertical="top"/>
    </xf>
    <xf numFmtId="169" fontId="5" fillId="0" borderId="2" xfId="41" applyNumberFormat="1" applyFont="1" applyBorder="1" applyAlignment="1">
      <alignment horizontal="center" vertical="top"/>
    </xf>
    <xf numFmtId="169" fontId="2" fillId="7" borderId="1" xfId="0" applyNumberFormat="1" applyFont="1" applyFill="1" applyBorder="1" applyAlignment="1">
      <alignment horizontal="center" vertical="center" wrapText="1"/>
    </xf>
    <xf numFmtId="170" fontId="2" fillId="0" borderId="0" xfId="41" applyNumberFormat="1" applyFont="1" applyFill="1" applyBorder="1" applyAlignment="1" applyProtection="1">
      <alignment horizontal="center" vertical="top"/>
      <protection locked="0"/>
    </xf>
    <xf numFmtId="170" fontId="20" fillId="0" borderId="0" xfId="41" applyNumberFormat="1" applyFont="1" applyFill="1" applyBorder="1" applyAlignment="1" applyProtection="1">
      <alignment horizontal="center" vertical="top"/>
      <protection locked="0"/>
    </xf>
    <xf numFmtId="0" fontId="2" fillId="0" borderId="0" xfId="0" applyFont="1" applyFill="1" applyBorder="1" applyAlignment="1">
      <alignment horizontal="center" vertical="top"/>
    </xf>
    <xf numFmtId="0" fontId="2" fillId="0" borderId="64" xfId="0" applyFont="1" applyBorder="1" applyAlignment="1" applyProtection="1">
      <alignment vertical="top"/>
      <protection locked="0"/>
    </xf>
    <xf numFmtId="0" fontId="2" fillId="0" borderId="59" xfId="0" applyFont="1" applyBorder="1" applyAlignment="1" applyProtection="1">
      <alignment vertical="top"/>
      <protection locked="0"/>
    </xf>
    <xf numFmtId="170" fontId="20" fillId="0" borderId="59" xfId="41" applyNumberFormat="1" applyFont="1" applyBorder="1" applyAlignment="1" applyProtection="1">
      <alignment horizontal="justify" vertical="top"/>
      <protection locked="0"/>
    </xf>
    <xf numFmtId="170" fontId="2" fillId="0" borderId="59" xfId="41" applyNumberFormat="1" applyFont="1" applyBorder="1" applyAlignment="1" applyProtection="1">
      <alignment horizontal="justify" vertical="top"/>
      <protection locked="0"/>
    </xf>
    <xf numFmtId="169" fontId="5" fillId="0" borderId="7" xfId="41" applyFill="1" applyBorder="1" applyAlignment="1">
      <alignment vertical="top"/>
    </xf>
    <xf numFmtId="170" fontId="5" fillId="0" borderId="7" xfId="41" applyNumberFormat="1" applyFont="1" applyFill="1" applyBorder="1" applyAlignment="1">
      <alignment horizontal="justify" vertical="top"/>
    </xf>
    <xf numFmtId="170" fontId="5" fillId="0" borderId="7" xfId="41" applyNumberFormat="1" applyBorder="1" applyAlignment="1">
      <alignment horizontal="justify" vertical="top"/>
    </xf>
    <xf numFmtId="169" fontId="2" fillId="0" borderId="2" xfId="0" applyNumberFormat="1" applyFont="1" applyFill="1" applyBorder="1" applyAlignment="1">
      <alignment horizontal="center" vertical="center" wrapText="1"/>
    </xf>
    <xf numFmtId="169" fontId="2" fillId="0" borderId="0" xfId="0"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0" fontId="2" fillId="0" borderId="9" xfId="0" applyFont="1" applyFill="1" applyBorder="1" applyAlignment="1">
      <alignment horizontal="center" vertical="center" wrapText="1"/>
    </xf>
    <xf numFmtId="0" fontId="0" fillId="0" borderId="10" xfId="0" applyBorder="1" applyAlignment="1">
      <alignment horizontal="center" vertical="top"/>
    </xf>
    <xf numFmtId="169" fontId="11" fillId="0" borderId="0" xfId="41" applyFont="1" applyFill="1" applyBorder="1" applyAlignment="1">
      <alignment horizontal="center" vertical="center"/>
    </xf>
    <xf numFmtId="0" fontId="0" fillId="6" borderId="5" xfId="0" applyFill="1" applyBorder="1" applyAlignment="1">
      <alignment vertical="top"/>
    </xf>
    <xf numFmtId="0" fontId="0" fillId="6" borderId="2" xfId="0" applyFill="1" applyBorder="1" applyAlignment="1">
      <alignment vertical="top"/>
    </xf>
    <xf numFmtId="0" fontId="0" fillId="20" borderId="5" xfId="0" applyFill="1" applyBorder="1" applyAlignment="1">
      <alignment horizontal="center" vertical="top"/>
    </xf>
    <xf numFmtId="0" fontId="0" fillId="20" borderId="41" xfId="0" applyFill="1" applyBorder="1" applyAlignment="1">
      <alignment vertical="top"/>
    </xf>
    <xf numFmtId="0" fontId="0" fillId="20" borderId="21" xfId="0" applyFill="1" applyBorder="1" applyAlignment="1">
      <alignment horizontal="center" vertical="top"/>
    </xf>
    <xf numFmtId="0" fontId="0" fillId="20" borderId="12" xfId="0" applyFill="1" applyBorder="1" applyAlignment="1">
      <alignment horizontal="center" vertical="top"/>
    </xf>
    <xf numFmtId="0" fontId="0" fillId="20" borderId="2" xfId="0" applyFill="1" applyBorder="1" applyAlignment="1">
      <alignment horizontal="center" vertical="top"/>
    </xf>
    <xf numFmtId="0" fontId="0" fillId="20" borderId="19" xfId="0" applyFill="1" applyBorder="1" applyAlignment="1">
      <alignment horizontal="center" vertical="top"/>
    </xf>
    <xf numFmtId="0" fontId="0" fillId="20" borderId="34" xfId="0" applyFill="1" applyBorder="1" applyAlignment="1">
      <alignment horizontal="center" vertical="top" wrapText="1"/>
    </xf>
    <xf numFmtId="0" fontId="0" fillId="20" borderId="0" xfId="0" applyFill="1" applyBorder="1" applyAlignment="1">
      <alignment horizontal="center" vertical="top"/>
    </xf>
    <xf numFmtId="0" fontId="0" fillId="20" borderId="9" xfId="0" applyFill="1" applyBorder="1" applyAlignment="1">
      <alignment horizontal="center" vertical="top"/>
    </xf>
    <xf numFmtId="0" fontId="0" fillId="20" borderId="3" xfId="0" applyFill="1" applyBorder="1" applyAlignment="1">
      <alignment vertical="top"/>
    </xf>
    <xf numFmtId="0" fontId="0" fillId="20" borderId="87" xfId="0" applyFill="1" applyBorder="1" applyAlignment="1">
      <alignment horizontal="center" vertical="top"/>
    </xf>
    <xf numFmtId="0" fontId="0" fillId="20" borderId="34" xfId="0" applyFill="1" applyBorder="1" applyAlignment="1">
      <alignment vertical="top" wrapText="1"/>
    </xf>
    <xf numFmtId="0" fontId="0" fillId="20" borderId="6" xfId="0" applyFill="1" applyBorder="1" applyAlignment="1">
      <alignment vertical="top"/>
    </xf>
    <xf numFmtId="0" fontId="0" fillId="20" borderId="34" xfId="0" applyFill="1" applyBorder="1" applyAlignment="1">
      <alignment vertical="top"/>
    </xf>
    <xf numFmtId="0" fontId="0" fillId="20" borderId="6" xfId="0" applyFill="1" applyBorder="1" applyAlignment="1">
      <alignment vertical="top" wrapText="1"/>
    </xf>
    <xf numFmtId="0" fontId="0" fillId="20" borderId="0" xfId="0" applyFill="1" applyBorder="1" applyAlignment="1">
      <alignment vertical="top"/>
    </xf>
    <xf numFmtId="0" fontId="0" fillId="20" borderId="43" xfId="0" applyFill="1" applyBorder="1" applyAlignment="1">
      <alignment horizontal="center" vertical="top"/>
    </xf>
    <xf numFmtId="0" fontId="0" fillId="20" borderId="0" xfId="0" applyFill="1" applyBorder="1" applyAlignment="1">
      <alignment vertical="top" wrapText="1"/>
    </xf>
    <xf numFmtId="0" fontId="0" fillId="20" borderId="86" xfId="0" applyFill="1" applyBorder="1" applyAlignment="1">
      <alignment horizontal="center" vertical="top"/>
    </xf>
    <xf numFmtId="0" fontId="0" fillId="20" borderId="3" xfId="0" applyFill="1" applyBorder="1" applyAlignment="1">
      <alignment horizontal="center" vertical="top"/>
    </xf>
    <xf numFmtId="0" fontId="0" fillId="20" borderId="6" xfId="0" applyFill="1" applyBorder="1" applyAlignment="1">
      <alignment horizontal="center" vertical="top"/>
    </xf>
    <xf numFmtId="0" fontId="0" fillId="0" borderId="88" xfId="0" applyBorder="1" applyAlignment="1">
      <alignment vertical="top"/>
    </xf>
    <xf numFmtId="0" fontId="0" fillId="0" borderId="89" xfId="0" applyBorder="1" applyAlignment="1">
      <alignment vertical="top"/>
    </xf>
    <xf numFmtId="0" fontId="0" fillId="0" borderId="48" xfId="0" applyFill="1" applyBorder="1" applyAlignment="1">
      <alignment horizontal="center" vertical="top"/>
    </xf>
    <xf numFmtId="0" fontId="2" fillId="20" borderId="0" xfId="39" applyFont="1" applyFill="1" applyBorder="1" applyAlignment="1">
      <alignment vertical="top"/>
    </xf>
    <xf numFmtId="0" fontId="11" fillId="20" borderId="0" xfId="0" applyFont="1" applyFill="1" applyBorder="1" applyAlignment="1">
      <alignment horizontal="center" vertical="top" wrapText="1"/>
    </xf>
    <xf numFmtId="0" fontId="2" fillId="0" borderId="0" xfId="0" applyFont="1" applyFill="1" applyBorder="1" applyAlignment="1">
      <alignment horizontal="left" vertical="top"/>
    </xf>
    <xf numFmtId="0" fontId="0" fillId="0" borderId="0" xfId="0" applyFill="1" applyBorder="1" applyAlignment="1">
      <alignment horizontal="justify" vertical="top"/>
    </xf>
    <xf numFmtId="0" fontId="2" fillId="0" borderId="0" xfId="39" applyFont="1" applyFill="1" applyBorder="1" applyAlignment="1">
      <alignment vertical="top"/>
    </xf>
    <xf numFmtId="0" fontId="2" fillId="20" borderId="0" xfId="0" applyFont="1" applyFill="1" applyBorder="1" applyAlignment="1">
      <alignment vertical="top"/>
    </xf>
    <xf numFmtId="0" fontId="0" fillId="20" borderId="90" xfId="0" applyFill="1" applyBorder="1" applyAlignment="1">
      <alignment horizontal="center" vertical="top"/>
    </xf>
    <xf numFmtId="0" fontId="0" fillId="20" borderId="92" xfId="0" applyFill="1" applyBorder="1" applyAlignment="1">
      <alignment horizontal="center" vertical="top"/>
    </xf>
    <xf numFmtId="0" fontId="0" fillId="20" borderId="93" xfId="0" applyFill="1" applyBorder="1" applyAlignment="1">
      <alignment horizontal="center" vertical="top"/>
    </xf>
    <xf numFmtId="169" fontId="1" fillId="0" borderId="0" xfId="0" applyNumberFormat="1" applyFont="1" applyBorder="1" applyAlignment="1">
      <alignment horizontal="center" vertical="top" wrapText="1"/>
    </xf>
    <xf numFmtId="169" fontId="0" fillId="0" borderId="0" xfId="0" applyNumberFormat="1" applyBorder="1" applyAlignment="1">
      <alignment horizontal="center" vertical="top"/>
    </xf>
    <xf numFmtId="0" fontId="2" fillId="0" borderId="0" xfId="0" applyFont="1" applyAlignment="1">
      <alignment vertical="center"/>
    </xf>
    <xf numFmtId="0" fontId="2" fillId="20" borderId="0" xfId="0" applyFont="1" applyFill="1" applyBorder="1" applyAlignment="1" applyProtection="1">
      <alignment horizontal="center" vertical="top"/>
      <protection locked="0"/>
    </xf>
    <xf numFmtId="170" fontId="2" fillId="10" borderId="0" xfId="41" applyNumberFormat="1" applyFont="1" applyFill="1" applyBorder="1" applyAlignment="1" applyProtection="1">
      <alignment horizontal="left" vertical="top"/>
      <protection locked="0"/>
    </xf>
    <xf numFmtId="172" fontId="2" fillId="0" borderId="0" xfId="0" applyNumberFormat="1" applyFont="1" applyBorder="1" applyAlignment="1" applyProtection="1">
      <alignment horizontal="center" vertical="top"/>
      <protection locked="0"/>
    </xf>
    <xf numFmtId="169" fontId="14" fillId="0" borderId="0" xfId="0" applyNumberFormat="1" applyFont="1" applyFill="1" applyBorder="1" applyAlignment="1">
      <alignment horizontal="center" vertical="top"/>
    </xf>
    <xf numFmtId="0" fontId="2" fillId="0" borderId="0" xfId="0" applyFont="1" applyBorder="1" applyAlignment="1" applyProtection="1">
      <alignment horizontal="justify" vertical="top"/>
      <protection locked="0"/>
    </xf>
    <xf numFmtId="169" fontId="1" fillId="0" borderId="0" xfId="0" applyNumberFormat="1" applyFont="1" applyBorder="1" applyAlignment="1">
      <alignment horizontal="justify" vertical="top"/>
    </xf>
    <xf numFmtId="0" fontId="2" fillId="0" borderId="0" xfId="0" applyFont="1" applyFill="1" applyBorder="1" applyAlignment="1" applyProtection="1">
      <alignment horizontal="right" vertical="top"/>
      <protection locked="0"/>
    </xf>
    <xf numFmtId="169" fontId="20" fillId="8" borderId="0" xfId="0" applyNumberFormat="1" applyFont="1" applyFill="1" applyBorder="1" applyAlignment="1">
      <alignment horizontal="center" vertical="top" wrapText="1"/>
    </xf>
    <xf numFmtId="0" fontId="2" fillId="0" borderId="2" xfId="0" applyFont="1" applyBorder="1" applyAlignment="1">
      <alignment vertical="center"/>
    </xf>
    <xf numFmtId="0" fontId="2" fillId="0" borderId="2" xfId="0" applyFont="1" applyBorder="1" applyAlignment="1">
      <alignment horizontal="left" vertical="center"/>
    </xf>
    <xf numFmtId="0" fontId="2" fillId="0" borderId="0" xfId="0" applyFont="1" applyFill="1" applyBorder="1" applyAlignment="1">
      <alignment horizontal="center" vertical="center"/>
    </xf>
    <xf numFmtId="0" fontId="2" fillId="0" borderId="20" xfId="0" applyFont="1" applyFill="1" applyBorder="1" applyAlignment="1" applyProtection="1">
      <alignment horizontal="center" vertical="top"/>
      <protection locked="0"/>
    </xf>
    <xf numFmtId="0" fontId="2" fillId="0" borderId="9" xfId="0" applyFont="1" applyFill="1" applyBorder="1" applyAlignment="1" applyProtection="1">
      <alignment horizontal="center" vertical="top"/>
      <protection locked="0"/>
    </xf>
    <xf numFmtId="0" fontId="2" fillId="0" borderId="9" xfId="0" applyFont="1" applyBorder="1">
      <alignment vertical="top"/>
    </xf>
    <xf numFmtId="169" fontId="2" fillId="8" borderId="9" xfId="0" applyNumberFormat="1" applyFont="1" applyFill="1" applyBorder="1" applyAlignment="1">
      <alignment horizontal="center" vertical="top" wrapText="1"/>
    </xf>
    <xf numFmtId="169" fontId="2" fillId="0" borderId="59" xfId="0" applyNumberFormat="1" applyFont="1" applyBorder="1" applyAlignment="1">
      <alignment horizontal="justify" vertical="top"/>
    </xf>
    <xf numFmtId="0" fontId="2" fillId="0" borderId="59" xfId="0" applyFont="1" applyBorder="1" applyAlignment="1">
      <alignment vertical="center"/>
    </xf>
    <xf numFmtId="0" fontId="2" fillId="0" borderId="11" xfId="0" applyFont="1" applyFill="1" applyBorder="1" applyAlignment="1">
      <alignment horizontal="center" vertical="top"/>
    </xf>
    <xf numFmtId="0" fontId="2" fillId="0" borderId="9" xfId="0" applyFont="1" applyBorder="1" applyAlignment="1" applyProtection="1">
      <alignment horizontal="center" vertical="top"/>
      <protection locked="0"/>
    </xf>
    <xf numFmtId="172" fontId="2" fillId="0" borderId="9" xfId="0" applyNumberFormat="1" applyFont="1" applyBorder="1" applyAlignment="1" applyProtection="1">
      <alignment horizontal="center" vertical="top"/>
      <protection locked="0"/>
    </xf>
    <xf numFmtId="170" fontId="2" fillId="0" borderId="9" xfId="41" applyNumberFormat="1" applyFont="1" applyFill="1" applyBorder="1" applyAlignment="1" applyProtection="1">
      <alignment horizontal="left" vertical="top"/>
      <protection locked="0"/>
    </xf>
    <xf numFmtId="0" fontId="0" fillId="0" borderId="59" xfId="0" applyBorder="1">
      <alignment vertical="top"/>
    </xf>
    <xf numFmtId="0" fontId="0" fillId="0" borderId="67" xfId="0" applyBorder="1">
      <alignment vertical="top"/>
    </xf>
    <xf numFmtId="0" fontId="0" fillId="0" borderId="13" xfId="0" applyBorder="1" applyAlignment="1">
      <alignment horizontal="left" vertical="top"/>
    </xf>
    <xf numFmtId="0" fontId="0" fillId="0" borderId="13" xfId="0" applyFill="1" applyBorder="1" applyAlignment="1">
      <alignment horizontal="left" vertical="top"/>
    </xf>
    <xf numFmtId="169" fontId="0" fillId="0" borderId="11" xfId="0" applyNumberFormat="1" applyBorder="1" applyAlignment="1">
      <alignment horizontal="left" vertical="top"/>
    </xf>
    <xf numFmtId="0" fontId="0" fillId="0" borderId="67" xfId="0" applyBorder="1" applyAlignment="1">
      <alignment horizontal="center" vertical="top"/>
    </xf>
    <xf numFmtId="0" fontId="20" fillId="0" borderId="14" xfId="0" applyFont="1" applyBorder="1">
      <alignment vertical="top"/>
    </xf>
    <xf numFmtId="0" fontId="20" fillId="0" borderId="15" xfId="0" applyFont="1" applyBorder="1">
      <alignment vertical="top"/>
    </xf>
    <xf numFmtId="0" fontId="20" fillId="0" borderId="53" xfId="0" applyFont="1" applyBorder="1" applyAlignment="1">
      <alignment horizontal="center" vertical="top"/>
    </xf>
    <xf numFmtId="0" fontId="20" fillId="0" borderId="16" xfId="0" applyFont="1" applyBorder="1" applyAlignment="1">
      <alignment horizontal="center" vertical="top"/>
    </xf>
    <xf numFmtId="0" fontId="20" fillId="0" borderId="16" xfId="0" applyFont="1" applyBorder="1">
      <alignment vertical="top"/>
    </xf>
    <xf numFmtId="0" fontId="20" fillId="0" borderId="15" xfId="0" applyFont="1" applyBorder="1" applyAlignment="1">
      <alignment horizontal="center" vertical="top"/>
    </xf>
    <xf numFmtId="0" fontId="20" fillId="0" borderId="53" xfId="0" applyFont="1" applyBorder="1">
      <alignment vertical="top"/>
    </xf>
    <xf numFmtId="169" fontId="2" fillId="0" borderId="0" xfId="41" applyNumberFormat="1" applyFont="1" applyFill="1" applyBorder="1" applyAlignment="1" applyProtection="1">
      <alignment horizontal="center" vertical="top"/>
      <protection locked="0"/>
    </xf>
    <xf numFmtId="169" fontId="0" fillId="0" borderId="0" xfId="0" applyNumberFormat="1" applyAlignment="1">
      <alignment horizontal="center" vertical="top"/>
    </xf>
    <xf numFmtId="169" fontId="0" fillId="0" borderId="11" xfId="0" applyNumberFormat="1" applyBorder="1" applyAlignment="1">
      <alignment horizontal="center" vertical="top"/>
    </xf>
    <xf numFmtId="0" fontId="2" fillId="0" borderId="13" xfId="0" applyFont="1" applyBorder="1" applyAlignment="1">
      <alignment horizontal="center" vertical="center"/>
    </xf>
    <xf numFmtId="0" fontId="20" fillId="6" borderId="13" xfId="0" applyFont="1" applyFill="1" applyBorder="1" applyAlignment="1">
      <alignment horizontal="center" vertical="top"/>
    </xf>
    <xf numFmtId="169" fontId="11" fillId="0" borderId="13" xfId="0" applyNumberFormat="1" applyFont="1" applyFill="1" applyBorder="1" applyAlignment="1">
      <alignment horizontal="center" vertical="top"/>
    </xf>
    <xf numFmtId="169" fontId="11" fillId="0" borderId="11" xfId="0" applyNumberFormat="1" applyFont="1" applyFill="1" applyBorder="1" applyAlignment="1">
      <alignment horizontal="center" vertical="top"/>
    </xf>
    <xf numFmtId="0" fontId="2" fillId="0" borderId="13" xfId="0" applyFont="1" applyFill="1" applyBorder="1" applyAlignment="1" applyProtection="1">
      <alignment horizontal="center" vertical="top"/>
      <protection locked="0"/>
    </xf>
    <xf numFmtId="0" fontId="2" fillId="0" borderId="11" xfId="0" applyFont="1" applyFill="1" applyBorder="1" applyAlignment="1" applyProtection="1">
      <alignment horizontal="center" vertical="top"/>
      <protection locked="0"/>
    </xf>
    <xf numFmtId="169" fontId="14" fillId="0" borderId="13" xfId="0" applyNumberFormat="1" applyFont="1" applyFill="1" applyBorder="1" applyAlignment="1">
      <alignment horizontal="center" vertical="top"/>
    </xf>
    <xf numFmtId="169" fontId="14" fillId="0" borderId="11" xfId="0" applyNumberFormat="1" applyFont="1" applyFill="1" applyBorder="1" applyAlignment="1">
      <alignment horizontal="center" vertical="top"/>
    </xf>
    <xf numFmtId="0" fontId="2" fillId="0" borderId="13" xfId="0" applyFont="1" applyFill="1" applyBorder="1" applyAlignment="1" applyProtection="1">
      <alignment horizontal="center"/>
      <protection locked="0"/>
    </xf>
    <xf numFmtId="169" fontId="2" fillId="20" borderId="0" xfId="0" applyNumberFormat="1" applyFont="1" applyFill="1" applyBorder="1" applyAlignment="1">
      <alignment horizontal="center" vertical="top"/>
    </xf>
    <xf numFmtId="0" fontId="0" fillId="0" borderId="100" xfId="0" applyBorder="1">
      <alignment vertical="top"/>
    </xf>
    <xf numFmtId="0" fontId="0" fillId="0" borderId="99" xfId="0" applyBorder="1">
      <alignment vertical="top"/>
    </xf>
    <xf numFmtId="0" fontId="0" fillId="0" borderId="17" xfId="0" applyBorder="1">
      <alignment vertical="top"/>
    </xf>
    <xf numFmtId="0" fontId="0" fillId="0" borderId="18" xfId="0" applyBorder="1">
      <alignment vertical="top"/>
    </xf>
    <xf numFmtId="0" fontId="0" fillId="21" borderId="9" xfId="0" applyFill="1" applyBorder="1" applyAlignment="1">
      <alignment horizontal="center" vertical="top"/>
    </xf>
    <xf numFmtId="0" fontId="0" fillId="21" borderId="12" xfId="0" applyFill="1" applyBorder="1" applyAlignment="1">
      <alignment horizontal="center" vertical="top"/>
    </xf>
    <xf numFmtId="169" fontId="2" fillId="21" borderId="20" xfId="0" applyNumberFormat="1" applyFont="1" applyFill="1" applyBorder="1" applyAlignment="1">
      <alignment horizontal="center" vertical="top" wrapText="1"/>
    </xf>
    <xf numFmtId="0" fontId="2" fillId="21" borderId="12" xfId="0" applyFont="1" applyFill="1" applyBorder="1" applyAlignment="1">
      <alignment horizontal="center" vertical="top"/>
    </xf>
    <xf numFmtId="169" fontId="2" fillId="21" borderId="9" xfId="0" applyNumberFormat="1" applyFont="1" applyFill="1" applyBorder="1" applyAlignment="1">
      <alignment horizontal="center" vertical="top" wrapText="1"/>
    </xf>
    <xf numFmtId="169" fontId="2" fillId="21" borderId="10" xfId="0" applyNumberFormat="1" applyFont="1" applyFill="1" applyBorder="1" applyAlignment="1">
      <alignment horizontal="center" vertical="top" wrapText="1"/>
    </xf>
    <xf numFmtId="0" fontId="0" fillId="0" borderId="73" xfId="0" applyBorder="1">
      <alignment vertical="top"/>
    </xf>
    <xf numFmtId="0" fontId="0" fillId="0" borderId="23" xfId="0" applyBorder="1">
      <alignment vertical="top"/>
    </xf>
    <xf numFmtId="0" fontId="0" fillId="0" borderId="74" xfId="0" applyBorder="1" applyAlignment="1">
      <alignment horizontal="center" vertical="top"/>
    </xf>
    <xf numFmtId="0" fontId="0" fillId="21" borderId="51" xfId="0" applyFill="1" applyBorder="1">
      <alignment vertical="top"/>
    </xf>
    <xf numFmtId="0" fontId="0" fillId="21" borderId="52" xfId="0" applyFill="1" applyBorder="1">
      <alignment vertical="top"/>
    </xf>
    <xf numFmtId="0" fontId="0" fillId="21" borderId="79" xfId="0" applyFill="1" applyBorder="1">
      <alignment vertical="top"/>
    </xf>
    <xf numFmtId="0" fontId="0" fillId="21" borderId="50" xfId="0" applyFill="1" applyBorder="1" applyAlignment="1">
      <alignment horizontal="center" vertical="top"/>
    </xf>
    <xf numFmtId="0" fontId="0" fillId="21" borderId="30" xfId="0" applyFill="1" applyBorder="1" applyAlignment="1">
      <alignment horizontal="center" vertical="top"/>
    </xf>
    <xf numFmtId="0" fontId="0" fillId="22" borderId="32" xfId="0" applyFill="1" applyBorder="1" applyAlignment="1">
      <alignment horizontal="center" vertical="center"/>
    </xf>
    <xf numFmtId="0" fontId="0" fillId="0" borderId="32" xfId="0" applyBorder="1" applyAlignment="1">
      <alignment horizontal="center" vertical="top"/>
    </xf>
    <xf numFmtId="0" fontId="2" fillId="0" borderId="62" xfId="0" applyFont="1" applyBorder="1" applyProtection="1">
      <alignment vertical="top"/>
      <protection locked="0"/>
    </xf>
    <xf numFmtId="0" fontId="0" fillId="0" borderId="72" xfId="0" applyBorder="1" applyAlignment="1">
      <alignment horizontal="center" vertical="top"/>
    </xf>
    <xf numFmtId="0" fontId="2" fillId="0" borderId="21" xfId="0" applyFont="1" applyBorder="1" applyProtection="1">
      <alignment vertical="top"/>
      <protection locked="0"/>
    </xf>
    <xf numFmtId="0" fontId="0" fillId="0" borderId="30" xfId="0" applyBorder="1" applyAlignment="1">
      <alignment horizontal="center" vertical="top"/>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vertical="center" wrapText="1"/>
    </xf>
    <xf numFmtId="0" fontId="0" fillId="21" borderId="9" xfId="0" applyFill="1" applyBorder="1">
      <alignment vertical="top"/>
    </xf>
    <xf numFmtId="0" fontId="0" fillId="22" borderId="23" xfId="0" applyFill="1" applyBorder="1">
      <alignment vertical="top"/>
    </xf>
    <xf numFmtId="0" fontId="0" fillId="22" borderId="15" xfId="0" applyFill="1" applyBorder="1" applyAlignment="1">
      <alignment horizontal="center" vertical="center"/>
    </xf>
    <xf numFmtId="0" fontId="1" fillId="0" borderId="0" xfId="0" applyFont="1">
      <alignment vertical="top"/>
    </xf>
    <xf numFmtId="170" fontId="1" fillId="0" borderId="0" xfId="41" applyNumberFormat="1" applyFont="1" applyFill="1" applyBorder="1" applyAlignment="1" applyProtection="1">
      <alignment horizontal="justify" vertical="top"/>
      <protection locked="0"/>
    </xf>
    <xf numFmtId="0" fontId="1" fillId="0" borderId="0" xfId="0" applyFont="1" applyFill="1" applyBorder="1" applyProtection="1">
      <alignment vertical="top"/>
      <protection locked="0"/>
    </xf>
    <xf numFmtId="0" fontId="1" fillId="21" borderId="64" xfId="0" applyFont="1" applyFill="1" applyBorder="1" applyAlignment="1">
      <alignment horizontal="right" vertical="top"/>
    </xf>
    <xf numFmtId="0" fontId="1" fillId="21" borderId="20" xfId="0" applyFont="1" applyFill="1" applyBorder="1" applyAlignment="1">
      <alignment horizontal="center" vertical="top"/>
    </xf>
    <xf numFmtId="0" fontId="1" fillId="21" borderId="20" xfId="0" applyFont="1" applyFill="1" applyBorder="1">
      <alignment vertical="top"/>
    </xf>
    <xf numFmtId="0" fontId="1" fillId="21" borderId="17" xfId="0" applyFont="1" applyFill="1" applyBorder="1" applyAlignment="1">
      <alignment horizontal="center" vertical="top"/>
    </xf>
    <xf numFmtId="169" fontId="1" fillId="21" borderId="20" xfId="0" applyNumberFormat="1" applyFont="1" applyFill="1" applyBorder="1" applyAlignment="1">
      <alignment horizontal="center" vertical="top" wrapText="1"/>
    </xf>
    <xf numFmtId="169" fontId="1" fillId="21" borderId="18" xfId="0" applyNumberFormat="1" applyFont="1" applyFill="1" applyBorder="1" applyAlignment="1">
      <alignment horizontal="center" vertical="top" wrapText="1"/>
    </xf>
    <xf numFmtId="0" fontId="1" fillId="21" borderId="32" xfId="0" applyFont="1" applyFill="1" applyBorder="1" applyAlignment="1">
      <alignment horizontal="center" vertical="top"/>
    </xf>
    <xf numFmtId="169" fontId="20" fillId="21" borderId="0" xfId="0" applyNumberFormat="1" applyFont="1" applyFill="1" applyBorder="1" applyAlignment="1">
      <alignment horizontal="center" vertical="top" wrapText="1"/>
    </xf>
    <xf numFmtId="169" fontId="2" fillId="21" borderId="0" xfId="0" applyNumberFormat="1" applyFont="1" applyFill="1" applyBorder="1" applyAlignment="1">
      <alignment horizontal="center" vertical="top" wrapText="1"/>
    </xf>
    <xf numFmtId="169" fontId="20" fillId="21" borderId="11" xfId="0" applyNumberFormat="1" applyFont="1" applyFill="1" applyBorder="1" applyAlignment="1">
      <alignment horizontal="center" vertical="top" wrapText="1"/>
    </xf>
    <xf numFmtId="169" fontId="0" fillId="0" borderId="0" xfId="0" applyNumberFormat="1" applyBorder="1" applyAlignment="1">
      <alignment horizontal="center" vertical="center"/>
    </xf>
    <xf numFmtId="169" fontId="0" fillId="0" borderId="0" xfId="0" applyNumberFormat="1" applyBorder="1" applyAlignment="1">
      <alignment horizontal="left" vertical="center"/>
    </xf>
    <xf numFmtId="169" fontId="0" fillId="22" borderId="0" xfId="0" applyNumberFormat="1" applyFill="1" applyBorder="1" applyAlignment="1">
      <alignment horizontal="center" vertical="center"/>
    </xf>
    <xf numFmtId="0" fontId="0" fillId="0" borderId="2" xfId="0" applyBorder="1">
      <alignment vertical="top"/>
    </xf>
    <xf numFmtId="0" fontId="0" fillId="0" borderId="37" xfId="0" applyBorder="1">
      <alignment vertical="top"/>
    </xf>
    <xf numFmtId="0" fontId="0" fillId="0" borderId="9" xfId="0" applyBorder="1" applyAlignment="1">
      <alignment horizontal="center" vertical="top"/>
    </xf>
    <xf numFmtId="0" fontId="2" fillId="0" borderId="9" xfId="0" applyFont="1" applyBorder="1" applyAlignment="1">
      <alignment horizontal="center" vertical="top"/>
    </xf>
    <xf numFmtId="0" fontId="2" fillId="0" borderId="0" xfId="0" applyFont="1" applyBorder="1" applyAlignment="1">
      <alignment horizontal="center" vertical="top"/>
    </xf>
    <xf numFmtId="0" fontId="2" fillId="0" borderId="11" xfId="0" applyFont="1" applyBorder="1" applyAlignment="1">
      <alignment horizontal="center" vertical="top"/>
    </xf>
    <xf numFmtId="169" fontId="2" fillId="0" borderId="0" xfId="0" applyNumberFormat="1" applyFont="1" applyBorder="1" applyAlignment="1">
      <alignment horizontal="center" vertical="top"/>
    </xf>
    <xf numFmtId="1" fontId="0" fillId="0" borderId="0" xfId="0" applyNumberFormat="1" applyAlignment="1">
      <alignment horizontal="center" vertical="top"/>
    </xf>
    <xf numFmtId="0" fontId="0" fillId="0" borderId="20" xfId="0" applyBorder="1">
      <alignment vertical="top"/>
    </xf>
    <xf numFmtId="0" fontId="0" fillId="0" borderId="9" xfId="0" applyBorder="1">
      <alignment vertical="top"/>
    </xf>
    <xf numFmtId="0" fontId="13" fillId="0" borderId="0" xfId="0" applyFont="1" applyBorder="1" applyAlignment="1">
      <alignment horizontal="left" vertical="top" wrapText="1"/>
    </xf>
    <xf numFmtId="0" fontId="13" fillId="0" borderId="11" xfId="0" applyFont="1" applyBorder="1" applyAlignment="1">
      <alignment horizontal="center" vertical="top"/>
    </xf>
    <xf numFmtId="0" fontId="13" fillId="0" borderId="20" xfId="0" applyFont="1" applyBorder="1" applyAlignment="1">
      <alignment horizontal="left" vertical="top" wrapText="1"/>
    </xf>
    <xf numFmtId="0" fontId="13" fillId="0" borderId="18" xfId="0" applyFont="1" applyBorder="1" applyAlignment="1">
      <alignment horizontal="left" vertical="top" wrapText="1"/>
    </xf>
    <xf numFmtId="0" fontId="13" fillId="0" borderId="18" xfId="0" applyFont="1" applyBorder="1" applyAlignment="1">
      <alignment horizontal="center" vertical="top"/>
    </xf>
    <xf numFmtId="0" fontId="13" fillId="0" borderId="11" xfId="0" applyFont="1" applyBorder="1" applyAlignment="1">
      <alignment horizontal="left" vertical="top" wrapText="1"/>
    </xf>
    <xf numFmtId="0" fontId="13" fillId="0" borderId="6" xfId="0" applyFont="1" applyFill="1" applyBorder="1" applyAlignment="1">
      <alignment horizontal="left" vertical="top" wrapText="1"/>
    </xf>
    <xf numFmtId="0" fontId="13" fillId="0" borderId="60" xfId="0" applyFont="1" applyFill="1" applyBorder="1" applyAlignment="1">
      <alignment horizontal="left" vertical="top" wrapText="1"/>
    </xf>
    <xf numFmtId="0" fontId="13" fillId="0" borderId="60" xfId="0" applyFont="1" applyFill="1" applyBorder="1" applyAlignment="1">
      <alignment horizontal="center" vertical="top"/>
    </xf>
    <xf numFmtId="0" fontId="13" fillId="0" borderId="3" xfId="0" applyFont="1" applyBorder="1">
      <alignment vertical="top"/>
    </xf>
    <xf numFmtId="0" fontId="13" fillId="0" borderId="57" xfId="0" applyFont="1" applyBorder="1">
      <alignment vertical="top"/>
    </xf>
    <xf numFmtId="0" fontId="13" fillId="0" borderId="57" xfId="0" applyFont="1" applyBorder="1" applyAlignment="1">
      <alignment horizontal="center" vertical="top"/>
    </xf>
    <xf numFmtId="0" fontId="51" fillId="0" borderId="0" xfId="0" applyFont="1" applyBorder="1" applyAlignment="1">
      <alignment horizontal="left" vertical="top"/>
    </xf>
    <xf numFmtId="175" fontId="13" fillId="0" borderId="0" xfId="0" applyNumberFormat="1" applyFont="1" applyBorder="1" applyAlignment="1">
      <alignment horizontal="left" vertical="top" wrapText="1"/>
    </xf>
    <xf numFmtId="0" fontId="13" fillId="0" borderId="0" xfId="0" applyFont="1" applyBorder="1" applyAlignment="1">
      <alignment horizontal="justify" vertical="top" wrapText="1"/>
    </xf>
    <xf numFmtId="175" fontId="13" fillId="0" borderId="0" xfId="0" applyNumberFormat="1" applyFont="1" applyBorder="1" applyAlignment="1">
      <alignment horizontal="justify" vertical="top" wrapText="1"/>
    </xf>
    <xf numFmtId="0" fontId="51" fillId="0" borderId="0" xfId="0" applyFont="1" applyBorder="1" applyAlignment="1">
      <alignment vertical="top"/>
    </xf>
    <xf numFmtId="0" fontId="13" fillId="6" borderId="0" xfId="0" applyFont="1" applyFill="1" applyBorder="1" applyAlignment="1">
      <alignment horizontal="left" vertical="top" wrapText="1"/>
    </xf>
    <xf numFmtId="0" fontId="51" fillId="0" borderId="0" xfId="0" applyFont="1" applyBorder="1" applyAlignment="1">
      <alignment horizontal="left" vertical="top" wrapText="1"/>
    </xf>
    <xf numFmtId="0" fontId="41" fillId="21" borderId="0" xfId="0" applyFont="1" applyFill="1" applyBorder="1" applyAlignment="1">
      <alignment horizontal="left" vertical="top" wrapText="1"/>
    </xf>
    <xf numFmtId="0" fontId="13" fillId="0" borderId="20" xfId="0" applyFont="1" applyBorder="1" applyAlignment="1">
      <alignment horizontal="center" vertical="top" wrapText="1"/>
    </xf>
    <xf numFmtId="0" fontId="13" fillId="0" borderId="0" xfId="0" applyFont="1" applyBorder="1" applyAlignment="1">
      <alignment horizontal="center" vertical="top" wrapText="1"/>
    </xf>
    <xf numFmtId="0" fontId="13" fillId="0" borderId="6" xfId="0" applyFont="1" applyFill="1" applyBorder="1" applyAlignment="1">
      <alignment horizontal="center" vertical="top" wrapText="1"/>
    </xf>
    <xf numFmtId="0" fontId="13" fillId="0" borderId="3" xfId="0" applyFont="1" applyBorder="1" applyAlignment="1">
      <alignment horizontal="center" vertical="top"/>
    </xf>
    <xf numFmtId="0" fontId="13" fillId="0" borderId="0" xfId="0" quotePrefix="1" applyFont="1" applyBorder="1" applyAlignment="1">
      <alignment horizontal="center" vertical="top" wrapText="1"/>
    </xf>
    <xf numFmtId="169" fontId="41" fillId="0" borderId="15" xfId="0" applyNumberFormat="1" applyFont="1" applyBorder="1" applyAlignment="1">
      <alignment horizontal="center" vertical="top" wrapText="1"/>
    </xf>
    <xf numFmtId="169" fontId="41" fillId="6" borderId="15" xfId="0" applyNumberFormat="1" applyFont="1" applyFill="1" applyBorder="1" applyAlignment="1">
      <alignment horizontal="center" vertical="top" wrapText="1"/>
    </xf>
    <xf numFmtId="0" fontId="41" fillId="0" borderId="0" xfId="0" applyFont="1" applyBorder="1" applyAlignment="1">
      <alignment horizontal="center" vertical="top" wrapText="1"/>
    </xf>
    <xf numFmtId="0" fontId="2" fillId="6" borderId="3" xfId="0" applyFont="1" applyFill="1" applyBorder="1" applyAlignment="1">
      <alignment horizontal="center" vertical="top" wrapText="1"/>
    </xf>
    <xf numFmtId="0" fontId="41" fillId="0" borderId="0" xfId="0" quotePrefix="1" applyFont="1" applyBorder="1" applyAlignment="1">
      <alignment horizontal="center" vertical="top" wrapText="1"/>
    </xf>
    <xf numFmtId="0" fontId="41" fillId="21" borderId="0" xfId="0" applyFont="1" applyFill="1" applyBorder="1" applyAlignment="1">
      <alignment horizontal="center" vertical="top" wrapText="1"/>
    </xf>
    <xf numFmtId="0" fontId="13" fillId="0" borderId="17" xfId="0" applyFont="1" applyBorder="1">
      <alignment vertical="top"/>
    </xf>
    <xf numFmtId="0" fontId="13" fillId="0" borderId="13" xfId="0" applyFont="1" applyBorder="1">
      <alignment vertical="top"/>
    </xf>
    <xf numFmtId="0" fontId="13" fillId="0" borderId="34" xfId="0" applyFont="1" applyFill="1" applyBorder="1">
      <alignment vertical="top"/>
    </xf>
    <xf numFmtId="0" fontId="13" fillId="0" borderId="41" xfId="0" applyFont="1" applyBorder="1">
      <alignment vertical="top"/>
    </xf>
    <xf numFmtId="0" fontId="13" fillId="0" borderId="13" xfId="0" applyFont="1" applyFill="1" applyBorder="1" applyAlignment="1">
      <alignment horizontal="center" vertical="top" wrapText="1"/>
    </xf>
    <xf numFmtId="169" fontId="0" fillId="0" borderId="14" xfId="0" applyNumberFormat="1" applyBorder="1">
      <alignment vertical="top"/>
    </xf>
    <xf numFmtId="169" fontId="2" fillId="6" borderId="14" xfId="0" applyNumberFormat="1" applyFont="1" applyFill="1" applyBorder="1">
      <alignment vertical="top"/>
    </xf>
    <xf numFmtId="0" fontId="0" fillId="6" borderId="41" xfId="0" applyFill="1" applyBorder="1">
      <alignment vertical="top"/>
    </xf>
    <xf numFmtId="169" fontId="41" fillId="0" borderId="9" xfId="0" applyNumberFormat="1" applyFont="1" applyBorder="1" applyAlignment="1">
      <alignment horizontal="justify" vertical="top" wrapText="1"/>
    </xf>
    <xf numFmtId="169" fontId="41" fillId="21" borderId="9" xfId="0" applyNumberFormat="1" applyFont="1" applyFill="1" applyBorder="1" applyAlignment="1">
      <alignment horizontal="justify" vertical="top" wrapText="1"/>
    </xf>
    <xf numFmtId="169" fontId="41" fillId="0" borderId="10" xfId="0" applyNumberFormat="1" applyFont="1" applyBorder="1" applyAlignment="1">
      <alignment horizontal="justify" vertical="top" wrapText="1"/>
    </xf>
    <xf numFmtId="169" fontId="0" fillId="0" borderId="12" xfId="0" applyNumberFormat="1" applyBorder="1">
      <alignment vertical="top"/>
    </xf>
    <xf numFmtId="169" fontId="41" fillId="0" borderId="9" xfId="0" applyNumberFormat="1" applyFont="1" applyFill="1" applyBorder="1" applyAlignment="1">
      <alignment horizontal="left" vertical="top" wrapText="1"/>
    </xf>
    <xf numFmtId="0" fontId="13" fillId="0" borderId="15" xfId="0" applyFont="1" applyBorder="1" applyAlignment="1">
      <alignment horizontal="right" vertical="top"/>
    </xf>
    <xf numFmtId="0" fontId="13" fillId="21" borderId="15" xfId="0" applyFont="1" applyFill="1" applyBorder="1" applyAlignment="1">
      <alignment horizontal="justify" vertical="top" wrapText="1"/>
    </xf>
    <xf numFmtId="0" fontId="13" fillId="21" borderId="15" xfId="0" applyFont="1" applyFill="1" applyBorder="1" applyAlignment="1">
      <alignment horizontal="center" vertical="top"/>
    </xf>
    <xf numFmtId="0" fontId="13" fillId="21" borderId="15" xfId="0" applyFont="1" applyFill="1" applyBorder="1" applyAlignment="1">
      <alignment horizontal="center" vertical="top" wrapText="1"/>
    </xf>
    <xf numFmtId="0" fontId="13" fillId="21" borderId="15" xfId="0" applyFont="1" applyFill="1" applyBorder="1" applyAlignment="1">
      <alignment horizontal="right" vertical="top"/>
    </xf>
    <xf numFmtId="0" fontId="13" fillId="0" borderId="15" xfId="0" applyFont="1" applyBorder="1" applyAlignment="1">
      <alignment horizontal="justify" vertical="top" wrapText="1"/>
    </xf>
    <xf numFmtId="0" fontId="13" fillId="21" borderId="15" xfId="0" applyFont="1" applyFill="1" applyBorder="1" applyAlignment="1">
      <alignment horizontal="left" vertical="top"/>
    </xf>
    <xf numFmtId="175" fontId="13" fillId="21" borderId="15" xfId="0" applyNumberFormat="1" applyFont="1" applyFill="1" applyBorder="1" applyAlignment="1">
      <alignment horizontal="justify" vertical="top" wrapText="1"/>
    </xf>
    <xf numFmtId="175" fontId="13" fillId="21" borderId="16" xfId="0" applyNumberFormat="1" applyFont="1" applyFill="1" applyBorder="1" applyAlignment="1">
      <alignment horizontal="justify" vertical="top" wrapText="1"/>
    </xf>
    <xf numFmtId="0" fontId="13" fillId="0" borderId="14" xfId="0" applyFont="1" applyBorder="1">
      <alignment vertical="top"/>
    </xf>
    <xf numFmtId="175" fontId="13" fillId="0" borderId="11" xfId="0" applyNumberFormat="1" applyFont="1" applyBorder="1" applyAlignment="1">
      <alignment horizontal="left" vertical="top" wrapText="1"/>
    </xf>
    <xf numFmtId="175" fontId="13" fillId="0" borderId="11" xfId="0" applyNumberFormat="1" applyFont="1" applyBorder="1" applyAlignment="1">
      <alignment horizontal="justify" vertical="top" wrapText="1"/>
    </xf>
    <xf numFmtId="175" fontId="41" fillId="0" borderId="11" xfId="0" applyNumberFormat="1" applyFont="1" applyBorder="1" applyAlignment="1">
      <alignment horizontal="left" vertical="top" wrapText="1"/>
    </xf>
    <xf numFmtId="0" fontId="13" fillId="0" borderId="53" xfId="0" applyFont="1" applyFill="1" applyBorder="1" applyAlignment="1">
      <alignment horizontal="center" vertical="top"/>
    </xf>
    <xf numFmtId="0" fontId="41" fillId="0" borderId="0" xfId="0" applyFont="1" applyBorder="1" applyAlignment="1">
      <alignment horizontal="left" vertical="top"/>
    </xf>
    <xf numFmtId="0" fontId="13" fillId="0" borderId="63" xfId="0" applyFont="1" applyBorder="1">
      <alignment vertical="top"/>
    </xf>
    <xf numFmtId="0" fontId="13" fillId="0" borderId="37" xfId="0" applyFont="1" applyBorder="1">
      <alignment vertical="top"/>
    </xf>
    <xf numFmtId="0" fontId="13" fillId="0" borderId="38" xfId="0" applyFont="1" applyFill="1" applyBorder="1">
      <alignment vertical="top"/>
    </xf>
    <xf numFmtId="0" fontId="51" fillId="0" borderId="37" xfId="0" applyFont="1" applyBorder="1" applyAlignment="1">
      <alignment horizontal="left" vertical="top" wrapText="1"/>
    </xf>
    <xf numFmtId="0" fontId="13" fillId="0" borderId="37" xfId="0" applyFont="1" applyBorder="1" applyAlignment="1">
      <alignment horizontal="left" vertical="top" wrapText="1"/>
    </xf>
    <xf numFmtId="0" fontId="13" fillId="0" borderId="37" xfId="0" applyFont="1" applyBorder="1" applyAlignment="1">
      <alignment horizontal="justify" vertical="top" wrapText="1"/>
    </xf>
    <xf numFmtId="0" fontId="51" fillId="0" borderId="37" xfId="0" applyFont="1" applyBorder="1" applyAlignment="1">
      <alignment horizontal="left" vertical="top"/>
    </xf>
    <xf numFmtId="0" fontId="13" fillId="0" borderId="53" xfId="0" applyFont="1" applyBorder="1" applyAlignment="1">
      <alignment horizontal="left" vertical="top" wrapText="1"/>
    </xf>
    <xf numFmtId="169" fontId="20" fillId="0" borderId="66" xfId="0" applyNumberFormat="1" applyFont="1" applyBorder="1" applyAlignment="1">
      <alignment horizontal="justify" vertical="top" wrapText="1"/>
    </xf>
    <xf numFmtId="169" fontId="20" fillId="0" borderId="27" xfId="0" applyNumberFormat="1" applyFont="1" applyBorder="1" applyAlignment="1">
      <alignment horizontal="justify" vertical="top" wrapText="1"/>
    </xf>
    <xf numFmtId="169" fontId="2" fillId="6" borderId="27" xfId="0" applyNumberFormat="1" applyFont="1" applyFill="1" applyBorder="1" applyAlignment="1">
      <alignment horizontal="justify" vertical="top" wrapText="1"/>
    </xf>
    <xf numFmtId="0" fontId="41" fillId="0" borderId="37" xfId="0" applyFont="1" applyBorder="1" applyAlignment="1">
      <alignment horizontal="justify" vertical="top" wrapText="1"/>
    </xf>
    <xf numFmtId="0" fontId="20" fillId="6" borderId="39" xfId="0" applyFont="1" applyFill="1" applyBorder="1" applyAlignment="1">
      <alignment horizontal="left" vertical="top" wrapText="1"/>
    </xf>
    <xf numFmtId="0" fontId="42" fillId="0" borderId="37" xfId="0" applyFont="1" applyBorder="1" applyAlignment="1">
      <alignment horizontal="left" vertical="top" wrapText="1"/>
    </xf>
    <xf numFmtId="0" fontId="41" fillId="0" borderId="37" xfId="0" applyFont="1" applyBorder="1" applyAlignment="1">
      <alignment horizontal="left" vertical="top" wrapText="1"/>
    </xf>
    <xf numFmtId="0" fontId="42" fillId="0" borderId="37" xfId="0" applyFont="1" applyBorder="1" applyAlignment="1">
      <alignment horizontal="left" vertical="top"/>
    </xf>
    <xf numFmtId="0" fontId="41" fillId="0" borderId="37" xfId="0" applyFont="1" applyFill="1" applyBorder="1" applyAlignment="1">
      <alignment horizontal="left" vertical="top" wrapText="1"/>
    </xf>
    <xf numFmtId="0" fontId="51" fillId="0" borderId="27" xfId="0" applyFont="1" applyBorder="1" applyAlignment="1">
      <alignment horizontal="center" vertical="top"/>
    </xf>
    <xf numFmtId="0" fontId="51" fillId="0" borderId="14" xfId="0" applyFont="1" applyBorder="1" applyAlignment="1">
      <alignment horizontal="center" vertical="top"/>
    </xf>
    <xf numFmtId="0" fontId="13" fillId="0" borderId="15" xfId="0" applyFont="1" applyFill="1" applyBorder="1" applyAlignment="1">
      <alignment horizontal="justify" vertical="top" wrapText="1"/>
    </xf>
    <xf numFmtId="0" fontId="13" fillId="0" borderId="15" xfId="0" applyFont="1" applyFill="1" applyBorder="1" applyAlignment="1">
      <alignment horizontal="center" vertical="top"/>
    </xf>
    <xf numFmtId="0" fontId="13" fillId="0" borderId="15" xfId="0" applyFont="1" applyFill="1" applyBorder="1" applyAlignment="1">
      <alignment horizontal="center" vertical="top" wrapText="1"/>
    </xf>
    <xf numFmtId="0" fontId="13" fillId="0" borderId="15" xfId="0" applyFont="1" applyFill="1" applyBorder="1" applyAlignment="1">
      <alignment horizontal="right" vertical="top"/>
    </xf>
    <xf numFmtId="0" fontId="13" fillId="0" borderId="14" xfId="0" applyFont="1" applyBorder="1" applyAlignment="1">
      <alignment horizontal="left" vertical="top"/>
    </xf>
    <xf numFmtId="0" fontId="51" fillId="0" borderId="15" xfId="0" applyFont="1" applyBorder="1" applyAlignment="1">
      <alignment horizontal="center" vertical="top" wrapText="1"/>
    </xf>
    <xf numFmtId="0" fontId="51" fillId="0" borderId="16" xfId="0" applyFont="1" applyBorder="1" applyAlignment="1">
      <alignment horizontal="center" vertical="top"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53" xfId="0" applyFont="1" applyFill="1" applyBorder="1" applyAlignment="1">
      <alignment horizontal="center" vertical="center" wrapText="1"/>
    </xf>
    <xf numFmtId="0" fontId="20" fillId="6" borderId="38" xfId="0" applyFont="1" applyFill="1" applyBorder="1" applyAlignment="1">
      <alignment horizontal="justify" vertical="center" wrapText="1"/>
    </xf>
    <xf numFmtId="0" fontId="42" fillId="6" borderId="6" xfId="0" applyFont="1" applyFill="1" applyBorder="1" applyAlignment="1">
      <alignment horizontal="justify" vertical="center" wrapText="1"/>
    </xf>
    <xf numFmtId="0" fontId="42" fillId="6" borderId="6" xfId="0" applyFont="1" applyFill="1" applyBorder="1" applyAlignment="1">
      <alignment horizontal="center" vertical="center" wrapText="1"/>
    </xf>
    <xf numFmtId="0" fontId="20" fillId="6" borderId="34" xfId="0" applyFont="1" applyFill="1" applyBorder="1" applyAlignment="1">
      <alignment vertical="center"/>
    </xf>
    <xf numFmtId="0" fontId="42" fillId="6" borderId="6" xfId="0" applyFont="1" applyFill="1" applyBorder="1" applyAlignment="1">
      <alignment horizontal="left" vertical="center" wrapText="1"/>
    </xf>
    <xf numFmtId="0" fontId="42" fillId="6" borderId="60" xfId="0" applyFont="1" applyFill="1" applyBorder="1" applyAlignment="1">
      <alignment horizontal="justify" vertical="center" wrapText="1"/>
    </xf>
    <xf numFmtId="0" fontId="20" fillId="6" borderId="60" xfId="0" applyFont="1" applyFill="1" applyBorder="1" applyAlignment="1">
      <alignment horizontal="center" vertical="center"/>
    </xf>
    <xf numFmtId="0" fontId="20" fillId="6" borderId="6" xfId="0" applyFont="1" applyFill="1" applyBorder="1" applyAlignment="1">
      <alignment vertical="center"/>
    </xf>
    <xf numFmtId="169" fontId="20" fillId="6" borderId="34" xfId="0" applyNumberFormat="1" applyFont="1" applyFill="1" applyBorder="1" applyAlignment="1">
      <alignment horizontal="center" vertical="center"/>
    </xf>
    <xf numFmtId="169" fontId="20" fillId="6" borderId="6" xfId="0" applyNumberFormat="1" applyFont="1" applyFill="1" applyBorder="1" applyAlignment="1">
      <alignment horizontal="center" vertical="center"/>
    </xf>
    <xf numFmtId="169" fontId="20" fillId="6" borderId="60" xfId="0" applyNumberFormat="1" applyFont="1" applyFill="1" applyBorder="1" applyAlignment="1">
      <alignment horizontal="center" vertical="center"/>
    </xf>
    <xf numFmtId="0" fontId="20" fillId="6" borderId="60" xfId="0" applyFont="1" applyFill="1" applyBorder="1" applyAlignment="1">
      <alignment vertical="center"/>
    </xf>
    <xf numFmtId="169" fontId="20" fillId="6" borderId="61" xfId="0" applyNumberFormat="1" applyFont="1" applyFill="1" applyBorder="1" applyAlignment="1">
      <alignment horizontal="center" vertical="center"/>
    </xf>
    <xf numFmtId="0" fontId="20" fillId="6" borderId="38" xfId="0" applyFont="1" applyFill="1" applyBorder="1" applyAlignment="1">
      <alignment horizontal="left" vertical="center" wrapText="1"/>
    </xf>
    <xf numFmtId="169" fontId="11" fillId="0" borderId="22" xfId="41" applyFont="1" applyFill="1" applyBorder="1" applyAlignment="1">
      <alignment horizontal="center" vertical="center"/>
    </xf>
    <xf numFmtId="169" fontId="11" fillId="0" borderId="7" xfId="41" applyFont="1" applyFill="1" applyBorder="1" applyAlignment="1">
      <alignment horizontal="center" vertical="center"/>
    </xf>
    <xf numFmtId="169" fontId="11" fillId="0" borderId="56" xfId="41" applyFont="1" applyFill="1" applyBorder="1" applyAlignment="1">
      <alignment horizontal="center" vertical="center" wrapText="1"/>
    </xf>
    <xf numFmtId="169" fontId="11" fillId="0" borderId="7" xfId="41" applyFont="1" applyFill="1" applyBorder="1" applyAlignment="1">
      <alignment horizontal="center" vertical="center" wrapText="1"/>
    </xf>
    <xf numFmtId="169" fontId="11" fillId="0" borderId="55" xfId="41" applyFont="1" applyFill="1" applyBorder="1" applyAlignment="1">
      <alignment horizontal="center" vertical="center" wrapText="1"/>
    </xf>
    <xf numFmtId="169" fontId="11" fillId="0" borderId="42" xfId="41" applyFont="1" applyFill="1" applyBorder="1" applyAlignment="1">
      <alignment horizontal="center" vertical="center" wrapText="1"/>
    </xf>
    <xf numFmtId="169" fontId="5" fillId="6" borderId="2" xfId="41" applyFont="1" applyFill="1" applyBorder="1" applyAlignment="1">
      <alignment horizontal="center" vertical="top"/>
    </xf>
    <xf numFmtId="169" fontId="5" fillId="0" borderId="75" xfId="41" applyFont="1" applyFill="1" applyBorder="1" applyAlignment="1">
      <alignment horizontal="center" vertical="top"/>
    </xf>
    <xf numFmtId="169" fontId="7" fillId="0" borderId="2" xfId="41" applyFont="1" applyFill="1" applyBorder="1" applyAlignment="1">
      <alignment horizontal="center" vertical="top"/>
    </xf>
    <xf numFmtId="169" fontId="5" fillId="20" borderId="2" xfId="41" applyFont="1" applyFill="1" applyBorder="1" applyAlignment="1">
      <alignment horizontal="center" vertical="top"/>
    </xf>
    <xf numFmtId="169" fontId="5" fillId="0" borderId="62" xfId="41" applyFont="1" applyFill="1" applyBorder="1" applyAlignment="1">
      <alignment horizontal="center" vertical="top"/>
    </xf>
    <xf numFmtId="169" fontId="5" fillId="0" borderId="21" xfId="41" applyFont="1" applyFill="1" applyBorder="1" applyAlignment="1">
      <alignment horizontal="center" vertical="top"/>
    </xf>
    <xf numFmtId="169" fontId="11" fillId="0" borderId="2" xfId="41" applyFont="1" applyFill="1" applyBorder="1" applyAlignment="1">
      <alignment horizontal="center" vertical="center"/>
    </xf>
    <xf numFmtId="169" fontId="11" fillId="0" borderId="62" xfId="41" applyFont="1" applyFill="1" applyBorder="1" applyAlignment="1">
      <alignment horizontal="center" vertical="center"/>
    </xf>
    <xf numFmtId="169" fontId="5" fillId="3" borderId="2" xfId="41" applyFont="1" applyFill="1" applyBorder="1" applyAlignment="1">
      <alignment horizontal="center" vertical="top"/>
    </xf>
    <xf numFmtId="169" fontId="6" fillId="0" borderId="62" xfId="41" applyFont="1" applyFill="1" applyBorder="1" applyAlignment="1">
      <alignment horizontal="center" vertical="top"/>
    </xf>
    <xf numFmtId="169" fontId="5" fillId="0" borderId="11" xfId="41" applyFont="1" applyFill="1" applyBorder="1" applyAlignment="1">
      <alignment horizontal="center" vertical="top"/>
    </xf>
    <xf numFmtId="169" fontId="5" fillId="6" borderId="11" xfId="41" applyFont="1" applyFill="1" applyBorder="1" applyAlignment="1">
      <alignment horizontal="center" vertical="top"/>
    </xf>
    <xf numFmtId="169" fontId="5" fillId="0" borderId="81" xfId="41" applyFont="1" applyFill="1" applyBorder="1" applyAlignment="1">
      <alignment horizontal="center" vertical="top"/>
    </xf>
    <xf numFmtId="169" fontId="7" fillId="0" borderId="11" xfId="41" applyFont="1" applyFill="1" applyBorder="1" applyAlignment="1">
      <alignment horizontal="center" vertical="top"/>
    </xf>
    <xf numFmtId="169" fontId="5" fillId="20" borderId="11" xfId="41" applyFont="1" applyFill="1" applyBorder="1" applyAlignment="1">
      <alignment horizontal="center" vertical="top"/>
    </xf>
    <xf numFmtId="169" fontId="5" fillId="0" borderId="18" xfId="41" applyFont="1" applyFill="1" applyBorder="1" applyAlignment="1">
      <alignment horizontal="center" vertical="top"/>
    </xf>
    <xf numFmtId="169" fontId="5" fillId="0" borderId="10" xfId="41" applyFont="1" applyFill="1" applyBorder="1" applyAlignment="1">
      <alignment horizontal="center" vertical="top"/>
    </xf>
    <xf numFmtId="169" fontId="11" fillId="0" borderId="11" xfId="41" applyFont="1" applyFill="1" applyBorder="1" applyAlignment="1">
      <alignment horizontal="center" vertical="center"/>
    </xf>
    <xf numFmtId="169" fontId="11" fillId="0" borderId="18" xfId="41" applyFont="1" applyFill="1" applyBorder="1" applyAlignment="1">
      <alignment horizontal="center" vertical="center"/>
    </xf>
    <xf numFmtId="169" fontId="5" fillId="3" borderId="11" xfId="41" applyFont="1" applyFill="1" applyBorder="1" applyAlignment="1">
      <alignment horizontal="center" vertical="top"/>
    </xf>
    <xf numFmtId="169" fontId="6" fillId="0" borderId="18" xfId="41" applyFont="1" applyFill="1" applyBorder="1" applyAlignment="1">
      <alignment horizontal="center" vertical="top"/>
    </xf>
    <xf numFmtId="169" fontId="5" fillId="6" borderId="3" xfId="41" applyFill="1" applyBorder="1" applyAlignment="1">
      <alignment horizontal="center" vertical="top"/>
    </xf>
    <xf numFmtId="169" fontId="5" fillId="6" borderId="0" xfId="41" applyFill="1" applyBorder="1" applyAlignment="1">
      <alignment horizontal="center" vertical="top"/>
    </xf>
    <xf numFmtId="169" fontId="5" fillId="6" borderId="7" xfId="41" applyFont="1" applyFill="1" applyBorder="1" applyAlignment="1">
      <alignment horizontal="center" vertical="center" wrapText="1"/>
    </xf>
    <xf numFmtId="169" fontId="11" fillId="6" borderId="0" xfId="41" applyFont="1" applyFill="1" applyBorder="1" applyAlignment="1">
      <alignment horizontal="center" vertical="center"/>
    </xf>
    <xf numFmtId="169" fontId="5" fillId="6" borderId="3" xfId="41" applyFont="1" applyFill="1" applyBorder="1" applyAlignment="1">
      <alignment horizontal="center" vertical="top"/>
    </xf>
    <xf numFmtId="1" fontId="5" fillId="15" borderId="0" xfId="41" applyNumberFormat="1" applyFont="1" applyFill="1" applyBorder="1" applyAlignment="1">
      <alignment horizontal="center" vertical="top"/>
    </xf>
    <xf numFmtId="169" fontId="5" fillId="6" borderId="76" xfId="41" applyFont="1" applyFill="1" applyBorder="1" applyAlignment="1">
      <alignment horizontal="center" vertical="top"/>
    </xf>
    <xf numFmtId="169" fontId="5" fillId="6" borderId="20" xfId="41" applyFont="1" applyFill="1" applyBorder="1" applyAlignment="1">
      <alignment horizontal="center" vertical="top"/>
    </xf>
    <xf numFmtId="169" fontId="5" fillId="6" borderId="9" xfId="41" applyFont="1" applyFill="1" applyBorder="1" applyAlignment="1">
      <alignment horizontal="center" vertical="top"/>
    </xf>
    <xf numFmtId="169" fontId="11" fillId="6" borderId="3" xfId="41" applyFont="1" applyFill="1" applyBorder="1" applyAlignment="1">
      <alignment horizontal="center" vertical="center"/>
    </xf>
    <xf numFmtId="169" fontId="5" fillId="6" borderId="6" xfId="41" applyFont="1" applyFill="1" applyBorder="1" applyAlignment="1">
      <alignment horizontal="center" vertical="top"/>
    </xf>
    <xf numFmtId="0" fontId="5" fillId="6" borderId="0" xfId="41" applyNumberFormat="1" applyFill="1" applyBorder="1" applyAlignment="1">
      <alignment horizontal="center" vertical="top"/>
    </xf>
    <xf numFmtId="170" fontId="5" fillId="6" borderId="0" xfId="41" applyNumberFormat="1" applyFill="1" applyBorder="1" applyAlignment="1">
      <alignment horizontal="center" vertical="top"/>
    </xf>
    <xf numFmtId="1" fontId="5" fillId="15" borderId="1" xfId="41" applyNumberFormat="1" applyFont="1" applyFill="1" applyBorder="1" applyAlignment="1">
      <alignment vertical="top"/>
    </xf>
    <xf numFmtId="169" fontId="5" fillId="0" borderId="1" xfId="41" applyFont="1" applyFill="1" applyBorder="1" applyAlignment="1">
      <alignment horizontal="center" vertical="top"/>
    </xf>
    <xf numFmtId="169" fontId="5" fillId="2" borderId="1" xfId="41" applyFont="1" applyFill="1" applyBorder="1" applyAlignment="1">
      <alignment horizontal="center" vertical="top"/>
    </xf>
    <xf numFmtId="169" fontId="5" fillId="2" borderId="1" xfId="41" applyNumberFormat="1" applyFont="1" applyFill="1" applyBorder="1" applyAlignment="1">
      <alignment horizontal="center" vertical="top"/>
    </xf>
    <xf numFmtId="169" fontId="6" fillId="0" borderId="23" xfId="41" applyFont="1" applyFill="1" applyBorder="1" applyAlignment="1">
      <alignment vertical="top"/>
    </xf>
    <xf numFmtId="170" fontId="5" fillId="0" borderId="22" xfId="41" applyNumberFormat="1" applyFont="1" applyFill="1" applyBorder="1" applyAlignment="1">
      <alignment horizontal="justify" vertical="top"/>
    </xf>
    <xf numFmtId="169" fontId="5" fillId="0" borderId="7" xfId="41" applyFont="1" applyFill="1" applyBorder="1" applyAlignment="1">
      <alignment vertical="top"/>
    </xf>
    <xf numFmtId="169" fontId="7" fillId="0" borderId="7" xfId="41" applyFont="1" applyFill="1" applyBorder="1" applyAlignment="1">
      <alignment horizontal="center" vertical="top"/>
    </xf>
    <xf numFmtId="169" fontId="5" fillId="0" borderId="7" xfId="41" applyFont="1" applyFill="1" applyBorder="1" applyAlignment="1">
      <alignment horizontal="center" vertical="top"/>
    </xf>
    <xf numFmtId="170" fontId="7" fillId="0" borderId="5" xfId="41" applyNumberFormat="1" applyFont="1" applyFill="1" applyBorder="1" applyAlignment="1">
      <alignment horizontal="center" vertical="top"/>
    </xf>
    <xf numFmtId="170" fontId="7" fillId="0" borderId="58" xfId="41" applyNumberFormat="1" applyFont="1" applyFill="1" applyBorder="1" applyAlignment="1">
      <alignment horizontal="center" vertical="top"/>
    </xf>
    <xf numFmtId="169" fontId="5" fillId="0" borderId="57" xfId="41" applyFill="1" applyBorder="1" applyAlignment="1">
      <alignment horizontal="center" vertical="top"/>
    </xf>
    <xf numFmtId="169" fontId="5" fillId="0" borderId="3" xfId="41" applyFill="1" applyBorder="1" applyAlignment="1">
      <alignment horizontal="center" vertical="top"/>
    </xf>
    <xf numFmtId="169" fontId="5" fillId="0" borderId="4" xfId="41" applyFill="1" applyBorder="1" applyAlignment="1">
      <alignment horizontal="center" vertical="top"/>
    </xf>
    <xf numFmtId="170" fontId="7" fillId="0" borderId="2" xfId="41" applyNumberFormat="1" applyFont="1" applyFill="1" applyBorder="1" applyAlignment="1">
      <alignment horizontal="center" vertical="top"/>
    </xf>
    <xf numFmtId="170" fontId="7" fillId="0" borderId="59" xfId="41" applyNumberFormat="1" applyFont="1" applyFill="1" applyBorder="1" applyAlignment="1">
      <alignment horizontal="center" vertical="top"/>
    </xf>
    <xf numFmtId="169" fontId="5" fillId="0" borderId="11" xfId="41" applyFill="1" applyBorder="1" applyAlignment="1">
      <alignment horizontal="center" vertical="top"/>
    </xf>
    <xf numFmtId="169" fontId="5" fillId="0" borderId="2" xfId="41" applyFill="1" applyBorder="1" applyAlignment="1">
      <alignment horizontal="center" vertical="top"/>
    </xf>
    <xf numFmtId="169" fontId="5" fillId="0" borderId="59" xfId="41" applyFill="1" applyBorder="1" applyAlignment="1">
      <alignment horizontal="center" vertical="top"/>
    </xf>
    <xf numFmtId="169" fontId="11" fillId="0" borderId="8" xfId="41" applyFont="1" applyFill="1" applyBorder="1" applyAlignment="1">
      <alignment horizontal="center" vertical="center" wrapText="1"/>
    </xf>
    <xf numFmtId="169" fontId="7" fillId="6" borderId="21" xfId="41" applyFont="1" applyFill="1" applyBorder="1" applyAlignment="1">
      <alignment horizontal="center" vertical="top"/>
    </xf>
    <xf numFmtId="169" fontId="7" fillId="6" borderId="67" xfId="41" applyFont="1" applyFill="1" applyBorder="1" applyAlignment="1">
      <alignment horizontal="center" vertical="top"/>
    </xf>
    <xf numFmtId="169" fontId="7" fillId="6" borderId="10" xfId="41" applyFont="1" applyFill="1" applyBorder="1" applyAlignment="1">
      <alignment horizontal="center" vertical="top"/>
    </xf>
    <xf numFmtId="169" fontId="11" fillId="0" borderId="1" xfId="41" applyFont="1" applyFill="1" applyBorder="1" applyAlignment="1">
      <alignment horizontal="center" vertical="center"/>
    </xf>
    <xf numFmtId="169" fontId="5" fillId="0" borderId="58" xfId="41" applyFont="1" applyFill="1" applyBorder="1" applyAlignment="1">
      <alignment horizontal="center" vertical="top"/>
    </xf>
    <xf numFmtId="169" fontId="5" fillId="0" borderId="57" xfId="41" applyFont="1" applyFill="1" applyBorder="1" applyAlignment="1">
      <alignment horizontal="center" vertical="top"/>
    </xf>
    <xf numFmtId="169" fontId="5" fillId="0" borderId="76" xfId="41" applyFont="1" applyFill="1" applyBorder="1" applyAlignment="1">
      <alignment horizontal="center" vertical="top"/>
    </xf>
    <xf numFmtId="169" fontId="5" fillId="0" borderId="77" xfId="41" applyFont="1" applyFill="1" applyBorder="1" applyAlignment="1">
      <alignment horizontal="center" vertical="top"/>
    </xf>
    <xf numFmtId="169" fontId="7" fillId="0" borderId="1" xfId="41" applyFont="1" applyFill="1" applyBorder="1" applyAlignment="1">
      <alignment horizontal="center" vertical="top"/>
    </xf>
    <xf numFmtId="169" fontId="5" fillId="0" borderId="20" xfId="41" applyFont="1" applyFill="1" applyBorder="1" applyAlignment="1">
      <alignment horizontal="center" vertical="top"/>
    </xf>
    <xf numFmtId="169" fontId="5" fillId="0" borderId="65" xfId="41" applyFont="1" applyFill="1" applyBorder="1" applyAlignment="1">
      <alignment horizontal="center" vertical="top"/>
    </xf>
    <xf numFmtId="169" fontId="5" fillId="0" borderId="9" xfId="41" applyFont="1" applyFill="1" applyBorder="1" applyAlignment="1">
      <alignment horizontal="center" vertical="top"/>
    </xf>
    <xf numFmtId="169" fontId="5" fillId="0" borderId="48" xfId="41" applyFont="1" applyFill="1" applyBorder="1" applyAlignment="1">
      <alignment horizontal="center" vertical="top"/>
    </xf>
    <xf numFmtId="169" fontId="11" fillId="0" borderId="5" xfId="41" applyFont="1" applyFill="1" applyBorder="1" applyAlignment="1">
      <alignment horizontal="center" vertical="center"/>
    </xf>
    <xf numFmtId="169" fontId="11" fillId="0" borderId="58" xfId="41" applyFont="1" applyFill="1" applyBorder="1" applyAlignment="1">
      <alignment horizontal="center" vertical="center"/>
    </xf>
    <xf numFmtId="169" fontId="11" fillId="0" borderId="57" xfId="41" applyFont="1" applyFill="1" applyBorder="1" applyAlignment="1">
      <alignment horizontal="center" vertical="center"/>
    </xf>
    <xf numFmtId="169" fontId="11" fillId="0" borderId="4" xfId="41" applyFont="1" applyFill="1" applyBorder="1" applyAlignment="1">
      <alignment horizontal="center" vertical="center"/>
    </xf>
    <xf numFmtId="169" fontId="5" fillId="0" borderId="61" xfId="41" applyFont="1" applyFill="1" applyBorder="1" applyAlignment="1">
      <alignment horizontal="center" vertical="top"/>
    </xf>
    <xf numFmtId="169" fontId="5" fillId="0" borderId="60" xfId="41" applyFont="1" applyFill="1" applyBorder="1" applyAlignment="1">
      <alignment horizontal="center" vertical="top"/>
    </xf>
    <xf numFmtId="169" fontId="5" fillId="0" borderId="5" xfId="41" applyFill="1" applyBorder="1" applyAlignment="1">
      <alignment horizontal="center" vertical="top"/>
    </xf>
    <xf numFmtId="169" fontId="5" fillId="0" borderId="41" xfId="41" applyFill="1" applyBorder="1" applyAlignment="1">
      <alignment horizontal="center" vertical="top"/>
    </xf>
    <xf numFmtId="169" fontId="5" fillId="2" borderId="3" xfId="41" applyFill="1" applyBorder="1" applyAlignment="1">
      <alignment horizontal="center" vertical="top"/>
    </xf>
    <xf numFmtId="169" fontId="5" fillId="2" borderId="4" xfId="41" applyFill="1" applyBorder="1" applyAlignment="1">
      <alignment horizontal="center" vertical="top"/>
    </xf>
    <xf numFmtId="169" fontId="5" fillId="0" borderId="13" xfId="41" applyFill="1" applyBorder="1" applyAlignment="1">
      <alignment horizontal="center" vertical="top"/>
    </xf>
    <xf numFmtId="169" fontId="5" fillId="2" borderId="0" xfId="41" applyFill="1" applyBorder="1" applyAlignment="1">
      <alignment horizontal="center" vertical="top"/>
    </xf>
    <xf numFmtId="169" fontId="5" fillId="2" borderId="1" xfId="41" applyFill="1" applyBorder="1" applyAlignment="1">
      <alignment horizontal="center" vertical="top"/>
    </xf>
    <xf numFmtId="169" fontId="11" fillId="0" borderId="22" xfId="41" applyFont="1" applyFill="1" applyBorder="1" applyAlignment="1">
      <alignment horizontal="center" vertical="center" wrapText="1"/>
    </xf>
    <xf numFmtId="169" fontId="7" fillId="6" borderId="12" xfId="41" applyFont="1" applyFill="1" applyBorder="1" applyAlignment="1">
      <alignment horizontal="center" vertical="top"/>
    </xf>
    <xf numFmtId="169" fontId="7" fillId="2" borderId="9" xfId="41" applyFont="1" applyFill="1" applyBorder="1" applyAlignment="1">
      <alignment horizontal="center" vertical="top"/>
    </xf>
    <xf numFmtId="169" fontId="7" fillId="2" borderId="48" xfId="41" applyFont="1" applyFill="1" applyBorder="1" applyAlignment="1">
      <alignment horizontal="center" vertical="top"/>
    </xf>
    <xf numFmtId="169" fontId="11" fillId="0" borderId="13" xfId="41" applyFont="1" applyFill="1" applyBorder="1" applyAlignment="1">
      <alignment horizontal="center" vertical="center"/>
    </xf>
    <xf numFmtId="169" fontId="11" fillId="2" borderId="0" xfId="41" applyFont="1" applyFill="1" applyBorder="1" applyAlignment="1">
      <alignment horizontal="center" vertical="center"/>
    </xf>
    <xf numFmtId="169" fontId="11" fillId="2" borderId="1" xfId="41" applyFont="1" applyFill="1" applyBorder="1" applyAlignment="1">
      <alignment horizontal="center" vertical="center"/>
    </xf>
    <xf numFmtId="169" fontId="5" fillId="0" borderId="13" xfId="41" applyFont="1" applyFill="1" applyBorder="1" applyAlignment="1">
      <alignment horizontal="center" vertical="top"/>
    </xf>
    <xf numFmtId="169" fontId="5" fillId="2" borderId="0" xfId="41" applyFont="1" applyFill="1" applyBorder="1" applyAlignment="1">
      <alignment horizontal="center" vertical="top"/>
    </xf>
    <xf numFmtId="169" fontId="5" fillId="6" borderId="13" xfId="41" applyFont="1" applyFill="1" applyBorder="1" applyAlignment="1">
      <alignment horizontal="center" vertical="top"/>
    </xf>
    <xf numFmtId="169" fontId="5" fillId="0" borderId="41" xfId="41" applyFont="1" applyFill="1" applyBorder="1" applyAlignment="1">
      <alignment horizontal="center" vertical="top"/>
    </xf>
    <xf numFmtId="169" fontId="5" fillId="2" borderId="3" xfId="41" applyFont="1" applyFill="1" applyBorder="1" applyAlignment="1">
      <alignment horizontal="center" vertical="top"/>
    </xf>
    <xf numFmtId="169" fontId="5" fillId="2" borderId="4" xfId="41" applyFont="1" applyFill="1" applyBorder="1" applyAlignment="1">
      <alignment horizontal="center" vertical="top"/>
    </xf>
    <xf numFmtId="169" fontId="5" fillId="0" borderId="80" xfId="41" applyFont="1" applyFill="1" applyBorder="1" applyAlignment="1">
      <alignment horizontal="center" vertical="top"/>
    </xf>
    <xf numFmtId="169" fontId="5" fillId="2" borderId="77" xfId="41" applyFont="1" applyFill="1" applyBorder="1" applyAlignment="1">
      <alignment horizontal="center" vertical="top"/>
    </xf>
    <xf numFmtId="169" fontId="7" fillId="0" borderId="13" xfId="41" applyFont="1" applyFill="1" applyBorder="1" applyAlignment="1">
      <alignment horizontal="center" vertical="top"/>
    </xf>
    <xf numFmtId="169" fontId="7" fillId="2" borderId="1" xfId="41" applyFont="1" applyFill="1" applyBorder="1" applyAlignment="1">
      <alignment horizontal="center" vertical="top"/>
    </xf>
    <xf numFmtId="169" fontId="5" fillId="20" borderId="13" xfId="41" applyFont="1" applyFill="1" applyBorder="1" applyAlignment="1">
      <alignment horizontal="center" vertical="top"/>
    </xf>
    <xf numFmtId="169" fontId="5" fillId="0" borderId="17" xfId="41" applyFont="1" applyFill="1" applyBorder="1" applyAlignment="1">
      <alignment horizontal="center" vertical="top"/>
    </xf>
    <xf numFmtId="169" fontId="5" fillId="2" borderId="65" xfId="41" applyFont="1" applyFill="1" applyBorder="1" applyAlignment="1">
      <alignment horizontal="center" vertical="top"/>
    </xf>
    <xf numFmtId="169" fontId="5" fillId="0" borderId="12" xfId="41" applyFont="1" applyFill="1" applyBorder="1" applyAlignment="1">
      <alignment horizontal="center" vertical="top"/>
    </xf>
    <xf numFmtId="169" fontId="5" fillId="2" borderId="48" xfId="41" applyFont="1" applyFill="1" applyBorder="1" applyAlignment="1">
      <alignment horizontal="center" vertical="top"/>
    </xf>
    <xf numFmtId="169" fontId="11" fillId="0" borderId="17" xfId="41" applyFont="1" applyFill="1" applyBorder="1" applyAlignment="1">
      <alignment horizontal="center" vertical="center"/>
    </xf>
    <xf numFmtId="169" fontId="5" fillId="6" borderId="1" xfId="41" applyNumberFormat="1" applyFont="1" applyFill="1" applyBorder="1" applyAlignment="1">
      <alignment horizontal="center" vertical="top"/>
    </xf>
    <xf numFmtId="169" fontId="5" fillId="3" borderId="13" xfId="41" applyFont="1" applyFill="1" applyBorder="1" applyAlignment="1">
      <alignment horizontal="center" vertical="top"/>
    </xf>
    <xf numFmtId="169" fontId="6" fillId="0" borderId="17" xfId="41" applyFont="1" applyFill="1" applyBorder="1" applyAlignment="1">
      <alignment horizontal="center" vertical="top"/>
    </xf>
    <xf numFmtId="169" fontId="5" fillId="2" borderId="9" xfId="41" applyFont="1" applyFill="1" applyBorder="1" applyAlignment="1">
      <alignment horizontal="center" vertical="top"/>
    </xf>
    <xf numFmtId="169" fontId="5" fillId="0" borderId="8" xfId="41" applyFont="1" applyFill="1" applyBorder="1" applyAlignment="1">
      <alignment horizontal="center" vertical="top"/>
    </xf>
    <xf numFmtId="169" fontId="11" fillId="0" borderId="41" xfId="41" applyFont="1" applyFill="1" applyBorder="1" applyAlignment="1">
      <alignment horizontal="center" vertical="center"/>
    </xf>
    <xf numFmtId="169" fontId="11" fillId="2" borderId="3" xfId="41" applyFont="1" applyFill="1" applyBorder="1" applyAlignment="1">
      <alignment horizontal="center" vertical="center"/>
    </xf>
    <xf numFmtId="169" fontId="11" fillId="2" borderId="4" xfId="41" applyFont="1" applyFill="1" applyBorder="1" applyAlignment="1">
      <alignment horizontal="center" vertical="center"/>
    </xf>
    <xf numFmtId="169" fontId="5" fillId="2" borderId="76" xfId="41" applyFont="1" applyFill="1" applyBorder="1" applyAlignment="1">
      <alignment horizontal="center" vertical="top"/>
    </xf>
    <xf numFmtId="169" fontId="5" fillId="0" borderId="34" xfId="41" applyFont="1" applyFill="1" applyBorder="1" applyAlignment="1">
      <alignment horizontal="center" vertical="top"/>
    </xf>
    <xf numFmtId="169" fontId="5" fillId="2" borderId="6" xfId="41" applyFont="1" applyFill="1" applyBorder="1" applyAlignment="1">
      <alignment horizontal="center" vertical="top"/>
    </xf>
    <xf numFmtId="169" fontId="5" fillId="2" borderId="29" xfId="41" applyFont="1" applyFill="1" applyBorder="1" applyAlignment="1">
      <alignment horizontal="center" vertical="top"/>
    </xf>
    <xf numFmtId="170" fontId="5" fillId="0" borderId="22" xfId="41" applyNumberFormat="1" applyBorder="1" applyAlignment="1">
      <alignment horizontal="justify" vertical="top"/>
    </xf>
    <xf numFmtId="170" fontId="5" fillId="0" borderId="8" xfId="41" applyNumberFormat="1" applyBorder="1" applyAlignment="1">
      <alignment horizontal="justify" vertical="top"/>
    </xf>
    <xf numFmtId="169" fontId="5" fillId="0" borderId="7" xfId="41" applyFont="1" applyFill="1" applyBorder="1" applyAlignment="1">
      <alignment horizontal="center" vertical="center"/>
    </xf>
    <xf numFmtId="0" fontId="0" fillId="0" borderId="1" xfId="0" applyBorder="1">
      <alignment vertical="top"/>
    </xf>
    <xf numFmtId="0" fontId="11" fillId="0" borderId="2" xfId="0" applyFont="1" applyFill="1" applyBorder="1" applyAlignment="1">
      <alignment horizontal="left" vertical="top" wrapText="1"/>
    </xf>
    <xf numFmtId="170" fontId="11" fillId="0" borderId="2" xfId="41" applyNumberFormat="1" applyFont="1" applyFill="1" applyBorder="1" applyAlignment="1">
      <alignment horizontal="left" vertical="top" wrapText="1"/>
    </xf>
    <xf numFmtId="0" fontId="1" fillId="21" borderId="62" xfId="0" applyFont="1" applyFill="1" applyBorder="1">
      <alignment vertical="top"/>
    </xf>
    <xf numFmtId="0" fontId="1" fillId="21" borderId="21" xfId="0" applyFont="1" applyFill="1" applyBorder="1">
      <alignment vertical="top"/>
    </xf>
    <xf numFmtId="0" fontId="11" fillId="0" borderId="2"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1" fillId="2" borderId="2" xfId="0" applyFont="1" applyFill="1" applyBorder="1" applyAlignment="1">
      <alignment horizontal="justify" vertical="center" wrapText="1"/>
    </xf>
    <xf numFmtId="0" fontId="11" fillId="2" borderId="2"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19" fillId="3" borderId="5" xfId="0" applyFont="1" applyFill="1" applyBorder="1" applyAlignment="1">
      <alignment horizontal="justify" vertical="center" wrapText="1"/>
    </xf>
    <xf numFmtId="0" fontId="11" fillId="3" borderId="2" xfId="0" applyFont="1" applyFill="1" applyBorder="1" applyAlignment="1">
      <alignment horizontal="left" vertical="center" wrapText="1"/>
    </xf>
    <xf numFmtId="169" fontId="11" fillId="0" borderId="5" xfId="41" applyFont="1" applyBorder="1" applyAlignment="1">
      <alignment vertical="center"/>
    </xf>
    <xf numFmtId="170" fontId="11" fillId="0" borderId="3" xfId="41" applyNumberFormat="1" applyFont="1" applyBorder="1" applyAlignment="1">
      <alignment horizontal="justify" vertical="center"/>
    </xf>
    <xf numFmtId="170" fontId="11" fillId="0" borderId="4" xfId="41" applyNumberFormat="1" applyFont="1" applyBorder="1" applyAlignment="1">
      <alignment horizontal="justify" vertical="center"/>
    </xf>
    <xf numFmtId="170" fontId="11" fillId="0" borderId="1" xfId="41" applyNumberFormat="1" applyFont="1" applyFill="1" applyBorder="1" applyAlignment="1">
      <alignment horizontal="justify" vertical="center"/>
    </xf>
    <xf numFmtId="0" fontId="11" fillId="0" borderId="1" xfId="0" applyFont="1" applyBorder="1" applyAlignment="1">
      <alignment horizontal="left" vertical="center" wrapText="1"/>
    </xf>
    <xf numFmtId="169" fontId="11" fillId="0" borderId="29" xfId="0" applyNumberFormat="1" applyFont="1" applyBorder="1" applyAlignment="1">
      <alignment horizontal="left" vertical="center" wrapText="1"/>
    </xf>
    <xf numFmtId="169" fontId="11" fillId="0" borderId="1" xfId="41" applyFont="1" applyBorder="1" applyAlignment="1">
      <alignment vertical="center"/>
    </xf>
    <xf numFmtId="170" fontId="11" fillId="8" borderId="2" xfId="41" applyNumberFormat="1" applyFont="1" applyFill="1" applyBorder="1" applyAlignment="1">
      <alignment horizontal="justify" vertical="center"/>
    </xf>
    <xf numFmtId="170" fontId="11" fillId="8" borderId="1" xfId="41" applyNumberFormat="1" applyFont="1" applyFill="1" applyBorder="1" applyAlignment="1">
      <alignment horizontal="justify" vertical="center"/>
    </xf>
    <xf numFmtId="170" fontId="11" fillId="0" borderId="19" xfId="41" applyNumberFormat="1" applyFont="1" applyFill="1" applyBorder="1" applyAlignment="1">
      <alignment horizontal="justify" vertical="center"/>
    </xf>
    <xf numFmtId="169" fontId="11" fillId="0" borderId="29" xfId="41" applyFont="1" applyBorder="1" applyAlignment="1">
      <alignment vertical="center"/>
    </xf>
    <xf numFmtId="170" fontId="19" fillId="0" borderId="4" xfId="41" applyNumberFormat="1" applyFont="1" applyFill="1" applyBorder="1" applyAlignment="1">
      <alignment horizontal="justify" vertical="center"/>
    </xf>
    <xf numFmtId="170" fontId="19" fillId="0" borderId="1" xfId="41" applyNumberFormat="1" applyFont="1" applyFill="1" applyBorder="1" applyAlignment="1">
      <alignment horizontal="justify" vertical="center"/>
    </xf>
    <xf numFmtId="170" fontId="20" fillId="0" borderId="35" xfId="41" applyNumberFormat="1" applyFont="1" applyFill="1" applyBorder="1" applyAlignment="1">
      <alignment vertical="top"/>
    </xf>
    <xf numFmtId="0" fontId="2" fillId="0" borderId="2" xfId="0" applyFont="1" applyFill="1" applyBorder="1" applyAlignment="1">
      <alignment vertical="top" wrapText="1"/>
    </xf>
    <xf numFmtId="0" fontId="2" fillId="0" borderId="1" xfId="0" applyFont="1" applyFill="1" applyBorder="1" applyAlignment="1">
      <alignment horizontal="left" vertical="top"/>
    </xf>
    <xf numFmtId="170" fontId="5" fillId="2" borderId="65" xfId="41" applyNumberFormat="1" applyFill="1" applyBorder="1" applyAlignment="1">
      <alignment horizontal="left" vertical="top"/>
    </xf>
    <xf numFmtId="0" fontId="17" fillId="8" borderId="2" xfId="0" applyFont="1" applyFill="1" applyBorder="1" applyAlignment="1">
      <alignment horizontal="left" vertical="top"/>
    </xf>
    <xf numFmtId="0" fontId="17" fillId="8" borderId="1" xfId="0" applyFont="1" applyFill="1" applyBorder="1" applyAlignment="1">
      <alignment horizontal="left" vertical="top"/>
    </xf>
    <xf numFmtId="0" fontId="0" fillId="2" borderId="62" xfId="0" applyFill="1" applyBorder="1" applyAlignment="1">
      <alignment horizontal="center" vertical="top" wrapText="1"/>
    </xf>
    <xf numFmtId="0" fontId="0" fillId="2" borderId="20" xfId="0" applyFill="1" applyBorder="1" applyAlignment="1">
      <alignment horizontal="center" vertical="top" wrapText="1"/>
    </xf>
    <xf numFmtId="1" fontId="0" fillId="0" borderId="0" xfId="0" applyNumberFormat="1" applyBorder="1" applyAlignment="1">
      <alignment horizontal="center" vertical="top"/>
    </xf>
    <xf numFmtId="0" fontId="2" fillId="2" borderId="95" xfId="0" applyFont="1" applyFill="1" applyBorder="1" applyAlignment="1">
      <alignment horizontal="right" vertical="top" wrapText="1"/>
    </xf>
    <xf numFmtId="0" fontId="0" fillId="0" borderId="32" xfId="0" applyFill="1" applyBorder="1" applyAlignment="1">
      <alignment horizontal="center" vertical="top"/>
    </xf>
    <xf numFmtId="2" fontId="0" fillId="0" borderId="101" xfId="0" applyNumberFormat="1" applyFill="1" applyBorder="1" applyAlignment="1">
      <alignment horizontal="center" vertical="top"/>
    </xf>
    <xf numFmtId="173" fontId="0" fillId="0" borderId="48" xfId="0" applyNumberFormat="1" applyFill="1" applyBorder="1" applyAlignment="1">
      <alignment horizontal="center" vertical="top"/>
    </xf>
    <xf numFmtId="173" fontId="0" fillId="0" borderId="102" xfId="0" applyNumberFormat="1" applyFill="1" applyBorder="1" applyAlignment="1">
      <alignment horizontal="center" vertical="top"/>
    </xf>
    <xf numFmtId="173" fontId="0" fillId="0" borderId="29" xfId="0" applyNumberFormat="1" applyFill="1" applyBorder="1" applyAlignment="1">
      <alignment horizontal="center" vertical="top"/>
    </xf>
    <xf numFmtId="2" fontId="0" fillId="0" borderId="1" xfId="0" applyNumberFormat="1" applyFill="1" applyBorder="1" applyAlignment="1">
      <alignment horizontal="center" vertical="top"/>
    </xf>
    <xf numFmtId="1" fontId="0" fillId="0" borderId="48" xfId="0" applyNumberFormat="1" applyFill="1" applyBorder="1" applyAlignment="1">
      <alignment horizontal="center" vertical="top"/>
    </xf>
    <xf numFmtId="173" fontId="0" fillId="0" borderId="1" xfId="0" applyNumberFormat="1" applyFill="1" applyBorder="1" applyAlignment="1">
      <alignment horizontal="center" vertical="top"/>
    </xf>
    <xf numFmtId="2" fontId="0" fillId="0" borderId="4" xfId="0" applyNumberFormat="1" applyFill="1" applyBorder="1" applyAlignment="1">
      <alignment horizontal="center" vertical="top"/>
    </xf>
    <xf numFmtId="172" fontId="0" fillId="0" borderId="29" xfId="0" applyNumberFormat="1" applyFill="1" applyBorder="1" applyAlignment="1">
      <alignment horizontal="center" vertical="top"/>
    </xf>
    <xf numFmtId="1" fontId="0" fillId="0" borderId="29" xfId="0" applyNumberFormat="1" applyFill="1" applyBorder="1" applyAlignment="1">
      <alignment horizontal="center" vertical="top"/>
    </xf>
    <xf numFmtId="0" fontId="0" fillId="0" borderId="103" xfId="0" applyFill="1" applyBorder="1" applyAlignment="1">
      <alignment horizontal="center" vertical="top"/>
    </xf>
    <xf numFmtId="0" fontId="0" fillId="20" borderId="105" xfId="0" applyFill="1" applyBorder="1" applyAlignment="1">
      <alignment horizontal="center" vertical="top" wrapText="1"/>
    </xf>
    <xf numFmtId="0" fontId="0" fillId="20" borderId="106" xfId="0" applyFill="1" applyBorder="1" applyAlignment="1">
      <alignment horizontal="center" vertical="top"/>
    </xf>
    <xf numFmtId="0" fontId="0" fillId="20" borderId="107" xfId="0" applyFill="1" applyBorder="1" applyAlignment="1">
      <alignment horizontal="center" vertical="top"/>
    </xf>
    <xf numFmtId="2" fontId="0" fillId="0" borderId="108" xfId="0" applyNumberFormat="1" applyFill="1" applyBorder="1" applyAlignment="1">
      <alignment horizontal="center" vertical="top"/>
    </xf>
    <xf numFmtId="2" fontId="0" fillId="0" borderId="66" xfId="0" applyNumberFormat="1" applyFill="1" applyBorder="1" applyAlignment="1">
      <alignment horizontal="center" vertical="top"/>
    </xf>
    <xf numFmtId="2" fontId="0" fillId="0" borderId="109" xfId="0" applyNumberFormat="1" applyFill="1" applyBorder="1" applyAlignment="1">
      <alignment horizontal="center" vertical="top"/>
    </xf>
    <xf numFmtId="2" fontId="0" fillId="0" borderId="38" xfId="0" applyNumberFormat="1" applyFill="1" applyBorder="1" applyAlignment="1">
      <alignment horizontal="center" vertical="top"/>
    </xf>
    <xf numFmtId="2" fontId="0" fillId="0" borderId="37" xfId="0" applyNumberFormat="1" applyFill="1" applyBorder="1" applyAlignment="1">
      <alignment horizontal="center" vertical="top"/>
    </xf>
    <xf numFmtId="1" fontId="0" fillId="0" borderId="66" xfId="0" applyNumberFormat="1" applyFill="1" applyBorder="1" applyAlignment="1">
      <alignment horizontal="center" vertical="top"/>
    </xf>
    <xf numFmtId="173" fontId="0" fillId="0" borderId="37" xfId="0" applyNumberFormat="1" applyFill="1" applyBorder="1" applyAlignment="1">
      <alignment horizontal="center" vertical="top"/>
    </xf>
    <xf numFmtId="2" fontId="0" fillId="0" borderId="39" xfId="0" applyNumberFormat="1" applyFill="1" applyBorder="1" applyAlignment="1">
      <alignment horizontal="center" vertical="top"/>
    </xf>
    <xf numFmtId="1" fontId="0" fillId="0" borderId="38" xfId="0" applyNumberFormat="1" applyFill="1" applyBorder="1" applyAlignment="1">
      <alignment horizontal="center" vertical="top"/>
    </xf>
    <xf numFmtId="169" fontId="11" fillId="0" borderId="6" xfId="0" applyNumberFormat="1" applyFont="1" applyBorder="1" applyAlignment="1">
      <alignment horizontal="center" vertical="center" wrapText="1"/>
    </xf>
    <xf numFmtId="2" fontId="0" fillId="0" borderId="0" xfId="0" applyNumberFormat="1" applyBorder="1" applyAlignment="1">
      <alignment horizontal="center" vertical="top"/>
    </xf>
    <xf numFmtId="169" fontId="11" fillId="0" borderId="0" xfId="41" applyFont="1" applyAlignment="1">
      <alignment horizontal="center" vertical="center"/>
    </xf>
    <xf numFmtId="0" fontId="2" fillId="21" borderId="0" xfId="0" applyFont="1" applyFill="1" applyAlignment="1">
      <alignment vertical="center"/>
    </xf>
    <xf numFmtId="0" fontId="0" fillId="0" borderId="0" xfId="0">
      <alignment vertical="top"/>
    </xf>
    <xf numFmtId="0" fontId="0" fillId="0" borderId="2" xfId="0" applyBorder="1">
      <alignment vertical="top"/>
    </xf>
    <xf numFmtId="169" fontId="11" fillId="15" borderId="0" xfId="0" applyNumberFormat="1" applyFont="1" applyFill="1" applyBorder="1" applyAlignment="1">
      <alignment horizontal="center" vertical="top" wrapText="1"/>
    </xf>
    <xf numFmtId="0" fontId="5" fillId="0" borderId="0" xfId="41" applyNumberFormat="1" applyFont="1" applyFill="1" applyBorder="1" applyAlignment="1">
      <alignment horizontal="center" vertical="top"/>
    </xf>
    <xf numFmtId="0" fontId="2" fillId="0" borderId="23" xfId="0" applyFont="1" applyBorder="1">
      <alignment vertical="top"/>
    </xf>
    <xf numFmtId="0" fontId="2" fillId="0" borderId="20" xfId="0" applyFont="1" applyFill="1" applyBorder="1">
      <alignment vertical="top"/>
    </xf>
    <xf numFmtId="170" fontId="2" fillId="0" borderId="20" xfId="41" applyNumberFormat="1" applyFont="1" applyFill="1" applyBorder="1" applyAlignment="1" applyProtection="1">
      <alignment horizontal="left" vertical="top"/>
      <protection locked="0"/>
    </xf>
    <xf numFmtId="0" fontId="0" fillId="0" borderId="64" xfId="0" applyBorder="1" applyAlignment="1">
      <alignment horizontal="center" vertical="top"/>
    </xf>
    <xf numFmtId="0" fontId="2" fillId="0" borderId="20" xfId="0" applyFont="1" applyFill="1" applyBorder="1" applyAlignment="1">
      <alignment horizontal="center" vertical="top"/>
    </xf>
    <xf numFmtId="0" fontId="0" fillId="0" borderId="20" xfId="0" applyFill="1" applyBorder="1" applyAlignment="1">
      <alignment horizontal="center" vertical="top"/>
    </xf>
    <xf numFmtId="169" fontId="2" fillId="0" borderId="67" xfId="0" applyNumberFormat="1" applyFont="1" applyBorder="1" applyAlignment="1">
      <alignment horizontal="left" vertical="top"/>
    </xf>
    <xf numFmtId="170" fontId="2" fillId="0" borderId="9" xfId="41" applyNumberFormat="1" applyFont="1" applyBorder="1" applyAlignment="1" applyProtection="1">
      <alignment horizontal="justify" vertical="top" wrapText="1"/>
      <protection locked="0"/>
    </xf>
    <xf numFmtId="0" fontId="2" fillId="0" borderId="10" xfId="0" applyFont="1" applyBorder="1" applyAlignment="1" applyProtection="1">
      <alignment horizontal="center" vertical="top"/>
      <protection locked="0"/>
    </xf>
    <xf numFmtId="0" fontId="2" fillId="0" borderId="67" xfId="0" applyFont="1" applyBorder="1" applyAlignment="1" applyProtection="1">
      <alignment horizontal="center" vertical="top"/>
      <protection locked="0"/>
    </xf>
    <xf numFmtId="1" fontId="2" fillId="0" borderId="1" xfId="0" applyNumberFormat="1" applyFont="1" applyFill="1" applyBorder="1" applyAlignment="1">
      <alignment horizontal="center" vertical="center" wrapText="1"/>
    </xf>
    <xf numFmtId="173" fontId="2" fillId="0" borderId="1" xfId="0" applyNumberFormat="1" applyFont="1" applyFill="1" applyBorder="1" applyAlignment="1">
      <alignment horizontal="center" vertical="center" wrapText="1"/>
    </xf>
    <xf numFmtId="0" fontId="2" fillId="2" borderId="40" xfId="0" applyFont="1" applyFill="1" applyBorder="1" applyAlignment="1">
      <alignment horizontal="center" vertical="center" wrapText="1"/>
    </xf>
    <xf numFmtId="169" fontId="2" fillId="0" borderId="36" xfId="0" applyNumberFormat="1" applyFont="1" applyFill="1" applyBorder="1" applyAlignment="1">
      <alignment horizontal="center" vertical="center" wrapText="1"/>
    </xf>
    <xf numFmtId="0" fontId="2" fillId="0" borderId="35" xfId="0" applyFont="1" applyFill="1" applyBorder="1" applyAlignment="1">
      <alignment horizontal="center" vertical="center" wrapText="1"/>
    </xf>
    <xf numFmtId="173" fontId="2" fillId="7" borderId="36" xfId="0" applyNumberFormat="1" applyFont="1" applyFill="1" applyBorder="1" applyAlignment="1">
      <alignment horizontal="center" vertical="center" wrapText="1"/>
    </xf>
    <xf numFmtId="0" fontId="1" fillId="0" borderId="51" xfId="0" applyFont="1" applyBorder="1" applyAlignment="1">
      <alignment horizontal="centerContinuous" vertical="top"/>
    </xf>
    <xf numFmtId="0" fontId="1" fillId="0" borderId="52" xfId="0" applyFont="1" applyBorder="1" applyAlignment="1">
      <alignment horizontal="centerContinuous" vertical="top"/>
    </xf>
    <xf numFmtId="0" fontId="1" fillId="0" borderId="33" xfId="0" applyFont="1" applyFill="1" applyBorder="1" applyAlignment="1">
      <alignment horizontal="centerContinuous" vertical="top"/>
    </xf>
    <xf numFmtId="0" fontId="1" fillId="0" borderId="50" xfId="0" applyFont="1" applyBorder="1" applyAlignment="1">
      <alignment horizontal="centerContinuous" vertical="top"/>
    </xf>
    <xf numFmtId="0" fontId="1" fillId="0" borderId="32" xfId="0" applyFont="1" applyBorder="1" applyAlignment="1">
      <alignment vertical="top"/>
    </xf>
    <xf numFmtId="0" fontId="1" fillId="0" borderId="31" xfId="0" applyFont="1" applyBorder="1" applyAlignment="1">
      <alignment horizontal="center" vertical="top"/>
    </xf>
    <xf numFmtId="0" fontId="0" fillId="0" borderId="5" xfId="0" applyBorder="1" applyAlignment="1">
      <alignment vertical="center"/>
    </xf>
    <xf numFmtId="0" fontId="0" fillId="0" borderId="19" xfId="0" applyBorder="1" applyAlignment="1">
      <alignment vertical="center"/>
    </xf>
    <xf numFmtId="0" fontId="0" fillId="6" borderId="2" xfId="0" applyFill="1" applyBorder="1" applyAlignment="1">
      <alignment vertical="center"/>
    </xf>
    <xf numFmtId="0" fontId="0" fillId="6" borderId="86" xfId="0" applyFill="1" applyBorder="1" applyAlignment="1">
      <alignment vertical="center"/>
    </xf>
    <xf numFmtId="0" fontId="0" fillId="0" borderId="5" xfId="0" applyBorder="1" applyAlignment="1">
      <alignment horizontal="left" vertical="center"/>
    </xf>
    <xf numFmtId="0" fontId="0" fillId="0" borderId="19" xfId="0" applyBorder="1" applyAlignment="1">
      <alignment horizontal="left" vertical="center"/>
    </xf>
    <xf numFmtId="0" fontId="0" fillId="6" borderId="2" xfId="0" applyFill="1" applyBorder="1" applyAlignment="1">
      <alignment horizontal="left" vertical="center"/>
    </xf>
    <xf numFmtId="0" fontId="0" fillId="6" borderId="86" xfId="0" applyFill="1" applyBorder="1" applyAlignment="1">
      <alignment horizontal="left" vertical="center"/>
    </xf>
    <xf numFmtId="0" fontId="0" fillId="0" borderId="0" xfId="0">
      <alignment vertical="top"/>
    </xf>
    <xf numFmtId="0" fontId="2" fillId="0" borderId="0" xfId="0" applyFont="1">
      <alignment vertical="top"/>
    </xf>
    <xf numFmtId="0" fontId="0" fillId="0" borderId="1" xfId="0" applyBorder="1">
      <alignment vertical="top"/>
    </xf>
    <xf numFmtId="0" fontId="2" fillId="0" borderId="0" xfId="0" applyFont="1" applyBorder="1" applyAlignment="1">
      <alignment horizontal="center" vertical="center"/>
    </xf>
    <xf numFmtId="170" fontId="11" fillId="0" borderId="4" xfId="41" applyNumberFormat="1" applyFont="1" applyFill="1" applyBorder="1" applyAlignment="1">
      <alignment vertical="top"/>
    </xf>
    <xf numFmtId="0" fontId="9" fillId="0" borderId="19" xfId="0" applyFont="1" applyFill="1" applyBorder="1">
      <alignment vertical="top"/>
    </xf>
    <xf numFmtId="0" fontId="9" fillId="0" borderId="5" xfId="0" applyFont="1" applyFill="1" applyBorder="1">
      <alignment vertical="top"/>
    </xf>
    <xf numFmtId="0" fontId="9" fillId="0" borderId="4" xfId="0" applyFont="1" applyFill="1" applyBorder="1">
      <alignment vertical="top"/>
    </xf>
    <xf numFmtId="0" fontId="9" fillId="0" borderId="2" xfId="0" applyFont="1" applyFill="1" applyBorder="1">
      <alignment vertical="top"/>
    </xf>
    <xf numFmtId="169" fontId="5" fillId="21" borderId="2" xfId="41" applyFill="1" applyBorder="1" applyAlignment="1">
      <alignment vertical="top"/>
    </xf>
    <xf numFmtId="0" fontId="6" fillId="21" borderId="1" xfId="0" applyFont="1" applyFill="1" applyBorder="1">
      <alignment vertical="top"/>
    </xf>
    <xf numFmtId="169" fontId="5" fillId="27" borderId="2" xfId="41" applyFill="1" applyBorder="1" applyAlignment="1">
      <alignment vertical="top"/>
    </xf>
    <xf numFmtId="0" fontId="6" fillId="27" borderId="1" xfId="0" applyFont="1" applyFill="1" applyBorder="1">
      <alignment vertical="top"/>
    </xf>
    <xf numFmtId="169" fontId="11" fillId="21" borderId="9" xfId="41" applyFont="1" applyFill="1" applyBorder="1" applyAlignment="1">
      <alignment vertical="center"/>
    </xf>
    <xf numFmtId="170" fontId="11" fillId="21" borderId="9" xfId="41" applyNumberFormat="1" applyFont="1" applyFill="1" applyBorder="1" applyAlignment="1">
      <alignment vertical="center"/>
    </xf>
    <xf numFmtId="170" fontId="11" fillId="21" borderId="21" xfId="41" applyNumberFormat="1" applyFont="1" applyFill="1" applyBorder="1" applyAlignment="1">
      <alignment horizontal="justify" vertical="center"/>
    </xf>
    <xf numFmtId="170" fontId="11" fillId="21" borderId="48" xfId="41" applyNumberFormat="1" applyFont="1" applyFill="1" applyBorder="1" applyAlignment="1">
      <alignment horizontal="justify" vertical="center"/>
    </xf>
    <xf numFmtId="169" fontId="11" fillId="21" borderId="9" xfId="41" applyNumberFormat="1" applyFont="1" applyFill="1" applyBorder="1" applyAlignment="1">
      <alignment horizontal="center" vertical="center"/>
    </xf>
    <xf numFmtId="169" fontId="2" fillId="0" borderId="0" xfId="41" applyFont="1" applyAlignment="1">
      <alignment vertical="top"/>
    </xf>
    <xf numFmtId="170" fontId="2" fillId="0" borderId="0" xfId="41" applyNumberFormat="1" applyFont="1" applyAlignment="1">
      <alignment vertical="top"/>
    </xf>
    <xf numFmtId="170" fontId="1" fillId="0" borderId="39" xfId="41" applyNumberFormat="1" applyFont="1" applyBorder="1" applyAlignment="1">
      <alignment vertical="top"/>
    </xf>
    <xf numFmtId="170" fontId="2" fillId="0" borderId="3" xfId="41" applyNumberFormat="1" applyFont="1" applyBorder="1" applyAlignment="1">
      <alignment horizontal="justify" vertical="top"/>
    </xf>
    <xf numFmtId="170" fontId="2" fillId="0" borderId="4" xfId="41" applyNumberFormat="1" applyFont="1" applyBorder="1" applyAlignment="1">
      <alignment horizontal="justify" vertical="top"/>
    </xf>
    <xf numFmtId="170" fontId="25" fillId="3" borderId="3" xfId="41" applyNumberFormat="1" applyFont="1" applyFill="1" applyBorder="1" applyAlignment="1">
      <alignment vertical="top"/>
    </xf>
    <xf numFmtId="170" fontId="25" fillId="3" borderId="4" xfId="41" applyNumberFormat="1" applyFont="1" applyFill="1" applyBorder="1" applyAlignment="1">
      <alignment vertical="top"/>
    </xf>
    <xf numFmtId="170" fontId="25" fillId="0" borderId="3" xfId="41" applyNumberFormat="1" applyFont="1" applyFill="1" applyBorder="1" applyAlignment="1">
      <alignment vertical="top"/>
    </xf>
    <xf numFmtId="170" fontId="25" fillId="0" borderId="0" xfId="41" applyNumberFormat="1" applyFont="1" applyFill="1" applyBorder="1" applyAlignment="1">
      <alignment vertical="top"/>
    </xf>
    <xf numFmtId="169" fontId="2" fillId="0" borderId="0" xfId="41" applyFont="1" applyFill="1" applyBorder="1" applyAlignment="1">
      <alignment vertical="top"/>
    </xf>
    <xf numFmtId="170" fontId="1" fillId="0" borderId="37" xfId="41" applyNumberFormat="1" applyFont="1" applyBorder="1" applyAlignment="1">
      <alignment vertical="top"/>
    </xf>
    <xf numFmtId="170" fontId="25" fillId="3" borderId="0" xfId="41" applyNumberFormat="1" applyFont="1" applyFill="1" applyBorder="1" applyAlignment="1">
      <alignment vertical="top"/>
    </xf>
    <xf numFmtId="170" fontId="25" fillId="3" borderId="1" xfId="41" applyNumberFormat="1" applyFont="1" applyFill="1" applyBorder="1" applyAlignment="1">
      <alignment vertical="top"/>
    </xf>
    <xf numFmtId="170" fontId="26" fillId="0" borderId="1" xfId="41" applyNumberFormat="1" applyFont="1" applyBorder="1" applyAlignment="1">
      <alignment vertical="top"/>
    </xf>
    <xf numFmtId="169" fontId="2" fillId="0" borderId="0" xfId="41" applyFont="1" applyBorder="1" applyAlignment="1">
      <alignment vertical="top"/>
    </xf>
    <xf numFmtId="169" fontId="2" fillId="0" borderId="1" xfId="41" applyFont="1" applyBorder="1" applyAlignment="1">
      <alignment vertical="top"/>
    </xf>
    <xf numFmtId="169" fontId="2" fillId="2" borderId="5" xfId="41" applyFont="1" applyFill="1" applyBorder="1" applyAlignment="1">
      <alignment vertical="center"/>
    </xf>
    <xf numFmtId="170" fontId="2" fillId="2" borderId="3" xfId="41" applyNumberFormat="1" applyFont="1" applyFill="1" applyBorder="1" applyAlignment="1">
      <alignment vertical="center"/>
    </xf>
    <xf numFmtId="170" fontId="1" fillId="2" borderId="39" xfId="41" applyNumberFormat="1" applyFont="1" applyFill="1" applyBorder="1" applyAlignment="1">
      <alignment vertical="center"/>
    </xf>
    <xf numFmtId="170" fontId="1" fillId="2" borderId="3" xfId="41" applyNumberFormat="1" applyFont="1" applyFill="1" applyBorder="1" applyAlignment="1">
      <alignment horizontal="justify" vertical="center"/>
    </xf>
    <xf numFmtId="169" fontId="2" fillId="0" borderId="3" xfId="41" applyFont="1" applyFill="1" applyBorder="1" applyAlignment="1">
      <alignment vertical="center"/>
    </xf>
    <xf numFmtId="170" fontId="2" fillId="0" borderId="2" xfId="41" applyNumberFormat="1" applyFont="1" applyBorder="1" applyAlignment="1">
      <alignment vertical="top"/>
    </xf>
    <xf numFmtId="0" fontId="2" fillId="0" borderId="37" xfId="0" applyFont="1" applyBorder="1">
      <alignment vertical="top"/>
    </xf>
    <xf numFmtId="1" fontId="2" fillId="0" borderId="0" xfId="3" applyNumberFormat="1" applyFont="1" applyBorder="1" applyAlignment="1">
      <alignment horizontal="center" vertical="top"/>
    </xf>
    <xf numFmtId="1" fontId="2" fillId="0" borderId="0" xfId="3" applyNumberFormat="1" applyFont="1" applyFill="1" applyBorder="1" applyAlignment="1">
      <alignment horizontal="center" vertical="top"/>
    </xf>
    <xf numFmtId="169" fontId="2" fillId="0" borderId="5" xfId="41" applyFont="1" applyBorder="1" applyAlignment="1">
      <alignment vertical="top"/>
    </xf>
    <xf numFmtId="170" fontId="2" fillId="0" borderId="3" xfId="41" applyNumberFormat="1" applyFont="1" applyBorder="1" applyAlignment="1">
      <alignment vertical="top"/>
    </xf>
    <xf numFmtId="170" fontId="1" fillId="5" borderId="39" xfId="41" applyNumberFormat="1" applyFont="1" applyFill="1" applyBorder="1" applyAlignment="1">
      <alignment vertical="top"/>
    </xf>
    <xf numFmtId="170" fontId="1" fillId="28" borderId="3" xfId="41" applyNumberFormat="1" applyFont="1" applyFill="1" applyBorder="1" applyAlignment="1">
      <alignment horizontal="left" vertical="top"/>
    </xf>
    <xf numFmtId="169" fontId="2" fillId="0" borderId="3" xfId="41" applyFont="1" applyBorder="1" applyAlignment="1">
      <alignment vertical="top"/>
    </xf>
    <xf numFmtId="170" fontId="2" fillId="0" borderId="3" xfId="41" applyNumberFormat="1" applyFont="1" applyFill="1" applyBorder="1" applyAlignment="1">
      <alignment vertical="top"/>
    </xf>
    <xf numFmtId="169" fontId="2" fillId="0" borderId="3" xfId="41" applyFont="1" applyFill="1" applyBorder="1" applyAlignment="1">
      <alignment vertical="top"/>
    </xf>
    <xf numFmtId="169" fontId="2" fillId="0" borderId="2" xfId="41" applyFont="1" applyFill="1" applyBorder="1" applyAlignment="1">
      <alignment vertical="top"/>
    </xf>
    <xf numFmtId="0" fontId="2" fillId="0" borderId="2" xfId="0" applyFont="1" applyFill="1" applyBorder="1" applyAlignment="1">
      <alignment horizontal="justify" vertical="top" wrapText="1"/>
    </xf>
    <xf numFmtId="170" fontId="2" fillId="0" borderId="2" xfId="41" applyNumberFormat="1" applyFont="1" applyFill="1" applyBorder="1" applyAlignment="1">
      <alignment vertical="top"/>
    </xf>
    <xf numFmtId="170" fontId="1" fillId="5" borderId="37" xfId="41" applyNumberFormat="1" applyFont="1" applyFill="1" applyBorder="1" applyAlignment="1">
      <alignment vertical="top"/>
    </xf>
    <xf numFmtId="170" fontId="2" fillId="0" borderId="0" xfId="41" applyNumberFormat="1" applyFont="1" applyFill="1" applyBorder="1" applyAlignment="1">
      <alignment horizontal="justify" vertical="top"/>
    </xf>
    <xf numFmtId="170" fontId="2" fillId="0" borderId="1" xfId="41" applyNumberFormat="1" applyFont="1" applyFill="1" applyBorder="1" applyAlignment="1">
      <alignment horizontal="justify" vertical="top"/>
    </xf>
    <xf numFmtId="169" fontId="2" fillId="0" borderId="0" xfId="41" applyNumberFormat="1" applyFont="1" applyFill="1" applyBorder="1" applyAlignment="1">
      <alignment horizontal="center" vertical="top"/>
    </xf>
    <xf numFmtId="170" fontId="2" fillId="0" borderId="0" xfId="41" applyNumberFormat="1" applyFont="1" applyFill="1" applyBorder="1" applyAlignment="1">
      <alignment vertical="top"/>
    </xf>
    <xf numFmtId="169" fontId="2" fillId="0" borderId="2" xfId="41" applyFont="1" applyBorder="1" applyAlignment="1">
      <alignment vertical="top"/>
    </xf>
    <xf numFmtId="170" fontId="2" fillId="0" borderId="0" xfId="41" applyNumberFormat="1" applyFont="1" applyBorder="1" applyAlignment="1">
      <alignment vertical="top"/>
    </xf>
    <xf numFmtId="170" fontId="18" fillId="0" borderId="0" xfId="41" applyNumberFormat="1" applyFont="1" applyFill="1" applyBorder="1" applyAlignment="1">
      <alignment horizontal="left" vertical="top"/>
    </xf>
    <xf numFmtId="0" fontId="2" fillId="5" borderId="37" xfId="0" applyFont="1" applyFill="1" applyBorder="1" applyAlignment="1">
      <alignment horizontal="justify" vertical="top" wrapText="1"/>
    </xf>
    <xf numFmtId="169" fontId="2" fillId="0" borderId="0" xfId="41" applyNumberFormat="1" applyFont="1" applyBorder="1" applyAlignment="1">
      <alignment horizontal="center" vertical="top"/>
    </xf>
    <xf numFmtId="170" fontId="2" fillId="8" borderId="0" xfId="41" applyNumberFormat="1" applyFont="1" applyFill="1" applyBorder="1" applyAlignment="1">
      <alignment horizontal="justify" vertical="top"/>
    </xf>
    <xf numFmtId="170" fontId="2" fillId="8" borderId="1" xfId="41" applyNumberFormat="1" applyFont="1" applyFill="1" applyBorder="1" applyAlignment="1">
      <alignment horizontal="justify" vertical="top"/>
    </xf>
    <xf numFmtId="170" fontId="2" fillId="8" borderId="0" xfId="41" applyNumberFormat="1" applyFont="1" applyFill="1" applyBorder="1" applyAlignment="1">
      <alignment vertical="top"/>
    </xf>
    <xf numFmtId="170" fontId="2" fillId="8" borderId="0" xfId="41" applyNumberFormat="1" applyFont="1" applyFill="1" applyBorder="1" applyAlignment="1">
      <alignment horizontal="center" vertical="top"/>
    </xf>
    <xf numFmtId="169" fontId="2" fillId="8" borderId="0" xfId="41" applyFont="1" applyFill="1" applyBorder="1" applyAlignment="1">
      <alignment horizontal="center" vertical="top"/>
    </xf>
    <xf numFmtId="0" fontId="2" fillId="5" borderId="37" xfId="0" applyFont="1" applyFill="1" applyBorder="1">
      <alignment vertical="top"/>
    </xf>
    <xf numFmtId="170" fontId="18" fillId="0" borderId="0" xfId="41" applyNumberFormat="1" applyFont="1" applyBorder="1" applyAlignment="1">
      <alignment horizontal="justify" vertical="top"/>
    </xf>
    <xf numFmtId="169" fontId="2" fillId="0" borderId="19" xfId="41" applyFont="1" applyBorder="1" applyAlignment="1">
      <alignment vertical="top"/>
    </xf>
    <xf numFmtId="170" fontId="2" fillId="0" borderId="6" xfId="41" applyNumberFormat="1" applyFont="1" applyBorder="1" applyAlignment="1">
      <alignment vertical="top"/>
    </xf>
    <xf numFmtId="0" fontId="2" fillId="5" borderId="38" xfId="0" applyFont="1" applyFill="1" applyBorder="1" applyAlignment="1">
      <alignment horizontal="justify" vertical="top" wrapText="1"/>
    </xf>
    <xf numFmtId="170" fontId="2" fillId="8" borderId="6" xfId="41" applyNumberFormat="1" applyFont="1" applyFill="1" applyBorder="1" applyAlignment="1">
      <alignment horizontal="justify" vertical="top"/>
    </xf>
    <xf numFmtId="170" fontId="2" fillId="8" borderId="29" xfId="41" applyNumberFormat="1" applyFont="1" applyFill="1" applyBorder="1" applyAlignment="1">
      <alignment horizontal="justify" vertical="top"/>
    </xf>
    <xf numFmtId="170" fontId="2" fillId="8" borderId="6" xfId="41" applyNumberFormat="1" applyFont="1" applyFill="1" applyBorder="1" applyAlignment="1">
      <alignment vertical="top"/>
    </xf>
    <xf numFmtId="170" fontId="2" fillId="8" borderId="6" xfId="41" applyNumberFormat="1" applyFont="1" applyFill="1" applyBorder="1" applyAlignment="1">
      <alignment horizontal="center" vertical="top"/>
    </xf>
    <xf numFmtId="169" fontId="2" fillId="8" borderId="6" xfId="41" applyFont="1" applyFill="1" applyBorder="1" applyAlignment="1">
      <alignment horizontal="center" vertical="top"/>
    </xf>
    <xf numFmtId="169" fontId="2" fillId="0" borderId="6" xfId="41" applyFont="1" applyFill="1" applyBorder="1" applyAlignment="1">
      <alignment vertical="top"/>
    </xf>
    <xf numFmtId="169" fontId="2" fillId="0" borderId="22" xfId="41" applyFont="1" applyFill="1" applyBorder="1" applyAlignment="1">
      <alignment vertical="top"/>
    </xf>
    <xf numFmtId="0" fontId="2" fillId="0" borderId="22" xfId="0" applyFont="1" applyFill="1" applyBorder="1" applyAlignment="1">
      <alignment horizontal="justify" vertical="top" wrapText="1"/>
    </xf>
    <xf numFmtId="170" fontId="2" fillId="0" borderId="22" xfId="41" applyNumberFormat="1" applyFont="1" applyFill="1" applyBorder="1" applyAlignment="1">
      <alignment vertical="top"/>
    </xf>
    <xf numFmtId="170" fontId="2" fillId="0" borderId="54" xfId="41" applyNumberFormat="1" applyFont="1" applyFill="1" applyBorder="1" applyAlignment="1">
      <alignment vertical="top" wrapText="1"/>
    </xf>
    <xf numFmtId="170" fontId="2" fillId="0" borderId="7" xfId="41" applyNumberFormat="1" applyFont="1" applyFill="1" applyBorder="1" applyAlignment="1">
      <alignment horizontal="justify" vertical="top"/>
    </xf>
    <xf numFmtId="170" fontId="2" fillId="0" borderId="8" xfId="41" applyNumberFormat="1" applyFont="1" applyFill="1" applyBorder="1" applyAlignment="1">
      <alignment horizontal="justify" vertical="top"/>
    </xf>
    <xf numFmtId="169" fontId="2" fillId="0" borderId="7" xfId="41" applyNumberFormat="1" applyFont="1" applyFill="1" applyBorder="1" applyAlignment="1">
      <alignment horizontal="center" vertical="top"/>
    </xf>
    <xf numFmtId="169" fontId="2" fillId="0" borderId="7" xfId="41" applyFont="1" applyFill="1" applyBorder="1" applyAlignment="1">
      <alignment vertical="top"/>
    </xf>
    <xf numFmtId="169" fontId="2" fillId="0" borderId="5" xfId="41" applyFont="1" applyFill="1" applyBorder="1" applyAlignment="1">
      <alignment vertical="top"/>
    </xf>
    <xf numFmtId="0" fontId="2" fillId="0" borderId="3" xfId="0" applyFont="1" applyFill="1" applyBorder="1">
      <alignment vertical="top"/>
    </xf>
    <xf numFmtId="170" fontId="2" fillId="0" borderId="5" xfId="41" applyNumberFormat="1" applyFont="1" applyFill="1" applyBorder="1" applyAlignment="1">
      <alignment vertical="top"/>
    </xf>
    <xf numFmtId="169" fontId="2" fillId="0" borderId="21" xfId="41" applyFont="1" applyFill="1" applyBorder="1" applyAlignment="1">
      <alignment vertical="top"/>
    </xf>
    <xf numFmtId="0" fontId="2" fillId="0" borderId="9" xfId="0" applyFont="1" applyFill="1" applyBorder="1">
      <alignment vertical="top"/>
    </xf>
    <xf numFmtId="170" fontId="2" fillId="0" borderId="21" xfId="41" applyNumberFormat="1" applyFont="1" applyFill="1" applyBorder="1" applyAlignment="1">
      <alignment vertical="top"/>
    </xf>
    <xf numFmtId="169" fontId="2" fillId="0" borderId="3" xfId="41" applyNumberFormat="1" applyFont="1" applyFill="1" applyBorder="1" applyAlignment="1">
      <alignment horizontal="center" vertical="top"/>
    </xf>
    <xf numFmtId="169" fontId="2" fillId="0" borderId="9" xfId="41" applyFont="1" applyFill="1" applyBorder="1" applyAlignment="1">
      <alignment vertical="top"/>
    </xf>
    <xf numFmtId="170" fontId="1" fillId="2" borderId="37" xfId="0" applyNumberFormat="1" applyFont="1" applyFill="1" applyBorder="1" applyAlignment="1">
      <alignment horizontal="left" vertical="top" wrapText="1"/>
    </xf>
    <xf numFmtId="170" fontId="1" fillId="0" borderId="0" xfId="41" applyNumberFormat="1" applyFont="1" applyBorder="1" applyAlignment="1">
      <alignment horizontal="justify" vertical="top"/>
    </xf>
    <xf numFmtId="170" fontId="2" fillId="2" borderId="0" xfId="41" applyNumberFormat="1" applyFont="1" applyFill="1" applyBorder="1" applyAlignment="1">
      <alignment horizontal="justify" vertical="top"/>
    </xf>
    <xf numFmtId="170" fontId="2" fillId="2" borderId="1" xfId="41" applyNumberFormat="1" applyFont="1" applyFill="1" applyBorder="1" applyAlignment="1">
      <alignment horizontal="justify" vertical="top"/>
    </xf>
    <xf numFmtId="169" fontId="2" fillId="2" borderId="0" xfId="41" applyNumberFormat="1" applyFont="1" applyFill="1" applyBorder="1" applyAlignment="1">
      <alignment horizontal="center" vertical="top"/>
    </xf>
    <xf numFmtId="169" fontId="2" fillId="0" borderId="2" xfId="41" applyNumberFormat="1" applyFont="1" applyBorder="1" applyAlignment="1">
      <alignment vertical="top"/>
    </xf>
    <xf numFmtId="169" fontId="2" fillId="0" borderId="0" xfId="41" applyNumberFormat="1" applyFont="1" applyBorder="1" applyAlignment="1">
      <alignment vertical="top"/>
    </xf>
    <xf numFmtId="169" fontId="2" fillId="6" borderId="0" xfId="41" applyNumberFormat="1" applyFont="1" applyFill="1" applyBorder="1" applyAlignment="1">
      <alignment horizontal="justify" vertical="top"/>
    </xf>
    <xf numFmtId="169" fontId="2" fillId="6" borderId="1" xfId="41" applyNumberFormat="1" applyFont="1" applyFill="1" applyBorder="1" applyAlignment="1">
      <alignment horizontal="justify" vertical="top"/>
    </xf>
    <xf numFmtId="169" fontId="2" fillId="6" borderId="0" xfId="41" applyNumberFormat="1" applyFont="1" applyFill="1" applyBorder="1" applyAlignment="1">
      <alignment vertical="top"/>
    </xf>
    <xf numFmtId="169" fontId="2" fillId="0" borderId="0" xfId="41" applyNumberFormat="1" applyFont="1" applyFill="1" applyBorder="1" applyAlignment="1">
      <alignment vertical="top"/>
    </xf>
    <xf numFmtId="169" fontId="2" fillId="0" borderId="0" xfId="41" applyNumberFormat="1" applyFont="1" applyFill="1" applyBorder="1" applyAlignment="1">
      <alignment horizontal="justify" vertical="top"/>
    </xf>
    <xf numFmtId="169" fontId="2" fillId="0" borderId="1" xfId="41" applyNumberFormat="1" applyFont="1" applyFill="1" applyBorder="1" applyAlignment="1">
      <alignment horizontal="justify" vertical="top"/>
    </xf>
    <xf numFmtId="169" fontId="1" fillId="2" borderId="37" xfId="41" applyNumberFormat="1" applyFont="1" applyFill="1" applyBorder="1" applyAlignment="1">
      <alignment vertical="top"/>
    </xf>
    <xf numFmtId="169" fontId="2" fillId="0" borderId="0" xfId="41" applyNumberFormat="1" applyFont="1" applyBorder="1" applyAlignment="1">
      <alignment horizontal="justify" vertical="top"/>
    </xf>
    <xf numFmtId="169" fontId="2" fillId="0" borderId="1" xfId="41" applyNumberFormat="1" applyFont="1" applyBorder="1" applyAlignment="1">
      <alignment horizontal="justify" vertical="top"/>
    </xf>
    <xf numFmtId="169" fontId="2" fillId="0" borderId="2" xfId="41" applyNumberFormat="1" applyFont="1" applyFill="1" applyBorder="1" applyAlignment="1">
      <alignment vertical="top"/>
    </xf>
    <xf numFmtId="170" fontId="1" fillId="2" borderId="37" xfId="41" applyNumberFormat="1" applyFont="1" applyFill="1" applyBorder="1" applyAlignment="1">
      <alignment vertical="top"/>
    </xf>
    <xf numFmtId="170" fontId="18" fillId="0" borderId="0" xfId="41" applyNumberFormat="1" applyFont="1" applyBorder="1" applyAlignment="1">
      <alignment horizontal="left" vertical="top"/>
    </xf>
    <xf numFmtId="169" fontId="30" fillId="0" borderId="2" xfId="41" applyNumberFormat="1" applyFont="1" applyFill="1" applyBorder="1" applyAlignment="1">
      <alignment vertical="top"/>
    </xf>
    <xf numFmtId="169" fontId="2" fillId="0" borderId="0" xfId="0" applyNumberFormat="1" applyFont="1" applyFill="1" applyBorder="1">
      <alignment vertical="top"/>
    </xf>
    <xf numFmtId="169" fontId="2" fillId="12" borderId="0" xfId="41" applyNumberFormat="1" applyFont="1" applyFill="1" applyBorder="1" applyAlignment="1">
      <alignment horizontal="center" vertical="top"/>
    </xf>
    <xf numFmtId="169" fontId="30" fillId="0" borderId="0" xfId="41" applyNumberFormat="1" applyFont="1" applyFill="1" applyBorder="1" applyAlignment="1">
      <alignment vertical="top"/>
    </xf>
    <xf numFmtId="170" fontId="2" fillId="0" borderId="9" xfId="41" applyNumberFormat="1" applyFont="1" applyFill="1" applyBorder="1" applyAlignment="1">
      <alignment horizontal="justify" vertical="top"/>
    </xf>
    <xf numFmtId="170" fontId="2" fillId="0" borderId="48" xfId="41" applyNumberFormat="1" applyFont="1" applyFill="1" applyBorder="1" applyAlignment="1">
      <alignment horizontal="justify" vertical="top"/>
    </xf>
    <xf numFmtId="169" fontId="2" fillId="0" borderId="9" xfId="41" applyNumberFormat="1" applyFont="1" applyBorder="1" applyAlignment="1">
      <alignment horizontal="center" vertical="top"/>
    </xf>
    <xf numFmtId="170" fontId="2" fillId="0" borderId="1" xfId="41" quotePrefix="1" applyNumberFormat="1" applyFont="1" applyFill="1" applyBorder="1" applyAlignment="1">
      <alignment horizontal="justify" vertical="top"/>
    </xf>
    <xf numFmtId="173" fontId="2" fillId="0" borderId="0" xfId="40" applyNumberFormat="1" applyFont="1" applyFill="1" applyBorder="1" applyAlignment="1">
      <alignment horizontal="center" vertical="top"/>
    </xf>
    <xf numFmtId="170" fontId="2" fillId="0" borderId="48" xfId="41" quotePrefix="1" applyNumberFormat="1" applyFont="1" applyFill="1" applyBorder="1" applyAlignment="1">
      <alignment horizontal="justify" vertical="top"/>
    </xf>
    <xf numFmtId="173" fontId="2" fillId="0" borderId="9" xfId="40" applyNumberFormat="1" applyFont="1" applyFill="1" applyBorder="1" applyAlignment="1">
      <alignment horizontal="center" vertical="top"/>
    </xf>
    <xf numFmtId="0" fontId="2" fillId="0" borderId="0" xfId="41" applyNumberFormat="1" applyFont="1" applyFill="1" applyBorder="1" applyAlignment="1">
      <alignment horizontal="center" vertical="top"/>
    </xf>
    <xf numFmtId="170" fontId="2" fillId="6" borderId="0" xfId="41" applyNumberFormat="1" applyFont="1" applyFill="1" applyBorder="1" applyAlignment="1">
      <alignment horizontal="justify" vertical="top"/>
    </xf>
    <xf numFmtId="170" fontId="2" fillId="6" borderId="1" xfId="41" applyNumberFormat="1" applyFont="1" applyFill="1" applyBorder="1" applyAlignment="1">
      <alignment horizontal="justify" vertical="top"/>
    </xf>
    <xf numFmtId="170" fontId="2" fillId="6" borderId="0" xfId="41" applyNumberFormat="1" applyFont="1" applyFill="1" applyBorder="1" applyAlignment="1">
      <alignment vertical="top"/>
    </xf>
    <xf numFmtId="170" fontId="18" fillId="0" borderId="0" xfId="41" applyNumberFormat="1" applyFont="1" applyFill="1" applyBorder="1" applyAlignment="1">
      <alignment horizontal="justify" vertical="top"/>
    </xf>
    <xf numFmtId="170" fontId="2" fillId="0" borderId="6" xfId="41" applyNumberFormat="1" applyFont="1" applyBorder="1" applyAlignment="1">
      <alignment horizontal="justify" vertical="top"/>
    </xf>
    <xf numFmtId="170" fontId="2" fillId="0" borderId="29" xfId="41" applyNumberFormat="1" applyFont="1" applyBorder="1" applyAlignment="1">
      <alignment horizontal="justify" vertical="top"/>
    </xf>
    <xf numFmtId="169" fontId="2" fillId="0" borderId="6" xfId="41" applyFont="1" applyBorder="1" applyAlignment="1">
      <alignment vertical="top"/>
    </xf>
    <xf numFmtId="170" fontId="2" fillId="0" borderId="6" xfId="41" applyNumberFormat="1" applyFont="1" applyFill="1" applyBorder="1" applyAlignment="1">
      <alignment vertical="top"/>
    </xf>
    <xf numFmtId="170" fontId="2" fillId="0" borderId="9" xfId="41" applyNumberFormat="1" applyFont="1" applyBorder="1" applyAlignment="1">
      <alignment horizontal="justify" vertical="top"/>
    </xf>
    <xf numFmtId="170" fontId="2" fillId="0" borderId="48" xfId="41" applyNumberFormat="1" applyFont="1" applyBorder="1" applyAlignment="1">
      <alignment horizontal="justify" vertical="top"/>
    </xf>
    <xf numFmtId="169" fontId="2" fillId="0" borderId="9" xfId="41" applyNumberFormat="1" applyFont="1" applyFill="1" applyBorder="1" applyAlignment="1">
      <alignment horizontal="center" vertical="top"/>
    </xf>
    <xf numFmtId="170" fontId="2" fillId="0" borderId="9" xfId="41" applyNumberFormat="1" applyFont="1" applyFill="1" applyBorder="1" applyAlignment="1">
      <alignment vertical="top"/>
    </xf>
    <xf numFmtId="170" fontId="1" fillId="0" borderId="0" xfId="41" applyNumberFormat="1" applyFont="1" applyBorder="1" applyAlignment="1">
      <alignment horizontal="left" vertical="top"/>
    </xf>
    <xf numFmtId="169" fontId="2" fillId="0" borderId="0" xfId="41" applyNumberFormat="1" applyFont="1" applyBorder="1" applyAlignment="1">
      <alignment horizontal="left" vertical="top"/>
    </xf>
    <xf numFmtId="169" fontId="2" fillId="6" borderId="2" xfId="41" applyNumberFormat="1" applyFont="1" applyFill="1" applyBorder="1" applyAlignment="1">
      <alignment vertical="top"/>
    </xf>
    <xf numFmtId="0" fontId="1" fillId="6" borderId="37" xfId="0" applyFont="1" applyFill="1" applyBorder="1" applyAlignment="1">
      <alignment horizontal="left" vertical="top" wrapText="1"/>
    </xf>
    <xf numFmtId="169" fontId="1" fillId="0" borderId="2" xfId="41" applyFont="1" applyFill="1" applyBorder="1" applyAlignment="1">
      <alignment vertical="top"/>
    </xf>
    <xf numFmtId="170" fontId="1" fillId="0" borderId="2" xfId="41" applyNumberFormat="1" applyFont="1" applyFill="1" applyBorder="1" applyAlignment="1">
      <alignment vertical="top"/>
    </xf>
    <xf numFmtId="0" fontId="2" fillId="6" borderId="37" xfId="0" applyFont="1" applyFill="1" applyBorder="1" applyAlignment="1">
      <alignment horizontal="justify" vertical="top" wrapText="1"/>
    </xf>
    <xf numFmtId="169" fontId="1" fillId="0" borderId="0" xfId="41" applyFont="1" applyFill="1" applyBorder="1" applyAlignment="1">
      <alignment vertical="top"/>
    </xf>
    <xf numFmtId="170" fontId="1" fillId="6" borderId="37" xfId="41" applyNumberFormat="1" applyFont="1" applyFill="1" applyBorder="1" applyAlignment="1">
      <alignment vertical="top"/>
    </xf>
    <xf numFmtId="170" fontId="1" fillId="21" borderId="37" xfId="41" applyNumberFormat="1" applyFont="1" applyFill="1" applyBorder="1" applyAlignment="1">
      <alignment vertical="center"/>
    </xf>
    <xf numFmtId="169" fontId="2" fillId="21" borderId="0" xfId="41" applyNumberFormat="1" applyFont="1" applyFill="1" applyBorder="1" applyAlignment="1">
      <alignment vertical="center"/>
    </xf>
    <xf numFmtId="169" fontId="1" fillId="0" borderId="2" xfId="41" applyFont="1" applyBorder="1" applyAlignment="1">
      <alignment vertical="top"/>
    </xf>
    <xf numFmtId="0" fontId="2" fillId="0" borderId="2" xfId="16" applyFont="1" applyFill="1" applyBorder="1" applyAlignment="1">
      <alignment horizontal="justify" vertical="top" wrapText="1"/>
    </xf>
    <xf numFmtId="170" fontId="1" fillId="0" borderId="2" xfId="41" applyNumberFormat="1" applyFont="1" applyBorder="1" applyAlignment="1">
      <alignment vertical="top"/>
    </xf>
    <xf numFmtId="178" fontId="2" fillId="0" borderId="0" xfId="40" applyNumberFormat="1" applyFont="1" applyFill="1" applyBorder="1" applyAlignment="1">
      <alignment horizontal="center" vertical="top"/>
    </xf>
    <xf numFmtId="169" fontId="1" fillId="0" borderId="21" xfId="41" applyFont="1" applyBorder="1" applyAlignment="1">
      <alignment vertical="top"/>
    </xf>
    <xf numFmtId="0" fontId="2" fillId="0" borderId="21" xfId="0" applyFont="1" applyFill="1" applyBorder="1" applyAlignment="1">
      <alignment horizontal="justify" vertical="top" wrapText="1"/>
    </xf>
    <xf numFmtId="170" fontId="1" fillId="0" borderId="21" xfId="41" applyNumberFormat="1" applyFont="1" applyBorder="1" applyAlignment="1">
      <alignment vertical="top"/>
    </xf>
    <xf numFmtId="169" fontId="1" fillId="0" borderId="9" xfId="41" applyFont="1" applyFill="1" applyBorder="1" applyAlignment="1">
      <alignment vertical="top"/>
    </xf>
    <xf numFmtId="169" fontId="2" fillId="25" borderId="2" xfId="41" applyFont="1" applyFill="1" applyBorder="1" applyAlignment="1">
      <alignment vertical="center"/>
    </xf>
    <xf numFmtId="0" fontId="2" fillId="25" borderId="2" xfId="0" applyFont="1" applyFill="1" applyBorder="1" applyAlignment="1">
      <alignment horizontal="justify" vertical="center" wrapText="1"/>
    </xf>
    <xf numFmtId="170" fontId="2" fillId="25" borderId="2" xfId="41" applyNumberFormat="1" applyFont="1" applyFill="1" applyBorder="1" applyAlignment="1">
      <alignment vertical="center"/>
    </xf>
    <xf numFmtId="170" fontId="1" fillId="6" borderId="37" xfId="41" applyNumberFormat="1" applyFont="1" applyFill="1" applyBorder="1" applyAlignment="1">
      <alignment vertical="center"/>
    </xf>
    <xf numFmtId="170" fontId="2" fillId="25" borderId="0" xfId="41" applyNumberFormat="1" applyFont="1" applyFill="1" applyBorder="1" applyAlignment="1">
      <alignment horizontal="justify" vertical="center"/>
    </xf>
    <xf numFmtId="170" fontId="2" fillId="25" borderId="1" xfId="41" applyNumberFormat="1" applyFont="1" applyFill="1" applyBorder="1" applyAlignment="1">
      <alignment horizontal="justify" vertical="center"/>
    </xf>
    <xf numFmtId="169" fontId="2" fillId="25" borderId="0" xfId="41" applyNumberFormat="1" applyFont="1" applyFill="1" applyBorder="1" applyAlignment="1">
      <alignment horizontal="center" vertical="center"/>
    </xf>
    <xf numFmtId="169" fontId="2" fillId="25" borderId="0" xfId="41" applyFont="1" applyFill="1" applyBorder="1" applyAlignment="1">
      <alignment vertical="center"/>
    </xf>
    <xf numFmtId="169" fontId="2" fillId="0" borderId="0" xfId="3" applyNumberFormat="1" applyFont="1" applyFill="1" applyBorder="1" applyAlignment="1">
      <alignment horizontal="center" vertical="top"/>
    </xf>
    <xf numFmtId="0" fontId="2" fillId="6" borderId="37" xfId="16" applyFont="1" applyFill="1" applyBorder="1">
      <alignment vertical="top"/>
    </xf>
    <xf numFmtId="169" fontId="1" fillId="0" borderId="0" xfId="41" applyFont="1" applyBorder="1" applyAlignment="1">
      <alignment vertical="top"/>
    </xf>
    <xf numFmtId="0" fontId="2" fillId="0" borderId="0" xfId="16" applyFont="1" applyFill="1" applyBorder="1" applyAlignment="1">
      <alignment horizontal="justify" vertical="top" wrapText="1"/>
    </xf>
    <xf numFmtId="170" fontId="1" fillId="0" borderId="0" xfId="41" applyNumberFormat="1" applyFont="1" applyBorder="1" applyAlignment="1">
      <alignment vertical="top"/>
    </xf>
    <xf numFmtId="170" fontId="30" fillId="0" borderId="0" xfId="41" applyNumberFormat="1" applyFont="1" applyFill="1" applyBorder="1" applyAlignment="1">
      <alignment vertical="top"/>
    </xf>
    <xf numFmtId="169" fontId="2" fillId="6" borderId="2" xfId="41" applyFont="1" applyFill="1" applyBorder="1" applyAlignment="1">
      <alignment vertical="top"/>
    </xf>
    <xf numFmtId="0" fontId="2" fillId="6" borderId="2" xfId="0" applyFont="1" applyFill="1" applyBorder="1" applyAlignment="1">
      <alignment horizontal="justify" vertical="top" wrapText="1"/>
    </xf>
    <xf numFmtId="170" fontId="2" fillId="6" borderId="2" xfId="41" applyNumberFormat="1" applyFont="1" applyFill="1" applyBorder="1" applyAlignment="1">
      <alignment vertical="top"/>
    </xf>
    <xf numFmtId="169" fontId="2" fillId="6" borderId="0" xfId="41" applyNumberFormat="1" applyFont="1" applyFill="1" applyBorder="1" applyAlignment="1">
      <alignment horizontal="center" vertical="top"/>
    </xf>
    <xf numFmtId="169" fontId="2" fillId="6" borderId="0" xfId="41" applyFont="1" applyFill="1" applyBorder="1" applyAlignment="1">
      <alignment vertical="top"/>
    </xf>
    <xf numFmtId="170" fontId="1" fillId="0" borderId="0" xfId="41" applyNumberFormat="1" applyFont="1" applyFill="1" applyBorder="1" applyAlignment="1">
      <alignment vertical="top"/>
    </xf>
    <xf numFmtId="0" fontId="1" fillId="6" borderId="38" xfId="0" applyFont="1" applyFill="1" applyBorder="1" applyAlignment="1">
      <alignment horizontal="justify" vertical="top" wrapText="1"/>
    </xf>
    <xf numFmtId="0" fontId="2" fillId="0" borderId="39" xfId="0" applyFont="1" applyFill="1" applyBorder="1" applyAlignment="1">
      <alignment horizontal="justify" vertical="top" wrapText="1"/>
    </xf>
    <xf numFmtId="0" fontId="2" fillId="0" borderId="37" xfId="0" applyFont="1" applyFill="1" applyBorder="1" applyAlignment="1">
      <alignment horizontal="justify" vertical="top" wrapText="1"/>
    </xf>
    <xf numFmtId="170" fontId="2" fillId="0" borderId="1" xfId="41" applyNumberFormat="1" applyFont="1" applyBorder="1" applyAlignment="1">
      <alignment horizontal="left" vertical="top"/>
    </xf>
    <xf numFmtId="170" fontId="2" fillId="0" borderId="1" xfId="41" applyNumberFormat="1" applyFont="1" applyBorder="1" applyAlignment="1">
      <alignment horizontal="left" vertical="top" wrapText="1"/>
    </xf>
    <xf numFmtId="169" fontId="1" fillId="17" borderId="2" xfId="41" applyFont="1" applyFill="1" applyBorder="1" applyAlignment="1">
      <alignment vertical="top"/>
    </xf>
    <xf numFmtId="0" fontId="2" fillId="17" borderId="2" xfId="0" applyFont="1" applyFill="1" applyBorder="1">
      <alignment vertical="top"/>
    </xf>
    <xf numFmtId="170" fontId="1" fillId="17" borderId="2" xfId="41" applyNumberFormat="1" applyFont="1" applyFill="1" applyBorder="1" applyAlignment="1">
      <alignment vertical="top"/>
    </xf>
    <xf numFmtId="170" fontId="2" fillId="17" borderId="0" xfId="41" applyNumberFormat="1" applyFont="1" applyFill="1" applyBorder="1" applyAlignment="1">
      <alignment horizontal="justify" vertical="top"/>
    </xf>
    <xf numFmtId="170" fontId="2" fillId="17" borderId="1" xfId="41" applyNumberFormat="1" applyFont="1" applyFill="1" applyBorder="1" applyAlignment="1">
      <alignment horizontal="justify" vertical="top"/>
    </xf>
    <xf numFmtId="169" fontId="2" fillId="17" borderId="0" xfId="41" applyNumberFormat="1" applyFont="1" applyFill="1" applyBorder="1" applyAlignment="1">
      <alignment horizontal="center" vertical="top"/>
    </xf>
    <xf numFmtId="169" fontId="1" fillId="17" borderId="0" xfId="41" applyFont="1" applyFill="1" applyBorder="1" applyAlignment="1">
      <alignment vertical="top"/>
    </xf>
    <xf numFmtId="169" fontId="2" fillId="0" borderId="9" xfId="41" applyFont="1" applyBorder="1" applyAlignment="1">
      <alignment vertical="top"/>
    </xf>
    <xf numFmtId="170" fontId="2" fillId="0" borderId="9" xfId="41" applyNumberFormat="1" applyFont="1" applyBorder="1" applyAlignment="1">
      <alignment vertical="top"/>
    </xf>
    <xf numFmtId="170" fontId="2" fillId="6" borderId="9" xfId="41" applyNumberFormat="1" applyFont="1" applyFill="1" applyBorder="1" applyAlignment="1">
      <alignment horizontal="justify" vertical="top"/>
    </xf>
    <xf numFmtId="170" fontId="2" fillId="6" borderId="48" xfId="41" applyNumberFormat="1" applyFont="1" applyFill="1" applyBorder="1" applyAlignment="1">
      <alignment horizontal="justify" vertical="top"/>
    </xf>
    <xf numFmtId="170" fontId="2" fillId="6" borderId="9" xfId="41" applyNumberFormat="1" applyFont="1" applyFill="1" applyBorder="1" applyAlignment="1">
      <alignment vertical="top"/>
    </xf>
    <xf numFmtId="170" fontId="2" fillId="6" borderId="6" xfId="41" applyNumberFormat="1" applyFont="1" applyFill="1" applyBorder="1" applyAlignment="1">
      <alignment horizontal="justify" vertical="top"/>
    </xf>
    <xf numFmtId="170" fontId="2" fillId="6" borderId="29" xfId="41" applyNumberFormat="1" applyFont="1" applyFill="1" applyBorder="1" applyAlignment="1">
      <alignment horizontal="justify" vertical="top"/>
    </xf>
    <xf numFmtId="170" fontId="2" fillId="6" borderId="6" xfId="41" applyNumberFormat="1" applyFont="1" applyFill="1" applyBorder="1" applyAlignment="1">
      <alignment vertical="top"/>
    </xf>
    <xf numFmtId="170" fontId="2" fillId="0" borderId="37" xfId="41" applyNumberFormat="1" applyFont="1" applyBorder="1" applyAlignment="1">
      <alignment vertical="top"/>
    </xf>
    <xf numFmtId="169" fontId="16" fillId="27" borderId="3" xfId="41" applyFont="1" applyFill="1" applyBorder="1" applyAlignment="1">
      <alignment vertical="top"/>
    </xf>
    <xf numFmtId="169" fontId="2" fillId="27" borderId="3" xfId="41" applyFont="1" applyFill="1" applyBorder="1" applyAlignment="1">
      <alignment vertical="top"/>
    </xf>
    <xf numFmtId="0" fontId="2" fillId="21" borderId="0" xfId="0" applyFont="1" applyFill="1" applyBorder="1" applyAlignment="1">
      <alignment vertical="center"/>
    </xf>
    <xf numFmtId="169" fontId="2" fillId="0" borderId="0" xfId="41" applyNumberFormat="1" applyFont="1" applyFill="1" applyBorder="1" applyAlignment="1">
      <alignment horizontal="left" vertical="top"/>
    </xf>
    <xf numFmtId="169" fontId="2" fillId="29" borderId="0" xfId="41" applyNumberFormat="1" applyFont="1" applyFill="1" applyBorder="1" applyAlignment="1">
      <alignment horizontal="left" vertical="top"/>
    </xf>
    <xf numFmtId="169" fontId="2" fillId="29" borderId="1" xfId="41" applyNumberFormat="1" applyFont="1" applyFill="1" applyBorder="1" applyAlignment="1">
      <alignment horizontal="justify" vertical="top"/>
    </xf>
    <xf numFmtId="169" fontId="2" fillId="27" borderId="0" xfId="41" applyNumberFormat="1" applyFont="1" applyFill="1" applyBorder="1" applyAlignment="1">
      <alignment horizontal="justify" vertical="top"/>
    </xf>
    <xf numFmtId="169" fontId="2" fillId="27" borderId="0" xfId="41" applyFont="1" applyFill="1" applyBorder="1" applyAlignment="1">
      <alignment vertical="top"/>
    </xf>
    <xf numFmtId="170" fontId="2" fillId="27" borderId="0" xfId="41" applyNumberFormat="1" applyFont="1" applyFill="1" applyBorder="1" applyAlignment="1">
      <alignment vertical="top"/>
    </xf>
    <xf numFmtId="169" fontId="2" fillId="21" borderId="0" xfId="41" applyFont="1" applyFill="1" applyBorder="1" applyAlignment="1">
      <alignment vertical="top"/>
    </xf>
    <xf numFmtId="170" fontId="2" fillId="21" borderId="0" xfId="41" applyNumberFormat="1" applyFont="1" applyFill="1" applyBorder="1" applyAlignment="1">
      <alignment vertical="top"/>
    </xf>
    <xf numFmtId="170" fontId="2" fillId="21" borderId="9" xfId="41" applyNumberFormat="1" applyFont="1" applyFill="1" applyBorder="1" applyAlignment="1">
      <alignment horizontal="justify" vertical="top"/>
    </xf>
    <xf numFmtId="170" fontId="2" fillId="21" borderId="48" xfId="41" applyNumberFormat="1" applyFont="1" applyFill="1" applyBorder="1" applyAlignment="1">
      <alignment horizontal="justify" vertical="top"/>
    </xf>
    <xf numFmtId="170" fontId="2" fillId="21" borderId="0" xfId="41" applyNumberFormat="1" applyFont="1" applyFill="1" applyBorder="1" applyAlignment="1">
      <alignment horizontal="justify" vertical="top"/>
    </xf>
    <xf numFmtId="170" fontId="2" fillId="21" borderId="1" xfId="41" applyNumberFormat="1" applyFont="1" applyFill="1" applyBorder="1" applyAlignment="1">
      <alignment horizontal="justify" vertical="top"/>
    </xf>
    <xf numFmtId="169" fontId="2" fillId="21" borderId="0" xfId="41" applyNumberFormat="1" applyFont="1" applyFill="1" applyBorder="1" applyAlignment="1">
      <alignment horizontal="center" vertical="top"/>
    </xf>
    <xf numFmtId="169" fontId="2" fillId="0" borderId="9" xfId="0" applyNumberFormat="1" applyFont="1" applyBorder="1" applyAlignment="1">
      <alignment horizontal="left" vertical="top" wrapText="1"/>
    </xf>
    <xf numFmtId="169" fontId="2" fillId="0" borderId="19" xfId="41" applyNumberFormat="1" applyFont="1" applyFill="1" applyBorder="1" applyAlignment="1">
      <alignment vertical="top"/>
    </xf>
    <xf numFmtId="169" fontId="2" fillId="0" borderId="6" xfId="41" applyNumberFormat="1" applyFont="1" applyFill="1" applyBorder="1" applyAlignment="1">
      <alignment vertical="top"/>
    </xf>
    <xf numFmtId="169" fontId="2" fillId="0" borderId="6" xfId="41" applyNumberFormat="1" applyFont="1" applyFill="1" applyBorder="1" applyAlignment="1">
      <alignment horizontal="justify" vertical="top"/>
    </xf>
    <xf numFmtId="169" fontId="2" fillId="0" borderId="29" xfId="41" applyNumberFormat="1" applyFont="1" applyFill="1" applyBorder="1" applyAlignment="1">
      <alignment horizontal="justify" vertical="top"/>
    </xf>
    <xf numFmtId="169" fontId="2" fillId="0" borderId="19" xfId="41" applyFont="1" applyFill="1" applyBorder="1" applyAlignment="1">
      <alignment vertical="top"/>
    </xf>
    <xf numFmtId="0" fontId="2" fillId="0" borderId="6" xfId="0" applyFont="1" applyFill="1" applyBorder="1">
      <alignment vertical="top"/>
    </xf>
    <xf numFmtId="170" fontId="2" fillId="0" borderId="19" xfId="41" applyNumberFormat="1" applyFont="1" applyFill="1" applyBorder="1" applyAlignment="1">
      <alignment vertical="top"/>
    </xf>
    <xf numFmtId="169" fontId="2" fillId="0" borderId="6" xfId="41" applyNumberFormat="1" applyFont="1" applyBorder="1" applyAlignment="1">
      <alignment horizontal="center" vertical="top"/>
    </xf>
    <xf numFmtId="169" fontId="2" fillId="0" borderId="6" xfId="41" applyNumberFormat="1" applyFont="1" applyFill="1" applyBorder="1" applyAlignment="1">
      <alignment horizontal="center" vertical="top"/>
    </xf>
    <xf numFmtId="169" fontId="2" fillId="21" borderId="21" xfId="41" applyNumberFormat="1" applyFont="1" applyFill="1" applyBorder="1" applyAlignment="1">
      <alignment vertical="top"/>
    </xf>
    <xf numFmtId="169" fontId="2" fillId="21" borderId="9" xfId="41" applyNumberFormat="1" applyFont="1" applyFill="1" applyBorder="1" applyAlignment="1">
      <alignment vertical="top"/>
    </xf>
    <xf numFmtId="169" fontId="2" fillId="21" borderId="9" xfId="41" applyNumberFormat="1" applyFont="1" applyFill="1" applyBorder="1" applyAlignment="1">
      <alignment horizontal="justify" vertical="top"/>
    </xf>
    <xf numFmtId="169" fontId="2" fillId="21" borderId="48" xfId="41" applyNumberFormat="1" applyFont="1" applyFill="1" applyBorder="1" applyAlignment="1">
      <alignment horizontal="justify" vertical="top"/>
    </xf>
    <xf numFmtId="170" fontId="1" fillId="27" borderId="38" xfId="41" applyNumberFormat="1" applyFont="1" applyFill="1" applyBorder="1" applyAlignment="1">
      <alignment vertical="top"/>
    </xf>
    <xf numFmtId="169" fontId="16" fillId="26" borderId="3" xfId="41" applyFont="1" applyFill="1" applyBorder="1" applyAlignment="1">
      <alignment vertical="top"/>
    </xf>
    <xf numFmtId="169" fontId="2" fillId="26" borderId="3" xfId="41" applyFont="1" applyFill="1" applyBorder="1" applyAlignment="1">
      <alignment vertical="top"/>
    </xf>
    <xf numFmtId="170" fontId="1" fillId="26" borderId="37" xfId="0" applyNumberFormat="1" applyFont="1" applyFill="1" applyBorder="1" applyAlignment="1">
      <alignment horizontal="left" vertical="top" wrapText="1"/>
    </xf>
    <xf numFmtId="0" fontId="2" fillId="26" borderId="37" xfId="0" applyFont="1" applyFill="1" applyBorder="1" applyAlignment="1">
      <alignment horizontal="left" vertical="top" wrapText="1"/>
    </xf>
    <xf numFmtId="169" fontId="1" fillId="26" borderId="37" xfId="41" applyNumberFormat="1" applyFont="1" applyFill="1" applyBorder="1" applyAlignment="1">
      <alignment vertical="top"/>
    </xf>
    <xf numFmtId="170" fontId="1" fillId="26" borderId="37" xfId="41" applyNumberFormat="1" applyFont="1" applyFill="1" applyBorder="1" applyAlignment="1">
      <alignment vertical="top"/>
    </xf>
    <xf numFmtId="170" fontId="1" fillId="26" borderId="39" xfId="41" applyNumberFormat="1" applyFont="1" applyFill="1" applyBorder="1" applyAlignment="1">
      <alignment vertical="top"/>
    </xf>
    <xf numFmtId="169" fontId="2" fillId="26" borderId="37" xfId="41" applyNumberFormat="1" applyFont="1" applyFill="1" applyBorder="1" applyAlignment="1">
      <alignment vertical="top"/>
    </xf>
    <xf numFmtId="170" fontId="1" fillId="26" borderId="38" xfId="41" applyNumberFormat="1" applyFont="1" applyFill="1" applyBorder="1" applyAlignment="1">
      <alignment vertical="top"/>
    </xf>
    <xf numFmtId="169" fontId="2" fillId="27" borderId="2" xfId="41" applyNumberFormat="1" applyFont="1" applyFill="1" applyBorder="1" applyAlignment="1">
      <alignment vertical="top"/>
    </xf>
    <xf numFmtId="169" fontId="2" fillId="27" borderId="0" xfId="41" applyNumberFormat="1" applyFont="1" applyFill="1" applyBorder="1" applyAlignment="1">
      <alignment vertical="top"/>
    </xf>
    <xf numFmtId="169" fontId="2" fillId="27" borderId="1" xfId="41" applyNumberFormat="1" applyFont="1" applyFill="1" applyBorder="1" applyAlignment="1">
      <alignment horizontal="justify" vertical="top"/>
    </xf>
    <xf numFmtId="169" fontId="2" fillId="21" borderId="21" xfId="41" applyFont="1" applyFill="1" applyBorder="1" applyAlignment="1">
      <alignment vertical="top"/>
    </xf>
    <xf numFmtId="170" fontId="2" fillId="21" borderId="9" xfId="41" applyNumberFormat="1" applyFont="1" applyFill="1" applyBorder="1" applyAlignment="1">
      <alignment vertical="top"/>
    </xf>
    <xf numFmtId="169" fontId="2" fillId="21" borderId="9" xfId="41" applyFont="1" applyFill="1" applyBorder="1" applyAlignment="1">
      <alignment vertical="top"/>
    </xf>
    <xf numFmtId="170" fontId="2" fillId="27" borderId="0" xfId="41" applyNumberFormat="1" applyFont="1" applyFill="1" applyBorder="1" applyAlignment="1">
      <alignment horizontal="justify" vertical="top"/>
    </xf>
    <xf numFmtId="170" fontId="2" fillId="27" borderId="1" xfId="41" applyNumberFormat="1" applyFont="1" applyFill="1" applyBorder="1" applyAlignment="1">
      <alignment horizontal="justify" vertical="top"/>
    </xf>
    <xf numFmtId="169" fontId="2" fillId="27" borderId="0" xfId="41" applyNumberFormat="1" applyFont="1" applyFill="1" applyBorder="1" applyAlignment="1">
      <alignment horizontal="center" vertical="top"/>
    </xf>
    <xf numFmtId="170" fontId="1" fillId="0" borderId="0" xfId="41" applyNumberFormat="1" applyFont="1" applyFill="1" applyBorder="1" applyAlignment="1">
      <alignment horizontal="left" vertical="top"/>
    </xf>
    <xf numFmtId="170" fontId="2" fillId="21" borderId="37" xfId="41" applyNumberFormat="1" applyFont="1" applyFill="1" applyBorder="1" applyAlignment="1">
      <alignment vertical="center" wrapText="1"/>
    </xf>
    <xf numFmtId="0" fontId="2" fillId="0" borderId="19" xfId="0" applyFont="1" applyFill="1" applyBorder="1" applyAlignment="1">
      <alignment horizontal="justify" vertical="top" wrapText="1"/>
    </xf>
    <xf numFmtId="170" fontId="1" fillId="0" borderId="6" xfId="41" applyNumberFormat="1" applyFont="1" applyFill="1" applyBorder="1" applyAlignment="1">
      <alignment horizontal="left" vertical="top"/>
    </xf>
    <xf numFmtId="170" fontId="2" fillId="0" borderId="29" xfId="41" applyNumberFormat="1" applyFont="1" applyFill="1" applyBorder="1" applyAlignment="1">
      <alignment horizontal="justify" vertical="top"/>
    </xf>
    <xf numFmtId="0" fontId="2" fillId="0" borderId="0" xfId="0" applyFont="1" applyFill="1" applyAlignment="1">
      <alignment vertical="center"/>
    </xf>
    <xf numFmtId="169" fontId="2" fillId="0" borderId="0" xfId="41" applyNumberFormat="1" applyFont="1" applyFill="1" applyBorder="1" applyAlignment="1">
      <alignment vertical="center"/>
    </xf>
    <xf numFmtId="169" fontId="1" fillId="0" borderId="19" xfId="41" applyFont="1" applyBorder="1" applyAlignment="1">
      <alignment vertical="top"/>
    </xf>
    <xf numFmtId="0" fontId="2" fillId="0" borderId="6" xfId="0" applyFont="1" applyBorder="1">
      <alignment vertical="top"/>
    </xf>
    <xf numFmtId="170" fontId="1" fillId="0" borderId="19" xfId="41" applyNumberFormat="1" applyFont="1" applyBorder="1" applyAlignment="1">
      <alignment vertical="top"/>
    </xf>
    <xf numFmtId="170" fontId="2" fillId="0" borderId="6" xfId="41" applyNumberFormat="1" applyFont="1" applyFill="1" applyBorder="1" applyAlignment="1">
      <alignment horizontal="justify" vertical="top"/>
    </xf>
    <xf numFmtId="178" fontId="2" fillId="0" borderId="6" xfId="40" applyNumberFormat="1" applyFont="1" applyFill="1" applyBorder="1" applyAlignment="1">
      <alignment horizontal="center" vertical="top"/>
    </xf>
    <xf numFmtId="170" fontId="2" fillId="0" borderId="1" xfId="41" applyNumberFormat="1" applyFont="1" applyFill="1" applyBorder="1" applyAlignment="1">
      <alignment horizontal="left" vertical="top"/>
    </xf>
    <xf numFmtId="0" fontId="1" fillId="0" borderId="3" xfId="0" applyFont="1" applyBorder="1" applyAlignment="1">
      <alignment vertical="top"/>
    </xf>
    <xf numFmtId="169" fontId="1" fillId="6" borderId="21" xfId="41" applyFont="1" applyFill="1" applyBorder="1" applyAlignment="1">
      <alignment vertical="top"/>
    </xf>
    <xf numFmtId="0" fontId="1" fillId="6" borderId="21" xfId="0" applyFont="1" applyFill="1" applyBorder="1">
      <alignment vertical="top"/>
    </xf>
    <xf numFmtId="170" fontId="1" fillId="6" borderId="21" xfId="41" applyNumberFormat="1" applyFont="1" applyFill="1" applyBorder="1" applyAlignment="1">
      <alignment vertical="top"/>
    </xf>
    <xf numFmtId="170" fontId="1" fillId="6" borderId="9" xfId="41" applyNumberFormat="1" applyFont="1" applyFill="1" applyBorder="1" applyAlignment="1">
      <alignment horizontal="justify" vertical="top"/>
    </xf>
    <xf numFmtId="170" fontId="1" fillId="6" borderId="48" xfId="41" quotePrefix="1" applyNumberFormat="1" applyFont="1" applyFill="1" applyBorder="1" applyAlignment="1">
      <alignment horizontal="justify" vertical="top"/>
    </xf>
    <xf numFmtId="173" fontId="1" fillId="6" borderId="9" xfId="41" applyNumberFormat="1" applyFont="1" applyFill="1" applyBorder="1" applyAlignment="1">
      <alignment horizontal="center" vertical="top"/>
    </xf>
    <xf numFmtId="2" fontId="1" fillId="6" borderId="9" xfId="41" applyNumberFormat="1" applyFont="1" applyFill="1" applyBorder="1" applyAlignment="1">
      <alignment horizontal="center" vertical="top"/>
    </xf>
    <xf numFmtId="1" fontId="1" fillId="6" borderId="9" xfId="41" applyNumberFormat="1" applyFont="1" applyFill="1" applyBorder="1" applyAlignment="1">
      <alignment horizontal="center" vertical="top"/>
    </xf>
    <xf numFmtId="169" fontId="1" fillId="6" borderId="9" xfId="41" applyFont="1" applyFill="1" applyBorder="1" applyAlignment="1">
      <alignment vertical="top"/>
    </xf>
    <xf numFmtId="170" fontId="48" fillId="0" borderId="0" xfId="41" applyNumberFormat="1" applyFont="1" applyFill="1" applyBorder="1" applyAlignment="1">
      <alignment horizontal="left" vertical="top"/>
    </xf>
    <xf numFmtId="169" fontId="2" fillId="0" borderId="0" xfId="0" applyNumberFormat="1" applyFont="1">
      <alignment vertical="top"/>
    </xf>
    <xf numFmtId="169" fontId="2" fillId="0" borderId="0" xfId="0" applyNumberFormat="1" applyFont="1" applyBorder="1">
      <alignment vertical="top"/>
    </xf>
    <xf numFmtId="170" fontId="1" fillId="6" borderId="0" xfId="41" applyNumberFormat="1" applyFont="1" applyFill="1" applyBorder="1" applyAlignment="1">
      <alignment horizontal="justify" vertical="top"/>
    </xf>
    <xf numFmtId="0" fontId="1" fillId="6" borderId="37" xfId="0" applyFont="1" applyFill="1" applyBorder="1" applyAlignment="1">
      <alignment horizontal="justify" vertical="top" wrapText="1"/>
    </xf>
    <xf numFmtId="169" fontId="1" fillId="6" borderId="2" xfId="41" applyFont="1" applyFill="1" applyBorder="1" applyAlignment="1">
      <alignment vertical="top"/>
    </xf>
    <xf numFmtId="170" fontId="1" fillId="6" borderId="2" xfId="41" applyNumberFormat="1" applyFont="1" applyFill="1" applyBorder="1" applyAlignment="1">
      <alignment vertical="top"/>
    </xf>
    <xf numFmtId="170" fontId="1" fillId="6" borderId="1" xfId="41" quotePrefix="1" applyNumberFormat="1" applyFont="1" applyFill="1" applyBorder="1" applyAlignment="1">
      <alignment horizontal="justify" vertical="top"/>
    </xf>
    <xf numFmtId="173" fontId="1" fillId="6" borderId="0" xfId="41" applyNumberFormat="1" applyFont="1" applyFill="1" applyBorder="1" applyAlignment="1">
      <alignment horizontal="center" vertical="top"/>
    </xf>
    <xf numFmtId="169" fontId="1" fillId="6" borderId="0" xfId="41" applyFont="1" applyFill="1" applyBorder="1" applyAlignment="1">
      <alignment vertical="top"/>
    </xf>
    <xf numFmtId="169" fontId="30" fillId="0" borderId="9" xfId="41" applyFont="1" applyFill="1" applyBorder="1" applyAlignment="1">
      <alignment vertical="top"/>
    </xf>
    <xf numFmtId="170" fontId="30" fillId="0" borderId="9" xfId="41" applyNumberFormat="1" applyFont="1" applyFill="1" applyBorder="1" applyAlignment="1">
      <alignment vertical="top"/>
    </xf>
    <xf numFmtId="170" fontId="1" fillId="0" borderId="9" xfId="41" applyNumberFormat="1" applyFont="1" applyBorder="1" applyAlignment="1">
      <alignment vertical="top"/>
    </xf>
    <xf numFmtId="169" fontId="2" fillId="27" borderId="19" xfId="41" applyNumberFormat="1" applyFont="1" applyFill="1" applyBorder="1" applyAlignment="1">
      <alignment vertical="top"/>
    </xf>
    <xf numFmtId="169" fontId="2" fillId="27" borderId="6" xfId="41" applyNumberFormat="1" applyFont="1" applyFill="1" applyBorder="1" applyAlignment="1">
      <alignment vertical="top"/>
    </xf>
    <xf numFmtId="169" fontId="2" fillId="27" borderId="6" xfId="41" applyNumberFormat="1" applyFont="1" applyFill="1" applyBorder="1" applyAlignment="1">
      <alignment horizontal="justify" vertical="top"/>
    </xf>
    <xf numFmtId="169" fontId="2" fillId="27" borderId="29" xfId="41" applyNumberFormat="1" applyFont="1" applyFill="1" applyBorder="1" applyAlignment="1">
      <alignment horizontal="justify" vertical="top"/>
    </xf>
    <xf numFmtId="170" fontId="48" fillId="0" borderId="0" xfId="41" applyNumberFormat="1" applyFont="1" applyFill="1" applyBorder="1" applyAlignment="1">
      <alignment horizontal="justify" vertical="top"/>
    </xf>
    <xf numFmtId="2" fontId="1" fillId="6" borderId="0" xfId="41" applyNumberFormat="1" applyFont="1" applyFill="1" applyBorder="1" applyAlignment="1">
      <alignment horizontal="center" vertical="top"/>
    </xf>
    <xf numFmtId="1" fontId="1" fillId="6" borderId="0" xfId="41" applyNumberFormat="1" applyFont="1" applyFill="1" applyBorder="1" applyAlignment="1">
      <alignment horizontal="center" vertical="top"/>
    </xf>
    <xf numFmtId="169" fontId="2" fillId="27" borderId="2" xfId="41" applyFont="1" applyFill="1" applyBorder="1" applyAlignment="1">
      <alignment vertical="top"/>
    </xf>
    <xf numFmtId="0" fontId="2" fillId="27" borderId="2" xfId="0" applyFont="1" applyFill="1" applyBorder="1" applyAlignment="1">
      <alignment horizontal="justify" vertical="top" wrapText="1"/>
    </xf>
    <xf numFmtId="170" fontId="2" fillId="27" borderId="2" xfId="41" applyNumberFormat="1" applyFont="1" applyFill="1" applyBorder="1" applyAlignment="1">
      <alignment vertical="top"/>
    </xf>
    <xf numFmtId="170" fontId="48" fillId="0" borderId="0" xfId="41" applyNumberFormat="1" applyFont="1" applyBorder="1" applyAlignment="1">
      <alignment horizontal="left" vertical="top"/>
    </xf>
    <xf numFmtId="0" fontId="2" fillId="21" borderId="0" xfId="0" applyFont="1" applyFill="1" applyBorder="1">
      <alignment vertical="top"/>
    </xf>
    <xf numFmtId="0" fontId="2" fillId="21" borderId="37" xfId="0" applyFont="1" applyFill="1" applyBorder="1" applyAlignment="1">
      <alignment horizontal="justify" vertical="top" wrapText="1"/>
    </xf>
    <xf numFmtId="0" fontId="2" fillId="21" borderId="0" xfId="0" applyFont="1" applyFill="1" applyBorder="1" applyAlignment="1">
      <alignment vertical="top" wrapText="1"/>
    </xf>
    <xf numFmtId="9" fontId="2" fillId="0" borderId="0" xfId="40" applyNumberFormat="1" applyFont="1" applyFill="1" applyBorder="1" applyAlignment="1">
      <alignment horizontal="center" vertical="top"/>
    </xf>
    <xf numFmtId="169" fontId="1" fillId="6" borderId="19" xfId="41" applyFont="1" applyFill="1" applyBorder="1" applyAlignment="1">
      <alignment vertical="top"/>
    </xf>
    <xf numFmtId="0" fontId="1" fillId="6" borderId="19" xfId="0" applyFont="1" applyFill="1" applyBorder="1">
      <alignment vertical="top"/>
    </xf>
    <xf numFmtId="170" fontId="1" fillId="6" borderId="19" xfId="41" applyNumberFormat="1" applyFont="1" applyFill="1" applyBorder="1" applyAlignment="1">
      <alignment vertical="top"/>
    </xf>
    <xf numFmtId="170" fontId="1" fillId="6" borderId="6" xfId="41" applyNumberFormat="1" applyFont="1" applyFill="1" applyBorder="1" applyAlignment="1">
      <alignment horizontal="justify" vertical="top"/>
    </xf>
    <xf numFmtId="170" fontId="1" fillId="6" borderId="29" xfId="41" quotePrefix="1" applyNumberFormat="1" applyFont="1" applyFill="1" applyBorder="1" applyAlignment="1">
      <alignment horizontal="justify" vertical="top"/>
    </xf>
    <xf numFmtId="173" fontId="1" fillId="6" borderId="6" xfId="41" applyNumberFormat="1" applyFont="1" applyFill="1" applyBorder="1" applyAlignment="1">
      <alignment horizontal="center" vertical="top"/>
    </xf>
    <xf numFmtId="169" fontId="1" fillId="6" borderId="6" xfId="41" applyFont="1" applyFill="1" applyBorder="1" applyAlignment="1">
      <alignment vertical="top"/>
    </xf>
    <xf numFmtId="170" fontId="1" fillId="30" borderId="0" xfId="41" applyNumberFormat="1" applyFont="1" applyFill="1" applyBorder="1" applyAlignment="1">
      <alignment vertical="top"/>
    </xf>
    <xf numFmtId="170" fontId="2" fillId="30" borderId="1" xfId="41" applyNumberFormat="1" applyFont="1" applyFill="1" applyBorder="1" applyAlignment="1">
      <alignment horizontal="left" vertical="top"/>
    </xf>
    <xf numFmtId="170" fontId="16" fillId="30" borderId="13" xfId="41" applyNumberFormat="1" applyFont="1" applyFill="1" applyBorder="1" applyAlignment="1">
      <alignment vertical="top"/>
    </xf>
    <xf numFmtId="170" fontId="2" fillId="30" borderId="39" xfId="41" applyNumberFormat="1" applyFont="1" applyFill="1" applyBorder="1" applyAlignment="1">
      <alignment vertical="top"/>
    </xf>
    <xf numFmtId="0" fontId="1" fillId="30" borderId="37" xfId="16" applyFont="1" applyFill="1" applyBorder="1" applyAlignment="1">
      <alignment vertical="top" wrapText="1"/>
    </xf>
    <xf numFmtId="169" fontId="2" fillId="30" borderId="37" xfId="0" applyNumberFormat="1" applyFont="1" applyFill="1" applyBorder="1" applyAlignment="1">
      <alignment horizontal="justify" vertical="top" wrapText="1"/>
    </xf>
    <xf numFmtId="0" fontId="2" fillId="30" borderId="37" xfId="0" applyFont="1" applyFill="1" applyBorder="1" applyAlignment="1">
      <alignment horizontal="justify" vertical="top" wrapText="1"/>
    </xf>
    <xf numFmtId="0" fontId="2" fillId="30" borderId="66" xfId="0" applyFont="1" applyFill="1" applyBorder="1">
      <alignment vertical="top"/>
    </xf>
    <xf numFmtId="0" fontId="2" fillId="30" borderId="37" xfId="0" applyFont="1" applyFill="1" applyBorder="1">
      <alignment vertical="top"/>
    </xf>
    <xf numFmtId="170" fontId="1" fillId="30" borderId="37" xfId="41" applyNumberFormat="1" applyFont="1" applyFill="1" applyBorder="1" applyAlignment="1">
      <alignment vertical="top"/>
    </xf>
    <xf numFmtId="170" fontId="2" fillId="30" borderId="37" xfId="41" applyNumberFormat="1" applyFont="1" applyFill="1" applyBorder="1" applyAlignment="1">
      <alignment vertical="top"/>
    </xf>
    <xf numFmtId="170" fontId="2" fillId="30" borderId="38" xfId="41" applyNumberFormat="1" applyFont="1" applyFill="1" applyBorder="1" applyAlignment="1">
      <alignment vertical="top"/>
    </xf>
    <xf numFmtId="169" fontId="29" fillId="21" borderId="0" xfId="41" applyFont="1" applyFill="1" applyBorder="1" applyAlignment="1">
      <alignment vertical="top"/>
    </xf>
    <xf numFmtId="0" fontId="29" fillId="21" borderId="0" xfId="0" applyFont="1" applyFill="1" applyBorder="1">
      <alignment vertical="top"/>
    </xf>
    <xf numFmtId="170" fontId="29" fillId="21" borderId="0" xfId="41" applyNumberFormat="1" applyFont="1" applyFill="1" applyBorder="1" applyAlignment="1">
      <alignment vertical="top"/>
    </xf>
    <xf numFmtId="170" fontId="29" fillId="21" borderId="0" xfId="41" applyNumberFormat="1" applyFont="1" applyFill="1" applyBorder="1" applyAlignment="1">
      <alignment horizontal="justify" vertical="top"/>
    </xf>
    <xf numFmtId="170" fontId="29" fillId="21" borderId="1" xfId="41" applyNumberFormat="1" applyFont="1" applyFill="1" applyBorder="1" applyAlignment="1">
      <alignment horizontal="justify" vertical="top"/>
    </xf>
    <xf numFmtId="0" fontId="16" fillId="2" borderId="36" xfId="0" applyFont="1" applyFill="1" applyBorder="1">
      <alignment vertical="top"/>
    </xf>
    <xf numFmtId="0" fontId="0" fillId="0" borderId="1" xfId="0" applyFill="1" applyBorder="1">
      <alignment vertical="top"/>
    </xf>
    <xf numFmtId="170" fontId="11" fillId="27" borderId="2" xfId="41" applyNumberFormat="1" applyFont="1" applyFill="1" applyBorder="1" applyAlignment="1">
      <alignment vertical="top"/>
    </xf>
    <xf numFmtId="170" fontId="11" fillId="27" borderId="1" xfId="41" applyNumberFormat="1" applyFont="1" applyFill="1" applyBorder="1" applyAlignment="1">
      <alignment vertical="top"/>
    </xf>
    <xf numFmtId="0" fontId="11" fillId="27" borderId="2" xfId="0" applyFont="1" applyFill="1" applyBorder="1">
      <alignment vertical="top"/>
    </xf>
    <xf numFmtId="0" fontId="11" fillId="27" borderId="1" xfId="0" applyFont="1" applyFill="1" applyBorder="1">
      <alignment vertical="top"/>
    </xf>
    <xf numFmtId="0" fontId="5" fillId="27" borderId="2" xfId="0" applyFont="1" applyFill="1" applyBorder="1">
      <alignment vertical="top"/>
    </xf>
    <xf numFmtId="0" fontId="9" fillId="27" borderId="2" xfId="0" applyFont="1" applyFill="1" applyBorder="1">
      <alignment vertical="top"/>
    </xf>
    <xf numFmtId="0" fontId="9" fillId="27" borderId="1" xfId="0" applyFont="1" applyFill="1" applyBorder="1">
      <alignment vertical="top"/>
    </xf>
    <xf numFmtId="0" fontId="6" fillId="27" borderId="2" xfId="0" applyFont="1" applyFill="1" applyBorder="1">
      <alignment vertical="top"/>
    </xf>
    <xf numFmtId="0" fontId="0" fillId="27" borderId="1" xfId="0" applyFill="1" applyBorder="1">
      <alignment vertical="top"/>
    </xf>
    <xf numFmtId="0" fontId="0" fillId="27" borderId="2" xfId="0" applyFill="1" applyBorder="1">
      <alignment vertical="top"/>
    </xf>
    <xf numFmtId="0" fontId="10" fillId="27" borderId="2" xfId="0" applyFont="1" applyFill="1" applyBorder="1">
      <alignment vertical="top"/>
    </xf>
    <xf numFmtId="0" fontId="10" fillId="27" borderId="1" xfId="0" applyFont="1" applyFill="1" applyBorder="1">
      <alignment vertical="top"/>
    </xf>
    <xf numFmtId="0" fontId="11" fillId="27" borderId="19" xfId="0" applyFont="1" applyFill="1" applyBorder="1">
      <alignment vertical="top"/>
    </xf>
    <xf numFmtId="0" fontId="11" fillId="27" borderId="29" xfId="0" applyFont="1" applyFill="1" applyBorder="1">
      <alignment vertical="top"/>
    </xf>
    <xf numFmtId="170" fontId="6" fillId="0" borderId="9" xfId="41" applyNumberFormat="1" applyFont="1" applyFill="1" applyBorder="1" applyAlignment="1">
      <alignment vertical="top"/>
    </xf>
    <xf numFmtId="170" fontId="6" fillId="27" borderId="2" xfId="41" applyNumberFormat="1" applyFont="1" applyFill="1" applyBorder="1" applyAlignment="1">
      <alignment vertical="top"/>
    </xf>
    <xf numFmtId="170" fontId="5" fillId="27" borderId="0" xfId="41" applyNumberFormat="1" applyFont="1" applyFill="1" applyBorder="1" applyAlignment="1">
      <alignment vertical="top"/>
    </xf>
    <xf numFmtId="170" fontId="5" fillId="27" borderId="0" xfId="41" applyNumberFormat="1" applyFont="1" applyFill="1" applyBorder="1" applyAlignment="1">
      <alignment horizontal="justify" vertical="top"/>
    </xf>
    <xf numFmtId="0" fontId="0" fillId="27" borderId="0" xfId="0" applyFill="1" applyBorder="1">
      <alignment vertical="top"/>
    </xf>
    <xf numFmtId="169" fontId="11" fillId="27" borderId="0" xfId="41" applyNumberFormat="1" applyFont="1" applyFill="1" applyBorder="1" applyAlignment="1">
      <alignment horizontal="center" vertical="top"/>
    </xf>
    <xf numFmtId="169" fontId="5" fillId="27" borderId="0" xfId="41" applyFont="1" applyFill="1" applyBorder="1" applyAlignment="1">
      <alignment vertical="top"/>
    </xf>
    <xf numFmtId="0" fontId="1" fillId="0" borderId="9" xfId="0" applyFont="1" applyFill="1" applyBorder="1">
      <alignment vertical="top"/>
    </xf>
    <xf numFmtId="0" fontId="4" fillId="0" borderId="9" xfId="0" applyFont="1" applyFill="1" applyBorder="1">
      <alignment vertical="top"/>
    </xf>
    <xf numFmtId="169" fontId="5" fillId="0" borderId="9" xfId="41" applyFill="1" applyBorder="1" applyAlignment="1">
      <alignment vertical="top"/>
    </xf>
    <xf numFmtId="169" fontId="5" fillId="27" borderId="21" xfId="41" applyFill="1" applyBorder="1" applyAlignment="1">
      <alignment vertical="top"/>
    </xf>
    <xf numFmtId="0" fontId="10" fillId="27" borderId="48" xfId="0" applyFont="1" applyFill="1" applyBorder="1">
      <alignment vertical="top"/>
    </xf>
    <xf numFmtId="169" fontId="5" fillId="2" borderId="9" xfId="41" applyNumberFormat="1" applyFont="1" applyFill="1" applyBorder="1" applyAlignment="1">
      <alignment horizontal="justify" vertical="top"/>
    </xf>
    <xf numFmtId="169" fontId="5" fillId="2" borderId="48" xfId="41" applyNumberFormat="1" applyFont="1" applyFill="1" applyBorder="1" applyAlignment="1">
      <alignment horizontal="justify" vertical="top"/>
    </xf>
    <xf numFmtId="170" fontId="6" fillId="21" borderId="2" xfId="41" applyNumberFormat="1" applyFont="1" applyFill="1" applyBorder="1" applyAlignment="1">
      <alignment vertical="top"/>
    </xf>
    <xf numFmtId="170" fontId="5" fillId="21" borderId="0" xfId="41" applyNumberFormat="1" applyFont="1" applyFill="1" applyBorder="1" applyAlignment="1">
      <alignment vertical="top"/>
    </xf>
    <xf numFmtId="0" fontId="11" fillId="21" borderId="2" xfId="0" applyFont="1" applyFill="1" applyBorder="1">
      <alignment vertical="top"/>
    </xf>
    <xf numFmtId="0" fontId="11" fillId="21" borderId="1" xfId="0" applyFont="1" applyFill="1" applyBorder="1">
      <alignment vertical="top"/>
    </xf>
    <xf numFmtId="170" fontId="5" fillId="21" borderId="0" xfId="41" applyNumberFormat="1" applyFont="1" applyFill="1" applyBorder="1" applyAlignment="1">
      <alignment horizontal="justify" vertical="top"/>
    </xf>
    <xf numFmtId="169" fontId="11" fillId="21" borderId="0" xfId="41" applyNumberFormat="1" applyFont="1" applyFill="1" applyBorder="1" applyAlignment="1">
      <alignment horizontal="center" vertical="top"/>
    </xf>
    <xf numFmtId="169" fontId="5" fillId="21" borderId="0" xfId="41" applyFont="1" applyFill="1" applyBorder="1" applyAlignment="1">
      <alignment vertical="top"/>
    </xf>
    <xf numFmtId="0" fontId="16" fillId="2" borderId="2" xfId="0" applyFont="1" applyFill="1" applyBorder="1" applyAlignment="1">
      <alignment vertical="top"/>
    </xf>
    <xf numFmtId="0" fontId="0" fillId="0" borderId="2" xfId="0" applyFill="1" applyBorder="1" applyAlignment="1">
      <alignment vertical="top"/>
    </xf>
    <xf numFmtId="0" fontId="0" fillId="0" borderId="1" xfId="0" applyFill="1" applyBorder="1" applyAlignment="1">
      <alignment horizontal="left" vertical="top"/>
    </xf>
    <xf numFmtId="0" fontId="1" fillId="27" borderId="2" xfId="0" applyFont="1" applyFill="1" applyBorder="1">
      <alignment vertical="top"/>
    </xf>
    <xf numFmtId="0" fontId="1" fillId="27" borderId="0" xfId="0" applyFont="1" applyFill="1" applyBorder="1">
      <alignment vertical="top"/>
    </xf>
    <xf numFmtId="169" fontId="11" fillId="27" borderId="0" xfId="0" applyNumberFormat="1" applyFont="1" applyFill="1" applyBorder="1" applyAlignment="1">
      <alignment horizontal="center" vertical="top"/>
    </xf>
    <xf numFmtId="169" fontId="5" fillId="27" borderId="0" xfId="41" applyFill="1" applyBorder="1" applyAlignment="1">
      <alignment vertical="top"/>
    </xf>
    <xf numFmtId="169" fontId="5" fillId="27" borderId="0" xfId="41" applyNumberFormat="1" applyFont="1" applyFill="1" applyBorder="1" applyAlignment="1">
      <alignment horizontal="justify" vertical="top"/>
    </xf>
    <xf numFmtId="169" fontId="6" fillId="27" borderId="0" xfId="41" applyNumberFormat="1" applyFont="1" applyFill="1" applyBorder="1" applyAlignment="1">
      <alignment horizontal="justify" vertical="top"/>
    </xf>
    <xf numFmtId="169" fontId="6" fillId="27" borderId="1" xfId="41" applyNumberFormat="1" applyFont="1" applyFill="1" applyBorder="1" applyAlignment="1">
      <alignment horizontal="justify" vertical="top"/>
    </xf>
    <xf numFmtId="169" fontId="6" fillId="27" borderId="44" xfId="41" applyNumberFormat="1" applyFont="1" applyFill="1" applyBorder="1" applyAlignment="1">
      <alignment horizontal="justify" vertical="top"/>
    </xf>
    <xf numFmtId="169" fontId="6" fillId="27" borderId="45" xfId="41" applyNumberFormat="1" applyFont="1" applyFill="1" applyBorder="1" applyAlignment="1">
      <alignment horizontal="justify" vertical="top"/>
    </xf>
    <xf numFmtId="169" fontId="11" fillId="27" borderId="44" xfId="41" applyNumberFormat="1" applyFont="1" applyFill="1" applyBorder="1" applyAlignment="1">
      <alignment horizontal="center" vertical="top"/>
    </xf>
    <xf numFmtId="0" fontId="16" fillId="27" borderId="2" xfId="0" applyFont="1" applyFill="1" applyBorder="1" applyAlignment="1">
      <alignment vertical="top"/>
    </xf>
    <xf numFmtId="0" fontId="16" fillId="27" borderId="2" xfId="0" applyFont="1" applyFill="1" applyBorder="1">
      <alignment vertical="top"/>
    </xf>
    <xf numFmtId="0" fontId="16" fillId="27" borderId="1" xfId="0" applyFont="1" applyFill="1" applyBorder="1">
      <alignment vertical="top"/>
    </xf>
    <xf numFmtId="170" fontId="5" fillId="27" borderId="0" xfId="41" applyNumberFormat="1" applyFont="1" applyFill="1" applyBorder="1" applyAlignment="1">
      <alignment horizontal="center" vertical="top"/>
    </xf>
    <xf numFmtId="170" fontId="6" fillId="0" borderId="6" xfId="41" applyNumberFormat="1" applyFont="1" applyFill="1" applyBorder="1" applyAlignment="1">
      <alignment vertical="top"/>
    </xf>
    <xf numFmtId="169" fontId="6" fillId="27" borderId="0" xfId="41" applyFont="1" applyFill="1" applyBorder="1" applyAlignment="1">
      <alignment vertical="top"/>
    </xf>
    <xf numFmtId="170" fontId="5" fillId="27" borderId="0" xfId="41" applyNumberFormat="1" applyFill="1" applyBorder="1" applyAlignment="1">
      <alignment horizontal="justify" vertical="top"/>
    </xf>
    <xf numFmtId="170" fontId="6" fillId="27" borderId="21" xfId="41" applyNumberFormat="1" applyFont="1" applyFill="1" applyBorder="1" applyAlignment="1">
      <alignment vertical="top"/>
    </xf>
    <xf numFmtId="170" fontId="5" fillId="27" borderId="9" xfId="41" applyNumberFormat="1" applyFont="1" applyFill="1" applyBorder="1" applyAlignment="1">
      <alignment vertical="top"/>
    </xf>
    <xf numFmtId="169" fontId="6" fillId="27" borderId="9" xfId="41" applyNumberFormat="1" applyFont="1" applyFill="1" applyBorder="1" applyAlignment="1">
      <alignment horizontal="justify" vertical="top"/>
    </xf>
    <xf numFmtId="169" fontId="6" fillId="27" borderId="48" xfId="41" applyNumberFormat="1" applyFont="1" applyFill="1" applyBorder="1" applyAlignment="1">
      <alignment horizontal="justify" vertical="top"/>
    </xf>
    <xf numFmtId="169" fontId="11" fillId="27" borderId="9" xfId="41" applyNumberFormat="1" applyFont="1" applyFill="1" applyBorder="1" applyAlignment="1">
      <alignment horizontal="center" vertical="top"/>
    </xf>
    <xf numFmtId="169" fontId="5" fillId="27" borderId="9" xfId="41" applyFont="1" applyFill="1" applyBorder="1" applyAlignment="1">
      <alignment vertical="top"/>
    </xf>
    <xf numFmtId="169" fontId="5" fillId="15" borderId="9" xfId="41" applyNumberFormat="1" applyFont="1" applyFill="1" applyBorder="1" applyAlignment="1">
      <alignment horizontal="center" vertical="top"/>
    </xf>
    <xf numFmtId="169" fontId="5" fillId="0" borderId="6" xfId="41" applyNumberFormat="1" applyFont="1" applyFill="1" applyBorder="1" applyAlignment="1">
      <alignment horizontal="center" vertical="top"/>
    </xf>
    <xf numFmtId="0" fontId="9" fillId="21" borderId="2" xfId="0" applyFont="1" applyFill="1" applyBorder="1">
      <alignment vertical="top"/>
    </xf>
    <xf numFmtId="0" fontId="9" fillId="21" borderId="1" xfId="0" applyFont="1" applyFill="1" applyBorder="1">
      <alignment vertical="top"/>
    </xf>
    <xf numFmtId="0" fontId="5" fillId="21" borderId="2" xfId="0" applyFont="1" applyFill="1" applyBorder="1">
      <alignment vertical="top"/>
    </xf>
    <xf numFmtId="0" fontId="6" fillId="21" borderId="2" xfId="0" applyFont="1" applyFill="1" applyBorder="1">
      <alignment vertical="top"/>
    </xf>
    <xf numFmtId="0" fontId="0" fillId="21" borderId="1" xfId="0" applyFill="1" applyBorder="1">
      <alignment vertical="top"/>
    </xf>
    <xf numFmtId="0" fontId="0" fillId="21" borderId="2" xfId="0" applyFill="1" applyBorder="1">
      <alignment vertical="top"/>
    </xf>
    <xf numFmtId="0" fontId="10" fillId="21" borderId="2" xfId="0" applyFont="1" applyFill="1" applyBorder="1">
      <alignment vertical="top"/>
    </xf>
    <xf numFmtId="0" fontId="10" fillId="21" borderId="1" xfId="0" applyFont="1" applyFill="1" applyBorder="1">
      <alignment vertical="top"/>
    </xf>
    <xf numFmtId="0" fontId="11" fillId="21" borderId="19" xfId="0" applyFont="1" applyFill="1" applyBorder="1">
      <alignment vertical="top"/>
    </xf>
    <xf numFmtId="0" fontId="11" fillId="21" borderId="29" xfId="0" applyFont="1" applyFill="1" applyBorder="1">
      <alignment vertical="top"/>
    </xf>
    <xf numFmtId="0" fontId="9" fillId="30" borderId="2" xfId="0" applyFont="1" applyFill="1" applyBorder="1">
      <alignment vertical="top"/>
    </xf>
    <xf numFmtId="0" fontId="9" fillId="30" borderId="1" xfId="0" applyFont="1" applyFill="1" applyBorder="1">
      <alignment vertical="top"/>
    </xf>
    <xf numFmtId="0" fontId="11" fillId="30" borderId="2" xfId="0" applyFont="1" applyFill="1" applyBorder="1">
      <alignment vertical="top"/>
    </xf>
    <xf numFmtId="0" fontId="11" fillId="30" borderId="1" xfId="0" applyFont="1" applyFill="1" applyBorder="1">
      <alignment vertical="top"/>
    </xf>
    <xf numFmtId="0" fontId="5" fillId="30" borderId="2" xfId="0" applyFont="1" applyFill="1" applyBorder="1">
      <alignment vertical="top"/>
    </xf>
    <xf numFmtId="0" fontId="6" fillId="30" borderId="2" xfId="0" applyFont="1" applyFill="1" applyBorder="1">
      <alignment vertical="top"/>
    </xf>
    <xf numFmtId="0" fontId="0" fillId="30" borderId="1" xfId="0" applyFill="1" applyBorder="1">
      <alignment vertical="top"/>
    </xf>
    <xf numFmtId="0" fontId="0" fillId="30" borderId="2" xfId="0" applyFill="1" applyBorder="1">
      <alignment vertical="top"/>
    </xf>
    <xf numFmtId="0" fontId="10" fillId="30" borderId="2" xfId="0" applyFont="1" applyFill="1" applyBorder="1">
      <alignment vertical="top"/>
    </xf>
    <xf numFmtId="0" fontId="10" fillId="30" borderId="1" xfId="0" applyFont="1" applyFill="1" applyBorder="1">
      <alignment vertical="top"/>
    </xf>
    <xf numFmtId="169" fontId="5" fillId="30" borderId="2" xfId="41" applyFill="1" applyBorder="1" applyAlignment="1">
      <alignment vertical="top"/>
    </xf>
    <xf numFmtId="0" fontId="11" fillId="30" borderId="19" xfId="0" applyFont="1" applyFill="1" applyBorder="1">
      <alignment vertical="top"/>
    </xf>
    <xf numFmtId="0" fontId="11" fillId="30" borderId="29" xfId="0" applyFont="1" applyFill="1" applyBorder="1">
      <alignment vertical="top"/>
    </xf>
    <xf numFmtId="0" fontId="16" fillId="27" borderId="0" xfId="0" applyFont="1" applyFill="1" applyBorder="1">
      <alignment vertical="top"/>
    </xf>
    <xf numFmtId="169" fontId="5" fillId="27" borderId="1" xfId="41" applyNumberFormat="1" applyFont="1" applyFill="1" applyBorder="1" applyAlignment="1">
      <alignment horizontal="left" vertical="top"/>
    </xf>
    <xf numFmtId="0" fontId="0" fillId="0" borderId="6" xfId="0" applyBorder="1">
      <alignment vertical="top"/>
    </xf>
    <xf numFmtId="169" fontId="0" fillId="0" borderId="6" xfId="0" applyNumberFormat="1" applyBorder="1" applyAlignment="1">
      <alignment horizontal="center" vertical="top"/>
    </xf>
    <xf numFmtId="170" fontId="6" fillId="0" borderId="21" xfId="41" applyNumberFormat="1" applyFont="1" applyFill="1" applyBorder="1" applyAlignment="1">
      <alignment vertical="top"/>
    </xf>
    <xf numFmtId="170" fontId="5" fillId="27" borderId="2" xfId="41" applyNumberFormat="1" applyFont="1" applyFill="1" applyBorder="1" applyAlignment="1">
      <alignment horizontal="justify" vertical="top"/>
    </xf>
    <xf numFmtId="169" fontId="0" fillId="2" borderId="21" xfId="0" applyNumberFormat="1" applyFill="1" applyBorder="1" applyAlignment="1">
      <alignment vertical="top"/>
    </xf>
    <xf numFmtId="0" fontId="0" fillId="27" borderId="2" xfId="0" applyFill="1" applyBorder="1" applyAlignment="1">
      <alignment vertical="top"/>
    </xf>
    <xf numFmtId="169" fontId="1" fillId="27" borderId="2" xfId="0" applyNumberFormat="1" applyFont="1" applyFill="1" applyBorder="1" applyAlignment="1">
      <alignment vertical="top"/>
    </xf>
    <xf numFmtId="169" fontId="1" fillId="27" borderId="43" xfId="0" applyNumberFormat="1" applyFont="1" applyFill="1" applyBorder="1" applyAlignment="1">
      <alignment vertical="top"/>
    </xf>
    <xf numFmtId="170" fontId="5" fillId="21" borderId="2" xfId="41" applyNumberFormat="1" applyFont="1" applyFill="1" applyBorder="1" applyAlignment="1">
      <alignment horizontal="justify" vertical="top"/>
    </xf>
    <xf numFmtId="0" fontId="2" fillId="0" borderId="2" xfId="0" applyFont="1" applyFill="1" applyBorder="1" applyAlignment="1">
      <alignment horizontal="left" vertical="top" wrapText="1"/>
    </xf>
    <xf numFmtId="169" fontId="1" fillId="27" borderId="21" xfId="0" applyNumberFormat="1" applyFont="1" applyFill="1" applyBorder="1" applyAlignment="1">
      <alignment vertical="top"/>
    </xf>
    <xf numFmtId="0" fontId="0" fillId="0" borderId="29" xfId="0" applyBorder="1">
      <alignment vertical="top"/>
    </xf>
    <xf numFmtId="0" fontId="6" fillId="30" borderId="1" xfId="0" applyFont="1" applyFill="1" applyBorder="1">
      <alignment vertical="top"/>
    </xf>
    <xf numFmtId="0" fontId="16" fillId="30" borderId="2" xfId="0" applyFont="1" applyFill="1" applyBorder="1">
      <alignment vertical="top"/>
    </xf>
    <xf numFmtId="0" fontId="0" fillId="30" borderId="0" xfId="0" applyFill="1" applyBorder="1">
      <alignment vertical="top"/>
    </xf>
    <xf numFmtId="0" fontId="0" fillId="30" borderId="0" xfId="0" applyFill="1" applyAlignment="1">
      <alignment horizontal="center" vertical="top"/>
    </xf>
    <xf numFmtId="0" fontId="1" fillId="27" borderId="43" xfId="0" applyFont="1" applyFill="1" applyBorder="1">
      <alignment vertical="top"/>
    </xf>
    <xf numFmtId="0" fontId="1" fillId="27" borderId="44" xfId="0" applyFont="1" applyFill="1" applyBorder="1">
      <alignment vertical="top"/>
    </xf>
    <xf numFmtId="169" fontId="5" fillId="27" borderId="44" xfId="41" applyFill="1" applyBorder="1" applyAlignment="1">
      <alignment vertical="top"/>
    </xf>
    <xf numFmtId="169" fontId="6" fillId="27" borderId="44" xfId="41" applyFont="1" applyFill="1" applyBorder="1" applyAlignment="1">
      <alignment vertical="top"/>
    </xf>
    <xf numFmtId="0" fontId="6" fillId="21" borderId="1" xfId="0" applyFont="1" applyFill="1" applyBorder="1" applyAlignment="1">
      <alignment horizontal="left" vertical="top"/>
    </xf>
    <xf numFmtId="169" fontId="5" fillId="21" borderId="2" xfId="41" applyFont="1" applyFill="1" applyBorder="1" applyAlignment="1">
      <alignment vertical="top"/>
    </xf>
    <xf numFmtId="169" fontId="5" fillId="21" borderId="1" xfId="41" applyFont="1" applyFill="1" applyBorder="1" applyAlignment="1">
      <alignment vertical="top"/>
    </xf>
    <xf numFmtId="174" fontId="6" fillId="21" borderId="1" xfId="0" applyNumberFormat="1" applyFont="1" applyFill="1" applyBorder="1" applyAlignment="1">
      <alignment horizontal="justify" vertical="top"/>
    </xf>
    <xf numFmtId="169" fontId="6" fillId="21" borderId="2" xfId="41" applyFont="1" applyFill="1" applyBorder="1" applyAlignment="1">
      <alignment vertical="top"/>
    </xf>
    <xf numFmtId="169" fontId="6" fillId="21" borderId="1" xfId="41" applyFont="1" applyFill="1" applyBorder="1" applyAlignment="1">
      <alignment vertical="top"/>
    </xf>
    <xf numFmtId="170" fontId="11" fillId="21" borderId="5" xfId="41" applyNumberFormat="1" applyFont="1" applyFill="1" applyBorder="1" applyAlignment="1">
      <alignment vertical="center"/>
    </xf>
    <xf numFmtId="0" fontId="0" fillId="6" borderId="21" xfId="0" applyFill="1" applyBorder="1" applyAlignment="1">
      <alignment horizontal="left" vertical="top"/>
    </xf>
    <xf numFmtId="0" fontId="0" fillId="0" borderId="9" xfId="0" applyFill="1" applyBorder="1" applyAlignment="1">
      <alignment horizontal="left" vertical="top"/>
    </xf>
    <xf numFmtId="0" fontId="10" fillId="21" borderId="21" xfId="0" applyFont="1" applyFill="1" applyBorder="1">
      <alignment vertical="top"/>
    </xf>
    <xf numFmtId="0" fontId="10" fillId="21" borderId="48" xfId="0" applyFont="1" applyFill="1" applyBorder="1">
      <alignment vertical="top"/>
    </xf>
    <xf numFmtId="169" fontId="6" fillId="0" borderId="9" xfId="41" applyFont="1" applyFill="1" applyBorder="1" applyAlignment="1">
      <alignment vertical="top"/>
    </xf>
    <xf numFmtId="0" fontId="56" fillId="27" borderId="0" xfId="0" applyFont="1" applyFill="1" applyBorder="1">
      <alignment vertical="top"/>
    </xf>
    <xf numFmtId="0" fontId="0" fillId="27" borderId="0" xfId="0" applyFill="1" applyAlignment="1">
      <alignment horizontal="center" vertical="top"/>
    </xf>
    <xf numFmtId="169" fontId="25" fillId="0" borderId="1" xfId="0"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173" fontId="2" fillId="6" borderId="0" xfId="0" applyNumberFormat="1" applyFont="1" applyFill="1" applyBorder="1" applyAlignment="1">
      <alignment horizontal="center" vertical="center" wrapText="1"/>
    </xf>
    <xf numFmtId="169" fontId="2" fillId="0" borderId="9" xfId="0" applyNumberFormat="1" applyFont="1" applyFill="1" applyBorder="1" applyAlignment="1">
      <alignment horizontal="center" vertical="center" wrapText="1"/>
    </xf>
    <xf numFmtId="175" fontId="2" fillId="0" borderId="0" xfId="0" applyNumberFormat="1" applyFont="1" applyFill="1" applyBorder="1" applyAlignment="1">
      <alignment horizontal="center" vertical="center" wrapText="1"/>
    </xf>
    <xf numFmtId="172" fontId="2" fillId="0" borderId="0" xfId="0" applyNumberFormat="1" applyFont="1" applyFill="1" applyBorder="1" applyAlignment="1">
      <alignment horizontal="center" vertical="center" wrapText="1"/>
    </xf>
    <xf numFmtId="2" fontId="2" fillId="0" borderId="36" xfId="0" applyNumberFormat="1" applyFont="1" applyFill="1" applyBorder="1" applyAlignment="1">
      <alignment horizontal="center" vertical="center" wrapText="1"/>
    </xf>
    <xf numFmtId="0" fontId="2" fillId="27" borderId="3" xfId="0" applyFont="1" applyFill="1" applyBorder="1" applyAlignment="1">
      <alignment vertical="center"/>
    </xf>
    <xf numFmtId="0" fontId="49" fillId="0" borderId="2" xfId="0" applyFont="1" applyBorder="1" applyAlignment="1">
      <alignment vertical="center"/>
    </xf>
    <xf numFmtId="0" fontId="49" fillId="0" borderId="0" xfId="0" applyFont="1" applyBorder="1" applyAlignment="1">
      <alignment vertical="center"/>
    </xf>
    <xf numFmtId="0" fontId="49" fillId="0" borderId="1" xfId="0" applyFont="1" applyBorder="1" applyAlignment="1">
      <alignment vertical="center"/>
    </xf>
    <xf numFmtId="173" fontId="49" fillId="0" borderId="0" xfId="0" applyNumberFormat="1" applyFont="1" applyBorder="1" applyAlignment="1">
      <alignment horizontal="center" vertical="center"/>
    </xf>
    <xf numFmtId="1" fontId="49" fillId="0" borderId="2" xfId="0" applyNumberFormat="1" applyFont="1" applyBorder="1" applyAlignment="1">
      <alignment horizontal="center" vertical="center"/>
    </xf>
    <xf numFmtId="1" fontId="49" fillId="0" borderId="0" xfId="0" applyNumberFormat="1" applyFont="1" applyBorder="1" applyAlignment="1">
      <alignment horizontal="center" vertical="center"/>
    </xf>
    <xf numFmtId="1" fontId="49" fillId="0" borderId="1" xfId="0" applyNumberFormat="1" applyFont="1" applyBorder="1" applyAlignment="1">
      <alignment horizontal="center" vertical="center"/>
    </xf>
    <xf numFmtId="0" fontId="49" fillId="0" borderId="0" xfId="0" applyFont="1" applyBorder="1" applyAlignment="1">
      <alignment horizontal="center" vertical="center"/>
    </xf>
    <xf numFmtId="0" fontId="1" fillId="27" borderId="22" xfId="0" applyFont="1" applyFill="1" applyBorder="1" applyAlignment="1">
      <alignment vertical="center"/>
    </xf>
    <xf numFmtId="0" fontId="1" fillId="27" borderId="5" xfId="0" applyFont="1" applyFill="1" applyBorder="1" applyAlignment="1">
      <alignment vertical="center"/>
    </xf>
    <xf numFmtId="0" fontId="1" fillId="27" borderId="4" xfId="0" applyFont="1" applyFill="1" applyBorder="1" applyAlignment="1">
      <alignment vertical="center"/>
    </xf>
    <xf numFmtId="0" fontId="1" fillId="27" borderId="21" xfId="0" applyFont="1" applyFill="1" applyBorder="1" applyAlignment="1">
      <alignment vertical="center"/>
    </xf>
    <xf numFmtId="0" fontId="1" fillId="27" borderId="48" xfId="0" applyFont="1" applyFill="1" applyBorder="1" applyAlignment="1">
      <alignment vertical="center"/>
    </xf>
    <xf numFmtId="0" fontId="2" fillId="27" borderId="9" xfId="0" applyFont="1" applyFill="1" applyBorder="1" applyAlignment="1">
      <alignment horizontal="center" vertical="center" wrapText="1"/>
    </xf>
    <xf numFmtId="0" fontId="2" fillId="27" borderId="21" xfId="0" applyFont="1" applyFill="1" applyBorder="1" applyAlignment="1">
      <alignment horizontal="center" vertical="center" wrapText="1"/>
    </xf>
    <xf numFmtId="0" fontId="2" fillId="27" borderId="48" xfId="0" applyFont="1" applyFill="1" applyBorder="1" applyAlignment="1">
      <alignment horizontal="center" vertical="center" wrapText="1"/>
    </xf>
    <xf numFmtId="0" fontId="2" fillId="27" borderId="46" xfId="0" applyFont="1" applyFill="1" applyBorder="1" applyAlignment="1">
      <alignment horizontal="center" vertical="center" wrapText="1"/>
    </xf>
    <xf numFmtId="0" fontId="25" fillId="27" borderId="48" xfId="0" applyFont="1" applyFill="1" applyBorder="1" applyAlignment="1">
      <alignment horizontal="center" vertical="center" wrapText="1"/>
    </xf>
    <xf numFmtId="0" fontId="2" fillId="27" borderId="0" xfId="0" applyFont="1" applyFill="1" applyAlignment="1">
      <alignment horizontal="justify" vertical="center" wrapText="1"/>
    </xf>
    <xf numFmtId="0" fontId="2" fillId="27" borderId="5" xfId="0" applyFont="1" applyFill="1" applyBorder="1" applyAlignment="1">
      <alignment horizontal="left" vertical="center" wrapText="1"/>
    </xf>
    <xf numFmtId="0" fontId="2" fillId="27" borderId="0" xfId="0" applyFont="1" applyFill="1" applyBorder="1" applyAlignment="1">
      <alignment horizontal="justify" vertical="center" wrapText="1"/>
    </xf>
    <xf numFmtId="170" fontId="6" fillId="27" borderId="9" xfId="41" applyNumberFormat="1" applyFont="1" applyFill="1" applyBorder="1" applyAlignment="1">
      <alignment vertical="top"/>
    </xf>
    <xf numFmtId="169" fontId="25" fillId="0" borderId="0" xfId="0" applyNumberFormat="1" applyFont="1" applyFill="1" applyBorder="1" applyAlignment="1">
      <alignment horizontal="center" vertical="center" wrapText="1"/>
    </xf>
    <xf numFmtId="0" fontId="2" fillId="0" borderId="0" xfId="11" applyFont="1" applyFill="1" applyBorder="1" applyAlignment="1">
      <alignment horizontal="center" vertical="top" wrapText="1"/>
    </xf>
    <xf numFmtId="170" fontId="2" fillId="0" borderId="0" xfId="10" applyNumberFormat="1" applyFont="1" applyFill="1" applyBorder="1" applyAlignment="1">
      <alignment horizontal="center" vertical="top" wrapText="1"/>
    </xf>
    <xf numFmtId="0" fontId="2" fillId="0" borderId="0" xfId="10" applyFont="1" applyFill="1" applyBorder="1" applyAlignment="1">
      <alignment horizontal="center" vertical="top" wrapText="1"/>
    </xf>
    <xf numFmtId="0" fontId="44" fillId="0" borderId="0" xfId="0" applyFont="1" applyBorder="1" applyAlignment="1">
      <alignment horizontal="center" vertical="center"/>
    </xf>
    <xf numFmtId="0" fontId="2" fillId="27" borderId="0" xfId="0" applyFont="1" applyFill="1" applyBorder="1" applyAlignment="1">
      <alignment horizontal="center" vertical="center" wrapText="1"/>
    </xf>
    <xf numFmtId="170" fontId="2" fillId="0" borderId="0" xfId="4" applyNumberFormat="1" applyFont="1" applyFill="1" applyBorder="1" applyAlignment="1">
      <alignment horizontal="center" vertical="top" wrapText="1"/>
    </xf>
    <xf numFmtId="170" fontId="2" fillId="0" borderId="0" xfId="5" applyNumberFormat="1" applyFont="1" applyFill="1" applyBorder="1" applyAlignment="1">
      <alignment horizontal="center" vertical="top" wrapText="1"/>
    </xf>
    <xf numFmtId="0" fontId="2" fillId="0" borderId="20" xfId="0" applyFont="1" applyFill="1" applyBorder="1" applyAlignment="1">
      <alignment horizontal="center" vertical="top" wrapText="1"/>
    </xf>
    <xf numFmtId="0" fontId="44" fillId="0" borderId="0" xfId="0" applyFont="1" applyBorder="1" applyAlignment="1">
      <alignment horizontal="center" vertical="center" wrapText="1"/>
    </xf>
    <xf numFmtId="169" fontId="2" fillId="0" borderId="0" xfId="4" applyNumberFormat="1" applyFont="1" applyFill="1" applyBorder="1" applyAlignment="1">
      <alignment horizontal="center" vertical="center" wrapText="1"/>
    </xf>
    <xf numFmtId="169" fontId="2" fillId="0" borderId="0" xfId="5" applyNumberFormat="1" applyFont="1" applyFill="1" applyBorder="1" applyAlignment="1">
      <alignment horizontal="center" vertical="top" wrapText="1"/>
    </xf>
    <xf numFmtId="169" fontId="2" fillId="0" borderId="0" xfId="11" applyNumberFormat="1" applyFont="1" applyFill="1" applyBorder="1" applyAlignment="1">
      <alignment horizontal="center" vertical="center" wrapText="1"/>
    </xf>
    <xf numFmtId="169" fontId="2" fillId="0" borderId="0" xfId="10" applyNumberFormat="1" applyFont="1" applyFill="1" applyBorder="1" applyAlignment="1">
      <alignment horizontal="center" vertical="center" wrapText="1"/>
    </xf>
    <xf numFmtId="169" fontId="2" fillId="0" borderId="0" xfId="41" applyFont="1" applyFill="1" applyBorder="1" applyAlignment="1">
      <alignment horizontal="center" vertical="top"/>
    </xf>
    <xf numFmtId="169" fontId="1" fillId="0" borderId="2" xfId="0" applyNumberFormat="1" applyFont="1" applyFill="1" applyBorder="1" applyAlignment="1">
      <alignment horizontal="left" vertical="center" wrapText="1"/>
    </xf>
    <xf numFmtId="0" fontId="1" fillId="0" borderId="2" xfId="0" applyFont="1" applyFill="1" applyBorder="1" applyAlignment="1">
      <alignment horizontal="left" vertical="center" wrapText="1"/>
    </xf>
    <xf numFmtId="170" fontId="2" fillId="0" borderId="2" xfId="41" applyNumberFormat="1" applyFont="1" applyFill="1" applyBorder="1" applyAlignment="1">
      <alignment horizontal="justify" vertical="top"/>
    </xf>
    <xf numFmtId="0" fontId="2" fillId="0" borderId="1" xfId="0" applyFont="1" applyFill="1" applyBorder="1" applyAlignment="1">
      <alignment horizontal="left" vertical="center" wrapText="1"/>
    </xf>
    <xf numFmtId="0" fontId="2" fillId="0" borderId="1" xfId="13" applyFont="1" applyFill="1" applyBorder="1" applyAlignment="1">
      <alignment horizontal="left" vertical="center" wrapText="1"/>
    </xf>
    <xf numFmtId="0" fontId="2" fillId="0" borderId="65" xfId="0" applyNumberFormat="1" applyFont="1" applyFill="1" applyBorder="1" applyAlignment="1">
      <alignment horizontal="left" vertical="center" wrapText="1"/>
    </xf>
    <xf numFmtId="169" fontId="2" fillId="0" borderId="1" xfId="0" quotePrefix="1" applyNumberFormat="1" applyFont="1" applyFill="1" applyBorder="1" applyAlignment="1">
      <alignment horizontal="left" vertical="center" wrapText="1"/>
    </xf>
    <xf numFmtId="169" fontId="2" fillId="0" borderId="48" xfId="0" applyNumberFormat="1" applyFont="1" applyFill="1" applyBorder="1" applyAlignment="1">
      <alignment horizontal="left" vertical="center" wrapText="1"/>
    </xf>
    <xf numFmtId="169" fontId="2" fillId="0" borderId="0" xfId="0" applyNumberFormat="1" applyFont="1" applyFill="1" applyBorder="1" applyAlignment="1">
      <alignment horizontal="center" vertical="center"/>
    </xf>
    <xf numFmtId="0" fontId="2" fillId="0" borderId="0" xfId="13" applyFont="1" applyFill="1" applyBorder="1" applyAlignment="1">
      <alignment horizontal="center" vertical="top" wrapText="1"/>
    </xf>
    <xf numFmtId="0"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vertical="center" wrapText="1"/>
    </xf>
    <xf numFmtId="0" fontId="2" fillId="0" borderId="0" xfId="0" applyFont="1" applyBorder="1" applyAlignment="1">
      <alignment horizontal="center" vertical="center" wrapText="1"/>
    </xf>
    <xf numFmtId="169" fontId="2" fillId="0" borderId="0" xfId="13" applyNumberFormat="1" applyFont="1" applyFill="1" applyBorder="1" applyAlignment="1">
      <alignment horizontal="center" vertical="top" wrapText="1"/>
    </xf>
    <xf numFmtId="170" fontId="2" fillId="0" borderId="0" xfId="13" applyNumberFormat="1" applyFont="1" applyFill="1" applyBorder="1" applyAlignment="1">
      <alignment horizontal="center" vertical="top" wrapText="1"/>
    </xf>
    <xf numFmtId="0" fontId="2" fillId="0" borderId="2" xfId="12" applyFont="1" applyFill="1" applyBorder="1" applyAlignment="1">
      <alignment horizontal="left" vertical="center" wrapText="1"/>
    </xf>
    <xf numFmtId="0" fontId="2" fillId="0" borderId="0" xfId="0" quotePrefix="1" applyFont="1" applyBorder="1" applyAlignment="1">
      <alignment vertical="center"/>
    </xf>
    <xf numFmtId="0" fontId="2" fillId="0" borderId="1" xfId="0" applyFont="1" applyBorder="1" applyAlignment="1">
      <alignment horizontal="left" vertical="center"/>
    </xf>
    <xf numFmtId="0" fontId="2" fillId="0" borderId="0" xfId="0" applyFont="1" applyBorder="1" applyAlignment="1">
      <alignment vertical="center"/>
    </xf>
    <xf numFmtId="0" fontId="2" fillId="0" borderId="1" xfId="0" applyFont="1" applyBorder="1" applyAlignment="1">
      <alignment horizontal="left" vertical="top"/>
    </xf>
    <xf numFmtId="0" fontId="2" fillId="27" borderId="4" xfId="0" applyFont="1" applyFill="1" applyBorder="1" applyAlignment="1">
      <alignment horizontal="left" vertical="center" wrapText="1"/>
    </xf>
    <xf numFmtId="0" fontId="2" fillId="0" borderId="20" xfId="0" applyFont="1" applyFill="1" applyBorder="1" applyAlignment="1">
      <alignment vertical="center"/>
    </xf>
    <xf numFmtId="0" fontId="2" fillId="0" borderId="20" xfId="0" applyNumberFormat="1" applyFont="1" applyFill="1" applyBorder="1" applyAlignment="1">
      <alignment horizontal="center" vertical="center" wrapText="1"/>
    </xf>
    <xf numFmtId="0" fontId="2" fillId="0" borderId="1" xfId="0" applyFont="1" applyBorder="1" applyAlignment="1">
      <alignment vertical="center"/>
    </xf>
    <xf numFmtId="0" fontId="2" fillId="0" borderId="20" xfId="0" applyFont="1" applyFill="1" applyBorder="1" applyAlignment="1">
      <alignment horizontal="center" vertical="center"/>
    </xf>
    <xf numFmtId="0" fontId="2" fillId="0" borderId="20" xfId="0" applyNumberFormat="1" applyFont="1" applyFill="1" applyBorder="1" applyAlignment="1">
      <alignment horizontal="center" vertical="top" wrapText="1"/>
    </xf>
    <xf numFmtId="0" fontId="2" fillId="0" borderId="20" xfId="0" applyFont="1" applyFill="1" applyBorder="1" applyAlignment="1">
      <alignment horizontal="justify" vertical="center" wrapText="1"/>
    </xf>
    <xf numFmtId="0" fontId="2" fillId="0" borderId="9" xfId="0" applyFont="1" applyFill="1" applyBorder="1" applyAlignment="1">
      <alignment vertical="center"/>
    </xf>
    <xf numFmtId="1" fontId="2" fillId="0" borderId="9" xfId="0" applyNumberFormat="1" applyFont="1" applyFill="1" applyBorder="1" applyAlignment="1">
      <alignment horizontal="center" vertical="center" wrapText="1"/>
    </xf>
    <xf numFmtId="2" fontId="2" fillId="0" borderId="9" xfId="0" applyNumberFormat="1" applyFont="1" applyFill="1" applyBorder="1" applyAlignment="1">
      <alignment horizontal="center" vertical="center" wrapText="1"/>
    </xf>
    <xf numFmtId="0" fontId="2" fillId="0" borderId="9" xfId="0" applyFont="1" applyFill="1" applyBorder="1" applyAlignment="1">
      <alignment horizontal="justify" vertical="center" wrapText="1"/>
    </xf>
    <xf numFmtId="2" fontId="2" fillId="0" borderId="0" xfId="0" applyNumberFormat="1" applyFont="1" applyFill="1" applyBorder="1" applyAlignment="1">
      <alignment horizontal="center" vertical="center"/>
    </xf>
    <xf numFmtId="173" fontId="2" fillId="0" borderId="0" xfId="0" applyNumberFormat="1" applyFont="1" applyFill="1" applyBorder="1" applyAlignment="1">
      <alignment horizontal="center" vertical="center"/>
    </xf>
    <xf numFmtId="2" fontId="2" fillId="0" borderId="0" xfId="14" applyNumberFormat="1" applyFont="1" applyFill="1" applyBorder="1" applyAlignment="1">
      <alignment horizontal="center" vertical="center" wrapText="1"/>
    </xf>
    <xf numFmtId="0" fontId="29" fillId="0" borderId="0" xfId="14" applyFont="1" applyFill="1" applyBorder="1" applyAlignment="1">
      <alignment horizontal="center" vertical="center" wrapText="1"/>
    </xf>
    <xf numFmtId="0" fontId="30" fillId="0" borderId="0" xfId="14" applyFont="1" applyFill="1" applyBorder="1" applyAlignment="1">
      <alignment horizontal="center" vertical="center" wrapText="1"/>
    </xf>
    <xf numFmtId="169" fontId="30" fillId="0" borderId="0" xfId="14" applyNumberFormat="1" applyFont="1" applyFill="1" applyBorder="1" applyAlignment="1">
      <alignment horizontal="center" vertical="center" wrapText="1"/>
    </xf>
    <xf numFmtId="169" fontId="29" fillId="0" borderId="0" xfId="14" applyNumberFormat="1" applyFont="1" applyFill="1" applyBorder="1" applyAlignment="1">
      <alignment horizontal="center" vertical="center" wrapText="1"/>
    </xf>
    <xf numFmtId="170" fontId="29" fillId="0" borderId="0" xfId="14" applyNumberFormat="1" applyFont="1" applyFill="1" applyBorder="1" applyAlignment="1">
      <alignment horizontal="center" vertical="center" wrapText="1"/>
    </xf>
    <xf numFmtId="171" fontId="2" fillId="0" borderId="0" xfId="0" applyNumberFormat="1" applyFont="1" applyFill="1" applyBorder="1" applyAlignment="1">
      <alignment horizontal="center" vertical="center" wrapText="1"/>
    </xf>
    <xf numFmtId="169" fontId="2" fillId="15" borderId="0" xfId="0" applyNumberFormat="1" applyFont="1" applyFill="1" applyBorder="1" applyAlignment="1">
      <alignment horizontal="center" vertical="top" wrapText="1"/>
    </xf>
    <xf numFmtId="169" fontId="2" fillId="0" borderId="2" xfId="0" applyNumberFormat="1" applyFont="1" applyFill="1" applyBorder="1" applyAlignment="1">
      <alignment horizontal="left" vertical="top" wrapText="1"/>
    </xf>
    <xf numFmtId="169" fontId="2" fillId="0" borderId="0" xfId="14" applyNumberFormat="1" applyFont="1" applyFill="1" applyBorder="1" applyAlignment="1">
      <alignment horizontal="center" vertical="center" wrapText="1"/>
    </xf>
    <xf numFmtId="0" fontId="30" fillId="0" borderId="0" xfId="14"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2" fillId="0" borderId="1" xfId="0" applyFont="1" applyBorder="1" applyAlignment="1">
      <alignment horizontal="left" vertical="center" wrapText="1"/>
    </xf>
    <xf numFmtId="169" fontId="2" fillId="26" borderId="0" xfId="13" applyNumberFormat="1" applyFont="1" applyFill="1" applyBorder="1" applyAlignment="1">
      <alignment horizontal="center" vertical="center" wrapText="1"/>
    </xf>
    <xf numFmtId="169" fontId="2" fillId="26" borderId="0" xfId="0" applyNumberFormat="1" applyFont="1" applyFill="1" applyBorder="1" applyAlignment="1">
      <alignment horizontal="center" vertical="center" wrapText="1"/>
    </xf>
    <xf numFmtId="0" fontId="2" fillId="27" borderId="3" xfId="0" applyFont="1" applyFill="1" applyBorder="1" applyAlignment="1">
      <alignment horizontal="center" vertical="center" wrapText="1"/>
    </xf>
    <xf numFmtId="0" fontId="2" fillId="27" borderId="20" xfId="8" applyFont="1" applyFill="1" applyBorder="1" applyAlignment="1">
      <alignment horizontal="center" vertical="center" wrapText="1"/>
    </xf>
    <xf numFmtId="0" fontId="29" fillId="27" borderId="3" xfId="9" applyFont="1" applyFill="1" applyBorder="1" applyAlignment="1">
      <alignment horizontal="center" vertical="center" wrapText="1"/>
    </xf>
    <xf numFmtId="0" fontId="44" fillId="27" borderId="20" xfId="8" applyFont="1" applyFill="1" applyBorder="1" applyAlignment="1">
      <alignment horizontal="center" vertical="center" wrapText="1"/>
    </xf>
    <xf numFmtId="0" fontId="2" fillId="0" borderId="22" xfId="0" applyFont="1" applyFill="1" applyBorder="1" applyAlignment="1">
      <alignment horizontal="justify" vertical="center" wrapText="1"/>
    </xf>
    <xf numFmtId="0" fontId="2" fillId="0" borderId="7" xfId="0" applyFont="1" applyFill="1" applyBorder="1" applyAlignment="1">
      <alignment horizontal="justify" vertical="center" wrapText="1"/>
    </xf>
    <xf numFmtId="0" fontId="2" fillId="0" borderId="22" xfId="6" applyFont="1" applyFill="1" applyBorder="1" applyAlignment="1">
      <alignment horizontal="left" vertical="center" wrapText="1"/>
    </xf>
    <xf numFmtId="0" fontId="2" fillId="0" borderId="7" xfId="6" applyFont="1" applyFill="1" applyBorder="1" applyAlignment="1">
      <alignment vertical="center"/>
    </xf>
    <xf numFmtId="0" fontId="2" fillId="0" borderId="8" xfId="6" applyFont="1" applyFill="1" applyBorder="1" applyAlignment="1">
      <alignment horizontal="left" vertical="center" wrapText="1"/>
    </xf>
    <xf numFmtId="0" fontId="2" fillId="0" borderId="7" xfId="6"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7" applyFont="1" applyFill="1" applyBorder="1" applyAlignment="1">
      <alignment horizontal="center" vertical="center" wrapText="1"/>
    </xf>
    <xf numFmtId="0" fontId="2" fillId="0" borderId="7" xfId="8" applyFont="1" applyFill="1" applyBorder="1" applyAlignment="1">
      <alignment horizontal="center" vertical="center" wrapText="1"/>
    </xf>
    <xf numFmtId="0" fontId="29" fillId="0" borderId="7" xfId="9" applyFont="1" applyFill="1" applyBorder="1" applyAlignment="1">
      <alignment horizontal="center" vertical="center" wrapText="1"/>
    </xf>
    <xf numFmtId="0" fontId="44" fillId="0" borderId="7" xfId="8" applyFont="1" applyFill="1" applyBorder="1" applyAlignment="1">
      <alignment horizontal="center" vertical="center" wrapText="1"/>
    </xf>
    <xf numFmtId="169" fontId="2" fillId="26" borderId="0" xfId="0" applyNumberFormat="1" applyFont="1" applyFill="1" applyBorder="1" applyAlignment="1">
      <alignment horizontal="center" vertical="top" wrapText="1"/>
    </xf>
    <xf numFmtId="0" fontId="2" fillId="31" borderId="0" xfId="41" applyNumberFormat="1" applyFont="1" applyFill="1" applyBorder="1" applyAlignment="1">
      <alignment horizontal="center" vertical="top"/>
    </xf>
    <xf numFmtId="169" fontId="2" fillId="26" borderId="0" xfId="0" applyNumberFormat="1" applyFont="1" applyFill="1" applyBorder="1" applyAlignment="1">
      <alignment horizontal="center" vertical="top"/>
    </xf>
    <xf numFmtId="0" fontId="2" fillId="0" borderId="6" xfId="0" applyFont="1" applyFill="1" applyBorder="1" applyAlignment="1">
      <alignment horizontal="justify" vertical="center" wrapText="1"/>
    </xf>
    <xf numFmtId="0" fontId="2" fillId="0" borderId="6" xfId="13" applyFont="1" applyFill="1" applyBorder="1" applyAlignment="1">
      <alignment horizontal="center" vertical="center" wrapText="1"/>
    </xf>
    <xf numFmtId="0" fontId="2" fillId="0" borderId="6" xfId="0" applyFont="1" applyFill="1" applyBorder="1" applyAlignment="1">
      <alignment horizontal="center" vertical="center" wrapText="1"/>
    </xf>
    <xf numFmtId="169" fontId="2" fillId="26" borderId="0" xfId="11" applyNumberFormat="1" applyFont="1" applyFill="1" applyBorder="1" applyAlignment="1">
      <alignment horizontal="center" vertical="center" wrapText="1"/>
    </xf>
    <xf numFmtId="169" fontId="2" fillId="0" borderId="6" xfId="13" applyNumberFormat="1" applyFont="1" applyFill="1" applyBorder="1" applyAlignment="1">
      <alignment horizontal="center" vertical="center" wrapText="1"/>
    </xf>
    <xf numFmtId="0" fontId="2" fillId="0" borderId="6" xfId="13" applyFont="1" applyFill="1" applyBorder="1" applyAlignment="1">
      <alignment horizontal="center" vertical="top" wrapText="1"/>
    </xf>
    <xf numFmtId="170" fontId="2" fillId="0" borderId="6" xfId="13" applyNumberFormat="1" applyFont="1" applyFill="1" applyBorder="1" applyAlignment="1">
      <alignment horizontal="center" vertical="center" wrapText="1"/>
    </xf>
    <xf numFmtId="0" fontId="2" fillId="0" borderId="6" xfId="10" applyFont="1" applyFill="1" applyBorder="1" applyAlignment="1">
      <alignment horizontal="center" vertical="center" wrapText="1"/>
    </xf>
    <xf numFmtId="0" fontId="2" fillId="0" borderId="6" xfId="13" applyFont="1" applyFill="1" applyBorder="1" applyAlignment="1">
      <alignment horizontal="left" vertical="center"/>
    </xf>
    <xf numFmtId="2" fontId="25" fillId="0" borderId="0" xfId="0" applyNumberFormat="1" applyFont="1" applyFill="1" applyBorder="1" applyAlignment="1">
      <alignment horizontal="center" vertical="top" wrapText="1"/>
    </xf>
    <xf numFmtId="0" fontId="25" fillId="31" borderId="0" xfId="41" applyNumberFormat="1" applyFont="1" applyFill="1" applyBorder="1" applyAlignment="1">
      <alignment horizontal="center" vertical="top"/>
    </xf>
    <xf numFmtId="0" fontId="2" fillId="26" borderId="19" xfId="13" applyFont="1" applyFill="1" applyBorder="1" applyAlignment="1">
      <alignment horizontal="left" vertical="center"/>
    </xf>
    <xf numFmtId="0" fontId="2" fillId="26" borderId="6" xfId="13" applyFont="1" applyFill="1" applyBorder="1" applyAlignment="1">
      <alignment horizontal="justify" vertical="center" wrapText="1"/>
    </xf>
    <xf numFmtId="0" fontId="2" fillId="26" borderId="29" xfId="13" applyFont="1" applyFill="1" applyBorder="1" applyAlignment="1">
      <alignment horizontal="left" vertical="center" wrapText="1"/>
    </xf>
    <xf numFmtId="0" fontId="25" fillId="0" borderId="6" xfId="13" applyFont="1" applyFill="1" applyBorder="1" applyAlignment="1">
      <alignment horizontal="left" vertical="center"/>
    </xf>
    <xf numFmtId="0" fontId="1" fillId="0" borderId="2" xfId="0" applyFont="1" applyFill="1" applyBorder="1" applyAlignment="1">
      <alignment horizontal="left" vertical="center"/>
    </xf>
    <xf numFmtId="2" fontId="2" fillId="0" borderId="20" xfId="0" applyNumberFormat="1" applyFont="1" applyFill="1" applyBorder="1" applyAlignment="1">
      <alignment horizontal="center" vertical="top" wrapText="1"/>
    </xf>
    <xf numFmtId="1" fontId="2" fillId="0" borderId="20" xfId="0" applyNumberFormat="1" applyFont="1" applyBorder="1" applyAlignment="1">
      <alignment horizontal="center" vertical="top"/>
    </xf>
    <xf numFmtId="1" fontId="2" fillId="0" borderId="20" xfId="0" applyNumberFormat="1" applyFont="1" applyFill="1" applyBorder="1" applyAlignment="1">
      <alignment horizontal="center" vertical="top" wrapText="1"/>
    </xf>
    <xf numFmtId="0" fontId="2" fillId="0" borderId="20" xfId="0" applyFont="1" applyFill="1" applyBorder="1" applyAlignment="1">
      <alignment horizontal="center"/>
    </xf>
    <xf numFmtId="0" fontId="2" fillId="0" borderId="48" xfId="0" applyNumberFormat="1" applyFont="1" applyFill="1" applyBorder="1" applyAlignment="1">
      <alignment horizontal="left" vertical="center" wrapText="1"/>
    </xf>
    <xf numFmtId="1" fontId="2" fillId="0" borderId="9" xfId="0" applyNumberFormat="1" applyFont="1" applyFill="1" applyBorder="1" applyAlignment="1">
      <alignment horizontal="center" vertical="top" wrapText="1"/>
    </xf>
    <xf numFmtId="0" fontId="2" fillId="0" borderId="9" xfId="0" applyFont="1" applyFill="1" applyBorder="1" applyAlignment="1">
      <alignment horizontal="center" vertical="center"/>
    </xf>
    <xf numFmtId="1" fontId="2" fillId="0" borderId="9" xfId="0" applyNumberFormat="1" applyFont="1" applyFill="1" applyBorder="1" applyAlignment="1">
      <alignment horizontal="center" vertical="center"/>
    </xf>
    <xf numFmtId="0" fontId="2" fillId="0" borderId="20" xfId="0" applyFont="1" applyBorder="1" applyAlignment="1">
      <alignment horizontal="justify" vertical="center" wrapText="1"/>
    </xf>
    <xf numFmtId="0" fontId="2" fillId="0" borderId="65" xfId="0" applyFont="1" applyBorder="1" applyAlignment="1">
      <alignment horizontal="left" vertical="center" wrapText="1"/>
    </xf>
    <xf numFmtId="0" fontId="2" fillId="0" borderId="20" xfId="0" applyFont="1" applyBorder="1" applyAlignment="1">
      <alignment horizontal="center" vertical="center" wrapText="1"/>
    </xf>
    <xf numFmtId="0" fontId="44" fillId="0" borderId="20" xfId="0" applyFont="1" applyBorder="1" applyAlignment="1">
      <alignment horizontal="center" vertical="center" wrapText="1"/>
    </xf>
    <xf numFmtId="0" fontId="2" fillId="0" borderId="9" xfId="0" applyFont="1" applyBorder="1" applyAlignment="1">
      <alignment horizontal="justify" vertical="center" wrapText="1"/>
    </xf>
    <xf numFmtId="0" fontId="2" fillId="0" borderId="9" xfId="0" applyFont="1" applyBorder="1" applyAlignment="1">
      <alignment horizontal="center" vertical="center" wrapText="1"/>
    </xf>
    <xf numFmtId="0" fontId="44" fillId="0" borderId="9" xfId="0" applyFont="1" applyBorder="1" applyAlignment="1">
      <alignment horizontal="center" vertical="center" wrapText="1"/>
    </xf>
    <xf numFmtId="2" fontId="2" fillId="0" borderId="20" xfId="0" applyNumberFormat="1" applyFont="1" applyFill="1" applyBorder="1" applyAlignment="1">
      <alignment horizontal="center" vertical="center"/>
    </xf>
    <xf numFmtId="2" fontId="2" fillId="0" borderId="20" xfId="0" applyNumberFormat="1" applyFont="1" applyFill="1" applyBorder="1" applyAlignment="1">
      <alignment horizontal="center"/>
    </xf>
    <xf numFmtId="2" fontId="44" fillId="0" borderId="20" xfId="0" applyNumberFormat="1" applyFont="1" applyFill="1" applyBorder="1" applyAlignment="1">
      <alignment horizontal="center" vertical="center" wrapText="1"/>
    </xf>
    <xf numFmtId="0" fontId="2" fillId="0" borderId="6" xfId="0" applyFont="1" applyFill="1" applyBorder="1" applyAlignment="1">
      <alignment horizontal="center" vertical="top" wrapText="1"/>
    </xf>
    <xf numFmtId="0" fontId="2" fillId="0" borderId="11" xfId="0" applyFont="1" applyBorder="1" applyAlignment="1">
      <alignment horizontal="center" vertical="center"/>
    </xf>
    <xf numFmtId="0" fontId="2" fillId="0" borderId="0" xfId="0" applyFont="1" applyBorder="1" applyAlignment="1">
      <alignment horizontal="center" vertical="center"/>
    </xf>
    <xf numFmtId="169" fontId="2" fillId="26" borderId="0" xfId="0" applyNumberFormat="1" applyFont="1" applyFill="1" applyBorder="1" applyAlignment="1">
      <alignment horizontal="justify" vertical="center" wrapText="1"/>
    </xf>
    <xf numFmtId="0" fontId="2" fillId="26" borderId="0" xfId="0" applyNumberFormat="1" applyFont="1" applyFill="1" applyBorder="1" applyAlignment="1">
      <alignment horizontal="center" vertical="center" wrapText="1"/>
    </xf>
    <xf numFmtId="169" fontId="44" fillId="26" borderId="0" xfId="14" applyNumberFormat="1" applyFont="1" applyFill="1" applyBorder="1" applyAlignment="1">
      <alignment horizontal="center" vertical="center" wrapText="1"/>
    </xf>
    <xf numFmtId="169" fontId="45" fillId="0" borderId="0" xfId="0" applyNumberFormat="1" applyFont="1" applyFill="1" applyBorder="1" applyAlignment="1">
      <alignment horizontal="center" vertical="top" wrapText="1"/>
    </xf>
    <xf numFmtId="0" fontId="2" fillId="27" borderId="0" xfId="0" applyNumberFormat="1" applyFont="1" applyFill="1" applyBorder="1" applyAlignment="1">
      <alignment horizontal="center" vertical="center" wrapText="1"/>
    </xf>
    <xf numFmtId="2" fontId="2" fillId="26" borderId="0" xfId="0" applyNumberFormat="1" applyFont="1" applyFill="1" applyBorder="1" applyAlignment="1">
      <alignment horizontal="center" vertical="center" wrapText="1"/>
    </xf>
    <xf numFmtId="2" fontId="2" fillId="26" borderId="0" xfId="0" applyNumberFormat="1" applyFont="1" applyFill="1" applyBorder="1" applyAlignment="1">
      <alignment horizontal="center" vertical="top" wrapText="1"/>
    </xf>
    <xf numFmtId="0" fontId="2" fillId="26" borderId="0" xfId="0" applyFont="1" applyFill="1" applyBorder="1" applyAlignment="1">
      <alignment horizontal="center" vertical="top"/>
    </xf>
    <xf numFmtId="0" fontId="2" fillId="26" borderId="0" xfId="0" applyFont="1" applyFill="1" applyBorder="1" applyAlignment="1">
      <alignment horizontal="center" vertical="center" wrapText="1"/>
    </xf>
    <xf numFmtId="2" fontId="44" fillId="26" borderId="0" xfId="14" applyNumberFormat="1" applyFont="1" applyFill="1" applyBorder="1" applyAlignment="1">
      <alignment horizontal="center" vertical="center" wrapText="1"/>
    </xf>
    <xf numFmtId="0" fontId="2" fillId="26" borderId="0" xfId="0" applyFont="1" applyFill="1" applyBorder="1" applyAlignment="1">
      <alignment horizontal="justify" vertical="center" wrapText="1"/>
    </xf>
    <xf numFmtId="169" fontId="2" fillId="26" borderId="0" xfId="14" applyNumberFormat="1" applyFont="1" applyFill="1" applyBorder="1" applyAlignment="1">
      <alignment horizontal="center" vertical="center" wrapText="1"/>
    </xf>
    <xf numFmtId="0" fontId="2" fillId="26" borderId="0" xfId="0" applyFont="1" applyFill="1" applyBorder="1" applyAlignment="1">
      <alignment horizontal="center" vertical="top" wrapText="1"/>
    </xf>
    <xf numFmtId="179" fontId="2" fillId="26" borderId="0" xfId="0" applyNumberFormat="1" applyFont="1" applyFill="1" applyBorder="1" applyAlignment="1">
      <alignment horizontal="center" vertical="center" wrapText="1"/>
    </xf>
    <xf numFmtId="169" fontId="2" fillId="26" borderId="20" xfId="0" applyNumberFormat="1" applyFont="1" applyFill="1" applyBorder="1" applyAlignment="1">
      <alignment horizontal="justify" vertical="center" wrapText="1"/>
    </xf>
    <xf numFmtId="169" fontId="2" fillId="26" borderId="20" xfId="0" applyNumberFormat="1" applyFont="1" applyFill="1" applyBorder="1" applyAlignment="1">
      <alignment horizontal="center" vertical="center" wrapText="1"/>
    </xf>
    <xf numFmtId="169" fontId="2" fillId="26" borderId="20" xfId="0" applyNumberFormat="1" applyFont="1" applyFill="1" applyBorder="1" applyAlignment="1">
      <alignment horizontal="center" vertical="top" wrapText="1"/>
    </xf>
    <xf numFmtId="169" fontId="2" fillId="26" borderId="20" xfId="14" applyNumberFormat="1" applyFont="1" applyFill="1" applyBorder="1" applyAlignment="1">
      <alignment horizontal="center" vertical="center" wrapText="1"/>
    </xf>
    <xf numFmtId="169" fontId="2" fillId="26" borderId="20" xfId="0" applyNumberFormat="1" applyFont="1" applyFill="1" applyBorder="1" applyAlignment="1">
      <alignment horizontal="center" vertical="top"/>
    </xf>
    <xf numFmtId="169" fontId="29" fillId="26" borderId="20" xfId="14" applyNumberFormat="1" applyFont="1" applyFill="1" applyBorder="1" applyAlignment="1">
      <alignment horizontal="center" vertical="center" wrapText="1"/>
    </xf>
    <xf numFmtId="169" fontId="44" fillId="26" borderId="20" xfId="14" applyNumberFormat="1" applyFont="1" applyFill="1" applyBorder="1" applyAlignment="1">
      <alignment horizontal="center" vertical="center" wrapText="1"/>
    </xf>
    <xf numFmtId="0" fontId="2" fillId="0" borderId="21" xfId="0" applyFont="1" applyFill="1" applyBorder="1" applyAlignment="1">
      <alignment horizontal="left" vertical="center" wrapText="1"/>
    </xf>
    <xf numFmtId="169" fontId="2" fillId="0" borderId="9" xfId="0" applyNumberFormat="1" applyFont="1" applyFill="1" applyBorder="1" applyAlignment="1">
      <alignment horizontal="center" vertical="top" wrapText="1"/>
    </xf>
    <xf numFmtId="169" fontId="2" fillId="0" borderId="9" xfId="14" applyNumberFormat="1" applyFont="1" applyFill="1" applyBorder="1" applyAlignment="1">
      <alignment horizontal="center" vertical="center" wrapText="1"/>
    </xf>
    <xf numFmtId="169" fontId="29" fillId="0" borderId="9" xfId="14" applyNumberFormat="1" applyFont="1" applyFill="1" applyBorder="1" applyAlignment="1">
      <alignment horizontal="center" vertical="center" wrapText="1"/>
    </xf>
    <xf numFmtId="169" fontId="44" fillId="0" borderId="9" xfId="14" applyNumberFormat="1" applyFont="1" applyFill="1" applyBorder="1" applyAlignment="1">
      <alignment horizontal="center" vertical="center" wrapText="1"/>
    </xf>
    <xf numFmtId="171" fontId="2" fillId="26" borderId="20" xfId="0" applyNumberFormat="1" applyFont="1" applyFill="1" applyBorder="1" applyAlignment="1">
      <alignment horizontal="center" vertical="center" wrapText="1"/>
    </xf>
    <xf numFmtId="169" fontId="30" fillId="26" borderId="20" xfId="14" applyNumberFormat="1" applyFont="1" applyFill="1" applyBorder="1" applyAlignment="1">
      <alignment horizontal="center" vertical="center" wrapText="1"/>
    </xf>
    <xf numFmtId="0" fontId="2" fillId="26" borderId="20" xfId="0" applyFont="1" applyFill="1" applyBorder="1" applyAlignment="1">
      <alignment horizontal="justify" vertical="center" wrapText="1"/>
    </xf>
    <xf numFmtId="2" fontId="2" fillId="26" borderId="20" xfId="0" applyNumberFormat="1" applyFont="1" applyFill="1" applyBorder="1" applyAlignment="1">
      <alignment horizontal="center" vertical="center" wrapText="1"/>
    </xf>
    <xf numFmtId="2" fontId="2" fillId="26" borderId="20" xfId="0" applyNumberFormat="1" applyFont="1" applyFill="1" applyBorder="1" applyAlignment="1">
      <alignment horizontal="center" vertical="top" wrapText="1"/>
    </xf>
    <xf numFmtId="0" fontId="2" fillId="26" borderId="20" xfId="0" applyFont="1" applyFill="1" applyBorder="1" applyAlignment="1">
      <alignment horizontal="center" vertical="top"/>
    </xf>
    <xf numFmtId="0" fontId="2" fillId="26" borderId="20" xfId="14" applyNumberFormat="1" applyFont="1" applyFill="1" applyBorder="1" applyAlignment="1">
      <alignment horizontal="center" vertical="top"/>
    </xf>
    <xf numFmtId="0" fontId="2" fillId="26" borderId="20" xfId="0" applyFont="1" applyFill="1" applyBorder="1" applyAlignment="1">
      <alignment horizontal="center" vertical="center" wrapText="1"/>
    </xf>
    <xf numFmtId="170" fontId="29" fillId="26" borderId="20" xfId="14" applyNumberFormat="1" applyFont="1" applyFill="1" applyBorder="1" applyAlignment="1">
      <alignment horizontal="center" vertical="center" wrapText="1"/>
    </xf>
    <xf numFmtId="170" fontId="30" fillId="26" borderId="20" xfId="14" applyNumberFormat="1" applyFont="1" applyFill="1" applyBorder="1" applyAlignment="1">
      <alignment horizontal="center" vertical="center" wrapText="1"/>
    </xf>
    <xf numFmtId="2" fontId="44" fillId="26" borderId="20" xfId="14" applyNumberFormat="1" applyFont="1" applyFill="1" applyBorder="1" applyAlignment="1">
      <alignment horizontal="center" vertical="center" wrapText="1"/>
    </xf>
    <xf numFmtId="169" fontId="2" fillId="0" borderId="20" xfId="0" applyNumberFormat="1" applyFont="1" applyFill="1" applyBorder="1" applyAlignment="1">
      <alignment horizontal="justify" vertical="center" wrapText="1"/>
    </xf>
    <xf numFmtId="169" fontId="2" fillId="0" borderId="62" xfId="0" applyNumberFormat="1" applyFont="1" applyFill="1" applyBorder="1" applyAlignment="1">
      <alignment horizontal="left" vertical="center" wrapText="1"/>
    </xf>
    <xf numFmtId="169" fontId="2" fillId="0" borderId="65" xfId="0" applyNumberFormat="1" applyFont="1" applyFill="1" applyBorder="1" applyAlignment="1">
      <alignment horizontal="left" vertical="center" wrapText="1"/>
    </xf>
    <xf numFmtId="169" fontId="2" fillId="0" borderId="20" xfId="0" applyNumberFormat="1" applyFont="1" applyFill="1" applyBorder="1" applyAlignment="1">
      <alignment horizontal="center" vertical="center" wrapText="1"/>
    </xf>
    <xf numFmtId="169" fontId="2" fillId="0" borderId="20" xfId="0" applyNumberFormat="1" applyFont="1" applyFill="1" applyBorder="1" applyAlignment="1">
      <alignment horizontal="center" vertical="top" wrapText="1"/>
    </xf>
    <xf numFmtId="169" fontId="2" fillId="0" borderId="20" xfId="0" applyNumberFormat="1" applyFont="1" applyFill="1" applyBorder="1" applyAlignment="1">
      <alignment horizontal="center" vertical="center"/>
    </xf>
    <xf numFmtId="169" fontId="30" fillId="0" borderId="20" xfId="14" applyNumberFormat="1" applyFont="1" applyFill="1" applyBorder="1" applyAlignment="1">
      <alignment horizontal="center" vertical="center" wrapText="1"/>
    </xf>
    <xf numFmtId="169" fontId="29" fillId="0" borderId="20" xfId="14" applyNumberFormat="1" applyFont="1" applyFill="1" applyBorder="1" applyAlignment="1">
      <alignment horizontal="center" vertical="center" wrapText="1"/>
    </xf>
    <xf numFmtId="169" fontId="44" fillId="0" borderId="20" xfId="14" applyNumberFormat="1" applyFont="1" applyFill="1" applyBorder="1" applyAlignment="1">
      <alignment horizontal="center" vertical="center"/>
    </xf>
    <xf numFmtId="0" fontId="2" fillId="26" borderId="0" xfId="0" applyNumberFormat="1" applyFont="1" applyFill="1" applyBorder="1" applyAlignment="1">
      <alignment horizontal="center" vertical="top" wrapText="1"/>
    </xf>
    <xf numFmtId="0" fontId="2" fillId="0" borderId="0" xfId="14" applyNumberFormat="1" applyFont="1" applyFill="1" applyBorder="1" applyAlignment="1">
      <alignment horizontal="center" vertical="center" wrapText="1"/>
    </xf>
    <xf numFmtId="0" fontId="29" fillId="0" borderId="0" xfId="14" applyNumberFormat="1" applyFont="1" applyFill="1" applyBorder="1" applyAlignment="1">
      <alignment horizontal="center" vertical="center" wrapText="1"/>
    </xf>
    <xf numFmtId="0" fontId="44" fillId="0" borderId="0" xfId="14" applyNumberFormat="1" applyFont="1" applyFill="1" applyBorder="1" applyAlignment="1">
      <alignment horizontal="center" vertical="center" wrapText="1"/>
    </xf>
    <xf numFmtId="0" fontId="2" fillId="0" borderId="0" xfId="0" applyNumberFormat="1" applyFont="1" applyFill="1" applyBorder="1" applyAlignment="1">
      <alignment horizontal="center" vertical="top"/>
    </xf>
    <xf numFmtId="2" fontId="2" fillId="26" borderId="0" xfId="14" applyNumberFormat="1" applyFont="1" applyFill="1" applyBorder="1" applyAlignment="1">
      <alignment horizontal="center" vertical="center" wrapText="1"/>
    </xf>
    <xf numFmtId="0" fontId="29" fillId="26" borderId="0" xfId="14" applyFont="1" applyFill="1" applyBorder="1" applyAlignment="1">
      <alignment horizontal="center" vertical="center" wrapText="1"/>
    </xf>
    <xf numFmtId="0" fontId="30" fillId="26" borderId="0" xfId="14" applyFont="1" applyFill="1" applyBorder="1" applyAlignment="1">
      <alignment horizontal="center" vertical="center" wrapText="1"/>
    </xf>
    <xf numFmtId="2" fontId="2" fillId="27" borderId="0" xfId="0" applyNumberFormat="1" applyFont="1" applyFill="1" applyBorder="1" applyAlignment="1">
      <alignment horizontal="center" vertical="center" wrapText="1"/>
    </xf>
    <xf numFmtId="0" fontId="2" fillId="0" borderId="62" xfId="0" applyFont="1" applyFill="1" applyBorder="1" applyAlignment="1">
      <alignment horizontal="left" vertical="center" wrapText="1"/>
    </xf>
    <xf numFmtId="0" fontId="2" fillId="0" borderId="20" xfId="0" applyNumberFormat="1" applyFont="1" applyFill="1" applyBorder="1" applyAlignment="1">
      <alignment horizontal="justify" vertical="center" wrapText="1"/>
    </xf>
    <xf numFmtId="0" fontId="2" fillId="0" borderId="65" xfId="0" quotePrefix="1" applyNumberFormat="1" applyFont="1" applyFill="1" applyBorder="1" applyAlignment="1">
      <alignment horizontal="left" vertical="center" wrapText="1"/>
    </xf>
    <xf numFmtId="0" fontId="2" fillId="0" borderId="48" xfId="0" applyFont="1" applyFill="1" applyBorder="1" applyAlignment="1">
      <alignment horizontal="left" vertical="center" wrapText="1"/>
    </xf>
    <xf numFmtId="0" fontId="2" fillId="0" borderId="5" xfId="0" applyFont="1" applyFill="1" applyBorder="1" applyAlignment="1">
      <alignment horizontal="justify" vertical="center" wrapText="1"/>
    </xf>
    <xf numFmtId="0" fontId="2" fillId="0" borderId="3" xfId="0" applyFont="1" applyFill="1" applyBorder="1" applyAlignment="1">
      <alignment horizontal="justify" vertical="center" wrapText="1"/>
    </xf>
    <xf numFmtId="0" fontId="2" fillId="0" borderId="5" xfId="13" applyFont="1" applyFill="1" applyBorder="1" applyAlignment="1">
      <alignment horizontal="left" vertical="center"/>
    </xf>
    <xf numFmtId="0" fontId="2" fillId="0" borderId="3" xfId="13" applyFont="1" applyFill="1" applyBorder="1" applyAlignment="1">
      <alignment horizontal="justify" vertical="center" wrapText="1"/>
    </xf>
    <xf numFmtId="0" fontId="2" fillId="0" borderId="4" xfId="13" applyFont="1" applyFill="1" applyBorder="1" applyAlignment="1">
      <alignment horizontal="left" vertical="center" wrapText="1"/>
    </xf>
    <xf numFmtId="0" fontId="2" fillId="0" borderId="3" xfId="13" applyFont="1" applyFill="1" applyBorder="1" applyAlignment="1">
      <alignment horizontal="center" vertical="center" wrapText="1"/>
    </xf>
    <xf numFmtId="0" fontId="25" fillId="0" borderId="3" xfId="13" applyFont="1" applyFill="1" applyBorder="1" applyAlignment="1">
      <alignment horizontal="left" vertical="center"/>
    </xf>
    <xf numFmtId="169" fontId="2" fillId="0" borderId="3" xfId="13" applyNumberFormat="1" applyFont="1" applyFill="1" applyBorder="1" applyAlignment="1">
      <alignment horizontal="center" vertical="center" wrapText="1"/>
    </xf>
    <xf numFmtId="0" fontId="2" fillId="0" borderId="3" xfId="13" applyFont="1" applyFill="1" applyBorder="1" applyAlignment="1">
      <alignment horizontal="left" vertical="center"/>
    </xf>
    <xf numFmtId="0" fontId="2" fillId="0" borderId="3" xfId="13" applyFont="1" applyFill="1" applyBorder="1" applyAlignment="1">
      <alignment horizontal="center" vertical="top" wrapText="1"/>
    </xf>
    <xf numFmtId="170" fontId="2" fillId="0" borderId="3" xfId="13" applyNumberFormat="1" applyFont="1" applyFill="1" applyBorder="1" applyAlignment="1">
      <alignment horizontal="center" vertical="center" wrapText="1"/>
    </xf>
    <xf numFmtId="0" fontId="2" fillId="0" borderId="3" xfId="13" applyFont="1" applyFill="1" applyBorder="1" applyAlignment="1">
      <alignment horizontal="center" vertical="center"/>
    </xf>
    <xf numFmtId="0" fontId="2" fillId="0" borderId="3" xfId="10" applyFont="1" applyFill="1" applyBorder="1" applyAlignment="1">
      <alignment horizontal="center" vertical="center" wrapText="1"/>
    </xf>
    <xf numFmtId="0" fontId="2" fillId="0" borderId="19"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19" xfId="0" applyFont="1" applyBorder="1" applyAlignment="1">
      <alignment horizontal="left" vertical="center" wrapText="1"/>
    </xf>
    <xf numFmtId="0" fontId="2" fillId="0" borderId="29" xfId="0" applyFont="1" applyBorder="1" applyAlignment="1">
      <alignment horizontal="left" vertical="center" wrapText="1"/>
    </xf>
    <xf numFmtId="0" fontId="2" fillId="0" borderId="6" xfId="0" applyFont="1" applyBorder="1" applyAlignment="1">
      <alignment horizontal="center" vertical="center" wrapText="1"/>
    </xf>
    <xf numFmtId="0" fontId="44" fillId="0" borderId="6" xfId="0" applyFont="1" applyBorder="1" applyAlignment="1">
      <alignment horizontal="center" vertical="center" wrapText="1"/>
    </xf>
    <xf numFmtId="169" fontId="2" fillId="0" borderId="20" xfId="0" applyNumberFormat="1" applyFont="1" applyFill="1" applyBorder="1" applyAlignment="1">
      <alignment horizontal="justify" vertical="top" wrapText="1"/>
    </xf>
    <xf numFmtId="169" fontId="2" fillId="0" borderId="65" xfId="0" applyNumberFormat="1" applyFont="1" applyFill="1" applyBorder="1" applyAlignment="1">
      <alignment horizontal="left" vertical="top" wrapText="1"/>
    </xf>
    <xf numFmtId="169" fontId="2" fillId="0" borderId="20" xfId="14" applyNumberFormat="1" applyFont="1" applyFill="1" applyBorder="1" applyAlignment="1">
      <alignment horizontal="center" vertical="center" wrapText="1"/>
    </xf>
    <xf numFmtId="169" fontId="2" fillId="0" borderId="20" xfId="0" applyNumberFormat="1" applyFont="1" applyFill="1" applyBorder="1" applyAlignment="1">
      <alignment horizontal="center" vertical="top"/>
    </xf>
    <xf numFmtId="169" fontId="44" fillId="0" borderId="20" xfId="14" applyNumberFormat="1" applyFont="1" applyFill="1" applyBorder="1" applyAlignment="1">
      <alignment horizontal="center" vertical="center" wrapText="1"/>
    </xf>
    <xf numFmtId="0" fontId="2" fillId="0" borderId="42" xfId="7" applyFont="1" applyFill="1" applyBorder="1" applyAlignment="1">
      <alignment horizontal="center" vertical="center" wrapText="1"/>
    </xf>
    <xf numFmtId="0" fontId="2" fillId="0" borderId="55" xfId="7" applyFont="1" applyFill="1" applyBorder="1" applyAlignment="1">
      <alignment horizontal="center" vertical="center" wrapText="1"/>
    </xf>
    <xf numFmtId="169" fontId="2" fillId="0" borderId="13" xfId="0" applyNumberFormat="1" applyFont="1" applyFill="1" applyBorder="1" applyAlignment="1">
      <alignment horizontal="center" vertical="top" wrapText="1"/>
    </xf>
    <xf numFmtId="169" fontId="2" fillId="26" borderId="11" xfId="0" applyNumberFormat="1" applyFont="1" applyFill="1" applyBorder="1" applyAlignment="1">
      <alignment horizontal="center" vertical="top" wrapText="1"/>
    </xf>
    <xf numFmtId="0" fontId="2" fillId="0" borderId="13" xfId="41" applyNumberFormat="1" applyFont="1" applyFill="1" applyBorder="1" applyAlignment="1">
      <alignment horizontal="center" vertical="top"/>
    </xf>
    <xf numFmtId="0" fontId="2" fillId="31" borderId="11" xfId="41" applyNumberFormat="1" applyFont="1" applyFill="1" applyBorder="1" applyAlignment="1">
      <alignment horizontal="center" vertical="top"/>
    </xf>
    <xf numFmtId="170" fontId="2" fillId="0" borderId="13" xfId="5" applyNumberFormat="1" applyFont="1" applyFill="1" applyBorder="1" applyAlignment="1">
      <alignment horizontal="center" vertical="top" wrapText="1"/>
    </xf>
    <xf numFmtId="170" fontId="2" fillId="0" borderId="11" xfId="5" applyNumberFormat="1" applyFont="1" applyFill="1" applyBorder="1" applyAlignment="1">
      <alignment horizontal="center" vertical="top" wrapText="1"/>
    </xf>
    <xf numFmtId="0" fontId="2" fillId="0" borderId="11" xfId="0" applyNumberFormat="1" applyFont="1" applyFill="1" applyBorder="1" applyAlignment="1">
      <alignment horizontal="center" vertical="top" wrapText="1"/>
    </xf>
    <xf numFmtId="169" fontId="2" fillId="0" borderId="13" xfId="0" applyNumberFormat="1" applyFont="1" applyFill="1" applyBorder="1" applyAlignment="1">
      <alignment horizontal="center" vertical="center" wrapText="1"/>
    </xf>
    <xf numFmtId="169" fontId="2" fillId="0" borderId="11" xfId="0" applyNumberFormat="1" applyFont="1" applyFill="1" applyBorder="1" applyAlignment="1">
      <alignment horizontal="center" vertical="top" wrapText="1"/>
    </xf>
    <xf numFmtId="169" fontId="2" fillId="0" borderId="11" xfId="0" applyNumberFormat="1" applyFont="1" applyFill="1" applyBorder="1" applyAlignment="1">
      <alignment horizontal="center" vertical="center" wrapText="1"/>
    </xf>
    <xf numFmtId="0" fontId="2" fillId="0" borderId="13" xfId="0" applyFont="1" applyFill="1" applyBorder="1" applyAlignment="1">
      <alignment horizontal="center" vertical="top" wrapText="1"/>
    </xf>
    <xf numFmtId="169" fontId="2" fillId="0" borderId="11" xfId="13" applyNumberFormat="1" applyFont="1" applyFill="1" applyBorder="1" applyAlignment="1">
      <alignment horizontal="center" vertical="top" wrapText="1"/>
    </xf>
    <xf numFmtId="0" fontId="2" fillId="0" borderId="34" xfId="0" applyFont="1" applyFill="1" applyBorder="1" applyAlignment="1">
      <alignment horizontal="center" vertical="center"/>
    </xf>
    <xf numFmtId="169" fontId="2" fillId="0" borderId="60" xfId="13" applyNumberFormat="1" applyFont="1" applyFill="1" applyBorder="1" applyAlignment="1">
      <alignment horizontal="left" vertical="center"/>
    </xf>
    <xf numFmtId="0" fontId="2" fillId="0" borderId="41" xfId="0" applyFont="1" applyFill="1" applyBorder="1" applyAlignment="1">
      <alignment horizontal="center" vertical="center"/>
    </xf>
    <xf numFmtId="169" fontId="2" fillId="0" borderId="57" xfId="13" applyNumberFormat="1" applyFont="1" applyFill="1" applyBorder="1" applyAlignment="1">
      <alignment horizontal="left" vertical="center"/>
    </xf>
    <xf numFmtId="0" fontId="2" fillId="0" borderId="34" xfId="0" applyFont="1" applyBorder="1" applyAlignment="1">
      <alignment horizontal="center" vertical="center" wrapText="1"/>
    </xf>
    <xf numFmtId="0" fontId="2" fillId="0" borderId="60" xfId="0" applyFont="1" applyBorder="1" applyAlignment="1">
      <alignment horizontal="center" vertical="center" wrapText="1"/>
    </xf>
    <xf numFmtId="0" fontId="2" fillId="26" borderId="13" xfId="0" applyNumberFormat="1" applyFont="1" applyFill="1" applyBorder="1" applyAlignment="1">
      <alignment horizontal="center" vertical="top" wrapText="1"/>
    </xf>
    <xf numFmtId="0" fontId="2" fillId="26" borderId="11" xfId="0" applyNumberFormat="1" applyFont="1" applyFill="1" applyBorder="1" applyAlignment="1">
      <alignment horizontal="center" vertical="top" wrapText="1"/>
    </xf>
    <xf numFmtId="0" fontId="2" fillId="0" borderId="13" xfId="0" applyNumberFormat="1" applyFont="1" applyFill="1" applyBorder="1" applyAlignment="1">
      <alignment horizontal="center" vertical="top" wrapText="1"/>
    </xf>
    <xf numFmtId="169" fontId="2" fillId="0" borderId="17" xfId="0" applyNumberFormat="1" applyFont="1" applyFill="1" applyBorder="1" applyAlignment="1">
      <alignment horizontal="center" vertical="top" wrapText="1"/>
    </xf>
    <xf numFmtId="169" fontId="2" fillId="0" borderId="18" xfId="0" applyNumberFormat="1" applyFont="1" applyFill="1" applyBorder="1" applyAlignment="1">
      <alignment horizontal="center" vertical="top" wrapText="1"/>
    </xf>
    <xf numFmtId="2" fontId="2" fillId="26" borderId="17" xfId="0" applyNumberFormat="1" applyFont="1" applyFill="1" applyBorder="1" applyAlignment="1">
      <alignment horizontal="center" vertical="top" wrapText="1"/>
    </xf>
    <xf numFmtId="2" fontId="2" fillId="26" borderId="18" xfId="0" applyNumberFormat="1" applyFont="1" applyFill="1" applyBorder="1" applyAlignment="1">
      <alignment horizontal="center" vertical="top" wrapText="1"/>
    </xf>
    <xf numFmtId="2" fontId="2" fillId="0" borderId="13" xfId="0" applyNumberFormat="1" applyFont="1" applyFill="1" applyBorder="1" applyAlignment="1">
      <alignment horizontal="center" vertical="top" wrapText="1"/>
    </xf>
    <xf numFmtId="2" fontId="2" fillId="0" borderId="11" xfId="0" applyNumberFormat="1" applyFont="1" applyFill="1" applyBorder="1" applyAlignment="1">
      <alignment horizontal="center" vertical="top" wrapText="1"/>
    </xf>
    <xf numFmtId="169" fontId="2" fillId="26" borderId="17" xfId="0" applyNumberFormat="1" applyFont="1" applyFill="1" applyBorder="1" applyAlignment="1">
      <alignment horizontal="center" vertical="top" wrapText="1"/>
    </xf>
    <xf numFmtId="169" fontId="2" fillId="26" borderId="18" xfId="0" applyNumberFormat="1" applyFont="1" applyFill="1" applyBorder="1" applyAlignment="1">
      <alignment horizontal="center" vertical="top" wrapText="1"/>
    </xf>
    <xf numFmtId="169" fontId="2" fillId="0" borderId="10" xfId="0" applyNumberFormat="1" applyFont="1" applyFill="1" applyBorder="1" applyAlignment="1">
      <alignment horizontal="center" vertical="top" wrapText="1"/>
    </xf>
    <xf numFmtId="0" fontId="2" fillId="0" borderId="13" xfId="0" applyFont="1" applyBorder="1" applyAlignment="1">
      <alignment horizontal="center" vertical="center" wrapText="1"/>
    </xf>
    <xf numFmtId="0" fontId="2" fillId="0" borderId="11" xfId="0" applyFont="1" applyBorder="1" applyAlignment="1">
      <alignment horizontal="center" vertical="center" wrapText="1"/>
    </xf>
    <xf numFmtId="2" fontId="2" fillId="0" borderId="17" xfId="0" applyNumberFormat="1" applyFont="1" applyFill="1" applyBorder="1" applyAlignment="1">
      <alignment horizontal="center" vertical="top" wrapText="1"/>
    </xf>
    <xf numFmtId="2" fontId="2" fillId="0" borderId="18" xfId="0" applyNumberFormat="1" applyFont="1" applyFill="1" applyBorder="1" applyAlignment="1">
      <alignment horizontal="center" vertical="top" wrapText="1"/>
    </xf>
    <xf numFmtId="0" fontId="2" fillId="0" borderId="17" xfId="0" applyNumberFormat="1" applyFont="1" applyFill="1" applyBorder="1" applyAlignment="1">
      <alignment horizontal="center" vertical="top" wrapText="1"/>
    </xf>
    <xf numFmtId="0" fontId="2" fillId="0" borderId="18" xfId="0" applyNumberFormat="1" applyFont="1" applyFill="1" applyBorder="1" applyAlignment="1">
      <alignment horizontal="center" vertical="top" wrapText="1"/>
    </xf>
    <xf numFmtId="1" fontId="2" fillId="0" borderId="13" xfId="0" applyNumberFormat="1" applyFont="1" applyFill="1" applyBorder="1" applyAlignment="1">
      <alignment horizontal="center" vertical="center" wrapText="1"/>
    </xf>
    <xf numFmtId="1" fontId="2" fillId="0" borderId="12" xfId="0" applyNumberFormat="1" applyFont="1" applyFill="1" applyBorder="1" applyAlignment="1">
      <alignment horizontal="center" vertical="top" wrapText="1"/>
    </xf>
    <xf numFmtId="1" fontId="2" fillId="0" borderId="10" xfId="0" applyNumberFormat="1" applyFont="1" applyFill="1" applyBorder="1" applyAlignment="1">
      <alignment horizontal="center" vertical="top" wrapText="1"/>
    </xf>
    <xf numFmtId="169" fontId="2" fillId="26" borderId="13" xfId="0" applyNumberFormat="1" applyFont="1" applyFill="1" applyBorder="1" applyAlignment="1">
      <alignment horizontal="center" vertical="top"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27" borderId="0" xfId="0" applyFont="1" applyFill="1" applyBorder="1" applyAlignment="1">
      <alignment vertical="center"/>
    </xf>
    <xf numFmtId="1" fontId="2" fillId="27" borderId="0" xfId="0" applyNumberFormat="1" applyFont="1" applyFill="1" applyBorder="1" applyAlignment="1">
      <alignment horizontal="center" vertical="center" wrapText="1"/>
    </xf>
    <xf numFmtId="1" fontId="2" fillId="27" borderId="13" xfId="0" applyNumberFormat="1" applyFont="1" applyFill="1" applyBorder="1" applyAlignment="1">
      <alignment horizontal="center" vertical="center" wrapText="1"/>
    </xf>
    <xf numFmtId="173" fontId="2" fillId="27" borderId="11" xfId="0" applyNumberFormat="1" applyFont="1" applyFill="1" applyBorder="1" applyAlignment="1">
      <alignment horizontal="center" vertical="center" wrapText="1"/>
    </xf>
    <xf numFmtId="173" fontId="2" fillId="27" borderId="0" xfId="0" applyNumberFormat="1" applyFont="1" applyFill="1" applyBorder="1" applyAlignment="1">
      <alignment horizontal="center" vertical="center" wrapText="1"/>
    </xf>
    <xf numFmtId="0" fontId="44" fillId="27" borderId="0" xfId="0" applyFont="1" applyFill="1" applyBorder="1" applyAlignment="1">
      <alignment horizontal="center" vertical="center" wrapText="1"/>
    </xf>
    <xf numFmtId="0" fontId="2" fillId="0" borderId="11" xfId="41" applyNumberFormat="1" applyFont="1" applyFill="1" applyBorder="1" applyAlignment="1">
      <alignment horizontal="center" vertical="top"/>
    </xf>
    <xf numFmtId="0" fontId="2" fillId="0" borderId="11" xfId="0" applyFont="1" applyFill="1" applyBorder="1" applyAlignment="1">
      <alignment horizontal="center" vertical="top" wrapText="1"/>
    </xf>
    <xf numFmtId="170" fontId="2" fillId="0" borderId="13" xfId="13" applyNumberFormat="1" applyFont="1" applyFill="1" applyBorder="1" applyAlignment="1">
      <alignment horizontal="center" vertical="top" wrapText="1"/>
    </xf>
    <xf numFmtId="170" fontId="2" fillId="0" borderId="34" xfId="13" applyNumberFormat="1" applyFont="1" applyFill="1" applyBorder="1" applyAlignment="1">
      <alignment horizontal="center" vertical="center" wrapText="1"/>
    </xf>
    <xf numFmtId="0" fontId="2" fillId="0" borderId="60" xfId="13" applyFont="1" applyFill="1" applyBorder="1" applyAlignment="1">
      <alignment horizontal="center" vertical="center" wrapText="1"/>
    </xf>
    <xf numFmtId="170" fontId="2" fillId="0" borderId="41" xfId="13" applyNumberFormat="1" applyFont="1" applyFill="1" applyBorder="1" applyAlignment="1">
      <alignment horizontal="center" vertical="center" wrapText="1"/>
    </xf>
    <xf numFmtId="0" fontId="2" fillId="0" borderId="57" xfId="13" applyFont="1" applyFill="1" applyBorder="1" applyAlignment="1">
      <alignment horizontal="center" vertical="center" wrapText="1"/>
    </xf>
    <xf numFmtId="0" fontId="2" fillId="26" borderId="13" xfId="0" applyFont="1" applyFill="1" applyBorder="1" applyAlignment="1">
      <alignment horizontal="center" vertical="top" wrapText="1"/>
    </xf>
    <xf numFmtId="169" fontId="2" fillId="0" borderId="17" xfId="0" applyNumberFormat="1" applyFont="1" applyFill="1" applyBorder="1" applyAlignment="1">
      <alignment horizontal="center" vertical="center" wrapText="1"/>
    </xf>
    <xf numFmtId="169" fontId="2" fillId="0" borderId="18" xfId="0" applyNumberFormat="1" applyFont="1" applyFill="1" applyBorder="1" applyAlignment="1">
      <alignment horizontal="center" vertical="center" wrapText="1"/>
    </xf>
    <xf numFmtId="2" fontId="2" fillId="26" borderId="13" xfId="0" applyNumberFormat="1" applyFont="1" applyFill="1" applyBorder="1" applyAlignment="1">
      <alignment horizontal="center" vertical="top" wrapText="1"/>
    </xf>
    <xf numFmtId="173" fontId="2" fillId="0" borderId="17" xfId="0" applyNumberFormat="1" applyFont="1" applyFill="1" applyBorder="1" applyAlignment="1">
      <alignment horizontal="center" vertical="top" wrapText="1"/>
    </xf>
    <xf numFmtId="173" fontId="2" fillId="27" borderId="13" xfId="0" applyNumberFormat="1"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26" borderId="11" xfId="0" applyFont="1" applyFill="1" applyBorder="1" applyAlignment="1">
      <alignment horizontal="center" vertical="top"/>
    </xf>
    <xf numFmtId="0" fontId="2" fillId="26" borderId="18" xfId="0" applyFont="1" applyFill="1" applyBorder="1" applyAlignment="1">
      <alignment horizontal="center" vertical="top"/>
    </xf>
    <xf numFmtId="0" fontId="2" fillId="0" borderId="11" xfId="0" applyNumberFormat="1" applyFont="1" applyFill="1" applyBorder="1" applyAlignment="1">
      <alignment horizontal="center" vertical="top"/>
    </xf>
    <xf numFmtId="169" fontId="2" fillId="0" borderId="10" xfId="0" applyNumberFormat="1" applyFont="1" applyFill="1" applyBorder="1" applyAlignment="1">
      <alignment horizontal="center" vertical="top"/>
    </xf>
    <xf numFmtId="169" fontId="2" fillId="26" borderId="18" xfId="0" applyNumberFormat="1" applyFont="1" applyFill="1" applyBorder="1" applyAlignment="1">
      <alignment horizontal="center" vertical="top"/>
    </xf>
    <xf numFmtId="2" fontId="2" fillId="27" borderId="13" xfId="0" applyNumberFormat="1" applyFont="1" applyFill="1" applyBorder="1" applyAlignment="1">
      <alignment horizontal="center" vertical="center" wrapText="1"/>
    </xf>
    <xf numFmtId="2" fontId="2" fillId="27" borderId="11" xfId="0" applyNumberFormat="1" applyFont="1" applyFill="1" applyBorder="1" applyAlignment="1">
      <alignment horizontal="center" vertical="center" wrapText="1"/>
    </xf>
    <xf numFmtId="169" fontId="29" fillId="26" borderId="0" xfId="0" applyNumberFormat="1" applyFont="1" applyFill="1" applyBorder="1" applyAlignment="1">
      <alignment horizontal="center" vertical="top" wrapText="1"/>
    </xf>
    <xf numFmtId="0" fontId="2" fillId="27" borderId="17" xfId="8" applyFont="1" applyFill="1" applyBorder="1" applyAlignment="1">
      <alignment horizontal="center" vertical="center" wrapText="1"/>
    </xf>
    <xf numFmtId="0" fontId="2" fillId="0" borderId="42" xfId="8" applyFont="1" applyFill="1" applyBorder="1" applyAlignment="1">
      <alignment horizontal="center" vertical="center" wrapText="1"/>
    </xf>
    <xf numFmtId="169" fontId="2" fillId="0" borderId="13" xfId="11" applyNumberFormat="1" applyFont="1" applyFill="1" applyBorder="1" applyAlignment="1">
      <alignment horizontal="center" vertical="center" wrapText="1"/>
    </xf>
    <xf numFmtId="0" fontId="2" fillId="0" borderId="13" xfId="11" applyFont="1" applyFill="1" applyBorder="1" applyAlignment="1">
      <alignment horizontal="center" vertical="top" wrapText="1"/>
    </xf>
    <xf numFmtId="0" fontId="2" fillId="0" borderId="13" xfId="10" applyFont="1" applyFill="1" applyBorder="1" applyAlignment="1">
      <alignment horizontal="center" vertical="top" wrapText="1"/>
    </xf>
    <xf numFmtId="0" fontId="2" fillId="0" borderId="34" xfId="10" applyFont="1" applyFill="1" applyBorder="1" applyAlignment="1">
      <alignment horizontal="center" vertical="center" wrapText="1"/>
    </xf>
    <xf numFmtId="0" fontId="2" fillId="0" borderId="41" xfId="10" applyFont="1" applyFill="1" applyBorder="1" applyAlignment="1">
      <alignment horizontal="center" vertical="center" wrapText="1"/>
    </xf>
    <xf numFmtId="0" fontId="2" fillId="26" borderId="13" xfId="0" applyFont="1" applyFill="1" applyBorder="1" applyAlignment="1">
      <alignment horizontal="center" vertical="center" wrapText="1"/>
    </xf>
    <xf numFmtId="169" fontId="2" fillId="0" borderId="17" xfId="0" applyNumberFormat="1" applyFont="1" applyFill="1" applyBorder="1" applyAlignment="1">
      <alignment horizontal="center" vertical="center"/>
    </xf>
    <xf numFmtId="169" fontId="2" fillId="0" borderId="13" xfId="0" applyNumberFormat="1" applyFont="1" applyFill="1" applyBorder="1" applyAlignment="1">
      <alignment horizontal="center" vertical="center"/>
    </xf>
    <xf numFmtId="0" fontId="2" fillId="26" borderId="17" xfId="0" applyFont="1" applyFill="1" applyBorder="1" applyAlignment="1">
      <alignment horizontal="center" vertical="center" wrapText="1"/>
    </xf>
    <xf numFmtId="169" fontId="2" fillId="26" borderId="17" xfId="0" applyNumberFormat="1" applyFont="1" applyFill="1" applyBorder="1" applyAlignment="1">
      <alignment horizontal="center" vertical="center" wrapText="1"/>
    </xf>
    <xf numFmtId="169" fontId="2" fillId="26" borderId="13" xfId="0" applyNumberFormat="1" applyFont="1" applyFill="1" applyBorder="1" applyAlignment="1">
      <alignment horizontal="center" vertical="center" wrapText="1"/>
    </xf>
    <xf numFmtId="0" fontId="2" fillId="0" borderId="17" xfId="0" applyFont="1" applyBorder="1" applyAlignment="1">
      <alignment horizontal="center" vertical="top"/>
    </xf>
    <xf numFmtId="0" fontId="2" fillId="0" borderId="22"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22" xfId="0" applyFont="1" applyBorder="1" applyAlignment="1">
      <alignment horizontal="left" vertical="center"/>
    </xf>
    <xf numFmtId="0" fontId="2" fillId="0" borderId="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55" xfId="0" applyFont="1" applyBorder="1" applyAlignment="1">
      <alignment horizontal="center" vertical="center" wrapText="1"/>
    </xf>
    <xf numFmtId="0" fontId="2" fillId="26" borderId="7" xfId="0" applyFont="1" applyFill="1" applyBorder="1" applyAlignment="1">
      <alignment horizontal="center" vertical="center" wrapText="1"/>
    </xf>
    <xf numFmtId="0" fontId="2" fillId="0" borderId="7" xfId="0" applyFont="1" applyBorder="1" applyAlignment="1">
      <alignment horizontal="left" vertical="center"/>
    </xf>
    <xf numFmtId="0" fontId="44" fillId="0" borderId="7" xfId="0" applyFont="1" applyBorder="1" applyAlignment="1">
      <alignment horizontal="center" vertical="center" wrapText="1"/>
    </xf>
    <xf numFmtId="0" fontId="2" fillId="0" borderId="2" xfId="0" applyFont="1" applyBorder="1" applyAlignment="1">
      <alignment horizontal="center" vertical="center"/>
    </xf>
    <xf numFmtId="0" fontId="2" fillId="0" borderId="1" xfId="0" applyFont="1" applyBorder="1" applyAlignment="1">
      <alignment horizontal="center" vertical="center"/>
    </xf>
    <xf numFmtId="0" fontId="2" fillId="27" borderId="65" xfId="8" applyFont="1" applyFill="1" applyBorder="1" applyAlignment="1">
      <alignment horizontal="center" vertical="center" wrapText="1"/>
    </xf>
    <xf numFmtId="0" fontId="2" fillId="0" borderId="22" xfId="7" applyFont="1" applyFill="1" applyBorder="1" applyAlignment="1">
      <alignment horizontal="center" vertical="center" wrapText="1"/>
    </xf>
    <xf numFmtId="0" fontId="2" fillId="0" borderId="8" xfId="8" applyFont="1" applyFill="1" applyBorder="1" applyAlignment="1">
      <alignment horizontal="center" vertical="center" wrapText="1"/>
    </xf>
    <xf numFmtId="169" fontId="2" fillId="0" borderId="2" xfId="0" applyNumberFormat="1" applyFont="1" applyFill="1" applyBorder="1" applyAlignment="1">
      <alignment horizontal="center" vertical="top" wrapText="1"/>
    </xf>
    <xf numFmtId="169" fontId="2" fillId="0" borderId="1" xfId="11" applyNumberFormat="1" applyFont="1" applyFill="1" applyBorder="1" applyAlignment="1">
      <alignment horizontal="center" vertical="center" wrapText="1"/>
    </xf>
    <xf numFmtId="0" fontId="2" fillId="31" borderId="2" xfId="41" applyNumberFormat="1" applyFont="1" applyFill="1" applyBorder="1" applyAlignment="1">
      <alignment horizontal="center" vertical="top"/>
    </xf>
    <xf numFmtId="0" fontId="2" fillId="0" borderId="1" xfId="41" applyNumberFormat="1" applyFont="1" applyFill="1" applyBorder="1" applyAlignment="1">
      <alignment horizontal="center" vertical="top"/>
    </xf>
    <xf numFmtId="170" fontId="2" fillId="0" borderId="2" xfId="5" applyNumberFormat="1" applyFont="1" applyFill="1" applyBorder="1" applyAlignment="1">
      <alignment horizontal="center" vertical="top" wrapText="1"/>
    </xf>
    <xf numFmtId="0" fontId="2" fillId="0" borderId="1" xfId="11" applyFont="1" applyFill="1" applyBorder="1" applyAlignment="1">
      <alignment horizontal="center" vertical="top" wrapText="1"/>
    </xf>
    <xf numFmtId="0" fontId="2" fillId="0" borderId="2" xfId="0" applyNumberFormat="1" applyFont="1" applyFill="1" applyBorder="1" applyAlignment="1">
      <alignment horizontal="center" vertical="top" wrapText="1"/>
    </xf>
    <xf numFmtId="169" fontId="2" fillId="0" borderId="1" xfId="13" applyNumberFormat="1" applyFont="1" applyFill="1" applyBorder="1" applyAlignment="1">
      <alignment horizontal="center" vertical="center" wrapText="1"/>
    </xf>
    <xf numFmtId="0" fontId="2" fillId="0" borderId="1" xfId="13" applyFont="1" applyFill="1" applyBorder="1" applyAlignment="1">
      <alignment horizontal="center" vertical="top" wrapText="1"/>
    </xf>
    <xf numFmtId="0" fontId="2" fillId="0" borderId="19" xfId="13" applyFont="1" applyFill="1" applyBorder="1" applyAlignment="1">
      <alignment horizontal="center" vertical="center" wrapText="1"/>
    </xf>
    <xf numFmtId="0" fontId="2" fillId="0" borderId="29" xfId="13" applyFont="1" applyFill="1" applyBorder="1" applyAlignment="1">
      <alignment horizontal="center" vertical="center" wrapText="1"/>
    </xf>
    <xf numFmtId="0" fontId="2" fillId="0" borderId="5" xfId="13" applyFont="1" applyFill="1" applyBorder="1" applyAlignment="1">
      <alignment horizontal="center" vertical="center" wrapText="1"/>
    </xf>
    <xf numFmtId="0" fontId="2" fillId="0" borderId="4" xfId="13" applyFont="1" applyFill="1" applyBorder="1" applyAlignment="1">
      <alignment horizontal="center" vertical="center" wrapText="1"/>
    </xf>
    <xf numFmtId="0" fontId="2" fillId="0" borderId="19" xfId="0" applyFont="1" applyBorder="1" applyAlignment="1">
      <alignment horizontal="center" vertical="center" wrapText="1"/>
    </xf>
    <xf numFmtId="0" fontId="2" fillId="0" borderId="29" xfId="0" applyFont="1" applyBorder="1" applyAlignment="1">
      <alignment horizontal="center" vertical="center" wrapText="1"/>
    </xf>
    <xf numFmtId="0" fontId="2" fillId="26" borderId="2" xfId="0" applyNumberFormat="1" applyFont="1" applyFill="1" applyBorder="1" applyAlignment="1">
      <alignment horizontal="center" vertical="top" wrapText="1"/>
    </xf>
    <xf numFmtId="0" fontId="2" fillId="26" borderId="1" xfId="0" applyFont="1" applyFill="1" applyBorder="1" applyAlignment="1">
      <alignment horizontal="center" vertical="center" wrapText="1"/>
    </xf>
    <xf numFmtId="169" fontId="2" fillId="0" borderId="62" xfId="0" applyNumberFormat="1" applyFont="1" applyFill="1" applyBorder="1" applyAlignment="1">
      <alignment horizontal="center" vertical="center" wrapText="1"/>
    </xf>
    <xf numFmtId="169" fontId="2" fillId="0" borderId="65" xfId="0" applyNumberFormat="1" applyFont="1" applyFill="1" applyBorder="1" applyAlignment="1">
      <alignment horizontal="center" vertical="center"/>
    </xf>
    <xf numFmtId="169" fontId="2" fillId="0" borderId="1" xfId="0" applyNumberFormat="1" applyFont="1" applyFill="1" applyBorder="1" applyAlignment="1">
      <alignment horizontal="center" vertical="center"/>
    </xf>
    <xf numFmtId="2" fontId="2" fillId="26" borderId="62" xfId="0" applyNumberFormat="1" applyFont="1" applyFill="1" applyBorder="1" applyAlignment="1">
      <alignment horizontal="center" vertical="top" wrapText="1"/>
    </xf>
    <xf numFmtId="0" fontId="2" fillId="26" borderId="65" xfId="0" applyFont="1" applyFill="1" applyBorder="1" applyAlignment="1">
      <alignment horizontal="center" vertical="center" wrapText="1"/>
    </xf>
    <xf numFmtId="169" fontId="2" fillId="0" borderId="1" xfId="0" applyNumberFormat="1" applyFont="1" applyFill="1" applyBorder="1" applyAlignment="1">
      <alignment horizontal="center" vertical="top" wrapText="1"/>
    </xf>
    <xf numFmtId="2" fontId="2" fillId="0" borderId="2" xfId="0" applyNumberFormat="1" applyFont="1" applyFill="1" applyBorder="1" applyAlignment="1">
      <alignment horizontal="center" vertical="top" wrapText="1"/>
    </xf>
    <xf numFmtId="2" fontId="2" fillId="0" borderId="1" xfId="0" applyNumberFormat="1" applyFont="1" applyFill="1" applyBorder="1" applyAlignment="1">
      <alignment horizontal="center" vertical="top" wrapText="1"/>
    </xf>
    <xf numFmtId="169" fontId="2" fillId="26" borderId="2" xfId="0" applyNumberFormat="1" applyFont="1" applyFill="1" applyBorder="1" applyAlignment="1">
      <alignment horizontal="center" vertical="top" wrapText="1"/>
    </xf>
    <xf numFmtId="169" fontId="2" fillId="26" borderId="62" xfId="0" applyNumberFormat="1" applyFont="1" applyFill="1" applyBorder="1" applyAlignment="1">
      <alignment horizontal="center" vertical="top" wrapText="1"/>
    </xf>
    <xf numFmtId="169" fontId="2" fillId="26" borderId="65" xfId="0" applyNumberFormat="1" applyFont="1" applyFill="1" applyBorder="1" applyAlignment="1">
      <alignment horizontal="center" vertical="center" wrapText="1"/>
    </xf>
    <xf numFmtId="169" fontId="2" fillId="0" borderId="21" xfId="0" applyNumberFormat="1" applyFont="1" applyFill="1" applyBorder="1" applyAlignment="1">
      <alignment horizontal="center" vertical="top" wrapText="1"/>
    </xf>
    <xf numFmtId="169" fontId="2" fillId="0" borderId="62" xfId="0" applyNumberFormat="1" applyFont="1" applyFill="1" applyBorder="1" applyAlignment="1">
      <alignment horizontal="center" vertical="top" wrapText="1"/>
    </xf>
    <xf numFmtId="169" fontId="2" fillId="0" borderId="65" xfId="0" applyNumberFormat="1" applyFont="1" applyFill="1" applyBorder="1" applyAlignment="1">
      <alignment horizontal="center" vertical="center" wrapText="1"/>
    </xf>
    <xf numFmtId="169" fontId="2" fillId="26" borderId="1" xfId="0" applyNumberFormat="1" applyFont="1" applyFill="1" applyBorder="1" applyAlignment="1">
      <alignment horizontal="center" vertical="center" wrapText="1"/>
    </xf>
    <xf numFmtId="0" fontId="2" fillId="26" borderId="22" xfId="0" applyFont="1" applyFill="1" applyBorder="1" applyAlignment="1">
      <alignment horizontal="left" vertical="center"/>
    </xf>
    <xf numFmtId="0" fontId="2" fillId="0" borderId="8" xfId="0" applyFont="1" applyBorder="1" applyAlignment="1">
      <alignment horizontal="center" vertical="center" wrapText="1"/>
    </xf>
    <xf numFmtId="0" fontId="2" fillId="0" borderId="62" xfId="0" applyNumberFormat="1" applyFont="1" applyFill="1" applyBorder="1" applyAlignment="1">
      <alignment horizontal="center" vertical="top" wrapText="1"/>
    </xf>
    <xf numFmtId="2" fontId="2" fillId="27" borderId="2" xfId="0" applyNumberFormat="1" applyFont="1" applyFill="1" applyBorder="1" applyAlignment="1">
      <alignment horizontal="center" vertical="center" wrapText="1"/>
    </xf>
    <xf numFmtId="2" fontId="2" fillId="27" borderId="1" xfId="0" applyNumberFormat="1"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62"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 xfId="0" applyFont="1" applyBorder="1" applyAlignment="1">
      <alignment horizontal="center" vertical="top"/>
    </xf>
    <xf numFmtId="11" fontId="2" fillId="0" borderId="2" xfId="0" applyNumberFormat="1" applyFont="1" applyBorder="1" applyAlignment="1">
      <alignment horizontal="center" vertical="top"/>
    </xf>
    <xf numFmtId="0" fontId="2" fillId="27" borderId="5" xfId="0" applyFont="1" applyFill="1" applyBorder="1" applyAlignment="1">
      <alignment horizontal="center" vertical="center" wrapText="1"/>
    </xf>
    <xf numFmtId="0" fontId="2" fillId="0" borderId="22" xfId="6" applyFont="1" applyFill="1" applyBorder="1" applyAlignment="1">
      <alignment horizontal="center" vertical="center" wrapText="1"/>
    </xf>
    <xf numFmtId="0" fontId="2" fillId="0" borderId="8" xfId="7" applyFont="1" applyFill="1" applyBorder="1" applyAlignment="1">
      <alignment horizontal="center" vertical="center" wrapText="1"/>
    </xf>
    <xf numFmtId="169" fontId="25" fillId="0" borderId="2" xfId="0" applyNumberFormat="1" applyFont="1" applyFill="1" applyBorder="1" applyAlignment="1">
      <alignment horizontal="center" vertical="center" wrapText="1"/>
    </xf>
    <xf numFmtId="169" fontId="2" fillId="26" borderId="1" xfId="0" applyNumberFormat="1" applyFont="1" applyFill="1" applyBorder="1" applyAlignment="1">
      <alignment horizontal="center" vertical="top" wrapText="1"/>
    </xf>
    <xf numFmtId="0" fontId="25" fillId="31" borderId="2" xfId="41" applyNumberFormat="1" applyFont="1" applyFill="1" applyBorder="1" applyAlignment="1">
      <alignment horizontal="center" vertical="top"/>
    </xf>
    <xf numFmtId="2" fontId="25" fillId="0" borderId="2" xfId="0" applyNumberFormat="1" applyFont="1" applyFill="1" applyBorder="1" applyAlignment="1">
      <alignment horizontal="center" vertical="top" wrapText="1"/>
    </xf>
    <xf numFmtId="0" fontId="2" fillId="0" borderId="1" xfId="0" applyFont="1" applyFill="1" applyBorder="1" applyAlignment="1">
      <alignment horizontal="center" vertical="top" wrapText="1"/>
    </xf>
    <xf numFmtId="0" fontId="2" fillId="0" borderId="2" xfId="13" applyFont="1" applyFill="1" applyBorder="1" applyAlignment="1">
      <alignment horizontal="center" vertical="top" wrapText="1"/>
    </xf>
    <xf numFmtId="0" fontId="2" fillId="26" borderId="2" xfId="0" applyNumberFormat="1" applyFont="1" applyFill="1" applyBorder="1" applyAlignment="1">
      <alignment horizontal="center" vertical="center" wrapText="1"/>
    </xf>
    <xf numFmtId="0" fontId="2" fillId="26" borderId="1" xfId="0" applyFont="1" applyFill="1" applyBorder="1" applyAlignment="1">
      <alignment horizontal="center" vertical="top" wrapText="1"/>
    </xf>
    <xf numFmtId="0" fontId="2" fillId="0" borderId="2" xfId="0" applyNumberFormat="1" applyFont="1" applyFill="1" applyBorder="1" applyAlignment="1">
      <alignment horizontal="center" vertical="center" wrapText="1"/>
    </xf>
    <xf numFmtId="169" fontId="2" fillId="0" borderId="21" xfId="0" applyNumberFormat="1" applyFont="1" applyFill="1" applyBorder="1" applyAlignment="1">
      <alignment horizontal="center" vertical="center" wrapText="1"/>
    </xf>
    <xf numFmtId="2" fontId="2" fillId="26" borderId="62"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169" fontId="2" fillId="26" borderId="62" xfId="0" applyNumberFormat="1" applyFont="1" applyFill="1" applyBorder="1" applyAlignment="1">
      <alignment horizontal="center" vertical="center" wrapText="1"/>
    </xf>
    <xf numFmtId="169" fontId="2" fillId="26" borderId="65" xfId="0" applyNumberFormat="1" applyFont="1" applyFill="1" applyBorder="1" applyAlignment="1">
      <alignment horizontal="center" vertical="top" wrapText="1"/>
    </xf>
    <xf numFmtId="169" fontId="2" fillId="0" borderId="65" xfId="0" applyNumberFormat="1" applyFont="1" applyFill="1" applyBorder="1" applyAlignment="1">
      <alignment horizontal="center" vertical="top" wrapText="1"/>
    </xf>
    <xf numFmtId="0" fontId="2" fillId="0" borderId="22" xfId="0" applyFont="1" applyBorder="1" applyAlignment="1">
      <alignment horizontal="center" vertical="center" wrapText="1"/>
    </xf>
    <xf numFmtId="0" fontId="2" fillId="0" borderId="62" xfId="0" applyNumberFormat="1" applyFont="1" applyFill="1" applyBorder="1" applyAlignment="1">
      <alignment horizontal="center" vertical="center" wrapText="1"/>
    </xf>
    <xf numFmtId="0" fontId="2" fillId="0" borderId="65" xfId="0" applyFont="1" applyFill="1" applyBorder="1" applyAlignment="1">
      <alignment horizontal="center" vertical="top" wrapText="1"/>
    </xf>
    <xf numFmtId="0" fontId="2" fillId="27" borderId="2" xfId="0" applyNumberFormat="1" applyFont="1" applyFill="1" applyBorder="1" applyAlignment="1">
      <alignment horizontal="center" vertical="center" wrapText="1"/>
    </xf>
    <xf numFmtId="1" fontId="2" fillId="27" borderId="1" xfId="0" applyNumberFormat="1" applyFont="1" applyFill="1" applyBorder="1" applyAlignment="1">
      <alignment horizontal="center" vertical="center" wrapText="1"/>
    </xf>
    <xf numFmtId="1" fontId="2" fillId="0" borderId="21" xfId="0" applyNumberFormat="1" applyFont="1" applyFill="1" applyBorder="1" applyAlignment="1">
      <alignment horizontal="center" vertical="center"/>
    </xf>
    <xf numFmtId="169" fontId="2" fillId="26" borderId="2" xfId="0" applyNumberFormat="1" applyFont="1" applyFill="1" applyBorder="1" applyAlignment="1">
      <alignment horizontal="center" vertical="center" wrapText="1"/>
    </xf>
    <xf numFmtId="0" fontId="2" fillId="27" borderId="41" xfId="0" applyFont="1" applyFill="1" applyBorder="1" applyAlignment="1">
      <alignment horizontal="center" vertical="top" wrapText="1"/>
    </xf>
    <xf numFmtId="0" fontId="2" fillId="27" borderId="3" xfId="0" applyFont="1" applyFill="1" applyBorder="1" applyAlignment="1">
      <alignment horizontal="center" vertical="top" wrapText="1"/>
    </xf>
    <xf numFmtId="0" fontId="2" fillId="27" borderId="57" xfId="0" applyFont="1" applyFill="1" applyBorder="1" applyAlignment="1">
      <alignment horizontal="center" vertical="top" wrapText="1"/>
    </xf>
    <xf numFmtId="0" fontId="2" fillId="27" borderId="4" xfId="0" applyFont="1" applyFill="1" applyBorder="1" applyAlignment="1">
      <alignment horizontal="center" vertical="top" wrapText="1"/>
    </xf>
    <xf numFmtId="0" fontId="2" fillId="27" borderId="5" xfId="0" applyFont="1" applyFill="1" applyBorder="1" applyAlignment="1">
      <alignment horizontal="center" vertical="top" wrapText="1"/>
    </xf>
    <xf numFmtId="0" fontId="2" fillId="27" borderId="20" xfId="0" applyFont="1" applyFill="1" applyBorder="1" applyAlignment="1">
      <alignment horizontal="center" vertical="top"/>
    </xf>
    <xf numFmtId="0" fontId="2" fillId="27" borderId="18" xfId="0" applyFont="1" applyFill="1" applyBorder="1" applyAlignment="1">
      <alignment horizontal="center" vertical="top"/>
    </xf>
    <xf numFmtId="0" fontId="2" fillId="27" borderId="5" xfId="0" applyFont="1" applyFill="1" applyBorder="1" applyAlignment="1">
      <alignment horizontal="justify" vertical="center" wrapText="1"/>
    </xf>
    <xf numFmtId="0" fontId="2" fillId="27" borderId="3" xfId="0" applyFont="1" applyFill="1" applyBorder="1" applyAlignment="1">
      <alignment horizontal="justify" vertical="center" wrapText="1"/>
    </xf>
    <xf numFmtId="0" fontId="2" fillId="27" borderId="41" xfId="0" applyFont="1" applyFill="1" applyBorder="1" applyAlignment="1">
      <alignment horizontal="center" vertical="center" wrapText="1"/>
    </xf>
    <xf numFmtId="0" fontId="2" fillId="27" borderId="57" xfId="0" applyFont="1" applyFill="1" applyBorder="1" applyAlignment="1">
      <alignment horizontal="center" vertical="center" wrapText="1"/>
    </xf>
    <xf numFmtId="0" fontId="2" fillId="27" borderId="4" xfId="0" applyFont="1" applyFill="1" applyBorder="1" applyAlignment="1">
      <alignment horizontal="center" vertical="center" wrapText="1"/>
    </xf>
    <xf numFmtId="0" fontId="2" fillId="27" borderId="3" xfId="8" applyFont="1" applyFill="1" applyBorder="1" applyAlignment="1">
      <alignment horizontal="center" vertical="center" wrapText="1"/>
    </xf>
    <xf numFmtId="0" fontId="2" fillId="27" borderId="41" xfId="8" applyFont="1" applyFill="1" applyBorder="1" applyAlignment="1">
      <alignment horizontal="center" vertical="center" wrapText="1"/>
    </xf>
    <xf numFmtId="0" fontId="2" fillId="27" borderId="4" xfId="8" applyFont="1" applyFill="1" applyBorder="1" applyAlignment="1">
      <alignment horizontal="center" vertical="center" wrapText="1"/>
    </xf>
    <xf numFmtId="0" fontId="44" fillId="27" borderId="3" xfId="8" applyFont="1" applyFill="1" applyBorder="1" applyAlignment="1">
      <alignment horizontal="center" vertical="center" wrapText="1"/>
    </xf>
    <xf numFmtId="0" fontId="2" fillId="0" borderId="2" xfId="0" applyFont="1" applyFill="1" applyBorder="1" applyAlignment="1">
      <alignment horizontal="justify" vertical="center" wrapText="1"/>
    </xf>
    <xf numFmtId="169" fontId="2" fillId="0" borderId="2" xfId="0" applyNumberFormat="1" applyFont="1" applyFill="1" applyBorder="1" applyAlignment="1">
      <alignment horizontal="justify" vertical="center" wrapText="1"/>
    </xf>
    <xf numFmtId="0" fontId="2" fillId="0" borderId="2" xfId="0" applyFont="1" applyFill="1" applyBorder="1" applyAlignment="1">
      <alignment horizontal="center" vertical="top" wrapText="1"/>
    </xf>
    <xf numFmtId="0" fontId="2" fillId="0" borderId="2" xfId="0" applyFont="1" applyBorder="1" applyAlignment="1">
      <alignment horizontal="justify" vertical="center" wrapText="1"/>
    </xf>
    <xf numFmtId="0" fontId="2" fillId="0" borderId="6" xfId="0" applyFont="1" applyFill="1" applyBorder="1" applyAlignment="1">
      <alignment horizontal="justify" vertical="top" wrapText="1"/>
    </xf>
    <xf numFmtId="0" fontId="2" fillId="0" borderId="19" xfId="13" applyFont="1" applyFill="1" applyBorder="1" applyAlignment="1">
      <alignment horizontal="left" vertical="center" wrapText="1"/>
    </xf>
    <xf numFmtId="0" fontId="2" fillId="0" borderId="6" xfId="13" applyFont="1" applyFill="1" applyBorder="1" applyAlignment="1">
      <alignment horizontal="justify" vertical="center" wrapText="1"/>
    </xf>
    <xf numFmtId="0" fontId="2" fillId="0" borderId="29" xfId="13" applyFont="1" applyFill="1" applyBorder="1" applyAlignment="1">
      <alignment horizontal="left" vertical="center" wrapText="1"/>
    </xf>
    <xf numFmtId="0" fontId="2" fillId="0" borderId="19" xfId="13" applyFont="1" applyFill="1" applyBorder="1" applyAlignment="1">
      <alignment horizontal="center" vertical="top" wrapText="1"/>
    </xf>
    <xf numFmtId="169" fontId="2" fillId="0" borderId="6" xfId="13" applyNumberFormat="1" applyFont="1" applyFill="1" applyBorder="1" applyAlignment="1">
      <alignment horizontal="center" vertical="top" wrapText="1"/>
    </xf>
    <xf numFmtId="170" fontId="2" fillId="0" borderId="6" xfId="5" applyNumberFormat="1" applyFont="1" applyFill="1" applyBorder="1" applyAlignment="1">
      <alignment horizontal="center" vertical="top" wrapText="1"/>
    </xf>
    <xf numFmtId="0" fontId="2" fillId="0" borderId="34" xfId="0" applyFont="1" applyFill="1" applyBorder="1" applyAlignment="1">
      <alignment horizontal="center" vertical="top" wrapText="1"/>
    </xf>
    <xf numFmtId="169" fontId="2" fillId="0" borderId="60" xfId="13" applyNumberFormat="1" applyFont="1" applyFill="1" applyBorder="1" applyAlignment="1">
      <alignment horizontal="center" vertical="top" wrapText="1"/>
    </xf>
    <xf numFmtId="170" fontId="2" fillId="0" borderId="34" xfId="13" applyNumberFormat="1" applyFont="1" applyFill="1" applyBorder="1" applyAlignment="1">
      <alignment horizontal="center" vertical="top" wrapText="1"/>
    </xf>
    <xf numFmtId="170" fontId="2" fillId="0" borderId="6" xfId="13" applyNumberFormat="1" applyFont="1" applyFill="1" applyBorder="1" applyAlignment="1">
      <alignment horizontal="center" vertical="top" wrapText="1"/>
    </xf>
    <xf numFmtId="0" fontId="2" fillId="0" borderId="29" xfId="13" applyFont="1" applyFill="1" applyBorder="1" applyAlignment="1">
      <alignment horizontal="center" vertical="top" wrapText="1"/>
    </xf>
    <xf numFmtId="170" fontId="2" fillId="0" borderId="19" xfId="5" applyNumberFormat="1" applyFont="1" applyFill="1" applyBorder="1" applyAlignment="1">
      <alignment horizontal="center" vertical="top" wrapText="1"/>
    </xf>
    <xf numFmtId="0" fontId="2" fillId="0" borderId="34" xfId="10" applyFont="1" applyFill="1" applyBorder="1" applyAlignment="1">
      <alignment horizontal="center" vertical="top" wrapText="1"/>
    </xf>
    <xf numFmtId="0" fontId="2" fillId="0" borderId="29" xfId="10" applyFont="1" applyFill="1" applyBorder="1" applyAlignment="1">
      <alignment horizontal="center" vertical="top" wrapText="1"/>
    </xf>
    <xf numFmtId="0" fontId="2" fillId="0" borderId="6" xfId="10" applyFont="1" applyFill="1" applyBorder="1" applyAlignment="1">
      <alignment horizontal="center" vertical="top" wrapText="1"/>
    </xf>
    <xf numFmtId="0" fontId="2" fillId="0" borderId="2" xfId="0" applyFont="1" applyFill="1" applyBorder="1" applyAlignment="1">
      <alignment horizontal="left" vertical="center"/>
    </xf>
    <xf numFmtId="0" fontId="2" fillId="0" borderId="19" xfId="0" applyFont="1" applyFill="1" applyBorder="1" applyAlignment="1">
      <alignment horizontal="justify" vertical="center" wrapText="1"/>
    </xf>
    <xf numFmtId="0" fontId="2" fillId="26" borderId="2" xfId="0" applyFont="1" applyFill="1" applyBorder="1" applyAlignment="1">
      <alignment horizontal="justify" vertical="center" wrapText="1"/>
    </xf>
    <xf numFmtId="169" fontId="2" fillId="0" borderId="62" xfId="0" applyNumberFormat="1" applyFont="1" applyFill="1" applyBorder="1" applyAlignment="1">
      <alignment horizontal="justify" vertical="center" wrapText="1"/>
    </xf>
    <xf numFmtId="0" fontId="2" fillId="0" borderId="2" xfId="0" applyNumberFormat="1" applyFont="1" applyFill="1" applyBorder="1" applyAlignment="1">
      <alignment horizontal="justify" vertical="center" wrapText="1"/>
    </xf>
    <xf numFmtId="169" fontId="2" fillId="0" borderId="21" xfId="0" applyNumberFormat="1" applyFont="1" applyFill="1" applyBorder="1" applyAlignment="1">
      <alignment horizontal="justify" vertical="center" wrapText="1"/>
    </xf>
    <xf numFmtId="0" fontId="2" fillId="26" borderId="62" xfId="0" applyFont="1" applyFill="1" applyBorder="1" applyAlignment="1">
      <alignment horizontal="justify" vertical="center" wrapText="1"/>
    </xf>
    <xf numFmtId="169" fontId="2" fillId="26" borderId="62" xfId="0" applyNumberFormat="1" applyFont="1" applyFill="1" applyBorder="1" applyAlignment="1">
      <alignment horizontal="justify" vertical="center" wrapText="1"/>
    </xf>
    <xf numFmtId="0" fontId="2" fillId="0" borderId="21" xfId="0" applyFont="1" applyBorder="1" applyAlignment="1">
      <alignment horizontal="justify" vertical="center" wrapText="1"/>
    </xf>
    <xf numFmtId="169" fontId="2" fillId="0" borderId="19" xfId="0" applyNumberFormat="1" applyFont="1" applyFill="1" applyBorder="1" applyAlignment="1">
      <alignment horizontal="justify" vertical="center" wrapText="1"/>
    </xf>
    <xf numFmtId="169" fontId="2" fillId="0" borderId="6" xfId="0" applyNumberFormat="1" applyFont="1" applyFill="1" applyBorder="1" applyAlignment="1">
      <alignment horizontal="justify" vertical="center" wrapText="1"/>
    </xf>
    <xf numFmtId="169" fontId="2" fillId="0" borderId="19" xfId="0" applyNumberFormat="1" applyFont="1" applyFill="1" applyBorder="1" applyAlignment="1">
      <alignment horizontal="left" vertical="center" wrapText="1"/>
    </xf>
    <xf numFmtId="169" fontId="2" fillId="0" borderId="29" xfId="0" applyNumberFormat="1" applyFont="1" applyFill="1" applyBorder="1" applyAlignment="1">
      <alignment horizontal="left" vertical="center" wrapText="1"/>
    </xf>
    <xf numFmtId="169" fontId="2" fillId="0" borderId="19" xfId="0" applyNumberFormat="1" applyFont="1" applyFill="1" applyBorder="1" applyAlignment="1">
      <alignment horizontal="center" vertical="center" wrapText="1"/>
    </xf>
    <xf numFmtId="169" fontId="2" fillId="0" borderId="6" xfId="0" applyNumberFormat="1" applyFont="1" applyFill="1" applyBorder="1" applyAlignment="1">
      <alignment horizontal="center" vertical="center" wrapText="1"/>
    </xf>
    <xf numFmtId="169" fontId="2" fillId="0" borderId="34" xfId="0" applyNumberFormat="1" applyFont="1" applyFill="1" applyBorder="1" applyAlignment="1">
      <alignment horizontal="center" vertical="center" wrapText="1"/>
    </xf>
    <xf numFmtId="169" fontId="2" fillId="0" borderId="60" xfId="0" applyNumberFormat="1" applyFont="1" applyFill="1" applyBorder="1" applyAlignment="1">
      <alignment horizontal="center" vertical="center" wrapText="1"/>
    </xf>
    <xf numFmtId="169" fontId="2" fillId="0" borderId="29" xfId="0" applyNumberFormat="1" applyFont="1" applyFill="1" applyBorder="1" applyAlignment="1">
      <alignment horizontal="center" vertical="center" wrapText="1"/>
    </xf>
    <xf numFmtId="169" fontId="2" fillId="0" borderId="6" xfId="0" applyNumberFormat="1" applyFont="1" applyFill="1" applyBorder="1" applyAlignment="1">
      <alignment horizontal="center" vertical="center"/>
    </xf>
    <xf numFmtId="169" fontId="44" fillId="0" borderId="6" xfId="0" applyNumberFormat="1" applyFont="1" applyFill="1" applyBorder="1" applyAlignment="1">
      <alignment horizontal="center" vertical="center" wrapText="1"/>
    </xf>
    <xf numFmtId="169" fontId="2" fillId="0" borderId="0" xfId="0" applyNumberFormat="1" applyFont="1" applyFill="1" applyBorder="1" applyAlignment="1">
      <alignment horizontal="center" vertical="top" wrapText="1"/>
    </xf>
    <xf numFmtId="0" fontId="2" fillId="27" borderId="9" xfId="0" applyFont="1" applyFill="1" applyBorder="1" applyAlignment="1">
      <alignment vertical="center"/>
    </xf>
    <xf numFmtId="0" fontId="2" fillId="0" borderId="0" xfId="0" applyFont="1" applyBorder="1" applyAlignment="1">
      <alignment horizontal="center" vertical="center"/>
    </xf>
    <xf numFmtId="169" fontId="2" fillId="0" borderId="0" xfId="0" applyNumberFormat="1" applyFont="1" applyBorder="1" applyAlignment="1">
      <alignment horizontal="center" vertical="center"/>
    </xf>
    <xf numFmtId="2" fontId="49" fillId="0" borderId="0" xfId="0" applyNumberFormat="1" applyFont="1" applyBorder="1" applyAlignment="1">
      <alignment horizontal="center" vertical="center"/>
    </xf>
    <xf numFmtId="173" fontId="49" fillId="0" borderId="2" xfId="0" applyNumberFormat="1" applyFont="1" applyBorder="1" applyAlignment="1">
      <alignment horizontal="center" vertical="center"/>
    </xf>
    <xf numFmtId="2" fontId="49" fillId="0" borderId="2" xfId="0" applyNumberFormat="1" applyFont="1" applyBorder="1" applyAlignment="1">
      <alignment horizontal="center" vertical="center"/>
    </xf>
    <xf numFmtId="2" fontId="49" fillId="0" borderId="36" xfId="0" applyNumberFormat="1" applyFont="1" applyBorder="1" applyAlignment="1">
      <alignment horizontal="center" vertical="center"/>
    </xf>
    <xf numFmtId="170" fontId="1" fillId="0" borderId="5" xfId="41" applyNumberFormat="1" applyFont="1" applyFill="1" applyBorder="1" applyAlignment="1">
      <alignment vertical="top"/>
    </xf>
    <xf numFmtId="170" fontId="1" fillId="2" borderId="5" xfId="41" applyNumberFormat="1" applyFont="1" applyFill="1" applyBorder="1" applyAlignment="1">
      <alignment vertical="top"/>
    </xf>
    <xf numFmtId="0" fontId="2" fillId="2" borderId="3" xfId="0" applyFont="1" applyFill="1" applyBorder="1" applyAlignment="1">
      <alignment horizontal="left" vertical="top" wrapText="1"/>
    </xf>
    <xf numFmtId="169" fontId="2" fillId="2" borderId="79" xfId="0" applyNumberFormat="1" applyFont="1" applyFill="1" applyBorder="1" applyAlignment="1">
      <alignment horizontal="center" vertical="top" wrapText="1"/>
    </xf>
    <xf numFmtId="170" fontId="2" fillId="2" borderId="71" xfId="41" applyNumberFormat="1" applyFont="1" applyFill="1" applyBorder="1" applyAlignment="1">
      <alignment horizontal="right" vertical="top"/>
    </xf>
    <xf numFmtId="170" fontId="2" fillId="2" borderId="24" xfId="41" applyNumberFormat="1" applyFont="1" applyFill="1" applyBorder="1" applyAlignment="1">
      <alignment horizontal="center" vertical="top"/>
    </xf>
    <xf numFmtId="170" fontId="2" fillId="2" borderId="23" xfId="41" applyNumberFormat="1" applyFont="1" applyFill="1" applyBorder="1" applyAlignment="1">
      <alignment horizontal="center" vertical="top"/>
    </xf>
    <xf numFmtId="170" fontId="2" fillId="2" borderId="74" xfId="41" applyNumberFormat="1" applyFont="1" applyFill="1" applyBorder="1" applyAlignment="1">
      <alignment horizontal="center" vertical="top"/>
    </xf>
    <xf numFmtId="0" fontId="2" fillId="0" borderId="5" xfId="0" applyFont="1" applyFill="1" applyBorder="1" applyAlignment="1">
      <alignment horizontal="left" vertical="top" wrapText="1"/>
    </xf>
    <xf numFmtId="170" fontId="2" fillId="0" borderId="5" xfId="41" applyNumberFormat="1" applyFont="1" applyFill="1" applyBorder="1" applyAlignment="1">
      <alignment horizontal="justify" vertical="top"/>
    </xf>
    <xf numFmtId="170" fontId="2" fillId="0" borderId="3" xfId="41" applyNumberFormat="1" applyFont="1" applyFill="1" applyBorder="1" applyAlignment="1">
      <alignment horizontal="justify" vertical="top"/>
    </xf>
    <xf numFmtId="170" fontId="2" fillId="0" borderId="4" xfId="41" applyNumberFormat="1" applyFont="1" applyFill="1" applyBorder="1" applyAlignment="1">
      <alignment horizontal="left" vertical="top"/>
    </xf>
    <xf numFmtId="169" fontId="2" fillId="0" borderId="1" xfId="41" applyNumberFormat="1" applyFont="1" applyFill="1" applyBorder="1" applyAlignment="1">
      <alignment horizontal="center" vertical="top"/>
    </xf>
    <xf numFmtId="170" fontId="2" fillId="0" borderId="0" xfId="41" applyNumberFormat="1" applyFont="1" applyFill="1" applyBorder="1" applyAlignment="1">
      <alignment horizontal="center" vertical="top"/>
    </xf>
    <xf numFmtId="170" fontId="2" fillId="0" borderId="1" xfId="41" applyNumberFormat="1" applyFont="1" applyFill="1" applyBorder="1" applyAlignment="1">
      <alignment horizontal="center" vertical="top"/>
    </xf>
    <xf numFmtId="170" fontId="2" fillId="0" borderId="2" xfId="41" applyNumberFormat="1" applyFont="1" applyBorder="1" applyAlignment="1">
      <alignment horizontal="justify" vertical="top"/>
    </xf>
    <xf numFmtId="0" fontId="2" fillId="0" borderId="1" xfId="0" applyFont="1" applyBorder="1" applyAlignment="1">
      <alignment horizontal="center" vertical="top"/>
    </xf>
    <xf numFmtId="170" fontId="2" fillId="0" borderId="62" xfId="41" applyNumberFormat="1" applyFont="1" applyFill="1" applyBorder="1" applyAlignment="1">
      <alignment vertical="top"/>
    </xf>
    <xf numFmtId="170" fontId="2" fillId="4" borderId="62" xfId="41" applyNumberFormat="1" applyFont="1" applyFill="1" applyBorder="1" applyAlignment="1">
      <alignment horizontal="justify" vertical="top"/>
    </xf>
    <xf numFmtId="170" fontId="2" fillId="0" borderId="20" xfId="41" applyNumberFormat="1" applyFont="1" applyFill="1" applyBorder="1" applyAlignment="1">
      <alignment horizontal="justify" vertical="top"/>
    </xf>
    <xf numFmtId="170" fontId="2" fillId="0" borderId="0" xfId="41" applyNumberFormat="1" applyFont="1" applyBorder="1" applyAlignment="1">
      <alignment horizontal="center" vertical="top"/>
    </xf>
    <xf numFmtId="169" fontId="2" fillId="4" borderId="1" xfId="41" applyNumberFormat="1" applyFont="1" applyFill="1" applyBorder="1" applyAlignment="1">
      <alignment horizontal="center" vertical="top"/>
    </xf>
    <xf numFmtId="170" fontId="2" fillId="4" borderId="2" xfId="41" applyNumberFormat="1" applyFont="1" applyFill="1" applyBorder="1" applyAlignment="1">
      <alignment horizontal="justify" vertical="top"/>
    </xf>
    <xf numFmtId="169" fontId="2" fillId="0" borderId="1" xfId="41" applyNumberFormat="1" applyFont="1" applyBorder="1" applyAlignment="1">
      <alignment horizontal="center" vertical="top"/>
    </xf>
    <xf numFmtId="169" fontId="2" fillId="0" borderId="1" xfId="41" applyFont="1" applyBorder="1" applyAlignment="1">
      <alignment horizontal="center" vertical="top"/>
    </xf>
    <xf numFmtId="169" fontId="2" fillId="5" borderId="1" xfId="41" applyNumberFormat="1" applyFont="1" applyFill="1" applyBorder="1" applyAlignment="1">
      <alignment horizontal="center" vertical="top"/>
    </xf>
    <xf numFmtId="170" fontId="2" fillId="0" borderId="21" xfId="41" applyNumberFormat="1" applyFont="1" applyFill="1" applyBorder="1" applyAlignment="1">
      <alignment horizontal="justify" vertical="top"/>
    </xf>
    <xf numFmtId="170" fontId="2" fillId="2" borderId="2" xfId="41" applyNumberFormat="1" applyFont="1" applyFill="1" applyBorder="1" applyAlignment="1">
      <alignment horizontal="justify" vertical="top"/>
    </xf>
    <xf numFmtId="170" fontId="2" fillId="2" borderId="0" xfId="41" applyNumberFormat="1" applyFont="1" applyFill="1" applyBorder="1" applyAlignment="1">
      <alignment horizontal="center" vertical="top"/>
    </xf>
    <xf numFmtId="169" fontId="2" fillId="2" borderId="1" xfId="41" applyNumberFormat="1" applyFont="1" applyFill="1" applyBorder="1" applyAlignment="1">
      <alignment horizontal="center" vertical="top"/>
    </xf>
    <xf numFmtId="170" fontId="2" fillId="2" borderId="1" xfId="41" applyNumberFormat="1" applyFont="1" applyFill="1" applyBorder="1" applyAlignment="1">
      <alignment horizontal="center" vertical="top"/>
    </xf>
    <xf numFmtId="170" fontId="2" fillId="0" borderId="1" xfId="41" applyNumberFormat="1" applyFont="1" applyBorder="1" applyAlignment="1">
      <alignment horizontal="center" vertical="top"/>
    </xf>
    <xf numFmtId="170" fontId="57" fillId="0" borderId="2" xfId="41" applyNumberFormat="1" applyFont="1" applyFill="1" applyBorder="1" applyAlignment="1">
      <alignment horizontal="justify" vertical="top"/>
    </xf>
    <xf numFmtId="0" fontId="2" fillId="0" borderId="1" xfId="0" applyFont="1" applyBorder="1">
      <alignment vertical="top"/>
    </xf>
    <xf numFmtId="1" fontId="2" fillId="0" borderId="0" xfId="0" applyNumberFormat="1" applyFont="1" applyBorder="1" applyAlignment="1">
      <alignment horizontal="center" vertical="top"/>
    </xf>
    <xf numFmtId="0" fontId="2" fillId="0" borderId="21" xfId="0" applyFont="1" applyFill="1" applyBorder="1" applyAlignment="1">
      <alignment vertical="center" wrapText="1"/>
    </xf>
    <xf numFmtId="0" fontId="2" fillId="0" borderId="21" xfId="0" applyFont="1" applyBorder="1">
      <alignment vertical="top"/>
    </xf>
    <xf numFmtId="0" fontId="2" fillId="0" borderId="48" xfId="0" applyFont="1" applyBorder="1">
      <alignment vertical="top"/>
    </xf>
    <xf numFmtId="1" fontId="2" fillId="0" borderId="9" xfId="0" applyNumberFormat="1" applyFont="1" applyBorder="1" applyAlignment="1">
      <alignment horizontal="center" vertical="top"/>
    </xf>
    <xf numFmtId="0" fontId="2" fillId="0" borderId="48" xfId="0" applyFont="1" applyBorder="1" applyAlignment="1">
      <alignment horizontal="center" vertical="top"/>
    </xf>
    <xf numFmtId="170" fontId="1" fillId="0" borderId="2" xfId="41" applyNumberFormat="1" applyFont="1" applyFill="1" applyBorder="1" applyAlignment="1">
      <alignment vertical="center"/>
    </xf>
    <xf numFmtId="173" fontId="2" fillId="0" borderId="19" xfId="41" applyNumberFormat="1" applyFont="1" applyFill="1" applyBorder="1" applyAlignment="1">
      <alignment vertical="center"/>
    </xf>
    <xf numFmtId="170" fontId="2" fillId="0" borderId="19" xfId="41" applyNumberFormat="1" applyFont="1" applyFill="1" applyBorder="1" applyAlignment="1">
      <alignment horizontal="justify" vertical="top"/>
    </xf>
    <xf numFmtId="170" fontId="2" fillId="0" borderId="29" xfId="41" applyNumberFormat="1" applyFont="1" applyFill="1" applyBorder="1" applyAlignment="1">
      <alignment horizontal="left" vertical="top"/>
    </xf>
    <xf numFmtId="169" fontId="2" fillId="0" borderId="29" xfId="41" applyNumberFormat="1" applyFont="1" applyFill="1" applyBorder="1" applyAlignment="1">
      <alignment horizontal="center" vertical="top"/>
    </xf>
    <xf numFmtId="0" fontId="2" fillId="0" borderId="2" xfId="0" applyFont="1" applyFill="1" applyBorder="1" applyAlignment="1">
      <alignment vertical="center"/>
    </xf>
    <xf numFmtId="0" fontId="2" fillId="2" borderId="2" xfId="0" applyFont="1" applyFill="1" applyBorder="1" applyAlignment="1">
      <alignment horizontal="left" vertical="top"/>
    </xf>
    <xf numFmtId="0" fontId="2" fillId="2" borderId="0" xfId="0" applyFont="1" applyFill="1" applyBorder="1" applyAlignment="1">
      <alignment vertical="top"/>
    </xf>
    <xf numFmtId="0" fontId="2" fillId="2" borderId="1" xfId="0" applyFont="1" applyFill="1" applyBorder="1" applyAlignment="1">
      <alignment horizontal="left" vertical="top"/>
    </xf>
    <xf numFmtId="0" fontId="2" fillId="0" borderId="2" xfId="0" applyFont="1" applyBorder="1" applyAlignment="1">
      <alignment vertical="top"/>
    </xf>
    <xf numFmtId="0" fontId="2" fillId="0" borderId="19" xfId="0" applyFont="1" applyFill="1" applyBorder="1" applyAlignment="1">
      <alignment vertical="center"/>
    </xf>
    <xf numFmtId="0" fontId="2" fillId="2" borderId="19" xfId="0" applyFont="1" applyFill="1" applyBorder="1" applyAlignment="1">
      <alignment horizontal="left" vertical="top"/>
    </xf>
    <xf numFmtId="0" fontId="2" fillId="2" borderId="6" xfId="0" applyFont="1" applyFill="1" applyBorder="1" applyAlignment="1">
      <alignment vertical="top"/>
    </xf>
    <xf numFmtId="0" fontId="2" fillId="2" borderId="29" xfId="0" applyFont="1" applyFill="1" applyBorder="1" applyAlignment="1">
      <alignment horizontal="left" vertical="top"/>
    </xf>
    <xf numFmtId="169" fontId="2" fillId="2" borderId="6" xfId="41" applyNumberFormat="1" applyFont="1" applyFill="1" applyBorder="1" applyAlignment="1">
      <alignment horizontal="center" vertical="top"/>
    </xf>
    <xf numFmtId="169" fontId="2" fillId="2" borderId="29" xfId="41" applyNumberFormat="1" applyFont="1" applyFill="1" applyBorder="1" applyAlignment="1">
      <alignment horizontal="center" vertical="top"/>
    </xf>
    <xf numFmtId="170" fontId="2" fillId="0" borderId="2" xfId="41" applyNumberFormat="1" applyFont="1" applyFill="1" applyBorder="1" applyAlignment="1">
      <alignment vertical="center"/>
    </xf>
    <xf numFmtId="169" fontId="2" fillId="8" borderId="1" xfId="41" applyFont="1" applyFill="1" applyBorder="1" applyAlignment="1">
      <alignment vertical="top"/>
    </xf>
    <xf numFmtId="0" fontId="2" fillId="8" borderId="0" xfId="0" applyFont="1" applyFill="1" applyBorder="1" applyAlignment="1">
      <alignment horizontal="center" vertical="top"/>
    </xf>
    <xf numFmtId="169" fontId="2" fillId="8" borderId="1" xfId="0" applyNumberFormat="1" applyFont="1" applyFill="1" applyBorder="1" applyAlignment="1">
      <alignment horizontal="center" vertical="top"/>
    </xf>
    <xf numFmtId="0" fontId="2" fillId="0" borderId="2" xfId="0" applyFont="1" applyBorder="1" applyAlignment="1">
      <alignment horizontal="left" vertical="top" wrapText="1"/>
    </xf>
    <xf numFmtId="0" fontId="2" fillId="0" borderId="0" xfId="0" applyFont="1" applyBorder="1" applyAlignment="1">
      <alignment horizontal="left" vertical="top" wrapText="1"/>
    </xf>
    <xf numFmtId="0" fontId="2" fillId="0" borderId="1" xfId="0" applyFont="1" applyBorder="1" applyAlignment="1">
      <alignment horizontal="left" vertical="top" wrapText="1"/>
    </xf>
    <xf numFmtId="169" fontId="2" fillId="0" borderId="0" xfId="0" applyNumberFormat="1" applyFont="1" applyBorder="1" applyAlignment="1">
      <alignment horizontal="center" vertical="top" wrapText="1"/>
    </xf>
    <xf numFmtId="169" fontId="2" fillId="0" borderId="1" xfId="0" applyNumberFormat="1" applyFont="1" applyBorder="1" applyAlignment="1">
      <alignment horizontal="center" vertical="top" wrapText="1"/>
    </xf>
    <xf numFmtId="169" fontId="2" fillId="7" borderId="0" xfId="0" applyNumberFormat="1" applyFont="1" applyFill="1" applyBorder="1" applyAlignment="1">
      <alignment horizontal="center" vertical="top" wrapText="1"/>
    </xf>
    <xf numFmtId="169" fontId="2" fillId="8" borderId="0" xfId="0" applyNumberFormat="1" applyFont="1" applyFill="1" applyBorder="1" applyAlignment="1">
      <alignment horizontal="center" vertical="top" wrapText="1"/>
    </xf>
    <xf numFmtId="169" fontId="2" fillId="2" borderId="2" xfId="41" applyFont="1" applyFill="1" applyBorder="1" applyAlignment="1">
      <alignment horizontal="justify" vertical="top"/>
    </xf>
    <xf numFmtId="169" fontId="2" fillId="2" borderId="0" xfId="41" applyFont="1" applyFill="1" applyBorder="1" applyAlignment="1">
      <alignment horizontal="justify" vertical="top"/>
    </xf>
    <xf numFmtId="170" fontId="2" fillId="2" borderId="1" xfId="41" applyNumberFormat="1" applyFont="1" applyFill="1" applyBorder="1" applyAlignment="1">
      <alignment horizontal="left" vertical="top"/>
    </xf>
    <xf numFmtId="169" fontId="2" fillId="8" borderId="0" xfId="41" applyNumberFormat="1" applyFont="1" applyFill="1" applyBorder="1" applyAlignment="1">
      <alignment horizontal="center" vertical="top"/>
    </xf>
    <xf numFmtId="0" fontId="2" fillId="0" borderId="21" xfId="0" applyFont="1" applyFill="1" applyBorder="1" applyAlignment="1">
      <alignment vertical="center"/>
    </xf>
    <xf numFmtId="0" fontId="2" fillId="0" borderId="21" xfId="0" applyFont="1" applyBorder="1" applyAlignment="1">
      <alignment vertical="top"/>
    </xf>
    <xf numFmtId="0" fontId="2" fillId="0" borderId="9" xfId="0" applyFont="1" applyBorder="1" applyAlignment="1">
      <alignment vertical="top"/>
    </xf>
    <xf numFmtId="0" fontId="2" fillId="0" borderId="48" xfId="0" applyFont="1" applyBorder="1" applyAlignment="1">
      <alignment horizontal="left" vertical="top"/>
    </xf>
    <xf numFmtId="0" fontId="2" fillId="0" borderId="9" xfId="0" applyFont="1" applyFill="1" applyBorder="1" applyAlignment="1">
      <alignment horizontal="center" vertical="top"/>
    </xf>
    <xf numFmtId="0" fontId="2" fillId="0" borderId="48" xfId="0" applyFont="1" applyFill="1" applyBorder="1" applyAlignment="1">
      <alignment horizontal="center" vertical="top"/>
    </xf>
    <xf numFmtId="0" fontId="2" fillId="0" borderId="21" xfId="0" applyFont="1" applyFill="1" applyBorder="1" applyAlignment="1">
      <alignment vertical="top"/>
    </xf>
    <xf numFmtId="0" fontId="2" fillId="0" borderId="19" xfId="0" applyFont="1" applyBorder="1" applyAlignment="1">
      <alignment vertical="top"/>
    </xf>
    <xf numFmtId="0" fontId="2" fillId="0" borderId="6" xfId="0" applyFont="1" applyBorder="1" applyAlignment="1">
      <alignment vertical="top"/>
    </xf>
    <xf numFmtId="0" fontId="2" fillId="0" borderId="29" xfId="0" applyFont="1" applyBorder="1" applyAlignment="1">
      <alignment horizontal="left" vertical="top"/>
    </xf>
    <xf numFmtId="0" fontId="2" fillId="0" borderId="6" xfId="0" applyFont="1" applyBorder="1" applyAlignment="1">
      <alignment horizontal="center" vertical="top"/>
    </xf>
    <xf numFmtId="0" fontId="2" fillId="0" borderId="6" xfId="0" applyFont="1" applyFill="1" applyBorder="1" applyAlignment="1">
      <alignment horizontal="center" vertical="top"/>
    </xf>
    <xf numFmtId="170" fontId="2" fillId="0" borderId="29" xfId="41" applyNumberFormat="1" applyFont="1" applyFill="1" applyBorder="1" applyAlignment="1">
      <alignment horizontal="center" vertical="top"/>
    </xf>
    <xf numFmtId="170" fontId="1" fillId="0" borderId="13" xfId="41" applyNumberFormat="1" applyFont="1" applyFill="1" applyBorder="1" applyAlignment="1">
      <alignment vertical="top"/>
    </xf>
    <xf numFmtId="170" fontId="2" fillId="0" borderId="13" xfId="41" applyNumberFormat="1" applyFont="1" applyFill="1" applyBorder="1" applyAlignment="1">
      <alignment vertical="top"/>
    </xf>
    <xf numFmtId="170" fontId="2" fillId="0" borderId="4" xfId="41" applyNumberFormat="1" applyFont="1" applyFill="1" applyBorder="1" applyAlignment="1">
      <alignment vertical="top"/>
    </xf>
    <xf numFmtId="170" fontId="25" fillId="3" borderId="3" xfId="41" applyNumberFormat="1" applyFont="1" applyFill="1" applyBorder="1" applyAlignment="1">
      <alignment horizontal="center" vertical="top"/>
    </xf>
    <xf numFmtId="170" fontId="25" fillId="3" borderId="5" xfId="41" applyNumberFormat="1" applyFont="1" applyFill="1" applyBorder="1" applyAlignment="1">
      <alignment horizontal="center" vertical="top"/>
    </xf>
    <xf numFmtId="170" fontId="25" fillId="3" borderId="4" xfId="41" applyNumberFormat="1" applyFont="1" applyFill="1" applyBorder="1" applyAlignment="1">
      <alignment horizontal="center" vertical="top"/>
    </xf>
    <xf numFmtId="170" fontId="25" fillId="3" borderId="35" xfId="41" applyNumberFormat="1" applyFont="1" applyFill="1" applyBorder="1" applyAlignment="1">
      <alignment horizontal="center" vertical="top"/>
    </xf>
    <xf numFmtId="170" fontId="25" fillId="0" borderId="0" xfId="41" applyNumberFormat="1" applyFont="1" applyFill="1" applyBorder="1" applyAlignment="1">
      <alignment horizontal="center" vertical="top"/>
    </xf>
    <xf numFmtId="170" fontId="2" fillId="0" borderId="1" xfId="41" applyNumberFormat="1" applyFont="1" applyFill="1" applyBorder="1" applyAlignment="1">
      <alignment vertical="top"/>
    </xf>
    <xf numFmtId="170" fontId="25" fillId="3" borderId="0" xfId="41" applyNumberFormat="1" applyFont="1" applyFill="1" applyBorder="1" applyAlignment="1">
      <alignment horizontal="center" vertical="top"/>
    </xf>
    <xf numFmtId="170" fontId="25" fillId="3" borderId="2" xfId="41" applyNumberFormat="1" applyFont="1" applyFill="1" applyBorder="1" applyAlignment="1">
      <alignment horizontal="center" vertical="top"/>
    </xf>
    <xf numFmtId="170" fontId="25" fillId="3" borderId="1" xfId="41" applyNumberFormat="1" applyFont="1" applyFill="1" applyBorder="1" applyAlignment="1">
      <alignment horizontal="center" vertical="top"/>
    </xf>
    <xf numFmtId="170" fontId="25" fillId="3" borderId="36" xfId="41" applyNumberFormat="1" applyFont="1" applyFill="1" applyBorder="1" applyAlignment="1">
      <alignment horizontal="center" vertical="top"/>
    </xf>
    <xf numFmtId="169" fontId="2" fillId="0" borderId="0" xfId="41" applyFont="1" applyBorder="1" applyAlignment="1">
      <alignment horizontal="center" vertical="top"/>
    </xf>
    <xf numFmtId="169" fontId="2" fillId="0" borderId="2" xfId="41" applyFont="1" applyBorder="1" applyAlignment="1">
      <alignment horizontal="center" vertical="top"/>
    </xf>
    <xf numFmtId="169" fontId="2" fillId="0" borderId="36" xfId="41" applyFont="1" applyBorder="1" applyAlignment="1">
      <alignment horizontal="center" vertical="top"/>
    </xf>
    <xf numFmtId="169" fontId="25" fillId="0" borderId="1" xfId="41" applyFont="1" applyBorder="1" applyAlignment="1">
      <alignment horizontal="center" vertical="top"/>
    </xf>
    <xf numFmtId="169" fontId="2" fillId="2" borderId="22" xfId="41" applyFont="1" applyFill="1" applyBorder="1" applyAlignment="1">
      <alignment vertical="center"/>
    </xf>
    <xf numFmtId="170" fontId="2" fillId="2" borderId="7" xfId="41" applyNumberFormat="1" applyFont="1" applyFill="1" applyBorder="1" applyAlignment="1">
      <alignment vertical="center"/>
    </xf>
    <xf numFmtId="170" fontId="2" fillId="2" borderId="22" xfId="41" applyNumberFormat="1" applyFont="1" applyFill="1" applyBorder="1" applyAlignment="1">
      <alignment vertical="center"/>
    </xf>
    <xf numFmtId="170" fontId="1" fillId="2" borderId="8" xfId="41" applyNumberFormat="1" applyFont="1" applyFill="1" applyBorder="1" applyAlignment="1">
      <alignment vertical="center"/>
    </xf>
    <xf numFmtId="170" fontId="1" fillId="2" borderId="7" xfId="41" applyNumberFormat="1" applyFont="1" applyFill="1" applyBorder="1" applyAlignment="1">
      <alignment horizontal="justify" vertical="center"/>
    </xf>
    <xf numFmtId="170" fontId="1" fillId="2" borderId="8" xfId="41" applyNumberFormat="1" applyFont="1" applyFill="1" applyBorder="1" applyAlignment="1">
      <alignment horizontal="justify" vertical="center"/>
    </xf>
    <xf numFmtId="169" fontId="2" fillId="0" borderId="7" xfId="41" applyFont="1" applyFill="1" applyBorder="1" applyAlignment="1">
      <alignment horizontal="center" vertical="center"/>
    </xf>
    <xf numFmtId="169" fontId="2" fillId="0" borderId="7" xfId="41" applyFont="1" applyFill="1" applyBorder="1" applyAlignment="1">
      <alignment vertical="center"/>
    </xf>
    <xf numFmtId="169" fontId="30" fillId="0" borderId="2" xfId="41" applyFont="1" applyFill="1" applyBorder="1" applyAlignment="1">
      <alignment vertical="center"/>
    </xf>
    <xf numFmtId="170" fontId="1" fillId="0" borderId="1" xfId="41" applyNumberFormat="1" applyFont="1" applyFill="1" applyBorder="1" applyAlignment="1">
      <alignment vertical="center"/>
    </xf>
    <xf numFmtId="170" fontId="2" fillId="0" borderId="0" xfId="41" applyNumberFormat="1" applyFont="1" applyBorder="1" applyAlignment="1">
      <alignment horizontal="justify" vertical="center"/>
    </xf>
    <xf numFmtId="170" fontId="2" fillId="0" borderId="1" xfId="41" applyNumberFormat="1" applyFont="1" applyBorder="1" applyAlignment="1">
      <alignment horizontal="justify" vertical="center"/>
    </xf>
    <xf numFmtId="0" fontId="2" fillId="0" borderId="0" xfId="41" applyNumberFormat="1" applyFont="1" applyBorder="1" applyAlignment="1">
      <alignment horizontal="center" vertical="center"/>
    </xf>
    <xf numFmtId="0" fontId="2" fillId="0" borderId="2" xfId="41" applyNumberFormat="1" applyFont="1" applyBorder="1" applyAlignment="1">
      <alignment horizontal="center" vertical="center"/>
    </xf>
    <xf numFmtId="0" fontId="2" fillId="0" borderId="1" xfId="41" applyNumberFormat="1" applyFont="1" applyBorder="1" applyAlignment="1">
      <alignment horizontal="center" vertical="center"/>
    </xf>
    <xf numFmtId="0" fontId="2" fillId="0" borderId="1" xfId="41" applyNumberFormat="1" applyFont="1" applyFill="1" applyBorder="1" applyAlignment="1">
      <alignment horizontal="center" vertical="center"/>
    </xf>
    <xf numFmtId="0" fontId="2" fillId="0" borderId="0" xfId="41" applyNumberFormat="1" applyFont="1" applyFill="1" applyBorder="1" applyAlignment="1">
      <alignment horizontal="center" vertical="center"/>
    </xf>
    <xf numFmtId="0" fontId="2" fillId="0" borderId="0" xfId="0" applyFont="1" applyAlignment="1">
      <alignment horizontal="center" vertical="center"/>
    </xf>
    <xf numFmtId="0" fontId="2" fillId="0" borderId="36" xfId="41" applyNumberFormat="1" applyFont="1" applyFill="1" applyBorder="1" applyAlignment="1">
      <alignment horizontal="center" vertical="center"/>
    </xf>
    <xf numFmtId="169" fontId="30" fillId="0" borderId="0" xfId="41" applyFont="1" applyFill="1" applyBorder="1" applyAlignment="1">
      <alignment horizontal="center" vertical="center"/>
    </xf>
    <xf numFmtId="169" fontId="30" fillId="0" borderId="0" xfId="41" applyFont="1" applyFill="1" applyBorder="1" applyAlignment="1">
      <alignment vertical="center"/>
    </xf>
    <xf numFmtId="173" fontId="2" fillId="0" borderId="0" xfId="41" applyNumberFormat="1" applyFont="1" applyBorder="1" applyAlignment="1">
      <alignment horizontal="center" vertical="center"/>
    </xf>
    <xf numFmtId="173" fontId="2" fillId="0" borderId="2" xfId="41" applyNumberFormat="1" applyFont="1" applyBorder="1" applyAlignment="1">
      <alignment horizontal="center" vertical="center"/>
    </xf>
    <xf numFmtId="173" fontId="2" fillId="0" borderId="1" xfId="0" applyNumberFormat="1" applyFont="1" applyBorder="1" applyAlignment="1">
      <alignment horizontal="center" vertical="center"/>
    </xf>
    <xf numFmtId="173" fontId="2" fillId="0" borderId="1" xfId="41" applyNumberFormat="1" applyFont="1" applyFill="1" applyBorder="1" applyAlignment="1">
      <alignment horizontal="center" vertical="center"/>
    </xf>
    <xf numFmtId="173" fontId="2" fillId="0" borderId="0" xfId="41" applyNumberFormat="1" applyFont="1" applyFill="1" applyBorder="1" applyAlignment="1">
      <alignment horizontal="center" vertical="center"/>
    </xf>
    <xf numFmtId="173" fontId="2" fillId="0" borderId="2" xfId="41" applyNumberFormat="1" applyFont="1" applyFill="1" applyBorder="1" applyAlignment="1">
      <alignment horizontal="center" vertical="center"/>
    </xf>
    <xf numFmtId="173" fontId="2" fillId="0" borderId="1" xfId="41" applyNumberFormat="1" applyFont="1" applyBorder="1" applyAlignment="1">
      <alignment horizontal="center" vertical="center"/>
    </xf>
    <xf numFmtId="173" fontId="2" fillId="0" borderId="36" xfId="41" applyNumberFormat="1" applyFont="1" applyFill="1" applyBorder="1" applyAlignment="1">
      <alignment horizontal="center" vertical="center"/>
    </xf>
    <xf numFmtId="170" fontId="1" fillId="27" borderId="51" xfId="41" applyNumberFormat="1" applyFont="1" applyFill="1" applyBorder="1" applyAlignment="1">
      <alignment vertical="center"/>
    </xf>
    <xf numFmtId="170" fontId="2" fillId="27" borderId="52" xfId="41" applyNumberFormat="1" applyFont="1" applyFill="1" applyBorder="1" applyAlignment="1">
      <alignment vertical="center"/>
    </xf>
    <xf numFmtId="169" fontId="2" fillId="27" borderId="51" xfId="41" applyFont="1" applyFill="1" applyBorder="1" applyAlignment="1">
      <alignment vertical="center"/>
    </xf>
    <xf numFmtId="169" fontId="2" fillId="27" borderId="33" xfId="41" applyFont="1" applyFill="1" applyBorder="1" applyAlignment="1">
      <alignment vertical="center"/>
    </xf>
    <xf numFmtId="170" fontId="1" fillId="27" borderId="52" xfId="41" applyNumberFormat="1" applyFont="1" applyFill="1" applyBorder="1" applyAlignment="1">
      <alignment horizontal="justify" vertical="center"/>
    </xf>
    <xf numFmtId="170" fontId="2" fillId="27" borderId="52" xfId="41" applyNumberFormat="1" applyFont="1" applyFill="1" applyBorder="1" applyAlignment="1">
      <alignment horizontal="justify" vertical="center"/>
    </xf>
    <xf numFmtId="170" fontId="2" fillId="27" borderId="33" xfId="41" applyNumberFormat="1" applyFont="1" applyFill="1" applyBorder="1" applyAlignment="1">
      <alignment horizontal="justify" vertical="center"/>
    </xf>
    <xf numFmtId="169" fontId="2" fillId="27" borderId="52" xfId="41" applyNumberFormat="1" applyFont="1" applyFill="1" applyBorder="1" applyAlignment="1">
      <alignment horizontal="center" vertical="center"/>
    </xf>
    <xf numFmtId="169" fontId="2" fillId="27" borderId="51" xfId="41" applyNumberFormat="1" applyFont="1" applyFill="1" applyBorder="1" applyAlignment="1">
      <alignment horizontal="center" vertical="center"/>
    </xf>
    <xf numFmtId="169" fontId="2" fillId="27" borderId="33" xfId="41" applyNumberFormat="1" applyFont="1" applyFill="1" applyBorder="1" applyAlignment="1">
      <alignment horizontal="center" vertical="center"/>
    </xf>
    <xf numFmtId="169" fontId="2" fillId="27" borderId="110" xfId="41" applyNumberFormat="1" applyFont="1" applyFill="1" applyBorder="1" applyAlignment="1">
      <alignment horizontal="center" vertical="center"/>
    </xf>
    <xf numFmtId="169" fontId="25" fillId="27" borderId="33" xfId="41" applyNumberFormat="1" applyFont="1" applyFill="1" applyBorder="1" applyAlignment="1">
      <alignment horizontal="center" vertical="center"/>
    </xf>
    <xf numFmtId="169" fontId="2" fillId="27" borderId="52" xfId="41" applyFont="1" applyFill="1" applyBorder="1" applyAlignment="1">
      <alignment horizontal="center" vertical="center"/>
    </xf>
    <xf numFmtId="169" fontId="2" fillId="27" borderId="52" xfId="41" applyFont="1" applyFill="1" applyBorder="1" applyAlignment="1">
      <alignment vertical="center"/>
    </xf>
    <xf numFmtId="170" fontId="1" fillId="6" borderId="2" xfId="41" applyNumberFormat="1" applyFont="1" applyFill="1" applyBorder="1" applyAlignment="1">
      <alignment vertical="center"/>
    </xf>
    <xf numFmtId="170" fontId="2" fillId="0" borderId="0" xfId="41" applyNumberFormat="1" applyFont="1" applyFill="1" applyBorder="1" applyAlignment="1">
      <alignment vertical="center"/>
    </xf>
    <xf numFmtId="169" fontId="2" fillId="0" borderId="2" xfId="41" applyFont="1" applyFill="1" applyBorder="1" applyAlignment="1">
      <alignment vertical="center"/>
    </xf>
    <xf numFmtId="169" fontId="2" fillId="0" borderId="1" xfId="41" applyFont="1" applyFill="1" applyBorder="1" applyAlignment="1">
      <alignment vertical="center"/>
    </xf>
    <xf numFmtId="170" fontId="2" fillId="0" borderId="0" xfId="41" applyNumberFormat="1" applyFont="1" applyFill="1" applyBorder="1" applyAlignment="1">
      <alignment horizontal="justify" vertical="center"/>
    </xf>
    <xf numFmtId="170" fontId="2" fillId="0" borderId="1" xfId="41" applyNumberFormat="1" applyFont="1" applyFill="1" applyBorder="1" applyAlignment="1">
      <alignment horizontal="justify" vertical="center"/>
    </xf>
    <xf numFmtId="169" fontId="2" fillId="0" borderId="0" xfId="41" applyNumberFormat="1" applyFont="1" applyFill="1" applyBorder="1" applyAlignment="1">
      <alignment horizontal="center" vertical="center"/>
    </xf>
    <xf numFmtId="169" fontId="2" fillId="0" borderId="2" xfId="41" applyNumberFormat="1" applyFont="1" applyFill="1" applyBorder="1" applyAlignment="1">
      <alignment horizontal="center" vertical="center"/>
    </xf>
    <xf numFmtId="169" fontId="2" fillId="0" borderId="1" xfId="41" applyNumberFormat="1" applyFont="1" applyFill="1" applyBorder="1" applyAlignment="1">
      <alignment horizontal="center" vertical="center"/>
    </xf>
    <xf numFmtId="169" fontId="2" fillId="0" borderId="36" xfId="41" applyNumberFormat="1" applyFont="1" applyFill="1" applyBorder="1" applyAlignment="1">
      <alignment horizontal="center" vertical="center"/>
    </xf>
    <xf numFmtId="169" fontId="25" fillId="0" borderId="1" xfId="41" applyNumberFormat="1" applyFont="1" applyFill="1" applyBorder="1" applyAlignment="1">
      <alignment horizontal="center" vertical="center"/>
    </xf>
    <xf numFmtId="169" fontId="2" fillId="0" borderId="0" xfId="41" applyFont="1" applyFill="1" applyBorder="1" applyAlignment="1">
      <alignment horizontal="center" vertical="center"/>
    </xf>
    <xf numFmtId="169" fontId="2" fillId="0" borderId="0" xfId="41" applyFont="1" applyFill="1" applyBorder="1" applyAlignment="1">
      <alignment vertical="center"/>
    </xf>
    <xf numFmtId="0" fontId="1" fillId="0" borderId="2" xfId="0" applyFont="1" applyFill="1" applyBorder="1" applyAlignment="1">
      <alignment vertical="center"/>
    </xf>
    <xf numFmtId="174" fontId="1" fillId="0" borderId="1" xfId="0" applyNumberFormat="1" applyFont="1" applyFill="1" applyBorder="1" applyAlignment="1">
      <alignment horizontal="justify" vertical="center"/>
    </xf>
    <xf numFmtId="0" fontId="1" fillId="0" borderId="1" xfId="0" applyFont="1" applyFill="1" applyBorder="1" applyAlignment="1">
      <alignment horizontal="left" vertical="center"/>
    </xf>
    <xf numFmtId="170" fontId="1" fillId="0" borderId="0" xfId="41" applyNumberFormat="1" applyFont="1" applyFill="1" applyBorder="1" applyAlignment="1">
      <alignment horizontal="justify" vertical="center"/>
    </xf>
    <xf numFmtId="2" fontId="2" fillId="0" borderId="0" xfId="0" applyNumberFormat="1" applyFont="1" applyAlignment="1">
      <alignment horizontal="center" vertical="center"/>
    </xf>
    <xf numFmtId="1" fontId="2" fillId="0" borderId="1" xfId="0" applyNumberFormat="1" applyFont="1" applyBorder="1" applyAlignment="1">
      <alignment horizontal="center" vertical="center"/>
    </xf>
    <xf numFmtId="1" fontId="2" fillId="0" borderId="0" xfId="0" applyNumberFormat="1" applyFont="1" applyAlignment="1">
      <alignment horizontal="center" vertical="center"/>
    </xf>
    <xf numFmtId="1" fontId="2" fillId="0" borderId="2" xfId="0" applyNumberFormat="1" applyFont="1" applyBorder="1" applyAlignment="1">
      <alignment horizontal="center" vertical="center"/>
    </xf>
    <xf numFmtId="173" fontId="2" fillId="0" borderId="0" xfId="0" applyNumberFormat="1" applyFont="1" applyBorder="1" applyAlignment="1">
      <alignment horizontal="center" vertical="center"/>
    </xf>
    <xf numFmtId="173" fontId="2" fillId="0" borderId="2" xfId="0" applyNumberFormat="1" applyFont="1" applyBorder="1" applyAlignment="1">
      <alignment horizontal="center" vertical="center"/>
    </xf>
    <xf numFmtId="170" fontId="1" fillId="6" borderId="21" xfId="41" applyNumberFormat="1" applyFont="1" applyFill="1" applyBorder="1" applyAlignment="1">
      <alignment vertical="center"/>
    </xf>
    <xf numFmtId="170" fontId="2" fillId="6" borderId="9" xfId="41" applyNumberFormat="1" applyFont="1" applyFill="1" applyBorder="1" applyAlignment="1">
      <alignment vertical="center"/>
    </xf>
    <xf numFmtId="169" fontId="2" fillId="0" borderId="21" xfId="41" applyFont="1" applyFill="1" applyBorder="1" applyAlignment="1">
      <alignment vertical="center"/>
    </xf>
    <xf numFmtId="169" fontId="2" fillId="0" borderId="48" xfId="41" applyFont="1" applyFill="1" applyBorder="1" applyAlignment="1">
      <alignment vertical="center"/>
    </xf>
    <xf numFmtId="170" fontId="2" fillId="6" borderId="9" xfId="41" applyNumberFormat="1" applyFont="1" applyFill="1" applyBorder="1" applyAlignment="1">
      <alignment horizontal="justify" vertical="center"/>
    </xf>
    <xf numFmtId="170" fontId="2" fillId="6" borderId="48" xfId="41" applyNumberFormat="1" applyFont="1" applyFill="1" applyBorder="1" applyAlignment="1">
      <alignment horizontal="justify" vertical="center"/>
    </xf>
    <xf numFmtId="169" fontId="2" fillId="6" borderId="9" xfId="41" applyNumberFormat="1" applyFont="1" applyFill="1" applyBorder="1" applyAlignment="1">
      <alignment horizontal="center" vertical="center"/>
    </xf>
    <xf numFmtId="169" fontId="2" fillId="6" borderId="21" xfId="41" applyNumberFormat="1" applyFont="1" applyFill="1" applyBorder="1" applyAlignment="1">
      <alignment horizontal="center" vertical="center"/>
    </xf>
    <xf numFmtId="169" fontId="2" fillId="6" borderId="48" xfId="41" applyNumberFormat="1" applyFont="1" applyFill="1" applyBorder="1" applyAlignment="1">
      <alignment horizontal="center" vertical="center"/>
    </xf>
    <xf numFmtId="169" fontId="2" fillId="6" borderId="46" xfId="41" applyNumberFormat="1" applyFont="1" applyFill="1" applyBorder="1" applyAlignment="1">
      <alignment horizontal="center" vertical="center"/>
    </xf>
    <xf numFmtId="169" fontId="25" fillId="6" borderId="48" xfId="41" applyNumberFormat="1" applyFont="1" applyFill="1" applyBorder="1" applyAlignment="1">
      <alignment horizontal="center" vertical="center"/>
    </xf>
    <xf numFmtId="169" fontId="2" fillId="6" borderId="9" xfId="41" applyFont="1" applyFill="1" applyBorder="1" applyAlignment="1">
      <alignment horizontal="center" vertical="center"/>
    </xf>
    <xf numFmtId="169" fontId="2" fillId="6" borderId="9" xfId="41" applyFont="1" applyFill="1" applyBorder="1" applyAlignment="1">
      <alignment vertical="center"/>
    </xf>
    <xf numFmtId="0" fontId="58" fillId="0" borderId="2" xfId="0" applyFont="1" applyFill="1" applyBorder="1" applyAlignment="1">
      <alignment vertical="center"/>
    </xf>
    <xf numFmtId="174" fontId="58" fillId="0" borderId="1" xfId="0" applyNumberFormat="1" applyFont="1" applyFill="1" applyBorder="1" applyAlignment="1">
      <alignment horizontal="justify" vertical="center"/>
    </xf>
    <xf numFmtId="173" fontId="2" fillId="0" borderId="0" xfId="0" applyNumberFormat="1" applyFont="1" applyAlignment="1">
      <alignment horizontal="center" vertical="center"/>
    </xf>
    <xf numFmtId="0" fontId="1" fillId="0" borderId="21" xfId="0" applyFont="1" applyFill="1" applyBorder="1" applyAlignment="1">
      <alignment vertical="center"/>
    </xf>
    <xf numFmtId="0" fontId="1" fillId="0" borderId="48" xfId="0" applyFont="1" applyFill="1" applyBorder="1" applyAlignment="1">
      <alignment horizontal="left" vertical="center"/>
    </xf>
    <xf numFmtId="170" fontId="1" fillId="6" borderId="19" xfId="41" applyNumberFormat="1" applyFont="1" applyFill="1" applyBorder="1" applyAlignment="1">
      <alignment vertical="center"/>
    </xf>
    <xf numFmtId="170" fontId="2" fillId="6" borderId="6" xfId="41" applyNumberFormat="1" applyFont="1" applyFill="1" applyBorder="1" applyAlignment="1">
      <alignment vertical="center"/>
    </xf>
    <xf numFmtId="0" fontId="58" fillId="0" borderId="19" xfId="0" applyFont="1" applyFill="1" applyBorder="1" applyAlignment="1">
      <alignment vertical="center"/>
    </xf>
    <xf numFmtId="0" fontId="58" fillId="0" borderId="29" xfId="0" applyFont="1" applyFill="1" applyBorder="1" applyAlignment="1">
      <alignment horizontal="left" vertical="center"/>
    </xf>
    <xf numFmtId="170" fontId="2" fillId="6" borderId="6" xfId="41" applyNumberFormat="1" applyFont="1" applyFill="1" applyBorder="1" applyAlignment="1">
      <alignment horizontal="justify" vertical="center"/>
    </xf>
    <xf numFmtId="170" fontId="2" fillId="6" borderId="29" xfId="41" applyNumberFormat="1" applyFont="1" applyFill="1" applyBorder="1" applyAlignment="1">
      <alignment horizontal="justify" vertical="center"/>
    </xf>
    <xf numFmtId="169" fontId="2" fillId="6" borderId="6" xfId="41" applyNumberFormat="1" applyFont="1" applyFill="1" applyBorder="1" applyAlignment="1">
      <alignment horizontal="center" vertical="center"/>
    </xf>
    <xf numFmtId="169" fontId="2" fillId="6" borderId="19" xfId="41" applyNumberFormat="1" applyFont="1" applyFill="1" applyBorder="1" applyAlignment="1">
      <alignment horizontal="center" vertical="center"/>
    </xf>
    <xf numFmtId="169" fontId="2" fillId="6" borderId="29" xfId="41" applyNumberFormat="1" applyFont="1" applyFill="1" applyBorder="1" applyAlignment="1">
      <alignment horizontal="center" vertical="center"/>
    </xf>
    <xf numFmtId="169" fontId="2" fillId="6" borderId="47" xfId="41" applyNumberFormat="1" applyFont="1" applyFill="1" applyBorder="1" applyAlignment="1">
      <alignment horizontal="center" vertical="center"/>
    </xf>
    <xf numFmtId="169" fontId="25" fillId="6" borderId="29" xfId="41" applyNumberFormat="1" applyFont="1" applyFill="1" applyBorder="1" applyAlignment="1">
      <alignment horizontal="center" vertical="center"/>
    </xf>
    <xf numFmtId="169" fontId="2" fillId="6" borderId="6" xfId="41" applyFont="1" applyFill="1" applyBorder="1" applyAlignment="1">
      <alignment horizontal="center" vertical="center"/>
    </xf>
    <xf numFmtId="169" fontId="2" fillId="6" borderId="6" xfId="41" applyFont="1" applyFill="1" applyBorder="1" applyAlignment="1">
      <alignment vertical="center"/>
    </xf>
    <xf numFmtId="169" fontId="2" fillId="27" borderId="9" xfId="41" applyFont="1" applyFill="1" applyBorder="1" applyAlignment="1">
      <alignment vertical="center"/>
    </xf>
    <xf numFmtId="170" fontId="2" fillId="27" borderId="9" xfId="41" applyNumberFormat="1" applyFont="1" applyFill="1" applyBorder="1" applyAlignment="1">
      <alignment vertical="center"/>
    </xf>
    <xf numFmtId="170" fontId="1" fillId="27" borderId="9" xfId="41" applyNumberFormat="1" applyFont="1" applyFill="1" applyBorder="1" applyAlignment="1">
      <alignment vertical="center"/>
    </xf>
    <xf numFmtId="170" fontId="2" fillId="27" borderId="48" xfId="41" applyNumberFormat="1" applyFont="1" applyFill="1" applyBorder="1" applyAlignment="1">
      <alignment horizontal="justify" vertical="center"/>
    </xf>
    <xf numFmtId="169" fontId="2" fillId="27" borderId="9" xfId="41" applyFont="1" applyFill="1" applyBorder="1" applyAlignment="1">
      <alignment horizontal="center" vertical="center"/>
    </xf>
    <xf numFmtId="0" fontId="1" fillId="0" borderId="1" xfId="0" applyFont="1" applyFill="1" applyBorder="1" applyAlignment="1">
      <alignment vertical="center"/>
    </xf>
    <xf numFmtId="169" fontId="1" fillId="0" borderId="0" xfId="41" applyNumberFormat="1" applyFont="1" applyFill="1" applyBorder="1" applyAlignment="1">
      <alignment vertical="center"/>
    </xf>
    <xf numFmtId="169" fontId="2" fillId="0" borderId="1" xfId="41" applyNumberFormat="1" applyFont="1" applyFill="1" applyBorder="1" applyAlignment="1">
      <alignment horizontal="justify" vertical="center"/>
    </xf>
    <xf numFmtId="170" fontId="1" fillId="0" borderId="0" xfId="41" applyNumberFormat="1" applyFont="1" applyFill="1" applyBorder="1" applyAlignment="1">
      <alignment vertical="center"/>
    </xf>
    <xf numFmtId="0" fontId="59" fillId="0" borderId="2" xfId="0" applyFont="1" applyFill="1" applyBorder="1" applyAlignment="1">
      <alignment vertical="center"/>
    </xf>
    <xf numFmtId="0" fontId="59" fillId="0" borderId="1" xfId="0" applyFont="1" applyFill="1" applyBorder="1" applyAlignment="1">
      <alignment horizontal="left" vertical="center"/>
    </xf>
    <xf numFmtId="2" fontId="2" fillId="0" borderId="2" xfId="0" applyNumberFormat="1" applyFont="1" applyBorder="1" applyAlignment="1">
      <alignment horizontal="center" vertical="center"/>
    </xf>
    <xf numFmtId="170" fontId="1" fillId="6" borderId="73" xfId="41" applyNumberFormat="1" applyFont="1" applyFill="1" applyBorder="1" applyAlignment="1">
      <alignment vertical="center"/>
    </xf>
    <xf numFmtId="170" fontId="2" fillId="6" borderId="23" xfId="41" applyNumberFormat="1" applyFont="1" applyFill="1" applyBorder="1" applyAlignment="1">
      <alignment vertical="center"/>
    </xf>
    <xf numFmtId="0" fontId="59" fillId="0" borderId="19" xfId="0" applyFont="1" applyFill="1" applyBorder="1" applyAlignment="1">
      <alignment vertical="center"/>
    </xf>
    <xf numFmtId="0" fontId="59" fillId="0" borderId="29" xfId="0" applyFont="1" applyFill="1" applyBorder="1" applyAlignment="1">
      <alignment horizontal="left" vertical="center"/>
    </xf>
    <xf numFmtId="170" fontId="2" fillId="6" borderId="23" xfId="41" applyNumberFormat="1" applyFont="1" applyFill="1" applyBorder="1" applyAlignment="1">
      <alignment horizontal="justify" vertical="center"/>
    </xf>
    <xf numFmtId="170" fontId="2" fillId="6" borderId="74" xfId="41" applyNumberFormat="1" applyFont="1" applyFill="1" applyBorder="1" applyAlignment="1">
      <alignment horizontal="justify" vertical="center"/>
    </xf>
    <xf numFmtId="169" fontId="2" fillId="6" borderId="23" xfId="41" applyNumberFormat="1" applyFont="1" applyFill="1" applyBorder="1" applyAlignment="1">
      <alignment horizontal="center" vertical="center"/>
    </xf>
    <xf numFmtId="169" fontId="2" fillId="6" borderId="73" xfId="41" applyNumberFormat="1" applyFont="1" applyFill="1" applyBorder="1" applyAlignment="1">
      <alignment horizontal="center" vertical="center"/>
    </xf>
    <xf numFmtId="169" fontId="2" fillId="6" borderId="74" xfId="41" applyNumberFormat="1" applyFont="1" applyFill="1" applyBorder="1" applyAlignment="1">
      <alignment horizontal="center" vertical="center"/>
    </xf>
    <xf numFmtId="169" fontId="2" fillId="6" borderId="111" xfId="41" applyNumberFormat="1" applyFont="1" applyFill="1" applyBorder="1" applyAlignment="1">
      <alignment horizontal="center" vertical="center"/>
    </xf>
    <xf numFmtId="169" fontId="25" fillId="6" borderId="74" xfId="41" applyNumberFormat="1" applyFont="1" applyFill="1" applyBorder="1" applyAlignment="1">
      <alignment horizontal="center" vertical="center"/>
    </xf>
    <xf numFmtId="169" fontId="2" fillId="6" borderId="23" xfId="41" applyFont="1" applyFill="1" applyBorder="1" applyAlignment="1">
      <alignment horizontal="center" vertical="center"/>
    </xf>
    <xf numFmtId="169" fontId="2" fillId="6" borderId="23" xfId="41" applyFont="1" applyFill="1" applyBorder="1" applyAlignment="1">
      <alignment vertical="center"/>
    </xf>
    <xf numFmtId="170" fontId="2" fillId="0" borderId="3" xfId="41" applyNumberFormat="1" applyFont="1" applyFill="1" applyBorder="1" applyAlignment="1">
      <alignment vertical="center"/>
    </xf>
    <xf numFmtId="169" fontId="1" fillId="0" borderId="1" xfId="41" applyFont="1" applyFill="1" applyBorder="1" applyAlignment="1">
      <alignment vertical="top"/>
    </xf>
    <xf numFmtId="170" fontId="1" fillId="0" borderId="3" xfId="41" applyNumberFormat="1" applyFont="1" applyFill="1" applyBorder="1" applyAlignment="1">
      <alignment vertical="center"/>
    </xf>
    <xf numFmtId="170" fontId="2" fillId="0" borderId="4" xfId="41" applyNumberFormat="1" applyFont="1" applyFill="1" applyBorder="1" applyAlignment="1">
      <alignment horizontal="justify" vertical="top"/>
    </xf>
    <xf numFmtId="169" fontId="2" fillId="0" borderId="3" xfId="41" applyFont="1" applyFill="1" applyBorder="1" applyAlignment="1">
      <alignment horizontal="center" vertical="center"/>
    </xf>
    <xf numFmtId="0" fontId="1" fillId="0" borderId="1" xfId="0" applyFont="1" applyFill="1" applyBorder="1">
      <alignment vertical="top"/>
    </xf>
    <xf numFmtId="170" fontId="2" fillId="7" borderId="0" xfId="41" applyNumberFormat="1" applyFont="1" applyFill="1" applyBorder="1" applyAlignment="1">
      <alignment horizontal="justify" vertical="center"/>
    </xf>
    <xf numFmtId="0" fontId="2" fillId="7" borderId="1" xfId="41" applyNumberFormat="1" applyFont="1" applyFill="1" applyBorder="1" applyAlignment="1">
      <alignment horizontal="justify" vertical="center"/>
    </xf>
    <xf numFmtId="170" fontId="1" fillId="6" borderId="0" xfId="41" applyNumberFormat="1" applyFont="1" applyFill="1" applyBorder="1" applyAlignment="1">
      <alignment vertical="top"/>
    </xf>
    <xf numFmtId="174" fontId="1" fillId="0" borderId="1" xfId="0" applyNumberFormat="1" applyFont="1" applyFill="1" applyBorder="1" applyAlignment="1">
      <alignment horizontal="justify" vertical="top"/>
    </xf>
    <xf numFmtId="169" fontId="2" fillId="0" borderId="2" xfId="41" applyNumberFormat="1" applyFont="1" applyFill="1" applyBorder="1" applyAlignment="1">
      <alignment horizontal="center" vertical="top"/>
    </xf>
    <xf numFmtId="169" fontId="2" fillId="0" borderId="36" xfId="41" applyNumberFormat="1" applyFont="1" applyFill="1" applyBorder="1" applyAlignment="1">
      <alignment horizontal="center" vertical="top"/>
    </xf>
    <xf numFmtId="169" fontId="2" fillId="15" borderId="0" xfId="41" applyNumberFormat="1" applyFont="1" applyFill="1" applyBorder="1" applyAlignment="1">
      <alignment horizontal="center" vertical="top"/>
    </xf>
    <xf numFmtId="169" fontId="25" fillId="0" borderId="1" xfId="41" applyNumberFormat="1" applyFont="1" applyFill="1" applyBorder="1" applyAlignment="1">
      <alignment horizontal="center" vertical="top"/>
    </xf>
    <xf numFmtId="0" fontId="1" fillId="0" borderId="1" xfId="0" applyFont="1" applyFill="1" applyBorder="1" applyAlignment="1">
      <alignment horizontal="left" vertical="top"/>
    </xf>
    <xf numFmtId="169" fontId="2" fillId="0" borderId="1" xfId="41" applyFont="1" applyFill="1" applyBorder="1" applyAlignment="1">
      <alignment vertical="top"/>
    </xf>
    <xf numFmtId="0" fontId="1" fillId="0" borderId="21" xfId="0" applyFont="1" applyFill="1" applyBorder="1">
      <alignment vertical="top"/>
    </xf>
    <xf numFmtId="174" fontId="1" fillId="0" borderId="48" xfId="0" applyNumberFormat="1" applyFont="1" applyFill="1" applyBorder="1" applyAlignment="1">
      <alignment horizontal="justify" vertical="top"/>
    </xf>
    <xf numFmtId="169" fontId="2" fillId="6" borderId="9" xfId="41" applyNumberFormat="1" applyFont="1" applyFill="1" applyBorder="1" applyAlignment="1">
      <alignment horizontal="center" vertical="top"/>
    </xf>
    <xf numFmtId="169" fontId="2" fillId="6" borderId="21" xfId="41" applyNumberFormat="1" applyFont="1" applyFill="1" applyBorder="1" applyAlignment="1">
      <alignment horizontal="center" vertical="top"/>
    </xf>
    <xf numFmtId="169" fontId="2" fillId="6" borderId="48" xfId="41" applyNumberFormat="1" applyFont="1" applyFill="1" applyBorder="1" applyAlignment="1">
      <alignment horizontal="center" vertical="top"/>
    </xf>
    <xf numFmtId="169" fontId="2" fillId="6" borderId="46" xfId="41" applyNumberFormat="1" applyFont="1" applyFill="1" applyBorder="1" applyAlignment="1">
      <alignment horizontal="center" vertical="top"/>
    </xf>
    <xf numFmtId="169" fontId="2" fillId="15" borderId="9" xfId="41" applyNumberFormat="1" applyFont="1" applyFill="1" applyBorder="1" applyAlignment="1">
      <alignment horizontal="center" vertical="top"/>
    </xf>
    <xf numFmtId="169" fontId="25" fillId="6" borderId="48" xfId="41" applyNumberFormat="1" applyFont="1" applyFill="1" applyBorder="1" applyAlignment="1">
      <alignment horizontal="center" vertical="top"/>
    </xf>
    <xf numFmtId="169" fontId="2" fillId="6" borderId="9" xfId="41" applyFont="1" applyFill="1" applyBorder="1" applyAlignment="1">
      <alignment horizontal="center" vertical="top"/>
    </xf>
    <xf numFmtId="169" fontId="2" fillId="6" borderId="9" xfId="41" applyFont="1" applyFill="1" applyBorder="1" applyAlignment="1">
      <alignment vertical="top"/>
    </xf>
    <xf numFmtId="0" fontId="59" fillId="0" borderId="19" xfId="0" applyFont="1" applyFill="1" applyBorder="1">
      <alignment vertical="top"/>
    </xf>
    <xf numFmtId="0" fontId="59" fillId="0" borderId="29" xfId="0" applyFont="1" applyFill="1" applyBorder="1" applyAlignment="1">
      <alignment horizontal="left" vertical="top"/>
    </xf>
    <xf numFmtId="169" fontId="2" fillId="6" borderId="6" xfId="41" applyNumberFormat="1" applyFont="1" applyFill="1" applyBorder="1" applyAlignment="1">
      <alignment horizontal="center" vertical="top"/>
    </xf>
    <xf numFmtId="169" fontId="2" fillId="6" borderId="19" xfId="41" applyNumberFormat="1" applyFont="1" applyFill="1" applyBorder="1" applyAlignment="1">
      <alignment horizontal="center" vertical="top"/>
    </xf>
    <xf numFmtId="169" fontId="2" fillId="6" borderId="29" xfId="41" applyNumberFormat="1" applyFont="1" applyFill="1" applyBorder="1" applyAlignment="1">
      <alignment horizontal="center" vertical="top"/>
    </xf>
    <xf numFmtId="169" fontId="2" fillId="6" borderId="47" xfId="41" applyNumberFormat="1" applyFont="1" applyFill="1" applyBorder="1" applyAlignment="1">
      <alignment horizontal="center" vertical="top"/>
    </xf>
    <xf numFmtId="169" fontId="25" fillId="6" borderId="29" xfId="41" applyNumberFormat="1" applyFont="1" applyFill="1" applyBorder="1" applyAlignment="1">
      <alignment horizontal="center" vertical="top"/>
    </xf>
    <xf numFmtId="169" fontId="2" fillId="6" borderId="6" xfId="41" applyFont="1" applyFill="1" applyBorder="1" applyAlignment="1">
      <alignment horizontal="center" vertical="top"/>
    </xf>
    <xf numFmtId="169" fontId="2" fillId="6" borderId="6" xfId="41" applyFont="1" applyFill="1" applyBorder="1" applyAlignment="1">
      <alignment vertical="top"/>
    </xf>
    <xf numFmtId="169" fontId="1" fillId="0" borderId="19" xfId="41" applyFont="1" applyFill="1" applyBorder="1" applyAlignment="1">
      <alignment vertical="top"/>
    </xf>
    <xf numFmtId="169" fontId="1" fillId="0" borderId="29" xfId="41" applyFont="1" applyFill="1" applyBorder="1" applyAlignment="1">
      <alignment vertical="top"/>
    </xf>
    <xf numFmtId="169" fontId="2" fillId="0" borderId="21" xfId="41" applyNumberFormat="1" applyFont="1" applyFill="1" applyBorder="1" applyAlignment="1">
      <alignment horizontal="center" vertical="top"/>
    </xf>
    <xf numFmtId="169" fontId="2" fillId="0" borderId="48" xfId="41" applyNumberFormat="1" applyFont="1" applyFill="1" applyBorder="1" applyAlignment="1">
      <alignment horizontal="center" vertical="top"/>
    </xf>
    <xf numFmtId="169" fontId="2" fillId="0" borderId="46" xfId="41" applyNumberFormat="1" applyFont="1" applyFill="1" applyBorder="1" applyAlignment="1">
      <alignment horizontal="center" vertical="top"/>
    </xf>
    <xf numFmtId="169" fontId="25" fillId="0" borderId="48" xfId="41" applyNumberFormat="1" applyFont="1" applyFill="1" applyBorder="1" applyAlignment="1">
      <alignment horizontal="center" vertical="top"/>
    </xf>
    <xf numFmtId="169" fontId="2" fillId="0" borderId="9" xfId="41" applyFont="1" applyFill="1" applyBorder="1" applyAlignment="1">
      <alignment horizontal="center" vertical="top"/>
    </xf>
    <xf numFmtId="170" fontId="2" fillId="0" borderId="5" xfId="41" applyNumberFormat="1" applyFont="1" applyFill="1" applyBorder="1" applyAlignment="1">
      <alignment vertical="center"/>
    </xf>
    <xf numFmtId="170" fontId="1" fillId="0" borderId="4" xfId="41" applyNumberFormat="1" applyFont="1" applyFill="1" applyBorder="1" applyAlignment="1">
      <alignment vertical="center"/>
    </xf>
    <xf numFmtId="170" fontId="1" fillId="0" borderId="3" xfId="41" applyNumberFormat="1" applyFont="1" applyFill="1" applyBorder="1" applyAlignment="1">
      <alignment horizontal="justify" vertical="center"/>
    </xf>
    <xf numFmtId="170" fontId="1" fillId="0" borderId="4" xfId="41" applyNumberFormat="1" applyFont="1" applyFill="1" applyBorder="1" applyAlignment="1">
      <alignment horizontal="justify" vertical="center"/>
    </xf>
    <xf numFmtId="0" fontId="2" fillId="0" borderId="1" xfId="0" applyFont="1" applyFill="1" applyBorder="1">
      <alignment vertical="top"/>
    </xf>
    <xf numFmtId="170" fontId="2" fillId="0" borderId="2" xfId="41" applyNumberFormat="1" applyFont="1" applyBorder="1" applyAlignment="1">
      <alignment horizontal="center" vertical="top"/>
    </xf>
    <xf numFmtId="170" fontId="2" fillId="0" borderId="36" xfId="41" applyNumberFormat="1" applyFont="1" applyBorder="1" applyAlignment="1">
      <alignment horizontal="center" vertical="top"/>
    </xf>
    <xf numFmtId="170" fontId="25" fillId="0" borderId="1" xfId="41" applyNumberFormat="1" applyFont="1" applyBorder="1" applyAlignment="1">
      <alignment horizontal="center" vertical="top"/>
    </xf>
    <xf numFmtId="169" fontId="2" fillId="0" borderId="6" xfId="41" applyFont="1" applyFill="1" applyBorder="1" applyAlignment="1">
      <alignment horizontal="center" vertical="top"/>
    </xf>
    <xf numFmtId="169" fontId="2" fillId="6" borderId="2" xfId="41" applyNumberFormat="1" applyFont="1" applyFill="1" applyBorder="1" applyAlignment="1">
      <alignment horizontal="center" vertical="top"/>
    </xf>
    <xf numFmtId="169" fontId="2" fillId="6" borderId="1" xfId="41" applyNumberFormat="1" applyFont="1" applyFill="1" applyBorder="1" applyAlignment="1">
      <alignment horizontal="center" vertical="top"/>
    </xf>
    <xf numFmtId="169" fontId="2" fillId="6" borderId="36" xfId="41" applyNumberFormat="1" applyFont="1" applyFill="1" applyBorder="1" applyAlignment="1">
      <alignment horizontal="center" vertical="top"/>
    </xf>
    <xf numFmtId="169" fontId="25" fillId="6" borderId="1" xfId="41" applyNumberFormat="1" applyFont="1" applyFill="1" applyBorder="1" applyAlignment="1">
      <alignment horizontal="center" vertical="top"/>
    </xf>
    <xf numFmtId="169" fontId="2" fillId="6" borderId="0" xfId="41" applyFont="1" applyFill="1" applyBorder="1" applyAlignment="1">
      <alignment horizontal="center" vertical="top"/>
    </xf>
    <xf numFmtId="170" fontId="1" fillId="0" borderId="20" xfId="41" applyNumberFormat="1" applyFont="1" applyFill="1" applyBorder="1" applyAlignment="1">
      <alignment vertical="center"/>
    </xf>
    <xf numFmtId="169" fontId="2" fillId="0" borderId="19" xfId="41" applyNumberFormat="1" applyFont="1" applyFill="1" applyBorder="1" applyAlignment="1">
      <alignment horizontal="center" vertical="top"/>
    </xf>
    <xf numFmtId="169" fontId="2" fillId="0" borderId="47" xfId="41" applyNumberFormat="1" applyFont="1" applyFill="1" applyBorder="1" applyAlignment="1">
      <alignment horizontal="center" vertical="top"/>
    </xf>
    <xf numFmtId="169" fontId="25" fillId="0" borderId="29" xfId="41" applyNumberFormat="1" applyFont="1" applyFill="1" applyBorder="1" applyAlignment="1">
      <alignment horizontal="center" vertical="top"/>
    </xf>
    <xf numFmtId="169" fontId="2" fillId="0" borderId="29" xfId="41" applyFont="1" applyFill="1" applyBorder="1" applyAlignment="1">
      <alignment vertical="top"/>
    </xf>
    <xf numFmtId="0" fontId="1" fillId="0" borderId="19" xfId="0" applyFont="1" applyFill="1" applyBorder="1">
      <alignment vertical="top"/>
    </xf>
    <xf numFmtId="174" fontId="1" fillId="0" borderId="29" xfId="0" applyNumberFormat="1" applyFont="1" applyFill="1" applyBorder="1" applyAlignment="1">
      <alignment horizontal="justify" vertical="top"/>
    </xf>
    <xf numFmtId="169" fontId="2" fillId="0" borderId="8" xfId="41" applyFont="1" applyFill="1" applyBorder="1" applyAlignment="1">
      <alignment vertical="top"/>
    </xf>
    <xf numFmtId="170" fontId="2" fillId="0" borderId="7" xfId="41" applyNumberFormat="1" applyFont="1" applyBorder="1" applyAlignment="1">
      <alignment horizontal="justify" vertical="top"/>
    </xf>
    <xf numFmtId="170" fontId="2" fillId="0" borderId="8" xfId="41" quotePrefix="1" applyNumberFormat="1" applyFont="1" applyBorder="1" applyAlignment="1">
      <alignment vertical="top"/>
    </xf>
    <xf numFmtId="170" fontId="2" fillId="0" borderId="7" xfId="41" quotePrefix="1" applyNumberFormat="1" applyFont="1" applyBorder="1" applyAlignment="1">
      <alignment horizontal="center" vertical="top"/>
    </xf>
    <xf numFmtId="170" fontId="2" fillId="0" borderId="22" xfId="41" quotePrefix="1" applyNumberFormat="1" applyFont="1" applyBorder="1" applyAlignment="1">
      <alignment horizontal="left" vertical="top"/>
    </xf>
    <xf numFmtId="170" fontId="2" fillId="0" borderId="8" xfId="41" applyNumberFormat="1" applyFont="1" applyBorder="1" applyAlignment="1">
      <alignment horizontal="center" vertical="top"/>
    </xf>
    <xf numFmtId="170" fontId="2" fillId="0" borderId="7" xfId="41" applyNumberFormat="1" applyFont="1" applyBorder="1" applyAlignment="1">
      <alignment horizontal="center" vertical="top"/>
    </xf>
    <xf numFmtId="170" fontId="2" fillId="0" borderId="22" xfId="41" quotePrefix="1" applyNumberFormat="1" applyFont="1" applyBorder="1" applyAlignment="1">
      <alignment horizontal="center" vertical="top"/>
    </xf>
    <xf numFmtId="170" fontId="2" fillId="0" borderId="6" xfId="41" applyNumberFormat="1" applyFont="1" applyBorder="1" applyAlignment="1">
      <alignment horizontal="center" vertical="top"/>
    </xf>
    <xf numFmtId="170" fontId="1" fillId="0" borderId="2" xfId="41" applyNumberFormat="1" applyFont="1" applyBorder="1" applyAlignment="1">
      <alignment vertical="center"/>
    </xf>
    <xf numFmtId="169" fontId="1" fillId="0" borderId="1" xfId="41" applyFont="1" applyFill="1" applyBorder="1" applyAlignment="1">
      <alignment vertical="center"/>
    </xf>
    <xf numFmtId="0" fontId="2" fillId="27" borderId="5" xfId="0" applyFont="1" applyFill="1" applyBorder="1" applyAlignment="1">
      <alignment vertical="center"/>
    </xf>
    <xf numFmtId="0" fontId="2" fillId="27" borderId="4" xfId="0" applyFont="1" applyFill="1" applyBorder="1" applyAlignment="1">
      <alignment vertical="center"/>
    </xf>
    <xf numFmtId="0" fontId="2" fillId="27" borderId="3" xfId="0" applyFont="1" applyFill="1" applyBorder="1" applyAlignment="1">
      <alignment horizontal="center" vertical="center"/>
    </xf>
    <xf numFmtId="0" fontId="2" fillId="27" borderId="5" xfId="0" applyFont="1" applyFill="1" applyBorder="1" applyAlignment="1">
      <alignment horizontal="center" vertical="center"/>
    </xf>
    <xf numFmtId="0" fontId="2" fillId="27" borderId="4" xfId="0" applyFont="1" applyFill="1" applyBorder="1" applyAlignment="1">
      <alignment horizontal="center" vertical="center"/>
    </xf>
    <xf numFmtId="0" fontId="2" fillId="27" borderId="35" xfId="0" applyFont="1" applyFill="1" applyBorder="1" applyAlignment="1">
      <alignment horizontal="center" vertical="center"/>
    </xf>
    <xf numFmtId="169" fontId="2" fillId="0" borderId="62" xfId="41" applyNumberFormat="1" applyFont="1" applyFill="1" applyBorder="1" applyAlignment="1">
      <alignment horizontal="center" vertical="center"/>
    </xf>
    <xf numFmtId="169" fontId="2" fillId="0" borderId="20" xfId="41" applyNumberFormat="1" applyFont="1" applyFill="1" applyBorder="1" applyAlignment="1">
      <alignment horizontal="center" vertical="center"/>
    </xf>
    <xf numFmtId="0" fontId="2" fillId="0" borderId="20" xfId="0" applyFont="1" applyBorder="1" applyAlignment="1">
      <alignment vertical="center"/>
    </xf>
    <xf numFmtId="0" fontId="2" fillId="0" borderId="65" xfId="0" applyFont="1" applyBorder="1" applyAlignment="1">
      <alignment vertical="center"/>
    </xf>
    <xf numFmtId="173" fontId="2" fillId="0" borderId="20" xfId="41" applyNumberFormat="1" applyFont="1" applyFill="1" applyBorder="1" applyAlignment="1">
      <alignment horizontal="center" vertical="center"/>
    </xf>
    <xf numFmtId="1" fontId="2" fillId="0" borderId="62" xfId="41" applyNumberFormat="1" applyFont="1" applyFill="1" applyBorder="1" applyAlignment="1">
      <alignment horizontal="center" vertical="center"/>
    </xf>
    <xf numFmtId="1" fontId="2" fillId="0" borderId="20" xfId="41" applyNumberFormat="1" applyFont="1" applyFill="1" applyBorder="1" applyAlignment="1">
      <alignment horizontal="center" vertical="center"/>
    </xf>
    <xf numFmtId="1" fontId="2" fillId="0" borderId="65" xfId="0" applyNumberFormat="1" applyFont="1" applyBorder="1" applyAlignment="1">
      <alignment horizontal="center" vertical="center"/>
    </xf>
    <xf numFmtId="1" fontId="2" fillId="0" borderId="20" xfId="0" applyNumberFormat="1" applyFont="1" applyBorder="1" applyAlignment="1">
      <alignment horizontal="center" vertical="center"/>
    </xf>
    <xf numFmtId="1" fontId="2" fillId="0" borderId="65" xfId="41" applyNumberFormat="1" applyFont="1" applyFill="1" applyBorder="1" applyAlignment="1">
      <alignment horizontal="center" vertical="center"/>
    </xf>
    <xf numFmtId="2" fontId="2" fillId="0" borderId="20" xfId="41" applyNumberFormat="1" applyFont="1" applyFill="1" applyBorder="1" applyAlignment="1">
      <alignment horizontal="center" vertical="center"/>
    </xf>
    <xf numFmtId="169" fontId="2" fillId="0" borderId="65" xfId="41" applyNumberFormat="1" applyFont="1" applyFill="1" applyBorder="1" applyAlignment="1">
      <alignment horizontal="center" vertical="center"/>
    </xf>
    <xf numFmtId="2" fontId="2" fillId="0" borderId="62" xfId="41" applyNumberFormat="1" applyFont="1" applyFill="1" applyBorder="1" applyAlignment="1">
      <alignment horizontal="center" vertical="center"/>
    </xf>
    <xf numFmtId="172" fontId="2" fillId="0" borderId="20" xfId="41" applyNumberFormat="1" applyFont="1" applyFill="1" applyBorder="1" applyAlignment="1">
      <alignment horizontal="center" vertical="center"/>
    </xf>
    <xf numFmtId="172" fontId="2" fillId="0" borderId="112" xfId="41" applyNumberFormat="1" applyFont="1" applyFill="1" applyBorder="1" applyAlignment="1">
      <alignment horizontal="center" vertical="center"/>
    </xf>
    <xf numFmtId="2" fontId="2" fillId="0" borderId="65" xfId="41" applyNumberFormat="1" applyFont="1" applyFill="1" applyBorder="1" applyAlignment="1">
      <alignment horizontal="center" vertical="center"/>
    </xf>
    <xf numFmtId="0" fontId="2" fillId="0" borderId="21" xfId="0" applyFont="1" applyBorder="1" applyAlignment="1">
      <alignment vertical="center"/>
    </xf>
    <xf numFmtId="0" fontId="2" fillId="0" borderId="9" xfId="0" applyFont="1" applyBorder="1" applyAlignment="1">
      <alignment vertical="center"/>
    </xf>
    <xf numFmtId="169" fontId="2" fillId="0" borderId="9" xfId="41" applyNumberFormat="1" applyFont="1" applyFill="1" applyBorder="1" applyAlignment="1">
      <alignment horizontal="justify" vertical="center"/>
    </xf>
    <xf numFmtId="0" fontId="2" fillId="0" borderId="48" xfId="0" applyFont="1" applyBorder="1" applyAlignment="1">
      <alignment vertical="center"/>
    </xf>
    <xf numFmtId="173" fontId="2" fillId="0" borderId="9" xfId="0" applyNumberFormat="1" applyFont="1" applyBorder="1" applyAlignment="1">
      <alignment horizontal="center" vertical="center"/>
    </xf>
    <xf numFmtId="1" fontId="2" fillId="0" borderId="21" xfId="0" applyNumberFormat="1" applyFont="1" applyBorder="1" applyAlignment="1">
      <alignment horizontal="center" vertical="center"/>
    </xf>
    <xf numFmtId="1" fontId="2" fillId="0" borderId="9" xfId="0" applyNumberFormat="1" applyFont="1" applyBorder="1" applyAlignment="1">
      <alignment horizontal="center" vertical="center"/>
    </xf>
    <xf numFmtId="1" fontId="2" fillId="0" borderId="48" xfId="0" applyNumberFormat="1" applyFont="1" applyBorder="1" applyAlignment="1">
      <alignment horizontal="center" vertical="center"/>
    </xf>
    <xf numFmtId="2" fontId="2" fillId="0" borderId="9" xfId="0" applyNumberFormat="1" applyFont="1" applyBorder="1" applyAlignment="1">
      <alignment horizontal="center" vertical="center"/>
    </xf>
    <xf numFmtId="169" fontId="2" fillId="0" borderId="48" xfId="41" applyNumberFormat="1" applyFont="1" applyFill="1" applyBorder="1" applyAlignment="1">
      <alignment horizontal="center" vertical="center"/>
    </xf>
    <xf numFmtId="1" fontId="2" fillId="0" borderId="9" xfId="41" applyNumberFormat="1" applyFont="1" applyFill="1" applyBorder="1" applyAlignment="1">
      <alignment horizontal="center" vertical="center"/>
    </xf>
    <xf numFmtId="2" fontId="2" fillId="0" borderId="21" xfId="0" applyNumberFormat="1" applyFont="1" applyBorder="1" applyAlignment="1">
      <alignment horizontal="center" vertical="center"/>
    </xf>
    <xf numFmtId="172" fontId="2" fillId="0" borderId="9" xfId="0" applyNumberFormat="1" applyFont="1" applyBorder="1" applyAlignment="1">
      <alignment horizontal="center" vertical="center"/>
    </xf>
    <xf numFmtId="172" fontId="2" fillId="0" borderId="9" xfId="41" applyNumberFormat="1" applyFont="1" applyFill="1" applyBorder="1" applyAlignment="1">
      <alignment horizontal="center" vertical="center"/>
    </xf>
    <xf numFmtId="172" fontId="2" fillId="0" borderId="46" xfId="0" applyNumberFormat="1" applyFont="1" applyBorder="1" applyAlignment="1">
      <alignment horizontal="center" vertical="center"/>
    </xf>
    <xf numFmtId="169" fontId="2" fillId="0" borderId="9" xfId="41" applyNumberFormat="1" applyFont="1" applyFill="1" applyBorder="1" applyAlignment="1">
      <alignment horizontal="center" vertical="center"/>
    </xf>
    <xf numFmtId="0" fontId="2" fillId="0" borderId="9" xfId="0" applyFont="1" applyBorder="1" applyAlignment="1">
      <alignment horizontal="center" vertical="center"/>
    </xf>
    <xf numFmtId="2" fontId="25" fillId="0" borderId="48" xfId="41" applyNumberFormat="1" applyFont="1" applyFill="1" applyBorder="1" applyAlignment="1">
      <alignment horizontal="center" vertical="center"/>
    </xf>
    <xf numFmtId="1" fontId="2" fillId="0" borderId="0" xfId="0" applyNumberFormat="1" applyFont="1" applyBorder="1" applyAlignment="1">
      <alignment horizontal="center" vertical="center"/>
    </xf>
    <xf numFmtId="2" fontId="2" fillId="0" borderId="36" xfId="0" applyNumberFormat="1" applyFont="1" applyBorder="1" applyAlignment="1">
      <alignment horizontal="center" vertical="center"/>
    </xf>
    <xf numFmtId="0" fontId="2" fillId="0" borderId="19" xfId="0" applyFont="1" applyBorder="1" applyAlignment="1">
      <alignment vertical="center"/>
    </xf>
    <xf numFmtId="0" fontId="2" fillId="0" borderId="6" xfId="0" applyFont="1" applyBorder="1" applyAlignment="1">
      <alignment vertical="center"/>
    </xf>
    <xf numFmtId="0" fontId="2" fillId="0" borderId="29" xfId="0" applyFont="1" applyBorder="1" applyAlignment="1">
      <alignment vertical="center"/>
    </xf>
    <xf numFmtId="173" fontId="2" fillId="0" borderId="6" xfId="0" applyNumberFormat="1" applyFont="1" applyBorder="1" applyAlignment="1">
      <alignment horizontal="center" vertical="center"/>
    </xf>
    <xf numFmtId="1" fontId="2" fillId="0" borderId="19" xfId="0" applyNumberFormat="1" applyFont="1" applyBorder="1" applyAlignment="1">
      <alignment horizontal="center" vertical="center"/>
    </xf>
    <xf numFmtId="1" fontId="2" fillId="0" borderId="6" xfId="0" applyNumberFormat="1" applyFont="1" applyBorder="1" applyAlignment="1">
      <alignment horizontal="center" vertical="center"/>
    </xf>
    <xf numFmtId="1" fontId="2" fillId="0" borderId="29" xfId="0" applyNumberFormat="1" applyFont="1" applyBorder="1" applyAlignment="1">
      <alignment horizontal="center" vertical="center"/>
    </xf>
    <xf numFmtId="173" fontId="2" fillId="0" borderId="29" xfId="0" applyNumberFormat="1" applyFont="1" applyBorder="1" applyAlignment="1">
      <alignment horizontal="center" vertical="center"/>
    </xf>
    <xf numFmtId="173" fontId="2" fillId="0" borderId="19" xfId="0" applyNumberFormat="1" applyFont="1" applyBorder="1" applyAlignment="1">
      <alignment horizontal="center" vertical="center"/>
    </xf>
    <xf numFmtId="173" fontId="2" fillId="0" borderId="6" xfId="41" applyNumberFormat="1" applyFont="1" applyFill="1" applyBorder="1" applyAlignment="1">
      <alignment horizontal="center" vertical="center"/>
    </xf>
    <xf numFmtId="2" fontId="2" fillId="0" borderId="47" xfId="0" applyNumberFormat="1" applyFont="1" applyBorder="1" applyAlignment="1">
      <alignment horizontal="center" vertical="center"/>
    </xf>
    <xf numFmtId="169" fontId="2" fillId="0" borderId="6" xfId="41" applyNumberFormat="1" applyFont="1" applyFill="1" applyBorder="1" applyAlignment="1">
      <alignment horizontal="center" vertical="center"/>
    </xf>
    <xf numFmtId="0" fontId="2" fillId="0" borderId="6" xfId="0" applyFont="1" applyBorder="1" applyAlignment="1">
      <alignment horizontal="center" vertical="center"/>
    </xf>
    <xf numFmtId="0" fontId="2" fillId="27" borderId="9" xfId="0" applyFont="1" applyFill="1" applyBorder="1" applyAlignment="1">
      <alignment horizontal="center" vertical="center"/>
    </xf>
    <xf numFmtId="0" fontId="2" fillId="27" borderId="48" xfId="0" applyFont="1" applyFill="1" applyBorder="1" applyAlignment="1">
      <alignment horizontal="center" vertical="center"/>
    </xf>
    <xf numFmtId="0" fontId="2" fillId="27" borderId="21" xfId="0" applyFont="1" applyFill="1" applyBorder="1" applyAlignment="1">
      <alignment horizontal="center" vertical="center"/>
    </xf>
    <xf numFmtId="0" fontId="2" fillId="27" borderId="46" xfId="0" applyFont="1" applyFill="1" applyBorder="1" applyAlignment="1">
      <alignment horizontal="center" vertical="center"/>
    </xf>
    <xf numFmtId="169" fontId="2" fillId="0" borderId="0" xfId="0" applyNumberFormat="1" applyFont="1" applyAlignment="1">
      <alignment horizontal="center" vertical="center"/>
    </xf>
    <xf numFmtId="169" fontId="2" fillId="0" borderId="2" xfId="0" applyNumberFormat="1" applyFont="1" applyBorder="1" applyAlignment="1">
      <alignment horizontal="center" vertical="center"/>
    </xf>
    <xf numFmtId="169" fontId="2" fillId="0" borderId="1" xfId="0" applyNumberFormat="1" applyFont="1" applyBorder="1" applyAlignment="1">
      <alignment horizontal="center" vertical="center"/>
    </xf>
    <xf numFmtId="169" fontId="2" fillId="0" borderId="36" xfId="0" applyNumberFormat="1" applyFont="1" applyBorder="1" applyAlignment="1">
      <alignment horizontal="center" vertical="center"/>
    </xf>
    <xf numFmtId="169" fontId="2" fillId="0" borderId="0" xfId="41" applyNumberFormat="1" applyFont="1" applyFill="1" applyBorder="1" applyAlignment="1">
      <alignment horizontal="justify" vertical="center"/>
    </xf>
    <xf numFmtId="169" fontId="2" fillId="0" borderId="62" xfId="41" applyFont="1" applyFill="1" applyBorder="1" applyAlignment="1">
      <alignment vertical="center"/>
    </xf>
    <xf numFmtId="169" fontId="2" fillId="0" borderId="20" xfId="41" applyFont="1" applyFill="1" applyBorder="1" applyAlignment="1">
      <alignment vertical="center"/>
    </xf>
    <xf numFmtId="169" fontId="2" fillId="0" borderId="20" xfId="41" applyNumberFormat="1" applyFont="1" applyFill="1" applyBorder="1" applyAlignment="1">
      <alignment horizontal="left" vertical="center"/>
    </xf>
    <xf numFmtId="170" fontId="2" fillId="0" borderId="20" xfId="41" applyNumberFormat="1" applyFont="1" applyFill="1" applyBorder="1" applyAlignment="1">
      <alignment horizontal="justify" vertical="center"/>
    </xf>
    <xf numFmtId="169" fontId="2" fillId="0" borderId="112" xfId="41" applyNumberFormat="1" applyFont="1" applyFill="1" applyBorder="1" applyAlignment="1">
      <alignment horizontal="center" vertical="center"/>
    </xf>
    <xf numFmtId="170" fontId="2" fillId="0" borderId="20" xfId="41" applyNumberFormat="1" applyFont="1" applyFill="1" applyBorder="1" applyAlignment="1">
      <alignment horizontal="center" vertical="center"/>
    </xf>
    <xf numFmtId="170" fontId="25" fillId="0" borderId="65" xfId="41" applyNumberFormat="1" applyFont="1" applyFill="1" applyBorder="1" applyAlignment="1">
      <alignment horizontal="center" vertical="center"/>
    </xf>
    <xf numFmtId="169" fontId="2" fillId="0" borderId="20" xfId="41" applyFont="1" applyFill="1" applyBorder="1" applyAlignment="1">
      <alignment horizontal="center" vertical="center"/>
    </xf>
    <xf numFmtId="169" fontId="2" fillId="0" borderId="21" xfId="41" applyNumberFormat="1" applyFont="1" applyFill="1" applyBorder="1" applyAlignment="1">
      <alignment horizontal="justify" vertical="center"/>
    </xf>
    <xf numFmtId="170" fontId="2" fillId="0" borderId="0" xfId="41" applyNumberFormat="1" applyFont="1" applyFill="1" applyBorder="1" applyAlignment="1">
      <alignment horizontal="center" vertical="center"/>
    </xf>
    <xf numFmtId="173" fontId="2" fillId="27" borderId="0" xfId="0" applyNumberFormat="1" applyFont="1" applyFill="1" applyBorder="1" applyAlignment="1">
      <alignment horizontal="center" vertical="center"/>
    </xf>
    <xf numFmtId="173" fontId="2" fillId="27" borderId="2" xfId="0" applyNumberFormat="1" applyFont="1" applyFill="1" applyBorder="1" applyAlignment="1">
      <alignment horizontal="center" vertical="center"/>
    </xf>
    <xf numFmtId="173" fontId="2" fillId="27" borderId="1" xfId="0" applyNumberFormat="1" applyFont="1" applyFill="1" applyBorder="1" applyAlignment="1">
      <alignment horizontal="center" vertical="center"/>
    </xf>
    <xf numFmtId="173" fontId="2" fillId="27" borderId="36" xfId="0" applyNumberFormat="1" applyFont="1" applyFill="1" applyBorder="1" applyAlignment="1">
      <alignment horizontal="center" vertical="center"/>
    </xf>
    <xf numFmtId="169" fontId="2" fillId="0" borderId="22" xfId="41" applyFont="1" applyFill="1" applyBorder="1" applyAlignment="1">
      <alignment vertical="center"/>
    </xf>
    <xf numFmtId="170" fontId="2" fillId="0" borderId="7" xfId="41" quotePrefix="1" applyNumberFormat="1" applyFont="1" applyBorder="1" applyAlignment="1">
      <alignment horizontal="center" vertical="center"/>
    </xf>
    <xf numFmtId="0" fontId="2" fillId="0" borderId="8" xfId="0" applyFont="1" applyBorder="1" applyAlignment="1">
      <alignment horizontal="center" vertical="center"/>
    </xf>
    <xf numFmtId="0" fontId="2" fillId="0" borderId="7" xfId="0" applyFont="1" applyBorder="1" applyAlignment="1">
      <alignment horizontal="center" vertical="center"/>
    </xf>
    <xf numFmtId="170" fontId="2" fillId="0" borderId="7" xfId="41" applyNumberFormat="1" applyFont="1" applyBorder="1" applyAlignment="1">
      <alignment horizontal="center" vertical="center"/>
    </xf>
    <xf numFmtId="173" fontId="2" fillId="0" borderId="36" xfId="0" applyNumberFormat="1" applyFont="1" applyBorder="1" applyAlignment="1">
      <alignment horizontal="center" vertical="center"/>
    </xf>
    <xf numFmtId="172" fontId="2" fillId="0" borderId="36" xfId="0" applyNumberFormat="1" applyFont="1" applyFill="1" applyBorder="1" applyAlignment="1">
      <alignment horizontal="center" vertical="center" wrapText="1"/>
    </xf>
    <xf numFmtId="172" fontId="49" fillId="0" borderId="0" xfId="0" applyNumberFormat="1" applyFont="1" applyBorder="1" applyAlignment="1">
      <alignment horizontal="center" vertical="center"/>
    </xf>
    <xf numFmtId="169" fontId="49" fillId="0" borderId="1" xfId="0" applyNumberFormat="1" applyFont="1" applyBorder="1" applyAlignment="1">
      <alignment horizontal="center" vertical="center"/>
    </xf>
    <xf numFmtId="169" fontId="2" fillId="0" borderId="29" xfId="41" applyNumberFormat="1" applyFont="1" applyFill="1" applyBorder="1" applyAlignment="1">
      <alignment horizontal="center" vertical="center"/>
    </xf>
    <xf numFmtId="169" fontId="49" fillId="0" borderId="36" xfId="0" applyNumberFormat="1" applyFont="1" applyBorder="1" applyAlignment="1">
      <alignment horizontal="center" vertical="center"/>
    </xf>
    <xf numFmtId="0" fontId="2" fillId="0" borderId="15" xfId="0" applyFont="1" applyBorder="1" applyAlignment="1">
      <alignment vertical="center"/>
    </xf>
    <xf numFmtId="0" fontId="2" fillId="27" borderId="15" xfId="0" applyFont="1" applyFill="1" applyBorder="1" applyAlignment="1">
      <alignment vertical="center"/>
    </xf>
    <xf numFmtId="173" fontId="2" fillId="27" borderId="15" xfId="0" applyNumberFormat="1" applyFont="1" applyFill="1" applyBorder="1" applyAlignment="1">
      <alignment horizontal="center" vertical="center"/>
    </xf>
    <xf numFmtId="173" fontId="2" fillId="27" borderId="28" xfId="0" applyNumberFormat="1" applyFont="1" applyFill="1" applyBorder="1" applyAlignment="1">
      <alignment horizontal="center" vertical="center"/>
    </xf>
    <xf numFmtId="173" fontId="2" fillId="27" borderId="26" xfId="0" applyNumberFormat="1" applyFont="1" applyFill="1" applyBorder="1" applyAlignment="1">
      <alignment horizontal="center" vertical="center"/>
    </xf>
    <xf numFmtId="173" fontId="2" fillId="27" borderId="113" xfId="0" applyNumberFormat="1" applyFont="1" applyFill="1" applyBorder="1" applyAlignment="1">
      <alignment horizontal="center" vertical="center"/>
    </xf>
    <xf numFmtId="0" fontId="51" fillId="0" borderId="15" xfId="0" applyFont="1" applyBorder="1" applyAlignment="1">
      <alignment horizontal="center" vertical="top"/>
    </xf>
    <xf numFmtId="0" fontId="51" fillId="0" borderId="16" xfId="0" applyFont="1" applyBorder="1" applyAlignment="1">
      <alignment horizontal="center" vertical="top"/>
    </xf>
    <xf numFmtId="0" fontId="2" fillId="0" borderId="12"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13"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169" fontId="2" fillId="0" borderId="12" xfId="0" applyNumberFormat="1" applyFont="1" applyFill="1" applyBorder="1" applyAlignment="1">
      <alignment horizontal="center" vertical="center" wrapText="1"/>
    </xf>
    <xf numFmtId="169" fontId="2" fillId="0" borderId="48" xfId="0"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 xfId="0" applyNumberFormat="1" applyFont="1" applyFill="1" applyBorder="1" applyAlignment="1">
      <alignment horizontal="center" vertical="top" wrapText="1"/>
    </xf>
    <xf numFmtId="0" fontId="2" fillId="0" borderId="0" xfId="0" applyNumberFormat="1" applyFont="1" applyFill="1" applyBorder="1" applyAlignment="1">
      <alignment horizontal="center" vertical="top" wrapText="1"/>
    </xf>
    <xf numFmtId="0" fontId="2" fillId="0" borderId="11" xfId="0" applyNumberFormat="1" applyFont="1" applyFill="1" applyBorder="1" applyAlignment="1">
      <alignment horizontal="center" vertical="top" wrapText="1"/>
    </xf>
    <xf numFmtId="0" fontId="2" fillId="0" borderId="2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169" fontId="2" fillId="0" borderId="13" xfId="0" applyNumberFormat="1" applyFont="1" applyFill="1" applyBorder="1" applyAlignment="1">
      <alignment horizontal="center" vertical="top" wrapText="1"/>
    </xf>
    <xf numFmtId="169" fontId="2" fillId="0" borderId="0" xfId="0" applyNumberFormat="1" applyFont="1" applyFill="1" applyBorder="1" applyAlignment="1">
      <alignment horizontal="center" vertical="top" wrapText="1"/>
    </xf>
    <xf numFmtId="169" fontId="2" fillId="0" borderId="11" xfId="0" applyNumberFormat="1" applyFont="1" applyFill="1" applyBorder="1" applyAlignment="1">
      <alignment horizontal="center" vertical="top" wrapText="1"/>
    </xf>
    <xf numFmtId="0" fontId="2" fillId="0" borderId="13" xfId="0" applyNumberFormat="1"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2" fillId="0" borderId="9" xfId="0" applyNumberFormat="1" applyFont="1" applyFill="1" applyBorder="1" applyAlignment="1">
      <alignment horizontal="center" vertical="top" wrapText="1"/>
    </xf>
    <xf numFmtId="169" fontId="2" fillId="0" borderId="9" xfId="0" applyNumberFormat="1" applyFont="1" applyFill="1" applyBorder="1" applyAlignment="1">
      <alignment horizontal="center" vertical="top" wrapText="1"/>
    </xf>
    <xf numFmtId="0" fontId="2" fillId="0" borderId="9" xfId="0" applyNumberFormat="1" applyFont="1" applyFill="1" applyBorder="1" applyAlignment="1">
      <alignment horizontal="center" vertical="center" wrapText="1"/>
    </xf>
    <xf numFmtId="0" fontId="2" fillId="27" borderId="1" xfId="0" applyFont="1" applyFill="1" applyBorder="1" applyAlignment="1">
      <alignment vertical="center"/>
    </xf>
    <xf numFmtId="0" fontId="51" fillId="0" borderId="27" xfId="0" applyFont="1" applyBorder="1" applyAlignment="1">
      <alignment horizontal="center" vertical="center" wrapText="1"/>
    </xf>
    <xf numFmtId="0" fontId="0" fillId="0" borderId="16" xfId="0" applyBorder="1">
      <alignment vertical="top"/>
    </xf>
    <xf numFmtId="0" fontId="2" fillId="0" borderId="11" xfId="0" applyFont="1" applyBorder="1">
      <alignment vertical="top"/>
    </xf>
    <xf numFmtId="0" fontId="0" fillId="0" borderId="60" xfId="0" applyFill="1" applyBorder="1">
      <alignment vertical="top"/>
    </xf>
    <xf numFmtId="0" fontId="0" fillId="0" borderId="57" xfId="0" applyBorder="1">
      <alignment vertical="top"/>
    </xf>
    <xf numFmtId="169" fontId="0" fillId="0" borderId="16" xfId="0" applyNumberFormat="1" applyBorder="1">
      <alignment vertical="top"/>
    </xf>
    <xf numFmtId="0" fontId="1" fillId="6" borderId="38" xfId="0" applyFont="1" applyFill="1" applyBorder="1" applyAlignment="1">
      <alignment horizontal="justify" vertical="center" wrapText="1"/>
    </xf>
    <xf numFmtId="169" fontId="2" fillId="0" borderId="13" xfId="0" applyNumberFormat="1" applyFont="1" applyBorder="1" applyAlignment="1">
      <alignment horizontal="center" vertical="top"/>
    </xf>
    <xf numFmtId="169" fontId="0" fillId="0" borderId="13" xfId="0" applyNumberFormat="1" applyBorder="1" applyAlignment="1">
      <alignment horizontal="center" vertical="top"/>
    </xf>
    <xf numFmtId="169" fontId="0" fillId="0" borderId="0" xfId="0" applyNumberFormat="1" applyBorder="1">
      <alignment vertical="top"/>
    </xf>
    <xf numFmtId="169" fontId="0" fillId="0" borderId="11" xfId="0" applyNumberFormat="1" applyBorder="1">
      <alignment vertical="top"/>
    </xf>
    <xf numFmtId="169" fontId="0" fillId="0" borderId="59" xfId="0" applyNumberFormat="1" applyBorder="1" applyAlignment="1">
      <alignment horizontal="center" vertical="top"/>
    </xf>
    <xf numFmtId="169" fontId="2" fillId="0" borderId="11" xfId="0" applyNumberFormat="1" applyFont="1" applyBorder="1" applyAlignment="1">
      <alignment horizontal="center" vertical="top"/>
    </xf>
    <xf numFmtId="169" fontId="2" fillId="0" borderId="59" xfId="0" applyNumberFormat="1" applyFont="1" applyBorder="1" applyAlignment="1">
      <alignment horizontal="center" vertical="top"/>
    </xf>
    <xf numFmtId="169" fontId="2" fillId="0" borderId="12" xfId="0" applyNumberFormat="1" applyFont="1" applyBorder="1" applyAlignment="1">
      <alignment horizontal="center" vertical="top"/>
    </xf>
    <xf numFmtId="169" fontId="2" fillId="0" borderId="9" xfId="0" applyNumberFormat="1" applyFont="1" applyBorder="1" applyAlignment="1">
      <alignment horizontal="center" vertical="top"/>
    </xf>
    <xf numFmtId="169" fontId="2" fillId="0" borderId="10" xfId="0" applyNumberFormat="1" applyFont="1" applyBorder="1" applyAlignment="1">
      <alignment horizontal="center" vertical="top"/>
    </xf>
    <xf numFmtId="169" fontId="0" fillId="0" borderId="9" xfId="0" applyNumberFormat="1" applyBorder="1">
      <alignment vertical="top"/>
    </xf>
    <xf numFmtId="169" fontId="0" fillId="0" borderId="10" xfId="0" applyNumberFormat="1" applyBorder="1">
      <alignment vertical="top"/>
    </xf>
    <xf numFmtId="169" fontId="2" fillId="0" borderId="67" xfId="0" applyNumberFormat="1" applyFont="1" applyBorder="1" applyAlignment="1">
      <alignment horizontal="center" vertical="top"/>
    </xf>
    <xf numFmtId="169" fontId="2" fillId="0" borderId="41" xfId="0" applyNumberFormat="1" applyFont="1" applyBorder="1" applyAlignment="1">
      <alignment horizontal="center" vertical="top"/>
    </xf>
    <xf numFmtId="169" fontId="2" fillId="0" borderId="3" xfId="0" applyNumberFormat="1" applyFont="1" applyBorder="1" applyAlignment="1">
      <alignment horizontal="center" vertical="top"/>
    </xf>
    <xf numFmtId="169" fontId="2" fillId="0" borderId="57" xfId="0" applyNumberFormat="1" applyFont="1" applyBorder="1" applyAlignment="1">
      <alignment horizontal="center" vertical="top"/>
    </xf>
    <xf numFmtId="169" fontId="0" fillId="0" borderId="3" xfId="0" applyNumberFormat="1" applyBorder="1">
      <alignment vertical="top"/>
    </xf>
    <xf numFmtId="169" fontId="0" fillId="0" borderId="57" xfId="0" applyNumberFormat="1" applyBorder="1">
      <alignment vertical="top"/>
    </xf>
    <xf numFmtId="169" fontId="2" fillId="0" borderId="58" xfId="0" applyNumberFormat="1" applyFont="1" applyBorder="1" applyAlignment="1">
      <alignment horizontal="center" vertical="top"/>
    </xf>
    <xf numFmtId="169" fontId="20" fillId="6" borderId="60" xfId="0" applyNumberFormat="1" applyFont="1" applyFill="1" applyBorder="1" applyAlignment="1">
      <alignment vertical="center"/>
    </xf>
    <xf numFmtId="169" fontId="20" fillId="6" borderId="6" xfId="0" applyNumberFormat="1" applyFont="1" applyFill="1" applyBorder="1" applyAlignment="1">
      <alignment vertical="center"/>
    </xf>
    <xf numFmtId="169" fontId="2" fillId="0" borderId="0" xfId="0" applyNumberFormat="1" applyFont="1" applyAlignment="1">
      <alignment horizontal="center" vertical="top"/>
    </xf>
    <xf numFmtId="169" fontId="0" fillId="0" borderId="0" xfId="0" applyNumberFormat="1">
      <alignment vertical="top"/>
    </xf>
    <xf numFmtId="0" fontId="1" fillId="6" borderId="94" xfId="0" applyFont="1" applyFill="1" applyBorder="1" applyAlignment="1">
      <alignment horizontal="left" vertical="top" wrapText="1"/>
    </xf>
    <xf numFmtId="1" fontId="20" fillId="6" borderId="18" xfId="0" applyNumberFormat="1" applyFont="1" applyFill="1" applyBorder="1" applyAlignment="1">
      <alignment horizontal="center" vertical="top"/>
    </xf>
    <xf numFmtId="1" fontId="20" fillId="6" borderId="11" xfId="0" applyNumberFormat="1" applyFont="1" applyFill="1" applyBorder="1" applyAlignment="1">
      <alignment horizontal="center" vertical="top"/>
    </xf>
    <xf numFmtId="1" fontId="20" fillId="6" borderId="60" xfId="0" applyNumberFormat="1" applyFont="1" applyFill="1" applyBorder="1" applyAlignment="1">
      <alignment horizontal="center" vertical="top"/>
    </xf>
    <xf numFmtId="1" fontId="20" fillId="6" borderId="57" xfId="0" applyNumberFormat="1" applyFont="1" applyFill="1" applyBorder="1" applyAlignment="1">
      <alignment horizontal="center" vertical="top"/>
    </xf>
    <xf numFmtId="1" fontId="20" fillId="6" borderId="10" xfId="0" applyNumberFormat="1" applyFont="1" applyFill="1" applyBorder="1" applyAlignment="1">
      <alignment horizontal="center" vertical="top"/>
    </xf>
    <xf numFmtId="1" fontId="20" fillId="6" borderId="16" xfId="0" applyNumberFormat="1" applyFont="1" applyFill="1" applyBorder="1" applyAlignment="1">
      <alignment horizontal="center" vertical="top"/>
    </xf>
    <xf numFmtId="1" fontId="2" fillId="6" borderId="16" xfId="0" applyNumberFormat="1" applyFont="1" applyFill="1" applyBorder="1" applyAlignment="1">
      <alignment horizontal="center" vertical="top"/>
    </xf>
    <xf numFmtId="1" fontId="20" fillId="6" borderId="60" xfId="0" applyNumberFormat="1" applyFont="1" applyFill="1" applyBorder="1" applyAlignment="1">
      <alignment horizontal="center" vertical="center"/>
    </xf>
    <xf numFmtId="0" fontId="2" fillId="0" borderId="27" xfId="0" applyFont="1" applyBorder="1" applyAlignment="1">
      <alignment horizontal="justify" vertical="center" wrapText="1"/>
    </xf>
    <xf numFmtId="0" fontId="41" fillId="0" borderId="15" xfId="0" applyFont="1" applyBorder="1" applyAlignment="1">
      <alignment horizontal="justify" vertical="center" wrapText="1"/>
    </xf>
    <xf numFmtId="0" fontId="41" fillId="0" borderId="15" xfId="0" applyFont="1" applyBorder="1" applyAlignment="1">
      <alignment horizontal="center" vertical="center" wrapText="1"/>
    </xf>
    <xf numFmtId="0" fontId="0" fillId="0" borderId="14" xfId="0" applyBorder="1" applyAlignment="1">
      <alignment vertical="center"/>
    </xf>
    <xf numFmtId="0" fontId="41" fillId="0" borderId="15" xfId="0" applyFont="1" applyFill="1" applyBorder="1" applyAlignment="1">
      <alignment horizontal="left" vertical="center" wrapText="1"/>
    </xf>
    <xf numFmtId="0" fontId="41" fillId="0" borderId="16" xfId="0" applyFont="1" applyBorder="1" applyAlignment="1">
      <alignment horizontal="justify" vertical="center" wrapText="1"/>
    </xf>
    <xf numFmtId="0" fontId="0" fillId="0" borderId="16" xfId="0" applyBorder="1" applyAlignment="1">
      <alignment horizontal="center" vertical="center"/>
    </xf>
    <xf numFmtId="0" fontId="0" fillId="0" borderId="15" xfId="0" applyBorder="1" applyAlignment="1">
      <alignment vertical="center"/>
    </xf>
    <xf numFmtId="169" fontId="0" fillId="0" borderId="15" xfId="0" applyNumberFormat="1" applyBorder="1" applyAlignment="1">
      <alignment vertical="center"/>
    </xf>
    <xf numFmtId="169" fontId="0" fillId="0" borderId="16" xfId="0" applyNumberFormat="1" applyBorder="1" applyAlignment="1">
      <alignment vertical="center"/>
    </xf>
    <xf numFmtId="1" fontId="20" fillId="6" borderId="16" xfId="0" applyNumberFormat="1" applyFont="1" applyFill="1" applyBorder="1" applyAlignment="1">
      <alignment horizontal="center" vertical="center"/>
    </xf>
    <xf numFmtId="0" fontId="0" fillId="0" borderId="16" xfId="0" applyBorder="1" applyAlignment="1">
      <alignment vertical="center"/>
    </xf>
    <xf numFmtId="0" fontId="2" fillId="0" borderId="27" xfId="0" applyFont="1" applyBorder="1" applyAlignment="1">
      <alignment vertical="center" wrapText="1"/>
    </xf>
    <xf numFmtId="169" fontId="11" fillId="0" borderId="17" xfId="41" applyFont="1" applyBorder="1" applyAlignment="1">
      <alignment vertical="top"/>
    </xf>
    <xf numFmtId="170" fontId="11" fillId="0" borderId="20" xfId="41" applyNumberFormat="1" applyFont="1" applyBorder="1" applyAlignment="1">
      <alignment vertical="top"/>
    </xf>
    <xf numFmtId="170" fontId="11" fillId="0" borderId="20" xfId="41" applyNumberFormat="1" applyFont="1" applyBorder="1" applyAlignment="1">
      <alignment horizontal="justify" vertical="top"/>
    </xf>
    <xf numFmtId="170" fontId="5" fillId="0" borderId="65" xfId="41" applyNumberFormat="1" applyFont="1" applyBorder="1" applyAlignment="1">
      <alignment horizontal="justify" vertical="top"/>
    </xf>
    <xf numFmtId="170" fontId="11" fillId="0" borderId="20" xfId="41" applyNumberFormat="1" applyFont="1" applyBorder="1" applyAlignment="1">
      <alignment horizontal="center" vertical="top"/>
    </xf>
    <xf numFmtId="169" fontId="11" fillId="0" borderId="20" xfId="41" applyFont="1" applyBorder="1" applyAlignment="1">
      <alignment horizontal="center" vertical="top"/>
    </xf>
    <xf numFmtId="169" fontId="11" fillId="0" borderId="20" xfId="41" applyFont="1" applyBorder="1" applyAlignment="1">
      <alignment vertical="top"/>
    </xf>
    <xf numFmtId="170" fontId="11" fillId="0" borderId="20" xfId="41" applyNumberFormat="1" applyFont="1" applyFill="1" applyBorder="1" applyAlignment="1">
      <alignment horizontal="center" vertical="top"/>
    </xf>
    <xf numFmtId="169" fontId="11" fillId="0" borderId="20" xfId="41" applyFont="1" applyFill="1" applyBorder="1" applyAlignment="1">
      <alignment vertical="top"/>
    </xf>
    <xf numFmtId="169" fontId="11" fillId="6" borderId="13" xfId="41" applyFont="1" applyFill="1" applyBorder="1" applyAlignment="1">
      <alignment vertical="top"/>
    </xf>
    <xf numFmtId="169" fontId="11" fillId="0" borderId="13" xfId="41" applyFont="1" applyBorder="1" applyAlignment="1">
      <alignment vertical="top"/>
    </xf>
    <xf numFmtId="169" fontId="11" fillId="0" borderId="12" xfId="41" applyFont="1" applyBorder="1" applyAlignment="1">
      <alignment vertical="top"/>
    </xf>
    <xf numFmtId="170" fontId="11" fillId="0" borderId="9" xfId="41" applyNumberFormat="1" applyFont="1" applyBorder="1" applyAlignment="1">
      <alignment vertical="top"/>
    </xf>
    <xf numFmtId="0" fontId="0" fillId="0" borderId="48" xfId="0" applyBorder="1">
      <alignment vertical="top"/>
    </xf>
    <xf numFmtId="169" fontId="11" fillId="0" borderId="9" xfId="41" applyFont="1" applyFill="1" applyBorder="1" applyAlignment="1">
      <alignment vertical="top"/>
    </xf>
    <xf numFmtId="170" fontId="11" fillId="32" borderId="62" xfId="41" applyNumberFormat="1" applyFont="1" applyFill="1" applyBorder="1" applyAlignment="1">
      <alignment horizontal="justify" vertical="top"/>
    </xf>
    <xf numFmtId="170" fontId="5" fillId="32" borderId="2" xfId="41" applyNumberFormat="1" applyFont="1" applyFill="1" applyBorder="1" applyAlignment="1">
      <alignment horizontal="justify" vertical="top"/>
    </xf>
    <xf numFmtId="170" fontId="11" fillId="32" borderId="2" xfId="41" applyNumberFormat="1" applyFont="1" applyFill="1" applyBorder="1" applyAlignment="1">
      <alignment horizontal="justify" vertical="top"/>
    </xf>
    <xf numFmtId="0" fontId="0" fillId="32" borderId="2" xfId="0" applyFill="1" applyBorder="1">
      <alignment vertical="top"/>
    </xf>
    <xf numFmtId="0" fontId="0" fillId="32" borderId="2" xfId="0" applyFill="1" applyBorder="1" applyAlignment="1">
      <alignment vertical="top" wrapText="1"/>
    </xf>
    <xf numFmtId="0" fontId="0" fillId="32" borderId="21" xfId="0" applyFill="1" applyBorder="1">
      <alignment vertical="top"/>
    </xf>
    <xf numFmtId="0" fontId="2" fillId="0" borderId="62" xfId="0" applyFont="1" applyBorder="1" applyAlignment="1">
      <alignment horizontal="left" vertical="center"/>
    </xf>
    <xf numFmtId="0" fontId="2" fillId="0" borderId="20" xfId="0" applyFont="1" applyBorder="1" applyAlignment="1">
      <alignment horizontal="justify" vertical="center"/>
    </xf>
    <xf numFmtId="0" fontId="2" fillId="0" borderId="21" xfId="0" applyFont="1" applyBorder="1" applyAlignment="1">
      <alignment horizontal="left" vertical="center" wrapText="1"/>
    </xf>
    <xf numFmtId="0" fontId="2" fillId="0" borderId="48" xfId="0" applyFont="1" applyBorder="1" applyAlignment="1">
      <alignment horizontal="left" vertical="center" wrapText="1"/>
    </xf>
    <xf numFmtId="0" fontId="2" fillId="0" borderId="5" xfId="0" applyFont="1" applyBorder="1" applyAlignment="1">
      <alignment horizontal="justify" vertical="center" wrapText="1"/>
    </xf>
    <xf numFmtId="0" fontId="2" fillId="0" borderId="3" xfId="0" applyFont="1" applyBorder="1" applyAlignment="1">
      <alignment horizontal="justify" vertical="center" wrapText="1"/>
    </xf>
    <xf numFmtId="0" fontId="2" fillId="0" borderId="4" xfId="0" applyFont="1" applyBorder="1" applyAlignment="1">
      <alignment horizontal="left" vertical="center" wrapText="1"/>
    </xf>
    <xf numFmtId="0" fontId="2" fillId="0" borderId="5"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4" xfId="0" applyFont="1" applyBorder="1" applyAlignment="1">
      <alignment horizontal="center" vertical="center" wrapText="1"/>
    </xf>
    <xf numFmtId="0" fontId="44" fillId="0" borderId="3" xfId="0" applyFont="1" applyBorder="1" applyAlignment="1">
      <alignment horizontal="center" vertical="center" wrapText="1"/>
    </xf>
    <xf numFmtId="0" fontId="2" fillId="0" borderId="62" xfId="0" applyFont="1" applyFill="1" applyBorder="1" applyAlignment="1">
      <alignment horizontal="justify" vertical="center" wrapText="1"/>
    </xf>
    <xf numFmtId="0" fontId="2" fillId="0" borderId="62" xfId="0" applyFont="1" applyBorder="1" applyAlignment="1">
      <alignment horizontal="justify" vertical="center" wrapText="1"/>
    </xf>
    <xf numFmtId="0" fontId="2" fillId="26" borderId="6" xfId="0" applyNumberFormat="1" applyFont="1" applyFill="1" applyBorder="1" applyAlignment="1">
      <alignment horizontal="center" vertical="center" wrapText="1"/>
    </xf>
    <xf numFmtId="0" fontId="1" fillId="32" borderId="5" xfId="0" applyFont="1" applyFill="1" applyBorder="1" applyAlignment="1">
      <alignment horizontal="left" vertical="center"/>
    </xf>
    <xf numFmtId="0" fontId="2" fillId="32" borderId="3" xfId="0" applyFont="1" applyFill="1" applyBorder="1" applyAlignment="1">
      <alignment vertical="center"/>
    </xf>
    <xf numFmtId="0" fontId="2" fillId="32" borderId="4" xfId="0" applyNumberFormat="1" applyFont="1" applyFill="1" applyBorder="1" applyAlignment="1">
      <alignment horizontal="left" vertical="center" wrapText="1"/>
    </xf>
    <xf numFmtId="2" fontId="2" fillId="0" borderId="5"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xf>
    <xf numFmtId="0" fontId="2" fillId="0" borderId="41" xfId="0" applyNumberFormat="1" applyFont="1" applyFill="1" applyBorder="1" applyAlignment="1">
      <alignment horizontal="center" vertical="top" wrapText="1"/>
    </xf>
    <xf numFmtId="0" fontId="2" fillId="0" borderId="3" xfId="0" applyNumberFormat="1" applyFont="1" applyFill="1" applyBorder="1" applyAlignment="1">
      <alignment horizontal="center" vertical="top" wrapText="1"/>
    </xf>
    <xf numFmtId="0" fontId="2" fillId="0" borderId="57" xfId="0" applyNumberFormat="1" applyFont="1" applyFill="1" applyBorder="1" applyAlignment="1">
      <alignment horizontal="center" vertical="top" wrapText="1"/>
    </xf>
    <xf numFmtId="0" fontId="2" fillId="0" borderId="41" xfId="0" applyFont="1" applyFill="1" applyBorder="1" applyAlignment="1">
      <alignment horizontal="center" vertical="center" wrapText="1"/>
    </xf>
    <xf numFmtId="0" fontId="2" fillId="0" borderId="3" xfId="0" applyFont="1" applyFill="1" applyBorder="1" applyAlignment="1">
      <alignment horizontal="center"/>
    </xf>
    <xf numFmtId="173" fontId="2" fillId="0" borderId="3" xfId="0" applyNumberFormat="1" applyFont="1" applyFill="1" applyBorder="1" applyAlignment="1">
      <alignment horizontal="center" vertical="center"/>
    </xf>
    <xf numFmtId="0" fontId="2" fillId="0" borderId="3" xfId="0" applyFont="1" applyFill="1" applyBorder="1" applyAlignment="1">
      <alignment horizontal="center" vertical="center"/>
    </xf>
    <xf numFmtId="0" fontId="2" fillId="0" borderId="57"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2" fillId="27" borderId="2" xfId="0" applyFont="1" applyFill="1" applyBorder="1" applyAlignment="1">
      <alignment horizontal="justify" vertical="center" wrapText="1"/>
    </xf>
    <xf numFmtId="0" fontId="2" fillId="0" borderId="21" xfId="0" applyFont="1" applyFill="1" applyBorder="1" applyAlignment="1">
      <alignment horizontal="justify" vertical="center" wrapText="1"/>
    </xf>
    <xf numFmtId="169" fontId="2" fillId="26" borderId="2" xfId="0" applyNumberFormat="1" applyFont="1" applyFill="1" applyBorder="1" applyAlignment="1">
      <alignment horizontal="justify" vertical="center" wrapText="1"/>
    </xf>
    <xf numFmtId="2" fontId="2" fillId="26" borderId="6" xfId="0" applyNumberFormat="1" applyFont="1" applyFill="1" applyBorder="1" applyAlignment="1">
      <alignment horizontal="center" vertical="center" wrapText="1"/>
    </xf>
    <xf numFmtId="0" fontId="2" fillId="21" borderId="67" xfId="0" applyFont="1" applyFill="1" applyBorder="1">
      <alignment vertical="top"/>
    </xf>
    <xf numFmtId="0" fontId="2" fillId="0" borderId="114" xfId="0" applyFont="1" applyBorder="1" applyProtection="1">
      <alignment vertical="top"/>
      <protection locked="0"/>
    </xf>
    <xf numFmtId="0" fontId="2" fillId="0" borderId="115" xfId="0" applyFont="1" applyBorder="1" applyAlignment="1" applyProtection="1">
      <alignment vertical="center"/>
      <protection locked="0"/>
    </xf>
    <xf numFmtId="0" fontId="2" fillId="0" borderId="116" xfId="0" applyFont="1" applyBorder="1" applyAlignment="1" applyProtection="1">
      <alignment vertical="center"/>
      <protection locked="0"/>
    </xf>
    <xf numFmtId="0" fontId="2" fillId="0" borderId="114" xfId="0" applyFont="1" applyBorder="1" applyAlignment="1" applyProtection="1">
      <alignment horizontal="center" vertical="center"/>
      <protection locked="0"/>
    </xf>
    <xf numFmtId="0" fontId="2" fillId="22" borderId="114" xfId="0" applyFont="1" applyFill="1" applyBorder="1" applyAlignment="1" applyProtection="1">
      <alignment horizontal="center" vertical="center"/>
      <protection locked="0"/>
    </xf>
    <xf numFmtId="172" fontId="2" fillId="0" borderId="114" xfId="0" applyNumberFormat="1" applyFont="1" applyBorder="1" applyAlignment="1" applyProtection="1">
      <alignment horizontal="center" vertical="center"/>
      <protection locked="0"/>
    </xf>
    <xf numFmtId="170" fontId="2" fillId="0" borderId="114" xfId="41" applyNumberFormat="1" applyFont="1" applyBorder="1" applyAlignment="1" applyProtection="1">
      <alignment horizontal="justify" vertical="center"/>
      <protection locked="0"/>
    </xf>
    <xf numFmtId="170" fontId="2" fillId="0" borderId="117" xfId="41" applyNumberFormat="1" applyFont="1" applyFill="1" applyBorder="1" applyAlignment="1" applyProtection="1">
      <alignment horizontal="justify" vertical="center"/>
      <protection locked="0"/>
    </xf>
    <xf numFmtId="170" fontId="2" fillId="0" borderId="118" xfId="41" applyNumberFormat="1" applyFont="1" applyFill="1" applyBorder="1" applyAlignment="1" applyProtection="1">
      <alignment horizontal="justify" vertical="center"/>
      <protection locked="0"/>
    </xf>
    <xf numFmtId="170" fontId="2" fillId="0" borderId="119" xfId="41" applyNumberFormat="1" applyFont="1" applyFill="1" applyBorder="1" applyAlignment="1" applyProtection="1">
      <alignment horizontal="justify" vertical="center"/>
      <protection locked="0"/>
    </xf>
    <xf numFmtId="0" fontId="2" fillId="22" borderId="120" xfId="41" applyNumberFormat="1" applyFont="1" applyFill="1" applyBorder="1" applyAlignment="1" applyProtection="1">
      <alignment horizontal="center" vertical="center"/>
      <protection locked="0"/>
    </xf>
    <xf numFmtId="170" fontId="2" fillId="0" borderId="114" xfId="41" applyNumberFormat="1" applyFont="1" applyFill="1" applyBorder="1" applyAlignment="1" applyProtection="1">
      <alignment horizontal="justify" vertical="top"/>
      <protection locked="0"/>
    </xf>
    <xf numFmtId="0" fontId="2" fillId="0" borderId="114" xfId="0" applyFont="1" applyFill="1" applyBorder="1" applyProtection="1">
      <alignment vertical="top"/>
      <protection locked="0"/>
    </xf>
    <xf numFmtId="0" fontId="2" fillId="0" borderId="121" xfId="0" applyFont="1" applyBorder="1" applyAlignment="1">
      <alignment vertical="center"/>
    </xf>
    <xf numFmtId="0" fontId="2" fillId="0" borderId="122" xfId="0" applyFont="1" applyBorder="1" applyAlignment="1">
      <alignment vertical="center"/>
    </xf>
    <xf numFmtId="0" fontId="2" fillId="0" borderId="123" xfId="0" applyFont="1" applyBorder="1" applyAlignment="1">
      <alignment vertical="center"/>
    </xf>
    <xf numFmtId="0" fontId="2" fillId="0" borderId="121" xfId="0" applyFont="1" applyBorder="1" applyAlignment="1">
      <alignment horizontal="center" vertical="center"/>
    </xf>
    <xf numFmtId="0" fontId="0" fillId="22" borderId="121" xfId="0" applyFill="1" applyBorder="1" applyAlignment="1">
      <alignment horizontal="center" vertical="center"/>
    </xf>
    <xf numFmtId="0" fontId="2" fillId="0" borderId="121" xfId="0" applyFont="1" applyBorder="1" applyAlignment="1">
      <alignment vertical="center" wrapText="1"/>
    </xf>
    <xf numFmtId="0" fontId="2" fillId="0" borderId="124" xfId="0" applyFont="1" applyBorder="1" applyAlignment="1">
      <alignment horizontal="center" vertical="center"/>
    </xf>
    <xf numFmtId="169" fontId="2" fillId="0" borderId="121" xfId="0" applyNumberFormat="1" applyFont="1" applyBorder="1" applyAlignment="1">
      <alignment horizontal="left" vertical="center"/>
    </xf>
    <xf numFmtId="169" fontId="2" fillId="0" borderId="125" xfId="0" applyNumberFormat="1" applyFont="1" applyFill="1" applyBorder="1" applyAlignment="1">
      <alignment horizontal="center" vertical="center"/>
    </xf>
    <xf numFmtId="0" fontId="0" fillId="22" borderId="126" xfId="0" applyFill="1" applyBorder="1" applyAlignment="1">
      <alignment horizontal="center" vertical="center"/>
    </xf>
    <xf numFmtId="0" fontId="29" fillId="0" borderId="121" xfId="0" applyFont="1" applyBorder="1" applyAlignment="1">
      <alignment vertical="center"/>
    </xf>
    <xf numFmtId="0" fontId="2" fillId="0" borderId="121" xfId="0" applyFont="1" applyBorder="1">
      <alignment vertical="top"/>
    </xf>
    <xf numFmtId="0" fontId="0" fillId="22" borderId="124" xfId="0" applyFill="1" applyBorder="1" applyAlignment="1">
      <alignment horizontal="center" vertical="center"/>
    </xf>
    <xf numFmtId="0" fontId="0" fillId="0" borderId="121" xfId="0" applyBorder="1" applyAlignment="1">
      <alignment horizontal="center" vertical="center"/>
    </xf>
    <xf numFmtId="170" fontId="0" fillId="0" borderId="121" xfId="0" applyNumberFormat="1" applyBorder="1" applyAlignment="1">
      <alignment horizontal="center" vertical="center"/>
    </xf>
    <xf numFmtId="169" fontId="2" fillId="0" borderId="121" xfId="0" applyNumberFormat="1" applyFont="1" applyFill="1" applyBorder="1" applyAlignment="1">
      <alignment horizontal="left" vertical="center"/>
    </xf>
    <xf numFmtId="0" fontId="2" fillId="0" borderId="121" xfId="0" applyFont="1" applyBorder="1" applyAlignment="1">
      <alignment horizontal="left" vertical="center"/>
    </xf>
    <xf numFmtId="0" fontId="2" fillId="0" borderId="122" xfId="0" applyFont="1" applyBorder="1" applyAlignment="1">
      <alignment horizontal="left" vertical="center"/>
    </xf>
    <xf numFmtId="0" fontId="2" fillId="0" borderId="123" xfId="0" applyFont="1" applyBorder="1" applyAlignment="1">
      <alignment horizontal="left" vertical="center"/>
    </xf>
    <xf numFmtId="0" fontId="2" fillId="0" borderId="121" xfId="0" applyFont="1" applyBorder="1" applyAlignment="1">
      <alignment horizontal="left" vertical="center" wrapText="1"/>
    </xf>
    <xf numFmtId="0" fontId="0" fillId="0" borderId="124" xfId="0" applyBorder="1" applyAlignment="1">
      <alignment horizontal="center" vertical="center"/>
    </xf>
    <xf numFmtId="0" fontId="2" fillId="0" borderId="121" xfId="0" applyFont="1" applyFill="1" applyBorder="1" applyAlignment="1">
      <alignment horizontal="center" vertical="center"/>
    </xf>
    <xf numFmtId="0" fontId="2" fillId="0" borderId="121" xfId="0" applyFont="1" applyFill="1" applyBorder="1" applyAlignment="1">
      <alignment horizontal="left" vertical="center"/>
    </xf>
    <xf numFmtId="0" fontId="0" fillId="0" borderId="125" xfId="0" applyBorder="1" applyAlignment="1">
      <alignment horizontal="center" vertical="center"/>
    </xf>
    <xf numFmtId="0" fontId="2" fillId="0" borderId="125" xfId="0" applyFont="1" applyFill="1" applyBorder="1" applyAlignment="1">
      <alignment horizontal="center" vertical="center"/>
    </xf>
    <xf numFmtId="0" fontId="2" fillId="0" borderId="122" xfId="0" applyFont="1" applyBorder="1" applyProtection="1">
      <alignment vertical="top"/>
      <protection locked="0"/>
    </xf>
    <xf numFmtId="0" fontId="2" fillId="0" borderId="122" xfId="0" applyFont="1" applyBorder="1" applyAlignment="1" applyProtection="1">
      <alignment vertical="center"/>
      <protection locked="0"/>
    </xf>
    <xf numFmtId="0" fontId="2" fillId="0" borderId="123" xfId="0" applyFont="1" applyFill="1" applyBorder="1" applyAlignment="1" applyProtection="1">
      <alignment vertical="center" wrapText="1"/>
      <protection locked="0"/>
    </xf>
    <xf numFmtId="0" fontId="2" fillId="20" borderId="121" xfId="0" applyFont="1" applyFill="1" applyBorder="1" applyAlignment="1" applyProtection="1">
      <alignment horizontal="center" vertical="center"/>
      <protection locked="0"/>
    </xf>
    <xf numFmtId="0" fontId="2" fillId="22" borderId="121" xfId="0" applyFont="1" applyFill="1" applyBorder="1" applyAlignment="1" applyProtection="1">
      <alignment horizontal="center" vertical="center"/>
      <protection locked="0"/>
    </xf>
    <xf numFmtId="0" fontId="2" fillId="7" borderId="121" xfId="0" applyFont="1" applyFill="1" applyBorder="1" applyAlignment="1" applyProtection="1">
      <alignment horizontal="center" vertical="center"/>
      <protection locked="0"/>
    </xf>
    <xf numFmtId="2" fontId="2" fillId="0" borderId="121" xfId="0" applyNumberFormat="1" applyFont="1" applyFill="1" applyBorder="1" applyAlignment="1" applyProtection="1">
      <alignment horizontal="center" vertical="center"/>
      <protection locked="0"/>
    </xf>
    <xf numFmtId="2" fontId="2" fillId="8" borderId="121" xfId="0" applyNumberFormat="1" applyFont="1" applyFill="1" applyBorder="1" applyAlignment="1" applyProtection="1">
      <alignment horizontal="center" vertical="center"/>
      <protection locked="0"/>
    </xf>
    <xf numFmtId="172" fontId="2" fillId="8" borderId="121" xfId="0" applyNumberFormat="1" applyFont="1" applyFill="1" applyBorder="1" applyAlignment="1" applyProtection="1">
      <alignment horizontal="center" vertical="center"/>
      <protection locked="0"/>
    </xf>
    <xf numFmtId="172" fontId="2" fillId="7" borderId="121" xfId="0" applyNumberFormat="1" applyFont="1" applyFill="1" applyBorder="1" applyAlignment="1" applyProtection="1">
      <alignment horizontal="center" vertical="center"/>
      <protection locked="0"/>
    </xf>
    <xf numFmtId="0" fontId="2" fillId="0" borderId="121" xfId="0" applyFont="1" applyFill="1" applyBorder="1" applyAlignment="1" applyProtection="1">
      <alignment horizontal="center" vertical="center"/>
      <protection locked="0"/>
    </xf>
    <xf numFmtId="170" fontId="2" fillId="0" borderId="121" xfId="41" applyNumberFormat="1" applyFont="1" applyBorder="1" applyAlignment="1" applyProtection="1">
      <alignment horizontal="justify" vertical="center"/>
      <protection locked="0"/>
    </xf>
    <xf numFmtId="169" fontId="2" fillId="0" borderId="121" xfId="0" applyNumberFormat="1" applyFont="1" applyFill="1" applyBorder="1" applyAlignment="1">
      <alignment horizontal="center" vertical="center"/>
    </xf>
    <xf numFmtId="170" fontId="2" fillId="0" borderId="121" xfId="41" applyNumberFormat="1" applyFont="1" applyFill="1" applyBorder="1" applyAlignment="1" applyProtection="1">
      <alignment horizontal="justify" vertical="top"/>
      <protection locked="0"/>
    </xf>
    <xf numFmtId="0" fontId="2" fillId="0" borderId="121" xfId="0" applyFont="1" applyFill="1" applyBorder="1" applyProtection="1">
      <alignment vertical="top"/>
      <protection locked="0"/>
    </xf>
    <xf numFmtId="0" fontId="2" fillId="0" borderId="123" xfId="0" applyFont="1" applyFill="1" applyBorder="1" applyAlignment="1" applyProtection="1">
      <alignment vertical="center"/>
      <protection locked="0"/>
    </xf>
    <xf numFmtId="172" fontId="2" fillId="0" borderId="121" xfId="0" applyNumberFormat="1" applyFont="1" applyFill="1" applyBorder="1" applyAlignment="1" applyProtection="1">
      <alignment horizontal="center" vertical="center"/>
      <protection locked="0"/>
    </xf>
    <xf numFmtId="169" fontId="2" fillId="0" borderId="121" xfId="0" applyNumberFormat="1" applyFont="1" applyFill="1" applyBorder="1" applyAlignment="1" applyProtection="1">
      <alignment horizontal="center" vertical="center"/>
      <protection locked="0"/>
    </xf>
    <xf numFmtId="0" fontId="25" fillId="0" borderId="121" xfId="0" applyFont="1" applyFill="1" applyBorder="1" applyAlignment="1" applyProtection="1">
      <alignment horizontal="center" vertical="center"/>
      <protection locked="0"/>
    </xf>
    <xf numFmtId="0" fontId="2" fillId="0" borderId="121" xfId="0" applyFont="1" applyBorder="1" applyAlignment="1" applyProtection="1">
      <alignment vertical="center"/>
      <protection locked="0"/>
    </xf>
    <xf numFmtId="0" fontId="2" fillId="0" borderId="127" xfId="0" applyFont="1" applyBorder="1" applyAlignment="1">
      <alignment vertical="center"/>
    </xf>
    <xf numFmtId="0" fontId="0" fillId="0" borderId="128" xfId="0" applyBorder="1" applyAlignment="1">
      <alignment vertical="center"/>
    </xf>
    <xf numFmtId="0" fontId="0" fillId="0" borderId="129" xfId="0" applyBorder="1" applyAlignment="1">
      <alignment vertical="center"/>
    </xf>
    <xf numFmtId="0" fontId="0" fillId="22" borderId="127" xfId="0" applyFill="1" applyBorder="1" applyAlignment="1">
      <alignment horizontal="center" vertical="center"/>
    </xf>
    <xf numFmtId="0" fontId="2" fillId="22" borderId="127" xfId="0" applyFont="1" applyFill="1" applyBorder="1" applyAlignment="1">
      <alignment horizontal="center" vertical="center"/>
    </xf>
    <xf numFmtId="0" fontId="0" fillId="0" borderId="127" xfId="0" applyFill="1" applyBorder="1" applyAlignment="1">
      <alignment horizontal="center" vertical="center"/>
    </xf>
    <xf numFmtId="0" fontId="2" fillId="0" borderId="127" xfId="0" applyFont="1" applyBorder="1" applyAlignment="1">
      <alignment horizontal="center" vertical="center"/>
    </xf>
    <xf numFmtId="0" fontId="2" fillId="0" borderId="127" xfId="0" applyFont="1" applyBorder="1" applyAlignment="1">
      <alignment vertical="center" wrapText="1"/>
    </xf>
    <xf numFmtId="0" fontId="0" fillId="22" borderId="130" xfId="0" applyFill="1" applyBorder="1" applyAlignment="1">
      <alignment horizontal="center" vertical="center"/>
    </xf>
    <xf numFmtId="0" fontId="0" fillId="0" borderId="127" xfId="0" applyBorder="1" applyAlignment="1">
      <alignment horizontal="center" vertical="center"/>
    </xf>
    <xf numFmtId="170" fontId="0" fillId="0" borderId="127" xfId="0" applyNumberFormat="1" applyBorder="1" applyAlignment="1">
      <alignment horizontal="center" vertical="center"/>
    </xf>
    <xf numFmtId="169" fontId="2" fillId="0" borderId="127" xfId="0" applyNumberFormat="1" applyFont="1" applyFill="1" applyBorder="1" applyAlignment="1">
      <alignment horizontal="left" vertical="center"/>
    </xf>
    <xf numFmtId="169" fontId="0" fillId="0" borderId="131" xfId="0" applyNumberFormat="1" applyBorder="1" applyAlignment="1">
      <alignment horizontal="center" vertical="center"/>
    </xf>
    <xf numFmtId="0" fontId="0" fillId="22" borderId="132" xfId="0" applyFill="1" applyBorder="1" applyAlignment="1">
      <alignment horizontal="center" vertical="center"/>
    </xf>
    <xf numFmtId="169" fontId="2" fillId="0" borderId="7" xfId="13" applyNumberFormat="1" applyFont="1" applyFill="1" applyBorder="1" applyAlignment="1">
      <alignment horizontal="left" vertical="center"/>
    </xf>
    <xf numFmtId="0" fontId="2" fillId="0" borderId="7" xfId="13" applyFont="1" applyFill="1" applyBorder="1" applyAlignment="1">
      <alignment horizontal="center" vertical="center"/>
    </xf>
    <xf numFmtId="0" fontId="2" fillId="0" borderId="100" xfId="0" applyFont="1" applyBorder="1">
      <alignment vertical="top"/>
    </xf>
    <xf numFmtId="0" fontId="2" fillId="0" borderId="13" xfId="0" applyFont="1" applyBorder="1">
      <alignment vertical="top"/>
    </xf>
    <xf numFmtId="0" fontId="2" fillId="0" borderId="12" xfId="0" applyFont="1" applyBorder="1">
      <alignment vertical="top"/>
    </xf>
    <xf numFmtId="0" fontId="2" fillId="0" borderId="17" xfId="0" applyFont="1" applyBorder="1">
      <alignment vertical="top"/>
    </xf>
    <xf numFmtId="169" fontId="2" fillId="2" borderId="37" xfId="41" applyNumberFormat="1" applyFont="1" applyFill="1" applyBorder="1" applyAlignment="1">
      <alignment horizontal="center" vertical="top" wrapText="1"/>
    </xf>
    <xf numFmtId="170" fontId="2" fillId="26" borderId="37" xfId="41" applyNumberFormat="1" applyFont="1" applyFill="1" applyBorder="1" applyAlignment="1">
      <alignment horizontal="left" vertical="top" wrapText="1"/>
    </xf>
    <xf numFmtId="170" fontId="11" fillId="3" borderId="2" xfId="41" applyNumberFormat="1" applyFont="1" applyFill="1" applyBorder="1" applyAlignment="1">
      <alignment vertical="center"/>
    </xf>
    <xf numFmtId="169" fontId="5" fillId="0" borderId="22" xfId="41" applyNumberFormat="1" applyFont="1" applyBorder="1" applyAlignment="1">
      <alignment vertical="top"/>
    </xf>
    <xf numFmtId="169" fontId="5" fillId="0" borderId="7" xfId="41" applyNumberFormat="1" applyFont="1" applyBorder="1" applyAlignment="1">
      <alignment vertical="top"/>
    </xf>
    <xf numFmtId="169" fontId="5" fillId="0" borderId="22" xfId="41" applyNumberFormat="1" applyFont="1" applyBorder="1" applyAlignment="1">
      <alignment horizontal="left" vertical="top"/>
    </xf>
    <xf numFmtId="169" fontId="5" fillId="0" borderId="7" xfId="41" applyNumberFormat="1" applyFont="1" applyBorder="1" applyAlignment="1">
      <alignment horizontal="justify" vertical="top"/>
    </xf>
    <xf numFmtId="169" fontId="11" fillId="0" borderId="8" xfId="41" applyNumberFormat="1" applyFont="1" applyBorder="1" applyAlignment="1">
      <alignment horizontal="justify" vertical="top"/>
    </xf>
    <xf numFmtId="169" fontId="5" fillId="0" borderId="7" xfId="41" applyNumberFormat="1" applyFont="1" applyBorder="1" applyAlignment="1">
      <alignment horizontal="center" vertical="top"/>
    </xf>
    <xf numFmtId="169" fontId="5" fillId="0" borderId="7" xfId="41" applyNumberFormat="1" applyFont="1" applyFill="1" applyBorder="1" applyAlignment="1">
      <alignment vertical="top"/>
    </xf>
    <xf numFmtId="0" fontId="0" fillId="20" borderId="91" xfId="0" applyFill="1" applyBorder="1" applyAlignment="1">
      <alignment horizontal="center" vertical="top"/>
    </xf>
    <xf numFmtId="0" fontId="0" fillId="20" borderId="104" xfId="0" applyFill="1" applyBorder="1" applyAlignment="1">
      <alignment horizontal="center" vertical="top"/>
    </xf>
    <xf numFmtId="0" fontId="2" fillId="32" borderId="62" xfId="0" applyNumberFormat="1" applyFont="1" applyFill="1" applyBorder="1" applyAlignment="1">
      <alignment horizontal="left" vertical="center" wrapText="1"/>
    </xf>
    <xf numFmtId="0" fontId="2" fillId="32" borderId="2" xfId="0" applyNumberFormat="1" applyFont="1" applyFill="1" applyBorder="1" applyAlignment="1">
      <alignment horizontal="left" vertical="center" wrapText="1"/>
    </xf>
    <xf numFmtId="169" fontId="2" fillId="32" borderId="2" xfId="0" applyNumberFormat="1" applyFont="1" applyFill="1" applyBorder="1" applyAlignment="1">
      <alignment horizontal="left" vertical="center" wrapText="1"/>
    </xf>
    <xf numFmtId="0" fontId="18" fillId="32" borderId="62" xfId="0" applyNumberFormat="1" applyFont="1" applyFill="1" applyBorder="1" applyAlignment="1">
      <alignment horizontal="left" vertical="center" wrapText="1"/>
    </xf>
    <xf numFmtId="0" fontId="2" fillId="32" borderId="21" xfId="0" applyNumberFormat="1" applyFont="1" applyFill="1" applyBorder="1" applyAlignment="1">
      <alignment horizontal="left" vertical="center" wrapText="1"/>
    </xf>
    <xf numFmtId="169" fontId="2" fillId="32" borderId="62" xfId="0" applyNumberFormat="1" applyFont="1" applyFill="1" applyBorder="1" applyAlignment="1">
      <alignment horizontal="left" vertical="top" wrapText="1"/>
    </xf>
    <xf numFmtId="169" fontId="2" fillId="32" borderId="2" xfId="0" applyNumberFormat="1" applyFont="1" applyFill="1" applyBorder="1" applyAlignment="1">
      <alignment horizontal="left" vertical="top" wrapText="1"/>
    </xf>
    <xf numFmtId="0" fontId="2" fillId="32" borderId="21" xfId="0" applyFont="1" applyFill="1" applyBorder="1" applyAlignment="1">
      <alignment horizontal="left" vertical="center" wrapText="1"/>
    </xf>
    <xf numFmtId="0" fontId="18" fillId="32" borderId="62" xfId="0" applyFont="1" applyFill="1" applyBorder="1" applyAlignment="1">
      <alignment horizontal="left" vertical="center" wrapText="1"/>
    </xf>
    <xf numFmtId="0" fontId="2" fillId="32" borderId="2" xfId="0" applyFont="1" applyFill="1" applyBorder="1" applyAlignment="1">
      <alignment horizontal="left" vertical="center" wrapText="1"/>
    </xf>
    <xf numFmtId="169" fontId="2" fillId="32" borderId="2" xfId="0" applyNumberFormat="1" applyFont="1" applyFill="1" applyBorder="1" applyAlignment="1">
      <alignment vertical="center" wrapText="1"/>
    </xf>
    <xf numFmtId="169" fontId="2" fillId="32" borderId="19" xfId="0" applyNumberFormat="1" applyFont="1" applyFill="1" applyBorder="1" applyAlignment="1">
      <alignment vertical="center" wrapText="1"/>
    </xf>
    <xf numFmtId="0" fontId="1" fillId="0" borderId="5" xfId="0" applyFont="1" applyFill="1" applyBorder="1" applyAlignment="1">
      <alignment horizontal="left" vertical="center" wrapText="1"/>
    </xf>
    <xf numFmtId="170" fontId="18" fillId="32" borderId="2" xfId="0" applyNumberFormat="1" applyFont="1" applyFill="1" applyBorder="1" applyAlignment="1">
      <alignment horizontal="justify" vertical="center" wrapText="1"/>
    </xf>
    <xf numFmtId="169" fontId="2" fillId="32" borderId="2" xfId="0" applyNumberFormat="1" applyFont="1" applyFill="1" applyBorder="1" applyAlignment="1">
      <alignment horizontal="left" vertical="center"/>
    </xf>
    <xf numFmtId="0" fontId="0" fillId="32" borderId="2" xfId="0" applyFill="1" applyBorder="1" applyAlignment="1">
      <alignment horizontal="justify" vertical="center" wrapText="1"/>
    </xf>
    <xf numFmtId="170" fontId="22" fillId="32" borderId="2" xfId="41" applyNumberFormat="1" applyFont="1" applyFill="1" applyBorder="1" applyAlignment="1">
      <alignment horizontal="justify" vertical="center"/>
    </xf>
    <xf numFmtId="169" fontId="0" fillId="32" borderId="2" xfId="0" applyNumberFormat="1" applyFill="1" applyBorder="1" applyAlignment="1">
      <alignment horizontal="left" vertical="center"/>
    </xf>
    <xf numFmtId="170" fontId="11" fillId="32" borderId="2" xfId="41" applyNumberFormat="1" applyFont="1" applyFill="1" applyBorder="1" applyAlignment="1">
      <alignment horizontal="justify" vertical="center"/>
    </xf>
    <xf numFmtId="169" fontId="11" fillId="21" borderId="6" xfId="41" applyFont="1" applyFill="1" applyBorder="1" applyAlignment="1">
      <alignment vertical="center"/>
    </xf>
    <xf numFmtId="170" fontId="11" fillId="21" borderId="6" xfId="41" applyNumberFormat="1" applyFont="1" applyFill="1" applyBorder="1" applyAlignment="1">
      <alignment vertical="center"/>
    </xf>
    <xf numFmtId="170" fontId="11" fillId="21" borderId="19" xfId="41" applyNumberFormat="1" applyFont="1" applyFill="1" applyBorder="1" applyAlignment="1">
      <alignment horizontal="justify" vertical="center"/>
    </xf>
    <xf numFmtId="170" fontId="11" fillId="21" borderId="29" xfId="41" applyNumberFormat="1" applyFont="1" applyFill="1" applyBorder="1" applyAlignment="1">
      <alignment horizontal="justify" vertical="center"/>
    </xf>
    <xf numFmtId="169" fontId="11" fillId="21" borderId="6" xfId="41" applyNumberFormat="1" applyFont="1" applyFill="1" applyBorder="1" applyAlignment="1">
      <alignment horizontal="center" vertical="center"/>
    </xf>
    <xf numFmtId="169" fontId="2" fillId="32" borderId="0" xfId="0" applyNumberFormat="1" applyFont="1" applyFill="1" applyBorder="1" applyAlignment="1">
      <alignment horizontal="left" vertical="top" wrapText="1"/>
    </xf>
    <xf numFmtId="170" fontId="2" fillId="32" borderId="0" xfId="41" applyNumberFormat="1" applyFont="1" applyFill="1" applyBorder="1" applyAlignment="1">
      <alignment vertical="top"/>
    </xf>
    <xf numFmtId="170" fontId="48" fillId="32" borderId="0" xfId="41" applyNumberFormat="1" applyFont="1" applyFill="1" applyBorder="1" applyAlignment="1">
      <alignment horizontal="left" vertical="top"/>
    </xf>
    <xf numFmtId="170" fontId="2" fillId="32" borderId="0" xfId="41" applyNumberFormat="1" applyFont="1" applyFill="1" applyBorder="1" applyAlignment="1">
      <alignment horizontal="justify" vertical="top"/>
    </xf>
    <xf numFmtId="169" fontId="2" fillId="32" borderId="0" xfId="41" applyNumberFormat="1" applyFont="1" applyFill="1" applyBorder="1" applyAlignment="1">
      <alignment horizontal="justify" vertical="top"/>
    </xf>
    <xf numFmtId="170" fontId="29" fillId="32" borderId="0" xfId="41" applyNumberFormat="1" applyFont="1" applyFill="1" applyBorder="1" applyAlignment="1">
      <alignment horizontal="justify" vertical="top"/>
    </xf>
    <xf numFmtId="170" fontId="2" fillId="32" borderId="9" xfId="41" applyNumberFormat="1" applyFont="1" applyFill="1" applyBorder="1" applyAlignment="1">
      <alignment horizontal="justify" vertical="top"/>
    </xf>
    <xf numFmtId="170" fontId="18" fillId="32" borderId="0" xfId="41" applyNumberFormat="1" applyFont="1" applyFill="1" applyBorder="1" applyAlignment="1">
      <alignment horizontal="left" vertical="top"/>
    </xf>
    <xf numFmtId="170" fontId="18" fillId="32" borderId="0" xfId="41" applyNumberFormat="1" applyFont="1" applyFill="1" applyBorder="1" applyAlignment="1">
      <alignment horizontal="justify" vertical="top"/>
    </xf>
    <xf numFmtId="170" fontId="2" fillId="32" borderId="6" xfId="41" applyNumberFormat="1" applyFont="1" applyFill="1" applyBorder="1" applyAlignment="1">
      <alignment horizontal="justify" vertical="top"/>
    </xf>
    <xf numFmtId="170" fontId="1" fillId="32" borderId="0" xfId="41" applyNumberFormat="1" applyFont="1" applyFill="1" applyBorder="1" applyAlignment="1">
      <alignment horizontal="justify" vertical="top"/>
    </xf>
    <xf numFmtId="169" fontId="18" fillId="32" borderId="0" xfId="41" applyNumberFormat="1" applyFont="1" applyFill="1" applyBorder="1" applyAlignment="1">
      <alignment horizontal="justify" vertical="top"/>
    </xf>
    <xf numFmtId="169" fontId="2" fillId="32" borderId="6" xfId="41" applyNumberFormat="1" applyFont="1" applyFill="1" applyBorder="1" applyAlignment="1">
      <alignment horizontal="justify" vertical="top"/>
    </xf>
    <xf numFmtId="169" fontId="18" fillId="32" borderId="0" xfId="41" applyNumberFormat="1" applyFont="1" applyFill="1" applyBorder="1" applyAlignment="1">
      <alignment horizontal="left" vertical="top"/>
    </xf>
    <xf numFmtId="170" fontId="2" fillId="32" borderId="3" xfId="41" applyNumberFormat="1" applyFont="1" applyFill="1" applyBorder="1" applyAlignment="1">
      <alignment horizontal="justify" vertical="top"/>
    </xf>
    <xf numFmtId="170" fontId="1" fillId="32" borderId="0" xfId="41" applyNumberFormat="1" applyFont="1" applyFill="1" applyBorder="1" applyAlignment="1">
      <alignment horizontal="left" vertical="top"/>
    </xf>
    <xf numFmtId="169" fontId="2" fillId="32" borderId="0" xfId="41" applyNumberFormat="1" applyFont="1" applyFill="1" applyBorder="1" applyAlignment="1">
      <alignment horizontal="left" vertical="top"/>
    </xf>
    <xf numFmtId="0" fontId="1" fillId="32" borderId="41" xfId="0" applyFont="1" applyFill="1" applyBorder="1" applyAlignment="1">
      <alignment vertical="top"/>
    </xf>
    <xf numFmtId="169" fontId="2" fillId="32" borderId="9" xfId="0" applyNumberFormat="1" applyFont="1" applyFill="1" applyBorder="1" applyAlignment="1">
      <alignment horizontal="left" vertical="top" wrapText="1"/>
    </xf>
    <xf numFmtId="170" fontId="2" fillId="32" borderId="13" xfId="41" applyNumberFormat="1" applyFont="1" applyFill="1" applyBorder="1" applyAlignment="1">
      <alignment horizontal="justify" vertical="top"/>
    </xf>
    <xf numFmtId="0" fontId="1" fillId="32" borderId="0" xfId="0" applyFont="1" applyFill="1">
      <alignment vertical="top"/>
    </xf>
    <xf numFmtId="0" fontId="2" fillId="32" borderId="0" xfId="0" applyFont="1" applyFill="1" applyAlignment="1">
      <alignment horizontal="left" vertical="top"/>
    </xf>
    <xf numFmtId="170" fontId="2" fillId="32" borderId="0" xfId="41" applyNumberFormat="1" applyFont="1" applyFill="1" applyBorder="1" applyAlignment="1">
      <alignment horizontal="left" vertical="top"/>
    </xf>
    <xf numFmtId="170" fontId="48" fillId="32" borderId="0" xfId="41" applyNumberFormat="1" applyFont="1" applyFill="1" applyBorder="1" applyAlignment="1">
      <alignment horizontal="justify" vertical="top"/>
    </xf>
    <xf numFmtId="169" fontId="2" fillId="32" borderId="0" xfId="0" applyNumberFormat="1" applyFont="1" applyFill="1" applyBorder="1" applyAlignment="1">
      <alignment horizontal="left" vertical="top"/>
    </xf>
    <xf numFmtId="170" fontId="1" fillId="32" borderId="0" xfId="41" applyNumberFormat="1" applyFont="1" applyFill="1" applyBorder="1" applyAlignment="1">
      <alignment vertical="top"/>
    </xf>
    <xf numFmtId="170" fontId="1" fillId="32" borderId="9" xfId="41" applyNumberFormat="1" applyFont="1" applyFill="1" applyBorder="1" applyAlignment="1">
      <alignment horizontal="justify" vertical="top"/>
    </xf>
    <xf numFmtId="170" fontId="1" fillId="2" borderId="4" xfId="41" applyNumberFormat="1" applyFont="1" applyFill="1" applyBorder="1" applyAlignment="1">
      <alignment horizontal="justify" vertical="center"/>
    </xf>
    <xf numFmtId="169" fontId="2" fillId="27" borderId="4" xfId="41" applyFont="1" applyFill="1" applyBorder="1" applyAlignment="1">
      <alignment vertical="top"/>
    </xf>
    <xf numFmtId="169" fontId="2" fillId="26" borderId="4" xfId="41" applyFont="1" applyFill="1" applyBorder="1" applyAlignment="1">
      <alignment vertical="top"/>
    </xf>
    <xf numFmtId="0" fontId="1" fillId="32" borderId="0" xfId="0" applyFont="1" applyFill="1" applyBorder="1" applyAlignment="1">
      <alignment horizontal="left" vertical="top"/>
    </xf>
    <xf numFmtId="0" fontId="1" fillId="32" borderId="0" xfId="0" applyFont="1" applyFill="1" applyBorder="1" applyAlignment="1">
      <alignment horizontal="justify" vertical="top"/>
    </xf>
    <xf numFmtId="0" fontId="2" fillId="32" borderId="0" xfId="0" applyFont="1" applyFill="1" applyBorder="1" applyAlignment="1">
      <alignment vertical="center" wrapText="1"/>
    </xf>
    <xf numFmtId="0" fontId="2" fillId="21" borderId="1" xfId="0" applyFont="1" applyFill="1" applyBorder="1" applyAlignment="1">
      <alignment vertical="center"/>
    </xf>
    <xf numFmtId="0" fontId="2" fillId="0" borderId="1" xfId="0" applyFont="1" applyFill="1" applyBorder="1" applyAlignment="1">
      <alignment vertical="center"/>
    </xf>
    <xf numFmtId="0" fontId="1" fillId="0" borderId="0" xfId="0" applyFont="1" applyBorder="1">
      <alignment vertical="top"/>
    </xf>
    <xf numFmtId="170" fontId="1" fillId="0" borderId="1" xfId="41" applyNumberFormat="1" applyFont="1" applyFill="1" applyBorder="1" applyAlignment="1">
      <alignment vertical="top"/>
    </xf>
    <xf numFmtId="0" fontId="1" fillId="32" borderId="0" xfId="0" applyFont="1" applyFill="1" applyBorder="1">
      <alignment vertical="top"/>
    </xf>
    <xf numFmtId="0" fontId="2" fillId="32" borderId="0" xfId="0" applyFont="1" applyFill="1" applyBorder="1" applyAlignment="1">
      <alignment vertical="top" wrapText="1"/>
    </xf>
    <xf numFmtId="0" fontId="2" fillId="32" borderId="0" xfId="0" applyFont="1" applyFill="1" applyBorder="1" applyAlignment="1">
      <alignment horizontal="left" vertical="top"/>
    </xf>
    <xf numFmtId="0" fontId="2" fillId="21" borderId="1" xfId="0" applyFont="1" applyFill="1" applyBorder="1">
      <alignment vertical="top"/>
    </xf>
    <xf numFmtId="170" fontId="1" fillId="32" borderId="6" xfId="41" applyNumberFormat="1" applyFont="1" applyFill="1" applyBorder="1" applyAlignment="1">
      <alignment horizontal="justify" vertical="top"/>
    </xf>
    <xf numFmtId="170" fontId="16" fillId="32" borderId="0" xfId="41" applyNumberFormat="1" applyFont="1" applyFill="1" applyBorder="1" applyAlignment="1">
      <alignment vertical="top"/>
    </xf>
    <xf numFmtId="170" fontId="1" fillId="2" borderId="3" xfId="41" applyNumberFormat="1" applyFont="1" applyFill="1" applyBorder="1" applyAlignment="1">
      <alignment horizontal="center" vertical="center" wrapText="1"/>
    </xf>
    <xf numFmtId="170" fontId="2" fillId="0" borderId="5" xfId="41" applyNumberFormat="1" applyFont="1" applyBorder="1" applyAlignment="1">
      <alignment horizontal="justify" vertical="top"/>
    </xf>
    <xf numFmtId="170" fontId="25" fillId="3" borderId="41" xfId="41" applyNumberFormat="1" applyFont="1" applyFill="1" applyBorder="1" applyAlignment="1">
      <alignment horizontal="center" vertical="top"/>
    </xf>
    <xf numFmtId="170" fontId="25" fillId="3" borderId="13" xfId="41" applyNumberFormat="1" applyFont="1" applyFill="1" applyBorder="1" applyAlignment="1">
      <alignment horizontal="center" vertical="top"/>
    </xf>
    <xf numFmtId="169" fontId="2" fillId="0" borderId="13" xfId="41" applyFont="1" applyBorder="1" applyAlignment="1">
      <alignment horizontal="center" vertical="top"/>
    </xf>
    <xf numFmtId="170" fontId="2" fillId="0" borderId="22" xfId="41" applyNumberFormat="1" applyFont="1" applyBorder="1" applyAlignment="1">
      <alignment horizontal="justify" vertical="top"/>
    </xf>
    <xf numFmtId="170" fontId="2" fillId="0" borderId="8" xfId="41" applyNumberFormat="1" applyFont="1" applyBorder="1" applyAlignment="1">
      <alignment horizontal="justify" vertical="top"/>
    </xf>
    <xf numFmtId="169" fontId="2" fillId="0" borderId="22" xfId="41" applyFont="1" applyBorder="1" applyAlignment="1">
      <alignment horizontal="center" vertical="top"/>
    </xf>
    <xf numFmtId="169" fontId="2" fillId="0" borderId="7" xfId="41" applyFont="1" applyBorder="1" applyAlignment="1">
      <alignment horizontal="center" vertical="top"/>
    </xf>
    <xf numFmtId="169" fontId="2" fillId="0" borderId="42" xfId="41" applyFont="1" applyBorder="1" applyAlignment="1">
      <alignment horizontal="center" vertical="top"/>
    </xf>
    <xf numFmtId="169" fontId="2" fillId="0" borderId="8" xfId="41" applyFont="1" applyBorder="1" applyAlignment="1">
      <alignment horizontal="center" vertical="top"/>
    </xf>
    <xf numFmtId="169" fontId="25" fillId="0" borderId="8" xfId="41" applyFont="1" applyBorder="1" applyAlignment="1">
      <alignment horizontal="center" vertical="top"/>
    </xf>
    <xf numFmtId="170" fontId="1" fillId="2" borderId="22" xfId="41" applyNumberFormat="1" applyFont="1" applyFill="1" applyBorder="1" applyAlignment="1">
      <alignment horizontal="justify" vertical="center"/>
    </xf>
    <xf numFmtId="170" fontId="60" fillId="6" borderId="21" xfId="41" applyNumberFormat="1" applyFont="1" applyFill="1" applyBorder="1" applyAlignment="1">
      <alignment vertical="top"/>
    </xf>
    <xf numFmtId="170" fontId="25" fillId="6" borderId="9" xfId="41" applyNumberFormat="1" applyFont="1" applyFill="1" applyBorder="1" applyAlignment="1">
      <alignment vertical="top"/>
    </xf>
    <xf numFmtId="0" fontId="25" fillId="0" borderId="2" xfId="0" applyFont="1" applyFill="1" applyBorder="1">
      <alignment vertical="top"/>
    </xf>
    <xf numFmtId="0" fontId="25" fillId="0" borderId="1" xfId="0" applyFont="1" applyFill="1" applyBorder="1">
      <alignment vertical="top"/>
    </xf>
    <xf numFmtId="170" fontId="25" fillId="6" borderId="21" xfId="41" applyNumberFormat="1" applyFont="1" applyFill="1" applyBorder="1" applyAlignment="1">
      <alignment horizontal="justify" vertical="top"/>
    </xf>
    <xf numFmtId="170" fontId="25" fillId="6" borderId="9" xfId="41" applyNumberFormat="1" applyFont="1" applyFill="1" applyBorder="1" applyAlignment="1">
      <alignment horizontal="justify" vertical="top"/>
    </xf>
    <xf numFmtId="170" fontId="25" fillId="6" borderId="48" xfId="41" applyNumberFormat="1" applyFont="1" applyFill="1" applyBorder="1" applyAlignment="1">
      <alignment horizontal="justify" vertical="top"/>
    </xf>
    <xf numFmtId="169" fontId="25" fillId="6" borderId="9" xfId="41" applyNumberFormat="1" applyFont="1" applyFill="1" applyBorder="1" applyAlignment="1">
      <alignment horizontal="center" vertical="top"/>
    </xf>
    <xf numFmtId="169" fontId="25" fillId="6" borderId="21" xfId="41" applyNumberFormat="1" applyFont="1" applyFill="1" applyBorder="1" applyAlignment="1">
      <alignment horizontal="center" vertical="top"/>
    </xf>
    <xf numFmtId="169" fontId="25" fillId="6" borderId="12" xfId="41" applyNumberFormat="1" applyFont="1" applyFill="1" applyBorder="1" applyAlignment="1">
      <alignment horizontal="center" vertical="top"/>
    </xf>
    <xf numFmtId="169" fontId="25" fillId="6" borderId="9" xfId="41" applyFont="1" applyFill="1" applyBorder="1" applyAlignment="1">
      <alignment vertical="top"/>
    </xf>
    <xf numFmtId="170" fontId="1" fillId="0" borderId="2" xfId="41" applyNumberFormat="1" applyFont="1" applyFill="1" applyBorder="1" applyAlignment="1">
      <alignment horizontal="justify" vertical="center"/>
    </xf>
    <xf numFmtId="170" fontId="1" fillId="0" borderId="1" xfId="41" applyNumberFormat="1" applyFont="1" applyFill="1" applyBorder="1" applyAlignment="1">
      <alignment horizontal="justify" vertical="center"/>
    </xf>
    <xf numFmtId="169" fontId="2" fillId="0" borderId="13" xfId="41" applyNumberFormat="1" applyFont="1" applyFill="1" applyBorder="1" applyAlignment="1">
      <alignment horizontal="center" vertical="top"/>
    </xf>
    <xf numFmtId="170" fontId="2" fillId="6" borderId="2" xfId="41" applyNumberFormat="1" applyFont="1" applyFill="1" applyBorder="1" applyAlignment="1">
      <alignment horizontal="justify" vertical="top"/>
    </xf>
    <xf numFmtId="169" fontId="2" fillId="6" borderId="13" xfId="41" applyNumberFormat="1" applyFont="1" applyFill="1" applyBorder="1" applyAlignment="1">
      <alignment horizontal="center" vertical="top"/>
    </xf>
    <xf numFmtId="170" fontId="1" fillId="6" borderId="5" xfId="41" applyNumberFormat="1" applyFont="1" applyFill="1" applyBorder="1" applyAlignment="1">
      <alignment vertical="top"/>
    </xf>
    <xf numFmtId="0" fontId="2" fillId="0" borderId="5" xfId="0" applyFont="1" applyFill="1" applyBorder="1">
      <alignment vertical="top"/>
    </xf>
    <xf numFmtId="0" fontId="2" fillId="0" borderId="4" xfId="0" applyFont="1" applyFill="1" applyBorder="1">
      <alignment vertical="top"/>
    </xf>
    <xf numFmtId="170" fontId="1" fillId="0" borderId="5" xfId="41" applyNumberFormat="1" applyFont="1" applyFill="1" applyBorder="1" applyAlignment="1">
      <alignment horizontal="justify" vertical="center"/>
    </xf>
    <xf numFmtId="169" fontId="2" fillId="0" borderId="5" xfId="41" applyNumberFormat="1" applyFont="1" applyFill="1" applyBorder="1" applyAlignment="1">
      <alignment horizontal="center" vertical="top"/>
    </xf>
    <xf numFmtId="169" fontId="2" fillId="0" borderId="4" xfId="41" applyNumberFormat="1" applyFont="1" applyFill="1" applyBorder="1" applyAlignment="1">
      <alignment horizontal="center" vertical="top"/>
    </xf>
    <xf numFmtId="169" fontId="2" fillId="0" borderId="41" xfId="41" applyNumberFormat="1" applyFont="1" applyFill="1" applyBorder="1" applyAlignment="1">
      <alignment horizontal="center" vertical="top"/>
    </xf>
    <xf numFmtId="169" fontId="25" fillId="0" borderId="4" xfId="41" applyNumberFormat="1" applyFont="1" applyFill="1" applyBorder="1" applyAlignment="1">
      <alignment horizontal="center" vertical="top"/>
    </xf>
    <xf numFmtId="0" fontId="2" fillId="6" borderId="2" xfId="0" applyFont="1" applyFill="1" applyBorder="1">
      <alignment vertical="top"/>
    </xf>
    <xf numFmtId="0" fontId="2" fillId="6" borderId="1" xfId="0" applyFont="1" applyFill="1" applyBorder="1">
      <alignment vertical="top"/>
    </xf>
    <xf numFmtId="170" fontId="1" fillId="6" borderId="75" xfId="41" applyNumberFormat="1" applyFont="1" applyFill="1" applyBorder="1" applyAlignment="1">
      <alignment vertical="top"/>
    </xf>
    <xf numFmtId="170" fontId="2" fillId="0" borderId="76" xfId="41" applyNumberFormat="1" applyFont="1" applyFill="1" applyBorder="1" applyAlignment="1">
      <alignment vertical="top"/>
    </xf>
    <xf numFmtId="170" fontId="2" fillId="0" borderId="75" xfId="41" applyNumberFormat="1" applyFont="1" applyFill="1" applyBorder="1" applyAlignment="1">
      <alignment horizontal="justify" vertical="top"/>
    </xf>
    <xf numFmtId="170" fontId="2" fillId="0" borderId="76" xfId="41" applyNumberFormat="1" applyFont="1" applyFill="1" applyBorder="1" applyAlignment="1">
      <alignment horizontal="justify" vertical="top"/>
    </xf>
    <xf numFmtId="170" fontId="2" fillId="0" borderId="77" xfId="41" applyNumberFormat="1" applyFont="1" applyFill="1" applyBorder="1" applyAlignment="1">
      <alignment horizontal="justify" vertical="top"/>
    </xf>
    <xf numFmtId="169" fontId="2" fillId="0" borderId="76" xfId="41" applyNumberFormat="1" applyFont="1" applyFill="1" applyBorder="1" applyAlignment="1">
      <alignment horizontal="center" vertical="top"/>
    </xf>
    <xf numFmtId="169" fontId="2" fillId="0" borderId="75" xfId="41" applyNumberFormat="1" applyFont="1" applyFill="1" applyBorder="1" applyAlignment="1">
      <alignment horizontal="center" vertical="top"/>
    </xf>
    <xf numFmtId="169" fontId="2" fillId="0" borderId="77" xfId="41" applyNumberFormat="1" applyFont="1" applyFill="1" applyBorder="1" applyAlignment="1">
      <alignment horizontal="center" vertical="top"/>
    </xf>
    <xf numFmtId="169" fontId="2" fillId="0" borderId="80" xfId="41" applyNumberFormat="1" applyFont="1" applyFill="1" applyBorder="1" applyAlignment="1">
      <alignment horizontal="center" vertical="top"/>
    </xf>
    <xf numFmtId="169" fontId="25" fillId="0" borderId="77" xfId="41" applyNumberFormat="1" applyFont="1" applyFill="1" applyBorder="1" applyAlignment="1">
      <alignment horizontal="center" vertical="top"/>
    </xf>
    <xf numFmtId="169" fontId="2" fillId="0" borderId="76" xfId="41" applyFont="1" applyFill="1" applyBorder="1" applyAlignment="1">
      <alignment vertical="top"/>
    </xf>
    <xf numFmtId="170" fontId="60" fillId="6" borderId="2" xfId="41" applyNumberFormat="1" applyFont="1" applyFill="1" applyBorder="1" applyAlignment="1">
      <alignment vertical="top"/>
    </xf>
    <xf numFmtId="0" fontId="60" fillId="0" borderId="2" xfId="0" applyFont="1" applyFill="1" applyBorder="1">
      <alignment vertical="top"/>
    </xf>
    <xf numFmtId="0" fontId="60" fillId="0" borderId="1" xfId="0" applyFont="1" applyFill="1" applyBorder="1">
      <alignment vertical="top"/>
    </xf>
    <xf numFmtId="170" fontId="25" fillId="0" borderId="2" xfId="41" applyNumberFormat="1" applyFont="1" applyFill="1" applyBorder="1" applyAlignment="1">
      <alignment horizontal="left" vertical="top"/>
    </xf>
    <xf numFmtId="170" fontId="25" fillId="0" borderId="0" xfId="41" applyNumberFormat="1" applyFont="1" applyFill="1" applyBorder="1" applyAlignment="1">
      <alignment horizontal="justify" vertical="top"/>
    </xf>
    <xf numFmtId="170" fontId="25" fillId="0" borderId="1" xfId="41" applyNumberFormat="1" applyFont="1" applyFill="1" applyBorder="1" applyAlignment="1">
      <alignment horizontal="justify" vertical="top"/>
    </xf>
    <xf numFmtId="169" fontId="25" fillId="0" borderId="0" xfId="41" applyNumberFormat="1" applyFont="1" applyFill="1" applyBorder="1" applyAlignment="1">
      <alignment horizontal="center" vertical="top"/>
    </xf>
    <xf numFmtId="169" fontId="25" fillId="0" borderId="2" xfId="41" applyNumberFormat="1" applyFont="1" applyFill="1" applyBorder="1" applyAlignment="1">
      <alignment horizontal="center" vertical="top"/>
    </xf>
    <xf numFmtId="169" fontId="25" fillId="0" borderId="13" xfId="41" applyNumberFormat="1" applyFont="1" applyFill="1" applyBorder="1" applyAlignment="1">
      <alignment horizontal="center" vertical="top"/>
    </xf>
    <xf numFmtId="169" fontId="25" fillId="0" borderId="0" xfId="41" applyFont="1" applyFill="1" applyBorder="1" applyAlignment="1">
      <alignment vertical="top"/>
    </xf>
    <xf numFmtId="170" fontId="2" fillId="20" borderId="2" xfId="41" applyNumberFormat="1" applyFont="1" applyFill="1" applyBorder="1" applyAlignment="1">
      <alignment vertical="top"/>
    </xf>
    <xf numFmtId="170" fontId="2" fillId="20" borderId="0" xfId="41" applyNumberFormat="1" applyFont="1" applyFill="1" applyBorder="1" applyAlignment="1">
      <alignment vertical="top"/>
    </xf>
    <xf numFmtId="0" fontId="2" fillId="20" borderId="2" xfId="0" applyFont="1" applyFill="1" applyBorder="1">
      <alignment vertical="top"/>
    </xf>
    <xf numFmtId="0" fontId="25" fillId="20" borderId="1" xfId="0" applyFont="1" applyFill="1" applyBorder="1">
      <alignment vertical="top"/>
    </xf>
    <xf numFmtId="170" fontId="2" fillId="20" borderId="2" xfId="41" applyNumberFormat="1" applyFont="1" applyFill="1" applyBorder="1" applyAlignment="1">
      <alignment horizontal="justify" vertical="top"/>
    </xf>
    <xf numFmtId="170" fontId="2" fillId="20" borderId="0" xfId="41" applyNumberFormat="1" applyFont="1" applyFill="1" applyBorder="1" applyAlignment="1">
      <alignment horizontal="left" vertical="top"/>
    </xf>
    <xf numFmtId="170" fontId="2" fillId="20" borderId="1" xfId="41" applyNumberFormat="1" applyFont="1" applyFill="1" applyBorder="1" applyAlignment="1">
      <alignment horizontal="left" vertical="top"/>
    </xf>
    <xf numFmtId="169" fontId="2" fillId="20" borderId="0" xfId="41" applyNumberFormat="1" applyFont="1" applyFill="1" applyBorder="1" applyAlignment="1">
      <alignment horizontal="center" vertical="top"/>
    </xf>
    <xf numFmtId="169" fontId="2" fillId="20" borderId="2" xfId="41" applyNumberFormat="1" applyFont="1" applyFill="1" applyBorder="1" applyAlignment="1">
      <alignment horizontal="center" vertical="top"/>
    </xf>
    <xf numFmtId="169" fontId="2" fillId="20" borderId="1" xfId="41" applyNumberFormat="1" applyFont="1" applyFill="1" applyBorder="1" applyAlignment="1">
      <alignment horizontal="center" vertical="top"/>
    </xf>
    <xf numFmtId="169" fontId="2" fillId="20" borderId="13" xfId="41" applyNumberFormat="1" applyFont="1" applyFill="1" applyBorder="1" applyAlignment="1">
      <alignment horizontal="center" vertical="top"/>
    </xf>
    <xf numFmtId="169" fontId="25" fillId="20" borderId="1" xfId="41" applyNumberFormat="1" applyFont="1" applyFill="1" applyBorder="1" applyAlignment="1">
      <alignment horizontal="center" vertical="top"/>
    </xf>
    <xf numFmtId="169" fontId="2" fillId="20" borderId="0" xfId="41" applyFont="1" applyFill="1" applyBorder="1" applyAlignment="1">
      <alignment vertical="top"/>
    </xf>
    <xf numFmtId="169" fontId="29" fillId="20" borderId="1" xfId="41" applyNumberFormat="1" applyFont="1" applyFill="1" applyBorder="1" applyAlignment="1">
      <alignment horizontal="center" vertical="top"/>
    </xf>
    <xf numFmtId="169" fontId="29" fillId="20" borderId="13" xfId="41" applyNumberFormat="1" applyFont="1" applyFill="1" applyBorder="1" applyAlignment="1">
      <alignment horizontal="center" vertical="top"/>
    </xf>
    <xf numFmtId="170" fontId="2" fillId="0" borderId="0" xfId="41" applyNumberFormat="1" applyFont="1" applyFill="1" applyBorder="1" applyAlignment="1">
      <alignment horizontal="left" vertical="top"/>
    </xf>
    <xf numFmtId="170" fontId="1" fillId="6" borderId="62" xfId="41" applyNumberFormat="1" applyFont="1" applyFill="1" applyBorder="1" applyAlignment="1">
      <alignment vertical="top"/>
    </xf>
    <xf numFmtId="170" fontId="2" fillId="0" borderId="20" xfId="41" applyNumberFormat="1" applyFont="1" applyFill="1" applyBorder="1" applyAlignment="1">
      <alignment vertical="top"/>
    </xf>
    <xf numFmtId="0" fontId="1" fillId="0" borderId="62" xfId="0" applyFont="1" applyFill="1" applyBorder="1">
      <alignment vertical="top"/>
    </xf>
    <xf numFmtId="0" fontId="1" fillId="0" borderId="65" xfId="0" applyFont="1" applyFill="1" applyBorder="1">
      <alignment vertical="top"/>
    </xf>
    <xf numFmtId="170" fontId="1" fillId="0" borderId="62" xfId="41" applyNumberFormat="1" applyFont="1" applyFill="1" applyBorder="1" applyAlignment="1">
      <alignment vertical="center"/>
    </xf>
    <xf numFmtId="170" fontId="2" fillId="0" borderId="65" xfId="41" applyNumberFormat="1" applyFont="1" applyFill="1" applyBorder="1" applyAlignment="1">
      <alignment horizontal="justify" vertical="top"/>
    </xf>
    <xf numFmtId="169" fontId="2" fillId="0" borderId="20" xfId="41" applyNumberFormat="1" applyFont="1" applyFill="1" applyBorder="1" applyAlignment="1">
      <alignment horizontal="center" vertical="top"/>
    </xf>
    <xf numFmtId="169" fontId="2" fillId="0" borderId="62" xfId="41" applyNumberFormat="1" applyFont="1" applyFill="1" applyBorder="1" applyAlignment="1">
      <alignment horizontal="center" vertical="top"/>
    </xf>
    <xf numFmtId="169" fontId="2" fillId="0" borderId="65" xfId="41" applyNumberFormat="1" applyFont="1" applyFill="1" applyBorder="1" applyAlignment="1">
      <alignment horizontal="center" vertical="top"/>
    </xf>
    <xf numFmtId="169" fontId="2" fillId="0" borderId="17" xfId="41" applyNumberFormat="1" applyFont="1" applyFill="1" applyBorder="1" applyAlignment="1">
      <alignment horizontal="center" vertical="top"/>
    </xf>
    <xf numFmtId="169" fontId="25" fillId="0" borderId="65" xfId="41" applyNumberFormat="1" applyFont="1" applyFill="1" applyBorder="1" applyAlignment="1">
      <alignment horizontal="center" vertical="top"/>
    </xf>
    <xf numFmtId="169" fontId="2" fillId="0" borderId="20" xfId="41" applyFont="1" applyFill="1" applyBorder="1" applyAlignment="1">
      <alignment vertical="top"/>
    </xf>
    <xf numFmtId="174" fontId="1" fillId="6" borderId="1" xfId="0" applyNumberFormat="1" applyFont="1" applyFill="1" applyBorder="1" applyAlignment="1">
      <alignment horizontal="justify" vertical="top"/>
    </xf>
    <xf numFmtId="170" fontId="2" fillId="0" borderId="9" xfId="41" applyNumberFormat="1" applyFont="1" applyFill="1" applyBorder="1" applyAlignment="1">
      <alignment horizontal="left" vertical="top"/>
    </xf>
    <xf numFmtId="170" fontId="2" fillId="0" borderId="48" xfId="41" applyNumberFormat="1" applyFont="1" applyFill="1" applyBorder="1" applyAlignment="1">
      <alignment horizontal="left" vertical="top"/>
    </xf>
    <xf numFmtId="169" fontId="2" fillId="0" borderId="12" xfId="41" applyNumberFormat="1" applyFont="1" applyFill="1" applyBorder="1" applyAlignment="1">
      <alignment horizontal="center" vertical="top"/>
    </xf>
    <xf numFmtId="170" fontId="2" fillId="0" borderId="20" xfId="41" applyNumberFormat="1" applyFont="1" applyFill="1" applyBorder="1" applyAlignment="1">
      <alignment vertical="center"/>
    </xf>
    <xf numFmtId="169" fontId="2" fillId="18" borderId="1" xfId="41" applyFont="1" applyFill="1" applyBorder="1" applyAlignment="1">
      <alignment vertical="top"/>
    </xf>
    <xf numFmtId="169" fontId="2" fillId="15" borderId="1" xfId="41" applyFont="1" applyFill="1" applyBorder="1" applyAlignment="1">
      <alignment vertical="top"/>
    </xf>
    <xf numFmtId="0" fontId="60" fillId="15" borderId="1" xfId="0" applyFont="1" applyFill="1" applyBorder="1">
      <alignment vertical="top"/>
    </xf>
    <xf numFmtId="169" fontId="1" fillId="8" borderId="1" xfId="41" applyFont="1" applyFill="1" applyBorder="1" applyAlignment="1">
      <alignment vertical="top"/>
    </xf>
    <xf numFmtId="170" fontId="1" fillId="8" borderId="2" xfId="41" applyNumberFormat="1" applyFont="1" applyFill="1" applyBorder="1" applyAlignment="1">
      <alignment vertical="center"/>
    </xf>
    <xf numFmtId="170" fontId="1" fillId="8" borderId="0" xfId="41" applyNumberFormat="1" applyFont="1" applyFill="1" applyBorder="1" applyAlignment="1">
      <alignment vertical="center"/>
    </xf>
    <xf numFmtId="0" fontId="2" fillId="8" borderId="1" xfId="0" applyFont="1" applyFill="1" applyBorder="1">
      <alignment vertical="top"/>
    </xf>
    <xf numFmtId="170" fontId="1" fillId="3" borderId="2" xfId="41" applyNumberFormat="1" applyFont="1" applyFill="1" applyBorder="1" applyAlignment="1">
      <alignment vertical="top"/>
    </xf>
    <xf numFmtId="170" fontId="2" fillId="3" borderId="0" xfId="41" applyNumberFormat="1" applyFont="1" applyFill="1" applyBorder="1" applyAlignment="1">
      <alignment vertical="top"/>
    </xf>
    <xf numFmtId="0" fontId="1" fillId="3" borderId="2" xfId="0" applyFont="1" applyFill="1" applyBorder="1">
      <alignment vertical="top"/>
    </xf>
    <xf numFmtId="174" fontId="1" fillId="3" borderId="1" xfId="0" applyNumberFormat="1" applyFont="1" applyFill="1" applyBorder="1" applyAlignment="1">
      <alignment horizontal="justify" vertical="top"/>
    </xf>
    <xf numFmtId="170" fontId="2" fillId="3" borderId="2" xfId="41" applyNumberFormat="1" applyFont="1" applyFill="1" applyBorder="1" applyAlignment="1">
      <alignment horizontal="justify" vertical="top"/>
    </xf>
    <xf numFmtId="170" fontId="2" fillId="3" borderId="0" xfId="41" applyNumberFormat="1" applyFont="1" applyFill="1" applyBorder="1" applyAlignment="1">
      <alignment horizontal="justify" vertical="top"/>
    </xf>
    <xf numFmtId="170" fontId="2" fillId="3" borderId="1" xfId="41" applyNumberFormat="1" applyFont="1" applyFill="1" applyBorder="1" applyAlignment="1">
      <alignment horizontal="justify" vertical="top"/>
    </xf>
    <xf numFmtId="169" fontId="2" fillId="3" borderId="0" xfId="41" applyNumberFormat="1" applyFont="1" applyFill="1" applyBorder="1" applyAlignment="1">
      <alignment horizontal="center" vertical="top"/>
    </xf>
    <xf numFmtId="169" fontId="2" fillId="3" borderId="2" xfId="41" applyNumberFormat="1" applyFont="1" applyFill="1" applyBorder="1" applyAlignment="1">
      <alignment horizontal="center" vertical="top"/>
    </xf>
    <xf numFmtId="169" fontId="2" fillId="3" borderId="1" xfId="41" applyNumberFormat="1" applyFont="1" applyFill="1" applyBorder="1" applyAlignment="1">
      <alignment horizontal="center" vertical="top"/>
    </xf>
    <xf numFmtId="169" fontId="2" fillId="3" borderId="13" xfId="41" applyNumberFormat="1" applyFont="1" applyFill="1" applyBorder="1" applyAlignment="1">
      <alignment horizontal="center" vertical="top"/>
    </xf>
    <xf numFmtId="169" fontId="25" fillId="3" borderId="1" xfId="41" applyNumberFormat="1" applyFont="1" applyFill="1" applyBorder="1" applyAlignment="1">
      <alignment horizontal="center" vertical="top"/>
    </xf>
    <xf numFmtId="169" fontId="2" fillId="3" borderId="0" xfId="41" applyFont="1" applyFill="1" applyBorder="1" applyAlignment="1">
      <alignment vertical="top"/>
    </xf>
    <xf numFmtId="0" fontId="60" fillId="8" borderId="1" xfId="0" applyFont="1" applyFill="1" applyBorder="1">
      <alignment vertical="top"/>
    </xf>
    <xf numFmtId="170" fontId="2" fillId="3" borderId="2" xfId="41" applyNumberFormat="1" applyFont="1" applyFill="1" applyBorder="1" applyAlignment="1">
      <alignment vertical="top"/>
    </xf>
    <xf numFmtId="0" fontId="2" fillId="3" borderId="2" xfId="0" applyFont="1" applyFill="1" applyBorder="1">
      <alignment vertical="top"/>
    </xf>
    <xf numFmtId="0" fontId="25" fillId="3" borderId="1" xfId="0" applyFont="1" applyFill="1" applyBorder="1">
      <alignment vertical="top"/>
    </xf>
    <xf numFmtId="170" fontId="2" fillId="3" borderId="0" xfId="41" applyNumberFormat="1" applyFont="1" applyFill="1" applyBorder="1" applyAlignment="1">
      <alignment horizontal="left" vertical="top"/>
    </xf>
    <xf numFmtId="170" fontId="2" fillId="3" borderId="1" xfId="41" applyNumberFormat="1" applyFont="1" applyFill="1" applyBorder="1" applyAlignment="1">
      <alignment horizontal="left" vertical="top"/>
    </xf>
    <xf numFmtId="169" fontId="1" fillId="3" borderId="1" xfId="41" applyFont="1" applyFill="1" applyBorder="1" applyAlignment="1">
      <alignment vertical="top"/>
    </xf>
    <xf numFmtId="170" fontId="1" fillId="3" borderId="2" xfId="41" applyNumberFormat="1" applyFont="1" applyFill="1" applyBorder="1" applyAlignment="1">
      <alignment vertical="center"/>
    </xf>
    <xf numFmtId="170" fontId="1" fillId="3" borderId="0" xfId="41" applyNumberFormat="1" applyFont="1" applyFill="1" applyBorder="1" applyAlignment="1">
      <alignment vertical="center"/>
    </xf>
    <xf numFmtId="0" fontId="2" fillId="3" borderId="1" xfId="0" applyFont="1" applyFill="1" applyBorder="1">
      <alignment vertical="top"/>
    </xf>
    <xf numFmtId="169" fontId="2" fillId="3" borderId="1" xfId="41" applyFont="1" applyFill="1" applyBorder="1" applyAlignment="1">
      <alignment vertical="top"/>
    </xf>
    <xf numFmtId="0" fontId="60" fillId="3" borderId="1" xfId="0" applyFont="1" applyFill="1" applyBorder="1">
      <alignment vertical="top"/>
    </xf>
    <xf numFmtId="170" fontId="1" fillId="0" borderId="62" xfId="41" applyNumberFormat="1" applyFont="1" applyFill="1" applyBorder="1" applyAlignment="1">
      <alignment vertical="top"/>
    </xf>
    <xf numFmtId="170" fontId="1" fillId="0" borderId="20" xfId="41" applyNumberFormat="1" applyFont="1" applyFill="1" applyBorder="1" applyAlignment="1">
      <alignment vertical="top"/>
    </xf>
    <xf numFmtId="169" fontId="1" fillId="0" borderId="62" xfId="41" applyFont="1" applyFill="1" applyBorder="1" applyAlignment="1">
      <alignment vertical="top"/>
    </xf>
    <xf numFmtId="169" fontId="1" fillId="0" borderId="65" xfId="41" applyFont="1" applyFill="1" applyBorder="1" applyAlignment="1">
      <alignment vertical="top"/>
    </xf>
    <xf numFmtId="170" fontId="1" fillId="0" borderId="20" xfId="41" applyNumberFormat="1" applyFont="1" applyFill="1" applyBorder="1" applyAlignment="1">
      <alignment horizontal="justify" vertical="top"/>
    </xf>
    <xf numFmtId="170" fontId="1" fillId="0" borderId="65" xfId="41" applyNumberFormat="1" applyFont="1" applyFill="1" applyBorder="1" applyAlignment="1">
      <alignment horizontal="justify" vertical="top"/>
    </xf>
    <xf numFmtId="169" fontId="1" fillId="0" borderId="20" xfId="41" applyNumberFormat="1" applyFont="1" applyFill="1" applyBorder="1" applyAlignment="1">
      <alignment horizontal="center" vertical="top"/>
    </xf>
    <xf numFmtId="169" fontId="1" fillId="0" borderId="62" xfId="41" applyNumberFormat="1" applyFont="1" applyFill="1" applyBorder="1" applyAlignment="1">
      <alignment horizontal="center" vertical="top"/>
    </xf>
    <xf numFmtId="169" fontId="1" fillId="0" borderId="65" xfId="41" applyNumberFormat="1" applyFont="1" applyFill="1" applyBorder="1" applyAlignment="1">
      <alignment horizontal="center" vertical="top"/>
    </xf>
    <xf numFmtId="169" fontId="1" fillId="0" borderId="17" xfId="41" applyNumberFormat="1" applyFont="1" applyFill="1" applyBorder="1" applyAlignment="1">
      <alignment horizontal="center" vertical="top"/>
    </xf>
    <xf numFmtId="169" fontId="60" fillId="0" borderId="65" xfId="41" applyNumberFormat="1" applyFont="1" applyFill="1" applyBorder="1" applyAlignment="1">
      <alignment horizontal="center" vertical="top"/>
    </xf>
    <xf numFmtId="169" fontId="1" fillId="0" borderId="20" xfId="41" applyFont="1" applyFill="1" applyBorder="1" applyAlignment="1">
      <alignment vertical="top"/>
    </xf>
    <xf numFmtId="169" fontId="1" fillId="6" borderId="1" xfId="41" applyFont="1" applyFill="1" applyBorder="1" applyAlignment="1">
      <alignment vertical="top"/>
    </xf>
    <xf numFmtId="169" fontId="1" fillId="18" borderId="1" xfId="41" applyFont="1" applyFill="1" applyBorder="1" applyAlignment="1">
      <alignment vertical="top"/>
    </xf>
    <xf numFmtId="170" fontId="2" fillId="0" borderId="6" xfId="41" applyNumberFormat="1" applyFont="1" applyFill="1" applyBorder="1" applyAlignment="1">
      <alignment horizontal="left" vertical="top"/>
    </xf>
    <xf numFmtId="169" fontId="2" fillId="0" borderId="34" xfId="41" applyNumberFormat="1" applyFont="1" applyFill="1" applyBorder="1" applyAlignment="1">
      <alignment horizontal="center" vertical="top"/>
    </xf>
    <xf numFmtId="170" fontId="25" fillId="0" borderId="0" xfId="41" applyNumberFormat="1" applyFont="1" applyFill="1" applyBorder="1" applyAlignment="1">
      <alignment horizontal="left" vertical="top"/>
    </xf>
    <xf numFmtId="170" fontId="25" fillId="0" borderId="1" xfId="41" applyNumberFormat="1" applyFont="1" applyFill="1" applyBorder="1" applyAlignment="1">
      <alignment horizontal="left" vertical="top"/>
    </xf>
    <xf numFmtId="169" fontId="2" fillId="20" borderId="1" xfId="41" applyFont="1" applyFill="1" applyBorder="1" applyAlignment="1">
      <alignment vertical="top"/>
    </xf>
    <xf numFmtId="169" fontId="2" fillId="16" borderId="1" xfId="41" applyFont="1" applyFill="1" applyBorder="1" applyAlignment="1">
      <alignment vertical="top"/>
    </xf>
    <xf numFmtId="170" fontId="1" fillId="16" borderId="2" xfId="41" applyNumberFormat="1" applyFont="1" applyFill="1" applyBorder="1" applyAlignment="1">
      <alignment vertical="center"/>
    </xf>
    <xf numFmtId="170" fontId="1" fillId="16" borderId="0" xfId="41" applyNumberFormat="1" applyFont="1" applyFill="1" applyBorder="1" applyAlignment="1">
      <alignment vertical="center"/>
    </xf>
    <xf numFmtId="170" fontId="2" fillId="16" borderId="1" xfId="41" applyNumberFormat="1" applyFont="1" applyFill="1" applyBorder="1" applyAlignment="1">
      <alignment horizontal="justify" vertical="top"/>
    </xf>
    <xf numFmtId="0" fontId="2" fillId="16" borderId="1" xfId="0" applyFont="1" applyFill="1" applyBorder="1">
      <alignment vertical="top"/>
    </xf>
    <xf numFmtId="174" fontId="1" fillId="16" borderId="1" xfId="0" applyNumberFormat="1" applyFont="1" applyFill="1" applyBorder="1" applyAlignment="1">
      <alignment horizontal="justify" vertical="top"/>
    </xf>
    <xf numFmtId="169" fontId="1" fillId="16" borderId="1" xfId="41" applyFont="1" applyFill="1" applyBorder="1" applyAlignment="1">
      <alignment vertical="top"/>
    </xf>
    <xf numFmtId="170" fontId="1" fillId="6" borderId="73" xfId="41" applyNumberFormat="1" applyFont="1" applyFill="1" applyBorder="1" applyAlignment="1">
      <alignment vertical="top"/>
    </xf>
    <xf numFmtId="170" fontId="2" fillId="0" borderId="23" xfId="41" applyNumberFormat="1" applyFont="1" applyFill="1" applyBorder="1" applyAlignment="1">
      <alignment vertical="top"/>
    </xf>
    <xf numFmtId="169" fontId="1" fillId="0" borderId="73" xfId="41" applyFont="1" applyFill="1" applyBorder="1" applyAlignment="1">
      <alignment vertical="top"/>
    </xf>
    <xf numFmtId="169" fontId="1" fillId="0" borderId="23" xfId="41" applyFont="1" applyFill="1" applyBorder="1" applyAlignment="1">
      <alignment vertical="top"/>
    </xf>
    <xf numFmtId="170" fontId="2" fillId="0" borderId="22" xfId="41" applyNumberFormat="1" applyFont="1" applyFill="1" applyBorder="1" applyAlignment="1">
      <alignment horizontal="justify" vertical="top"/>
    </xf>
    <xf numFmtId="169" fontId="2" fillId="0" borderId="8" xfId="41" applyNumberFormat="1" applyFont="1" applyFill="1" applyBorder="1" applyAlignment="1">
      <alignment horizontal="center" vertical="top"/>
    </xf>
    <xf numFmtId="169" fontId="25" fillId="0" borderId="7" xfId="41" applyNumberFormat="1" applyFont="1" applyFill="1" applyBorder="1" applyAlignment="1">
      <alignment horizontal="center" vertical="top"/>
    </xf>
    <xf numFmtId="169" fontId="2" fillId="0" borderId="23" xfId="41" applyFont="1" applyFill="1" applyBorder="1" applyAlignment="1">
      <alignment vertical="top"/>
    </xf>
    <xf numFmtId="169" fontId="2" fillId="0" borderId="5" xfId="41" applyFont="1" applyFill="1" applyBorder="1" applyAlignment="1">
      <alignment vertical="center"/>
    </xf>
    <xf numFmtId="169" fontId="2" fillId="0" borderId="75" xfId="41" applyFont="1" applyFill="1" applyBorder="1" applyAlignment="1">
      <alignment vertical="top"/>
    </xf>
    <xf numFmtId="169" fontId="2" fillId="0" borderId="77" xfId="41" applyFont="1" applyFill="1" applyBorder="1" applyAlignment="1">
      <alignment vertical="top"/>
    </xf>
    <xf numFmtId="0" fontId="1" fillId="0" borderId="29" xfId="0" applyFont="1" applyFill="1" applyBorder="1">
      <alignment vertical="top"/>
    </xf>
    <xf numFmtId="170" fontId="2" fillId="6" borderId="19" xfId="41" applyNumberFormat="1" applyFont="1" applyFill="1" applyBorder="1" applyAlignment="1">
      <alignment horizontal="justify" vertical="top"/>
    </xf>
    <xf numFmtId="169" fontId="2" fillId="6" borderId="34" xfId="41" applyNumberFormat="1" applyFont="1" applyFill="1" applyBorder="1" applyAlignment="1">
      <alignment horizontal="center" vertical="top"/>
    </xf>
    <xf numFmtId="169" fontId="1" fillId="0" borderId="75" xfId="41" applyFont="1" applyFill="1" applyBorder="1" applyAlignment="1">
      <alignment vertical="top"/>
    </xf>
    <xf numFmtId="169" fontId="1" fillId="0" borderId="77" xfId="41" applyFont="1" applyFill="1" applyBorder="1" applyAlignment="1">
      <alignment vertical="top"/>
    </xf>
    <xf numFmtId="170" fontId="1" fillId="6" borderId="9" xfId="41" applyNumberFormat="1" applyFont="1" applyFill="1" applyBorder="1" applyAlignment="1">
      <alignment vertical="top"/>
    </xf>
    <xf numFmtId="170" fontId="2" fillId="6" borderId="21" xfId="41" applyNumberFormat="1" applyFont="1" applyFill="1" applyBorder="1" applyAlignment="1">
      <alignment horizontal="justify" vertical="top"/>
    </xf>
    <xf numFmtId="169" fontId="2" fillId="6" borderId="12" xfId="41" applyNumberFormat="1" applyFont="1" applyFill="1" applyBorder="1" applyAlignment="1">
      <alignment horizontal="center" vertical="top"/>
    </xf>
    <xf numFmtId="170" fontId="2" fillId="0" borderId="13" xfId="41" applyNumberFormat="1" applyFont="1" applyBorder="1" applyAlignment="1">
      <alignment horizontal="center" vertical="top"/>
    </xf>
    <xf numFmtId="170" fontId="2" fillId="0" borderId="2" xfId="41" applyNumberFormat="1" applyFont="1" applyFill="1" applyBorder="1" applyAlignment="1">
      <alignment horizontal="center" vertical="top"/>
    </xf>
    <xf numFmtId="169" fontId="2" fillId="0" borderId="2" xfId="41" applyFont="1" applyFill="1" applyBorder="1" applyAlignment="1">
      <alignment horizontal="center" vertical="top"/>
    </xf>
    <xf numFmtId="169" fontId="2" fillId="18" borderId="1" xfId="41" applyFont="1" applyFill="1" applyBorder="1" applyAlignment="1">
      <alignment horizontal="center" vertical="top"/>
    </xf>
    <xf numFmtId="170" fontId="1" fillId="6" borderId="2" xfId="41" applyNumberFormat="1" applyFont="1" applyFill="1" applyBorder="1" applyAlignment="1">
      <alignment horizontal="center" vertical="top"/>
    </xf>
    <xf numFmtId="170" fontId="2" fillId="6" borderId="0" xfId="41" applyNumberFormat="1" applyFont="1" applyFill="1" applyBorder="1" applyAlignment="1">
      <alignment horizontal="center" vertical="top"/>
    </xf>
    <xf numFmtId="0" fontId="1" fillId="6" borderId="2" xfId="0" applyFont="1" applyFill="1" applyBorder="1" applyAlignment="1">
      <alignment horizontal="center" vertical="top"/>
    </xf>
    <xf numFmtId="174" fontId="1" fillId="6" borderId="1" xfId="0" applyNumberFormat="1" applyFont="1" applyFill="1" applyBorder="1" applyAlignment="1">
      <alignment horizontal="center" vertical="top"/>
    </xf>
    <xf numFmtId="170" fontId="2" fillId="6" borderId="1" xfId="41" applyNumberFormat="1" applyFont="1" applyFill="1" applyBorder="1" applyAlignment="1">
      <alignment horizontal="center" vertical="top"/>
    </xf>
    <xf numFmtId="169" fontId="44" fillId="0" borderId="0" xfId="41" applyFont="1" applyFill="1" applyBorder="1" applyAlignment="1">
      <alignment horizontal="center" vertical="top"/>
    </xf>
    <xf numFmtId="173" fontId="2" fillId="0" borderId="0" xfId="0" applyNumberFormat="1" applyFont="1" applyAlignment="1">
      <alignment horizontal="center" vertical="top"/>
    </xf>
    <xf numFmtId="170" fontId="61" fillId="0" borderId="62" xfId="41" applyNumberFormat="1" applyFont="1" applyFill="1" applyBorder="1" applyAlignment="1">
      <alignment horizontal="center" vertical="top"/>
    </xf>
    <xf numFmtId="170" fontId="61" fillId="0" borderId="20" xfId="41" applyNumberFormat="1" applyFont="1" applyFill="1" applyBorder="1" applyAlignment="1">
      <alignment horizontal="center" vertical="top"/>
    </xf>
    <xf numFmtId="169" fontId="61" fillId="0" borderId="62" xfId="41" applyFont="1" applyFill="1" applyBorder="1" applyAlignment="1">
      <alignment horizontal="center" vertical="top"/>
    </xf>
    <xf numFmtId="169" fontId="61" fillId="0" borderId="65" xfId="41" applyFont="1" applyFill="1" applyBorder="1" applyAlignment="1">
      <alignment horizontal="center" vertical="top"/>
    </xf>
    <xf numFmtId="170" fontId="61" fillId="0" borderId="65" xfId="41" applyNumberFormat="1" applyFont="1" applyFill="1" applyBorder="1" applyAlignment="1">
      <alignment horizontal="center" vertical="top"/>
    </xf>
    <xf numFmtId="169" fontId="61" fillId="0" borderId="62" xfId="41" applyNumberFormat="1" applyFont="1" applyFill="1" applyBorder="1" applyAlignment="1">
      <alignment horizontal="center" vertical="top"/>
    </xf>
    <xf numFmtId="169" fontId="61" fillId="0" borderId="20" xfId="41" applyNumberFormat="1" applyFont="1" applyFill="1" applyBorder="1" applyAlignment="1">
      <alignment horizontal="center" vertical="top"/>
    </xf>
    <xf numFmtId="169" fontId="61" fillId="0" borderId="17" xfId="41" applyNumberFormat="1" applyFont="1" applyFill="1" applyBorder="1" applyAlignment="1">
      <alignment horizontal="center" vertical="top"/>
    </xf>
    <xf numFmtId="169" fontId="61" fillId="0" borderId="65" xfId="41" applyNumberFormat="1" applyFont="1" applyFill="1" applyBorder="1" applyAlignment="1">
      <alignment horizontal="center" vertical="top"/>
    </xf>
    <xf numFmtId="169" fontId="62" fillId="0" borderId="65" xfId="41" applyNumberFormat="1" applyFont="1" applyFill="1" applyBorder="1" applyAlignment="1">
      <alignment horizontal="center" vertical="top"/>
    </xf>
    <xf numFmtId="169" fontId="61" fillId="0" borderId="20" xfId="41" applyFont="1" applyFill="1" applyBorder="1" applyAlignment="1">
      <alignment horizontal="center" vertical="top"/>
    </xf>
    <xf numFmtId="169" fontId="61" fillId="0" borderId="0" xfId="41" applyFont="1" applyFill="1" applyBorder="1" applyAlignment="1">
      <alignment horizontal="center" vertical="top"/>
    </xf>
    <xf numFmtId="170" fontId="44" fillId="0" borderId="2" xfId="41" applyNumberFormat="1" applyFont="1" applyFill="1" applyBorder="1" applyAlignment="1">
      <alignment horizontal="center" vertical="top"/>
    </xf>
    <xf numFmtId="170" fontId="44" fillId="0" borderId="0" xfId="41" applyNumberFormat="1" applyFont="1" applyFill="1" applyBorder="1" applyAlignment="1">
      <alignment horizontal="center" vertical="top"/>
    </xf>
    <xf numFmtId="169" fontId="44" fillId="0" borderId="2" xfId="41" applyFont="1" applyFill="1" applyBorder="1" applyAlignment="1">
      <alignment horizontal="center" vertical="top"/>
    </xf>
    <xf numFmtId="169" fontId="44" fillId="18" borderId="1" xfId="41" applyFont="1" applyFill="1" applyBorder="1" applyAlignment="1">
      <alignment horizontal="center" vertical="top"/>
    </xf>
    <xf numFmtId="170" fontId="44" fillId="0" borderId="1" xfId="41" applyNumberFormat="1" applyFont="1" applyFill="1" applyBorder="1" applyAlignment="1">
      <alignment horizontal="center" vertical="top"/>
    </xf>
    <xf numFmtId="169" fontId="44" fillId="0" borderId="2" xfId="41" applyNumberFormat="1" applyFont="1" applyFill="1" applyBorder="1" applyAlignment="1">
      <alignment horizontal="center" vertical="top"/>
    </xf>
    <xf numFmtId="169" fontId="44" fillId="0" borderId="0" xfId="41" applyNumberFormat="1" applyFont="1" applyFill="1" applyBorder="1" applyAlignment="1">
      <alignment horizontal="center" vertical="top"/>
    </xf>
    <xf numFmtId="169" fontId="44" fillId="0" borderId="13" xfId="41" applyNumberFormat="1" applyFont="1" applyFill="1" applyBorder="1" applyAlignment="1">
      <alignment horizontal="center" vertical="top"/>
    </xf>
    <xf numFmtId="169" fontId="44" fillId="0" borderId="1" xfId="41" applyNumberFormat="1" applyFont="1" applyFill="1" applyBorder="1" applyAlignment="1">
      <alignment horizontal="center" vertical="top"/>
    </xf>
    <xf numFmtId="169" fontId="63" fillId="0" borderId="1" xfId="41" applyNumberFormat="1" applyFont="1" applyFill="1" applyBorder="1" applyAlignment="1">
      <alignment horizontal="center" vertical="top"/>
    </xf>
    <xf numFmtId="170" fontId="61" fillId="6" borderId="2" xfId="41" applyNumberFormat="1" applyFont="1" applyFill="1" applyBorder="1" applyAlignment="1">
      <alignment horizontal="center" vertical="top"/>
    </xf>
    <xf numFmtId="170" fontId="44" fillId="6" borderId="0" xfId="41" applyNumberFormat="1" applyFont="1" applyFill="1" applyBorder="1" applyAlignment="1">
      <alignment horizontal="center" vertical="top"/>
    </xf>
    <xf numFmtId="0" fontId="61" fillId="6" borderId="2" xfId="0" applyFont="1" applyFill="1" applyBorder="1" applyAlignment="1">
      <alignment horizontal="center" vertical="top"/>
    </xf>
    <xf numFmtId="169" fontId="61" fillId="6" borderId="1" xfId="41" applyFont="1" applyFill="1" applyBorder="1" applyAlignment="1">
      <alignment horizontal="center" vertical="top"/>
    </xf>
    <xf numFmtId="170" fontId="44" fillId="6" borderId="1" xfId="41" applyNumberFormat="1" applyFont="1" applyFill="1" applyBorder="1" applyAlignment="1">
      <alignment horizontal="center" vertical="top"/>
    </xf>
    <xf numFmtId="169" fontId="44" fillId="6" borderId="2" xfId="41" applyNumberFormat="1" applyFont="1" applyFill="1" applyBorder="1" applyAlignment="1">
      <alignment horizontal="center" vertical="top"/>
    </xf>
    <xf numFmtId="169" fontId="44" fillId="6" borderId="0" xfId="41" applyNumberFormat="1" applyFont="1" applyFill="1" applyBorder="1" applyAlignment="1">
      <alignment horizontal="center" vertical="top"/>
    </xf>
    <xf numFmtId="169" fontId="44" fillId="6" borderId="13" xfId="41" applyNumberFormat="1" applyFont="1" applyFill="1" applyBorder="1" applyAlignment="1">
      <alignment horizontal="center" vertical="top"/>
    </xf>
    <xf numFmtId="169" fontId="44" fillId="6" borderId="1" xfId="41" applyNumberFormat="1" applyFont="1" applyFill="1" applyBorder="1" applyAlignment="1">
      <alignment horizontal="center" vertical="top"/>
    </xf>
    <xf numFmtId="169" fontId="63" fillId="6" borderId="1" xfId="41" applyNumberFormat="1" applyFont="1" applyFill="1" applyBorder="1" applyAlignment="1">
      <alignment horizontal="center" vertical="top"/>
    </xf>
    <xf numFmtId="169" fontId="44" fillId="6" borderId="0" xfId="41" applyFont="1" applyFill="1" applyBorder="1" applyAlignment="1">
      <alignment horizontal="center" vertical="top"/>
    </xf>
    <xf numFmtId="169" fontId="44" fillId="0" borderId="0" xfId="41" applyFont="1" applyFill="1" applyBorder="1" applyAlignment="1">
      <alignment vertical="top"/>
    </xf>
    <xf numFmtId="170" fontId="61" fillId="6" borderId="2" xfId="41" applyNumberFormat="1" applyFont="1" applyFill="1" applyBorder="1" applyAlignment="1">
      <alignment vertical="top"/>
    </xf>
    <xf numFmtId="170" fontId="44" fillId="0" borderId="0" xfId="41" applyNumberFormat="1" applyFont="1" applyFill="1" applyBorder="1" applyAlignment="1">
      <alignment vertical="top"/>
    </xf>
    <xf numFmtId="170" fontId="44" fillId="0" borderId="0" xfId="41" applyNumberFormat="1" applyFont="1" applyFill="1" applyBorder="1" applyAlignment="1">
      <alignment horizontal="justify" vertical="top"/>
    </xf>
    <xf numFmtId="170" fontId="44" fillId="0" borderId="1" xfId="41" applyNumberFormat="1" applyFont="1" applyFill="1" applyBorder="1" applyAlignment="1">
      <alignment horizontal="justify" vertical="top"/>
    </xf>
    <xf numFmtId="169" fontId="44" fillId="0" borderId="2" xfId="41" applyFont="1" applyFill="1" applyBorder="1" applyAlignment="1">
      <alignment vertical="top"/>
    </xf>
    <xf numFmtId="169" fontId="44" fillId="0" borderId="1" xfId="41" applyFont="1" applyFill="1" applyBorder="1" applyAlignment="1">
      <alignment vertical="top"/>
    </xf>
    <xf numFmtId="170" fontId="44" fillId="6" borderId="0" xfId="41" applyNumberFormat="1" applyFont="1" applyFill="1" applyBorder="1" applyAlignment="1">
      <alignment vertical="top"/>
    </xf>
    <xf numFmtId="170" fontId="44" fillId="6" borderId="0" xfId="41" applyNumberFormat="1" applyFont="1" applyFill="1" applyBorder="1" applyAlignment="1">
      <alignment horizontal="justify" vertical="top"/>
    </xf>
    <xf numFmtId="170" fontId="44" fillId="6" borderId="1" xfId="41" applyNumberFormat="1" applyFont="1" applyFill="1" applyBorder="1" applyAlignment="1">
      <alignment horizontal="justify" vertical="top"/>
    </xf>
    <xf numFmtId="169" fontId="44" fillId="6" borderId="0" xfId="41" applyFont="1" applyFill="1" applyBorder="1" applyAlignment="1">
      <alignment vertical="top"/>
    </xf>
    <xf numFmtId="0" fontId="61" fillId="6" borderId="2" xfId="0" applyFont="1" applyFill="1" applyBorder="1">
      <alignment vertical="top"/>
    </xf>
    <xf numFmtId="170" fontId="59" fillId="32" borderId="0" xfId="41" applyNumberFormat="1" applyFont="1" applyFill="1" applyBorder="1" applyAlignment="1">
      <alignment horizontal="justify" vertical="top"/>
    </xf>
    <xf numFmtId="170" fontId="1" fillId="32" borderId="62" xfId="41" applyNumberFormat="1" applyFont="1" applyFill="1" applyBorder="1" applyAlignment="1">
      <alignment vertical="center"/>
    </xf>
    <xf numFmtId="0" fontId="2" fillId="32" borderId="0" xfId="0" applyFont="1" applyFill="1">
      <alignment vertical="top"/>
    </xf>
    <xf numFmtId="170" fontId="44" fillId="32" borderId="2" xfId="41" applyNumberFormat="1" applyFont="1" applyFill="1" applyBorder="1" applyAlignment="1">
      <alignment horizontal="justify" vertical="top"/>
    </xf>
    <xf numFmtId="170" fontId="61" fillId="32" borderId="62" xfId="41" applyNumberFormat="1" applyFont="1" applyFill="1" applyBorder="1" applyAlignment="1">
      <alignment vertical="center"/>
    </xf>
    <xf numFmtId="170" fontId="44" fillId="32" borderId="2" xfId="41" applyNumberFormat="1" applyFont="1" applyFill="1" applyBorder="1" applyAlignment="1">
      <alignment vertical="center"/>
    </xf>
    <xf numFmtId="0" fontId="18" fillId="32" borderId="2" xfId="0" applyFont="1" applyFill="1" applyBorder="1">
      <alignment vertical="top"/>
    </xf>
    <xf numFmtId="169" fontId="22" fillId="32" borderId="2" xfId="41" applyFont="1" applyFill="1" applyBorder="1" applyAlignment="1">
      <alignment horizontal="justify" vertical="top"/>
    </xf>
    <xf numFmtId="169" fontId="0" fillId="32" borderId="2" xfId="0" applyNumberFormat="1" applyFill="1" applyBorder="1" applyAlignment="1">
      <alignment vertical="top"/>
    </xf>
    <xf numFmtId="170" fontId="5" fillId="32" borderId="5" xfId="41" applyNumberFormat="1" applyFont="1" applyFill="1" applyBorder="1" applyAlignment="1">
      <alignment horizontal="justify" vertical="top"/>
    </xf>
    <xf numFmtId="0" fontId="16" fillId="32" borderId="36" xfId="0" applyFont="1" applyFill="1" applyBorder="1" applyAlignment="1">
      <alignment vertical="top"/>
    </xf>
    <xf numFmtId="0" fontId="0" fillId="32" borderId="2" xfId="0" applyFill="1" applyBorder="1" applyAlignment="1">
      <alignment vertical="top"/>
    </xf>
    <xf numFmtId="170" fontId="6" fillId="32" borderId="2" xfId="41" applyNumberFormat="1" applyFont="1" applyFill="1" applyBorder="1" applyAlignment="1">
      <alignment horizontal="left" vertical="top"/>
    </xf>
    <xf numFmtId="170" fontId="22" fillId="32" borderId="2" xfId="41" applyNumberFormat="1" applyFont="1" applyFill="1" applyBorder="1" applyAlignment="1">
      <alignment horizontal="left" vertical="top"/>
    </xf>
    <xf numFmtId="170" fontId="5" fillId="32" borderId="2" xfId="41" applyNumberFormat="1" applyFont="1" applyFill="1" applyBorder="1" applyAlignment="1">
      <alignment horizontal="left" vertical="top"/>
    </xf>
    <xf numFmtId="170" fontId="5" fillId="32" borderId="21" xfId="41" applyNumberFormat="1" applyFont="1" applyFill="1" applyBorder="1" applyAlignment="1">
      <alignment horizontal="justify" vertical="top"/>
    </xf>
    <xf numFmtId="169" fontId="5" fillId="32" borderId="2" xfId="41" applyFont="1" applyFill="1" applyBorder="1" applyAlignment="1">
      <alignment horizontal="justify" vertical="top"/>
    </xf>
    <xf numFmtId="169" fontId="18" fillId="32" borderId="2" xfId="0" applyNumberFormat="1" applyFont="1" applyFill="1" applyBorder="1" applyAlignment="1">
      <alignment vertical="top"/>
    </xf>
    <xf numFmtId="169" fontId="1" fillId="32" borderId="2" xfId="0" applyNumberFormat="1" applyFont="1" applyFill="1" applyBorder="1" applyAlignment="1">
      <alignment vertical="top"/>
    </xf>
    <xf numFmtId="169" fontId="0" fillId="32" borderId="21" xfId="0" applyNumberFormat="1" applyFill="1" applyBorder="1" applyAlignment="1">
      <alignment vertical="top"/>
    </xf>
    <xf numFmtId="0" fontId="0" fillId="32" borderId="2" xfId="0" applyFill="1" applyBorder="1" applyAlignment="1">
      <alignment horizontal="left" vertical="top"/>
    </xf>
    <xf numFmtId="0" fontId="0" fillId="32" borderId="2" xfId="0" applyFill="1" applyBorder="1" applyAlignment="1">
      <alignment horizontal="left" vertical="top" wrapText="1"/>
    </xf>
    <xf numFmtId="169" fontId="1" fillId="32" borderId="43" xfId="0" applyNumberFormat="1" applyFont="1" applyFill="1" applyBorder="1" applyAlignment="1">
      <alignment vertical="top"/>
    </xf>
    <xf numFmtId="0" fontId="2" fillId="32" borderId="2" xfId="0" applyFont="1" applyFill="1" applyBorder="1" applyAlignment="1">
      <alignment horizontal="left" vertical="top"/>
    </xf>
    <xf numFmtId="170" fontId="5" fillId="32" borderId="62" xfId="41" applyNumberFormat="1" applyFont="1" applyFill="1" applyBorder="1" applyAlignment="1">
      <alignment horizontal="justify" vertical="top"/>
    </xf>
    <xf numFmtId="170" fontId="5" fillId="32" borderId="19" xfId="41" applyNumberFormat="1" applyFont="1" applyFill="1" applyBorder="1" applyAlignment="1">
      <alignment horizontal="justify" vertical="top"/>
    </xf>
    <xf numFmtId="0" fontId="1" fillId="32" borderId="2" xfId="0" applyFont="1" applyFill="1" applyBorder="1">
      <alignment vertical="top"/>
    </xf>
    <xf numFmtId="0" fontId="2" fillId="32" borderId="2" xfId="0" applyFont="1" applyFill="1" applyBorder="1">
      <alignment vertical="top"/>
    </xf>
    <xf numFmtId="0" fontId="0" fillId="32" borderId="0" xfId="0" applyFill="1" applyBorder="1">
      <alignment vertical="top"/>
    </xf>
    <xf numFmtId="0" fontId="0" fillId="32" borderId="1" xfId="0" applyFill="1" applyBorder="1">
      <alignment vertical="top"/>
    </xf>
    <xf numFmtId="0" fontId="0" fillId="32" borderId="0" xfId="0" applyFill="1" applyAlignment="1">
      <alignment horizontal="center" vertical="top"/>
    </xf>
    <xf numFmtId="170" fontId="5" fillId="32" borderId="2" xfId="41" applyNumberFormat="1" applyFill="1" applyBorder="1" applyAlignment="1">
      <alignment horizontal="justify" vertical="top"/>
    </xf>
    <xf numFmtId="0" fontId="16" fillId="32" borderId="2" xfId="0" applyFont="1" applyFill="1" applyBorder="1" applyAlignment="1">
      <alignment vertical="top"/>
    </xf>
    <xf numFmtId="169" fontId="1" fillId="32" borderId="21" xfId="0" applyNumberFormat="1" applyFont="1" applyFill="1" applyBorder="1" applyAlignment="1">
      <alignment vertical="top"/>
    </xf>
    <xf numFmtId="169" fontId="2" fillId="32" borderId="2" xfId="0" applyNumberFormat="1" applyFont="1" applyFill="1" applyBorder="1" applyAlignment="1">
      <alignment vertical="top"/>
    </xf>
    <xf numFmtId="0" fontId="0" fillId="32" borderId="19" xfId="0" applyFill="1" applyBorder="1">
      <alignment vertical="top"/>
    </xf>
    <xf numFmtId="170" fontId="6" fillId="32" borderId="2" xfId="41" applyNumberFormat="1" applyFont="1" applyFill="1" applyBorder="1" applyAlignment="1">
      <alignment horizontal="justify" vertical="center"/>
    </xf>
    <xf numFmtId="0" fontId="5" fillId="0" borderId="2" xfId="0" applyFont="1" applyFill="1" applyBorder="1">
      <alignment vertical="top"/>
    </xf>
    <xf numFmtId="0" fontId="28" fillId="13" borderId="94" xfId="38" applyFont="1" applyFill="1" applyBorder="1" applyAlignment="1">
      <alignment horizontal="center" vertical="center" wrapText="1"/>
    </xf>
    <xf numFmtId="0" fontId="28" fillId="13" borderId="95" xfId="38" applyFont="1" applyFill="1" applyBorder="1" applyAlignment="1">
      <alignment horizontal="center" vertical="center" wrapText="1"/>
    </xf>
    <xf numFmtId="0" fontId="27" fillId="11" borderId="53" xfId="38" applyFont="1" applyFill="1" applyBorder="1" applyAlignment="1">
      <alignment horizontal="center" vertical="center" wrapText="1"/>
    </xf>
    <xf numFmtId="0" fontId="27" fillId="11" borderId="14" xfId="38" applyFont="1" applyFill="1" applyBorder="1" applyAlignment="1">
      <alignment horizontal="center" vertical="center" wrapText="1"/>
    </xf>
    <xf numFmtId="0" fontId="27" fillId="11" borderId="15" xfId="38" applyFont="1" applyFill="1" applyBorder="1" applyAlignment="1">
      <alignment horizontal="center" vertical="center" wrapText="1"/>
    </xf>
    <xf numFmtId="0" fontId="27" fillId="11" borderId="16" xfId="38" applyFont="1" applyFill="1" applyBorder="1" applyAlignment="1">
      <alignment horizontal="center" vertical="center" wrapText="1"/>
    </xf>
    <xf numFmtId="0" fontId="28" fillId="5" borderId="94" xfId="38" applyFont="1" applyFill="1" applyBorder="1" applyAlignment="1">
      <alignment horizontal="center" vertical="center" wrapText="1"/>
    </xf>
    <xf numFmtId="0" fontId="28" fillId="5" borderId="95" xfId="38" applyFont="1" applyFill="1" applyBorder="1" applyAlignment="1">
      <alignment horizontal="center" vertical="center" wrapText="1"/>
    </xf>
    <xf numFmtId="0" fontId="28" fillId="11" borderId="53" xfId="38" applyFont="1" applyFill="1" applyBorder="1" applyAlignment="1">
      <alignment horizontal="center" vertical="center" wrapText="1"/>
    </xf>
    <xf numFmtId="0" fontId="28" fillId="11" borderId="14" xfId="38" applyFont="1" applyFill="1" applyBorder="1" applyAlignment="1">
      <alignment horizontal="center" vertical="center" wrapText="1"/>
    </xf>
    <xf numFmtId="0" fontId="28" fillId="11" borderId="15" xfId="38" applyFont="1" applyFill="1" applyBorder="1" applyAlignment="1">
      <alignment horizontal="center" vertical="center" wrapText="1"/>
    </xf>
    <xf numFmtId="0" fontId="47" fillId="0" borderId="64" xfId="38" applyBorder="1" applyAlignment="1">
      <alignment horizontal="center" vertical="center" wrapText="1"/>
    </xf>
    <xf numFmtId="0" fontId="47" fillId="0" borderId="59" xfId="38" applyBorder="1" applyAlignment="1">
      <alignment horizontal="center" vertical="center" wrapText="1"/>
    </xf>
    <xf numFmtId="0" fontId="47" fillId="0" borderId="67" xfId="38" applyBorder="1" applyAlignment="1">
      <alignment horizontal="center" vertical="center" wrapText="1"/>
    </xf>
    <xf numFmtId="0" fontId="28" fillId="12" borderId="94" xfId="38" applyFont="1" applyFill="1" applyBorder="1" applyAlignment="1">
      <alignment horizontal="center" vertical="center" wrapText="1"/>
    </xf>
    <xf numFmtId="0" fontId="28" fillId="12" borderId="95" xfId="38" applyFont="1" applyFill="1" applyBorder="1" applyAlignment="1">
      <alignment horizontal="center" vertical="center" wrapText="1"/>
    </xf>
    <xf numFmtId="0" fontId="28" fillId="11" borderId="64" xfId="38" applyFont="1" applyFill="1" applyBorder="1" applyAlignment="1">
      <alignment horizontal="center" vertical="center" wrapText="1"/>
    </xf>
    <xf numFmtId="0" fontId="28" fillId="11" borderId="59" xfId="38" applyFont="1" applyFill="1" applyBorder="1" applyAlignment="1">
      <alignment horizontal="center" vertical="center" wrapText="1"/>
    </xf>
    <xf numFmtId="0" fontId="28" fillId="11" borderId="67" xfId="38"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13"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169" fontId="2" fillId="0" borderId="12" xfId="0" applyNumberFormat="1" applyFont="1" applyFill="1" applyBorder="1" applyAlignment="1">
      <alignment horizontal="center" vertical="center" wrapText="1"/>
    </xf>
    <xf numFmtId="169" fontId="2" fillId="0" borderId="48" xfId="0"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 xfId="0" applyNumberFormat="1" applyFont="1" applyFill="1" applyBorder="1" applyAlignment="1">
      <alignment horizontal="center" vertical="top" wrapText="1"/>
    </xf>
    <xf numFmtId="0" fontId="2" fillId="0" borderId="0" xfId="0" applyNumberFormat="1" applyFont="1" applyFill="1" applyBorder="1" applyAlignment="1">
      <alignment horizontal="center" vertical="top" wrapText="1"/>
    </xf>
    <xf numFmtId="0" fontId="2" fillId="0" borderId="11" xfId="0" applyNumberFormat="1" applyFont="1" applyFill="1" applyBorder="1" applyAlignment="1">
      <alignment horizontal="center" vertical="top" wrapText="1"/>
    </xf>
    <xf numFmtId="0" fontId="2" fillId="0" borderId="2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169" fontId="2" fillId="0" borderId="13" xfId="0" applyNumberFormat="1" applyFont="1" applyFill="1" applyBorder="1" applyAlignment="1">
      <alignment horizontal="center" vertical="top" wrapText="1"/>
    </xf>
    <xf numFmtId="169" fontId="2" fillId="0" borderId="0" xfId="0" applyNumberFormat="1" applyFont="1" applyFill="1" applyBorder="1" applyAlignment="1">
      <alignment horizontal="center" vertical="top" wrapText="1"/>
    </xf>
    <xf numFmtId="169" fontId="2" fillId="0" borderId="11" xfId="0" applyNumberFormat="1" applyFont="1" applyFill="1" applyBorder="1" applyAlignment="1">
      <alignment horizontal="center" vertical="top" wrapText="1"/>
    </xf>
    <xf numFmtId="0" fontId="2" fillId="0" borderId="13" xfId="0" applyNumberFormat="1"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2" fillId="0" borderId="12" xfId="0" applyNumberFormat="1" applyFont="1" applyFill="1" applyBorder="1" applyAlignment="1">
      <alignment horizontal="center" vertical="top" wrapText="1"/>
    </xf>
    <xf numFmtId="0" fontId="2" fillId="0" borderId="9" xfId="0" applyNumberFormat="1" applyFont="1" applyFill="1" applyBorder="1" applyAlignment="1">
      <alignment horizontal="center" vertical="top" wrapText="1"/>
    </xf>
    <xf numFmtId="0" fontId="2" fillId="0" borderId="10" xfId="0" applyNumberFormat="1" applyFont="1" applyFill="1" applyBorder="1" applyAlignment="1">
      <alignment horizontal="center" vertical="top" wrapText="1"/>
    </xf>
    <xf numFmtId="169" fontId="2" fillId="0" borderId="12" xfId="0" applyNumberFormat="1" applyFont="1" applyFill="1" applyBorder="1" applyAlignment="1">
      <alignment horizontal="center" vertical="top" wrapText="1"/>
    </xf>
    <xf numFmtId="169" fontId="2" fillId="0" borderId="9" xfId="0" applyNumberFormat="1" applyFont="1" applyFill="1" applyBorder="1" applyAlignment="1">
      <alignment horizontal="center" vertical="top" wrapText="1"/>
    </xf>
    <xf numFmtId="169" fontId="2" fillId="0" borderId="48" xfId="0" applyNumberFormat="1" applyFont="1" applyFill="1" applyBorder="1" applyAlignment="1">
      <alignment horizontal="center" vertical="top" wrapText="1"/>
    </xf>
    <xf numFmtId="0" fontId="2" fillId="0" borderId="1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48" xfId="0" applyFont="1" applyFill="1" applyBorder="1" applyAlignment="1">
      <alignment horizontal="center" vertical="top" wrapText="1"/>
    </xf>
    <xf numFmtId="170" fontId="2" fillId="0" borderId="0" xfId="5" applyNumberFormat="1" applyFont="1" applyFill="1" applyBorder="1" applyAlignment="1">
      <alignment horizontal="center" vertical="center" wrapText="1"/>
    </xf>
    <xf numFmtId="170" fontId="2" fillId="0" borderId="11" xfId="5" applyNumberFormat="1" applyFont="1" applyFill="1" applyBorder="1" applyAlignment="1">
      <alignment horizontal="center" vertical="center" wrapText="1"/>
    </xf>
    <xf numFmtId="170" fontId="2" fillId="0" borderId="6" xfId="5" applyNumberFormat="1" applyFont="1" applyFill="1" applyBorder="1" applyAlignment="1">
      <alignment horizontal="center" vertical="center" wrapText="1"/>
    </xf>
    <xf numFmtId="170" fontId="2" fillId="0" borderId="60" xfId="5"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wrapText="1"/>
    </xf>
    <xf numFmtId="0" fontId="2" fillId="0" borderId="10" xfId="0" applyNumberFormat="1" applyFont="1" applyFill="1" applyBorder="1" applyAlignment="1">
      <alignment horizontal="center" vertical="center" wrapText="1"/>
    </xf>
    <xf numFmtId="0" fontId="20" fillId="21" borderId="41" xfId="0" applyFont="1" applyFill="1" applyBorder="1" applyAlignment="1">
      <alignment horizontal="center" vertical="top"/>
    </xf>
    <xf numFmtId="169" fontId="20" fillId="21" borderId="3" xfId="0" applyNumberFormat="1" applyFont="1" applyFill="1" applyBorder="1" applyAlignment="1">
      <alignment horizontal="center" vertical="top"/>
    </xf>
    <xf numFmtId="169" fontId="20" fillId="21" borderId="57" xfId="0" applyNumberFormat="1" applyFont="1" applyFill="1" applyBorder="1" applyAlignment="1">
      <alignment horizontal="center" vertical="top"/>
    </xf>
    <xf numFmtId="0" fontId="20" fillId="0" borderId="14" xfId="0" applyFont="1" applyBorder="1" applyAlignment="1">
      <alignment horizontal="center" vertical="top"/>
    </xf>
    <xf numFmtId="169" fontId="20" fillId="8" borderId="15" xfId="0" applyNumberFormat="1" applyFont="1" applyFill="1" applyBorder="1" applyAlignment="1">
      <alignment horizontal="center" vertical="top"/>
    </xf>
    <xf numFmtId="169" fontId="20" fillId="8" borderId="16" xfId="0" applyNumberFormat="1" applyFont="1" applyFill="1" applyBorder="1" applyAlignment="1">
      <alignment horizontal="center" vertical="top"/>
    </xf>
    <xf numFmtId="0" fontId="0" fillId="21" borderId="18" xfId="0" applyFill="1" applyBorder="1" applyAlignment="1">
      <alignment vertical="center"/>
    </xf>
    <xf numFmtId="0" fontId="0" fillId="21" borderId="10" xfId="0" applyFill="1" applyBorder="1" applyAlignment="1">
      <alignment vertical="center"/>
    </xf>
    <xf numFmtId="170" fontId="6" fillId="32" borderId="65" xfId="41" applyNumberFormat="1" applyFont="1" applyFill="1" applyBorder="1" applyAlignment="1">
      <alignment horizontal="center" vertical="center" wrapText="1"/>
    </xf>
    <xf numFmtId="170" fontId="6" fillId="32" borderId="1" xfId="41" applyNumberFormat="1" applyFont="1" applyFill="1" applyBorder="1" applyAlignment="1">
      <alignment horizontal="center" vertical="center" wrapText="1"/>
    </xf>
    <xf numFmtId="170" fontId="6" fillId="32" borderId="48" xfId="41" applyNumberFormat="1" applyFont="1" applyFill="1" applyBorder="1" applyAlignment="1">
      <alignment horizontal="center" vertical="center" wrapText="1"/>
    </xf>
    <xf numFmtId="0" fontId="11" fillId="8" borderId="36" xfId="0" applyFont="1" applyFill="1" applyBorder="1" applyAlignment="1">
      <alignment horizontal="center" vertical="top" wrapText="1"/>
    </xf>
    <xf numFmtId="0" fontId="6" fillId="3"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170" fontId="6" fillId="0" borderId="4" xfId="41" applyNumberFormat="1" applyFont="1" applyFill="1" applyBorder="1" applyAlignment="1">
      <alignment horizontal="center" vertical="center" wrapText="1"/>
    </xf>
    <xf numFmtId="170" fontId="6" fillId="0" borderId="1" xfId="41" applyNumberFormat="1" applyFont="1" applyFill="1" applyBorder="1" applyAlignment="1">
      <alignment horizontal="center" vertical="center" wrapText="1"/>
    </xf>
    <xf numFmtId="170" fontId="6" fillId="0" borderId="29" xfId="41" applyNumberFormat="1" applyFont="1" applyFill="1" applyBorder="1" applyAlignment="1">
      <alignment horizontal="center" vertical="center" wrapText="1"/>
    </xf>
    <xf numFmtId="0" fontId="11" fillId="0" borderId="36" xfId="0" applyFont="1" applyFill="1" applyBorder="1" applyAlignment="1">
      <alignment horizontal="center" vertical="center"/>
    </xf>
    <xf numFmtId="0" fontId="11" fillId="0" borderId="47" xfId="0" applyFont="1" applyFill="1" applyBorder="1" applyAlignment="1">
      <alignment horizontal="center" vertical="center"/>
    </xf>
    <xf numFmtId="0" fontId="6" fillId="6" borderId="35" xfId="0" applyFont="1" applyFill="1" applyBorder="1" applyAlignment="1">
      <alignment horizontal="center" vertical="center" wrapText="1"/>
    </xf>
    <xf numFmtId="0" fontId="6" fillId="6" borderId="36"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1" fillId="5" borderId="37" xfId="0" applyFont="1" applyFill="1" applyBorder="1" applyAlignment="1">
      <alignment horizontal="center" vertical="top" wrapText="1"/>
    </xf>
    <xf numFmtId="170" fontId="2" fillId="2" borderId="37" xfId="41" applyNumberFormat="1" applyFont="1" applyFill="1" applyBorder="1" applyAlignment="1">
      <alignment horizontal="center" vertical="top" wrapText="1"/>
    </xf>
    <xf numFmtId="170" fontId="2" fillId="2" borderId="37" xfId="0" applyNumberFormat="1" applyFont="1" applyFill="1" applyBorder="1" applyAlignment="1">
      <alignment horizontal="center" vertical="top" wrapText="1"/>
    </xf>
    <xf numFmtId="0" fontId="1" fillId="30" borderId="37" xfId="16" applyFont="1" applyFill="1" applyBorder="1" applyAlignment="1">
      <alignment horizontal="center" vertical="top" wrapText="1"/>
    </xf>
    <xf numFmtId="170" fontId="2" fillId="26" borderId="37" xfId="0" applyNumberFormat="1" applyFont="1" applyFill="1" applyBorder="1" applyAlignment="1">
      <alignment horizontal="center" vertical="top" wrapText="1"/>
    </xf>
    <xf numFmtId="0" fontId="1" fillId="26" borderId="39" xfId="0" applyFont="1" applyFill="1" applyBorder="1" applyAlignment="1">
      <alignment horizontal="left" vertical="top" wrapText="1"/>
    </xf>
    <xf numFmtId="0" fontId="1" fillId="26" borderId="37" xfId="0" applyFont="1" applyFill="1" applyBorder="1" applyAlignment="1">
      <alignment horizontal="left" vertical="top" wrapText="1"/>
    </xf>
    <xf numFmtId="170" fontId="2" fillId="26" borderId="37" xfId="41" applyNumberFormat="1" applyFont="1" applyFill="1" applyBorder="1" applyAlignment="1">
      <alignment horizontal="left" vertical="top" wrapText="1"/>
    </xf>
    <xf numFmtId="170" fontId="2" fillId="30" borderId="37" xfId="41" applyNumberFormat="1" applyFont="1" applyFill="1" applyBorder="1" applyAlignment="1">
      <alignment horizontal="center" vertical="top" wrapText="1"/>
    </xf>
    <xf numFmtId="169" fontId="2" fillId="2" borderId="37" xfId="41" applyNumberFormat="1" applyFont="1" applyFill="1" applyBorder="1" applyAlignment="1">
      <alignment horizontal="center" vertical="top" wrapText="1"/>
    </xf>
    <xf numFmtId="170" fontId="2" fillId="6" borderId="37" xfId="41" applyNumberFormat="1" applyFont="1" applyFill="1" applyBorder="1" applyAlignment="1">
      <alignment horizontal="center" vertical="top" wrapText="1"/>
    </xf>
    <xf numFmtId="170" fontId="16" fillId="21" borderId="13" xfId="41" applyNumberFormat="1" applyFont="1" applyFill="1" applyBorder="1" applyAlignment="1">
      <alignment horizontal="left" vertical="top"/>
    </xf>
    <xf numFmtId="170" fontId="16" fillId="21" borderId="0" xfId="41" applyNumberFormat="1" applyFont="1" applyFill="1" applyBorder="1" applyAlignment="1">
      <alignment horizontal="left" vertical="top"/>
    </xf>
    <xf numFmtId="0" fontId="1" fillId="2" borderId="39" xfId="0" applyFont="1" applyFill="1" applyBorder="1" applyAlignment="1">
      <alignment horizontal="left" vertical="top" wrapText="1"/>
    </xf>
    <xf numFmtId="0" fontId="1" fillId="2" borderId="37" xfId="0" applyFont="1" applyFill="1" applyBorder="1" applyAlignment="1">
      <alignment horizontal="left" vertical="top" wrapText="1"/>
    </xf>
    <xf numFmtId="169" fontId="2" fillId="2" borderId="78" xfId="0" applyNumberFormat="1" applyFont="1" applyFill="1" applyBorder="1" applyAlignment="1">
      <alignment horizontal="center" vertical="top" wrapText="1"/>
    </xf>
    <xf numFmtId="169" fontId="2" fillId="2" borderId="33" xfId="0" applyNumberFormat="1" applyFont="1" applyFill="1" applyBorder="1" applyAlignment="1">
      <alignment horizontal="center" vertical="top" wrapText="1"/>
    </xf>
    <xf numFmtId="0" fontId="2" fillId="0" borderId="36" xfId="0" applyFont="1" applyFill="1" applyBorder="1" applyAlignment="1">
      <alignment horizontal="left" vertical="center" wrapText="1"/>
    </xf>
    <xf numFmtId="0" fontId="2" fillId="0" borderId="36" xfId="0" applyFont="1" applyFill="1" applyBorder="1" applyAlignment="1">
      <alignment horizontal="left" vertical="top" wrapText="1"/>
    </xf>
    <xf numFmtId="0" fontId="2" fillId="0" borderId="36" xfId="0" applyFont="1" applyFill="1" applyBorder="1" applyAlignment="1">
      <alignment vertical="center" wrapText="1"/>
    </xf>
    <xf numFmtId="0" fontId="2" fillId="0" borderId="2" xfId="0" applyFont="1" applyFill="1" applyBorder="1" applyAlignment="1">
      <alignment vertical="center"/>
    </xf>
    <xf numFmtId="170" fontId="1" fillId="2" borderId="19" xfId="41" applyNumberFormat="1" applyFont="1" applyFill="1" applyBorder="1" applyAlignment="1">
      <alignment horizontal="center" vertical="top"/>
    </xf>
    <xf numFmtId="170" fontId="1" fillId="2" borderId="60" xfId="41" applyNumberFormat="1" applyFont="1" applyFill="1" applyBorder="1" applyAlignment="1">
      <alignment horizontal="center" vertical="top"/>
    </xf>
    <xf numFmtId="0" fontId="2" fillId="0" borderId="39"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70" fontId="5" fillId="0" borderId="5" xfId="41" applyNumberFormat="1" applyBorder="1" applyAlignment="1">
      <alignment horizontal="center" vertical="center"/>
    </xf>
    <xf numFmtId="170" fontId="5" fillId="0" borderId="21" xfId="41" applyNumberFormat="1" applyBorder="1" applyAlignment="1">
      <alignment horizontal="center" vertical="center"/>
    </xf>
    <xf numFmtId="0" fontId="0" fillId="0" borderId="4" xfId="0" applyFill="1" applyBorder="1" applyAlignment="1">
      <alignment horizontal="center" vertical="center"/>
    </xf>
    <xf numFmtId="0" fontId="0" fillId="0" borderId="48" xfId="0" applyFill="1" applyBorder="1" applyAlignment="1">
      <alignment horizontal="center" vertical="center"/>
    </xf>
    <xf numFmtId="0" fontId="1" fillId="0" borderId="39" xfId="0" applyFont="1" applyBorder="1" applyAlignment="1">
      <alignment horizontal="center" wrapText="1"/>
    </xf>
    <xf numFmtId="0" fontId="1" fillId="0" borderId="37" xfId="0" applyFont="1" applyBorder="1" applyAlignment="1">
      <alignment horizontal="center" wrapText="1"/>
    </xf>
    <xf numFmtId="0" fontId="1" fillId="0" borderId="38" xfId="0" applyFont="1" applyBorder="1" applyAlignment="1">
      <alignment horizontal="center" wrapText="1"/>
    </xf>
    <xf numFmtId="0" fontId="1" fillId="0" borderId="22" xfId="0" applyFont="1" applyBorder="1" applyAlignment="1">
      <alignment horizontal="center" vertical="top"/>
    </xf>
    <xf numFmtId="0" fontId="1" fillId="0" borderId="8" xfId="0" applyFont="1" applyBorder="1" applyAlignment="1">
      <alignment horizontal="center" vertical="top"/>
    </xf>
    <xf numFmtId="0" fontId="0" fillId="20" borderId="5" xfId="0" applyFill="1" applyBorder="1" applyAlignment="1">
      <alignment horizontal="center" vertical="center"/>
    </xf>
    <xf numFmtId="0" fontId="0" fillId="20" borderId="19" xfId="0" applyFill="1" applyBorder="1" applyAlignment="1">
      <alignment horizontal="center" vertical="center"/>
    </xf>
    <xf numFmtId="2" fontId="0" fillId="20" borderId="4" xfId="0" applyNumberFormat="1" applyFill="1" applyBorder="1" applyAlignment="1">
      <alignment horizontal="center" vertical="center"/>
    </xf>
    <xf numFmtId="2" fontId="0" fillId="20" borderId="29" xfId="0" applyNumberFormat="1" applyFill="1" applyBorder="1" applyAlignment="1">
      <alignment horizontal="center" vertical="center"/>
    </xf>
    <xf numFmtId="0" fontId="0" fillId="20" borderId="34" xfId="0" applyFill="1" applyBorder="1" applyAlignment="1">
      <alignment horizontal="center" vertical="top"/>
    </xf>
    <xf numFmtId="0" fontId="0" fillId="20" borderId="6" xfId="0" applyFill="1" applyBorder="1" applyAlignment="1">
      <alignment horizontal="center" vertical="top"/>
    </xf>
    <xf numFmtId="0" fontId="2" fillId="20" borderId="41" xfId="0" applyFont="1" applyFill="1" applyBorder="1" applyAlignment="1">
      <alignment horizontal="center" vertical="top"/>
    </xf>
    <xf numFmtId="0" fontId="0" fillId="20" borderId="3" xfId="0" applyFill="1" applyBorder="1" applyAlignment="1">
      <alignment horizontal="center" vertical="top"/>
    </xf>
    <xf numFmtId="0" fontId="1" fillId="0" borderId="39" xfId="0" applyFont="1" applyBorder="1" applyAlignment="1">
      <alignment horizontal="center"/>
    </xf>
    <xf numFmtId="0" fontId="1" fillId="0" borderId="37" xfId="0" applyFont="1" applyBorder="1" applyAlignment="1">
      <alignment horizontal="center"/>
    </xf>
    <xf numFmtId="0" fontId="1" fillId="0" borderId="38" xfId="0" applyFont="1" applyBorder="1" applyAlignment="1">
      <alignment horizontal="center"/>
    </xf>
    <xf numFmtId="0" fontId="0" fillId="20" borderId="12" xfId="0" applyFill="1" applyBorder="1" applyAlignment="1">
      <alignment horizontal="center" vertical="top"/>
    </xf>
    <xf numFmtId="0" fontId="0" fillId="20" borderId="9" xfId="0" applyFill="1" applyBorder="1" applyAlignment="1">
      <alignment horizontal="center" vertical="top"/>
    </xf>
    <xf numFmtId="0" fontId="0" fillId="0" borderId="96" xfId="0" applyBorder="1" applyAlignment="1">
      <alignment horizontal="center" vertical="top"/>
    </xf>
    <xf numFmtId="0" fontId="0" fillId="0" borderId="97" xfId="0" applyBorder="1" applyAlignment="1">
      <alignment horizontal="center" vertical="top"/>
    </xf>
    <xf numFmtId="0" fontId="0" fillId="0" borderId="98" xfId="0" applyBorder="1" applyAlignment="1">
      <alignment horizontal="center" vertical="top"/>
    </xf>
    <xf numFmtId="0" fontId="0" fillId="20" borderId="13" xfId="0" applyFill="1" applyBorder="1" applyAlignment="1">
      <alignment horizontal="center" vertical="top"/>
    </xf>
    <xf numFmtId="0" fontId="0" fillId="20" borderId="0" xfId="0" applyFill="1" applyBorder="1" applyAlignment="1">
      <alignment horizontal="center" vertical="top"/>
    </xf>
    <xf numFmtId="0" fontId="2" fillId="20" borderId="13" xfId="0" applyFont="1" applyFill="1" applyBorder="1" applyAlignment="1">
      <alignment horizontal="center" vertical="top"/>
    </xf>
    <xf numFmtId="0" fontId="2" fillId="0" borderId="39" xfId="0" applyFont="1" applyBorder="1" applyAlignment="1">
      <alignment vertical="center" wrapText="1"/>
    </xf>
    <xf numFmtId="0" fontId="0" fillId="0" borderId="66" xfId="0" applyBorder="1" applyAlignment="1">
      <alignment vertical="center" wrapText="1"/>
    </xf>
    <xf numFmtId="0" fontId="2" fillId="0" borderId="37" xfId="0" applyFont="1" applyBorder="1" applyAlignment="1">
      <alignment vertical="center" wrapText="1"/>
    </xf>
    <xf numFmtId="0" fontId="0" fillId="0" borderId="38" xfId="0" applyBorder="1" applyAlignment="1">
      <alignment vertical="center" wrapText="1"/>
    </xf>
    <xf numFmtId="0" fontId="2" fillId="0" borderId="2" xfId="0" applyFont="1" applyBorder="1" applyAlignment="1">
      <alignment vertical="center" wrapText="1"/>
    </xf>
    <xf numFmtId="0" fontId="0" fillId="0" borderId="21" xfId="0" applyBorder="1" applyAlignment="1">
      <alignment vertical="center" wrapText="1"/>
    </xf>
    <xf numFmtId="0" fontId="0" fillId="0" borderId="2" xfId="0" applyBorder="1" applyAlignment="1">
      <alignment vertical="center" wrapText="1"/>
    </xf>
    <xf numFmtId="0" fontId="0" fillId="0" borderId="63" xfId="0" applyBorder="1" applyAlignment="1">
      <alignment horizontal="center" vertical="center"/>
    </xf>
    <xf numFmtId="0" fontId="0" fillId="0" borderId="66" xfId="0" applyBorder="1" applyAlignment="1">
      <alignment horizontal="center" vertical="center"/>
    </xf>
    <xf numFmtId="170" fontId="10" fillId="2" borderId="22" xfId="41" applyNumberFormat="1" applyFont="1" applyFill="1" applyBorder="1" applyAlignment="1">
      <alignment horizontal="center" vertical="center"/>
    </xf>
    <xf numFmtId="170" fontId="10" fillId="2" borderId="8" xfId="41" applyNumberFormat="1" applyFont="1" applyFill="1" applyBorder="1" applyAlignment="1">
      <alignment horizontal="center" vertical="center"/>
    </xf>
    <xf numFmtId="0" fontId="5" fillId="27" borderId="2" xfId="0" applyFont="1" applyFill="1" applyBorder="1" applyAlignment="1">
      <alignment horizontal="left" vertical="top" wrapText="1"/>
    </xf>
    <xf numFmtId="0" fontId="5" fillId="27" borderId="1" xfId="0" applyFont="1" applyFill="1" applyBorder="1" applyAlignment="1">
      <alignment horizontal="left" vertical="top" wrapText="1"/>
    </xf>
    <xf numFmtId="0" fontId="5" fillId="30" borderId="2" xfId="0" applyFont="1" applyFill="1" applyBorder="1" applyAlignment="1">
      <alignment horizontal="left" vertical="top" wrapText="1"/>
    </xf>
    <xf numFmtId="0" fontId="5" fillId="30" borderId="1" xfId="0" applyFont="1" applyFill="1" applyBorder="1" applyAlignment="1">
      <alignment horizontal="left" vertical="top" wrapText="1"/>
    </xf>
    <xf numFmtId="0" fontId="6" fillId="21" borderId="2" xfId="0" applyFont="1" applyFill="1" applyBorder="1" applyAlignment="1">
      <alignment horizontal="center" vertical="top" wrapText="1"/>
    </xf>
    <xf numFmtId="0" fontId="6" fillId="21" borderId="1" xfId="0" applyFont="1" applyFill="1" applyBorder="1" applyAlignment="1">
      <alignment horizontal="center" vertical="top" wrapText="1"/>
    </xf>
    <xf numFmtId="0" fontId="5" fillId="30" borderId="2" xfId="0" applyFont="1" applyFill="1" applyBorder="1" applyAlignment="1">
      <alignment horizontal="center" vertical="top" wrapText="1"/>
    </xf>
    <xf numFmtId="0" fontId="5" fillId="30" borderId="1" xfId="0" applyFont="1" applyFill="1" applyBorder="1" applyAlignment="1">
      <alignment horizontal="center" vertical="top" wrapText="1"/>
    </xf>
    <xf numFmtId="0" fontId="5" fillId="27" borderId="2" xfId="0" applyFont="1" applyFill="1" applyBorder="1" applyAlignment="1">
      <alignment horizontal="center" vertical="top" wrapText="1"/>
    </xf>
    <xf numFmtId="0" fontId="5" fillId="27" borderId="1" xfId="0" applyFont="1" applyFill="1" applyBorder="1" applyAlignment="1">
      <alignment horizontal="center" vertical="top" wrapText="1"/>
    </xf>
    <xf numFmtId="0" fontId="6" fillId="27" borderId="2" xfId="0" applyFont="1" applyFill="1" applyBorder="1" applyAlignment="1">
      <alignment horizontal="left" vertical="top" wrapText="1"/>
    </xf>
    <xf numFmtId="0" fontId="6" fillId="27" borderId="1" xfId="0" applyFont="1" applyFill="1" applyBorder="1" applyAlignment="1">
      <alignment horizontal="left" vertical="top" wrapText="1"/>
    </xf>
    <xf numFmtId="0" fontId="46" fillId="30" borderId="2" xfId="0" applyFont="1" applyFill="1" applyBorder="1" applyAlignment="1">
      <alignment horizontal="center" vertical="top" wrapText="1"/>
    </xf>
    <xf numFmtId="0" fontId="46" fillId="30" borderId="1" xfId="0" applyFont="1" applyFill="1" applyBorder="1" applyAlignment="1">
      <alignment horizontal="center" vertical="top" wrapText="1"/>
    </xf>
    <xf numFmtId="0" fontId="6" fillId="30" borderId="2" xfId="0" applyFont="1" applyFill="1" applyBorder="1" applyAlignment="1">
      <alignment horizontal="center" vertical="top" wrapText="1"/>
    </xf>
    <xf numFmtId="0" fontId="6" fillId="30" borderId="1" xfId="0" applyFont="1" applyFill="1" applyBorder="1" applyAlignment="1">
      <alignment horizontal="center" vertical="top" wrapText="1"/>
    </xf>
    <xf numFmtId="0" fontId="40" fillId="27" borderId="2" xfId="0" applyFont="1" applyFill="1" applyBorder="1" applyAlignment="1">
      <alignment horizontal="left" vertical="top" wrapText="1"/>
    </xf>
    <xf numFmtId="0" fontId="40" fillId="27" borderId="1" xfId="0" applyFont="1" applyFill="1" applyBorder="1" applyAlignment="1">
      <alignment horizontal="left" vertical="top" wrapText="1"/>
    </xf>
    <xf numFmtId="0" fontId="5" fillId="21" borderId="2" xfId="0" applyFont="1" applyFill="1" applyBorder="1" applyAlignment="1">
      <alignment horizontal="center" vertical="top" wrapText="1"/>
    </xf>
    <xf numFmtId="0" fontId="5" fillId="21" borderId="1" xfId="0" applyFont="1" applyFill="1" applyBorder="1" applyAlignment="1">
      <alignment horizontal="center" vertical="top" wrapText="1"/>
    </xf>
    <xf numFmtId="0" fontId="46" fillId="21" borderId="2" xfId="0" applyFont="1" applyFill="1" applyBorder="1" applyAlignment="1">
      <alignment horizontal="center" vertical="top" wrapText="1"/>
    </xf>
    <xf numFmtId="0" fontId="46" fillId="21" borderId="1" xfId="0" applyFont="1" applyFill="1" applyBorder="1" applyAlignment="1">
      <alignment horizontal="center" vertical="top" wrapText="1"/>
    </xf>
    <xf numFmtId="0" fontId="5" fillId="21" borderId="2" xfId="0" applyFont="1" applyFill="1" applyBorder="1" applyAlignment="1">
      <alignment horizontal="left" vertical="top" wrapText="1"/>
    </xf>
    <xf numFmtId="0" fontId="5" fillId="21" borderId="1" xfId="0" applyFont="1" applyFill="1" applyBorder="1" applyAlignment="1">
      <alignment horizontal="left" vertical="top" wrapText="1"/>
    </xf>
    <xf numFmtId="0" fontId="46" fillId="27" borderId="2" xfId="0" applyFont="1" applyFill="1" applyBorder="1" applyAlignment="1">
      <alignment horizontal="center" vertical="top" wrapText="1"/>
    </xf>
    <xf numFmtId="0" fontId="46" fillId="27" borderId="1" xfId="0" applyFont="1" applyFill="1" applyBorder="1" applyAlignment="1">
      <alignment horizontal="center" vertical="top" wrapText="1"/>
    </xf>
    <xf numFmtId="0" fontId="40" fillId="30" borderId="2" xfId="0" applyFont="1" applyFill="1" applyBorder="1" applyAlignment="1">
      <alignment horizontal="left" vertical="top" wrapText="1"/>
    </xf>
    <xf numFmtId="0" fontId="40" fillId="30" borderId="1" xfId="0" applyFont="1" applyFill="1" applyBorder="1" applyAlignment="1">
      <alignment horizontal="left" vertical="top" wrapText="1"/>
    </xf>
    <xf numFmtId="170" fontId="2" fillId="0" borderId="7" xfId="41" quotePrefix="1" applyNumberFormat="1" applyFont="1" applyBorder="1" applyAlignment="1">
      <alignment horizontal="left" vertical="center"/>
    </xf>
    <xf numFmtId="170" fontId="59" fillId="0" borderId="2" xfId="41" applyNumberFormat="1" applyFont="1" applyBorder="1" applyAlignment="1">
      <alignment horizontal="left" vertical="top"/>
    </xf>
    <xf numFmtId="170" fontId="59" fillId="0" borderId="0" xfId="41" applyNumberFormat="1" applyFont="1" applyBorder="1" applyAlignment="1">
      <alignment horizontal="left" vertical="top"/>
    </xf>
    <xf numFmtId="170" fontId="59" fillId="0" borderId="1" xfId="41" applyNumberFormat="1" applyFont="1" applyBorder="1" applyAlignment="1">
      <alignment horizontal="left" vertical="top"/>
    </xf>
    <xf numFmtId="0" fontId="2" fillId="27" borderId="9" xfId="0" applyFont="1" applyFill="1" applyBorder="1" applyAlignment="1">
      <alignment vertical="center"/>
    </xf>
    <xf numFmtId="0" fontId="1" fillId="0" borderId="62" xfId="0" applyFont="1" applyBorder="1" applyAlignment="1">
      <alignment vertical="center" wrapText="1"/>
    </xf>
    <xf numFmtId="0" fontId="1" fillId="0" borderId="65" xfId="0" applyFont="1" applyBorder="1" applyAlignment="1">
      <alignment vertical="center" wrapText="1"/>
    </xf>
    <xf numFmtId="0" fontId="1" fillId="0" borderId="21" xfId="0" applyFont="1" applyBorder="1" applyAlignment="1">
      <alignment vertical="center" wrapText="1"/>
    </xf>
    <xf numFmtId="0" fontId="1" fillId="0" borderId="48" xfId="0" applyFont="1" applyBorder="1" applyAlignment="1">
      <alignment vertical="center" wrapText="1"/>
    </xf>
    <xf numFmtId="0" fontId="1" fillId="0" borderId="2" xfId="0" applyFont="1" applyBorder="1" applyAlignment="1">
      <alignment vertical="center" wrapText="1"/>
    </xf>
    <xf numFmtId="0" fontId="1" fillId="0" borderId="1" xfId="0" applyFont="1" applyBorder="1" applyAlignment="1">
      <alignment vertical="center" wrapText="1"/>
    </xf>
    <xf numFmtId="0" fontId="1" fillId="0" borderId="19" xfId="0" applyFont="1" applyBorder="1" applyAlignment="1">
      <alignment vertical="center" wrapText="1"/>
    </xf>
    <xf numFmtId="0" fontId="1" fillId="0" borderId="29" xfId="0" applyFont="1" applyBorder="1" applyAlignment="1">
      <alignment vertical="center" wrapText="1"/>
    </xf>
    <xf numFmtId="0" fontId="2" fillId="27" borderId="0" xfId="0" applyFont="1" applyFill="1" applyBorder="1" applyAlignment="1">
      <alignment vertical="center" wrapText="1"/>
    </xf>
    <xf numFmtId="0" fontId="2" fillId="27" borderId="6" xfId="0" applyFont="1" applyFill="1" applyBorder="1" applyAlignment="1">
      <alignment vertical="center" wrapText="1"/>
    </xf>
    <xf numFmtId="0" fontId="1" fillId="0" borderId="62" xfId="0" applyFont="1" applyBorder="1" applyAlignment="1">
      <alignment vertical="center"/>
    </xf>
    <xf numFmtId="0" fontId="1" fillId="0" borderId="65" xfId="0" applyFont="1" applyBorder="1" applyAlignment="1">
      <alignment vertical="center"/>
    </xf>
    <xf numFmtId="0" fontId="1" fillId="0" borderId="21" xfId="0" applyFont="1" applyBorder="1" applyAlignment="1">
      <alignment vertical="center"/>
    </xf>
    <xf numFmtId="0" fontId="1" fillId="0" borderId="48" xfId="0" applyFont="1" applyBorder="1" applyAlignment="1">
      <alignment vertical="center"/>
    </xf>
    <xf numFmtId="0" fontId="1" fillId="0" borderId="2" xfId="0" applyFont="1" applyBorder="1" applyAlignment="1">
      <alignment vertical="center"/>
    </xf>
    <xf numFmtId="0" fontId="1" fillId="0" borderId="1" xfId="0" applyFont="1" applyBorder="1" applyAlignment="1">
      <alignment vertical="center"/>
    </xf>
    <xf numFmtId="0" fontId="1" fillId="27" borderId="28" xfId="0" applyFont="1" applyFill="1" applyBorder="1" applyAlignment="1">
      <alignment vertical="center"/>
    </xf>
    <xf numFmtId="0" fontId="1" fillId="27" borderId="26" xfId="0" applyFont="1" applyFill="1" applyBorder="1" applyAlignment="1">
      <alignment vertical="center"/>
    </xf>
    <xf numFmtId="0" fontId="1" fillId="27" borderId="2" xfId="0" applyFont="1" applyFill="1" applyBorder="1" applyAlignment="1">
      <alignment vertical="center"/>
    </xf>
    <xf numFmtId="0" fontId="1" fillId="27" borderId="1" xfId="0" applyFont="1" applyFill="1" applyBorder="1" applyAlignment="1">
      <alignment vertical="center"/>
    </xf>
    <xf numFmtId="0" fontId="2" fillId="27" borderId="1" xfId="0" applyFont="1" applyFill="1" applyBorder="1" applyAlignment="1">
      <alignment vertical="center"/>
    </xf>
    <xf numFmtId="169" fontId="2" fillId="0" borderId="14" xfId="0" applyNumberFormat="1" applyFont="1" applyBorder="1" applyAlignment="1">
      <alignment horizontal="center" vertical="center"/>
    </xf>
    <xf numFmtId="169" fontId="2" fillId="0" borderId="16" xfId="0" applyNumberFormat="1" applyFont="1" applyBorder="1" applyAlignment="1">
      <alignment horizontal="center" vertical="center"/>
    </xf>
    <xf numFmtId="169" fontId="2" fillId="0" borderId="15" xfId="0" applyNumberFormat="1" applyFont="1" applyBorder="1" applyAlignment="1">
      <alignment horizontal="center" vertical="center"/>
    </xf>
    <xf numFmtId="0" fontId="2" fillId="9" borderId="14" xfId="0" applyFont="1" applyFill="1" applyBorder="1" applyAlignment="1">
      <alignment horizontal="center" vertical="top"/>
    </xf>
    <xf numFmtId="0" fontId="2" fillId="9" borderId="15" xfId="0" applyFont="1" applyFill="1" applyBorder="1" applyAlignment="1">
      <alignment horizontal="center" vertical="top"/>
    </xf>
    <xf numFmtId="0" fontId="2" fillId="9" borderId="16" xfId="0" applyFont="1" applyFill="1" applyBorder="1" applyAlignment="1">
      <alignment horizontal="center" vertical="top"/>
    </xf>
    <xf numFmtId="0" fontId="51" fillId="0" borderId="15" xfId="0" applyFont="1" applyBorder="1" applyAlignment="1">
      <alignment horizontal="center" vertical="top"/>
    </xf>
    <xf numFmtId="0" fontId="51" fillId="0" borderId="16" xfId="0" applyFont="1" applyBorder="1" applyAlignment="1">
      <alignment horizontal="center" vertical="top"/>
    </xf>
    <xf numFmtId="0" fontId="51" fillId="0" borderId="15" xfId="0" applyFont="1" applyBorder="1" applyAlignment="1">
      <alignment horizontal="center" vertical="top" wrapText="1"/>
    </xf>
    <xf numFmtId="0" fontId="51" fillId="0" borderId="16" xfId="0" applyFont="1" applyBorder="1" applyAlignment="1">
      <alignment horizontal="center" vertical="top" wrapText="1"/>
    </xf>
    <xf numFmtId="0" fontId="2" fillId="15" borderId="14" xfId="0" applyFont="1" applyFill="1" applyBorder="1" applyAlignment="1">
      <alignment horizontal="center" vertical="top"/>
    </xf>
    <xf numFmtId="0" fontId="2" fillId="15" borderId="15" xfId="0" applyFont="1" applyFill="1" applyBorder="1" applyAlignment="1">
      <alignment horizontal="center" vertical="top"/>
    </xf>
    <xf numFmtId="0" fontId="2" fillId="15" borderId="16" xfId="0" applyFont="1" applyFill="1" applyBorder="1" applyAlignment="1">
      <alignment horizontal="center" vertical="top"/>
    </xf>
    <xf numFmtId="0" fontId="2" fillId="18" borderId="14" xfId="0" applyFont="1" applyFill="1" applyBorder="1" applyAlignment="1">
      <alignment horizontal="center" vertical="top"/>
    </xf>
    <xf numFmtId="0" fontId="2" fillId="18" borderId="15" xfId="0" applyFont="1" applyFill="1" applyBorder="1" applyAlignment="1">
      <alignment horizontal="center" vertical="top"/>
    </xf>
    <xf numFmtId="0" fontId="2" fillId="18" borderId="16" xfId="0" applyFont="1" applyFill="1" applyBorder="1" applyAlignment="1">
      <alignment horizontal="center" vertical="top"/>
    </xf>
    <xf numFmtId="0" fontId="1" fillId="27" borderId="53" xfId="0" applyFont="1" applyFill="1" applyBorder="1" applyAlignment="1">
      <alignment horizontal="center" vertical="top"/>
    </xf>
    <xf numFmtId="0" fontId="1" fillId="27" borderId="14" xfId="0" applyFont="1" applyFill="1" applyBorder="1" applyAlignment="1">
      <alignment horizontal="center" vertical="top"/>
    </xf>
    <xf numFmtId="0" fontId="1" fillId="27" borderId="16" xfId="0" applyFont="1" applyFill="1" applyBorder="1" applyAlignment="1">
      <alignment horizontal="center" vertical="top"/>
    </xf>
    <xf numFmtId="1" fontId="20" fillId="6" borderId="64" xfId="0" applyNumberFormat="1" applyFont="1" applyFill="1" applyBorder="1" applyAlignment="1">
      <alignment horizontal="center" vertical="center" wrapText="1"/>
    </xf>
    <xf numFmtId="1" fontId="20" fillId="6" borderId="67" xfId="0" applyNumberFormat="1" applyFont="1" applyFill="1" applyBorder="1" applyAlignment="1">
      <alignment horizontal="center" vertical="center" wrapText="1"/>
    </xf>
    <xf numFmtId="0" fontId="2" fillId="7" borderId="14" xfId="0" applyFont="1" applyFill="1" applyBorder="1" applyAlignment="1">
      <alignment horizontal="center" vertical="top"/>
    </xf>
    <xf numFmtId="0" fontId="2" fillId="7" borderId="15" xfId="0" applyFont="1" applyFill="1" applyBorder="1" applyAlignment="1">
      <alignment horizontal="center" vertical="top"/>
    </xf>
    <xf numFmtId="0" fontId="2" fillId="7" borderId="16" xfId="0" applyFont="1" applyFill="1" applyBorder="1" applyAlignment="1">
      <alignment horizontal="center" vertical="top"/>
    </xf>
    <xf numFmtId="0" fontId="2" fillId="0" borderId="16" xfId="0" applyFont="1" applyBorder="1" applyAlignment="1">
      <alignment horizontal="center" vertical="center"/>
    </xf>
    <xf numFmtId="169" fontId="5" fillId="24" borderId="7" xfId="41" applyFill="1" applyBorder="1" applyAlignment="1">
      <alignment horizontal="center" vertical="top"/>
    </xf>
    <xf numFmtId="169" fontId="5" fillId="19" borderId="22" xfId="41" applyFont="1" applyFill="1" applyBorder="1" applyAlignment="1">
      <alignment horizontal="center" vertical="center"/>
    </xf>
    <xf numFmtId="169" fontId="5" fillId="19" borderId="7" xfId="41" applyFont="1" applyFill="1" applyBorder="1" applyAlignment="1">
      <alignment horizontal="center" vertical="center"/>
    </xf>
    <xf numFmtId="169" fontId="5" fillId="19" borderId="8" xfId="41" applyFont="1" applyFill="1" applyBorder="1" applyAlignment="1">
      <alignment horizontal="center" vertical="center"/>
    </xf>
    <xf numFmtId="169" fontId="5" fillId="2" borderId="22" xfId="41" applyFont="1" applyFill="1" applyBorder="1" applyAlignment="1">
      <alignment horizontal="center" vertical="center"/>
    </xf>
    <xf numFmtId="169" fontId="5" fillId="2" borderId="7" xfId="41" applyFont="1" applyFill="1" applyBorder="1" applyAlignment="1">
      <alignment horizontal="center" vertical="center"/>
    </xf>
    <xf numFmtId="169" fontId="5" fillId="2" borderId="8" xfId="41" applyFont="1" applyFill="1" applyBorder="1" applyAlignment="1">
      <alignment horizontal="center" vertical="center"/>
    </xf>
    <xf numFmtId="0" fontId="16" fillId="15" borderId="6" xfId="0" applyFont="1" applyFill="1" applyBorder="1" applyAlignment="1">
      <alignment horizontal="center" vertical="top"/>
    </xf>
    <xf numFmtId="0" fontId="16" fillId="15" borderId="29" xfId="0" applyFont="1" applyFill="1" applyBorder="1" applyAlignment="1">
      <alignment horizontal="center" vertical="top"/>
    </xf>
    <xf numFmtId="169" fontId="5" fillId="23" borderId="7" xfId="41" applyFont="1" applyFill="1" applyBorder="1" applyAlignment="1">
      <alignment horizontal="center" vertical="center" wrapText="1"/>
    </xf>
    <xf numFmtId="169" fontId="5" fillId="23" borderId="55" xfId="41" applyFont="1" applyFill="1" applyBorder="1" applyAlignment="1">
      <alignment horizontal="center" vertical="center" wrapText="1"/>
    </xf>
    <xf numFmtId="169" fontId="5" fillId="2" borderId="7" xfId="41" applyFont="1" applyFill="1" applyBorder="1" applyAlignment="1">
      <alignment horizontal="center" vertical="center" wrapText="1"/>
    </xf>
    <xf numFmtId="169" fontId="5" fillId="2" borderId="8" xfId="41" applyFont="1" applyFill="1" applyBorder="1" applyAlignment="1">
      <alignment horizontal="center" vertical="center" wrapText="1"/>
    </xf>
    <xf numFmtId="169" fontId="5" fillId="14" borderId="6" xfId="41" applyFill="1" applyBorder="1" applyAlignment="1">
      <alignment horizontal="center" vertical="top"/>
    </xf>
    <xf numFmtId="169" fontId="5" fillId="19" borderId="19" xfId="41" applyFont="1" applyFill="1" applyBorder="1" applyAlignment="1">
      <alignment horizontal="center" vertical="center"/>
    </xf>
    <xf numFmtId="169" fontId="5" fillId="19" borderId="6" xfId="41" applyFont="1" applyFill="1" applyBorder="1" applyAlignment="1">
      <alignment horizontal="center" vertical="center"/>
    </xf>
    <xf numFmtId="169" fontId="5" fillId="19" borderId="29" xfId="41" applyFont="1" applyFill="1" applyBorder="1" applyAlignment="1">
      <alignment horizontal="center" vertical="center"/>
    </xf>
    <xf numFmtId="169" fontId="5" fillId="2" borderId="19" xfId="41" applyFont="1" applyFill="1" applyBorder="1" applyAlignment="1">
      <alignment horizontal="center" vertical="center"/>
    </xf>
    <xf numFmtId="169" fontId="5" fillId="2" borderId="6" xfId="41" applyFont="1" applyFill="1" applyBorder="1" applyAlignment="1">
      <alignment horizontal="center" vertical="center"/>
    </xf>
    <xf numFmtId="169" fontId="5" fillId="2" borderId="29" xfId="41" applyFont="1" applyFill="1" applyBorder="1" applyAlignment="1">
      <alignment horizontal="center" vertical="center"/>
    </xf>
    <xf numFmtId="169" fontId="5" fillId="19" borderId="7" xfId="41" applyFont="1" applyFill="1" applyBorder="1" applyAlignment="1">
      <alignment horizontal="center" vertical="center" wrapText="1"/>
    </xf>
    <xf numFmtId="169" fontId="5" fillId="19" borderId="55" xfId="41" applyFont="1" applyFill="1" applyBorder="1" applyAlignment="1">
      <alignment horizontal="center" vertical="center" wrapText="1"/>
    </xf>
    <xf numFmtId="169" fontId="5" fillId="2" borderId="55" xfId="41" applyFont="1" applyFill="1" applyBorder="1" applyAlignment="1">
      <alignment horizontal="center" vertical="center" wrapText="1"/>
    </xf>
    <xf numFmtId="170" fontId="2" fillId="0" borderId="2" xfId="5" applyNumberFormat="1" applyFont="1" applyFill="1" applyBorder="1" applyAlignment="1">
      <alignment horizontal="center" vertical="center" wrapText="1"/>
    </xf>
    <xf numFmtId="169" fontId="2" fillId="25" borderId="6" xfId="13" applyNumberFormat="1" applyFont="1" applyFill="1" applyBorder="1" applyAlignment="1">
      <alignment horizontal="center" vertical="center" wrapText="1"/>
    </xf>
  </cellXfs>
  <cellStyles count="44">
    <cellStyle name="Dezimal [0]_50BENZ" xfId="1"/>
    <cellStyle name="Dezimal_50BENZ" xfId="2"/>
    <cellStyle name="Milliers" xfId="3" builtinId="3"/>
    <cellStyle name="Normal" xfId="0" builtinId="0"/>
    <cellStyle name="Normal 13" xfId="4"/>
    <cellStyle name="Normal 15" xfId="5"/>
    <cellStyle name="Normal 19" xfId="6"/>
    <cellStyle name="Normal 20" xfId="7"/>
    <cellStyle name="Normal 21" xfId="8"/>
    <cellStyle name="Normal 22" xfId="9"/>
    <cellStyle name="Normal 24" xfId="10"/>
    <cellStyle name="Normal 25" xfId="11"/>
    <cellStyle name="Normal 26" xfId="12"/>
    <cellStyle name="Normal 27" xfId="13"/>
    <cellStyle name="Normal 28" xfId="14"/>
    <cellStyle name="Normal 29" xfId="15"/>
    <cellStyle name="Normal 3" xfId="16"/>
    <cellStyle name="Normal 3 10" xfId="17"/>
    <cellStyle name="Normal 3 11" xfId="18"/>
    <cellStyle name="Normal 3 12" xfId="19"/>
    <cellStyle name="Normal 3 13" xfId="20"/>
    <cellStyle name="Normal 3 14" xfId="21"/>
    <cellStyle name="Normal 3 15" xfId="22"/>
    <cellStyle name="Normal 3 16" xfId="23"/>
    <cellStyle name="Normal 3 17" xfId="24"/>
    <cellStyle name="Normal 3 18" xfId="25"/>
    <cellStyle name="Normal 3 19" xfId="26"/>
    <cellStyle name="Normal 3 2" xfId="27"/>
    <cellStyle name="Normal 3 20" xfId="28"/>
    <cellStyle name="Normal 3 21" xfId="29"/>
    <cellStyle name="Normal 3 22" xfId="30"/>
    <cellStyle name="Normal 3 3" xfId="31"/>
    <cellStyle name="Normal 3 4" xfId="32"/>
    <cellStyle name="Normal 3 5" xfId="33"/>
    <cellStyle name="Normal 3 6" xfId="34"/>
    <cellStyle name="Normal 3 7" xfId="35"/>
    <cellStyle name="Normal 3 8" xfId="36"/>
    <cellStyle name="Normal 3 9" xfId="37"/>
    <cellStyle name="Normal 8" xfId="38"/>
    <cellStyle name="Normal_conc°_alcanes" xfId="39"/>
    <cellStyle name="Pourcentage" xfId="40" builtinId="5"/>
    <cellStyle name="Standard_50BENZ" xfId="41"/>
    <cellStyle name="Währung [0]_50BENZ" xfId="42"/>
    <cellStyle name="Währung_50BENZ" xfId="43"/>
  </cellStyles>
  <dxfs count="43">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99"/>
      <color rgb="FFCCFFCC"/>
      <color rgb="FFFFFFCC"/>
      <color rgb="FF99FF99"/>
      <color rgb="FFCC99FF"/>
      <color rgb="FFCC66FF"/>
      <color rgb="FFCC00FF"/>
      <color rgb="FFFF99CC"/>
      <color rgb="FFFFCC99"/>
      <color rgb="FFCCFF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233;chets%20valoris&#176;/drc01%20(hors%20sedts)/GT%20valoris&#176;%20techn%20route/terres%20excav&#233;es/guide%20r&#233;am&#233;nagement/ERS/ETS/version%20DHub/VGAI-VTR_valeurs-gestion_ETS%20du%2020%20mai%20201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GAI"/>
      <sheetName val="Valeurs Jalons Air"/>
      <sheetName val="Synthese-VTR-aigues"/>
    </sheetNames>
    <sheetDataSet>
      <sheetData sheetId="0" refreshError="1"/>
      <sheetData sheetId="1" refreshError="1"/>
      <sheetData sheetId="2">
        <row r="3">
          <cell r="B3" t="str">
            <v>Substances</v>
          </cell>
          <cell r="C3" t="str">
            <v>Facteur de conversion
1 ppm = mg/m3</v>
          </cell>
          <cell r="E3" t="str">
            <v>VTR "intermédiaires" de l'ATSDR 
(durée d'exposition comprise entre 14 jours et 1 an)</v>
          </cell>
          <cell r="I3" t="str">
            <v>VTR "short term" de l'US EPA 
(durée d'exposition comprise entre 24h et 30 jours)</v>
          </cell>
          <cell r="L3" t="str">
            <v>VTR "aigues" de l'ATSDR 
(durée d'exposition comprise entre 1 et 14 jours)</v>
          </cell>
          <cell r="P3" t="str">
            <v>VTR "aigue" de l'US EPA 
(durée d'exposition &lt; 24h)</v>
          </cell>
          <cell r="S3" t="str">
            <v>VTR "aigue" de l'OEHHA 
(durée d'exposition comprise entre 1h et 8h)</v>
          </cell>
          <cell r="W3" t="str">
            <v>VTR minimale pour les effets "intermédiaires" (durée d'exposition comprise entre 15 et 365 jours)</v>
          </cell>
          <cell r="Y3" t="str">
            <v>VTR minimale pour les effets "à court terme" (durée d'exposition &lt; 15 jours)</v>
          </cell>
        </row>
        <row r="5">
          <cell r="E5" t="str">
            <v>ppm</v>
          </cell>
          <cell r="F5" t="str">
            <v>mg/m3</v>
          </cell>
          <cell r="G5" t="str">
            <v>Effet critique</v>
          </cell>
          <cell r="H5" t="str">
            <v>Référence, année</v>
          </cell>
          <cell r="I5" t="str">
            <v>mg/m3</v>
          </cell>
          <cell r="J5" t="str">
            <v>Effet critique</v>
          </cell>
          <cell r="K5" t="str">
            <v>Référence, année</v>
          </cell>
          <cell r="L5" t="str">
            <v>ppm</v>
          </cell>
          <cell r="M5" t="str">
            <v>mg/m3</v>
          </cell>
          <cell r="N5" t="str">
            <v>Effet critique</v>
          </cell>
          <cell r="O5" t="str">
            <v>Référence, année</v>
          </cell>
          <cell r="P5" t="str">
            <v>mg/m3</v>
          </cell>
          <cell r="Q5" t="str">
            <v>Effet critique</v>
          </cell>
          <cell r="R5" t="str">
            <v>Référence, année</v>
          </cell>
          <cell r="S5" t="str">
            <v>mg/m3</v>
          </cell>
          <cell r="T5" t="str">
            <v>Effet critique</v>
          </cell>
          <cell r="U5" t="str">
            <v>Référence, année</v>
          </cell>
          <cell r="W5" t="str">
            <v>mg/m3</v>
          </cell>
          <cell r="X5" t="str">
            <v>Référence, année</v>
          </cell>
          <cell r="Y5" t="str">
            <v>mg/m3</v>
          </cell>
          <cell r="Z5" t="str">
            <v>Référence, année</v>
          </cell>
        </row>
        <row r="6">
          <cell r="B6" t="str">
            <v>Chlorure de vinyle (CV)</v>
          </cell>
          <cell r="C6">
            <v>2.56</v>
          </cell>
          <cell r="E6">
            <v>0.03</v>
          </cell>
          <cell r="F6">
            <v>7.6799999999999993E-2</v>
          </cell>
          <cell r="G6" t="str">
            <v>Foie</v>
          </cell>
          <cell r="H6" t="str">
            <v>ATSDR, 2006</v>
          </cell>
          <cell r="I6" t="str">
            <v>-</v>
          </cell>
          <cell r="J6" t="str">
            <v>-</v>
          </cell>
          <cell r="K6" t="str">
            <v>-</v>
          </cell>
          <cell r="L6">
            <v>0.5</v>
          </cell>
          <cell r="M6">
            <v>1.28</v>
          </cell>
          <cell r="N6" t="str">
            <v>Développement</v>
          </cell>
          <cell r="O6" t="str">
            <v>ATSDR, 2006</v>
          </cell>
          <cell r="P6" t="str">
            <v>-</v>
          </cell>
          <cell r="Q6" t="str">
            <v>-</v>
          </cell>
          <cell r="R6" t="str">
            <v>-</v>
          </cell>
          <cell r="S6">
            <v>180</v>
          </cell>
          <cell r="T6" t="str">
            <v>Systène nerveux central, yeux, appareil respiratoire</v>
          </cell>
          <cell r="U6" t="str">
            <v>OEHHA, 2008 (1h)</v>
          </cell>
          <cell r="W6">
            <v>7.6799999999999993E-2</v>
          </cell>
          <cell r="X6" t="str">
            <v>ATSDR, 2006</v>
          </cell>
          <cell r="Y6">
            <v>1.28</v>
          </cell>
          <cell r="Z6" t="str">
            <v>ATSDR, 2006</v>
          </cell>
        </row>
        <row r="7">
          <cell r="B7" t="str">
            <v>cis-1,2-dichloroéthylène (CIS)</v>
          </cell>
          <cell r="C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W7" t="str">
            <v>-</v>
          </cell>
          <cell r="X7" t="str">
            <v>-</v>
          </cell>
          <cell r="Y7" t="str">
            <v>-</v>
          </cell>
          <cell r="Z7" t="str">
            <v>-</v>
          </cell>
        </row>
        <row r="8">
          <cell r="B8" t="str">
            <v>1,1,1-trichloroéthane (1,1,1-TCA)</v>
          </cell>
          <cell r="C8">
            <v>5.46</v>
          </cell>
          <cell r="E8">
            <v>0.7</v>
          </cell>
          <cell r="F8">
            <v>3.8219999999999996</v>
          </cell>
          <cell r="G8" t="str">
            <v>Systène nerveux central</v>
          </cell>
          <cell r="H8" t="str">
            <v>ATSDR, 2006</v>
          </cell>
          <cell r="I8">
            <v>5</v>
          </cell>
          <cell r="J8" t="str">
            <v>Systène nerveux central</v>
          </cell>
          <cell r="K8" t="str">
            <v>US EPA, 2007</v>
          </cell>
          <cell r="L8">
            <v>2</v>
          </cell>
          <cell r="M8">
            <v>10.92</v>
          </cell>
          <cell r="N8" t="str">
            <v>Systène nerveux central</v>
          </cell>
          <cell r="O8" t="str">
            <v>ATSDR, 2006</v>
          </cell>
          <cell r="P8">
            <v>6</v>
          </cell>
          <cell r="Q8" t="str">
            <v>Systène nerveux central</v>
          </cell>
          <cell r="R8" t="str">
            <v>US EPA, 2007</v>
          </cell>
          <cell r="S8">
            <v>68</v>
          </cell>
          <cell r="T8" t="str">
            <v>Systène nerveux central</v>
          </cell>
          <cell r="U8" t="str">
            <v>OEHHA (1h)</v>
          </cell>
          <cell r="W8">
            <v>3.8219999999999996</v>
          </cell>
          <cell r="X8" t="str">
            <v>ATSDR, 2006</v>
          </cell>
          <cell r="Y8">
            <v>5</v>
          </cell>
          <cell r="Z8" t="str">
            <v>US EPA, 2007</v>
          </cell>
        </row>
        <row r="9">
          <cell r="B9" t="str">
            <v>Trichloréthylène (TCE)</v>
          </cell>
        </row>
        <row r="10">
          <cell r="B10" t="str">
            <v>Tétrachloréthylène (PCE)</v>
          </cell>
          <cell r="C10">
            <v>6.78</v>
          </cell>
          <cell r="E10" t="str">
            <v>-</v>
          </cell>
          <cell r="F10" t="str">
            <v>-</v>
          </cell>
          <cell r="G10" t="str">
            <v>-</v>
          </cell>
          <cell r="H10" t="str">
            <v>-</v>
          </cell>
          <cell r="I10" t="str">
            <v>-</v>
          </cell>
          <cell r="J10" t="str">
            <v>-</v>
          </cell>
          <cell r="K10" t="str">
            <v>-</v>
          </cell>
          <cell r="L10">
            <v>0.2</v>
          </cell>
          <cell r="M10">
            <v>1.3560000000000001</v>
          </cell>
          <cell r="N10" t="str">
            <v>Systène nerveux central</v>
          </cell>
          <cell r="O10" t="str">
            <v>ATSDR, 1997</v>
          </cell>
          <cell r="P10" t="str">
            <v>-</v>
          </cell>
          <cell r="Q10" t="str">
            <v>-</v>
          </cell>
          <cell r="R10" t="str">
            <v>-</v>
          </cell>
          <cell r="S10">
            <v>20</v>
          </cell>
          <cell r="T10" t="str">
            <v>Systène nerveux central, yeux, appareil respiratoire</v>
          </cell>
          <cell r="U10" t="str">
            <v>OEHHA, 2008 (1h)</v>
          </cell>
          <cell r="W10" t="str">
            <v>-</v>
          </cell>
          <cell r="X10" t="str">
            <v>-</v>
          </cell>
          <cell r="Y10">
            <v>1.3560000000000001</v>
          </cell>
          <cell r="Z10" t="str">
            <v>ATSDR, 1997</v>
          </cell>
        </row>
        <row r="11">
          <cell r="B11" t="str">
            <v>Dichlorométhane (chlorure de méthylène)</v>
          </cell>
          <cell r="C11">
            <v>3.47</v>
          </cell>
          <cell r="E11">
            <v>0.3</v>
          </cell>
          <cell r="F11">
            <v>1.0409999999999999</v>
          </cell>
          <cell r="G11" t="str">
            <v>Foie</v>
          </cell>
          <cell r="H11" t="str">
            <v>ATSDR, 2000</v>
          </cell>
          <cell r="I11" t="str">
            <v>-</v>
          </cell>
          <cell r="J11" t="str">
            <v>-</v>
          </cell>
          <cell r="K11" t="str">
            <v>-</v>
          </cell>
          <cell r="L11">
            <v>0.6</v>
          </cell>
          <cell r="M11">
            <v>2.0819999999999999</v>
          </cell>
          <cell r="N11" t="str">
            <v>Systène nerveux central</v>
          </cell>
          <cell r="O11" t="str">
            <v>ATSDR, 2000</v>
          </cell>
          <cell r="P11" t="str">
            <v>-</v>
          </cell>
          <cell r="Q11" t="str">
            <v>-</v>
          </cell>
          <cell r="R11" t="str">
            <v>-</v>
          </cell>
          <cell r="S11">
            <v>14</v>
          </cell>
          <cell r="T11" t="str">
            <v>Systène nerveux central</v>
          </cell>
          <cell r="U11" t="str">
            <v>OEHHA, 2008 (1h)</v>
          </cell>
          <cell r="W11">
            <v>1.0409999999999999</v>
          </cell>
          <cell r="X11" t="str">
            <v>ATSDR, 2000</v>
          </cell>
          <cell r="Y11">
            <v>2.0819999999999999</v>
          </cell>
          <cell r="Z11" t="str">
            <v>ATSDR, 2000</v>
          </cell>
        </row>
        <row r="12">
          <cell r="B12" t="str">
            <v>Trichlorométhane (chloroforme)</v>
          </cell>
          <cell r="C12">
            <v>4.9000000000000004</v>
          </cell>
          <cell r="E12">
            <v>0.05</v>
          </cell>
          <cell r="F12">
            <v>0.24500000000000002</v>
          </cell>
          <cell r="G12" t="str">
            <v>Foie</v>
          </cell>
          <cell r="H12" t="str">
            <v>ATSDR, 1997</v>
          </cell>
          <cell r="I12" t="str">
            <v>-</v>
          </cell>
          <cell r="J12" t="str">
            <v>-</v>
          </cell>
          <cell r="K12" t="str">
            <v>-</v>
          </cell>
          <cell r="L12">
            <v>0.1</v>
          </cell>
          <cell r="M12">
            <v>0.49000000000000005</v>
          </cell>
          <cell r="N12" t="str">
            <v>Foie</v>
          </cell>
          <cell r="O12" t="str">
            <v>ATSDR, 1997</v>
          </cell>
          <cell r="P12" t="str">
            <v>-</v>
          </cell>
          <cell r="Q12" t="str">
            <v>-</v>
          </cell>
          <cell r="R12" t="str">
            <v>-</v>
          </cell>
          <cell r="S12">
            <v>0.15</v>
          </cell>
          <cell r="T12" t="str">
            <v>Appareil respiratoire</v>
          </cell>
          <cell r="U12" t="str">
            <v>OEHHA, 1999 (7h)</v>
          </cell>
          <cell r="W12">
            <v>0.24500000000000002</v>
          </cell>
          <cell r="X12" t="str">
            <v>ATSDR, 1997</v>
          </cell>
          <cell r="Y12">
            <v>0.15</v>
          </cell>
          <cell r="Z12" t="str">
            <v>OEHHA, 1999 (7h)</v>
          </cell>
        </row>
        <row r="13">
          <cell r="B13" t="str">
            <v>Tétrachlorométhane (tétrachlorure de carbone)</v>
          </cell>
          <cell r="C13">
            <v>6.39</v>
          </cell>
          <cell r="E13">
            <v>0.03</v>
          </cell>
          <cell r="F13">
            <v>0.19169999999999998</v>
          </cell>
          <cell r="G13" t="str">
            <v>Foie</v>
          </cell>
          <cell r="H13" t="str">
            <v>ATSDR, 2005</v>
          </cell>
          <cell r="I13" t="str">
            <v>-</v>
          </cell>
          <cell r="J13" t="str">
            <v>-</v>
          </cell>
          <cell r="K13" t="str">
            <v>-</v>
          </cell>
          <cell r="L13" t="str">
            <v>-</v>
          </cell>
          <cell r="M13" t="str">
            <v>-</v>
          </cell>
          <cell r="N13" t="str">
            <v>-</v>
          </cell>
          <cell r="O13" t="str">
            <v>-</v>
          </cell>
          <cell r="P13" t="str">
            <v>-</v>
          </cell>
          <cell r="Q13" t="str">
            <v>-</v>
          </cell>
          <cell r="R13" t="str">
            <v>-</v>
          </cell>
          <cell r="S13">
            <v>1.9</v>
          </cell>
          <cell r="T13" t="str">
            <v>Reproduction, développement</v>
          </cell>
          <cell r="U13" t="str">
            <v>OEHHA, 1999 (7h)</v>
          </cell>
          <cell r="W13">
            <v>0.19169999999999998</v>
          </cell>
          <cell r="X13" t="str">
            <v>ATSDR, 2005</v>
          </cell>
          <cell r="Y13">
            <v>1.9</v>
          </cell>
          <cell r="Z13" t="str">
            <v>OEHHA, 1999 (7h)</v>
          </cell>
        </row>
        <row r="14">
          <cell r="B14" t="str">
            <v>Bromoforme</v>
          </cell>
          <cell r="C14" t="str">
            <v>-</v>
          </cell>
          <cell r="E14" t="str">
            <v>-</v>
          </cell>
          <cell r="F14" t="str">
            <v>-</v>
          </cell>
          <cell r="G14" t="str">
            <v>-</v>
          </cell>
          <cell r="H14" t="str">
            <v>-</v>
          </cell>
          <cell r="I14" t="str">
            <v>-</v>
          </cell>
          <cell r="J14" t="str">
            <v>-</v>
          </cell>
          <cell r="K14" t="str">
            <v>-</v>
          </cell>
          <cell r="L14" t="str">
            <v>-</v>
          </cell>
          <cell r="N14" t="str">
            <v>-</v>
          </cell>
          <cell r="O14" t="str">
            <v>-</v>
          </cell>
          <cell r="P14" t="str">
            <v>-</v>
          </cell>
          <cell r="Q14" t="str">
            <v>-</v>
          </cell>
          <cell r="R14" t="str">
            <v>-</v>
          </cell>
          <cell r="S14" t="str">
            <v>-</v>
          </cell>
          <cell r="T14" t="str">
            <v>-</v>
          </cell>
          <cell r="U14" t="str">
            <v>-</v>
          </cell>
          <cell r="W14" t="str">
            <v>-</v>
          </cell>
          <cell r="X14" t="str">
            <v>-</v>
          </cell>
          <cell r="Y14" t="str">
            <v>-</v>
          </cell>
          <cell r="Z14" t="str">
            <v>-</v>
          </cell>
        </row>
        <row r="15">
          <cell r="B15" t="str">
            <v>Benzène</v>
          </cell>
        </row>
        <row r="16">
          <cell r="B16" t="str">
            <v>Toluène</v>
          </cell>
          <cell r="C16">
            <v>3.83</v>
          </cell>
          <cell r="E16" t="str">
            <v>-</v>
          </cell>
          <cell r="F16" t="str">
            <v>-</v>
          </cell>
          <cell r="G16" t="str">
            <v>-</v>
          </cell>
          <cell r="H16" t="str">
            <v>-</v>
          </cell>
          <cell r="I16" t="str">
            <v>-</v>
          </cell>
          <cell r="J16" t="str">
            <v>-</v>
          </cell>
          <cell r="K16" t="str">
            <v>-</v>
          </cell>
          <cell r="L16">
            <v>1</v>
          </cell>
          <cell r="M16">
            <v>3.83</v>
          </cell>
          <cell r="N16" t="str">
            <v>Systène nerveux central</v>
          </cell>
          <cell r="O16" t="str">
            <v>ATSDR, 2000</v>
          </cell>
          <cell r="P16" t="str">
            <v>-</v>
          </cell>
          <cell r="Q16" t="str">
            <v>-</v>
          </cell>
          <cell r="R16" t="str">
            <v>-</v>
          </cell>
          <cell r="S16">
            <v>37</v>
          </cell>
          <cell r="T16" t="str">
            <v>Systène nerveux central, yeux, appareil respiratoire</v>
          </cell>
          <cell r="U16" t="str">
            <v>OEHHA, 2008 (1h)</v>
          </cell>
          <cell r="W16" t="str">
            <v>-</v>
          </cell>
          <cell r="X16" t="str">
            <v>-</v>
          </cell>
          <cell r="Y16">
            <v>3.83</v>
          </cell>
          <cell r="Z16" t="str">
            <v>ATSDR, 2000</v>
          </cell>
        </row>
        <row r="17">
          <cell r="B17" t="str">
            <v>Xylènes totaux</v>
          </cell>
          <cell r="C17">
            <v>4.41</v>
          </cell>
          <cell r="E17">
            <v>0.6</v>
          </cell>
          <cell r="F17">
            <v>2.6459999999999999</v>
          </cell>
          <cell r="G17" t="str">
            <v>Systène nerveux central</v>
          </cell>
          <cell r="H17" t="str">
            <v>ATSDR, 2007</v>
          </cell>
          <cell r="I17" t="str">
            <v>-</v>
          </cell>
          <cell r="J17" t="str">
            <v>-</v>
          </cell>
          <cell r="K17" t="str">
            <v>-</v>
          </cell>
          <cell r="L17">
            <v>2</v>
          </cell>
          <cell r="M17">
            <v>8.82</v>
          </cell>
          <cell r="N17" t="str">
            <v>Systène nerveux central</v>
          </cell>
          <cell r="O17" t="str">
            <v>ATSDR, 2007</v>
          </cell>
          <cell r="P17" t="str">
            <v>-</v>
          </cell>
          <cell r="Q17" t="str">
            <v>-</v>
          </cell>
          <cell r="R17" t="str">
            <v>-</v>
          </cell>
          <cell r="S17">
            <v>22</v>
          </cell>
          <cell r="T17" t="str">
            <v>Yeux, appareil respiratoire</v>
          </cell>
          <cell r="U17" t="str">
            <v>OEHHA, 2008 (1h)</v>
          </cell>
          <cell r="W17">
            <v>2.6459999999999999</v>
          </cell>
          <cell r="X17" t="str">
            <v>ATSDR, 2007</v>
          </cell>
          <cell r="Y17">
            <v>8.82</v>
          </cell>
          <cell r="Z17" t="str">
            <v>ATSDR, 2007</v>
          </cell>
        </row>
        <row r="18">
          <cell r="B18" t="str">
            <v>Ethylbenzène</v>
          </cell>
          <cell r="C18">
            <v>4.41</v>
          </cell>
          <cell r="E18">
            <v>0.7</v>
          </cell>
          <cell r="F18">
            <v>3.0869999999999997</v>
          </cell>
          <cell r="G18" t="str">
            <v>Systène nerveux central</v>
          </cell>
          <cell r="H18" t="str">
            <v>ATSDR, 2007 (draft)</v>
          </cell>
          <cell r="I18" t="str">
            <v>-</v>
          </cell>
          <cell r="J18" t="str">
            <v>-</v>
          </cell>
          <cell r="K18" t="str">
            <v>-</v>
          </cell>
          <cell r="L18">
            <v>10</v>
          </cell>
          <cell r="M18">
            <v>44.1</v>
          </cell>
          <cell r="N18" t="str">
            <v>Systène nerveux central</v>
          </cell>
          <cell r="O18" t="str">
            <v>ATSDR, 2007 (draft)</v>
          </cell>
          <cell r="P18" t="str">
            <v>-</v>
          </cell>
          <cell r="Q18" t="str">
            <v>-</v>
          </cell>
          <cell r="R18" t="str">
            <v>-</v>
          </cell>
          <cell r="S18" t="str">
            <v>-</v>
          </cell>
          <cell r="T18" t="str">
            <v>-</v>
          </cell>
          <cell r="U18" t="str">
            <v>-</v>
          </cell>
          <cell r="W18">
            <v>3.0869999999999997</v>
          </cell>
          <cell r="X18" t="str">
            <v>ATSDR, 2007 (draft)</v>
          </cell>
          <cell r="Y18">
            <v>44.1</v>
          </cell>
          <cell r="Z18" t="str">
            <v>ATSDR, 2007 (draft)</v>
          </cell>
        </row>
        <row r="19">
          <cell r="B19" t="str">
            <v>Monochlorobenzène</v>
          </cell>
          <cell r="C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W19" t="str">
            <v>-</v>
          </cell>
          <cell r="X19" t="str">
            <v>-</v>
          </cell>
          <cell r="Y19" t="str">
            <v>-</v>
          </cell>
          <cell r="Z19" t="str">
            <v>-</v>
          </cell>
        </row>
        <row r="20">
          <cell r="B20" t="str">
            <v>1,4-dichlorobenzène</v>
          </cell>
          <cell r="C20">
            <v>6</v>
          </cell>
          <cell r="E20">
            <v>0.2</v>
          </cell>
          <cell r="F20">
            <v>1.2000000000000002</v>
          </cell>
          <cell r="G20" t="str">
            <v>Foie</v>
          </cell>
          <cell r="H20" t="str">
            <v>ATSDR, 2006</v>
          </cell>
          <cell r="I20" t="str">
            <v>-</v>
          </cell>
          <cell r="J20" t="str">
            <v>-</v>
          </cell>
          <cell r="K20" t="str">
            <v>-</v>
          </cell>
          <cell r="L20">
            <v>2</v>
          </cell>
          <cell r="M20">
            <v>12</v>
          </cell>
          <cell r="N20" t="str">
            <v>Yeux</v>
          </cell>
          <cell r="O20" t="str">
            <v>ATSDR, 2006</v>
          </cell>
          <cell r="P20" t="str">
            <v>-</v>
          </cell>
          <cell r="Q20" t="str">
            <v>-</v>
          </cell>
          <cell r="R20" t="str">
            <v>-</v>
          </cell>
          <cell r="S20" t="str">
            <v>-</v>
          </cell>
          <cell r="T20" t="str">
            <v>-</v>
          </cell>
          <cell r="U20" t="str">
            <v>-</v>
          </cell>
          <cell r="W20">
            <v>1.2000000000000002</v>
          </cell>
          <cell r="X20" t="str">
            <v>ATSDR, 2006</v>
          </cell>
          <cell r="Y20">
            <v>12</v>
          </cell>
          <cell r="Z20" t="str">
            <v>ATSDR, 2006</v>
          </cell>
        </row>
        <row r="21">
          <cell r="B21" t="str">
            <v>Trichlorobenzènes</v>
          </cell>
          <cell r="C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W21" t="str">
            <v>-</v>
          </cell>
          <cell r="X21" t="str">
            <v>-</v>
          </cell>
          <cell r="Y21" t="str">
            <v>-</v>
          </cell>
          <cell r="Z21" t="str">
            <v>-</v>
          </cell>
        </row>
        <row r="22">
          <cell r="B22" t="str">
            <v>Phénol</v>
          </cell>
          <cell r="C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v>5.8</v>
          </cell>
          <cell r="T22" t="str">
            <v>Yeux, appareil respiratoire</v>
          </cell>
          <cell r="U22" t="str">
            <v>OEHHA, 2008 (1h)</v>
          </cell>
          <cell r="W22" t="str">
            <v>-</v>
          </cell>
          <cell r="X22" t="str">
            <v>-</v>
          </cell>
          <cell r="Y22">
            <v>5.8</v>
          </cell>
          <cell r="Z22" t="str">
            <v>OEHHA, 2008 (1h)</v>
          </cell>
        </row>
        <row r="23">
          <cell r="B23" t="str">
            <v>Naphtalène</v>
          </cell>
          <cell r="C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W23" t="str">
            <v>-</v>
          </cell>
          <cell r="X23" t="str">
            <v>-</v>
          </cell>
          <cell r="Y23" t="str">
            <v>-</v>
          </cell>
          <cell r="Z23" t="str">
            <v>-</v>
          </cell>
        </row>
        <row r="24">
          <cell r="B24" t="str">
            <v>Aromatiques EC&gt;6-7</v>
          </cell>
          <cell r="C24" t="str">
            <v>-</v>
          </cell>
          <cell r="E24" t="str">
            <v>-</v>
          </cell>
          <cell r="F24" t="str">
            <v>-</v>
          </cell>
          <cell r="G24" t="str">
            <v>-</v>
          </cell>
          <cell r="H24" t="str">
            <v>-</v>
          </cell>
          <cell r="L24" t="str">
            <v>-</v>
          </cell>
          <cell r="M24" t="str">
            <v>-</v>
          </cell>
          <cell r="N24" t="str">
            <v>-</v>
          </cell>
          <cell r="O24" t="str">
            <v>-</v>
          </cell>
          <cell r="P24" t="str">
            <v>-</v>
          </cell>
          <cell r="Q24" t="str">
            <v>-</v>
          </cell>
          <cell r="R24" t="str">
            <v>-</v>
          </cell>
          <cell r="S24" t="str">
            <v>-</v>
          </cell>
          <cell r="T24" t="str">
            <v>-</v>
          </cell>
          <cell r="U24" t="str">
            <v>-</v>
          </cell>
          <cell r="W24" t="str">
            <v>-</v>
          </cell>
          <cell r="X24" t="str">
            <v>-</v>
          </cell>
          <cell r="Y24" t="str">
            <v>-</v>
          </cell>
          <cell r="Z24" t="str">
            <v>-</v>
          </cell>
        </row>
        <row r="25">
          <cell r="B25" t="str">
            <v>Aromatiques EC&gt;7-8</v>
          </cell>
          <cell r="C25" t="str">
            <v>-</v>
          </cell>
          <cell r="E25" t="str">
            <v>-</v>
          </cell>
          <cell r="F25" t="str">
            <v>-</v>
          </cell>
          <cell r="G25" t="str">
            <v>-</v>
          </cell>
          <cell r="H25" t="str">
            <v>-</v>
          </cell>
          <cell r="L25" t="str">
            <v>-</v>
          </cell>
          <cell r="M25" t="str">
            <v>-</v>
          </cell>
          <cell r="N25" t="str">
            <v>-</v>
          </cell>
          <cell r="O25" t="str">
            <v>-</v>
          </cell>
          <cell r="P25" t="str">
            <v>-</v>
          </cell>
          <cell r="Q25" t="str">
            <v>-</v>
          </cell>
          <cell r="R25" t="str">
            <v>-</v>
          </cell>
          <cell r="S25" t="str">
            <v>-</v>
          </cell>
          <cell r="T25" t="str">
            <v>-</v>
          </cell>
          <cell r="U25" t="str">
            <v>-</v>
          </cell>
          <cell r="W25" t="str">
            <v>-</v>
          </cell>
          <cell r="X25" t="str">
            <v>-</v>
          </cell>
          <cell r="Y25" t="str">
            <v>-</v>
          </cell>
          <cell r="Z25" t="str">
            <v>-</v>
          </cell>
        </row>
        <row r="26">
          <cell r="B26" t="str">
            <v>Aromatiques EC&gt;8-10</v>
          </cell>
          <cell r="C26" t="str">
            <v>-</v>
          </cell>
          <cell r="E26" t="str">
            <v>-</v>
          </cell>
          <cell r="F26" t="str">
            <v>-</v>
          </cell>
          <cell r="G26" t="str">
            <v>-</v>
          </cell>
          <cell r="H26" t="str">
            <v>-</v>
          </cell>
          <cell r="L26" t="str">
            <v>-</v>
          </cell>
          <cell r="M26" t="str">
            <v>-</v>
          </cell>
          <cell r="N26" t="str">
            <v>-</v>
          </cell>
          <cell r="O26" t="str">
            <v>-</v>
          </cell>
          <cell r="P26" t="str">
            <v>-</v>
          </cell>
          <cell r="Q26" t="str">
            <v>-</v>
          </cell>
          <cell r="R26" t="str">
            <v>-</v>
          </cell>
          <cell r="S26" t="str">
            <v>-</v>
          </cell>
          <cell r="T26" t="str">
            <v>-</v>
          </cell>
          <cell r="U26" t="str">
            <v>-</v>
          </cell>
          <cell r="W26" t="str">
            <v>-</v>
          </cell>
          <cell r="X26" t="str">
            <v>-</v>
          </cell>
          <cell r="Y26" t="str">
            <v>-</v>
          </cell>
          <cell r="Z26" t="str">
            <v>-</v>
          </cell>
        </row>
        <row r="27">
          <cell r="B27" t="str">
            <v>Aromatiques EC&gt;10-12</v>
          </cell>
          <cell r="C27" t="str">
            <v>-</v>
          </cell>
          <cell r="E27" t="str">
            <v>-</v>
          </cell>
          <cell r="F27" t="str">
            <v>-</v>
          </cell>
          <cell r="G27" t="str">
            <v>-</v>
          </cell>
          <cell r="H27" t="str">
            <v>-</v>
          </cell>
          <cell r="L27" t="str">
            <v>-</v>
          </cell>
          <cell r="M27" t="str">
            <v>-</v>
          </cell>
          <cell r="N27" t="str">
            <v>-</v>
          </cell>
          <cell r="O27" t="str">
            <v>-</v>
          </cell>
          <cell r="P27" t="str">
            <v>-</v>
          </cell>
          <cell r="Q27" t="str">
            <v>-</v>
          </cell>
          <cell r="R27" t="str">
            <v>-</v>
          </cell>
          <cell r="S27" t="str">
            <v>-</v>
          </cell>
          <cell r="T27" t="str">
            <v>-</v>
          </cell>
          <cell r="U27" t="str">
            <v>-</v>
          </cell>
          <cell r="W27" t="str">
            <v>-</v>
          </cell>
          <cell r="X27" t="str">
            <v>-</v>
          </cell>
          <cell r="Y27" t="str">
            <v>-</v>
          </cell>
          <cell r="Z27" t="str">
            <v>-</v>
          </cell>
        </row>
        <row r="28">
          <cell r="B28" t="str">
            <v>Aromatiques EC&gt;12-16</v>
          </cell>
          <cell r="C28" t="str">
            <v>-</v>
          </cell>
          <cell r="E28" t="str">
            <v>-</v>
          </cell>
          <cell r="F28" t="str">
            <v>-</v>
          </cell>
          <cell r="G28" t="str">
            <v>-</v>
          </cell>
          <cell r="H28" t="str">
            <v>-</v>
          </cell>
          <cell r="L28" t="str">
            <v>-</v>
          </cell>
          <cell r="M28" t="str">
            <v>-</v>
          </cell>
          <cell r="N28" t="str">
            <v>-</v>
          </cell>
          <cell r="O28" t="str">
            <v>-</v>
          </cell>
          <cell r="P28" t="str">
            <v>-</v>
          </cell>
          <cell r="Q28" t="str">
            <v>-</v>
          </cell>
          <cell r="R28" t="str">
            <v>-</v>
          </cell>
          <cell r="S28" t="str">
            <v>-</v>
          </cell>
          <cell r="T28" t="str">
            <v>-</v>
          </cell>
          <cell r="U28" t="str">
            <v>-</v>
          </cell>
          <cell r="W28" t="str">
            <v>-</v>
          </cell>
          <cell r="X28" t="str">
            <v>-</v>
          </cell>
          <cell r="Y28" t="str">
            <v>-</v>
          </cell>
          <cell r="Z28" t="str">
            <v>-</v>
          </cell>
        </row>
        <row r="29">
          <cell r="B29" t="str">
            <v>Aliphatique EC C5-C6</v>
          </cell>
          <cell r="C29" t="str">
            <v>-</v>
          </cell>
          <cell r="E29" t="str">
            <v>-</v>
          </cell>
          <cell r="F29" t="str">
            <v>-</v>
          </cell>
          <cell r="G29" t="str">
            <v>-</v>
          </cell>
          <cell r="H29" t="str">
            <v>-</v>
          </cell>
          <cell r="L29" t="str">
            <v>-</v>
          </cell>
          <cell r="M29" t="str">
            <v>-</v>
          </cell>
          <cell r="N29" t="str">
            <v>-</v>
          </cell>
          <cell r="O29" t="str">
            <v>-</v>
          </cell>
          <cell r="P29" t="str">
            <v>-</v>
          </cell>
          <cell r="Q29" t="str">
            <v>-</v>
          </cell>
          <cell r="R29" t="str">
            <v>-</v>
          </cell>
          <cell r="S29" t="str">
            <v>-</v>
          </cell>
          <cell r="T29" t="str">
            <v>-</v>
          </cell>
          <cell r="U29" t="str">
            <v>-</v>
          </cell>
          <cell r="W29" t="str">
            <v>-</v>
          </cell>
          <cell r="X29" t="str">
            <v>-</v>
          </cell>
          <cell r="Y29" t="str">
            <v>-</v>
          </cell>
          <cell r="Z29" t="str">
            <v>-</v>
          </cell>
        </row>
        <row r="30">
          <cell r="B30" t="str">
            <v>Aliphatique EC&gt;C6-C8</v>
          </cell>
          <cell r="C30" t="str">
            <v>-</v>
          </cell>
          <cell r="E30" t="str">
            <v>-</v>
          </cell>
          <cell r="F30" t="str">
            <v>-</v>
          </cell>
          <cell r="G30" t="str">
            <v>-</v>
          </cell>
          <cell r="H30" t="str">
            <v>-</v>
          </cell>
          <cell r="L30" t="str">
            <v>-</v>
          </cell>
          <cell r="M30" t="str">
            <v>-</v>
          </cell>
          <cell r="N30" t="str">
            <v>-</v>
          </cell>
          <cell r="O30" t="str">
            <v>-</v>
          </cell>
          <cell r="P30" t="str">
            <v>-</v>
          </cell>
          <cell r="Q30" t="str">
            <v>-</v>
          </cell>
          <cell r="R30" t="str">
            <v>-</v>
          </cell>
          <cell r="S30" t="str">
            <v>-</v>
          </cell>
          <cell r="T30" t="str">
            <v>-</v>
          </cell>
          <cell r="U30" t="str">
            <v>-</v>
          </cell>
          <cell r="W30" t="str">
            <v>-</v>
          </cell>
          <cell r="X30" t="str">
            <v>-</v>
          </cell>
          <cell r="Y30" t="str">
            <v>-</v>
          </cell>
          <cell r="Z30" t="str">
            <v>-</v>
          </cell>
        </row>
        <row r="31">
          <cell r="B31" t="str">
            <v>Aliphatique EC&gt;C8-C10</v>
          </cell>
          <cell r="C31" t="str">
            <v>-</v>
          </cell>
          <cell r="E31" t="str">
            <v>-</v>
          </cell>
          <cell r="F31" t="str">
            <v>-</v>
          </cell>
          <cell r="G31" t="str">
            <v>-</v>
          </cell>
          <cell r="H31" t="str">
            <v>-</v>
          </cell>
          <cell r="L31" t="str">
            <v>-</v>
          </cell>
          <cell r="M31" t="str">
            <v>-</v>
          </cell>
          <cell r="N31" t="str">
            <v>-</v>
          </cell>
          <cell r="O31" t="str">
            <v>-</v>
          </cell>
          <cell r="P31" t="str">
            <v>-</v>
          </cell>
          <cell r="Q31" t="str">
            <v>-</v>
          </cell>
          <cell r="R31" t="str">
            <v>-</v>
          </cell>
          <cell r="S31" t="str">
            <v>-</v>
          </cell>
          <cell r="T31" t="str">
            <v>-</v>
          </cell>
          <cell r="U31" t="str">
            <v>-</v>
          </cell>
          <cell r="W31" t="str">
            <v>-</v>
          </cell>
          <cell r="X31" t="str">
            <v>-</v>
          </cell>
          <cell r="Y31" t="str">
            <v>-</v>
          </cell>
          <cell r="Z31" t="str">
            <v>-</v>
          </cell>
        </row>
        <row r="32">
          <cell r="B32" t="str">
            <v>Aliphatique EC&gt;C10-C12</v>
          </cell>
          <cell r="C32" t="str">
            <v>-</v>
          </cell>
          <cell r="E32" t="str">
            <v>-</v>
          </cell>
          <cell r="F32" t="str">
            <v>-</v>
          </cell>
          <cell r="G32" t="str">
            <v>-</v>
          </cell>
          <cell r="H32" t="str">
            <v>-</v>
          </cell>
          <cell r="L32" t="str">
            <v>-</v>
          </cell>
          <cell r="M32" t="str">
            <v>-</v>
          </cell>
          <cell r="N32" t="str">
            <v>-</v>
          </cell>
          <cell r="O32" t="str">
            <v>-</v>
          </cell>
          <cell r="P32" t="str">
            <v>-</v>
          </cell>
          <cell r="Q32" t="str">
            <v>-</v>
          </cell>
          <cell r="R32" t="str">
            <v>-</v>
          </cell>
          <cell r="S32" t="str">
            <v>-</v>
          </cell>
          <cell r="T32" t="str">
            <v>-</v>
          </cell>
          <cell r="U32" t="str">
            <v>-</v>
          </cell>
          <cell r="W32" t="str">
            <v>-</v>
          </cell>
          <cell r="X32" t="str">
            <v>-</v>
          </cell>
          <cell r="Y32" t="str">
            <v>-</v>
          </cell>
          <cell r="Z32" t="str">
            <v>-</v>
          </cell>
        </row>
        <row r="33">
          <cell r="B33" t="str">
            <v>Aliphatique EC&gt;C12-C16</v>
          </cell>
          <cell r="C33" t="str">
            <v>-</v>
          </cell>
          <cell r="E33" t="str">
            <v>-</v>
          </cell>
          <cell r="F33" t="str">
            <v>-</v>
          </cell>
          <cell r="G33" t="str">
            <v>-</v>
          </cell>
          <cell r="H33" t="str">
            <v>-</v>
          </cell>
          <cell r="L33" t="str">
            <v>-</v>
          </cell>
          <cell r="M33" t="str">
            <v>-</v>
          </cell>
          <cell r="N33" t="str">
            <v>-</v>
          </cell>
          <cell r="O33" t="str">
            <v>-</v>
          </cell>
          <cell r="P33" t="str">
            <v>-</v>
          </cell>
          <cell r="Q33" t="str">
            <v>-</v>
          </cell>
          <cell r="R33" t="str">
            <v>-</v>
          </cell>
          <cell r="S33" t="str">
            <v>-</v>
          </cell>
          <cell r="T33" t="str">
            <v>-</v>
          </cell>
          <cell r="U33" t="str">
            <v>-</v>
          </cell>
          <cell r="W33" t="str">
            <v>-</v>
          </cell>
          <cell r="X33" t="str">
            <v>-</v>
          </cell>
          <cell r="Y33" t="str">
            <v>-</v>
          </cell>
          <cell r="Z33" t="str">
            <v>-</v>
          </cell>
        </row>
        <row r="34">
          <cell r="B34" t="str">
            <v>Mercure Hg°</v>
          </cell>
          <cell r="C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6e-5 / 6e-4</v>
          </cell>
          <cell r="T34" t="str">
            <v>Système nerveux central</v>
          </cell>
          <cell r="U34" t="str">
            <v>OEHHA, 2008 (8h/1h)</v>
          </cell>
          <cell r="W34" t="str">
            <v>-</v>
          </cell>
          <cell r="X34" t="str">
            <v>-</v>
          </cell>
          <cell r="Y34">
            <v>6.0000000000000002E-5</v>
          </cell>
          <cell r="Z34" t="str">
            <v>OEHHA, 2008 (8h)</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AE34"/>
  <sheetViews>
    <sheetView topLeftCell="A3" zoomScale="70" zoomScaleNormal="70" workbookViewId="0">
      <pane xSplit="2" ySplit="3" topLeftCell="C20" activePane="bottomRight" state="frozen"/>
      <selection activeCell="A3" sqref="A3"/>
      <selection pane="topRight" activeCell="C3" sqref="C3"/>
      <selection pane="bottomLeft" activeCell="A6" sqref="A6"/>
      <selection pane="bottomRight" activeCell="U22" sqref="U22"/>
    </sheetView>
  </sheetViews>
  <sheetFormatPr baseColWidth="10" defaultRowHeight="15" outlineLevelCol="1"/>
  <cols>
    <col min="1" max="1" width="13.28515625" style="428" customWidth="1"/>
    <col min="2" max="2" width="39.7109375" style="427" customWidth="1"/>
    <col min="3" max="3" width="3.7109375" style="427" customWidth="1"/>
    <col min="4" max="4" width="0" style="427" hidden="1" customWidth="1" outlineLevel="1"/>
    <col min="5" max="5" width="24" style="427" hidden="1" customWidth="1" outlineLevel="1"/>
    <col min="6" max="6" width="0" style="427" hidden="1" customWidth="1" outlineLevel="1"/>
    <col min="7" max="7" width="6.85546875" style="427" hidden="1" customWidth="1" outlineLevel="1"/>
    <col min="8" max="8" width="0" style="427" hidden="1" customWidth="1" outlineLevel="1"/>
    <col min="9" max="9" width="17.28515625" style="427" hidden="1" customWidth="1" outlineLevel="1"/>
    <col min="10" max="10" width="6.85546875" style="427" hidden="1" customWidth="1" outlineLevel="1"/>
    <col min="11" max="13" width="15.140625" style="427" hidden="1" customWidth="1" outlineLevel="1"/>
    <col min="14" max="14" width="3.7109375" style="427" hidden="1" customWidth="1" outlineLevel="1"/>
    <col min="15" max="15" width="10.5703125" style="427" hidden="1" customWidth="1" outlineLevel="1"/>
    <col min="16" max="16" width="16.7109375" style="427" hidden="1" customWidth="1" outlineLevel="1"/>
    <col min="17" max="17" width="10.42578125" style="427" hidden="1" customWidth="1" outlineLevel="1"/>
    <col min="18" max="18" width="18.28515625" style="427" hidden="1" customWidth="1" outlineLevel="1"/>
    <col min="19" max="19" width="3.7109375" style="427" hidden="1" customWidth="1" outlineLevel="1"/>
    <col min="20" max="20" width="11.42578125" style="427" collapsed="1"/>
    <col min="21" max="21" width="34.7109375" style="427" customWidth="1"/>
    <col min="22" max="22" width="11.42578125" style="427"/>
    <col min="23" max="23" width="35.5703125" style="427" customWidth="1"/>
    <col min="24" max="24" width="12.7109375" style="427" customWidth="1"/>
    <col min="25" max="25" width="14.7109375" style="427" customWidth="1"/>
    <col min="26" max="26" width="2.5703125" style="427" customWidth="1"/>
    <col min="27" max="28" width="11.42578125" style="427"/>
    <col min="29" max="29" width="2.5703125" style="427" customWidth="1"/>
    <col min="30" max="30" width="11.42578125" style="427"/>
    <col min="31" max="31" width="11.7109375" style="427" customWidth="1"/>
    <col min="32" max="16384" width="11.42578125" style="427"/>
  </cols>
  <sheetData>
    <row r="1" spans="1:31">
      <c r="A1" s="422" t="s">
        <v>353</v>
      </c>
      <c r="B1" s="422"/>
    </row>
    <row r="2" spans="1:31" ht="15.75" thickBot="1">
      <c r="B2" s="422"/>
    </row>
    <row r="3" spans="1:31" s="424" customFormat="1" ht="81" customHeight="1">
      <c r="A3" s="3975" t="s">
        <v>362</v>
      </c>
      <c r="B3" s="3967" t="s">
        <v>354</v>
      </c>
      <c r="C3" s="423"/>
      <c r="D3" s="3967" t="s">
        <v>363</v>
      </c>
      <c r="E3" s="3967"/>
      <c r="F3" s="3967"/>
      <c r="G3" s="3967"/>
      <c r="H3" s="3967"/>
      <c r="I3" s="3967"/>
      <c r="J3" s="3967"/>
      <c r="K3" s="3967"/>
      <c r="L3" s="3967"/>
      <c r="M3" s="3967"/>
      <c r="N3" s="429"/>
      <c r="O3" s="3967" t="s">
        <v>364</v>
      </c>
      <c r="P3" s="3967"/>
      <c r="Q3" s="3967"/>
      <c r="R3" s="3967"/>
      <c r="T3" s="3968" t="s">
        <v>355</v>
      </c>
      <c r="U3" s="3969"/>
      <c r="V3" s="3969"/>
      <c r="W3" s="3969"/>
      <c r="X3" s="3965" t="s">
        <v>365</v>
      </c>
      <c r="Y3" s="3966"/>
      <c r="AA3" s="3973" t="s">
        <v>356</v>
      </c>
      <c r="AB3" s="3974"/>
      <c r="AD3" s="3959" t="s">
        <v>357</v>
      </c>
      <c r="AE3" s="3960"/>
    </row>
    <row r="4" spans="1:31" s="433" customFormat="1" ht="105" customHeight="1">
      <c r="A4" s="3976"/>
      <c r="B4" s="3967"/>
      <c r="C4" s="430"/>
      <c r="D4" s="3961" t="s">
        <v>366</v>
      </c>
      <c r="E4" s="3961"/>
      <c r="F4" s="3961"/>
      <c r="G4" s="3961"/>
      <c r="H4" s="3962" t="s">
        <v>367</v>
      </c>
      <c r="I4" s="3963"/>
      <c r="J4" s="3963"/>
      <c r="K4" s="3963"/>
      <c r="L4" s="3963"/>
      <c r="M4" s="3964"/>
      <c r="N4" s="430"/>
      <c r="O4" s="3962" t="s">
        <v>368</v>
      </c>
      <c r="P4" s="3964"/>
      <c r="Q4" s="3962" t="s">
        <v>369</v>
      </c>
      <c r="R4" s="3964"/>
      <c r="T4" s="3961" t="s">
        <v>370</v>
      </c>
      <c r="U4" s="3961"/>
      <c r="V4" s="3961" t="s">
        <v>371</v>
      </c>
      <c r="W4" s="3962"/>
      <c r="X4" s="434" t="s">
        <v>358</v>
      </c>
      <c r="Y4" s="435" t="s">
        <v>359</v>
      </c>
      <c r="AA4" s="436" t="s">
        <v>358</v>
      </c>
      <c r="AB4" s="437" t="s">
        <v>359</v>
      </c>
      <c r="AD4" s="438" t="s">
        <v>358</v>
      </c>
      <c r="AE4" s="439" t="s">
        <v>359</v>
      </c>
    </row>
    <row r="5" spans="1:31" s="433" customFormat="1" ht="75">
      <c r="A5" s="3977"/>
      <c r="B5" s="3967"/>
      <c r="C5" s="430"/>
      <c r="D5" s="431" t="s">
        <v>24</v>
      </c>
      <c r="E5" s="431" t="s">
        <v>372</v>
      </c>
      <c r="F5" s="431" t="s">
        <v>373</v>
      </c>
      <c r="G5" s="431" t="s">
        <v>374</v>
      </c>
      <c r="H5" s="431" t="s">
        <v>26</v>
      </c>
      <c r="I5" s="431" t="s">
        <v>373</v>
      </c>
      <c r="J5" s="431" t="s">
        <v>374</v>
      </c>
      <c r="K5" s="431" t="s">
        <v>375</v>
      </c>
      <c r="L5" s="431" t="s">
        <v>376</v>
      </c>
      <c r="M5" s="431" t="s">
        <v>377</v>
      </c>
      <c r="N5" s="430"/>
      <c r="O5" s="431" t="s">
        <v>24</v>
      </c>
      <c r="P5" s="431" t="s">
        <v>378</v>
      </c>
      <c r="Q5" s="431" t="s">
        <v>24</v>
      </c>
      <c r="R5" s="431" t="s">
        <v>378</v>
      </c>
      <c r="T5" s="431" t="s">
        <v>379</v>
      </c>
      <c r="U5" s="431" t="s">
        <v>247</v>
      </c>
      <c r="V5" s="431" t="s">
        <v>379</v>
      </c>
      <c r="W5" s="432" t="s">
        <v>247</v>
      </c>
      <c r="X5" s="434" t="s">
        <v>379</v>
      </c>
      <c r="Y5" s="435" t="s">
        <v>379</v>
      </c>
      <c r="AA5" s="436" t="s">
        <v>379</v>
      </c>
      <c r="AB5" s="437" t="s">
        <v>379</v>
      </c>
      <c r="AD5" s="438" t="s">
        <v>379</v>
      </c>
      <c r="AE5" s="439" t="s">
        <v>379</v>
      </c>
    </row>
    <row r="6" spans="1:31" ht="60">
      <c r="A6" s="3970" t="s">
        <v>380</v>
      </c>
      <c r="B6" s="425" t="s">
        <v>5</v>
      </c>
      <c r="C6" s="424"/>
      <c r="D6" s="426">
        <v>0.1</v>
      </c>
      <c r="E6" s="426" t="s">
        <v>381</v>
      </c>
      <c r="F6" s="426" t="s">
        <v>382</v>
      </c>
      <c r="G6" s="426">
        <v>2000</v>
      </c>
      <c r="H6" s="426">
        <v>1E-3</v>
      </c>
      <c r="I6" s="426" t="s">
        <v>383</v>
      </c>
      <c r="J6" s="426">
        <v>2001</v>
      </c>
      <c r="K6" s="440">
        <f>10^-6/$H6</f>
        <v>1E-3</v>
      </c>
      <c r="L6" s="440">
        <f>10^-5/$H6</f>
        <v>0.01</v>
      </c>
      <c r="M6" s="440">
        <f>10^-4/$H6</f>
        <v>0.1</v>
      </c>
      <c r="N6" s="441"/>
      <c r="O6" s="442" t="e">
        <f>VLOOKUP($B6,'[1]Synthese-VTR-aigues'!$B$3:$Z$34,22,FALSE)</f>
        <v>#N/A</v>
      </c>
      <c r="P6" s="426" t="e">
        <f>VLOOKUP($B6,'[1]Synthese-VTR-aigues'!$B$3:$Z$34,23,FALSE)</f>
        <v>#N/A</v>
      </c>
      <c r="Q6" s="442" t="e">
        <f>VLOOKUP($B6,'[1]Synthese-VTR-aigues'!$B$3:$Z$34,24,FALSE)</f>
        <v>#N/A</v>
      </c>
      <c r="R6" s="426" t="e">
        <f>VLOOKUP($B6,'[1]Synthese-VTR-aigues'!$B$3:$Z$34,25,FALSE)</f>
        <v>#N/A</v>
      </c>
      <c r="T6" s="516">
        <v>0.01</v>
      </c>
      <c r="U6" s="519" t="s">
        <v>384</v>
      </c>
      <c r="V6" s="444">
        <f>T6*10</f>
        <v>0.1</v>
      </c>
      <c r="W6" s="445" t="s">
        <v>385</v>
      </c>
      <c r="X6" s="446">
        <f>T6</f>
        <v>0.01</v>
      </c>
      <c r="Y6" s="447">
        <f>V6</f>
        <v>0.1</v>
      </c>
      <c r="AA6" s="448">
        <f>$T6*10</f>
        <v>0.1</v>
      </c>
      <c r="AB6" s="449">
        <f>$V6*10</f>
        <v>1</v>
      </c>
      <c r="AC6" s="450"/>
      <c r="AD6" s="448">
        <f>$T6*100</f>
        <v>1</v>
      </c>
      <c r="AE6" s="449">
        <f>$V6*100</f>
        <v>10</v>
      </c>
    </row>
    <row r="7" spans="1:31" ht="30">
      <c r="A7" s="3971"/>
      <c r="B7" s="425" t="s">
        <v>386</v>
      </c>
      <c r="C7" s="424"/>
      <c r="D7" s="426">
        <v>0.03</v>
      </c>
      <c r="E7" s="426" t="s">
        <v>387</v>
      </c>
      <c r="F7" s="426" t="s">
        <v>388</v>
      </c>
      <c r="G7" s="426">
        <v>2000</v>
      </c>
      <c r="H7" s="426" t="s">
        <v>35</v>
      </c>
      <c r="I7" s="426" t="s">
        <v>35</v>
      </c>
      <c r="J7" s="426" t="s">
        <v>35</v>
      </c>
      <c r="K7" s="426" t="s">
        <v>35</v>
      </c>
      <c r="L7" s="426" t="s">
        <v>35</v>
      </c>
      <c r="M7" s="426" t="s">
        <v>35</v>
      </c>
      <c r="N7" s="423"/>
      <c r="O7" s="442" t="str">
        <f>VLOOKUP($B7,'[1]Synthese-VTR-aigues'!$B$3:$Z$34,22,FALSE)</f>
        <v>-</v>
      </c>
      <c r="P7" s="426" t="str">
        <f>VLOOKUP($B7,'[1]Synthese-VTR-aigues'!$B$3:$Z$34,23,FALSE)</f>
        <v>-</v>
      </c>
      <c r="Q7" s="442" t="str">
        <f>VLOOKUP($B7,'[1]Synthese-VTR-aigues'!$B$3:$Z$34,24,FALSE)</f>
        <v>-</v>
      </c>
      <c r="R7" s="426" t="str">
        <f>VLOOKUP($B7,'[1]Synthese-VTR-aigues'!$B$3:$Z$34,25,FALSE)</f>
        <v>-</v>
      </c>
      <c r="T7" s="426">
        <v>0.03</v>
      </c>
      <c r="U7" s="426" t="s">
        <v>389</v>
      </c>
      <c r="V7" s="426">
        <v>0.3</v>
      </c>
      <c r="W7" s="445" t="s">
        <v>390</v>
      </c>
      <c r="X7" s="451">
        <f t="shared" ref="X7:X34" si="0">T7</f>
        <v>0.03</v>
      </c>
      <c r="Y7" s="452">
        <f t="shared" ref="Y7:Y34" si="1">V7</f>
        <v>0.3</v>
      </c>
      <c r="AA7" s="448">
        <f t="shared" ref="AA7:AA34" si="2">$T7*10</f>
        <v>0.3</v>
      </c>
      <c r="AB7" s="449">
        <f t="shared" ref="AB7:AB34" si="3">$V7*10</f>
        <v>3</v>
      </c>
      <c r="AC7" s="450"/>
      <c r="AD7" s="448">
        <f t="shared" ref="AD7:AD34" si="4">$T7*100</f>
        <v>3</v>
      </c>
      <c r="AE7" s="449">
        <f t="shared" ref="AE7:AE34" si="5">$V7*100</f>
        <v>30</v>
      </c>
    </row>
    <row r="8" spans="1:31" ht="30">
      <c r="A8" s="3971"/>
      <c r="B8" s="425" t="s">
        <v>391</v>
      </c>
      <c r="C8" s="424"/>
      <c r="D8" s="426">
        <v>1</v>
      </c>
      <c r="E8" s="426" t="s">
        <v>392</v>
      </c>
      <c r="F8" s="426" t="s">
        <v>393</v>
      </c>
      <c r="G8" s="426">
        <v>2005</v>
      </c>
      <c r="H8" s="426" t="s">
        <v>35</v>
      </c>
      <c r="I8" s="426" t="s">
        <v>35</v>
      </c>
      <c r="J8" s="426" t="s">
        <v>35</v>
      </c>
      <c r="K8" s="426" t="s">
        <v>35</v>
      </c>
      <c r="L8" s="426" t="s">
        <v>35</v>
      </c>
      <c r="M8" s="426" t="s">
        <v>35</v>
      </c>
      <c r="N8" s="423"/>
      <c r="O8" s="442">
        <f>VLOOKUP($B8,'[1]Synthese-VTR-aigues'!$B$3:$Z$34,22,FALSE)</f>
        <v>3.8219999999999996</v>
      </c>
      <c r="P8" s="426" t="str">
        <f>VLOOKUP($B8,'[1]Synthese-VTR-aigues'!$B$3:$Z$34,23,FALSE)</f>
        <v>ATSDR, 2006</v>
      </c>
      <c r="Q8" s="442">
        <f>VLOOKUP($B8,'[1]Synthese-VTR-aigues'!$B$3:$Z$34,24,FALSE)</f>
        <v>5</v>
      </c>
      <c r="R8" s="426" t="str">
        <f>VLOOKUP($B8,'[1]Synthese-VTR-aigues'!$B$3:$Z$34,25,FALSE)</f>
        <v>US EPA, 2007</v>
      </c>
      <c r="T8" s="426">
        <v>1</v>
      </c>
      <c r="U8" s="426" t="s">
        <v>394</v>
      </c>
      <c r="V8" s="426">
        <v>5</v>
      </c>
      <c r="W8" s="426" t="s">
        <v>395</v>
      </c>
      <c r="X8" s="453">
        <f t="shared" si="0"/>
        <v>1</v>
      </c>
      <c r="Y8" s="454">
        <f t="shared" si="1"/>
        <v>5</v>
      </c>
      <c r="AA8" s="448">
        <f t="shared" si="2"/>
        <v>10</v>
      </c>
      <c r="AB8" s="449">
        <f t="shared" si="3"/>
        <v>50</v>
      </c>
      <c r="AC8" s="450"/>
      <c r="AD8" s="448">
        <f t="shared" si="4"/>
        <v>100</v>
      </c>
      <c r="AE8" s="449">
        <f t="shared" si="5"/>
        <v>500</v>
      </c>
    </row>
    <row r="9" spans="1:31" ht="30">
      <c r="A9" s="3971"/>
      <c r="B9" s="425" t="s">
        <v>396</v>
      </c>
      <c r="C9" s="424"/>
      <c r="D9" s="426"/>
      <c r="E9" s="426"/>
      <c r="F9" s="426"/>
      <c r="G9" s="426"/>
      <c r="H9" s="426"/>
      <c r="I9" s="426"/>
      <c r="J9" s="426"/>
      <c r="K9" s="426"/>
      <c r="L9" s="426"/>
      <c r="M9" s="426"/>
      <c r="N9" s="423"/>
      <c r="O9" s="442"/>
      <c r="P9" s="426"/>
      <c r="Q9" s="442"/>
      <c r="R9" s="426"/>
      <c r="T9" s="426">
        <v>0.02</v>
      </c>
      <c r="U9" s="426" t="s">
        <v>397</v>
      </c>
      <c r="V9" s="426">
        <f>T9*10</f>
        <v>0.2</v>
      </c>
      <c r="W9" s="445" t="s">
        <v>398</v>
      </c>
      <c r="X9" s="446">
        <f t="shared" si="0"/>
        <v>0.02</v>
      </c>
      <c r="Y9" s="447">
        <f t="shared" si="1"/>
        <v>0.2</v>
      </c>
      <c r="AA9" s="448">
        <f t="shared" si="2"/>
        <v>0.2</v>
      </c>
      <c r="AB9" s="449">
        <f t="shared" si="3"/>
        <v>2</v>
      </c>
      <c r="AC9" s="450"/>
      <c r="AD9" s="448">
        <f t="shared" si="4"/>
        <v>2</v>
      </c>
      <c r="AE9" s="449">
        <f t="shared" si="5"/>
        <v>20</v>
      </c>
    </row>
    <row r="10" spans="1:31" ht="30">
      <c r="A10" s="3971"/>
      <c r="B10" s="425" t="s">
        <v>399</v>
      </c>
      <c r="C10" s="424"/>
      <c r="D10" s="426">
        <v>3.5000000000000003E-2</v>
      </c>
      <c r="E10" s="426" t="s">
        <v>400</v>
      </c>
      <c r="F10" s="426" t="s">
        <v>393</v>
      </c>
      <c r="G10" s="426">
        <v>1991</v>
      </c>
      <c r="H10" s="426">
        <v>5.8999999999999999E-3</v>
      </c>
      <c r="I10" s="426" t="s">
        <v>393</v>
      </c>
      <c r="J10" s="426">
        <v>2005</v>
      </c>
      <c r="K10" s="440">
        <f>10^-6/$H10</f>
        <v>1.694915254237288E-4</v>
      </c>
      <c r="L10" s="440">
        <f>10^-5/$H10</f>
        <v>1.6949152542372883E-3</v>
      </c>
      <c r="M10" s="440">
        <f>10^-4/$H10</f>
        <v>1.6949152542372881E-2</v>
      </c>
      <c r="N10" s="441"/>
      <c r="O10" s="442" t="str">
        <f>VLOOKUP($B10,'[1]Synthese-VTR-aigues'!$B$3:$Z$34,22,FALSE)</f>
        <v>-</v>
      </c>
      <c r="P10" s="426" t="str">
        <f>VLOOKUP($B10,'[1]Synthese-VTR-aigues'!$B$3:$Z$34,23,FALSE)</f>
        <v>-</v>
      </c>
      <c r="Q10" s="442">
        <f>VLOOKUP($B10,'[1]Synthese-VTR-aigues'!$B$3:$Z$34,24,FALSE)</f>
        <v>1.3560000000000001</v>
      </c>
      <c r="R10" s="426" t="str">
        <f>VLOOKUP($B10,'[1]Synthese-VTR-aigues'!$B$3:$Z$34,25,FALSE)</f>
        <v>ATSDR, 1997</v>
      </c>
      <c r="T10" s="455">
        <v>0.25</v>
      </c>
      <c r="U10" s="426" t="s">
        <v>360</v>
      </c>
      <c r="V10" s="426">
        <v>1.38</v>
      </c>
      <c r="W10" s="445" t="s">
        <v>361</v>
      </c>
      <c r="X10" s="451">
        <f t="shared" si="0"/>
        <v>0.25</v>
      </c>
      <c r="Y10" s="452">
        <v>1.5</v>
      </c>
      <c r="AA10" s="456">
        <f t="shared" si="2"/>
        <v>2.5</v>
      </c>
      <c r="AB10" s="454">
        <v>15</v>
      </c>
      <c r="AC10" s="457"/>
      <c r="AD10" s="453">
        <f t="shared" si="4"/>
        <v>25</v>
      </c>
      <c r="AE10" s="454">
        <f>AB10*10</f>
        <v>150</v>
      </c>
    </row>
    <row r="11" spans="1:31" ht="45">
      <c r="A11" s="3971"/>
      <c r="B11" s="425" t="s">
        <v>401</v>
      </c>
      <c r="C11" s="424"/>
      <c r="D11" s="426">
        <v>0.4</v>
      </c>
      <c r="E11" s="426" t="s">
        <v>402</v>
      </c>
      <c r="F11" s="426" t="s">
        <v>393</v>
      </c>
      <c r="G11" s="426">
        <v>2003</v>
      </c>
      <c r="H11" s="426">
        <v>1E-3</v>
      </c>
      <c r="I11" s="426" t="s">
        <v>393</v>
      </c>
      <c r="J11" s="426">
        <v>2002</v>
      </c>
      <c r="K11" s="440">
        <f>10^-6/$H11</f>
        <v>1E-3</v>
      </c>
      <c r="L11" s="440">
        <f>10^-5/$H11</f>
        <v>0.01</v>
      </c>
      <c r="M11" s="440">
        <f>10^-4/$H11</f>
        <v>0.1</v>
      </c>
      <c r="N11" s="441"/>
      <c r="O11" s="442">
        <f>VLOOKUP($B11,'[1]Synthese-VTR-aigues'!$B$3:$Z$34,22,FALSE)</f>
        <v>1.0409999999999999</v>
      </c>
      <c r="P11" s="426" t="str">
        <f>VLOOKUP($B11,'[1]Synthese-VTR-aigues'!$B$3:$Z$34,23,FALSE)</f>
        <v>ATSDR, 2000</v>
      </c>
      <c r="Q11" s="442">
        <f>VLOOKUP($B11,'[1]Synthese-VTR-aigues'!$B$3:$Z$34,24,FALSE)</f>
        <v>2.0819999999999999</v>
      </c>
      <c r="R11" s="426" t="str">
        <f>VLOOKUP($B11,'[1]Synthese-VTR-aigues'!$B$3:$Z$34,25,FALSE)</f>
        <v>ATSDR, 2000</v>
      </c>
      <c r="T11" s="516">
        <v>0.01</v>
      </c>
      <c r="U11" s="426" t="s">
        <v>403</v>
      </c>
      <c r="V11" s="444">
        <f>T11*10</f>
        <v>0.1</v>
      </c>
      <c r="W11" s="445" t="s">
        <v>404</v>
      </c>
      <c r="X11" s="446">
        <f t="shared" si="0"/>
        <v>0.01</v>
      </c>
      <c r="Y11" s="447">
        <f t="shared" si="1"/>
        <v>0.1</v>
      </c>
      <c r="AA11" s="448">
        <f t="shared" si="2"/>
        <v>0.1</v>
      </c>
      <c r="AB11" s="449">
        <f t="shared" si="3"/>
        <v>1</v>
      </c>
      <c r="AC11" s="450"/>
      <c r="AD11" s="448">
        <f t="shared" si="4"/>
        <v>1</v>
      </c>
      <c r="AE11" s="449">
        <f t="shared" si="5"/>
        <v>10</v>
      </c>
    </row>
    <row r="12" spans="1:31" ht="30">
      <c r="A12" s="3971"/>
      <c r="B12" s="425" t="s">
        <v>405</v>
      </c>
      <c r="C12" s="424"/>
      <c r="D12" s="426">
        <v>6.3E-2</v>
      </c>
      <c r="E12" s="426" t="s">
        <v>406</v>
      </c>
      <c r="F12" s="426" t="s">
        <v>407</v>
      </c>
      <c r="G12" s="426">
        <v>2008</v>
      </c>
      <c r="H12" s="426" t="s">
        <v>35</v>
      </c>
      <c r="I12" s="426" t="s">
        <v>407</v>
      </c>
      <c r="J12" s="426">
        <v>2008</v>
      </c>
      <c r="K12" s="426" t="s">
        <v>35</v>
      </c>
      <c r="L12" s="426" t="s">
        <v>35</v>
      </c>
      <c r="M12" s="426" t="s">
        <v>35</v>
      </c>
      <c r="N12" s="423"/>
      <c r="O12" s="442" t="e">
        <f>VLOOKUP($B12,'[1]Synthese-VTR-aigues'!$B$3:$Z$34,22,FALSE)</f>
        <v>#N/A</v>
      </c>
      <c r="P12" s="426" t="e">
        <f>VLOOKUP($B12,'[1]Synthese-VTR-aigues'!$B$3:$Z$34,23,FALSE)</f>
        <v>#N/A</v>
      </c>
      <c r="Q12" s="442" t="e">
        <f>VLOOKUP($B12,'[1]Synthese-VTR-aigues'!$B$3:$Z$34,24,FALSE)</f>
        <v>#N/A</v>
      </c>
      <c r="R12" s="426" t="e">
        <f>VLOOKUP($B12,'[1]Synthese-VTR-aigues'!$B$3:$Z$34,25,FALSE)</f>
        <v>#N/A</v>
      </c>
      <c r="T12" s="426">
        <v>6.3E-2</v>
      </c>
      <c r="U12" s="426" t="s">
        <v>408</v>
      </c>
      <c r="V12" s="426">
        <v>0.15</v>
      </c>
      <c r="W12" s="426" t="s">
        <v>409</v>
      </c>
      <c r="X12" s="451">
        <f t="shared" si="0"/>
        <v>6.3E-2</v>
      </c>
      <c r="Y12" s="447">
        <f t="shared" si="1"/>
        <v>0.15</v>
      </c>
      <c r="AA12" s="456">
        <f t="shared" si="2"/>
        <v>0.63</v>
      </c>
      <c r="AB12" s="449">
        <f t="shared" si="3"/>
        <v>1.5</v>
      </c>
      <c r="AC12" s="450"/>
      <c r="AD12" s="448">
        <f t="shared" si="4"/>
        <v>6.3</v>
      </c>
      <c r="AE12" s="449">
        <f t="shared" si="5"/>
        <v>15</v>
      </c>
    </row>
    <row r="13" spans="1:31" ht="30">
      <c r="A13" s="3971"/>
      <c r="B13" s="425" t="s">
        <v>410</v>
      </c>
      <c r="C13" s="424"/>
      <c r="D13" s="426">
        <v>3.7999999999999999E-2</v>
      </c>
      <c r="E13" s="426" t="s">
        <v>381</v>
      </c>
      <c r="F13" s="426" t="s">
        <v>407</v>
      </c>
      <c r="G13" s="426">
        <v>2008</v>
      </c>
      <c r="H13" s="426" t="s">
        <v>35</v>
      </c>
      <c r="I13" s="426" t="s">
        <v>407</v>
      </c>
      <c r="J13" s="426">
        <v>2008</v>
      </c>
      <c r="K13" s="426" t="s">
        <v>35</v>
      </c>
      <c r="L13" s="426" t="s">
        <v>35</v>
      </c>
      <c r="M13" s="426" t="s">
        <v>35</v>
      </c>
      <c r="N13" s="423"/>
      <c r="O13" s="442" t="e">
        <f>VLOOKUP($B13,'[1]Synthese-VTR-aigues'!$B$3:$Z$34,22,FALSE)</f>
        <v>#N/A</v>
      </c>
      <c r="P13" s="426" t="e">
        <f>VLOOKUP($B13,'[1]Synthese-VTR-aigues'!$B$3:$Z$34,23,FALSE)</f>
        <v>#N/A</v>
      </c>
      <c r="Q13" s="442" t="e">
        <f>VLOOKUP($B13,'[1]Synthese-VTR-aigues'!$B$3:$Z$34,24,FALSE)</f>
        <v>#N/A</v>
      </c>
      <c r="R13" s="426" t="e">
        <f>VLOOKUP($B13,'[1]Synthese-VTR-aigues'!$B$3:$Z$34,25,FALSE)</f>
        <v>#N/A</v>
      </c>
      <c r="T13" s="426">
        <v>3.7999999999999999E-2</v>
      </c>
      <c r="U13" s="426" t="s">
        <v>408</v>
      </c>
      <c r="V13" s="426">
        <f>T13*10</f>
        <v>0.38</v>
      </c>
      <c r="W13" s="445" t="s">
        <v>411</v>
      </c>
      <c r="X13" s="451">
        <f t="shared" si="0"/>
        <v>3.7999999999999999E-2</v>
      </c>
      <c r="Y13" s="452">
        <f t="shared" si="1"/>
        <v>0.38</v>
      </c>
      <c r="AA13" s="456">
        <f t="shared" si="2"/>
        <v>0.38</v>
      </c>
      <c r="AB13" s="454">
        <f t="shared" si="3"/>
        <v>3.8</v>
      </c>
      <c r="AC13" s="450"/>
      <c r="AD13" s="448">
        <v>4</v>
      </c>
      <c r="AE13" s="449">
        <v>40</v>
      </c>
    </row>
    <row r="14" spans="1:31" ht="60.75" customHeight="1">
      <c r="A14" s="3972"/>
      <c r="B14" s="425" t="s">
        <v>412</v>
      </c>
      <c r="C14" s="424"/>
      <c r="D14" s="426">
        <v>6.3E-2</v>
      </c>
      <c r="E14" s="426" t="s">
        <v>413</v>
      </c>
      <c r="F14" s="426" t="s">
        <v>414</v>
      </c>
      <c r="G14" s="426">
        <v>2003</v>
      </c>
      <c r="H14" s="426">
        <v>1.1000000000000001E-3</v>
      </c>
      <c r="I14" s="426" t="s">
        <v>382</v>
      </c>
      <c r="J14" s="426">
        <v>1991</v>
      </c>
      <c r="K14" s="440">
        <f>10^-6/$H14</f>
        <v>9.0909090909090898E-4</v>
      </c>
      <c r="L14" s="440">
        <f>10^-5/$H14</f>
        <v>9.0909090909090905E-3</v>
      </c>
      <c r="M14" s="440">
        <f>10^-4/$H14</f>
        <v>9.0909090909090912E-2</v>
      </c>
      <c r="N14" s="441"/>
      <c r="O14" s="442" t="str">
        <f>VLOOKUP($B14,'[1]Synthese-VTR-aigues'!$B$3:$Z$34,22,FALSE)</f>
        <v>-</v>
      </c>
      <c r="P14" s="426" t="str">
        <f>VLOOKUP($B14,'[1]Synthese-VTR-aigues'!$B$3:$Z$34,23,FALSE)</f>
        <v>-</v>
      </c>
      <c r="Q14" s="442" t="str">
        <f>VLOOKUP($B14,'[1]Synthese-VTR-aigues'!$B$3:$Z$34,24,FALSE)</f>
        <v>-</v>
      </c>
      <c r="R14" s="426" t="str">
        <f>VLOOKUP($B14,'[1]Synthese-VTR-aigues'!$B$3:$Z$34,25,FALSE)</f>
        <v>-</v>
      </c>
      <c r="T14" s="517">
        <v>8.9999999999999993E-3</v>
      </c>
      <c r="U14" s="426" t="s">
        <v>415</v>
      </c>
      <c r="V14" s="459">
        <f>T14*10</f>
        <v>0.09</v>
      </c>
      <c r="W14" s="445" t="s">
        <v>416</v>
      </c>
      <c r="X14" s="446">
        <f t="shared" si="0"/>
        <v>8.9999999999999993E-3</v>
      </c>
      <c r="Y14" s="447">
        <f t="shared" si="1"/>
        <v>0.09</v>
      </c>
      <c r="AA14" s="446">
        <f t="shared" si="2"/>
        <v>0.09</v>
      </c>
      <c r="AB14" s="447">
        <f t="shared" si="3"/>
        <v>0.89999999999999991</v>
      </c>
      <c r="AC14" s="460"/>
      <c r="AD14" s="446">
        <f t="shared" si="4"/>
        <v>0.89999999999999991</v>
      </c>
      <c r="AE14" s="452">
        <f t="shared" si="5"/>
        <v>9</v>
      </c>
    </row>
    <row r="15" spans="1:31" ht="30">
      <c r="A15" s="3970" t="s">
        <v>417</v>
      </c>
      <c r="B15" s="425" t="s">
        <v>317</v>
      </c>
      <c r="C15" s="424"/>
      <c r="D15" s="426"/>
      <c r="E15" s="426"/>
      <c r="F15" s="426"/>
      <c r="G15" s="426"/>
      <c r="H15" s="426"/>
      <c r="I15" s="426"/>
      <c r="J15" s="426"/>
      <c r="K15" s="440"/>
      <c r="L15" s="440"/>
      <c r="M15" s="440"/>
      <c r="N15" s="441"/>
      <c r="O15" s="442"/>
      <c r="P15" s="426"/>
      <c r="Q15" s="442"/>
      <c r="R15" s="426"/>
      <c r="T15" s="426">
        <v>2E-3</v>
      </c>
      <c r="U15" s="426" t="s">
        <v>418</v>
      </c>
      <c r="V15" s="426">
        <f>T15*10</f>
        <v>0.02</v>
      </c>
      <c r="W15" s="445" t="s">
        <v>419</v>
      </c>
      <c r="X15" s="461">
        <f t="shared" si="0"/>
        <v>2E-3</v>
      </c>
      <c r="Y15" s="462">
        <f t="shared" si="1"/>
        <v>0.02</v>
      </c>
      <c r="AA15" s="446">
        <f t="shared" si="2"/>
        <v>0.02</v>
      </c>
      <c r="AB15" s="447">
        <f t="shared" si="3"/>
        <v>0.2</v>
      </c>
      <c r="AC15" s="463"/>
      <c r="AD15" s="451">
        <f t="shared" si="4"/>
        <v>0.2</v>
      </c>
      <c r="AE15" s="452">
        <f t="shared" si="5"/>
        <v>2</v>
      </c>
    </row>
    <row r="16" spans="1:31" ht="30">
      <c r="A16" s="3971"/>
      <c r="B16" s="425" t="s">
        <v>420</v>
      </c>
      <c r="C16" s="424"/>
      <c r="D16" s="426">
        <v>0.26</v>
      </c>
      <c r="E16" s="426" t="s">
        <v>381</v>
      </c>
      <c r="F16" s="426" t="s">
        <v>421</v>
      </c>
      <c r="G16" s="426">
        <v>2000</v>
      </c>
      <c r="H16" s="426" t="s">
        <v>35</v>
      </c>
      <c r="I16" s="426" t="s">
        <v>35</v>
      </c>
      <c r="J16" s="426" t="s">
        <v>35</v>
      </c>
      <c r="K16" s="426" t="s">
        <v>35</v>
      </c>
      <c r="L16" s="426" t="s">
        <v>35</v>
      </c>
      <c r="M16" s="426" t="s">
        <v>35</v>
      </c>
      <c r="N16" s="423"/>
      <c r="O16" s="442" t="str">
        <f>VLOOKUP($B16,'[1]Synthese-VTR-aigues'!$B$3:$Z$34,22,FALSE)</f>
        <v>-</v>
      </c>
      <c r="P16" s="426" t="str">
        <f>VLOOKUP($B16,'[1]Synthese-VTR-aigues'!$B$3:$Z$34,23,FALSE)</f>
        <v>-</v>
      </c>
      <c r="Q16" s="442">
        <f>VLOOKUP($B16,'[1]Synthese-VTR-aigues'!$B$3:$Z$34,24,FALSE)</f>
        <v>3.83</v>
      </c>
      <c r="R16" s="426" t="str">
        <f>VLOOKUP($B16,'[1]Synthese-VTR-aigues'!$B$3:$Z$34,25,FALSE)</f>
        <v>ATSDR, 2000</v>
      </c>
      <c r="T16" s="426">
        <v>0.26</v>
      </c>
      <c r="U16" s="426" t="s">
        <v>422</v>
      </c>
      <c r="V16" s="426">
        <v>2.6</v>
      </c>
      <c r="W16" s="445" t="s">
        <v>423</v>
      </c>
      <c r="X16" s="456">
        <f t="shared" si="0"/>
        <v>0.26</v>
      </c>
      <c r="Y16" s="454">
        <f t="shared" si="1"/>
        <v>2.6</v>
      </c>
      <c r="AA16" s="453">
        <f t="shared" si="2"/>
        <v>2.6</v>
      </c>
      <c r="AB16" s="454">
        <v>30</v>
      </c>
      <c r="AC16" s="424"/>
      <c r="AD16" s="448">
        <v>30</v>
      </c>
      <c r="AE16" s="449">
        <v>300</v>
      </c>
    </row>
    <row r="17" spans="1:31" ht="30">
      <c r="A17" s="3971"/>
      <c r="B17" s="425" t="s">
        <v>424</v>
      </c>
      <c r="C17" s="424"/>
      <c r="D17" s="426">
        <v>0.1</v>
      </c>
      <c r="E17" s="426" t="s">
        <v>425</v>
      </c>
      <c r="F17" s="426" t="s">
        <v>382</v>
      </c>
      <c r="G17" s="426">
        <v>2003</v>
      </c>
      <c r="H17" s="426" t="s">
        <v>35</v>
      </c>
      <c r="I17" s="426" t="s">
        <v>35</v>
      </c>
      <c r="J17" s="426" t="s">
        <v>35</v>
      </c>
      <c r="K17" s="426" t="s">
        <v>35</v>
      </c>
      <c r="L17" s="426" t="s">
        <v>35</v>
      </c>
      <c r="M17" s="426" t="s">
        <v>35</v>
      </c>
      <c r="N17" s="423"/>
      <c r="O17" s="442">
        <f>VLOOKUP($B17,'[1]Synthese-VTR-aigues'!$B$3:$Z$34,22,FALSE)</f>
        <v>2.6459999999999999</v>
      </c>
      <c r="P17" s="426" t="str">
        <f>VLOOKUP($B17,'[1]Synthese-VTR-aigues'!$B$3:$Z$34,23,FALSE)</f>
        <v>ATSDR, 2007</v>
      </c>
      <c r="Q17" s="442">
        <f>VLOOKUP($B17,'[1]Synthese-VTR-aigues'!$B$3:$Z$34,24,FALSE)</f>
        <v>8.82</v>
      </c>
      <c r="R17" s="426" t="str">
        <f>VLOOKUP($B17,'[1]Synthese-VTR-aigues'!$B$3:$Z$34,25,FALSE)</f>
        <v>ATSDR, 2007</v>
      </c>
      <c r="T17" s="426">
        <v>0.1</v>
      </c>
      <c r="U17" s="426" t="s">
        <v>426</v>
      </c>
      <c r="V17" s="426">
        <f>10*T17</f>
        <v>1</v>
      </c>
      <c r="W17" s="445" t="s">
        <v>427</v>
      </c>
      <c r="X17" s="456">
        <f t="shared" si="0"/>
        <v>0.1</v>
      </c>
      <c r="Y17" s="454">
        <f t="shared" si="1"/>
        <v>1</v>
      </c>
      <c r="AA17" s="453">
        <f t="shared" si="2"/>
        <v>1</v>
      </c>
      <c r="AB17" s="454">
        <f t="shared" si="3"/>
        <v>10</v>
      </c>
      <c r="AC17" s="450"/>
      <c r="AD17" s="448">
        <f t="shared" si="4"/>
        <v>10</v>
      </c>
      <c r="AE17" s="449">
        <f t="shared" si="5"/>
        <v>100</v>
      </c>
    </row>
    <row r="18" spans="1:31" ht="30">
      <c r="A18" s="3972"/>
      <c r="B18" s="425" t="s">
        <v>428</v>
      </c>
      <c r="C18" s="424"/>
      <c r="D18" s="426">
        <v>0.77</v>
      </c>
      <c r="E18" s="426" t="s">
        <v>429</v>
      </c>
      <c r="F18" s="426" t="s">
        <v>388</v>
      </c>
      <c r="G18" s="426">
        <v>2000</v>
      </c>
      <c r="H18" s="426">
        <v>2.5000000000000001E-3</v>
      </c>
      <c r="I18" s="426" t="s">
        <v>393</v>
      </c>
      <c r="J18" s="426">
        <v>2007</v>
      </c>
      <c r="K18" s="440">
        <f>10^-6/$H18</f>
        <v>3.9999999999999996E-4</v>
      </c>
      <c r="L18" s="440">
        <f>10^-5/$H18</f>
        <v>4.0000000000000001E-3</v>
      </c>
      <c r="M18" s="440">
        <f>10^-4/$H18</f>
        <v>0.04</v>
      </c>
      <c r="N18" s="441"/>
      <c r="O18" s="442">
        <f>VLOOKUP($B18,'[1]Synthese-VTR-aigues'!$B$3:$Z$34,22,FALSE)</f>
        <v>3.0869999999999997</v>
      </c>
      <c r="P18" s="426" t="str">
        <f>VLOOKUP($B18,'[1]Synthese-VTR-aigues'!$B$3:$Z$34,23,FALSE)</f>
        <v>ATSDR, 2007 (draft)</v>
      </c>
      <c r="Q18" s="442">
        <f>VLOOKUP($B18,'[1]Synthese-VTR-aigues'!$B$3:$Z$34,24,FALSE)</f>
        <v>44.1</v>
      </c>
      <c r="R18" s="426" t="str">
        <f>VLOOKUP($B18,'[1]Synthese-VTR-aigues'!$B$3:$Z$34,25,FALSE)</f>
        <v>ATSDR, 2007 (draft)</v>
      </c>
      <c r="T18" s="517">
        <v>4.0000000000000001E-3</v>
      </c>
      <c r="U18" s="426" t="s">
        <v>430</v>
      </c>
      <c r="V18" s="443">
        <f>T18*10</f>
        <v>0.04</v>
      </c>
      <c r="W18" s="445" t="s">
        <v>431</v>
      </c>
      <c r="X18" s="461">
        <f t="shared" si="0"/>
        <v>4.0000000000000001E-3</v>
      </c>
      <c r="Y18" s="462">
        <f t="shared" si="1"/>
        <v>0.04</v>
      </c>
      <c r="AA18" s="446">
        <f t="shared" si="2"/>
        <v>0.04</v>
      </c>
      <c r="AB18" s="447">
        <f t="shared" si="3"/>
        <v>0.4</v>
      </c>
      <c r="AC18" s="450"/>
      <c r="AD18" s="448">
        <f t="shared" si="4"/>
        <v>0.4</v>
      </c>
      <c r="AE18" s="449">
        <f t="shared" si="5"/>
        <v>4</v>
      </c>
    </row>
    <row r="19" spans="1:31" ht="60" customHeight="1">
      <c r="A19" s="3970" t="s">
        <v>432</v>
      </c>
      <c r="B19" s="425" t="s">
        <v>433</v>
      </c>
      <c r="C19" s="424"/>
      <c r="D19" s="426">
        <v>0.01</v>
      </c>
      <c r="E19" s="426" t="s">
        <v>381</v>
      </c>
      <c r="F19" s="426" t="s">
        <v>434</v>
      </c>
      <c r="G19" s="426">
        <v>1991</v>
      </c>
      <c r="H19" s="426" t="s">
        <v>35</v>
      </c>
      <c r="I19" s="426" t="s">
        <v>35</v>
      </c>
      <c r="J19" s="426" t="s">
        <v>35</v>
      </c>
      <c r="K19" s="426" t="s">
        <v>35</v>
      </c>
      <c r="L19" s="426" t="s">
        <v>35</v>
      </c>
      <c r="M19" s="426" t="s">
        <v>35</v>
      </c>
      <c r="N19" s="423"/>
      <c r="O19" s="442" t="str">
        <f>VLOOKUP($B19,'[1]Synthese-VTR-aigues'!$B$3:$Z$34,22,FALSE)</f>
        <v>-</v>
      </c>
      <c r="P19" s="426" t="str">
        <f>VLOOKUP($B19,'[1]Synthese-VTR-aigues'!$B$3:$Z$34,23,FALSE)</f>
        <v>-</v>
      </c>
      <c r="Q19" s="442" t="str">
        <f>VLOOKUP($B19,'[1]Synthese-VTR-aigues'!$B$3:$Z$34,24,FALSE)</f>
        <v>-</v>
      </c>
      <c r="R19" s="426" t="str">
        <f>VLOOKUP($B19,'[1]Synthese-VTR-aigues'!$B$3:$Z$34,25,FALSE)</f>
        <v>-</v>
      </c>
      <c r="T19" s="426">
        <v>0.01</v>
      </c>
      <c r="U19" s="426" t="s">
        <v>435</v>
      </c>
      <c r="V19" s="426">
        <f>10*T19</f>
        <v>0.1</v>
      </c>
      <c r="W19" s="445" t="s">
        <v>436</v>
      </c>
      <c r="X19" s="451">
        <f t="shared" si="0"/>
        <v>0.01</v>
      </c>
      <c r="Y19" s="452">
        <f t="shared" si="1"/>
        <v>0.1</v>
      </c>
      <c r="AA19" s="456">
        <f t="shared" si="2"/>
        <v>0.1</v>
      </c>
      <c r="AB19" s="454">
        <f t="shared" si="3"/>
        <v>1</v>
      </c>
      <c r="AC19" s="450"/>
      <c r="AD19" s="448">
        <f t="shared" si="4"/>
        <v>1</v>
      </c>
      <c r="AE19" s="449">
        <f t="shared" si="5"/>
        <v>10</v>
      </c>
    </row>
    <row r="20" spans="1:31" ht="30">
      <c r="A20" s="3971"/>
      <c r="B20" s="425" t="s">
        <v>437</v>
      </c>
      <c r="C20" s="424"/>
      <c r="D20" s="426">
        <v>0.06</v>
      </c>
      <c r="E20" s="426" t="s">
        <v>438</v>
      </c>
      <c r="F20" s="426" t="s">
        <v>439</v>
      </c>
      <c r="G20" s="426">
        <v>2006</v>
      </c>
      <c r="H20" s="426">
        <v>1.0999999999999999E-2</v>
      </c>
      <c r="I20" s="426" t="s">
        <v>393</v>
      </c>
      <c r="J20" s="426">
        <v>2002</v>
      </c>
      <c r="K20" s="440">
        <f>10^-6/$H20</f>
        <v>9.0909090909090904E-5</v>
      </c>
      <c r="L20" s="440">
        <f>10^-5/$H20</f>
        <v>9.090909090909092E-4</v>
      </c>
      <c r="M20" s="440">
        <f>10^-4/$H20</f>
        <v>9.0909090909090922E-3</v>
      </c>
      <c r="N20" s="441"/>
      <c r="O20" s="442">
        <f>VLOOKUP($B20,'[1]Synthese-VTR-aigues'!$B$3:$Z$34,22,FALSE)</f>
        <v>1.2000000000000002</v>
      </c>
      <c r="P20" s="426" t="str">
        <f>VLOOKUP($B20,'[1]Synthese-VTR-aigues'!$B$3:$Z$34,23,FALSE)</f>
        <v>ATSDR, 2006</v>
      </c>
      <c r="Q20" s="442">
        <f>VLOOKUP($B20,'[1]Synthese-VTR-aigues'!$B$3:$Z$34,24,FALSE)</f>
        <v>12</v>
      </c>
      <c r="R20" s="426" t="str">
        <f>VLOOKUP($B20,'[1]Synthese-VTR-aigues'!$B$3:$Z$34,25,FALSE)</f>
        <v>ATSDR, 2006</v>
      </c>
      <c r="T20" s="458">
        <v>9.1E-4</v>
      </c>
      <c r="U20" s="426" t="s">
        <v>403</v>
      </c>
      <c r="V20" s="458">
        <f>T20*10</f>
        <v>9.1000000000000004E-3</v>
      </c>
      <c r="W20" s="445" t="s">
        <v>404</v>
      </c>
      <c r="X20" s="461">
        <f t="shared" si="0"/>
        <v>9.1E-4</v>
      </c>
      <c r="Y20" s="462">
        <f t="shared" si="1"/>
        <v>9.1000000000000004E-3</v>
      </c>
      <c r="AA20" s="446">
        <f t="shared" si="2"/>
        <v>9.1000000000000004E-3</v>
      </c>
      <c r="AB20" s="447">
        <f t="shared" si="3"/>
        <v>9.0999999999999998E-2</v>
      </c>
      <c r="AC20" s="424"/>
      <c r="AD20" s="451">
        <f t="shared" si="4"/>
        <v>9.0999999999999998E-2</v>
      </c>
      <c r="AE20" s="452">
        <f t="shared" si="5"/>
        <v>0.91</v>
      </c>
    </row>
    <row r="21" spans="1:31" ht="30">
      <c r="A21" s="3972"/>
      <c r="B21" s="425" t="s">
        <v>440</v>
      </c>
      <c r="C21" s="424"/>
      <c r="D21" s="426">
        <v>0.05</v>
      </c>
      <c r="E21" s="426" t="s">
        <v>441</v>
      </c>
      <c r="F21" s="426" t="s">
        <v>388</v>
      </c>
      <c r="G21" s="426">
        <v>2001</v>
      </c>
      <c r="H21" s="426" t="s">
        <v>35</v>
      </c>
      <c r="I21" s="426" t="s">
        <v>35</v>
      </c>
      <c r="J21" s="426" t="s">
        <v>35</v>
      </c>
      <c r="K21" s="426" t="s">
        <v>35</v>
      </c>
      <c r="L21" s="426" t="s">
        <v>35</v>
      </c>
      <c r="M21" s="426" t="s">
        <v>35</v>
      </c>
      <c r="N21" s="423"/>
      <c r="O21" s="442" t="str">
        <f>VLOOKUP($B21,'[1]Synthese-VTR-aigues'!$B$3:$Z$34,22,FALSE)</f>
        <v>-</v>
      </c>
      <c r="P21" s="426" t="str">
        <f>VLOOKUP($B21,'[1]Synthese-VTR-aigues'!$B$3:$Z$34,23,FALSE)</f>
        <v>-</v>
      </c>
      <c r="Q21" s="442" t="str">
        <f>VLOOKUP($B21,'[1]Synthese-VTR-aigues'!$B$3:$Z$34,24,FALSE)</f>
        <v>-</v>
      </c>
      <c r="R21" s="426" t="str">
        <f>VLOOKUP($B21,'[1]Synthese-VTR-aigues'!$B$3:$Z$34,25,FALSE)</f>
        <v>-</v>
      </c>
      <c r="T21" s="426">
        <v>0.05</v>
      </c>
      <c r="U21" s="426" t="s">
        <v>442</v>
      </c>
      <c r="V21" s="426">
        <f>10*T21</f>
        <v>0.5</v>
      </c>
      <c r="W21" s="445" t="s">
        <v>443</v>
      </c>
      <c r="X21" s="451">
        <f t="shared" si="0"/>
        <v>0.05</v>
      </c>
      <c r="Y21" s="452">
        <f t="shared" si="1"/>
        <v>0.5</v>
      </c>
      <c r="AA21" s="456">
        <f t="shared" si="2"/>
        <v>0.5</v>
      </c>
      <c r="AB21" s="454">
        <f t="shared" si="3"/>
        <v>5</v>
      </c>
      <c r="AC21" s="450"/>
      <c r="AD21" s="448">
        <f t="shared" si="4"/>
        <v>5</v>
      </c>
      <c r="AE21" s="449">
        <f t="shared" si="5"/>
        <v>50</v>
      </c>
    </row>
    <row r="22" spans="1:31" ht="30">
      <c r="A22" s="425" t="s">
        <v>444</v>
      </c>
      <c r="B22" s="425" t="s">
        <v>445</v>
      </c>
      <c r="C22" s="424"/>
      <c r="D22" s="426">
        <v>0.02</v>
      </c>
      <c r="E22" s="426" t="s">
        <v>446</v>
      </c>
      <c r="F22" s="426" t="s">
        <v>388</v>
      </c>
      <c r="G22" s="426">
        <v>2001</v>
      </c>
      <c r="H22" s="426" t="s">
        <v>35</v>
      </c>
      <c r="I22" s="426" t="s">
        <v>35</v>
      </c>
      <c r="J22" s="426" t="s">
        <v>35</v>
      </c>
      <c r="K22" s="426" t="s">
        <v>35</v>
      </c>
      <c r="L22" s="426" t="s">
        <v>35</v>
      </c>
      <c r="M22" s="426" t="s">
        <v>35</v>
      </c>
      <c r="N22" s="423"/>
      <c r="O22" s="442" t="str">
        <f>VLOOKUP($B22,'[1]Synthese-VTR-aigues'!$B$3:$Z$34,22,FALSE)</f>
        <v>-</v>
      </c>
      <c r="P22" s="426" t="str">
        <f>VLOOKUP($B22,'[1]Synthese-VTR-aigues'!$B$3:$Z$34,23,FALSE)</f>
        <v>-</v>
      </c>
      <c r="Q22" s="442">
        <f>VLOOKUP($B22,'[1]Synthese-VTR-aigues'!$B$3:$Z$34,24,FALSE)</f>
        <v>5.8</v>
      </c>
      <c r="R22" s="426" t="str">
        <f>VLOOKUP($B22,'[1]Synthese-VTR-aigues'!$B$3:$Z$34,25,FALSE)</f>
        <v>OEHHA, 2008 (1h)</v>
      </c>
      <c r="T22" s="426">
        <v>0.02</v>
      </c>
      <c r="U22" s="426" t="s">
        <v>442</v>
      </c>
      <c r="V22" s="426">
        <f>10*T22</f>
        <v>0.2</v>
      </c>
      <c r="W22" s="445" t="s">
        <v>443</v>
      </c>
      <c r="X22" s="451">
        <f t="shared" si="0"/>
        <v>0.02</v>
      </c>
      <c r="Y22" s="452">
        <f t="shared" si="1"/>
        <v>0.2</v>
      </c>
      <c r="AA22" s="456">
        <f t="shared" si="2"/>
        <v>0.2</v>
      </c>
      <c r="AB22" s="454">
        <f t="shared" si="3"/>
        <v>2</v>
      </c>
      <c r="AC22" s="450"/>
      <c r="AD22" s="448">
        <f t="shared" si="4"/>
        <v>2</v>
      </c>
      <c r="AE22" s="449">
        <f t="shared" si="5"/>
        <v>20</v>
      </c>
    </row>
    <row r="23" spans="1:31" ht="30">
      <c r="A23" s="425" t="s">
        <v>447</v>
      </c>
      <c r="B23" s="425" t="s">
        <v>4</v>
      </c>
      <c r="C23" s="424"/>
      <c r="D23" s="426">
        <v>3.0000000000000001E-3</v>
      </c>
      <c r="E23" s="426" t="s">
        <v>448</v>
      </c>
      <c r="F23" s="426" t="s">
        <v>382</v>
      </c>
      <c r="G23" s="426">
        <v>1998</v>
      </c>
      <c r="H23" s="426">
        <v>3.4000000000000002E-2</v>
      </c>
      <c r="I23" s="426" t="s">
        <v>393</v>
      </c>
      <c r="J23" s="426">
        <v>2004</v>
      </c>
      <c r="K23" s="440">
        <f>10^-6/$H23</f>
        <v>2.941176470588235E-5</v>
      </c>
      <c r="L23" s="440">
        <f>10^-5/$H23</f>
        <v>2.9411764705882356E-4</v>
      </c>
      <c r="M23" s="440">
        <f>10^-4/$H23</f>
        <v>2.9411764705882353E-3</v>
      </c>
      <c r="N23" s="441"/>
      <c r="O23" s="442" t="str">
        <f>VLOOKUP($B23,'[1]Synthese-VTR-aigues'!$B$3:$Z$34,22,FALSE)</f>
        <v>-</v>
      </c>
      <c r="P23" s="426" t="str">
        <f>VLOOKUP($B23,'[1]Synthese-VTR-aigues'!$B$3:$Z$34,23,FALSE)</f>
        <v>-</v>
      </c>
      <c r="Q23" s="442" t="str">
        <f>VLOOKUP($B23,'[1]Synthese-VTR-aigues'!$B$3:$Z$34,24,FALSE)</f>
        <v>-</v>
      </c>
      <c r="R23" s="426" t="str">
        <f>VLOOKUP($B23,'[1]Synthese-VTR-aigues'!$B$3:$Z$34,25,FALSE)</f>
        <v>-</v>
      </c>
      <c r="T23" s="426">
        <v>0.01</v>
      </c>
      <c r="U23" s="426" t="s">
        <v>360</v>
      </c>
      <c r="V23" s="426">
        <f>T23*10</f>
        <v>0.1</v>
      </c>
      <c r="W23" s="445" t="s">
        <v>449</v>
      </c>
      <c r="X23" s="446">
        <f t="shared" si="0"/>
        <v>0.01</v>
      </c>
      <c r="Y23" s="462">
        <f t="shared" si="1"/>
        <v>0.1</v>
      </c>
      <c r="AA23" s="456">
        <f t="shared" si="2"/>
        <v>0.1</v>
      </c>
      <c r="AB23" s="454">
        <f t="shared" si="3"/>
        <v>1</v>
      </c>
      <c r="AC23" s="424"/>
      <c r="AD23" s="453">
        <f t="shared" si="4"/>
        <v>1</v>
      </c>
      <c r="AE23" s="454">
        <f t="shared" si="5"/>
        <v>10</v>
      </c>
    </row>
    <row r="24" spans="1:31" ht="30">
      <c r="A24" s="464" t="s">
        <v>450</v>
      </c>
      <c r="B24" s="425" t="s">
        <v>451</v>
      </c>
      <c r="C24" s="424"/>
      <c r="D24" s="426">
        <v>9.7000000000000003E-3</v>
      </c>
      <c r="E24" s="426" t="s">
        <v>452</v>
      </c>
      <c r="F24" s="426" t="s">
        <v>439</v>
      </c>
      <c r="G24" s="426">
        <v>2007</v>
      </c>
      <c r="H24" s="426">
        <v>6.0000000000000001E-3</v>
      </c>
      <c r="I24" s="426" t="s">
        <v>421</v>
      </c>
      <c r="J24" s="426">
        <v>2000</v>
      </c>
      <c r="K24" s="440">
        <f>10^-6/$H24</f>
        <v>1.6666666666666666E-4</v>
      </c>
      <c r="L24" s="440">
        <f>10^-5/$H24</f>
        <v>1.6666666666666668E-3</v>
      </c>
      <c r="M24" s="440">
        <f>10^-4/$H24</f>
        <v>1.6666666666666666E-2</v>
      </c>
      <c r="N24" s="441"/>
      <c r="O24" s="442" t="str">
        <f>VLOOKUP($B24,'[1]Synthese-VTR-aigues'!$B$3:$Z$34,22,FALSE)</f>
        <v>-</v>
      </c>
      <c r="P24" s="426" t="str">
        <f>VLOOKUP($B24,'[1]Synthese-VTR-aigues'!$B$3:$Z$34,23,FALSE)</f>
        <v>-</v>
      </c>
      <c r="Q24" s="442" t="str">
        <f>VLOOKUP($B24,'[1]Synthese-VTR-aigues'!$B$3:$Z$34,24,FALSE)</f>
        <v>-</v>
      </c>
      <c r="R24" s="426" t="str">
        <f>VLOOKUP($B24,'[1]Synthese-VTR-aigues'!$B$3:$Z$34,25,FALSE)</f>
        <v>-</v>
      </c>
      <c r="T24" s="458">
        <v>2E-3</v>
      </c>
      <c r="U24" s="426" t="s">
        <v>453</v>
      </c>
      <c r="V24" s="459">
        <f>T24*10</f>
        <v>0.02</v>
      </c>
      <c r="W24" s="445" t="s">
        <v>453</v>
      </c>
      <c r="X24" s="446">
        <f t="shared" si="0"/>
        <v>2E-3</v>
      </c>
      <c r="Y24" s="462">
        <f t="shared" si="1"/>
        <v>0.02</v>
      </c>
      <c r="AA24" s="446">
        <f t="shared" si="2"/>
        <v>0.02</v>
      </c>
      <c r="AB24" s="447">
        <f t="shared" si="3"/>
        <v>0.2</v>
      </c>
      <c r="AC24" s="424"/>
      <c r="AD24" s="451">
        <f t="shared" si="4"/>
        <v>0.2</v>
      </c>
      <c r="AE24" s="454">
        <f t="shared" si="5"/>
        <v>2</v>
      </c>
    </row>
    <row r="25" spans="1:31" ht="30">
      <c r="A25" s="465"/>
      <c r="B25" s="425" t="s">
        <v>454</v>
      </c>
      <c r="C25" s="424"/>
      <c r="D25" s="426">
        <v>0.26</v>
      </c>
      <c r="E25" s="426" t="s">
        <v>381</v>
      </c>
      <c r="F25" s="426" t="s">
        <v>421</v>
      </c>
      <c r="G25" s="426">
        <v>2000</v>
      </c>
      <c r="H25" s="426" t="s">
        <v>35</v>
      </c>
      <c r="I25" s="426" t="s">
        <v>35</v>
      </c>
      <c r="J25" s="426" t="s">
        <v>35</v>
      </c>
      <c r="K25" s="426" t="s">
        <v>35</v>
      </c>
      <c r="L25" s="426" t="s">
        <v>35</v>
      </c>
      <c r="M25" s="426" t="s">
        <v>35</v>
      </c>
      <c r="N25" s="423"/>
      <c r="O25" s="442" t="str">
        <f>VLOOKUP($B25,'[1]Synthese-VTR-aigues'!$B$3:$Z$34,22,FALSE)</f>
        <v>-</v>
      </c>
      <c r="P25" s="426" t="str">
        <f>VLOOKUP($B25,'[1]Synthese-VTR-aigues'!$B$3:$Z$34,23,FALSE)</f>
        <v>-</v>
      </c>
      <c r="Q25" s="442" t="str">
        <f>VLOOKUP($B25,'[1]Synthese-VTR-aigues'!$B$3:$Z$34,24,FALSE)</f>
        <v>-</v>
      </c>
      <c r="R25" s="426" t="str">
        <f>VLOOKUP($B25,'[1]Synthese-VTR-aigues'!$B$3:$Z$34,25,FALSE)</f>
        <v>-</v>
      </c>
      <c r="T25" s="444">
        <f t="shared" ref="T25:T34" si="6">MIN($D25,$K25)</f>
        <v>0.26</v>
      </c>
      <c r="U25" s="426" t="s">
        <v>422</v>
      </c>
      <c r="V25" s="426">
        <f t="shared" ref="V25:V34" si="7">MIN($Q25,$D25*10,$M25)</f>
        <v>2.6</v>
      </c>
      <c r="W25" s="445" t="s">
        <v>455</v>
      </c>
      <c r="X25" s="456">
        <f t="shared" si="0"/>
        <v>0.26</v>
      </c>
      <c r="Y25" s="454">
        <f t="shared" si="1"/>
        <v>2.6</v>
      </c>
      <c r="AA25" s="453">
        <v>3</v>
      </c>
      <c r="AB25" s="454">
        <v>30</v>
      </c>
      <c r="AC25" s="450"/>
      <c r="AD25" s="448">
        <v>30</v>
      </c>
      <c r="AE25" s="449">
        <v>300</v>
      </c>
    </row>
    <row r="26" spans="1:31" ht="30">
      <c r="A26" s="465"/>
      <c r="B26" s="425" t="s">
        <v>456</v>
      </c>
      <c r="C26" s="424"/>
      <c r="D26" s="426">
        <v>0.2</v>
      </c>
      <c r="E26" s="426" t="s">
        <v>457</v>
      </c>
      <c r="F26" s="426" t="s">
        <v>458</v>
      </c>
      <c r="G26" s="426">
        <v>1999</v>
      </c>
      <c r="H26" s="426" t="s">
        <v>35</v>
      </c>
      <c r="I26" s="426" t="s">
        <v>35</v>
      </c>
      <c r="J26" s="426" t="s">
        <v>35</v>
      </c>
      <c r="K26" s="426" t="s">
        <v>35</v>
      </c>
      <c r="L26" s="426" t="s">
        <v>35</v>
      </c>
      <c r="M26" s="426" t="s">
        <v>35</v>
      </c>
      <c r="N26" s="423"/>
      <c r="O26" s="442" t="str">
        <f>VLOOKUP($B26,'[1]Synthese-VTR-aigues'!$B$3:$Z$34,22,FALSE)</f>
        <v>-</v>
      </c>
      <c r="P26" s="426" t="str">
        <f>VLOOKUP($B26,'[1]Synthese-VTR-aigues'!$B$3:$Z$34,23,FALSE)</f>
        <v>-</v>
      </c>
      <c r="Q26" s="442" t="str">
        <f>VLOOKUP($B26,'[1]Synthese-VTR-aigues'!$B$3:$Z$34,24,FALSE)</f>
        <v>-</v>
      </c>
      <c r="R26" s="426" t="str">
        <f>VLOOKUP($B26,'[1]Synthese-VTR-aigues'!$B$3:$Z$34,25,FALSE)</f>
        <v>-</v>
      </c>
      <c r="T26" s="426">
        <f t="shared" si="6"/>
        <v>0.2</v>
      </c>
      <c r="U26" s="426" t="s">
        <v>459</v>
      </c>
      <c r="V26" s="426">
        <f t="shared" si="7"/>
        <v>2</v>
      </c>
      <c r="W26" s="445" t="s">
        <v>460</v>
      </c>
      <c r="X26" s="456">
        <f t="shared" si="0"/>
        <v>0.2</v>
      </c>
      <c r="Y26" s="454">
        <f t="shared" si="1"/>
        <v>2</v>
      </c>
      <c r="AA26" s="453">
        <f t="shared" si="2"/>
        <v>2</v>
      </c>
      <c r="AB26" s="454">
        <f t="shared" si="3"/>
        <v>20</v>
      </c>
      <c r="AC26" s="450"/>
      <c r="AD26" s="448">
        <f t="shared" si="4"/>
        <v>20</v>
      </c>
      <c r="AE26" s="449">
        <f t="shared" si="5"/>
        <v>200</v>
      </c>
    </row>
    <row r="27" spans="1:31" ht="30">
      <c r="A27" s="465"/>
      <c r="B27" s="425" t="s">
        <v>461</v>
      </c>
      <c r="C27" s="424"/>
      <c r="D27" s="426">
        <v>0.2</v>
      </c>
      <c r="E27" s="426" t="s">
        <v>457</v>
      </c>
      <c r="F27" s="426" t="s">
        <v>458</v>
      </c>
      <c r="G27" s="426">
        <v>1999</v>
      </c>
      <c r="H27" s="426" t="s">
        <v>35</v>
      </c>
      <c r="I27" s="426" t="s">
        <v>35</v>
      </c>
      <c r="J27" s="426" t="s">
        <v>35</v>
      </c>
      <c r="K27" s="426" t="s">
        <v>35</v>
      </c>
      <c r="L27" s="426" t="s">
        <v>35</v>
      </c>
      <c r="M27" s="426" t="s">
        <v>35</v>
      </c>
      <c r="N27" s="423"/>
      <c r="O27" s="442" t="str">
        <f>VLOOKUP($B27,'[1]Synthese-VTR-aigues'!$B$3:$Z$34,22,FALSE)</f>
        <v>-</v>
      </c>
      <c r="P27" s="426" t="str">
        <f>VLOOKUP($B27,'[1]Synthese-VTR-aigues'!$B$3:$Z$34,23,FALSE)</f>
        <v>-</v>
      </c>
      <c r="Q27" s="442" t="str">
        <f>VLOOKUP($B27,'[1]Synthese-VTR-aigues'!$B$3:$Z$34,24,FALSE)</f>
        <v>-</v>
      </c>
      <c r="R27" s="426" t="str">
        <f>VLOOKUP($B27,'[1]Synthese-VTR-aigues'!$B$3:$Z$34,25,FALSE)</f>
        <v>-</v>
      </c>
      <c r="T27" s="426">
        <f t="shared" si="6"/>
        <v>0.2</v>
      </c>
      <c r="U27" s="426" t="s">
        <v>459</v>
      </c>
      <c r="V27" s="426">
        <f t="shared" si="7"/>
        <v>2</v>
      </c>
      <c r="W27" s="445" t="s">
        <v>460</v>
      </c>
      <c r="X27" s="456">
        <f t="shared" si="0"/>
        <v>0.2</v>
      </c>
      <c r="Y27" s="454">
        <f t="shared" si="1"/>
        <v>2</v>
      </c>
      <c r="AA27" s="453">
        <f t="shared" si="2"/>
        <v>2</v>
      </c>
      <c r="AB27" s="454">
        <f t="shared" si="3"/>
        <v>20</v>
      </c>
      <c r="AC27" s="450"/>
      <c r="AD27" s="448">
        <f t="shared" si="4"/>
        <v>20</v>
      </c>
      <c r="AE27" s="449">
        <f t="shared" si="5"/>
        <v>200</v>
      </c>
    </row>
    <row r="28" spans="1:31" ht="30">
      <c r="A28" s="465"/>
      <c r="B28" s="425" t="s">
        <v>462</v>
      </c>
      <c r="C28" s="424"/>
      <c r="D28" s="426">
        <v>0.2</v>
      </c>
      <c r="E28" s="426" t="s">
        <v>457</v>
      </c>
      <c r="F28" s="426" t="s">
        <v>458</v>
      </c>
      <c r="G28" s="426">
        <v>1999</v>
      </c>
      <c r="H28" s="426" t="s">
        <v>35</v>
      </c>
      <c r="I28" s="426" t="s">
        <v>35</v>
      </c>
      <c r="J28" s="426" t="s">
        <v>35</v>
      </c>
      <c r="K28" s="426" t="s">
        <v>35</v>
      </c>
      <c r="L28" s="426" t="s">
        <v>35</v>
      </c>
      <c r="M28" s="426" t="s">
        <v>35</v>
      </c>
      <c r="N28" s="423"/>
      <c r="O28" s="442" t="str">
        <f>VLOOKUP($B28,'[1]Synthese-VTR-aigues'!$B$3:$Z$34,22,FALSE)</f>
        <v>-</v>
      </c>
      <c r="P28" s="426" t="str">
        <f>VLOOKUP($B28,'[1]Synthese-VTR-aigues'!$B$3:$Z$34,23,FALSE)</f>
        <v>-</v>
      </c>
      <c r="Q28" s="442" t="str">
        <f>VLOOKUP($B28,'[1]Synthese-VTR-aigues'!$B$3:$Z$34,24,FALSE)</f>
        <v>-</v>
      </c>
      <c r="R28" s="426" t="str">
        <f>VLOOKUP($B28,'[1]Synthese-VTR-aigues'!$B$3:$Z$34,25,FALSE)</f>
        <v>-</v>
      </c>
      <c r="T28" s="426">
        <f t="shared" si="6"/>
        <v>0.2</v>
      </c>
      <c r="U28" s="426" t="s">
        <v>459</v>
      </c>
      <c r="V28" s="426">
        <f t="shared" si="7"/>
        <v>2</v>
      </c>
      <c r="W28" s="445" t="s">
        <v>460</v>
      </c>
      <c r="X28" s="456">
        <f t="shared" si="0"/>
        <v>0.2</v>
      </c>
      <c r="Y28" s="454">
        <f t="shared" si="1"/>
        <v>2</v>
      </c>
      <c r="AA28" s="453">
        <f t="shared" si="2"/>
        <v>2</v>
      </c>
      <c r="AB28" s="454">
        <f t="shared" si="3"/>
        <v>20</v>
      </c>
      <c r="AC28" s="450"/>
      <c r="AD28" s="448">
        <f t="shared" si="4"/>
        <v>20</v>
      </c>
      <c r="AE28" s="449">
        <f t="shared" si="5"/>
        <v>200</v>
      </c>
    </row>
    <row r="29" spans="1:31" ht="30">
      <c r="A29" s="465"/>
      <c r="B29" s="425" t="s">
        <v>463</v>
      </c>
      <c r="C29" s="424"/>
      <c r="D29" s="426">
        <v>18.399999999999999</v>
      </c>
      <c r="E29" s="426" t="s">
        <v>464</v>
      </c>
      <c r="F29" s="426" t="s">
        <v>458</v>
      </c>
      <c r="G29" s="426">
        <v>1999</v>
      </c>
      <c r="H29" s="426" t="s">
        <v>35</v>
      </c>
      <c r="I29" s="426" t="s">
        <v>35</v>
      </c>
      <c r="J29" s="426" t="s">
        <v>35</v>
      </c>
      <c r="K29" s="426" t="s">
        <v>35</v>
      </c>
      <c r="L29" s="426" t="s">
        <v>35</v>
      </c>
      <c r="M29" s="426" t="s">
        <v>35</v>
      </c>
      <c r="N29" s="423"/>
      <c r="O29" s="442" t="str">
        <f>VLOOKUP($B29,'[1]Synthese-VTR-aigues'!$B$3:$Z$34,22,FALSE)</f>
        <v>-</v>
      </c>
      <c r="P29" s="426" t="str">
        <f>VLOOKUP($B29,'[1]Synthese-VTR-aigues'!$B$3:$Z$34,23,FALSE)</f>
        <v>-</v>
      </c>
      <c r="Q29" s="442" t="str">
        <f>VLOOKUP($B29,'[1]Synthese-VTR-aigues'!$B$3:$Z$34,24,FALSE)</f>
        <v>-</v>
      </c>
      <c r="R29" s="426" t="str">
        <f>VLOOKUP($B29,'[1]Synthese-VTR-aigues'!$B$3:$Z$34,25,FALSE)</f>
        <v>-</v>
      </c>
      <c r="T29" s="426">
        <f t="shared" si="6"/>
        <v>18.399999999999999</v>
      </c>
      <c r="U29" s="426" t="s">
        <v>459</v>
      </c>
      <c r="V29" s="426">
        <f t="shared" si="7"/>
        <v>184</v>
      </c>
      <c r="W29" s="445" t="s">
        <v>460</v>
      </c>
      <c r="X29" s="453">
        <f t="shared" si="0"/>
        <v>18.399999999999999</v>
      </c>
      <c r="Y29" s="454">
        <f t="shared" si="1"/>
        <v>184</v>
      </c>
      <c r="AA29" s="453">
        <f t="shared" si="2"/>
        <v>184</v>
      </c>
      <c r="AB29" s="454">
        <f t="shared" si="3"/>
        <v>1840</v>
      </c>
      <c r="AC29" s="450"/>
      <c r="AD29" s="448">
        <f t="shared" si="4"/>
        <v>1839.9999999999998</v>
      </c>
      <c r="AE29" s="449">
        <f t="shared" si="5"/>
        <v>18400</v>
      </c>
    </row>
    <row r="30" spans="1:31" ht="30">
      <c r="A30" s="465"/>
      <c r="B30" s="425" t="s">
        <v>465</v>
      </c>
      <c r="C30" s="424"/>
      <c r="D30" s="426">
        <v>18.399999999999999</v>
      </c>
      <c r="E30" s="426" t="s">
        <v>464</v>
      </c>
      <c r="F30" s="426" t="s">
        <v>458</v>
      </c>
      <c r="G30" s="426">
        <v>1999</v>
      </c>
      <c r="H30" s="426" t="s">
        <v>35</v>
      </c>
      <c r="I30" s="426" t="s">
        <v>35</v>
      </c>
      <c r="J30" s="426" t="s">
        <v>35</v>
      </c>
      <c r="K30" s="426" t="s">
        <v>35</v>
      </c>
      <c r="L30" s="426" t="s">
        <v>35</v>
      </c>
      <c r="M30" s="426" t="s">
        <v>35</v>
      </c>
      <c r="N30" s="423"/>
      <c r="O30" s="442" t="str">
        <f>VLOOKUP($B30,'[1]Synthese-VTR-aigues'!$B$3:$Z$34,22,FALSE)</f>
        <v>-</v>
      </c>
      <c r="P30" s="426" t="str">
        <f>VLOOKUP($B30,'[1]Synthese-VTR-aigues'!$B$3:$Z$34,23,FALSE)</f>
        <v>-</v>
      </c>
      <c r="Q30" s="442" t="str">
        <f>VLOOKUP($B30,'[1]Synthese-VTR-aigues'!$B$3:$Z$34,24,FALSE)</f>
        <v>-</v>
      </c>
      <c r="R30" s="426" t="str">
        <f>VLOOKUP($B30,'[1]Synthese-VTR-aigues'!$B$3:$Z$34,25,FALSE)</f>
        <v>-</v>
      </c>
      <c r="T30" s="426">
        <f t="shared" si="6"/>
        <v>18.399999999999999</v>
      </c>
      <c r="U30" s="426" t="s">
        <v>459</v>
      </c>
      <c r="V30" s="426">
        <f t="shared" si="7"/>
        <v>184</v>
      </c>
      <c r="W30" s="445" t="s">
        <v>460</v>
      </c>
      <c r="X30" s="453">
        <f t="shared" si="0"/>
        <v>18.399999999999999</v>
      </c>
      <c r="Y30" s="454">
        <f t="shared" si="1"/>
        <v>184</v>
      </c>
      <c r="AA30" s="453">
        <f t="shared" si="2"/>
        <v>184</v>
      </c>
      <c r="AB30" s="454">
        <f t="shared" si="3"/>
        <v>1840</v>
      </c>
      <c r="AC30" s="424"/>
      <c r="AD30" s="448">
        <f t="shared" si="4"/>
        <v>1839.9999999999998</v>
      </c>
      <c r="AE30" s="449">
        <f t="shared" si="5"/>
        <v>18400</v>
      </c>
    </row>
    <row r="31" spans="1:31" ht="30">
      <c r="A31" s="465"/>
      <c r="B31" s="425" t="s">
        <v>466</v>
      </c>
      <c r="C31" s="424"/>
      <c r="D31" s="426">
        <v>1</v>
      </c>
      <c r="E31" s="426" t="s">
        <v>467</v>
      </c>
      <c r="F31" s="426" t="s">
        <v>458</v>
      </c>
      <c r="G31" s="426">
        <v>1999</v>
      </c>
      <c r="H31" s="426" t="s">
        <v>35</v>
      </c>
      <c r="I31" s="426" t="s">
        <v>35</v>
      </c>
      <c r="J31" s="426" t="s">
        <v>35</v>
      </c>
      <c r="K31" s="426" t="s">
        <v>35</v>
      </c>
      <c r="L31" s="426" t="s">
        <v>35</v>
      </c>
      <c r="M31" s="426" t="s">
        <v>35</v>
      </c>
      <c r="N31" s="423"/>
      <c r="O31" s="442" t="str">
        <f>VLOOKUP($B31,'[1]Synthese-VTR-aigues'!$B$3:$Z$34,22,FALSE)</f>
        <v>-</v>
      </c>
      <c r="P31" s="426" t="str">
        <f>VLOOKUP($B31,'[1]Synthese-VTR-aigues'!$B$3:$Z$34,23,FALSE)</f>
        <v>-</v>
      </c>
      <c r="Q31" s="442" t="str">
        <f>VLOOKUP($B31,'[1]Synthese-VTR-aigues'!$B$3:$Z$34,24,FALSE)</f>
        <v>-</v>
      </c>
      <c r="R31" s="426" t="str">
        <f>VLOOKUP($B31,'[1]Synthese-VTR-aigues'!$B$3:$Z$34,25,FALSE)</f>
        <v>-</v>
      </c>
      <c r="T31" s="426">
        <f t="shared" si="6"/>
        <v>1</v>
      </c>
      <c r="U31" s="426" t="s">
        <v>459</v>
      </c>
      <c r="V31" s="426">
        <f t="shared" si="7"/>
        <v>10</v>
      </c>
      <c r="W31" s="445" t="s">
        <v>460</v>
      </c>
      <c r="X31" s="453">
        <f t="shared" si="0"/>
        <v>1</v>
      </c>
      <c r="Y31" s="454">
        <f t="shared" si="1"/>
        <v>10</v>
      </c>
      <c r="AA31" s="453">
        <f t="shared" si="2"/>
        <v>10</v>
      </c>
      <c r="AB31" s="454">
        <f t="shared" si="3"/>
        <v>100</v>
      </c>
      <c r="AC31" s="424"/>
      <c r="AD31" s="448">
        <f t="shared" si="4"/>
        <v>100</v>
      </c>
      <c r="AE31" s="449">
        <f t="shared" si="5"/>
        <v>1000</v>
      </c>
    </row>
    <row r="32" spans="1:31" ht="30">
      <c r="A32" s="465"/>
      <c r="B32" s="425" t="s">
        <v>468</v>
      </c>
      <c r="C32" s="424"/>
      <c r="D32" s="426">
        <v>1</v>
      </c>
      <c r="E32" s="426" t="s">
        <v>467</v>
      </c>
      <c r="F32" s="426" t="s">
        <v>458</v>
      </c>
      <c r="G32" s="426">
        <v>1999</v>
      </c>
      <c r="H32" s="426" t="s">
        <v>35</v>
      </c>
      <c r="I32" s="426" t="s">
        <v>35</v>
      </c>
      <c r="J32" s="426" t="s">
        <v>35</v>
      </c>
      <c r="K32" s="426" t="s">
        <v>35</v>
      </c>
      <c r="L32" s="426" t="s">
        <v>35</v>
      </c>
      <c r="M32" s="426" t="s">
        <v>35</v>
      </c>
      <c r="N32" s="423"/>
      <c r="O32" s="442" t="str">
        <f>VLOOKUP($B32,'[1]Synthese-VTR-aigues'!$B$3:$Z$34,22,FALSE)</f>
        <v>-</v>
      </c>
      <c r="P32" s="426" t="str">
        <f>VLOOKUP($B32,'[1]Synthese-VTR-aigues'!$B$3:$Z$34,23,FALSE)</f>
        <v>-</v>
      </c>
      <c r="Q32" s="442" t="str">
        <f>VLOOKUP($B32,'[1]Synthese-VTR-aigues'!$B$3:$Z$34,24,FALSE)</f>
        <v>-</v>
      </c>
      <c r="R32" s="426" t="str">
        <f>VLOOKUP($B32,'[1]Synthese-VTR-aigues'!$B$3:$Z$34,25,FALSE)</f>
        <v>-</v>
      </c>
      <c r="T32" s="426">
        <f t="shared" si="6"/>
        <v>1</v>
      </c>
      <c r="U32" s="426" t="s">
        <v>459</v>
      </c>
      <c r="V32" s="426">
        <f t="shared" si="7"/>
        <v>10</v>
      </c>
      <c r="W32" s="445" t="s">
        <v>460</v>
      </c>
      <c r="X32" s="453">
        <f t="shared" si="0"/>
        <v>1</v>
      </c>
      <c r="Y32" s="454">
        <f t="shared" si="1"/>
        <v>10</v>
      </c>
      <c r="AA32" s="453">
        <f t="shared" si="2"/>
        <v>10</v>
      </c>
      <c r="AB32" s="454">
        <f t="shared" si="3"/>
        <v>100</v>
      </c>
      <c r="AC32" s="424"/>
      <c r="AD32" s="448">
        <f t="shared" si="4"/>
        <v>100</v>
      </c>
      <c r="AE32" s="449">
        <f t="shared" si="5"/>
        <v>1000</v>
      </c>
    </row>
    <row r="33" spans="1:31" ht="30">
      <c r="A33" s="466"/>
      <c r="B33" s="425" t="s">
        <v>469</v>
      </c>
      <c r="C33" s="424"/>
      <c r="D33" s="426">
        <v>1</v>
      </c>
      <c r="E33" s="426" t="s">
        <v>467</v>
      </c>
      <c r="F33" s="426" t="s">
        <v>458</v>
      </c>
      <c r="G33" s="426">
        <v>1999</v>
      </c>
      <c r="H33" s="426" t="s">
        <v>35</v>
      </c>
      <c r="I33" s="426" t="s">
        <v>35</v>
      </c>
      <c r="J33" s="426" t="s">
        <v>35</v>
      </c>
      <c r="K33" s="426" t="s">
        <v>35</v>
      </c>
      <c r="L33" s="426" t="s">
        <v>35</v>
      </c>
      <c r="M33" s="426" t="s">
        <v>35</v>
      </c>
      <c r="N33" s="423"/>
      <c r="O33" s="442" t="str">
        <f>VLOOKUP($B33,'[1]Synthese-VTR-aigues'!$B$3:$Z$34,22,FALSE)</f>
        <v>-</v>
      </c>
      <c r="P33" s="426" t="str">
        <f>VLOOKUP($B33,'[1]Synthese-VTR-aigues'!$B$3:$Z$34,23,FALSE)</f>
        <v>-</v>
      </c>
      <c r="Q33" s="442" t="str">
        <f>VLOOKUP($B33,'[1]Synthese-VTR-aigues'!$B$3:$Z$34,24,FALSE)</f>
        <v>-</v>
      </c>
      <c r="R33" s="426" t="str">
        <f>VLOOKUP($B33,'[1]Synthese-VTR-aigues'!$B$3:$Z$34,25,FALSE)</f>
        <v>-</v>
      </c>
      <c r="T33" s="426">
        <f t="shared" si="6"/>
        <v>1</v>
      </c>
      <c r="U33" s="426" t="s">
        <v>459</v>
      </c>
      <c r="V33" s="426">
        <f t="shared" si="7"/>
        <v>10</v>
      </c>
      <c r="W33" s="445" t="s">
        <v>460</v>
      </c>
      <c r="X33" s="453">
        <f t="shared" si="0"/>
        <v>1</v>
      </c>
      <c r="Y33" s="454">
        <f t="shared" si="1"/>
        <v>10</v>
      </c>
      <c r="AA33" s="453">
        <f t="shared" si="2"/>
        <v>10</v>
      </c>
      <c r="AB33" s="454">
        <f t="shared" si="3"/>
        <v>100</v>
      </c>
      <c r="AC33" s="424"/>
      <c r="AD33" s="448">
        <f t="shared" si="4"/>
        <v>100</v>
      </c>
      <c r="AE33" s="449">
        <f t="shared" si="5"/>
        <v>1000</v>
      </c>
    </row>
    <row r="34" spans="1:31" ht="30.75" thickBot="1">
      <c r="A34" s="425" t="s">
        <v>470</v>
      </c>
      <c r="B34" s="425" t="s">
        <v>471</v>
      </c>
      <c r="C34" s="424"/>
      <c r="D34" s="442">
        <v>3.0000000000000001E-5</v>
      </c>
      <c r="E34" s="426" t="s">
        <v>392</v>
      </c>
      <c r="F34" s="426" t="s">
        <v>393</v>
      </c>
      <c r="G34" s="426">
        <v>2008</v>
      </c>
      <c r="H34" s="426" t="s">
        <v>35</v>
      </c>
      <c r="I34" s="426" t="s">
        <v>35</v>
      </c>
      <c r="J34" s="426" t="s">
        <v>35</v>
      </c>
      <c r="K34" s="426" t="s">
        <v>35</v>
      </c>
      <c r="L34" s="426" t="s">
        <v>35</v>
      </c>
      <c r="M34" s="426" t="s">
        <v>35</v>
      </c>
      <c r="N34" s="423"/>
      <c r="O34" s="442" t="str">
        <f>VLOOKUP($B34,'[1]Synthese-VTR-aigues'!$B$3:$Z$34,22,FALSE)</f>
        <v>-</v>
      </c>
      <c r="P34" s="426" t="str">
        <f>VLOOKUP($B34,'[1]Synthese-VTR-aigues'!$B$3:$Z$34,23,FALSE)</f>
        <v>-</v>
      </c>
      <c r="Q34" s="442">
        <f>VLOOKUP($B34,'[1]Synthese-VTR-aigues'!$B$3:$Z$34,24,FALSE)</f>
        <v>6.0000000000000002E-5</v>
      </c>
      <c r="R34" s="426" t="str">
        <f>VLOOKUP($B34,'[1]Synthese-VTR-aigues'!$B$3:$Z$34,25,FALSE)</f>
        <v>OEHHA, 2008 (8h)</v>
      </c>
      <c r="T34" s="442">
        <f t="shared" si="6"/>
        <v>3.0000000000000001E-5</v>
      </c>
      <c r="U34" s="426" t="s">
        <v>472</v>
      </c>
      <c r="V34" s="442">
        <f t="shared" si="7"/>
        <v>6.0000000000000002E-5</v>
      </c>
      <c r="W34" s="445" t="s">
        <v>473</v>
      </c>
      <c r="X34" s="467">
        <f t="shared" si="0"/>
        <v>3.0000000000000001E-5</v>
      </c>
      <c r="Y34" s="468">
        <f t="shared" si="1"/>
        <v>6.0000000000000002E-5</v>
      </c>
      <c r="AA34" s="469">
        <f t="shared" si="2"/>
        <v>3.0000000000000003E-4</v>
      </c>
      <c r="AB34" s="470">
        <f t="shared" si="3"/>
        <v>6.0000000000000006E-4</v>
      </c>
      <c r="AC34" s="424"/>
      <c r="AD34" s="471">
        <f t="shared" si="4"/>
        <v>3.0000000000000001E-3</v>
      </c>
      <c r="AE34" s="472">
        <f t="shared" si="5"/>
        <v>6.0000000000000001E-3</v>
      </c>
    </row>
  </sheetData>
  <mergeCells count="17">
    <mergeCell ref="A6:A14"/>
    <mergeCell ref="A15:A18"/>
    <mergeCell ref="A19:A21"/>
    <mergeCell ref="AA3:AB3"/>
    <mergeCell ref="A3:A5"/>
    <mergeCell ref="B3:B5"/>
    <mergeCell ref="AD3:AE3"/>
    <mergeCell ref="D4:G4"/>
    <mergeCell ref="H4:M4"/>
    <mergeCell ref="O4:P4"/>
    <mergeCell ref="Q4:R4"/>
    <mergeCell ref="T4:U4"/>
    <mergeCell ref="X3:Y3"/>
    <mergeCell ref="V4:W4"/>
    <mergeCell ref="D3:M3"/>
    <mergeCell ref="O3:R3"/>
    <mergeCell ref="T3:W3"/>
  </mergeCells>
  <pageMargins left="0.70866141732283472" right="0.70866141732283472" top="0.74803149606299213" bottom="0.74803149606299213" header="0.31496062992125984" footer="0.31496062992125984"/>
  <pageSetup paperSize="8" scale="58" orientation="portrait" r:id="rId1"/>
  <headerFooter>
    <oddFooter>&amp;C&amp;F   -   &amp;A&amp;R&amp;P/&amp;N</oddFooter>
  </headerFooter>
</worksheet>
</file>

<file path=xl/worksheets/sheet10.xml><?xml version="1.0" encoding="utf-8"?>
<worksheet xmlns="http://schemas.openxmlformats.org/spreadsheetml/2006/main" xmlns:r="http://schemas.openxmlformats.org/officeDocument/2006/relationships">
  <dimension ref="A1:EM2588"/>
  <sheetViews>
    <sheetView topLeftCell="C8" zoomScale="75" zoomScaleNormal="75" workbookViewId="0">
      <pane xSplit="5" ySplit="2" topLeftCell="H10" activePane="bottomRight" state="frozen"/>
      <selection activeCell="C8" sqref="C8"/>
      <selection pane="topRight" activeCell="H8" sqref="H8"/>
      <selection pane="bottomLeft" activeCell="C10" sqref="C10"/>
      <selection pane="bottomRight" activeCell="E116" sqref="E116"/>
    </sheetView>
  </sheetViews>
  <sheetFormatPr baseColWidth="10" defaultRowHeight="12.75"/>
  <cols>
    <col min="1" max="1" width="10.5703125" style="3094" bestFit="1" customWidth="1"/>
    <col min="2" max="2" width="9.7109375" style="3095" customWidth="1"/>
    <col min="3" max="3" width="4.140625" style="3095" hidden="1" customWidth="1"/>
    <col min="4" max="4" width="5.85546875" style="2156" hidden="1" customWidth="1"/>
    <col min="5" max="5" width="41.42578125" style="3025" customWidth="1"/>
    <col min="6" max="6" width="9.5703125" style="525" hidden="1" customWidth="1"/>
    <col min="7" max="7" width="11.42578125" style="526" customWidth="1"/>
    <col min="8" max="8" width="8.42578125" style="3280" hidden="1" customWidth="1"/>
    <col min="9" max="10" width="8.42578125" style="3030" hidden="1" customWidth="1"/>
    <col min="11" max="11" width="8.42578125" style="3280" customWidth="1"/>
    <col min="12" max="12" width="8.42578125" style="3030" customWidth="1"/>
    <col min="13" max="13" width="8.42578125" style="3030" hidden="1" customWidth="1"/>
    <col min="14" max="14" width="8.42578125" style="3030" customWidth="1"/>
    <col min="15" max="15" width="8.42578125" style="3030" hidden="1" customWidth="1"/>
    <col min="16" max="16" width="8.42578125" style="3030" customWidth="1"/>
    <col min="17" max="23" width="8.42578125" style="3030" hidden="1" customWidth="1"/>
    <col min="24" max="27" width="8.42578125" style="3030" customWidth="1"/>
    <col min="28" max="28" width="8.42578125" style="3280" customWidth="1"/>
    <col min="29" max="32" width="8.42578125" style="3030" customWidth="1"/>
    <col min="33" max="33" width="8.42578125" style="3865" customWidth="1"/>
    <col min="34" max="38" width="8.42578125" style="3030" customWidth="1"/>
    <col min="39" max="39" width="8.42578125" style="3041" customWidth="1"/>
    <col min="40" max="55" width="8.42578125" style="3030" customWidth="1"/>
    <col min="56" max="56" width="8.42578125" style="3280" customWidth="1"/>
    <col min="57" max="57" width="8.42578125" style="3030" customWidth="1"/>
    <col min="58" max="58" width="8.42578125" style="3041" customWidth="1"/>
    <col min="59" max="59" width="8.42578125" style="3030" customWidth="1"/>
    <col min="60" max="60" width="9.140625" style="3282" customWidth="1"/>
    <col min="61" max="61" width="8.42578125" style="3030" customWidth="1"/>
    <col min="62" max="123" width="11.42578125" style="2100"/>
    <col min="124" max="132" width="6.7109375" style="2126" customWidth="1"/>
    <col min="133" max="16384" width="11.42578125" style="2126"/>
  </cols>
  <sheetData>
    <row r="1" spans="1:123">
      <c r="E1" s="3696"/>
      <c r="F1" s="2120"/>
      <c r="G1" s="2121"/>
      <c r="H1" s="3098"/>
      <c r="I1" s="3097"/>
      <c r="J1" s="3097"/>
      <c r="K1" s="3098"/>
      <c r="L1" s="3097"/>
      <c r="M1" s="3097"/>
      <c r="N1" s="3097"/>
      <c r="O1" s="3097"/>
      <c r="P1" s="3097"/>
      <c r="Q1" s="3097"/>
      <c r="R1" s="3097"/>
      <c r="S1" s="3097"/>
      <c r="T1" s="3097"/>
      <c r="U1" s="3097"/>
      <c r="V1" s="3097"/>
      <c r="W1" s="3097"/>
      <c r="X1" s="3097"/>
      <c r="Y1" s="3097"/>
      <c r="Z1" s="3097"/>
      <c r="AA1" s="3097"/>
      <c r="AB1" s="3098"/>
      <c r="AC1" s="3097"/>
      <c r="AD1" s="3097"/>
      <c r="AE1" s="3097"/>
      <c r="AF1" s="3097"/>
      <c r="AG1" s="3697"/>
      <c r="AH1" s="3097"/>
      <c r="AI1" s="3097"/>
      <c r="AJ1" s="3097"/>
      <c r="AK1" s="3097"/>
      <c r="AL1" s="3097"/>
      <c r="AM1" s="3099"/>
      <c r="AN1" s="3097"/>
      <c r="AO1" s="3097"/>
      <c r="AP1" s="3097"/>
      <c r="AQ1" s="3097"/>
      <c r="AR1" s="3097"/>
      <c r="AS1" s="3097"/>
      <c r="AT1" s="3097"/>
      <c r="AU1" s="3097"/>
      <c r="AV1" s="3097"/>
      <c r="AW1" s="3097"/>
      <c r="AX1" s="3097"/>
      <c r="AY1" s="3097"/>
      <c r="AZ1" s="3097"/>
      <c r="BA1" s="3097"/>
      <c r="BB1" s="3097"/>
      <c r="BC1" s="3097"/>
      <c r="BD1" s="3098"/>
      <c r="BE1" s="3097"/>
      <c r="BF1" s="3099"/>
      <c r="BG1" s="3097"/>
      <c r="BH1" s="3099"/>
      <c r="BI1" s="3097"/>
    </row>
    <row r="2" spans="1:123">
      <c r="H2" s="3104"/>
      <c r="I2" s="3103"/>
      <c r="J2" s="3103"/>
      <c r="K2" s="3104"/>
      <c r="L2" s="3103"/>
      <c r="M2" s="3103"/>
      <c r="N2" s="3103"/>
      <c r="O2" s="3103"/>
      <c r="P2" s="3103"/>
      <c r="Q2" s="3103"/>
      <c r="R2" s="3103"/>
      <c r="S2" s="3103"/>
      <c r="T2" s="3103"/>
      <c r="U2" s="3103"/>
      <c r="V2" s="3103"/>
      <c r="W2" s="3103"/>
      <c r="X2" s="3103"/>
      <c r="Y2" s="3103"/>
      <c r="Z2" s="3103"/>
      <c r="AA2" s="3103"/>
      <c r="AB2" s="3104"/>
      <c r="AC2" s="3103"/>
      <c r="AD2" s="3103"/>
      <c r="AE2" s="3103"/>
      <c r="AF2" s="3103"/>
      <c r="AG2" s="3698"/>
      <c r="AH2" s="3103"/>
      <c r="AI2" s="3103"/>
      <c r="AJ2" s="3103"/>
      <c r="AK2" s="3103"/>
      <c r="AL2" s="3103"/>
      <c r="AM2" s="3105"/>
      <c r="AN2" s="3103"/>
      <c r="AO2" s="3103"/>
      <c r="AP2" s="3103"/>
      <c r="AQ2" s="3103"/>
      <c r="AR2" s="3103"/>
      <c r="AS2" s="3103"/>
      <c r="AT2" s="3103"/>
      <c r="AU2" s="3103"/>
      <c r="AV2" s="3103"/>
      <c r="AW2" s="3103"/>
      <c r="AX2" s="3103"/>
      <c r="AY2" s="3103"/>
      <c r="AZ2" s="3103"/>
      <c r="BA2" s="3103"/>
      <c r="BB2" s="3103"/>
      <c r="BC2" s="3103"/>
      <c r="BD2" s="3104"/>
      <c r="BE2" s="3103"/>
      <c r="BF2" s="3105"/>
      <c r="BG2" s="3103"/>
      <c r="BH2" s="3105"/>
      <c r="BI2" s="3103"/>
    </row>
    <row r="3" spans="1:123">
      <c r="H3" s="3104"/>
      <c r="I3" s="3103"/>
      <c r="J3" s="3103"/>
      <c r="K3" s="3104"/>
      <c r="L3" s="3103"/>
      <c r="M3" s="3103"/>
      <c r="N3" s="3103"/>
      <c r="O3" s="3103"/>
      <c r="P3" s="3103"/>
      <c r="Q3" s="3103"/>
      <c r="R3" s="3103"/>
      <c r="S3" s="3103"/>
      <c r="T3" s="3103"/>
      <c r="U3" s="3103"/>
      <c r="V3" s="3103"/>
      <c r="W3" s="3103"/>
      <c r="X3" s="3103"/>
      <c r="Y3" s="3103"/>
      <c r="Z3" s="3103"/>
      <c r="AA3" s="3103"/>
      <c r="AB3" s="3104"/>
      <c r="AC3" s="3103"/>
      <c r="AD3" s="3103"/>
      <c r="AE3" s="3103"/>
      <c r="AF3" s="3103"/>
      <c r="AG3" s="3698"/>
      <c r="AH3" s="3103"/>
      <c r="AI3" s="3103"/>
      <c r="AJ3" s="3103"/>
      <c r="AK3" s="3103"/>
      <c r="AL3" s="3103"/>
      <c r="AM3" s="3105"/>
      <c r="AN3" s="3103"/>
      <c r="AO3" s="3103"/>
      <c r="AP3" s="3103"/>
      <c r="AQ3" s="3103"/>
      <c r="AR3" s="3103"/>
      <c r="AS3" s="3103"/>
      <c r="AT3" s="3103"/>
      <c r="AU3" s="3103"/>
      <c r="AV3" s="3103"/>
      <c r="AW3" s="3103"/>
      <c r="AX3" s="3103"/>
      <c r="AY3" s="3103"/>
      <c r="AZ3" s="3103"/>
      <c r="BA3" s="3103"/>
      <c r="BB3" s="3103"/>
      <c r="BC3" s="3103"/>
      <c r="BD3" s="3104"/>
      <c r="BE3" s="3103"/>
      <c r="BF3" s="3105"/>
      <c r="BG3" s="3103"/>
      <c r="BH3" s="3105"/>
      <c r="BI3" s="3103"/>
    </row>
    <row r="4" spans="1:123">
      <c r="H4" s="3104"/>
      <c r="I4" s="3103"/>
      <c r="J4" s="3103"/>
      <c r="K4" s="3104"/>
      <c r="L4" s="3103"/>
      <c r="M4" s="3103"/>
      <c r="N4" s="3103"/>
      <c r="O4" s="3103"/>
      <c r="P4" s="3103"/>
      <c r="Q4" s="3103"/>
      <c r="R4" s="3103"/>
      <c r="S4" s="3103"/>
      <c r="T4" s="3103"/>
      <c r="U4" s="3103"/>
      <c r="V4" s="3103"/>
      <c r="W4" s="3103"/>
      <c r="X4" s="3103"/>
      <c r="Y4" s="3103"/>
      <c r="Z4" s="3103"/>
      <c r="AA4" s="3103"/>
      <c r="AB4" s="3104"/>
      <c r="AC4" s="3103"/>
      <c r="AD4" s="3103"/>
      <c r="AE4" s="3103"/>
      <c r="AF4" s="3103"/>
      <c r="AG4" s="3698"/>
      <c r="AH4" s="3103"/>
      <c r="AI4" s="3103"/>
      <c r="AJ4" s="3103"/>
      <c r="AK4" s="3103"/>
      <c r="AL4" s="3103"/>
      <c r="AM4" s="3105"/>
      <c r="AN4" s="3103"/>
      <c r="AO4" s="3103"/>
      <c r="AP4" s="3103"/>
      <c r="AQ4" s="3103"/>
      <c r="AR4" s="3103"/>
      <c r="AS4" s="3103"/>
      <c r="AT4" s="3103"/>
      <c r="AU4" s="3103"/>
      <c r="AV4" s="3103"/>
      <c r="AW4" s="3103"/>
      <c r="AX4" s="3103"/>
      <c r="AY4" s="3103"/>
      <c r="AZ4" s="3103"/>
      <c r="BA4" s="3103"/>
      <c r="BB4" s="3103"/>
      <c r="BC4" s="3103"/>
      <c r="BD4" s="3104"/>
      <c r="BE4" s="3103"/>
      <c r="BF4" s="3105"/>
      <c r="BG4" s="3103"/>
      <c r="BH4" s="3105"/>
      <c r="BI4" s="3103"/>
    </row>
    <row r="5" spans="1:123" ht="26.25">
      <c r="G5" s="2130"/>
      <c r="H5" s="3108"/>
      <c r="I5" s="3107"/>
      <c r="J5" s="3107"/>
      <c r="K5" s="3108"/>
      <c r="L5" s="3107"/>
      <c r="M5" s="3107"/>
      <c r="N5" s="3107"/>
      <c r="O5" s="3107"/>
      <c r="P5" s="3107"/>
      <c r="Q5" s="3107"/>
      <c r="R5" s="3107"/>
      <c r="S5" s="3107"/>
      <c r="T5" s="3107"/>
      <c r="U5" s="3107"/>
      <c r="V5" s="3107"/>
      <c r="W5" s="3107"/>
      <c r="X5" s="3107"/>
      <c r="Y5" s="3107"/>
      <c r="Z5" s="3107"/>
      <c r="AA5" s="3107"/>
      <c r="AB5" s="3108"/>
      <c r="AC5" s="3107"/>
      <c r="AD5" s="3107"/>
      <c r="AE5" s="3107"/>
      <c r="AF5" s="3107"/>
      <c r="AG5" s="3699"/>
      <c r="AH5" s="3107"/>
      <c r="AI5" s="3107"/>
      <c r="AJ5" s="3107"/>
      <c r="AK5" s="3107"/>
      <c r="AL5" s="3107"/>
      <c r="AM5" s="3034"/>
      <c r="AN5" s="3107"/>
      <c r="AO5" s="3107"/>
      <c r="AP5" s="3107"/>
      <c r="AQ5" s="3107"/>
      <c r="AR5" s="3107"/>
      <c r="AS5" s="3107"/>
      <c r="AT5" s="3107"/>
      <c r="AU5" s="3107"/>
      <c r="AV5" s="3107"/>
      <c r="AW5" s="3107"/>
      <c r="AX5" s="3107"/>
      <c r="AY5" s="3107"/>
      <c r="AZ5" s="3107"/>
      <c r="BA5" s="3107"/>
      <c r="BB5" s="3107"/>
      <c r="BC5" s="3107"/>
      <c r="BD5" s="3108"/>
      <c r="BE5" s="3107"/>
      <c r="BF5" s="3034"/>
      <c r="BG5" s="3107"/>
      <c r="BH5" s="3110"/>
      <c r="BI5" s="3107"/>
    </row>
    <row r="6" spans="1:123" ht="13.5" thickBot="1">
      <c r="H6" s="3108"/>
      <c r="I6" s="3107"/>
      <c r="J6" s="3107"/>
      <c r="K6" s="3108"/>
      <c r="L6" s="3107"/>
      <c r="M6" s="3107"/>
      <c r="N6" s="3107"/>
      <c r="O6" s="3107"/>
      <c r="P6" s="3107"/>
      <c r="Q6" s="3107"/>
      <c r="R6" s="3107"/>
      <c r="S6" s="3107"/>
      <c r="T6" s="3107"/>
      <c r="U6" s="3107"/>
      <c r="V6" s="3107"/>
      <c r="W6" s="3107"/>
      <c r="X6" s="3107"/>
      <c r="Y6" s="3107"/>
      <c r="Z6" s="3107"/>
      <c r="AA6" s="3107"/>
      <c r="AB6" s="3108"/>
      <c r="AC6" s="3107"/>
      <c r="AD6" s="3107"/>
      <c r="AE6" s="3107"/>
      <c r="AF6" s="3107"/>
      <c r="AG6" s="3699"/>
      <c r="AH6" s="3107"/>
      <c r="AI6" s="3107"/>
      <c r="AJ6" s="3107"/>
      <c r="AK6" s="3107"/>
      <c r="AL6" s="3107"/>
      <c r="AM6" s="3034"/>
      <c r="AN6" s="3107"/>
      <c r="AO6" s="3107"/>
      <c r="AP6" s="3107"/>
      <c r="AQ6" s="3107"/>
      <c r="AR6" s="3107"/>
      <c r="AS6" s="3107"/>
      <c r="AT6" s="3107"/>
      <c r="AU6" s="3107"/>
      <c r="AV6" s="3107"/>
      <c r="AW6" s="3107"/>
      <c r="AX6" s="3107"/>
      <c r="AY6" s="3107"/>
      <c r="AZ6" s="3107"/>
      <c r="BA6" s="3107"/>
      <c r="BB6" s="3107"/>
      <c r="BC6" s="3107"/>
      <c r="BD6" s="3108"/>
      <c r="BE6" s="3107"/>
      <c r="BF6" s="3034"/>
      <c r="BG6" s="3107"/>
      <c r="BH6" s="3110"/>
      <c r="BI6" s="3107"/>
    </row>
    <row r="7" spans="1:123" ht="13.5" thickBot="1">
      <c r="E7" s="3696"/>
      <c r="F7" s="2120"/>
      <c r="G7" s="2121"/>
      <c r="H7" s="3108"/>
      <c r="I7" s="3107"/>
      <c r="J7" s="3107"/>
      <c r="K7" s="3108"/>
      <c r="L7" s="3107"/>
      <c r="M7" s="3107"/>
      <c r="N7" s="3107"/>
      <c r="O7" s="3107"/>
      <c r="P7" s="3107"/>
      <c r="Q7" s="3107"/>
      <c r="R7" s="3107"/>
      <c r="S7" s="3107"/>
      <c r="T7" s="3107"/>
      <c r="U7" s="3107"/>
      <c r="V7" s="3107"/>
      <c r="W7" s="3107"/>
      <c r="X7" s="3107"/>
      <c r="Y7" s="3107"/>
      <c r="Z7" s="3107"/>
      <c r="AA7" s="3107"/>
      <c r="AB7" s="3108"/>
      <c r="AC7" s="3107"/>
      <c r="AD7" s="3107"/>
      <c r="AE7" s="3107"/>
      <c r="AF7" s="3107"/>
      <c r="AG7" s="3699"/>
      <c r="AH7" s="3107"/>
      <c r="AI7" s="3107"/>
      <c r="AJ7" s="3107"/>
      <c r="AK7" s="3107"/>
      <c r="AL7" s="3107"/>
      <c r="AM7" s="3034"/>
      <c r="AN7" s="3107"/>
      <c r="AO7" s="3107"/>
      <c r="AP7" s="3107"/>
      <c r="AQ7" s="3107"/>
      <c r="AR7" s="3107"/>
      <c r="AS7" s="3107"/>
      <c r="AT7" s="3107"/>
      <c r="AU7" s="3107"/>
      <c r="AV7" s="3107"/>
      <c r="AW7" s="3107"/>
      <c r="AX7" s="3107"/>
      <c r="AY7" s="3107"/>
      <c r="AZ7" s="3107"/>
      <c r="BA7" s="3107"/>
      <c r="BB7" s="3107"/>
      <c r="BC7" s="3107"/>
      <c r="BD7" s="3108"/>
      <c r="BE7" s="3107"/>
      <c r="BF7" s="3034"/>
      <c r="BG7" s="3107"/>
      <c r="BH7" s="3110"/>
      <c r="BI7" s="3107"/>
    </row>
    <row r="8" spans="1:123" ht="13.5" thickBot="1">
      <c r="E8" s="3700"/>
      <c r="F8" s="3297"/>
      <c r="G8" s="3701"/>
      <c r="H8" s="3702"/>
      <c r="I8" s="3703"/>
      <c r="J8" s="3703"/>
      <c r="K8" s="3702"/>
      <c r="L8" s="3703"/>
      <c r="M8" s="3703"/>
      <c r="N8" s="3703"/>
      <c r="O8" s="3703"/>
      <c r="P8" s="3703"/>
      <c r="Q8" s="3703"/>
      <c r="R8" s="3703"/>
      <c r="S8" s="3703"/>
      <c r="T8" s="3703"/>
      <c r="U8" s="3703"/>
      <c r="V8" s="3703"/>
      <c r="W8" s="3703"/>
      <c r="X8" s="3703"/>
      <c r="Y8" s="3703"/>
      <c r="Z8" s="3703"/>
      <c r="AA8" s="3703"/>
      <c r="AB8" s="3702"/>
      <c r="AC8" s="3703"/>
      <c r="AD8" s="3703"/>
      <c r="AE8" s="3703"/>
      <c r="AF8" s="3703"/>
      <c r="AG8" s="3704"/>
      <c r="AH8" s="3703"/>
      <c r="AI8" s="3703"/>
      <c r="AJ8" s="3703"/>
      <c r="AK8" s="3703"/>
      <c r="AL8" s="3703"/>
      <c r="AM8" s="3705"/>
      <c r="AN8" s="3703"/>
      <c r="AO8" s="3703"/>
      <c r="AP8" s="3703"/>
      <c r="AQ8" s="3703"/>
      <c r="AR8" s="3703"/>
      <c r="AS8" s="3703"/>
      <c r="AT8" s="3703"/>
      <c r="AU8" s="3703"/>
      <c r="AV8" s="3703"/>
      <c r="AW8" s="3703"/>
      <c r="AX8" s="3703"/>
      <c r="AY8" s="3703"/>
      <c r="AZ8" s="3703"/>
      <c r="BA8" s="3703"/>
      <c r="BB8" s="3703"/>
      <c r="BC8" s="3703"/>
      <c r="BD8" s="3702"/>
      <c r="BE8" s="3703"/>
      <c r="BF8" s="3705"/>
      <c r="BG8" s="3703"/>
      <c r="BH8" s="3706"/>
      <c r="BI8" s="3703"/>
    </row>
    <row r="9" spans="1:123" s="3118" customFormat="1" ht="51.75" customHeight="1" thickBot="1">
      <c r="A9" s="3111"/>
      <c r="B9" s="3112"/>
      <c r="C9" s="3113"/>
      <c r="D9" s="3114"/>
      <c r="E9" s="3707"/>
      <c r="F9" s="3115" t="str">
        <f>'Du K'!F2</f>
        <v>Symbole</v>
      </c>
      <c r="G9" s="3116" t="str">
        <f>'Du K'!G2</f>
        <v>Unité</v>
      </c>
      <c r="H9" s="350" t="str">
        <f>'Du K'!H2</f>
        <v>butanol</v>
      </c>
      <c r="I9" s="350" t="str">
        <f>'Du K'!I2</f>
        <v>butanol</v>
      </c>
      <c r="J9" s="350" t="str">
        <f>'Du K'!J2</f>
        <v>MEK</v>
      </c>
      <c r="K9" s="404" t="str">
        <f>'Du K'!K2</f>
        <v>CV</v>
      </c>
      <c r="L9" s="350" t="str">
        <f>'Du K'!L2</f>
        <v>cis-DCE</v>
      </c>
      <c r="M9" s="350" t="str">
        <f>'Du K'!M2</f>
        <v>cis-DCE</v>
      </c>
      <c r="N9" s="350" t="str">
        <f>'Du K'!N2</f>
        <v>TCE</v>
      </c>
      <c r="O9" s="350" t="str">
        <f>'Du K'!O2</f>
        <v>TCE</v>
      </c>
      <c r="P9" s="350" t="str">
        <f>'Du K'!P2</f>
        <v>PCE</v>
      </c>
      <c r="Q9" s="350" t="str">
        <f>'Du K'!Q2</f>
        <v>PCE</v>
      </c>
      <c r="R9" s="350" t="str">
        <f>'Du K'!R2</f>
        <v>DCMA</v>
      </c>
      <c r="S9" s="350" t="str">
        <f>'Du K'!S2</f>
        <v>chloroforme</v>
      </c>
      <c r="T9" s="350" t="str">
        <f>'Du K'!T2</f>
        <v>chloroforme</v>
      </c>
      <c r="U9" s="350" t="str">
        <f>'Du K'!U2</f>
        <v>PCMA</v>
      </c>
      <c r="V9" s="350" t="str">
        <f>'Du K'!V2</f>
        <v>1,1,1-TCA</v>
      </c>
      <c r="W9" s="350" t="str">
        <f>'Du K'!W2</f>
        <v>1,1,1-TCA</v>
      </c>
      <c r="X9" s="404" t="str">
        <f>'Du K'!X2</f>
        <v>B</v>
      </c>
      <c r="Y9" s="350" t="str">
        <f>'Du K'!Y2</f>
        <v>T</v>
      </c>
      <c r="Z9" s="350" t="str">
        <f>'Du K'!Z2</f>
        <v>E</v>
      </c>
      <c r="AA9" s="396" t="str">
        <f>'Du K'!AA2</f>
        <v>X</v>
      </c>
      <c r="AB9" s="404" t="str">
        <f>'Du K'!AB2</f>
        <v>Ar 
&gt;EC8-EC10</v>
      </c>
      <c r="AC9" s="350" t="str">
        <f>'Du K'!AC2</f>
        <v>Ar
&gt;EC10-EC12</v>
      </c>
      <c r="AD9" s="350" t="str">
        <f>'Du K'!AD2</f>
        <v>Ar
 &gt;EC12 - EC16</v>
      </c>
      <c r="AE9" s="350" t="str">
        <f>'Du K'!AE2</f>
        <v>Ar
 &gt;EC16 - EC21</v>
      </c>
      <c r="AF9" s="350" t="str">
        <f>'Du K'!AF2</f>
        <v>Ar
 &gt;EC21 - EC35</v>
      </c>
      <c r="AG9" s="1576" t="str">
        <f>'Du K'!AG2</f>
        <v>Al 
EC5-EC6</v>
      </c>
      <c r="AH9" s="350" t="str">
        <f>'Du K'!AH2</f>
        <v>Al
&gt;EC6-EC8</v>
      </c>
      <c r="AI9" s="350" t="str">
        <f>'Du K'!AI2</f>
        <v>Al 
&gt;EC8-EC10</v>
      </c>
      <c r="AJ9" s="350" t="str">
        <f>'Du K'!AJ2</f>
        <v>Al &gt;
EC10-EC12</v>
      </c>
      <c r="AK9" s="350" t="str">
        <f>'Du K'!AK2</f>
        <v>Al 
&gt;EC12-EC16</v>
      </c>
      <c r="AL9" s="350" t="str">
        <f>'Du K'!AL2</f>
        <v>Al 
&gt;EC16- EC21</v>
      </c>
      <c r="AM9" s="396" t="str">
        <f>'Du K'!AM2</f>
        <v>Al  &gt;EC21</v>
      </c>
      <c r="AN9" s="350" t="str">
        <f>'Du K'!AN2</f>
        <v>Naphtalène</v>
      </c>
      <c r="AO9" s="350" t="str">
        <f>'Du K'!AO2</f>
        <v>Acénaphthylène</v>
      </c>
      <c r="AP9" s="350" t="str">
        <f>'Du K'!AP2</f>
        <v>Acénaphtène</v>
      </c>
      <c r="AQ9" s="350" t="str">
        <f>'Du K'!AQ2</f>
        <v>Fluorène</v>
      </c>
      <c r="AR9" s="350" t="str">
        <f>'Du K'!AR2</f>
        <v>Phénanthrène</v>
      </c>
      <c r="AS9" s="350" t="str">
        <f>'Du K'!AS2</f>
        <v>Anthracène</v>
      </c>
      <c r="AT9" s="350" t="str">
        <f>'Du K'!AT2</f>
        <v>Fluoranthène</v>
      </c>
      <c r="AU9" s="350" t="str">
        <f>'Du K'!AU2</f>
        <v>Pyrène</v>
      </c>
      <c r="AV9" s="350" t="str">
        <f>'Du K'!AV2</f>
        <v>BaA</v>
      </c>
      <c r="AW9" s="350" t="str">
        <f>'Du K'!AW2</f>
        <v>Chrysène</v>
      </c>
      <c r="AX9" s="350" t="str">
        <f>'Du K'!AX2</f>
        <v>BbF</v>
      </c>
      <c r="AY9" s="350" t="str">
        <f>'Du K'!AY2</f>
        <v>BkF</v>
      </c>
      <c r="AZ9" s="350" t="str">
        <f>'Du K'!AZ2</f>
        <v>BaP</v>
      </c>
      <c r="BA9" s="350" t="str">
        <f>'Du K'!BA2</f>
        <v>DahA</v>
      </c>
      <c r="BB9" s="350" t="str">
        <f>'Du K'!BB2</f>
        <v>BghP</v>
      </c>
      <c r="BC9" s="350" t="str">
        <f>'Du K'!BC2</f>
        <v>IcdP</v>
      </c>
      <c r="BD9" s="404" t="str">
        <f>'Du K'!BD2</f>
        <v>Phénol</v>
      </c>
      <c r="BE9" s="350" t="str">
        <f>'Du K'!BE2</f>
        <v>PCB (7)</v>
      </c>
      <c r="BF9" s="396" t="str">
        <f>'Du K'!BF2</f>
        <v>PCB-A1254</v>
      </c>
      <c r="BG9" s="350" t="str">
        <f>'Du K'!BG2</f>
        <v>Hg0</v>
      </c>
      <c r="BH9" s="1577" t="str">
        <f>'Du K'!BH2</f>
        <v>CH3HgCl</v>
      </c>
      <c r="BI9" s="350" t="str">
        <f>'Du K'!BI2</f>
        <v>CN/HCN</v>
      </c>
    </row>
    <row r="10" spans="1:123" s="3718" customFormat="1" ht="13.5" hidden="1" thickBot="1">
      <c r="A10" s="3708"/>
      <c r="B10" s="3709"/>
      <c r="C10" s="3710"/>
      <c r="D10" s="3711"/>
      <c r="E10" s="3712" t="str">
        <f>'3phas'!E32</f>
        <v>Seuil pour détection olfactive air du sol</v>
      </c>
      <c r="F10" s="3713" t="str">
        <f>'3phas'!F32</f>
        <v>Cs</v>
      </c>
      <c r="G10" s="3714" t="str">
        <f>'3phas'!G32</f>
        <v>mg/kgms</v>
      </c>
      <c r="H10" s="3715" t="str">
        <f>'3phas'!H32</f>
        <v>nd</v>
      </c>
      <c r="I10" s="3715" t="str">
        <f>'3phas'!I32</f>
        <v>nd</v>
      </c>
      <c r="J10" s="3715" t="str">
        <f>'3phas'!J32</f>
        <v>nd</v>
      </c>
      <c r="K10" s="3716">
        <f>'3phas'!K32</f>
        <v>6.7474391639365076E-3</v>
      </c>
      <c r="L10" s="3715">
        <f>'3phas'!L32</f>
        <v>9.5069987104584891E-2</v>
      </c>
      <c r="M10" s="3715">
        <f>'3phas'!M32</f>
        <v>9.5069987104584891E-2</v>
      </c>
      <c r="N10" s="3715">
        <f>'3phas'!N32</f>
        <v>0.10760591893278754</v>
      </c>
      <c r="O10" s="3715">
        <f>'3phas'!O32</f>
        <v>0.10760591893278754</v>
      </c>
      <c r="P10" s="3715">
        <f>'3phas'!P32</f>
        <v>0.1199562906395495</v>
      </c>
      <c r="Q10" s="3715">
        <f>'3phas'!Q32</f>
        <v>0.1199562906395495</v>
      </c>
      <c r="R10" s="3715">
        <f>'3phas'!R32</f>
        <v>0.14151448202581743</v>
      </c>
      <c r="S10" s="3715">
        <f>'3phas'!S32</f>
        <v>2.0354402069204962E-2</v>
      </c>
      <c r="T10" s="3715">
        <f>'3phas'!T32</f>
        <v>2.0354402069204962E-2</v>
      </c>
      <c r="U10" s="3715">
        <f>'3phas'!U32</f>
        <v>0.22282665960017883</v>
      </c>
      <c r="V10" s="3715">
        <f>'3phas'!V32</f>
        <v>0.12300081894181439</v>
      </c>
      <c r="W10" s="3715">
        <f>'3phas'!W32</f>
        <v>0.12300081894181439</v>
      </c>
      <c r="X10" s="3716">
        <f>'3phas'!X32</f>
        <v>1.754223700777784E-2</v>
      </c>
      <c r="Y10" s="3715">
        <f>'3phas'!Y32</f>
        <v>1.5601159508858542E-2</v>
      </c>
      <c r="Z10" s="3715">
        <f>'3phas'!Z32</f>
        <v>2.7467644250260864E-2</v>
      </c>
      <c r="AA10" s="3256">
        <f>'3phas'!AA32</f>
        <v>1.2461201679065631E-3</v>
      </c>
      <c r="AB10" s="3716">
        <f>'3phas'!AB32</f>
        <v>6.315727857926912E-3</v>
      </c>
      <c r="AC10" s="3715">
        <f>'3phas'!AC32</f>
        <v>8.5154918231512226E-3</v>
      </c>
      <c r="AD10" s="3715">
        <f>'3phas'!AD32</f>
        <v>4.3505584443829494E-2</v>
      </c>
      <c r="AE10" s="3715">
        <f>'3phas'!AE32</f>
        <v>0.34890349802377557</v>
      </c>
      <c r="AF10" s="3715" t="str">
        <f>'3phas'!AF32</f>
        <v>PVL</v>
      </c>
      <c r="AG10" s="3717">
        <f>'3phas'!AG32</f>
        <v>6.29011484708197E-3</v>
      </c>
      <c r="AH10" s="3715">
        <f>'3phas'!AH32</f>
        <v>4.7819012449342634E-2</v>
      </c>
      <c r="AI10" s="3715">
        <f>'3phas'!AI32</f>
        <v>9.5103001942881699E-3</v>
      </c>
      <c r="AJ10" s="3715">
        <f>'3phas'!AJ32</f>
        <v>1.5332408405335814E-2</v>
      </c>
      <c r="AK10" s="3715">
        <f>'3phas'!AK32</f>
        <v>0.37132861944557133</v>
      </c>
      <c r="AL10" s="3715" t="str">
        <f>'3phas'!AL32</f>
        <v>PVL</v>
      </c>
      <c r="AM10" s="3256" t="str">
        <f>'3phas'!AM32</f>
        <v>PVL</v>
      </c>
      <c r="AN10" s="3715">
        <f>'3phas'!AN32</f>
        <v>0.10469744549099785</v>
      </c>
      <c r="AO10" s="3715">
        <f>'3phas'!AO32</f>
        <v>0.38334241569623678</v>
      </c>
      <c r="AP10" s="3715">
        <f>'3phas'!AP32</f>
        <v>0.22914151194741517</v>
      </c>
      <c r="AQ10" s="3715">
        <f>'3phas'!AQ32</f>
        <v>0.56590208573839795</v>
      </c>
      <c r="AR10" s="3715">
        <f>'3phas'!AR32</f>
        <v>2.8264444973650038</v>
      </c>
      <c r="AS10" s="3715" t="str">
        <f>'3phas'!AS32</f>
        <v>PVL</v>
      </c>
      <c r="AT10" s="3715" t="str">
        <f>'3phas'!AT32</f>
        <v>PVL</v>
      </c>
      <c r="AU10" s="3715" t="str">
        <f>'3phas'!AU32</f>
        <v>PVL</v>
      </c>
      <c r="AV10" s="3715" t="str">
        <f>'3phas'!AV32</f>
        <v>PVL</v>
      </c>
      <c r="AW10" s="3715" t="str">
        <f>'3phas'!AW32</f>
        <v>PVL</v>
      </c>
      <c r="AX10" s="3715" t="str">
        <f>'3phas'!AX32</f>
        <v>PVL</v>
      </c>
      <c r="AY10" s="3715" t="str">
        <f>'3phas'!AY32</f>
        <v>PVL</v>
      </c>
      <c r="AZ10" s="3715" t="str">
        <f>'3phas'!AZ32</f>
        <v>PVL</v>
      </c>
      <c r="BA10" s="3715" t="str">
        <f>'3phas'!BA32</f>
        <v>PVL</v>
      </c>
      <c r="BB10" s="3715" t="str">
        <f>'3phas'!BB32</f>
        <v>PVL</v>
      </c>
      <c r="BC10" s="3715" t="str">
        <f>'3phas'!BC32</f>
        <v>PVL</v>
      </c>
      <c r="BD10" s="3716">
        <f>'3phas'!BD32</f>
        <v>1.6724525926359499</v>
      </c>
      <c r="BE10" s="3715" t="str">
        <f>'3phas'!BE32</f>
        <v>nd</v>
      </c>
      <c r="BF10" s="3256" t="str">
        <f>'3phas'!BF32</f>
        <v>nd</v>
      </c>
      <c r="BG10" s="3715" t="str">
        <f>'3phas'!BG32</f>
        <v>nd</v>
      </c>
      <c r="BH10" s="3256" t="str">
        <f>'3phas'!BH32</f>
        <v>nd</v>
      </c>
      <c r="BI10" s="3715" t="str">
        <f>'3phas'!BI32</f>
        <v>nd</v>
      </c>
    </row>
    <row r="11" spans="1:123" s="3166" customFormat="1" ht="13.5" hidden="1" thickBot="1">
      <c r="B11" s="3155"/>
      <c r="C11" s="3066"/>
      <c r="D11" s="3120"/>
      <c r="E11" s="3719" t="s">
        <v>596</v>
      </c>
      <c r="F11" s="3170"/>
      <c r="G11" s="3720"/>
      <c r="H11" s="530"/>
      <c r="I11" s="530"/>
      <c r="J11" s="530"/>
      <c r="K11" s="627"/>
      <c r="L11" s="530"/>
      <c r="M11" s="530"/>
      <c r="N11" s="530"/>
      <c r="O11" s="530"/>
      <c r="P11" s="530"/>
      <c r="Q11" s="530"/>
      <c r="R11" s="530"/>
      <c r="S11" s="530"/>
      <c r="T11" s="530"/>
      <c r="U11" s="530"/>
      <c r="V11" s="530"/>
      <c r="W11" s="530"/>
      <c r="X11" s="627"/>
      <c r="Y11" s="530"/>
      <c r="Z11" s="530"/>
      <c r="AA11" s="628"/>
      <c r="AB11" s="627"/>
      <c r="AC11" s="530"/>
      <c r="AD11" s="530"/>
      <c r="AE11" s="530"/>
      <c r="AF11" s="530"/>
      <c r="AG11" s="829"/>
      <c r="AH11" s="530"/>
      <c r="AI11" s="530"/>
      <c r="AJ11" s="530"/>
      <c r="AK11" s="530"/>
      <c r="AL11" s="530"/>
      <c r="AM11" s="628"/>
      <c r="AN11" s="530"/>
      <c r="AO11" s="530"/>
      <c r="AP11" s="530"/>
      <c r="AQ11" s="530"/>
      <c r="AR11" s="530"/>
      <c r="AS11" s="530"/>
      <c r="AT11" s="530"/>
      <c r="AU11" s="530"/>
      <c r="AV11" s="530"/>
      <c r="AW11" s="530"/>
      <c r="AX11" s="530"/>
      <c r="AY11" s="530"/>
      <c r="AZ11" s="530"/>
      <c r="BA11" s="530"/>
      <c r="BB11" s="530"/>
      <c r="BC11" s="530"/>
      <c r="BD11" s="627"/>
      <c r="BE11" s="530"/>
      <c r="BF11" s="628"/>
      <c r="BG11" s="530"/>
      <c r="BH11" s="629"/>
      <c r="BI11" s="530"/>
    </row>
    <row r="12" spans="1:123" ht="13.5" hidden="1" thickBot="1">
      <c r="A12" s="3241"/>
      <c r="B12" s="2156"/>
      <c r="C12" s="276"/>
      <c r="D12" s="3279"/>
      <c r="E12" s="2592" t="str">
        <f>ExpoRisk!E408</f>
        <v>Teneur limite (effet à seuil)</v>
      </c>
      <c r="F12" s="2153" t="str">
        <f>ExpoRisk!F408</f>
        <v>Cs</v>
      </c>
      <c r="G12" s="2154" t="str">
        <f>ExpoRisk!G408</f>
        <v>mg/kg ms</v>
      </c>
      <c r="H12" s="2155">
        <f>ExpoRisk!H408</f>
        <v>2.6862521347215629</v>
      </c>
      <c r="I12" s="2155">
        <f>ExpoRisk!I408</f>
        <v>2.6862521347215629</v>
      </c>
      <c r="J12" s="2155">
        <f>ExpoRisk!J408</f>
        <v>23.689265099920028</v>
      </c>
      <c r="K12" s="3243">
        <f>ExpoRisk!K408</f>
        <v>3.5778735042735051E-2</v>
      </c>
      <c r="L12" s="2155">
        <f>ExpoRisk!L408</f>
        <v>3.8334358974358967E-2</v>
      </c>
      <c r="M12" s="2155">
        <f>ExpoRisk!M408</f>
        <v>3.8334358974358967E-2</v>
      </c>
      <c r="N12" s="2155">
        <f>ExpoRisk!N408</f>
        <v>0.1277811965811966</v>
      </c>
      <c r="O12" s="2155">
        <f>ExpoRisk!O408</f>
        <v>0.1277811965811966</v>
      </c>
      <c r="P12" s="2155">
        <f>ExpoRisk!P408</f>
        <v>2.2361709401709406E-2</v>
      </c>
      <c r="Q12" s="2155">
        <f>ExpoRisk!Q408</f>
        <v>2.2361709401709406E-2</v>
      </c>
      <c r="R12" s="2155">
        <f>ExpoRisk!R408</f>
        <v>0.25556239316239321</v>
      </c>
      <c r="S12" s="2155">
        <f>ExpoRisk!S408</f>
        <v>4.025107692307691E-2</v>
      </c>
      <c r="T12" s="2155">
        <f>ExpoRisk!T408</f>
        <v>4.025107692307691E-2</v>
      </c>
      <c r="U12" s="2155">
        <f>ExpoRisk!U408</f>
        <v>2.4278427350427356E-2</v>
      </c>
      <c r="V12" s="2155">
        <f>ExpoRisk!V408</f>
        <v>0.63890598290598299</v>
      </c>
      <c r="W12" s="2155">
        <f>ExpoRisk!W408</f>
        <v>0.63890598290598299</v>
      </c>
      <c r="X12" s="3243">
        <f>ExpoRisk!X408</f>
        <v>6.133497435897437E-3</v>
      </c>
      <c r="Y12" s="2155">
        <f>ExpoRisk!Y408</f>
        <v>0.1661155555555556</v>
      </c>
      <c r="Z12" s="2155">
        <f>ExpoRisk!Z408</f>
        <v>0.1693100854700855</v>
      </c>
      <c r="AA12" s="3022">
        <f>ExpoRisk!AA408</f>
        <v>0.44723418803418796</v>
      </c>
      <c r="AB12" s="3243">
        <f>ExpoRisk!AB408</f>
        <v>0.1277811965811966</v>
      </c>
      <c r="AC12" s="2155">
        <f>ExpoRisk!AC408</f>
        <v>0.22469249961757626</v>
      </c>
      <c r="AD12" s="2155">
        <f>ExpoRisk!AD408</f>
        <v>0.54361022992838193</v>
      </c>
      <c r="AE12" s="2155" t="str">
        <f>ExpoRisk!AE408</f>
        <v>PVL</v>
      </c>
      <c r="AF12" s="2155" t="str">
        <f>ExpoRisk!AF408</f>
        <v>PVL</v>
      </c>
      <c r="AG12" s="3721">
        <f>ExpoRisk!AG408</f>
        <v>11.755870085470084</v>
      </c>
      <c r="AH12" s="2155">
        <f>ExpoRisk!AH408</f>
        <v>11.755870085470086</v>
      </c>
      <c r="AI12" s="2155">
        <f>ExpoRisk!AI408</f>
        <v>0.63890598290598288</v>
      </c>
      <c r="AJ12" s="2155">
        <f>ExpoRisk!AJ408</f>
        <v>0.63890598290598299</v>
      </c>
      <c r="AK12" s="2155">
        <f>ExpoRisk!AK408</f>
        <v>0.80502312779519747</v>
      </c>
      <c r="AL12" s="2155" t="str">
        <f>ExpoRisk!AL408</f>
        <v>PVL</v>
      </c>
      <c r="AM12" s="3022" t="str">
        <f>ExpoRisk!AM408</f>
        <v>PVL</v>
      </c>
      <c r="AN12" s="2155">
        <f>ExpoRisk!AN408</f>
        <v>3.1932812735482666E-2</v>
      </c>
      <c r="AO12" s="2155" t="str">
        <f>ExpoRisk!AO408</f>
        <v>PVL</v>
      </c>
      <c r="AP12" s="2155" t="str">
        <f>ExpoRisk!AP408</f>
        <v>PVL</v>
      </c>
      <c r="AQ12" s="2155" t="str">
        <f>ExpoRisk!AQ408</f>
        <v>PVL</v>
      </c>
      <c r="AR12" s="2155" t="str">
        <f>ExpoRisk!AR408</f>
        <v>PVL</v>
      </c>
      <c r="AS12" s="2155" t="str">
        <f>ExpoRisk!AS408</f>
        <v>PVL</v>
      </c>
      <c r="AT12" s="2155" t="str">
        <f>ExpoRisk!AT408</f>
        <v>PVL</v>
      </c>
      <c r="AU12" s="2155" t="str">
        <f>ExpoRisk!AU408</f>
        <v>PVL</v>
      </c>
      <c r="AV12" s="2155" t="str">
        <f>ExpoRisk!AV408</f>
        <v>PVL</v>
      </c>
      <c r="AW12" s="2155" t="str">
        <f>ExpoRisk!AW408</f>
        <v>PVL</v>
      </c>
      <c r="AX12" s="2155" t="str">
        <f>ExpoRisk!AX408</f>
        <v>PVL</v>
      </c>
      <c r="AY12" s="2155" t="str">
        <f>ExpoRisk!AY408</f>
        <v>PVL</v>
      </c>
      <c r="AZ12" s="2155" t="str">
        <f>ExpoRisk!AZ408</f>
        <v>PVL</v>
      </c>
      <c r="BA12" s="2155" t="str">
        <f>ExpoRisk!BA408</f>
        <v>PVL</v>
      </c>
      <c r="BB12" s="2155" t="str">
        <f>ExpoRisk!BB408</f>
        <v>PVL</v>
      </c>
      <c r="BC12" s="2155" t="str">
        <f>ExpoRisk!BC408</f>
        <v>PVL</v>
      </c>
      <c r="BD12" s="3243">
        <f>ExpoRisk!BD408</f>
        <v>0.95542172863999142</v>
      </c>
      <c r="BE12" s="2155">
        <f>ExpoRisk!BE408</f>
        <v>0.74529121407963383</v>
      </c>
      <c r="BF12" s="3022">
        <f>ExpoRisk!BF408</f>
        <v>1.4905824281592677</v>
      </c>
      <c r="BG12" s="2155">
        <f>ExpoRisk!BG408</f>
        <v>1.9167179487179488E-5</v>
      </c>
      <c r="BH12" s="3246">
        <f>ExpoRisk!BH408</f>
        <v>1.2264462146081359E-2</v>
      </c>
      <c r="BI12" s="2155">
        <f>ExpoRisk!BI408</f>
        <v>1.7081245590240702E-2</v>
      </c>
      <c r="BJ12" s="2126"/>
      <c r="BK12" s="2126"/>
      <c r="BL12" s="2126"/>
      <c r="BM12" s="2126"/>
      <c r="BN12" s="2126"/>
      <c r="BO12" s="2126"/>
      <c r="BP12" s="2126"/>
      <c r="BQ12" s="2126"/>
      <c r="BR12" s="2126"/>
      <c r="BS12" s="2126"/>
      <c r="BT12" s="2126"/>
      <c r="BU12" s="2126"/>
      <c r="BV12" s="2126"/>
      <c r="BW12" s="2126"/>
      <c r="BX12" s="2126"/>
      <c r="BY12" s="2126"/>
      <c r="BZ12" s="2126"/>
      <c r="CA12" s="2126"/>
      <c r="CB12" s="2126"/>
      <c r="CC12" s="2126"/>
      <c r="CD12" s="2126"/>
      <c r="CE12" s="2126"/>
      <c r="CF12" s="2126"/>
      <c r="CG12" s="2126"/>
      <c r="CH12" s="2126"/>
      <c r="CI12" s="2126"/>
      <c r="CJ12" s="2126"/>
      <c r="CK12" s="2126"/>
      <c r="CL12" s="2126"/>
      <c r="CM12" s="2126"/>
      <c r="CN12" s="2126"/>
      <c r="CO12" s="2126"/>
      <c r="CP12" s="2126"/>
      <c r="CQ12" s="2126"/>
      <c r="CR12" s="2126"/>
      <c r="CS12" s="2126"/>
      <c r="CT12" s="2126"/>
      <c r="CU12" s="2126"/>
      <c r="CV12" s="2126"/>
      <c r="CW12" s="2126"/>
      <c r="CX12" s="2126"/>
      <c r="CY12" s="2126"/>
      <c r="CZ12" s="2126"/>
      <c r="DA12" s="2126"/>
      <c r="DB12" s="2126"/>
      <c r="DC12" s="2126"/>
      <c r="DD12" s="2126"/>
      <c r="DE12" s="2126"/>
      <c r="DF12" s="2126"/>
      <c r="DG12" s="2126"/>
      <c r="DH12" s="2126"/>
      <c r="DI12" s="2126"/>
      <c r="DJ12" s="2126"/>
      <c r="DK12" s="2126"/>
      <c r="DL12" s="2126"/>
      <c r="DM12" s="2126"/>
      <c r="DN12" s="2126"/>
      <c r="DO12" s="2126"/>
      <c r="DP12" s="2126"/>
      <c r="DQ12" s="2126"/>
      <c r="DR12" s="2126"/>
      <c r="DS12" s="2126"/>
    </row>
    <row r="13" spans="1:123" ht="13.5" hidden="1" thickBot="1">
      <c r="A13" s="3241"/>
      <c r="B13" s="2156"/>
      <c r="C13" s="276"/>
      <c r="D13" s="3279"/>
      <c r="E13" s="2592" t="str">
        <f>ExpoRisk!E409</f>
        <v>Teneur limite (effet sans seuil)</v>
      </c>
      <c r="F13" s="2153" t="str">
        <f>ExpoRisk!F409</f>
        <v>Cs</v>
      </c>
      <c r="G13" s="2154" t="str">
        <f>ExpoRisk!G409</f>
        <v>mg/kg ms</v>
      </c>
      <c r="H13" s="2155" t="str">
        <f>ExpoRisk!H409</f>
        <v>PVL</v>
      </c>
      <c r="I13" s="2155" t="str">
        <f>ExpoRisk!I409</f>
        <v>PVL</v>
      </c>
      <c r="J13" s="2155" t="str">
        <f>ExpoRisk!J409</f>
        <v>PVL</v>
      </c>
      <c r="K13" s="3243">
        <f>ExpoRisk!K409</f>
        <v>0.22361709401709404</v>
      </c>
      <c r="L13" s="2155" t="str">
        <f>ExpoRisk!L409</f>
        <v>PVL</v>
      </c>
      <c r="M13" s="2155" t="str">
        <f>ExpoRisk!M409</f>
        <v>PVL</v>
      </c>
      <c r="N13" s="2155">
        <f>ExpoRisk!N409</f>
        <v>0.111808547008547</v>
      </c>
      <c r="O13" s="2155">
        <f>ExpoRisk!O409</f>
        <v>0.111808547008547</v>
      </c>
      <c r="P13" s="2155">
        <f>ExpoRisk!P409</f>
        <v>3.7901202375778646E-2</v>
      </c>
      <c r="Q13" s="2155">
        <f>ExpoRisk!Q409</f>
        <v>3.7901202375778646E-2</v>
      </c>
      <c r="R13" s="2155">
        <f>ExpoRisk!R409</f>
        <v>0.22361709401709401</v>
      </c>
      <c r="S13" s="2155">
        <f>ExpoRisk!S409</f>
        <v>9.7224823485693047E-3</v>
      </c>
      <c r="T13" s="2155">
        <f>ExpoRisk!T409</f>
        <v>9.7224823485693047E-3</v>
      </c>
      <c r="U13" s="2155">
        <f>ExpoRisk!U409</f>
        <v>5.3242165242165249E-3</v>
      </c>
      <c r="V13" s="2155" t="str">
        <f>ExpoRisk!V409</f>
        <v>PVL</v>
      </c>
      <c r="W13" s="2155" t="str">
        <f>ExpoRisk!W409</f>
        <v>PVL</v>
      </c>
      <c r="X13" s="3243">
        <f>ExpoRisk!X409</f>
        <v>3.7269515669515668E-2</v>
      </c>
      <c r="Y13" s="2155" t="str">
        <f>ExpoRisk!Y409</f>
        <v>PVL</v>
      </c>
      <c r="Z13" s="2155">
        <f>ExpoRisk!Z409</f>
        <v>8.9446837606837595E-2</v>
      </c>
      <c r="AA13" s="3022" t="str">
        <f>ExpoRisk!AA409</f>
        <v>PVL</v>
      </c>
      <c r="AB13" s="3243" t="str">
        <f>ExpoRisk!AB409</f>
        <v>PVL</v>
      </c>
      <c r="AC13" s="2155" t="str">
        <f>ExpoRisk!AC409</f>
        <v>PVL</v>
      </c>
      <c r="AD13" s="2155" t="str">
        <f>ExpoRisk!AD409</f>
        <v>PVL</v>
      </c>
      <c r="AE13" s="2155" t="str">
        <f>ExpoRisk!AE409</f>
        <v>PVL</v>
      </c>
      <c r="AF13" s="2155" t="str">
        <f>ExpoRisk!AF409</f>
        <v>PVL</v>
      </c>
      <c r="AG13" s="3721" t="str">
        <f>ExpoRisk!AG409</f>
        <v>PVL</v>
      </c>
      <c r="AH13" s="2155" t="str">
        <f>ExpoRisk!AH409</f>
        <v>PVL</v>
      </c>
      <c r="AI13" s="2155" t="str">
        <f>ExpoRisk!AI409</f>
        <v>PVL</v>
      </c>
      <c r="AJ13" s="2155" t="str">
        <f>ExpoRisk!AJ409</f>
        <v>PVL</v>
      </c>
      <c r="AK13" s="2155" t="str">
        <f>ExpoRisk!AK409</f>
        <v>PVL</v>
      </c>
      <c r="AL13" s="2155" t="str">
        <f>ExpoRisk!AL409</f>
        <v>PVL</v>
      </c>
      <c r="AM13" s="3022" t="str">
        <f>ExpoRisk!AM409</f>
        <v>PVL</v>
      </c>
      <c r="AN13" s="2155">
        <f>ExpoRisk!AN409</f>
        <v>7.8671982858851946E-3</v>
      </c>
      <c r="AO13" s="2155">
        <f>ExpoRisk!AO409</f>
        <v>0.35385182692510897</v>
      </c>
      <c r="AP13" s="2155">
        <f>ExpoRisk!AP409</f>
        <v>0.26853169254744086</v>
      </c>
      <c r="AQ13" s="2155">
        <f>ExpoRisk!AQ409</f>
        <v>0.43806740620290796</v>
      </c>
      <c r="AR13" s="2155">
        <f>ExpoRisk!AR409</f>
        <v>1.042442704850131</v>
      </c>
      <c r="AS13" s="2155">
        <f>ExpoRisk!AS409</f>
        <v>9.0760915771406867E-2</v>
      </c>
      <c r="AT13" s="2155">
        <f>ExpoRisk!AT409</f>
        <v>3.971021830234843</v>
      </c>
      <c r="AU13" s="2155">
        <f>ExpoRisk!AU409</f>
        <v>4.0646858248000601</v>
      </c>
      <c r="AV13" s="2155">
        <f>ExpoRisk!AV409</f>
        <v>0.1349434602334901</v>
      </c>
      <c r="AW13" s="2155">
        <f>ExpoRisk!AW409</f>
        <v>1.3858432594362644</v>
      </c>
      <c r="AX13" s="2155">
        <f>ExpoRisk!AX409</f>
        <v>2.4510511694421173</v>
      </c>
      <c r="AY13" s="2155">
        <f>ExpoRisk!AY409</f>
        <v>3.5304807806879701</v>
      </c>
      <c r="AZ13" s="2155">
        <f>ExpoRisk!AZ409</f>
        <v>0.524139860570214</v>
      </c>
      <c r="BA13" s="2155">
        <f>ExpoRisk!BA409</f>
        <v>2.9905080727559969</v>
      </c>
      <c r="BB13" s="2155">
        <f>ExpoRisk!BB409</f>
        <v>19.73690234573062</v>
      </c>
      <c r="BC13" s="2155">
        <f>ExpoRisk!BC409</f>
        <v>7098030.9905891037</v>
      </c>
      <c r="BD13" s="3243" t="str">
        <f>ExpoRisk!BD409</f>
        <v>PVL</v>
      </c>
      <c r="BE13" s="2155">
        <f>ExpoRisk!BE409</f>
        <v>1.3982805611102714E-2</v>
      </c>
      <c r="BF13" s="3022">
        <f>ExpoRisk!BF409</f>
        <v>2.7965611222205429E-2</v>
      </c>
      <c r="BG13" s="2155" t="str">
        <f>ExpoRisk!BG409</f>
        <v>PVL</v>
      </c>
      <c r="BH13" s="3246" t="str">
        <f>ExpoRisk!BH409</f>
        <v>PVL</v>
      </c>
      <c r="BI13" s="2155" t="str">
        <f>ExpoRisk!BI409</f>
        <v>PVL</v>
      </c>
      <c r="BJ13" s="2126"/>
      <c r="BK13" s="2126"/>
      <c r="BL13" s="2126"/>
      <c r="BM13" s="2126"/>
      <c r="BN13" s="2126"/>
      <c r="BO13" s="2126"/>
      <c r="BP13" s="2126"/>
      <c r="BQ13" s="2126"/>
      <c r="BR13" s="2126"/>
      <c r="BS13" s="2126"/>
      <c r="BT13" s="2126"/>
      <c r="BU13" s="2126"/>
      <c r="BV13" s="2126"/>
      <c r="BW13" s="2126"/>
      <c r="BX13" s="2126"/>
      <c r="BY13" s="2126"/>
      <c r="BZ13" s="2126"/>
      <c r="CA13" s="2126"/>
      <c r="CB13" s="2126"/>
      <c r="CC13" s="2126"/>
      <c r="CD13" s="2126"/>
      <c r="CE13" s="2126"/>
      <c r="CF13" s="2126"/>
      <c r="CG13" s="2126"/>
      <c r="CH13" s="2126"/>
      <c r="CI13" s="2126"/>
      <c r="CJ13" s="2126"/>
      <c r="CK13" s="2126"/>
      <c r="CL13" s="2126"/>
      <c r="CM13" s="2126"/>
      <c r="CN13" s="2126"/>
      <c r="CO13" s="2126"/>
      <c r="CP13" s="2126"/>
      <c r="CQ13" s="2126"/>
      <c r="CR13" s="2126"/>
      <c r="CS13" s="2126"/>
      <c r="CT13" s="2126"/>
      <c r="CU13" s="2126"/>
      <c r="CV13" s="2126"/>
      <c r="CW13" s="2126"/>
      <c r="CX13" s="2126"/>
      <c r="CY13" s="2126"/>
      <c r="CZ13" s="2126"/>
      <c r="DA13" s="2126"/>
      <c r="DB13" s="2126"/>
      <c r="DC13" s="2126"/>
      <c r="DD13" s="2126"/>
      <c r="DE13" s="2126"/>
      <c r="DF13" s="2126"/>
      <c r="DG13" s="2126"/>
      <c r="DH13" s="2126"/>
      <c r="DI13" s="2126"/>
      <c r="DJ13" s="2126"/>
      <c r="DK13" s="2126"/>
      <c r="DL13" s="2126"/>
      <c r="DM13" s="2126"/>
      <c r="DN13" s="2126"/>
      <c r="DO13" s="2126"/>
      <c r="DP13" s="2126"/>
      <c r="DQ13" s="2126"/>
      <c r="DR13" s="2126"/>
      <c r="DS13" s="2126"/>
    </row>
    <row r="14" spans="1:123" ht="13.5" hidden="1" thickBot="1">
      <c r="A14" s="2275"/>
      <c r="B14" s="2156"/>
      <c r="C14" s="276"/>
      <c r="D14" s="3279"/>
      <c r="E14" s="2592" t="str">
        <f>ExpoRisk!E410</f>
        <v>Teneur limite avant contrôle de la saturation</v>
      </c>
      <c r="F14" s="2153" t="str">
        <f>ExpoRisk!F410</f>
        <v>Cs</v>
      </c>
      <c r="G14" s="2154" t="str">
        <f>ExpoRisk!G410</f>
        <v>mg/kg ms</v>
      </c>
      <c r="H14" s="2155">
        <f>ExpoRisk!H410</f>
        <v>2.6862521347215629</v>
      </c>
      <c r="I14" s="2155">
        <f>ExpoRisk!I410</f>
        <v>2.6862521347215629</v>
      </c>
      <c r="J14" s="2155">
        <f>ExpoRisk!J410</f>
        <v>23.689265099920028</v>
      </c>
      <c r="K14" s="3243">
        <f>ExpoRisk!K410</f>
        <v>3.5778735042735051E-2</v>
      </c>
      <c r="L14" s="2155">
        <f>ExpoRisk!L410</f>
        <v>3.8334358974358967E-2</v>
      </c>
      <c r="M14" s="2155">
        <f>ExpoRisk!M410</f>
        <v>3.8334358974358967E-2</v>
      </c>
      <c r="N14" s="2155">
        <f>ExpoRisk!N410</f>
        <v>0.111808547008547</v>
      </c>
      <c r="O14" s="2155">
        <f>ExpoRisk!O410</f>
        <v>0.111808547008547</v>
      </c>
      <c r="P14" s="2155">
        <f>ExpoRisk!P410</f>
        <v>2.2361709401709406E-2</v>
      </c>
      <c r="Q14" s="2155">
        <f>ExpoRisk!Q410</f>
        <v>2.2361709401709406E-2</v>
      </c>
      <c r="R14" s="2155">
        <f>ExpoRisk!R410</f>
        <v>0.22361709401709401</v>
      </c>
      <c r="S14" s="2155">
        <f>ExpoRisk!S410</f>
        <v>9.7224823485693047E-3</v>
      </c>
      <c r="T14" s="2155">
        <f>ExpoRisk!T410</f>
        <v>9.7224823485693047E-3</v>
      </c>
      <c r="U14" s="2155">
        <f>ExpoRisk!U410</f>
        <v>5.3242165242165249E-3</v>
      </c>
      <c r="V14" s="2155">
        <f>ExpoRisk!V410</f>
        <v>0.63890598290598299</v>
      </c>
      <c r="W14" s="2155">
        <f>ExpoRisk!W410</f>
        <v>0.63890598290598299</v>
      </c>
      <c r="X14" s="3243">
        <f>ExpoRisk!X410</f>
        <v>6.133497435897437E-3</v>
      </c>
      <c r="Y14" s="2155">
        <f>ExpoRisk!Y410</f>
        <v>0.1661155555555556</v>
      </c>
      <c r="Z14" s="2155">
        <f>ExpoRisk!Z410</f>
        <v>8.9446837606837595E-2</v>
      </c>
      <c r="AA14" s="3022">
        <f>ExpoRisk!AA410</f>
        <v>0.44723418803418796</v>
      </c>
      <c r="AB14" s="3243">
        <f>ExpoRisk!AB410</f>
        <v>0.1277811965811966</v>
      </c>
      <c r="AC14" s="2155">
        <f>ExpoRisk!AC410</f>
        <v>0.22469249961757626</v>
      </c>
      <c r="AD14" s="2155">
        <f>ExpoRisk!AD410</f>
        <v>0.54361022992838193</v>
      </c>
      <c r="AE14" s="2155" t="str">
        <f>ExpoRisk!AE410</f>
        <v>PVL</v>
      </c>
      <c r="AF14" s="2155" t="str">
        <f>ExpoRisk!AF410</f>
        <v>PVL</v>
      </c>
      <c r="AG14" s="3721">
        <f>ExpoRisk!AG410</f>
        <v>11.755870085470084</v>
      </c>
      <c r="AH14" s="2155">
        <f>ExpoRisk!AH410</f>
        <v>11.755870085470086</v>
      </c>
      <c r="AI14" s="2155">
        <f>ExpoRisk!AI410</f>
        <v>0.63890598290598288</v>
      </c>
      <c r="AJ14" s="2155">
        <f>ExpoRisk!AJ410</f>
        <v>0.63890598290598299</v>
      </c>
      <c r="AK14" s="2155">
        <f>ExpoRisk!AK410</f>
        <v>0.80502312779519747</v>
      </c>
      <c r="AL14" s="2155" t="str">
        <f>ExpoRisk!AL410</f>
        <v>PVL</v>
      </c>
      <c r="AM14" s="3022" t="str">
        <f>ExpoRisk!AM410</f>
        <v>PVL</v>
      </c>
      <c r="AN14" s="2155">
        <f>ExpoRisk!AN410</f>
        <v>7.8671982858851946E-3</v>
      </c>
      <c r="AO14" s="2155">
        <f>ExpoRisk!AO410</f>
        <v>0.35385182692510897</v>
      </c>
      <c r="AP14" s="2155">
        <f>ExpoRisk!AP410</f>
        <v>0.26853169254744086</v>
      </c>
      <c r="AQ14" s="2155">
        <f>ExpoRisk!AQ410</f>
        <v>0.43806740620290796</v>
      </c>
      <c r="AR14" s="2155">
        <f>ExpoRisk!AR410</f>
        <v>1.042442704850131</v>
      </c>
      <c r="AS14" s="2155">
        <f>ExpoRisk!AS410</f>
        <v>9.0760915771406867E-2</v>
      </c>
      <c r="AT14" s="2155">
        <f>ExpoRisk!AT410</f>
        <v>3.971021830234843</v>
      </c>
      <c r="AU14" s="2155">
        <f>ExpoRisk!AU410</f>
        <v>4.0646858248000601</v>
      </c>
      <c r="AV14" s="2155">
        <f>ExpoRisk!AV410</f>
        <v>0.1349434602334901</v>
      </c>
      <c r="AW14" s="2155">
        <f>ExpoRisk!AW410</f>
        <v>1.3858432594362644</v>
      </c>
      <c r="AX14" s="2155">
        <f>ExpoRisk!AX410</f>
        <v>2.4510511694421173</v>
      </c>
      <c r="AY14" s="2155">
        <f>ExpoRisk!AY410</f>
        <v>3.5304807806879701</v>
      </c>
      <c r="AZ14" s="2155">
        <f>ExpoRisk!AZ410</f>
        <v>0.524139860570214</v>
      </c>
      <c r="BA14" s="2155">
        <f>ExpoRisk!BA410</f>
        <v>2.9905080727559969</v>
      </c>
      <c r="BB14" s="2155">
        <f>ExpoRisk!BB410</f>
        <v>19.73690234573062</v>
      </c>
      <c r="BC14" s="2155">
        <f>ExpoRisk!BC410</f>
        <v>7098030.9905891037</v>
      </c>
      <c r="BD14" s="3243">
        <f>ExpoRisk!BD410</f>
        <v>0.95542172863999142</v>
      </c>
      <c r="BE14" s="2155">
        <f>ExpoRisk!BE410</f>
        <v>1.3982805611102714E-2</v>
      </c>
      <c r="BF14" s="3022">
        <f>ExpoRisk!BF410</f>
        <v>2.7965611222205429E-2</v>
      </c>
      <c r="BG14" s="2155">
        <f>ExpoRisk!BG410</f>
        <v>1.9167179487179488E-5</v>
      </c>
      <c r="BH14" s="3246">
        <f>ExpoRisk!BH410</f>
        <v>1.2264462146081359E-2</v>
      </c>
      <c r="BI14" s="2155">
        <f>ExpoRisk!BI410</f>
        <v>1.7081245590240702E-2</v>
      </c>
      <c r="BJ14" s="2126"/>
      <c r="BK14" s="2126"/>
      <c r="BL14" s="2126"/>
      <c r="BM14" s="2126"/>
      <c r="BN14" s="2126"/>
      <c r="BO14" s="2126"/>
      <c r="BP14" s="2126"/>
      <c r="BQ14" s="2126"/>
      <c r="BR14" s="2126"/>
      <c r="BS14" s="2126"/>
      <c r="BT14" s="2126"/>
      <c r="BU14" s="2126"/>
      <c r="BV14" s="2126"/>
      <c r="BW14" s="2126"/>
      <c r="BX14" s="2126"/>
      <c r="BY14" s="2126"/>
      <c r="BZ14" s="2126"/>
      <c r="CA14" s="2126"/>
      <c r="CB14" s="2126"/>
      <c r="CC14" s="2126"/>
      <c r="CD14" s="2126"/>
      <c r="CE14" s="2126"/>
      <c r="CF14" s="2126"/>
      <c r="CG14" s="2126"/>
      <c r="CH14" s="2126"/>
      <c r="CI14" s="2126"/>
      <c r="CJ14" s="2126"/>
      <c r="CK14" s="2126"/>
      <c r="CL14" s="2126"/>
      <c r="CM14" s="2126"/>
      <c r="CN14" s="2126"/>
      <c r="CO14" s="2126"/>
      <c r="CP14" s="2126"/>
      <c r="CQ14" s="2126"/>
      <c r="CR14" s="2126"/>
      <c r="CS14" s="2126"/>
      <c r="CT14" s="2126"/>
      <c r="CU14" s="2126"/>
      <c r="CV14" s="2126"/>
      <c r="CW14" s="2126"/>
      <c r="CX14" s="2126"/>
      <c r="CY14" s="2126"/>
      <c r="CZ14" s="2126"/>
      <c r="DA14" s="2126"/>
      <c r="DB14" s="2126"/>
      <c r="DC14" s="2126"/>
      <c r="DD14" s="2126"/>
      <c r="DE14" s="2126"/>
      <c r="DF14" s="2126"/>
      <c r="DG14" s="2126"/>
      <c r="DH14" s="2126"/>
      <c r="DI14" s="2126"/>
      <c r="DJ14" s="2126"/>
      <c r="DK14" s="2126"/>
      <c r="DL14" s="2126"/>
      <c r="DM14" s="2126"/>
      <c r="DN14" s="2126"/>
      <c r="DO14" s="2126"/>
      <c r="DP14" s="2126"/>
      <c r="DQ14" s="2126"/>
      <c r="DR14" s="2126"/>
      <c r="DS14" s="2126"/>
    </row>
    <row r="15" spans="1:123" s="2274" customFormat="1" ht="13.5" hidden="1" thickBot="1">
      <c r="A15" s="2375"/>
      <c r="B15" s="2227"/>
      <c r="C15" s="276"/>
      <c r="D15" s="3279"/>
      <c r="E15" s="3722" t="str">
        <f>ExpoRisk!E411</f>
        <v>Teneur limite</v>
      </c>
      <c r="F15" s="2225" t="str">
        <f>ExpoRisk!F411</f>
        <v>Cs</v>
      </c>
      <c r="G15" s="2226" t="str">
        <f>ExpoRisk!G411</f>
        <v>mg/kg ms</v>
      </c>
      <c r="H15" s="2273">
        <f>ExpoRisk!H411</f>
        <v>2.6862521347215629</v>
      </c>
      <c r="I15" s="2273">
        <f>ExpoRisk!I411</f>
        <v>2.6862521347215629</v>
      </c>
      <c r="J15" s="2273">
        <f>ExpoRisk!J411</f>
        <v>23.689265099920028</v>
      </c>
      <c r="K15" s="3284">
        <f>ExpoRisk!K411</f>
        <v>3.5778735042735051E-2</v>
      </c>
      <c r="L15" s="2273">
        <f>ExpoRisk!L411</f>
        <v>3.8334358974358967E-2</v>
      </c>
      <c r="M15" s="2273">
        <f>ExpoRisk!M411</f>
        <v>3.8334358974358967E-2</v>
      </c>
      <c r="N15" s="2273">
        <f>ExpoRisk!N411</f>
        <v>0.111808547008547</v>
      </c>
      <c r="O15" s="2273">
        <f>ExpoRisk!O411</f>
        <v>0.111808547008547</v>
      </c>
      <c r="P15" s="2273">
        <f>ExpoRisk!P411</f>
        <v>2.2361709401709406E-2</v>
      </c>
      <c r="Q15" s="2273">
        <f>ExpoRisk!Q411</f>
        <v>2.2361709401709406E-2</v>
      </c>
      <c r="R15" s="2273">
        <f>ExpoRisk!R411</f>
        <v>0.22361709401709401</v>
      </c>
      <c r="S15" s="2273">
        <f>ExpoRisk!S411</f>
        <v>9.7224823485693047E-3</v>
      </c>
      <c r="T15" s="2273">
        <f>ExpoRisk!T411</f>
        <v>9.7224823485693047E-3</v>
      </c>
      <c r="U15" s="2273">
        <f>ExpoRisk!U411</f>
        <v>5.3242165242165249E-3</v>
      </c>
      <c r="V15" s="2273">
        <f>ExpoRisk!V411</f>
        <v>0.63890598290598299</v>
      </c>
      <c r="W15" s="2273">
        <f>ExpoRisk!W411</f>
        <v>0.63890598290598299</v>
      </c>
      <c r="X15" s="3284">
        <f>ExpoRisk!X411</f>
        <v>6.133497435897437E-3</v>
      </c>
      <c r="Y15" s="2273">
        <f>ExpoRisk!Y411</f>
        <v>0.1661155555555556</v>
      </c>
      <c r="Z15" s="2273">
        <f>ExpoRisk!Z411</f>
        <v>8.9446837606837595E-2</v>
      </c>
      <c r="AA15" s="3285">
        <f>ExpoRisk!AA411</f>
        <v>0.44723418803418796</v>
      </c>
      <c r="AB15" s="3284">
        <f>ExpoRisk!AB411</f>
        <v>0.1277811965811966</v>
      </c>
      <c r="AC15" s="2273">
        <f>ExpoRisk!AC411</f>
        <v>0.22469249961757626</v>
      </c>
      <c r="AD15" s="2273">
        <f>ExpoRisk!AD411</f>
        <v>0.54361022992838193</v>
      </c>
      <c r="AE15" s="2273" t="str">
        <f>ExpoRisk!AE411</f>
        <v>PVL</v>
      </c>
      <c r="AF15" s="2273" t="str">
        <f>ExpoRisk!AF411</f>
        <v>PVL</v>
      </c>
      <c r="AG15" s="3723">
        <f>ExpoRisk!AG411</f>
        <v>11.755870085470084</v>
      </c>
      <c r="AH15" s="2273">
        <f>ExpoRisk!AH411</f>
        <v>11.755870085470086</v>
      </c>
      <c r="AI15" s="2273">
        <f>ExpoRisk!AI411</f>
        <v>0.63890598290598288</v>
      </c>
      <c r="AJ15" s="2273">
        <f>ExpoRisk!AJ411</f>
        <v>0.63890598290598299</v>
      </c>
      <c r="AK15" s="2273">
        <f>ExpoRisk!AK411</f>
        <v>0.80502312779519747</v>
      </c>
      <c r="AL15" s="2273" t="str">
        <f>ExpoRisk!AL411</f>
        <v>PVL</v>
      </c>
      <c r="AM15" s="3285" t="str">
        <f>ExpoRisk!AM411</f>
        <v>PVL</v>
      </c>
      <c r="AN15" s="2273">
        <f>ExpoRisk!AN411</f>
        <v>7.8671982858851946E-3</v>
      </c>
      <c r="AO15" s="2273">
        <f>ExpoRisk!AO411</f>
        <v>0.35385182692510897</v>
      </c>
      <c r="AP15" s="2273">
        <f>ExpoRisk!AP411</f>
        <v>0.26853169254744086</v>
      </c>
      <c r="AQ15" s="2273">
        <f>ExpoRisk!AQ411</f>
        <v>0.43806740620290796</v>
      </c>
      <c r="AR15" s="2273">
        <f>ExpoRisk!AR411</f>
        <v>1.042442704850131</v>
      </c>
      <c r="AS15" s="2273">
        <f>ExpoRisk!AS411</f>
        <v>9.0760915771406867E-2</v>
      </c>
      <c r="AT15" s="2273">
        <f>ExpoRisk!AT411</f>
        <v>3.971021830234843</v>
      </c>
      <c r="AU15" s="2273" t="str">
        <f>ExpoRisk!AU411</f>
        <v>PVL</v>
      </c>
      <c r="AV15" s="2273">
        <f>ExpoRisk!AV411</f>
        <v>0.1349434602334901</v>
      </c>
      <c r="AW15" s="2273" t="str">
        <f>ExpoRisk!AW411</f>
        <v>PVL</v>
      </c>
      <c r="AX15" s="2273" t="str">
        <f>ExpoRisk!AX411</f>
        <v>PVL</v>
      </c>
      <c r="AY15" s="2273" t="str">
        <f>ExpoRisk!AY411</f>
        <v>PVL</v>
      </c>
      <c r="AZ15" s="2273" t="str">
        <f>ExpoRisk!AZ411</f>
        <v>PVL</v>
      </c>
      <c r="BA15" s="2273" t="str">
        <f>ExpoRisk!BA411</f>
        <v>PVL</v>
      </c>
      <c r="BB15" s="2273" t="str">
        <f>ExpoRisk!BB411</f>
        <v>PVL</v>
      </c>
      <c r="BC15" s="2273" t="str">
        <f>ExpoRisk!BC411</f>
        <v>PVL</v>
      </c>
      <c r="BD15" s="3284">
        <f>ExpoRisk!BD411</f>
        <v>0.95542172863999142</v>
      </c>
      <c r="BE15" s="2273">
        <f>ExpoRisk!BE411</f>
        <v>1.3982805611102714E-2</v>
      </c>
      <c r="BF15" s="3285">
        <f>ExpoRisk!BF411</f>
        <v>2.7965611222205429E-2</v>
      </c>
      <c r="BG15" s="2273">
        <f>ExpoRisk!BG411</f>
        <v>1.9167179487179488E-5</v>
      </c>
      <c r="BH15" s="3287">
        <f>ExpoRisk!BH411</f>
        <v>1.2264462146081359E-2</v>
      </c>
      <c r="BI15" s="2273">
        <f>ExpoRisk!BI411</f>
        <v>1.7081245590240702E-2</v>
      </c>
    </row>
    <row r="16" spans="1:123" ht="13.5" hidden="1" thickBot="1">
      <c r="A16" s="2375"/>
      <c r="B16" s="2156"/>
      <c r="C16" s="276"/>
      <c r="D16" s="3279"/>
      <c r="E16" s="2592" t="str">
        <f>ExpoRisk!E412</f>
        <v>Equivalent air du sol</v>
      </c>
      <c r="F16" s="2153" t="str">
        <f>ExpoRisk!F412</f>
        <v>Csao</v>
      </c>
      <c r="G16" s="2154" t="str">
        <f>ExpoRisk!G412</f>
        <v>mg/m3</v>
      </c>
      <c r="H16" s="2155">
        <f>ExpoRisk!H412</f>
        <v>7.0769085483735958</v>
      </c>
      <c r="I16" s="2155">
        <f>ExpoRisk!I412</f>
        <v>7.0769085483735958</v>
      </c>
      <c r="J16" s="2155">
        <f>ExpoRisk!J412</f>
        <v>409.69790803974536</v>
      </c>
      <c r="K16" s="3243">
        <f>ExpoRisk!K412</f>
        <v>137.86669112677083</v>
      </c>
      <c r="L16" s="2155">
        <f>ExpoRisk!L412</f>
        <v>27.617562131763879</v>
      </c>
      <c r="M16" s="2155">
        <f>ExpoRisk!M412</f>
        <v>27.617562131763879</v>
      </c>
      <c r="N16" s="2155">
        <f>ExpoRisk!N412</f>
        <v>158.87216710596022</v>
      </c>
      <c r="O16" s="2155">
        <f>ExpoRisk!O412</f>
        <v>158.87216710596022</v>
      </c>
      <c r="P16" s="2155">
        <f>ExpoRisk!P412</f>
        <v>34.68945438262449</v>
      </c>
      <c r="Q16" s="2155">
        <f>ExpoRisk!Q412</f>
        <v>34.68945438262449</v>
      </c>
      <c r="R16" s="2155">
        <f>ExpoRisk!R412</f>
        <v>139.44208842715477</v>
      </c>
      <c r="S16" s="2155">
        <f>ExpoRisk!S412</f>
        <v>5.6878778758315311</v>
      </c>
      <c r="T16" s="2155">
        <f>ExpoRisk!T412</f>
        <v>5.6878778758315311</v>
      </c>
      <c r="U16" s="2155">
        <f>ExpoRisk!U412</f>
        <v>14.664296454710792</v>
      </c>
      <c r="V16" s="2155">
        <f>ExpoRisk!V412</f>
        <v>2880.305282435917</v>
      </c>
      <c r="W16" s="2155">
        <f>ExpoRisk!W412</f>
        <v>2880.305282435917</v>
      </c>
      <c r="X16" s="3243">
        <f>ExpoRisk!X412</f>
        <v>5.3045958605153256</v>
      </c>
      <c r="Y16" s="2155">
        <f>ExpoRisk!Y412</f>
        <v>99.569098831452294</v>
      </c>
      <c r="Z16" s="2155">
        <f>ExpoRisk!Z412</f>
        <v>31.751205372279408</v>
      </c>
      <c r="AA16" s="3022">
        <f>ExpoRisk!AA412</f>
        <v>106.50301794477247</v>
      </c>
      <c r="AB16" s="3243">
        <f>ExpoRisk!AB412</f>
        <v>34.414802760066408</v>
      </c>
      <c r="AC16" s="2155">
        <f>ExpoRisk!AC412</f>
        <v>11.808667807446481</v>
      </c>
      <c r="AD16" s="2155">
        <f>ExpoRisk!AD412</f>
        <v>5.5919680299832519</v>
      </c>
      <c r="AE16" s="2155" t="str">
        <f>ExpoRisk!AE412</f>
        <v>PVL</v>
      </c>
      <c r="AF16" s="2155" t="str">
        <f>ExpoRisk!AF412</f>
        <v>PVL</v>
      </c>
      <c r="AG16" s="3721">
        <f>ExpoRisk!AG412</f>
        <v>72816.88370493683</v>
      </c>
      <c r="AH16" s="2155">
        <f>ExpoRisk!AH412</f>
        <v>54520.878844700805</v>
      </c>
      <c r="AI16" s="2155">
        <f>ExpoRisk!AI412</f>
        <v>1204.8357681154205</v>
      </c>
      <c r="AJ16" s="2155">
        <f>ExpoRisk!AJ412</f>
        <v>286.80289947363582</v>
      </c>
      <c r="AK16" s="2155">
        <f>ExpoRisk!AK412</f>
        <v>82.382227639476255</v>
      </c>
      <c r="AL16" s="2155" t="str">
        <f>ExpoRisk!AL412</f>
        <v>PVL</v>
      </c>
      <c r="AM16" s="3022" t="str">
        <f>ExpoRisk!AM412</f>
        <v>PVL</v>
      </c>
      <c r="AN16" s="2155">
        <f>ExpoRisk!AN412</f>
        <v>3.3628390121663347E-2</v>
      </c>
      <c r="AO16" s="2155">
        <f>ExpoRisk!AO412</f>
        <v>0.41310136789592322</v>
      </c>
      <c r="AP16" s="2155">
        <f>ExpoRisk!AP412</f>
        <v>0.52446177563613461</v>
      </c>
      <c r="AQ16" s="2155">
        <f>ExpoRisk!AQ412</f>
        <v>0.34643496085551878</v>
      </c>
      <c r="AR16" s="2155">
        <f>ExpoRisk!AR412</f>
        <v>0.16505694360284315</v>
      </c>
      <c r="AS16" s="2155">
        <f>ExpoRisk!AS412</f>
        <v>1.8561589956761E-2</v>
      </c>
      <c r="AT16" s="2155">
        <f>ExpoRisk!AT412</f>
        <v>5.9280888085580623E-2</v>
      </c>
      <c r="AU16" s="2155" t="str">
        <f>ExpoRisk!AU412</f>
        <v>PVL</v>
      </c>
      <c r="AV16" s="2155">
        <f>ExpoRisk!AV412</f>
        <v>3.0917193258948162E-4</v>
      </c>
      <c r="AW16" s="2155" t="str">
        <f>ExpoRisk!AW412</f>
        <v>PVL</v>
      </c>
      <c r="AX16" s="2155" t="str">
        <f>ExpoRisk!AX412</f>
        <v>PVL</v>
      </c>
      <c r="AY16" s="2155" t="str">
        <f>ExpoRisk!AY412</f>
        <v>PVL</v>
      </c>
      <c r="AZ16" s="2155" t="str">
        <f>ExpoRisk!AZ412</f>
        <v>PVL</v>
      </c>
      <c r="BA16" s="2155" t="str">
        <f>ExpoRisk!BA412</f>
        <v>PVL</v>
      </c>
      <c r="BB16" s="2155" t="str">
        <f>ExpoRisk!BB412</f>
        <v>PVL</v>
      </c>
      <c r="BC16" s="2155" t="str">
        <f>ExpoRisk!BC412</f>
        <v>PVL</v>
      </c>
      <c r="BD16" s="3243">
        <f>ExpoRisk!BD412</f>
        <v>8.9376983950961456E-2</v>
      </c>
      <c r="BE16" s="2155">
        <f>ExpoRisk!BE412</f>
        <v>2.9032039003226764E-5</v>
      </c>
      <c r="BF16" s="3022">
        <f>ExpoRisk!BF412</f>
        <v>5.8064078006453529E-5</v>
      </c>
      <c r="BG16" s="2155" t="str">
        <f>ExpoRisk!BG412</f>
        <v>Saturation</v>
      </c>
      <c r="BH16" s="3246">
        <f>ExpoRisk!BH412</f>
        <v>1.52567368814915E-3</v>
      </c>
      <c r="BI16" s="2155">
        <f>ExpoRisk!BI412</f>
        <v>1.6440927628076897E-2</v>
      </c>
      <c r="BJ16" s="2126"/>
      <c r="BK16" s="2126"/>
      <c r="BL16" s="2126"/>
      <c r="BM16" s="2126"/>
      <c r="BN16" s="2126"/>
      <c r="BO16" s="2126"/>
      <c r="BP16" s="2126"/>
      <c r="BQ16" s="2126"/>
      <c r="BR16" s="2126"/>
      <c r="BS16" s="2126"/>
      <c r="BT16" s="2126"/>
      <c r="BU16" s="2126"/>
      <c r="BV16" s="2126"/>
      <c r="BW16" s="2126"/>
      <c r="BX16" s="2126"/>
      <c r="BY16" s="2126"/>
      <c r="BZ16" s="2126"/>
      <c r="CA16" s="2126"/>
      <c r="CB16" s="2126"/>
      <c r="CC16" s="2126"/>
      <c r="CD16" s="2126"/>
      <c r="CE16" s="2126"/>
      <c r="CF16" s="2126"/>
      <c r="CG16" s="2126"/>
      <c r="CH16" s="2126"/>
      <c r="CI16" s="2126"/>
      <c r="CJ16" s="2126"/>
      <c r="CK16" s="2126"/>
      <c r="CL16" s="2126"/>
      <c r="CM16" s="2126"/>
      <c r="CN16" s="2126"/>
      <c r="CO16" s="2126"/>
      <c r="CP16" s="2126"/>
      <c r="CQ16" s="2126"/>
      <c r="CR16" s="2126"/>
      <c r="CS16" s="2126"/>
      <c r="CT16" s="2126"/>
      <c r="CU16" s="2126"/>
      <c r="CV16" s="2126"/>
      <c r="CW16" s="2126"/>
      <c r="CX16" s="2126"/>
      <c r="CY16" s="2126"/>
      <c r="CZ16" s="2126"/>
      <c r="DA16" s="2126"/>
      <c r="DB16" s="2126"/>
      <c r="DC16" s="2126"/>
      <c r="DD16" s="2126"/>
      <c r="DE16" s="2126"/>
      <c r="DF16" s="2126"/>
      <c r="DG16" s="2126"/>
      <c r="DH16" s="2126"/>
      <c r="DI16" s="2126"/>
      <c r="DJ16" s="2126"/>
      <c r="DK16" s="2126"/>
      <c r="DL16" s="2126"/>
      <c r="DM16" s="2126"/>
      <c r="DN16" s="2126"/>
      <c r="DO16" s="2126"/>
      <c r="DP16" s="2126"/>
      <c r="DQ16" s="2126"/>
      <c r="DR16" s="2126"/>
      <c r="DS16" s="2126"/>
    </row>
    <row r="17" spans="1:61" s="2148" customFormat="1">
      <c r="A17" s="3724"/>
      <c r="B17" s="2147"/>
      <c r="C17" s="3725"/>
      <c r="D17" s="3726"/>
      <c r="E17" s="3727" t="s">
        <v>597</v>
      </c>
      <c r="F17" s="3020"/>
      <c r="G17" s="3236"/>
      <c r="H17" s="2192"/>
      <c r="I17" s="2192"/>
      <c r="J17" s="2192"/>
      <c r="K17" s="3728"/>
      <c r="L17" s="2192"/>
      <c r="M17" s="2192"/>
      <c r="N17" s="2192"/>
      <c r="O17" s="2192"/>
      <c r="P17" s="2192"/>
      <c r="Q17" s="2192"/>
      <c r="R17" s="2192"/>
      <c r="S17" s="2192"/>
      <c r="T17" s="2192"/>
      <c r="U17" s="2192"/>
      <c r="V17" s="2192"/>
      <c r="W17" s="2192"/>
      <c r="X17" s="3728"/>
      <c r="Y17" s="2192"/>
      <c r="Z17" s="2192"/>
      <c r="AA17" s="3729"/>
      <c r="AB17" s="3728"/>
      <c r="AC17" s="2192"/>
      <c r="AD17" s="2192"/>
      <c r="AE17" s="2192"/>
      <c r="AF17" s="2192"/>
      <c r="AG17" s="3730"/>
      <c r="AH17" s="2192"/>
      <c r="AI17" s="2192"/>
      <c r="AJ17" s="2192"/>
      <c r="AK17" s="2192"/>
      <c r="AL17" s="2192"/>
      <c r="AM17" s="3729"/>
      <c r="AN17" s="2192"/>
      <c r="AO17" s="2192"/>
      <c r="AP17" s="2192"/>
      <c r="AQ17" s="2192"/>
      <c r="AR17" s="2192"/>
      <c r="AS17" s="2192"/>
      <c r="AT17" s="2192"/>
      <c r="AU17" s="2192"/>
      <c r="AV17" s="2192"/>
      <c r="AW17" s="2192"/>
      <c r="AX17" s="2192"/>
      <c r="AY17" s="2192"/>
      <c r="AZ17" s="2192"/>
      <c r="BA17" s="2192"/>
      <c r="BB17" s="2192"/>
      <c r="BC17" s="2192"/>
      <c r="BD17" s="3728"/>
      <c r="BE17" s="2192"/>
      <c r="BF17" s="3729"/>
      <c r="BG17" s="2192"/>
      <c r="BH17" s="3731"/>
      <c r="BI17" s="2192"/>
    </row>
    <row r="18" spans="1:61" s="2126" customFormat="1">
      <c r="A18" s="2375"/>
      <c r="B18" s="2156"/>
      <c r="C18" s="276"/>
      <c r="D18" s="3279"/>
      <c r="E18" s="2592" t="str">
        <f>ExpoRisk!E514</f>
        <v>Teneur limite (effet à seuil)</v>
      </c>
      <c r="F18" s="2153" t="str">
        <f>ExpoRisk!F514</f>
        <v>Cs</v>
      </c>
      <c r="G18" s="2154" t="str">
        <f>ExpoRisk!G514</f>
        <v>mg/kg ms</v>
      </c>
      <c r="H18" s="2155">
        <f>ExpoRisk!H514</f>
        <v>21.726590419182642</v>
      </c>
      <c r="I18" s="2155">
        <f>ExpoRisk!I514</f>
        <v>21.726590419182642</v>
      </c>
      <c r="J18" s="2155">
        <f>ExpoRisk!J514</f>
        <v>191.60039130531911</v>
      </c>
      <c r="K18" s="3243">
        <f>ExpoRisk!K514</f>
        <v>0.28938084848484852</v>
      </c>
      <c r="L18" s="2155">
        <f>ExpoRisk!L514</f>
        <v>0.3100509090909091</v>
      </c>
      <c r="M18" s="2155">
        <f>ExpoRisk!M514</f>
        <v>0.3100509090909091</v>
      </c>
      <c r="N18" s="2155">
        <f>ExpoRisk!N514</f>
        <v>1.0335030303030306</v>
      </c>
      <c r="O18" s="2155">
        <f>ExpoRisk!O514</f>
        <v>1.0335030303030306</v>
      </c>
      <c r="P18" s="2155">
        <f>ExpoRisk!P514</f>
        <v>0.18086303030303036</v>
      </c>
      <c r="Q18" s="2155">
        <f>ExpoRisk!Q514</f>
        <v>0.18086303030303036</v>
      </c>
      <c r="R18" s="2155">
        <f>ExpoRisk!R514</f>
        <v>2.0670060606060612</v>
      </c>
      <c r="S18" s="2155">
        <f>ExpoRisk!S514</f>
        <v>0.32555345454545448</v>
      </c>
      <c r="T18" s="2155">
        <f>ExpoRisk!T514</f>
        <v>0.32555345454545448</v>
      </c>
      <c r="U18" s="2155">
        <f>ExpoRisk!U514</f>
        <v>0.19636557575757582</v>
      </c>
      <c r="V18" s="2155">
        <f>ExpoRisk!V514</f>
        <v>5.1675151515151523</v>
      </c>
      <c r="W18" s="2155">
        <f>ExpoRisk!W514</f>
        <v>5.1675151515151523</v>
      </c>
      <c r="X18" s="3243">
        <f>ExpoRisk!X514</f>
        <v>4.960814545454547E-2</v>
      </c>
      <c r="Y18" s="2155">
        <f>ExpoRisk!Y514</f>
        <v>1.3435539393939397</v>
      </c>
      <c r="Z18" s="2155">
        <f>ExpoRisk!Z514</f>
        <v>1.3693915151515152</v>
      </c>
      <c r="AA18" s="3022">
        <f>ExpoRisk!AA514</f>
        <v>3.6172606060606061</v>
      </c>
      <c r="AB18" s="3243">
        <f>ExpoRisk!AB514</f>
        <v>1.0335030303030304</v>
      </c>
      <c r="AC18" s="2155">
        <f>ExpoRisk!AC514</f>
        <v>1.8173282568501126</v>
      </c>
      <c r="AD18" s="2155">
        <f>ExpoRisk!AD514</f>
        <v>4.3967566039946124</v>
      </c>
      <c r="AE18" s="2155" t="str">
        <f>ExpoRisk!AE514</f>
        <v>PVL</v>
      </c>
      <c r="AF18" s="2155" t="str">
        <f>ExpoRisk!AF514</f>
        <v>PVL</v>
      </c>
      <c r="AG18" s="3721">
        <f>ExpoRisk!AG514</f>
        <v>95.082278787878806</v>
      </c>
      <c r="AH18" s="2155">
        <f>ExpoRisk!AH514</f>
        <v>95.082278787878792</v>
      </c>
      <c r="AI18" s="2155">
        <f>ExpoRisk!AI514</f>
        <v>5.1675151515151514</v>
      </c>
      <c r="AJ18" s="2155">
        <f>ExpoRisk!AJ514</f>
        <v>5.1675151515151523</v>
      </c>
      <c r="AK18" s="2155">
        <f>ExpoRisk!AK514</f>
        <v>6.5110819455480886</v>
      </c>
      <c r="AL18" s="2155" t="str">
        <f>ExpoRisk!AL514</f>
        <v>PVL</v>
      </c>
      <c r="AM18" s="3022" t="str">
        <f>ExpoRisk!AM514</f>
        <v>PVL</v>
      </c>
      <c r="AN18" s="2155">
        <f>ExpoRisk!AN514</f>
        <v>0.2582747666418157</v>
      </c>
      <c r="AO18" s="2155" t="str">
        <f>ExpoRisk!AO514</f>
        <v>PVL</v>
      </c>
      <c r="AP18" s="2155" t="str">
        <f>ExpoRisk!AP514</f>
        <v>PVL</v>
      </c>
      <c r="AQ18" s="2155" t="str">
        <f>ExpoRisk!AQ514</f>
        <v>PVL</v>
      </c>
      <c r="AR18" s="2155" t="str">
        <f>ExpoRisk!AR514</f>
        <v>PVL</v>
      </c>
      <c r="AS18" s="2155" t="str">
        <f>ExpoRisk!AS514</f>
        <v>PVL</v>
      </c>
      <c r="AT18" s="2155" t="str">
        <f>ExpoRisk!AT514</f>
        <v>PVL</v>
      </c>
      <c r="AU18" s="2155" t="str">
        <f>ExpoRisk!AU514</f>
        <v>PVL</v>
      </c>
      <c r="AV18" s="2155" t="str">
        <f>ExpoRisk!AV514</f>
        <v>PVL</v>
      </c>
      <c r="AW18" s="2155" t="str">
        <f>ExpoRisk!AW514</f>
        <v>PVL</v>
      </c>
      <c r="AX18" s="2155" t="str">
        <f>ExpoRisk!AX514</f>
        <v>PVL</v>
      </c>
      <c r="AY18" s="2155" t="str">
        <f>ExpoRisk!AY514</f>
        <v>PVL</v>
      </c>
      <c r="AZ18" s="2155" t="str">
        <f>ExpoRisk!AZ514</f>
        <v>PVL</v>
      </c>
      <c r="BA18" s="2155" t="str">
        <f>ExpoRisk!BA514</f>
        <v>PVL</v>
      </c>
      <c r="BB18" s="2155" t="str">
        <f>ExpoRisk!BB514</f>
        <v>PVL</v>
      </c>
      <c r="BC18" s="2155" t="str">
        <f>ExpoRisk!BC514</f>
        <v>PVL</v>
      </c>
      <c r="BD18" s="3243">
        <f>ExpoRisk!BD514</f>
        <v>7.7275160836308379</v>
      </c>
      <c r="BE18" s="2155">
        <f>ExpoRisk!BE514</f>
        <v>6.0279661547861298</v>
      </c>
      <c r="BF18" s="3022">
        <f>ExpoRisk!BF514</f>
        <v>12.05593230957226</v>
      </c>
      <c r="BG18" s="3245">
        <f>ExpoRisk!BG514</f>
        <v>1.5502545454545454E-4</v>
      </c>
      <c r="BH18" s="3246">
        <f>ExpoRisk!BH514</f>
        <v>9.9195806050834195E-2</v>
      </c>
      <c r="BI18" s="2155">
        <f>ExpoRisk!BI514</f>
        <v>0.13815427896424801</v>
      </c>
    </row>
    <row r="19" spans="1:61" s="2126" customFormat="1">
      <c r="A19" s="2375"/>
      <c r="B19" s="2156"/>
      <c r="C19" s="2149"/>
      <c r="D19" s="3248"/>
      <c r="E19" s="2592" t="str">
        <f>ExpoRisk!E515</f>
        <v>Teneur limite (effet sans seuil)</v>
      </c>
      <c r="F19" s="2153" t="str">
        <f>ExpoRisk!F515</f>
        <v>Cs</v>
      </c>
      <c r="G19" s="2154" t="str">
        <f>ExpoRisk!G515</f>
        <v>mg/kg ms</v>
      </c>
      <c r="H19" s="2155" t="str">
        <f>ExpoRisk!H515</f>
        <v>PVL</v>
      </c>
      <c r="I19" s="2155" t="str">
        <f>ExpoRisk!I515</f>
        <v>PVL</v>
      </c>
      <c r="J19" s="2155" t="str">
        <f>ExpoRisk!J515</f>
        <v>PVL</v>
      </c>
      <c r="K19" s="3243">
        <f>ExpoRisk!K515</f>
        <v>1.8086303030303033</v>
      </c>
      <c r="L19" s="2155" t="str">
        <f>ExpoRisk!L515</f>
        <v>PVL</v>
      </c>
      <c r="M19" s="2155" t="str">
        <f>ExpoRisk!M515</f>
        <v>PVL</v>
      </c>
      <c r="N19" s="2155">
        <f>ExpoRisk!N515</f>
        <v>0.90431515151515141</v>
      </c>
      <c r="O19" s="2155">
        <f>ExpoRisk!O515</f>
        <v>0.90431515151515141</v>
      </c>
      <c r="P19" s="2155">
        <f>ExpoRisk!P515</f>
        <v>0.30654750898818695</v>
      </c>
      <c r="Q19" s="2155">
        <f>ExpoRisk!Q515</f>
        <v>0.30654750898818695</v>
      </c>
      <c r="R19" s="2155">
        <f>ExpoRisk!R515</f>
        <v>1.8086303030303033</v>
      </c>
      <c r="S19" s="2155">
        <f>ExpoRisk!S515</f>
        <v>7.863610013175229E-2</v>
      </c>
      <c r="T19" s="2155">
        <f>ExpoRisk!T515</f>
        <v>7.863610013175229E-2</v>
      </c>
      <c r="U19" s="2155">
        <f>ExpoRisk!U515</f>
        <v>4.3062626262626261E-2</v>
      </c>
      <c r="V19" s="2155" t="str">
        <f>ExpoRisk!V515</f>
        <v>PVL</v>
      </c>
      <c r="W19" s="2155" t="str">
        <f>ExpoRisk!W515</f>
        <v>PVL</v>
      </c>
      <c r="X19" s="3243">
        <f>ExpoRisk!X515</f>
        <v>0.30143838383838378</v>
      </c>
      <c r="Y19" s="2155" t="str">
        <f>ExpoRisk!Y515</f>
        <v>PVL</v>
      </c>
      <c r="Z19" s="2155">
        <f>ExpoRisk!Z515</f>
        <v>0.72345212121212132</v>
      </c>
      <c r="AA19" s="3022" t="str">
        <f>ExpoRisk!AA515</f>
        <v>PVL</v>
      </c>
      <c r="AB19" s="3243" t="str">
        <f>ExpoRisk!AB515</f>
        <v>PVL</v>
      </c>
      <c r="AC19" s="2155" t="str">
        <f>ExpoRisk!AC515</f>
        <v>PVL</v>
      </c>
      <c r="AD19" s="2155" t="str">
        <f>ExpoRisk!AD515</f>
        <v>PVL</v>
      </c>
      <c r="AE19" s="2155" t="str">
        <f>ExpoRisk!AE515</f>
        <v>PVL</v>
      </c>
      <c r="AF19" s="2155" t="str">
        <f>ExpoRisk!AF515</f>
        <v>PVL</v>
      </c>
      <c r="AG19" s="3721" t="str">
        <f>ExpoRisk!AG515</f>
        <v>PVL</v>
      </c>
      <c r="AH19" s="2155" t="str">
        <f>ExpoRisk!AH515</f>
        <v>PVL</v>
      </c>
      <c r="AI19" s="2155" t="str">
        <f>ExpoRisk!AI515</f>
        <v>PVL</v>
      </c>
      <c r="AJ19" s="2155" t="str">
        <f>ExpoRisk!AJ515</f>
        <v>PVL</v>
      </c>
      <c r="AK19" s="2155" t="str">
        <f>ExpoRisk!AK515</f>
        <v>PVL</v>
      </c>
      <c r="AL19" s="2155" t="str">
        <f>ExpoRisk!AL515</f>
        <v>PVL</v>
      </c>
      <c r="AM19" s="3022" t="str">
        <f>ExpoRisk!AM515</f>
        <v>PVL</v>
      </c>
      <c r="AN19" s="2155">
        <f>ExpoRisk!AN515</f>
        <v>5.4657193234831106E-2</v>
      </c>
      <c r="AO19" s="2155">
        <f>ExpoRisk!AO515</f>
        <v>3.2736081774919841</v>
      </c>
      <c r="AP19" s="2155">
        <f>ExpoRisk!AP515</f>
        <v>2.5158632155480651</v>
      </c>
      <c r="AQ19" s="2155">
        <f>ExpoRisk!AQ515</f>
        <v>4.0000540500248984</v>
      </c>
      <c r="AR19" s="2155">
        <f>ExpoRisk!AR515</f>
        <v>9.299913277035321</v>
      </c>
      <c r="AS19" s="2155">
        <f>ExpoRisk!AS515</f>
        <v>0.81130487583452282</v>
      </c>
      <c r="AT19" s="2155">
        <f>ExpoRisk!AT515</f>
        <v>35.52976496968072</v>
      </c>
      <c r="AU19" s="2155">
        <f>ExpoRisk!AU515</f>
        <v>36.385664955652977</v>
      </c>
      <c r="AV19" s="2155">
        <f>ExpoRisk!AV515</f>
        <v>1.2661929454148575</v>
      </c>
      <c r="AW19" s="2155">
        <f>ExpoRisk!AW515</f>
        <v>13.022816301201384</v>
      </c>
      <c r="AX19" s="2155">
        <f>ExpoRisk!AX515</f>
        <v>25.861298922701501</v>
      </c>
      <c r="AY19" s="2155">
        <f>ExpoRisk!AY515</f>
        <v>37.416668079564445</v>
      </c>
      <c r="AZ19" s="2155">
        <f>ExpoRisk!AZ515</f>
        <v>5.5738464851434175</v>
      </c>
      <c r="BA19" s="2155">
        <f>ExpoRisk!BA515</f>
        <v>31.986967206047492</v>
      </c>
      <c r="BB19" s="2155">
        <f>ExpoRisk!BB515</f>
        <v>207.51375486344185</v>
      </c>
      <c r="BC19" s="2155">
        <f>ExpoRisk!BC515</f>
        <v>75904424.211020678</v>
      </c>
      <c r="BD19" s="3243" t="str">
        <f>ExpoRisk!BD515</f>
        <v>PVL</v>
      </c>
      <c r="BE19" s="2155">
        <f>ExpoRisk!BE515</f>
        <v>0.68232498837884525</v>
      </c>
      <c r="BF19" s="3022">
        <f>ExpoRisk!BF515</f>
        <v>1.3646499767576905</v>
      </c>
      <c r="BG19" s="2155" t="str">
        <f>ExpoRisk!BG515</f>
        <v>PVL</v>
      </c>
      <c r="BH19" s="3246" t="str">
        <f>ExpoRisk!BH515</f>
        <v>PVL</v>
      </c>
      <c r="BI19" s="2155" t="str">
        <f>ExpoRisk!BI515</f>
        <v>PVL</v>
      </c>
    </row>
    <row r="20" spans="1:61" s="2126" customFormat="1">
      <c r="A20" s="2375"/>
      <c r="B20" s="2156"/>
      <c r="C20" s="2149"/>
      <c r="D20" s="3248"/>
      <c r="E20" s="2592" t="str">
        <f>ExpoRisk!E516</f>
        <v>Teneur limite avant contrôle de la saturation</v>
      </c>
      <c r="F20" s="2153" t="str">
        <f>ExpoRisk!F516</f>
        <v>Cs</v>
      </c>
      <c r="G20" s="2154" t="str">
        <f>ExpoRisk!G516</f>
        <v>mg/kg ms</v>
      </c>
      <c r="H20" s="2155">
        <f>ExpoRisk!H516</f>
        <v>21.726590419182642</v>
      </c>
      <c r="I20" s="2155">
        <f>ExpoRisk!I516</f>
        <v>21.726590419182642</v>
      </c>
      <c r="J20" s="2155">
        <f>ExpoRisk!J516</f>
        <v>191.60039130531911</v>
      </c>
      <c r="K20" s="3243">
        <f>ExpoRisk!K516</f>
        <v>0.28938084848484852</v>
      </c>
      <c r="L20" s="2155">
        <f>ExpoRisk!L516</f>
        <v>0.3100509090909091</v>
      </c>
      <c r="M20" s="2155">
        <f>ExpoRisk!M516</f>
        <v>0.3100509090909091</v>
      </c>
      <c r="N20" s="2155">
        <f>ExpoRisk!N516</f>
        <v>0.90431515151515141</v>
      </c>
      <c r="O20" s="2155">
        <f>ExpoRisk!O516</f>
        <v>0.90431515151515141</v>
      </c>
      <c r="P20" s="2155">
        <f>ExpoRisk!P516</f>
        <v>0.18086303030303036</v>
      </c>
      <c r="Q20" s="2155">
        <f>ExpoRisk!Q516</f>
        <v>0.18086303030303036</v>
      </c>
      <c r="R20" s="2155">
        <f>ExpoRisk!R516</f>
        <v>1.8086303030303033</v>
      </c>
      <c r="S20" s="2155">
        <f>ExpoRisk!S516</f>
        <v>7.863610013175229E-2</v>
      </c>
      <c r="T20" s="2155">
        <f>ExpoRisk!T516</f>
        <v>7.863610013175229E-2</v>
      </c>
      <c r="U20" s="2155">
        <f>ExpoRisk!U516</f>
        <v>4.3062626262626261E-2</v>
      </c>
      <c r="V20" s="2155">
        <f>ExpoRisk!V516</f>
        <v>5.1675151515151523</v>
      </c>
      <c r="W20" s="2155">
        <f>ExpoRisk!W516</f>
        <v>5.1675151515151523</v>
      </c>
      <c r="X20" s="3243">
        <f>ExpoRisk!X516</f>
        <v>4.960814545454547E-2</v>
      </c>
      <c r="Y20" s="2155">
        <f>ExpoRisk!Y516</f>
        <v>1.3435539393939397</v>
      </c>
      <c r="Z20" s="2155">
        <f>ExpoRisk!Z516</f>
        <v>0.72345212121212132</v>
      </c>
      <c r="AA20" s="3022">
        <f>ExpoRisk!AA516</f>
        <v>3.6172606060606061</v>
      </c>
      <c r="AB20" s="3243">
        <f>ExpoRisk!AB516</f>
        <v>1.0335030303030304</v>
      </c>
      <c r="AC20" s="2155">
        <f>ExpoRisk!AC516</f>
        <v>1.8173282568501126</v>
      </c>
      <c r="AD20" s="2155">
        <f>ExpoRisk!AD516</f>
        <v>4.3967566039946124</v>
      </c>
      <c r="AE20" s="2155" t="str">
        <f>ExpoRisk!AE516</f>
        <v>PVL</v>
      </c>
      <c r="AF20" s="2155" t="str">
        <f>ExpoRisk!AF516</f>
        <v>PVL</v>
      </c>
      <c r="AG20" s="3721">
        <f>ExpoRisk!AG516</f>
        <v>95.082278787878806</v>
      </c>
      <c r="AH20" s="2155">
        <f>ExpoRisk!AH516</f>
        <v>95.082278787878792</v>
      </c>
      <c r="AI20" s="2155">
        <f>ExpoRisk!AI516</f>
        <v>5.1675151515151514</v>
      </c>
      <c r="AJ20" s="2155">
        <f>ExpoRisk!AJ516</f>
        <v>5.1675151515151523</v>
      </c>
      <c r="AK20" s="2155">
        <f>ExpoRisk!AK516</f>
        <v>6.5110819455480886</v>
      </c>
      <c r="AL20" s="2155" t="str">
        <f>ExpoRisk!AL516</f>
        <v>PVL</v>
      </c>
      <c r="AM20" s="3022" t="str">
        <f>ExpoRisk!AM516</f>
        <v>PVL</v>
      </c>
      <c r="AN20" s="2155">
        <f>ExpoRisk!AN516</f>
        <v>5.4657193234831106E-2</v>
      </c>
      <c r="AO20" s="2155">
        <f>ExpoRisk!AO516</f>
        <v>3.2736081774919841</v>
      </c>
      <c r="AP20" s="2155">
        <f>ExpoRisk!AP516</f>
        <v>2.5158632155480651</v>
      </c>
      <c r="AQ20" s="2155">
        <f>ExpoRisk!AQ516</f>
        <v>4.0000540500248984</v>
      </c>
      <c r="AR20" s="2155">
        <f>ExpoRisk!AR516</f>
        <v>9.299913277035321</v>
      </c>
      <c r="AS20" s="2155">
        <f>ExpoRisk!AS516</f>
        <v>0.81130487583452282</v>
      </c>
      <c r="AT20" s="2155">
        <f>ExpoRisk!AT516</f>
        <v>35.52976496968072</v>
      </c>
      <c r="AU20" s="2155">
        <f>ExpoRisk!AU516</f>
        <v>36.385664955652977</v>
      </c>
      <c r="AV20" s="2155">
        <f>ExpoRisk!AV516</f>
        <v>1.2661929454148575</v>
      </c>
      <c r="AW20" s="2155">
        <f>ExpoRisk!AW516</f>
        <v>13.022816301201384</v>
      </c>
      <c r="AX20" s="2155">
        <f>ExpoRisk!AX516</f>
        <v>25.861298922701501</v>
      </c>
      <c r="AY20" s="2155">
        <f>ExpoRisk!AY516</f>
        <v>37.416668079564445</v>
      </c>
      <c r="AZ20" s="2155">
        <f>ExpoRisk!AZ516</f>
        <v>5.5738464851434175</v>
      </c>
      <c r="BA20" s="2155">
        <f>ExpoRisk!BA516</f>
        <v>31.986967206047492</v>
      </c>
      <c r="BB20" s="2155">
        <f>ExpoRisk!BB516</f>
        <v>207.51375486344185</v>
      </c>
      <c r="BC20" s="2155">
        <f>ExpoRisk!BC516</f>
        <v>75904424.211020678</v>
      </c>
      <c r="BD20" s="3243">
        <f>ExpoRisk!BD516</f>
        <v>7.7275160836308379</v>
      </c>
      <c r="BE20" s="2155">
        <f>ExpoRisk!BE516</f>
        <v>0.68232498837884525</v>
      </c>
      <c r="BF20" s="3022">
        <f>ExpoRisk!BF516</f>
        <v>1.3646499767576905</v>
      </c>
      <c r="BG20" s="2155">
        <f>ExpoRisk!BG516</f>
        <v>1.5502545454545454E-4</v>
      </c>
      <c r="BH20" s="3246">
        <f>ExpoRisk!BH516</f>
        <v>9.9195806050834195E-2</v>
      </c>
      <c r="BI20" s="2155">
        <f>ExpoRisk!BI516</f>
        <v>0.13815427896424801</v>
      </c>
    </row>
    <row r="21" spans="1:61" s="2274" customFormat="1">
      <c r="A21" s="2375"/>
      <c r="B21" s="2227"/>
      <c r="C21" s="3732"/>
      <c r="D21" s="3733"/>
      <c r="E21" s="3722" t="s">
        <v>985</v>
      </c>
      <c r="F21" s="2225" t="str">
        <f>ExpoRisk!F517</f>
        <v>Cs</v>
      </c>
      <c r="G21" s="2226" t="str">
        <f>ExpoRisk!G517</f>
        <v>mg/kg ms</v>
      </c>
      <c r="H21" s="2273">
        <f>ExpoRisk!H517</f>
        <v>21.726590419182642</v>
      </c>
      <c r="I21" s="2273">
        <f>ExpoRisk!I517</f>
        <v>21.726590419182642</v>
      </c>
      <c r="J21" s="2273">
        <f>ExpoRisk!J517</f>
        <v>191.60039130531911</v>
      </c>
      <c r="K21" s="3284">
        <f>ExpoRisk!K517</f>
        <v>0.28938084848484852</v>
      </c>
      <c r="L21" s="2273">
        <f>ExpoRisk!L517</f>
        <v>0.3100509090909091</v>
      </c>
      <c r="M21" s="2273">
        <f>ExpoRisk!M517</f>
        <v>0.3100509090909091</v>
      </c>
      <c r="N21" s="2273">
        <f>ExpoRisk!N517</f>
        <v>0.90431515151515141</v>
      </c>
      <c r="O21" s="2273">
        <f>ExpoRisk!O517</f>
        <v>0.90431515151515141</v>
      </c>
      <c r="P21" s="2273">
        <f>ExpoRisk!P517</f>
        <v>0.18086303030303036</v>
      </c>
      <c r="Q21" s="2273">
        <f>ExpoRisk!Q517</f>
        <v>0.18086303030303036</v>
      </c>
      <c r="R21" s="2273">
        <f>ExpoRisk!R517</f>
        <v>1.8086303030303033</v>
      </c>
      <c r="S21" s="2273">
        <f>ExpoRisk!S517</f>
        <v>7.863610013175229E-2</v>
      </c>
      <c r="T21" s="2273">
        <f>ExpoRisk!T517</f>
        <v>7.863610013175229E-2</v>
      </c>
      <c r="U21" s="2273">
        <f>ExpoRisk!U517</f>
        <v>4.3062626262626261E-2</v>
      </c>
      <c r="V21" s="2273">
        <f>ExpoRisk!V517</f>
        <v>5.1675151515151523</v>
      </c>
      <c r="W21" s="2273">
        <f>ExpoRisk!W517</f>
        <v>5.1675151515151523</v>
      </c>
      <c r="X21" s="3284">
        <f>ExpoRisk!X517</f>
        <v>4.960814545454547E-2</v>
      </c>
      <c r="Y21" s="2273">
        <f>ExpoRisk!Y517</f>
        <v>1.3435539393939397</v>
      </c>
      <c r="Z21" s="2273">
        <f>ExpoRisk!Z517</f>
        <v>0.72345212121212132</v>
      </c>
      <c r="AA21" s="3285">
        <f>ExpoRisk!AA517</f>
        <v>3.6172606060606061</v>
      </c>
      <c r="AB21" s="3284">
        <f>ExpoRisk!AB517</f>
        <v>1.0335030303030304</v>
      </c>
      <c r="AC21" s="2273">
        <f>ExpoRisk!AC517</f>
        <v>1.8173282568501126</v>
      </c>
      <c r="AD21" s="2273">
        <f>ExpoRisk!AD517</f>
        <v>4.3967566039946124</v>
      </c>
      <c r="AE21" s="2273" t="str">
        <f>ExpoRisk!AE517</f>
        <v>PVL</v>
      </c>
      <c r="AF21" s="2273" t="str">
        <f>ExpoRisk!AF517</f>
        <v>PVL</v>
      </c>
      <c r="AG21" s="3723">
        <f>ExpoRisk!AG517</f>
        <v>95.082278787878806</v>
      </c>
      <c r="AH21" s="2273" t="str">
        <f>ExpoRisk!AH517</f>
        <v>PVL</v>
      </c>
      <c r="AI21" s="2273">
        <f>ExpoRisk!AI517</f>
        <v>5.1675151515151514</v>
      </c>
      <c r="AJ21" s="2273">
        <f>ExpoRisk!AJ517</f>
        <v>5.1675151515151523</v>
      </c>
      <c r="AK21" s="2273" t="str">
        <f>ExpoRisk!AK517</f>
        <v>PVL</v>
      </c>
      <c r="AL21" s="2273" t="str">
        <f>ExpoRisk!AL517</f>
        <v>PVL</v>
      </c>
      <c r="AM21" s="3285" t="str">
        <f>ExpoRisk!AM517</f>
        <v>PVL</v>
      </c>
      <c r="AN21" s="2273">
        <f>ExpoRisk!AN517</f>
        <v>5.4657193234831106E-2</v>
      </c>
      <c r="AO21" s="2273">
        <f>ExpoRisk!AO517</f>
        <v>3.2736081774919841</v>
      </c>
      <c r="AP21" s="2273">
        <f>ExpoRisk!AP517</f>
        <v>2.5158632155480651</v>
      </c>
      <c r="AQ21" s="2273">
        <f>ExpoRisk!AQ517</f>
        <v>4.0000540500248984</v>
      </c>
      <c r="AR21" s="2273" t="str">
        <f>ExpoRisk!AR517</f>
        <v>PVL</v>
      </c>
      <c r="AS21" s="2273" t="str">
        <f>ExpoRisk!AS517</f>
        <v>PVL</v>
      </c>
      <c r="AT21" s="2273" t="str">
        <f>ExpoRisk!AT517</f>
        <v>PVL</v>
      </c>
      <c r="AU21" s="2273" t="str">
        <f>ExpoRisk!AU517</f>
        <v>PVL</v>
      </c>
      <c r="AV21" s="2273" t="str">
        <f>ExpoRisk!AV517</f>
        <v>PVL</v>
      </c>
      <c r="AW21" s="2273" t="str">
        <f>ExpoRisk!AW517</f>
        <v>PVL</v>
      </c>
      <c r="AX21" s="2273" t="str">
        <f>ExpoRisk!AX517</f>
        <v>PVL</v>
      </c>
      <c r="AY21" s="2273" t="str">
        <f>ExpoRisk!AY517</f>
        <v>PVL</v>
      </c>
      <c r="AZ21" s="2273" t="str">
        <f>ExpoRisk!AZ517</f>
        <v>PVL</v>
      </c>
      <c r="BA21" s="2273" t="str">
        <f>ExpoRisk!BA517</f>
        <v>PVL</v>
      </c>
      <c r="BB21" s="2273" t="str">
        <f>ExpoRisk!BB517</f>
        <v>PVL</v>
      </c>
      <c r="BC21" s="2273" t="str">
        <f>ExpoRisk!BC517</f>
        <v>PVL</v>
      </c>
      <c r="BD21" s="3284">
        <f>ExpoRisk!BD517</f>
        <v>7.7275160836308379</v>
      </c>
      <c r="BE21" s="2273">
        <f>ExpoRisk!BE517</f>
        <v>0.68232498837884525</v>
      </c>
      <c r="BF21" s="3285">
        <f>ExpoRisk!BF517</f>
        <v>1.3646499767576905</v>
      </c>
      <c r="BG21" s="2273">
        <f>ExpoRisk!BG517</f>
        <v>1.5502545454545454E-4</v>
      </c>
      <c r="BH21" s="3287">
        <f>ExpoRisk!BH517</f>
        <v>9.9195806050834195E-2</v>
      </c>
      <c r="BI21" s="2273">
        <f>ExpoRisk!BI517</f>
        <v>0.13815427896424801</v>
      </c>
    </row>
    <row r="22" spans="1:61" s="3744" customFormat="1">
      <c r="A22" s="3734"/>
      <c r="B22" s="3735"/>
      <c r="C22" s="240"/>
      <c r="D22" s="3238"/>
      <c r="E22" s="3736" t="str">
        <f>ExpoRisk!E518</f>
        <v>Equivalent air du sol</v>
      </c>
      <c r="F22" s="3737" t="s">
        <v>93</v>
      </c>
      <c r="G22" s="3738" t="s">
        <v>24</v>
      </c>
      <c r="H22" s="3739">
        <f>ExpoRisk!H518</f>
        <v>57.238518855737574</v>
      </c>
      <c r="I22" s="3739">
        <f>ExpoRisk!I518</f>
        <v>57.238518855737574</v>
      </c>
      <c r="J22" s="3739">
        <f>ExpoRisk!J518</f>
        <v>3313.6646141737365</v>
      </c>
      <c r="K22" s="3740">
        <f>ExpoRisk!K518</f>
        <v>1115.0751978349901</v>
      </c>
      <c r="L22" s="3739">
        <f>ExpoRisk!L518</f>
        <v>223.3727255373062</v>
      </c>
      <c r="M22" s="3739">
        <f>ExpoRisk!M518</f>
        <v>223.3727255373062</v>
      </c>
      <c r="N22" s="3739">
        <f>ExpoRisk!N518</f>
        <v>1284.968919746218</v>
      </c>
      <c r="O22" s="3739">
        <f>ExpoRisk!O518</f>
        <v>1284.968919746218</v>
      </c>
      <c r="P22" s="3739">
        <f>ExpoRisk!P518</f>
        <v>280.5706722367384</v>
      </c>
      <c r="Q22" s="3739">
        <f>ExpoRisk!Q518</f>
        <v>280.5706722367384</v>
      </c>
      <c r="R22" s="3739">
        <f>ExpoRisk!R518</f>
        <v>1127.817118613948</v>
      </c>
      <c r="S22" s="3739">
        <f>ExpoRisk!S518</f>
        <v>46.003944069580591</v>
      </c>
      <c r="T22" s="3739">
        <f>ExpoRisk!T518</f>
        <v>46.003944069580591</v>
      </c>
      <c r="U22" s="3739">
        <f>ExpoRisk!U518</f>
        <v>118.6058295640955</v>
      </c>
      <c r="V22" s="3739">
        <f>ExpoRisk!V518</f>
        <v>23296.105508792771</v>
      </c>
      <c r="W22" s="3739">
        <f>ExpoRisk!W518</f>
        <v>23296.105508792771</v>
      </c>
      <c r="X22" s="3740">
        <f>ExpoRisk!X518</f>
        <v>42.903932996838442</v>
      </c>
      <c r="Y22" s="3739">
        <f>ExpoRisk!Y518</f>
        <v>805.32166015097914</v>
      </c>
      <c r="Z22" s="3739">
        <f>ExpoRisk!Z518</f>
        <v>256.80591390590763</v>
      </c>
      <c r="AA22" s="3741">
        <f>ExpoRisk!AA518</f>
        <v>861.40367070672505</v>
      </c>
      <c r="AB22" s="3740">
        <f>ExpoRisk!AB518</f>
        <v>278.34927118724164</v>
      </c>
      <c r="AC22" s="3739">
        <f>ExpoRisk!AC518</f>
        <v>95.509310363068565</v>
      </c>
      <c r="AD22" s="3739">
        <f>ExpoRisk!AD518</f>
        <v>45.22821869705205</v>
      </c>
      <c r="AE22" s="3739" t="str">
        <f>ExpoRisk!AE518</f>
        <v>PVL</v>
      </c>
      <c r="AF22" s="3739" t="str">
        <f>ExpoRisk!AF518</f>
        <v>PVL</v>
      </c>
      <c r="AG22" s="3742">
        <f>ExpoRisk!AG518</f>
        <v>588947.92019305448</v>
      </c>
      <c r="AH22" s="3739" t="str">
        <f>ExpoRisk!AH518</f>
        <v>PVL</v>
      </c>
      <c r="AI22" s="3739">
        <f>ExpoRisk!AI518</f>
        <v>9744.7938404108027</v>
      </c>
      <c r="AJ22" s="3739">
        <f>ExpoRisk!AJ518</f>
        <v>2319.6814056859121</v>
      </c>
      <c r="AK22" s="3739" t="str">
        <f>ExpoRisk!AK518</f>
        <v>PVL</v>
      </c>
      <c r="AL22" s="3739" t="str">
        <f>ExpoRisk!AL518</f>
        <v>PVL</v>
      </c>
      <c r="AM22" s="3741" t="str">
        <f>ExpoRisk!AM518</f>
        <v>PVL</v>
      </c>
      <c r="AN22" s="3739">
        <f>ExpoRisk!AN518</f>
        <v>0.23363252714167848</v>
      </c>
      <c r="AO22" s="3739">
        <f>ExpoRisk!AO518</f>
        <v>3.8217465989328727</v>
      </c>
      <c r="AP22" s="3739">
        <f>ExpoRisk!AP518</f>
        <v>4.9136624313007857</v>
      </c>
      <c r="AQ22" s="3739">
        <f>ExpoRisk!AQ518</f>
        <v>3.1633455231281626</v>
      </c>
      <c r="AR22" s="3739" t="str">
        <f>ExpoRisk!AR518</f>
        <v>PVL</v>
      </c>
      <c r="AS22" s="3739" t="str">
        <f>ExpoRisk!AS518</f>
        <v>PVL</v>
      </c>
      <c r="AT22" s="3739" t="str">
        <f>ExpoRisk!AT518</f>
        <v>PVL</v>
      </c>
      <c r="AU22" s="3739" t="str">
        <f>ExpoRisk!AU518</f>
        <v>PVL</v>
      </c>
      <c r="AV22" s="3739" t="str">
        <f>ExpoRisk!AV518</f>
        <v>PVL</v>
      </c>
      <c r="AW22" s="3739" t="str">
        <f>ExpoRisk!AW518</f>
        <v>PVL</v>
      </c>
      <c r="AX22" s="3739" t="str">
        <f>ExpoRisk!AX518</f>
        <v>PVL</v>
      </c>
      <c r="AY22" s="3739" t="str">
        <f>ExpoRisk!AY518</f>
        <v>PVL</v>
      </c>
      <c r="AZ22" s="3739" t="str">
        <f>ExpoRisk!AZ518</f>
        <v>PVL</v>
      </c>
      <c r="BA22" s="3739" t="str">
        <f>ExpoRisk!BA518</f>
        <v>PVL</v>
      </c>
      <c r="BB22" s="3739" t="str">
        <f>ExpoRisk!BB518</f>
        <v>PVL</v>
      </c>
      <c r="BC22" s="3739" t="str">
        <f>ExpoRisk!BC518</f>
        <v>PVL</v>
      </c>
      <c r="BD22" s="3740">
        <f>ExpoRisk!BD518</f>
        <v>0.72288714008064547</v>
      </c>
      <c r="BE22" s="3739">
        <f>ExpoRisk!BE518</f>
        <v>1.4166889125428299E-3</v>
      </c>
      <c r="BF22" s="3741">
        <f>ExpoRisk!BF518</f>
        <v>2.8333778250856597E-3</v>
      </c>
      <c r="BG22" s="3739" t="str">
        <f>ExpoRisk!BG518</f>
        <v>Saturation</v>
      </c>
      <c r="BH22" s="3743">
        <f>ExpoRisk!BH518</f>
        <v>1.2339752812956338E-2</v>
      </c>
      <c r="BI22" s="3739">
        <f>ExpoRisk!BI518</f>
        <v>0.13297534362822425</v>
      </c>
    </row>
    <row r="23" spans="1:61" s="3754" customFormat="1" hidden="1">
      <c r="A23" s="3745"/>
      <c r="B23" s="2125"/>
      <c r="C23" s="3746"/>
      <c r="D23" s="3747"/>
      <c r="E23" s="3748" t="s">
        <v>953</v>
      </c>
      <c r="F23" s="3749" t="s">
        <v>19</v>
      </c>
      <c r="G23" s="3750" t="s">
        <v>20</v>
      </c>
      <c r="H23" s="3751" t="str">
        <f>ExpoRisk!H475</f>
        <v>PVL</v>
      </c>
      <c r="I23" s="3751" t="str">
        <f>ExpoRisk!I475</f>
        <v>PVL</v>
      </c>
      <c r="J23" s="3751" t="str">
        <f>ExpoRisk!J475</f>
        <v>PVL</v>
      </c>
      <c r="K23" s="3752">
        <f>ExpoRisk!K475</f>
        <v>0.16733132321493815</v>
      </c>
      <c r="L23" s="3751">
        <f>ExpoRisk!L475</f>
        <v>2.3576628634553467</v>
      </c>
      <c r="M23" s="3751">
        <f>ExpoRisk!M475</f>
        <v>2.3576628634553467</v>
      </c>
      <c r="N23" s="3751">
        <f>ExpoRisk!N475</f>
        <v>2.6685443711771026</v>
      </c>
      <c r="O23" s="3751">
        <f>ExpoRisk!O475</f>
        <v>2.6685443711771026</v>
      </c>
      <c r="P23" s="3751">
        <f>ExpoRisk!P475</f>
        <v>2.9748241300127707</v>
      </c>
      <c r="Q23" s="3751">
        <f>ExpoRisk!Q475</f>
        <v>2.9748241300127707</v>
      </c>
      <c r="R23" s="3751">
        <f>ExpoRisk!R475</f>
        <v>3.5087125601480218</v>
      </c>
      <c r="S23" s="3751">
        <f>ExpoRisk!S475</f>
        <v>0.50477358131553673</v>
      </c>
      <c r="T23" s="3751">
        <f>ExpoRisk!T475</f>
        <v>0.50477358131553673</v>
      </c>
      <c r="U23" s="3751">
        <f>ExpoRisk!U475</f>
        <v>5.5259304889693377</v>
      </c>
      <c r="V23" s="3751">
        <f>ExpoRisk!V475</f>
        <v>3.0503261000203228</v>
      </c>
      <c r="W23" s="3751">
        <f>ExpoRisk!W475</f>
        <v>3.0503261000203228</v>
      </c>
      <c r="X23" s="3752">
        <f>ExpoRisk!X475</f>
        <v>0.43503404170731469</v>
      </c>
      <c r="Y23" s="3751">
        <f>ExpoRisk!Y475</f>
        <v>0.38689680645917712</v>
      </c>
      <c r="Z23" s="3751">
        <f>ExpoRisk!Z475</f>
        <v>0.68117653917636534</v>
      </c>
      <c r="AA23" s="3246">
        <f>ExpoRisk!AA475</f>
        <v>3.0902825726105098E-2</v>
      </c>
      <c r="AB23" s="3752">
        <f>ExpoRisk!AB475</f>
        <v>0.15662521348555603</v>
      </c>
      <c r="AC23" s="3751">
        <f>ExpoRisk!AC475</f>
        <v>0.21117767496292295</v>
      </c>
      <c r="AD23" s="3751">
        <f>ExpoRisk!AD475</f>
        <v>1.0789051720739191</v>
      </c>
      <c r="AE23" s="3751" t="str">
        <f>ExpoRisk!AE475</f>
        <v>PVL</v>
      </c>
      <c r="AF23" s="3751" t="str">
        <f>ExpoRisk!AF475</f>
        <v>PVL</v>
      </c>
      <c r="AG23" s="3753">
        <f>ExpoRisk!AG475</f>
        <v>0.15599003043431645</v>
      </c>
      <c r="AH23" s="3751">
        <f>ExpoRisk!AH475</f>
        <v>1.1858748828365722</v>
      </c>
      <c r="AI23" s="3751">
        <f>ExpoRisk!AI475</f>
        <v>0.23584816061581279</v>
      </c>
      <c r="AJ23" s="3751">
        <f>ExpoRisk!AJ475</f>
        <v>0.38023198493573312</v>
      </c>
      <c r="AK23" s="3751" t="str">
        <f>ExpoRisk!AK475</f>
        <v>PVL</v>
      </c>
      <c r="AL23" s="3751" t="str">
        <f>ExpoRisk!AL475</f>
        <v>PVL</v>
      </c>
      <c r="AM23" s="3246" t="str">
        <f>ExpoRisk!AM475</f>
        <v>PVL</v>
      </c>
      <c r="AN23" s="3751">
        <f>ExpoRisk!AN475</f>
        <v>2.5964164575011477</v>
      </c>
      <c r="AO23" s="3751">
        <f>ExpoRisk!AO475</f>
        <v>9.5065982966846629</v>
      </c>
      <c r="AP23" s="3751">
        <f>ExpoRisk!AP475</f>
        <v>5.682533990460346</v>
      </c>
      <c r="AQ23" s="3751" t="str">
        <f>ExpoRisk!AQ475</f>
        <v>PVL</v>
      </c>
      <c r="AR23" s="3751" t="str">
        <f>ExpoRisk!AR475</f>
        <v>PVL</v>
      </c>
      <c r="AS23" s="3751" t="str">
        <f>ExpoRisk!AS475</f>
        <v>PVL</v>
      </c>
      <c r="AT23" s="3751" t="str">
        <f>ExpoRisk!AT475</f>
        <v>PVL</v>
      </c>
      <c r="AU23" s="3751" t="str">
        <f>ExpoRisk!AU475</f>
        <v>PVL</v>
      </c>
      <c r="AV23" s="3751" t="str">
        <f>ExpoRisk!AV475</f>
        <v>PVL</v>
      </c>
      <c r="AW23" s="3751" t="str">
        <f>ExpoRisk!AW475</f>
        <v>PVL</v>
      </c>
      <c r="AX23" s="3751" t="str">
        <f>ExpoRisk!AX475</f>
        <v>PVL</v>
      </c>
      <c r="AY23" s="3751" t="str">
        <f>ExpoRisk!AY475</f>
        <v>PVL</v>
      </c>
      <c r="AZ23" s="3751" t="str">
        <f>ExpoRisk!AZ475</f>
        <v>PVL</v>
      </c>
      <c r="BA23" s="3751" t="str">
        <f>ExpoRisk!BA475</f>
        <v>PVL</v>
      </c>
      <c r="BB23" s="3751" t="str">
        <f>ExpoRisk!BB475</f>
        <v>PVL</v>
      </c>
      <c r="BC23" s="3751" t="str">
        <f>ExpoRisk!BC475</f>
        <v>PVL</v>
      </c>
      <c r="BD23" s="3752">
        <f>ExpoRisk!BD475</f>
        <v>41.475543319572317</v>
      </c>
      <c r="BE23" s="3751" t="str">
        <f>ExpoRisk!BE475</f>
        <v>PVL</v>
      </c>
      <c r="BF23" s="3246" t="str">
        <f>ExpoRisk!BF475</f>
        <v>PVL</v>
      </c>
      <c r="BG23" s="3751" t="str">
        <f>ExpoRisk!BG475</f>
        <v>nd</v>
      </c>
      <c r="BH23" s="3246" t="str">
        <f>ExpoRisk!BH475</f>
        <v>PVL</v>
      </c>
      <c r="BI23" s="3751" t="str">
        <f>ExpoRisk!BI475</f>
        <v>PVL</v>
      </c>
    </row>
    <row r="24" spans="1:61" s="3754" customFormat="1" hidden="1">
      <c r="A24" s="3745"/>
      <c r="B24" s="2125"/>
      <c r="C24" s="3746"/>
      <c r="D24" s="3747"/>
      <c r="E24" s="3748" t="s">
        <v>983</v>
      </c>
      <c r="F24" s="3749" t="s">
        <v>19</v>
      </c>
      <c r="G24" s="3750" t="s">
        <v>20</v>
      </c>
      <c r="H24" s="3751" t="str">
        <f>ExpoRisk!H485</f>
        <v>PVL</v>
      </c>
      <c r="I24" s="3751" t="str">
        <f>ExpoRisk!I485</f>
        <v>PVL</v>
      </c>
      <c r="J24" s="3751" t="str">
        <f>ExpoRisk!J485</f>
        <v>PVL</v>
      </c>
      <c r="K24" s="3752">
        <f>ExpoRisk!K485</f>
        <v>22.556444444444448</v>
      </c>
      <c r="L24" s="3751">
        <f>ExpoRisk!L485</f>
        <v>59.420713802836858</v>
      </c>
      <c r="M24" s="3751">
        <f>ExpoRisk!M485</f>
        <v>59.420713802836858</v>
      </c>
      <c r="N24" s="3751">
        <f>ExpoRisk!N485</f>
        <v>132.64969988927811</v>
      </c>
      <c r="O24" s="3751">
        <f>ExpoRisk!O485</f>
        <v>132.64969988927811</v>
      </c>
      <c r="P24" s="3751" t="str">
        <f>ExpoRisk!P485</f>
        <v>PVL</v>
      </c>
      <c r="Q24" s="3751" t="str">
        <f>ExpoRisk!Q485</f>
        <v>PVL</v>
      </c>
      <c r="R24" s="3751">
        <f>ExpoRisk!R485</f>
        <v>76.557379690210681</v>
      </c>
      <c r="S24" s="3751">
        <f>ExpoRisk!S485</f>
        <v>10.330676071965918</v>
      </c>
      <c r="T24" s="3751">
        <f>ExpoRisk!T485</f>
        <v>10.330676071965918</v>
      </c>
      <c r="U24" s="3751" t="str">
        <f>ExpoRisk!U485</f>
        <v>PVL</v>
      </c>
      <c r="V24" s="3751">
        <f>ExpoRisk!V485</f>
        <v>481.06843745521746</v>
      </c>
      <c r="W24" s="3751">
        <f>ExpoRisk!W485</f>
        <v>481.06843745521746</v>
      </c>
      <c r="X24" s="3752">
        <f>ExpoRisk!X485</f>
        <v>13.162136292059106</v>
      </c>
      <c r="Y24" s="3751">
        <f>ExpoRisk!Y485</f>
        <v>8.1127565902731202</v>
      </c>
      <c r="Z24" s="3751">
        <f>ExpoRisk!Z485</f>
        <v>8.4589008714581055</v>
      </c>
      <c r="AA24" s="3246">
        <f>ExpoRisk!AA485</f>
        <v>0.25744480913133366</v>
      </c>
      <c r="AB24" s="3752">
        <f>ExpoRisk!AB485</f>
        <v>1.4757032629608855</v>
      </c>
      <c r="AC24" s="3751">
        <f>ExpoRisk!AC485</f>
        <v>0.38825705979465486</v>
      </c>
      <c r="AD24" s="3751">
        <f>ExpoRisk!AD485</f>
        <v>1.0789051720739191</v>
      </c>
      <c r="AE24" s="3751" t="str">
        <f>ExpoRisk!AE485</f>
        <v>PVL</v>
      </c>
      <c r="AF24" s="3751" t="str">
        <f>ExpoRisk!AF485</f>
        <v>PVL</v>
      </c>
      <c r="AG24" s="3753">
        <f>ExpoRisk!AG485</f>
        <v>33.80128267563996</v>
      </c>
      <c r="AH24" s="3751" t="str">
        <f>ExpoRisk!AH485</f>
        <v>PVL</v>
      </c>
      <c r="AI24" s="3751">
        <f>ExpoRisk!AI485</f>
        <v>15.559026408899966</v>
      </c>
      <c r="AJ24" s="3751">
        <f>ExpoRisk!AJ485</f>
        <v>5.9710987927148196</v>
      </c>
      <c r="AK24" s="3751" t="str">
        <f>ExpoRisk!AK485</f>
        <v>PVL</v>
      </c>
      <c r="AL24" s="3751" t="str">
        <f>ExpoRisk!AL485</f>
        <v>PVL</v>
      </c>
      <c r="AM24" s="3246" t="str">
        <f>ExpoRisk!AM485</f>
        <v>PVL</v>
      </c>
      <c r="AN24" s="3751">
        <f>ExpoRisk!AN485</f>
        <v>2.5964164575011477</v>
      </c>
      <c r="AO24" s="3751">
        <f>ExpoRisk!AO485</f>
        <v>9.5065982966846629</v>
      </c>
      <c r="AP24" s="3751">
        <f>ExpoRisk!AP485</f>
        <v>5.682533990460346</v>
      </c>
      <c r="AQ24" s="3751" t="str">
        <f>ExpoRisk!AQ485</f>
        <v>PVL</v>
      </c>
      <c r="AR24" s="3751" t="str">
        <f>ExpoRisk!AR485</f>
        <v>PVL</v>
      </c>
      <c r="AS24" s="3751" t="str">
        <f>ExpoRisk!AS485</f>
        <v>PVL</v>
      </c>
      <c r="AT24" s="3751" t="str">
        <f>ExpoRisk!AT485</f>
        <v>PVL</v>
      </c>
      <c r="AU24" s="3751" t="str">
        <f>ExpoRisk!AU485</f>
        <v>PVL</v>
      </c>
      <c r="AV24" s="3751" t="str">
        <f>ExpoRisk!AV485</f>
        <v>PVL</v>
      </c>
      <c r="AW24" s="3751" t="str">
        <f>ExpoRisk!AW485</f>
        <v>PVL</v>
      </c>
      <c r="AX24" s="3751" t="str">
        <f>ExpoRisk!AX485</f>
        <v>PVL</v>
      </c>
      <c r="AY24" s="3751" t="str">
        <f>ExpoRisk!AY485</f>
        <v>PVL</v>
      </c>
      <c r="AZ24" s="3751" t="str">
        <f>ExpoRisk!AZ485</f>
        <v>PVL</v>
      </c>
      <c r="BA24" s="3751" t="str">
        <f>ExpoRisk!BA485</f>
        <v>PVL</v>
      </c>
      <c r="BB24" s="3751" t="str">
        <f>ExpoRisk!BB485</f>
        <v>PVL</v>
      </c>
      <c r="BC24" s="3751" t="str">
        <f>ExpoRisk!BC485</f>
        <v>PVL</v>
      </c>
      <c r="BD24" s="3752">
        <f>ExpoRisk!BD485</f>
        <v>41.475543319572317</v>
      </c>
      <c r="BE24" s="3751" t="str">
        <f>ExpoRisk!BE485</f>
        <v>PVL</v>
      </c>
      <c r="BF24" s="3246" t="str">
        <f>ExpoRisk!BF485</f>
        <v>PVL</v>
      </c>
      <c r="BG24" s="3751" t="str">
        <f>ExpoRisk!BG485</f>
        <v>nd</v>
      </c>
      <c r="BH24" s="3246" t="str">
        <f>ExpoRisk!BH485</f>
        <v>PVL</v>
      </c>
      <c r="BI24" s="3751" t="str">
        <f>ExpoRisk!BI485</f>
        <v>PVL</v>
      </c>
    </row>
    <row r="25" spans="1:61" s="3767" customFormat="1" ht="25.5" hidden="1">
      <c r="A25" s="3755"/>
      <c r="B25" s="3756"/>
      <c r="C25" s="3757"/>
      <c r="D25" s="3758"/>
      <c r="E25" s="3759" t="s">
        <v>954</v>
      </c>
      <c r="F25" s="3760" t="str">
        <f>ExpoRisk!F475</f>
        <v>Cs</v>
      </c>
      <c r="G25" s="3761" t="str">
        <f>ExpoRisk!G475</f>
        <v>mg/kg ms</v>
      </c>
      <c r="H25" s="3762">
        <f>IF(H21="PVL",H23,IF(H23="PVL",H21,MIN(H21,H23)))</f>
        <v>21.726590419182642</v>
      </c>
      <c r="I25" s="3762">
        <f t="shared" ref="I25:BI25" si="0">IF(I21="PVL",I23,IF(I23="PVL",I21,MIN(I21,I23)))</f>
        <v>21.726590419182642</v>
      </c>
      <c r="J25" s="3762">
        <f>IF(J21="PVL",J23,IF(J23="PVL",J21,MIN(J21,J23)))</f>
        <v>191.60039130531911</v>
      </c>
      <c r="K25" s="3763">
        <f t="shared" si="0"/>
        <v>0.16733132321493815</v>
      </c>
      <c r="L25" s="3762">
        <f t="shared" si="0"/>
        <v>0.3100509090909091</v>
      </c>
      <c r="M25" s="3762">
        <f t="shared" si="0"/>
        <v>0.3100509090909091</v>
      </c>
      <c r="N25" s="3762">
        <f>IF(N21="PVL",N23,IF(N23="PVL",N21,MIN(N21,N23)))</f>
        <v>0.90431515151515141</v>
      </c>
      <c r="O25" s="3762">
        <f>IF(O21="PVL",O23,IF(O23="PVL",O21,MIN(O21,O23)))</f>
        <v>0.90431515151515141</v>
      </c>
      <c r="P25" s="3762">
        <f t="shared" si="0"/>
        <v>0.18086303030303036</v>
      </c>
      <c r="Q25" s="3762">
        <f t="shared" si="0"/>
        <v>0.18086303030303036</v>
      </c>
      <c r="R25" s="3762">
        <f>IF(R21="PVL",R23,IF(R23="PVL",R21,MIN(R21,R23)))</f>
        <v>1.8086303030303033</v>
      </c>
      <c r="S25" s="3762">
        <f>IF(S21="PVL",S23,IF(S23="PVL",S21,MIN(S21,S23)))</f>
        <v>7.863610013175229E-2</v>
      </c>
      <c r="T25" s="3762">
        <f>IF(T21="PVL",T23,IF(T23="PVL",T21,MIN(T21,T23)))</f>
        <v>7.863610013175229E-2</v>
      </c>
      <c r="U25" s="3762">
        <f t="shared" si="0"/>
        <v>4.3062626262626261E-2</v>
      </c>
      <c r="V25" s="3762">
        <f t="shared" si="0"/>
        <v>3.0503261000203228</v>
      </c>
      <c r="W25" s="3762">
        <f t="shared" si="0"/>
        <v>3.0503261000203228</v>
      </c>
      <c r="X25" s="3763">
        <f t="shared" si="0"/>
        <v>4.960814545454547E-2</v>
      </c>
      <c r="Y25" s="3762">
        <f t="shared" si="0"/>
        <v>0.38689680645917712</v>
      </c>
      <c r="Z25" s="3762">
        <f t="shared" si="0"/>
        <v>0.68117653917636534</v>
      </c>
      <c r="AA25" s="3764">
        <f t="shared" si="0"/>
        <v>3.0902825726105098E-2</v>
      </c>
      <c r="AB25" s="3763">
        <f t="shared" si="0"/>
        <v>0.15662521348555603</v>
      </c>
      <c r="AC25" s="3762">
        <f t="shared" si="0"/>
        <v>0.21117767496292295</v>
      </c>
      <c r="AD25" s="3762">
        <f t="shared" si="0"/>
        <v>1.0789051720739191</v>
      </c>
      <c r="AE25" s="3762" t="str">
        <f t="shared" si="0"/>
        <v>PVL</v>
      </c>
      <c r="AF25" s="3762" t="str">
        <f t="shared" si="0"/>
        <v>PVL</v>
      </c>
      <c r="AG25" s="3765">
        <f t="shared" si="0"/>
        <v>0.15599003043431645</v>
      </c>
      <c r="AH25" s="3762">
        <f t="shared" si="0"/>
        <v>1.1858748828365722</v>
      </c>
      <c r="AI25" s="3762">
        <f t="shared" si="0"/>
        <v>0.23584816061581279</v>
      </c>
      <c r="AJ25" s="3762">
        <f t="shared" si="0"/>
        <v>0.38023198493573312</v>
      </c>
      <c r="AK25" s="3762" t="str">
        <f t="shared" si="0"/>
        <v>PVL</v>
      </c>
      <c r="AL25" s="3762" t="str">
        <f t="shared" si="0"/>
        <v>PVL</v>
      </c>
      <c r="AM25" s="3764" t="str">
        <f t="shared" si="0"/>
        <v>PVL</v>
      </c>
      <c r="AN25" s="3762">
        <f t="shared" si="0"/>
        <v>5.4657193234831106E-2</v>
      </c>
      <c r="AO25" s="3762">
        <f t="shared" si="0"/>
        <v>3.2736081774919841</v>
      </c>
      <c r="AP25" s="3762">
        <f t="shared" si="0"/>
        <v>2.5158632155480651</v>
      </c>
      <c r="AQ25" s="3762">
        <f t="shared" si="0"/>
        <v>4.0000540500248984</v>
      </c>
      <c r="AR25" s="3762" t="str">
        <f t="shared" si="0"/>
        <v>PVL</v>
      </c>
      <c r="AS25" s="3762" t="str">
        <f t="shared" si="0"/>
        <v>PVL</v>
      </c>
      <c r="AT25" s="3762" t="str">
        <f t="shared" si="0"/>
        <v>PVL</v>
      </c>
      <c r="AU25" s="3762" t="str">
        <f t="shared" si="0"/>
        <v>PVL</v>
      </c>
      <c r="AV25" s="3762" t="str">
        <f t="shared" si="0"/>
        <v>PVL</v>
      </c>
      <c r="AW25" s="3762" t="str">
        <f t="shared" si="0"/>
        <v>PVL</v>
      </c>
      <c r="AX25" s="3762" t="str">
        <f t="shared" si="0"/>
        <v>PVL</v>
      </c>
      <c r="AY25" s="3762" t="str">
        <f t="shared" si="0"/>
        <v>PVL</v>
      </c>
      <c r="AZ25" s="3762" t="str">
        <f t="shared" si="0"/>
        <v>PVL</v>
      </c>
      <c r="BA25" s="3762" t="str">
        <f t="shared" si="0"/>
        <v>PVL</v>
      </c>
      <c r="BB25" s="3762" t="str">
        <f t="shared" si="0"/>
        <v>PVL</v>
      </c>
      <c r="BC25" s="3762" t="str">
        <f t="shared" si="0"/>
        <v>PVL</v>
      </c>
      <c r="BD25" s="3763">
        <f t="shared" si="0"/>
        <v>7.7275160836308379</v>
      </c>
      <c r="BE25" s="3762">
        <f t="shared" si="0"/>
        <v>0.68232498837884525</v>
      </c>
      <c r="BF25" s="3764">
        <f t="shared" si="0"/>
        <v>1.3646499767576905</v>
      </c>
      <c r="BG25" s="3762">
        <f t="shared" si="0"/>
        <v>1.5502545454545454E-4</v>
      </c>
      <c r="BH25" s="3766">
        <f t="shared" si="0"/>
        <v>9.9195806050834195E-2</v>
      </c>
      <c r="BI25" s="3762">
        <f t="shared" si="0"/>
        <v>0.13815427896424801</v>
      </c>
    </row>
    <row r="26" spans="1:61" s="3767" customFormat="1" hidden="1">
      <c r="A26" s="3755"/>
      <c r="B26" s="3756"/>
      <c r="C26" s="3757"/>
      <c r="D26" s="3758"/>
      <c r="E26" s="3759" t="s">
        <v>984</v>
      </c>
      <c r="F26" s="3760" t="s">
        <v>19</v>
      </c>
      <c r="G26" s="3761" t="s">
        <v>20</v>
      </c>
      <c r="H26" s="3762">
        <f>IF(H21="PVL",H24,IF(H24="PVL",H21,MIN(H21,H24)))</f>
        <v>21.726590419182642</v>
      </c>
      <c r="I26" s="3762">
        <f t="shared" ref="I26:BI26" si="1">IF(I21="PVL",I24,IF(I24="PVL",I21,MIN(I21,I24)))</f>
        <v>21.726590419182642</v>
      </c>
      <c r="J26" s="3762">
        <f>IF(J21="PVL",J24,IF(J24="PVL",J21,MIN(J21,J24)))</f>
        <v>191.60039130531911</v>
      </c>
      <c r="K26" s="3763">
        <f t="shared" si="1"/>
        <v>0.28938084848484852</v>
      </c>
      <c r="L26" s="3762">
        <f t="shared" si="1"/>
        <v>0.3100509090909091</v>
      </c>
      <c r="M26" s="3762">
        <f t="shared" si="1"/>
        <v>0.3100509090909091</v>
      </c>
      <c r="N26" s="3762">
        <f>IF(N21="PVL",N24,IF(N24="PVL",N21,MIN(N21,N24)))</f>
        <v>0.90431515151515141</v>
      </c>
      <c r="O26" s="3762">
        <f>IF(O21="PVL",O24,IF(O24="PVL",O21,MIN(O21,O24)))</f>
        <v>0.90431515151515141</v>
      </c>
      <c r="P26" s="3762">
        <f t="shared" si="1"/>
        <v>0.18086303030303036</v>
      </c>
      <c r="Q26" s="3762">
        <f t="shared" si="1"/>
        <v>0.18086303030303036</v>
      </c>
      <c r="R26" s="3762">
        <f>IF(R21="PVL",R24,IF(R24="PVL",R21,MIN(R21,R24)))</f>
        <v>1.8086303030303033</v>
      </c>
      <c r="S26" s="3762">
        <f>IF(S21="PVL",S24,IF(S24="PVL",S21,MIN(S21,S24)))</f>
        <v>7.863610013175229E-2</v>
      </c>
      <c r="T26" s="3762">
        <f>IF(T21="PVL",T24,IF(T24="PVL",T21,MIN(T21,T24)))</f>
        <v>7.863610013175229E-2</v>
      </c>
      <c r="U26" s="3762">
        <f t="shared" si="1"/>
        <v>4.3062626262626261E-2</v>
      </c>
      <c r="V26" s="3762">
        <f t="shared" si="1"/>
        <v>5.1675151515151523</v>
      </c>
      <c r="W26" s="3762">
        <f t="shared" si="1"/>
        <v>5.1675151515151523</v>
      </c>
      <c r="X26" s="3763">
        <f t="shared" si="1"/>
        <v>4.960814545454547E-2</v>
      </c>
      <c r="Y26" s="3762">
        <f t="shared" si="1"/>
        <v>1.3435539393939397</v>
      </c>
      <c r="Z26" s="3762">
        <f t="shared" si="1"/>
        <v>0.72345212121212132</v>
      </c>
      <c r="AA26" s="3768">
        <f t="shared" si="1"/>
        <v>0.25744480913133366</v>
      </c>
      <c r="AB26" s="3763">
        <f t="shared" si="1"/>
        <v>1.0335030303030304</v>
      </c>
      <c r="AC26" s="3762">
        <f t="shared" si="1"/>
        <v>0.38825705979465486</v>
      </c>
      <c r="AD26" s="3762">
        <f t="shared" si="1"/>
        <v>1.0789051720739191</v>
      </c>
      <c r="AE26" s="3762" t="str">
        <f t="shared" si="1"/>
        <v>PVL</v>
      </c>
      <c r="AF26" s="3762" t="str">
        <f t="shared" si="1"/>
        <v>PVL</v>
      </c>
      <c r="AG26" s="3769">
        <f t="shared" si="1"/>
        <v>33.80128267563996</v>
      </c>
      <c r="AH26" s="3762" t="str">
        <f t="shared" si="1"/>
        <v>PVL</v>
      </c>
      <c r="AI26" s="3762">
        <f t="shared" si="1"/>
        <v>5.1675151515151514</v>
      </c>
      <c r="AJ26" s="3762">
        <f t="shared" si="1"/>
        <v>5.1675151515151523</v>
      </c>
      <c r="AK26" s="3762" t="str">
        <f t="shared" si="1"/>
        <v>PVL</v>
      </c>
      <c r="AL26" s="3762" t="str">
        <f t="shared" si="1"/>
        <v>PVL</v>
      </c>
      <c r="AM26" s="3764" t="str">
        <f t="shared" si="1"/>
        <v>PVL</v>
      </c>
      <c r="AN26" s="3762">
        <f t="shared" si="1"/>
        <v>5.4657193234831106E-2</v>
      </c>
      <c r="AO26" s="3762">
        <f t="shared" si="1"/>
        <v>3.2736081774919841</v>
      </c>
      <c r="AP26" s="3762">
        <f t="shared" si="1"/>
        <v>2.5158632155480651</v>
      </c>
      <c r="AQ26" s="3762">
        <f t="shared" si="1"/>
        <v>4.0000540500248984</v>
      </c>
      <c r="AR26" s="3762" t="str">
        <f t="shared" si="1"/>
        <v>PVL</v>
      </c>
      <c r="AS26" s="3762" t="str">
        <f t="shared" si="1"/>
        <v>PVL</v>
      </c>
      <c r="AT26" s="3762" t="str">
        <f t="shared" si="1"/>
        <v>PVL</v>
      </c>
      <c r="AU26" s="3762" t="str">
        <f t="shared" si="1"/>
        <v>PVL</v>
      </c>
      <c r="AV26" s="3762" t="str">
        <f t="shared" si="1"/>
        <v>PVL</v>
      </c>
      <c r="AW26" s="3762" t="str">
        <f t="shared" si="1"/>
        <v>PVL</v>
      </c>
      <c r="AX26" s="3762" t="str">
        <f t="shared" si="1"/>
        <v>PVL</v>
      </c>
      <c r="AY26" s="3762" t="str">
        <f t="shared" si="1"/>
        <v>PVL</v>
      </c>
      <c r="AZ26" s="3762" t="str">
        <f t="shared" si="1"/>
        <v>PVL</v>
      </c>
      <c r="BA26" s="3762" t="str">
        <f t="shared" si="1"/>
        <v>PVL</v>
      </c>
      <c r="BB26" s="3762" t="str">
        <f t="shared" si="1"/>
        <v>PVL</v>
      </c>
      <c r="BC26" s="3762" t="str">
        <f t="shared" si="1"/>
        <v>PVL</v>
      </c>
      <c r="BD26" s="3763">
        <f t="shared" si="1"/>
        <v>7.7275160836308379</v>
      </c>
      <c r="BE26" s="3762">
        <f t="shared" si="1"/>
        <v>0.68232498837884525</v>
      </c>
      <c r="BF26" s="3764">
        <f t="shared" si="1"/>
        <v>1.3646499767576905</v>
      </c>
      <c r="BG26" s="3762">
        <f t="shared" si="1"/>
        <v>1.5502545454545454E-4</v>
      </c>
      <c r="BH26" s="3766">
        <f t="shared" si="1"/>
        <v>9.9195806050834195E-2</v>
      </c>
      <c r="BI26" s="3762">
        <f t="shared" si="1"/>
        <v>0.13815427896424801</v>
      </c>
    </row>
    <row r="27" spans="1:61" s="2126" customFormat="1" hidden="1">
      <c r="A27" s="2151"/>
      <c r="B27" s="2156"/>
      <c r="C27" s="2149"/>
      <c r="D27" s="3248"/>
      <c r="E27" s="2592" t="s">
        <v>660</v>
      </c>
      <c r="F27" s="3770" t="str">
        <f>F25</f>
        <v>Cs</v>
      </c>
      <c r="G27" s="2358" t="str">
        <f>G25</f>
        <v>mg/kg ms</v>
      </c>
      <c r="H27" s="2155">
        <f>IF(H21="PVL",H$10,IF(OR(H$10="PVL",H$10="nd"),H21,MIN(H21,H$10)))</f>
        <v>21.726590419182642</v>
      </c>
      <c r="I27" s="2155">
        <f t="shared" ref="I27:BH27" si="2">IF(I21="PVL",I$10,IF(OR(I$10="PVL",I$10="nd"),I21,MIN(I21,I$10)))</f>
        <v>21.726590419182642</v>
      </c>
      <c r="J27" s="2155">
        <f>IF(J21="PVL",J$10,IF(OR(J$10="PVL",J$10="nd"),J21,MIN(J21,J$10)))</f>
        <v>191.60039130531911</v>
      </c>
      <c r="K27" s="3243">
        <f t="shared" si="2"/>
        <v>6.7474391639365076E-3</v>
      </c>
      <c r="L27" s="2155">
        <f t="shared" si="2"/>
        <v>9.5069987104584891E-2</v>
      </c>
      <c r="M27" s="2155">
        <f t="shared" si="2"/>
        <v>9.5069987104584891E-2</v>
      </c>
      <c r="N27" s="2155">
        <f>IF(N21="PVL",N$10,IF(OR(N$10="PVL",N$10="nd"),N21,MIN(N21,N$10)))</f>
        <v>0.10760591893278754</v>
      </c>
      <c r="O27" s="2155">
        <f>IF(O21="PVL",O$10,IF(OR(O$10="PVL",O$10="nd"),O21,MIN(O21,O$10)))</f>
        <v>0.10760591893278754</v>
      </c>
      <c r="P27" s="2155">
        <f t="shared" si="2"/>
        <v>0.1199562906395495</v>
      </c>
      <c r="Q27" s="2155">
        <f t="shared" si="2"/>
        <v>0.1199562906395495</v>
      </c>
      <c r="R27" s="2155">
        <f>IF(R21="PVL",R$10,IF(OR(R$10="PVL",R$10="nd"),R21,MIN(R21,R$10)))</f>
        <v>0.14151448202581743</v>
      </c>
      <c r="S27" s="2155">
        <f>IF(S21="PVL",S$10,IF(OR(S$10="PVL",S$10="nd"),S21,MIN(S21,S$10)))</f>
        <v>2.0354402069204962E-2</v>
      </c>
      <c r="T27" s="2155">
        <f>IF(T21="PVL",T$10,IF(OR(T$10="PVL",T$10="nd"),T21,MIN(T21,T$10)))</f>
        <v>2.0354402069204962E-2</v>
      </c>
      <c r="U27" s="2155">
        <f t="shared" si="2"/>
        <v>4.3062626262626261E-2</v>
      </c>
      <c r="V27" s="2155">
        <f t="shared" si="2"/>
        <v>0.12300081894181439</v>
      </c>
      <c r="W27" s="2155">
        <f t="shared" si="2"/>
        <v>0.12300081894181439</v>
      </c>
      <c r="X27" s="3243">
        <f t="shared" si="2"/>
        <v>1.754223700777784E-2</v>
      </c>
      <c r="Y27" s="2155">
        <f t="shared" si="2"/>
        <v>1.5601159508858542E-2</v>
      </c>
      <c r="Z27" s="2155">
        <f t="shared" si="2"/>
        <v>2.7467644250260864E-2</v>
      </c>
      <c r="AA27" s="3022">
        <f t="shared" si="2"/>
        <v>1.2461201679065631E-3</v>
      </c>
      <c r="AB27" s="3243">
        <f t="shared" si="2"/>
        <v>6.315727857926912E-3</v>
      </c>
      <c r="AC27" s="2155">
        <f t="shared" si="2"/>
        <v>8.5154918231512226E-3</v>
      </c>
      <c r="AD27" s="2155">
        <f t="shared" si="2"/>
        <v>4.3505584443829494E-2</v>
      </c>
      <c r="AE27" s="2155">
        <f t="shared" si="2"/>
        <v>0.34890349802377557</v>
      </c>
      <c r="AF27" s="2155" t="str">
        <f t="shared" si="2"/>
        <v>PVL</v>
      </c>
      <c r="AG27" s="3721">
        <f t="shared" si="2"/>
        <v>6.29011484708197E-3</v>
      </c>
      <c r="AH27" s="2155">
        <f t="shared" si="2"/>
        <v>4.7819012449342634E-2</v>
      </c>
      <c r="AI27" s="2155">
        <f t="shared" si="2"/>
        <v>9.5103001942881699E-3</v>
      </c>
      <c r="AJ27" s="2155">
        <f t="shared" si="2"/>
        <v>1.5332408405335814E-2</v>
      </c>
      <c r="AK27" s="2155">
        <f t="shared" si="2"/>
        <v>0.37132861944557133</v>
      </c>
      <c r="AL27" s="2155" t="str">
        <f t="shared" si="2"/>
        <v>PVL</v>
      </c>
      <c r="AM27" s="3022" t="str">
        <f t="shared" si="2"/>
        <v>PVL</v>
      </c>
      <c r="AN27" s="2155">
        <f t="shared" si="2"/>
        <v>5.4657193234831106E-2</v>
      </c>
      <c r="AO27" s="2155">
        <f t="shared" si="2"/>
        <v>0.38334241569623678</v>
      </c>
      <c r="AP27" s="2155">
        <f t="shared" si="2"/>
        <v>0.22914151194741517</v>
      </c>
      <c r="AQ27" s="2155">
        <f t="shared" si="2"/>
        <v>0.56590208573839795</v>
      </c>
      <c r="AR27" s="2155">
        <f t="shared" si="2"/>
        <v>2.8264444973650038</v>
      </c>
      <c r="AS27" s="2155" t="str">
        <f t="shared" si="2"/>
        <v>PVL</v>
      </c>
      <c r="AT27" s="2155" t="str">
        <f t="shared" si="2"/>
        <v>PVL</v>
      </c>
      <c r="AU27" s="2155" t="str">
        <f t="shared" si="2"/>
        <v>PVL</v>
      </c>
      <c r="AV27" s="2155" t="str">
        <f t="shared" si="2"/>
        <v>PVL</v>
      </c>
      <c r="AW27" s="2155" t="str">
        <f t="shared" si="2"/>
        <v>PVL</v>
      </c>
      <c r="AX27" s="2155" t="str">
        <f t="shared" si="2"/>
        <v>PVL</v>
      </c>
      <c r="AY27" s="2155" t="str">
        <f t="shared" si="2"/>
        <v>PVL</v>
      </c>
      <c r="AZ27" s="2155" t="str">
        <f t="shared" si="2"/>
        <v>PVL</v>
      </c>
      <c r="BA27" s="2155" t="str">
        <f t="shared" si="2"/>
        <v>PVL</v>
      </c>
      <c r="BB27" s="2155" t="str">
        <f t="shared" si="2"/>
        <v>PVL</v>
      </c>
      <c r="BC27" s="2155" t="str">
        <f t="shared" si="2"/>
        <v>PVL</v>
      </c>
      <c r="BD27" s="3243">
        <f t="shared" si="2"/>
        <v>1.6724525926359499</v>
      </c>
      <c r="BE27" s="2155">
        <f t="shared" si="2"/>
        <v>0.68232498837884525</v>
      </c>
      <c r="BF27" s="3022">
        <f t="shared" si="2"/>
        <v>1.3646499767576905</v>
      </c>
      <c r="BG27" s="2155">
        <f t="shared" si="2"/>
        <v>1.5502545454545454E-4</v>
      </c>
      <c r="BH27" s="3246">
        <f t="shared" si="2"/>
        <v>9.9195806050834195E-2</v>
      </c>
      <c r="BI27" s="2155"/>
    </row>
    <row r="28" spans="1:61" s="3782" customFormat="1">
      <c r="A28" s="3771"/>
      <c r="B28" s="3772"/>
      <c r="C28" s="3773"/>
      <c r="D28" s="3774"/>
      <c r="E28" s="3775" t="s">
        <v>598</v>
      </c>
      <c r="F28" s="3289"/>
      <c r="G28" s="3776"/>
      <c r="H28" s="3777"/>
      <c r="I28" s="3777"/>
      <c r="J28" s="3777"/>
      <c r="K28" s="3778"/>
      <c r="L28" s="3777"/>
      <c r="M28" s="3777"/>
      <c r="N28" s="3777"/>
      <c r="O28" s="3777"/>
      <c r="P28" s="3777"/>
      <c r="Q28" s="3777"/>
      <c r="R28" s="3777"/>
      <c r="S28" s="3777"/>
      <c r="T28" s="3777"/>
      <c r="U28" s="3777"/>
      <c r="V28" s="3777"/>
      <c r="W28" s="3777"/>
      <c r="X28" s="3778"/>
      <c r="Y28" s="3777"/>
      <c r="Z28" s="3777"/>
      <c r="AA28" s="3779"/>
      <c r="AB28" s="3778"/>
      <c r="AC28" s="3777"/>
      <c r="AD28" s="3777"/>
      <c r="AE28" s="3777"/>
      <c r="AF28" s="3777"/>
      <c r="AG28" s="3780"/>
      <c r="AH28" s="3777"/>
      <c r="AI28" s="3777"/>
      <c r="AJ28" s="3777"/>
      <c r="AK28" s="3777"/>
      <c r="AL28" s="3777"/>
      <c r="AM28" s="3779"/>
      <c r="AN28" s="3777"/>
      <c r="AO28" s="3777"/>
      <c r="AP28" s="3777"/>
      <c r="AQ28" s="3777"/>
      <c r="AR28" s="3777"/>
      <c r="AS28" s="3777"/>
      <c r="AT28" s="3777"/>
      <c r="AU28" s="3777"/>
      <c r="AV28" s="3777"/>
      <c r="AW28" s="3777"/>
      <c r="AX28" s="3777"/>
      <c r="AY28" s="3777"/>
      <c r="AZ28" s="3777"/>
      <c r="BA28" s="3777"/>
      <c r="BB28" s="3777"/>
      <c r="BC28" s="3777"/>
      <c r="BD28" s="3778"/>
      <c r="BE28" s="3777"/>
      <c r="BF28" s="3779"/>
      <c r="BG28" s="3777"/>
      <c r="BH28" s="3781"/>
      <c r="BI28" s="3777"/>
    </row>
    <row r="29" spans="1:61" s="2126" customFormat="1">
      <c r="A29" s="2375"/>
      <c r="B29" s="2156"/>
      <c r="C29" s="240" t="s">
        <v>162</v>
      </c>
      <c r="D29" s="3238">
        <f>Sols!Q9</f>
        <v>0.01</v>
      </c>
      <c r="E29" s="3066" t="str">
        <f>ExpoRisk!E589</f>
        <v>Teneur limite avant contrôle de la saturation</v>
      </c>
      <c r="F29" s="3216" t="str">
        <f>ExpoRisk!F589</f>
        <v>Cs</v>
      </c>
      <c r="G29" s="2154" t="str">
        <f>ExpoRisk!G589</f>
        <v>mg/kg ms</v>
      </c>
      <c r="H29" s="2155">
        <f>ExpoRisk!H589</f>
        <v>60.834453173711402</v>
      </c>
      <c r="I29" s="2155">
        <f>ExpoRisk!I589</f>
        <v>60.834453173711402</v>
      </c>
      <c r="J29" s="2155">
        <f>ExpoRisk!J589</f>
        <v>536.48109565489358</v>
      </c>
      <c r="K29" s="3243">
        <f>ExpoRisk!K589</f>
        <v>0.81026637575757599</v>
      </c>
      <c r="L29" s="2155">
        <f>ExpoRisk!L589</f>
        <v>0.86814254545454572</v>
      </c>
      <c r="M29" s="2155">
        <f>ExpoRisk!M589</f>
        <v>0.86814254545454572</v>
      </c>
      <c r="N29" s="2155">
        <f>ExpoRisk!N589</f>
        <v>2.5320824242424247</v>
      </c>
      <c r="O29" s="2155">
        <f>ExpoRisk!O589</f>
        <v>2.5320824242424247</v>
      </c>
      <c r="P29" s="2155">
        <f>ExpoRisk!P589</f>
        <v>0.50641648484848489</v>
      </c>
      <c r="Q29" s="2155">
        <f>ExpoRisk!Q589</f>
        <v>0.50641648484848489</v>
      </c>
      <c r="R29" s="2155">
        <f>ExpoRisk!R589</f>
        <v>5.0641648484848494</v>
      </c>
      <c r="S29" s="2155">
        <f>ExpoRisk!S589</f>
        <v>0.22018108036890641</v>
      </c>
      <c r="T29" s="2155">
        <f>ExpoRisk!T589</f>
        <v>0.22018108036890641</v>
      </c>
      <c r="U29" s="2155">
        <f>ExpoRisk!U589</f>
        <v>0.12057535353535354</v>
      </c>
      <c r="V29" s="2155">
        <f>ExpoRisk!V589</f>
        <v>14.469042424242426</v>
      </c>
      <c r="W29" s="2155">
        <f>ExpoRisk!W589</f>
        <v>14.469042424242426</v>
      </c>
      <c r="X29" s="3243">
        <f>ExpoRisk!X589</f>
        <v>0.1389028072727273</v>
      </c>
      <c r="Y29" s="2155">
        <f>ExpoRisk!Y589</f>
        <v>3.7619510303030315</v>
      </c>
      <c r="Z29" s="2155">
        <f>ExpoRisk!Z589</f>
        <v>2.0256659393939396</v>
      </c>
      <c r="AA29" s="3022">
        <f>ExpoRisk!AA589</f>
        <v>10.128329696969697</v>
      </c>
      <c r="AB29" s="3243">
        <f>ExpoRisk!AB589</f>
        <v>2.8938084848484857</v>
      </c>
      <c r="AC29" s="2155">
        <f>ExpoRisk!AC589</f>
        <v>5.0885191191803161</v>
      </c>
      <c r="AD29" s="2155">
        <f>ExpoRisk!AD589</f>
        <v>12.310918491184916</v>
      </c>
      <c r="AE29" s="2155" t="str">
        <f>ExpoRisk!AE589</f>
        <v>PVL</v>
      </c>
      <c r="AF29" s="2155" t="str">
        <f>ExpoRisk!AF589</f>
        <v>PVL</v>
      </c>
      <c r="AG29" s="3721">
        <f>ExpoRisk!AG589</f>
        <v>266.23038060606058</v>
      </c>
      <c r="AH29" s="2155">
        <f>ExpoRisk!AH589</f>
        <v>266.23038060606058</v>
      </c>
      <c r="AI29" s="2155">
        <f>ExpoRisk!AI589</f>
        <v>14.469042424242426</v>
      </c>
      <c r="AJ29" s="2155">
        <f>ExpoRisk!AJ589</f>
        <v>14.469042424242428</v>
      </c>
      <c r="AK29" s="2155">
        <f>ExpoRisk!AK589</f>
        <v>18.231029447534649</v>
      </c>
      <c r="AL29" s="2155" t="str">
        <f>ExpoRisk!AL589</f>
        <v>PVL</v>
      </c>
      <c r="AM29" s="3022" t="str">
        <f>ExpoRisk!AM589</f>
        <v>PVL</v>
      </c>
      <c r="AN29" s="2155">
        <f>ExpoRisk!AN589</f>
        <v>0.15304014105752708</v>
      </c>
      <c r="AO29" s="2155">
        <f>ExpoRisk!AO589</f>
        <v>9.1661028969775558</v>
      </c>
      <c r="AP29" s="2155">
        <f>ExpoRisk!AP589</f>
        <v>7.0444170035345826</v>
      </c>
      <c r="AQ29" s="2155">
        <f>ExpoRisk!AQ589</f>
        <v>11.200151340069718</v>
      </c>
      <c r="AR29" s="2155">
        <f>ExpoRisk!AR589</f>
        <v>26.039757175698902</v>
      </c>
      <c r="AS29" s="2155">
        <f>ExpoRisk!AS589</f>
        <v>2.2716536523366644</v>
      </c>
      <c r="AT29" s="2155">
        <f>ExpoRisk!AT589</f>
        <v>99.483341915106038</v>
      </c>
      <c r="AU29" s="2155">
        <f>ExpoRisk!AU589</f>
        <v>101.87986187582833</v>
      </c>
      <c r="AV29" s="2155">
        <f>ExpoRisk!AV589</f>
        <v>3.5453402471616013</v>
      </c>
      <c r="AW29" s="2155">
        <f>ExpoRisk!AW589</f>
        <v>36.463885643363888</v>
      </c>
      <c r="AX29" s="2155">
        <f>ExpoRisk!AX589</f>
        <v>72.411636983564208</v>
      </c>
      <c r="AY29" s="2155">
        <f>ExpoRisk!AY589</f>
        <v>104.76667062278047</v>
      </c>
      <c r="AZ29" s="2155">
        <f>ExpoRisk!AZ589</f>
        <v>15.606770158401572</v>
      </c>
      <c r="BA29" s="2155">
        <f>ExpoRisk!BA589</f>
        <v>89.56350817693297</v>
      </c>
      <c r="BB29" s="2155">
        <f>ExpoRisk!BB589</f>
        <v>581.03851361763725</v>
      </c>
      <c r="BC29" s="2155">
        <f>ExpoRisk!BC589</f>
        <v>212532387.79085788</v>
      </c>
      <c r="BD29" s="3243">
        <f>ExpoRisk!BD589</f>
        <v>21.637045034166349</v>
      </c>
      <c r="BE29" s="2155">
        <f>ExpoRisk!BE589</f>
        <v>1.9105099674607666</v>
      </c>
      <c r="BF29" s="3022">
        <f>ExpoRisk!BF589</f>
        <v>3.8210199349215332</v>
      </c>
      <c r="BG29" s="2155">
        <f>ExpoRisk!BG589</f>
        <v>4.3407127272727285E-4</v>
      </c>
      <c r="BH29" s="3246">
        <f>ExpoRisk!BH589</f>
        <v>0.27774825694233579</v>
      </c>
      <c r="BI29" s="2155">
        <f>ExpoRisk!BI589</f>
        <v>0.38683198109989436</v>
      </c>
    </row>
    <row r="30" spans="1:61" s="2274" customFormat="1">
      <c r="A30" s="2375"/>
      <c r="B30" s="2227"/>
      <c r="C30" s="397" t="s">
        <v>162</v>
      </c>
      <c r="D30" s="3783">
        <f>Sols!Q15</f>
        <v>4.0000000000000003E-5</v>
      </c>
      <c r="E30" s="3722" t="s">
        <v>985</v>
      </c>
      <c r="F30" s="2225" t="str">
        <f>ExpoRisk!F590</f>
        <v>Cs</v>
      </c>
      <c r="G30" s="2226" t="str">
        <f>ExpoRisk!G590</f>
        <v>mg/kg ms</v>
      </c>
      <c r="H30" s="2273">
        <f>ExpoRisk!H590</f>
        <v>60.834453173711402</v>
      </c>
      <c r="I30" s="2273">
        <f>ExpoRisk!I590</f>
        <v>60.834453173711402</v>
      </c>
      <c r="J30" s="2273">
        <f>ExpoRisk!J590</f>
        <v>536.48109565489358</v>
      </c>
      <c r="K30" s="3284">
        <f>ExpoRisk!K590</f>
        <v>0.81026637575757599</v>
      </c>
      <c r="L30" s="2273">
        <f>ExpoRisk!L590</f>
        <v>0.86814254545454572</v>
      </c>
      <c r="M30" s="2273">
        <f>ExpoRisk!M590</f>
        <v>0.86814254545454572</v>
      </c>
      <c r="N30" s="2273">
        <f>ExpoRisk!N590</f>
        <v>2.5320824242424247</v>
      </c>
      <c r="O30" s="2273">
        <f>ExpoRisk!O590</f>
        <v>2.5320824242424247</v>
      </c>
      <c r="P30" s="2273">
        <f>ExpoRisk!P590</f>
        <v>0.50641648484848489</v>
      </c>
      <c r="Q30" s="2273">
        <f>ExpoRisk!Q590</f>
        <v>0.50641648484848489</v>
      </c>
      <c r="R30" s="2273">
        <f>ExpoRisk!R590</f>
        <v>5.0641648484848494</v>
      </c>
      <c r="S30" s="2273">
        <f>ExpoRisk!S590</f>
        <v>0.22018108036890641</v>
      </c>
      <c r="T30" s="2273">
        <f>ExpoRisk!T590</f>
        <v>0.22018108036890641</v>
      </c>
      <c r="U30" s="2273">
        <f>ExpoRisk!U590</f>
        <v>0.12057535353535354</v>
      </c>
      <c r="V30" s="2273">
        <f>ExpoRisk!V590</f>
        <v>14.469042424242426</v>
      </c>
      <c r="W30" s="2273">
        <f>ExpoRisk!W590</f>
        <v>14.469042424242426</v>
      </c>
      <c r="X30" s="3284">
        <f>ExpoRisk!X590</f>
        <v>0.1389028072727273</v>
      </c>
      <c r="Y30" s="2273">
        <f>ExpoRisk!Y590</f>
        <v>3.7619510303030315</v>
      </c>
      <c r="Z30" s="2273">
        <f>ExpoRisk!Z590</f>
        <v>2.0256659393939396</v>
      </c>
      <c r="AA30" s="3285">
        <f>ExpoRisk!AA590</f>
        <v>10.128329696969697</v>
      </c>
      <c r="AB30" s="3284">
        <f>ExpoRisk!AB590</f>
        <v>2.8938084848484857</v>
      </c>
      <c r="AC30" s="2273">
        <f>ExpoRisk!AC590</f>
        <v>5.0885191191803161</v>
      </c>
      <c r="AD30" s="2273">
        <f>ExpoRisk!AD590</f>
        <v>12.310918491184916</v>
      </c>
      <c r="AE30" s="2273" t="str">
        <f>ExpoRisk!AE590</f>
        <v>PVL</v>
      </c>
      <c r="AF30" s="2273" t="str">
        <f>ExpoRisk!AF590</f>
        <v>PVL</v>
      </c>
      <c r="AG30" s="3723" t="str">
        <f>ExpoRisk!AG590</f>
        <v>PVL</v>
      </c>
      <c r="AH30" s="2273" t="str">
        <f>ExpoRisk!AH590</f>
        <v>PVL</v>
      </c>
      <c r="AI30" s="2273">
        <f>ExpoRisk!AI590</f>
        <v>14.469042424242426</v>
      </c>
      <c r="AJ30" s="2273" t="str">
        <f>ExpoRisk!AJ590</f>
        <v>PVL</v>
      </c>
      <c r="AK30" s="2273" t="str">
        <f>ExpoRisk!AK590</f>
        <v>PVL</v>
      </c>
      <c r="AL30" s="2273" t="str">
        <f>ExpoRisk!AL590</f>
        <v>PVL</v>
      </c>
      <c r="AM30" s="3285" t="str">
        <f>ExpoRisk!AM590</f>
        <v>PVL</v>
      </c>
      <c r="AN30" s="2273">
        <f>ExpoRisk!AN590</f>
        <v>0.15304014105752708</v>
      </c>
      <c r="AO30" s="2273">
        <f>ExpoRisk!AO590</f>
        <v>9.1661028969775558</v>
      </c>
      <c r="AP30" s="2273">
        <f>ExpoRisk!AP590</f>
        <v>7.0444170035345826</v>
      </c>
      <c r="AQ30" s="2273" t="str">
        <f>ExpoRisk!AQ590</f>
        <v>PVL</v>
      </c>
      <c r="AR30" s="2273" t="str">
        <f>ExpoRisk!AR590</f>
        <v>PVL</v>
      </c>
      <c r="AS30" s="2273" t="str">
        <f>ExpoRisk!AS590</f>
        <v>PVL</v>
      </c>
      <c r="AT30" s="2273" t="str">
        <f>ExpoRisk!AT590</f>
        <v>PVL</v>
      </c>
      <c r="AU30" s="2273" t="str">
        <f>ExpoRisk!AU590</f>
        <v>PVL</v>
      </c>
      <c r="AV30" s="2273" t="str">
        <f>ExpoRisk!AV590</f>
        <v>PVL</v>
      </c>
      <c r="AW30" s="2273" t="str">
        <f>ExpoRisk!AW590</f>
        <v>PVL</v>
      </c>
      <c r="AX30" s="2273" t="str">
        <f>ExpoRisk!AX590</f>
        <v>PVL</v>
      </c>
      <c r="AY30" s="2273" t="str">
        <f>ExpoRisk!AY590</f>
        <v>PVL</v>
      </c>
      <c r="AZ30" s="2273" t="str">
        <f>ExpoRisk!AZ590</f>
        <v>PVL</v>
      </c>
      <c r="BA30" s="2273" t="str">
        <f>ExpoRisk!BA590</f>
        <v>PVL</v>
      </c>
      <c r="BB30" s="2273" t="str">
        <f>ExpoRisk!BB590</f>
        <v>PVL</v>
      </c>
      <c r="BC30" s="2273" t="str">
        <f>ExpoRisk!BC590</f>
        <v>PVL</v>
      </c>
      <c r="BD30" s="3284">
        <f>ExpoRisk!BD590</f>
        <v>21.637045034166349</v>
      </c>
      <c r="BE30" s="2273">
        <f>ExpoRisk!BE590</f>
        <v>1.9105099674607666</v>
      </c>
      <c r="BF30" s="3285">
        <f>ExpoRisk!BF590</f>
        <v>3.8210199349215332</v>
      </c>
      <c r="BG30" s="2273">
        <f>ExpoRisk!BG590</f>
        <v>4.3407127272727285E-4</v>
      </c>
      <c r="BH30" s="3287">
        <f>ExpoRisk!BH590</f>
        <v>0.27774825694233579</v>
      </c>
      <c r="BI30" s="2273">
        <f>ExpoRisk!BI590</f>
        <v>0.38683198109989436</v>
      </c>
    </row>
    <row r="31" spans="1:61" s="3744" customFormat="1">
      <c r="A31" s="3734"/>
      <c r="B31" s="3735"/>
      <c r="C31" s="240" t="s">
        <v>42</v>
      </c>
      <c r="D31" s="3247">
        <f>Sols!D15</f>
        <v>0.1</v>
      </c>
      <c r="E31" s="3736" t="str">
        <f>ExpoRisk!E591</f>
        <v>Equivalent air du sol</v>
      </c>
      <c r="F31" s="3737" t="s">
        <v>93</v>
      </c>
      <c r="G31" s="3738" t="s">
        <v>24</v>
      </c>
      <c r="H31" s="3739">
        <f>ExpoRisk!H591</f>
        <v>160.26785279606523</v>
      </c>
      <c r="I31" s="3739">
        <f>ExpoRisk!I591</f>
        <v>160.26785279606523</v>
      </c>
      <c r="J31" s="3739">
        <f>ExpoRisk!J591</f>
        <v>9278.2609196864632</v>
      </c>
      <c r="K31" s="3740">
        <f>ExpoRisk!K591</f>
        <v>3122.2105539379727</v>
      </c>
      <c r="L31" s="3739">
        <f>ExpoRisk!L591</f>
        <v>625.44363150445747</v>
      </c>
      <c r="M31" s="3739">
        <f>ExpoRisk!M591</f>
        <v>625.44363150445747</v>
      </c>
      <c r="N31" s="3739">
        <f>ExpoRisk!N591</f>
        <v>3597.912975289411</v>
      </c>
      <c r="O31" s="3739">
        <f>ExpoRisk!O591</f>
        <v>3597.912975289411</v>
      </c>
      <c r="P31" s="3739">
        <f>ExpoRisk!P591</f>
        <v>785.59788226286742</v>
      </c>
      <c r="Q31" s="3739">
        <f>ExpoRisk!Q591</f>
        <v>785.59788226286742</v>
      </c>
      <c r="R31" s="3739">
        <f>ExpoRisk!R591</f>
        <v>3157.8879321190548</v>
      </c>
      <c r="S31" s="3739">
        <f>ExpoRisk!S591</f>
        <v>128.81104339482565</v>
      </c>
      <c r="T31" s="3739">
        <f>ExpoRisk!T591</f>
        <v>128.81104339482565</v>
      </c>
      <c r="U31" s="3739">
        <f>ExpoRisk!U591</f>
        <v>332.09632277946741</v>
      </c>
      <c r="V31" s="3739">
        <f>ExpoRisk!V591</f>
        <v>65229.095424619758</v>
      </c>
      <c r="W31" s="3739">
        <f>ExpoRisk!W591</f>
        <v>65229.095424619758</v>
      </c>
      <c r="X31" s="3740">
        <f>ExpoRisk!X591</f>
        <v>120.13101239114764</v>
      </c>
      <c r="Y31" s="3739">
        <f>ExpoRisk!Y591</f>
        <v>2254.9006484227421</v>
      </c>
      <c r="Z31" s="3739">
        <f>ExpoRisk!Z591</f>
        <v>719.05655893654125</v>
      </c>
      <c r="AA31" s="3741">
        <f>ExpoRisk!AA591</f>
        <v>2411.93027797883</v>
      </c>
      <c r="AB31" s="3740">
        <f>ExpoRisk!AB591</f>
        <v>779.37795932427673</v>
      </c>
      <c r="AC31" s="3739">
        <f>ExpoRisk!AC591</f>
        <v>267.42606901659201</v>
      </c>
      <c r="AD31" s="3739">
        <f>ExpoRisk!AD591</f>
        <v>126.63901235174573</v>
      </c>
      <c r="AE31" s="3739" t="str">
        <f>ExpoRisk!AE591</f>
        <v>PVL</v>
      </c>
      <c r="AF31" s="3739" t="str">
        <f>ExpoRisk!AF591</f>
        <v>PVL</v>
      </c>
      <c r="AG31" s="3742" t="str">
        <f>ExpoRisk!AG591</f>
        <v>PVL</v>
      </c>
      <c r="AH31" s="3739" t="str">
        <f>ExpoRisk!AH591</f>
        <v>PVL</v>
      </c>
      <c r="AI31" s="3739">
        <f>ExpoRisk!AI591</f>
        <v>27285.422753150247</v>
      </c>
      <c r="AJ31" s="3739" t="str">
        <f>ExpoRisk!AJ591</f>
        <v>PVL</v>
      </c>
      <c r="AK31" s="3739" t="str">
        <f>ExpoRisk!AK591</f>
        <v>PVL</v>
      </c>
      <c r="AL31" s="3739" t="str">
        <f>ExpoRisk!AL591</f>
        <v>PVL</v>
      </c>
      <c r="AM31" s="3741" t="str">
        <f>ExpoRisk!AM591</f>
        <v>PVL</v>
      </c>
      <c r="AN31" s="3739">
        <f>ExpoRisk!AN591</f>
        <v>0.65417107599669966</v>
      </c>
      <c r="AO31" s="3739">
        <f>ExpoRisk!AO591</f>
        <v>10.700890477012043</v>
      </c>
      <c r="AP31" s="3739">
        <f>ExpoRisk!AP591</f>
        <v>13.758254807642203</v>
      </c>
      <c r="AQ31" s="3739" t="str">
        <f>ExpoRisk!AQ591</f>
        <v>PVL</v>
      </c>
      <c r="AR31" s="3739" t="str">
        <f>ExpoRisk!AR591</f>
        <v>PVL</v>
      </c>
      <c r="AS31" s="3739" t="str">
        <f>ExpoRisk!AS591</f>
        <v>PVL</v>
      </c>
      <c r="AT31" s="3739" t="str">
        <f>ExpoRisk!AT591</f>
        <v>PVL</v>
      </c>
      <c r="AU31" s="3739" t="str">
        <f>ExpoRisk!AU591</f>
        <v>PVL</v>
      </c>
      <c r="AV31" s="3739" t="str">
        <f>ExpoRisk!AV591</f>
        <v>PVL</v>
      </c>
      <c r="AW31" s="3739" t="str">
        <f>ExpoRisk!AW591</f>
        <v>PVL</v>
      </c>
      <c r="AX31" s="3739" t="str">
        <f>ExpoRisk!AX591</f>
        <v>PVL</v>
      </c>
      <c r="AY31" s="3739" t="str">
        <f>ExpoRisk!AY591</f>
        <v>PVL</v>
      </c>
      <c r="AZ31" s="3739" t="str">
        <f>ExpoRisk!AZ591</f>
        <v>PVL</v>
      </c>
      <c r="BA31" s="3739" t="str">
        <f>ExpoRisk!BA591</f>
        <v>PVL</v>
      </c>
      <c r="BB31" s="3739" t="str">
        <f>ExpoRisk!BB591</f>
        <v>PVL</v>
      </c>
      <c r="BC31" s="3739" t="str">
        <f>ExpoRisk!BC591</f>
        <v>PVL</v>
      </c>
      <c r="BD31" s="3740">
        <f>ExpoRisk!BD591</f>
        <v>2.0240839922258074</v>
      </c>
      <c r="BE31" s="3739">
        <f>ExpoRisk!BE591</f>
        <v>3.9667289551199233E-3</v>
      </c>
      <c r="BF31" s="3741">
        <f>ExpoRisk!BF591</f>
        <v>7.9334579102398467E-3</v>
      </c>
      <c r="BG31" s="3739" t="str">
        <f>ExpoRisk!BG591</f>
        <v>Saturation</v>
      </c>
      <c r="BH31" s="3743">
        <f>ExpoRisk!BH591</f>
        <v>3.4551307876277748E-2</v>
      </c>
      <c r="BI31" s="3739">
        <f>ExpoRisk!BI591</f>
        <v>0.37233096215902789</v>
      </c>
    </row>
    <row r="32" spans="1:61" s="3754" customFormat="1" hidden="1">
      <c r="A32" s="3745"/>
      <c r="B32" s="2125"/>
      <c r="C32" s="3746"/>
      <c r="D32" s="3747"/>
      <c r="E32" s="3748" t="s">
        <v>953</v>
      </c>
      <c r="F32" s="3749" t="s">
        <v>19</v>
      </c>
      <c r="G32" s="3750" t="s">
        <v>20</v>
      </c>
      <c r="H32" s="3751" t="str">
        <f>ExpoRisk!H548</f>
        <v>PVL</v>
      </c>
      <c r="I32" s="3751" t="str">
        <f>ExpoRisk!I548</f>
        <v>PVL</v>
      </c>
      <c r="J32" s="3751" t="str">
        <f>ExpoRisk!J548</f>
        <v>PVL</v>
      </c>
      <c r="K32" s="3752">
        <f>ExpoRisk!K548</f>
        <v>0.46852770500182689</v>
      </c>
      <c r="L32" s="3751">
        <f>ExpoRisk!L548</f>
        <v>6.6014560176749724</v>
      </c>
      <c r="M32" s="3751">
        <f>ExpoRisk!M548</f>
        <v>6.6014560176749724</v>
      </c>
      <c r="N32" s="3751">
        <f>ExpoRisk!N548</f>
        <v>7.4719242392958893</v>
      </c>
      <c r="O32" s="3751">
        <f>ExpoRisk!O548</f>
        <v>7.4719242392958893</v>
      </c>
      <c r="P32" s="3751">
        <f>ExpoRisk!P548</f>
        <v>8.3295075640357599</v>
      </c>
      <c r="Q32" s="3751">
        <f>ExpoRisk!Q548</f>
        <v>8.3295075640357599</v>
      </c>
      <c r="R32" s="3751">
        <f>ExpoRisk!R548</f>
        <v>9.8243951684144637</v>
      </c>
      <c r="S32" s="3751">
        <f>ExpoRisk!S548</f>
        <v>1.4133660276835032</v>
      </c>
      <c r="T32" s="3751">
        <f>ExpoRisk!T548</f>
        <v>1.4133660276835032</v>
      </c>
      <c r="U32" s="3751">
        <f>ExpoRisk!U548</f>
        <v>15.472605369114151</v>
      </c>
      <c r="V32" s="3751">
        <f>ExpoRisk!V548</f>
        <v>8.5409130800569031</v>
      </c>
      <c r="W32" s="3751">
        <f>ExpoRisk!W548</f>
        <v>8.5409130800569031</v>
      </c>
      <c r="X32" s="3752">
        <f>ExpoRisk!X548</f>
        <v>1.2180953167804813</v>
      </c>
      <c r="Y32" s="3751">
        <f>ExpoRisk!Y548</f>
        <v>1.0833110580856959</v>
      </c>
      <c r="Z32" s="3751">
        <f>ExpoRisk!Z548</f>
        <v>1.9072943096938233</v>
      </c>
      <c r="AA32" s="3246">
        <f>ExpoRisk!AA548</f>
        <v>8.6527912033094276E-2</v>
      </c>
      <c r="AB32" s="3752">
        <f>ExpoRisk!AB548</f>
        <v>0.43855059775955696</v>
      </c>
      <c r="AC32" s="3751">
        <f>ExpoRisk!AC548</f>
        <v>0.59129748989618436</v>
      </c>
      <c r="AD32" s="3751">
        <f>ExpoRisk!AD548</f>
        <v>3.0209344818069739</v>
      </c>
      <c r="AE32" s="3751" t="str">
        <f>ExpoRisk!AE548</f>
        <v>PVL</v>
      </c>
      <c r="AF32" s="3751" t="str">
        <f>ExpoRisk!AF548</f>
        <v>PVL</v>
      </c>
      <c r="AG32" s="3753">
        <f>ExpoRisk!AG548</f>
        <v>0.43677208521608607</v>
      </c>
      <c r="AH32" s="3751">
        <f>ExpoRisk!AH548</f>
        <v>3.3204496719424021</v>
      </c>
      <c r="AI32" s="3751">
        <f>ExpoRisk!AI548</f>
        <v>0.66037484972427585</v>
      </c>
      <c r="AJ32" s="3751">
        <f>ExpoRisk!AJ548</f>
        <v>1.0646495578200528</v>
      </c>
      <c r="AK32" s="3751" t="str">
        <f>ExpoRisk!AK548</f>
        <v>PVL</v>
      </c>
      <c r="AL32" s="3751" t="str">
        <f>ExpoRisk!AL548</f>
        <v>PVL</v>
      </c>
      <c r="AM32" s="3246" t="str">
        <f>ExpoRisk!AM548</f>
        <v>PVL</v>
      </c>
      <c r="AN32" s="3751">
        <f>ExpoRisk!AN548</f>
        <v>7.2699660810032141</v>
      </c>
      <c r="AO32" s="3751">
        <f>ExpoRisk!AO548</f>
        <v>26.618475230717056</v>
      </c>
      <c r="AP32" s="3751" t="str">
        <f>ExpoRisk!AP548</f>
        <v>PVL</v>
      </c>
      <c r="AQ32" s="3751" t="str">
        <f>ExpoRisk!AQ548</f>
        <v>PVL</v>
      </c>
      <c r="AR32" s="3751" t="str">
        <f>ExpoRisk!AR548</f>
        <v>PVL</v>
      </c>
      <c r="AS32" s="3751" t="str">
        <f>ExpoRisk!AS548</f>
        <v>PVL</v>
      </c>
      <c r="AT32" s="3751" t="str">
        <f>ExpoRisk!AT548</f>
        <v>PVL</v>
      </c>
      <c r="AU32" s="3751" t="str">
        <f>ExpoRisk!AU548</f>
        <v>PVL</v>
      </c>
      <c r="AV32" s="3751" t="str">
        <f>ExpoRisk!AV548</f>
        <v>PVL</v>
      </c>
      <c r="AW32" s="3751" t="str">
        <f>ExpoRisk!AW548</f>
        <v>PVL</v>
      </c>
      <c r="AX32" s="3751" t="str">
        <f>ExpoRisk!AX548</f>
        <v>PVL</v>
      </c>
      <c r="AY32" s="3751" t="str">
        <f>ExpoRisk!AY548</f>
        <v>PVL</v>
      </c>
      <c r="AZ32" s="3751" t="str">
        <f>ExpoRisk!AZ548</f>
        <v>PVL</v>
      </c>
      <c r="BA32" s="3751" t="str">
        <f>ExpoRisk!BA548</f>
        <v>PVL</v>
      </c>
      <c r="BB32" s="3751" t="str">
        <f>ExpoRisk!BB548</f>
        <v>PVL</v>
      </c>
      <c r="BC32" s="3751" t="str">
        <f>ExpoRisk!BC548</f>
        <v>PVL</v>
      </c>
      <c r="BD32" s="3752">
        <f>ExpoRisk!BD548</f>
        <v>116.13152129480251</v>
      </c>
      <c r="BE32" s="3751" t="str">
        <f>ExpoRisk!BE548</f>
        <v>PVL</v>
      </c>
      <c r="BF32" s="3246" t="str">
        <f>ExpoRisk!BF548</f>
        <v>PVL</v>
      </c>
      <c r="BG32" s="3751" t="str">
        <f>ExpoRisk!BG548</f>
        <v>nd</v>
      </c>
      <c r="BH32" s="3246" t="str">
        <f>ExpoRisk!BH548</f>
        <v>PVL</v>
      </c>
      <c r="BI32" s="3751" t="str">
        <f>ExpoRisk!BI548</f>
        <v>PVL</v>
      </c>
    </row>
    <row r="33" spans="1:61" s="3754" customFormat="1" hidden="1">
      <c r="A33" s="3745"/>
      <c r="B33" s="2125"/>
      <c r="C33" s="3746"/>
      <c r="D33" s="3747"/>
      <c r="E33" s="3748" t="s">
        <v>983</v>
      </c>
      <c r="F33" s="3749" t="s">
        <v>19</v>
      </c>
      <c r="G33" s="3750" t="s">
        <v>20</v>
      </c>
      <c r="H33" s="3751" t="str">
        <f>ExpoRisk!H558</f>
        <v>PVL</v>
      </c>
      <c r="I33" s="3751" t="str">
        <f>ExpoRisk!I558</f>
        <v>PVL</v>
      </c>
      <c r="J33" s="3751" t="str">
        <f>ExpoRisk!J558</f>
        <v>PVL</v>
      </c>
      <c r="K33" s="3752">
        <f>ExpoRisk!K558</f>
        <v>63.158044444444464</v>
      </c>
      <c r="L33" s="3751" t="str">
        <f>ExpoRisk!L558</f>
        <v>PVL</v>
      </c>
      <c r="M33" s="3751" t="str">
        <f>ExpoRisk!M558</f>
        <v>PVL</v>
      </c>
      <c r="N33" s="3751" t="str">
        <f>ExpoRisk!N558</f>
        <v>PVL</v>
      </c>
      <c r="O33" s="3751" t="str">
        <f>ExpoRisk!O558</f>
        <v>PVL</v>
      </c>
      <c r="P33" s="3751" t="str">
        <f>ExpoRisk!P558</f>
        <v>PVL</v>
      </c>
      <c r="Q33" s="3751" t="str">
        <f>ExpoRisk!Q558</f>
        <v>PVL</v>
      </c>
      <c r="R33" s="3751">
        <f>ExpoRisk!R558</f>
        <v>214.36066313258991</v>
      </c>
      <c r="S33" s="3751">
        <f>ExpoRisk!S558</f>
        <v>28.925893001504573</v>
      </c>
      <c r="T33" s="3751">
        <f>ExpoRisk!T558</f>
        <v>28.925893001504573</v>
      </c>
      <c r="U33" s="3751" t="str">
        <f>ExpoRisk!U558</f>
        <v>PVL</v>
      </c>
      <c r="V33" s="3751" t="str">
        <f>ExpoRisk!V558</f>
        <v>PVL</v>
      </c>
      <c r="W33" s="3751" t="str">
        <f>ExpoRisk!W558</f>
        <v>PVL</v>
      </c>
      <c r="X33" s="3752">
        <f>ExpoRisk!X558</f>
        <v>36.853981617765498</v>
      </c>
      <c r="Y33" s="3751">
        <f>ExpoRisk!Y558</f>
        <v>22.715718452764737</v>
      </c>
      <c r="Z33" s="3751">
        <f>ExpoRisk!Z558</f>
        <v>23.684922440082698</v>
      </c>
      <c r="AA33" s="3246">
        <f>ExpoRisk!AA558</f>
        <v>0.72084546556773421</v>
      </c>
      <c r="AB33" s="3752">
        <f>ExpoRisk!AB558</f>
        <v>4.1319691362904791</v>
      </c>
      <c r="AC33" s="3751">
        <f>ExpoRisk!AC558</f>
        <v>1.0871197674250337</v>
      </c>
      <c r="AD33" s="3751">
        <f>ExpoRisk!AD558</f>
        <v>3.0209344818069739</v>
      </c>
      <c r="AE33" s="3751" t="str">
        <f>ExpoRisk!AE558</f>
        <v>PVL</v>
      </c>
      <c r="AF33" s="3751" t="str">
        <f>ExpoRisk!AF558</f>
        <v>PVL</v>
      </c>
      <c r="AG33" s="3753">
        <f>ExpoRisk!AG558</f>
        <v>94.643591491791909</v>
      </c>
      <c r="AH33" s="3751" t="str">
        <f>ExpoRisk!AH558</f>
        <v>PVL</v>
      </c>
      <c r="AI33" s="3751" t="str">
        <f>ExpoRisk!AI558</f>
        <v>PVL</v>
      </c>
      <c r="AJ33" s="3751" t="str">
        <f>ExpoRisk!AJ558</f>
        <v>PVL</v>
      </c>
      <c r="AK33" s="3751" t="str">
        <f>ExpoRisk!AK558</f>
        <v>PVL</v>
      </c>
      <c r="AL33" s="3751" t="str">
        <f>ExpoRisk!AL558</f>
        <v>PVL</v>
      </c>
      <c r="AM33" s="3246" t="str">
        <f>ExpoRisk!AM558</f>
        <v>PVL</v>
      </c>
      <c r="AN33" s="3751">
        <f>ExpoRisk!AN558</f>
        <v>7.2699660810032141</v>
      </c>
      <c r="AO33" s="3751">
        <f>ExpoRisk!AO558</f>
        <v>26.618475230717056</v>
      </c>
      <c r="AP33" s="3751" t="str">
        <f>ExpoRisk!AP558</f>
        <v>PVL</v>
      </c>
      <c r="AQ33" s="3751" t="str">
        <f>ExpoRisk!AQ558</f>
        <v>PVL</v>
      </c>
      <c r="AR33" s="3751" t="str">
        <f>ExpoRisk!AR558</f>
        <v>PVL</v>
      </c>
      <c r="AS33" s="3751" t="str">
        <f>ExpoRisk!AS558</f>
        <v>PVL</v>
      </c>
      <c r="AT33" s="3751" t="str">
        <f>ExpoRisk!AT558</f>
        <v>PVL</v>
      </c>
      <c r="AU33" s="3751" t="str">
        <f>ExpoRisk!AU558</f>
        <v>PVL</v>
      </c>
      <c r="AV33" s="3751" t="str">
        <f>ExpoRisk!AV558</f>
        <v>PVL</v>
      </c>
      <c r="AW33" s="3751" t="str">
        <f>ExpoRisk!AW558</f>
        <v>PVL</v>
      </c>
      <c r="AX33" s="3751" t="str">
        <f>ExpoRisk!AX558</f>
        <v>PVL</v>
      </c>
      <c r="AY33" s="3751" t="str">
        <f>ExpoRisk!AY558</f>
        <v>PVL</v>
      </c>
      <c r="AZ33" s="3751" t="str">
        <f>ExpoRisk!AZ558</f>
        <v>PVL</v>
      </c>
      <c r="BA33" s="3751" t="str">
        <f>ExpoRisk!BA558</f>
        <v>PVL</v>
      </c>
      <c r="BB33" s="3751" t="str">
        <f>ExpoRisk!BB558</f>
        <v>PVL</v>
      </c>
      <c r="BC33" s="3751" t="str">
        <f>ExpoRisk!BC558</f>
        <v>PVL</v>
      </c>
      <c r="BD33" s="3752">
        <f>ExpoRisk!BD558</f>
        <v>116.13152129480251</v>
      </c>
      <c r="BE33" s="3751" t="str">
        <f>ExpoRisk!BE558</f>
        <v>PVL</v>
      </c>
      <c r="BF33" s="3246" t="str">
        <f>ExpoRisk!BF558</f>
        <v>PVL</v>
      </c>
      <c r="BG33" s="3751" t="str">
        <f>ExpoRisk!BG558</f>
        <v>nd</v>
      </c>
      <c r="BH33" s="3246" t="str">
        <f>ExpoRisk!BH558</f>
        <v>PVL</v>
      </c>
      <c r="BI33" s="3751" t="str">
        <f>ExpoRisk!BI558</f>
        <v>PVL</v>
      </c>
    </row>
    <row r="34" spans="1:61" s="3767" customFormat="1" ht="25.5" hidden="1">
      <c r="A34" s="3755"/>
      <c r="B34" s="3756"/>
      <c r="C34" s="3757"/>
      <c r="D34" s="3758"/>
      <c r="E34" s="3759" t="s">
        <v>954</v>
      </c>
      <c r="F34" s="3760" t="s">
        <v>19</v>
      </c>
      <c r="G34" s="3761" t="s">
        <v>20</v>
      </c>
      <c r="H34" s="3762">
        <f>IF(H30="PVL",H32,IF(H32="PVL",H30,MIN(H30,H32)))</f>
        <v>60.834453173711402</v>
      </c>
      <c r="I34" s="3762">
        <f t="shared" ref="I34:BI34" si="3">IF(I30="PVL",I32,IF(I32="PVL",I30,MIN(I30,I32)))</f>
        <v>60.834453173711402</v>
      </c>
      <c r="J34" s="3762">
        <f>IF(J30="PVL",J32,IF(J32="PVL",J30,MIN(J30,J32)))</f>
        <v>536.48109565489358</v>
      </c>
      <c r="K34" s="3763">
        <f t="shared" si="3"/>
        <v>0.46852770500182689</v>
      </c>
      <c r="L34" s="3762">
        <f t="shared" si="3"/>
        <v>0.86814254545454572</v>
      </c>
      <c r="M34" s="3762">
        <f t="shared" si="3"/>
        <v>0.86814254545454572</v>
      </c>
      <c r="N34" s="3762">
        <f>IF(N30="PVL",N32,IF(N32="PVL",N30,MIN(N30,N32)))</f>
        <v>2.5320824242424247</v>
      </c>
      <c r="O34" s="3762">
        <f>IF(O30="PVL",O32,IF(O32="PVL",O30,MIN(O30,O32)))</f>
        <v>2.5320824242424247</v>
      </c>
      <c r="P34" s="3762">
        <f t="shared" si="3"/>
        <v>0.50641648484848489</v>
      </c>
      <c r="Q34" s="3762">
        <f t="shared" si="3"/>
        <v>0.50641648484848489</v>
      </c>
      <c r="R34" s="3762">
        <f>IF(R30="PVL",R32,IF(R32="PVL",R30,MIN(R30,R32)))</f>
        <v>5.0641648484848494</v>
      </c>
      <c r="S34" s="3762">
        <f>IF(S30="PVL",S32,IF(S32="PVL",S30,MIN(S30,S32)))</f>
        <v>0.22018108036890641</v>
      </c>
      <c r="T34" s="3762">
        <f>IF(T30="PVL",T32,IF(T32="PVL",T30,MIN(T30,T32)))</f>
        <v>0.22018108036890641</v>
      </c>
      <c r="U34" s="3762">
        <f t="shared" si="3"/>
        <v>0.12057535353535354</v>
      </c>
      <c r="V34" s="3762">
        <f t="shared" si="3"/>
        <v>8.5409130800569031</v>
      </c>
      <c r="W34" s="3762">
        <f t="shared" si="3"/>
        <v>8.5409130800569031</v>
      </c>
      <c r="X34" s="3763">
        <f t="shared" si="3"/>
        <v>0.1389028072727273</v>
      </c>
      <c r="Y34" s="3762">
        <f t="shared" si="3"/>
        <v>1.0833110580856959</v>
      </c>
      <c r="Z34" s="3762">
        <f t="shared" si="3"/>
        <v>1.9072943096938233</v>
      </c>
      <c r="AA34" s="3764">
        <f t="shared" si="3"/>
        <v>8.6527912033094276E-2</v>
      </c>
      <c r="AB34" s="3763">
        <f t="shared" si="3"/>
        <v>0.43855059775955696</v>
      </c>
      <c r="AC34" s="3762">
        <f t="shared" si="3"/>
        <v>0.59129748989618436</v>
      </c>
      <c r="AD34" s="3762">
        <f t="shared" si="3"/>
        <v>3.0209344818069739</v>
      </c>
      <c r="AE34" s="3762" t="str">
        <f t="shared" si="3"/>
        <v>PVL</v>
      </c>
      <c r="AF34" s="3762" t="str">
        <f t="shared" si="3"/>
        <v>PVL</v>
      </c>
      <c r="AG34" s="3765">
        <f t="shared" si="3"/>
        <v>0.43677208521608607</v>
      </c>
      <c r="AH34" s="3762">
        <f t="shared" si="3"/>
        <v>3.3204496719424021</v>
      </c>
      <c r="AI34" s="3762">
        <f t="shared" si="3"/>
        <v>0.66037484972427585</v>
      </c>
      <c r="AJ34" s="3762">
        <f t="shared" si="3"/>
        <v>1.0646495578200528</v>
      </c>
      <c r="AK34" s="3762" t="str">
        <f t="shared" si="3"/>
        <v>PVL</v>
      </c>
      <c r="AL34" s="3762" t="str">
        <f t="shared" si="3"/>
        <v>PVL</v>
      </c>
      <c r="AM34" s="3764" t="str">
        <f t="shared" si="3"/>
        <v>PVL</v>
      </c>
      <c r="AN34" s="3762">
        <f t="shared" si="3"/>
        <v>0.15304014105752708</v>
      </c>
      <c r="AO34" s="3762">
        <f t="shared" si="3"/>
        <v>9.1661028969775558</v>
      </c>
      <c r="AP34" s="3762">
        <f t="shared" si="3"/>
        <v>7.0444170035345826</v>
      </c>
      <c r="AQ34" s="3762" t="str">
        <f t="shared" si="3"/>
        <v>PVL</v>
      </c>
      <c r="AR34" s="3762" t="str">
        <f t="shared" si="3"/>
        <v>PVL</v>
      </c>
      <c r="AS34" s="3762" t="str">
        <f t="shared" si="3"/>
        <v>PVL</v>
      </c>
      <c r="AT34" s="3762" t="str">
        <f t="shared" si="3"/>
        <v>PVL</v>
      </c>
      <c r="AU34" s="3762" t="str">
        <f t="shared" si="3"/>
        <v>PVL</v>
      </c>
      <c r="AV34" s="3762" t="str">
        <f t="shared" si="3"/>
        <v>PVL</v>
      </c>
      <c r="AW34" s="3762" t="str">
        <f t="shared" si="3"/>
        <v>PVL</v>
      </c>
      <c r="AX34" s="3762" t="str">
        <f t="shared" si="3"/>
        <v>PVL</v>
      </c>
      <c r="AY34" s="3762" t="str">
        <f t="shared" si="3"/>
        <v>PVL</v>
      </c>
      <c r="AZ34" s="3762" t="str">
        <f t="shared" si="3"/>
        <v>PVL</v>
      </c>
      <c r="BA34" s="3762" t="str">
        <f t="shared" si="3"/>
        <v>PVL</v>
      </c>
      <c r="BB34" s="3762" t="str">
        <f t="shared" si="3"/>
        <v>PVL</v>
      </c>
      <c r="BC34" s="3762" t="str">
        <f t="shared" si="3"/>
        <v>PVL</v>
      </c>
      <c r="BD34" s="3763">
        <f t="shared" si="3"/>
        <v>21.637045034166349</v>
      </c>
      <c r="BE34" s="3762">
        <f t="shared" si="3"/>
        <v>1.9105099674607666</v>
      </c>
      <c r="BF34" s="3764">
        <f t="shared" si="3"/>
        <v>3.8210199349215332</v>
      </c>
      <c r="BG34" s="3762">
        <f t="shared" si="3"/>
        <v>4.3407127272727285E-4</v>
      </c>
      <c r="BH34" s="3766">
        <f t="shared" si="3"/>
        <v>0.27774825694233579</v>
      </c>
      <c r="BI34" s="3762">
        <f t="shared" si="3"/>
        <v>0.38683198109989436</v>
      </c>
    </row>
    <row r="35" spans="1:61" s="3767" customFormat="1" hidden="1">
      <c r="A35" s="3755"/>
      <c r="B35" s="3756"/>
      <c r="C35" s="3757"/>
      <c r="D35" s="3758"/>
      <c r="E35" s="3759" t="s">
        <v>984</v>
      </c>
      <c r="F35" s="3760" t="s">
        <v>19</v>
      </c>
      <c r="G35" s="3761" t="s">
        <v>20</v>
      </c>
      <c r="H35" s="3762">
        <f>IF(H30="PVL",H33,IF(H33="PVL",H30,MIN(H30,H33)))</f>
        <v>60.834453173711402</v>
      </c>
      <c r="I35" s="3762">
        <f t="shared" ref="I35:BI35" si="4">IF(I30="PVL",I33,IF(I33="PVL",I30,MIN(I30,I33)))</f>
        <v>60.834453173711402</v>
      </c>
      <c r="J35" s="3762">
        <f>IF(J30="PVL",J33,IF(J33="PVL",J30,MIN(J30,J33)))</f>
        <v>536.48109565489358</v>
      </c>
      <c r="K35" s="3763">
        <f t="shared" si="4"/>
        <v>0.81026637575757599</v>
      </c>
      <c r="L35" s="3762">
        <f t="shared" si="4"/>
        <v>0.86814254545454572</v>
      </c>
      <c r="M35" s="3762">
        <f t="shared" si="4"/>
        <v>0.86814254545454572</v>
      </c>
      <c r="N35" s="3762">
        <f>IF(N30="PVL",N33,IF(N33="PVL",N30,MIN(N30,N33)))</f>
        <v>2.5320824242424247</v>
      </c>
      <c r="O35" s="3762">
        <f>IF(O30="PVL",O33,IF(O33="PVL",O30,MIN(O30,O33)))</f>
        <v>2.5320824242424247</v>
      </c>
      <c r="P35" s="3762">
        <f t="shared" si="4"/>
        <v>0.50641648484848489</v>
      </c>
      <c r="Q35" s="3762">
        <f t="shared" si="4"/>
        <v>0.50641648484848489</v>
      </c>
      <c r="R35" s="3762">
        <f>IF(R30="PVL",R33,IF(R33="PVL",R30,MIN(R30,R33)))</f>
        <v>5.0641648484848494</v>
      </c>
      <c r="S35" s="3762">
        <f>IF(S30="PVL",S33,IF(S33="PVL",S30,MIN(S30,S33)))</f>
        <v>0.22018108036890641</v>
      </c>
      <c r="T35" s="3762">
        <f>IF(T30="PVL",T33,IF(T33="PVL",T30,MIN(T30,T33)))</f>
        <v>0.22018108036890641</v>
      </c>
      <c r="U35" s="3762">
        <f t="shared" si="4"/>
        <v>0.12057535353535354</v>
      </c>
      <c r="V35" s="3762">
        <f t="shared" si="4"/>
        <v>14.469042424242426</v>
      </c>
      <c r="W35" s="3762">
        <f t="shared" si="4"/>
        <v>14.469042424242426</v>
      </c>
      <c r="X35" s="3763">
        <f t="shared" si="4"/>
        <v>0.1389028072727273</v>
      </c>
      <c r="Y35" s="3762">
        <f t="shared" si="4"/>
        <v>3.7619510303030315</v>
      </c>
      <c r="Z35" s="3762">
        <f t="shared" si="4"/>
        <v>2.0256659393939396</v>
      </c>
      <c r="AA35" s="3768">
        <f t="shared" si="4"/>
        <v>0.72084546556773421</v>
      </c>
      <c r="AB35" s="3763">
        <f t="shared" si="4"/>
        <v>2.8938084848484857</v>
      </c>
      <c r="AC35" s="3762">
        <f t="shared" si="4"/>
        <v>1.0871197674250337</v>
      </c>
      <c r="AD35" s="3762">
        <f t="shared" si="4"/>
        <v>3.0209344818069739</v>
      </c>
      <c r="AE35" s="3762" t="str">
        <f t="shared" si="4"/>
        <v>PVL</v>
      </c>
      <c r="AF35" s="3762" t="str">
        <f t="shared" si="4"/>
        <v>PVL</v>
      </c>
      <c r="AG35" s="3765">
        <f t="shared" si="4"/>
        <v>94.643591491791909</v>
      </c>
      <c r="AH35" s="3762" t="str">
        <f t="shared" si="4"/>
        <v>PVL</v>
      </c>
      <c r="AI35" s="3762">
        <f t="shared" si="4"/>
        <v>14.469042424242426</v>
      </c>
      <c r="AJ35" s="3762" t="str">
        <f t="shared" si="4"/>
        <v>PVL</v>
      </c>
      <c r="AK35" s="3762" t="str">
        <f t="shared" si="4"/>
        <v>PVL</v>
      </c>
      <c r="AL35" s="3762" t="str">
        <f t="shared" si="4"/>
        <v>PVL</v>
      </c>
      <c r="AM35" s="3764" t="str">
        <f t="shared" si="4"/>
        <v>PVL</v>
      </c>
      <c r="AN35" s="3762">
        <f t="shared" si="4"/>
        <v>0.15304014105752708</v>
      </c>
      <c r="AO35" s="3762">
        <f t="shared" si="4"/>
        <v>9.1661028969775558</v>
      </c>
      <c r="AP35" s="3762">
        <f t="shared" si="4"/>
        <v>7.0444170035345826</v>
      </c>
      <c r="AQ35" s="3762" t="str">
        <f t="shared" si="4"/>
        <v>PVL</v>
      </c>
      <c r="AR35" s="3762" t="str">
        <f t="shared" si="4"/>
        <v>PVL</v>
      </c>
      <c r="AS35" s="3762" t="str">
        <f t="shared" si="4"/>
        <v>PVL</v>
      </c>
      <c r="AT35" s="3762" t="str">
        <f t="shared" si="4"/>
        <v>PVL</v>
      </c>
      <c r="AU35" s="3762" t="str">
        <f t="shared" si="4"/>
        <v>PVL</v>
      </c>
      <c r="AV35" s="3762" t="str">
        <f t="shared" si="4"/>
        <v>PVL</v>
      </c>
      <c r="AW35" s="3762" t="str">
        <f t="shared" si="4"/>
        <v>PVL</v>
      </c>
      <c r="AX35" s="3762" t="str">
        <f t="shared" si="4"/>
        <v>PVL</v>
      </c>
      <c r="AY35" s="3762" t="str">
        <f t="shared" si="4"/>
        <v>PVL</v>
      </c>
      <c r="AZ35" s="3762" t="str">
        <f t="shared" si="4"/>
        <v>PVL</v>
      </c>
      <c r="BA35" s="3762" t="str">
        <f t="shared" si="4"/>
        <v>PVL</v>
      </c>
      <c r="BB35" s="3762" t="str">
        <f t="shared" si="4"/>
        <v>PVL</v>
      </c>
      <c r="BC35" s="3762" t="str">
        <f t="shared" si="4"/>
        <v>PVL</v>
      </c>
      <c r="BD35" s="3763">
        <f t="shared" si="4"/>
        <v>21.637045034166349</v>
      </c>
      <c r="BE35" s="3762">
        <f t="shared" si="4"/>
        <v>1.9105099674607666</v>
      </c>
      <c r="BF35" s="3764">
        <f t="shared" si="4"/>
        <v>3.8210199349215332</v>
      </c>
      <c r="BG35" s="3762">
        <f t="shared" si="4"/>
        <v>4.3407127272727285E-4</v>
      </c>
      <c r="BH35" s="3766">
        <f t="shared" si="4"/>
        <v>0.27774825694233579</v>
      </c>
      <c r="BI35" s="3762">
        <f t="shared" si="4"/>
        <v>0.38683198109989436</v>
      </c>
    </row>
    <row r="36" spans="1:61" s="2193" customFormat="1" hidden="1">
      <c r="A36" s="2191"/>
      <c r="B36" s="2236"/>
      <c r="C36" s="2149"/>
      <c r="D36" s="3248"/>
      <c r="E36" s="3036" t="s">
        <v>660</v>
      </c>
      <c r="F36" s="3784" t="str">
        <f>F34</f>
        <v>Cs</v>
      </c>
      <c r="G36" s="3785" t="str">
        <f>G34</f>
        <v>mg/kg ms</v>
      </c>
      <c r="H36" s="2235">
        <f t="shared" ref="H36:BH36" si="5">IF(H30="PVL",H$10,IF(OR(H$10="PVL",H$10="nd"),H30,MIN(H30,H$10)))</f>
        <v>60.834453173711402</v>
      </c>
      <c r="I36" s="2235">
        <f t="shared" si="5"/>
        <v>60.834453173711402</v>
      </c>
      <c r="J36" s="2235">
        <f>IF(J30="PVL",J$10,IF(OR(J$10="PVL",J$10="nd"),J30,MIN(J30,J$10)))</f>
        <v>536.48109565489358</v>
      </c>
      <c r="K36" s="3270">
        <f t="shared" si="5"/>
        <v>6.7474391639365076E-3</v>
      </c>
      <c r="L36" s="2235">
        <f t="shared" si="5"/>
        <v>9.5069987104584891E-2</v>
      </c>
      <c r="M36" s="2235">
        <f t="shared" si="5"/>
        <v>9.5069987104584891E-2</v>
      </c>
      <c r="N36" s="2235">
        <f>IF(N30="PVL",N$10,IF(OR(N$10="PVL",N$10="nd"),N30,MIN(N30,N$10)))</f>
        <v>0.10760591893278754</v>
      </c>
      <c r="O36" s="2235">
        <f>IF(O30="PVL",O$10,IF(OR(O$10="PVL",O$10="nd"),O30,MIN(O30,O$10)))</f>
        <v>0.10760591893278754</v>
      </c>
      <c r="P36" s="2235">
        <f t="shared" si="5"/>
        <v>0.1199562906395495</v>
      </c>
      <c r="Q36" s="2235">
        <f t="shared" si="5"/>
        <v>0.1199562906395495</v>
      </c>
      <c r="R36" s="2235">
        <f>IF(R30="PVL",R$10,IF(OR(R$10="PVL",R$10="nd"),R30,MIN(R30,R$10)))</f>
        <v>0.14151448202581743</v>
      </c>
      <c r="S36" s="2235">
        <f>IF(S30="PVL",S$10,IF(OR(S$10="PVL",S$10="nd"),S30,MIN(S30,S$10)))</f>
        <v>2.0354402069204962E-2</v>
      </c>
      <c r="T36" s="2235">
        <f>IF(T30="PVL",T$10,IF(OR(T$10="PVL",T$10="nd"),T30,MIN(T30,T$10)))</f>
        <v>2.0354402069204962E-2</v>
      </c>
      <c r="U36" s="2235">
        <f t="shared" si="5"/>
        <v>0.12057535353535354</v>
      </c>
      <c r="V36" s="2235">
        <f t="shared" si="5"/>
        <v>0.12300081894181439</v>
      </c>
      <c r="W36" s="2235">
        <f t="shared" si="5"/>
        <v>0.12300081894181439</v>
      </c>
      <c r="X36" s="3270">
        <f t="shared" si="5"/>
        <v>1.754223700777784E-2</v>
      </c>
      <c r="Y36" s="2235">
        <f t="shared" si="5"/>
        <v>1.5601159508858542E-2</v>
      </c>
      <c r="Z36" s="2235">
        <f t="shared" si="5"/>
        <v>2.7467644250260864E-2</v>
      </c>
      <c r="AA36" s="3271">
        <f t="shared" si="5"/>
        <v>1.2461201679065631E-3</v>
      </c>
      <c r="AB36" s="3270">
        <f t="shared" si="5"/>
        <v>6.315727857926912E-3</v>
      </c>
      <c r="AC36" s="2235">
        <f t="shared" si="5"/>
        <v>8.5154918231512226E-3</v>
      </c>
      <c r="AD36" s="2235">
        <f t="shared" si="5"/>
        <v>4.3505584443829494E-2</v>
      </c>
      <c r="AE36" s="2235">
        <f t="shared" si="5"/>
        <v>0.34890349802377557</v>
      </c>
      <c r="AF36" s="2235" t="str">
        <f t="shared" si="5"/>
        <v>PVL</v>
      </c>
      <c r="AG36" s="3786">
        <f t="shared" si="5"/>
        <v>6.29011484708197E-3</v>
      </c>
      <c r="AH36" s="2235">
        <f t="shared" si="5"/>
        <v>4.7819012449342634E-2</v>
      </c>
      <c r="AI36" s="2235">
        <f t="shared" si="5"/>
        <v>9.5103001942881699E-3</v>
      </c>
      <c r="AJ36" s="2235">
        <f t="shared" si="5"/>
        <v>1.5332408405335814E-2</v>
      </c>
      <c r="AK36" s="2235">
        <f t="shared" si="5"/>
        <v>0.37132861944557133</v>
      </c>
      <c r="AL36" s="2235" t="str">
        <f t="shared" si="5"/>
        <v>PVL</v>
      </c>
      <c r="AM36" s="3271" t="str">
        <f t="shared" si="5"/>
        <v>PVL</v>
      </c>
      <c r="AN36" s="2235">
        <f t="shared" si="5"/>
        <v>0.10469744549099785</v>
      </c>
      <c r="AO36" s="2235">
        <f t="shared" si="5"/>
        <v>0.38334241569623678</v>
      </c>
      <c r="AP36" s="2235">
        <f t="shared" si="5"/>
        <v>0.22914151194741517</v>
      </c>
      <c r="AQ36" s="2235">
        <f t="shared" si="5"/>
        <v>0.56590208573839795</v>
      </c>
      <c r="AR36" s="2235">
        <f t="shared" si="5"/>
        <v>2.8264444973650038</v>
      </c>
      <c r="AS36" s="2235" t="str">
        <f t="shared" si="5"/>
        <v>PVL</v>
      </c>
      <c r="AT36" s="2235" t="str">
        <f t="shared" si="5"/>
        <v>PVL</v>
      </c>
      <c r="AU36" s="2235" t="str">
        <f t="shared" si="5"/>
        <v>PVL</v>
      </c>
      <c r="AV36" s="2235" t="str">
        <f t="shared" si="5"/>
        <v>PVL</v>
      </c>
      <c r="AW36" s="2235" t="str">
        <f t="shared" si="5"/>
        <v>PVL</v>
      </c>
      <c r="AX36" s="2235" t="str">
        <f t="shared" si="5"/>
        <v>PVL</v>
      </c>
      <c r="AY36" s="2235" t="str">
        <f t="shared" si="5"/>
        <v>PVL</v>
      </c>
      <c r="AZ36" s="2235" t="str">
        <f t="shared" si="5"/>
        <v>PVL</v>
      </c>
      <c r="BA36" s="2235" t="str">
        <f t="shared" si="5"/>
        <v>PVL</v>
      </c>
      <c r="BB36" s="2235" t="str">
        <f t="shared" si="5"/>
        <v>PVL</v>
      </c>
      <c r="BC36" s="2235" t="str">
        <f t="shared" si="5"/>
        <v>PVL</v>
      </c>
      <c r="BD36" s="3270">
        <f t="shared" si="5"/>
        <v>1.6724525926359499</v>
      </c>
      <c r="BE36" s="2235">
        <f t="shared" si="5"/>
        <v>1.9105099674607666</v>
      </c>
      <c r="BF36" s="3271">
        <f t="shared" si="5"/>
        <v>3.8210199349215332</v>
      </c>
      <c r="BG36" s="2235">
        <f t="shared" si="5"/>
        <v>4.3407127272727285E-4</v>
      </c>
      <c r="BH36" s="3273">
        <f t="shared" si="5"/>
        <v>0.27774825694233579</v>
      </c>
      <c r="BI36" s="2235"/>
    </row>
    <row r="37" spans="1:61" s="3166" customFormat="1" hidden="1">
      <c r="A37" s="3156"/>
      <c r="B37" s="3155"/>
      <c r="C37" s="240"/>
      <c r="D37" s="3238"/>
      <c r="E37" s="3050" t="s">
        <v>1289</v>
      </c>
      <c r="F37" s="3216"/>
      <c r="G37" s="2154"/>
      <c r="H37" s="530"/>
      <c r="I37" s="530"/>
      <c r="J37" s="530"/>
      <c r="K37" s="627"/>
      <c r="L37" s="530"/>
      <c r="M37" s="530"/>
      <c r="N37" s="530"/>
      <c r="O37" s="530"/>
      <c r="P37" s="530"/>
      <c r="Q37" s="530"/>
      <c r="R37" s="530"/>
      <c r="S37" s="530"/>
      <c r="T37" s="530"/>
      <c r="U37" s="530"/>
      <c r="V37" s="530"/>
      <c r="W37" s="530"/>
      <c r="X37" s="627"/>
      <c r="Y37" s="530"/>
      <c r="Z37" s="530"/>
      <c r="AA37" s="628"/>
      <c r="AB37" s="627"/>
      <c r="AC37" s="530"/>
      <c r="AD37" s="530"/>
      <c r="AE37" s="530"/>
      <c r="AF37" s="530"/>
      <c r="AG37" s="829"/>
      <c r="AH37" s="530"/>
      <c r="AI37" s="530"/>
      <c r="AJ37" s="530"/>
      <c r="AK37" s="530"/>
      <c r="AL37" s="530"/>
      <c r="AM37" s="628"/>
      <c r="AN37" s="530"/>
      <c r="AO37" s="530"/>
      <c r="AP37" s="530"/>
      <c r="AQ37" s="530"/>
      <c r="AR37" s="530"/>
      <c r="AS37" s="530"/>
      <c r="AT37" s="530"/>
      <c r="AU37" s="530"/>
      <c r="AV37" s="530"/>
      <c r="AW37" s="530"/>
      <c r="AX37" s="530"/>
      <c r="AY37" s="530"/>
      <c r="AZ37" s="530"/>
      <c r="BA37" s="530"/>
      <c r="BB37" s="530"/>
      <c r="BC37" s="530"/>
      <c r="BD37" s="627"/>
      <c r="BE37" s="530"/>
      <c r="BF37" s="628"/>
      <c r="BG37" s="530"/>
      <c r="BH37" s="629"/>
      <c r="BI37" s="530"/>
    </row>
    <row r="38" spans="1:61" s="2126" customFormat="1" hidden="1">
      <c r="A38" s="2375"/>
      <c r="B38" s="2156"/>
      <c r="D38" s="3248"/>
      <c r="E38" s="2592" t="s">
        <v>670</v>
      </c>
      <c r="F38" s="2153" t="str">
        <f>F30</f>
        <v>Cs</v>
      </c>
      <c r="G38" s="2154" t="str">
        <f>G30</f>
        <v>mg/kg ms</v>
      </c>
      <c r="H38" s="2155">
        <f>ExpoRisk!H89</f>
        <v>2961.0271017264263</v>
      </c>
      <c r="I38" s="2155">
        <f>ExpoRisk!I89</f>
        <v>2961.0271017264263</v>
      </c>
      <c r="J38" s="2155">
        <f>ExpoRisk!J89</f>
        <v>22150.011177746623</v>
      </c>
      <c r="K38" s="3243">
        <f>ExpoRisk!K89</f>
        <v>8.372224000000001</v>
      </c>
      <c r="L38" s="2155">
        <f>ExpoRisk!L89</f>
        <v>11.472818781744243</v>
      </c>
      <c r="M38" s="2155">
        <f>ExpoRisk!M89</f>
        <v>11.472818781744243</v>
      </c>
      <c r="N38" s="2155">
        <f>ExpoRisk!N89</f>
        <v>29.900799999999997</v>
      </c>
      <c r="O38" s="2155">
        <f>ExpoRisk!O89</f>
        <v>29.900799999999997</v>
      </c>
      <c r="P38" s="2155">
        <f>ExpoRisk!P89</f>
        <v>5.2326400000000008</v>
      </c>
      <c r="Q38" s="2155">
        <f>ExpoRisk!Q89</f>
        <v>5.2326400000000008</v>
      </c>
      <c r="R38" s="2155">
        <f>ExpoRisk!R89</f>
        <v>59.801600000000008</v>
      </c>
      <c r="S38" s="2155">
        <f>ExpoRisk!S89</f>
        <v>11.184391078883491</v>
      </c>
      <c r="T38" s="2155">
        <f>ExpoRisk!T89</f>
        <v>11.184391078883491</v>
      </c>
      <c r="U38" s="2155">
        <f>ExpoRisk!U89</f>
        <v>5.6811520000000009</v>
      </c>
      <c r="V38" s="2155">
        <f>ExpoRisk!V89</f>
        <v>149.50399999999999</v>
      </c>
      <c r="W38" s="2155">
        <f>ExpoRisk!W89</f>
        <v>149.50399999999999</v>
      </c>
      <c r="X38" s="3243">
        <f>ExpoRisk!X89</f>
        <v>1.5701131488337743</v>
      </c>
      <c r="Y38" s="2155">
        <f>ExpoRisk!Y89</f>
        <v>54.968034114356676</v>
      </c>
      <c r="Z38" s="2155">
        <f>ExpoRisk!Z89</f>
        <v>78.600644801384504</v>
      </c>
      <c r="AA38" s="3022">
        <f>ExpoRisk!AA89</f>
        <v>104.65279999999998</v>
      </c>
      <c r="AB38" s="3243">
        <f>ExpoRisk!AB89</f>
        <v>108.23587832836999</v>
      </c>
      <c r="AC38" s="2155">
        <f>ExpoRisk!AC89</f>
        <v>334.56534622860232</v>
      </c>
      <c r="AD38" s="2155">
        <f>ExpoRisk!AD89</f>
        <v>1400.4148353065164</v>
      </c>
      <c r="AE38" s="2155" t="str">
        <f>ExpoRisk!AE89</f>
        <v>PVL</v>
      </c>
      <c r="AF38" s="2155" t="str">
        <f>ExpoRisk!AF89</f>
        <v>PVL</v>
      </c>
      <c r="AG38" s="3721">
        <f>ExpoRisk!AG89</f>
        <v>2750.8735999999999</v>
      </c>
      <c r="AH38" s="2155">
        <f>ExpoRisk!AH89</f>
        <v>2750.8735999999999</v>
      </c>
      <c r="AI38" s="2155">
        <f>ExpoRisk!AI89</f>
        <v>187.33898380673938</v>
      </c>
      <c r="AJ38" s="2155">
        <f>ExpoRisk!AJ89</f>
        <v>473.51879814241812</v>
      </c>
      <c r="AK38" s="2155">
        <f>ExpoRisk!AK89</f>
        <v>1414.2893706745458</v>
      </c>
      <c r="AL38" s="2155" t="str">
        <f>ExpoRisk!AL89</f>
        <v>PVL</v>
      </c>
      <c r="AM38" s="3022" t="str">
        <f>ExpoRisk!AM89</f>
        <v>PVL</v>
      </c>
      <c r="AN38" s="2155">
        <f>ExpoRisk!AN89</f>
        <v>52.416683774217752</v>
      </c>
      <c r="AO38" s="2155" t="str">
        <f>ExpoRisk!AO89</f>
        <v>PVL</v>
      </c>
      <c r="AP38" s="2155" t="str">
        <f>ExpoRisk!AP89</f>
        <v>PVL</v>
      </c>
      <c r="AQ38" s="2155" t="str">
        <f>ExpoRisk!AQ89</f>
        <v>PVL</v>
      </c>
      <c r="AR38" s="2155" t="str">
        <f>ExpoRisk!AR89</f>
        <v>PVL</v>
      </c>
      <c r="AS38" s="2155" t="str">
        <f>ExpoRisk!AS89</f>
        <v>PVL</v>
      </c>
      <c r="AT38" s="2155" t="str">
        <f>ExpoRisk!AT89</f>
        <v>PVL</v>
      </c>
      <c r="AU38" s="2155" t="str">
        <f>ExpoRisk!AU89</f>
        <v>PVL</v>
      </c>
      <c r="AV38" s="2155" t="str">
        <f>ExpoRisk!AV89</f>
        <v>PVL</v>
      </c>
      <c r="AW38" s="2155" t="str">
        <f>ExpoRisk!AW89</f>
        <v>PVL</v>
      </c>
      <c r="AX38" s="2155" t="str">
        <f>ExpoRisk!AX89</f>
        <v>PVL</v>
      </c>
      <c r="AY38" s="2155" t="str">
        <f>ExpoRisk!AY89</f>
        <v>PVL</v>
      </c>
      <c r="AZ38" s="2155" t="str">
        <f>ExpoRisk!AZ89</f>
        <v>PVL</v>
      </c>
      <c r="BA38" s="2155" t="str">
        <f>ExpoRisk!BA89</f>
        <v>PVL</v>
      </c>
      <c r="BB38" s="2155" t="str">
        <f>ExpoRisk!BB89</f>
        <v>PVL</v>
      </c>
      <c r="BC38" s="2155" t="str">
        <f>ExpoRisk!BC89</f>
        <v>PVL</v>
      </c>
      <c r="BD38" s="3243">
        <f>ExpoRisk!BD89</f>
        <v>835.59055460326442</v>
      </c>
      <c r="BE38" s="2155">
        <f>ExpoRisk!BE89</f>
        <v>22592.46338568717</v>
      </c>
      <c r="BF38" s="3022">
        <f>ExpoRisk!BF89</f>
        <v>45184.926771374339</v>
      </c>
      <c r="BG38" s="2155">
        <f>ExpoRisk!BG89</f>
        <v>4.4851199999999996E-3</v>
      </c>
      <c r="BH38" s="3246">
        <f>ExpoRisk!BH89</f>
        <v>18.613426061510062</v>
      </c>
      <c r="BI38" s="2155">
        <f>ExpoRisk!BI89</f>
        <v>8.6731420528369565</v>
      </c>
    </row>
    <row r="39" spans="1:61" s="2126" customFormat="1" hidden="1">
      <c r="A39" s="2375"/>
      <c r="B39" s="2156"/>
      <c r="D39" s="3248"/>
      <c r="E39" s="2592" t="s">
        <v>671</v>
      </c>
      <c r="F39" s="2153" t="str">
        <f>F38</f>
        <v>Cs</v>
      </c>
      <c r="G39" s="2154" t="str">
        <f>G38</f>
        <v>mg/kg ms</v>
      </c>
      <c r="H39" s="2155" t="str">
        <f>ExpoRisk!H90</f>
        <v>PVL</v>
      </c>
      <c r="I39" s="2155" t="str">
        <f>ExpoRisk!I90</f>
        <v>PVL</v>
      </c>
      <c r="J39" s="2155" t="str">
        <f>ExpoRisk!J90</f>
        <v>PVL</v>
      </c>
      <c r="K39" s="3243">
        <f>ExpoRisk!K90</f>
        <v>52.3264</v>
      </c>
      <c r="L39" s="2155" t="str">
        <f>ExpoRisk!L90</f>
        <v>PVL</v>
      </c>
      <c r="M39" s="2155" t="str">
        <f>ExpoRisk!M90</f>
        <v>PVL</v>
      </c>
      <c r="N39" s="2155">
        <f>ExpoRisk!N90</f>
        <v>26.163199999999996</v>
      </c>
      <c r="O39" s="2155">
        <f>ExpoRisk!O90</f>
        <v>26.163199999999996</v>
      </c>
      <c r="P39" s="2155">
        <f>ExpoRisk!P90</f>
        <v>8.8688813559322028</v>
      </c>
      <c r="Q39" s="2155">
        <f>ExpoRisk!Q90</f>
        <v>8.8688813559322028</v>
      </c>
      <c r="R39" s="2155">
        <f>ExpoRisk!R90</f>
        <v>52.326399999999992</v>
      </c>
      <c r="S39" s="2155">
        <f>ExpoRisk!S90</f>
        <v>2.2750608695652166</v>
      </c>
      <c r="T39" s="2155">
        <f>ExpoRisk!T90</f>
        <v>2.2750608695652166</v>
      </c>
      <c r="U39" s="2155">
        <f>ExpoRisk!U90</f>
        <v>1.2458666666666667</v>
      </c>
      <c r="V39" s="2155" t="str">
        <f>ExpoRisk!V90</f>
        <v>PVL</v>
      </c>
      <c r="W39" s="2155" t="str">
        <f>ExpoRisk!W90</f>
        <v>PVL</v>
      </c>
      <c r="X39" s="3243">
        <f>ExpoRisk!X90</f>
        <v>8.7210666666666654</v>
      </c>
      <c r="Y39" s="2155" t="str">
        <f>ExpoRisk!Y90</f>
        <v>PVL</v>
      </c>
      <c r="Z39" s="2155">
        <f>ExpoRisk!Z90</f>
        <v>20.93056</v>
      </c>
      <c r="AA39" s="3022" t="str">
        <f>ExpoRisk!AA90</f>
        <v>PVL</v>
      </c>
      <c r="AB39" s="3243" t="str">
        <f>ExpoRisk!AB90</f>
        <v>PVL</v>
      </c>
      <c r="AC39" s="2155" t="str">
        <f>ExpoRisk!AC90</f>
        <v>PVL</v>
      </c>
      <c r="AD39" s="2155" t="str">
        <f>ExpoRisk!AD90</f>
        <v>PVL</v>
      </c>
      <c r="AE39" s="2155" t="str">
        <f>ExpoRisk!AE90</f>
        <v>PVL</v>
      </c>
      <c r="AF39" s="2155" t="str">
        <f>ExpoRisk!AF90</f>
        <v>PVL</v>
      </c>
      <c r="AG39" s="3721" t="str">
        <f>ExpoRisk!AG90</f>
        <v>PVL</v>
      </c>
      <c r="AH39" s="2155" t="str">
        <f>ExpoRisk!AH90</f>
        <v>PVL</v>
      </c>
      <c r="AI39" s="2155" t="str">
        <f>ExpoRisk!AI90</f>
        <v>PVL</v>
      </c>
      <c r="AJ39" s="2155" t="str">
        <f>ExpoRisk!AJ90</f>
        <v>PVL</v>
      </c>
      <c r="AK39" s="2155" t="str">
        <f>ExpoRisk!AK90</f>
        <v>PVL</v>
      </c>
      <c r="AL39" s="2155" t="str">
        <f>ExpoRisk!AL90</f>
        <v>PVL</v>
      </c>
      <c r="AM39" s="3022" t="str">
        <f>ExpoRisk!AM90</f>
        <v>PVL</v>
      </c>
      <c r="AN39" s="2155">
        <f>ExpoRisk!AN90</f>
        <v>9.2393492699910631</v>
      </c>
      <c r="AO39" s="2155">
        <f>ExpoRisk!AO90</f>
        <v>770.0784230011044</v>
      </c>
      <c r="AP39" s="2155">
        <f>ExpoRisk!AP90</f>
        <v>542.28898030549828</v>
      </c>
      <c r="AQ39" s="2155">
        <f>ExpoRisk!AQ90</f>
        <v>1098.3911682500118</v>
      </c>
      <c r="AR39" s="2155">
        <f>ExpoRisk!AR90</f>
        <v>4368.8221564870764</v>
      </c>
      <c r="AS39" s="2155">
        <f>ExpoRisk!AS90</f>
        <v>349.95077390618565</v>
      </c>
      <c r="AT39" s="2155">
        <f>ExpoRisk!AT90</f>
        <v>43837.643700402426</v>
      </c>
      <c r="AU39" s="2155">
        <f>ExpoRisk!AU90</f>
        <v>44940.913241780683</v>
      </c>
      <c r="AV39" s="2155">
        <f>ExpoRisk!AV90</f>
        <v>2939.7950153945944</v>
      </c>
      <c r="AW39" s="2155">
        <f>ExpoRisk!AW90</f>
        <v>28948.358307130846</v>
      </c>
      <c r="AX39" s="2155">
        <f>ExpoRisk!AX90</f>
        <v>13057.743084507054</v>
      </c>
      <c r="AY39" s="2155">
        <f>ExpoRisk!AY90</f>
        <v>19024.98983816609</v>
      </c>
      <c r="AZ39" s="2155">
        <f>ExpoRisk!AZ90</f>
        <v>2125.3017090708236</v>
      </c>
      <c r="BA39" s="2155">
        <f>ExpoRisk!BA90</f>
        <v>9188.4185800734576</v>
      </c>
      <c r="BB39" s="2155">
        <f>ExpoRisk!BB90</f>
        <v>367723.76968663209</v>
      </c>
      <c r="BC39" s="2155">
        <f>ExpoRisk!BC90</f>
        <v>154941.91693464172</v>
      </c>
      <c r="BD39" s="3243" t="str">
        <f>ExpoRisk!BD90</f>
        <v>PVL</v>
      </c>
      <c r="BE39" s="2155">
        <f>ExpoRisk!BE90</f>
        <v>373.8657029902983</v>
      </c>
      <c r="BF39" s="3022">
        <f>ExpoRisk!BF90</f>
        <v>747.73140598059661</v>
      </c>
      <c r="BG39" s="2155" t="str">
        <f>ExpoRisk!BG90</f>
        <v>PVL</v>
      </c>
      <c r="BH39" s="3246" t="str">
        <f>ExpoRisk!BH90</f>
        <v>PVL</v>
      </c>
      <c r="BI39" s="2155" t="str">
        <f>ExpoRisk!BI90</f>
        <v>PVL</v>
      </c>
    </row>
    <row r="40" spans="1:61" s="2126" customFormat="1" hidden="1">
      <c r="A40" s="2242"/>
      <c r="B40" s="2156"/>
      <c r="C40" s="2149"/>
      <c r="D40" s="3248"/>
      <c r="E40" s="2592" t="s">
        <v>672</v>
      </c>
      <c r="F40" s="2153" t="str">
        <f>F39</f>
        <v>Cs</v>
      </c>
      <c r="G40" s="2154" t="str">
        <f>G39</f>
        <v>mg/kg ms</v>
      </c>
      <c r="H40" s="2155">
        <f>ExpoRisk!H91</f>
        <v>2961.0271017264263</v>
      </c>
      <c r="I40" s="2155">
        <f>ExpoRisk!I91</f>
        <v>2961.0271017264263</v>
      </c>
      <c r="J40" s="2155">
        <f>ExpoRisk!J91</f>
        <v>22150.011177746623</v>
      </c>
      <c r="K40" s="3243">
        <f>ExpoRisk!K91</f>
        <v>8.372224000000001</v>
      </c>
      <c r="L40" s="2155">
        <f>ExpoRisk!L91</f>
        <v>11.472818781744243</v>
      </c>
      <c r="M40" s="2155">
        <f>ExpoRisk!M91</f>
        <v>11.472818781744243</v>
      </c>
      <c r="N40" s="2155">
        <f>ExpoRisk!N91</f>
        <v>26.163199999999996</v>
      </c>
      <c r="O40" s="2155">
        <f>ExpoRisk!O91</f>
        <v>26.163199999999996</v>
      </c>
      <c r="P40" s="2155">
        <f>ExpoRisk!P91</f>
        <v>5.2326400000000008</v>
      </c>
      <c r="Q40" s="2155">
        <f>ExpoRisk!Q91</f>
        <v>5.2326400000000008</v>
      </c>
      <c r="R40" s="2155">
        <f>ExpoRisk!R91</f>
        <v>52.326399999999992</v>
      </c>
      <c r="S40" s="2155">
        <f>ExpoRisk!S91</f>
        <v>2.2750608695652166</v>
      </c>
      <c r="T40" s="2155">
        <f>ExpoRisk!T91</f>
        <v>2.2750608695652166</v>
      </c>
      <c r="U40" s="2155">
        <f>ExpoRisk!U91</f>
        <v>1.2458666666666667</v>
      </c>
      <c r="V40" s="2155">
        <f>ExpoRisk!V91</f>
        <v>149.50399999999999</v>
      </c>
      <c r="W40" s="2155">
        <f>ExpoRisk!W91</f>
        <v>149.50399999999999</v>
      </c>
      <c r="X40" s="3243">
        <f>ExpoRisk!X91</f>
        <v>1.5701131488337743</v>
      </c>
      <c r="Y40" s="2155">
        <f>ExpoRisk!Y91</f>
        <v>54.968034114356676</v>
      </c>
      <c r="Z40" s="2155">
        <f>ExpoRisk!Z91</f>
        <v>20.93056</v>
      </c>
      <c r="AA40" s="3022">
        <f>ExpoRisk!AA91</f>
        <v>104.65279999999998</v>
      </c>
      <c r="AB40" s="3243">
        <f>ExpoRisk!AB91</f>
        <v>108.23587832836999</v>
      </c>
      <c r="AC40" s="2155">
        <f>ExpoRisk!AC91</f>
        <v>334.56534622860232</v>
      </c>
      <c r="AD40" s="2155">
        <f>ExpoRisk!AD91</f>
        <v>1400.4148353065164</v>
      </c>
      <c r="AE40" s="2155" t="str">
        <f>ExpoRisk!AE91</f>
        <v>PVL</v>
      </c>
      <c r="AF40" s="2155" t="str">
        <f>ExpoRisk!AF91</f>
        <v>PVL</v>
      </c>
      <c r="AG40" s="3721">
        <f>ExpoRisk!AG91</f>
        <v>2750.8735999999999</v>
      </c>
      <c r="AH40" s="2155">
        <f>ExpoRisk!AH91</f>
        <v>2750.8735999999999</v>
      </c>
      <c r="AI40" s="2155">
        <f>ExpoRisk!AI91</f>
        <v>187.33898380673938</v>
      </c>
      <c r="AJ40" s="2155">
        <f>ExpoRisk!AJ91</f>
        <v>473.51879814241812</v>
      </c>
      <c r="AK40" s="2155">
        <f>ExpoRisk!AK91</f>
        <v>1414.2893706745458</v>
      </c>
      <c r="AL40" s="2155" t="str">
        <f>ExpoRisk!AL91</f>
        <v>PVL</v>
      </c>
      <c r="AM40" s="3022" t="str">
        <f>ExpoRisk!AM91</f>
        <v>PVL</v>
      </c>
      <c r="AN40" s="2155">
        <f>ExpoRisk!AN91</f>
        <v>9.2393492699910631</v>
      </c>
      <c r="AO40" s="2155">
        <f>ExpoRisk!AO91</f>
        <v>770.0784230011044</v>
      </c>
      <c r="AP40" s="2155">
        <f>ExpoRisk!AP91</f>
        <v>542.28898030549828</v>
      </c>
      <c r="AQ40" s="2155">
        <f>ExpoRisk!AQ91</f>
        <v>1098.3911682500118</v>
      </c>
      <c r="AR40" s="2155">
        <f>ExpoRisk!AR91</f>
        <v>4368.8221564870764</v>
      </c>
      <c r="AS40" s="2155">
        <f>ExpoRisk!AS91</f>
        <v>349.95077390618565</v>
      </c>
      <c r="AT40" s="2155">
        <f>ExpoRisk!AT91</f>
        <v>43837.643700402426</v>
      </c>
      <c r="AU40" s="2155">
        <f>ExpoRisk!AU91</f>
        <v>44940.913241780683</v>
      </c>
      <c r="AV40" s="2155">
        <f>ExpoRisk!AV91</f>
        <v>2939.7950153945944</v>
      </c>
      <c r="AW40" s="2155">
        <f>ExpoRisk!AW91</f>
        <v>28948.358307130846</v>
      </c>
      <c r="AX40" s="2155">
        <f>ExpoRisk!AX91</f>
        <v>13057.743084507054</v>
      </c>
      <c r="AY40" s="2155">
        <f>ExpoRisk!AY91</f>
        <v>19024.98983816609</v>
      </c>
      <c r="AZ40" s="2155">
        <f>ExpoRisk!AZ91</f>
        <v>2125.3017090708236</v>
      </c>
      <c r="BA40" s="2155">
        <f>ExpoRisk!BA91</f>
        <v>9188.4185800734576</v>
      </c>
      <c r="BB40" s="2155">
        <f>ExpoRisk!BB91</f>
        <v>367723.76968663209</v>
      </c>
      <c r="BC40" s="2155">
        <f>ExpoRisk!BC91</f>
        <v>154941.91693464172</v>
      </c>
      <c r="BD40" s="3243">
        <f>ExpoRisk!BD91</f>
        <v>835.59055460326442</v>
      </c>
      <c r="BE40" s="2155">
        <f>ExpoRisk!BE91</f>
        <v>373.8657029902983</v>
      </c>
      <c r="BF40" s="3022">
        <f>ExpoRisk!BF91</f>
        <v>747.73140598059661</v>
      </c>
      <c r="BG40" s="2155">
        <f>ExpoRisk!BG91</f>
        <v>4.4851199999999996E-3</v>
      </c>
      <c r="BH40" s="3246">
        <f>ExpoRisk!BH91</f>
        <v>18.613426061510062</v>
      </c>
      <c r="BI40" s="2155">
        <f>ExpoRisk!BI91</f>
        <v>8.6731420528369565</v>
      </c>
    </row>
    <row r="41" spans="1:61" s="2274" customFormat="1" hidden="1">
      <c r="A41" s="2375"/>
      <c r="B41" s="2227"/>
      <c r="C41" s="2126"/>
      <c r="D41" s="3248"/>
      <c r="E41" s="3722" t="s">
        <v>985</v>
      </c>
      <c r="F41" s="2225" t="s">
        <v>19</v>
      </c>
      <c r="G41" s="2226" t="s">
        <v>20</v>
      </c>
      <c r="H41" s="2273">
        <f>ExpoRisk!H92</f>
        <v>2961.0271017264263</v>
      </c>
      <c r="I41" s="2273">
        <f>ExpoRisk!I92</f>
        <v>2961.0271017264263</v>
      </c>
      <c r="J41" s="2273">
        <f>ExpoRisk!J92</f>
        <v>22150.011177746623</v>
      </c>
      <c r="K41" s="3284">
        <f>ExpoRisk!K92</f>
        <v>8.372224000000001</v>
      </c>
      <c r="L41" s="2273">
        <f>ExpoRisk!L92</f>
        <v>11.472818781744243</v>
      </c>
      <c r="M41" s="2273">
        <f>ExpoRisk!M92</f>
        <v>11.472818781744243</v>
      </c>
      <c r="N41" s="2273">
        <f>ExpoRisk!N92</f>
        <v>26.163199999999996</v>
      </c>
      <c r="O41" s="2273">
        <f>ExpoRisk!O92</f>
        <v>26.163199999999996</v>
      </c>
      <c r="P41" s="2273">
        <f>ExpoRisk!P92</f>
        <v>5.2326400000000008</v>
      </c>
      <c r="Q41" s="2273">
        <f>ExpoRisk!Q92</f>
        <v>5.2326400000000008</v>
      </c>
      <c r="R41" s="2273">
        <f>ExpoRisk!R92</f>
        <v>52.326399999999992</v>
      </c>
      <c r="S41" s="2273">
        <f>ExpoRisk!S92</f>
        <v>2.2750608695652166</v>
      </c>
      <c r="T41" s="2273">
        <f>ExpoRisk!T92</f>
        <v>2.2750608695652166</v>
      </c>
      <c r="U41" s="2273">
        <f>ExpoRisk!U92</f>
        <v>1.2458666666666667</v>
      </c>
      <c r="V41" s="2273">
        <f>ExpoRisk!V92</f>
        <v>149.50399999999999</v>
      </c>
      <c r="W41" s="2273">
        <f>ExpoRisk!W92</f>
        <v>149.50399999999999</v>
      </c>
      <c r="X41" s="3284">
        <f>ExpoRisk!X92</f>
        <v>1.5701131488337743</v>
      </c>
      <c r="Y41" s="2273">
        <f>ExpoRisk!Y92</f>
        <v>54.968034114356676</v>
      </c>
      <c r="Z41" s="2273">
        <f>ExpoRisk!Z92</f>
        <v>20.93056</v>
      </c>
      <c r="AA41" s="3285">
        <f>ExpoRisk!AA92</f>
        <v>104.65279999999998</v>
      </c>
      <c r="AB41" s="3284">
        <f>ExpoRisk!AB92</f>
        <v>108.23587832836999</v>
      </c>
      <c r="AC41" s="2273" t="str">
        <f>ExpoRisk!AC92</f>
        <v>PVL</v>
      </c>
      <c r="AD41" s="2273" t="str">
        <f>ExpoRisk!AD92</f>
        <v>PVL</v>
      </c>
      <c r="AE41" s="2273" t="str">
        <f>ExpoRisk!AE92</f>
        <v>PVL</v>
      </c>
      <c r="AF41" s="2273" t="str">
        <f>ExpoRisk!AF92</f>
        <v>PVL</v>
      </c>
      <c r="AG41" s="3723" t="str">
        <f>ExpoRisk!AG92</f>
        <v>PVL</v>
      </c>
      <c r="AH41" s="2273" t="str">
        <f>ExpoRisk!AH92</f>
        <v>PVL</v>
      </c>
      <c r="AI41" s="2273" t="str">
        <f>ExpoRisk!AI92</f>
        <v>PVL</v>
      </c>
      <c r="AJ41" s="2273" t="str">
        <f>ExpoRisk!AJ92</f>
        <v>PVL</v>
      </c>
      <c r="AK41" s="2273" t="str">
        <f>ExpoRisk!AK92</f>
        <v>PVL</v>
      </c>
      <c r="AL41" s="2273" t="str">
        <f>ExpoRisk!AL92</f>
        <v>PVL</v>
      </c>
      <c r="AM41" s="3285" t="str">
        <f>ExpoRisk!AM92</f>
        <v>PVL</v>
      </c>
      <c r="AN41" s="2273">
        <f>ExpoRisk!AN92</f>
        <v>9.2393492699910631</v>
      </c>
      <c r="AO41" s="2273" t="str">
        <f>ExpoRisk!AO92</f>
        <v>PVL</v>
      </c>
      <c r="AP41" s="2273" t="str">
        <f>ExpoRisk!AP92</f>
        <v>PVL</v>
      </c>
      <c r="AQ41" s="2273" t="str">
        <f>ExpoRisk!AQ92</f>
        <v>PVL</v>
      </c>
      <c r="AR41" s="2273" t="str">
        <f>ExpoRisk!AR92</f>
        <v>PVL</v>
      </c>
      <c r="AS41" s="2273" t="str">
        <f>ExpoRisk!AS92</f>
        <v>PVL</v>
      </c>
      <c r="AT41" s="2273" t="str">
        <f>ExpoRisk!AT92</f>
        <v>PVL</v>
      </c>
      <c r="AU41" s="2273" t="str">
        <f>ExpoRisk!AU92</f>
        <v>PVL</v>
      </c>
      <c r="AV41" s="2273" t="str">
        <f>ExpoRisk!AV92</f>
        <v>PVL</v>
      </c>
      <c r="AW41" s="2273" t="str">
        <f>ExpoRisk!AW92</f>
        <v>PVL</v>
      </c>
      <c r="AX41" s="2273" t="str">
        <f>ExpoRisk!AX92</f>
        <v>PVL</v>
      </c>
      <c r="AY41" s="2273" t="str">
        <f>ExpoRisk!AY92</f>
        <v>PVL</v>
      </c>
      <c r="AZ41" s="2273" t="str">
        <f>ExpoRisk!AZ92</f>
        <v>PVL</v>
      </c>
      <c r="BA41" s="2273" t="str">
        <f>ExpoRisk!BA92</f>
        <v>PVL</v>
      </c>
      <c r="BB41" s="2273" t="str">
        <f>ExpoRisk!BB92</f>
        <v>PVL</v>
      </c>
      <c r="BC41" s="2273" t="str">
        <f>ExpoRisk!BC92</f>
        <v>PVL</v>
      </c>
      <c r="BD41" s="3284">
        <f>ExpoRisk!BD92</f>
        <v>835.59055460326442</v>
      </c>
      <c r="BE41" s="2273" t="str">
        <f>ExpoRisk!BE92</f>
        <v>PVL</v>
      </c>
      <c r="BF41" s="3285" t="str">
        <f>ExpoRisk!BF92</f>
        <v>PVL</v>
      </c>
      <c r="BG41" s="2273">
        <f>ExpoRisk!BG92</f>
        <v>4.4851199999999996E-3</v>
      </c>
      <c r="BH41" s="3287">
        <f>ExpoRisk!BH92</f>
        <v>18.613426061510062</v>
      </c>
      <c r="BI41" s="2273">
        <f>ExpoRisk!BI92</f>
        <v>8.6731420528369565</v>
      </c>
    </row>
    <row r="42" spans="1:61" s="2126" customFormat="1" hidden="1">
      <c r="A42" s="2375"/>
      <c r="B42" s="2156"/>
      <c r="D42" s="3248"/>
      <c r="E42" s="2592" t="s">
        <v>476</v>
      </c>
      <c r="F42" s="2153" t="str">
        <f>F31</f>
        <v>Csao</v>
      </c>
      <c r="G42" s="2154" t="s">
        <v>24</v>
      </c>
      <c r="H42" s="2155">
        <f>ExpoRisk!H93</f>
        <v>7800.8008769235166</v>
      </c>
      <c r="I42" s="2155">
        <f>ExpoRisk!I93</f>
        <v>7800.8008769235166</v>
      </c>
      <c r="J42" s="2155">
        <f>ExpoRisk!J93</f>
        <v>383077.02684328536</v>
      </c>
      <c r="K42" s="3243">
        <f>ExpoRisk!K93</f>
        <v>32260.805723664369</v>
      </c>
      <c r="L42" s="2155">
        <f>ExpoRisk!L93</f>
        <v>8265.4645599584492</v>
      </c>
      <c r="M42" s="2155">
        <f>ExpoRisk!M93</f>
        <v>8265.4645599584492</v>
      </c>
      <c r="N42" s="2155">
        <f>ExpoRisk!N93</f>
        <v>37176.087102794692</v>
      </c>
      <c r="O42" s="2155">
        <f>ExpoRisk!O93</f>
        <v>37176.087102794692</v>
      </c>
      <c r="P42" s="2155">
        <f>ExpoRisk!P93</f>
        <v>8117.3323255341302</v>
      </c>
      <c r="Q42" s="2155">
        <f>ExpoRisk!Q93</f>
        <v>8117.3323255341302</v>
      </c>
      <c r="R42" s="2155">
        <f>ExpoRisk!R93</f>
        <v>32629.448691954218</v>
      </c>
      <c r="S42" s="2155">
        <f>ExpoRisk!S93</f>
        <v>1330.9634229445778</v>
      </c>
      <c r="T42" s="2155">
        <f>ExpoRisk!T93</f>
        <v>1330.9634229445778</v>
      </c>
      <c r="U42" s="2155">
        <f>ExpoRisk!U93</f>
        <v>3431.4453704023249</v>
      </c>
      <c r="V42" s="2155">
        <f>ExpoRisk!V93</f>
        <v>673991.4360900044</v>
      </c>
      <c r="W42" s="2155">
        <f>ExpoRisk!W93</f>
        <v>673991.4360900044</v>
      </c>
      <c r="X42" s="3243">
        <f>ExpoRisk!X93</f>
        <v>1357.9227507455005</v>
      </c>
      <c r="Y42" s="2155">
        <f>ExpoRisk!Y93</f>
        <v>32947.652632522993</v>
      </c>
      <c r="Z42" s="2155">
        <f>ExpoRisk!Z93</f>
        <v>7429.7820571133807</v>
      </c>
      <c r="AA42" s="3022">
        <f>ExpoRisk!AA93</f>
        <v>24921.706199076754</v>
      </c>
      <c r="AB42" s="3243">
        <f>ExpoRisk!AB93</f>
        <v>29150.739732402322</v>
      </c>
      <c r="AC42" s="2155" t="str">
        <f>ExpoRisk!AC93</f>
        <v>PVL</v>
      </c>
      <c r="AD42" s="2155" t="str">
        <f>ExpoRisk!AD93</f>
        <v>PVL</v>
      </c>
      <c r="AE42" s="2155" t="str">
        <f>ExpoRisk!AE93</f>
        <v>PVL</v>
      </c>
      <c r="AF42" s="2155" t="str">
        <f>ExpoRisk!AF93</f>
        <v>PVL</v>
      </c>
      <c r="AG42" s="3721" t="str">
        <f>ExpoRisk!AG93</f>
        <v>PVL</v>
      </c>
      <c r="AH42" s="2155" t="str">
        <f>ExpoRisk!AH93</f>
        <v>PVL</v>
      </c>
      <c r="AI42" s="2155" t="str">
        <f>ExpoRisk!AI93</f>
        <v>PVL</v>
      </c>
      <c r="AJ42" s="2155" t="str">
        <f>ExpoRisk!AJ93</f>
        <v>PVL</v>
      </c>
      <c r="AK42" s="2155" t="str">
        <f>ExpoRisk!AK93</f>
        <v>PVL</v>
      </c>
      <c r="AL42" s="2155" t="str">
        <f>ExpoRisk!AL93</f>
        <v>PVL</v>
      </c>
      <c r="AM42" s="3022" t="str">
        <f>ExpoRisk!AM93</f>
        <v>PVL</v>
      </c>
      <c r="AN42" s="2155">
        <f>ExpoRisk!AN93</f>
        <v>39.493658406832104</v>
      </c>
      <c r="AO42" s="2155" t="str">
        <f>ExpoRisk!AO93</f>
        <v>PVL</v>
      </c>
      <c r="AP42" s="2155" t="str">
        <f>ExpoRisk!AP93</f>
        <v>PVL</v>
      </c>
      <c r="AQ42" s="2155" t="str">
        <f>ExpoRisk!AQ93</f>
        <v>PVL</v>
      </c>
      <c r="AR42" s="2155" t="str">
        <f>ExpoRisk!AR93</f>
        <v>PVL</v>
      </c>
      <c r="AS42" s="2155" t="str">
        <f>ExpoRisk!AS93</f>
        <v>PVL</v>
      </c>
      <c r="AT42" s="2155" t="str">
        <f>ExpoRisk!AT93</f>
        <v>PVL</v>
      </c>
      <c r="AU42" s="2155" t="str">
        <f>ExpoRisk!AU93</f>
        <v>PVL</v>
      </c>
      <c r="AV42" s="2155" t="str">
        <f>ExpoRisk!AV93</f>
        <v>PVL</v>
      </c>
      <c r="AW42" s="2155" t="str">
        <f>ExpoRisk!AW93</f>
        <v>PVL</v>
      </c>
      <c r="AX42" s="2155" t="str">
        <f>ExpoRisk!AX93</f>
        <v>PVL</v>
      </c>
      <c r="AY42" s="2155" t="str">
        <f>ExpoRisk!AY93</f>
        <v>PVL</v>
      </c>
      <c r="AZ42" s="2155" t="str">
        <f>ExpoRisk!AZ93</f>
        <v>PVL</v>
      </c>
      <c r="BA42" s="2155" t="str">
        <f>ExpoRisk!BA93</f>
        <v>PVL</v>
      </c>
      <c r="BB42" s="2155" t="str">
        <f>ExpoRisk!BB93</f>
        <v>PVL</v>
      </c>
      <c r="BC42" s="2155" t="str">
        <f>ExpoRisk!BC93</f>
        <v>PVL</v>
      </c>
      <c r="BD42" s="3243">
        <f>ExpoRisk!BD93</f>
        <v>78.167118613325755</v>
      </c>
      <c r="BE42" s="2155" t="str">
        <f>ExpoRisk!BE93</f>
        <v>PVL</v>
      </c>
      <c r="BF42" s="3022" t="str">
        <f>ExpoRisk!BF93</f>
        <v>PVL</v>
      </c>
      <c r="BG42" s="2155" t="str">
        <f>ExpoRisk!BG93</f>
        <v>Saturation</v>
      </c>
      <c r="BH42" s="3246">
        <f>ExpoRisk!BH93</f>
        <v>2.315471648907903</v>
      </c>
      <c r="BI42" s="2155">
        <f>ExpoRisk!BI93</f>
        <v>8.3480153742531193</v>
      </c>
    </row>
    <row r="43" spans="1:61" s="3372" customFormat="1">
      <c r="A43" s="3371"/>
      <c r="B43" s="3787"/>
      <c r="C43" s="3773"/>
      <c r="D43" s="3774"/>
      <c r="E43" s="3775" t="s">
        <v>1250</v>
      </c>
      <c r="F43" s="3289"/>
      <c r="G43" s="3776"/>
      <c r="H43" s="835"/>
      <c r="I43" s="835"/>
      <c r="J43" s="835"/>
      <c r="K43" s="1044"/>
      <c r="L43" s="835"/>
      <c r="M43" s="835"/>
      <c r="N43" s="835"/>
      <c r="O43" s="835"/>
      <c r="P43" s="835"/>
      <c r="Q43" s="835"/>
      <c r="R43" s="835"/>
      <c r="S43" s="835"/>
      <c r="T43" s="835"/>
      <c r="U43" s="835"/>
      <c r="V43" s="835"/>
      <c r="W43" s="835"/>
      <c r="X43" s="1044"/>
      <c r="Y43" s="835"/>
      <c r="Z43" s="835"/>
      <c r="AA43" s="1043"/>
      <c r="AB43" s="1044"/>
      <c r="AC43" s="835"/>
      <c r="AD43" s="835"/>
      <c r="AE43" s="835"/>
      <c r="AF43" s="835"/>
      <c r="AG43" s="834"/>
      <c r="AH43" s="835"/>
      <c r="AI43" s="835"/>
      <c r="AJ43" s="835"/>
      <c r="AK43" s="835"/>
      <c r="AL43" s="835"/>
      <c r="AM43" s="1043"/>
      <c r="AN43" s="835"/>
      <c r="AO43" s="835"/>
      <c r="AP43" s="835"/>
      <c r="AQ43" s="835"/>
      <c r="AR43" s="835"/>
      <c r="AS43" s="835"/>
      <c r="AT43" s="835"/>
      <c r="AU43" s="835"/>
      <c r="AV43" s="835"/>
      <c r="AW43" s="835"/>
      <c r="AX43" s="835"/>
      <c r="AY43" s="835"/>
      <c r="AZ43" s="835"/>
      <c r="BA43" s="835"/>
      <c r="BB43" s="835"/>
      <c r="BC43" s="835"/>
      <c r="BD43" s="1044"/>
      <c r="BE43" s="835"/>
      <c r="BF43" s="1043"/>
      <c r="BG43" s="835"/>
      <c r="BH43" s="1045"/>
      <c r="BI43" s="835"/>
    </row>
    <row r="44" spans="1:61" s="2126" customFormat="1">
      <c r="A44" s="2151"/>
      <c r="B44" s="2156"/>
      <c r="C44" s="2149"/>
      <c r="D44" s="3788"/>
      <c r="E44" s="3066" t="str">
        <f>ExpoRisk!E144</f>
        <v>Teneur limite avant contrôle de la saturation</v>
      </c>
      <c r="F44" s="2153" t="str">
        <f>ExpoRisk!F144</f>
        <v>Cs</v>
      </c>
      <c r="G44" s="2154" t="str">
        <f>ExpoRisk!G144</f>
        <v>mg/kg ms</v>
      </c>
      <c r="H44" s="2155">
        <f>ExpoRisk!H144</f>
        <v>555.19258157370484</v>
      </c>
      <c r="I44" s="2155">
        <f>ExpoRisk!I144</f>
        <v>555.19258157370484</v>
      </c>
      <c r="J44" s="2155">
        <f>ExpoRisk!J144</f>
        <v>4153.1270958274908</v>
      </c>
      <c r="K44" s="3243">
        <f>ExpoRisk!K144</f>
        <v>1.5697919999999999</v>
      </c>
      <c r="L44" s="2155">
        <f>ExpoRisk!L144</f>
        <v>2.1511535215770454</v>
      </c>
      <c r="M44" s="2155">
        <f>ExpoRisk!M144</f>
        <v>2.1511535215770454</v>
      </c>
      <c r="N44" s="2155">
        <f>ExpoRisk!N144</f>
        <v>4.9055999999999989</v>
      </c>
      <c r="O44" s="2155">
        <f>ExpoRisk!O144</f>
        <v>4.9055999999999989</v>
      </c>
      <c r="P44" s="2155">
        <f>ExpoRisk!P144</f>
        <v>0.9811200000000001</v>
      </c>
      <c r="Q44" s="2155">
        <f>ExpoRisk!Q144</f>
        <v>0.9811200000000001</v>
      </c>
      <c r="R44" s="2155">
        <f>ExpoRisk!R144</f>
        <v>9.8111999999999977</v>
      </c>
      <c r="S44" s="2155">
        <f>ExpoRisk!S144</f>
        <v>0.42657391304347808</v>
      </c>
      <c r="T44" s="2155">
        <f>ExpoRisk!T144</f>
        <v>0.42657391304347808</v>
      </c>
      <c r="U44" s="2155">
        <f>ExpoRisk!U144</f>
        <v>0.2336</v>
      </c>
      <c r="V44" s="2155">
        <f>ExpoRisk!V144</f>
        <v>28.031999999999996</v>
      </c>
      <c r="W44" s="2155">
        <f>ExpoRisk!W144</f>
        <v>28.031999999999996</v>
      </c>
      <c r="X44" s="3243">
        <f>ExpoRisk!X144</f>
        <v>0.2943962154063326</v>
      </c>
      <c r="Y44" s="2155">
        <f>ExpoRisk!Y144</f>
        <v>10.306506396441879</v>
      </c>
      <c r="Z44" s="2155">
        <f>ExpoRisk!Z144</f>
        <v>3.9244799999999995</v>
      </c>
      <c r="AA44" s="3022">
        <f>ExpoRisk!AA144</f>
        <v>19.622400000000003</v>
      </c>
      <c r="AB44" s="3243">
        <f>ExpoRisk!AB144</f>
        <v>20.294227186569373</v>
      </c>
      <c r="AC44" s="2155">
        <f>ExpoRisk!AC144</f>
        <v>62.731002417862939</v>
      </c>
      <c r="AD44" s="2155">
        <f>ExpoRisk!AD144</f>
        <v>262.57778161997174</v>
      </c>
      <c r="AE44" s="2155" t="str">
        <f>ExpoRisk!AE144</f>
        <v>PVL</v>
      </c>
      <c r="AF44" s="2155" t="str">
        <f>ExpoRisk!AF144</f>
        <v>PVL</v>
      </c>
      <c r="AG44" s="3721">
        <f>ExpoRisk!AG144</f>
        <v>515.78880000000004</v>
      </c>
      <c r="AH44" s="2155">
        <f>ExpoRisk!AH144</f>
        <v>515.78879999999992</v>
      </c>
      <c r="AI44" s="2155">
        <f>ExpoRisk!AI144</f>
        <v>35.126059463763632</v>
      </c>
      <c r="AJ44" s="2155">
        <f>ExpoRisk!AJ144</f>
        <v>88.784774651703415</v>
      </c>
      <c r="AK44" s="2155">
        <f>ExpoRisk!AK144</f>
        <v>265.17925700147731</v>
      </c>
      <c r="AL44" s="2155" t="str">
        <f>ExpoRisk!AL144</f>
        <v>PVL</v>
      </c>
      <c r="AM44" s="3022" t="str">
        <f>ExpoRisk!AM144</f>
        <v>PVL</v>
      </c>
      <c r="AN44" s="2155">
        <f>ExpoRisk!AN144</f>
        <v>1.7291766399934905</v>
      </c>
      <c r="AO44" s="2155">
        <f>ExpoRisk!AO144</f>
        <v>144.0939461440594</v>
      </c>
      <c r="AP44" s="2155">
        <f>ExpoRisk!AP144</f>
        <v>101.47760316353728</v>
      </c>
      <c r="AQ44" s="2155">
        <f>ExpoRisk!AQ144</f>
        <v>205.51505551643945</v>
      </c>
      <c r="AR44" s="2155">
        <f>ExpoRisk!AR144</f>
        <v>817.33097958510382</v>
      </c>
      <c r="AS44" s="2155">
        <f>ExpoRisk!AS144</f>
        <v>65.47048768378356</v>
      </c>
      <c r="AT44" s="2155">
        <f>ExpoRisk!AT144</f>
        <v>8200.9102121685373</v>
      </c>
      <c r="AU44" s="2155">
        <f>ExpoRisk!AU144</f>
        <v>8407.3025916318384</v>
      </c>
      <c r="AV44" s="2155">
        <f>ExpoRisk!AV144</f>
        <v>549.95881674452539</v>
      </c>
      <c r="AW44" s="2155">
        <f>ExpoRisk!AW144</f>
        <v>5415.4812190603134</v>
      </c>
      <c r="AX44" s="2155">
        <f>ExpoRisk!AX144</f>
        <v>2442.7610970719029</v>
      </c>
      <c r="AY44" s="2155">
        <f>ExpoRisk!AY144</f>
        <v>3559.0762799474433</v>
      </c>
      <c r="AZ44" s="2155">
        <f>ExpoRisk!AZ144</f>
        <v>397.58816732513299</v>
      </c>
      <c r="BA44" s="2155">
        <f>ExpoRisk!BA144</f>
        <v>1718.9118740794863</v>
      </c>
      <c r="BB44" s="2155">
        <f>ExpoRisk!BB144</f>
        <v>68791.464462142219</v>
      </c>
      <c r="BC44" s="2155">
        <f>ExpoRisk!BC144</f>
        <v>28985.56449398501</v>
      </c>
      <c r="BD44" s="3243">
        <f>ExpoRisk!BD144</f>
        <v>156.67322898811207</v>
      </c>
      <c r="BE44" s="2155">
        <f>ExpoRisk!BE144</f>
        <v>69.940492529840981</v>
      </c>
      <c r="BF44" s="3022">
        <f>ExpoRisk!BF144</f>
        <v>139.88098505968196</v>
      </c>
      <c r="BG44" s="2155">
        <f>ExpoRisk!BG144</f>
        <v>8.4095999999999986E-4</v>
      </c>
      <c r="BH44" s="3246">
        <f>ExpoRisk!BH144</f>
        <v>3.4900173865331361</v>
      </c>
      <c r="BI44" s="2155"/>
    </row>
    <row r="45" spans="1:61" s="2274" customFormat="1">
      <c r="A45" s="2375"/>
      <c r="B45" s="2227"/>
      <c r="C45" s="397"/>
      <c r="D45" s="3783"/>
      <c r="E45" s="3722" t="str">
        <f>ExpoRisk!E145</f>
        <v>Teneur limite</v>
      </c>
      <c r="F45" s="2225" t="str">
        <f>ExpoRisk!F145</f>
        <v>Cs</v>
      </c>
      <c r="G45" s="2226" t="str">
        <f>ExpoRisk!G145</f>
        <v>mg/kg ms</v>
      </c>
      <c r="H45" s="2273">
        <f>ExpoRisk!H145</f>
        <v>555.19258157370484</v>
      </c>
      <c r="I45" s="2273">
        <f>ExpoRisk!I145</f>
        <v>555.19258157370484</v>
      </c>
      <c r="J45" s="2273">
        <f>ExpoRisk!J145</f>
        <v>4153.1270958274908</v>
      </c>
      <c r="K45" s="3284">
        <f>ExpoRisk!K145</f>
        <v>1.5697919999999999</v>
      </c>
      <c r="L45" s="2273">
        <f>ExpoRisk!L145</f>
        <v>2.1511535215770454</v>
      </c>
      <c r="M45" s="2273">
        <f>ExpoRisk!M145</f>
        <v>2.1511535215770454</v>
      </c>
      <c r="N45" s="2273">
        <f>ExpoRisk!N145</f>
        <v>4.9055999999999989</v>
      </c>
      <c r="O45" s="2273">
        <f>ExpoRisk!O145</f>
        <v>4.9055999999999989</v>
      </c>
      <c r="P45" s="2273">
        <f>ExpoRisk!P145</f>
        <v>0.9811200000000001</v>
      </c>
      <c r="Q45" s="2273">
        <f>ExpoRisk!Q145</f>
        <v>0.9811200000000001</v>
      </c>
      <c r="R45" s="2273">
        <f>ExpoRisk!R145</f>
        <v>9.8111999999999977</v>
      </c>
      <c r="S45" s="2273">
        <f>ExpoRisk!S145</f>
        <v>0.42657391304347808</v>
      </c>
      <c r="T45" s="2273">
        <f>ExpoRisk!T145</f>
        <v>0.42657391304347808</v>
      </c>
      <c r="U45" s="2273">
        <f>ExpoRisk!U145</f>
        <v>0.2336</v>
      </c>
      <c r="V45" s="2273">
        <f>ExpoRisk!V145</f>
        <v>28.031999999999996</v>
      </c>
      <c r="W45" s="2273">
        <f>ExpoRisk!W145</f>
        <v>28.031999999999996</v>
      </c>
      <c r="X45" s="3284">
        <f>ExpoRisk!X145</f>
        <v>0.2943962154063326</v>
      </c>
      <c r="Y45" s="2273">
        <f>ExpoRisk!Y145</f>
        <v>10.306506396441879</v>
      </c>
      <c r="Z45" s="2273">
        <f>ExpoRisk!Z145</f>
        <v>3.9244799999999995</v>
      </c>
      <c r="AA45" s="3285">
        <f>ExpoRisk!AA145</f>
        <v>19.622400000000003</v>
      </c>
      <c r="AB45" s="3284">
        <f>ExpoRisk!AB145</f>
        <v>20.294227186569373</v>
      </c>
      <c r="AC45" s="2273">
        <f>ExpoRisk!AC145</f>
        <v>62.731002417862939</v>
      </c>
      <c r="AD45" s="2273" t="str">
        <f>ExpoRisk!AD145</f>
        <v>PVL</v>
      </c>
      <c r="AE45" s="2273" t="str">
        <f>ExpoRisk!AE145</f>
        <v>PVL</v>
      </c>
      <c r="AF45" s="2273" t="str">
        <f>ExpoRisk!AF145</f>
        <v>PVL</v>
      </c>
      <c r="AG45" s="3723" t="str">
        <f>ExpoRisk!AG145</f>
        <v>PVL</v>
      </c>
      <c r="AH45" s="2273" t="str">
        <f>ExpoRisk!AH145</f>
        <v>PVL</v>
      </c>
      <c r="AI45" s="2273" t="str">
        <f>ExpoRisk!AI145</f>
        <v>PVL</v>
      </c>
      <c r="AJ45" s="2273" t="str">
        <f>ExpoRisk!AJ145</f>
        <v>PVL</v>
      </c>
      <c r="AK45" s="2273" t="str">
        <f>ExpoRisk!AK145</f>
        <v>PVL</v>
      </c>
      <c r="AL45" s="2273" t="str">
        <f>ExpoRisk!AL145</f>
        <v>PVL</v>
      </c>
      <c r="AM45" s="3285" t="str">
        <f>ExpoRisk!AM145</f>
        <v>PVL</v>
      </c>
      <c r="AN45" s="2273">
        <f>ExpoRisk!AN145</f>
        <v>1.7291766399934905</v>
      </c>
      <c r="AO45" s="2273" t="str">
        <f>ExpoRisk!AO145</f>
        <v>PVL</v>
      </c>
      <c r="AP45" s="2273" t="str">
        <f>ExpoRisk!AP145</f>
        <v>PVL</v>
      </c>
      <c r="AQ45" s="2273" t="str">
        <f>ExpoRisk!AQ145</f>
        <v>PVL</v>
      </c>
      <c r="AR45" s="2273" t="str">
        <f>ExpoRisk!AR145</f>
        <v>PVL</v>
      </c>
      <c r="AS45" s="2273" t="str">
        <f>ExpoRisk!AS145</f>
        <v>PVL</v>
      </c>
      <c r="AT45" s="2273" t="str">
        <f>ExpoRisk!AT145</f>
        <v>PVL</v>
      </c>
      <c r="AU45" s="2273" t="str">
        <f>ExpoRisk!AU145</f>
        <v>PVL</v>
      </c>
      <c r="AV45" s="2273" t="str">
        <f>ExpoRisk!AV145</f>
        <v>PVL</v>
      </c>
      <c r="AW45" s="2273" t="str">
        <f>ExpoRisk!AW145</f>
        <v>PVL</v>
      </c>
      <c r="AX45" s="2273" t="str">
        <f>ExpoRisk!AX145</f>
        <v>PVL</v>
      </c>
      <c r="AY45" s="2273" t="str">
        <f>ExpoRisk!AY145</f>
        <v>PVL</v>
      </c>
      <c r="AZ45" s="2273" t="str">
        <f>ExpoRisk!AZ145</f>
        <v>PVL</v>
      </c>
      <c r="BA45" s="2273" t="str">
        <f>ExpoRisk!BA145</f>
        <v>PVL</v>
      </c>
      <c r="BB45" s="2273" t="str">
        <f>ExpoRisk!BB145</f>
        <v>PVL</v>
      </c>
      <c r="BC45" s="2273" t="str">
        <f>ExpoRisk!BC145</f>
        <v>PVL</v>
      </c>
      <c r="BD45" s="3284">
        <f>ExpoRisk!BD145</f>
        <v>156.67322898811207</v>
      </c>
      <c r="BE45" s="2273" t="str">
        <f>ExpoRisk!BE145</f>
        <v>PVL</v>
      </c>
      <c r="BF45" s="3285" t="str">
        <f>ExpoRisk!BF145</f>
        <v>PVL</v>
      </c>
      <c r="BG45" s="2273">
        <f>ExpoRisk!BG145</f>
        <v>8.4095999999999986E-4</v>
      </c>
      <c r="BH45" s="3287">
        <f>ExpoRisk!BH145</f>
        <v>3.4900173865331361</v>
      </c>
      <c r="BI45" s="2273"/>
    </row>
    <row r="46" spans="1:61" s="3744" customFormat="1">
      <c r="A46" s="3734"/>
      <c r="B46" s="3735"/>
      <c r="C46" s="2149"/>
      <c r="D46" s="3789"/>
      <c r="E46" s="3736" t="str">
        <f>ExpoRisk!E146</f>
        <v>Equivalent air du sol</v>
      </c>
      <c r="F46" s="3737" t="s">
        <v>93</v>
      </c>
      <c r="G46" s="3738" t="s">
        <v>24</v>
      </c>
      <c r="H46" s="3739">
        <f>ExpoRisk!H146</f>
        <v>1462.6501644231591</v>
      </c>
      <c r="I46" s="3739">
        <f>ExpoRisk!I146</f>
        <v>1462.6501644231591</v>
      </c>
      <c r="J46" s="3739">
        <f>ExpoRisk!J146</f>
        <v>71826.942533116002</v>
      </c>
      <c r="K46" s="3740">
        <f>ExpoRisk!K146</f>
        <v>6048.9010731870685</v>
      </c>
      <c r="L46" s="3739">
        <f>ExpoRisk!L146</f>
        <v>1549.7746049922091</v>
      </c>
      <c r="M46" s="3739">
        <f>ExpoRisk!M146</f>
        <v>1549.7746049922091</v>
      </c>
      <c r="N46" s="3739">
        <f>ExpoRisk!N146</f>
        <v>6970.5163317740025</v>
      </c>
      <c r="O46" s="3739">
        <f>ExpoRisk!O146</f>
        <v>6970.5163317740025</v>
      </c>
      <c r="P46" s="3739">
        <f>ExpoRisk!P146</f>
        <v>1521.9998110376494</v>
      </c>
      <c r="Q46" s="3739">
        <f>ExpoRisk!Q146</f>
        <v>1521.9998110376494</v>
      </c>
      <c r="R46" s="3739">
        <f>ExpoRisk!R146</f>
        <v>6118.0216297414145</v>
      </c>
      <c r="S46" s="3739">
        <f>ExpoRisk!S146</f>
        <v>249.55564180210837</v>
      </c>
      <c r="T46" s="3739">
        <f>ExpoRisk!T146</f>
        <v>249.55564180210837</v>
      </c>
      <c r="U46" s="3739">
        <f>ExpoRisk!U146</f>
        <v>643.396006950436</v>
      </c>
      <c r="V46" s="3739">
        <f>ExpoRisk!V146</f>
        <v>126373.39426687582</v>
      </c>
      <c r="W46" s="3739">
        <f>ExpoRisk!W146</f>
        <v>126373.39426687582</v>
      </c>
      <c r="X46" s="3740">
        <f>ExpoRisk!X146</f>
        <v>254.61051576478127</v>
      </c>
      <c r="Y46" s="3739">
        <f>ExpoRisk!Y146</f>
        <v>6177.6848685980631</v>
      </c>
      <c r="Z46" s="3739">
        <f>ExpoRisk!Z146</f>
        <v>1393.0841357087588</v>
      </c>
      <c r="AA46" s="3741">
        <f>ExpoRisk!AA146</f>
        <v>4672.8199123268923</v>
      </c>
      <c r="AB46" s="3740">
        <f>ExpoRisk!AB146</f>
        <v>5465.7636998254347</v>
      </c>
      <c r="AC46" s="3739">
        <f>ExpoRisk!AC146</f>
        <v>3296.814847141964</v>
      </c>
      <c r="AD46" s="3739" t="str">
        <f>ExpoRisk!AD146</f>
        <v>PVL</v>
      </c>
      <c r="AE46" s="3739" t="str">
        <f>ExpoRisk!AE146</f>
        <v>PVL</v>
      </c>
      <c r="AF46" s="3739" t="str">
        <f>ExpoRisk!AF146</f>
        <v>PVL</v>
      </c>
      <c r="AG46" s="3742" t="str">
        <f>ExpoRisk!AG146</f>
        <v>PVL</v>
      </c>
      <c r="AH46" s="3739" t="str">
        <f>ExpoRisk!AH146</f>
        <v>PVL</v>
      </c>
      <c r="AI46" s="3739" t="str">
        <f>ExpoRisk!AI146</f>
        <v>PVL</v>
      </c>
      <c r="AJ46" s="3739" t="str">
        <f>ExpoRisk!AJ146</f>
        <v>PVL</v>
      </c>
      <c r="AK46" s="3739" t="str">
        <f>ExpoRisk!AK146</f>
        <v>PVL</v>
      </c>
      <c r="AL46" s="3739" t="str">
        <f>ExpoRisk!AL146</f>
        <v>PVL</v>
      </c>
      <c r="AM46" s="3741" t="str">
        <f>ExpoRisk!AM146</f>
        <v>PVL</v>
      </c>
      <c r="AN46" s="3739">
        <f>ExpoRisk!AN146</f>
        <v>7.3913767679271487</v>
      </c>
      <c r="AO46" s="3739" t="str">
        <f>ExpoRisk!AO146</f>
        <v>PVL</v>
      </c>
      <c r="AP46" s="3739" t="str">
        <f>ExpoRisk!AP146</f>
        <v>PVL</v>
      </c>
      <c r="AQ46" s="3739" t="str">
        <f>ExpoRisk!AQ146</f>
        <v>PVL</v>
      </c>
      <c r="AR46" s="3739" t="str">
        <f>ExpoRisk!AR146</f>
        <v>PVL</v>
      </c>
      <c r="AS46" s="3739" t="str">
        <f>ExpoRisk!AS146</f>
        <v>PVL</v>
      </c>
      <c r="AT46" s="3739" t="str">
        <f>ExpoRisk!AT146</f>
        <v>PVL</v>
      </c>
      <c r="AU46" s="3739" t="str">
        <f>ExpoRisk!AU146</f>
        <v>PVL</v>
      </c>
      <c r="AV46" s="3739" t="str">
        <f>ExpoRisk!AV146</f>
        <v>PVL</v>
      </c>
      <c r="AW46" s="3739" t="str">
        <f>ExpoRisk!AW146</f>
        <v>PVL</v>
      </c>
      <c r="AX46" s="3739" t="str">
        <f>ExpoRisk!AX146</f>
        <v>PVL</v>
      </c>
      <c r="AY46" s="3739" t="str">
        <f>ExpoRisk!AY146</f>
        <v>PVL</v>
      </c>
      <c r="AZ46" s="3739" t="str">
        <f>ExpoRisk!AZ146</f>
        <v>PVL</v>
      </c>
      <c r="BA46" s="3739" t="str">
        <f>ExpoRisk!BA146</f>
        <v>PVL</v>
      </c>
      <c r="BB46" s="3739" t="str">
        <f>ExpoRisk!BB146</f>
        <v>PVL</v>
      </c>
      <c r="BC46" s="3739" t="str">
        <f>ExpoRisk!BC146</f>
        <v>PVL</v>
      </c>
      <c r="BD46" s="3740">
        <f>ExpoRisk!BD146</f>
        <v>14.656334739998579</v>
      </c>
      <c r="BE46" s="3739" t="str">
        <f>ExpoRisk!BE146</f>
        <v>PVL</v>
      </c>
      <c r="BF46" s="3741" t="str">
        <f>ExpoRisk!BF146</f>
        <v>PVL</v>
      </c>
      <c r="BG46" s="3739" t="str">
        <f>ExpoRisk!BG146</f>
        <v>Saturation</v>
      </c>
      <c r="BH46" s="3743">
        <f>ExpoRisk!BH146</f>
        <v>0.43415093417023182</v>
      </c>
      <c r="BI46" s="3739"/>
    </row>
    <row r="47" spans="1:61" s="3754" customFormat="1" hidden="1">
      <c r="A47" s="3745"/>
      <c r="B47" s="2125"/>
      <c r="C47" s="3746"/>
      <c r="D47" s="3790"/>
      <c r="E47" s="3748" t="s">
        <v>953</v>
      </c>
      <c r="F47" s="3749" t="s">
        <v>19</v>
      </c>
      <c r="G47" s="3750" t="s">
        <v>20</v>
      </c>
      <c r="H47" s="3751" t="str">
        <f>ExpoRisk!H53</f>
        <v>PVL</v>
      </c>
      <c r="I47" s="3751" t="str">
        <f>ExpoRisk!I53</f>
        <v>PVL</v>
      </c>
      <c r="J47" s="3751" t="str">
        <f>ExpoRisk!J53</f>
        <v>PVL</v>
      </c>
      <c r="K47" s="3752">
        <f>ExpoRisk!K53</f>
        <v>95.066278674633637</v>
      </c>
      <c r="L47" s="3751" t="str">
        <f>ExpoRisk!L53</f>
        <v>PVL</v>
      </c>
      <c r="M47" s="3751" t="str">
        <f>ExpoRisk!M53</f>
        <v>PVL</v>
      </c>
      <c r="N47" s="3751" t="str">
        <f>ExpoRisk!N53</f>
        <v>PVL</v>
      </c>
      <c r="O47" s="3751" t="str">
        <f>ExpoRisk!O53</f>
        <v>PVL</v>
      </c>
      <c r="P47" s="3751" t="str">
        <f>ExpoRisk!P53</f>
        <v>PVL</v>
      </c>
      <c r="Q47" s="3751" t="str">
        <f>ExpoRisk!Q53</f>
        <v>PVL</v>
      </c>
      <c r="R47" s="3751">
        <f>ExpoRisk!R53</f>
        <v>207.19672194169937</v>
      </c>
      <c r="S47" s="3751">
        <f>ExpoRisk!S53</f>
        <v>292.17718042875583</v>
      </c>
      <c r="T47" s="3751">
        <f>ExpoRisk!T53</f>
        <v>292.17718042875583</v>
      </c>
      <c r="U47" s="3751" t="str">
        <f>ExpoRisk!U53</f>
        <v>PVL</v>
      </c>
      <c r="V47" s="3751" t="str">
        <f>ExpoRisk!V53</f>
        <v>PVL</v>
      </c>
      <c r="W47" s="3751" t="str">
        <f>ExpoRisk!W53</f>
        <v>PVL</v>
      </c>
      <c r="X47" s="3752">
        <f>ExpoRisk!X53</f>
        <v>319.62695179224272</v>
      </c>
      <c r="Y47" s="3751" t="str">
        <f>ExpoRisk!Y53</f>
        <v>PVL</v>
      </c>
      <c r="Z47" s="3751" t="str">
        <f>ExpoRisk!Z53</f>
        <v>PVL</v>
      </c>
      <c r="AA47" s="3246">
        <f>ExpoRisk!AA53</f>
        <v>27.563637202416864</v>
      </c>
      <c r="AB47" s="3752" t="str">
        <f>ExpoRisk!AB53</f>
        <v>PVL</v>
      </c>
      <c r="AC47" s="3751" t="str">
        <f>ExpoRisk!AC53</f>
        <v>PVL</v>
      </c>
      <c r="AD47" s="3751" t="str">
        <f>ExpoRisk!AD53</f>
        <v>PVL</v>
      </c>
      <c r="AE47" s="3751" t="str">
        <f>ExpoRisk!AE53</f>
        <v>PVL</v>
      </c>
      <c r="AF47" s="3751" t="str">
        <f>ExpoRisk!AF53</f>
        <v>PVL</v>
      </c>
      <c r="AG47" s="3753" t="str">
        <f>ExpoRisk!AG53</f>
        <v>PVL</v>
      </c>
      <c r="AH47" s="3751" t="str">
        <f>ExpoRisk!AH53</f>
        <v>PVL</v>
      </c>
      <c r="AI47" s="3751" t="str">
        <f>ExpoRisk!AI53</f>
        <v>PVL</v>
      </c>
      <c r="AJ47" s="3751" t="str">
        <f>ExpoRisk!AJ53</f>
        <v>PVL</v>
      </c>
      <c r="AK47" s="3751" t="str">
        <f>ExpoRisk!AK53</f>
        <v>PVL</v>
      </c>
      <c r="AL47" s="3751" t="str">
        <f>ExpoRisk!AL53</f>
        <v>PVL</v>
      </c>
      <c r="AM47" s="3246" t="str">
        <f>ExpoRisk!AM53</f>
        <v>PVL</v>
      </c>
      <c r="AN47" s="3751" t="str">
        <f>ExpoRisk!AN53</f>
        <v>PVL</v>
      </c>
      <c r="AO47" s="3751" t="str">
        <f>ExpoRisk!AO53</f>
        <v>PVL</v>
      </c>
      <c r="AP47" s="3751" t="str">
        <f>ExpoRisk!AP53</f>
        <v>PVL</v>
      </c>
      <c r="AQ47" s="3751" t="str">
        <f>ExpoRisk!AQ53</f>
        <v>PVL</v>
      </c>
      <c r="AR47" s="3751" t="str">
        <f>ExpoRisk!AR53</f>
        <v>PVL</v>
      </c>
      <c r="AS47" s="3751" t="str">
        <f>ExpoRisk!AS53</f>
        <v>PVL</v>
      </c>
      <c r="AT47" s="3751" t="str">
        <f>ExpoRisk!AT53</f>
        <v>PVL</v>
      </c>
      <c r="AU47" s="3751" t="str">
        <f>ExpoRisk!AU53</f>
        <v>PVL</v>
      </c>
      <c r="AV47" s="3751" t="str">
        <f>ExpoRisk!AV53</f>
        <v>PVL</v>
      </c>
      <c r="AW47" s="3751" t="str">
        <f>ExpoRisk!AW53</f>
        <v>PVL</v>
      </c>
      <c r="AX47" s="3751" t="str">
        <f>ExpoRisk!AX53</f>
        <v>PVL</v>
      </c>
      <c r="AY47" s="3751" t="str">
        <f>ExpoRisk!AY53</f>
        <v>PVL</v>
      </c>
      <c r="AZ47" s="3751" t="str">
        <f>ExpoRisk!AZ53</f>
        <v>PVL</v>
      </c>
      <c r="BA47" s="3751" t="str">
        <f>ExpoRisk!BA53</f>
        <v>PVL</v>
      </c>
      <c r="BB47" s="3751" t="str">
        <f>ExpoRisk!BB53</f>
        <v>PVL</v>
      </c>
      <c r="BC47" s="3751" t="str">
        <f>ExpoRisk!BC53</f>
        <v>PVL</v>
      </c>
      <c r="BD47" s="3752">
        <f>ExpoRisk!BD53</f>
        <v>6043.7421156314331</v>
      </c>
      <c r="BE47" s="3751" t="str">
        <f>ExpoRisk!BE53</f>
        <v>PVL</v>
      </c>
      <c r="BF47" s="3246" t="str">
        <f>ExpoRisk!BF53</f>
        <v>PVL</v>
      </c>
      <c r="BG47" s="3751" t="str">
        <f>ExpoRisk!BG53</f>
        <v>nd</v>
      </c>
      <c r="BH47" s="3246" t="str">
        <f>ExpoRisk!BH53</f>
        <v>PVL</v>
      </c>
      <c r="BI47" s="3751" t="str">
        <f>ExpoRisk!BI53</f>
        <v>PVL</v>
      </c>
    </row>
    <row r="48" spans="1:61" s="3754" customFormat="1" hidden="1">
      <c r="A48" s="3745"/>
      <c r="B48" s="2125"/>
      <c r="C48" s="3746"/>
      <c r="D48" s="3790"/>
      <c r="E48" s="3748" t="s">
        <v>983</v>
      </c>
      <c r="F48" s="3749" t="s">
        <v>19</v>
      </c>
      <c r="G48" s="3750" t="s">
        <v>20</v>
      </c>
      <c r="H48" s="3751" t="str">
        <f>ExpoRisk!H61</f>
        <v>PVL</v>
      </c>
      <c r="I48" s="3751" t="str">
        <f>ExpoRisk!I61</f>
        <v>PVL</v>
      </c>
      <c r="J48" s="3751" t="str">
        <f>ExpoRisk!J61</f>
        <v>PVL</v>
      </c>
      <c r="K48" s="3752" t="str">
        <f>ExpoRisk!K61</f>
        <v>PVL</v>
      </c>
      <c r="L48" s="3751" t="str">
        <f>ExpoRisk!L61</f>
        <v>PVL</v>
      </c>
      <c r="M48" s="3751" t="str">
        <f>ExpoRisk!M61</f>
        <v>PVL</v>
      </c>
      <c r="N48" s="3751" t="str">
        <f>ExpoRisk!N61</f>
        <v>PVL</v>
      </c>
      <c r="O48" s="3751" t="str">
        <f>ExpoRisk!O61</f>
        <v>PVL</v>
      </c>
      <c r="P48" s="3751" t="str">
        <f>ExpoRisk!P61</f>
        <v>PVL</v>
      </c>
      <c r="Q48" s="3751" t="str">
        <f>ExpoRisk!Q61</f>
        <v>PVL</v>
      </c>
      <c r="R48" s="3751">
        <f>ExpoRisk!R61</f>
        <v>2067.0492516356881</v>
      </c>
      <c r="S48" s="3751">
        <f>ExpoRisk!S61</f>
        <v>908.31850037710251</v>
      </c>
      <c r="T48" s="3751">
        <f>ExpoRisk!T61</f>
        <v>908.31850037710251</v>
      </c>
      <c r="U48" s="3751" t="str">
        <f>ExpoRisk!U61</f>
        <v>PVL</v>
      </c>
      <c r="V48" s="3751" t="str">
        <f>ExpoRisk!V61</f>
        <v>PVL</v>
      </c>
      <c r="W48" s="3751" t="str">
        <f>ExpoRisk!W61</f>
        <v>PVL</v>
      </c>
      <c r="X48" s="3752" t="str">
        <f>ExpoRisk!X61</f>
        <v>PVL</v>
      </c>
      <c r="Y48" s="3751" t="str">
        <f>ExpoRisk!Y61</f>
        <v>PVL</v>
      </c>
      <c r="Z48" s="3751" t="str">
        <f>ExpoRisk!Z61</f>
        <v>PVL</v>
      </c>
      <c r="AA48" s="3246">
        <f>ExpoRisk!AA61</f>
        <v>52.586854558020363</v>
      </c>
      <c r="AB48" s="3752" t="str">
        <f>ExpoRisk!AB61</f>
        <v>PVL</v>
      </c>
      <c r="AC48" s="3751" t="str">
        <f>ExpoRisk!AC61</f>
        <v>PVL</v>
      </c>
      <c r="AD48" s="3751" t="str">
        <f>ExpoRisk!AD61</f>
        <v>PVL</v>
      </c>
      <c r="AE48" s="3751" t="str">
        <f>ExpoRisk!AE61</f>
        <v>PVL</v>
      </c>
      <c r="AF48" s="3751" t="str">
        <f>ExpoRisk!AF61</f>
        <v>PVL</v>
      </c>
      <c r="AG48" s="3753" t="str">
        <f>ExpoRisk!AG61</f>
        <v>PVL</v>
      </c>
      <c r="AH48" s="3751" t="str">
        <f>ExpoRisk!AH61</f>
        <v>PVL</v>
      </c>
      <c r="AI48" s="3751" t="str">
        <f>ExpoRisk!AI61</f>
        <v>PVL</v>
      </c>
      <c r="AJ48" s="3751" t="str">
        <f>ExpoRisk!AJ61</f>
        <v>PVL</v>
      </c>
      <c r="AK48" s="3751" t="str">
        <f>ExpoRisk!AK61</f>
        <v>PVL</v>
      </c>
      <c r="AL48" s="3751" t="str">
        <f>ExpoRisk!AL61</f>
        <v>PVL</v>
      </c>
      <c r="AM48" s="3246" t="str">
        <f>ExpoRisk!AM61</f>
        <v>PVL</v>
      </c>
      <c r="AN48" s="3751" t="str">
        <f>ExpoRisk!AN61</f>
        <v>PVL</v>
      </c>
      <c r="AO48" s="3751" t="str">
        <f>ExpoRisk!AO61</f>
        <v>PVL</v>
      </c>
      <c r="AP48" s="3751" t="str">
        <f>ExpoRisk!AP61</f>
        <v>PVL</v>
      </c>
      <c r="AQ48" s="3751" t="str">
        <f>ExpoRisk!AQ61</f>
        <v>PVL</v>
      </c>
      <c r="AR48" s="3751" t="str">
        <f>ExpoRisk!AR61</f>
        <v>PVL</v>
      </c>
      <c r="AS48" s="3751" t="str">
        <f>ExpoRisk!AS61</f>
        <v>PVL</v>
      </c>
      <c r="AT48" s="3751" t="str">
        <f>ExpoRisk!AT61</f>
        <v>PVL</v>
      </c>
      <c r="AU48" s="3751" t="str">
        <f>ExpoRisk!AU61</f>
        <v>PVL</v>
      </c>
      <c r="AV48" s="3751" t="str">
        <f>ExpoRisk!AV61</f>
        <v>PVL</v>
      </c>
      <c r="AW48" s="3751" t="str">
        <f>ExpoRisk!AW61</f>
        <v>PVL</v>
      </c>
      <c r="AX48" s="3751" t="str">
        <f>ExpoRisk!AX61</f>
        <v>PVL</v>
      </c>
      <c r="AY48" s="3751" t="str">
        <f>ExpoRisk!AY61</f>
        <v>PVL</v>
      </c>
      <c r="AZ48" s="3751" t="str">
        <f>ExpoRisk!AZ61</f>
        <v>PVL</v>
      </c>
      <c r="BA48" s="3751" t="str">
        <f>ExpoRisk!BA61</f>
        <v>PVL</v>
      </c>
      <c r="BB48" s="3751" t="str">
        <f>ExpoRisk!BB61</f>
        <v>PVL</v>
      </c>
      <c r="BC48" s="3751" t="str">
        <f>ExpoRisk!BC61</f>
        <v>PVL</v>
      </c>
      <c r="BD48" s="3752">
        <f>ExpoRisk!BD61</f>
        <v>6057.9873833088914</v>
      </c>
      <c r="BE48" s="3751" t="str">
        <f>ExpoRisk!BE61</f>
        <v>PVL</v>
      </c>
      <c r="BF48" s="3246" t="str">
        <f>ExpoRisk!BF61</f>
        <v>PVL</v>
      </c>
      <c r="BG48" s="3751" t="str">
        <f>ExpoRisk!BG61</f>
        <v>nd</v>
      </c>
      <c r="BH48" s="3246" t="str">
        <f>ExpoRisk!BH61</f>
        <v>PVL</v>
      </c>
      <c r="BI48" s="3751" t="str">
        <f>ExpoRisk!BI61</f>
        <v>PVL</v>
      </c>
    </row>
    <row r="49" spans="1:61" s="3767" customFormat="1" ht="25.5" hidden="1">
      <c r="A49" s="3755"/>
      <c r="B49" s="3756"/>
      <c r="C49" s="3757"/>
      <c r="D49" s="3758"/>
      <c r="E49" s="3759" t="s">
        <v>954</v>
      </c>
      <c r="F49" s="3760" t="s">
        <v>19</v>
      </c>
      <c r="G49" s="3761" t="s">
        <v>20</v>
      </c>
      <c r="H49" s="3762">
        <f>IF(H45="PVL",H47,IF(H47="PVL",H45,MIN(H45,H47)))</f>
        <v>555.19258157370484</v>
      </c>
      <c r="I49" s="3762">
        <f t="shared" ref="I49:BI49" si="6">IF(I45="PVL",I47,IF(I47="PVL",I45,MIN(I45,I47)))</f>
        <v>555.19258157370484</v>
      </c>
      <c r="J49" s="3762">
        <f>IF(J45="PVL",J47,IF(J47="PVL",J45,MIN(J45,J47)))</f>
        <v>4153.1270958274908</v>
      </c>
      <c r="K49" s="3763">
        <f t="shared" si="6"/>
        <v>1.5697919999999999</v>
      </c>
      <c r="L49" s="3762">
        <f t="shared" si="6"/>
        <v>2.1511535215770454</v>
      </c>
      <c r="M49" s="3762">
        <f t="shared" si="6"/>
        <v>2.1511535215770454</v>
      </c>
      <c r="N49" s="3762">
        <f>IF(N45="PVL",N47,IF(N47="PVL",N45,MIN(N45,N47)))</f>
        <v>4.9055999999999989</v>
      </c>
      <c r="O49" s="3762">
        <f>IF(O45="PVL",O47,IF(O47="PVL",O45,MIN(O45,O47)))</f>
        <v>4.9055999999999989</v>
      </c>
      <c r="P49" s="3762">
        <f t="shared" si="6"/>
        <v>0.9811200000000001</v>
      </c>
      <c r="Q49" s="3762">
        <f t="shared" si="6"/>
        <v>0.9811200000000001</v>
      </c>
      <c r="R49" s="3762">
        <f>IF(R45="PVL",R47,IF(R47="PVL",R45,MIN(R45,R47)))</f>
        <v>9.8111999999999977</v>
      </c>
      <c r="S49" s="3762">
        <f>IF(S45="PVL",S47,IF(S47="PVL",S45,MIN(S45,S47)))</f>
        <v>0.42657391304347808</v>
      </c>
      <c r="T49" s="3762">
        <f>IF(T45="PVL",T47,IF(T47="PVL",T45,MIN(T45,T47)))</f>
        <v>0.42657391304347808</v>
      </c>
      <c r="U49" s="3762">
        <f t="shared" si="6"/>
        <v>0.2336</v>
      </c>
      <c r="V49" s="3762">
        <f t="shared" si="6"/>
        <v>28.031999999999996</v>
      </c>
      <c r="W49" s="3762">
        <f t="shared" si="6"/>
        <v>28.031999999999996</v>
      </c>
      <c r="X49" s="3763">
        <f t="shared" si="6"/>
        <v>0.2943962154063326</v>
      </c>
      <c r="Y49" s="3762">
        <f t="shared" si="6"/>
        <v>10.306506396441879</v>
      </c>
      <c r="Z49" s="3762">
        <f t="shared" si="6"/>
        <v>3.9244799999999995</v>
      </c>
      <c r="AA49" s="3764">
        <f t="shared" si="6"/>
        <v>19.622400000000003</v>
      </c>
      <c r="AB49" s="3763">
        <f t="shared" si="6"/>
        <v>20.294227186569373</v>
      </c>
      <c r="AC49" s="3762">
        <f t="shared" si="6"/>
        <v>62.731002417862939</v>
      </c>
      <c r="AD49" s="3762" t="str">
        <f t="shared" si="6"/>
        <v>PVL</v>
      </c>
      <c r="AE49" s="3762" t="str">
        <f t="shared" si="6"/>
        <v>PVL</v>
      </c>
      <c r="AF49" s="3762" t="str">
        <f t="shared" si="6"/>
        <v>PVL</v>
      </c>
      <c r="AG49" s="3765" t="str">
        <f t="shared" si="6"/>
        <v>PVL</v>
      </c>
      <c r="AH49" s="3762" t="str">
        <f t="shared" si="6"/>
        <v>PVL</v>
      </c>
      <c r="AI49" s="3762" t="str">
        <f t="shared" si="6"/>
        <v>PVL</v>
      </c>
      <c r="AJ49" s="3762" t="str">
        <f t="shared" si="6"/>
        <v>PVL</v>
      </c>
      <c r="AK49" s="3762" t="str">
        <f t="shared" si="6"/>
        <v>PVL</v>
      </c>
      <c r="AL49" s="3762" t="str">
        <f t="shared" si="6"/>
        <v>PVL</v>
      </c>
      <c r="AM49" s="3764" t="str">
        <f t="shared" si="6"/>
        <v>PVL</v>
      </c>
      <c r="AN49" s="3762">
        <f t="shared" si="6"/>
        <v>1.7291766399934905</v>
      </c>
      <c r="AO49" s="3762" t="str">
        <f t="shared" si="6"/>
        <v>PVL</v>
      </c>
      <c r="AP49" s="3762" t="str">
        <f t="shared" si="6"/>
        <v>PVL</v>
      </c>
      <c r="AQ49" s="3762" t="str">
        <f t="shared" si="6"/>
        <v>PVL</v>
      </c>
      <c r="AR49" s="3762" t="str">
        <f t="shared" si="6"/>
        <v>PVL</v>
      </c>
      <c r="AS49" s="3762" t="str">
        <f t="shared" si="6"/>
        <v>PVL</v>
      </c>
      <c r="AT49" s="3762" t="str">
        <f t="shared" si="6"/>
        <v>PVL</v>
      </c>
      <c r="AU49" s="3762" t="str">
        <f t="shared" si="6"/>
        <v>PVL</v>
      </c>
      <c r="AV49" s="3762" t="str">
        <f t="shared" si="6"/>
        <v>PVL</v>
      </c>
      <c r="AW49" s="3762" t="str">
        <f t="shared" si="6"/>
        <v>PVL</v>
      </c>
      <c r="AX49" s="3762" t="str">
        <f t="shared" si="6"/>
        <v>PVL</v>
      </c>
      <c r="AY49" s="3762" t="str">
        <f t="shared" si="6"/>
        <v>PVL</v>
      </c>
      <c r="AZ49" s="3762" t="str">
        <f t="shared" si="6"/>
        <v>PVL</v>
      </c>
      <c r="BA49" s="3762" t="str">
        <f t="shared" si="6"/>
        <v>PVL</v>
      </c>
      <c r="BB49" s="3762" t="str">
        <f t="shared" si="6"/>
        <v>PVL</v>
      </c>
      <c r="BC49" s="3762" t="str">
        <f t="shared" si="6"/>
        <v>PVL</v>
      </c>
      <c r="BD49" s="3763">
        <f t="shared" si="6"/>
        <v>156.67322898811207</v>
      </c>
      <c r="BE49" s="3762" t="str">
        <f t="shared" si="6"/>
        <v>PVL</v>
      </c>
      <c r="BF49" s="3764" t="str">
        <f t="shared" si="6"/>
        <v>PVL</v>
      </c>
      <c r="BG49" s="3762">
        <f t="shared" si="6"/>
        <v>8.4095999999999986E-4</v>
      </c>
      <c r="BH49" s="3766">
        <f t="shared" si="6"/>
        <v>3.4900173865331361</v>
      </c>
      <c r="BI49" s="3762">
        <f t="shared" si="6"/>
        <v>0</v>
      </c>
    </row>
    <row r="50" spans="1:61" s="3767" customFormat="1" hidden="1">
      <c r="A50" s="3755"/>
      <c r="B50" s="3756"/>
      <c r="C50" s="3757"/>
      <c r="D50" s="3758"/>
      <c r="E50" s="3759" t="s">
        <v>984</v>
      </c>
      <c r="F50" s="3760" t="s">
        <v>19</v>
      </c>
      <c r="G50" s="3761" t="s">
        <v>20</v>
      </c>
      <c r="H50" s="3762">
        <f>IF(H45="PVL",H48,IF(H48="PVL",H45,MIN(H45,H48)))</f>
        <v>555.19258157370484</v>
      </c>
      <c r="I50" s="3762">
        <f t="shared" ref="I50:BI50" si="7">IF(I45="PVL",I48,IF(I48="PVL",I45,MIN(I45,I48)))</f>
        <v>555.19258157370484</v>
      </c>
      <c r="J50" s="3762">
        <f>IF(J45="PVL",J48,IF(J48="PVL",J45,MIN(J45,J48)))</f>
        <v>4153.1270958274908</v>
      </c>
      <c r="K50" s="3763">
        <f t="shared" si="7"/>
        <v>1.5697919999999999</v>
      </c>
      <c r="L50" s="3762">
        <f t="shared" si="7"/>
        <v>2.1511535215770454</v>
      </c>
      <c r="M50" s="3762">
        <f t="shared" si="7"/>
        <v>2.1511535215770454</v>
      </c>
      <c r="N50" s="3762">
        <f>IF(N45="PVL",N48,IF(N48="PVL",N45,MIN(N45,N48)))</f>
        <v>4.9055999999999989</v>
      </c>
      <c r="O50" s="3762">
        <f>IF(O45="PVL",O48,IF(O48="PVL",O45,MIN(O45,O48)))</f>
        <v>4.9055999999999989</v>
      </c>
      <c r="P50" s="3762">
        <f t="shared" si="7"/>
        <v>0.9811200000000001</v>
      </c>
      <c r="Q50" s="3762">
        <f t="shared" si="7"/>
        <v>0.9811200000000001</v>
      </c>
      <c r="R50" s="3762">
        <f>IF(R45="PVL",R48,IF(R48="PVL",R45,MIN(R45,R48)))</f>
        <v>9.8111999999999977</v>
      </c>
      <c r="S50" s="3762">
        <f>IF(S45="PVL",S48,IF(S48="PVL",S45,MIN(S45,S48)))</f>
        <v>0.42657391304347808</v>
      </c>
      <c r="T50" s="3762">
        <f>IF(T45="PVL",T48,IF(T48="PVL",T45,MIN(T45,T48)))</f>
        <v>0.42657391304347808</v>
      </c>
      <c r="U50" s="3762">
        <f t="shared" si="7"/>
        <v>0.2336</v>
      </c>
      <c r="V50" s="3762">
        <f t="shared" si="7"/>
        <v>28.031999999999996</v>
      </c>
      <c r="W50" s="3762">
        <f t="shared" si="7"/>
        <v>28.031999999999996</v>
      </c>
      <c r="X50" s="3763">
        <f t="shared" si="7"/>
        <v>0.2943962154063326</v>
      </c>
      <c r="Y50" s="3762">
        <f t="shared" si="7"/>
        <v>10.306506396441879</v>
      </c>
      <c r="Z50" s="3762">
        <f t="shared" si="7"/>
        <v>3.9244799999999995</v>
      </c>
      <c r="AA50" s="3764">
        <f t="shared" si="7"/>
        <v>19.622400000000003</v>
      </c>
      <c r="AB50" s="3763">
        <f t="shared" si="7"/>
        <v>20.294227186569373</v>
      </c>
      <c r="AC50" s="3762">
        <f t="shared" si="7"/>
        <v>62.731002417862939</v>
      </c>
      <c r="AD50" s="3762" t="str">
        <f t="shared" si="7"/>
        <v>PVL</v>
      </c>
      <c r="AE50" s="3762" t="str">
        <f t="shared" si="7"/>
        <v>PVL</v>
      </c>
      <c r="AF50" s="3762" t="str">
        <f t="shared" si="7"/>
        <v>PVL</v>
      </c>
      <c r="AG50" s="3765" t="str">
        <f t="shared" si="7"/>
        <v>PVL</v>
      </c>
      <c r="AH50" s="3762" t="str">
        <f t="shared" si="7"/>
        <v>PVL</v>
      </c>
      <c r="AI50" s="3762" t="str">
        <f t="shared" si="7"/>
        <v>PVL</v>
      </c>
      <c r="AJ50" s="3762" t="str">
        <f t="shared" si="7"/>
        <v>PVL</v>
      </c>
      <c r="AK50" s="3762" t="str">
        <f t="shared" si="7"/>
        <v>PVL</v>
      </c>
      <c r="AL50" s="3762" t="str">
        <f t="shared" si="7"/>
        <v>PVL</v>
      </c>
      <c r="AM50" s="3764" t="str">
        <f t="shared" si="7"/>
        <v>PVL</v>
      </c>
      <c r="AN50" s="3762">
        <f t="shared" si="7"/>
        <v>1.7291766399934905</v>
      </c>
      <c r="AO50" s="3762" t="str">
        <f t="shared" si="7"/>
        <v>PVL</v>
      </c>
      <c r="AP50" s="3762" t="str">
        <f t="shared" si="7"/>
        <v>PVL</v>
      </c>
      <c r="AQ50" s="3762" t="str">
        <f t="shared" si="7"/>
        <v>PVL</v>
      </c>
      <c r="AR50" s="3762" t="str">
        <f t="shared" si="7"/>
        <v>PVL</v>
      </c>
      <c r="AS50" s="3762" t="str">
        <f t="shared" si="7"/>
        <v>PVL</v>
      </c>
      <c r="AT50" s="3762" t="str">
        <f t="shared" si="7"/>
        <v>PVL</v>
      </c>
      <c r="AU50" s="3762" t="str">
        <f t="shared" si="7"/>
        <v>PVL</v>
      </c>
      <c r="AV50" s="3762" t="str">
        <f t="shared" si="7"/>
        <v>PVL</v>
      </c>
      <c r="AW50" s="3762" t="str">
        <f t="shared" si="7"/>
        <v>PVL</v>
      </c>
      <c r="AX50" s="3762" t="str">
        <f t="shared" si="7"/>
        <v>PVL</v>
      </c>
      <c r="AY50" s="3762" t="str">
        <f t="shared" si="7"/>
        <v>PVL</v>
      </c>
      <c r="AZ50" s="3762" t="str">
        <f t="shared" si="7"/>
        <v>PVL</v>
      </c>
      <c r="BA50" s="3762" t="str">
        <f t="shared" si="7"/>
        <v>PVL</v>
      </c>
      <c r="BB50" s="3762" t="str">
        <f t="shared" si="7"/>
        <v>PVL</v>
      </c>
      <c r="BC50" s="3762" t="str">
        <f t="shared" si="7"/>
        <v>PVL</v>
      </c>
      <c r="BD50" s="3763">
        <f t="shared" si="7"/>
        <v>156.67322898811207</v>
      </c>
      <c r="BE50" s="3762" t="str">
        <f t="shared" si="7"/>
        <v>PVL</v>
      </c>
      <c r="BF50" s="3764" t="str">
        <f t="shared" si="7"/>
        <v>PVL</v>
      </c>
      <c r="BG50" s="3762">
        <f t="shared" si="7"/>
        <v>8.4095999999999986E-4</v>
      </c>
      <c r="BH50" s="3766">
        <f t="shared" si="7"/>
        <v>3.4900173865331361</v>
      </c>
      <c r="BI50" s="3762">
        <f t="shared" si="7"/>
        <v>0</v>
      </c>
    </row>
    <row r="51" spans="1:61" s="2193" customFormat="1" hidden="1">
      <c r="A51" s="2191"/>
      <c r="B51" s="2236"/>
      <c r="C51" s="2149"/>
      <c r="D51" s="3790"/>
      <c r="E51" s="3036" t="s">
        <v>660</v>
      </c>
      <c r="F51" s="3784" t="str">
        <f>F49</f>
        <v>Cs</v>
      </c>
      <c r="G51" s="3785" t="str">
        <f>G49</f>
        <v>mg/kg ms</v>
      </c>
      <c r="H51" s="2235">
        <f t="shared" ref="H51:BH51" si="8">IF(H45="PVL",H$10,IF(OR(H$10="PVL",H$10="nd"),H45,MIN(H45,H$10)))</f>
        <v>555.19258157370484</v>
      </c>
      <c r="I51" s="2235">
        <f t="shared" si="8"/>
        <v>555.19258157370484</v>
      </c>
      <c r="J51" s="2235">
        <f>IF(J45="PVL",J$10,IF(OR(J$10="PVL",J$10="nd"),J45,MIN(J45,J$10)))</f>
        <v>4153.1270958274908</v>
      </c>
      <c r="K51" s="3270">
        <f t="shared" si="8"/>
        <v>6.7474391639365076E-3</v>
      </c>
      <c r="L51" s="2235">
        <f t="shared" si="8"/>
        <v>9.5069987104584891E-2</v>
      </c>
      <c r="M51" s="2235">
        <f t="shared" si="8"/>
        <v>9.5069987104584891E-2</v>
      </c>
      <c r="N51" s="2235">
        <f>IF(N45="PVL",N$10,IF(OR(N$10="PVL",N$10="nd"),N45,MIN(N45,N$10)))</f>
        <v>0.10760591893278754</v>
      </c>
      <c r="O51" s="2235">
        <f>IF(O45="PVL",O$10,IF(OR(O$10="PVL",O$10="nd"),O45,MIN(O45,O$10)))</f>
        <v>0.10760591893278754</v>
      </c>
      <c r="P51" s="2235">
        <f t="shared" si="8"/>
        <v>0.1199562906395495</v>
      </c>
      <c r="Q51" s="2235">
        <f t="shared" si="8"/>
        <v>0.1199562906395495</v>
      </c>
      <c r="R51" s="2235">
        <f>IF(R45="PVL",R$10,IF(OR(R$10="PVL",R$10="nd"),R45,MIN(R45,R$10)))</f>
        <v>0.14151448202581743</v>
      </c>
      <c r="S51" s="2235">
        <f>IF(S45="PVL",S$10,IF(OR(S$10="PVL",S$10="nd"),S45,MIN(S45,S$10)))</f>
        <v>2.0354402069204962E-2</v>
      </c>
      <c r="T51" s="2235">
        <f>IF(T45="PVL",T$10,IF(OR(T$10="PVL",T$10="nd"),T45,MIN(T45,T$10)))</f>
        <v>2.0354402069204962E-2</v>
      </c>
      <c r="U51" s="2235">
        <f t="shared" si="8"/>
        <v>0.22282665960017883</v>
      </c>
      <c r="V51" s="2235">
        <f t="shared" si="8"/>
        <v>0.12300081894181439</v>
      </c>
      <c r="W51" s="2235">
        <f t="shared" si="8"/>
        <v>0.12300081894181439</v>
      </c>
      <c r="X51" s="3270">
        <f t="shared" si="8"/>
        <v>1.754223700777784E-2</v>
      </c>
      <c r="Y51" s="2235">
        <f t="shared" si="8"/>
        <v>1.5601159508858542E-2</v>
      </c>
      <c r="Z51" s="2235">
        <f t="shared" si="8"/>
        <v>2.7467644250260864E-2</v>
      </c>
      <c r="AA51" s="3271">
        <f t="shared" si="8"/>
        <v>1.2461201679065631E-3</v>
      </c>
      <c r="AB51" s="3270">
        <f t="shared" si="8"/>
        <v>6.315727857926912E-3</v>
      </c>
      <c r="AC51" s="2235">
        <f t="shared" si="8"/>
        <v>8.5154918231512226E-3</v>
      </c>
      <c r="AD51" s="2235">
        <f t="shared" si="8"/>
        <v>4.3505584443829494E-2</v>
      </c>
      <c r="AE51" s="2235">
        <f t="shared" si="8"/>
        <v>0.34890349802377557</v>
      </c>
      <c r="AF51" s="2235" t="str">
        <f t="shared" si="8"/>
        <v>PVL</v>
      </c>
      <c r="AG51" s="3786">
        <f t="shared" si="8"/>
        <v>6.29011484708197E-3</v>
      </c>
      <c r="AH51" s="2235">
        <f t="shared" si="8"/>
        <v>4.7819012449342634E-2</v>
      </c>
      <c r="AI51" s="2235">
        <f t="shared" si="8"/>
        <v>9.5103001942881699E-3</v>
      </c>
      <c r="AJ51" s="2235">
        <f t="shared" si="8"/>
        <v>1.5332408405335814E-2</v>
      </c>
      <c r="AK51" s="2235">
        <f t="shared" si="8"/>
        <v>0.37132861944557133</v>
      </c>
      <c r="AL51" s="2235" t="str">
        <f t="shared" si="8"/>
        <v>PVL</v>
      </c>
      <c r="AM51" s="3271" t="str">
        <f t="shared" si="8"/>
        <v>PVL</v>
      </c>
      <c r="AN51" s="2235">
        <f t="shared" si="8"/>
        <v>0.10469744549099785</v>
      </c>
      <c r="AO51" s="2235">
        <f t="shared" si="8"/>
        <v>0.38334241569623678</v>
      </c>
      <c r="AP51" s="2235">
        <f t="shared" si="8"/>
        <v>0.22914151194741517</v>
      </c>
      <c r="AQ51" s="2235">
        <f t="shared" si="8"/>
        <v>0.56590208573839795</v>
      </c>
      <c r="AR51" s="2235">
        <f t="shared" si="8"/>
        <v>2.8264444973650038</v>
      </c>
      <c r="AS51" s="2235" t="str">
        <f t="shared" si="8"/>
        <v>PVL</v>
      </c>
      <c r="AT51" s="2235" t="str">
        <f t="shared" si="8"/>
        <v>PVL</v>
      </c>
      <c r="AU51" s="2235" t="str">
        <f t="shared" si="8"/>
        <v>PVL</v>
      </c>
      <c r="AV51" s="2235" t="str">
        <f t="shared" si="8"/>
        <v>PVL</v>
      </c>
      <c r="AW51" s="2235" t="str">
        <f t="shared" si="8"/>
        <v>PVL</v>
      </c>
      <c r="AX51" s="2235" t="str">
        <f t="shared" si="8"/>
        <v>PVL</v>
      </c>
      <c r="AY51" s="2235" t="str">
        <f t="shared" si="8"/>
        <v>PVL</v>
      </c>
      <c r="AZ51" s="2235" t="str">
        <f t="shared" si="8"/>
        <v>PVL</v>
      </c>
      <c r="BA51" s="2235" t="str">
        <f t="shared" si="8"/>
        <v>PVL</v>
      </c>
      <c r="BB51" s="2235" t="str">
        <f t="shared" si="8"/>
        <v>PVL</v>
      </c>
      <c r="BC51" s="2235" t="str">
        <f t="shared" si="8"/>
        <v>PVL</v>
      </c>
      <c r="BD51" s="3270">
        <f t="shared" si="8"/>
        <v>1.6724525926359499</v>
      </c>
      <c r="BE51" s="2235" t="str">
        <f t="shared" si="8"/>
        <v>nd</v>
      </c>
      <c r="BF51" s="3271" t="str">
        <f t="shared" si="8"/>
        <v>nd</v>
      </c>
      <c r="BG51" s="2235">
        <f t="shared" si="8"/>
        <v>8.4095999999999986E-4</v>
      </c>
      <c r="BH51" s="3273">
        <f t="shared" si="8"/>
        <v>3.4900173865331361</v>
      </c>
      <c r="BI51" s="2235"/>
    </row>
    <row r="52" spans="1:61" s="3166" customFormat="1" hidden="1">
      <c r="A52" s="3156"/>
      <c r="B52" s="3155"/>
      <c r="C52" s="2241"/>
      <c r="D52" s="3791"/>
      <c r="E52" s="3792" t="s">
        <v>667</v>
      </c>
      <c r="F52" s="3793"/>
      <c r="G52" s="2163"/>
      <c r="H52" s="757"/>
      <c r="I52" s="757"/>
      <c r="J52" s="757"/>
      <c r="K52" s="756"/>
      <c r="L52" s="757"/>
      <c r="M52" s="757"/>
      <c r="N52" s="530"/>
      <c r="O52" s="530"/>
      <c r="P52" s="757"/>
      <c r="Q52" s="530"/>
      <c r="R52" s="757"/>
      <c r="S52" s="530"/>
      <c r="T52" s="530"/>
      <c r="U52" s="530"/>
      <c r="V52" s="530"/>
      <c r="W52" s="530"/>
      <c r="X52" s="627"/>
      <c r="Y52" s="530"/>
      <c r="Z52" s="530"/>
      <c r="AA52" s="628"/>
      <c r="AB52" s="627"/>
      <c r="AC52" s="530"/>
      <c r="AD52" s="530"/>
      <c r="AE52" s="530"/>
      <c r="AF52" s="530"/>
      <c r="AG52" s="829"/>
      <c r="AH52" s="530"/>
      <c r="AI52" s="530"/>
      <c r="AJ52" s="530"/>
      <c r="AK52" s="530"/>
      <c r="AL52" s="530"/>
      <c r="AM52" s="628"/>
      <c r="AN52" s="530"/>
      <c r="AO52" s="530"/>
      <c r="AP52" s="530"/>
      <c r="AQ52" s="530"/>
      <c r="AR52" s="530"/>
      <c r="AS52" s="530"/>
      <c r="AT52" s="530"/>
      <c r="AU52" s="530"/>
      <c r="AV52" s="530"/>
      <c r="AW52" s="530"/>
      <c r="AX52" s="530"/>
      <c r="AY52" s="530"/>
      <c r="AZ52" s="530"/>
      <c r="BA52" s="530"/>
      <c r="BB52" s="530"/>
      <c r="BC52" s="530"/>
      <c r="BD52" s="627"/>
      <c r="BE52" s="530"/>
      <c r="BF52" s="628"/>
      <c r="BG52" s="530"/>
      <c r="BH52" s="629"/>
      <c r="BI52" s="530"/>
    </row>
    <row r="53" spans="1:61" s="2126" customFormat="1" hidden="1">
      <c r="A53" s="2375"/>
      <c r="B53" s="2156"/>
      <c r="C53" s="276"/>
      <c r="D53" s="3794"/>
      <c r="E53" s="2592" t="s">
        <v>670</v>
      </c>
      <c r="F53" s="2153" t="str">
        <f>F25</f>
        <v>Cs</v>
      </c>
      <c r="G53" s="2154" t="str">
        <f>G25</f>
        <v>mg/kg ms</v>
      </c>
      <c r="H53" s="2155">
        <f>ExpoRisk!H280</f>
        <v>5181.2716774705141</v>
      </c>
      <c r="I53" s="2155">
        <f>ExpoRisk!I280</f>
        <v>5181.2716774705141</v>
      </c>
      <c r="J53" s="2155">
        <f>ExpoRisk!J280</f>
        <v>38758.586675549173</v>
      </c>
      <c r="K53" s="3243">
        <f>ExpoRisk!K280</f>
        <v>14.649905454545456</v>
      </c>
      <c r="L53" s="2155">
        <f>ExpoRisk!L280</f>
        <v>20.075395790853964</v>
      </c>
      <c r="M53" s="2155">
        <f>ExpoRisk!M280</f>
        <v>20.075395790853964</v>
      </c>
      <c r="N53" s="2155">
        <f>ExpoRisk!N280</f>
        <v>52.32109090909092</v>
      </c>
      <c r="O53" s="2155">
        <f>ExpoRisk!O280</f>
        <v>52.32109090909092</v>
      </c>
      <c r="P53" s="2155">
        <f>ExpoRisk!P280</f>
        <v>9.1561909090909115</v>
      </c>
      <c r="Q53" s="2155">
        <f>ExpoRisk!Q280</f>
        <v>9.1561909090909115</v>
      </c>
      <c r="R53" s="2155">
        <f>ExpoRisk!R280</f>
        <v>104.64218181818184</v>
      </c>
      <c r="S53" s="2155">
        <f>ExpoRisk!S280</f>
        <v>19.570698523152846</v>
      </c>
      <c r="T53" s="2155">
        <f>ExpoRisk!T280</f>
        <v>19.570698523152846</v>
      </c>
      <c r="U53" s="2155">
        <f>ExpoRisk!U280</f>
        <v>9.9410072727272745</v>
      </c>
      <c r="V53" s="2155">
        <f>ExpoRisk!V280</f>
        <v>261.60545454545451</v>
      </c>
      <c r="W53" s="2155">
        <f>ExpoRisk!W280</f>
        <v>261.60545454545451</v>
      </c>
      <c r="X53" s="3243">
        <f>ExpoRisk!X280</f>
        <v>2.7474192261642125</v>
      </c>
      <c r="Y53" s="2155">
        <f>ExpoRisk!Y280</f>
        <v>96.184299750885145</v>
      </c>
      <c r="Z53" s="2155">
        <f>ExpoRisk!Z280</f>
        <v>137.53717232202493</v>
      </c>
      <c r="AA53" s="3022">
        <f>ExpoRisk!AA280</f>
        <v>183.12381818181819</v>
      </c>
      <c r="AB53" s="3243">
        <f>ExpoRisk!AB280</f>
        <v>189.39356905647836</v>
      </c>
      <c r="AC53" s="2155">
        <f>ExpoRisk!AC280</f>
        <v>585.42995154170387</v>
      </c>
      <c r="AD53" s="2155">
        <f>ExpoRisk!AD280</f>
        <v>2450.4773085841125</v>
      </c>
      <c r="AE53" s="2155" t="str">
        <f>ExpoRisk!AE280</f>
        <v>PVL</v>
      </c>
      <c r="AF53" s="2155" t="str">
        <f>ExpoRisk!AF280</f>
        <v>PVL</v>
      </c>
      <c r="AG53" s="3721">
        <f>ExpoRisk!AG280</f>
        <v>4813.5403636363644</v>
      </c>
      <c r="AH53" s="2155">
        <f>ExpoRisk!AH280</f>
        <v>4813.5403636363626</v>
      </c>
      <c r="AI53" s="2155">
        <f>ExpoRisk!AI280</f>
        <v>327.80995834790781</v>
      </c>
      <c r="AJ53" s="2155">
        <f>ExpoRisk!AJ280</f>
        <v>828.57382025808442</v>
      </c>
      <c r="AK53" s="2155">
        <f>ExpoRisk!AK280</f>
        <v>2474.7552819598091</v>
      </c>
      <c r="AL53" s="2155" t="str">
        <f>ExpoRisk!AL280</f>
        <v>PVL</v>
      </c>
      <c r="AM53" s="3022" t="str">
        <f>ExpoRisk!AM280</f>
        <v>PVL</v>
      </c>
      <c r="AN53" s="2155">
        <f>ExpoRisk!AN280</f>
        <v>91.719889665290481</v>
      </c>
      <c r="AO53" s="2155" t="str">
        <f>ExpoRisk!AO280</f>
        <v>PVL</v>
      </c>
      <c r="AP53" s="2155" t="str">
        <f>ExpoRisk!AP280</f>
        <v>PVL</v>
      </c>
      <c r="AQ53" s="2155" t="str">
        <f>ExpoRisk!AQ280</f>
        <v>PVL</v>
      </c>
      <c r="AR53" s="2155" t="str">
        <f>ExpoRisk!AR280</f>
        <v>PVL</v>
      </c>
      <c r="AS53" s="2155" t="str">
        <f>ExpoRisk!AS280</f>
        <v>PVL</v>
      </c>
      <c r="AT53" s="2155" t="str">
        <f>ExpoRisk!AT280</f>
        <v>PVL</v>
      </c>
      <c r="AU53" s="2155" t="str">
        <f>ExpoRisk!AU280</f>
        <v>PVL</v>
      </c>
      <c r="AV53" s="2155" t="str">
        <f>ExpoRisk!AV280</f>
        <v>PVL</v>
      </c>
      <c r="AW53" s="2155" t="str">
        <f>ExpoRisk!AW280</f>
        <v>PVL</v>
      </c>
      <c r="AX53" s="2155" t="str">
        <f>ExpoRisk!AX280</f>
        <v>PVL</v>
      </c>
      <c r="AY53" s="2155" t="str">
        <f>ExpoRisk!AY280</f>
        <v>PVL</v>
      </c>
      <c r="AZ53" s="2155" t="str">
        <f>ExpoRisk!AZ280</f>
        <v>PVL</v>
      </c>
      <c r="BA53" s="2155" t="str">
        <f>ExpoRisk!BA280</f>
        <v>PVL</v>
      </c>
      <c r="BB53" s="2155" t="str">
        <f>ExpoRisk!BB280</f>
        <v>PVL</v>
      </c>
      <c r="BC53" s="2155" t="str">
        <f>ExpoRisk!BC280</f>
        <v>PVL</v>
      </c>
      <c r="BD53" s="3243">
        <f>ExpoRisk!BD280</f>
        <v>1462.1351057555348</v>
      </c>
      <c r="BE53" s="2155">
        <f>ExpoRisk!BE280</f>
        <v>39532.799479038891</v>
      </c>
      <c r="BF53" s="3022">
        <f>ExpoRisk!BF280</f>
        <v>79065.598958077782</v>
      </c>
      <c r="BG53" s="3245">
        <f>ExpoRisk!BG280</f>
        <v>7.8481636363636371E-3</v>
      </c>
      <c r="BH53" s="3246">
        <f>ExpoRisk!BH280</f>
        <v>32.570190666935673</v>
      </c>
      <c r="BI53" s="2155">
        <f>ExpoRisk!BI280</f>
        <v>15.176458616958138</v>
      </c>
    </row>
    <row r="54" spans="1:61" s="2126" customFormat="1" hidden="1">
      <c r="A54" s="2375"/>
      <c r="B54" s="2156"/>
      <c r="C54" s="2149"/>
      <c r="D54" s="3067"/>
      <c r="E54" s="2592" t="s">
        <v>671</v>
      </c>
      <c r="F54" s="2153" t="str">
        <f>F53</f>
        <v>Cs</v>
      </c>
      <c r="G54" s="2154" t="str">
        <f>G53</f>
        <v>mg/kg ms</v>
      </c>
      <c r="H54" s="2155" t="str">
        <f>ExpoRisk!H281</f>
        <v>PVL</v>
      </c>
      <c r="I54" s="2155" t="str">
        <f>ExpoRisk!I281</f>
        <v>PVL</v>
      </c>
      <c r="J54" s="2155" t="str">
        <f>ExpoRisk!J281</f>
        <v>PVL</v>
      </c>
      <c r="K54" s="3243">
        <f>ExpoRisk!K281</f>
        <v>91.561909090909097</v>
      </c>
      <c r="L54" s="2155" t="str">
        <f>ExpoRisk!L281</f>
        <v>PVL</v>
      </c>
      <c r="M54" s="2155" t="str">
        <f>ExpoRisk!M281</f>
        <v>PVL</v>
      </c>
      <c r="N54" s="2155">
        <f>ExpoRisk!N281</f>
        <v>45.780954545454541</v>
      </c>
      <c r="O54" s="2155">
        <f>ExpoRisk!O281</f>
        <v>45.780954545454541</v>
      </c>
      <c r="P54" s="2155">
        <f>ExpoRisk!P281</f>
        <v>15.518967642526961</v>
      </c>
      <c r="Q54" s="2155">
        <f>ExpoRisk!Q281</f>
        <v>15.518967642526961</v>
      </c>
      <c r="R54" s="2155">
        <f>ExpoRisk!R281</f>
        <v>91.561909090909097</v>
      </c>
      <c r="S54" s="2155">
        <f>ExpoRisk!S281</f>
        <v>3.9809525691699599</v>
      </c>
      <c r="T54" s="2155">
        <f>ExpoRisk!T281</f>
        <v>3.9809525691699599</v>
      </c>
      <c r="U54" s="2155">
        <f>ExpoRisk!U281</f>
        <v>2.1800454545454544</v>
      </c>
      <c r="V54" s="2155" t="str">
        <f>ExpoRisk!V281</f>
        <v>PVL</v>
      </c>
      <c r="W54" s="2155" t="str">
        <f>ExpoRisk!W281</f>
        <v>PVL</v>
      </c>
      <c r="X54" s="3243">
        <f>ExpoRisk!X281</f>
        <v>15.260318181818182</v>
      </c>
      <c r="Y54" s="2155" t="str">
        <f>ExpoRisk!Y281</f>
        <v>PVL</v>
      </c>
      <c r="Z54" s="2155">
        <f>ExpoRisk!Z281</f>
        <v>36.624763636363639</v>
      </c>
      <c r="AA54" s="3022" t="str">
        <f>ExpoRisk!AA281</f>
        <v>PVL</v>
      </c>
      <c r="AB54" s="3243" t="str">
        <f>ExpoRisk!AB281</f>
        <v>PVL</v>
      </c>
      <c r="AC54" s="2155" t="str">
        <f>ExpoRisk!AC281</f>
        <v>PVL</v>
      </c>
      <c r="AD54" s="2155" t="str">
        <f>ExpoRisk!AD281</f>
        <v>PVL</v>
      </c>
      <c r="AE54" s="2155" t="str">
        <f>ExpoRisk!AE281</f>
        <v>PVL</v>
      </c>
      <c r="AF54" s="2155" t="str">
        <f>ExpoRisk!AF281</f>
        <v>PVL</v>
      </c>
      <c r="AG54" s="3721" t="str">
        <f>ExpoRisk!AG281</f>
        <v>PVL</v>
      </c>
      <c r="AH54" s="2155" t="str">
        <f>ExpoRisk!AH281</f>
        <v>PVL</v>
      </c>
      <c r="AI54" s="2155" t="str">
        <f>ExpoRisk!AI281</f>
        <v>PVL</v>
      </c>
      <c r="AJ54" s="2155" t="str">
        <f>ExpoRisk!AJ281</f>
        <v>PVL</v>
      </c>
      <c r="AK54" s="2155" t="str">
        <f>ExpoRisk!AK281</f>
        <v>PVL</v>
      </c>
      <c r="AL54" s="2155" t="str">
        <f>ExpoRisk!AL281</f>
        <v>PVL</v>
      </c>
      <c r="AM54" s="3022" t="str">
        <f>ExpoRisk!AM281</f>
        <v>PVL</v>
      </c>
      <c r="AN54" s="2155">
        <f>ExpoRisk!AN281</f>
        <v>13.289972817113433</v>
      </c>
      <c r="AO54" s="2155">
        <f>ExpoRisk!AO281</f>
        <v>1124.9987022831629</v>
      </c>
      <c r="AP54" s="2155">
        <f>ExpoRisk!AP281</f>
        <v>784.9206740959155</v>
      </c>
      <c r="AQ54" s="2155">
        <f>ExpoRisk!AQ281</f>
        <v>1625.2750283692815</v>
      </c>
      <c r="AR54" s="2155">
        <f>ExpoRisk!AR281</f>
        <v>6830.7691514365852</v>
      </c>
      <c r="AS54" s="2155">
        <f>ExpoRisk!AS281</f>
        <v>543.057259452332</v>
      </c>
      <c r="AT54" s="2155">
        <f>ExpoRisk!AT281</f>
        <v>70936.903297465164</v>
      </c>
      <c r="AU54" s="2155">
        <f>ExpoRisk!AU281</f>
        <v>72732.974639001215</v>
      </c>
      <c r="AV54" s="2155">
        <f>ExpoRisk!AV281</f>
        <v>4775.0381794301657</v>
      </c>
      <c r="AW54" s="2155">
        <f>ExpoRisk!AW281</f>
        <v>47020.650273406041</v>
      </c>
      <c r="AX54" s="2155">
        <f>ExpoRisk!AX281</f>
        <v>21220.812158845496</v>
      </c>
      <c r="AY54" s="2155">
        <f>ExpoRisk!AY281</f>
        <v>30919.36633821217</v>
      </c>
      <c r="AZ54" s="2155">
        <f>ExpoRisk!AZ281</f>
        <v>3454.06022474274</v>
      </c>
      <c r="BA54" s="2155">
        <f>ExpoRisk!BA281</f>
        <v>14933.732755951718</v>
      </c>
      <c r="BB54" s="2155">
        <f>ExpoRisk!BB281</f>
        <v>597638.63771294197</v>
      </c>
      <c r="BC54" s="2155">
        <f>ExpoRisk!BC281</f>
        <v>251824.98572621812</v>
      </c>
      <c r="BD54" s="3243" t="str">
        <f>ExpoRisk!BD281</f>
        <v>PVL</v>
      </c>
      <c r="BE54" s="2155">
        <f>ExpoRisk!BE281</f>
        <v>3147.1311227535593</v>
      </c>
      <c r="BF54" s="3022">
        <f>ExpoRisk!BF281</f>
        <v>6294.2622455071187</v>
      </c>
      <c r="BG54" s="2155" t="str">
        <f>ExpoRisk!BG281</f>
        <v>PVL</v>
      </c>
      <c r="BH54" s="3246" t="str">
        <f>ExpoRisk!BH281</f>
        <v>PVL</v>
      </c>
      <c r="BI54" s="2155" t="str">
        <f>ExpoRisk!BI281</f>
        <v>PVL</v>
      </c>
    </row>
    <row r="55" spans="1:61" s="2126" customFormat="1" hidden="1">
      <c r="A55" s="2242"/>
      <c r="B55" s="2156"/>
      <c r="C55" s="2149"/>
      <c r="D55" s="3067"/>
      <c r="E55" s="2592" t="s">
        <v>672</v>
      </c>
      <c r="F55" s="2153" t="str">
        <f>F54</f>
        <v>Cs</v>
      </c>
      <c r="G55" s="2154" t="str">
        <f>G54</f>
        <v>mg/kg ms</v>
      </c>
      <c r="H55" s="2155">
        <f>ExpoRisk!H282</f>
        <v>5181.2716774705141</v>
      </c>
      <c r="I55" s="2155">
        <f>ExpoRisk!I282</f>
        <v>5181.2716774705141</v>
      </c>
      <c r="J55" s="2155">
        <f>ExpoRisk!J282</f>
        <v>38758.586675549173</v>
      </c>
      <c r="K55" s="3243">
        <f>ExpoRisk!K282</f>
        <v>14.649905454545456</v>
      </c>
      <c r="L55" s="2155">
        <f>ExpoRisk!L282</f>
        <v>20.075395790853964</v>
      </c>
      <c r="M55" s="2155">
        <f>ExpoRisk!M282</f>
        <v>20.075395790853964</v>
      </c>
      <c r="N55" s="2155">
        <f>ExpoRisk!N282</f>
        <v>45.780954545454541</v>
      </c>
      <c r="O55" s="2155">
        <f>ExpoRisk!O282</f>
        <v>45.780954545454541</v>
      </c>
      <c r="P55" s="2155">
        <f>ExpoRisk!P282</f>
        <v>9.1561909090909115</v>
      </c>
      <c r="Q55" s="2155">
        <f>ExpoRisk!Q282</f>
        <v>9.1561909090909115</v>
      </c>
      <c r="R55" s="2155">
        <f>ExpoRisk!R282</f>
        <v>91.561909090909097</v>
      </c>
      <c r="S55" s="2155">
        <f>ExpoRisk!S282</f>
        <v>3.9809525691699599</v>
      </c>
      <c r="T55" s="2155">
        <f>ExpoRisk!T282</f>
        <v>3.9809525691699599</v>
      </c>
      <c r="U55" s="2155">
        <f>ExpoRisk!U282</f>
        <v>2.1800454545454544</v>
      </c>
      <c r="V55" s="2155">
        <f>ExpoRisk!V282</f>
        <v>261.60545454545451</v>
      </c>
      <c r="W55" s="2155">
        <f>ExpoRisk!W282</f>
        <v>261.60545454545451</v>
      </c>
      <c r="X55" s="3243">
        <f>ExpoRisk!X282</f>
        <v>2.7474192261642125</v>
      </c>
      <c r="Y55" s="2155">
        <f>ExpoRisk!Y282</f>
        <v>96.184299750885145</v>
      </c>
      <c r="Z55" s="2155">
        <f>ExpoRisk!Z282</f>
        <v>36.624763636363639</v>
      </c>
      <c r="AA55" s="3022">
        <f>ExpoRisk!AA282</f>
        <v>183.12381818181819</v>
      </c>
      <c r="AB55" s="3243">
        <f>ExpoRisk!AB282</f>
        <v>189.39356905647836</v>
      </c>
      <c r="AC55" s="2155">
        <f>ExpoRisk!AC282</f>
        <v>585.42995154170387</v>
      </c>
      <c r="AD55" s="2155">
        <f>ExpoRisk!AD282</f>
        <v>2450.4773085841125</v>
      </c>
      <c r="AE55" s="2155" t="str">
        <f>ExpoRisk!AE282</f>
        <v>PVL</v>
      </c>
      <c r="AF55" s="2155" t="str">
        <f>ExpoRisk!AF282</f>
        <v>PVL</v>
      </c>
      <c r="AG55" s="3721">
        <f>ExpoRisk!AG282</f>
        <v>4813.5403636363644</v>
      </c>
      <c r="AH55" s="2155">
        <f>ExpoRisk!AH282</f>
        <v>4813.5403636363626</v>
      </c>
      <c r="AI55" s="2155">
        <f>ExpoRisk!AI282</f>
        <v>327.80995834790781</v>
      </c>
      <c r="AJ55" s="2155">
        <f>ExpoRisk!AJ282</f>
        <v>828.57382025808442</v>
      </c>
      <c r="AK55" s="2155">
        <f>ExpoRisk!AK282</f>
        <v>2474.7552819598091</v>
      </c>
      <c r="AL55" s="2155" t="str">
        <f>ExpoRisk!AL282</f>
        <v>PVL</v>
      </c>
      <c r="AM55" s="3022" t="str">
        <f>ExpoRisk!AM282</f>
        <v>PVL</v>
      </c>
      <c r="AN55" s="2155">
        <f>ExpoRisk!AN282</f>
        <v>13.289972817113433</v>
      </c>
      <c r="AO55" s="2155">
        <f>ExpoRisk!AO282</f>
        <v>1124.9987022831629</v>
      </c>
      <c r="AP55" s="2155">
        <f>ExpoRisk!AP282</f>
        <v>784.9206740959155</v>
      </c>
      <c r="AQ55" s="2155">
        <f>ExpoRisk!AQ282</f>
        <v>1625.2750283692815</v>
      </c>
      <c r="AR55" s="2155">
        <f>ExpoRisk!AR282</f>
        <v>6830.7691514365852</v>
      </c>
      <c r="AS55" s="2155">
        <f>ExpoRisk!AS282</f>
        <v>543.057259452332</v>
      </c>
      <c r="AT55" s="2155">
        <f>ExpoRisk!AT282</f>
        <v>70936.903297465164</v>
      </c>
      <c r="AU55" s="2155">
        <f>ExpoRisk!AU282</f>
        <v>72732.974639001215</v>
      </c>
      <c r="AV55" s="2155">
        <f>ExpoRisk!AV282</f>
        <v>4775.0381794301657</v>
      </c>
      <c r="AW55" s="2155">
        <f>ExpoRisk!AW282</f>
        <v>47020.650273406041</v>
      </c>
      <c r="AX55" s="2155">
        <f>ExpoRisk!AX282</f>
        <v>21220.812158845496</v>
      </c>
      <c r="AY55" s="2155">
        <f>ExpoRisk!AY282</f>
        <v>30919.36633821217</v>
      </c>
      <c r="AZ55" s="2155">
        <f>ExpoRisk!AZ282</f>
        <v>3454.06022474274</v>
      </c>
      <c r="BA55" s="2155">
        <f>ExpoRisk!BA282</f>
        <v>14933.732755951718</v>
      </c>
      <c r="BB55" s="2155">
        <f>ExpoRisk!BB282</f>
        <v>597638.63771294197</v>
      </c>
      <c r="BC55" s="2155">
        <f>ExpoRisk!BC282</f>
        <v>251824.98572621812</v>
      </c>
      <c r="BD55" s="3243">
        <f>ExpoRisk!BD282</f>
        <v>1462.1351057555348</v>
      </c>
      <c r="BE55" s="2155">
        <f>ExpoRisk!BE282</f>
        <v>3147.1311227535593</v>
      </c>
      <c r="BF55" s="3022">
        <f>ExpoRisk!BF282</f>
        <v>6294.2622455071187</v>
      </c>
      <c r="BG55" s="2155">
        <f>ExpoRisk!BG282</f>
        <v>7.8481636363636371E-3</v>
      </c>
      <c r="BH55" s="3246">
        <f>ExpoRisk!BH282</f>
        <v>32.570190666935673</v>
      </c>
      <c r="BI55" s="2155">
        <f>ExpoRisk!BI282</f>
        <v>15.176458616958138</v>
      </c>
    </row>
    <row r="56" spans="1:61" s="3807" customFormat="1" hidden="1">
      <c r="A56" s="3795"/>
      <c r="B56" s="3796"/>
      <c r="C56" s="3797"/>
      <c r="D56" s="3798"/>
      <c r="E56" s="3799" t="s">
        <v>985</v>
      </c>
      <c r="F56" s="3800" t="s">
        <v>19</v>
      </c>
      <c r="G56" s="3801" t="s">
        <v>20</v>
      </c>
      <c r="H56" s="3802">
        <f>ExpoRisk!H283</f>
        <v>5181.2716774705141</v>
      </c>
      <c r="I56" s="3802">
        <f>ExpoRisk!I283</f>
        <v>5181.2716774705141</v>
      </c>
      <c r="J56" s="3802">
        <f>ExpoRisk!J283</f>
        <v>38758.586675549173</v>
      </c>
      <c r="K56" s="3803">
        <f>ExpoRisk!K283</f>
        <v>14.649905454545456</v>
      </c>
      <c r="L56" s="3802">
        <f>ExpoRisk!L283</f>
        <v>20.075395790853964</v>
      </c>
      <c r="M56" s="3802">
        <f>ExpoRisk!M283</f>
        <v>20.075395790853964</v>
      </c>
      <c r="N56" s="3802">
        <f>ExpoRisk!N283</f>
        <v>45.780954545454541</v>
      </c>
      <c r="O56" s="3802">
        <f>ExpoRisk!O283</f>
        <v>45.780954545454541</v>
      </c>
      <c r="P56" s="3802">
        <f>ExpoRisk!P283</f>
        <v>9.1561909090909115</v>
      </c>
      <c r="Q56" s="3802">
        <f>ExpoRisk!Q283</f>
        <v>9.1561909090909115</v>
      </c>
      <c r="R56" s="3802">
        <f>ExpoRisk!R283</f>
        <v>91.561909090909097</v>
      </c>
      <c r="S56" s="3802">
        <f>ExpoRisk!S283</f>
        <v>3.9809525691699599</v>
      </c>
      <c r="T56" s="3802">
        <f>ExpoRisk!T283</f>
        <v>3.9809525691699599</v>
      </c>
      <c r="U56" s="3802">
        <f>ExpoRisk!U283</f>
        <v>2.1800454545454544</v>
      </c>
      <c r="V56" s="3802">
        <f>ExpoRisk!V283</f>
        <v>261.60545454545451</v>
      </c>
      <c r="W56" s="3802">
        <f>ExpoRisk!W283</f>
        <v>261.60545454545451</v>
      </c>
      <c r="X56" s="3803">
        <f>ExpoRisk!X283</f>
        <v>2.7474192261642125</v>
      </c>
      <c r="Y56" s="3802">
        <f>ExpoRisk!Y283</f>
        <v>96.184299750885145</v>
      </c>
      <c r="Z56" s="3802">
        <f>ExpoRisk!Z283</f>
        <v>36.624763636363639</v>
      </c>
      <c r="AA56" s="3804" t="str">
        <f>ExpoRisk!AA283</f>
        <v>PVL</v>
      </c>
      <c r="AB56" s="3803" t="str">
        <f>ExpoRisk!AB283</f>
        <v>PVL</v>
      </c>
      <c r="AC56" s="3802" t="str">
        <f>ExpoRisk!AC283</f>
        <v>PVL</v>
      </c>
      <c r="AD56" s="3802" t="str">
        <f>ExpoRisk!AD283</f>
        <v>PVL</v>
      </c>
      <c r="AE56" s="3802" t="str">
        <f>ExpoRisk!AE283</f>
        <v>PVL</v>
      </c>
      <c r="AF56" s="3802" t="str">
        <f>ExpoRisk!AF283</f>
        <v>PVL</v>
      </c>
      <c r="AG56" s="3805" t="str">
        <f>ExpoRisk!AG283</f>
        <v>PVL</v>
      </c>
      <c r="AH56" s="3802" t="str">
        <f>ExpoRisk!AH283</f>
        <v>PVL</v>
      </c>
      <c r="AI56" s="3802" t="str">
        <f>ExpoRisk!AI283</f>
        <v>PVL</v>
      </c>
      <c r="AJ56" s="3802" t="str">
        <f>ExpoRisk!AJ283</f>
        <v>PVL</v>
      </c>
      <c r="AK56" s="3802" t="str">
        <f>ExpoRisk!AK283</f>
        <v>PVL</v>
      </c>
      <c r="AL56" s="3802" t="str">
        <f>ExpoRisk!AL283</f>
        <v>PVL</v>
      </c>
      <c r="AM56" s="3804" t="str">
        <f>ExpoRisk!AM283</f>
        <v>PVL</v>
      </c>
      <c r="AN56" s="3802">
        <f>ExpoRisk!AN283</f>
        <v>13.289972817113433</v>
      </c>
      <c r="AO56" s="3802" t="str">
        <f>ExpoRisk!AO283</f>
        <v>PVL</v>
      </c>
      <c r="AP56" s="3802" t="str">
        <f>ExpoRisk!AP283</f>
        <v>PVL</v>
      </c>
      <c r="AQ56" s="3802" t="str">
        <f>ExpoRisk!AQ283</f>
        <v>PVL</v>
      </c>
      <c r="AR56" s="3802" t="str">
        <f>ExpoRisk!AR283</f>
        <v>PVL</v>
      </c>
      <c r="AS56" s="3802" t="str">
        <f>ExpoRisk!AS283</f>
        <v>PVL</v>
      </c>
      <c r="AT56" s="3802" t="str">
        <f>ExpoRisk!AT283</f>
        <v>PVL</v>
      </c>
      <c r="AU56" s="3802" t="str">
        <f>ExpoRisk!AU283</f>
        <v>PVL</v>
      </c>
      <c r="AV56" s="3802" t="str">
        <f>ExpoRisk!AV283</f>
        <v>PVL</v>
      </c>
      <c r="AW56" s="3802" t="str">
        <f>ExpoRisk!AW283</f>
        <v>PVL</v>
      </c>
      <c r="AX56" s="3802" t="str">
        <f>ExpoRisk!AX283</f>
        <v>PVL</v>
      </c>
      <c r="AY56" s="3802" t="str">
        <f>ExpoRisk!AY283</f>
        <v>PVL</v>
      </c>
      <c r="AZ56" s="3802" t="str">
        <f>ExpoRisk!AZ283</f>
        <v>PVL</v>
      </c>
      <c r="BA56" s="3802" t="str">
        <f>ExpoRisk!BA283</f>
        <v>PVL</v>
      </c>
      <c r="BB56" s="3802" t="str">
        <f>ExpoRisk!BB283</f>
        <v>PVL</v>
      </c>
      <c r="BC56" s="3802" t="str">
        <f>ExpoRisk!BC283</f>
        <v>PVL</v>
      </c>
      <c r="BD56" s="3803">
        <f>ExpoRisk!BD283</f>
        <v>1462.1351057555348</v>
      </c>
      <c r="BE56" s="3802" t="str">
        <f>ExpoRisk!BE283</f>
        <v>PVL</v>
      </c>
      <c r="BF56" s="3804" t="str">
        <f>ExpoRisk!BF283</f>
        <v>PVL</v>
      </c>
      <c r="BG56" s="3802">
        <f>ExpoRisk!BG283</f>
        <v>7.8481636363636371E-3</v>
      </c>
      <c r="BH56" s="3806">
        <f>ExpoRisk!BH283</f>
        <v>32.570190666935673</v>
      </c>
      <c r="BI56" s="3802">
        <f>ExpoRisk!BI283</f>
        <v>15.176458616958138</v>
      </c>
    </row>
    <row r="57" spans="1:61" s="3744" customFormat="1" hidden="1">
      <c r="A57" s="3734"/>
      <c r="B57" s="3735"/>
      <c r="C57" s="2241"/>
      <c r="D57" s="3791"/>
      <c r="E57" s="3736" t="s">
        <v>476</v>
      </c>
      <c r="F57" s="3737" t="s">
        <v>93</v>
      </c>
      <c r="G57" s="3738" t="s">
        <v>24</v>
      </c>
      <c r="H57" s="3739">
        <f>ExpoRisk!H284</f>
        <v>13650.016449233179</v>
      </c>
      <c r="I57" s="3739">
        <f>ExpoRisk!I284</f>
        <v>13650.016449233179</v>
      </c>
      <c r="J57" s="3739">
        <f>ExpoRisk!J284</f>
        <v>670316.77903774451</v>
      </c>
      <c r="K57" s="3740">
        <f>ExpoRisk!K284</f>
        <v>56450.681890396372</v>
      </c>
      <c r="L57" s="3739">
        <f>ExpoRisk!L284</f>
        <v>14463.095390339229</v>
      </c>
      <c r="M57" s="3739">
        <f>ExpoRisk!M284</f>
        <v>14463.095390339229</v>
      </c>
      <c r="N57" s="3739">
        <f>ExpoRisk!N284</f>
        <v>65051.551562152286</v>
      </c>
      <c r="O57" s="3739">
        <f>ExpoRisk!O284</f>
        <v>65051.551562152286</v>
      </c>
      <c r="P57" s="3739">
        <f>ExpoRisk!P284</f>
        <v>14203.890281984883</v>
      </c>
      <c r="Q57" s="3739">
        <f>ExpoRisk!Q284</f>
        <v>14203.890281984883</v>
      </c>
      <c r="R57" s="3739">
        <f>ExpoRisk!R284</f>
        <v>57095.741629831115</v>
      </c>
      <c r="S57" s="3739">
        <f>ExpoRisk!S284</f>
        <v>2328.9496685225176</v>
      </c>
      <c r="T57" s="3739">
        <f>ExpoRisk!T284</f>
        <v>2328.9496685225176</v>
      </c>
      <c r="U57" s="3739">
        <f>ExpoRisk!U284</f>
        <v>6004.4201216823349</v>
      </c>
      <c r="V57" s="3739">
        <f>ExpoRisk!V284</f>
        <v>1179365.3413826337</v>
      </c>
      <c r="W57" s="3739">
        <f>ExpoRisk!W284</f>
        <v>1179365.3413826337</v>
      </c>
      <c r="X57" s="3740">
        <f>ExpoRisk!X284</f>
        <v>2376.1237053616665</v>
      </c>
      <c r="Y57" s="3739">
        <f>ExpoRisk!Y284</f>
        <v>57652.542026547257</v>
      </c>
      <c r="Z57" s="3739">
        <f>ExpoRisk!Z284</f>
        <v>13000.799391486573</v>
      </c>
      <c r="AA57" s="3741" t="str">
        <f>ExpoRisk!AA284</f>
        <v>PVL</v>
      </c>
      <c r="AB57" s="3740" t="str">
        <f>ExpoRisk!AB284</f>
        <v>PVL</v>
      </c>
      <c r="AC57" s="3739" t="str">
        <f>ExpoRisk!AC284</f>
        <v>PVL</v>
      </c>
      <c r="AD57" s="3739" t="str">
        <f>ExpoRisk!AD284</f>
        <v>PVL</v>
      </c>
      <c r="AE57" s="3739" t="str">
        <f>ExpoRisk!AE284</f>
        <v>PVL</v>
      </c>
      <c r="AF57" s="3739" t="str">
        <f>ExpoRisk!AF284</f>
        <v>PVL</v>
      </c>
      <c r="AG57" s="3742" t="str">
        <f>ExpoRisk!AG284</f>
        <v>PVL</v>
      </c>
      <c r="AH57" s="3739" t="str">
        <f>ExpoRisk!AH284</f>
        <v>PVL</v>
      </c>
      <c r="AI57" s="3739" t="str">
        <f>ExpoRisk!AI284</f>
        <v>PVL</v>
      </c>
      <c r="AJ57" s="3739" t="str">
        <f>ExpoRisk!AJ284</f>
        <v>PVL</v>
      </c>
      <c r="AK57" s="3739" t="str">
        <f>ExpoRisk!AK284</f>
        <v>PVL</v>
      </c>
      <c r="AL57" s="3739" t="str">
        <f>ExpoRisk!AL284</f>
        <v>PVL</v>
      </c>
      <c r="AM57" s="3741" t="str">
        <f>ExpoRisk!AM284</f>
        <v>PVL</v>
      </c>
      <c r="AN57" s="3739">
        <f>ExpoRisk!AN284</f>
        <v>56.808075042677736</v>
      </c>
      <c r="AO57" s="3739" t="str">
        <f>ExpoRisk!AO284</f>
        <v>PVL</v>
      </c>
      <c r="AP57" s="3739" t="str">
        <f>ExpoRisk!AP284</f>
        <v>PVL</v>
      </c>
      <c r="AQ57" s="3739" t="str">
        <f>ExpoRisk!AQ284</f>
        <v>PVL</v>
      </c>
      <c r="AR57" s="3739" t="str">
        <f>ExpoRisk!AR284</f>
        <v>PVL</v>
      </c>
      <c r="AS57" s="3739" t="str">
        <f>ExpoRisk!AS284</f>
        <v>PVL</v>
      </c>
      <c r="AT57" s="3739" t="str">
        <f>ExpoRisk!AT284</f>
        <v>PVL</v>
      </c>
      <c r="AU57" s="3739" t="str">
        <f>ExpoRisk!AU284</f>
        <v>PVL</v>
      </c>
      <c r="AV57" s="3739" t="str">
        <f>ExpoRisk!AV284</f>
        <v>PVL</v>
      </c>
      <c r="AW57" s="3739" t="str">
        <f>ExpoRisk!AW284</f>
        <v>PVL</v>
      </c>
      <c r="AX57" s="3739" t="str">
        <f>ExpoRisk!AX284</f>
        <v>PVL</v>
      </c>
      <c r="AY57" s="3739" t="str">
        <f>ExpoRisk!AY284</f>
        <v>PVL</v>
      </c>
      <c r="AZ57" s="3739" t="str">
        <f>ExpoRisk!AZ284</f>
        <v>PVL</v>
      </c>
      <c r="BA57" s="3739" t="str">
        <f>ExpoRisk!BA284</f>
        <v>PVL</v>
      </c>
      <c r="BB57" s="3739" t="str">
        <f>ExpoRisk!BB284</f>
        <v>PVL</v>
      </c>
      <c r="BC57" s="3739" t="str">
        <f>ExpoRisk!BC284</f>
        <v>PVL</v>
      </c>
      <c r="BD57" s="3740">
        <f>ExpoRisk!BD284</f>
        <v>136.77857846845268</v>
      </c>
      <c r="BE57" s="3739" t="str">
        <f>ExpoRisk!BE284</f>
        <v>PVL</v>
      </c>
      <c r="BF57" s="3741" t="str">
        <f>ExpoRisk!BF284</f>
        <v>PVL</v>
      </c>
      <c r="BG57" s="3739" t="str">
        <f>ExpoRisk!BG284</f>
        <v>Saturation</v>
      </c>
      <c r="BH57" s="3743">
        <f>ExpoRisk!BH284</f>
        <v>4.0516642578102608</v>
      </c>
      <c r="BI57" s="3739">
        <f>ExpoRisk!BI284</f>
        <v>14.607544657894978</v>
      </c>
    </row>
    <row r="58" spans="1:61" s="3754" customFormat="1" hidden="1">
      <c r="A58" s="3745"/>
      <c r="B58" s="2125"/>
      <c r="C58" s="3746"/>
      <c r="D58" s="3808"/>
      <c r="E58" s="3748" t="s">
        <v>953</v>
      </c>
      <c r="F58" s="3749" t="s">
        <v>19</v>
      </c>
      <c r="G58" s="3750" t="s">
        <v>20</v>
      </c>
      <c r="H58" s="3751" t="str">
        <f>ExpoRisk!H241</f>
        <v>PVL</v>
      </c>
      <c r="I58" s="3751" t="str">
        <f>ExpoRisk!I241</f>
        <v>PVL</v>
      </c>
      <c r="J58" s="3751" t="str">
        <f>ExpoRisk!J241</f>
        <v>PVL</v>
      </c>
      <c r="K58" s="3752">
        <f>ExpoRisk!K241</f>
        <v>178.24927251493804</v>
      </c>
      <c r="L58" s="3751" t="str">
        <f>ExpoRisk!L241</f>
        <v>PVL</v>
      </c>
      <c r="M58" s="3751" t="str">
        <f>ExpoRisk!M241</f>
        <v>PVL</v>
      </c>
      <c r="N58" s="3751" t="str">
        <f>ExpoRisk!N241</f>
        <v>PVL</v>
      </c>
      <c r="O58" s="3751" t="str">
        <f>ExpoRisk!O241</f>
        <v>PVL</v>
      </c>
      <c r="P58" s="3751" t="str">
        <f>ExpoRisk!P241</f>
        <v>PVL</v>
      </c>
      <c r="Q58" s="3751" t="str">
        <f>ExpoRisk!Q241</f>
        <v>PVL</v>
      </c>
      <c r="R58" s="3751">
        <f>ExpoRisk!R241</f>
        <v>388.49385364068638</v>
      </c>
      <c r="S58" s="3751">
        <f>ExpoRisk!S241</f>
        <v>547.83221330391711</v>
      </c>
      <c r="T58" s="3751">
        <f>ExpoRisk!T241</f>
        <v>547.83221330391711</v>
      </c>
      <c r="U58" s="3751" t="str">
        <f>ExpoRisk!U241</f>
        <v>PVL</v>
      </c>
      <c r="V58" s="3751" t="str">
        <f>ExpoRisk!V241</f>
        <v>PVL</v>
      </c>
      <c r="W58" s="3751" t="str">
        <f>ExpoRisk!W241</f>
        <v>PVL</v>
      </c>
      <c r="X58" s="3752" t="str">
        <f>ExpoRisk!X241</f>
        <v>PVL</v>
      </c>
      <c r="Y58" s="3751" t="str">
        <f>ExpoRisk!Y241</f>
        <v>PVL</v>
      </c>
      <c r="Z58" s="3751" t="str">
        <f>ExpoRisk!Z241</f>
        <v>PVL</v>
      </c>
      <c r="AA58" s="3246">
        <f>ExpoRisk!AA241</f>
        <v>51.681819754531617</v>
      </c>
      <c r="AB58" s="3752" t="str">
        <f>ExpoRisk!AB241</f>
        <v>PVL</v>
      </c>
      <c r="AC58" s="3751" t="str">
        <f>ExpoRisk!AC241</f>
        <v>PVL</v>
      </c>
      <c r="AD58" s="3751" t="str">
        <f>ExpoRisk!AD241</f>
        <v>PVL</v>
      </c>
      <c r="AE58" s="3751" t="str">
        <f>ExpoRisk!AE241</f>
        <v>PVL</v>
      </c>
      <c r="AF58" s="3751" t="str">
        <f>ExpoRisk!AF241</f>
        <v>PVL</v>
      </c>
      <c r="AG58" s="3753" t="str">
        <f>ExpoRisk!AG241</f>
        <v>PVL</v>
      </c>
      <c r="AH58" s="3751" t="str">
        <f>ExpoRisk!AH241</f>
        <v>PVL</v>
      </c>
      <c r="AI58" s="3751" t="str">
        <f>ExpoRisk!AI241</f>
        <v>PVL</v>
      </c>
      <c r="AJ58" s="3751" t="str">
        <f>ExpoRisk!AJ241</f>
        <v>PVL</v>
      </c>
      <c r="AK58" s="3751" t="str">
        <f>ExpoRisk!AK241</f>
        <v>PVL</v>
      </c>
      <c r="AL58" s="3751" t="str">
        <f>ExpoRisk!AL241</f>
        <v>PVL</v>
      </c>
      <c r="AM58" s="3246" t="str">
        <f>ExpoRisk!AM241</f>
        <v>PVL</v>
      </c>
      <c r="AN58" s="3751" t="str">
        <f>ExpoRisk!AN241</f>
        <v>PVL</v>
      </c>
      <c r="AO58" s="3751" t="str">
        <f>ExpoRisk!AO241</f>
        <v>PVL</v>
      </c>
      <c r="AP58" s="3751" t="str">
        <f>ExpoRisk!AP241</f>
        <v>PVL</v>
      </c>
      <c r="AQ58" s="3751" t="str">
        <f>ExpoRisk!AQ241</f>
        <v>PVL</v>
      </c>
      <c r="AR58" s="3751" t="str">
        <f>ExpoRisk!AR241</f>
        <v>PVL</v>
      </c>
      <c r="AS58" s="3751" t="str">
        <f>ExpoRisk!AS241</f>
        <v>PVL</v>
      </c>
      <c r="AT58" s="3751" t="str">
        <f>ExpoRisk!AT241</f>
        <v>PVL</v>
      </c>
      <c r="AU58" s="3751" t="str">
        <f>ExpoRisk!AU241</f>
        <v>PVL</v>
      </c>
      <c r="AV58" s="3751" t="str">
        <f>ExpoRisk!AV241</f>
        <v>PVL</v>
      </c>
      <c r="AW58" s="3751" t="str">
        <f>ExpoRisk!AW241</f>
        <v>PVL</v>
      </c>
      <c r="AX58" s="3751" t="str">
        <f>ExpoRisk!AX241</f>
        <v>PVL</v>
      </c>
      <c r="AY58" s="3751" t="str">
        <f>ExpoRisk!AY241</f>
        <v>PVL</v>
      </c>
      <c r="AZ58" s="3751" t="str">
        <f>ExpoRisk!AZ241</f>
        <v>PVL</v>
      </c>
      <c r="BA58" s="3751" t="str">
        <f>ExpoRisk!BA241</f>
        <v>PVL</v>
      </c>
      <c r="BB58" s="3751" t="str">
        <f>ExpoRisk!BB241</f>
        <v>PVL</v>
      </c>
      <c r="BC58" s="3751" t="str">
        <f>ExpoRisk!BC241</f>
        <v>PVL</v>
      </c>
      <c r="BD58" s="3752">
        <f>ExpoRisk!BD241</f>
        <v>11332.016466808936</v>
      </c>
      <c r="BE58" s="3751" t="str">
        <f>ExpoRisk!BE241</f>
        <v>PVL</v>
      </c>
      <c r="BF58" s="3246" t="str">
        <f>ExpoRisk!BF241</f>
        <v>PVL</v>
      </c>
      <c r="BG58" s="3751" t="str">
        <f>ExpoRisk!BG241</f>
        <v>nd</v>
      </c>
      <c r="BH58" s="3246" t="str">
        <f>ExpoRisk!BH241</f>
        <v>PVL</v>
      </c>
      <c r="BI58" s="3751" t="str">
        <f>ExpoRisk!BI241</f>
        <v>PVL</v>
      </c>
    </row>
    <row r="59" spans="1:61" s="3754" customFormat="1" hidden="1">
      <c r="A59" s="3745"/>
      <c r="B59" s="2125"/>
      <c r="C59" s="3746"/>
      <c r="D59" s="3808"/>
      <c r="E59" s="3748" t="s">
        <v>983</v>
      </c>
      <c r="F59" s="3749" t="s">
        <v>19</v>
      </c>
      <c r="G59" s="3750" t="s">
        <v>20</v>
      </c>
      <c r="H59" s="3751" t="str">
        <f>ExpoRisk!H248</f>
        <v>PVL</v>
      </c>
      <c r="I59" s="3751" t="str">
        <f>ExpoRisk!I248</f>
        <v>PVL</v>
      </c>
      <c r="J59" s="3751" t="str">
        <f>ExpoRisk!J248</f>
        <v>PVL</v>
      </c>
      <c r="K59" s="3752" t="str">
        <f>ExpoRisk!K248</f>
        <v>PVL</v>
      </c>
      <c r="L59" s="3751" t="str">
        <f>ExpoRisk!L248</f>
        <v>PVL</v>
      </c>
      <c r="M59" s="3751" t="str">
        <f>ExpoRisk!M248</f>
        <v>PVL</v>
      </c>
      <c r="N59" s="3751" t="str">
        <f>ExpoRisk!N248</f>
        <v>PVL</v>
      </c>
      <c r="O59" s="3751" t="str">
        <f>ExpoRisk!O248</f>
        <v>PVL</v>
      </c>
      <c r="P59" s="3751" t="str">
        <f>ExpoRisk!P248</f>
        <v>PVL</v>
      </c>
      <c r="Q59" s="3751" t="str">
        <f>ExpoRisk!Q248</f>
        <v>PVL</v>
      </c>
      <c r="R59" s="3751" t="str">
        <f>ExpoRisk!R248</f>
        <v>PVL</v>
      </c>
      <c r="S59" s="3751">
        <f>ExpoRisk!S248</f>
        <v>1703.0971882070673</v>
      </c>
      <c r="T59" s="3751">
        <f>ExpoRisk!T248</f>
        <v>1703.0971882070673</v>
      </c>
      <c r="U59" s="3751" t="str">
        <f>ExpoRisk!U248</f>
        <v>PVL</v>
      </c>
      <c r="V59" s="3751" t="str">
        <f>ExpoRisk!V248</f>
        <v>PVL</v>
      </c>
      <c r="W59" s="3751" t="str">
        <f>ExpoRisk!W248</f>
        <v>PVL</v>
      </c>
      <c r="X59" s="3752" t="str">
        <f>ExpoRisk!X248</f>
        <v>PVL</v>
      </c>
      <c r="Y59" s="3751" t="str">
        <f>ExpoRisk!Y248</f>
        <v>PVL</v>
      </c>
      <c r="Z59" s="3751" t="str">
        <f>ExpoRisk!Z248</f>
        <v>PVL</v>
      </c>
      <c r="AA59" s="3246">
        <f>ExpoRisk!AA248</f>
        <v>98.600352296288179</v>
      </c>
      <c r="AB59" s="3752" t="str">
        <f>ExpoRisk!AB248</f>
        <v>PVL</v>
      </c>
      <c r="AC59" s="3751" t="str">
        <f>ExpoRisk!AC248</f>
        <v>PVL</v>
      </c>
      <c r="AD59" s="3751" t="str">
        <f>ExpoRisk!AD248</f>
        <v>PVL</v>
      </c>
      <c r="AE59" s="3751" t="str">
        <f>ExpoRisk!AE248</f>
        <v>PVL</v>
      </c>
      <c r="AF59" s="3751" t="str">
        <f>ExpoRisk!AF248</f>
        <v>PVL</v>
      </c>
      <c r="AG59" s="3753" t="str">
        <f>ExpoRisk!AG248</f>
        <v>PVL</v>
      </c>
      <c r="AH59" s="3751" t="str">
        <f>ExpoRisk!AH248</f>
        <v>PVL</v>
      </c>
      <c r="AI59" s="3751" t="str">
        <f>ExpoRisk!AI248</f>
        <v>PVL</v>
      </c>
      <c r="AJ59" s="3751" t="str">
        <f>ExpoRisk!AJ248</f>
        <v>PVL</v>
      </c>
      <c r="AK59" s="3751" t="str">
        <f>ExpoRisk!AK248</f>
        <v>PVL</v>
      </c>
      <c r="AL59" s="3751" t="str">
        <f>ExpoRisk!AL248</f>
        <v>PVL</v>
      </c>
      <c r="AM59" s="3246" t="str">
        <f>ExpoRisk!AM248</f>
        <v>PVL</v>
      </c>
      <c r="AN59" s="3751" t="str">
        <f>ExpoRisk!AN248</f>
        <v>PVL</v>
      </c>
      <c r="AO59" s="3751" t="str">
        <f>ExpoRisk!AO248</f>
        <v>PVL</v>
      </c>
      <c r="AP59" s="3751" t="str">
        <f>ExpoRisk!AP248</f>
        <v>PVL</v>
      </c>
      <c r="AQ59" s="3751" t="str">
        <f>ExpoRisk!AQ248</f>
        <v>PVL</v>
      </c>
      <c r="AR59" s="3751" t="str">
        <f>ExpoRisk!AR248</f>
        <v>PVL</v>
      </c>
      <c r="AS59" s="3751" t="str">
        <f>ExpoRisk!AS248</f>
        <v>PVL</v>
      </c>
      <c r="AT59" s="3751" t="str">
        <f>ExpoRisk!AT248</f>
        <v>PVL</v>
      </c>
      <c r="AU59" s="3751" t="str">
        <f>ExpoRisk!AU248</f>
        <v>PVL</v>
      </c>
      <c r="AV59" s="3751" t="str">
        <f>ExpoRisk!AV248</f>
        <v>PVL</v>
      </c>
      <c r="AW59" s="3751" t="str">
        <f>ExpoRisk!AW248</f>
        <v>PVL</v>
      </c>
      <c r="AX59" s="3751" t="str">
        <f>ExpoRisk!AX248</f>
        <v>PVL</v>
      </c>
      <c r="AY59" s="3751" t="str">
        <f>ExpoRisk!AY248</f>
        <v>PVL</v>
      </c>
      <c r="AZ59" s="3751" t="str">
        <f>ExpoRisk!AZ248</f>
        <v>PVL</v>
      </c>
      <c r="BA59" s="3751" t="str">
        <f>ExpoRisk!BA248</f>
        <v>PVL</v>
      </c>
      <c r="BB59" s="3751" t="str">
        <f>ExpoRisk!BB248</f>
        <v>PVL</v>
      </c>
      <c r="BC59" s="3751" t="str">
        <f>ExpoRisk!BC248</f>
        <v>PVL</v>
      </c>
      <c r="BD59" s="3752">
        <f>ExpoRisk!BD248</f>
        <v>11358.726343704173</v>
      </c>
      <c r="BE59" s="3751" t="str">
        <f>ExpoRisk!BE248</f>
        <v>PVL</v>
      </c>
      <c r="BF59" s="3246" t="str">
        <f>ExpoRisk!BF248</f>
        <v>PVL</v>
      </c>
      <c r="BG59" s="3751" t="str">
        <f>ExpoRisk!BG248</f>
        <v>nd</v>
      </c>
      <c r="BH59" s="3246" t="str">
        <f>ExpoRisk!BH248</f>
        <v>PVL</v>
      </c>
      <c r="BI59" s="3751" t="str">
        <f>ExpoRisk!BI248</f>
        <v>PVL</v>
      </c>
    </row>
    <row r="60" spans="1:61" s="3807" customFormat="1" ht="25.5" hidden="1">
      <c r="A60" s="3809"/>
      <c r="B60" s="3796"/>
      <c r="C60" s="3810"/>
      <c r="D60" s="3811"/>
      <c r="E60" s="3799" t="s">
        <v>954</v>
      </c>
      <c r="F60" s="3812" t="s">
        <v>19</v>
      </c>
      <c r="G60" s="3813" t="s">
        <v>20</v>
      </c>
      <c r="H60" s="3802">
        <f>IF(H56="PVL",H58,IF(H58="PVL",H56,MIN(H56,H58)))</f>
        <v>5181.2716774705141</v>
      </c>
      <c r="I60" s="3802">
        <f t="shared" ref="I60:BI60" si="9">IF(I56="PVL",I58,IF(I58="PVL",I56,MIN(I56,I58)))</f>
        <v>5181.2716774705141</v>
      </c>
      <c r="J60" s="3802">
        <f>IF(J56="PVL",J58,IF(J58="PVL",J56,MIN(J56,J58)))</f>
        <v>38758.586675549173</v>
      </c>
      <c r="K60" s="3803">
        <f t="shared" si="9"/>
        <v>14.649905454545456</v>
      </c>
      <c r="L60" s="3802">
        <f t="shared" si="9"/>
        <v>20.075395790853964</v>
      </c>
      <c r="M60" s="3802">
        <f t="shared" si="9"/>
        <v>20.075395790853964</v>
      </c>
      <c r="N60" s="3802">
        <f>IF(N56="PVL",N58,IF(N58="PVL",N56,MIN(N56,N58)))</f>
        <v>45.780954545454541</v>
      </c>
      <c r="O60" s="3802">
        <f>IF(O56="PVL",O58,IF(O58="PVL",O56,MIN(O56,O58)))</f>
        <v>45.780954545454541</v>
      </c>
      <c r="P60" s="3802">
        <f t="shared" si="9"/>
        <v>9.1561909090909115</v>
      </c>
      <c r="Q60" s="3802">
        <f t="shared" si="9"/>
        <v>9.1561909090909115</v>
      </c>
      <c r="R60" s="3802">
        <f>IF(R56="PVL",R58,IF(R58="PVL",R56,MIN(R56,R58)))</f>
        <v>91.561909090909097</v>
      </c>
      <c r="S60" s="3802">
        <f>IF(S56="PVL",S58,IF(S58="PVL",S56,MIN(S56,S58)))</f>
        <v>3.9809525691699599</v>
      </c>
      <c r="T60" s="3802">
        <f>IF(T56="PVL",T58,IF(T58="PVL",T56,MIN(T56,T58)))</f>
        <v>3.9809525691699599</v>
      </c>
      <c r="U60" s="3802">
        <f t="shared" si="9"/>
        <v>2.1800454545454544</v>
      </c>
      <c r="V60" s="3802">
        <f t="shared" si="9"/>
        <v>261.60545454545451</v>
      </c>
      <c r="W60" s="3802">
        <f t="shared" si="9"/>
        <v>261.60545454545451</v>
      </c>
      <c r="X60" s="3803">
        <f t="shared" si="9"/>
        <v>2.7474192261642125</v>
      </c>
      <c r="Y60" s="3802">
        <f t="shared" si="9"/>
        <v>96.184299750885145</v>
      </c>
      <c r="Z60" s="3802">
        <f t="shared" si="9"/>
        <v>36.624763636363639</v>
      </c>
      <c r="AA60" s="3804">
        <f t="shared" si="9"/>
        <v>51.681819754531617</v>
      </c>
      <c r="AB60" s="3803" t="str">
        <f t="shared" si="9"/>
        <v>PVL</v>
      </c>
      <c r="AC60" s="3802" t="str">
        <f t="shared" si="9"/>
        <v>PVL</v>
      </c>
      <c r="AD60" s="3802" t="str">
        <f t="shared" si="9"/>
        <v>PVL</v>
      </c>
      <c r="AE60" s="3802" t="str">
        <f t="shared" si="9"/>
        <v>PVL</v>
      </c>
      <c r="AF60" s="3802" t="str">
        <f t="shared" si="9"/>
        <v>PVL</v>
      </c>
      <c r="AG60" s="3805" t="str">
        <f t="shared" si="9"/>
        <v>PVL</v>
      </c>
      <c r="AH60" s="3802" t="str">
        <f t="shared" si="9"/>
        <v>PVL</v>
      </c>
      <c r="AI60" s="3802" t="str">
        <f t="shared" si="9"/>
        <v>PVL</v>
      </c>
      <c r="AJ60" s="3802" t="str">
        <f t="shared" si="9"/>
        <v>PVL</v>
      </c>
      <c r="AK60" s="3802" t="str">
        <f t="shared" si="9"/>
        <v>PVL</v>
      </c>
      <c r="AL60" s="3802" t="str">
        <f t="shared" si="9"/>
        <v>PVL</v>
      </c>
      <c r="AM60" s="3804" t="str">
        <f t="shared" si="9"/>
        <v>PVL</v>
      </c>
      <c r="AN60" s="3802">
        <f t="shared" si="9"/>
        <v>13.289972817113433</v>
      </c>
      <c r="AO60" s="3802" t="str">
        <f t="shared" si="9"/>
        <v>PVL</v>
      </c>
      <c r="AP60" s="3802" t="str">
        <f t="shared" si="9"/>
        <v>PVL</v>
      </c>
      <c r="AQ60" s="3802" t="str">
        <f t="shared" si="9"/>
        <v>PVL</v>
      </c>
      <c r="AR60" s="3802" t="str">
        <f t="shared" si="9"/>
        <v>PVL</v>
      </c>
      <c r="AS60" s="3802" t="str">
        <f t="shared" si="9"/>
        <v>PVL</v>
      </c>
      <c r="AT60" s="3802" t="str">
        <f t="shared" si="9"/>
        <v>PVL</v>
      </c>
      <c r="AU60" s="3802" t="str">
        <f t="shared" si="9"/>
        <v>PVL</v>
      </c>
      <c r="AV60" s="3802" t="str">
        <f t="shared" si="9"/>
        <v>PVL</v>
      </c>
      <c r="AW60" s="3802" t="str">
        <f t="shared" si="9"/>
        <v>PVL</v>
      </c>
      <c r="AX60" s="3802" t="str">
        <f t="shared" si="9"/>
        <v>PVL</v>
      </c>
      <c r="AY60" s="3802" t="str">
        <f t="shared" si="9"/>
        <v>PVL</v>
      </c>
      <c r="AZ60" s="3802" t="str">
        <f t="shared" si="9"/>
        <v>PVL</v>
      </c>
      <c r="BA60" s="3802" t="str">
        <f t="shared" si="9"/>
        <v>PVL</v>
      </c>
      <c r="BB60" s="3802" t="str">
        <f t="shared" si="9"/>
        <v>PVL</v>
      </c>
      <c r="BC60" s="3802" t="str">
        <f t="shared" si="9"/>
        <v>PVL</v>
      </c>
      <c r="BD60" s="3803">
        <f t="shared" si="9"/>
        <v>1462.1351057555348</v>
      </c>
      <c r="BE60" s="3802" t="str">
        <f t="shared" si="9"/>
        <v>PVL</v>
      </c>
      <c r="BF60" s="3804" t="str">
        <f t="shared" si="9"/>
        <v>PVL</v>
      </c>
      <c r="BG60" s="3802">
        <f t="shared" si="9"/>
        <v>7.8481636363636371E-3</v>
      </c>
      <c r="BH60" s="3806">
        <f t="shared" si="9"/>
        <v>32.570190666935673</v>
      </c>
      <c r="BI60" s="3802">
        <f t="shared" si="9"/>
        <v>15.176458616958138</v>
      </c>
    </row>
    <row r="61" spans="1:61" s="3807" customFormat="1" hidden="1">
      <c r="A61" s="3809"/>
      <c r="B61" s="3796"/>
      <c r="C61" s="3810"/>
      <c r="D61" s="3811"/>
      <c r="E61" s="3799" t="s">
        <v>984</v>
      </c>
      <c r="F61" s="3812" t="s">
        <v>19</v>
      </c>
      <c r="G61" s="3813" t="s">
        <v>20</v>
      </c>
      <c r="H61" s="3802">
        <f>IF(H56="PVL",H59,IF(H59="PVL",H56,MIN(H56,H59)))</f>
        <v>5181.2716774705141</v>
      </c>
      <c r="I61" s="3802">
        <f t="shared" ref="I61:BI61" si="10">IF(I56="PVL",I59,IF(I59="PVL",I56,MIN(I56,I59)))</f>
        <v>5181.2716774705141</v>
      </c>
      <c r="J61" s="3802">
        <f>IF(J56="PVL",J59,IF(J59="PVL",J56,MIN(J56,J59)))</f>
        <v>38758.586675549173</v>
      </c>
      <c r="K61" s="3803">
        <f t="shared" si="10"/>
        <v>14.649905454545456</v>
      </c>
      <c r="L61" s="3802">
        <f t="shared" si="10"/>
        <v>20.075395790853964</v>
      </c>
      <c r="M61" s="3802">
        <f t="shared" si="10"/>
        <v>20.075395790853964</v>
      </c>
      <c r="N61" s="3802">
        <f>IF(N56="PVL",N59,IF(N59="PVL",N56,MIN(N56,N59)))</f>
        <v>45.780954545454541</v>
      </c>
      <c r="O61" s="3802">
        <f>IF(O56="PVL",O59,IF(O59="PVL",O56,MIN(O56,O59)))</f>
        <v>45.780954545454541</v>
      </c>
      <c r="P61" s="3802">
        <f t="shared" si="10"/>
        <v>9.1561909090909115</v>
      </c>
      <c r="Q61" s="3802">
        <f t="shared" si="10"/>
        <v>9.1561909090909115</v>
      </c>
      <c r="R61" s="3802">
        <f>IF(R56="PVL",R59,IF(R59="PVL",R56,MIN(R56,R59)))</f>
        <v>91.561909090909097</v>
      </c>
      <c r="S61" s="3802">
        <f>IF(S56="PVL",S59,IF(S59="PVL",S56,MIN(S56,S59)))</f>
        <v>3.9809525691699599</v>
      </c>
      <c r="T61" s="3802">
        <f>IF(T56="PVL",T59,IF(T59="PVL",T56,MIN(T56,T59)))</f>
        <v>3.9809525691699599</v>
      </c>
      <c r="U61" s="3802">
        <f t="shared" si="10"/>
        <v>2.1800454545454544</v>
      </c>
      <c r="V61" s="3802">
        <f t="shared" si="10"/>
        <v>261.60545454545451</v>
      </c>
      <c r="W61" s="3802">
        <f t="shared" si="10"/>
        <v>261.60545454545451</v>
      </c>
      <c r="X61" s="3803">
        <f t="shared" si="10"/>
        <v>2.7474192261642125</v>
      </c>
      <c r="Y61" s="3802">
        <f t="shared" si="10"/>
        <v>96.184299750885145</v>
      </c>
      <c r="Z61" s="3802">
        <f t="shared" si="10"/>
        <v>36.624763636363639</v>
      </c>
      <c r="AA61" s="3804">
        <f t="shared" si="10"/>
        <v>98.600352296288179</v>
      </c>
      <c r="AB61" s="3803" t="str">
        <f t="shared" si="10"/>
        <v>PVL</v>
      </c>
      <c r="AC61" s="3802" t="str">
        <f t="shared" si="10"/>
        <v>PVL</v>
      </c>
      <c r="AD61" s="3802" t="str">
        <f t="shared" si="10"/>
        <v>PVL</v>
      </c>
      <c r="AE61" s="3802" t="str">
        <f t="shared" si="10"/>
        <v>PVL</v>
      </c>
      <c r="AF61" s="3802" t="str">
        <f t="shared" si="10"/>
        <v>PVL</v>
      </c>
      <c r="AG61" s="3805" t="str">
        <f t="shared" si="10"/>
        <v>PVL</v>
      </c>
      <c r="AH61" s="3802" t="str">
        <f t="shared" si="10"/>
        <v>PVL</v>
      </c>
      <c r="AI61" s="3802" t="str">
        <f t="shared" si="10"/>
        <v>PVL</v>
      </c>
      <c r="AJ61" s="3802" t="str">
        <f t="shared" si="10"/>
        <v>PVL</v>
      </c>
      <c r="AK61" s="3802" t="str">
        <f t="shared" si="10"/>
        <v>PVL</v>
      </c>
      <c r="AL61" s="3802" t="str">
        <f t="shared" si="10"/>
        <v>PVL</v>
      </c>
      <c r="AM61" s="3804" t="str">
        <f t="shared" si="10"/>
        <v>PVL</v>
      </c>
      <c r="AN61" s="3802">
        <f t="shared" si="10"/>
        <v>13.289972817113433</v>
      </c>
      <c r="AO61" s="3802" t="str">
        <f t="shared" si="10"/>
        <v>PVL</v>
      </c>
      <c r="AP61" s="3802" t="str">
        <f t="shared" si="10"/>
        <v>PVL</v>
      </c>
      <c r="AQ61" s="3802" t="str">
        <f t="shared" si="10"/>
        <v>PVL</v>
      </c>
      <c r="AR61" s="3802" t="str">
        <f t="shared" si="10"/>
        <v>PVL</v>
      </c>
      <c r="AS61" s="3802" t="str">
        <f t="shared" si="10"/>
        <v>PVL</v>
      </c>
      <c r="AT61" s="3802" t="str">
        <f t="shared" si="10"/>
        <v>PVL</v>
      </c>
      <c r="AU61" s="3802" t="str">
        <f t="shared" si="10"/>
        <v>PVL</v>
      </c>
      <c r="AV61" s="3802" t="str">
        <f t="shared" si="10"/>
        <v>PVL</v>
      </c>
      <c r="AW61" s="3802" t="str">
        <f t="shared" si="10"/>
        <v>PVL</v>
      </c>
      <c r="AX61" s="3802" t="str">
        <f t="shared" si="10"/>
        <v>PVL</v>
      </c>
      <c r="AY61" s="3802" t="str">
        <f t="shared" si="10"/>
        <v>PVL</v>
      </c>
      <c r="AZ61" s="3802" t="str">
        <f t="shared" si="10"/>
        <v>PVL</v>
      </c>
      <c r="BA61" s="3802" t="str">
        <f t="shared" si="10"/>
        <v>PVL</v>
      </c>
      <c r="BB61" s="3802" t="str">
        <f t="shared" si="10"/>
        <v>PVL</v>
      </c>
      <c r="BC61" s="3802" t="str">
        <f t="shared" si="10"/>
        <v>PVL</v>
      </c>
      <c r="BD61" s="3803">
        <f t="shared" si="10"/>
        <v>1462.1351057555348</v>
      </c>
      <c r="BE61" s="3802" t="str">
        <f t="shared" si="10"/>
        <v>PVL</v>
      </c>
      <c r="BF61" s="3804" t="str">
        <f t="shared" si="10"/>
        <v>PVL</v>
      </c>
      <c r="BG61" s="3802">
        <f t="shared" si="10"/>
        <v>7.8481636363636371E-3</v>
      </c>
      <c r="BH61" s="3806">
        <f t="shared" si="10"/>
        <v>32.570190666935673</v>
      </c>
      <c r="BI61" s="3802">
        <f t="shared" si="10"/>
        <v>15.176458616958138</v>
      </c>
    </row>
    <row r="62" spans="1:61" s="2193" customFormat="1" hidden="1">
      <c r="A62" s="2191"/>
      <c r="B62" s="2236"/>
      <c r="C62" s="2149"/>
      <c r="D62" s="3808"/>
      <c r="E62" s="3036" t="s">
        <v>660</v>
      </c>
      <c r="F62" s="3784" t="str">
        <f>F60</f>
        <v>Cs</v>
      </c>
      <c r="G62" s="3785" t="str">
        <f>G60</f>
        <v>mg/kg ms</v>
      </c>
      <c r="H62" s="2235">
        <f t="shared" ref="H62:BH62" si="11">IF(H56="PVL",H$10,IF(OR(H$10="PVL",H$10="nd"),H56,MIN(H56,H$10)))</f>
        <v>5181.2716774705141</v>
      </c>
      <c r="I62" s="2235">
        <f t="shared" si="11"/>
        <v>5181.2716774705141</v>
      </c>
      <c r="J62" s="2235">
        <f>IF(J56="PVL",J$10,IF(OR(J$10="PVL",J$10="nd"),J56,MIN(J56,J$10)))</f>
        <v>38758.586675549173</v>
      </c>
      <c r="K62" s="3270">
        <f t="shared" si="11"/>
        <v>6.7474391639365076E-3</v>
      </c>
      <c r="L62" s="2235">
        <f t="shared" si="11"/>
        <v>9.5069987104584891E-2</v>
      </c>
      <c r="M62" s="2235">
        <f t="shared" si="11"/>
        <v>9.5069987104584891E-2</v>
      </c>
      <c r="N62" s="2235">
        <f>IF(N56="PVL",N$10,IF(OR(N$10="PVL",N$10="nd"),N56,MIN(N56,N$10)))</f>
        <v>0.10760591893278754</v>
      </c>
      <c r="O62" s="2235">
        <f>IF(O56="PVL",O$10,IF(OR(O$10="PVL",O$10="nd"),O56,MIN(O56,O$10)))</f>
        <v>0.10760591893278754</v>
      </c>
      <c r="P62" s="2235">
        <f t="shared" si="11"/>
        <v>0.1199562906395495</v>
      </c>
      <c r="Q62" s="2235">
        <f t="shared" si="11"/>
        <v>0.1199562906395495</v>
      </c>
      <c r="R62" s="2235">
        <f>IF(R56="PVL",R$10,IF(OR(R$10="PVL",R$10="nd"),R56,MIN(R56,R$10)))</f>
        <v>0.14151448202581743</v>
      </c>
      <c r="S62" s="2235">
        <f>IF(S56="PVL",S$10,IF(OR(S$10="PVL",S$10="nd"),S56,MIN(S56,S$10)))</f>
        <v>2.0354402069204962E-2</v>
      </c>
      <c r="T62" s="2235">
        <f>IF(T56="PVL",T$10,IF(OR(T$10="PVL",T$10="nd"),T56,MIN(T56,T$10)))</f>
        <v>2.0354402069204962E-2</v>
      </c>
      <c r="U62" s="2235">
        <f t="shared" si="11"/>
        <v>0.22282665960017883</v>
      </c>
      <c r="V62" s="2235">
        <f t="shared" si="11"/>
        <v>0.12300081894181439</v>
      </c>
      <c r="W62" s="2235">
        <f t="shared" si="11"/>
        <v>0.12300081894181439</v>
      </c>
      <c r="X62" s="3270">
        <f t="shared" si="11"/>
        <v>1.754223700777784E-2</v>
      </c>
      <c r="Y62" s="2235">
        <f t="shared" si="11"/>
        <v>1.5601159508858542E-2</v>
      </c>
      <c r="Z62" s="2235">
        <f t="shared" si="11"/>
        <v>2.7467644250260864E-2</v>
      </c>
      <c r="AA62" s="3271">
        <f t="shared" si="11"/>
        <v>1.2461201679065631E-3</v>
      </c>
      <c r="AB62" s="3270">
        <f t="shared" si="11"/>
        <v>6.315727857926912E-3</v>
      </c>
      <c r="AC62" s="2235">
        <f t="shared" si="11"/>
        <v>8.5154918231512226E-3</v>
      </c>
      <c r="AD62" s="2235">
        <f t="shared" si="11"/>
        <v>4.3505584443829494E-2</v>
      </c>
      <c r="AE62" s="2235">
        <f t="shared" si="11"/>
        <v>0.34890349802377557</v>
      </c>
      <c r="AF62" s="2235" t="str">
        <f t="shared" si="11"/>
        <v>PVL</v>
      </c>
      <c r="AG62" s="3786">
        <f t="shared" si="11"/>
        <v>6.29011484708197E-3</v>
      </c>
      <c r="AH62" s="2235">
        <f t="shared" si="11"/>
        <v>4.7819012449342634E-2</v>
      </c>
      <c r="AI62" s="2235">
        <f t="shared" si="11"/>
        <v>9.5103001942881699E-3</v>
      </c>
      <c r="AJ62" s="2235">
        <f t="shared" si="11"/>
        <v>1.5332408405335814E-2</v>
      </c>
      <c r="AK62" s="2235">
        <f t="shared" si="11"/>
        <v>0.37132861944557133</v>
      </c>
      <c r="AL62" s="2235" t="str">
        <f t="shared" si="11"/>
        <v>PVL</v>
      </c>
      <c r="AM62" s="3271" t="str">
        <f t="shared" si="11"/>
        <v>PVL</v>
      </c>
      <c r="AN62" s="2235">
        <f t="shared" si="11"/>
        <v>0.10469744549099785</v>
      </c>
      <c r="AO62" s="2235">
        <f t="shared" si="11"/>
        <v>0.38334241569623678</v>
      </c>
      <c r="AP62" s="2235">
        <f t="shared" si="11"/>
        <v>0.22914151194741517</v>
      </c>
      <c r="AQ62" s="2235">
        <f t="shared" si="11"/>
        <v>0.56590208573839795</v>
      </c>
      <c r="AR62" s="2235">
        <f t="shared" si="11"/>
        <v>2.8264444973650038</v>
      </c>
      <c r="AS62" s="2235" t="str">
        <f t="shared" si="11"/>
        <v>PVL</v>
      </c>
      <c r="AT62" s="2235" t="str">
        <f t="shared" si="11"/>
        <v>PVL</v>
      </c>
      <c r="AU62" s="2235" t="str">
        <f t="shared" si="11"/>
        <v>PVL</v>
      </c>
      <c r="AV62" s="2235" t="str">
        <f t="shared" si="11"/>
        <v>PVL</v>
      </c>
      <c r="AW62" s="2235" t="str">
        <f t="shared" si="11"/>
        <v>PVL</v>
      </c>
      <c r="AX62" s="2235" t="str">
        <f t="shared" si="11"/>
        <v>PVL</v>
      </c>
      <c r="AY62" s="2235" t="str">
        <f t="shared" si="11"/>
        <v>PVL</v>
      </c>
      <c r="AZ62" s="2235" t="str">
        <f t="shared" si="11"/>
        <v>PVL</v>
      </c>
      <c r="BA62" s="2235" t="str">
        <f t="shared" si="11"/>
        <v>PVL</v>
      </c>
      <c r="BB62" s="2235" t="str">
        <f t="shared" si="11"/>
        <v>PVL</v>
      </c>
      <c r="BC62" s="2235" t="str">
        <f t="shared" si="11"/>
        <v>PVL</v>
      </c>
      <c r="BD62" s="3270">
        <f t="shared" si="11"/>
        <v>1.6724525926359499</v>
      </c>
      <c r="BE62" s="2235" t="str">
        <f t="shared" si="11"/>
        <v>nd</v>
      </c>
      <c r="BF62" s="3271" t="str">
        <f t="shared" si="11"/>
        <v>nd</v>
      </c>
      <c r="BG62" s="2235">
        <f t="shared" si="11"/>
        <v>7.8481636363636371E-3</v>
      </c>
      <c r="BH62" s="3273">
        <f t="shared" si="11"/>
        <v>32.570190666935673</v>
      </c>
      <c r="BI62" s="2235"/>
    </row>
    <row r="63" spans="1:61" s="3166" customFormat="1" hidden="1">
      <c r="A63" s="3156"/>
      <c r="B63" s="3155"/>
      <c r="C63" s="2241"/>
      <c r="D63" s="3814"/>
      <c r="E63" s="3815" t="s">
        <v>651</v>
      </c>
      <c r="F63" s="3816"/>
      <c r="G63" s="3801"/>
      <c r="H63" s="762"/>
      <c r="I63" s="762"/>
      <c r="J63" s="530"/>
      <c r="K63" s="761"/>
      <c r="L63" s="762"/>
      <c r="M63" s="762"/>
      <c r="N63" s="530"/>
      <c r="O63" s="530"/>
      <c r="P63" s="530"/>
      <c r="Q63" s="530"/>
      <c r="R63" s="762"/>
      <c r="S63" s="530"/>
      <c r="T63" s="530"/>
      <c r="U63" s="530"/>
      <c r="V63" s="530"/>
      <c r="W63" s="530"/>
      <c r="X63" s="627"/>
      <c r="Y63" s="530"/>
      <c r="Z63" s="530"/>
      <c r="AA63" s="628"/>
      <c r="AB63" s="627"/>
      <c r="AC63" s="530"/>
      <c r="AD63" s="530"/>
      <c r="AE63" s="530"/>
      <c r="AF63" s="530"/>
      <c r="AG63" s="829"/>
      <c r="AH63" s="530"/>
      <c r="AI63" s="530"/>
      <c r="AJ63" s="530"/>
      <c r="AK63" s="530"/>
      <c r="AL63" s="530"/>
      <c r="AM63" s="628"/>
      <c r="AN63" s="530"/>
      <c r="AO63" s="530"/>
      <c r="AP63" s="530"/>
      <c r="AQ63" s="530"/>
      <c r="AR63" s="530"/>
      <c r="AS63" s="530"/>
      <c r="AT63" s="530"/>
      <c r="AU63" s="530"/>
      <c r="AV63" s="530"/>
      <c r="AW63" s="530"/>
      <c r="AX63" s="530"/>
      <c r="AY63" s="530"/>
      <c r="AZ63" s="530"/>
      <c r="BA63" s="530"/>
      <c r="BB63" s="530"/>
      <c r="BC63" s="530"/>
      <c r="BD63" s="627"/>
      <c r="BE63" s="530"/>
      <c r="BF63" s="628"/>
      <c r="BG63" s="530"/>
      <c r="BH63" s="629"/>
      <c r="BI63" s="530"/>
    </row>
    <row r="64" spans="1:61" s="2126" customFormat="1" hidden="1">
      <c r="A64" s="2375"/>
      <c r="B64" s="2156"/>
      <c r="C64" s="276"/>
      <c r="D64" s="3817"/>
      <c r="E64" s="2592" t="s">
        <v>670</v>
      </c>
      <c r="F64" s="2153" t="str">
        <f>F38</f>
        <v>Cs</v>
      </c>
      <c r="G64" s="2154" t="str">
        <f>G38</f>
        <v>mg/kg ms</v>
      </c>
      <c r="H64" s="2155">
        <f>ExpoRisk!H364</f>
        <v>5690.3454864090718</v>
      </c>
      <c r="I64" s="2155">
        <f>ExpoRisk!I364</f>
        <v>5690.3454864090718</v>
      </c>
      <c r="J64" s="2155">
        <f>ExpoRisk!J364</f>
        <v>39274.636760143017</v>
      </c>
      <c r="K64" s="3243">
        <f>ExpoRisk!K364</f>
        <v>14.649905454545456</v>
      </c>
      <c r="L64" s="2155">
        <f>ExpoRisk!L364</f>
        <v>20.132323248857201</v>
      </c>
      <c r="M64" s="2155">
        <f>ExpoRisk!M364</f>
        <v>20.132323248857201</v>
      </c>
      <c r="N64" s="2155">
        <f>ExpoRisk!N364</f>
        <v>52.32109090909092</v>
      </c>
      <c r="O64" s="2155">
        <f>ExpoRisk!O364</f>
        <v>52.32109090909092</v>
      </c>
      <c r="P64" s="2155">
        <f>ExpoRisk!P364</f>
        <v>9.1561909090909115</v>
      </c>
      <c r="Q64" s="2155">
        <f>ExpoRisk!Q364</f>
        <v>9.1561909090909115</v>
      </c>
      <c r="R64" s="2155">
        <f>ExpoRisk!R364</f>
        <v>104.64218181818184</v>
      </c>
      <c r="S64" s="2155">
        <f>ExpoRisk!S364</f>
        <v>19.622229293048235</v>
      </c>
      <c r="T64" s="2155">
        <f>ExpoRisk!T364</f>
        <v>19.622229293048235</v>
      </c>
      <c r="U64" s="2155">
        <f>ExpoRisk!U364</f>
        <v>9.9410072727272745</v>
      </c>
      <c r="V64" s="2155">
        <f>ExpoRisk!V364</f>
        <v>261.60545454545451</v>
      </c>
      <c r="W64" s="2155">
        <f>ExpoRisk!W364</f>
        <v>261.60545454545451</v>
      </c>
      <c r="X64" s="3243">
        <f>ExpoRisk!X364</f>
        <v>2.7540971441360114</v>
      </c>
      <c r="Y64" s="2155">
        <f>ExpoRisk!Y364</f>
        <v>96.479850827950756</v>
      </c>
      <c r="Z64" s="2155">
        <f>ExpoRisk!Z364</f>
        <v>138.10805243123656</v>
      </c>
      <c r="AA64" s="3022">
        <f>ExpoRisk!AA364</f>
        <v>183.12381818181819</v>
      </c>
      <c r="AB64" s="3243">
        <f>ExpoRisk!AB364</f>
        <v>190.69027666341782</v>
      </c>
      <c r="AC64" s="2155">
        <f>ExpoRisk!AC364</f>
        <v>594.14095194269214</v>
      </c>
      <c r="AD64" s="2155">
        <f>ExpoRisk!AD364</f>
        <v>2514.3939910968602</v>
      </c>
      <c r="AE64" s="2155" t="str">
        <f>ExpoRisk!AE364</f>
        <v>PVL</v>
      </c>
      <c r="AF64" s="2155" t="str">
        <f>ExpoRisk!AF364</f>
        <v>PVL</v>
      </c>
      <c r="AG64" s="3721">
        <f>ExpoRisk!AG364</f>
        <v>4813.5403636363644</v>
      </c>
      <c r="AH64" s="2155">
        <f>ExpoRisk!AH364</f>
        <v>4813.5403636363626</v>
      </c>
      <c r="AI64" s="2155">
        <f>ExpoRisk!AI364</f>
        <v>328.70516682074253</v>
      </c>
      <c r="AJ64" s="2155">
        <f>ExpoRisk!AJ364</f>
        <v>833.65178024831619</v>
      </c>
      <c r="AK64" s="2155">
        <f>ExpoRisk!AK364</f>
        <v>2507.8146372372967</v>
      </c>
      <c r="AL64" s="2155" t="str">
        <f>ExpoRisk!AL364</f>
        <v>PVL</v>
      </c>
      <c r="AM64" s="3022" t="str">
        <f>ExpoRisk!AM364</f>
        <v>PVL</v>
      </c>
      <c r="AN64" s="2155">
        <f>ExpoRisk!AN364</f>
        <v>94.022940023479222</v>
      </c>
      <c r="AO64" s="2155" t="str">
        <f>ExpoRisk!AO364</f>
        <v>PVL</v>
      </c>
      <c r="AP64" s="2155" t="str">
        <f>ExpoRisk!AP364</f>
        <v>PVL</v>
      </c>
      <c r="AQ64" s="2155" t="str">
        <f>ExpoRisk!AQ364</f>
        <v>PVL</v>
      </c>
      <c r="AR64" s="2155" t="str">
        <f>ExpoRisk!AR364</f>
        <v>PVL</v>
      </c>
      <c r="AS64" s="2155" t="str">
        <f>ExpoRisk!AS364</f>
        <v>PVL</v>
      </c>
      <c r="AT64" s="2155" t="str">
        <f>ExpoRisk!AT364</f>
        <v>PVL</v>
      </c>
      <c r="AU64" s="2155" t="str">
        <f>ExpoRisk!AU364</f>
        <v>PVL</v>
      </c>
      <c r="AV64" s="2155" t="str">
        <f>ExpoRisk!AV364</f>
        <v>PVL</v>
      </c>
      <c r="AW64" s="2155" t="str">
        <f>ExpoRisk!AW364</f>
        <v>PVL</v>
      </c>
      <c r="AX64" s="2155" t="str">
        <f>ExpoRisk!AX364</f>
        <v>PVL</v>
      </c>
      <c r="AY64" s="2155" t="str">
        <f>ExpoRisk!AY364</f>
        <v>PVL</v>
      </c>
      <c r="AZ64" s="2155" t="str">
        <f>ExpoRisk!AZ364</f>
        <v>PVL</v>
      </c>
      <c r="BA64" s="2155" t="str">
        <f>ExpoRisk!BA364</f>
        <v>PVL</v>
      </c>
      <c r="BB64" s="2155" t="str">
        <f>ExpoRisk!BB364</f>
        <v>PVL</v>
      </c>
      <c r="BC64" s="2155" t="str">
        <f>ExpoRisk!BC364</f>
        <v>PVL</v>
      </c>
      <c r="BD64" s="3243">
        <f>ExpoRisk!BD364</f>
        <v>7508.9004268737363</v>
      </c>
      <c r="BE64" s="2155">
        <f>ExpoRisk!BE364</f>
        <v>46973.285292113309</v>
      </c>
      <c r="BF64" s="3022">
        <f>ExpoRisk!BF364</f>
        <v>93946.570584226618</v>
      </c>
      <c r="BG64" s="3245">
        <f>ExpoRisk!BG364</f>
        <v>7.8481636363636371E-3</v>
      </c>
      <c r="BH64" s="3246">
        <f>ExpoRisk!BH364</f>
        <v>135.39650926614644</v>
      </c>
      <c r="BI64" s="2155">
        <f>ExpoRisk!BI364</f>
        <v>18.519020566978799</v>
      </c>
    </row>
    <row r="65" spans="1:61" s="2126" customFormat="1" hidden="1">
      <c r="A65" s="2375"/>
      <c r="B65" s="2156"/>
      <c r="C65" s="2149"/>
      <c r="D65" s="3818"/>
      <c r="E65" s="2592" t="s">
        <v>671</v>
      </c>
      <c r="F65" s="2153" t="str">
        <f>F64</f>
        <v>Cs</v>
      </c>
      <c r="G65" s="2154" t="str">
        <f>G64</f>
        <v>mg/kg ms</v>
      </c>
      <c r="H65" s="2155" t="str">
        <f>ExpoRisk!H365</f>
        <v>PVL</v>
      </c>
      <c r="I65" s="2155" t="str">
        <f>ExpoRisk!I365</f>
        <v>PVL</v>
      </c>
      <c r="J65" s="2155" t="str">
        <f>ExpoRisk!J365</f>
        <v>PVL</v>
      </c>
      <c r="K65" s="3243">
        <f>ExpoRisk!K365</f>
        <v>91.561909090909097</v>
      </c>
      <c r="L65" s="2155" t="str">
        <f>ExpoRisk!L365</f>
        <v>PVL</v>
      </c>
      <c r="M65" s="2155" t="str">
        <f>ExpoRisk!M365</f>
        <v>PVL</v>
      </c>
      <c r="N65" s="2155">
        <f>ExpoRisk!N365</f>
        <v>45.780954545454541</v>
      </c>
      <c r="O65" s="2155">
        <f>ExpoRisk!O365</f>
        <v>45.780954545454541</v>
      </c>
      <c r="P65" s="2155">
        <f>ExpoRisk!P365</f>
        <v>15.518967642526961</v>
      </c>
      <c r="Q65" s="2155">
        <f>ExpoRisk!Q365</f>
        <v>15.518967642526961</v>
      </c>
      <c r="R65" s="2155">
        <f>ExpoRisk!R365</f>
        <v>91.561909090909097</v>
      </c>
      <c r="S65" s="2155">
        <f>ExpoRisk!S365</f>
        <v>3.9809525691699599</v>
      </c>
      <c r="T65" s="2155">
        <f>ExpoRisk!T365</f>
        <v>3.9809525691699599</v>
      </c>
      <c r="U65" s="2155">
        <f>ExpoRisk!U365</f>
        <v>2.1800454545454544</v>
      </c>
      <c r="V65" s="2155" t="str">
        <f>ExpoRisk!V365</f>
        <v>PVL</v>
      </c>
      <c r="W65" s="2155" t="str">
        <f>ExpoRisk!W365</f>
        <v>PVL</v>
      </c>
      <c r="X65" s="3243">
        <f>ExpoRisk!X365</f>
        <v>15.260318181818182</v>
      </c>
      <c r="Y65" s="2155" t="str">
        <f>ExpoRisk!Y365</f>
        <v>PVL</v>
      </c>
      <c r="Z65" s="2155">
        <f>ExpoRisk!Z365</f>
        <v>36.624763636363639</v>
      </c>
      <c r="AA65" s="3022" t="str">
        <f>ExpoRisk!AA365</f>
        <v>PVL</v>
      </c>
      <c r="AB65" s="3243" t="str">
        <f>ExpoRisk!AB365</f>
        <v>PVL</v>
      </c>
      <c r="AC65" s="2155" t="str">
        <f>ExpoRisk!AC365</f>
        <v>PVL</v>
      </c>
      <c r="AD65" s="2155" t="str">
        <f>ExpoRisk!AD365</f>
        <v>PVL</v>
      </c>
      <c r="AE65" s="2155" t="str">
        <f>ExpoRisk!AE365</f>
        <v>PVL</v>
      </c>
      <c r="AF65" s="2155" t="str">
        <f>ExpoRisk!AF365</f>
        <v>PVL</v>
      </c>
      <c r="AG65" s="3721" t="str">
        <f>ExpoRisk!AG365</f>
        <v>PVL</v>
      </c>
      <c r="AH65" s="2155" t="str">
        <f>ExpoRisk!AH365</f>
        <v>PVL</v>
      </c>
      <c r="AI65" s="2155" t="str">
        <f>ExpoRisk!AI365</f>
        <v>PVL</v>
      </c>
      <c r="AJ65" s="2155" t="str">
        <f>ExpoRisk!AJ365</f>
        <v>PVL</v>
      </c>
      <c r="AK65" s="2155" t="str">
        <f>ExpoRisk!AK365</f>
        <v>PVL</v>
      </c>
      <c r="AL65" s="2155" t="str">
        <f>ExpoRisk!AL365</f>
        <v>PVL</v>
      </c>
      <c r="AM65" s="3022" t="str">
        <f>ExpoRisk!AM365</f>
        <v>PVL</v>
      </c>
      <c r="AN65" s="2155">
        <f>ExpoRisk!AN365</f>
        <v>13.451078987238073</v>
      </c>
      <c r="AO65" s="2155">
        <f>ExpoRisk!AO365</f>
        <v>1152.2612876157891</v>
      </c>
      <c r="AP65" s="2155">
        <f>ExpoRisk!AP365</f>
        <v>798.94040661360282</v>
      </c>
      <c r="AQ65" s="2155">
        <f>ExpoRisk!AQ365</f>
        <v>1672.7914093566708</v>
      </c>
      <c r="AR65" s="2155">
        <f>ExpoRisk!AR365</f>
        <v>7261.8917340915577</v>
      </c>
      <c r="AS65" s="2155">
        <f>ExpoRisk!AS365</f>
        <v>572.805972247721</v>
      </c>
      <c r="AT65" s="2155">
        <f>ExpoRisk!AT365</f>
        <v>82098.620320565518</v>
      </c>
      <c r="AU65" s="2155">
        <f>ExpoRisk!AU365</f>
        <v>85312.787686946293</v>
      </c>
      <c r="AV65" s="2155">
        <f>ExpoRisk!AV365</f>
        <v>6008.0579204945898</v>
      </c>
      <c r="AW65" s="2155">
        <f>ExpoRisk!AW365</f>
        <v>62346.589825332478</v>
      </c>
      <c r="AX65" s="2155">
        <f>ExpoRisk!AX365</f>
        <v>195655.09881076249</v>
      </c>
      <c r="AY65" s="2155">
        <f>ExpoRisk!AY365</f>
        <v>285088.30941608158</v>
      </c>
      <c r="AZ65" s="2155">
        <f>ExpoRisk!AZ365</f>
        <v>42688.391571667926</v>
      </c>
      <c r="BA65" s="2155">
        <f>ExpoRisk!BA365</f>
        <v>272736.66369284561</v>
      </c>
      <c r="BB65" s="2155">
        <f>ExpoRisk!BB365</f>
        <v>1660432.1647527099</v>
      </c>
      <c r="BC65" s="2155" t="str">
        <f>ExpoRisk!BC365</f>
        <v>PVL</v>
      </c>
      <c r="BD65" s="3243" t="str">
        <f>ExpoRisk!BD365</f>
        <v>PVL</v>
      </c>
      <c r="BE65" s="2155">
        <f>ExpoRisk!BE365</f>
        <v>3738.5961473284342</v>
      </c>
      <c r="BF65" s="3022">
        <f>ExpoRisk!BF365</f>
        <v>7477.1922946568684</v>
      </c>
      <c r="BG65" s="2155" t="str">
        <f>ExpoRisk!BG365</f>
        <v>PVL</v>
      </c>
      <c r="BH65" s="3246" t="str">
        <f>ExpoRisk!BH365</f>
        <v>PVL</v>
      </c>
      <c r="BI65" s="2155" t="str">
        <f>ExpoRisk!BI365</f>
        <v>PVL</v>
      </c>
    </row>
    <row r="66" spans="1:61" s="2126" customFormat="1" hidden="1">
      <c r="A66" s="2242"/>
      <c r="B66" s="2156"/>
      <c r="C66" s="2149"/>
      <c r="D66" s="3818"/>
      <c r="E66" s="2592" t="s">
        <v>672</v>
      </c>
      <c r="F66" s="2153" t="str">
        <f>F65</f>
        <v>Cs</v>
      </c>
      <c r="G66" s="2154" t="str">
        <f>G65</f>
        <v>mg/kg ms</v>
      </c>
      <c r="H66" s="2155">
        <f>ExpoRisk!H366</f>
        <v>5690.3454864090718</v>
      </c>
      <c r="I66" s="2155">
        <f>ExpoRisk!I366</f>
        <v>5690.3454864090718</v>
      </c>
      <c r="J66" s="2155">
        <f>ExpoRisk!J366</f>
        <v>39274.636760143017</v>
      </c>
      <c r="K66" s="3243">
        <f>ExpoRisk!K366</f>
        <v>14.649905454545456</v>
      </c>
      <c r="L66" s="2155">
        <f>ExpoRisk!L366</f>
        <v>20.132323248857201</v>
      </c>
      <c r="M66" s="2155">
        <f>ExpoRisk!M366</f>
        <v>20.132323248857201</v>
      </c>
      <c r="N66" s="2155">
        <f>ExpoRisk!N366</f>
        <v>45.780954545454541</v>
      </c>
      <c r="O66" s="2155">
        <f>ExpoRisk!O366</f>
        <v>45.780954545454541</v>
      </c>
      <c r="P66" s="2155">
        <f>ExpoRisk!P366</f>
        <v>9.1561909090909115</v>
      </c>
      <c r="Q66" s="2155">
        <f>ExpoRisk!Q366</f>
        <v>9.1561909090909115</v>
      </c>
      <c r="R66" s="2155">
        <f>ExpoRisk!R366</f>
        <v>91.561909090909097</v>
      </c>
      <c r="S66" s="2155">
        <f>ExpoRisk!S366</f>
        <v>3.9809525691699599</v>
      </c>
      <c r="T66" s="2155">
        <f>ExpoRisk!T366</f>
        <v>3.9809525691699599</v>
      </c>
      <c r="U66" s="2155">
        <f>ExpoRisk!U366</f>
        <v>2.1800454545454544</v>
      </c>
      <c r="V66" s="2155">
        <f>ExpoRisk!V366</f>
        <v>261.60545454545451</v>
      </c>
      <c r="W66" s="2155">
        <f>ExpoRisk!W366</f>
        <v>261.60545454545451</v>
      </c>
      <c r="X66" s="3243">
        <f>ExpoRisk!X366</f>
        <v>2.7540971441360114</v>
      </c>
      <c r="Y66" s="2155">
        <f>ExpoRisk!Y366</f>
        <v>96.479850827950756</v>
      </c>
      <c r="Z66" s="2155">
        <f>ExpoRisk!Z366</f>
        <v>36.624763636363639</v>
      </c>
      <c r="AA66" s="3022">
        <f>ExpoRisk!AA366</f>
        <v>183.12381818181819</v>
      </c>
      <c r="AB66" s="3243">
        <f>ExpoRisk!AB366</f>
        <v>190.69027666341782</v>
      </c>
      <c r="AC66" s="2155">
        <f>ExpoRisk!AC366</f>
        <v>594.14095194269214</v>
      </c>
      <c r="AD66" s="2155">
        <f>ExpoRisk!AD366</f>
        <v>2514.3939910968602</v>
      </c>
      <c r="AE66" s="2155" t="str">
        <f>ExpoRisk!AE366</f>
        <v>PVL</v>
      </c>
      <c r="AF66" s="2155" t="str">
        <f>ExpoRisk!AF366</f>
        <v>PVL</v>
      </c>
      <c r="AG66" s="3721">
        <f>ExpoRisk!AG366</f>
        <v>4813.5403636363644</v>
      </c>
      <c r="AH66" s="2155">
        <f>ExpoRisk!AH366</f>
        <v>4813.5403636363626</v>
      </c>
      <c r="AI66" s="2155">
        <f>ExpoRisk!AI366</f>
        <v>328.70516682074253</v>
      </c>
      <c r="AJ66" s="2155">
        <f>ExpoRisk!AJ366</f>
        <v>833.65178024831619</v>
      </c>
      <c r="AK66" s="2155">
        <f>ExpoRisk!AK366</f>
        <v>2507.8146372372967</v>
      </c>
      <c r="AL66" s="2155" t="str">
        <f>ExpoRisk!AL366</f>
        <v>PVL</v>
      </c>
      <c r="AM66" s="3022" t="str">
        <f>ExpoRisk!AM366</f>
        <v>PVL</v>
      </c>
      <c r="AN66" s="2155">
        <f>ExpoRisk!AN366</f>
        <v>13.451078987238073</v>
      </c>
      <c r="AO66" s="2155">
        <f>ExpoRisk!AO366</f>
        <v>1152.2612876157891</v>
      </c>
      <c r="AP66" s="2155">
        <f>ExpoRisk!AP366</f>
        <v>798.94040661360282</v>
      </c>
      <c r="AQ66" s="2155">
        <f>ExpoRisk!AQ366</f>
        <v>1672.7914093566708</v>
      </c>
      <c r="AR66" s="2155">
        <f>ExpoRisk!AR366</f>
        <v>7261.8917340915577</v>
      </c>
      <c r="AS66" s="2155">
        <f>ExpoRisk!AS366</f>
        <v>572.805972247721</v>
      </c>
      <c r="AT66" s="2155">
        <f>ExpoRisk!AT366</f>
        <v>82098.620320565518</v>
      </c>
      <c r="AU66" s="2155">
        <f>ExpoRisk!AU366</f>
        <v>85312.787686946293</v>
      </c>
      <c r="AV66" s="2155">
        <f>ExpoRisk!AV366</f>
        <v>6008.0579204945898</v>
      </c>
      <c r="AW66" s="2155">
        <f>ExpoRisk!AW366</f>
        <v>62346.589825332478</v>
      </c>
      <c r="AX66" s="2155">
        <f>ExpoRisk!AX366</f>
        <v>195655.09881076249</v>
      </c>
      <c r="AY66" s="2155">
        <f>ExpoRisk!AY366</f>
        <v>285088.30941608158</v>
      </c>
      <c r="AZ66" s="2155">
        <f>ExpoRisk!AZ366</f>
        <v>42688.391571667926</v>
      </c>
      <c r="BA66" s="2155">
        <f>ExpoRisk!BA366</f>
        <v>272736.66369284561</v>
      </c>
      <c r="BB66" s="2155">
        <f>ExpoRisk!BB366</f>
        <v>1660432.1647527099</v>
      </c>
      <c r="BC66" s="2155" t="str">
        <f>ExpoRisk!BC366</f>
        <v>PVL</v>
      </c>
      <c r="BD66" s="3243">
        <f>ExpoRisk!BD366</f>
        <v>7508.9004268737363</v>
      </c>
      <c r="BE66" s="2155">
        <f>ExpoRisk!BE366</f>
        <v>3738.5961473284342</v>
      </c>
      <c r="BF66" s="3022">
        <f>ExpoRisk!BF366</f>
        <v>7477.1922946568684</v>
      </c>
      <c r="BG66" s="2155">
        <f>ExpoRisk!BG366</f>
        <v>7.8481636363636371E-3</v>
      </c>
      <c r="BH66" s="3246">
        <f>ExpoRisk!BH366</f>
        <v>135.39650926614644</v>
      </c>
      <c r="BI66" s="2155">
        <f>ExpoRisk!BI366</f>
        <v>18.519020566978799</v>
      </c>
    </row>
    <row r="67" spans="1:61" s="3807" customFormat="1" hidden="1">
      <c r="A67" s="3795"/>
      <c r="B67" s="3796"/>
      <c r="C67" s="3797"/>
      <c r="D67" s="3798"/>
      <c r="E67" s="3799" t="s">
        <v>985</v>
      </c>
      <c r="F67" s="3800" t="s">
        <v>19</v>
      </c>
      <c r="G67" s="3801" t="s">
        <v>20</v>
      </c>
      <c r="H67" s="3802">
        <f>ExpoRisk!H367</f>
        <v>5690.3454864090718</v>
      </c>
      <c r="I67" s="3802">
        <f>ExpoRisk!I367</f>
        <v>5690.3454864090718</v>
      </c>
      <c r="J67" s="3802">
        <f>ExpoRisk!J367</f>
        <v>39274.636760143017</v>
      </c>
      <c r="K67" s="3803">
        <f>ExpoRisk!K367</f>
        <v>14.649905454545456</v>
      </c>
      <c r="L67" s="3802">
        <f>ExpoRisk!L367</f>
        <v>20.132323248857201</v>
      </c>
      <c r="M67" s="3802">
        <f>ExpoRisk!M367</f>
        <v>20.132323248857201</v>
      </c>
      <c r="N67" s="3802">
        <f>ExpoRisk!N367</f>
        <v>45.780954545454541</v>
      </c>
      <c r="O67" s="3802">
        <f>ExpoRisk!O367</f>
        <v>45.780954545454541</v>
      </c>
      <c r="P67" s="3802">
        <f>ExpoRisk!P367</f>
        <v>9.1561909090909115</v>
      </c>
      <c r="Q67" s="3802">
        <f>ExpoRisk!Q367</f>
        <v>9.1561909090909115</v>
      </c>
      <c r="R67" s="3802">
        <f>ExpoRisk!R367</f>
        <v>91.561909090909097</v>
      </c>
      <c r="S67" s="3802">
        <f>ExpoRisk!S367</f>
        <v>3.9809525691699599</v>
      </c>
      <c r="T67" s="3802">
        <f>ExpoRisk!T367</f>
        <v>3.9809525691699599</v>
      </c>
      <c r="U67" s="3802">
        <f>ExpoRisk!U367</f>
        <v>2.1800454545454544</v>
      </c>
      <c r="V67" s="3802">
        <f>ExpoRisk!V367</f>
        <v>261.60545454545451</v>
      </c>
      <c r="W67" s="3802">
        <f>ExpoRisk!W367</f>
        <v>261.60545454545451</v>
      </c>
      <c r="X67" s="3803">
        <f>ExpoRisk!X367</f>
        <v>2.7540971441360114</v>
      </c>
      <c r="Y67" s="3802">
        <f>ExpoRisk!Y367</f>
        <v>96.479850827950756</v>
      </c>
      <c r="Z67" s="3802">
        <f>ExpoRisk!Z367</f>
        <v>36.624763636363639</v>
      </c>
      <c r="AA67" s="3804" t="str">
        <f>ExpoRisk!AA367</f>
        <v>PVL</v>
      </c>
      <c r="AB67" s="3803" t="str">
        <f>ExpoRisk!AB367</f>
        <v>PVL</v>
      </c>
      <c r="AC67" s="3802" t="str">
        <f>ExpoRisk!AC367</f>
        <v>PVL</v>
      </c>
      <c r="AD67" s="3802" t="str">
        <f>ExpoRisk!AD367</f>
        <v>PVL</v>
      </c>
      <c r="AE67" s="3802" t="str">
        <f>ExpoRisk!AE367</f>
        <v>PVL</v>
      </c>
      <c r="AF67" s="3802" t="str">
        <f>ExpoRisk!AF367</f>
        <v>PVL</v>
      </c>
      <c r="AG67" s="3805" t="str">
        <f>ExpoRisk!AG367</f>
        <v>PVL</v>
      </c>
      <c r="AH67" s="3802" t="str">
        <f>ExpoRisk!AH367</f>
        <v>PVL</v>
      </c>
      <c r="AI67" s="3802" t="str">
        <f>ExpoRisk!AI367</f>
        <v>PVL</v>
      </c>
      <c r="AJ67" s="3802" t="str">
        <f>ExpoRisk!AJ367</f>
        <v>PVL</v>
      </c>
      <c r="AK67" s="3802" t="str">
        <f>ExpoRisk!AK367</f>
        <v>PVL</v>
      </c>
      <c r="AL67" s="3802" t="str">
        <f>ExpoRisk!AL367</f>
        <v>PVL</v>
      </c>
      <c r="AM67" s="3804" t="str">
        <f>ExpoRisk!AM367</f>
        <v>PVL</v>
      </c>
      <c r="AN67" s="3802">
        <f>ExpoRisk!AN367</f>
        <v>13.451078987238073</v>
      </c>
      <c r="AO67" s="3802" t="str">
        <f>ExpoRisk!AO367</f>
        <v>PVL</v>
      </c>
      <c r="AP67" s="3802" t="str">
        <f>ExpoRisk!AP367</f>
        <v>PVL</v>
      </c>
      <c r="AQ67" s="3802" t="str">
        <f>ExpoRisk!AQ367</f>
        <v>PVL</v>
      </c>
      <c r="AR67" s="3802" t="str">
        <f>ExpoRisk!AR367</f>
        <v>PVL</v>
      </c>
      <c r="AS67" s="3802" t="str">
        <f>ExpoRisk!AS367</f>
        <v>PVL</v>
      </c>
      <c r="AT67" s="3802" t="str">
        <f>ExpoRisk!AT367</f>
        <v>PVL</v>
      </c>
      <c r="AU67" s="3802" t="str">
        <f>ExpoRisk!AU367</f>
        <v>PVL</v>
      </c>
      <c r="AV67" s="3802" t="str">
        <f>ExpoRisk!AV367</f>
        <v>PVL</v>
      </c>
      <c r="AW67" s="3802" t="str">
        <f>ExpoRisk!AW367</f>
        <v>PVL</v>
      </c>
      <c r="AX67" s="3802" t="str">
        <f>ExpoRisk!AX367</f>
        <v>PVL</v>
      </c>
      <c r="AY67" s="3802" t="str">
        <f>ExpoRisk!AY367</f>
        <v>PVL</v>
      </c>
      <c r="AZ67" s="3802" t="str">
        <f>ExpoRisk!AZ367</f>
        <v>PVL</v>
      </c>
      <c r="BA67" s="3802" t="str">
        <f>ExpoRisk!BA367</f>
        <v>PVL</v>
      </c>
      <c r="BB67" s="3802" t="str">
        <f>ExpoRisk!BB367</f>
        <v>PVL</v>
      </c>
      <c r="BC67" s="3802" t="str">
        <f>ExpoRisk!BC367</f>
        <v>PVL</v>
      </c>
      <c r="BD67" s="3803">
        <f>ExpoRisk!BD367</f>
        <v>7508.9004268737363</v>
      </c>
      <c r="BE67" s="3802" t="str">
        <f>ExpoRisk!BE367</f>
        <v>PVL</v>
      </c>
      <c r="BF67" s="3804" t="str">
        <f>ExpoRisk!BF367</f>
        <v>PVL</v>
      </c>
      <c r="BG67" s="3802">
        <f>ExpoRisk!BG367</f>
        <v>7.8481636363636371E-3</v>
      </c>
      <c r="BH67" s="3806">
        <f>ExpoRisk!BH367</f>
        <v>135.39650926614644</v>
      </c>
      <c r="BI67" s="3802">
        <f>ExpoRisk!BI367</f>
        <v>18.519020566978799</v>
      </c>
    </row>
    <row r="68" spans="1:61" s="3744" customFormat="1" hidden="1">
      <c r="A68" s="3734"/>
      <c r="B68" s="3735"/>
      <c r="C68" s="2241"/>
      <c r="D68" s="3814"/>
      <c r="E68" s="3736" t="s">
        <v>476</v>
      </c>
      <c r="F68" s="3737" t="s">
        <v>93</v>
      </c>
      <c r="G68" s="3738" t="s">
        <v>24</v>
      </c>
      <c r="H68" s="3739">
        <f>ExpoRisk!H368</f>
        <v>14991.167096882198</v>
      </c>
      <c r="I68" s="3739">
        <f>ExpoRisk!I368</f>
        <v>14991.167096882198</v>
      </c>
      <c r="J68" s="3739">
        <f>ExpoRisk!J368</f>
        <v>679241.69246203406</v>
      </c>
      <c r="K68" s="3740">
        <f>ExpoRisk!K368</f>
        <v>56450.681890396372</v>
      </c>
      <c r="L68" s="3739">
        <f>ExpoRisk!L368</f>
        <v>14504.108143662152</v>
      </c>
      <c r="M68" s="3739">
        <f>ExpoRisk!M368</f>
        <v>14504.108143662152</v>
      </c>
      <c r="N68" s="3739">
        <f>ExpoRisk!N368</f>
        <v>65051.551562152286</v>
      </c>
      <c r="O68" s="3739">
        <f>ExpoRisk!O368</f>
        <v>65051.551562152286</v>
      </c>
      <c r="P68" s="3739">
        <f>ExpoRisk!P368</f>
        <v>14203.890281984883</v>
      </c>
      <c r="Q68" s="3739">
        <f>ExpoRisk!Q368</f>
        <v>14203.890281984883</v>
      </c>
      <c r="R68" s="3739">
        <f>ExpoRisk!R368</f>
        <v>57095.741629831115</v>
      </c>
      <c r="S68" s="3739">
        <f>ExpoRisk!S368</f>
        <v>2328.9496685225176</v>
      </c>
      <c r="T68" s="3739">
        <f>ExpoRisk!T368</f>
        <v>2328.9496685225176</v>
      </c>
      <c r="U68" s="3739">
        <f>ExpoRisk!U368</f>
        <v>6004.4201216823349</v>
      </c>
      <c r="V68" s="3739">
        <f>ExpoRisk!V368</f>
        <v>1179365.3413826337</v>
      </c>
      <c r="W68" s="3739">
        <f>ExpoRisk!W368</f>
        <v>1179365.3413826337</v>
      </c>
      <c r="X68" s="3740">
        <f>ExpoRisk!X368</f>
        <v>2381.8991469266603</v>
      </c>
      <c r="Y68" s="3739">
        <f>ExpoRisk!Y368</f>
        <v>57829.694336598361</v>
      </c>
      <c r="Z68" s="3739">
        <f>ExpoRisk!Z368</f>
        <v>13000.799391486573</v>
      </c>
      <c r="AA68" s="3741" t="str">
        <f>ExpoRisk!AA368</f>
        <v>PVL</v>
      </c>
      <c r="AB68" s="3740" t="str">
        <f>ExpoRisk!AB368</f>
        <v>PVL</v>
      </c>
      <c r="AC68" s="3739" t="str">
        <f>ExpoRisk!AC368</f>
        <v>PVL</v>
      </c>
      <c r="AD68" s="3739" t="str">
        <f>ExpoRisk!AD368</f>
        <v>PVL</v>
      </c>
      <c r="AE68" s="3739" t="str">
        <f>ExpoRisk!AE368</f>
        <v>PVL</v>
      </c>
      <c r="AF68" s="3739" t="str">
        <f>ExpoRisk!AF368</f>
        <v>PVL</v>
      </c>
      <c r="AG68" s="3742" t="str">
        <f>ExpoRisk!AG368</f>
        <v>PVL</v>
      </c>
      <c r="AH68" s="3739" t="str">
        <f>ExpoRisk!AH368</f>
        <v>PVL</v>
      </c>
      <c r="AI68" s="3739" t="str">
        <f>ExpoRisk!AI368</f>
        <v>PVL</v>
      </c>
      <c r="AJ68" s="3739" t="str">
        <f>ExpoRisk!AJ368</f>
        <v>PVL</v>
      </c>
      <c r="AK68" s="3739" t="str">
        <f>ExpoRisk!AK368</f>
        <v>PVL</v>
      </c>
      <c r="AL68" s="3739" t="str">
        <f>ExpoRisk!AL368</f>
        <v>PVL</v>
      </c>
      <c r="AM68" s="3741" t="str">
        <f>ExpoRisk!AM368</f>
        <v>PVL</v>
      </c>
      <c r="AN68" s="3739">
        <f>ExpoRisk!AN368</f>
        <v>57.496724412260626</v>
      </c>
      <c r="AO68" s="3739" t="str">
        <f>ExpoRisk!AO368</f>
        <v>PVL</v>
      </c>
      <c r="AP68" s="3739" t="str">
        <f>ExpoRisk!AP368</f>
        <v>PVL</v>
      </c>
      <c r="AQ68" s="3739" t="str">
        <f>ExpoRisk!AQ368</f>
        <v>PVL</v>
      </c>
      <c r="AR68" s="3739" t="str">
        <f>ExpoRisk!AR368</f>
        <v>PVL</v>
      </c>
      <c r="AS68" s="3739" t="str">
        <f>ExpoRisk!AS368</f>
        <v>PVL</v>
      </c>
      <c r="AT68" s="3739" t="str">
        <f>ExpoRisk!AT368</f>
        <v>PVL</v>
      </c>
      <c r="AU68" s="3739" t="str">
        <f>ExpoRisk!AU368</f>
        <v>PVL</v>
      </c>
      <c r="AV68" s="3739" t="str">
        <f>ExpoRisk!AV368</f>
        <v>PVL</v>
      </c>
      <c r="AW68" s="3739" t="str">
        <f>ExpoRisk!AW368</f>
        <v>PVL</v>
      </c>
      <c r="AX68" s="3739" t="str">
        <f>ExpoRisk!AX368</f>
        <v>PVL</v>
      </c>
      <c r="AY68" s="3739" t="str">
        <f>ExpoRisk!AY368</f>
        <v>PVL</v>
      </c>
      <c r="AZ68" s="3739" t="str">
        <f>ExpoRisk!AZ368</f>
        <v>PVL</v>
      </c>
      <c r="BA68" s="3739" t="str">
        <f>ExpoRisk!BA368</f>
        <v>PVL</v>
      </c>
      <c r="BB68" s="3739" t="str">
        <f>ExpoRisk!BB368</f>
        <v>PVL</v>
      </c>
      <c r="BC68" s="3739" t="str">
        <f>ExpoRisk!BC368</f>
        <v>PVL</v>
      </c>
      <c r="BD68" s="3740">
        <f>ExpoRisk!BD368</f>
        <v>702.43626748721829</v>
      </c>
      <c r="BE68" s="3739" t="str">
        <f>ExpoRisk!BE368</f>
        <v>PVL</v>
      </c>
      <c r="BF68" s="3741" t="str">
        <f>ExpoRisk!BF368</f>
        <v>PVL</v>
      </c>
      <c r="BG68" s="3739" t="str">
        <f>ExpoRisk!BG368</f>
        <v>Saturation</v>
      </c>
      <c r="BH68" s="3743">
        <f>ExpoRisk!BH368</f>
        <v>16.843045312068906</v>
      </c>
      <c r="BI68" s="3739">
        <f>ExpoRisk!BI368</f>
        <v>17.824805297485074</v>
      </c>
    </row>
    <row r="69" spans="1:61" s="3754" customFormat="1" hidden="1">
      <c r="A69" s="3745"/>
      <c r="B69" s="2125"/>
      <c r="C69" s="3746"/>
      <c r="D69" s="3819"/>
      <c r="E69" s="3748" t="s">
        <v>953</v>
      </c>
      <c r="F69" s="3749" t="s">
        <v>19</v>
      </c>
      <c r="G69" s="3750" t="s">
        <v>20</v>
      </c>
      <c r="H69" s="3751" t="str">
        <f>ExpoRisk!H325</f>
        <v>PVL</v>
      </c>
      <c r="I69" s="3751" t="str">
        <f>ExpoRisk!I325</f>
        <v>PVL</v>
      </c>
      <c r="J69" s="3751" t="str">
        <f>ExpoRisk!J325</f>
        <v>PVL</v>
      </c>
      <c r="K69" s="3752">
        <f>ExpoRisk!K325</f>
        <v>184.06701711401058</v>
      </c>
      <c r="L69" s="3751" t="str">
        <f>ExpoRisk!L325</f>
        <v>PVL</v>
      </c>
      <c r="M69" s="3751" t="str">
        <f>ExpoRisk!M325</f>
        <v>PVL</v>
      </c>
      <c r="N69" s="3751" t="str">
        <f>ExpoRisk!N325</f>
        <v>PVL</v>
      </c>
      <c r="O69" s="3751" t="str">
        <f>ExpoRisk!O325</f>
        <v>PVL</v>
      </c>
      <c r="P69" s="3751" t="str">
        <f>ExpoRisk!P325</f>
        <v>PVL</v>
      </c>
      <c r="Q69" s="3751" t="str">
        <f>ExpoRisk!Q325</f>
        <v>PVL</v>
      </c>
      <c r="R69" s="3751">
        <f>ExpoRisk!R325</f>
        <v>401.18397439647504</v>
      </c>
      <c r="S69" s="3751">
        <f>ExpoRisk!S325</f>
        <v>565.9367180145731</v>
      </c>
      <c r="T69" s="3751">
        <f>ExpoRisk!T325</f>
        <v>565.9367180145731</v>
      </c>
      <c r="U69" s="3751" t="str">
        <f>ExpoRisk!U325</f>
        <v>PVL</v>
      </c>
      <c r="V69" s="3751" t="str">
        <f>ExpoRisk!V325</f>
        <v>PVL</v>
      </c>
      <c r="W69" s="3751" t="str">
        <f>ExpoRisk!W325</f>
        <v>PVL</v>
      </c>
      <c r="X69" s="3752" t="str">
        <f>ExpoRisk!X325</f>
        <v>PVL</v>
      </c>
      <c r="Y69" s="3751" t="str">
        <f>ExpoRisk!Y325</f>
        <v>PVL</v>
      </c>
      <c r="Z69" s="3751" t="str">
        <f>ExpoRisk!Z325</f>
        <v>PVL</v>
      </c>
      <c r="AA69" s="3246">
        <f>ExpoRisk!AA325</f>
        <v>53.382512969427161</v>
      </c>
      <c r="AB69" s="3752" t="str">
        <f>ExpoRisk!AB325</f>
        <v>PVL</v>
      </c>
      <c r="AC69" s="3751" t="str">
        <f>ExpoRisk!AC325</f>
        <v>PVL</v>
      </c>
      <c r="AD69" s="3751" t="str">
        <f>ExpoRisk!AD325</f>
        <v>PVL</v>
      </c>
      <c r="AE69" s="3751" t="str">
        <f>ExpoRisk!AE325</f>
        <v>PVL</v>
      </c>
      <c r="AF69" s="3751" t="str">
        <f>ExpoRisk!AF325</f>
        <v>PVL</v>
      </c>
      <c r="AG69" s="3753" t="str">
        <f>ExpoRisk!AG325</f>
        <v>PVL</v>
      </c>
      <c r="AH69" s="3751" t="str">
        <f>ExpoRisk!AH325</f>
        <v>PVL</v>
      </c>
      <c r="AI69" s="3751" t="str">
        <f>ExpoRisk!AI325</f>
        <v>PVL</v>
      </c>
      <c r="AJ69" s="3751" t="str">
        <f>ExpoRisk!AJ325</f>
        <v>PVL</v>
      </c>
      <c r="AK69" s="3751" t="str">
        <f>ExpoRisk!AK325</f>
        <v>PVL</v>
      </c>
      <c r="AL69" s="3751" t="str">
        <f>ExpoRisk!AL325</f>
        <v>PVL</v>
      </c>
      <c r="AM69" s="3246" t="str">
        <f>ExpoRisk!AM325</f>
        <v>PVL</v>
      </c>
      <c r="AN69" s="3751" t="str">
        <f>ExpoRisk!AN325</f>
        <v>PVL</v>
      </c>
      <c r="AO69" s="3751" t="str">
        <f>ExpoRisk!AO325</f>
        <v>PVL</v>
      </c>
      <c r="AP69" s="3751" t="str">
        <f>ExpoRisk!AP325</f>
        <v>PVL</v>
      </c>
      <c r="AQ69" s="3751" t="str">
        <f>ExpoRisk!AQ325</f>
        <v>PVL</v>
      </c>
      <c r="AR69" s="3751" t="str">
        <f>ExpoRisk!AR325</f>
        <v>PVL</v>
      </c>
      <c r="AS69" s="3751" t="str">
        <f>ExpoRisk!AS325</f>
        <v>PVL</v>
      </c>
      <c r="AT69" s="3751" t="str">
        <f>ExpoRisk!AT325</f>
        <v>PVL</v>
      </c>
      <c r="AU69" s="3751" t="str">
        <f>ExpoRisk!AU325</f>
        <v>PVL</v>
      </c>
      <c r="AV69" s="3751" t="str">
        <f>ExpoRisk!AV325</f>
        <v>PVL</v>
      </c>
      <c r="AW69" s="3751" t="str">
        <f>ExpoRisk!AW325</f>
        <v>PVL</v>
      </c>
      <c r="AX69" s="3751" t="str">
        <f>ExpoRisk!AX325</f>
        <v>PVL</v>
      </c>
      <c r="AY69" s="3751" t="str">
        <f>ExpoRisk!AY325</f>
        <v>PVL</v>
      </c>
      <c r="AZ69" s="3751" t="str">
        <f>ExpoRisk!AZ325</f>
        <v>PVL</v>
      </c>
      <c r="BA69" s="3751" t="str">
        <f>ExpoRisk!BA325</f>
        <v>PVL</v>
      </c>
      <c r="BB69" s="3751" t="str">
        <f>ExpoRisk!BB325</f>
        <v>PVL</v>
      </c>
      <c r="BC69" s="3751" t="str">
        <f>ExpoRisk!BC325</f>
        <v>PVL</v>
      </c>
      <c r="BD69" s="3752" t="str">
        <f>ExpoRisk!BD325</f>
        <v>PVL</v>
      </c>
      <c r="BE69" s="3751" t="str">
        <f>ExpoRisk!BE325</f>
        <v>PVL</v>
      </c>
      <c r="BF69" s="3246" t="str">
        <f>ExpoRisk!BF325</f>
        <v>PVL</v>
      </c>
      <c r="BG69" s="3751" t="str">
        <f>ExpoRisk!BG325</f>
        <v>nd</v>
      </c>
      <c r="BH69" s="3246" t="str">
        <f>ExpoRisk!BH325</f>
        <v>PVL</v>
      </c>
      <c r="BI69" s="3751" t="str">
        <f>ExpoRisk!BI325</f>
        <v>PVL</v>
      </c>
    </row>
    <row r="70" spans="1:61" s="3754" customFormat="1" hidden="1">
      <c r="A70" s="3745"/>
      <c r="B70" s="2125"/>
      <c r="C70" s="3746"/>
      <c r="D70" s="3819"/>
      <c r="E70" s="3748" t="s">
        <v>983</v>
      </c>
      <c r="F70" s="3749" t="s">
        <v>19</v>
      </c>
      <c r="G70" s="3750" t="s">
        <v>20</v>
      </c>
      <c r="H70" s="3751" t="str">
        <f>ExpoRisk!H332</f>
        <v>PVL</v>
      </c>
      <c r="I70" s="3751" t="str">
        <f>ExpoRisk!I332</f>
        <v>PVL</v>
      </c>
      <c r="J70" s="3751" t="str">
        <f>ExpoRisk!J332</f>
        <v>PVL</v>
      </c>
      <c r="K70" s="3752" t="str">
        <f>ExpoRisk!K332</f>
        <v>PVL</v>
      </c>
      <c r="L70" s="3751" t="str">
        <f>ExpoRisk!L332</f>
        <v>PVL</v>
      </c>
      <c r="M70" s="3751" t="str">
        <f>ExpoRisk!M332</f>
        <v>PVL</v>
      </c>
      <c r="N70" s="3751" t="str">
        <f>ExpoRisk!N332</f>
        <v>PVL</v>
      </c>
      <c r="O70" s="3751" t="str">
        <f>ExpoRisk!O332</f>
        <v>PVL</v>
      </c>
      <c r="P70" s="3751" t="str">
        <f>ExpoRisk!P332</f>
        <v>PVL</v>
      </c>
      <c r="Q70" s="3751" t="str">
        <f>ExpoRisk!Q332</f>
        <v>PVL</v>
      </c>
      <c r="R70" s="3751" t="str">
        <f>ExpoRisk!R332</f>
        <v>PVL</v>
      </c>
      <c r="S70" s="3751">
        <f>ExpoRisk!S332</f>
        <v>1713.9119716597693</v>
      </c>
      <c r="T70" s="3751">
        <f>ExpoRisk!T332</f>
        <v>1713.9119716597693</v>
      </c>
      <c r="U70" s="3751" t="str">
        <f>ExpoRisk!U332</f>
        <v>PVL</v>
      </c>
      <c r="V70" s="3751" t="str">
        <f>ExpoRisk!V332</f>
        <v>PVL</v>
      </c>
      <c r="W70" s="3751" t="str">
        <f>ExpoRisk!W332</f>
        <v>PVL</v>
      </c>
      <c r="X70" s="3752" t="str">
        <f>ExpoRisk!X332</f>
        <v>PVL</v>
      </c>
      <c r="Y70" s="3751" t="str">
        <f>ExpoRisk!Y332</f>
        <v>PVL</v>
      </c>
      <c r="Z70" s="3751" t="str">
        <f>ExpoRisk!Z332</f>
        <v>PVL</v>
      </c>
      <c r="AA70" s="3246">
        <f>ExpoRisk!AA332</f>
        <v>99.757028297340199</v>
      </c>
      <c r="AB70" s="3752" t="str">
        <f>ExpoRisk!AB332</f>
        <v>PVL</v>
      </c>
      <c r="AC70" s="3751" t="str">
        <f>ExpoRisk!AC332</f>
        <v>PVL</v>
      </c>
      <c r="AD70" s="3751" t="str">
        <f>ExpoRisk!AD332</f>
        <v>PVL</v>
      </c>
      <c r="AE70" s="3751" t="str">
        <f>ExpoRisk!AE332</f>
        <v>PVL</v>
      </c>
      <c r="AF70" s="3751" t="str">
        <f>ExpoRisk!AF332</f>
        <v>PVL</v>
      </c>
      <c r="AG70" s="3753" t="str">
        <f>ExpoRisk!AG332</f>
        <v>PVL</v>
      </c>
      <c r="AH70" s="3751" t="str">
        <f>ExpoRisk!AH332</f>
        <v>PVL</v>
      </c>
      <c r="AI70" s="3751" t="str">
        <f>ExpoRisk!AI332</f>
        <v>PVL</v>
      </c>
      <c r="AJ70" s="3751" t="str">
        <f>ExpoRisk!AJ332</f>
        <v>PVL</v>
      </c>
      <c r="AK70" s="3751" t="str">
        <f>ExpoRisk!AK332</f>
        <v>PVL</v>
      </c>
      <c r="AL70" s="3751" t="str">
        <f>ExpoRisk!AL332</f>
        <v>PVL</v>
      </c>
      <c r="AM70" s="3246" t="str">
        <f>ExpoRisk!AM332</f>
        <v>PVL</v>
      </c>
      <c r="AN70" s="3751" t="str">
        <f>ExpoRisk!AN332</f>
        <v>PVL</v>
      </c>
      <c r="AO70" s="3751" t="str">
        <f>ExpoRisk!AO332</f>
        <v>PVL</v>
      </c>
      <c r="AP70" s="3751" t="str">
        <f>ExpoRisk!AP332</f>
        <v>PVL</v>
      </c>
      <c r="AQ70" s="3751" t="str">
        <f>ExpoRisk!AQ332</f>
        <v>PVL</v>
      </c>
      <c r="AR70" s="3751" t="str">
        <f>ExpoRisk!AR332</f>
        <v>PVL</v>
      </c>
      <c r="AS70" s="3751" t="str">
        <f>ExpoRisk!AS332</f>
        <v>PVL</v>
      </c>
      <c r="AT70" s="3751" t="str">
        <f>ExpoRisk!AT332</f>
        <v>PVL</v>
      </c>
      <c r="AU70" s="3751" t="str">
        <f>ExpoRisk!AU332</f>
        <v>PVL</v>
      </c>
      <c r="AV70" s="3751" t="str">
        <f>ExpoRisk!AV332</f>
        <v>PVL</v>
      </c>
      <c r="AW70" s="3751" t="str">
        <f>ExpoRisk!AW332</f>
        <v>PVL</v>
      </c>
      <c r="AX70" s="3751" t="str">
        <f>ExpoRisk!AX332</f>
        <v>PVL</v>
      </c>
      <c r="AY70" s="3751" t="str">
        <f>ExpoRisk!AY332</f>
        <v>PVL</v>
      </c>
      <c r="AZ70" s="3751" t="str">
        <f>ExpoRisk!AZ332</f>
        <v>PVL</v>
      </c>
      <c r="BA70" s="3751" t="str">
        <f>ExpoRisk!BA332</f>
        <v>PVL</v>
      </c>
      <c r="BB70" s="3751" t="str">
        <f>ExpoRisk!BB332</f>
        <v>PVL</v>
      </c>
      <c r="BC70" s="3751" t="str">
        <f>ExpoRisk!BC332</f>
        <v>PVL</v>
      </c>
      <c r="BD70" s="3752" t="str">
        <f>ExpoRisk!BD332</f>
        <v>PVL</v>
      </c>
      <c r="BE70" s="3751" t="str">
        <f>ExpoRisk!BE332</f>
        <v>PVL</v>
      </c>
      <c r="BF70" s="3246" t="str">
        <f>ExpoRisk!BF332</f>
        <v>PVL</v>
      </c>
      <c r="BG70" s="3751" t="str">
        <f>ExpoRisk!BG332</f>
        <v>nd</v>
      </c>
      <c r="BH70" s="3246" t="str">
        <f>ExpoRisk!BH332</f>
        <v>PVL</v>
      </c>
      <c r="BI70" s="3751" t="str">
        <f>ExpoRisk!BI332</f>
        <v>PVL</v>
      </c>
    </row>
    <row r="71" spans="1:61" s="3807" customFormat="1" ht="25.5" hidden="1">
      <c r="A71" s="3809"/>
      <c r="B71" s="3796"/>
      <c r="C71" s="3810"/>
      <c r="D71" s="3811"/>
      <c r="E71" s="3799" t="s">
        <v>954</v>
      </c>
      <c r="F71" s="3812" t="s">
        <v>19</v>
      </c>
      <c r="G71" s="3813" t="s">
        <v>20</v>
      </c>
      <c r="H71" s="3802">
        <f>IF(H67="PVL",H69,IF(H69="PVL",H67,MIN(H67,H69)))</f>
        <v>5690.3454864090718</v>
      </c>
      <c r="I71" s="3802">
        <f t="shared" ref="I71:BI71" si="12">IF(I67="PVL",I69,IF(I69="PVL",I67,MIN(I67,I69)))</f>
        <v>5690.3454864090718</v>
      </c>
      <c r="J71" s="3802">
        <f>IF(J67="PVL",J69,IF(J69="PVL",J67,MIN(J67,J69)))</f>
        <v>39274.636760143017</v>
      </c>
      <c r="K71" s="3803">
        <f t="shared" si="12"/>
        <v>14.649905454545456</v>
      </c>
      <c r="L71" s="3802">
        <f t="shared" si="12"/>
        <v>20.132323248857201</v>
      </c>
      <c r="M71" s="3802">
        <f t="shared" si="12"/>
        <v>20.132323248857201</v>
      </c>
      <c r="N71" s="3802">
        <f>IF(N67="PVL",N69,IF(N69="PVL",N67,MIN(N67,N69)))</f>
        <v>45.780954545454541</v>
      </c>
      <c r="O71" s="3802">
        <f>IF(O67="PVL",O69,IF(O69="PVL",O67,MIN(O67,O69)))</f>
        <v>45.780954545454541</v>
      </c>
      <c r="P71" s="3802">
        <f t="shared" si="12"/>
        <v>9.1561909090909115</v>
      </c>
      <c r="Q71" s="3802">
        <f t="shared" si="12"/>
        <v>9.1561909090909115</v>
      </c>
      <c r="R71" s="3802">
        <f>IF(R67="PVL",R69,IF(R69="PVL",R67,MIN(R67,R69)))</f>
        <v>91.561909090909097</v>
      </c>
      <c r="S71" s="3802">
        <f>IF(S67="PVL",S69,IF(S69="PVL",S67,MIN(S67,S69)))</f>
        <v>3.9809525691699599</v>
      </c>
      <c r="T71" s="3802">
        <f>IF(T67="PVL",T69,IF(T69="PVL",T67,MIN(T67,T69)))</f>
        <v>3.9809525691699599</v>
      </c>
      <c r="U71" s="3802">
        <f t="shared" si="12"/>
        <v>2.1800454545454544</v>
      </c>
      <c r="V71" s="3802">
        <f t="shared" si="12"/>
        <v>261.60545454545451</v>
      </c>
      <c r="W71" s="3802">
        <f t="shared" si="12"/>
        <v>261.60545454545451</v>
      </c>
      <c r="X71" s="3803">
        <f t="shared" si="12"/>
        <v>2.7540971441360114</v>
      </c>
      <c r="Y71" s="3802">
        <f t="shared" si="12"/>
        <v>96.479850827950756</v>
      </c>
      <c r="Z71" s="3802">
        <f t="shared" si="12"/>
        <v>36.624763636363639</v>
      </c>
      <c r="AA71" s="3804">
        <f t="shared" si="12"/>
        <v>53.382512969427161</v>
      </c>
      <c r="AB71" s="3803" t="str">
        <f t="shared" si="12"/>
        <v>PVL</v>
      </c>
      <c r="AC71" s="3802" t="str">
        <f t="shared" si="12"/>
        <v>PVL</v>
      </c>
      <c r="AD71" s="3802" t="str">
        <f t="shared" si="12"/>
        <v>PVL</v>
      </c>
      <c r="AE71" s="3802" t="str">
        <f t="shared" si="12"/>
        <v>PVL</v>
      </c>
      <c r="AF71" s="3802" t="str">
        <f t="shared" si="12"/>
        <v>PVL</v>
      </c>
      <c r="AG71" s="3805" t="str">
        <f t="shared" si="12"/>
        <v>PVL</v>
      </c>
      <c r="AH71" s="3802" t="str">
        <f t="shared" si="12"/>
        <v>PVL</v>
      </c>
      <c r="AI71" s="3802" t="str">
        <f t="shared" si="12"/>
        <v>PVL</v>
      </c>
      <c r="AJ71" s="3802" t="str">
        <f t="shared" si="12"/>
        <v>PVL</v>
      </c>
      <c r="AK71" s="3802" t="str">
        <f t="shared" si="12"/>
        <v>PVL</v>
      </c>
      <c r="AL71" s="3802" t="str">
        <f t="shared" si="12"/>
        <v>PVL</v>
      </c>
      <c r="AM71" s="3804" t="str">
        <f t="shared" si="12"/>
        <v>PVL</v>
      </c>
      <c r="AN71" s="3802">
        <f t="shared" si="12"/>
        <v>13.451078987238073</v>
      </c>
      <c r="AO71" s="3802" t="str">
        <f t="shared" si="12"/>
        <v>PVL</v>
      </c>
      <c r="AP71" s="3802" t="str">
        <f t="shared" si="12"/>
        <v>PVL</v>
      </c>
      <c r="AQ71" s="3802" t="str">
        <f t="shared" si="12"/>
        <v>PVL</v>
      </c>
      <c r="AR71" s="3802" t="str">
        <f t="shared" si="12"/>
        <v>PVL</v>
      </c>
      <c r="AS71" s="3802" t="str">
        <f t="shared" si="12"/>
        <v>PVL</v>
      </c>
      <c r="AT71" s="3802" t="str">
        <f t="shared" si="12"/>
        <v>PVL</v>
      </c>
      <c r="AU71" s="3802" t="str">
        <f t="shared" si="12"/>
        <v>PVL</v>
      </c>
      <c r="AV71" s="3802" t="str">
        <f t="shared" si="12"/>
        <v>PVL</v>
      </c>
      <c r="AW71" s="3802" t="str">
        <f t="shared" si="12"/>
        <v>PVL</v>
      </c>
      <c r="AX71" s="3802" t="str">
        <f t="shared" si="12"/>
        <v>PVL</v>
      </c>
      <c r="AY71" s="3802" t="str">
        <f t="shared" si="12"/>
        <v>PVL</v>
      </c>
      <c r="AZ71" s="3802" t="str">
        <f t="shared" si="12"/>
        <v>PVL</v>
      </c>
      <c r="BA71" s="3802" t="str">
        <f t="shared" si="12"/>
        <v>PVL</v>
      </c>
      <c r="BB71" s="3802" t="str">
        <f t="shared" si="12"/>
        <v>PVL</v>
      </c>
      <c r="BC71" s="3802" t="str">
        <f t="shared" si="12"/>
        <v>PVL</v>
      </c>
      <c r="BD71" s="3803">
        <f t="shared" si="12"/>
        <v>7508.9004268737363</v>
      </c>
      <c r="BE71" s="3802" t="str">
        <f t="shared" si="12"/>
        <v>PVL</v>
      </c>
      <c r="BF71" s="3804" t="str">
        <f t="shared" si="12"/>
        <v>PVL</v>
      </c>
      <c r="BG71" s="3802">
        <f t="shared" si="12"/>
        <v>7.8481636363636371E-3</v>
      </c>
      <c r="BH71" s="3806">
        <f t="shared" si="12"/>
        <v>135.39650926614644</v>
      </c>
      <c r="BI71" s="3802">
        <f t="shared" si="12"/>
        <v>18.519020566978799</v>
      </c>
    </row>
    <row r="72" spans="1:61" s="3807" customFormat="1" hidden="1">
      <c r="A72" s="3809"/>
      <c r="B72" s="3796"/>
      <c r="C72" s="3810"/>
      <c r="D72" s="3817"/>
      <c r="E72" s="3799" t="s">
        <v>984</v>
      </c>
      <c r="F72" s="3812" t="s">
        <v>19</v>
      </c>
      <c r="G72" s="3813" t="s">
        <v>20</v>
      </c>
      <c r="H72" s="3802">
        <f>IF(H67="PVL",H70,IF(H70="PVL",H67,MIN(H67,H70)))</f>
        <v>5690.3454864090718</v>
      </c>
      <c r="I72" s="3802">
        <f t="shared" ref="I72:BI72" si="13">IF(I67="PVL",I70,IF(I70="PVL",I67,MIN(I67,I70)))</f>
        <v>5690.3454864090718</v>
      </c>
      <c r="J72" s="3802">
        <f>IF(J67="PVL",J70,IF(J70="PVL",J67,MIN(J67,J70)))</f>
        <v>39274.636760143017</v>
      </c>
      <c r="K72" s="3803">
        <f t="shared" si="13"/>
        <v>14.649905454545456</v>
      </c>
      <c r="L72" s="3802">
        <f t="shared" si="13"/>
        <v>20.132323248857201</v>
      </c>
      <c r="M72" s="3802">
        <f t="shared" si="13"/>
        <v>20.132323248857201</v>
      </c>
      <c r="N72" s="3802">
        <f>IF(N67="PVL",N70,IF(N70="PVL",N67,MIN(N67,N70)))</f>
        <v>45.780954545454541</v>
      </c>
      <c r="O72" s="3802">
        <f>IF(O67="PVL",O70,IF(O70="PVL",O67,MIN(O67,O70)))</f>
        <v>45.780954545454541</v>
      </c>
      <c r="P72" s="3802">
        <f t="shared" si="13"/>
        <v>9.1561909090909115</v>
      </c>
      <c r="Q72" s="3802">
        <f t="shared" si="13"/>
        <v>9.1561909090909115</v>
      </c>
      <c r="R72" s="3802">
        <f>IF(R67="PVL",R70,IF(R70="PVL",R67,MIN(R67,R70)))</f>
        <v>91.561909090909097</v>
      </c>
      <c r="S72" s="3802">
        <f>IF(S67="PVL",S70,IF(S70="PVL",S67,MIN(S67,S70)))</f>
        <v>3.9809525691699599</v>
      </c>
      <c r="T72" s="3802">
        <f>IF(T67="PVL",T70,IF(T70="PVL",T67,MIN(T67,T70)))</f>
        <v>3.9809525691699599</v>
      </c>
      <c r="U72" s="3802">
        <f t="shared" si="13"/>
        <v>2.1800454545454544</v>
      </c>
      <c r="V72" s="3802">
        <f t="shared" si="13"/>
        <v>261.60545454545451</v>
      </c>
      <c r="W72" s="3802">
        <f t="shared" si="13"/>
        <v>261.60545454545451</v>
      </c>
      <c r="X72" s="3803">
        <f t="shared" si="13"/>
        <v>2.7540971441360114</v>
      </c>
      <c r="Y72" s="3802">
        <f t="shared" si="13"/>
        <v>96.479850827950756</v>
      </c>
      <c r="Z72" s="3802">
        <f t="shared" si="13"/>
        <v>36.624763636363639</v>
      </c>
      <c r="AA72" s="3804">
        <f t="shared" si="13"/>
        <v>99.757028297340199</v>
      </c>
      <c r="AB72" s="3803" t="str">
        <f t="shared" si="13"/>
        <v>PVL</v>
      </c>
      <c r="AC72" s="3802" t="str">
        <f t="shared" si="13"/>
        <v>PVL</v>
      </c>
      <c r="AD72" s="3802" t="str">
        <f t="shared" si="13"/>
        <v>PVL</v>
      </c>
      <c r="AE72" s="3802" t="str">
        <f t="shared" si="13"/>
        <v>PVL</v>
      </c>
      <c r="AF72" s="3802" t="str">
        <f t="shared" si="13"/>
        <v>PVL</v>
      </c>
      <c r="AG72" s="3805" t="str">
        <f t="shared" si="13"/>
        <v>PVL</v>
      </c>
      <c r="AH72" s="3802" t="str">
        <f t="shared" si="13"/>
        <v>PVL</v>
      </c>
      <c r="AI72" s="3802" t="str">
        <f t="shared" si="13"/>
        <v>PVL</v>
      </c>
      <c r="AJ72" s="3802" t="str">
        <f t="shared" si="13"/>
        <v>PVL</v>
      </c>
      <c r="AK72" s="3802" t="str">
        <f t="shared" si="13"/>
        <v>PVL</v>
      </c>
      <c r="AL72" s="3802" t="str">
        <f t="shared" si="13"/>
        <v>PVL</v>
      </c>
      <c r="AM72" s="3804" t="str">
        <f t="shared" si="13"/>
        <v>PVL</v>
      </c>
      <c r="AN72" s="3802">
        <f t="shared" si="13"/>
        <v>13.451078987238073</v>
      </c>
      <c r="AO72" s="3802" t="str">
        <f t="shared" si="13"/>
        <v>PVL</v>
      </c>
      <c r="AP72" s="3802" t="str">
        <f t="shared" si="13"/>
        <v>PVL</v>
      </c>
      <c r="AQ72" s="3802" t="str">
        <f t="shared" si="13"/>
        <v>PVL</v>
      </c>
      <c r="AR72" s="3802" t="str">
        <f t="shared" si="13"/>
        <v>PVL</v>
      </c>
      <c r="AS72" s="3802" t="str">
        <f t="shared" si="13"/>
        <v>PVL</v>
      </c>
      <c r="AT72" s="3802" t="str">
        <f t="shared" si="13"/>
        <v>PVL</v>
      </c>
      <c r="AU72" s="3802" t="str">
        <f t="shared" si="13"/>
        <v>PVL</v>
      </c>
      <c r="AV72" s="3802" t="str">
        <f t="shared" si="13"/>
        <v>PVL</v>
      </c>
      <c r="AW72" s="3802" t="str">
        <f t="shared" si="13"/>
        <v>PVL</v>
      </c>
      <c r="AX72" s="3802" t="str">
        <f t="shared" si="13"/>
        <v>PVL</v>
      </c>
      <c r="AY72" s="3802" t="str">
        <f t="shared" si="13"/>
        <v>PVL</v>
      </c>
      <c r="AZ72" s="3802" t="str">
        <f t="shared" si="13"/>
        <v>PVL</v>
      </c>
      <c r="BA72" s="3802" t="str">
        <f t="shared" si="13"/>
        <v>PVL</v>
      </c>
      <c r="BB72" s="3802" t="str">
        <f t="shared" si="13"/>
        <v>PVL</v>
      </c>
      <c r="BC72" s="3802" t="str">
        <f t="shared" si="13"/>
        <v>PVL</v>
      </c>
      <c r="BD72" s="3803">
        <f t="shared" si="13"/>
        <v>7508.9004268737363</v>
      </c>
      <c r="BE72" s="3802" t="str">
        <f t="shared" si="13"/>
        <v>PVL</v>
      </c>
      <c r="BF72" s="3804" t="str">
        <f t="shared" si="13"/>
        <v>PVL</v>
      </c>
      <c r="BG72" s="3802">
        <f t="shared" si="13"/>
        <v>7.8481636363636371E-3</v>
      </c>
      <c r="BH72" s="3806">
        <f t="shared" si="13"/>
        <v>135.39650926614644</v>
      </c>
      <c r="BI72" s="3802">
        <f t="shared" si="13"/>
        <v>18.519020566978799</v>
      </c>
    </row>
    <row r="73" spans="1:61" s="2126" customFormat="1" hidden="1">
      <c r="A73" s="2151"/>
      <c r="B73" s="2156"/>
      <c r="C73" s="2149"/>
      <c r="D73" s="3819"/>
      <c r="E73" s="2592" t="s">
        <v>660</v>
      </c>
      <c r="F73" s="3770" t="str">
        <f>F71</f>
        <v>Cs</v>
      </c>
      <c r="G73" s="2358" t="str">
        <f>G71</f>
        <v>mg/kg ms</v>
      </c>
      <c r="H73" s="2155">
        <f t="shared" ref="H73:BH73" si="14">IF(H67="PVL",H$10,IF(OR(H$10="PVL",H$10="nd"),H67,MIN(H67,H$10)))</f>
        <v>5690.3454864090718</v>
      </c>
      <c r="I73" s="2155">
        <f t="shared" si="14"/>
        <v>5690.3454864090718</v>
      </c>
      <c r="J73" s="2155">
        <f>IF(J67="PVL",J$10,IF(OR(J$10="PVL",J$10="nd"),J67,MIN(J67,J$10)))</f>
        <v>39274.636760143017</v>
      </c>
      <c r="K73" s="3243">
        <f t="shared" si="14"/>
        <v>6.7474391639365076E-3</v>
      </c>
      <c r="L73" s="2155">
        <f t="shared" si="14"/>
        <v>9.5069987104584891E-2</v>
      </c>
      <c r="M73" s="2155">
        <f t="shared" si="14"/>
        <v>9.5069987104584891E-2</v>
      </c>
      <c r="N73" s="2155">
        <f>IF(N67="PVL",N$10,IF(OR(N$10="PVL",N$10="nd"),N67,MIN(N67,N$10)))</f>
        <v>0.10760591893278754</v>
      </c>
      <c r="O73" s="2155">
        <f>IF(O67="PVL",O$10,IF(OR(O$10="PVL",O$10="nd"),O67,MIN(O67,O$10)))</f>
        <v>0.10760591893278754</v>
      </c>
      <c r="P73" s="2155">
        <f t="shared" si="14"/>
        <v>0.1199562906395495</v>
      </c>
      <c r="Q73" s="2155">
        <f t="shared" si="14"/>
        <v>0.1199562906395495</v>
      </c>
      <c r="R73" s="2155">
        <f>IF(R67="PVL",R$10,IF(OR(R$10="PVL",R$10="nd"),R67,MIN(R67,R$10)))</f>
        <v>0.14151448202581743</v>
      </c>
      <c r="S73" s="2155">
        <f>IF(S67="PVL",S$10,IF(OR(S$10="PVL",S$10="nd"),S67,MIN(S67,S$10)))</f>
        <v>2.0354402069204962E-2</v>
      </c>
      <c r="T73" s="2155">
        <f>IF(T67="PVL",T$10,IF(OR(T$10="PVL",T$10="nd"),T67,MIN(T67,T$10)))</f>
        <v>2.0354402069204962E-2</v>
      </c>
      <c r="U73" s="2155">
        <f t="shared" si="14"/>
        <v>0.22282665960017883</v>
      </c>
      <c r="V73" s="2155">
        <f t="shared" si="14"/>
        <v>0.12300081894181439</v>
      </c>
      <c r="W73" s="2155">
        <f t="shared" si="14"/>
        <v>0.12300081894181439</v>
      </c>
      <c r="X73" s="3243">
        <f t="shared" si="14"/>
        <v>1.754223700777784E-2</v>
      </c>
      <c r="Y73" s="2155">
        <f t="shared" si="14"/>
        <v>1.5601159508858542E-2</v>
      </c>
      <c r="Z73" s="2155">
        <f t="shared" si="14"/>
        <v>2.7467644250260864E-2</v>
      </c>
      <c r="AA73" s="3022">
        <f t="shared" si="14"/>
        <v>1.2461201679065631E-3</v>
      </c>
      <c r="AB73" s="3243">
        <f t="shared" si="14"/>
        <v>6.315727857926912E-3</v>
      </c>
      <c r="AC73" s="2155">
        <f t="shared" si="14"/>
        <v>8.5154918231512226E-3</v>
      </c>
      <c r="AD73" s="2155">
        <f t="shared" si="14"/>
        <v>4.3505584443829494E-2</v>
      </c>
      <c r="AE73" s="2155">
        <f t="shared" si="14"/>
        <v>0.34890349802377557</v>
      </c>
      <c r="AF73" s="2155" t="str">
        <f t="shared" si="14"/>
        <v>PVL</v>
      </c>
      <c r="AG73" s="3721">
        <f t="shared" si="14"/>
        <v>6.29011484708197E-3</v>
      </c>
      <c r="AH73" s="2155">
        <f t="shared" si="14"/>
        <v>4.7819012449342634E-2</v>
      </c>
      <c r="AI73" s="2155">
        <f t="shared" si="14"/>
        <v>9.5103001942881699E-3</v>
      </c>
      <c r="AJ73" s="2155">
        <f t="shared" si="14"/>
        <v>1.5332408405335814E-2</v>
      </c>
      <c r="AK73" s="2155">
        <f t="shared" si="14"/>
        <v>0.37132861944557133</v>
      </c>
      <c r="AL73" s="2155" t="str">
        <f t="shared" si="14"/>
        <v>PVL</v>
      </c>
      <c r="AM73" s="3022" t="str">
        <f t="shared" si="14"/>
        <v>PVL</v>
      </c>
      <c r="AN73" s="2155">
        <f t="shared" si="14"/>
        <v>0.10469744549099785</v>
      </c>
      <c r="AO73" s="2155">
        <f t="shared" si="14"/>
        <v>0.38334241569623678</v>
      </c>
      <c r="AP73" s="2155">
        <f t="shared" si="14"/>
        <v>0.22914151194741517</v>
      </c>
      <c r="AQ73" s="2155">
        <f t="shared" si="14"/>
        <v>0.56590208573839795</v>
      </c>
      <c r="AR73" s="2155">
        <f t="shared" si="14"/>
        <v>2.8264444973650038</v>
      </c>
      <c r="AS73" s="2155" t="str">
        <f t="shared" si="14"/>
        <v>PVL</v>
      </c>
      <c r="AT73" s="2155" t="str">
        <f t="shared" si="14"/>
        <v>PVL</v>
      </c>
      <c r="AU73" s="2155" t="str">
        <f t="shared" si="14"/>
        <v>PVL</v>
      </c>
      <c r="AV73" s="2155" t="str">
        <f t="shared" si="14"/>
        <v>PVL</v>
      </c>
      <c r="AW73" s="2155" t="str">
        <f t="shared" si="14"/>
        <v>PVL</v>
      </c>
      <c r="AX73" s="2155" t="str">
        <f t="shared" si="14"/>
        <v>PVL</v>
      </c>
      <c r="AY73" s="2155" t="str">
        <f t="shared" si="14"/>
        <v>PVL</v>
      </c>
      <c r="AZ73" s="2155" t="str">
        <f t="shared" si="14"/>
        <v>PVL</v>
      </c>
      <c r="BA73" s="2155" t="str">
        <f t="shared" si="14"/>
        <v>PVL</v>
      </c>
      <c r="BB73" s="2155" t="str">
        <f t="shared" si="14"/>
        <v>PVL</v>
      </c>
      <c r="BC73" s="2155" t="str">
        <f t="shared" si="14"/>
        <v>PVL</v>
      </c>
      <c r="BD73" s="3243">
        <f t="shared" si="14"/>
        <v>1.6724525926359499</v>
      </c>
      <c r="BE73" s="2155" t="str">
        <f t="shared" si="14"/>
        <v>nd</v>
      </c>
      <c r="BF73" s="3022" t="str">
        <f t="shared" si="14"/>
        <v>nd</v>
      </c>
      <c r="BG73" s="2155">
        <f t="shared" si="14"/>
        <v>7.8481636363636371E-3</v>
      </c>
      <c r="BH73" s="3246">
        <f t="shared" si="14"/>
        <v>135.39650926614644</v>
      </c>
      <c r="BI73" s="2155"/>
    </row>
    <row r="74" spans="1:61" s="3831" customFormat="1">
      <c r="A74" s="3820"/>
      <c r="B74" s="3821"/>
      <c r="C74" s="3822"/>
      <c r="D74" s="3823"/>
      <c r="E74" s="3775" t="s">
        <v>668</v>
      </c>
      <c r="F74" s="3824"/>
      <c r="G74" s="3825"/>
      <c r="H74" s="3826"/>
      <c r="I74" s="3826"/>
      <c r="J74" s="3826"/>
      <c r="K74" s="3827"/>
      <c r="L74" s="3826"/>
      <c r="M74" s="3826"/>
      <c r="N74" s="3826"/>
      <c r="O74" s="3826"/>
      <c r="P74" s="3826"/>
      <c r="Q74" s="3826"/>
      <c r="R74" s="3826"/>
      <c r="S74" s="3826"/>
      <c r="T74" s="3826"/>
      <c r="U74" s="3826"/>
      <c r="V74" s="3826"/>
      <c r="W74" s="3826"/>
      <c r="X74" s="3827"/>
      <c r="Y74" s="3826"/>
      <c r="Z74" s="3826"/>
      <c r="AA74" s="3828"/>
      <c r="AB74" s="3827"/>
      <c r="AC74" s="3826"/>
      <c r="AD74" s="3826"/>
      <c r="AE74" s="3826"/>
      <c r="AF74" s="3826"/>
      <c r="AG74" s="3829"/>
      <c r="AH74" s="3826"/>
      <c r="AI74" s="3826"/>
      <c r="AJ74" s="3826"/>
      <c r="AK74" s="3826"/>
      <c r="AL74" s="3826"/>
      <c r="AM74" s="3828"/>
      <c r="AN74" s="3826"/>
      <c r="AO74" s="3826"/>
      <c r="AP74" s="3826"/>
      <c r="AQ74" s="3826"/>
      <c r="AR74" s="3826"/>
      <c r="AS74" s="3826"/>
      <c r="AT74" s="3826"/>
      <c r="AU74" s="3826"/>
      <c r="AV74" s="3826"/>
      <c r="AW74" s="3826"/>
      <c r="AX74" s="3826"/>
      <c r="AY74" s="3826"/>
      <c r="AZ74" s="3826"/>
      <c r="BA74" s="3826"/>
      <c r="BB74" s="3826"/>
      <c r="BC74" s="3826"/>
      <c r="BD74" s="3827"/>
      <c r="BE74" s="3826"/>
      <c r="BF74" s="3828"/>
      <c r="BG74" s="3826"/>
      <c r="BH74" s="3830"/>
      <c r="BI74" s="3826"/>
    </row>
    <row r="75" spans="1:61" s="2126" customFormat="1">
      <c r="A75" s="2151"/>
      <c r="B75" s="2156"/>
      <c r="C75" s="2149"/>
      <c r="D75" s="3788"/>
      <c r="E75" s="3066" t="str">
        <f>E44</f>
        <v>Teneur limite avant contrôle de la saturation</v>
      </c>
      <c r="F75" s="2153" t="s">
        <v>19</v>
      </c>
      <c r="G75" s="2154" t="s">
        <v>20</v>
      </c>
      <c r="H75" s="2155">
        <f t="shared" ref="H75:BI76" si="15">IF(ISNUMBER(H66),IF(ISNUMBER(H55),MIN(H66,H55),H66),H55)</f>
        <v>5181.2716774705141</v>
      </c>
      <c r="I75" s="2155">
        <f t="shared" si="15"/>
        <v>5181.2716774705141</v>
      </c>
      <c r="J75" s="2155">
        <f>IF(ISNUMBER(J66),IF(ISNUMBER(J55),MIN(J66,J55),J66),J55)</f>
        <v>38758.586675549173</v>
      </c>
      <c r="K75" s="3243">
        <f t="shared" si="15"/>
        <v>14.649905454545456</v>
      </c>
      <c r="L75" s="2155">
        <f t="shared" si="15"/>
        <v>20.075395790853964</v>
      </c>
      <c r="M75" s="2155">
        <f t="shared" si="15"/>
        <v>20.075395790853964</v>
      </c>
      <c r="N75" s="2155">
        <f>IF(ISNUMBER(N66),IF(ISNUMBER(N55),MIN(N66,N55),N66),N55)</f>
        <v>45.780954545454541</v>
      </c>
      <c r="O75" s="2155">
        <f>IF(ISNUMBER(O66),IF(ISNUMBER(O55),MIN(O66,O55),O66),O55)</f>
        <v>45.780954545454541</v>
      </c>
      <c r="P75" s="2155">
        <f t="shared" si="15"/>
        <v>9.1561909090909115</v>
      </c>
      <c r="Q75" s="2155">
        <f t="shared" si="15"/>
        <v>9.1561909090909115</v>
      </c>
      <c r="R75" s="2155">
        <f t="shared" ref="R75:T76" si="16">IF(ISNUMBER(R66),IF(ISNUMBER(R55),MIN(R66,R55),R66),R55)</f>
        <v>91.561909090909097</v>
      </c>
      <c r="S75" s="2155">
        <f t="shared" si="16"/>
        <v>3.9809525691699599</v>
      </c>
      <c r="T75" s="2155">
        <f t="shared" si="16"/>
        <v>3.9809525691699599</v>
      </c>
      <c r="U75" s="2155">
        <f t="shared" si="15"/>
        <v>2.1800454545454544</v>
      </c>
      <c r="V75" s="2155">
        <f t="shared" si="15"/>
        <v>261.60545454545451</v>
      </c>
      <c r="W75" s="2155">
        <f t="shared" si="15"/>
        <v>261.60545454545451</v>
      </c>
      <c r="X75" s="3243">
        <f t="shared" si="15"/>
        <v>2.7474192261642125</v>
      </c>
      <c r="Y75" s="2155">
        <f t="shared" si="15"/>
        <v>96.184299750885145</v>
      </c>
      <c r="Z75" s="2155">
        <f t="shared" si="15"/>
        <v>36.624763636363639</v>
      </c>
      <c r="AA75" s="3022">
        <f t="shared" si="15"/>
        <v>183.12381818181819</v>
      </c>
      <c r="AB75" s="3243">
        <f t="shared" si="15"/>
        <v>189.39356905647836</v>
      </c>
      <c r="AC75" s="2155">
        <f t="shared" si="15"/>
        <v>585.42995154170387</v>
      </c>
      <c r="AD75" s="2155">
        <f t="shared" si="15"/>
        <v>2450.4773085841125</v>
      </c>
      <c r="AE75" s="2155" t="str">
        <f t="shared" si="15"/>
        <v>PVL</v>
      </c>
      <c r="AF75" s="2155" t="str">
        <f t="shared" si="15"/>
        <v>PVL</v>
      </c>
      <c r="AG75" s="3721">
        <f t="shared" si="15"/>
        <v>4813.5403636363644</v>
      </c>
      <c r="AH75" s="2155">
        <f t="shared" si="15"/>
        <v>4813.5403636363626</v>
      </c>
      <c r="AI75" s="2155">
        <f t="shared" si="15"/>
        <v>327.80995834790781</v>
      </c>
      <c r="AJ75" s="2155">
        <f t="shared" si="15"/>
        <v>828.57382025808442</v>
      </c>
      <c r="AK75" s="2155">
        <f t="shared" si="15"/>
        <v>2474.7552819598091</v>
      </c>
      <c r="AL75" s="2155" t="str">
        <f t="shared" si="15"/>
        <v>PVL</v>
      </c>
      <c r="AM75" s="3022" t="str">
        <f t="shared" si="15"/>
        <v>PVL</v>
      </c>
      <c r="AN75" s="2155">
        <f t="shared" si="15"/>
        <v>13.289972817113433</v>
      </c>
      <c r="AO75" s="2155">
        <f t="shared" si="15"/>
        <v>1124.9987022831629</v>
      </c>
      <c r="AP75" s="2155">
        <f t="shared" si="15"/>
        <v>784.9206740959155</v>
      </c>
      <c r="AQ75" s="2155">
        <f t="shared" si="15"/>
        <v>1625.2750283692815</v>
      </c>
      <c r="AR75" s="2155">
        <f t="shared" si="15"/>
        <v>6830.7691514365852</v>
      </c>
      <c r="AS75" s="2155">
        <f t="shared" si="15"/>
        <v>543.057259452332</v>
      </c>
      <c r="AT75" s="2155">
        <f t="shared" si="15"/>
        <v>70936.903297465164</v>
      </c>
      <c r="AU75" s="2155">
        <f t="shared" si="15"/>
        <v>72732.974639001215</v>
      </c>
      <c r="AV75" s="2155">
        <f t="shared" si="15"/>
        <v>4775.0381794301657</v>
      </c>
      <c r="AW75" s="2155">
        <f t="shared" si="15"/>
        <v>47020.650273406041</v>
      </c>
      <c r="AX75" s="2155">
        <f t="shared" si="15"/>
        <v>21220.812158845496</v>
      </c>
      <c r="AY75" s="2155">
        <f t="shared" si="15"/>
        <v>30919.36633821217</v>
      </c>
      <c r="AZ75" s="2155">
        <f t="shared" si="15"/>
        <v>3454.06022474274</v>
      </c>
      <c r="BA75" s="2155">
        <f t="shared" si="15"/>
        <v>14933.732755951718</v>
      </c>
      <c r="BB75" s="2155">
        <f t="shared" si="15"/>
        <v>597638.63771294197</v>
      </c>
      <c r="BC75" s="2155">
        <f t="shared" si="15"/>
        <v>251824.98572621812</v>
      </c>
      <c r="BD75" s="3243">
        <f t="shared" si="15"/>
        <v>1462.1351057555348</v>
      </c>
      <c r="BE75" s="2155">
        <f t="shared" si="15"/>
        <v>3147.1311227535593</v>
      </c>
      <c r="BF75" s="3022">
        <f t="shared" si="15"/>
        <v>6294.2622455071187</v>
      </c>
      <c r="BG75" s="2155">
        <f t="shared" si="15"/>
        <v>7.8481636363636371E-3</v>
      </c>
      <c r="BH75" s="3246">
        <f t="shared" si="15"/>
        <v>32.570190666935673</v>
      </c>
      <c r="BI75" s="2155">
        <f t="shared" si="15"/>
        <v>15.176458616958138</v>
      </c>
    </row>
    <row r="76" spans="1:61" s="2274" customFormat="1">
      <c r="A76" s="2375"/>
      <c r="B76" s="2227"/>
      <c r="C76" s="397"/>
      <c r="D76" s="3832"/>
      <c r="E76" s="3722" t="s">
        <v>985</v>
      </c>
      <c r="F76" s="2225" t="s">
        <v>19</v>
      </c>
      <c r="G76" s="2226" t="s">
        <v>20</v>
      </c>
      <c r="H76" s="2273">
        <f t="shared" si="15"/>
        <v>5181.2716774705141</v>
      </c>
      <c r="I76" s="2273">
        <f t="shared" si="15"/>
        <v>5181.2716774705141</v>
      </c>
      <c r="J76" s="2273">
        <f>IF(ISNUMBER(J67),IF(ISNUMBER(J56),MIN(J67,J56),J67),J56)</f>
        <v>38758.586675549173</v>
      </c>
      <c r="K76" s="3284">
        <f t="shared" si="15"/>
        <v>14.649905454545456</v>
      </c>
      <c r="L76" s="2273">
        <f t="shared" si="15"/>
        <v>20.075395790853964</v>
      </c>
      <c r="M76" s="2273">
        <f t="shared" si="15"/>
        <v>20.075395790853964</v>
      </c>
      <c r="N76" s="2273">
        <f>IF(ISNUMBER(N67),IF(ISNUMBER(N56),MIN(N67,N56),N67),N56)</f>
        <v>45.780954545454541</v>
      </c>
      <c r="O76" s="2273">
        <f>IF(ISNUMBER(O67),IF(ISNUMBER(O56),MIN(O67,O56),O67),O56)</f>
        <v>45.780954545454541</v>
      </c>
      <c r="P76" s="2273">
        <f t="shared" si="15"/>
        <v>9.1561909090909115</v>
      </c>
      <c r="Q76" s="2273">
        <f t="shared" si="15"/>
        <v>9.1561909090909115</v>
      </c>
      <c r="R76" s="2273">
        <f t="shared" si="16"/>
        <v>91.561909090909097</v>
      </c>
      <c r="S76" s="2273">
        <f t="shared" si="16"/>
        <v>3.9809525691699599</v>
      </c>
      <c r="T76" s="2273">
        <f t="shared" si="16"/>
        <v>3.9809525691699599</v>
      </c>
      <c r="U76" s="2273">
        <f t="shared" si="15"/>
        <v>2.1800454545454544</v>
      </c>
      <c r="V76" s="2273">
        <f t="shared" si="15"/>
        <v>261.60545454545451</v>
      </c>
      <c r="W76" s="2273">
        <f t="shared" si="15"/>
        <v>261.60545454545451</v>
      </c>
      <c r="X76" s="3284">
        <f t="shared" si="15"/>
        <v>2.7474192261642125</v>
      </c>
      <c r="Y76" s="2273">
        <f t="shared" si="15"/>
        <v>96.184299750885145</v>
      </c>
      <c r="Z76" s="2273">
        <f t="shared" si="15"/>
        <v>36.624763636363639</v>
      </c>
      <c r="AA76" s="3285" t="str">
        <f t="shared" si="15"/>
        <v>PVL</v>
      </c>
      <c r="AB76" s="3284" t="str">
        <f t="shared" si="15"/>
        <v>PVL</v>
      </c>
      <c r="AC76" s="2273" t="str">
        <f t="shared" si="15"/>
        <v>PVL</v>
      </c>
      <c r="AD76" s="2273" t="str">
        <f t="shared" si="15"/>
        <v>PVL</v>
      </c>
      <c r="AE76" s="2273" t="str">
        <f t="shared" si="15"/>
        <v>PVL</v>
      </c>
      <c r="AF76" s="2273" t="str">
        <f t="shared" si="15"/>
        <v>PVL</v>
      </c>
      <c r="AG76" s="3723" t="str">
        <f t="shared" si="15"/>
        <v>PVL</v>
      </c>
      <c r="AH76" s="2273" t="str">
        <f t="shared" si="15"/>
        <v>PVL</v>
      </c>
      <c r="AI76" s="2273" t="str">
        <f t="shared" si="15"/>
        <v>PVL</v>
      </c>
      <c r="AJ76" s="2273" t="str">
        <f t="shared" si="15"/>
        <v>PVL</v>
      </c>
      <c r="AK76" s="2273" t="str">
        <f t="shared" si="15"/>
        <v>PVL</v>
      </c>
      <c r="AL76" s="2273" t="str">
        <f t="shared" si="15"/>
        <v>PVL</v>
      </c>
      <c r="AM76" s="3285" t="str">
        <f t="shared" si="15"/>
        <v>PVL</v>
      </c>
      <c r="AN76" s="2273">
        <f t="shared" si="15"/>
        <v>13.289972817113433</v>
      </c>
      <c r="AO76" s="2273" t="str">
        <f t="shared" si="15"/>
        <v>PVL</v>
      </c>
      <c r="AP76" s="2273" t="str">
        <f t="shared" si="15"/>
        <v>PVL</v>
      </c>
      <c r="AQ76" s="2273" t="str">
        <f t="shared" si="15"/>
        <v>PVL</v>
      </c>
      <c r="AR76" s="2273" t="str">
        <f t="shared" si="15"/>
        <v>PVL</v>
      </c>
      <c r="AS76" s="2273" t="str">
        <f t="shared" si="15"/>
        <v>PVL</v>
      </c>
      <c r="AT76" s="2273" t="str">
        <f t="shared" si="15"/>
        <v>PVL</v>
      </c>
      <c r="AU76" s="2273" t="str">
        <f t="shared" si="15"/>
        <v>PVL</v>
      </c>
      <c r="AV76" s="2273" t="str">
        <f t="shared" si="15"/>
        <v>PVL</v>
      </c>
      <c r="AW76" s="2273" t="str">
        <f t="shared" si="15"/>
        <v>PVL</v>
      </c>
      <c r="AX76" s="2273" t="str">
        <f t="shared" si="15"/>
        <v>PVL</v>
      </c>
      <c r="AY76" s="2273" t="str">
        <f t="shared" si="15"/>
        <v>PVL</v>
      </c>
      <c r="AZ76" s="2273" t="str">
        <f t="shared" si="15"/>
        <v>PVL</v>
      </c>
      <c r="BA76" s="2273" t="str">
        <f t="shared" si="15"/>
        <v>PVL</v>
      </c>
      <c r="BB76" s="2273" t="str">
        <f t="shared" si="15"/>
        <v>PVL</v>
      </c>
      <c r="BC76" s="2273" t="str">
        <f t="shared" si="15"/>
        <v>PVL</v>
      </c>
      <c r="BD76" s="3284">
        <f t="shared" si="15"/>
        <v>1462.1351057555348</v>
      </c>
      <c r="BE76" s="2273" t="str">
        <f t="shared" si="15"/>
        <v>PVL</v>
      </c>
      <c r="BF76" s="3285" t="str">
        <f t="shared" si="15"/>
        <v>PVL</v>
      </c>
      <c r="BG76" s="2273">
        <f t="shared" si="15"/>
        <v>7.8481636363636371E-3</v>
      </c>
      <c r="BH76" s="3287">
        <f t="shared" si="15"/>
        <v>32.570190666935673</v>
      </c>
      <c r="BI76" s="2273">
        <f t="shared" si="15"/>
        <v>15.176458616958138</v>
      </c>
    </row>
    <row r="77" spans="1:61" s="3744" customFormat="1" ht="13.5" thickBot="1">
      <c r="A77" s="3734"/>
      <c r="B77" s="3735"/>
      <c r="C77" s="2241"/>
      <c r="D77" s="3833"/>
      <c r="E77" s="3052" t="s">
        <v>476</v>
      </c>
      <c r="F77" s="3834" t="s">
        <v>93</v>
      </c>
      <c r="G77" s="3053" t="s">
        <v>24</v>
      </c>
      <c r="H77" s="2322">
        <f>IF(H76="PVL","PVL",MIN(H68,H57))</f>
        <v>13650.016449233179</v>
      </c>
      <c r="I77" s="2322">
        <f>IF(I76="PVL","PVL",MIN(I68,I57))</f>
        <v>13650.016449233179</v>
      </c>
      <c r="J77" s="2322">
        <f>IF(J76="PVL","PVL",MIN(J68,J57))</f>
        <v>670316.77903774451</v>
      </c>
      <c r="K77" s="3290">
        <f>IF(K76="PVL","PVL",MIN(K68,K57))</f>
        <v>56450.681890396372</v>
      </c>
      <c r="L77" s="2322">
        <f t="shared" ref="L77:BI77" si="17">IF(L76="PVL","PVL",MIN(L68,L57))</f>
        <v>14463.095390339229</v>
      </c>
      <c r="M77" s="2322">
        <f t="shared" si="17"/>
        <v>14463.095390339229</v>
      </c>
      <c r="N77" s="2322">
        <f t="shared" si="17"/>
        <v>65051.551562152286</v>
      </c>
      <c r="O77" s="2322">
        <f t="shared" si="17"/>
        <v>65051.551562152286</v>
      </c>
      <c r="P77" s="2322">
        <f t="shared" si="17"/>
        <v>14203.890281984883</v>
      </c>
      <c r="Q77" s="2322">
        <f t="shared" si="17"/>
        <v>14203.890281984883</v>
      </c>
      <c r="R77" s="2322">
        <f t="shared" si="17"/>
        <v>57095.741629831115</v>
      </c>
      <c r="S77" s="2322">
        <f t="shared" si="17"/>
        <v>2328.9496685225176</v>
      </c>
      <c r="T77" s="2322">
        <f t="shared" si="17"/>
        <v>2328.9496685225176</v>
      </c>
      <c r="U77" s="2322">
        <f t="shared" si="17"/>
        <v>6004.4201216823349</v>
      </c>
      <c r="V77" s="2322">
        <f t="shared" si="17"/>
        <v>1179365.3413826337</v>
      </c>
      <c r="W77" s="2322">
        <f t="shared" si="17"/>
        <v>1179365.3413826337</v>
      </c>
      <c r="X77" s="3290">
        <f t="shared" si="17"/>
        <v>2376.1237053616665</v>
      </c>
      <c r="Y77" s="2322">
        <f t="shared" si="17"/>
        <v>57652.542026547257</v>
      </c>
      <c r="Z77" s="2322">
        <f t="shared" si="17"/>
        <v>13000.799391486573</v>
      </c>
      <c r="AA77" s="3054" t="str">
        <f t="shared" si="17"/>
        <v>PVL</v>
      </c>
      <c r="AB77" s="3290" t="str">
        <f t="shared" si="17"/>
        <v>PVL</v>
      </c>
      <c r="AC77" s="2322" t="str">
        <f t="shared" si="17"/>
        <v>PVL</v>
      </c>
      <c r="AD77" s="2322" t="str">
        <f t="shared" si="17"/>
        <v>PVL</v>
      </c>
      <c r="AE77" s="2322" t="str">
        <f t="shared" si="17"/>
        <v>PVL</v>
      </c>
      <c r="AF77" s="2322" t="str">
        <f t="shared" si="17"/>
        <v>PVL</v>
      </c>
      <c r="AG77" s="3835" t="str">
        <f t="shared" si="17"/>
        <v>PVL</v>
      </c>
      <c r="AH77" s="2322" t="str">
        <f t="shared" si="17"/>
        <v>PVL</v>
      </c>
      <c r="AI77" s="2322" t="str">
        <f t="shared" si="17"/>
        <v>PVL</v>
      </c>
      <c r="AJ77" s="2322" t="str">
        <f t="shared" si="17"/>
        <v>PVL</v>
      </c>
      <c r="AK77" s="2322" t="str">
        <f t="shared" si="17"/>
        <v>PVL</v>
      </c>
      <c r="AL77" s="2322" t="str">
        <f t="shared" si="17"/>
        <v>PVL</v>
      </c>
      <c r="AM77" s="3054" t="str">
        <f t="shared" si="17"/>
        <v>PVL</v>
      </c>
      <c r="AN77" s="3739">
        <f t="shared" si="17"/>
        <v>56.808075042677736</v>
      </c>
      <c r="AO77" s="3739" t="str">
        <f t="shared" si="17"/>
        <v>PVL</v>
      </c>
      <c r="AP77" s="3739" t="str">
        <f t="shared" si="17"/>
        <v>PVL</v>
      </c>
      <c r="AQ77" s="3739" t="str">
        <f t="shared" si="17"/>
        <v>PVL</v>
      </c>
      <c r="AR77" s="3739" t="str">
        <f t="shared" si="17"/>
        <v>PVL</v>
      </c>
      <c r="AS77" s="3739" t="str">
        <f t="shared" si="17"/>
        <v>PVL</v>
      </c>
      <c r="AT77" s="3739" t="str">
        <f t="shared" si="17"/>
        <v>PVL</v>
      </c>
      <c r="AU77" s="3739" t="str">
        <f t="shared" si="17"/>
        <v>PVL</v>
      </c>
      <c r="AV77" s="3739" t="str">
        <f t="shared" si="17"/>
        <v>PVL</v>
      </c>
      <c r="AW77" s="3739" t="str">
        <f t="shared" si="17"/>
        <v>PVL</v>
      </c>
      <c r="AX77" s="3739" t="str">
        <f t="shared" si="17"/>
        <v>PVL</v>
      </c>
      <c r="AY77" s="3739" t="str">
        <f t="shared" si="17"/>
        <v>PVL</v>
      </c>
      <c r="AZ77" s="3739" t="str">
        <f t="shared" si="17"/>
        <v>PVL</v>
      </c>
      <c r="BA77" s="3739" t="str">
        <f t="shared" si="17"/>
        <v>PVL</v>
      </c>
      <c r="BB77" s="3739" t="str">
        <f t="shared" si="17"/>
        <v>PVL</v>
      </c>
      <c r="BC77" s="3739" t="str">
        <f t="shared" si="17"/>
        <v>PVL</v>
      </c>
      <c r="BD77" s="3740">
        <f t="shared" si="17"/>
        <v>136.77857846845268</v>
      </c>
      <c r="BE77" s="3739" t="str">
        <f t="shared" si="17"/>
        <v>PVL</v>
      </c>
      <c r="BF77" s="3741" t="str">
        <f t="shared" si="17"/>
        <v>PVL</v>
      </c>
      <c r="BG77" s="3739">
        <f t="shared" si="17"/>
        <v>0</v>
      </c>
      <c r="BH77" s="3743">
        <f t="shared" si="17"/>
        <v>4.0516642578102608</v>
      </c>
      <c r="BI77" s="3739">
        <f t="shared" si="17"/>
        <v>14.607544657894978</v>
      </c>
    </row>
    <row r="78" spans="1:61" s="3754" customFormat="1" hidden="1">
      <c r="A78" s="3745"/>
      <c r="B78" s="2125"/>
      <c r="C78" s="3746"/>
      <c r="D78" s="3833"/>
      <c r="E78" s="3748" t="s">
        <v>953</v>
      </c>
      <c r="F78" s="3836" t="s">
        <v>19</v>
      </c>
      <c r="G78" s="3837" t="s">
        <v>20</v>
      </c>
      <c r="H78" s="3751" t="str">
        <f>IF(ISNUMBER(H69),IF(ISNUMBER(H58),MIN(H69,H58),H69),H58)</f>
        <v>PVL</v>
      </c>
      <c r="I78" s="3751" t="str">
        <f t="shared" ref="I78:BI78" si="18">IF(ISNUMBER(I69),IF(ISNUMBER(I58),MIN(I69,I58),I69),I58)</f>
        <v>PVL</v>
      </c>
      <c r="J78" s="3751" t="str">
        <f>IF(ISNUMBER(J69),IF(ISNUMBER(J58),MIN(J69,J58),J69),J58)</f>
        <v>PVL</v>
      </c>
      <c r="K78" s="3752">
        <f t="shared" si="18"/>
        <v>178.24927251493804</v>
      </c>
      <c r="L78" s="3751" t="str">
        <f t="shared" si="18"/>
        <v>PVL</v>
      </c>
      <c r="M78" s="3751" t="str">
        <f t="shared" si="18"/>
        <v>PVL</v>
      </c>
      <c r="N78" s="3751" t="str">
        <f t="shared" ref="N78:O81" si="19">IF(ISNUMBER(N69),IF(ISNUMBER(N58),MIN(N69,N58),N69),N58)</f>
        <v>PVL</v>
      </c>
      <c r="O78" s="3751" t="str">
        <f t="shared" si="19"/>
        <v>PVL</v>
      </c>
      <c r="P78" s="3751" t="str">
        <f t="shared" si="18"/>
        <v>PVL</v>
      </c>
      <c r="Q78" s="3751" t="str">
        <f t="shared" si="18"/>
        <v>PVL</v>
      </c>
      <c r="R78" s="3751">
        <f t="shared" ref="R78:T81" si="20">IF(ISNUMBER(R69),IF(ISNUMBER(R58),MIN(R69,R58),R69),R58)</f>
        <v>388.49385364068638</v>
      </c>
      <c r="S78" s="3751">
        <f t="shared" si="20"/>
        <v>547.83221330391711</v>
      </c>
      <c r="T78" s="3751">
        <f t="shared" si="20"/>
        <v>547.83221330391711</v>
      </c>
      <c r="U78" s="3751" t="str">
        <f t="shared" si="18"/>
        <v>PVL</v>
      </c>
      <c r="V78" s="3751" t="str">
        <f t="shared" si="18"/>
        <v>PVL</v>
      </c>
      <c r="W78" s="3751" t="str">
        <f t="shared" si="18"/>
        <v>PVL</v>
      </c>
      <c r="X78" s="3751" t="str">
        <f t="shared" si="18"/>
        <v>PVL</v>
      </c>
      <c r="Y78" s="3751" t="str">
        <f t="shared" si="18"/>
        <v>PVL</v>
      </c>
      <c r="Z78" s="3751" t="str">
        <f t="shared" si="18"/>
        <v>PVL</v>
      </c>
      <c r="AA78" s="3751">
        <f t="shared" si="18"/>
        <v>51.681819754531617</v>
      </c>
      <c r="AB78" s="3752" t="str">
        <f t="shared" si="18"/>
        <v>PVL</v>
      </c>
      <c r="AC78" s="3751" t="str">
        <f t="shared" si="18"/>
        <v>PVL</v>
      </c>
      <c r="AD78" s="3751" t="str">
        <f t="shared" si="18"/>
        <v>PVL</v>
      </c>
      <c r="AE78" s="3751" t="str">
        <f t="shared" si="18"/>
        <v>PVL</v>
      </c>
      <c r="AF78" s="3751" t="str">
        <f t="shared" si="18"/>
        <v>PVL</v>
      </c>
      <c r="AG78" s="3753" t="str">
        <f t="shared" si="18"/>
        <v>PVL</v>
      </c>
      <c r="AH78" s="3751" t="str">
        <f t="shared" si="18"/>
        <v>PVL</v>
      </c>
      <c r="AI78" s="3751" t="str">
        <f t="shared" si="18"/>
        <v>PVL</v>
      </c>
      <c r="AJ78" s="3751" t="str">
        <f t="shared" si="18"/>
        <v>PVL</v>
      </c>
      <c r="AK78" s="3751" t="str">
        <f t="shared" si="18"/>
        <v>PVL</v>
      </c>
      <c r="AL78" s="3751" t="str">
        <f t="shared" si="18"/>
        <v>PVL</v>
      </c>
      <c r="AM78" s="3246" t="str">
        <f t="shared" si="18"/>
        <v>PVL</v>
      </c>
      <c r="AN78" s="3751" t="str">
        <f t="shared" si="18"/>
        <v>PVL</v>
      </c>
      <c r="AO78" s="3751" t="str">
        <f t="shared" si="18"/>
        <v>PVL</v>
      </c>
      <c r="AP78" s="3751" t="str">
        <f t="shared" si="18"/>
        <v>PVL</v>
      </c>
      <c r="AQ78" s="3751" t="str">
        <f t="shared" si="18"/>
        <v>PVL</v>
      </c>
      <c r="AR78" s="3751" t="str">
        <f t="shared" si="18"/>
        <v>PVL</v>
      </c>
      <c r="AS78" s="3751" t="str">
        <f t="shared" si="18"/>
        <v>PVL</v>
      </c>
      <c r="AT78" s="3751" t="str">
        <f t="shared" si="18"/>
        <v>PVL</v>
      </c>
      <c r="AU78" s="3751" t="str">
        <f t="shared" si="18"/>
        <v>PVL</v>
      </c>
      <c r="AV78" s="3751" t="str">
        <f t="shared" si="18"/>
        <v>PVL</v>
      </c>
      <c r="AW78" s="3751" t="str">
        <f t="shared" si="18"/>
        <v>PVL</v>
      </c>
      <c r="AX78" s="3751" t="str">
        <f t="shared" si="18"/>
        <v>PVL</v>
      </c>
      <c r="AY78" s="3751" t="str">
        <f t="shared" si="18"/>
        <v>PVL</v>
      </c>
      <c r="AZ78" s="3751" t="str">
        <f t="shared" si="18"/>
        <v>PVL</v>
      </c>
      <c r="BA78" s="3751" t="str">
        <f t="shared" si="18"/>
        <v>PVL</v>
      </c>
      <c r="BB78" s="3751" t="str">
        <f t="shared" si="18"/>
        <v>PVL</v>
      </c>
      <c r="BC78" s="3751" t="str">
        <f t="shared" si="18"/>
        <v>PVL</v>
      </c>
      <c r="BD78" s="3752">
        <f t="shared" si="18"/>
        <v>11332.016466808936</v>
      </c>
      <c r="BE78" s="3751" t="str">
        <f t="shared" si="18"/>
        <v>PVL</v>
      </c>
      <c r="BF78" s="3246" t="str">
        <f t="shared" si="18"/>
        <v>PVL</v>
      </c>
      <c r="BG78" s="3751" t="str">
        <f t="shared" si="18"/>
        <v>nd</v>
      </c>
      <c r="BH78" s="3246" t="str">
        <f t="shared" si="18"/>
        <v>PVL</v>
      </c>
      <c r="BI78" s="3751" t="str">
        <f t="shared" si="18"/>
        <v>PVL</v>
      </c>
    </row>
    <row r="79" spans="1:61" s="3754" customFormat="1" hidden="1">
      <c r="A79" s="3745"/>
      <c r="B79" s="2125"/>
      <c r="C79" s="3746"/>
      <c r="D79" s="3833"/>
      <c r="E79" s="3748" t="s">
        <v>983</v>
      </c>
      <c r="F79" s="3836" t="s">
        <v>19</v>
      </c>
      <c r="G79" s="3837" t="s">
        <v>20</v>
      </c>
      <c r="H79" s="3751" t="str">
        <f t="shared" ref="H79:BI79" si="21">IF(ISNUMBER(H70),IF(ISNUMBER(H59),MIN(H70,H59),H70),H59)</f>
        <v>PVL</v>
      </c>
      <c r="I79" s="3751" t="str">
        <f t="shared" si="21"/>
        <v>PVL</v>
      </c>
      <c r="J79" s="3751" t="str">
        <f>IF(ISNUMBER(J70),IF(ISNUMBER(J59),MIN(J70,J59),J70),J59)</f>
        <v>PVL</v>
      </c>
      <c r="K79" s="3752" t="str">
        <f t="shared" si="21"/>
        <v>PVL</v>
      </c>
      <c r="L79" s="3751" t="str">
        <f t="shared" si="21"/>
        <v>PVL</v>
      </c>
      <c r="M79" s="3751" t="str">
        <f t="shared" si="21"/>
        <v>PVL</v>
      </c>
      <c r="N79" s="3751" t="str">
        <f t="shared" si="19"/>
        <v>PVL</v>
      </c>
      <c r="O79" s="3751" t="str">
        <f t="shared" si="19"/>
        <v>PVL</v>
      </c>
      <c r="P79" s="3751" t="str">
        <f t="shared" si="21"/>
        <v>PVL</v>
      </c>
      <c r="Q79" s="3751" t="str">
        <f t="shared" si="21"/>
        <v>PVL</v>
      </c>
      <c r="R79" s="3751" t="str">
        <f t="shared" si="20"/>
        <v>PVL</v>
      </c>
      <c r="S79" s="3751">
        <f t="shared" si="20"/>
        <v>1703.0971882070673</v>
      </c>
      <c r="T79" s="3751">
        <f t="shared" si="20"/>
        <v>1703.0971882070673</v>
      </c>
      <c r="U79" s="3751" t="str">
        <f t="shared" si="21"/>
        <v>PVL</v>
      </c>
      <c r="V79" s="3751" t="str">
        <f t="shared" si="21"/>
        <v>PVL</v>
      </c>
      <c r="W79" s="3751" t="str">
        <f t="shared" si="21"/>
        <v>PVL</v>
      </c>
      <c r="X79" s="3751" t="str">
        <f t="shared" si="21"/>
        <v>PVL</v>
      </c>
      <c r="Y79" s="3751" t="str">
        <f t="shared" si="21"/>
        <v>PVL</v>
      </c>
      <c r="Z79" s="3751" t="str">
        <f t="shared" si="21"/>
        <v>PVL</v>
      </c>
      <c r="AA79" s="3751">
        <f t="shared" si="21"/>
        <v>98.600352296288179</v>
      </c>
      <c r="AB79" s="3752" t="str">
        <f t="shared" si="21"/>
        <v>PVL</v>
      </c>
      <c r="AC79" s="3751" t="str">
        <f t="shared" si="21"/>
        <v>PVL</v>
      </c>
      <c r="AD79" s="3751" t="str">
        <f t="shared" si="21"/>
        <v>PVL</v>
      </c>
      <c r="AE79" s="3751" t="str">
        <f t="shared" si="21"/>
        <v>PVL</v>
      </c>
      <c r="AF79" s="3751" t="str">
        <f t="shared" si="21"/>
        <v>PVL</v>
      </c>
      <c r="AG79" s="3753" t="str">
        <f t="shared" si="21"/>
        <v>PVL</v>
      </c>
      <c r="AH79" s="3751" t="str">
        <f t="shared" si="21"/>
        <v>PVL</v>
      </c>
      <c r="AI79" s="3751" t="str">
        <f t="shared" si="21"/>
        <v>PVL</v>
      </c>
      <c r="AJ79" s="3751" t="str">
        <f t="shared" si="21"/>
        <v>PVL</v>
      </c>
      <c r="AK79" s="3751" t="str">
        <f t="shared" si="21"/>
        <v>PVL</v>
      </c>
      <c r="AL79" s="3751" t="str">
        <f t="shared" si="21"/>
        <v>PVL</v>
      </c>
      <c r="AM79" s="3246" t="str">
        <f t="shared" si="21"/>
        <v>PVL</v>
      </c>
      <c r="AN79" s="3751" t="str">
        <f t="shared" si="21"/>
        <v>PVL</v>
      </c>
      <c r="AO79" s="3751" t="str">
        <f t="shared" si="21"/>
        <v>PVL</v>
      </c>
      <c r="AP79" s="3751" t="str">
        <f t="shared" si="21"/>
        <v>PVL</v>
      </c>
      <c r="AQ79" s="3751" t="str">
        <f t="shared" si="21"/>
        <v>PVL</v>
      </c>
      <c r="AR79" s="3751" t="str">
        <f t="shared" si="21"/>
        <v>PVL</v>
      </c>
      <c r="AS79" s="3751" t="str">
        <f t="shared" si="21"/>
        <v>PVL</v>
      </c>
      <c r="AT79" s="3751" t="str">
        <f t="shared" si="21"/>
        <v>PVL</v>
      </c>
      <c r="AU79" s="3751" t="str">
        <f t="shared" si="21"/>
        <v>PVL</v>
      </c>
      <c r="AV79" s="3751" t="str">
        <f t="shared" si="21"/>
        <v>PVL</v>
      </c>
      <c r="AW79" s="3751" t="str">
        <f t="shared" si="21"/>
        <v>PVL</v>
      </c>
      <c r="AX79" s="3751" t="str">
        <f t="shared" si="21"/>
        <v>PVL</v>
      </c>
      <c r="AY79" s="3751" t="str">
        <f t="shared" si="21"/>
        <v>PVL</v>
      </c>
      <c r="AZ79" s="3751" t="str">
        <f t="shared" si="21"/>
        <v>PVL</v>
      </c>
      <c r="BA79" s="3751" t="str">
        <f t="shared" si="21"/>
        <v>PVL</v>
      </c>
      <c r="BB79" s="3751" t="str">
        <f t="shared" si="21"/>
        <v>PVL</v>
      </c>
      <c r="BC79" s="3751" t="str">
        <f t="shared" si="21"/>
        <v>PVL</v>
      </c>
      <c r="BD79" s="3752">
        <f t="shared" si="21"/>
        <v>11358.726343704173</v>
      </c>
      <c r="BE79" s="3751" t="str">
        <f t="shared" si="21"/>
        <v>PVL</v>
      </c>
      <c r="BF79" s="3246" t="str">
        <f t="shared" si="21"/>
        <v>PVL</v>
      </c>
      <c r="BG79" s="3751" t="str">
        <f t="shared" si="21"/>
        <v>nd</v>
      </c>
      <c r="BH79" s="3246" t="str">
        <f t="shared" si="21"/>
        <v>PVL</v>
      </c>
      <c r="BI79" s="3751" t="str">
        <f t="shared" si="21"/>
        <v>PVL</v>
      </c>
    </row>
    <row r="80" spans="1:61" s="3767" customFormat="1" ht="25.5" hidden="1">
      <c r="A80" s="3755"/>
      <c r="B80" s="3756"/>
      <c r="C80" s="3757"/>
      <c r="D80" s="3838"/>
      <c r="E80" s="3759" t="s">
        <v>954</v>
      </c>
      <c r="F80" s="3760" t="str">
        <f>ExpoRisk!F332</f>
        <v>Cs</v>
      </c>
      <c r="G80" s="3761" t="str">
        <f>ExpoRisk!G332</f>
        <v>mg/kg ms</v>
      </c>
      <c r="H80" s="3762">
        <f t="shared" ref="H80:BI81" si="22">IF(ISNUMBER(H71),IF(ISNUMBER(H60),MIN(H71,H60),H71),H60)</f>
        <v>5181.2716774705141</v>
      </c>
      <c r="I80" s="3762">
        <f t="shared" si="22"/>
        <v>5181.2716774705141</v>
      </c>
      <c r="J80" s="3762">
        <f>IF(ISNUMBER(J71),IF(ISNUMBER(J60),MIN(J71,J60),J71),J60)</f>
        <v>38758.586675549173</v>
      </c>
      <c r="K80" s="3763">
        <f t="shared" si="22"/>
        <v>14.649905454545456</v>
      </c>
      <c r="L80" s="3762">
        <f t="shared" si="22"/>
        <v>20.075395790853964</v>
      </c>
      <c r="M80" s="3762">
        <f t="shared" si="22"/>
        <v>20.075395790853964</v>
      </c>
      <c r="N80" s="3762">
        <f t="shared" si="19"/>
        <v>45.780954545454541</v>
      </c>
      <c r="O80" s="3762">
        <f t="shared" si="19"/>
        <v>45.780954545454541</v>
      </c>
      <c r="P80" s="3762">
        <f t="shared" si="22"/>
        <v>9.1561909090909115</v>
      </c>
      <c r="Q80" s="3762">
        <f t="shared" si="22"/>
        <v>9.1561909090909115</v>
      </c>
      <c r="R80" s="3762">
        <f t="shared" si="20"/>
        <v>91.561909090909097</v>
      </c>
      <c r="S80" s="3762">
        <f t="shared" si="20"/>
        <v>3.9809525691699599</v>
      </c>
      <c r="T80" s="3762">
        <f t="shared" si="20"/>
        <v>3.9809525691699599</v>
      </c>
      <c r="U80" s="3762">
        <f t="shared" si="22"/>
        <v>2.1800454545454544</v>
      </c>
      <c r="V80" s="3762">
        <f t="shared" si="22"/>
        <v>261.60545454545451</v>
      </c>
      <c r="W80" s="3762">
        <f t="shared" si="22"/>
        <v>261.60545454545451</v>
      </c>
      <c r="X80" s="3762">
        <f t="shared" si="22"/>
        <v>2.7474192261642125</v>
      </c>
      <c r="Y80" s="3762">
        <f t="shared" si="22"/>
        <v>96.184299750885145</v>
      </c>
      <c r="Z80" s="3762">
        <f t="shared" si="22"/>
        <v>36.624763636363639</v>
      </c>
      <c r="AA80" s="3762">
        <f t="shared" si="22"/>
        <v>51.681819754531617</v>
      </c>
      <c r="AB80" s="3763" t="str">
        <f t="shared" si="22"/>
        <v>PVL</v>
      </c>
      <c r="AC80" s="3762" t="str">
        <f t="shared" si="22"/>
        <v>PVL</v>
      </c>
      <c r="AD80" s="3762" t="str">
        <f t="shared" si="22"/>
        <v>PVL</v>
      </c>
      <c r="AE80" s="3762" t="str">
        <f t="shared" si="22"/>
        <v>PVL</v>
      </c>
      <c r="AF80" s="3762" t="str">
        <f t="shared" si="22"/>
        <v>PVL</v>
      </c>
      <c r="AG80" s="3765" t="str">
        <f t="shared" si="22"/>
        <v>PVL</v>
      </c>
      <c r="AH80" s="3762" t="str">
        <f t="shared" si="22"/>
        <v>PVL</v>
      </c>
      <c r="AI80" s="3762" t="str">
        <f t="shared" si="22"/>
        <v>PVL</v>
      </c>
      <c r="AJ80" s="3762" t="str">
        <f t="shared" si="22"/>
        <v>PVL</v>
      </c>
      <c r="AK80" s="3762" t="str">
        <f t="shared" si="22"/>
        <v>PVL</v>
      </c>
      <c r="AL80" s="3762" t="str">
        <f t="shared" si="22"/>
        <v>PVL</v>
      </c>
      <c r="AM80" s="3764" t="str">
        <f t="shared" si="22"/>
        <v>PVL</v>
      </c>
      <c r="AN80" s="3762">
        <f t="shared" si="22"/>
        <v>13.289972817113433</v>
      </c>
      <c r="AO80" s="3762" t="str">
        <f t="shared" si="22"/>
        <v>PVL</v>
      </c>
      <c r="AP80" s="3762" t="str">
        <f t="shared" si="22"/>
        <v>PVL</v>
      </c>
      <c r="AQ80" s="3762" t="str">
        <f t="shared" si="22"/>
        <v>PVL</v>
      </c>
      <c r="AR80" s="3762" t="str">
        <f t="shared" si="22"/>
        <v>PVL</v>
      </c>
      <c r="AS80" s="3762" t="str">
        <f t="shared" si="22"/>
        <v>PVL</v>
      </c>
      <c r="AT80" s="3762" t="str">
        <f t="shared" si="22"/>
        <v>PVL</v>
      </c>
      <c r="AU80" s="3762" t="str">
        <f t="shared" si="22"/>
        <v>PVL</v>
      </c>
      <c r="AV80" s="3762" t="str">
        <f t="shared" si="22"/>
        <v>PVL</v>
      </c>
      <c r="AW80" s="3762" t="str">
        <f t="shared" si="22"/>
        <v>PVL</v>
      </c>
      <c r="AX80" s="3762" t="str">
        <f t="shared" si="22"/>
        <v>PVL</v>
      </c>
      <c r="AY80" s="3762" t="str">
        <f t="shared" si="22"/>
        <v>PVL</v>
      </c>
      <c r="AZ80" s="3762" t="str">
        <f t="shared" si="22"/>
        <v>PVL</v>
      </c>
      <c r="BA80" s="3762" t="str">
        <f t="shared" si="22"/>
        <v>PVL</v>
      </c>
      <c r="BB80" s="3762" t="str">
        <f t="shared" si="22"/>
        <v>PVL</v>
      </c>
      <c r="BC80" s="3762" t="str">
        <f t="shared" si="22"/>
        <v>PVL</v>
      </c>
      <c r="BD80" s="3763">
        <f t="shared" si="22"/>
        <v>1462.1351057555348</v>
      </c>
      <c r="BE80" s="3762" t="str">
        <f t="shared" si="22"/>
        <v>PVL</v>
      </c>
      <c r="BF80" s="3764" t="str">
        <f t="shared" si="22"/>
        <v>PVL</v>
      </c>
      <c r="BG80" s="3762">
        <f t="shared" si="22"/>
        <v>7.8481636363636371E-3</v>
      </c>
      <c r="BH80" s="3766">
        <f t="shared" si="22"/>
        <v>32.570190666935673</v>
      </c>
      <c r="BI80" s="3762">
        <f t="shared" si="22"/>
        <v>15.176458616958138</v>
      </c>
    </row>
    <row r="81" spans="1:61" s="3767" customFormat="1" hidden="1">
      <c r="A81" s="3755"/>
      <c r="B81" s="3756"/>
      <c r="C81" s="3757"/>
      <c r="D81" s="3838"/>
      <c r="E81" s="3759" t="s">
        <v>984</v>
      </c>
      <c r="F81" s="3760" t="s">
        <v>19</v>
      </c>
      <c r="G81" s="3761" t="s">
        <v>20</v>
      </c>
      <c r="H81" s="3762">
        <f t="shared" si="22"/>
        <v>5181.2716774705141</v>
      </c>
      <c r="I81" s="3762">
        <f t="shared" si="22"/>
        <v>5181.2716774705141</v>
      </c>
      <c r="J81" s="3762">
        <f>IF(ISNUMBER(J72),IF(ISNUMBER(J61),MIN(J72,J61),J72),J61)</f>
        <v>38758.586675549173</v>
      </c>
      <c r="K81" s="3763">
        <f t="shared" si="22"/>
        <v>14.649905454545456</v>
      </c>
      <c r="L81" s="3762">
        <f t="shared" si="22"/>
        <v>20.075395790853964</v>
      </c>
      <c r="M81" s="3762">
        <f t="shared" si="22"/>
        <v>20.075395790853964</v>
      </c>
      <c r="N81" s="3762">
        <f t="shared" si="19"/>
        <v>45.780954545454541</v>
      </c>
      <c r="O81" s="3762">
        <f t="shared" si="19"/>
        <v>45.780954545454541</v>
      </c>
      <c r="P81" s="3762">
        <f t="shared" si="22"/>
        <v>9.1561909090909115</v>
      </c>
      <c r="Q81" s="3762">
        <f t="shared" si="22"/>
        <v>9.1561909090909115</v>
      </c>
      <c r="R81" s="3762">
        <f t="shared" si="20"/>
        <v>91.561909090909097</v>
      </c>
      <c r="S81" s="3762">
        <f t="shared" si="20"/>
        <v>3.9809525691699599</v>
      </c>
      <c r="T81" s="3762">
        <f t="shared" si="20"/>
        <v>3.9809525691699599</v>
      </c>
      <c r="U81" s="3762">
        <f t="shared" si="22"/>
        <v>2.1800454545454544</v>
      </c>
      <c r="V81" s="3762">
        <f t="shared" si="22"/>
        <v>261.60545454545451</v>
      </c>
      <c r="W81" s="3762">
        <f t="shared" si="22"/>
        <v>261.60545454545451</v>
      </c>
      <c r="X81" s="3762">
        <f t="shared" si="22"/>
        <v>2.7474192261642125</v>
      </c>
      <c r="Y81" s="3762">
        <f t="shared" si="22"/>
        <v>96.184299750885145</v>
      </c>
      <c r="Z81" s="3762">
        <f t="shared" si="22"/>
        <v>36.624763636363639</v>
      </c>
      <c r="AA81" s="3762">
        <f t="shared" si="22"/>
        <v>98.600352296288179</v>
      </c>
      <c r="AB81" s="3763" t="str">
        <f t="shared" si="22"/>
        <v>PVL</v>
      </c>
      <c r="AC81" s="3762" t="str">
        <f t="shared" si="22"/>
        <v>PVL</v>
      </c>
      <c r="AD81" s="3762" t="str">
        <f t="shared" si="22"/>
        <v>PVL</v>
      </c>
      <c r="AE81" s="3762" t="str">
        <f t="shared" si="22"/>
        <v>PVL</v>
      </c>
      <c r="AF81" s="3762" t="str">
        <f t="shared" si="22"/>
        <v>PVL</v>
      </c>
      <c r="AG81" s="3765" t="str">
        <f t="shared" si="22"/>
        <v>PVL</v>
      </c>
      <c r="AH81" s="3762" t="str">
        <f t="shared" si="22"/>
        <v>PVL</v>
      </c>
      <c r="AI81" s="3762" t="str">
        <f t="shared" si="22"/>
        <v>PVL</v>
      </c>
      <c r="AJ81" s="3762" t="str">
        <f t="shared" si="22"/>
        <v>PVL</v>
      </c>
      <c r="AK81" s="3762" t="str">
        <f t="shared" si="22"/>
        <v>PVL</v>
      </c>
      <c r="AL81" s="3762" t="str">
        <f t="shared" si="22"/>
        <v>PVL</v>
      </c>
      <c r="AM81" s="3764" t="str">
        <f t="shared" si="22"/>
        <v>PVL</v>
      </c>
      <c r="AN81" s="3762">
        <f t="shared" si="22"/>
        <v>13.289972817113433</v>
      </c>
      <c r="AO81" s="3762" t="str">
        <f t="shared" si="22"/>
        <v>PVL</v>
      </c>
      <c r="AP81" s="3762" t="str">
        <f t="shared" si="22"/>
        <v>PVL</v>
      </c>
      <c r="AQ81" s="3762" t="str">
        <f t="shared" si="22"/>
        <v>PVL</v>
      </c>
      <c r="AR81" s="3762" t="str">
        <f t="shared" si="22"/>
        <v>PVL</v>
      </c>
      <c r="AS81" s="3762" t="str">
        <f t="shared" si="22"/>
        <v>PVL</v>
      </c>
      <c r="AT81" s="3762" t="str">
        <f t="shared" si="22"/>
        <v>PVL</v>
      </c>
      <c r="AU81" s="3762" t="str">
        <f t="shared" si="22"/>
        <v>PVL</v>
      </c>
      <c r="AV81" s="3762" t="str">
        <f t="shared" si="22"/>
        <v>PVL</v>
      </c>
      <c r="AW81" s="3762" t="str">
        <f t="shared" si="22"/>
        <v>PVL</v>
      </c>
      <c r="AX81" s="3762" t="str">
        <f t="shared" si="22"/>
        <v>PVL</v>
      </c>
      <c r="AY81" s="3762" t="str">
        <f t="shared" si="22"/>
        <v>PVL</v>
      </c>
      <c r="AZ81" s="3762" t="str">
        <f t="shared" si="22"/>
        <v>PVL</v>
      </c>
      <c r="BA81" s="3762" t="str">
        <f t="shared" si="22"/>
        <v>PVL</v>
      </c>
      <c r="BB81" s="3762" t="str">
        <f t="shared" si="22"/>
        <v>PVL</v>
      </c>
      <c r="BC81" s="3762" t="str">
        <f t="shared" si="22"/>
        <v>PVL</v>
      </c>
      <c r="BD81" s="3763">
        <f t="shared" si="22"/>
        <v>1462.1351057555348</v>
      </c>
      <c r="BE81" s="3762" t="str">
        <f t="shared" si="22"/>
        <v>PVL</v>
      </c>
      <c r="BF81" s="3764" t="str">
        <f t="shared" si="22"/>
        <v>PVL</v>
      </c>
      <c r="BG81" s="3762">
        <f t="shared" si="22"/>
        <v>7.8481636363636371E-3</v>
      </c>
      <c r="BH81" s="3766">
        <f t="shared" si="22"/>
        <v>32.570190666935673</v>
      </c>
      <c r="BI81" s="3762">
        <f t="shared" si="22"/>
        <v>15.176458616958138</v>
      </c>
    </row>
    <row r="82" spans="1:61" s="2193" customFormat="1" hidden="1">
      <c r="A82" s="2191"/>
      <c r="B82" s="2236"/>
      <c r="C82" s="2149"/>
      <c r="D82" s="3833"/>
      <c r="E82" s="3036" t="s">
        <v>660</v>
      </c>
      <c r="F82" s="3784" t="s">
        <v>19</v>
      </c>
      <c r="G82" s="3785" t="s">
        <v>20</v>
      </c>
      <c r="H82" s="2235">
        <f t="shared" ref="H82:BI82" si="23">MIN(H73,H62)</f>
        <v>5181.2716774705141</v>
      </c>
      <c r="I82" s="2235">
        <f t="shared" si="23"/>
        <v>5181.2716774705141</v>
      </c>
      <c r="J82" s="2235">
        <f>MIN(J73,J62)</f>
        <v>38758.586675549173</v>
      </c>
      <c r="K82" s="3270">
        <f t="shared" si="23"/>
        <v>6.7474391639365076E-3</v>
      </c>
      <c r="L82" s="2235">
        <f t="shared" si="23"/>
        <v>9.5069987104584891E-2</v>
      </c>
      <c r="M82" s="2235">
        <f t="shared" si="23"/>
        <v>9.5069987104584891E-2</v>
      </c>
      <c r="N82" s="2235">
        <f>MIN(N73,N62)</f>
        <v>0.10760591893278754</v>
      </c>
      <c r="O82" s="2235">
        <f>MIN(O73,O62)</f>
        <v>0.10760591893278754</v>
      </c>
      <c r="P82" s="2235">
        <f t="shared" si="23"/>
        <v>0.1199562906395495</v>
      </c>
      <c r="Q82" s="2235">
        <f t="shared" si="23"/>
        <v>0.1199562906395495</v>
      </c>
      <c r="R82" s="2235">
        <f>MIN(R73,R62)</f>
        <v>0.14151448202581743</v>
      </c>
      <c r="S82" s="2235">
        <f>MIN(S73,S62)</f>
        <v>2.0354402069204962E-2</v>
      </c>
      <c r="T82" s="2235">
        <f>MIN(T73,T62)</f>
        <v>2.0354402069204962E-2</v>
      </c>
      <c r="U82" s="2235">
        <f t="shared" si="23"/>
        <v>0.22282665960017883</v>
      </c>
      <c r="V82" s="2235">
        <f t="shared" si="23"/>
        <v>0.12300081894181439</v>
      </c>
      <c r="W82" s="2235">
        <f t="shared" si="23"/>
        <v>0.12300081894181439</v>
      </c>
      <c r="X82" s="2235">
        <f t="shared" si="23"/>
        <v>1.754223700777784E-2</v>
      </c>
      <c r="Y82" s="2235">
        <f t="shared" si="23"/>
        <v>1.5601159508858542E-2</v>
      </c>
      <c r="Z82" s="2235">
        <f t="shared" si="23"/>
        <v>2.7467644250260864E-2</v>
      </c>
      <c r="AA82" s="2235">
        <f t="shared" si="23"/>
        <v>1.2461201679065631E-3</v>
      </c>
      <c r="AB82" s="3270">
        <f t="shared" si="23"/>
        <v>6.315727857926912E-3</v>
      </c>
      <c r="AC82" s="2235">
        <f t="shared" si="23"/>
        <v>8.5154918231512226E-3</v>
      </c>
      <c r="AD82" s="2235">
        <f t="shared" si="23"/>
        <v>4.3505584443829494E-2</v>
      </c>
      <c r="AE82" s="2235">
        <f t="shared" si="23"/>
        <v>0.34890349802377557</v>
      </c>
      <c r="AF82" s="2235">
        <f t="shared" si="23"/>
        <v>0</v>
      </c>
      <c r="AG82" s="3786">
        <f t="shared" si="23"/>
        <v>6.29011484708197E-3</v>
      </c>
      <c r="AH82" s="2235">
        <f t="shared" si="23"/>
        <v>4.7819012449342634E-2</v>
      </c>
      <c r="AI82" s="2235">
        <f t="shared" si="23"/>
        <v>9.5103001942881699E-3</v>
      </c>
      <c r="AJ82" s="2235">
        <f t="shared" si="23"/>
        <v>1.5332408405335814E-2</v>
      </c>
      <c r="AK82" s="2235">
        <f t="shared" si="23"/>
        <v>0.37132861944557133</v>
      </c>
      <c r="AL82" s="2235">
        <f t="shared" si="23"/>
        <v>0</v>
      </c>
      <c r="AM82" s="3271">
        <f t="shared" si="23"/>
        <v>0</v>
      </c>
      <c r="AN82" s="2235">
        <f t="shared" si="23"/>
        <v>0.10469744549099785</v>
      </c>
      <c r="AO82" s="2235">
        <f t="shared" si="23"/>
        <v>0.38334241569623678</v>
      </c>
      <c r="AP82" s="2235">
        <f t="shared" si="23"/>
        <v>0.22914151194741517</v>
      </c>
      <c r="AQ82" s="2235">
        <f t="shared" si="23"/>
        <v>0.56590208573839795</v>
      </c>
      <c r="AR82" s="2235">
        <f t="shared" si="23"/>
        <v>2.8264444973650038</v>
      </c>
      <c r="AS82" s="2235">
        <f t="shared" si="23"/>
        <v>0</v>
      </c>
      <c r="AT82" s="2235">
        <f t="shared" si="23"/>
        <v>0</v>
      </c>
      <c r="AU82" s="2235">
        <f t="shared" si="23"/>
        <v>0</v>
      </c>
      <c r="AV82" s="2235">
        <f t="shared" si="23"/>
        <v>0</v>
      </c>
      <c r="AW82" s="2235">
        <f t="shared" si="23"/>
        <v>0</v>
      </c>
      <c r="AX82" s="2235">
        <f t="shared" si="23"/>
        <v>0</v>
      </c>
      <c r="AY82" s="2235">
        <f t="shared" si="23"/>
        <v>0</v>
      </c>
      <c r="AZ82" s="2235">
        <f t="shared" si="23"/>
        <v>0</v>
      </c>
      <c r="BA82" s="2235">
        <f t="shared" si="23"/>
        <v>0</v>
      </c>
      <c r="BB82" s="2235">
        <f t="shared" si="23"/>
        <v>0</v>
      </c>
      <c r="BC82" s="2235">
        <f t="shared" si="23"/>
        <v>0</v>
      </c>
      <c r="BD82" s="3270">
        <f t="shared" si="23"/>
        <v>1.6724525926359499</v>
      </c>
      <c r="BE82" s="2235">
        <f t="shared" si="23"/>
        <v>0</v>
      </c>
      <c r="BF82" s="3271">
        <f t="shared" si="23"/>
        <v>0</v>
      </c>
      <c r="BG82" s="2235">
        <f t="shared" si="23"/>
        <v>7.8481636363636371E-3</v>
      </c>
      <c r="BH82" s="3273">
        <f t="shared" si="23"/>
        <v>32.570190666935673</v>
      </c>
      <c r="BI82" s="2235">
        <f t="shared" si="23"/>
        <v>0</v>
      </c>
    </row>
    <row r="83" spans="1:61" s="3166" customFormat="1" hidden="1">
      <c r="A83" s="3156"/>
      <c r="B83" s="3155"/>
      <c r="C83" s="2149"/>
      <c r="D83" s="3839"/>
      <c r="E83" s="3840" t="s">
        <v>626</v>
      </c>
      <c r="F83" s="3841"/>
      <c r="G83" s="3842"/>
      <c r="H83" s="766"/>
      <c r="I83" s="766"/>
      <c r="J83" s="530"/>
      <c r="K83" s="765"/>
      <c r="L83" s="766"/>
      <c r="M83" s="530"/>
      <c r="N83" s="530"/>
      <c r="O83" s="530"/>
      <c r="P83" s="530"/>
      <c r="Q83" s="530"/>
      <c r="R83" s="530"/>
      <c r="S83" s="530"/>
      <c r="T83" s="530"/>
      <c r="U83" s="530"/>
      <c r="V83" s="530"/>
      <c r="W83" s="530"/>
      <c r="X83" s="530"/>
      <c r="Y83" s="530"/>
      <c r="Z83" s="530"/>
      <c r="AA83" s="530"/>
      <c r="AB83" s="627"/>
      <c r="AC83" s="530"/>
      <c r="AD83" s="530"/>
      <c r="AE83" s="530"/>
      <c r="AF83" s="530"/>
      <c r="AG83" s="829"/>
      <c r="AH83" s="530"/>
      <c r="AI83" s="530"/>
      <c r="AJ83" s="530"/>
      <c r="AK83" s="530"/>
      <c r="AL83" s="530"/>
      <c r="AM83" s="628"/>
      <c r="AN83" s="530"/>
      <c r="AO83" s="530"/>
      <c r="AP83" s="530"/>
      <c r="AQ83" s="530"/>
      <c r="AR83" s="530"/>
      <c r="AS83" s="530"/>
      <c r="AT83" s="530"/>
      <c r="AU83" s="530"/>
      <c r="AV83" s="530"/>
      <c r="AW83" s="530"/>
      <c r="AX83" s="530"/>
      <c r="AY83" s="530"/>
      <c r="AZ83" s="530"/>
      <c r="BA83" s="530"/>
      <c r="BB83" s="530"/>
      <c r="BC83" s="530"/>
      <c r="BD83" s="627"/>
      <c r="BE83" s="530"/>
      <c r="BF83" s="628"/>
      <c r="BG83" s="530"/>
      <c r="BH83" s="629"/>
      <c r="BI83" s="530"/>
    </row>
    <row r="84" spans="1:61" s="2126" customFormat="1" hidden="1">
      <c r="A84" s="2375"/>
      <c r="B84" s="2156"/>
      <c r="C84" s="276"/>
      <c r="D84" s="3843"/>
      <c r="E84" s="2592" t="s">
        <v>670</v>
      </c>
      <c r="F84" s="2153" t="str">
        <f>F45</f>
        <v>Cs</v>
      </c>
      <c r="G84" s="2154" t="str">
        <f>G45</f>
        <v>mg/kg ms</v>
      </c>
      <c r="H84" s="2155">
        <f>ExpoRisk!H213</f>
        <v>3572.6658096956917</v>
      </c>
      <c r="I84" s="2155">
        <f>ExpoRisk!I213</f>
        <v>3572.6658096956917</v>
      </c>
      <c r="J84" s="2155">
        <f>ExpoRisk!J213</f>
        <v>38061.902956125879</v>
      </c>
      <c r="K84" s="3243">
        <f>ExpoRisk!K213</f>
        <v>14.649905454545456</v>
      </c>
      <c r="L84" s="2155">
        <f>ExpoRisk!L213</f>
        <v>23.100997448053402</v>
      </c>
      <c r="M84" s="2155">
        <f>ExpoRisk!M213</f>
        <v>23.100997448053402</v>
      </c>
      <c r="N84" s="2155">
        <f>ExpoRisk!N213</f>
        <v>52.946464823993082</v>
      </c>
      <c r="O84" s="2155">
        <f>ExpoRisk!O213</f>
        <v>52.946464823993082</v>
      </c>
      <c r="P84" s="2155">
        <f>ExpoRisk!P213</f>
        <v>9.2893993316328647</v>
      </c>
      <c r="Q84" s="2155">
        <f>ExpoRisk!Q213</f>
        <v>9.2893993316328647</v>
      </c>
      <c r="R84" s="2155">
        <f>ExpoRisk!R213</f>
        <v>104.64218181818184</v>
      </c>
      <c r="S84" s="2155">
        <f>ExpoRisk!S213</f>
        <v>22.648138238559238</v>
      </c>
      <c r="T84" s="2155">
        <f>ExpoRisk!T213</f>
        <v>22.648138238559238</v>
      </c>
      <c r="U84" s="2155">
        <f>ExpoRisk!U213</f>
        <v>9.9410072727272745</v>
      </c>
      <c r="V84" s="2155">
        <f>ExpoRisk!V213</f>
        <v>261.60545454545451</v>
      </c>
      <c r="W84" s="2155">
        <f>ExpoRisk!W213</f>
        <v>261.60545454545451</v>
      </c>
      <c r="X84" s="2155">
        <f>ExpoRisk!X213</f>
        <v>3.1980840324310131</v>
      </c>
      <c r="Y84" s="2155">
        <f>ExpoRisk!Y213</f>
        <v>109.77672079487719</v>
      </c>
      <c r="Z84" s="2155">
        <f>ExpoRisk!Z213</f>
        <v>151.83785863743765</v>
      </c>
      <c r="AA84" s="2155">
        <f>ExpoRisk!AA213</f>
        <v>185.07020517233119</v>
      </c>
      <c r="AB84" s="3243">
        <f>ExpoRisk!AB213</f>
        <v>192.092201524817</v>
      </c>
      <c r="AC84" s="2155">
        <f>ExpoRisk!AC213</f>
        <v>452.49519691724385</v>
      </c>
      <c r="AD84" s="2155">
        <f>ExpoRisk!AD213</f>
        <v>1097.9973364861983</v>
      </c>
      <c r="AE84" s="2155" t="str">
        <f>ExpoRisk!AE213</f>
        <v>PVL</v>
      </c>
      <c r="AF84" s="2155" t="str">
        <f>ExpoRisk!AF213</f>
        <v>PVL</v>
      </c>
      <c r="AG84" s="3721">
        <f>ExpoRisk!AG213</f>
        <v>4813.5403636363644</v>
      </c>
      <c r="AH84" s="2155">
        <f>ExpoRisk!AH213</f>
        <v>4813.5403636363626</v>
      </c>
      <c r="AI84" s="2155">
        <f>ExpoRisk!AI213</f>
        <v>377.83264003298774</v>
      </c>
      <c r="AJ84" s="2155">
        <f>ExpoRisk!AJ213</f>
        <v>859.13227743955849</v>
      </c>
      <c r="AK84" s="2155">
        <f>ExpoRisk!AK213</f>
        <v>2011.7586893702742</v>
      </c>
      <c r="AL84" s="2155" t="str">
        <f>ExpoRisk!AL213</f>
        <v>PVL</v>
      </c>
      <c r="AM84" s="3022" t="str">
        <f>ExpoRisk!AM213</f>
        <v>PVL</v>
      </c>
      <c r="AN84" s="2155">
        <f>ExpoRisk!AN213</f>
        <v>61.815036660693629</v>
      </c>
      <c r="AO84" s="2155" t="str">
        <f>ExpoRisk!AO213</f>
        <v>PVL</v>
      </c>
      <c r="AP84" s="2155" t="str">
        <f>ExpoRisk!AP213</f>
        <v>PVL</v>
      </c>
      <c r="AQ84" s="2155" t="str">
        <f>ExpoRisk!AQ213</f>
        <v>PVL</v>
      </c>
      <c r="AR84" s="2155" t="str">
        <f>ExpoRisk!AR213</f>
        <v>PVL</v>
      </c>
      <c r="AS84" s="2155" t="str">
        <f>ExpoRisk!AS213</f>
        <v>PVL</v>
      </c>
      <c r="AT84" s="2155" t="str">
        <f>ExpoRisk!AT213</f>
        <v>PVL</v>
      </c>
      <c r="AU84" s="2155" t="str">
        <f>ExpoRisk!AU213</f>
        <v>PVL</v>
      </c>
      <c r="AV84" s="2155" t="str">
        <f>ExpoRisk!AV213</f>
        <v>PVL</v>
      </c>
      <c r="AW84" s="2155" t="str">
        <f>ExpoRisk!AW213</f>
        <v>PVL</v>
      </c>
      <c r="AX84" s="2155" t="str">
        <f>ExpoRisk!AX213</f>
        <v>PVL</v>
      </c>
      <c r="AY84" s="2155" t="str">
        <f>ExpoRisk!AY213</f>
        <v>PVL</v>
      </c>
      <c r="AZ84" s="2155" t="str">
        <f>ExpoRisk!AZ213</f>
        <v>PVL</v>
      </c>
      <c r="BA84" s="2155" t="str">
        <f>ExpoRisk!BA213</f>
        <v>PVL</v>
      </c>
      <c r="BB84" s="2155" t="str">
        <f>ExpoRisk!BB213</f>
        <v>PVL</v>
      </c>
      <c r="BC84" s="2155" t="str">
        <f>ExpoRisk!BC213</f>
        <v>PVL</v>
      </c>
      <c r="BD84" s="3243">
        <f>ExpoRisk!BD213</f>
        <v>214.88655680215246</v>
      </c>
      <c r="BE84" s="2155">
        <f>ExpoRisk!BE213</f>
        <v>222.74278665483376</v>
      </c>
      <c r="BF84" s="3022">
        <f>ExpoRisk!BF213</f>
        <v>445.48557330966753</v>
      </c>
      <c r="BG84" s="3245">
        <v>1.4E-2</v>
      </c>
      <c r="BH84" s="3246">
        <f>ExpoRisk!BH213</f>
        <v>4.0905688492945949</v>
      </c>
      <c r="BI84" s="2155"/>
    </row>
    <row r="85" spans="1:61" s="2126" customFormat="1" hidden="1">
      <c r="A85" s="2375"/>
      <c r="B85" s="2156"/>
      <c r="C85" s="2149"/>
      <c r="D85" s="3839"/>
      <c r="E85" s="2592" t="s">
        <v>671</v>
      </c>
      <c r="F85" s="2153" t="str">
        <f>F84</f>
        <v>Cs</v>
      </c>
      <c r="G85" s="2154" t="str">
        <f>G84</f>
        <v>mg/kg ms</v>
      </c>
      <c r="H85" s="2155" t="str">
        <f>ExpoRisk!H214</f>
        <v>PVL</v>
      </c>
      <c r="I85" s="2155" t="str">
        <f>ExpoRisk!I214</f>
        <v>PVL</v>
      </c>
      <c r="J85" s="2155" t="str">
        <f>ExpoRisk!J214</f>
        <v>PVL</v>
      </c>
      <c r="K85" s="3243">
        <f>ExpoRisk!K214</f>
        <v>91.561909090909097</v>
      </c>
      <c r="L85" s="2155" t="str">
        <f>ExpoRisk!L214</f>
        <v>PVL</v>
      </c>
      <c r="M85" s="2155" t="str">
        <f>ExpoRisk!M214</f>
        <v>PVL</v>
      </c>
      <c r="N85" s="2155">
        <f>ExpoRisk!N214</f>
        <v>45.780954545454541</v>
      </c>
      <c r="O85" s="2155">
        <f>ExpoRisk!O214</f>
        <v>45.780954545454541</v>
      </c>
      <c r="P85" s="2155">
        <f>ExpoRisk!P214</f>
        <v>15.518967642526961</v>
      </c>
      <c r="Q85" s="2155">
        <f>ExpoRisk!Q214</f>
        <v>15.518967642526961</v>
      </c>
      <c r="R85" s="2155">
        <f>ExpoRisk!R214</f>
        <v>91.561909090909097</v>
      </c>
      <c r="S85" s="2155">
        <f>ExpoRisk!S214</f>
        <v>3.9809525691699599</v>
      </c>
      <c r="T85" s="2155">
        <f>ExpoRisk!T214</f>
        <v>3.9809525691699599</v>
      </c>
      <c r="U85" s="2155">
        <f>ExpoRisk!U214</f>
        <v>2.1800454545454544</v>
      </c>
      <c r="V85" s="2155" t="str">
        <f>ExpoRisk!V214</f>
        <v>PVL</v>
      </c>
      <c r="W85" s="2155" t="str">
        <f>ExpoRisk!W214</f>
        <v>PVL</v>
      </c>
      <c r="X85" s="2155">
        <f>ExpoRisk!X214</f>
        <v>15.260318181818182</v>
      </c>
      <c r="Y85" s="2155" t="str">
        <f>ExpoRisk!Y214</f>
        <v>PVL</v>
      </c>
      <c r="Z85" s="2155">
        <f>ExpoRisk!Z214</f>
        <v>36.624763636363639</v>
      </c>
      <c r="AA85" s="2155" t="str">
        <f>ExpoRisk!AA214</f>
        <v>PVL</v>
      </c>
      <c r="AB85" s="3243" t="str">
        <f>ExpoRisk!AB214</f>
        <v>PVL</v>
      </c>
      <c r="AC85" s="2155" t="str">
        <f>ExpoRisk!AC214</f>
        <v>PVL</v>
      </c>
      <c r="AD85" s="2155" t="str">
        <f>ExpoRisk!AD214</f>
        <v>PVL</v>
      </c>
      <c r="AE85" s="2155" t="str">
        <f>ExpoRisk!AE214</f>
        <v>PVL</v>
      </c>
      <c r="AF85" s="2155" t="str">
        <f>ExpoRisk!AF214</f>
        <v>PVL</v>
      </c>
      <c r="AG85" s="3721" t="str">
        <f>ExpoRisk!AG214</f>
        <v>PVL</v>
      </c>
      <c r="AH85" s="2155" t="str">
        <f>ExpoRisk!AH214</f>
        <v>PVL</v>
      </c>
      <c r="AI85" s="2155" t="str">
        <f>ExpoRisk!AI214</f>
        <v>PVL</v>
      </c>
      <c r="AJ85" s="2155" t="str">
        <f>ExpoRisk!AJ214</f>
        <v>PVL</v>
      </c>
      <c r="AK85" s="2155" t="str">
        <f>ExpoRisk!AK214</f>
        <v>PVL</v>
      </c>
      <c r="AL85" s="2155" t="str">
        <f>ExpoRisk!AL214</f>
        <v>PVL</v>
      </c>
      <c r="AM85" s="3022" t="str">
        <f>ExpoRisk!AM214</f>
        <v>PVL</v>
      </c>
      <c r="AN85" s="2155">
        <f>ExpoRisk!AN214</f>
        <v>12.676022110965874</v>
      </c>
      <c r="AO85" s="2155">
        <f>ExpoRisk!AO214</f>
        <v>814.69630491006035</v>
      </c>
      <c r="AP85" s="2155">
        <f>ExpoRisk!AP214</f>
        <v>636.8510746029375</v>
      </c>
      <c r="AQ85" s="2155">
        <f>ExpoRisk!AQ214</f>
        <v>1033.454585635367</v>
      </c>
      <c r="AR85" s="2155">
        <f>ExpoRisk!AR214</f>
        <v>2341.0356065412543</v>
      </c>
      <c r="AS85" s="2155">
        <f>ExpoRisk!AS214</f>
        <v>207.32425240211546</v>
      </c>
      <c r="AT85" s="2155">
        <f>ExpoRisk!AT214</f>
        <v>7568.910400425184</v>
      </c>
      <c r="AU85" s="2155">
        <f>ExpoRisk!AU214</f>
        <v>7626.0036299221192</v>
      </c>
      <c r="AV85" s="2155">
        <f>ExpoRisk!AV214</f>
        <v>191.28566360722678</v>
      </c>
      <c r="AW85" s="2155">
        <f>ExpoRisk!AW214</f>
        <v>1866.6396350524715</v>
      </c>
      <c r="AX85" s="2155">
        <f>ExpoRisk!AX214</f>
        <v>321.35797840545695</v>
      </c>
      <c r="AY85" s="2155">
        <f>ExpoRisk!AY214</f>
        <v>387.91209668370192</v>
      </c>
      <c r="AZ85" s="2155">
        <f>ExpoRisk!AZ214</f>
        <v>40.702674303525676</v>
      </c>
      <c r="BA85" s="2155">
        <f>ExpoRisk!BA214</f>
        <v>84.061211497304782</v>
      </c>
      <c r="BB85" s="2155">
        <f>ExpoRisk!BB214</f>
        <v>5795.3388985995298</v>
      </c>
      <c r="BC85" s="2155">
        <f>ExpoRisk!BC214</f>
        <v>1076.4415659035874</v>
      </c>
      <c r="BD85" s="3243" t="str">
        <f>ExpoRisk!BD214</f>
        <v>PVL</v>
      </c>
      <c r="BE85" s="2155">
        <f>ExpoRisk!BE214</f>
        <v>112.05958562308237</v>
      </c>
      <c r="BF85" s="3022">
        <f>ExpoRisk!BF214</f>
        <v>224.11917124616474</v>
      </c>
      <c r="BG85" s="2155" t="str">
        <f>ExpoRisk!BG214</f>
        <v>PVL</v>
      </c>
      <c r="BH85" s="3246" t="str">
        <f>ExpoRisk!BH214</f>
        <v>PVL</v>
      </c>
      <c r="BI85" s="2155"/>
    </row>
    <row r="86" spans="1:61" s="2126" customFormat="1" hidden="1">
      <c r="A86" s="2242"/>
      <c r="B86" s="2156"/>
      <c r="C86" s="2149"/>
      <c r="D86" s="3839"/>
      <c r="E86" s="2592" t="s">
        <v>672</v>
      </c>
      <c r="F86" s="2153" t="str">
        <f>F85</f>
        <v>Cs</v>
      </c>
      <c r="G86" s="2154" t="str">
        <f>G85</f>
        <v>mg/kg ms</v>
      </c>
      <c r="H86" s="2155">
        <f>ExpoRisk!H215</f>
        <v>3572.6658096956917</v>
      </c>
      <c r="I86" s="2155">
        <f>ExpoRisk!I215</f>
        <v>3572.6658096956917</v>
      </c>
      <c r="J86" s="2155">
        <f>ExpoRisk!J215</f>
        <v>38061.902956125879</v>
      </c>
      <c r="K86" s="3243">
        <f>ExpoRisk!K215</f>
        <v>14.649905454545456</v>
      </c>
      <c r="L86" s="2155">
        <f>ExpoRisk!L215</f>
        <v>23.100997448053402</v>
      </c>
      <c r="M86" s="2155">
        <f>ExpoRisk!M215</f>
        <v>23.100997448053402</v>
      </c>
      <c r="N86" s="2155">
        <f>ExpoRisk!N215</f>
        <v>45.780954545454541</v>
      </c>
      <c r="O86" s="2155">
        <f>ExpoRisk!O215</f>
        <v>45.780954545454541</v>
      </c>
      <c r="P86" s="2155">
        <f>ExpoRisk!P215</f>
        <v>9.2893993316328647</v>
      </c>
      <c r="Q86" s="2155">
        <f>ExpoRisk!Q215</f>
        <v>9.2893993316328647</v>
      </c>
      <c r="R86" s="2155">
        <f>ExpoRisk!R215</f>
        <v>91.561909090909097</v>
      </c>
      <c r="S86" s="2155">
        <f>ExpoRisk!S215</f>
        <v>3.9809525691699599</v>
      </c>
      <c r="T86" s="2155">
        <f>ExpoRisk!T215</f>
        <v>3.9809525691699599</v>
      </c>
      <c r="U86" s="2155">
        <f>ExpoRisk!U215</f>
        <v>2.1800454545454544</v>
      </c>
      <c r="V86" s="2155">
        <f>ExpoRisk!V215</f>
        <v>261.60545454545451</v>
      </c>
      <c r="W86" s="2155">
        <f>ExpoRisk!W215</f>
        <v>261.60545454545451</v>
      </c>
      <c r="X86" s="2155">
        <f>ExpoRisk!X215</f>
        <v>3.1980840324310131</v>
      </c>
      <c r="Y86" s="2155">
        <f>ExpoRisk!Y215</f>
        <v>109.77672079487719</v>
      </c>
      <c r="Z86" s="2155">
        <f>ExpoRisk!Z215</f>
        <v>36.624763636363639</v>
      </c>
      <c r="AA86" s="2155">
        <f>ExpoRisk!AA215</f>
        <v>185.07020517233119</v>
      </c>
      <c r="AB86" s="3243">
        <f>ExpoRisk!AB215</f>
        <v>192.092201524817</v>
      </c>
      <c r="AC86" s="2155">
        <f>ExpoRisk!AC215</f>
        <v>452.49519691724385</v>
      </c>
      <c r="AD86" s="2155">
        <f>ExpoRisk!AD215</f>
        <v>1097.9973364861983</v>
      </c>
      <c r="AE86" s="2155" t="str">
        <f>ExpoRisk!AE215</f>
        <v>PVL</v>
      </c>
      <c r="AF86" s="2155" t="str">
        <f>ExpoRisk!AF215</f>
        <v>PVL</v>
      </c>
      <c r="AG86" s="3721">
        <f>ExpoRisk!AG215</f>
        <v>4813.5403636363644</v>
      </c>
      <c r="AH86" s="2155">
        <f>ExpoRisk!AH215</f>
        <v>4813.5403636363626</v>
      </c>
      <c r="AI86" s="2155">
        <f>ExpoRisk!AI215</f>
        <v>377.83264003298774</v>
      </c>
      <c r="AJ86" s="2155">
        <f>ExpoRisk!AJ215</f>
        <v>859.13227743955849</v>
      </c>
      <c r="AK86" s="2155">
        <f>ExpoRisk!AK215</f>
        <v>2011.7586893702742</v>
      </c>
      <c r="AL86" s="2155" t="str">
        <f>ExpoRisk!AL215</f>
        <v>PVL</v>
      </c>
      <c r="AM86" s="3022" t="str">
        <f>ExpoRisk!AM215</f>
        <v>PVL</v>
      </c>
      <c r="AN86" s="2155">
        <f>ExpoRisk!AN215</f>
        <v>12.676022110965874</v>
      </c>
      <c r="AO86" s="2155">
        <f>ExpoRisk!AO215</f>
        <v>814.69630491006035</v>
      </c>
      <c r="AP86" s="2155">
        <f>ExpoRisk!AP215</f>
        <v>636.8510746029375</v>
      </c>
      <c r="AQ86" s="2155">
        <f>ExpoRisk!AQ215</f>
        <v>1033.454585635367</v>
      </c>
      <c r="AR86" s="2155">
        <f>ExpoRisk!AR215</f>
        <v>2341.0356065412543</v>
      </c>
      <c r="AS86" s="2155">
        <f>ExpoRisk!AS215</f>
        <v>207.32425240211546</v>
      </c>
      <c r="AT86" s="2155">
        <f>ExpoRisk!AT215</f>
        <v>7568.910400425184</v>
      </c>
      <c r="AU86" s="2155">
        <f>ExpoRisk!AU215</f>
        <v>7626.0036299221192</v>
      </c>
      <c r="AV86" s="2155">
        <f>ExpoRisk!AV215</f>
        <v>191.28566360722678</v>
      </c>
      <c r="AW86" s="2155">
        <f>ExpoRisk!AW215</f>
        <v>1866.6396350524715</v>
      </c>
      <c r="AX86" s="2155">
        <f>ExpoRisk!AX215</f>
        <v>321.35797840545695</v>
      </c>
      <c r="AY86" s="2155">
        <f>ExpoRisk!AY215</f>
        <v>387.91209668370192</v>
      </c>
      <c r="AZ86" s="2155">
        <f>ExpoRisk!AZ215</f>
        <v>40.702674303525676</v>
      </c>
      <c r="BA86" s="2155">
        <f>ExpoRisk!BA215</f>
        <v>84.061211497304782</v>
      </c>
      <c r="BB86" s="2155">
        <f>ExpoRisk!BB215</f>
        <v>5795.3388985995298</v>
      </c>
      <c r="BC86" s="2155">
        <f>ExpoRisk!BC215</f>
        <v>1076.4415659035874</v>
      </c>
      <c r="BD86" s="3243">
        <f>ExpoRisk!BD215</f>
        <v>214.88655680215246</v>
      </c>
      <c r="BE86" s="2155">
        <f>ExpoRisk!BE215</f>
        <v>112.05958562308237</v>
      </c>
      <c r="BF86" s="3022">
        <f>ExpoRisk!BF215</f>
        <v>224.11917124616474</v>
      </c>
      <c r="BG86" s="2155">
        <f>ExpoRisk!BG215</f>
        <v>7.8481636363636371E-3</v>
      </c>
      <c r="BH86" s="3246">
        <f>ExpoRisk!BH215</f>
        <v>4.0905688492945949</v>
      </c>
      <c r="BI86" s="2155"/>
    </row>
    <row r="87" spans="1:61" s="2274" customFormat="1" hidden="1">
      <c r="A87" s="2375"/>
      <c r="B87" s="2227"/>
      <c r="C87" s="240"/>
      <c r="D87" s="3844"/>
      <c r="E87" s="3722" t="s">
        <v>985</v>
      </c>
      <c r="F87" s="2225" t="s">
        <v>19</v>
      </c>
      <c r="G87" s="2226" t="s">
        <v>20</v>
      </c>
      <c r="H87" s="2273">
        <f>ExpoRisk!H216</f>
        <v>3572.6658096956917</v>
      </c>
      <c r="I87" s="2273">
        <f>ExpoRisk!I216</f>
        <v>3572.6658096956917</v>
      </c>
      <c r="J87" s="2273">
        <f>ExpoRisk!J216</f>
        <v>38061.902956125879</v>
      </c>
      <c r="K87" s="3284">
        <f>ExpoRisk!K216</f>
        <v>14.649905454545456</v>
      </c>
      <c r="L87" s="2273">
        <f>ExpoRisk!L216</f>
        <v>23.100997448053402</v>
      </c>
      <c r="M87" s="2273">
        <f>ExpoRisk!M216</f>
        <v>23.100997448053402</v>
      </c>
      <c r="N87" s="2273">
        <f>ExpoRisk!N216</f>
        <v>45.780954545454541</v>
      </c>
      <c r="O87" s="2273">
        <f>ExpoRisk!O216</f>
        <v>45.780954545454541</v>
      </c>
      <c r="P87" s="2273">
        <f>ExpoRisk!P216</f>
        <v>9.2893993316328647</v>
      </c>
      <c r="Q87" s="2273">
        <f>ExpoRisk!Q216</f>
        <v>9.2893993316328647</v>
      </c>
      <c r="R87" s="2273">
        <f>ExpoRisk!R216</f>
        <v>91.561909090909097</v>
      </c>
      <c r="S87" s="2273">
        <f>ExpoRisk!S216</f>
        <v>3.9809525691699599</v>
      </c>
      <c r="T87" s="2273">
        <f>ExpoRisk!T216</f>
        <v>3.9809525691699599</v>
      </c>
      <c r="U87" s="2273">
        <f>ExpoRisk!U216</f>
        <v>2.1800454545454544</v>
      </c>
      <c r="V87" s="2273">
        <f>ExpoRisk!V216</f>
        <v>261.60545454545451</v>
      </c>
      <c r="W87" s="2273">
        <f>ExpoRisk!W216</f>
        <v>261.60545454545451</v>
      </c>
      <c r="X87" s="2273">
        <f>ExpoRisk!X216</f>
        <v>3.1980840324310131</v>
      </c>
      <c r="Y87" s="2273">
        <f>ExpoRisk!Y216</f>
        <v>109.77672079487719</v>
      </c>
      <c r="Z87" s="2273">
        <f>ExpoRisk!Z216</f>
        <v>36.624763636363639</v>
      </c>
      <c r="AA87" s="2273" t="str">
        <f>ExpoRisk!AA216</f>
        <v>PVL</v>
      </c>
      <c r="AB87" s="3284" t="str">
        <f>ExpoRisk!AB216</f>
        <v>PVL</v>
      </c>
      <c r="AC87" s="2273" t="str">
        <f>ExpoRisk!AC216</f>
        <v>PVL</v>
      </c>
      <c r="AD87" s="2273" t="str">
        <f>ExpoRisk!AD216</f>
        <v>PVL</v>
      </c>
      <c r="AE87" s="2273" t="str">
        <f>ExpoRisk!AE216</f>
        <v>PVL</v>
      </c>
      <c r="AF87" s="2273" t="str">
        <f>ExpoRisk!AF216</f>
        <v>PVL</v>
      </c>
      <c r="AG87" s="3723" t="str">
        <f>ExpoRisk!AG216</f>
        <v>PVL</v>
      </c>
      <c r="AH87" s="2273" t="str">
        <f>ExpoRisk!AH216</f>
        <v>PVL</v>
      </c>
      <c r="AI87" s="2273" t="str">
        <f>ExpoRisk!AI216</f>
        <v>PVL</v>
      </c>
      <c r="AJ87" s="2273" t="str">
        <f>ExpoRisk!AJ216</f>
        <v>PVL</v>
      </c>
      <c r="AK87" s="2273" t="str">
        <f>ExpoRisk!AK216</f>
        <v>PVL</v>
      </c>
      <c r="AL87" s="2273" t="str">
        <f>ExpoRisk!AL216</f>
        <v>PVL</v>
      </c>
      <c r="AM87" s="3285" t="str">
        <f>ExpoRisk!AM216</f>
        <v>PVL</v>
      </c>
      <c r="AN87" s="2273">
        <f>ExpoRisk!AN216</f>
        <v>12.676022110965874</v>
      </c>
      <c r="AO87" s="2273" t="str">
        <f>ExpoRisk!AO216</f>
        <v>PVL</v>
      </c>
      <c r="AP87" s="2273" t="str">
        <f>ExpoRisk!AP216</f>
        <v>PVL</v>
      </c>
      <c r="AQ87" s="2273" t="str">
        <f>ExpoRisk!AQ216</f>
        <v>PVL</v>
      </c>
      <c r="AR87" s="2273" t="str">
        <f>ExpoRisk!AR216</f>
        <v>PVL</v>
      </c>
      <c r="AS87" s="2273" t="str">
        <f>ExpoRisk!AS216</f>
        <v>PVL</v>
      </c>
      <c r="AT87" s="2273" t="str">
        <f>ExpoRisk!AT216</f>
        <v>PVL</v>
      </c>
      <c r="AU87" s="2273" t="str">
        <f>ExpoRisk!AU216</f>
        <v>PVL</v>
      </c>
      <c r="AV87" s="2273" t="str">
        <f>ExpoRisk!AV216</f>
        <v>PVL</v>
      </c>
      <c r="AW87" s="2273" t="str">
        <f>ExpoRisk!AW216</f>
        <v>PVL</v>
      </c>
      <c r="AX87" s="2273" t="str">
        <f>ExpoRisk!AX216</f>
        <v>PVL</v>
      </c>
      <c r="AY87" s="2273" t="str">
        <f>ExpoRisk!AY216</f>
        <v>PVL</v>
      </c>
      <c r="AZ87" s="2273" t="str">
        <f>ExpoRisk!AZ216</f>
        <v>PVL</v>
      </c>
      <c r="BA87" s="2273" t="str">
        <f>ExpoRisk!BA216</f>
        <v>PVL</v>
      </c>
      <c r="BB87" s="2273" t="str">
        <f>ExpoRisk!BB216</f>
        <v>PVL</v>
      </c>
      <c r="BC87" s="2273" t="str">
        <f>ExpoRisk!BC216</f>
        <v>PVL</v>
      </c>
      <c r="BD87" s="3284">
        <f>ExpoRisk!BD216</f>
        <v>214.88655680215246</v>
      </c>
      <c r="BE87" s="2273" t="str">
        <f>ExpoRisk!BE216</f>
        <v>PVL</v>
      </c>
      <c r="BF87" s="3285" t="str">
        <f>ExpoRisk!BF216</f>
        <v>PVL</v>
      </c>
      <c r="BG87" s="3245">
        <f>BG84</f>
        <v>1.4E-2</v>
      </c>
      <c r="BH87" s="3287">
        <f>ExpoRisk!BH216</f>
        <v>4.0905688492945949</v>
      </c>
      <c r="BI87" s="2273"/>
    </row>
    <row r="88" spans="1:61" s="2126" customFormat="1" ht="13.5" hidden="1" thickBot="1">
      <c r="A88" s="2375"/>
      <c r="B88" s="2156"/>
      <c r="C88" s="2241"/>
      <c r="D88" s="3845"/>
      <c r="E88" s="2592" t="s">
        <v>476</v>
      </c>
      <c r="F88" s="2153" t="s">
        <v>93</v>
      </c>
      <c r="G88" s="2154" t="s">
        <v>24</v>
      </c>
      <c r="H88" s="2155">
        <f>ExpoRisk!H217</f>
        <v>9412.1578843298739</v>
      </c>
      <c r="I88" s="2155">
        <f>ExpoRisk!I217</f>
        <v>9412.1578843298739</v>
      </c>
      <c r="J88" s="2155">
        <f>ExpoRisk!J217</f>
        <v>658267.86738053837</v>
      </c>
      <c r="K88" s="3243">
        <f>ExpoRisk!K217</f>
        <v>56450.681890396372</v>
      </c>
      <c r="L88" s="2155">
        <f>ExpoRisk!L217</f>
        <v>16642.856419069733</v>
      </c>
      <c r="M88" s="2155">
        <f>ExpoRisk!M217</f>
        <v>16642.856419069733</v>
      </c>
      <c r="N88" s="2155">
        <f>ExpoRisk!N217</f>
        <v>65051.551562152286</v>
      </c>
      <c r="O88" s="2155">
        <f>ExpoRisk!O217</f>
        <v>65051.551562152286</v>
      </c>
      <c r="P88" s="2155">
        <f>ExpoRisk!P217</f>
        <v>14410.534926816785</v>
      </c>
      <c r="Q88" s="2155">
        <f>ExpoRisk!Q217</f>
        <v>14410.534926816785</v>
      </c>
      <c r="R88" s="2155">
        <f>ExpoRisk!R217</f>
        <v>57095.741629831115</v>
      </c>
      <c r="S88" s="2155">
        <f>ExpoRisk!S217</f>
        <v>2328.9496685225176</v>
      </c>
      <c r="T88" s="2155">
        <f>ExpoRisk!T217</f>
        <v>2328.9496685225176</v>
      </c>
      <c r="U88" s="2155">
        <f>ExpoRisk!U217</f>
        <v>6004.4201216823349</v>
      </c>
      <c r="V88" s="2155">
        <f>ExpoRisk!V217</f>
        <v>1179365.3413826337</v>
      </c>
      <c r="W88" s="2155">
        <f>ExpoRisk!W217</f>
        <v>1179365.3413826337</v>
      </c>
      <c r="X88" s="2155">
        <f>ExpoRisk!X217</f>
        <v>2765.8841464130337</v>
      </c>
      <c r="Y88" s="2155">
        <f>ExpoRisk!Y217</f>
        <v>65799.792955346216</v>
      </c>
      <c r="Z88" s="2155">
        <f>ExpoRisk!Z217</f>
        <v>13000.799391486573</v>
      </c>
      <c r="AA88" s="2155" t="str">
        <f>ExpoRisk!AA217</f>
        <v>PVL</v>
      </c>
      <c r="AB88" s="3243" t="str">
        <f>ExpoRisk!AB217</f>
        <v>PVL</v>
      </c>
      <c r="AC88" s="2155" t="str">
        <f>ExpoRisk!AC217</f>
        <v>PVL</v>
      </c>
      <c r="AD88" s="2155" t="str">
        <f>ExpoRisk!AD217</f>
        <v>PVL</v>
      </c>
      <c r="AE88" s="2155" t="str">
        <f>ExpoRisk!AE217</f>
        <v>PVL</v>
      </c>
      <c r="AF88" s="2155" t="str">
        <f>ExpoRisk!AF217</f>
        <v>PVL</v>
      </c>
      <c r="AG88" s="3721" t="str">
        <f>ExpoRisk!AG217</f>
        <v>PVL</v>
      </c>
      <c r="AH88" s="2155" t="str">
        <f>ExpoRisk!AH217</f>
        <v>PVL</v>
      </c>
      <c r="AI88" s="2155" t="str">
        <f>ExpoRisk!AI217</f>
        <v>PVL</v>
      </c>
      <c r="AJ88" s="2155" t="str">
        <f>ExpoRisk!AJ217</f>
        <v>PVL</v>
      </c>
      <c r="AK88" s="2155" t="str">
        <f>ExpoRisk!AK217</f>
        <v>PVL</v>
      </c>
      <c r="AL88" s="2155" t="str">
        <f>ExpoRisk!AL217</f>
        <v>PVL</v>
      </c>
      <c r="AM88" s="3022" t="str">
        <f>ExpoRisk!AM217</f>
        <v>PVL</v>
      </c>
      <c r="AN88" s="2155">
        <f>ExpoRisk!AN217</f>
        <v>54.183738765448929</v>
      </c>
      <c r="AO88" s="2155" t="str">
        <f>ExpoRisk!AO217</f>
        <v>PVL</v>
      </c>
      <c r="AP88" s="2155" t="str">
        <f>ExpoRisk!AP217</f>
        <v>PVL</v>
      </c>
      <c r="AQ88" s="2155" t="str">
        <f>ExpoRisk!AQ217</f>
        <v>PVL</v>
      </c>
      <c r="AR88" s="2155" t="str">
        <f>ExpoRisk!AR217</f>
        <v>PVL</v>
      </c>
      <c r="AS88" s="2155" t="str">
        <f>ExpoRisk!AS217</f>
        <v>PVL</v>
      </c>
      <c r="AT88" s="2155" t="str">
        <f>ExpoRisk!AT217</f>
        <v>PVL</v>
      </c>
      <c r="AU88" s="2155" t="str">
        <f>ExpoRisk!AU217</f>
        <v>PVL</v>
      </c>
      <c r="AV88" s="2155" t="str">
        <f>ExpoRisk!AV217</f>
        <v>PVL</v>
      </c>
      <c r="AW88" s="2155" t="str">
        <f>ExpoRisk!AW217</f>
        <v>PVL</v>
      </c>
      <c r="AX88" s="2155" t="str">
        <f>ExpoRisk!AX217</f>
        <v>PVL</v>
      </c>
      <c r="AY88" s="2155" t="str">
        <f>ExpoRisk!AY217</f>
        <v>PVL</v>
      </c>
      <c r="AZ88" s="2155" t="str">
        <f>ExpoRisk!AZ217</f>
        <v>PVL</v>
      </c>
      <c r="BA88" s="2155" t="str">
        <f>ExpoRisk!BA217</f>
        <v>PVL</v>
      </c>
      <c r="BB88" s="2155" t="str">
        <f>ExpoRisk!BB217</f>
        <v>PVL</v>
      </c>
      <c r="BC88" s="2155" t="str">
        <f>ExpoRisk!BC217</f>
        <v>PVL</v>
      </c>
      <c r="BD88" s="3243">
        <f>ExpoRisk!BD217</f>
        <v>20.10202590422794</v>
      </c>
      <c r="BE88" s="2155" t="str">
        <f>ExpoRisk!BE217</f>
        <v>PVL</v>
      </c>
      <c r="BF88" s="3022" t="str">
        <f>ExpoRisk!BF217</f>
        <v>PVL</v>
      </c>
      <c r="BG88" s="2155" t="str">
        <f>ExpoRisk!BG217</f>
        <v>Saturation</v>
      </c>
      <c r="BH88" s="3246">
        <f>ExpoRisk!BH217</f>
        <v>0.50885829224279044</v>
      </c>
      <c r="BI88" s="2155"/>
    </row>
    <row r="89" spans="1:61" s="3853" customFormat="1" ht="12" customHeight="1" thickBot="1">
      <c r="A89" s="3846"/>
      <c r="B89" s="3847"/>
      <c r="C89" s="3848"/>
      <c r="D89" s="3849"/>
      <c r="E89" s="3850" t="s">
        <v>993</v>
      </c>
      <c r="F89" s="2182"/>
      <c r="G89" s="2183"/>
      <c r="H89" s="2184"/>
      <c r="I89" s="2184"/>
      <c r="J89" s="2184"/>
      <c r="K89" s="2184"/>
      <c r="L89" s="2184"/>
      <c r="M89" s="2184"/>
      <c r="N89" s="2184"/>
      <c r="O89" s="2184"/>
      <c r="P89" s="2184"/>
      <c r="Q89" s="2184"/>
      <c r="R89" s="2184"/>
      <c r="S89" s="2184"/>
      <c r="T89" s="2184"/>
      <c r="U89" s="2184"/>
      <c r="V89" s="2184"/>
      <c r="W89" s="2184"/>
      <c r="X89" s="2184"/>
      <c r="Y89" s="2184"/>
      <c r="Z89" s="2184"/>
      <c r="AA89" s="2184"/>
      <c r="AB89" s="2184"/>
      <c r="AC89" s="2184"/>
      <c r="AD89" s="2184"/>
      <c r="AE89" s="2184"/>
      <c r="AF89" s="2184"/>
      <c r="AG89" s="2184"/>
      <c r="AH89" s="2184"/>
      <c r="AI89" s="2184"/>
      <c r="AJ89" s="2184"/>
      <c r="AK89" s="2184"/>
      <c r="AL89" s="2184"/>
      <c r="AM89" s="3851"/>
      <c r="AN89" s="2184"/>
      <c r="AO89" s="2184"/>
      <c r="AP89" s="2184"/>
      <c r="AQ89" s="2184"/>
      <c r="AR89" s="2184"/>
      <c r="AS89" s="2184"/>
      <c r="AT89" s="2184"/>
      <c r="AU89" s="2184"/>
      <c r="AV89" s="2184"/>
      <c r="AW89" s="2184"/>
      <c r="AX89" s="2184"/>
      <c r="AY89" s="2184"/>
      <c r="AZ89" s="2184"/>
      <c r="BA89" s="2184"/>
      <c r="BB89" s="2184"/>
      <c r="BC89" s="2184"/>
      <c r="BD89" s="2184"/>
      <c r="BE89" s="2184"/>
      <c r="BF89" s="2184"/>
      <c r="BG89" s="2184"/>
      <c r="BH89" s="3852"/>
      <c r="BI89" s="2184"/>
    </row>
    <row r="90" spans="1:61" s="3166" customFormat="1" hidden="1">
      <c r="A90" s="3156"/>
      <c r="B90" s="3155"/>
      <c r="C90" s="240"/>
      <c r="D90" s="3238"/>
      <c r="E90" s="3050" t="s">
        <v>627</v>
      </c>
      <c r="F90" s="3216"/>
      <c r="G90" s="2154"/>
      <c r="H90" s="627"/>
      <c r="I90" s="530"/>
      <c r="J90" s="530"/>
      <c r="K90" s="627"/>
      <c r="L90" s="530"/>
      <c r="M90" s="530"/>
      <c r="N90" s="530"/>
      <c r="O90" s="530"/>
      <c r="P90" s="530"/>
      <c r="Q90" s="530"/>
      <c r="R90" s="530"/>
      <c r="S90" s="530"/>
      <c r="T90" s="530"/>
      <c r="U90" s="530"/>
      <c r="V90" s="530"/>
      <c r="W90" s="530"/>
      <c r="X90" s="530"/>
      <c r="Y90" s="530"/>
      <c r="Z90" s="530"/>
      <c r="AA90" s="530"/>
      <c r="AB90" s="627"/>
      <c r="AC90" s="530"/>
      <c r="AD90" s="530"/>
      <c r="AE90" s="530"/>
      <c r="AF90" s="530"/>
      <c r="AG90" s="829"/>
      <c r="AH90" s="530"/>
      <c r="AI90" s="530"/>
      <c r="AJ90" s="530"/>
      <c r="AK90" s="530"/>
      <c r="AL90" s="530"/>
      <c r="AM90" s="628"/>
      <c r="AN90" s="530"/>
      <c r="AO90" s="530"/>
      <c r="AP90" s="530"/>
      <c r="AQ90" s="530"/>
      <c r="AR90" s="530"/>
      <c r="AS90" s="530"/>
      <c r="AT90" s="530"/>
      <c r="AU90" s="530"/>
      <c r="AV90" s="530"/>
      <c r="AW90" s="530"/>
      <c r="AX90" s="530"/>
      <c r="AY90" s="530"/>
      <c r="AZ90" s="530"/>
      <c r="BA90" s="530"/>
      <c r="BB90" s="530"/>
      <c r="BC90" s="530"/>
      <c r="BD90" s="627"/>
      <c r="BE90" s="530"/>
      <c r="BF90" s="628"/>
      <c r="BG90" s="530"/>
      <c r="BH90" s="629"/>
      <c r="BI90" s="530"/>
    </row>
    <row r="91" spans="1:61" s="2126" customFormat="1" hidden="1">
      <c r="A91" s="2375"/>
      <c r="B91" s="2156"/>
      <c r="E91" s="2592" t="s">
        <v>670</v>
      </c>
      <c r="F91" s="2153" t="s">
        <v>19</v>
      </c>
      <c r="G91" s="2154" t="s">
        <v>20</v>
      </c>
      <c r="H91" s="3243">
        <v>0</v>
      </c>
      <c r="I91" s="2155">
        <v>2191.0042258112398</v>
      </c>
      <c r="J91" s="2155">
        <v>2748.1893273665305</v>
      </c>
      <c r="K91" s="3243">
        <v>8.3722240000000028</v>
      </c>
      <c r="L91" s="2155">
        <v>11.45668921494269</v>
      </c>
      <c r="M91" s="2155">
        <v>11.45668921494269</v>
      </c>
      <c r="N91" s="2155">
        <v>29.900800000000004</v>
      </c>
      <c r="O91" s="2155">
        <v>29.900800000000004</v>
      </c>
      <c r="P91" s="2155">
        <v>5.2326400000000008</v>
      </c>
      <c r="Q91" s="2155">
        <v>5.2326400000000008</v>
      </c>
      <c r="R91" s="2155">
        <v>2.4907697736790411</v>
      </c>
      <c r="S91" s="2155">
        <v>11.147744279592089</v>
      </c>
      <c r="T91" s="2155">
        <v>11.147744279592089</v>
      </c>
      <c r="U91" s="2155">
        <v>5.681152</v>
      </c>
      <c r="V91" s="2155">
        <v>274.51616191583679</v>
      </c>
      <c r="W91" s="2155">
        <v>274.51616191583679</v>
      </c>
      <c r="X91" s="2155">
        <v>1.5663037092258811</v>
      </c>
      <c r="Y91" s="2155">
        <v>54.799322524727273</v>
      </c>
      <c r="Z91" s="2155">
        <v>78.274575708136624</v>
      </c>
      <c r="AA91" s="2155">
        <v>104.65279999999998</v>
      </c>
      <c r="AB91" s="3243">
        <v>107.49443012002149</v>
      </c>
      <c r="AC91" s="2155">
        <v>329.64104048117611</v>
      </c>
      <c r="AD91" s="2155">
        <v>1364.9118543979573</v>
      </c>
      <c r="AE91" s="2155" t="s">
        <v>498</v>
      </c>
      <c r="AF91" s="2155" t="s">
        <v>498</v>
      </c>
      <c r="AG91" s="3721">
        <v>2750.8735999999999</v>
      </c>
      <c r="AH91" s="2155">
        <v>2750.8736000000004</v>
      </c>
      <c r="AI91" s="2155">
        <v>186.82377971933545</v>
      </c>
      <c r="AJ91" s="2155">
        <v>470.60358553181504</v>
      </c>
      <c r="AK91" s="2155">
        <v>1395.3655453243891</v>
      </c>
      <c r="AL91" s="2155" t="s">
        <v>498</v>
      </c>
      <c r="AM91" s="3022" t="s">
        <v>498</v>
      </c>
      <c r="AN91" s="2155">
        <v>51.492626484514297</v>
      </c>
      <c r="AO91" s="2155" t="s">
        <v>498</v>
      </c>
      <c r="AP91" s="2155" t="s">
        <v>498</v>
      </c>
      <c r="AQ91" s="2155" t="s">
        <v>498</v>
      </c>
      <c r="AR91" s="2155" t="s">
        <v>498</v>
      </c>
      <c r="AS91" s="2155" t="s">
        <v>498</v>
      </c>
      <c r="AT91" s="2155" t="s">
        <v>498</v>
      </c>
      <c r="AU91" s="2155" t="s">
        <v>498</v>
      </c>
      <c r="AV91" s="2155" t="s">
        <v>498</v>
      </c>
      <c r="AW91" s="2155" t="s">
        <v>498</v>
      </c>
      <c r="AX91" s="2155" t="s">
        <v>498</v>
      </c>
      <c r="AY91" s="2155" t="s">
        <v>498</v>
      </c>
      <c r="AZ91" s="2155" t="s">
        <v>498</v>
      </c>
      <c r="BA91" s="2155" t="s">
        <v>498</v>
      </c>
      <c r="BB91" s="2155" t="s">
        <v>498</v>
      </c>
      <c r="BC91" s="2155" t="s">
        <v>498</v>
      </c>
      <c r="BD91" s="3243">
        <v>863.45157966215129</v>
      </c>
      <c r="BE91" s="2155">
        <v>22056.589925835764</v>
      </c>
      <c r="BF91" s="3022">
        <v>44113.179851671528</v>
      </c>
      <c r="BG91" s="2155">
        <v>4.4851199999999996E-3</v>
      </c>
      <c r="BH91" s="3246">
        <v>18.974818145732929</v>
      </c>
      <c r="BI91" s="2155">
        <v>8.6175994834419818</v>
      </c>
    </row>
    <row r="92" spans="1:61" s="2126" customFormat="1" hidden="1">
      <c r="A92" s="2375"/>
      <c r="B92" s="2156"/>
      <c r="E92" s="2592" t="s">
        <v>671</v>
      </c>
      <c r="F92" s="2153" t="s">
        <v>19</v>
      </c>
      <c r="G92" s="2154" t="s">
        <v>20</v>
      </c>
      <c r="H92" s="3243" t="s">
        <v>498</v>
      </c>
      <c r="I92" s="2155" t="s">
        <v>498</v>
      </c>
      <c r="J92" s="2155" t="s">
        <v>498</v>
      </c>
      <c r="K92" s="3243">
        <v>52.3264</v>
      </c>
      <c r="L92" s="2155" t="s">
        <v>498</v>
      </c>
      <c r="M92" s="2155" t="s">
        <v>498</v>
      </c>
      <c r="N92" s="2155">
        <v>26.163199999999993</v>
      </c>
      <c r="O92" s="2155">
        <v>26.163199999999993</v>
      </c>
      <c r="P92" s="2155">
        <v>8.8688813559322011</v>
      </c>
      <c r="Q92" s="2155">
        <v>8.8688813559322011</v>
      </c>
      <c r="R92" s="2155">
        <v>52.3264</v>
      </c>
      <c r="S92" s="2155">
        <v>2.2750608695652175</v>
      </c>
      <c r="T92" s="2155">
        <v>2.2750608695652175</v>
      </c>
      <c r="U92" s="2155">
        <v>1.2458666666666662</v>
      </c>
      <c r="V92" s="2155" t="s">
        <v>498</v>
      </c>
      <c r="W92" s="2155" t="s">
        <v>498</v>
      </c>
      <c r="X92" s="2155">
        <v>8.7210666666666654</v>
      </c>
      <c r="Y92" s="2155" t="s">
        <v>498</v>
      </c>
      <c r="Z92" s="2155">
        <v>20.93056</v>
      </c>
      <c r="AA92" s="2155" t="s">
        <v>498</v>
      </c>
      <c r="AB92" s="3243" t="s">
        <v>498</v>
      </c>
      <c r="AC92" s="2155" t="s">
        <v>498</v>
      </c>
      <c r="AD92" s="2155" t="s">
        <v>498</v>
      </c>
      <c r="AE92" s="2155" t="s">
        <v>498</v>
      </c>
      <c r="AF92" s="2155" t="s">
        <v>498</v>
      </c>
      <c r="AG92" s="3721" t="s">
        <v>498</v>
      </c>
      <c r="AH92" s="2155" t="s">
        <v>498</v>
      </c>
      <c r="AI92" s="2155" t="s">
        <v>498</v>
      </c>
      <c r="AJ92" s="2155" t="s">
        <v>498</v>
      </c>
      <c r="AK92" s="2155" t="s">
        <v>498</v>
      </c>
      <c r="AL92" s="2155" t="s">
        <v>498</v>
      </c>
      <c r="AM92" s="3022" t="s">
        <v>498</v>
      </c>
      <c r="AN92" s="2155">
        <v>9.1604669046782199</v>
      </c>
      <c r="AO92" s="2155">
        <v>769.73793241904821</v>
      </c>
      <c r="AP92" s="2155">
        <v>535.13368276392089</v>
      </c>
      <c r="AQ92" s="2155">
        <v>1078.9120575431421</v>
      </c>
      <c r="AR92" s="2155">
        <v>4258.1628635722282</v>
      </c>
      <c r="AS92" s="2155">
        <v>969.60594800601586</v>
      </c>
      <c r="AT92" s="2155">
        <v>42693.777814207438</v>
      </c>
      <c r="AU92" s="2155">
        <v>43804.451613587378</v>
      </c>
      <c r="AV92" s="2155">
        <v>2876.6943239505963</v>
      </c>
      <c r="AW92" s="2155">
        <v>232328.76088926633</v>
      </c>
      <c r="AX92" s="2155">
        <v>108058.99206876886</v>
      </c>
      <c r="AY92" s="2155">
        <v>202596.54017547672</v>
      </c>
      <c r="AZ92" s="2155">
        <v>55943.83380231879</v>
      </c>
      <c r="BA92" s="2155">
        <v>38151.034092031761</v>
      </c>
      <c r="BB92" s="2155">
        <v>410439.46274852112</v>
      </c>
      <c r="BC92" s="2155">
        <v>161316.91448327704</v>
      </c>
      <c r="BD92" s="3243" t="s">
        <v>498</v>
      </c>
      <c r="BE92" s="2155" t="s">
        <v>498</v>
      </c>
      <c r="BF92" s="3022">
        <v>730.04188708141419</v>
      </c>
      <c r="BG92" s="2155" t="s">
        <v>498</v>
      </c>
      <c r="BH92" s="3246" t="s">
        <v>498</v>
      </c>
      <c r="BI92" s="2155" t="s">
        <v>498</v>
      </c>
    </row>
    <row r="93" spans="1:61" s="2126" customFormat="1" hidden="1">
      <c r="A93" s="2242"/>
      <c r="B93" s="2156"/>
      <c r="C93" s="2149"/>
      <c r="D93" s="3248"/>
      <c r="E93" s="2592" t="s">
        <v>672</v>
      </c>
      <c r="F93" s="2153" t="s">
        <v>19</v>
      </c>
      <c r="G93" s="2154" t="s">
        <v>20</v>
      </c>
      <c r="H93" s="3243">
        <v>0</v>
      </c>
      <c r="I93" s="2155">
        <v>2191.0042258112398</v>
      </c>
      <c r="J93" s="2155">
        <v>2748.1893273665305</v>
      </c>
      <c r="K93" s="3243">
        <v>8.3722240000000028</v>
      </c>
      <c r="L93" s="2155">
        <v>11.45668921494269</v>
      </c>
      <c r="M93" s="2155">
        <v>11.45668921494269</v>
      </c>
      <c r="N93" s="2155">
        <v>26.163199999999993</v>
      </c>
      <c r="O93" s="2155">
        <v>26.163199999999993</v>
      </c>
      <c r="P93" s="2155">
        <v>5.2326400000000008</v>
      </c>
      <c r="Q93" s="2155">
        <v>5.2326400000000008</v>
      </c>
      <c r="R93" s="2155">
        <v>2.4907697736790411</v>
      </c>
      <c r="S93" s="2155">
        <v>2.2750608695652175</v>
      </c>
      <c r="T93" s="2155">
        <v>2.2750608695652175</v>
      </c>
      <c r="U93" s="2155">
        <v>1.2458666666666662</v>
      </c>
      <c r="V93" s="2155">
        <v>274.51616191583679</v>
      </c>
      <c r="W93" s="2155">
        <v>274.51616191583679</v>
      </c>
      <c r="X93" s="2155">
        <v>1.5663037092258811</v>
      </c>
      <c r="Y93" s="2155">
        <v>54.799322524727273</v>
      </c>
      <c r="Z93" s="2155">
        <v>20.93056</v>
      </c>
      <c r="AA93" s="2155">
        <v>104.65279999999998</v>
      </c>
      <c r="AB93" s="3243">
        <v>107.49443012002149</v>
      </c>
      <c r="AC93" s="2155">
        <v>329.64104048117611</v>
      </c>
      <c r="AD93" s="2155">
        <v>1364.9118543979573</v>
      </c>
      <c r="AE93" s="2155" t="s">
        <v>498</v>
      </c>
      <c r="AF93" s="2155" t="s">
        <v>498</v>
      </c>
      <c r="AG93" s="3721">
        <v>2750.8735999999999</v>
      </c>
      <c r="AH93" s="2155">
        <v>2750.8736000000004</v>
      </c>
      <c r="AI93" s="2155">
        <v>186.82377971933545</v>
      </c>
      <c r="AJ93" s="2155">
        <v>470.60358553181504</v>
      </c>
      <c r="AK93" s="2155">
        <v>1395.3655453243891</v>
      </c>
      <c r="AL93" s="2155" t="s">
        <v>498</v>
      </c>
      <c r="AM93" s="3022" t="s">
        <v>498</v>
      </c>
      <c r="AN93" s="2155">
        <v>9.1604669046782199</v>
      </c>
      <c r="AO93" s="2155">
        <v>769.73793241904821</v>
      </c>
      <c r="AP93" s="2155">
        <v>535.13368276392089</v>
      </c>
      <c r="AQ93" s="2155">
        <v>1078.9120575431421</v>
      </c>
      <c r="AR93" s="2155">
        <v>4258.1628635722282</v>
      </c>
      <c r="AS93" s="2155">
        <v>969.60594800601586</v>
      </c>
      <c r="AT93" s="2155">
        <v>42693.777814207438</v>
      </c>
      <c r="AU93" s="2155">
        <v>43804.451613587378</v>
      </c>
      <c r="AV93" s="2155">
        <v>2876.6943239505963</v>
      </c>
      <c r="AW93" s="2155">
        <v>232328.76088926633</v>
      </c>
      <c r="AX93" s="2155">
        <v>108058.99206876886</v>
      </c>
      <c r="AY93" s="2155">
        <v>202596.54017547672</v>
      </c>
      <c r="AZ93" s="2155">
        <v>55943.83380231879</v>
      </c>
      <c r="BA93" s="2155">
        <v>38151.034092031761</v>
      </c>
      <c r="BB93" s="2155">
        <v>410439.46274852112</v>
      </c>
      <c r="BC93" s="2155">
        <v>161316.91448327704</v>
      </c>
      <c r="BD93" s="3243">
        <v>863.45157966215129</v>
      </c>
      <c r="BE93" s="2155">
        <v>22056.589925835764</v>
      </c>
      <c r="BF93" s="3022">
        <v>730.04188708141419</v>
      </c>
      <c r="BG93" s="2155">
        <v>4.4851199999999996E-3</v>
      </c>
      <c r="BH93" s="3246">
        <v>18.974818145732929</v>
      </c>
      <c r="BI93" s="2155">
        <v>8.6175994834419818</v>
      </c>
    </row>
    <row r="94" spans="1:61" s="2274" customFormat="1" hidden="1">
      <c r="A94" s="2375"/>
      <c r="B94" s="2227"/>
      <c r="C94" s="2126"/>
      <c r="D94" s="2126"/>
      <c r="E94" s="3722" t="s">
        <v>985</v>
      </c>
      <c r="F94" s="2225" t="s">
        <v>19</v>
      </c>
      <c r="G94" s="2226" t="s">
        <v>20</v>
      </c>
      <c r="H94" s="3284">
        <v>0</v>
      </c>
      <c r="I94" s="2273">
        <v>2191.0042258112398</v>
      </c>
      <c r="J94" s="2273">
        <v>2748.1893273665305</v>
      </c>
      <c r="K94" s="3284">
        <v>8.3722240000000028</v>
      </c>
      <c r="L94" s="2273">
        <v>11.45668921494269</v>
      </c>
      <c r="M94" s="2273">
        <v>11.45668921494269</v>
      </c>
      <c r="N94" s="2273">
        <v>26.163199999999993</v>
      </c>
      <c r="O94" s="2273">
        <v>26.163199999999993</v>
      </c>
      <c r="P94" s="2273">
        <v>5.2326400000000008</v>
      </c>
      <c r="Q94" s="2273">
        <v>5.2326400000000008</v>
      </c>
      <c r="R94" s="2273">
        <v>2.4907697736790411</v>
      </c>
      <c r="S94" s="2273">
        <v>2.2750608695652175</v>
      </c>
      <c r="T94" s="2273">
        <v>2.2750608695652175</v>
      </c>
      <c r="U94" s="2273">
        <v>1.2458666666666662</v>
      </c>
      <c r="V94" s="2273" t="s">
        <v>498</v>
      </c>
      <c r="W94" s="2273" t="s">
        <v>498</v>
      </c>
      <c r="X94" s="2273">
        <v>1.5663037092258811</v>
      </c>
      <c r="Y94" s="2273">
        <v>54.799322524727273</v>
      </c>
      <c r="Z94" s="2273">
        <v>20.93056</v>
      </c>
      <c r="AA94" s="2273">
        <v>104.65279999999998</v>
      </c>
      <c r="AB94" s="3284">
        <v>107.49443012002149</v>
      </c>
      <c r="AC94" s="2273" t="s">
        <v>498</v>
      </c>
      <c r="AD94" s="2273" t="s">
        <v>498</v>
      </c>
      <c r="AE94" s="2273" t="s">
        <v>498</v>
      </c>
      <c r="AF94" s="2273" t="s">
        <v>498</v>
      </c>
      <c r="AG94" s="3723" t="s">
        <v>498</v>
      </c>
      <c r="AH94" s="2273" t="s">
        <v>498</v>
      </c>
      <c r="AI94" s="2273" t="s">
        <v>498</v>
      </c>
      <c r="AJ94" s="2273" t="s">
        <v>498</v>
      </c>
      <c r="AK94" s="2273" t="s">
        <v>498</v>
      </c>
      <c r="AL94" s="2273" t="s">
        <v>498</v>
      </c>
      <c r="AM94" s="3285" t="s">
        <v>498</v>
      </c>
      <c r="AN94" s="2273">
        <v>9.1604669046782199</v>
      </c>
      <c r="AO94" s="2273" t="s">
        <v>498</v>
      </c>
      <c r="AP94" s="2273" t="s">
        <v>498</v>
      </c>
      <c r="AQ94" s="2273" t="s">
        <v>498</v>
      </c>
      <c r="AR94" s="2273" t="s">
        <v>498</v>
      </c>
      <c r="AS94" s="2273" t="s">
        <v>498</v>
      </c>
      <c r="AT94" s="2273" t="s">
        <v>498</v>
      </c>
      <c r="AU94" s="2273" t="s">
        <v>498</v>
      </c>
      <c r="AV94" s="2273" t="s">
        <v>498</v>
      </c>
      <c r="AW94" s="2273" t="s">
        <v>498</v>
      </c>
      <c r="AX94" s="2273" t="s">
        <v>498</v>
      </c>
      <c r="AY94" s="2273" t="s">
        <v>498</v>
      </c>
      <c r="AZ94" s="2273" t="s">
        <v>498</v>
      </c>
      <c r="BA94" s="2273" t="s">
        <v>498</v>
      </c>
      <c r="BB94" s="2273" t="s">
        <v>498</v>
      </c>
      <c r="BC94" s="2273" t="s">
        <v>498</v>
      </c>
      <c r="BD94" s="3284">
        <v>863.45157966215129</v>
      </c>
      <c r="BE94" s="2273" t="s">
        <v>498</v>
      </c>
      <c r="BF94" s="3285" t="s">
        <v>498</v>
      </c>
      <c r="BG94" s="2273">
        <v>4.4851199999999996E-3</v>
      </c>
      <c r="BH94" s="3287">
        <v>18.974818145732929</v>
      </c>
      <c r="BI94" s="2273">
        <v>8.6175994834419818</v>
      </c>
    </row>
    <row r="95" spans="1:61" s="2193" customFormat="1" hidden="1">
      <c r="A95" s="2362"/>
      <c r="B95" s="2236"/>
      <c r="E95" s="3036" t="s">
        <v>476</v>
      </c>
      <c r="F95" s="2217" t="s">
        <v>93</v>
      </c>
      <c r="G95" s="2218" t="s">
        <v>24</v>
      </c>
      <c r="H95" s="3270">
        <v>0</v>
      </c>
      <c r="I95" s="2235">
        <v>5762.86204944374</v>
      </c>
      <c r="J95" s="2235">
        <v>39266.173504691214</v>
      </c>
      <c r="K95" s="3270">
        <v>32267.104127822295</v>
      </c>
      <c r="L95" s="2235">
        <v>8232.5660413573096</v>
      </c>
      <c r="M95" s="2235">
        <v>8232.5660413573096</v>
      </c>
      <c r="N95" s="2235">
        <v>37028.460611113514</v>
      </c>
      <c r="O95" s="2235">
        <v>37028.460611113514</v>
      </c>
      <c r="P95" s="2235">
        <v>8143.6510860581811</v>
      </c>
      <c r="Q95" s="2235">
        <v>8143.6510860581811</v>
      </c>
      <c r="R95" s="2235">
        <v>1811.0099492073127</v>
      </c>
      <c r="S95" s="2235">
        <v>1332.6036026420479</v>
      </c>
      <c r="T95" s="2235">
        <v>1332.6036026420479</v>
      </c>
      <c r="U95" s="2235">
        <v>3435.0680197216675</v>
      </c>
      <c r="V95" s="2235" t="s">
        <v>498</v>
      </c>
      <c r="W95" s="2235" t="s">
        <v>498</v>
      </c>
      <c r="X95" s="2235">
        <v>1354.6281316825423</v>
      </c>
      <c r="Y95" s="2235">
        <v>32846.527479700067</v>
      </c>
      <c r="Z95" s="2235">
        <v>7429.7820571133807</v>
      </c>
      <c r="AA95" s="2235">
        <v>24921.706199076754</v>
      </c>
      <c r="AB95" s="3270">
        <v>28951.048427814298</v>
      </c>
      <c r="AC95" s="2235" t="s">
        <v>498</v>
      </c>
      <c r="AD95" s="2235" t="s">
        <v>498</v>
      </c>
      <c r="AE95" s="2235" t="s">
        <v>498</v>
      </c>
      <c r="AF95" s="2235" t="s">
        <v>498</v>
      </c>
      <c r="AG95" s="3786" t="s">
        <v>498</v>
      </c>
      <c r="AH95" s="2235" t="s">
        <v>498</v>
      </c>
      <c r="AI95" s="2235" t="s">
        <v>498</v>
      </c>
      <c r="AJ95" s="2235" t="s">
        <v>498</v>
      </c>
      <c r="AK95" s="2235" t="s">
        <v>498</v>
      </c>
      <c r="AL95" s="2235" t="s">
        <v>498</v>
      </c>
      <c r="AM95" s="3271" t="s">
        <v>498</v>
      </c>
      <c r="AN95" s="2235">
        <v>39.156475224450752</v>
      </c>
      <c r="AO95" s="2235" t="s">
        <v>498</v>
      </c>
      <c r="AP95" s="2235" t="s">
        <v>498</v>
      </c>
      <c r="AQ95" s="2235" t="s">
        <v>498</v>
      </c>
      <c r="AR95" s="2235" t="s">
        <v>498</v>
      </c>
      <c r="AS95" s="2235" t="s">
        <v>498</v>
      </c>
      <c r="AT95" s="2235" t="s">
        <v>498</v>
      </c>
      <c r="AU95" s="2235" t="s">
        <v>498</v>
      </c>
      <c r="AV95" s="2235" t="s">
        <v>498</v>
      </c>
      <c r="AW95" s="2235" t="s">
        <v>498</v>
      </c>
      <c r="AX95" s="2235" t="s">
        <v>498</v>
      </c>
      <c r="AY95" s="2235" t="s">
        <v>498</v>
      </c>
      <c r="AZ95" s="2235" t="s">
        <v>498</v>
      </c>
      <c r="BA95" s="2235" t="s">
        <v>498</v>
      </c>
      <c r="BB95" s="2235" t="s">
        <v>498</v>
      </c>
      <c r="BC95" s="2235" t="s">
        <v>498</v>
      </c>
      <c r="BD95" s="3270">
        <v>77.312428136046634</v>
      </c>
      <c r="BE95" s="2235" t="s">
        <v>498</v>
      </c>
      <c r="BF95" s="3271" t="s">
        <v>498</v>
      </c>
      <c r="BG95" s="2235" t="s">
        <v>595</v>
      </c>
      <c r="BH95" s="3273">
        <v>2.3860667783162768</v>
      </c>
      <c r="BI95" s="2235">
        <v>8.2945549073992293</v>
      </c>
    </row>
    <row r="96" spans="1:61" s="2137" customFormat="1" hidden="1">
      <c r="A96" s="3854"/>
      <c r="B96" s="3233"/>
      <c r="C96" s="240"/>
      <c r="D96" s="3238"/>
      <c r="E96" s="3050" t="s">
        <v>628</v>
      </c>
      <c r="F96" s="3216"/>
      <c r="G96" s="2153"/>
      <c r="H96" s="627"/>
      <c r="I96" s="530"/>
      <c r="J96" s="530"/>
      <c r="K96" s="627"/>
      <c r="L96" s="530"/>
      <c r="M96" s="530"/>
      <c r="N96" s="530"/>
      <c r="O96" s="530"/>
      <c r="P96" s="530"/>
      <c r="Q96" s="530"/>
      <c r="R96" s="530"/>
      <c r="S96" s="530"/>
      <c r="T96" s="530"/>
      <c r="U96" s="530"/>
      <c r="V96" s="530"/>
      <c r="W96" s="530"/>
      <c r="X96" s="530"/>
      <c r="Y96" s="530"/>
      <c r="Z96" s="530"/>
      <c r="AA96" s="530"/>
      <c r="AB96" s="627"/>
      <c r="AC96" s="530"/>
      <c r="AD96" s="530"/>
      <c r="AE96" s="530"/>
      <c r="AF96" s="530"/>
      <c r="AG96" s="829"/>
      <c r="AH96" s="530"/>
      <c r="AI96" s="530"/>
      <c r="AJ96" s="530"/>
      <c r="AK96" s="530"/>
      <c r="AL96" s="530"/>
      <c r="AM96" s="628"/>
      <c r="AN96" s="530"/>
      <c r="AO96" s="530"/>
      <c r="AP96" s="530"/>
      <c r="AQ96" s="530"/>
      <c r="AR96" s="530"/>
      <c r="AS96" s="530"/>
      <c r="AT96" s="530"/>
      <c r="AU96" s="530"/>
      <c r="AV96" s="530"/>
      <c r="AW96" s="530"/>
      <c r="AX96" s="530"/>
      <c r="AY96" s="530"/>
      <c r="AZ96" s="530"/>
      <c r="BA96" s="530"/>
      <c r="BB96" s="530"/>
      <c r="BC96" s="530"/>
      <c r="BD96" s="627"/>
      <c r="BE96" s="530"/>
      <c r="BF96" s="628"/>
      <c r="BG96" s="530"/>
      <c r="BH96" s="629"/>
      <c r="BI96" s="499"/>
    </row>
    <row r="97" spans="1:61" s="2274" customFormat="1" hidden="1">
      <c r="A97" s="2375"/>
      <c r="B97" s="2227"/>
      <c r="C97" s="240"/>
      <c r="D97" s="3242"/>
      <c r="E97" s="3722" t="s">
        <v>985</v>
      </c>
      <c r="F97" s="2225" t="s">
        <v>19</v>
      </c>
      <c r="G97" s="2225" t="s">
        <v>20</v>
      </c>
      <c r="H97" s="3284">
        <v>410.81329233960747</v>
      </c>
      <c r="I97" s="2273">
        <v>410.81329233960747</v>
      </c>
      <c r="J97" s="2273">
        <v>515.2854988812245</v>
      </c>
      <c r="K97" s="3284">
        <v>1.5697920000000001</v>
      </c>
      <c r="L97" s="2273">
        <v>2.1481292278017543</v>
      </c>
      <c r="M97" s="2273">
        <v>2.1481292278017543</v>
      </c>
      <c r="N97" s="2273">
        <v>4.905599999999998</v>
      </c>
      <c r="O97" s="2273">
        <v>4.905599999999998</v>
      </c>
      <c r="P97" s="2273">
        <v>0.9811200000000001</v>
      </c>
      <c r="Q97" s="2273">
        <v>0.9811200000000001</v>
      </c>
      <c r="R97" s="2273">
        <v>0.4670193325648202</v>
      </c>
      <c r="S97" s="2273">
        <v>0.42657391304347819</v>
      </c>
      <c r="T97" s="2273">
        <v>0.42657391304347819</v>
      </c>
      <c r="U97" s="2273">
        <v>0.23359999999999992</v>
      </c>
      <c r="V97" s="2273">
        <v>51.471780359219395</v>
      </c>
      <c r="W97" s="2273">
        <v>51.471780359219395</v>
      </c>
      <c r="X97" s="2273">
        <v>0.29368194547985271</v>
      </c>
      <c r="Y97" s="2273">
        <v>10.274872973386364</v>
      </c>
      <c r="Z97" s="2273">
        <v>3.9244799999999995</v>
      </c>
      <c r="AA97" s="2273">
        <v>19.622400000000003</v>
      </c>
      <c r="AB97" s="3284">
        <v>20.155205647504026</v>
      </c>
      <c r="AC97" s="2273">
        <v>61.80769509022052</v>
      </c>
      <c r="AD97" s="2273" t="s">
        <v>498</v>
      </c>
      <c r="AE97" s="2273" t="s">
        <v>498</v>
      </c>
      <c r="AF97" s="2273" t="s">
        <v>498</v>
      </c>
      <c r="AG97" s="3723" t="s">
        <v>498</v>
      </c>
      <c r="AH97" s="2273" t="s">
        <v>498</v>
      </c>
      <c r="AI97" s="2273" t="s">
        <v>498</v>
      </c>
      <c r="AJ97" s="2273" t="s">
        <v>498</v>
      </c>
      <c r="AK97" s="2273" t="s">
        <v>498</v>
      </c>
      <c r="AL97" s="2273" t="s">
        <v>498</v>
      </c>
      <c r="AM97" s="3285" t="s">
        <v>498</v>
      </c>
      <c r="AN97" s="2273">
        <v>1.714428689549629</v>
      </c>
      <c r="AO97" s="2273" t="s">
        <v>498</v>
      </c>
      <c r="AP97" s="2273" t="s">
        <v>498</v>
      </c>
      <c r="AQ97" s="2273" t="s">
        <v>498</v>
      </c>
      <c r="AR97" s="2273" t="s">
        <v>498</v>
      </c>
      <c r="AS97" s="2273" t="s">
        <v>498</v>
      </c>
      <c r="AT97" s="2273" t="s">
        <v>498</v>
      </c>
      <c r="AU97" s="2273" t="s">
        <v>498</v>
      </c>
      <c r="AV97" s="2273" t="s">
        <v>498</v>
      </c>
      <c r="AW97" s="2273" t="s">
        <v>498</v>
      </c>
      <c r="AX97" s="2273" t="s">
        <v>498</v>
      </c>
      <c r="AY97" s="2273" t="s">
        <v>498</v>
      </c>
      <c r="AZ97" s="2273" t="s">
        <v>498</v>
      </c>
      <c r="BA97" s="2273" t="s">
        <v>498</v>
      </c>
      <c r="BB97" s="2273" t="s">
        <v>498</v>
      </c>
      <c r="BC97" s="2273" t="s">
        <v>498</v>
      </c>
      <c r="BD97" s="3284">
        <v>161.89717118665337</v>
      </c>
      <c r="BE97" s="2273" t="s">
        <v>498</v>
      </c>
      <c r="BF97" s="3285" t="s">
        <v>498</v>
      </c>
      <c r="BG97" s="2273">
        <v>8.4095999999999975E-4</v>
      </c>
      <c r="BH97" s="3287">
        <v>3.5577784023249239</v>
      </c>
      <c r="BI97" s="2273"/>
    </row>
    <row r="98" spans="1:61" s="3744" customFormat="1" hidden="1">
      <c r="A98" s="3734"/>
      <c r="B98" s="3735"/>
      <c r="C98" s="3855"/>
      <c r="D98" s="3856"/>
      <c r="E98" s="3736" t="s">
        <v>476</v>
      </c>
      <c r="F98" s="3737" t="s">
        <v>93</v>
      </c>
      <c r="G98" s="3737" t="s">
        <v>24</v>
      </c>
      <c r="H98" s="3740">
        <v>1080.5366342707011</v>
      </c>
      <c r="I98" s="3739">
        <v>1080.5366342707011</v>
      </c>
      <c r="J98" s="3739">
        <v>7362.4075321296041</v>
      </c>
      <c r="K98" s="3740">
        <v>6050.0820239666782</v>
      </c>
      <c r="L98" s="3739">
        <v>1543.6061327544953</v>
      </c>
      <c r="M98" s="3739">
        <v>1543.6061327544953</v>
      </c>
      <c r="N98" s="3739">
        <v>6942.8363645837835</v>
      </c>
      <c r="O98" s="3739">
        <v>6942.8363645837835</v>
      </c>
      <c r="P98" s="3739">
        <v>1526.9345786359088</v>
      </c>
      <c r="Q98" s="3739">
        <v>1526.9345786359088</v>
      </c>
      <c r="R98" s="3739">
        <v>339.56436547637111</v>
      </c>
      <c r="S98" s="3739">
        <v>249.86317549538396</v>
      </c>
      <c r="T98" s="3739">
        <v>249.86317549538396</v>
      </c>
      <c r="U98" s="3739">
        <v>644.07525369781263</v>
      </c>
      <c r="V98" s="3739">
        <v>49361.732480324434</v>
      </c>
      <c r="W98" s="3739">
        <v>49361.732480324434</v>
      </c>
      <c r="X98" s="3739">
        <v>253.99277469047667</v>
      </c>
      <c r="Y98" s="3739">
        <v>6158.7239024437613</v>
      </c>
      <c r="Z98" s="3739">
        <v>1393.0841357087588</v>
      </c>
      <c r="AA98" s="3739">
        <v>4672.8199123268923</v>
      </c>
      <c r="AB98" s="3740">
        <v>5428.321580215179</v>
      </c>
      <c r="AC98" s="3739">
        <v>3248.2906216566125</v>
      </c>
      <c r="AD98" s="3739" t="s">
        <v>498</v>
      </c>
      <c r="AE98" s="3739" t="s">
        <v>498</v>
      </c>
      <c r="AF98" s="3739" t="s">
        <v>498</v>
      </c>
      <c r="AG98" s="3742" t="s">
        <v>498</v>
      </c>
      <c r="AH98" s="3739" t="s">
        <v>498</v>
      </c>
      <c r="AI98" s="3739" t="s">
        <v>498</v>
      </c>
      <c r="AJ98" s="3739" t="s">
        <v>498</v>
      </c>
      <c r="AK98" s="3739" t="s">
        <v>498</v>
      </c>
      <c r="AL98" s="3739" t="s">
        <v>498</v>
      </c>
      <c r="AM98" s="3741" t="s">
        <v>498</v>
      </c>
      <c r="AN98" s="3739">
        <v>7.3283365580584165</v>
      </c>
      <c r="AO98" s="3739" t="s">
        <v>498</v>
      </c>
      <c r="AP98" s="3739" t="s">
        <v>498</v>
      </c>
      <c r="AQ98" s="3739" t="s">
        <v>498</v>
      </c>
      <c r="AR98" s="3739" t="s">
        <v>498</v>
      </c>
      <c r="AS98" s="3739" t="s">
        <v>498</v>
      </c>
      <c r="AT98" s="3739" t="s">
        <v>498</v>
      </c>
      <c r="AU98" s="3739" t="s">
        <v>498</v>
      </c>
      <c r="AV98" s="3739" t="s">
        <v>498</v>
      </c>
      <c r="AW98" s="3739" t="s">
        <v>498</v>
      </c>
      <c r="AX98" s="3739" t="s">
        <v>498</v>
      </c>
      <c r="AY98" s="3739" t="s">
        <v>498</v>
      </c>
      <c r="AZ98" s="3739" t="s">
        <v>498</v>
      </c>
      <c r="BA98" s="3739" t="s">
        <v>498</v>
      </c>
      <c r="BB98" s="3739" t="s">
        <v>498</v>
      </c>
      <c r="BC98" s="3739" t="s">
        <v>498</v>
      </c>
      <c r="BD98" s="3740">
        <v>14.496080275508744</v>
      </c>
      <c r="BE98" s="3739" t="s">
        <v>498</v>
      </c>
      <c r="BF98" s="3741" t="s">
        <v>498</v>
      </c>
      <c r="BG98" s="3739" t="s">
        <v>595</v>
      </c>
      <c r="BH98" s="3743">
        <v>0.44738752093430195</v>
      </c>
      <c r="BI98" s="3739"/>
    </row>
    <row r="99" spans="1:61" s="2126" customFormat="1" hidden="1">
      <c r="A99" s="2375"/>
      <c r="B99" s="2156"/>
      <c r="C99" s="240"/>
      <c r="D99" s="3238"/>
      <c r="E99" s="3722" t="s">
        <v>659</v>
      </c>
      <c r="F99" s="2225" t="s">
        <v>19</v>
      </c>
      <c r="G99" s="2225" t="s">
        <v>20</v>
      </c>
      <c r="H99" s="3284">
        <v>410.81329233960747</v>
      </c>
      <c r="I99" s="2273">
        <v>410.81329233960747</v>
      </c>
      <c r="J99" s="2273">
        <v>515.2854988812245</v>
      </c>
      <c r="K99" s="3284">
        <v>1.5697920000000001</v>
      </c>
      <c r="L99" s="2273">
        <v>2.1481292278017543</v>
      </c>
      <c r="M99" s="2273">
        <v>2.1481292278017543</v>
      </c>
      <c r="N99" s="2273">
        <v>4.905599999999998</v>
      </c>
      <c r="O99" s="2273">
        <v>4.905599999999998</v>
      </c>
      <c r="P99" s="2273">
        <v>0.9811200000000001</v>
      </c>
      <c r="Q99" s="2273">
        <v>0.9811200000000001</v>
      </c>
      <c r="R99" s="2273">
        <v>0.4670193325648202</v>
      </c>
      <c r="S99" s="2273">
        <v>0.42657391304347819</v>
      </c>
      <c r="T99" s="2273">
        <v>0.42657391304347819</v>
      </c>
      <c r="U99" s="2273">
        <v>0.23359999999999992</v>
      </c>
      <c r="V99" s="2273">
        <v>51.471780359219395</v>
      </c>
      <c r="W99" s="2273">
        <v>51.471780359219395</v>
      </c>
      <c r="X99" s="2273">
        <v>0.29368194547985271</v>
      </c>
      <c r="Y99" s="2273">
        <v>10.274872973386364</v>
      </c>
      <c r="Z99" s="2273">
        <v>3.9244799999999995</v>
      </c>
      <c r="AA99" s="2273">
        <v>19.622400000000003</v>
      </c>
      <c r="AB99" s="3284">
        <v>20.155205647504026</v>
      </c>
      <c r="AC99" s="2273">
        <v>61.80769509022052</v>
      </c>
      <c r="AD99" s="2273" t="s">
        <v>498</v>
      </c>
      <c r="AE99" s="2273" t="s">
        <v>498</v>
      </c>
      <c r="AF99" s="2273" t="s">
        <v>498</v>
      </c>
      <c r="AG99" s="3723">
        <v>104.37321463070556</v>
      </c>
      <c r="AH99" s="2273" t="s">
        <v>498</v>
      </c>
      <c r="AI99" s="2273" t="s">
        <v>498</v>
      </c>
      <c r="AJ99" s="2273" t="s">
        <v>498</v>
      </c>
      <c r="AK99" s="2273" t="s">
        <v>498</v>
      </c>
      <c r="AL99" s="2273" t="s">
        <v>498</v>
      </c>
      <c r="AM99" s="3285" t="s">
        <v>498</v>
      </c>
      <c r="AN99" s="2273">
        <v>1.714428689549629</v>
      </c>
      <c r="AO99" s="2273" t="s">
        <v>498</v>
      </c>
      <c r="AP99" s="2273" t="s">
        <v>498</v>
      </c>
      <c r="AQ99" s="2273" t="s">
        <v>498</v>
      </c>
      <c r="AR99" s="2273" t="s">
        <v>498</v>
      </c>
      <c r="AS99" s="2273" t="s">
        <v>498</v>
      </c>
      <c r="AT99" s="2273" t="s">
        <v>498</v>
      </c>
      <c r="AU99" s="2273" t="s">
        <v>498</v>
      </c>
      <c r="AV99" s="2273" t="s">
        <v>498</v>
      </c>
      <c r="AW99" s="2273" t="s">
        <v>498</v>
      </c>
      <c r="AX99" s="2273" t="s">
        <v>498</v>
      </c>
      <c r="AY99" s="2273" t="s">
        <v>498</v>
      </c>
      <c r="AZ99" s="2273" t="s">
        <v>498</v>
      </c>
      <c r="BA99" s="2273" t="s">
        <v>498</v>
      </c>
      <c r="BB99" s="2273" t="s">
        <v>498</v>
      </c>
      <c r="BC99" s="2273" t="s">
        <v>498</v>
      </c>
      <c r="BD99" s="3284">
        <v>161.89717118665337</v>
      </c>
      <c r="BE99" s="2273" t="s">
        <v>498</v>
      </c>
      <c r="BF99" s="3285" t="s">
        <v>498</v>
      </c>
      <c r="BG99" s="2273">
        <v>8.4095999999999975E-4</v>
      </c>
      <c r="BH99" s="3287">
        <v>3.5577784023249239</v>
      </c>
      <c r="BI99" s="2155"/>
    </row>
    <row r="100" spans="1:61" s="2177" customFormat="1" ht="13.5" hidden="1" thickBot="1">
      <c r="A100" s="2399"/>
      <c r="B100" s="2232"/>
      <c r="C100" s="3294"/>
      <c r="D100" s="3857"/>
      <c r="E100" s="3858" t="s">
        <v>660</v>
      </c>
      <c r="F100" s="2293" t="s">
        <v>19</v>
      </c>
      <c r="G100" s="2293" t="s">
        <v>20</v>
      </c>
      <c r="H100" s="3262">
        <v>410.81329233960747</v>
      </c>
      <c r="I100" s="3261">
        <v>410.81329233960747</v>
      </c>
      <c r="J100" s="3261">
        <v>515.2854988812245</v>
      </c>
      <c r="K100" s="3262">
        <v>1.5697920000000001</v>
      </c>
      <c r="L100" s="3261">
        <v>9.5577176220567106E-2</v>
      </c>
      <c r="M100" s="3261">
        <v>9.5577176220567106E-2</v>
      </c>
      <c r="N100" s="3261">
        <v>0.10821826362388159</v>
      </c>
      <c r="O100" s="3261">
        <v>0.10821826362388159</v>
      </c>
      <c r="P100" s="3261">
        <v>0.11970562364452407</v>
      </c>
      <c r="Q100" s="3261">
        <v>0.11970562364452407</v>
      </c>
      <c r="R100" s="3261">
        <v>0.12137450300777608</v>
      </c>
      <c r="S100" s="3261">
        <v>2.0322866107828585E-2</v>
      </c>
      <c r="T100" s="3261">
        <v>2.0322866107828585E-2</v>
      </c>
      <c r="U100" s="3261">
        <v>0.22248888336770858</v>
      </c>
      <c r="V100" s="3261">
        <v>0.57872438149843097</v>
      </c>
      <c r="W100" s="3261">
        <v>0.57872438149843097</v>
      </c>
      <c r="X100" s="3261">
        <v>1.7316165079365078E-2</v>
      </c>
      <c r="Y100" s="3261">
        <v>1.5640729419169927E-2</v>
      </c>
      <c r="Z100" s="3261">
        <v>2.818524839493879E-2</v>
      </c>
      <c r="AA100" s="3261">
        <v>1.2786755989114631E-3</v>
      </c>
      <c r="AB100" s="3262">
        <v>8.5398354360984013E-3</v>
      </c>
      <c r="AC100" s="3261">
        <v>1.3319432157547906E-2</v>
      </c>
      <c r="AD100" s="3261">
        <v>6.8048879913036098E-2</v>
      </c>
      <c r="AE100" s="3261">
        <v>0.54573435897435907</v>
      </c>
      <c r="AF100" s="3261" t="s">
        <v>498</v>
      </c>
      <c r="AG100" s="3859">
        <v>3.3903300887639376E-3</v>
      </c>
      <c r="AH100" s="3261">
        <v>4.5280501163246908E-3</v>
      </c>
      <c r="AI100" s="3261">
        <v>1.2196548272984103E-3</v>
      </c>
      <c r="AJ100" s="3261">
        <v>1.5593781961583686E-3</v>
      </c>
      <c r="AK100" s="3261">
        <v>6.840264042418419E-3</v>
      </c>
      <c r="AL100" s="3261">
        <v>9.0230115878123282E-2</v>
      </c>
      <c r="AM100" s="3263">
        <v>13.034703299306772</v>
      </c>
      <c r="AN100" s="3261">
        <v>0.10297329087081339</v>
      </c>
      <c r="AO100" s="3261">
        <v>0.59960169124877094</v>
      </c>
      <c r="AP100" s="3261">
        <v>0.35840969450101828</v>
      </c>
      <c r="AQ100" s="3261">
        <v>0.88515080459770112</v>
      </c>
      <c r="AR100" s="3261">
        <v>4.4209584732824432</v>
      </c>
      <c r="AS100" s="3261" t="s">
        <v>498</v>
      </c>
      <c r="AT100" s="3261" t="s">
        <v>498</v>
      </c>
      <c r="AU100" s="3261" t="s">
        <v>498</v>
      </c>
      <c r="AV100" s="3261" t="s">
        <v>498</v>
      </c>
      <c r="AW100" s="3261" t="s">
        <v>498</v>
      </c>
      <c r="AX100" s="3261" t="s">
        <v>498</v>
      </c>
      <c r="AY100" s="3261" t="s">
        <v>498</v>
      </c>
      <c r="AZ100" s="3261" t="s">
        <v>498</v>
      </c>
      <c r="BA100" s="3261" t="s">
        <v>498</v>
      </c>
      <c r="BB100" s="3261" t="s">
        <v>498</v>
      </c>
      <c r="BC100" s="3261" t="s">
        <v>498</v>
      </c>
      <c r="BD100" s="3262">
        <v>1.7467285702309585</v>
      </c>
      <c r="BE100" s="3261" t="s">
        <v>511</v>
      </c>
      <c r="BF100" s="3263" t="s">
        <v>511</v>
      </c>
      <c r="BG100" s="3261">
        <v>8.4095999999999975E-4</v>
      </c>
      <c r="BH100" s="3265">
        <v>3.5577784023249239</v>
      </c>
      <c r="BI100" s="2322"/>
    </row>
    <row r="101" spans="1:61" s="3166" customFormat="1" hidden="1">
      <c r="B101" s="3155"/>
      <c r="C101" s="2241"/>
      <c r="D101" s="3234"/>
      <c r="E101" s="3050" t="s">
        <v>651</v>
      </c>
      <c r="F101" s="3216"/>
      <c r="G101" s="2154"/>
      <c r="H101" s="627"/>
      <c r="I101" s="530"/>
      <c r="J101" s="530"/>
      <c r="K101" s="627"/>
      <c r="L101" s="530"/>
      <c r="M101" s="530"/>
      <c r="N101" s="530"/>
      <c r="O101" s="530"/>
      <c r="P101" s="530"/>
      <c r="Q101" s="530"/>
      <c r="R101" s="530"/>
      <c r="S101" s="530"/>
      <c r="T101" s="530"/>
      <c r="U101" s="530"/>
      <c r="V101" s="530"/>
      <c r="W101" s="530"/>
      <c r="X101" s="530"/>
      <c r="Y101" s="530"/>
      <c r="Z101" s="530"/>
      <c r="AA101" s="530"/>
      <c r="AB101" s="627"/>
      <c r="AC101" s="530"/>
      <c r="AD101" s="530"/>
      <c r="AE101" s="530"/>
      <c r="AF101" s="530"/>
      <c r="AG101" s="829"/>
      <c r="AH101" s="530"/>
      <c r="AI101" s="530"/>
      <c r="AJ101" s="530"/>
      <c r="AK101" s="530"/>
      <c r="AL101" s="530"/>
      <c r="AM101" s="628"/>
      <c r="AN101" s="530"/>
      <c r="AO101" s="530"/>
      <c r="AP101" s="530"/>
      <c r="AQ101" s="530"/>
      <c r="AR101" s="530"/>
      <c r="AS101" s="530"/>
      <c r="AT101" s="530"/>
      <c r="AU101" s="530"/>
      <c r="AV101" s="530"/>
      <c r="AW101" s="530"/>
      <c r="AX101" s="530"/>
      <c r="AY101" s="530"/>
      <c r="AZ101" s="530"/>
      <c r="BA101" s="530"/>
      <c r="BB101" s="530"/>
      <c r="BC101" s="530"/>
      <c r="BD101" s="627"/>
      <c r="BE101" s="530"/>
      <c r="BF101" s="628"/>
      <c r="BG101" s="530"/>
      <c r="BH101" s="629"/>
      <c r="BI101" s="530"/>
    </row>
    <row r="102" spans="1:61" s="2126" customFormat="1" hidden="1">
      <c r="A102" s="3241"/>
      <c r="B102" s="2156"/>
      <c r="C102" s="276"/>
      <c r="D102" s="3279"/>
      <c r="E102" s="2592" t="s">
        <v>670</v>
      </c>
      <c r="F102" s="2153" t="s">
        <v>19</v>
      </c>
      <c r="G102" s="2154" t="s">
        <v>20</v>
      </c>
      <c r="H102" s="3243">
        <v>1351.1944451507584</v>
      </c>
      <c r="I102" s="2155">
        <v>1351.1944451507584</v>
      </c>
      <c r="J102" s="2155">
        <v>3151.8186372910418</v>
      </c>
      <c r="K102" s="3243">
        <v>14.649905454545459</v>
      </c>
      <c r="L102" s="2155">
        <v>23.130831970646749</v>
      </c>
      <c r="M102" s="2155">
        <v>23.130831970646749</v>
      </c>
      <c r="N102" s="2155">
        <v>53.051904338721464</v>
      </c>
      <c r="O102" s="2155">
        <v>53.051904338721464</v>
      </c>
      <c r="P102" s="2155">
        <v>9.274376420048295</v>
      </c>
      <c r="Q102" s="2155">
        <v>9.274376420048295</v>
      </c>
      <c r="R102" s="2155">
        <v>4.9160781146036348</v>
      </c>
      <c r="S102" s="2155">
        <v>22.634219723948153</v>
      </c>
      <c r="T102" s="2155">
        <v>22.634219723948153</v>
      </c>
      <c r="U102" s="2155">
        <v>9.9410072727272727</v>
      </c>
      <c r="V102" s="2155">
        <v>536.64914469580458</v>
      </c>
      <c r="W102" s="2155">
        <v>536.64914469580458</v>
      </c>
      <c r="X102" s="2155">
        <v>3.1980840324310131</v>
      </c>
      <c r="Y102" s="2155">
        <v>109.77672079487719</v>
      </c>
      <c r="Z102" s="2155">
        <v>151.83785863743765</v>
      </c>
      <c r="AA102" s="2155">
        <v>185.07020517233116</v>
      </c>
      <c r="AB102" s="3243">
        <v>192.092201524817</v>
      </c>
      <c r="AC102" s="2155">
        <v>452.49519691724385</v>
      </c>
      <c r="AD102" s="2155">
        <v>1097.9973364861983</v>
      </c>
      <c r="AE102" s="2155" t="s">
        <v>498</v>
      </c>
      <c r="AF102" s="2155" t="s">
        <v>498</v>
      </c>
      <c r="AG102" s="3721">
        <v>4813.5403636363644</v>
      </c>
      <c r="AH102" s="2155">
        <v>4813.5403636363635</v>
      </c>
      <c r="AI102" s="2155">
        <v>377.83264003298774</v>
      </c>
      <c r="AJ102" s="2155">
        <v>859.13227743955849</v>
      </c>
      <c r="AK102" s="2155">
        <v>2011.7586893702742</v>
      </c>
      <c r="AL102" s="2155" t="s">
        <v>498</v>
      </c>
      <c r="AM102" s="3022" t="s">
        <v>498</v>
      </c>
      <c r="AN102" s="2155">
        <v>61.815036660693622</v>
      </c>
      <c r="AO102" s="2155" t="s">
        <v>498</v>
      </c>
      <c r="AP102" s="2155" t="s">
        <v>498</v>
      </c>
      <c r="AQ102" s="2155" t="s">
        <v>498</v>
      </c>
      <c r="AR102" s="2155" t="s">
        <v>498</v>
      </c>
      <c r="AS102" s="2155" t="s">
        <v>498</v>
      </c>
      <c r="AT102" s="2155" t="s">
        <v>498</v>
      </c>
      <c r="AU102" s="2155" t="s">
        <v>498</v>
      </c>
      <c r="AV102" s="2155" t="s">
        <v>498</v>
      </c>
      <c r="AW102" s="2155" t="s">
        <v>498</v>
      </c>
      <c r="AX102" s="2155" t="s">
        <v>498</v>
      </c>
      <c r="AY102" s="2155" t="s">
        <v>498</v>
      </c>
      <c r="AZ102" s="2155" t="s">
        <v>498</v>
      </c>
      <c r="BA102" s="2155" t="s">
        <v>498</v>
      </c>
      <c r="BB102" s="2155" t="s">
        <v>498</v>
      </c>
      <c r="BC102" s="2155" t="s">
        <v>498</v>
      </c>
      <c r="BD102" s="3243">
        <v>215.22403473857096</v>
      </c>
      <c r="BE102" s="2155">
        <v>222.74278665483374</v>
      </c>
      <c r="BF102" s="3022">
        <v>445.48557330966747</v>
      </c>
      <c r="BG102" s="3245">
        <v>7.8481636363636371E-3</v>
      </c>
      <c r="BH102" s="3246">
        <v>4.0873908196506656</v>
      </c>
      <c r="BI102" s="2155">
        <v>11.155631262370846</v>
      </c>
    </row>
    <row r="103" spans="1:61" s="2126" customFormat="1" hidden="1">
      <c r="A103" s="3241"/>
      <c r="B103" s="2156"/>
      <c r="C103" s="2149"/>
      <c r="D103" s="3248"/>
      <c r="E103" s="2592" t="s">
        <v>671</v>
      </c>
      <c r="F103" s="2153" t="s">
        <v>19</v>
      </c>
      <c r="G103" s="2154" t="s">
        <v>20</v>
      </c>
      <c r="H103" s="3243" t="s">
        <v>498</v>
      </c>
      <c r="I103" s="2155" t="s">
        <v>498</v>
      </c>
      <c r="J103" s="2155" t="s">
        <v>498</v>
      </c>
      <c r="K103" s="3243">
        <v>91.561909090909083</v>
      </c>
      <c r="L103" s="2155" t="s">
        <v>498</v>
      </c>
      <c r="M103" s="2155" t="s">
        <v>498</v>
      </c>
      <c r="N103" s="2155">
        <v>45.780954545454556</v>
      </c>
      <c r="O103" s="2155">
        <v>45.780954545454556</v>
      </c>
      <c r="P103" s="2155">
        <v>15.518967642526965</v>
      </c>
      <c r="Q103" s="2155">
        <v>15.518967642526965</v>
      </c>
      <c r="R103" s="2155">
        <v>91.561909090909097</v>
      </c>
      <c r="S103" s="2155">
        <v>3.9809525691699603</v>
      </c>
      <c r="T103" s="2155">
        <v>3.9809525691699603</v>
      </c>
      <c r="U103" s="2155">
        <v>2.1800454545454544</v>
      </c>
      <c r="V103" s="2155" t="s">
        <v>498</v>
      </c>
      <c r="W103" s="2155" t="s">
        <v>498</v>
      </c>
      <c r="X103" s="2155">
        <v>15.26031818181818</v>
      </c>
      <c r="Y103" s="2155" t="s">
        <v>498</v>
      </c>
      <c r="Z103" s="2155">
        <v>36.624763636363632</v>
      </c>
      <c r="AA103" s="2155" t="s">
        <v>498</v>
      </c>
      <c r="AB103" s="3243" t="s">
        <v>498</v>
      </c>
      <c r="AC103" s="2155" t="s">
        <v>498</v>
      </c>
      <c r="AD103" s="2155" t="s">
        <v>498</v>
      </c>
      <c r="AE103" s="2155" t="s">
        <v>498</v>
      </c>
      <c r="AF103" s="2155" t="s">
        <v>498</v>
      </c>
      <c r="AG103" s="3721" t="s">
        <v>498</v>
      </c>
      <c r="AH103" s="2155" t="s">
        <v>498</v>
      </c>
      <c r="AI103" s="2155" t="s">
        <v>498</v>
      </c>
      <c r="AJ103" s="2155" t="s">
        <v>498</v>
      </c>
      <c r="AK103" s="2155" t="s">
        <v>498</v>
      </c>
      <c r="AL103" s="2155" t="s">
        <v>498</v>
      </c>
      <c r="AM103" s="3022" t="s">
        <v>498</v>
      </c>
      <c r="AN103" s="2155">
        <v>16.811130405928846</v>
      </c>
      <c r="AO103" s="2155">
        <v>1720.1673933268332</v>
      </c>
      <c r="AP103" s="2155">
        <v>1105.0435709443484</v>
      </c>
      <c r="AQ103" s="2155">
        <v>2583.4415226400019</v>
      </c>
      <c r="AR103" s="2155">
        <v>12702.495303310408</v>
      </c>
      <c r="AS103" s="2155">
        <v>2811.5336891779552</v>
      </c>
      <c r="AT103" s="2155">
        <v>149834.42017401895</v>
      </c>
      <c r="AU103" s="2155">
        <v>155735.92846038798</v>
      </c>
      <c r="AV103" s="2155">
        <v>11003.673190715235</v>
      </c>
      <c r="AW103" s="2155">
        <v>933710.99710482731</v>
      </c>
      <c r="AX103" s="2155">
        <v>2875044.6301567955</v>
      </c>
      <c r="AY103" s="2155">
        <v>5390707.8175062099</v>
      </c>
      <c r="AZ103" s="2155">
        <v>1990887.8447598603</v>
      </c>
      <c r="BA103" s="2155">
        <v>2002184.1966859982</v>
      </c>
      <c r="BB103" s="2155">
        <v>3356709.648477627</v>
      </c>
      <c r="BC103" s="2155" t="s">
        <v>498</v>
      </c>
      <c r="BD103" s="3243" t="s">
        <v>498</v>
      </c>
      <c r="BE103" s="2155" t="s">
        <v>498</v>
      </c>
      <c r="BF103" s="3022">
        <v>2646.3867046219366</v>
      </c>
      <c r="BG103" s="2155" t="s">
        <v>498</v>
      </c>
      <c r="BH103" s="3246" t="s">
        <v>498</v>
      </c>
      <c r="BI103" s="2155" t="s">
        <v>498</v>
      </c>
    </row>
    <row r="104" spans="1:61" s="2126" customFormat="1" hidden="1">
      <c r="A104" s="2275"/>
      <c r="B104" s="2156"/>
      <c r="C104" s="2149"/>
      <c r="D104" s="3248"/>
      <c r="E104" s="2592" t="s">
        <v>672</v>
      </c>
      <c r="F104" s="2153" t="s">
        <v>19</v>
      </c>
      <c r="G104" s="2154" t="s">
        <v>20</v>
      </c>
      <c r="H104" s="3243">
        <v>1351.1944451507584</v>
      </c>
      <c r="I104" s="2155">
        <v>1351.1944451507584</v>
      </c>
      <c r="J104" s="2155">
        <v>3151.8186372910418</v>
      </c>
      <c r="K104" s="3243">
        <v>14.649905454545459</v>
      </c>
      <c r="L104" s="2155">
        <v>23.130831970646749</v>
      </c>
      <c r="M104" s="2155">
        <v>23.130831970646749</v>
      </c>
      <c r="N104" s="2155">
        <v>45.780954545454556</v>
      </c>
      <c r="O104" s="2155">
        <v>45.780954545454556</v>
      </c>
      <c r="P104" s="2155">
        <v>9.274376420048295</v>
      </c>
      <c r="Q104" s="2155">
        <v>9.274376420048295</v>
      </c>
      <c r="R104" s="2155">
        <v>4.9160781146036348</v>
      </c>
      <c r="S104" s="2155">
        <v>3.9809525691699603</v>
      </c>
      <c r="T104" s="2155">
        <v>3.9809525691699603</v>
      </c>
      <c r="U104" s="2155">
        <v>2.1800454545454544</v>
      </c>
      <c r="V104" s="2155">
        <v>536.64914469580458</v>
      </c>
      <c r="W104" s="2155">
        <v>536.64914469580458</v>
      </c>
      <c r="X104" s="2155">
        <v>3.1980840324310131</v>
      </c>
      <c r="Y104" s="2155">
        <v>109.77672079487719</v>
      </c>
      <c r="Z104" s="2155">
        <v>36.624763636363632</v>
      </c>
      <c r="AA104" s="2155">
        <v>185.07020517233116</v>
      </c>
      <c r="AB104" s="3243">
        <v>192.092201524817</v>
      </c>
      <c r="AC104" s="2155">
        <v>452.49519691724385</v>
      </c>
      <c r="AD104" s="2155">
        <v>1097.9973364861983</v>
      </c>
      <c r="AE104" s="2155" t="s">
        <v>498</v>
      </c>
      <c r="AF104" s="2155" t="s">
        <v>498</v>
      </c>
      <c r="AG104" s="3721">
        <v>4813.5403636363644</v>
      </c>
      <c r="AH104" s="2155">
        <v>4813.5403636363635</v>
      </c>
      <c r="AI104" s="2155">
        <v>377.83264003298774</v>
      </c>
      <c r="AJ104" s="2155">
        <v>859.13227743955849</v>
      </c>
      <c r="AK104" s="2155">
        <v>2011.7586893702742</v>
      </c>
      <c r="AL104" s="2155" t="s">
        <v>498</v>
      </c>
      <c r="AM104" s="3022" t="s">
        <v>498</v>
      </c>
      <c r="AN104" s="2155">
        <v>16.811130405928846</v>
      </c>
      <c r="AO104" s="2155">
        <v>1720.1673933268332</v>
      </c>
      <c r="AP104" s="2155">
        <v>1105.0435709443484</v>
      </c>
      <c r="AQ104" s="2155">
        <v>2583.4415226400019</v>
      </c>
      <c r="AR104" s="2155">
        <v>12702.495303310408</v>
      </c>
      <c r="AS104" s="2155">
        <v>2811.5336891779552</v>
      </c>
      <c r="AT104" s="2155">
        <v>149834.42017401895</v>
      </c>
      <c r="AU104" s="2155">
        <v>155735.92846038798</v>
      </c>
      <c r="AV104" s="2155">
        <v>11003.673190715235</v>
      </c>
      <c r="AW104" s="2155">
        <v>933710.99710482731</v>
      </c>
      <c r="AX104" s="2155">
        <v>2875044.6301567955</v>
      </c>
      <c r="AY104" s="2155">
        <v>5390707.8175062099</v>
      </c>
      <c r="AZ104" s="2155">
        <v>1990887.8447598603</v>
      </c>
      <c r="BA104" s="2155">
        <v>2002184.1966859982</v>
      </c>
      <c r="BB104" s="2155">
        <v>3356709.648477627</v>
      </c>
      <c r="BC104" s="2155" t="s">
        <v>498</v>
      </c>
      <c r="BD104" s="3243">
        <v>215.22403473857096</v>
      </c>
      <c r="BE104" s="2155">
        <v>222.74278665483374</v>
      </c>
      <c r="BF104" s="3022">
        <v>445.48557330966747</v>
      </c>
      <c r="BG104" s="2155">
        <v>7.8481636363636371E-3</v>
      </c>
      <c r="BH104" s="3246">
        <v>4.0873908196506656</v>
      </c>
      <c r="BI104" s="2155">
        <v>11.155631262370846</v>
      </c>
    </row>
    <row r="105" spans="1:61" s="2274" customFormat="1" hidden="1">
      <c r="A105" s="2375"/>
      <c r="B105" s="2227"/>
      <c r="C105" s="240"/>
      <c r="D105" s="3242"/>
      <c r="E105" s="3722" t="s">
        <v>985</v>
      </c>
      <c r="F105" s="2225" t="s">
        <v>19</v>
      </c>
      <c r="G105" s="2226" t="s">
        <v>20</v>
      </c>
      <c r="H105" s="3284">
        <v>1351.1944451507584</v>
      </c>
      <c r="I105" s="2273">
        <v>1351.1944451507584</v>
      </c>
      <c r="J105" s="2273">
        <v>3151.8186372910418</v>
      </c>
      <c r="K105" s="3284">
        <v>14.649905454545459</v>
      </c>
      <c r="L105" s="2273">
        <v>23.130831970646749</v>
      </c>
      <c r="M105" s="2273">
        <v>23.130831970646749</v>
      </c>
      <c r="N105" s="2273">
        <v>45.780954545454556</v>
      </c>
      <c r="O105" s="2273">
        <v>45.780954545454556</v>
      </c>
      <c r="P105" s="2273">
        <v>9.274376420048295</v>
      </c>
      <c r="Q105" s="2273">
        <v>9.274376420048295</v>
      </c>
      <c r="R105" s="2273">
        <v>4.9160781146036348</v>
      </c>
      <c r="S105" s="2273">
        <v>3.9809525691699603</v>
      </c>
      <c r="T105" s="2273">
        <v>3.9809525691699603</v>
      </c>
      <c r="U105" s="2273">
        <v>2.1800454545454544</v>
      </c>
      <c r="V105" s="2273" t="s">
        <v>498</v>
      </c>
      <c r="W105" s="2273" t="s">
        <v>498</v>
      </c>
      <c r="X105" s="2273">
        <v>3.1980840324310131</v>
      </c>
      <c r="Y105" s="2273">
        <v>109.77672079487719</v>
      </c>
      <c r="Z105" s="2273">
        <v>36.624763636363632</v>
      </c>
      <c r="AA105" s="2273" t="s">
        <v>498</v>
      </c>
      <c r="AB105" s="3284" t="s">
        <v>498</v>
      </c>
      <c r="AC105" s="2273" t="s">
        <v>498</v>
      </c>
      <c r="AD105" s="2273" t="s">
        <v>498</v>
      </c>
      <c r="AE105" s="2273" t="s">
        <v>498</v>
      </c>
      <c r="AF105" s="2273" t="s">
        <v>498</v>
      </c>
      <c r="AG105" s="3723" t="s">
        <v>498</v>
      </c>
      <c r="AH105" s="2273" t="s">
        <v>498</v>
      </c>
      <c r="AI105" s="2273" t="s">
        <v>498</v>
      </c>
      <c r="AJ105" s="2273" t="s">
        <v>498</v>
      </c>
      <c r="AK105" s="2273" t="s">
        <v>498</v>
      </c>
      <c r="AL105" s="2273" t="s">
        <v>498</v>
      </c>
      <c r="AM105" s="3285" t="s">
        <v>498</v>
      </c>
      <c r="AN105" s="2273">
        <v>16.811130405928846</v>
      </c>
      <c r="AO105" s="2273" t="s">
        <v>498</v>
      </c>
      <c r="AP105" s="2273" t="s">
        <v>498</v>
      </c>
      <c r="AQ105" s="2273" t="s">
        <v>498</v>
      </c>
      <c r="AR105" s="2273" t="s">
        <v>498</v>
      </c>
      <c r="AS105" s="2273" t="s">
        <v>498</v>
      </c>
      <c r="AT105" s="2273" t="s">
        <v>498</v>
      </c>
      <c r="AU105" s="2273" t="s">
        <v>498</v>
      </c>
      <c r="AV105" s="2273" t="s">
        <v>498</v>
      </c>
      <c r="AW105" s="2273" t="s">
        <v>498</v>
      </c>
      <c r="AX105" s="2273" t="s">
        <v>498</v>
      </c>
      <c r="AY105" s="2273" t="s">
        <v>498</v>
      </c>
      <c r="AZ105" s="2273" t="s">
        <v>498</v>
      </c>
      <c r="BA105" s="2273" t="s">
        <v>498</v>
      </c>
      <c r="BB105" s="2273" t="s">
        <v>498</v>
      </c>
      <c r="BC105" s="2273" t="s">
        <v>498</v>
      </c>
      <c r="BD105" s="3284">
        <v>215.22403473857096</v>
      </c>
      <c r="BE105" s="2273" t="s">
        <v>498</v>
      </c>
      <c r="BF105" s="3285" t="s">
        <v>498</v>
      </c>
      <c r="BG105" s="3245">
        <v>7.8481636363636371E-3</v>
      </c>
      <c r="BH105" s="3287">
        <v>4.0873908196506656</v>
      </c>
      <c r="BI105" s="2273">
        <v>11.155631262370846</v>
      </c>
    </row>
    <row r="106" spans="1:61" s="3744" customFormat="1" hidden="1">
      <c r="A106" s="3734"/>
      <c r="B106" s="3735"/>
      <c r="C106" s="3860"/>
      <c r="D106" s="3861"/>
      <c r="E106" s="3736" t="s">
        <v>476</v>
      </c>
      <c r="F106" s="3737" t="s">
        <v>19</v>
      </c>
      <c r="G106" s="3738" t="s">
        <v>24</v>
      </c>
      <c r="H106" s="3740">
        <v>3553.9626522150502</v>
      </c>
      <c r="I106" s="3739">
        <v>3553.9626522150502</v>
      </c>
      <c r="J106" s="3739">
        <v>45033.235605271475</v>
      </c>
      <c r="K106" s="3740">
        <v>56461.702979348142</v>
      </c>
      <c r="L106" s="3739">
        <v>16621.390195478125</v>
      </c>
      <c r="M106" s="3739">
        <v>16621.390195478125</v>
      </c>
      <c r="N106" s="3739">
        <v>64793.231413800415</v>
      </c>
      <c r="O106" s="3739">
        <v>64793.231413800415</v>
      </c>
      <c r="P106" s="3739">
        <v>14433.877661302644</v>
      </c>
      <c r="Q106" s="3739">
        <v>14433.877661302644</v>
      </c>
      <c r="R106" s="3739">
        <v>3574.4236463400862</v>
      </c>
      <c r="S106" s="3739">
        <v>2331.8196917680011</v>
      </c>
      <c r="T106" s="3739">
        <v>2331.8196917680011</v>
      </c>
      <c r="U106" s="3739">
        <v>6010.7591147651001</v>
      </c>
      <c r="V106" s="3739" t="s">
        <v>498</v>
      </c>
      <c r="W106" s="3739" t="s">
        <v>498</v>
      </c>
      <c r="X106" s="3739">
        <v>2765.8841464130337</v>
      </c>
      <c r="Y106" s="3739">
        <v>65799.792955346216</v>
      </c>
      <c r="Z106" s="3739">
        <v>13000.799391486569</v>
      </c>
      <c r="AA106" s="3739" t="s">
        <v>498</v>
      </c>
      <c r="AB106" s="3740" t="s">
        <v>498</v>
      </c>
      <c r="AC106" s="3739" t="s">
        <v>498</v>
      </c>
      <c r="AD106" s="3739" t="s">
        <v>498</v>
      </c>
      <c r="AE106" s="3739" t="s">
        <v>498</v>
      </c>
      <c r="AF106" s="3739" t="s">
        <v>498</v>
      </c>
      <c r="AG106" s="3742" t="s">
        <v>498</v>
      </c>
      <c r="AH106" s="3739" t="s">
        <v>498</v>
      </c>
      <c r="AI106" s="3739" t="s">
        <v>498</v>
      </c>
      <c r="AJ106" s="3739" t="s">
        <v>498</v>
      </c>
      <c r="AK106" s="3739" t="s">
        <v>498</v>
      </c>
      <c r="AL106" s="3739" t="s">
        <v>498</v>
      </c>
      <c r="AM106" s="3741" t="s">
        <v>498</v>
      </c>
      <c r="AN106" s="3739">
        <v>71.859286004143527</v>
      </c>
      <c r="AO106" s="3739" t="s">
        <v>498</v>
      </c>
      <c r="AP106" s="3739" t="s">
        <v>498</v>
      </c>
      <c r="AQ106" s="3739" t="s">
        <v>498</v>
      </c>
      <c r="AR106" s="3739" t="s">
        <v>498</v>
      </c>
      <c r="AS106" s="3739" t="s">
        <v>498</v>
      </c>
      <c r="AT106" s="3739" t="s">
        <v>498</v>
      </c>
      <c r="AU106" s="3739" t="s">
        <v>498</v>
      </c>
      <c r="AV106" s="3739" t="s">
        <v>498</v>
      </c>
      <c r="AW106" s="3739" t="s">
        <v>498</v>
      </c>
      <c r="AX106" s="3739" t="s">
        <v>498</v>
      </c>
      <c r="AY106" s="3739" t="s">
        <v>498</v>
      </c>
      <c r="AZ106" s="3739" t="s">
        <v>498</v>
      </c>
      <c r="BA106" s="3739" t="s">
        <v>498</v>
      </c>
      <c r="BB106" s="3739" t="s">
        <v>498</v>
      </c>
      <c r="BC106" s="3739" t="s">
        <v>498</v>
      </c>
      <c r="BD106" s="3740">
        <v>19.270904253121437</v>
      </c>
      <c r="BE106" s="3739" t="s">
        <v>498</v>
      </c>
      <c r="BF106" s="3741" t="s">
        <v>498</v>
      </c>
      <c r="BG106" s="3739" t="s">
        <v>595</v>
      </c>
      <c r="BH106" s="3743">
        <v>0.51398581898697171</v>
      </c>
      <c r="BI106" s="3739">
        <v>10.737444483260699</v>
      </c>
    </row>
    <row r="107" spans="1:61" s="2126" customFormat="1" hidden="1">
      <c r="A107" s="3241"/>
      <c r="B107" s="2156"/>
      <c r="C107" s="240"/>
      <c r="D107" s="3238"/>
      <c r="E107" s="3722" t="s">
        <v>659</v>
      </c>
      <c r="F107" s="2225" t="s">
        <v>19</v>
      </c>
      <c r="G107" s="2225" t="s">
        <v>20</v>
      </c>
      <c r="H107" s="3284">
        <v>1351.1944451507584</v>
      </c>
      <c r="I107" s="2273">
        <v>1351.1944451507584</v>
      </c>
      <c r="J107" s="2273">
        <v>3151.8186372910418</v>
      </c>
      <c r="K107" s="3284">
        <v>14.649905454545459</v>
      </c>
      <c r="L107" s="2273">
        <v>23.130831970646749</v>
      </c>
      <c r="M107" s="2273">
        <v>23.130831970646749</v>
      </c>
      <c r="N107" s="2273">
        <v>45.780954545454556</v>
      </c>
      <c r="O107" s="2273">
        <v>45.780954545454556</v>
      </c>
      <c r="P107" s="2273">
        <v>9.274376420048295</v>
      </c>
      <c r="Q107" s="2273">
        <v>9.274376420048295</v>
      </c>
      <c r="R107" s="2273">
        <v>4.9160781146036348</v>
      </c>
      <c r="S107" s="2273">
        <v>3.9809525691699603</v>
      </c>
      <c r="T107" s="2273">
        <v>3.9809525691699603</v>
      </c>
      <c r="U107" s="2273">
        <v>2.1800454545454544</v>
      </c>
      <c r="V107" s="2273" t="s">
        <v>498</v>
      </c>
      <c r="W107" s="2273" t="s">
        <v>498</v>
      </c>
      <c r="X107" s="2273">
        <v>3.1980840324310131</v>
      </c>
      <c r="Y107" s="2273">
        <v>109.77672079487719</v>
      </c>
      <c r="Z107" s="2273">
        <v>36.624763636363632</v>
      </c>
      <c r="AA107" s="2273" t="s">
        <v>498</v>
      </c>
      <c r="AB107" s="3284" t="s">
        <v>498</v>
      </c>
      <c r="AC107" s="2273" t="s">
        <v>498</v>
      </c>
      <c r="AD107" s="2273" t="s">
        <v>498</v>
      </c>
      <c r="AE107" s="2273" t="s">
        <v>498</v>
      </c>
      <c r="AF107" s="2273" t="s">
        <v>498</v>
      </c>
      <c r="AG107" s="3723" t="s">
        <v>498</v>
      </c>
      <c r="AH107" s="2273" t="s">
        <v>498</v>
      </c>
      <c r="AI107" s="2273" t="s">
        <v>498</v>
      </c>
      <c r="AJ107" s="2273" t="s">
        <v>498</v>
      </c>
      <c r="AK107" s="2273" t="s">
        <v>498</v>
      </c>
      <c r="AL107" s="2273" t="s">
        <v>498</v>
      </c>
      <c r="AM107" s="3285" t="s">
        <v>498</v>
      </c>
      <c r="AN107" s="2273">
        <v>16.811130405928846</v>
      </c>
      <c r="AO107" s="2273" t="s">
        <v>498</v>
      </c>
      <c r="AP107" s="2273" t="s">
        <v>498</v>
      </c>
      <c r="AQ107" s="2273" t="s">
        <v>498</v>
      </c>
      <c r="AR107" s="2273" t="s">
        <v>498</v>
      </c>
      <c r="AS107" s="2273" t="s">
        <v>498</v>
      </c>
      <c r="AT107" s="2273" t="s">
        <v>498</v>
      </c>
      <c r="AU107" s="2273" t="s">
        <v>498</v>
      </c>
      <c r="AV107" s="2273" t="s">
        <v>498</v>
      </c>
      <c r="AW107" s="2273" t="s">
        <v>498</v>
      </c>
      <c r="AX107" s="2273" t="s">
        <v>498</v>
      </c>
      <c r="AY107" s="2273" t="s">
        <v>498</v>
      </c>
      <c r="AZ107" s="2273" t="s">
        <v>498</v>
      </c>
      <c r="BA107" s="2273" t="s">
        <v>498</v>
      </c>
      <c r="BB107" s="2273" t="s">
        <v>498</v>
      </c>
      <c r="BC107" s="2273" t="s">
        <v>498</v>
      </c>
      <c r="BD107" s="3284">
        <v>215.22403473857096</v>
      </c>
      <c r="BE107" s="2273" t="s">
        <v>498</v>
      </c>
      <c r="BF107" s="3285" t="s">
        <v>498</v>
      </c>
      <c r="BG107" s="2273">
        <v>7.8481636363636371E-3</v>
      </c>
      <c r="BH107" s="3287">
        <v>4.0873908196506656</v>
      </c>
      <c r="BI107" s="2155"/>
    </row>
    <row r="108" spans="1:61" s="2193" customFormat="1" hidden="1">
      <c r="A108" s="3862"/>
      <c r="B108" s="2236"/>
      <c r="C108" s="2149"/>
      <c r="D108" s="3248"/>
      <c r="E108" s="3863" t="s">
        <v>660</v>
      </c>
      <c r="F108" s="2290" t="s">
        <v>19</v>
      </c>
      <c r="G108" s="2290" t="s">
        <v>20</v>
      </c>
      <c r="H108" s="3252">
        <v>1351.1944451507584</v>
      </c>
      <c r="I108" s="3251">
        <v>1351.1944451507584</v>
      </c>
      <c r="J108" s="3251">
        <v>3151.8186372910418</v>
      </c>
      <c r="K108" s="3252">
        <v>14.649905454545459</v>
      </c>
      <c r="L108" s="3251">
        <v>9.5577176220567106E-2</v>
      </c>
      <c r="M108" s="3251">
        <v>9.5577176220567106E-2</v>
      </c>
      <c r="N108" s="3251">
        <v>0.10821826362388159</v>
      </c>
      <c r="O108" s="3251">
        <v>0.10821826362388159</v>
      </c>
      <c r="P108" s="3251">
        <v>0.11970562364452407</v>
      </c>
      <c r="Q108" s="3251">
        <v>0.11970562364452407</v>
      </c>
      <c r="R108" s="3251">
        <v>0.12137450300777608</v>
      </c>
      <c r="S108" s="3251">
        <v>2.0322866107828585E-2</v>
      </c>
      <c r="T108" s="3251">
        <v>2.0322866107828585E-2</v>
      </c>
      <c r="U108" s="3251">
        <v>0.22248888336770858</v>
      </c>
      <c r="V108" s="3251">
        <v>0.57872438149843097</v>
      </c>
      <c r="W108" s="3251">
        <v>0.57872438149843097</v>
      </c>
      <c r="X108" s="3251">
        <v>1.7316165079365078E-2</v>
      </c>
      <c r="Y108" s="3251">
        <v>1.5640729419169927E-2</v>
      </c>
      <c r="Z108" s="3251">
        <v>2.818524839493879E-2</v>
      </c>
      <c r="AA108" s="3251">
        <v>1.2786755989114631E-3</v>
      </c>
      <c r="AB108" s="3252">
        <v>8.5398354360984013E-3</v>
      </c>
      <c r="AC108" s="3251">
        <v>1.3319432157547906E-2</v>
      </c>
      <c r="AD108" s="3251">
        <v>6.8048879913036098E-2</v>
      </c>
      <c r="AE108" s="3251">
        <v>0.54573435897435907</v>
      </c>
      <c r="AF108" s="3251" t="s">
        <v>498</v>
      </c>
      <c r="AG108" s="3864">
        <v>3.3903300887639376E-3</v>
      </c>
      <c r="AH108" s="3251">
        <v>4.5280501163246908E-3</v>
      </c>
      <c r="AI108" s="3251">
        <v>1.2196548272984103E-3</v>
      </c>
      <c r="AJ108" s="3251">
        <v>1.5593781961583686E-3</v>
      </c>
      <c r="AK108" s="3251">
        <v>6.840264042418419E-3</v>
      </c>
      <c r="AL108" s="3251">
        <v>9.0230115878123282E-2</v>
      </c>
      <c r="AM108" s="3253">
        <v>13.034703299306772</v>
      </c>
      <c r="AN108" s="3251">
        <v>0.10297329087081339</v>
      </c>
      <c r="AO108" s="3251">
        <v>0.59960169124877094</v>
      </c>
      <c r="AP108" s="3251">
        <v>0.35840969450101828</v>
      </c>
      <c r="AQ108" s="3251">
        <v>0.88515080459770112</v>
      </c>
      <c r="AR108" s="3251">
        <v>4.4209584732824432</v>
      </c>
      <c r="AS108" s="3251" t="s">
        <v>498</v>
      </c>
      <c r="AT108" s="3251" t="s">
        <v>498</v>
      </c>
      <c r="AU108" s="3251" t="s">
        <v>498</v>
      </c>
      <c r="AV108" s="3251" t="s">
        <v>498</v>
      </c>
      <c r="AW108" s="3251" t="s">
        <v>498</v>
      </c>
      <c r="AX108" s="3251" t="s">
        <v>498</v>
      </c>
      <c r="AY108" s="3251" t="s">
        <v>498</v>
      </c>
      <c r="AZ108" s="3251" t="s">
        <v>498</v>
      </c>
      <c r="BA108" s="3251" t="s">
        <v>498</v>
      </c>
      <c r="BB108" s="3251" t="s">
        <v>498</v>
      </c>
      <c r="BC108" s="3251" t="s">
        <v>498</v>
      </c>
      <c r="BD108" s="3252">
        <v>1.7467285702309585</v>
      </c>
      <c r="BE108" s="3251" t="s">
        <v>511</v>
      </c>
      <c r="BF108" s="3253" t="s">
        <v>511</v>
      </c>
      <c r="BG108" s="3251">
        <v>7.8481636363636371E-3</v>
      </c>
      <c r="BH108" s="3256">
        <v>4.0873908196506656</v>
      </c>
      <c r="BI108" s="2235"/>
    </row>
    <row r="109" spans="1:61" s="3166" customFormat="1" hidden="1">
      <c r="B109" s="3155"/>
      <c r="C109" s="2149"/>
      <c r="D109" s="3248"/>
      <c r="E109" s="3050" t="s">
        <v>626</v>
      </c>
      <c r="F109" s="3216"/>
      <c r="G109" s="2154"/>
      <c r="H109" s="627"/>
      <c r="I109" s="530"/>
      <c r="J109" s="530"/>
      <c r="K109" s="627"/>
      <c r="L109" s="530"/>
      <c r="M109" s="530"/>
      <c r="N109" s="530"/>
      <c r="O109" s="530"/>
      <c r="P109" s="530"/>
      <c r="Q109" s="530"/>
      <c r="R109" s="530"/>
      <c r="S109" s="530"/>
      <c r="T109" s="530"/>
      <c r="U109" s="530"/>
      <c r="V109" s="530"/>
      <c r="W109" s="530"/>
      <c r="X109" s="530"/>
      <c r="Y109" s="530"/>
      <c r="Z109" s="530"/>
      <c r="AA109" s="530"/>
      <c r="AB109" s="627"/>
      <c r="AC109" s="530"/>
      <c r="AD109" s="530"/>
      <c r="AE109" s="530"/>
      <c r="AF109" s="530"/>
      <c r="AG109" s="829"/>
      <c r="AH109" s="530"/>
      <c r="AI109" s="530"/>
      <c r="AJ109" s="530"/>
      <c r="AK109" s="530"/>
      <c r="AL109" s="530"/>
      <c r="AM109" s="628"/>
      <c r="AN109" s="530"/>
      <c r="AO109" s="530"/>
      <c r="AP109" s="530"/>
      <c r="AQ109" s="530"/>
      <c r="AR109" s="530"/>
      <c r="AS109" s="530"/>
      <c r="AT109" s="530"/>
      <c r="AU109" s="530"/>
      <c r="AV109" s="530"/>
      <c r="AW109" s="530"/>
      <c r="AX109" s="530"/>
      <c r="AY109" s="530"/>
      <c r="AZ109" s="530"/>
      <c r="BA109" s="530"/>
      <c r="BB109" s="530"/>
      <c r="BC109" s="530"/>
      <c r="BD109" s="627"/>
      <c r="BE109" s="530"/>
      <c r="BF109" s="628"/>
      <c r="BG109" s="530"/>
      <c r="BH109" s="629"/>
      <c r="BI109" s="530"/>
    </row>
    <row r="110" spans="1:61" s="2126" customFormat="1" hidden="1">
      <c r="A110" s="3241"/>
      <c r="B110" s="2156"/>
      <c r="C110" s="276"/>
      <c r="D110" s="3279"/>
      <c r="E110" s="2592" t="s">
        <v>670</v>
      </c>
      <c r="F110" s="2153" t="s">
        <v>19</v>
      </c>
      <c r="G110" s="2154" t="s">
        <v>20</v>
      </c>
      <c r="H110" s="3243">
        <v>1351.1944451507584</v>
      </c>
      <c r="I110" s="2155">
        <v>1351.1944451507584</v>
      </c>
      <c r="J110" s="2155">
        <v>3151.8186372910418</v>
      </c>
      <c r="K110" s="3243">
        <v>14.649905454545459</v>
      </c>
      <c r="L110" s="2155">
        <v>23.130831970646749</v>
      </c>
      <c r="M110" s="2155">
        <v>23.130831970646749</v>
      </c>
      <c r="N110" s="2155">
        <v>53.051904338721464</v>
      </c>
      <c r="O110" s="2155">
        <v>53.051904338721464</v>
      </c>
      <c r="P110" s="2155">
        <v>9.274376420048295</v>
      </c>
      <c r="Q110" s="2155">
        <v>9.274376420048295</v>
      </c>
      <c r="R110" s="2155">
        <v>4.9160781146036348</v>
      </c>
      <c r="S110" s="2155">
        <v>22.634219723948153</v>
      </c>
      <c r="T110" s="2155">
        <v>22.634219723948153</v>
      </c>
      <c r="U110" s="2155">
        <v>9.9410072727272727</v>
      </c>
      <c r="V110" s="2155">
        <v>536.64914469580458</v>
      </c>
      <c r="W110" s="2155">
        <v>536.64914469580458</v>
      </c>
      <c r="X110" s="2155">
        <v>3.1980840324310131</v>
      </c>
      <c r="Y110" s="2155">
        <v>109.77672079487719</v>
      </c>
      <c r="Z110" s="2155">
        <v>151.83785863743765</v>
      </c>
      <c r="AA110" s="2155">
        <v>185.07020517233116</v>
      </c>
      <c r="AB110" s="3243">
        <v>192.092201524817</v>
      </c>
      <c r="AC110" s="2155">
        <v>452.49519691724385</v>
      </c>
      <c r="AD110" s="2155">
        <v>1097.9973364861983</v>
      </c>
      <c r="AE110" s="2155" t="s">
        <v>498</v>
      </c>
      <c r="AF110" s="2155" t="s">
        <v>498</v>
      </c>
      <c r="AG110" s="3721">
        <v>4813.5403636363644</v>
      </c>
      <c r="AH110" s="2155">
        <v>4813.5403636363635</v>
      </c>
      <c r="AI110" s="2155">
        <v>377.83264003298774</v>
      </c>
      <c r="AJ110" s="2155">
        <v>859.13227743955849</v>
      </c>
      <c r="AK110" s="2155">
        <v>2011.7586893702742</v>
      </c>
      <c r="AL110" s="2155" t="s">
        <v>498</v>
      </c>
      <c r="AM110" s="3022" t="s">
        <v>498</v>
      </c>
      <c r="AN110" s="2155">
        <v>61.815036660693622</v>
      </c>
      <c r="AO110" s="2155" t="s">
        <v>498</v>
      </c>
      <c r="AP110" s="2155" t="s">
        <v>498</v>
      </c>
      <c r="AQ110" s="2155" t="s">
        <v>498</v>
      </c>
      <c r="AR110" s="2155" t="s">
        <v>498</v>
      </c>
      <c r="AS110" s="2155" t="s">
        <v>498</v>
      </c>
      <c r="AT110" s="2155" t="s">
        <v>498</v>
      </c>
      <c r="AU110" s="2155" t="s">
        <v>498</v>
      </c>
      <c r="AV110" s="2155" t="s">
        <v>498</v>
      </c>
      <c r="AW110" s="2155" t="s">
        <v>498</v>
      </c>
      <c r="AX110" s="2155" t="s">
        <v>498</v>
      </c>
      <c r="AY110" s="2155" t="s">
        <v>498</v>
      </c>
      <c r="AZ110" s="2155" t="s">
        <v>498</v>
      </c>
      <c r="BA110" s="2155" t="s">
        <v>498</v>
      </c>
      <c r="BB110" s="2155" t="s">
        <v>498</v>
      </c>
      <c r="BC110" s="2155" t="s">
        <v>498</v>
      </c>
      <c r="BD110" s="3243">
        <v>215.22403473857096</v>
      </c>
      <c r="BE110" s="2155">
        <v>222.74278665483374</v>
      </c>
      <c r="BF110" s="3022">
        <v>445.48557330966747</v>
      </c>
      <c r="BG110" s="3245">
        <v>1.4E-2</v>
      </c>
      <c r="BH110" s="3246">
        <v>4.0873908196506656</v>
      </c>
      <c r="BI110" s="2155"/>
    </row>
    <row r="111" spans="1:61" s="2126" customFormat="1" hidden="1">
      <c r="A111" s="3241"/>
      <c r="B111" s="2156"/>
      <c r="C111" s="2149"/>
      <c r="D111" s="3248"/>
      <c r="E111" s="2592" t="s">
        <v>671</v>
      </c>
      <c r="F111" s="2153" t="s">
        <v>19</v>
      </c>
      <c r="G111" s="2154" t="s">
        <v>20</v>
      </c>
      <c r="H111" s="3243" t="s">
        <v>498</v>
      </c>
      <c r="I111" s="2155" t="s">
        <v>498</v>
      </c>
      <c r="J111" s="2155" t="s">
        <v>498</v>
      </c>
      <c r="K111" s="3243">
        <v>91.561909090909083</v>
      </c>
      <c r="L111" s="2155" t="s">
        <v>498</v>
      </c>
      <c r="M111" s="2155" t="s">
        <v>498</v>
      </c>
      <c r="N111" s="2155">
        <v>45.780954545454556</v>
      </c>
      <c r="O111" s="2155">
        <v>45.780954545454556</v>
      </c>
      <c r="P111" s="2155">
        <v>15.518967642526965</v>
      </c>
      <c r="Q111" s="2155">
        <v>15.518967642526965</v>
      </c>
      <c r="R111" s="2155">
        <v>91.561909090909097</v>
      </c>
      <c r="S111" s="2155">
        <v>3.9809525691699603</v>
      </c>
      <c r="T111" s="2155">
        <v>3.9809525691699603</v>
      </c>
      <c r="U111" s="2155">
        <v>2.1800454545454544</v>
      </c>
      <c r="V111" s="2155" t="s">
        <v>498</v>
      </c>
      <c r="W111" s="2155" t="s">
        <v>498</v>
      </c>
      <c r="X111" s="2155">
        <v>15.26031818181818</v>
      </c>
      <c r="Y111" s="2155" t="s">
        <v>498</v>
      </c>
      <c r="Z111" s="2155">
        <v>36.624763636363632</v>
      </c>
      <c r="AA111" s="2155" t="s">
        <v>498</v>
      </c>
      <c r="AB111" s="3243" t="s">
        <v>498</v>
      </c>
      <c r="AC111" s="2155" t="s">
        <v>498</v>
      </c>
      <c r="AD111" s="2155" t="s">
        <v>498</v>
      </c>
      <c r="AE111" s="2155" t="s">
        <v>498</v>
      </c>
      <c r="AF111" s="2155" t="s">
        <v>498</v>
      </c>
      <c r="AG111" s="3721" t="s">
        <v>498</v>
      </c>
      <c r="AH111" s="2155" t="s">
        <v>498</v>
      </c>
      <c r="AI111" s="2155" t="s">
        <v>498</v>
      </c>
      <c r="AJ111" s="2155" t="s">
        <v>498</v>
      </c>
      <c r="AK111" s="2155" t="s">
        <v>498</v>
      </c>
      <c r="AL111" s="2155" t="s">
        <v>498</v>
      </c>
      <c r="AM111" s="3022" t="s">
        <v>498</v>
      </c>
      <c r="AN111" s="2155">
        <v>12.676022110965874</v>
      </c>
      <c r="AO111" s="2155">
        <v>822.68632582771033</v>
      </c>
      <c r="AP111" s="2155">
        <v>636.4173015423238</v>
      </c>
      <c r="AQ111" s="2155">
        <v>1032.8325846246817</v>
      </c>
      <c r="AR111" s="2155">
        <v>2339.7215252664851</v>
      </c>
      <c r="AS111" s="2155">
        <v>588.55908534719549</v>
      </c>
      <c r="AT111" s="2155">
        <v>7563.2961751004987</v>
      </c>
      <c r="AU111" s="2155">
        <v>7620.3470557997916</v>
      </c>
      <c r="AV111" s="2155">
        <v>191.15994182985477</v>
      </c>
      <c r="AW111" s="2155">
        <v>15252.757515357513</v>
      </c>
      <c r="AX111" s="2155">
        <v>2575.4140527803265</v>
      </c>
      <c r="AY111" s="2155">
        <v>4000.4062484483188</v>
      </c>
      <c r="AZ111" s="2155">
        <v>1034.638386127484</v>
      </c>
      <c r="BA111" s="2155">
        <v>336.58662048915585</v>
      </c>
      <c r="BB111" s="2155">
        <v>6296.6084066322446</v>
      </c>
      <c r="BC111" s="2155">
        <v>1075.8570198024292</v>
      </c>
      <c r="BD111" s="3243" t="s">
        <v>498</v>
      </c>
      <c r="BE111" s="2155" t="s">
        <v>498</v>
      </c>
      <c r="BF111" s="3022">
        <v>43.251068135224777</v>
      </c>
      <c r="BG111" s="2155" t="s">
        <v>498</v>
      </c>
      <c r="BH111" s="3246" t="s">
        <v>498</v>
      </c>
      <c r="BI111" s="2155"/>
    </row>
    <row r="112" spans="1:61" s="2126" customFormat="1" hidden="1">
      <c r="A112" s="2275"/>
      <c r="B112" s="2156"/>
      <c r="C112" s="2149"/>
      <c r="D112" s="3248"/>
      <c r="E112" s="2592" t="s">
        <v>672</v>
      </c>
      <c r="F112" s="2153" t="s">
        <v>19</v>
      </c>
      <c r="G112" s="2154" t="s">
        <v>20</v>
      </c>
      <c r="H112" s="3243">
        <v>1351.1944451507584</v>
      </c>
      <c r="I112" s="2155">
        <v>1351.1944451507584</v>
      </c>
      <c r="J112" s="2155">
        <v>3151.8186372910418</v>
      </c>
      <c r="K112" s="3243">
        <v>14.649905454545459</v>
      </c>
      <c r="L112" s="2155">
        <v>23.130831970646749</v>
      </c>
      <c r="M112" s="2155">
        <v>23.130831970646749</v>
      </c>
      <c r="N112" s="2155">
        <v>45.780954545454556</v>
      </c>
      <c r="O112" s="2155">
        <v>45.780954545454556</v>
      </c>
      <c r="P112" s="2155">
        <v>9.274376420048295</v>
      </c>
      <c r="Q112" s="2155">
        <v>9.274376420048295</v>
      </c>
      <c r="R112" s="2155">
        <v>4.9160781146036348</v>
      </c>
      <c r="S112" s="2155">
        <v>3.9809525691699603</v>
      </c>
      <c r="T112" s="2155">
        <v>3.9809525691699603</v>
      </c>
      <c r="U112" s="2155">
        <v>2.1800454545454544</v>
      </c>
      <c r="V112" s="2155">
        <v>536.64914469580458</v>
      </c>
      <c r="W112" s="2155">
        <v>536.64914469580458</v>
      </c>
      <c r="X112" s="2155">
        <v>3.1980840324310131</v>
      </c>
      <c r="Y112" s="2155">
        <v>109.77672079487719</v>
      </c>
      <c r="Z112" s="2155">
        <v>36.624763636363632</v>
      </c>
      <c r="AA112" s="2155">
        <v>185.07020517233116</v>
      </c>
      <c r="AB112" s="3243">
        <v>192.092201524817</v>
      </c>
      <c r="AC112" s="2155">
        <v>452.49519691724385</v>
      </c>
      <c r="AD112" s="2155">
        <v>1097.9973364861983</v>
      </c>
      <c r="AE112" s="2155" t="s">
        <v>498</v>
      </c>
      <c r="AF112" s="2155" t="s">
        <v>498</v>
      </c>
      <c r="AG112" s="3721">
        <v>4813.5403636363644</v>
      </c>
      <c r="AH112" s="2155">
        <v>4813.5403636363635</v>
      </c>
      <c r="AI112" s="2155">
        <v>377.83264003298774</v>
      </c>
      <c r="AJ112" s="2155">
        <v>859.13227743955849</v>
      </c>
      <c r="AK112" s="2155">
        <v>2011.7586893702742</v>
      </c>
      <c r="AL112" s="2155" t="s">
        <v>498</v>
      </c>
      <c r="AM112" s="3022" t="s">
        <v>498</v>
      </c>
      <c r="AN112" s="2155">
        <v>12.676022110965874</v>
      </c>
      <c r="AO112" s="2155">
        <v>822.68632582771033</v>
      </c>
      <c r="AP112" s="2155">
        <v>636.4173015423238</v>
      </c>
      <c r="AQ112" s="2155">
        <v>1032.8325846246817</v>
      </c>
      <c r="AR112" s="2155">
        <v>2339.7215252664851</v>
      </c>
      <c r="AS112" s="2155">
        <v>588.55908534719549</v>
      </c>
      <c r="AT112" s="2155">
        <v>7563.2961751004987</v>
      </c>
      <c r="AU112" s="2155">
        <v>7620.3470557997916</v>
      </c>
      <c r="AV112" s="2155">
        <v>191.15994182985477</v>
      </c>
      <c r="AW112" s="2155">
        <v>15252.757515357513</v>
      </c>
      <c r="AX112" s="2155">
        <v>2575.4140527803265</v>
      </c>
      <c r="AY112" s="2155">
        <v>4000.4062484483188</v>
      </c>
      <c r="AZ112" s="2155">
        <v>1034.638386127484</v>
      </c>
      <c r="BA112" s="2155">
        <v>336.58662048915585</v>
      </c>
      <c r="BB112" s="2155">
        <v>6296.6084066322446</v>
      </c>
      <c r="BC112" s="2155">
        <v>1075.8570198024292</v>
      </c>
      <c r="BD112" s="3243">
        <v>215.22403473857096</v>
      </c>
      <c r="BE112" s="2155">
        <v>222.74278665483374</v>
      </c>
      <c r="BF112" s="3022">
        <v>43.251068135224777</v>
      </c>
      <c r="BG112" s="2155">
        <v>7.8481636363636371E-3</v>
      </c>
      <c r="BH112" s="3246">
        <v>4.0873908196506656</v>
      </c>
      <c r="BI112" s="2155"/>
    </row>
    <row r="113" spans="1:143" s="2274" customFormat="1" hidden="1">
      <c r="A113" s="2375"/>
      <c r="B113" s="2227"/>
      <c r="C113" s="240"/>
      <c r="D113" s="3242"/>
      <c r="E113" s="3722" t="s">
        <v>985</v>
      </c>
      <c r="F113" s="2225" t="s">
        <v>19</v>
      </c>
      <c r="G113" s="2226" t="s">
        <v>20</v>
      </c>
      <c r="H113" s="3284">
        <v>1351.1944451507584</v>
      </c>
      <c r="I113" s="2273">
        <v>1351.1944451507584</v>
      </c>
      <c r="J113" s="2273">
        <v>3151.8186372910418</v>
      </c>
      <c r="K113" s="3284">
        <v>14.649905454545459</v>
      </c>
      <c r="L113" s="2273">
        <v>23.130831970646749</v>
      </c>
      <c r="M113" s="2273">
        <v>23.130831970646749</v>
      </c>
      <c r="N113" s="2273">
        <v>45.780954545454556</v>
      </c>
      <c r="O113" s="2273">
        <v>45.780954545454556</v>
      </c>
      <c r="P113" s="2273">
        <v>9.274376420048295</v>
      </c>
      <c r="Q113" s="2273">
        <v>9.274376420048295</v>
      </c>
      <c r="R113" s="2273">
        <v>4.9160781146036348</v>
      </c>
      <c r="S113" s="2273">
        <v>3.9809525691699603</v>
      </c>
      <c r="T113" s="2273">
        <v>3.9809525691699603</v>
      </c>
      <c r="U113" s="2273">
        <v>2.1800454545454544</v>
      </c>
      <c r="V113" s="2273" t="s">
        <v>498</v>
      </c>
      <c r="W113" s="2273" t="s">
        <v>498</v>
      </c>
      <c r="X113" s="2273">
        <v>3.1980840324310131</v>
      </c>
      <c r="Y113" s="2273">
        <v>109.77672079487719</v>
      </c>
      <c r="Z113" s="2273">
        <v>36.624763636363632</v>
      </c>
      <c r="AA113" s="2273" t="s">
        <v>498</v>
      </c>
      <c r="AB113" s="3284" t="s">
        <v>498</v>
      </c>
      <c r="AC113" s="2273" t="s">
        <v>498</v>
      </c>
      <c r="AD113" s="2273" t="s">
        <v>498</v>
      </c>
      <c r="AE113" s="2273" t="s">
        <v>498</v>
      </c>
      <c r="AF113" s="2273" t="s">
        <v>498</v>
      </c>
      <c r="AG113" s="3723" t="s">
        <v>498</v>
      </c>
      <c r="AH113" s="2273" t="s">
        <v>498</v>
      </c>
      <c r="AI113" s="2273" t="s">
        <v>498</v>
      </c>
      <c r="AJ113" s="2273" t="s">
        <v>498</v>
      </c>
      <c r="AK113" s="2273" t="s">
        <v>498</v>
      </c>
      <c r="AL113" s="2273" t="s">
        <v>498</v>
      </c>
      <c r="AM113" s="3285" t="s">
        <v>498</v>
      </c>
      <c r="AN113" s="2273">
        <v>12.676022110965874</v>
      </c>
      <c r="AO113" s="2273" t="s">
        <v>498</v>
      </c>
      <c r="AP113" s="2273" t="s">
        <v>498</v>
      </c>
      <c r="AQ113" s="2273" t="s">
        <v>498</v>
      </c>
      <c r="AR113" s="2273" t="s">
        <v>498</v>
      </c>
      <c r="AS113" s="2273" t="s">
        <v>498</v>
      </c>
      <c r="AT113" s="2273" t="s">
        <v>498</v>
      </c>
      <c r="AU113" s="2273" t="s">
        <v>498</v>
      </c>
      <c r="AV113" s="2273" t="s">
        <v>498</v>
      </c>
      <c r="AW113" s="2273" t="s">
        <v>498</v>
      </c>
      <c r="AX113" s="2273" t="s">
        <v>498</v>
      </c>
      <c r="AY113" s="2273" t="s">
        <v>498</v>
      </c>
      <c r="AZ113" s="2273" t="s">
        <v>498</v>
      </c>
      <c r="BA113" s="2273" t="s">
        <v>498</v>
      </c>
      <c r="BB113" s="2273" t="s">
        <v>498</v>
      </c>
      <c r="BC113" s="2273" t="s">
        <v>498</v>
      </c>
      <c r="BD113" s="3284">
        <v>215.22403473857096</v>
      </c>
      <c r="BE113" s="2273" t="s">
        <v>498</v>
      </c>
      <c r="BF113" s="3285" t="s">
        <v>498</v>
      </c>
      <c r="BG113" s="3245">
        <v>1.4E-2</v>
      </c>
      <c r="BH113" s="3287">
        <v>4.0873908196506656</v>
      </c>
      <c r="BI113" s="2273"/>
    </row>
    <row r="114" spans="1:143" s="2193" customFormat="1" ht="13.5" hidden="1" thickBot="1">
      <c r="A114" s="2362"/>
      <c r="B114" s="2236"/>
      <c r="C114" s="3268"/>
      <c r="D114" s="3269"/>
      <c r="E114" s="3052" t="s">
        <v>476</v>
      </c>
      <c r="F114" s="2356" t="s">
        <v>93</v>
      </c>
      <c r="G114" s="2350" t="s">
        <v>24</v>
      </c>
      <c r="H114" s="3270">
        <v>3553.9626522150502</v>
      </c>
      <c r="I114" s="2235">
        <v>3553.9626522150502</v>
      </c>
      <c r="J114" s="2235">
        <v>45033.235605271475</v>
      </c>
      <c r="K114" s="3270">
        <v>56461.702979348142</v>
      </c>
      <c r="L114" s="2235">
        <v>16621.390195478125</v>
      </c>
      <c r="M114" s="2235">
        <v>16621.390195478125</v>
      </c>
      <c r="N114" s="2235">
        <v>64793.231413800415</v>
      </c>
      <c r="O114" s="2235">
        <v>64793.231413800415</v>
      </c>
      <c r="P114" s="2235">
        <v>14433.877661302644</v>
      </c>
      <c r="Q114" s="2235">
        <v>14433.877661302644</v>
      </c>
      <c r="R114" s="2235">
        <v>3574.4236463400862</v>
      </c>
      <c r="S114" s="2235">
        <v>2331.8196917680011</v>
      </c>
      <c r="T114" s="2235">
        <v>2331.8196917680011</v>
      </c>
      <c r="U114" s="2235">
        <v>6010.7591147651001</v>
      </c>
      <c r="V114" s="2235" t="s">
        <v>498</v>
      </c>
      <c r="W114" s="2235" t="s">
        <v>498</v>
      </c>
      <c r="X114" s="2235">
        <v>2765.8841464130337</v>
      </c>
      <c r="Y114" s="2235">
        <v>65799.792955346216</v>
      </c>
      <c r="Z114" s="2235">
        <v>13000.799391486569</v>
      </c>
      <c r="AA114" s="2235" t="s">
        <v>498</v>
      </c>
      <c r="AB114" s="3270" t="s">
        <v>498</v>
      </c>
      <c r="AC114" s="2235" t="s">
        <v>498</v>
      </c>
      <c r="AD114" s="2235" t="s">
        <v>498</v>
      </c>
      <c r="AE114" s="2235" t="s">
        <v>498</v>
      </c>
      <c r="AF114" s="2235" t="s">
        <v>498</v>
      </c>
      <c r="AG114" s="3786" t="s">
        <v>498</v>
      </c>
      <c r="AH114" s="2235" t="s">
        <v>498</v>
      </c>
      <c r="AI114" s="2235" t="s">
        <v>498</v>
      </c>
      <c r="AJ114" s="2235" t="s">
        <v>498</v>
      </c>
      <c r="AK114" s="2235" t="s">
        <v>498</v>
      </c>
      <c r="AL114" s="2235" t="s">
        <v>498</v>
      </c>
      <c r="AM114" s="3271" t="s">
        <v>498</v>
      </c>
      <c r="AN114" s="2235">
        <v>54.183738765448929</v>
      </c>
      <c r="AO114" s="2235" t="s">
        <v>498</v>
      </c>
      <c r="AP114" s="2235" t="s">
        <v>498</v>
      </c>
      <c r="AQ114" s="2235" t="s">
        <v>498</v>
      </c>
      <c r="AR114" s="2235" t="s">
        <v>498</v>
      </c>
      <c r="AS114" s="2235" t="s">
        <v>498</v>
      </c>
      <c r="AT114" s="2235" t="s">
        <v>498</v>
      </c>
      <c r="AU114" s="2235" t="s">
        <v>498</v>
      </c>
      <c r="AV114" s="2235" t="s">
        <v>498</v>
      </c>
      <c r="AW114" s="2235" t="s">
        <v>498</v>
      </c>
      <c r="AX114" s="2235" t="s">
        <v>498</v>
      </c>
      <c r="AY114" s="2235" t="s">
        <v>498</v>
      </c>
      <c r="AZ114" s="2235" t="s">
        <v>498</v>
      </c>
      <c r="BA114" s="2235" t="s">
        <v>498</v>
      </c>
      <c r="BB114" s="2235" t="s">
        <v>498</v>
      </c>
      <c r="BC114" s="2235" t="s">
        <v>498</v>
      </c>
      <c r="BD114" s="3270">
        <v>19.270904253121437</v>
      </c>
      <c r="BE114" s="2235" t="s">
        <v>498</v>
      </c>
      <c r="BF114" s="3271" t="s">
        <v>498</v>
      </c>
      <c r="BG114" s="2235" t="s">
        <v>595</v>
      </c>
      <c r="BH114" s="3273">
        <v>0.51398581898697171</v>
      </c>
      <c r="BI114" s="2235"/>
    </row>
    <row r="115" spans="1:143" s="3030" customFormat="1">
      <c r="A115" s="2126"/>
      <c r="B115" s="2126"/>
      <c r="C115" s="2126"/>
      <c r="D115" s="2126"/>
      <c r="E115" s="525"/>
      <c r="F115" s="525"/>
      <c r="G115" s="525"/>
      <c r="K115" s="3280"/>
      <c r="AB115" s="3280"/>
      <c r="AG115" s="3865"/>
      <c r="AH115" s="527"/>
      <c r="AM115" s="3041"/>
      <c r="BD115" s="3280"/>
      <c r="BF115" s="3041"/>
      <c r="BH115" s="3282"/>
    </row>
    <row r="116" spans="1:143" s="3030" customFormat="1">
      <c r="A116" s="2126"/>
      <c r="B116" s="2126"/>
      <c r="C116" s="2126"/>
      <c r="D116" s="2126"/>
      <c r="E116" s="525" t="s">
        <v>1269</v>
      </c>
      <c r="F116" s="525"/>
      <c r="G116" s="525"/>
      <c r="K116" s="3280"/>
      <c r="AB116" s="3280"/>
      <c r="AG116" s="3865"/>
      <c r="AM116" s="3041"/>
      <c r="BD116" s="3280"/>
      <c r="BF116" s="3041"/>
      <c r="BH116" s="3282"/>
    </row>
    <row r="117" spans="1:143" s="3030" customFormat="1">
      <c r="A117" s="2126"/>
      <c r="B117" s="2126"/>
      <c r="C117" s="2126"/>
      <c r="D117" s="2126"/>
      <c r="E117" s="3921" t="s">
        <v>1048</v>
      </c>
      <c r="F117" s="525"/>
      <c r="G117" s="525"/>
      <c r="K117" s="3280"/>
      <c r="AB117" s="3280"/>
      <c r="AG117" s="3865"/>
      <c r="AM117" s="3041"/>
      <c r="BD117" s="3280"/>
      <c r="BF117" s="3041"/>
      <c r="BH117" s="3282"/>
    </row>
    <row r="118" spans="1:143" s="3372" customFormat="1">
      <c r="A118" s="3371"/>
      <c r="B118" s="3787"/>
      <c r="C118" s="3773"/>
      <c r="D118" s="3774"/>
      <c r="E118" s="3922" t="s">
        <v>628</v>
      </c>
      <c r="F118" s="3289"/>
      <c r="G118" s="3776"/>
      <c r="H118" s="1044"/>
      <c r="I118" s="835"/>
      <c r="J118" s="835"/>
      <c r="K118" s="1044"/>
      <c r="L118" s="835"/>
      <c r="M118" s="835"/>
      <c r="N118" s="835"/>
      <c r="O118" s="835"/>
      <c r="P118" s="835"/>
      <c r="Q118" s="835"/>
      <c r="R118" s="835"/>
      <c r="S118" s="835"/>
      <c r="T118" s="835"/>
      <c r="U118" s="835"/>
      <c r="V118" s="835"/>
      <c r="W118" s="835"/>
      <c r="X118" s="835"/>
      <c r="Y118" s="835"/>
      <c r="Z118" s="835"/>
      <c r="AA118" s="835"/>
      <c r="AB118" s="1044"/>
      <c r="AC118" s="835"/>
      <c r="AD118" s="835"/>
      <c r="AE118" s="835"/>
      <c r="AF118" s="835"/>
      <c r="AG118" s="834"/>
      <c r="AH118" s="835"/>
      <c r="AI118" s="835"/>
      <c r="AJ118" s="835"/>
      <c r="AK118" s="835"/>
      <c r="AL118" s="835"/>
      <c r="AM118" s="1043"/>
      <c r="AN118" s="835"/>
      <c r="AO118" s="835"/>
      <c r="AP118" s="835"/>
      <c r="AQ118" s="835"/>
      <c r="AR118" s="835"/>
      <c r="AS118" s="835"/>
      <c r="AT118" s="835"/>
      <c r="AU118" s="835"/>
      <c r="AV118" s="835"/>
      <c r="AW118" s="835"/>
      <c r="AX118" s="835"/>
      <c r="AY118" s="835"/>
      <c r="AZ118" s="835"/>
      <c r="BA118" s="835"/>
      <c r="BB118" s="835"/>
      <c r="BC118" s="835"/>
      <c r="BD118" s="1044"/>
      <c r="BE118" s="835"/>
      <c r="BF118" s="1043"/>
      <c r="BG118" s="835"/>
      <c r="BH118" s="1045"/>
      <c r="BI118" s="835"/>
      <c r="DT118" s="3166"/>
      <c r="DU118" s="3166"/>
      <c r="DV118" s="3166"/>
      <c r="DW118" s="3166"/>
      <c r="DX118" s="3166"/>
      <c r="DY118" s="3166"/>
      <c r="DZ118" s="3166"/>
      <c r="EA118" s="3166"/>
      <c r="EB118" s="3166"/>
      <c r="EC118" s="3166"/>
      <c r="ED118" s="3166"/>
      <c r="EE118" s="3166"/>
      <c r="EF118" s="3166"/>
      <c r="EG118" s="3166"/>
      <c r="EH118" s="3166"/>
      <c r="EI118" s="3166"/>
      <c r="EJ118" s="3166"/>
      <c r="EK118" s="3166"/>
      <c r="EL118" s="3166"/>
      <c r="EM118" s="3166"/>
    </row>
    <row r="119" spans="1:143" s="2589" customFormat="1">
      <c r="A119" s="3866"/>
      <c r="B119" s="3023"/>
      <c r="C119" s="3867"/>
      <c r="D119" s="3868"/>
      <c r="E119" s="3923" t="s">
        <v>493</v>
      </c>
      <c r="F119" s="3023" t="s">
        <v>19</v>
      </c>
      <c r="G119" s="3024" t="s">
        <v>20</v>
      </c>
      <c r="H119" s="3243">
        <v>555.19258157370484</v>
      </c>
      <c r="I119" s="2155">
        <v>555.19258157370484</v>
      </c>
      <c r="J119" s="2155">
        <v>4153.1270958274908</v>
      </c>
      <c r="K119" s="3243">
        <v>1.5697919999999999</v>
      </c>
      <c r="L119" s="2155">
        <v>2.1511535215770454</v>
      </c>
      <c r="M119" s="2155">
        <v>2.1511535215770454</v>
      </c>
      <c r="N119" s="2155">
        <v>4.9055999999999989</v>
      </c>
      <c r="O119" s="2155">
        <v>4.9055999999999989</v>
      </c>
      <c r="P119" s="2155">
        <v>0.9811200000000001</v>
      </c>
      <c r="Q119" s="2155">
        <v>0.9811200000000001</v>
      </c>
      <c r="R119" s="2155">
        <v>9.8111999999999977</v>
      </c>
      <c r="S119" s="2155">
        <v>0.42657391304347808</v>
      </c>
      <c r="T119" s="2155">
        <v>0.42657391304347808</v>
      </c>
      <c r="U119" s="2155">
        <v>0.2336</v>
      </c>
      <c r="V119" s="2155">
        <v>28.031999999999996</v>
      </c>
      <c r="W119" s="2155">
        <v>28.031999999999996</v>
      </c>
      <c r="X119" s="2155">
        <v>0.2943962154063326</v>
      </c>
      <c r="Y119" s="2155">
        <v>10.306506396441879</v>
      </c>
      <c r="Z119" s="2155">
        <v>3.9244799999999995</v>
      </c>
      <c r="AA119" s="2155">
        <v>19.622400000000003</v>
      </c>
      <c r="AB119" s="3243">
        <v>20.294227186569373</v>
      </c>
      <c r="AC119" s="2155">
        <v>62.731002417862939</v>
      </c>
      <c r="AD119" s="2155">
        <v>262.57778161997174</v>
      </c>
      <c r="AE119" s="2155" t="s">
        <v>498</v>
      </c>
      <c r="AF119" s="2155" t="s">
        <v>498</v>
      </c>
      <c r="AG119" s="3721">
        <v>515.78880000000004</v>
      </c>
      <c r="AH119" s="2155">
        <v>515.78879999999992</v>
      </c>
      <c r="AI119" s="2155">
        <v>35.126059463763632</v>
      </c>
      <c r="AJ119" s="2155">
        <v>88.784774651703415</v>
      </c>
      <c r="AK119" s="2155">
        <v>265.17925700147731</v>
      </c>
      <c r="AL119" s="2155" t="s">
        <v>498</v>
      </c>
      <c r="AM119" s="3022" t="s">
        <v>498</v>
      </c>
      <c r="AN119" s="2155">
        <v>1.7291766399934905</v>
      </c>
      <c r="AO119" s="2155">
        <v>144.0939461440594</v>
      </c>
      <c r="AP119" s="2155">
        <v>101.47760316353728</v>
      </c>
      <c r="AQ119" s="2155">
        <v>205.51505551643945</v>
      </c>
      <c r="AR119" s="2155">
        <v>817.33097958510382</v>
      </c>
      <c r="AS119" s="2155">
        <v>65.47048768378356</v>
      </c>
      <c r="AT119" s="2155">
        <v>8200.9102121685373</v>
      </c>
      <c r="AU119" s="2155">
        <v>8407.3025916318384</v>
      </c>
      <c r="AV119" s="2155">
        <v>549.95881674452539</v>
      </c>
      <c r="AW119" s="2155">
        <v>5415.4812190603134</v>
      </c>
      <c r="AX119" s="2155">
        <v>2442.7610970719029</v>
      </c>
      <c r="AY119" s="2155">
        <v>3559.0762799474433</v>
      </c>
      <c r="AZ119" s="2155">
        <v>397.58816732513299</v>
      </c>
      <c r="BA119" s="2155">
        <v>1718.9118740794863</v>
      </c>
      <c r="BB119" s="2155">
        <v>68791.464462142219</v>
      </c>
      <c r="BC119" s="2155">
        <v>28985.56449398501</v>
      </c>
      <c r="BD119" s="3243">
        <v>156.67322898811207</v>
      </c>
      <c r="BE119" s="2155">
        <v>69.940492529840981</v>
      </c>
      <c r="BF119" s="3022">
        <v>139.88098505968196</v>
      </c>
      <c r="BG119" s="2155">
        <v>8.4095999999999986E-4</v>
      </c>
      <c r="BH119" s="3246">
        <v>3.4900173865331361</v>
      </c>
      <c r="BI119" s="2155"/>
    </row>
    <row r="120" spans="1:143" s="3288" customFormat="1">
      <c r="A120" s="3869"/>
      <c r="B120" s="3870"/>
      <c r="C120" s="3871"/>
      <c r="D120" s="3872"/>
      <c r="E120" s="3923" t="s">
        <v>499</v>
      </c>
      <c r="F120" s="3870" t="s">
        <v>19</v>
      </c>
      <c r="G120" s="3873" t="s">
        <v>20</v>
      </c>
      <c r="H120" s="3284">
        <v>555.19258157370484</v>
      </c>
      <c r="I120" s="2273">
        <v>555.19258157370484</v>
      </c>
      <c r="J120" s="2273">
        <v>4153.1270958274908</v>
      </c>
      <c r="K120" s="3284">
        <v>1.5697919999999999</v>
      </c>
      <c r="L120" s="2273">
        <v>2.1511535215770454</v>
      </c>
      <c r="M120" s="2273">
        <v>2.1511535215770454</v>
      </c>
      <c r="N120" s="2273">
        <v>4.9055999999999989</v>
      </c>
      <c r="O120" s="2273">
        <v>4.9055999999999989</v>
      </c>
      <c r="P120" s="2273">
        <v>0.9811200000000001</v>
      </c>
      <c r="Q120" s="2273">
        <v>0.9811200000000001</v>
      </c>
      <c r="R120" s="2273">
        <v>9.8111999999999977</v>
      </c>
      <c r="S120" s="2273">
        <v>0.42657391304347808</v>
      </c>
      <c r="T120" s="2273">
        <v>0.42657391304347808</v>
      </c>
      <c r="U120" s="2273">
        <v>0.2336</v>
      </c>
      <c r="V120" s="2273">
        <v>28.031999999999996</v>
      </c>
      <c r="W120" s="2273">
        <v>28.031999999999996</v>
      </c>
      <c r="X120" s="2273">
        <v>0.2943962154063326</v>
      </c>
      <c r="Y120" s="2273">
        <v>10.306506396441879</v>
      </c>
      <c r="Z120" s="2273">
        <v>3.9244799999999995</v>
      </c>
      <c r="AA120" s="2273">
        <v>19.622400000000003</v>
      </c>
      <c r="AB120" s="3284">
        <v>20.294227186569373</v>
      </c>
      <c r="AC120" s="2273">
        <v>62.731002417862939</v>
      </c>
      <c r="AD120" s="2273" t="s">
        <v>498</v>
      </c>
      <c r="AE120" s="2273" t="s">
        <v>498</v>
      </c>
      <c r="AF120" s="2273" t="s">
        <v>498</v>
      </c>
      <c r="AG120" s="3723" t="s">
        <v>498</v>
      </c>
      <c r="AH120" s="2273" t="s">
        <v>498</v>
      </c>
      <c r="AI120" s="2273" t="s">
        <v>498</v>
      </c>
      <c r="AJ120" s="2273" t="s">
        <v>498</v>
      </c>
      <c r="AK120" s="2273" t="s">
        <v>498</v>
      </c>
      <c r="AL120" s="2273" t="s">
        <v>498</v>
      </c>
      <c r="AM120" s="3285" t="s">
        <v>498</v>
      </c>
      <c r="AN120" s="2273">
        <v>1.7291766399934905</v>
      </c>
      <c r="AO120" s="2273" t="s">
        <v>498</v>
      </c>
      <c r="AP120" s="2273" t="s">
        <v>498</v>
      </c>
      <c r="AQ120" s="2273" t="s">
        <v>498</v>
      </c>
      <c r="AR120" s="2273" t="s">
        <v>498</v>
      </c>
      <c r="AS120" s="2273" t="s">
        <v>498</v>
      </c>
      <c r="AT120" s="2273" t="s">
        <v>498</v>
      </c>
      <c r="AU120" s="2273" t="s">
        <v>498</v>
      </c>
      <c r="AV120" s="2273" t="s">
        <v>498</v>
      </c>
      <c r="AW120" s="2273" t="s">
        <v>498</v>
      </c>
      <c r="AX120" s="2273" t="s">
        <v>498</v>
      </c>
      <c r="AY120" s="2273" t="s">
        <v>498</v>
      </c>
      <c r="AZ120" s="2273" t="s">
        <v>498</v>
      </c>
      <c r="BA120" s="2273" t="s">
        <v>498</v>
      </c>
      <c r="BB120" s="2273" t="s">
        <v>498</v>
      </c>
      <c r="BC120" s="2273" t="s">
        <v>498</v>
      </c>
      <c r="BD120" s="3284">
        <v>156.67322898811207</v>
      </c>
      <c r="BE120" s="2273" t="s">
        <v>498</v>
      </c>
      <c r="BF120" s="3285" t="s">
        <v>498</v>
      </c>
      <c r="BG120" s="2273">
        <v>8.4095999999999986E-4</v>
      </c>
      <c r="BH120" s="3287">
        <v>3.4900173865331361</v>
      </c>
      <c r="BI120" s="2273"/>
      <c r="DT120" s="2589"/>
      <c r="DU120" s="2589"/>
      <c r="DV120" s="2589"/>
      <c r="DW120" s="2589"/>
      <c r="DX120" s="2589"/>
      <c r="DY120" s="2589"/>
      <c r="DZ120" s="2589"/>
      <c r="EA120" s="2589"/>
      <c r="EB120" s="2589"/>
      <c r="EC120" s="2589"/>
      <c r="ED120" s="2589"/>
      <c r="EE120" s="2589"/>
      <c r="EF120" s="2589"/>
      <c r="EG120" s="2589"/>
      <c r="EH120" s="2589"/>
      <c r="EI120" s="2589"/>
      <c r="EJ120" s="2589"/>
      <c r="EK120" s="2589"/>
      <c r="EL120" s="2589"/>
      <c r="EM120" s="2589"/>
    </row>
    <row r="121" spans="1:143" s="3030" customFormat="1">
      <c r="A121" s="2589"/>
      <c r="B121" s="2589"/>
      <c r="C121" s="2589"/>
      <c r="D121" s="2589"/>
      <c r="E121" s="3923"/>
      <c r="K121" s="3280"/>
      <c r="AB121" s="3280"/>
      <c r="AG121" s="3865"/>
      <c r="AM121" s="3041"/>
      <c r="BD121" s="3280"/>
      <c r="BF121" s="3041"/>
      <c r="BH121" s="3282"/>
      <c r="DT121" s="3023"/>
      <c r="DU121" s="3023"/>
      <c r="DV121" s="3023"/>
      <c r="DW121" s="3023"/>
      <c r="DX121" s="3023"/>
      <c r="DY121" s="3023"/>
      <c r="DZ121" s="3023"/>
      <c r="EA121" s="3023"/>
      <c r="EB121" s="3023"/>
      <c r="EC121" s="3023"/>
      <c r="ED121" s="3023"/>
      <c r="EE121" s="3023"/>
      <c r="EF121" s="3023"/>
      <c r="EG121" s="3023"/>
      <c r="EH121" s="3023"/>
      <c r="EI121" s="3023"/>
      <c r="EJ121" s="3023"/>
      <c r="EK121" s="3023"/>
      <c r="EL121" s="3023"/>
      <c r="EM121" s="3023"/>
    </row>
    <row r="122" spans="1:143" s="814" customFormat="1">
      <c r="A122" s="3874"/>
      <c r="B122" s="3874"/>
      <c r="C122" s="3874"/>
      <c r="D122" s="3874"/>
      <c r="E122" s="3923" t="s">
        <v>1057</v>
      </c>
      <c r="K122" s="3875">
        <f t="shared" ref="K122:AP122" si="24">K44/K119</f>
        <v>1</v>
      </c>
      <c r="L122" s="3875">
        <f t="shared" si="24"/>
        <v>1</v>
      </c>
      <c r="M122" s="3875">
        <f t="shared" si="24"/>
        <v>1</v>
      </c>
      <c r="N122" s="3875">
        <f t="shared" si="24"/>
        <v>1</v>
      </c>
      <c r="O122" s="3875">
        <f t="shared" si="24"/>
        <v>1</v>
      </c>
      <c r="P122" s="3875">
        <f t="shared" si="24"/>
        <v>1</v>
      </c>
      <c r="Q122" s="3875">
        <f t="shared" si="24"/>
        <v>1</v>
      </c>
      <c r="R122" s="3875">
        <f t="shared" si="24"/>
        <v>1</v>
      </c>
      <c r="S122" s="3875">
        <f t="shared" si="24"/>
        <v>1</v>
      </c>
      <c r="T122" s="3875">
        <f t="shared" si="24"/>
        <v>1</v>
      </c>
      <c r="U122" s="3875">
        <f t="shared" si="24"/>
        <v>1</v>
      </c>
      <c r="V122" s="3875">
        <f t="shared" si="24"/>
        <v>1</v>
      </c>
      <c r="W122" s="3875">
        <f t="shared" si="24"/>
        <v>1</v>
      </c>
      <c r="X122" s="3875">
        <f t="shared" si="24"/>
        <v>1</v>
      </c>
      <c r="Y122" s="3875">
        <f t="shared" si="24"/>
        <v>1</v>
      </c>
      <c r="Z122" s="3875">
        <f t="shared" si="24"/>
        <v>1</v>
      </c>
      <c r="AA122" s="3875">
        <f t="shared" si="24"/>
        <v>1</v>
      </c>
      <c r="AB122" s="3875">
        <f t="shared" si="24"/>
        <v>1</v>
      </c>
      <c r="AC122" s="3875">
        <f t="shared" si="24"/>
        <v>1</v>
      </c>
      <c r="AD122" s="3875">
        <f t="shared" si="24"/>
        <v>1</v>
      </c>
      <c r="AE122" s="3875" t="e">
        <f t="shared" si="24"/>
        <v>#VALUE!</v>
      </c>
      <c r="AF122" s="3875" t="e">
        <f t="shared" si="24"/>
        <v>#VALUE!</v>
      </c>
      <c r="AG122" s="3875">
        <f t="shared" si="24"/>
        <v>1</v>
      </c>
      <c r="AH122" s="3875">
        <f t="shared" si="24"/>
        <v>1</v>
      </c>
      <c r="AI122" s="3875">
        <f t="shared" si="24"/>
        <v>1</v>
      </c>
      <c r="AJ122" s="3875">
        <f t="shared" si="24"/>
        <v>1</v>
      </c>
      <c r="AK122" s="3875">
        <f t="shared" si="24"/>
        <v>1</v>
      </c>
      <c r="AL122" s="3875" t="e">
        <f t="shared" si="24"/>
        <v>#VALUE!</v>
      </c>
      <c r="AM122" s="3875" t="e">
        <f t="shared" si="24"/>
        <v>#VALUE!</v>
      </c>
      <c r="AN122" s="3875">
        <f t="shared" si="24"/>
        <v>1</v>
      </c>
      <c r="AO122" s="3875">
        <f t="shared" si="24"/>
        <v>1</v>
      </c>
      <c r="AP122" s="3875">
        <f t="shared" si="24"/>
        <v>1</v>
      </c>
      <c r="AQ122" s="3875">
        <f t="shared" ref="AQ122:BI122" si="25">AQ44/AQ119</f>
        <v>1</v>
      </c>
      <c r="AR122" s="3875">
        <f t="shared" si="25"/>
        <v>1</v>
      </c>
      <c r="AS122" s="3875">
        <f t="shared" si="25"/>
        <v>1</v>
      </c>
      <c r="AT122" s="3875">
        <f t="shared" si="25"/>
        <v>1</v>
      </c>
      <c r="AU122" s="3875">
        <f t="shared" si="25"/>
        <v>1</v>
      </c>
      <c r="AV122" s="3875">
        <f t="shared" si="25"/>
        <v>1</v>
      </c>
      <c r="AW122" s="3875">
        <f t="shared" si="25"/>
        <v>1</v>
      </c>
      <c r="AX122" s="3875">
        <f t="shared" si="25"/>
        <v>1</v>
      </c>
      <c r="AY122" s="3875">
        <f t="shared" si="25"/>
        <v>1</v>
      </c>
      <c r="AZ122" s="3875">
        <f t="shared" si="25"/>
        <v>1</v>
      </c>
      <c r="BA122" s="3875">
        <f t="shared" si="25"/>
        <v>1</v>
      </c>
      <c r="BB122" s="3875">
        <f t="shared" si="25"/>
        <v>1</v>
      </c>
      <c r="BC122" s="3875">
        <f t="shared" si="25"/>
        <v>1</v>
      </c>
      <c r="BD122" s="3875">
        <f t="shared" si="25"/>
        <v>1</v>
      </c>
      <c r="BE122" s="3875">
        <f t="shared" si="25"/>
        <v>1</v>
      </c>
      <c r="BF122" s="3875">
        <f t="shared" si="25"/>
        <v>1</v>
      </c>
      <c r="BG122" s="3875">
        <f t="shared" si="25"/>
        <v>1</v>
      </c>
      <c r="BH122" s="3875">
        <f t="shared" si="25"/>
        <v>1</v>
      </c>
      <c r="BI122" s="3875" t="e">
        <f t="shared" si="25"/>
        <v>#DIV/0!</v>
      </c>
      <c r="DT122" s="1620"/>
      <c r="DU122" s="1620"/>
      <c r="DV122" s="1620"/>
      <c r="DW122" s="1620"/>
      <c r="DX122" s="1620"/>
      <c r="DY122" s="1620"/>
      <c r="DZ122" s="1620"/>
      <c r="EA122" s="1620"/>
      <c r="EB122" s="1620"/>
      <c r="EC122" s="1620"/>
      <c r="ED122" s="1620"/>
      <c r="EE122" s="1620"/>
      <c r="EF122" s="1620"/>
      <c r="EG122" s="1620"/>
      <c r="EH122" s="1620"/>
      <c r="EI122" s="1620"/>
      <c r="EJ122" s="1620"/>
      <c r="EK122" s="1620"/>
      <c r="EL122" s="1620"/>
      <c r="EM122" s="1620"/>
    </row>
    <row r="123" spans="1:143" s="814" customFormat="1">
      <c r="A123" s="3874"/>
      <c r="B123" s="3874"/>
      <c r="C123" s="3874"/>
      <c r="D123" s="3874"/>
      <c r="E123" s="3923" t="s">
        <v>1058</v>
      </c>
      <c r="K123" s="3875">
        <f t="shared" ref="K123:AP123" si="26">K45/K120</f>
        <v>1</v>
      </c>
      <c r="L123" s="3875">
        <f t="shared" si="26"/>
        <v>1</v>
      </c>
      <c r="M123" s="3875">
        <f t="shared" si="26"/>
        <v>1</v>
      </c>
      <c r="N123" s="3875">
        <f t="shared" si="26"/>
        <v>1</v>
      </c>
      <c r="O123" s="3875">
        <f t="shared" si="26"/>
        <v>1</v>
      </c>
      <c r="P123" s="3875">
        <f t="shared" si="26"/>
        <v>1</v>
      </c>
      <c r="Q123" s="3875">
        <f t="shared" si="26"/>
        <v>1</v>
      </c>
      <c r="R123" s="3875">
        <f t="shared" si="26"/>
        <v>1</v>
      </c>
      <c r="S123" s="3875">
        <f t="shared" si="26"/>
        <v>1</v>
      </c>
      <c r="T123" s="3875">
        <f t="shared" si="26"/>
        <v>1</v>
      </c>
      <c r="U123" s="3875">
        <f t="shared" si="26"/>
        <v>1</v>
      </c>
      <c r="V123" s="3875">
        <f t="shared" si="26"/>
        <v>1</v>
      </c>
      <c r="W123" s="3875">
        <f t="shared" si="26"/>
        <v>1</v>
      </c>
      <c r="X123" s="3875">
        <f t="shared" si="26"/>
        <v>1</v>
      </c>
      <c r="Y123" s="3875">
        <f t="shared" si="26"/>
        <v>1</v>
      </c>
      <c r="Z123" s="3875">
        <f t="shared" si="26"/>
        <v>1</v>
      </c>
      <c r="AA123" s="3875">
        <f t="shared" si="26"/>
        <v>1</v>
      </c>
      <c r="AB123" s="3875">
        <f t="shared" si="26"/>
        <v>1</v>
      </c>
      <c r="AC123" s="2100">
        <f t="shared" si="26"/>
        <v>1</v>
      </c>
      <c r="AD123" s="3875" t="e">
        <f t="shared" si="26"/>
        <v>#VALUE!</v>
      </c>
      <c r="AE123" s="3875" t="e">
        <f t="shared" si="26"/>
        <v>#VALUE!</v>
      </c>
      <c r="AF123" s="3875" t="e">
        <f t="shared" si="26"/>
        <v>#VALUE!</v>
      </c>
      <c r="AG123" s="3875" t="e">
        <f t="shared" si="26"/>
        <v>#VALUE!</v>
      </c>
      <c r="AH123" s="3875" t="e">
        <f t="shared" si="26"/>
        <v>#VALUE!</v>
      </c>
      <c r="AI123" s="3875" t="e">
        <f t="shared" si="26"/>
        <v>#VALUE!</v>
      </c>
      <c r="AJ123" s="3875" t="e">
        <f t="shared" si="26"/>
        <v>#VALUE!</v>
      </c>
      <c r="AK123" s="3875" t="e">
        <f t="shared" si="26"/>
        <v>#VALUE!</v>
      </c>
      <c r="AL123" s="3875" t="e">
        <f t="shared" si="26"/>
        <v>#VALUE!</v>
      </c>
      <c r="AM123" s="3875" t="e">
        <f t="shared" si="26"/>
        <v>#VALUE!</v>
      </c>
      <c r="AN123" s="3875">
        <f t="shared" si="26"/>
        <v>1</v>
      </c>
      <c r="AO123" s="3875" t="e">
        <f t="shared" si="26"/>
        <v>#VALUE!</v>
      </c>
      <c r="AP123" s="3875" t="e">
        <f t="shared" si="26"/>
        <v>#VALUE!</v>
      </c>
      <c r="AQ123" s="3875" t="e">
        <f t="shared" ref="AQ123:BI123" si="27">AQ45/AQ120</f>
        <v>#VALUE!</v>
      </c>
      <c r="AR123" s="3875" t="e">
        <f t="shared" si="27"/>
        <v>#VALUE!</v>
      </c>
      <c r="AS123" s="3875" t="e">
        <f t="shared" si="27"/>
        <v>#VALUE!</v>
      </c>
      <c r="AT123" s="3875" t="e">
        <f t="shared" si="27"/>
        <v>#VALUE!</v>
      </c>
      <c r="AU123" s="3875" t="e">
        <f t="shared" si="27"/>
        <v>#VALUE!</v>
      </c>
      <c r="AV123" s="3875" t="e">
        <f t="shared" si="27"/>
        <v>#VALUE!</v>
      </c>
      <c r="AW123" s="3875" t="e">
        <f t="shared" si="27"/>
        <v>#VALUE!</v>
      </c>
      <c r="AX123" s="3875" t="e">
        <f t="shared" si="27"/>
        <v>#VALUE!</v>
      </c>
      <c r="AY123" s="3875" t="e">
        <f t="shared" si="27"/>
        <v>#VALUE!</v>
      </c>
      <c r="AZ123" s="3875" t="e">
        <f t="shared" si="27"/>
        <v>#VALUE!</v>
      </c>
      <c r="BA123" s="3875" t="e">
        <f t="shared" si="27"/>
        <v>#VALUE!</v>
      </c>
      <c r="BB123" s="3875" t="e">
        <f t="shared" si="27"/>
        <v>#VALUE!</v>
      </c>
      <c r="BC123" s="3875" t="e">
        <f t="shared" si="27"/>
        <v>#VALUE!</v>
      </c>
      <c r="BD123" s="3875">
        <f t="shared" si="27"/>
        <v>1</v>
      </c>
      <c r="BE123" s="3875" t="e">
        <f t="shared" si="27"/>
        <v>#VALUE!</v>
      </c>
      <c r="BF123" s="3875" t="e">
        <f t="shared" si="27"/>
        <v>#VALUE!</v>
      </c>
      <c r="BG123" s="3875">
        <f t="shared" si="27"/>
        <v>1</v>
      </c>
      <c r="BH123" s="3875">
        <f t="shared" si="27"/>
        <v>1</v>
      </c>
      <c r="BI123" s="3875" t="e">
        <f t="shared" si="27"/>
        <v>#DIV/0!</v>
      </c>
      <c r="DT123" s="1620"/>
      <c r="DU123" s="1620"/>
      <c r="DV123" s="1620"/>
      <c r="DW123" s="1620"/>
      <c r="DX123" s="1620"/>
      <c r="DY123" s="1620"/>
      <c r="DZ123" s="1620"/>
      <c r="EA123" s="1620"/>
      <c r="EB123" s="1620"/>
      <c r="EC123" s="1620"/>
      <c r="ED123" s="1620"/>
      <c r="EE123" s="1620"/>
      <c r="EF123" s="1620"/>
      <c r="EG123" s="1620"/>
      <c r="EH123" s="1620"/>
      <c r="EI123" s="1620"/>
      <c r="EJ123" s="1620"/>
      <c r="EK123" s="1620"/>
      <c r="EL123" s="1620"/>
      <c r="EM123" s="1620"/>
    </row>
    <row r="124" spans="1:143" s="3030" customFormat="1">
      <c r="A124" s="2589"/>
      <c r="B124" s="2589"/>
      <c r="C124" s="2589"/>
      <c r="D124" s="2589"/>
      <c r="E124" s="3923"/>
      <c r="K124" s="3280"/>
      <c r="AB124" s="3280"/>
      <c r="AG124" s="3865"/>
      <c r="AM124" s="3041"/>
      <c r="BD124" s="3280"/>
      <c r="BF124" s="3041"/>
      <c r="BH124" s="3282"/>
      <c r="DT124" s="3023"/>
      <c r="DU124" s="3023"/>
      <c r="DV124" s="3023"/>
      <c r="DW124" s="3023"/>
      <c r="DX124" s="3023"/>
      <c r="DY124" s="3023"/>
      <c r="DZ124" s="3023"/>
      <c r="EA124" s="3023"/>
      <c r="EB124" s="3023"/>
      <c r="EC124" s="3023"/>
      <c r="ED124" s="3023"/>
      <c r="EE124" s="3023"/>
      <c r="EF124" s="3023"/>
      <c r="EG124" s="3023"/>
      <c r="EH124" s="3023"/>
      <c r="EI124" s="3023"/>
      <c r="EJ124" s="3023"/>
      <c r="EK124" s="3023"/>
      <c r="EL124" s="3023"/>
      <c r="EM124" s="3023"/>
    </row>
    <row r="125" spans="1:143" s="3886" customFormat="1">
      <c r="A125" s="3876"/>
      <c r="B125" s="3877"/>
      <c r="C125" s="3878"/>
      <c r="D125" s="3879"/>
      <c r="E125" s="3672" t="s">
        <v>668</v>
      </c>
      <c r="F125" s="3877"/>
      <c r="G125" s="3880"/>
      <c r="H125" s="3881"/>
      <c r="I125" s="3882"/>
      <c r="J125" s="3882"/>
      <c r="K125" s="3881"/>
      <c r="L125" s="3882"/>
      <c r="M125" s="3882"/>
      <c r="N125" s="3882"/>
      <c r="O125" s="3882"/>
      <c r="P125" s="3882"/>
      <c r="Q125" s="3882"/>
      <c r="R125" s="3882"/>
      <c r="S125" s="3882"/>
      <c r="T125" s="3882"/>
      <c r="U125" s="3882"/>
      <c r="V125" s="3882"/>
      <c r="W125" s="3882"/>
      <c r="X125" s="3882"/>
      <c r="Y125" s="3882"/>
      <c r="Z125" s="3882"/>
      <c r="AA125" s="3882"/>
      <c r="AB125" s="3881"/>
      <c r="AC125" s="3882"/>
      <c r="AD125" s="3882"/>
      <c r="AE125" s="3882"/>
      <c r="AF125" s="3882"/>
      <c r="AG125" s="3883"/>
      <c r="AH125" s="3882"/>
      <c r="AI125" s="3882"/>
      <c r="AJ125" s="3882"/>
      <c r="AK125" s="3882"/>
      <c r="AL125" s="3882"/>
      <c r="AM125" s="3884"/>
      <c r="AN125" s="3882"/>
      <c r="AO125" s="3882"/>
      <c r="AP125" s="3882"/>
      <c r="AQ125" s="3882"/>
      <c r="AR125" s="3882"/>
      <c r="AS125" s="3882"/>
      <c r="AT125" s="3882"/>
      <c r="AU125" s="3882"/>
      <c r="AV125" s="3882"/>
      <c r="AW125" s="3882"/>
      <c r="AX125" s="3882"/>
      <c r="AY125" s="3882"/>
      <c r="AZ125" s="3882"/>
      <c r="BA125" s="3882"/>
      <c r="BB125" s="3882"/>
      <c r="BC125" s="3882"/>
      <c r="BD125" s="3881"/>
      <c r="BE125" s="3882"/>
      <c r="BF125" s="3884"/>
      <c r="BG125" s="3882"/>
      <c r="BH125" s="3885"/>
      <c r="BI125" s="3882"/>
      <c r="DT125" s="3887"/>
      <c r="DU125" s="3887"/>
      <c r="DV125" s="3887"/>
      <c r="DW125" s="3887"/>
      <c r="DX125" s="3887"/>
      <c r="DY125" s="3887"/>
      <c r="DZ125" s="3887"/>
      <c r="EA125" s="3887"/>
      <c r="EB125" s="3887"/>
      <c r="EC125" s="3887"/>
      <c r="ED125" s="3887"/>
      <c r="EE125" s="3887"/>
      <c r="EF125" s="3887"/>
      <c r="EG125" s="3887"/>
      <c r="EH125" s="3887"/>
      <c r="EI125" s="3887"/>
      <c r="EJ125" s="3887"/>
      <c r="EK125" s="3887"/>
      <c r="EL125" s="3887"/>
      <c r="EM125" s="3887"/>
    </row>
    <row r="126" spans="1:143" s="3874" customFormat="1">
      <c r="A126" s="3888"/>
      <c r="B126" s="3889"/>
      <c r="C126" s="3890"/>
      <c r="D126" s="3891"/>
      <c r="E126" s="3923" t="s">
        <v>493</v>
      </c>
      <c r="F126" s="3889" t="s">
        <v>19</v>
      </c>
      <c r="G126" s="3892" t="s">
        <v>20</v>
      </c>
      <c r="H126" s="3893">
        <v>5181.2716774705141</v>
      </c>
      <c r="I126" s="3894">
        <v>5181.2716774705141</v>
      </c>
      <c r="J126" s="3894">
        <v>38758.586675549173</v>
      </c>
      <c r="K126" s="3893">
        <v>14.649905454545456</v>
      </c>
      <c r="L126" s="3894">
        <v>20.075395790853964</v>
      </c>
      <c r="M126" s="3894">
        <v>20.075395790853964</v>
      </c>
      <c r="N126" s="3894">
        <v>45.780954545454541</v>
      </c>
      <c r="O126" s="3894">
        <v>45.780954545454541</v>
      </c>
      <c r="P126" s="3894">
        <v>9.1561909090909115</v>
      </c>
      <c r="Q126" s="3894">
        <v>9.1561909090909115</v>
      </c>
      <c r="R126" s="3894">
        <v>91.561909090909097</v>
      </c>
      <c r="S126" s="3894">
        <v>3.9809525691699599</v>
      </c>
      <c r="T126" s="3894">
        <v>3.9809525691699599</v>
      </c>
      <c r="U126" s="3894">
        <v>2.1800454545454544</v>
      </c>
      <c r="V126" s="3894">
        <v>261.60545454545451</v>
      </c>
      <c r="W126" s="3894">
        <v>261.60545454545451</v>
      </c>
      <c r="X126" s="3894">
        <v>2.7474192261642125</v>
      </c>
      <c r="Y126" s="3894">
        <v>96.184299750885145</v>
      </c>
      <c r="Z126" s="3894">
        <v>36.624763636363639</v>
      </c>
      <c r="AA126" s="3894">
        <v>183.12381818181819</v>
      </c>
      <c r="AB126" s="3893">
        <v>189.39356905647836</v>
      </c>
      <c r="AC126" s="3894">
        <v>585.42995154170387</v>
      </c>
      <c r="AD126" s="3894">
        <v>2450.4773085841125</v>
      </c>
      <c r="AE126" s="3894" t="s">
        <v>498</v>
      </c>
      <c r="AF126" s="3894" t="s">
        <v>498</v>
      </c>
      <c r="AG126" s="3895">
        <v>4813.5403636363644</v>
      </c>
      <c r="AH126" s="3894">
        <v>4813.5403636363626</v>
      </c>
      <c r="AI126" s="3894">
        <v>327.80995834790781</v>
      </c>
      <c r="AJ126" s="3894">
        <v>828.57382025808442</v>
      </c>
      <c r="AK126" s="3894">
        <v>2474.7552819598091</v>
      </c>
      <c r="AL126" s="3894" t="s">
        <v>498</v>
      </c>
      <c r="AM126" s="3896" t="s">
        <v>498</v>
      </c>
      <c r="AN126" s="3894">
        <v>13.289972817113433</v>
      </c>
      <c r="AO126" s="3894">
        <v>1124.9987022831629</v>
      </c>
      <c r="AP126" s="3894">
        <v>784.9206740959155</v>
      </c>
      <c r="AQ126" s="3894">
        <v>1625.2750283692815</v>
      </c>
      <c r="AR126" s="3894">
        <v>6830.7691514365852</v>
      </c>
      <c r="AS126" s="3894">
        <v>543.057259452332</v>
      </c>
      <c r="AT126" s="3894">
        <v>70936.903297465164</v>
      </c>
      <c r="AU126" s="3894">
        <v>72732.974639001215</v>
      </c>
      <c r="AV126" s="3894">
        <v>4775.0381794301657</v>
      </c>
      <c r="AW126" s="3894">
        <v>47020.650273406041</v>
      </c>
      <c r="AX126" s="3894">
        <v>21220.812158845496</v>
      </c>
      <c r="AY126" s="3894">
        <v>30919.36633821217</v>
      </c>
      <c r="AZ126" s="3894">
        <v>3454.06022474274</v>
      </c>
      <c r="BA126" s="3894">
        <v>14933.732755951718</v>
      </c>
      <c r="BB126" s="3894">
        <v>597638.63771294197</v>
      </c>
      <c r="BC126" s="3894">
        <v>251824.98572621812</v>
      </c>
      <c r="BD126" s="3893">
        <v>1462.1351057555348</v>
      </c>
      <c r="BE126" s="3894">
        <v>3147.1311227535593</v>
      </c>
      <c r="BF126" s="3896">
        <v>6294.2622455071187</v>
      </c>
      <c r="BG126" s="3894">
        <v>7.8481636363636371E-3</v>
      </c>
      <c r="BH126" s="3897">
        <v>32.570190666935673</v>
      </c>
      <c r="BI126" s="3894">
        <v>15.176458616958138</v>
      </c>
    </row>
    <row r="127" spans="1:143" s="3908" customFormat="1">
      <c r="A127" s="3898"/>
      <c r="B127" s="3899"/>
      <c r="C127" s="3900"/>
      <c r="D127" s="3901"/>
      <c r="E127" s="3923" t="s">
        <v>985</v>
      </c>
      <c r="F127" s="3899" t="s">
        <v>19</v>
      </c>
      <c r="G127" s="3902" t="s">
        <v>20</v>
      </c>
      <c r="H127" s="3903">
        <v>5181.2716774705141</v>
      </c>
      <c r="I127" s="3904">
        <v>5181.2716774705141</v>
      </c>
      <c r="J127" s="3904">
        <v>38758.586675549173</v>
      </c>
      <c r="K127" s="3903">
        <v>14.649905454545456</v>
      </c>
      <c r="L127" s="3904">
        <v>20.075395790853964</v>
      </c>
      <c r="M127" s="3904">
        <v>20.075395790853964</v>
      </c>
      <c r="N127" s="3904">
        <v>45.780954545454541</v>
      </c>
      <c r="O127" s="3904">
        <v>45.780954545454541</v>
      </c>
      <c r="P127" s="3904">
        <v>9.1561909090909115</v>
      </c>
      <c r="Q127" s="3904">
        <v>9.1561909090909115</v>
      </c>
      <c r="R127" s="3904">
        <v>91.561909090909097</v>
      </c>
      <c r="S127" s="3904">
        <v>3.9809525691699599</v>
      </c>
      <c r="T127" s="3904">
        <v>3.9809525691699599</v>
      </c>
      <c r="U127" s="3904">
        <v>2.1800454545454544</v>
      </c>
      <c r="V127" s="3904">
        <v>261.60545454545451</v>
      </c>
      <c r="W127" s="3904">
        <v>261.60545454545451</v>
      </c>
      <c r="X127" s="3904">
        <v>2.7474192261642125</v>
      </c>
      <c r="Y127" s="3904">
        <v>96.184299750885145</v>
      </c>
      <c r="Z127" s="3904">
        <v>36.624763636363639</v>
      </c>
      <c r="AA127" s="3904" t="s">
        <v>498</v>
      </c>
      <c r="AB127" s="3903" t="s">
        <v>498</v>
      </c>
      <c r="AC127" s="3904" t="s">
        <v>498</v>
      </c>
      <c r="AD127" s="3904" t="s">
        <v>498</v>
      </c>
      <c r="AE127" s="3904" t="s">
        <v>498</v>
      </c>
      <c r="AF127" s="3904" t="s">
        <v>498</v>
      </c>
      <c r="AG127" s="3905" t="s">
        <v>498</v>
      </c>
      <c r="AH127" s="3904" t="s">
        <v>498</v>
      </c>
      <c r="AI127" s="3904" t="s">
        <v>498</v>
      </c>
      <c r="AJ127" s="3904" t="s">
        <v>498</v>
      </c>
      <c r="AK127" s="3904" t="s">
        <v>498</v>
      </c>
      <c r="AL127" s="3904" t="s">
        <v>498</v>
      </c>
      <c r="AM127" s="3906" t="s">
        <v>498</v>
      </c>
      <c r="AN127" s="3904">
        <v>13.289972817113433</v>
      </c>
      <c r="AO127" s="3904" t="s">
        <v>498</v>
      </c>
      <c r="AP127" s="3904" t="s">
        <v>498</v>
      </c>
      <c r="AQ127" s="3904" t="s">
        <v>498</v>
      </c>
      <c r="AR127" s="3904" t="s">
        <v>498</v>
      </c>
      <c r="AS127" s="3904" t="s">
        <v>498</v>
      </c>
      <c r="AT127" s="3904" t="s">
        <v>498</v>
      </c>
      <c r="AU127" s="3904" t="s">
        <v>498</v>
      </c>
      <c r="AV127" s="3904" t="s">
        <v>498</v>
      </c>
      <c r="AW127" s="3904" t="s">
        <v>498</v>
      </c>
      <c r="AX127" s="3904" t="s">
        <v>498</v>
      </c>
      <c r="AY127" s="3904" t="s">
        <v>498</v>
      </c>
      <c r="AZ127" s="3904" t="s">
        <v>498</v>
      </c>
      <c r="BA127" s="3904" t="s">
        <v>498</v>
      </c>
      <c r="BB127" s="3904" t="s">
        <v>498</v>
      </c>
      <c r="BC127" s="3904" t="s">
        <v>498</v>
      </c>
      <c r="BD127" s="3903">
        <v>1462.1351057555348</v>
      </c>
      <c r="BE127" s="3904" t="s">
        <v>498</v>
      </c>
      <c r="BF127" s="3906" t="s">
        <v>498</v>
      </c>
      <c r="BG127" s="3904">
        <v>7.8481636363636371E-3</v>
      </c>
      <c r="BH127" s="3907">
        <v>32.570190666935673</v>
      </c>
      <c r="BI127" s="3904">
        <v>15.176458616958138</v>
      </c>
      <c r="DT127" s="3874"/>
      <c r="DU127" s="3874"/>
      <c r="DV127" s="3874"/>
      <c r="DW127" s="3874"/>
      <c r="DX127" s="3874"/>
      <c r="DY127" s="3874"/>
      <c r="DZ127" s="3874"/>
      <c r="EA127" s="3874"/>
      <c r="EB127" s="3874"/>
      <c r="EC127" s="3874"/>
      <c r="ED127" s="3874"/>
      <c r="EE127" s="3874"/>
      <c r="EF127" s="3874"/>
      <c r="EG127" s="3874"/>
      <c r="EH127" s="3874"/>
      <c r="EI127" s="3874"/>
      <c r="EJ127" s="3874"/>
      <c r="EK127" s="3874"/>
      <c r="EL127" s="3874"/>
      <c r="EM127" s="3874"/>
    </row>
    <row r="128" spans="1:143" s="814" customFormat="1">
      <c r="A128" s="3874"/>
      <c r="B128" s="3874"/>
      <c r="C128" s="3874"/>
      <c r="D128" s="3874"/>
      <c r="E128" s="3673"/>
      <c r="DT128" s="1620"/>
      <c r="DU128" s="1620"/>
      <c r="DV128" s="1620"/>
      <c r="DW128" s="1620"/>
      <c r="DX128" s="1620"/>
      <c r="DY128" s="1620"/>
      <c r="DZ128" s="1620"/>
      <c r="EA128" s="1620"/>
      <c r="EB128" s="1620"/>
      <c r="EC128" s="1620"/>
      <c r="ED128" s="1620"/>
      <c r="EE128" s="1620"/>
      <c r="EF128" s="1620"/>
      <c r="EG128" s="1620"/>
      <c r="EH128" s="1620"/>
      <c r="EI128" s="1620"/>
      <c r="EJ128" s="1620"/>
      <c r="EK128" s="1620"/>
      <c r="EL128" s="1620"/>
      <c r="EM128" s="1620"/>
    </row>
    <row r="129" spans="1:143" s="814" customFormat="1">
      <c r="A129" s="3874"/>
      <c r="B129" s="3874"/>
      <c r="C129" s="3874"/>
      <c r="D129" s="3874"/>
      <c r="E129" s="3923" t="s">
        <v>1057</v>
      </c>
      <c r="K129" s="3875">
        <f t="shared" ref="K129:AP129" si="28">K75/K126</f>
        <v>1</v>
      </c>
      <c r="L129" s="3875">
        <f t="shared" si="28"/>
        <v>1</v>
      </c>
      <c r="M129" s="3875">
        <f t="shared" si="28"/>
        <v>1</v>
      </c>
      <c r="N129" s="3875">
        <f t="shared" si="28"/>
        <v>1</v>
      </c>
      <c r="O129" s="3875">
        <f t="shared" si="28"/>
        <v>1</v>
      </c>
      <c r="P129" s="3875">
        <f t="shared" si="28"/>
        <v>1</v>
      </c>
      <c r="Q129" s="3875">
        <f t="shared" si="28"/>
        <v>1</v>
      </c>
      <c r="R129" s="3875">
        <f t="shared" si="28"/>
        <v>1</v>
      </c>
      <c r="S129" s="3875">
        <f t="shared" si="28"/>
        <v>1</v>
      </c>
      <c r="T129" s="3875">
        <f t="shared" si="28"/>
        <v>1</v>
      </c>
      <c r="U129" s="3875">
        <f t="shared" si="28"/>
        <v>1</v>
      </c>
      <c r="V129" s="3875">
        <f t="shared" si="28"/>
        <v>1</v>
      </c>
      <c r="W129" s="3875">
        <f t="shared" si="28"/>
        <v>1</v>
      </c>
      <c r="X129" s="3875">
        <f t="shared" si="28"/>
        <v>1</v>
      </c>
      <c r="Y129" s="3875">
        <f t="shared" si="28"/>
        <v>1</v>
      </c>
      <c r="Z129" s="3875">
        <f t="shared" si="28"/>
        <v>1</v>
      </c>
      <c r="AA129" s="3875">
        <f t="shared" si="28"/>
        <v>1</v>
      </c>
      <c r="AB129" s="3875">
        <f t="shared" si="28"/>
        <v>1</v>
      </c>
      <c r="AC129" s="3875">
        <f t="shared" si="28"/>
        <v>1</v>
      </c>
      <c r="AD129" s="3875">
        <f t="shared" si="28"/>
        <v>1</v>
      </c>
      <c r="AE129" s="3875" t="e">
        <f t="shared" si="28"/>
        <v>#VALUE!</v>
      </c>
      <c r="AF129" s="3875" t="e">
        <f t="shared" si="28"/>
        <v>#VALUE!</v>
      </c>
      <c r="AG129" s="3875">
        <f t="shared" si="28"/>
        <v>1</v>
      </c>
      <c r="AH129" s="3875">
        <f t="shared" si="28"/>
        <v>1</v>
      </c>
      <c r="AI129" s="3875">
        <f t="shared" si="28"/>
        <v>1</v>
      </c>
      <c r="AJ129" s="3875">
        <f t="shared" si="28"/>
        <v>1</v>
      </c>
      <c r="AK129" s="3875">
        <f t="shared" si="28"/>
        <v>1</v>
      </c>
      <c r="AL129" s="814" t="e">
        <f t="shared" si="28"/>
        <v>#VALUE!</v>
      </c>
      <c r="AM129" s="814" t="e">
        <f t="shared" si="28"/>
        <v>#VALUE!</v>
      </c>
      <c r="AN129" s="3875">
        <f t="shared" si="28"/>
        <v>1</v>
      </c>
      <c r="AO129" s="3875">
        <f t="shared" si="28"/>
        <v>1</v>
      </c>
      <c r="AP129" s="3875">
        <f t="shared" si="28"/>
        <v>1</v>
      </c>
      <c r="AQ129" s="3875">
        <f t="shared" ref="AQ129:BI129" si="29">AQ75/AQ126</f>
        <v>1</v>
      </c>
      <c r="AR129" s="3875">
        <f t="shared" si="29"/>
        <v>1</v>
      </c>
      <c r="AS129" s="814">
        <f t="shared" si="29"/>
        <v>1</v>
      </c>
      <c r="AT129" s="814">
        <f t="shared" si="29"/>
        <v>1</v>
      </c>
      <c r="AU129" s="814">
        <f t="shared" si="29"/>
        <v>1</v>
      </c>
      <c r="AV129" s="814">
        <f t="shared" si="29"/>
        <v>1</v>
      </c>
      <c r="AW129" s="814">
        <f t="shared" si="29"/>
        <v>1</v>
      </c>
      <c r="AX129" s="814">
        <f t="shared" si="29"/>
        <v>1</v>
      </c>
      <c r="AY129" s="814">
        <f t="shared" si="29"/>
        <v>1</v>
      </c>
      <c r="AZ129" s="814">
        <f t="shared" si="29"/>
        <v>1</v>
      </c>
      <c r="BA129" s="814">
        <f t="shared" si="29"/>
        <v>1</v>
      </c>
      <c r="BB129" s="814">
        <f t="shared" si="29"/>
        <v>1</v>
      </c>
      <c r="BC129" s="814">
        <f t="shared" si="29"/>
        <v>1</v>
      </c>
      <c r="BD129" s="814">
        <f t="shared" si="29"/>
        <v>1</v>
      </c>
      <c r="BE129" s="814">
        <f t="shared" si="29"/>
        <v>1</v>
      </c>
      <c r="BF129" s="814">
        <f t="shared" si="29"/>
        <v>1</v>
      </c>
      <c r="BG129" s="814">
        <f t="shared" si="29"/>
        <v>1</v>
      </c>
      <c r="BH129" s="814">
        <f t="shared" si="29"/>
        <v>1</v>
      </c>
      <c r="BI129" s="814">
        <f t="shared" si="29"/>
        <v>1</v>
      </c>
      <c r="DT129" s="1620"/>
      <c r="DU129" s="1620"/>
      <c r="DV129" s="1620"/>
      <c r="DW129" s="1620"/>
      <c r="DX129" s="1620"/>
      <c r="DY129" s="1620"/>
      <c r="DZ129" s="1620"/>
      <c r="EA129" s="1620"/>
      <c r="EB129" s="1620"/>
      <c r="EC129" s="1620"/>
      <c r="ED129" s="1620"/>
      <c r="EE129" s="1620"/>
      <c r="EF129" s="1620"/>
      <c r="EG129" s="1620"/>
      <c r="EH129" s="1620"/>
      <c r="EI129" s="1620"/>
      <c r="EJ129" s="1620"/>
      <c r="EK129" s="1620"/>
      <c r="EL129" s="1620"/>
      <c r="EM129" s="1620"/>
    </row>
    <row r="130" spans="1:143" s="814" customFormat="1">
      <c r="A130" s="3874"/>
      <c r="B130" s="3874"/>
      <c r="C130" s="3874"/>
      <c r="D130" s="3874"/>
      <c r="E130" s="3923" t="s">
        <v>1058</v>
      </c>
      <c r="K130" s="3875">
        <f t="shared" ref="K130:AP130" si="30">K76/K127</f>
        <v>1</v>
      </c>
      <c r="L130" s="3875">
        <f t="shared" si="30"/>
        <v>1</v>
      </c>
      <c r="M130" s="3875">
        <f t="shared" si="30"/>
        <v>1</v>
      </c>
      <c r="N130" s="3875">
        <f t="shared" si="30"/>
        <v>1</v>
      </c>
      <c r="O130" s="3875">
        <f t="shared" si="30"/>
        <v>1</v>
      </c>
      <c r="P130" s="3875">
        <f t="shared" si="30"/>
        <v>1</v>
      </c>
      <c r="Q130" s="3875">
        <f t="shared" si="30"/>
        <v>1</v>
      </c>
      <c r="R130" s="3875">
        <f t="shared" si="30"/>
        <v>1</v>
      </c>
      <c r="S130" s="3875">
        <f t="shared" si="30"/>
        <v>1</v>
      </c>
      <c r="T130" s="3875">
        <f t="shared" si="30"/>
        <v>1</v>
      </c>
      <c r="U130" s="3875">
        <f t="shared" si="30"/>
        <v>1</v>
      </c>
      <c r="V130" s="3875">
        <f t="shared" si="30"/>
        <v>1</v>
      </c>
      <c r="W130" s="3875">
        <f t="shared" si="30"/>
        <v>1</v>
      </c>
      <c r="X130" s="3875">
        <f t="shared" si="30"/>
        <v>1</v>
      </c>
      <c r="Y130" s="3875">
        <f t="shared" si="30"/>
        <v>1</v>
      </c>
      <c r="Z130" s="3875">
        <f t="shared" si="30"/>
        <v>1</v>
      </c>
      <c r="AA130" s="3875" t="e">
        <f t="shared" si="30"/>
        <v>#VALUE!</v>
      </c>
      <c r="AB130" s="3875" t="e">
        <f t="shared" si="30"/>
        <v>#VALUE!</v>
      </c>
      <c r="AC130" s="3875" t="e">
        <f t="shared" si="30"/>
        <v>#VALUE!</v>
      </c>
      <c r="AD130" s="3875" t="e">
        <f t="shared" si="30"/>
        <v>#VALUE!</v>
      </c>
      <c r="AE130" s="3875" t="e">
        <f t="shared" si="30"/>
        <v>#VALUE!</v>
      </c>
      <c r="AF130" s="3875" t="e">
        <f t="shared" si="30"/>
        <v>#VALUE!</v>
      </c>
      <c r="AG130" s="3875" t="e">
        <f t="shared" si="30"/>
        <v>#VALUE!</v>
      </c>
      <c r="AH130" s="3875" t="e">
        <f t="shared" si="30"/>
        <v>#VALUE!</v>
      </c>
      <c r="AI130" s="3875" t="e">
        <f t="shared" si="30"/>
        <v>#VALUE!</v>
      </c>
      <c r="AJ130" s="3875" t="e">
        <f t="shared" si="30"/>
        <v>#VALUE!</v>
      </c>
      <c r="AK130" s="3875" t="e">
        <f t="shared" si="30"/>
        <v>#VALUE!</v>
      </c>
      <c r="AL130" s="814" t="e">
        <f t="shared" si="30"/>
        <v>#VALUE!</v>
      </c>
      <c r="AM130" s="814" t="e">
        <f t="shared" si="30"/>
        <v>#VALUE!</v>
      </c>
      <c r="AN130" s="3875">
        <f t="shared" si="30"/>
        <v>1</v>
      </c>
      <c r="AO130" s="3875" t="e">
        <f t="shared" si="30"/>
        <v>#VALUE!</v>
      </c>
      <c r="AP130" s="3875" t="e">
        <f t="shared" si="30"/>
        <v>#VALUE!</v>
      </c>
      <c r="AQ130" s="3875" t="e">
        <f t="shared" ref="AQ130:BI130" si="31">AQ76/AQ127</f>
        <v>#VALUE!</v>
      </c>
      <c r="AR130" s="814" t="e">
        <f t="shared" si="31"/>
        <v>#VALUE!</v>
      </c>
      <c r="AS130" s="814" t="e">
        <f t="shared" si="31"/>
        <v>#VALUE!</v>
      </c>
      <c r="AT130" s="814" t="e">
        <f t="shared" si="31"/>
        <v>#VALUE!</v>
      </c>
      <c r="AU130" s="814" t="e">
        <f t="shared" si="31"/>
        <v>#VALUE!</v>
      </c>
      <c r="AV130" s="814" t="e">
        <f t="shared" si="31"/>
        <v>#VALUE!</v>
      </c>
      <c r="AW130" s="814" t="e">
        <f t="shared" si="31"/>
        <v>#VALUE!</v>
      </c>
      <c r="AX130" s="814" t="e">
        <f t="shared" si="31"/>
        <v>#VALUE!</v>
      </c>
      <c r="AY130" s="814" t="e">
        <f t="shared" si="31"/>
        <v>#VALUE!</v>
      </c>
      <c r="AZ130" s="814" t="e">
        <f t="shared" si="31"/>
        <v>#VALUE!</v>
      </c>
      <c r="BA130" s="814" t="e">
        <f t="shared" si="31"/>
        <v>#VALUE!</v>
      </c>
      <c r="BB130" s="814" t="e">
        <f t="shared" si="31"/>
        <v>#VALUE!</v>
      </c>
      <c r="BC130" s="814" t="e">
        <f t="shared" si="31"/>
        <v>#VALUE!</v>
      </c>
      <c r="BD130" s="814">
        <f t="shared" si="31"/>
        <v>1</v>
      </c>
      <c r="BE130" s="814" t="e">
        <f t="shared" si="31"/>
        <v>#VALUE!</v>
      </c>
      <c r="BF130" s="814" t="e">
        <f t="shared" si="31"/>
        <v>#VALUE!</v>
      </c>
      <c r="BG130" s="814">
        <f t="shared" si="31"/>
        <v>1</v>
      </c>
      <c r="BH130" s="814">
        <f t="shared" si="31"/>
        <v>1</v>
      </c>
      <c r="BI130" s="814">
        <f t="shared" si="31"/>
        <v>1</v>
      </c>
      <c r="DT130" s="1620"/>
      <c r="DU130" s="1620"/>
      <c r="DV130" s="1620"/>
      <c r="DW130" s="1620"/>
      <c r="DX130" s="1620"/>
      <c r="DY130" s="1620"/>
      <c r="DZ130" s="1620"/>
      <c r="EA130" s="1620"/>
      <c r="EB130" s="1620"/>
      <c r="EC130" s="1620"/>
      <c r="ED130" s="1620"/>
      <c r="EE130" s="1620"/>
      <c r="EF130" s="1620"/>
      <c r="EG130" s="1620"/>
      <c r="EH130" s="1620"/>
      <c r="EI130" s="1620"/>
      <c r="EJ130" s="1620"/>
      <c r="EK130" s="1620"/>
      <c r="EL130" s="1620"/>
      <c r="EM130" s="1620"/>
    </row>
    <row r="131" spans="1:143" s="2100" customFormat="1">
      <c r="A131" s="3909"/>
      <c r="B131" s="3909"/>
      <c r="C131" s="3909"/>
      <c r="D131" s="3909"/>
      <c r="E131" s="3923"/>
      <c r="DT131" s="224"/>
      <c r="DU131" s="224"/>
      <c r="DV131" s="224"/>
      <c r="DW131" s="224"/>
      <c r="DX131" s="224"/>
      <c r="DY131" s="224"/>
      <c r="DZ131" s="224"/>
      <c r="EA131" s="224"/>
      <c r="EB131" s="224"/>
      <c r="EC131" s="224"/>
      <c r="ED131" s="224"/>
      <c r="EE131" s="224"/>
      <c r="EF131" s="224"/>
      <c r="EG131" s="224"/>
      <c r="EH131" s="224"/>
      <c r="EI131" s="224"/>
      <c r="EJ131" s="224"/>
      <c r="EK131" s="224"/>
      <c r="EL131" s="224"/>
      <c r="EM131" s="224"/>
    </row>
    <row r="132" spans="1:143" s="2100" customFormat="1">
      <c r="A132" s="3909"/>
      <c r="B132" s="3909"/>
      <c r="C132" s="3909"/>
      <c r="D132" s="3909"/>
      <c r="E132" s="3923"/>
      <c r="DT132" s="224"/>
      <c r="DU132" s="224"/>
      <c r="DV132" s="224"/>
      <c r="DW132" s="224"/>
      <c r="DX132" s="224"/>
      <c r="DY132" s="224"/>
      <c r="DZ132" s="224"/>
      <c r="EA132" s="224"/>
      <c r="EB132" s="224"/>
      <c r="EC132" s="224"/>
      <c r="ED132" s="224"/>
      <c r="EE132" s="224"/>
      <c r="EF132" s="224"/>
      <c r="EG132" s="224"/>
      <c r="EH132" s="224"/>
      <c r="EI132" s="224"/>
      <c r="EJ132" s="224"/>
      <c r="EK132" s="224"/>
      <c r="EL132" s="224"/>
      <c r="EM132" s="224"/>
    </row>
    <row r="133" spans="1:143" s="2100" customFormat="1">
      <c r="E133" s="3672" t="s">
        <v>597</v>
      </c>
      <c r="DT133" s="224"/>
      <c r="DU133" s="224"/>
      <c r="DV133" s="224"/>
      <c r="DW133" s="224"/>
      <c r="DX133" s="224"/>
      <c r="DY133" s="224"/>
      <c r="DZ133" s="224"/>
      <c r="EA133" s="224"/>
      <c r="EB133" s="224"/>
      <c r="EC133" s="224"/>
      <c r="ED133" s="224"/>
      <c r="EE133" s="224"/>
      <c r="EF133" s="224"/>
      <c r="EG133" s="224"/>
      <c r="EH133" s="224"/>
      <c r="EI133" s="224"/>
      <c r="EJ133" s="224"/>
      <c r="EK133" s="224"/>
      <c r="EL133" s="224"/>
      <c r="EM133" s="224"/>
    </row>
    <row r="134" spans="1:143" s="3909" customFormat="1">
      <c r="A134" s="3910"/>
      <c r="B134" s="3911"/>
      <c r="C134" s="2100"/>
      <c r="D134" s="2100"/>
      <c r="E134" s="3923" t="s">
        <v>989</v>
      </c>
      <c r="F134" s="3912" t="s">
        <v>19</v>
      </c>
      <c r="G134" s="3913" t="s">
        <v>20</v>
      </c>
      <c r="H134" s="3893">
        <v>21.726590419182642</v>
      </c>
      <c r="I134" s="3894">
        <v>21.726590419182642</v>
      </c>
      <c r="J134" s="3894">
        <v>191.60039130531911</v>
      </c>
      <c r="K134" s="3893">
        <v>0.28938084848484852</v>
      </c>
      <c r="L134" s="3894">
        <v>0.3100509090909091</v>
      </c>
      <c r="M134" s="3894">
        <v>0.3100509090909091</v>
      </c>
      <c r="N134" s="3894">
        <v>1.0335030303030306</v>
      </c>
      <c r="O134" s="3894">
        <v>1.0335030303030306</v>
      </c>
      <c r="P134" s="3894">
        <v>0.18086303030303036</v>
      </c>
      <c r="Q134" s="3894">
        <v>0.18086303030303036</v>
      </c>
      <c r="R134" s="3894">
        <v>2.0670060606060612</v>
      </c>
      <c r="S134" s="3894">
        <v>0.32555345454545448</v>
      </c>
      <c r="T134" s="3894">
        <v>0.32555345454545448</v>
      </c>
      <c r="U134" s="3894">
        <v>0.19636557575757582</v>
      </c>
      <c r="V134" s="3894">
        <v>5.1675151515151523</v>
      </c>
      <c r="W134" s="3894">
        <v>5.1675151515151523</v>
      </c>
      <c r="X134" s="3894">
        <v>4.960814545454547E-2</v>
      </c>
      <c r="Y134" s="3894">
        <v>1.3435539393939397</v>
      </c>
      <c r="Z134" s="3894">
        <v>1.3693915151515152</v>
      </c>
      <c r="AA134" s="3894">
        <v>3.6172606060606061</v>
      </c>
      <c r="AB134" s="3893">
        <v>1.0335030303030304</v>
      </c>
      <c r="AC134" s="3894">
        <v>1.8173282568501126</v>
      </c>
      <c r="AD134" s="3894">
        <v>4.3967566039946124</v>
      </c>
      <c r="AE134" s="3894" t="s">
        <v>498</v>
      </c>
      <c r="AF134" s="3894" t="s">
        <v>498</v>
      </c>
      <c r="AG134" s="3895">
        <v>95.082278787878806</v>
      </c>
      <c r="AH134" s="3894">
        <v>95.082278787878792</v>
      </c>
      <c r="AI134" s="3894">
        <v>5.1675151515151514</v>
      </c>
      <c r="AJ134" s="3894">
        <v>5.1675151515151523</v>
      </c>
      <c r="AK134" s="3894">
        <v>6.5110819455480886</v>
      </c>
      <c r="AL134" s="3894" t="s">
        <v>498</v>
      </c>
      <c r="AM134" s="3896" t="s">
        <v>498</v>
      </c>
      <c r="AN134" s="3894">
        <v>0.2582747666418157</v>
      </c>
      <c r="AO134" s="3894" t="s">
        <v>498</v>
      </c>
      <c r="AP134" s="3894" t="s">
        <v>498</v>
      </c>
      <c r="AQ134" s="3894" t="s">
        <v>498</v>
      </c>
      <c r="AR134" s="3894" t="s">
        <v>498</v>
      </c>
      <c r="AS134" s="3894" t="s">
        <v>498</v>
      </c>
      <c r="AT134" s="3894" t="s">
        <v>498</v>
      </c>
      <c r="AU134" s="3894" t="s">
        <v>498</v>
      </c>
      <c r="AV134" s="3894" t="s">
        <v>498</v>
      </c>
      <c r="AW134" s="3894" t="s">
        <v>498</v>
      </c>
      <c r="AX134" s="3894" t="s">
        <v>498</v>
      </c>
      <c r="AY134" s="3894" t="s">
        <v>498</v>
      </c>
      <c r="AZ134" s="3894" t="s">
        <v>498</v>
      </c>
      <c r="BA134" s="3894" t="s">
        <v>498</v>
      </c>
      <c r="BB134" s="3894" t="s">
        <v>498</v>
      </c>
      <c r="BC134" s="3894" t="s">
        <v>498</v>
      </c>
      <c r="BD134" s="3893">
        <v>7.7275160836308379</v>
      </c>
      <c r="BE134" s="3894">
        <v>6.0279661547861298</v>
      </c>
      <c r="BF134" s="3896">
        <v>12.05593230957226</v>
      </c>
      <c r="BG134" s="2100">
        <v>1.5502545454545454E-4</v>
      </c>
      <c r="BH134" s="3897">
        <v>9.9195806050834195E-2</v>
      </c>
      <c r="BI134" s="3894">
        <v>0.13815427896424801</v>
      </c>
    </row>
    <row r="135" spans="1:143" s="3909" customFormat="1">
      <c r="A135" s="3910"/>
      <c r="B135" s="3911"/>
      <c r="C135" s="3914"/>
      <c r="D135" s="3915"/>
      <c r="E135" s="3923" t="s">
        <v>992</v>
      </c>
      <c r="F135" s="3912" t="s">
        <v>19</v>
      </c>
      <c r="G135" s="3913" t="s">
        <v>20</v>
      </c>
      <c r="H135" s="3893" t="s">
        <v>498</v>
      </c>
      <c r="I135" s="3894" t="s">
        <v>498</v>
      </c>
      <c r="J135" s="3894" t="s">
        <v>498</v>
      </c>
      <c r="K135" s="3893">
        <v>1.8086303030303033</v>
      </c>
      <c r="L135" s="3894" t="s">
        <v>498</v>
      </c>
      <c r="M135" s="3894" t="s">
        <v>498</v>
      </c>
      <c r="N135" s="3894">
        <v>0.90431515151515141</v>
      </c>
      <c r="O135" s="3894">
        <v>0.90431515151515141</v>
      </c>
      <c r="P135" s="3894">
        <v>0.30654750898818695</v>
      </c>
      <c r="Q135" s="3894">
        <v>0.30654750898818695</v>
      </c>
      <c r="R135" s="3894">
        <v>1.8086303030303033</v>
      </c>
      <c r="S135" s="3894">
        <v>7.863610013175229E-2</v>
      </c>
      <c r="T135" s="3894">
        <v>7.863610013175229E-2</v>
      </c>
      <c r="U135" s="3894">
        <v>4.3062626262626261E-2</v>
      </c>
      <c r="V135" s="3894" t="s">
        <v>498</v>
      </c>
      <c r="W135" s="3894" t="s">
        <v>498</v>
      </c>
      <c r="X135" s="3894">
        <v>0.30143838383838378</v>
      </c>
      <c r="Y135" s="3894" t="s">
        <v>498</v>
      </c>
      <c r="Z135" s="3894">
        <v>0.72345212121212132</v>
      </c>
      <c r="AA135" s="3894" t="s">
        <v>498</v>
      </c>
      <c r="AB135" s="3893" t="s">
        <v>498</v>
      </c>
      <c r="AC135" s="3894" t="s">
        <v>498</v>
      </c>
      <c r="AD135" s="3894" t="s">
        <v>498</v>
      </c>
      <c r="AE135" s="3894" t="s">
        <v>498</v>
      </c>
      <c r="AF135" s="3894" t="s">
        <v>498</v>
      </c>
      <c r="AG135" s="3895" t="s">
        <v>498</v>
      </c>
      <c r="AH135" s="3894" t="s">
        <v>498</v>
      </c>
      <c r="AI135" s="3894" t="s">
        <v>498</v>
      </c>
      <c r="AJ135" s="3894" t="s">
        <v>498</v>
      </c>
      <c r="AK135" s="3894" t="s">
        <v>498</v>
      </c>
      <c r="AL135" s="3894" t="s">
        <v>498</v>
      </c>
      <c r="AM135" s="3896" t="s">
        <v>498</v>
      </c>
      <c r="AN135" s="3894">
        <v>5.4657193234831106E-2</v>
      </c>
      <c r="AO135" s="3894">
        <v>3.2736081774919841</v>
      </c>
      <c r="AP135" s="3894">
        <v>2.5158632155480651</v>
      </c>
      <c r="AQ135" s="3894">
        <v>4.0000540500248984</v>
      </c>
      <c r="AR135" s="3894">
        <v>9.299913277035321</v>
      </c>
      <c r="AS135" s="3894">
        <v>0.81130487583452282</v>
      </c>
      <c r="AT135" s="3894">
        <v>35.52976496968072</v>
      </c>
      <c r="AU135" s="3894">
        <v>36.385664955652977</v>
      </c>
      <c r="AV135" s="3894">
        <v>1.2661929454148575</v>
      </c>
      <c r="AW135" s="3894">
        <v>13.022816301201384</v>
      </c>
      <c r="AX135" s="3894">
        <v>25.861298922701501</v>
      </c>
      <c r="AY135" s="3894">
        <v>37.416668079564445</v>
      </c>
      <c r="AZ135" s="3894">
        <v>5.5738464851434175</v>
      </c>
      <c r="BA135" s="3894">
        <v>31.986967206047492</v>
      </c>
      <c r="BB135" s="3894">
        <v>207.51375486344185</v>
      </c>
      <c r="BC135" s="3894">
        <v>75904424.211020678</v>
      </c>
      <c r="BD135" s="3893" t="s">
        <v>498</v>
      </c>
      <c r="BE135" s="3894">
        <v>0.68232498837884525</v>
      </c>
      <c r="BF135" s="3896">
        <v>1.3646499767576905</v>
      </c>
      <c r="BG135" s="3894" t="s">
        <v>498</v>
      </c>
      <c r="BH135" s="3897" t="s">
        <v>498</v>
      </c>
      <c r="BI135" s="3894" t="s">
        <v>498</v>
      </c>
    </row>
    <row r="136" spans="1:143" s="3909" customFormat="1">
      <c r="A136" s="3910"/>
      <c r="B136" s="3911"/>
      <c r="C136" s="3914"/>
      <c r="D136" s="3915"/>
      <c r="E136" s="3923" t="s">
        <v>493</v>
      </c>
      <c r="F136" s="3912" t="s">
        <v>19</v>
      </c>
      <c r="G136" s="3913" t="s">
        <v>20</v>
      </c>
      <c r="H136" s="3893">
        <v>21.726590419182642</v>
      </c>
      <c r="I136" s="3894">
        <v>21.726590419182642</v>
      </c>
      <c r="J136" s="3894">
        <v>191.60039130531911</v>
      </c>
      <c r="K136" s="3893">
        <v>0.28938084848484852</v>
      </c>
      <c r="L136" s="3894">
        <v>0.3100509090909091</v>
      </c>
      <c r="M136" s="3894">
        <v>0.3100509090909091</v>
      </c>
      <c r="N136" s="3894">
        <v>0.90431515151515141</v>
      </c>
      <c r="O136" s="3894">
        <v>0.90431515151515141</v>
      </c>
      <c r="P136" s="3894">
        <v>0.18086303030303036</v>
      </c>
      <c r="Q136" s="3894">
        <v>0.18086303030303036</v>
      </c>
      <c r="R136" s="3894">
        <v>1.8086303030303033</v>
      </c>
      <c r="S136" s="3894">
        <v>7.863610013175229E-2</v>
      </c>
      <c r="T136" s="3894">
        <v>7.863610013175229E-2</v>
      </c>
      <c r="U136" s="3894">
        <v>4.3062626262626261E-2</v>
      </c>
      <c r="V136" s="3894">
        <v>5.1675151515151523</v>
      </c>
      <c r="W136" s="3894">
        <v>5.1675151515151523</v>
      </c>
      <c r="X136" s="3894">
        <v>4.960814545454547E-2</v>
      </c>
      <c r="Y136" s="3894">
        <v>1.3435539393939397</v>
      </c>
      <c r="Z136" s="3894">
        <v>0.72345212121212132</v>
      </c>
      <c r="AA136" s="3894">
        <v>3.6172606060606061</v>
      </c>
      <c r="AB136" s="3893">
        <v>1.0335030303030304</v>
      </c>
      <c r="AC136" s="3894">
        <v>1.8173282568501126</v>
      </c>
      <c r="AD136" s="3894">
        <v>4.3967566039946124</v>
      </c>
      <c r="AE136" s="3894" t="s">
        <v>498</v>
      </c>
      <c r="AF136" s="3894" t="s">
        <v>498</v>
      </c>
      <c r="AG136" s="3895">
        <v>95.082278787878806</v>
      </c>
      <c r="AH136" s="3894">
        <v>95.082278787878792</v>
      </c>
      <c r="AI136" s="3894">
        <v>5.1675151515151514</v>
      </c>
      <c r="AJ136" s="3894">
        <v>5.1675151515151523</v>
      </c>
      <c r="AK136" s="3894">
        <v>6.5110819455480886</v>
      </c>
      <c r="AL136" s="3894" t="s">
        <v>498</v>
      </c>
      <c r="AM136" s="3896" t="s">
        <v>498</v>
      </c>
      <c r="AN136" s="3894">
        <v>5.4657193234831106E-2</v>
      </c>
      <c r="AO136" s="3894">
        <v>3.2736081774919841</v>
      </c>
      <c r="AP136" s="3894">
        <v>2.5158632155480651</v>
      </c>
      <c r="AQ136" s="3894">
        <v>4.0000540500248984</v>
      </c>
      <c r="AR136" s="3894">
        <v>9.299913277035321</v>
      </c>
      <c r="AS136" s="3894">
        <v>0.81130487583452282</v>
      </c>
      <c r="AT136" s="3894">
        <v>35.52976496968072</v>
      </c>
      <c r="AU136" s="3894">
        <v>36.385664955652977</v>
      </c>
      <c r="AV136" s="3894">
        <v>1.2661929454148575</v>
      </c>
      <c r="AW136" s="3894">
        <v>13.022816301201384</v>
      </c>
      <c r="AX136" s="3894">
        <v>25.861298922701501</v>
      </c>
      <c r="AY136" s="3894">
        <v>37.416668079564445</v>
      </c>
      <c r="AZ136" s="3894">
        <v>5.5738464851434175</v>
      </c>
      <c r="BA136" s="3894">
        <v>31.986967206047492</v>
      </c>
      <c r="BB136" s="3894">
        <v>207.51375486344185</v>
      </c>
      <c r="BC136" s="3894">
        <v>75904424.211020678</v>
      </c>
      <c r="BD136" s="3893">
        <v>7.7275160836308379</v>
      </c>
      <c r="BE136" s="3894">
        <v>0.68232498837884525</v>
      </c>
      <c r="BF136" s="3896">
        <v>1.3646499767576905</v>
      </c>
      <c r="BG136" s="3894">
        <v>1.5502545454545454E-4</v>
      </c>
      <c r="BH136" s="3897">
        <v>9.9195806050834195E-2</v>
      </c>
      <c r="BI136" s="3894">
        <v>0.13815427896424801</v>
      </c>
    </row>
    <row r="137" spans="1:143" s="3919" customFormat="1">
      <c r="A137" s="3910"/>
      <c r="B137" s="3916"/>
      <c r="C137" s="2100"/>
      <c r="D137" s="2100"/>
      <c r="E137" s="3924" t="s">
        <v>985</v>
      </c>
      <c r="F137" s="3917" t="s">
        <v>19</v>
      </c>
      <c r="G137" s="3918" t="s">
        <v>20</v>
      </c>
      <c r="H137" s="3903">
        <v>21.726590419182642</v>
      </c>
      <c r="I137" s="3904">
        <v>21.726590419182642</v>
      </c>
      <c r="J137" s="3904">
        <v>191.60039130531911</v>
      </c>
      <c r="K137" s="3903">
        <v>0.28938084848484852</v>
      </c>
      <c r="L137" s="3904">
        <v>0.3100509090909091</v>
      </c>
      <c r="M137" s="3904">
        <v>0.3100509090909091</v>
      </c>
      <c r="N137" s="3904">
        <v>0.90431515151515141</v>
      </c>
      <c r="O137" s="3904">
        <v>0.90431515151515141</v>
      </c>
      <c r="P137" s="3904">
        <v>0.18086303030303036</v>
      </c>
      <c r="Q137" s="3904">
        <v>0.18086303030303036</v>
      </c>
      <c r="R137" s="3904">
        <v>1.8086303030303033</v>
      </c>
      <c r="S137" s="3904">
        <v>7.863610013175229E-2</v>
      </c>
      <c r="T137" s="3904">
        <v>7.863610013175229E-2</v>
      </c>
      <c r="U137" s="3904">
        <v>4.3062626262626261E-2</v>
      </c>
      <c r="V137" s="3904">
        <v>5.1675151515151523</v>
      </c>
      <c r="W137" s="3904">
        <v>5.1675151515151523</v>
      </c>
      <c r="X137" s="3904">
        <v>4.960814545454547E-2</v>
      </c>
      <c r="Y137" s="3904">
        <v>1.3435539393939397</v>
      </c>
      <c r="Z137" s="3904">
        <v>0.72345212121212132</v>
      </c>
      <c r="AA137" s="3904">
        <v>3.6172606060606061</v>
      </c>
      <c r="AB137" s="3903">
        <v>1.0335030303030304</v>
      </c>
      <c r="AC137" s="3904">
        <v>1.8173282568501126</v>
      </c>
      <c r="AD137" s="3904">
        <v>4.3967566039946124</v>
      </c>
      <c r="AE137" s="3904" t="s">
        <v>498</v>
      </c>
      <c r="AF137" s="3904" t="s">
        <v>498</v>
      </c>
      <c r="AG137" s="3905">
        <v>95.082278787878806</v>
      </c>
      <c r="AH137" s="3904" t="s">
        <v>498</v>
      </c>
      <c r="AI137" s="3904">
        <v>5.1675151515151514</v>
      </c>
      <c r="AJ137" s="3904">
        <v>5.1675151515151523</v>
      </c>
      <c r="AK137" s="3904" t="s">
        <v>498</v>
      </c>
      <c r="AL137" s="3904" t="s">
        <v>498</v>
      </c>
      <c r="AM137" s="3906" t="s">
        <v>498</v>
      </c>
      <c r="AN137" s="3904">
        <v>5.4657193234831106E-2</v>
      </c>
      <c r="AO137" s="3904">
        <v>3.2736081774919841</v>
      </c>
      <c r="AP137" s="3904">
        <v>2.5158632155480651</v>
      </c>
      <c r="AQ137" s="3904">
        <v>4.0000540500248984</v>
      </c>
      <c r="AR137" s="3904" t="s">
        <v>498</v>
      </c>
      <c r="AS137" s="3904" t="s">
        <v>498</v>
      </c>
      <c r="AT137" s="3904" t="s">
        <v>498</v>
      </c>
      <c r="AU137" s="3904" t="s">
        <v>498</v>
      </c>
      <c r="AV137" s="3904" t="s">
        <v>498</v>
      </c>
      <c r="AW137" s="3904" t="s">
        <v>498</v>
      </c>
      <c r="AX137" s="3904" t="s">
        <v>498</v>
      </c>
      <c r="AY137" s="3904" t="s">
        <v>498</v>
      </c>
      <c r="AZ137" s="3904" t="s">
        <v>498</v>
      </c>
      <c r="BA137" s="3904" t="s">
        <v>498</v>
      </c>
      <c r="BB137" s="3904" t="s">
        <v>498</v>
      </c>
      <c r="BC137" s="3904" t="s">
        <v>498</v>
      </c>
      <c r="BD137" s="3903">
        <v>7.7275160836308379</v>
      </c>
      <c r="BE137" s="3904">
        <v>0.68232498837884525</v>
      </c>
      <c r="BF137" s="3906">
        <v>1.3646499767576905</v>
      </c>
      <c r="BG137" s="3904">
        <v>1.5502545454545454E-4</v>
      </c>
      <c r="BH137" s="3907">
        <v>9.9195806050834195E-2</v>
      </c>
      <c r="BI137" s="3904">
        <v>0.13815427896424801</v>
      </c>
      <c r="DT137" s="3909"/>
      <c r="DU137" s="3909"/>
      <c r="DV137" s="3909"/>
      <c r="DW137" s="3909"/>
      <c r="DX137" s="3909"/>
      <c r="DY137" s="3909"/>
      <c r="DZ137" s="3909"/>
      <c r="EA137" s="3909"/>
      <c r="EB137" s="3909"/>
      <c r="EC137" s="3909"/>
      <c r="ED137" s="3909"/>
      <c r="EE137" s="3909"/>
      <c r="EF137" s="3909"/>
      <c r="EG137" s="3909"/>
      <c r="EH137" s="3909"/>
      <c r="EI137" s="3909"/>
      <c r="EJ137" s="3909"/>
      <c r="EK137" s="3909"/>
      <c r="EL137" s="3909"/>
      <c r="EM137" s="3909"/>
    </row>
    <row r="138" spans="1:143" s="2100" customFormat="1">
      <c r="A138" s="3909"/>
      <c r="B138" s="3909"/>
      <c r="C138" s="3909"/>
      <c r="D138" s="3909"/>
      <c r="E138" s="3923"/>
      <c r="DT138" s="224"/>
      <c r="DU138" s="224"/>
      <c r="DV138" s="224"/>
      <c r="DW138" s="224"/>
      <c r="DX138" s="224"/>
      <c r="DY138" s="224"/>
      <c r="DZ138" s="224"/>
      <c r="EA138" s="224"/>
      <c r="EB138" s="224"/>
      <c r="EC138" s="224"/>
      <c r="ED138" s="224"/>
      <c r="EE138" s="224"/>
      <c r="EF138" s="224"/>
      <c r="EG138" s="224"/>
      <c r="EH138" s="224"/>
      <c r="EI138" s="224"/>
      <c r="EJ138" s="224"/>
      <c r="EK138" s="224"/>
      <c r="EL138" s="224"/>
      <c r="EM138" s="224"/>
    </row>
    <row r="139" spans="1:143" s="2100" customFormat="1">
      <c r="A139" s="3909"/>
      <c r="B139" s="3909"/>
      <c r="C139" s="3909"/>
      <c r="D139" s="3909"/>
      <c r="E139" s="3923" t="s">
        <v>1057</v>
      </c>
      <c r="G139" s="2100" t="e">
        <f t="shared" ref="G139:AL139" si="32">G20/G136</f>
        <v>#VALUE!</v>
      </c>
      <c r="H139" s="2100">
        <f t="shared" si="32"/>
        <v>1</v>
      </c>
      <c r="I139" s="2100">
        <f t="shared" si="32"/>
        <v>1</v>
      </c>
      <c r="J139" s="2100">
        <f t="shared" si="32"/>
        <v>1</v>
      </c>
      <c r="K139" s="3875">
        <f t="shared" si="32"/>
        <v>1</v>
      </c>
      <c r="L139" s="3875">
        <f t="shared" si="32"/>
        <v>1</v>
      </c>
      <c r="M139" s="3875">
        <f t="shared" si="32"/>
        <v>1</v>
      </c>
      <c r="N139" s="3875">
        <f t="shared" si="32"/>
        <v>1</v>
      </c>
      <c r="O139" s="3875">
        <f t="shared" si="32"/>
        <v>1</v>
      </c>
      <c r="P139" s="3875">
        <f t="shared" si="32"/>
        <v>1</v>
      </c>
      <c r="Q139" s="3875">
        <f t="shared" si="32"/>
        <v>1</v>
      </c>
      <c r="R139" s="3875">
        <f t="shared" si="32"/>
        <v>1</v>
      </c>
      <c r="S139" s="3875">
        <f t="shared" si="32"/>
        <v>1</v>
      </c>
      <c r="T139" s="3875">
        <f t="shared" si="32"/>
        <v>1</v>
      </c>
      <c r="U139" s="3875">
        <f t="shared" si="32"/>
        <v>1</v>
      </c>
      <c r="V139" s="3875">
        <f t="shared" si="32"/>
        <v>1</v>
      </c>
      <c r="W139" s="3875">
        <f t="shared" si="32"/>
        <v>1</v>
      </c>
      <c r="X139" s="3875">
        <f t="shared" si="32"/>
        <v>1</v>
      </c>
      <c r="Y139" s="3875">
        <f t="shared" si="32"/>
        <v>1</v>
      </c>
      <c r="Z139" s="3875">
        <f t="shared" si="32"/>
        <v>1</v>
      </c>
      <c r="AA139" s="3875">
        <f t="shared" si="32"/>
        <v>1</v>
      </c>
      <c r="AB139" s="3875">
        <f t="shared" si="32"/>
        <v>1</v>
      </c>
      <c r="AC139" s="3875">
        <f t="shared" si="32"/>
        <v>1</v>
      </c>
      <c r="AD139" s="3875">
        <f t="shared" si="32"/>
        <v>1</v>
      </c>
      <c r="AE139" s="3875" t="e">
        <f t="shared" si="32"/>
        <v>#VALUE!</v>
      </c>
      <c r="AF139" s="3875" t="e">
        <f t="shared" si="32"/>
        <v>#VALUE!</v>
      </c>
      <c r="AG139" s="3875">
        <f t="shared" si="32"/>
        <v>1</v>
      </c>
      <c r="AH139" s="3875">
        <f t="shared" si="32"/>
        <v>1</v>
      </c>
      <c r="AI139" s="3875">
        <f t="shared" si="32"/>
        <v>1</v>
      </c>
      <c r="AJ139" s="3875">
        <f t="shared" si="32"/>
        <v>1</v>
      </c>
      <c r="AK139" s="3875">
        <f t="shared" si="32"/>
        <v>1</v>
      </c>
      <c r="AL139" s="3875" t="e">
        <f t="shared" si="32"/>
        <v>#VALUE!</v>
      </c>
      <c r="AM139" s="3875" t="e">
        <f t="shared" ref="AM139:BI139" si="33">AM20/AM136</f>
        <v>#VALUE!</v>
      </c>
      <c r="AN139" s="3875">
        <f t="shared" si="33"/>
        <v>1</v>
      </c>
      <c r="AO139" s="3875">
        <f t="shared" si="33"/>
        <v>1</v>
      </c>
      <c r="AP139" s="3875">
        <f t="shared" si="33"/>
        <v>1</v>
      </c>
      <c r="AQ139" s="3875">
        <f t="shared" si="33"/>
        <v>1</v>
      </c>
      <c r="AR139" s="3875">
        <f t="shared" si="33"/>
        <v>1</v>
      </c>
      <c r="AS139" s="3875">
        <f t="shared" si="33"/>
        <v>1</v>
      </c>
      <c r="AT139" s="3875">
        <f t="shared" si="33"/>
        <v>1</v>
      </c>
      <c r="AU139" s="3875">
        <f t="shared" si="33"/>
        <v>1</v>
      </c>
      <c r="AV139" s="3875">
        <f t="shared" si="33"/>
        <v>1</v>
      </c>
      <c r="AW139" s="3875">
        <f t="shared" si="33"/>
        <v>1</v>
      </c>
      <c r="AX139" s="3875">
        <f t="shared" si="33"/>
        <v>1</v>
      </c>
      <c r="AY139" s="3875">
        <f t="shared" si="33"/>
        <v>1</v>
      </c>
      <c r="AZ139" s="3875">
        <f t="shared" si="33"/>
        <v>1</v>
      </c>
      <c r="BA139" s="3875">
        <f t="shared" si="33"/>
        <v>1</v>
      </c>
      <c r="BB139" s="3875">
        <f t="shared" si="33"/>
        <v>1</v>
      </c>
      <c r="BC139" s="3875">
        <f t="shared" si="33"/>
        <v>1</v>
      </c>
      <c r="BD139" s="3875">
        <f t="shared" si="33"/>
        <v>1</v>
      </c>
      <c r="BE139" s="3875">
        <f t="shared" si="33"/>
        <v>1</v>
      </c>
      <c r="BF139" s="3875">
        <f t="shared" si="33"/>
        <v>1</v>
      </c>
      <c r="BG139" s="3875">
        <f t="shared" si="33"/>
        <v>1</v>
      </c>
      <c r="BH139" s="3875">
        <f t="shared" si="33"/>
        <v>1</v>
      </c>
      <c r="BI139" s="3875">
        <f t="shared" si="33"/>
        <v>1</v>
      </c>
      <c r="DT139" s="224"/>
      <c r="DU139" s="224"/>
      <c r="DV139" s="224"/>
      <c r="DW139" s="224"/>
      <c r="DX139" s="224"/>
      <c r="DY139" s="224"/>
      <c r="DZ139" s="224"/>
      <c r="EA139" s="224"/>
      <c r="EB139" s="224"/>
      <c r="EC139" s="224"/>
      <c r="ED139" s="224"/>
      <c r="EE139" s="224"/>
      <c r="EF139" s="224"/>
      <c r="EG139" s="224"/>
      <c r="EH139" s="224"/>
      <c r="EI139" s="224"/>
      <c r="EJ139" s="224"/>
      <c r="EK139" s="224"/>
      <c r="EL139" s="224"/>
      <c r="EM139" s="224"/>
    </row>
    <row r="140" spans="1:143" s="2100" customFormat="1">
      <c r="A140" s="3909"/>
      <c r="B140" s="3909"/>
      <c r="C140" s="3909"/>
      <c r="D140" s="3909"/>
      <c r="E140" s="3924" t="s">
        <v>1058</v>
      </c>
      <c r="G140" s="2100" t="e">
        <f t="shared" ref="G140:AL140" si="34">G21/G137</f>
        <v>#VALUE!</v>
      </c>
      <c r="H140" s="2100">
        <f t="shared" si="34"/>
        <v>1</v>
      </c>
      <c r="I140" s="2100">
        <f t="shared" si="34"/>
        <v>1</v>
      </c>
      <c r="J140" s="2100">
        <f t="shared" si="34"/>
        <v>1</v>
      </c>
      <c r="K140" s="3875">
        <f t="shared" si="34"/>
        <v>1</v>
      </c>
      <c r="L140" s="3875">
        <f t="shared" si="34"/>
        <v>1</v>
      </c>
      <c r="M140" s="3875">
        <f t="shared" si="34"/>
        <v>1</v>
      </c>
      <c r="N140" s="3875">
        <f t="shared" si="34"/>
        <v>1</v>
      </c>
      <c r="O140" s="3875">
        <f t="shared" si="34"/>
        <v>1</v>
      </c>
      <c r="P140" s="3875">
        <f t="shared" si="34"/>
        <v>1</v>
      </c>
      <c r="Q140" s="3875">
        <f t="shared" si="34"/>
        <v>1</v>
      </c>
      <c r="R140" s="3875">
        <f t="shared" si="34"/>
        <v>1</v>
      </c>
      <c r="S140" s="3875">
        <f t="shared" si="34"/>
        <v>1</v>
      </c>
      <c r="T140" s="3875">
        <f t="shared" si="34"/>
        <v>1</v>
      </c>
      <c r="U140" s="3875">
        <f t="shared" si="34"/>
        <v>1</v>
      </c>
      <c r="V140" s="3875">
        <f t="shared" si="34"/>
        <v>1</v>
      </c>
      <c r="W140" s="3875">
        <f t="shared" si="34"/>
        <v>1</v>
      </c>
      <c r="X140" s="3875">
        <f t="shared" si="34"/>
        <v>1</v>
      </c>
      <c r="Y140" s="3875">
        <f t="shared" si="34"/>
        <v>1</v>
      </c>
      <c r="Z140" s="3875">
        <f t="shared" si="34"/>
        <v>1</v>
      </c>
      <c r="AA140" s="3875">
        <f t="shared" si="34"/>
        <v>1</v>
      </c>
      <c r="AB140" s="3875">
        <f t="shared" si="34"/>
        <v>1</v>
      </c>
      <c r="AC140" s="2100">
        <f t="shared" si="34"/>
        <v>1</v>
      </c>
      <c r="AD140" s="3875">
        <f t="shared" si="34"/>
        <v>1</v>
      </c>
      <c r="AE140" s="3875" t="e">
        <f t="shared" si="34"/>
        <v>#VALUE!</v>
      </c>
      <c r="AF140" s="3875" t="e">
        <f t="shared" si="34"/>
        <v>#VALUE!</v>
      </c>
      <c r="AG140" s="3875">
        <f t="shared" si="34"/>
        <v>1</v>
      </c>
      <c r="AH140" s="3875" t="e">
        <f t="shared" si="34"/>
        <v>#VALUE!</v>
      </c>
      <c r="AI140" s="3875">
        <f t="shared" si="34"/>
        <v>1</v>
      </c>
      <c r="AJ140" s="3875">
        <f t="shared" si="34"/>
        <v>1</v>
      </c>
      <c r="AK140" s="3875" t="e">
        <f t="shared" si="34"/>
        <v>#VALUE!</v>
      </c>
      <c r="AL140" s="3875" t="e">
        <f t="shared" si="34"/>
        <v>#VALUE!</v>
      </c>
      <c r="AM140" s="3875" t="e">
        <f t="shared" ref="AM140:BI140" si="35">AM21/AM137</f>
        <v>#VALUE!</v>
      </c>
      <c r="AN140" s="3875">
        <f t="shared" si="35"/>
        <v>1</v>
      </c>
      <c r="AO140" s="3875">
        <f t="shared" si="35"/>
        <v>1</v>
      </c>
      <c r="AP140" s="3875">
        <f t="shared" si="35"/>
        <v>1</v>
      </c>
      <c r="AQ140" s="3875">
        <f t="shared" si="35"/>
        <v>1</v>
      </c>
      <c r="AR140" s="3875" t="e">
        <f t="shared" si="35"/>
        <v>#VALUE!</v>
      </c>
      <c r="AS140" s="3875" t="e">
        <f t="shared" si="35"/>
        <v>#VALUE!</v>
      </c>
      <c r="AT140" s="3875" t="e">
        <f t="shared" si="35"/>
        <v>#VALUE!</v>
      </c>
      <c r="AU140" s="3875" t="e">
        <f t="shared" si="35"/>
        <v>#VALUE!</v>
      </c>
      <c r="AV140" s="3875" t="e">
        <f t="shared" si="35"/>
        <v>#VALUE!</v>
      </c>
      <c r="AW140" s="3875" t="e">
        <f t="shared" si="35"/>
        <v>#VALUE!</v>
      </c>
      <c r="AX140" s="3875" t="e">
        <f t="shared" si="35"/>
        <v>#VALUE!</v>
      </c>
      <c r="AY140" s="3875" t="e">
        <f t="shared" si="35"/>
        <v>#VALUE!</v>
      </c>
      <c r="AZ140" s="3875" t="e">
        <f t="shared" si="35"/>
        <v>#VALUE!</v>
      </c>
      <c r="BA140" s="3875" t="e">
        <f t="shared" si="35"/>
        <v>#VALUE!</v>
      </c>
      <c r="BB140" s="3875" t="e">
        <f t="shared" si="35"/>
        <v>#VALUE!</v>
      </c>
      <c r="BC140" s="3875" t="e">
        <f t="shared" si="35"/>
        <v>#VALUE!</v>
      </c>
      <c r="BD140" s="3875">
        <f t="shared" si="35"/>
        <v>1</v>
      </c>
      <c r="BE140" s="3875">
        <f t="shared" si="35"/>
        <v>1</v>
      </c>
      <c r="BF140" s="3875">
        <f t="shared" si="35"/>
        <v>1</v>
      </c>
      <c r="BG140" s="3875">
        <f t="shared" si="35"/>
        <v>1</v>
      </c>
      <c r="BH140" s="3875">
        <f t="shared" si="35"/>
        <v>1</v>
      </c>
      <c r="BI140" s="3875">
        <f t="shared" si="35"/>
        <v>1</v>
      </c>
      <c r="DT140" s="224"/>
      <c r="DU140" s="224"/>
      <c r="DV140" s="224"/>
      <c r="DW140" s="224"/>
      <c r="DX140" s="224"/>
      <c r="DY140" s="224"/>
      <c r="DZ140" s="224"/>
      <c r="EA140" s="224"/>
      <c r="EB140" s="224"/>
      <c r="EC140" s="224"/>
      <c r="ED140" s="224"/>
      <c r="EE140" s="224"/>
      <c r="EF140" s="224"/>
      <c r="EG140" s="224"/>
      <c r="EH140" s="224"/>
      <c r="EI140" s="224"/>
      <c r="EJ140" s="224"/>
      <c r="EK140" s="224"/>
      <c r="EL140" s="224"/>
      <c r="EM140" s="224"/>
    </row>
    <row r="141" spans="1:143" s="2100" customFormat="1">
      <c r="A141" s="3909"/>
      <c r="B141" s="3909"/>
      <c r="C141" s="3909"/>
      <c r="D141" s="3909"/>
      <c r="E141" s="3923"/>
      <c r="DT141" s="224"/>
      <c r="DU141" s="224"/>
      <c r="DV141" s="224"/>
      <c r="DW141" s="224"/>
      <c r="DX141" s="224"/>
      <c r="DY141" s="224"/>
      <c r="DZ141" s="224"/>
      <c r="EA141" s="224"/>
      <c r="EB141" s="224"/>
      <c r="EC141" s="224"/>
      <c r="ED141" s="224"/>
      <c r="EE141" s="224"/>
      <c r="EF141" s="224"/>
      <c r="EG141" s="224"/>
      <c r="EH141" s="224"/>
      <c r="EI141" s="224"/>
      <c r="EJ141" s="224"/>
      <c r="EK141" s="224"/>
      <c r="EL141" s="224"/>
      <c r="EM141" s="224"/>
    </row>
    <row r="142" spans="1:143" s="2100" customFormat="1">
      <c r="A142" s="3909"/>
      <c r="B142" s="3909"/>
      <c r="C142" s="3909"/>
      <c r="D142" s="3909"/>
      <c r="E142" s="3923"/>
      <c r="DT142" s="224"/>
      <c r="DU142" s="224"/>
      <c r="DV142" s="224"/>
      <c r="DW142" s="224"/>
      <c r="DX142" s="224"/>
      <c r="DY142" s="224"/>
      <c r="DZ142" s="224"/>
      <c r="EA142" s="224"/>
      <c r="EB142" s="224"/>
      <c r="EC142" s="224"/>
      <c r="ED142" s="224"/>
      <c r="EE142" s="224"/>
      <c r="EF142" s="224"/>
      <c r="EG142" s="224"/>
      <c r="EH142" s="224"/>
      <c r="EI142" s="224"/>
      <c r="EJ142" s="224"/>
      <c r="EK142" s="224"/>
      <c r="EL142" s="224"/>
      <c r="EM142" s="224"/>
    </row>
    <row r="143" spans="1:143" s="2100" customFormat="1">
      <c r="E143" s="3925" t="s">
        <v>598</v>
      </c>
      <c r="DT143" s="224"/>
      <c r="DU143" s="224"/>
      <c r="DV143" s="224"/>
      <c r="DW143" s="224"/>
      <c r="DX143" s="224"/>
      <c r="DY143" s="224"/>
      <c r="DZ143" s="224"/>
      <c r="EA143" s="224"/>
      <c r="EB143" s="224"/>
      <c r="EC143" s="224"/>
      <c r="ED143" s="224"/>
      <c r="EE143" s="224"/>
      <c r="EF143" s="224"/>
      <c r="EG143" s="224"/>
      <c r="EH143" s="224"/>
      <c r="EI143" s="224"/>
      <c r="EJ143" s="224"/>
      <c r="EK143" s="224"/>
      <c r="EL143" s="224"/>
      <c r="EM143" s="224"/>
    </row>
    <row r="144" spans="1:143" s="3909" customFormat="1">
      <c r="A144" s="3910"/>
      <c r="B144" s="3911"/>
      <c r="C144" s="2100" t="s">
        <v>162</v>
      </c>
      <c r="D144" s="2100">
        <v>0.01</v>
      </c>
      <c r="E144" s="3926" t="s">
        <v>493</v>
      </c>
      <c r="F144" s="2100" t="s">
        <v>19</v>
      </c>
      <c r="G144" s="3913" t="s">
        <v>20</v>
      </c>
      <c r="H144" s="3893">
        <v>60.834453173711402</v>
      </c>
      <c r="I144" s="3894">
        <v>60.834453173711402</v>
      </c>
      <c r="J144" s="3894">
        <v>536.48109565489358</v>
      </c>
      <c r="K144" s="3893">
        <v>0.81026637575757599</v>
      </c>
      <c r="L144" s="3894">
        <v>0.86814254545454572</v>
      </c>
      <c r="M144" s="3894">
        <v>0.86814254545454572</v>
      </c>
      <c r="N144" s="3894">
        <v>2.5320824242424247</v>
      </c>
      <c r="O144" s="3894">
        <v>2.5320824242424247</v>
      </c>
      <c r="P144" s="3894">
        <v>0.50641648484848489</v>
      </c>
      <c r="Q144" s="3894">
        <v>0.50641648484848489</v>
      </c>
      <c r="R144" s="3894">
        <v>5.0641648484848494</v>
      </c>
      <c r="S144" s="3894">
        <v>0.22018108036890641</v>
      </c>
      <c r="T144" s="3894">
        <v>0.22018108036890641</v>
      </c>
      <c r="U144" s="3894">
        <v>0.12057535353535354</v>
      </c>
      <c r="V144" s="3894">
        <v>14.469042424242426</v>
      </c>
      <c r="W144" s="3894">
        <v>14.469042424242426</v>
      </c>
      <c r="X144" s="3894">
        <v>0.1389028072727273</v>
      </c>
      <c r="Y144" s="3894">
        <v>3.7619510303030315</v>
      </c>
      <c r="Z144" s="3894">
        <v>2.0256659393939396</v>
      </c>
      <c r="AA144" s="3894">
        <v>10.128329696969697</v>
      </c>
      <c r="AB144" s="3893">
        <v>2.8938084848484857</v>
      </c>
      <c r="AC144" s="3894">
        <v>5.0885191191803161</v>
      </c>
      <c r="AD144" s="3894">
        <v>12.310918491184916</v>
      </c>
      <c r="AE144" s="3894" t="s">
        <v>498</v>
      </c>
      <c r="AF144" s="3894" t="s">
        <v>498</v>
      </c>
      <c r="AG144" s="3895">
        <v>266.23038060606058</v>
      </c>
      <c r="AH144" s="3894">
        <v>266.23038060606058</v>
      </c>
      <c r="AI144" s="3894">
        <v>14.469042424242426</v>
      </c>
      <c r="AJ144" s="3894">
        <v>14.469042424242428</v>
      </c>
      <c r="AK144" s="3894">
        <v>18.231029447534649</v>
      </c>
      <c r="AL144" s="3894" t="s">
        <v>498</v>
      </c>
      <c r="AM144" s="3896" t="s">
        <v>498</v>
      </c>
      <c r="AN144" s="3894">
        <v>0.15304014105752708</v>
      </c>
      <c r="AO144" s="3894">
        <v>9.1661028969775558</v>
      </c>
      <c r="AP144" s="3894">
        <v>7.0444170035345826</v>
      </c>
      <c r="AQ144" s="3894">
        <v>11.200151340069718</v>
      </c>
      <c r="AR144" s="3894">
        <v>26.039757175698902</v>
      </c>
      <c r="AS144" s="3894">
        <v>2.2716536523366644</v>
      </c>
      <c r="AT144" s="3894">
        <v>99.483341915106038</v>
      </c>
      <c r="AU144" s="3894">
        <v>101.87986187582833</v>
      </c>
      <c r="AV144" s="3894">
        <v>3.5453402471616013</v>
      </c>
      <c r="AW144" s="3894">
        <v>36.463885643363888</v>
      </c>
      <c r="AX144" s="3894">
        <v>72.411636983564208</v>
      </c>
      <c r="AY144" s="3894">
        <v>104.76667062278047</v>
      </c>
      <c r="AZ144" s="3894">
        <v>15.606770158401572</v>
      </c>
      <c r="BA144" s="3894">
        <v>89.56350817693297</v>
      </c>
      <c r="BB144" s="3894">
        <v>581.03851361763725</v>
      </c>
      <c r="BC144" s="3894">
        <v>212532387.79085788</v>
      </c>
      <c r="BD144" s="3893">
        <v>21.637045034166349</v>
      </c>
      <c r="BE144" s="3894">
        <v>1.9105099674607666</v>
      </c>
      <c r="BF144" s="3896">
        <v>3.8210199349215332</v>
      </c>
      <c r="BG144" s="3894">
        <v>4.3407127272727285E-4</v>
      </c>
      <c r="BH144" s="3897">
        <v>0.27774825694233579</v>
      </c>
      <c r="BI144" s="3894">
        <v>0.38683198109989436</v>
      </c>
    </row>
    <row r="145" spans="1:143" s="3919" customFormat="1">
      <c r="A145" s="3910"/>
      <c r="B145" s="3916"/>
      <c r="C145" s="3920" t="s">
        <v>162</v>
      </c>
      <c r="D145" s="2100">
        <v>4.0000000000000003E-5</v>
      </c>
      <c r="E145" s="3924" t="s">
        <v>985</v>
      </c>
      <c r="F145" s="3917" t="s">
        <v>19</v>
      </c>
      <c r="G145" s="3918" t="s">
        <v>20</v>
      </c>
      <c r="H145" s="3903">
        <v>60.834453173711402</v>
      </c>
      <c r="I145" s="3904">
        <v>60.834453173711402</v>
      </c>
      <c r="J145" s="3904">
        <v>536.48109565489358</v>
      </c>
      <c r="K145" s="3903">
        <v>0.81026637575757599</v>
      </c>
      <c r="L145" s="3904">
        <v>0.86814254545454572</v>
      </c>
      <c r="M145" s="3904">
        <v>0.86814254545454572</v>
      </c>
      <c r="N145" s="3904">
        <v>2.5320824242424247</v>
      </c>
      <c r="O145" s="3904">
        <v>2.5320824242424247</v>
      </c>
      <c r="P145" s="3904">
        <v>0.50641648484848489</v>
      </c>
      <c r="Q145" s="3904">
        <v>0.50641648484848489</v>
      </c>
      <c r="R145" s="3904">
        <v>5.0641648484848494</v>
      </c>
      <c r="S145" s="3904">
        <v>0.22018108036890641</v>
      </c>
      <c r="T145" s="3904">
        <v>0.22018108036890641</v>
      </c>
      <c r="U145" s="3904">
        <v>0.12057535353535354</v>
      </c>
      <c r="V145" s="3904">
        <v>14.469042424242426</v>
      </c>
      <c r="W145" s="3904">
        <v>14.469042424242426</v>
      </c>
      <c r="X145" s="3904">
        <v>0.1389028072727273</v>
      </c>
      <c r="Y145" s="3904">
        <v>3.7619510303030315</v>
      </c>
      <c r="Z145" s="3904">
        <v>2.0256659393939396</v>
      </c>
      <c r="AA145" s="3904">
        <v>10.128329696969697</v>
      </c>
      <c r="AB145" s="3903">
        <v>2.8938084848484857</v>
      </c>
      <c r="AC145" s="3904">
        <v>5.0885191191803161</v>
      </c>
      <c r="AD145" s="3904">
        <v>12.310918491184916</v>
      </c>
      <c r="AE145" s="3904" t="s">
        <v>498</v>
      </c>
      <c r="AF145" s="3904" t="s">
        <v>498</v>
      </c>
      <c r="AG145" s="3905" t="s">
        <v>498</v>
      </c>
      <c r="AH145" s="3904" t="s">
        <v>498</v>
      </c>
      <c r="AI145" s="3904">
        <v>14.469042424242426</v>
      </c>
      <c r="AJ145" s="3904" t="s">
        <v>498</v>
      </c>
      <c r="AK145" s="3904" t="s">
        <v>498</v>
      </c>
      <c r="AL145" s="3904" t="s">
        <v>498</v>
      </c>
      <c r="AM145" s="3906" t="s">
        <v>498</v>
      </c>
      <c r="AN145" s="3904">
        <v>0.15304014105752708</v>
      </c>
      <c r="AO145" s="3904">
        <v>9.1661028969775558</v>
      </c>
      <c r="AP145" s="3904">
        <v>7.0444170035345826</v>
      </c>
      <c r="AQ145" s="3904" t="s">
        <v>498</v>
      </c>
      <c r="AR145" s="3904" t="s">
        <v>498</v>
      </c>
      <c r="AS145" s="3904" t="s">
        <v>498</v>
      </c>
      <c r="AT145" s="3904" t="s">
        <v>498</v>
      </c>
      <c r="AU145" s="3904" t="s">
        <v>498</v>
      </c>
      <c r="AV145" s="3904" t="s">
        <v>498</v>
      </c>
      <c r="AW145" s="3904" t="s">
        <v>498</v>
      </c>
      <c r="AX145" s="3904" t="s">
        <v>498</v>
      </c>
      <c r="AY145" s="3904" t="s">
        <v>498</v>
      </c>
      <c r="AZ145" s="3904" t="s">
        <v>498</v>
      </c>
      <c r="BA145" s="3904" t="s">
        <v>498</v>
      </c>
      <c r="BB145" s="3904" t="s">
        <v>498</v>
      </c>
      <c r="BC145" s="3904" t="s">
        <v>498</v>
      </c>
      <c r="BD145" s="3903">
        <v>21.637045034166349</v>
      </c>
      <c r="BE145" s="3904">
        <v>1.9105099674607666</v>
      </c>
      <c r="BF145" s="3906">
        <v>3.8210199349215332</v>
      </c>
      <c r="BG145" s="3904">
        <v>4.3407127272727285E-4</v>
      </c>
      <c r="BH145" s="3907">
        <v>0.27774825694233579</v>
      </c>
      <c r="BI145" s="3904">
        <v>0.38683198109989436</v>
      </c>
      <c r="DT145" s="3909"/>
      <c r="DU145" s="3909"/>
      <c r="DV145" s="3909"/>
      <c r="DW145" s="3909"/>
      <c r="DX145" s="3909"/>
      <c r="DY145" s="3909"/>
      <c r="DZ145" s="3909"/>
      <c r="EA145" s="3909"/>
      <c r="EB145" s="3909"/>
      <c r="EC145" s="3909"/>
      <c r="ED145" s="3909"/>
      <c r="EE145" s="3909"/>
      <c r="EF145" s="3909"/>
      <c r="EG145" s="3909"/>
      <c r="EH145" s="3909"/>
      <c r="EI145" s="3909"/>
      <c r="EJ145" s="3909"/>
      <c r="EK145" s="3909"/>
      <c r="EL145" s="3909"/>
      <c r="EM145" s="3909"/>
    </row>
    <row r="146" spans="1:143" s="2100" customFormat="1">
      <c r="A146" s="3909"/>
      <c r="B146" s="3909"/>
      <c r="C146" s="3909"/>
      <c r="D146" s="3909"/>
      <c r="E146" s="3923"/>
      <c r="DT146" s="224"/>
      <c r="DU146" s="224"/>
      <c r="DV146" s="224"/>
      <c r="DW146" s="224"/>
      <c r="DX146" s="224"/>
      <c r="DY146" s="224"/>
      <c r="DZ146" s="224"/>
      <c r="EA146" s="224"/>
      <c r="EB146" s="224"/>
      <c r="EC146" s="224"/>
      <c r="ED146" s="224"/>
      <c r="EE146" s="224"/>
      <c r="EF146" s="224"/>
      <c r="EG146" s="224"/>
      <c r="EH146" s="224"/>
      <c r="EI146" s="224"/>
      <c r="EJ146" s="224"/>
      <c r="EK146" s="224"/>
      <c r="EL146" s="224"/>
      <c r="EM146" s="224"/>
    </row>
    <row r="147" spans="1:143" s="2100" customFormat="1">
      <c r="A147" s="3909"/>
      <c r="B147" s="3909"/>
      <c r="C147" s="3909"/>
      <c r="D147" s="3909"/>
      <c r="E147" s="3923" t="s">
        <v>493</v>
      </c>
      <c r="G147" s="3913" t="s">
        <v>20</v>
      </c>
      <c r="H147" s="2100">
        <f t="shared" ref="H147:AL147" si="36">H29/H144</f>
        <v>1</v>
      </c>
      <c r="I147" s="2100">
        <f t="shared" si="36"/>
        <v>1</v>
      </c>
      <c r="J147" s="2100">
        <f t="shared" si="36"/>
        <v>1</v>
      </c>
      <c r="K147" s="3875">
        <f t="shared" si="36"/>
        <v>1</v>
      </c>
      <c r="L147" s="3875">
        <f t="shared" si="36"/>
        <v>1</v>
      </c>
      <c r="M147" s="3875">
        <f t="shared" si="36"/>
        <v>1</v>
      </c>
      <c r="N147" s="3875">
        <f t="shared" si="36"/>
        <v>1</v>
      </c>
      <c r="O147" s="3875">
        <f t="shared" si="36"/>
        <v>1</v>
      </c>
      <c r="P147" s="3875">
        <f t="shared" si="36"/>
        <v>1</v>
      </c>
      <c r="Q147" s="3875">
        <f t="shared" si="36"/>
        <v>1</v>
      </c>
      <c r="R147" s="3875">
        <f t="shared" si="36"/>
        <v>1</v>
      </c>
      <c r="S147" s="3875">
        <f t="shared" si="36"/>
        <v>1</v>
      </c>
      <c r="T147" s="3875">
        <f t="shared" si="36"/>
        <v>1</v>
      </c>
      <c r="U147" s="3875">
        <f t="shared" si="36"/>
        <v>1</v>
      </c>
      <c r="V147" s="3875">
        <f t="shared" si="36"/>
        <v>1</v>
      </c>
      <c r="W147" s="3875">
        <f t="shared" si="36"/>
        <v>1</v>
      </c>
      <c r="X147" s="3875">
        <f t="shared" si="36"/>
        <v>1</v>
      </c>
      <c r="Y147" s="3875">
        <f t="shared" si="36"/>
        <v>1</v>
      </c>
      <c r="Z147" s="3875">
        <f t="shared" si="36"/>
        <v>1</v>
      </c>
      <c r="AA147" s="3875">
        <f t="shared" si="36"/>
        <v>1</v>
      </c>
      <c r="AB147" s="3875">
        <f t="shared" si="36"/>
        <v>1</v>
      </c>
      <c r="AC147" s="3875">
        <f t="shared" si="36"/>
        <v>1</v>
      </c>
      <c r="AD147" s="3875">
        <f t="shared" si="36"/>
        <v>1</v>
      </c>
      <c r="AE147" s="3875" t="e">
        <f t="shared" si="36"/>
        <v>#VALUE!</v>
      </c>
      <c r="AF147" s="3875" t="e">
        <f t="shared" si="36"/>
        <v>#VALUE!</v>
      </c>
      <c r="AG147" s="3875">
        <f t="shared" si="36"/>
        <v>1</v>
      </c>
      <c r="AH147" s="3875">
        <f t="shared" si="36"/>
        <v>1</v>
      </c>
      <c r="AI147" s="3875">
        <f t="shared" si="36"/>
        <v>1</v>
      </c>
      <c r="AJ147" s="3875">
        <f t="shared" si="36"/>
        <v>1</v>
      </c>
      <c r="AK147" s="3875">
        <f t="shared" si="36"/>
        <v>1</v>
      </c>
      <c r="AL147" s="3875" t="e">
        <f t="shared" si="36"/>
        <v>#VALUE!</v>
      </c>
      <c r="AM147" s="3875" t="e">
        <f t="shared" ref="AM147:BI147" si="37">AM29/AM144</f>
        <v>#VALUE!</v>
      </c>
      <c r="AN147" s="3875">
        <f t="shared" si="37"/>
        <v>1</v>
      </c>
      <c r="AO147" s="3875">
        <f t="shared" si="37"/>
        <v>1</v>
      </c>
      <c r="AP147" s="3875">
        <f t="shared" si="37"/>
        <v>1</v>
      </c>
      <c r="AQ147" s="3875">
        <f t="shared" si="37"/>
        <v>1</v>
      </c>
      <c r="AR147" s="3875">
        <f t="shared" si="37"/>
        <v>1</v>
      </c>
      <c r="AS147" s="3875">
        <f t="shared" si="37"/>
        <v>1</v>
      </c>
      <c r="AT147" s="3875">
        <f t="shared" si="37"/>
        <v>1</v>
      </c>
      <c r="AU147" s="3875">
        <f t="shared" si="37"/>
        <v>1</v>
      </c>
      <c r="AV147" s="3875">
        <f t="shared" si="37"/>
        <v>1</v>
      </c>
      <c r="AW147" s="3875">
        <f t="shared" si="37"/>
        <v>1</v>
      </c>
      <c r="AX147" s="3875">
        <f t="shared" si="37"/>
        <v>1</v>
      </c>
      <c r="AY147" s="3875">
        <f t="shared" si="37"/>
        <v>1</v>
      </c>
      <c r="AZ147" s="3875">
        <f t="shared" si="37"/>
        <v>1</v>
      </c>
      <c r="BA147" s="3875">
        <f t="shared" si="37"/>
        <v>1</v>
      </c>
      <c r="BB147" s="3875">
        <f t="shared" si="37"/>
        <v>1</v>
      </c>
      <c r="BC147" s="3875">
        <f t="shared" si="37"/>
        <v>1</v>
      </c>
      <c r="BD147" s="3875">
        <f t="shared" si="37"/>
        <v>1</v>
      </c>
      <c r="BE147" s="3875">
        <f t="shared" si="37"/>
        <v>1</v>
      </c>
      <c r="BF147" s="3875">
        <f t="shared" si="37"/>
        <v>1</v>
      </c>
      <c r="BG147" s="3875">
        <f t="shared" si="37"/>
        <v>1</v>
      </c>
      <c r="BH147" s="3875">
        <f t="shared" si="37"/>
        <v>1</v>
      </c>
      <c r="BI147" s="3875">
        <f t="shared" si="37"/>
        <v>1</v>
      </c>
      <c r="DT147" s="224"/>
      <c r="DU147" s="224"/>
      <c r="DV147" s="224"/>
      <c r="DW147" s="224"/>
      <c r="DX147" s="224"/>
      <c r="DY147" s="224"/>
      <c r="DZ147" s="224"/>
      <c r="EA147" s="224"/>
      <c r="EB147" s="224"/>
      <c r="EC147" s="224"/>
      <c r="ED147" s="224"/>
      <c r="EE147" s="224"/>
      <c r="EF147" s="224"/>
      <c r="EG147" s="224"/>
      <c r="EH147" s="224"/>
      <c r="EI147" s="224"/>
      <c r="EJ147" s="224"/>
      <c r="EK147" s="224"/>
      <c r="EL147" s="224"/>
      <c r="EM147" s="224"/>
    </row>
    <row r="148" spans="1:143" s="2100" customFormat="1">
      <c r="A148" s="3909"/>
      <c r="B148" s="3909"/>
      <c r="C148" s="3909"/>
      <c r="D148" s="3909"/>
      <c r="E148" s="3924" t="s">
        <v>985</v>
      </c>
      <c r="G148" s="3913" t="s">
        <v>20</v>
      </c>
      <c r="H148" s="2100">
        <f t="shared" ref="H148:AL148" si="38">H30/H145</f>
        <v>1</v>
      </c>
      <c r="I148" s="2100">
        <f t="shared" si="38"/>
        <v>1</v>
      </c>
      <c r="J148" s="2100">
        <f t="shared" si="38"/>
        <v>1</v>
      </c>
      <c r="K148" s="3875">
        <f t="shared" si="38"/>
        <v>1</v>
      </c>
      <c r="L148" s="3875">
        <f t="shared" si="38"/>
        <v>1</v>
      </c>
      <c r="M148" s="3875">
        <f t="shared" si="38"/>
        <v>1</v>
      </c>
      <c r="N148" s="3875">
        <f t="shared" si="38"/>
        <v>1</v>
      </c>
      <c r="O148" s="3875">
        <f t="shared" si="38"/>
        <v>1</v>
      </c>
      <c r="P148" s="3875">
        <f t="shared" si="38"/>
        <v>1</v>
      </c>
      <c r="Q148" s="3875">
        <f t="shared" si="38"/>
        <v>1</v>
      </c>
      <c r="R148" s="3875">
        <f t="shared" si="38"/>
        <v>1</v>
      </c>
      <c r="S148" s="3875">
        <f t="shared" si="38"/>
        <v>1</v>
      </c>
      <c r="T148" s="3875">
        <f t="shared" si="38"/>
        <v>1</v>
      </c>
      <c r="U148" s="3875">
        <f t="shared" si="38"/>
        <v>1</v>
      </c>
      <c r="V148" s="3875">
        <f t="shared" si="38"/>
        <v>1</v>
      </c>
      <c r="W148" s="3875">
        <f t="shared" si="38"/>
        <v>1</v>
      </c>
      <c r="X148" s="3875">
        <f t="shared" si="38"/>
        <v>1</v>
      </c>
      <c r="Y148" s="3875">
        <f t="shared" si="38"/>
        <v>1</v>
      </c>
      <c r="Z148" s="3875">
        <f t="shared" si="38"/>
        <v>1</v>
      </c>
      <c r="AA148" s="3875">
        <f t="shared" si="38"/>
        <v>1</v>
      </c>
      <c r="AB148" s="3875">
        <f t="shared" si="38"/>
        <v>1</v>
      </c>
      <c r="AC148" s="2100">
        <f t="shared" si="38"/>
        <v>1</v>
      </c>
      <c r="AD148" s="3875">
        <f t="shared" si="38"/>
        <v>1</v>
      </c>
      <c r="AE148" s="3875" t="e">
        <f t="shared" si="38"/>
        <v>#VALUE!</v>
      </c>
      <c r="AF148" s="3875" t="e">
        <f t="shared" si="38"/>
        <v>#VALUE!</v>
      </c>
      <c r="AG148" s="3875" t="e">
        <f t="shared" si="38"/>
        <v>#VALUE!</v>
      </c>
      <c r="AH148" s="3875" t="e">
        <f t="shared" si="38"/>
        <v>#VALUE!</v>
      </c>
      <c r="AI148" s="3875">
        <f t="shared" si="38"/>
        <v>1</v>
      </c>
      <c r="AJ148" s="3875" t="e">
        <f t="shared" si="38"/>
        <v>#VALUE!</v>
      </c>
      <c r="AK148" s="3875" t="e">
        <f t="shared" si="38"/>
        <v>#VALUE!</v>
      </c>
      <c r="AL148" s="3875" t="e">
        <f t="shared" si="38"/>
        <v>#VALUE!</v>
      </c>
      <c r="AM148" s="3875" t="e">
        <f t="shared" ref="AM148:BI148" si="39">AM30/AM145</f>
        <v>#VALUE!</v>
      </c>
      <c r="AN148" s="3875">
        <f t="shared" si="39"/>
        <v>1</v>
      </c>
      <c r="AO148" s="3875">
        <f t="shared" si="39"/>
        <v>1</v>
      </c>
      <c r="AP148" s="3875">
        <f t="shared" si="39"/>
        <v>1</v>
      </c>
      <c r="AQ148" s="3875" t="e">
        <f t="shared" si="39"/>
        <v>#VALUE!</v>
      </c>
      <c r="AR148" s="3875" t="e">
        <f t="shared" si="39"/>
        <v>#VALUE!</v>
      </c>
      <c r="AS148" s="3875" t="e">
        <f t="shared" si="39"/>
        <v>#VALUE!</v>
      </c>
      <c r="AT148" s="3875" t="e">
        <f t="shared" si="39"/>
        <v>#VALUE!</v>
      </c>
      <c r="AU148" s="3875" t="e">
        <f t="shared" si="39"/>
        <v>#VALUE!</v>
      </c>
      <c r="AV148" s="3875" t="e">
        <f t="shared" si="39"/>
        <v>#VALUE!</v>
      </c>
      <c r="AW148" s="3875" t="e">
        <f t="shared" si="39"/>
        <v>#VALUE!</v>
      </c>
      <c r="AX148" s="3875" t="e">
        <f t="shared" si="39"/>
        <v>#VALUE!</v>
      </c>
      <c r="AY148" s="3875" t="e">
        <f t="shared" si="39"/>
        <v>#VALUE!</v>
      </c>
      <c r="AZ148" s="3875" t="e">
        <f t="shared" si="39"/>
        <v>#VALUE!</v>
      </c>
      <c r="BA148" s="3875" t="e">
        <f t="shared" si="39"/>
        <v>#VALUE!</v>
      </c>
      <c r="BB148" s="3875" t="e">
        <f t="shared" si="39"/>
        <v>#VALUE!</v>
      </c>
      <c r="BC148" s="3875" t="e">
        <f t="shared" si="39"/>
        <v>#VALUE!</v>
      </c>
      <c r="BD148" s="3875">
        <f t="shared" si="39"/>
        <v>1</v>
      </c>
      <c r="BE148" s="3875">
        <f t="shared" si="39"/>
        <v>1</v>
      </c>
      <c r="BF148" s="3875">
        <f t="shared" si="39"/>
        <v>1</v>
      </c>
      <c r="BG148" s="3875">
        <f t="shared" si="39"/>
        <v>1</v>
      </c>
      <c r="BH148" s="3875">
        <f t="shared" si="39"/>
        <v>1</v>
      </c>
      <c r="BI148" s="3875">
        <f t="shared" si="39"/>
        <v>1</v>
      </c>
      <c r="DT148" s="224"/>
      <c r="DU148" s="224"/>
      <c r="DV148" s="224"/>
      <c r="DW148" s="224"/>
      <c r="DX148" s="224"/>
      <c r="DY148" s="224"/>
      <c r="DZ148" s="224"/>
      <c r="EA148" s="224"/>
      <c r="EB148" s="224"/>
      <c r="EC148" s="224"/>
      <c r="ED148" s="224"/>
      <c r="EE148" s="224"/>
      <c r="EF148" s="224"/>
      <c r="EG148" s="224"/>
      <c r="EH148" s="224"/>
      <c r="EI148" s="224"/>
      <c r="EJ148" s="224"/>
      <c r="EK148" s="224"/>
      <c r="EL148" s="224"/>
      <c r="EM148" s="224"/>
    </row>
    <row r="149" spans="1:143" s="3030" customFormat="1">
      <c r="A149" s="2126"/>
      <c r="B149" s="2126"/>
      <c r="C149" s="2126"/>
      <c r="D149" s="2126"/>
      <c r="E149" s="525"/>
      <c r="F149" s="525"/>
      <c r="G149" s="525"/>
      <c r="K149" s="3280"/>
      <c r="AB149" s="3280"/>
      <c r="AG149" s="3865"/>
      <c r="AM149" s="3041"/>
      <c r="BD149" s="3280"/>
      <c r="BF149" s="3041"/>
      <c r="BH149" s="3282"/>
    </row>
    <row r="150" spans="1:143" s="3030" customFormat="1">
      <c r="A150" s="2126"/>
      <c r="B150" s="2126"/>
      <c r="C150" s="2126"/>
      <c r="D150" s="2126"/>
      <c r="E150" s="525"/>
      <c r="F150" s="525"/>
      <c r="G150" s="525"/>
      <c r="K150" s="3280"/>
      <c r="AB150" s="3280"/>
      <c r="AG150" s="3865"/>
      <c r="AM150" s="3041"/>
      <c r="BD150" s="3280"/>
      <c r="BF150" s="3041"/>
      <c r="BH150" s="3282"/>
    </row>
    <row r="151" spans="1:143" s="3030" customFormat="1">
      <c r="A151" s="2126"/>
      <c r="B151" s="2126"/>
      <c r="C151" s="2126"/>
      <c r="D151" s="2126"/>
      <c r="E151" s="525"/>
      <c r="F151" s="525"/>
      <c r="G151" s="525"/>
      <c r="K151" s="3280"/>
      <c r="AB151" s="3280"/>
      <c r="AG151" s="3865"/>
      <c r="AM151" s="3041"/>
      <c r="BD151" s="3280"/>
      <c r="BF151" s="3041"/>
      <c r="BH151" s="3282"/>
    </row>
    <row r="152" spans="1:143" s="3030" customFormat="1">
      <c r="A152" s="2126"/>
      <c r="B152" s="2126"/>
      <c r="C152" s="2126"/>
      <c r="D152" s="2126"/>
      <c r="E152" s="525"/>
      <c r="F152" s="525"/>
      <c r="G152" s="525"/>
      <c r="K152" s="3280"/>
      <c r="AB152" s="3280"/>
      <c r="AG152" s="3865"/>
      <c r="AM152" s="3041"/>
      <c r="BD152" s="3280"/>
      <c r="BF152" s="3041"/>
      <c r="BH152" s="3282"/>
    </row>
    <row r="153" spans="1:143" s="3030" customFormat="1">
      <c r="A153" s="2126"/>
      <c r="B153" s="2126"/>
      <c r="C153" s="2126"/>
      <c r="D153" s="2126"/>
      <c r="E153" s="525"/>
      <c r="F153" s="525"/>
      <c r="G153" s="525"/>
      <c r="K153" s="3280"/>
      <c r="AB153" s="3280"/>
      <c r="AG153" s="3865"/>
      <c r="AM153" s="3041"/>
      <c r="BD153" s="3280"/>
      <c r="BF153" s="3041"/>
      <c r="BH153" s="3282"/>
    </row>
    <row r="154" spans="1:143" s="3030" customFormat="1">
      <c r="A154" s="2126"/>
      <c r="B154" s="2126"/>
      <c r="C154" s="2126"/>
      <c r="D154" s="2126"/>
      <c r="E154" s="525"/>
      <c r="F154" s="525"/>
      <c r="G154" s="525"/>
      <c r="K154" s="3280"/>
      <c r="AB154" s="3280"/>
      <c r="AG154" s="3865"/>
      <c r="AM154" s="3041"/>
      <c r="BD154" s="3280"/>
      <c r="BF154" s="3041"/>
      <c r="BH154" s="3282"/>
    </row>
    <row r="155" spans="1:143" s="3030" customFormat="1">
      <c r="A155" s="2126"/>
      <c r="B155" s="2126"/>
      <c r="C155" s="2126"/>
      <c r="D155" s="2126"/>
      <c r="E155" s="525"/>
      <c r="F155" s="525"/>
      <c r="G155" s="525"/>
      <c r="K155" s="3280"/>
      <c r="AB155" s="3280"/>
      <c r="AG155" s="3865"/>
      <c r="AM155" s="3041"/>
      <c r="BD155" s="3280"/>
      <c r="BF155" s="3041"/>
      <c r="BH155" s="3282"/>
    </row>
    <row r="156" spans="1:143" s="3030" customFormat="1">
      <c r="A156" s="2126"/>
      <c r="B156" s="2126"/>
      <c r="C156" s="2126"/>
      <c r="D156" s="2126"/>
      <c r="E156" s="525"/>
      <c r="F156" s="525"/>
      <c r="G156" s="525"/>
      <c r="K156" s="3280"/>
      <c r="AB156" s="3280"/>
      <c r="AG156" s="3865"/>
      <c r="AM156" s="3041"/>
      <c r="BD156" s="3280"/>
      <c r="BF156" s="3041"/>
      <c r="BH156" s="3282"/>
    </row>
    <row r="157" spans="1:143" s="3030" customFormat="1">
      <c r="A157" s="2126"/>
      <c r="B157" s="2126"/>
      <c r="C157" s="2126"/>
      <c r="D157" s="2126"/>
      <c r="E157" s="525"/>
      <c r="F157" s="525"/>
      <c r="G157" s="525"/>
      <c r="K157" s="3280"/>
      <c r="AB157" s="3280"/>
      <c r="AG157" s="3865"/>
      <c r="AM157" s="3041"/>
      <c r="BD157" s="3280"/>
      <c r="BF157" s="3041"/>
      <c r="BH157" s="3282"/>
    </row>
    <row r="158" spans="1:143" s="3030" customFormat="1">
      <c r="A158" s="2126"/>
      <c r="B158" s="2126"/>
      <c r="C158" s="2126"/>
      <c r="D158" s="2126"/>
      <c r="E158" s="525"/>
      <c r="F158" s="525"/>
      <c r="G158" s="525"/>
      <c r="K158" s="3280"/>
      <c r="AB158" s="3280"/>
      <c r="AG158" s="3865"/>
      <c r="AM158" s="3041"/>
      <c r="BD158" s="3280"/>
      <c r="BF158" s="3041"/>
      <c r="BH158" s="3282"/>
    </row>
    <row r="159" spans="1:143" s="3030" customFormat="1">
      <c r="A159" s="2126"/>
      <c r="B159" s="2126"/>
      <c r="C159" s="2126"/>
      <c r="D159" s="2126"/>
      <c r="E159" s="525"/>
      <c r="F159" s="525"/>
      <c r="G159" s="525"/>
      <c r="K159" s="3280"/>
      <c r="AB159" s="3280"/>
      <c r="AG159" s="3865"/>
      <c r="AM159" s="3041"/>
      <c r="BD159" s="3280"/>
      <c r="BF159" s="3041"/>
      <c r="BH159" s="3282"/>
    </row>
    <row r="160" spans="1:143" s="3030" customFormat="1">
      <c r="A160" s="2126"/>
      <c r="B160" s="2126"/>
      <c r="C160" s="2126"/>
      <c r="D160" s="2126"/>
      <c r="E160" s="525"/>
      <c r="F160" s="525"/>
      <c r="G160" s="525"/>
      <c r="K160" s="3280"/>
      <c r="AB160" s="3280"/>
      <c r="AG160" s="3865"/>
      <c r="AM160" s="3041"/>
      <c r="BD160" s="3280"/>
      <c r="BF160" s="3041"/>
      <c r="BH160" s="3282"/>
    </row>
    <row r="161" spans="1:60" s="3030" customFormat="1">
      <c r="A161" s="2126"/>
      <c r="B161" s="2126"/>
      <c r="C161" s="2126"/>
      <c r="D161" s="2126"/>
      <c r="E161" s="525"/>
      <c r="F161" s="525"/>
      <c r="G161" s="525"/>
      <c r="K161" s="3280"/>
      <c r="AB161" s="3280"/>
      <c r="AG161" s="3865"/>
      <c r="AM161" s="3041"/>
      <c r="BD161" s="3280"/>
      <c r="BF161" s="3041"/>
      <c r="BH161" s="3282"/>
    </row>
    <row r="162" spans="1:60" s="3030" customFormat="1">
      <c r="A162" s="2126"/>
      <c r="B162" s="2126"/>
      <c r="C162" s="2126"/>
      <c r="D162" s="2126"/>
      <c r="E162" s="525"/>
      <c r="F162" s="525"/>
      <c r="G162" s="525"/>
      <c r="K162" s="3280"/>
      <c r="AB162" s="3280"/>
      <c r="AG162" s="3865"/>
      <c r="AM162" s="3041"/>
      <c r="BD162" s="3280"/>
      <c r="BF162" s="3041"/>
      <c r="BH162" s="3282"/>
    </row>
    <row r="163" spans="1:60" s="3030" customFormat="1">
      <c r="A163" s="2126"/>
      <c r="B163" s="2126"/>
      <c r="C163" s="2126"/>
      <c r="D163" s="2126"/>
      <c r="E163" s="525"/>
      <c r="F163" s="525"/>
      <c r="G163" s="525"/>
      <c r="K163" s="3280"/>
      <c r="AB163" s="3280"/>
      <c r="AG163" s="3865"/>
      <c r="AM163" s="3041"/>
      <c r="BD163" s="3280"/>
      <c r="BF163" s="3041"/>
      <c r="BH163" s="3282"/>
    </row>
    <row r="164" spans="1:60" s="3030" customFormat="1">
      <c r="A164" s="2126"/>
      <c r="B164" s="2126"/>
      <c r="C164" s="2126"/>
      <c r="D164" s="2126"/>
      <c r="E164" s="525"/>
      <c r="F164" s="525"/>
      <c r="G164" s="525"/>
      <c r="K164" s="3280"/>
      <c r="AB164" s="3280"/>
      <c r="AG164" s="3865"/>
      <c r="AM164" s="3041"/>
      <c r="BD164" s="3280"/>
      <c r="BF164" s="3041"/>
      <c r="BH164" s="3282"/>
    </row>
    <row r="165" spans="1:60" s="3030" customFormat="1">
      <c r="A165" s="2126"/>
      <c r="B165" s="2126"/>
      <c r="C165" s="2126"/>
      <c r="D165" s="2126"/>
      <c r="E165" s="525"/>
      <c r="F165" s="525"/>
      <c r="G165" s="525"/>
      <c r="K165" s="3280"/>
      <c r="AB165" s="3280"/>
      <c r="AG165" s="3865"/>
      <c r="AM165" s="3041"/>
      <c r="BD165" s="3280"/>
      <c r="BF165" s="3041"/>
      <c r="BH165" s="3282"/>
    </row>
    <row r="166" spans="1:60" s="3030" customFormat="1">
      <c r="A166" s="2126"/>
      <c r="B166" s="2126"/>
      <c r="C166" s="2126"/>
      <c r="D166" s="2126"/>
      <c r="E166" s="525"/>
      <c r="F166" s="525"/>
      <c r="G166" s="525"/>
      <c r="K166" s="3280"/>
      <c r="AB166" s="3280"/>
      <c r="AG166" s="3865"/>
      <c r="AM166" s="3041"/>
      <c r="BD166" s="3280"/>
      <c r="BF166" s="3041"/>
      <c r="BH166" s="3282"/>
    </row>
    <row r="167" spans="1:60" s="3030" customFormat="1">
      <c r="A167" s="2126"/>
      <c r="B167" s="2126"/>
      <c r="C167" s="2126"/>
      <c r="D167" s="2126"/>
      <c r="E167" s="525"/>
      <c r="F167" s="525"/>
      <c r="G167" s="525"/>
      <c r="K167" s="3280"/>
      <c r="AB167" s="3280"/>
      <c r="AG167" s="3865"/>
      <c r="AM167" s="3041"/>
      <c r="BD167" s="3280"/>
      <c r="BF167" s="3041"/>
      <c r="BH167" s="3282"/>
    </row>
    <row r="168" spans="1:60" s="3030" customFormat="1">
      <c r="A168" s="2126"/>
      <c r="B168" s="2126"/>
      <c r="C168" s="2126"/>
      <c r="D168" s="2126"/>
      <c r="E168" s="525"/>
      <c r="F168" s="525"/>
      <c r="G168" s="525"/>
      <c r="K168" s="3280"/>
      <c r="AB168" s="3280"/>
      <c r="AG168" s="3865"/>
      <c r="AM168" s="3041"/>
      <c r="BD168" s="3280"/>
      <c r="BF168" s="3041"/>
      <c r="BH168" s="3282"/>
    </row>
    <row r="169" spans="1:60" s="3030" customFormat="1">
      <c r="A169" s="2126"/>
      <c r="B169" s="2126"/>
      <c r="C169" s="2126"/>
      <c r="D169" s="2126"/>
      <c r="E169" s="525"/>
      <c r="F169" s="525"/>
      <c r="G169" s="525"/>
      <c r="K169" s="3280"/>
      <c r="AB169" s="3280"/>
      <c r="AG169" s="3865"/>
      <c r="AM169" s="3041"/>
      <c r="BD169" s="3280"/>
      <c r="BF169" s="3041"/>
      <c r="BH169" s="3282"/>
    </row>
    <row r="170" spans="1:60" s="3030" customFormat="1">
      <c r="A170" s="2126"/>
      <c r="B170" s="2126"/>
      <c r="C170" s="2126"/>
      <c r="D170" s="2126"/>
      <c r="E170" s="525"/>
      <c r="F170" s="525"/>
      <c r="G170" s="525"/>
      <c r="K170" s="3280"/>
      <c r="AB170" s="3280"/>
      <c r="AG170" s="3865"/>
      <c r="AM170" s="3041"/>
      <c r="BD170" s="3280"/>
      <c r="BF170" s="3041"/>
      <c r="BH170" s="3282"/>
    </row>
    <row r="171" spans="1:60" s="3030" customFormat="1">
      <c r="A171" s="2126"/>
      <c r="B171" s="2126"/>
      <c r="C171" s="2126"/>
      <c r="D171" s="2126"/>
      <c r="E171" s="525"/>
      <c r="F171" s="525"/>
      <c r="G171" s="525"/>
      <c r="K171" s="3280"/>
      <c r="AB171" s="3280"/>
      <c r="AG171" s="3865"/>
      <c r="AM171" s="3041"/>
      <c r="BD171" s="3280"/>
      <c r="BF171" s="3041"/>
      <c r="BH171" s="3282"/>
    </row>
    <row r="172" spans="1:60" s="3030" customFormat="1">
      <c r="A172" s="2126"/>
      <c r="B172" s="2126"/>
      <c r="C172" s="2126"/>
      <c r="D172" s="2126"/>
      <c r="E172" s="525"/>
      <c r="F172" s="525"/>
      <c r="G172" s="525"/>
      <c r="K172" s="3280"/>
      <c r="AB172" s="3280"/>
      <c r="AG172" s="3865"/>
      <c r="AM172" s="3041"/>
      <c r="BD172" s="3280"/>
      <c r="BF172" s="3041"/>
      <c r="BH172" s="3282"/>
    </row>
    <row r="173" spans="1:60" s="3030" customFormat="1">
      <c r="A173" s="2126"/>
      <c r="B173" s="2126"/>
      <c r="C173" s="2126"/>
      <c r="D173" s="2126"/>
      <c r="E173" s="525"/>
      <c r="F173" s="525"/>
      <c r="G173" s="525"/>
      <c r="K173" s="3280"/>
      <c r="AB173" s="3280"/>
      <c r="AG173" s="3865"/>
      <c r="AM173" s="3041"/>
      <c r="BD173" s="3280"/>
      <c r="BF173" s="3041"/>
      <c r="BH173" s="3282"/>
    </row>
    <row r="174" spans="1:60" s="3030" customFormat="1">
      <c r="A174" s="2126"/>
      <c r="B174" s="2126"/>
      <c r="C174" s="2126"/>
      <c r="D174" s="2126"/>
      <c r="E174" s="525"/>
      <c r="F174" s="525"/>
      <c r="G174" s="525"/>
      <c r="K174" s="3280"/>
      <c r="AB174" s="3280"/>
      <c r="AG174" s="3865"/>
      <c r="AM174" s="3041"/>
      <c r="BD174" s="3280"/>
      <c r="BF174" s="3041"/>
      <c r="BH174" s="3282"/>
    </row>
    <row r="175" spans="1:60" s="3030" customFormat="1">
      <c r="A175" s="2126"/>
      <c r="B175" s="2126"/>
      <c r="C175" s="2126"/>
      <c r="D175" s="2126"/>
      <c r="E175" s="525"/>
      <c r="F175" s="525"/>
      <c r="G175" s="525"/>
      <c r="K175" s="3280"/>
      <c r="AB175" s="3280"/>
      <c r="AG175" s="3865"/>
      <c r="AM175" s="3041"/>
      <c r="BD175" s="3280"/>
      <c r="BF175" s="3041"/>
      <c r="BH175" s="3282"/>
    </row>
    <row r="176" spans="1:60" s="3030" customFormat="1">
      <c r="A176" s="2126"/>
      <c r="B176" s="2126"/>
      <c r="C176" s="2126"/>
      <c r="D176" s="2126"/>
      <c r="E176" s="525"/>
      <c r="F176" s="525"/>
      <c r="G176" s="525"/>
      <c r="K176" s="3280"/>
      <c r="AB176" s="3280"/>
      <c r="AG176" s="3865"/>
      <c r="AM176" s="3041"/>
      <c r="BD176" s="3280"/>
      <c r="BF176" s="3041"/>
      <c r="BH176" s="3282"/>
    </row>
    <row r="177" spans="1:60" s="3030" customFormat="1">
      <c r="A177" s="2126"/>
      <c r="B177" s="2126"/>
      <c r="C177" s="2126"/>
      <c r="D177" s="2126"/>
      <c r="E177" s="525"/>
      <c r="F177" s="525"/>
      <c r="G177" s="525"/>
      <c r="K177" s="3280"/>
      <c r="AB177" s="3280"/>
      <c r="AG177" s="3865"/>
      <c r="AM177" s="3041"/>
      <c r="BD177" s="3280"/>
      <c r="BF177" s="3041"/>
      <c r="BH177" s="3282"/>
    </row>
    <row r="178" spans="1:60" s="3030" customFormat="1">
      <c r="A178" s="2126"/>
      <c r="B178" s="2126"/>
      <c r="C178" s="2126"/>
      <c r="D178" s="2126"/>
      <c r="E178" s="525"/>
      <c r="F178" s="525"/>
      <c r="G178" s="525"/>
      <c r="K178" s="3280"/>
      <c r="AB178" s="3280"/>
      <c r="AG178" s="3865"/>
      <c r="AM178" s="3041"/>
      <c r="BD178" s="3280"/>
      <c r="BF178" s="3041"/>
      <c r="BH178" s="3282"/>
    </row>
    <row r="179" spans="1:60" s="3030" customFormat="1">
      <c r="A179" s="2126"/>
      <c r="B179" s="2126"/>
      <c r="C179" s="2126"/>
      <c r="D179" s="2126"/>
      <c r="E179" s="525"/>
      <c r="F179" s="525"/>
      <c r="G179" s="525"/>
      <c r="K179" s="3280"/>
      <c r="AB179" s="3280"/>
      <c r="AG179" s="3865"/>
      <c r="AM179" s="3041"/>
      <c r="BD179" s="3280"/>
      <c r="BF179" s="3041"/>
      <c r="BH179" s="3282"/>
    </row>
    <row r="180" spans="1:60" s="3030" customFormat="1">
      <c r="A180" s="2126"/>
      <c r="B180" s="2126"/>
      <c r="C180" s="2126"/>
      <c r="D180" s="2126"/>
      <c r="E180" s="525"/>
      <c r="F180" s="525"/>
      <c r="G180" s="525"/>
      <c r="K180" s="3280"/>
      <c r="AB180" s="3280"/>
      <c r="AG180" s="3865"/>
      <c r="AM180" s="3041"/>
      <c r="BD180" s="3280"/>
      <c r="BF180" s="3041"/>
      <c r="BH180" s="3282"/>
    </row>
    <row r="181" spans="1:60" s="3030" customFormat="1">
      <c r="A181" s="2126"/>
      <c r="B181" s="2126"/>
      <c r="C181" s="2126"/>
      <c r="D181" s="2126"/>
      <c r="E181" s="525"/>
      <c r="F181" s="525"/>
      <c r="G181" s="525"/>
      <c r="K181" s="3280"/>
      <c r="AB181" s="3280"/>
      <c r="AG181" s="3865"/>
      <c r="AM181" s="3041"/>
      <c r="BD181" s="3280"/>
      <c r="BF181" s="3041"/>
      <c r="BH181" s="3282"/>
    </row>
    <row r="182" spans="1:60" s="3030" customFormat="1">
      <c r="A182" s="2126"/>
      <c r="B182" s="2126"/>
      <c r="C182" s="2126"/>
      <c r="D182" s="2126"/>
      <c r="E182" s="525"/>
      <c r="F182" s="525"/>
      <c r="G182" s="525"/>
      <c r="K182" s="3280"/>
      <c r="AB182" s="3280"/>
      <c r="AG182" s="3865"/>
      <c r="AM182" s="3041"/>
      <c r="BD182" s="3280"/>
      <c r="BF182" s="3041"/>
      <c r="BH182" s="3282"/>
    </row>
    <row r="183" spans="1:60" s="3030" customFormat="1">
      <c r="A183" s="2126"/>
      <c r="B183" s="2126"/>
      <c r="C183" s="2126"/>
      <c r="D183" s="2126"/>
      <c r="E183" s="525"/>
      <c r="F183" s="525"/>
      <c r="G183" s="525"/>
      <c r="K183" s="3280"/>
      <c r="AB183" s="3280"/>
      <c r="AG183" s="3865"/>
      <c r="AM183" s="3041"/>
      <c r="BD183" s="3280"/>
      <c r="BF183" s="3041"/>
      <c r="BH183" s="3282"/>
    </row>
    <row r="184" spans="1:60" s="3030" customFormat="1">
      <c r="A184" s="2126"/>
      <c r="B184" s="2126"/>
      <c r="C184" s="2126"/>
      <c r="D184" s="2126"/>
      <c r="E184" s="525"/>
      <c r="F184" s="525"/>
      <c r="G184" s="525"/>
      <c r="K184" s="3280"/>
      <c r="AB184" s="3280"/>
      <c r="AG184" s="3865"/>
      <c r="AM184" s="3041"/>
      <c r="BD184" s="3280"/>
      <c r="BF184" s="3041"/>
      <c r="BH184" s="3282"/>
    </row>
    <row r="185" spans="1:60" s="3030" customFormat="1">
      <c r="A185" s="2126"/>
      <c r="B185" s="2126"/>
      <c r="C185" s="2126"/>
      <c r="D185" s="2126"/>
      <c r="E185" s="525"/>
      <c r="F185" s="525"/>
      <c r="G185" s="525"/>
      <c r="K185" s="3280"/>
      <c r="AB185" s="3280"/>
      <c r="AG185" s="3865"/>
      <c r="AM185" s="3041"/>
      <c r="BD185" s="3280"/>
      <c r="BF185" s="3041"/>
      <c r="BH185" s="3282"/>
    </row>
    <row r="186" spans="1:60" s="3030" customFormat="1">
      <c r="A186" s="2126"/>
      <c r="B186" s="2126"/>
      <c r="C186" s="2126"/>
      <c r="D186" s="2126"/>
      <c r="E186" s="525"/>
      <c r="F186" s="525"/>
      <c r="G186" s="525"/>
      <c r="K186" s="3280"/>
      <c r="AB186" s="3280"/>
      <c r="AG186" s="3865"/>
      <c r="AM186" s="3041"/>
      <c r="BD186" s="3280"/>
      <c r="BF186" s="3041"/>
      <c r="BH186" s="3282"/>
    </row>
    <row r="187" spans="1:60" s="3030" customFormat="1">
      <c r="A187" s="2126"/>
      <c r="B187" s="2126"/>
      <c r="C187" s="2126"/>
      <c r="D187" s="2126"/>
      <c r="E187" s="525"/>
      <c r="F187" s="525"/>
      <c r="G187" s="525"/>
      <c r="K187" s="3280"/>
      <c r="AB187" s="3280"/>
      <c r="AG187" s="3865"/>
      <c r="AM187" s="3041"/>
      <c r="BD187" s="3280"/>
      <c r="BF187" s="3041"/>
      <c r="BH187" s="3282"/>
    </row>
    <row r="188" spans="1:60" s="3030" customFormat="1">
      <c r="A188" s="2126"/>
      <c r="B188" s="2126"/>
      <c r="C188" s="2126"/>
      <c r="D188" s="2126"/>
      <c r="E188" s="525"/>
      <c r="F188" s="525"/>
      <c r="G188" s="525"/>
      <c r="K188" s="3280"/>
      <c r="AB188" s="3280"/>
      <c r="AG188" s="3865"/>
      <c r="AM188" s="3041"/>
      <c r="BD188" s="3280"/>
      <c r="BF188" s="3041"/>
      <c r="BH188" s="3282"/>
    </row>
    <row r="189" spans="1:60" s="3030" customFormat="1">
      <c r="A189" s="2126"/>
      <c r="B189" s="2126"/>
      <c r="C189" s="2126"/>
      <c r="D189" s="2126"/>
      <c r="E189" s="525"/>
      <c r="F189" s="525"/>
      <c r="G189" s="525"/>
      <c r="K189" s="3280"/>
      <c r="AB189" s="3280"/>
      <c r="AG189" s="3865"/>
      <c r="AM189" s="3041"/>
      <c r="BD189" s="3280"/>
      <c r="BF189" s="3041"/>
      <c r="BH189" s="3282"/>
    </row>
    <row r="190" spans="1:60" s="3030" customFormat="1">
      <c r="A190" s="2126"/>
      <c r="B190" s="2126"/>
      <c r="C190" s="2126"/>
      <c r="D190" s="2126"/>
      <c r="E190" s="525"/>
      <c r="F190" s="525"/>
      <c r="G190" s="525"/>
      <c r="K190" s="3280"/>
      <c r="AB190" s="3280"/>
      <c r="AG190" s="3865"/>
      <c r="AM190" s="3041"/>
      <c r="BD190" s="3280"/>
      <c r="BF190" s="3041"/>
      <c r="BH190" s="3282"/>
    </row>
    <row r="191" spans="1:60" s="3030" customFormat="1">
      <c r="A191" s="2126"/>
      <c r="B191" s="2126"/>
      <c r="C191" s="2126"/>
      <c r="D191" s="2126"/>
      <c r="E191" s="525"/>
      <c r="F191" s="525"/>
      <c r="G191" s="525"/>
      <c r="K191" s="3280"/>
      <c r="AB191" s="3280"/>
      <c r="AG191" s="3865"/>
      <c r="AM191" s="3041"/>
      <c r="BD191" s="3280"/>
      <c r="BF191" s="3041"/>
      <c r="BH191" s="3282"/>
    </row>
    <row r="192" spans="1:60" s="3030" customFormat="1">
      <c r="A192" s="2126"/>
      <c r="B192" s="2126"/>
      <c r="C192" s="2126"/>
      <c r="D192" s="2126"/>
      <c r="E192" s="525"/>
      <c r="F192" s="525"/>
      <c r="G192" s="525"/>
      <c r="K192" s="3280"/>
      <c r="AB192" s="3280"/>
      <c r="AG192" s="3865"/>
      <c r="AM192" s="3041"/>
      <c r="BD192" s="3280"/>
      <c r="BF192" s="3041"/>
      <c r="BH192" s="3282"/>
    </row>
    <row r="193" spans="1:60" s="3030" customFormat="1">
      <c r="A193" s="2126"/>
      <c r="B193" s="2126"/>
      <c r="C193" s="2126"/>
      <c r="D193" s="2126"/>
      <c r="E193" s="525"/>
      <c r="F193" s="525"/>
      <c r="G193" s="525"/>
      <c r="K193" s="3280"/>
      <c r="AB193" s="3280"/>
      <c r="AG193" s="3865"/>
      <c r="AM193" s="3041"/>
      <c r="BD193" s="3280"/>
      <c r="BF193" s="3041"/>
      <c r="BH193" s="3282"/>
    </row>
    <row r="194" spans="1:60" s="3030" customFormat="1">
      <c r="A194" s="2126"/>
      <c r="B194" s="2126"/>
      <c r="C194" s="2126"/>
      <c r="D194" s="2126"/>
      <c r="E194" s="525"/>
      <c r="F194" s="525"/>
      <c r="G194" s="525"/>
      <c r="K194" s="3280"/>
      <c r="AB194" s="3280"/>
      <c r="AG194" s="3865"/>
      <c r="AM194" s="3041"/>
      <c r="BD194" s="3280"/>
      <c r="BF194" s="3041"/>
      <c r="BH194" s="3282"/>
    </row>
    <row r="195" spans="1:60" s="3030" customFormat="1">
      <c r="A195" s="2126"/>
      <c r="B195" s="2126"/>
      <c r="C195" s="2126"/>
      <c r="D195" s="2126"/>
      <c r="E195" s="525"/>
      <c r="F195" s="525"/>
      <c r="G195" s="525"/>
      <c r="K195" s="3280"/>
      <c r="AB195" s="3280"/>
      <c r="AG195" s="3865"/>
      <c r="AM195" s="3041"/>
      <c r="BD195" s="3280"/>
      <c r="BF195" s="3041"/>
      <c r="BH195" s="3282"/>
    </row>
    <row r="196" spans="1:60" s="3030" customFormat="1">
      <c r="A196" s="2126"/>
      <c r="B196" s="2126"/>
      <c r="C196" s="2126"/>
      <c r="D196" s="2126"/>
      <c r="E196" s="525"/>
      <c r="F196" s="525"/>
      <c r="G196" s="525"/>
      <c r="K196" s="3280"/>
      <c r="AB196" s="3280"/>
      <c r="AG196" s="3865"/>
      <c r="AM196" s="3041"/>
      <c r="BD196" s="3280"/>
      <c r="BF196" s="3041"/>
      <c r="BH196" s="3282"/>
    </row>
    <row r="197" spans="1:60" s="3030" customFormat="1">
      <c r="A197" s="2126"/>
      <c r="B197" s="2126"/>
      <c r="C197" s="2126"/>
      <c r="D197" s="2126"/>
      <c r="E197" s="525"/>
      <c r="F197" s="525"/>
      <c r="G197" s="525"/>
      <c r="K197" s="3280"/>
      <c r="AB197" s="3280"/>
      <c r="AG197" s="3865"/>
      <c r="AM197" s="3041"/>
      <c r="BD197" s="3280"/>
      <c r="BF197" s="3041"/>
      <c r="BH197" s="3282"/>
    </row>
    <row r="198" spans="1:60" s="3030" customFormat="1">
      <c r="A198" s="2126"/>
      <c r="B198" s="2126"/>
      <c r="C198" s="2126"/>
      <c r="D198" s="2126"/>
      <c r="E198" s="525"/>
      <c r="F198" s="525"/>
      <c r="G198" s="525"/>
      <c r="K198" s="3280"/>
      <c r="AB198" s="3280"/>
      <c r="AG198" s="3865"/>
      <c r="AM198" s="3041"/>
      <c r="BD198" s="3280"/>
      <c r="BF198" s="3041"/>
      <c r="BH198" s="3282"/>
    </row>
    <row r="199" spans="1:60" s="3030" customFormat="1">
      <c r="A199" s="2126"/>
      <c r="B199" s="2126"/>
      <c r="C199" s="2126"/>
      <c r="D199" s="2126"/>
      <c r="E199" s="525"/>
      <c r="F199" s="525"/>
      <c r="G199" s="525"/>
      <c r="K199" s="3280"/>
      <c r="AB199" s="3280"/>
      <c r="AG199" s="3865"/>
      <c r="AM199" s="3041"/>
      <c r="BD199" s="3280"/>
      <c r="BF199" s="3041"/>
      <c r="BH199" s="3282"/>
    </row>
    <row r="200" spans="1:60" s="3030" customFormat="1">
      <c r="A200" s="2126"/>
      <c r="B200" s="2126"/>
      <c r="C200" s="2126"/>
      <c r="D200" s="2126"/>
      <c r="E200" s="525"/>
      <c r="F200" s="525"/>
      <c r="G200" s="525"/>
      <c r="K200" s="3280"/>
      <c r="AB200" s="3280"/>
      <c r="AG200" s="3865"/>
      <c r="AM200" s="3041"/>
      <c r="BD200" s="3280"/>
      <c r="BF200" s="3041"/>
      <c r="BH200" s="3282"/>
    </row>
    <row r="201" spans="1:60" s="3030" customFormat="1">
      <c r="A201" s="2126"/>
      <c r="B201" s="2126"/>
      <c r="C201" s="2126"/>
      <c r="D201" s="2126"/>
      <c r="E201" s="525"/>
      <c r="F201" s="525"/>
      <c r="G201" s="525"/>
      <c r="K201" s="3280"/>
      <c r="AB201" s="3280"/>
      <c r="AG201" s="3865"/>
      <c r="AM201" s="3041"/>
      <c r="BD201" s="3280"/>
      <c r="BF201" s="3041"/>
      <c r="BH201" s="3282"/>
    </row>
    <row r="202" spans="1:60" s="3030" customFormat="1">
      <c r="A202" s="2126"/>
      <c r="B202" s="2126"/>
      <c r="C202" s="2126"/>
      <c r="D202" s="2126"/>
      <c r="E202" s="525"/>
      <c r="F202" s="525"/>
      <c r="G202" s="525"/>
      <c r="K202" s="3280"/>
      <c r="AB202" s="3280"/>
      <c r="AG202" s="3865"/>
      <c r="AM202" s="3041"/>
      <c r="BD202" s="3280"/>
      <c r="BF202" s="3041"/>
      <c r="BH202" s="3282"/>
    </row>
    <row r="203" spans="1:60" s="3030" customFormat="1">
      <c r="A203" s="2126"/>
      <c r="B203" s="2126"/>
      <c r="C203" s="2126"/>
      <c r="D203" s="2126"/>
      <c r="E203" s="525"/>
      <c r="F203" s="525"/>
      <c r="G203" s="525"/>
      <c r="K203" s="3280"/>
      <c r="AB203" s="3280"/>
      <c r="AG203" s="3865"/>
      <c r="AM203" s="3041"/>
      <c r="BD203" s="3280"/>
      <c r="BF203" s="3041"/>
      <c r="BH203" s="3282"/>
    </row>
    <row r="204" spans="1:60" s="3030" customFormat="1">
      <c r="A204" s="2126"/>
      <c r="B204" s="2126"/>
      <c r="C204" s="2126"/>
      <c r="D204" s="2126"/>
      <c r="E204" s="525"/>
      <c r="F204" s="525"/>
      <c r="G204" s="525"/>
      <c r="K204" s="3280"/>
      <c r="AB204" s="3280"/>
      <c r="AG204" s="3865"/>
      <c r="AM204" s="3041"/>
      <c r="BD204" s="3280"/>
      <c r="BF204" s="3041"/>
      <c r="BH204" s="3282"/>
    </row>
    <row r="205" spans="1:60" s="3030" customFormat="1">
      <c r="A205" s="2126"/>
      <c r="B205" s="2126"/>
      <c r="C205" s="2126"/>
      <c r="D205" s="2126"/>
      <c r="E205" s="525"/>
      <c r="F205" s="525"/>
      <c r="G205" s="525"/>
      <c r="K205" s="3280"/>
      <c r="AB205" s="3280"/>
      <c r="AG205" s="3865"/>
      <c r="AM205" s="3041"/>
      <c r="BD205" s="3280"/>
      <c r="BF205" s="3041"/>
      <c r="BH205" s="3282"/>
    </row>
    <row r="206" spans="1:60" s="3030" customFormat="1">
      <c r="A206" s="2126"/>
      <c r="B206" s="2126"/>
      <c r="C206" s="2126"/>
      <c r="D206" s="2126"/>
      <c r="E206" s="525"/>
      <c r="F206" s="525"/>
      <c r="G206" s="525"/>
      <c r="K206" s="3280"/>
      <c r="AB206" s="3280"/>
      <c r="AG206" s="3865"/>
      <c r="AM206" s="3041"/>
      <c r="BD206" s="3280"/>
      <c r="BF206" s="3041"/>
      <c r="BH206" s="3282"/>
    </row>
    <row r="207" spans="1:60" s="3030" customFormat="1">
      <c r="A207" s="2126"/>
      <c r="B207" s="2126"/>
      <c r="C207" s="2126"/>
      <c r="D207" s="2126"/>
      <c r="E207" s="525"/>
      <c r="F207" s="525"/>
      <c r="G207" s="525"/>
      <c r="K207" s="3280"/>
      <c r="AB207" s="3280"/>
      <c r="AG207" s="3865"/>
      <c r="AM207" s="3041"/>
      <c r="BD207" s="3280"/>
      <c r="BF207" s="3041"/>
      <c r="BH207" s="3282"/>
    </row>
    <row r="208" spans="1:60" s="3030" customFormat="1">
      <c r="A208" s="2126"/>
      <c r="B208" s="2126"/>
      <c r="C208" s="2126"/>
      <c r="D208" s="2126"/>
      <c r="E208" s="525"/>
      <c r="F208" s="525"/>
      <c r="G208" s="525"/>
      <c r="K208" s="3280"/>
      <c r="AB208" s="3280"/>
      <c r="AG208" s="3865"/>
      <c r="AM208" s="3041"/>
      <c r="BD208" s="3280"/>
      <c r="BF208" s="3041"/>
      <c r="BH208" s="3282"/>
    </row>
    <row r="209" spans="1:60" s="3030" customFormat="1">
      <c r="A209" s="2126"/>
      <c r="B209" s="2126"/>
      <c r="C209" s="2126"/>
      <c r="D209" s="2126"/>
      <c r="E209" s="525"/>
      <c r="F209" s="525"/>
      <c r="G209" s="525"/>
      <c r="K209" s="3280"/>
      <c r="AB209" s="3280"/>
      <c r="AG209" s="3865"/>
      <c r="AM209" s="3041"/>
      <c r="BD209" s="3280"/>
      <c r="BF209" s="3041"/>
      <c r="BH209" s="3282"/>
    </row>
    <row r="210" spans="1:60" s="3030" customFormat="1">
      <c r="A210" s="2126"/>
      <c r="B210" s="2126"/>
      <c r="C210" s="2126"/>
      <c r="D210" s="2126"/>
      <c r="E210" s="525"/>
      <c r="F210" s="525"/>
      <c r="G210" s="525"/>
      <c r="K210" s="3280"/>
      <c r="AB210" s="3280"/>
      <c r="AG210" s="3865"/>
      <c r="AM210" s="3041"/>
      <c r="BD210" s="3280"/>
      <c r="BF210" s="3041"/>
      <c r="BH210" s="3282"/>
    </row>
    <row r="211" spans="1:60" s="3030" customFormat="1">
      <c r="A211" s="2126"/>
      <c r="B211" s="2126"/>
      <c r="C211" s="2126"/>
      <c r="D211" s="2126"/>
      <c r="E211" s="525"/>
      <c r="F211" s="525"/>
      <c r="G211" s="525"/>
      <c r="K211" s="3280"/>
      <c r="AB211" s="3280"/>
      <c r="AG211" s="3865"/>
      <c r="AM211" s="3041"/>
      <c r="BD211" s="3280"/>
      <c r="BF211" s="3041"/>
      <c r="BH211" s="3282"/>
    </row>
    <row r="212" spans="1:60" s="3030" customFormat="1">
      <c r="A212" s="2126"/>
      <c r="B212" s="2126"/>
      <c r="C212" s="2126"/>
      <c r="D212" s="2126"/>
      <c r="E212" s="525"/>
      <c r="F212" s="525"/>
      <c r="G212" s="525"/>
      <c r="K212" s="3280"/>
      <c r="AB212" s="3280"/>
      <c r="AG212" s="3865"/>
      <c r="AM212" s="3041"/>
      <c r="BD212" s="3280"/>
      <c r="BF212" s="3041"/>
      <c r="BH212" s="3282"/>
    </row>
    <row r="213" spans="1:60" s="3030" customFormat="1">
      <c r="A213" s="2126"/>
      <c r="B213" s="2126"/>
      <c r="C213" s="2126"/>
      <c r="D213" s="2126"/>
      <c r="E213" s="525"/>
      <c r="F213" s="525"/>
      <c r="G213" s="525"/>
      <c r="K213" s="3280"/>
      <c r="AB213" s="3280"/>
      <c r="AG213" s="3865"/>
      <c r="AM213" s="3041"/>
      <c r="BD213" s="3280"/>
      <c r="BF213" s="3041"/>
      <c r="BH213" s="3282"/>
    </row>
    <row r="214" spans="1:60" s="3030" customFormat="1">
      <c r="A214" s="2126"/>
      <c r="B214" s="2126"/>
      <c r="C214" s="2126"/>
      <c r="D214" s="2126"/>
      <c r="E214" s="525"/>
      <c r="F214" s="525"/>
      <c r="G214" s="525"/>
      <c r="K214" s="3280"/>
      <c r="AB214" s="3280"/>
      <c r="AG214" s="3865"/>
      <c r="AM214" s="3041"/>
      <c r="BD214" s="3280"/>
      <c r="BF214" s="3041"/>
      <c r="BH214" s="3282"/>
    </row>
    <row r="215" spans="1:60" s="3030" customFormat="1">
      <c r="A215" s="2126"/>
      <c r="B215" s="2126"/>
      <c r="C215" s="2126"/>
      <c r="D215" s="2126"/>
      <c r="E215" s="525"/>
      <c r="F215" s="525"/>
      <c r="G215" s="525"/>
      <c r="K215" s="3280"/>
      <c r="AB215" s="3280"/>
      <c r="AG215" s="3865"/>
      <c r="AM215" s="3041"/>
      <c r="BD215" s="3280"/>
      <c r="BF215" s="3041"/>
      <c r="BH215" s="3282"/>
    </row>
    <row r="216" spans="1:60" s="3030" customFormat="1">
      <c r="A216" s="2126"/>
      <c r="B216" s="2126"/>
      <c r="C216" s="2126"/>
      <c r="D216" s="2126"/>
      <c r="E216" s="525"/>
      <c r="F216" s="525"/>
      <c r="G216" s="525"/>
      <c r="K216" s="3280"/>
      <c r="AB216" s="3280"/>
      <c r="AG216" s="3865"/>
      <c r="AM216" s="3041"/>
      <c r="BD216" s="3280"/>
      <c r="BF216" s="3041"/>
      <c r="BH216" s="3282"/>
    </row>
    <row r="217" spans="1:60" s="3030" customFormat="1">
      <c r="A217" s="2126"/>
      <c r="B217" s="2126"/>
      <c r="C217" s="2126"/>
      <c r="D217" s="2126"/>
      <c r="E217" s="525"/>
      <c r="F217" s="525"/>
      <c r="G217" s="525"/>
      <c r="K217" s="3280"/>
      <c r="AB217" s="3280"/>
      <c r="AG217" s="3865"/>
      <c r="AM217" s="3041"/>
      <c r="BD217" s="3280"/>
      <c r="BF217" s="3041"/>
      <c r="BH217" s="3282"/>
    </row>
    <row r="218" spans="1:60" s="3030" customFormat="1">
      <c r="A218" s="2126"/>
      <c r="B218" s="2126"/>
      <c r="C218" s="2126"/>
      <c r="D218" s="2126"/>
      <c r="E218" s="525"/>
      <c r="F218" s="525"/>
      <c r="G218" s="525"/>
      <c r="K218" s="3280"/>
      <c r="AB218" s="3280"/>
      <c r="AG218" s="3865"/>
      <c r="AM218" s="3041"/>
      <c r="BD218" s="3280"/>
      <c r="BF218" s="3041"/>
      <c r="BH218" s="3282"/>
    </row>
    <row r="219" spans="1:60" s="3030" customFormat="1">
      <c r="A219" s="2126"/>
      <c r="B219" s="2126"/>
      <c r="C219" s="2126"/>
      <c r="D219" s="2126"/>
      <c r="E219" s="525"/>
      <c r="F219" s="525"/>
      <c r="G219" s="525"/>
      <c r="K219" s="3280"/>
      <c r="AB219" s="3280"/>
      <c r="AG219" s="3865"/>
      <c r="AM219" s="3041"/>
      <c r="BD219" s="3280"/>
      <c r="BF219" s="3041"/>
      <c r="BH219" s="3282"/>
    </row>
    <row r="220" spans="1:60" s="3030" customFormat="1">
      <c r="A220" s="2126"/>
      <c r="B220" s="2126"/>
      <c r="C220" s="2126"/>
      <c r="D220" s="2126"/>
      <c r="E220" s="525"/>
      <c r="F220" s="525"/>
      <c r="G220" s="525"/>
      <c r="K220" s="3280"/>
      <c r="AB220" s="3280"/>
      <c r="AG220" s="3865"/>
      <c r="AM220" s="3041"/>
      <c r="BD220" s="3280"/>
      <c r="BF220" s="3041"/>
      <c r="BH220" s="3282"/>
    </row>
    <row r="221" spans="1:60" s="3030" customFormat="1">
      <c r="A221" s="2126"/>
      <c r="B221" s="2126"/>
      <c r="C221" s="2126"/>
      <c r="D221" s="2126"/>
      <c r="E221" s="525"/>
      <c r="F221" s="525"/>
      <c r="G221" s="525"/>
      <c r="K221" s="3280"/>
      <c r="AB221" s="3280"/>
      <c r="AG221" s="3865"/>
      <c r="AM221" s="3041"/>
      <c r="BD221" s="3280"/>
      <c r="BF221" s="3041"/>
      <c r="BH221" s="3282"/>
    </row>
    <row r="222" spans="1:60" s="3030" customFormat="1">
      <c r="A222" s="2126"/>
      <c r="B222" s="2126"/>
      <c r="C222" s="2126"/>
      <c r="D222" s="2126"/>
      <c r="E222" s="525"/>
      <c r="F222" s="525"/>
      <c r="G222" s="525"/>
      <c r="K222" s="3280"/>
      <c r="AB222" s="3280"/>
      <c r="AG222" s="3865"/>
      <c r="AM222" s="3041"/>
      <c r="BD222" s="3280"/>
      <c r="BF222" s="3041"/>
      <c r="BH222" s="3282"/>
    </row>
    <row r="223" spans="1:60" s="3030" customFormat="1">
      <c r="A223" s="2126"/>
      <c r="B223" s="2126"/>
      <c r="C223" s="2126"/>
      <c r="D223" s="2126"/>
      <c r="E223" s="525"/>
      <c r="F223" s="525"/>
      <c r="G223" s="525"/>
      <c r="K223" s="3280"/>
      <c r="AB223" s="3280"/>
      <c r="AG223" s="3865"/>
      <c r="AM223" s="3041"/>
      <c r="BD223" s="3280"/>
      <c r="BF223" s="3041"/>
      <c r="BH223" s="3282"/>
    </row>
    <row r="224" spans="1:60" s="3030" customFormat="1">
      <c r="A224" s="2126"/>
      <c r="B224" s="2126"/>
      <c r="C224" s="2126"/>
      <c r="D224" s="2126"/>
      <c r="E224" s="525"/>
      <c r="F224" s="525"/>
      <c r="G224" s="525"/>
      <c r="K224" s="3280"/>
      <c r="AB224" s="3280"/>
      <c r="AG224" s="3865"/>
      <c r="AM224" s="3041"/>
      <c r="BD224" s="3280"/>
      <c r="BF224" s="3041"/>
      <c r="BH224" s="3282"/>
    </row>
    <row r="225" spans="1:60" s="3030" customFormat="1">
      <c r="A225" s="2126"/>
      <c r="B225" s="2126"/>
      <c r="C225" s="2126"/>
      <c r="D225" s="2126"/>
      <c r="E225" s="525"/>
      <c r="F225" s="525"/>
      <c r="G225" s="525"/>
      <c r="K225" s="3280"/>
      <c r="AB225" s="3280"/>
      <c r="AG225" s="3865"/>
      <c r="AM225" s="3041"/>
      <c r="BD225" s="3280"/>
      <c r="BF225" s="3041"/>
      <c r="BH225" s="3282"/>
    </row>
    <row r="226" spans="1:60" s="3030" customFormat="1">
      <c r="A226" s="2126"/>
      <c r="B226" s="2126"/>
      <c r="C226" s="2126"/>
      <c r="D226" s="2126"/>
      <c r="E226" s="525"/>
      <c r="F226" s="525"/>
      <c r="G226" s="525"/>
      <c r="K226" s="3280"/>
      <c r="AB226" s="3280"/>
      <c r="AG226" s="3865"/>
      <c r="AM226" s="3041"/>
      <c r="BD226" s="3280"/>
      <c r="BF226" s="3041"/>
      <c r="BH226" s="3282"/>
    </row>
    <row r="227" spans="1:60" s="3030" customFormat="1">
      <c r="A227" s="2126"/>
      <c r="B227" s="2126"/>
      <c r="C227" s="2126"/>
      <c r="D227" s="2126"/>
      <c r="E227" s="525"/>
      <c r="F227" s="525"/>
      <c r="G227" s="525"/>
      <c r="K227" s="3280"/>
      <c r="AB227" s="3280"/>
      <c r="AG227" s="3865"/>
      <c r="AM227" s="3041"/>
      <c r="BD227" s="3280"/>
      <c r="BF227" s="3041"/>
      <c r="BH227" s="3282"/>
    </row>
    <row r="228" spans="1:60" s="3030" customFormat="1">
      <c r="A228" s="2126"/>
      <c r="B228" s="2126"/>
      <c r="C228" s="2126"/>
      <c r="D228" s="2126"/>
      <c r="E228" s="525"/>
      <c r="F228" s="525"/>
      <c r="G228" s="525"/>
      <c r="K228" s="3280"/>
      <c r="AB228" s="3280"/>
      <c r="AG228" s="3865"/>
      <c r="AM228" s="3041"/>
      <c r="BD228" s="3280"/>
      <c r="BF228" s="3041"/>
      <c r="BH228" s="3282"/>
    </row>
    <row r="229" spans="1:60" s="3030" customFormat="1">
      <c r="A229" s="2126"/>
      <c r="B229" s="2126"/>
      <c r="C229" s="2126"/>
      <c r="D229" s="2126"/>
      <c r="E229" s="525"/>
      <c r="F229" s="525"/>
      <c r="G229" s="525"/>
      <c r="K229" s="3280"/>
      <c r="AB229" s="3280"/>
      <c r="AG229" s="3865"/>
      <c r="AM229" s="3041"/>
      <c r="BD229" s="3280"/>
      <c r="BF229" s="3041"/>
      <c r="BH229" s="3282"/>
    </row>
    <row r="230" spans="1:60" s="3030" customFormat="1">
      <c r="A230" s="2126"/>
      <c r="B230" s="2126"/>
      <c r="C230" s="2126"/>
      <c r="D230" s="2126"/>
      <c r="E230" s="525"/>
      <c r="F230" s="525"/>
      <c r="G230" s="525"/>
      <c r="K230" s="3280"/>
      <c r="AB230" s="3280"/>
      <c r="AG230" s="3865"/>
      <c r="AM230" s="3041"/>
      <c r="BD230" s="3280"/>
      <c r="BF230" s="3041"/>
      <c r="BH230" s="3282"/>
    </row>
    <row r="231" spans="1:60" s="3030" customFormat="1">
      <c r="A231" s="2126"/>
      <c r="B231" s="2126"/>
      <c r="C231" s="2126"/>
      <c r="D231" s="2126"/>
      <c r="E231" s="525"/>
      <c r="F231" s="525"/>
      <c r="G231" s="525"/>
      <c r="K231" s="3280"/>
      <c r="AB231" s="3280"/>
      <c r="AG231" s="3865"/>
      <c r="AM231" s="3041"/>
      <c r="BD231" s="3280"/>
      <c r="BF231" s="3041"/>
      <c r="BH231" s="3282"/>
    </row>
    <row r="232" spans="1:60" s="3030" customFormat="1">
      <c r="A232" s="2126"/>
      <c r="B232" s="2126"/>
      <c r="C232" s="2126"/>
      <c r="D232" s="2126"/>
      <c r="E232" s="525"/>
      <c r="F232" s="525"/>
      <c r="G232" s="525"/>
      <c r="K232" s="3280"/>
      <c r="AB232" s="3280"/>
      <c r="AG232" s="3865"/>
      <c r="AM232" s="3041"/>
      <c r="BD232" s="3280"/>
      <c r="BF232" s="3041"/>
      <c r="BH232" s="3282"/>
    </row>
    <row r="233" spans="1:60" s="3030" customFormat="1">
      <c r="A233" s="2126"/>
      <c r="B233" s="2126"/>
      <c r="C233" s="2126"/>
      <c r="D233" s="2126"/>
      <c r="E233" s="525"/>
      <c r="F233" s="525"/>
      <c r="G233" s="525"/>
      <c r="K233" s="3280"/>
      <c r="AB233" s="3280"/>
      <c r="AG233" s="3865"/>
      <c r="AM233" s="3041"/>
      <c r="BD233" s="3280"/>
      <c r="BF233" s="3041"/>
      <c r="BH233" s="3282"/>
    </row>
    <row r="234" spans="1:60" s="3030" customFormat="1">
      <c r="A234" s="2126"/>
      <c r="B234" s="2126"/>
      <c r="C234" s="2126"/>
      <c r="D234" s="2126"/>
      <c r="E234" s="525"/>
      <c r="F234" s="525"/>
      <c r="G234" s="525"/>
      <c r="K234" s="3280"/>
      <c r="AB234" s="3280"/>
      <c r="AG234" s="3865"/>
      <c r="AM234" s="3041"/>
      <c r="BD234" s="3280"/>
      <c r="BF234" s="3041"/>
      <c r="BH234" s="3282"/>
    </row>
    <row r="235" spans="1:60" s="3030" customFormat="1">
      <c r="A235" s="2126"/>
      <c r="B235" s="2126"/>
      <c r="C235" s="2126"/>
      <c r="D235" s="2126"/>
      <c r="E235" s="525"/>
      <c r="F235" s="525"/>
      <c r="G235" s="525"/>
      <c r="K235" s="3280"/>
      <c r="AB235" s="3280"/>
      <c r="AG235" s="3865"/>
      <c r="AM235" s="3041"/>
      <c r="BD235" s="3280"/>
      <c r="BF235" s="3041"/>
      <c r="BH235" s="3282"/>
    </row>
    <row r="236" spans="1:60" s="3030" customFormat="1">
      <c r="A236" s="2126"/>
      <c r="B236" s="2126"/>
      <c r="C236" s="2126"/>
      <c r="D236" s="2126"/>
      <c r="E236" s="525"/>
      <c r="F236" s="525"/>
      <c r="G236" s="525"/>
      <c r="K236" s="3280"/>
      <c r="AB236" s="3280"/>
      <c r="AG236" s="3865"/>
      <c r="AM236" s="3041"/>
      <c r="BD236" s="3280"/>
      <c r="BF236" s="3041"/>
      <c r="BH236" s="3282"/>
    </row>
    <row r="237" spans="1:60" s="3030" customFormat="1">
      <c r="A237" s="2126"/>
      <c r="B237" s="2126"/>
      <c r="C237" s="2126"/>
      <c r="D237" s="2126"/>
      <c r="E237" s="525"/>
      <c r="F237" s="525"/>
      <c r="G237" s="525"/>
      <c r="K237" s="3280"/>
      <c r="AB237" s="3280"/>
      <c r="AG237" s="3865"/>
      <c r="AM237" s="3041"/>
      <c r="BD237" s="3280"/>
      <c r="BF237" s="3041"/>
      <c r="BH237" s="3282"/>
    </row>
    <row r="238" spans="1:60" s="3030" customFormat="1">
      <c r="A238" s="2126"/>
      <c r="B238" s="2126"/>
      <c r="C238" s="2126"/>
      <c r="D238" s="2126"/>
      <c r="E238" s="525"/>
      <c r="F238" s="525"/>
      <c r="G238" s="525"/>
      <c r="K238" s="3280"/>
      <c r="AB238" s="3280"/>
      <c r="AG238" s="3865"/>
      <c r="AM238" s="3041"/>
      <c r="BD238" s="3280"/>
      <c r="BF238" s="3041"/>
      <c r="BH238" s="3282"/>
    </row>
    <row r="239" spans="1:60" s="3030" customFormat="1">
      <c r="A239" s="2126"/>
      <c r="B239" s="2126"/>
      <c r="C239" s="2126"/>
      <c r="D239" s="2126"/>
      <c r="E239" s="525"/>
      <c r="F239" s="525"/>
      <c r="G239" s="525"/>
      <c r="K239" s="3280"/>
      <c r="AB239" s="3280"/>
      <c r="AG239" s="3865"/>
      <c r="AM239" s="3041"/>
      <c r="BD239" s="3280"/>
      <c r="BF239" s="3041"/>
      <c r="BH239" s="3282"/>
    </row>
    <row r="240" spans="1:60" s="3030" customFormat="1">
      <c r="A240" s="2126"/>
      <c r="B240" s="2126"/>
      <c r="C240" s="2126"/>
      <c r="D240" s="2126"/>
      <c r="E240" s="525"/>
      <c r="F240" s="525"/>
      <c r="G240" s="525"/>
      <c r="K240" s="3280"/>
      <c r="AB240" s="3280"/>
      <c r="AG240" s="3865"/>
      <c r="AM240" s="3041"/>
      <c r="BD240" s="3280"/>
      <c r="BF240" s="3041"/>
      <c r="BH240" s="3282"/>
    </row>
    <row r="241" spans="1:60" s="3030" customFormat="1">
      <c r="A241" s="2126"/>
      <c r="B241" s="2126"/>
      <c r="C241" s="2126"/>
      <c r="D241" s="2126"/>
      <c r="E241" s="525"/>
      <c r="F241" s="525"/>
      <c r="G241" s="525"/>
      <c r="K241" s="3280"/>
      <c r="AB241" s="3280"/>
      <c r="AG241" s="3865"/>
      <c r="AM241" s="3041"/>
      <c r="BD241" s="3280"/>
      <c r="BF241" s="3041"/>
      <c r="BH241" s="3282"/>
    </row>
    <row r="242" spans="1:60" s="3030" customFormat="1">
      <c r="A242" s="2126"/>
      <c r="B242" s="2126"/>
      <c r="C242" s="2126"/>
      <c r="D242" s="2126"/>
      <c r="E242" s="525"/>
      <c r="F242" s="525"/>
      <c r="G242" s="525"/>
      <c r="K242" s="3280"/>
      <c r="AB242" s="3280"/>
      <c r="AG242" s="3865"/>
      <c r="AM242" s="3041"/>
      <c r="BD242" s="3280"/>
      <c r="BF242" s="3041"/>
      <c r="BH242" s="3282"/>
    </row>
    <row r="243" spans="1:60" s="3030" customFormat="1">
      <c r="A243" s="2126"/>
      <c r="B243" s="2126"/>
      <c r="C243" s="2126"/>
      <c r="D243" s="2126"/>
      <c r="E243" s="525"/>
      <c r="F243" s="525"/>
      <c r="G243" s="525"/>
      <c r="K243" s="3280"/>
      <c r="AB243" s="3280"/>
      <c r="AG243" s="3865"/>
      <c r="AM243" s="3041"/>
      <c r="BD243" s="3280"/>
      <c r="BF243" s="3041"/>
      <c r="BH243" s="3282"/>
    </row>
    <row r="244" spans="1:60" s="3030" customFormat="1">
      <c r="A244" s="2126"/>
      <c r="B244" s="2126"/>
      <c r="C244" s="2126"/>
      <c r="D244" s="2126"/>
      <c r="E244" s="525"/>
      <c r="F244" s="525"/>
      <c r="G244" s="525"/>
      <c r="K244" s="3280"/>
      <c r="AB244" s="3280"/>
      <c r="AG244" s="3865"/>
      <c r="AM244" s="3041"/>
      <c r="BD244" s="3280"/>
      <c r="BF244" s="3041"/>
      <c r="BH244" s="3282"/>
    </row>
    <row r="245" spans="1:60" s="3030" customFormat="1">
      <c r="A245" s="2126"/>
      <c r="B245" s="2126"/>
      <c r="C245" s="2126"/>
      <c r="D245" s="2126"/>
      <c r="E245" s="525"/>
      <c r="F245" s="525"/>
      <c r="G245" s="525"/>
      <c r="K245" s="3280"/>
      <c r="AB245" s="3280"/>
      <c r="AG245" s="3865"/>
      <c r="AM245" s="3041"/>
      <c r="BD245" s="3280"/>
      <c r="BF245" s="3041"/>
      <c r="BH245" s="3282"/>
    </row>
    <row r="246" spans="1:60" s="3030" customFormat="1">
      <c r="A246" s="2126"/>
      <c r="B246" s="2126"/>
      <c r="C246" s="2126"/>
      <c r="D246" s="2126"/>
      <c r="E246" s="525"/>
      <c r="F246" s="525"/>
      <c r="G246" s="525"/>
      <c r="K246" s="3280"/>
      <c r="AB246" s="3280"/>
      <c r="AG246" s="3865"/>
      <c r="AM246" s="3041"/>
      <c r="BD246" s="3280"/>
      <c r="BF246" s="3041"/>
      <c r="BH246" s="3282"/>
    </row>
    <row r="247" spans="1:60" s="3030" customFormat="1">
      <c r="A247" s="2126"/>
      <c r="B247" s="2126"/>
      <c r="C247" s="2126"/>
      <c r="D247" s="2126"/>
      <c r="E247" s="525"/>
      <c r="F247" s="525"/>
      <c r="G247" s="525"/>
      <c r="K247" s="3280"/>
      <c r="AB247" s="3280"/>
      <c r="AG247" s="3865"/>
      <c r="AM247" s="3041"/>
      <c r="BD247" s="3280"/>
      <c r="BF247" s="3041"/>
      <c r="BH247" s="3282"/>
    </row>
    <row r="248" spans="1:60" s="3030" customFormat="1">
      <c r="A248" s="2126"/>
      <c r="B248" s="2126"/>
      <c r="C248" s="2126"/>
      <c r="D248" s="2126"/>
      <c r="E248" s="525"/>
      <c r="F248" s="525"/>
      <c r="G248" s="525"/>
      <c r="K248" s="3280"/>
      <c r="AB248" s="3280"/>
      <c r="AG248" s="3865"/>
      <c r="AM248" s="3041"/>
      <c r="BD248" s="3280"/>
      <c r="BF248" s="3041"/>
      <c r="BH248" s="3282"/>
    </row>
    <row r="249" spans="1:60" s="3030" customFormat="1">
      <c r="A249" s="2126"/>
      <c r="B249" s="2126"/>
      <c r="C249" s="2126"/>
      <c r="D249" s="2126"/>
      <c r="E249" s="525"/>
      <c r="F249" s="525"/>
      <c r="G249" s="525"/>
      <c r="K249" s="3280"/>
      <c r="AB249" s="3280"/>
      <c r="AG249" s="3865"/>
      <c r="AM249" s="3041"/>
      <c r="BD249" s="3280"/>
      <c r="BF249" s="3041"/>
      <c r="BH249" s="3282"/>
    </row>
    <row r="250" spans="1:60" s="3030" customFormat="1">
      <c r="A250" s="2126"/>
      <c r="B250" s="2126"/>
      <c r="C250" s="2126"/>
      <c r="D250" s="2126"/>
      <c r="E250" s="525"/>
      <c r="F250" s="525"/>
      <c r="G250" s="525"/>
      <c r="K250" s="3280"/>
      <c r="AB250" s="3280"/>
      <c r="AG250" s="3865"/>
      <c r="AM250" s="3041"/>
      <c r="BD250" s="3280"/>
      <c r="BF250" s="3041"/>
      <c r="BH250" s="3282"/>
    </row>
    <row r="251" spans="1:60" s="3030" customFormat="1">
      <c r="A251" s="2126"/>
      <c r="B251" s="2126"/>
      <c r="C251" s="2126"/>
      <c r="D251" s="2126"/>
      <c r="E251" s="525"/>
      <c r="F251" s="525"/>
      <c r="G251" s="525"/>
      <c r="K251" s="3280"/>
      <c r="AB251" s="3280"/>
      <c r="AG251" s="3865"/>
      <c r="AM251" s="3041"/>
      <c r="BD251" s="3280"/>
      <c r="BF251" s="3041"/>
      <c r="BH251" s="3282"/>
    </row>
    <row r="252" spans="1:60" s="3030" customFormat="1">
      <c r="A252" s="2126"/>
      <c r="B252" s="2126"/>
      <c r="C252" s="2126"/>
      <c r="D252" s="2126"/>
      <c r="E252" s="525"/>
      <c r="F252" s="525"/>
      <c r="G252" s="525"/>
      <c r="K252" s="3280"/>
      <c r="AB252" s="3280"/>
      <c r="AG252" s="3865"/>
      <c r="AM252" s="3041"/>
      <c r="BD252" s="3280"/>
      <c r="BF252" s="3041"/>
      <c r="BH252" s="3282"/>
    </row>
    <row r="253" spans="1:60" s="3030" customFormat="1">
      <c r="A253" s="2126"/>
      <c r="B253" s="2126"/>
      <c r="C253" s="2126"/>
      <c r="D253" s="2126"/>
      <c r="E253" s="525"/>
      <c r="F253" s="525"/>
      <c r="G253" s="525"/>
      <c r="K253" s="3280"/>
      <c r="AB253" s="3280"/>
      <c r="AG253" s="3865"/>
      <c r="AM253" s="3041"/>
      <c r="BD253" s="3280"/>
      <c r="BF253" s="3041"/>
      <c r="BH253" s="3282"/>
    </row>
    <row r="254" spans="1:60" s="3030" customFormat="1">
      <c r="A254" s="2126"/>
      <c r="B254" s="2126"/>
      <c r="C254" s="2126"/>
      <c r="D254" s="2126"/>
      <c r="E254" s="525"/>
      <c r="F254" s="525"/>
      <c r="G254" s="525"/>
      <c r="K254" s="3280"/>
      <c r="AB254" s="3280"/>
      <c r="AG254" s="3865"/>
      <c r="AM254" s="3041"/>
      <c r="BD254" s="3280"/>
      <c r="BF254" s="3041"/>
      <c r="BH254" s="3282"/>
    </row>
    <row r="255" spans="1:60" s="3030" customFormat="1">
      <c r="A255" s="2126"/>
      <c r="B255" s="2126"/>
      <c r="C255" s="2126"/>
      <c r="D255" s="2126"/>
      <c r="E255" s="525"/>
      <c r="F255" s="525"/>
      <c r="G255" s="525"/>
      <c r="K255" s="3280"/>
      <c r="AB255" s="3280"/>
      <c r="AG255" s="3865"/>
      <c r="AM255" s="3041"/>
      <c r="BD255" s="3280"/>
      <c r="BF255" s="3041"/>
      <c r="BH255" s="3282"/>
    </row>
    <row r="256" spans="1:60" s="3030" customFormat="1">
      <c r="A256" s="2126"/>
      <c r="B256" s="2126"/>
      <c r="C256" s="2126"/>
      <c r="D256" s="2126"/>
      <c r="E256" s="525"/>
      <c r="F256" s="525"/>
      <c r="G256" s="525"/>
      <c r="K256" s="3280"/>
      <c r="AB256" s="3280"/>
      <c r="AG256" s="3865"/>
      <c r="AM256" s="3041"/>
      <c r="BD256" s="3280"/>
      <c r="BF256" s="3041"/>
      <c r="BH256" s="3282"/>
    </row>
    <row r="257" spans="1:60" s="3030" customFormat="1">
      <c r="A257" s="2126"/>
      <c r="B257" s="2126"/>
      <c r="C257" s="2126"/>
      <c r="D257" s="2126"/>
      <c r="E257" s="525"/>
      <c r="F257" s="525"/>
      <c r="G257" s="525"/>
      <c r="K257" s="3280"/>
      <c r="AB257" s="3280"/>
      <c r="AG257" s="3865"/>
      <c r="AM257" s="3041"/>
      <c r="BD257" s="3280"/>
      <c r="BF257" s="3041"/>
      <c r="BH257" s="3282"/>
    </row>
    <row r="258" spans="1:60" s="3030" customFormat="1">
      <c r="A258" s="2126"/>
      <c r="B258" s="2126"/>
      <c r="C258" s="2126"/>
      <c r="D258" s="2126"/>
      <c r="E258" s="525"/>
      <c r="F258" s="525"/>
      <c r="G258" s="525"/>
      <c r="K258" s="3280"/>
      <c r="AB258" s="3280"/>
      <c r="AG258" s="3865"/>
      <c r="AM258" s="3041"/>
      <c r="BD258" s="3280"/>
      <c r="BF258" s="3041"/>
      <c r="BH258" s="3282"/>
    </row>
    <row r="259" spans="1:60" s="3030" customFormat="1">
      <c r="A259" s="2126"/>
      <c r="B259" s="2126"/>
      <c r="C259" s="2126"/>
      <c r="D259" s="2126"/>
      <c r="E259" s="525"/>
      <c r="F259" s="525"/>
      <c r="G259" s="525"/>
      <c r="K259" s="3280"/>
      <c r="AB259" s="3280"/>
      <c r="AG259" s="3865"/>
      <c r="AM259" s="3041"/>
      <c r="BD259" s="3280"/>
      <c r="BF259" s="3041"/>
      <c r="BH259" s="3282"/>
    </row>
    <row r="260" spans="1:60" s="3030" customFormat="1">
      <c r="A260" s="2126"/>
      <c r="B260" s="2126"/>
      <c r="C260" s="2126"/>
      <c r="D260" s="2126"/>
      <c r="E260" s="525"/>
      <c r="F260" s="525"/>
      <c r="G260" s="525"/>
      <c r="K260" s="3280"/>
      <c r="AB260" s="3280"/>
      <c r="AG260" s="3865"/>
      <c r="AM260" s="3041"/>
      <c r="BD260" s="3280"/>
      <c r="BF260" s="3041"/>
      <c r="BH260" s="3282"/>
    </row>
    <row r="261" spans="1:60" s="3030" customFormat="1">
      <c r="A261" s="2126"/>
      <c r="B261" s="2126"/>
      <c r="C261" s="2126"/>
      <c r="D261" s="2126"/>
      <c r="E261" s="525"/>
      <c r="F261" s="525"/>
      <c r="G261" s="525"/>
      <c r="K261" s="3280"/>
      <c r="AB261" s="3280"/>
      <c r="AG261" s="3865"/>
      <c r="AM261" s="3041"/>
      <c r="BD261" s="3280"/>
      <c r="BF261" s="3041"/>
      <c r="BH261" s="3282"/>
    </row>
    <row r="262" spans="1:60" s="3030" customFormat="1">
      <c r="A262" s="2126"/>
      <c r="B262" s="2126"/>
      <c r="C262" s="2126"/>
      <c r="D262" s="2126"/>
      <c r="E262" s="525"/>
      <c r="F262" s="525"/>
      <c r="G262" s="525"/>
      <c r="K262" s="3280"/>
      <c r="AB262" s="3280"/>
      <c r="AG262" s="3865"/>
      <c r="AM262" s="3041"/>
      <c r="BD262" s="3280"/>
      <c r="BF262" s="3041"/>
      <c r="BH262" s="3282"/>
    </row>
    <row r="263" spans="1:60" s="3030" customFormat="1">
      <c r="A263" s="2126"/>
      <c r="B263" s="2126"/>
      <c r="C263" s="2126"/>
      <c r="D263" s="2126"/>
      <c r="E263" s="525"/>
      <c r="F263" s="525"/>
      <c r="G263" s="525"/>
      <c r="K263" s="3280"/>
      <c r="AB263" s="3280"/>
      <c r="AG263" s="3865"/>
      <c r="AM263" s="3041"/>
      <c r="BD263" s="3280"/>
      <c r="BF263" s="3041"/>
      <c r="BH263" s="3282"/>
    </row>
    <row r="264" spans="1:60" s="3030" customFormat="1">
      <c r="A264" s="2126"/>
      <c r="B264" s="2126"/>
      <c r="C264" s="2126"/>
      <c r="D264" s="2126"/>
      <c r="E264" s="525"/>
      <c r="F264" s="525"/>
      <c r="G264" s="525"/>
      <c r="K264" s="3280"/>
      <c r="AB264" s="3280"/>
      <c r="AG264" s="3865"/>
      <c r="AM264" s="3041"/>
      <c r="BD264" s="3280"/>
      <c r="BF264" s="3041"/>
      <c r="BH264" s="3282"/>
    </row>
    <row r="265" spans="1:60" s="3030" customFormat="1">
      <c r="A265" s="2126"/>
      <c r="B265" s="2126"/>
      <c r="C265" s="2126"/>
      <c r="D265" s="2126"/>
      <c r="E265" s="525"/>
      <c r="F265" s="525"/>
      <c r="G265" s="525"/>
      <c r="K265" s="3280"/>
      <c r="AB265" s="3280"/>
      <c r="AG265" s="3865"/>
      <c r="AM265" s="3041"/>
      <c r="BD265" s="3280"/>
      <c r="BF265" s="3041"/>
      <c r="BH265" s="3282"/>
    </row>
    <row r="266" spans="1:60" s="3030" customFormat="1">
      <c r="A266" s="2126"/>
      <c r="B266" s="2126"/>
      <c r="C266" s="2126"/>
      <c r="D266" s="2126"/>
      <c r="E266" s="525"/>
      <c r="F266" s="525"/>
      <c r="G266" s="525"/>
      <c r="K266" s="3280"/>
      <c r="AB266" s="3280"/>
      <c r="AG266" s="3865"/>
      <c r="AM266" s="3041"/>
      <c r="BD266" s="3280"/>
      <c r="BF266" s="3041"/>
      <c r="BH266" s="3282"/>
    </row>
    <row r="267" spans="1:60" s="3030" customFormat="1">
      <c r="A267" s="2126"/>
      <c r="B267" s="2126"/>
      <c r="C267" s="2126"/>
      <c r="D267" s="2126"/>
      <c r="E267" s="525"/>
      <c r="F267" s="525"/>
      <c r="G267" s="525"/>
      <c r="K267" s="3280"/>
      <c r="AB267" s="3280"/>
      <c r="AG267" s="3865"/>
      <c r="AM267" s="3041"/>
      <c r="BD267" s="3280"/>
      <c r="BF267" s="3041"/>
      <c r="BH267" s="3282"/>
    </row>
    <row r="268" spans="1:60" s="3030" customFormat="1">
      <c r="A268" s="2126"/>
      <c r="B268" s="2126"/>
      <c r="C268" s="2126"/>
      <c r="D268" s="2126"/>
      <c r="E268" s="525"/>
      <c r="F268" s="525"/>
      <c r="G268" s="525"/>
      <c r="K268" s="3280"/>
      <c r="AB268" s="3280"/>
      <c r="AG268" s="3865"/>
      <c r="AM268" s="3041"/>
      <c r="BD268" s="3280"/>
      <c r="BF268" s="3041"/>
      <c r="BH268" s="3282"/>
    </row>
    <row r="269" spans="1:60" s="3030" customFormat="1">
      <c r="A269" s="2126"/>
      <c r="B269" s="2126"/>
      <c r="C269" s="2126"/>
      <c r="D269" s="2126"/>
      <c r="E269" s="525"/>
      <c r="F269" s="525"/>
      <c r="G269" s="525"/>
      <c r="K269" s="3280"/>
      <c r="AB269" s="3280"/>
      <c r="AG269" s="3865"/>
      <c r="AM269" s="3041"/>
      <c r="BD269" s="3280"/>
      <c r="BF269" s="3041"/>
      <c r="BH269" s="3282"/>
    </row>
    <row r="270" spans="1:60" s="3030" customFormat="1">
      <c r="A270" s="2126"/>
      <c r="B270" s="2126"/>
      <c r="C270" s="2126"/>
      <c r="D270" s="2126"/>
      <c r="E270" s="525"/>
      <c r="F270" s="525"/>
      <c r="G270" s="525"/>
      <c r="K270" s="3280"/>
      <c r="AB270" s="3280"/>
      <c r="AG270" s="3865"/>
      <c r="AM270" s="3041"/>
      <c r="BD270" s="3280"/>
      <c r="BF270" s="3041"/>
      <c r="BH270" s="3282"/>
    </row>
    <row r="271" spans="1:60" s="3030" customFormat="1">
      <c r="A271" s="2126"/>
      <c r="B271" s="2126"/>
      <c r="C271" s="2126"/>
      <c r="D271" s="2126"/>
      <c r="E271" s="525"/>
      <c r="F271" s="525"/>
      <c r="G271" s="525"/>
      <c r="K271" s="3280"/>
      <c r="AB271" s="3280"/>
      <c r="AG271" s="3865"/>
      <c r="AM271" s="3041"/>
      <c r="BD271" s="3280"/>
      <c r="BF271" s="3041"/>
      <c r="BH271" s="3282"/>
    </row>
    <row r="272" spans="1:60" s="3030" customFormat="1">
      <c r="A272" s="2126"/>
      <c r="B272" s="2126"/>
      <c r="C272" s="2126"/>
      <c r="D272" s="2126"/>
      <c r="E272" s="525"/>
      <c r="F272" s="525"/>
      <c r="G272" s="525"/>
      <c r="K272" s="3280"/>
      <c r="AB272" s="3280"/>
      <c r="AG272" s="3865"/>
      <c r="AM272" s="3041"/>
      <c r="BD272" s="3280"/>
      <c r="BF272" s="3041"/>
      <c r="BH272" s="3282"/>
    </row>
    <row r="273" spans="1:60" s="3030" customFormat="1">
      <c r="A273" s="2126"/>
      <c r="B273" s="2126"/>
      <c r="C273" s="2126"/>
      <c r="D273" s="2126"/>
      <c r="E273" s="525"/>
      <c r="F273" s="525"/>
      <c r="G273" s="525"/>
      <c r="K273" s="3280"/>
      <c r="AB273" s="3280"/>
      <c r="AG273" s="3865"/>
      <c r="AM273" s="3041"/>
      <c r="BD273" s="3280"/>
      <c r="BF273" s="3041"/>
      <c r="BH273" s="3282"/>
    </row>
    <row r="274" spans="1:60" s="3030" customFormat="1">
      <c r="A274" s="2126"/>
      <c r="B274" s="2126"/>
      <c r="C274" s="2126"/>
      <c r="D274" s="2126"/>
      <c r="E274" s="525"/>
      <c r="F274" s="525"/>
      <c r="G274" s="525"/>
      <c r="K274" s="3280"/>
      <c r="AB274" s="3280"/>
      <c r="AG274" s="3865"/>
      <c r="AM274" s="3041"/>
      <c r="BD274" s="3280"/>
      <c r="BF274" s="3041"/>
      <c r="BH274" s="3282"/>
    </row>
    <row r="275" spans="1:60" s="3030" customFormat="1">
      <c r="A275" s="2126"/>
      <c r="B275" s="2126"/>
      <c r="C275" s="2126"/>
      <c r="D275" s="2126"/>
      <c r="E275" s="525"/>
      <c r="F275" s="525"/>
      <c r="G275" s="525"/>
      <c r="K275" s="3280"/>
      <c r="AB275" s="3280"/>
      <c r="AG275" s="3865"/>
      <c r="AM275" s="3041"/>
      <c r="BD275" s="3280"/>
      <c r="BF275" s="3041"/>
      <c r="BH275" s="3282"/>
    </row>
    <row r="276" spans="1:60" s="3030" customFormat="1">
      <c r="A276" s="2126"/>
      <c r="B276" s="2126"/>
      <c r="C276" s="2126"/>
      <c r="D276" s="2126"/>
      <c r="E276" s="525"/>
      <c r="F276" s="525"/>
      <c r="G276" s="525"/>
      <c r="K276" s="3280"/>
      <c r="AB276" s="3280"/>
      <c r="AG276" s="3865"/>
      <c r="AM276" s="3041"/>
      <c r="BD276" s="3280"/>
      <c r="BF276" s="3041"/>
      <c r="BH276" s="3282"/>
    </row>
    <row r="277" spans="1:60" s="3030" customFormat="1">
      <c r="A277" s="2126"/>
      <c r="B277" s="2126"/>
      <c r="C277" s="2126"/>
      <c r="D277" s="2126"/>
      <c r="E277" s="525"/>
      <c r="F277" s="525"/>
      <c r="G277" s="525"/>
      <c r="K277" s="3280"/>
      <c r="AB277" s="3280"/>
      <c r="AG277" s="3865"/>
      <c r="AM277" s="3041"/>
      <c r="BD277" s="3280"/>
      <c r="BF277" s="3041"/>
      <c r="BH277" s="3282"/>
    </row>
    <row r="278" spans="1:60" s="3030" customFormat="1">
      <c r="A278" s="2126"/>
      <c r="B278" s="2126"/>
      <c r="C278" s="2126"/>
      <c r="D278" s="2126"/>
      <c r="E278" s="525"/>
      <c r="F278" s="525"/>
      <c r="G278" s="525"/>
      <c r="K278" s="3280"/>
      <c r="AB278" s="3280"/>
      <c r="AG278" s="3865"/>
      <c r="AM278" s="3041"/>
      <c r="BD278" s="3280"/>
      <c r="BF278" s="3041"/>
      <c r="BH278" s="3282"/>
    </row>
    <row r="279" spans="1:60" s="3030" customFormat="1">
      <c r="A279" s="2126"/>
      <c r="B279" s="2126"/>
      <c r="C279" s="2126"/>
      <c r="D279" s="2126"/>
      <c r="E279" s="525"/>
      <c r="F279" s="525"/>
      <c r="G279" s="525"/>
      <c r="K279" s="3280"/>
      <c r="AB279" s="3280"/>
      <c r="AG279" s="3865"/>
      <c r="AM279" s="3041"/>
      <c r="BD279" s="3280"/>
      <c r="BF279" s="3041"/>
      <c r="BH279" s="3282"/>
    </row>
    <row r="280" spans="1:60" s="3030" customFormat="1">
      <c r="A280" s="2126"/>
      <c r="B280" s="2126"/>
      <c r="C280" s="2126"/>
      <c r="D280" s="2126"/>
      <c r="E280" s="525"/>
      <c r="F280" s="525"/>
      <c r="G280" s="525"/>
      <c r="K280" s="3280"/>
      <c r="AB280" s="3280"/>
      <c r="AG280" s="3865"/>
      <c r="AM280" s="3041"/>
      <c r="BD280" s="3280"/>
      <c r="BF280" s="3041"/>
      <c r="BH280" s="3282"/>
    </row>
    <row r="281" spans="1:60" s="3030" customFormat="1">
      <c r="A281" s="2126"/>
      <c r="B281" s="2126"/>
      <c r="C281" s="2126"/>
      <c r="D281" s="2126"/>
      <c r="E281" s="525"/>
      <c r="F281" s="525"/>
      <c r="G281" s="525"/>
      <c r="K281" s="3280"/>
      <c r="AB281" s="3280"/>
      <c r="AG281" s="3865"/>
      <c r="AM281" s="3041"/>
      <c r="BD281" s="3280"/>
      <c r="BF281" s="3041"/>
      <c r="BH281" s="3282"/>
    </row>
    <row r="282" spans="1:60" s="3030" customFormat="1">
      <c r="A282" s="2126"/>
      <c r="B282" s="2126"/>
      <c r="C282" s="2126"/>
      <c r="D282" s="2126"/>
      <c r="E282" s="525"/>
      <c r="F282" s="525"/>
      <c r="G282" s="525"/>
      <c r="K282" s="3280"/>
      <c r="AB282" s="3280"/>
      <c r="AG282" s="3865"/>
      <c r="AM282" s="3041"/>
      <c r="BD282" s="3280"/>
      <c r="BF282" s="3041"/>
      <c r="BH282" s="3282"/>
    </row>
    <row r="283" spans="1:60" s="3030" customFormat="1">
      <c r="A283" s="2126"/>
      <c r="B283" s="2126"/>
      <c r="C283" s="2126"/>
      <c r="D283" s="2126"/>
      <c r="E283" s="525"/>
      <c r="F283" s="525"/>
      <c r="G283" s="525"/>
      <c r="K283" s="3280"/>
      <c r="AB283" s="3280"/>
      <c r="AG283" s="3865"/>
      <c r="AM283" s="3041"/>
      <c r="BD283" s="3280"/>
      <c r="BF283" s="3041"/>
      <c r="BH283" s="3282"/>
    </row>
    <row r="284" spans="1:60" s="3030" customFormat="1">
      <c r="A284" s="2126"/>
      <c r="B284" s="2126"/>
      <c r="C284" s="2126"/>
      <c r="D284" s="2126"/>
      <c r="E284" s="525"/>
      <c r="F284" s="525"/>
      <c r="G284" s="525"/>
      <c r="K284" s="3280"/>
      <c r="AB284" s="3280"/>
      <c r="AG284" s="3865"/>
      <c r="AM284" s="3041"/>
      <c r="BD284" s="3280"/>
      <c r="BF284" s="3041"/>
      <c r="BH284" s="3282"/>
    </row>
    <row r="285" spans="1:60" s="3030" customFormat="1">
      <c r="A285" s="2126"/>
      <c r="B285" s="2126"/>
      <c r="C285" s="2126"/>
      <c r="D285" s="2126"/>
      <c r="E285" s="525"/>
      <c r="F285" s="525"/>
      <c r="G285" s="525"/>
      <c r="K285" s="3280"/>
      <c r="AB285" s="3280"/>
      <c r="AG285" s="3865"/>
      <c r="AM285" s="3041"/>
      <c r="BD285" s="3280"/>
      <c r="BF285" s="3041"/>
      <c r="BH285" s="3282"/>
    </row>
    <row r="286" spans="1:60" s="3030" customFormat="1">
      <c r="A286" s="2126"/>
      <c r="B286" s="2126"/>
      <c r="C286" s="2126"/>
      <c r="D286" s="2126"/>
      <c r="E286" s="525"/>
      <c r="F286" s="525"/>
      <c r="G286" s="525"/>
      <c r="K286" s="3280"/>
      <c r="AB286" s="3280"/>
      <c r="AG286" s="3865"/>
      <c r="AM286" s="3041"/>
      <c r="BD286" s="3280"/>
      <c r="BF286" s="3041"/>
      <c r="BH286" s="3282"/>
    </row>
    <row r="287" spans="1:60" s="3030" customFormat="1">
      <c r="A287" s="2126"/>
      <c r="B287" s="2126"/>
      <c r="C287" s="2126"/>
      <c r="D287" s="2126"/>
      <c r="E287" s="525"/>
      <c r="F287" s="525"/>
      <c r="G287" s="525"/>
      <c r="K287" s="3280"/>
      <c r="AB287" s="3280"/>
      <c r="AG287" s="3865"/>
      <c r="AM287" s="3041"/>
      <c r="BD287" s="3280"/>
      <c r="BF287" s="3041"/>
      <c r="BH287" s="3282"/>
    </row>
    <row r="288" spans="1:60" s="3030" customFormat="1">
      <c r="A288" s="2126"/>
      <c r="B288" s="2126"/>
      <c r="C288" s="2126"/>
      <c r="D288" s="2126"/>
      <c r="E288" s="525"/>
      <c r="F288" s="525"/>
      <c r="G288" s="525"/>
      <c r="K288" s="3280"/>
      <c r="AB288" s="3280"/>
      <c r="AG288" s="3865"/>
      <c r="AM288" s="3041"/>
      <c r="BD288" s="3280"/>
      <c r="BF288" s="3041"/>
      <c r="BH288" s="3282"/>
    </row>
    <row r="289" spans="1:60" s="3030" customFormat="1">
      <c r="A289" s="2126"/>
      <c r="B289" s="2126"/>
      <c r="C289" s="2126"/>
      <c r="D289" s="2126"/>
      <c r="E289" s="525"/>
      <c r="F289" s="525"/>
      <c r="G289" s="525"/>
      <c r="K289" s="3280"/>
      <c r="AB289" s="3280"/>
      <c r="AG289" s="3865"/>
      <c r="AM289" s="3041"/>
      <c r="BD289" s="3280"/>
      <c r="BF289" s="3041"/>
      <c r="BH289" s="3282"/>
    </row>
    <row r="290" spans="1:60" s="3030" customFormat="1">
      <c r="A290" s="2126"/>
      <c r="B290" s="2126"/>
      <c r="C290" s="2126"/>
      <c r="D290" s="2126"/>
      <c r="E290" s="525"/>
      <c r="F290" s="525"/>
      <c r="G290" s="525"/>
      <c r="K290" s="3280"/>
      <c r="AB290" s="3280"/>
      <c r="AG290" s="3865"/>
      <c r="AM290" s="3041"/>
      <c r="BD290" s="3280"/>
      <c r="BF290" s="3041"/>
      <c r="BH290" s="3282"/>
    </row>
    <row r="291" spans="1:60" s="3030" customFormat="1">
      <c r="A291" s="2126"/>
      <c r="B291" s="2126"/>
      <c r="C291" s="2126"/>
      <c r="D291" s="2126"/>
      <c r="E291" s="525"/>
      <c r="F291" s="525"/>
      <c r="G291" s="525"/>
      <c r="K291" s="3280"/>
      <c r="AB291" s="3280"/>
      <c r="AG291" s="3865"/>
      <c r="AM291" s="3041"/>
      <c r="BD291" s="3280"/>
      <c r="BF291" s="3041"/>
      <c r="BH291" s="3282"/>
    </row>
    <row r="292" spans="1:60" s="3030" customFormat="1">
      <c r="A292" s="2126"/>
      <c r="B292" s="2126"/>
      <c r="C292" s="2126"/>
      <c r="D292" s="2126"/>
      <c r="E292" s="525"/>
      <c r="F292" s="525"/>
      <c r="G292" s="525"/>
      <c r="K292" s="3280"/>
      <c r="AB292" s="3280"/>
      <c r="AG292" s="3865"/>
      <c r="AM292" s="3041"/>
      <c r="BD292" s="3280"/>
      <c r="BF292" s="3041"/>
      <c r="BH292" s="3282"/>
    </row>
    <row r="293" spans="1:60" s="3030" customFormat="1">
      <c r="A293" s="2126"/>
      <c r="B293" s="2126"/>
      <c r="C293" s="2126"/>
      <c r="D293" s="2126"/>
      <c r="E293" s="525"/>
      <c r="F293" s="525"/>
      <c r="G293" s="525"/>
      <c r="K293" s="3280"/>
      <c r="AB293" s="3280"/>
      <c r="AG293" s="3865"/>
      <c r="AM293" s="3041"/>
      <c r="BD293" s="3280"/>
      <c r="BF293" s="3041"/>
      <c r="BH293" s="3282"/>
    </row>
    <row r="294" spans="1:60" s="3030" customFormat="1">
      <c r="A294" s="2126"/>
      <c r="B294" s="2126"/>
      <c r="C294" s="2126"/>
      <c r="D294" s="2126"/>
      <c r="E294" s="525"/>
      <c r="F294" s="525"/>
      <c r="G294" s="525"/>
      <c r="K294" s="3280"/>
      <c r="AB294" s="3280"/>
      <c r="AG294" s="3865"/>
      <c r="AM294" s="3041"/>
      <c r="BD294" s="3280"/>
      <c r="BF294" s="3041"/>
      <c r="BH294" s="3282"/>
    </row>
    <row r="295" spans="1:60" s="3030" customFormat="1">
      <c r="A295" s="2126"/>
      <c r="B295" s="2126"/>
      <c r="C295" s="2126"/>
      <c r="D295" s="2126"/>
      <c r="E295" s="525"/>
      <c r="F295" s="525"/>
      <c r="G295" s="525"/>
      <c r="K295" s="3280"/>
      <c r="AB295" s="3280"/>
      <c r="AG295" s="3865"/>
      <c r="AM295" s="3041"/>
      <c r="BD295" s="3280"/>
      <c r="BF295" s="3041"/>
      <c r="BH295" s="3282"/>
    </row>
    <row r="296" spans="1:60" s="3030" customFormat="1">
      <c r="A296" s="2126"/>
      <c r="B296" s="2126"/>
      <c r="C296" s="2126"/>
      <c r="D296" s="2126"/>
      <c r="E296" s="525"/>
      <c r="F296" s="525"/>
      <c r="G296" s="525"/>
      <c r="K296" s="3280"/>
      <c r="AB296" s="3280"/>
      <c r="AG296" s="3865"/>
      <c r="AM296" s="3041"/>
      <c r="BD296" s="3280"/>
      <c r="BF296" s="3041"/>
      <c r="BH296" s="3282"/>
    </row>
    <row r="297" spans="1:60" s="3030" customFormat="1">
      <c r="A297" s="2126"/>
      <c r="B297" s="2126"/>
      <c r="C297" s="2126"/>
      <c r="D297" s="2126"/>
      <c r="E297" s="525"/>
      <c r="F297" s="525"/>
      <c r="G297" s="525"/>
      <c r="K297" s="3280"/>
      <c r="AB297" s="3280"/>
      <c r="AG297" s="3865"/>
      <c r="AM297" s="3041"/>
      <c r="BD297" s="3280"/>
      <c r="BF297" s="3041"/>
      <c r="BH297" s="3282"/>
    </row>
    <row r="298" spans="1:60" s="3030" customFormat="1">
      <c r="A298" s="2126"/>
      <c r="B298" s="2126"/>
      <c r="C298" s="2126"/>
      <c r="D298" s="2126"/>
      <c r="E298" s="525"/>
      <c r="F298" s="525"/>
      <c r="G298" s="525"/>
      <c r="K298" s="3280"/>
      <c r="AB298" s="3280"/>
      <c r="AG298" s="3865"/>
      <c r="AM298" s="3041"/>
      <c r="BD298" s="3280"/>
      <c r="BF298" s="3041"/>
      <c r="BH298" s="3282"/>
    </row>
    <row r="299" spans="1:60" s="3030" customFormat="1">
      <c r="A299" s="2126"/>
      <c r="B299" s="2126"/>
      <c r="C299" s="2126"/>
      <c r="D299" s="2126"/>
      <c r="E299" s="525"/>
      <c r="F299" s="525"/>
      <c r="G299" s="525"/>
      <c r="K299" s="3280"/>
      <c r="AB299" s="3280"/>
      <c r="AG299" s="3865"/>
      <c r="AM299" s="3041"/>
      <c r="BD299" s="3280"/>
      <c r="BF299" s="3041"/>
      <c r="BH299" s="3282"/>
    </row>
    <row r="300" spans="1:60" s="3030" customFormat="1">
      <c r="A300" s="2126"/>
      <c r="B300" s="2126"/>
      <c r="C300" s="2126"/>
      <c r="D300" s="2126"/>
      <c r="E300" s="525"/>
      <c r="F300" s="525"/>
      <c r="G300" s="525"/>
      <c r="K300" s="3280"/>
      <c r="AB300" s="3280"/>
      <c r="AG300" s="3865"/>
      <c r="AM300" s="3041"/>
      <c r="BD300" s="3280"/>
      <c r="BF300" s="3041"/>
      <c r="BH300" s="3282"/>
    </row>
    <row r="301" spans="1:60" s="3030" customFormat="1">
      <c r="A301" s="2126"/>
      <c r="B301" s="2126"/>
      <c r="C301" s="2126"/>
      <c r="D301" s="2126"/>
      <c r="E301" s="525"/>
      <c r="F301" s="525"/>
      <c r="G301" s="525"/>
      <c r="K301" s="3280"/>
      <c r="AB301" s="3280"/>
      <c r="AG301" s="3865"/>
      <c r="AM301" s="3041"/>
      <c r="BD301" s="3280"/>
      <c r="BF301" s="3041"/>
      <c r="BH301" s="3282"/>
    </row>
    <row r="302" spans="1:60" s="3030" customFormat="1">
      <c r="A302" s="2126"/>
      <c r="B302" s="2126"/>
      <c r="C302" s="2126"/>
      <c r="D302" s="2126"/>
      <c r="E302" s="525"/>
      <c r="F302" s="525"/>
      <c r="G302" s="525"/>
      <c r="K302" s="3280"/>
      <c r="AB302" s="3280"/>
      <c r="AG302" s="3865"/>
      <c r="AM302" s="3041"/>
      <c r="BD302" s="3280"/>
      <c r="BF302" s="3041"/>
      <c r="BH302" s="3282"/>
    </row>
    <row r="303" spans="1:60" s="3030" customFormat="1">
      <c r="A303" s="2126"/>
      <c r="B303" s="2126"/>
      <c r="C303" s="2126"/>
      <c r="D303" s="2126"/>
      <c r="E303" s="525"/>
      <c r="F303" s="525"/>
      <c r="G303" s="525"/>
      <c r="K303" s="3280"/>
      <c r="AB303" s="3280"/>
      <c r="AG303" s="3865"/>
      <c r="AM303" s="3041"/>
      <c r="BD303" s="3280"/>
      <c r="BF303" s="3041"/>
      <c r="BH303" s="3282"/>
    </row>
    <row r="304" spans="1:60" s="3030" customFormat="1">
      <c r="A304" s="2126"/>
      <c r="B304" s="2126"/>
      <c r="C304" s="2126"/>
      <c r="D304" s="2126"/>
      <c r="E304" s="525"/>
      <c r="F304" s="525"/>
      <c r="G304" s="525"/>
      <c r="K304" s="3280"/>
      <c r="AB304" s="3280"/>
      <c r="AG304" s="3865"/>
      <c r="AM304" s="3041"/>
      <c r="BD304" s="3280"/>
      <c r="BF304" s="3041"/>
      <c r="BH304" s="3282"/>
    </row>
    <row r="305" spans="1:60" s="3030" customFormat="1">
      <c r="A305" s="2126"/>
      <c r="B305" s="2126"/>
      <c r="C305" s="2126"/>
      <c r="D305" s="2126"/>
      <c r="E305" s="525"/>
      <c r="F305" s="525"/>
      <c r="G305" s="525"/>
      <c r="K305" s="3280"/>
      <c r="AB305" s="3280"/>
      <c r="AG305" s="3865"/>
      <c r="AM305" s="3041"/>
      <c r="BD305" s="3280"/>
      <c r="BF305" s="3041"/>
      <c r="BH305" s="3282"/>
    </row>
    <row r="306" spans="1:60" s="3030" customFormat="1">
      <c r="A306" s="2126"/>
      <c r="B306" s="2126"/>
      <c r="C306" s="2126"/>
      <c r="D306" s="2126"/>
      <c r="E306" s="525"/>
      <c r="F306" s="525"/>
      <c r="G306" s="525"/>
      <c r="K306" s="3280"/>
      <c r="AB306" s="3280"/>
      <c r="AG306" s="3865"/>
      <c r="AM306" s="3041"/>
      <c r="BD306" s="3280"/>
      <c r="BF306" s="3041"/>
      <c r="BH306" s="3282"/>
    </row>
    <row r="307" spans="1:60" s="3030" customFormat="1">
      <c r="A307" s="2126"/>
      <c r="B307" s="2126"/>
      <c r="C307" s="2126"/>
      <c r="D307" s="2126"/>
      <c r="E307" s="525"/>
      <c r="F307" s="525"/>
      <c r="G307" s="525"/>
      <c r="K307" s="3280"/>
      <c r="AB307" s="3280"/>
      <c r="AG307" s="3865"/>
      <c r="AM307" s="3041"/>
      <c r="BD307" s="3280"/>
      <c r="BF307" s="3041"/>
      <c r="BH307" s="3282"/>
    </row>
    <row r="308" spans="1:60" s="3030" customFormat="1">
      <c r="A308" s="2126"/>
      <c r="B308" s="2126"/>
      <c r="C308" s="2126"/>
      <c r="D308" s="2126"/>
      <c r="E308" s="525"/>
      <c r="F308" s="525"/>
      <c r="G308" s="525"/>
      <c r="K308" s="3280"/>
      <c r="AB308" s="3280"/>
      <c r="AG308" s="3865"/>
      <c r="AM308" s="3041"/>
      <c r="BD308" s="3280"/>
      <c r="BF308" s="3041"/>
      <c r="BH308" s="3282"/>
    </row>
    <row r="309" spans="1:60" s="3030" customFormat="1">
      <c r="A309" s="2126"/>
      <c r="B309" s="2126"/>
      <c r="C309" s="2126"/>
      <c r="D309" s="2126"/>
      <c r="E309" s="525"/>
      <c r="F309" s="525"/>
      <c r="G309" s="525"/>
      <c r="K309" s="3280"/>
      <c r="AB309" s="3280"/>
      <c r="AG309" s="3865"/>
      <c r="AM309" s="3041"/>
      <c r="BD309" s="3280"/>
      <c r="BF309" s="3041"/>
      <c r="BH309" s="3282"/>
    </row>
    <row r="310" spans="1:60" s="3030" customFormat="1">
      <c r="A310" s="2126"/>
      <c r="B310" s="2126"/>
      <c r="C310" s="2126"/>
      <c r="D310" s="2126"/>
      <c r="E310" s="525"/>
      <c r="F310" s="525"/>
      <c r="G310" s="525"/>
      <c r="K310" s="3280"/>
      <c r="AB310" s="3280"/>
      <c r="AG310" s="3865"/>
      <c r="AM310" s="3041"/>
      <c r="BD310" s="3280"/>
      <c r="BF310" s="3041"/>
      <c r="BH310" s="3282"/>
    </row>
    <row r="311" spans="1:60" s="3030" customFormat="1">
      <c r="A311" s="2126"/>
      <c r="B311" s="2126"/>
      <c r="C311" s="2126"/>
      <c r="D311" s="2126"/>
      <c r="E311" s="525"/>
      <c r="F311" s="525"/>
      <c r="G311" s="525"/>
      <c r="K311" s="3280"/>
      <c r="AB311" s="3280"/>
      <c r="AG311" s="3865"/>
      <c r="AM311" s="3041"/>
      <c r="BD311" s="3280"/>
      <c r="BF311" s="3041"/>
      <c r="BH311" s="3282"/>
    </row>
    <row r="312" spans="1:60" s="3030" customFormat="1">
      <c r="A312" s="2126"/>
      <c r="B312" s="2126"/>
      <c r="C312" s="2126"/>
      <c r="D312" s="2126"/>
      <c r="E312" s="525"/>
      <c r="F312" s="525"/>
      <c r="G312" s="525"/>
      <c r="K312" s="3280"/>
      <c r="AB312" s="3280"/>
      <c r="AG312" s="3865"/>
      <c r="AM312" s="3041"/>
      <c r="BD312" s="3280"/>
      <c r="BF312" s="3041"/>
      <c r="BH312" s="3282"/>
    </row>
    <row r="313" spans="1:60" s="3030" customFormat="1">
      <c r="A313" s="2126"/>
      <c r="B313" s="2126"/>
      <c r="C313" s="2126"/>
      <c r="D313" s="2126"/>
      <c r="E313" s="525"/>
      <c r="F313" s="525"/>
      <c r="G313" s="525"/>
      <c r="K313" s="3280"/>
      <c r="AB313" s="3280"/>
      <c r="AG313" s="3865"/>
      <c r="AM313" s="3041"/>
      <c r="BD313" s="3280"/>
      <c r="BF313" s="3041"/>
      <c r="BH313" s="3282"/>
    </row>
    <row r="314" spans="1:60" s="3030" customFormat="1">
      <c r="A314" s="2126"/>
      <c r="B314" s="2126"/>
      <c r="C314" s="2126"/>
      <c r="D314" s="2126"/>
      <c r="E314" s="525"/>
      <c r="F314" s="525"/>
      <c r="G314" s="525"/>
      <c r="K314" s="3280"/>
      <c r="AB314" s="3280"/>
      <c r="AG314" s="3865"/>
      <c r="AM314" s="3041"/>
      <c r="BD314" s="3280"/>
      <c r="BF314" s="3041"/>
      <c r="BH314" s="3282"/>
    </row>
    <row r="315" spans="1:60" s="3030" customFormat="1">
      <c r="A315" s="2126"/>
      <c r="B315" s="2126"/>
      <c r="C315" s="2126"/>
      <c r="D315" s="2126"/>
      <c r="E315" s="525"/>
      <c r="F315" s="525"/>
      <c r="G315" s="525"/>
      <c r="K315" s="3280"/>
      <c r="AB315" s="3280"/>
      <c r="AG315" s="3865"/>
      <c r="AM315" s="3041"/>
      <c r="BD315" s="3280"/>
      <c r="BF315" s="3041"/>
      <c r="BH315" s="3282"/>
    </row>
    <row r="316" spans="1:60" s="3030" customFormat="1">
      <c r="A316" s="2126"/>
      <c r="B316" s="2126"/>
      <c r="C316" s="2126"/>
      <c r="D316" s="2126"/>
      <c r="E316" s="525"/>
      <c r="F316" s="525"/>
      <c r="G316" s="525"/>
      <c r="K316" s="3280"/>
      <c r="AB316" s="3280"/>
      <c r="AG316" s="3865"/>
      <c r="AM316" s="3041"/>
      <c r="BD316" s="3280"/>
      <c r="BF316" s="3041"/>
      <c r="BH316" s="3282"/>
    </row>
    <row r="317" spans="1:60" s="3030" customFormat="1">
      <c r="A317" s="2126"/>
      <c r="B317" s="2126"/>
      <c r="C317" s="2126"/>
      <c r="D317" s="2126"/>
      <c r="E317" s="525"/>
      <c r="F317" s="525"/>
      <c r="G317" s="525"/>
      <c r="K317" s="3280"/>
      <c r="AB317" s="3280"/>
      <c r="AG317" s="3865"/>
      <c r="AM317" s="3041"/>
      <c r="BD317" s="3280"/>
      <c r="BF317" s="3041"/>
      <c r="BH317" s="3282"/>
    </row>
    <row r="318" spans="1:60" s="3030" customFormat="1">
      <c r="A318" s="2126"/>
      <c r="B318" s="2126"/>
      <c r="C318" s="2126"/>
      <c r="D318" s="2126"/>
      <c r="E318" s="525"/>
      <c r="F318" s="525"/>
      <c r="G318" s="525"/>
      <c r="K318" s="3280"/>
      <c r="AB318" s="3280"/>
      <c r="AG318" s="3865"/>
      <c r="AM318" s="3041"/>
      <c r="BD318" s="3280"/>
      <c r="BF318" s="3041"/>
      <c r="BH318" s="3282"/>
    </row>
    <row r="319" spans="1:60" s="3030" customFormat="1">
      <c r="A319" s="2126"/>
      <c r="B319" s="2126"/>
      <c r="C319" s="2126"/>
      <c r="D319" s="2126"/>
      <c r="E319" s="525"/>
      <c r="F319" s="525"/>
      <c r="G319" s="525"/>
      <c r="K319" s="3280"/>
      <c r="AB319" s="3280"/>
      <c r="AG319" s="3865"/>
      <c r="AM319" s="3041"/>
      <c r="BD319" s="3280"/>
      <c r="BF319" s="3041"/>
      <c r="BH319" s="3282"/>
    </row>
    <row r="320" spans="1:60" s="3030" customFormat="1">
      <c r="A320" s="2126"/>
      <c r="B320" s="2126"/>
      <c r="C320" s="2126"/>
      <c r="D320" s="2126"/>
      <c r="E320" s="525"/>
      <c r="F320" s="525"/>
      <c r="G320" s="525"/>
      <c r="K320" s="3280"/>
      <c r="AB320" s="3280"/>
      <c r="AG320" s="3865"/>
      <c r="AM320" s="3041"/>
      <c r="BD320" s="3280"/>
      <c r="BF320" s="3041"/>
      <c r="BH320" s="3282"/>
    </row>
    <row r="321" spans="1:60" s="3030" customFormat="1">
      <c r="A321" s="2126"/>
      <c r="B321" s="2126"/>
      <c r="C321" s="2126"/>
      <c r="D321" s="2126"/>
      <c r="E321" s="525"/>
      <c r="F321" s="525"/>
      <c r="G321" s="525"/>
      <c r="K321" s="3280"/>
      <c r="AB321" s="3280"/>
      <c r="AG321" s="3865"/>
      <c r="AM321" s="3041"/>
      <c r="BD321" s="3280"/>
      <c r="BF321" s="3041"/>
      <c r="BH321" s="3282"/>
    </row>
    <row r="322" spans="1:60" s="3030" customFormat="1">
      <c r="A322" s="2126"/>
      <c r="B322" s="2126"/>
      <c r="C322" s="2126"/>
      <c r="D322" s="2126"/>
      <c r="E322" s="525"/>
      <c r="F322" s="525"/>
      <c r="G322" s="525"/>
      <c r="K322" s="3280"/>
      <c r="AB322" s="3280"/>
      <c r="AG322" s="3865"/>
      <c r="AM322" s="3041"/>
      <c r="BD322" s="3280"/>
      <c r="BF322" s="3041"/>
      <c r="BH322" s="3282"/>
    </row>
    <row r="323" spans="1:60" s="3030" customFormat="1">
      <c r="A323" s="2126"/>
      <c r="B323" s="2126"/>
      <c r="C323" s="2126"/>
      <c r="D323" s="2126"/>
      <c r="E323" s="525"/>
      <c r="F323" s="525"/>
      <c r="G323" s="525"/>
      <c r="K323" s="3280"/>
      <c r="AB323" s="3280"/>
      <c r="AG323" s="3865"/>
      <c r="AM323" s="3041"/>
      <c r="BD323" s="3280"/>
      <c r="BF323" s="3041"/>
      <c r="BH323" s="3282"/>
    </row>
    <row r="324" spans="1:60" s="3030" customFormat="1">
      <c r="A324" s="2126"/>
      <c r="B324" s="2126"/>
      <c r="C324" s="2126"/>
      <c r="D324" s="2126"/>
      <c r="E324" s="525"/>
      <c r="F324" s="525"/>
      <c r="G324" s="525"/>
      <c r="K324" s="3280"/>
      <c r="AB324" s="3280"/>
      <c r="AG324" s="3865"/>
      <c r="AM324" s="3041"/>
      <c r="BD324" s="3280"/>
      <c r="BF324" s="3041"/>
      <c r="BH324" s="3282"/>
    </row>
    <row r="325" spans="1:60" s="3030" customFormat="1">
      <c r="A325" s="2126"/>
      <c r="B325" s="2126"/>
      <c r="C325" s="2126"/>
      <c r="D325" s="2126"/>
      <c r="E325" s="525"/>
      <c r="F325" s="525"/>
      <c r="G325" s="525"/>
      <c r="K325" s="3280"/>
      <c r="AB325" s="3280"/>
      <c r="AG325" s="3865"/>
      <c r="AM325" s="3041"/>
      <c r="BD325" s="3280"/>
      <c r="BF325" s="3041"/>
      <c r="BH325" s="3282"/>
    </row>
    <row r="326" spans="1:60" s="3030" customFormat="1">
      <c r="A326" s="2126"/>
      <c r="B326" s="2126"/>
      <c r="C326" s="2126"/>
      <c r="D326" s="2126"/>
      <c r="E326" s="525"/>
      <c r="F326" s="525"/>
      <c r="G326" s="525"/>
      <c r="K326" s="3280"/>
      <c r="AB326" s="3280"/>
      <c r="AG326" s="3865"/>
      <c r="AM326" s="3041"/>
      <c r="BD326" s="3280"/>
      <c r="BF326" s="3041"/>
      <c r="BH326" s="3282"/>
    </row>
    <row r="327" spans="1:60" s="3030" customFormat="1">
      <c r="A327" s="2126"/>
      <c r="B327" s="2126"/>
      <c r="C327" s="2126"/>
      <c r="D327" s="2126"/>
      <c r="E327" s="525"/>
      <c r="F327" s="525"/>
      <c r="G327" s="525"/>
      <c r="K327" s="3280"/>
      <c r="AB327" s="3280"/>
      <c r="AG327" s="3865"/>
      <c r="AM327" s="3041"/>
      <c r="BD327" s="3280"/>
      <c r="BF327" s="3041"/>
      <c r="BH327" s="3282"/>
    </row>
    <row r="328" spans="1:60" s="3030" customFormat="1">
      <c r="A328" s="2126"/>
      <c r="B328" s="2126"/>
      <c r="C328" s="2126"/>
      <c r="D328" s="2126"/>
      <c r="E328" s="525"/>
      <c r="F328" s="525"/>
      <c r="G328" s="525"/>
      <c r="K328" s="3280"/>
      <c r="AB328" s="3280"/>
      <c r="AG328" s="3865"/>
      <c r="AM328" s="3041"/>
      <c r="BD328" s="3280"/>
      <c r="BF328" s="3041"/>
      <c r="BH328" s="3282"/>
    </row>
    <row r="329" spans="1:60" s="3030" customFormat="1">
      <c r="A329" s="2126"/>
      <c r="B329" s="2126"/>
      <c r="C329" s="2126"/>
      <c r="D329" s="2126"/>
      <c r="E329" s="525"/>
      <c r="F329" s="525"/>
      <c r="G329" s="525"/>
      <c r="K329" s="3280"/>
      <c r="AB329" s="3280"/>
      <c r="AG329" s="3865"/>
      <c r="AM329" s="3041"/>
      <c r="BD329" s="3280"/>
      <c r="BF329" s="3041"/>
      <c r="BH329" s="3282"/>
    </row>
    <row r="330" spans="1:60" s="3030" customFormat="1">
      <c r="A330" s="2126"/>
      <c r="B330" s="2126"/>
      <c r="C330" s="2126"/>
      <c r="D330" s="2126"/>
      <c r="E330" s="525"/>
      <c r="F330" s="525"/>
      <c r="G330" s="525"/>
      <c r="K330" s="3280"/>
      <c r="AB330" s="3280"/>
      <c r="AG330" s="3865"/>
      <c r="AM330" s="3041"/>
      <c r="BD330" s="3280"/>
      <c r="BF330" s="3041"/>
      <c r="BH330" s="3282"/>
    </row>
    <row r="331" spans="1:60" s="3030" customFormat="1">
      <c r="A331" s="2126"/>
      <c r="B331" s="2126"/>
      <c r="C331" s="2126"/>
      <c r="D331" s="2126"/>
      <c r="E331" s="525"/>
      <c r="F331" s="525"/>
      <c r="G331" s="525"/>
      <c r="K331" s="3280"/>
      <c r="AB331" s="3280"/>
      <c r="AG331" s="3865"/>
      <c r="AM331" s="3041"/>
      <c r="BD331" s="3280"/>
      <c r="BF331" s="3041"/>
      <c r="BH331" s="3282"/>
    </row>
    <row r="332" spans="1:60" s="3030" customFormat="1">
      <c r="A332" s="2126"/>
      <c r="B332" s="2126"/>
      <c r="C332" s="2126"/>
      <c r="D332" s="2126"/>
      <c r="E332" s="525"/>
      <c r="F332" s="525"/>
      <c r="G332" s="525"/>
      <c r="K332" s="3280"/>
      <c r="AB332" s="3280"/>
      <c r="AG332" s="3865"/>
      <c r="AM332" s="3041"/>
      <c r="BD332" s="3280"/>
      <c r="BF332" s="3041"/>
      <c r="BH332" s="3282"/>
    </row>
    <row r="333" spans="1:60" s="3030" customFormat="1">
      <c r="A333" s="2126"/>
      <c r="B333" s="2126"/>
      <c r="C333" s="2126"/>
      <c r="D333" s="2126"/>
      <c r="E333" s="525"/>
      <c r="F333" s="525"/>
      <c r="G333" s="525"/>
      <c r="K333" s="3280"/>
      <c r="AB333" s="3280"/>
      <c r="AG333" s="3865"/>
      <c r="AM333" s="3041"/>
      <c r="BD333" s="3280"/>
      <c r="BF333" s="3041"/>
      <c r="BH333" s="3282"/>
    </row>
    <row r="334" spans="1:60" s="3030" customFormat="1">
      <c r="A334" s="2126"/>
      <c r="B334" s="2126"/>
      <c r="C334" s="2126"/>
      <c r="D334" s="2126"/>
      <c r="E334" s="525"/>
      <c r="F334" s="525"/>
      <c r="G334" s="525"/>
      <c r="K334" s="3280"/>
      <c r="AB334" s="3280"/>
      <c r="AG334" s="3865"/>
      <c r="AM334" s="3041"/>
      <c r="BD334" s="3280"/>
      <c r="BF334" s="3041"/>
      <c r="BH334" s="3282"/>
    </row>
    <row r="335" spans="1:60" s="3030" customFormat="1">
      <c r="A335" s="2126"/>
      <c r="B335" s="2126"/>
      <c r="C335" s="2126"/>
      <c r="D335" s="2126"/>
      <c r="E335" s="525"/>
      <c r="F335" s="525"/>
      <c r="G335" s="525"/>
      <c r="K335" s="3280"/>
      <c r="AB335" s="3280"/>
      <c r="AG335" s="3865"/>
      <c r="AM335" s="3041"/>
      <c r="BD335" s="3280"/>
      <c r="BF335" s="3041"/>
      <c r="BH335" s="3282"/>
    </row>
    <row r="336" spans="1:60" s="3030" customFormat="1">
      <c r="A336" s="2126"/>
      <c r="B336" s="2126"/>
      <c r="C336" s="2126"/>
      <c r="D336" s="2126"/>
      <c r="E336" s="525"/>
      <c r="F336" s="525"/>
      <c r="G336" s="525"/>
      <c r="K336" s="3280"/>
      <c r="AB336" s="3280"/>
      <c r="AG336" s="3865"/>
      <c r="AM336" s="3041"/>
      <c r="BD336" s="3280"/>
      <c r="BF336" s="3041"/>
      <c r="BH336" s="3282"/>
    </row>
    <row r="337" spans="1:60" s="3030" customFormat="1">
      <c r="A337" s="2126"/>
      <c r="B337" s="2126"/>
      <c r="C337" s="2126"/>
      <c r="D337" s="2126"/>
      <c r="E337" s="525"/>
      <c r="F337" s="525"/>
      <c r="G337" s="525"/>
      <c r="K337" s="3280"/>
      <c r="AB337" s="3280"/>
      <c r="AG337" s="3865"/>
      <c r="AM337" s="3041"/>
      <c r="BD337" s="3280"/>
      <c r="BF337" s="3041"/>
      <c r="BH337" s="3282"/>
    </row>
    <row r="338" spans="1:60" s="3030" customFormat="1">
      <c r="A338" s="2126"/>
      <c r="B338" s="2126"/>
      <c r="C338" s="2126"/>
      <c r="D338" s="2126"/>
      <c r="E338" s="525"/>
      <c r="F338" s="525"/>
      <c r="G338" s="525"/>
      <c r="K338" s="3280"/>
      <c r="AB338" s="3280"/>
      <c r="AG338" s="3865"/>
      <c r="AM338" s="3041"/>
      <c r="BD338" s="3280"/>
      <c r="BF338" s="3041"/>
      <c r="BH338" s="3282"/>
    </row>
    <row r="339" spans="1:60" s="3030" customFormat="1">
      <c r="A339" s="2126"/>
      <c r="B339" s="2126"/>
      <c r="C339" s="2126"/>
      <c r="D339" s="2126"/>
      <c r="E339" s="525"/>
      <c r="F339" s="525"/>
      <c r="G339" s="525"/>
      <c r="K339" s="3280"/>
      <c r="AB339" s="3280"/>
      <c r="AG339" s="3865"/>
      <c r="AM339" s="3041"/>
      <c r="BD339" s="3280"/>
      <c r="BF339" s="3041"/>
      <c r="BH339" s="3282"/>
    </row>
    <row r="340" spans="1:60" s="3030" customFormat="1">
      <c r="A340" s="2126"/>
      <c r="B340" s="2126"/>
      <c r="C340" s="2126"/>
      <c r="D340" s="2126"/>
      <c r="E340" s="525"/>
      <c r="F340" s="525"/>
      <c r="G340" s="525"/>
      <c r="K340" s="3280"/>
      <c r="AB340" s="3280"/>
      <c r="AG340" s="3865"/>
      <c r="AM340" s="3041"/>
      <c r="BD340" s="3280"/>
      <c r="BF340" s="3041"/>
      <c r="BH340" s="3282"/>
    </row>
    <row r="341" spans="1:60" s="3030" customFormat="1">
      <c r="A341" s="2126"/>
      <c r="B341" s="2126"/>
      <c r="C341" s="2126"/>
      <c r="D341" s="2126"/>
      <c r="E341" s="525"/>
      <c r="F341" s="525"/>
      <c r="G341" s="525"/>
      <c r="K341" s="3280"/>
      <c r="AB341" s="3280"/>
      <c r="AG341" s="3865"/>
      <c r="AM341" s="3041"/>
      <c r="BD341" s="3280"/>
      <c r="BF341" s="3041"/>
      <c r="BH341" s="3282"/>
    </row>
    <row r="342" spans="1:60" s="3030" customFormat="1">
      <c r="A342" s="2126"/>
      <c r="B342" s="2126"/>
      <c r="C342" s="2126"/>
      <c r="D342" s="2126"/>
      <c r="E342" s="525"/>
      <c r="F342" s="525"/>
      <c r="G342" s="525"/>
      <c r="K342" s="3280"/>
      <c r="AB342" s="3280"/>
      <c r="AG342" s="3865"/>
      <c r="AM342" s="3041"/>
      <c r="BD342" s="3280"/>
      <c r="BF342" s="3041"/>
      <c r="BH342" s="3282"/>
    </row>
    <row r="343" spans="1:60" s="3030" customFormat="1">
      <c r="A343" s="2126"/>
      <c r="B343" s="2126"/>
      <c r="C343" s="2126"/>
      <c r="D343" s="2126"/>
      <c r="E343" s="525"/>
      <c r="F343" s="525"/>
      <c r="G343" s="525"/>
      <c r="K343" s="3280"/>
      <c r="AB343" s="3280"/>
      <c r="AG343" s="3865"/>
      <c r="AM343" s="3041"/>
      <c r="BD343" s="3280"/>
      <c r="BF343" s="3041"/>
      <c r="BH343" s="3282"/>
    </row>
    <row r="344" spans="1:60" s="3030" customFormat="1">
      <c r="A344" s="2126"/>
      <c r="B344" s="2126"/>
      <c r="C344" s="2126"/>
      <c r="D344" s="2126"/>
      <c r="E344" s="525"/>
      <c r="F344" s="525"/>
      <c r="G344" s="525"/>
      <c r="K344" s="3280"/>
      <c r="AB344" s="3280"/>
      <c r="AG344" s="3865"/>
      <c r="AM344" s="3041"/>
      <c r="BD344" s="3280"/>
      <c r="BF344" s="3041"/>
      <c r="BH344" s="3282"/>
    </row>
    <row r="345" spans="1:60" s="3030" customFormat="1">
      <c r="A345" s="2126"/>
      <c r="B345" s="2126"/>
      <c r="C345" s="2126"/>
      <c r="D345" s="2126"/>
      <c r="E345" s="525"/>
      <c r="F345" s="525"/>
      <c r="G345" s="525"/>
      <c r="K345" s="3280"/>
      <c r="AB345" s="3280"/>
      <c r="AG345" s="3865"/>
      <c r="AM345" s="3041"/>
      <c r="BD345" s="3280"/>
      <c r="BF345" s="3041"/>
      <c r="BH345" s="3282"/>
    </row>
    <row r="346" spans="1:60" s="3030" customFormat="1">
      <c r="A346" s="2126"/>
      <c r="B346" s="2126"/>
      <c r="C346" s="2126"/>
      <c r="D346" s="2126"/>
      <c r="E346" s="525"/>
      <c r="F346" s="525"/>
      <c r="G346" s="525"/>
      <c r="K346" s="3280"/>
      <c r="AB346" s="3280"/>
      <c r="AG346" s="3865"/>
      <c r="AM346" s="3041"/>
      <c r="BD346" s="3280"/>
      <c r="BF346" s="3041"/>
      <c r="BH346" s="3282"/>
    </row>
    <row r="347" spans="1:60" s="3030" customFormat="1">
      <c r="A347" s="2126"/>
      <c r="B347" s="2126"/>
      <c r="C347" s="2126"/>
      <c r="D347" s="2126"/>
      <c r="E347" s="525"/>
      <c r="F347" s="525"/>
      <c r="G347" s="525"/>
      <c r="K347" s="3280"/>
      <c r="AB347" s="3280"/>
      <c r="AG347" s="3865"/>
      <c r="AM347" s="3041"/>
      <c r="BD347" s="3280"/>
      <c r="BF347" s="3041"/>
      <c r="BH347" s="3282"/>
    </row>
    <row r="348" spans="1:60" s="3030" customFormat="1">
      <c r="A348" s="2126"/>
      <c r="B348" s="2126"/>
      <c r="C348" s="2126"/>
      <c r="D348" s="2126"/>
      <c r="E348" s="525"/>
      <c r="F348" s="525"/>
      <c r="G348" s="525"/>
      <c r="K348" s="3280"/>
      <c r="AB348" s="3280"/>
      <c r="AG348" s="3865"/>
      <c r="AM348" s="3041"/>
      <c r="BD348" s="3280"/>
      <c r="BF348" s="3041"/>
      <c r="BH348" s="3282"/>
    </row>
    <row r="349" spans="1:60" s="3030" customFormat="1">
      <c r="A349" s="2126"/>
      <c r="B349" s="2126"/>
      <c r="C349" s="2126"/>
      <c r="D349" s="2126"/>
      <c r="E349" s="525"/>
      <c r="F349" s="525"/>
      <c r="G349" s="525"/>
      <c r="K349" s="3280"/>
      <c r="AB349" s="3280"/>
      <c r="AG349" s="3865"/>
      <c r="AM349" s="3041"/>
      <c r="BD349" s="3280"/>
      <c r="BF349" s="3041"/>
      <c r="BH349" s="3282"/>
    </row>
    <row r="350" spans="1:60" s="3030" customFormat="1">
      <c r="A350" s="2126"/>
      <c r="B350" s="2126"/>
      <c r="C350" s="2126"/>
      <c r="D350" s="2126"/>
      <c r="E350" s="525"/>
      <c r="F350" s="525"/>
      <c r="G350" s="525"/>
      <c r="K350" s="3280"/>
      <c r="AB350" s="3280"/>
      <c r="AG350" s="3865"/>
      <c r="AM350" s="3041"/>
      <c r="BD350" s="3280"/>
      <c r="BF350" s="3041"/>
      <c r="BH350" s="3282"/>
    </row>
    <row r="351" spans="1:60" s="3030" customFormat="1">
      <c r="A351" s="2126"/>
      <c r="B351" s="2126"/>
      <c r="C351" s="2126"/>
      <c r="D351" s="2126"/>
      <c r="E351" s="525"/>
      <c r="F351" s="525"/>
      <c r="G351" s="525"/>
      <c r="K351" s="3280"/>
      <c r="AB351" s="3280"/>
      <c r="AG351" s="3865"/>
      <c r="AM351" s="3041"/>
      <c r="BD351" s="3280"/>
      <c r="BF351" s="3041"/>
      <c r="BH351" s="3282"/>
    </row>
    <row r="352" spans="1:60" s="3030" customFormat="1">
      <c r="A352" s="2126"/>
      <c r="B352" s="2126"/>
      <c r="C352" s="2126"/>
      <c r="D352" s="2126"/>
      <c r="E352" s="525"/>
      <c r="F352" s="525"/>
      <c r="G352" s="525"/>
      <c r="K352" s="3280"/>
      <c r="AB352" s="3280"/>
      <c r="AG352" s="3865"/>
      <c r="AM352" s="3041"/>
      <c r="BD352" s="3280"/>
      <c r="BF352" s="3041"/>
      <c r="BH352" s="3282"/>
    </row>
    <row r="353" spans="1:60" s="3030" customFormat="1">
      <c r="A353" s="2126"/>
      <c r="B353" s="2126"/>
      <c r="C353" s="2126"/>
      <c r="D353" s="2126"/>
      <c r="E353" s="525"/>
      <c r="F353" s="525"/>
      <c r="G353" s="525"/>
      <c r="K353" s="3280"/>
      <c r="AB353" s="3280"/>
      <c r="AG353" s="3865"/>
      <c r="AM353" s="3041"/>
      <c r="BD353" s="3280"/>
      <c r="BF353" s="3041"/>
      <c r="BH353" s="3282"/>
    </row>
    <row r="354" spans="1:60" s="3030" customFormat="1">
      <c r="A354" s="2126"/>
      <c r="B354" s="2126"/>
      <c r="C354" s="2126"/>
      <c r="D354" s="2126"/>
      <c r="E354" s="525"/>
      <c r="F354" s="525"/>
      <c r="G354" s="525"/>
      <c r="K354" s="3280"/>
      <c r="AB354" s="3280"/>
      <c r="AG354" s="3865"/>
      <c r="AM354" s="3041"/>
      <c r="BD354" s="3280"/>
      <c r="BF354" s="3041"/>
      <c r="BH354" s="3282"/>
    </row>
    <row r="355" spans="1:60" s="3030" customFormat="1">
      <c r="A355" s="2126"/>
      <c r="B355" s="2126"/>
      <c r="C355" s="2126"/>
      <c r="D355" s="2126"/>
      <c r="E355" s="525"/>
      <c r="F355" s="525"/>
      <c r="G355" s="525"/>
      <c r="K355" s="3280"/>
      <c r="AB355" s="3280"/>
      <c r="AG355" s="3865"/>
      <c r="AM355" s="3041"/>
      <c r="BD355" s="3280"/>
      <c r="BF355" s="3041"/>
      <c r="BH355" s="3282"/>
    </row>
    <row r="356" spans="1:60" s="3030" customFormat="1">
      <c r="A356" s="2126"/>
      <c r="B356" s="2126"/>
      <c r="C356" s="2126"/>
      <c r="D356" s="2126"/>
      <c r="E356" s="525"/>
      <c r="F356" s="525"/>
      <c r="G356" s="525"/>
      <c r="K356" s="3280"/>
      <c r="AB356" s="3280"/>
      <c r="AG356" s="3865"/>
      <c r="AM356" s="3041"/>
      <c r="BD356" s="3280"/>
      <c r="BF356" s="3041"/>
      <c r="BH356" s="3282"/>
    </row>
    <row r="357" spans="1:60" s="3030" customFormat="1">
      <c r="A357" s="2126"/>
      <c r="B357" s="2126"/>
      <c r="C357" s="2126"/>
      <c r="D357" s="2126"/>
      <c r="E357" s="525"/>
      <c r="F357" s="525"/>
      <c r="G357" s="525"/>
      <c r="K357" s="3280"/>
      <c r="AB357" s="3280"/>
      <c r="AG357" s="3865"/>
      <c r="AM357" s="3041"/>
      <c r="BD357" s="3280"/>
      <c r="BF357" s="3041"/>
      <c r="BH357" s="3282"/>
    </row>
    <row r="358" spans="1:60" s="3030" customFormat="1">
      <c r="A358" s="2126"/>
      <c r="B358" s="2126"/>
      <c r="C358" s="2126"/>
      <c r="D358" s="2126"/>
      <c r="E358" s="525"/>
      <c r="F358" s="525"/>
      <c r="G358" s="525"/>
      <c r="K358" s="3280"/>
      <c r="AB358" s="3280"/>
      <c r="AG358" s="3865"/>
      <c r="AM358" s="3041"/>
      <c r="BD358" s="3280"/>
      <c r="BF358" s="3041"/>
      <c r="BH358" s="3282"/>
    </row>
    <row r="359" spans="1:60" s="3030" customFormat="1">
      <c r="A359" s="2126"/>
      <c r="B359" s="2126"/>
      <c r="C359" s="2126"/>
      <c r="D359" s="2126"/>
      <c r="E359" s="525"/>
      <c r="F359" s="525"/>
      <c r="G359" s="525"/>
      <c r="K359" s="3280"/>
      <c r="AB359" s="3280"/>
      <c r="AG359" s="3865"/>
      <c r="AM359" s="3041"/>
      <c r="BD359" s="3280"/>
      <c r="BF359" s="3041"/>
      <c r="BH359" s="3282"/>
    </row>
    <row r="360" spans="1:60" s="3030" customFormat="1">
      <c r="A360" s="2126"/>
      <c r="B360" s="2126"/>
      <c r="C360" s="2126"/>
      <c r="D360" s="2126"/>
      <c r="E360" s="525"/>
      <c r="F360" s="525"/>
      <c r="G360" s="525"/>
      <c r="K360" s="3280"/>
      <c r="AB360" s="3280"/>
      <c r="AG360" s="3865"/>
      <c r="AM360" s="3041"/>
      <c r="BD360" s="3280"/>
      <c r="BF360" s="3041"/>
      <c r="BH360" s="3282"/>
    </row>
    <row r="361" spans="1:60" s="3030" customFormat="1">
      <c r="A361" s="2126"/>
      <c r="B361" s="2126"/>
      <c r="C361" s="2126"/>
      <c r="D361" s="2126"/>
      <c r="E361" s="525"/>
      <c r="F361" s="525"/>
      <c r="G361" s="525"/>
      <c r="K361" s="3280"/>
      <c r="AB361" s="3280"/>
      <c r="AG361" s="3865"/>
      <c r="AM361" s="3041"/>
      <c r="BD361" s="3280"/>
      <c r="BF361" s="3041"/>
      <c r="BH361" s="3282"/>
    </row>
    <row r="362" spans="1:60" s="3030" customFormat="1">
      <c r="A362" s="2126"/>
      <c r="B362" s="2126"/>
      <c r="C362" s="2126"/>
      <c r="D362" s="2126"/>
      <c r="E362" s="525"/>
      <c r="F362" s="525"/>
      <c r="G362" s="525"/>
      <c r="K362" s="3280"/>
      <c r="AB362" s="3280"/>
      <c r="AG362" s="3865"/>
      <c r="AM362" s="3041"/>
      <c r="BD362" s="3280"/>
      <c r="BF362" s="3041"/>
      <c r="BH362" s="3282"/>
    </row>
    <row r="363" spans="1:60" s="3030" customFormat="1">
      <c r="A363" s="2126"/>
      <c r="B363" s="2126"/>
      <c r="C363" s="2126"/>
      <c r="D363" s="2126"/>
      <c r="E363" s="525"/>
      <c r="F363" s="525"/>
      <c r="G363" s="525"/>
      <c r="K363" s="3280"/>
      <c r="AB363" s="3280"/>
      <c r="AG363" s="3865"/>
      <c r="AM363" s="3041"/>
      <c r="BD363" s="3280"/>
      <c r="BF363" s="3041"/>
      <c r="BH363" s="3282"/>
    </row>
    <row r="364" spans="1:60" s="3030" customFormat="1">
      <c r="A364" s="2126"/>
      <c r="B364" s="2126"/>
      <c r="C364" s="2126"/>
      <c r="D364" s="2126"/>
      <c r="E364" s="525"/>
      <c r="F364" s="525"/>
      <c r="G364" s="525"/>
      <c r="K364" s="3280"/>
      <c r="AB364" s="3280"/>
      <c r="AG364" s="3865"/>
      <c r="AM364" s="3041"/>
      <c r="BD364" s="3280"/>
      <c r="BF364" s="3041"/>
      <c r="BH364" s="3282"/>
    </row>
    <row r="365" spans="1:60" s="3030" customFormat="1">
      <c r="A365" s="2126"/>
      <c r="B365" s="2126"/>
      <c r="C365" s="2126"/>
      <c r="D365" s="2126"/>
      <c r="E365" s="525"/>
      <c r="F365" s="525"/>
      <c r="G365" s="525"/>
      <c r="K365" s="3280"/>
      <c r="AB365" s="3280"/>
      <c r="AG365" s="3865"/>
      <c r="AM365" s="3041"/>
      <c r="BD365" s="3280"/>
      <c r="BF365" s="3041"/>
      <c r="BH365" s="3282"/>
    </row>
    <row r="366" spans="1:60" s="3030" customFormat="1">
      <c r="A366" s="2126"/>
      <c r="B366" s="2126"/>
      <c r="C366" s="2126"/>
      <c r="D366" s="2126"/>
      <c r="E366" s="525"/>
      <c r="F366" s="525"/>
      <c r="G366" s="525"/>
      <c r="K366" s="3280"/>
      <c r="AB366" s="3280"/>
      <c r="AG366" s="3865"/>
      <c r="AM366" s="3041"/>
      <c r="BD366" s="3280"/>
      <c r="BF366" s="3041"/>
      <c r="BH366" s="3282"/>
    </row>
    <row r="367" spans="1:60" s="3030" customFormat="1">
      <c r="A367" s="2126"/>
      <c r="B367" s="2126"/>
      <c r="C367" s="2126"/>
      <c r="D367" s="2126"/>
      <c r="E367" s="525"/>
      <c r="F367" s="525"/>
      <c r="G367" s="525"/>
      <c r="K367" s="3280"/>
      <c r="AB367" s="3280"/>
      <c r="AG367" s="3865"/>
      <c r="AM367" s="3041"/>
      <c r="BD367" s="3280"/>
      <c r="BF367" s="3041"/>
      <c r="BH367" s="3282"/>
    </row>
    <row r="368" spans="1:60" s="3030" customFormat="1">
      <c r="A368" s="2126"/>
      <c r="B368" s="2126"/>
      <c r="C368" s="2126"/>
      <c r="D368" s="2126"/>
      <c r="E368" s="525"/>
      <c r="F368" s="525"/>
      <c r="G368" s="525"/>
      <c r="K368" s="3280"/>
      <c r="AB368" s="3280"/>
      <c r="AG368" s="3865"/>
      <c r="AM368" s="3041"/>
      <c r="BD368" s="3280"/>
      <c r="BF368" s="3041"/>
      <c r="BH368" s="3282"/>
    </row>
    <row r="369" spans="1:60" s="3030" customFormat="1">
      <c r="A369" s="2126"/>
      <c r="B369" s="2126"/>
      <c r="C369" s="2126"/>
      <c r="D369" s="2126"/>
      <c r="E369" s="525"/>
      <c r="F369" s="525"/>
      <c r="G369" s="525"/>
      <c r="K369" s="3280"/>
      <c r="AB369" s="3280"/>
      <c r="AG369" s="3865"/>
      <c r="AM369" s="3041"/>
      <c r="BD369" s="3280"/>
      <c r="BF369" s="3041"/>
      <c r="BH369" s="3282"/>
    </row>
    <row r="370" spans="1:60" s="3030" customFormat="1">
      <c r="A370" s="2126"/>
      <c r="B370" s="2126"/>
      <c r="C370" s="2126"/>
      <c r="D370" s="2126"/>
      <c r="E370" s="525"/>
      <c r="F370" s="525"/>
      <c r="G370" s="525"/>
      <c r="K370" s="3280"/>
      <c r="AB370" s="3280"/>
      <c r="AG370" s="3865"/>
      <c r="AM370" s="3041"/>
      <c r="BD370" s="3280"/>
      <c r="BF370" s="3041"/>
      <c r="BH370" s="3282"/>
    </row>
    <row r="371" spans="1:60" s="3030" customFormat="1">
      <c r="A371" s="2126"/>
      <c r="B371" s="2126"/>
      <c r="C371" s="2126"/>
      <c r="D371" s="2126"/>
      <c r="E371" s="525"/>
      <c r="F371" s="525"/>
      <c r="G371" s="525"/>
      <c r="K371" s="3280"/>
      <c r="AB371" s="3280"/>
      <c r="AG371" s="3865"/>
      <c r="AM371" s="3041"/>
      <c r="BD371" s="3280"/>
      <c r="BF371" s="3041"/>
      <c r="BH371" s="3282"/>
    </row>
    <row r="372" spans="1:60" s="3030" customFormat="1">
      <c r="A372" s="2126"/>
      <c r="B372" s="2126"/>
      <c r="C372" s="2126"/>
      <c r="D372" s="2126"/>
      <c r="E372" s="525"/>
      <c r="F372" s="525"/>
      <c r="G372" s="525"/>
      <c r="K372" s="3280"/>
      <c r="AB372" s="3280"/>
      <c r="AG372" s="3865"/>
      <c r="AM372" s="3041"/>
      <c r="BD372" s="3280"/>
      <c r="BF372" s="3041"/>
      <c r="BH372" s="3282"/>
    </row>
    <row r="373" spans="1:60" s="3030" customFormat="1">
      <c r="A373" s="2126"/>
      <c r="B373" s="2126"/>
      <c r="C373" s="2126"/>
      <c r="D373" s="2126"/>
      <c r="E373" s="525"/>
      <c r="F373" s="525"/>
      <c r="G373" s="525"/>
      <c r="K373" s="3280"/>
      <c r="AB373" s="3280"/>
      <c r="AG373" s="3865"/>
      <c r="AM373" s="3041"/>
      <c r="BD373" s="3280"/>
      <c r="BF373" s="3041"/>
      <c r="BH373" s="3282"/>
    </row>
    <row r="374" spans="1:60" s="3030" customFormat="1">
      <c r="A374" s="2126"/>
      <c r="B374" s="2126"/>
      <c r="C374" s="2126"/>
      <c r="D374" s="2126"/>
      <c r="E374" s="525"/>
      <c r="F374" s="525"/>
      <c r="G374" s="525"/>
      <c r="K374" s="3280"/>
      <c r="AB374" s="3280"/>
      <c r="AG374" s="3865"/>
      <c r="AM374" s="3041"/>
      <c r="BD374" s="3280"/>
      <c r="BF374" s="3041"/>
      <c r="BH374" s="3282"/>
    </row>
    <row r="375" spans="1:60" s="3030" customFormat="1">
      <c r="A375" s="2126"/>
      <c r="B375" s="2126"/>
      <c r="C375" s="2126"/>
      <c r="D375" s="2126"/>
      <c r="E375" s="525"/>
      <c r="F375" s="525"/>
      <c r="G375" s="525"/>
      <c r="K375" s="3280"/>
      <c r="AB375" s="3280"/>
      <c r="AG375" s="3865"/>
      <c r="AM375" s="3041"/>
      <c r="BD375" s="3280"/>
      <c r="BF375" s="3041"/>
      <c r="BH375" s="3282"/>
    </row>
    <row r="376" spans="1:60" s="3030" customFormat="1">
      <c r="A376" s="2126"/>
      <c r="B376" s="2126"/>
      <c r="C376" s="2126"/>
      <c r="D376" s="2126"/>
      <c r="E376" s="525"/>
      <c r="F376" s="525"/>
      <c r="G376" s="525"/>
      <c r="K376" s="3280"/>
      <c r="AB376" s="3280"/>
      <c r="AG376" s="3865"/>
      <c r="AM376" s="3041"/>
      <c r="BD376" s="3280"/>
      <c r="BF376" s="3041"/>
      <c r="BH376" s="3282"/>
    </row>
    <row r="377" spans="1:60" s="3030" customFormat="1">
      <c r="A377" s="2126"/>
      <c r="B377" s="2126"/>
      <c r="C377" s="2126"/>
      <c r="D377" s="2126"/>
      <c r="E377" s="525"/>
      <c r="F377" s="525"/>
      <c r="G377" s="525"/>
      <c r="K377" s="3280"/>
      <c r="AB377" s="3280"/>
      <c r="AG377" s="3865"/>
      <c r="AM377" s="3041"/>
      <c r="BD377" s="3280"/>
      <c r="BF377" s="3041"/>
      <c r="BH377" s="3282"/>
    </row>
    <row r="378" spans="1:60" s="3030" customFormat="1">
      <c r="A378" s="2126"/>
      <c r="B378" s="2126"/>
      <c r="C378" s="2126"/>
      <c r="D378" s="2126"/>
      <c r="E378" s="525"/>
      <c r="F378" s="525"/>
      <c r="G378" s="525"/>
      <c r="K378" s="3280"/>
      <c r="AB378" s="3280"/>
      <c r="AG378" s="3865"/>
      <c r="AM378" s="3041"/>
      <c r="BD378" s="3280"/>
      <c r="BF378" s="3041"/>
      <c r="BH378" s="3282"/>
    </row>
    <row r="379" spans="1:60" s="3030" customFormat="1">
      <c r="A379" s="2126"/>
      <c r="B379" s="2126"/>
      <c r="C379" s="2126"/>
      <c r="D379" s="2126"/>
      <c r="E379" s="525"/>
      <c r="F379" s="525"/>
      <c r="G379" s="525"/>
      <c r="K379" s="3280"/>
      <c r="AB379" s="3280"/>
      <c r="AG379" s="3865"/>
      <c r="AM379" s="3041"/>
      <c r="BD379" s="3280"/>
      <c r="BF379" s="3041"/>
      <c r="BH379" s="3282"/>
    </row>
    <row r="380" spans="1:60" s="3030" customFormat="1">
      <c r="A380" s="2126"/>
      <c r="B380" s="2126"/>
      <c r="C380" s="2126"/>
      <c r="D380" s="2126"/>
      <c r="E380" s="525"/>
      <c r="F380" s="525"/>
      <c r="G380" s="525"/>
      <c r="K380" s="3280"/>
      <c r="AB380" s="3280"/>
      <c r="AG380" s="3865"/>
      <c r="AM380" s="3041"/>
      <c r="BD380" s="3280"/>
      <c r="BF380" s="3041"/>
      <c r="BH380" s="3282"/>
    </row>
    <row r="381" spans="1:60" s="3030" customFormat="1">
      <c r="A381" s="2126"/>
      <c r="B381" s="2126"/>
      <c r="C381" s="2126"/>
      <c r="D381" s="2126"/>
      <c r="E381" s="525"/>
      <c r="F381" s="525"/>
      <c r="G381" s="525"/>
      <c r="K381" s="3280"/>
      <c r="AB381" s="3280"/>
      <c r="AG381" s="3865"/>
      <c r="AM381" s="3041"/>
      <c r="BD381" s="3280"/>
      <c r="BF381" s="3041"/>
      <c r="BH381" s="3282"/>
    </row>
    <row r="382" spans="1:60" s="3030" customFormat="1">
      <c r="A382" s="2126"/>
      <c r="B382" s="2126"/>
      <c r="C382" s="2126"/>
      <c r="D382" s="2126"/>
      <c r="E382" s="525"/>
      <c r="F382" s="525"/>
      <c r="G382" s="525"/>
      <c r="K382" s="3280"/>
      <c r="AB382" s="3280"/>
      <c r="AG382" s="3865"/>
      <c r="AM382" s="3041"/>
      <c r="BD382" s="3280"/>
      <c r="BF382" s="3041"/>
      <c r="BH382" s="3282"/>
    </row>
    <row r="383" spans="1:60" s="3030" customFormat="1">
      <c r="A383" s="2126"/>
      <c r="B383" s="2126"/>
      <c r="C383" s="2126"/>
      <c r="D383" s="2126"/>
      <c r="E383" s="525"/>
      <c r="F383" s="525"/>
      <c r="G383" s="525"/>
      <c r="K383" s="3280"/>
      <c r="AB383" s="3280"/>
      <c r="AG383" s="3865"/>
      <c r="AM383" s="3041"/>
      <c r="BD383" s="3280"/>
      <c r="BF383" s="3041"/>
      <c r="BH383" s="3282"/>
    </row>
    <row r="384" spans="1:60" s="3030" customFormat="1">
      <c r="A384" s="2126"/>
      <c r="B384" s="2126"/>
      <c r="C384" s="2126"/>
      <c r="D384" s="2126"/>
      <c r="E384" s="525"/>
      <c r="F384" s="525"/>
      <c r="G384" s="525"/>
      <c r="K384" s="3280"/>
      <c r="AB384" s="3280"/>
      <c r="AG384" s="3865"/>
      <c r="AM384" s="3041"/>
      <c r="BD384" s="3280"/>
      <c r="BF384" s="3041"/>
      <c r="BH384" s="3282"/>
    </row>
    <row r="385" spans="1:60" s="3030" customFormat="1">
      <c r="A385" s="2126"/>
      <c r="B385" s="2126"/>
      <c r="C385" s="2126"/>
      <c r="D385" s="2126"/>
      <c r="E385" s="525"/>
      <c r="F385" s="525"/>
      <c r="G385" s="525"/>
      <c r="K385" s="3280"/>
      <c r="AB385" s="3280"/>
      <c r="AG385" s="3865"/>
      <c r="AM385" s="3041"/>
      <c r="BD385" s="3280"/>
      <c r="BF385" s="3041"/>
      <c r="BH385" s="3282"/>
    </row>
    <row r="386" spans="1:60" s="3030" customFormat="1">
      <c r="A386" s="2126"/>
      <c r="B386" s="2126"/>
      <c r="C386" s="2126"/>
      <c r="D386" s="2126"/>
      <c r="E386" s="525"/>
      <c r="F386" s="525"/>
      <c r="G386" s="525"/>
      <c r="K386" s="3280"/>
      <c r="AB386" s="3280"/>
      <c r="AG386" s="3865"/>
      <c r="AM386" s="3041"/>
      <c r="BD386" s="3280"/>
      <c r="BF386" s="3041"/>
      <c r="BH386" s="3282"/>
    </row>
    <row r="387" spans="1:60" s="3030" customFormat="1">
      <c r="A387" s="2126"/>
      <c r="B387" s="2126"/>
      <c r="C387" s="2126"/>
      <c r="D387" s="2126"/>
      <c r="E387" s="525"/>
      <c r="F387" s="525"/>
      <c r="G387" s="525"/>
      <c r="K387" s="3280"/>
      <c r="AB387" s="3280"/>
      <c r="AG387" s="3865"/>
      <c r="AM387" s="3041"/>
      <c r="BD387" s="3280"/>
      <c r="BF387" s="3041"/>
      <c r="BH387" s="3282"/>
    </row>
    <row r="388" spans="1:60" s="3030" customFormat="1">
      <c r="A388" s="2126"/>
      <c r="B388" s="2126"/>
      <c r="C388" s="2126"/>
      <c r="D388" s="2126"/>
      <c r="E388" s="525"/>
      <c r="F388" s="525"/>
      <c r="G388" s="525"/>
      <c r="K388" s="3280"/>
      <c r="AB388" s="3280"/>
      <c r="AG388" s="3865"/>
      <c r="AM388" s="3041"/>
      <c r="BD388" s="3280"/>
      <c r="BF388" s="3041"/>
      <c r="BH388" s="3282"/>
    </row>
    <row r="389" spans="1:60" s="3030" customFormat="1">
      <c r="A389" s="2126"/>
      <c r="B389" s="2126"/>
      <c r="C389" s="2126"/>
      <c r="D389" s="2126"/>
      <c r="E389" s="525"/>
      <c r="F389" s="525"/>
      <c r="G389" s="525"/>
      <c r="K389" s="3280"/>
      <c r="AB389" s="3280"/>
      <c r="AG389" s="3865"/>
      <c r="AM389" s="3041"/>
      <c r="BD389" s="3280"/>
      <c r="BF389" s="3041"/>
      <c r="BH389" s="3282"/>
    </row>
    <row r="390" spans="1:60" s="3030" customFormat="1">
      <c r="A390" s="2126"/>
      <c r="B390" s="2126"/>
      <c r="C390" s="2126"/>
      <c r="D390" s="2126"/>
      <c r="E390" s="525"/>
      <c r="F390" s="525"/>
      <c r="G390" s="525"/>
      <c r="K390" s="3280"/>
      <c r="AB390" s="3280"/>
      <c r="AG390" s="3865"/>
      <c r="AM390" s="3041"/>
      <c r="BD390" s="3280"/>
      <c r="BF390" s="3041"/>
      <c r="BH390" s="3282"/>
    </row>
    <row r="391" spans="1:60" s="3030" customFormat="1">
      <c r="A391" s="2126"/>
      <c r="B391" s="2126"/>
      <c r="C391" s="2126"/>
      <c r="D391" s="2126"/>
      <c r="E391" s="525"/>
      <c r="F391" s="525"/>
      <c r="G391" s="525"/>
      <c r="K391" s="3280"/>
      <c r="AB391" s="3280"/>
      <c r="AG391" s="3865"/>
      <c r="AM391" s="3041"/>
      <c r="BD391" s="3280"/>
      <c r="BF391" s="3041"/>
      <c r="BH391" s="3282"/>
    </row>
    <row r="392" spans="1:60" s="3030" customFormat="1">
      <c r="A392" s="2126"/>
      <c r="B392" s="2126"/>
      <c r="C392" s="2126"/>
      <c r="D392" s="2126"/>
      <c r="E392" s="525"/>
      <c r="F392" s="525"/>
      <c r="G392" s="525"/>
      <c r="K392" s="3280"/>
      <c r="AB392" s="3280"/>
      <c r="AG392" s="3865"/>
      <c r="AM392" s="3041"/>
      <c r="BD392" s="3280"/>
      <c r="BF392" s="3041"/>
      <c r="BH392" s="3282"/>
    </row>
    <row r="393" spans="1:60" s="3030" customFormat="1">
      <c r="A393" s="2126"/>
      <c r="B393" s="2126"/>
      <c r="C393" s="2126"/>
      <c r="D393" s="2126"/>
      <c r="E393" s="525"/>
      <c r="F393" s="525"/>
      <c r="G393" s="525"/>
      <c r="K393" s="3280"/>
      <c r="AB393" s="3280"/>
      <c r="AG393" s="3865"/>
      <c r="AM393" s="3041"/>
      <c r="BD393" s="3280"/>
      <c r="BF393" s="3041"/>
      <c r="BH393" s="3282"/>
    </row>
    <row r="394" spans="1:60" s="3030" customFormat="1">
      <c r="A394" s="2126"/>
      <c r="B394" s="2126"/>
      <c r="C394" s="2126"/>
      <c r="D394" s="2126"/>
      <c r="E394" s="525"/>
      <c r="F394" s="525"/>
      <c r="G394" s="525"/>
      <c r="K394" s="3280"/>
      <c r="AB394" s="3280"/>
      <c r="AG394" s="3865"/>
      <c r="AM394" s="3041"/>
      <c r="BD394" s="3280"/>
      <c r="BF394" s="3041"/>
      <c r="BH394" s="3282"/>
    </row>
    <row r="395" spans="1:60" s="3030" customFormat="1">
      <c r="A395" s="2126"/>
      <c r="B395" s="2126"/>
      <c r="C395" s="2126"/>
      <c r="D395" s="2126"/>
      <c r="E395" s="525"/>
      <c r="F395" s="525"/>
      <c r="G395" s="525"/>
      <c r="K395" s="3280"/>
      <c r="AB395" s="3280"/>
      <c r="AG395" s="3865"/>
      <c r="AM395" s="3041"/>
      <c r="BD395" s="3280"/>
      <c r="BF395" s="3041"/>
      <c r="BH395" s="3282"/>
    </row>
    <row r="396" spans="1:60" s="3030" customFormat="1">
      <c r="A396" s="2126"/>
      <c r="B396" s="2126"/>
      <c r="C396" s="2126"/>
      <c r="D396" s="2126"/>
      <c r="E396" s="525"/>
      <c r="F396" s="525"/>
      <c r="G396" s="525"/>
      <c r="K396" s="3280"/>
      <c r="AB396" s="3280"/>
      <c r="AG396" s="3865"/>
      <c r="AM396" s="3041"/>
      <c r="BD396" s="3280"/>
      <c r="BF396" s="3041"/>
      <c r="BH396" s="3282"/>
    </row>
    <row r="397" spans="1:60" s="3030" customFormat="1">
      <c r="A397" s="2126"/>
      <c r="B397" s="2126"/>
      <c r="C397" s="2126"/>
      <c r="D397" s="2126"/>
      <c r="E397" s="525"/>
      <c r="F397" s="525"/>
      <c r="G397" s="525"/>
      <c r="K397" s="3280"/>
      <c r="AB397" s="3280"/>
      <c r="AG397" s="3865"/>
      <c r="AM397" s="3041"/>
      <c r="BD397" s="3280"/>
      <c r="BF397" s="3041"/>
      <c r="BH397" s="3282"/>
    </row>
    <row r="398" spans="1:60" s="3030" customFormat="1">
      <c r="A398" s="2126"/>
      <c r="B398" s="2126"/>
      <c r="C398" s="2126"/>
      <c r="D398" s="2126"/>
      <c r="E398" s="525"/>
      <c r="F398" s="525"/>
      <c r="G398" s="525"/>
      <c r="K398" s="3280"/>
      <c r="AB398" s="3280"/>
      <c r="AG398" s="3865"/>
      <c r="AM398" s="3041"/>
      <c r="BD398" s="3280"/>
      <c r="BF398" s="3041"/>
      <c r="BH398" s="3282"/>
    </row>
    <row r="399" spans="1:60" s="3030" customFormat="1">
      <c r="A399" s="2126"/>
      <c r="B399" s="2126"/>
      <c r="C399" s="2126"/>
      <c r="D399" s="2126"/>
      <c r="E399" s="525"/>
      <c r="F399" s="525"/>
      <c r="G399" s="525"/>
      <c r="K399" s="3280"/>
      <c r="AB399" s="3280"/>
      <c r="AG399" s="3865"/>
      <c r="AM399" s="3041"/>
      <c r="BD399" s="3280"/>
      <c r="BF399" s="3041"/>
      <c r="BH399" s="3282"/>
    </row>
    <row r="400" spans="1:60" s="3030" customFormat="1">
      <c r="A400" s="2126"/>
      <c r="B400" s="2126"/>
      <c r="C400" s="2126"/>
      <c r="D400" s="2126"/>
      <c r="E400" s="525"/>
      <c r="F400" s="525"/>
      <c r="G400" s="525"/>
      <c r="K400" s="3280"/>
      <c r="AB400" s="3280"/>
      <c r="AG400" s="3865"/>
      <c r="AM400" s="3041"/>
      <c r="BD400" s="3280"/>
      <c r="BF400" s="3041"/>
      <c r="BH400" s="3282"/>
    </row>
    <row r="401" spans="1:60" s="3030" customFormat="1">
      <c r="A401" s="2126"/>
      <c r="B401" s="2126"/>
      <c r="C401" s="2126"/>
      <c r="D401" s="2126"/>
      <c r="E401" s="525"/>
      <c r="F401" s="525"/>
      <c r="G401" s="525"/>
      <c r="K401" s="3280"/>
      <c r="AB401" s="3280"/>
      <c r="AG401" s="3865"/>
      <c r="AM401" s="3041"/>
      <c r="BD401" s="3280"/>
      <c r="BF401" s="3041"/>
      <c r="BH401" s="3282"/>
    </row>
    <row r="402" spans="1:60" s="3030" customFormat="1">
      <c r="A402" s="2126"/>
      <c r="B402" s="2126"/>
      <c r="C402" s="2126"/>
      <c r="D402" s="2126"/>
      <c r="E402" s="525"/>
      <c r="F402" s="525"/>
      <c r="G402" s="525"/>
      <c r="K402" s="3280"/>
      <c r="AB402" s="3280"/>
      <c r="AG402" s="3865"/>
      <c r="AM402" s="3041"/>
      <c r="BD402" s="3280"/>
      <c r="BF402" s="3041"/>
      <c r="BH402" s="3282"/>
    </row>
    <row r="403" spans="1:60" s="3030" customFormat="1">
      <c r="A403" s="2126"/>
      <c r="B403" s="2126"/>
      <c r="C403" s="2126"/>
      <c r="D403" s="2126"/>
      <c r="E403" s="525"/>
      <c r="F403" s="525"/>
      <c r="G403" s="525"/>
      <c r="K403" s="3280"/>
      <c r="AB403" s="3280"/>
      <c r="AG403" s="3865"/>
      <c r="AM403" s="3041"/>
      <c r="BD403" s="3280"/>
      <c r="BF403" s="3041"/>
      <c r="BH403" s="3282"/>
    </row>
    <row r="404" spans="1:60" s="3030" customFormat="1">
      <c r="A404" s="2126"/>
      <c r="B404" s="2126"/>
      <c r="C404" s="2126"/>
      <c r="D404" s="2126"/>
      <c r="E404" s="525"/>
      <c r="F404" s="525"/>
      <c r="G404" s="525"/>
      <c r="K404" s="3280"/>
      <c r="AB404" s="3280"/>
      <c r="AG404" s="3865"/>
      <c r="AM404" s="3041"/>
      <c r="BD404" s="3280"/>
      <c r="BF404" s="3041"/>
      <c r="BH404" s="3282"/>
    </row>
    <row r="405" spans="1:60" s="3030" customFormat="1">
      <c r="A405" s="2126"/>
      <c r="B405" s="2126"/>
      <c r="C405" s="2126"/>
      <c r="D405" s="2126"/>
      <c r="E405" s="525"/>
      <c r="F405" s="525"/>
      <c r="G405" s="525"/>
      <c r="K405" s="3280"/>
      <c r="AB405" s="3280"/>
      <c r="AG405" s="3865"/>
      <c r="AM405" s="3041"/>
      <c r="BD405" s="3280"/>
      <c r="BF405" s="3041"/>
      <c r="BH405" s="3282"/>
    </row>
    <row r="406" spans="1:60" s="3030" customFormat="1">
      <c r="A406" s="2126"/>
      <c r="B406" s="2126"/>
      <c r="C406" s="2126"/>
      <c r="D406" s="2126"/>
      <c r="E406" s="525"/>
      <c r="F406" s="525"/>
      <c r="G406" s="525"/>
      <c r="K406" s="3280"/>
      <c r="AB406" s="3280"/>
      <c r="AG406" s="3865"/>
      <c r="AM406" s="3041"/>
      <c r="BD406" s="3280"/>
      <c r="BF406" s="3041"/>
      <c r="BH406" s="3282"/>
    </row>
    <row r="407" spans="1:60" s="3030" customFormat="1">
      <c r="A407" s="2126"/>
      <c r="B407" s="2126"/>
      <c r="C407" s="2126"/>
      <c r="D407" s="2126"/>
      <c r="E407" s="525"/>
      <c r="F407" s="525"/>
      <c r="G407" s="525"/>
      <c r="K407" s="3280"/>
      <c r="AB407" s="3280"/>
      <c r="AG407" s="3865"/>
      <c r="AM407" s="3041"/>
      <c r="BD407" s="3280"/>
      <c r="BF407" s="3041"/>
      <c r="BH407" s="3282"/>
    </row>
    <row r="408" spans="1:60" s="3030" customFormat="1">
      <c r="A408" s="2126"/>
      <c r="B408" s="2126"/>
      <c r="C408" s="2126"/>
      <c r="D408" s="2126"/>
      <c r="E408" s="525"/>
      <c r="F408" s="525"/>
      <c r="G408" s="525"/>
      <c r="K408" s="3280"/>
      <c r="AB408" s="3280"/>
      <c r="AG408" s="3865"/>
      <c r="AM408" s="3041"/>
      <c r="BD408" s="3280"/>
      <c r="BF408" s="3041"/>
      <c r="BH408" s="3282"/>
    </row>
    <row r="409" spans="1:60" s="3030" customFormat="1">
      <c r="A409" s="2126"/>
      <c r="B409" s="2126"/>
      <c r="C409" s="2126"/>
      <c r="D409" s="2126"/>
      <c r="E409" s="525"/>
      <c r="F409" s="525"/>
      <c r="G409" s="525"/>
      <c r="K409" s="3280"/>
      <c r="AB409" s="3280"/>
      <c r="AG409" s="3865"/>
      <c r="AM409" s="3041"/>
      <c r="BD409" s="3280"/>
      <c r="BF409" s="3041"/>
      <c r="BH409" s="3282"/>
    </row>
    <row r="410" spans="1:60" s="3030" customFormat="1">
      <c r="A410" s="2126"/>
      <c r="B410" s="2126"/>
      <c r="C410" s="2126"/>
      <c r="D410" s="2126"/>
      <c r="E410" s="525"/>
      <c r="F410" s="525"/>
      <c r="G410" s="525"/>
      <c r="K410" s="3280"/>
      <c r="AB410" s="3280"/>
      <c r="AG410" s="3865"/>
      <c r="AM410" s="3041"/>
      <c r="BD410" s="3280"/>
      <c r="BF410" s="3041"/>
      <c r="BH410" s="3282"/>
    </row>
    <row r="411" spans="1:60" s="3030" customFormat="1">
      <c r="A411" s="2126"/>
      <c r="B411" s="2126"/>
      <c r="C411" s="2126"/>
      <c r="D411" s="2126"/>
      <c r="E411" s="525"/>
      <c r="F411" s="525"/>
      <c r="G411" s="525"/>
      <c r="K411" s="3280"/>
      <c r="AB411" s="3280"/>
      <c r="AG411" s="3865"/>
      <c r="AM411" s="3041"/>
      <c r="BD411" s="3280"/>
      <c r="BF411" s="3041"/>
      <c r="BH411" s="3282"/>
    </row>
    <row r="412" spans="1:60" s="3030" customFormat="1">
      <c r="A412" s="2126"/>
      <c r="B412" s="2126"/>
      <c r="C412" s="2126"/>
      <c r="D412" s="2126"/>
      <c r="E412" s="525"/>
      <c r="F412" s="525"/>
      <c r="G412" s="525"/>
      <c r="K412" s="3280"/>
      <c r="AB412" s="3280"/>
      <c r="AG412" s="3865"/>
      <c r="AM412" s="3041"/>
      <c r="BD412" s="3280"/>
      <c r="BF412" s="3041"/>
      <c r="BH412" s="3282"/>
    </row>
    <row r="413" spans="1:60" s="3030" customFormat="1">
      <c r="A413" s="2126"/>
      <c r="B413" s="2126"/>
      <c r="C413" s="2126"/>
      <c r="D413" s="2126"/>
      <c r="E413" s="525"/>
      <c r="F413" s="525"/>
      <c r="G413" s="525"/>
      <c r="K413" s="3280"/>
      <c r="AB413" s="3280"/>
      <c r="AG413" s="3865"/>
      <c r="AM413" s="3041"/>
      <c r="BD413" s="3280"/>
      <c r="BF413" s="3041"/>
      <c r="BH413" s="3282"/>
    </row>
    <row r="414" spans="1:60" s="3030" customFormat="1">
      <c r="A414" s="2126"/>
      <c r="B414" s="2126"/>
      <c r="C414" s="2126"/>
      <c r="D414" s="2126"/>
      <c r="E414" s="525"/>
      <c r="F414" s="525"/>
      <c r="G414" s="525"/>
      <c r="K414" s="3280"/>
      <c r="AB414" s="3280"/>
      <c r="AG414" s="3865"/>
      <c r="AM414" s="3041"/>
      <c r="BD414" s="3280"/>
      <c r="BF414" s="3041"/>
      <c r="BH414" s="3282"/>
    </row>
    <row r="415" spans="1:60" s="3030" customFormat="1">
      <c r="A415" s="2126"/>
      <c r="B415" s="2126"/>
      <c r="C415" s="2126"/>
      <c r="D415" s="2126"/>
      <c r="E415" s="525"/>
      <c r="F415" s="525"/>
      <c r="G415" s="525"/>
      <c r="K415" s="3280"/>
      <c r="AB415" s="3280"/>
      <c r="AG415" s="3865"/>
      <c r="AM415" s="3041"/>
      <c r="BD415" s="3280"/>
      <c r="BF415" s="3041"/>
      <c r="BH415" s="3282"/>
    </row>
    <row r="416" spans="1:60" s="3030" customFormat="1">
      <c r="A416" s="2126"/>
      <c r="B416" s="2126"/>
      <c r="C416" s="2126"/>
      <c r="D416" s="2126"/>
      <c r="E416" s="525"/>
      <c r="F416" s="525"/>
      <c r="G416" s="525"/>
      <c r="K416" s="3280"/>
      <c r="AB416" s="3280"/>
      <c r="AG416" s="3865"/>
      <c r="AM416" s="3041"/>
      <c r="BD416" s="3280"/>
      <c r="BF416" s="3041"/>
      <c r="BH416" s="3282"/>
    </row>
    <row r="417" spans="1:60" s="3030" customFormat="1">
      <c r="A417" s="2126"/>
      <c r="B417" s="2126"/>
      <c r="C417" s="2126"/>
      <c r="D417" s="2126"/>
      <c r="E417" s="525"/>
      <c r="F417" s="525"/>
      <c r="G417" s="525"/>
      <c r="K417" s="3280"/>
      <c r="AB417" s="3280"/>
      <c r="AG417" s="3865"/>
      <c r="AM417" s="3041"/>
      <c r="BD417" s="3280"/>
      <c r="BF417" s="3041"/>
      <c r="BH417" s="3282"/>
    </row>
    <row r="418" spans="1:60" s="3030" customFormat="1">
      <c r="A418" s="2126"/>
      <c r="B418" s="2126"/>
      <c r="C418" s="2126"/>
      <c r="D418" s="2126"/>
      <c r="E418" s="525"/>
      <c r="F418" s="525"/>
      <c r="G418" s="525"/>
      <c r="K418" s="3280"/>
      <c r="AB418" s="3280"/>
      <c r="AG418" s="3865"/>
      <c r="AM418" s="3041"/>
      <c r="BD418" s="3280"/>
      <c r="BF418" s="3041"/>
      <c r="BH418" s="3282"/>
    </row>
    <row r="419" spans="1:60" s="3030" customFormat="1">
      <c r="A419" s="2126"/>
      <c r="B419" s="2126"/>
      <c r="C419" s="2126"/>
      <c r="D419" s="2126"/>
      <c r="E419" s="525"/>
      <c r="F419" s="525"/>
      <c r="G419" s="525"/>
      <c r="K419" s="3280"/>
      <c r="AB419" s="3280"/>
      <c r="AG419" s="3865"/>
      <c r="AM419" s="3041"/>
      <c r="BD419" s="3280"/>
      <c r="BF419" s="3041"/>
      <c r="BH419" s="3282"/>
    </row>
    <row r="420" spans="1:60" s="3030" customFormat="1">
      <c r="A420" s="2126"/>
      <c r="B420" s="2126"/>
      <c r="C420" s="2126"/>
      <c r="D420" s="2126"/>
      <c r="E420" s="525"/>
      <c r="F420" s="525"/>
      <c r="G420" s="525"/>
      <c r="K420" s="3280"/>
      <c r="AB420" s="3280"/>
      <c r="AG420" s="3865"/>
      <c r="AM420" s="3041"/>
      <c r="BD420" s="3280"/>
      <c r="BF420" s="3041"/>
      <c r="BH420" s="3282"/>
    </row>
    <row r="421" spans="1:60" s="3030" customFormat="1">
      <c r="A421" s="2126"/>
      <c r="B421" s="2126"/>
      <c r="C421" s="2126"/>
      <c r="D421" s="2126"/>
      <c r="E421" s="525"/>
      <c r="F421" s="525"/>
      <c r="G421" s="525"/>
      <c r="K421" s="3280"/>
      <c r="AB421" s="3280"/>
      <c r="AG421" s="3865"/>
      <c r="AM421" s="3041"/>
      <c r="BD421" s="3280"/>
      <c r="BF421" s="3041"/>
      <c r="BH421" s="3282"/>
    </row>
    <row r="422" spans="1:60" s="3030" customFormat="1">
      <c r="A422" s="2126"/>
      <c r="B422" s="2126"/>
      <c r="C422" s="2126"/>
      <c r="D422" s="2126"/>
      <c r="E422" s="525"/>
      <c r="F422" s="525"/>
      <c r="G422" s="525"/>
      <c r="K422" s="3280"/>
      <c r="AB422" s="3280"/>
      <c r="AG422" s="3865"/>
      <c r="AM422" s="3041"/>
      <c r="BD422" s="3280"/>
      <c r="BF422" s="3041"/>
      <c r="BH422" s="3282"/>
    </row>
    <row r="423" spans="1:60" s="3030" customFormat="1">
      <c r="A423" s="2126"/>
      <c r="B423" s="2126"/>
      <c r="C423" s="2126"/>
      <c r="D423" s="2126"/>
      <c r="E423" s="525"/>
      <c r="F423" s="525"/>
      <c r="G423" s="525"/>
      <c r="K423" s="3280"/>
      <c r="AB423" s="3280"/>
      <c r="AG423" s="3865"/>
      <c r="AM423" s="3041"/>
      <c r="BD423" s="3280"/>
      <c r="BF423" s="3041"/>
      <c r="BH423" s="3282"/>
    </row>
    <row r="424" spans="1:60" s="3030" customFormat="1">
      <c r="A424" s="2126"/>
      <c r="B424" s="2126"/>
      <c r="C424" s="2126"/>
      <c r="D424" s="2126"/>
      <c r="E424" s="525"/>
      <c r="F424" s="525"/>
      <c r="G424" s="525"/>
      <c r="K424" s="3280"/>
      <c r="AB424" s="3280"/>
      <c r="AG424" s="3865"/>
      <c r="AM424" s="3041"/>
      <c r="BD424" s="3280"/>
      <c r="BF424" s="3041"/>
      <c r="BH424" s="3282"/>
    </row>
    <row r="425" spans="1:60" s="3030" customFormat="1">
      <c r="A425" s="2126"/>
      <c r="B425" s="2126"/>
      <c r="C425" s="2126"/>
      <c r="D425" s="2126"/>
      <c r="E425" s="525"/>
      <c r="F425" s="525"/>
      <c r="G425" s="525"/>
      <c r="K425" s="3280"/>
      <c r="AB425" s="3280"/>
      <c r="AG425" s="3865"/>
      <c r="AM425" s="3041"/>
      <c r="BD425" s="3280"/>
      <c r="BF425" s="3041"/>
      <c r="BH425" s="3282"/>
    </row>
    <row r="426" spans="1:60" s="3030" customFormat="1">
      <c r="A426" s="2126"/>
      <c r="B426" s="2126"/>
      <c r="C426" s="2126"/>
      <c r="D426" s="2126"/>
      <c r="E426" s="525"/>
      <c r="F426" s="525"/>
      <c r="G426" s="525"/>
      <c r="K426" s="3280"/>
      <c r="AB426" s="3280"/>
      <c r="AG426" s="3865"/>
      <c r="AM426" s="3041"/>
      <c r="BD426" s="3280"/>
      <c r="BF426" s="3041"/>
      <c r="BH426" s="3282"/>
    </row>
    <row r="427" spans="1:60" s="3030" customFormat="1">
      <c r="A427" s="2126"/>
      <c r="B427" s="2126"/>
      <c r="C427" s="2126"/>
      <c r="D427" s="2126"/>
      <c r="E427" s="525"/>
      <c r="F427" s="525"/>
      <c r="G427" s="525"/>
      <c r="K427" s="3280"/>
      <c r="AB427" s="3280"/>
      <c r="AG427" s="3865"/>
      <c r="AM427" s="3041"/>
      <c r="BD427" s="3280"/>
      <c r="BF427" s="3041"/>
      <c r="BH427" s="3282"/>
    </row>
    <row r="428" spans="1:60" s="3030" customFormat="1">
      <c r="A428" s="2126"/>
      <c r="B428" s="2126"/>
      <c r="C428" s="2126"/>
      <c r="D428" s="2126"/>
      <c r="E428" s="525"/>
      <c r="F428" s="525"/>
      <c r="G428" s="525"/>
      <c r="K428" s="3280"/>
      <c r="AB428" s="3280"/>
      <c r="AG428" s="3865"/>
      <c r="AM428" s="3041"/>
      <c r="BD428" s="3280"/>
      <c r="BF428" s="3041"/>
      <c r="BH428" s="3282"/>
    </row>
    <row r="429" spans="1:60" s="3030" customFormat="1">
      <c r="A429" s="2126"/>
      <c r="B429" s="2126"/>
      <c r="C429" s="2126"/>
      <c r="D429" s="2126"/>
      <c r="E429" s="525"/>
      <c r="F429" s="525"/>
      <c r="G429" s="525"/>
      <c r="K429" s="3280"/>
      <c r="AB429" s="3280"/>
      <c r="AG429" s="3865"/>
      <c r="AM429" s="3041"/>
      <c r="BD429" s="3280"/>
      <c r="BF429" s="3041"/>
      <c r="BH429" s="3282"/>
    </row>
    <row r="430" spans="1:60" s="3030" customFormat="1">
      <c r="A430" s="2126"/>
      <c r="B430" s="2126"/>
      <c r="C430" s="2126"/>
      <c r="D430" s="2126"/>
      <c r="E430" s="525"/>
      <c r="F430" s="525"/>
      <c r="G430" s="525"/>
      <c r="K430" s="3280"/>
      <c r="AB430" s="3280"/>
      <c r="AG430" s="3865"/>
      <c r="AM430" s="3041"/>
      <c r="BD430" s="3280"/>
      <c r="BF430" s="3041"/>
      <c r="BH430" s="3282"/>
    </row>
    <row r="431" spans="1:60" s="3030" customFormat="1">
      <c r="A431" s="2126"/>
      <c r="B431" s="2126"/>
      <c r="C431" s="2126"/>
      <c r="D431" s="2126"/>
      <c r="E431" s="525"/>
      <c r="F431" s="525"/>
      <c r="G431" s="525"/>
      <c r="K431" s="3280"/>
      <c r="AB431" s="3280"/>
      <c r="AG431" s="3865"/>
      <c r="AM431" s="3041"/>
      <c r="BD431" s="3280"/>
      <c r="BF431" s="3041"/>
      <c r="BH431" s="3282"/>
    </row>
    <row r="432" spans="1:60" s="3030" customFormat="1">
      <c r="A432" s="2126"/>
      <c r="B432" s="2126"/>
      <c r="C432" s="2126"/>
      <c r="D432" s="2126"/>
      <c r="E432" s="525"/>
      <c r="F432" s="525"/>
      <c r="G432" s="525"/>
      <c r="K432" s="3280"/>
      <c r="AB432" s="3280"/>
      <c r="AG432" s="3865"/>
      <c r="AM432" s="3041"/>
      <c r="BD432" s="3280"/>
      <c r="BF432" s="3041"/>
      <c r="BH432" s="3282"/>
    </row>
    <row r="433" spans="1:60" s="3030" customFormat="1">
      <c r="A433" s="2126"/>
      <c r="B433" s="2126"/>
      <c r="C433" s="2126"/>
      <c r="D433" s="2126"/>
      <c r="E433" s="525"/>
      <c r="F433" s="525"/>
      <c r="G433" s="525"/>
      <c r="K433" s="3280"/>
      <c r="AB433" s="3280"/>
      <c r="AG433" s="3865"/>
      <c r="AM433" s="3041"/>
      <c r="BD433" s="3280"/>
      <c r="BF433" s="3041"/>
      <c r="BH433" s="3282"/>
    </row>
    <row r="434" spans="1:60" s="3030" customFormat="1">
      <c r="A434" s="2126"/>
      <c r="B434" s="2126"/>
      <c r="C434" s="2126"/>
      <c r="D434" s="2126"/>
      <c r="E434" s="525"/>
      <c r="F434" s="525"/>
      <c r="G434" s="525"/>
      <c r="K434" s="3280"/>
      <c r="AB434" s="3280"/>
      <c r="AG434" s="3865"/>
      <c r="AM434" s="3041"/>
      <c r="BD434" s="3280"/>
      <c r="BF434" s="3041"/>
      <c r="BH434" s="3282"/>
    </row>
    <row r="435" spans="1:60" s="3030" customFormat="1">
      <c r="A435" s="2126"/>
      <c r="B435" s="2126"/>
      <c r="C435" s="2126"/>
      <c r="D435" s="2126"/>
      <c r="E435" s="525"/>
      <c r="F435" s="525"/>
      <c r="G435" s="525"/>
      <c r="K435" s="3280"/>
      <c r="AB435" s="3280"/>
      <c r="AG435" s="3865"/>
      <c r="AM435" s="3041"/>
      <c r="BD435" s="3280"/>
      <c r="BF435" s="3041"/>
      <c r="BH435" s="3282"/>
    </row>
    <row r="436" spans="1:60" s="3030" customFormat="1">
      <c r="A436" s="2126"/>
      <c r="B436" s="2126"/>
      <c r="C436" s="2126"/>
      <c r="D436" s="2126"/>
      <c r="E436" s="525"/>
      <c r="F436" s="525"/>
      <c r="G436" s="525"/>
      <c r="K436" s="3280"/>
      <c r="AB436" s="3280"/>
      <c r="AG436" s="3865"/>
      <c r="AM436" s="3041"/>
      <c r="BD436" s="3280"/>
      <c r="BF436" s="3041"/>
      <c r="BH436" s="3282"/>
    </row>
    <row r="437" spans="1:60" s="3030" customFormat="1">
      <c r="A437" s="2126"/>
      <c r="B437" s="2126"/>
      <c r="C437" s="2126"/>
      <c r="D437" s="2126"/>
      <c r="E437" s="525"/>
      <c r="F437" s="525"/>
      <c r="G437" s="525"/>
      <c r="K437" s="3280"/>
      <c r="AB437" s="3280"/>
      <c r="AG437" s="3865"/>
      <c r="AM437" s="3041"/>
      <c r="BD437" s="3280"/>
      <c r="BF437" s="3041"/>
      <c r="BH437" s="3282"/>
    </row>
    <row r="438" spans="1:60" s="3030" customFormat="1">
      <c r="A438" s="2126"/>
      <c r="B438" s="2126"/>
      <c r="C438" s="2126"/>
      <c r="D438" s="2126"/>
      <c r="E438" s="525"/>
      <c r="F438" s="525"/>
      <c r="G438" s="525"/>
      <c r="K438" s="3280"/>
      <c r="AB438" s="3280"/>
      <c r="AG438" s="3865"/>
      <c r="AM438" s="3041"/>
      <c r="BD438" s="3280"/>
      <c r="BF438" s="3041"/>
      <c r="BH438" s="3282"/>
    </row>
    <row r="439" spans="1:60" s="3030" customFormat="1">
      <c r="A439" s="2126"/>
      <c r="B439" s="2126"/>
      <c r="C439" s="2126"/>
      <c r="D439" s="2126"/>
      <c r="E439" s="525"/>
      <c r="F439" s="525"/>
      <c r="G439" s="525"/>
      <c r="K439" s="3280"/>
      <c r="AB439" s="3280"/>
      <c r="AG439" s="3865"/>
      <c r="AM439" s="3041"/>
      <c r="BD439" s="3280"/>
      <c r="BF439" s="3041"/>
      <c r="BH439" s="3282"/>
    </row>
    <row r="440" spans="1:60" s="3030" customFormat="1">
      <c r="A440" s="2126"/>
      <c r="B440" s="2126"/>
      <c r="C440" s="2126"/>
      <c r="D440" s="2126"/>
      <c r="E440" s="525"/>
      <c r="F440" s="525"/>
      <c r="G440" s="525"/>
      <c r="K440" s="3280"/>
      <c r="AB440" s="3280"/>
      <c r="AG440" s="3865"/>
      <c r="AM440" s="3041"/>
      <c r="BD440" s="3280"/>
      <c r="BF440" s="3041"/>
      <c r="BH440" s="3282"/>
    </row>
    <row r="441" spans="1:60" s="3030" customFormat="1">
      <c r="A441" s="2126"/>
      <c r="B441" s="2126"/>
      <c r="C441" s="2126"/>
      <c r="D441" s="2126"/>
      <c r="E441" s="525"/>
      <c r="F441" s="525"/>
      <c r="G441" s="525"/>
      <c r="K441" s="3280"/>
      <c r="AB441" s="3280"/>
      <c r="AG441" s="3865"/>
      <c r="AM441" s="3041"/>
      <c r="BD441" s="3280"/>
      <c r="BF441" s="3041"/>
      <c r="BH441" s="3282"/>
    </row>
    <row r="442" spans="1:60" s="3030" customFormat="1">
      <c r="A442" s="2126"/>
      <c r="B442" s="2126"/>
      <c r="C442" s="2126"/>
      <c r="D442" s="2126"/>
      <c r="E442" s="525"/>
      <c r="F442" s="525"/>
      <c r="G442" s="525"/>
      <c r="K442" s="3280"/>
      <c r="AB442" s="3280"/>
      <c r="AG442" s="3865"/>
      <c r="AM442" s="3041"/>
      <c r="BD442" s="3280"/>
      <c r="BF442" s="3041"/>
      <c r="BH442" s="3282"/>
    </row>
    <row r="443" spans="1:60" s="3030" customFormat="1">
      <c r="A443" s="2126"/>
      <c r="B443" s="2126"/>
      <c r="C443" s="2126"/>
      <c r="D443" s="2126"/>
      <c r="E443" s="525"/>
      <c r="F443" s="525"/>
      <c r="G443" s="525"/>
      <c r="K443" s="3280"/>
      <c r="AB443" s="3280"/>
      <c r="AG443" s="3865"/>
      <c r="AM443" s="3041"/>
      <c r="BD443" s="3280"/>
      <c r="BF443" s="3041"/>
      <c r="BH443" s="3282"/>
    </row>
    <row r="444" spans="1:60" s="3030" customFormat="1">
      <c r="A444" s="2126"/>
      <c r="B444" s="2126"/>
      <c r="C444" s="2126"/>
      <c r="D444" s="2126"/>
      <c r="E444" s="525"/>
      <c r="F444" s="525"/>
      <c r="G444" s="525"/>
      <c r="K444" s="3280"/>
      <c r="AB444" s="3280"/>
      <c r="AG444" s="3865"/>
      <c r="AM444" s="3041"/>
      <c r="BD444" s="3280"/>
      <c r="BF444" s="3041"/>
      <c r="BH444" s="3282"/>
    </row>
    <row r="445" spans="1:60" s="3030" customFormat="1">
      <c r="A445" s="2126"/>
      <c r="B445" s="2126"/>
      <c r="C445" s="2126"/>
      <c r="D445" s="2126"/>
      <c r="E445" s="525"/>
      <c r="F445" s="525"/>
      <c r="G445" s="525"/>
      <c r="K445" s="3280"/>
      <c r="AB445" s="3280"/>
      <c r="AG445" s="3865"/>
      <c r="AM445" s="3041"/>
      <c r="BD445" s="3280"/>
      <c r="BF445" s="3041"/>
      <c r="BH445" s="3282"/>
    </row>
    <row r="446" spans="1:60" s="3030" customFormat="1">
      <c r="A446" s="2126"/>
      <c r="B446" s="2126"/>
      <c r="C446" s="2126"/>
      <c r="D446" s="2126"/>
      <c r="E446" s="525"/>
      <c r="F446" s="525"/>
      <c r="G446" s="525"/>
      <c r="K446" s="3280"/>
      <c r="AB446" s="3280"/>
      <c r="AG446" s="3865"/>
      <c r="AM446" s="3041"/>
      <c r="BD446" s="3280"/>
      <c r="BF446" s="3041"/>
      <c r="BH446" s="3282"/>
    </row>
    <row r="447" spans="1:60" s="3030" customFormat="1">
      <c r="A447" s="2126"/>
      <c r="B447" s="2126"/>
      <c r="C447" s="2126"/>
      <c r="D447" s="2126"/>
      <c r="E447" s="525"/>
      <c r="F447" s="525"/>
      <c r="G447" s="525"/>
      <c r="K447" s="3280"/>
      <c r="AB447" s="3280"/>
      <c r="AG447" s="3865"/>
      <c r="AM447" s="3041"/>
      <c r="BD447" s="3280"/>
      <c r="BF447" s="3041"/>
      <c r="BH447" s="3282"/>
    </row>
    <row r="448" spans="1:60" s="3030" customFormat="1">
      <c r="A448" s="2126"/>
      <c r="B448" s="2126"/>
      <c r="C448" s="2126"/>
      <c r="D448" s="2126"/>
      <c r="E448" s="525"/>
      <c r="F448" s="525"/>
      <c r="G448" s="525"/>
      <c r="K448" s="3280"/>
      <c r="AB448" s="3280"/>
      <c r="AG448" s="3865"/>
      <c r="AM448" s="3041"/>
      <c r="BD448" s="3280"/>
      <c r="BF448" s="3041"/>
      <c r="BH448" s="3282"/>
    </row>
    <row r="449" spans="1:60" s="3030" customFormat="1">
      <c r="A449" s="2126"/>
      <c r="B449" s="2126"/>
      <c r="C449" s="2126"/>
      <c r="D449" s="2126"/>
      <c r="E449" s="525"/>
      <c r="F449" s="525"/>
      <c r="G449" s="525"/>
      <c r="K449" s="3280"/>
      <c r="AB449" s="3280"/>
      <c r="AG449" s="3865"/>
      <c r="AM449" s="3041"/>
      <c r="BD449" s="3280"/>
      <c r="BF449" s="3041"/>
      <c r="BH449" s="3282"/>
    </row>
    <row r="450" spans="1:60" s="3030" customFormat="1">
      <c r="A450" s="2126"/>
      <c r="B450" s="2126"/>
      <c r="C450" s="2126"/>
      <c r="D450" s="2126"/>
      <c r="E450" s="525"/>
      <c r="F450" s="525"/>
      <c r="G450" s="525"/>
      <c r="K450" s="3280"/>
      <c r="AB450" s="3280"/>
      <c r="AG450" s="3865"/>
      <c r="AM450" s="3041"/>
      <c r="BD450" s="3280"/>
      <c r="BF450" s="3041"/>
      <c r="BH450" s="3282"/>
    </row>
    <row r="451" spans="1:60" s="3030" customFormat="1">
      <c r="A451" s="2126"/>
      <c r="B451" s="2126"/>
      <c r="C451" s="2126"/>
      <c r="D451" s="2126"/>
      <c r="E451" s="525"/>
      <c r="F451" s="525"/>
      <c r="G451" s="525"/>
      <c r="K451" s="3280"/>
      <c r="AB451" s="3280"/>
      <c r="AG451" s="3865"/>
      <c r="AM451" s="3041"/>
      <c r="BD451" s="3280"/>
      <c r="BF451" s="3041"/>
      <c r="BH451" s="3282"/>
    </row>
    <row r="452" spans="1:60" s="3030" customFormat="1">
      <c r="A452" s="2126"/>
      <c r="B452" s="2126"/>
      <c r="C452" s="2126"/>
      <c r="D452" s="2126"/>
      <c r="E452" s="525"/>
      <c r="F452" s="525"/>
      <c r="G452" s="525"/>
      <c r="K452" s="3280"/>
      <c r="AB452" s="3280"/>
      <c r="AG452" s="3865"/>
      <c r="AM452" s="3041"/>
      <c r="BD452" s="3280"/>
      <c r="BF452" s="3041"/>
      <c r="BH452" s="3282"/>
    </row>
    <row r="453" spans="1:60" s="3030" customFormat="1">
      <c r="A453" s="2126"/>
      <c r="B453" s="2126"/>
      <c r="C453" s="2126"/>
      <c r="D453" s="2126"/>
      <c r="E453" s="525"/>
      <c r="F453" s="525"/>
      <c r="G453" s="525"/>
      <c r="K453" s="3280"/>
      <c r="AB453" s="3280"/>
      <c r="AG453" s="3865"/>
      <c r="AM453" s="3041"/>
      <c r="BD453" s="3280"/>
      <c r="BF453" s="3041"/>
      <c r="BH453" s="3282"/>
    </row>
    <row r="454" spans="1:60" s="3030" customFormat="1">
      <c r="A454" s="2126"/>
      <c r="B454" s="2126"/>
      <c r="C454" s="2126"/>
      <c r="D454" s="2126"/>
      <c r="E454" s="525"/>
      <c r="F454" s="525"/>
      <c r="G454" s="525"/>
      <c r="K454" s="3280"/>
      <c r="AB454" s="3280"/>
      <c r="AG454" s="3865"/>
      <c r="AM454" s="3041"/>
      <c r="BD454" s="3280"/>
      <c r="BF454" s="3041"/>
      <c r="BH454" s="3282"/>
    </row>
    <row r="455" spans="1:60" s="3030" customFormat="1">
      <c r="A455" s="2126"/>
      <c r="B455" s="2126"/>
      <c r="C455" s="2126"/>
      <c r="D455" s="2126"/>
      <c r="E455" s="525"/>
      <c r="F455" s="525"/>
      <c r="G455" s="525"/>
      <c r="K455" s="3280"/>
      <c r="AB455" s="3280"/>
      <c r="AG455" s="3865"/>
      <c r="AM455" s="3041"/>
      <c r="BD455" s="3280"/>
      <c r="BF455" s="3041"/>
      <c r="BH455" s="3282"/>
    </row>
    <row r="456" spans="1:60" s="3030" customFormat="1">
      <c r="A456" s="2126"/>
      <c r="B456" s="2126"/>
      <c r="C456" s="2126"/>
      <c r="D456" s="2126"/>
      <c r="E456" s="525"/>
      <c r="F456" s="525"/>
      <c r="G456" s="525"/>
      <c r="K456" s="3280"/>
      <c r="AB456" s="3280"/>
      <c r="AG456" s="3865"/>
      <c r="AM456" s="3041"/>
      <c r="BD456" s="3280"/>
      <c r="BF456" s="3041"/>
      <c r="BH456" s="3282"/>
    </row>
    <row r="457" spans="1:60" s="3030" customFormat="1">
      <c r="A457" s="2126"/>
      <c r="B457" s="2126"/>
      <c r="C457" s="2126"/>
      <c r="D457" s="2126"/>
      <c r="E457" s="525"/>
      <c r="F457" s="525"/>
      <c r="G457" s="525"/>
      <c r="K457" s="3280"/>
      <c r="AB457" s="3280"/>
      <c r="AG457" s="3865"/>
      <c r="AM457" s="3041"/>
      <c r="BD457" s="3280"/>
      <c r="BF457" s="3041"/>
      <c r="BH457" s="3282"/>
    </row>
    <row r="458" spans="1:60" s="3030" customFormat="1">
      <c r="A458" s="2126"/>
      <c r="B458" s="2126"/>
      <c r="C458" s="2126"/>
      <c r="D458" s="2126"/>
      <c r="E458" s="525"/>
      <c r="F458" s="525"/>
      <c r="G458" s="525"/>
      <c r="K458" s="3280"/>
      <c r="AB458" s="3280"/>
      <c r="AG458" s="3865"/>
      <c r="AM458" s="3041"/>
      <c r="BD458" s="3280"/>
      <c r="BF458" s="3041"/>
      <c r="BH458" s="3282"/>
    </row>
    <row r="459" spans="1:60" s="3030" customFormat="1">
      <c r="A459" s="2126"/>
      <c r="B459" s="2126"/>
      <c r="C459" s="2126"/>
      <c r="D459" s="2126"/>
      <c r="E459" s="525"/>
      <c r="F459" s="525"/>
      <c r="G459" s="525"/>
      <c r="K459" s="3280"/>
      <c r="AB459" s="3280"/>
      <c r="AG459" s="3865"/>
      <c r="AM459" s="3041"/>
      <c r="BD459" s="3280"/>
      <c r="BF459" s="3041"/>
      <c r="BH459" s="3282"/>
    </row>
    <row r="460" spans="1:60" s="3030" customFormat="1">
      <c r="A460" s="2126"/>
      <c r="B460" s="2126"/>
      <c r="C460" s="2126"/>
      <c r="D460" s="2126"/>
      <c r="E460" s="525"/>
      <c r="F460" s="525"/>
      <c r="G460" s="525"/>
      <c r="K460" s="3280"/>
      <c r="AB460" s="3280"/>
      <c r="AG460" s="3865"/>
      <c r="AM460" s="3041"/>
      <c r="BD460" s="3280"/>
      <c r="BF460" s="3041"/>
      <c r="BH460" s="3282"/>
    </row>
    <row r="461" spans="1:60" s="3030" customFormat="1">
      <c r="A461" s="2126"/>
      <c r="B461" s="2126"/>
      <c r="C461" s="2126"/>
      <c r="D461" s="2126"/>
      <c r="E461" s="525"/>
      <c r="F461" s="525"/>
      <c r="G461" s="525"/>
      <c r="K461" s="3280"/>
      <c r="AB461" s="3280"/>
      <c r="AG461" s="3865"/>
      <c r="AM461" s="3041"/>
      <c r="BD461" s="3280"/>
      <c r="BF461" s="3041"/>
      <c r="BH461" s="3282"/>
    </row>
    <row r="462" spans="1:60" s="3030" customFormat="1">
      <c r="A462" s="2126"/>
      <c r="B462" s="2126"/>
      <c r="C462" s="2126"/>
      <c r="D462" s="2126"/>
      <c r="E462" s="525"/>
      <c r="F462" s="525"/>
      <c r="G462" s="525"/>
      <c r="K462" s="3280"/>
      <c r="AB462" s="3280"/>
      <c r="AG462" s="3865"/>
      <c r="AM462" s="3041"/>
      <c r="BD462" s="3280"/>
      <c r="BF462" s="3041"/>
      <c r="BH462" s="3282"/>
    </row>
    <row r="463" spans="1:60" s="3030" customFormat="1">
      <c r="A463" s="2126"/>
      <c r="B463" s="2126"/>
      <c r="C463" s="2126"/>
      <c r="D463" s="2126"/>
      <c r="E463" s="525"/>
      <c r="F463" s="525"/>
      <c r="G463" s="525"/>
      <c r="K463" s="3280"/>
      <c r="AB463" s="3280"/>
      <c r="AG463" s="3865"/>
      <c r="AM463" s="3041"/>
      <c r="BD463" s="3280"/>
      <c r="BF463" s="3041"/>
      <c r="BH463" s="3282"/>
    </row>
    <row r="464" spans="1:60" s="3030" customFormat="1">
      <c r="A464" s="2126"/>
      <c r="B464" s="2126"/>
      <c r="C464" s="2126"/>
      <c r="D464" s="2126"/>
      <c r="E464" s="525"/>
      <c r="F464" s="525"/>
      <c r="G464" s="525"/>
      <c r="K464" s="3280"/>
      <c r="AB464" s="3280"/>
      <c r="AG464" s="3865"/>
      <c r="AM464" s="3041"/>
      <c r="BD464" s="3280"/>
      <c r="BF464" s="3041"/>
      <c r="BH464" s="3282"/>
    </row>
    <row r="465" spans="1:60" s="3030" customFormat="1">
      <c r="A465" s="2126"/>
      <c r="B465" s="2126"/>
      <c r="C465" s="2126"/>
      <c r="D465" s="2126"/>
      <c r="E465" s="525"/>
      <c r="F465" s="525"/>
      <c r="G465" s="525"/>
      <c r="K465" s="3280"/>
      <c r="AB465" s="3280"/>
      <c r="AG465" s="3865"/>
      <c r="AM465" s="3041"/>
      <c r="BD465" s="3280"/>
      <c r="BF465" s="3041"/>
      <c r="BH465" s="3282"/>
    </row>
    <row r="466" spans="1:60" s="3030" customFormat="1">
      <c r="A466" s="2126"/>
      <c r="B466" s="2126"/>
      <c r="C466" s="2126"/>
      <c r="D466" s="2126"/>
      <c r="E466" s="525"/>
      <c r="F466" s="525"/>
      <c r="G466" s="525"/>
      <c r="K466" s="3280"/>
      <c r="AB466" s="3280"/>
      <c r="AG466" s="3865"/>
      <c r="AM466" s="3041"/>
      <c r="BD466" s="3280"/>
      <c r="BF466" s="3041"/>
      <c r="BH466" s="3282"/>
    </row>
    <row r="467" spans="1:60" s="3030" customFormat="1">
      <c r="A467" s="2126"/>
      <c r="B467" s="2126"/>
      <c r="C467" s="2126"/>
      <c r="D467" s="2126"/>
      <c r="E467" s="525"/>
      <c r="F467" s="525"/>
      <c r="G467" s="525"/>
      <c r="K467" s="3280"/>
      <c r="AB467" s="3280"/>
      <c r="AG467" s="3865"/>
      <c r="AM467" s="3041"/>
      <c r="BD467" s="3280"/>
      <c r="BF467" s="3041"/>
      <c r="BH467" s="3282"/>
    </row>
    <row r="468" spans="1:60" s="3030" customFormat="1">
      <c r="A468" s="2126"/>
      <c r="B468" s="2126"/>
      <c r="C468" s="2126"/>
      <c r="D468" s="2126"/>
      <c r="E468" s="525"/>
      <c r="F468" s="525"/>
      <c r="G468" s="525"/>
      <c r="K468" s="3280"/>
      <c r="AB468" s="3280"/>
      <c r="AG468" s="3865"/>
      <c r="AM468" s="3041"/>
      <c r="BD468" s="3280"/>
      <c r="BF468" s="3041"/>
      <c r="BH468" s="3282"/>
    </row>
    <row r="469" spans="1:60" s="3030" customFormat="1">
      <c r="A469" s="2126"/>
      <c r="B469" s="2126"/>
      <c r="C469" s="2126"/>
      <c r="D469" s="2126"/>
      <c r="E469" s="525"/>
      <c r="F469" s="525"/>
      <c r="G469" s="525"/>
      <c r="K469" s="3280"/>
      <c r="AB469" s="3280"/>
      <c r="AG469" s="3865"/>
      <c r="AM469" s="3041"/>
      <c r="BD469" s="3280"/>
      <c r="BF469" s="3041"/>
      <c r="BH469" s="3282"/>
    </row>
    <row r="470" spans="1:60" s="3030" customFormat="1">
      <c r="A470" s="2126"/>
      <c r="B470" s="2126"/>
      <c r="C470" s="2126"/>
      <c r="D470" s="2126"/>
      <c r="E470" s="525"/>
      <c r="F470" s="525"/>
      <c r="G470" s="525"/>
      <c r="K470" s="3280"/>
      <c r="AB470" s="3280"/>
      <c r="AG470" s="3865"/>
      <c r="AM470" s="3041"/>
      <c r="BD470" s="3280"/>
      <c r="BF470" s="3041"/>
      <c r="BH470" s="3282"/>
    </row>
    <row r="471" spans="1:60" s="3030" customFormat="1">
      <c r="A471" s="2126"/>
      <c r="B471" s="2126"/>
      <c r="C471" s="2126"/>
      <c r="D471" s="2126"/>
      <c r="E471" s="525"/>
      <c r="F471" s="525"/>
      <c r="G471" s="525"/>
      <c r="K471" s="3280"/>
      <c r="AB471" s="3280"/>
      <c r="AG471" s="3865"/>
      <c r="AM471" s="3041"/>
      <c r="BD471" s="3280"/>
      <c r="BF471" s="3041"/>
      <c r="BH471" s="3282"/>
    </row>
    <row r="472" spans="1:60" s="3030" customFormat="1">
      <c r="A472" s="2126"/>
      <c r="B472" s="2126"/>
      <c r="C472" s="2126"/>
      <c r="D472" s="2126"/>
      <c r="E472" s="525"/>
      <c r="F472" s="525"/>
      <c r="G472" s="525"/>
      <c r="K472" s="3280"/>
      <c r="AB472" s="3280"/>
      <c r="AG472" s="3865"/>
      <c r="AM472" s="3041"/>
      <c r="BD472" s="3280"/>
      <c r="BF472" s="3041"/>
      <c r="BH472" s="3282"/>
    </row>
    <row r="473" spans="1:60" s="3030" customFormat="1">
      <c r="A473" s="2126"/>
      <c r="B473" s="2126"/>
      <c r="C473" s="2126"/>
      <c r="D473" s="2126"/>
      <c r="E473" s="525"/>
      <c r="F473" s="525"/>
      <c r="G473" s="525"/>
      <c r="K473" s="3280"/>
      <c r="AB473" s="3280"/>
      <c r="AG473" s="3865"/>
      <c r="AM473" s="3041"/>
      <c r="BD473" s="3280"/>
      <c r="BF473" s="3041"/>
      <c r="BH473" s="3282"/>
    </row>
    <row r="474" spans="1:60" s="3030" customFormat="1">
      <c r="A474" s="2126"/>
      <c r="B474" s="2126"/>
      <c r="C474" s="2126"/>
      <c r="D474" s="2126"/>
      <c r="E474" s="525"/>
      <c r="F474" s="525"/>
      <c r="G474" s="525"/>
      <c r="K474" s="3280"/>
      <c r="AB474" s="3280"/>
      <c r="AG474" s="3865"/>
      <c r="AM474" s="3041"/>
      <c r="BD474" s="3280"/>
      <c r="BF474" s="3041"/>
      <c r="BH474" s="3282"/>
    </row>
    <row r="475" spans="1:60" s="3030" customFormat="1">
      <c r="A475" s="2126"/>
      <c r="B475" s="2126"/>
      <c r="C475" s="2126"/>
      <c r="D475" s="2126"/>
      <c r="E475" s="525"/>
      <c r="F475" s="525"/>
      <c r="G475" s="525"/>
      <c r="K475" s="3280"/>
      <c r="AB475" s="3280"/>
      <c r="AG475" s="3865"/>
      <c r="AM475" s="3041"/>
      <c r="BD475" s="3280"/>
      <c r="BF475" s="3041"/>
      <c r="BH475" s="3282"/>
    </row>
    <row r="476" spans="1:60" s="3030" customFormat="1">
      <c r="A476" s="2126"/>
      <c r="B476" s="2126"/>
      <c r="C476" s="2126"/>
      <c r="D476" s="2126"/>
      <c r="E476" s="525"/>
      <c r="F476" s="525"/>
      <c r="G476" s="525"/>
      <c r="K476" s="3280"/>
      <c r="AB476" s="3280"/>
      <c r="AG476" s="3865"/>
      <c r="AM476" s="3041"/>
      <c r="BD476" s="3280"/>
      <c r="BF476" s="3041"/>
      <c r="BH476" s="3282"/>
    </row>
    <row r="477" spans="1:60" s="3030" customFormat="1">
      <c r="A477" s="2126"/>
      <c r="B477" s="2126"/>
      <c r="C477" s="2126"/>
      <c r="D477" s="2126"/>
      <c r="E477" s="525"/>
      <c r="F477" s="525"/>
      <c r="G477" s="525"/>
      <c r="K477" s="3280"/>
      <c r="AB477" s="3280"/>
      <c r="AG477" s="3865"/>
      <c r="AM477" s="3041"/>
      <c r="BD477" s="3280"/>
      <c r="BF477" s="3041"/>
      <c r="BH477" s="3282"/>
    </row>
    <row r="478" spans="1:60" s="3030" customFormat="1">
      <c r="A478" s="2126"/>
      <c r="B478" s="2126"/>
      <c r="C478" s="2126"/>
      <c r="D478" s="2126"/>
      <c r="E478" s="525"/>
      <c r="F478" s="525"/>
      <c r="G478" s="525"/>
      <c r="K478" s="3280"/>
      <c r="AB478" s="3280"/>
      <c r="AG478" s="3865"/>
      <c r="AM478" s="3041"/>
      <c r="BD478" s="3280"/>
      <c r="BF478" s="3041"/>
      <c r="BH478" s="3282"/>
    </row>
    <row r="479" spans="1:60" s="3030" customFormat="1">
      <c r="A479" s="2126"/>
      <c r="B479" s="2126"/>
      <c r="C479" s="2126"/>
      <c r="D479" s="2126"/>
      <c r="E479" s="525"/>
      <c r="F479" s="525"/>
      <c r="G479" s="525"/>
      <c r="K479" s="3280"/>
      <c r="AB479" s="3280"/>
      <c r="AG479" s="3865"/>
      <c r="AM479" s="3041"/>
      <c r="BD479" s="3280"/>
      <c r="BF479" s="3041"/>
      <c r="BH479" s="3282"/>
    </row>
    <row r="480" spans="1:60" s="3030" customFormat="1">
      <c r="A480" s="2126"/>
      <c r="B480" s="2126"/>
      <c r="C480" s="2126"/>
      <c r="D480" s="2126"/>
      <c r="E480" s="525"/>
      <c r="F480" s="525"/>
      <c r="G480" s="525"/>
      <c r="K480" s="3280"/>
      <c r="AB480" s="3280"/>
      <c r="AG480" s="3865"/>
      <c r="AM480" s="3041"/>
      <c r="BD480" s="3280"/>
      <c r="BF480" s="3041"/>
      <c r="BH480" s="3282"/>
    </row>
    <row r="481" spans="1:60" s="3030" customFormat="1">
      <c r="A481" s="2126"/>
      <c r="B481" s="2126"/>
      <c r="C481" s="2126"/>
      <c r="D481" s="2126"/>
      <c r="E481" s="525"/>
      <c r="F481" s="525"/>
      <c r="G481" s="525"/>
      <c r="K481" s="3280"/>
      <c r="AB481" s="3280"/>
      <c r="AG481" s="3865"/>
      <c r="AM481" s="3041"/>
      <c r="BD481" s="3280"/>
      <c r="BF481" s="3041"/>
      <c r="BH481" s="3282"/>
    </row>
    <row r="482" spans="1:60" s="3030" customFormat="1">
      <c r="A482" s="2126"/>
      <c r="B482" s="2126"/>
      <c r="C482" s="2126"/>
      <c r="D482" s="2126"/>
      <c r="E482" s="525"/>
      <c r="F482" s="525"/>
      <c r="G482" s="525"/>
      <c r="K482" s="3280"/>
      <c r="AB482" s="3280"/>
      <c r="AG482" s="3865"/>
      <c r="AM482" s="3041"/>
      <c r="BD482" s="3280"/>
      <c r="BF482" s="3041"/>
      <c r="BH482" s="3282"/>
    </row>
    <row r="483" spans="1:60" s="3030" customFormat="1">
      <c r="A483" s="2126"/>
      <c r="B483" s="2126"/>
      <c r="C483" s="2126"/>
      <c r="D483" s="2126"/>
      <c r="E483" s="525"/>
      <c r="F483" s="525"/>
      <c r="G483" s="525"/>
      <c r="K483" s="3280"/>
      <c r="AB483" s="3280"/>
      <c r="AG483" s="3865"/>
      <c r="AM483" s="3041"/>
      <c r="BD483" s="3280"/>
      <c r="BF483" s="3041"/>
      <c r="BH483" s="3282"/>
    </row>
    <row r="484" spans="1:60" s="3030" customFormat="1">
      <c r="A484" s="2126"/>
      <c r="B484" s="2126"/>
      <c r="C484" s="2126"/>
      <c r="D484" s="2126"/>
      <c r="E484" s="525"/>
      <c r="F484" s="525"/>
      <c r="G484" s="525"/>
      <c r="K484" s="3280"/>
      <c r="AB484" s="3280"/>
      <c r="AG484" s="3865"/>
      <c r="AM484" s="3041"/>
      <c r="BD484" s="3280"/>
      <c r="BF484" s="3041"/>
      <c r="BH484" s="3282"/>
    </row>
    <row r="485" spans="1:60" s="3030" customFormat="1">
      <c r="A485" s="2126"/>
      <c r="B485" s="2126"/>
      <c r="C485" s="2126"/>
      <c r="D485" s="2126"/>
      <c r="E485" s="525"/>
      <c r="F485" s="525"/>
      <c r="G485" s="525"/>
      <c r="K485" s="3280"/>
      <c r="AB485" s="3280"/>
      <c r="AG485" s="3865"/>
      <c r="AM485" s="3041"/>
      <c r="BD485" s="3280"/>
      <c r="BF485" s="3041"/>
      <c r="BH485" s="3282"/>
    </row>
    <row r="486" spans="1:60" s="3030" customFormat="1">
      <c r="A486" s="2126"/>
      <c r="B486" s="2126"/>
      <c r="C486" s="2126"/>
      <c r="D486" s="2126"/>
      <c r="E486" s="525"/>
      <c r="F486" s="525"/>
      <c r="G486" s="525"/>
      <c r="K486" s="3280"/>
      <c r="AB486" s="3280"/>
      <c r="AG486" s="3865"/>
      <c r="AM486" s="3041"/>
      <c r="BD486" s="3280"/>
      <c r="BF486" s="3041"/>
      <c r="BH486" s="3282"/>
    </row>
    <row r="487" spans="1:60" s="3030" customFormat="1">
      <c r="A487" s="2126"/>
      <c r="B487" s="2126"/>
      <c r="C487" s="2126"/>
      <c r="D487" s="2126"/>
      <c r="E487" s="525"/>
      <c r="F487" s="525"/>
      <c r="G487" s="525"/>
      <c r="K487" s="3280"/>
      <c r="AB487" s="3280"/>
      <c r="AG487" s="3865"/>
      <c r="AM487" s="3041"/>
      <c r="BD487" s="3280"/>
      <c r="BF487" s="3041"/>
      <c r="BH487" s="3282"/>
    </row>
    <row r="488" spans="1:60" s="3030" customFormat="1">
      <c r="A488" s="2126"/>
      <c r="B488" s="2126"/>
      <c r="C488" s="2126"/>
      <c r="D488" s="2126"/>
      <c r="E488" s="525"/>
      <c r="F488" s="525"/>
      <c r="G488" s="525"/>
      <c r="K488" s="3280"/>
      <c r="AB488" s="3280"/>
      <c r="AG488" s="3865"/>
      <c r="AM488" s="3041"/>
      <c r="BD488" s="3280"/>
      <c r="BF488" s="3041"/>
      <c r="BH488" s="3282"/>
    </row>
    <row r="489" spans="1:60" s="3030" customFormat="1">
      <c r="A489" s="2126"/>
      <c r="B489" s="2126"/>
      <c r="C489" s="2126"/>
      <c r="D489" s="2126"/>
      <c r="E489" s="525"/>
      <c r="F489" s="525"/>
      <c r="G489" s="525"/>
      <c r="K489" s="3280"/>
      <c r="AB489" s="3280"/>
      <c r="AG489" s="3865"/>
      <c r="AM489" s="3041"/>
      <c r="BD489" s="3280"/>
      <c r="BF489" s="3041"/>
      <c r="BH489" s="3282"/>
    </row>
    <row r="490" spans="1:60" s="3030" customFormat="1">
      <c r="A490" s="2126"/>
      <c r="B490" s="2126"/>
      <c r="C490" s="2126"/>
      <c r="D490" s="2126"/>
      <c r="E490" s="525"/>
      <c r="F490" s="525"/>
      <c r="G490" s="525"/>
      <c r="K490" s="3280"/>
      <c r="AB490" s="3280"/>
      <c r="AG490" s="3865"/>
      <c r="AM490" s="3041"/>
      <c r="BD490" s="3280"/>
      <c r="BF490" s="3041"/>
      <c r="BH490" s="3282"/>
    </row>
    <row r="491" spans="1:60" s="3030" customFormat="1">
      <c r="A491" s="2126"/>
      <c r="B491" s="2126"/>
      <c r="C491" s="2126"/>
      <c r="D491" s="2126"/>
      <c r="E491" s="525"/>
      <c r="F491" s="525"/>
      <c r="G491" s="525"/>
      <c r="K491" s="3280"/>
      <c r="AB491" s="3280"/>
      <c r="AG491" s="3865"/>
      <c r="AM491" s="3041"/>
      <c r="BD491" s="3280"/>
      <c r="BF491" s="3041"/>
      <c r="BH491" s="3282"/>
    </row>
    <row r="492" spans="1:60" s="3030" customFormat="1">
      <c r="A492" s="2126"/>
      <c r="B492" s="2126"/>
      <c r="C492" s="2126"/>
      <c r="D492" s="2126"/>
      <c r="E492" s="525"/>
      <c r="F492" s="525"/>
      <c r="G492" s="525"/>
      <c r="K492" s="3280"/>
      <c r="AB492" s="3280"/>
      <c r="AG492" s="3865"/>
      <c r="AM492" s="3041"/>
      <c r="BD492" s="3280"/>
      <c r="BF492" s="3041"/>
      <c r="BH492" s="3282"/>
    </row>
    <row r="493" spans="1:60" s="3030" customFormat="1">
      <c r="A493" s="2126"/>
      <c r="B493" s="2126"/>
      <c r="C493" s="2126"/>
      <c r="D493" s="2126"/>
      <c r="E493" s="525"/>
      <c r="F493" s="525"/>
      <c r="G493" s="525"/>
      <c r="K493" s="3280"/>
      <c r="AB493" s="3280"/>
      <c r="AG493" s="3865"/>
      <c r="AM493" s="3041"/>
      <c r="BD493" s="3280"/>
      <c r="BF493" s="3041"/>
      <c r="BH493" s="3282"/>
    </row>
    <row r="494" spans="1:60" s="3030" customFormat="1">
      <c r="A494" s="2126"/>
      <c r="B494" s="2126"/>
      <c r="C494" s="2126"/>
      <c r="D494" s="2126"/>
      <c r="E494" s="525"/>
      <c r="F494" s="525"/>
      <c r="G494" s="525"/>
      <c r="K494" s="3280"/>
      <c r="AB494" s="3280"/>
      <c r="AG494" s="3865"/>
      <c r="AM494" s="3041"/>
      <c r="BD494" s="3280"/>
      <c r="BF494" s="3041"/>
      <c r="BH494" s="3282"/>
    </row>
    <row r="495" spans="1:60" s="3030" customFormat="1">
      <c r="A495" s="2126"/>
      <c r="B495" s="2126"/>
      <c r="C495" s="2126"/>
      <c r="D495" s="2126"/>
      <c r="E495" s="525"/>
      <c r="F495" s="525"/>
      <c r="G495" s="525"/>
      <c r="K495" s="3280"/>
      <c r="AB495" s="3280"/>
      <c r="AG495" s="3865"/>
      <c r="AM495" s="3041"/>
      <c r="BD495" s="3280"/>
      <c r="BF495" s="3041"/>
      <c r="BH495" s="3282"/>
    </row>
    <row r="496" spans="1:60" s="3030" customFormat="1">
      <c r="A496" s="2126"/>
      <c r="B496" s="2126"/>
      <c r="C496" s="2126"/>
      <c r="D496" s="2126"/>
      <c r="E496" s="525"/>
      <c r="F496" s="525"/>
      <c r="G496" s="525"/>
      <c r="K496" s="3280"/>
      <c r="AB496" s="3280"/>
      <c r="AG496" s="3865"/>
      <c r="AM496" s="3041"/>
      <c r="BD496" s="3280"/>
      <c r="BF496" s="3041"/>
      <c r="BH496" s="3282"/>
    </row>
    <row r="497" spans="1:60" s="3030" customFormat="1">
      <c r="A497" s="2126"/>
      <c r="B497" s="2126"/>
      <c r="C497" s="2126"/>
      <c r="D497" s="2126"/>
      <c r="E497" s="525"/>
      <c r="F497" s="525"/>
      <c r="G497" s="525"/>
      <c r="K497" s="3280"/>
      <c r="AB497" s="3280"/>
      <c r="AG497" s="3865"/>
      <c r="AM497" s="3041"/>
      <c r="BD497" s="3280"/>
      <c r="BF497" s="3041"/>
      <c r="BH497" s="3282"/>
    </row>
    <row r="498" spans="1:60" s="3030" customFormat="1">
      <c r="A498" s="2126"/>
      <c r="B498" s="2126"/>
      <c r="C498" s="2126"/>
      <c r="D498" s="2126"/>
      <c r="E498" s="525"/>
      <c r="F498" s="525"/>
      <c r="G498" s="525"/>
      <c r="K498" s="3280"/>
      <c r="AB498" s="3280"/>
      <c r="AG498" s="3865"/>
      <c r="AM498" s="3041"/>
      <c r="BD498" s="3280"/>
      <c r="BF498" s="3041"/>
      <c r="BH498" s="3282"/>
    </row>
    <row r="499" spans="1:60" s="3030" customFormat="1">
      <c r="A499" s="2126"/>
      <c r="B499" s="2126"/>
      <c r="C499" s="2126"/>
      <c r="D499" s="2126"/>
      <c r="E499" s="525"/>
      <c r="F499" s="525"/>
      <c r="G499" s="525"/>
      <c r="K499" s="3280"/>
      <c r="AB499" s="3280"/>
      <c r="AG499" s="3865"/>
      <c r="AM499" s="3041"/>
      <c r="BD499" s="3280"/>
      <c r="BF499" s="3041"/>
      <c r="BH499" s="3282"/>
    </row>
    <row r="500" spans="1:60" s="3030" customFormat="1">
      <c r="A500" s="2126"/>
      <c r="B500" s="2126"/>
      <c r="C500" s="2126"/>
      <c r="D500" s="2126"/>
      <c r="E500" s="525"/>
      <c r="F500" s="525"/>
      <c r="G500" s="525"/>
      <c r="K500" s="3280"/>
      <c r="AB500" s="3280"/>
      <c r="AG500" s="3865"/>
      <c r="AM500" s="3041"/>
      <c r="BD500" s="3280"/>
      <c r="BF500" s="3041"/>
      <c r="BH500" s="3282"/>
    </row>
    <row r="501" spans="1:60" s="3030" customFormat="1">
      <c r="A501" s="2126"/>
      <c r="B501" s="2126"/>
      <c r="C501" s="2126"/>
      <c r="D501" s="2126"/>
      <c r="E501" s="525"/>
      <c r="F501" s="525"/>
      <c r="G501" s="525"/>
      <c r="K501" s="3280"/>
      <c r="AB501" s="3280"/>
      <c r="AG501" s="3865"/>
      <c r="AM501" s="3041"/>
      <c r="BD501" s="3280"/>
      <c r="BF501" s="3041"/>
      <c r="BH501" s="3282"/>
    </row>
    <row r="502" spans="1:60" s="3030" customFormat="1">
      <c r="A502" s="2126"/>
      <c r="B502" s="2126"/>
      <c r="C502" s="2126"/>
      <c r="D502" s="2126"/>
      <c r="E502" s="525"/>
      <c r="F502" s="525"/>
      <c r="G502" s="525"/>
      <c r="K502" s="3280"/>
      <c r="AB502" s="3280"/>
      <c r="AG502" s="3865"/>
      <c r="AM502" s="3041"/>
      <c r="BD502" s="3280"/>
      <c r="BF502" s="3041"/>
      <c r="BH502" s="3282"/>
    </row>
    <row r="503" spans="1:60" s="3030" customFormat="1">
      <c r="A503" s="2126"/>
      <c r="B503" s="2126"/>
      <c r="C503" s="2126"/>
      <c r="D503" s="2126"/>
      <c r="E503" s="525"/>
      <c r="F503" s="525"/>
      <c r="G503" s="525"/>
      <c r="K503" s="3280"/>
      <c r="AB503" s="3280"/>
      <c r="AG503" s="3865"/>
      <c r="AM503" s="3041"/>
      <c r="BD503" s="3280"/>
      <c r="BF503" s="3041"/>
      <c r="BH503" s="3282"/>
    </row>
    <row r="504" spans="1:60" s="3030" customFormat="1">
      <c r="A504" s="2126"/>
      <c r="B504" s="2126"/>
      <c r="C504" s="2126"/>
      <c r="D504" s="2126"/>
      <c r="E504" s="525"/>
      <c r="F504" s="525"/>
      <c r="G504" s="525"/>
      <c r="K504" s="3280"/>
      <c r="AB504" s="3280"/>
      <c r="AG504" s="3865"/>
      <c r="AM504" s="3041"/>
      <c r="BD504" s="3280"/>
      <c r="BF504" s="3041"/>
      <c r="BH504" s="3282"/>
    </row>
    <row r="505" spans="1:60" s="3030" customFormat="1">
      <c r="A505" s="2126"/>
      <c r="B505" s="2126"/>
      <c r="C505" s="2126"/>
      <c r="D505" s="2126"/>
      <c r="E505" s="525"/>
      <c r="F505" s="525"/>
      <c r="G505" s="525"/>
      <c r="K505" s="3280"/>
      <c r="AB505" s="3280"/>
      <c r="AG505" s="3865"/>
      <c r="AM505" s="3041"/>
      <c r="BD505" s="3280"/>
      <c r="BF505" s="3041"/>
      <c r="BH505" s="3282"/>
    </row>
    <row r="506" spans="1:60" s="3030" customFormat="1">
      <c r="A506" s="2126"/>
      <c r="B506" s="2126"/>
      <c r="C506" s="2126"/>
      <c r="D506" s="2126"/>
      <c r="E506" s="525"/>
      <c r="F506" s="525"/>
      <c r="G506" s="525"/>
      <c r="K506" s="3280"/>
      <c r="AB506" s="3280"/>
      <c r="AG506" s="3865"/>
      <c r="AM506" s="3041"/>
      <c r="BD506" s="3280"/>
      <c r="BF506" s="3041"/>
      <c r="BH506" s="3282"/>
    </row>
    <row r="507" spans="1:60" s="3030" customFormat="1">
      <c r="A507" s="2126"/>
      <c r="B507" s="2126"/>
      <c r="C507" s="2126"/>
      <c r="D507" s="2126"/>
      <c r="E507" s="525"/>
      <c r="F507" s="525"/>
      <c r="G507" s="525"/>
      <c r="K507" s="3280"/>
      <c r="AB507" s="3280"/>
      <c r="AG507" s="3865"/>
      <c r="AM507" s="3041"/>
      <c r="BD507" s="3280"/>
      <c r="BF507" s="3041"/>
      <c r="BH507" s="3282"/>
    </row>
    <row r="508" spans="1:60" s="3030" customFormat="1">
      <c r="A508" s="2126"/>
      <c r="B508" s="2126"/>
      <c r="C508" s="2126"/>
      <c r="D508" s="2126"/>
      <c r="E508" s="525"/>
      <c r="F508" s="525"/>
      <c r="G508" s="525"/>
      <c r="K508" s="3280"/>
      <c r="AB508" s="3280"/>
      <c r="AG508" s="3865"/>
      <c r="AM508" s="3041"/>
      <c r="BD508" s="3280"/>
      <c r="BF508" s="3041"/>
      <c r="BH508" s="3282"/>
    </row>
    <row r="509" spans="1:60" s="3030" customFormat="1">
      <c r="A509" s="2126"/>
      <c r="B509" s="2126"/>
      <c r="C509" s="2126"/>
      <c r="D509" s="2126"/>
      <c r="E509" s="525"/>
      <c r="F509" s="525"/>
      <c r="G509" s="525"/>
      <c r="K509" s="3280"/>
      <c r="AB509" s="3280"/>
      <c r="AG509" s="3865"/>
      <c r="AM509" s="3041"/>
      <c r="BD509" s="3280"/>
      <c r="BF509" s="3041"/>
      <c r="BH509" s="3282"/>
    </row>
    <row r="510" spans="1:60" s="3030" customFormat="1">
      <c r="A510" s="2126"/>
      <c r="B510" s="2126"/>
      <c r="C510" s="2126"/>
      <c r="D510" s="2126"/>
      <c r="E510" s="525"/>
      <c r="F510" s="525"/>
      <c r="G510" s="525"/>
      <c r="K510" s="3280"/>
      <c r="AB510" s="3280"/>
      <c r="AG510" s="3865"/>
      <c r="AM510" s="3041"/>
      <c r="BD510" s="3280"/>
      <c r="BF510" s="3041"/>
      <c r="BH510" s="3282"/>
    </row>
    <row r="511" spans="1:60" s="3030" customFormat="1">
      <c r="A511" s="2126"/>
      <c r="B511" s="2126"/>
      <c r="C511" s="2126"/>
      <c r="D511" s="2126"/>
      <c r="E511" s="525"/>
      <c r="F511" s="525"/>
      <c r="G511" s="525"/>
      <c r="K511" s="3280"/>
      <c r="AB511" s="3280"/>
      <c r="AG511" s="3865"/>
      <c r="AM511" s="3041"/>
      <c r="BD511" s="3280"/>
      <c r="BF511" s="3041"/>
      <c r="BH511" s="3282"/>
    </row>
    <row r="512" spans="1:60" s="3030" customFormat="1">
      <c r="A512" s="2126"/>
      <c r="B512" s="2126"/>
      <c r="C512" s="2126"/>
      <c r="D512" s="2126"/>
      <c r="E512" s="525"/>
      <c r="F512" s="525"/>
      <c r="G512" s="525"/>
      <c r="K512" s="3280"/>
      <c r="AB512" s="3280"/>
      <c r="AG512" s="3865"/>
      <c r="AM512" s="3041"/>
      <c r="BD512" s="3280"/>
      <c r="BF512" s="3041"/>
      <c r="BH512" s="3282"/>
    </row>
    <row r="513" spans="1:60" s="3030" customFormat="1">
      <c r="A513" s="2126"/>
      <c r="B513" s="2126"/>
      <c r="C513" s="2126"/>
      <c r="D513" s="2126"/>
      <c r="E513" s="525"/>
      <c r="F513" s="525"/>
      <c r="G513" s="525"/>
      <c r="K513" s="3280"/>
      <c r="AB513" s="3280"/>
      <c r="AG513" s="3865"/>
      <c r="AM513" s="3041"/>
      <c r="BD513" s="3280"/>
      <c r="BF513" s="3041"/>
      <c r="BH513" s="3282"/>
    </row>
    <row r="514" spans="1:60" s="3030" customFormat="1">
      <c r="A514" s="2126"/>
      <c r="B514" s="2126"/>
      <c r="C514" s="2126"/>
      <c r="D514" s="2126"/>
      <c r="E514" s="525"/>
      <c r="F514" s="525"/>
      <c r="G514" s="525"/>
      <c r="K514" s="3280"/>
      <c r="AB514" s="3280"/>
      <c r="AG514" s="3865"/>
      <c r="AM514" s="3041"/>
      <c r="BD514" s="3280"/>
      <c r="BF514" s="3041"/>
      <c r="BH514" s="3282"/>
    </row>
    <row r="515" spans="1:60" s="3030" customFormat="1">
      <c r="A515" s="2126"/>
      <c r="B515" s="2126"/>
      <c r="C515" s="2126"/>
      <c r="D515" s="2126"/>
      <c r="E515" s="525"/>
      <c r="F515" s="525"/>
      <c r="G515" s="525"/>
      <c r="K515" s="3280"/>
      <c r="AB515" s="3280"/>
      <c r="AG515" s="3865"/>
      <c r="AM515" s="3041"/>
      <c r="BD515" s="3280"/>
      <c r="BF515" s="3041"/>
      <c r="BH515" s="3282"/>
    </row>
    <row r="516" spans="1:60" s="3030" customFormat="1">
      <c r="A516" s="2126"/>
      <c r="B516" s="2126"/>
      <c r="C516" s="2126"/>
      <c r="D516" s="2126"/>
      <c r="E516" s="525"/>
      <c r="F516" s="525"/>
      <c r="G516" s="525"/>
      <c r="K516" s="3280"/>
      <c r="AB516" s="3280"/>
      <c r="AG516" s="3865"/>
      <c r="AM516" s="3041"/>
      <c r="BD516" s="3280"/>
      <c r="BF516" s="3041"/>
      <c r="BH516" s="3282"/>
    </row>
    <row r="517" spans="1:60" s="3030" customFormat="1">
      <c r="A517" s="2126"/>
      <c r="B517" s="2126"/>
      <c r="C517" s="2126"/>
      <c r="D517" s="2126"/>
      <c r="E517" s="525"/>
      <c r="F517" s="525"/>
      <c r="G517" s="525"/>
      <c r="K517" s="3280"/>
      <c r="AB517" s="3280"/>
      <c r="AG517" s="3865"/>
      <c r="AM517" s="3041"/>
      <c r="BD517" s="3280"/>
      <c r="BF517" s="3041"/>
      <c r="BH517" s="3282"/>
    </row>
    <row r="518" spans="1:60" s="3030" customFormat="1">
      <c r="A518" s="2126"/>
      <c r="B518" s="2126"/>
      <c r="C518" s="2126"/>
      <c r="D518" s="2126"/>
      <c r="E518" s="525"/>
      <c r="F518" s="525"/>
      <c r="G518" s="525"/>
      <c r="K518" s="3280"/>
      <c r="AB518" s="3280"/>
      <c r="AG518" s="3865"/>
      <c r="AM518" s="3041"/>
      <c r="BD518" s="3280"/>
      <c r="BF518" s="3041"/>
      <c r="BH518" s="3282"/>
    </row>
    <row r="519" spans="1:60" s="3030" customFormat="1">
      <c r="A519" s="2126"/>
      <c r="B519" s="2126"/>
      <c r="C519" s="2126"/>
      <c r="D519" s="2126"/>
      <c r="E519" s="525"/>
      <c r="F519" s="525"/>
      <c r="G519" s="525"/>
      <c r="K519" s="3280"/>
      <c r="AB519" s="3280"/>
      <c r="AG519" s="3865"/>
      <c r="AM519" s="3041"/>
      <c r="BD519" s="3280"/>
      <c r="BF519" s="3041"/>
      <c r="BH519" s="3282"/>
    </row>
    <row r="520" spans="1:60" s="3030" customFormat="1">
      <c r="A520" s="2126"/>
      <c r="B520" s="2126"/>
      <c r="C520" s="2126"/>
      <c r="D520" s="2126"/>
      <c r="E520" s="525"/>
      <c r="F520" s="525"/>
      <c r="G520" s="525"/>
      <c r="K520" s="3280"/>
      <c r="AB520" s="3280"/>
      <c r="AG520" s="3865"/>
      <c r="AM520" s="3041"/>
      <c r="BD520" s="3280"/>
      <c r="BF520" s="3041"/>
      <c r="BH520" s="3282"/>
    </row>
    <row r="521" spans="1:60" s="3030" customFormat="1">
      <c r="A521" s="2126"/>
      <c r="B521" s="2126"/>
      <c r="C521" s="2126"/>
      <c r="D521" s="2126"/>
      <c r="E521" s="525"/>
      <c r="F521" s="525"/>
      <c r="G521" s="525"/>
      <c r="K521" s="3280"/>
      <c r="AB521" s="3280"/>
      <c r="AG521" s="3865"/>
      <c r="AM521" s="3041"/>
      <c r="BD521" s="3280"/>
      <c r="BF521" s="3041"/>
      <c r="BH521" s="3282"/>
    </row>
    <row r="522" spans="1:60" s="3030" customFormat="1">
      <c r="A522" s="2126"/>
      <c r="B522" s="2126"/>
      <c r="C522" s="2126"/>
      <c r="D522" s="2126"/>
      <c r="E522" s="525"/>
      <c r="F522" s="525"/>
      <c r="G522" s="525"/>
      <c r="K522" s="3280"/>
      <c r="AB522" s="3280"/>
      <c r="AG522" s="3865"/>
      <c r="AM522" s="3041"/>
      <c r="BD522" s="3280"/>
      <c r="BF522" s="3041"/>
      <c r="BH522" s="3282"/>
    </row>
    <row r="523" spans="1:60" s="3030" customFormat="1">
      <c r="A523" s="2126"/>
      <c r="B523" s="2126"/>
      <c r="C523" s="2126"/>
      <c r="D523" s="2126"/>
      <c r="E523" s="525"/>
      <c r="F523" s="525"/>
      <c r="G523" s="525"/>
      <c r="K523" s="3280"/>
      <c r="AB523" s="3280"/>
      <c r="AG523" s="3865"/>
      <c r="AM523" s="3041"/>
      <c r="BD523" s="3280"/>
      <c r="BF523" s="3041"/>
      <c r="BH523" s="3282"/>
    </row>
    <row r="524" spans="1:60" s="3030" customFormat="1">
      <c r="A524" s="2126"/>
      <c r="B524" s="2126"/>
      <c r="C524" s="2126"/>
      <c r="D524" s="2126"/>
      <c r="E524" s="525"/>
      <c r="F524" s="525"/>
      <c r="G524" s="525"/>
      <c r="K524" s="3280"/>
      <c r="AB524" s="3280"/>
      <c r="AG524" s="3865"/>
      <c r="AM524" s="3041"/>
      <c r="BD524" s="3280"/>
      <c r="BF524" s="3041"/>
      <c r="BH524" s="3282"/>
    </row>
    <row r="525" spans="1:60" s="3030" customFormat="1">
      <c r="A525" s="2126"/>
      <c r="B525" s="2126"/>
      <c r="C525" s="2126"/>
      <c r="D525" s="2126"/>
      <c r="E525" s="525"/>
      <c r="F525" s="525"/>
      <c r="G525" s="525"/>
      <c r="K525" s="3280"/>
      <c r="AB525" s="3280"/>
      <c r="AG525" s="3865"/>
      <c r="AM525" s="3041"/>
      <c r="BD525" s="3280"/>
      <c r="BF525" s="3041"/>
      <c r="BH525" s="3282"/>
    </row>
    <row r="526" spans="1:60" s="3030" customFormat="1">
      <c r="A526" s="2126"/>
      <c r="B526" s="2126"/>
      <c r="C526" s="2126"/>
      <c r="D526" s="2126"/>
      <c r="E526" s="525"/>
      <c r="F526" s="525"/>
      <c r="G526" s="525"/>
      <c r="K526" s="3280"/>
      <c r="AB526" s="3280"/>
      <c r="AG526" s="3865"/>
      <c r="AM526" s="3041"/>
      <c r="BD526" s="3280"/>
      <c r="BF526" s="3041"/>
      <c r="BH526" s="3282"/>
    </row>
    <row r="527" spans="1:60" s="3030" customFormat="1">
      <c r="A527" s="2126"/>
      <c r="B527" s="2126"/>
      <c r="C527" s="2126"/>
      <c r="D527" s="2126"/>
      <c r="E527" s="525"/>
      <c r="F527" s="525"/>
      <c r="G527" s="525"/>
      <c r="K527" s="3280"/>
      <c r="AB527" s="3280"/>
      <c r="AG527" s="3865"/>
      <c r="AM527" s="3041"/>
      <c r="BD527" s="3280"/>
      <c r="BF527" s="3041"/>
      <c r="BH527" s="3282"/>
    </row>
    <row r="528" spans="1:60" s="3030" customFormat="1">
      <c r="A528" s="2126"/>
      <c r="B528" s="2126"/>
      <c r="C528" s="2126"/>
      <c r="D528" s="2126"/>
      <c r="E528" s="525"/>
      <c r="F528" s="525"/>
      <c r="G528" s="525"/>
      <c r="K528" s="3280"/>
      <c r="AB528" s="3280"/>
      <c r="AG528" s="3865"/>
      <c r="AM528" s="3041"/>
      <c r="BD528" s="3280"/>
      <c r="BF528" s="3041"/>
      <c r="BH528" s="3282"/>
    </row>
    <row r="529" spans="1:60" s="3030" customFormat="1">
      <c r="A529" s="2126"/>
      <c r="B529" s="2126"/>
      <c r="C529" s="2126"/>
      <c r="D529" s="2126"/>
      <c r="E529" s="525"/>
      <c r="F529" s="525"/>
      <c r="G529" s="525"/>
      <c r="K529" s="3280"/>
      <c r="AB529" s="3280"/>
      <c r="AG529" s="3865"/>
      <c r="AM529" s="3041"/>
      <c r="BD529" s="3280"/>
      <c r="BF529" s="3041"/>
      <c r="BH529" s="3282"/>
    </row>
    <row r="530" spans="1:60" s="3030" customFormat="1">
      <c r="A530" s="2126"/>
      <c r="B530" s="2126"/>
      <c r="C530" s="2126"/>
      <c r="D530" s="2126"/>
      <c r="E530" s="525"/>
      <c r="F530" s="525"/>
      <c r="G530" s="525"/>
      <c r="K530" s="3280"/>
      <c r="AB530" s="3280"/>
      <c r="AG530" s="3865"/>
      <c r="AM530" s="3041"/>
      <c r="BD530" s="3280"/>
      <c r="BF530" s="3041"/>
      <c r="BH530" s="3282"/>
    </row>
    <row r="531" spans="1:60" s="3030" customFormat="1">
      <c r="A531" s="2126"/>
      <c r="B531" s="2126"/>
      <c r="C531" s="2126"/>
      <c r="D531" s="2126"/>
      <c r="E531" s="525"/>
      <c r="F531" s="525"/>
      <c r="G531" s="525"/>
      <c r="K531" s="3280"/>
      <c r="AB531" s="3280"/>
      <c r="AG531" s="3865"/>
      <c r="AM531" s="3041"/>
      <c r="BD531" s="3280"/>
      <c r="BF531" s="3041"/>
      <c r="BH531" s="3282"/>
    </row>
    <row r="532" spans="1:60" s="3030" customFormat="1">
      <c r="A532" s="2126"/>
      <c r="B532" s="2126"/>
      <c r="C532" s="2126"/>
      <c r="D532" s="2126"/>
      <c r="E532" s="525"/>
      <c r="F532" s="525"/>
      <c r="G532" s="525"/>
      <c r="K532" s="3280"/>
      <c r="AB532" s="3280"/>
      <c r="AG532" s="3865"/>
      <c r="AM532" s="3041"/>
      <c r="BD532" s="3280"/>
      <c r="BF532" s="3041"/>
      <c r="BH532" s="3282"/>
    </row>
    <row r="533" spans="1:60" s="3030" customFormat="1">
      <c r="A533" s="2126"/>
      <c r="B533" s="2126"/>
      <c r="C533" s="2126"/>
      <c r="D533" s="2126"/>
      <c r="E533" s="525"/>
      <c r="F533" s="525"/>
      <c r="G533" s="525"/>
      <c r="K533" s="3280"/>
      <c r="AB533" s="3280"/>
      <c r="AG533" s="3865"/>
      <c r="AM533" s="3041"/>
      <c r="BD533" s="3280"/>
      <c r="BF533" s="3041"/>
      <c r="BH533" s="3282"/>
    </row>
    <row r="534" spans="1:60" s="3030" customFormat="1">
      <c r="A534" s="2126"/>
      <c r="B534" s="2126"/>
      <c r="C534" s="2126"/>
      <c r="D534" s="2126"/>
      <c r="E534" s="525"/>
      <c r="F534" s="525"/>
      <c r="G534" s="525"/>
      <c r="K534" s="3280"/>
      <c r="AB534" s="3280"/>
      <c r="AG534" s="3865"/>
      <c r="AM534" s="3041"/>
      <c r="BD534" s="3280"/>
      <c r="BF534" s="3041"/>
      <c r="BH534" s="3282"/>
    </row>
    <row r="535" spans="1:60" s="3030" customFormat="1">
      <c r="A535" s="2126"/>
      <c r="B535" s="2126"/>
      <c r="C535" s="2126"/>
      <c r="D535" s="2126"/>
      <c r="E535" s="525"/>
      <c r="F535" s="525"/>
      <c r="G535" s="525"/>
      <c r="K535" s="3280"/>
      <c r="AB535" s="3280"/>
      <c r="AG535" s="3865"/>
      <c r="AM535" s="3041"/>
      <c r="BD535" s="3280"/>
      <c r="BF535" s="3041"/>
      <c r="BH535" s="3282"/>
    </row>
    <row r="536" spans="1:60" s="3030" customFormat="1">
      <c r="A536" s="2126"/>
      <c r="B536" s="2126"/>
      <c r="C536" s="2126"/>
      <c r="D536" s="2126"/>
      <c r="E536" s="525"/>
      <c r="F536" s="525"/>
      <c r="G536" s="525"/>
      <c r="K536" s="3280"/>
      <c r="AB536" s="3280"/>
      <c r="AG536" s="3865"/>
      <c r="AM536" s="3041"/>
      <c r="BD536" s="3280"/>
      <c r="BF536" s="3041"/>
      <c r="BH536" s="3282"/>
    </row>
    <row r="537" spans="1:60" s="3030" customFormat="1">
      <c r="A537" s="2126"/>
      <c r="B537" s="2126"/>
      <c r="C537" s="2126"/>
      <c r="D537" s="2126"/>
      <c r="E537" s="525"/>
      <c r="F537" s="525"/>
      <c r="G537" s="525"/>
      <c r="K537" s="3280"/>
      <c r="AB537" s="3280"/>
      <c r="AG537" s="3865"/>
      <c r="AM537" s="3041"/>
      <c r="BD537" s="3280"/>
      <c r="BF537" s="3041"/>
      <c r="BH537" s="3282"/>
    </row>
    <row r="538" spans="1:60" s="3030" customFormat="1">
      <c r="A538" s="2126"/>
      <c r="B538" s="2126"/>
      <c r="C538" s="2126"/>
      <c r="D538" s="2126"/>
      <c r="E538" s="525"/>
      <c r="F538" s="525"/>
      <c r="G538" s="525"/>
      <c r="K538" s="3280"/>
      <c r="AB538" s="3280"/>
      <c r="AG538" s="3865"/>
      <c r="AM538" s="3041"/>
      <c r="BD538" s="3280"/>
      <c r="BF538" s="3041"/>
      <c r="BH538" s="3282"/>
    </row>
    <row r="539" spans="1:60" s="3030" customFormat="1">
      <c r="A539" s="2126"/>
      <c r="B539" s="2126"/>
      <c r="C539" s="2126"/>
      <c r="D539" s="2126"/>
      <c r="E539" s="525"/>
      <c r="F539" s="525"/>
      <c r="G539" s="525"/>
      <c r="K539" s="3280"/>
      <c r="AB539" s="3280"/>
      <c r="AG539" s="3865"/>
      <c r="AM539" s="3041"/>
      <c r="BD539" s="3280"/>
      <c r="BF539" s="3041"/>
      <c r="BH539" s="3282"/>
    </row>
    <row r="540" spans="1:60" s="3030" customFormat="1">
      <c r="A540" s="2126"/>
      <c r="B540" s="2126"/>
      <c r="C540" s="2126"/>
      <c r="D540" s="2126"/>
      <c r="E540" s="525"/>
      <c r="F540" s="525"/>
      <c r="G540" s="525"/>
      <c r="K540" s="3280"/>
      <c r="AB540" s="3280"/>
      <c r="AG540" s="3865"/>
      <c r="AM540" s="3041"/>
      <c r="BD540" s="3280"/>
      <c r="BF540" s="3041"/>
      <c r="BH540" s="3282"/>
    </row>
    <row r="541" spans="1:60" s="3030" customFormat="1">
      <c r="A541" s="2126"/>
      <c r="B541" s="2126"/>
      <c r="C541" s="2126"/>
      <c r="D541" s="2126"/>
      <c r="E541" s="525"/>
      <c r="F541" s="525"/>
      <c r="G541" s="525"/>
      <c r="K541" s="3280"/>
      <c r="AB541" s="3280"/>
      <c r="AG541" s="3865"/>
      <c r="AM541" s="3041"/>
      <c r="BD541" s="3280"/>
      <c r="BF541" s="3041"/>
      <c r="BH541" s="3282"/>
    </row>
    <row r="542" spans="1:60" s="3030" customFormat="1">
      <c r="A542" s="2126"/>
      <c r="B542" s="2126"/>
      <c r="C542" s="2126"/>
      <c r="D542" s="2126"/>
      <c r="E542" s="525"/>
      <c r="F542" s="525"/>
      <c r="G542" s="525"/>
      <c r="K542" s="3280"/>
      <c r="AB542" s="3280"/>
      <c r="AG542" s="3865"/>
      <c r="AM542" s="3041"/>
      <c r="BD542" s="3280"/>
      <c r="BF542" s="3041"/>
      <c r="BH542" s="3282"/>
    </row>
    <row r="543" spans="1:60" s="3030" customFormat="1">
      <c r="A543" s="2126"/>
      <c r="B543" s="2126"/>
      <c r="C543" s="2126"/>
      <c r="D543" s="2126"/>
      <c r="E543" s="525"/>
      <c r="F543" s="525"/>
      <c r="G543" s="525"/>
      <c r="K543" s="3280"/>
      <c r="AB543" s="3280"/>
      <c r="AG543" s="3865"/>
      <c r="AM543" s="3041"/>
      <c r="BD543" s="3280"/>
      <c r="BF543" s="3041"/>
      <c r="BH543" s="3282"/>
    </row>
    <row r="544" spans="1:60" s="3030" customFormat="1">
      <c r="A544" s="2126"/>
      <c r="B544" s="2126"/>
      <c r="C544" s="2126"/>
      <c r="D544" s="2126"/>
      <c r="E544" s="525"/>
      <c r="F544" s="525"/>
      <c r="G544" s="525"/>
      <c r="K544" s="3280"/>
      <c r="AB544" s="3280"/>
      <c r="AG544" s="3865"/>
      <c r="AM544" s="3041"/>
      <c r="BD544" s="3280"/>
      <c r="BF544" s="3041"/>
      <c r="BH544" s="3282"/>
    </row>
    <row r="545" spans="1:60" s="3030" customFormat="1">
      <c r="A545" s="2126"/>
      <c r="B545" s="2126"/>
      <c r="C545" s="2126"/>
      <c r="D545" s="2126"/>
      <c r="E545" s="525"/>
      <c r="F545" s="525"/>
      <c r="G545" s="525"/>
      <c r="K545" s="3280"/>
      <c r="AB545" s="3280"/>
      <c r="AG545" s="3865"/>
      <c r="AM545" s="3041"/>
      <c r="BD545" s="3280"/>
      <c r="BF545" s="3041"/>
      <c r="BH545" s="3282"/>
    </row>
    <row r="546" spans="1:60" s="3030" customFormat="1">
      <c r="A546" s="2126"/>
      <c r="B546" s="2126"/>
      <c r="C546" s="2126"/>
      <c r="D546" s="2126"/>
      <c r="E546" s="525"/>
      <c r="F546" s="525"/>
      <c r="G546" s="525"/>
      <c r="K546" s="3280"/>
      <c r="AB546" s="3280"/>
      <c r="AG546" s="3865"/>
      <c r="AM546" s="3041"/>
      <c r="BD546" s="3280"/>
      <c r="BF546" s="3041"/>
      <c r="BH546" s="3282"/>
    </row>
    <row r="547" spans="1:60" s="3030" customFormat="1">
      <c r="A547" s="2126"/>
      <c r="B547" s="2126"/>
      <c r="C547" s="2126"/>
      <c r="D547" s="2126"/>
      <c r="E547" s="525"/>
      <c r="F547" s="525"/>
      <c r="G547" s="525"/>
      <c r="K547" s="3280"/>
      <c r="AB547" s="3280"/>
      <c r="AG547" s="3865"/>
      <c r="AM547" s="3041"/>
      <c r="BD547" s="3280"/>
      <c r="BF547" s="3041"/>
      <c r="BH547" s="3282"/>
    </row>
    <row r="548" spans="1:60" s="3030" customFormat="1">
      <c r="A548" s="2126"/>
      <c r="B548" s="2126"/>
      <c r="C548" s="2126"/>
      <c r="D548" s="2126"/>
      <c r="E548" s="525"/>
      <c r="F548" s="525"/>
      <c r="G548" s="525"/>
      <c r="K548" s="3280"/>
      <c r="AB548" s="3280"/>
      <c r="AG548" s="3865"/>
      <c r="AM548" s="3041"/>
      <c r="BD548" s="3280"/>
      <c r="BF548" s="3041"/>
      <c r="BH548" s="3282"/>
    </row>
    <row r="549" spans="1:60" s="3030" customFormat="1">
      <c r="A549" s="2126"/>
      <c r="B549" s="2126"/>
      <c r="C549" s="2126"/>
      <c r="D549" s="2126"/>
      <c r="E549" s="525"/>
      <c r="F549" s="525"/>
      <c r="G549" s="525"/>
      <c r="K549" s="3280"/>
      <c r="AB549" s="3280"/>
      <c r="AG549" s="3865"/>
      <c r="AM549" s="3041"/>
      <c r="BD549" s="3280"/>
      <c r="BF549" s="3041"/>
      <c r="BH549" s="3282"/>
    </row>
    <row r="550" spans="1:60" s="3030" customFormat="1">
      <c r="A550" s="2126"/>
      <c r="B550" s="2126"/>
      <c r="C550" s="2126"/>
      <c r="D550" s="2126"/>
      <c r="E550" s="525"/>
      <c r="F550" s="525"/>
      <c r="G550" s="525"/>
      <c r="K550" s="3280"/>
      <c r="AB550" s="3280"/>
      <c r="AG550" s="3865"/>
      <c r="AM550" s="3041"/>
      <c r="BD550" s="3280"/>
      <c r="BF550" s="3041"/>
      <c r="BH550" s="3282"/>
    </row>
    <row r="551" spans="1:60" s="3030" customFormat="1">
      <c r="A551" s="2126"/>
      <c r="B551" s="2126"/>
      <c r="C551" s="2126"/>
      <c r="D551" s="2126"/>
      <c r="E551" s="525"/>
      <c r="F551" s="525"/>
      <c r="G551" s="525"/>
      <c r="K551" s="3280"/>
      <c r="AB551" s="3280"/>
      <c r="AG551" s="3865"/>
      <c r="AM551" s="3041"/>
      <c r="BD551" s="3280"/>
      <c r="BF551" s="3041"/>
      <c r="BH551" s="3282"/>
    </row>
    <row r="552" spans="1:60" s="3030" customFormat="1">
      <c r="A552" s="2126"/>
      <c r="B552" s="2126"/>
      <c r="C552" s="2126"/>
      <c r="D552" s="2126"/>
      <c r="E552" s="525"/>
      <c r="F552" s="525"/>
      <c r="G552" s="525"/>
      <c r="K552" s="3280"/>
      <c r="AB552" s="3280"/>
      <c r="AG552" s="3865"/>
      <c r="AM552" s="3041"/>
      <c r="BD552" s="3280"/>
      <c r="BF552" s="3041"/>
      <c r="BH552" s="3282"/>
    </row>
    <row r="553" spans="1:60" s="3030" customFormat="1">
      <c r="A553" s="2126"/>
      <c r="B553" s="2126"/>
      <c r="C553" s="2126"/>
      <c r="D553" s="2126"/>
      <c r="E553" s="525"/>
      <c r="F553" s="525"/>
      <c r="G553" s="525"/>
      <c r="K553" s="3280"/>
      <c r="AB553" s="3280"/>
      <c r="AG553" s="3865"/>
      <c r="AM553" s="3041"/>
      <c r="BD553" s="3280"/>
      <c r="BF553" s="3041"/>
      <c r="BH553" s="3282"/>
    </row>
    <row r="554" spans="1:60" s="3030" customFormat="1">
      <c r="A554" s="2126"/>
      <c r="B554" s="2126"/>
      <c r="C554" s="2126"/>
      <c r="D554" s="2126"/>
      <c r="E554" s="525"/>
      <c r="F554" s="525"/>
      <c r="G554" s="525"/>
      <c r="K554" s="3280"/>
      <c r="AB554" s="3280"/>
      <c r="AG554" s="3865"/>
      <c r="AM554" s="3041"/>
      <c r="BD554" s="3280"/>
      <c r="BF554" s="3041"/>
      <c r="BH554" s="3282"/>
    </row>
    <row r="555" spans="1:60" s="3030" customFormat="1">
      <c r="A555" s="2126"/>
      <c r="B555" s="2126"/>
      <c r="C555" s="2126"/>
      <c r="D555" s="2126"/>
      <c r="E555" s="525"/>
      <c r="F555" s="525"/>
      <c r="G555" s="525"/>
      <c r="K555" s="3280"/>
      <c r="AB555" s="3280"/>
      <c r="AG555" s="3865"/>
      <c r="AM555" s="3041"/>
      <c r="BD555" s="3280"/>
      <c r="BF555" s="3041"/>
      <c r="BH555" s="3282"/>
    </row>
    <row r="556" spans="1:60" s="3030" customFormat="1">
      <c r="A556" s="2126"/>
      <c r="B556" s="2126"/>
      <c r="C556" s="2126"/>
      <c r="D556" s="2126"/>
      <c r="E556" s="525"/>
      <c r="F556" s="525"/>
      <c r="G556" s="525"/>
      <c r="K556" s="3280"/>
      <c r="AB556" s="3280"/>
      <c r="AG556" s="3865"/>
      <c r="AM556" s="3041"/>
      <c r="BD556" s="3280"/>
      <c r="BF556" s="3041"/>
      <c r="BH556" s="3282"/>
    </row>
    <row r="557" spans="1:60" s="3030" customFormat="1">
      <c r="A557" s="2126"/>
      <c r="B557" s="2126"/>
      <c r="C557" s="2126"/>
      <c r="D557" s="2126"/>
      <c r="E557" s="525"/>
      <c r="F557" s="525"/>
      <c r="G557" s="525"/>
      <c r="K557" s="3280"/>
      <c r="AB557" s="3280"/>
      <c r="AG557" s="3865"/>
      <c r="AM557" s="3041"/>
      <c r="BD557" s="3280"/>
      <c r="BF557" s="3041"/>
      <c r="BH557" s="3282"/>
    </row>
    <row r="558" spans="1:60" s="3030" customFormat="1">
      <c r="A558" s="2126"/>
      <c r="B558" s="2126"/>
      <c r="C558" s="2126"/>
      <c r="D558" s="2126"/>
      <c r="E558" s="525"/>
      <c r="F558" s="525"/>
      <c r="G558" s="525"/>
      <c r="K558" s="3280"/>
      <c r="AB558" s="3280"/>
      <c r="AG558" s="3865"/>
      <c r="AM558" s="3041"/>
      <c r="BD558" s="3280"/>
      <c r="BF558" s="3041"/>
      <c r="BH558" s="3282"/>
    </row>
    <row r="559" spans="1:60" s="3030" customFormat="1">
      <c r="A559" s="2126"/>
      <c r="B559" s="2126"/>
      <c r="C559" s="2126"/>
      <c r="D559" s="2126"/>
      <c r="E559" s="525"/>
      <c r="F559" s="525"/>
      <c r="G559" s="525"/>
      <c r="K559" s="3280"/>
      <c r="AB559" s="3280"/>
      <c r="AG559" s="3865"/>
      <c r="AM559" s="3041"/>
      <c r="BD559" s="3280"/>
      <c r="BF559" s="3041"/>
      <c r="BH559" s="3282"/>
    </row>
    <row r="560" spans="1:60" s="3030" customFormat="1">
      <c r="A560" s="2126"/>
      <c r="B560" s="2126"/>
      <c r="C560" s="2126"/>
      <c r="D560" s="2126"/>
      <c r="E560" s="525"/>
      <c r="F560" s="525"/>
      <c r="G560" s="525"/>
      <c r="K560" s="3280"/>
      <c r="AB560" s="3280"/>
      <c r="AG560" s="3865"/>
      <c r="AM560" s="3041"/>
      <c r="BD560" s="3280"/>
      <c r="BF560" s="3041"/>
      <c r="BH560" s="3282"/>
    </row>
    <row r="561" spans="1:60" s="3030" customFormat="1">
      <c r="A561" s="2126"/>
      <c r="B561" s="2126"/>
      <c r="C561" s="2126"/>
      <c r="D561" s="2126"/>
      <c r="E561" s="525"/>
      <c r="F561" s="525"/>
      <c r="G561" s="525"/>
      <c r="K561" s="3280"/>
      <c r="AB561" s="3280"/>
      <c r="AG561" s="3865"/>
      <c r="AM561" s="3041"/>
      <c r="BD561" s="3280"/>
      <c r="BF561" s="3041"/>
      <c r="BH561" s="3282"/>
    </row>
    <row r="562" spans="1:60" s="3030" customFormat="1">
      <c r="A562" s="2126"/>
      <c r="B562" s="2126"/>
      <c r="C562" s="2126"/>
      <c r="D562" s="2126"/>
      <c r="E562" s="525"/>
      <c r="F562" s="525"/>
      <c r="G562" s="525"/>
      <c r="K562" s="3280"/>
      <c r="AB562" s="3280"/>
      <c r="AG562" s="3865"/>
      <c r="AM562" s="3041"/>
      <c r="BD562" s="3280"/>
      <c r="BF562" s="3041"/>
      <c r="BH562" s="3282"/>
    </row>
    <row r="563" spans="1:60" s="3030" customFormat="1">
      <c r="A563" s="2126"/>
      <c r="B563" s="2126"/>
      <c r="C563" s="2126"/>
      <c r="D563" s="2126"/>
      <c r="E563" s="525"/>
      <c r="F563" s="525"/>
      <c r="G563" s="525"/>
      <c r="K563" s="3280"/>
      <c r="AB563" s="3280"/>
      <c r="AG563" s="3865"/>
      <c r="AM563" s="3041"/>
      <c r="BD563" s="3280"/>
      <c r="BF563" s="3041"/>
      <c r="BH563" s="3282"/>
    </row>
    <row r="564" spans="1:60" s="3030" customFormat="1">
      <c r="A564" s="2126"/>
      <c r="B564" s="2126"/>
      <c r="C564" s="2126"/>
      <c r="D564" s="2126"/>
      <c r="E564" s="525"/>
      <c r="F564" s="525"/>
      <c r="G564" s="525"/>
      <c r="K564" s="3280"/>
      <c r="AB564" s="3280"/>
      <c r="AG564" s="3865"/>
      <c r="AM564" s="3041"/>
      <c r="BD564" s="3280"/>
      <c r="BF564" s="3041"/>
      <c r="BH564" s="3282"/>
    </row>
    <row r="565" spans="1:60" s="3030" customFormat="1">
      <c r="A565" s="2126"/>
      <c r="B565" s="2126"/>
      <c r="C565" s="2126"/>
      <c r="D565" s="2126"/>
      <c r="E565" s="525"/>
      <c r="F565" s="525"/>
      <c r="G565" s="525"/>
      <c r="K565" s="3280"/>
      <c r="AB565" s="3280"/>
      <c r="AG565" s="3865"/>
      <c r="AM565" s="3041"/>
      <c r="BD565" s="3280"/>
      <c r="BF565" s="3041"/>
      <c r="BH565" s="3282"/>
    </row>
    <row r="566" spans="1:60" s="3030" customFormat="1">
      <c r="A566" s="2126"/>
      <c r="B566" s="2126"/>
      <c r="C566" s="2126"/>
      <c r="D566" s="2126"/>
      <c r="E566" s="525"/>
      <c r="F566" s="525"/>
      <c r="G566" s="525"/>
      <c r="K566" s="3280"/>
      <c r="AB566" s="3280"/>
      <c r="AG566" s="3865"/>
      <c r="AM566" s="3041"/>
      <c r="BD566" s="3280"/>
      <c r="BF566" s="3041"/>
      <c r="BH566" s="3282"/>
    </row>
    <row r="567" spans="1:60" s="3030" customFormat="1">
      <c r="A567" s="2126"/>
      <c r="B567" s="2126"/>
      <c r="C567" s="2126"/>
      <c r="D567" s="2126"/>
      <c r="E567" s="525"/>
      <c r="F567" s="525"/>
      <c r="G567" s="525"/>
      <c r="K567" s="3280"/>
      <c r="AB567" s="3280"/>
      <c r="AG567" s="3865"/>
      <c r="AM567" s="3041"/>
      <c r="BD567" s="3280"/>
      <c r="BF567" s="3041"/>
      <c r="BH567" s="3282"/>
    </row>
    <row r="568" spans="1:60" s="3030" customFormat="1">
      <c r="A568" s="2126"/>
      <c r="B568" s="2126"/>
      <c r="C568" s="2126"/>
      <c r="D568" s="2126"/>
      <c r="E568" s="525"/>
      <c r="F568" s="525"/>
      <c r="G568" s="525"/>
      <c r="K568" s="3280"/>
      <c r="AB568" s="3280"/>
      <c r="AG568" s="3865"/>
      <c r="AM568" s="3041"/>
      <c r="BD568" s="3280"/>
      <c r="BF568" s="3041"/>
      <c r="BH568" s="3282"/>
    </row>
    <row r="569" spans="1:60" s="3030" customFormat="1">
      <c r="A569" s="2126"/>
      <c r="B569" s="2126"/>
      <c r="C569" s="2126"/>
      <c r="D569" s="2126"/>
      <c r="E569" s="525"/>
      <c r="F569" s="525"/>
      <c r="G569" s="525"/>
      <c r="K569" s="3280"/>
      <c r="AB569" s="3280"/>
      <c r="AG569" s="3865"/>
      <c r="AM569" s="3041"/>
      <c r="BD569" s="3280"/>
      <c r="BF569" s="3041"/>
      <c r="BH569" s="3282"/>
    </row>
    <row r="570" spans="1:60" s="3030" customFormat="1">
      <c r="A570" s="2126"/>
      <c r="B570" s="2126"/>
      <c r="C570" s="2126"/>
      <c r="D570" s="2126"/>
      <c r="E570" s="525"/>
      <c r="F570" s="525"/>
      <c r="G570" s="525"/>
      <c r="K570" s="3280"/>
      <c r="AB570" s="3280"/>
      <c r="AG570" s="3865"/>
      <c r="AM570" s="3041"/>
      <c r="BD570" s="3280"/>
      <c r="BF570" s="3041"/>
      <c r="BH570" s="3282"/>
    </row>
    <row r="571" spans="1:60" s="3030" customFormat="1">
      <c r="A571" s="2126"/>
      <c r="B571" s="2126"/>
      <c r="C571" s="2126"/>
      <c r="D571" s="2126"/>
      <c r="E571" s="525"/>
      <c r="F571" s="525"/>
      <c r="G571" s="525"/>
      <c r="K571" s="3280"/>
      <c r="AB571" s="3280"/>
      <c r="AG571" s="3865"/>
      <c r="AM571" s="3041"/>
      <c r="BD571" s="3280"/>
      <c r="BF571" s="3041"/>
      <c r="BH571" s="3282"/>
    </row>
    <row r="572" spans="1:60" s="3030" customFormat="1">
      <c r="A572" s="2126"/>
      <c r="B572" s="2126"/>
      <c r="C572" s="2126"/>
      <c r="D572" s="2126"/>
      <c r="E572" s="525"/>
      <c r="F572" s="525"/>
      <c r="G572" s="525"/>
      <c r="K572" s="3280"/>
      <c r="AB572" s="3280"/>
      <c r="AG572" s="3865"/>
      <c r="AM572" s="3041"/>
      <c r="BD572" s="3280"/>
      <c r="BF572" s="3041"/>
      <c r="BH572" s="3282"/>
    </row>
    <row r="573" spans="1:60" s="3030" customFormat="1">
      <c r="A573" s="2126"/>
      <c r="B573" s="2126"/>
      <c r="C573" s="2126"/>
      <c r="D573" s="2126"/>
      <c r="E573" s="525"/>
      <c r="F573" s="525"/>
      <c r="G573" s="525"/>
      <c r="K573" s="3280"/>
      <c r="AB573" s="3280"/>
      <c r="AG573" s="3865"/>
      <c r="AM573" s="3041"/>
      <c r="BD573" s="3280"/>
      <c r="BF573" s="3041"/>
      <c r="BH573" s="3282"/>
    </row>
    <row r="574" spans="1:60" s="3030" customFormat="1">
      <c r="A574" s="2126"/>
      <c r="B574" s="2126"/>
      <c r="C574" s="2126"/>
      <c r="D574" s="2126"/>
      <c r="E574" s="525"/>
      <c r="F574" s="525"/>
      <c r="G574" s="525"/>
      <c r="K574" s="3280"/>
      <c r="AB574" s="3280"/>
      <c r="AG574" s="3865"/>
      <c r="AM574" s="3041"/>
      <c r="BD574" s="3280"/>
      <c r="BF574" s="3041"/>
      <c r="BH574" s="3282"/>
    </row>
    <row r="575" spans="1:60" s="3030" customFormat="1">
      <c r="A575" s="2126"/>
      <c r="B575" s="2126"/>
      <c r="C575" s="2126"/>
      <c r="D575" s="2126"/>
      <c r="E575" s="525"/>
      <c r="F575" s="525"/>
      <c r="G575" s="525"/>
      <c r="K575" s="3280"/>
      <c r="AB575" s="3280"/>
      <c r="AG575" s="3865"/>
      <c r="AM575" s="3041"/>
      <c r="BD575" s="3280"/>
      <c r="BF575" s="3041"/>
      <c r="BH575" s="3282"/>
    </row>
    <row r="576" spans="1:60" s="3030" customFormat="1">
      <c r="A576" s="2126"/>
      <c r="B576" s="2126"/>
      <c r="C576" s="2126"/>
      <c r="D576" s="2126"/>
      <c r="E576" s="525"/>
      <c r="F576" s="525"/>
      <c r="G576" s="525"/>
      <c r="K576" s="3280"/>
      <c r="AB576" s="3280"/>
      <c r="AG576" s="3865"/>
      <c r="AM576" s="3041"/>
      <c r="BD576" s="3280"/>
      <c r="BF576" s="3041"/>
      <c r="BH576" s="3282"/>
    </row>
    <row r="577" spans="1:60" s="3030" customFormat="1">
      <c r="A577" s="2126"/>
      <c r="B577" s="2126"/>
      <c r="C577" s="2126"/>
      <c r="D577" s="2126"/>
      <c r="E577" s="525"/>
      <c r="F577" s="525"/>
      <c r="G577" s="525"/>
      <c r="K577" s="3280"/>
      <c r="AB577" s="3280"/>
      <c r="AG577" s="3865"/>
      <c r="AM577" s="3041"/>
      <c r="BD577" s="3280"/>
      <c r="BF577" s="3041"/>
      <c r="BH577" s="3282"/>
    </row>
    <row r="578" spans="1:60" s="3030" customFormat="1">
      <c r="A578" s="2126"/>
      <c r="B578" s="2126"/>
      <c r="C578" s="2126"/>
      <c r="D578" s="2126"/>
      <c r="E578" s="525"/>
      <c r="F578" s="525"/>
      <c r="G578" s="525"/>
      <c r="K578" s="3280"/>
      <c r="AB578" s="3280"/>
      <c r="AG578" s="3865"/>
      <c r="AM578" s="3041"/>
      <c r="BD578" s="3280"/>
      <c r="BF578" s="3041"/>
      <c r="BH578" s="3282"/>
    </row>
    <row r="579" spans="1:60" s="3030" customFormat="1">
      <c r="A579" s="2126"/>
      <c r="B579" s="2126"/>
      <c r="C579" s="2126"/>
      <c r="D579" s="2126"/>
      <c r="E579" s="525"/>
      <c r="F579" s="525"/>
      <c r="G579" s="525"/>
      <c r="K579" s="3280"/>
      <c r="AB579" s="3280"/>
      <c r="AG579" s="3865"/>
      <c r="AM579" s="3041"/>
      <c r="BD579" s="3280"/>
      <c r="BF579" s="3041"/>
      <c r="BH579" s="3282"/>
    </row>
    <row r="580" spans="1:60" s="3030" customFormat="1">
      <c r="A580" s="2126"/>
      <c r="B580" s="2126"/>
      <c r="C580" s="2126"/>
      <c r="D580" s="2126"/>
      <c r="E580" s="525"/>
      <c r="F580" s="525"/>
      <c r="G580" s="525"/>
      <c r="K580" s="3280"/>
      <c r="AB580" s="3280"/>
      <c r="AG580" s="3865"/>
      <c r="AM580" s="3041"/>
      <c r="BD580" s="3280"/>
      <c r="BF580" s="3041"/>
      <c r="BH580" s="3282"/>
    </row>
    <row r="581" spans="1:60" s="3030" customFormat="1">
      <c r="A581" s="2126"/>
      <c r="B581" s="2126"/>
      <c r="C581" s="2126"/>
      <c r="D581" s="2126"/>
      <c r="E581" s="525"/>
      <c r="F581" s="525"/>
      <c r="G581" s="525"/>
      <c r="K581" s="3280"/>
      <c r="AB581" s="3280"/>
      <c r="AG581" s="3865"/>
      <c r="AM581" s="3041"/>
      <c r="BD581" s="3280"/>
      <c r="BF581" s="3041"/>
      <c r="BH581" s="3282"/>
    </row>
    <row r="582" spans="1:60" s="3030" customFormat="1">
      <c r="A582" s="2126"/>
      <c r="B582" s="2126"/>
      <c r="C582" s="2126"/>
      <c r="D582" s="2126"/>
      <c r="E582" s="525"/>
      <c r="F582" s="525"/>
      <c r="G582" s="525"/>
      <c r="K582" s="3280"/>
      <c r="AB582" s="3280"/>
      <c r="AG582" s="3865"/>
      <c r="AM582" s="3041"/>
      <c r="BD582" s="3280"/>
      <c r="BF582" s="3041"/>
      <c r="BH582" s="3282"/>
    </row>
    <row r="583" spans="1:60" s="3030" customFormat="1">
      <c r="A583" s="2126"/>
      <c r="B583" s="2126"/>
      <c r="C583" s="2126"/>
      <c r="D583" s="2126"/>
      <c r="E583" s="525"/>
      <c r="F583" s="525"/>
      <c r="G583" s="525"/>
      <c r="K583" s="3280"/>
      <c r="AB583" s="3280"/>
      <c r="AG583" s="3865"/>
      <c r="AM583" s="3041"/>
      <c r="BD583" s="3280"/>
      <c r="BF583" s="3041"/>
      <c r="BH583" s="3282"/>
    </row>
    <row r="584" spans="1:60" s="3030" customFormat="1">
      <c r="A584" s="2126"/>
      <c r="B584" s="2126"/>
      <c r="C584" s="2126"/>
      <c r="D584" s="2126"/>
      <c r="E584" s="525"/>
      <c r="F584" s="525"/>
      <c r="G584" s="525"/>
      <c r="K584" s="3280"/>
      <c r="AB584" s="3280"/>
      <c r="AG584" s="3865"/>
      <c r="AM584" s="3041"/>
      <c r="BD584" s="3280"/>
      <c r="BF584" s="3041"/>
      <c r="BH584" s="3282"/>
    </row>
    <row r="585" spans="1:60" s="3030" customFormat="1">
      <c r="A585" s="2126"/>
      <c r="B585" s="2126"/>
      <c r="C585" s="2126"/>
      <c r="D585" s="2126"/>
      <c r="E585" s="525"/>
      <c r="F585" s="525"/>
      <c r="G585" s="525"/>
      <c r="K585" s="3280"/>
      <c r="AB585" s="3280"/>
      <c r="AG585" s="3865"/>
      <c r="AM585" s="3041"/>
      <c r="BD585" s="3280"/>
      <c r="BF585" s="3041"/>
      <c r="BH585" s="3282"/>
    </row>
    <row r="586" spans="1:60" s="3030" customFormat="1">
      <c r="A586" s="2126"/>
      <c r="B586" s="2126"/>
      <c r="C586" s="2126"/>
      <c r="D586" s="2126"/>
      <c r="E586" s="525"/>
      <c r="F586" s="525"/>
      <c r="G586" s="525"/>
      <c r="K586" s="3280"/>
      <c r="AB586" s="3280"/>
      <c r="AG586" s="3865"/>
      <c r="AM586" s="3041"/>
      <c r="BD586" s="3280"/>
      <c r="BF586" s="3041"/>
      <c r="BH586" s="3282"/>
    </row>
    <row r="587" spans="1:60" s="3030" customFormat="1">
      <c r="A587" s="2126"/>
      <c r="B587" s="2126"/>
      <c r="C587" s="2126"/>
      <c r="D587" s="2126"/>
      <c r="E587" s="525"/>
      <c r="F587" s="525"/>
      <c r="G587" s="525"/>
      <c r="K587" s="3280"/>
      <c r="AB587" s="3280"/>
      <c r="AG587" s="3865"/>
      <c r="AM587" s="3041"/>
      <c r="BD587" s="3280"/>
      <c r="BF587" s="3041"/>
      <c r="BH587" s="3282"/>
    </row>
    <row r="588" spans="1:60" s="3030" customFormat="1">
      <c r="A588" s="2126"/>
      <c r="B588" s="2126"/>
      <c r="C588" s="2126"/>
      <c r="D588" s="2126"/>
      <c r="E588" s="525"/>
      <c r="F588" s="525"/>
      <c r="G588" s="525"/>
      <c r="K588" s="3280"/>
      <c r="AB588" s="3280"/>
      <c r="AG588" s="3865"/>
      <c r="AM588" s="3041"/>
      <c r="BD588" s="3280"/>
      <c r="BF588" s="3041"/>
      <c r="BH588" s="3282"/>
    </row>
    <row r="589" spans="1:60" s="3030" customFormat="1">
      <c r="A589" s="2126"/>
      <c r="B589" s="2126"/>
      <c r="C589" s="2126"/>
      <c r="D589" s="2126"/>
      <c r="E589" s="525"/>
      <c r="F589" s="525"/>
      <c r="G589" s="525"/>
      <c r="K589" s="3280"/>
      <c r="AB589" s="3280"/>
      <c r="AG589" s="3865"/>
      <c r="AM589" s="3041"/>
      <c r="BD589" s="3280"/>
      <c r="BF589" s="3041"/>
      <c r="BH589" s="3282"/>
    </row>
    <row r="590" spans="1:60" s="3030" customFormat="1">
      <c r="A590" s="2126"/>
      <c r="B590" s="2126"/>
      <c r="C590" s="2126"/>
      <c r="D590" s="2126"/>
      <c r="E590" s="525"/>
      <c r="F590" s="525"/>
      <c r="G590" s="525"/>
      <c r="K590" s="3280"/>
      <c r="AB590" s="3280"/>
      <c r="AG590" s="3865"/>
      <c r="AM590" s="3041"/>
      <c r="BD590" s="3280"/>
      <c r="BF590" s="3041"/>
      <c r="BH590" s="3282"/>
    </row>
    <row r="591" spans="1:60" s="3030" customFormat="1">
      <c r="A591" s="2126"/>
      <c r="B591" s="2126"/>
      <c r="C591" s="2126"/>
      <c r="D591" s="2126"/>
      <c r="E591" s="525"/>
      <c r="F591" s="525"/>
      <c r="G591" s="525"/>
      <c r="K591" s="3280"/>
      <c r="AB591" s="3280"/>
      <c r="AG591" s="3865"/>
      <c r="AM591" s="3041"/>
      <c r="BD591" s="3280"/>
      <c r="BF591" s="3041"/>
      <c r="BH591" s="3282"/>
    </row>
    <row r="592" spans="1:60" s="3030" customFormat="1">
      <c r="A592" s="2126"/>
      <c r="B592" s="2126"/>
      <c r="C592" s="2126"/>
      <c r="D592" s="2126"/>
      <c r="E592" s="525"/>
      <c r="F592" s="525"/>
      <c r="G592" s="525"/>
      <c r="K592" s="3280"/>
      <c r="AB592" s="3280"/>
      <c r="AG592" s="3865"/>
      <c r="AM592" s="3041"/>
      <c r="BD592" s="3280"/>
      <c r="BF592" s="3041"/>
      <c r="BH592" s="3282"/>
    </row>
    <row r="593" spans="1:60" s="3030" customFormat="1">
      <c r="A593" s="2126"/>
      <c r="B593" s="2126"/>
      <c r="C593" s="2126"/>
      <c r="D593" s="2126"/>
      <c r="E593" s="525"/>
      <c r="F593" s="525"/>
      <c r="G593" s="525"/>
      <c r="K593" s="3280"/>
      <c r="AB593" s="3280"/>
      <c r="AG593" s="3865"/>
      <c r="AM593" s="3041"/>
      <c r="BD593" s="3280"/>
      <c r="BF593" s="3041"/>
      <c r="BH593" s="3282"/>
    </row>
    <row r="594" spans="1:60" s="3030" customFormat="1">
      <c r="A594" s="2126"/>
      <c r="B594" s="2126"/>
      <c r="C594" s="2126"/>
      <c r="D594" s="2126"/>
      <c r="E594" s="525"/>
      <c r="F594" s="525"/>
      <c r="G594" s="525"/>
      <c r="K594" s="3280"/>
      <c r="AB594" s="3280"/>
      <c r="AG594" s="3865"/>
      <c r="AM594" s="3041"/>
      <c r="BD594" s="3280"/>
      <c r="BF594" s="3041"/>
      <c r="BH594" s="3282"/>
    </row>
    <row r="595" spans="1:60" s="3030" customFormat="1">
      <c r="A595" s="2126"/>
      <c r="B595" s="2126"/>
      <c r="C595" s="2126"/>
      <c r="D595" s="2126"/>
      <c r="E595" s="525"/>
      <c r="F595" s="525"/>
      <c r="G595" s="525"/>
      <c r="K595" s="3280"/>
      <c r="AB595" s="3280"/>
      <c r="AG595" s="3865"/>
      <c r="AM595" s="3041"/>
      <c r="BD595" s="3280"/>
      <c r="BF595" s="3041"/>
      <c r="BH595" s="3282"/>
    </row>
    <row r="596" spans="1:60" s="3030" customFormat="1">
      <c r="A596" s="2126"/>
      <c r="B596" s="2126"/>
      <c r="C596" s="2126"/>
      <c r="D596" s="2126"/>
      <c r="E596" s="525"/>
      <c r="F596" s="525"/>
      <c r="G596" s="525"/>
      <c r="K596" s="3280"/>
      <c r="AB596" s="3280"/>
      <c r="AG596" s="3865"/>
      <c r="AM596" s="3041"/>
      <c r="BD596" s="3280"/>
      <c r="BF596" s="3041"/>
      <c r="BH596" s="3282"/>
    </row>
    <row r="597" spans="1:60" s="3030" customFormat="1">
      <c r="A597" s="2126"/>
      <c r="B597" s="2126"/>
      <c r="C597" s="2126"/>
      <c r="D597" s="2126"/>
      <c r="E597" s="525"/>
      <c r="F597" s="525"/>
      <c r="G597" s="525"/>
      <c r="K597" s="3280"/>
      <c r="AB597" s="3280"/>
      <c r="AG597" s="3865"/>
      <c r="AM597" s="3041"/>
      <c r="BD597" s="3280"/>
      <c r="BF597" s="3041"/>
      <c r="BH597" s="3282"/>
    </row>
    <row r="598" spans="1:60" s="3030" customFormat="1">
      <c r="A598" s="2126"/>
      <c r="B598" s="2126"/>
      <c r="C598" s="2126"/>
      <c r="D598" s="2126"/>
      <c r="E598" s="525"/>
      <c r="F598" s="525"/>
      <c r="G598" s="525"/>
      <c r="K598" s="3280"/>
      <c r="AB598" s="3280"/>
      <c r="AG598" s="3865"/>
      <c r="AM598" s="3041"/>
      <c r="BD598" s="3280"/>
      <c r="BF598" s="3041"/>
      <c r="BH598" s="3282"/>
    </row>
    <row r="599" spans="1:60" s="3030" customFormat="1">
      <c r="A599" s="2126"/>
      <c r="B599" s="2126"/>
      <c r="C599" s="2126"/>
      <c r="D599" s="2126"/>
      <c r="E599" s="525"/>
      <c r="F599" s="525"/>
      <c r="G599" s="525"/>
      <c r="K599" s="3280"/>
      <c r="AB599" s="3280"/>
      <c r="AG599" s="3865"/>
      <c r="AM599" s="3041"/>
      <c r="BD599" s="3280"/>
      <c r="BF599" s="3041"/>
      <c r="BH599" s="3282"/>
    </row>
    <row r="600" spans="1:60" s="3030" customFormat="1">
      <c r="A600" s="2126"/>
      <c r="B600" s="2126"/>
      <c r="C600" s="2126"/>
      <c r="D600" s="2126"/>
      <c r="E600" s="525"/>
      <c r="F600" s="525"/>
      <c r="G600" s="525"/>
      <c r="K600" s="3280"/>
      <c r="AB600" s="3280"/>
      <c r="AG600" s="3865"/>
      <c r="AM600" s="3041"/>
      <c r="BD600" s="3280"/>
      <c r="BF600" s="3041"/>
      <c r="BH600" s="3282"/>
    </row>
    <row r="601" spans="1:60" s="3030" customFormat="1">
      <c r="A601" s="2126"/>
      <c r="B601" s="2126"/>
      <c r="C601" s="2126"/>
      <c r="D601" s="2126"/>
      <c r="E601" s="525"/>
      <c r="F601" s="525"/>
      <c r="G601" s="525"/>
      <c r="K601" s="3280"/>
      <c r="AB601" s="3280"/>
      <c r="AG601" s="3865"/>
      <c r="AM601" s="3041"/>
      <c r="BD601" s="3280"/>
      <c r="BF601" s="3041"/>
      <c r="BH601" s="3282"/>
    </row>
    <row r="602" spans="1:60" s="3030" customFormat="1">
      <c r="A602" s="2126"/>
      <c r="B602" s="2126"/>
      <c r="C602" s="2126"/>
      <c r="D602" s="2126"/>
      <c r="E602" s="525"/>
      <c r="F602" s="525"/>
      <c r="G602" s="525"/>
      <c r="K602" s="3280"/>
      <c r="AB602" s="3280"/>
      <c r="AG602" s="3865"/>
      <c r="AM602" s="3041"/>
      <c r="BD602" s="3280"/>
      <c r="BF602" s="3041"/>
      <c r="BH602" s="3282"/>
    </row>
    <row r="603" spans="1:60" s="3030" customFormat="1">
      <c r="A603" s="2126"/>
      <c r="B603" s="2126"/>
      <c r="C603" s="2126"/>
      <c r="D603" s="2126"/>
      <c r="E603" s="525"/>
      <c r="F603" s="525"/>
      <c r="G603" s="525"/>
      <c r="K603" s="3280"/>
      <c r="AB603" s="3280"/>
      <c r="AG603" s="3865"/>
      <c r="AM603" s="3041"/>
      <c r="BD603" s="3280"/>
      <c r="BF603" s="3041"/>
      <c r="BH603" s="3282"/>
    </row>
    <row r="604" spans="1:60" s="3030" customFormat="1">
      <c r="A604" s="2126"/>
      <c r="B604" s="2126"/>
      <c r="C604" s="2126"/>
      <c r="D604" s="2126"/>
      <c r="E604" s="525"/>
      <c r="F604" s="525"/>
      <c r="G604" s="525"/>
      <c r="K604" s="3280"/>
      <c r="AB604" s="3280"/>
      <c r="AG604" s="3865"/>
      <c r="AM604" s="3041"/>
      <c r="BD604" s="3280"/>
      <c r="BF604" s="3041"/>
      <c r="BH604" s="3282"/>
    </row>
    <row r="605" spans="1:60" s="3030" customFormat="1">
      <c r="A605" s="2126"/>
      <c r="B605" s="2126"/>
      <c r="C605" s="2126"/>
      <c r="D605" s="2126"/>
      <c r="E605" s="525"/>
      <c r="F605" s="525"/>
      <c r="G605" s="525"/>
      <c r="K605" s="3280"/>
      <c r="AB605" s="3280"/>
      <c r="AG605" s="3865"/>
      <c r="AM605" s="3041"/>
      <c r="BD605" s="3280"/>
      <c r="BF605" s="3041"/>
      <c r="BH605" s="3282"/>
    </row>
    <row r="606" spans="1:60" s="3030" customFormat="1">
      <c r="A606" s="2126"/>
      <c r="B606" s="2126"/>
      <c r="C606" s="2126"/>
      <c r="D606" s="2126"/>
      <c r="E606" s="525"/>
      <c r="F606" s="525"/>
      <c r="G606" s="525"/>
      <c r="K606" s="3280"/>
      <c r="AB606" s="3280"/>
      <c r="AG606" s="3865"/>
      <c r="AM606" s="3041"/>
      <c r="BD606" s="3280"/>
      <c r="BF606" s="3041"/>
      <c r="BH606" s="3282"/>
    </row>
    <row r="607" spans="1:60" s="3030" customFormat="1">
      <c r="A607" s="2126"/>
      <c r="B607" s="2126"/>
      <c r="C607" s="2126"/>
      <c r="D607" s="2126"/>
      <c r="E607" s="525"/>
      <c r="F607" s="525"/>
      <c r="G607" s="525"/>
      <c r="K607" s="3280"/>
      <c r="AB607" s="3280"/>
      <c r="AG607" s="3865"/>
      <c r="AM607" s="3041"/>
      <c r="BD607" s="3280"/>
      <c r="BF607" s="3041"/>
      <c r="BH607" s="3282"/>
    </row>
    <row r="608" spans="1:60" s="3030" customFormat="1">
      <c r="A608" s="2126"/>
      <c r="B608" s="2126"/>
      <c r="C608" s="2126"/>
      <c r="D608" s="2126"/>
      <c r="E608" s="525"/>
      <c r="F608" s="525"/>
      <c r="G608" s="525"/>
      <c r="K608" s="3280"/>
      <c r="AB608" s="3280"/>
      <c r="AG608" s="3865"/>
      <c r="AM608" s="3041"/>
      <c r="BD608" s="3280"/>
      <c r="BF608" s="3041"/>
      <c r="BH608" s="3282"/>
    </row>
    <row r="609" spans="1:60" s="3030" customFormat="1">
      <c r="A609" s="2126"/>
      <c r="B609" s="2126"/>
      <c r="C609" s="2126"/>
      <c r="D609" s="2126"/>
      <c r="E609" s="525"/>
      <c r="F609" s="525"/>
      <c r="G609" s="525"/>
      <c r="K609" s="3280"/>
      <c r="AB609" s="3280"/>
      <c r="AG609" s="3865"/>
      <c r="AM609" s="3041"/>
      <c r="BD609" s="3280"/>
      <c r="BF609" s="3041"/>
      <c r="BH609" s="3282"/>
    </row>
    <row r="610" spans="1:60" s="3030" customFormat="1">
      <c r="A610" s="2126"/>
      <c r="B610" s="2126"/>
      <c r="C610" s="2126"/>
      <c r="D610" s="2126"/>
      <c r="E610" s="525"/>
      <c r="F610" s="525"/>
      <c r="G610" s="525"/>
      <c r="K610" s="3280"/>
      <c r="AB610" s="3280"/>
      <c r="AG610" s="3865"/>
      <c r="AM610" s="3041"/>
      <c r="BD610" s="3280"/>
      <c r="BF610" s="3041"/>
      <c r="BH610" s="3282"/>
    </row>
    <row r="611" spans="1:60" s="3030" customFormat="1">
      <c r="A611" s="2126"/>
      <c r="B611" s="2126"/>
      <c r="C611" s="2126"/>
      <c r="D611" s="2126"/>
      <c r="E611" s="525"/>
      <c r="F611" s="525"/>
      <c r="G611" s="525"/>
      <c r="K611" s="3280"/>
      <c r="AB611" s="3280"/>
      <c r="AG611" s="3865"/>
      <c r="AM611" s="3041"/>
      <c r="BD611" s="3280"/>
      <c r="BF611" s="3041"/>
      <c r="BH611" s="3282"/>
    </row>
    <row r="612" spans="1:60" s="3030" customFormat="1">
      <c r="A612" s="2126"/>
      <c r="B612" s="2126"/>
      <c r="C612" s="2126"/>
      <c r="D612" s="2126"/>
      <c r="E612" s="525"/>
      <c r="F612" s="525"/>
      <c r="G612" s="525"/>
      <c r="K612" s="3280"/>
      <c r="AB612" s="3280"/>
      <c r="AG612" s="3865"/>
      <c r="AM612" s="3041"/>
      <c r="BD612" s="3280"/>
      <c r="BF612" s="3041"/>
      <c r="BH612" s="3282"/>
    </row>
    <row r="613" spans="1:60" s="3030" customFormat="1">
      <c r="A613" s="2126"/>
      <c r="B613" s="2126"/>
      <c r="C613" s="2126"/>
      <c r="D613" s="2126"/>
      <c r="E613" s="525"/>
      <c r="F613" s="525"/>
      <c r="G613" s="525"/>
      <c r="K613" s="3280"/>
      <c r="AB613" s="3280"/>
      <c r="AG613" s="3865"/>
      <c r="AM613" s="3041"/>
      <c r="BD613" s="3280"/>
      <c r="BF613" s="3041"/>
      <c r="BH613" s="3282"/>
    </row>
    <row r="614" spans="1:60" s="3030" customFormat="1">
      <c r="A614" s="2126"/>
      <c r="B614" s="2126"/>
      <c r="C614" s="2126"/>
      <c r="D614" s="2126"/>
      <c r="E614" s="525"/>
      <c r="F614" s="525"/>
      <c r="G614" s="525"/>
      <c r="K614" s="3280"/>
      <c r="AB614" s="3280"/>
      <c r="AG614" s="3865"/>
      <c r="AM614" s="3041"/>
      <c r="BD614" s="3280"/>
      <c r="BF614" s="3041"/>
      <c r="BH614" s="3282"/>
    </row>
    <row r="615" spans="1:60" s="3030" customFormat="1">
      <c r="A615" s="2126"/>
      <c r="B615" s="2126"/>
      <c r="C615" s="2126"/>
      <c r="D615" s="2126"/>
      <c r="E615" s="525"/>
      <c r="F615" s="525"/>
      <c r="G615" s="525"/>
      <c r="K615" s="3280"/>
      <c r="AB615" s="3280"/>
      <c r="AG615" s="3865"/>
      <c r="AM615" s="3041"/>
      <c r="BD615" s="3280"/>
      <c r="BF615" s="3041"/>
      <c r="BH615" s="3282"/>
    </row>
    <row r="616" spans="1:60" s="3030" customFormat="1">
      <c r="A616" s="2126"/>
      <c r="B616" s="2126"/>
      <c r="C616" s="2126"/>
      <c r="D616" s="2126"/>
      <c r="E616" s="525"/>
      <c r="F616" s="525"/>
      <c r="G616" s="525"/>
      <c r="K616" s="3280"/>
      <c r="AB616" s="3280"/>
      <c r="AG616" s="3865"/>
      <c r="AM616" s="3041"/>
      <c r="BD616" s="3280"/>
      <c r="BF616" s="3041"/>
      <c r="BH616" s="3282"/>
    </row>
    <row r="617" spans="1:60" s="3030" customFormat="1">
      <c r="A617" s="2126"/>
      <c r="B617" s="2126"/>
      <c r="C617" s="2126"/>
      <c r="D617" s="2126"/>
      <c r="E617" s="525"/>
      <c r="F617" s="525"/>
      <c r="G617" s="525"/>
      <c r="K617" s="3280"/>
      <c r="AB617" s="3280"/>
      <c r="AG617" s="3865"/>
      <c r="AM617" s="3041"/>
      <c r="BD617" s="3280"/>
      <c r="BF617" s="3041"/>
      <c r="BH617" s="3282"/>
    </row>
    <row r="618" spans="1:60" s="3030" customFormat="1">
      <c r="A618" s="2126"/>
      <c r="B618" s="2126"/>
      <c r="C618" s="2126"/>
      <c r="D618" s="2126"/>
      <c r="E618" s="525"/>
      <c r="F618" s="525"/>
      <c r="G618" s="525"/>
      <c r="K618" s="3280"/>
      <c r="AB618" s="3280"/>
      <c r="AG618" s="3865"/>
      <c r="AM618" s="3041"/>
      <c r="BD618" s="3280"/>
      <c r="BF618" s="3041"/>
      <c r="BH618" s="3282"/>
    </row>
    <row r="619" spans="1:60" s="3030" customFormat="1">
      <c r="A619" s="2126"/>
      <c r="B619" s="2126"/>
      <c r="C619" s="2126"/>
      <c r="D619" s="2126"/>
      <c r="E619" s="525"/>
      <c r="F619" s="525"/>
      <c r="G619" s="525"/>
      <c r="K619" s="3280"/>
      <c r="AB619" s="3280"/>
      <c r="AG619" s="3865"/>
      <c r="AM619" s="3041"/>
      <c r="BD619" s="3280"/>
      <c r="BF619" s="3041"/>
      <c r="BH619" s="3282"/>
    </row>
    <row r="620" spans="1:60" s="3030" customFormat="1">
      <c r="A620" s="2126"/>
      <c r="B620" s="2126"/>
      <c r="C620" s="2126"/>
      <c r="D620" s="2126"/>
      <c r="E620" s="525"/>
      <c r="F620" s="525"/>
      <c r="G620" s="525"/>
      <c r="K620" s="3280"/>
      <c r="AB620" s="3280"/>
      <c r="AG620" s="3865"/>
      <c r="AM620" s="3041"/>
      <c r="BD620" s="3280"/>
      <c r="BF620" s="3041"/>
      <c r="BH620" s="3282"/>
    </row>
    <row r="621" spans="1:60" s="3030" customFormat="1">
      <c r="A621" s="2126"/>
      <c r="B621" s="2126"/>
      <c r="C621" s="2126"/>
      <c r="D621" s="2126"/>
      <c r="E621" s="525"/>
      <c r="F621" s="525"/>
      <c r="G621" s="525"/>
      <c r="K621" s="3280"/>
      <c r="AB621" s="3280"/>
      <c r="AG621" s="3865"/>
      <c r="AM621" s="3041"/>
      <c r="BD621" s="3280"/>
      <c r="BF621" s="3041"/>
      <c r="BH621" s="3282"/>
    </row>
    <row r="622" spans="1:60" s="3030" customFormat="1">
      <c r="A622" s="2126"/>
      <c r="B622" s="2126"/>
      <c r="C622" s="2126"/>
      <c r="D622" s="2126"/>
      <c r="E622" s="525"/>
      <c r="F622" s="525"/>
      <c r="G622" s="525"/>
      <c r="K622" s="3280"/>
      <c r="AB622" s="3280"/>
      <c r="AG622" s="3865"/>
      <c r="AM622" s="3041"/>
      <c r="BD622" s="3280"/>
      <c r="BF622" s="3041"/>
      <c r="BH622" s="3282"/>
    </row>
    <row r="623" spans="1:60" s="3030" customFormat="1">
      <c r="A623" s="2126"/>
      <c r="B623" s="2126"/>
      <c r="C623" s="2126"/>
      <c r="D623" s="2126"/>
      <c r="E623" s="525"/>
      <c r="F623" s="525"/>
      <c r="G623" s="525"/>
      <c r="K623" s="3280"/>
      <c r="AB623" s="3280"/>
      <c r="AG623" s="3865"/>
      <c r="AM623" s="3041"/>
      <c r="BD623" s="3280"/>
      <c r="BF623" s="3041"/>
      <c r="BH623" s="3282"/>
    </row>
    <row r="624" spans="1:60" s="3030" customFormat="1">
      <c r="A624" s="2126"/>
      <c r="B624" s="2126"/>
      <c r="C624" s="2126"/>
      <c r="D624" s="2126"/>
      <c r="E624" s="525"/>
      <c r="F624" s="525"/>
      <c r="G624" s="525"/>
      <c r="K624" s="3280"/>
      <c r="AB624" s="3280"/>
      <c r="AG624" s="3865"/>
      <c r="AM624" s="3041"/>
      <c r="BD624" s="3280"/>
      <c r="BF624" s="3041"/>
      <c r="BH624" s="3282"/>
    </row>
    <row r="625" spans="1:60" s="3030" customFormat="1">
      <c r="A625" s="2126"/>
      <c r="B625" s="2126"/>
      <c r="C625" s="2126"/>
      <c r="D625" s="2126"/>
      <c r="E625" s="525"/>
      <c r="F625" s="525"/>
      <c r="G625" s="525"/>
      <c r="K625" s="3280"/>
      <c r="AB625" s="3280"/>
      <c r="AG625" s="3865"/>
      <c r="AM625" s="3041"/>
      <c r="BD625" s="3280"/>
      <c r="BF625" s="3041"/>
      <c r="BH625" s="3282"/>
    </row>
    <row r="626" spans="1:60" s="3030" customFormat="1">
      <c r="A626" s="2126"/>
      <c r="B626" s="2126"/>
      <c r="C626" s="2126"/>
      <c r="D626" s="2126"/>
      <c r="E626" s="525"/>
      <c r="F626" s="525"/>
      <c r="G626" s="525"/>
      <c r="K626" s="3280"/>
      <c r="AB626" s="3280"/>
      <c r="AG626" s="3865"/>
      <c r="AM626" s="3041"/>
      <c r="BD626" s="3280"/>
      <c r="BF626" s="3041"/>
      <c r="BH626" s="3282"/>
    </row>
    <row r="627" spans="1:60" s="3030" customFormat="1">
      <c r="A627" s="2126"/>
      <c r="B627" s="2126"/>
      <c r="C627" s="2126"/>
      <c r="D627" s="2126"/>
      <c r="E627" s="525"/>
      <c r="F627" s="525"/>
      <c r="G627" s="525"/>
      <c r="K627" s="3280"/>
      <c r="AB627" s="3280"/>
      <c r="AG627" s="3865"/>
      <c r="AM627" s="3041"/>
      <c r="BD627" s="3280"/>
      <c r="BF627" s="3041"/>
      <c r="BH627" s="3282"/>
    </row>
    <row r="628" spans="1:60" s="3030" customFormat="1">
      <c r="A628" s="2126"/>
      <c r="B628" s="2126"/>
      <c r="C628" s="2126"/>
      <c r="D628" s="2126"/>
      <c r="E628" s="525"/>
      <c r="F628" s="525"/>
      <c r="G628" s="525"/>
      <c r="K628" s="3280"/>
      <c r="AB628" s="3280"/>
      <c r="AG628" s="3865"/>
      <c r="AM628" s="3041"/>
      <c r="BD628" s="3280"/>
      <c r="BF628" s="3041"/>
      <c r="BH628" s="3282"/>
    </row>
    <row r="629" spans="1:60" s="3030" customFormat="1">
      <c r="A629" s="2126"/>
      <c r="B629" s="2126"/>
      <c r="C629" s="2126"/>
      <c r="D629" s="2126"/>
      <c r="E629" s="525"/>
      <c r="F629" s="525"/>
      <c r="G629" s="525"/>
      <c r="K629" s="3280"/>
      <c r="AB629" s="3280"/>
      <c r="AG629" s="3865"/>
      <c r="AM629" s="3041"/>
      <c r="BD629" s="3280"/>
      <c r="BF629" s="3041"/>
      <c r="BH629" s="3282"/>
    </row>
    <row r="630" spans="1:60" s="3030" customFormat="1">
      <c r="A630" s="2126"/>
      <c r="B630" s="2126"/>
      <c r="C630" s="2126"/>
      <c r="D630" s="2126"/>
      <c r="E630" s="525"/>
      <c r="F630" s="525"/>
      <c r="G630" s="525"/>
      <c r="K630" s="3280"/>
      <c r="AB630" s="3280"/>
      <c r="AG630" s="3865"/>
      <c r="AM630" s="3041"/>
      <c r="BD630" s="3280"/>
      <c r="BF630" s="3041"/>
      <c r="BH630" s="3282"/>
    </row>
    <row r="631" spans="1:60" s="3030" customFormat="1">
      <c r="A631" s="2126"/>
      <c r="B631" s="2126"/>
      <c r="C631" s="2126"/>
      <c r="D631" s="2126"/>
      <c r="E631" s="525"/>
      <c r="F631" s="525"/>
      <c r="G631" s="525"/>
      <c r="K631" s="3280"/>
      <c r="AB631" s="3280"/>
      <c r="AG631" s="3865"/>
      <c r="AM631" s="3041"/>
      <c r="BD631" s="3280"/>
      <c r="BF631" s="3041"/>
      <c r="BH631" s="3282"/>
    </row>
    <row r="632" spans="1:60" s="3030" customFormat="1">
      <c r="A632" s="2126"/>
      <c r="B632" s="2126"/>
      <c r="C632" s="2126"/>
      <c r="D632" s="2126"/>
      <c r="E632" s="525"/>
      <c r="F632" s="525"/>
      <c r="G632" s="525"/>
      <c r="K632" s="3280"/>
      <c r="AB632" s="3280"/>
      <c r="AG632" s="3865"/>
      <c r="AM632" s="3041"/>
      <c r="BD632" s="3280"/>
      <c r="BF632" s="3041"/>
      <c r="BH632" s="3282"/>
    </row>
    <row r="633" spans="1:60" s="3030" customFormat="1">
      <c r="A633" s="2126"/>
      <c r="B633" s="2126"/>
      <c r="C633" s="2126"/>
      <c r="D633" s="2126"/>
      <c r="E633" s="525"/>
      <c r="F633" s="525"/>
      <c r="G633" s="525"/>
      <c r="K633" s="3280"/>
      <c r="AB633" s="3280"/>
      <c r="AG633" s="3865"/>
      <c r="AM633" s="3041"/>
      <c r="BD633" s="3280"/>
      <c r="BF633" s="3041"/>
      <c r="BH633" s="3282"/>
    </row>
    <row r="634" spans="1:60" s="3030" customFormat="1">
      <c r="A634" s="2126"/>
      <c r="B634" s="2126"/>
      <c r="C634" s="2126"/>
      <c r="D634" s="2126"/>
      <c r="E634" s="525"/>
      <c r="F634" s="525"/>
      <c r="G634" s="525"/>
      <c r="K634" s="3280"/>
      <c r="AB634" s="3280"/>
      <c r="AG634" s="3865"/>
      <c r="AM634" s="3041"/>
      <c r="BD634" s="3280"/>
      <c r="BF634" s="3041"/>
      <c r="BH634" s="3282"/>
    </row>
    <row r="635" spans="1:60" s="3030" customFormat="1">
      <c r="A635" s="2126"/>
      <c r="B635" s="2126"/>
      <c r="C635" s="2126"/>
      <c r="D635" s="2126"/>
      <c r="E635" s="525"/>
      <c r="F635" s="525"/>
      <c r="G635" s="525"/>
      <c r="K635" s="3280"/>
      <c r="AB635" s="3280"/>
      <c r="AG635" s="3865"/>
      <c r="AM635" s="3041"/>
      <c r="BD635" s="3280"/>
      <c r="BF635" s="3041"/>
      <c r="BH635" s="3282"/>
    </row>
    <row r="636" spans="1:60" s="3030" customFormat="1">
      <c r="A636" s="2126"/>
      <c r="B636" s="2126"/>
      <c r="C636" s="2126"/>
      <c r="D636" s="2126"/>
      <c r="E636" s="525"/>
      <c r="F636" s="525"/>
      <c r="G636" s="525"/>
      <c r="K636" s="3280"/>
      <c r="AB636" s="3280"/>
      <c r="AG636" s="3865"/>
      <c r="AM636" s="3041"/>
      <c r="BD636" s="3280"/>
      <c r="BF636" s="3041"/>
      <c r="BH636" s="3282"/>
    </row>
    <row r="637" spans="1:60" s="3030" customFormat="1">
      <c r="A637" s="2126"/>
      <c r="B637" s="2126"/>
      <c r="C637" s="2126"/>
      <c r="D637" s="2126"/>
      <c r="E637" s="525"/>
      <c r="F637" s="525"/>
      <c r="G637" s="525"/>
      <c r="K637" s="3280"/>
      <c r="AB637" s="3280"/>
      <c r="AG637" s="3865"/>
      <c r="AM637" s="3041"/>
      <c r="BD637" s="3280"/>
      <c r="BF637" s="3041"/>
      <c r="BH637" s="3282"/>
    </row>
    <row r="638" spans="1:60" s="3030" customFormat="1">
      <c r="A638" s="2126"/>
      <c r="B638" s="2126"/>
      <c r="C638" s="2126"/>
      <c r="D638" s="2126"/>
      <c r="E638" s="525"/>
      <c r="F638" s="525"/>
      <c r="G638" s="525"/>
      <c r="K638" s="3280"/>
      <c r="AB638" s="3280"/>
      <c r="AG638" s="3865"/>
      <c r="AM638" s="3041"/>
      <c r="BD638" s="3280"/>
      <c r="BF638" s="3041"/>
      <c r="BH638" s="3282"/>
    </row>
    <row r="639" spans="1:60" s="3030" customFormat="1">
      <c r="A639" s="2126"/>
      <c r="B639" s="2126"/>
      <c r="C639" s="2126"/>
      <c r="D639" s="2126"/>
      <c r="E639" s="525"/>
      <c r="F639" s="525"/>
      <c r="G639" s="525"/>
      <c r="K639" s="3280"/>
      <c r="AB639" s="3280"/>
      <c r="AG639" s="3865"/>
      <c r="AM639" s="3041"/>
      <c r="BD639" s="3280"/>
      <c r="BF639" s="3041"/>
      <c r="BH639" s="3282"/>
    </row>
    <row r="640" spans="1:60" s="3030" customFormat="1">
      <c r="A640" s="2126"/>
      <c r="B640" s="2126"/>
      <c r="C640" s="2126"/>
      <c r="D640" s="2126"/>
      <c r="E640" s="525"/>
      <c r="F640" s="525"/>
      <c r="G640" s="525"/>
      <c r="K640" s="3280"/>
      <c r="AB640" s="3280"/>
      <c r="AG640" s="3865"/>
      <c r="AM640" s="3041"/>
      <c r="BD640" s="3280"/>
      <c r="BF640" s="3041"/>
      <c r="BH640" s="3282"/>
    </row>
    <row r="641" spans="1:60" s="3030" customFormat="1">
      <c r="A641" s="2126"/>
      <c r="B641" s="2126"/>
      <c r="C641" s="2126"/>
      <c r="D641" s="2126"/>
      <c r="E641" s="525"/>
      <c r="F641" s="525"/>
      <c r="G641" s="525"/>
      <c r="K641" s="3280"/>
      <c r="AB641" s="3280"/>
      <c r="AG641" s="3865"/>
      <c r="AM641" s="3041"/>
      <c r="BD641" s="3280"/>
      <c r="BF641" s="3041"/>
      <c r="BH641" s="3282"/>
    </row>
    <row r="642" spans="1:60" s="3030" customFormat="1">
      <c r="A642" s="2126"/>
      <c r="B642" s="2126"/>
      <c r="C642" s="2126"/>
      <c r="D642" s="2126"/>
      <c r="E642" s="525"/>
      <c r="F642" s="525"/>
      <c r="G642" s="525"/>
      <c r="K642" s="3280"/>
      <c r="AB642" s="3280"/>
      <c r="AG642" s="3865"/>
      <c r="AM642" s="3041"/>
      <c r="BD642" s="3280"/>
      <c r="BF642" s="3041"/>
      <c r="BH642" s="3282"/>
    </row>
    <row r="643" spans="1:60" s="3030" customFormat="1">
      <c r="A643" s="2126"/>
      <c r="B643" s="2126"/>
      <c r="C643" s="2126"/>
      <c r="D643" s="2126"/>
      <c r="E643" s="525"/>
      <c r="F643" s="525"/>
      <c r="G643" s="525"/>
      <c r="K643" s="3280"/>
      <c r="AB643" s="3280"/>
      <c r="AG643" s="3865"/>
      <c r="AM643" s="3041"/>
      <c r="BD643" s="3280"/>
      <c r="BF643" s="3041"/>
      <c r="BH643" s="3282"/>
    </row>
    <row r="644" spans="1:60" s="3030" customFormat="1">
      <c r="A644" s="2126"/>
      <c r="B644" s="2126"/>
      <c r="C644" s="2126"/>
      <c r="D644" s="2126"/>
      <c r="E644" s="525"/>
      <c r="F644" s="525"/>
      <c r="G644" s="525"/>
      <c r="K644" s="3280"/>
      <c r="AB644" s="3280"/>
      <c r="AG644" s="3865"/>
      <c r="AM644" s="3041"/>
      <c r="BD644" s="3280"/>
      <c r="BF644" s="3041"/>
      <c r="BH644" s="3282"/>
    </row>
    <row r="645" spans="1:60" s="3030" customFormat="1">
      <c r="A645" s="2126"/>
      <c r="B645" s="2126"/>
      <c r="C645" s="2126"/>
      <c r="D645" s="2126"/>
      <c r="E645" s="525"/>
      <c r="F645" s="525"/>
      <c r="G645" s="525"/>
      <c r="K645" s="3280"/>
      <c r="AB645" s="3280"/>
      <c r="AG645" s="3865"/>
      <c r="AM645" s="3041"/>
      <c r="BD645" s="3280"/>
      <c r="BF645" s="3041"/>
      <c r="BH645" s="3282"/>
    </row>
    <row r="646" spans="1:60" s="3030" customFormat="1">
      <c r="A646" s="2126"/>
      <c r="B646" s="2126"/>
      <c r="C646" s="2126"/>
      <c r="D646" s="2126"/>
      <c r="E646" s="525"/>
      <c r="F646" s="525"/>
      <c r="G646" s="525"/>
      <c r="K646" s="3280"/>
      <c r="AB646" s="3280"/>
      <c r="AG646" s="3865"/>
      <c r="AM646" s="3041"/>
      <c r="BD646" s="3280"/>
      <c r="BF646" s="3041"/>
      <c r="BH646" s="3282"/>
    </row>
    <row r="647" spans="1:60" s="3030" customFormat="1">
      <c r="A647" s="2126"/>
      <c r="B647" s="2126"/>
      <c r="C647" s="2126"/>
      <c r="D647" s="2126"/>
      <c r="E647" s="525"/>
      <c r="F647" s="525"/>
      <c r="G647" s="525"/>
      <c r="K647" s="3280"/>
      <c r="AB647" s="3280"/>
      <c r="AG647" s="3865"/>
      <c r="AM647" s="3041"/>
      <c r="BD647" s="3280"/>
      <c r="BF647" s="3041"/>
      <c r="BH647" s="3282"/>
    </row>
    <row r="648" spans="1:60" s="3030" customFormat="1">
      <c r="A648" s="2126"/>
      <c r="B648" s="2126"/>
      <c r="C648" s="2126"/>
      <c r="D648" s="2126"/>
      <c r="E648" s="525"/>
      <c r="F648" s="525"/>
      <c r="G648" s="525"/>
      <c r="K648" s="3280"/>
      <c r="AB648" s="3280"/>
      <c r="AG648" s="3865"/>
      <c r="AM648" s="3041"/>
      <c r="BD648" s="3280"/>
      <c r="BF648" s="3041"/>
      <c r="BH648" s="3282"/>
    </row>
    <row r="649" spans="1:60" s="3030" customFormat="1">
      <c r="A649" s="2126"/>
      <c r="B649" s="2126"/>
      <c r="C649" s="2126"/>
      <c r="D649" s="2126"/>
      <c r="E649" s="525"/>
      <c r="F649" s="525"/>
      <c r="G649" s="525"/>
      <c r="K649" s="3280"/>
      <c r="AB649" s="3280"/>
      <c r="AG649" s="3865"/>
      <c r="AM649" s="3041"/>
      <c r="BD649" s="3280"/>
      <c r="BF649" s="3041"/>
      <c r="BH649" s="3282"/>
    </row>
    <row r="650" spans="1:60" s="3030" customFormat="1">
      <c r="A650" s="2126"/>
      <c r="B650" s="2126"/>
      <c r="C650" s="2126"/>
      <c r="D650" s="2126"/>
      <c r="E650" s="525"/>
      <c r="F650" s="525"/>
      <c r="G650" s="525"/>
      <c r="K650" s="3280"/>
      <c r="AB650" s="3280"/>
      <c r="AG650" s="3865"/>
      <c r="AM650" s="3041"/>
      <c r="BD650" s="3280"/>
      <c r="BF650" s="3041"/>
      <c r="BH650" s="3282"/>
    </row>
    <row r="651" spans="1:60" s="3030" customFormat="1">
      <c r="A651" s="2126"/>
      <c r="B651" s="2126"/>
      <c r="C651" s="2126"/>
      <c r="D651" s="2126"/>
      <c r="E651" s="525"/>
      <c r="F651" s="525"/>
      <c r="G651" s="525"/>
      <c r="K651" s="3280"/>
      <c r="AB651" s="3280"/>
      <c r="AG651" s="3865"/>
      <c r="AM651" s="3041"/>
      <c r="BD651" s="3280"/>
      <c r="BF651" s="3041"/>
      <c r="BH651" s="3282"/>
    </row>
    <row r="652" spans="1:60" s="3030" customFormat="1">
      <c r="A652" s="2126"/>
      <c r="B652" s="2126"/>
      <c r="C652" s="2126"/>
      <c r="D652" s="2126"/>
      <c r="E652" s="525"/>
      <c r="F652" s="525"/>
      <c r="G652" s="525"/>
      <c r="K652" s="3280"/>
      <c r="AB652" s="3280"/>
      <c r="AG652" s="3865"/>
      <c r="AM652" s="3041"/>
      <c r="BD652" s="3280"/>
      <c r="BF652" s="3041"/>
      <c r="BH652" s="3282"/>
    </row>
    <row r="653" spans="1:60" s="3030" customFormat="1">
      <c r="A653" s="2126"/>
      <c r="B653" s="2126"/>
      <c r="C653" s="2126"/>
      <c r="D653" s="2126"/>
      <c r="E653" s="525"/>
      <c r="F653" s="525"/>
      <c r="G653" s="525"/>
      <c r="K653" s="3280"/>
      <c r="AB653" s="3280"/>
      <c r="AG653" s="3865"/>
      <c r="AM653" s="3041"/>
      <c r="BD653" s="3280"/>
      <c r="BF653" s="3041"/>
      <c r="BH653" s="3282"/>
    </row>
    <row r="654" spans="1:60" s="3030" customFormat="1">
      <c r="A654" s="2126"/>
      <c r="B654" s="2126"/>
      <c r="C654" s="2126"/>
      <c r="D654" s="2126"/>
      <c r="E654" s="525"/>
      <c r="F654" s="525"/>
      <c r="G654" s="525"/>
      <c r="K654" s="3280"/>
      <c r="AB654" s="3280"/>
      <c r="AG654" s="3865"/>
      <c r="AM654" s="3041"/>
      <c r="BD654" s="3280"/>
      <c r="BF654" s="3041"/>
      <c r="BH654" s="3282"/>
    </row>
    <row r="655" spans="1:60" s="3030" customFormat="1">
      <c r="A655" s="2126"/>
      <c r="B655" s="2126"/>
      <c r="C655" s="2126"/>
      <c r="D655" s="2126"/>
      <c r="E655" s="525"/>
      <c r="F655" s="525"/>
      <c r="G655" s="525"/>
      <c r="K655" s="3280"/>
      <c r="AB655" s="3280"/>
      <c r="AG655" s="3865"/>
      <c r="AM655" s="3041"/>
      <c r="BD655" s="3280"/>
      <c r="BF655" s="3041"/>
      <c r="BH655" s="3282"/>
    </row>
    <row r="656" spans="1:60" s="3030" customFormat="1">
      <c r="A656" s="2126"/>
      <c r="B656" s="2126"/>
      <c r="C656" s="2126"/>
      <c r="D656" s="2126"/>
      <c r="E656" s="525"/>
      <c r="F656" s="525"/>
      <c r="G656" s="525"/>
      <c r="K656" s="3280"/>
      <c r="AB656" s="3280"/>
      <c r="AG656" s="3865"/>
      <c r="AM656" s="3041"/>
      <c r="BD656" s="3280"/>
      <c r="BF656" s="3041"/>
      <c r="BH656" s="3282"/>
    </row>
    <row r="657" spans="1:60" s="3030" customFormat="1">
      <c r="A657" s="2126"/>
      <c r="B657" s="2126"/>
      <c r="C657" s="2126"/>
      <c r="D657" s="2126"/>
      <c r="E657" s="525"/>
      <c r="F657" s="525"/>
      <c r="G657" s="525"/>
      <c r="K657" s="3280"/>
      <c r="AB657" s="3280"/>
      <c r="AG657" s="3865"/>
      <c r="AM657" s="3041"/>
      <c r="BD657" s="3280"/>
      <c r="BF657" s="3041"/>
      <c r="BH657" s="3282"/>
    </row>
    <row r="658" spans="1:60" s="3030" customFormat="1">
      <c r="A658" s="2126"/>
      <c r="B658" s="2126"/>
      <c r="C658" s="2126"/>
      <c r="D658" s="2126"/>
      <c r="E658" s="525"/>
      <c r="F658" s="525"/>
      <c r="G658" s="525"/>
      <c r="K658" s="3280"/>
      <c r="AB658" s="3280"/>
      <c r="AG658" s="3865"/>
      <c r="AM658" s="3041"/>
      <c r="BD658" s="3280"/>
      <c r="BF658" s="3041"/>
      <c r="BH658" s="3282"/>
    </row>
    <row r="659" spans="1:60" s="3030" customFormat="1">
      <c r="A659" s="2126"/>
      <c r="B659" s="2126"/>
      <c r="C659" s="2126"/>
      <c r="D659" s="2126"/>
      <c r="E659" s="525"/>
      <c r="F659" s="525"/>
      <c r="G659" s="525"/>
      <c r="K659" s="3280"/>
      <c r="AB659" s="3280"/>
      <c r="AG659" s="3865"/>
      <c r="AM659" s="3041"/>
      <c r="BD659" s="3280"/>
      <c r="BF659" s="3041"/>
      <c r="BH659" s="3282"/>
    </row>
    <row r="660" spans="1:60" s="3030" customFormat="1">
      <c r="A660" s="2126"/>
      <c r="B660" s="2126"/>
      <c r="C660" s="2126"/>
      <c r="D660" s="2126"/>
      <c r="E660" s="525"/>
      <c r="F660" s="525"/>
      <c r="G660" s="525"/>
      <c r="K660" s="3280"/>
      <c r="AB660" s="3280"/>
      <c r="AG660" s="3865"/>
      <c r="AM660" s="3041"/>
      <c r="BD660" s="3280"/>
      <c r="BF660" s="3041"/>
      <c r="BH660" s="3282"/>
    </row>
    <row r="661" spans="1:60" s="3030" customFormat="1">
      <c r="A661" s="2126"/>
      <c r="B661" s="2126"/>
      <c r="C661" s="2126"/>
      <c r="D661" s="2126"/>
      <c r="E661" s="525"/>
      <c r="F661" s="525"/>
      <c r="G661" s="525"/>
      <c r="K661" s="3280"/>
      <c r="AB661" s="3280"/>
      <c r="AG661" s="3865"/>
      <c r="AM661" s="3041"/>
      <c r="BD661" s="3280"/>
      <c r="BF661" s="3041"/>
      <c r="BH661" s="3282"/>
    </row>
    <row r="662" spans="1:60" s="3030" customFormat="1">
      <c r="A662" s="2126"/>
      <c r="B662" s="2126"/>
      <c r="C662" s="2126"/>
      <c r="D662" s="2126"/>
      <c r="E662" s="525"/>
      <c r="F662" s="525"/>
      <c r="G662" s="525"/>
      <c r="K662" s="3280"/>
      <c r="AB662" s="3280"/>
      <c r="AG662" s="3865"/>
      <c r="AM662" s="3041"/>
      <c r="BD662" s="3280"/>
      <c r="BF662" s="3041"/>
      <c r="BH662" s="3282"/>
    </row>
    <row r="663" spans="1:60" s="3030" customFormat="1">
      <c r="A663" s="2126"/>
      <c r="B663" s="2126"/>
      <c r="C663" s="2126"/>
      <c r="D663" s="2126"/>
      <c r="E663" s="525"/>
      <c r="F663" s="525"/>
      <c r="G663" s="525"/>
      <c r="K663" s="3280"/>
      <c r="AB663" s="3280"/>
      <c r="AG663" s="3865"/>
      <c r="AM663" s="3041"/>
      <c r="BD663" s="3280"/>
      <c r="BF663" s="3041"/>
      <c r="BH663" s="3282"/>
    </row>
    <row r="664" spans="1:60" s="3030" customFormat="1">
      <c r="A664" s="2126"/>
      <c r="B664" s="2126"/>
      <c r="C664" s="2126"/>
      <c r="D664" s="2126"/>
      <c r="E664" s="525"/>
      <c r="F664" s="525"/>
      <c r="G664" s="525"/>
      <c r="K664" s="3280"/>
      <c r="AB664" s="3280"/>
      <c r="AG664" s="3865"/>
      <c r="AM664" s="3041"/>
      <c r="BD664" s="3280"/>
      <c r="BF664" s="3041"/>
      <c r="BH664" s="3282"/>
    </row>
    <row r="665" spans="1:60" s="3030" customFormat="1">
      <c r="A665" s="2126"/>
      <c r="B665" s="2126"/>
      <c r="C665" s="2126"/>
      <c r="D665" s="2126"/>
      <c r="E665" s="525"/>
      <c r="F665" s="525"/>
      <c r="G665" s="525"/>
      <c r="K665" s="3280"/>
      <c r="AB665" s="3280"/>
      <c r="AG665" s="3865"/>
      <c r="AM665" s="3041"/>
      <c r="BD665" s="3280"/>
      <c r="BF665" s="3041"/>
      <c r="BH665" s="3282"/>
    </row>
    <row r="666" spans="1:60" s="3030" customFormat="1">
      <c r="A666" s="2126"/>
      <c r="B666" s="2126"/>
      <c r="C666" s="2126"/>
      <c r="D666" s="2126"/>
      <c r="E666" s="525"/>
      <c r="F666" s="525"/>
      <c r="G666" s="525"/>
      <c r="K666" s="3280"/>
      <c r="AB666" s="3280"/>
      <c r="AG666" s="3865"/>
      <c r="AM666" s="3041"/>
      <c r="BD666" s="3280"/>
      <c r="BF666" s="3041"/>
      <c r="BH666" s="3282"/>
    </row>
    <row r="667" spans="1:60" s="3030" customFormat="1">
      <c r="A667" s="2126"/>
      <c r="B667" s="2126"/>
      <c r="C667" s="2126"/>
      <c r="D667" s="2126"/>
      <c r="E667" s="525"/>
      <c r="F667" s="525"/>
      <c r="G667" s="525"/>
      <c r="K667" s="3280"/>
      <c r="AB667" s="3280"/>
      <c r="AG667" s="3865"/>
      <c r="AM667" s="3041"/>
      <c r="BD667" s="3280"/>
      <c r="BF667" s="3041"/>
      <c r="BH667" s="3282"/>
    </row>
    <row r="668" spans="1:60" s="3030" customFormat="1">
      <c r="A668" s="2126"/>
      <c r="B668" s="2126"/>
      <c r="C668" s="2126"/>
      <c r="D668" s="2126"/>
      <c r="E668" s="525"/>
      <c r="F668" s="525"/>
      <c r="G668" s="525"/>
      <c r="K668" s="3280"/>
      <c r="AB668" s="3280"/>
      <c r="AG668" s="3865"/>
      <c r="AM668" s="3041"/>
      <c r="BD668" s="3280"/>
      <c r="BF668" s="3041"/>
      <c r="BH668" s="3282"/>
    </row>
    <row r="669" spans="1:60" s="3030" customFormat="1">
      <c r="A669" s="2126"/>
      <c r="B669" s="2126"/>
      <c r="C669" s="2126"/>
      <c r="D669" s="2126"/>
      <c r="E669" s="525"/>
      <c r="F669" s="525"/>
      <c r="G669" s="525"/>
      <c r="K669" s="3280"/>
      <c r="AB669" s="3280"/>
      <c r="AG669" s="3865"/>
      <c r="AM669" s="3041"/>
      <c r="BD669" s="3280"/>
      <c r="BF669" s="3041"/>
      <c r="BH669" s="3282"/>
    </row>
    <row r="670" spans="1:60" s="3030" customFormat="1">
      <c r="A670" s="2126"/>
      <c r="B670" s="2126"/>
      <c r="C670" s="2126"/>
      <c r="D670" s="2126"/>
      <c r="E670" s="525"/>
      <c r="F670" s="525"/>
      <c r="G670" s="525"/>
      <c r="K670" s="3280"/>
      <c r="AB670" s="3280"/>
      <c r="AG670" s="3865"/>
      <c r="AM670" s="3041"/>
      <c r="BD670" s="3280"/>
      <c r="BF670" s="3041"/>
      <c r="BH670" s="3282"/>
    </row>
    <row r="671" spans="1:60" s="3030" customFormat="1">
      <c r="A671" s="2126"/>
      <c r="B671" s="2126"/>
      <c r="C671" s="2126"/>
      <c r="D671" s="2126"/>
      <c r="E671" s="525"/>
      <c r="F671" s="525"/>
      <c r="G671" s="525"/>
      <c r="K671" s="3280"/>
      <c r="AB671" s="3280"/>
      <c r="AG671" s="3865"/>
      <c r="AM671" s="3041"/>
      <c r="BD671" s="3280"/>
      <c r="BF671" s="3041"/>
      <c r="BH671" s="3282"/>
    </row>
    <row r="672" spans="1:60" s="3030" customFormat="1">
      <c r="A672" s="2126"/>
      <c r="B672" s="2126"/>
      <c r="C672" s="2126"/>
      <c r="D672" s="2126"/>
      <c r="E672" s="525"/>
      <c r="F672" s="525"/>
      <c r="G672" s="525"/>
      <c r="K672" s="3280"/>
      <c r="AB672" s="3280"/>
      <c r="AG672" s="3865"/>
      <c r="AM672" s="3041"/>
      <c r="BD672" s="3280"/>
      <c r="BF672" s="3041"/>
      <c r="BH672" s="3282"/>
    </row>
    <row r="673" spans="1:60" s="3030" customFormat="1">
      <c r="A673" s="2126"/>
      <c r="B673" s="2126"/>
      <c r="C673" s="2126"/>
      <c r="D673" s="2126"/>
      <c r="E673" s="525"/>
      <c r="F673" s="525"/>
      <c r="G673" s="525"/>
      <c r="K673" s="3280"/>
      <c r="AB673" s="3280"/>
      <c r="AG673" s="3865"/>
      <c r="AM673" s="3041"/>
      <c r="BD673" s="3280"/>
      <c r="BF673" s="3041"/>
      <c r="BH673" s="3282"/>
    </row>
    <row r="674" spans="1:60" s="3030" customFormat="1">
      <c r="A674" s="2126"/>
      <c r="B674" s="2126"/>
      <c r="C674" s="2126"/>
      <c r="D674" s="2126"/>
      <c r="E674" s="525"/>
      <c r="F674" s="525"/>
      <c r="G674" s="525"/>
      <c r="K674" s="3280"/>
      <c r="AB674" s="3280"/>
      <c r="AG674" s="3865"/>
      <c r="AM674" s="3041"/>
      <c r="BD674" s="3280"/>
      <c r="BF674" s="3041"/>
      <c r="BH674" s="3282"/>
    </row>
    <row r="675" spans="1:60" s="3030" customFormat="1">
      <c r="A675" s="2126"/>
      <c r="B675" s="2126"/>
      <c r="C675" s="2126"/>
      <c r="D675" s="2126"/>
      <c r="E675" s="525"/>
      <c r="F675" s="525"/>
      <c r="G675" s="525"/>
      <c r="K675" s="3280"/>
      <c r="AB675" s="3280"/>
      <c r="AG675" s="3865"/>
      <c r="AM675" s="3041"/>
      <c r="BD675" s="3280"/>
      <c r="BF675" s="3041"/>
      <c r="BH675" s="3282"/>
    </row>
    <row r="676" spans="1:60" s="3030" customFormat="1">
      <c r="A676" s="2126"/>
      <c r="B676" s="2126"/>
      <c r="C676" s="2126"/>
      <c r="D676" s="2126"/>
      <c r="E676" s="525"/>
      <c r="F676" s="525"/>
      <c r="G676" s="525"/>
      <c r="K676" s="3280"/>
      <c r="AB676" s="3280"/>
      <c r="AG676" s="3865"/>
      <c r="AM676" s="3041"/>
      <c r="BD676" s="3280"/>
      <c r="BF676" s="3041"/>
      <c r="BH676" s="3282"/>
    </row>
    <row r="677" spans="1:60" s="3030" customFormat="1">
      <c r="A677" s="2126"/>
      <c r="B677" s="2126"/>
      <c r="C677" s="2126"/>
      <c r="D677" s="2126"/>
      <c r="E677" s="525"/>
      <c r="F677" s="525"/>
      <c r="G677" s="525"/>
      <c r="K677" s="3280"/>
      <c r="AB677" s="3280"/>
      <c r="AG677" s="3865"/>
      <c r="AM677" s="3041"/>
      <c r="BD677" s="3280"/>
      <c r="BF677" s="3041"/>
      <c r="BH677" s="3282"/>
    </row>
    <row r="678" spans="1:60" s="3030" customFormat="1">
      <c r="A678" s="2126"/>
      <c r="B678" s="2126"/>
      <c r="C678" s="2126"/>
      <c r="D678" s="2126"/>
      <c r="E678" s="525"/>
      <c r="F678" s="525"/>
      <c r="G678" s="525"/>
      <c r="K678" s="3280"/>
      <c r="AB678" s="3280"/>
      <c r="AG678" s="3865"/>
      <c r="AM678" s="3041"/>
      <c r="BD678" s="3280"/>
      <c r="BF678" s="3041"/>
      <c r="BH678" s="3282"/>
    </row>
    <row r="679" spans="1:60" s="3030" customFormat="1">
      <c r="A679" s="2126"/>
      <c r="B679" s="2126"/>
      <c r="C679" s="2126"/>
      <c r="D679" s="2126"/>
      <c r="E679" s="525"/>
      <c r="F679" s="525"/>
      <c r="G679" s="525"/>
      <c r="K679" s="3280"/>
      <c r="AB679" s="3280"/>
      <c r="AG679" s="3865"/>
      <c r="AM679" s="3041"/>
      <c r="BD679" s="3280"/>
      <c r="BF679" s="3041"/>
      <c r="BH679" s="3282"/>
    </row>
    <row r="680" spans="1:60" s="3030" customFormat="1">
      <c r="A680" s="2126"/>
      <c r="B680" s="2126"/>
      <c r="C680" s="2126"/>
      <c r="D680" s="2126"/>
      <c r="E680" s="525"/>
      <c r="F680" s="525"/>
      <c r="G680" s="525"/>
      <c r="K680" s="3280"/>
      <c r="AB680" s="3280"/>
      <c r="AG680" s="3865"/>
      <c r="AM680" s="3041"/>
      <c r="BD680" s="3280"/>
      <c r="BF680" s="3041"/>
      <c r="BH680" s="3282"/>
    </row>
    <row r="681" spans="1:60" s="3030" customFormat="1">
      <c r="A681" s="2126"/>
      <c r="B681" s="2126"/>
      <c r="C681" s="2126"/>
      <c r="D681" s="2126"/>
      <c r="E681" s="525"/>
      <c r="F681" s="525"/>
      <c r="G681" s="525"/>
      <c r="K681" s="3280"/>
      <c r="AB681" s="3280"/>
      <c r="AG681" s="3865"/>
      <c r="AM681" s="3041"/>
      <c r="BD681" s="3280"/>
      <c r="BF681" s="3041"/>
      <c r="BH681" s="3282"/>
    </row>
    <row r="682" spans="1:60" s="3030" customFormat="1">
      <c r="A682" s="2126"/>
      <c r="B682" s="2126"/>
      <c r="C682" s="2126"/>
      <c r="D682" s="2126"/>
      <c r="E682" s="525"/>
      <c r="F682" s="525"/>
      <c r="G682" s="525"/>
      <c r="K682" s="3280"/>
      <c r="AB682" s="3280"/>
      <c r="AG682" s="3865"/>
      <c r="AM682" s="3041"/>
      <c r="BD682" s="3280"/>
      <c r="BF682" s="3041"/>
      <c r="BH682" s="3282"/>
    </row>
    <row r="683" spans="1:60" s="3030" customFormat="1">
      <c r="A683" s="2126"/>
      <c r="B683" s="2126"/>
      <c r="C683" s="2126"/>
      <c r="D683" s="2126"/>
      <c r="E683" s="525"/>
      <c r="F683" s="525"/>
      <c r="G683" s="525"/>
      <c r="K683" s="3280"/>
      <c r="AB683" s="3280"/>
      <c r="AG683" s="3865"/>
      <c r="AM683" s="3041"/>
      <c r="BD683" s="3280"/>
      <c r="BF683" s="3041"/>
      <c r="BH683" s="3282"/>
    </row>
    <row r="684" spans="1:60" s="3030" customFormat="1">
      <c r="A684" s="2126"/>
      <c r="B684" s="2126"/>
      <c r="C684" s="2126"/>
      <c r="D684" s="2126"/>
      <c r="E684" s="525"/>
      <c r="F684" s="525"/>
      <c r="G684" s="525"/>
      <c r="K684" s="3280"/>
      <c r="AB684" s="3280"/>
      <c r="AG684" s="3865"/>
      <c r="AM684" s="3041"/>
      <c r="BD684" s="3280"/>
      <c r="BF684" s="3041"/>
      <c r="BH684" s="3282"/>
    </row>
    <row r="685" spans="1:60" s="3030" customFormat="1">
      <c r="A685" s="2126"/>
      <c r="B685" s="2126"/>
      <c r="C685" s="2126"/>
      <c r="D685" s="2126"/>
      <c r="E685" s="525"/>
      <c r="F685" s="525"/>
      <c r="G685" s="525"/>
      <c r="K685" s="3280"/>
      <c r="AB685" s="3280"/>
      <c r="AG685" s="3865"/>
      <c r="AM685" s="3041"/>
      <c r="BD685" s="3280"/>
      <c r="BF685" s="3041"/>
      <c r="BH685" s="3282"/>
    </row>
    <row r="686" spans="1:60" s="3030" customFormat="1">
      <c r="A686" s="2126"/>
      <c r="B686" s="2126"/>
      <c r="C686" s="2126"/>
      <c r="D686" s="2126"/>
      <c r="E686" s="525"/>
      <c r="F686" s="525"/>
      <c r="G686" s="525"/>
      <c r="K686" s="3280"/>
      <c r="AB686" s="3280"/>
      <c r="AG686" s="3865"/>
      <c r="AM686" s="3041"/>
      <c r="BD686" s="3280"/>
      <c r="BF686" s="3041"/>
      <c r="BH686" s="3282"/>
    </row>
    <row r="687" spans="1:60" s="3030" customFormat="1">
      <c r="A687" s="2126"/>
      <c r="B687" s="2126"/>
      <c r="C687" s="2126"/>
      <c r="D687" s="2126"/>
      <c r="E687" s="525"/>
      <c r="F687" s="525"/>
      <c r="G687" s="525"/>
      <c r="K687" s="3280"/>
      <c r="AB687" s="3280"/>
      <c r="AG687" s="3865"/>
      <c r="AM687" s="3041"/>
      <c r="BD687" s="3280"/>
      <c r="BF687" s="3041"/>
      <c r="BH687" s="3282"/>
    </row>
    <row r="688" spans="1:60" s="3030" customFormat="1">
      <c r="A688" s="2126"/>
      <c r="B688" s="2126"/>
      <c r="C688" s="2126"/>
      <c r="D688" s="2126"/>
      <c r="E688" s="525"/>
      <c r="F688" s="525"/>
      <c r="G688" s="525"/>
      <c r="K688" s="3280"/>
      <c r="AB688" s="3280"/>
      <c r="AG688" s="3865"/>
      <c r="AM688" s="3041"/>
      <c r="BD688" s="3280"/>
      <c r="BF688" s="3041"/>
      <c r="BH688" s="3282"/>
    </row>
    <row r="689" spans="1:60" s="3030" customFormat="1">
      <c r="A689" s="2126"/>
      <c r="B689" s="2126"/>
      <c r="C689" s="2126"/>
      <c r="D689" s="2126"/>
      <c r="E689" s="525"/>
      <c r="F689" s="525"/>
      <c r="G689" s="525"/>
      <c r="K689" s="3280"/>
      <c r="AB689" s="3280"/>
      <c r="AG689" s="3865"/>
      <c r="AM689" s="3041"/>
      <c r="BD689" s="3280"/>
      <c r="BF689" s="3041"/>
      <c r="BH689" s="3282"/>
    </row>
    <row r="690" spans="1:60" s="3030" customFormat="1">
      <c r="A690" s="2126"/>
      <c r="B690" s="2126"/>
      <c r="C690" s="2126"/>
      <c r="D690" s="2126"/>
      <c r="E690" s="525"/>
      <c r="F690" s="525"/>
      <c r="G690" s="525"/>
      <c r="K690" s="3280"/>
      <c r="AB690" s="3280"/>
      <c r="AG690" s="3865"/>
      <c r="AM690" s="3041"/>
      <c r="BD690" s="3280"/>
      <c r="BF690" s="3041"/>
      <c r="BH690" s="3282"/>
    </row>
    <row r="691" spans="1:60" s="3030" customFormat="1">
      <c r="A691" s="2126"/>
      <c r="B691" s="2126"/>
      <c r="C691" s="2126"/>
      <c r="D691" s="2126"/>
      <c r="E691" s="525"/>
      <c r="F691" s="525"/>
      <c r="G691" s="525"/>
      <c r="K691" s="3280"/>
      <c r="AB691" s="3280"/>
      <c r="AG691" s="3865"/>
      <c r="AM691" s="3041"/>
      <c r="BD691" s="3280"/>
      <c r="BF691" s="3041"/>
      <c r="BH691" s="3282"/>
    </row>
    <row r="692" spans="1:60" s="3030" customFormat="1">
      <c r="A692" s="2126"/>
      <c r="B692" s="2126"/>
      <c r="C692" s="2126"/>
      <c r="D692" s="2126"/>
      <c r="E692" s="525"/>
      <c r="F692" s="525"/>
      <c r="G692" s="525"/>
      <c r="K692" s="3280"/>
      <c r="AB692" s="3280"/>
      <c r="AG692" s="3865"/>
      <c r="AM692" s="3041"/>
      <c r="BD692" s="3280"/>
      <c r="BF692" s="3041"/>
      <c r="BH692" s="3282"/>
    </row>
    <row r="693" spans="1:60" s="3030" customFormat="1">
      <c r="A693" s="2126"/>
      <c r="B693" s="2126"/>
      <c r="C693" s="2126"/>
      <c r="D693" s="2126"/>
      <c r="E693" s="525"/>
      <c r="F693" s="525"/>
      <c r="G693" s="525"/>
      <c r="K693" s="3280"/>
      <c r="AB693" s="3280"/>
      <c r="AG693" s="3865"/>
      <c r="AM693" s="3041"/>
      <c r="BD693" s="3280"/>
      <c r="BF693" s="3041"/>
      <c r="BH693" s="3282"/>
    </row>
    <row r="694" spans="1:60" s="3030" customFormat="1">
      <c r="A694" s="2126"/>
      <c r="B694" s="2126"/>
      <c r="C694" s="2126"/>
      <c r="D694" s="2126"/>
      <c r="E694" s="525"/>
      <c r="F694" s="525"/>
      <c r="G694" s="525"/>
      <c r="K694" s="3280"/>
      <c r="AB694" s="3280"/>
      <c r="AG694" s="3865"/>
      <c r="AM694" s="3041"/>
      <c r="BD694" s="3280"/>
      <c r="BF694" s="3041"/>
      <c r="BH694" s="3282"/>
    </row>
    <row r="695" spans="1:60" s="3030" customFormat="1">
      <c r="A695" s="2126"/>
      <c r="B695" s="2126"/>
      <c r="C695" s="2126"/>
      <c r="D695" s="2126"/>
      <c r="E695" s="525"/>
      <c r="F695" s="525"/>
      <c r="G695" s="525"/>
      <c r="K695" s="3280"/>
      <c r="AB695" s="3280"/>
      <c r="AG695" s="3865"/>
      <c r="AM695" s="3041"/>
      <c r="BD695" s="3280"/>
      <c r="BF695" s="3041"/>
      <c r="BH695" s="3282"/>
    </row>
    <row r="696" spans="1:60" s="3030" customFormat="1">
      <c r="A696" s="2126"/>
      <c r="B696" s="2126"/>
      <c r="C696" s="2126"/>
      <c r="D696" s="2126"/>
      <c r="E696" s="525"/>
      <c r="F696" s="525"/>
      <c r="G696" s="525"/>
      <c r="K696" s="3280"/>
      <c r="AB696" s="3280"/>
      <c r="AG696" s="3865"/>
      <c r="AM696" s="3041"/>
      <c r="BD696" s="3280"/>
      <c r="BF696" s="3041"/>
      <c r="BH696" s="3282"/>
    </row>
    <row r="697" spans="1:60" s="3030" customFormat="1">
      <c r="A697" s="2126"/>
      <c r="B697" s="2126"/>
      <c r="C697" s="2126"/>
      <c r="D697" s="2126"/>
      <c r="E697" s="525"/>
      <c r="F697" s="525"/>
      <c r="G697" s="525"/>
      <c r="K697" s="3280"/>
      <c r="AB697" s="3280"/>
      <c r="AG697" s="3865"/>
      <c r="AM697" s="3041"/>
      <c r="BD697" s="3280"/>
      <c r="BF697" s="3041"/>
      <c r="BH697" s="3282"/>
    </row>
    <row r="698" spans="1:60" s="3030" customFormat="1">
      <c r="A698" s="2126"/>
      <c r="B698" s="2126"/>
      <c r="C698" s="2126"/>
      <c r="D698" s="2126"/>
      <c r="E698" s="525"/>
      <c r="F698" s="525"/>
      <c r="G698" s="525"/>
      <c r="K698" s="3280"/>
      <c r="AB698" s="3280"/>
      <c r="AG698" s="3865"/>
      <c r="AM698" s="3041"/>
      <c r="BD698" s="3280"/>
      <c r="BF698" s="3041"/>
      <c r="BH698" s="3282"/>
    </row>
    <row r="699" spans="1:60" s="3030" customFormat="1">
      <c r="A699" s="2126"/>
      <c r="B699" s="2126"/>
      <c r="C699" s="2126"/>
      <c r="D699" s="2126"/>
      <c r="E699" s="525"/>
      <c r="F699" s="525"/>
      <c r="G699" s="525"/>
      <c r="K699" s="3280"/>
      <c r="AB699" s="3280"/>
      <c r="AG699" s="3865"/>
      <c r="AM699" s="3041"/>
      <c r="BD699" s="3280"/>
      <c r="BF699" s="3041"/>
      <c r="BH699" s="3282"/>
    </row>
    <row r="700" spans="1:60" s="3030" customFormat="1">
      <c r="A700" s="2126"/>
      <c r="B700" s="2126"/>
      <c r="C700" s="2126"/>
      <c r="D700" s="2126"/>
      <c r="E700" s="525"/>
      <c r="F700" s="525"/>
      <c r="G700" s="525"/>
      <c r="K700" s="3280"/>
      <c r="AB700" s="3280"/>
      <c r="AG700" s="3865"/>
      <c r="AM700" s="3041"/>
      <c r="BD700" s="3280"/>
      <c r="BF700" s="3041"/>
      <c r="BH700" s="3282"/>
    </row>
    <row r="701" spans="1:60" s="3030" customFormat="1">
      <c r="A701" s="2126"/>
      <c r="B701" s="2126"/>
      <c r="C701" s="2126"/>
      <c r="D701" s="2126"/>
      <c r="E701" s="525"/>
      <c r="F701" s="525"/>
      <c r="G701" s="525"/>
      <c r="K701" s="3280"/>
      <c r="AB701" s="3280"/>
      <c r="AG701" s="3865"/>
      <c r="AM701" s="3041"/>
      <c r="BD701" s="3280"/>
      <c r="BF701" s="3041"/>
      <c r="BH701" s="3282"/>
    </row>
    <row r="702" spans="1:60" s="3030" customFormat="1">
      <c r="A702" s="2126"/>
      <c r="B702" s="2126"/>
      <c r="C702" s="2126"/>
      <c r="D702" s="2126"/>
      <c r="E702" s="525"/>
      <c r="F702" s="525"/>
      <c r="G702" s="525"/>
      <c r="K702" s="3280"/>
      <c r="AB702" s="3280"/>
      <c r="AG702" s="3865"/>
      <c r="AM702" s="3041"/>
      <c r="BD702" s="3280"/>
      <c r="BF702" s="3041"/>
      <c r="BH702" s="3282"/>
    </row>
    <row r="703" spans="1:60" s="3030" customFormat="1">
      <c r="A703" s="2126"/>
      <c r="B703" s="2126"/>
      <c r="C703" s="2126"/>
      <c r="D703" s="2126"/>
      <c r="E703" s="525"/>
      <c r="F703" s="525"/>
      <c r="G703" s="525"/>
      <c r="K703" s="3280"/>
      <c r="AB703" s="3280"/>
      <c r="AG703" s="3865"/>
      <c r="AM703" s="3041"/>
      <c r="BD703" s="3280"/>
      <c r="BF703" s="3041"/>
      <c r="BH703" s="3282"/>
    </row>
    <row r="704" spans="1:60" s="3030" customFormat="1">
      <c r="A704" s="2126"/>
      <c r="B704" s="2126"/>
      <c r="C704" s="2126"/>
      <c r="D704" s="2126"/>
      <c r="E704" s="525"/>
      <c r="F704" s="525"/>
      <c r="G704" s="525"/>
      <c r="K704" s="3280"/>
      <c r="AB704" s="3280"/>
      <c r="AG704" s="3865"/>
      <c r="AM704" s="3041"/>
      <c r="BD704" s="3280"/>
      <c r="BF704" s="3041"/>
      <c r="BH704" s="3282"/>
    </row>
    <row r="705" spans="1:60" s="3030" customFormat="1">
      <c r="A705" s="2126"/>
      <c r="B705" s="2126"/>
      <c r="C705" s="2126"/>
      <c r="D705" s="2126"/>
      <c r="E705" s="525"/>
      <c r="F705" s="525"/>
      <c r="G705" s="525"/>
      <c r="K705" s="3280"/>
      <c r="AB705" s="3280"/>
      <c r="AG705" s="3865"/>
      <c r="AM705" s="3041"/>
      <c r="BD705" s="3280"/>
      <c r="BF705" s="3041"/>
      <c r="BH705" s="3282"/>
    </row>
    <row r="706" spans="1:60" s="3030" customFormat="1">
      <c r="A706" s="2126"/>
      <c r="B706" s="2126"/>
      <c r="C706" s="2126"/>
      <c r="D706" s="2126"/>
      <c r="E706" s="525"/>
      <c r="F706" s="525"/>
      <c r="G706" s="525"/>
      <c r="K706" s="3280"/>
      <c r="AB706" s="3280"/>
      <c r="AG706" s="3865"/>
      <c r="AM706" s="3041"/>
      <c r="BD706" s="3280"/>
      <c r="BF706" s="3041"/>
      <c r="BH706" s="3282"/>
    </row>
    <row r="707" spans="1:60" s="3030" customFormat="1">
      <c r="A707" s="2126"/>
      <c r="B707" s="2126"/>
      <c r="C707" s="2126"/>
      <c r="D707" s="2126"/>
      <c r="E707" s="525"/>
      <c r="F707" s="525"/>
      <c r="G707" s="525"/>
      <c r="K707" s="3280"/>
      <c r="AB707" s="3280"/>
      <c r="AG707" s="3865"/>
      <c r="AM707" s="3041"/>
      <c r="BD707" s="3280"/>
      <c r="BF707" s="3041"/>
      <c r="BH707" s="3282"/>
    </row>
    <row r="708" spans="1:60" s="3030" customFormat="1">
      <c r="A708" s="2126"/>
      <c r="B708" s="2126"/>
      <c r="C708" s="2126"/>
      <c r="D708" s="2126"/>
      <c r="E708" s="525"/>
      <c r="F708" s="525"/>
      <c r="G708" s="525"/>
      <c r="K708" s="3280"/>
      <c r="AB708" s="3280"/>
      <c r="AG708" s="3865"/>
      <c r="AM708" s="3041"/>
      <c r="BD708" s="3280"/>
      <c r="BF708" s="3041"/>
      <c r="BH708" s="3282"/>
    </row>
    <row r="709" spans="1:60" s="3030" customFormat="1">
      <c r="A709" s="2126"/>
      <c r="B709" s="2126"/>
      <c r="C709" s="2126"/>
      <c r="D709" s="2126"/>
      <c r="E709" s="525"/>
      <c r="F709" s="525"/>
      <c r="G709" s="525"/>
      <c r="K709" s="3280"/>
      <c r="AB709" s="3280"/>
      <c r="AG709" s="3865"/>
      <c r="AM709" s="3041"/>
      <c r="BD709" s="3280"/>
      <c r="BF709" s="3041"/>
      <c r="BH709" s="3282"/>
    </row>
    <row r="710" spans="1:60" s="3030" customFormat="1">
      <c r="A710" s="2126"/>
      <c r="B710" s="2126"/>
      <c r="C710" s="2126"/>
      <c r="D710" s="2126"/>
      <c r="E710" s="525"/>
      <c r="F710" s="525"/>
      <c r="G710" s="525"/>
      <c r="K710" s="3280"/>
      <c r="AB710" s="3280"/>
      <c r="AG710" s="3865"/>
      <c r="AM710" s="3041"/>
      <c r="BD710" s="3280"/>
      <c r="BF710" s="3041"/>
      <c r="BH710" s="3282"/>
    </row>
    <row r="711" spans="1:60" s="3030" customFormat="1">
      <c r="A711" s="2126"/>
      <c r="B711" s="2126"/>
      <c r="C711" s="2126"/>
      <c r="D711" s="2126"/>
      <c r="E711" s="525"/>
      <c r="F711" s="525"/>
      <c r="G711" s="525"/>
      <c r="K711" s="3280"/>
      <c r="AB711" s="3280"/>
      <c r="AG711" s="3865"/>
      <c r="AM711" s="3041"/>
      <c r="BD711" s="3280"/>
      <c r="BF711" s="3041"/>
      <c r="BH711" s="3282"/>
    </row>
    <row r="712" spans="1:60" s="3030" customFormat="1">
      <c r="A712" s="2126"/>
      <c r="B712" s="2126"/>
      <c r="C712" s="2126"/>
      <c r="D712" s="2126"/>
      <c r="E712" s="525"/>
      <c r="F712" s="525"/>
      <c r="G712" s="525"/>
      <c r="K712" s="3280"/>
      <c r="AB712" s="3280"/>
      <c r="AG712" s="3865"/>
      <c r="AM712" s="3041"/>
      <c r="BD712" s="3280"/>
      <c r="BF712" s="3041"/>
      <c r="BH712" s="3282"/>
    </row>
    <row r="713" spans="1:60" s="3030" customFormat="1">
      <c r="A713" s="2126"/>
      <c r="B713" s="2126"/>
      <c r="C713" s="2126"/>
      <c r="D713" s="2126"/>
      <c r="E713" s="525"/>
      <c r="F713" s="525"/>
      <c r="G713" s="525"/>
      <c r="K713" s="3280"/>
      <c r="AB713" s="3280"/>
      <c r="AG713" s="3865"/>
      <c r="AM713" s="3041"/>
      <c r="BD713" s="3280"/>
      <c r="BF713" s="3041"/>
      <c r="BH713" s="3282"/>
    </row>
    <row r="714" spans="1:60" s="3030" customFormat="1">
      <c r="A714" s="2126"/>
      <c r="B714" s="2126"/>
      <c r="C714" s="2126"/>
      <c r="D714" s="2126"/>
      <c r="E714" s="525"/>
      <c r="F714" s="525"/>
      <c r="G714" s="525"/>
      <c r="K714" s="3280"/>
      <c r="AB714" s="3280"/>
      <c r="AG714" s="3865"/>
      <c r="AM714" s="3041"/>
      <c r="BD714" s="3280"/>
      <c r="BF714" s="3041"/>
      <c r="BH714" s="3282"/>
    </row>
    <row r="715" spans="1:60" s="3030" customFormat="1">
      <c r="A715" s="2126"/>
      <c r="B715" s="2126"/>
      <c r="C715" s="2126"/>
      <c r="D715" s="2126"/>
      <c r="E715" s="525"/>
      <c r="F715" s="525"/>
      <c r="G715" s="525"/>
      <c r="K715" s="3280"/>
      <c r="AB715" s="3280"/>
      <c r="AG715" s="3865"/>
      <c r="AM715" s="3041"/>
      <c r="BD715" s="3280"/>
      <c r="BF715" s="3041"/>
      <c r="BH715" s="3282"/>
    </row>
    <row r="716" spans="1:60" s="3030" customFormat="1">
      <c r="A716" s="2126"/>
      <c r="B716" s="2126"/>
      <c r="C716" s="2126"/>
      <c r="D716" s="2126"/>
      <c r="E716" s="525"/>
      <c r="F716" s="525"/>
      <c r="G716" s="525"/>
      <c r="K716" s="3280"/>
      <c r="AB716" s="3280"/>
      <c r="AG716" s="3865"/>
      <c r="AM716" s="3041"/>
      <c r="BD716" s="3280"/>
      <c r="BF716" s="3041"/>
      <c r="BH716" s="3282"/>
    </row>
    <row r="717" spans="1:60" s="3030" customFormat="1">
      <c r="A717" s="2126"/>
      <c r="B717" s="2126"/>
      <c r="C717" s="2126"/>
      <c r="D717" s="2126"/>
      <c r="E717" s="525"/>
      <c r="F717" s="525"/>
      <c r="G717" s="525"/>
      <c r="K717" s="3280"/>
      <c r="AB717" s="3280"/>
      <c r="AG717" s="3865"/>
      <c r="AM717" s="3041"/>
      <c r="BD717" s="3280"/>
      <c r="BF717" s="3041"/>
      <c r="BH717" s="3282"/>
    </row>
    <row r="718" spans="1:60" s="3030" customFormat="1">
      <c r="A718" s="2126"/>
      <c r="B718" s="2126"/>
      <c r="C718" s="2126"/>
      <c r="D718" s="2126"/>
      <c r="E718" s="525"/>
      <c r="F718" s="525"/>
      <c r="G718" s="525"/>
      <c r="K718" s="3280"/>
      <c r="AB718" s="3280"/>
      <c r="AG718" s="3865"/>
      <c r="AM718" s="3041"/>
      <c r="BD718" s="3280"/>
      <c r="BF718" s="3041"/>
      <c r="BH718" s="3282"/>
    </row>
    <row r="719" spans="1:60" s="3030" customFormat="1">
      <c r="A719" s="2126"/>
      <c r="B719" s="2126"/>
      <c r="C719" s="2126"/>
      <c r="D719" s="2126"/>
      <c r="E719" s="525"/>
      <c r="F719" s="525"/>
      <c r="G719" s="525"/>
      <c r="K719" s="3280"/>
      <c r="AB719" s="3280"/>
      <c r="AG719" s="3865"/>
      <c r="AM719" s="3041"/>
      <c r="BD719" s="3280"/>
      <c r="BF719" s="3041"/>
      <c r="BH719" s="3282"/>
    </row>
    <row r="720" spans="1:60" s="3030" customFormat="1">
      <c r="A720" s="2126"/>
      <c r="B720" s="2126"/>
      <c r="C720" s="2126"/>
      <c r="D720" s="2126"/>
      <c r="E720" s="525"/>
      <c r="F720" s="525"/>
      <c r="G720" s="525"/>
      <c r="K720" s="3280"/>
      <c r="AB720" s="3280"/>
      <c r="AG720" s="3865"/>
      <c r="AM720" s="3041"/>
      <c r="BD720" s="3280"/>
      <c r="BF720" s="3041"/>
      <c r="BH720" s="3282"/>
    </row>
    <row r="721" spans="1:60" s="3030" customFormat="1">
      <c r="A721" s="2126"/>
      <c r="B721" s="2126"/>
      <c r="C721" s="2126"/>
      <c r="D721" s="2126"/>
      <c r="E721" s="525"/>
      <c r="F721" s="525"/>
      <c r="G721" s="525"/>
      <c r="K721" s="3280"/>
      <c r="AB721" s="3280"/>
      <c r="AG721" s="3865"/>
      <c r="AM721" s="3041"/>
      <c r="BD721" s="3280"/>
      <c r="BF721" s="3041"/>
      <c r="BH721" s="3282"/>
    </row>
    <row r="722" spans="1:60" s="3030" customFormat="1">
      <c r="A722" s="2126"/>
      <c r="B722" s="2126"/>
      <c r="C722" s="2126"/>
      <c r="D722" s="2126"/>
      <c r="E722" s="525"/>
      <c r="F722" s="525"/>
      <c r="G722" s="525"/>
      <c r="K722" s="3280"/>
      <c r="AB722" s="3280"/>
      <c r="AG722" s="3865"/>
      <c r="AM722" s="3041"/>
      <c r="BD722" s="3280"/>
      <c r="BF722" s="3041"/>
      <c r="BH722" s="3282"/>
    </row>
    <row r="723" spans="1:60" s="3030" customFormat="1">
      <c r="A723" s="2126"/>
      <c r="B723" s="2126"/>
      <c r="C723" s="2126"/>
      <c r="D723" s="2126"/>
      <c r="E723" s="525"/>
      <c r="F723" s="525"/>
      <c r="G723" s="525"/>
      <c r="K723" s="3280"/>
      <c r="AB723" s="3280"/>
      <c r="AG723" s="3865"/>
      <c r="AM723" s="3041"/>
      <c r="BD723" s="3280"/>
      <c r="BF723" s="3041"/>
      <c r="BH723" s="3282"/>
    </row>
    <row r="724" spans="1:60" s="3030" customFormat="1">
      <c r="A724" s="2126"/>
      <c r="B724" s="2126"/>
      <c r="C724" s="2126"/>
      <c r="D724" s="2126"/>
      <c r="E724" s="525"/>
      <c r="F724" s="525"/>
      <c r="G724" s="525"/>
      <c r="K724" s="3280"/>
      <c r="AB724" s="3280"/>
      <c r="AG724" s="3865"/>
      <c r="AM724" s="3041"/>
      <c r="BD724" s="3280"/>
      <c r="BF724" s="3041"/>
      <c r="BH724" s="3282"/>
    </row>
    <row r="725" spans="1:60" s="3030" customFormat="1">
      <c r="A725" s="2126"/>
      <c r="B725" s="2126"/>
      <c r="C725" s="2126"/>
      <c r="D725" s="2126"/>
      <c r="E725" s="525"/>
      <c r="F725" s="525"/>
      <c r="G725" s="525"/>
      <c r="K725" s="3280"/>
      <c r="AB725" s="3280"/>
      <c r="AG725" s="3865"/>
      <c r="AM725" s="3041"/>
      <c r="BD725" s="3280"/>
      <c r="BF725" s="3041"/>
      <c r="BH725" s="3282"/>
    </row>
    <row r="726" spans="1:60" s="3030" customFormat="1">
      <c r="A726" s="2126"/>
      <c r="B726" s="2126"/>
      <c r="C726" s="2126"/>
      <c r="D726" s="2126"/>
      <c r="E726" s="525"/>
      <c r="F726" s="525"/>
      <c r="G726" s="525"/>
      <c r="K726" s="3280"/>
      <c r="AB726" s="3280"/>
      <c r="AG726" s="3865"/>
      <c r="AM726" s="3041"/>
      <c r="BD726" s="3280"/>
      <c r="BF726" s="3041"/>
      <c r="BH726" s="3282"/>
    </row>
    <row r="727" spans="1:60" s="3030" customFormat="1">
      <c r="A727" s="2126"/>
      <c r="B727" s="2126"/>
      <c r="C727" s="2126"/>
      <c r="D727" s="2126"/>
      <c r="E727" s="525"/>
      <c r="F727" s="525"/>
      <c r="G727" s="525"/>
      <c r="K727" s="3280"/>
      <c r="AB727" s="3280"/>
      <c r="AG727" s="3865"/>
      <c r="AM727" s="3041"/>
      <c r="BD727" s="3280"/>
      <c r="BF727" s="3041"/>
      <c r="BH727" s="3282"/>
    </row>
    <row r="728" spans="1:60" s="3030" customFormat="1">
      <c r="A728" s="2126"/>
      <c r="B728" s="2126"/>
      <c r="C728" s="2126"/>
      <c r="D728" s="2126"/>
      <c r="E728" s="525"/>
      <c r="F728" s="525"/>
      <c r="G728" s="525"/>
      <c r="K728" s="3280"/>
      <c r="AB728" s="3280"/>
      <c r="AG728" s="3865"/>
      <c r="AM728" s="3041"/>
      <c r="BD728" s="3280"/>
      <c r="BF728" s="3041"/>
      <c r="BH728" s="3282"/>
    </row>
    <row r="729" spans="1:60" s="3030" customFormat="1">
      <c r="A729" s="2126"/>
      <c r="B729" s="2126"/>
      <c r="C729" s="2126"/>
      <c r="D729" s="2126"/>
      <c r="E729" s="525"/>
      <c r="F729" s="525"/>
      <c r="G729" s="525"/>
      <c r="K729" s="3280"/>
      <c r="AB729" s="3280"/>
      <c r="AG729" s="3865"/>
      <c r="AM729" s="3041"/>
      <c r="BD729" s="3280"/>
      <c r="BF729" s="3041"/>
      <c r="BH729" s="3282"/>
    </row>
    <row r="730" spans="1:60" s="3030" customFormat="1">
      <c r="A730" s="2126"/>
      <c r="B730" s="2126"/>
      <c r="C730" s="2126"/>
      <c r="D730" s="2126"/>
      <c r="E730" s="525"/>
      <c r="F730" s="525"/>
      <c r="G730" s="525"/>
      <c r="K730" s="3280"/>
      <c r="AB730" s="3280"/>
      <c r="AG730" s="3865"/>
      <c r="AM730" s="3041"/>
      <c r="BD730" s="3280"/>
      <c r="BF730" s="3041"/>
      <c r="BH730" s="3282"/>
    </row>
    <row r="731" spans="1:60" s="3030" customFormat="1">
      <c r="A731" s="2126"/>
      <c r="B731" s="2126"/>
      <c r="C731" s="2126"/>
      <c r="D731" s="2126"/>
      <c r="E731" s="525"/>
      <c r="F731" s="525"/>
      <c r="G731" s="525"/>
      <c r="K731" s="3280"/>
      <c r="AB731" s="3280"/>
      <c r="AG731" s="3865"/>
      <c r="AM731" s="3041"/>
      <c r="BD731" s="3280"/>
      <c r="BF731" s="3041"/>
      <c r="BH731" s="3282"/>
    </row>
    <row r="732" spans="1:60" s="3030" customFormat="1">
      <c r="A732" s="2126"/>
      <c r="B732" s="2126"/>
      <c r="C732" s="2126"/>
      <c r="D732" s="2126"/>
      <c r="E732" s="525"/>
      <c r="F732" s="525"/>
      <c r="G732" s="525"/>
      <c r="K732" s="3280"/>
      <c r="AB732" s="3280"/>
      <c r="AG732" s="3865"/>
      <c r="AM732" s="3041"/>
      <c r="BD732" s="3280"/>
      <c r="BF732" s="3041"/>
      <c r="BH732" s="3282"/>
    </row>
    <row r="733" spans="1:60" s="3030" customFormat="1">
      <c r="A733" s="2126"/>
      <c r="B733" s="2126"/>
      <c r="C733" s="2126"/>
      <c r="D733" s="2126"/>
      <c r="E733" s="525"/>
      <c r="F733" s="525"/>
      <c r="G733" s="525"/>
      <c r="K733" s="3280"/>
      <c r="AB733" s="3280"/>
      <c r="AG733" s="3865"/>
      <c r="AM733" s="3041"/>
      <c r="BD733" s="3280"/>
      <c r="BF733" s="3041"/>
      <c r="BH733" s="3282"/>
    </row>
    <row r="734" spans="1:60" s="3030" customFormat="1">
      <c r="A734" s="2126"/>
      <c r="B734" s="2126"/>
      <c r="C734" s="2126"/>
      <c r="D734" s="2126"/>
      <c r="E734" s="525"/>
      <c r="F734" s="525"/>
      <c r="G734" s="525"/>
      <c r="K734" s="3280"/>
      <c r="AB734" s="3280"/>
      <c r="AG734" s="3865"/>
      <c r="AM734" s="3041"/>
      <c r="BD734" s="3280"/>
      <c r="BF734" s="3041"/>
      <c r="BH734" s="3282"/>
    </row>
    <row r="735" spans="1:60" s="3030" customFormat="1">
      <c r="A735" s="2126"/>
      <c r="B735" s="2126"/>
      <c r="C735" s="2126"/>
      <c r="D735" s="2126"/>
      <c r="E735" s="525"/>
      <c r="F735" s="525"/>
      <c r="G735" s="525"/>
      <c r="K735" s="3280"/>
      <c r="AB735" s="3280"/>
      <c r="AG735" s="3865"/>
      <c r="AM735" s="3041"/>
      <c r="BD735" s="3280"/>
      <c r="BF735" s="3041"/>
      <c r="BH735" s="3282"/>
    </row>
    <row r="736" spans="1:60" s="3030" customFormat="1">
      <c r="A736" s="2126"/>
      <c r="B736" s="2126"/>
      <c r="C736" s="2126"/>
      <c r="D736" s="2126"/>
      <c r="E736" s="525"/>
      <c r="F736" s="525"/>
      <c r="G736" s="525"/>
      <c r="K736" s="3280"/>
      <c r="AB736" s="3280"/>
      <c r="AG736" s="3865"/>
      <c r="AM736" s="3041"/>
      <c r="BD736" s="3280"/>
      <c r="BF736" s="3041"/>
      <c r="BH736" s="3282"/>
    </row>
    <row r="737" spans="1:60" s="3030" customFormat="1">
      <c r="A737" s="2126"/>
      <c r="B737" s="2126"/>
      <c r="C737" s="2126"/>
      <c r="D737" s="2126"/>
      <c r="E737" s="525"/>
      <c r="F737" s="525"/>
      <c r="G737" s="525"/>
      <c r="K737" s="3280"/>
      <c r="AB737" s="3280"/>
      <c r="AG737" s="3865"/>
      <c r="AM737" s="3041"/>
      <c r="BD737" s="3280"/>
      <c r="BF737" s="3041"/>
      <c r="BH737" s="3282"/>
    </row>
    <row r="738" spans="1:60" s="3030" customFormat="1">
      <c r="A738" s="2126"/>
      <c r="B738" s="2126"/>
      <c r="C738" s="2126"/>
      <c r="D738" s="2126"/>
      <c r="E738" s="525"/>
      <c r="F738" s="525"/>
      <c r="G738" s="525"/>
      <c r="K738" s="3280"/>
      <c r="AB738" s="3280"/>
      <c r="AG738" s="3865"/>
      <c r="AM738" s="3041"/>
      <c r="BD738" s="3280"/>
      <c r="BF738" s="3041"/>
      <c r="BH738" s="3282"/>
    </row>
    <row r="739" spans="1:60" s="3030" customFormat="1">
      <c r="A739" s="2126"/>
      <c r="B739" s="2126"/>
      <c r="C739" s="2126"/>
      <c r="D739" s="2126"/>
      <c r="E739" s="525"/>
      <c r="F739" s="525"/>
      <c r="G739" s="525"/>
      <c r="K739" s="3280"/>
      <c r="AB739" s="3280"/>
      <c r="AG739" s="3865"/>
      <c r="AM739" s="3041"/>
      <c r="BD739" s="3280"/>
      <c r="BF739" s="3041"/>
      <c r="BH739" s="3282"/>
    </row>
    <row r="740" spans="1:60" s="3030" customFormat="1">
      <c r="A740" s="2126"/>
      <c r="B740" s="2126"/>
      <c r="C740" s="2126"/>
      <c r="D740" s="2126"/>
      <c r="E740" s="525"/>
      <c r="F740" s="525"/>
      <c r="G740" s="525"/>
      <c r="K740" s="3280"/>
      <c r="AB740" s="3280"/>
      <c r="AG740" s="3865"/>
      <c r="AM740" s="3041"/>
      <c r="BD740" s="3280"/>
      <c r="BF740" s="3041"/>
      <c r="BH740" s="3282"/>
    </row>
    <row r="741" spans="1:60" s="3030" customFormat="1">
      <c r="A741" s="2126"/>
      <c r="B741" s="2126"/>
      <c r="C741" s="2126"/>
      <c r="D741" s="2126"/>
      <c r="E741" s="525"/>
      <c r="F741" s="525"/>
      <c r="G741" s="525"/>
      <c r="K741" s="3280"/>
      <c r="AB741" s="3280"/>
      <c r="AG741" s="3865"/>
      <c r="AM741" s="3041"/>
      <c r="BD741" s="3280"/>
      <c r="BF741" s="3041"/>
      <c r="BH741" s="3282"/>
    </row>
    <row r="742" spans="1:60" s="3030" customFormat="1">
      <c r="A742" s="2126"/>
      <c r="B742" s="2126"/>
      <c r="C742" s="2126"/>
      <c r="D742" s="2126"/>
      <c r="E742" s="525"/>
      <c r="F742" s="525"/>
      <c r="G742" s="525"/>
      <c r="K742" s="3280"/>
      <c r="AB742" s="3280"/>
      <c r="AG742" s="3865"/>
      <c r="AM742" s="3041"/>
      <c r="BD742" s="3280"/>
      <c r="BF742" s="3041"/>
      <c r="BH742" s="3282"/>
    </row>
    <row r="743" spans="1:60" s="3030" customFormat="1">
      <c r="A743" s="2126"/>
      <c r="B743" s="2126"/>
      <c r="C743" s="2126"/>
      <c r="D743" s="2126"/>
      <c r="E743" s="525"/>
      <c r="F743" s="525"/>
      <c r="G743" s="525"/>
      <c r="K743" s="3280"/>
      <c r="AB743" s="3280"/>
      <c r="AG743" s="3865"/>
      <c r="AM743" s="3041"/>
      <c r="BD743" s="3280"/>
      <c r="BF743" s="3041"/>
      <c r="BH743" s="3282"/>
    </row>
    <row r="744" spans="1:60" s="3030" customFormat="1">
      <c r="A744" s="2126"/>
      <c r="B744" s="2126"/>
      <c r="C744" s="2126"/>
      <c r="D744" s="2126"/>
      <c r="E744" s="525"/>
      <c r="F744" s="525"/>
      <c r="G744" s="525"/>
      <c r="K744" s="3280"/>
      <c r="AB744" s="3280"/>
      <c r="AG744" s="3865"/>
      <c r="AM744" s="3041"/>
      <c r="BD744" s="3280"/>
      <c r="BF744" s="3041"/>
      <c r="BH744" s="3282"/>
    </row>
    <row r="745" spans="1:60" s="3030" customFormat="1">
      <c r="A745" s="2126"/>
      <c r="B745" s="2126"/>
      <c r="C745" s="2126"/>
      <c r="D745" s="2126"/>
      <c r="E745" s="525"/>
      <c r="F745" s="525"/>
      <c r="G745" s="525"/>
      <c r="K745" s="3280"/>
      <c r="AB745" s="3280"/>
      <c r="AG745" s="3865"/>
      <c r="AM745" s="3041"/>
      <c r="BD745" s="3280"/>
      <c r="BF745" s="3041"/>
      <c r="BH745" s="3282"/>
    </row>
    <row r="746" spans="1:60" s="3030" customFormat="1">
      <c r="A746" s="2126"/>
      <c r="B746" s="2126"/>
      <c r="C746" s="2126"/>
      <c r="D746" s="2126"/>
      <c r="E746" s="525"/>
      <c r="F746" s="525"/>
      <c r="G746" s="525"/>
      <c r="K746" s="3280"/>
      <c r="AB746" s="3280"/>
      <c r="AG746" s="3865"/>
      <c r="AM746" s="3041"/>
      <c r="BD746" s="3280"/>
      <c r="BF746" s="3041"/>
      <c r="BH746" s="3282"/>
    </row>
    <row r="747" spans="1:60" s="3030" customFormat="1">
      <c r="A747" s="2126"/>
      <c r="B747" s="2126"/>
      <c r="C747" s="2126"/>
      <c r="D747" s="2126"/>
      <c r="E747" s="525"/>
      <c r="F747" s="525"/>
      <c r="G747" s="525"/>
      <c r="K747" s="3280"/>
      <c r="AB747" s="3280"/>
      <c r="AG747" s="3865"/>
      <c r="AM747" s="3041"/>
      <c r="BD747" s="3280"/>
      <c r="BF747" s="3041"/>
      <c r="BH747" s="3282"/>
    </row>
    <row r="748" spans="1:60" s="3030" customFormat="1">
      <c r="A748" s="2126"/>
      <c r="B748" s="2126"/>
      <c r="C748" s="2126"/>
      <c r="D748" s="2126"/>
      <c r="E748" s="525"/>
      <c r="F748" s="525"/>
      <c r="G748" s="525"/>
      <c r="K748" s="3280"/>
      <c r="AB748" s="3280"/>
      <c r="AG748" s="3865"/>
      <c r="AM748" s="3041"/>
      <c r="BD748" s="3280"/>
      <c r="BF748" s="3041"/>
      <c r="BH748" s="3282"/>
    </row>
    <row r="749" spans="1:60" s="3030" customFormat="1">
      <c r="A749" s="2126"/>
      <c r="B749" s="2126"/>
      <c r="C749" s="2126"/>
      <c r="D749" s="2126"/>
      <c r="E749" s="525"/>
      <c r="F749" s="525"/>
      <c r="G749" s="525"/>
      <c r="K749" s="3280"/>
      <c r="AB749" s="3280"/>
      <c r="AG749" s="3865"/>
      <c r="AM749" s="3041"/>
      <c r="BD749" s="3280"/>
      <c r="BF749" s="3041"/>
      <c r="BH749" s="3282"/>
    </row>
    <row r="750" spans="1:60" s="3030" customFormat="1">
      <c r="A750" s="2126"/>
      <c r="B750" s="2126"/>
      <c r="C750" s="2126"/>
      <c r="D750" s="2126"/>
      <c r="E750" s="525"/>
      <c r="F750" s="525"/>
      <c r="G750" s="525"/>
      <c r="K750" s="3280"/>
      <c r="AB750" s="3280"/>
      <c r="AG750" s="3865"/>
      <c r="AM750" s="3041"/>
      <c r="BD750" s="3280"/>
      <c r="BF750" s="3041"/>
      <c r="BH750" s="3282"/>
    </row>
    <row r="751" spans="1:60" s="3030" customFormat="1">
      <c r="A751" s="2126"/>
      <c r="B751" s="2126"/>
      <c r="C751" s="2126"/>
      <c r="D751" s="2126"/>
      <c r="E751" s="525"/>
      <c r="F751" s="525"/>
      <c r="G751" s="525"/>
      <c r="K751" s="3280"/>
      <c r="AB751" s="3280"/>
      <c r="AG751" s="3865"/>
      <c r="AM751" s="3041"/>
      <c r="BD751" s="3280"/>
      <c r="BF751" s="3041"/>
      <c r="BH751" s="3282"/>
    </row>
    <row r="752" spans="1:60" s="3030" customFormat="1">
      <c r="A752" s="2126"/>
      <c r="B752" s="2126"/>
      <c r="C752" s="2126"/>
      <c r="D752" s="2126"/>
      <c r="E752" s="525"/>
      <c r="F752" s="525"/>
      <c r="G752" s="525"/>
      <c r="K752" s="3280"/>
      <c r="AB752" s="3280"/>
      <c r="AG752" s="3865"/>
      <c r="AM752" s="3041"/>
      <c r="BD752" s="3280"/>
      <c r="BF752" s="3041"/>
      <c r="BH752" s="3282"/>
    </row>
    <row r="753" spans="1:60" s="3030" customFormat="1">
      <c r="A753" s="2126"/>
      <c r="B753" s="2126"/>
      <c r="C753" s="2126"/>
      <c r="D753" s="2126"/>
      <c r="E753" s="525"/>
      <c r="F753" s="525"/>
      <c r="G753" s="525"/>
      <c r="K753" s="3280"/>
      <c r="AB753" s="3280"/>
      <c r="AG753" s="3865"/>
      <c r="AM753" s="3041"/>
      <c r="BD753" s="3280"/>
      <c r="BF753" s="3041"/>
      <c r="BH753" s="3282"/>
    </row>
    <row r="754" spans="1:60" s="3030" customFormat="1">
      <c r="A754" s="2126"/>
      <c r="B754" s="2126"/>
      <c r="C754" s="2126"/>
      <c r="D754" s="2126"/>
      <c r="E754" s="525"/>
      <c r="F754" s="525"/>
      <c r="G754" s="525"/>
      <c r="K754" s="3280"/>
      <c r="AB754" s="3280"/>
      <c r="AG754" s="3865"/>
      <c r="AM754" s="3041"/>
      <c r="BD754" s="3280"/>
      <c r="BF754" s="3041"/>
      <c r="BH754" s="3282"/>
    </row>
    <row r="755" spans="1:60" s="3030" customFormat="1">
      <c r="A755" s="2126"/>
      <c r="B755" s="2126"/>
      <c r="C755" s="2126"/>
      <c r="D755" s="2126"/>
      <c r="E755" s="525"/>
      <c r="F755" s="525"/>
      <c r="G755" s="525"/>
      <c r="K755" s="3280"/>
      <c r="AB755" s="3280"/>
      <c r="AG755" s="3865"/>
      <c r="AM755" s="3041"/>
      <c r="BD755" s="3280"/>
      <c r="BF755" s="3041"/>
      <c r="BH755" s="3282"/>
    </row>
    <row r="756" spans="1:60" s="3030" customFormat="1">
      <c r="A756" s="2126"/>
      <c r="B756" s="2126"/>
      <c r="C756" s="2126"/>
      <c r="D756" s="2126"/>
      <c r="E756" s="525"/>
      <c r="F756" s="525"/>
      <c r="G756" s="525"/>
      <c r="K756" s="3280"/>
      <c r="AB756" s="3280"/>
      <c r="AG756" s="3865"/>
      <c r="AM756" s="3041"/>
      <c r="BD756" s="3280"/>
      <c r="BF756" s="3041"/>
      <c r="BH756" s="3282"/>
    </row>
    <row r="757" spans="1:60" s="3030" customFormat="1">
      <c r="A757" s="2126"/>
      <c r="B757" s="2126"/>
      <c r="C757" s="2126"/>
      <c r="D757" s="2126"/>
      <c r="E757" s="525"/>
      <c r="F757" s="525"/>
      <c r="G757" s="525"/>
      <c r="K757" s="3280"/>
      <c r="AB757" s="3280"/>
      <c r="AG757" s="3865"/>
      <c r="AM757" s="3041"/>
      <c r="BD757" s="3280"/>
      <c r="BF757" s="3041"/>
      <c r="BH757" s="3282"/>
    </row>
    <row r="758" spans="1:60" s="3030" customFormat="1">
      <c r="A758" s="2126"/>
      <c r="B758" s="2126"/>
      <c r="C758" s="2126"/>
      <c r="D758" s="2126"/>
      <c r="E758" s="525"/>
      <c r="F758" s="525"/>
      <c r="G758" s="525"/>
      <c r="K758" s="3280"/>
      <c r="AB758" s="3280"/>
      <c r="AG758" s="3865"/>
      <c r="AM758" s="3041"/>
      <c r="BD758" s="3280"/>
      <c r="BF758" s="3041"/>
      <c r="BH758" s="3282"/>
    </row>
    <row r="759" spans="1:60" s="3030" customFormat="1">
      <c r="A759" s="2126"/>
      <c r="B759" s="2126"/>
      <c r="C759" s="2126"/>
      <c r="D759" s="2126"/>
      <c r="E759" s="525"/>
      <c r="F759" s="525"/>
      <c r="G759" s="525"/>
      <c r="K759" s="3280"/>
      <c r="AB759" s="3280"/>
      <c r="AG759" s="3865"/>
      <c r="AM759" s="3041"/>
      <c r="BD759" s="3280"/>
      <c r="BF759" s="3041"/>
      <c r="BH759" s="3282"/>
    </row>
    <row r="760" spans="1:60" s="3030" customFormat="1">
      <c r="A760" s="2126"/>
      <c r="B760" s="2126"/>
      <c r="C760" s="2126"/>
      <c r="D760" s="2126"/>
      <c r="E760" s="525"/>
      <c r="F760" s="525"/>
      <c r="G760" s="525"/>
      <c r="K760" s="3280"/>
      <c r="AB760" s="3280"/>
      <c r="AG760" s="3865"/>
      <c r="AM760" s="3041"/>
      <c r="BD760" s="3280"/>
      <c r="BF760" s="3041"/>
      <c r="BH760" s="3282"/>
    </row>
    <row r="761" spans="1:60" s="3030" customFormat="1">
      <c r="A761" s="2126"/>
      <c r="B761" s="2126"/>
      <c r="C761" s="2126"/>
      <c r="D761" s="2126"/>
      <c r="E761" s="525"/>
      <c r="F761" s="525"/>
      <c r="G761" s="525"/>
      <c r="K761" s="3280"/>
      <c r="AB761" s="3280"/>
      <c r="AG761" s="3865"/>
      <c r="AM761" s="3041"/>
      <c r="BD761" s="3280"/>
      <c r="BF761" s="3041"/>
      <c r="BH761" s="3282"/>
    </row>
    <row r="762" spans="1:60" s="3030" customFormat="1">
      <c r="A762" s="2126"/>
      <c r="B762" s="2126"/>
      <c r="C762" s="2126"/>
      <c r="D762" s="2126"/>
      <c r="E762" s="525"/>
      <c r="F762" s="525"/>
      <c r="G762" s="525"/>
      <c r="K762" s="3280"/>
      <c r="AB762" s="3280"/>
      <c r="AG762" s="3865"/>
      <c r="AM762" s="3041"/>
      <c r="BD762" s="3280"/>
      <c r="BF762" s="3041"/>
      <c r="BH762" s="3282"/>
    </row>
    <row r="763" spans="1:60" s="3030" customFormat="1">
      <c r="A763" s="2126"/>
      <c r="B763" s="2126"/>
      <c r="C763" s="2126"/>
      <c r="D763" s="2126"/>
      <c r="E763" s="525"/>
      <c r="F763" s="525"/>
      <c r="G763" s="525"/>
      <c r="K763" s="3280"/>
      <c r="AB763" s="3280"/>
      <c r="AG763" s="3865"/>
      <c r="AM763" s="3041"/>
      <c r="BD763" s="3280"/>
      <c r="BF763" s="3041"/>
      <c r="BH763" s="3282"/>
    </row>
    <row r="764" spans="1:60" s="3030" customFormat="1">
      <c r="A764" s="2126"/>
      <c r="B764" s="2126"/>
      <c r="C764" s="2126"/>
      <c r="D764" s="2126"/>
      <c r="E764" s="525"/>
      <c r="F764" s="525"/>
      <c r="G764" s="525"/>
      <c r="K764" s="3280"/>
      <c r="AB764" s="3280"/>
      <c r="AG764" s="3865"/>
      <c r="AM764" s="3041"/>
      <c r="BD764" s="3280"/>
      <c r="BF764" s="3041"/>
      <c r="BH764" s="3282"/>
    </row>
    <row r="765" spans="1:60" s="3030" customFormat="1">
      <c r="A765" s="2126"/>
      <c r="B765" s="2126"/>
      <c r="C765" s="2126"/>
      <c r="D765" s="2126"/>
      <c r="E765" s="525"/>
      <c r="F765" s="525"/>
      <c r="G765" s="525"/>
      <c r="K765" s="3280"/>
      <c r="AB765" s="3280"/>
      <c r="AG765" s="3865"/>
      <c r="AM765" s="3041"/>
      <c r="BD765" s="3280"/>
      <c r="BF765" s="3041"/>
      <c r="BH765" s="3282"/>
    </row>
    <row r="766" spans="1:60" s="3030" customFormat="1">
      <c r="A766" s="2126"/>
      <c r="B766" s="2126"/>
      <c r="C766" s="2126"/>
      <c r="D766" s="2126"/>
      <c r="E766" s="525"/>
      <c r="F766" s="525"/>
      <c r="G766" s="525"/>
      <c r="K766" s="3280"/>
      <c r="AB766" s="3280"/>
      <c r="AG766" s="3865"/>
      <c r="AM766" s="3041"/>
      <c r="BD766" s="3280"/>
      <c r="BF766" s="3041"/>
      <c r="BH766" s="3282"/>
    </row>
    <row r="767" spans="1:60" s="3030" customFormat="1">
      <c r="A767" s="2126"/>
      <c r="B767" s="2126"/>
      <c r="C767" s="2126"/>
      <c r="D767" s="2126"/>
      <c r="E767" s="525"/>
      <c r="F767" s="525"/>
      <c r="G767" s="525"/>
      <c r="K767" s="3280"/>
      <c r="AB767" s="3280"/>
      <c r="AG767" s="3865"/>
      <c r="AM767" s="3041"/>
      <c r="BD767" s="3280"/>
      <c r="BF767" s="3041"/>
      <c r="BH767" s="3282"/>
    </row>
    <row r="768" spans="1:60" s="3030" customFormat="1">
      <c r="A768" s="2126"/>
      <c r="B768" s="2126"/>
      <c r="C768" s="2126"/>
      <c r="D768" s="2126"/>
      <c r="E768" s="525"/>
      <c r="F768" s="525"/>
      <c r="G768" s="525"/>
      <c r="K768" s="3280"/>
      <c r="AB768" s="3280"/>
      <c r="AG768" s="3865"/>
      <c r="AM768" s="3041"/>
      <c r="BD768" s="3280"/>
      <c r="BF768" s="3041"/>
      <c r="BH768" s="3282"/>
    </row>
    <row r="769" spans="1:60" s="3030" customFormat="1">
      <c r="A769" s="2126"/>
      <c r="B769" s="2126"/>
      <c r="C769" s="2126"/>
      <c r="D769" s="2126"/>
      <c r="E769" s="525"/>
      <c r="F769" s="525"/>
      <c r="G769" s="525"/>
      <c r="K769" s="3280"/>
      <c r="AB769" s="3280"/>
      <c r="AG769" s="3865"/>
      <c r="AM769" s="3041"/>
      <c r="BD769" s="3280"/>
      <c r="BF769" s="3041"/>
      <c r="BH769" s="3282"/>
    </row>
    <row r="770" spans="1:60" s="3030" customFormat="1">
      <c r="A770" s="2126"/>
      <c r="B770" s="2126"/>
      <c r="C770" s="2126"/>
      <c r="D770" s="2126"/>
      <c r="E770" s="525"/>
      <c r="F770" s="525"/>
      <c r="G770" s="525"/>
      <c r="K770" s="3280"/>
      <c r="AB770" s="3280"/>
      <c r="AG770" s="3865"/>
      <c r="AM770" s="3041"/>
      <c r="BD770" s="3280"/>
      <c r="BF770" s="3041"/>
      <c r="BH770" s="3282"/>
    </row>
    <row r="771" spans="1:60" s="3030" customFormat="1">
      <c r="A771" s="2126"/>
      <c r="B771" s="2126"/>
      <c r="C771" s="2126"/>
      <c r="D771" s="2126"/>
      <c r="E771" s="525"/>
      <c r="F771" s="525"/>
      <c r="G771" s="525"/>
      <c r="K771" s="3280"/>
      <c r="AB771" s="3280"/>
      <c r="AG771" s="3865"/>
      <c r="AM771" s="3041"/>
      <c r="BD771" s="3280"/>
      <c r="BF771" s="3041"/>
      <c r="BH771" s="3282"/>
    </row>
    <row r="772" spans="1:60" s="3030" customFormat="1">
      <c r="A772" s="2126"/>
      <c r="B772" s="2126"/>
      <c r="C772" s="2126"/>
      <c r="D772" s="2126"/>
      <c r="E772" s="525"/>
      <c r="F772" s="525"/>
      <c r="G772" s="525"/>
      <c r="K772" s="3280"/>
      <c r="AB772" s="3280"/>
      <c r="AG772" s="3865"/>
      <c r="AM772" s="3041"/>
      <c r="BD772" s="3280"/>
      <c r="BF772" s="3041"/>
      <c r="BH772" s="3282"/>
    </row>
    <row r="773" spans="1:60" s="3030" customFormat="1">
      <c r="A773" s="2126"/>
      <c r="B773" s="2126"/>
      <c r="C773" s="2126"/>
      <c r="D773" s="2126"/>
      <c r="E773" s="525"/>
      <c r="F773" s="525"/>
      <c r="G773" s="525"/>
      <c r="K773" s="3280"/>
      <c r="AB773" s="3280"/>
      <c r="AG773" s="3865"/>
      <c r="AM773" s="3041"/>
      <c r="BD773" s="3280"/>
      <c r="BF773" s="3041"/>
      <c r="BH773" s="3282"/>
    </row>
    <row r="774" spans="1:60" s="3030" customFormat="1">
      <c r="A774" s="2126"/>
      <c r="B774" s="2126"/>
      <c r="C774" s="2126"/>
      <c r="D774" s="2126"/>
      <c r="E774" s="525"/>
      <c r="F774" s="525"/>
      <c r="G774" s="525"/>
      <c r="K774" s="3280"/>
      <c r="AB774" s="3280"/>
      <c r="AG774" s="3865"/>
      <c r="AM774" s="3041"/>
      <c r="BD774" s="3280"/>
      <c r="BF774" s="3041"/>
      <c r="BH774" s="3282"/>
    </row>
    <row r="775" spans="1:60" s="3030" customFormat="1">
      <c r="A775" s="2126"/>
      <c r="B775" s="2126"/>
      <c r="C775" s="2126"/>
      <c r="D775" s="2126"/>
      <c r="E775" s="525"/>
      <c r="F775" s="525"/>
      <c r="G775" s="525"/>
      <c r="K775" s="3280"/>
      <c r="AB775" s="3280"/>
      <c r="AG775" s="3865"/>
      <c r="AM775" s="3041"/>
      <c r="BD775" s="3280"/>
      <c r="BF775" s="3041"/>
      <c r="BH775" s="3282"/>
    </row>
    <row r="776" spans="1:60" s="3030" customFormat="1">
      <c r="A776" s="2126"/>
      <c r="B776" s="2126"/>
      <c r="C776" s="2126"/>
      <c r="D776" s="2126"/>
      <c r="E776" s="525"/>
      <c r="F776" s="525"/>
      <c r="G776" s="525"/>
      <c r="K776" s="3280"/>
      <c r="AB776" s="3280"/>
      <c r="AG776" s="3865"/>
      <c r="AM776" s="3041"/>
      <c r="BD776" s="3280"/>
      <c r="BF776" s="3041"/>
      <c r="BH776" s="3282"/>
    </row>
    <row r="777" spans="1:60" s="3030" customFormat="1">
      <c r="A777" s="2126"/>
      <c r="B777" s="2126"/>
      <c r="C777" s="2126"/>
      <c r="D777" s="2126"/>
      <c r="E777" s="525"/>
      <c r="F777" s="525"/>
      <c r="G777" s="525"/>
      <c r="K777" s="3280"/>
      <c r="AB777" s="3280"/>
      <c r="AG777" s="3865"/>
      <c r="AM777" s="3041"/>
      <c r="BD777" s="3280"/>
      <c r="BF777" s="3041"/>
      <c r="BH777" s="3282"/>
    </row>
    <row r="778" spans="1:60" s="3030" customFormat="1">
      <c r="A778" s="2126"/>
      <c r="B778" s="2126"/>
      <c r="C778" s="2126"/>
      <c r="D778" s="2126"/>
      <c r="E778" s="525"/>
      <c r="F778" s="525"/>
      <c r="G778" s="525"/>
      <c r="K778" s="3280"/>
      <c r="AB778" s="3280"/>
      <c r="AG778" s="3865"/>
      <c r="AM778" s="3041"/>
      <c r="BD778" s="3280"/>
      <c r="BF778" s="3041"/>
      <c r="BH778" s="3282"/>
    </row>
    <row r="779" spans="1:60" s="3030" customFormat="1">
      <c r="A779" s="2126"/>
      <c r="B779" s="2126"/>
      <c r="C779" s="2126"/>
      <c r="D779" s="2126"/>
      <c r="E779" s="525"/>
      <c r="F779" s="525"/>
      <c r="G779" s="525"/>
      <c r="K779" s="3280"/>
      <c r="AB779" s="3280"/>
      <c r="AG779" s="3865"/>
      <c r="AM779" s="3041"/>
      <c r="BD779" s="3280"/>
      <c r="BF779" s="3041"/>
      <c r="BH779" s="3282"/>
    </row>
    <row r="780" spans="1:60" s="3030" customFormat="1">
      <c r="A780" s="2126"/>
      <c r="B780" s="2126"/>
      <c r="C780" s="2126"/>
      <c r="D780" s="2126"/>
      <c r="E780" s="525"/>
      <c r="F780" s="525"/>
      <c r="G780" s="525"/>
      <c r="K780" s="3280"/>
      <c r="AB780" s="3280"/>
      <c r="AG780" s="3865"/>
      <c r="AM780" s="3041"/>
      <c r="BD780" s="3280"/>
      <c r="BF780" s="3041"/>
      <c r="BH780" s="3282"/>
    </row>
    <row r="781" spans="1:60" s="3030" customFormat="1">
      <c r="A781" s="2126"/>
      <c r="B781" s="2126"/>
      <c r="C781" s="2126"/>
      <c r="D781" s="2126"/>
      <c r="E781" s="525"/>
      <c r="F781" s="525"/>
      <c r="G781" s="525"/>
      <c r="K781" s="3280"/>
      <c r="AB781" s="3280"/>
      <c r="AG781" s="3865"/>
      <c r="AM781" s="3041"/>
      <c r="BD781" s="3280"/>
      <c r="BF781" s="3041"/>
      <c r="BH781" s="3282"/>
    </row>
    <row r="782" spans="1:60" s="3030" customFormat="1">
      <c r="A782" s="2126"/>
      <c r="B782" s="2126"/>
      <c r="C782" s="2126"/>
      <c r="D782" s="2126"/>
      <c r="E782" s="525"/>
      <c r="F782" s="525"/>
      <c r="G782" s="525"/>
      <c r="K782" s="3280"/>
      <c r="AB782" s="3280"/>
      <c r="AG782" s="3865"/>
      <c r="AM782" s="3041"/>
      <c r="BD782" s="3280"/>
      <c r="BF782" s="3041"/>
      <c r="BH782" s="3282"/>
    </row>
    <row r="783" spans="1:60" s="3030" customFormat="1">
      <c r="A783" s="2126"/>
      <c r="B783" s="2126"/>
      <c r="C783" s="2126"/>
      <c r="D783" s="2126"/>
      <c r="E783" s="525"/>
      <c r="F783" s="525"/>
      <c r="G783" s="525"/>
      <c r="K783" s="3280"/>
      <c r="AB783" s="3280"/>
      <c r="AG783" s="3865"/>
      <c r="AM783" s="3041"/>
      <c r="BD783" s="3280"/>
      <c r="BF783" s="3041"/>
      <c r="BH783" s="3282"/>
    </row>
    <row r="784" spans="1:60" s="3030" customFormat="1">
      <c r="A784" s="2126"/>
      <c r="B784" s="2126"/>
      <c r="C784" s="2126"/>
      <c r="D784" s="2126"/>
      <c r="E784" s="525"/>
      <c r="F784" s="525"/>
      <c r="G784" s="525"/>
      <c r="K784" s="3280"/>
      <c r="AB784" s="3280"/>
      <c r="AG784" s="3865"/>
      <c r="AM784" s="3041"/>
      <c r="BD784" s="3280"/>
      <c r="BF784" s="3041"/>
      <c r="BH784" s="3282"/>
    </row>
    <row r="785" spans="1:60" s="3030" customFormat="1">
      <c r="A785" s="2126"/>
      <c r="B785" s="2126"/>
      <c r="C785" s="2126"/>
      <c r="D785" s="2126"/>
      <c r="E785" s="525"/>
      <c r="F785" s="525"/>
      <c r="G785" s="525"/>
      <c r="K785" s="3280"/>
      <c r="AB785" s="3280"/>
      <c r="AG785" s="3865"/>
      <c r="AM785" s="3041"/>
      <c r="BD785" s="3280"/>
      <c r="BF785" s="3041"/>
      <c r="BH785" s="3282"/>
    </row>
    <row r="786" spans="1:60" s="3030" customFormat="1">
      <c r="A786" s="2126"/>
      <c r="B786" s="2126"/>
      <c r="C786" s="2126"/>
      <c r="D786" s="2126"/>
      <c r="E786" s="525"/>
      <c r="F786" s="525"/>
      <c r="G786" s="525"/>
      <c r="K786" s="3280"/>
      <c r="AB786" s="3280"/>
      <c r="AG786" s="3865"/>
      <c r="AM786" s="3041"/>
      <c r="BD786" s="3280"/>
      <c r="BF786" s="3041"/>
      <c r="BH786" s="3282"/>
    </row>
    <row r="787" spans="1:60" s="3030" customFormat="1">
      <c r="A787" s="2126"/>
      <c r="B787" s="2126"/>
      <c r="C787" s="2126"/>
      <c r="D787" s="2126"/>
      <c r="E787" s="525"/>
      <c r="F787" s="525"/>
      <c r="G787" s="525"/>
      <c r="K787" s="3280"/>
      <c r="AB787" s="3280"/>
      <c r="AG787" s="3865"/>
      <c r="AM787" s="3041"/>
      <c r="BD787" s="3280"/>
      <c r="BF787" s="3041"/>
      <c r="BH787" s="3282"/>
    </row>
    <row r="788" spans="1:60" s="3030" customFormat="1">
      <c r="A788" s="2126"/>
      <c r="B788" s="2126"/>
      <c r="C788" s="2126"/>
      <c r="D788" s="2126"/>
      <c r="E788" s="525"/>
      <c r="F788" s="525"/>
      <c r="G788" s="525"/>
      <c r="K788" s="3280"/>
      <c r="AB788" s="3280"/>
      <c r="AG788" s="3865"/>
      <c r="AM788" s="3041"/>
      <c r="BD788" s="3280"/>
      <c r="BF788" s="3041"/>
      <c r="BH788" s="3282"/>
    </row>
    <row r="789" spans="1:60" s="3030" customFormat="1">
      <c r="A789" s="2126"/>
      <c r="B789" s="2126"/>
      <c r="C789" s="2126"/>
      <c r="D789" s="2126"/>
      <c r="E789" s="525"/>
      <c r="F789" s="525"/>
      <c r="G789" s="525"/>
      <c r="K789" s="3280"/>
      <c r="AB789" s="3280"/>
      <c r="AG789" s="3865"/>
      <c r="AM789" s="3041"/>
      <c r="BD789" s="3280"/>
      <c r="BF789" s="3041"/>
      <c r="BH789" s="3282"/>
    </row>
    <row r="790" spans="1:60" s="3030" customFormat="1">
      <c r="A790" s="2126"/>
      <c r="B790" s="2126"/>
      <c r="C790" s="2126"/>
      <c r="D790" s="2126"/>
      <c r="E790" s="525"/>
      <c r="F790" s="525"/>
      <c r="G790" s="525"/>
      <c r="K790" s="3280"/>
      <c r="AB790" s="3280"/>
      <c r="AG790" s="3865"/>
      <c r="AM790" s="3041"/>
      <c r="BD790" s="3280"/>
      <c r="BF790" s="3041"/>
      <c r="BH790" s="3282"/>
    </row>
    <row r="791" spans="1:60" s="3030" customFormat="1">
      <c r="A791" s="2126"/>
      <c r="B791" s="2126"/>
      <c r="C791" s="2126"/>
      <c r="D791" s="2126"/>
      <c r="E791" s="525"/>
      <c r="F791" s="525"/>
      <c r="G791" s="525"/>
      <c r="K791" s="3280"/>
      <c r="AB791" s="3280"/>
      <c r="AG791" s="3865"/>
      <c r="AM791" s="3041"/>
      <c r="BD791" s="3280"/>
      <c r="BF791" s="3041"/>
      <c r="BH791" s="3282"/>
    </row>
    <row r="792" spans="1:60" s="3030" customFormat="1">
      <c r="A792" s="2126"/>
      <c r="B792" s="2126"/>
      <c r="C792" s="2126"/>
      <c r="D792" s="2126"/>
      <c r="E792" s="525"/>
      <c r="F792" s="525"/>
      <c r="G792" s="525"/>
      <c r="K792" s="3280"/>
      <c r="AB792" s="3280"/>
      <c r="AG792" s="3865"/>
      <c r="AM792" s="3041"/>
      <c r="BD792" s="3280"/>
      <c r="BF792" s="3041"/>
      <c r="BH792" s="3282"/>
    </row>
    <row r="793" spans="1:60" s="3030" customFormat="1">
      <c r="A793" s="2126"/>
      <c r="B793" s="2126"/>
      <c r="C793" s="2126"/>
      <c r="D793" s="2126"/>
      <c r="E793" s="525"/>
      <c r="F793" s="525"/>
      <c r="G793" s="525"/>
      <c r="K793" s="3280"/>
      <c r="AB793" s="3280"/>
      <c r="AG793" s="3865"/>
      <c r="AM793" s="3041"/>
      <c r="BD793" s="3280"/>
      <c r="BF793" s="3041"/>
      <c r="BH793" s="3282"/>
    </row>
    <row r="794" spans="1:60" s="3030" customFormat="1">
      <c r="A794" s="2126"/>
      <c r="B794" s="2126"/>
      <c r="C794" s="2126"/>
      <c r="D794" s="2126"/>
      <c r="E794" s="525"/>
      <c r="F794" s="525"/>
      <c r="G794" s="525"/>
      <c r="K794" s="3280"/>
      <c r="AB794" s="3280"/>
      <c r="AG794" s="3865"/>
      <c r="AM794" s="3041"/>
      <c r="BD794" s="3280"/>
      <c r="BF794" s="3041"/>
      <c r="BH794" s="3282"/>
    </row>
    <row r="795" spans="1:60" s="3030" customFormat="1">
      <c r="A795" s="2126"/>
      <c r="B795" s="2126"/>
      <c r="C795" s="2126"/>
      <c r="D795" s="2126"/>
      <c r="E795" s="525"/>
      <c r="F795" s="525"/>
      <c r="G795" s="525"/>
      <c r="K795" s="3280"/>
      <c r="AB795" s="3280"/>
      <c r="AG795" s="3865"/>
      <c r="AM795" s="3041"/>
      <c r="BD795" s="3280"/>
      <c r="BF795" s="3041"/>
      <c r="BH795" s="3282"/>
    </row>
    <row r="796" spans="1:60" s="3030" customFormat="1">
      <c r="A796" s="2126"/>
      <c r="B796" s="2126"/>
      <c r="C796" s="2126"/>
      <c r="D796" s="2126"/>
      <c r="E796" s="525"/>
      <c r="F796" s="525"/>
      <c r="G796" s="525"/>
      <c r="K796" s="3280"/>
      <c r="AB796" s="3280"/>
      <c r="AG796" s="3865"/>
      <c r="AM796" s="3041"/>
      <c r="BD796" s="3280"/>
      <c r="BF796" s="3041"/>
      <c r="BH796" s="3282"/>
    </row>
    <row r="797" spans="1:60" s="3030" customFormat="1">
      <c r="A797" s="2126"/>
      <c r="B797" s="2126"/>
      <c r="C797" s="2126"/>
      <c r="D797" s="2126"/>
      <c r="E797" s="525"/>
      <c r="F797" s="525"/>
      <c r="G797" s="525"/>
      <c r="K797" s="3280"/>
      <c r="AB797" s="3280"/>
      <c r="AG797" s="3865"/>
      <c r="AM797" s="3041"/>
      <c r="BD797" s="3280"/>
      <c r="BF797" s="3041"/>
      <c r="BH797" s="3282"/>
    </row>
    <row r="798" spans="1:60" s="3030" customFormat="1">
      <c r="A798" s="2126"/>
      <c r="B798" s="2126"/>
      <c r="C798" s="2126"/>
      <c r="D798" s="2126"/>
      <c r="E798" s="525"/>
      <c r="F798" s="525"/>
      <c r="G798" s="525"/>
      <c r="K798" s="3280"/>
      <c r="AB798" s="3280"/>
      <c r="AG798" s="3865"/>
      <c r="AM798" s="3041"/>
      <c r="BD798" s="3280"/>
      <c r="BF798" s="3041"/>
      <c r="BH798" s="3282"/>
    </row>
    <row r="799" spans="1:60" s="3030" customFormat="1">
      <c r="A799" s="2126"/>
      <c r="B799" s="2126"/>
      <c r="C799" s="2126"/>
      <c r="D799" s="2126"/>
      <c r="E799" s="525"/>
      <c r="F799" s="525"/>
      <c r="G799" s="525"/>
      <c r="K799" s="3280"/>
      <c r="AB799" s="3280"/>
      <c r="AG799" s="3865"/>
      <c r="AM799" s="3041"/>
      <c r="BD799" s="3280"/>
      <c r="BF799" s="3041"/>
      <c r="BH799" s="3282"/>
    </row>
    <row r="800" spans="1:60" s="3030" customFormat="1">
      <c r="A800" s="2126"/>
      <c r="B800" s="2126"/>
      <c r="C800" s="2126"/>
      <c r="D800" s="2126"/>
      <c r="E800" s="525"/>
      <c r="F800" s="525"/>
      <c r="G800" s="525"/>
      <c r="K800" s="3280"/>
      <c r="AB800" s="3280"/>
      <c r="AG800" s="3865"/>
      <c r="AM800" s="3041"/>
      <c r="BD800" s="3280"/>
      <c r="BF800" s="3041"/>
      <c r="BH800" s="3282"/>
    </row>
    <row r="801" spans="1:60" s="3030" customFormat="1">
      <c r="A801" s="2126"/>
      <c r="B801" s="2126"/>
      <c r="C801" s="2126"/>
      <c r="D801" s="2126"/>
      <c r="E801" s="525"/>
      <c r="F801" s="525"/>
      <c r="G801" s="525"/>
      <c r="K801" s="3280"/>
      <c r="AB801" s="3280"/>
      <c r="AG801" s="3865"/>
      <c r="AM801" s="3041"/>
      <c r="BD801" s="3280"/>
      <c r="BF801" s="3041"/>
      <c r="BH801" s="3282"/>
    </row>
    <row r="802" spans="1:60" s="3030" customFormat="1">
      <c r="A802" s="2126"/>
      <c r="B802" s="2126"/>
      <c r="C802" s="2126"/>
      <c r="D802" s="2126"/>
      <c r="E802" s="525"/>
      <c r="F802" s="525"/>
      <c r="G802" s="525"/>
      <c r="K802" s="3280"/>
      <c r="AB802" s="3280"/>
      <c r="AG802" s="3865"/>
      <c r="AM802" s="3041"/>
      <c r="BD802" s="3280"/>
      <c r="BF802" s="3041"/>
      <c r="BH802" s="3282"/>
    </row>
    <row r="803" spans="1:60" s="3030" customFormat="1">
      <c r="A803" s="2126"/>
      <c r="B803" s="2126"/>
      <c r="C803" s="2126"/>
      <c r="D803" s="2126"/>
      <c r="E803" s="525"/>
      <c r="F803" s="525"/>
      <c r="G803" s="525"/>
      <c r="K803" s="3280"/>
      <c r="AB803" s="3280"/>
      <c r="AG803" s="3865"/>
      <c r="AM803" s="3041"/>
      <c r="BD803" s="3280"/>
      <c r="BF803" s="3041"/>
      <c r="BH803" s="3282"/>
    </row>
    <row r="804" spans="1:60" s="3030" customFormat="1">
      <c r="A804" s="2126"/>
      <c r="B804" s="2126"/>
      <c r="C804" s="2126"/>
      <c r="D804" s="2126"/>
      <c r="E804" s="525"/>
      <c r="F804" s="525"/>
      <c r="G804" s="525"/>
      <c r="K804" s="3280"/>
      <c r="AB804" s="3280"/>
      <c r="AG804" s="3865"/>
      <c r="AM804" s="3041"/>
      <c r="BD804" s="3280"/>
      <c r="BF804" s="3041"/>
      <c r="BH804" s="3282"/>
    </row>
    <row r="805" spans="1:60" s="3030" customFormat="1">
      <c r="A805" s="2126"/>
      <c r="B805" s="2126"/>
      <c r="C805" s="2126"/>
      <c r="D805" s="2126"/>
      <c r="E805" s="525"/>
      <c r="F805" s="525"/>
      <c r="G805" s="525"/>
      <c r="K805" s="3280"/>
      <c r="AB805" s="3280"/>
      <c r="AG805" s="3865"/>
      <c r="AM805" s="3041"/>
      <c r="BD805" s="3280"/>
      <c r="BF805" s="3041"/>
      <c r="BH805" s="3282"/>
    </row>
    <row r="806" spans="1:60" s="3030" customFormat="1">
      <c r="A806" s="2126"/>
      <c r="B806" s="2126"/>
      <c r="C806" s="2126"/>
      <c r="D806" s="2126"/>
      <c r="E806" s="525"/>
      <c r="F806" s="525"/>
      <c r="G806" s="525"/>
      <c r="K806" s="3280"/>
      <c r="AB806" s="3280"/>
      <c r="AG806" s="3865"/>
      <c r="AM806" s="3041"/>
      <c r="BD806" s="3280"/>
      <c r="BF806" s="3041"/>
      <c r="BH806" s="3282"/>
    </row>
    <row r="807" spans="1:60" s="3030" customFormat="1">
      <c r="A807" s="2126"/>
      <c r="B807" s="2126"/>
      <c r="C807" s="2126"/>
      <c r="D807" s="2126"/>
      <c r="E807" s="525"/>
      <c r="F807" s="525"/>
      <c r="G807" s="525"/>
      <c r="K807" s="3280"/>
      <c r="AB807" s="3280"/>
      <c r="AG807" s="3865"/>
      <c r="AM807" s="3041"/>
      <c r="BD807" s="3280"/>
      <c r="BF807" s="3041"/>
      <c r="BH807" s="3282"/>
    </row>
    <row r="808" spans="1:60" s="3030" customFormat="1">
      <c r="A808" s="2126"/>
      <c r="B808" s="2126"/>
      <c r="C808" s="2126"/>
      <c r="D808" s="2126"/>
      <c r="E808" s="525"/>
      <c r="F808" s="525"/>
      <c r="G808" s="525"/>
      <c r="K808" s="3280"/>
      <c r="AB808" s="3280"/>
      <c r="AG808" s="3865"/>
      <c r="AM808" s="3041"/>
      <c r="BD808" s="3280"/>
      <c r="BF808" s="3041"/>
      <c r="BH808" s="3282"/>
    </row>
    <row r="809" spans="1:60" s="3030" customFormat="1">
      <c r="A809" s="2126"/>
      <c r="B809" s="2126"/>
      <c r="C809" s="2126"/>
      <c r="D809" s="2126"/>
      <c r="E809" s="525"/>
      <c r="F809" s="525"/>
      <c r="G809" s="525"/>
      <c r="K809" s="3280"/>
      <c r="AB809" s="3280"/>
      <c r="AG809" s="3865"/>
      <c r="AM809" s="3041"/>
      <c r="BD809" s="3280"/>
      <c r="BF809" s="3041"/>
      <c r="BH809" s="3282"/>
    </row>
    <row r="810" spans="1:60" s="3030" customFormat="1">
      <c r="A810" s="2126"/>
      <c r="B810" s="2126"/>
      <c r="C810" s="2126"/>
      <c r="D810" s="2126"/>
      <c r="E810" s="525"/>
      <c r="F810" s="525"/>
      <c r="G810" s="525"/>
      <c r="K810" s="3280"/>
      <c r="AB810" s="3280"/>
      <c r="AG810" s="3865"/>
      <c r="AM810" s="3041"/>
      <c r="BD810" s="3280"/>
      <c r="BF810" s="3041"/>
      <c r="BH810" s="3282"/>
    </row>
    <row r="811" spans="1:60" s="3030" customFormat="1">
      <c r="A811" s="2126"/>
      <c r="B811" s="2126"/>
      <c r="C811" s="2126"/>
      <c r="D811" s="2126"/>
      <c r="E811" s="525"/>
      <c r="F811" s="525"/>
      <c r="G811" s="525"/>
      <c r="K811" s="3280"/>
      <c r="AB811" s="3280"/>
      <c r="AG811" s="3865"/>
      <c r="AM811" s="3041"/>
      <c r="BD811" s="3280"/>
      <c r="BF811" s="3041"/>
      <c r="BH811" s="3282"/>
    </row>
    <row r="812" spans="1:60" s="3030" customFormat="1">
      <c r="A812" s="2126"/>
      <c r="B812" s="2126"/>
      <c r="C812" s="2126"/>
      <c r="D812" s="2126"/>
      <c r="E812" s="525"/>
      <c r="F812" s="525"/>
      <c r="G812" s="525"/>
      <c r="K812" s="3280"/>
      <c r="AB812" s="3280"/>
      <c r="AG812" s="3865"/>
      <c r="AM812" s="3041"/>
      <c r="BD812" s="3280"/>
      <c r="BF812" s="3041"/>
      <c r="BH812" s="3282"/>
    </row>
    <row r="813" spans="1:60" s="3030" customFormat="1">
      <c r="A813" s="2126"/>
      <c r="B813" s="2126"/>
      <c r="C813" s="2126"/>
      <c r="D813" s="2126"/>
      <c r="E813" s="525"/>
      <c r="F813" s="525"/>
      <c r="G813" s="525"/>
      <c r="K813" s="3280"/>
      <c r="AB813" s="3280"/>
      <c r="AG813" s="3865"/>
      <c r="AM813" s="3041"/>
      <c r="BD813" s="3280"/>
      <c r="BF813" s="3041"/>
      <c r="BH813" s="3282"/>
    </row>
    <row r="814" spans="1:60" s="3030" customFormat="1">
      <c r="A814" s="2126"/>
      <c r="B814" s="2126"/>
      <c r="C814" s="2126"/>
      <c r="D814" s="2126"/>
      <c r="E814" s="525"/>
      <c r="F814" s="525"/>
      <c r="G814" s="525"/>
      <c r="K814" s="3280"/>
      <c r="AB814" s="3280"/>
      <c r="AG814" s="3865"/>
      <c r="AM814" s="3041"/>
      <c r="BD814" s="3280"/>
      <c r="BF814" s="3041"/>
      <c r="BH814" s="3282"/>
    </row>
    <row r="815" spans="1:60" s="3030" customFormat="1">
      <c r="A815" s="2126"/>
      <c r="B815" s="2126"/>
      <c r="C815" s="2126"/>
      <c r="D815" s="2126"/>
      <c r="E815" s="525"/>
      <c r="F815" s="525"/>
      <c r="G815" s="525"/>
      <c r="K815" s="3280"/>
      <c r="AB815" s="3280"/>
      <c r="AG815" s="3865"/>
      <c r="AM815" s="3041"/>
      <c r="BD815" s="3280"/>
      <c r="BF815" s="3041"/>
      <c r="BH815" s="3282"/>
    </row>
    <row r="816" spans="1:60" s="3030" customFormat="1">
      <c r="A816" s="2126"/>
      <c r="B816" s="2126"/>
      <c r="C816" s="2126"/>
      <c r="D816" s="2126"/>
      <c r="E816" s="525"/>
      <c r="F816" s="525"/>
      <c r="G816" s="525"/>
      <c r="K816" s="3280"/>
      <c r="AB816" s="3280"/>
      <c r="AG816" s="3865"/>
      <c r="AM816" s="3041"/>
      <c r="BD816" s="3280"/>
      <c r="BF816" s="3041"/>
      <c r="BH816" s="3282"/>
    </row>
    <row r="817" spans="1:60" s="3030" customFormat="1">
      <c r="A817" s="2126"/>
      <c r="B817" s="2126"/>
      <c r="C817" s="2126"/>
      <c r="D817" s="2126"/>
      <c r="E817" s="525"/>
      <c r="F817" s="525"/>
      <c r="G817" s="525"/>
      <c r="K817" s="3280"/>
      <c r="AB817" s="3280"/>
      <c r="AG817" s="3865"/>
      <c r="AM817" s="3041"/>
      <c r="BD817" s="3280"/>
      <c r="BF817" s="3041"/>
      <c r="BH817" s="3282"/>
    </row>
    <row r="818" spans="1:60" s="3030" customFormat="1">
      <c r="A818" s="2126"/>
      <c r="B818" s="2126"/>
      <c r="C818" s="2126"/>
      <c r="D818" s="2126"/>
      <c r="E818" s="525"/>
      <c r="F818" s="525"/>
      <c r="G818" s="525"/>
      <c r="K818" s="3280"/>
      <c r="AB818" s="3280"/>
      <c r="AG818" s="3865"/>
      <c r="AM818" s="3041"/>
      <c r="BD818" s="3280"/>
      <c r="BF818" s="3041"/>
      <c r="BH818" s="3282"/>
    </row>
    <row r="819" spans="1:60" s="3030" customFormat="1">
      <c r="A819" s="2126"/>
      <c r="B819" s="2126"/>
      <c r="C819" s="2126"/>
      <c r="D819" s="2126"/>
      <c r="E819" s="525"/>
      <c r="F819" s="525"/>
      <c r="G819" s="525"/>
      <c r="K819" s="3280"/>
      <c r="AB819" s="3280"/>
      <c r="AG819" s="3865"/>
      <c r="AM819" s="3041"/>
      <c r="BD819" s="3280"/>
      <c r="BF819" s="3041"/>
      <c r="BH819" s="3282"/>
    </row>
    <row r="820" spans="1:60" s="3030" customFormat="1">
      <c r="A820" s="2126"/>
      <c r="B820" s="2126"/>
      <c r="C820" s="2126"/>
      <c r="D820" s="2126"/>
      <c r="E820" s="525"/>
      <c r="F820" s="525"/>
      <c r="G820" s="525"/>
      <c r="K820" s="3280"/>
      <c r="AB820" s="3280"/>
      <c r="AG820" s="3865"/>
      <c r="AM820" s="3041"/>
      <c r="BD820" s="3280"/>
      <c r="BF820" s="3041"/>
      <c r="BH820" s="3282"/>
    </row>
    <row r="821" spans="1:60" s="3030" customFormat="1">
      <c r="A821" s="2126"/>
      <c r="B821" s="2126"/>
      <c r="C821" s="2126"/>
      <c r="D821" s="2126"/>
      <c r="E821" s="525"/>
      <c r="F821" s="525"/>
      <c r="G821" s="525"/>
      <c r="K821" s="3280"/>
      <c r="AB821" s="3280"/>
      <c r="AG821" s="3865"/>
      <c r="AM821" s="3041"/>
      <c r="BD821" s="3280"/>
      <c r="BF821" s="3041"/>
      <c r="BH821" s="3282"/>
    </row>
    <row r="822" spans="1:60" s="3030" customFormat="1">
      <c r="A822" s="2126"/>
      <c r="B822" s="2126"/>
      <c r="C822" s="2126"/>
      <c r="D822" s="2126"/>
      <c r="E822" s="525"/>
      <c r="F822" s="525"/>
      <c r="G822" s="525"/>
      <c r="K822" s="3280"/>
      <c r="AB822" s="3280"/>
      <c r="AG822" s="3865"/>
      <c r="AM822" s="3041"/>
      <c r="BD822" s="3280"/>
      <c r="BF822" s="3041"/>
      <c r="BH822" s="3282"/>
    </row>
    <row r="823" spans="1:60" s="3030" customFormat="1">
      <c r="A823" s="2126"/>
      <c r="B823" s="2126"/>
      <c r="C823" s="2126"/>
      <c r="D823" s="2126"/>
      <c r="E823" s="525"/>
      <c r="F823" s="525"/>
      <c r="G823" s="525"/>
      <c r="K823" s="3280"/>
      <c r="AB823" s="3280"/>
      <c r="AG823" s="3865"/>
      <c r="AM823" s="3041"/>
      <c r="BD823" s="3280"/>
      <c r="BF823" s="3041"/>
      <c r="BH823" s="3282"/>
    </row>
    <row r="824" spans="1:60" s="3030" customFormat="1">
      <c r="A824" s="2126"/>
      <c r="B824" s="2126"/>
      <c r="C824" s="2126"/>
      <c r="D824" s="2126"/>
      <c r="E824" s="525"/>
      <c r="F824" s="525"/>
      <c r="G824" s="525"/>
      <c r="K824" s="3280"/>
      <c r="AB824" s="3280"/>
      <c r="AG824" s="3865"/>
      <c r="AM824" s="3041"/>
      <c r="BD824" s="3280"/>
      <c r="BF824" s="3041"/>
      <c r="BH824" s="3282"/>
    </row>
    <row r="825" spans="1:60" s="3030" customFormat="1">
      <c r="A825" s="2126"/>
      <c r="B825" s="2126"/>
      <c r="C825" s="2126"/>
      <c r="D825" s="2126"/>
      <c r="E825" s="525"/>
      <c r="F825" s="525"/>
      <c r="G825" s="525"/>
      <c r="K825" s="3280"/>
      <c r="AB825" s="3280"/>
      <c r="AG825" s="3865"/>
      <c r="AM825" s="3041"/>
      <c r="BD825" s="3280"/>
      <c r="BF825" s="3041"/>
      <c r="BH825" s="3282"/>
    </row>
    <row r="826" spans="1:60" s="3030" customFormat="1">
      <c r="A826" s="2126"/>
      <c r="B826" s="2126"/>
      <c r="C826" s="2126"/>
      <c r="D826" s="2126"/>
      <c r="E826" s="525"/>
      <c r="F826" s="525"/>
      <c r="G826" s="525"/>
      <c r="K826" s="3280"/>
      <c r="AB826" s="3280"/>
      <c r="AG826" s="3865"/>
      <c r="AM826" s="3041"/>
      <c r="BD826" s="3280"/>
      <c r="BF826" s="3041"/>
      <c r="BH826" s="3282"/>
    </row>
    <row r="827" spans="1:60" s="3030" customFormat="1">
      <c r="A827" s="2126"/>
      <c r="B827" s="2126"/>
      <c r="C827" s="2126"/>
      <c r="D827" s="2126"/>
      <c r="E827" s="525"/>
      <c r="F827" s="525"/>
      <c r="G827" s="525"/>
      <c r="K827" s="3280"/>
      <c r="AB827" s="3280"/>
      <c r="AG827" s="3865"/>
      <c r="AM827" s="3041"/>
      <c r="BD827" s="3280"/>
      <c r="BF827" s="3041"/>
      <c r="BH827" s="3282"/>
    </row>
    <row r="828" spans="1:60" s="3030" customFormat="1">
      <c r="A828" s="2126"/>
      <c r="B828" s="2126"/>
      <c r="C828" s="2126"/>
      <c r="D828" s="2126"/>
      <c r="E828" s="525"/>
      <c r="F828" s="525"/>
      <c r="G828" s="525"/>
      <c r="K828" s="3280"/>
      <c r="AB828" s="3280"/>
      <c r="AG828" s="3865"/>
      <c r="AM828" s="3041"/>
      <c r="BD828" s="3280"/>
      <c r="BF828" s="3041"/>
      <c r="BH828" s="3282"/>
    </row>
    <row r="829" spans="1:60" s="3030" customFormat="1">
      <c r="A829" s="2126"/>
      <c r="B829" s="2126"/>
      <c r="C829" s="2126"/>
      <c r="D829" s="2126"/>
      <c r="E829" s="525"/>
      <c r="F829" s="525"/>
      <c r="G829" s="525"/>
      <c r="K829" s="3280"/>
      <c r="AB829" s="3280"/>
      <c r="AG829" s="3865"/>
      <c r="AM829" s="3041"/>
      <c r="BD829" s="3280"/>
      <c r="BF829" s="3041"/>
      <c r="BH829" s="3282"/>
    </row>
    <row r="830" spans="1:60" s="3030" customFormat="1">
      <c r="A830" s="2126"/>
      <c r="B830" s="2126"/>
      <c r="C830" s="2126"/>
      <c r="D830" s="2126"/>
      <c r="E830" s="525"/>
      <c r="F830" s="525"/>
      <c r="G830" s="525"/>
      <c r="K830" s="3280"/>
      <c r="AB830" s="3280"/>
      <c r="AG830" s="3865"/>
      <c r="AM830" s="3041"/>
      <c r="BD830" s="3280"/>
      <c r="BF830" s="3041"/>
      <c r="BH830" s="3282"/>
    </row>
    <row r="831" spans="1:60" s="3030" customFormat="1">
      <c r="A831" s="2126"/>
      <c r="B831" s="2126"/>
      <c r="C831" s="2126"/>
      <c r="D831" s="2126"/>
      <c r="E831" s="525"/>
      <c r="F831" s="525"/>
      <c r="G831" s="525"/>
      <c r="K831" s="3280"/>
      <c r="AB831" s="3280"/>
      <c r="AG831" s="3865"/>
      <c r="AM831" s="3041"/>
      <c r="BD831" s="3280"/>
      <c r="BF831" s="3041"/>
      <c r="BH831" s="3282"/>
    </row>
    <row r="832" spans="1:60" s="3030" customFormat="1">
      <c r="A832" s="2126"/>
      <c r="B832" s="2126"/>
      <c r="C832" s="2126"/>
      <c r="D832" s="2126"/>
      <c r="E832" s="525"/>
      <c r="F832" s="525"/>
      <c r="G832" s="525"/>
      <c r="K832" s="3280"/>
      <c r="AB832" s="3280"/>
      <c r="AG832" s="3865"/>
      <c r="AM832" s="3041"/>
      <c r="BD832" s="3280"/>
      <c r="BF832" s="3041"/>
      <c r="BH832" s="3282"/>
    </row>
    <row r="833" spans="1:60" s="3030" customFormat="1">
      <c r="A833" s="2126"/>
      <c r="B833" s="2126"/>
      <c r="C833" s="2126"/>
      <c r="D833" s="2126"/>
      <c r="E833" s="525"/>
      <c r="F833" s="525"/>
      <c r="G833" s="525"/>
      <c r="K833" s="3280"/>
      <c r="AB833" s="3280"/>
      <c r="AG833" s="3865"/>
      <c r="AM833" s="3041"/>
      <c r="BD833" s="3280"/>
      <c r="BF833" s="3041"/>
      <c r="BH833" s="3282"/>
    </row>
    <row r="834" spans="1:60" s="3030" customFormat="1">
      <c r="A834" s="2126"/>
      <c r="B834" s="2126"/>
      <c r="C834" s="2126"/>
      <c r="D834" s="2126"/>
      <c r="E834" s="525"/>
      <c r="F834" s="525"/>
      <c r="G834" s="525"/>
      <c r="K834" s="3280"/>
      <c r="AB834" s="3280"/>
      <c r="AG834" s="3865"/>
      <c r="AM834" s="3041"/>
      <c r="BD834" s="3280"/>
      <c r="BF834" s="3041"/>
      <c r="BH834" s="3282"/>
    </row>
    <row r="835" spans="1:60" s="3030" customFormat="1">
      <c r="A835" s="2126"/>
      <c r="B835" s="2126"/>
      <c r="C835" s="2126"/>
      <c r="D835" s="2126"/>
      <c r="E835" s="525"/>
      <c r="F835" s="525"/>
      <c r="G835" s="525"/>
      <c r="K835" s="3280"/>
      <c r="AB835" s="3280"/>
      <c r="AG835" s="3865"/>
      <c r="AM835" s="3041"/>
      <c r="BD835" s="3280"/>
      <c r="BF835" s="3041"/>
      <c r="BH835" s="3282"/>
    </row>
    <row r="836" spans="1:60" s="3030" customFormat="1">
      <c r="A836" s="2126"/>
      <c r="B836" s="2126"/>
      <c r="C836" s="2126"/>
      <c r="D836" s="2126"/>
      <c r="E836" s="525"/>
      <c r="F836" s="525"/>
      <c r="G836" s="525"/>
      <c r="K836" s="3280"/>
      <c r="AB836" s="3280"/>
      <c r="AG836" s="3865"/>
      <c r="AM836" s="3041"/>
      <c r="BD836" s="3280"/>
      <c r="BF836" s="3041"/>
      <c r="BH836" s="3282"/>
    </row>
    <row r="837" spans="1:60" s="3030" customFormat="1">
      <c r="A837" s="2126"/>
      <c r="B837" s="2126"/>
      <c r="C837" s="2126"/>
      <c r="D837" s="2126"/>
      <c r="E837" s="525"/>
      <c r="F837" s="525"/>
      <c r="G837" s="525"/>
      <c r="K837" s="3280"/>
      <c r="AB837" s="3280"/>
      <c r="AG837" s="3865"/>
      <c r="AM837" s="3041"/>
      <c r="BD837" s="3280"/>
      <c r="BF837" s="3041"/>
      <c r="BH837" s="3282"/>
    </row>
    <row r="838" spans="1:60" s="3030" customFormat="1">
      <c r="A838" s="2126"/>
      <c r="B838" s="2126"/>
      <c r="C838" s="2126"/>
      <c r="D838" s="2126"/>
      <c r="E838" s="525"/>
      <c r="F838" s="525"/>
      <c r="G838" s="525"/>
      <c r="K838" s="3280"/>
      <c r="AB838" s="3280"/>
      <c r="AG838" s="3865"/>
      <c r="AM838" s="3041"/>
      <c r="BD838" s="3280"/>
      <c r="BF838" s="3041"/>
      <c r="BH838" s="3282"/>
    </row>
    <row r="839" spans="1:60" s="3030" customFormat="1">
      <c r="A839" s="2126"/>
      <c r="B839" s="2126"/>
      <c r="C839" s="2126"/>
      <c r="D839" s="2126"/>
      <c r="E839" s="525"/>
      <c r="F839" s="525"/>
      <c r="G839" s="525"/>
      <c r="K839" s="3280"/>
      <c r="AB839" s="3280"/>
      <c r="AG839" s="3865"/>
      <c r="AM839" s="3041"/>
      <c r="BD839" s="3280"/>
      <c r="BF839" s="3041"/>
      <c r="BH839" s="3282"/>
    </row>
    <row r="840" spans="1:60" s="3030" customFormat="1">
      <c r="A840" s="2126"/>
      <c r="B840" s="2126"/>
      <c r="C840" s="2126"/>
      <c r="D840" s="2126"/>
      <c r="E840" s="525"/>
      <c r="F840" s="525"/>
      <c r="G840" s="525"/>
      <c r="K840" s="3280"/>
      <c r="AB840" s="3280"/>
      <c r="AG840" s="3865"/>
      <c r="AM840" s="3041"/>
      <c r="BD840" s="3280"/>
      <c r="BF840" s="3041"/>
      <c r="BH840" s="3282"/>
    </row>
    <row r="841" spans="1:60" s="3030" customFormat="1">
      <c r="A841" s="2126"/>
      <c r="B841" s="2126"/>
      <c r="C841" s="2126"/>
      <c r="D841" s="2126"/>
      <c r="E841" s="525"/>
      <c r="F841" s="525"/>
      <c r="G841" s="525"/>
      <c r="K841" s="3280"/>
      <c r="AB841" s="3280"/>
      <c r="AG841" s="3865"/>
      <c r="AM841" s="3041"/>
      <c r="BD841" s="3280"/>
      <c r="BF841" s="3041"/>
      <c r="BH841" s="3282"/>
    </row>
    <row r="842" spans="1:60" s="3030" customFormat="1">
      <c r="A842" s="2126"/>
      <c r="B842" s="2126"/>
      <c r="C842" s="2126"/>
      <c r="D842" s="2126"/>
      <c r="E842" s="525"/>
      <c r="F842" s="525"/>
      <c r="G842" s="525"/>
      <c r="K842" s="3280"/>
      <c r="AB842" s="3280"/>
      <c r="AG842" s="3865"/>
      <c r="AM842" s="3041"/>
      <c r="BD842" s="3280"/>
      <c r="BF842" s="3041"/>
      <c r="BH842" s="3282"/>
    </row>
    <row r="843" spans="1:60" s="3030" customFormat="1">
      <c r="A843" s="2126"/>
      <c r="B843" s="2126"/>
      <c r="C843" s="2126"/>
      <c r="D843" s="2126"/>
      <c r="E843" s="525"/>
      <c r="F843" s="525"/>
      <c r="G843" s="525"/>
      <c r="K843" s="3280"/>
      <c r="AB843" s="3280"/>
      <c r="AG843" s="3865"/>
      <c r="AM843" s="3041"/>
      <c r="BD843" s="3280"/>
      <c r="BF843" s="3041"/>
      <c r="BH843" s="3282"/>
    </row>
    <row r="844" spans="1:60" s="3030" customFormat="1">
      <c r="A844" s="2126"/>
      <c r="B844" s="2126"/>
      <c r="C844" s="2126"/>
      <c r="D844" s="2126"/>
      <c r="E844" s="525"/>
      <c r="F844" s="525"/>
      <c r="G844" s="525"/>
      <c r="K844" s="3280"/>
      <c r="AB844" s="3280"/>
      <c r="AG844" s="3865"/>
      <c r="AM844" s="3041"/>
      <c r="BD844" s="3280"/>
      <c r="BF844" s="3041"/>
      <c r="BH844" s="3282"/>
    </row>
    <row r="845" spans="1:60" s="3030" customFormat="1">
      <c r="A845" s="2126"/>
      <c r="B845" s="2126"/>
      <c r="C845" s="2126"/>
      <c r="D845" s="2126"/>
      <c r="E845" s="525"/>
      <c r="F845" s="525"/>
      <c r="G845" s="525"/>
      <c r="K845" s="3280"/>
      <c r="AB845" s="3280"/>
      <c r="AG845" s="3865"/>
      <c r="AM845" s="3041"/>
      <c r="BD845" s="3280"/>
      <c r="BF845" s="3041"/>
      <c r="BH845" s="3282"/>
    </row>
    <row r="846" spans="1:60" s="3030" customFormat="1">
      <c r="A846" s="2126"/>
      <c r="B846" s="2126"/>
      <c r="C846" s="2126"/>
      <c r="D846" s="2126"/>
      <c r="E846" s="525"/>
      <c r="F846" s="525"/>
      <c r="G846" s="525"/>
      <c r="K846" s="3280"/>
      <c r="AB846" s="3280"/>
      <c r="AG846" s="3865"/>
      <c r="AM846" s="3041"/>
      <c r="BD846" s="3280"/>
      <c r="BF846" s="3041"/>
      <c r="BH846" s="3282"/>
    </row>
    <row r="847" spans="1:60" s="3030" customFormat="1">
      <c r="A847" s="2126"/>
      <c r="B847" s="2126"/>
      <c r="C847" s="2126"/>
      <c r="D847" s="2126"/>
      <c r="E847" s="525"/>
      <c r="F847" s="525"/>
      <c r="G847" s="525"/>
      <c r="K847" s="3280"/>
      <c r="AB847" s="3280"/>
      <c r="AG847" s="3865"/>
      <c r="AM847" s="3041"/>
      <c r="BD847" s="3280"/>
      <c r="BF847" s="3041"/>
      <c r="BH847" s="3282"/>
    </row>
    <row r="848" spans="1:60" s="3030" customFormat="1">
      <c r="A848" s="2126"/>
      <c r="B848" s="2126"/>
      <c r="C848" s="2126"/>
      <c r="D848" s="2126"/>
      <c r="E848" s="525"/>
      <c r="F848" s="525"/>
      <c r="G848" s="525"/>
      <c r="K848" s="3280"/>
      <c r="AB848" s="3280"/>
      <c r="AG848" s="3865"/>
      <c r="AM848" s="3041"/>
      <c r="BD848" s="3280"/>
      <c r="BF848" s="3041"/>
      <c r="BH848" s="3282"/>
    </row>
    <row r="849" spans="1:60" s="3030" customFormat="1">
      <c r="A849" s="2126"/>
      <c r="B849" s="2126"/>
      <c r="C849" s="2126"/>
      <c r="D849" s="2126"/>
      <c r="E849" s="525"/>
      <c r="F849" s="525"/>
      <c r="G849" s="525"/>
      <c r="K849" s="3280"/>
      <c r="AB849" s="3280"/>
      <c r="AG849" s="3865"/>
      <c r="AM849" s="3041"/>
      <c r="BD849" s="3280"/>
      <c r="BF849" s="3041"/>
      <c r="BH849" s="3282"/>
    </row>
    <row r="850" spans="1:60" s="3030" customFormat="1">
      <c r="A850" s="2126"/>
      <c r="B850" s="2126"/>
      <c r="C850" s="2126"/>
      <c r="D850" s="2126"/>
      <c r="E850" s="525"/>
      <c r="F850" s="525"/>
      <c r="G850" s="525"/>
      <c r="K850" s="3280"/>
      <c r="AB850" s="3280"/>
      <c r="AG850" s="3865"/>
      <c r="AM850" s="3041"/>
      <c r="BD850" s="3280"/>
      <c r="BF850" s="3041"/>
      <c r="BH850" s="3282"/>
    </row>
    <row r="851" spans="1:60" s="3030" customFormat="1">
      <c r="A851" s="2126"/>
      <c r="B851" s="2126"/>
      <c r="C851" s="2126"/>
      <c r="D851" s="2126"/>
      <c r="E851" s="525"/>
      <c r="F851" s="525"/>
      <c r="G851" s="525"/>
      <c r="K851" s="3280"/>
      <c r="AB851" s="3280"/>
      <c r="AG851" s="3865"/>
      <c r="AM851" s="3041"/>
      <c r="BD851" s="3280"/>
      <c r="BF851" s="3041"/>
      <c r="BH851" s="3282"/>
    </row>
    <row r="852" spans="1:60" s="3030" customFormat="1">
      <c r="A852" s="2126"/>
      <c r="B852" s="2126"/>
      <c r="C852" s="2126"/>
      <c r="D852" s="2126"/>
      <c r="E852" s="525"/>
      <c r="F852" s="525"/>
      <c r="G852" s="525"/>
      <c r="K852" s="3280"/>
      <c r="AB852" s="3280"/>
      <c r="AG852" s="3865"/>
      <c r="AM852" s="3041"/>
      <c r="BD852" s="3280"/>
      <c r="BF852" s="3041"/>
      <c r="BH852" s="3282"/>
    </row>
    <row r="853" spans="1:60" s="3030" customFormat="1">
      <c r="A853" s="2126"/>
      <c r="B853" s="2126"/>
      <c r="C853" s="2126"/>
      <c r="D853" s="2126"/>
      <c r="E853" s="525"/>
      <c r="F853" s="525"/>
      <c r="G853" s="525"/>
      <c r="K853" s="3280"/>
      <c r="AB853" s="3280"/>
      <c r="AG853" s="3865"/>
      <c r="AM853" s="3041"/>
      <c r="BD853" s="3280"/>
      <c r="BF853" s="3041"/>
      <c r="BH853" s="3282"/>
    </row>
    <row r="854" spans="1:60" s="3030" customFormat="1">
      <c r="A854" s="2126"/>
      <c r="B854" s="2126"/>
      <c r="C854" s="2126"/>
      <c r="D854" s="2126"/>
      <c r="E854" s="525"/>
      <c r="F854" s="525"/>
      <c r="G854" s="525"/>
      <c r="K854" s="3280"/>
      <c r="AB854" s="3280"/>
      <c r="AG854" s="3865"/>
      <c r="AM854" s="3041"/>
      <c r="BD854" s="3280"/>
      <c r="BF854" s="3041"/>
      <c r="BH854" s="3282"/>
    </row>
    <row r="855" spans="1:60" s="3030" customFormat="1">
      <c r="A855" s="2126"/>
      <c r="B855" s="2126"/>
      <c r="C855" s="2126"/>
      <c r="D855" s="2126"/>
      <c r="E855" s="525"/>
      <c r="F855" s="525"/>
      <c r="G855" s="525"/>
      <c r="K855" s="3280"/>
      <c r="AB855" s="3280"/>
      <c r="AG855" s="3865"/>
      <c r="AM855" s="3041"/>
      <c r="BD855" s="3280"/>
      <c r="BF855" s="3041"/>
      <c r="BH855" s="3282"/>
    </row>
    <row r="856" spans="1:60" s="3030" customFormat="1">
      <c r="A856" s="2126"/>
      <c r="B856" s="2126"/>
      <c r="C856" s="2126"/>
      <c r="D856" s="2126"/>
      <c r="E856" s="525"/>
      <c r="F856" s="525"/>
      <c r="G856" s="525"/>
      <c r="K856" s="3280"/>
      <c r="AB856" s="3280"/>
      <c r="AG856" s="3865"/>
      <c r="AM856" s="3041"/>
      <c r="BD856" s="3280"/>
      <c r="BF856" s="3041"/>
      <c r="BH856" s="3282"/>
    </row>
    <row r="857" spans="1:60" s="3030" customFormat="1">
      <c r="A857" s="2126"/>
      <c r="B857" s="2126"/>
      <c r="C857" s="2126"/>
      <c r="D857" s="2126"/>
      <c r="E857" s="525"/>
      <c r="F857" s="525"/>
      <c r="G857" s="525"/>
      <c r="K857" s="3280"/>
      <c r="AB857" s="3280"/>
      <c r="AG857" s="3865"/>
      <c r="AM857" s="3041"/>
      <c r="BD857" s="3280"/>
      <c r="BF857" s="3041"/>
      <c r="BH857" s="3282"/>
    </row>
    <row r="858" spans="1:60" s="3030" customFormat="1">
      <c r="A858" s="2126"/>
      <c r="B858" s="2126"/>
      <c r="C858" s="2126"/>
      <c r="D858" s="2126"/>
      <c r="E858" s="525"/>
      <c r="F858" s="525"/>
      <c r="G858" s="525"/>
      <c r="K858" s="3280"/>
      <c r="AB858" s="3280"/>
      <c r="AG858" s="3865"/>
      <c r="AM858" s="3041"/>
      <c r="BD858" s="3280"/>
      <c r="BF858" s="3041"/>
      <c r="BH858" s="3282"/>
    </row>
    <row r="859" spans="1:60" s="3030" customFormat="1">
      <c r="A859" s="2126"/>
      <c r="B859" s="2126"/>
      <c r="C859" s="2126"/>
      <c r="D859" s="2126"/>
      <c r="E859" s="525"/>
      <c r="F859" s="525"/>
      <c r="G859" s="525"/>
      <c r="K859" s="3280"/>
      <c r="AB859" s="3280"/>
      <c r="AG859" s="3865"/>
      <c r="AM859" s="3041"/>
      <c r="BD859" s="3280"/>
      <c r="BF859" s="3041"/>
      <c r="BH859" s="3282"/>
    </row>
    <row r="860" spans="1:60" s="3030" customFormat="1">
      <c r="A860" s="2126"/>
      <c r="B860" s="2126"/>
      <c r="C860" s="2126"/>
      <c r="D860" s="2126"/>
      <c r="E860" s="525"/>
      <c r="F860" s="525"/>
      <c r="G860" s="525"/>
      <c r="K860" s="3280"/>
      <c r="AB860" s="3280"/>
      <c r="AG860" s="3865"/>
      <c r="AM860" s="3041"/>
      <c r="BD860" s="3280"/>
      <c r="BF860" s="3041"/>
      <c r="BH860" s="3282"/>
    </row>
    <row r="861" spans="1:60" s="3030" customFormat="1">
      <c r="A861" s="2126"/>
      <c r="B861" s="2126"/>
      <c r="C861" s="2126"/>
      <c r="D861" s="2126"/>
      <c r="E861" s="525"/>
      <c r="F861" s="525"/>
      <c r="G861" s="525"/>
      <c r="K861" s="3280"/>
      <c r="AB861" s="3280"/>
      <c r="AG861" s="3865"/>
      <c r="AM861" s="3041"/>
      <c r="BD861" s="3280"/>
      <c r="BF861" s="3041"/>
      <c r="BH861" s="3282"/>
    </row>
    <row r="862" spans="1:60" s="3030" customFormat="1">
      <c r="A862" s="2126"/>
      <c r="B862" s="2126"/>
      <c r="C862" s="2126"/>
      <c r="D862" s="2126"/>
      <c r="E862" s="525"/>
      <c r="F862" s="525"/>
      <c r="G862" s="525"/>
      <c r="K862" s="3280"/>
      <c r="AB862" s="3280"/>
      <c r="AG862" s="3865"/>
      <c r="AM862" s="3041"/>
      <c r="BD862" s="3280"/>
      <c r="BF862" s="3041"/>
      <c r="BH862" s="3282"/>
    </row>
    <row r="863" spans="1:60" s="3030" customFormat="1">
      <c r="A863" s="2126"/>
      <c r="B863" s="2126"/>
      <c r="C863" s="2126"/>
      <c r="D863" s="2126"/>
      <c r="E863" s="525"/>
      <c r="F863" s="525"/>
      <c r="G863" s="525"/>
      <c r="K863" s="3280"/>
      <c r="AB863" s="3280"/>
      <c r="AG863" s="3865"/>
      <c r="AM863" s="3041"/>
      <c r="BD863" s="3280"/>
      <c r="BF863" s="3041"/>
      <c r="BH863" s="3282"/>
    </row>
    <row r="864" spans="1:60" s="3030" customFormat="1">
      <c r="A864" s="2126"/>
      <c r="B864" s="2126"/>
      <c r="C864" s="2126"/>
      <c r="D864" s="2126"/>
      <c r="E864" s="525"/>
      <c r="F864" s="525"/>
      <c r="G864" s="525"/>
      <c r="K864" s="3280"/>
      <c r="AB864" s="3280"/>
      <c r="AG864" s="3865"/>
      <c r="AM864" s="3041"/>
      <c r="BD864" s="3280"/>
      <c r="BF864" s="3041"/>
      <c r="BH864" s="3282"/>
    </row>
    <row r="865" spans="1:60" s="3030" customFormat="1">
      <c r="A865" s="2126"/>
      <c r="B865" s="2126"/>
      <c r="C865" s="2126"/>
      <c r="D865" s="2126"/>
      <c r="E865" s="525"/>
      <c r="F865" s="525"/>
      <c r="G865" s="525"/>
      <c r="K865" s="3280"/>
      <c r="AB865" s="3280"/>
      <c r="AG865" s="3865"/>
      <c r="AM865" s="3041"/>
      <c r="BD865" s="3280"/>
      <c r="BF865" s="3041"/>
      <c r="BH865" s="3282"/>
    </row>
    <row r="866" spans="1:60" s="3030" customFormat="1">
      <c r="A866" s="2126"/>
      <c r="B866" s="2126"/>
      <c r="C866" s="2126"/>
      <c r="D866" s="2126"/>
      <c r="E866" s="525"/>
      <c r="F866" s="525"/>
      <c r="G866" s="525"/>
      <c r="K866" s="3280"/>
      <c r="AB866" s="3280"/>
      <c r="AG866" s="3865"/>
      <c r="AM866" s="3041"/>
      <c r="BD866" s="3280"/>
      <c r="BF866" s="3041"/>
      <c r="BH866" s="3282"/>
    </row>
    <row r="867" spans="1:60" s="3030" customFormat="1">
      <c r="A867" s="2126"/>
      <c r="B867" s="2126"/>
      <c r="C867" s="2126"/>
      <c r="D867" s="2126"/>
      <c r="E867" s="525"/>
      <c r="F867" s="525"/>
      <c r="G867" s="525"/>
      <c r="K867" s="3280"/>
      <c r="AB867" s="3280"/>
      <c r="AG867" s="3865"/>
      <c r="AM867" s="3041"/>
      <c r="BD867" s="3280"/>
      <c r="BF867" s="3041"/>
      <c r="BH867" s="3282"/>
    </row>
    <row r="868" spans="1:60" s="3030" customFormat="1">
      <c r="A868" s="2126"/>
      <c r="B868" s="2126"/>
      <c r="C868" s="2126"/>
      <c r="D868" s="2126"/>
      <c r="E868" s="525"/>
      <c r="F868" s="525"/>
      <c r="G868" s="525"/>
      <c r="K868" s="3280"/>
      <c r="AB868" s="3280"/>
      <c r="AG868" s="3865"/>
      <c r="AM868" s="3041"/>
      <c r="BD868" s="3280"/>
      <c r="BF868" s="3041"/>
      <c r="BH868" s="3282"/>
    </row>
    <row r="869" spans="1:60" s="3030" customFormat="1">
      <c r="A869" s="2126"/>
      <c r="B869" s="2126"/>
      <c r="C869" s="2126"/>
      <c r="D869" s="2126"/>
      <c r="E869" s="525"/>
      <c r="F869" s="525"/>
      <c r="G869" s="525"/>
      <c r="K869" s="3280"/>
      <c r="AB869" s="3280"/>
      <c r="AG869" s="3865"/>
      <c r="AM869" s="3041"/>
      <c r="BD869" s="3280"/>
      <c r="BF869" s="3041"/>
      <c r="BH869" s="3282"/>
    </row>
    <row r="870" spans="1:60" s="3030" customFormat="1">
      <c r="A870" s="2126"/>
      <c r="B870" s="2126"/>
      <c r="C870" s="2126"/>
      <c r="D870" s="2126"/>
      <c r="E870" s="525"/>
      <c r="F870" s="525"/>
      <c r="G870" s="525"/>
      <c r="K870" s="3280"/>
      <c r="AB870" s="3280"/>
      <c r="AG870" s="3865"/>
      <c r="AM870" s="3041"/>
      <c r="BD870" s="3280"/>
      <c r="BF870" s="3041"/>
      <c r="BH870" s="3282"/>
    </row>
    <row r="871" spans="1:60" s="3030" customFormat="1">
      <c r="A871" s="2126"/>
      <c r="B871" s="2126"/>
      <c r="C871" s="2126"/>
      <c r="D871" s="2126"/>
      <c r="E871" s="525"/>
      <c r="F871" s="525"/>
      <c r="G871" s="525"/>
      <c r="K871" s="3280"/>
      <c r="AB871" s="3280"/>
      <c r="AG871" s="3865"/>
      <c r="AM871" s="3041"/>
      <c r="BD871" s="3280"/>
      <c r="BF871" s="3041"/>
      <c r="BH871" s="3282"/>
    </row>
    <row r="872" spans="1:60" s="3030" customFormat="1">
      <c r="A872" s="2126"/>
      <c r="B872" s="2126"/>
      <c r="C872" s="2126"/>
      <c r="D872" s="2126"/>
      <c r="E872" s="525"/>
      <c r="F872" s="525"/>
      <c r="G872" s="525"/>
      <c r="K872" s="3280"/>
      <c r="AB872" s="3280"/>
      <c r="AG872" s="3865"/>
      <c r="AM872" s="3041"/>
      <c r="BD872" s="3280"/>
      <c r="BF872" s="3041"/>
      <c r="BH872" s="3282"/>
    </row>
    <row r="873" spans="1:60" s="3030" customFormat="1">
      <c r="A873" s="2126"/>
      <c r="B873" s="2126"/>
      <c r="C873" s="2126"/>
      <c r="D873" s="2126"/>
      <c r="E873" s="525"/>
      <c r="F873" s="525"/>
      <c r="G873" s="525"/>
      <c r="K873" s="3280"/>
      <c r="AB873" s="3280"/>
      <c r="AG873" s="3865"/>
      <c r="AM873" s="3041"/>
      <c r="BD873" s="3280"/>
      <c r="BF873" s="3041"/>
      <c r="BH873" s="3282"/>
    </row>
    <row r="874" spans="1:60" s="3030" customFormat="1">
      <c r="A874" s="2126"/>
      <c r="B874" s="2126"/>
      <c r="C874" s="2126"/>
      <c r="D874" s="2126"/>
      <c r="E874" s="525"/>
      <c r="F874" s="525"/>
      <c r="G874" s="525"/>
      <c r="K874" s="3280"/>
      <c r="AB874" s="3280"/>
      <c r="AG874" s="3865"/>
      <c r="AM874" s="3041"/>
      <c r="BD874" s="3280"/>
      <c r="BF874" s="3041"/>
      <c r="BH874" s="3282"/>
    </row>
    <row r="875" spans="1:60" s="3030" customFormat="1">
      <c r="A875" s="2126"/>
      <c r="B875" s="2126"/>
      <c r="C875" s="2126"/>
      <c r="D875" s="2126"/>
      <c r="E875" s="525"/>
      <c r="F875" s="525"/>
      <c r="G875" s="525"/>
      <c r="K875" s="3280"/>
      <c r="AB875" s="3280"/>
      <c r="AG875" s="3865"/>
      <c r="AM875" s="3041"/>
      <c r="BD875" s="3280"/>
      <c r="BF875" s="3041"/>
      <c r="BH875" s="3282"/>
    </row>
    <row r="876" spans="1:60" s="3030" customFormat="1">
      <c r="A876" s="2126"/>
      <c r="B876" s="2126"/>
      <c r="C876" s="2126"/>
      <c r="D876" s="2126"/>
      <c r="E876" s="525"/>
      <c r="F876" s="525"/>
      <c r="G876" s="525"/>
      <c r="K876" s="3280"/>
      <c r="AB876" s="3280"/>
      <c r="AG876" s="3865"/>
      <c r="AM876" s="3041"/>
      <c r="BD876" s="3280"/>
      <c r="BF876" s="3041"/>
      <c r="BH876" s="3282"/>
    </row>
    <row r="877" spans="1:60" s="3030" customFormat="1">
      <c r="A877" s="2126"/>
      <c r="B877" s="2126"/>
      <c r="C877" s="2126"/>
      <c r="D877" s="2126"/>
      <c r="E877" s="525"/>
      <c r="F877" s="525"/>
      <c r="G877" s="525"/>
      <c r="K877" s="3280"/>
      <c r="AB877" s="3280"/>
      <c r="AG877" s="3865"/>
      <c r="AM877" s="3041"/>
      <c r="BD877" s="3280"/>
      <c r="BF877" s="3041"/>
      <c r="BH877" s="3282"/>
    </row>
    <row r="878" spans="1:60" s="3030" customFormat="1">
      <c r="A878" s="2126"/>
      <c r="B878" s="2126"/>
      <c r="C878" s="2126"/>
      <c r="D878" s="2126"/>
      <c r="E878" s="525"/>
      <c r="F878" s="525"/>
      <c r="G878" s="525"/>
      <c r="K878" s="3280"/>
      <c r="AB878" s="3280"/>
      <c r="AG878" s="3865"/>
      <c r="AM878" s="3041"/>
      <c r="BD878" s="3280"/>
      <c r="BF878" s="3041"/>
      <c r="BH878" s="3282"/>
    </row>
    <row r="879" spans="1:60" s="3030" customFormat="1">
      <c r="A879" s="2126"/>
      <c r="B879" s="2126"/>
      <c r="C879" s="2126"/>
      <c r="D879" s="2126"/>
      <c r="E879" s="525"/>
      <c r="F879" s="525"/>
      <c r="G879" s="525"/>
      <c r="K879" s="3280"/>
      <c r="AB879" s="3280"/>
      <c r="AG879" s="3865"/>
      <c r="AM879" s="3041"/>
      <c r="BD879" s="3280"/>
      <c r="BF879" s="3041"/>
      <c r="BH879" s="3282"/>
    </row>
    <row r="880" spans="1:60" s="3030" customFormat="1">
      <c r="A880" s="2126"/>
      <c r="B880" s="2126"/>
      <c r="C880" s="2126"/>
      <c r="D880" s="2126"/>
      <c r="E880" s="525"/>
      <c r="F880" s="525"/>
      <c r="G880" s="525"/>
      <c r="K880" s="3280"/>
      <c r="AB880" s="3280"/>
      <c r="AG880" s="3865"/>
      <c r="AM880" s="3041"/>
      <c r="BD880" s="3280"/>
      <c r="BF880" s="3041"/>
      <c r="BH880" s="3282"/>
    </row>
    <row r="881" spans="1:60" s="3030" customFormat="1">
      <c r="A881" s="2126"/>
      <c r="B881" s="2126"/>
      <c r="C881" s="2126"/>
      <c r="D881" s="2126"/>
      <c r="E881" s="525"/>
      <c r="F881" s="525"/>
      <c r="G881" s="525"/>
      <c r="K881" s="3280"/>
      <c r="AB881" s="3280"/>
      <c r="AG881" s="3865"/>
      <c r="AM881" s="3041"/>
      <c r="BD881" s="3280"/>
      <c r="BF881" s="3041"/>
      <c r="BH881" s="3282"/>
    </row>
    <row r="882" spans="1:60" s="3030" customFormat="1">
      <c r="A882" s="2126"/>
      <c r="B882" s="2126"/>
      <c r="C882" s="2126"/>
      <c r="D882" s="2126"/>
      <c r="E882" s="525"/>
      <c r="F882" s="525"/>
      <c r="G882" s="525"/>
      <c r="K882" s="3280"/>
      <c r="AB882" s="3280"/>
      <c r="AG882" s="3865"/>
      <c r="AM882" s="3041"/>
      <c r="BD882" s="3280"/>
      <c r="BF882" s="3041"/>
      <c r="BH882" s="3282"/>
    </row>
    <row r="883" spans="1:60" s="3030" customFormat="1">
      <c r="A883" s="2126"/>
      <c r="B883" s="2126"/>
      <c r="C883" s="2126"/>
      <c r="D883" s="2126"/>
      <c r="E883" s="525"/>
      <c r="F883" s="525"/>
      <c r="G883" s="525"/>
      <c r="K883" s="3280"/>
      <c r="AB883" s="3280"/>
      <c r="AG883" s="3865"/>
      <c r="AM883" s="3041"/>
      <c r="BD883" s="3280"/>
      <c r="BF883" s="3041"/>
      <c r="BH883" s="3282"/>
    </row>
    <row r="884" spans="1:60" s="3030" customFormat="1">
      <c r="A884" s="2126"/>
      <c r="B884" s="2126"/>
      <c r="C884" s="2126"/>
      <c r="D884" s="2126"/>
      <c r="E884" s="525"/>
      <c r="F884" s="525"/>
      <c r="G884" s="525"/>
      <c r="K884" s="3280"/>
      <c r="AB884" s="3280"/>
      <c r="AG884" s="3865"/>
      <c r="AM884" s="3041"/>
      <c r="BD884" s="3280"/>
      <c r="BF884" s="3041"/>
      <c r="BH884" s="3282"/>
    </row>
    <row r="885" spans="1:60" s="3030" customFormat="1">
      <c r="A885" s="2126"/>
      <c r="B885" s="2126"/>
      <c r="C885" s="2126"/>
      <c r="D885" s="2126"/>
      <c r="E885" s="525"/>
      <c r="F885" s="525"/>
      <c r="G885" s="525"/>
      <c r="K885" s="3280"/>
      <c r="AB885" s="3280"/>
      <c r="AG885" s="3865"/>
      <c r="AM885" s="3041"/>
      <c r="BD885" s="3280"/>
      <c r="BF885" s="3041"/>
      <c r="BH885" s="3282"/>
    </row>
    <row r="886" spans="1:60" s="3030" customFormat="1">
      <c r="A886" s="2126"/>
      <c r="B886" s="2126"/>
      <c r="C886" s="2126"/>
      <c r="D886" s="2126"/>
      <c r="E886" s="525"/>
      <c r="F886" s="525"/>
      <c r="G886" s="525"/>
      <c r="K886" s="3280"/>
      <c r="AB886" s="3280"/>
      <c r="AG886" s="3865"/>
      <c r="AM886" s="3041"/>
      <c r="BD886" s="3280"/>
      <c r="BF886" s="3041"/>
      <c r="BH886" s="3282"/>
    </row>
    <row r="887" spans="1:60" s="3030" customFormat="1">
      <c r="A887" s="2126"/>
      <c r="B887" s="2126"/>
      <c r="C887" s="2126"/>
      <c r="D887" s="2126"/>
      <c r="E887" s="525"/>
      <c r="F887" s="525"/>
      <c r="G887" s="525"/>
      <c r="K887" s="3280"/>
      <c r="AB887" s="3280"/>
      <c r="AG887" s="3865"/>
      <c r="AM887" s="3041"/>
      <c r="BD887" s="3280"/>
      <c r="BF887" s="3041"/>
      <c r="BH887" s="3282"/>
    </row>
    <row r="888" spans="1:60" s="3030" customFormat="1">
      <c r="A888" s="2126"/>
      <c r="B888" s="2126"/>
      <c r="C888" s="2126"/>
      <c r="D888" s="2126"/>
      <c r="E888" s="525"/>
      <c r="F888" s="525"/>
      <c r="G888" s="525"/>
      <c r="K888" s="3280"/>
      <c r="AB888" s="3280"/>
      <c r="AG888" s="3865"/>
      <c r="AM888" s="3041"/>
      <c r="BD888" s="3280"/>
      <c r="BF888" s="3041"/>
      <c r="BH888" s="3282"/>
    </row>
    <row r="889" spans="1:60" s="3030" customFormat="1">
      <c r="A889" s="2126"/>
      <c r="B889" s="2126"/>
      <c r="C889" s="2126"/>
      <c r="D889" s="2126"/>
      <c r="E889" s="525"/>
      <c r="F889" s="525"/>
      <c r="G889" s="525"/>
      <c r="K889" s="3280"/>
      <c r="AB889" s="3280"/>
      <c r="AG889" s="3865"/>
      <c r="AM889" s="3041"/>
      <c r="BD889" s="3280"/>
      <c r="BF889" s="3041"/>
      <c r="BH889" s="3282"/>
    </row>
    <row r="890" spans="1:60" s="3030" customFormat="1">
      <c r="A890" s="2126"/>
      <c r="B890" s="2126"/>
      <c r="C890" s="2126"/>
      <c r="D890" s="2126"/>
      <c r="E890" s="525"/>
      <c r="F890" s="525"/>
      <c r="G890" s="525"/>
      <c r="K890" s="3280"/>
      <c r="AB890" s="3280"/>
      <c r="AG890" s="3865"/>
      <c r="AM890" s="3041"/>
      <c r="BD890" s="3280"/>
      <c r="BF890" s="3041"/>
      <c r="BH890" s="3282"/>
    </row>
    <row r="891" spans="1:60" s="3030" customFormat="1">
      <c r="A891" s="2126"/>
      <c r="B891" s="2126"/>
      <c r="C891" s="2126"/>
      <c r="D891" s="2126"/>
      <c r="E891" s="525"/>
      <c r="F891" s="525"/>
      <c r="G891" s="525"/>
      <c r="K891" s="3280"/>
      <c r="AB891" s="3280"/>
      <c r="AG891" s="3865"/>
      <c r="AM891" s="3041"/>
      <c r="BD891" s="3280"/>
      <c r="BF891" s="3041"/>
      <c r="BH891" s="3282"/>
    </row>
    <row r="892" spans="1:60" s="3030" customFormat="1">
      <c r="A892" s="2126"/>
      <c r="B892" s="2126"/>
      <c r="C892" s="2126"/>
      <c r="D892" s="2126"/>
      <c r="E892" s="525"/>
      <c r="F892" s="525"/>
      <c r="G892" s="525"/>
      <c r="K892" s="3280"/>
      <c r="AB892" s="3280"/>
      <c r="AG892" s="3865"/>
      <c r="AM892" s="3041"/>
      <c r="BD892" s="3280"/>
      <c r="BF892" s="3041"/>
      <c r="BH892" s="3282"/>
    </row>
    <row r="893" spans="1:60" s="3030" customFormat="1">
      <c r="A893" s="2126"/>
      <c r="B893" s="2126"/>
      <c r="C893" s="2126"/>
      <c r="D893" s="2126"/>
      <c r="E893" s="525"/>
      <c r="F893" s="525"/>
      <c r="G893" s="525"/>
      <c r="K893" s="3280"/>
      <c r="AB893" s="3280"/>
      <c r="AG893" s="3865"/>
      <c r="AM893" s="3041"/>
      <c r="BD893" s="3280"/>
      <c r="BF893" s="3041"/>
      <c r="BH893" s="3282"/>
    </row>
    <row r="894" spans="1:60" s="3030" customFormat="1">
      <c r="A894" s="2126"/>
      <c r="B894" s="2126"/>
      <c r="C894" s="2126"/>
      <c r="D894" s="2126"/>
      <c r="E894" s="525"/>
      <c r="F894" s="525"/>
      <c r="G894" s="525"/>
      <c r="K894" s="3280"/>
      <c r="AB894" s="3280"/>
      <c r="AG894" s="3865"/>
      <c r="AM894" s="3041"/>
      <c r="BD894" s="3280"/>
      <c r="BF894" s="3041"/>
      <c r="BH894" s="3282"/>
    </row>
    <row r="895" spans="1:60" s="3030" customFormat="1">
      <c r="A895" s="2126"/>
      <c r="B895" s="2126"/>
      <c r="C895" s="2126"/>
      <c r="D895" s="2126"/>
      <c r="E895" s="525"/>
      <c r="F895" s="525"/>
      <c r="G895" s="525"/>
      <c r="K895" s="3280"/>
      <c r="AB895" s="3280"/>
      <c r="AG895" s="3865"/>
      <c r="AM895" s="3041"/>
      <c r="BD895" s="3280"/>
      <c r="BF895" s="3041"/>
      <c r="BH895" s="3282"/>
    </row>
    <row r="896" spans="1:60" s="3030" customFormat="1">
      <c r="A896" s="2126"/>
      <c r="B896" s="2126"/>
      <c r="C896" s="2126"/>
      <c r="D896" s="2126"/>
      <c r="E896" s="525"/>
      <c r="F896" s="525"/>
      <c r="G896" s="525"/>
      <c r="K896" s="3280"/>
      <c r="AB896" s="3280"/>
      <c r="AG896" s="3865"/>
      <c r="AM896" s="3041"/>
      <c r="BD896" s="3280"/>
      <c r="BF896" s="3041"/>
      <c r="BH896" s="3282"/>
    </row>
    <row r="897" spans="1:60" s="3030" customFormat="1">
      <c r="A897" s="2126"/>
      <c r="B897" s="2126"/>
      <c r="C897" s="2126"/>
      <c r="D897" s="2126"/>
      <c r="E897" s="525"/>
      <c r="F897" s="525"/>
      <c r="G897" s="525"/>
      <c r="K897" s="3280"/>
      <c r="AB897" s="3280"/>
      <c r="AG897" s="3865"/>
      <c r="AM897" s="3041"/>
      <c r="BD897" s="3280"/>
      <c r="BF897" s="3041"/>
      <c r="BH897" s="3282"/>
    </row>
    <row r="898" spans="1:60" s="3030" customFormat="1">
      <c r="A898" s="2126"/>
      <c r="B898" s="2126"/>
      <c r="C898" s="2126"/>
      <c r="D898" s="2126"/>
      <c r="E898" s="525"/>
      <c r="F898" s="525"/>
      <c r="G898" s="525"/>
      <c r="K898" s="3280"/>
      <c r="AB898" s="3280"/>
      <c r="AG898" s="3865"/>
      <c r="AM898" s="3041"/>
      <c r="BD898" s="3280"/>
      <c r="BF898" s="3041"/>
      <c r="BH898" s="3282"/>
    </row>
    <row r="899" spans="1:60" s="3030" customFormat="1">
      <c r="A899" s="2126"/>
      <c r="B899" s="2126"/>
      <c r="C899" s="2126"/>
      <c r="D899" s="2126"/>
      <c r="E899" s="525"/>
      <c r="F899" s="525"/>
      <c r="G899" s="525"/>
      <c r="K899" s="3280"/>
      <c r="AB899" s="3280"/>
      <c r="AG899" s="3865"/>
      <c r="AM899" s="3041"/>
      <c r="BD899" s="3280"/>
      <c r="BF899" s="3041"/>
      <c r="BH899" s="3282"/>
    </row>
    <row r="900" spans="1:60" s="3030" customFormat="1">
      <c r="A900" s="2126"/>
      <c r="B900" s="2126"/>
      <c r="C900" s="2126"/>
      <c r="D900" s="2126"/>
      <c r="E900" s="525"/>
      <c r="F900" s="525"/>
      <c r="G900" s="525"/>
      <c r="K900" s="3280"/>
      <c r="AB900" s="3280"/>
      <c r="AG900" s="3865"/>
      <c r="AM900" s="3041"/>
      <c r="BD900" s="3280"/>
      <c r="BF900" s="3041"/>
      <c r="BH900" s="3282"/>
    </row>
    <row r="901" spans="1:60" s="3030" customFormat="1">
      <c r="A901" s="2126"/>
      <c r="B901" s="2126"/>
      <c r="C901" s="2126"/>
      <c r="D901" s="2126"/>
      <c r="E901" s="525"/>
      <c r="F901" s="525"/>
      <c r="G901" s="525"/>
      <c r="K901" s="3280"/>
      <c r="AB901" s="3280"/>
      <c r="AG901" s="3865"/>
      <c r="AM901" s="3041"/>
      <c r="BD901" s="3280"/>
      <c r="BF901" s="3041"/>
      <c r="BH901" s="3282"/>
    </row>
    <row r="902" spans="1:60" s="3030" customFormat="1">
      <c r="A902" s="2126"/>
      <c r="B902" s="2126"/>
      <c r="C902" s="2126"/>
      <c r="D902" s="2126"/>
      <c r="E902" s="525"/>
      <c r="F902" s="525"/>
      <c r="G902" s="525"/>
      <c r="K902" s="3280"/>
      <c r="AB902" s="3280"/>
      <c r="AG902" s="3865"/>
      <c r="AM902" s="3041"/>
      <c r="BD902" s="3280"/>
      <c r="BF902" s="3041"/>
      <c r="BH902" s="3282"/>
    </row>
    <row r="903" spans="1:60" s="3030" customFormat="1">
      <c r="A903" s="2126"/>
      <c r="B903" s="2126"/>
      <c r="C903" s="2126"/>
      <c r="D903" s="2126"/>
      <c r="E903" s="525"/>
      <c r="F903" s="525"/>
      <c r="G903" s="525"/>
      <c r="K903" s="3280"/>
      <c r="AB903" s="3280"/>
      <c r="AG903" s="3865"/>
      <c r="AM903" s="3041"/>
      <c r="BD903" s="3280"/>
      <c r="BF903" s="3041"/>
      <c r="BH903" s="3282"/>
    </row>
    <row r="904" spans="1:60" s="3030" customFormat="1">
      <c r="A904" s="2126"/>
      <c r="B904" s="2126"/>
      <c r="C904" s="2126"/>
      <c r="D904" s="2126"/>
      <c r="E904" s="525"/>
      <c r="F904" s="525"/>
      <c r="G904" s="525"/>
      <c r="K904" s="3280"/>
      <c r="AB904" s="3280"/>
      <c r="AG904" s="3865"/>
      <c r="AM904" s="3041"/>
      <c r="BD904" s="3280"/>
      <c r="BF904" s="3041"/>
      <c r="BH904" s="3282"/>
    </row>
    <row r="905" spans="1:60" s="3030" customFormat="1">
      <c r="A905" s="2126"/>
      <c r="B905" s="2126"/>
      <c r="C905" s="2126"/>
      <c r="D905" s="2126"/>
      <c r="E905" s="525"/>
      <c r="F905" s="525"/>
      <c r="G905" s="525"/>
      <c r="K905" s="3280"/>
      <c r="AB905" s="3280"/>
      <c r="AG905" s="3865"/>
      <c r="AM905" s="3041"/>
      <c r="BD905" s="3280"/>
      <c r="BF905" s="3041"/>
      <c r="BH905" s="3282"/>
    </row>
    <row r="906" spans="1:60" s="3030" customFormat="1">
      <c r="A906" s="2126"/>
      <c r="B906" s="2126"/>
      <c r="C906" s="2126"/>
      <c r="D906" s="2126"/>
      <c r="E906" s="525"/>
      <c r="F906" s="525"/>
      <c r="G906" s="525"/>
      <c r="K906" s="3280"/>
      <c r="AB906" s="3280"/>
      <c r="AG906" s="3865"/>
      <c r="AM906" s="3041"/>
      <c r="BD906" s="3280"/>
      <c r="BF906" s="3041"/>
      <c r="BH906" s="3282"/>
    </row>
    <row r="907" spans="1:60" s="3030" customFormat="1">
      <c r="A907" s="2126"/>
      <c r="B907" s="2126"/>
      <c r="C907" s="2126"/>
      <c r="D907" s="2126"/>
      <c r="E907" s="525"/>
      <c r="F907" s="525"/>
      <c r="G907" s="525"/>
      <c r="K907" s="3280"/>
      <c r="AB907" s="3280"/>
      <c r="AG907" s="3865"/>
      <c r="AM907" s="3041"/>
      <c r="BD907" s="3280"/>
      <c r="BF907" s="3041"/>
      <c r="BH907" s="3282"/>
    </row>
    <row r="908" spans="1:60" s="3030" customFormat="1">
      <c r="A908" s="2126"/>
      <c r="B908" s="2126"/>
      <c r="C908" s="2126"/>
      <c r="D908" s="2126"/>
      <c r="E908" s="525"/>
      <c r="F908" s="525"/>
      <c r="G908" s="525"/>
      <c r="K908" s="3280"/>
      <c r="AB908" s="3280"/>
      <c r="AG908" s="3865"/>
      <c r="AM908" s="3041"/>
      <c r="BD908" s="3280"/>
      <c r="BF908" s="3041"/>
      <c r="BH908" s="3282"/>
    </row>
    <row r="909" spans="1:60" s="3030" customFormat="1">
      <c r="A909" s="2126"/>
      <c r="B909" s="2126"/>
      <c r="C909" s="2126"/>
      <c r="D909" s="2126"/>
      <c r="E909" s="525"/>
      <c r="F909" s="525"/>
      <c r="G909" s="525"/>
      <c r="K909" s="3280"/>
      <c r="AB909" s="3280"/>
      <c r="AG909" s="3865"/>
      <c r="AM909" s="3041"/>
      <c r="BD909" s="3280"/>
      <c r="BF909" s="3041"/>
      <c r="BH909" s="3282"/>
    </row>
    <row r="910" spans="1:60" s="3030" customFormat="1">
      <c r="A910" s="2126"/>
      <c r="B910" s="2126"/>
      <c r="C910" s="2126"/>
      <c r="D910" s="2126"/>
      <c r="E910" s="525"/>
      <c r="F910" s="525"/>
      <c r="G910" s="525"/>
      <c r="K910" s="3280"/>
      <c r="AB910" s="3280"/>
      <c r="AG910" s="3865"/>
      <c r="AM910" s="3041"/>
      <c r="BD910" s="3280"/>
      <c r="BF910" s="3041"/>
      <c r="BH910" s="3282"/>
    </row>
    <row r="911" spans="1:60" s="3030" customFormat="1">
      <c r="A911" s="2126"/>
      <c r="B911" s="2126"/>
      <c r="C911" s="2126"/>
      <c r="D911" s="2126"/>
      <c r="E911" s="525"/>
      <c r="F911" s="525"/>
      <c r="G911" s="525"/>
      <c r="K911" s="3280"/>
      <c r="AB911" s="3280"/>
      <c r="AG911" s="3865"/>
      <c r="AM911" s="3041"/>
      <c r="BD911" s="3280"/>
      <c r="BF911" s="3041"/>
      <c r="BH911" s="3282"/>
    </row>
    <row r="912" spans="1:60" s="3030" customFormat="1">
      <c r="A912" s="2126"/>
      <c r="B912" s="2126"/>
      <c r="C912" s="2126"/>
      <c r="D912" s="2126"/>
      <c r="E912" s="525"/>
      <c r="F912" s="525"/>
      <c r="G912" s="525"/>
      <c r="K912" s="3280"/>
      <c r="AB912" s="3280"/>
      <c r="AG912" s="3865"/>
      <c r="AM912" s="3041"/>
      <c r="BD912" s="3280"/>
      <c r="BF912" s="3041"/>
      <c r="BH912" s="3282"/>
    </row>
    <row r="913" spans="1:60" s="3030" customFormat="1">
      <c r="A913" s="2126"/>
      <c r="B913" s="2126"/>
      <c r="C913" s="2126"/>
      <c r="D913" s="2126"/>
      <c r="E913" s="525"/>
      <c r="F913" s="525"/>
      <c r="G913" s="525"/>
      <c r="K913" s="3280"/>
      <c r="AB913" s="3280"/>
      <c r="AG913" s="3865"/>
      <c r="AM913" s="3041"/>
      <c r="BD913" s="3280"/>
      <c r="BF913" s="3041"/>
      <c r="BH913" s="3282"/>
    </row>
    <row r="914" spans="1:60" s="3030" customFormat="1">
      <c r="A914" s="2126"/>
      <c r="B914" s="2126"/>
      <c r="C914" s="2126"/>
      <c r="D914" s="2126"/>
      <c r="E914" s="525"/>
      <c r="F914" s="525"/>
      <c r="G914" s="525"/>
      <c r="K914" s="3280"/>
      <c r="AB914" s="3280"/>
      <c r="AG914" s="3865"/>
      <c r="AM914" s="3041"/>
      <c r="BD914" s="3280"/>
      <c r="BF914" s="3041"/>
      <c r="BH914" s="3282"/>
    </row>
    <row r="915" spans="1:60" s="3030" customFormat="1">
      <c r="A915" s="2126"/>
      <c r="B915" s="2126"/>
      <c r="C915" s="2126"/>
      <c r="D915" s="2126"/>
      <c r="E915" s="525"/>
      <c r="F915" s="525"/>
      <c r="G915" s="525"/>
      <c r="K915" s="3280"/>
      <c r="AB915" s="3280"/>
      <c r="AG915" s="3865"/>
      <c r="AM915" s="3041"/>
      <c r="BD915" s="3280"/>
      <c r="BF915" s="3041"/>
      <c r="BH915" s="3282"/>
    </row>
    <row r="916" spans="1:60" s="3030" customFormat="1">
      <c r="A916" s="2126"/>
      <c r="B916" s="2126"/>
      <c r="C916" s="2126"/>
      <c r="D916" s="2126"/>
      <c r="E916" s="525"/>
      <c r="F916" s="525"/>
      <c r="G916" s="525"/>
      <c r="K916" s="3280"/>
      <c r="AB916" s="3280"/>
      <c r="AG916" s="3865"/>
      <c r="AM916" s="3041"/>
      <c r="BD916" s="3280"/>
      <c r="BF916" s="3041"/>
      <c r="BH916" s="3282"/>
    </row>
    <row r="917" spans="1:60" s="3030" customFormat="1">
      <c r="A917" s="2126"/>
      <c r="B917" s="2126"/>
      <c r="C917" s="2126"/>
      <c r="D917" s="2126"/>
      <c r="E917" s="525"/>
      <c r="F917" s="525"/>
      <c r="G917" s="525"/>
      <c r="K917" s="3280"/>
      <c r="AB917" s="3280"/>
      <c r="AG917" s="3865"/>
      <c r="AM917" s="3041"/>
      <c r="BD917" s="3280"/>
      <c r="BF917" s="3041"/>
      <c r="BH917" s="3282"/>
    </row>
    <row r="918" spans="1:60" s="3030" customFormat="1">
      <c r="A918" s="2126"/>
      <c r="B918" s="2126"/>
      <c r="C918" s="2126"/>
      <c r="D918" s="2126"/>
      <c r="E918" s="525"/>
      <c r="F918" s="525"/>
      <c r="G918" s="525"/>
      <c r="K918" s="3280"/>
      <c r="AB918" s="3280"/>
      <c r="AG918" s="3865"/>
      <c r="AM918" s="3041"/>
      <c r="BD918" s="3280"/>
      <c r="BF918" s="3041"/>
      <c r="BH918" s="3282"/>
    </row>
    <row r="919" spans="1:60" s="3030" customFormat="1">
      <c r="A919" s="2126"/>
      <c r="B919" s="2126"/>
      <c r="C919" s="2126"/>
      <c r="D919" s="2126"/>
      <c r="E919" s="525"/>
      <c r="F919" s="525"/>
      <c r="G919" s="525"/>
      <c r="K919" s="3280"/>
      <c r="AB919" s="3280"/>
      <c r="AG919" s="3865"/>
      <c r="AM919" s="3041"/>
      <c r="BD919" s="3280"/>
      <c r="BF919" s="3041"/>
      <c r="BH919" s="3282"/>
    </row>
    <row r="920" spans="1:60" s="3030" customFormat="1">
      <c r="A920" s="2126"/>
      <c r="B920" s="2126"/>
      <c r="C920" s="2126"/>
      <c r="D920" s="2126"/>
      <c r="E920" s="525"/>
      <c r="F920" s="525"/>
      <c r="G920" s="525"/>
      <c r="K920" s="3280"/>
      <c r="AB920" s="3280"/>
      <c r="AG920" s="3865"/>
      <c r="AM920" s="3041"/>
      <c r="BD920" s="3280"/>
      <c r="BF920" s="3041"/>
      <c r="BH920" s="3282"/>
    </row>
    <row r="921" spans="1:60" s="3030" customFormat="1">
      <c r="A921" s="2126"/>
      <c r="B921" s="2126"/>
      <c r="C921" s="2126"/>
      <c r="D921" s="2126"/>
      <c r="E921" s="525"/>
      <c r="F921" s="525"/>
      <c r="G921" s="525"/>
      <c r="K921" s="3280"/>
      <c r="AB921" s="3280"/>
      <c r="AG921" s="3865"/>
      <c r="AM921" s="3041"/>
      <c r="BD921" s="3280"/>
      <c r="BF921" s="3041"/>
      <c r="BH921" s="3282"/>
    </row>
    <row r="922" spans="1:60" s="3030" customFormat="1">
      <c r="A922" s="2126"/>
      <c r="B922" s="2126"/>
      <c r="C922" s="2126"/>
      <c r="D922" s="2126"/>
      <c r="E922" s="525"/>
      <c r="F922" s="525"/>
      <c r="G922" s="525"/>
      <c r="K922" s="3280"/>
      <c r="AB922" s="3280"/>
      <c r="AG922" s="3865"/>
      <c r="AM922" s="3041"/>
      <c r="BD922" s="3280"/>
      <c r="BF922" s="3041"/>
      <c r="BH922" s="3282"/>
    </row>
    <row r="923" spans="1:60" s="3030" customFormat="1">
      <c r="A923" s="2126"/>
      <c r="B923" s="2126"/>
      <c r="C923" s="2126"/>
      <c r="D923" s="2126"/>
      <c r="E923" s="525"/>
      <c r="F923" s="525"/>
      <c r="G923" s="525"/>
      <c r="K923" s="3280"/>
      <c r="AB923" s="3280"/>
      <c r="AG923" s="3865"/>
      <c r="AM923" s="3041"/>
      <c r="BD923" s="3280"/>
      <c r="BF923" s="3041"/>
      <c r="BH923" s="3282"/>
    </row>
    <row r="924" spans="1:60" s="3030" customFormat="1">
      <c r="A924" s="2126"/>
      <c r="B924" s="2126"/>
      <c r="C924" s="2126"/>
      <c r="D924" s="2126"/>
      <c r="E924" s="525"/>
      <c r="F924" s="525"/>
      <c r="G924" s="525"/>
      <c r="K924" s="3280"/>
      <c r="AB924" s="3280"/>
      <c r="AG924" s="3865"/>
      <c r="AM924" s="3041"/>
      <c r="BD924" s="3280"/>
      <c r="BF924" s="3041"/>
      <c r="BH924" s="3282"/>
    </row>
    <row r="925" spans="1:60" s="3030" customFormat="1">
      <c r="A925" s="2126"/>
      <c r="B925" s="2126"/>
      <c r="C925" s="2126"/>
      <c r="D925" s="2126"/>
      <c r="E925" s="525"/>
      <c r="F925" s="525"/>
      <c r="G925" s="525"/>
      <c r="K925" s="3280"/>
      <c r="AB925" s="3280"/>
      <c r="AG925" s="3865"/>
      <c r="AM925" s="3041"/>
      <c r="BD925" s="3280"/>
      <c r="BF925" s="3041"/>
      <c r="BH925" s="3282"/>
    </row>
    <row r="926" spans="1:60" s="3030" customFormat="1">
      <c r="A926" s="2126"/>
      <c r="B926" s="2126"/>
      <c r="C926" s="2126"/>
      <c r="D926" s="2126"/>
      <c r="E926" s="525"/>
      <c r="F926" s="525"/>
      <c r="G926" s="525"/>
      <c r="K926" s="3280"/>
      <c r="AB926" s="3280"/>
      <c r="AG926" s="3865"/>
      <c r="AM926" s="3041"/>
      <c r="BD926" s="3280"/>
      <c r="BF926" s="3041"/>
      <c r="BH926" s="3282"/>
    </row>
    <row r="927" spans="1:60" s="3030" customFormat="1">
      <c r="A927" s="2126"/>
      <c r="B927" s="2126"/>
      <c r="C927" s="2126"/>
      <c r="D927" s="2126"/>
      <c r="E927" s="525"/>
      <c r="F927" s="525"/>
      <c r="G927" s="525"/>
      <c r="K927" s="3280"/>
      <c r="AB927" s="3280"/>
      <c r="AG927" s="3865"/>
      <c r="AM927" s="3041"/>
      <c r="BD927" s="3280"/>
      <c r="BF927" s="3041"/>
      <c r="BH927" s="3282"/>
    </row>
    <row r="928" spans="1:60" s="3030" customFormat="1">
      <c r="A928" s="2126"/>
      <c r="B928" s="2126"/>
      <c r="C928" s="2126"/>
      <c r="D928" s="2126"/>
      <c r="E928" s="525"/>
      <c r="F928" s="525"/>
      <c r="G928" s="525"/>
      <c r="K928" s="3280"/>
      <c r="AB928" s="3280"/>
      <c r="AG928" s="3865"/>
      <c r="AM928" s="3041"/>
      <c r="BD928" s="3280"/>
      <c r="BF928" s="3041"/>
      <c r="BH928" s="3282"/>
    </row>
    <row r="929" spans="1:60" s="3030" customFormat="1">
      <c r="A929" s="2126"/>
      <c r="B929" s="2126"/>
      <c r="C929" s="2126"/>
      <c r="D929" s="2126"/>
      <c r="E929" s="525"/>
      <c r="F929" s="525"/>
      <c r="G929" s="525"/>
      <c r="K929" s="3280"/>
      <c r="AB929" s="3280"/>
      <c r="AG929" s="3865"/>
      <c r="AM929" s="3041"/>
      <c r="BD929" s="3280"/>
      <c r="BF929" s="3041"/>
      <c r="BH929" s="3282"/>
    </row>
    <row r="930" spans="1:60" s="3030" customFormat="1">
      <c r="A930" s="2126"/>
      <c r="B930" s="2126"/>
      <c r="C930" s="2126"/>
      <c r="D930" s="2126"/>
      <c r="E930" s="525"/>
      <c r="F930" s="525"/>
      <c r="G930" s="525"/>
      <c r="K930" s="3280"/>
      <c r="AB930" s="3280"/>
      <c r="AG930" s="3865"/>
      <c r="AM930" s="3041"/>
      <c r="BD930" s="3280"/>
      <c r="BF930" s="3041"/>
      <c r="BH930" s="3282"/>
    </row>
    <row r="931" spans="1:60" s="3030" customFormat="1">
      <c r="A931" s="2126"/>
      <c r="B931" s="2126"/>
      <c r="C931" s="2126"/>
      <c r="D931" s="2126"/>
      <c r="E931" s="525"/>
      <c r="F931" s="525"/>
      <c r="G931" s="525"/>
      <c r="K931" s="3280"/>
      <c r="AB931" s="3280"/>
      <c r="AG931" s="3865"/>
      <c r="AM931" s="3041"/>
      <c r="BD931" s="3280"/>
      <c r="BF931" s="3041"/>
      <c r="BH931" s="3282"/>
    </row>
    <row r="932" spans="1:60" s="3030" customFormat="1">
      <c r="A932" s="2126"/>
      <c r="B932" s="2126"/>
      <c r="C932" s="2126"/>
      <c r="D932" s="2126"/>
      <c r="E932" s="525"/>
      <c r="F932" s="525"/>
      <c r="G932" s="525"/>
      <c r="K932" s="3280"/>
      <c r="AB932" s="3280"/>
      <c r="AG932" s="3865"/>
      <c r="AM932" s="3041"/>
      <c r="BD932" s="3280"/>
      <c r="BF932" s="3041"/>
      <c r="BH932" s="3282"/>
    </row>
    <row r="933" spans="1:60" s="3030" customFormat="1">
      <c r="A933" s="2126"/>
      <c r="B933" s="2126"/>
      <c r="C933" s="2126"/>
      <c r="D933" s="2126"/>
      <c r="E933" s="525"/>
      <c r="F933" s="525"/>
      <c r="G933" s="525"/>
      <c r="K933" s="3280"/>
      <c r="AB933" s="3280"/>
      <c r="AG933" s="3865"/>
      <c r="AM933" s="3041"/>
      <c r="BD933" s="3280"/>
      <c r="BF933" s="3041"/>
      <c r="BH933" s="3282"/>
    </row>
    <row r="934" spans="1:60" s="3030" customFormat="1">
      <c r="A934" s="2126"/>
      <c r="B934" s="2126"/>
      <c r="C934" s="2126"/>
      <c r="D934" s="2126"/>
      <c r="E934" s="525"/>
      <c r="F934" s="525"/>
      <c r="G934" s="525"/>
      <c r="K934" s="3280"/>
      <c r="AB934" s="3280"/>
      <c r="AG934" s="3865"/>
      <c r="AM934" s="3041"/>
      <c r="BD934" s="3280"/>
      <c r="BF934" s="3041"/>
      <c r="BH934" s="3282"/>
    </row>
    <row r="935" spans="1:60" s="3030" customFormat="1">
      <c r="A935" s="2126"/>
      <c r="B935" s="2126"/>
      <c r="C935" s="2126"/>
      <c r="D935" s="2126"/>
      <c r="E935" s="525"/>
      <c r="F935" s="525"/>
      <c r="G935" s="525"/>
      <c r="K935" s="3280"/>
      <c r="AB935" s="3280"/>
      <c r="AG935" s="3865"/>
      <c r="AM935" s="3041"/>
      <c r="BD935" s="3280"/>
      <c r="BF935" s="3041"/>
      <c r="BH935" s="3282"/>
    </row>
    <row r="936" spans="1:60" s="3030" customFormat="1">
      <c r="A936" s="2126"/>
      <c r="B936" s="2126"/>
      <c r="C936" s="2126"/>
      <c r="D936" s="2126"/>
      <c r="E936" s="525"/>
      <c r="F936" s="525"/>
      <c r="G936" s="525"/>
      <c r="K936" s="3280"/>
      <c r="AB936" s="3280"/>
      <c r="AG936" s="3865"/>
      <c r="AM936" s="3041"/>
      <c r="BD936" s="3280"/>
      <c r="BF936" s="3041"/>
      <c r="BH936" s="3282"/>
    </row>
    <row r="937" spans="1:60" s="3030" customFormat="1">
      <c r="A937" s="2126"/>
      <c r="B937" s="2126"/>
      <c r="C937" s="2126"/>
      <c r="D937" s="2126"/>
      <c r="E937" s="525"/>
      <c r="F937" s="525"/>
      <c r="G937" s="525"/>
      <c r="K937" s="3280"/>
      <c r="AB937" s="3280"/>
      <c r="AG937" s="3865"/>
      <c r="AM937" s="3041"/>
      <c r="BD937" s="3280"/>
      <c r="BF937" s="3041"/>
      <c r="BH937" s="3282"/>
    </row>
    <row r="938" spans="1:60" s="3030" customFormat="1">
      <c r="A938" s="2126"/>
      <c r="B938" s="2126"/>
      <c r="C938" s="2126"/>
      <c r="D938" s="2126"/>
      <c r="E938" s="525"/>
      <c r="F938" s="525"/>
      <c r="G938" s="525"/>
      <c r="K938" s="3280"/>
      <c r="AB938" s="3280"/>
      <c r="AG938" s="3865"/>
      <c r="AM938" s="3041"/>
      <c r="BD938" s="3280"/>
      <c r="BF938" s="3041"/>
      <c r="BH938" s="3282"/>
    </row>
    <row r="939" spans="1:60" s="3030" customFormat="1">
      <c r="A939" s="2126"/>
      <c r="B939" s="2126"/>
      <c r="C939" s="2126"/>
      <c r="D939" s="2126"/>
      <c r="E939" s="525"/>
      <c r="F939" s="525"/>
      <c r="G939" s="525"/>
      <c r="K939" s="3280"/>
      <c r="AB939" s="3280"/>
      <c r="AG939" s="3865"/>
      <c r="AM939" s="3041"/>
      <c r="BD939" s="3280"/>
      <c r="BF939" s="3041"/>
      <c r="BH939" s="3282"/>
    </row>
    <row r="940" spans="1:60" s="3030" customFormat="1">
      <c r="A940" s="2126"/>
      <c r="B940" s="2126"/>
      <c r="C940" s="2126"/>
      <c r="D940" s="2126"/>
      <c r="E940" s="525"/>
      <c r="F940" s="525"/>
      <c r="G940" s="525"/>
      <c r="K940" s="3280"/>
      <c r="AB940" s="3280"/>
      <c r="AG940" s="3865"/>
      <c r="AM940" s="3041"/>
      <c r="BD940" s="3280"/>
      <c r="BF940" s="3041"/>
      <c r="BH940" s="3282"/>
    </row>
    <row r="941" spans="1:60" s="3030" customFormat="1">
      <c r="A941" s="2126"/>
      <c r="B941" s="2126"/>
      <c r="C941" s="2126"/>
      <c r="D941" s="2126"/>
      <c r="E941" s="525"/>
      <c r="F941" s="525"/>
      <c r="G941" s="525"/>
      <c r="K941" s="3280"/>
      <c r="AB941" s="3280"/>
      <c r="AG941" s="3865"/>
      <c r="AM941" s="3041"/>
      <c r="BD941" s="3280"/>
      <c r="BF941" s="3041"/>
      <c r="BH941" s="3282"/>
    </row>
    <row r="942" spans="1:60" s="3030" customFormat="1">
      <c r="A942" s="2126"/>
      <c r="B942" s="2126"/>
      <c r="C942" s="2126"/>
      <c r="D942" s="2126"/>
      <c r="E942" s="525"/>
      <c r="F942" s="525"/>
      <c r="G942" s="525"/>
      <c r="K942" s="3280"/>
      <c r="AB942" s="3280"/>
      <c r="AG942" s="3865"/>
      <c r="AM942" s="3041"/>
      <c r="BD942" s="3280"/>
      <c r="BF942" s="3041"/>
      <c r="BH942" s="3282"/>
    </row>
    <row r="943" spans="1:60" s="3030" customFormat="1">
      <c r="A943" s="2126"/>
      <c r="B943" s="2126"/>
      <c r="C943" s="2126"/>
      <c r="D943" s="2126"/>
      <c r="E943" s="525"/>
      <c r="F943" s="525"/>
      <c r="G943" s="525"/>
      <c r="K943" s="3280"/>
      <c r="AB943" s="3280"/>
      <c r="AG943" s="3865"/>
      <c r="AM943" s="3041"/>
      <c r="BD943" s="3280"/>
      <c r="BF943" s="3041"/>
      <c r="BH943" s="3282"/>
    </row>
    <row r="944" spans="1:60" s="3030" customFormat="1">
      <c r="A944" s="2126"/>
      <c r="B944" s="2126"/>
      <c r="C944" s="2126"/>
      <c r="D944" s="2126"/>
      <c r="E944" s="525"/>
      <c r="F944" s="525"/>
      <c r="G944" s="525"/>
      <c r="K944" s="3280"/>
      <c r="AB944" s="3280"/>
      <c r="AG944" s="3865"/>
      <c r="AM944" s="3041"/>
      <c r="BD944" s="3280"/>
      <c r="BF944" s="3041"/>
      <c r="BH944" s="3282"/>
    </row>
    <row r="945" spans="1:60" s="3030" customFormat="1">
      <c r="A945" s="2126"/>
      <c r="B945" s="2126"/>
      <c r="C945" s="2126"/>
      <c r="D945" s="2126"/>
      <c r="E945" s="525"/>
      <c r="F945" s="525"/>
      <c r="G945" s="525"/>
      <c r="K945" s="3280"/>
      <c r="AB945" s="3280"/>
      <c r="AG945" s="3865"/>
      <c r="AM945" s="3041"/>
      <c r="BD945" s="3280"/>
      <c r="BF945" s="3041"/>
      <c r="BH945" s="3282"/>
    </row>
    <row r="946" spans="1:60" s="3030" customFormat="1">
      <c r="A946" s="2126"/>
      <c r="B946" s="2126"/>
      <c r="C946" s="2126"/>
      <c r="D946" s="2126"/>
      <c r="E946" s="525"/>
      <c r="F946" s="525"/>
      <c r="G946" s="525"/>
      <c r="K946" s="3280"/>
      <c r="AB946" s="3280"/>
      <c r="AG946" s="3865"/>
      <c r="AM946" s="3041"/>
      <c r="BD946" s="3280"/>
      <c r="BF946" s="3041"/>
      <c r="BH946" s="3282"/>
    </row>
    <row r="947" spans="1:60" s="3030" customFormat="1">
      <c r="A947" s="2126"/>
      <c r="B947" s="2126"/>
      <c r="C947" s="2126"/>
      <c r="D947" s="2126"/>
      <c r="E947" s="525"/>
      <c r="F947" s="525"/>
      <c r="G947" s="525"/>
      <c r="K947" s="3280"/>
      <c r="AB947" s="3280"/>
      <c r="AG947" s="3865"/>
      <c r="AM947" s="3041"/>
      <c r="BD947" s="3280"/>
      <c r="BF947" s="3041"/>
      <c r="BH947" s="3282"/>
    </row>
    <row r="948" spans="1:60" s="3030" customFormat="1">
      <c r="A948" s="2126"/>
      <c r="B948" s="2126"/>
      <c r="C948" s="2126"/>
      <c r="D948" s="2126"/>
      <c r="E948" s="525"/>
      <c r="F948" s="525"/>
      <c r="G948" s="525"/>
      <c r="K948" s="3280"/>
      <c r="AB948" s="3280"/>
      <c r="AG948" s="3865"/>
      <c r="AM948" s="3041"/>
      <c r="BD948" s="3280"/>
      <c r="BF948" s="3041"/>
      <c r="BH948" s="3282"/>
    </row>
    <row r="949" spans="1:60" s="3030" customFormat="1">
      <c r="A949" s="2126"/>
      <c r="B949" s="2126"/>
      <c r="C949" s="2126"/>
      <c r="D949" s="2126"/>
      <c r="E949" s="525"/>
      <c r="F949" s="525"/>
      <c r="G949" s="525"/>
      <c r="K949" s="3280"/>
      <c r="AB949" s="3280"/>
      <c r="AG949" s="3865"/>
      <c r="AM949" s="3041"/>
      <c r="BD949" s="3280"/>
      <c r="BF949" s="3041"/>
      <c r="BH949" s="3282"/>
    </row>
    <row r="950" spans="1:60" s="3030" customFormat="1">
      <c r="A950" s="2126"/>
      <c r="B950" s="2126"/>
      <c r="C950" s="2126"/>
      <c r="D950" s="2126"/>
      <c r="E950" s="525"/>
      <c r="F950" s="525"/>
      <c r="G950" s="525"/>
      <c r="K950" s="3280"/>
      <c r="AB950" s="3280"/>
      <c r="AG950" s="3865"/>
      <c r="AM950" s="3041"/>
      <c r="BD950" s="3280"/>
      <c r="BF950" s="3041"/>
      <c r="BH950" s="3282"/>
    </row>
    <row r="951" spans="1:60" s="3030" customFormat="1">
      <c r="A951" s="2126"/>
      <c r="B951" s="2126"/>
      <c r="C951" s="2126"/>
      <c r="D951" s="2126"/>
      <c r="E951" s="525"/>
      <c r="F951" s="525"/>
      <c r="G951" s="525"/>
      <c r="K951" s="3280"/>
      <c r="AB951" s="3280"/>
      <c r="AG951" s="3865"/>
      <c r="AM951" s="3041"/>
      <c r="BD951" s="3280"/>
      <c r="BF951" s="3041"/>
      <c r="BH951" s="3282"/>
    </row>
    <row r="952" spans="1:60" s="3030" customFormat="1">
      <c r="A952" s="2126"/>
      <c r="B952" s="2126"/>
      <c r="C952" s="2126"/>
      <c r="D952" s="2126"/>
      <c r="E952" s="525"/>
      <c r="F952" s="525"/>
      <c r="G952" s="525"/>
      <c r="K952" s="3280"/>
      <c r="AB952" s="3280"/>
      <c r="AG952" s="3865"/>
      <c r="AM952" s="3041"/>
      <c r="BD952" s="3280"/>
      <c r="BF952" s="3041"/>
      <c r="BH952" s="3282"/>
    </row>
    <row r="953" spans="1:60" s="3030" customFormat="1">
      <c r="A953" s="2126"/>
      <c r="B953" s="2126"/>
      <c r="C953" s="2126"/>
      <c r="D953" s="2126"/>
      <c r="E953" s="525"/>
      <c r="F953" s="525"/>
      <c r="G953" s="525"/>
      <c r="K953" s="3280"/>
      <c r="AB953" s="3280"/>
      <c r="AG953" s="3865"/>
      <c r="AM953" s="3041"/>
      <c r="BD953" s="3280"/>
      <c r="BF953" s="3041"/>
      <c r="BH953" s="3282"/>
    </row>
    <row r="954" spans="1:60" s="3030" customFormat="1">
      <c r="A954" s="2126"/>
      <c r="B954" s="2126"/>
      <c r="C954" s="2126"/>
      <c r="D954" s="2126"/>
      <c r="E954" s="525"/>
      <c r="F954" s="525"/>
      <c r="G954" s="525"/>
      <c r="K954" s="3280"/>
      <c r="AB954" s="3280"/>
      <c r="AG954" s="3865"/>
      <c r="AM954" s="3041"/>
      <c r="BD954" s="3280"/>
      <c r="BF954" s="3041"/>
      <c r="BH954" s="3282"/>
    </row>
    <row r="955" spans="1:60" s="3030" customFormat="1">
      <c r="A955" s="2126"/>
      <c r="B955" s="2126"/>
      <c r="C955" s="2126"/>
      <c r="D955" s="2126"/>
      <c r="E955" s="525"/>
      <c r="F955" s="525"/>
      <c r="G955" s="525"/>
      <c r="K955" s="3280"/>
      <c r="AB955" s="3280"/>
      <c r="AG955" s="3865"/>
      <c r="AM955" s="3041"/>
      <c r="BD955" s="3280"/>
      <c r="BF955" s="3041"/>
      <c r="BH955" s="3282"/>
    </row>
    <row r="956" spans="1:60" s="3030" customFormat="1">
      <c r="A956" s="2126"/>
      <c r="B956" s="2126"/>
      <c r="C956" s="2126"/>
      <c r="D956" s="2126"/>
      <c r="E956" s="525"/>
      <c r="F956" s="525"/>
      <c r="G956" s="525"/>
      <c r="K956" s="3280"/>
      <c r="AB956" s="3280"/>
      <c r="AG956" s="3865"/>
      <c r="AM956" s="3041"/>
      <c r="BD956" s="3280"/>
      <c r="BF956" s="3041"/>
      <c r="BH956" s="3282"/>
    </row>
    <row r="957" spans="1:60" s="3030" customFormat="1">
      <c r="A957" s="2126"/>
      <c r="B957" s="2126"/>
      <c r="C957" s="2126"/>
      <c r="D957" s="2126"/>
      <c r="E957" s="525"/>
      <c r="F957" s="525"/>
      <c r="G957" s="525"/>
      <c r="K957" s="3280"/>
      <c r="AB957" s="3280"/>
      <c r="AG957" s="3865"/>
      <c r="AM957" s="3041"/>
      <c r="BD957" s="3280"/>
      <c r="BF957" s="3041"/>
      <c r="BH957" s="3282"/>
    </row>
    <row r="958" spans="1:60" s="3030" customFormat="1">
      <c r="A958" s="2126"/>
      <c r="B958" s="2126"/>
      <c r="C958" s="2126"/>
      <c r="D958" s="2126"/>
      <c r="E958" s="525"/>
      <c r="F958" s="525"/>
      <c r="G958" s="525"/>
      <c r="K958" s="3280"/>
      <c r="AB958" s="3280"/>
      <c r="AG958" s="3865"/>
      <c r="AM958" s="3041"/>
      <c r="BD958" s="3280"/>
      <c r="BF958" s="3041"/>
      <c r="BH958" s="3282"/>
    </row>
    <row r="959" spans="1:60" s="3030" customFormat="1">
      <c r="A959" s="2126"/>
      <c r="B959" s="2126"/>
      <c r="C959" s="2126"/>
      <c r="D959" s="2126"/>
      <c r="E959" s="525"/>
      <c r="F959" s="525"/>
      <c r="G959" s="525"/>
      <c r="K959" s="3280"/>
      <c r="AB959" s="3280"/>
      <c r="AG959" s="3865"/>
      <c r="AM959" s="3041"/>
      <c r="BD959" s="3280"/>
      <c r="BF959" s="3041"/>
      <c r="BH959" s="3282"/>
    </row>
    <row r="960" spans="1:60" s="3030" customFormat="1">
      <c r="A960" s="2126"/>
      <c r="B960" s="2126"/>
      <c r="C960" s="2126"/>
      <c r="D960" s="2126"/>
      <c r="E960" s="525"/>
      <c r="F960" s="525"/>
      <c r="G960" s="525"/>
      <c r="K960" s="3280"/>
      <c r="AB960" s="3280"/>
      <c r="AG960" s="3865"/>
      <c r="AM960" s="3041"/>
      <c r="BD960" s="3280"/>
      <c r="BF960" s="3041"/>
      <c r="BH960" s="3282"/>
    </row>
    <row r="961" spans="1:60" s="3030" customFormat="1">
      <c r="A961" s="2126"/>
      <c r="B961" s="2126"/>
      <c r="C961" s="2126"/>
      <c r="D961" s="2126"/>
      <c r="E961" s="525"/>
      <c r="F961" s="525"/>
      <c r="G961" s="525"/>
      <c r="K961" s="3280"/>
      <c r="AB961" s="3280"/>
      <c r="AG961" s="3865"/>
      <c r="AM961" s="3041"/>
      <c r="BD961" s="3280"/>
      <c r="BF961" s="3041"/>
      <c r="BH961" s="3282"/>
    </row>
    <row r="962" spans="1:60" s="3030" customFormat="1">
      <c r="A962" s="2126"/>
      <c r="B962" s="2126"/>
      <c r="C962" s="2126"/>
      <c r="D962" s="2126"/>
      <c r="E962" s="525"/>
      <c r="F962" s="525"/>
      <c r="G962" s="525"/>
      <c r="K962" s="3280"/>
      <c r="AB962" s="3280"/>
      <c r="AG962" s="3865"/>
      <c r="AM962" s="3041"/>
      <c r="BD962" s="3280"/>
      <c r="BF962" s="3041"/>
      <c r="BH962" s="3282"/>
    </row>
    <row r="963" spans="1:60" s="3030" customFormat="1">
      <c r="A963" s="2126"/>
      <c r="B963" s="2126"/>
      <c r="C963" s="2126"/>
      <c r="D963" s="2126"/>
      <c r="E963" s="525"/>
      <c r="F963" s="525"/>
      <c r="G963" s="525"/>
      <c r="K963" s="3280"/>
      <c r="AB963" s="3280"/>
      <c r="AG963" s="3865"/>
      <c r="AM963" s="3041"/>
      <c r="BD963" s="3280"/>
      <c r="BF963" s="3041"/>
      <c r="BH963" s="3282"/>
    </row>
    <row r="964" spans="1:60" s="3030" customFormat="1">
      <c r="A964" s="2126"/>
      <c r="B964" s="2126"/>
      <c r="C964" s="2126"/>
      <c r="D964" s="2126"/>
      <c r="E964" s="525"/>
      <c r="F964" s="525"/>
      <c r="G964" s="525"/>
      <c r="K964" s="3280"/>
      <c r="AB964" s="3280"/>
      <c r="AG964" s="3865"/>
      <c r="AM964" s="3041"/>
      <c r="BD964" s="3280"/>
      <c r="BF964" s="3041"/>
      <c r="BH964" s="3282"/>
    </row>
    <row r="965" spans="1:60" s="3030" customFormat="1">
      <c r="A965" s="2126"/>
      <c r="B965" s="2126"/>
      <c r="C965" s="2126"/>
      <c r="D965" s="2126"/>
      <c r="E965" s="525"/>
      <c r="F965" s="525"/>
      <c r="G965" s="525"/>
      <c r="K965" s="3280"/>
      <c r="AB965" s="3280"/>
      <c r="AG965" s="3865"/>
      <c r="AM965" s="3041"/>
      <c r="BD965" s="3280"/>
      <c r="BF965" s="3041"/>
      <c r="BH965" s="3282"/>
    </row>
    <row r="966" spans="1:60" s="3030" customFormat="1">
      <c r="A966" s="2126"/>
      <c r="B966" s="2126"/>
      <c r="C966" s="2126"/>
      <c r="D966" s="2126"/>
      <c r="E966" s="525"/>
      <c r="F966" s="525"/>
      <c r="G966" s="525"/>
      <c r="K966" s="3280"/>
      <c r="AB966" s="3280"/>
      <c r="AG966" s="3865"/>
      <c r="AM966" s="3041"/>
      <c r="BD966" s="3280"/>
      <c r="BF966" s="3041"/>
      <c r="BH966" s="3282"/>
    </row>
    <row r="967" spans="1:60" s="3030" customFormat="1">
      <c r="A967" s="2126"/>
      <c r="B967" s="2126"/>
      <c r="C967" s="2126"/>
      <c r="D967" s="2126"/>
      <c r="E967" s="525"/>
      <c r="F967" s="525"/>
      <c r="G967" s="525"/>
      <c r="K967" s="3280"/>
      <c r="AB967" s="3280"/>
      <c r="AG967" s="3865"/>
      <c r="AM967" s="3041"/>
      <c r="BD967" s="3280"/>
      <c r="BF967" s="3041"/>
      <c r="BH967" s="3282"/>
    </row>
    <row r="968" spans="1:60" s="3030" customFormat="1">
      <c r="A968" s="2126"/>
      <c r="B968" s="2126"/>
      <c r="C968" s="2126"/>
      <c r="D968" s="2126"/>
      <c r="E968" s="525"/>
      <c r="F968" s="525"/>
      <c r="G968" s="525"/>
      <c r="K968" s="3280"/>
      <c r="AB968" s="3280"/>
      <c r="AG968" s="3865"/>
      <c r="AM968" s="3041"/>
      <c r="BD968" s="3280"/>
      <c r="BF968" s="3041"/>
      <c r="BH968" s="3282"/>
    </row>
    <row r="969" spans="1:60" s="3030" customFormat="1">
      <c r="A969" s="2126"/>
      <c r="B969" s="2126"/>
      <c r="C969" s="2126"/>
      <c r="D969" s="2126"/>
      <c r="E969" s="525"/>
      <c r="F969" s="525"/>
      <c r="G969" s="525"/>
      <c r="K969" s="3280"/>
      <c r="AB969" s="3280"/>
      <c r="AG969" s="3865"/>
      <c r="AM969" s="3041"/>
      <c r="BD969" s="3280"/>
      <c r="BF969" s="3041"/>
      <c r="BH969" s="3282"/>
    </row>
    <row r="970" spans="1:60" s="3030" customFormat="1">
      <c r="A970" s="2126"/>
      <c r="B970" s="2126"/>
      <c r="C970" s="2126"/>
      <c r="D970" s="2126"/>
      <c r="E970" s="525"/>
      <c r="F970" s="525"/>
      <c r="G970" s="525"/>
      <c r="K970" s="3280"/>
      <c r="AB970" s="3280"/>
      <c r="AG970" s="3865"/>
      <c r="AM970" s="3041"/>
      <c r="BD970" s="3280"/>
      <c r="BF970" s="3041"/>
      <c r="BH970" s="3282"/>
    </row>
    <row r="971" spans="1:60" s="3030" customFormat="1">
      <c r="A971" s="2126"/>
      <c r="B971" s="2126"/>
      <c r="C971" s="2126"/>
      <c r="D971" s="2126"/>
      <c r="E971" s="525"/>
      <c r="F971" s="525"/>
      <c r="G971" s="525"/>
      <c r="K971" s="3280"/>
      <c r="AB971" s="3280"/>
      <c r="AG971" s="3865"/>
      <c r="AM971" s="3041"/>
      <c r="BD971" s="3280"/>
      <c r="BF971" s="3041"/>
      <c r="BH971" s="3282"/>
    </row>
    <row r="972" spans="1:60" s="3030" customFormat="1">
      <c r="A972" s="2126"/>
      <c r="B972" s="2126"/>
      <c r="C972" s="2126"/>
      <c r="D972" s="2126"/>
      <c r="E972" s="525"/>
      <c r="F972" s="525"/>
      <c r="G972" s="525"/>
      <c r="K972" s="3280"/>
      <c r="AB972" s="3280"/>
      <c r="AG972" s="3865"/>
      <c r="AM972" s="3041"/>
      <c r="BD972" s="3280"/>
      <c r="BF972" s="3041"/>
      <c r="BH972" s="3282"/>
    </row>
    <row r="973" spans="1:60" s="3030" customFormat="1">
      <c r="A973" s="2126"/>
      <c r="B973" s="2126"/>
      <c r="C973" s="2126"/>
      <c r="D973" s="2126"/>
      <c r="E973" s="525"/>
      <c r="F973" s="525"/>
      <c r="G973" s="525"/>
      <c r="K973" s="3280"/>
      <c r="AB973" s="3280"/>
      <c r="AG973" s="3865"/>
      <c r="AM973" s="3041"/>
      <c r="BD973" s="3280"/>
      <c r="BF973" s="3041"/>
      <c r="BH973" s="3282"/>
    </row>
    <row r="974" spans="1:60" s="3030" customFormat="1">
      <c r="A974" s="2126"/>
      <c r="B974" s="2126"/>
      <c r="C974" s="2126"/>
      <c r="D974" s="2126"/>
      <c r="E974" s="525"/>
      <c r="F974" s="525"/>
      <c r="G974" s="525"/>
      <c r="K974" s="3280"/>
      <c r="AB974" s="3280"/>
      <c r="AG974" s="3865"/>
      <c r="AM974" s="3041"/>
      <c r="BD974" s="3280"/>
      <c r="BF974" s="3041"/>
      <c r="BH974" s="3282"/>
    </row>
    <row r="975" spans="1:60" s="3030" customFormat="1">
      <c r="A975" s="2126"/>
      <c r="B975" s="2126"/>
      <c r="C975" s="2126"/>
      <c r="D975" s="2126"/>
      <c r="E975" s="525"/>
      <c r="F975" s="525"/>
      <c r="G975" s="525"/>
      <c r="K975" s="3280"/>
      <c r="AB975" s="3280"/>
      <c r="AG975" s="3865"/>
      <c r="AM975" s="3041"/>
      <c r="BD975" s="3280"/>
      <c r="BF975" s="3041"/>
      <c r="BH975" s="3282"/>
    </row>
    <row r="976" spans="1:60" s="3030" customFormat="1">
      <c r="A976" s="2126"/>
      <c r="B976" s="2126"/>
      <c r="C976" s="2126"/>
      <c r="D976" s="2126"/>
      <c r="E976" s="525"/>
      <c r="F976" s="525"/>
      <c r="G976" s="525"/>
      <c r="K976" s="3280"/>
      <c r="AB976" s="3280"/>
      <c r="AG976" s="3865"/>
      <c r="AM976" s="3041"/>
      <c r="BD976" s="3280"/>
      <c r="BF976" s="3041"/>
      <c r="BH976" s="3282"/>
    </row>
    <row r="977" spans="1:60" s="3030" customFormat="1">
      <c r="A977" s="2126"/>
      <c r="B977" s="2126"/>
      <c r="C977" s="2126"/>
      <c r="D977" s="2126"/>
      <c r="E977" s="525"/>
      <c r="F977" s="525"/>
      <c r="G977" s="525"/>
      <c r="K977" s="3280"/>
      <c r="AB977" s="3280"/>
      <c r="AG977" s="3865"/>
      <c r="AM977" s="3041"/>
      <c r="BD977" s="3280"/>
      <c r="BF977" s="3041"/>
      <c r="BH977" s="3282"/>
    </row>
    <row r="978" spans="1:60" s="3030" customFormat="1">
      <c r="A978" s="2126"/>
      <c r="B978" s="2126"/>
      <c r="C978" s="2126"/>
      <c r="D978" s="2126"/>
      <c r="E978" s="525"/>
      <c r="F978" s="525"/>
      <c r="G978" s="525"/>
      <c r="K978" s="3280"/>
      <c r="AB978" s="3280"/>
      <c r="AG978" s="3865"/>
      <c r="AM978" s="3041"/>
      <c r="BD978" s="3280"/>
      <c r="BF978" s="3041"/>
      <c r="BH978" s="3282"/>
    </row>
    <row r="979" spans="1:60" s="3030" customFormat="1">
      <c r="A979" s="2126"/>
      <c r="B979" s="2126"/>
      <c r="C979" s="2126"/>
      <c r="D979" s="2126"/>
      <c r="E979" s="525"/>
      <c r="F979" s="525"/>
      <c r="G979" s="525"/>
      <c r="K979" s="3280"/>
      <c r="AB979" s="3280"/>
      <c r="AG979" s="3865"/>
      <c r="AM979" s="3041"/>
      <c r="BD979" s="3280"/>
      <c r="BF979" s="3041"/>
      <c r="BH979" s="3282"/>
    </row>
    <row r="980" spans="1:60" s="3030" customFormat="1">
      <c r="A980" s="2126"/>
      <c r="B980" s="2126"/>
      <c r="C980" s="2126"/>
      <c r="D980" s="2126"/>
      <c r="E980" s="525"/>
      <c r="F980" s="525"/>
      <c r="G980" s="525"/>
      <c r="K980" s="3280"/>
      <c r="AB980" s="3280"/>
      <c r="AG980" s="3865"/>
      <c r="AM980" s="3041"/>
      <c r="BD980" s="3280"/>
      <c r="BF980" s="3041"/>
      <c r="BH980" s="3282"/>
    </row>
    <row r="981" spans="1:60" s="3030" customFormat="1">
      <c r="A981" s="2126"/>
      <c r="B981" s="2126"/>
      <c r="C981" s="2126"/>
      <c r="D981" s="2126"/>
      <c r="E981" s="525"/>
      <c r="F981" s="525"/>
      <c r="G981" s="525"/>
      <c r="K981" s="3280"/>
      <c r="AB981" s="3280"/>
      <c r="AG981" s="3865"/>
      <c r="AM981" s="3041"/>
      <c r="BD981" s="3280"/>
      <c r="BF981" s="3041"/>
      <c r="BH981" s="3282"/>
    </row>
    <row r="982" spans="1:60" s="3030" customFormat="1">
      <c r="A982" s="2126"/>
      <c r="B982" s="2126"/>
      <c r="C982" s="2126"/>
      <c r="D982" s="2126"/>
      <c r="E982" s="525"/>
      <c r="F982" s="525"/>
      <c r="G982" s="525"/>
      <c r="K982" s="3280"/>
      <c r="AB982" s="3280"/>
      <c r="AG982" s="3865"/>
      <c r="AM982" s="3041"/>
      <c r="BD982" s="3280"/>
      <c r="BF982" s="3041"/>
      <c r="BH982" s="3282"/>
    </row>
    <row r="983" spans="1:60" s="3030" customFormat="1">
      <c r="A983" s="2126"/>
      <c r="B983" s="2126"/>
      <c r="C983" s="2126"/>
      <c r="D983" s="2126"/>
      <c r="E983" s="525"/>
      <c r="F983" s="525"/>
      <c r="G983" s="525"/>
      <c r="K983" s="3280"/>
      <c r="AB983" s="3280"/>
      <c r="AG983" s="3865"/>
      <c r="AM983" s="3041"/>
      <c r="BD983" s="3280"/>
      <c r="BF983" s="3041"/>
      <c r="BH983" s="3282"/>
    </row>
    <row r="984" spans="1:60" s="3030" customFormat="1">
      <c r="A984" s="2126"/>
      <c r="B984" s="2126"/>
      <c r="C984" s="2126"/>
      <c r="D984" s="2126"/>
      <c r="E984" s="525"/>
      <c r="F984" s="525"/>
      <c r="G984" s="525"/>
      <c r="K984" s="3280"/>
      <c r="AB984" s="3280"/>
      <c r="AG984" s="3865"/>
      <c r="AM984" s="3041"/>
      <c r="BD984" s="3280"/>
      <c r="BF984" s="3041"/>
      <c r="BH984" s="3282"/>
    </row>
    <row r="985" spans="1:60" s="3030" customFormat="1">
      <c r="A985" s="2126"/>
      <c r="B985" s="2126"/>
      <c r="C985" s="2126"/>
      <c r="D985" s="2126"/>
      <c r="E985" s="525"/>
      <c r="F985" s="525"/>
      <c r="G985" s="525"/>
      <c r="K985" s="3280"/>
      <c r="AB985" s="3280"/>
      <c r="AG985" s="3865"/>
      <c r="AM985" s="3041"/>
      <c r="BD985" s="3280"/>
      <c r="BF985" s="3041"/>
      <c r="BH985" s="3282"/>
    </row>
    <row r="986" spans="1:60" s="3030" customFormat="1">
      <c r="A986" s="2126"/>
      <c r="B986" s="2126"/>
      <c r="C986" s="2126"/>
      <c r="D986" s="2126"/>
      <c r="E986" s="525"/>
      <c r="F986" s="525"/>
      <c r="G986" s="525"/>
      <c r="K986" s="3280"/>
      <c r="AB986" s="3280"/>
      <c r="AG986" s="3865"/>
      <c r="AM986" s="3041"/>
      <c r="BD986" s="3280"/>
      <c r="BF986" s="3041"/>
      <c r="BH986" s="3282"/>
    </row>
    <row r="987" spans="1:60" s="3030" customFormat="1">
      <c r="A987" s="2126"/>
      <c r="B987" s="2126"/>
      <c r="C987" s="2126"/>
      <c r="D987" s="2126"/>
      <c r="E987" s="525"/>
      <c r="F987" s="525"/>
      <c r="G987" s="525"/>
      <c r="K987" s="3280"/>
      <c r="AB987" s="3280"/>
      <c r="AG987" s="3865"/>
      <c r="AM987" s="3041"/>
      <c r="BD987" s="3280"/>
      <c r="BF987" s="3041"/>
      <c r="BH987" s="3282"/>
    </row>
    <row r="988" spans="1:60" s="3030" customFormat="1">
      <c r="A988" s="2126"/>
      <c r="B988" s="2126"/>
      <c r="C988" s="2126"/>
      <c r="D988" s="2126"/>
      <c r="E988" s="525"/>
      <c r="F988" s="525"/>
      <c r="G988" s="525"/>
      <c r="K988" s="3280"/>
      <c r="AB988" s="3280"/>
      <c r="AG988" s="3865"/>
      <c r="AM988" s="3041"/>
      <c r="BD988" s="3280"/>
      <c r="BF988" s="3041"/>
      <c r="BH988" s="3282"/>
    </row>
    <row r="989" spans="1:60" s="3030" customFormat="1">
      <c r="A989" s="2126"/>
      <c r="B989" s="2126"/>
      <c r="C989" s="2126"/>
      <c r="D989" s="2126"/>
      <c r="E989" s="525"/>
      <c r="F989" s="525"/>
      <c r="G989" s="525"/>
      <c r="K989" s="3280"/>
      <c r="AB989" s="3280"/>
      <c r="AG989" s="3865"/>
      <c r="AM989" s="3041"/>
      <c r="BD989" s="3280"/>
      <c r="BF989" s="3041"/>
      <c r="BH989" s="3282"/>
    </row>
    <row r="990" spans="1:60" s="3030" customFormat="1">
      <c r="A990" s="2126"/>
      <c r="B990" s="2126"/>
      <c r="C990" s="2126"/>
      <c r="D990" s="2126"/>
      <c r="E990" s="525"/>
      <c r="F990" s="525"/>
      <c r="G990" s="525"/>
      <c r="K990" s="3280"/>
      <c r="AB990" s="3280"/>
      <c r="AG990" s="3865"/>
      <c r="AM990" s="3041"/>
      <c r="BD990" s="3280"/>
      <c r="BF990" s="3041"/>
      <c r="BH990" s="3282"/>
    </row>
    <row r="991" spans="1:60" s="3030" customFormat="1">
      <c r="A991" s="2126"/>
      <c r="B991" s="2126"/>
      <c r="C991" s="2126"/>
      <c r="D991" s="2126"/>
      <c r="E991" s="525"/>
      <c r="F991" s="525"/>
      <c r="G991" s="525"/>
      <c r="K991" s="3280"/>
      <c r="AB991" s="3280"/>
      <c r="AG991" s="3865"/>
      <c r="AM991" s="3041"/>
      <c r="BD991" s="3280"/>
      <c r="BF991" s="3041"/>
      <c r="BH991" s="3282"/>
    </row>
    <row r="992" spans="1:60" s="3030" customFormat="1">
      <c r="A992" s="2126"/>
      <c r="B992" s="2126"/>
      <c r="C992" s="2126"/>
      <c r="D992" s="2126"/>
      <c r="E992" s="525"/>
      <c r="F992" s="525"/>
      <c r="G992" s="525"/>
      <c r="K992" s="3280"/>
      <c r="AB992" s="3280"/>
      <c r="AG992" s="3865"/>
      <c r="AM992" s="3041"/>
      <c r="BD992" s="3280"/>
      <c r="BF992" s="3041"/>
      <c r="BH992" s="3282"/>
    </row>
    <row r="993" spans="1:60" s="3030" customFormat="1">
      <c r="A993" s="2126"/>
      <c r="B993" s="2126"/>
      <c r="C993" s="2126"/>
      <c r="D993" s="2126"/>
      <c r="E993" s="525"/>
      <c r="F993" s="525"/>
      <c r="G993" s="525"/>
      <c r="K993" s="3280"/>
      <c r="AB993" s="3280"/>
      <c r="AG993" s="3865"/>
      <c r="AM993" s="3041"/>
      <c r="BD993" s="3280"/>
      <c r="BF993" s="3041"/>
      <c r="BH993" s="3282"/>
    </row>
    <row r="994" spans="1:60" s="3030" customFormat="1">
      <c r="A994" s="2126"/>
      <c r="B994" s="2126"/>
      <c r="C994" s="2126"/>
      <c r="D994" s="2126"/>
      <c r="E994" s="525"/>
      <c r="F994" s="525"/>
      <c r="G994" s="525"/>
      <c r="K994" s="3280"/>
      <c r="AB994" s="3280"/>
      <c r="AG994" s="3865"/>
      <c r="AM994" s="3041"/>
      <c r="BD994" s="3280"/>
      <c r="BF994" s="3041"/>
      <c r="BH994" s="3282"/>
    </row>
    <row r="995" spans="1:60" s="3030" customFormat="1">
      <c r="A995" s="2126"/>
      <c r="B995" s="2126"/>
      <c r="C995" s="2126"/>
      <c r="D995" s="2126"/>
      <c r="E995" s="525"/>
      <c r="F995" s="525"/>
      <c r="G995" s="525"/>
      <c r="K995" s="3280"/>
      <c r="AB995" s="3280"/>
      <c r="AG995" s="3865"/>
      <c r="AM995" s="3041"/>
      <c r="BD995" s="3280"/>
      <c r="BF995" s="3041"/>
      <c r="BH995" s="3282"/>
    </row>
    <row r="996" spans="1:60" s="3030" customFormat="1">
      <c r="A996" s="2126"/>
      <c r="B996" s="2126"/>
      <c r="C996" s="2126"/>
      <c r="D996" s="2126"/>
      <c r="E996" s="525"/>
      <c r="F996" s="525"/>
      <c r="G996" s="525"/>
      <c r="K996" s="3280"/>
      <c r="AB996" s="3280"/>
      <c r="AG996" s="3865"/>
      <c r="AM996" s="3041"/>
      <c r="BD996" s="3280"/>
      <c r="BF996" s="3041"/>
      <c r="BH996" s="3282"/>
    </row>
    <row r="997" spans="1:60" s="3030" customFormat="1">
      <c r="A997" s="2126"/>
      <c r="B997" s="2126"/>
      <c r="C997" s="2126"/>
      <c r="D997" s="2126"/>
      <c r="E997" s="525"/>
      <c r="F997" s="525"/>
      <c r="G997" s="525"/>
      <c r="K997" s="3280"/>
      <c r="AB997" s="3280"/>
      <c r="AG997" s="3865"/>
      <c r="AM997" s="3041"/>
      <c r="BD997" s="3280"/>
      <c r="BF997" s="3041"/>
      <c r="BH997" s="3282"/>
    </row>
    <row r="998" spans="1:60" s="3030" customFormat="1">
      <c r="A998" s="2126"/>
      <c r="B998" s="2126"/>
      <c r="C998" s="2126"/>
      <c r="D998" s="2126"/>
      <c r="E998" s="525"/>
      <c r="F998" s="525"/>
      <c r="G998" s="525"/>
      <c r="K998" s="3280"/>
      <c r="AB998" s="3280"/>
      <c r="AG998" s="3865"/>
      <c r="AM998" s="3041"/>
      <c r="BD998" s="3280"/>
      <c r="BF998" s="3041"/>
      <c r="BH998" s="3282"/>
    </row>
    <row r="999" spans="1:60" s="3030" customFormat="1">
      <c r="A999" s="2126"/>
      <c r="B999" s="2126"/>
      <c r="C999" s="2126"/>
      <c r="D999" s="2126"/>
      <c r="E999" s="525"/>
      <c r="F999" s="525"/>
      <c r="G999" s="525"/>
      <c r="K999" s="3280"/>
      <c r="AB999" s="3280"/>
      <c r="AG999" s="3865"/>
      <c r="AM999" s="3041"/>
      <c r="BD999" s="3280"/>
      <c r="BF999" s="3041"/>
      <c r="BH999" s="3282"/>
    </row>
    <row r="1000" spans="1:60" s="3030" customFormat="1">
      <c r="A1000" s="2126"/>
      <c r="B1000" s="2126"/>
      <c r="C1000" s="2126"/>
      <c r="D1000" s="2126"/>
      <c r="E1000" s="525"/>
      <c r="F1000" s="525"/>
      <c r="G1000" s="525"/>
      <c r="K1000" s="3280"/>
      <c r="AB1000" s="3280"/>
      <c r="AG1000" s="3865"/>
      <c r="AM1000" s="3041"/>
      <c r="BD1000" s="3280"/>
      <c r="BF1000" s="3041"/>
      <c r="BH1000" s="3282"/>
    </row>
    <row r="1001" spans="1:60" s="3030" customFormat="1">
      <c r="A1001" s="2126"/>
      <c r="B1001" s="2126"/>
      <c r="C1001" s="2126"/>
      <c r="D1001" s="2126"/>
      <c r="E1001" s="525"/>
      <c r="F1001" s="525"/>
      <c r="G1001" s="525"/>
      <c r="K1001" s="3280"/>
      <c r="AB1001" s="3280"/>
      <c r="AG1001" s="3865"/>
      <c r="AM1001" s="3041"/>
      <c r="BD1001" s="3280"/>
      <c r="BF1001" s="3041"/>
      <c r="BH1001" s="3282"/>
    </row>
    <row r="1002" spans="1:60" s="3030" customFormat="1">
      <c r="A1002" s="2126"/>
      <c r="B1002" s="2126"/>
      <c r="C1002" s="2126"/>
      <c r="D1002" s="2126"/>
      <c r="E1002" s="525"/>
      <c r="F1002" s="525"/>
      <c r="G1002" s="525"/>
      <c r="K1002" s="3280"/>
      <c r="AB1002" s="3280"/>
      <c r="AG1002" s="3865"/>
      <c r="AM1002" s="3041"/>
      <c r="BD1002" s="3280"/>
      <c r="BF1002" s="3041"/>
      <c r="BH1002" s="3282"/>
    </row>
    <row r="1003" spans="1:60" s="3030" customFormat="1">
      <c r="A1003" s="2126"/>
      <c r="B1003" s="2126"/>
      <c r="C1003" s="2126"/>
      <c r="D1003" s="2126"/>
      <c r="E1003" s="525"/>
      <c r="F1003" s="525"/>
      <c r="G1003" s="525"/>
      <c r="K1003" s="3280"/>
      <c r="AB1003" s="3280"/>
      <c r="AG1003" s="3865"/>
      <c r="AM1003" s="3041"/>
      <c r="BD1003" s="3280"/>
      <c r="BF1003" s="3041"/>
      <c r="BH1003" s="3282"/>
    </row>
    <row r="1004" spans="1:60" s="3030" customFormat="1">
      <c r="A1004" s="2126"/>
      <c r="B1004" s="2126"/>
      <c r="C1004" s="2126"/>
      <c r="D1004" s="2126"/>
      <c r="E1004" s="525"/>
      <c r="F1004" s="525"/>
      <c r="G1004" s="525"/>
      <c r="K1004" s="3280"/>
      <c r="AB1004" s="3280"/>
      <c r="AG1004" s="3865"/>
      <c r="AM1004" s="3041"/>
      <c r="BD1004" s="3280"/>
      <c r="BF1004" s="3041"/>
      <c r="BH1004" s="3282"/>
    </row>
    <row r="1005" spans="1:60" s="3030" customFormat="1">
      <c r="A1005" s="2126"/>
      <c r="B1005" s="2126"/>
      <c r="C1005" s="2126"/>
      <c r="D1005" s="2126"/>
      <c r="E1005" s="525"/>
      <c r="F1005" s="525"/>
      <c r="G1005" s="525"/>
      <c r="K1005" s="3280"/>
      <c r="AB1005" s="3280"/>
      <c r="AG1005" s="3865"/>
      <c r="AM1005" s="3041"/>
      <c r="BD1005" s="3280"/>
      <c r="BF1005" s="3041"/>
      <c r="BH1005" s="3282"/>
    </row>
    <row r="1006" spans="1:60" s="3030" customFormat="1">
      <c r="A1006" s="2126"/>
      <c r="B1006" s="2126"/>
      <c r="C1006" s="2126"/>
      <c r="D1006" s="2126"/>
      <c r="E1006" s="525"/>
      <c r="F1006" s="525"/>
      <c r="G1006" s="525"/>
      <c r="K1006" s="3280"/>
      <c r="AB1006" s="3280"/>
      <c r="AG1006" s="3865"/>
      <c r="AM1006" s="3041"/>
      <c r="BD1006" s="3280"/>
      <c r="BF1006" s="3041"/>
      <c r="BH1006" s="3282"/>
    </row>
    <row r="1007" spans="1:60" s="3030" customFormat="1">
      <c r="A1007" s="2126"/>
      <c r="B1007" s="2126"/>
      <c r="C1007" s="2126"/>
      <c r="D1007" s="2126"/>
      <c r="E1007" s="525"/>
      <c r="F1007" s="525"/>
      <c r="G1007" s="525"/>
      <c r="K1007" s="3280"/>
      <c r="AB1007" s="3280"/>
      <c r="AG1007" s="3865"/>
      <c r="AM1007" s="3041"/>
      <c r="BD1007" s="3280"/>
      <c r="BF1007" s="3041"/>
      <c r="BH1007" s="3282"/>
    </row>
    <row r="1008" spans="1:60" s="3030" customFormat="1">
      <c r="A1008" s="2126"/>
      <c r="B1008" s="2126"/>
      <c r="C1008" s="2126"/>
      <c r="D1008" s="2126"/>
      <c r="E1008" s="525"/>
      <c r="F1008" s="525"/>
      <c r="G1008" s="525"/>
      <c r="K1008" s="3280"/>
      <c r="AB1008" s="3280"/>
      <c r="AG1008" s="3865"/>
      <c r="AM1008" s="3041"/>
      <c r="BD1008" s="3280"/>
      <c r="BF1008" s="3041"/>
      <c r="BH1008" s="3282"/>
    </row>
    <row r="1009" spans="1:60" s="3030" customFormat="1">
      <c r="A1009" s="2126"/>
      <c r="B1009" s="2126"/>
      <c r="C1009" s="2126"/>
      <c r="D1009" s="2126"/>
      <c r="E1009" s="525"/>
      <c r="F1009" s="525"/>
      <c r="G1009" s="525"/>
      <c r="K1009" s="3280"/>
      <c r="AB1009" s="3280"/>
      <c r="AG1009" s="3865"/>
      <c r="AM1009" s="3041"/>
      <c r="BD1009" s="3280"/>
      <c r="BF1009" s="3041"/>
      <c r="BH1009" s="3282"/>
    </row>
    <row r="1010" spans="1:60" s="3030" customFormat="1">
      <c r="A1010" s="2126"/>
      <c r="B1010" s="2126"/>
      <c r="C1010" s="2126"/>
      <c r="D1010" s="2126"/>
      <c r="E1010" s="525"/>
      <c r="F1010" s="525"/>
      <c r="G1010" s="525"/>
      <c r="K1010" s="3280"/>
      <c r="AB1010" s="3280"/>
      <c r="AG1010" s="3865"/>
      <c r="AM1010" s="3041"/>
      <c r="BD1010" s="3280"/>
      <c r="BF1010" s="3041"/>
      <c r="BH1010" s="3282"/>
    </row>
    <row r="1011" spans="1:60" s="3030" customFormat="1">
      <c r="A1011" s="2126"/>
      <c r="B1011" s="2126"/>
      <c r="C1011" s="2126"/>
      <c r="D1011" s="2126"/>
      <c r="E1011" s="525"/>
      <c r="F1011" s="525"/>
      <c r="G1011" s="525"/>
      <c r="K1011" s="3280"/>
      <c r="AB1011" s="3280"/>
      <c r="AG1011" s="3865"/>
      <c r="AM1011" s="3041"/>
      <c r="BD1011" s="3280"/>
      <c r="BF1011" s="3041"/>
      <c r="BH1011" s="3282"/>
    </row>
    <row r="1012" spans="1:60" s="3030" customFormat="1">
      <c r="A1012" s="2126"/>
      <c r="B1012" s="2126"/>
      <c r="C1012" s="2126"/>
      <c r="D1012" s="2126"/>
      <c r="E1012" s="525"/>
      <c r="F1012" s="525"/>
      <c r="G1012" s="525"/>
      <c r="K1012" s="3280"/>
      <c r="AB1012" s="3280"/>
      <c r="AG1012" s="3865"/>
      <c r="AM1012" s="3041"/>
      <c r="BD1012" s="3280"/>
      <c r="BF1012" s="3041"/>
      <c r="BH1012" s="3282"/>
    </row>
    <row r="1013" spans="1:60" s="3030" customFormat="1">
      <c r="A1013" s="2126"/>
      <c r="B1013" s="2126"/>
      <c r="C1013" s="2126"/>
      <c r="D1013" s="2126"/>
      <c r="E1013" s="525"/>
      <c r="F1013" s="525"/>
      <c r="G1013" s="525"/>
      <c r="K1013" s="3280"/>
      <c r="AB1013" s="3280"/>
      <c r="AG1013" s="3865"/>
      <c r="AM1013" s="3041"/>
      <c r="BD1013" s="3280"/>
      <c r="BF1013" s="3041"/>
      <c r="BH1013" s="3282"/>
    </row>
    <row r="1014" spans="1:60" s="3030" customFormat="1">
      <c r="A1014" s="2126"/>
      <c r="B1014" s="2126"/>
      <c r="C1014" s="2126"/>
      <c r="D1014" s="2126"/>
      <c r="E1014" s="525"/>
      <c r="F1014" s="525"/>
      <c r="G1014" s="525"/>
      <c r="K1014" s="3280"/>
      <c r="AB1014" s="3280"/>
      <c r="AG1014" s="3865"/>
      <c r="AM1014" s="3041"/>
      <c r="BD1014" s="3280"/>
      <c r="BF1014" s="3041"/>
      <c r="BH1014" s="3282"/>
    </row>
    <row r="1015" spans="1:60" s="3030" customFormat="1">
      <c r="A1015" s="2126"/>
      <c r="B1015" s="2126"/>
      <c r="C1015" s="2126"/>
      <c r="D1015" s="2126"/>
      <c r="E1015" s="525"/>
      <c r="F1015" s="525"/>
      <c r="G1015" s="525"/>
      <c r="K1015" s="3280"/>
      <c r="AB1015" s="3280"/>
      <c r="AG1015" s="3865"/>
      <c r="AM1015" s="3041"/>
      <c r="BD1015" s="3280"/>
      <c r="BF1015" s="3041"/>
      <c r="BH1015" s="3282"/>
    </row>
    <row r="1016" spans="1:60" s="3030" customFormat="1">
      <c r="A1016" s="2126"/>
      <c r="B1016" s="2126"/>
      <c r="C1016" s="2126"/>
      <c r="D1016" s="2126"/>
      <c r="E1016" s="525"/>
      <c r="F1016" s="525"/>
      <c r="G1016" s="525"/>
      <c r="K1016" s="3280"/>
      <c r="AB1016" s="3280"/>
      <c r="AG1016" s="3865"/>
      <c r="AM1016" s="3041"/>
      <c r="BD1016" s="3280"/>
      <c r="BF1016" s="3041"/>
      <c r="BH1016" s="3282"/>
    </row>
    <row r="1017" spans="1:60" s="3030" customFormat="1">
      <c r="A1017" s="2126"/>
      <c r="B1017" s="2126"/>
      <c r="C1017" s="2126"/>
      <c r="D1017" s="2126"/>
      <c r="E1017" s="525"/>
      <c r="F1017" s="525"/>
      <c r="G1017" s="525"/>
      <c r="K1017" s="3280"/>
      <c r="AB1017" s="3280"/>
      <c r="AG1017" s="3865"/>
      <c r="AM1017" s="3041"/>
      <c r="BD1017" s="3280"/>
      <c r="BF1017" s="3041"/>
      <c r="BH1017" s="3282"/>
    </row>
    <row r="1018" spans="1:60" s="3030" customFormat="1">
      <c r="A1018" s="2126"/>
      <c r="B1018" s="2126"/>
      <c r="C1018" s="2126"/>
      <c r="D1018" s="2126"/>
      <c r="E1018" s="525"/>
      <c r="F1018" s="525"/>
      <c r="G1018" s="525"/>
      <c r="K1018" s="3280"/>
      <c r="AB1018" s="3280"/>
      <c r="AG1018" s="3865"/>
      <c r="AM1018" s="3041"/>
      <c r="BD1018" s="3280"/>
      <c r="BF1018" s="3041"/>
      <c r="BH1018" s="3282"/>
    </row>
    <row r="1019" spans="1:60" s="3030" customFormat="1">
      <c r="A1019" s="2126"/>
      <c r="B1019" s="2126"/>
      <c r="C1019" s="2126"/>
      <c r="D1019" s="2126"/>
      <c r="E1019" s="525"/>
      <c r="F1019" s="525"/>
      <c r="G1019" s="525"/>
      <c r="K1019" s="3280"/>
      <c r="AB1019" s="3280"/>
      <c r="AG1019" s="3865"/>
      <c r="AM1019" s="3041"/>
      <c r="BD1019" s="3280"/>
      <c r="BF1019" s="3041"/>
      <c r="BH1019" s="3282"/>
    </row>
    <row r="1020" spans="1:60" s="3030" customFormat="1">
      <c r="A1020" s="2126"/>
      <c r="B1020" s="2126"/>
      <c r="C1020" s="2126"/>
      <c r="D1020" s="2126"/>
      <c r="E1020" s="525"/>
      <c r="F1020" s="525"/>
      <c r="G1020" s="525"/>
      <c r="K1020" s="3280"/>
      <c r="AB1020" s="3280"/>
      <c r="AG1020" s="3865"/>
      <c r="AM1020" s="3041"/>
      <c r="BD1020" s="3280"/>
      <c r="BF1020" s="3041"/>
      <c r="BH1020" s="3282"/>
    </row>
    <row r="1021" spans="1:60" s="3030" customFormat="1">
      <c r="A1021" s="2126"/>
      <c r="B1021" s="2126"/>
      <c r="C1021" s="2126"/>
      <c r="D1021" s="2126"/>
      <c r="E1021" s="525"/>
      <c r="F1021" s="525"/>
      <c r="G1021" s="525"/>
      <c r="K1021" s="3280"/>
      <c r="AB1021" s="3280"/>
      <c r="AG1021" s="3865"/>
      <c r="AM1021" s="3041"/>
      <c r="BD1021" s="3280"/>
      <c r="BF1021" s="3041"/>
      <c r="BH1021" s="3282"/>
    </row>
    <row r="1022" spans="1:60" s="3030" customFormat="1">
      <c r="A1022" s="2126"/>
      <c r="B1022" s="2126"/>
      <c r="C1022" s="2126"/>
      <c r="D1022" s="2126"/>
      <c r="E1022" s="525"/>
      <c r="F1022" s="525"/>
      <c r="G1022" s="525"/>
      <c r="K1022" s="3280"/>
      <c r="AB1022" s="3280"/>
      <c r="AG1022" s="3865"/>
      <c r="AM1022" s="3041"/>
      <c r="BD1022" s="3280"/>
      <c r="BF1022" s="3041"/>
      <c r="BH1022" s="3282"/>
    </row>
    <row r="1023" spans="1:60" s="3030" customFormat="1">
      <c r="A1023" s="2126"/>
      <c r="B1023" s="2126"/>
      <c r="C1023" s="2126"/>
      <c r="D1023" s="2126"/>
      <c r="E1023" s="525"/>
      <c r="F1023" s="525"/>
      <c r="G1023" s="525"/>
      <c r="K1023" s="3280"/>
      <c r="AB1023" s="3280"/>
      <c r="AG1023" s="3865"/>
      <c r="AM1023" s="3041"/>
      <c r="BD1023" s="3280"/>
      <c r="BF1023" s="3041"/>
      <c r="BH1023" s="3282"/>
    </row>
    <row r="1024" spans="1:60" s="3030" customFormat="1">
      <c r="A1024" s="2126"/>
      <c r="B1024" s="2126"/>
      <c r="C1024" s="2126"/>
      <c r="D1024" s="2126"/>
      <c r="E1024" s="525"/>
      <c r="F1024" s="525"/>
      <c r="G1024" s="525"/>
      <c r="K1024" s="3280"/>
      <c r="AB1024" s="3280"/>
      <c r="AG1024" s="3865"/>
      <c r="AM1024" s="3041"/>
      <c r="BD1024" s="3280"/>
      <c r="BF1024" s="3041"/>
      <c r="BH1024" s="3282"/>
    </row>
    <row r="1025" spans="1:60" s="3030" customFormat="1">
      <c r="A1025" s="2126"/>
      <c r="B1025" s="2126"/>
      <c r="C1025" s="2126"/>
      <c r="D1025" s="2126"/>
      <c r="E1025" s="525"/>
      <c r="F1025" s="525"/>
      <c r="G1025" s="525"/>
      <c r="K1025" s="3280"/>
      <c r="AB1025" s="3280"/>
      <c r="AG1025" s="3865"/>
      <c r="AM1025" s="3041"/>
      <c r="BD1025" s="3280"/>
      <c r="BF1025" s="3041"/>
      <c r="BH1025" s="3282"/>
    </row>
    <row r="1026" spans="1:60" s="3030" customFormat="1">
      <c r="A1026" s="2126"/>
      <c r="B1026" s="2126"/>
      <c r="C1026" s="2126"/>
      <c r="D1026" s="2126"/>
      <c r="E1026" s="525"/>
      <c r="F1026" s="525"/>
      <c r="G1026" s="525"/>
      <c r="K1026" s="3280"/>
      <c r="AB1026" s="3280"/>
      <c r="AG1026" s="3865"/>
      <c r="AM1026" s="3041"/>
      <c r="BD1026" s="3280"/>
      <c r="BF1026" s="3041"/>
      <c r="BH1026" s="3282"/>
    </row>
    <row r="1027" spans="1:60" s="3030" customFormat="1">
      <c r="A1027" s="2126"/>
      <c r="B1027" s="2126"/>
      <c r="C1027" s="2126"/>
      <c r="D1027" s="2126"/>
      <c r="E1027" s="525"/>
      <c r="F1027" s="525"/>
      <c r="G1027" s="525"/>
      <c r="K1027" s="3280"/>
      <c r="AB1027" s="3280"/>
      <c r="AG1027" s="3865"/>
      <c r="AM1027" s="3041"/>
      <c r="BD1027" s="3280"/>
      <c r="BF1027" s="3041"/>
      <c r="BH1027" s="3282"/>
    </row>
    <row r="1028" spans="1:60" s="3030" customFormat="1">
      <c r="A1028" s="2126"/>
      <c r="B1028" s="2126"/>
      <c r="C1028" s="2126"/>
      <c r="D1028" s="2126"/>
      <c r="E1028" s="525"/>
      <c r="F1028" s="525"/>
      <c r="G1028" s="525"/>
      <c r="K1028" s="3280"/>
      <c r="AB1028" s="3280"/>
      <c r="AG1028" s="3865"/>
      <c r="AM1028" s="3041"/>
      <c r="BD1028" s="3280"/>
      <c r="BF1028" s="3041"/>
      <c r="BH1028" s="3282"/>
    </row>
    <row r="1029" spans="1:60" s="3030" customFormat="1">
      <c r="A1029" s="2126"/>
      <c r="B1029" s="2126"/>
      <c r="C1029" s="2126"/>
      <c r="D1029" s="2126"/>
      <c r="E1029" s="525"/>
      <c r="F1029" s="525"/>
      <c r="G1029" s="525"/>
      <c r="K1029" s="3280"/>
      <c r="AB1029" s="3280"/>
      <c r="AG1029" s="3865"/>
      <c r="AM1029" s="3041"/>
      <c r="BD1029" s="3280"/>
      <c r="BF1029" s="3041"/>
      <c r="BH1029" s="3282"/>
    </row>
    <row r="1030" spans="1:60" s="3030" customFormat="1">
      <c r="A1030" s="2126"/>
      <c r="B1030" s="2126"/>
      <c r="C1030" s="2126"/>
      <c r="D1030" s="2126"/>
      <c r="E1030" s="525"/>
      <c r="F1030" s="525"/>
      <c r="G1030" s="525"/>
      <c r="K1030" s="3280"/>
      <c r="AB1030" s="3280"/>
      <c r="AG1030" s="3865"/>
      <c r="AM1030" s="3041"/>
      <c r="BD1030" s="3280"/>
      <c r="BF1030" s="3041"/>
      <c r="BH1030" s="3282"/>
    </row>
    <row r="1031" spans="1:60" s="3030" customFormat="1">
      <c r="A1031" s="2126"/>
      <c r="B1031" s="2126"/>
      <c r="C1031" s="2126"/>
      <c r="D1031" s="2126"/>
      <c r="E1031" s="525"/>
      <c r="F1031" s="525"/>
      <c r="G1031" s="525"/>
      <c r="K1031" s="3280"/>
      <c r="AB1031" s="3280"/>
      <c r="AG1031" s="3865"/>
      <c r="AM1031" s="3041"/>
      <c r="BD1031" s="3280"/>
      <c r="BF1031" s="3041"/>
      <c r="BH1031" s="3282"/>
    </row>
    <row r="1032" spans="1:60" s="3030" customFormat="1">
      <c r="A1032" s="2126"/>
      <c r="B1032" s="2126"/>
      <c r="C1032" s="2126"/>
      <c r="D1032" s="2126"/>
      <c r="E1032" s="525"/>
      <c r="F1032" s="525"/>
      <c r="G1032" s="525"/>
      <c r="K1032" s="3280"/>
      <c r="AB1032" s="3280"/>
      <c r="AG1032" s="3865"/>
      <c r="AM1032" s="3041"/>
      <c r="BD1032" s="3280"/>
      <c r="BF1032" s="3041"/>
      <c r="BH1032" s="3282"/>
    </row>
    <row r="1033" spans="1:60" s="3030" customFormat="1">
      <c r="A1033" s="2126"/>
      <c r="B1033" s="2126"/>
      <c r="C1033" s="2126"/>
      <c r="D1033" s="2126"/>
      <c r="E1033" s="525"/>
      <c r="F1033" s="525"/>
      <c r="G1033" s="525"/>
      <c r="K1033" s="3280"/>
      <c r="AB1033" s="3280"/>
      <c r="AG1033" s="3865"/>
      <c r="AM1033" s="3041"/>
      <c r="BD1033" s="3280"/>
      <c r="BF1033" s="3041"/>
      <c r="BH1033" s="3282"/>
    </row>
    <row r="1034" spans="1:60" s="3030" customFormat="1">
      <c r="A1034" s="2126"/>
      <c r="B1034" s="2126"/>
      <c r="C1034" s="2126"/>
      <c r="D1034" s="2126"/>
      <c r="E1034" s="525"/>
      <c r="F1034" s="525"/>
      <c r="G1034" s="525"/>
      <c r="K1034" s="3280"/>
      <c r="AB1034" s="3280"/>
      <c r="AG1034" s="3865"/>
      <c r="AM1034" s="3041"/>
      <c r="BD1034" s="3280"/>
      <c r="BF1034" s="3041"/>
      <c r="BH1034" s="3282"/>
    </row>
    <row r="1035" spans="1:60" s="3030" customFormat="1">
      <c r="A1035" s="2126"/>
      <c r="B1035" s="2126"/>
      <c r="C1035" s="2126"/>
      <c r="D1035" s="2126"/>
      <c r="E1035" s="525"/>
      <c r="F1035" s="525"/>
      <c r="G1035" s="525"/>
      <c r="K1035" s="3280"/>
      <c r="AB1035" s="3280"/>
      <c r="AG1035" s="3865"/>
      <c r="AM1035" s="3041"/>
      <c r="BD1035" s="3280"/>
      <c r="BF1035" s="3041"/>
      <c r="BH1035" s="3282"/>
    </row>
    <row r="1036" spans="1:60" s="3030" customFormat="1">
      <c r="A1036" s="2126"/>
      <c r="B1036" s="2126"/>
      <c r="C1036" s="2126"/>
      <c r="D1036" s="2126"/>
      <c r="E1036" s="525"/>
      <c r="F1036" s="525"/>
      <c r="G1036" s="525"/>
      <c r="K1036" s="3280"/>
      <c r="AB1036" s="3280"/>
      <c r="AG1036" s="3865"/>
      <c r="AM1036" s="3041"/>
      <c r="BD1036" s="3280"/>
      <c r="BF1036" s="3041"/>
      <c r="BH1036" s="3282"/>
    </row>
    <row r="1037" spans="1:60" s="3030" customFormat="1">
      <c r="A1037" s="2126"/>
      <c r="B1037" s="2126"/>
      <c r="C1037" s="2126"/>
      <c r="D1037" s="2126"/>
      <c r="E1037" s="525"/>
      <c r="F1037" s="525"/>
      <c r="G1037" s="525"/>
      <c r="K1037" s="3280"/>
      <c r="AB1037" s="3280"/>
      <c r="AG1037" s="3865"/>
      <c r="AM1037" s="3041"/>
      <c r="BD1037" s="3280"/>
      <c r="BF1037" s="3041"/>
      <c r="BH1037" s="3282"/>
    </row>
    <row r="1038" spans="1:60" s="3030" customFormat="1">
      <c r="A1038" s="2126"/>
      <c r="B1038" s="2126"/>
      <c r="C1038" s="2126"/>
      <c r="D1038" s="2126"/>
      <c r="E1038" s="525"/>
      <c r="F1038" s="525"/>
      <c r="G1038" s="525"/>
      <c r="K1038" s="3280"/>
      <c r="AB1038" s="3280"/>
      <c r="AG1038" s="3865"/>
      <c r="AM1038" s="3041"/>
      <c r="BD1038" s="3280"/>
      <c r="BF1038" s="3041"/>
      <c r="BH1038" s="3282"/>
    </row>
    <row r="1039" spans="1:60" s="3030" customFormat="1">
      <c r="A1039" s="2126"/>
      <c r="B1039" s="2126"/>
      <c r="C1039" s="2126"/>
      <c r="D1039" s="2126"/>
      <c r="E1039" s="525"/>
      <c r="F1039" s="525"/>
      <c r="G1039" s="525"/>
      <c r="K1039" s="3280"/>
      <c r="AB1039" s="3280"/>
      <c r="AG1039" s="3865"/>
      <c r="AM1039" s="3041"/>
      <c r="BD1039" s="3280"/>
      <c r="BF1039" s="3041"/>
      <c r="BH1039" s="3282"/>
    </row>
    <row r="1040" spans="1:60" s="3030" customFormat="1">
      <c r="A1040" s="2126"/>
      <c r="B1040" s="2126"/>
      <c r="C1040" s="2126"/>
      <c r="D1040" s="2126"/>
      <c r="E1040" s="525"/>
      <c r="F1040" s="525"/>
      <c r="G1040" s="525"/>
      <c r="K1040" s="3280"/>
      <c r="AB1040" s="3280"/>
      <c r="AG1040" s="3865"/>
      <c r="AM1040" s="3041"/>
      <c r="BD1040" s="3280"/>
      <c r="BF1040" s="3041"/>
      <c r="BH1040" s="3282"/>
    </row>
    <row r="1041" spans="1:60" s="3030" customFormat="1">
      <c r="A1041" s="2126"/>
      <c r="B1041" s="2126"/>
      <c r="C1041" s="2126"/>
      <c r="D1041" s="2126"/>
      <c r="E1041" s="525"/>
      <c r="F1041" s="525"/>
      <c r="G1041" s="525"/>
      <c r="K1041" s="3280"/>
      <c r="AB1041" s="3280"/>
      <c r="AG1041" s="3865"/>
      <c r="AM1041" s="3041"/>
      <c r="BD1041" s="3280"/>
      <c r="BF1041" s="3041"/>
      <c r="BH1041" s="3282"/>
    </row>
    <row r="1042" spans="1:60" s="3030" customFormat="1">
      <c r="A1042" s="2126"/>
      <c r="B1042" s="2126"/>
      <c r="C1042" s="2126"/>
      <c r="D1042" s="2126"/>
      <c r="E1042" s="525"/>
      <c r="F1042" s="525"/>
      <c r="G1042" s="525"/>
      <c r="K1042" s="3280"/>
      <c r="AB1042" s="3280"/>
      <c r="AG1042" s="3865"/>
      <c r="AM1042" s="3041"/>
      <c r="BD1042" s="3280"/>
      <c r="BF1042" s="3041"/>
      <c r="BH1042" s="3282"/>
    </row>
    <row r="1043" spans="1:60" s="3030" customFormat="1">
      <c r="A1043" s="2126"/>
      <c r="B1043" s="2126"/>
      <c r="C1043" s="2126"/>
      <c r="D1043" s="2126"/>
      <c r="E1043" s="525"/>
      <c r="F1043" s="525"/>
      <c r="G1043" s="525"/>
      <c r="K1043" s="3280"/>
      <c r="AB1043" s="3280"/>
      <c r="AG1043" s="3865"/>
      <c r="AM1043" s="3041"/>
      <c r="BD1043" s="3280"/>
      <c r="BF1043" s="3041"/>
      <c r="BH1043" s="3282"/>
    </row>
    <row r="1044" spans="1:60" s="3030" customFormat="1">
      <c r="A1044" s="2126"/>
      <c r="B1044" s="2126"/>
      <c r="C1044" s="2126"/>
      <c r="D1044" s="2126"/>
      <c r="E1044" s="525"/>
      <c r="F1044" s="525"/>
      <c r="G1044" s="525"/>
      <c r="K1044" s="3280"/>
      <c r="AB1044" s="3280"/>
      <c r="AG1044" s="3865"/>
      <c r="AM1044" s="3041"/>
      <c r="BD1044" s="3280"/>
      <c r="BF1044" s="3041"/>
      <c r="BH1044" s="3282"/>
    </row>
    <row r="1045" spans="1:60" s="3030" customFormat="1">
      <c r="A1045" s="2126"/>
      <c r="B1045" s="2126"/>
      <c r="C1045" s="2126"/>
      <c r="D1045" s="2126"/>
      <c r="E1045" s="525"/>
      <c r="F1045" s="525"/>
      <c r="G1045" s="525"/>
      <c r="K1045" s="3280"/>
      <c r="AB1045" s="3280"/>
      <c r="AG1045" s="3865"/>
      <c r="AM1045" s="3041"/>
      <c r="BD1045" s="3280"/>
      <c r="BF1045" s="3041"/>
      <c r="BH1045" s="3282"/>
    </row>
    <row r="1046" spans="1:60" s="3030" customFormat="1">
      <c r="A1046" s="2126"/>
      <c r="B1046" s="2126"/>
      <c r="C1046" s="2126"/>
      <c r="D1046" s="2126"/>
      <c r="E1046" s="525"/>
      <c r="F1046" s="525"/>
      <c r="G1046" s="525"/>
      <c r="K1046" s="3280"/>
      <c r="AB1046" s="3280"/>
      <c r="AG1046" s="3865"/>
      <c r="AM1046" s="3041"/>
      <c r="BD1046" s="3280"/>
      <c r="BF1046" s="3041"/>
      <c r="BH1046" s="3282"/>
    </row>
    <row r="1047" spans="1:60" s="3030" customFormat="1">
      <c r="A1047" s="2126"/>
      <c r="B1047" s="2126"/>
      <c r="C1047" s="2126"/>
      <c r="D1047" s="2126"/>
      <c r="E1047" s="525"/>
      <c r="F1047" s="525"/>
      <c r="G1047" s="525"/>
      <c r="K1047" s="3280"/>
      <c r="AB1047" s="3280"/>
      <c r="AG1047" s="3865"/>
      <c r="AM1047" s="3041"/>
      <c r="BD1047" s="3280"/>
      <c r="BF1047" s="3041"/>
      <c r="BH1047" s="3282"/>
    </row>
    <row r="1048" spans="1:60" s="3030" customFormat="1">
      <c r="A1048" s="2126"/>
      <c r="B1048" s="2126"/>
      <c r="C1048" s="2126"/>
      <c r="D1048" s="2126"/>
      <c r="E1048" s="525"/>
      <c r="F1048" s="525"/>
      <c r="G1048" s="525"/>
      <c r="K1048" s="3280"/>
      <c r="AB1048" s="3280"/>
      <c r="AG1048" s="3865"/>
      <c r="AM1048" s="3041"/>
      <c r="BD1048" s="3280"/>
      <c r="BF1048" s="3041"/>
      <c r="BH1048" s="3282"/>
    </row>
    <row r="1049" spans="1:60" s="3030" customFormat="1">
      <c r="A1049" s="2126"/>
      <c r="B1049" s="2126"/>
      <c r="C1049" s="2126"/>
      <c r="D1049" s="2126"/>
      <c r="E1049" s="525"/>
      <c r="F1049" s="525"/>
      <c r="G1049" s="525"/>
      <c r="K1049" s="3280"/>
      <c r="AB1049" s="3280"/>
      <c r="AG1049" s="3865"/>
      <c r="AM1049" s="3041"/>
      <c r="BD1049" s="3280"/>
      <c r="BF1049" s="3041"/>
      <c r="BH1049" s="3282"/>
    </row>
    <row r="1050" spans="1:60" s="3030" customFormat="1">
      <c r="A1050" s="2126"/>
      <c r="B1050" s="2126"/>
      <c r="C1050" s="2126"/>
      <c r="D1050" s="2126"/>
      <c r="E1050" s="525"/>
      <c r="F1050" s="525"/>
      <c r="G1050" s="525"/>
      <c r="K1050" s="3280"/>
      <c r="AB1050" s="3280"/>
      <c r="AG1050" s="3865"/>
      <c r="AM1050" s="3041"/>
      <c r="BD1050" s="3280"/>
      <c r="BF1050" s="3041"/>
      <c r="BH1050" s="3282"/>
    </row>
    <row r="1051" spans="1:60" s="3030" customFormat="1">
      <c r="A1051" s="2126"/>
      <c r="B1051" s="2126"/>
      <c r="C1051" s="2126"/>
      <c r="D1051" s="2126"/>
      <c r="E1051" s="525"/>
      <c r="F1051" s="525"/>
      <c r="G1051" s="525"/>
      <c r="K1051" s="3280"/>
      <c r="AB1051" s="3280"/>
      <c r="AG1051" s="3865"/>
      <c r="AM1051" s="3041"/>
      <c r="BD1051" s="3280"/>
      <c r="BF1051" s="3041"/>
      <c r="BH1051" s="3282"/>
    </row>
    <row r="1052" spans="1:60" s="3030" customFormat="1">
      <c r="A1052" s="2126"/>
      <c r="B1052" s="2126"/>
      <c r="C1052" s="2126"/>
      <c r="D1052" s="2126"/>
      <c r="E1052" s="525"/>
      <c r="F1052" s="525"/>
      <c r="G1052" s="525"/>
      <c r="K1052" s="3280"/>
      <c r="AB1052" s="3280"/>
      <c r="AG1052" s="3865"/>
      <c r="AM1052" s="3041"/>
      <c r="BD1052" s="3280"/>
      <c r="BF1052" s="3041"/>
      <c r="BH1052" s="3282"/>
    </row>
    <row r="1053" spans="1:60" s="3030" customFormat="1">
      <c r="A1053" s="2126"/>
      <c r="B1053" s="2126"/>
      <c r="C1053" s="2126"/>
      <c r="D1053" s="2126"/>
      <c r="E1053" s="525"/>
      <c r="F1053" s="525"/>
      <c r="G1053" s="525"/>
      <c r="K1053" s="3280"/>
      <c r="AB1053" s="3280"/>
      <c r="AG1053" s="3865"/>
      <c r="AM1053" s="3041"/>
      <c r="BD1053" s="3280"/>
      <c r="BF1053" s="3041"/>
      <c r="BH1053" s="3282"/>
    </row>
    <row r="1054" spans="1:60" s="3030" customFormat="1">
      <c r="A1054" s="2126"/>
      <c r="B1054" s="2126"/>
      <c r="C1054" s="2126"/>
      <c r="D1054" s="2126"/>
      <c r="E1054" s="525"/>
      <c r="F1054" s="525"/>
      <c r="G1054" s="525"/>
      <c r="K1054" s="3280"/>
      <c r="AB1054" s="3280"/>
      <c r="AG1054" s="3865"/>
      <c r="AM1054" s="3041"/>
      <c r="BD1054" s="3280"/>
      <c r="BF1054" s="3041"/>
      <c r="BH1054" s="3282"/>
    </row>
    <row r="1055" spans="1:60" s="3030" customFormat="1">
      <c r="A1055" s="2126"/>
      <c r="B1055" s="2126"/>
      <c r="C1055" s="2126"/>
      <c r="D1055" s="2126"/>
      <c r="E1055" s="525"/>
      <c r="F1055" s="525"/>
      <c r="G1055" s="525"/>
      <c r="K1055" s="3280"/>
      <c r="AB1055" s="3280"/>
      <c r="AG1055" s="3865"/>
      <c r="AM1055" s="3041"/>
      <c r="BD1055" s="3280"/>
      <c r="BF1055" s="3041"/>
      <c r="BH1055" s="3282"/>
    </row>
    <row r="1056" spans="1:60" s="3030" customFormat="1">
      <c r="A1056" s="2126"/>
      <c r="B1056" s="2126"/>
      <c r="C1056" s="2126"/>
      <c r="D1056" s="2126"/>
      <c r="E1056" s="525"/>
      <c r="F1056" s="525"/>
      <c r="G1056" s="525"/>
      <c r="K1056" s="3280"/>
      <c r="AB1056" s="3280"/>
      <c r="AG1056" s="3865"/>
      <c r="AM1056" s="3041"/>
      <c r="BD1056" s="3280"/>
      <c r="BF1056" s="3041"/>
      <c r="BH1056" s="3282"/>
    </row>
    <row r="1057" spans="1:60" s="3030" customFormat="1">
      <c r="A1057" s="2126"/>
      <c r="B1057" s="2126"/>
      <c r="C1057" s="2126"/>
      <c r="D1057" s="2126"/>
      <c r="E1057" s="525"/>
      <c r="F1057" s="525"/>
      <c r="G1057" s="525"/>
      <c r="K1057" s="3280"/>
      <c r="AB1057" s="3280"/>
      <c r="AG1057" s="3865"/>
      <c r="AM1057" s="3041"/>
      <c r="BD1057" s="3280"/>
      <c r="BF1057" s="3041"/>
      <c r="BH1057" s="3282"/>
    </row>
    <row r="1058" spans="1:60" s="3030" customFormat="1">
      <c r="A1058" s="2126"/>
      <c r="B1058" s="2126"/>
      <c r="C1058" s="2126"/>
      <c r="D1058" s="2126"/>
      <c r="E1058" s="525"/>
      <c r="F1058" s="525"/>
      <c r="G1058" s="525"/>
      <c r="K1058" s="3280"/>
      <c r="AB1058" s="3280"/>
      <c r="AG1058" s="3865"/>
      <c r="AM1058" s="3041"/>
      <c r="BD1058" s="3280"/>
      <c r="BF1058" s="3041"/>
      <c r="BH1058" s="3282"/>
    </row>
    <row r="1059" spans="1:60" s="3030" customFormat="1">
      <c r="A1059" s="2126"/>
      <c r="B1059" s="2126"/>
      <c r="C1059" s="2126"/>
      <c r="D1059" s="2126"/>
      <c r="E1059" s="525"/>
      <c r="F1059" s="525"/>
      <c r="G1059" s="525"/>
      <c r="K1059" s="3280"/>
      <c r="AB1059" s="3280"/>
      <c r="AG1059" s="3865"/>
      <c r="AM1059" s="3041"/>
      <c r="BD1059" s="3280"/>
      <c r="BF1059" s="3041"/>
      <c r="BH1059" s="3282"/>
    </row>
    <row r="1060" spans="1:60" s="3030" customFormat="1">
      <c r="A1060" s="2126"/>
      <c r="B1060" s="2126"/>
      <c r="C1060" s="2126"/>
      <c r="D1060" s="2126"/>
      <c r="E1060" s="525"/>
      <c r="F1060" s="525"/>
      <c r="G1060" s="525"/>
      <c r="K1060" s="3280"/>
      <c r="AB1060" s="3280"/>
      <c r="AG1060" s="3865"/>
      <c r="AM1060" s="3041"/>
      <c r="BD1060" s="3280"/>
      <c r="BF1060" s="3041"/>
      <c r="BH1060" s="3282"/>
    </row>
    <row r="1061" spans="1:60" s="3030" customFormat="1">
      <c r="A1061" s="2126"/>
      <c r="B1061" s="2126"/>
      <c r="C1061" s="2126"/>
      <c r="D1061" s="2126"/>
      <c r="E1061" s="525"/>
      <c r="F1061" s="525"/>
      <c r="G1061" s="525"/>
      <c r="K1061" s="3280"/>
      <c r="AB1061" s="3280"/>
      <c r="AG1061" s="3865"/>
      <c r="AM1061" s="3041"/>
      <c r="BD1061" s="3280"/>
      <c r="BF1061" s="3041"/>
      <c r="BH1061" s="3282"/>
    </row>
    <row r="1062" spans="1:60" s="3030" customFormat="1">
      <c r="A1062" s="2126"/>
      <c r="B1062" s="2126"/>
      <c r="C1062" s="2126"/>
      <c r="D1062" s="2126"/>
      <c r="E1062" s="525"/>
      <c r="F1062" s="525"/>
      <c r="G1062" s="525"/>
      <c r="K1062" s="3280"/>
      <c r="AB1062" s="3280"/>
      <c r="AG1062" s="3865"/>
      <c r="AM1062" s="3041"/>
      <c r="BD1062" s="3280"/>
      <c r="BF1062" s="3041"/>
      <c r="BH1062" s="3282"/>
    </row>
    <row r="1063" spans="1:60" s="3030" customFormat="1">
      <c r="A1063" s="2126"/>
      <c r="B1063" s="2126"/>
      <c r="C1063" s="2126"/>
      <c r="D1063" s="2126"/>
      <c r="E1063" s="525"/>
      <c r="F1063" s="525"/>
      <c r="G1063" s="525"/>
      <c r="K1063" s="3280"/>
      <c r="AB1063" s="3280"/>
      <c r="AG1063" s="3865"/>
      <c r="AM1063" s="3041"/>
      <c r="BD1063" s="3280"/>
      <c r="BF1063" s="3041"/>
      <c r="BH1063" s="3282"/>
    </row>
    <row r="1064" spans="1:60" s="3030" customFormat="1">
      <c r="A1064" s="2126"/>
      <c r="B1064" s="2126"/>
      <c r="C1064" s="2126"/>
      <c r="D1064" s="2126"/>
      <c r="E1064" s="525"/>
      <c r="F1064" s="525"/>
      <c r="G1064" s="525"/>
      <c r="K1064" s="3280"/>
      <c r="AB1064" s="3280"/>
      <c r="AG1064" s="3865"/>
      <c r="AM1064" s="3041"/>
      <c r="BD1064" s="3280"/>
      <c r="BF1064" s="3041"/>
      <c r="BH1064" s="3282"/>
    </row>
    <row r="1065" spans="1:60" s="3030" customFormat="1">
      <c r="A1065" s="2126"/>
      <c r="B1065" s="2126"/>
      <c r="C1065" s="2126"/>
      <c r="D1065" s="2126"/>
      <c r="E1065" s="525"/>
      <c r="F1065" s="525"/>
      <c r="G1065" s="525"/>
      <c r="K1065" s="3280"/>
      <c r="AB1065" s="3280"/>
      <c r="AG1065" s="3865"/>
      <c r="AM1065" s="3041"/>
      <c r="BD1065" s="3280"/>
      <c r="BF1065" s="3041"/>
      <c r="BH1065" s="3282"/>
    </row>
    <row r="1066" spans="1:60" s="3030" customFormat="1">
      <c r="A1066" s="2126"/>
      <c r="B1066" s="2126"/>
      <c r="C1066" s="2126"/>
      <c r="D1066" s="2126"/>
      <c r="E1066" s="525"/>
      <c r="F1066" s="525"/>
      <c r="G1066" s="525"/>
      <c r="K1066" s="3280"/>
      <c r="AB1066" s="3280"/>
      <c r="AG1066" s="3865"/>
      <c r="AM1066" s="3041"/>
      <c r="BD1066" s="3280"/>
      <c r="BF1066" s="3041"/>
      <c r="BH1066" s="3282"/>
    </row>
    <row r="1067" spans="1:60" s="3030" customFormat="1">
      <c r="A1067" s="2126"/>
      <c r="B1067" s="2126"/>
      <c r="C1067" s="2126"/>
      <c r="D1067" s="2126"/>
      <c r="E1067" s="525"/>
      <c r="F1067" s="525"/>
      <c r="G1067" s="525"/>
      <c r="K1067" s="3280"/>
      <c r="AB1067" s="3280"/>
      <c r="AG1067" s="3865"/>
      <c r="AM1067" s="3041"/>
      <c r="BD1067" s="3280"/>
      <c r="BF1067" s="3041"/>
      <c r="BH1067" s="3282"/>
    </row>
    <row r="1068" spans="1:60" s="3030" customFormat="1">
      <c r="A1068" s="2126"/>
      <c r="B1068" s="2126"/>
      <c r="C1068" s="2126"/>
      <c r="D1068" s="2126"/>
      <c r="E1068" s="525"/>
      <c r="F1068" s="525"/>
      <c r="G1068" s="525"/>
      <c r="K1068" s="3280"/>
      <c r="AB1068" s="3280"/>
      <c r="AG1068" s="3865"/>
      <c r="AM1068" s="3041"/>
      <c r="BD1068" s="3280"/>
      <c r="BF1068" s="3041"/>
      <c r="BH1068" s="3282"/>
    </row>
    <row r="1069" spans="1:60" s="3030" customFormat="1">
      <c r="A1069" s="2126"/>
      <c r="B1069" s="2126"/>
      <c r="C1069" s="2126"/>
      <c r="D1069" s="2126"/>
      <c r="E1069" s="525"/>
      <c r="F1069" s="525"/>
      <c r="G1069" s="525"/>
      <c r="K1069" s="3280"/>
      <c r="AB1069" s="3280"/>
      <c r="AG1069" s="3865"/>
      <c r="AM1069" s="3041"/>
      <c r="BD1069" s="3280"/>
      <c r="BF1069" s="3041"/>
      <c r="BH1069" s="3282"/>
    </row>
    <row r="1070" spans="1:60" s="3030" customFormat="1">
      <c r="A1070" s="2126"/>
      <c r="B1070" s="2126"/>
      <c r="C1070" s="2126"/>
      <c r="D1070" s="2126"/>
      <c r="E1070" s="525"/>
      <c r="F1070" s="525"/>
      <c r="G1070" s="525"/>
      <c r="K1070" s="3280"/>
      <c r="AB1070" s="3280"/>
      <c r="AG1070" s="3865"/>
      <c r="AM1070" s="3041"/>
      <c r="BD1070" s="3280"/>
      <c r="BF1070" s="3041"/>
      <c r="BH1070" s="3282"/>
    </row>
    <row r="1071" spans="1:60" s="3030" customFormat="1">
      <c r="A1071" s="2126"/>
      <c r="B1071" s="2126"/>
      <c r="C1071" s="2126"/>
      <c r="D1071" s="2126"/>
      <c r="E1071" s="525"/>
      <c r="F1071" s="525"/>
      <c r="G1071" s="525"/>
      <c r="K1071" s="3280"/>
      <c r="AB1071" s="3280"/>
      <c r="AG1071" s="3865"/>
      <c r="AM1071" s="3041"/>
      <c r="BD1071" s="3280"/>
      <c r="BF1071" s="3041"/>
      <c r="BH1071" s="3282"/>
    </row>
    <row r="1072" spans="1:60" s="3030" customFormat="1">
      <c r="A1072" s="2126"/>
      <c r="B1072" s="2126"/>
      <c r="C1072" s="2126"/>
      <c r="D1072" s="2126"/>
      <c r="E1072" s="525"/>
      <c r="F1072" s="525"/>
      <c r="G1072" s="525"/>
      <c r="K1072" s="3280"/>
      <c r="AB1072" s="3280"/>
      <c r="AG1072" s="3865"/>
      <c r="AM1072" s="3041"/>
      <c r="BD1072" s="3280"/>
      <c r="BF1072" s="3041"/>
      <c r="BH1072" s="3282"/>
    </row>
    <row r="1073" spans="1:60" s="3030" customFormat="1">
      <c r="A1073" s="2126"/>
      <c r="B1073" s="2126"/>
      <c r="C1073" s="2126"/>
      <c r="D1073" s="2126"/>
      <c r="E1073" s="525"/>
      <c r="F1073" s="525"/>
      <c r="G1073" s="525"/>
      <c r="K1073" s="3280"/>
      <c r="AB1073" s="3280"/>
      <c r="AG1073" s="3865"/>
      <c r="AM1073" s="3041"/>
      <c r="BD1073" s="3280"/>
      <c r="BF1073" s="3041"/>
      <c r="BH1073" s="3282"/>
    </row>
    <row r="1074" spans="1:60" s="3030" customFormat="1">
      <c r="A1074" s="2126"/>
      <c r="B1074" s="2126"/>
      <c r="C1074" s="2126"/>
      <c r="D1074" s="2126"/>
      <c r="E1074" s="525"/>
      <c r="F1074" s="525"/>
      <c r="G1074" s="525"/>
      <c r="K1074" s="3280"/>
      <c r="AB1074" s="3280"/>
      <c r="AG1074" s="3865"/>
      <c r="AM1074" s="3041"/>
      <c r="BD1074" s="3280"/>
      <c r="BF1074" s="3041"/>
      <c r="BH1074" s="3282"/>
    </row>
    <row r="1075" spans="1:60" s="3030" customFormat="1">
      <c r="A1075" s="2126"/>
      <c r="B1075" s="2126"/>
      <c r="C1075" s="2126"/>
      <c r="D1075" s="2126"/>
      <c r="E1075" s="525"/>
      <c r="F1075" s="525"/>
      <c r="G1075" s="525"/>
      <c r="K1075" s="3280"/>
      <c r="AB1075" s="3280"/>
      <c r="AG1075" s="3865"/>
      <c r="AM1075" s="3041"/>
      <c r="BD1075" s="3280"/>
      <c r="BF1075" s="3041"/>
      <c r="BH1075" s="3282"/>
    </row>
    <row r="1076" spans="1:60" s="3030" customFormat="1">
      <c r="A1076" s="2126"/>
      <c r="B1076" s="2126"/>
      <c r="C1076" s="2126"/>
      <c r="D1076" s="2126"/>
      <c r="E1076" s="525"/>
      <c r="F1076" s="525"/>
      <c r="G1076" s="525"/>
      <c r="K1076" s="3280"/>
      <c r="AB1076" s="3280"/>
      <c r="AG1076" s="3865"/>
      <c r="AM1076" s="3041"/>
      <c r="BD1076" s="3280"/>
      <c r="BF1076" s="3041"/>
      <c r="BH1076" s="3282"/>
    </row>
    <row r="1077" spans="1:60" s="3030" customFormat="1">
      <c r="A1077" s="2126"/>
      <c r="B1077" s="2126"/>
      <c r="C1077" s="2126"/>
      <c r="D1077" s="2126"/>
      <c r="E1077" s="525"/>
      <c r="F1077" s="525"/>
      <c r="G1077" s="525"/>
      <c r="K1077" s="3280"/>
      <c r="AB1077" s="3280"/>
      <c r="AG1077" s="3865"/>
      <c r="AM1077" s="3041"/>
      <c r="BD1077" s="3280"/>
      <c r="BF1077" s="3041"/>
      <c r="BH1077" s="3282"/>
    </row>
    <row r="1078" spans="1:60" s="3030" customFormat="1">
      <c r="A1078" s="2126"/>
      <c r="B1078" s="2126"/>
      <c r="C1078" s="2126"/>
      <c r="D1078" s="2126"/>
      <c r="E1078" s="525"/>
      <c r="F1078" s="525"/>
      <c r="G1078" s="525"/>
      <c r="K1078" s="3280"/>
      <c r="AB1078" s="3280"/>
      <c r="AG1078" s="3865"/>
      <c r="AM1078" s="3041"/>
      <c r="BD1078" s="3280"/>
      <c r="BF1078" s="3041"/>
      <c r="BH1078" s="3282"/>
    </row>
    <row r="1079" spans="1:60" s="3030" customFormat="1">
      <c r="A1079" s="2126"/>
      <c r="B1079" s="2126"/>
      <c r="C1079" s="2126"/>
      <c r="D1079" s="2126"/>
      <c r="E1079" s="525"/>
      <c r="F1079" s="525"/>
      <c r="G1079" s="525"/>
      <c r="K1079" s="3280"/>
      <c r="AB1079" s="3280"/>
      <c r="AG1079" s="3865"/>
      <c r="AM1079" s="3041"/>
      <c r="BD1079" s="3280"/>
      <c r="BF1079" s="3041"/>
      <c r="BH1079" s="3282"/>
    </row>
    <row r="1080" spans="1:60" s="3030" customFormat="1">
      <c r="A1080" s="2126"/>
      <c r="B1080" s="2126"/>
      <c r="C1080" s="2126"/>
      <c r="D1080" s="2126"/>
      <c r="E1080" s="525"/>
      <c r="F1080" s="525"/>
      <c r="G1080" s="525"/>
      <c r="K1080" s="3280"/>
      <c r="AB1080" s="3280"/>
      <c r="AG1080" s="3865"/>
      <c r="AM1080" s="3041"/>
      <c r="BD1080" s="3280"/>
      <c r="BF1080" s="3041"/>
      <c r="BH1080" s="3282"/>
    </row>
    <row r="1081" spans="1:60" s="3030" customFormat="1">
      <c r="A1081" s="2126"/>
      <c r="B1081" s="2126"/>
      <c r="C1081" s="2126"/>
      <c r="D1081" s="2126"/>
      <c r="E1081" s="525"/>
      <c r="F1081" s="525"/>
      <c r="G1081" s="525"/>
      <c r="K1081" s="3280"/>
      <c r="AB1081" s="3280"/>
      <c r="AG1081" s="3865"/>
      <c r="AM1081" s="3041"/>
      <c r="BD1081" s="3280"/>
      <c r="BF1081" s="3041"/>
      <c r="BH1081" s="3282"/>
    </row>
    <row r="1082" spans="1:60" s="3030" customFormat="1">
      <c r="A1082" s="2126"/>
      <c r="B1082" s="2126"/>
      <c r="C1082" s="2126"/>
      <c r="D1082" s="2126"/>
      <c r="E1082" s="525"/>
      <c r="F1082" s="525"/>
      <c r="G1082" s="525"/>
      <c r="K1082" s="3280"/>
      <c r="AB1082" s="3280"/>
      <c r="AG1082" s="3865"/>
      <c r="AM1082" s="3041"/>
      <c r="BD1082" s="3280"/>
      <c r="BF1082" s="3041"/>
      <c r="BH1082" s="3282"/>
    </row>
    <row r="1083" spans="1:60" s="3030" customFormat="1">
      <c r="A1083" s="2126"/>
      <c r="B1083" s="2126"/>
      <c r="C1083" s="2126"/>
      <c r="D1083" s="2126"/>
      <c r="E1083" s="525"/>
      <c r="F1083" s="525"/>
      <c r="G1083" s="525"/>
      <c r="K1083" s="3280"/>
      <c r="AB1083" s="3280"/>
      <c r="AG1083" s="3865"/>
      <c r="AM1083" s="3041"/>
      <c r="BD1083" s="3280"/>
      <c r="BF1083" s="3041"/>
      <c r="BH1083" s="3282"/>
    </row>
    <row r="1084" spans="1:60" s="3030" customFormat="1">
      <c r="A1084" s="2126"/>
      <c r="B1084" s="2126"/>
      <c r="C1084" s="2126"/>
      <c r="D1084" s="2126"/>
      <c r="E1084" s="525"/>
      <c r="F1084" s="525"/>
      <c r="G1084" s="525"/>
      <c r="K1084" s="3280"/>
      <c r="AB1084" s="3280"/>
      <c r="AG1084" s="3865"/>
      <c r="AM1084" s="3041"/>
      <c r="BD1084" s="3280"/>
      <c r="BF1084" s="3041"/>
      <c r="BH1084" s="3282"/>
    </row>
    <row r="1085" spans="1:60" s="3030" customFormat="1">
      <c r="A1085" s="2126"/>
      <c r="B1085" s="2126"/>
      <c r="C1085" s="2126"/>
      <c r="D1085" s="2126"/>
      <c r="E1085" s="525"/>
      <c r="F1085" s="525"/>
      <c r="G1085" s="525"/>
      <c r="K1085" s="3280"/>
      <c r="AB1085" s="3280"/>
      <c r="AG1085" s="3865"/>
      <c r="AM1085" s="3041"/>
      <c r="BD1085" s="3280"/>
      <c r="BF1085" s="3041"/>
      <c r="BH1085" s="3282"/>
    </row>
    <row r="1086" spans="1:60" s="3030" customFormat="1">
      <c r="A1086" s="2126"/>
      <c r="B1086" s="2126"/>
      <c r="C1086" s="2126"/>
      <c r="D1086" s="2126"/>
      <c r="E1086" s="525"/>
      <c r="F1086" s="525"/>
      <c r="G1086" s="525"/>
      <c r="K1086" s="3280"/>
      <c r="AB1086" s="3280"/>
      <c r="AG1086" s="3865"/>
      <c r="AM1086" s="3041"/>
      <c r="BD1086" s="3280"/>
      <c r="BF1086" s="3041"/>
      <c r="BH1086" s="3282"/>
    </row>
    <row r="1087" spans="1:60" s="3030" customFormat="1">
      <c r="A1087" s="2126"/>
      <c r="B1087" s="2126"/>
      <c r="C1087" s="2126"/>
      <c r="D1087" s="2126"/>
      <c r="E1087" s="525"/>
      <c r="F1087" s="525"/>
      <c r="G1087" s="525"/>
      <c r="K1087" s="3280"/>
      <c r="AB1087" s="3280"/>
      <c r="AG1087" s="3865"/>
      <c r="AM1087" s="3041"/>
      <c r="BD1087" s="3280"/>
      <c r="BF1087" s="3041"/>
      <c r="BH1087" s="3282"/>
    </row>
    <row r="1088" spans="1:60" s="3030" customFormat="1">
      <c r="A1088" s="2126"/>
      <c r="B1088" s="2126"/>
      <c r="C1088" s="2126"/>
      <c r="D1088" s="2126"/>
      <c r="E1088" s="525"/>
      <c r="F1088" s="525"/>
      <c r="G1088" s="525"/>
      <c r="K1088" s="3280"/>
      <c r="AB1088" s="3280"/>
      <c r="AG1088" s="3865"/>
      <c r="AM1088" s="3041"/>
      <c r="BD1088" s="3280"/>
      <c r="BF1088" s="3041"/>
      <c r="BH1088" s="3282"/>
    </row>
    <row r="1089" spans="1:60" s="3030" customFormat="1">
      <c r="A1089" s="2126"/>
      <c r="B1089" s="2126"/>
      <c r="C1089" s="2126"/>
      <c r="D1089" s="2126"/>
      <c r="E1089" s="525"/>
      <c r="F1089" s="525"/>
      <c r="G1089" s="525"/>
      <c r="K1089" s="3280"/>
      <c r="AB1089" s="3280"/>
      <c r="AG1089" s="3865"/>
      <c r="AM1089" s="3041"/>
      <c r="BD1089" s="3280"/>
      <c r="BF1089" s="3041"/>
      <c r="BH1089" s="3282"/>
    </row>
    <row r="1090" spans="1:60" s="3030" customFormat="1">
      <c r="A1090" s="2126"/>
      <c r="B1090" s="2126"/>
      <c r="C1090" s="2126"/>
      <c r="D1090" s="2126"/>
      <c r="E1090" s="525"/>
      <c r="F1090" s="525"/>
      <c r="G1090" s="525"/>
      <c r="K1090" s="3280"/>
      <c r="AB1090" s="3280"/>
      <c r="AG1090" s="3865"/>
      <c r="AM1090" s="3041"/>
      <c r="BD1090" s="3280"/>
      <c r="BF1090" s="3041"/>
      <c r="BH1090" s="3282"/>
    </row>
    <row r="1091" spans="1:60" s="3030" customFormat="1">
      <c r="A1091" s="2126"/>
      <c r="B1091" s="2126"/>
      <c r="C1091" s="2126"/>
      <c r="D1091" s="2126"/>
      <c r="E1091" s="525"/>
      <c r="F1091" s="525"/>
      <c r="G1091" s="525"/>
      <c r="K1091" s="3280"/>
      <c r="AB1091" s="3280"/>
      <c r="AG1091" s="3865"/>
      <c r="AM1091" s="3041"/>
      <c r="BD1091" s="3280"/>
      <c r="BF1091" s="3041"/>
      <c r="BH1091" s="3282"/>
    </row>
    <row r="1092" spans="1:60" s="3030" customFormat="1">
      <c r="A1092" s="2126"/>
      <c r="B1092" s="2126"/>
      <c r="C1092" s="2126"/>
      <c r="D1092" s="2126"/>
      <c r="E1092" s="525"/>
      <c r="F1092" s="525"/>
      <c r="G1092" s="525"/>
      <c r="K1092" s="3280"/>
      <c r="AB1092" s="3280"/>
      <c r="AG1092" s="3865"/>
      <c r="AM1092" s="3041"/>
      <c r="BD1092" s="3280"/>
      <c r="BF1092" s="3041"/>
      <c r="BH1092" s="3282"/>
    </row>
    <row r="1093" spans="1:60" s="3030" customFormat="1">
      <c r="A1093" s="2126"/>
      <c r="B1093" s="2126"/>
      <c r="C1093" s="2126"/>
      <c r="D1093" s="2126"/>
      <c r="E1093" s="525"/>
      <c r="F1093" s="525"/>
      <c r="G1093" s="525"/>
      <c r="K1093" s="3280"/>
      <c r="AB1093" s="3280"/>
      <c r="AG1093" s="3865"/>
      <c r="AM1093" s="3041"/>
      <c r="BD1093" s="3280"/>
      <c r="BF1093" s="3041"/>
      <c r="BH1093" s="3282"/>
    </row>
    <row r="1094" spans="1:60" s="3030" customFormat="1">
      <c r="A1094" s="2126"/>
      <c r="B1094" s="2126"/>
      <c r="C1094" s="2126"/>
      <c r="D1094" s="2126"/>
      <c r="E1094" s="525"/>
      <c r="F1094" s="525"/>
      <c r="G1094" s="525"/>
      <c r="K1094" s="3280"/>
      <c r="AB1094" s="3280"/>
      <c r="AG1094" s="3865"/>
      <c r="AM1094" s="3041"/>
      <c r="BD1094" s="3280"/>
      <c r="BF1094" s="3041"/>
      <c r="BH1094" s="3282"/>
    </row>
    <row r="1095" spans="1:60" s="3030" customFormat="1">
      <c r="A1095" s="2126"/>
      <c r="B1095" s="2126"/>
      <c r="C1095" s="2126"/>
      <c r="D1095" s="2126"/>
      <c r="E1095" s="525"/>
      <c r="F1095" s="525"/>
      <c r="G1095" s="525"/>
      <c r="K1095" s="3280"/>
      <c r="AB1095" s="3280"/>
      <c r="AG1095" s="3865"/>
      <c r="AM1095" s="3041"/>
      <c r="BD1095" s="3280"/>
      <c r="BF1095" s="3041"/>
      <c r="BH1095" s="3282"/>
    </row>
    <row r="1096" spans="1:60" s="3030" customFormat="1">
      <c r="A1096" s="2126"/>
      <c r="B1096" s="2126"/>
      <c r="C1096" s="2126"/>
      <c r="D1096" s="2126"/>
      <c r="E1096" s="525"/>
      <c r="F1096" s="525"/>
      <c r="G1096" s="525"/>
      <c r="K1096" s="3280"/>
      <c r="AB1096" s="3280"/>
      <c r="AG1096" s="3865"/>
      <c r="AM1096" s="3041"/>
      <c r="BD1096" s="3280"/>
      <c r="BF1096" s="3041"/>
      <c r="BH1096" s="3282"/>
    </row>
    <row r="1097" spans="1:60" s="3030" customFormat="1">
      <c r="A1097" s="2126"/>
      <c r="B1097" s="2126"/>
      <c r="C1097" s="2126"/>
      <c r="D1097" s="2126"/>
      <c r="E1097" s="525"/>
      <c r="F1097" s="525"/>
      <c r="G1097" s="525"/>
      <c r="K1097" s="3280"/>
      <c r="AB1097" s="3280"/>
      <c r="AG1097" s="3865"/>
      <c r="AM1097" s="3041"/>
      <c r="BD1097" s="3280"/>
      <c r="BF1097" s="3041"/>
      <c r="BH1097" s="3282"/>
    </row>
    <row r="1098" spans="1:60" s="3030" customFormat="1">
      <c r="A1098" s="2126"/>
      <c r="B1098" s="2126"/>
      <c r="C1098" s="2126"/>
      <c r="D1098" s="2126"/>
      <c r="E1098" s="525"/>
      <c r="F1098" s="525"/>
      <c r="G1098" s="525"/>
      <c r="K1098" s="3280"/>
      <c r="AB1098" s="3280"/>
      <c r="AG1098" s="3865"/>
      <c r="AM1098" s="3041"/>
      <c r="BD1098" s="3280"/>
      <c r="BF1098" s="3041"/>
      <c r="BH1098" s="3282"/>
    </row>
    <row r="1099" spans="1:60" s="3030" customFormat="1">
      <c r="A1099" s="2126"/>
      <c r="B1099" s="2126"/>
      <c r="C1099" s="2126"/>
      <c r="D1099" s="2126"/>
      <c r="E1099" s="525"/>
      <c r="F1099" s="525"/>
      <c r="G1099" s="525"/>
      <c r="K1099" s="3280"/>
      <c r="AB1099" s="3280"/>
      <c r="AG1099" s="3865"/>
      <c r="AM1099" s="3041"/>
      <c r="BD1099" s="3280"/>
      <c r="BF1099" s="3041"/>
      <c r="BH1099" s="3282"/>
    </row>
    <row r="1100" spans="1:60" s="3030" customFormat="1">
      <c r="A1100" s="2126"/>
      <c r="B1100" s="2126"/>
      <c r="C1100" s="2126"/>
      <c r="D1100" s="2126"/>
      <c r="E1100" s="525"/>
      <c r="F1100" s="525"/>
      <c r="G1100" s="525"/>
      <c r="K1100" s="3280"/>
      <c r="AB1100" s="3280"/>
      <c r="AG1100" s="3865"/>
      <c r="AM1100" s="3041"/>
      <c r="BD1100" s="3280"/>
      <c r="BF1100" s="3041"/>
      <c r="BH1100" s="3282"/>
    </row>
    <row r="1101" spans="1:60" s="3030" customFormat="1">
      <c r="A1101" s="2126"/>
      <c r="B1101" s="2126"/>
      <c r="C1101" s="2126"/>
      <c r="D1101" s="2126"/>
      <c r="E1101" s="525"/>
      <c r="F1101" s="525"/>
      <c r="G1101" s="525"/>
      <c r="K1101" s="3280"/>
      <c r="AB1101" s="3280"/>
      <c r="AG1101" s="3865"/>
      <c r="AM1101" s="3041"/>
      <c r="BD1101" s="3280"/>
      <c r="BF1101" s="3041"/>
      <c r="BH1101" s="3282"/>
    </row>
    <row r="1102" spans="1:60" s="3030" customFormat="1">
      <c r="A1102" s="2126"/>
      <c r="B1102" s="2126"/>
      <c r="C1102" s="2126"/>
      <c r="D1102" s="2126"/>
      <c r="E1102" s="525"/>
      <c r="F1102" s="525"/>
      <c r="G1102" s="525"/>
      <c r="K1102" s="3280"/>
      <c r="AB1102" s="3280"/>
      <c r="AG1102" s="3865"/>
      <c r="AM1102" s="3041"/>
      <c r="BD1102" s="3280"/>
      <c r="BF1102" s="3041"/>
      <c r="BH1102" s="3282"/>
    </row>
    <row r="1103" spans="1:60" s="3030" customFormat="1">
      <c r="A1103" s="2126"/>
      <c r="B1103" s="2126"/>
      <c r="C1103" s="2126"/>
      <c r="D1103" s="2126"/>
      <c r="E1103" s="525"/>
      <c r="F1103" s="525"/>
      <c r="G1103" s="525"/>
      <c r="K1103" s="3280"/>
      <c r="AB1103" s="3280"/>
      <c r="AG1103" s="3865"/>
      <c r="AM1103" s="3041"/>
      <c r="BD1103" s="3280"/>
      <c r="BF1103" s="3041"/>
      <c r="BH1103" s="3282"/>
    </row>
    <row r="1104" spans="1:60" s="3030" customFormat="1">
      <c r="A1104" s="2126"/>
      <c r="B1104" s="2126"/>
      <c r="C1104" s="2126"/>
      <c r="D1104" s="2126"/>
      <c r="E1104" s="525"/>
      <c r="F1104" s="525"/>
      <c r="G1104" s="525"/>
      <c r="K1104" s="3280"/>
      <c r="AB1104" s="3280"/>
      <c r="AG1104" s="3865"/>
      <c r="AM1104" s="3041"/>
      <c r="BD1104" s="3280"/>
      <c r="BF1104" s="3041"/>
      <c r="BH1104" s="3282"/>
    </row>
    <row r="1105" spans="1:60" s="3030" customFormat="1">
      <c r="A1105" s="2126"/>
      <c r="B1105" s="2126"/>
      <c r="C1105" s="2126"/>
      <c r="D1105" s="2126"/>
      <c r="E1105" s="525"/>
      <c r="F1105" s="525"/>
      <c r="G1105" s="525"/>
      <c r="K1105" s="3280"/>
      <c r="AB1105" s="3280"/>
      <c r="AG1105" s="3865"/>
      <c r="AM1105" s="3041"/>
      <c r="BD1105" s="3280"/>
      <c r="BF1105" s="3041"/>
      <c r="BH1105" s="3282"/>
    </row>
    <row r="1106" spans="1:60" s="3030" customFormat="1">
      <c r="A1106" s="2126"/>
      <c r="B1106" s="2126"/>
      <c r="C1106" s="2126"/>
      <c r="D1106" s="2126"/>
      <c r="E1106" s="525"/>
      <c r="F1106" s="525"/>
      <c r="G1106" s="525"/>
      <c r="K1106" s="3280"/>
      <c r="AB1106" s="3280"/>
      <c r="AG1106" s="3865"/>
      <c r="AM1106" s="3041"/>
      <c r="BD1106" s="3280"/>
      <c r="BF1106" s="3041"/>
      <c r="BH1106" s="3282"/>
    </row>
    <row r="1107" spans="1:60" s="3030" customFormat="1">
      <c r="A1107" s="2126"/>
      <c r="B1107" s="2126"/>
      <c r="C1107" s="2126"/>
      <c r="D1107" s="2126"/>
      <c r="E1107" s="525"/>
      <c r="F1107" s="525"/>
      <c r="G1107" s="525"/>
      <c r="K1107" s="3280"/>
      <c r="AB1107" s="3280"/>
      <c r="AG1107" s="3865"/>
      <c r="AM1107" s="3041"/>
      <c r="BD1107" s="3280"/>
      <c r="BF1107" s="3041"/>
      <c r="BH1107" s="3282"/>
    </row>
    <row r="1108" spans="1:60" s="3030" customFormat="1">
      <c r="A1108" s="2126"/>
      <c r="B1108" s="2126"/>
      <c r="C1108" s="2126"/>
      <c r="D1108" s="2126"/>
      <c r="E1108" s="525"/>
      <c r="F1108" s="525"/>
      <c r="G1108" s="525"/>
      <c r="K1108" s="3280"/>
      <c r="AB1108" s="3280"/>
      <c r="AG1108" s="3865"/>
      <c r="AM1108" s="3041"/>
      <c r="BD1108" s="3280"/>
      <c r="BF1108" s="3041"/>
      <c r="BH1108" s="3282"/>
    </row>
    <row r="1109" spans="1:60" s="3030" customFormat="1">
      <c r="A1109" s="2126"/>
      <c r="B1109" s="2126"/>
      <c r="C1109" s="2126"/>
      <c r="D1109" s="2126"/>
      <c r="E1109" s="525"/>
      <c r="F1109" s="525"/>
      <c r="G1109" s="525"/>
      <c r="K1109" s="3280"/>
      <c r="AB1109" s="3280"/>
      <c r="AG1109" s="3865"/>
      <c r="AM1109" s="3041"/>
      <c r="BD1109" s="3280"/>
      <c r="BF1109" s="3041"/>
      <c r="BH1109" s="3282"/>
    </row>
    <row r="1110" spans="1:60" s="3030" customFormat="1">
      <c r="A1110" s="2126"/>
      <c r="B1110" s="2126"/>
      <c r="C1110" s="2126"/>
      <c r="D1110" s="2126"/>
      <c r="E1110" s="525"/>
      <c r="F1110" s="525"/>
      <c r="G1110" s="525"/>
      <c r="K1110" s="3280"/>
      <c r="AB1110" s="3280"/>
      <c r="AG1110" s="3865"/>
      <c r="AM1110" s="3041"/>
      <c r="BD1110" s="3280"/>
      <c r="BF1110" s="3041"/>
      <c r="BH1110" s="3282"/>
    </row>
    <row r="1111" spans="1:60" s="3030" customFormat="1">
      <c r="A1111" s="2126"/>
      <c r="B1111" s="2126"/>
      <c r="C1111" s="2126"/>
      <c r="D1111" s="2126"/>
      <c r="E1111" s="525"/>
      <c r="F1111" s="525"/>
      <c r="G1111" s="525"/>
      <c r="K1111" s="3280"/>
      <c r="AB1111" s="3280"/>
      <c r="AG1111" s="3865"/>
      <c r="AM1111" s="3041"/>
      <c r="BD1111" s="3280"/>
      <c r="BF1111" s="3041"/>
      <c r="BH1111" s="3282"/>
    </row>
    <row r="1112" spans="1:60" s="3030" customFormat="1">
      <c r="A1112" s="2126"/>
      <c r="B1112" s="2126"/>
      <c r="C1112" s="2126"/>
      <c r="D1112" s="2126"/>
      <c r="E1112" s="525"/>
      <c r="F1112" s="525"/>
      <c r="G1112" s="525"/>
      <c r="K1112" s="3280"/>
      <c r="AB1112" s="3280"/>
      <c r="AG1112" s="3865"/>
      <c r="AM1112" s="3041"/>
      <c r="BD1112" s="3280"/>
      <c r="BF1112" s="3041"/>
      <c r="BH1112" s="3282"/>
    </row>
    <row r="1113" spans="1:60" s="3030" customFormat="1">
      <c r="A1113" s="2126"/>
      <c r="B1113" s="2126"/>
      <c r="C1113" s="2126"/>
      <c r="D1113" s="2126"/>
      <c r="E1113" s="525"/>
      <c r="F1113" s="525"/>
      <c r="G1113" s="525"/>
      <c r="K1113" s="3280"/>
      <c r="AB1113" s="3280"/>
      <c r="AG1113" s="3865"/>
      <c r="AM1113" s="3041"/>
      <c r="BD1113" s="3280"/>
      <c r="BF1113" s="3041"/>
      <c r="BH1113" s="3282"/>
    </row>
    <row r="1114" spans="1:60" s="3030" customFormat="1">
      <c r="A1114" s="2126"/>
      <c r="B1114" s="2126"/>
      <c r="C1114" s="2126"/>
      <c r="D1114" s="2126"/>
      <c r="E1114" s="525"/>
      <c r="F1114" s="525"/>
      <c r="G1114" s="525"/>
      <c r="K1114" s="3280"/>
      <c r="AB1114" s="3280"/>
      <c r="AG1114" s="3865"/>
      <c r="AM1114" s="3041"/>
      <c r="BD1114" s="3280"/>
      <c r="BF1114" s="3041"/>
      <c r="BH1114" s="3282"/>
    </row>
    <row r="1115" spans="1:60" s="3030" customFormat="1">
      <c r="A1115" s="2126"/>
      <c r="B1115" s="2126"/>
      <c r="C1115" s="2126"/>
      <c r="D1115" s="2126"/>
      <c r="E1115" s="525"/>
      <c r="F1115" s="525"/>
      <c r="G1115" s="525"/>
      <c r="K1115" s="3280"/>
      <c r="AB1115" s="3280"/>
      <c r="AG1115" s="3865"/>
      <c r="AM1115" s="3041"/>
      <c r="BD1115" s="3280"/>
      <c r="BF1115" s="3041"/>
      <c r="BH1115" s="3282"/>
    </row>
    <row r="1116" spans="1:60" s="3030" customFormat="1">
      <c r="A1116" s="2126"/>
      <c r="B1116" s="2126"/>
      <c r="C1116" s="2126"/>
      <c r="D1116" s="2126"/>
      <c r="E1116" s="525"/>
      <c r="F1116" s="525"/>
      <c r="G1116" s="525"/>
      <c r="K1116" s="3280"/>
      <c r="AB1116" s="3280"/>
      <c r="AG1116" s="3865"/>
      <c r="AM1116" s="3041"/>
      <c r="BD1116" s="3280"/>
      <c r="BF1116" s="3041"/>
      <c r="BH1116" s="3282"/>
    </row>
    <row r="1117" spans="1:60" s="3030" customFormat="1">
      <c r="A1117" s="2126"/>
      <c r="B1117" s="2126"/>
      <c r="C1117" s="2126"/>
      <c r="D1117" s="2126"/>
      <c r="E1117" s="525"/>
      <c r="F1117" s="525"/>
      <c r="G1117" s="525"/>
      <c r="K1117" s="3280"/>
      <c r="AB1117" s="3280"/>
      <c r="AG1117" s="3865"/>
      <c r="AM1117" s="3041"/>
      <c r="BD1117" s="3280"/>
      <c r="BF1117" s="3041"/>
      <c r="BH1117" s="3282"/>
    </row>
    <row r="1118" spans="1:60" s="3030" customFormat="1">
      <c r="A1118" s="2126"/>
      <c r="B1118" s="2126"/>
      <c r="C1118" s="2126"/>
      <c r="D1118" s="2126"/>
      <c r="E1118" s="525"/>
      <c r="F1118" s="525"/>
      <c r="G1118" s="525"/>
      <c r="K1118" s="3280"/>
      <c r="AB1118" s="3280"/>
      <c r="AG1118" s="3865"/>
      <c r="AM1118" s="3041"/>
      <c r="BD1118" s="3280"/>
      <c r="BF1118" s="3041"/>
      <c r="BH1118" s="3282"/>
    </row>
    <row r="1119" spans="1:60" s="3030" customFormat="1">
      <c r="A1119" s="2126"/>
      <c r="B1119" s="2126"/>
      <c r="C1119" s="2126"/>
      <c r="D1119" s="2126"/>
      <c r="E1119" s="525"/>
      <c r="F1119" s="525"/>
      <c r="G1119" s="525"/>
      <c r="K1119" s="3280"/>
      <c r="AB1119" s="3280"/>
      <c r="AG1119" s="3865"/>
      <c r="AM1119" s="3041"/>
      <c r="BD1119" s="3280"/>
      <c r="BF1119" s="3041"/>
      <c r="BH1119" s="3282"/>
    </row>
    <row r="1120" spans="1:60" s="3030" customFormat="1">
      <c r="A1120" s="2126"/>
      <c r="B1120" s="2126"/>
      <c r="C1120" s="2126"/>
      <c r="D1120" s="2126"/>
      <c r="E1120" s="525"/>
      <c r="F1120" s="525"/>
      <c r="G1120" s="525"/>
      <c r="K1120" s="3280"/>
      <c r="AB1120" s="3280"/>
      <c r="AG1120" s="3865"/>
      <c r="AM1120" s="3041"/>
      <c r="BD1120" s="3280"/>
      <c r="BF1120" s="3041"/>
      <c r="BH1120" s="3282"/>
    </row>
    <row r="1121" spans="1:60" s="3030" customFormat="1">
      <c r="A1121" s="2126"/>
      <c r="B1121" s="2126"/>
      <c r="C1121" s="2126"/>
      <c r="D1121" s="2126"/>
      <c r="E1121" s="525"/>
      <c r="F1121" s="525"/>
      <c r="G1121" s="525"/>
      <c r="K1121" s="3280"/>
      <c r="AB1121" s="3280"/>
      <c r="AG1121" s="3865"/>
      <c r="AM1121" s="3041"/>
      <c r="BD1121" s="3280"/>
      <c r="BF1121" s="3041"/>
      <c r="BH1121" s="3282"/>
    </row>
    <row r="1122" spans="1:60" s="3030" customFormat="1">
      <c r="A1122" s="2126"/>
      <c r="B1122" s="2126"/>
      <c r="C1122" s="2126"/>
      <c r="D1122" s="2126"/>
      <c r="E1122" s="525"/>
      <c r="F1122" s="525"/>
      <c r="G1122" s="525"/>
      <c r="K1122" s="3280"/>
      <c r="AB1122" s="3280"/>
      <c r="AG1122" s="3865"/>
      <c r="AM1122" s="3041"/>
      <c r="BD1122" s="3280"/>
      <c r="BF1122" s="3041"/>
      <c r="BH1122" s="3282"/>
    </row>
    <row r="1123" spans="1:60" s="3030" customFormat="1">
      <c r="A1123" s="2126"/>
      <c r="B1123" s="2126"/>
      <c r="C1123" s="2126"/>
      <c r="D1123" s="2126"/>
      <c r="E1123" s="525"/>
      <c r="F1123" s="525"/>
      <c r="G1123" s="525"/>
      <c r="K1123" s="3280"/>
      <c r="AB1123" s="3280"/>
      <c r="AG1123" s="3865"/>
      <c r="AM1123" s="3041"/>
      <c r="BD1123" s="3280"/>
      <c r="BF1123" s="3041"/>
      <c r="BH1123" s="3282"/>
    </row>
    <row r="1124" spans="1:60" s="3030" customFormat="1">
      <c r="A1124" s="2126"/>
      <c r="B1124" s="2126"/>
      <c r="C1124" s="2126"/>
      <c r="D1124" s="2126"/>
      <c r="E1124" s="525"/>
      <c r="F1124" s="525"/>
      <c r="G1124" s="525"/>
      <c r="K1124" s="3280"/>
      <c r="AB1124" s="3280"/>
      <c r="AG1124" s="3865"/>
      <c r="AM1124" s="3041"/>
      <c r="BD1124" s="3280"/>
      <c r="BF1124" s="3041"/>
      <c r="BH1124" s="3282"/>
    </row>
    <row r="1125" spans="1:60" s="3030" customFormat="1">
      <c r="A1125" s="2126"/>
      <c r="B1125" s="2126"/>
      <c r="C1125" s="2126"/>
      <c r="D1125" s="2126"/>
      <c r="E1125" s="525"/>
      <c r="F1125" s="525"/>
      <c r="G1125" s="525"/>
      <c r="K1125" s="3280"/>
      <c r="AB1125" s="3280"/>
      <c r="AG1125" s="3865"/>
      <c r="AM1125" s="3041"/>
      <c r="BD1125" s="3280"/>
      <c r="BF1125" s="3041"/>
      <c r="BH1125" s="3282"/>
    </row>
    <row r="1126" spans="1:60" s="3030" customFormat="1">
      <c r="A1126" s="2126"/>
      <c r="B1126" s="2126"/>
      <c r="C1126" s="2126"/>
      <c r="D1126" s="2126"/>
      <c r="E1126" s="525"/>
      <c r="F1126" s="525"/>
      <c r="G1126" s="525"/>
      <c r="K1126" s="3280"/>
      <c r="AB1126" s="3280"/>
      <c r="AG1126" s="3865"/>
      <c r="AM1126" s="3041"/>
      <c r="BD1126" s="3280"/>
      <c r="BF1126" s="3041"/>
      <c r="BH1126" s="3282"/>
    </row>
    <row r="1127" spans="1:60" s="3030" customFormat="1">
      <c r="A1127" s="2126"/>
      <c r="B1127" s="2126"/>
      <c r="C1127" s="2126"/>
      <c r="D1127" s="2126"/>
      <c r="E1127" s="525"/>
      <c r="F1127" s="525"/>
      <c r="G1127" s="525"/>
      <c r="K1127" s="3280"/>
      <c r="AB1127" s="3280"/>
      <c r="AG1127" s="3865"/>
      <c r="AM1127" s="3041"/>
      <c r="BD1127" s="3280"/>
      <c r="BF1127" s="3041"/>
      <c r="BH1127" s="3282"/>
    </row>
    <row r="1128" spans="1:60" s="3030" customFormat="1">
      <c r="A1128" s="2126"/>
      <c r="B1128" s="2126"/>
      <c r="C1128" s="2126"/>
      <c r="D1128" s="2126"/>
      <c r="E1128" s="525"/>
      <c r="F1128" s="525"/>
      <c r="G1128" s="525"/>
      <c r="K1128" s="3280"/>
      <c r="AB1128" s="3280"/>
      <c r="AG1128" s="3865"/>
      <c r="AM1128" s="3041"/>
      <c r="BD1128" s="3280"/>
      <c r="BF1128" s="3041"/>
      <c r="BH1128" s="3282"/>
    </row>
    <row r="1129" spans="1:60" s="3030" customFormat="1">
      <c r="A1129" s="2126"/>
      <c r="B1129" s="2126"/>
      <c r="C1129" s="2126"/>
      <c r="D1129" s="2126"/>
      <c r="E1129" s="525"/>
      <c r="F1129" s="525"/>
      <c r="G1129" s="525"/>
      <c r="K1129" s="3280"/>
      <c r="AB1129" s="3280"/>
      <c r="AG1129" s="3865"/>
      <c r="AM1129" s="3041"/>
      <c r="BD1129" s="3280"/>
      <c r="BF1129" s="3041"/>
      <c r="BH1129" s="3282"/>
    </row>
    <row r="1130" spans="1:60" s="3030" customFormat="1">
      <c r="A1130" s="2126"/>
      <c r="B1130" s="2126"/>
      <c r="C1130" s="2126"/>
      <c r="D1130" s="2126"/>
      <c r="E1130" s="525"/>
      <c r="F1130" s="525"/>
      <c r="G1130" s="525"/>
      <c r="K1130" s="3280"/>
      <c r="AB1130" s="3280"/>
      <c r="AG1130" s="3865"/>
      <c r="AM1130" s="3041"/>
      <c r="BD1130" s="3280"/>
      <c r="BF1130" s="3041"/>
      <c r="BH1130" s="3282"/>
    </row>
    <row r="1131" spans="1:60" s="3030" customFormat="1">
      <c r="A1131" s="2126"/>
      <c r="B1131" s="2126"/>
      <c r="C1131" s="2126"/>
      <c r="D1131" s="2126"/>
      <c r="E1131" s="525"/>
      <c r="F1131" s="525"/>
      <c r="G1131" s="525"/>
      <c r="K1131" s="3280"/>
      <c r="AB1131" s="3280"/>
      <c r="AG1131" s="3865"/>
      <c r="AM1131" s="3041"/>
      <c r="BD1131" s="3280"/>
      <c r="BF1131" s="3041"/>
      <c r="BH1131" s="3282"/>
    </row>
    <row r="1132" spans="1:60" s="3030" customFormat="1">
      <c r="A1132" s="2126"/>
      <c r="B1132" s="2126"/>
      <c r="C1132" s="2126"/>
      <c r="D1132" s="2126"/>
      <c r="E1132" s="525"/>
      <c r="F1132" s="525"/>
      <c r="G1132" s="525"/>
      <c r="K1132" s="3280"/>
      <c r="AB1132" s="3280"/>
      <c r="AG1132" s="3865"/>
      <c r="AM1132" s="3041"/>
      <c r="BD1132" s="3280"/>
      <c r="BF1132" s="3041"/>
      <c r="BH1132" s="3282"/>
    </row>
    <row r="1133" spans="1:60" s="3030" customFormat="1">
      <c r="A1133" s="2126"/>
      <c r="B1133" s="2126"/>
      <c r="C1133" s="2126"/>
      <c r="D1133" s="2126"/>
      <c r="E1133" s="525"/>
      <c r="F1133" s="525"/>
      <c r="G1133" s="525"/>
      <c r="K1133" s="3280"/>
      <c r="AB1133" s="3280"/>
      <c r="AG1133" s="3865"/>
      <c r="AM1133" s="3041"/>
      <c r="BD1133" s="3280"/>
      <c r="BF1133" s="3041"/>
      <c r="BH1133" s="3282"/>
    </row>
    <row r="1134" spans="1:60" s="3030" customFormat="1">
      <c r="A1134" s="2126"/>
      <c r="B1134" s="2126"/>
      <c r="C1134" s="2126"/>
      <c r="D1134" s="2126"/>
      <c r="E1134" s="525"/>
      <c r="F1134" s="525"/>
      <c r="G1134" s="525"/>
      <c r="K1134" s="3280"/>
      <c r="AB1134" s="3280"/>
      <c r="AG1134" s="3865"/>
      <c r="AM1134" s="3041"/>
      <c r="BD1134" s="3280"/>
      <c r="BF1134" s="3041"/>
      <c r="BH1134" s="3282"/>
    </row>
    <row r="1135" spans="1:60" s="3030" customFormat="1">
      <c r="A1135" s="2126"/>
      <c r="B1135" s="2126"/>
      <c r="C1135" s="2126"/>
      <c r="D1135" s="2126"/>
      <c r="E1135" s="525"/>
      <c r="F1135" s="525"/>
      <c r="G1135" s="525"/>
      <c r="K1135" s="3280"/>
      <c r="AB1135" s="3280"/>
      <c r="AG1135" s="3865"/>
      <c r="AM1135" s="3041"/>
      <c r="BD1135" s="3280"/>
      <c r="BF1135" s="3041"/>
      <c r="BH1135" s="3282"/>
    </row>
    <row r="1136" spans="1:60" s="3030" customFormat="1">
      <c r="A1136" s="2126"/>
      <c r="B1136" s="2126"/>
      <c r="C1136" s="2126"/>
      <c r="D1136" s="2126"/>
      <c r="E1136" s="525"/>
      <c r="F1136" s="525"/>
      <c r="G1136" s="525"/>
      <c r="K1136" s="3280"/>
      <c r="AB1136" s="3280"/>
      <c r="AG1136" s="3865"/>
      <c r="AM1136" s="3041"/>
      <c r="BD1136" s="3280"/>
      <c r="BF1136" s="3041"/>
      <c r="BH1136" s="3282"/>
    </row>
    <row r="1137" spans="1:60" s="3030" customFormat="1">
      <c r="A1137" s="2126"/>
      <c r="B1137" s="2126"/>
      <c r="C1137" s="2126"/>
      <c r="D1137" s="2126"/>
      <c r="E1137" s="525"/>
      <c r="F1137" s="525"/>
      <c r="G1137" s="525"/>
      <c r="K1137" s="3280"/>
      <c r="AB1137" s="3280"/>
      <c r="AG1137" s="3865"/>
      <c r="AM1137" s="3041"/>
      <c r="BD1137" s="3280"/>
      <c r="BF1137" s="3041"/>
      <c r="BH1137" s="3282"/>
    </row>
    <row r="1138" spans="1:60" s="3030" customFormat="1">
      <c r="A1138" s="2126"/>
      <c r="B1138" s="2126"/>
      <c r="C1138" s="2126"/>
      <c r="D1138" s="2126"/>
      <c r="E1138" s="525"/>
      <c r="F1138" s="525"/>
      <c r="G1138" s="525"/>
      <c r="K1138" s="3280"/>
      <c r="AB1138" s="3280"/>
      <c r="AG1138" s="3865"/>
      <c r="AM1138" s="3041"/>
      <c r="BD1138" s="3280"/>
      <c r="BF1138" s="3041"/>
      <c r="BH1138" s="3282"/>
    </row>
    <row r="1139" spans="1:60" s="3030" customFormat="1">
      <c r="A1139" s="2126"/>
      <c r="B1139" s="2126"/>
      <c r="C1139" s="2126"/>
      <c r="D1139" s="2126"/>
      <c r="E1139" s="525"/>
      <c r="F1139" s="525"/>
      <c r="G1139" s="525"/>
      <c r="K1139" s="3280"/>
      <c r="AB1139" s="3280"/>
      <c r="AG1139" s="3865"/>
      <c r="AM1139" s="3041"/>
      <c r="BD1139" s="3280"/>
      <c r="BF1139" s="3041"/>
      <c r="BH1139" s="3282"/>
    </row>
    <row r="1140" spans="1:60" s="3030" customFormat="1">
      <c r="A1140" s="2126"/>
      <c r="B1140" s="2126"/>
      <c r="C1140" s="2126"/>
      <c r="D1140" s="2126"/>
      <c r="E1140" s="525"/>
      <c r="F1140" s="525"/>
      <c r="G1140" s="525"/>
      <c r="K1140" s="3280"/>
      <c r="AB1140" s="3280"/>
      <c r="AG1140" s="3865"/>
      <c r="AM1140" s="3041"/>
      <c r="BD1140" s="3280"/>
      <c r="BF1140" s="3041"/>
      <c r="BH1140" s="3282"/>
    </row>
    <row r="1141" spans="1:60" s="3030" customFormat="1">
      <c r="A1141" s="2126"/>
      <c r="B1141" s="2126"/>
      <c r="C1141" s="2126"/>
      <c r="D1141" s="2126"/>
      <c r="E1141" s="525"/>
      <c r="F1141" s="525"/>
      <c r="G1141" s="525"/>
      <c r="K1141" s="3280"/>
      <c r="AB1141" s="3280"/>
      <c r="AG1141" s="3865"/>
      <c r="AM1141" s="3041"/>
      <c r="BD1141" s="3280"/>
      <c r="BF1141" s="3041"/>
      <c r="BH1141" s="3282"/>
    </row>
    <row r="1142" spans="1:60" s="3030" customFormat="1">
      <c r="A1142" s="2126"/>
      <c r="B1142" s="2126"/>
      <c r="C1142" s="2126"/>
      <c r="D1142" s="2126"/>
      <c r="E1142" s="525"/>
      <c r="F1142" s="525"/>
      <c r="G1142" s="525"/>
      <c r="K1142" s="3280"/>
      <c r="AB1142" s="3280"/>
      <c r="AG1142" s="3865"/>
      <c r="AM1142" s="3041"/>
      <c r="BD1142" s="3280"/>
      <c r="BF1142" s="3041"/>
      <c r="BH1142" s="3282"/>
    </row>
    <row r="1143" spans="1:60" s="3030" customFormat="1">
      <c r="A1143" s="2126"/>
      <c r="B1143" s="2126"/>
      <c r="C1143" s="2126"/>
      <c r="D1143" s="2126"/>
      <c r="E1143" s="525"/>
      <c r="F1143" s="525"/>
      <c r="G1143" s="525"/>
      <c r="K1143" s="3280"/>
      <c r="AB1143" s="3280"/>
      <c r="AG1143" s="3865"/>
      <c r="AM1143" s="3041"/>
      <c r="BD1143" s="3280"/>
      <c r="BF1143" s="3041"/>
      <c r="BH1143" s="3282"/>
    </row>
    <row r="1144" spans="1:60" s="3030" customFormat="1">
      <c r="A1144" s="2126"/>
      <c r="B1144" s="2126"/>
      <c r="C1144" s="2126"/>
      <c r="D1144" s="2126"/>
      <c r="E1144" s="525"/>
      <c r="F1144" s="525"/>
      <c r="G1144" s="525"/>
      <c r="K1144" s="3280"/>
      <c r="AB1144" s="3280"/>
      <c r="AG1144" s="3865"/>
      <c r="AM1144" s="3041"/>
      <c r="BD1144" s="3280"/>
      <c r="BF1144" s="3041"/>
      <c r="BH1144" s="3282"/>
    </row>
    <row r="1145" spans="1:60" s="3030" customFormat="1">
      <c r="A1145" s="2126"/>
      <c r="B1145" s="2126"/>
      <c r="C1145" s="2126"/>
      <c r="D1145" s="2126"/>
      <c r="E1145" s="525"/>
      <c r="F1145" s="525"/>
      <c r="G1145" s="525"/>
      <c r="K1145" s="3280"/>
      <c r="AB1145" s="3280"/>
      <c r="AG1145" s="3865"/>
      <c r="AM1145" s="3041"/>
      <c r="BD1145" s="3280"/>
      <c r="BF1145" s="3041"/>
      <c r="BH1145" s="3282"/>
    </row>
    <row r="1146" spans="1:60" s="3030" customFormat="1">
      <c r="A1146" s="2126"/>
      <c r="B1146" s="2126"/>
      <c r="C1146" s="2126"/>
      <c r="D1146" s="2126"/>
      <c r="E1146" s="525"/>
      <c r="F1146" s="525"/>
      <c r="G1146" s="525"/>
      <c r="K1146" s="3280"/>
      <c r="AB1146" s="3280"/>
      <c r="AG1146" s="3865"/>
      <c r="AM1146" s="3041"/>
      <c r="BD1146" s="3280"/>
      <c r="BF1146" s="3041"/>
      <c r="BH1146" s="3282"/>
    </row>
    <row r="1147" spans="1:60" s="3030" customFormat="1">
      <c r="A1147" s="2126"/>
      <c r="B1147" s="2126"/>
      <c r="C1147" s="2126"/>
      <c r="D1147" s="2126"/>
      <c r="E1147" s="525"/>
      <c r="F1147" s="525"/>
      <c r="G1147" s="525"/>
      <c r="K1147" s="3280"/>
      <c r="AB1147" s="3280"/>
      <c r="AG1147" s="3865"/>
      <c r="AM1147" s="3041"/>
      <c r="BD1147" s="3280"/>
      <c r="BF1147" s="3041"/>
      <c r="BH1147" s="3282"/>
    </row>
    <row r="1148" spans="1:60" s="3030" customFormat="1">
      <c r="A1148" s="2126"/>
      <c r="B1148" s="2126"/>
      <c r="C1148" s="2126"/>
      <c r="D1148" s="2126"/>
      <c r="E1148" s="525"/>
      <c r="F1148" s="525"/>
      <c r="G1148" s="525"/>
      <c r="K1148" s="3280"/>
      <c r="AB1148" s="3280"/>
      <c r="AG1148" s="3865"/>
      <c r="AM1148" s="3041"/>
      <c r="BD1148" s="3280"/>
      <c r="BF1148" s="3041"/>
      <c r="BH1148" s="3282"/>
    </row>
    <row r="1149" spans="1:60" s="3030" customFormat="1">
      <c r="A1149" s="2126"/>
      <c r="B1149" s="2126"/>
      <c r="C1149" s="2126"/>
      <c r="D1149" s="2126"/>
      <c r="E1149" s="525"/>
      <c r="F1149" s="525"/>
      <c r="G1149" s="525"/>
      <c r="K1149" s="3280"/>
      <c r="AB1149" s="3280"/>
      <c r="AG1149" s="3865"/>
      <c r="AM1149" s="3041"/>
      <c r="BD1149" s="3280"/>
      <c r="BF1149" s="3041"/>
      <c r="BH1149" s="3282"/>
    </row>
    <row r="1150" spans="1:60" s="3030" customFormat="1">
      <c r="A1150" s="2126"/>
      <c r="B1150" s="2126"/>
      <c r="C1150" s="2126"/>
      <c r="D1150" s="2126"/>
      <c r="E1150" s="525"/>
      <c r="F1150" s="525"/>
      <c r="G1150" s="525"/>
      <c r="K1150" s="3280"/>
      <c r="AB1150" s="3280"/>
      <c r="AG1150" s="3865"/>
      <c r="AM1150" s="3041"/>
      <c r="BD1150" s="3280"/>
      <c r="BF1150" s="3041"/>
      <c r="BH1150" s="3282"/>
    </row>
    <row r="1151" spans="1:60" s="3030" customFormat="1">
      <c r="A1151" s="2126"/>
      <c r="B1151" s="2126"/>
      <c r="C1151" s="2126"/>
      <c r="D1151" s="2126"/>
      <c r="E1151" s="525"/>
      <c r="F1151" s="525"/>
      <c r="G1151" s="525"/>
      <c r="K1151" s="3280"/>
      <c r="AB1151" s="3280"/>
      <c r="AG1151" s="3865"/>
      <c r="AM1151" s="3041"/>
      <c r="BD1151" s="3280"/>
      <c r="BF1151" s="3041"/>
      <c r="BH1151" s="3282"/>
    </row>
    <row r="1152" spans="1:60" s="3030" customFormat="1">
      <c r="A1152" s="2126"/>
      <c r="B1152" s="2126"/>
      <c r="C1152" s="2126"/>
      <c r="D1152" s="2126"/>
      <c r="E1152" s="525"/>
      <c r="F1152" s="525"/>
      <c r="G1152" s="525"/>
      <c r="K1152" s="3280"/>
      <c r="AB1152" s="3280"/>
      <c r="AG1152" s="3865"/>
      <c r="AM1152" s="3041"/>
      <c r="BD1152" s="3280"/>
      <c r="BF1152" s="3041"/>
      <c r="BH1152" s="3282"/>
    </row>
    <row r="1153" spans="1:60" s="3030" customFormat="1">
      <c r="A1153" s="2126"/>
      <c r="B1153" s="2126"/>
      <c r="C1153" s="2126"/>
      <c r="D1153" s="2126"/>
      <c r="E1153" s="525"/>
      <c r="F1153" s="525"/>
      <c r="G1153" s="525"/>
      <c r="K1153" s="3280"/>
      <c r="AB1153" s="3280"/>
      <c r="AG1153" s="3865"/>
      <c r="AM1153" s="3041"/>
      <c r="BD1153" s="3280"/>
      <c r="BF1153" s="3041"/>
      <c r="BH1153" s="3282"/>
    </row>
    <row r="1154" spans="1:60" s="3030" customFormat="1">
      <c r="A1154" s="2126"/>
      <c r="B1154" s="2126"/>
      <c r="C1154" s="2126"/>
      <c r="D1154" s="2126"/>
      <c r="E1154" s="525"/>
      <c r="F1154" s="525"/>
      <c r="G1154" s="525"/>
      <c r="K1154" s="3280"/>
      <c r="AB1154" s="3280"/>
      <c r="AG1154" s="3865"/>
      <c r="AM1154" s="3041"/>
      <c r="BD1154" s="3280"/>
      <c r="BF1154" s="3041"/>
      <c r="BH1154" s="3282"/>
    </row>
    <row r="1155" spans="1:60" s="3030" customFormat="1">
      <c r="A1155" s="2126"/>
      <c r="B1155" s="2126"/>
      <c r="C1155" s="2126"/>
      <c r="D1155" s="2126"/>
      <c r="E1155" s="525"/>
      <c r="F1155" s="525"/>
      <c r="G1155" s="525"/>
      <c r="K1155" s="3280"/>
      <c r="AB1155" s="3280"/>
      <c r="AG1155" s="3865"/>
      <c r="AM1155" s="3041"/>
      <c r="BD1155" s="3280"/>
      <c r="BF1155" s="3041"/>
      <c r="BH1155" s="3282"/>
    </row>
    <row r="1156" spans="1:60" s="3030" customFormat="1">
      <c r="A1156" s="2126"/>
      <c r="B1156" s="2126"/>
      <c r="C1156" s="2126"/>
      <c r="D1156" s="2126"/>
      <c r="E1156" s="525"/>
      <c r="F1156" s="525"/>
      <c r="G1156" s="525"/>
      <c r="K1156" s="3280"/>
      <c r="AB1156" s="3280"/>
      <c r="AG1156" s="3865"/>
      <c r="AM1156" s="3041"/>
      <c r="BD1156" s="3280"/>
      <c r="BF1156" s="3041"/>
      <c r="BH1156" s="3282"/>
    </row>
    <row r="1157" spans="1:60" s="3030" customFormat="1">
      <c r="A1157" s="2126"/>
      <c r="B1157" s="2126"/>
      <c r="C1157" s="2126"/>
      <c r="D1157" s="2126"/>
      <c r="E1157" s="525"/>
      <c r="F1157" s="525"/>
      <c r="G1157" s="525"/>
      <c r="K1157" s="3280"/>
      <c r="AB1157" s="3280"/>
      <c r="AG1157" s="3865"/>
      <c r="AM1157" s="3041"/>
      <c r="BD1157" s="3280"/>
      <c r="BF1157" s="3041"/>
      <c r="BH1157" s="3282"/>
    </row>
    <row r="1158" spans="1:60" s="3030" customFormat="1">
      <c r="A1158" s="2126"/>
      <c r="B1158" s="2126"/>
      <c r="C1158" s="2126"/>
      <c r="D1158" s="2126"/>
      <c r="E1158" s="525"/>
      <c r="F1158" s="525"/>
      <c r="G1158" s="525"/>
      <c r="K1158" s="3280"/>
      <c r="AB1158" s="3280"/>
      <c r="AG1158" s="3865"/>
      <c r="AM1158" s="3041"/>
      <c r="BD1158" s="3280"/>
      <c r="BF1158" s="3041"/>
      <c r="BH1158" s="3282"/>
    </row>
    <row r="1159" spans="1:60" s="3030" customFormat="1">
      <c r="A1159" s="2126"/>
      <c r="B1159" s="2126"/>
      <c r="C1159" s="2126"/>
      <c r="D1159" s="2126"/>
      <c r="E1159" s="525"/>
      <c r="F1159" s="525"/>
      <c r="G1159" s="525"/>
      <c r="K1159" s="3280"/>
      <c r="AB1159" s="3280"/>
      <c r="AG1159" s="3865"/>
      <c r="AM1159" s="3041"/>
      <c r="BD1159" s="3280"/>
      <c r="BF1159" s="3041"/>
      <c r="BH1159" s="3282"/>
    </row>
    <row r="1160" spans="1:60" s="3030" customFormat="1">
      <c r="A1160" s="2126"/>
      <c r="B1160" s="2126"/>
      <c r="C1160" s="2126"/>
      <c r="D1160" s="2126"/>
      <c r="E1160" s="525"/>
      <c r="F1160" s="525"/>
      <c r="G1160" s="525"/>
      <c r="K1160" s="3280"/>
      <c r="AB1160" s="3280"/>
      <c r="AG1160" s="3865"/>
      <c r="AM1160" s="3041"/>
      <c r="BD1160" s="3280"/>
      <c r="BF1160" s="3041"/>
      <c r="BH1160" s="3282"/>
    </row>
    <row r="1161" spans="1:60" s="3030" customFormat="1">
      <c r="A1161" s="2126"/>
      <c r="B1161" s="2126"/>
      <c r="C1161" s="2126"/>
      <c r="D1161" s="2126"/>
      <c r="E1161" s="525"/>
      <c r="F1161" s="525"/>
      <c r="G1161" s="525"/>
      <c r="K1161" s="3280"/>
      <c r="AB1161" s="3280"/>
      <c r="AG1161" s="3865"/>
      <c r="AM1161" s="3041"/>
      <c r="BD1161" s="3280"/>
      <c r="BF1161" s="3041"/>
      <c r="BH1161" s="3282"/>
    </row>
    <row r="1162" spans="1:60" s="3030" customFormat="1">
      <c r="A1162" s="2126"/>
      <c r="B1162" s="2126"/>
      <c r="C1162" s="2126"/>
      <c r="D1162" s="2126"/>
      <c r="E1162" s="525"/>
      <c r="F1162" s="525"/>
      <c r="G1162" s="525"/>
      <c r="K1162" s="3280"/>
      <c r="AB1162" s="3280"/>
      <c r="AG1162" s="3865"/>
      <c r="AM1162" s="3041"/>
      <c r="BD1162" s="3280"/>
      <c r="BF1162" s="3041"/>
      <c r="BH1162" s="3282"/>
    </row>
    <row r="1163" spans="1:60" s="3030" customFormat="1">
      <c r="A1163" s="2126"/>
      <c r="B1163" s="2126"/>
      <c r="C1163" s="2126"/>
      <c r="D1163" s="2126"/>
      <c r="E1163" s="525"/>
      <c r="F1163" s="525"/>
      <c r="G1163" s="525"/>
      <c r="K1163" s="3280"/>
      <c r="AB1163" s="3280"/>
      <c r="AG1163" s="3865"/>
      <c r="AM1163" s="3041"/>
      <c r="BD1163" s="3280"/>
      <c r="BF1163" s="3041"/>
      <c r="BH1163" s="3282"/>
    </row>
    <row r="1164" spans="1:60" s="3030" customFormat="1">
      <c r="A1164" s="2126"/>
      <c r="B1164" s="2126"/>
      <c r="C1164" s="2126"/>
      <c r="D1164" s="2126"/>
      <c r="E1164" s="525"/>
      <c r="F1164" s="525"/>
      <c r="G1164" s="525"/>
      <c r="K1164" s="3280"/>
      <c r="AB1164" s="3280"/>
      <c r="AG1164" s="3865"/>
      <c r="AM1164" s="3041"/>
      <c r="BD1164" s="3280"/>
      <c r="BF1164" s="3041"/>
      <c r="BH1164" s="3282"/>
    </row>
    <row r="1165" spans="1:60" s="3030" customFormat="1">
      <c r="A1165" s="2126"/>
      <c r="B1165" s="2126"/>
      <c r="C1165" s="2126"/>
      <c r="D1165" s="2126"/>
      <c r="E1165" s="525"/>
      <c r="F1165" s="525"/>
      <c r="G1165" s="525"/>
      <c r="K1165" s="3280"/>
      <c r="AB1165" s="3280"/>
      <c r="AG1165" s="3865"/>
      <c r="AM1165" s="3041"/>
      <c r="BD1165" s="3280"/>
      <c r="BF1165" s="3041"/>
      <c r="BH1165" s="3282"/>
    </row>
    <row r="1166" spans="1:60" s="3030" customFormat="1">
      <c r="A1166" s="2126"/>
      <c r="B1166" s="2126"/>
      <c r="C1166" s="2126"/>
      <c r="D1166" s="2126"/>
      <c r="E1166" s="525"/>
      <c r="F1166" s="525"/>
      <c r="G1166" s="525"/>
      <c r="K1166" s="3280"/>
      <c r="AB1166" s="3280"/>
      <c r="AG1166" s="3865"/>
      <c r="AM1166" s="3041"/>
      <c r="BD1166" s="3280"/>
      <c r="BF1166" s="3041"/>
      <c r="BH1166" s="3282"/>
    </row>
    <row r="1167" spans="1:60" s="3030" customFormat="1">
      <c r="A1167" s="2126"/>
      <c r="B1167" s="2126"/>
      <c r="C1167" s="2126"/>
      <c r="D1167" s="2126"/>
      <c r="E1167" s="525"/>
      <c r="F1167" s="525"/>
      <c r="G1167" s="525"/>
      <c r="K1167" s="3280"/>
      <c r="AB1167" s="3280"/>
      <c r="AG1167" s="3865"/>
      <c r="AM1167" s="3041"/>
      <c r="BD1167" s="3280"/>
      <c r="BF1167" s="3041"/>
      <c r="BH1167" s="3282"/>
    </row>
    <row r="1168" spans="1:60" s="3030" customFormat="1">
      <c r="A1168" s="2126"/>
      <c r="B1168" s="2126"/>
      <c r="C1168" s="2126"/>
      <c r="D1168" s="2126"/>
      <c r="E1168" s="525"/>
      <c r="F1168" s="525"/>
      <c r="G1168" s="525"/>
      <c r="K1168" s="3280"/>
      <c r="AB1168" s="3280"/>
      <c r="AG1168" s="3865"/>
      <c r="AM1168" s="3041"/>
      <c r="BD1168" s="3280"/>
      <c r="BF1168" s="3041"/>
      <c r="BH1168" s="3282"/>
    </row>
    <row r="1169" spans="1:60" s="3030" customFormat="1">
      <c r="A1169" s="2126"/>
      <c r="B1169" s="2126"/>
      <c r="C1169" s="2126"/>
      <c r="D1169" s="2126"/>
      <c r="E1169" s="525"/>
      <c r="F1169" s="525"/>
      <c r="G1169" s="525"/>
      <c r="K1169" s="3280"/>
      <c r="AB1169" s="3280"/>
      <c r="AG1169" s="3865"/>
      <c r="AM1169" s="3041"/>
      <c r="BD1169" s="3280"/>
      <c r="BF1169" s="3041"/>
      <c r="BH1169" s="3282"/>
    </row>
    <row r="1170" spans="1:60" s="3030" customFormat="1">
      <c r="A1170" s="2126"/>
      <c r="B1170" s="2126"/>
      <c r="C1170" s="2126"/>
      <c r="D1170" s="2126"/>
      <c r="E1170" s="525"/>
      <c r="F1170" s="525"/>
      <c r="G1170" s="525"/>
      <c r="K1170" s="3280"/>
      <c r="AB1170" s="3280"/>
      <c r="AG1170" s="3865"/>
      <c r="AM1170" s="3041"/>
      <c r="BD1170" s="3280"/>
      <c r="BF1170" s="3041"/>
      <c r="BH1170" s="3282"/>
    </row>
    <row r="1171" spans="1:60" s="3030" customFormat="1">
      <c r="A1171" s="2126"/>
      <c r="B1171" s="2126"/>
      <c r="C1171" s="2126"/>
      <c r="D1171" s="2126"/>
      <c r="E1171" s="525"/>
      <c r="F1171" s="525"/>
      <c r="G1171" s="525"/>
      <c r="K1171" s="3280"/>
      <c r="AB1171" s="3280"/>
      <c r="AG1171" s="3865"/>
      <c r="AM1171" s="3041"/>
      <c r="BD1171" s="3280"/>
      <c r="BF1171" s="3041"/>
      <c r="BH1171" s="3282"/>
    </row>
    <row r="1172" spans="1:60" s="3030" customFormat="1">
      <c r="A1172" s="2126"/>
      <c r="B1172" s="2126"/>
      <c r="C1172" s="2126"/>
      <c r="D1172" s="2126"/>
      <c r="E1172" s="525"/>
      <c r="F1172" s="525"/>
      <c r="G1172" s="525"/>
      <c r="K1172" s="3280"/>
      <c r="AB1172" s="3280"/>
      <c r="AG1172" s="3865"/>
      <c r="AM1172" s="3041"/>
      <c r="BD1172" s="3280"/>
      <c r="BF1172" s="3041"/>
      <c r="BH1172" s="3282"/>
    </row>
    <row r="1173" spans="1:60" s="3030" customFormat="1">
      <c r="A1173" s="2126"/>
      <c r="B1173" s="2126"/>
      <c r="C1173" s="2126"/>
      <c r="D1173" s="2126"/>
      <c r="E1173" s="525"/>
      <c r="F1173" s="525"/>
      <c r="G1173" s="525"/>
      <c r="K1173" s="3280"/>
      <c r="AB1173" s="3280"/>
      <c r="AG1173" s="3865"/>
      <c r="AM1173" s="3041"/>
      <c r="BD1173" s="3280"/>
      <c r="BF1173" s="3041"/>
      <c r="BH1173" s="3282"/>
    </row>
    <row r="1174" spans="1:60" s="3030" customFormat="1">
      <c r="A1174" s="2126"/>
      <c r="B1174" s="2126"/>
      <c r="C1174" s="2126"/>
      <c r="D1174" s="2126"/>
      <c r="E1174" s="525"/>
      <c r="F1174" s="525"/>
      <c r="G1174" s="525"/>
      <c r="K1174" s="3280"/>
      <c r="AB1174" s="3280"/>
      <c r="AG1174" s="3865"/>
      <c r="AM1174" s="3041"/>
      <c r="BD1174" s="3280"/>
      <c r="BF1174" s="3041"/>
      <c r="BH1174" s="3282"/>
    </row>
    <row r="1175" spans="1:60" s="3030" customFormat="1">
      <c r="A1175" s="2126"/>
      <c r="B1175" s="2126"/>
      <c r="C1175" s="2126"/>
      <c r="D1175" s="2126"/>
      <c r="E1175" s="525"/>
      <c r="F1175" s="525"/>
      <c r="G1175" s="525"/>
      <c r="K1175" s="3280"/>
      <c r="AB1175" s="3280"/>
      <c r="AG1175" s="3865"/>
      <c r="AM1175" s="3041"/>
      <c r="BD1175" s="3280"/>
      <c r="BF1175" s="3041"/>
      <c r="BH1175" s="3282"/>
    </row>
    <row r="1176" spans="1:60" s="3030" customFormat="1">
      <c r="A1176" s="2126"/>
      <c r="B1176" s="2126"/>
      <c r="C1176" s="2126"/>
      <c r="D1176" s="2126"/>
      <c r="E1176" s="525"/>
      <c r="F1176" s="525"/>
      <c r="G1176" s="525"/>
      <c r="K1176" s="3280"/>
      <c r="AB1176" s="3280"/>
      <c r="AG1176" s="3865"/>
      <c r="AM1176" s="3041"/>
      <c r="BD1176" s="3280"/>
      <c r="BF1176" s="3041"/>
      <c r="BH1176" s="3282"/>
    </row>
    <row r="1177" spans="1:60" s="3030" customFormat="1">
      <c r="A1177" s="2126"/>
      <c r="B1177" s="2126"/>
      <c r="C1177" s="2126"/>
      <c r="D1177" s="2126"/>
      <c r="E1177" s="525"/>
      <c r="F1177" s="525"/>
      <c r="G1177" s="525"/>
      <c r="K1177" s="3280"/>
      <c r="AB1177" s="3280"/>
      <c r="AG1177" s="3865"/>
      <c r="AM1177" s="3041"/>
      <c r="BD1177" s="3280"/>
      <c r="BF1177" s="3041"/>
      <c r="BH1177" s="3282"/>
    </row>
    <row r="1178" spans="1:60" s="3030" customFormat="1">
      <c r="A1178" s="2126"/>
      <c r="B1178" s="2126"/>
      <c r="C1178" s="2126"/>
      <c r="D1178" s="2126"/>
      <c r="E1178" s="525"/>
      <c r="F1178" s="525"/>
      <c r="G1178" s="525"/>
      <c r="K1178" s="3280"/>
      <c r="AB1178" s="3280"/>
      <c r="AG1178" s="3865"/>
      <c r="AM1178" s="3041"/>
      <c r="BD1178" s="3280"/>
      <c r="BF1178" s="3041"/>
      <c r="BH1178" s="3282"/>
    </row>
    <row r="1179" spans="1:60" s="3030" customFormat="1">
      <c r="A1179" s="2126"/>
      <c r="B1179" s="2126"/>
      <c r="C1179" s="2126"/>
      <c r="D1179" s="2126"/>
      <c r="E1179" s="525"/>
      <c r="F1179" s="525"/>
      <c r="G1179" s="525"/>
      <c r="K1179" s="3280"/>
      <c r="AB1179" s="3280"/>
      <c r="AG1179" s="3865"/>
      <c r="AM1179" s="3041"/>
      <c r="BD1179" s="3280"/>
      <c r="BF1179" s="3041"/>
      <c r="BH1179" s="3282"/>
    </row>
    <row r="1180" spans="1:60" s="3030" customFormat="1">
      <c r="A1180" s="2126"/>
      <c r="B1180" s="2126"/>
      <c r="C1180" s="2126"/>
      <c r="D1180" s="2126"/>
      <c r="E1180" s="525"/>
      <c r="F1180" s="525"/>
      <c r="G1180" s="525"/>
      <c r="K1180" s="3280"/>
      <c r="AB1180" s="3280"/>
      <c r="AG1180" s="3865"/>
      <c r="AM1180" s="3041"/>
      <c r="BD1180" s="3280"/>
      <c r="BF1180" s="3041"/>
      <c r="BH1180" s="3282"/>
    </row>
    <row r="1181" spans="1:60" s="3030" customFormat="1">
      <c r="A1181" s="2126"/>
      <c r="B1181" s="2126"/>
      <c r="C1181" s="2126"/>
      <c r="D1181" s="2126"/>
      <c r="E1181" s="525"/>
      <c r="F1181" s="525"/>
      <c r="G1181" s="525"/>
      <c r="K1181" s="3280"/>
      <c r="AB1181" s="3280"/>
      <c r="AG1181" s="3865"/>
      <c r="AM1181" s="3041"/>
      <c r="BD1181" s="3280"/>
      <c r="BF1181" s="3041"/>
      <c r="BH1181" s="3282"/>
    </row>
    <row r="1182" spans="1:60" s="3030" customFormat="1">
      <c r="A1182" s="2126"/>
      <c r="B1182" s="2126"/>
      <c r="C1182" s="2126"/>
      <c r="D1182" s="2126"/>
      <c r="E1182" s="525"/>
      <c r="F1182" s="525"/>
      <c r="G1182" s="525"/>
      <c r="K1182" s="3280"/>
      <c r="AB1182" s="3280"/>
      <c r="AG1182" s="3865"/>
      <c r="AM1182" s="3041"/>
      <c r="BD1182" s="3280"/>
      <c r="BF1182" s="3041"/>
      <c r="BH1182" s="3282"/>
    </row>
    <row r="1183" spans="1:60" s="3030" customFormat="1">
      <c r="A1183" s="2126"/>
      <c r="B1183" s="2126"/>
      <c r="C1183" s="2126"/>
      <c r="D1183" s="2126"/>
      <c r="E1183" s="525"/>
      <c r="F1183" s="525"/>
      <c r="G1183" s="525"/>
      <c r="K1183" s="3280"/>
      <c r="AB1183" s="3280"/>
      <c r="AG1183" s="3865"/>
      <c r="AM1183" s="3041"/>
      <c r="BD1183" s="3280"/>
      <c r="BF1183" s="3041"/>
      <c r="BH1183" s="3282"/>
    </row>
    <row r="1184" spans="1:60" s="3030" customFormat="1">
      <c r="A1184" s="2126"/>
      <c r="B1184" s="2126"/>
      <c r="C1184" s="2126"/>
      <c r="D1184" s="2126"/>
      <c r="E1184" s="525"/>
      <c r="F1184" s="525"/>
      <c r="G1184" s="525"/>
      <c r="K1184" s="3280"/>
      <c r="AB1184" s="3280"/>
      <c r="AG1184" s="3865"/>
      <c r="AM1184" s="3041"/>
      <c r="BD1184" s="3280"/>
      <c r="BF1184" s="3041"/>
      <c r="BH1184" s="3282"/>
    </row>
    <row r="1185" spans="1:60" s="3030" customFormat="1">
      <c r="A1185" s="2126"/>
      <c r="B1185" s="2126"/>
      <c r="C1185" s="2126"/>
      <c r="D1185" s="2126"/>
      <c r="E1185" s="525"/>
      <c r="F1185" s="525"/>
      <c r="G1185" s="525"/>
      <c r="K1185" s="3280"/>
      <c r="AB1185" s="3280"/>
      <c r="AG1185" s="3865"/>
      <c r="AM1185" s="3041"/>
      <c r="BD1185" s="3280"/>
      <c r="BF1185" s="3041"/>
      <c r="BH1185" s="3282"/>
    </row>
    <row r="1186" spans="1:60" s="3030" customFormat="1">
      <c r="A1186" s="2126"/>
      <c r="B1186" s="2126"/>
      <c r="C1186" s="2126"/>
      <c r="D1186" s="2126"/>
      <c r="E1186" s="525"/>
      <c r="F1186" s="525"/>
      <c r="G1186" s="525"/>
      <c r="K1186" s="3280"/>
      <c r="AB1186" s="3280"/>
      <c r="AG1186" s="3865"/>
      <c r="AM1186" s="3041"/>
      <c r="BD1186" s="3280"/>
      <c r="BF1186" s="3041"/>
      <c r="BH1186" s="3282"/>
    </row>
    <row r="1187" spans="1:60" s="3030" customFormat="1">
      <c r="A1187" s="2126"/>
      <c r="B1187" s="2126"/>
      <c r="C1187" s="2126"/>
      <c r="D1187" s="2126"/>
      <c r="E1187" s="525"/>
      <c r="F1187" s="525"/>
      <c r="G1187" s="525"/>
      <c r="K1187" s="3280"/>
      <c r="AB1187" s="3280"/>
      <c r="AG1187" s="3865"/>
      <c r="AM1187" s="3041"/>
      <c r="BD1187" s="3280"/>
      <c r="BF1187" s="3041"/>
      <c r="BH1187" s="3282"/>
    </row>
    <row r="1188" spans="1:60" s="3030" customFormat="1">
      <c r="A1188" s="2126"/>
      <c r="B1188" s="2126"/>
      <c r="C1188" s="2126"/>
      <c r="D1188" s="2126"/>
      <c r="E1188" s="525"/>
      <c r="F1188" s="525"/>
      <c r="G1188" s="525"/>
      <c r="K1188" s="3280"/>
      <c r="AB1188" s="3280"/>
      <c r="AG1188" s="3865"/>
      <c r="AM1188" s="3041"/>
      <c r="BD1188" s="3280"/>
      <c r="BF1188" s="3041"/>
      <c r="BH1188" s="3282"/>
    </row>
    <row r="1189" spans="1:60" s="3030" customFormat="1">
      <c r="A1189" s="2126"/>
      <c r="B1189" s="2126"/>
      <c r="C1189" s="2126"/>
      <c r="D1189" s="2126"/>
      <c r="E1189" s="525"/>
      <c r="F1189" s="525"/>
      <c r="G1189" s="525"/>
      <c r="K1189" s="3280"/>
      <c r="AB1189" s="3280"/>
      <c r="AG1189" s="3865"/>
      <c r="AM1189" s="3041"/>
      <c r="BD1189" s="3280"/>
      <c r="BF1189" s="3041"/>
      <c r="BH1189" s="3282"/>
    </row>
    <row r="1190" spans="1:60" s="3030" customFormat="1">
      <c r="A1190" s="2126"/>
      <c r="B1190" s="2126"/>
      <c r="C1190" s="2126"/>
      <c r="D1190" s="2126"/>
      <c r="E1190" s="525"/>
      <c r="F1190" s="525"/>
      <c r="G1190" s="525"/>
      <c r="K1190" s="3280"/>
      <c r="AB1190" s="3280"/>
      <c r="AG1190" s="3865"/>
      <c r="AM1190" s="3041"/>
      <c r="BD1190" s="3280"/>
      <c r="BF1190" s="3041"/>
      <c r="BH1190" s="3282"/>
    </row>
    <row r="1191" spans="1:60" s="3030" customFormat="1">
      <c r="A1191" s="2126"/>
      <c r="B1191" s="2126"/>
      <c r="C1191" s="2126"/>
      <c r="D1191" s="2126"/>
      <c r="E1191" s="525"/>
      <c r="F1191" s="525"/>
      <c r="G1191" s="525"/>
      <c r="K1191" s="3280"/>
      <c r="AB1191" s="3280"/>
      <c r="AG1191" s="3865"/>
      <c r="AM1191" s="3041"/>
      <c r="BD1191" s="3280"/>
      <c r="BF1191" s="3041"/>
      <c r="BH1191" s="3282"/>
    </row>
    <row r="1192" spans="1:60" s="3030" customFormat="1">
      <c r="A1192" s="2126"/>
      <c r="B1192" s="2126"/>
      <c r="C1192" s="2126"/>
      <c r="D1192" s="2126"/>
      <c r="E1192" s="525"/>
      <c r="F1192" s="525"/>
      <c r="G1192" s="525"/>
      <c r="K1192" s="3280"/>
      <c r="AB1192" s="3280"/>
      <c r="AG1192" s="3865"/>
      <c r="AM1192" s="3041"/>
      <c r="BD1192" s="3280"/>
      <c r="BF1192" s="3041"/>
      <c r="BH1192" s="3282"/>
    </row>
    <row r="1193" spans="1:60" s="3030" customFormat="1">
      <c r="A1193" s="2126"/>
      <c r="B1193" s="2126"/>
      <c r="C1193" s="2126"/>
      <c r="D1193" s="2126"/>
      <c r="E1193" s="525"/>
      <c r="F1193" s="525"/>
      <c r="G1193" s="525"/>
      <c r="K1193" s="3280"/>
      <c r="AB1193" s="3280"/>
      <c r="AG1193" s="3865"/>
      <c r="AM1193" s="3041"/>
      <c r="BD1193" s="3280"/>
      <c r="BF1193" s="3041"/>
      <c r="BH1193" s="3282"/>
    </row>
    <row r="1194" spans="1:60" s="3030" customFormat="1">
      <c r="A1194" s="2126"/>
      <c r="B1194" s="2126"/>
      <c r="C1194" s="2126"/>
      <c r="D1194" s="2126"/>
      <c r="E1194" s="525"/>
      <c r="F1194" s="525"/>
      <c r="G1194" s="525"/>
      <c r="K1194" s="3280"/>
      <c r="AB1194" s="3280"/>
      <c r="AG1194" s="3865"/>
      <c r="AM1194" s="3041"/>
      <c r="BD1194" s="3280"/>
      <c r="BF1194" s="3041"/>
      <c r="BH1194" s="3282"/>
    </row>
    <row r="1195" spans="1:60" s="3030" customFormat="1">
      <c r="A1195" s="2126"/>
      <c r="B1195" s="2126"/>
      <c r="C1195" s="2126"/>
      <c r="D1195" s="2126"/>
      <c r="E1195" s="525"/>
      <c r="F1195" s="525"/>
      <c r="G1195" s="525"/>
      <c r="K1195" s="3280"/>
      <c r="AB1195" s="3280"/>
      <c r="AG1195" s="3865"/>
      <c r="AM1195" s="3041"/>
      <c r="BD1195" s="3280"/>
      <c r="BF1195" s="3041"/>
      <c r="BH1195" s="3282"/>
    </row>
    <row r="1196" spans="1:60" s="3030" customFormat="1">
      <c r="A1196" s="2126"/>
      <c r="B1196" s="2126"/>
      <c r="C1196" s="2126"/>
      <c r="D1196" s="2126"/>
      <c r="E1196" s="525"/>
      <c r="F1196" s="525"/>
      <c r="G1196" s="525"/>
      <c r="K1196" s="3280"/>
      <c r="AB1196" s="3280"/>
      <c r="AG1196" s="3865"/>
      <c r="AM1196" s="3041"/>
      <c r="BD1196" s="3280"/>
      <c r="BF1196" s="3041"/>
      <c r="BH1196" s="3282"/>
    </row>
    <row r="1197" spans="1:60" s="3030" customFormat="1">
      <c r="A1197" s="2126"/>
      <c r="B1197" s="2126"/>
      <c r="C1197" s="2126"/>
      <c r="D1197" s="2126"/>
      <c r="E1197" s="525"/>
      <c r="F1197" s="525"/>
      <c r="G1197" s="525"/>
      <c r="K1197" s="3280"/>
      <c r="AB1197" s="3280"/>
      <c r="AG1197" s="3865"/>
      <c r="AM1197" s="3041"/>
      <c r="BD1197" s="3280"/>
      <c r="BF1197" s="3041"/>
      <c r="BH1197" s="3282"/>
    </row>
    <row r="1198" spans="1:60" s="3030" customFormat="1">
      <c r="A1198" s="2126"/>
      <c r="B1198" s="2126"/>
      <c r="C1198" s="2126"/>
      <c r="D1198" s="2126"/>
      <c r="E1198" s="525"/>
      <c r="F1198" s="525"/>
      <c r="G1198" s="525"/>
      <c r="K1198" s="3280"/>
      <c r="AB1198" s="3280"/>
      <c r="AG1198" s="3865"/>
      <c r="AM1198" s="3041"/>
      <c r="BD1198" s="3280"/>
      <c r="BF1198" s="3041"/>
      <c r="BH1198" s="3282"/>
    </row>
    <row r="1199" spans="1:60" s="3030" customFormat="1">
      <c r="A1199" s="2126"/>
      <c r="B1199" s="2126"/>
      <c r="C1199" s="2126"/>
      <c r="D1199" s="2126"/>
      <c r="E1199" s="525"/>
      <c r="F1199" s="525"/>
      <c r="G1199" s="525"/>
      <c r="K1199" s="3280"/>
      <c r="AB1199" s="3280"/>
      <c r="AG1199" s="3865"/>
      <c r="AM1199" s="3041"/>
      <c r="BD1199" s="3280"/>
      <c r="BF1199" s="3041"/>
      <c r="BH1199" s="3282"/>
    </row>
    <row r="1200" spans="1:60" s="3030" customFormat="1">
      <c r="A1200" s="2126"/>
      <c r="B1200" s="2126"/>
      <c r="C1200" s="2126"/>
      <c r="D1200" s="2126"/>
      <c r="E1200" s="525"/>
      <c r="F1200" s="525"/>
      <c r="G1200" s="525"/>
      <c r="K1200" s="3280"/>
      <c r="AB1200" s="3280"/>
      <c r="AG1200" s="3865"/>
      <c r="AM1200" s="3041"/>
      <c r="BD1200" s="3280"/>
      <c r="BF1200" s="3041"/>
      <c r="BH1200" s="3282"/>
    </row>
    <row r="1201" spans="1:60" s="3030" customFormat="1">
      <c r="A1201" s="2126"/>
      <c r="B1201" s="2126"/>
      <c r="C1201" s="2126"/>
      <c r="D1201" s="2126"/>
      <c r="E1201" s="525"/>
      <c r="F1201" s="525"/>
      <c r="G1201" s="525"/>
      <c r="K1201" s="3280"/>
      <c r="AB1201" s="3280"/>
      <c r="AG1201" s="3865"/>
      <c r="AM1201" s="3041"/>
      <c r="BD1201" s="3280"/>
      <c r="BF1201" s="3041"/>
      <c r="BH1201" s="3282"/>
    </row>
    <row r="1202" spans="1:60" s="3030" customFormat="1">
      <c r="A1202" s="2126"/>
      <c r="B1202" s="2126"/>
      <c r="C1202" s="2126"/>
      <c r="D1202" s="2126"/>
      <c r="E1202" s="525"/>
      <c r="F1202" s="525"/>
      <c r="G1202" s="525"/>
      <c r="K1202" s="3280"/>
      <c r="AB1202" s="3280"/>
      <c r="AG1202" s="3865"/>
      <c r="AM1202" s="3041"/>
      <c r="BD1202" s="3280"/>
      <c r="BF1202" s="3041"/>
      <c r="BH1202" s="3282"/>
    </row>
    <row r="1203" spans="1:60" s="3030" customFormat="1">
      <c r="A1203" s="2126"/>
      <c r="B1203" s="2126"/>
      <c r="C1203" s="2126"/>
      <c r="D1203" s="2126"/>
      <c r="E1203" s="525"/>
      <c r="F1203" s="525"/>
      <c r="G1203" s="525"/>
      <c r="K1203" s="3280"/>
      <c r="AB1203" s="3280"/>
      <c r="AG1203" s="3865"/>
      <c r="AM1203" s="3041"/>
      <c r="BD1203" s="3280"/>
      <c r="BF1203" s="3041"/>
      <c r="BH1203" s="3282"/>
    </row>
    <row r="1204" spans="1:60" s="3030" customFormat="1">
      <c r="A1204" s="2126"/>
      <c r="B1204" s="2126"/>
      <c r="C1204" s="2126"/>
      <c r="D1204" s="2126"/>
      <c r="E1204" s="525"/>
      <c r="F1204" s="525"/>
      <c r="G1204" s="525"/>
      <c r="K1204" s="3280"/>
      <c r="AB1204" s="3280"/>
      <c r="AG1204" s="3865"/>
      <c r="AM1204" s="3041"/>
      <c r="BD1204" s="3280"/>
      <c r="BF1204" s="3041"/>
      <c r="BH1204" s="3282"/>
    </row>
    <row r="1205" spans="1:60" s="3030" customFormat="1">
      <c r="A1205" s="2126"/>
      <c r="B1205" s="2126"/>
      <c r="C1205" s="2126"/>
      <c r="D1205" s="2126"/>
      <c r="E1205" s="525"/>
      <c r="F1205" s="525"/>
      <c r="G1205" s="525"/>
      <c r="K1205" s="3280"/>
      <c r="AB1205" s="3280"/>
      <c r="AG1205" s="3865"/>
      <c r="AM1205" s="3041"/>
      <c r="BD1205" s="3280"/>
      <c r="BF1205" s="3041"/>
      <c r="BH1205" s="3282"/>
    </row>
    <row r="1206" spans="1:60" s="3030" customFormat="1">
      <c r="A1206" s="2126"/>
      <c r="B1206" s="2126"/>
      <c r="C1206" s="2126"/>
      <c r="D1206" s="2126"/>
      <c r="E1206" s="525"/>
      <c r="F1206" s="525"/>
      <c r="G1206" s="525"/>
      <c r="K1206" s="3280"/>
      <c r="AB1206" s="3280"/>
      <c r="AG1206" s="3865"/>
      <c r="AM1206" s="3041"/>
      <c r="BD1206" s="3280"/>
      <c r="BF1206" s="3041"/>
      <c r="BH1206" s="3282"/>
    </row>
    <row r="1207" spans="1:60" s="3030" customFormat="1">
      <c r="A1207" s="2126"/>
      <c r="B1207" s="2126"/>
      <c r="C1207" s="2126"/>
      <c r="D1207" s="2126"/>
      <c r="E1207" s="525"/>
      <c r="F1207" s="525"/>
      <c r="G1207" s="525"/>
      <c r="K1207" s="3280"/>
      <c r="AB1207" s="3280"/>
      <c r="AG1207" s="3865"/>
      <c r="AM1207" s="3041"/>
      <c r="BD1207" s="3280"/>
      <c r="BF1207" s="3041"/>
      <c r="BH1207" s="3282"/>
    </row>
    <row r="1208" spans="1:60" s="3030" customFormat="1">
      <c r="A1208" s="2126"/>
      <c r="B1208" s="2126"/>
      <c r="C1208" s="2126"/>
      <c r="D1208" s="2126"/>
      <c r="E1208" s="525"/>
      <c r="F1208" s="525"/>
      <c r="G1208" s="525"/>
      <c r="K1208" s="3280"/>
      <c r="AB1208" s="3280"/>
      <c r="AG1208" s="3865"/>
      <c r="AM1208" s="3041"/>
      <c r="BD1208" s="3280"/>
      <c r="BF1208" s="3041"/>
      <c r="BH1208" s="3282"/>
    </row>
    <row r="1209" spans="1:60" s="3030" customFormat="1">
      <c r="A1209" s="2126"/>
      <c r="B1209" s="2126"/>
      <c r="C1209" s="2126"/>
      <c r="D1209" s="2126"/>
      <c r="E1209" s="525"/>
      <c r="F1209" s="525"/>
      <c r="G1209" s="525"/>
      <c r="K1209" s="3280"/>
      <c r="AB1209" s="3280"/>
      <c r="AG1209" s="3865"/>
      <c r="AM1209" s="3041"/>
      <c r="BD1209" s="3280"/>
      <c r="BF1209" s="3041"/>
      <c r="BH1209" s="3282"/>
    </row>
    <row r="1210" spans="1:60" s="3030" customFormat="1">
      <c r="A1210" s="2126"/>
      <c r="B1210" s="2126"/>
      <c r="C1210" s="2126"/>
      <c r="D1210" s="2126"/>
      <c r="E1210" s="525"/>
      <c r="F1210" s="525"/>
      <c r="G1210" s="525"/>
      <c r="K1210" s="3280"/>
      <c r="AB1210" s="3280"/>
      <c r="AG1210" s="3865"/>
      <c r="AM1210" s="3041"/>
      <c r="BD1210" s="3280"/>
      <c r="BF1210" s="3041"/>
      <c r="BH1210" s="3282"/>
    </row>
    <row r="1211" spans="1:60" s="3030" customFormat="1">
      <c r="A1211" s="2126"/>
      <c r="B1211" s="2126"/>
      <c r="C1211" s="2126"/>
      <c r="D1211" s="2126"/>
      <c r="E1211" s="525"/>
      <c r="F1211" s="525"/>
      <c r="G1211" s="525"/>
      <c r="K1211" s="3280"/>
      <c r="AB1211" s="3280"/>
      <c r="AG1211" s="3865"/>
      <c r="AM1211" s="3041"/>
      <c r="BD1211" s="3280"/>
      <c r="BF1211" s="3041"/>
      <c r="BH1211" s="3282"/>
    </row>
    <row r="1212" spans="1:60" s="3030" customFormat="1">
      <c r="A1212" s="2126"/>
      <c r="B1212" s="2126"/>
      <c r="C1212" s="2126"/>
      <c r="D1212" s="2126"/>
      <c r="E1212" s="525"/>
      <c r="F1212" s="525"/>
      <c r="G1212" s="525"/>
      <c r="K1212" s="3280"/>
      <c r="AB1212" s="3280"/>
      <c r="AG1212" s="3865"/>
      <c r="AM1212" s="3041"/>
      <c r="BD1212" s="3280"/>
      <c r="BF1212" s="3041"/>
      <c r="BH1212" s="3282"/>
    </row>
    <row r="1213" spans="1:60" s="3030" customFormat="1">
      <c r="A1213" s="2126"/>
      <c r="B1213" s="2126"/>
      <c r="C1213" s="2126"/>
      <c r="D1213" s="2126"/>
      <c r="E1213" s="525"/>
      <c r="F1213" s="525"/>
      <c r="G1213" s="525"/>
      <c r="K1213" s="3280"/>
      <c r="AB1213" s="3280"/>
      <c r="AG1213" s="3865"/>
      <c r="AM1213" s="3041"/>
      <c r="BD1213" s="3280"/>
      <c r="BF1213" s="3041"/>
      <c r="BH1213" s="3282"/>
    </row>
    <row r="1214" spans="1:60" s="3030" customFormat="1">
      <c r="A1214" s="2126"/>
      <c r="B1214" s="2126"/>
      <c r="C1214" s="2126"/>
      <c r="D1214" s="2126"/>
      <c r="E1214" s="525"/>
      <c r="F1214" s="525"/>
      <c r="G1214" s="525"/>
      <c r="K1214" s="3280"/>
      <c r="AB1214" s="3280"/>
      <c r="AG1214" s="3865"/>
      <c r="AM1214" s="3041"/>
      <c r="BD1214" s="3280"/>
      <c r="BF1214" s="3041"/>
      <c r="BH1214" s="3282"/>
    </row>
    <row r="1215" spans="1:60" s="3030" customFormat="1">
      <c r="A1215" s="2126"/>
      <c r="B1215" s="2126"/>
      <c r="C1215" s="2126"/>
      <c r="D1215" s="2126"/>
      <c r="E1215" s="525"/>
      <c r="F1215" s="525"/>
      <c r="G1215" s="525"/>
      <c r="K1215" s="3280"/>
      <c r="AB1215" s="3280"/>
      <c r="AG1215" s="3865"/>
      <c r="AM1215" s="3041"/>
      <c r="BD1215" s="3280"/>
      <c r="BF1215" s="3041"/>
      <c r="BH1215" s="3282"/>
    </row>
    <row r="1216" spans="1:60" s="3030" customFormat="1">
      <c r="A1216" s="2126"/>
      <c r="B1216" s="2126"/>
      <c r="C1216" s="2126"/>
      <c r="D1216" s="2126"/>
      <c r="E1216" s="525"/>
      <c r="F1216" s="525"/>
      <c r="G1216" s="525"/>
      <c r="K1216" s="3280"/>
      <c r="AB1216" s="3280"/>
      <c r="AG1216" s="3865"/>
      <c r="AM1216" s="3041"/>
      <c r="BD1216" s="3280"/>
      <c r="BF1216" s="3041"/>
      <c r="BH1216" s="3282"/>
    </row>
    <row r="1217" spans="1:60" s="3030" customFormat="1">
      <c r="A1217" s="2126"/>
      <c r="B1217" s="2126"/>
      <c r="C1217" s="2126"/>
      <c r="D1217" s="2126"/>
      <c r="E1217" s="525"/>
      <c r="F1217" s="525"/>
      <c r="G1217" s="525"/>
      <c r="K1217" s="3280"/>
      <c r="AB1217" s="3280"/>
      <c r="AG1217" s="3865"/>
      <c r="AM1217" s="3041"/>
      <c r="BD1217" s="3280"/>
      <c r="BF1217" s="3041"/>
      <c r="BH1217" s="3282"/>
    </row>
    <row r="1218" spans="1:60" s="3030" customFormat="1">
      <c r="A1218" s="2126"/>
      <c r="B1218" s="2126"/>
      <c r="C1218" s="2126"/>
      <c r="D1218" s="2126"/>
      <c r="E1218" s="525"/>
      <c r="F1218" s="525"/>
      <c r="G1218" s="525"/>
      <c r="K1218" s="3280"/>
      <c r="AB1218" s="3280"/>
      <c r="AG1218" s="3865"/>
      <c r="AM1218" s="3041"/>
      <c r="BD1218" s="3280"/>
      <c r="BF1218" s="3041"/>
      <c r="BH1218" s="3282"/>
    </row>
    <row r="1219" spans="1:60" s="3030" customFormat="1">
      <c r="A1219" s="2126"/>
      <c r="B1219" s="2126"/>
      <c r="C1219" s="2126"/>
      <c r="D1219" s="2126"/>
      <c r="E1219" s="525"/>
      <c r="F1219" s="525"/>
      <c r="G1219" s="525"/>
      <c r="K1219" s="3280"/>
      <c r="AB1219" s="3280"/>
      <c r="AG1219" s="3865"/>
      <c r="AM1219" s="3041"/>
      <c r="BD1219" s="3280"/>
      <c r="BF1219" s="3041"/>
      <c r="BH1219" s="3282"/>
    </row>
    <row r="1220" spans="1:60" s="3030" customFormat="1">
      <c r="A1220" s="2126"/>
      <c r="B1220" s="2126"/>
      <c r="C1220" s="2126"/>
      <c r="D1220" s="2126"/>
      <c r="E1220" s="525"/>
      <c r="F1220" s="525"/>
      <c r="G1220" s="525"/>
      <c r="K1220" s="3280"/>
      <c r="AB1220" s="3280"/>
      <c r="AG1220" s="3865"/>
      <c r="AM1220" s="3041"/>
      <c r="BD1220" s="3280"/>
      <c r="BF1220" s="3041"/>
      <c r="BH1220" s="3282"/>
    </row>
    <row r="1221" spans="1:60" s="3030" customFormat="1">
      <c r="A1221" s="2126"/>
      <c r="B1221" s="2126"/>
      <c r="C1221" s="2126"/>
      <c r="D1221" s="2126"/>
      <c r="E1221" s="525"/>
      <c r="F1221" s="525"/>
      <c r="G1221" s="525"/>
      <c r="K1221" s="3280"/>
      <c r="AB1221" s="3280"/>
      <c r="AG1221" s="3865"/>
      <c r="AM1221" s="3041"/>
      <c r="BD1221" s="3280"/>
      <c r="BF1221" s="3041"/>
      <c r="BH1221" s="3282"/>
    </row>
    <row r="1222" spans="1:60" s="3030" customFormat="1">
      <c r="A1222" s="2126"/>
      <c r="B1222" s="2126"/>
      <c r="C1222" s="2126"/>
      <c r="D1222" s="2126"/>
      <c r="E1222" s="525"/>
      <c r="F1222" s="525"/>
      <c r="G1222" s="525"/>
      <c r="K1222" s="3280"/>
      <c r="AB1222" s="3280"/>
      <c r="AG1222" s="3865"/>
      <c r="AM1222" s="3041"/>
      <c r="BD1222" s="3280"/>
      <c r="BF1222" s="3041"/>
      <c r="BH1222" s="3282"/>
    </row>
    <row r="1223" spans="1:60" s="3030" customFormat="1">
      <c r="A1223" s="2126"/>
      <c r="B1223" s="2126"/>
      <c r="C1223" s="2126"/>
      <c r="D1223" s="2126"/>
      <c r="E1223" s="525"/>
      <c r="F1223" s="525"/>
      <c r="G1223" s="525"/>
      <c r="K1223" s="3280"/>
      <c r="AB1223" s="3280"/>
      <c r="AG1223" s="3865"/>
      <c r="AM1223" s="3041"/>
      <c r="BD1223" s="3280"/>
      <c r="BF1223" s="3041"/>
      <c r="BH1223" s="3282"/>
    </row>
    <row r="1224" spans="1:60" s="3030" customFormat="1">
      <c r="A1224" s="2126"/>
      <c r="B1224" s="2126"/>
      <c r="C1224" s="2126"/>
      <c r="D1224" s="2126"/>
      <c r="E1224" s="525"/>
      <c r="F1224" s="525"/>
      <c r="G1224" s="525"/>
      <c r="K1224" s="3280"/>
      <c r="AB1224" s="3280"/>
      <c r="AG1224" s="3865"/>
      <c r="AM1224" s="3041"/>
      <c r="BD1224" s="3280"/>
      <c r="BF1224" s="3041"/>
      <c r="BH1224" s="3282"/>
    </row>
    <row r="1225" spans="1:60" s="3030" customFormat="1">
      <c r="A1225" s="2126"/>
      <c r="B1225" s="2126"/>
      <c r="C1225" s="2126"/>
      <c r="D1225" s="2126"/>
      <c r="E1225" s="525"/>
      <c r="F1225" s="525"/>
      <c r="G1225" s="525"/>
      <c r="K1225" s="3280"/>
      <c r="AB1225" s="3280"/>
      <c r="AG1225" s="3865"/>
      <c r="AM1225" s="3041"/>
      <c r="BD1225" s="3280"/>
      <c r="BF1225" s="3041"/>
      <c r="BH1225" s="3282"/>
    </row>
    <row r="1226" spans="1:60" s="3030" customFormat="1">
      <c r="A1226" s="2126"/>
      <c r="B1226" s="2126"/>
      <c r="C1226" s="2126"/>
      <c r="D1226" s="2126"/>
      <c r="E1226" s="525"/>
      <c r="F1226" s="525"/>
      <c r="G1226" s="525"/>
      <c r="K1226" s="3280"/>
      <c r="AB1226" s="3280"/>
      <c r="AG1226" s="3865"/>
      <c r="AM1226" s="3041"/>
      <c r="BD1226" s="3280"/>
      <c r="BF1226" s="3041"/>
      <c r="BH1226" s="3282"/>
    </row>
    <row r="1227" spans="1:60" s="3030" customFormat="1">
      <c r="A1227" s="2126"/>
      <c r="B1227" s="2126"/>
      <c r="C1227" s="2126"/>
      <c r="D1227" s="2126"/>
      <c r="E1227" s="525"/>
      <c r="F1227" s="525"/>
      <c r="G1227" s="525"/>
      <c r="K1227" s="3280"/>
      <c r="AB1227" s="3280"/>
      <c r="AG1227" s="3865"/>
      <c r="AM1227" s="3041"/>
      <c r="BD1227" s="3280"/>
      <c r="BF1227" s="3041"/>
      <c r="BH1227" s="3282"/>
    </row>
    <row r="1228" spans="1:60" s="3030" customFormat="1">
      <c r="A1228" s="2126"/>
      <c r="B1228" s="2126"/>
      <c r="C1228" s="2126"/>
      <c r="D1228" s="2126"/>
      <c r="E1228" s="525"/>
      <c r="F1228" s="525"/>
      <c r="G1228" s="525"/>
      <c r="K1228" s="3280"/>
      <c r="AB1228" s="3280"/>
      <c r="AG1228" s="3865"/>
      <c r="AM1228" s="3041"/>
      <c r="BD1228" s="3280"/>
      <c r="BF1228" s="3041"/>
      <c r="BH1228" s="3282"/>
    </row>
    <row r="1229" spans="1:60" s="3030" customFormat="1">
      <c r="A1229" s="2126"/>
      <c r="B1229" s="2126"/>
      <c r="C1229" s="2126"/>
      <c r="D1229" s="2126"/>
      <c r="E1229" s="525"/>
      <c r="F1229" s="525"/>
      <c r="G1229" s="525"/>
      <c r="K1229" s="3280"/>
      <c r="AB1229" s="3280"/>
      <c r="AG1229" s="3865"/>
      <c r="AM1229" s="3041"/>
      <c r="BD1229" s="3280"/>
      <c r="BF1229" s="3041"/>
      <c r="BH1229" s="3282"/>
    </row>
    <row r="1230" spans="1:60" s="3030" customFormat="1">
      <c r="A1230" s="2126"/>
      <c r="B1230" s="2126"/>
      <c r="C1230" s="2126"/>
      <c r="D1230" s="2126"/>
      <c r="E1230" s="525"/>
      <c r="F1230" s="525"/>
      <c r="G1230" s="525"/>
      <c r="K1230" s="3280"/>
      <c r="AB1230" s="3280"/>
      <c r="AG1230" s="3865"/>
      <c r="AM1230" s="3041"/>
      <c r="BD1230" s="3280"/>
      <c r="BF1230" s="3041"/>
      <c r="BH1230" s="3282"/>
    </row>
    <row r="1231" spans="1:60" s="3030" customFormat="1">
      <c r="A1231" s="2126"/>
      <c r="B1231" s="2126"/>
      <c r="C1231" s="2126"/>
      <c r="D1231" s="2126"/>
      <c r="E1231" s="525"/>
      <c r="F1231" s="525"/>
      <c r="G1231" s="525"/>
      <c r="K1231" s="3280"/>
      <c r="AB1231" s="3280"/>
      <c r="AG1231" s="3865"/>
      <c r="AM1231" s="3041"/>
      <c r="BD1231" s="3280"/>
      <c r="BF1231" s="3041"/>
      <c r="BH1231" s="3282"/>
    </row>
    <row r="1232" spans="1:60" s="3030" customFormat="1">
      <c r="A1232" s="2126"/>
      <c r="B1232" s="2126"/>
      <c r="C1232" s="2126"/>
      <c r="D1232" s="2126"/>
      <c r="E1232" s="525"/>
      <c r="F1232" s="525"/>
      <c r="G1232" s="525"/>
      <c r="K1232" s="3280"/>
      <c r="AB1232" s="3280"/>
      <c r="AG1232" s="3865"/>
      <c r="AM1232" s="3041"/>
      <c r="BD1232" s="3280"/>
      <c r="BF1232" s="3041"/>
      <c r="BH1232" s="3282"/>
    </row>
    <row r="1233" spans="1:60" s="3030" customFormat="1">
      <c r="A1233" s="2126"/>
      <c r="B1233" s="2126"/>
      <c r="C1233" s="2126"/>
      <c r="D1233" s="2126"/>
      <c r="E1233" s="525"/>
      <c r="F1233" s="525"/>
      <c r="G1233" s="525"/>
      <c r="K1233" s="3280"/>
      <c r="AB1233" s="3280"/>
      <c r="AG1233" s="3865"/>
      <c r="AM1233" s="3041"/>
      <c r="BD1233" s="3280"/>
      <c r="BF1233" s="3041"/>
      <c r="BH1233" s="3282"/>
    </row>
    <row r="1234" spans="1:60" s="3030" customFormat="1">
      <c r="A1234" s="2126"/>
      <c r="B1234" s="2126"/>
      <c r="C1234" s="2126"/>
      <c r="D1234" s="2126"/>
      <c r="E1234" s="525"/>
      <c r="F1234" s="525"/>
      <c r="G1234" s="525"/>
      <c r="K1234" s="3280"/>
      <c r="AB1234" s="3280"/>
      <c r="AG1234" s="3865"/>
      <c r="AM1234" s="3041"/>
      <c r="BD1234" s="3280"/>
      <c r="BF1234" s="3041"/>
      <c r="BH1234" s="3282"/>
    </row>
    <row r="1235" spans="1:60" s="3030" customFormat="1">
      <c r="A1235" s="2126"/>
      <c r="B1235" s="2126"/>
      <c r="C1235" s="2126"/>
      <c r="D1235" s="2126"/>
      <c r="E1235" s="525"/>
      <c r="F1235" s="525"/>
      <c r="G1235" s="525"/>
      <c r="K1235" s="3280"/>
      <c r="AB1235" s="3280"/>
      <c r="AG1235" s="3865"/>
      <c r="AM1235" s="3041"/>
      <c r="BD1235" s="3280"/>
      <c r="BF1235" s="3041"/>
      <c r="BH1235" s="3282"/>
    </row>
    <row r="1236" spans="1:60" s="3030" customFormat="1">
      <c r="A1236" s="2126"/>
      <c r="B1236" s="2126"/>
      <c r="C1236" s="2126"/>
      <c r="D1236" s="2126"/>
      <c r="E1236" s="525"/>
      <c r="F1236" s="525"/>
      <c r="G1236" s="525"/>
      <c r="K1236" s="3280"/>
      <c r="AB1236" s="3280"/>
      <c r="AG1236" s="3865"/>
      <c r="AM1236" s="3041"/>
      <c r="BD1236" s="3280"/>
      <c r="BF1236" s="3041"/>
      <c r="BH1236" s="3282"/>
    </row>
    <row r="1237" spans="1:60" s="3030" customFormat="1">
      <c r="A1237" s="2126"/>
      <c r="B1237" s="2126"/>
      <c r="C1237" s="2126"/>
      <c r="D1237" s="2126"/>
      <c r="E1237" s="525"/>
      <c r="F1237" s="525"/>
      <c r="G1237" s="525"/>
      <c r="K1237" s="3280"/>
      <c r="AB1237" s="3280"/>
      <c r="AG1237" s="3865"/>
      <c r="AM1237" s="3041"/>
      <c r="BD1237" s="3280"/>
      <c r="BF1237" s="3041"/>
      <c r="BH1237" s="3282"/>
    </row>
    <row r="1238" spans="1:60" s="3030" customFormat="1">
      <c r="A1238" s="2126"/>
      <c r="B1238" s="2126"/>
      <c r="C1238" s="2126"/>
      <c r="D1238" s="2126"/>
      <c r="E1238" s="525"/>
      <c r="F1238" s="525"/>
      <c r="G1238" s="525"/>
      <c r="K1238" s="3280"/>
      <c r="AB1238" s="3280"/>
      <c r="AG1238" s="3865"/>
      <c r="AM1238" s="3041"/>
      <c r="BD1238" s="3280"/>
      <c r="BF1238" s="3041"/>
      <c r="BH1238" s="3282"/>
    </row>
    <row r="1239" spans="1:60" s="3030" customFormat="1">
      <c r="A1239" s="2126"/>
      <c r="B1239" s="2126"/>
      <c r="C1239" s="2126"/>
      <c r="D1239" s="2126"/>
      <c r="E1239" s="525"/>
      <c r="F1239" s="525"/>
      <c r="G1239" s="525"/>
      <c r="K1239" s="3280"/>
      <c r="AB1239" s="3280"/>
      <c r="AG1239" s="3865"/>
      <c r="AM1239" s="3041"/>
      <c r="BD1239" s="3280"/>
      <c r="BF1239" s="3041"/>
      <c r="BH1239" s="3282"/>
    </row>
    <row r="1240" spans="1:60" s="3030" customFormat="1">
      <c r="A1240" s="2126"/>
      <c r="B1240" s="2126"/>
      <c r="C1240" s="2126"/>
      <c r="D1240" s="2126"/>
      <c r="E1240" s="525"/>
      <c r="F1240" s="525"/>
      <c r="G1240" s="525"/>
      <c r="K1240" s="3280"/>
      <c r="AB1240" s="3280"/>
      <c r="AG1240" s="3865"/>
      <c r="AM1240" s="3041"/>
      <c r="BD1240" s="3280"/>
      <c r="BF1240" s="3041"/>
      <c r="BH1240" s="3282"/>
    </row>
    <row r="1241" spans="1:60" s="3030" customFormat="1">
      <c r="A1241" s="2126"/>
      <c r="B1241" s="2126"/>
      <c r="C1241" s="2126"/>
      <c r="D1241" s="2126"/>
      <c r="E1241" s="525"/>
      <c r="F1241" s="525"/>
      <c r="G1241" s="525"/>
      <c r="K1241" s="3280"/>
      <c r="AB1241" s="3280"/>
      <c r="AG1241" s="3865"/>
      <c r="AM1241" s="3041"/>
      <c r="BD1241" s="3280"/>
      <c r="BF1241" s="3041"/>
      <c r="BH1241" s="3282"/>
    </row>
    <row r="1242" spans="1:60" s="3030" customFormat="1">
      <c r="A1242" s="2126"/>
      <c r="B1242" s="2126"/>
      <c r="C1242" s="2126"/>
      <c r="D1242" s="2126"/>
      <c r="E1242" s="525"/>
      <c r="F1242" s="525"/>
      <c r="G1242" s="525"/>
      <c r="K1242" s="3280"/>
      <c r="AB1242" s="3280"/>
      <c r="AG1242" s="3865"/>
      <c r="AM1242" s="3041"/>
      <c r="BD1242" s="3280"/>
      <c r="BF1242" s="3041"/>
      <c r="BH1242" s="3282"/>
    </row>
    <row r="1243" spans="1:60" s="3030" customFormat="1">
      <c r="A1243" s="2126"/>
      <c r="B1243" s="2126"/>
      <c r="C1243" s="2126"/>
      <c r="D1243" s="2126"/>
      <c r="E1243" s="525"/>
      <c r="F1243" s="525"/>
      <c r="G1243" s="525"/>
      <c r="K1243" s="3280"/>
      <c r="AB1243" s="3280"/>
      <c r="AG1243" s="3865"/>
      <c r="AM1243" s="3041"/>
      <c r="BD1243" s="3280"/>
      <c r="BF1243" s="3041"/>
      <c r="BH1243" s="3282"/>
    </row>
    <row r="1244" spans="1:60" s="3030" customFormat="1">
      <c r="A1244" s="2126"/>
      <c r="B1244" s="2126"/>
      <c r="C1244" s="2126"/>
      <c r="D1244" s="2126"/>
      <c r="E1244" s="525"/>
      <c r="F1244" s="525"/>
      <c r="G1244" s="525"/>
      <c r="K1244" s="3280"/>
      <c r="AB1244" s="3280"/>
      <c r="AG1244" s="3865"/>
      <c r="AM1244" s="3041"/>
      <c r="BD1244" s="3280"/>
      <c r="BF1244" s="3041"/>
      <c r="BH1244" s="3282"/>
    </row>
    <row r="1245" spans="1:60" s="3030" customFormat="1">
      <c r="A1245" s="2126"/>
      <c r="B1245" s="2126"/>
      <c r="C1245" s="2126"/>
      <c r="D1245" s="2126"/>
      <c r="E1245" s="525"/>
      <c r="F1245" s="525"/>
      <c r="G1245" s="525"/>
      <c r="K1245" s="3280"/>
      <c r="AB1245" s="3280"/>
      <c r="AG1245" s="3865"/>
      <c r="AM1245" s="3041"/>
      <c r="BD1245" s="3280"/>
      <c r="BF1245" s="3041"/>
      <c r="BH1245" s="3282"/>
    </row>
    <row r="1246" spans="1:60" s="3030" customFormat="1">
      <c r="A1246" s="2126"/>
      <c r="B1246" s="2126"/>
      <c r="C1246" s="2126"/>
      <c r="D1246" s="2126"/>
      <c r="E1246" s="525"/>
      <c r="F1246" s="525"/>
      <c r="G1246" s="525"/>
      <c r="K1246" s="3280"/>
      <c r="AB1246" s="3280"/>
      <c r="AG1246" s="3865"/>
      <c r="AM1246" s="3041"/>
      <c r="BD1246" s="3280"/>
      <c r="BF1246" s="3041"/>
      <c r="BH1246" s="3282"/>
    </row>
    <row r="1247" spans="1:60" s="3030" customFormat="1">
      <c r="A1247" s="2126"/>
      <c r="B1247" s="2126"/>
      <c r="C1247" s="2126"/>
      <c r="D1247" s="2126"/>
      <c r="E1247" s="525"/>
      <c r="F1247" s="525"/>
      <c r="G1247" s="525"/>
      <c r="K1247" s="3280"/>
      <c r="AB1247" s="3280"/>
      <c r="AG1247" s="3865"/>
      <c r="AM1247" s="3041"/>
      <c r="BD1247" s="3280"/>
      <c r="BF1247" s="3041"/>
      <c r="BH1247" s="3282"/>
    </row>
    <row r="1248" spans="1:60" s="3030" customFormat="1">
      <c r="A1248" s="2126"/>
      <c r="B1248" s="2126"/>
      <c r="C1248" s="2126"/>
      <c r="D1248" s="2126"/>
      <c r="E1248" s="525"/>
      <c r="F1248" s="525"/>
      <c r="G1248" s="525"/>
      <c r="K1248" s="3280"/>
      <c r="AB1248" s="3280"/>
      <c r="AG1248" s="3865"/>
      <c r="AM1248" s="3041"/>
      <c r="BD1248" s="3280"/>
      <c r="BF1248" s="3041"/>
      <c r="BH1248" s="3282"/>
    </row>
    <row r="1249" spans="1:60" s="3030" customFormat="1">
      <c r="A1249" s="2126"/>
      <c r="B1249" s="2126"/>
      <c r="C1249" s="2126"/>
      <c r="D1249" s="2126"/>
      <c r="E1249" s="525"/>
      <c r="F1249" s="525"/>
      <c r="G1249" s="525"/>
      <c r="K1249" s="3280"/>
      <c r="AB1249" s="3280"/>
      <c r="AG1249" s="3865"/>
      <c r="AM1249" s="3041"/>
      <c r="BD1249" s="3280"/>
      <c r="BF1249" s="3041"/>
      <c r="BH1249" s="3282"/>
    </row>
    <row r="1250" spans="1:60" s="3030" customFormat="1">
      <c r="A1250" s="2126"/>
      <c r="B1250" s="2126"/>
      <c r="C1250" s="2126"/>
      <c r="D1250" s="2126"/>
      <c r="E1250" s="525"/>
      <c r="F1250" s="525"/>
      <c r="G1250" s="525"/>
      <c r="K1250" s="3280"/>
      <c r="AB1250" s="3280"/>
      <c r="AG1250" s="3865"/>
      <c r="AM1250" s="3041"/>
      <c r="BD1250" s="3280"/>
      <c r="BF1250" s="3041"/>
      <c r="BH1250" s="3282"/>
    </row>
    <row r="1251" spans="1:60" s="3030" customFormat="1">
      <c r="A1251" s="2126"/>
      <c r="B1251" s="2126"/>
      <c r="C1251" s="2126"/>
      <c r="D1251" s="2126"/>
      <c r="E1251" s="525"/>
      <c r="F1251" s="525"/>
      <c r="G1251" s="525"/>
      <c r="K1251" s="3280"/>
      <c r="AB1251" s="3280"/>
      <c r="AG1251" s="3865"/>
      <c r="AM1251" s="3041"/>
      <c r="BD1251" s="3280"/>
      <c r="BF1251" s="3041"/>
      <c r="BH1251" s="3282"/>
    </row>
    <row r="1252" spans="1:60" s="3030" customFormat="1">
      <c r="A1252" s="2126"/>
      <c r="B1252" s="2126"/>
      <c r="C1252" s="2126"/>
      <c r="D1252" s="2126"/>
      <c r="E1252" s="525"/>
      <c r="F1252" s="525"/>
      <c r="G1252" s="525"/>
      <c r="K1252" s="3280"/>
      <c r="AB1252" s="3280"/>
      <c r="AG1252" s="3865"/>
      <c r="AM1252" s="3041"/>
      <c r="BD1252" s="3280"/>
      <c r="BF1252" s="3041"/>
      <c r="BH1252" s="3282"/>
    </row>
    <row r="1253" spans="1:60" s="3030" customFormat="1">
      <c r="A1253" s="2126"/>
      <c r="B1253" s="2126"/>
      <c r="C1253" s="2126"/>
      <c r="D1253" s="2126"/>
      <c r="E1253" s="525"/>
      <c r="F1253" s="525"/>
      <c r="G1253" s="525"/>
      <c r="K1253" s="3280"/>
      <c r="AB1253" s="3280"/>
      <c r="AG1253" s="3865"/>
      <c r="AM1253" s="3041"/>
      <c r="BD1253" s="3280"/>
      <c r="BF1253" s="3041"/>
      <c r="BH1253" s="3282"/>
    </row>
    <row r="1254" spans="1:60" s="3030" customFormat="1">
      <c r="A1254" s="2126"/>
      <c r="B1254" s="2126"/>
      <c r="C1254" s="2126"/>
      <c r="D1254" s="2126"/>
      <c r="E1254" s="525"/>
      <c r="F1254" s="525"/>
      <c r="G1254" s="525"/>
      <c r="K1254" s="3280"/>
      <c r="AB1254" s="3280"/>
      <c r="AG1254" s="3865"/>
      <c r="AM1254" s="3041"/>
      <c r="BD1254" s="3280"/>
      <c r="BF1254" s="3041"/>
      <c r="BH1254" s="3282"/>
    </row>
    <row r="1255" spans="1:60" s="3030" customFormat="1">
      <c r="A1255" s="2126"/>
      <c r="B1255" s="2126"/>
      <c r="C1255" s="2126"/>
      <c r="D1255" s="2126"/>
      <c r="E1255" s="525"/>
      <c r="F1255" s="525"/>
      <c r="G1255" s="525"/>
      <c r="K1255" s="3280"/>
      <c r="AB1255" s="3280"/>
      <c r="AG1255" s="3865"/>
      <c r="AM1255" s="3041"/>
      <c r="BD1255" s="3280"/>
      <c r="BF1255" s="3041"/>
      <c r="BH1255" s="3282"/>
    </row>
    <row r="1256" spans="1:60" s="3030" customFormat="1">
      <c r="A1256" s="2126"/>
      <c r="B1256" s="2126"/>
      <c r="C1256" s="2126"/>
      <c r="D1256" s="2126"/>
      <c r="E1256" s="525"/>
      <c r="F1256" s="525"/>
      <c r="G1256" s="525"/>
      <c r="K1256" s="3280"/>
      <c r="AB1256" s="3280"/>
      <c r="AG1256" s="3865"/>
      <c r="AM1256" s="3041"/>
      <c r="BD1256" s="3280"/>
      <c r="BF1256" s="3041"/>
      <c r="BH1256" s="3282"/>
    </row>
    <row r="1257" spans="1:60" s="3030" customFormat="1">
      <c r="A1257" s="2126"/>
      <c r="B1257" s="2126"/>
      <c r="C1257" s="2126"/>
      <c r="D1257" s="2126"/>
      <c r="E1257" s="525"/>
      <c r="F1257" s="525"/>
      <c r="G1257" s="525"/>
      <c r="K1257" s="3280"/>
      <c r="AB1257" s="3280"/>
      <c r="AG1257" s="3865"/>
      <c r="AM1257" s="3041"/>
      <c r="BD1257" s="3280"/>
      <c r="BF1257" s="3041"/>
      <c r="BH1257" s="3282"/>
    </row>
    <row r="1258" spans="1:60" s="3030" customFormat="1">
      <c r="A1258" s="2126"/>
      <c r="B1258" s="2126"/>
      <c r="C1258" s="2126"/>
      <c r="D1258" s="2126"/>
      <c r="E1258" s="525"/>
      <c r="F1258" s="525"/>
      <c r="G1258" s="525"/>
      <c r="K1258" s="3280"/>
      <c r="AB1258" s="3280"/>
      <c r="AG1258" s="3865"/>
      <c r="AM1258" s="3041"/>
      <c r="BD1258" s="3280"/>
      <c r="BF1258" s="3041"/>
      <c r="BH1258" s="3282"/>
    </row>
    <row r="1259" spans="1:60" s="3030" customFormat="1">
      <c r="A1259" s="2126"/>
      <c r="B1259" s="2126"/>
      <c r="C1259" s="2126"/>
      <c r="D1259" s="2126"/>
      <c r="E1259" s="525"/>
      <c r="F1259" s="525"/>
      <c r="G1259" s="525"/>
      <c r="K1259" s="3280"/>
      <c r="AB1259" s="3280"/>
      <c r="AG1259" s="3865"/>
      <c r="AM1259" s="3041"/>
      <c r="BD1259" s="3280"/>
      <c r="BF1259" s="3041"/>
      <c r="BH1259" s="3282"/>
    </row>
    <row r="1260" spans="1:60" s="3030" customFormat="1">
      <c r="A1260" s="2126"/>
      <c r="B1260" s="2126"/>
      <c r="C1260" s="2126"/>
      <c r="D1260" s="2126"/>
      <c r="E1260" s="525"/>
      <c r="F1260" s="525"/>
      <c r="G1260" s="525"/>
      <c r="K1260" s="3280"/>
      <c r="AB1260" s="3280"/>
      <c r="AG1260" s="3865"/>
      <c r="AM1260" s="3041"/>
      <c r="BD1260" s="3280"/>
      <c r="BF1260" s="3041"/>
      <c r="BH1260" s="3282"/>
    </row>
    <row r="1261" spans="1:60" s="3030" customFormat="1">
      <c r="A1261" s="2126"/>
      <c r="B1261" s="2126"/>
      <c r="C1261" s="2126"/>
      <c r="D1261" s="2126"/>
      <c r="E1261" s="525"/>
      <c r="F1261" s="525"/>
      <c r="G1261" s="525"/>
      <c r="K1261" s="3280"/>
      <c r="AB1261" s="3280"/>
      <c r="AG1261" s="3865"/>
      <c r="AM1261" s="3041"/>
      <c r="BD1261" s="3280"/>
      <c r="BF1261" s="3041"/>
      <c r="BH1261" s="3282"/>
    </row>
    <row r="1262" spans="1:60" s="3030" customFormat="1">
      <c r="A1262" s="2126"/>
      <c r="B1262" s="2126"/>
      <c r="C1262" s="2126"/>
      <c r="D1262" s="2126"/>
      <c r="E1262" s="525"/>
      <c r="F1262" s="525"/>
      <c r="G1262" s="525"/>
      <c r="K1262" s="3280"/>
      <c r="AB1262" s="3280"/>
      <c r="AG1262" s="3865"/>
      <c r="AM1262" s="3041"/>
      <c r="BD1262" s="3280"/>
      <c r="BF1262" s="3041"/>
      <c r="BH1262" s="3282"/>
    </row>
    <row r="1263" spans="1:60" s="3030" customFormat="1">
      <c r="A1263" s="2126"/>
      <c r="B1263" s="2126"/>
      <c r="C1263" s="2126"/>
      <c r="D1263" s="2126"/>
      <c r="E1263" s="525"/>
      <c r="F1263" s="525"/>
      <c r="G1263" s="525"/>
      <c r="K1263" s="3280"/>
      <c r="AB1263" s="3280"/>
      <c r="AG1263" s="3865"/>
      <c r="AM1263" s="3041"/>
      <c r="BD1263" s="3280"/>
      <c r="BF1263" s="3041"/>
      <c r="BH1263" s="3282"/>
    </row>
    <row r="1264" spans="1:60" s="3030" customFormat="1">
      <c r="A1264" s="2126"/>
      <c r="B1264" s="2126"/>
      <c r="C1264" s="2126"/>
      <c r="D1264" s="2126"/>
      <c r="E1264" s="525"/>
      <c r="F1264" s="525"/>
      <c r="G1264" s="525"/>
      <c r="K1264" s="3280"/>
      <c r="AB1264" s="3280"/>
      <c r="AG1264" s="3865"/>
      <c r="AM1264" s="3041"/>
      <c r="BD1264" s="3280"/>
      <c r="BF1264" s="3041"/>
      <c r="BH1264" s="3282"/>
    </row>
    <row r="1265" spans="1:60" s="3030" customFormat="1">
      <c r="A1265" s="2126"/>
      <c r="B1265" s="2126"/>
      <c r="C1265" s="2126"/>
      <c r="D1265" s="2126"/>
      <c r="E1265" s="525"/>
      <c r="F1265" s="525"/>
      <c r="G1265" s="525"/>
      <c r="K1265" s="3280"/>
      <c r="AB1265" s="3280"/>
      <c r="AG1265" s="3865"/>
      <c r="AM1265" s="3041"/>
      <c r="BD1265" s="3280"/>
      <c r="BF1265" s="3041"/>
      <c r="BH1265" s="3282"/>
    </row>
    <row r="1266" spans="1:60" s="3030" customFormat="1">
      <c r="A1266" s="2126"/>
      <c r="B1266" s="2126"/>
      <c r="C1266" s="2126"/>
      <c r="D1266" s="2126"/>
      <c r="E1266" s="525"/>
      <c r="F1266" s="525"/>
      <c r="G1266" s="525"/>
      <c r="K1266" s="3280"/>
      <c r="AB1266" s="3280"/>
      <c r="AG1266" s="3865"/>
      <c r="AM1266" s="3041"/>
      <c r="BD1266" s="3280"/>
      <c r="BF1266" s="3041"/>
      <c r="BH1266" s="3282"/>
    </row>
    <row r="1267" spans="1:60" s="3030" customFormat="1">
      <c r="A1267" s="2126"/>
      <c r="B1267" s="2126"/>
      <c r="C1267" s="2126"/>
      <c r="D1267" s="2126"/>
      <c r="E1267" s="525"/>
      <c r="F1267" s="525"/>
      <c r="G1267" s="525"/>
      <c r="K1267" s="3280"/>
      <c r="AB1267" s="3280"/>
      <c r="AG1267" s="3865"/>
      <c r="AM1267" s="3041"/>
      <c r="BD1267" s="3280"/>
      <c r="BF1267" s="3041"/>
      <c r="BH1267" s="3282"/>
    </row>
    <row r="1268" spans="1:60" s="3030" customFormat="1">
      <c r="A1268" s="2126"/>
      <c r="B1268" s="2126"/>
      <c r="C1268" s="2126"/>
      <c r="D1268" s="2126"/>
      <c r="E1268" s="525"/>
      <c r="F1268" s="525"/>
      <c r="G1268" s="525"/>
      <c r="K1268" s="3280"/>
      <c r="AB1268" s="3280"/>
      <c r="AG1268" s="3865"/>
      <c r="AM1268" s="3041"/>
      <c r="BD1268" s="3280"/>
      <c r="BF1268" s="3041"/>
      <c r="BH1268" s="3282"/>
    </row>
    <row r="1269" spans="1:60" s="3030" customFormat="1">
      <c r="A1269" s="2126"/>
      <c r="B1269" s="2126"/>
      <c r="C1269" s="2126"/>
      <c r="D1269" s="2126"/>
      <c r="E1269" s="525"/>
      <c r="F1269" s="525"/>
      <c r="G1269" s="525"/>
      <c r="K1269" s="3280"/>
      <c r="AB1269" s="3280"/>
      <c r="AG1269" s="3865"/>
      <c r="AM1269" s="3041"/>
      <c r="BD1269" s="3280"/>
      <c r="BF1269" s="3041"/>
      <c r="BH1269" s="3282"/>
    </row>
    <row r="1270" spans="1:60" s="3030" customFormat="1">
      <c r="A1270" s="2126"/>
      <c r="B1270" s="2126"/>
      <c r="C1270" s="2126"/>
      <c r="D1270" s="2126"/>
      <c r="E1270" s="525"/>
      <c r="F1270" s="525"/>
      <c r="G1270" s="525"/>
      <c r="K1270" s="3280"/>
      <c r="AB1270" s="3280"/>
      <c r="AG1270" s="3865"/>
      <c r="AM1270" s="3041"/>
      <c r="BD1270" s="3280"/>
      <c r="BF1270" s="3041"/>
      <c r="BH1270" s="3282"/>
    </row>
    <row r="1271" spans="1:60" s="3030" customFormat="1">
      <c r="A1271" s="2126"/>
      <c r="B1271" s="2126"/>
      <c r="C1271" s="2126"/>
      <c r="D1271" s="2126"/>
      <c r="E1271" s="525"/>
      <c r="F1271" s="525"/>
      <c r="G1271" s="525"/>
      <c r="K1271" s="3280"/>
      <c r="AB1271" s="3280"/>
      <c r="AG1271" s="3865"/>
      <c r="AM1271" s="3041"/>
      <c r="BD1271" s="3280"/>
      <c r="BF1271" s="3041"/>
      <c r="BH1271" s="3282"/>
    </row>
    <row r="1272" spans="1:60" s="3030" customFormat="1">
      <c r="A1272" s="2126"/>
      <c r="B1272" s="2126"/>
      <c r="C1272" s="2126"/>
      <c r="D1272" s="2126"/>
      <c r="E1272" s="525"/>
      <c r="F1272" s="525"/>
      <c r="G1272" s="525"/>
      <c r="K1272" s="3280"/>
      <c r="AB1272" s="3280"/>
      <c r="AG1272" s="3865"/>
      <c r="AM1272" s="3041"/>
      <c r="BD1272" s="3280"/>
      <c r="BF1272" s="3041"/>
      <c r="BH1272" s="3282"/>
    </row>
    <row r="1273" spans="1:60" s="3030" customFormat="1">
      <c r="A1273" s="2126"/>
      <c r="B1273" s="2126"/>
      <c r="C1273" s="2126"/>
      <c r="D1273" s="2126"/>
      <c r="E1273" s="525"/>
      <c r="F1273" s="525"/>
      <c r="G1273" s="525"/>
      <c r="K1273" s="3280"/>
      <c r="AB1273" s="3280"/>
      <c r="AG1273" s="3865"/>
      <c r="AM1273" s="3041"/>
      <c r="BD1273" s="3280"/>
      <c r="BF1273" s="3041"/>
      <c r="BH1273" s="3282"/>
    </row>
    <row r="1274" spans="1:60" s="3030" customFormat="1">
      <c r="A1274" s="2126"/>
      <c r="B1274" s="2126"/>
      <c r="C1274" s="2126"/>
      <c r="D1274" s="2126"/>
      <c r="E1274" s="525"/>
      <c r="F1274" s="525"/>
      <c r="G1274" s="525"/>
      <c r="K1274" s="3280"/>
      <c r="AB1274" s="3280"/>
      <c r="AG1274" s="3865"/>
      <c r="AM1274" s="3041"/>
      <c r="BD1274" s="3280"/>
      <c r="BF1274" s="3041"/>
      <c r="BH1274" s="3282"/>
    </row>
    <row r="1275" spans="1:60" s="3030" customFormat="1">
      <c r="A1275" s="2126"/>
      <c r="B1275" s="2126"/>
      <c r="C1275" s="2126"/>
      <c r="D1275" s="2126"/>
      <c r="E1275" s="525"/>
      <c r="F1275" s="525"/>
      <c r="G1275" s="525"/>
      <c r="K1275" s="3280"/>
      <c r="AB1275" s="3280"/>
      <c r="AG1275" s="3865"/>
      <c r="AM1275" s="3041"/>
      <c r="BD1275" s="3280"/>
      <c r="BF1275" s="3041"/>
      <c r="BH1275" s="3282"/>
    </row>
    <row r="1276" spans="1:60" s="3030" customFormat="1">
      <c r="A1276" s="2126"/>
      <c r="B1276" s="2126"/>
      <c r="C1276" s="2126"/>
      <c r="D1276" s="2126"/>
      <c r="E1276" s="525"/>
      <c r="F1276" s="525"/>
      <c r="G1276" s="525"/>
      <c r="K1276" s="3280"/>
      <c r="AB1276" s="3280"/>
      <c r="AG1276" s="3865"/>
      <c r="AM1276" s="3041"/>
      <c r="BD1276" s="3280"/>
      <c r="BF1276" s="3041"/>
      <c r="BH1276" s="3282"/>
    </row>
    <row r="1277" spans="1:60" s="3030" customFormat="1">
      <c r="A1277" s="2126"/>
      <c r="B1277" s="2126"/>
      <c r="C1277" s="2126"/>
      <c r="D1277" s="2126"/>
      <c r="E1277" s="525"/>
      <c r="F1277" s="525"/>
      <c r="G1277" s="525"/>
      <c r="K1277" s="3280"/>
      <c r="AB1277" s="3280"/>
      <c r="AG1277" s="3865"/>
      <c r="AM1277" s="3041"/>
      <c r="BD1277" s="3280"/>
      <c r="BF1277" s="3041"/>
      <c r="BH1277" s="3282"/>
    </row>
    <row r="1278" spans="1:60" s="3030" customFormat="1">
      <c r="A1278" s="2126"/>
      <c r="B1278" s="2126"/>
      <c r="C1278" s="2126"/>
      <c r="D1278" s="2126"/>
      <c r="E1278" s="525"/>
      <c r="F1278" s="525"/>
      <c r="G1278" s="525"/>
      <c r="K1278" s="3280"/>
      <c r="AB1278" s="3280"/>
      <c r="AG1278" s="3865"/>
      <c r="AM1278" s="3041"/>
      <c r="BD1278" s="3280"/>
      <c r="BF1278" s="3041"/>
      <c r="BH1278" s="3282"/>
    </row>
    <row r="1279" spans="1:60" s="3030" customFormat="1">
      <c r="A1279" s="2126"/>
      <c r="B1279" s="2126"/>
      <c r="C1279" s="2126"/>
      <c r="D1279" s="2126"/>
      <c r="E1279" s="525"/>
      <c r="F1279" s="525"/>
      <c r="G1279" s="525"/>
      <c r="K1279" s="3280"/>
      <c r="AB1279" s="3280"/>
      <c r="AG1279" s="3865"/>
      <c r="AM1279" s="3041"/>
      <c r="BD1279" s="3280"/>
      <c r="BF1279" s="3041"/>
      <c r="BH1279" s="3282"/>
    </row>
    <row r="1280" spans="1:60" s="3030" customFormat="1">
      <c r="A1280" s="2126"/>
      <c r="B1280" s="2126"/>
      <c r="C1280" s="2126"/>
      <c r="D1280" s="2126"/>
      <c r="E1280" s="525"/>
      <c r="F1280" s="525"/>
      <c r="G1280" s="525"/>
      <c r="K1280" s="3280"/>
      <c r="AB1280" s="3280"/>
      <c r="AG1280" s="3865"/>
      <c r="AM1280" s="3041"/>
      <c r="BD1280" s="3280"/>
      <c r="BF1280" s="3041"/>
      <c r="BH1280" s="3282"/>
    </row>
    <row r="1281" spans="1:60" s="3030" customFormat="1">
      <c r="A1281" s="2126"/>
      <c r="B1281" s="2126"/>
      <c r="C1281" s="2126"/>
      <c r="D1281" s="2126"/>
      <c r="E1281" s="525"/>
      <c r="F1281" s="525"/>
      <c r="G1281" s="525"/>
      <c r="K1281" s="3280"/>
      <c r="AB1281" s="3280"/>
      <c r="AG1281" s="3865"/>
      <c r="AM1281" s="3041"/>
      <c r="BD1281" s="3280"/>
      <c r="BF1281" s="3041"/>
      <c r="BH1281" s="3282"/>
    </row>
    <row r="1282" spans="1:60" s="3030" customFormat="1">
      <c r="A1282" s="2126"/>
      <c r="B1282" s="2126"/>
      <c r="C1282" s="2126"/>
      <c r="D1282" s="2126"/>
      <c r="E1282" s="525"/>
      <c r="F1282" s="525"/>
      <c r="G1282" s="525"/>
      <c r="K1282" s="3280"/>
      <c r="AB1282" s="3280"/>
      <c r="AG1282" s="3865"/>
      <c r="AM1282" s="3041"/>
      <c r="BD1282" s="3280"/>
      <c r="BF1282" s="3041"/>
      <c r="BH1282" s="3282"/>
    </row>
    <row r="1283" spans="1:60" s="3030" customFormat="1">
      <c r="A1283" s="2126"/>
      <c r="B1283" s="2126"/>
      <c r="C1283" s="2126"/>
      <c r="D1283" s="2126"/>
      <c r="E1283" s="525"/>
      <c r="F1283" s="525"/>
      <c r="G1283" s="525"/>
      <c r="K1283" s="3280"/>
      <c r="AB1283" s="3280"/>
      <c r="AG1283" s="3865"/>
      <c r="AM1283" s="3041"/>
      <c r="BD1283" s="3280"/>
      <c r="BF1283" s="3041"/>
      <c r="BH1283" s="3282"/>
    </row>
    <row r="1284" spans="1:60" s="3030" customFormat="1">
      <c r="A1284" s="2126"/>
      <c r="B1284" s="2126"/>
      <c r="C1284" s="2126"/>
      <c r="D1284" s="2126"/>
      <c r="E1284" s="525"/>
      <c r="F1284" s="525"/>
      <c r="G1284" s="525"/>
      <c r="K1284" s="3280"/>
      <c r="AB1284" s="3280"/>
      <c r="AG1284" s="3865"/>
      <c r="AM1284" s="3041"/>
      <c r="BD1284" s="3280"/>
      <c r="BF1284" s="3041"/>
      <c r="BH1284" s="3282"/>
    </row>
    <row r="1285" spans="1:60" s="3030" customFormat="1">
      <c r="A1285" s="2126"/>
      <c r="B1285" s="2126"/>
      <c r="C1285" s="2126"/>
      <c r="D1285" s="2126"/>
      <c r="E1285" s="525"/>
      <c r="F1285" s="525"/>
      <c r="G1285" s="525"/>
      <c r="K1285" s="3280"/>
      <c r="AB1285" s="3280"/>
      <c r="AG1285" s="3865"/>
      <c r="AM1285" s="3041"/>
      <c r="BD1285" s="3280"/>
      <c r="BF1285" s="3041"/>
      <c r="BH1285" s="3282"/>
    </row>
    <row r="1286" spans="1:60" s="3030" customFormat="1">
      <c r="A1286" s="2126"/>
      <c r="B1286" s="2126"/>
      <c r="C1286" s="2126"/>
      <c r="D1286" s="2126"/>
      <c r="E1286" s="525"/>
      <c r="F1286" s="525"/>
      <c r="G1286" s="525"/>
      <c r="K1286" s="3280"/>
      <c r="AB1286" s="3280"/>
      <c r="AG1286" s="3865"/>
      <c r="AM1286" s="3041"/>
      <c r="BD1286" s="3280"/>
      <c r="BF1286" s="3041"/>
      <c r="BH1286" s="3282"/>
    </row>
    <row r="1287" spans="1:60" s="3030" customFormat="1">
      <c r="A1287" s="2126"/>
      <c r="B1287" s="2126"/>
      <c r="C1287" s="2126"/>
      <c r="D1287" s="2126"/>
      <c r="E1287" s="525"/>
      <c r="F1287" s="525"/>
      <c r="G1287" s="525"/>
      <c r="K1287" s="3280"/>
      <c r="AB1287" s="3280"/>
      <c r="AG1287" s="3865"/>
      <c r="AM1287" s="3041"/>
      <c r="BD1287" s="3280"/>
      <c r="BF1287" s="3041"/>
      <c r="BH1287" s="3282"/>
    </row>
    <row r="1288" spans="1:60" s="3030" customFormat="1">
      <c r="A1288" s="2126"/>
      <c r="B1288" s="2126"/>
      <c r="C1288" s="2126"/>
      <c r="D1288" s="2126"/>
      <c r="E1288" s="525"/>
      <c r="F1288" s="525"/>
      <c r="G1288" s="525"/>
      <c r="K1288" s="3280"/>
      <c r="AB1288" s="3280"/>
      <c r="AG1288" s="3865"/>
      <c r="AM1288" s="3041"/>
      <c r="BD1288" s="3280"/>
      <c r="BF1288" s="3041"/>
      <c r="BH1288" s="3282"/>
    </row>
    <row r="1289" spans="1:60" s="3030" customFormat="1">
      <c r="A1289" s="2126"/>
      <c r="B1289" s="2126"/>
      <c r="C1289" s="2126"/>
      <c r="D1289" s="2126"/>
      <c r="E1289" s="525"/>
      <c r="F1289" s="525"/>
      <c r="G1289" s="525"/>
      <c r="K1289" s="3280"/>
      <c r="AB1289" s="3280"/>
      <c r="AG1289" s="3865"/>
      <c r="AM1289" s="3041"/>
      <c r="BD1289" s="3280"/>
      <c r="BF1289" s="3041"/>
      <c r="BH1289" s="3282"/>
    </row>
    <row r="1290" spans="1:60" s="3030" customFormat="1">
      <c r="A1290" s="2126"/>
      <c r="B1290" s="2126"/>
      <c r="C1290" s="2126"/>
      <c r="D1290" s="2126"/>
      <c r="E1290" s="525"/>
      <c r="F1290" s="525"/>
      <c r="G1290" s="525"/>
      <c r="K1290" s="3280"/>
      <c r="AB1290" s="3280"/>
      <c r="AG1290" s="3865"/>
      <c r="AM1290" s="3041"/>
      <c r="BD1290" s="3280"/>
      <c r="BF1290" s="3041"/>
      <c r="BH1290" s="3282"/>
    </row>
    <row r="1291" spans="1:60" s="3030" customFormat="1">
      <c r="A1291" s="2126"/>
      <c r="B1291" s="2126"/>
      <c r="C1291" s="2126"/>
      <c r="D1291" s="2126"/>
      <c r="E1291" s="525"/>
      <c r="F1291" s="525"/>
      <c r="G1291" s="525"/>
      <c r="K1291" s="3280"/>
      <c r="AB1291" s="3280"/>
      <c r="AG1291" s="3865"/>
      <c r="AM1291" s="3041"/>
      <c r="BD1291" s="3280"/>
      <c r="BF1291" s="3041"/>
      <c r="BH1291" s="3282"/>
    </row>
    <row r="1292" spans="1:60" s="3030" customFormat="1">
      <c r="A1292" s="2126"/>
      <c r="B1292" s="2126"/>
      <c r="C1292" s="2126"/>
      <c r="D1292" s="2126"/>
      <c r="E1292" s="525"/>
      <c r="F1292" s="525"/>
      <c r="G1292" s="525"/>
      <c r="K1292" s="3280"/>
      <c r="AB1292" s="3280"/>
      <c r="AG1292" s="3865"/>
      <c r="AM1292" s="3041"/>
      <c r="BD1292" s="3280"/>
      <c r="BF1292" s="3041"/>
      <c r="BH1292" s="3282"/>
    </row>
    <row r="1293" spans="1:60" s="3030" customFormat="1">
      <c r="A1293" s="2126"/>
      <c r="B1293" s="2126"/>
      <c r="C1293" s="2126"/>
      <c r="D1293" s="2126"/>
      <c r="E1293" s="525"/>
      <c r="F1293" s="525"/>
      <c r="G1293" s="525"/>
      <c r="K1293" s="3280"/>
      <c r="AB1293" s="3280"/>
      <c r="AG1293" s="3865"/>
      <c r="AM1293" s="3041"/>
      <c r="BD1293" s="3280"/>
      <c r="BF1293" s="3041"/>
      <c r="BH1293" s="3282"/>
    </row>
    <row r="1294" spans="1:60" s="3030" customFormat="1">
      <c r="A1294" s="2126"/>
      <c r="B1294" s="2126"/>
      <c r="C1294" s="2126"/>
      <c r="D1294" s="2126"/>
      <c r="E1294" s="525"/>
      <c r="F1294" s="525"/>
      <c r="G1294" s="525"/>
      <c r="K1294" s="3280"/>
      <c r="AB1294" s="3280"/>
      <c r="AG1294" s="3865"/>
      <c r="AM1294" s="3041"/>
      <c r="BD1294" s="3280"/>
      <c r="BF1294" s="3041"/>
      <c r="BH1294" s="3282"/>
    </row>
    <row r="1295" spans="1:60" s="3030" customFormat="1">
      <c r="A1295" s="2126"/>
      <c r="B1295" s="2126"/>
      <c r="C1295" s="2126"/>
      <c r="D1295" s="2126"/>
      <c r="E1295" s="525"/>
      <c r="F1295" s="525"/>
      <c r="G1295" s="525"/>
      <c r="K1295" s="3280"/>
      <c r="AB1295" s="3280"/>
      <c r="AG1295" s="3865"/>
      <c r="AM1295" s="3041"/>
      <c r="BD1295" s="3280"/>
      <c r="BF1295" s="3041"/>
      <c r="BH1295" s="3282"/>
    </row>
    <row r="1296" spans="1:60" s="3030" customFormat="1">
      <c r="A1296" s="2126"/>
      <c r="B1296" s="2126"/>
      <c r="C1296" s="2126"/>
      <c r="D1296" s="2126"/>
      <c r="E1296" s="525"/>
      <c r="F1296" s="525"/>
      <c r="G1296" s="525"/>
      <c r="K1296" s="3280"/>
      <c r="AB1296" s="3280"/>
      <c r="AG1296" s="3865"/>
      <c r="AM1296" s="3041"/>
      <c r="BD1296" s="3280"/>
      <c r="BF1296" s="3041"/>
      <c r="BH1296" s="3282"/>
    </row>
    <row r="1297" spans="1:60" s="3030" customFormat="1">
      <c r="A1297" s="2126"/>
      <c r="B1297" s="2126"/>
      <c r="C1297" s="2126"/>
      <c r="D1297" s="2126"/>
      <c r="E1297" s="525"/>
      <c r="F1297" s="525"/>
      <c r="G1297" s="525"/>
      <c r="K1297" s="3280"/>
      <c r="AB1297" s="3280"/>
      <c r="AG1297" s="3865"/>
      <c r="AM1297" s="3041"/>
      <c r="BD1297" s="3280"/>
      <c r="BF1297" s="3041"/>
      <c r="BH1297" s="3282"/>
    </row>
    <row r="1298" spans="1:60" s="3030" customFormat="1">
      <c r="A1298" s="2126"/>
      <c r="B1298" s="2126"/>
      <c r="C1298" s="2126"/>
      <c r="D1298" s="2126"/>
      <c r="E1298" s="525"/>
      <c r="F1298" s="525"/>
      <c r="G1298" s="525"/>
      <c r="K1298" s="3280"/>
      <c r="AB1298" s="3280"/>
      <c r="AG1298" s="3865"/>
      <c r="AM1298" s="3041"/>
      <c r="BD1298" s="3280"/>
      <c r="BF1298" s="3041"/>
      <c r="BH1298" s="3282"/>
    </row>
    <row r="1299" spans="1:60" s="3030" customFormat="1">
      <c r="A1299" s="2126"/>
      <c r="B1299" s="2126"/>
      <c r="C1299" s="2126"/>
      <c r="D1299" s="2126"/>
      <c r="E1299" s="525"/>
      <c r="F1299" s="525"/>
      <c r="G1299" s="525"/>
      <c r="K1299" s="3280"/>
      <c r="AB1299" s="3280"/>
      <c r="AG1299" s="3865"/>
      <c r="AM1299" s="3041"/>
      <c r="BD1299" s="3280"/>
      <c r="BF1299" s="3041"/>
      <c r="BH1299" s="3282"/>
    </row>
    <row r="1300" spans="1:60" s="3030" customFormat="1">
      <c r="A1300" s="2126"/>
      <c r="B1300" s="2126"/>
      <c r="C1300" s="2126"/>
      <c r="D1300" s="2126"/>
      <c r="E1300" s="525"/>
      <c r="F1300" s="525"/>
      <c r="G1300" s="525"/>
      <c r="K1300" s="3280"/>
      <c r="AB1300" s="3280"/>
      <c r="AG1300" s="3865"/>
      <c r="AM1300" s="3041"/>
      <c r="BD1300" s="3280"/>
      <c r="BF1300" s="3041"/>
      <c r="BH1300" s="3282"/>
    </row>
    <row r="1301" spans="1:60" s="3030" customFormat="1">
      <c r="A1301" s="2126"/>
      <c r="B1301" s="2126"/>
      <c r="C1301" s="2126"/>
      <c r="D1301" s="2126"/>
      <c r="E1301" s="525"/>
      <c r="F1301" s="525"/>
      <c r="G1301" s="525"/>
      <c r="K1301" s="3280"/>
      <c r="AB1301" s="3280"/>
      <c r="AG1301" s="3865"/>
      <c r="AM1301" s="3041"/>
      <c r="BD1301" s="3280"/>
      <c r="BF1301" s="3041"/>
      <c r="BH1301" s="3282"/>
    </row>
    <row r="1302" spans="1:60" s="3030" customFormat="1">
      <c r="A1302" s="2126"/>
      <c r="B1302" s="2126"/>
      <c r="C1302" s="2126"/>
      <c r="D1302" s="2126"/>
      <c r="E1302" s="525"/>
      <c r="F1302" s="525"/>
      <c r="G1302" s="525"/>
      <c r="K1302" s="3280"/>
      <c r="AB1302" s="3280"/>
      <c r="AG1302" s="3865"/>
      <c r="AM1302" s="3041"/>
      <c r="BD1302" s="3280"/>
      <c r="BF1302" s="3041"/>
      <c r="BH1302" s="3282"/>
    </row>
    <row r="1303" spans="1:60" s="3030" customFormat="1">
      <c r="A1303" s="2126"/>
      <c r="B1303" s="2126"/>
      <c r="C1303" s="2126"/>
      <c r="D1303" s="2126"/>
      <c r="E1303" s="525"/>
      <c r="F1303" s="525"/>
      <c r="G1303" s="525"/>
      <c r="K1303" s="3280"/>
      <c r="AB1303" s="3280"/>
      <c r="AG1303" s="3865"/>
      <c r="AM1303" s="3041"/>
      <c r="BD1303" s="3280"/>
      <c r="BF1303" s="3041"/>
      <c r="BH1303" s="3282"/>
    </row>
    <row r="1304" spans="1:60" s="3030" customFormat="1">
      <c r="A1304" s="2126"/>
      <c r="B1304" s="2126"/>
      <c r="C1304" s="2126"/>
      <c r="D1304" s="2126"/>
      <c r="E1304" s="525"/>
      <c r="F1304" s="525"/>
      <c r="G1304" s="525"/>
      <c r="K1304" s="3280"/>
      <c r="AB1304" s="3280"/>
      <c r="AG1304" s="3865"/>
      <c r="AM1304" s="3041"/>
      <c r="BD1304" s="3280"/>
      <c r="BF1304" s="3041"/>
      <c r="BH1304" s="3282"/>
    </row>
    <row r="1305" spans="1:60" s="3030" customFormat="1">
      <c r="A1305" s="2126"/>
      <c r="B1305" s="2126"/>
      <c r="C1305" s="2126"/>
      <c r="D1305" s="2126"/>
      <c r="E1305" s="525"/>
      <c r="F1305" s="525"/>
      <c r="G1305" s="525"/>
      <c r="K1305" s="3280"/>
      <c r="AB1305" s="3280"/>
      <c r="AG1305" s="3865"/>
      <c r="AM1305" s="3041"/>
      <c r="BD1305" s="3280"/>
      <c r="BF1305" s="3041"/>
      <c r="BH1305" s="3282"/>
    </row>
    <row r="1306" spans="1:60" s="3030" customFormat="1">
      <c r="A1306" s="2126"/>
      <c r="B1306" s="2126"/>
      <c r="C1306" s="2126"/>
      <c r="D1306" s="2126"/>
      <c r="E1306" s="525"/>
      <c r="F1306" s="525"/>
      <c r="G1306" s="525"/>
      <c r="K1306" s="3280"/>
      <c r="AB1306" s="3280"/>
      <c r="AG1306" s="3865"/>
      <c r="AM1306" s="3041"/>
      <c r="BD1306" s="3280"/>
      <c r="BF1306" s="3041"/>
      <c r="BH1306" s="3282"/>
    </row>
    <row r="1307" spans="1:60" s="3030" customFormat="1">
      <c r="A1307" s="2126"/>
      <c r="B1307" s="2126"/>
      <c r="C1307" s="2126"/>
      <c r="D1307" s="2126"/>
      <c r="E1307" s="525"/>
      <c r="F1307" s="525"/>
      <c r="G1307" s="525"/>
      <c r="K1307" s="3280"/>
      <c r="AB1307" s="3280"/>
      <c r="AG1307" s="3865"/>
      <c r="AM1307" s="3041"/>
      <c r="BD1307" s="3280"/>
      <c r="BF1307" s="3041"/>
      <c r="BH1307" s="3282"/>
    </row>
    <row r="1308" spans="1:60" s="3030" customFormat="1">
      <c r="A1308" s="2126"/>
      <c r="B1308" s="2126"/>
      <c r="C1308" s="2126"/>
      <c r="D1308" s="2126"/>
      <c r="E1308" s="525"/>
      <c r="F1308" s="525"/>
      <c r="G1308" s="525"/>
      <c r="K1308" s="3280"/>
      <c r="AB1308" s="3280"/>
      <c r="AG1308" s="3865"/>
      <c r="AM1308" s="3041"/>
      <c r="BD1308" s="3280"/>
      <c r="BF1308" s="3041"/>
      <c r="BH1308" s="3282"/>
    </row>
    <row r="1309" spans="1:60" s="3030" customFormat="1">
      <c r="A1309" s="2126"/>
      <c r="B1309" s="2126"/>
      <c r="C1309" s="2126"/>
      <c r="D1309" s="2126"/>
      <c r="E1309" s="525"/>
      <c r="F1309" s="525"/>
      <c r="G1309" s="525"/>
      <c r="K1309" s="3280"/>
      <c r="AB1309" s="3280"/>
      <c r="AG1309" s="3865"/>
      <c r="AM1309" s="3041"/>
      <c r="BD1309" s="3280"/>
      <c r="BF1309" s="3041"/>
      <c r="BH1309" s="3282"/>
    </row>
    <row r="1310" spans="1:60" s="3030" customFormat="1">
      <c r="A1310" s="2126"/>
      <c r="B1310" s="2126"/>
      <c r="C1310" s="2126"/>
      <c r="D1310" s="2126"/>
      <c r="E1310" s="525"/>
      <c r="F1310" s="525"/>
      <c r="G1310" s="525"/>
      <c r="K1310" s="3280"/>
      <c r="AB1310" s="3280"/>
      <c r="AG1310" s="3865"/>
      <c r="AM1310" s="3041"/>
      <c r="BD1310" s="3280"/>
      <c r="BF1310" s="3041"/>
      <c r="BH1310" s="3282"/>
    </row>
    <row r="1311" spans="1:60" s="3030" customFormat="1">
      <c r="A1311" s="2126"/>
      <c r="B1311" s="2126"/>
      <c r="C1311" s="2126"/>
      <c r="D1311" s="2126"/>
      <c r="E1311" s="525"/>
      <c r="F1311" s="525"/>
      <c r="G1311" s="525"/>
      <c r="K1311" s="3280"/>
      <c r="AB1311" s="3280"/>
      <c r="AG1311" s="3865"/>
      <c r="AM1311" s="3041"/>
      <c r="BD1311" s="3280"/>
      <c r="BF1311" s="3041"/>
      <c r="BH1311" s="3282"/>
    </row>
    <row r="1312" spans="1:60" s="3030" customFormat="1">
      <c r="A1312" s="2126"/>
      <c r="B1312" s="2126"/>
      <c r="C1312" s="2126"/>
      <c r="D1312" s="2126"/>
      <c r="E1312" s="525"/>
      <c r="F1312" s="525"/>
      <c r="G1312" s="525"/>
      <c r="K1312" s="3280"/>
      <c r="AB1312" s="3280"/>
      <c r="AG1312" s="3865"/>
      <c r="AM1312" s="3041"/>
      <c r="BD1312" s="3280"/>
      <c r="BF1312" s="3041"/>
      <c r="BH1312" s="3282"/>
    </row>
    <row r="1313" spans="1:60" s="3030" customFormat="1">
      <c r="A1313" s="2126"/>
      <c r="B1313" s="2126"/>
      <c r="C1313" s="2126"/>
      <c r="D1313" s="2126"/>
      <c r="E1313" s="525"/>
      <c r="F1313" s="525"/>
      <c r="G1313" s="525"/>
      <c r="K1313" s="3280"/>
      <c r="AB1313" s="3280"/>
      <c r="AG1313" s="3865"/>
      <c r="AM1313" s="3041"/>
      <c r="BD1313" s="3280"/>
      <c r="BF1313" s="3041"/>
      <c r="BH1313" s="3282"/>
    </row>
    <row r="1314" spans="1:60" s="3030" customFormat="1">
      <c r="A1314" s="2126"/>
      <c r="B1314" s="2126"/>
      <c r="C1314" s="2126"/>
      <c r="D1314" s="2126"/>
      <c r="E1314" s="525"/>
      <c r="F1314" s="525"/>
      <c r="G1314" s="525"/>
      <c r="K1314" s="3280"/>
      <c r="AB1314" s="3280"/>
      <c r="AG1314" s="3865"/>
      <c r="AM1314" s="3041"/>
      <c r="BD1314" s="3280"/>
      <c r="BF1314" s="3041"/>
      <c r="BH1314" s="3282"/>
    </row>
    <row r="1315" spans="1:60" s="3030" customFormat="1">
      <c r="A1315" s="2126"/>
      <c r="B1315" s="2126"/>
      <c r="C1315" s="2126"/>
      <c r="D1315" s="2126"/>
      <c r="E1315" s="525"/>
      <c r="F1315" s="525"/>
      <c r="G1315" s="525"/>
      <c r="K1315" s="3280"/>
      <c r="AB1315" s="3280"/>
      <c r="AG1315" s="3865"/>
      <c r="AM1315" s="3041"/>
      <c r="BD1315" s="3280"/>
      <c r="BF1315" s="3041"/>
      <c r="BH1315" s="3282"/>
    </row>
    <row r="1316" spans="1:60" s="3030" customFormat="1">
      <c r="A1316" s="2126"/>
      <c r="B1316" s="2126"/>
      <c r="C1316" s="2126"/>
      <c r="D1316" s="2126"/>
      <c r="E1316" s="525"/>
      <c r="F1316" s="525"/>
      <c r="G1316" s="525"/>
      <c r="K1316" s="3280"/>
      <c r="AB1316" s="3280"/>
      <c r="AG1316" s="3865"/>
      <c r="AM1316" s="3041"/>
      <c r="BD1316" s="3280"/>
      <c r="BF1316" s="3041"/>
      <c r="BH1316" s="3282"/>
    </row>
    <row r="1317" spans="1:60" s="3030" customFormat="1">
      <c r="A1317" s="2126"/>
      <c r="B1317" s="2126"/>
      <c r="C1317" s="2126"/>
      <c r="D1317" s="2126"/>
      <c r="E1317" s="525"/>
      <c r="F1317" s="525"/>
      <c r="G1317" s="525"/>
      <c r="K1317" s="3280"/>
      <c r="AB1317" s="3280"/>
      <c r="AG1317" s="3865"/>
      <c r="AM1317" s="3041"/>
      <c r="BD1317" s="3280"/>
      <c r="BF1317" s="3041"/>
      <c r="BH1317" s="3282"/>
    </row>
    <row r="1318" spans="1:60" s="3030" customFormat="1">
      <c r="A1318" s="2126"/>
      <c r="B1318" s="2126"/>
      <c r="C1318" s="2126"/>
      <c r="D1318" s="2126"/>
      <c r="E1318" s="525"/>
      <c r="F1318" s="525"/>
      <c r="G1318" s="525"/>
      <c r="K1318" s="3280"/>
      <c r="AB1318" s="3280"/>
      <c r="AG1318" s="3865"/>
      <c r="AM1318" s="3041"/>
      <c r="BD1318" s="3280"/>
      <c r="BF1318" s="3041"/>
      <c r="BH1318" s="3282"/>
    </row>
    <row r="1319" spans="1:60" s="3030" customFormat="1">
      <c r="A1319" s="2126"/>
      <c r="B1319" s="2126"/>
      <c r="C1319" s="2126"/>
      <c r="D1319" s="2126"/>
      <c r="E1319" s="525"/>
      <c r="F1319" s="525"/>
      <c r="G1319" s="525"/>
      <c r="K1319" s="3280"/>
      <c r="AB1319" s="3280"/>
      <c r="AG1319" s="3865"/>
      <c r="AM1319" s="3041"/>
      <c r="BD1319" s="3280"/>
      <c r="BF1319" s="3041"/>
      <c r="BH1319" s="3282"/>
    </row>
    <row r="1320" spans="1:60" s="3030" customFormat="1">
      <c r="A1320" s="2126"/>
      <c r="B1320" s="2126"/>
      <c r="C1320" s="2126"/>
      <c r="D1320" s="2126"/>
      <c r="E1320" s="525"/>
      <c r="F1320" s="525"/>
      <c r="G1320" s="525"/>
      <c r="K1320" s="3280"/>
      <c r="AB1320" s="3280"/>
      <c r="AG1320" s="3865"/>
      <c r="AM1320" s="3041"/>
      <c r="BD1320" s="3280"/>
      <c r="BF1320" s="3041"/>
      <c r="BH1320" s="3282"/>
    </row>
    <row r="1321" spans="1:60" s="3030" customFormat="1">
      <c r="A1321" s="2126"/>
      <c r="B1321" s="2126"/>
      <c r="C1321" s="2126"/>
      <c r="D1321" s="2126"/>
      <c r="E1321" s="525"/>
      <c r="F1321" s="525"/>
      <c r="G1321" s="525"/>
      <c r="K1321" s="3280"/>
      <c r="AB1321" s="3280"/>
      <c r="AG1321" s="3865"/>
      <c r="AM1321" s="3041"/>
      <c r="BD1321" s="3280"/>
      <c r="BF1321" s="3041"/>
      <c r="BH1321" s="3282"/>
    </row>
    <row r="1322" spans="1:60" s="3030" customFormat="1">
      <c r="A1322" s="2126"/>
      <c r="B1322" s="2126"/>
      <c r="C1322" s="2126"/>
      <c r="D1322" s="2126"/>
      <c r="E1322" s="525"/>
      <c r="F1322" s="525"/>
      <c r="G1322" s="525"/>
      <c r="K1322" s="3280"/>
      <c r="AB1322" s="3280"/>
      <c r="AG1322" s="3865"/>
      <c r="AM1322" s="3041"/>
      <c r="BD1322" s="3280"/>
      <c r="BF1322" s="3041"/>
      <c r="BH1322" s="3282"/>
    </row>
    <row r="1323" spans="1:60" s="3030" customFormat="1">
      <c r="A1323" s="2126"/>
      <c r="B1323" s="2126"/>
      <c r="C1323" s="2126"/>
      <c r="D1323" s="2126"/>
      <c r="E1323" s="525"/>
      <c r="F1323" s="525"/>
      <c r="G1323" s="525"/>
      <c r="K1323" s="3280"/>
      <c r="AB1323" s="3280"/>
      <c r="AG1323" s="3865"/>
      <c r="AM1323" s="3041"/>
      <c r="BD1323" s="3280"/>
      <c r="BF1323" s="3041"/>
      <c r="BH1323" s="3282"/>
    </row>
    <row r="1324" spans="1:60" s="3030" customFormat="1">
      <c r="A1324" s="2126"/>
      <c r="B1324" s="2126"/>
      <c r="C1324" s="2126"/>
      <c r="D1324" s="2126"/>
      <c r="E1324" s="525"/>
      <c r="F1324" s="525"/>
      <c r="G1324" s="525"/>
      <c r="K1324" s="3280"/>
      <c r="AB1324" s="3280"/>
      <c r="AG1324" s="3865"/>
      <c r="AM1324" s="3041"/>
      <c r="BD1324" s="3280"/>
      <c r="BF1324" s="3041"/>
      <c r="BH1324" s="3282"/>
    </row>
    <row r="1325" spans="1:60" s="3030" customFormat="1">
      <c r="A1325" s="2126"/>
      <c r="B1325" s="2126"/>
      <c r="C1325" s="2126"/>
      <c r="D1325" s="2126"/>
      <c r="E1325" s="525"/>
      <c r="F1325" s="525"/>
      <c r="G1325" s="525"/>
      <c r="K1325" s="3280"/>
      <c r="AB1325" s="3280"/>
      <c r="AG1325" s="3865"/>
      <c r="AM1325" s="3041"/>
      <c r="BD1325" s="3280"/>
      <c r="BF1325" s="3041"/>
      <c r="BH1325" s="3282"/>
    </row>
    <row r="1326" spans="1:60" s="3030" customFormat="1">
      <c r="A1326" s="2126"/>
      <c r="B1326" s="2126"/>
      <c r="C1326" s="2126"/>
      <c r="D1326" s="2126"/>
      <c r="E1326" s="525"/>
      <c r="F1326" s="525"/>
      <c r="G1326" s="525"/>
      <c r="K1326" s="3280"/>
      <c r="AB1326" s="3280"/>
      <c r="AG1326" s="3865"/>
      <c r="AM1326" s="3041"/>
      <c r="BD1326" s="3280"/>
      <c r="BF1326" s="3041"/>
      <c r="BH1326" s="3282"/>
    </row>
    <row r="1327" spans="1:60" s="3030" customFormat="1">
      <c r="A1327" s="2126"/>
      <c r="B1327" s="2126"/>
      <c r="C1327" s="2126"/>
      <c r="D1327" s="2126"/>
      <c r="E1327" s="525"/>
      <c r="F1327" s="525"/>
      <c r="G1327" s="525"/>
      <c r="K1327" s="3280"/>
      <c r="AB1327" s="3280"/>
      <c r="AG1327" s="3865"/>
      <c r="AM1327" s="3041"/>
      <c r="BD1327" s="3280"/>
      <c r="BF1327" s="3041"/>
      <c r="BH1327" s="3282"/>
    </row>
    <row r="1328" spans="1:60" s="3030" customFormat="1">
      <c r="A1328" s="2126"/>
      <c r="B1328" s="2126"/>
      <c r="C1328" s="2126"/>
      <c r="D1328" s="2126"/>
      <c r="E1328" s="525"/>
      <c r="F1328" s="525"/>
      <c r="G1328" s="525"/>
      <c r="K1328" s="3280"/>
      <c r="AB1328" s="3280"/>
      <c r="AG1328" s="3865"/>
      <c r="AM1328" s="3041"/>
      <c r="BD1328" s="3280"/>
      <c r="BF1328" s="3041"/>
      <c r="BH1328" s="3282"/>
    </row>
    <row r="1329" spans="1:60" s="3030" customFormat="1">
      <c r="A1329" s="2126"/>
      <c r="B1329" s="2126"/>
      <c r="C1329" s="2126"/>
      <c r="D1329" s="2126"/>
      <c r="E1329" s="525"/>
      <c r="F1329" s="525"/>
      <c r="G1329" s="525"/>
      <c r="K1329" s="3280"/>
      <c r="AB1329" s="3280"/>
      <c r="AG1329" s="3865"/>
      <c r="AM1329" s="3041"/>
      <c r="BD1329" s="3280"/>
      <c r="BF1329" s="3041"/>
      <c r="BH1329" s="3282"/>
    </row>
    <row r="1330" spans="1:60" s="3030" customFormat="1">
      <c r="A1330" s="2126"/>
      <c r="B1330" s="2126"/>
      <c r="C1330" s="2126"/>
      <c r="D1330" s="2126"/>
      <c r="E1330" s="525"/>
      <c r="F1330" s="525"/>
      <c r="G1330" s="525"/>
      <c r="K1330" s="3280"/>
      <c r="AB1330" s="3280"/>
      <c r="AG1330" s="3865"/>
      <c r="AM1330" s="3041"/>
      <c r="BD1330" s="3280"/>
      <c r="BF1330" s="3041"/>
      <c r="BH1330" s="3282"/>
    </row>
    <row r="1331" spans="1:60" s="3030" customFormat="1">
      <c r="A1331" s="2126"/>
      <c r="B1331" s="2126"/>
      <c r="C1331" s="2126"/>
      <c r="D1331" s="2126"/>
      <c r="E1331" s="525"/>
      <c r="F1331" s="525"/>
      <c r="G1331" s="525"/>
      <c r="K1331" s="3280"/>
      <c r="AB1331" s="3280"/>
      <c r="AG1331" s="3865"/>
      <c r="AM1331" s="3041"/>
      <c r="BD1331" s="3280"/>
      <c r="BF1331" s="3041"/>
      <c r="BH1331" s="3282"/>
    </row>
    <row r="1332" spans="1:60" s="3030" customFormat="1">
      <c r="A1332" s="2126"/>
      <c r="B1332" s="2126"/>
      <c r="C1332" s="2126"/>
      <c r="D1332" s="2126"/>
      <c r="E1332" s="525"/>
      <c r="F1332" s="525"/>
      <c r="G1332" s="525"/>
      <c r="K1332" s="3280"/>
      <c r="AB1332" s="3280"/>
      <c r="AG1332" s="3865"/>
      <c r="AM1332" s="3041"/>
      <c r="BD1332" s="3280"/>
      <c r="BF1332" s="3041"/>
      <c r="BH1332" s="3282"/>
    </row>
    <row r="1333" spans="1:60" s="3030" customFormat="1">
      <c r="A1333" s="2126"/>
      <c r="B1333" s="2126"/>
      <c r="C1333" s="2126"/>
      <c r="D1333" s="2126"/>
      <c r="E1333" s="525"/>
      <c r="F1333" s="525"/>
      <c r="G1333" s="525"/>
      <c r="K1333" s="3280"/>
      <c r="AB1333" s="3280"/>
      <c r="AG1333" s="3865"/>
      <c r="AM1333" s="3041"/>
      <c r="BD1333" s="3280"/>
      <c r="BF1333" s="3041"/>
      <c r="BH1333" s="3282"/>
    </row>
    <row r="1334" spans="1:60" s="3030" customFormat="1">
      <c r="A1334" s="2126"/>
      <c r="B1334" s="2126"/>
      <c r="C1334" s="2126"/>
      <c r="D1334" s="2126"/>
      <c r="E1334" s="525"/>
      <c r="F1334" s="525"/>
      <c r="G1334" s="525"/>
      <c r="K1334" s="3280"/>
      <c r="AB1334" s="3280"/>
      <c r="AG1334" s="3865"/>
      <c r="AM1334" s="3041"/>
      <c r="BD1334" s="3280"/>
      <c r="BF1334" s="3041"/>
      <c r="BH1334" s="3282"/>
    </row>
    <row r="1335" spans="1:60" s="3030" customFormat="1">
      <c r="A1335" s="2126"/>
      <c r="B1335" s="2126"/>
      <c r="C1335" s="2126"/>
      <c r="D1335" s="2126"/>
      <c r="E1335" s="525"/>
      <c r="F1335" s="525"/>
      <c r="G1335" s="525"/>
      <c r="K1335" s="3280"/>
      <c r="AB1335" s="3280"/>
      <c r="AG1335" s="3865"/>
      <c r="AM1335" s="3041"/>
      <c r="BD1335" s="3280"/>
      <c r="BF1335" s="3041"/>
      <c r="BH1335" s="3282"/>
    </row>
    <row r="1336" spans="1:60" s="3030" customFormat="1">
      <c r="A1336" s="2126"/>
      <c r="B1336" s="2126"/>
      <c r="C1336" s="2126"/>
      <c r="D1336" s="2126"/>
      <c r="E1336" s="525"/>
      <c r="F1336" s="525"/>
      <c r="G1336" s="525"/>
      <c r="K1336" s="3280"/>
      <c r="AB1336" s="3280"/>
      <c r="AG1336" s="3865"/>
      <c r="AM1336" s="3041"/>
      <c r="BD1336" s="3280"/>
      <c r="BF1336" s="3041"/>
      <c r="BH1336" s="3282"/>
    </row>
    <row r="1337" spans="1:60" s="3030" customFormat="1">
      <c r="A1337" s="2126"/>
      <c r="B1337" s="2126"/>
      <c r="C1337" s="2126"/>
      <c r="D1337" s="2126"/>
      <c r="E1337" s="525"/>
      <c r="F1337" s="525"/>
      <c r="G1337" s="525"/>
      <c r="K1337" s="3280"/>
      <c r="AB1337" s="3280"/>
      <c r="AG1337" s="3865"/>
      <c r="AM1337" s="3041"/>
      <c r="BD1337" s="3280"/>
      <c r="BF1337" s="3041"/>
      <c r="BH1337" s="3282"/>
    </row>
    <row r="1338" spans="1:60" s="3030" customFormat="1">
      <c r="A1338" s="2126"/>
      <c r="B1338" s="2126"/>
      <c r="C1338" s="2126"/>
      <c r="D1338" s="2126"/>
      <c r="E1338" s="525"/>
      <c r="F1338" s="525"/>
      <c r="G1338" s="525"/>
      <c r="K1338" s="3280"/>
      <c r="AB1338" s="3280"/>
      <c r="AG1338" s="3865"/>
      <c r="AM1338" s="3041"/>
      <c r="BD1338" s="3280"/>
      <c r="BF1338" s="3041"/>
      <c r="BH1338" s="3282"/>
    </row>
    <row r="1339" spans="1:60" s="3030" customFormat="1">
      <c r="A1339" s="2126"/>
      <c r="B1339" s="2126"/>
      <c r="C1339" s="2126"/>
      <c r="D1339" s="2126"/>
      <c r="E1339" s="525"/>
      <c r="F1339" s="525"/>
      <c r="G1339" s="525"/>
      <c r="K1339" s="3280"/>
      <c r="AB1339" s="3280"/>
      <c r="AG1339" s="3865"/>
      <c r="AM1339" s="3041"/>
      <c r="BD1339" s="3280"/>
      <c r="BF1339" s="3041"/>
      <c r="BH1339" s="3282"/>
    </row>
    <row r="1340" spans="1:60" s="3030" customFormat="1">
      <c r="A1340" s="2126"/>
      <c r="B1340" s="2126"/>
      <c r="C1340" s="2126"/>
      <c r="D1340" s="2126"/>
      <c r="E1340" s="525"/>
      <c r="F1340" s="525"/>
      <c r="G1340" s="525"/>
      <c r="K1340" s="3280"/>
      <c r="AB1340" s="3280"/>
      <c r="AG1340" s="3865"/>
      <c r="AM1340" s="3041"/>
      <c r="BD1340" s="3280"/>
      <c r="BF1340" s="3041"/>
      <c r="BH1340" s="3282"/>
    </row>
    <row r="1341" spans="1:60" s="3030" customFormat="1">
      <c r="A1341" s="2126"/>
      <c r="B1341" s="2126"/>
      <c r="C1341" s="2126"/>
      <c r="D1341" s="2126"/>
      <c r="E1341" s="525"/>
      <c r="F1341" s="525"/>
      <c r="G1341" s="525"/>
      <c r="K1341" s="3280"/>
      <c r="AB1341" s="3280"/>
      <c r="AG1341" s="3865"/>
      <c r="AM1341" s="3041"/>
      <c r="BD1341" s="3280"/>
      <c r="BF1341" s="3041"/>
      <c r="BH1341" s="3282"/>
    </row>
    <row r="1342" spans="1:60" s="3030" customFormat="1">
      <c r="A1342" s="2126"/>
      <c r="B1342" s="2126"/>
      <c r="C1342" s="2126"/>
      <c r="D1342" s="2126"/>
      <c r="E1342" s="525"/>
      <c r="F1342" s="525"/>
      <c r="G1342" s="525"/>
      <c r="K1342" s="3280"/>
      <c r="AB1342" s="3280"/>
      <c r="AG1342" s="3865"/>
      <c r="AM1342" s="3041"/>
      <c r="BD1342" s="3280"/>
      <c r="BF1342" s="3041"/>
      <c r="BH1342" s="3282"/>
    </row>
    <row r="1343" spans="1:60" s="3030" customFormat="1">
      <c r="A1343" s="2126"/>
      <c r="B1343" s="2126"/>
      <c r="C1343" s="2126"/>
      <c r="D1343" s="2126"/>
      <c r="E1343" s="525"/>
      <c r="F1343" s="525"/>
      <c r="G1343" s="525"/>
      <c r="K1343" s="3280"/>
      <c r="AB1343" s="3280"/>
      <c r="AG1343" s="3865"/>
      <c r="AM1343" s="3041"/>
      <c r="BD1343" s="3280"/>
      <c r="BF1343" s="3041"/>
      <c r="BH1343" s="3282"/>
    </row>
    <row r="1344" spans="1:60" s="3030" customFormat="1">
      <c r="A1344" s="2126"/>
      <c r="B1344" s="2126"/>
      <c r="C1344" s="2126"/>
      <c r="D1344" s="2126"/>
      <c r="E1344" s="525"/>
      <c r="F1344" s="525"/>
      <c r="G1344" s="525"/>
      <c r="K1344" s="3280"/>
      <c r="AB1344" s="3280"/>
      <c r="AG1344" s="3865"/>
      <c r="AM1344" s="3041"/>
      <c r="BD1344" s="3280"/>
      <c r="BF1344" s="3041"/>
      <c r="BH1344" s="3282"/>
    </row>
    <row r="1345" spans="1:60" s="3030" customFormat="1">
      <c r="A1345" s="2126"/>
      <c r="B1345" s="2126"/>
      <c r="C1345" s="2126"/>
      <c r="D1345" s="2126"/>
      <c r="E1345" s="525"/>
      <c r="F1345" s="525"/>
      <c r="G1345" s="525"/>
      <c r="K1345" s="3280"/>
      <c r="AB1345" s="3280"/>
      <c r="AG1345" s="3865"/>
      <c r="AM1345" s="3041"/>
      <c r="BD1345" s="3280"/>
      <c r="BF1345" s="3041"/>
      <c r="BH1345" s="3282"/>
    </row>
    <row r="1346" spans="1:60" s="3030" customFormat="1">
      <c r="A1346" s="2126"/>
      <c r="B1346" s="2126"/>
      <c r="C1346" s="2126"/>
      <c r="D1346" s="2126"/>
      <c r="E1346" s="525"/>
      <c r="F1346" s="525"/>
      <c r="G1346" s="525"/>
      <c r="K1346" s="3280"/>
      <c r="AB1346" s="3280"/>
      <c r="AG1346" s="3865"/>
      <c r="AM1346" s="3041"/>
      <c r="BD1346" s="3280"/>
      <c r="BF1346" s="3041"/>
      <c r="BH1346" s="3282"/>
    </row>
    <row r="1347" spans="1:60" s="3030" customFormat="1">
      <c r="A1347" s="2126"/>
      <c r="B1347" s="2126"/>
      <c r="C1347" s="2126"/>
      <c r="D1347" s="2126"/>
      <c r="E1347" s="525"/>
      <c r="F1347" s="525"/>
      <c r="G1347" s="525"/>
      <c r="K1347" s="3280"/>
      <c r="AB1347" s="3280"/>
      <c r="AG1347" s="3865"/>
      <c r="AM1347" s="3041"/>
      <c r="BD1347" s="3280"/>
      <c r="BF1347" s="3041"/>
      <c r="BH1347" s="3282"/>
    </row>
    <row r="1348" spans="1:60" s="3030" customFormat="1">
      <c r="A1348" s="2126"/>
      <c r="B1348" s="2126"/>
      <c r="C1348" s="2126"/>
      <c r="D1348" s="2126"/>
      <c r="E1348" s="525"/>
      <c r="F1348" s="525"/>
      <c r="G1348" s="525"/>
      <c r="K1348" s="3280"/>
      <c r="AB1348" s="3280"/>
      <c r="AG1348" s="3865"/>
      <c r="AM1348" s="3041"/>
      <c r="BD1348" s="3280"/>
      <c r="BF1348" s="3041"/>
      <c r="BH1348" s="3282"/>
    </row>
    <row r="1349" spans="1:60" s="3030" customFormat="1">
      <c r="A1349" s="2126"/>
      <c r="B1349" s="2126"/>
      <c r="C1349" s="2126"/>
      <c r="D1349" s="2126"/>
      <c r="E1349" s="525"/>
      <c r="F1349" s="525"/>
      <c r="G1349" s="525"/>
      <c r="K1349" s="3280"/>
      <c r="AB1349" s="3280"/>
      <c r="AG1349" s="3865"/>
      <c r="AM1349" s="3041"/>
      <c r="BD1349" s="3280"/>
      <c r="BF1349" s="3041"/>
      <c r="BH1349" s="3282"/>
    </row>
    <row r="1350" spans="1:60" s="3030" customFormat="1">
      <c r="A1350" s="2126"/>
      <c r="B1350" s="2126"/>
      <c r="C1350" s="2126"/>
      <c r="D1350" s="2126"/>
      <c r="E1350" s="525"/>
      <c r="F1350" s="525"/>
      <c r="G1350" s="525"/>
      <c r="K1350" s="3280"/>
      <c r="AB1350" s="3280"/>
      <c r="AG1350" s="3865"/>
      <c r="AM1350" s="3041"/>
      <c r="BD1350" s="3280"/>
      <c r="BF1350" s="3041"/>
      <c r="BH1350" s="3282"/>
    </row>
    <row r="1351" spans="1:60" s="3030" customFormat="1">
      <c r="A1351" s="2126"/>
      <c r="B1351" s="2126"/>
      <c r="C1351" s="2126"/>
      <c r="D1351" s="2126"/>
      <c r="E1351" s="525"/>
      <c r="F1351" s="525"/>
      <c r="G1351" s="525"/>
      <c r="K1351" s="3280"/>
      <c r="AB1351" s="3280"/>
      <c r="AG1351" s="3865"/>
      <c r="AM1351" s="3041"/>
      <c r="BD1351" s="3280"/>
      <c r="BF1351" s="3041"/>
      <c r="BH1351" s="3282"/>
    </row>
    <row r="1352" spans="1:60" s="3030" customFormat="1">
      <c r="A1352" s="2126"/>
      <c r="B1352" s="2126"/>
      <c r="C1352" s="2126"/>
      <c r="D1352" s="2126"/>
      <c r="E1352" s="525"/>
      <c r="F1352" s="525"/>
      <c r="G1352" s="525"/>
      <c r="K1352" s="3280"/>
      <c r="AB1352" s="3280"/>
      <c r="AG1352" s="3865"/>
      <c r="AM1352" s="3041"/>
      <c r="BD1352" s="3280"/>
      <c r="BF1352" s="3041"/>
      <c r="BH1352" s="3282"/>
    </row>
    <row r="1353" spans="1:60" s="3030" customFormat="1">
      <c r="A1353" s="2126"/>
      <c r="B1353" s="2126"/>
      <c r="C1353" s="2126"/>
      <c r="D1353" s="2126"/>
      <c r="E1353" s="525"/>
      <c r="F1353" s="525"/>
      <c r="G1353" s="525"/>
      <c r="K1353" s="3280"/>
      <c r="AB1353" s="3280"/>
      <c r="AG1353" s="3865"/>
      <c r="AM1353" s="3041"/>
      <c r="BD1353" s="3280"/>
      <c r="BF1353" s="3041"/>
      <c r="BH1353" s="3282"/>
    </row>
    <row r="1354" spans="1:60" s="3030" customFormat="1">
      <c r="A1354" s="2126"/>
      <c r="B1354" s="2126"/>
      <c r="C1354" s="2126"/>
      <c r="D1354" s="2126"/>
      <c r="E1354" s="525"/>
      <c r="F1354" s="525"/>
      <c r="G1354" s="525"/>
      <c r="K1354" s="3280"/>
      <c r="AB1354" s="3280"/>
      <c r="AG1354" s="3865"/>
      <c r="AM1354" s="3041"/>
      <c r="BD1354" s="3280"/>
      <c r="BF1354" s="3041"/>
      <c r="BH1354" s="3282"/>
    </row>
    <row r="1355" spans="1:60" s="3030" customFormat="1">
      <c r="A1355" s="2126"/>
      <c r="B1355" s="2126"/>
      <c r="C1355" s="2126"/>
      <c r="D1355" s="2126"/>
      <c r="E1355" s="525"/>
      <c r="F1355" s="525"/>
      <c r="G1355" s="525"/>
      <c r="K1355" s="3280"/>
      <c r="AB1355" s="3280"/>
      <c r="AG1355" s="3865"/>
      <c r="AM1355" s="3041"/>
      <c r="BD1355" s="3280"/>
      <c r="BF1355" s="3041"/>
      <c r="BH1355" s="3282"/>
    </row>
    <row r="1356" spans="1:60" s="3030" customFormat="1">
      <c r="A1356" s="2126"/>
      <c r="B1356" s="2126"/>
      <c r="C1356" s="2126"/>
      <c r="D1356" s="2126"/>
      <c r="E1356" s="525"/>
      <c r="F1356" s="525"/>
      <c r="G1356" s="525"/>
      <c r="K1356" s="3280"/>
      <c r="AB1356" s="3280"/>
      <c r="AG1356" s="3865"/>
      <c r="AM1356" s="3041"/>
      <c r="BD1356" s="3280"/>
      <c r="BF1356" s="3041"/>
      <c r="BH1356" s="3282"/>
    </row>
    <row r="1357" spans="1:60" s="3030" customFormat="1">
      <c r="A1357" s="2126"/>
      <c r="B1357" s="2126"/>
      <c r="C1357" s="2126"/>
      <c r="D1357" s="2126"/>
      <c r="E1357" s="525"/>
      <c r="F1357" s="525"/>
      <c r="G1357" s="525"/>
      <c r="K1357" s="3280"/>
      <c r="AB1357" s="3280"/>
      <c r="AG1357" s="3865"/>
      <c r="AM1357" s="3041"/>
      <c r="BD1357" s="3280"/>
      <c r="BF1357" s="3041"/>
      <c r="BH1357" s="3282"/>
    </row>
    <row r="1358" spans="1:60" s="3030" customFormat="1">
      <c r="A1358" s="2126"/>
      <c r="B1358" s="2126"/>
      <c r="C1358" s="2126"/>
      <c r="D1358" s="2126"/>
      <c r="E1358" s="525"/>
      <c r="F1358" s="525"/>
      <c r="G1358" s="525"/>
      <c r="K1358" s="3280"/>
      <c r="AB1358" s="3280"/>
      <c r="AG1358" s="3865"/>
      <c r="AM1358" s="3041"/>
      <c r="BD1358" s="3280"/>
      <c r="BF1358" s="3041"/>
      <c r="BH1358" s="3282"/>
    </row>
    <row r="1359" spans="1:60" s="3030" customFormat="1">
      <c r="A1359" s="2126"/>
      <c r="B1359" s="2126"/>
      <c r="C1359" s="2126"/>
      <c r="D1359" s="2126"/>
      <c r="E1359" s="525"/>
      <c r="F1359" s="525"/>
      <c r="G1359" s="525"/>
      <c r="K1359" s="3280"/>
      <c r="AB1359" s="3280"/>
      <c r="AG1359" s="3865"/>
      <c r="AM1359" s="3041"/>
      <c r="BD1359" s="3280"/>
      <c r="BF1359" s="3041"/>
      <c r="BH1359" s="3282"/>
    </row>
    <row r="1360" spans="1:60" s="3030" customFormat="1">
      <c r="A1360" s="2126"/>
      <c r="B1360" s="2126"/>
      <c r="C1360" s="2126"/>
      <c r="D1360" s="2126"/>
      <c r="E1360" s="525"/>
      <c r="F1360" s="525"/>
      <c r="G1360" s="525"/>
      <c r="K1360" s="3280"/>
      <c r="AB1360" s="3280"/>
      <c r="AG1360" s="3865"/>
      <c r="AM1360" s="3041"/>
      <c r="BD1360" s="3280"/>
      <c r="BF1360" s="3041"/>
      <c r="BH1360" s="3282"/>
    </row>
    <row r="1361" spans="1:60" s="3030" customFormat="1">
      <c r="A1361" s="2126"/>
      <c r="B1361" s="2126"/>
      <c r="C1361" s="2126"/>
      <c r="D1361" s="2126"/>
      <c r="E1361" s="525"/>
      <c r="F1361" s="525"/>
      <c r="G1361" s="525"/>
      <c r="K1361" s="3280"/>
      <c r="AB1361" s="3280"/>
      <c r="AG1361" s="3865"/>
      <c r="AM1361" s="3041"/>
      <c r="BD1361" s="3280"/>
      <c r="BF1361" s="3041"/>
      <c r="BH1361" s="3282"/>
    </row>
    <row r="1362" spans="1:60" s="3030" customFormat="1">
      <c r="A1362" s="2126"/>
      <c r="B1362" s="2126"/>
      <c r="C1362" s="2126"/>
      <c r="D1362" s="2126"/>
      <c r="E1362" s="525"/>
      <c r="F1362" s="525"/>
      <c r="G1362" s="525"/>
      <c r="K1362" s="3280"/>
      <c r="AB1362" s="3280"/>
      <c r="AG1362" s="3865"/>
      <c r="AM1362" s="3041"/>
      <c r="BD1362" s="3280"/>
      <c r="BF1362" s="3041"/>
      <c r="BH1362" s="3282"/>
    </row>
    <row r="1363" spans="1:60" s="3030" customFormat="1">
      <c r="A1363" s="2126"/>
      <c r="B1363" s="2126"/>
      <c r="C1363" s="2126"/>
      <c r="D1363" s="2126"/>
      <c r="E1363" s="525"/>
      <c r="F1363" s="525"/>
      <c r="G1363" s="525"/>
      <c r="K1363" s="3280"/>
      <c r="AB1363" s="3280"/>
      <c r="AG1363" s="3865"/>
      <c r="AM1363" s="3041"/>
      <c r="BD1363" s="3280"/>
      <c r="BF1363" s="3041"/>
      <c r="BH1363" s="3282"/>
    </row>
    <row r="1364" spans="1:60" s="3030" customFormat="1">
      <c r="A1364" s="2126"/>
      <c r="B1364" s="2126"/>
      <c r="C1364" s="2126"/>
      <c r="D1364" s="2126"/>
      <c r="E1364" s="525"/>
      <c r="F1364" s="525"/>
      <c r="G1364" s="525"/>
      <c r="K1364" s="3280"/>
      <c r="AB1364" s="3280"/>
      <c r="AG1364" s="3865"/>
      <c r="AM1364" s="3041"/>
      <c r="BD1364" s="3280"/>
      <c r="BF1364" s="3041"/>
      <c r="BH1364" s="3282"/>
    </row>
    <row r="1365" spans="1:60" s="3030" customFormat="1">
      <c r="A1365" s="2126"/>
      <c r="B1365" s="2126"/>
      <c r="C1365" s="2126"/>
      <c r="D1365" s="2126"/>
      <c r="E1365" s="525"/>
      <c r="F1365" s="525"/>
      <c r="G1365" s="525"/>
      <c r="K1365" s="3280"/>
      <c r="AB1365" s="3280"/>
      <c r="AG1365" s="3865"/>
      <c r="AM1365" s="3041"/>
      <c r="BD1365" s="3280"/>
      <c r="BF1365" s="3041"/>
      <c r="BH1365" s="3282"/>
    </row>
    <row r="1366" spans="1:60" s="3030" customFormat="1">
      <c r="A1366" s="2126"/>
      <c r="B1366" s="2126"/>
      <c r="C1366" s="2126"/>
      <c r="D1366" s="2126"/>
      <c r="E1366" s="525"/>
      <c r="F1366" s="525"/>
      <c r="G1366" s="525"/>
      <c r="K1366" s="3280"/>
      <c r="AB1366" s="3280"/>
      <c r="AG1366" s="3865"/>
      <c r="AM1366" s="3041"/>
      <c r="BD1366" s="3280"/>
      <c r="BF1366" s="3041"/>
      <c r="BH1366" s="3282"/>
    </row>
    <row r="1367" spans="1:60" s="3030" customFormat="1">
      <c r="A1367" s="2126"/>
      <c r="B1367" s="2126"/>
      <c r="C1367" s="2126"/>
      <c r="D1367" s="2126"/>
      <c r="E1367" s="525"/>
      <c r="F1367" s="525"/>
      <c r="G1367" s="525"/>
      <c r="K1367" s="3280"/>
      <c r="AB1367" s="3280"/>
      <c r="AG1367" s="3865"/>
      <c r="AM1367" s="3041"/>
      <c r="BD1367" s="3280"/>
      <c r="BF1367" s="3041"/>
      <c r="BH1367" s="3282"/>
    </row>
    <row r="1368" spans="1:60" s="3030" customFormat="1">
      <c r="A1368" s="2126"/>
      <c r="B1368" s="2126"/>
      <c r="C1368" s="2126"/>
      <c r="D1368" s="2126"/>
      <c r="E1368" s="525"/>
      <c r="F1368" s="525"/>
      <c r="G1368" s="525"/>
      <c r="K1368" s="3280"/>
      <c r="AB1368" s="3280"/>
      <c r="AG1368" s="3865"/>
      <c r="AM1368" s="3041"/>
      <c r="BD1368" s="3280"/>
      <c r="BF1368" s="3041"/>
      <c r="BH1368" s="3282"/>
    </row>
    <row r="1369" spans="1:60" s="3030" customFormat="1">
      <c r="A1369" s="2126"/>
      <c r="B1369" s="2126"/>
      <c r="C1369" s="2126"/>
      <c r="D1369" s="2126"/>
      <c r="E1369" s="525"/>
      <c r="F1369" s="525"/>
      <c r="G1369" s="525"/>
      <c r="K1369" s="3280"/>
      <c r="AB1369" s="3280"/>
      <c r="AG1369" s="3865"/>
      <c r="AM1369" s="3041"/>
      <c r="BD1369" s="3280"/>
      <c r="BF1369" s="3041"/>
      <c r="BH1369" s="3282"/>
    </row>
    <row r="1370" spans="1:60" s="3030" customFormat="1">
      <c r="A1370" s="2126"/>
      <c r="B1370" s="2126"/>
      <c r="C1370" s="2126"/>
      <c r="D1370" s="2126"/>
      <c r="E1370" s="525"/>
      <c r="F1370" s="525"/>
      <c r="G1370" s="525"/>
      <c r="K1370" s="3280"/>
      <c r="AB1370" s="3280"/>
      <c r="AG1370" s="3865"/>
      <c r="AM1370" s="3041"/>
      <c r="BD1370" s="3280"/>
      <c r="BF1370" s="3041"/>
      <c r="BH1370" s="3282"/>
    </row>
    <row r="1371" spans="1:60" s="3030" customFormat="1">
      <c r="A1371" s="2126"/>
      <c r="B1371" s="2126"/>
      <c r="C1371" s="2126"/>
      <c r="D1371" s="2126"/>
      <c r="E1371" s="525"/>
      <c r="F1371" s="525"/>
      <c r="G1371" s="525"/>
      <c r="K1371" s="3280"/>
      <c r="AB1371" s="3280"/>
      <c r="AG1371" s="3865"/>
      <c r="AM1371" s="3041"/>
      <c r="BD1371" s="3280"/>
      <c r="BF1371" s="3041"/>
      <c r="BH1371" s="3282"/>
    </row>
    <row r="1372" spans="1:60" s="3030" customFormat="1">
      <c r="A1372" s="2126"/>
      <c r="B1372" s="2126"/>
      <c r="C1372" s="2126"/>
      <c r="D1372" s="2126"/>
      <c r="E1372" s="525"/>
      <c r="F1372" s="525"/>
      <c r="G1372" s="525"/>
      <c r="K1372" s="3280"/>
      <c r="AB1372" s="3280"/>
      <c r="AG1372" s="3865"/>
      <c r="AM1372" s="3041"/>
      <c r="BD1372" s="3280"/>
      <c r="BF1372" s="3041"/>
      <c r="BH1372" s="3282"/>
    </row>
    <row r="1373" spans="1:60" s="3030" customFormat="1">
      <c r="A1373" s="2126"/>
      <c r="B1373" s="2126"/>
      <c r="C1373" s="2126"/>
      <c r="D1373" s="2126"/>
      <c r="E1373" s="525"/>
      <c r="F1373" s="525"/>
      <c r="G1373" s="525"/>
      <c r="K1373" s="3280"/>
      <c r="AB1373" s="3280"/>
      <c r="AG1373" s="3865"/>
      <c r="AM1373" s="3041"/>
      <c r="BD1373" s="3280"/>
      <c r="BF1373" s="3041"/>
      <c r="BH1373" s="3282"/>
    </row>
    <row r="1374" spans="1:60" s="3030" customFormat="1">
      <c r="A1374" s="2126"/>
      <c r="B1374" s="2126"/>
      <c r="C1374" s="2126"/>
      <c r="D1374" s="2126"/>
      <c r="E1374" s="525"/>
      <c r="F1374" s="525"/>
      <c r="G1374" s="525"/>
      <c r="K1374" s="3280"/>
      <c r="AB1374" s="3280"/>
      <c r="AG1374" s="3865"/>
      <c r="AM1374" s="3041"/>
      <c r="BD1374" s="3280"/>
      <c r="BF1374" s="3041"/>
      <c r="BH1374" s="3282"/>
    </row>
    <row r="1375" spans="1:60" s="3030" customFormat="1">
      <c r="A1375" s="2126"/>
      <c r="B1375" s="2126"/>
      <c r="C1375" s="2126"/>
      <c r="D1375" s="2126"/>
      <c r="E1375" s="525"/>
      <c r="F1375" s="525"/>
      <c r="G1375" s="525"/>
      <c r="K1375" s="3280"/>
      <c r="AB1375" s="3280"/>
      <c r="AG1375" s="3865"/>
      <c r="AM1375" s="3041"/>
      <c r="BD1375" s="3280"/>
      <c r="BF1375" s="3041"/>
      <c r="BH1375" s="3282"/>
    </row>
    <row r="1376" spans="1:60" s="3030" customFormat="1">
      <c r="A1376" s="2126"/>
      <c r="B1376" s="2126"/>
      <c r="C1376" s="2126"/>
      <c r="D1376" s="2126"/>
      <c r="E1376" s="525"/>
      <c r="F1376" s="525"/>
      <c r="G1376" s="525"/>
      <c r="K1376" s="3280"/>
      <c r="AB1376" s="3280"/>
      <c r="AG1376" s="3865"/>
      <c r="AM1376" s="3041"/>
      <c r="BD1376" s="3280"/>
      <c r="BF1376" s="3041"/>
      <c r="BH1376" s="3282"/>
    </row>
    <row r="1377" spans="1:60" s="3030" customFormat="1">
      <c r="A1377" s="2126"/>
      <c r="B1377" s="2126"/>
      <c r="C1377" s="2126"/>
      <c r="D1377" s="2126"/>
      <c r="E1377" s="525"/>
      <c r="F1377" s="525"/>
      <c r="G1377" s="525"/>
      <c r="K1377" s="3280"/>
      <c r="AB1377" s="3280"/>
      <c r="AG1377" s="3865"/>
      <c r="AM1377" s="3041"/>
      <c r="BD1377" s="3280"/>
      <c r="BF1377" s="3041"/>
      <c r="BH1377" s="3282"/>
    </row>
    <row r="1378" spans="1:60" s="3030" customFormat="1">
      <c r="A1378" s="2126"/>
      <c r="B1378" s="2126"/>
      <c r="C1378" s="2126"/>
      <c r="D1378" s="2126"/>
      <c r="E1378" s="525"/>
      <c r="F1378" s="525"/>
      <c r="G1378" s="525"/>
      <c r="K1378" s="3280"/>
      <c r="AB1378" s="3280"/>
      <c r="AG1378" s="3865"/>
      <c r="AM1378" s="3041"/>
      <c r="BD1378" s="3280"/>
      <c r="BF1378" s="3041"/>
      <c r="BH1378" s="3282"/>
    </row>
    <row r="1379" spans="1:60" s="3030" customFormat="1">
      <c r="A1379" s="2126"/>
      <c r="B1379" s="2126"/>
      <c r="C1379" s="2126"/>
      <c r="D1379" s="2126"/>
      <c r="E1379" s="525"/>
      <c r="F1379" s="525"/>
      <c r="G1379" s="525"/>
      <c r="K1379" s="3280"/>
      <c r="AB1379" s="3280"/>
      <c r="AG1379" s="3865"/>
      <c r="AM1379" s="3041"/>
      <c r="BD1379" s="3280"/>
      <c r="BF1379" s="3041"/>
      <c r="BH1379" s="3282"/>
    </row>
    <row r="1380" spans="1:60" s="3030" customFormat="1">
      <c r="A1380" s="2126"/>
      <c r="B1380" s="2126"/>
      <c r="C1380" s="2126"/>
      <c r="D1380" s="2126"/>
      <c r="E1380" s="525"/>
      <c r="F1380" s="525"/>
      <c r="G1380" s="525"/>
      <c r="K1380" s="3280"/>
      <c r="AB1380" s="3280"/>
      <c r="AG1380" s="3865"/>
      <c r="AM1380" s="3041"/>
      <c r="BD1380" s="3280"/>
      <c r="BF1380" s="3041"/>
      <c r="BH1380" s="3282"/>
    </row>
    <row r="1381" spans="1:60" s="3030" customFormat="1">
      <c r="A1381" s="2126"/>
      <c r="B1381" s="2126"/>
      <c r="C1381" s="2126"/>
      <c r="D1381" s="2126"/>
      <c r="E1381" s="525"/>
      <c r="F1381" s="525"/>
      <c r="G1381" s="525"/>
      <c r="K1381" s="3280"/>
      <c r="AB1381" s="3280"/>
      <c r="AG1381" s="3865"/>
      <c r="AM1381" s="3041"/>
      <c r="BD1381" s="3280"/>
      <c r="BF1381" s="3041"/>
      <c r="BH1381" s="3282"/>
    </row>
    <row r="1382" spans="1:60" s="3030" customFormat="1">
      <c r="A1382" s="2126"/>
      <c r="B1382" s="2126"/>
      <c r="C1382" s="2126"/>
      <c r="D1382" s="2126"/>
      <c r="E1382" s="525"/>
      <c r="F1382" s="525"/>
      <c r="G1382" s="525"/>
      <c r="K1382" s="3280"/>
      <c r="AB1382" s="3280"/>
      <c r="AG1382" s="3865"/>
      <c r="AM1382" s="3041"/>
      <c r="BD1382" s="3280"/>
      <c r="BF1382" s="3041"/>
      <c r="BH1382" s="3282"/>
    </row>
    <row r="1383" spans="1:60" s="3030" customFormat="1">
      <c r="A1383" s="2126"/>
      <c r="B1383" s="2126"/>
      <c r="C1383" s="2126"/>
      <c r="D1383" s="2126"/>
      <c r="E1383" s="525"/>
      <c r="F1383" s="525"/>
      <c r="G1383" s="525"/>
      <c r="K1383" s="3280"/>
      <c r="AB1383" s="3280"/>
      <c r="AG1383" s="3865"/>
      <c r="AM1383" s="3041"/>
      <c r="BD1383" s="3280"/>
      <c r="BF1383" s="3041"/>
      <c r="BH1383" s="3282"/>
    </row>
    <row r="1384" spans="1:60" s="3030" customFormat="1">
      <c r="A1384" s="2126"/>
      <c r="B1384" s="2126"/>
      <c r="C1384" s="2126"/>
      <c r="D1384" s="2126"/>
      <c r="E1384" s="525"/>
      <c r="F1384" s="525"/>
      <c r="G1384" s="525"/>
      <c r="K1384" s="3280"/>
      <c r="AB1384" s="3280"/>
      <c r="AG1384" s="3865"/>
      <c r="AM1384" s="3041"/>
      <c r="BD1384" s="3280"/>
      <c r="BF1384" s="3041"/>
      <c r="BH1384" s="3282"/>
    </row>
    <row r="1385" spans="1:60" s="3030" customFormat="1">
      <c r="A1385" s="2126"/>
      <c r="B1385" s="2126"/>
      <c r="C1385" s="2126"/>
      <c r="D1385" s="2126"/>
      <c r="E1385" s="525"/>
      <c r="F1385" s="525"/>
      <c r="G1385" s="525"/>
      <c r="K1385" s="3280"/>
      <c r="AB1385" s="3280"/>
      <c r="AG1385" s="3865"/>
      <c r="AM1385" s="3041"/>
      <c r="BD1385" s="3280"/>
      <c r="BF1385" s="3041"/>
      <c r="BH1385" s="3282"/>
    </row>
    <row r="1386" spans="1:60" s="3030" customFormat="1">
      <c r="A1386" s="2126"/>
      <c r="B1386" s="2126"/>
      <c r="C1386" s="2126"/>
      <c r="D1386" s="2126"/>
      <c r="E1386" s="525"/>
      <c r="F1386" s="525"/>
      <c r="G1386" s="525"/>
      <c r="K1386" s="3280"/>
      <c r="AB1386" s="3280"/>
      <c r="AG1386" s="3865"/>
      <c r="AM1386" s="3041"/>
      <c r="BD1386" s="3280"/>
      <c r="BF1386" s="3041"/>
      <c r="BH1386" s="3282"/>
    </row>
    <row r="1387" spans="1:60" s="3030" customFormat="1">
      <c r="A1387" s="2126"/>
      <c r="B1387" s="2126"/>
      <c r="C1387" s="2126"/>
      <c r="D1387" s="2126"/>
      <c r="E1387" s="525"/>
      <c r="F1387" s="525"/>
      <c r="G1387" s="525"/>
      <c r="K1387" s="3280"/>
      <c r="AB1387" s="3280"/>
      <c r="AG1387" s="3865"/>
      <c r="AM1387" s="3041"/>
      <c r="BD1387" s="3280"/>
      <c r="BF1387" s="3041"/>
      <c r="BH1387" s="3282"/>
    </row>
    <row r="1388" spans="1:60" s="3030" customFormat="1">
      <c r="A1388" s="2126"/>
      <c r="B1388" s="2126"/>
      <c r="C1388" s="2126"/>
      <c r="D1388" s="2126"/>
      <c r="E1388" s="525"/>
      <c r="F1388" s="525"/>
      <c r="G1388" s="525"/>
      <c r="K1388" s="3280"/>
      <c r="AB1388" s="3280"/>
      <c r="AG1388" s="3865"/>
      <c r="AM1388" s="3041"/>
      <c r="BD1388" s="3280"/>
      <c r="BF1388" s="3041"/>
      <c r="BH1388" s="3282"/>
    </row>
    <row r="1389" spans="1:60" s="3030" customFormat="1">
      <c r="A1389" s="2126"/>
      <c r="B1389" s="2126"/>
      <c r="C1389" s="2126"/>
      <c r="D1389" s="2126"/>
      <c r="E1389" s="525"/>
      <c r="F1389" s="525"/>
      <c r="G1389" s="525"/>
      <c r="K1389" s="3280"/>
      <c r="AB1389" s="3280"/>
      <c r="AG1389" s="3865"/>
      <c r="AM1389" s="3041"/>
      <c r="BD1389" s="3280"/>
      <c r="BF1389" s="3041"/>
      <c r="BH1389" s="3282"/>
    </row>
    <row r="1390" spans="1:60" s="3030" customFormat="1">
      <c r="A1390" s="2126"/>
      <c r="B1390" s="2126"/>
      <c r="C1390" s="2126"/>
      <c r="D1390" s="2126"/>
      <c r="E1390" s="525"/>
      <c r="F1390" s="525"/>
      <c r="G1390" s="525"/>
      <c r="K1390" s="3280"/>
      <c r="AB1390" s="3280"/>
      <c r="AG1390" s="3865"/>
      <c r="AM1390" s="3041"/>
      <c r="BD1390" s="3280"/>
      <c r="BF1390" s="3041"/>
      <c r="BH1390" s="3282"/>
    </row>
    <row r="1391" spans="1:60" s="3030" customFormat="1">
      <c r="A1391" s="2126"/>
      <c r="B1391" s="2126"/>
      <c r="C1391" s="2126"/>
      <c r="D1391" s="2126"/>
      <c r="E1391" s="525"/>
      <c r="F1391" s="525"/>
      <c r="G1391" s="525"/>
      <c r="K1391" s="3280"/>
      <c r="AB1391" s="3280"/>
      <c r="AG1391" s="3865"/>
      <c r="AM1391" s="3041"/>
      <c r="BD1391" s="3280"/>
      <c r="BF1391" s="3041"/>
      <c r="BH1391" s="3282"/>
    </row>
    <row r="1392" spans="1:60" s="3030" customFormat="1">
      <c r="A1392" s="2126"/>
      <c r="B1392" s="2126"/>
      <c r="C1392" s="2126"/>
      <c r="D1392" s="2126"/>
      <c r="E1392" s="525"/>
      <c r="F1392" s="525"/>
      <c r="G1392" s="525"/>
      <c r="K1392" s="3280"/>
      <c r="AB1392" s="3280"/>
      <c r="AG1392" s="3865"/>
      <c r="AM1392" s="3041"/>
      <c r="BD1392" s="3280"/>
      <c r="BF1392" s="3041"/>
      <c r="BH1392" s="3282"/>
    </row>
    <row r="1393" spans="1:60" s="3030" customFormat="1">
      <c r="A1393" s="2126"/>
      <c r="B1393" s="2126"/>
      <c r="C1393" s="2126"/>
      <c r="D1393" s="2126"/>
      <c r="E1393" s="525"/>
      <c r="F1393" s="525"/>
      <c r="G1393" s="525"/>
      <c r="K1393" s="3280"/>
      <c r="AB1393" s="3280"/>
      <c r="AG1393" s="3865"/>
      <c r="AM1393" s="3041"/>
      <c r="BD1393" s="3280"/>
      <c r="BF1393" s="3041"/>
      <c r="BH1393" s="3282"/>
    </row>
    <row r="1394" spans="1:60" s="3030" customFormat="1">
      <c r="A1394" s="2126"/>
      <c r="B1394" s="2126"/>
      <c r="C1394" s="2126"/>
      <c r="D1394" s="2126"/>
      <c r="E1394" s="525"/>
      <c r="F1394" s="525"/>
      <c r="G1394" s="525"/>
      <c r="K1394" s="3280"/>
      <c r="AB1394" s="3280"/>
      <c r="AG1394" s="3865"/>
      <c r="AM1394" s="3041"/>
      <c r="BD1394" s="3280"/>
      <c r="BF1394" s="3041"/>
      <c r="BH1394" s="3282"/>
    </row>
    <row r="1395" spans="1:60" s="3030" customFormat="1">
      <c r="A1395" s="2126"/>
      <c r="B1395" s="2126"/>
      <c r="C1395" s="2126"/>
      <c r="D1395" s="2126"/>
      <c r="E1395" s="525"/>
      <c r="F1395" s="525"/>
      <c r="G1395" s="525"/>
      <c r="K1395" s="3280"/>
      <c r="AB1395" s="3280"/>
      <c r="AG1395" s="3865"/>
      <c r="AM1395" s="3041"/>
      <c r="BD1395" s="3280"/>
      <c r="BF1395" s="3041"/>
      <c r="BH1395" s="3282"/>
    </row>
    <row r="1396" spans="1:60" s="3030" customFormat="1">
      <c r="A1396" s="2126"/>
      <c r="B1396" s="2126"/>
      <c r="C1396" s="2126"/>
      <c r="D1396" s="2126"/>
      <c r="E1396" s="525"/>
      <c r="F1396" s="525"/>
      <c r="G1396" s="525"/>
      <c r="K1396" s="3280"/>
      <c r="AB1396" s="3280"/>
      <c r="AG1396" s="3865"/>
      <c r="AM1396" s="3041"/>
      <c r="BD1396" s="3280"/>
      <c r="BF1396" s="3041"/>
      <c r="BH1396" s="3282"/>
    </row>
    <row r="1397" spans="1:60" s="3030" customFormat="1">
      <c r="A1397" s="2126"/>
      <c r="B1397" s="2126"/>
      <c r="C1397" s="2126"/>
      <c r="D1397" s="2126"/>
      <c r="E1397" s="525"/>
      <c r="F1397" s="525"/>
      <c r="G1397" s="525"/>
      <c r="K1397" s="3280"/>
      <c r="AB1397" s="3280"/>
      <c r="AG1397" s="3865"/>
      <c r="AM1397" s="3041"/>
      <c r="BD1397" s="3280"/>
      <c r="BF1397" s="3041"/>
      <c r="BH1397" s="3282"/>
    </row>
    <row r="1398" spans="1:60" s="3030" customFormat="1">
      <c r="A1398" s="2126"/>
      <c r="B1398" s="2126"/>
      <c r="C1398" s="2126"/>
      <c r="D1398" s="2126"/>
      <c r="E1398" s="525"/>
      <c r="F1398" s="525"/>
      <c r="G1398" s="525"/>
      <c r="K1398" s="3280"/>
      <c r="AB1398" s="3280"/>
      <c r="AG1398" s="3865"/>
      <c r="AM1398" s="3041"/>
      <c r="BD1398" s="3280"/>
      <c r="BF1398" s="3041"/>
      <c r="BH1398" s="3282"/>
    </row>
    <row r="1399" spans="1:60" s="3030" customFormat="1">
      <c r="A1399" s="2126"/>
      <c r="B1399" s="2126"/>
      <c r="C1399" s="2126"/>
      <c r="D1399" s="2126"/>
      <c r="E1399" s="525"/>
      <c r="F1399" s="525"/>
      <c r="G1399" s="525"/>
      <c r="K1399" s="3280"/>
      <c r="AB1399" s="3280"/>
      <c r="AG1399" s="3865"/>
      <c r="AM1399" s="3041"/>
      <c r="BD1399" s="3280"/>
      <c r="BF1399" s="3041"/>
      <c r="BH1399" s="3282"/>
    </row>
    <row r="1400" spans="1:60" s="3030" customFormat="1">
      <c r="A1400" s="2126"/>
      <c r="B1400" s="2126"/>
      <c r="C1400" s="2126"/>
      <c r="D1400" s="2126"/>
      <c r="E1400" s="525"/>
      <c r="F1400" s="525"/>
      <c r="G1400" s="525"/>
      <c r="K1400" s="3280"/>
      <c r="AB1400" s="3280"/>
      <c r="AG1400" s="3865"/>
      <c r="AM1400" s="3041"/>
      <c r="BD1400" s="3280"/>
      <c r="BF1400" s="3041"/>
      <c r="BH1400" s="3282"/>
    </row>
    <row r="1401" spans="1:60" s="3030" customFormat="1">
      <c r="A1401" s="2126"/>
      <c r="B1401" s="2126"/>
      <c r="C1401" s="2126"/>
      <c r="D1401" s="2126"/>
      <c r="E1401" s="525"/>
      <c r="F1401" s="525"/>
      <c r="G1401" s="525"/>
      <c r="K1401" s="3280"/>
      <c r="AB1401" s="3280"/>
      <c r="AG1401" s="3865"/>
      <c r="AM1401" s="3041"/>
      <c r="BD1401" s="3280"/>
      <c r="BF1401" s="3041"/>
      <c r="BH1401" s="3282"/>
    </row>
    <row r="1402" spans="1:60" s="3030" customFormat="1">
      <c r="A1402" s="2126"/>
      <c r="B1402" s="2126"/>
      <c r="C1402" s="2126"/>
      <c r="D1402" s="2126"/>
      <c r="E1402" s="525"/>
      <c r="F1402" s="525"/>
      <c r="G1402" s="525"/>
      <c r="K1402" s="3280"/>
      <c r="AB1402" s="3280"/>
      <c r="AG1402" s="3865"/>
      <c r="AM1402" s="3041"/>
      <c r="BD1402" s="3280"/>
      <c r="BF1402" s="3041"/>
      <c r="BH1402" s="3282"/>
    </row>
    <row r="1403" spans="1:60" s="3030" customFormat="1">
      <c r="A1403" s="2126"/>
      <c r="B1403" s="2126"/>
      <c r="C1403" s="2126"/>
      <c r="D1403" s="2126"/>
      <c r="E1403" s="525"/>
      <c r="F1403" s="525"/>
      <c r="G1403" s="525"/>
      <c r="K1403" s="3280"/>
      <c r="AB1403" s="3280"/>
      <c r="AG1403" s="3865"/>
      <c r="AM1403" s="3041"/>
      <c r="BD1403" s="3280"/>
      <c r="BF1403" s="3041"/>
      <c r="BH1403" s="3282"/>
    </row>
    <row r="1404" spans="1:60" s="3030" customFormat="1">
      <c r="A1404" s="2126"/>
      <c r="B1404" s="2126"/>
      <c r="C1404" s="2126"/>
      <c r="D1404" s="2126"/>
      <c r="E1404" s="525"/>
      <c r="F1404" s="525"/>
      <c r="G1404" s="525"/>
      <c r="K1404" s="3280"/>
      <c r="AB1404" s="3280"/>
      <c r="AG1404" s="3865"/>
      <c r="AM1404" s="3041"/>
      <c r="BD1404" s="3280"/>
      <c r="BF1404" s="3041"/>
      <c r="BH1404" s="3282"/>
    </row>
    <row r="1405" spans="1:60" s="3030" customFormat="1">
      <c r="A1405" s="2126"/>
      <c r="B1405" s="2126"/>
      <c r="C1405" s="2126"/>
      <c r="D1405" s="2126"/>
      <c r="E1405" s="525"/>
      <c r="F1405" s="525"/>
      <c r="G1405" s="525"/>
      <c r="K1405" s="3280"/>
      <c r="AB1405" s="3280"/>
      <c r="AG1405" s="3865"/>
      <c r="AM1405" s="3041"/>
      <c r="BD1405" s="3280"/>
      <c r="BF1405" s="3041"/>
      <c r="BH1405" s="3282"/>
    </row>
    <row r="1406" spans="1:60" s="3030" customFormat="1">
      <c r="A1406" s="2126"/>
      <c r="B1406" s="2126"/>
      <c r="C1406" s="2126"/>
      <c r="D1406" s="2126"/>
      <c r="E1406" s="525"/>
      <c r="F1406" s="525"/>
      <c r="G1406" s="525"/>
      <c r="K1406" s="3280"/>
      <c r="AB1406" s="3280"/>
      <c r="AG1406" s="3865"/>
      <c r="AM1406" s="3041"/>
      <c r="BD1406" s="3280"/>
      <c r="BF1406" s="3041"/>
      <c r="BH1406" s="3282"/>
    </row>
    <row r="1407" spans="1:60" s="3030" customFormat="1">
      <c r="A1407" s="2126"/>
      <c r="B1407" s="2126"/>
      <c r="C1407" s="2126"/>
      <c r="D1407" s="2126"/>
      <c r="E1407" s="525"/>
      <c r="F1407" s="525"/>
      <c r="G1407" s="525"/>
      <c r="K1407" s="3280"/>
      <c r="AB1407" s="3280"/>
      <c r="AG1407" s="3865"/>
      <c r="AM1407" s="3041"/>
      <c r="BD1407" s="3280"/>
      <c r="BF1407" s="3041"/>
      <c r="BH1407" s="3282"/>
    </row>
    <row r="1408" spans="1:60" s="3030" customFormat="1">
      <c r="A1408" s="2126"/>
      <c r="B1408" s="2126"/>
      <c r="C1408" s="2126"/>
      <c r="D1408" s="2126"/>
      <c r="E1408" s="525"/>
      <c r="F1408" s="525"/>
      <c r="G1408" s="525"/>
      <c r="K1408" s="3280"/>
      <c r="AB1408" s="3280"/>
      <c r="AG1408" s="3865"/>
      <c r="AM1408" s="3041"/>
      <c r="BD1408" s="3280"/>
      <c r="BF1408" s="3041"/>
      <c r="BH1408" s="3282"/>
    </row>
    <row r="1409" spans="1:60" s="3030" customFormat="1">
      <c r="A1409" s="2126"/>
      <c r="B1409" s="2126"/>
      <c r="C1409" s="2126"/>
      <c r="D1409" s="2126"/>
      <c r="E1409" s="525"/>
      <c r="F1409" s="525"/>
      <c r="G1409" s="525"/>
      <c r="K1409" s="3280"/>
      <c r="AB1409" s="3280"/>
      <c r="AG1409" s="3865"/>
      <c r="AM1409" s="3041"/>
      <c r="BD1409" s="3280"/>
      <c r="BF1409" s="3041"/>
      <c r="BH1409" s="3282"/>
    </row>
    <row r="1410" spans="1:60" s="3030" customFormat="1">
      <c r="A1410" s="2126"/>
      <c r="B1410" s="2126"/>
      <c r="C1410" s="2126"/>
      <c r="D1410" s="2126"/>
      <c r="E1410" s="525"/>
      <c r="F1410" s="525"/>
      <c r="G1410" s="525"/>
      <c r="K1410" s="3280"/>
      <c r="AB1410" s="3280"/>
      <c r="AG1410" s="3865"/>
      <c r="AM1410" s="3041"/>
      <c r="BD1410" s="3280"/>
      <c r="BF1410" s="3041"/>
      <c r="BH1410" s="3282"/>
    </row>
    <row r="1411" spans="1:60" s="3030" customFormat="1">
      <c r="A1411" s="2126"/>
      <c r="B1411" s="2126"/>
      <c r="C1411" s="2126"/>
      <c r="D1411" s="2126"/>
      <c r="E1411" s="525"/>
      <c r="F1411" s="525"/>
      <c r="G1411" s="525"/>
      <c r="K1411" s="3280"/>
      <c r="AB1411" s="3280"/>
      <c r="AG1411" s="3865"/>
      <c r="AM1411" s="3041"/>
      <c r="BD1411" s="3280"/>
      <c r="BF1411" s="3041"/>
      <c r="BH1411" s="3282"/>
    </row>
    <row r="1412" spans="1:60" s="3030" customFormat="1">
      <c r="A1412" s="2126"/>
      <c r="B1412" s="2126"/>
      <c r="C1412" s="2126"/>
      <c r="D1412" s="2126"/>
      <c r="E1412" s="525"/>
      <c r="F1412" s="525"/>
      <c r="G1412" s="525"/>
      <c r="K1412" s="3280"/>
      <c r="AB1412" s="3280"/>
      <c r="AG1412" s="3865"/>
      <c r="AM1412" s="3041"/>
      <c r="BD1412" s="3280"/>
      <c r="BF1412" s="3041"/>
      <c r="BH1412" s="3282"/>
    </row>
    <row r="1413" spans="1:60" s="3030" customFormat="1">
      <c r="A1413" s="2126"/>
      <c r="B1413" s="2126"/>
      <c r="C1413" s="2126"/>
      <c r="D1413" s="2126"/>
      <c r="E1413" s="525"/>
      <c r="F1413" s="525"/>
      <c r="G1413" s="525"/>
      <c r="K1413" s="3280"/>
      <c r="AB1413" s="3280"/>
      <c r="AG1413" s="3865"/>
      <c r="AM1413" s="3041"/>
      <c r="BD1413" s="3280"/>
      <c r="BF1413" s="3041"/>
      <c r="BH1413" s="3282"/>
    </row>
    <row r="1414" spans="1:60" s="3030" customFormat="1">
      <c r="A1414" s="2126"/>
      <c r="B1414" s="2126"/>
      <c r="C1414" s="2126"/>
      <c r="D1414" s="2126"/>
      <c r="E1414" s="525"/>
      <c r="F1414" s="525"/>
      <c r="G1414" s="525"/>
      <c r="K1414" s="3280"/>
      <c r="AB1414" s="3280"/>
      <c r="AG1414" s="3865"/>
      <c r="AM1414" s="3041"/>
      <c r="BD1414" s="3280"/>
      <c r="BF1414" s="3041"/>
      <c r="BH1414" s="3282"/>
    </row>
    <row r="1415" spans="1:60" s="3030" customFormat="1">
      <c r="A1415" s="2126"/>
      <c r="B1415" s="2126"/>
      <c r="C1415" s="2126"/>
      <c r="D1415" s="2126"/>
      <c r="E1415" s="525"/>
      <c r="F1415" s="525"/>
      <c r="G1415" s="525"/>
      <c r="K1415" s="3280"/>
      <c r="AB1415" s="3280"/>
      <c r="AG1415" s="3865"/>
      <c r="AM1415" s="3041"/>
      <c r="BD1415" s="3280"/>
      <c r="BF1415" s="3041"/>
      <c r="BH1415" s="3282"/>
    </row>
    <row r="1416" spans="1:60" s="3030" customFormat="1">
      <c r="A1416" s="2126"/>
      <c r="B1416" s="2126"/>
      <c r="C1416" s="2126"/>
      <c r="D1416" s="2126"/>
      <c r="E1416" s="525"/>
      <c r="F1416" s="525"/>
      <c r="G1416" s="525"/>
      <c r="K1416" s="3280"/>
      <c r="AB1416" s="3280"/>
      <c r="AG1416" s="3865"/>
      <c r="AM1416" s="3041"/>
      <c r="BD1416" s="3280"/>
      <c r="BF1416" s="3041"/>
      <c r="BH1416" s="3282"/>
    </row>
    <row r="1417" spans="1:60" s="3030" customFormat="1">
      <c r="A1417" s="2126"/>
      <c r="B1417" s="2126"/>
      <c r="C1417" s="2126"/>
      <c r="D1417" s="2126"/>
      <c r="E1417" s="525"/>
      <c r="F1417" s="525"/>
      <c r="G1417" s="525"/>
      <c r="K1417" s="3280"/>
      <c r="AB1417" s="3280"/>
      <c r="AG1417" s="3865"/>
      <c r="AM1417" s="3041"/>
      <c r="BD1417" s="3280"/>
      <c r="BF1417" s="3041"/>
      <c r="BH1417" s="3282"/>
    </row>
    <row r="1418" spans="1:60" s="3030" customFormat="1">
      <c r="A1418" s="2126"/>
      <c r="B1418" s="2126"/>
      <c r="C1418" s="2126"/>
      <c r="D1418" s="2126"/>
      <c r="E1418" s="525"/>
      <c r="F1418" s="525"/>
      <c r="G1418" s="525"/>
      <c r="K1418" s="3280"/>
      <c r="AB1418" s="3280"/>
      <c r="AG1418" s="3865"/>
      <c r="AM1418" s="3041"/>
      <c r="BD1418" s="3280"/>
      <c r="BF1418" s="3041"/>
      <c r="BH1418" s="3282"/>
    </row>
    <row r="1419" spans="1:60" s="3030" customFormat="1">
      <c r="A1419" s="2126"/>
      <c r="B1419" s="2126"/>
      <c r="C1419" s="2126"/>
      <c r="D1419" s="2126"/>
      <c r="E1419" s="525"/>
      <c r="F1419" s="525"/>
      <c r="G1419" s="525"/>
      <c r="K1419" s="3280"/>
      <c r="AB1419" s="3280"/>
      <c r="AG1419" s="3865"/>
      <c r="AM1419" s="3041"/>
      <c r="BD1419" s="3280"/>
      <c r="BF1419" s="3041"/>
      <c r="BH1419" s="3282"/>
    </row>
    <row r="1420" spans="1:60" s="3030" customFormat="1">
      <c r="A1420" s="2126"/>
      <c r="B1420" s="2126"/>
      <c r="C1420" s="2126"/>
      <c r="D1420" s="2126"/>
      <c r="E1420" s="525"/>
      <c r="F1420" s="525"/>
      <c r="G1420" s="525"/>
      <c r="K1420" s="3280"/>
      <c r="AB1420" s="3280"/>
      <c r="AG1420" s="3865"/>
      <c r="AM1420" s="3041"/>
      <c r="BD1420" s="3280"/>
      <c r="BF1420" s="3041"/>
      <c r="BH1420" s="3282"/>
    </row>
    <row r="1421" spans="1:60" s="3030" customFormat="1">
      <c r="A1421" s="2126"/>
      <c r="B1421" s="2126"/>
      <c r="C1421" s="2126"/>
      <c r="D1421" s="2126"/>
      <c r="E1421" s="525"/>
      <c r="F1421" s="525"/>
      <c r="G1421" s="525"/>
      <c r="K1421" s="3280"/>
      <c r="AB1421" s="3280"/>
      <c r="AG1421" s="3865"/>
      <c r="AM1421" s="3041"/>
      <c r="BD1421" s="3280"/>
      <c r="BF1421" s="3041"/>
      <c r="BH1421" s="3282"/>
    </row>
    <row r="1422" spans="1:60" s="3030" customFormat="1">
      <c r="A1422" s="2126"/>
      <c r="B1422" s="2126"/>
      <c r="C1422" s="2126"/>
      <c r="D1422" s="2126"/>
      <c r="E1422" s="525"/>
      <c r="F1422" s="525"/>
      <c r="G1422" s="525"/>
      <c r="K1422" s="3280"/>
      <c r="AB1422" s="3280"/>
      <c r="AG1422" s="3865"/>
      <c r="AM1422" s="3041"/>
      <c r="BD1422" s="3280"/>
      <c r="BF1422" s="3041"/>
      <c r="BH1422" s="3282"/>
    </row>
    <row r="1423" spans="1:60" s="3030" customFormat="1">
      <c r="A1423" s="2126"/>
      <c r="B1423" s="2126"/>
      <c r="C1423" s="2126"/>
      <c r="D1423" s="2126"/>
      <c r="E1423" s="525"/>
      <c r="F1423" s="525"/>
      <c r="G1423" s="525"/>
      <c r="K1423" s="3280"/>
      <c r="AB1423" s="3280"/>
      <c r="AG1423" s="3865"/>
      <c r="AM1423" s="3041"/>
      <c r="BD1423" s="3280"/>
      <c r="BF1423" s="3041"/>
      <c r="BH1423" s="3282"/>
    </row>
    <row r="1424" spans="1:60" s="3030" customFormat="1">
      <c r="A1424" s="2126"/>
      <c r="B1424" s="2126"/>
      <c r="C1424" s="2126"/>
      <c r="D1424" s="2126"/>
      <c r="E1424" s="525"/>
      <c r="F1424" s="525"/>
      <c r="G1424" s="525"/>
      <c r="K1424" s="3280"/>
      <c r="AB1424" s="3280"/>
      <c r="AG1424" s="3865"/>
      <c r="AM1424" s="3041"/>
      <c r="BD1424" s="3280"/>
      <c r="BF1424" s="3041"/>
      <c r="BH1424" s="3282"/>
    </row>
    <row r="1425" spans="1:60" s="3030" customFormat="1">
      <c r="A1425" s="2126"/>
      <c r="B1425" s="2126"/>
      <c r="C1425" s="2126"/>
      <c r="D1425" s="2126"/>
      <c r="E1425" s="525"/>
      <c r="F1425" s="525"/>
      <c r="G1425" s="525"/>
      <c r="K1425" s="3280"/>
      <c r="AB1425" s="3280"/>
      <c r="AG1425" s="3865"/>
      <c r="AM1425" s="3041"/>
      <c r="BD1425" s="3280"/>
      <c r="BF1425" s="3041"/>
      <c r="BH1425" s="3282"/>
    </row>
    <row r="1426" spans="1:60" s="3030" customFormat="1">
      <c r="A1426" s="2126"/>
      <c r="B1426" s="2126"/>
      <c r="C1426" s="2126"/>
      <c r="D1426" s="2126"/>
      <c r="E1426" s="525"/>
      <c r="F1426" s="525"/>
      <c r="G1426" s="525"/>
      <c r="K1426" s="3280"/>
      <c r="AB1426" s="3280"/>
      <c r="AG1426" s="3865"/>
      <c r="AM1426" s="3041"/>
      <c r="BD1426" s="3280"/>
      <c r="BF1426" s="3041"/>
      <c r="BH1426" s="3282"/>
    </row>
    <row r="1427" spans="1:60" s="3030" customFormat="1">
      <c r="A1427" s="2126"/>
      <c r="B1427" s="2126"/>
      <c r="C1427" s="2126"/>
      <c r="D1427" s="2126"/>
      <c r="E1427" s="525"/>
      <c r="F1427" s="525"/>
      <c r="G1427" s="525"/>
      <c r="K1427" s="3280"/>
      <c r="AB1427" s="3280"/>
      <c r="AG1427" s="3865"/>
      <c r="AM1427" s="3041"/>
      <c r="BD1427" s="3280"/>
      <c r="BF1427" s="3041"/>
      <c r="BH1427" s="3282"/>
    </row>
    <row r="1428" spans="1:60" s="3030" customFormat="1">
      <c r="A1428" s="2126"/>
      <c r="B1428" s="2126"/>
      <c r="C1428" s="2126"/>
      <c r="D1428" s="2126"/>
      <c r="E1428" s="525"/>
      <c r="F1428" s="525"/>
      <c r="G1428" s="525"/>
      <c r="K1428" s="3280"/>
      <c r="AB1428" s="3280"/>
      <c r="AG1428" s="3865"/>
      <c r="AM1428" s="3041"/>
      <c r="BD1428" s="3280"/>
      <c r="BF1428" s="3041"/>
      <c r="BH1428" s="3282"/>
    </row>
    <row r="1429" spans="1:60" s="3030" customFormat="1">
      <c r="A1429" s="2126"/>
      <c r="B1429" s="2126"/>
      <c r="C1429" s="2126"/>
      <c r="D1429" s="2126"/>
      <c r="E1429" s="525"/>
      <c r="F1429" s="525"/>
      <c r="G1429" s="525"/>
      <c r="K1429" s="3280"/>
      <c r="AB1429" s="3280"/>
      <c r="AG1429" s="3865"/>
      <c r="AM1429" s="3041"/>
      <c r="BD1429" s="3280"/>
      <c r="BF1429" s="3041"/>
      <c r="BH1429" s="3282"/>
    </row>
    <row r="1430" spans="1:60" s="3030" customFormat="1">
      <c r="A1430" s="2126"/>
      <c r="B1430" s="2126"/>
      <c r="C1430" s="2126"/>
      <c r="D1430" s="2126"/>
      <c r="E1430" s="525"/>
      <c r="F1430" s="525"/>
      <c r="G1430" s="525"/>
      <c r="K1430" s="3280"/>
      <c r="AB1430" s="3280"/>
      <c r="AG1430" s="3865"/>
      <c r="AM1430" s="3041"/>
      <c r="BD1430" s="3280"/>
      <c r="BF1430" s="3041"/>
      <c r="BH1430" s="3282"/>
    </row>
    <row r="1431" spans="1:60" s="3030" customFormat="1">
      <c r="A1431" s="2126"/>
      <c r="B1431" s="2126"/>
      <c r="C1431" s="2126"/>
      <c r="D1431" s="2126"/>
      <c r="E1431" s="525"/>
      <c r="F1431" s="525"/>
      <c r="G1431" s="525"/>
      <c r="K1431" s="3280"/>
      <c r="AB1431" s="3280"/>
      <c r="AG1431" s="3865"/>
      <c r="AM1431" s="3041"/>
      <c r="BD1431" s="3280"/>
      <c r="BF1431" s="3041"/>
      <c r="BH1431" s="3282"/>
    </row>
    <row r="1432" spans="1:60" s="3030" customFormat="1">
      <c r="A1432" s="2126"/>
      <c r="B1432" s="2126"/>
      <c r="C1432" s="2126"/>
      <c r="D1432" s="2126"/>
      <c r="E1432" s="525"/>
      <c r="F1432" s="525"/>
      <c r="G1432" s="525"/>
      <c r="K1432" s="3280"/>
      <c r="AB1432" s="3280"/>
      <c r="AG1432" s="3865"/>
      <c r="AM1432" s="3041"/>
      <c r="BD1432" s="3280"/>
      <c r="BF1432" s="3041"/>
      <c r="BH1432" s="3282"/>
    </row>
    <row r="1433" spans="1:60" s="3030" customFormat="1">
      <c r="A1433" s="2126"/>
      <c r="B1433" s="2126"/>
      <c r="C1433" s="2126"/>
      <c r="D1433" s="2126"/>
      <c r="E1433" s="525"/>
      <c r="F1433" s="525"/>
      <c r="G1433" s="525"/>
      <c r="K1433" s="3280"/>
      <c r="AB1433" s="3280"/>
      <c r="AG1433" s="3865"/>
      <c r="AM1433" s="3041"/>
      <c r="BD1433" s="3280"/>
      <c r="BF1433" s="3041"/>
      <c r="BH1433" s="3282"/>
    </row>
    <row r="1434" spans="1:60" s="3030" customFormat="1">
      <c r="A1434" s="2126"/>
      <c r="B1434" s="2126"/>
      <c r="C1434" s="2126"/>
      <c r="D1434" s="2126"/>
      <c r="E1434" s="525"/>
      <c r="F1434" s="525"/>
      <c r="G1434" s="525"/>
      <c r="K1434" s="3280"/>
      <c r="AB1434" s="3280"/>
      <c r="AG1434" s="3865"/>
      <c r="AM1434" s="3041"/>
      <c r="BD1434" s="3280"/>
      <c r="BF1434" s="3041"/>
      <c r="BH1434" s="3282"/>
    </row>
    <row r="1435" spans="1:60" s="3030" customFormat="1">
      <c r="A1435" s="2126"/>
      <c r="B1435" s="2126"/>
      <c r="C1435" s="2126"/>
      <c r="D1435" s="2126"/>
      <c r="E1435" s="525"/>
      <c r="F1435" s="525"/>
      <c r="G1435" s="525"/>
      <c r="K1435" s="3280"/>
      <c r="AB1435" s="3280"/>
      <c r="AG1435" s="3865"/>
      <c r="AM1435" s="3041"/>
      <c r="BD1435" s="3280"/>
      <c r="BF1435" s="3041"/>
      <c r="BH1435" s="3282"/>
    </row>
    <row r="1436" spans="1:60" s="3030" customFormat="1">
      <c r="A1436" s="2126"/>
      <c r="B1436" s="2126"/>
      <c r="C1436" s="2126"/>
      <c r="D1436" s="2126"/>
      <c r="E1436" s="525"/>
      <c r="F1436" s="525"/>
      <c r="G1436" s="525"/>
      <c r="K1436" s="3280"/>
      <c r="AB1436" s="3280"/>
      <c r="AG1436" s="3865"/>
      <c r="AM1436" s="3041"/>
      <c r="BD1436" s="3280"/>
      <c r="BF1436" s="3041"/>
      <c r="BH1436" s="3282"/>
    </row>
    <row r="1437" spans="1:60" s="3030" customFormat="1">
      <c r="A1437" s="2126"/>
      <c r="B1437" s="2126"/>
      <c r="C1437" s="2126"/>
      <c r="D1437" s="2126"/>
      <c r="E1437" s="525"/>
      <c r="F1437" s="525"/>
      <c r="G1437" s="525"/>
      <c r="K1437" s="3280"/>
      <c r="AB1437" s="3280"/>
      <c r="AG1437" s="3865"/>
      <c r="AM1437" s="3041"/>
      <c r="BD1437" s="3280"/>
      <c r="BF1437" s="3041"/>
      <c r="BH1437" s="3282"/>
    </row>
    <row r="1438" spans="1:60" s="3030" customFormat="1">
      <c r="A1438" s="2126"/>
      <c r="B1438" s="2126"/>
      <c r="C1438" s="2126"/>
      <c r="D1438" s="2126"/>
      <c r="E1438" s="525"/>
      <c r="F1438" s="525"/>
      <c r="G1438" s="525"/>
      <c r="K1438" s="3280"/>
      <c r="AB1438" s="3280"/>
      <c r="AG1438" s="3865"/>
      <c r="AM1438" s="3041"/>
      <c r="BD1438" s="3280"/>
      <c r="BF1438" s="3041"/>
      <c r="BH1438" s="3282"/>
    </row>
    <row r="1439" spans="1:60" s="3030" customFormat="1">
      <c r="A1439" s="2126"/>
      <c r="B1439" s="2126"/>
      <c r="C1439" s="2126"/>
      <c r="D1439" s="2126"/>
      <c r="E1439" s="525"/>
      <c r="F1439" s="525"/>
      <c r="G1439" s="525"/>
      <c r="K1439" s="3280"/>
      <c r="AB1439" s="3280"/>
      <c r="AG1439" s="3865"/>
      <c r="AM1439" s="3041"/>
      <c r="BD1439" s="3280"/>
      <c r="BF1439" s="3041"/>
      <c r="BH1439" s="3282"/>
    </row>
    <row r="1440" spans="1:60" s="3030" customFormat="1">
      <c r="A1440" s="2126"/>
      <c r="B1440" s="2126"/>
      <c r="C1440" s="2126"/>
      <c r="D1440" s="2126"/>
      <c r="E1440" s="525"/>
      <c r="F1440" s="525"/>
      <c r="G1440" s="525"/>
      <c r="K1440" s="3280"/>
      <c r="AB1440" s="3280"/>
      <c r="AG1440" s="3865"/>
      <c r="AM1440" s="3041"/>
      <c r="BD1440" s="3280"/>
      <c r="BF1440" s="3041"/>
      <c r="BH1440" s="3282"/>
    </row>
    <row r="1441" spans="1:60" s="3030" customFormat="1">
      <c r="A1441" s="2126"/>
      <c r="B1441" s="2126"/>
      <c r="C1441" s="2126"/>
      <c r="D1441" s="2126"/>
      <c r="E1441" s="525"/>
      <c r="F1441" s="525"/>
      <c r="G1441" s="525"/>
      <c r="K1441" s="3280"/>
      <c r="AB1441" s="3280"/>
      <c r="AG1441" s="3865"/>
      <c r="AM1441" s="3041"/>
      <c r="BD1441" s="3280"/>
      <c r="BF1441" s="3041"/>
      <c r="BH1441" s="3282"/>
    </row>
    <row r="1442" spans="1:60" s="3030" customFormat="1">
      <c r="A1442" s="2126"/>
      <c r="B1442" s="2126"/>
      <c r="C1442" s="2126"/>
      <c r="D1442" s="2126"/>
      <c r="E1442" s="525"/>
      <c r="F1442" s="525"/>
      <c r="G1442" s="525"/>
      <c r="K1442" s="3280"/>
      <c r="AB1442" s="3280"/>
      <c r="AG1442" s="3865"/>
      <c r="AM1442" s="3041"/>
      <c r="BD1442" s="3280"/>
      <c r="BF1442" s="3041"/>
      <c r="BH1442" s="3282"/>
    </row>
    <row r="1443" spans="1:60" s="3030" customFormat="1">
      <c r="A1443" s="2126"/>
      <c r="B1443" s="2126"/>
      <c r="C1443" s="2126"/>
      <c r="D1443" s="2126"/>
      <c r="E1443" s="525"/>
      <c r="F1443" s="525"/>
      <c r="G1443" s="525"/>
      <c r="K1443" s="3280"/>
      <c r="AB1443" s="3280"/>
      <c r="AG1443" s="3865"/>
      <c r="AM1443" s="3041"/>
      <c r="BD1443" s="3280"/>
      <c r="BF1443" s="3041"/>
      <c r="BH1443" s="3282"/>
    </row>
    <row r="1444" spans="1:60" s="3030" customFormat="1">
      <c r="A1444" s="2126"/>
      <c r="B1444" s="2126"/>
      <c r="C1444" s="2126"/>
      <c r="D1444" s="2126"/>
      <c r="E1444" s="525"/>
      <c r="F1444" s="525"/>
      <c r="G1444" s="525"/>
      <c r="K1444" s="3280"/>
      <c r="AB1444" s="3280"/>
      <c r="AG1444" s="3865"/>
      <c r="AM1444" s="3041"/>
      <c r="BD1444" s="3280"/>
      <c r="BF1444" s="3041"/>
      <c r="BH1444" s="3282"/>
    </row>
    <row r="1445" spans="1:60" s="3030" customFormat="1">
      <c r="A1445" s="2126"/>
      <c r="B1445" s="2126"/>
      <c r="C1445" s="2126"/>
      <c r="D1445" s="2126"/>
      <c r="E1445" s="525"/>
      <c r="F1445" s="525"/>
      <c r="G1445" s="525"/>
      <c r="K1445" s="3280"/>
      <c r="AB1445" s="3280"/>
      <c r="AG1445" s="3865"/>
      <c r="AM1445" s="3041"/>
      <c r="BD1445" s="3280"/>
      <c r="BF1445" s="3041"/>
      <c r="BH1445" s="3282"/>
    </row>
    <row r="1446" spans="1:60" s="3030" customFormat="1">
      <c r="A1446" s="2126"/>
      <c r="B1446" s="2126"/>
      <c r="C1446" s="2126"/>
      <c r="D1446" s="2126"/>
      <c r="E1446" s="525"/>
      <c r="F1446" s="525"/>
      <c r="G1446" s="525"/>
      <c r="K1446" s="3280"/>
      <c r="AB1446" s="3280"/>
      <c r="AG1446" s="3865"/>
      <c r="AM1446" s="3041"/>
      <c r="BD1446" s="3280"/>
      <c r="BF1446" s="3041"/>
      <c r="BH1446" s="3282"/>
    </row>
    <row r="1447" spans="1:60" s="3030" customFormat="1">
      <c r="A1447" s="2126"/>
      <c r="B1447" s="2126"/>
      <c r="C1447" s="2126"/>
      <c r="D1447" s="2126"/>
      <c r="E1447" s="525"/>
      <c r="F1447" s="525"/>
      <c r="G1447" s="525"/>
      <c r="K1447" s="3280"/>
      <c r="AB1447" s="3280"/>
      <c r="AG1447" s="3865"/>
      <c r="AM1447" s="3041"/>
      <c r="BD1447" s="3280"/>
      <c r="BF1447" s="3041"/>
      <c r="BH1447" s="3282"/>
    </row>
    <row r="1448" spans="1:60" s="3030" customFormat="1">
      <c r="A1448" s="2126"/>
      <c r="B1448" s="2126"/>
      <c r="C1448" s="2126"/>
      <c r="D1448" s="2126"/>
      <c r="E1448" s="525"/>
      <c r="F1448" s="525"/>
      <c r="G1448" s="525"/>
      <c r="K1448" s="3280"/>
      <c r="AB1448" s="3280"/>
      <c r="AG1448" s="3865"/>
      <c r="AM1448" s="3041"/>
      <c r="BD1448" s="3280"/>
      <c r="BF1448" s="3041"/>
      <c r="BH1448" s="3282"/>
    </row>
    <row r="1449" spans="1:60" s="3030" customFormat="1">
      <c r="A1449" s="2126"/>
      <c r="B1449" s="2126"/>
      <c r="C1449" s="2126"/>
      <c r="D1449" s="2126"/>
      <c r="E1449" s="525"/>
      <c r="F1449" s="525"/>
      <c r="G1449" s="525"/>
      <c r="K1449" s="3280"/>
      <c r="AB1449" s="3280"/>
      <c r="AG1449" s="3865"/>
      <c r="AM1449" s="3041"/>
      <c r="BD1449" s="3280"/>
      <c r="BF1449" s="3041"/>
      <c r="BH1449" s="3282"/>
    </row>
    <row r="1450" spans="1:60" s="3030" customFormat="1">
      <c r="A1450" s="2126"/>
      <c r="B1450" s="2126"/>
      <c r="C1450" s="2126"/>
      <c r="D1450" s="2126"/>
      <c r="E1450" s="525"/>
      <c r="F1450" s="525"/>
      <c r="G1450" s="525"/>
      <c r="K1450" s="3280"/>
      <c r="AB1450" s="3280"/>
      <c r="AG1450" s="3865"/>
      <c r="AM1450" s="3041"/>
      <c r="BD1450" s="3280"/>
      <c r="BF1450" s="3041"/>
      <c r="BH1450" s="3282"/>
    </row>
    <row r="1451" spans="1:60" s="3030" customFormat="1">
      <c r="A1451" s="2126"/>
      <c r="B1451" s="2126"/>
      <c r="C1451" s="2126"/>
      <c r="D1451" s="2126"/>
      <c r="E1451" s="525"/>
      <c r="F1451" s="525"/>
      <c r="G1451" s="525"/>
      <c r="K1451" s="3280"/>
      <c r="AB1451" s="3280"/>
      <c r="AG1451" s="3865"/>
      <c r="AM1451" s="3041"/>
      <c r="BD1451" s="3280"/>
      <c r="BF1451" s="3041"/>
      <c r="BH1451" s="3282"/>
    </row>
    <row r="1452" spans="1:60" s="3030" customFormat="1">
      <c r="A1452" s="2126"/>
      <c r="B1452" s="2126"/>
      <c r="C1452" s="2126"/>
      <c r="D1452" s="2126"/>
      <c r="E1452" s="525"/>
      <c r="F1452" s="525"/>
      <c r="G1452" s="525"/>
      <c r="K1452" s="3280"/>
      <c r="AB1452" s="3280"/>
      <c r="AG1452" s="3865"/>
      <c r="AM1452" s="3041"/>
      <c r="BD1452" s="3280"/>
      <c r="BF1452" s="3041"/>
      <c r="BH1452" s="3282"/>
    </row>
    <row r="1453" spans="1:60" s="3030" customFormat="1">
      <c r="A1453" s="2126"/>
      <c r="B1453" s="2126"/>
      <c r="C1453" s="2126"/>
      <c r="D1453" s="2126"/>
      <c r="E1453" s="525"/>
      <c r="F1453" s="525"/>
      <c r="G1453" s="525"/>
      <c r="K1453" s="3280"/>
      <c r="AB1453" s="3280"/>
      <c r="AG1453" s="3865"/>
      <c r="AM1453" s="3041"/>
      <c r="BD1453" s="3280"/>
      <c r="BF1453" s="3041"/>
      <c r="BH1453" s="3282"/>
    </row>
    <row r="1454" spans="1:60" s="3030" customFormat="1">
      <c r="A1454" s="2126"/>
      <c r="B1454" s="2126"/>
      <c r="C1454" s="2126"/>
      <c r="D1454" s="2126"/>
      <c r="E1454" s="525"/>
      <c r="F1454" s="525"/>
      <c r="G1454" s="525"/>
      <c r="K1454" s="3280"/>
      <c r="AB1454" s="3280"/>
      <c r="AG1454" s="3865"/>
      <c r="AM1454" s="3041"/>
      <c r="BD1454" s="3280"/>
      <c r="BF1454" s="3041"/>
      <c r="BH1454" s="3282"/>
    </row>
    <row r="1455" spans="1:60" s="3030" customFormat="1">
      <c r="A1455" s="2126"/>
      <c r="B1455" s="2126"/>
      <c r="C1455" s="2126"/>
      <c r="D1455" s="2126"/>
      <c r="E1455" s="525"/>
      <c r="F1455" s="525"/>
      <c r="G1455" s="525"/>
      <c r="K1455" s="3280"/>
      <c r="AB1455" s="3280"/>
      <c r="AG1455" s="3865"/>
      <c r="AM1455" s="3041"/>
      <c r="BD1455" s="3280"/>
      <c r="BF1455" s="3041"/>
      <c r="BH1455" s="3282"/>
    </row>
    <row r="1456" spans="1:60" s="3030" customFormat="1">
      <c r="A1456" s="2126"/>
      <c r="B1456" s="2126"/>
      <c r="C1456" s="2126"/>
      <c r="D1456" s="2126"/>
      <c r="E1456" s="525"/>
      <c r="F1456" s="525"/>
      <c r="G1456" s="525"/>
      <c r="K1456" s="3280"/>
      <c r="AB1456" s="3280"/>
      <c r="AG1456" s="3865"/>
      <c r="AM1456" s="3041"/>
      <c r="BD1456" s="3280"/>
      <c r="BF1456" s="3041"/>
      <c r="BH1456" s="3282"/>
    </row>
    <row r="1457" spans="1:60" s="3030" customFormat="1">
      <c r="A1457" s="2126"/>
      <c r="B1457" s="2126"/>
      <c r="C1457" s="2126"/>
      <c r="D1457" s="2126"/>
      <c r="E1457" s="525"/>
      <c r="F1457" s="525"/>
      <c r="G1457" s="525"/>
      <c r="K1457" s="3280"/>
      <c r="AB1457" s="3280"/>
      <c r="AG1457" s="3865"/>
      <c r="AM1457" s="3041"/>
      <c r="BD1457" s="3280"/>
      <c r="BF1457" s="3041"/>
      <c r="BH1457" s="3282"/>
    </row>
    <row r="1458" spans="1:60" s="3030" customFormat="1">
      <c r="A1458" s="2126"/>
      <c r="B1458" s="2126"/>
      <c r="C1458" s="2126"/>
      <c r="D1458" s="2126"/>
      <c r="E1458" s="525"/>
      <c r="F1458" s="525"/>
      <c r="G1458" s="525"/>
      <c r="K1458" s="3280"/>
      <c r="AB1458" s="3280"/>
      <c r="AG1458" s="3865"/>
      <c r="AM1458" s="3041"/>
      <c r="BD1458" s="3280"/>
      <c r="BF1458" s="3041"/>
      <c r="BH1458" s="3282"/>
    </row>
    <row r="1459" spans="1:60" s="3030" customFormat="1">
      <c r="A1459" s="2126"/>
      <c r="B1459" s="2126"/>
      <c r="C1459" s="2126"/>
      <c r="D1459" s="2126"/>
      <c r="E1459" s="525"/>
      <c r="F1459" s="525"/>
      <c r="G1459" s="525"/>
      <c r="K1459" s="3280"/>
      <c r="AB1459" s="3280"/>
      <c r="AG1459" s="3865"/>
      <c r="AM1459" s="3041"/>
      <c r="BD1459" s="3280"/>
      <c r="BF1459" s="3041"/>
      <c r="BH1459" s="3282"/>
    </row>
    <row r="1460" spans="1:60" s="3030" customFormat="1">
      <c r="A1460" s="2126"/>
      <c r="B1460" s="2126"/>
      <c r="C1460" s="2126"/>
      <c r="D1460" s="2126"/>
      <c r="E1460" s="525"/>
      <c r="F1460" s="525"/>
      <c r="G1460" s="525"/>
      <c r="K1460" s="3280"/>
      <c r="AB1460" s="3280"/>
      <c r="AG1460" s="3865"/>
      <c r="AM1460" s="3041"/>
      <c r="BD1460" s="3280"/>
      <c r="BF1460" s="3041"/>
      <c r="BH1460" s="3282"/>
    </row>
    <row r="1461" spans="1:60" s="3030" customFormat="1">
      <c r="A1461" s="2126"/>
      <c r="B1461" s="2126"/>
      <c r="C1461" s="2126"/>
      <c r="D1461" s="2126"/>
      <c r="E1461" s="525"/>
      <c r="F1461" s="525"/>
      <c r="G1461" s="525"/>
      <c r="K1461" s="3280"/>
      <c r="AB1461" s="3280"/>
      <c r="AG1461" s="3865"/>
      <c r="AM1461" s="3041"/>
      <c r="BD1461" s="3280"/>
      <c r="BF1461" s="3041"/>
      <c r="BH1461" s="3282"/>
    </row>
    <row r="1462" spans="1:60" s="3030" customFormat="1">
      <c r="A1462" s="2126"/>
      <c r="B1462" s="2126"/>
      <c r="C1462" s="2126"/>
      <c r="D1462" s="2126"/>
      <c r="E1462" s="525"/>
      <c r="F1462" s="525"/>
      <c r="G1462" s="525"/>
      <c r="K1462" s="3280"/>
      <c r="AB1462" s="3280"/>
      <c r="AG1462" s="3865"/>
      <c r="AM1462" s="3041"/>
      <c r="BD1462" s="3280"/>
      <c r="BF1462" s="3041"/>
      <c r="BH1462" s="3282"/>
    </row>
    <row r="1463" spans="1:60" s="3030" customFormat="1">
      <c r="A1463" s="2126"/>
      <c r="B1463" s="2126"/>
      <c r="C1463" s="2126"/>
      <c r="D1463" s="2126"/>
      <c r="E1463" s="525"/>
      <c r="F1463" s="525"/>
      <c r="G1463" s="525"/>
      <c r="K1463" s="3280"/>
      <c r="AB1463" s="3280"/>
      <c r="AG1463" s="3865"/>
      <c r="AM1463" s="3041"/>
      <c r="BD1463" s="3280"/>
      <c r="BF1463" s="3041"/>
      <c r="BH1463" s="3282"/>
    </row>
    <row r="1464" spans="1:60" s="3030" customFormat="1">
      <c r="A1464" s="2126"/>
      <c r="B1464" s="2126"/>
      <c r="C1464" s="2126"/>
      <c r="D1464" s="2126"/>
      <c r="E1464" s="525"/>
      <c r="F1464" s="525"/>
      <c r="G1464" s="525"/>
      <c r="K1464" s="3280"/>
      <c r="AB1464" s="3280"/>
      <c r="AG1464" s="3865"/>
      <c r="AM1464" s="3041"/>
      <c r="BD1464" s="3280"/>
      <c r="BF1464" s="3041"/>
      <c r="BH1464" s="3282"/>
    </row>
    <row r="1465" spans="1:60" s="3030" customFormat="1">
      <c r="A1465" s="2126"/>
      <c r="B1465" s="2126"/>
      <c r="C1465" s="2126"/>
      <c r="D1465" s="2126"/>
      <c r="E1465" s="525"/>
      <c r="F1465" s="525"/>
      <c r="G1465" s="525"/>
      <c r="K1465" s="3280"/>
      <c r="AB1465" s="3280"/>
      <c r="AG1465" s="3865"/>
      <c r="AM1465" s="3041"/>
      <c r="BD1465" s="3280"/>
      <c r="BF1465" s="3041"/>
      <c r="BH1465" s="3282"/>
    </row>
    <row r="1466" spans="1:60" s="3030" customFormat="1">
      <c r="A1466" s="2126"/>
      <c r="B1466" s="2126"/>
      <c r="C1466" s="2126"/>
      <c r="D1466" s="2126"/>
      <c r="E1466" s="525"/>
      <c r="F1466" s="525"/>
      <c r="G1466" s="525"/>
      <c r="K1466" s="3280"/>
      <c r="AB1466" s="3280"/>
      <c r="AG1466" s="3865"/>
      <c r="AM1466" s="3041"/>
      <c r="BD1466" s="3280"/>
      <c r="BF1466" s="3041"/>
      <c r="BH1466" s="3282"/>
    </row>
    <row r="1467" spans="1:60" s="3030" customFormat="1">
      <c r="A1467" s="2126"/>
      <c r="B1467" s="2126"/>
      <c r="C1467" s="2126"/>
      <c r="D1467" s="2126"/>
      <c r="E1467" s="525"/>
      <c r="F1467" s="525"/>
      <c r="G1467" s="525"/>
      <c r="K1467" s="3280"/>
      <c r="AB1467" s="3280"/>
      <c r="AG1467" s="3865"/>
      <c r="AM1467" s="3041"/>
      <c r="BD1467" s="3280"/>
      <c r="BF1467" s="3041"/>
      <c r="BH1467" s="3282"/>
    </row>
    <row r="1468" spans="1:60" s="3030" customFormat="1">
      <c r="A1468" s="2126"/>
      <c r="B1468" s="2126"/>
      <c r="C1468" s="2126"/>
      <c r="D1468" s="2126"/>
      <c r="E1468" s="525"/>
      <c r="F1468" s="525"/>
      <c r="G1468" s="525"/>
      <c r="K1468" s="3280"/>
      <c r="AB1468" s="3280"/>
      <c r="AG1468" s="3865"/>
      <c r="AM1468" s="3041"/>
      <c r="BD1468" s="3280"/>
      <c r="BF1468" s="3041"/>
      <c r="BH1468" s="3282"/>
    </row>
    <row r="1469" spans="1:60" s="3030" customFormat="1">
      <c r="A1469" s="2126"/>
      <c r="B1469" s="2126"/>
      <c r="C1469" s="2126"/>
      <c r="D1469" s="2126"/>
      <c r="E1469" s="525"/>
      <c r="F1469" s="525"/>
      <c r="G1469" s="525"/>
      <c r="K1469" s="3280"/>
      <c r="AB1469" s="3280"/>
      <c r="AG1469" s="3865"/>
      <c r="AM1469" s="3041"/>
      <c r="BD1469" s="3280"/>
      <c r="BF1469" s="3041"/>
      <c r="BH1469" s="3282"/>
    </row>
    <row r="1470" spans="1:60" s="3030" customFormat="1">
      <c r="A1470" s="2126"/>
      <c r="B1470" s="2126"/>
      <c r="C1470" s="2126"/>
      <c r="D1470" s="2126"/>
      <c r="E1470" s="525"/>
      <c r="F1470" s="525"/>
      <c r="G1470" s="525"/>
      <c r="K1470" s="3280"/>
      <c r="AB1470" s="3280"/>
      <c r="AG1470" s="3865"/>
      <c r="AM1470" s="3041"/>
      <c r="BD1470" s="3280"/>
      <c r="BF1470" s="3041"/>
      <c r="BH1470" s="3282"/>
    </row>
    <row r="1471" spans="1:60" s="3030" customFormat="1">
      <c r="A1471" s="2126"/>
      <c r="B1471" s="2126"/>
      <c r="C1471" s="2126"/>
      <c r="D1471" s="2126"/>
      <c r="E1471" s="525"/>
      <c r="F1471" s="525"/>
      <c r="G1471" s="525"/>
      <c r="K1471" s="3280"/>
      <c r="AB1471" s="3280"/>
      <c r="AG1471" s="3865"/>
      <c r="AM1471" s="3041"/>
      <c r="BD1471" s="3280"/>
      <c r="BF1471" s="3041"/>
      <c r="BH1471" s="3282"/>
    </row>
    <row r="1472" spans="1:60" s="3030" customFormat="1">
      <c r="A1472" s="2126"/>
      <c r="B1472" s="2126"/>
      <c r="C1472" s="2126"/>
      <c r="D1472" s="2126"/>
      <c r="E1472" s="525"/>
      <c r="F1472" s="525"/>
      <c r="G1472" s="525"/>
      <c r="K1472" s="3280"/>
      <c r="AB1472" s="3280"/>
      <c r="AG1472" s="3865"/>
      <c r="AM1472" s="3041"/>
      <c r="BD1472" s="3280"/>
      <c r="BF1472" s="3041"/>
      <c r="BH1472" s="3282"/>
    </row>
    <row r="1473" spans="1:60" s="3030" customFormat="1">
      <c r="A1473" s="2126"/>
      <c r="B1473" s="2126"/>
      <c r="C1473" s="2126"/>
      <c r="D1473" s="2126"/>
      <c r="E1473" s="525"/>
      <c r="F1473" s="525"/>
      <c r="G1473" s="525"/>
      <c r="K1473" s="3280"/>
      <c r="AB1473" s="3280"/>
      <c r="AG1473" s="3865"/>
      <c r="AM1473" s="3041"/>
      <c r="BD1473" s="3280"/>
      <c r="BF1473" s="3041"/>
      <c r="BH1473" s="3282"/>
    </row>
    <row r="1474" spans="1:60" s="3030" customFormat="1">
      <c r="A1474" s="2126"/>
      <c r="B1474" s="2126"/>
      <c r="C1474" s="2126"/>
      <c r="D1474" s="2126"/>
      <c r="E1474" s="525"/>
      <c r="F1474" s="525"/>
      <c r="G1474" s="525"/>
      <c r="K1474" s="3280"/>
      <c r="AB1474" s="3280"/>
      <c r="AG1474" s="3865"/>
      <c r="AM1474" s="3041"/>
      <c r="BD1474" s="3280"/>
      <c r="BF1474" s="3041"/>
      <c r="BH1474" s="3282"/>
    </row>
    <row r="1475" spans="1:60" s="3030" customFormat="1">
      <c r="A1475" s="2126"/>
      <c r="B1475" s="2126"/>
      <c r="C1475" s="2126"/>
      <c r="D1475" s="2126"/>
      <c r="E1475" s="525"/>
      <c r="F1475" s="525"/>
      <c r="G1475" s="525"/>
      <c r="K1475" s="3280"/>
      <c r="AB1475" s="3280"/>
      <c r="AG1475" s="3865"/>
      <c r="AM1475" s="3041"/>
      <c r="BD1475" s="3280"/>
      <c r="BF1475" s="3041"/>
      <c r="BH1475" s="3282"/>
    </row>
    <row r="1476" spans="1:60" s="3030" customFormat="1">
      <c r="A1476" s="2126"/>
      <c r="B1476" s="2126"/>
      <c r="C1476" s="2126"/>
      <c r="D1476" s="2126"/>
      <c r="E1476" s="525"/>
      <c r="F1476" s="525"/>
      <c r="G1476" s="525"/>
      <c r="K1476" s="3280"/>
      <c r="AB1476" s="3280"/>
      <c r="AG1476" s="3865"/>
      <c r="AM1476" s="3041"/>
      <c r="BD1476" s="3280"/>
      <c r="BF1476" s="3041"/>
      <c r="BH1476" s="3282"/>
    </row>
    <row r="1477" spans="1:60" s="3030" customFormat="1">
      <c r="A1477" s="2126"/>
      <c r="B1477" s="2126"/>
      <c r="C1477" s="2126"/>
      <c r="D1477" s="2126"/>
      <c r="E1477" s="525"/>
      <c r="F1477" s="525"/>
      <c r="G1477" s="525"/>
      <c r="K1477" s="3280"/>
      <c r="AB1477" s="3280"/>
      <c r="AG1477" s="3865"/>
      <c r="AM1477" s="3041"/>
      <c r="BD1477" s="3280"/>
      <c r="BF1477" s="3041"/>
      <c r="BH1477" s="3282"/>
    </row>
    <row r="1478" spans="1:60" s="3030" customFormat="1">
      <c r="A1478" s="2126"/>
      <c r="B1478" s="2126"/>
      <c r="C1478" s="2126"/>
      <c r="D1478" s="2126"/>
      <c r="E1478" s="525"/>
      <c r="F1478" s="525"/>
      <c r="G1478" s="525"/>
      <c r="K1478" s="3280"/>
      <c r="AB1478" s="3280"/>
      <c r="AG1478" s="3865"/>
      <c r="AM1478" s="3041"/>
      <c r="BD1478" s="3280"/>
      <c r="BF1478" s="3041"/>
      <c r="BH1478" s="3282"/>
    </row>
    <row r="1479" spans="1:60" s="3030" customFormat="1">
      <c r="A1479" s="2126"/>
      <c r="B1479" s="2126"/>
      <c r="C1479" s="2126"/>
      <c r="D1479" s="2126"/>
      <c r="E1479" s="525"/>
      <c r="F1479" s="525"/>
      <c r="G1479" s="525"/>
      <c r="K1479" s="3280"/>
      <c r="AB1479" s="3280"/>
      <c r="AG1479" s="3865"/>
      <c r="AM1479" s="3041"/>
      <c r="BD1479" s="3280"/>
      <c r="BF1479" s="3041"/>
      <c r="BH1479" s="3282"/>
    </row>
    <row r="1480" spans="1:60" s="3030" customFormat="1">
      <c r="A1480" s="2126"/>
      <c r="B1480" s="2126"/>
      <c r="C1480" s="2126"/>
      <c r="D1480" s="2126"/>
      <c r="E1480" s="525"/>
      <c r="F1480" s="525"/>
      <c r="G1480" s="525"/>
      <c r="K1480" s="3280"/>
      <c r="AB1480" s="3280"/>
      <c r="AG1480" s="3865"/>
      <c r="AM1480" s="3041"/>
      <c r="BD1480" s="3280"/>
      <c r="BF1480" s="3041"/>
      <c r="BH1480" s="3282"/>
    </row>
    <row r="1481" spans="1:60" s="3030" customFormat="1">
      <c r="A1481" s="2126"/>
      <c r="B1481" s="2126"/>
      <c r="C1481" s="2126"/>
      <c r="D1481" s="2126"/>
      <c r="E1481" s="525"/>
      <c r="F1481" s="525"/>
      <c r="G1481" s="525"/>
      <c r="K1481" s="3280"/>
      <c r="AB1481" s="3280"/>
      <c r="AG1481" s="3865"/>
      <c r="AM1481" s="3041"/>
      <c r="BD1481" s="3280"/>
      <c r="BF1481" s="3041"/>
      <c r="BH1481" s="3282"/>
    </row>
    <row r="1482" spans="1:60" s="3030" customFormat="1">
      <c r="A1482" s="2126"/>
      <c r="B1482" s="2126"/>
      <c r="C1482" s="2126"/>
      <c r="D1482" s="2126"/>
      <c r="E1482" s="525"/>
      <c r="F1482" s="525"/>
      <c r="G1482" s="525"/>
      <c r="K1482" s="3280"/>
      <c r="AB1482" s="3280"/>
      <c r="AG1482" s="3865"/>
      <c r="AM1482" s="3041"/>
      <c r="BD1482" s="3280"/>
      <c r="BF1482" s="3041"/>
      <c r="BH1482" s="3282"/>
    </row>
    <row r="1483" spans="1:60" s="3030" customFormat="1">
      <c r="A1483" s="2126"/>
      <c r="B1483" s="2126"/>
      <c r="C1483" s="2126"/>
      <c r="D1483" s="2126"/>
      <c r="E1483" s="525"/>
      <c r="F1483" s="525"/>
      <c r="G1483" s="525"/>
      <c r="K1483" s="3280"/>
      <c r="AB1483" s="3280"/>
      <c r="AG1483" s="3865"/>
      <c r="AM1483" s="3041"/>
      <c r="BD1483" s="3280"/>
      <c r="BF1483" s="3041"/>
      <c r="BH1483" s="3282"/>
    </row>
    <row r="1484" spans="1:60" s="3030" customFormat="1">
      <c r="A1484" s="2126"/>
      <c r="B1484" s="2126"/>
      <c r="C1484" s="2126"/>
      <c r="D1484" s="2126"/>
      <c r="E1484" s="525"/>
      <c r="F1484" s="525"/>
      <c r="G1484" s="525"/>
      <c r="K1484" s="3280"/>
      <c r="AB1484" s="3280"/>
      <c r="AG1484" s="3865"/>
      <c r="AM1484" s="3041"/>
      <c r="BD1484" s="3280"/>
      <c r="BF1484" s="3041"/>
      <c r="BH1484" s="3282"/>
    </row>
    <row r="1485" spans="1:60" s="3030" customFormat="1">
      <c r="A1485" s="2126"/>
      <c r="B1485" s="2126"/>
      <c r="C1485" s="2126"/>
      <c r="D1485" s="2126"/>
      <c r="E1485" s="525"/>
      <c r="F1485" s="525"/>
      <c r="G1485" s="525"/>
      <c r="K1485" s="3280"/>
      <c r="AB1485" s="3280"/>
      <c r="AG1485" s="3865"/>
      <c r="AM1485" s="3041"/>
      <c r="BD1485" s="3280"/>
      <c r="BF1485" s="3041"/>
      <c r="BH1485" s="3282"/>
    </row>
    <row r="1486" spans="1:60" s="3030" customFormat="1">
      <c r="A1486" s="2126"/>
      <c r="B1486" s="2126"/>
      <c r="C1486" s="2126"/>
      <c r="D1486" s="2126"/>
      <c r="E1486" s="525"/>
      <c r="F1486" s="525"/>
      <c r="G1486" s="525"/>
      <c r="K1486" s="3280"/>
      <c r="AB1486" s="3280"/>
      <c r="AG1486" s="3865"/>
      <c r="AM1486" s="3041"/>
      <c r="BD1486" s="3280"/>
      <c r="BF1486" s="3041"/>
      <c r="BH1486" s="3282"/>
    </row>
    <row r="1487" spans="1:60" s="3030" customFormat="1">
      <c r="A1487" s="2126"/>
      <c r="B1487" s="2126"/>
      <c r="C1487" s="2126"/>
      <c r="D1487" s="2126"/>
      <c r="E1487" s="525"/>
      <c r="F1487" s="525"/>
      <c r="G1487" s="525"/>
      <c r="K1487" s="3280"/>
      <c r="AB1487" s="3280"/>
      <c r="AG1487" s="3865"/>
      <c r="AM1487" s="3041"/>
      <c r="BD1487" s="3280"/>
      <c r="BF1487" s="3041"/>
      <c r="BH1487" s="3282"/>
    </row>
    <row r="1488" spans="1:60" s="3030" customFormat="1">
      <c r="A1488" s="2126"/>
      <c r="B1488" s="2126"/>
      <c r="C1488" s="2126"/>
      <c r="D1488" s="2126"/>
      <c r="E1488" s="525"/>
      <c r="F1488" s="525"/>
      <c r="G1488" s="525"/>
      <c r="K1488" s="3280"/>
      <c r="AB1488" s="3280"/>
      <c r="AG1488" s="3865"/>
      <c r="AM1488" s="3041"/>
      <c r="BD1488" s="3280"/>
      <c r="BF1488" s="3041"/>
      <c r="BH1488" s="3282"/>
    </row>
    <row r="1489" spans="1:60" s="3030" customFormat="1">
      <c r="A1489" s="2126"/>
      <c r="B1489" s="2126"/>
      <c r="C1489" s="2126"/>
      <c r="D1489" s="2126"/>
      <c r="E1489" s="525"/>
      <c r="F1489" s="525"/>
      <c r="G1489" s="525"/>
      <c r="K1489" s="3280"/>
      <c r="AB1489" s="3280"/>
      <c r="AG1489" s="3865"/>
      <c r="AM1489" s="3041"/>
      <c r="BD1489" s="3280"/>
      <c r="BF1489" s="3041"/>
      <c r="BH1489" s="3282"/>
    </row>
    <row r="1490" spans="1:60" s="3030" customFormat="1">
      <c r="A1490" s="2126"/>
      <c r="B1490" s="2126"/>
      <c r="C1490" s="2126"/>
      <c r="D1490" s="2126"/>
      <c r="E1490" s="525"/>
      <c r="F1490" s="525"/>
      <c r="G1490" s="525"/>
      <c r="K1490" s="3280"/>
      <c r="AB1490" s="3280"/>
      <c r="AG1490" s="3865"/>
      <c r="AM1490" s="3041"/>
      <c r="BD1490" s="3280"/>
      <c r="BF1490" s="3041"/>
      <c r="BH1490" s="3282"/>
    </row>
    <row r="1491" spans="1:60" s="3030" customFormat="1">
      <c r="A1491" s="2126"/>
      <c r="B1491" s="2126"/>
      <c r="C1491" s="2126"/>
      <c r="D1491" s="2126"/>
      <c r="E1491" s="525"/>
      <c r="F1491" s="525"/>
      <c r="G1491" s="525"/>
      <c r="K1491" s="3280"/>
      <c r="AB1491" s="3280"/>
      <c r="AG1491" s="3865"/>
      <c r="AM1491" s="3041"/>
      <c r="BD1491" s="3280"/>
      <c r="BF1491" s="3041"/>
      <c r="BH1491" s="3282"/>
    </row>
    <row r="1492" spans="1:60" s="3030" customFormat="1">
      <c r="A1492" s="2126"/>
      <c r="B1492" s="2126"/>
      <c r="C1492" s="2126"/>
      <c r="D1492" s="2126"/>
      <c r="E1492" s="525"/>
      <c r="F1492" s="525"/>
      <c r="G1492" s="525"/>
      <c r="K1492" s="3280"/>
      <c r="AB1492" s="3280"/>
      <c r="AG1492" s="3865"/>
      <c r="AM1492" s="3041"/>
      <c r="BD1492" s="3280"/>
      <c r="BF1492" s="3041"/>
      <c r="BH1492" s="3282"/>
    </row>
    <row r="1493" spans="1:60" s="3030" customFormat="1">
      <c r="A1493" s="2126"/>
      <c r="B1493" s="2126"/>
      <c r="C1493" s="2126"/>
      <c r="D1493" s="2126"/>
      <c r="E1493" s="525"/>
      <c r="F1493" s="525"/>
      <c r="G1493" s="525"/>
      <c r="K1493" s="3280"/>
      <c r="AB1493" s="3280"/>
      <c r="AG1493" s="3865"/>
      <c r="AM1493" s="3041"/>
      <c r="BD1493" s="3280"/>
      <c r="BF1493" s="3041"/>
      <c r="BH1493" s="3282"/>
    </row>
    <row r="1494" spans="1:60" s="3030" customFormat="1">
      <c r="A1494" s="2126"/>
      <c r="B1494" s="2126"/>
      <c r="C1494" s="2126"/>
      <c r="D1494" s="2126"/>
      <c r="E1494" s="525"/>
      <c r="F1494" s="525"/>
      <c r="G1494" s="525"/>
      <c r="K1494" s="3280"/>
      <c r="AB1494" s="3280"/>
      <c r="AG1494" s="3865"/>
      <c r="AM1494" s="3041"/>
      <c r="BD1494" s="3280"/>
      <c r="BF1494" s="3041"/>
      <c r="BH1494" s="3282"/>
    </row>
    <row r="1495" spans="1:60" s="3030" customFormat="1">
      <c r="A1495" s="2126"/>
      <c r="B1495" s="2126"/>
      <c r="C1495" s="2126"/>
      <c r="D1495" s="2126"/>
      <c r="E1495" s="525"/>
      <c r="F1495" s="525"/>
      <c r="G1495" s="525"/>
      <c r="K1495" s="3280"/>
      <c r="AB1495" s="3280"/>
      <c r="AG1495" s="3865"/>
      <c r="AM1495" s="3041"/>
      <c r="BD1495" s="3280"/>
      <c r="BF1495" s="3041"/>
      <c r="BH1495" s="3282"/>
    </row>
    <row r="1496" spans="1:60" s="3030" customFormat="1">
      <c r="A1496" s="2126"/>
      <c r="B1496" s="2126"/>
      <c r="C1496" s="2126"/>
      <c r="D1496" s="2126"/>
      <c r="E1496" s="525"/>
      <c r="F1496" s="525"/>
      <c r="G1496" s="525"/>
      <c r="K1496" s="3280"/>
      <c r="AB1496" s="3280"/>
      <c r="AG1496" s="3865"/>
      <c r="AM1496" s="3041"/>
      <c r="BD1496" s="3280"/>
      <c r="BF1496" s="3041"/>
      <c r="BH1496" s="3282"/>
    </row>
    <row r="1497" spans="1:60" s="3030" customFormat="1">
      <c r="A1497" s="2126"/>
      <c r="B1497" s="2126"/>
      <c r="C1497" s="2126"/>
      <c r="D1497" s="2126"/>
      <c r="E1497" s="525"/>
      <c r="F1497" s="525"/>
      <c r="G1497" s="525"/>
      <c r="K1497" s="3280"/>
      <c r="AB1497" s="3280"/>
      <c r="AG1497" s="3865"/>
      <c r="AM1497" s="3041"/>
      <c r="BD1497" s="3280"/>
      <c r="BF1497" s="3041"/>
      <c r="BH1497" s="3282"/>
    </row>
    <row r="1498" spans="1:60" s="3030" customFormat="1">
      <c r="A1498" s="2126"/>
      <c r="B1498" s="2126"/>
      <c r="C1498" s="2126"/>
      <c r="D1498" s="2126"/>
      <c r="E1498" s="525"/>
      <c r="F1498" s="525"/>
      <c r="G1498" s="525"/>
      <c r="K1498" s="3280"/>
      <c r="AB1498" s="3280"/>
      <c r="AG1498" s="3865"/>
      <c r="AM1498" s="3041"/>
      <c r="BD1498" s="3280"/>
      <c r="BF1498" s="3041"/>
      <c r="BH1498" s="3282"/>
    </row>
    <row r="1499" spans="1:60" s="3030" customFormat="1">
      <c r="A1499" s="2126"/>
      <c r="B1499" s="2126"/>
      <c r="C1499" s="2126"/>
      <c r="D1499" s="2126"/>
      <c r="E1499" s="525"/>
      <c r="F1499" s="525"/>
      <c r="G1499" s="525"/>
      <c r="K1499" s="3280"/>
      <c r="AB1499" s="3280"/>
      <c r="AG1499" s="3865"/>
      <c r="AM1499" s="3041"/>
      <c r="BD1499" s="3280"/>
      <c r="BF1499" s="3041"/>
      <c r="BH1499" s="3282"/>
    </row>
    <row r="1500" spans="1:60" s="3030" customFormat="1">
      <c r="A1500" s="2126"/>
      <c r="B1500" s="2126"/>
      <c r="C1500" s="2126"/>
      <c r="D1500" s="2126"/>
      <c r="E1500" s="525"/>
      <c r="F1500" s="525"/>
      <c r="G1500" s="525"/>
      <c r="K1500" s="3280"/>
      <c r="AB1500" s="3280"/>
      <c r="AG1500" s="3865"/>
      <c r="AM1500" s="3041"/>
      <c r="BD1500" s="3280"/>
      <c r="BF1500" s="3041"/>
      <c r="BH1500" s="3282"/>
    </row>
    <row r="1501" spans="1:60" s="3030" customFormat="1">
      <c r="A1501" s="2126"/>
      <c r="B1501" s="2126"/>
      <c r="C1501" s="2126"/>
      <c r="D1501" s="2126"/>
      <c r="E1501" s="525"/>
      <c r="F1501" s="525"/>
      <c r="G1501" s="525"/>
      <c r="K1501" s="3280"/>
      <c r="AB1501" s="3280"/>
      <c r="AG1501" s="3865"/>
      <c r="AM1501" s="3041"/>
      <c r="BD1501" s="3280"/>
      <c r="BF1501" s="3041"/>
      <c r="BH1501" s="3282"/>
    </row>
    <row r="1502" spans="1:60" s="3030" customFormat="1">
      <c r="A1502" s="2126"/>
      <c r="B1502" s="2126"/>
      <c r="C1502" s="2126"/>
      <c r="D1502" s="2126"/>
      <c r="E1502" s="525"/>
      <c r="F1502" s="525"/>
      <c r="G1502" s="525"/>
      <c r="K1502" s="3280"/>
      <c r="AB1502" s="3280"/>
      <c r="AG1502" s="3865"/>
      <c r="AM1502" s="3041"/>
      <c r="BD1502" s="3280"/>
      <c r="BF1502" s="3041"/>
      <c r="BH1502" s="3282"/>
    </row>
    <row r="1503" spans="1:60" s="3030" customFormat="1">
      <c r="A1503" s="2126"/>
      <c r="B1503" s="2126"/>
      <c r="C1503" s="2126"/>
      <c r="D1503" s="2126"/>
      <c r="E1503" s="525"/>
      <c r="F1503" s="525"/>
      <c r="G1503" s="525"/>
      <c r="K1503" s="3280"/>
      <c r="AB1503" s="3280"/>
      <c r="AG1503" s="3865"/>
      <c r="AM1503" s="3041"/>
      <c r="BD1503" s="3280"/>
      <c r="BF1503" s="3041"/>
      <c r="BH1503" s="3282"/>
    </row>
    <row r="1504" spans="1:60" s="3030" customFormat="1">
      <c r="A1504" s="2126"/>
      <c r="B1504" s="2126"/>
      <c r="C1504" s="2126"/>
      <c r="D1504" s="2126"/>
      <c r="E1504" s="525"/>
      <c r="F1504" s="525"/>
      <c r="G1504" s="525"/>
      <c r="K1504" s="3280"/>
      <c r="AB1504" s="3280"/>
      <c r="AG1504" s="3865"/>
      <c r="AM1504" s="3041"/>
      <c r="BD1504" s="3280"/>
      <c r="BF1504" s="3041"/>
      <c r="BH1504" s="3282"/>
    </row>
    <row r="1505" spans="1:60" s="3030" customFormat="1">
      <c r="A1505" s="2126"/>
      <c r="B1505" s="2126"/>
      <c r="C1505" s="2126"/>
      <c r="D1505" s="2126"/>
      <c r="E1505" s="525"/>
      <c r="F1505" s="525"/>
      <c r="G1505" s="525"/>
      <c r="K1505" s="3280"/>
      <c r="AB1505" s="3280"/>
      <c r="AG1505" s="3865"/>
      <c r="AM1505" s="3041"/>
      <c r="BD1505" s="3280"/>
      <c r="BF1505" s="3041"/>
      <c r="BH1505" s="3282"/>
    </row>
    <row r="1506" spans="1:60" s="3030" customFormat="1">
      <c r="A1506" s="2126"/>
      <c r="B1506" s="2126"/>
      <c r="C1506" s="2126"/>
      <c r="D1506" s="2126"/>
      <c r="E1506" s="525"/>
      <c r="F1506" s="525"/>
      <c r="G1506" s="525"/>
      <c r="K1506" s="3280"/>
      <c r="AB1506" s="3280"/>
      <c r="AG1506" s="3865"/>
      <c r="AM1506" s="3041"/>
      <c r="BD1506" s="3280"/>
      <c r="BF1506" s="3041"/>
      <c r="BH1506" s="3282"/>
    </row>
    <row r="1507" spans="1:60" s="3030" customFormat="1">
      <c r="A1507" s="2126"/>
      <c r="B1507" s="2126"/>
      <c r="C1507" s="2126"/>
      <c r="D1507" s="2126"/>
      <c r="E1507" s="525"/>
      <c r="F1507" s="525"/>
      <c r="G1507" s="525"/>
      <c r="K1507" s="3280"/>
      <c r="AB1507" s="3280"/>
      <c r="AG1507" s="3865"/>
      <c r="AM1507" s="3041"/>
      <c r="BD1507" s="3280"/>
      <c r="BF1507" s="3041"/>
      <c r="BH1507" s="3282"/>
    </row>
    <row r="1508" spans="1:60" s="3030" customFormat="1">
      <c r="A1508" s="2126"/>
      <c r="B1508" s="2126"/>
      <c r="C1508" s="2126"/>
      <c r="D1508" s="2126"/>
      <c r="E1508" s="525"/>
      <c r="F1508" s="525"/>
      <c r="G1508" s="525"/>
      <c r="K1508" s="3280"/>
      <c r="AB1508" s="3280"/>
      <c r="AG1508" s="3865"/>
      <c r="AM1508" s="3041"/>
      <c r="BD1508" s="3280"/>
      <c r="BF1508" s="3041"/>
      <c r="BH1508" s="3282"/>
    </row>
    <row r="1509" spans="1:60" s="3030" customFormat="1">
      <c r="A1509" s="2126"/>
      <c r="B1509" s="2126"/>
      <c r="C1509" s="2126"/>
      <c r="D1509" s="2126"/>
      <c r="E1509" s="525"/>
      <c r="F1509" s="525"/>
      <c r="G1509" s="525"/>
      <c r="K1509" s="3280"/>
      <c r="AB1509" s="3280"/>
      <c r="AG1509" s="3865"/>
      <c r="AM1509" s="3041"/>
      <c r="BD1509" s="3280"/>
      <c r="BF1509" s="3041"/>
      <c r="BH1509" s="3282"/>
    </row>
    <row r="1510" spans="1:60" s="3030" customFormat="1">
      <c r="A1510" s="2126"/>
      <c r="B1510" s="2126"/>
      <c r="C1510" s="2126"/>
      <c r="D1510" s="2126"/>
      <c r="E1510" s="525"/>
      <c r="F1510" s="525"/>
      <c r="G1510" s="525"/>
      <c r="K1510" s="3280"/>
      <c r="AB1510" s="3280"/>
      <c r="AG1510" s="3865"/>
      <c r="AM1510" s="3041"/>
      <c r="BD1510" s="3280"/>
      <c r="BF1510" s="3041"/>
      <c r="BH1510" s="3282"/>
    </row>
    <row r="1511" spans="1:60" s="3030" customFormat="1">
      <c r="A1511" s="2126"/>
      <c r="B1511" s="2126"/>
      <c r="C1511" s="2126"/>
      <c r="D1511" s="2126"/>
      <c r="E1511" s="525"/>
      <c r="F1511" s="525"/>
      <c r="G1511" s="525"/>
      <c r="K1511" s="3280"/>
      <c r="AB1511" s="3280"/>
      <c r="AG1511" s="3865"/>
      <c r="AM1511" s="3041"/>
      <c r="BD1511" s="3280"/>
      <c r="BF1511" s="3041"/>
      <c r="BH1511" s="3282"/>
    </row>
    <row r="1512" spans="1:60" s="3030" customFormat="1">
      <c r="A1512" s="2126"/>
      <c r="B1512" s="2126"/>
      <c r="C1512" s="2126"/>
      <c r="D1512" s="2126"/>
      <c r="E1512" s="525"/>
      <c r="F1512" s="525"/>
      <c r="G1512" s="525"/>
      <c r="K1512" s="3280"/>
      <c r="AB1512" s="3280"/>
      <c r="AG1512" s="3865"/>
      <c r="AM1512" s="3041"/>
      <c r="BD1512" s="3280"/>
      <c r="BF1512" s="3041"/>
      <c r="BH1512" s="3282"/>
    </row>
    <row r="1513" spans="1:60" s="3030" customFormat="1">
      <c r="A1513" s="2126"/>
      <c r="B1513" s="2126"/>
      <c r="C1513" s="2126"/>
      <c r="D1513" s="2126"/>
      <c r="E1513" s="525"/>
      <c r="F1513" s="525"/>
      <c r="G1513" s="525"/>
      <c r="K1513" s="3280"/>
      <c r="AB1513" s="3280"/>
      <c r="AG1513" s="3865"/>
      <c r="AM1513" s="3041"/>
      <c r="BD1513" s="3280"/>
      <c r="BF1513" s="3041"/>
      <c r="BH1513" s="3282"/>
    </row>
    <row r="1514" spans="1:60" s="3030" customFormat="1">
      <c r="A1514" s="2126"/>
      <c r="B1514" s="2126"/>
      <c r="C1514" s="2126"/>
      <c r="D1514" s="2126"/>
      <c r="E1514" s="525"/>
      <c r="F1514" s="525"/>
      <c r="G1514" s="525"/>
      <c r="K1514" s="3280"/>
      <c r="AB1514" s="3280"/>
      <c r="AG1514" s="3865"/>
      <c r="AM1514" s="3041"/>
      <c r="BD1514" s="3280"/>
      <c r="BF1514" s="3041"/>
      <c r="BH1514" s="3282"/>
    </row>
    <row r="1515" spans="1:60" s="3030" customFormat="1">
      <c r="A1515" s="2126"/>
      <c r="B1515" s="2126"/>
      <c r="C1515" s="2126"/>
      <c r="D1515" s="2126"/>
      <c r="E1515" s="525"/>
      <c r="F1515" s="525"/>
      <c r="G1515" s="525"/>
      <c r="K1515" s="3280"/>
      <c r="AB1515" s="3280"/>
      <c r="AG1515" s="3865"/>
      <c r="AM1515" s="3041"/>
      <c r="BD1515" s="3280"/>
      <c r="BF1515" s="3041"/>
      <c r="BH1515" s="3282"/>
    </row>
    <row r="1516" spans="1:60" s="3030" customFormat="1">
      <c r="A1516" s="2126"/>
      <c r="B1516" s="2126"/>
      <c r="C1516" s="2126"/>
      <c r="D1516" s="2126"/>
      <c r="E1516" s="525"/>
      <c r="F1516" s="525"/>
      <c r="G1516" s="525"/>
      <c r="K1516" s="3280"/>
      <c r="AB1516" s="3280"/>
      <c r="AG1516" s="3865"/>
      <c r="AM1516" s="3041"/>
      <c r="BD1516" s="3280"/>
      <c r="BF1516" s="3041"/>
      <c r="BH1516" s="3282"/>
    </row>
    <row r="1517" spans="1:60" s="3030" customFormat="1">
      <c r="A1517" s="2126"/>
      <c r="B1517" s="2126"/>
      <c r="C1517" s="2126"/>
      <c r="D1517" s="2126"/>
      <c r="E1517" s="525"/>
      <c r="F1517" s="525"/>
      <c r="G1517" s="525"/>
      <c r="K1517" s="3280"/>
      <c r="AB1517" s="3280"/>
      <c r="AG1517" s="3865"/>
      <c r="AM1517" s="3041"/>
      <c r="BD1517" s="3280"/>
      <c r="BF1517" s="3041"/>
      <c r="BH1517" s="3282"/>
    </row>
    <row r="1518" spans="1:60" s="3030" customFormat="1">
      <c r="A1518" s="2126"/>
      <c r="B1518" s="2126"/>
      <c r="C1518" s="2126"/>
      <c r="D1518" s="2126"/>
      <c r="E1518" s="525"/>
      <c r="F1518" s="525"/>
      <c r="G1518" s="525"/>
      <c r="K1518" s="3280"/>
      <c r="AB1518" s="3280"/>
      <c r="AG1518" s="3865"/>
      <c r="AM1518" s="3041"/>
      <c r="BD1518" s="3280"/>
      <c r="BF1518" s="3041"/>
      <c r="BH1518" s="3282"/>
    </row>
    <row r="1519" spans="1:60" s="3030" customFormat="1">
      <c r="A1519" s="2126"/>
      <c r="B1519" s="2126"/>
      <c r="C1519" s="2126"/>
      <c r="D1519" s="2126"/>
      <c r="E1519" s="525"/>
      <c r="F1519" s="525"/>
      <c r="G1519" s="525"/>
      <c r="K1519" s="3280"/>
      <c r="AB1519" s="3280"/>
      <c r="AG1519" s="3865"/>
      <c r="AM1519" s="3041"/>
      <c r="BD1519" s="3280"/>
      <c r="BF1519" s="3041"/>
      <c r="BH1519" s="3282"/>
    </row>
    <row r="1520" spans="1:60" s="3030" customFormat="1">
      <c r="A1520" s="2126"/>
      <c r="B1520" s="2126"/>
      <c r="C1520" s="2126"/>
      <c r="D1520" s="2126"/>
      <c r="E1520" s="525"/>
      <c r="F1520" s="525"/>
      <c r="G1520" s="525"/>
      <c r="K1520" s="3280"/>
      <c r="AB1520" s="3280"/>
      <c r="AG1520" s="3865"/>
      <c r="AM1520" s="3041"/>
      <c r="BD1520" s="3280"/>
      <c r="BF1520" s="3041"/>
      <c r="BH1520" s="3282"/>
    </row>
    <row r="1521" spans="1:60" s="3030" customFormat="1">
      <c r="A1521" s="2126"/>
      <c r="B1521" s="2126"/>
      <c r="C1521" s="2126"/>
      <c r="D1521" s="2126"/>
      <c r="E1521" s="525"/>
      <c r="F1521" s="525"/>
      <c r="G1521" s="525"/>
      <c r="K1521" s="3280"/>
      <c r="AB1521" s="3280"/>
      <c r="AG1521" s="3865"/>
      <c r="AM1521" s="3041"/>
      <c r="BD1521" s="3280"/>
      <c r="BF1521" s="3041"/>
      <c r="BH1521" s="3282"/>
    </row>
    <row r="1522" spans="1:60" s="3030" customFormat="1">
      <c r="A1522" s="2126"/>
      <c r="B1522" s="2126"/>
      <c r="C1522" s="2126"/>
      <c r="D1522" s="2126"/>
      <c r="E1522" s="525"/>
      <c r="F1522" s="525"/>
      <c r="G1522" s="525"/>
      <c r="K1522" s="3280"/>
      <c r="AB1522" s="3280"/>
      <c r="AG1522" s="3865"/>
      <c r="AM1522" s="3041"/>
      <c r="BD1522" s="3280"/>
      <c r="BF1522" s="3041"/>
      <c r="BH1522" s="3282"/>
    </row>
    <row r="1523" spans="1:60" s="3030" customFormat="1">
      <c r="A1523" s="2126"/>
      <c r="B1523" s="2126"/>
      <c r="C1523" s="2126"/>
      <c r="D1523" s="2126"/>
      <c r="E1523" s="525"/>
      <c r="F1523" s="525"/>
      <c r="G1523" s="525"/>
      <c r="K1523" s="3280"/>
      <c r="AB1523" s="3280"/>
      <c r="AG1523" s="3865"/>
      <c r="AM1523" s="3041"/>
      <c r="BD1523" s="3280"/>
      <c r="BF1523" s="3041"/>
      <c r="BH1523" s="3282"/>
    </row>
    <row r="1524" spans="1:60" s="3030" customFormat="1">
      <c r="A1524" s="2126"/>
      <c r="B1524" s="2126"/>
      <c r="C1524" s="2126"/>
      <c r="D1524" s="2126"/>
      <c r="E1524" s="525"/>
      <c r="F1524" s="525"/>
      <c r="G1524" s="525"/>
      <c r="K1524" s="3280"/>
      <c r="AB1524" s="3280"/>
      <c r="AG1524" s="3865"/>
      <c r="AM1524" s="3041"/>
      <c r="BD1524" s="3280"/>
      <c r="BF1524" s="3041"/>
      <c r="BH1524" s="3282"/>
    </row>
    <row r="1525" spans="1:60" s="3030" customFormat="1">
      <c r="A1525" s="2126"/>
      <c r="B1525" s="2126"/>
      <c r="C1525" s="2126"/>
      <c r="D1525" s="2126"/>
      <c r="E1525" s="525"/>
      <c r="F1525" s="525"/>
      <c r="G1525" s="525"/>
      <c r="K1525" s="3280"/>
      <c r="AB1525" s="3280"/>
      <c r="AG1525" s="3865"/>
      <c r="AM1525" s="3041"/>
      <c r="BD1525" s="3280"/>
      <c r="BF1525" s="3041"/>
      <c r="BH1525" s="3282"/>
    </row>
    <row r="1526" spans="1:60" s="3030" customFormat="1">
      <c r="A1526" s="2126"/>
      <c r="B1526" s="2126"/>
      <c r="C1526" s="2126"/>
      <c r="D1526" s="2126"/>
      <c r="E1526" s="525"/>
      <c r="F1526" s="525"/>
      <c r="G1526" s="525"/>
      <c r="K1526" s="3280"/>
      <c r="AB1526" s="3280"/>
      <c r="AG1526" s="3865"/>
      <c r="AM1526" s="3041"/>
      <c r="BD1526" s="3280"/>
      <c r="BF1526" s="3041"/>
      <c r="BH1526" s="3282"/>
    </row>
    <row r="1527" spans="1:60" s="3030" customFormat="1">
      <c r="A1527" s="2126"/>
      <c r="B1527" s="2126"/>
      <c r="C1527" s="2126"/>
      <c r="D1527" s="2126"/>
      <c r="E1527" s="525"/>
      <c r="F1527" s="525"/>
      <c r="G1527" s="525"/>
      <c r="K1527" s="3280"/>
      <c r="AB1527" s="3280"/>
      <c r="AG1527" s="3865"/>
      <c r="AM1527" s="3041"/>
      <c r="BD1527" s="3280"/>
      <c r="BF1527" s="3041"/>
      <c r="BH1527" s="3282"/>
    </row>
    <row r="1528" spans="1:60" s="3030" customFormat="1">
      <c r="A1528" s="2126"/>
      <c r="B1528" s="2126"/>
      <c r="C1528" s="2126"/>
      <c r="D1528" s="2126"/>
      <c r="E1528" s="525"/>
      <c r="F1528" s="525"/>
      <c r="G1528" s="525"/>
      <c r="K1528" s="3280"/>
      <c r="AB1528" s="3280"/>
      <c r="AG1528" s="3865"/>
      <c r="AM1528" s="3041"/>
      <c r="BD1528" s="3280"/>
      <c r="BF1528" s="3041"/>
      <c r="BH1528" s="3282"/>
    </row>
    <row r="1529" spans="1:60" s="3030" customFormat="1">
      <c r="A1529" s="2126"/>
      <c r="B1529" s="2126"/>
      <c r="C1529" s="2126"/>
      <c r="D1529" s="2126"/>
      <c r="E1529" s="525"/>
      <c r="F1529" s="525"/>
      <c r="G1529" s="525"/>
      <c r="K1529" s="3280"/>
      <c r="AB1529" s="3280"/>
      <c r="AG1529" s="3865"/>
      <c r="AM1529" s="3041"/>
      <c r="BD1529" s="3280"/>
      <c r="BF1529" s="3041"/>
      <c r="BH1529" s="3282"/>
    </row>
    <row r="1530" spans="1:60" s="3030" customFormat="1">
      <c r="A1530" s="2126"/>
      <c r="B1530" s="2126"/>
      <c r="C1530" s="2126"/>
      <c r="D1530" s="2126"/>
      <c r="E1530" s="525"/>
      <c r="F1530" s="525"/>
      <c r="G1530" s="525"/>
      <c r="K1530" s="3280"/>
      <c r="AB1530" s="3280"/>
      <c r="AG1530" s="3865"/>
      <c r="AM1530" s="3041"/>
      <c r="BD1530" s="3280"/>
      <c r="BF1530" s="3041"/>
      <c r="BH1530" s="3282"/>
    </row>
    <row r="1531" spans="1:60" s="3030" customFormat="1">
      <c r="A1531" s="2126"/>
      <c r="B1531" s="2126"/>
      <c r="C1531" s="2126"/>
      <c r="D1531" s="2126"/>
      <c r="E1531" s="525"/>
      <c r="F1531" s="525"/>
      <c r="G1531" s="525"/>
      <c r="K1531" s="3280"/>
      <c r="AB1531" s="3280"/>
      <c r="AG1531" s="3865"/>
      <c r="AM1531" s="3041"/>
      <c r="BD1531" s="3280"/>
      <c r="BF1531" s="3041"/>
      <c r="BH1531" s="3282"/>
    </row>
    <row r="1532" spans="1:60" s="3030" customFormat="1">
      <c r="A1532" s="2126"/>
      <c r="B1532" s="2126"/>
      <c r="C1532" s="2126"/>
      <c r="D1532" s="2126"/>
      <c r="E1532" s="525"/>
      <c r="F1532" s="525"/>
      <c r="G1532" s="525"/>
      <c r="K1532" s="3280"/>
      <c r="AB1532" s="3280"/>
      <c r="AG1532" s="3865"/>
      <c r="AM1532" s="3041"/>
      <c r="BD1532" s="3280"/>
      <c r="BF1532" s="3041"/>
      <c r="BH1532" s="3282"/>
    </row>
    <row r="1533" spans="1:60" s="3030" customFormat="1">
      <c r="A1533" s="2126"/>
      <c r="B1533" s="2126"/>
      <c r="C1533" s="2126"/>
      <c r="D1533" s="2126"/>
      <c r="E1533" s="525"/>
      <c r="F1533" s="525"/>
      <c r="G1533" s="525"/>
      <c r="K1533" s="3280"/>
      <c r="AB1533" s="3280"/>
      <c r="AG1533" s="3865"/>
      <c r="AM1533" s="3041"/>
      <c r="BD1533" s="3280"/>
      <c r="BF1533" s="3041"/>
      <c r="BH1533" s="3282"/>
    </row>
    <row r="1534" spans="1:60" s="3030" customFormat="1">
      <c r="A1534" s="2126"/>
      <c r="B1534" s="2126"/>
      <c r="C1534" s="2126"/>
      <c r="D1534" s="2126"/>
      <c r="E1534" s="525"/>
      <c r="F1534" s="525"/>
      <c r="G1534" s="525"/>
      <c r="K1534" s="3280"/>
      <c r="AB1534" s="3280"/>
      <c r="AG1534" s="3865"/>
      <c r="AM1534" s="3041"/>
      <c r="BD1534" s="3280"/>
      <c r="BF1534" s="3041"/>
      <c r="BH1534" s="3282"/>
    </row>
    <row r="1535" spans="1:60" s="3030" customFormat="1">
      <c r="A1535" s="2126"/>
      <c r="B1535" s="2126"/>
      <c r="C1535" s="2126"/>
      <c r="D1535" s="2126"/>
      <c r="E1535" s="525"/>
      <c r="F1535" s="525"/>
      <c r="G1535" s="525"/>
      <c r="K1535" s="3280"/>
      <c r="AB1535" s="3280"/>
      <c r="AG1535" s="3865"/>
      <c r="AM1535" s="3041"/>
      <c r="BD1535" s="3280"/>
      <c r="BF1535" s="3041"/>
      <c r="BH1535" s="3282"/>
    </row>
    <row r="1536" spans="1:60" s="3030" customFormat="1">
      <c r="A1536" s="2126"/>
      <c r="B1536" s="2126"/>
      <c r="C1536" s="2126"/>
      <c r="D1536" s="2126"/>
      <c r="E1536" s="525"/>
      <c r="F1536" s="525"/>
      <c r="G1536" s="525"/>
      <c r="K1536" s="3280"/>
      <c r="AB1536" s="3280"/>
      <c r="AG1536" s="3865"/>
      <c r="AM1536" s="3041"/>
      <c r="BD1536" s="3280"/>
      <c r="BF1536" s="3041"/>
      <c r="BH1536" s="3282"/>
    </row>
    <row r="1537" spans="1:60" s="3030" customFormat="1">
      <c r="A1537" s="2126"/>
      <c r="B1537" s="2126"/>
      <c r="C1537" s="2126"/>
      <c r="D1537" s="2126"/>
      <c r="E1537" s="525"/>
      <c r="F1537" s="525"/>
      <c r="G1537" s="525"/>
      <c r="K1537" s="3280"/>
      <c r="AB1537" s="3280"/>
      <c r="AG1537" s="3865"/>
      <c r="AM1537" s="3041"/>
      <c r="BD1537" s="3280"/>
      <c r="BF1537" s="3041"/>
      <c r="BH1537" s="3282"/>
    </row>
    <row r="1538" spans="1:60" s="3030" customFormat="1">
      <c r="A1538" s="2126"/>
      <c r="B1538" s="2126"/>
      <c r="C1538" s="2126"/>
      <c r="D1538" s="2126"/>
      <c r="E1538" s="525"/>
      <c r="F1538" s="525"/>
      <c r="G1538" s="525"/>
      <c r="K1538" s="3280"/>
      <c r="AB1538" s="3280"/>
      <c r="AG1538" s="3865"/>
      <c r="AM1538" s="3041"/>
      <c r="BD1538" s="3280"/>
      <c r="BF1538" s="3041"/>
      <c r="BH1538" s="3282"/>
    </row>
    <row r="1539" spans="1:60" s="3030" customFormat="1">
      <c r="A1539" s="2126"/>
      <c r="B1539" s="2126"/>
      <c r="C1539" s="2126"/>
      <c r="D1539" s="2126"/>
      <c r="E1539" s="525"/>
      <c r="F1539" s="525"/>
      <c r="G1539" s="525"/>
      <c r="K1539" s="3280"/>
      <c r="AB1539" s="3280"/>
      <c r="AG1539" s="3865"/>
      <c r="AM1539" s="3041"/>
      <c r="BD1539" s="3280"/>
      <c r="BF1539" s="3041"/>
      <c r="BH1539" s="3282"/>
    </row>
    <row r="1540" spans="1:60" s="3030" customFormat="1">
      <c r="A1540" s="2126"/>
      <c r="B1540" s="2126"/>
      <c r="C1540" s="2126"/>
      <c r="D1540" s="2126"/>
      <c r="E1540" s="525"/>
      <c r="F1540" s="525"/>
      <c r="G1540" s="525"/>
      <c r="K1540" s="3280"/>
      <c r="AB1540" s="3280"/>
      <c r="AG1540" s="3865"/>
      <c r="AM1540" s="3041"/>
      <c r="BD1540" s="3280"/>
      <c r="BF1540" s="3041"/>
      <c r="BH1540" s="3282"/>
    </row>
    <row r="1541" spans="1:60" s="3030" customFormat="1">
      <c r="A1541" s="2126"/>
      <c r="B1541" s="2126"/>
      <c r="C1541" s="2126"/>
      <c r="D1541" s="2126"/>
      <c r="E1541" s="525"/>
      <c r="F1541" s="525"/>
      <c r="G1541" s="525"/>
      <c r="K1541" s="3280"/>
      <c r="AB1541" s="3280"/>
      <c r="AG1541" s="3865"/>
      <c r="AM1541" s="3041"/>
      <c r="BD1541" s="3280"/>
      <c r="BF1541" s="3041"/>
      <c r="BH1541" s="3282"/>
    </row>
    <row r="1542" spans="1:60" s="3030" customFormat="1">
      <c r="A1542" s="2126"/>
      <c r="B1542" s="2126"/>
      <c r="C1542" s="2126"/>
      <c r="D1542" s="2126"/>
      <c r="E1542" s="525"/>
      <c r="F1542" s="525"/>
      <c r="G1542" s="525"/>
      <c r="K1542" s="3280"/>
      <c r="AB1542" s="3280"/>
      <c r="AG1542" s="3865"/>
      <c r="AM1542" s="3041"/>
      <c r="BD1542" s="3280"/>
      <c r="BF1542" s="3041"/>
      <c r="BH1542" s="3282"/>
    </row>
    <row r="1543" spans="1:60" s="3030" customFormat="1">
      <c r="A1543" s="2126"/>
      <c r="B1543" s="2126"/>
      <c r="C1543" s="2126"/>
      <c r="D1543" s="2126"/>
      <c r="E1543" s="525"/>
      <c r="F1543" s="525"/>
      <c r="G1543" s="525"/>
      <c r="K1543" s="3280"/>
      <c r="AB1543" s="3280"/>
      <c r="AG1543" s="3865"/>
      <c r="AM1543" s="3041"/>
      <c r="BD1543" s="3280"/>
      <c r="BF1543" s="3041"/>
      <c r="BH1543" s="3282"/>
    </row>
    <row r="1544" spans="1:60" s="3030" customFormat="1">
      <c r="A1544" s="2126"/>
      <c r="B1544" s="2126"/>
      <c r="C1544" s="2126"/>
      <c r="D1544" s="2126"/>
      <c r="E1544" s="525"/>
      <c r="F1544" s="525"/>
      <c r="G1544" s="525"/>
      <c r="K1544" s="3280"/>
      <c r="AB1544" s="3280"/>
      <c r="AG1544" s="3865"/>
      <c r="AM1544" s="3041"/>
      <c r="BD1544" s="3280"/>
      <c r="BF1544" s="3041"/>
      <c r="BH1544" s="3282"/>
    </row>
    <row r="1545" spans="1:60" s="3030" customFormat="1">
      <c r="A1545" s="2126"/>
      <c r="B1545" s="2126"/>
      <c r="C1545" s="2126"/>
      <c r="D1545" s="2126"/>
      <c r="E1545" s="525"/>
      <c r="F1545" s="525"/>
      <c r="G1545" s="525"/>
      <c r="K1545" s="3280"/>
      <c r="AB1545" s="3280"/>
      <c r="AG1545" s="3865"/>
      <c r="AM1545" s="3041"/>
      <c r="BD1545" s="3280"/>
      <c r="BF1545" s="3041"/>
      <c r="BH1545" s="3282"/>
    </row>
    <row r="1546" spans="1:60" s="3030" customFormat="1">
      <c r="A1546" s="2126"/>
      <c r="B1546" s="2126"/>
      <c r="C1546" s="2126"/>
      <c r="D1546" s="2126"/>
      <c r="E1546" s="525"/>
      <c r="F1546" s="525"/>
      <c r="G1546" s="525"/>
      <c r="K1546" s="3280"/>
      <c r="AB1546" s="3280"/>
      <c r="AG1546" s="3865"/>
      <c r="AM1546" s="3041"/>
      <c r="BD1546" s="3280"/>
      <c r="BF1546" s="3041"/>
      <c r="BH1546" s="3282"/>
    </row>
    <row r="1547" spans="1:60" s="3030" customFormat="1">
      <c r="A1547" s="2126"/>
      <c r="B1547" s="2126"/>
      <c r="C1547" s="2126"/>
      <c r="D1547" s="2126"/>
      <c r="E1547" s="525"/>
      <c r="F1547" s="525"/>
      <c r="G1547" s="525"/>
      <c r="K1547" s="3280"/>
      <c r="AB1547" s="3280"/>
      <c r="AG1547" s="3865"/>
      <c r="AM1547" s="3041"/>
      <c r="BD1547" s="3280"/>
      <c r="BF1547" s="3041"/>
      <c r="BH1547" s="3282"/>
    </row>
    <row r="1548" spans="1:60" s="3030" customFormat="1">
      <c r="A1548" s="2126"/>
      <c r="B1548" s="2126"/>
      <c r="C1548" s="2126"/>
      <c r="D1548" s="2126"/>
      <c r="E1548" s="525"/>
      <c r="F1548" s="525"/>
      <c r="G1548" s="525"/>
      <c r="K1548" s="3280"/>
      <c r="AB1548" s="3280"/>
      <c r="AG1548" s="3865"/>
      <c r="AM1548" s="3041"/>
      <c r="BD1548" s="3280"/>
      <c r="BF1548" s="3041"/>
      <c r="BH1548" s="3282"/>
    </row>
    <row r="1549" spans="1:60" s="3030" customFormat="1">
      <c r="A1549" s="2126"/>
      <c r="B1549" s="2126"/>
      <c r="C1549" s="2126"/>
      <c r="D1549" s="2126"/>
      <c r="E1549" s="525"/>
      <c r="F1549" s="525"/>
      <c r="G1549" s="525"/>
      <c r="K1549" s="3280"/>
      <c r="AB1549" s="3280"/>
      <c r="AG1549" s="3865"/>
      <c r="AM1549" s="3041"/>
      <c r="BD1549" s="3280"/>
      <c r="BF1549" s="3041"/>
      <c r="BH1549" s="3282"/>
    </row>
    <row r="1550" spans="1:60" s="3030" customFormat="1">
      <c r="A1550" s="2126"/>
      <c r="B1550" s="2126"/>
      <c r="C1550" s="2126"/>
      <c r="D1550" s="2126"/>
      <c r="E1550" s="525"/>
      <c r="F1550" s="525"/>
      <c r="G1550" s="525"/>
      <c r="K1550" s="3280"/>
      <c r="AB1550" s="3280"/>
      <c r="AG1550" s="3865"/>
      <c r="AM1550" s="3041"/>
      <c r="BD1550" s="3280"/>
      <c r="BF1550" s="3041"/>
      <c r="BH1550" s="3282"/>
    </row>
    <row r="1551" spans="1:60" s="3030" customFormat="1">
      <c r="A1551" s="2126"/>
      <c r="B1551" s="2126"/>
      <c r="C1551" s="2126"/>
      <c r="D1551" s="2126"/>
      <c r="E1551" s="525"/>
      <c r="F1551" s="525"/>
      <c r="G1551" s="525"/>
      <c r="K1551" s="3280"/>
      <c r="AB1551" s="3280"/>
      <c r="AG1551" s="3865"/>
      <c r="AM1551" s="3041"/>
      <c r="BD1551" s="3280"/>
      <c r="BF1551" s="3041"/>
      <c r="BH1551" s="3282"/>
    </row>
    <row r="1552" spans="1:60" s="3030" customFormat="1">
      <c r="A1552" s="2126"/>
      <c r="B1552" s="2126"/>
      <c r="C1552" s="2126"/>
      <c r="D1552" s="2126"/>
      <c r="E1552" s="525"/>
      <c r="F1552" s="525"/>
      <c r="G1552" s="525"/>
      <c r="K1552" s="3280"/>
      <c r="AB1552" s="3280"/>
      <c r="AG1552" s="3865"/>
      <c r="AM1552" s="3041"/>
      <c r="BD1552" s="3280"/>
      <c r="BF1552" s="3041"/>
      <c r="BH1552" s="3282"/>
    </row>
    <row r="1553" spans="1:60" s="3030" customFormat="1">
      <c r="A1553" s="2126"/>
      <c r="B1553" s="2126"/>
      <c r="C1553" s="2126"/>
      <c r="D1553" s="2126"/>
      <c r="E1553" s="525"/>
      <c r="F1553" s="525"/>
      <c r="G1553" s="525"/>
      <c r="K1553" s="3280"/>
      <c r="AB1553" s="3280"/>
      <c r="AG1553" s="3865"/>
      <c r="AM1553" s="3041"/>
      <c r="BD1553" s="3280"/>
      <c r="BF1553" s="3041"/>
      <c r="BH1553" s="3282"/>
    </row>
    <row r="1554" spans="1:60" s="3030" customFormat="1">
      <c r="A1554" s="2126"/>
      <c r="B1554" s="2126"/>
      <c r="C1554" s="2126"/>
      <c r="D1554" s="2126"/>
      <c r="E1554" s="525"/>
      <c r="F1554" s="525"/>
      <c r="G1554" s="525"/>
      <c r="K1554" s="3280"/>
      <c r="AB1554" s="3280"/>
      <c r="AG1554" s="3865"/>
      <c r="AM1554" s="3041"/>
      <c r="BD1554" s="3280"/>
      <c r="BF1554" s="3041"/>
      <c r="BH1554" s="3282"/>
    </row>
    <row r="1555" spans="1:60" s="3030" customFormat="1">
      <c r="A1555" s="2126"/>
      <c r="B1555" s="2126"/>
      <c r="C1555" s="2126"/>
      <c r="D1555" s="2126"/>
      <c r="E1555" s="525"/>
      <c r="F1555" s="525"/>
      <c r="G1555" s="525"/>
      <c r="K1555" s="3280"/>
      <c r="AB1555" s="3280"/>
      <c r="AG1555" s="3865"/>
      <c r="AM1555" s="3041"/>
      <c r="BD1555" s="3280"/>
      <c r="BF1555" s="3041"/>
      <c r="BH1555" s="3282"/>
    </row>
    <row r="1556" spans="1:60" s="3030" customFormat="1">
      <c r="A1556" s="2126"/>
      <c r="B1556" s="2126"/>
      <c r="C1556" s="2126"/>
      <c r="D1556" s="2126"/>
      <c r="E1556" s="525"/>
      <c r="F1556" s="525"/>
      <c r="G1556" s="525"/>
      <c r="K1556" s="3280"/>
      <c r="AB1556" s="3280"/>
      <c r="AG1556" s="3865"/>
      <c r="AM1556" s="3041"/>
      <c r="BD1556" s="3280"/>
      <c r="BF1556" s="3041"/>
      <c r="BH1556" s="3282"/>
    </row>
    <row r="1557" spans="1:60" s="3030" customFormat="1">
      <c r="A1557" s="2126"/>
      <c r="B1557" s="2126"/>
      <c r="C1557" s="2126"/>
      <c r="D1557" s="2126"/>
      <c r="E1557" s="525"/>
      <c r="F1557" s="525"/>
      <c r="G1557" s="525"/>
      <c r="K1557" s="3280"/>
      <c r="AB1557" s="3280"/>
      <c r="AG1557" s="3865"/>
      <c r="AM1557" s="3041"/>
      <c r="BD1557" s="3280"/>
      <c r="BF1557" s="3041"/>
      <c r="BH1557" s="3282"/>
    </row>
    <row r="1558" spans="1:60" s="3030" customFormat="1">
      <c r="A1558" s="2126"/>
      <c r="B1558" s="2126"/>
      <c r="C1558" s="2126"/>
      <c r="D1558" s="2126"/>
      <c r="E1558" s="525"/>
      <c r="F1558" s="525"/>
      <c r="G1558" s="525"/>
      <c r="K1558" s="3280"/>
      <c r="AB1558" s="3280"/>
      <c r="AG1558" s="3865"/>
      <c r="AM1558" s="3041"/>
      <c r="BD1558" s="3280"/>
      <c r="BF1558" s="3041"/>
      <c r="BH1558" s="3282"/>
    </row>
    <row r="1559" spans="1:60" s="3030" customFormat="1">
      <c r="A1559" s="2126"/>
      <c r="B1559" s="2126"/>
      <c r="C1559" s="2126"/>
      <c r="D1559" s="2126"/>
      <c r="E1559" s="525"/>
      <c r="F1559" s="525"/>
      <c r="G1559" s="525"/>
      <c r="K1559" s="3280"/>
      <c r="AB1559" s="3280"/>
      <c r="AG1559" s="3865"/>
      <c r="AM1559" s="3041"/>
      <c r="BD1559" s="3280"/>
      <c r="BF1559" s="3041"/>
      <c r="BH1559" s="3282"/>
    </row>
    <row r="1560" spans="1:60" s="3030" customFormat="1">
      <c r="A1560" s="2126"/>
      <c r="B1560" s="2126"/>
      <c r="C1560" s="2126"/>
      <c r="D1560" s="2126"/>
      <c r="E1560" s="525"/>
      <c r="F1560" s="525"/>
      <c r="G1560" s="525"/>
      <c r="K1560" s="3280"/>
      <c r="AB1560" s="3280"/>
      <c r="AG1560" s="3865"/>
      <c r="AM1560" s="3041"/>
      <c r="BD1560" s="3280"/>
      <c r="BF1560" s="3041"/>
      <c r="BH1560" s="3282"/>
    </row>
    <row r="1561" spans="1:60" s="3030" customFormat="1">
      <c r="A1561" s="2126"/>
      <c r="B1561" s="2126"/>
      <c r="C1561" s="2126"/>
      <c r="D1561" s="2126"/>
      <c r="E1561" s="525"/>
      <c r="F1561" s="525"/>
      <c r="G1561" s="525"/>
      <c r="K1561" s="3280"/>
      <c r="AB1561" s="3280"/>
      <c r="AG1561" s="3865"/>
      <c r="AM1561" s="3041"/>
      <c r="BD1561" s="3280"/>
      <c r="BF1561" s="3041"/>
      <c r="BH1561" s="3282"/>
    </row>
    <row r="1562" spans="1:60" s="3030" customFormat="1">
      <c r="A1562" s="2126"/>
      <c r="B1562" s="2126"/>
      <c r="C1562" s="2126"/>
      <c r="D1562" s="2126"/>
      <c r="E1562" s="525"/>
      <c r="F1562" s="525"/>
      <c r="G1562" s="525"/>
      <c r="K1562" s="3280"/>
      <c r="AB1562" s="3280"/>
      <c r="AG1562" s="3865"/>
      <c r="AM1562" s="3041"/>
      <c r="BD1562" s="3280"/>
      <c r="BF1562" s="3041"/>
      <c r="BH1562" s="3282"/>
    </row>
    <row r="1563" spans="1:60" s="3030" customFormat="1">
      <c r="A1563" s="2126"/>
      <c r="B1563" s="2126"/>
      <c r="C1563" s="2126"/>
      <c r="D1563" s="2126"/>
      <c r="E1563" s="525"/>
      <c r="F1563" s="525"/>
      <c r="G1563" s="525"/>
      <c r="K1563" s="3280"/>
      <c r="AB1563" s="3280"/>
      <c r="AG1563" s="3865"/>
      <c r="AM1563" s="3041"/>
      <c r="BD1563" s="3280"/>
      <c r="BF1563" s="3041"/>
      <c r="BH1563" s="3282"/>
    </row>
    <row r="1564" spans="1:60" s="3030" customFormat="1">
      <c r="A1564" s="2126"/>
      <c r="B1564" s="2126"/>
      <c r="C1564" s="2126"/>
      <c r="D1564" s="2126"/>
      <c r="E1564" s="525"/>
      <c r="F1564" s="525"/>
      <c r="G1564" s="525"/>
      <c r="K1564" s="3280"/>
      <c r="AB1564" s="3280"/>
      <c r="AG1564" s="3865"/>
      <c r="AM1564" s="3041"/>
      <c r="BD1564" s="3280"/>
      <c r="BF1564" s="3041"/>
      <c r="BH1564" s="3282"/>
    </row>
    <row r="1565" spans="1:60" s="3030" customFormat="1">
      <c r="A1565" s="2126"/>
      <c r="B1565" s="2126"/>
      <c r="C1565" s="2126"/>
      <c r="D1565" s="2126"/>
      <c r="E1565" s="525"/>
      <c r="F1565" s="525"/>
      <c r="G1565" s="525"/>
      <c r="K1565" s="3280"/>
      <c r="AB1565" s="3280"/>
      <c r="AG1565" s="3865"/>
      <c r="AM1565" s="3041"/>
      <c r="BD1565" s="3280"/>
      <c r="BF1565" s="3041"/>
      <c r="BH1565" s="3282"/>
    </row>
    <row r="1566" spans="1:60" s="3030" customFormat="1">
      <c r="A1566" s="2126"/>
      <c r="B1566" s="2126"/>
      <c r="C1566" s="2126"/>
      <c r="D1566" s="2126"/>
      <c r="E1566" s="525"/>
      <c r="F1566" s="525"/>
      <c r="G1566" s="525"/>
      <c r="K1566" s="3280"/>
      <c r="AB1566" s="3280"/>
      <c r="AG1566" s="3865"/>
      <c r="AM1566" s="3041"/>
      <c r="BD1566" s="3280"/>
      <c r="BF1566" s="3041"/>
      <c r="BH1566" s="3282"/>
    </row>
    <row r="1567" spans="1:60" s="3030" customFormat="1">
      <c r="A1567" s="2126"/>
      <c r="B1567" s="2126"/>
      <c r="C1567" s="2126"/>
      <c r="D1567" s="2126"/>
      <c r="E1567" s="525"/>
      <c r="F1567" s="525"/>
      <c r="G1567" s="525"/>
      <c r="K1567" s="3280"/>
      <c r="AB1567" s="3280"/>
      <c r="AG1567" s="3865"/>
      <c r="AM1567" s="3041"/>
      <c r="BD1567" s="3280"/>
      <c r="BF1567" s="3041"/>
      <c r="BH1567" s="3282"/>
    </row>
    <row r="1568" spans="1:60" s="3030" customFormat="1">
      <c r="A1568" s="2126"/>
      <c r="B1568" s="2126"/>
      <c r="C1568" s="2126"/>
      <c r="D1568" s="2126"/>
      <c r="E1568" s="525"/>
      <c r="F1568" s="525"/>
      <c r="G1568" s="525"/>
      <c r="K1568" s="3280"/>
      <c r="AB1568" s="3280"/>
      <c r="AG1568" s="3865"/>
      <c r="AM1568" s="3041"/>
      <c r="BD1568" s="3280"/>
      <c r="BF1568" s="3041"/>
      <c r="BH1568" s="3282"/>
    </row>
    <row r="1569" spans="1:60" s="3030" customFormat="1">
      <c r="A1569" s="2126"/>
      <c r="B1569" s="2126"/>
      <c r="C1569" s="2126"/>
      <c r="D1569" s="2126"/>
      <c r="E1569" s="525"/>
      <c r="F1569" s="525"/>
      <c r="G1569" s="525"/>
      <c r="K1569" s="3280"/>
      <c r="AB1569" s="3280"/>
      <c r="AG1569" s="3865"/>
      <c r="AM1569" s="3041"/>
      <c r="BD1569" s="3280"/>
      <c r="BF1569" s="3041"/>
      <c r="BH1569" s="3282"/>
    </row>
    <row r="1570" spans="1:60" s="3030" customFormat="1">
      <c r="A1570" s="2126"/>
      <c r="B1570" s="2126"/>
      <c r="C1570" s="2126"/>
      <c r="D1570" s="2126"/>
      <c r="E1570" s="525"/>
      <c r="F1570" s="525"/>
      <c r="G1570" s="525"/>
      <c r="K1570" s="3280"/>
      <c r="AB1570" s="3280"/>
      <c r="AG1570" s="3865"/>
      <c r="AM1570" s="3041"/>
      <c r="BD1570" s="3280"/>
      <c r="BF1570" s="3041"/>
      <c r="BH1570" s="3282"/>
    </row>
    <row r="1571" spans="1:60" s="3030" customFormat="1">
      <c r="A1571" s="2126"/>
      <c r="B1571" s="2126"/>
      <c r="C1571" s="2126"/>
      <c r="D1571" s="2126"/>
      <c r="E1571" s="525"/>
      <c r="F1571" s="525"/>
      <c r="G1571" s="525"/>
      <c r="K1571" s="3280"/>
      <c r="AB1571" s="3280"/>
      <c r="AG1571" s="3865"/>
      <c r="AM1571" s="3041"/>
      <c r="BD1571" s="3280"/>
      <c r="BF1571" s="3041"/>
      <c r="BH1571" s="3282"/>
    </row>
    <row r="1572" spans="1:60" s="3030" customFormat="1">
      <c r="A1572" s="2126"/>
      <c r="B1572" s="2126"/>
      <c r="C1572" s="2126"/>
      <c r="D1572" s="2126"/>
      <c r="E1572" s="525"/>
      <c r="F1572" s="525"/>
      <c r="G1572" s="525"/>
      <c r="K1572" s="3280"/>
      <c r="AB1572" s="3280"/>
      <c r="AG1572" s="3865"/>
      <c r="AM1572" s="3041"/>
      <c r="BD1572" s="3280"/>
      <c r="BF1572" s="3041"/>
      <c r="BH1572" s="3282"/>
    </row>
    <row r="1573" spans="1:60" s="3030" customFormat="1">
      <c r="A1573" s="2126"/>
      <c r="B1573" s="2126"/>
      <c r="C1573" s="2126"/>
      <c r="D1573" s="2126"/>
      <c r="E1573" s="525"/>
      <c r="F1573" s="525"/>
      <c r="G1573" s="525"/>
      <c r="K1573" s="3280"/>
      <c r="AB1573" s="3280"/>
      <c r="AG1573" s="3865"/>
      <c r="AM1573" s="3041"/>
      <c r="BD1573" s="3280"/>
      <c r="BF1573" s="3041"/>
      <c r="BH1573" s="3282"/>
    </row>
    <row r="1574" spans="1:60" s="3030" customFormat="1">
      <c r="A1574" s="2126"/>
      <c r="B1574" s="2126"/>
      <c r="C1574" s="2126"/>
      <c r="D1574" s="2126"/>
      <c r="E1574" s="525"/>
      <c r="F1574" s="525"/>
      <c r="G1574" s="525"/>
      <c r="K1574" s="3280"/>
      <c r="AB1574" s="3280"/>
      <c r="AG1574" s="3865"/>
      <c r="AM1574" s="3041"/>
      <c r="BD1574" s="3280"/>
      <c r="BF1574" s="3041"/>
      <c r="BH1574" s="3282"/>
    </row>
    <row r="1575" spans="1:60" s="3030" customFormat="1">
      <c r="A1575" s="2126"/>
      <c r="B1575" s="2126"/>
      <c r="C1575" s="2126"/>
      <c r="D1575" s="2126"/>
      <c r="E1575" s="525"/>
      <c r="F1575" s="525"/>
      <c r="G1575" s="525"/>
      <c r="K1575" s="3280"/>
      <c r="AB1575" s="3280"/>
      <c r="AG1575" s="3865"/>
      <c r="AM1575" s="3041"/>
      <c r="BD1575" s="3280"/>
      <c r="BF1575" s="3041"/>
      <c r="BH1575" s="3282"/>
    </row>
    <row r="1576" spans="1:60" s="3030" customFormat="1">
      <c r="A1576" s="2126"/>
      <c r="B1576" s="2126"/>
      <c r="C1576" s="2126"/>
      <c r="D1576" s="2126"/>
      <c r="E1576" s="525"/>
      <c r="F1576" s="525"/>
      <c r="G1576" s="525"/>
      <c r="K1576" s="3280"/>
      <c r="AB1576" s="3280"/>
      <c r="AG1576" s="3865"/>
      <c r="AM1576" s="3041"/>
      <c r="BD1576" s="3280"/>
      <c r="BF1576" s="3041"/>
      <c r="BH1576" s="3282"/>
    </row>
    <row r="1577" spans="1:60" s="3030" customFormat="1">
      <c r="A1577" s="2126"/>
      <c r="B1577" s="2126"/>
      <c r="C1577" s="2126"/>
      <c r="D1577" s="2126"/>
      <c r="E1577" s="525"/>
      <c r="F1577" s="525"/>
      <c r="G1577" s="525"/>
      <c r="K1577" s="3280"/>
      <c r="AB1577" s="3280"/>
      <c r="AG1577" s="3865"/>
      <c r="AM1577" s="3041"/>
      <c r="BD1577" s="3280"/>
      <c r="BF1577" s="3041"/>
      <c r="BH1577" s="3282"/>
    </row>
    <row r="1578" spans="1:60" s="3030" customFormat="1">
      <c r="A1578" s="2126"/>
      <c r="B1578" s="2126"/>
      <c r="C1578" s="2126"/>
      <c r="D1578" s="2126"/>
      <c r="E1578" s="525"/>
      <c r="F1578" s="525"/>
      <c r="G1578" s="525"/>
      <c r="K1578" s="3280"/>
      <c r="AB1578" s="3280"/>
      <c r="AG1578" s="3865"/>
      <c r="AM1578" s="3041"/>
      <c r="BD1578" s="3280"/>
      <c r="BF1578" s="3041"/>
      <c r="BH1578" s="3282"/>
    </row>
    <row r="1579" spans="1:60" s="3030" customFormat="1">
      <c r="A1579" s="2126"/>
      <c r="B1579" s="2126"/>
      <c r="C1579" s="2126"/>
      <c r="D1579" s="2126"/>
      <c r="E1579" s="525"/>
      <c r="F1579" s="525"/>
      <c r="G1579" s="525"/>
      <c r="K1579" s="3280"/>
      <c r="AB1579" s="3280"/>
      <c r="AG1579" s="3865"/>
      <c r="AM1579" s="3041"/>
      <c r="BD1579" s="3280"/>
      <c r="BF1579" s="3041"/>
      <c r="BH1579" s="3282"/>
    </row>
    <row r="1580" spans="1:60" s="3030" customFormat="1">
      <c r="A1580" s="2126"/>
      <c r="B1580" s="2126"/>
      <c r="C1580" s="2126"/>
      <c r="D1580" s="2126"/>
      <c r="E1580" s="525"/>
      <c r="F1580" s="525"/>
      <c r="G1580" s="525"/>
      <c r="K1580" s="3280"/>
      <c r="AB1580" s="3280"/>
      <c r="AG1580" s="3865"/>
      <c r="AM1580" s="3041"/>
      <c r="BD1580" s="3280"/>
      <c r="BF1580" s="3041"/>
      <c r="BH1580" s="3282"/>
    </row>
    <row r="1581" spans="1:60" s="3030" customFormat="1">
      <c r="A1581" s="2126"/>
      <c r="B1581" s="2126"/>
      <c r="C1581" s="2126"/>
      <c r="D1581" s="2126"/>
      <c r="E1581" s="525"/>
      <c r="F1581" s="525"/>
      <c r="G1581" s="525"/>
      <c r="K1581" s="3280"/>
      <c r="AB1581" s="3280"/>
      <c r="AG1581" s="3865"/>
      <c r="AM1581" s="3041"/>
      <c r="BD1581" s="3280"/>
      <c r="BF1581" s="3041"/>
      <c r="BH1581" s="3282"/>
    </row>
    <row r="1582" spans="1:60" s="3030" customFormat="1">
      <c r="A1582" s="2126"/>
      <c r="B1582" s="2126"/>
      <c r="C1582" s="2126"/>
      <c r="D1582" s="2126"/>
      <c r="E1582" s="525"/>
      <c r="F1582" s="525"/>
      <c r="G1582" s="525"/>
      <c r="K1582" s="3280"/>
      <c r="AB1582" s="3280"/>
      <c r="AG1582" s="3865"/>
      <c r="AM1582" s="3041"/>
      <c r="BD1582" s="3280"/>
      <c r="BF1582" s="3041"/>
      <c r="BH1582" s="3282"/>
    </row>
    <row r="1583" spans="1:60" s="3030" customFormat="1">
      <c r="A1583" s="2126"/>
      <c r="B1583" s="2126"/>
      <c r="C1583" s="2126"/>
      <c r="D1583" s="2126"/>
      <c r="E1583" s="525"/>
      <c r="F1583" s="525"/>
      <c r="G1583" s="525"/>
      <c r="K1583" s="3280"/>
      <c r="AB1583" s="3280"/>
      <c r="AG1583" s="3865"/>
      <c r="AM1583" s="3041"/>
      <c r="BD1583" s="3280"/>
      <c r="BF1583" s="3041"/>
      <c r="BH1583" s="3282"/>
    </row>
    <row r="1584" spans="1:60" s="3030" customFormat="1">
      <c r="A1584" s="2126"/>
      <c r="B1584" s="2126"/>
      <c r="C1584" s="2126"/>
      <c r="D1584" s="2126"/>
      <c r="E1584" s="525"/>
      <c r="F1584" s="525"/>
      <c r="G1584" s="525"/>
      <c r="K1584" s="3280"/>
      <c r="AB1584" s="3280"/>
      <c r="AG1584" s="3865"/>
      <c r="AM1584" s="3041"/>
      <c r="BD1584" s="3280"/>
      <c r="BF1584" s="3041"/>
      <c r="BH1584" s="3282"/>
    </row>
    <row r="1585" spans="1:60" s="3030" customFormat="1">
      <c r="A1585" s="2126"/>
      <c r="B1585" s="2126"/>
      <c r="C1585" s="2126"/>
      <c r="D1585" s="2126"/>
      <c r="E1585" s="525"/>
      <c r="F1585" s="525"/>
      <c r="G1585" s="525"/>
      <c r="K1585" s="3280"/>
      <c r="AB1585" s="3280"/>
      <c r="AG1585" s="3865"/>
      <c r="AM1585" s="3041"/>
      <c r="BD1585" s="3280"/>
      <c r="BF1585" s="3041"/>
      <c r="BH1585" s="3282"/>
    </row>
    <row r="1586" spans="1:60" s="3030" customFormat="1">
      <c r="A1586" s="2126"/>
      <c r="B1586" s="2126"/>
      <c r="C1586" s="2126"/>
      <c r="D1586" s="2126"/>
      <c r="E1586" s="525"/>
      <c r="F1586" s="525"/>
      <c r="G1586" s="525"/>
      <c r="K1586" s="3280"/>
      <c r="AB1586" s="3280"/>
      <c r="AG1586" s="3865"/>
      <c r="AM1586" s="3041"/>
      <c r="BD1586" s="3280"/>
      <c r="BF1586" s="3041"/>
      <c r="BH1586" s="3282"/>
    </row>
    <row r="1587" spans="1:60" s="3030" customFormat="1">
      <c r="A1587" s="2126"/>
      <c r="B1587" s="2126"/>
      <c r="C1587" s="2126"/>
      <c r="D1587" s="2126"/>
      <c r="E1587" s="525"/>
      <c r="F1587" s="525"/>
      <c r="G1587" s="525"/>
      <c r="K1587" s="3280"/>
      <c r="AB1587" s="3280"/>
      <c r="AG1587" s="3865"/>
      <c r="AM1587" s="3041"/>
      <c r="BD1587" s="3280"/>
      <c r="BF1587" s="3041"/>
      <c r="BH1587" s="3282"/>
    </row>
    <row r="1588" spans="1:60" s="3030" customFormat="1">
      <c r="A1588" s="2126"/>
      <c r="B1588" s="2126"/>
      <c r="C1588" s="2126"/>
      <c r="D1588" s="2126"/>
      <c r="E1588" s="525"/>
      <c r="F1588" s="525"/>
      <c r="G1588" s="525"/>
      <c r="K1588" s="3280"/>
      <c r="AB1588" s="3280"/>
      <c r="AG1588" s="3865"/>
      <c r="AM1588" s="3041"/>
      <c r="BD1588" s="3280"/>
      <c r="BF1588" s="3041"/>
      <c r="BH1588" s="3282"/>
    </row>
    <row r="1589" spans="1:60" s="3030" customFormat="1">
      <c r="A1589" s="2126"/>
      <c r="B1589" s="2126"/>
      <c r="C1589" s="2126"/>
      <c r="D1589" s="2126"/>
      <c r="E1589" s="525"/>
      <c r="F1589" s="525"/>
      <c r="G1589" s="525"/>
      <c r="K1589" s="3280"/>
      <c r="AB1589" s="3280"/>
      <c r="AG1589" s="3865"/>
      <c r="AM1589" s="3041"/>
      <c r="BD1589" s="3280"/>
      <c r="BF1589" s="3041"/>
      <c r="BH1589" s="3282"/>
    </row>
    <row r="1590" spans="1:60" s="3030" customFormat="1">
      <c r="A1590" s="2126"/>
      <c r="B1590" s="2126"/>
      <c r="C1590" s="2126"/>
      <c r="D1590" s="2126"/>
      <c r="E1590" s="525"/>
      <c r="F1590" s="525"/>
      <c r="G1590" s="525"/>
      <c r="K1590" s="3280"/>
      <c r="AB1590" s="3280"/>
      <c r="AG1590" s="3865"/>
      <c r="AM1590" s="3041"/>
      <c r="BD1590" s="3280"/>
      <c r="BF1590" s="3041"/>
      <c r="BH1590" s="3282"/>
    </row>
    <row r="1591" spans="1:60" s="3030" customFormat="1">
      <c r="A1591" s="2126"/>
      <c r="B1591" s="2126"/>
      <c r="C1591" s="2126"/>
      <c r="D1591" s="2126"/>
      <c r="E1591" s="525"/>
      <c r="F1591" s="525"/>
      <c r="G1591" s="525"/>
      <c r="K1591" s="3280"/>
      <c r="AB1591" s="3280"/>
      <c r="AG1591" s="3865"/>
      <c r="AM1591" s="3041"/>
      <c r="BD1591" s="3280"/>
      <c r="BF1591" s="3041"/>
      <c r="BH1591" s="3282"/>
    </row>
    <row r="1592" spans="1:60" s="3030" customFormat="1">
      <c r="A1592" s="2126"/>
      <c r="B1592" s="2126"/>
      <c r="C1592" s="2126"/>
      <c r="D1592" s="2126"/>
      <c r="E1592" s="525"/>
      <c r="F1592" s="525"/>
      <c r="G1592" s="525"/>
      <c r="K1592" s="3280"/>
      <c r="AB1592" s="3280"/>
      <c r="AG1592" s="3865"/>
      <c r="AM1592" s="3041"/>
      <c r="BD1592" s="3280"/>
      <c r="BF1592" s="3041"/>
      <c r="BH1592" s="3282"/>
    </row>
    <row r="1593" spans="1:60" s="3030" customFormat="1">
      <c r="A1593" s="2126"/>
      <c r="B1593" s="2126"/>
      <c r="C1593" s="2126"/>
      <c r="D1593" s="2126"/>
      <c r="E1593" s="525"/>
      <c r="F1593" s="525"/>
      <c r="G1593" s="525"/>
      <c r="K1593" s="3280"/>
      <c r="AB1593" s="3280"/>
      <c r="AG1593" s="3865"/>
      <c r="AM1593" s="3041"/>
      <c r="BD1593" s="3280"/>
      <c r="BF1593" s="3041"/>
      <c r="BH1593" s="3282"/>
    </row>
    <row r="1594" spans="1:60" s="3030" customFormat="1">
      <c r="A1594" s="2126"/>
      <c r="B1594" s="2126"/>
      <c r="C1594" s="2126"/>
      <c r="D1594" s="2126"/>
      <c r="E1594" s="525"/>
      <c r="F1594" s="525"/>
      <c r="G1594" s="525"/>
      <c r="K1594" s="3280"/>
      <c r="AB1594" s="3280"/>
      <c r="AG1594" s="3865"/>
      <c r="AM1594" s="3041"/>
      <c r="BD1594" s="3280"/>
      <c r="BF1594" s="3041"/>
      <c r="BH1594" s="3282"/>
    </row>
    <row r="1595" spans="1:60" s="3030" customFormat="1">
      <c r="A1595" s="2126"/>
      <c r="B1595" s="2126"/>
      <c r="C1595" s="2126"/>
      <c r="D1595" s="2126"/>
      <c r="E1595" s="525"/>
      <c r="F1595" s="525"/>
      <c r="G1595" s="525"/>
      <c r="K1595" s="3280"/>
      <c r="AB1595" s="3280"/>
      <c r="AG1595" s="3865"/>
      <c r="AM1595" s="3041"/>
      <c r="BD1595" s="3280"/>
      <c r="BF1595" s="3041"/>
      <c r="BH1595" s="3282"/>
    </row>
    <row r="1596" spans="1:60" s="3030" customFormat="1">
      <c r="A1596" s="2126"/>
      <c r="B1596" s="2126"/>
      <c r="C1596" s="2126"/>
      <c r="D1596" s="2126"/>
      <c r="E1596" s="525"/>
      <c r="F1596" s="525"/>
      <c r="G1596" s="525"/>
      <c r="K1596" s="3280"/>
      <c r="AB1596" s="3280"/>
      <c r="AG1596" s="3865"/>
      <c r="AM1596" s="3041"/>
      <c r="BD1596" s="3280"/>
      <c r="BF1596" s="3041"/>
      <c r="BH1596" s="3282"/>
    </row>
    <row r="1597" spans="1:60" s="3030" customFormat="1">
      <c r="A1597" s="2126"/>
      <c r="B1597" s="2126"/>
      <c r="C1597" s="2126"/>
      <c r="D1597" s="2126"/>
      <c r="E1597" s="525"/>
      <c r="F1597" s="525"/>
      <c r="G1597" s="525"/>
      <c r="K1597" s="3280"/>
      <c r="AB1597" s="3280"/>
      <c r="AG1597" s="3865"/>
      <c r="AM1597" s="3041"/>
      <c r="BD1597" s="3280"/>
      <c r="BF1597" s="3041"/>
      <c r="BH1597" s="3282"/>
    </row>
    <row r="1598" spans="1:60" s="3030" customFormat="1">
      <c r="A1598" s="2126"/>
      <c r="B1598" s="2126"/>
      <c r="C1598" s="2126"/>
      <c r="D1598" s="2126"/>
      <c r="E1598" s="525"/>
      <c r="F1598" s="525"/>
      <c r="G1598" s="525"/>
      <c r="K1598" s="3280"/>
      <c r="AB1598" s="3280"/>
      <c r="AG1598" s="3865"/>
      <c r="AM1598" s="3041"/>
      <c r="BD1598" s="3280"/>
      <c r="BF1598" s="3041"/>
      <c r="BH1598" s="3282"/>
    </row>
    <row r="1599" spans="1:60" s="3030" customFormat="1">
      <c r="A1599" s="2126"/>
      <c r="B1599" s="2126"/>
      <c r="C1599" s="2126"/>
      <c r="D1599" s="2126"/>
      <c r="E1599" s="525"/>
      <c r="F1599" s="525"/>
      <c r="G1599" s="525"/>
      <c r="K1599" s="3280"/>
      <c r="AB1599" s="3280"/>
      <c r="AG1599" s="3865"/>
      <c r="AM1599" s="3041"/>
      <c r="BD1599" s="3280"/>
      <c r="BF1599" s="3041"/>
      <c r="BH1599" s="3282"/>
    </row>
    <row r="1600" spans="1:60" s="3030" customFormat="1">
      <c r="A1600" s="2126"/>
      <c r="B1600" s="2126"/>
      <c r="C1600" s="2126"/>
      <c r="D1600" s="2126"/>
      <c r="E1600" s="525"/>
      <c r="F1600" s="525"/>
      <c r="G1600" s="525"/>
      <c r="K1600" s="3280"/>
      <c r="AB1600" s="3280"/>
      <c r="AG1600" s="3865"/>
      <c r="AM1600" s="3041"/>
      <c r="BD1600" s="3280"/>
      <c r="BF1600" s="3041"/>
      <c r="BH1600" s="3282"/>
    </row>
    <row r="1601" spans="1:60" s="3030" customFormat="1">
      <c r="A1601" s="2126"/>
      <c r="B1601" s="2126"/>
      <c r="C1601" s="2126"/>
      <c r="D1601" s="2126"/>
      <c r="E1601" s="525"/>
      <c r="F1601" s="525"/>
      <c r="G1601" s="525"/>
      <c r="K1601" s="3280"/>
      <c r="AB1601" s="3280"/>
      <c r="AG1601" s="3865"/>
      <c r="AM1601" s="3041"/>
      <c r="BD1601" s="3280"/>
      <c r="BF1601" s="3041"/>
      <c r="BH1601" s="3282"/>
    </row>
    <row r="1602" spans="1:60" s="3030" customFormat="1">
      <c r="A1602" s="2126"/>
      <c r="B1602" s="2126"/>
      <c r="C1602" s="2126"/>
      <c r="D1602" s="2126"/>
      <c r="E1602" s="525"/>
      <c r="F1602" s="525"/>
      <c r="G1602" s="525"/>
      <c r="K1602" s="3280"/>
      <c r="AB1602" s="3280"/>
      <c r="AG1602" s="3865"/>
      <c r="AM1602" s="3041"/>
      <c r="BD1602" s="3280"/>
      <c r="BF1602" s="3041"/>
      <c r="BH1602" s="3282"/>
    </row>
    <row r="1603" spans="1:60" s="3030" customFormat="1">
      <c r="A1603" s="2126"/>
      <c r="B1603" s="2126"/>
      <c r="C1603" s="2126"/>
      <c r="D1603" s="2126"/>
      <c r="E1603" s="525"/>
      <c r="F1603" s="525"/>
      <c r="G1603" s="525"/>
      <c r="K1603" s="3280"/>
      <c r="AB1603" s="3280"/>
      <c r="AG1603" s="3865"/>
      <c r="AM1603" s="3041"/>
      <c r="BD1603" s="3280"/>
      <c r="BF1603" s="3041"/>
      <c r="BH1603" s="3282"/>
    </row>
    <row r="1604" spans="1:60" s="3030" customFormat="1">
      <c r="A1604" s="2126"/>
      <c r="B1604" s="2126"/>
      <c r="C1604" s="2126"/>
      <c r="D1604" s="2126"/>
      <c r="E1604" s="525"/>
      <c r="F1604" s="525"/>
      <c r="G1604" s="525"/>
      <c r="K1604" s="3280"/>
      <c r="AB1604" s="3280"/>
      <c r="AG1604" s="3865"/>
      <c r="AM1604" s="3041"/>
      <c r="BD1604" s="3280"/>
      <c r="BF1604" s="3041"/>
      <c r="BH1604" s="3282"/>
    </row>
    <row r="1605" spans="1:60" s="3030" customFormat="1">
      <c r="A1605" s="2126"/>
      <c r="B1605" s="2126"/>
      <c r="C1605" s="2126"/>
      <c r="D1605" s="2126"/>
      <c r="E1605" s="525"/>
      <c r="F1605" s="525"/>
      <c r="G1605" s="525"/>
      <c r="K1605" s="3280"/>
      <c r="AB1605" s="3280"/>
      <c r="AG1605" s="3865"/>
      <c r="AM1605" s="3041"/>
      <c r="BD1605" s="3280"/>
      <c r="BF1605" s="3041"/>
      <c r="BH1605" s="3282"/>
    </row>
    <row r="1606" spans="1:60" s="3030" customFormat="1">
      <c r="A1606" s="2126"/>
      <c r="B1606" s="2126"/>
      <c r="C1606" s="2126"/>
      <c r="D1606" s="2126"/>
      <c r="E1606" s="525"/>
      <c r="F1606" s="525"/>
      <c r="G1606" s="525"/>
      <c r="K1606" s="3280"/>
      <c r="AB1606" s="3280"/>
      <c r="AG1606" s="3865"/>
      <c r="AM1606" s="3041"/>
      <c r="BD1606" s="3280"/>
      <c r="BF1606" s="3041"/>
      <c r="BH1606" s="3282"/>
    </row>
    <row r="1607" spans="1:60" s="3030" customFormat="1">
      <c r="A1607" s="2126"/>
      <c r="B1607" s="2126"/>
      <c r="C1607" s="2126"/>
      <c r="D1607" s="2126"/>
      <c r="E1607" s="525"/>
      <c r="F1607" s="525"/>
      <c r="G1607" s="525"/>
      <c r="K1607" s="3280"/>
      <c r="AB1607" s="3280"/>
      <c r="AG1607" s="3865"/>
      <c r="AM1607" s="3041"/>
      <c r="BD1607" s="3280"/>
      <c r="BF1607" s="3041"/>
      <c r="BH1607" s="3282"/>
    </row>
    <row r="1608" spans="1:60" s="3030" customFormat="1">
      <c r="A1608" s="2126"/>
      <c r="B1608" s="2126"/>
      <c r="C1608" s="2126"/>
      <c r="D1608" s="2126"/>
      <c r="E1608" s="525"/>
      <c r="F1608" s="525"/>
      <c r="G1608" s="525"/>
      <c r="K1608" s="3280"/>
      <c r="AB1608" s="3280"/>
      <c r="AG1608" s="3865"/>
      <c r="AM1608" s="3041"/>
      <c r="BD1608" s="3280"/>
      <c r="BF1608" s="3041"/>
      <c r="BH1608" s="3282"/>
    </row>
    <row r="1609" spans="1:60" s="3030" customFormat="1">
      <c r="A1609" s="2126"/>
      <c r="B1609" s="2126"/>
      <c r="C1609" s="2126"/>
      <c r="D1609" s="2126"/>
      <c r="E1609" s="525"/>
      <c r="F1609" s="525"/>
      <c r="G1609" s="525"/>
      <c r="K1609" s="3280"/>
      <c r="AB1609" s="3280"/>
      <c r="AG1609" s="3865"/>
      <c r="AM1609" s="3041"/>
      <c r="BD1609" s="3280"/>
      <c r="BF1609" s="3041"/>
      <c r="BH1609" s="3282"/>
    </row>
    <row r="1610" spans="1:60" s="3030" customFormat="1">
      <c r="A1610" s="2126"/>
      <c r="B1610" s="2126"/>
      <c r="C1610" s="2126"/>
      <c r="D1610" s="2126"/>
      <c r="E1610" s="525"/>
      <c r="F1610" s="525"/>
      <c r="G1610" s="525"/>
      <c r="K1610" s="3280"/>
      <c r="AB1610" s="3280"/>
      <c r="AG1610" s="3865"/>
      <c r="AM1610" s="3041"/>
      <c r="BD1610" s="3280"/>
      <c r="BF1610" s="3041"/>
      <c r="BH1610" s="3282"/>
    </row>
    <row r="1611" spans="1:60" s="3030" customFormat="1">
      <c r="A1611" s="2126"/>
      <c r="B1611" s="2126"/>
      <c r="C1611" s="2126"/>
      <c r="D1611" s="2126"/>
      <c r="E1611" s="525"/>
      <c r="F1611" s="525"/>
      <c r="G1611" s="525"/>
      <c r="K1611" s="3280"/>
      <c r="AB1611" s="3280"/>
      <c r="AG1611" s="3865"/>
      <c r="AM1611" s="3041"/>
      <c r="BD1611" s="3280"/>
      <c r="BF1611" s="3041"/>
      <c r="BH1611" s="3282"/>
    </row>
    <row r="1612" spans="1:60" s="3030" customFormat="1">
      <c r="A1612" s="2126"/>
      <c r="B1612" s="2126"/>
      <c r="C1612" s="2126"/>
      <c r="D1612" s="2126"/>
      <c r="E1612" s="525"/>
      <c r="F1612" s="525"/>
      <c r="G1612" s="525"/>
      <c r="K1612" s="3280"/>
      <c r="AB1612" s="3280"/>
      <c r="AG1612" s="3865"/>
      <c r="AM1612" s="3041"/>
      <c r="BD1612" s="3280"/>
      <c r="BF1612" s="3041"/>
      <c r="BH1612" s="3282"/>
    </row>
    <row r="1613" spans="1:60" s="3030" customFormat="1">
      <c r="A1613" s="2126"/>
      <c r="B1613" s="2126"/>
      <c r="C1613" s="2126"/>
      <c r="D1613" s="2126"/>
      <c r="E1613" s="525"/>
      <c r="F1613" s="525"/>
      <c r="G1613" s="525"/>
      <c r="K1613" s="3280"/>
      <c r="AB1613" s="3280"/>
      <c r="AG1613" s="3865"/>
      <c r="AM1613" s="3041"/>
      <c r="BD1613" s="3280"/>
      <c r="BF1613" s="3041"/>
      <c r="BH1613" s="3282"/>
    </row>
    <row r="1614" spans="1:60" s="3030" customFormat="1">
      <c r="A1614" s="2126"/>
      <c r="B1614" s="2126"/>
      <c r="C1614" s="2126"/>
      <c r="D1614" s="2126"/>
      <c r="E1614" s="525"/>
      <c r="F1614" s="525"/>
      <c r="G1614" s="525"/>
      <c r="K1614" s="3280"/>
      <c r="AB1614" s="3280"/>
      <c r="AG1614" s="3865"/>
      <c r="AM1614" s="3041"/>
      <c r="BD1614" s="3280"/>
      <c r="BF1614" s="3041"/>
      <c r="BH1614" s="3282"/>
    </row>
    <row r="1615" spans="1:60" s="3030" customFormat="1">
      <c r="A1615" s="2126"/>
      <c r="B1615" s="2126"/>
      <c r="C1615" s="2126"/>
      <c r="D1615" s="2126"/>
      <c r="E1615" s="525"/>
      <c r="F1615" s="525"/>
      <c r="G1615" s="525"/>
      <c r="K1615" s="3280"/>
      <c r="AB1615" s="3280"/>
      <c r="AG1615" s="3865"/>
      <c r="AM1615" s="3041"/>
      <c r="BD1615" s="3280"/>
      <c r="BF1615" s="3041"/>
      <c r="BH1615" s="3282"/>
    </row>
    <row r="1616" spans="1:60" s="3030" customFormat="1">
      <c r="A1616" s="2126"/>
      <c r="B1616" s="2126"/>
      <c r="C1616" s="2126"/>
      <c r="D1616" s="2126"/>
      <c r="E1616" s="525"/>
      <c r="F1616" s="525"/>
      <c r="G1616" s="525"/>
      <c r="K1616" s="3280"/>
      <c r="AB1616" s="3280"/>
      <c r="AG1616" s="3865"/>
      <c r="AM1616" s="3041"/>
      <c r="BD1616" s="3280"/>
      <c r="BF1616" s="3041"/>
      <c r="BH1616" s="3282"/>
    </row>
    <row r="1617" spans="1:60" s="3030" customFormat="1">
      <c r="A1617" s="2126"/>
      <c r="B1617" s="2126"/>
      <c r="C1617" s="2126"/>
      <c r="D1617" s="2126"/>
      <c r="E1617" s="525"/>
      <c r="F1617" s="525"/>
      <c r="G1617" s="525"/>
      <c r="K1617" s="3280"/>
      <c r="AB1617" s="3280"/>
      <c r="AG1617" s="3865"/>
      <c r="AM1617" s="3041"/>
      <c r="BD1617" s="3280"/>
      <c r="BF1617" s="3041"/>
      <c r="BH1617" s="3282"/>
    </row>
    <row r="1618" spans="1:60" s="3030" customFormat="1">
      <c r="A1618" s="2126"/>
      <c r="B1618" s="2126"/>
      <c r="C1618" s="2126"/>
      <c r="D1618" s="2126"/>
      <c r="E1618" s="525"/>
      <c r="F1618" s="525"/>
      <c r="G1618" s="525"/>
      <c r="K1618" s="3280"/>
      <c r="AB1618" s="3280"/>
      <c r="AG1618" s="3865"/>
      <c r="AM1618" s="3041"/>
      <c r="BD1618" s="3280"/>
      <c r="BF1618" s="3041"/>
      <c r="BH1618" s="3282"/>
    </row>
    <row r="1619" spans="1:60" s="3030" customFormat="1">
      <c r="A1619" s="2126"/>
      <c r="B1619" s="2126"/>
      <c r="C1619" s="2126"/>
      <c r="D1619" s="2126"/>
      <c r="E1619" s="525"/>
      <c r="F1619" s="525"/>
      <c r="G1619" s="525"/>
      <c r="K1619" s="3280"/>
      <c r="AB1619" s="3280"/>
      <c r="AG1619" s="3865"/>
      <c r="AM1619" s="3041"/>
      <c r="BD1619" s="3280"/>
      <c r="BF1619" s="3041"/>
      <c r="BH1619" s="3282"/>
    </row>
    <row r="1620" spans="1:60" s="3030" customFormat="1">
      <c r="A1620" s="2126"/>
      <c r="B1620" s="2126"/>
      <c r="C1620" s="2126"/>
      <c r="D1620" s="2126"/>
      <c r="E1620" s="525"/>
      <c r="F1620" s="525"/>
      <c r="G1620" s="525"/>
      <c r="K1620" s="3280"/>
      <c r="AB1620" s="3280"/>
      <c r="AG1620" s="3865"/>
      <c r="AM1620" s="3041"/>
      <c r="BD1620" s="3280"/>
      <c r="BF1620" s="3041"/>
      <c r="BH1620" s="3282"/>
    </row>
    <row r="1621" spans="1:60" s="3030" customFormat="1">
      <c r="A1621" s="2126"/>
      <c r="B1621" s="2126"/>
      <c r="C1621" s="2126"/>
      <c r="D1621" s="2126"/>
      <c r="E1621" s="525"/>
      <c r="F1621" s="525"/>
      <c r="G1621" s="525"/>
      <c r="K1621" s="3280"/>
      <c r="AB1621" s="3280"/>
      <c r="AG1621" s="3865"/>
      <c r="AM1621" s="3041"/>
      <c r="BD1621" s="3280"/>
      <c r="BF1621" s="3041"/>
      <c r="BH1621" s="3282"/>
    </row>
    <row r="1622" spans="1:60" s="3030" customFormat="1">
      <c r="A1622" s="2126"/>
      <c r="B1622" s="2126"/>
      <c r="C1622" s="2126"/>
      <c r="D1622" s="2126"/>
      <c r="E1622" s="525"/>
      <c r="F1622" s="525"/>
      <c r="G1622" s="525"/>
      <c r="K1622" s="3280"/>
      <c r="AB1622" s="3280"/>
      <c r="AG1622" s="3865"/>
      <c r="AM1622" s="3041"/>
      <c r="BD1622" s="3280"/>
      <c r="BF1622" s="3041"/>
      <c r="BH1622" s="3282"/>
    </row>
    <row r="1623" spans="1:60" s="3030" customFormat="1">
      <c r="A1623" s="2126"/>
      <c r="B1623" s="2126"/>
      <c r="C1623" s="2126"/>
      <c r="D1623" s="2126"/>
      <c r="E1623" s="525"/>
      <c r="F1623" s="525"/>
      <c r="G1623" s="525"/>
      <c r="K1623" s="3280"/>
      <c r="AB1623" s="3280"/>
      <c r="AG1623" s="3865"/>
      <c r="AM1623" s="3041"/>
      <c r="BD1623" s="3280"/>
      <c r="BF1623" s="3041"/>
      <c r="BH1623" s="3282"/>
    </row>
    <row r="1624" spans="1:60" s="3030" customFormat="1">
      <c r="A1624" s="2126"/>
      <c r="B1624" s="2126"/>
      <c r="C1624" s="2126"/>
      <c r="D1624" s="2126"/>
      <c r="E1624" s="525"/>
      <c r="F1624" s="525"/>
      <c r="G1624" s="525"/>
      <c r="K1624" s="3280"/>
      <c r="AB1624" s="3280"/>
      <c r="AG1624" s="3865"/>
      <c r="AM1624" s="3041"/>
      <c r="BD1624" s="3280"/>
      <c r="BF1624" s="3041"/>
      <c r="BH1624" s="3282"/>
    </row>
    <row r="1625" spans="1:60" s="3030" customFormat="1">
      <c r="A1625" s="2126"/>
      <c r="B1625" s="2126"/>
      <c r="C1625" s="2126"/>
      <c r="D1625" s="2126"/>
      <c r="E1625" s="525"/>
      <c r="F1625" s="525"/>
      <c r="G1625" s="525"/>
      <c r="K1625" s="3280"/>
      <c r="AB1625" s="3280"/>
      <c r="AG1625" s="3865"/>
      <c r="AM1625" s="3041"/>
      <c r="BD1625" s="3280"/>
      <c r="BF1625" s="3041"/>
      <c r="BH1625" s="3282"/>
    </row>
    <row r="1626" spans="1:60" s="3030" customFormat="1">
      <c r="A1626" s="2126"/>
      <c r="B1626" s="2126"/>
      <c r="C1626" s="2126"/>
      <c r="D1626" s="2126"/>
      <c r="E1626" s="525"/>
      <c r="F1626" s="525"/>
      <c r="G1626" s="525"/>
      <c r="K1626" s="3280"/>
      <c r="AB1626" s="3280"/>
      <c r="AG1626" s="3865"/>
      <c r="AM1626" s="3041"/>
      <c r="BD1626" s="3280"/>
      <c r="BF1626" s="3041"/>
      <c r="BH1626" s="3282"/>
    </row>
    <row r="1627" spans="1:60" s="3030" customFormat="1">
      <c r="A1627" s="2126"/>
      <c r="B1627" s="2126"/>
      <c r="C1627" s="2126"/>
      <c r="D1627" s="2126"/>
      <c r="E1627" s="525"/>
      <c r="F1627" s="525"/>
      <c r="G1627" s="525"/>
      <c r="K1627" s="3280"/>
      <c r="AB1627" s="3280"/>
      <c r="AG1627" s="3865"/>
      <c r="AM1627" s="3041"/>
      <c r="BD1627" s="3280"/>
      <c r="BF1627" s="3041"/>
      <c r="BH1627" s="3282"/>
    </row>
    <row r="1628" spans="1:60" s="3030" customFormat="1">
      <c r="A1628" s="2126"/>
      <c r="B1628" s="2126"/>
      <c r="C1628" s="2126"/>
      <c r="D1628" s="2126"/>
      <c r="E1628" s="525"/>
      <c r="F1628" s="525"/>
      <c r="G1628" s="525"/>
      <c r="K1628" s="3280"/>
      <c r="AB1628" s="3280"/>
      <c r="AG1628" s="3865"/>
      <c r="AM1628" s="3041"/>
      <c r="BD1628" s="3280"/>
      <c r="BF1628" s="3041"/>
      <c r="BH1628" s="3282"/>
    </row>
    <row r="1629" spans="1:60" s="3030" customFormat="1">
      <c r="A1629" s="2126"/>
      <c r="B1629" s="2126"/>
      <c r="C1629" s="2126"/>
      <c r="D1629" s="2126"/>
      <c r="E1629" s="525"/>
      <c r="F1629" s="525"/>
      <c r="G1629" s="525"/>
      <c r="K1629" s="3280"/>
      <c r="AB1629" s="3280"/>
      <c r="AG1629" s="3865"/>
      <c r="AM1629" s="3041"/>
      <c r="BD1629" s="3280"/>
      <c r="BF1629" s="3041"/>
      <c r="BH1629" s="3282"/>
    </row>
    <row r="1630" spans="1:60" s="3030" customFormat="1">
      <c r="A1630" s="2126"/>
      <c r="B1630" s="2126"/>
      <c r="C1630" s="2126"/>
      <c r="D1630" s="2126"/>
      <c r="E1630" s="525"/>
      <c r="F1630" s="525"/>
      <c r="G1630" s="525"/>
      <c r="K1630" s="3280"/>
      <c r="AB1630" s="3280"/>
      <c r="AG1630" s="3865"/>
      <c r="AM1630" s="3041"/>
      <c r="BD1630" s="3280"/>
      <c r="BF1630" s="3041"/>
      <c r="BH1630" s="3282"/>
    </row>
    <row r="1631" spans="1:60" s="3030" customFormat="1">
      <c r="A1631" s="2126"/>
      <c r="B1631" s="2126"/>
      <c r="C1631" s="2126"/>
      <c r="D1631" s="2126"/>
      <c r="E1631" s="525"/>
      <c r="F1631" s="525"/>
      <c r="G1631" s="525"/>
      <c r="K1631" s="3280"/>
      <c r="AB1631" s="3280"/>
      <c r="AG1631" s="3865"/>
      <c r="AM1631" s="3041"/>
      <c r="BD1631" s="3280"/>
      <c r="BF1631" s="3041"/>
      <c r="BH1631" s="3282"/>
    </row>
    <row r="1632" spans="1:60" s="3030" customFormat="1">
      <c r="A1632" s="2126"/>
      <c r="B1632" s="2126"/>
      <c r="C1632" s="2126"/>
      <c r="D1632" s="2126"/>
      <c r="E1632" s="525"/>
      <c r="F1632" s="525"/>
      <c r="G1632" s="525"/>
      <c r="K1632" s="3280"/>
      <c r="AB1632" s="3280"/>
      <c r="AG1632" s="3865"/>
      <c r="AM1632" s="3041"/>
      <c r="BD1632" s="3280"/>
      <c r="BF1632" s="3041"/>
      <c r="BH1632" s="3282"/>
    </row>
    <row r="1633" spans="1:60" s="3030" customFormat="1">
      <c r="A1633" s="2126"/>
      <c r="B1633" s="2126"/>
      <c r="C1633" s="2126"/>
      <c r="D1633" s="2126"/>
      <c r="E1633" s="525"/>
      <c r="F1633" s="525"/>
      <c r="G1633" s="525"/>
      <c r="K1633" s="3280"/>
      <c r="AB1633" s="3280"/>
      <c r="AG1633" s="3865"/>
      <c r="AM1633" s="3041"/>
      <c r="BD1633" s="3280"/>
      <c r="BF1633" s="3041"/>
      <c r="BH1633" s="3282"/>
    </row>
    <row r="1634" spans="1:60" s="3030" customFormat="1">
      <c r="A1634" s="2126"/>
      <c r="B1634" s="2126"/>
      <c r="C1634" s="2126"/>
      <c r="D1634" s="2126"/>
      <c r="E1634" s="525"/>
      <c r="F1634" s="525"/>
      <c r="G1634" s="525"/>
      <c r="K1634" s="3280"/>
      <c r="AB1634" s="3280"/>
      <c r="AG1634" s="3865"/>
      <c r="AM1634" s="3041"/>
      <c r="BD1634" s="3280"/>
      <c r="BF1634" s="3041"/>
      <c r="BH1634" s="3282"/>
    </row>
    <row r="1635" spans="1:60" s="3030" customFormat="1">
      <c r="A1635" s="2126"/>
      <c r="B1635" s="2126"/>
      <c r="C1635" s="2126"/>
      <c r="D1635" s="2126"/>
      <c r="E1635" s="525"/>
      <c r="F1635" s="525"/>
      <c r="G1635" s="525"/>
      <c r="K1635" s="3280"/>
      <c r="AB1635" s="3280"/>
      <c r="AG1635" s="3865"/>
      <c r="AM1635" s="3041"/>
      <c r="BD1635" s="3280"/>
      <c r="BF1635" s="3041"/>
      <c r="BH1635" s="3282"/>
    </row>
    <row r="1636" spans="1:60" s="3030" customFormat="1">
      <c r="A1636" s="2126"/>
      <c r="B1636" s="2126"/>
      <c r="C1636" s="2126"/>
      <c r="D1636" s="2126"/>
      <c r="E1636" s="525"/>
      <c r="F1636" s="525"/>
      <c r="G1636" s="525"/>
      <c r="K1636" s="3280"/>
      <c r="AB1636" s="3280"/>
      <c r="AG1636" s="3865"/>
      <c r="AM1636" s="3041"/>
      <c r="BD1636" s="3280"/>
      <c r="BF1636" s="3041"/>
      <c r="BH1636" s="3282"/>
    </row>
    <row r="1637" spans="1:60" s="3030" customFormat="1">
      <c r="A1637" s="2126"/>
      <c r="B1637" s="2126"/>
      <c r="C1637" s="2126"/>
      <c r="D1637" s="2126"/>
      <c r="E1637" s="525"/>
      <c r="F1637" s="525"/>
      <c r="G1637" s="525"/>
      <c r="K1637" s="3280"/>
      <c r="AB1637" s="3280"/>
      <c r="AG1637" s="3865"/>
      <c r="AM1637" s="3041"/>
      <c r="BD1637" s="3280"/>
      <c r="BF1637" s="3041"/>
      <c r="BH1637" s="3282"/>
    </row>
    <row r="1638" spans="1:60" s="3030" customFormat="1">
      <c r="A1638" s="2126"/>
      <c r="B1638" s="2126"/>
      <c r="C1638" s="2126"/>
      <c r="D1638" s="2126"/>
      <c r="E1638" s="525"/>
      <c r="F1638" s="525"/>
      <c r="G1638" s="525"/>
      <c r="K1638" s="3280"/>
      <c r="AB1638" s="3280"/>
      <c r="AG1638" s="3865"/>
      <c r="AM1638" s="3041"/>
      <c r="BD1638" s="3280"/>
      <c r="BF1638" s="3041"/>
      <c r="BH1638" s="3282"/>
    </row>
    <row r="1639" spans="1:60" s="3030" customFormat="1">
      <c r="A1639" s="2126"/>
      <c r="B1639" s="2126"/>
      <c r="C1639" s="2126"/>
      <c r="D1639" s="2126"/>
      <c r="E1639" s="525"/>
      <c r="F1639" s="525"/>
      <c r="G1639" s="525"/>
      <c r="K1639" s="3280"/>
      <c r="AB1639" s="3280"/>
      <c r="AG1639" s="3865"/>
      <c r="AM1639" s="3041"/>
      <c r="BD1639" s="3280"/>
      <c r="BF1639" s="3041"/>
      <c r="BH1639" s="3282"/>
    </row>
    <row r="1640" spans="1:60" s="3030" customFormat="1">
      <c r="A1640" s="2126"/>
      <c r="B1640" s="2126"/>
      <c r="C1640" s="2126"/>
      <c r="D1640" s="2126"/>
      <c r="E1640" s="525"/>
      <c r="F1640" s="525"/>
      <c r="G1640" s="525"/>
      <c r="K1640" s="3280"/>
      <c r="AB1640" s="3280"/>
      <c r="AG1640" s="3865"/>
      <c r="AM1640" s="3041"/>
      <c r="BD1640" s="3280"/>
      <c r="BF1640" s="3041"/>
      <c r="BH1640" s="3282"/>
    </row>
    <row r="1641" spans="1:60" s="3030" customFormat="1">
      <c r="A1641" s="2126"/>
      <c r="B1641" s="2126"/>
      <c r="C1641" s="2126"/>
      <c r="D1641" s="2126"/>
      <c r="E1641" s="525"/>
      <c r="F1641" s="525"/>
      <c r="G1641" s="525"/>
      <c r="K1641" s="3280"/>
      <c r="AB1641" s="3280"/>
      <c r="AG1641" s="3865"/>
      <c r="AM1641" s="3041"/>
      <c r="BD1641" s="3280"/>
      <c r="BF1641" s="3041"/>
      <c r="BH1641" s="3282"/>
    </row>
    <row r="1642" spans="1:60" s="3030" customFormat="1">
      <c r="A1642" s="2126"/>
      <c r="B1642" s="2126"/>
      <c r="C1642" s="2126"/>
      <c r="D1642" s="2126"/>
      <c r="E1642" s="525"/>
      <c r="F1642" s="525"/>
      <c r="G1642" s="525"/>
      <c r="K1642" s="3280"/>
      <c r="AB1642" s="3280"/>
      <c r="AG1642" s="3865"/>
      <c r="AM1642" s="3041"/>
      <c r="BD1642" s="3280"/>
      <c r="BF1642" s="3041"/>
      <c r="BH1642" s="3282"/>
    </row>
    <row r="1643" spans="1:60" s="3030" customFormat="1">
      <c r="A1643" s="2126"/>
      <c r="B1643" s="2126"/>
      <c r="C1643" s="2126"/>
      <c r="D1643" s="2126"/>
      <c r="E1643" s="525"/>
      <c r="F1643" s="525"/>
      <c r="G1643" s="525"/>
      <c r="K1643" s="3280"/>
      <c r="AB1643" s="3280"/>
      <c r="AG1643" s="3865"/>
      <c r="AM1643" s="3041"/>
      <c r="BD1643" s="3280"/>
      <c r="BF1643" s="3041"/>
      <c r="BH1643" s="3282"/>
    </row>
    <row r="1644" spans="1:60" s="3030" customFormat="1">
      <c r="A1644" s="2126"/>
      <c r="B1644" s="2126"/>
      <c r="C1644" s="2126"/>
      <c r="D1644" s="2126"/>
      <c r="E1644" s="525"/>
      <c r="F1644" s="525"/>
      <c r="G1644" s="525"/>
      <c r="K1644" s="3280"/>
      <c r="AB1644" s="3280"/>
      <c r="AG1644" s="3865"/>
      <c r="AM1644" s="3041"/>
      <c r="BD1644" s="3280"/>
      <c r="BF1644" s="3041"/>
      <c r="BH1644" s="3282"/>
    </row>
    <row r="1645" spans="1:60" s="3030" customFormat="1">
      <c r="A1645" s="2126"/>
      <c r="B1645" s="2126"/>
      <c r="C1645" s="2126"/>
      <c r="D1645" s="2126"/>
      <c r="E1645" s="525"/>
      <c r="F1645" s="525"/>
      <c r="G1645" s="525"/>
      <c r="K1645" s="3280"/>
      <c r="AB1645" s="3280"/>
      <c r="AG1645" s="3865"/>
      <c r="AM1645" s="3041"/>
      <c r="BD1645" s="3280"/>
      <c r="BF1645" s="3041"/>
      <c r="BH1645" s="3282"/>
    </row>
    <row r="1646" spans="1:60" s="3030" customFormat="1">
      <c r="A1646" s="2126"/>
      <c r="B1646" s="2126"/>
      <c r="C1646" s="2126"/>
      <c r="D1646" s="2126"/>
      <c r="E1646" s="525"/>
      <c r="F1646" s="525"/>
      <c r="G1646" s="525"/>
      <c r="K1646" s="3280"/>
      <c r="AB1646" s="3280"/>
      <c r="AG1646" s="3865"/>
      <c r="AM1646" s="3041"/>
      <c r="BD1646" s="3280"/>
      <c r="BF1646" s="3041"/>
      <c r="BH1646" s="3282"/>
    </row>
    <row r="1647" spans="1:60" s="3030" customFormat="1">
      <c r="A1647" s="2126"/>
      <c r="B1647" s="2126"/>
      <c r="C1647" s="2126"/>
      <c r="D1647" s="2126"/>
      <c r="E1647" s="525"/>
      <c r="F1647" s="525"/>
      <c r="G1647" s="525"/>
      <c r="K1647" s="3280"/>
      <c r="AB1647" s="3280"/>
      <c r="AG1647" s="3865"/>
      <c r="AM1647" s="3041"/>
      <c r="BD1647" s="3280"/>
      <c r="BF1647" s="3041"/>
      <c r="BH1647" s="3282"/>
    </row>
    <row r="1648" spans="1:60" s="3030" customFormat="1">
      <c r="A1648" s="2126"/>
      <c r="B1648" s="2126"/>
      <c r="C1648" s="2126"/>
      <c r="D1648" s="2126"/>
      <c r="E1648" s="525"/>
      <c r="F1648" s="525"/>
      <c r="G1648" s="525"/>
      <c r="K1648" s="3280"/>
      <c r="AB1648" s="3280"/>
      <c r="AG1648" s="3865"/>
      <c r="AM1648" s="3041"/>
      <c r="BD1648" s="3280"/>
      <c r="BF1648" s="3041"/>
      <c r="BH1648" s="3282"/>
    </row>
    <row r="1649" spans="1:60" s="3030" customFormat="1">
      <c r="A1649" s="2126"/>
      <c r="B1649" s="2126"/>
      <c r="C1649" s="2126"/>
      <c r="D1649" s="2126"/>
      <c r="E1649" s="525"/>
      <c r="F1649" s="525"/>
      <c r="G1649" s="525"/>
      <c r="K1649" s="3280"/>
      <c r="AB1649" s="3280"/>
      <c r="AG1649" s="3865"/>
      <c r="AM1649" s="3041"/>
      <c r="BD1649" s="3280"/>
      <c r="BF1649" s="3041"/>
      <c r="BH1649" s="3282"/>
    </row>
    <row r="1650" spans="1:60" s="3030" customFormat="1">
      <c r="A1650" s="2126"/>
      <c r="B1650" s="2126"/>
      <c r="C1650" s="2126"/>
      <c r="D1650" s="2126"/>
      <c r="E1650" s="525"/>
      <c r="F1650" s="525"/>
      <c r="G1650" s="525"/>
      <c r="K1650" s="3280"/>
      <c r="AB1650" s="3280"/>
      <c r="AG1650" s="3865"/>
      <c r="AM1650" s="3041"/>
      <c r="BD1650" s="3280"/>
      <c r="BF1650" s="3041"/>
      <c r="BH1650" s="3282"/>
    </row>
    <row r="1651" spans="1:60" s="3030" customFormat="1">
      <c r="A1651" s="2126"/>
      <c r="B1651" s="2126"/>
      <c r="C1651" s="2126"/>
      <c r="D1651" s="2126"/>
      <c r="E1651" s="525"/>
      <c r="F1651" s="525"/>
      <c r="G1651" s="525"/>
      <c r="K1651" s="3280"/>
      <c r="AB1651" s="3280"/>
      <c r="AG1651" s="3865"/>
      <c r="AM1651" s="3041"/>
      <c r="BD1651" s="3280"/>
      <c r="BF1651" s="3041"/>
      <c r="BH1651" s="3282"/>
    </row>
    <row r="1652" spans="1:60" s="3030" customFormat="1">
      <c r="A1652" s="2126"/>
      <c r="B1652" s="2126"/>
      <c r="C1652" s="2126"/>
      <c r="D1652" s="2126"/>
      <c r="E1652" s="525"/>
      <c r="F1652" s="525"/>
      <c r="G1652" s="525"/>
      <c r="K1652" s="3280"/>
      <c r="AB1652" s="3280"/>
      <c r="AG1652" s="3865"/>
      <c r="AM1652" s="3041"/>
      <c r="BD1652" s="3280"/>
      <c r="BF1652" s="3041"/>
      <c r="BH1652" s="3282"/>
    </row>
    <row r="1653" spans="1:60" s="3030" customFormat="1">
      <c r="A1653" s="2126"/>
      <c r="B1653" s="2126"/>
      <c r="C1653" s="2126"/>
      <c r="D1653" s="2126"/>
      <c r="E1653" s="525"/>
      <c r="F1653" s="525"/>
      <c r="G1653" s="525"/>
      <c r="K1653" s="3280"/>
      <c r="AB1653" s="3280"/>
      <c r="AG1653" s="3865"/>
      <c r="AM1653" s="3041"/>
      <c r="BD1653" s="3280"/>
      <c r="BF1653" s="3041"/>
      <c r="BH1653" s="3282"/>
    </row>
    <row r="1654" spans="1:60" s="3030" customFormat="1">
      <c r="A1654" s="2126"/>
      <c r="B1654" s="2126"/>
      <c r="C1654" s="2126"/>
      <c r="D1654" s="2126"/>
      <c r="E1654" s="525"/>
      <c r="F1654" s="525"/>
      <c r="G1654" s="525"/>
      <c r="K1654" s="3280"/>
      <c r="AB1654" s="3280"/>
      <c r="AG1654" s="3865"/>
      <c r="AM1654" s="3041"/>
      <c r="BD1654" s="3280"/>
      <c r="BF1654" s="3041"/>
      <c r="BH1654" s="3282"/>
    </row>
    <row r="1655" spans="1:60" s="3030" customFormat="1">
      <c r="A1655" s="2126"/>
      <c r="B1655" s="2126"/>
      <c r="C1655" s="2126"/>
      <c r="D1655" s="2126"/>
      <c r="E1655" s="525"/>
      <c r="F1655" s="525"/>
      <c r="G1655" s="525"/>
      <c r="K1655" s="3280"/>
      <c r="AB1655" s="3280"/>
      <c r="AG1655" s="3865"/>
      <c r="AM1655" s="3041"/>
      <c r="BD1655" s="3280"/>
      <c r="BF1655" s="3041"/>
      <c r="BH1655" s="3282"/>
    </row>
    <row r="1656" spans="1:60" s="3030" customFormat="1">
      <c r="A1656" s="2126"/>
      <c r="B1656" s="2126"/>
      <c r="C1656" s="2126"/>
      <c r="D1656" s="2126"/>
      <c r="E1656" s="525"/>
      <c r="F1656" s="525"/>
      <c r="G1656" s="525"/>
      <c r="K1656" s="3280"/>
      <c r="AB1656" s="3280"/>
      <c r="AG1656" s="3865"/>
      <c r="AM1656" s="3041"/>
      <c r="BD1656" s="3280"/>
      <c r="BF1656" s="3041"/>
      <c r="BH1656" s="3282"/>
    </row>
    <row r="1657" spans="1:60" s="3030" customFormat="1">
      <c r="A1657" s="2126"/>
      <c r="B1657" s="2126"/>
      <c r="C1657" s="2126"/>
      <c r="D1657" s="2126"/>
      <c r="E1657" s="525"/>
      <c r="F1657" s="525"/>
      <c r="G1657" s="525"/>
      <c r="K1657" s="3280"/>
      <c r="AB1657" s="3280"/>
      <c r="AG1657" s="3865"/>
      <c r="AM1657" s="3041"/>
      <c r="BD1657" s="3280"/>
      <c r="BF1657" s="3041"/>
      <c r="BH1657" s="3282"/>
    </row>
    <row r="1658" spans="1:60" s="3030" customFormat="1">
      <c r="A1658" s="2126"/>
      <c r="B1658" s="2126"/>
      <c r="C1658" s="2126"/>
      <c r="D1658" s="2126"/>
      <c r="E1658" s="525"/>
      <c r="F1658" s="525"/>
      <c r="G1658" s="525"/>
      <c r="K1658" s="3280"/>
      <c r="AB1658" s="3280"/>
      <c r="AG1658" s="3865"/>
      <c r="AM1658" s="3041"/>
      <c r="BD1658" s="3280"/>
      <c r="BF1658" s="3041"/>
      <c r="BH1658" s="3282"/>
    </row>
    <row r="1659" spans="1:60" s="3030" customFormat="1">
      <c r="A1659" s="2126"/>
      <c r="B1659" s="2126"/>
      <c r="C1659" s="2126"/>
      <c r="D1659" s="2126"/>
      <c r="E1659" s="525"/>
      <c r="F1659" s="525"/>
      <c r="G1659" s="525"/>
      <c r="K1659" s="3280"/>
      <c r="AB1659" s="3280"/>
      <c r="AG1659" s="3865"/>
      <c r="AM1659" s="3041"/>
      <c r="BD1659" s="3280"/>
      <c r="BF1659" s="3041"/>
      <c r="BH1659" s="3282"/>
    </row>
    <row r="1660" spans="1:60" s="3030" customFormat="1">
      <c r="A1660" s="2126"/>
      <c r="B1660" s="2126"/>
      <c r="C1660" s="2126"/>
      <c r="D1660" s="2126"/>
      <c r="E1660" s="525"/>
      <c r="F1660" s="525"/>
      <c r="G1660" s="525"/>
      <c r="K1660" s="3280"/>
      <c r="AB1660" s="3280"/>
      <c r="AG1660" s="3865"/>
      <c r="AM1660" s="3041"/>
      <c r="BD1660" s="3280"/>
      <c r="BF1660" s="3041"/>
      <c r="BH1660" s="3282"/>
    </row>
    <row r="1661" spans="1:60" s="3030" customFormat="1">
      <c r="A1661" s="2126"/>
      <c r="B1661" s="2126"/>
      <c r="C1661" s="2126"/>
      <c r="D1661" s="2126"/>
      <c r="E1661" s="525"/>
      <c r="F1661" s="525"/>
      <c r="G1661" s="525"/>
      <c r="K1661" s="3280"/>
      <c r="AB1661" s="3280"/>
      <c r="AG1661" s="3865"/>
      <c r="AM1661" s="3041"/>
      <c r="BD1661" s="3280"/>
      <c r="BF1661" s="3041"/>
      <c r="BH1661" s="3282"/>
    </row>
    <row r="1662" spans="1:60" s="3030" customFormat="1">
      <c r="A1662" s="2126"/>
      <c r="B1662" s="2126"/>
      <c r="C1662" s="2126"/>
      <c r="D1662" s="2126"/>
      <c r="E1662" s="525"/>
      <c r="F1662" s="525"/>
      <c r="G1662" s="525"/>
      <c r="K1662" s="3280"/>
      <c r="AB1662" s="3280"/>
      <c r="AG1662" s="3865"/>
      <c r="AM1662" s="3041"/>
      <c r="BD1662" s="3280"/>
      <c r="BF1662" s="3041"/>
      <c r="BH1662" s="3282"/>
    </row>
    <row r="1663" spans="1:60" s="3030" customFormat="1">
      <c r="A1663" s="2126"/>
      <c r="B1663" s="2126"/>
      <c r="C1663" s="2126"/>
      <c r="D1663" s="2126"/>
      <c r="E1663" s="525"/>
      <c r="F1663" s="525"/>
      <c r="G1663" s="525"/>
      <c r="K1663" s="3280"/>
      <c r="AB1663" s="3280"/>
      <c r="AG1663" s="3865"/>
      <c r="AM1663" s="3041"/>
      <c r="BD1663" s="3280"/>
      <c r="BF1663" s="3041"/>
      <c r="BH1663" s="3282"/>
    </row>
    <row r="1664" spans="1:60" s="3030" customFormat="1">
      <c r="A1664" s="2126"/>
      <c r="B1664" s="2126"/>
      <c r="C1664" s="2126"/>
      <c r="D1664" s="2126"/>
      <c r="E1664" s="525"/>
      <c r="F1664" s="525"/>
      <c r="G1664" s="525"/>
      <c r="K1664" s="3280"/>
      <c r="AB1664" s="3280"/>
      <c r="AG1664" s="3865"/>
      <c r="AM1664" s="3041"/>
      <c r="BD1664" s="3280"/>
      <c r="BF1664" s="3041"/>
      <c r="BH1664" s="3282"/>
    </row>
    <row r="1665" spans="1:60" s="3030" customFormat="1">
      <c r="A1665" s="2126"/>
      <c r="B1665" s="2126"/>
      <c r="C1665" s="2126"/>
      <c r="D1665" s="2126"/>
      <c r="E1665" s="525"/>
      <c r="F1665" s="525"/>
      <c r="G1665" s="525"/>
      <c r="K1665" s="3280"/>
      <c r="AB1665" s="3280"/>
      <c r="AG1665" s="3865"/>
      <c r="AM1665" s="3041"/>
      <c r="BD1665" s="3280"/>
      <c r="BF1665" s="3041"/>
      <c r="BH1665" s="3282"/>
    </row>
    <row r="1666" spans="1:60" s="3030" customFormat="1">
      <c r="A1666" s="2126"/>
      <c r="B1666" s="2126"/>
      <c r="C1666" s="2126"/>
      <c r="D1666" s="2126"/>
      <c r="E1666" s="525"/>
      <c r="F1666" s="525"/>
      <c r="G1666" s="525"/>
      <c r="K1666" s="3280"/>
      <c r="AB1666" s="3280"/>
      <c r="AG1666" s="3865"/>
      <c r="AM1666" s="3041"/>
      <c r="BD1666" s="3280"/>
      <c r="BF1666" s="3041"/>
      <c r="BH1666" s="3282"/>
    </row>
    <row r="1667" spans="1:60" s="3030" customFormat="1">
      <c r="A1667" s="2126"/>
      <c r="B1667" s="2126"/>
      <c r="C1667" s="2126"/>
      <c r="D1667" s="2126"/>
      <c r="E1667" s="525"/>
      <c r="F1667" s="525"/>
      <c r="G1667" s="525"/>
      <c r="K1667" s="3280"/>
      <c r="AB1667" s="3280"/>
      <c r="AG1667" s="3865"/>
      <c r="AM1667" s="3041"/>
      <c r="BD1667" s="3280"/>
      <c r="BF1667" s="3041"/>
      <c r="BH1667" s="3282"/>
    </row>
    <row r="1668" spans="1:60" s="3030" customFormat="1">
      <c r="A1668" s="2126"/>
      <c r="B1668" s="2126"/>
      <c r="C1668" s="2126"/>
      <c r="D1668" s="2126"/>
      <c r="E1668" s="525"/>
      <c r="F1668" s="525"/>
      <c r="G1668" s="525"/>
      <c r="K1668" s="3280"/>
      <c r="AB1668" s="3280"/>
      <c r="AG1668" s="3865"/>
      <c r="AM1668" s="3041"/>
      <c r="BD1668" s="3280"/>
      <c r="BF1668" s="3041"/>
      <c r="BH1668" s="3282"/>
    </row>
    <row r="1669" spans="1:60" s="3030" customFormat="1">
      <c r="A1669" s="2126"/>
      <c r="B1669" s="2126"/>
      <c r="C1669" s="2126"/>
      <c r="D1669" s="2126"/>
      <c r="E1669" s="525"/>
      <c r="F1669" s="525"/>
      <c r="G1669" s="525"/>
      <c r="K1669" s="3280"/>
      <c r="AB1669" s="3280"/>
      <c r="AG1669" s="3865"/>
      <c r="AM1669" s="3041"/>
      <c r="BD1669" s="3280"/>
      <c r="BF1669" s="3041"/>
      <c r="BH1669" s="3282"/>
    </row>
    <row r="1670" spans="1:60" s="3030" customFormat="1">
      <c r="A1670" s="2126"/>
      <c r="B1670" s="2126"/>
      <c r="C1670" s="2126"/>
      <c r="D1670" s="2126"/>
      <c r="E1670" s="525"/>
      <c r="F1670" s="525"/>
      <c r="G1670" s="525"/>
      <c r="K1670" s="3280"/>
      <c r="AB1670" s="3280"/>
      <c r="AG1670" s="3865"/>
      <c r="AM1670" s="3041"/>
      <c r="BD1670" s="3280"/>
      <c r="BF1670" s="3041"/>
      <c r="BH1670" s="3282"/>
    </row>
    <row r="1671" spans="1:60" s="3030" customFormat="1">
      <c r="A1671" s="2126"/>
      <c r="B1671" s="2126"/>
      <c r="C1671" s="2126"/>
      <c r="D1671" s="2126"/>
      <c r="E1671" s="525"/>
      <c r="F1671" s="525"/>
      <c r="G1671" s="525"/>
      <c r="K1671" s="3280"/>
      <c r="AB1671" s="3280"/>
      <c r="AG1671" s="3865"/>
      <c r="AM1671" s="3041"/>
      <c r="BD1671" s="3280"/>
      <c r="BF1671" s="3041"/>
      <c r="BH1671" s="3282"/>
    </row>
    <row r="1672" spans="1:60" s="3030" customFormat="1">
      <c r="A1672" s="2126"/>
      <c r="B1672" s="2126"/>
      <c r="C1672" s="2126"/>
      <c r="D1672" s="2126"/>
      <c r="E1672" s="525"/>
      <c r="F1672" s="525"/>
      <c r="G1672" s="525"/>
      <c r="K1672" s="3280"/>
      <c r="AB1672" s="3280"/>
      <c r="AG1672" s="3865"/>
      <c r="AM1672" s="3041"/>
      <c r="BD1672" s="3280"/>
      <c r="BF1672" s="3041"/>
      <c r="BH1672" s="3282"/>
    </row>
    <row r="1673" spans="1:60" s="3030" customFormat="1">
      <c r="A1673" s="2126"/>
      <c r="B1673" s="2126"/>
      <c r="C1673" s="2126"/>
      <c r="D1673" s="2126"/>
      <c r="E1673" s="525"/>
      <c r="F1673" s="525"/>
      <c r="G1673" s="525"/>
      <c r="K1673" s="3280"/>
      <c r="AB1673" s="3280"/>
      <c r="AG1673" s="3865"/>
      <c r="AM1673" s="3041"/>
      <c r="BD1673" s="3280"/>
      <c r="BF1673" s="3041"/>
      <c r="BH1673" s="3282"/>
    </row>
    <row r="1674" spans="1:60" s="3030" customFormat="1">
      <c r="A1674" s="2126"/>
      <c r="B1674" s="2126"/>
      <c r="C1674" s="2126"/>
      <c r="D1674" s="2126"/>
      <c r="E1674" s="525"/>
      <c r="F1674" s="525"/>
      <c r="G1674" s="525"/>
      <c r="K1674" s="3280"/>
      <c r="AB1674" s="3280"/>
      <c r="AG1674" s="3865"/>
      <c r="AM1674" s="3041"/>
      <c r="BD1674" s="3280"/>
      <c r="BF1674" s="3041"/>
      <c r="BH1674" s="3282"/>
    </row>
    <row r="1675" spans="1:60" s="3030" customFormat="1">
      <c r="A1675" s="2126"/>
      <c r="B1675" s="2126"/>
      <c r="C1675" s="2126"/>
      <c r="D1675" s="2126"/>
      <c r="E1675" s="525"/>
      <c r="F1675" s="525"/>
      <c r="G1675" s="525"/>
      <c r="K1675" s="3280"/>
      <c r="AB1675" s="3280"/>
      <c r="AG1675" s="3865"/>
      <c r="AM1675" s="3041"/>
      <c r="BD1675" s="3280"/>
      <c r="BF1675" s="3041"/>
      <c r="BH1675" s="3282"/>
    </row>
    <row r="1676" spans="1:60" s="3030" customFormat="1">
      <c r="A1676" s="2126"/>
      <c r="B1676" s="2126"/>
      <c r="C1676" s="2126"/>
      <c r="D1676" s="2126"/>
      <c r="E1676" s="525"/>
      <c r="F1676" s="525"/>
      <c r="G1676" s="525"/>
      <c r="K1676" s="3280"/>
      <c r="AB1676" s="3280"/>
      <c r="AG1676" s="3865"/>
      <c r="AM1676" s="3041"/>
      <c r="BD1676" s="3280"/>
      <c r="BF1676" s="3041"/>
      <c r="BH1676" s="3282"/>
    </row>
    <row r="1677" spans="1:60" s="3030" customFormat="1">
      <c r="A1677" s="2126"/>
      <c r="B1677" s="2126"/>
      <c r="C1677" s="2126"/>
      <c r="D1677" s="2126"/>
      <c r="E1677" s="525"/>
      <c r="F1677" s="525"/>
      <c r="G1677" s="525"/>
      <c r="K1677" s="3280"/>
      <c r="AB1677" s="3280"/>
      <c r="AG1677" s="3865"/>
      <c r="AM1677" s="3041"/>
      <c r="BD1677" s="3280"/>
      <c r="BF1677" s="3041"/>
      <c r="BH1677" s="3282"/>
    </row>
    <row r="1678" spans="1:60" s="3030" customFormat="1">
      <c r="A1678" s="2126"/>
      <c r="B1678" s="2126"/>
      <c r="C1678" s="2126"/>
      <c r="D1678" s="2126"/>
      <c r="E1678" s="525"/>
      <c r="F1678" s="525"/>
      <c r="G1678" s="525"/>
      <c r="K1678" s="3280"/>
      <c r="AB1678" s="3280"/>
      <c r="AG1678" s="3865"/>
      <c r="AM1678" s="3041"/>
      <c r="BD1678" s="3280"/>
      <c r="BF1678" s="3041"/>
      <c r="BH1678" s="3282"/>
    </row>
    <row r="1679" spans="1:60" s="3030" customFormat="1">
      <c r="A1679" s="2126"/>
      <c r="B1679" s="2126"/>
      <c r="C1679" s="2126"/>
      <c r="D1679" s="2126"/>
      <c r="E1679" s="525"/>
      <c r="F1679" s="525"/>
      <c r="G1679" s="525"/>
      <c r="K1679" s="3280"/>
      <c r="AB1679" s="3280"/>
      <c r="AG1679" s="3865"/>
      <c r="AM1679" s="3041"/>
      <c r="BD1679" s="3280"/>
      <c r="BF1679" s="3041"/>
      <c r="BH1679" s="3282"/>
    </row>
    <row r="1680" spans="1:60" s="3030" customFormat="1">
      <c r="A1680" s="2126"/>
      <c r="B1680" s="2126"/>
      <c r="C1680" s="2126"/>
      <c r="D1680" s="2126"/>
      <c r="E1680" s="525"/>
      <c r="F1680" s="525"/>
      <c r="G1680" s="525"/>
      <c r="K1680" s="3280"/>
      <c r="AB1680" s="3280"/>
      <c r="AG1680" s="3865"/>
      <c r="AM1680" s="3041"/>
      <c r="BD1680" s="3280"/>
      <c r="BF1680" s="3041"/>
      <c r="BH1680" s="3282"/>
    </row>
    <row r="1681" spans="1:60" s="3030" customFormat="1">
      <c r="A1681" s="2126"/>
      <c r="B1681" s="2126"/>
      <c r="C1681" s="2126"/>
      <c r="D1681" s="2126"/>
      <c r="E1681" s="525"/>
      <c r="F1681" s="525"/>
      <c r="G1681" s="525"/>
      <c r="K1681" s="3280"/>
      <c r="AB1681" s="3280"/>
      <c r="AG1681" s="3865"/>
      <c r="AM1681" s="3041"/>
      <c r="BD1681" s="3280"/>
      <c r="BF1681" s="3041"/>
      <c r="BH1681" s="3282"/>
    </row>
    <row r="1682" spans="1:60" s="3030" customFormat="1">
      <c r="A1682" s="2126"/>
      <c r="B1682" s="2126"/>
      <c r="C1682" s="2126"/>
      <c r="D1682" s="2126"/>
      <c r="E1682" s="525"/>
      <c r="F1682" s="525"/>
      <c r="G1682" s="525"/>
      <c r="K1682" s="3280"/>
      <c r="AB1682" s="3280"/>
      <c r="AG1682" s="3865"/>
      <c r="AM1682" s="3041"/>
      <c r="BD1682" s="3280"/>
      <c r="BF1682" s="3041"/>
      <c r="BH1682" s="3282"/>
    </row>
    <row r="1683" spans="1:60" s="3030" customFormat="1">
      <c r="A1683" s="2126"/>
      <c r="B1683" s="2126"/>
      <c r="C1683" s="2126"/>
      <c r="D1683" s="2126"/>
      <c r="E1683" s="525"/>
      <c r="F1683" s="525"/>
      <c r="G1683" s="525"/>
      <c r="K1683" s="3280"/>
      <c r="AB1683" s="3280"/>
      <c r="AG1683" s="3865"/>
      <c r="AM1683" s="3041"/>
      <c r="BD1683" s="3280"/>
      <c r="BF1683" s="3041"/>
      <c r="BH1683" s="3282"/>
    </row>
    <row r="1684" spans="1:60" s="3030" customFormat="1">
      <c r="A1684" s="2126"/>
      <c r="B1684" s="2126"/>
      <c r="C1684" s="2126"/>
      <c r="D1684" s="2126"/>
      <c r="E1684" s="525"/>
      <c r="F1684" s="525"/>
      <c r="G1684" s="525"/>
      <c r="K1684" s="3280"/>
      <c r="AB1684" s="3280"/>
      <c r="AG1684" s="3865"/>
      <c r="AM1684" s="3041"/>
      <c r="BD1684" s="3280"/>
      <c r="BF1684" s="3041"/>
      <c r="BH1684" s="3282"/>
    </row>
    <row r="1685" spans="1:60" s="3030" customFormat="1">
      <c r="A1685" s="2126"/>
      <c r="B1685" s="2126"/>
      <c r="C1685" s="2126"/>
      <c r="D1685" s="2126"/>
      <c r="E1685" s="525"/>
      <c r="F1685" s="525"/>
      <c r="G1685" s="525"/>
      <c r="K1685" s="3280"/>
      <c r="AB1685" s="3280"/>
      <c r="AG1685" s="3865"/>
      <c r="AM1685" s="3041"/>
      <c r="BD1685" s="3280"/>
      <c r="BF1685" s="3041"/>
      <c r="BH1685" s="3282"/>
    </row>
    <row r="1686" spans="1:60" s="3030" customFormat="1">
      <c r="A1686" s="2126"/>
      <c r="B1686" s="2126"/>
      <c r="C1686" s="2126"/>
      <c r="D1686" s="2126"/>
      <c r="E1686" s="525"/>
      <c r="F1686" s="525"/>
      <c r="G1686" s="525"/>
      <c r="K1686" s="3280"/>
      <c r="AB1686" s="3280"/>
      <c r="AG1686" s="3865"/>
      <c r="AM1686" s="3041"/>
      <c r="BD1686" s="3280"/>
      <c r="BF1686" s="3041"/>
      <c r="BH1686" s="3282"/>
    </row>
    <row r="1687" spans="1:60" s="3030" customFormat="1">
      <c r="A1687" s="2126"/>
      <c r="B1687" s="2126"/>
      <c r="C1687" s="2126"/>
      <c r="D1687" s="2126"/>
      <c r="E1687" s="525"/>
      <c r="F1687" s="525"/>
      <c r="G1687" s="525"/>
      <c r="K1687" s="3280"/>
      <c r="AB1687" s="3280"/>
      <c r="AG1687" s="3865"/>
      <c r="AM1687" s="3041"/>
      <c r="BD1687" s="3280"/>
      <c r="BF1687" s="3041"/>
      <c r="BH1687" s="3282"/>
    </row>
    <row r="1688" spans="1:60" s="3030" customFormat="1">
      <c r="A1688" s="2126"/>
      <c r="B1688" s="2126"/>
      <c r="C1688" s="2126"/>
      <c r="D1688" s="2126"/>
      <c r="E1688" s="525"/>
      <c r="F1688" s="525"/>
      <c r="G1688" s="525"/>
      <c r="K1688" s="3280"/>
      <c r="AB1688" s="3280"/>
      <c r="AG1688" s="3865"/>
      <c r="AM1688" s="3041"/>
      <c r="BD1688" s="3280"/>
      <c r="BF1688" s="3041"/>
      <c r="BH1688" s="3282"/>
    </row>
    <row r="1689" spans="1:60" s="3030" customFormat="1">
      <c r="A1689" s="2126"/>
      <c r="B1689" s="2126"/>
      <c r="C1689" s="2126"/>
      <c r="D1689" s="2126"/>
      <c r="E1689" s="525"/>
      <c r="F1689" s="525"/>
      <c r="G1689" s="525"/>
      <c r="K1689" s="3280"/>
      <c r="AB1689" s="3280"/>
      <c r="AG1689" s="3865"/>
      <c r="AM1689" s="3041"/>
      <c r="BD1689" s="3280"/>
      <c r="BF1689" s="3041"/>
      <c r="BH1689" s="3282"/>
    </row>
    <row r="1690" spans="1:60" s="3030" customFormat="1">
      <c r="A1690" s="2126"/>
      <c r="B1690" s="2126"/>
      <c r="C1690" s="2126"/>
      <c r="D1690" s="2126"/>
      <c r="E1690" s="525"/>
      <c r="F1690" s="525"/>
      <c r="G1690" s="525"/>
      <c r="K1690" s="3280"/>
      <c r="AB1690" s="3280"/>
      <c r="AG1690" s="3865"/>
      <c r="AM1690" s="3041"/>
      <c r="BD1690" s="3280"/>
      <c r="BF1690" s="3041"/>
      <c r="BH1690" s="3282"/>
    </row>
    <row r="1691" spans="1:60" s="3030" customFormat="1">
      <c r="A1691" s="2126"/>
      <c r="B1691" s="2126"/>
      <c r="C1691" s="2126"/>
      <c r="D1691" s="2126"/>
      <c r="E1691" s="525"/>
      <c r="F1691" s="525"/>
      <c r="G1691" s="525"/>
      <c r="K1691" s="3280"/>
      <c r="AB1691" s="3280"/>
      <c r="AG1691" s="3865"/>
      <c r="AM1691" s="3041"/>
      <c r="BD1691" s="3280"/>
      <c r="BF1691" s="3041"/>
      <c r="BH1691" s="3282"/>
    </row>
    <row r="1692" spans="1:60" s="3030" customFormat="1">
      <c r="A1692" s="2126"/>
      <c r="B1692" s="2126"/>
      <c r="C1692" s="2126"/>
      <c r="D1692" s="2126"/>
      <c r="E1692" s="525"/>
      <c r="F1692" s="525"/>
      <c r="G1692" s="525"/>
      <c r="K1692" s="3280"/>
      <c r="AB1692" s="3280"/>
      <c r="AG1692" s="3865"/>
      <c r="AM1692" s="3041"/>
      <c r="BD1692" s="3280"/>
      <c r="BF1692" s="3041"/>
      <c r="BH1692" s="3282"/>
    </row>
    <row r="1693" spans="1:60" s="3030" customFormat="1">
      <c r="A1693" s="2126"/>
      <c r="B1693" s="2126"/>
      <c r="C1693" s="2126"/>
      <c r="D1693" s="2126"/>
      <c r="E1693" s="525"/>
      <c r="F1693" s="525"/>
      <c r="G1693" s="525"/>
      <c r="K1693" s="3280"/>
      <c r="AB1693" s="3280"/>
      <c r="AG1693" s="3865"/>
      <c r="AM1693" s="3041"/>
      <c r="BD1693" s="3280"/>
      <c r="BF1693" s="3041"/>
      <c r="BH1693" s="3282"/>
    </row>
    <row r="1694" spans="1:60" s="3030" customFormat="1">
      <c r="A1694" s="2126"/>
      <c r="B1694" s="2126"/>
      <c r="C1694" s="2126"/>
      <c r="D1694" s="2126"/>
      <c r="E1694" s="525"/>
      <c r="F1694" s="525"/>
      <c r="G1694" s="525"/>
      <c r="K1694" s="3280"/>
      <c r="AB1694" s="3280"/>
      <c r="AG1694" s="3865"/>
      <c r="AM1694" s="3041"/>
      <c r="BD1694" s="3280"/>
      <c r="BF1694" s="3041"/>
      <c r="BH1694" s="3282"/>
    </row>
    <row r="1695" spans="1:60" s="3030" customFormat="1">
      <c r="A1695" s="2126"/>
      <c r="B1695" s="2126"/>
      <c r="C1695" s="2126"/>
      <c r="D1695" s="2126"/>
      <c r="E1695" s="525"/>
      <c r="F1695" s="525"/>
      <c r="G1695" s="525"/>
      <c r="K1695" s="3280"/>
      <c r="AB1695" s="3280"/>
      <c r="AG1695" s="3865"/>
      <c r="AM1695" s="3041"/>
      <c r="BD1695" s="3280"/>
      <c r="BF1695" s="3041"/>
      <c r="BH1695" s="3282"/>
    </row>
    <row r="1696" spans="1:60" s="3030" customFormat="1">
      <c r="A1696" s="2126"/>
      <c r="B1696" s="2126"/>
      <c r="C1696" s="2126"/>
      <c r="D1696" s="2126"/>
      <c r="E1696" s="525"/>
      <c r="F1696" s="525"/>
      <c r="G1696" s="525"/>
      <c r="K1696" s="3280"/>
      <c r="AB1696" s="3280"/>
      <c r="AG1696" s="3865"/>
      <c r="AM1696" s="3041"/>
      <c r="BD1696" s="3280"/>
      <c r="BF1696" s="3041"/>
      <c r="BH1696" s="3282"/>
    </row>
    <row r="1697" spans="1:60" s="3030" customFormat="1">
      <c r="A1697" s="2126"/>
      <c r="B1697" s="2126"/>
      <c r="C1697" s="2126"/>
      <c r="D1697" s="2126"/>
      <c r="E1697" s="525"/>
      <c r="F1697" s="525"/>
      <c r="G1697" s="525"/>
      <c r="K1697" s="3280"/>
      <c r="AB1697" s="3280"/>
      <c r="AG1697" s="3865"/>
      <c r="AM1697" s="3041"/>
      <c r="BD1697" s="3280"/>
      <c r="BF1697" s="3041"/>
      <c r="BH1697" s="3282"/>
    </row>
    <row r="1698" spans="1:60" s="3030" customFormat="1">
      <c r="A1698" s="2126"/>
      <c r="B1698" s="2126"/>
      <c r="C1698" s="2126"/>
      <c r="D1698" s="2126"/>
      <c r="E1698" s="525"/>
      <c r="F1698" s="525"/>
      <c r="G1698" s="525"/>
      <c r="K1698" s="3280"/>
      <c r="AB1698" s="3280"/>
      <c r="AG1698" s="3865"/>
      <c r="AM1698" s="3041"/>
      <c r="BD1698" s="3280"/>
      <c r="BF1698" s="3041"/>
      <c r="BH1698" s="3282"/>
    </row>
    <row r="1699" spans="1:60" s="3030" customFormat="1">
      <c r="A1699" s="2126"/>
      <c r="B1699" s="2126"/>
      <c r="C1699" s="2126"/>
      <c r="D1699" s="2126"/>
      <c r="E1699" s="525"/>
      <c r="F1699" s="525"/>
      <c r="G1699" s="525"/>
      <c r="K1699" s="3280"/>
      <c r="AB1699" s="3280"/>
      <c r="AG1699" s="3865"/>
      <c r="AM1699" s="3041"/>
      <c r="BD1699" s="3280"/>
      <c r="BF1699" s="3041"/>
      <c r="BH1699" s="3282"/>
    </row>
    <row r="1700" spans="1:60" s="3030" customFormat="1">
      <c r="A1700" s="2126"/>
      <c r="B1700" s="2126"/>
      <c r="C1700" s="2126"/>
      <c r="D1700" s="2126"/>
      <c r="E1700" s="525"/>
      <c r="F1700" s="525"/>
      <c r="G1700" s="525"/>
      <c r="K1700" s="3280"/>
      <c r="AB1700" s="3280"/>
      <c r="AG1700" s="3865"/>
      <c r="AM1700" s="3041"/>
      <c r="BD1700" s="3280"/>
      <c r="BF1700" s="3041"/>
      <c r="BH1700" s="3282"/>
    </row>
    <row r="1701" spans="1:60" s="3030" customFormat="1">
      <c r="A1701" s="2126"/>
      <c r="B1701" s="2126"/>
      <c r="C1701" s="2126"/>
      <c r="D1701" s="2126"/>
      <c r="E1701" s="525"/>
      <c r="F1701" s="525"/>
      <c r="G1701" s="525"/>
      <c r="K1701" s="3280"/>
      <c r="AB1701" s="3280"/>
      <c r="AG1701" s="3865"/>
      <c r="AM1701" s="3041"/>
      <c r="BD1701" s="3280"/>
      <c r="BF1701" s="3041"/>
      <c r="BH1701" s="3282"/>
    </row>
    <row r="1702" spans="1:60" s="3030" customFormat="1">
      <c r="A1702" s="2126"/>
      <c r="B1702" s="2126"/>
      <c r="C1702" s="2126"/>
      <c r="D1702" s="2126"/>
      <c r="E1702" s="525"/>
      <c r="F1702" s="525"/>
      <c r="G1702" s="525"/>
      <c r="K1702" s="3280"/>
      <c r="AB1702" s="3280"/>
      <c r="AG1702" s="3865"/>
      <c r="AM1702" s="3041"/>
      <c r="BD1702" s="3280"/>
      <c r="BF1702" s="3041"/>
      <c r="BH1702" s="3282"/>
    </row>
    <row r="1703" spans="1:60" s="3030" customFormat="1">
      <c r="A1703" s="2126"/>
      <c r="B1703" s="2126"/>
      <c r="C1703" s="2126"/>
      <c r="D1703" s="2126"/>
      <c r="E1703" s="525"/>
      <c r="F1703" s="525"/>
      <c r="G1703" s="525"/>
      <c r="K1703" s="3280"/>
      <c r="AB1703" s="3280"/>
      <c r="AG1703" s="3865"/>
      <c r="AM1703" s="3041"/>
      <c r="BD1703" s="3280"/>
      <c r="BF1703" s="3041"/>
      <c r="BH1703" s="3282"/>
    </row>
    <row r="1704" spans="1:60" s="3030" customFormat="1">
      <c r="A1704" s="2126"/>
      <c r="B1704" s="2126"/>
      <c r="C1704" s="2126"/>
      <c r="D1704" s="2126"/>
      <c r="E1704" s="525"/>
      <c r="F1704" s="525"/>
      <c r="G1704" s="525"/>
      <c r="K1704" s="3280"/>
      <c r="AB1704" s="3280"/>
      <c r="AG1704" s="3865"/>
      <c r="AM1704" s="3041"/>
      <c r="BD1704" s="3280"/>
      <c r="BF1704" s="3041"/>
      <c r="BH1704" s="3282"/>
    </row>
    <row r="1705" spans="1:60" s="3030" customFormat="1">
      <c r="A1705" s="2126"/>
      <c r="B1705" s="2126"/>
      <c r="C1705" s="2126"/>
      <c r="D1705" s="2126"/>
      <c r="E1705" s="525"/>
      <c r="F1705" s="525"/>
      <c r="G1705" s="525"/>
      <c r="K1705" s="3280"/>
      <c r="AB1705" s="3280"/>
      <c r="AG1705" s="3865"/>
      <c r="AM1705" s="3041"/>
      <c r="BD1705" s="3280"/>
      <c r="BF1705" s="3041"/>
      <c r="BH1705" s="3282"/>
    </row>
    <row r="1706" spans="1:60" s="3030" customFormat="1">
      <c r="A1706" s="2126"/>
      <c r="B1706" s="2126"/>
      <c r="C1706" s="2126"/>
      <c r="D1706" s="2126"/>
      <c r="E1706" s="525"/>
      <c r="F1706" s="525"/>
      <c r="G1706" s="525"/>
      <c r="K1706" s="3280"/>
      <c r="AB1706" s="3280"/>
      <c r="AG1706" s="3865"/>
      <c r="AM1706" s="3041"/>
      <c r="BD1706" s="3280"/>
      <c r="BF1706" s="3041"/>
      <c r="BH1706" s="3282"/>
    </row>
    <row r="1707" spans="1:60" s="3030" customFormat="1">
      <c r="A1707" s="2126"/>
      <c r="B1707" s="2126"/>
      <c r="C1707" s="2126"/>
      <c r="D1707" s="2126"/>
      <c r="E1707" s="525"/>
      <c r="F1707" s="525"/>
      <c r="G1707" s="525"/>
      <c r="K1707" s="3280"/>
      <c r="AB1707" s="3280"/>
      <c r="AG1707" s="3865"/>
      <c r="AM1707" s="3041"/>
      <c r="BD1707" s="3280"/>
      <c r="BF1707" s="3041"/>
      <c r="BH1707" s="3282"/>
    </row>
    <row r="1708" spans="1:60" s="3030" customFormat="1">
      <c r="A1708" s="2126"/>
      <c r="B1708" s="2126"/>
      <c r="C1708" s="2126"/>
      <c r="D1708" s="2126"/>
      <c r="E1708" s="525"/>
      <c r="F1708" s="525"/>
      <c r="G1708" s="525"/>
      <c r="K1708" s="3280"/>
      <c r="AB1708" s="3280"/>
      <c r="AG1708" s="3865"/>
      <c r="AM1708" s="3041"/>
      <c r="BD1708" s="3280"/>
      <c r="BF1708" s="3041"/>
      <c r="BH1708" s="3282"/>
    </row>
    <row r="1709" spans="1:60" s="3030" customFormat="1">
      <c r="A1709" s="2126"/>
      <c r="B1709" s="2126"/>
      <c r="C1709" s="2126"/>
      <c r="D1709" s="2126"/>
      <c r="E1709" s="525"/>
      <c r="F1709" s="525"/>
      <c r="G1709" s="525"/>
      <c r="K1709" s="3280"/>
      <c r="AB1709" s="3280"/>
      <c r="AG1709" s="3865"/>
      <c r="AM1709" s="3041"/>
      <c r="BD1709" s="3280"/>
      <c r="BF1709" s="3041"/>
      <c r="BH1709" s="3282"/>
    </row>
    <row r="1710" spans="1:60" s="3030" customFormat="1">
      <c r="A1710" s="2126"/>
      <c r="B1710" s="2126"/>
      <c r="C1710" s="2126"/>
      <c r="D1710" s="2126"/>
      <c r="E1710" s="525"/>
      <c r="F1710" s="525"/>
      <c r="G1710" s="525"/>
      <c r="K1710" s="3280"/>
      <c r="AB1710" s="3280"/>
      <c r="AG1710" s="3865"/>
      <c r="AM1710" s="3041"/>
      <c r="BD1710" s="3280"/>
      <c r="BF1710" s="3041"/>
      <c r="BH1710" s="3282"/>
    </row>
    <row r="1711" spans="1:60" s="3030" customFormat="1">
      <c r="A1711" s="2126"/>
      <c r="B1711" s="2126"/>
      <c r="C1711" s="2126"/>
      <c r="D1711" s="2126"/>
      <c r="E1711" s="525"/>
      <c r="F1711" s="525"/>
      <c r="G1711" s="525"/>
      <c r="K1711" s="3280"/>
      <c r="AB1711" s="3280"/>
      <c r="AG1711" s="3865"/>
      <c r="AM1711" s="3041"/>
      <c r="BD1711" s="3280"/>
      <c r="BF1711" s="3041"/>
      <c r="BH1711" s="3282"/>
    </row>
    <row r="1712" spans="1:60" s="3030" customFormat="1">
      <c r="A1712" s="2126"/>
      <c r="B1712" s="2126"/>
      <c r="C1712" s="2126"/>
      <c r="D1712" s="2126"/>
      <c r="E1712" s="525"/>
      <c r="F1712" s="525"/>
      <c r="G1712" s="525"/>
      <c r="K1712" s="3280"/>
      <c r="AB1712" s="3280"/>
      <c r="AG1712" s="3865"/>
      <c r="AM1712" s="3041"/>
      <c r="BD1712" s="3280"/>
      <c r="BF1712" s="3041"/>
      <c r="BH1712" s="3282"/>
    </row>
    <row r="1713" spans="1:60" s="3030" customFormat="1">
      <c r="A1713" s="2126"/>
      <c r="B1713" s="2126"/>
      <c r="C1713" s="2126"/>
      <c r="D1713" s="2126"/>
      <c r="E1713" s="525"/>
      <c r="F1713" s="525"/>
      <c r="G1713" s="525"/>
      <c r="K1713" s="3280"/>
      <c r="AB1713" s="3280"/>
      <c r="AG1713" s="3865"/>
      <c r="AM1713" s="3041"/>
      <c r="BD1713" s="3280"/>
      <c r="BF1713" s="3041"/>
      <c r="BH1713" s="3282"/>
    </row>
    <row r="1714" spans="1:60" s="3030" customFormat="1">
      <c r="A1714" s="2126"/>
      <c r="B1714" s="2126"/>
      <c r="C1714" s="2126"/>
      <c r="D1714" s="2126"/>
      <c r="E1714" s="525"/>
      <c r="F1714" s="525"/>
      <c r="G1714" s="525"/>
      <c r="K1714" s="3280"/>
      <c r="AB1714" s="3280"/>
      <c r="AG1714" s="3865"/>
      <c r="AM1714" s="3041"/>
      <c r="BD1714" s="3280"/>
      <c r="BF1714" s="3041"/>
      <c r="BH1714" s="3282"/>
    </row>
    <row r="1715" spans="1:60" s="3030" customFormat="1">
      <c r="A1715" s="2126"/>
      <c r="B1715" s="2126"/>
      <c r="C1715" s="2126"/>
      <c r="D1715" s="2126"/>
      <c r="E1715" s="525"/>
      <c r="F1715" s="525"/>
      <c r="G1715" s="525"/>
      <c r="K1715" s="3280"/>
      <c r="AB1715" s="3280"/>
      <c r="AG1715" s="3865"/>
      <c r="AM1715" s="3041"/>
      <c r="BD1715" s="3280"/>
      <c r="BF1715" s="3041"/>
      <c r="BH1715" s="3282"/>
    </row>
    <row r="1716" spans="1:60" s="3030" customFormat="1">
      <c r="A1716" s="2126"/>
      <c r="B1716" s="2126"/>
      <c r="C1716" s="2126"/>
      <c r="D1716" s="2126"/>
      <c r="E1716" s="525"/>
      <c r="F1716" s="525"/>
      <c r="G1716" s="525"/>
      <c r="K1716" s="3280"/>
      <c r="AB1716" s="3280"/>
      <c r="AG1716" s="3865"/>
      <c r="AM1716" s="3041"/>
      <c r="BD1716" s="3280"/>
      <c r="BF1716" s="3041"/>
      <c r="BH1716" s="3282"/>
    </row>
    <row r="1717" spans="1:60" s="3030" customFormat="1">
      <c r="A1717" s="2126"/>
      <c r="B1717" s="2126"/>
      <c r="C1717" s="2126"/>
      <c r="D1717" s="2126"/>
      <c r="E1717" s="525"/>
      <c r="F1717" s="525"/>
      <c r="G1717" s="525"/>
      <c r="K1717" s="3280"/>
      <c r="AB1717" s="3280"/>
      <c r="AG1717" s="3865"/>
      <c r="AM1717" s="3041"/>
      <c r="BD1717" s="3280"/>
      <c r="BF1717" s="3041"/>
      <c r="BH1717" s="3282"/>
    </row>
    <row r="1718" spans="1:60" s="3030" customFormat="1">
      <c r="A1718" s="2126"/>
      <c r="B1718" s="2126"/>
      <c r="C1718" s="2126"/>
      <c r="D1718" s="2126"/>
      <c r="E1718" s="525"/>
      <c r="F1718" s="525"/>
      <c r="G1718" s="525"/>
      <c r="K1718" s="3280"/>
      <c r="AB1718" s="3280"/>
      <c r="AG1718" s="3865"/>
      <c r="AM1718" s="3041"/>
      <c r="BD1718" s="3280"/>
      <c r="BF1718" s="3041"/>
      <c r="BH1718" s="3282"/>
    </row>
    <row r="1719" spans="1:60" s="3030" customFormat="1">
      <c r="A1719" s="2126"/>
      <c r="B1719" s="2126"/>
      <c r="C1719" s="2126"/>
      <c r="D1719" s="2126"/>
      <c r="E1719" s="525"/>
      <c r="F1719" s="525"/>
      <c r="G1719" s="525"/>
      <c r="K1719" s="3280"/>
      <c r="AB1719" s="3280"/>
      <c r="AG1719" s="3865"/>
      <c r="AM1719" s="3041"/>
      <c r="BD1719" s="3280"/>
      <c r="BF1719" s="3041"/>
      <c r="BH1719" s="3282"/>
    </row>
    <row r="1720" spans="1:60" s="3030" customFormat="1">
      <c r="A1720" s="2126"/>
      <c r="B1720" s="2126"/>
      <c r="C1720" s="2126"/>
      <c r="D1720" s="2126"/>
      <c r="E1720" s="525"/>
      <c r="F1720" s="525"/>
      <c r="G1720" s="525"/>
      <c r="K1720" s="3280"/>
      <c r="AB1720" s="3280"/>
      <c r="AG1720" s="3865"/>
      <c r="AM1720" s="3041"/>
      <c r="BD1720" s="3280"/>
      <c r="BF1720" s="3041"/>
      <c r="BH1720" s="3282"/>
    </row>
    <row r="1721" spans="1:60" s="3030" customFormat="1">
      <c r="A1721" s="2126"/>
      <c r="B1721" s="2126"/>
      <c r="C1721" s="2126"/>
      <c r="D1721" s="2126"/>
      <c r="E1721" s="525"/>
      <c r="F1721" s="525"/>
      <c r="G1721" s="525"/>
      <c r="K1721" s="3280"/>
      <c r="AB1721" s="3280"/>
      <c r="AG1721" s="3865"/>
      <c r="AM1721" s="3041"/>
      <c r="BD1721" s="3280"/>
      <c r="BF1721" s="3041"/>
      <c r="BH1721" s="3282"/>
    </row>
    <row r="1722" spans="1:60" s="3030" customFormat="1">
      <c r="A1722" s="2126"/>
      <c r="B1722" s="2126"/>
      <c r="C1722" s="2126"/>
      <c r="D1722" s="2126"/>
      <c r="E1722" s="525"/>
      <c r="F1722" s="525"/>
      <c r="G1722" s="525"/>
      <c r="K1722" s="3280"/>
      <c r="AB1722" s="3280"/>
      <c r="AG1722" s="3865"/>
      <c r="AM1722" s="3041"/>
      <c r="BD1722" s="3280"/>
      <c r="BF1722" s="3041"/>
      <c r="BH1722" s="3282"/>
    </row>
    <row r="1723" spans="1:60" s="3030" customFormat="1">
      <c r="A1723" s="2126"/>
      <c r="B1723" s="2126"/>
      <c r="C1723" s="2126"/>
      <c r="D1723" s="2126"/>
      <c r="E1723" s="525"/>
      <c r="F1723" s="525"/>
      <c r="G1723" s="525"/>
      <c r="K1723" s="3280"/>
      <c r="AB1723" s="3280"/>
      <c r="AG1723" s="3865"/>
      <c r="AM1723" s="3041"/>
      <c r="BD1723" s="3280"/>
      <c r="BF1723" s="3041"/>
      <c r="BH1723" s="3282"/>
    </row>
    <row r="1724" spans="1:60" s="3030" customFormat="1">
      <c r="A1724" s="2126"/>
      <c r="B1724" s="2126"/>
      <c r="C1724" s="2126"/>
      <c r="D1724" s="2126"/>
      <c r="E1724" s="525"/>
      <c r="F1724" s="525"/>
      <c r="G1724" s="525"/>
      <c r="K1724" s="3280"/>
      <c r="AB1724" s="3280"/>
      <c r="AG1724" s="3865"/>
      <c r="AM1724" s="3041"/>
      <c r="BD1724" s="3280"/>
      <c r="BF1724" s="3041"/>
      <c r="BH1724" s="3282"/>
    </row>
    <row r="1725" spans="1:60" s="3030" customFormat="1">
      <c r="A1725" s="2126"/>
      <c r="B1725" s="2126"/>
      <c r="C1725" s="2126"/>
      <c r="D1725" s="2126"/>
      <c r="E1725" s="525"/>
      <c r="F1725" s="525"/>
      <c r="G1725" s="525"/>
      <c r="K1725" s="3280"/>
      <c r="AB1725" s="3280"/>
      <c r="AG1725" s="3865"/>
      <c r="AM1725" s="3041"/>
      <c r="BD1725" s="3280"/>
      <c r="BF1725" s="3041"/>
      <c r="BH1725" s="3282"/>
    </row>
    <row r="1726" spans="1:60" s="3030" customFormat="1">
      <c r="A1726" s="2126"/>
      <c r="B1726" s="2126"/>
      <c r="C1726" s="2126"/>
      <c r="D1726" s="2126"/>
      <c r="E1726" s="525"/>
      <c r="F1726" s="525"/>
      <c r="G1726" s="525"/>
      <c r="K1726" s="3280"/>
      <c r="AB1726" s="3280"/>
      <c r="AG1726" s="3865"/>
      <c r="AM1726" s="3041"/>
      <c r="BD1726" s="3280"/>
      <c r="BF1726" s="3041"/>
      <c r="BH1726" s="3282"/>
    </row>
    <row r="1727" spans="1:60" s="3030" customFormat="1">
      <c r="A1727" s="2126"/>
      <c r="B1727" s="2126"/>
      <c r="C1727" s="2126"/>
      <c r="D1727" s="2126"/>
      <c r="E1727" s="525"/>
      <c r="F1727" s="525"/>
      <c r="G1727" s="525"/>
      <c r="K1727" s="3280"/>
      <c r="AB1727" s="3280"/>
      <c r="AG1727" s="3865"/>
      <c r="AM1727" s="3041"/>
      <c r="BD1727" s="3280"/>
      <c r="BF1727" s="3041"/>
      <c r="BH1727" s="3282"/>
    </row>
    <row r="1728" spans="1:60" s="3030" customFormat="1">
      <c r="A1728" s="2126"/>
      <c r="B1728" s="2126"/>
      <c r="C1728" s="2126"/>
      <c r="D1728" s="2126"/>
      <c r="E1728" s="525"/>
      <c r="F1728" s="525"/>
      <c r="G1728" s="525"/>
      <c r="K1728" s="3280"/>
      <c r="AB1728" s="3280"/>
      <c r="AG1728" s="3865"/>
      <c r="AM1728" s="3041"/>
      <c r="BD1728" s="3280"/>
      <c r="BF1728" s="3041"/>
      <c r="BH1728" s="3282"/>
    </row>
    <row r="1729" spans="1:60" s="3030" customFormat="1">
      <c r="A1729" s="2126"/>
      <c r="B1729" s="2126"/>
      <c r="C1729" s="2126"/>
      <c r="D1729" s="2126"/>
      <c r="E1729" s="525"/>
      <c r="F1729" s="525"/>
      <c r="G1729" s="525"/>
      <c r="K1729" s="3280"/>
      <c r="AB1729" s="3280"/>
      <c r="AG1729" s="3865"/>
      <c r="AM1729" s="3041"/>
      <c r="BD1729" s="3280"/>
      <c r="BF1729" s="3041"/>
      <c r="BH1729" s="3282"/>
    </row>
    <row r="1730" spans="1:60" s="3030" customFormat="1">
      <c r="A1730" s="2126"/>
      <c r="B1730" s="2126"/>
      <c r="C1730" s="2126"/>
      <c r="D1730" s="2126"/>
      <c r="E1730" s="525"/>
      <c r="F1730" s="525"/>
      <c r="G1730" s="525"/>
      <c r="K1730" s="3280"/>
      <c r="AB1730" s="3280"/>
      <c r="AG1730" s="3865"/>
      <c r="AM1730" s="3041"/>
      <c r="BD1730" s="3280"/>
      <c r="BF1730" s="3041"/>
      <c r="BH1730" s="3282"/>
    </row>
    <row r="1731" spans="1:60" s="3030" customFormat="1">
      <c r="A1731" s="2126"/>
      <c r="B1731" s="2126"/>
      <c r="C1731" s="2126"/>
      <c r="D1731" s="2126"/>
      <c r="E1731" s="525"/>
      <c r="F1731" s="525"/>
      <c r="G1731" s="525"/>
      <c r="K1731" s="3280"/>
      <c r="AB1731" s="3280"/>
      <c r="AG1731" s="3865"/>
      <c r="AM1731" s="3041"/>
      <c r="BD1731" s="3280"/>
      <c r="BF1731" s="3041"/>
      <c r="BH1731" s="3282"/>
    </row>
    <row r="1732" spans="1:60" s="3030" customFormat="1">
      <c r="A1732" s="2126"/>
      <c r="B1732" s="2126"/>
      <c r="C1732" s="2126"/>
      <c r="D1732" s="2126"/>
      <c r="E1732" s="525"/>
      <c r="F1732" s="525"/>
      <c r="G1732" s="525"/>
      <c r="K1732" s="3280"/>
      <c r="AB1732" s="3280"/>
      <c r="AG1732" s="3865"/>
      <c r="AM1732" s="3041"/>
      <c r="BD1732" s="3280"/>
      <c r="BF1732" s="3041"/>
      <c r="BH1732" s="3282"/>
    </row>
    <row r="1733" spans="1:60" s="3030" customFormat="1">
      <c r="A1733" s="2126"/>
      <c r="B1733" s="2126"/>
      <c r="C1733" s="2126"/>
      <c r="D1733" s="2126"/>
      <c r="E1733" s="525"/>
      <c r="F1733" s="525"/>
      <c r="G1733" s="525"/>
      <c r="K1733" s="3280"/>
      <c r="AB1733" s="3280"/>
      <c r="AG1733" s="3865"/>
      <c r="AM1733" s="3041"/>
      <c r="BD1733" s="3280"/>
      <c r="BF1733" s="3041"/>
      <c r="BH1733" s="3282"/>
    </row>
    <row r="1734" spans="1:60" s="3030" customFormat="1">
      <c r="A1734" s="2126"/>
      <c r="B1734" s="2126"/>
      <c r="C1734" s="2126"/>
      <c r="D1734" s="2126"/>
      <c r="E1734" s="525"/>
      <c r="F1734" s="525"/>
      <c r="G1734" s="525"/>
      <c r="K1734" s="3280"/>
      <c r="AB1734" s="3280"/>
      <c r="AG1734" s="3865"/>
      <c r="AM1734" s="3041"/>
      <c r="BD1734" s="3280"/>
      <c r="BF1734" s="3041"/>
      <c r="BH1734" s="3282"/>
    </row>
    <row r="1735" spans="1:60" s="3030" customFormat="1">
      <c r="A1735" s="2126"/>
      <c r="B1735" s="2126"/>
      <c r="C1735" s="2126"/>
      <c r="D1735" s="2126"/>
      <c r="E1735" s="525"/>
      <c r="F1735" s="525"/>
      <c r="G1735" s="525"/>
      <c r="K1735" s="3280"/>
      <c r="AB1735" s="3280"/>
      <c r="AG1735" s="3865"/>
      <c r="AM1735" s="3041"/>
      <c r="BD1735" s="3280"/>
      <c r="BF1735" s="3041"/>
      <c r="BH1735" s="3282"/>
    </row>
    <row r="1736" spans="1:60" s="3030" customFormat="1">
      <c r="A1736" s="2126"/>
      <c r="B1736" s="2126"/>
      <c r="C1736" s="2126"/>
      <c r="D1736" s="2126"/>
      <c r="E1736" s="525"/>
      <c r="F1736" s="525"/>
      <c r="G1736" s="525"/>
      <c r="K1736" s="3280"/>
      <c r="AB1736" s="3280"/>
      <c r="AG1736" s="3865"/>
      <c r="AM1736" s="3041"/>
      <c r="BD1736" s="3280"/>
      <c r="BF1736" s="3041"/>
      <c r="BH1736" s="3282"/>
    </row>
    <row r="1737" spans="1:60" s="3030" customFormat="1">
      <c r="A1737" s="2126"/>
      <c r="B1737" s="2126"/>
      <c r="C1737" s="2126"/>
      <c r="D1737" s="2126"/>
      <c r="E1737" s="525"/>
      <c r="F1737" s="525"/>
      <c r="G1737" s="525"/>
      <c r="K1737" s="3280"/>
      <c r="AB1737" s="3280"/>
      <c r="AG1737" s="3865"/>
      <c r="AM1737" s="3041"/>
      <c r="BD1737" s="3280"/>
      <c r="BF1737" s="3041"/>
      <c r="BH1737" s="3282"/>
    </row>
    <row r="1738" spans="1:60" s="3030" customFormat="1">
      <c r="A1738" s="2126"/>
      <c r="B1738" s="2126"/>
      <c r="C1738" s="2126"/>
      <c r="D1738" s="2126"/>
      <c r="E1738" s="525"/>
      <c r="F1738" s="525"/>
      <c r="G1738" s="525"/>
      <c r="K1738" s="3280"/>
      <c r="AB1738" s="3280"/>
      <c r="AG1738" s="3865"/>
      <c r="AM1738" s="3041"/>
      <c r="BD1738" s="3280"/>
      <c r="BF1738" s="3041"/>
      <c r="BH1738" s="3282"/>
    </row>
    <row r="1739" spans="1:60" s="3030" customFormat="1">
      <c r="A1739" s="2126"/>
      <c r="B1739" s="2126"/>
      <c r="C1739" s="2126"/>
      <c r="D1739" s="2126"/>
      <c r="E1739" s="525"/>
      <c r="F1739" s="525"/>
      <c r="G1739" s="525"/>
      <c r="K1739" s="3280"/>
      <c r="AB1739" s="3280"/>
      <c r="AG1739" s="3865"/>
      <c r="AM1739" s="3041"/>
      <c r="BD1739" s="3280"/>
      <c r="BF1739" s="3041"/>
      <c r="BH1739" s="3282"/>
    </row>
    <row r="1740" spans="1:60" s="3030" customFormat="1">
      <c r="A1740" s="2126"/>
      <c r="B1740" s="2126"/>
      <c r="C1740" s="2126"/>
      <c r="D1740" s="2126"/>
      <c r="E1740" s="525"/>
      <c r="F1740" s="525"/>
      <c r="G1740" s="525"/>
      <c r="K1740" s="3280"/>
      <c r="AB1740" s="3280"/>
      <c r="AG1740" s="3865"/>
      <c r="AM1740" s="3041"/>
      <c r="BD1740" s="3280"/>
      <c r="BF1740" s="3041"/>
      <c r="BH1740" s="3282"/>
    </row>
    <row r="1741" spans="1:60" s="3030" customFormat="1">
      <c r="A1741" s="2126"/>
      <c r="B1741" s="2126"/>
      <c r="C1741" s="2126"/>
      <c r="D1741" s="2126"/>
      <c r="E1741" s="525"/>
      <c r="F1741" s="525"/>
      <c r="G1741" s="525"/>
      <c r="K1741" s="3280"/>
      <c r="AB1741" s="3280"/>
      <c r="AG1741" s="3865"/>
      <c r="AM1741" s="3041"/>
      <c r="BD1741" s="3280"/>
      <c r="BF1741" s="3041"/>
      <c r="BH1741" s="3282"/>
    </row>
    <row r="1742" spans="1:60" s="3030" customFormat="1">
      <c r="A1742" s="2126"/>
      <c r="B1742" s="2126"/>
      <c r="C1742" s="2126"/>
      <c r="D1742" s="2126"/>
      <c r="E1742" s="525"/>
      <c r="F1742" s="525"/>
      <c r="G1742" s="525"/>
      <c r="K1742" s="3280"/>
      <c r="AB1742" s="3280"/>
      <c r="AG1742" s="3865"/>
      <c r="AM1742" s="3041"/>
      <c r="BD1742" s="3280"/>
      <c r="BF1742" s="3041"/>
      <c r="BH1742" s="3282"/>
    </row>
    <row r="1743" spans="1:60" s="3030" customFormat="1">
      <c r="A1743" s="2126"/>
      <c r="B1743" s="2126"/>
      <c r="C1743" s="2126"/>
      <c r="D1743" s="2126"/>
      <c r="E1743" s="525"/>
      <c r="F1743" s="525"/>
      <c r="G1743" s="525"/>
      <c r="K1743" s="3280"/>
      <c r="AB1743" s="3280"/>
      <c r="AG1743" s="3865"/>
      <c r="AM1743" s="3041"/>
      <c r="BD1743" s="3280"/>
      <c r="BF1743" s="3041"/>
      <c r="BH1743" s="3282"/>
    </row>
    <row r="1744" spans="1:60" s="3030" customFormat="1">
      <c r="A1744" s="2126"/>
      <c r="B1744" s="2126"/>
      <c r="C1744" s="2126"/>
      <c r="D1744" s="2126"/>
      <c r="E1744" s="525"/>
      <c r="F1744" s="525"/>
      <c r="G1744" s="525"/>
      <c r="K1744" s="3280"/>
      <c r="AB1744" s="3280"/>
      <c r="AG1744" s="3865"/>
      <c r="AM1744" s="3041"/>
      <c r="BD1744" s="3280"/>
      <c r="BF1744" s="3041"/>
      <c r="BH1744" s="3282"/>
    </row>
    <row r="1745" spans="1:60" s="3030" customFormat="1">
      <c r="A1745" s="2126"/>
      <c r="B1745" s="2126"/>
      <c r="C1745" s="2126"/>
      <c r="D1745" s="2126"/>
      <c r="E1745" s="525"/>
      <c r="F1745" s="525"/>
      <c r="G1745" s="525"/>
      <c r="K1745" s="3280"/>
      <c r="AB1745" s="3280"/>
      <c r="AG1745" s="3865"/>
      <c r="AM1745" s="3041"/>
      <c r="BD1745" s="3280"/>
      <c r="BF1745" s="3041"/>
      <c r="BH1745" s="3282"/>
    </row>
    <row r="1746" spans="1:60" s="3030" customFormat="1">
      <c r="A1746" s="2126"/>
      <c r="B1746" s="2126"/>
      <c r="C1746" s="2126"/>
      <c r="D1746" s="2126"/>
      <c r="E1746" s="525"/>
      <c r="F1746" s="525"/>
      <c r="G1746" s="525"/>
      <c r="K1746" s="3280"/>
      <c r="AB1746" s="3280"/>
      <c r="AG1746" s="3865"/>
      <c r="AM1746" s="3041"/>
      <c r="BD1746" s="3280"/>
      <c r="BF1746" s="3041"/>
      <c r="BH1746" s="3282"/>
    </row>
    <row r="1747" spans="1:60" s="3030" customFormat="1">
      <c r="A1747" s="2126"/>
      <c r="B1747" s="2126"/>
      <c r="C1747" s="2126"/>
      <c r="D1747" s="2126"/>
      <c r="E1747" s="525"/>
      <c r="F1747" s="525"/>
      <c r="G1747" s="525"/>
      <c r="K1747" s="3280"/>
      <c r="AB1747" s="3280"/>
      <c r="AG1747" s="3865"/>
      <c r="AM1747" s="3041"/>
      <c r="BD1747" s="3280"/>
      <c r="BF1747" s="3041"/>
      <c r="BH1747" s="3282"/>
    </row>
    <row r="1748" spans="1:60" s="3030" customFormat="1">
      <c r="A1748" s="2126"/>
      <c r="B1748" s="2126"/>
      <c r="C1748" s="2126"/>
      <c r="D1748" s="2126"/>
      <c r="E1748" s="525"/>
      <c r="F1748" s="525"/>
      <c r="G1748" s="525"/>
      <c r="K1748" s="3280"/>
      <c r="AB1748" s="3280"/>
      <c r="AG1748" s="3865"/>
      <c r="AM1748" s="3041"/>
      <c r="BD1748" s="3280"/>
      <c r="BF1748" s="3041"/>
      <c r="BH1748" s="3282"/>
    </row>
    <row r="1749" spans="1:60" s="3030" customFormat="1">
      <c r="A1749" s="2126"/>
      <c r="B1749" s="2126"/>
      <c r="C1749" s="2126"/>
      <c r="D1749" s="2126"/>
      <c r="E1749" s="525"/>
      <c r="F1749" s="525"/>
      <c r="G1749" s="525"/>
      <c r="K1749" s="3280"/>
      <c r="AB1749" s="3280"/>
      <c r="AG1749" s="3865"/>
      <c r="AM1749" s="3041"/>
      <c r="BD1749" s="3280"/>
      <c r="BF1749" s="3041"/>
      <c r="BH1749" s="3282"/>
    </row>
    <row r="1750" spans="1:60" s="3030" customFormat="1">
      <c r="A1750" s="2126"/>
      <c r="B1750" s="2126"/>
      <c r="C1750" s="2126"/>
      <c r="D1750" s="2126"/>
      <c r="E1750" s="525"/>
      <c r="F1750" s="525"/>
      <c r="G1750" s="525"/>
      <c r="K1750" s="3280"/>
      <c r="AB1750" s="3280"/>
      <c r="AG1750" s="3865"/>
      <c r="AM1750" s="3041"/>
      <c r="BD1750" s="3280"/>
      <c r="BF1750" s="3041"/>
      <c r="BH1750" s="3282"/>
    </row>
    <row r="1751" spans="1:60" s="3030" customFormat="1">
      <c r="A1751" s="2126"/>
      <c r="B1751" s="2126"/>
      <c r="C1751" s="2126"/>
      <c r="D1751" s="2126"/>
      <c r="E1751" s="525"/>
      <c r="F1751" s="525"/>
      <c r="G1751" s="525"/>
      <c r="K1751" s="3280"/>
      <c r="AB1751" s="3280"/>
      <c r="AG1751" s="3865"/>
      <c r="AM1751" s="3041"/>
      <c r="BD1751" s="3280"/>
      <c r="BF1751" s="3041"/>
      <c r="BH1751" s="3282"/>
    </row>
    <row r="1752" spans="1:60" s="3030" customFormat="1">
      <c r="A1752" s="2126"/>
      <c r="B1752" s="2126"/>
      <c r="C1752" s="2126"/>
      <c r="D1752" s="2126"/>
      <c r="E1752" s="525"/>
      <c r="F1752" s="525"/>
      <c r="G1752" s="525"/>
      <c r="K1752" s="3280"/>
      <c r="AB1752" s="3280"/>
      <c r="AG1752" s="3865"/>
      <c r="AM1752" s="3041"/>
      <c r="BD1752" s="3280"/>
      <c r="BF1752" s="3041"/>
      <c r="BH1752" s="3282"/>
    </row>
    <row r="1753" spans="1:60" s="3030" customFormat="1">
      <c r="A1753" s="2126"/>
      <c r="B1753" s="2126"/>
      <c r="C1753" s="2126"/>
      <c r="D1753" s="2126"/>
      <c r="E1753" s="525"/>
      <c r="F1753" s="525"/>
      <c r="G1753" s="525"/>
      <c r="K1753" s="3280"/>
      <c r="AB1753" s="3280"/>
      <c r="AG1753" s="3865"/>
      <c r="AM1753" s="3041"/>
      <c r="BD1753" s="3280"/>
      <c r="BF1753" s="3041"/>
      <c r="BH1753" s="3282"/>
    </row>
    <row r="1754" spans="1:60" s="3030" customFormat="1">
      <c r="A1754" s="2126"/>
      <c r="B1754" s="2126"/>
      <c r="C1754" s="2126"/>
      <c r="D1754" s="2126"/>
      <c r="E1754" s="525"/>
      <c r="F1754" s="525"/>
      <c r="G1754" s="525"/>
      <c r="K1754" s="3280"/>
      <c r="AB1754" s="3280"/>
      <c r="AG1754" s="3865"/>
      <c r="AM1754" s="3041"/>
      <c r="BD1754" s="3280"/>
      <c r="BF1754" s="3041"/>
      <c r="BH1754" s="3282"/>
    </row>
    <row r="1755" spans="1:60" s="3030" customFormat="1">
      <c r="A1755" s="2126"/>
      <c r="B1755" s="2126"/>
      <c r="C1755" s="2126"/>
      <c r="D1755" s="2126"/>
      <c r="E1755" s="525"/>
      <c r="F1755" s="525"/>
      <c r="G1755" s="525"/>
      <c r="K1755" s="3280"/>
      <c r="AB1755" s="3280"/>
      <c r="AG1755" s="3865"/>
      <c r="AM1755" s="3041"/>
      <c r="BD1755" s="3280"/>
      <c r="BF1755" s="3041"/>
      <c r="BH1755" s="3282"/>
    </row>
    <row r="1756" spans="1:60" s="3030" customFormat="1">
      <c r="A1756" s="2126"/>
      <c r="B1756" s="2126"/>
      <c r="C1756" s="2126"/>
      <c r="D1756" s="2126"/>
      <c r="E1756" s="525"/>
      <c r="F1756" s="525"/>
      <c r="G1756" s="525"/>
      <c r="K1756" s="3280"/>
      <c r="AB1756" s="3280"/>
      <c r="AG1756" s="3865"/>
      <c r="AM1756" s="3041"/>
      <c r="BD1756" s="3280"/>
      <c r="BF1756" s="3041"/>
      <c r="BH1756" s="3282"/>
    </row>
    <row r="1757" spans="1:60" s="3030" customFormat="1">
      <c r="A1757" s="2126"/>
      <c r="B1757" s="2126"/>
      <c r="C1757" s="2126"/>
      <c r="D1757" s="2126"/>
      <c r="E1757" s="525"/>
      <c r="F1757" s="525"/>
      <c r="G1757" s="525"/>
      <c r="K1757" s="3280"/>
      <c r="AB1757" s="3280"/>
      <c r="AG1757" s="3865"/>
      <c r="AM1757" s="3041"/>
      <c r="BD1757" s="3280"/>
      <c r="BF1757" s="3041"/>
      <c r="BH1757" s="3282"/>
    </row>
    <row r="1758" spans="1:60" s="3030" customFormat="1">
      <c r="A1758" s="2126"/>
      <c r="B1758" s="2126"/>
      <c r="C1758" s="2126"/>
      <c r="D1758" s="2126"/>
      <c r="E1758" s="525"/>
      <c r="F1758" s="525"/>
      <c r="G1758" s="525"/>
      <c r="K1758" s="3280"/>
      <c r="AB1758" s="3280"/>
      <c r="AG1758" s="3865"/>
      <c r="AM1758" s="3041"/>
      <c r="BD1758" s="3280"/>
      <c r="BF1758" s="3041"/>
      <c r="BH1758" s="3282"/>
    </row>
    <row r="1759" spans="1:60" s="3030" customFormat="1">
      <c r="A1759" s="2126"/>
      <c r="B1759" s="2126"/>
      <c r="C1759" s="2126"/>
      <c r="D1759" s="2126"/>
      <c r="E1759" s="525"/>
      <c r="F1759" s="525"/>
      <c r="G1759" s="525"/>
      <c r="K1759" s="3280"/>
      <c r="AB1759" s="3280"/>
      <c r="AG1759" s="3865"/>
      <c r="AM1759" s="3041"/>
      <c r="BD1759" s="3280"/>
      <c r="BF1759" s="3041"/>
      <c r="BH1759" s="3282"/>
    </row>
    <row r="1760" spans="1:60" s="3030" customFormat="1">
      <c r="A1760" s="2126"/>
      <c r="B1760" s="2126"/>
      <c r="C1760" s="2126"/>
      <c r="D1760" s="2126"/>
      <c r="E1760" s="525"/>
      <c r="F1760" s="525"/>
      <c r="G1760" s="525"/>
      <c r="K1760" s="3280"/>
      <c r="AB1760" s="3280"/>
      <c r="AG1760" s="3865"/>
      <c r="AM1760" s="3041"/>
      <c r="BD1760" s="3280"/>
      <c r="BF1760" s="3041"/>
      <c r="BH1760" s="3282"/>
    </row>
    <row r="1761" spans="1:60" s="3030" customFormat="1">
      <c r="A1761" s="2126"/>
      <c r="B1761" s="2126"/>
      <c r="C1761" s="2126"/>
      <c r="D1761" s="2126"/>
      <c r="E1761" s="525"/>
      <c r="F1761" s="525"/>
      <c r="G1761" s="525"/>
      <c r="K1761" s="3280"/>
      <c r="AB1761" s="3280"/>
      <c r="AG1761" s="3865"/>
      <c r="AM1761" s="3041"/>
      <c r="BD1761" s="3280"/>
      <c r="BF1761" s="3041"/>
      <c r="BH1761" s="3282"/>
    </row>
    <row r="1762" spans="1:60" s="3030" customFormat="1">
      <c r="A1762" s="2126"/>
      <c r="B1762" s="2126"/>
      <c r="C1762" s="2126"/>
      <c r="D1762" s="2126"/>
      <c r="E1762" s="525"/>
      <c r="F1762" s="525"/>
      <c r="G1762" s="525"/>
      <c r="K1762" s="3280"/>
      <c r="AB1762" s="3280"/>
      <c r="AG1762" s="3865"/>
      <c r="AM1762" s="3041"/>
      <c r="BD1762" s="3280"/>
      <c r="BF1762" s="3041"/>
      <c r="BH1762" s="3282"/>
    </row>
    <row r="1763" spans="1:60" s="3030" customFormat="1">
      <c r="A1763" s="2126"/>
      <c r="B1763" s="2126"/>
      <c r="C1763" s="2126"/>
      <c r="D1763" s="2126"/>
      <c r="E1763" s="525"/>
      <c r="F1763" s="525"/>
      <c r="G1763" s="525"/>
      <c r="K1763" s="3280"/>
      <c r="AB1763" s="3280"/>
      <c r="AG1763" s="3865"/>
      <c r="AM1763" s="3041"/>
      <c r="BD1763" s="3280"/>
      <c r="BF1763" s="3041"/>
      <c r="BH1763" s="3282"/>
    </row>
    <row r="1764" spans="1:60" s="3030" customFormat="1">
      <c r="A1764" s="2126"/>
      <c r="B1764" s="2126"/>
      <c r="C1764" s="2126"/>
      <c r="D1764" s="2126"/>
      <c r="E1764" s="525"/>
      <c r="F1764" s="525"/>
      <c r="G1764" s="525"/>
      <c r="K1764" s="3280"/>
      <c r="AB1764" s="3280"/>
      <c r="AG1764" s="3865"/>
      <c r="AM1764" s="3041"/>
      <c r="BD1764" s="3280"/>
      <c r="BF1764" s="3041"/>
      <c r="BH1764" s="3282"/>
    </row>
    <row r="1765" spans="1:60" s="3030" customFormat="1">
      <c r="A1765" s="2126"/>
      <c r="B1765" s="2126"/>
      <c r="C1765" s="2126"/>
      <c r="D1765" s="2126"/>
      <c r="E1765" s="525"/>
      <c r="F1765" s="525"/>
      <c r="G1765" s="525"/>
      <c r="K1765" s="3280"/>
      <c r="AB1765" s="3280"/>
      <c r="AG1765" s="3865"/>
      <c r="AM1765" s="3041"/>
      <c r="BD1765" s="3280"/>
      <c r="BF1765" s="3041"/>
      <c r="BH1765" s="3282"/>
    </row>
    <row r="1766" spans="1:60" s="3030" customFormat="1">
      <c r="A1766" s="2126"/>
      <c r="B1766" s="2126"/>
      <c r="C1766" s="2126"/>
      <c r="D1766" s="2126"/>
      <c r="E1766" s="525"/>
      <c r="F1766" s="525"/>
      <c r="G1766" s="525"/>
      <c r="K1766" s="3280"/>
      <c r="AB1766" s="3280"/>
      <c r="AG1766" s="3865"/>
      <c r="AM1766" s="3041"/>
      <c r="BD1766" s="3280"/>
      <c r="BF1766" s="3041"/>
      <c r="BH1766" s="3282"/>
    </row>
    <row r="1767" spans="1:60" s="3030" customFormat="1">
      <c r="A1767" s="2126"/>
      <c r="B1767" s="2126"/>
      <c r="C1767" s="2126"/>
      <c r="D1767" s="2126"/>
      <c r="E1767" s="525"/>
      <c r="F1767" s="525"/>
      <c r="G1767" s="525"/>
      <c r="K1767" s="3280"/>
      <c r="AB1767" s="3280"/>
      <c r="AG1767" s="3865"/>
      <c r="AM1767" s="3041"/>
      <c r="BD1767" s="3280"/>
      <c r="BF1767" s="3041"/>
      <c r="BH1767" s="3282"/>
    </row>
    <row r="1768" spans="1:60" s="3030" customFormat="1">
      <c r="A1768" s="2126"/>
      <c r="B1768" s="2126"/>
      <c r="C1768" s="2126"/>
      <c r="D1768" s="2126"/>
      <c r="E1768" s="525"/>
      <c r="F1768" s="525"/>
      <c r="G1768" s="525"/>
      <c r="K1768" s="3280"/>
      <c r="AB1768" s="3280"/>
      <c r="AG1768" s="3865"/>
      <c r="AM1768" s="3041"/>
      <c r="BD1768" s="3280"/>
      <c r="BF1768" s="3041"/>
      <c r="BH1768" s="3282"/>
    </row>
    <row r="1769" spans="1:60" s="3030" customFormat="1">
      <c r="A1769" s="2126"/>
      <c r="B1769" s="2126"/>
      <c r="C1769" s="2126"/>
      <c r="D1769" s="2126"/>
      <c r="E1769" s="525"/>
      <c r="F1769" s="525"/>
      <c r="G1769" s="525"/>
      <c r="K1769" s="3280"/>
      <c r="AB1769" s="3280"/>
      <c r="AG1769" s="3865"/>
      <c r="AM1769" s="3041"/>
      <c r="BD1769" s="3280"/>
      <c r="BF1769" s="3041"/>
      <c r="BH1769" s="3282"/>
    </row>
    <row r="1770" spans="1:60" s="3030" customFormat="1">
      <c r="A1770" s="2126"/>
      <c r="B1770" s="2126"/>
      <c r="C1770" s="2126"/>
      <c r="D1770" s="2126"/>
      <c r="E1770" s="525"/>
      <c r="F1770" s="525"/>
      <c r="G1770" s="525"/>
      <c r="K1770" s="3280"/>
      <c r="AB1770" s="3280"/>
      <c r="AG1770" s="3865"/>
      <c r="AM1770" s="3041"/>
      <c r="BD1770" s="3280"/>
      <c r="BF1770" s="3041"/>
      <c r="BH1770" s="3282"/>
    </row>
    <row r="1771" spans="1:60" s="3030" customFormat="1">
      <c r="A1771" s="2126"/>
      <c r="B1771" s="2126"/>
      <c r="C1771" s="2126"/>
      <c r="D1771" s="2126"/>
      <c r="E1771" s="525"/>
      <c r="F1771" s="525"/>
      <c r="G1771" s="525"/>
      <c r="K1771" s="3280"/>
      <c r="AB1771" s="3280"/>
      <c r="AG1771" s="3865"/>
      <c r="AM1771" s="3041"/>
      <c r="BD1771" s="3280"/>
      <c r="BF1771" s="3041"/>
      <c r="BH1771" s="3282"/>
    </row>
    <row r="1772" spans="1:60" s="3030" customFormat="1">
      <c r="A1772" s="2126"/>
      <c r="B1772" s="2126"/>
      <c r="C1772" s="2126"/>
      <c r="D1772" s="2126"/>
      <c r="E1772" s="525"/>
      <c r="F1772" s="525"/>
      <c r="G1772" s="525"/>
      <c r="K1772" s="3280"/>
      <c r="AB1772" s="3280"/>
      <c r="AG1772" s="3865"/>
      <c r="AM1772" s="3041"/>
      <c r="BD1772" s="3280"/>
      <c r="BF1772" s="3041"/>
      <c r="BH1772" s="3282"/>
    </row>
    <row r="1773" spans="1:60" s="3030" customFormat="1">
      <c r="A1773" s="2126"/>
      <c r="B1773" s="2126"/>
      <c r="C1773" s="2126"/>
      <c r="D1773" s="2126"/>
      <c r="E1773" s="525"/>
      <c r="F1773" s="525"/>
      <c r="G1773" s="525"/>
      <c r="K1773" s="3280"/>
      <c r="AB1773" s="3280"/>
      <c r="AG1773" s="3865"/>
      <c r="AM1773" s="3041"/>
      <c r="BD1773" s="3280"/>
      <c r="BF1773" s="3041"/>
      <c r="BH1773" s="3282"/>
    </row>
    <row r="1774" spans="1:60" s="3030" customFormat="1">
      <c r="A1774" s="2126"/>
      <c r="B1774" s="2126"/>
      <c r="C1774" s="2126"/>
      <c r="D1774" s="2126"/>
      <c r="E1774" s="525"/>
      <c r="F1774" s="525"/>
      <c r="G1774" s="525"/>
      <c r="K1774" s="3280"/>
      <c r="AB1774" s="3280"/>
      <c r="AG1774" s="3865"/>
      <c r="AM1774" s="3041"/>
      <c r="BD1774" s="3280"/>
      <c r="BF1774" s="3041"/>
      <c r="BH1774" s="3282"/>
    </row>
    <row r="1775" spans="1:60" s="3030" customFormat="1">
      <c r="A1775" s="2126"/>
      <c r="B1775" s="2126"/>
      <c r="C1775" s="2126"/>
      <c r="D1775" s="2126"/>
      <c r="E1775" s="525"/>
      <c r="F1775" s="525"/>
      <c r="G1775" s="525"/>
      <c r="K1775" s="3280"/>
      <c r="AB1775" s="3280"/>
      <c r="AG1775" s="3865"/>
      <c r="AM1775" s="3041"/>
      <c r="BD1775" s="3280"/>
      <c r="BF1775" s="3041"/>
      <c r="BH1775" s="3282"/>
    </row>
    <row r="1776" spans="1:60" s="3030" customFormat="1">
      <c r="A1776" s="2126"/>
      <c r="B1776" s="2126"/>
      <c r="C1776" s="2126"/>
      <c r="D1776" s="2126"/>
      <c r="E1776" s="525"/>
      <c r="F1776" s="525"/>
      <c r="G1776" s="525"/>
      <c r="K1776" s="3280"/>
      <c r="AB1776" s="3280"/>
      <c r="AG1776" s="3865"/>
      <c r="AM1776" s="3041"/>
      <c r="BD1776" s="3280"/>
      <c r="BF1776" s="3041"/>
      <c r="BH1776" s="3282"/>
    </row>
    <row r="1777" spans="1:60" s="3030" customFormat="1">
      <c r="A1777" s="2126"/>
      <c r="B1777" s="2126"/>
      <c r="C1777" s="2126"/>
      <c r="D1777" s="2126"/>
      <c r="E1777" s="525"/>
      <c r="F1777" s="525"/>
      <c r="G1777" s="525"/>
      <c r="K1777" s="3280"/>
      <c r="AB1777" s="3280"/>
      <c r="AG1777" s="3865"/>
      <c r="AM1777" s="3041"/>
      <c r="BD1777" s="3280"/>
      <c r="BF1777" s="3041"/>
      <c r="BH1777" s="3282"/>
    </row>
    <row r="1778" spans="1:60" s="3030" customFormat="1">
      <c r="A1778" s="2126"/>
      <c r="B1778" s="2126"/>
      <c r="C1778" s="2126"/>
      <c r="D1778" s="2126"/>
      <c r="E1778" s="525"/>
      <c r="F1778" s="525"/>
      <c r="G1778" s="525"/>
      <c r="K1778" s="3280"/>
      <c r="AB1778" s="3280"/>
      <c r="AG1778" s="3865"/>
      <c r="AM1778" s="3041"/>
      <c r="BD1778" s="3280"/>
      <c r="BF1778" s="3041"/>
      <c r="BH1778" s="3282"/>
    </row>
    <row r="1779" spans="1:60" s="3030" customFormat="1">
      <c r="A1779" s="2126"/>
      <c r="B1779" s="2126"/>
      <c r="C1779" s="2126"/>
      <c r="D1779" s="2126"/>
      <c r="E1779" s="525"/>
      <c r="F1779" s="525"/>
      <c r="G1779" s="525"/>
      <c r="K1779" s="3280"/>
      <c r="AB1779" s="3280"/>
      <c r="AG1779" s="3865"/>
      <c r="AM1779" s="3041"/>
      <c r="BD1779" s="3280"/>
      <c r="BF1779" s="3041"/>
      <c r="BH1779" s="3282"/>
    </row>
    <row r="1780" spans="1:60" s="3030" customFormat="1">
      <c r="A1780" s="2126"/>
      <c r="B1780" s="2126"/>
      <c r="C1780" s="2126"/>
      <c r="D1780" s="2126"/>
      <c r="E1780" s="525"/>
      <c r="F1780" s="525"/>
      <c r="G1780" s="525"/>
      <c r="K1780" s="3280"/>
      <c r="AB1780" s="3280"/>
      <c r="AG1780" s="3865"/>
      <c r="AM1780" s="3041"/>
      <c r="BD1780" s="3280"/>
      <c r="BF1780" s="3041"/>
      <c r="BH1780" s="3282"/>
    </row>
    <row r="1781" spans="1:60" s="3030" customFormat="1">
      <c r="A1781" s="2126"/>
      <c r="B1781" s="2126"/>
      <c r="C1781" s="2126"/>
      <c r="D1781" s="2126"/>
      <c r="E1781" s="525"/>
      <c r="F1781" s="525"/>
      <c r="G1781" s="525"/>
      <c r="K1781" s="3280"/>
      <c r="AB1781" s="3280"/>
      <c r="AG1781" s="3865"/>
      <c r="AM1781" s="3041"/>
      <c r="BD1781" s="3280"/>
      <c r="BF1781" s="3041"/>
      <c r="BH1781" s="3282"/>
    </row>
    <row r="1782" spans="1:60" s="3030" customFormat="1">
      <c r="A1782" s="2126"/>
      <c r="B1782" s="2126"/>
      <c r="C1782" s="2126"/>
      <c r="D1782" s="2126"/>
      <c r="E1782" s="525"/>
      <c r="F1782" s="525"/>
      <c r="G1782" s="525"/>
      <c r="K1782" s="3280"/>
      <c r="AB1782" s="3280"/>
      <c r="AG1782" s="3865"/>
      <c r="AM1782" s="3041"/>
      <c r="BD1782" s="3280"/>
      <c r="BF1782" s="3041"/>
      <c r="BH1782" s="3282"/>
    </row>
    <row r="1783" spans="1:60" s="3030" customFormat="1">
      <c r="A1783" s="2126"/>
      <c r="B1783" s="2126"/>
      <c r="C1783" s="2126"/>
      <c r="D1783" s="2126"/>
      <c r="E1783" s="525"/>
      <c r="F1783" s="525"/>
      <c r="G1783" s="525"/>
      <c r="K1783" s="3280"/>
      <c r="AB1783" s="3280"/>
      <c r="AG1783" s="3865"/>
      <c r="AM1783" s="3041"/>
      <c r="BD1783" s="3280"/>
      <c r="BF1783" s="3041"/>
      <c r="BH1783" s="3282"/>
    </row>
    <row r="1784" spans="1:60" s="3030" customFormat="1">
      <c r="A1784" s="2126"/>
      <c r="B1784" s="2126"/>
      <c r="C1784" s="2126"/>
      <c r="D1784" s="2126"/>
      <c r="E1784" s="525"/>
      <c r="F1784" s="525"/>
      <c r="G1784" s="525"/>
      <c r="K1784" s="3280"/>
      <c r="AB1784" s="3280"/>
      <c r="AG1784" s="3865"/>
      <c r="AM1784" s="3041"/>
      <c r="BD1784" s="3280"/>
      <c r="BF1784" s="3041"/>
      <c r="BH1784" s="3282"/>
    </row>
    <row r="1785" spans="1:60" s="3030" customFormat="1">
      <c r="A1785" s="2126"/>
      <c r="B1785" s="2126"/>
      <c r="C1785" s="2126"/>
      <c r="D1785" s="2126"/>
      <c r="E1785" s="525"/>
      <c r="F1785" s="525"/>
      <c r="G1785" s="525"/>
      <c r="K1785" s="3280"/>
      <c r="AB1785" s="3280"/>
      <c r="AG1785" s="3865"/>
      <c r="AM1785" s="3041"/>
      <c r="BD1785" s="3280"/>
      <c r="BF1785" s="3041"/>
      <c r="BH1785" s="3282"/>
    </row>
    <row r="1786" spans="1:60" s="3030" customFormat="1">
      <c r="A1786" s="2126"/>
      <c r="B1786" s="2126"/>
      <c r="C1786" s="2126"/>
      <c r="D1786" s="2126"/>
      <c r="E1786" s="525"/>
      <c r="F1786" s="525"/>
      <c r="G1786" s="525"/>
      <c r="K1786" s="3280"/>
      <c r="AB1786" s="3280"/>
      <c r="AG1786" s="3865"/>
      <c r="AM1786" s="3041"/>
      <c r="BD1786" s="3280"/>
      <c r="BF1786" s="3041"/>
      <c r="BH1786" s="3282"/>
    </row>
    <row r="1787" spans="1:60" s="3030" customFormat="1">
      <c r="A1787" s="2126"/>
      <c r="B1787" s="2126"/>
      <c r="C1787" s="2126"/>
      <c r="D1787" s="2126"/>
      <c r="E1787" s="525"/>
      <c r="F1787" s="525"/>
      <c r="G1787" s="525"/>
      <c r="K1787" s="3280"/>
      <c r="AB1787" s="3280"/>
      <c r="AG1787" s="3865"/>
      <c r="AM1787" s="3041"/>
      <c r="BD1787" s="3280"/>
      <c r="BF1787" s="3041"/>
      <c r="BH1787" s="3282"/>
    </row>
    <row r="1788" spans="1:60" s="3030" customFormat="1">
      <c r="A1788" s="2126"/>
      <c r="B1788" s="2126"/>
      <c r="C1788" s="2126"/>
      <c r="D1788" s="2126"/>
      <c r="E1788" s="525"/>
      <c r="F1788" s="525"/>
      <c r="G1788" s="525"/>
      <c r="K1788" s="3280"/>
      <c r="AB1788" s="3280"/>
      <c r="AG1788" s="3865"/>
      <c r="AM1788" s="3041"/>
      <c r="BD1788" s="3280"/>
      <c r="BF1788" s="3041"/>
      <c r="BH1788" s="3282"/>
    </row>
    <row r="1789" spans="1:60" s="3030" customFormat="1">
      <c r="A1789" s="2126"/>
      <c r="B1789" s="2126"/>
      <c r="C1789" s="2126"/>
      <c r="D1789" s="2126"/>
      <c r="E1789" s="525"/>
      <c r="F1789" s="525"/>
      <c r="G1789" s="525"/>
      <c r="K1789" s="3280"/>
      <c r="AB1789" s="3280"/>
      <c r="AG1789" s="3865"/>
      <c r="AM1789" s="3041"/>
      <c r="BD1789" s="3280"/>
      <c r="BF1789" s="3041"/>
      <c r="BH1789" s="3282"/>
    </row>
    <row r="1790" spans="1:60" s="3030" customFormat="1">
      <c r="A1790" s="2126"/>
      <c r="B1790" s="2126"/>
      <c r="C1790" s="2126"/>
      <c r="D1790" s="2126"/>
      <c r="E1790" s="525"/>
      <c r="F1790" s="525"/>
      <c r="G1790" s="525"/>
      <c r="K1790" s="3280"/>
      <c r="AB1790" s="3280"/>
      <c r="AG1790" s="3865"/>
      <c r="AM1790" s="3041"/>
      <c r="BD1790" s="3280"/>
      <c r="BF1790" s="3041"/>
      <c r="BH1790" s="3282"/>
    </row>
    <row r="1791" spans="1:60" s="3030" customFormat="1">
      <c r="A1791" s="2126"/>
      <c r="B1791" s="2126"/>
      <c r="C1791" s="2126"/>
      <c r="D1791" s="2126"/>
      <c r="E1791" s="525"/>
      <c r="F1791" s="525"/>
      <c r="G1791" s="525"/>
      <c r="K1791" s="3280"/>
      <c r="AB1791" s="3280"/>
      <c r="AG1791" s="3865"/>
      <c r="AM1791" s="3041"/>
      <c r="BD1791" s="3280"/>
      <c r="BF1791" s="3041"/>
      <c r="BH1791" s="3282"/>
    </row>
    <row r="1792" spans="1:60" s="3030" customFormat="1">
      <c r="A1792" s="2126"/>
      <c r="B1792" s="2126"/>
      <c r="C1792" s="2126"/>
      <c r="D1792" s="2126"/>
      <c r="E1792" s="525"/>
      <c r="F1792" s="525"/>
      <c r="G1792" s="525"/>
      <c r="K1792" s="3280"/>
      <c r="AB1792" s="3280"/>
      <c r="AG1792" s="3865"/>
      <c r="AM1792" s="3041"/>
      <c r="BD1792" s="3280"/>
      <c r="BF1792" s="3041"/>
      <c r="BH1792" s="3282"/>
    </row>
    <row r="1793" spans="1:60" s="3030" customFormat="1">
      <c r="A1793" s="2126"/>
      <c r="B1793" s="2126"/>
      <c r="C1793" s="2126"/>
      <c r="D1793" s="2126"/>
      <c r="E1793" s="525"/>
      <c r="F1793" s="525"/>
      <c r="G1793" s="525"/>
      <c r="K1793" s="3280"/>
      <c r="AB1793" s="3280"/>
      <c r="AG1793" s="3865"/>
      <c r="AM1793" s="3041"/>
      <c r="BD1793" s="3280"/>
      <c r="BF1793" s="3041"/>
      <c r="BH1793" s="3282"/>
    </row>
    <row r="1794" spans="1:60" s="3030" customFormat="1">
      <c r="A1794" s="2126"/>
      <c r="B1794" s="2126"/>
      <c r="C1794" s="2126"/>
      <c r="D1794" s="2126"/>
      <c r="E1794" s="525"/>
      <c r="F1794" s="525"/>
      <c r="G1794" s="525"/>
      <c r="K1794" s="3280"/>
      <c r="AB1794" s="3280"/>
      <c r="AG1794" s="3865"/>
      <c r="AM1794" s="3041"/>
      <c r="BD1794" s="3280"/>
      <c r="BF1794" s="3041"/>
      <c r="BH1794" s="3282"/>
    </row>
    <row r="1795" spans="1:60" s="3030" customFormat="1">
      <c r="A1795" s="2126"/>
      <c r="B1795" s="2126"/>
      <c r="C1795" s="2126"/>
      <c r="D1795" s="2126"/>
      <c r="E1795" s="525"/>
      <c r="F1795" s="525"/>
      <c r="G1795" s="525"/>
      <c r="K1795" s="3280"/>
      <c r="AB1795" s="3280"/>
      <c r="AG1795" s="3865"/>
      <c r="AM1795" s="3041"/>
      <c r="BD1795" s="3280"/>
      <c r="BF1795" s="3041"/>
      <c r="BH1795" s="3282"/>
    </row>
    <row r="1796" spans="1:60" s="3030" customFormat="1">
      <c r="A1796" s="2126"/>
      <c r="B1796" s="2126"/>
      <c r="C1796" s="2126"/>
      <c r="D1796" s="2126"/>
      <c r="E1796" s="525"/>
      <c r="F1796" s="525"/>
      <c r="G1796" s="525"/>
      <c r="K1796" s="3280"/>
      <c r="AB1796" s="3280"/>
      <c r="AG1796" s="3865"/>
      <c r="AM1796" s="3041"/>
      <c r="BD1796" s="3280"/>
      <c r="BF1796" s="3041"/>
      <c r="BH1796" s="3282"/>
    </row>
    <row r="1797" spans="1:60" s="3030" customFormat="1">
      <c r="A1797" s="2126"/>
      <c r="B1797" s="2126"/>
      <c r="C1797" s="2126"/>
      <c r="D1797" s="2126"/>
      <c r="E1797" s="525"/>
      <c r="F1797" s="525"/>
      <c r="G1797" s="525"/>
      <c r="K1797" s="3280"/>
      <c r="AB1797" s="3280"/>
      <c r="AG1797" s="3865"/>
      <c r="AM1797" s="3041"/>
      <c r="BD1797" s="3280"/>
      <c r="BF1797" s="3041"/>
      <c r="BH1797" s="3282"/>
    </row>
    <row r="1798" spans="1:60" s="3030" customFormat="1">
      <c r="A1798" s="2126"/>
      <c r="B1798" s="2126"/>
      <c r="C1798" s="2126"/>
      <c r="D1798" s="2126"/>
      <c r="E1798" s="525"/>
      <c r="F1798" s="525"/>
      <c r="G1798" s="525"/>
      <c r="K1798" s="3280"/>
      <c r="AB1798" s="3280"/>
      <c r="AG1798" s="3865"/>
      <c r="AM1798" s="3041"/>
      <c r="BD1798" s="3280"/>
      <c r="BF1798" s="3041"/>
      <c r="BH1798" s="3282"/>
    </row>
    <row r="1799" spans="1:60" s="3030" customFormat="1">
      <c r="A1799" s="2126"/>
      <c r="B1799" s="2126"/>
      <c r="C1799" s="2126"/>
      <c r="D1799" s="2126"/>
      <c r="E1799" s="525"/>
      <c r="F1799" s="525"/>
      <c r="G1799" s="525"/>
      <c r="K1799" s="3280"/>
      <c r="AB1799" s="3280"/>
      <c r="AG1799" s="3865"/>
      <c r="AM1799" s="3041"/>
      <c r="BD1799" s="3280"/>
      <c r="BF1799" s="3041"/>
      <c r="BH1799" s="3282"/>
    </row>
    <row r="1800" spans="1:60" s="3030" customFormat="1">
      <c r="A1800" s="2126"/>
      <c r="B1800" s="2126"/>
      <c r="C1800" s="2126"/>
      <c r="D1800" s="2126"/>
      <c r="E1800" s="525"/>
      <c r="F1800" s="525"/>
      <c r="G1800" s="525"/>
      <c r="K1800" s="3280"/>
      <c r="AB1800" s="3280"/>
      <c r="AG1800" s="3865"/>
      <c r="AM1800" s="3041"/>
      <c r="BD1800" s="3280"/>
      <c r="BF1800" s="3041"/>
      <c r="BH1800" s="3282"/>
    </row>
    <row r="1801" spans="1:60" s="3030" customFormat="1">
      <c r="A1801" s="2126"/>
      <c r="B1801" s="2126"/>
      <c r="C1801" s="2126"/>
      <c r="D1801" s="2126"/>
      <c r="E1801" s="525"/>
      <c r="F1801" s="525"/>
      <c r="G1801" s="525"/>
      <c r="K1801" s="3280"/>
      <c r="AB1801" s="3280"/>
      <c r="AG1801" s="3865"/>
      <c r="AM1801" s="3041"/>
      <c r="BD1801" s="3280"/>
      <c r="BF1801" s="3041"/>
      <c r="BH1801" s="3282"/>
    </row>
    <row r="1802" spans="1:60" s="3030" customFormat="1">
      <c r="A1802" s="2126"/>
      <c r="B1802" s="2126"/>
      <c r="C1802" s="2126"/>
      <c r="D1802" s="2126"/>
      <c r="E1802" s="525"/>
      <c r="F1802" s="525"/>
      <c r="G1802" s="525"/>
      <c r="K1802" s="3280"/>
      <c r="AB1802" s="3280"/>
      <c r="AG1802" s="3865"/>
      <c r="AM1802" s="3041"/>
      <c r="BD1802" s="3280"/>
      <c r="BF1802" s="3041"/>
      <c r="BH1802" s="3282"/>
    </row>
    <row r="1803" spans="1:60" s="3030" customFormat="1">
      <c r="A1803" s="2126"/>
      <c r="B1803" s="2126"/>
      <c r="C1803" s="2126"/>
      <c r="D1803" s="2126"/>
      <c r="E1803" s="525"/>
      <c r="F1803" s="525"/>
      <c r="G1803" s="525"/>
      <c r="K1803" s="3280"/>
      <c r="AB1803" s="3280"/>
      <c r="AG1803" s="3865"/>
      <c r="AM1803" s="3041"/>
      <c r="BD1803" s="3280"/>
      <c r="BF1803" s="3041"/>
      <c r="BH1803" s="3282"/>
    </row>
    <row r="1804" spans="1:60" s="3030" customFormat="1">
      <c r="A1804" s="2126"/>
      <c r="B1804" s="2126"/>
      <c r="C1804" s="2126"/>
      <c r="D1804" s="2126"/>
      <c r="E1804" s="525"/>
      <c r="F1804" s="525"/>
      <c r="G1804" s="525"/>
      <c r="K1804" s="3280"/>
      <c r="AB1804" s="3280"/>
      <c r="AG1804" s="3865"/>
      <c r="AM1804" s="3041"/>
      <c r="BD1804" s="3280"/>
      <c r="BF1804" s="3041"/>
      <c r="BH1804" s="3282"/>
    </row>
    <row r="1805" spans="1:60" s="3030" customFormat="1">
      <c r="A1805" s="2126"/>
      <c r="B1805" s="2126"/>
      <c r="C1805" s="2126"/>
      <c r="D1805" s="2126"/>
      <c r="E1805" s="525"/>
      <c r="F1805" s="525"/>
      <c r="G1805" s="525"/>
      <c r="K1805" s="3280"/>
      <c r="AB1805" s="3280"/>
      <c r="AG1805" s="3865"/>
      <c r="AM1805" s="3041"/>
      <c r="BD1805" s="3280"/>
      <c r="BF1805" s="3041"/>
      <c r="BH1805" s="3282"/>
    </row>
    <row r="1806" spans="1:60" s="3030" customFormat="1">
      <c r="A1806" s="2126"/>
      <c r="B1806" s="2126"/>
      <c r="C1806" s="2126"/>
      <c r="D1806" s="2126"/>
      <c r="E1806" s="525"/>
      <c r="F1806" s="525"/>
      <c r="G1806" s="525"/>
      <c r="K1806" s="3280"/>
      <c r="AB1806" s="3280"/>
      <c r="AG1806" s="3865"/>
      <c r="AM1806" s="3041"/>
      <c r="BD1806" s="3280"/>
      <c r="BF1806" s="3041"/>
      <c r="BH1806" s="3282"/>
    </row>
    <row r="1807" spans="1:60" s="3030" customFormat="1">
      <c r="A1807" s="2126"/>
      <c r="B1807" s="2126"/>
      <c r="C1807" s="2126"/>
      <c r="D1807" s="2126"/>
      <c r="E1807" s="525"/>
      <c r="F1807" s="525"/>
      <c r="G1807" s="525"/>
      <c r="K1807" s="3280"/>
      <c r="AB1807" s="3280"/>
      <c r="AG1807" s="3865"/>
      <c r="AM1807" s="3041"/>
      <c r="BD1807" s="3280"/>
      <c r="BF1807" s="3041"/>
      <c r="BH1807" s="3282"/>
    </row>
    <row r="1808" spans="1:60" s="3030" customFormat="1">
      <c r="A1808" s="2126"/>
      <c r="B1808" s="2126"/>
      <c r="C1808" s="2126"/>
      <c r="D1808" s="2126"/>
      <c r="E1808" s="525"/>
      <c r="F1808" s="525"/>
      <c r="G1808" s="525"/>
      <c r="K1808" s="3280"/>
      <c r="AB1808" s="3280"/>
      <c r="AG1808" s="3865"/>
      <c r="AM1808" s="3041"/>
      <c r="BD1808" s="3280"/>
      <c r="BF1808" s="3041"/>
      <c r="BH1808" s="3282"/>
    </row>
    <row r="1809" spans="1:60" s="3030" customFormat="1">
      <c r="A1809" s="2126"/>
      <c r="B1809" s="2126"/>
      <c r="C1809" s="2126"/>
      <c r="D1809" s="2126"/>
      <c r="E1809" s="525"/>
      <c r="F1809" s="525"/>
      <c r="G1809" s="525"/>
      <c r="K1809" s="3280"/>
      <c r="AB1809" s="3280"/>
      <c r="AG1809" s="3865"/>
      <c r="AM1809" s="3041"/>
      <c r="BD1809" s="3280"/>
      <c r="BF1809" s="3041"/>
      <c r="BH1809" s="3282"/>
    </row>
    <row r="1810" spans="1:60" s="3030" customFormat="1">
      <c r="A1810" s="2126"/>
      <c r="B1810" s="2126"/>
      <c r="C1810" s="2126"/>
      <c r="D1810" s="2126"/>
      <c r="E1810" s="525"/>
      <c r="F1810" s="525"/>
      <c r="G1810" s="525"/>
      <c r="K1810" s="3280"/>
      <c r="AB1810" s="3280"/>
      <c r="AG1810" s="3865"/>
      <c r="AM1810" s="3041"/>
      <c r="BD1810" s="3280"/>
      <c r="BF1810" s="3041"/>
      <c r="BH1810" s="3282"/>
    </row>
    <row r="1811" spans="1:60" s="3030" customFormat="1">
      <c r="A1811" s="2126"/>
      <c r="B1811" s="2126"/>
      <c r="C1811" s="2126"/>
      <c r="D1811" s="2126"/>
      <c r="E1811" s="525"/>
      <c r="F1811" s="525"/>
      <c r="G1811" s="525"/>
      <c r="K1811" s="3280"/>
      <c r="AB1811" s="3280"/>
      <c r="AG1811" s="3865"/>
      <c r="AM1811" s="3041"/>
      <c r="BD1811" s="3280"/>
      <c r="BF1811" s="3041"/>
      <c r="BH1811" s="3282"/>
    </row>
    <row r="1812" spans="1:60" s="3030" customFormat="1">
      <c r="A1812" s="2126"/>
      <c r="B1812" s="2126"/>
      <c r="C1812" s="2126"/>
      <c r="D1812" s="2126"/>
      <c r="E1812" s="525"/>
      <c r="F1812" s="525"/>
      <c r="G1812" s="525"/>
      <c r="K1812" s="3280"/>
      <c r="AB1812" s="3280"/>
      <c r="AG1812" s="3865"/>
      <c r="AM1812" s="3041"/>
      <c r="BD1812" s="3280"/>
      <c r="BF1812" s="3041"/>
      <c r="BH1812" s="3282"/>
    </row>
    <row r="1813" spans="1:60" s="3030" customFormat="1">
      <c r="A1813" s="2126"/>
      <c r="B1813" s="2126"/>
      <c r="C1813" s="2126"/>
      <c r="D1813" s="2126"/>
      <c r="E1813" s="525"/>
      <c r="F1813" s="525"/>
      <c r="G1813" s="525"/>
      <c r="K1813" s="3280"/>
      <c r="AB1813" s="3280"/>
      <c r="AG1813" s="3865"/>
      <c r="AM1813" s="3041"/>
      <c r="BD1813" s="3280"/>
      <c r="BF1813" s="3041"/>
      <c r="BH1813" s="3282"/>
    </row>
    <row r="1814" spans="1:60" s="3030" customFormat="1">
      <c r="A1814" s="2126"/>
      <c r="B1814" s="2126"/>
      <c r="C1814" s="2126"/>
      <c r="D1814" s="2126"/>
      <c r="E1814" s="525"/>
      <c r="F1814" s="525"/>
      <c r="G1814" s="525"/>
      <c r="K1814" s="3280"/>
      <c r="AB1814" s="3280"/>
      <c r="AG1814" s="3865"/>
      <c r="AM1814" s="3041"/>
      <c r="BD1814" s="3280"/>
      <c r="BF1814" s="3041"/>
      <c r="BH1814" s="3282"/>
    </row>
    <row r="1815" spans="1:60" s="3030" customFormat="1">
      <c r="A1815" s="2126"/>
      <c r="B1815" s="2126"/>
      <c r="C1815" s="2126"/>
      <c r="D1815" s="2126"/>
      <c r="E1815" s="525"/>
      <c r="F1815" s="525"/>
      <c r="G1815" s="525"/>
      <c r="K1815" s="3280"/>
      <c r="AB1815" s="3280"/>
      <c r="AG1815" s="3865"/>
      <c r="AM1815" s="3041"/>
      <c r="BD1815" s="3280"/>
      <c r="BF1815" s="3041"/>
      <c r="BH1815" s="3282"/>
    </row>
    <row r="1816" spans="1:60" s="3030" customFormat="1">
      <c r="A1816" s="2126"/>
      <c r="B1816" s="2126"/>
      <c r="C1816" s="2126"/>
      <c r="D1816" s="2126"/>
      <c r="E1816" s="525"/>
      <c r="F1816" s="525"/>
      <c r="G1816" s="525"/>
      <c r="K1816" s="3280"/>
      <c r="AB1816" s="3280"/>
      <c r="AG1816" s="3865"/>
      <c r="AM1816" s="3041"/>
      <c r="BD1816" s="3280"/>
      <c r="BF1816" s="3041"/>
      <c r="BH1816" s="3282"/>
    </row>
    <row r="1817" spans="1:60" s="3030" customFormat="1">
      <c r="A1817" s="2126"/>
      <c r="B1817" s="2126"/>
      <c r="C1817" s="2126"/>
      <c r="D1817" s="2126"/>
      <c r="E1817" s="525"/>
      <c r="F1817" s="525"/>
      <c r="G1817" s="525"/>
      <c r="K1817" s="3280"/>
      <c r="AB1817" s="3280"/>
      <c r="AG1817" s="3865"/>
      <c r="AM1817" s="3041"/>
      <c r="BD1817" s="3280"/>
      <c r="BF1817" s="3041"/>
      <c r="BH1817" s="3282"/>
    </row>
    <row r="1818" spans="1:60" s="3030" customFormat="1">
      <c r="A1818" s="2126"/>
      <c r="B1818" s="2126"/>
      <c r="C1818" s="2126"/>
      <c r="D1818" s="2126"/>
      <c r="E1818" s="525"/>
      <c r="F1818" s="525"/>
      <c r="G1818" s="525"/>
      <c r="K1818" s="3280"/>
      <c r="AB1818" s="3280"/>
      <c r="AG1818" s="3865"/>
      <c r="AM1818" s="3041"/>
      <c r="BD1818" s="3280"/>
      <c r="BF1818" s="3041"/>
      <c r="BH1818" s="3282"/>
    </row>
    <row r="1819" spans="1:60" s="3030" customFormat="1">
      <c r="A1819" s="2126"/>
      <c r="B1819" s="2126"/>
      <c r="C1819" s="2126"/>
      <c r="D1819" s="2126"/>
      <c r="E1819" s="525"/>
      <c r="F1819" s="525"/>
      <c r="G1819" s="525"/>
      <c r="K1819" s="3280"/>
      <c r="AB1819" s="3280"/>
      <c r="AG1819" s="3865"/>
      <c r="AM1819" s="3041"/>
      <c r="BD1819" s="3280"/>
      <c r="BF1819" s="3041"/>
      <c r="BH1819" s="3282"/>
    </row>
    <row r="1820" spans="1:60" s="3030" customFormat="1">
      <c r="A1820" s="2126"/>
      <c r="B1820" s="2126"/>
      <c r="C1820" s="2126"/>
      <c r="D1820" s="2126"/>
      <c r="E1820" s="525"/>
      <c r="F1820" s="525"/>
      <c r="G1820" s="525"/>
      <c r="K1820" s="3280"/>
      <c r="AB1820" s="3280"/>
      <c r="AG1820" s="3865"/>
      <c r="AM1820" s="3041"/>
      <c r="BD1820" s="3280"/>
      <c r="BF1820" s="3041"/>
      <c r="BH1820" s="3282"/>
    </row>
    <row r="1821" spans="1:60" s="3030" customFormat="1">
      <c r="A1821" s="2126"/>
      <c r="B1821" s="2126"/>
      <c r="C1821" s="2126"/>
      <c r="D1821" s="2126"/>
      <c r="E1821" s="525"/>
      <c r="F1821" s="525"/>
      <c r="G1821" s="525"/>
      <c r="K1821" s="3280"/>
      <c r="AB1821" s="3280"/>
      <c r="AG1821" s="3865"/>
      <c r="AM1821" s="3041"/>
      <c r="BD1821" s="3280"/>
      <c r="BF1821" s="3041"/>
      <c r="BH1821" s="3282"/>
    </row>
    <row r="1822" spans="1:60" s="3030" customFormat="1">
      <c r="A1822" s="2126"/>
      <c r="B1822" s="2126"/>
      <c r="C1822" s="2126"/>
      <c r="D1822" s="2126"/>
      <c r="E1822" s="525"/>
      <c r="F1822" s="525"/>
      <c r="G1822" s="525"/>
      <c r="K1822" s="3280"/>
      <c r="AB1822" s="3280"/>
      <c r="AG1822" s="3865"/>
      <c r="AM1822" s="3041"/>
      <c r="BD1822" s="3280"/>
      <c r="BF1822" s="3041"/>
      <c r="BH1822" s="3282"/>
    </row>
    <row r="1823" spans="1:60" s="3030" customFormat="1">
      <c r="A1823" s="2126"/>
      <c r="B1823" s="2126"/>
      <c r="C1823" s="2126"/>
      <c r="D1823" s="2126"/>
      <c r="E1823" s="525"/>
      <c r="F1823" s="525"/>
      <c r="G1823" s="525"/>
      <c r="K1823" s="3280"/>
      <c r="AB1823" s="3280"/>
      <c r="AG1823" s="3865"/>
      <c r="AM1823" s="3041"/>
      <c r="BD1823" s="3280"/>
      <c r="BF1823" s="3041"/>
      <c r="BH1823" s="3282"/>
    </row>
    <row r="1824" spans="1:60" s="3030" customFormat="1">
      <c r="A1824" s="2126"/>
      <c r="B1824" s="2126"/>
      <c r="C1824" s="2126"/>
      <c r="D1824" s="2126"/>
      <c r="E1824" s="525"/>
      <c r="F1824" s="525"/>
      <c r="G1824" s="525"/>
      <c r="K1824" s="3280"/>
      <c r="AB1824" s="3280"/>
      <c r="AG1824" s="3865"/>
      <c r="AM1824" s="3041"/>
      <c r="BD1824" s="3280"/>
      <c r="BF1824" s="3041"/>
      <c r="BH1824" s="3282"/>
    </row>
    <row r="1825" spans="1:60" s="3030" customFormat="1">
      <c r="A1825" s="2126"/>
      <c r="B1825" s="2126"/>
      <c r="C1825" s="2126"/>
      <c r="D1825" s="2126"/>
      <c r="E1825" s="525"/>
      <c r="F1825" s="525"/>
      <c r="G1825" s="525"/>
      <c r="K1825" s="3280"/>
      <c r="AB1825" s="3280"/>
      <c r="AG1825" s="3865"/>
      <c r="AM1825" s="3041"/>
      <c r="BD1825" s="3280"/>
      <c r="BF1825" s="3041"/>
      <c r="BH1825" s="3282"/>
    </row>
    <row r="1826" spans="1:60" s="3030" customFormat="1">
      <c r="A1826" s="2126"/>
      <c r="B1826" s="2126"/>
      <c r="C1826" s="2126"/>
      <c r="D1826" s="2126"/>
      <c r="E1826" s="525"/>
      <c r="F1826" s="525"/>
      <c r="G1826" s="525"/>
      <c r="K1826" s="3280"/>
      <c r="AB1826" s="3280"/>
      <c r="AG1826" s="3865"/>
      <c r="AM1826" s="3041"/>
      <c r="BD1826" s="3280"/>
      <c r="BF1826" s="3041"/>
      <c r="BH1826" s="3282"/>
    </row>
    <row r="1827" spans="1:60" s="3030" customFormat="1">
      <c r="A1827" s="2126"/>
      <c r="B1827" s="2126"/>
      <c r="C1827" s="2126"/>
      <c r="D1827" s="2126"/>
      <c r="E1827" s="525"/>
      <c r="F1827" s="525"/>
      <c r="G1827" s="525"/>
      <c r="K1827" s="3280"/>
      <c r="AB1827" s="3280"/>
      <c r="AG1827" s="3865"/>
      <c r="AM1827" s="3041"/>
      <c r="BD1827" s="3280"/>
      <c r="BF1827" s="3041"/>
      <c r="BH1827" s="3282"/>
    </row>
    <row r="1828" spans="1:60" s="3030" customFormat="1">
      <c r="A1828" s="2126"/>
      <c r="B1828" s="2126"/>
      <c r="C1828" s="2126"/>
      <c r="D1828" s="2126"/>
      <c r="E1828" s="525"/>
      <c r="F1828" s="525"/>
      <c r="G1828" s="525"/>
      <c r="K1828" s="3280"/>
      <c r="AB1828" s="3280"/>
      <c r="AG1828" s="3865"/>
      <c r="AM1828" s="3041"/>
      <c r="BD1828" s="3280"/>
      <c r="BF1828" s="3041"/>
      <c r="BH1828" s="3282"/>
    </row>
    <row r="1829" spans="1:60" s="3030" customFormat="1">
      <c r="A1829" s="2126"/>
      <c r="B1829" s="2126"/>
      <c r="C1829" s="2126"/>
      <c r="D1829" s="2126"/>
      <c r="E1829" s="525"/>
      <c r="F1829" s="525"/>
      <c r="G1829" s="525"/>
      <c r="K1829" s="3280"/>
      <c r="AB1829" s="3280"/>
      <c r="AG1829" s="3865"/>
      <c r="AM1829" s="3041"/>
      <c r="BD1829" s="3280"/>
      <c r="BF1829" s="3041"/>
      <c r="BH1829" s="3282"/>
    </row>
    <row r="1830" spans="1:60" s="3030" customFormat="1">
      <c r="A1830" s="2126"/>
      <c r="B1830" s="2126"/>
      <c r="C1830" s="2126"/>
      <c r="D1830" s="2126"/>
      <c r="E1830" s="525"/>
      <c r="F1830" s="525"/>
      <c r="G1830" s="525"/>
      <c r="K1830" s="3280"/>
      <c r="AB1830" s="3280"/>
      <c r="AG1830" s="3865"/>
      <c r="AM1830" s="3041"/>
      <c r="BD1830" s="3280"/>
      <c r="BF1830" s="3041"/>
      <c r="BH1830" s="3282"/>
    </row>
    <row r="1831" spans="1:60" s="3030" customFormat="1">
      <c r="A1831" s="2126"/>
      <c r="B1831" s="2126"/>
      <c r="C1831" s="2126"/>
      <c r="D1831" s="2126"/>
      <c r="E1831" s="525"/>
      <c r="F1831" s="525"/>
      <c r="G1831" s="525"/>
      <c r="K1831" s="3280"/>
      <c r="AB1831" s="3280"/>
      <c r="AG1831" s="3865"/>
      <c r="AM1831" s="3041"/>
      <c r="BD1831" s="3280"/>
      <c r="BF1831" s="3041"/>
      <c r="BH1831" s="3282"/>
    </row>
    <row r="1832" spans="1:60" s="3030" customFormat="1">
      <c r="A1832" s="2126"/>
      <c r="B1832" s="2126"/>
      <c r="C1832" s="2126"/>
      <c r="D1832" s="2126"/>
      <c r="E1832" s="525"/>
      <c r="F1832" s="525"/>
      <c r="G1832" s="525"/>
      <c r="K1832" s="3280"/>
      <c r="AB1832" s="3280"/>
      <c r="AG1832" s="3865"/>
      <c r="AM1832" s="3041"/>
      <c r="BD1832" s="3280"/>
      <c r="BF1832" s="3041"/>
      <c r="BH1832" s="3282"/>
    </row>
    <row r="1833" spans="1:60" s="3030" customFormat="1">
      <c r="A1833" s="2126"/>
      <c r="B1833" s="2126"/>
      <c r="C1833" s="2126"/>
      <c r="D1833" s="2126"/>
      <c r="E1833" s="525"/>
      <c r="F1833" s="525"/>
      <c r="G1833" s="525"/>
      <c r="K1833" s="3280"/>
      <c r="AB1833" s="3280"/>
      <c r="AG1833" s="3865"/>
      <c r="AM1833" s="3041"/>
      <c r="BD1833" s="3280"/>
      <c r="BF1833" s="3041"/>
      <c r="BH1833" s="3282"/>
    </row>
    <row r="1834" spans="1:60" s="3030" customFormat="1">
      <c r="A1834" s="2126"/>
      <c r="B1834" s="2126"/>
      <c r="C1834" s="2126"/>
      <c r="D1834" s="2126"/>
      <c r="E1834" s="525"/>
      <c r="F1834" s="525"/>
      <c r="G1834" s="525"/>
      <c r="K1834" s="3280"/>
      <c r="AB1834" s="3280"/>
      <c r="AG1834" s="3865"/>
      <c r="AM1834" s="3041"/>
      <c r="BD1834" s="3280"/>
      <c r="BF1834" s="3041"/>
      <c r="BH1834" s="3282"/>
    </row>
    <row r="1835" spans="1:60" s="3030" customFormat="1">
      <c r="A1835" s="2126"/>
      <c r="B1835" s="2126"/>
      <c r="C1835" s="2126"/>
      <c r="D1835" s="2126"/>
      <c r="E1835" s="525"/>
      <c r="F1835" s="525"/>
      <c r="G1835" s="525"/>
      <c r="K1835" s="3280"/>
      <c r="AB1835" s="3280"/>
      <c r="AG1835" s="3865"/>
      <c r="AM1835" s="3041"/>
      <c r="BD1835" s="3280"/>
      <c r="BF1835" s="3041"/>
      <c r="BH1835" s="3282"/>
    </row>
    <row r="1836" spans="1:60" s="3030" customFormat="1">
      <c r="A1836" s="2126"/>
      <c r="B1836" s="2126"/>
      <c r="C1836" s="2126"/>
      <c r="D1836" s="2126"/>
      <c r="E1836" s="525"/>
      <c r="F1836" s="525"/>
      <c r="G1836" s="525"/>
      <c r="K1836" s="3280"/>
      <c r="AB1836" s="3280"/>
      <c r="AG1836" s="3865"/>
      <c r="AM1836" s="3041"/>
      <c r="BD1836" s="3280"/>
      <c r="BF1836" s="3041"/>
      <c r="BH1836" s="3282"/>
    </row>
    <row r="1837" spans="1:60" s="3030" customFormat="1">
      <c r="A1837" s="2126"/>
      <c r="B1837" s="2126"/>
      <c r="C1837" s="2126"/>
      <c r="D1837" s="2126"/>
      <c r="E1837" s="525"/>
      <c r="F1837" s="525"/>
      <c r="G1837" s="525"/>
      <c r="K1837" s="3280"/>
      <c r="AB1837" s="3280"/>
      <c r="AG1837" s="3865"/>
      <c r="AM1837" s="3041"/>
      <c r="BD1837" s="3280"/>
      <c r="BF1837" s="3041"/>
      <c r="BH1837" s="3282"/>
    </row>
    <row r="1838" spans="1:60" s="3030" customFormat="1">
      <c r="A1838" s="2126"/>
      <c r="B1838" s="2126"/>
      <c r="C1838" s="2126"/>
      <c r="D1838" s="2126"/>
      <c r="E1838" s="525"/>
      <c r="F1838" s="525"/>
      <c r="G1838" s="525"/>
      <c r="K1838" s="3280"/>
      <c r="AB1838" s="3280"/>
      <c r="AG1838" s="3865"/>
      <c r="AM1838" s="3041"/>
      <c r="BD1838" s="3280"/>
      <c r="BF1838" s="3041"/>
      <c r="BH1838" s="3282"/>
    </row>
    <row r="1839" spans="1:60" s="3030" customFormat="1">
      <c r="A1839" s="2126"/>
      <c r="B1839" s="2126"/>
      <c r="C1839" s="2126"/>
      <c r="D1839" s="2126"/>
      <c r="E1839" s="525"/>
      <c r="F1839" s="525"/>
      <c r="G1839" s="525"/>
      <c r="K1839" s="3280"/>
      <c r="AB1839" s="3280"/>
      <c r="AG1839" s="3865"/>
      <c r="AM1839" s="3041"/>
      <c r="BD1839" s="3280"/>
      <c r="BF1839" s="3041"/>
      <c r="BH1839" s="3282"/>
    </row>
    <row r="1840" spans="1:60" s="3030" customFormat="1">
      <c r="A1840" s="2126"/>
      <c r="B1840" s="2126"/>
      <c r="C1840" s="2126"/>
      <c r="D1840" s="2126"/>
      <c r="E1840" s="525"/>
      <c r="F1840" s="525"/>
      <c r="G1840" s="525"/>
      <c r="K1840" s="3280"/>
      <c r="AB1840" s="3280"/>
      <c r="AG1840" s="3865"/>
      <c r="AM1840" s="3041"/>
      <c r="BD1840" s="3280"/>
      <c r="BF1840" s="3041"/>
      <c r="BH1840" s="3282"/>
    </row>
    <row r="1841" spans="1:60" s="3030" customFormat="1">
      <c r="A1841" s="2126"/>
      <c r="B1841" s="2126"/>
      <c r="C1841" s="2126"/>
      <c r="D1841" s="2126"/>
      <c r="E1841" s="525"/>
      <c r="F1841" s="525"/>
      <c r="G1841" s="525"/>
      <c r="K1841" s="3280"/>
      <c r="AB1841" s="3280"/>
      <c r="AG1841" s="3865"/>
      <c r="AM1841" s="3041"/>
      <c r="BD1841" s="3280"/>
      <c r="BF1841" s="3041"/>
      <c r="BH1841" s="3282"/>
    </row>
    <row r="1842" spans="1:60" s="3030" customFormat="1">
      <c r="A1842" s="2126"/>
      <c r="B1842" s="2126"/>
      <c r="C1842" s="2126"/>
      <c r="D1842" s="2126"/>
      <c r="E1842" s="525"/>
      <c r="F1842" s="525"/>
      <c r="G1842" s="525"/>
      <c r="K1842" s="3280"/>
      <c r="AB1842" s="3280"/>
      <c r="AG1842" s="3865"/>
      <c r="AM1842" s="3041"/>
      <c r="BD1842" s="3280"/>
      <c r="BF1842" s="3041"/>
      <c r="BH1842" s="3282"/>
    </row>
    <row r="1843" spans="1:60" s="3030" customFormat="1">
      <c r="A1843" s="2126"/>
      <c r="B1843" s="2126"/>
      <c r="C1843" s="2126"/>
      <c r="D1843" s="2126"/>
      <c r="E1843" s="525"/>
      <c r="F1843" s="525"/>
      <c r="G1843" s="525"/>
      <c r="K1843" s="3280"/>
      <c r="AB1843" s="3280"/>
      <c r="AG1843" s="3865"/>
      <c r="AM1843" s="3041"/>
      <c r="BD1843" s="3280"/>
      <c r="BF1843" s="3041"/>
      <c r="BH1843" s="3282"/>
    </row>
    <row r="1844" spans="1:60" s="3030" customFormat="1">
      <c r="A1844" s="2126"/>
      <c r="B1844" s="2126"/>
      <c r="C1844" s="2126"/>
      <c r="D1844" s="2126"/>
      <c r="E1844" s="525"/>
      <c r="F1844" s="525"/>
      <c r="G1844" s="525"/>
      <c r="K1844" s="3280"/>
      <c r="AB1844" s="3280"/>
      <c r="AG1844" s="3865"/>
      <c r="AM1844" s="3041"/>
      <c r="BD1844" s="3280"/>
      <c r="BF1844" s="3041"/>
      <c r="BH1844" s="3282"/>
    </row>
    <row r="1845" spans="1:60" s="3030" customFormat="1">
      <c r="A1845" s="2126"/>
      <c r="B1845" s="2126"/>
      <c r="C1845" s="2126"/>
      <c r="D1845" s="2126"/>
      <c r="E1845" s="525"/>
      <c r="F1845" s="525"/>
      <c r="G1845" s="525"/>
      <c r="K1845" s="3280"/>
      <c r="AB1845" s="3280"/>
      <c r="AG1845" s="3865"/>
      <c r="AM1845" s="3041"/>
      <c r="BD1845" s="3280"/>
      <c r="BF1845" s="3041"/>
      <c r="BH1845" s="3282"/>
    </row>
    <row r="1846" spans="1:60" s="3030" customFormat="1">
      <c r="A1846" s="2126"/>
      <c r="B1846" s="2126"/>
      <c r="C1846" s="2126"/>
      <c r="D1846" s="2126"/>
      <c r="E1846" s="525"/>
      <c r="F1846" s="525"/>
      <c r="G1846" s="525"/>
      <c r="K1846" s="3280"/>
      <c r="AB1846" s="3280"/>
      <c r="AG1846" s="3865"/>
      <c r="AM1846" s="3041"/>
      <c r="BD1846" s="3280"/>
      <c r="BF1846" s="3041"/>
      <c r="BH1846" s="3282"/>
    </row>
    <row r="1847" spans="1:60" s="3030" customFormat="1">
      <c r="A1847" s="2126"/>
      <c r="B1847" s="2126"/>
      <c r="C1847" s="2126"/>
      <c r="D1847" s="2126"/>
      <c r="E1847" s="525"/>
      <c r="F1847" s="525"/>
      <c r="G1847" s="525"/>
      <c r="K1847" s="3280"/>
      <c r="AB1847" s="3280"/>
      <c r="AG1847" s="3865"/>
      <c r="AM1847" s="3041"/>
      <c r="BD1847" s="3280"/>
      <c r="BF1847" s="3041"/>
      <c r="BH1847" s="3282"/>
    </row>
    <row r="1848" spans="1:60" s="3030" customFormat="1">
      <c r="A1848" s="2126"/>
      <c r="B1848" s="2126"/>
      <c r="C1848" s="2126"/>
      <c r="D1848" s="2126"/>
      <c r="E1848" s="525"/>
      <c r="F1848" s="525"/>
      <c r="G1848" s="525"/>
      <c r="K1848" s="3280"/>
      <c r="AB1848" s="3280"/>
      <c r="AG1848" s="3865"/>
      <c r="AM1848" s="3041"/>
      <c r="BD1848" s="3280"/>
      <c r="BF1848" s="3041"/>
      <c r="BH1848" s="3282"/>
    </row>
    <row r="1849" spans="1:60" s="3030" customFormat="1">
      <c r="A1849" s="2126"/>
      <c r="B1849" s="2126"/>
      <c r="C1849" s="2126"/>
      <c r="D1849" s="2126"/>
      <c r="E1849" s="525"/>
      <c r="F1849" s="525"/>
      <c r="G1849" s="525"/>
      <c r="K1849" s="3280"/>
      <c r="AB1849" s="3280"/>
      <c r="AG1849" s="3865"/>
      <c r="AM1849" s="3041"/>
      <c r="BD1849" s="3280"/>
      <c r="BF1849" s="3041"/>
      <c r="BH1849" s="3282"/>
    </row>
    <row r="1850" spans="1:60" s="3030" customFormat="1">
      <c r="A1850" s="2126"/>
      <c r="B1850" s="2126"/>
      <c r="C1850" s="2126"/>
      <c r="D1850" s="2126"/>
      <c r="E1850" s="525"/>
      <c r="F1850" s="525"/>
      <c r="G1850" s="525"/>
      <c r="K1850" s="3280"/>
      <c r="AB1850" s="3280"/>
      <c r="AG1850" s="3865"/>
      <c r="AM1850" s="3041"/>
      <c r="BD1850" s="3280"/>
      <c r="BF1850" s="3041"/>
      <c r="BH1850" s="3282"/>
    </row>
    <row r="1851" spans="1:60" s="3030" customFormat="1">
      <c r="A1851" s="2126"/>
      <c r="B1851" s="2126"/>
      <c r="C1851" s="2126"/>
      <c r="D1851" s="2126"/>
      <c r="E1851" s="525"/>
      <c r="F1851" s="525"/>
      <c r="G1851" s="525"/>
      <c r="K1851" s="3280"/>
      <c r="AB1851" s="3280"/>
      <c r="AG1851" s="3865"/>
      <c r="AM1851" s="3041"/>
      <c r="BD1851" s="3280"/>
      <c r="BF1851" s="3041"/>
      <c r="BH1851" s="3282"/>
    </row>
    <row r="1852" spans="1:60" s="3030" customFormat="1">
      <c r="A1852" s="2126"/>
      <c r="B1852" s="2126"/>
      <c r="C1852" s="2126"/>
      <c r="D1852" s="2126"/>
      <c r="E1852" s="525"/>
      <c r="F1852" s="525"/>
      <c r="G1852" s="525"/>
      <c r="K1852" s="3280"/>
      <c r="AB1852" s="3280"/>
      <c r="AG1852" s="3865"/>
      <c r="AM1852" s="3041"/>
      <c r="BD1852" s="3280"/>
      <c r="BF1852" s="3041"/>
      <c r="BH1852" s="3282"/>
    </row>
    <row r="1853" spans="1:60" s="3030" customFormat="1">
      <c r="A1853" s="2126"/>
      <c r="B1853" s="2126"/>
      <c r="C1853" s="2126"/>
      <c r="D1853" s="2126"/>
      <c r="E1853" s="525"/>
      <c r="F1853" s="525"/>
      <c r="G1853" s="525"/>
      <c r="K1853" s="3280"/>
      <c r="AB1853" s="3280"/>
      <c r="AG1853" s="3865"/>
      <c r="AM1853" s="3041"/>
      <c r="BD1853" s="3280"/>
      <c r="BF1853" s="3041"/>
      <c r="BH1853" s="3282"/>
    </row>
    <row r="1854" spans="1:60" s="3030" customFormat="1">
      <c r="A1854" s="2126"/>
      <c r="B1854" s="2126"/>
      <c r="C1854" s="2126"/>
      <c r="D1854" s="2126"/>
      <c r="E1854" s="525"/>
      <c r="F1854" s="525"/>
      <c r="G1854" s="525"/>
      <c r="K1854" s="3280"/>
      <c r="AB1854" s="3280"/>
      <c r="AG1854" s="3865"/>
      <c r="AM1854" s="3041"/>
      <c r="BD1854" s="3280"/>
      <c r="BF1854" s="3041"/>
      <c r="BH1854" s="3282"/>
    </row>
    <row r="1855" spans="1:60" s="3030" customFormat="1">
      <c r="A1855" s="2126"/>
      <c r="B1855" s="2126"/>
      <c r="C1855" s="2126"/>
      <c r="D1855" s="2126"/>
      <c r="E1855" s="525"/>
      <c r="F1855" s="525"/>
      <c r="G1855" s="525"/>
      <c r="K1855" s="3280"/>
      <c r="AB1855" s="3280"/>
      <c r="AG1855" s="3865"/>
      <c r="AM1855" s="3041"/>
      <c r="BD1855" s="3280"/>
      <c r="BF1855" s="3041"/>
      <c r="BH1855" s="3282"/>
    </row>
    <row r="1856" spans="1:60" s="3030" customFormat="1">
      <c r="A1856" s="2126"/>
      <c r="B1856" s="2126"/>
      <c r="C1856" s="2126"/>
      <c r="D1856" s="2126"/>
      <c r="E1856" s="525"/>
      <c r="F1856" s="525"/>
      <c r="G1856" s="525"/>
      <c r="K1856" s="3280"/>
      <c r="AB1856" s="3280"/>
      <c r="AG1856" s="3865"/>
      <c r="AM1856" s="3041"/>
      <c r="BD1856" s="3280"/>
      <c r="BF1856" s="3041"/>
      <c r="BH1856" s="3282"/>
    </row>
    <row r="1857" spans="1:60" s="3030" customFormat="1">
      <c r="A1857" s="2126"/>
      <c r="B1857" s="2126"/>
      <c r="C1857" s="2126"/>
      <c r="D1857" s="2126"/>
      <c r="E1857" s="525"/>
      <c r="F1857" s="525"/>
      <c r="G1857" s="525"/>
      <c r="K1857" s="3280"/>
      <c r="AB1857" s="3280"/>
      <c r="AG1857" s="3865"/>
      <c r="AM1857" s="3041"/>
      <c r="BD1857" s="3280"/>
      <c r="BF1857" s="3041"/>
      <c r="BH1857" s="3282"/>
    </row>
    <row r="1858" spans="1:60" s="3030" customFormat="1">
      <c r="A1858" s="2126"/>
      <c r="B1858" s="2126"/>
      <c r="C1858" s="2126"/>
      <c r="D1858" s="2126"/>
      <c r="E1858" s="525"/>
      <c r="F1858" s="525"/>
      <c r="G1858" s="525"/>
      <c r="K1858" s="3280"/>
      <c r="AB1858" s="3280"/>
      <c r="AG1858" s="3865"/>
      <c r="AM1858" s="3041"/>
      <c r="BD1858" s="3280"/>
      <c r="BF1858" s="3041"/>
      <c r="BH1858" s="3282"/>
    </row>
    <row r="1859" spans="1:60" s="3030" customFormat="1">
      <c r="A1859" s="2126"/>
      <c r="B1859" s="2126"/>
      <c r="C1859" s="2126"/>
      <c r="D1859" s="2126"/>
      <c r="E1859" s="525"/>
      <c r="F1859" s="525"/>
      <c r="G1859" s="525"/>
      <c r="K1859" s="3280"/>
      <c r="AB1859" s="3280"/>
      <c r="AG1859" s="3865"/>
      <c r="AM1859" s="3041"/>
      <c r="BD1859" s="3280"/>
      <c r="BF1859" s="3041"/>
      <c r="BH1859" s="3282"/>
    </row>
    <row r="1860" spans="1:60" s="3030" customFormat="1">
      <c r="A1860" s="2126"/>
      <c r="B1860" s="2126"/>
      <c r="C1860" s="2126"/>
      <c r="D1860" s="2126"/>
      <c r="E1860" s="525"/>
      <c r="F1860" s="525"/>
      <c r="G1860" s="525"/>
      <c r="K1860" s="3280"/>
      <c r="AB1860" s="3280"/>
      <c r="AG1860" s="3865"/>
      <c r="AM1860" s="3041"/>
      <c r="BD1860" s="3280"/>
      <c r="BF1860" s="3041"/>
      <c r="BH1860" s="3282"/>
    </row>
    <row r="1861" spans="1:60" s="3030" customFormat="1">
      <c r="A1861" s="2126"/>
      <c r="B1861" s="2126"/>
      <c r="C1861" s="2126"/>
      <c r="D1861" s="2126"/>
      <c r="E1861" s="525"/>
      <c r="F1861" s="525"/>
      <c r="G1861" s="525"/>
      <c r="K1861" s="3280"/>
      <c r="AB1861" s="3280"/>
      <c r="AG1861" s="3865"/>
      <c r="AM1861" s="3041"/>
      <c r="BD1861" s="3280"/>
      <c r="BF1861" s="3041"/>
      <c r="BH1861" s="3282"/>
    </row>
    <row r="1862" spans="1:60" s="3030" customFormat="1">
      <c r="A1862" s="2126"/>
      <c r="B1862" s="2126"/>
      <c r="C1862" s="2126"/>
      <c r="D1862" s="2126"/>
      <c r="E1862" s="525"/>
      <c r="F1862" s="525"/>
      <c r="G1862" s="525"/>
      <c r="K1862" s="3280"/>
      <c r="AB1862" s="3280"/>
      <c r="AG1862" s="3865"/>
      <c r="AM1862" s="3041"/>
      <c r="BD1862" s="3280"/>
      <c r="BF1862" s="3041"/>
      <c r="BH1862" s="3282"/>
    </row>
    <row r="1863" spans="1:60" s="3030" customFormat="1">
      <c r="A1863" s="2126"/>
      <c r="B1863" s="2126"/>
      <c r="C1863" s="2126"/>
      <c r="D1863" s="2126"/>
      <c r="E1863" s="525"/>
      <c r="F1863" s="525"/>
      <c r="G1863" s="525"/>
      <c r="K1863" s="3280"/>
      <c r="AB1863" s="3280"/>
      <c r="AG1863" s="3865"/>
      <c r="AM1863" s="3041"/>
      <c r="BD1863" s="3280"/>
      <c r="BF1863" s="3041"/>
      <c r="BH1863" s="3282"/>
    </row>
    <row r="1864" spans="1:60" s="3030" customFormat="1">
      <c r="A1864" s="2126"/>
      <c r="B1864" s="2126"/>
      <c r="C1864" s="2126"/>
      <c r="D1864" s="2126"/>
      <c r="E1864" s="525"/>
      <c r="F1864" s="525"/>
      <c r="G1864" s="525"/>
      <c r="K1864" s="3280"/>
      <c r="AB1864" s="3280"/>
      <c r="AG1864" s="3865"/>
      <c r="AM1864" s="3041"/>
      <c r="BD1864" s="3280"/>
      <c r="BF1864" s="3041"/>
      <c r="BH1864" s="3282"/>
    </row>
    <row r="1865" spans="1:60" s="3030" customFormat="1">
      <c r="A1865" s="2126"/>
      <c r="B1865" s="2126"/>
      <c r="C1865" s="2126"/>
      <c r="D1865" s="2126"/>
      <c r="E1865" s="525"/>
      <c r="F1865" s="525"/>
      <c r="G1865" s="525"/>
      <c r="K1865" s="3280"/>
      <c r="AB1865" s="3280"/>
      <c r="AG1865" s="3865"/>
      <c r="AM1865" s="3041"/>
      <c r="BD1865" s="3280"/>
      <c r="BF1865" s="3041"/>
      <c r="BH1865" s="3282"/>
    </row>
    <row r="1866" spans="1:60" s="3030" customFormat="1">
      <c r="A1866" s="2126"/>
      <c r="B1866" s="2126"/>
      <c r="C1866" s="2126"/>
      <c r="D1866" s="2126"/>
      <c r="E1866" s="525"/>
      <c r="F1866" s="525"/>
      <c r="G1866" s="525"/>
      <c r="K1866" s="3280"/>
      <c r="AB1866" s="3280"/>
      <c r="AG1866" s="3865"/>
      <c r="AM1866" s="3041"/>
      <c r="BD1866" s="3280"/>
      <c r="BF1866" s="3041"/>
      <c r="BH1866" s="3282"/>
    </row>
    <row r="1867" spans="1:60" s="3030" customFormat="1">
      <c r="A1867" s="2126"/>
      <c r="B1867" s="2126"/>
      <c r="C1867" s="2126"/>
      <c r="D1867" s="2126"/>
      <c r="E1867" s="525"/>
      <c r="F1867" s="525"/>
      <c r="G1867" s="525"/>
      <c r="K1867" s="3280"/>
      <c r="AB1867" s="3280"/>
      <c r="AG1867" s="3865"/>
      <c r="AM1867" s="3041"/>
      <c r="BD1867" s="3280"/>
      <c r="BF1867" s="3041"/>
      <c r="BH1867" s="3282"/>
    </row>
    <row r="1868" spans="1:60" s="3030" customFormat="1">
      <c r="A1868" s="2126"/>
      <c r="B1868" s="2126"/>
      <c r="C1868" s="2126"/>
      <c r="D1868" s="2126"/>
      <c r="E1868" s="525"/>
      <c r="F1868" s="525"/>
      <c r="G1868" s="525"/>
      <c r="K1868" s="3280"/>
      <c r="AB1868" s="3280"/>
      <c r="AG1868" s="3865"/>
      <c r="AM1868" s="3041"/>
      <c r="BD1868" s="3280"/>
      <c r="BF1868" s="3041"/>
      <c r="BH1868" s="3282"/>
    </row>
    <row r="1869" spans="1:60" s="3030" customFormat="1">
      <c r="A1869" s="2126"/>
      <c r="B1869" s="2126"/>
      <c r="C1869" s="2126"/>
      <c r="D1869" s="2126"/>
      <c r="E1869" s="525"/>
      <c r="F1869" s="525"/>
      <c r="G1869" s="525"/>
      <c r="K1869" s="3280"/>
      <c r="AB1869" s="3280"/>
      <c r="AG1869" s="3865"/>
      <c r="AM1869" s="3041"/>
      <c r="BD1869" s="3280"/>
      <c r="BF1869" s="3041"/>
      <c r="BH1869" s="3282"/>
    </row>
    <row r="1870" spans="1:60" s="3030" customFormat="1">
      <c r="A1870" s="2126"/>
      <c r="B1870" s="2126"/>
      <c r="C1870" s="2126"/>
      <c r="D1870" s="2126"/>
      <c r="E1870" s="525"/>
      <c r="F1870" s="525"/>
      <c r="G1870" s="525"/>
      <c r="K1870" s="3280"/>
      <c r="AB1870" s="3280"/>
      <c r="AG1870" s="3865"/>
      <c r="AM1870" s="3041"/>
      <c r="BD1870" s="3280"/>
      <c r="BF1870" s="3041"/>
      <c r="BH1870" s="3282"/>
    </row>
    <row r="1871" spans="1:60" s="3030" customFormat="1">
      <c r="A1871" s="2126"/>
      <c r="B1871" s="2126"/>
      <c r="C1871" s="2126"/>
      <c r="D1871" s="2126"/>
      <c r="E1871" s="525"/>
      <c r="F1871" s="525"/>
      <c r="G1871" s="525"/>
      <c r="K1871" s="3280"/>
      <c r="AB1871" s="3280"/>
      <c r="AG1871" s="3865"/>
      <c r="AM1871" s="3041"/>
      <c r="BD1871" s="3280"/>
      <c r="BF1871" s="3041"/>
      <c r="BH1871" s="3282"/>
    </row>
    <row r="1872" spans="1:60" s="3030" customFormat="1">
      <c r="A1872" s="2126"/>
      <c r="B1872" s="2126"/>
      <c r="C1872" s="2126"/>
      <c r="D1872" s="2126"/>
      <c r="E1872" s="525"/>
      <c r="F1872" s="525"/>
      <c r="G1872" s="525"/>
      <c r="K1872" s="3280"/>
      <c r="AB1872" s="3280"/>
      <c r="AG1872" s="3865"/>
      <c r="AM1872" s="3041"/>
      <c r="BD1872" s="3280"/>
      <c r="BF1872" s="3041"/>
      <c r="BH1872" s="3282"/>
    </row>
    <row r="1873" spans="1:60" s="3030" customFormat="1">
      <c r="A1873" s="2126"/>
      <c r="B1873" s="2126"/>
      <c r="C1873" s="2126"/>
      <c r="D1873" s="2126"/>
      <c r="E1873" s="525"/>
      <c r="F1873" s="525"/>
      <c r="G1873" s="525"/>
      <c r="K1873" s="3280"/>
      <c r="AB1873" s="3280"/>
      <c r="AG1873" s="3865"/>
      <c r="AM1873" s="3041"/>
      <c r="BD1873" s="3280"/>
      <c r="BF1873" s="3041"/>
      <c r="BH1873" s="3282"/>
    </row>
    <row r="1874" spans="1:60" s="3030" customFormat="1">
      <c r="A1874" s="2126"/>
      <c r="B1874" s="2126"/>
      <c r="C1874" s="2126"/>
      <c r="D1874" s="2126"/>
      <c r="E1874" s="525"/>
      <c r="F1874" s="525"/>
      <c r="G1874" s="525"/>
      <c r="K1874" s="3280"/>
      <c r="AB1874" s="3280"/>
      <c r="AG1874" s="3865"/>
      <c r="AM1874" s="3041"/>
      <c r="BD1874" s="3280"/>
      <c r="BF1874" s="3041"/>
      <c r="BH1874" s="3282"/>
    </row>
    <row r="1875" spans="1:60" s="3030" customFormat="1">
      <c r="A1875" s="2126"/>
      <c r="B1875" s="2126"/>
      <c r="C1875" s="2126"/>
      <c r="D1875" s="2126"/>
      <c r="E1875" s="525"/>
      <c r="F1875" s="525"/>
      <c r="G1875" s="525"/>
      <c r="K1875" s="3280"/>
      <c r="AB1875" s="3280"/>
      <c r="AG1875" s="3865"/>
      <c r="AM1875" s="3041"/>
      <c r="BD1875" s="3280"/>
      <c r="BF1875" s="3041"/>
      <c r="BH1875" s="3282"/>
    </row>
    <row r="1876" spans="1:60" s="3030" customFormat="1">
      <c r="A1876" s="2126"/>
      <c r="B1876" s="2126"/>
      <c r="C1876" s="2126"/>
      <c r="D1876" s="2126"/>
      <c r="E1876" s="525"/>
      <c r="F1876" s="525"/>
      <c r="G1876" s="525"/>
      <c r="K1876" s="3280"/>
      <c r="AB1876" s="3280"/>
      <c r="AG1876" s="3865"/>
      <c r="AM1876" s="3041"/>
      <c r="BD1876" s="3280"/>
      <c r="BF1876" s="3041"/>
      <c r="BH1876" s="3282"/>
    </row>
    <row r="1877" spans="1:60" s="3030" customFormat="1">
      <c r="A1877" s="2126"/>
      <c r="B1877" s="2126"/>
      <c r="C1877" s="2126"/>
      <c r="D1877" s="2126"/>
      <c r="E1877" s="525"/>
      <c r="F1877" s="525"/>
      <c r="G1877" s="525"/>
      <c r="K1877" s="3280"/>
      <c r="AB1877" s="3280"/>
      <c r="AG1877" s="3865"/>
      <c r="AM1877" s="3041"/>
      <c r="BD1877" s="3280"/>
      <c r="BF1877" s="3041"/>
      <c r="BH1877" s="3282"/>
    </row>
    <row r="1878" spans="1:60" s="3030" customFormat="1">
      <c r="A1878" s="2126"/>
      <c r="B1878" s="2126"/>
      <c r="C1878" s="2126"/>
      <c r="D1878" s="2126"/>
      <c r="E1878" s="525"/>
      <c r="F1878" s="525"/>
      <c r="G1878" s="525"/>
      <c r="K1878" s="3280"/>
      <c r="AB1878" s="3280"/>
      <c r="AG1878" s="3865"/>
      <c r="AM1878" s="3041"/>
      <c r="BD1878" s="3280"/>
      <c r="BF1878" s="3041"/>
      <c r="BH1878" s="3282"/>
    </row>
    <row r="1879" spans="1:60" s="3030" customFormat="1">
      <c r="A1879" s="2126"/>
      <c r="B1879" s="2126"/>
      <c r="C1879" s="2126"/>
      <c r="D1879" s="2126"/>
      <c r="E1879" s="525"/>
      <c r="F1879" s="525"/>
      <c r="G1879" s="525"/>
      <c r="K1879" s="3280"/>
      <c r="AB1879" s="3280"/>
      <c r="AG1879" s="3865"/>
      <c r="AM1879" s="3041"/>
      <c r="BD1879" s="3280"/>
      <c r="BF1879" s="3041"/>
      <c r="BH1879" s="3282"/>
    </row>
    <row r="1880" spans="1:60" s="3030" customFormat="1">
      <c r="A1880" s="2126"/>
      <c r="B1880" s="2126"/>
      <c r="C1880" s="2126"/>
      <c r="D1880" s="2126"/>
      <c r="E1880" s="525"/>
      <c r="F1880" s="525"/>
      <c r="G1880" s="525"/>
      <c r="K1880" s="3280"/>
      <c r="AB1880" s="3280"/>
      <c r="AG1880" s="3865"/>
      <c r="AM1880" s="3041"/>
      <c r="BD1880" s="3280"/>
      <c r="BF1880" s="3041"/>
      <c r="BH1880" s="3282"/>
    </row>
    <row r="1881" spans="1:60" s="3030" customFormat="1">
      <c r="A1881" s="2126"/>
      <c r="B1881" s="2126"/>
      <c r="C1881" s="2126"/>
      <c r="D1881" s="2126"/>
      <c r="E1881" s="525"/>
      <c r="F1881" s="525"/>
      <c r="G1881" s="525"/>
      <c r="K1881" s="3280"/>
      <c r="AB1881" s="3280"/>
      <c r="AG1881" s="3865"/>
      <c r="AM1881" s="3041"/>
      <c r="BD1881" s="3280"/>
      <c r="BF1881" s="3041"/>
      <c r="BH1881" s="3282"/>
    </row>
    <row r="1882" spans="1:60" s="3030" customFormat="1">
      <c r="A1882" s="2126"/>
      <c r="B1882" s="2126"/>
      <c r="C1882" s="2126"/>
      <c r="D1882" s="2126"/>
      <c r="E1882" s="525"/>
      <c r="F1882" s="525"/>
      <c r="G1882" s="525"/>
      <c r="K1882" s="3280"/>
      <c r="AB1882" s="3280"/>
      <c r="AG1882" s="3865"/>
      <c r="AM1882" s="3041"/>
      <c r="BD1882" s="3280"/>
      <c r="BF1882" s="3041"/>
      <c r="BH1882" s="3282"/>
    </row>
    <row r="1883" spans="1:60" s="3030" customFormat="1">
      <c r="A1883" s="2126"/>
      <c r="B1883" s="2126"/>
      <c r="C1883" s="2126"/>
      <c r="D1883" s="2126"/>
      <c r="E1883" s="525"/>
      <c r="F1883" s="525"/>
      <c r="G1883" s="525"/>
      <c r="K1883" s="3280"/>
      <c r="AB1883" s="3280"/>
      <c r="AG1883" s="3865"/>
      <c r="AM1883" s="3041"/>
      <c r="BD1883" s="3280"/>
      <c r="BF1883" s="3041"/>
      <c r="BH1883" s="3282"/>
    </row>
    <row r="1884" spans="1:60" s="3030" customFormat="1">
      <c r="A1884" s="2126"/>
      <c r="B1884" s="2126"/>
      <c r="C1884" s="2126"/>
      <c r="D1884" s="2126"/>
      <c r="E1884" s="525"/>
      <c r="F1884" s="525"/>
      <c r="G1884" s="525"/>
      <c r="K1884" s="3280"/>
      <c r="AB1884" s="3280"/>
      <c r="AG1884" s="3865"/>
      <c r="AM1884" s="3041"/>
      <c r="BD1884" s="3280"/>
      <c r="BF1884" s="3041"/>
      <c r="BH1884" s="3282"/>
    </row>
    <row r="1885" spans="1:60" s="3030" customFormat="1">
      <c r="A1885" s="2126"/>
      <c r="B1885" s="2126"/>
      <c r="C1885" s="2126"/>
      <c r="D1885" s="2126"/>
      <c r="E1885" s="525"/>
      <c r="F1885" s="525"/>
      <c r="G1885" s="525"/>
      <c r="K1885" s="3280"/>
      <c r="AB1885" s="3280"/>
      <c r="AG1885" s="3865"/>
      <c r="AM1885" s="3041"/>
      <c r="BD1885" s="3280"/>
      <c r="BF1885" s="3041"/>
      <c r="BH1885" s="3282"/>
    </row>
    <row r="1886" spans="1:60" s="3030" customFormat="1">
      <c r="A1886" s="2126"/>
      <c r="B1886" s="2126"/>
      <c r="C1886" s="2126"/>
      <c r="D1886" s="2126"/>
      <c r="E1886" s="525"/>
      <c r="F1886" s="525"/>
      <c r="G1886" s="525"/>
      <c r="K1886" s="3280"/>
      <c r="AB1886" s="3280"/>
      <c r="AG1886" s="3865"/>
      <c r="AM1886" s="3041"/>
      <c r="BD1886" s="3280"/>
      <c r="BF1886" s="3041"/>
      <c r="BH1886" s="3282"/>
    </row>
    <row r="1887" spans="1:60" s="3030" customFormat="1">
      <c r="A1887" s="2126"/>
      <c r="B1887" s="2126"/>
      <c r="C1887" s="2126"/>
      <c r="D1887" s="2126"/>
      <c r="E1887" s="525"/>
      <c r="F1887" s="525"/>
      <c r="G1887" s="525"/>
      <c r="K1887" s="3280"/>
      <c r="AB1887" s="3280"/>
      <c r="AG1887" s="3865"/>
      <c r="AM1887" s="3041"/>
      <c r="BD1887" s="3280"/>
      <c r="BF1887" s="3041"/>
      <c r="BH1887" s="3282"/>
    </row>
    <row r="1888" spans="1:60" s="3030" customFormat="1">
      <c r="A1888" s="2126"/>
      <c r="B1888" s="2126"/>
      <c r="C1888" s="2126"/>
      <c r="D1888" s="2126"/>
      <c r="E1888" s="525"/>
      <c r="F1888" s="525"/>
      <c r="G1888" s="525"/>
      <c r="K1888" s="3280"/>
      <c r="AB1888" s="3280"/>
      <c r="AG1888" s="3865"/>
      <c r="AM1888" s="3041"/>
      <c r="BD1888" s="3280"/>
      <c r="BF1888" s="3041"/>
      <c r="BH1888" s="3282"/>
    </row>
    <row r="1889" spans="1:60" s="3030" customFormat="1">
      <c r="A1889" s="2126"/>
      <c r="B1889" s="2126"/>
      <c r="C1889" s="2126"/>
      <c r="D1889" s="2126"/>
      <c r="E1889" s="525"/>
      <c r="F1889" s="525"/>
      <c r="G1889" s="525"/>
      <c r="K1889" s="3280"/>
      <c r="AB1889" s="3280"/>
      <c r="AG1889" s="3865"/>
      <c r="AM1889" s="3041"/>
      <c r="BD1889" s="3280"/>
      <c r="BF1889" s="3041"/>
      <c r="BH1889" s="3282"/>
    </row>
    <row r="1890" spans="1:60" s="3030" customFormat="1">
      <c r="A1890" s="2126"/>
      <c r="B1890" s="2126"/>
      <c r="C1890" s="2126"/>
      <c r="D1890" s="2126"/>
      <c r="E1890" s="525"/>
      <c r="F1890" s="525"/>
      <c r="G1890" s="525"/>
      <c r="K1890" s="3280"/>
      <c r="AB1890" s="3280"/>
      <c r="AG1890" s="3865"/>
      <c r="AM1890" s="3041"/>
      <c r="BD1890" s="3280"/>
      <c r="BF1890" s="3041"/>
      <c r="BH1890" s="3282"/>
    </row>
    <row r="1891" spans="1:60" s="3030" customFormat="1">
      <c r="A1891" s="2126"/>
      <c r="B1891" s="2126"/>
      <c r="C1891" s="2126"/>
      <c r="D1891" s="2126"/>
      <c r="E1891" s="525"/>
      <c r="F1891" s="525"/>
      <c r="G1891" s="525"/>
      <c r="K1891" s="3280"/>
      <c r="AB1891" s="3280"/>
      <c r="AG1891" s="3865"/>
      <c r="AM1891" s="3041"/>
      <c r="BD1891" s="3280"/>
      <c r="BF1891" s="3041"/>
      <c r="BH1891" s="3282"/>
    </row>
    <row r="1892" spans="1:60" s="3030" customFormat="1">
      <c r="A1892" s="2126"/>
      <c r="B1892" s="2126"/>
      <c r="C1892" s="2126"/>
      <c r="D1892" s="2126"/>
      <c r="E1892" s="525"/>
      <c r="F1892" s="525"/>
      <c r="G1892" s="525"/>
      <c r="K1892" s="3280"/>
      <c r="AB1892" s="3280"/>
      <c r="AG1892" s="3865"/>
      <c r="AM1892" s="3041"/>
      <c r="BD1892" s="3280"/>
      <c r="BF1892" s="3041"/>
      <c r="BH1892" s="3282"/>
    </row>
    <row r="1893" spans="1:60" s="3030" customFormat="1">
      <c r="A1893" s="2126"/>
      <c r="B1893" s="2126"/>
      <c r="C1893" s="2126"/>
      <c r="D1893" s="2126"/>
      <c r="E1893" s="525"/>
      <c r="F1893" s="525"/>
      <c r="G1893" s="525"/>
      <c r="K1893" s="3280"/>
      <c r="AB1893" s="3280"/>
      <c r="AG1893" s="3865"/>
      <c r="AM1893" s="3041"/>
      <c r="BD1893" s="3280"/>
      <c r="BF1893" s="3041"/>
      <c r="BH1893" s="3282"/>
    </row>
    <row r="1894" spans="1:60" s="3030" customFormat="1">
      <c r="A1894" s="2126"/>
      <c r="B1894" s="2126"/>
      <c r="C1894" s="2126"/>
      <c r="D1894" s="2126"/>
      <c r="E1894" s="525"/>
      <c r="F1894" s="525"/>
      <c r="G1894" s="525"/>
      <c r="K1894" s="3280"/>
      <c r="AB1894" s="3280"/>
      <c r="AG1894" s="3865"/>
      <c r="AM1894" s="3041"/>
      <c r="BD1894" s="3280"/>
      <c r="BF1894" s="3041"/>
      <c r="BH1894" s="3282"/>
    </row>
    <row r="1895" spans="1:60" s="3030" customFormat="1">
      <c r="A1895" s="2126"/>
      <c r="B1895" s="2126"/>
      <c r="C1895" s="2126"/>
      <c r="D1895" s="2126"/>
      <c r="E1895" s="525"/>
      <c r="F1895" s="525"/>
      <c r="G1895" s="525"/>
      <c r="K1895" s="3280"/>
      <c r="AB1895" s="3280"/>
      <c r="AG1895" s="3865"/>
      <c r="AM1895" s="3041"/>
      <c r="BD1895" s="3280"/>
      <c r="BF1895" s="3041"/>
      <c r="BH1895" s="3282"/>
    </row>
    <row r="1896" spans="1:60" s="3030" customFormat="1">
      <c r="A1896" s="2126"/>
      <c r="B1896" s="2126"/>
      <c r="C1896" s="2126"/>
      <c r="D1896" s="2126"/>
      <c r="E1896" s="525"/>
      <c r="F1896" s="525"/>
      <c r="G1896" s="525"/>
      <c r="K1896" s="3280"/>
      <c r="AB1896" s="3280"/>
      <c r="AG1896" s="3865"/>
      <c r="AM1896" s="3041"/>
      <c r="BD1896" s="3280"/>
      <c r="BF1896" s="3041"/>
      <c r="BH1896" s="3282"/>
    </row>
    <row r="1897" spans="1:60" s="3030" customFormat="1">
      <c r="A1897" s="2126"/>
      <c r="B1897" s="2126"/>
      <c r="C1897" s="2126"/>
      <c r="D1897" s="2126"/>
      <c r="E1897" s="525"/>
      <c r="F1897" s="525"/>
      <c r="G1897" s="525"/>
      <c r="K1897" s="3280"/>
      <c r="AB1897" s="3280"/>
      <c r="AG1897" s="3865"/>
      <c r="AM1897" s="3041"/>
      <c r="BD1897" s="3280"/>
      <c r="BF1897" s="3041"/>
      <c r="BH1897" s="3282"/>
    </row>
    <row r="1898" spans="1:60" s="3030" customFormat="1">
      <c r="A1898" s="2126"/>
      <c r="B1898" s="2126"/>
      <c r="C1898" s="2126"/>
      <c r="D1898" s="2126"/>
      <c r="E1898" s="525"/>
      <c r="F1898" s="525"/>
      <c r="G1898" s="525"/>
      <c r="K1898" s="3280"/>
      <c r="AB1898" s="3280"/>
      <c r="AG1898" s="3865"/>
      <c r="AM1898" s="3041"/>
      <c r="BD1898" s="3280"/>
      <c r="BF1898" s="3041"/>
      <c r="BH1898" s="3282"/>
    </row>
    <row r="1899" spans="1:60" s="3030" customFormat="1">
      <c r="A1899" s="2126"/>
      <c r="B1899" s="2126"/>
      <c r="C1899" s="2126"/>
      <c r="D1899" s="2126"/>
      <c r="E1899" s="525"/>
      <c r="F1899" s="525"/>
      <c r="G1899" s="525"/>
      <c r="K1899" s="3280"/>
      <c r="AB1899" s="3280"/>
      <c r="AG1899" s="3865"/>
      <c r="AM1899" s="3041"/>
      <c r="BD1899" s="3280"/>
      <c r="BF1899" s="3041"/>
      <c r="BH1899" s="3282"/>
    </row>
    <row r="1900" spans="1:60" s="3030" customFormat="1">
      <c r="A1900" s="2126"/>
      <c r="B1900" s="2126"/>
      <c r="C1900" s="2126"/>
      <c r="D1900" s="2126"/>
      <c r="E1900" s="525"/>
      <c r="F1900" s="525"/>
      <c r="G1900" s="525"/>
      <c r="K1900" s="3280"/>
      <c r="AB1900" s="3280"/>
      <c r="AG1900" s="3865"/>
      <c r="AM1900" s="3041"/>
      <c r="BD1900" s="3280"/>
      <c r="BF1900" s="3041"/>
      <c r="BH1900" s="3282"/>
    </row>
    <row r="1901" spans="1:60" s="3030" customFormat="1">
      <c r="A1901" s="2126"/>
      <c r="B1901" s="2126"/>
      <c r="C1901" s="2126"/>
      <c r="D1901" s="2126"/>
      <c r="E1901" s="525"/>
      <c r="F1901" s="525"/>
      <c r="G1901" s="525"/>
      <c r="K1901" s="3280"/>
      <c r="AB1901" s="3280"/>
      <c r="AG1901" s="3865"/>
      <c r="AM1901" s="3041"/>
      <c r="BD1901" s="3280"/>
      <c r="BF1901" s="3041"/>
      <c r="BH1901" s="3282"/>
    </row>
    <row r="1902" spans="1:60" s="3030" customFormat="1">
      <c r="A1902" s="2126"/>
      <c r="B1902" s="2126"/>
      <c r="C1902" s="2126"/>
      <c r="D1902" s="2126"/>
      <c r="E1902" s="525"/>
      <c r="F1902" s="525"/>
      <c r="G1902" s="525"/>
      <c r="K1902" s="3280"/>
      <c r="AB1902" s="3280"/>
      <c r="AG1902" s="3865"/>
      <c r="AM1902" s="3041"/>
      <c r="BD1902" s="3280"/>
      <c r="BF1902" s="3041"/>
      <c r="BH1902" s="3282"/>
    </row>
    <row r="1903" spans="1:60" s="3030" customFormat="1">
      <c r="A1903" s="2126"/>
      <c r="B1903" s="2126"/>
      <c r="C1903" s="2126"/>
      <c r="D1903" s="2126"/>
      <c r="E1903" s="525"/>
      <c r="F1903" s="525"/>
      <c r="G1903" s="525"/>
      <c r="K1903" s="3280"/>
      <c r="AB1903" s="3280"/>
      <c r="AG1903" s="3865"/>
      <c r="AM1903" s="3041"/>
      <c r="BD1903" s="3280"/>
      <c r="BF1903" s="3041"/>
      <c r="BH1903" s="3282"/>
    </row>
    <row r="1904" spans="1:60" s="3030" customFormat="1">
      <c r="A1904" s="2126"/>
      <c r="B1904" s="2126"/>
      <c r="C1904" s="2126"/>
      <c r="D1904" s="2126"/>
      <c r="E1904" s="525"/>
      <c r="F1904" s="525"/>
      <c r="G1904" s="525"/>
      <c r="K1904" s="3280"/>
      <c r="AB1904" s="3280"/>
      <c r="AG1904" s="3865"/>
      <c r="AM1904" s="3041"/>
      <c r="BD1904" s="3280"/>
      <c r="BF1904" s="3041"/>
      <c r="BH1904" s="3282"/>
    </row>
    <row r="1905" spans="1:60" s="3030" customFormat="1">
      <c r="A1905" s="2126"/>
      <c r="B1905" s="2126"/>
      <c r="C1905" s="2126"/>
      <c r="D1905" s="2126"/>
      <c r="E1905" s="525"/>
      <c r="F1905" s="525"/>
      <c r="G1905" s="525"/>
      <c r="K1905" s="3280"/>
      <c r="AB1905" s="3280"/>
      <c r="AG1905" s="3865"/>
      <c r="AM1905" s="3041"/>
      <c r="BD1905" s="3280"/>
      <c r="BF1905" s="3041"/>
      <c r="BH1905" s="3282"/>
    </row>
    <row r="1906" spans="1:60" s="3030" customFormat="1">
      <c r="A1906" s="2126"/>
      <c r="B1906" s="2126"/>
      <c r="C1906" s="2126"/>
      <c r="D1906" s="2126"/>
      <c r="E1906" s="525"/>
      <c r="F1906" s="525"/>
      <c r="G1906" s="525"/>
      <c r="K1906" s="3280"/>
      <c r="AB1906" s="3280"/>
      <c r="AG1906" s="3865"/>
      <c r="AM1906" s="3041"/>
      <c r="BD1906" s="3280"/>
      <c r="BF1906" s="3041"/>
      <c r="BH1906" s="3282"/>
    </row>
    <row r="1907" spans="1:60" s="3030" customFormat="1">
      <c r="A1907" s="2126"/>
      <c r="B1907" s="2126"/>
      <c r="C1907" s="2126"/>
      <c r="D1907" s="2126"/>
      <c r="E1907" s="525"/>
      <c r="F1907" s="525"/>
      <c r="G1907" s="525"/>
      <c r="K1907" s="3280"/>
      <c r="AB1907" s="3280"/>
      <c r="AG1907" s="3865"/>
      <c r="AM1907" s="3041"/>
      <c r="BD1907" s="3280"/>
      <c r="BF1907" s="3041"/>
      <c r="BH1907" s="3282"/>
    </row>
    <row r="1908" spans="1:60" s="3030" customFormat="1">
      <c r="A1908" s="2126"/>
      <c r="B1908" s="2126"/>
      <c r="C1908" s="2126"/>
      <c r="D1908" s="2126"/>
      <c r="E1908" s="525"/>
      <c r="F1908" s="525"/>
      <c r="G1908" s="525"/>
      <c r="K1908" s="3280"/>
      <c r="AB1908" s="3280"/>
      <c r="AG1908" s="3865"/>
      <c r="AM1908" s="3041"/>
      <c r="BD1908" s="3280"/>
      <c r="BF1908" s="3041"/>
      <c r="BH1908" s="3282"/>
    </row>
    <row r="1909" spans="1:60" s="3030" customFormat="1">
      <c r="A1909" s="2126"/>
      <c r="B1909" s="2126"/>
      <c r="C1909" s="2126"/>
      <c r="D1909" s="2126"/>
      <c r="E1909" s="525"/>
      <c r="F1909" s="525"/>
      <c r="G1909" s="525"/>
      <c r="K1909" s="3280"/>
      <c r="AB1909" s="3280"/>
      <c r="AG1909" s="3865"/>
      <c r="AM1909" s="3041"/>
      <c r="BD1909" s="3280"/>
      <c r="BF1909" s="3041"/>
      <c r="BH1909" s="3282"/>
    </row>
    <row r="1910" spans="1:60" s="3030" customFormat="1">
      <c r="A1910" s="2126"/>
      <c r="B1910" s="2126"/>
      <c r="C1910" s="2126"/>
      <c r="D1910" s="2126"/>
      <c r="E1910" s="525"/>
      <c r="F1910" s="525"/>
      <c r="G1910" s="525"/>
      <c r="K1910" s="3280"/>
      <c r="AB1910" s="3280"/>
      <c r="AG1910" s="3865"/>
      <c r="AM1910" s="3041"/>
      <c r="BD1910" s="3280"/>
      <c r="BF1910" s="3041"/>
      <c r="BH1910" s="3282"/>
    </row>
    <row r="1911" spans="1:60" s="3030" customFormat="1">
      <c r="A1911" s="2126"/>
      <c r="B1911" s="2126"/>
      <c r="C1911" s="2126"/>
      <c r="D1911" s="2126"/>
      <c r="E1911" s="525"/>
      <c r="F1911" s="525"/>
      <c r="G1911" s="525"/>
      <c r="K1911" s="3280"/>
      <c r="AB1911" s="3280"/>
      <c r="AG1911" s="3865"/>
      <c r="AM1911" s="3041"/>
      <c r="BD1911" s="3280"/>
      <c r="BF1911" s="3041"/>
      <c r="BH1911" s="3282"/>
    </row>
    <row r="1912" spans="1:60" s="3030" customFormat="1">
      <c r="A1912" s="2126"/>
      <c r="B1912" s="2126"/>
      <c r="C1912" s="2126"/>
      <c r="D1912" s="2126"/>
      <c r="E1912" s="525"/>
      <c r="F1912" s="525"/>
      <c r="G1912" s="525"/>
      <c r="K1912" s="3280"/>
      <c r="AB1912" s="3280"/>
      <c r="AG1912" s="3865"/>
      <c r="AM1912" s="3041"/>
      <c r="BD1912" s="3280"/>
      <c r="BF1912" s="3041"/>
      <c r="BH1912" s="3282"/>
    </row>
    <row r="1913" spans="1:60" s="3030" customFormat="1">
      <c r="A1913" s="2126"/>
      <c r="B1913" s="2126"/>
      <c r="C1913" s="2126"/>
      <c r="D1913" s="2126"/>
      <c r="E1913" s="525"/>
      <c r="F1913" s="525"/>
      <c r="G1913" s="525"/>
      <c r="K1913" s="3280"/>
      <c r="AB1913" s="3280"/>
      <c r="AG1913" s="3865"/>
      <c r="AM1913" s="3041"/>
      <c r="BD1913" s="3280"/>
      <c r="BF1913" s="3041"/>
      <c r="BH1913" s="3282"/>
    </row>
    <row r="1914" spans="1:60" s="3030" customFormat="1">
      <c r="A1914" s="2126"/>
      <c r="B1914" s="2126"/>
      <c r="C1914" s="2126"/>
      <c r="D1914" s="2126"/>
      <c r="E1914" s="525"/>
      <c r="F1914" s="525"/>
      <c r="G1914" s="525"/>
      <c r="K1914" s="3280"/>
      <c r="AB1914" s="3280"/>
      <c r="AG1914" s="3865"/>
      <c r="AM1914" s="3041"/>
      <c r="BD1914" s="3280"/>
      <c r="BF1914" s="3041"/>
      <c r="BH1914" s="3282"/>
    </row>
    <row r="1915" spans="1:60" s="3030" customFormat="1">
      <c r="A1915" s="2126"/>
      <c r="B1915" s="2126"/>
      <c r="C1915" s="2126"/>
      <c r="D1915" s="2126"/>
      <c r="E1915" s="525"/>
      <c r="F1915" s="525"/>
      <c r="G1915" s="525"/>
      <c r="K1915" s="3280"/>
      <c r="AB1915" s="3280"/>
      <c r="AG1915" s="3865"/>
      <c r="AM1915" s="3041"/>
      <c r="BD1915" s="3280"/>
      <c r="BF1915" s="3041"/>
      <c r="BH1915" s="3282"/>
    </row>
    <row r="1916" spans="1:60" s="3030" customFormat="1">
      <c r="A1916" s="2126"/>
      <c r="B1916" s="2126"/>
      <c r="C1916" s="2126"/>
      <c r="D1916" s="2126"/>
      <c r="E1916" s="525"/>
      <c r="F1916" s="525"/>
      <c r="G1916" s="525"/>
      <c r="K1916" s="3280"/>
      <c r="AB1916" s="3280"/>
      <c r="AG1916" s="3865"/>
      <c r="AM1916" s="3041"/>
      <c r="BD1916" s="3280"/>
      <c r="BF1916" s="3041"/>
      <c r="BH1916" s="3282"/>
    </row>
    <row r="1917" spans="1:60" s="3030" customFormat="1">
      <c r="A1917" s="2126"/>
      <c r="B1917" s="2126"/>
      <c r="C1917" s="2126"/>
      <c r="D1917" s="2126"/>
      <c r="E1917" s="525"/>
      <c r="F1917" s="525"/>
      <c r="G1917" s="525"/>
      <c r="K1917" s="3280"/>
      <c r="AB1917" s="3280"/>
      <c r="AG1917" s="3865"/>
      <c r="AM1917" s="3041"/>
      <c r="BD1917" s="3280"/>
      <c r="BF1917" s="3041"/>
      <c r="BH1917" s="3282"/>
    </row>
    <row r="1918" spans="1:60" s="3030" customFormat="1">
      <c r="A1918" s="2126"/>
      <c r="B1918" s="2126"/>
      <c r="C1918" s="2126"/>
      <c r="D1918" s="2126"/>
      <c r="E1918" s="525"/>
      <c r="F1918" s="525"/>
      <c r="G1918" s="525"/>
      <c r="K1918" s="3280"/>
      <c r="AB1918" s="3280"/>
      <c r="AG1918" s="3865"/>
      <c r="AM1918" s="3041"/>
      <c r="BD1918" s="3280"/>
      <c r="BF1918" s="3041"/>
      <c r="BH1918" s="3282"/>
    </row>
    <row r="1919" spans="1:60" s="3030" customFormat="1">
      <c r="A1919" s="2126"/>
      <c r="B1919" s="2126"/>
      <c r="C1919" s="2126"/>
      <c r="D1919" s="2126"/>
      <c r="E1919" s="525"/>
      <c r="F1919" s="525"/>
      <c r="G1919" s="525"/>
      <c r="K1919" s="3280"/>
      <c r="AB1919" s="3280"/>
      <c r="AG1919" s="3865"/>
      <c r="AM1919" s="3041"/>
      <c r="BD1919" s="3280"/>
      <c r="BF1919" s="3041"/>
      <c r="BH1919" s="3282"/>
    </row>
    <row r="1920" spans="1:60" s="3030" customFormat="1">
      <c r="A1920" s="2126"/>
      <c r="B1920" s="2126"/>
      <c r="C1920" s="2126"/>
      <c r="D1920" s="2126"/>
      <c r="E1920" s="525"/>
      <c r="F1920" s="525"/>
      <c r="G1920" s="525"/>
      <c r="K1920" s="3280"/>
      <c r="AB1920" s="3280"/>
      <c r="AG1920" s="3865"/>
      <c r="AM1920" s="3041"/>
      <c r="BD1920" s="3280"/>
      <c r="BF1920" s="3041"/>
      <c r="BH1920" s="3282"/>
    </row>
    <row r="1921" spans="1:60" s="3030" customFormat="1">
      <c r="A1921" s="2126"/>
      <c r="B1921" s="2126"/>
      <c r="C1921" s="2126"/>
      <c r="D1921" s="2126"/>
      <c r="E1921" s="525"/>
      <c r="F1921" s="525"/>
      <c r="G1921" s="525"/>
      <c r="K1921" s="3280"/>
      <c r="AB1921" s="3280"/>
      <c r="AG1921" s="3865"/>
      <c r="AM1921" s="3041"/>
      <c r="BD1921" s="3280"/>
      <c r="BF1921" s="3041"/>
      <c r="BH1921" s="3282"/>
    </row>
    <row r="1922" spans="1:60" s="3030" customFormat="1">
      <c r="A1922" s="2126"/>
      <c r="B1922" s="2126"/>
      <c r="C1922" s="2126"/>
      <c r="D1922" s="2126"/>
      <c r="E1922" s="525"/>
      <c r="F1922" s="525"/>
      <c r="G1922" s="525"/>
      <c r="K1922" s="3280"/>
      <c r="AB1922" s="3280"/>
      <c r="AG1922" s="3865"/>
      <c r="AM1922" s="3041"/>
      <c r="BD1922" s="3280"/>
      <c r="BF1922" s="3041"/>
      <c r="BH1922" s="3282"/>
    </row>
    <row r="1923" spans="1:60" s="3030" customFormat="1">
      <c r="A1923" s="2126"/>
      <c r="B1923" s="2126"/>
      <c r="C1923" s="2126"/>
      <c r="D1923" s="2126"/>
      <c r="E1923" s="525"/>
      <c r="F1923" s="525"/>
      <c r="G1923" s="525"/>
      <c r="K1923" s="3280"/>
      <c r="AB1923" s="3280"/>
      <c r="AG1923" s="3865"/>
      <c r="AM1923" s="3041"/>
      <c r="BD1923" s="3280"/>
      <c r="BF1923" s="3041"/>
      <c r="BH1923" s="3282"/>
    </row>
    <row r="1924" spans="1:60" s="3030" customFormat="1">
      <c r="A1924" s="2126"/>
      <c r="B1924" s="2126"/>
      <c r="C1924" s="2126"/>
      <c r="D1924" s="2126"/>
      <c r="E1924" s="525"/>
      <c r="F1924" s="525"/>
      <c r="G1924" s="525"/>
      <c r="K1924" s="3280"/>
      <c r="AB1924" s="3280"/>
      <c r="AG1924" s="3865"/>
      <c r="AM1924" s="3041"/>
      <c r="BD1924" s="3280"/>
      <c r="BF1924" s="3041"/>
      <c r="BH1924" s="3282"/>
    </row>
    <row r="1925" spans="1:60" s="3030" customFormat="1">
      <c r="A1925" s="2126"/>
      <c r="B1925" s="2126"/>
      <c r="C1925" s="2126"/>
      <c r="D1925" s="2126"/>
      <c r="E1925" s="525"/>
      <c r="F1925" s="525"/>
      <c r="G1925" s="525"/>
      <c r="K1925" s="3280"/>
      <c r="AB1925" s="3280"/>
      <c r="AG1925" s="3865"/>
      <c r="AM1925" s="3041"/>
      <c r="BD1925" s="3280"/>
      <c r="BF1925" s="3041"/>
      <c r="BH1925" s="3282"/>
    </row>
    <row r="1926" spans="1:60" s="3030" customFormat="1">
      <c r="A1926" s="2126"/>
      <c r="B1926" s="2126"/>
      <c r="C1926" s="2126"/>
      <c r="D1926" s="2126"/>
      <c r="E1926" s="525"/>
      <c r="F1926" s="525"/>
      <c r="G1926" s="525"/>
      <c r="K1926" s="3280"/>
      <c r="AB1926" s="3280"/>
      <c r="AG1926" s="3865"/>
      <c r="AM1926" s="3041"/>
      <c r="BD1926" s="3280"/>
      <c r="BF1926" s="3041"/>
      <c r="BH1926" s="3282"/>
    </row>
    <row r="1927" spans="1:60" s="3030" customFormat="1">
      <c r="A1927" s="2126"/>
      <c r="B1927" s="2126"/>
      <c r="C1927" s="2126"/>
      <c r="D1927" s="2126"/>
      <c r="E1927" s="525"/>
      <c r="F1927" s="525"/>
      <c r="G1927" s="525"/>
      <c r="K1927" s="3280"/>
      <c r="AB1927" s="3280"/>
      <c r="AG1927" s="3865"/>
      <c r="AM1927" s="3041"/>
      <c r="BD1927" s="3280"/>
      <c r="BF1927" s="3041"/>
      <c r="BH1927" s="3282"/>
    </row>
    <row r="1928" spans="1:60" s="3030" customFormat="1">
      <c r="A1928" s="2126"/>
      <c r="B1928" s="2126"/>
      <c r="C1928" s="2126"/>
      <c r="D1928" s="2126"/>
      <c r="E1928" s="525"/>
      <c r="F1928" s="525"/>
      <c r="G1928" s="525"/>
      <c r="K1928" s="3280"/>
      <c r="AB1928" s="3280"/>
      <c r="AG1928" s="3865"/>
      <c r="AM1928" s="3041"/>
      <c r="BD1928" s="3280"/>
      <c r="BF1928" s="3041"/>
      <c r="BH1928" s="3282"/>
    </row>
    <row r="1929" spans="1:60" s="3030" customFormat="1">
      <c r="A1929" s="2126"/>
      <c r="B1929" s="2126"/>
      <c r="C1929" s="2126"/>
      <c r="D1929" s="2126"/>
      <c r="E1929" s="525"/>
      <c r="F1929" s="525"/>
      <c r="G1929" s="525"/>
      <c r="K1929" s="3280"/>
      <c r="AB1929" s="3280"/>
      <c r="AG1929" s="3865"/>
      <c r="AM1929" s="3041"/>
      <c r="BD1929" s="3280"/>
      <c r="BF1929" s="3041"/>
      <c r="BH1929" s="3282"/>
    </row>
    <row r="1930" spans="1:60" s="3030" customFormat="1">
      <c r="A1930" s="2126"/>
      <c r="B1930" s="2126"/>
      <c r="C1930" s="2126"/>
      <c r="D1930" s="2126"/>
      <c r="E1930" s="525"/>
      <c r="F1930" s="525"/>
      <c r="G1930" s="525"/>
      <c r="K1930" s="3280"/>
      <c r="AB1930" s="3280"/>
      <c r="AG1930" s="3865"/>
      <c r="AM1930" s="3041"/>
      <c r="BD1930" s="3280"/>
      <c r="BF1930" s="3041"/>
      <c r="BH1930" s="3282"/>
    </row>
    <row r="1931" spans="1:60" s="3030" customFormat="1">
      <c r="A1931" s="2126"/>
      <c r="B1931" s="2126"/>
      <c r="C1931" s="2126"/>
      <c r="D1931" s="2126"/>
      <c r="E1931" s="525"/>
      <c r="F1931" s="525"/>
      <c r="G1931" s="525"/>
      <c r="K1931" s="3280"/>
      <c r="AB1931" s="3280"/>
      <c r="AG1931" s="3865"/>
      <c r="AM1931" s="3041"/>
      <c r="BD1931" s="3280"/>
      <c r="BF1931" s="3041"/>
      <c r="BH1931" s="3282"/>
    </row>
    <row r="1932" spans="1:60" s="3030" customFormat="1">
      <c r="A1932" s="2126"/>
      <c r="B1932" s="2126"/>
      <c r="C1932" s="2126"/>
      <c r="D1932" s="2126"/>
      <c r="E1932" s="525"/>
      <c r="F1932" s="525"/>
      <c r="G1932" s="525"/>
      <c r="K1932" s="3280"/>
      <c r="AB1932" s="3280"/>
      <c r="AG1932" s="3865"/>
      <c r="AM1932" s="3041"/>
      <c r="BD1932" s="3280"/>
      <c r="BF1932" s="3041"/>
      <c r="BH1932" s="3282"/>
    </row>
    <row r="1933" spans="1:60" s="3030" customFormat="1">
      <c r="A1933" s="2126"/>
      <c r="B1933" s="2126"/>
      <c r="C1933" s="2126"/>
      <c r="D1933" s="2126"/>
      <c r="E1933" s="525"/>
      <c r="F1933" s="525"/>
      <c r="G1933" s="525"/>
      <c r="K1933" s="3280"/>
      <c r="AB1933" s="3280"/>
      <c r="AG1933" s="3865"/>
      <c r="AM1933" s="3041"/>
      <c r="BD1933" s="3280"/>
      <c r="BF1933" s="3041"/>
      <c r="BH1933" s="3282"/>
    </row>
    <row r="1934" spans="1:60" s="3030" customFormat="1">
      <c r="A1934" s="2126"/>
      <c r="B1934" s="2126"/>
      <c r="C1934" s="2126"/>
      <c r="D1934" s="2126"/>
      <c r="E1934" s="525"/>
      <c r="F1934" s="525"/>
      <c r="G1934" s="525"/>
      <c r="K1934" s="3280"/>
      <c r="AB1934" s="3280"/>
      <c r="AG1934" s="3865"/>
      <c r="AM1934" s="3041"/>
      <c r="BD1934" s="3280"/>
      <c r="BF1934" s="3041"/>
      <c r="BH1934" s="3282"/>
    </row>
    <row r="1935" spans="1:60" s="3030" customFormat="1">
      <c r="A1935" s="2126"/>
      <c r="B1935" s="2126"/>
      <c r="C1935" s="2126"/>
      <c r="D1935" s="2126"/>
      <c r="E1935" s="525"/>
      <c r="F1935" s="525"/>
      <c r="G1935" s="525"/>
      <c r="K1935" s="3280"/>
      <c r="AB1935" s="3280"/>
      <c r="AG1935" s="3865"/>
      <c r="AM1935" s="3041"/>
      <c r="BD1935" s="3280"/>
      <c r="BF1935" s="3041"/>
      <c r="BH1935" s="3282"/>
    </row>
    <row r="1936" spans="1:60" s="3030" customFormat="1">
      <c r="A1936" s="2126"/>
      <c r="B1936" s="2126"/>
      <c r="C1936" s="2126"/>
      <c r="D1936" s="2126"/>
      <c r="E1936" s="525"/>
      <c r="F1936" s="525"/>
      <c r="G1936" s="525"/>
      <c r="K1936" s="3280"/>
      <c r="AB1936" s="3280"/>
      <c r="AG1936" s="3865"/>
      <c r="AM1936" s="3041"/>
      <c r="BD1936" s="3280"/>
      <c r="BF1936" s="3041"/>
      <c r="BH1936" s="3282"/>
    </row>
    <row r="1937" spans="1:60" s="3030" customFormat="1">
      <c r="A1937" s="2126"/>
      <c r="B1937" s="2126"/>
      <c r="C1937" s="2126"/>
      <c r="D1937" s="2126"/>
      <c r="E1937" s="525"/>
      <c r="F1937" s="525"/>
      <c r="G1937" s="525"/>
      <c r="K1937" s="3280"/>
      <c r="AB1937" s="3280"/>
      <c r="AG1937" s="3865"/>
      <c r="AM1937" s="3041"/>
      <c r="BD1937" s="3280"/>
      <c r="BF1937" s="3041"/>
      <c r="BH1937" s="3282"/>
    </row>
    <row r="1938" spans="1:60" s="3030" customFormat="1">
      <c r="A1938" s="2126"/>
      <c r="B1938" s="2126"/>
      <c r="C1938" s="2126"/>
      <c r="D1938" s="2126"/>
      <c r="E1938" s="525"/>
      <c r="F1938" s="525"/>
      <c r="G1938" s="525"/>
      <c r="K1938" s="3280"/>
      <c r="AB1938" s="3280"/>
      <c r="AG1938" s="3865"/>
      <c r="AM1938" s="3041"/>
      <c r="BD1938" s="3280"/>
      <c r="BF1938" s="3041"/>
      <c r="BH1938" s="3282"/>
    </row>
    <row r="1939" spans="1:60" s="3030" customFormat="1">
      <c r="A1939" s="2126"/>
      <c r="B1939" s="2126"/>
      <c r="C1939" s="2126"/>
      <c r="D1939" s="2126"/>
      <c r="E1939" s="525"/>
      <c r="F1939" s="525"/>
      <c r="G1939" s="525"/>
      <c r="K1939" s="3280"/>
      <c r="AB1939" s="3280"/>
      <c r="AG1939" s="3865"/>
      <c r="AM1939" s="3041"/>
      <c r="BD1939" s="3280"/>
      <c r="BF1939" s="3041"/>
      <c r="BH1939" s="3282"/>
    </row>
    <row r="1940" spans="1:60" s="3030" customFormat="1">
      <c r="A1940" s="2126"/>
      <c r="B1940" s="2126"/>
      <c r="C1940" s="2126"/>
      <c r="D1940" s="2126"/>
      <c r="E1940" s="525"/>
      <c r="F1940" s="525"/>
      <c r="G1940" s="525"/>
      <c r="K1940" s="3280"/>
      <c r="AB1940" s="3280"/>
      <c r="AG1940" s="3865"/>
      <c r="AM1940" s="3041"/>
      <c r="BD1940" s="3280"/>
      <c r="BF1940" s="3041"/>
      <c r="BH1940" s="3282"/>
    </row>
    <row r="1941" spans="1:60" s="3030" customFormat="1">
      <c r="A1941" s="2126"/>
      <c r="B1941" s="2126"/>
      <c r="C1941" s="2126"/>
      <c r="D1941" s="2126"/>
      <c r="E1941" s="525"/>
      <c r="F1941" s="525"/>
      <c r="G1941" s="525"/>
      <c r="K1941" s="3280"/>
      <c r="AB1941" s="3280"/>
      <c r="AG1941" s="3865"/>
      <c r="AM1941" s="3041"/>
      <c r="BD1941" s="3280"/>
      <c r="BF1941" s="3041"/>
      <c r="BH1941" s="3282"/>
    </row>
    <row r="1942" spans="1:60" s="3030" customFormat="1">
      <c r="A1942" s="2126"/>
      <c r="B1942" s="2126"/>
      <c r="C1942" s="2126"/>
      <c r="D1942" s="2126"/>
      <c r="E1942" s="525"/>
      <c r="F1942" s="525"/>
      <c r="G1942" s="525"/>
      <c r="K1942" s="3280"/>
      <c r="AB1942" s="3280"/>
      <c r="AG1942" s="3865"/>
      <c r="AM1942" s="3041"/>
      <c r="BD1942" s="3280"/>
      <c r="BF1942" s="3041"/>
      <c r="BH1942" s="3282"/>
    </row>
    <row r="1943" spans="1:60" s="3030" customFormat="1">
      <c r="A1943" s="2126"/>
      <c r="B1943" s="2126"/>
      <c r="C1943" s="2126"/>
      <c r="D1943" s="2126"/>
      <c r="E1943" s="525"/>
      <c r="F1943" s="525"/>
      <c r="G1943" s="525"/>
      <c r="K1943" s="3280"/>
      <c r="AB1943" s="3280"/>
      <c r="AG1943" s="3865"/>
      <c r="AM1943" s="3041"/>
      <c r="BD1943" s="3280"/>
      <c r="BF1943" s="3041"/>
      <c r="BH1943" s="3282"/>
    </row>
    <row r="1944" spans="1:60" s="3030" customFormat="1">
      <c r="A1944" s="2126"/>
      <c r="B1944" s="2126"/>
      <c r="C1944" s="2126"/>
      <c r="D1944" s="2126"/>
      <c r="E1944" s="525"/>
      <c r="F1944" s="525"/>
      <c r="G1944" s="525"/>
      <c r="K1944" s="3280"/>
      <c r="AB1944" s="3280"/>
      <c r="AG1944" s="3865"/>
      <c r="AM1944" s="3041"/>
      <c r="BD1944" s="3280"/>
      <c r="BF1944" s="3041"/>
      <c r="BH1944" s="3282"/>
    </row>
    <row r="1945" spans="1:60" s="3030" customFormat="1">
      <c r="A1945" s="2126"/>
      <c r="B1945" s="2126"/>
      <c r="C1945" s="2126"/>
      <c r="D1945" s="2126"/>
      <c r="E1945" s="525"/>
      <c r="F1945" s="525"/>
      <c r="G1945" s="525"/>
      <c r="K1945" s="3280"/>
      <c r="AB1945" s="3280"/>
      <c r="AG1945" s="3865"/>
      <c r="AM1945" s="3041"/>
      <c r="BD1945" s="3280"/>
      <c r="BF1945" s="3041"/>
      <c r="BH1945" s="3282"/>
    </row>
    <row r="1946" spans="1:60" s="3030" customFormat="1">
      <c r="A1946" s="2126"/>
      <c r="B1946" s="2126"/>
      <c r="C1946" s="2126"/>
      <c r="D1946" s="2126"/>
      <c r="E1946" s="525"/>
      <c r="F1946" s="525"/>
      <c r="G1946" s="525"/>
      <c r="K1946" s="3280"/>
      <c r="AB1946" s="3280"/>
      <c r="AG1946" s="3865"/>
      <c r="AM1946" s="3041"/>
      <c r="BD1946" s="3280"/>
      <c r="BF1946" s="3041"/>
      <c r="BH1946" s="3282"/>
    </row>
    <row r="1947" spans="1:60" s="3030" customFormat="1">
      <c r="A1947" s="2126"/>
      <c r="B1947" s="2126"/>
      <c r="C1947" s="2126"/>
      <c r="D1947" s="2126"/>
      <c r="E1947" s="525"/>
      <c r="F1947" s="525"/>
      <c r="G1947" s="525"/>
      <c r="K1947" s="3280"/>
      <c r="AB1947" s="3280"/>
      <c r="AG1947" s="3865"/>
      <c r="AM1947" s="3041"/>
      <c r="BD1947" s="3280"/>
      <c r="BF1947" s="3041"/>
      <c r="BH1947" s="3282"/>
    </row>
    <row r="1948" spans="1:60" s="3030" customFormat="1">
      <c r="A1948" s="2126"/>
      <c r="B1948" s="2126"/>
      <c r="C1948" s="2126"/>
      <c r="D1948" s="2126"/>
      <c r="E1948" s="525"/>
      <c r="F1948" s="525"/>
      <c r="G1948" s="525"/>
      <c r="K1948" s="3280"/>
      <c r="AB1948" s="3280"/>
      <c r="AG1948" s="3865"/>
      <c r="AM1948" s="3041"/>
      <c r="BD1948" s="3280"/>
      <c r="BF1948" s="3041"/>
      <c r="BH1948" s="3282"/>
    </row>
    <row r="1949" spans="1:60" s="3030" customFormat="1">
      <c r="A1949" s="2126"/>
      <c r="B1949" s="2126"/>
      <c r="C1949" s="2126"/>
      <c r="D1949" s="2126"/>
      <c r="E1949" s="525"/>
      <c r="F1949" s="525"/>
      <c r="G1949" s="525"/>
      <c r="K1949" s="3280"/>
      <c r="AB1949" s="3280"/>
      <c r="AG1949" s="3865"/>
      <c r="AM1949" s="3041"/>
      <c r="BD1949" s="3280"/>
      <c r="BF1949" s="3041"/>
      <c r="BH1949" s="3282"/>
    </row>
    <row r="1950" spans="1:60" s="3030" customFormat="1">
      <c r="A1950" s="2126"/>
      <c r="B1950" s="2126"/>
      <c r="C1950" s="2126"/>
      <c r="D1950" s="2126"/>
      <c r="E1950" s="525"/>
      <c r="F1950" s="525"/>
      <c r="G1950" s="525"/>
      <c r="K1950" s="3280"/>
      <c r="AB1950" s="3280"/>
      <c r="AG1950" s="3865"/>
      <c r="AM1950" s="3041"/>
      <c r="BD1950" s="3280"/>
      <c r="BF1950" s="3041"/>
      <c r="BH1950" s="3282"/>
    </row>
    <row r="1951" spans="1:60" s="3030" customFormat="1">
      <c r="A1951" s="2126"/>
      <c r="B1951" s="2126"/>
      <c r="C1951" s="2126"/>
      <c r="D1951" s="2126"/>
      <c r="E1951" s="525"/>
      <c r="F1951" s="525"/>
      <c r="G1951" s="525"/>
      <c r="K1951" s="3280"/>
      <c r="AB1951" s="3280"/>
      <c r="AG1951" s="3865"/>
      <c r="AM1951" s="3041"/>
      <c r="BD1951" s="3280"/>
      <c r="BF1951" s="3041"/>
      <c r="BH1951" s="3282"/>
    </row>
    <row r="1952" spans="1:60" s="3030" customFormat="1">
      <c r="A1952" s="2126"/>
      <c r="B1952" s="2126"/>
      <c r="C1952" s="2126"/>
      <c r="D1952" s="2126"/>
      <c r="E1952" s="525"/>
      <c r="F1952" s="525"/>
      <c r="G1952" s="525"/>
      <c r="K1952" s="3280"/>
      <c r="AB1952" s="3280"/>
      <c r="AG1952" s="3865"/>
      <c r="AM1952" s="3041"/>
      <c r="BD1952" s="3280"/>
      <c r="BF1952" s="3041"/>
      <c r="BH1952" s="3282"/>
    </row>
    <row r="1953" spans="1:60" s="3030" customFormat="1">
      <c r="A1953" s="2126"/>
      <c r="B1953" s="2126"/>
      <c r="C1953" s="2126"/>
      <c r="D1953" s="2126"/>
      <c r="E1953" s="525"/>
      <c r="F1953" s="525"/>
      <c r="G1953" s="525"/>
      <c r="K1953" s="3280"/>
      <c r="AB1953" s="3280"/>
      <c r="AG1953" s="3865"/>
      <c r="AM1953" s="3041"/>
      <c r="BD1953" s="3280"/>
      <c r="BF1953" s="3041"/>
      <c r="BH1953" s="3282"/>
    </row>
    <row r="1954" spans="1:60" s="3030" customFormat="1">
      <c r="A1954" s="2126"/>
      <c r="B1954" s="2126"/>
      <c r="C1954" s="2126"/>
      <c r="D1954" s="2126"/>
      <c r="E1954" s="525"/>
      <c r="F1954" s="525"/>
      <c r="G1954" s="525"/>
      <c r="K1954" s="3280"/>
      <c r="AB1954" s="3280"/>
      <c r="AG1954" s="3865"/>
      <c r="AM1954" s="3041"/>
      <c r="BD1954" s="3280"/>
      <c r="BF1954" s="3041"/>
      <c r="BH1954" s="3282"/>
    </row>
    <row r="1955" spans="1:60" s="3030" customFormat="1">
      <c r="A1955" s="2126"/>
      <c r="B1955" s="2126"/>
      <c r="C1955" s="2126"/>
      <c r="D1955" s="2126"/>
      <c r="E1955" s="525"/>
      <c r="F1955" s="525"/>
      <c r="G1955" s="525"/>
      <c r="K1955" s="3280"/>
      <c r="AB1955" s="3280"/>
      <c r="AG1955" s="3865"/>
      <c r="AM1955" s="3041"/>
      <c r="BD1955" s="3280"/>
      <c r="BF1955" s="3041"/>
      <c r="BH1955" s="3282"/>
    </row>
    <row r="1956" spans="1:60" s="3030" customFormat="1">
      <c r="A1956" s="2126"/>
      <c r="B1956" s="2126"/>
      <c r="C1956" s="2126"/>
      <c r="D1956" s="2126"/>
      <c r="E1956" s="525"/>
      <c r="F1956" s="525"/>
      <c r="G1956" s="525"/>
      <c r="K1956" s="3280"/>
      <c r="AB1956" s="3280"/>
      <c r="AG1956" s="3865"/>
      <c r="AM1956" s="3041"/>
      <c r="BD1956" s="3280"/>
      <c r="BF1956" s="3041"/>
      <c r="BH1956" s="3282"/>
    </row>
    <row r="1957" spans="1:60" s="3030" customFormat="1">
      <c r="A1957" s="2126"/>
      <c r="B1957" s="2126"/>
      <c r="C1957" s="2126"/>
      <c r="D1957" s="2126"/>
      <c r="E1957" s="525"/>
      <c r="F1957" s="525"/>
      <c r="G1957" s="525"/>
      <c r="K1957" s="3280"/>
      <c r="AB1957" s="3280"/>
      <c r="AG1957" s="3865"/>
      <c r="AM1957" s="3041"/>
      <c r="BD1957" s="3280"/>
      <c r="BF1957" s="3041"/>
      <c r="BH1957" s="3282"/>
    </row>
    <row r="1958" spans="1:60" s="3030" customFormat="1">
      <c r="A1958" s="2126"/>
      <c r="B1958" s="2126"/>
      <c r="C1958" s="2126"/>
      <c r="D1958" s="2126"/>
      <c r="E1958" s="525"/>
      <c r="F1958" s="525"/>
      <c r="G1958" s="525"/>
      <c r="K1958" s="3280"/>
      <c r="AB1958" s="3280"/>
      <c r="AG1958" s="3865"/>
      <c r="AM1958" s="3041"/>
      <c r="BD1958" s="3280"/>
      <c r="BF1958" s="3041"/>
      <c r="BH1958" s="3282"/>
    </row>
    <row r="1959" spans="1:60" s="3030" customFormat="1">
      <c r="A1959" s="2126"/>
      <c r="B1959" s="2126"/>
      <c r="C1959" s="2126"/>
      <c r="D1959" s="2126"/>
      <c r="E1959" s="525"/>
      <c r="F1959" s="525"/>
      <c r="G1959" s="525"/>
      <c r="K1959" s="3280"/>
      <c r="AB1959" s="3280"/>
      <c r="AG1959" s="3865"/>
      <c r="AM1959" s="3041"/>
      <c r="BD1959" s="3280"/>
      <c r="BF1959" s="3041"/>
      <c r="BH1959" s="3282"/>
    </row>
    <row r="1960" spans="1:60" s="3030" customFormat="1">
      <c r="A1960" s="2126"/>
      <c r="B1960" s="2126"/>
      <c r="C1960" s="2126"/>
      <c r="D1960" s="2126"/>
      <c r="E1960" s="525"/>
      <c r="F1960" s="525"/>
      <c r="G1960" s="525"/>
      <c r="K1960" s="3280"/>
      <c r="AB1960" s="3280"/>
      <c r="AG1960" s="3865"/>
      <c r="AM1960" s="3041"/>
      <c r="BD1960" s="3280"/>
      <c r="BF1960" s="3041"/>
      <c r="BH1960" s="3282"/>
    </row>
    <row r="1961" spans="1:60" s="3030" customFormat="1">
      <c r="A1961" s="2126"/>
      <c r="B1961" s="2126"/>
      <c r="C1961" s="2126"/>
      <c r="D1961" s="2126"/>
      <c r="E1961" s="525"/>
      <c r="F1961" s="525"/>
      <c r="G1961" s="525"/>
      <c r="K1961" s="3280"/>
      <c r="AB1961" s="3280"/>
      <c r="AG1961" s="3865"/>
      <c r="AM1961" s="3041"/>
      <c r="BD1961" s="3280"/>
      <c r="BF1961" s="3041"/>
      <c r="BH1961" s="3282"/>
    </row>
    <row r="1962" spans="1:60" s="3030" customFormat="1">
      <c r="A1962" s="2126"/>
      <c r="B1962" s="2126"/>
      <c r="C1962" s="2126"/>
      <c r="D1962" s="2126"/>
      <c r="E1962" s="525"/>
      <c r="F1962" s="525"/>
      <c r="G1962" s="525"/>
      <c r="K1962" s="3280"/>
      <c r="AB1962" s="3280"/>
      <c r="AG1962" s="3865"/>
      <c r="AM1962" s="3041"/>
      <c r="BD1962" s="3280"/>
      <c r="BF1962" s="3041"/>
      <c r="BH1962" s="3282"/>
    </row>
    <row r="1963" spans="1:60" s="3030" customFormat="1">
      <c r="A1963" s="2126"/>
      <c r="B1963" s="2126"/>
      <c r="C1963" s="2126"/>
      <c r="D1963" s="2126"/>
      <c r="E1963" s="525"/>
      <c r="F1963" s="525"/>
      <c r="G1963" s="525"/>
      <c r="K1963" s="3280"/>
      <c r="AB1963" s="3280"/>
      <c r="AG1963" s="3865"/>
      <c r="AM1963" s="3041"/>
      <c r="BD1963" s="3280"/>
      <c r="BF1963" s="3041"/>
      <c r="BH1963" s="3282"/>
    </row>
    <row r="1964" spans="1:60" s="3030" customFormat="1">
      <c r="A1964" s="2126"/>
      <c r="B1964" s="2126"/>
      <c r="C1964" s="2126"/>
      <c r="D1964" s="2126"/>
      <c r="E1964" s="525"/>
      <c r="F1964" s="525"/>
      <c r="G1964" s="525"/>
      <c r="K1964" s="3280"/>
      <c r="AB1964" s="3280"/>
      <c r="AG1964" s="3865"/>
      <c r="AM1964" s="3041"/>
      <c r="BD1964" s="3280"/>
      <c r="BF1964" s="3041"/>
      <c r="BH1964" s="3282"/>
    </row>
    <row r="1965" spans="1:60" s="3030" customFormat="1">
      <c r="A1965" s="2126"/>
      <c r="B1965" s="2126"/>
      <c r="C1965" s="2126"/>
      <c r="D1965" s="2126"/>
      <c r="E1965" s="525"/>
      <c r="F1965" s="525"/>
      <c r="G1965" s="525"/>
      <c r="K1965" s="3280"/>
      <c r="AB1965" s="3280"/>
      <c r="AG1965" s="3865"/>
      <c r="AM1965" s="3041"/>
      <c r="BD1965" s="3280"/>
      <c r="BF1965" s="3041"/>
      <c r="BH1965" s="3282"/>
    </row>
    <row r="1966" spans="1:60" s="3030" customFormat="1">
      <c r="A1966" s="2126"/>
      <c r="B1966" s="2126"/>
      <c r="C1966" s="2126"/>
      <c r="D1966" s="2126"/>
      <c r="E1966" s="525"/>
      <c r="F1966" s="525"/>
      <c r="G1966" s="525"/>
      <c r="K1966" s="3280"/>
      <c r="AB1966" s="3280"/>
      <c r="AG1966" s="3865"/>
      <c r="AM1966" s="3041"/>
      <c r="BD1966" s="3280"/>
      <c r="BF1966" s="3041"/>
      <c r="BH1966" s="3282"/>
    </row>
    <row r="1967" spans="1:60" s="3030" customFormat="1">
      <c r="A1967" s="2126"/>
      <c r="B1967" s="2126"/>
      <c r="C1967" s="2126"/>
      <c r="D1967" s="2126"/>
      <c r="E1967" s="525"/>
      <c r="F1967" s="525"/>
      <c r="G1967" s="525"/>
      <c r="K1967" s="3280"/>
      <c r="AB1967" s="3280"/>
      <c r="AG1967" s="3865"/>
      <c r="AM1967" s="3041"/>
      <c r="BD1967" s="3280"/>
      <c r="BF1967" s="3041"/>
      <c r="BH1967" s="3282"/>
    </row>
    <row r="1968" spans="1:60" s="3030" customFormat="1">
      <c r="A1968" s="2126"/>
      <c r="B1968" s="2126"/>
      <c r="C1968" s="2126"/>
      <c r="D1968" s="2126"/>
      <c r="E1968" s="525"/>
      <c r="F1968" s="525"/>
      <c r="G1968" s="525"/>
      <c r="K1968" s="3280"/>
      <c r="AB1968" s="3280"/>
      <c r="AG1968" s="3865"/>
      <c r="AM1968" s="3041"/>
      <c r="BD1968" s="3280"/>
      <c r="BF1968" s="3041"/>
      <c r="BH1968" s="3282"/>
    </row>
    <row r="1969" spans="1:60" s="3030" customFormat="1">
      <c r="A1969" s="2126"/>
      <c r="B1969" s="2126"/>
      <c r="C1969" s="2126"/>
      <c r="D1969" s="2126"/>
      <c r="E1969" s="525"/>
      <c r="F1969" s="525"/>
      <c r="G1969" s="525"/>
      <c r="K1969" s="3280"/>
      <c r="AB1969" s="3280"/>
      <c r="AG1969" s="3865"/>
      <c r="AM1969" s="3041"/>
      <c r="BD1969" s="3280"/>
      <c r="BF1969" s="3041"/>
      <c r="BH1969" s="3282"/>
    </row>
    <row r="1970" spans="1:60" s="3030" customFormat="1">
      <c r="A1970" s="2126"/>
      <c r="B1970" s="2126"/>
      <c r="C1970" s="2126"/>
      <c r="D1970" s="2126"/>
      <c r="E1970" s="525"/>
      <c r="F1970" s="525"/>
      <c r="G1970" s="525"/>
      <c r="K1970" s="3280"/>
      <c r="AB1970" s="3280"/>
      <c r="AG1970" s="3865"/>
      <c r="AM1970" s="3041"/>
      <c r="BD1970" s="3280"/>
      <c r="BF1970" s="3041"/>
      <c r="BH1970" s="3282"/>
    </row>
    <row r="1971" spans="1:60" s="3030" customFormat="1">
      <c r="A1971" s="2126"/>
      <c r="B1971" s="2126"/>
      <c r="C1971" s="2126"/>
      <c r="D1971" s="2126"/>
      <c r="E1971" s="525"/>
      <c r="F1971" s="525"/>
      <c r="G1971" s="525"/>
      <c r="K1971" s="3280"/>
      <c r="AB1971" s="3280"/>
      <c r="AG1971" s="3865"/>
      <c r="AM1971" s="3041"/>
      <c r="BD1971" s="3280"/>
      <c r="BF1971" s="3041"/>
      <c r="BH1971" s="3282"/>
    </row>
    <row r="1972" spans="1:60" s="3030" customFormat="1">
      <c r="A1972" s="2126"/>
      <c r="B1972" s="2126"/>
      <c r="C1972" s="2126"/>
      <c r="D1972" s="2126"/>
      <c r="E1972" s="525"/>
      <c r="F1972" s="525"/>
      <c r="G1972" s="525"/>
      <c r="K1972" s="3280"/>
      <c r="AB1972" s="3280"/>
      <c r="AG1972" s="3865"/>
      <c r="AM1972" s="3041"/>
      <c r="BD1972" s="3280"/>
      <c r="BF1972" s="3041"/>
      <c r="BH1972" s="3282"/>
    </row>
    <row r="1973" spans="1:60" s="3030" customFormat="1">
      <c r="A1973" s="2126"/>
      <c r="B1973" s="2126"/>
      <c r="C1973" s="2126"/>
      <c r="D1973" s="2126"/>
      <c r="E1973" s="525"/>
      <c r="F1973" s="525"/>
      <c r="G1973" s="525"/>
      <c r="K1973" s="3280"/>
      <c r="AB1973" s="3280"/>
      <c r="AG1973" s="3865"/>
      <c r="AM1973" s="3041"/>
      <c r="BD1973" s="3280"/>
      <c r="BF1973" s="3041"/>
      <c r="BH1973" s="3282"/>
    </row>
    <row r="1974" spans="1:60" s="3030" customFormat="1">
      <c r="A1974" s="2126"/>
      <c r="B1974" s="2126"/>
      <c r="C1974" s="2126"/>
      <c r="D1974" s="2126"/>
      <c r="E1974" s="525"/>
      <c r="F1974" s="525"/>
      <c r="G1974" s="525"/>
      <c r="K1974" s="3280"/>
      <c r="AB1974" s="3280"/>
      <c r="AG1974" s="3865"/>
      <c r="AM1974" s="3041"/>
      <c r="BD1974" s="3280"/>
      <c r="BF1974" s="3041"/>
      <c r="BH1974" s="3282"/>
    </row>
    <row r="1975" spans="1:60" s="3030" customFormat="1">
      <c r="A1975" s="2126"/>
      <c r="B1975" s="2126"/>
      <c r="C1975" s="2126"/>
      <c r="D1975" s="2126"/>
      <c r="E1975" s="525"/>
      <c r="F1975" s="525"/>
      <c r="G1975" s="525"/>
      <c r="K1975" s="3280"/>
      <c r="AB1975" s="3280"/>
      <c r="AG1975" s="3865"/>
      <c r="AM1975" s="3041"/>
      <c r="BD1975" s="3280"/>
      <c r="BF1975" s="3041"/>
      <c r="BH1975" s="3282"/>
    </row>
    <row r="1976" spans="1:60" s="3030" customFormat="1">
      <c r="A1976" s="2126"/>
      <c r="B1976" s="2126"/>
      <c r="C1976" s="2126"/>
      <c r="D1976" s="2126"/>
      <c r="E1976" s="525"/>
      <c r="F1976" s="525"/>
      <c r="G1976" s="525"/>
      <c r="K1976" s="3280"/>
      <c r="AB1976" s="3280"/>
      <c r="AG1976" s="3865"/>
      <c r="AM1976" s="3041"/>
      <c r="BD1976" s="3280"/>
      <c r="BF1976" s="3041"/>
      <c r="BH1976" s="3282"/>
    </row>
    <row r="1977" spans="1:60" s="3030" customFormat="1">
      <c r="A1977" s="2126"/>
      <c r="B1977" s="2126"/>
      <c r="C1977" s="2126"/>
      <c r="D1977" s="2126"/>
      <c r="E1977" s="525"/>
      <c r="F1977" s="525"/>
      <c r="G1977" s="525"/>
      <c r="K1977" s="3280"/>
      <c r="AB1977" s="3280"/>
      <c r="AG1977" s="3865"/>
      <c r="AM1977" s="3041"/>
      <c r="BD1977" s="3280"/>
      <c r="BF1977" s="3041"/>
      <c r="BH1977" s="3282"/>
    </row>
    <row r="1978" spans="1:60" s="3030" customFormat="1">
      <c r="A1978" s="2126"/>
      <c r="B1978" s="2126"/>
      <c r="C1978" s="2126"/>
      <c r="D1978" s="2126"/>
      <c r="E1978" s="525"/>
      <c r="F1978" s="525"/>
      <c r="G1978" s="525"/>
      <c r="K1978" s="3280"/>
      <c r="AB1978" s="3280"/>
      <c r="AG1978" s="3865"/>
      <c r="AM1978" s="3041"/>
      <c r="BD1978" s="3280"/>
      <c r="BF1978" s="3041"/>
      <c r="BH1978" s="3282"/>
    </row>
    <row r="1979" spans="1:60" s="3030" customFormat="1">
      <c r="A1979" s="2126"/>
      <c r="B1979" s="2126"/>
      <c r="C1979" s="2126"/>
      <c r="D1979" s="2126"/>
      <c r="E1979" s="525"/>
      <c r="F1979" s="525"/>
      <c r="G1979" s="525"/>
      <c r="K1979" s="3280"/>
      <c r="AB1979" s="3280"/>
      <c r="AG1979" s="3865"/>
      <c r="AM1979" s="3041"/>
      <c r="BD1979" s="3280"/>
      <c r="BF1979" s="3041"/>
      <c r="BH1979" s="3282"/>
    </row>
    <row r="1980" spans="1:60" s="3030" customFormat="1">
      <c r="A1980" s="2126"/>
      <c r="B1980" s="2126"/>
      <c r="C1980" s="2126"/>
      <c r="D1980" s="2126"/>
      <c r="E1980" s="525"/>
      <c r="F1980" s="525"/>
      <c r="G1980" s="525"/>
      <c r="K1980" s="3280"/>
      <c r="AB1980" s="3280"/>
      <c r="AG1980" s="3865"/>
      <c r="AM1980" s="3041"/>
      <c r="BD1980" s="3280"/>
      <c r="BF1980" s="3041"/>
      <c r="BH1980" s="3282"/>
    </row>
    <row r="1981" spans="1:60" s="3030" customFormat="1">
      <c r="A1981" s="2126"/>
      <c r="B1981" s="2126"/>
      <c r="C1981" s="2126"/>
      <c r="D1981" s="2126"/>
      <c r="E1981" s="525"/>
      <c r="F1981" s="525"/>
      <c r="G1981" s="525"/>
      <c r="K1981" s="3280"/>
      <c r="AB1981" s="3280"/>
      <c r="AG1981" s="3865"/>
      <c r="AM1981" s="3041"/>
      <c r="BD1981" s="3280"/>
      <c r="BF1981" s="3041"/>
      <c r="BH1981" s="3282"/>
    </row>
    <row r="1982" spans="1:60" s="3030" customFormat="1">
      <c r="A1982" s="2126"/>
      <c r="B1982" s="2126"/>
      <c r="C1982" s="2126"/>
      <c r="D1982" s="2126"/>
      <c r="E1982" s="525"/>
      <c r="F1982" s="525"/>
      <c r="G1982" s="525"/>
      <c r="K1982" s="3280"/>
      <c r="AB1982" s="3280"/>
      <c r="AG1982" s="3865"/>
      <c r="AM1982" s="3041"/>
      <c r="BD1982" s="3280"/>
      <c r="BF1982" s="3041"/>
      <c r="BH1982" s="3282"/>
    </row>
    <row r="1983" spans="1:60" s="3030" customFormat="1">
      <c r="A1983" s="2126"/>
      <c r="B1983" s="2126"/>
      <c r="C1983" s="2126"/>
      <c r="D1983" s="2126"/>
      <c r="E1983" s="525"/>
      <c r="F1983" s="525"/>
      <c r="G1983" s="525"/>
      <c r="K1983" s="3280"/>
      <c r="AB1983" s="3280"/>
      <c r="AG1983" s="3865"/>
      <c r="AM1983" s="3041"/>
      <c r="BD1983" s="3280"/>
      <c r="BF1983" s="3041"/>
      <c r="BH1983" s="3282"/>
    </row>
    <row r="1984" spans="1:60" s="3030" customFormat="1">
      <c r="A1984" s="2126"/>
      <c r="B1984" s="2126"/>
      <c r="C1984" s="2126"/>
      <c r="D1984" s="2126"/>
      <c r="E1984" s="525"/>
      <c r="F1984" s="525"/>
      <c r="G1984" s="525"/>
      <c r="K1984" s="3280"/>
      <c r="AB1984" s="3280"/>
      <c r="AG1984" s="3865"/>
      <c r="AM1984" s="3041"/>
      <c r="BD1984" s="3280"/>
      <c r="BF1984" s="3041"/>
      <c r="BH1984" s="3282"/>
    </row>
    <row r="1985" spans="1:60" s="3030" customFormat="1">
      <c r="A1985" s="2126"/>
      <c r="B1985" s="2126"/>
      <c r="C1985" s="2126"/>
      <c r="D1985" s="2126"/>
      <c r="E1985" s="525"/>
      <c r="F1985" s="525"/>
      <c r="G1985" s="525"/>
      <c r="K1985" s="3280"/>
      <c r="AB1985" s="3280"/>
      <c r="AG1985" s="3865"/>
      <c r="AM1985" s="3041"/>
      <c r="BD1985" s="3280"/>
      <c r="BF1985" s="3041"/>
      <c r="BH1985" s="3282"/>
    </row>
    <row r="1986" spans="1:60" s="3030" customFormat="1">
      <c r="A1986" s="2126"/>
      <c r="B1986" s="2126"/>
      <c r="C1986" s="2126"/>
      <c r="D1986" s="2126"/>
      <c r="E1986" s="525"/>
      <c r="F1986" s="525"/>
      <c r="G1986" s="525"/>
      <c r="K1986" s="3280"/>
      <c r="AB1986" s="3280"/>
      <c r="AG1986" s="3865"/>
      <c r="AM1986" s="3041"/>
      <c r="BD1986" s="3280"/>
      <c r="BF1986" s="3041"/>
      <c r="BH1986" s="3282"/>
    </row>
    <row r="1987" spans="1:60" s="3030" customFormat="1">
      <c r="A1987" s="2126"/>
      <c r="B1987" s="2126"/>
      <c r="C1987" s="2126"/>
      <c r="D1987" s="2126"/>
      <c r="E1987" s="525"/>
      <c r="F1987" s="525"/>
      <c r="G1987" s="525"/>
      <c r="K1987" s="3280"/>
      <c r="AB1987" s="3280"/>
      <c r="AG1987" s="3865"/>
      <c r="AM1987" s="3041"/>
      <c r="BD1987" s="3280"/>
      <c r="BF1987" s="3041"/>
      <c r="BH1987" s="3282"/>
    </row>
    <row r="1988" spans="1:60" s="3030" customFormat="1">
      <c r="A1988" s="2126"/>
      <c r="B1988" s="2126"/>
      <c r="C1988" s="2126"/>
      <c r="D1988" s="2126"/>
      <c r="E1988" s="525"/>
      <c r="F1988" s="525"/>
      <c r="G1988" s="525"/>
      <c r="K1988" s="3280"/>
      <c r="AB1988" s="3280"/>
      <c r="AG1988" s="3865"/>
      <c r="AM1988" s="3041"/>
      <c r="BD1988" s="3280"/>
      <c r="BF1988" s="3041"/>
      <c r="BH1988" s="3282"/>
    </row>
    <row r="1989" spans="1:60" s="3030" customFormat="1">
      <c r="A1989" s="2126"/>
      <c r="B1989" s="2126"/>
      <c r="C1989" s="2126"/>
      <c r="D1989" s="2126"/>
      <c r="E1989" s="525"/>
      <c r="F1989" s="525"/>
      <c r="G1989" s="525"/>
      <c r="K1989" s="3280"/>
      <c r="AB1989" s="3280"/>
      <c r="AG1989" s="3865"/>
      <c r="AM1989" s="3041"/>
      <c r="BD1989" s="3280"/>
      <c r="BF1989" s="3041"/>
      <c r="BH1989" s="3282"/>
    </row>
    <row r="1990" spans="1:60" s="3030" customFormat="1">
      <c r="A1990" s="2126"/>
      <c r="B1990" s="2126"/>
      <c r="C1990" s="2126"/>
      <c r="D1990" s="2126"/>
      <c r="E1990" s="525"/>
      <c r="F1990" s="525"/>
      <c r="G1990" s="525"/>
      <c r="K1990" s="3280"/>
      <c r="AB1990" s="3280"/>
      <c r="AG1990" s="3865"/>
      <c r="AM1990" s="3041"/>
      <c r="BD1990" s="3280"/>
      <c r="BF1990" s="3041"/>
      <c r="BH1990" s="3282"/>
    </row>
    <row r="1991" spans="1:60" s="3030" customFormat="1">
      <c r="A1991" s="2126"/>
      <c r="B1991" s="2126"/>
      <c r="C1991" s="2126"/>
      <c r="D1991" s="2126"/>
      <c r="E1991" s="525"/>
      <c r="F1991" s="525"/>
      <c r="G1991" s="525"/>
      <c r="K1991" s="3280"/>
      <c r="AB1991" s="3280"/>
      <c r="AG1991" s="3865"/>
      <c r="AM1991" s="3041"/>
      <c r="BD1991" s="3280"/>
      <c r="BF1991" s="3041"/>
      <c r="BH1991" s="3282"/>
    </row>
    <row r="1992" spans="1:60" s="3030" customFormat="1">
      <c r="A1992" s="2126"/>
      <c r="B1992" s="2126"/>
      <c r="C1992" s="2126"/>
      <c r="D1992" s="2126"/>
      <c r="E1992" s="525"/>
      <c r="F1992" s="525"/>
      <c r="G1992" s="525"/>
      <c r="K1992" s="3280"/>
      <c r="AB1992" s="3280"/>
      <c r="AG1992" s="3865"/>
      <c r="AM1992" s="3041"/>
      <c r="BD1992" s="3280"/>
      <c r="BF1992" s="3041"/>
      <c r="BH1992" s="3282"/>
    </row>
    <row r="1993" spans="1:60" s="3030" customFormat="1">
      <c r="A1993" s="2126"/>
      <c r="B1993" s="2126"/>
      <c r="C1993" s="2126"/>
      <c r="D1993" s="2126"/>
      <c r="E1993" s="525"/>
      <c r="F1993" s="525"/>
      <c r="G1993" s="525"/>
      <c r="K1993" s="3280"/>
      <c r="AB1993" s="3280"/>
      <c r="AG1993" s="3865"/>
      <c r="AM1993" s="3041"/>
      <c r="BD1993" s="3280"/>
      <c r="BF1993" s="3041"/>
      <c r="BH1993" s="3282"/>
    </row>
    <row r="1994" spans="1:60" s="3030" customFormat="1">
      <c r="A1994" s="2126"/>
      <c r="B1994" s="2126"/>
      <c r="C1994" s="2126"/>
      <c r="D1994" s="2126"/>
      <c r="E1994" s="525"/>
      <c r="F1994" s="525"/>
      <c r="G1994" s="525"/>
      <c r="K1994" s="3280"/>
      <c r="AB1994" s="3280"/>
      <c r="AG1994" s="3865"/>
      <c r="AM1994" s="3041"/>
      <c r="BD1994" s="3280"/>
      <c r="BF1994" s="3041"/>
      <c r="BH1994" s="3282"/>
    </row>
    <row r="1995" spans="1:60" s="3030" customFormat="1">
      <c r="A1995" s="2126"/>
      <c r="B1995" s="2126"/>
      <c r="C1995" s="2126"/>
      <c r="D1995" s="2126"/>
      <c r="E1995" s="525"/>
      <c r="F1995" s="525"/>
      <c r="G1995" s="525"/>
      <c r="K1995" s="3280"/>
      <c r="AB1995" s="3280"/>
      <c r="AG1995" s="3865"/>
      <c r="AM1995" s="3041"/>
      <c r="BD1995" s="3280"/>
      <c r="BF1995" s="3041"/>
      <c r="BH1995" s="3282"/>
    </row>
    <row r="1996" spans="1:60" s="3030" customFormat="1">
      <c r="A1996" s="2126"/>
      <c r="B1996" s="2126"/>
      <c r="C1996" s="2126"/>
      <c r="D1996" s="2126"/>
      <c r="E1996" s="525"/>
      <c r="F1996" s="525"/>
      <c r="G1996" s="525"/>
      <c r="K1996" s="3280"/>
      <c r="AB1996" s="3280"/>
      <c r="AG1996" s="3865"/>
      <c r="AM1996" s="3041"/>
      <c r="BD1996" s="3280"/>
      <c r="BF1996" s="3041"/>
      <c r="BH1996" s="3282"/>
    </row>
    <row r="1997" spans="1:60" s="3030" customFormat="1">
      <c r="A1997" s="2126"/>
      <c r="B1997" s="2126"/>
      <c r="C1997" s="2126"/>
      <c r="D1997" s="2126"/>
      <c r="E1997" s="525"/>
      <c r="F1997" s="525"/>
      <c r="G1997" s="525"/>
      <c r="K1997" s="3280"/>
      <c r="AB1997" s="3280"/>
      <c r="AG1997" s="3865"/>
      <c r="AM1997" s="3041"/>
      <c r="BD1997" s="3280"/>
      <c r="BF1997" s="3041"/>
      <c r="BH1997" s="3282"/>
    </row>
    <row r="1998" spans="1:60" s="3030" customFormat="1">
      <c r="A1998" s="2126"/>
      <c r="B1998" s="2126"/>
      <c r="C1998" s="2126"/>
      <c r="D1998" s="2126"/>
      <c r="E1998" s="525"/>
      <c r="F1998" s="525"/>
      <c r="G1998" s="525"/>
      <c r="K1998" s="3280"/>
      <c r="AB1998" s="3280"/>
      <c r="AG1998" s="3865"/>
      <c r="AM1998" s="3041"/>
      <c r="BD1998" s="3280"/>
      <c r="BF1998" s="3041"/>
      <c r="BH1998" s="3282"/>
    </row>
    <row r="1999" spans="1:60" s="3030" customFormat="1">
      <c r="A1999" s="2126"/>
      <c r="B1999" s="2126"/>
      <c r="C1999" s="2126"/>
      <c r="D1999" s="2126"/>
      <c r="E1999" s="525"/>
      <c r="F1999" s="525"/>
      <c r="G1999" s="525"/>
      <c r="K1999" s="3280"/>
      <c r="AB1999" s="3280"/>
      <c r="AG1999" s="3865"/>
      <c r="AM1999" s="3041"/>
      <c r="BD1999" s="3280"/>
      <c r="BF1999" s="3041"/>
      <c r="BH1999" s="3282"/>
    </row>
    <row r="2000" spans="1:60" s="3030" customFormat="1">
      <c r="A2000" s="2126"/>
      <c r="B2000" s="2126"/>
      <c r="C2000" s="2126"/>
      <c r="D2000" s="2126"/>
      <c r="E2000" s="525"/>
      <c r="F2000" s="525"/>
      <c r="G2000" s="525"/>
      <c r="K2000" s="3280"/>
      <c r="AB2000" s="3280"/>
      <c r="AG2000" s="3865"/>
      <c r="AM2000" s="3041"/>
      <c r="BD2000" s="3280"/>
      <c r="BF2000" s="3041"/>
      <c r="BH2000" s="3282"/>
    </row>
    <row r="2001" spans="1:60" s="3030" customFormat="1">
      <c r="A2001" s="2126"/>
      <c r="B2001" s="2126"/>
      <c r="C2001" s="2126"/>
      <c r="D2001" s="2126"/>
      <c r="E2001" s="525"/>
      <c r="F2001" s="525"/>
      <c r="G2001" s="525"/>
      <c r="K2001" s="3280"/>
      <c r="AB2001" s="3280"/>
      <c r="AG2001" s="3865"/>
      <c r="AM2001" s="3041"/>
      <c r="BD2001" s="3280"/>
      <c r="BF2001" s="3041"/>
      <c r="BH2001" s="3282"/>
    </row>
    <row r="2002" spans="1:60" s="3030" customFormat="1">
      <c r="A2002" s="2126"/>
      <c r="B2002" s="2126"/>
      <c r="C2002" s="2126"/>
      <c r="D2002" s="2126"/>
      <c r="E2002" s="525"/>
      <c r="F2002" s="525"/>
      <c r="G2002" s="525"/>
      <c r="K2002" s="3280"/>
      <c r="AB2002" s="3280"/>
      <c r="AG2002" s="3865"/>
      <c r="AM2002" s="3041"/>
      <c r="BD2002" s="3280"/>
      <c r="BF2002" s="3041"/>
      <c r="BH2002" s="3282"/>
    </row>
    <row r="2003" spans="1:60" s="3030" customFormat="1">
      <c r="A2003" s="2126"/>
      <c r="B2003" s="2126"/>
      <c r="C2003" s="2126"/>
      <c r="D2003" s="2126"/>
      <c r="E2003" s="525"/>
      <c r="F2003" s="525"/>
      <c r="G2003" s="525"/>
      <c r="K2003" s="3280"/>
      <c r="AB2003" s="3280"/>
      <c r="AG2003" s="3865"/>
      <c r="AM2003" s="3041"/>
      <c r="BD2003" s="3280"/>
      <c r="BF2003" s="3041"/>
      <c r="BH2003" s="3282"/>
    </row>
    <row r="2004" spans="1:60" s="3030" customFormat="1">
      <c r="A2004" s="2126"/>
      <c r="B2004" s="2126"/>
      <c r="C2004" s="2126"/>
      <c r="D2004" s="2126"/>
      <c r="E2004" s="525"/>
      <c r="F2004" s="525"/>
      <c r="G2004" s="525"/>
      <c r="K2004" s="3280"/>
      <c r="AB2004" s="3280"/>
      <c r="AG2004" s="3865"/>
      <c r="AM2004" s="3041"/>
      <c r="BD2004" s="3280"/>
      <c r="BF2004" s="3041"/>
      <c r="BH2004" s="3282"/>
    </row>
    <row r="2005" spans="1:60" s="3030" customFormat="1">
      <c r="A2005" s="2126"/>
      <c r="B2005" s="2126"/>
      <c r="C2005" s="2126"/>
      <c r="D2005" s="2126"/>
      <c r="E2005" s="525"/>
      <c r="F2005" s="525"/>
      <c r="G2005" s="525"/>
      <c r="K2005" s="3280"/>
      <c r="AB2005" s="3280"/>
      <c r="AG2005" s="3865"/>
      <c r="AM2005" s="3041"/>
      <c r="BD2005" s="3280"/>
      <c r="BF2005" s="3041"/>
      <c r="BH2005" s="3282"/>
    </row>
    <row r="2006" spans="1:60" s="3030" customFormat="1">
      <c r="A2006" s="2126"/>
      <c r="B2006" s="2126"/>
      <c r="C2006" s="2126"/>
      <c r="D2006" s="2126"/>
      <c r="E2006" s="525"/>
      <c r="F2006" s="525"/>
      <c r="G2006" s="525"/>
      <c r="K2006" s="3280"/>
      <c r="AB2006" s="3280"/>
      <c r="AG2006" s="3865"/>
      <c r="AM2006" s="3041"/>
      <c r="BD2006" s="3280"/>
      <c r="BF2006" s="3041"/>
      <c r="BH2006" s="3282"/>
    </row>
    <row r="2007" spans="1:60" s="3030" customFormat="1">
      <c r="A2007" s="2126"/>
      <c r="B2007" s="2126"/>
      <c r="C2007" s="2126"/>
      <c r="D2007" s="2126"/>
      <c r="E2007" s="525"/>
      <c r="F2007" s="525"/>
      <c r="G2007" s="525"/>
      <c r="K2007" s="3280"/>
      <c r="AB2007" s="3280"/>
      <c r="AG2007" s="3865"/>
      <c r="AM2007" s="3041"/>
      <c r="BD2007" s="3280"/>
      <c r="BF2007" s="3041"/>
      <c r="BH2007" s="3282"/>
    </row>
    <row r="2008" spans="1:60" s="3030" customFormat="1">
      <c r="A2008" s="2126"/>
      <c r="B2008" s="2126"/>
      <c r="C2008" s="2126"/>
      <c r="D2008" s="2126"/>
      <c r="E2008" s="525"/>
      <c r="F2008" s="525"/>
      <c r="G2008" s="525"/>
      <c r="K2008" s="3280"/>
      <c r="AB2008" s="3280"/>
      <c r="AG2008" s="3865"/>
      <c r="AM2008" s="3041"/>
      <c r="BD2008" s="3280"/>
      <c r="BF2008" s="3041"/>
      <c r="BH2008" s="3282"/>
    </row>
    <row r="2009" spans="1:60" s="3030" customFormat="1">
      <c r="A2009" s="2126"/>
      <c r="B2009" s="2126"/>
      <c r="C2009" s="2126"/>
      <c r="D2009" s="2126"/>
      <c r="E2009" s="525"/>
      <c r="F2009" s="525"/>
      <c r="G2009" s="525"/>
      <c r="K2009" s="3280"/>
      <c r="AB2009" s="3280"/>
      <c r="AG2009" s="3865"/>
      <c r="AM2009" s="3041"/>
      <c r="BD2009" s="3280"/>
      <c r="BF2009" s="3041"/>
      <c r="BH2009" s="3282"/>
    </row>
    <row r="2010" spans="1:60" s="3030" customFormat="1">
      <c r="A2010" s="2126"/>
      <c r="B2010" s="2126"/>
      <c r="C2010" s="2126"/>
      <c r="D2010" s="2126"/>
      <c r="E2010" s="525"/>
      <c r="F2010" s="525"/>
      <c r="G2010" s="525"/>
      <c r="K2010" s="3280"/>
      <c r="AB2010" s="3280"/>
      <c r="AG2010" s="3865"/>
      <c r="AM2010" s="3041"/>
      <c r="BD2010" s="3280"/>
      <c r="BF2010" s="3041"/>
      <c r="BH2010" s="3282"/>
    </row>
    <row r="2011" spans="1:60" s="3030" customFormat="1">
      <c r="A2011" s="2126"/>
      <c r="B2011" s="2126"/>
      <c r="C2011" s="2126"/>
      <c r="D2011" s="2126"/>
      <c r="E2011" s="525"/>
      <c r="F2011" s="525"/>
      <c r="G2011" s="525"/>
      <c r="K2011" s="3280"/>
      <c r="AB2011" s="3280"/>
      <c r="AG2011" s="3865"/>
      <c r="AM2011" s="3041"/>
      <c r="BD2011" s="3280"/>
      <c r="BF2011" s="3041"/>
      <c r="BH2011" s="3282"/>
    </row>
    <row r="2012" spans="1:60" s="3030" customFormat="1">
      <c r="A2012" s="2126"/>
      <c r="B2012" s="2126"/>
      <c r="C2012" s="2126"/>
      <c r="D2012" s="2126"/>
      <c r="E2012" s="525"/>
      <c r="F2012" s="525"/>
      <c r="G2012" s="525"/>
      <c r="K2012" s="3280"/>
      <c r="AB2012" s="3280"/>
      <c r="AG2012" s="3865"/>
      <c r="AM2012" s="3041"/>
      <c r="BD2012" s="3280"/>
      <c r="BF2012" s="3041"/>
      <c r="BH2012" s="3282"/>
    </row>
    <row r="2013" spans="1:60" s="3030" customFormat="1">
      <c r="A2013" s="2126"/>
      <c r="B2013" s="2126"/>
      <c r="C2013" s="2126"/>
      <c r="D2013" s="2126"/>
      <c r="E2013" s="525"/>
      <c r="F2013" s="525"/>
      <c r="G2013" s="525"/>
      <c r="K2013" s="3280"/>
      <c r="AB2013" s="3280"/>
      <c r="AG2013" s="3865"/>
      <c r="AM2013" s="3041"/>
      <c r="BD2013" s="3280"/>
      <c r="BF2013" s="3041"/>
      <c r="BH2013" s="3282"/>
    </row>
    <row r="2014" spans="1:60" s="3030" customFormat="1">
      <c r="A2014" s="2126"/>
      <c r="B2014" s="2126"/>
      <c r="C2014" s="2126"/>
      <c r="D2014" s="2126"/>
      <c r="E2014" s="525"/>
      <c r="F2014" s="525"/>
      <c r="G2014" s="525"/>
      <c r="K2014" s="3280"/>
      <c r="AB2014" s="3280"/>
      <c r="AG2014" s="3865"/>
      <c r="AM2014" s="3041"/>
      <c r="BD2014" s="3280"/>
      <c r="BF2014" s="3041"/>
      <c r="BH2014" s="3282"/>
    </row>
    <row r="2015" spans="1:60" s="3030" customFormat="1">
      <c r="A2015" s="2126"/>
      <c r="B2015" s="2126"/>
      <c r="C2015" s="2126"/>
      <c r="D2015" s="2126"/>
      <c r="E2015" s="525"/>
      <c r="F2015" s="525"/>
      <c r="G2015" s="525"/>
      <c r="K2015" s="3280"/>
      <c r="AB2015" s="3280"/>
      <c r="AG2015" s="3865"/>
      <c r="AM2015" s="3041"/>
      <c r="BD2015" s="3280"/>
      <c r="BF2015" s="3041"/>
      <c r="BH2015" s="3282"/>
    </row>
    <row r="2016" spans="1:60" s="3030" customFormat="1">
      <c r="A2016" s="2126"/>
      <c r="B2016" s="2126"/>
      <c r="C2016" s="2126"/>
      <c r="D2016" s="2126"/>
      <c r="E2016" s="525"/>
      <c r="F2016" s="525"/>
      <c r="G2016" s="525"/>
      <c r="K2016" s="3280"/>
      <c r="AB2016" s="3280"/>
      <c r="AG2016" s="3865"/>
      <c r="AM2016" s="3041"/>
      <c r="BD2016" s="3280"/>
      <c r="BF2016" s="3041"/>
      <c r="BH2016" s="3282"/>
    </row>
    <row r="2017" spans="1:60" s="3030" customFormat="1">
      <c r="A2017" s="2126"/>
      <c r="B2017" s="2126"/>
      <c r="C2017" s="2126"/>
      <c r="D2017" s="2126"/>
      <c r="E2017" s="525"/>
      <c r="F2017" s="525"/>
      <c r="G2017" s="525"/>
      <c r="K2017" s="3280"/>
      <c r="AB2017" s="3280"/>
      <c r="AG2017" s="3865"/>
      <c r="AM2017" s="3041"/>
      <c r="BD2017" s="3280"/>
      <c r="BF2017" s="3041"/>
      <c r="BH2017" s="3282"/>
    </row>
    <row r="2018" spans="1:60" s="3030" customFormat="1">
      <c r="A2018" s="2126"/>
      <c r="B2018" s="2126"/>
      <c r="C2018" s="2126"/>
      <c r="D2018" s="2126"/>
      <c r="E2018" s="525"/>
      <c r="F2018" s="525"/>
      <c r="G2018" s="525"/>
      <c r="K2018" s="3280"/>
      <c r="AB2018" s="3280"/>
      <c r="AG2018" s="3865"/>
      <c r="AM2018" s="3041"/>
      <c r="BD2018" s="3280"/>
      <c r="BF2018" s="3041"/>
      <c r="BH2018" s="3282"/>
    </row>
    <row r="2019" spans="1:60" s="3030" customFormat="1">
      <c r="A2019" s="2126"/>
      <c r="B2019" s="2126"/>
      <c r="C2019" s="2126"/>
      <c r="D2019" s="2126"/>
      <c r="E2019" s="525"/>
      <c r="F2019" s="525"/>
      <c r="G2019" s="525"/>
      <c r="K2019" s="3280"/>
      <c r="AB2019" s="3280"/>
      <c r="AG2019" s="3865"/>
      <c r="AM2019" s="3041"/>
      <c r="BD2019" s="3280"/>
      <c r="BF2019" s="3041"/>
      <c r="BH2019" s="3282"/>
    </row>
    <row r="2020" spans="1:60" s="3030" customFormat="1">
      <c r="A2020" s="2126"/>
      <c r="B2020" s="2126"/>
      <c r="C2020" s="2126"/>
      <c r="D2020" s="2126"/>
      <c r="E2020" s="525"/>
      <c r="F2020" s="525"/>
      <c r="G2020" s="525"/>
      <c r="K2020" s="3280"/>
      <c r="AB2020" s="3280"/>
      <c r="AG2020" s="3865"/>
      <c r="AM2020" s="3041"/>
      <c r="BD2020" s="3280"/>
      <c r="BF2020" s="3041"/>
      <c r="BH2020" s="3282"/>
    </row>
    <row r="2021" spans="1:60" s="3030" customFormat="1">
      <c r="A2021" s="2126"/>
      <c r="B2021" s="2126"/>
      <c r="C2021" s="2126"/>
      <c r="D2021" s="2126"/>
      <c r="E2021" s="525"/>
      <c r="F2021" s="525"/>
      <c r="G2021" s="525"/>
      <c r="K2021" s="3280"/>
      <c r="AB2021" s="3280"/>
      <c r="AG2021" s="3865"/>
      <c r="AM2021" s="3041"/>
      <c r="BD2021" s="3280"/>
      <c r="BF2021" s="3041"/>
      <c r="BH2021" s="3282"/>
    </row>
    <row r="2022" spans="1:60" s="3030" customFormat="1">
      <c r="A2022" s="2126"/>
      <c r="B2022" s="2126"/>
      <c r="C2022" s="2126"/>
      <c r="D2022" s="2126"/>
      <c r="E2022" s="525"/>
      <c r="F2022" s="525"/>
      <c r="G2022" s="525"/>
      <c r="K2022" s="3280"/>
      <c r="AB2022" s="3280"/>
      <c r="AG2022" s="3865"/>
      <c r="AM2022" s="3041"/>
      <c r="BD2022" s="3280"/>
      <c r="BF2022" s="3041"/>
      <c r="BH2022" s="3282"/>
    </row>
    <row r="2023" spans="1:60" s="3030" customFormat="1">
      <c r="A2023" s="2126"/>
      <c r="B2023" s="2126"/>
      <c r="C2023" s="2126"/>
      <c r="D2023" s="2126"/>
      <c r="E2023" s="525"/>
      <c r="F2023" s="525"/>
      <c r="G2023" s="525"/>
      <c r="K2023" s="3280"/>
      <c r="AB2023" s="3280"/>
      <c r="AG2023" s="3865"/>
      <c r="AM2023" s="3041"/>
      <c r="BD2023" s="3280"/>
      <c r="BF2023" s="3041"/>
      <c r="BH2023" s="3282"/>
    </row>
    <row r="2024" spans="1:60" s="3030" customFormat="1">
      <c r="A2024" s="2126"/>
      <c r="B2024" s="2126"/>
      <c r="C2024" s="2126"/>
      <c r="D2024" s="2126"/>
      <c r="E2024" s="525"/>
      <c r="F2024" s="525"/>
      <c r="G2024" s="525"/>
      <c r="K2024" s="3280"/>
      <c r="AB2024" s="3280"/>
      <c r="AG2024" s="3865"/>
      <c r="AM2024" s="3041"/>
      <c r="BD2024" s="3280"/>
      <c r="BF2024" s="3041"/>
      <c r="BH2024" s="3282"/>
    </row>
    <row r="2025" spans="1:60" s="3030" customFormat="1">
      <c r="A2025" s="2126"/>
      <c r="B2025" s="2126"/>
      <c r="C2025" s="2126"/>
      <c r="D2025" s="2126"/>
      <c r="E2025" s="525"/>
      <c r="F2025" s="525"/>
      <c r="G2025" s="525"/>
      <c r="K2025" s="3280"/>
      <c r="AB2025" s="3280"/>
      <c r="AG2025" s="3865"/>
      <c r="AM2025" s="3041"/>
      <c r="BD2025" s="3280"/>
      <c r="BF2025" s="3041"/>
      <c r="BH2025" s="3282"/>
    </row>
    <row r="2026" spans="1:60" s="3030" customFormat="1">
      <c r="A2026" s="2126"/>
      <c r="B2026" s="2126"/>
      <c r="C2026" s="2126"/>
      <c r="D2026" s="2126"/>
      <c r="E2026" s="525"/>
      <c r="F2026" s="525"/>
      <c r="G2026" s="525"/>
      <c r="K2026" s="3280"/>
      <c r="AB2026" s="3280"/>
      <c r="AG2026" s="3865"/>
      <c r="AM2026" s="3041"/>
      <c r="BD2026" s="3280"/>
      <c r="BF2026" s="3041"/>
      <c r="BH2026" s="3282"/>
    </row>
    <row r="2027" spans="1:60" s="3030" customFormat="1">
      <c r="A2027" s="2126"/>
      <c r="B2027" s="2126"/>
      <c r="C2027" s="2126"/>
      <c r="D2027" s="2126"/>
      <c r="E2027" s="525"/>
      <c r="F2027" s="525"/>
      <c r="G2027" s="525"/>
      <c r="K2027" s="3280"/>
      <c r="AB2027" s="3280"/>
      <c r="AG2027" s="3865"/>
      <c r="AM2027" s="3041"/>
      <c r="BD2027" s="3280"/>
      <c r="BF2027" s="3041"/>
      <c r="BH2027" s="3282"/>
    </row>
    <row r="2028" spans="1:60" s="3030" customFormat="1">
      <c r="A2028" s="2126"/>
      <c r="B2028" s="2126"/>
      <c r="C2028" s="2126"/>
      <c r="D2028" s="2126"/>
      <c r="E2028" s="525"/>
      <c r="F2028" s="525"/>
      <c r="G2028" s="525"/>
      <c r="K2028" s="3280"/>
      <c r="AB2028" s="3280"/>
      <c r="AG2028" s="3865"/>
      <c r="AM2028" s="3041"/>
      <c r="BD2028" s="3280"/>
      <c r="BF2028" s="3041"/>
      <c r="BH2028" s="3282"/>
    </row>
    <row r="2029" spans="1:60" s="3030" customFormat="1">
      <c r="A2029" s="2126"/>
      <c r="B2029" s="2126"/>
      <c r="C2029" s="2126"/>
      <c r="D2029" s="2126"/>
      <c r="E2029" s="525"/>
      <c r="F2029" s="525"/>
      <c r="G2029" s="525"/>
      <c r="K2029" s="3280"/>
      <c r="AB2029" s="3280"/>
      <c r="AG2029" s="3865"/>
      <c r="AM2029" s="3041"/>
      <c r="BD2029" s="3280"/>
      <c r="BF2029" s="3041"/>
      <c r="BH2029" s="3282"/>
    </row>
    <row r="2030" spans="1:60" s="3030" customFormat="1">
      <c r="A2030" s="2126"/>
      <c r="B2030" s="2126"/>
      <c r="C2030" s="2126"/>
      <c r="D2030" s="2126"/>
      <c r="E2030" s="525"/>
      <c r="F2030" s="525"/>
      <c r="G2030" s="525"/>
      <c r="K2030" s="3280"/>
      <c r="AB2030" s="3280"/>
      <c r="AG2030" s="3865"/>
      <c r="AM2030" s="3041"/>
      <c r="BD2030" s="3280"/>
      <c r="BF2030" s="3041"/>
      <c r="BH2030" s="3282"/>
    </row>
    <row r="2031" spans="1:60" s="3030" customFormat="1">
      <c r="A2031" s="2126"/>
      <c r="B2031" s="2126"/>
      <c r="C2031" s="2126"/>
      <c r="D2031" s="2126"/>
      <c r="E2031" s="525"/>
      <c r="F2031" s="525"/>
      <c r="G2031" s="525"/>
      <c r="K2031" s="3280"/>
      <c r="AB2031" s="3280"/>
      <c r="AG2031" s="3865"/>
      <c r="AM2031" s="3041"/>
      <c r="BD2031" s="3280"/>
      <c r="BF2031" s="3041"/>
      <c r="BH2031" s="3282"/>
    </row>
    <row r="2032" spans="1:60" s="3030" customFormat="1">
      <c r="A2032" s="2126"/>
      <c r="B2032" s="2126"/>
      <c r="C2032" s="2126"/>
      <c r="D2032" s="2126"/>
      <c r="E2032" s="525"/>
      <c r="F2032" s="525"/>
      <c r="G2032" s="525"/>
      <c r="K2032" s="3280"/>
      <c r="AB2032" s="3280"/>
      <c r="AG2032" s="3865"/>
      <c r="AM2032" s="3041"/>
      <c r="BD2032" s="3280"/>
      <c r="BF2032" s="3041"/>
      <c r="BH2032" s="3282"/>
    </row>
    <row r="2033" spans="1:60" s="3030" customFormat="1">
      <c r="A2033" s="2126"/>
      <c r="B2033" s="2126"/>
      <c r="C2033" s="2126"/>
      <c r="D2033" s="2126"/>
      <c r="E2033" s="525"/>
      <c r="F2033" s="525"/>
      <c r="G2033" s="525"/>
      <c r="K2033" s="3280"/>
      <c r="AB2033" s="3280"/>
      <c r="AG2033" s="3865"/>
      <c r="AM2033" s="3041"/>
      <c r="BD2033" s="3280"/>
      <c r="BF2033" s="3041"/>
      <c r="BH2033" s="3282"/>
    </row>
    <row r="2034" spans="1:60" s="3030" customFormat="1">
      <c r="A2034" s="2126"/>
      <c r="B2034" s="2126"/>
      <c r="C2034" s="2126"/>
      <c r="D2034" s="2126"/>
      <c r="E2034" s="525"/>
      <c r="F2034" s="525"/>
      <c r="G2034" s="525"/>
      <c r="K2034" s="3280"/>
      <c r="AB2034" s="3280"/>
      <c r="AG2034" s="3865"/>
      <c r="AM2034" s="3041"/>
      <c r="BD2034" s="3280"/>
      <c r="BF2034" s="3041"/>
      <c r="BH2034" s="3282"/>
    </row>
    <row r="2035" spans="1:60" s="3030" customFormat="1">
      <c r="A2035" s="2126"/>
      <c r="B2035" s="2126"/>
      <c r="C2035" s="2126"/>
      <c r="D2035" s="2126"/>
      <c r="E2035" s="525"/>
      <c r="F2035" s="525"/>
      <c r="G2035" s="525"/>
      <c r="K2035" s="3280"/>
      <c r="AB2035" s="3280"/>
      <c r="AG2035" s="3865"/>
      <c r="AM2035" s="3041"/>
      <c r="BD2035" s="3280"/>
      <c r="BF2035" s="3041"/>
      <c r="BH2035" s="3282"/>
    </row>
    <row r="2036" spans="1:60" s="3030" customFormat="1">
      <c r="A2036" s="2126"/>
      <c r="B2036" s="2126"/>
      <c r="C2036" s="2126"/>
      <c r="D2036" s="2126"/>
      <c r="E2036" s="525"/>
      <c r="F2036" s="525"/>
      <c r="G2036" s="525"/>
      <c r="K2036" s="3280"/>
      <c r="AB2036" s="3280"/>
      <c r="AG2036" s="3865"/>
      <c r="AM2036" s="3041"/>
      <c r="BD2036" s="3280"/>
      <c r="BF2036" s="3041"/>
      <c r="BH2036" s="3282"/>
    </row>
    <row r="2037" spans="1:60" s="3030" customFormat="1">
      <c r="A2037" s="2126"/>
      <c r="B2037" s="2126"/>
      <c r="C2037" s="2126"/>
      <c r="D2037" s="2126"/>
      <c r="E2037" s="525"/>
      <c r="F2037" s="525"/>
      <c r="G2037" s="525"/>
      <c r="K2037" s="3280"/>
      <c r="AB2037" s="3280"/>
      <c r="AG2037" s="3865"/>
      <c r="AM2037" s="3041"/>
      <c r="BD2037" s="3280"/>
      <c r="BF2037" s="3041"/>
      <c r="BH2037" s="3282"/>
    </row>
    <row r="2038" spans="1:60" s="3030" customFormat="1">
      <c r="A2038" s="2126"/>
      <c r="B2038" s="2126"/>
      <c r="C2038" s="2126"/>
      <c r="D2038" s="2126"/>
      <c r="E2038" s="525"/>
      <c r="F2038" s="525"/>
      <c r="G2038" s="525"/>
      <c r="K2038" s="3280"/>
      <c r="AB2038" s="3280"/>
      <c r="AG2038" s="3865"/>
      <c r="AM2038" s="3041"/>
      <c r="BD2038" s="3280"/>
      <c r="BF2038" s="3041"/>
      <c r="BH2038" s="3282"/>
    </row>
    <row r="2039" spans="1:60" s="3030" customFormat="1">
      <c r="A2039" s="2126"/>
      <c r="B2039" s="2126"/>
      <c r="C2039" s="2126"/>
      <c r="D2039" s="2126"/>
      <c r="E2039" s="525"/>
      <c r="F2039" s="525"/>
      <c r="G2039" s="525"/>
      <c r="K2039" s="3280"/>
      <c r="AB2039" s="3280"/>
      <c r="AG2039" s="3865"/>
      <c r="AM2039" s="3041"/>
      <c r="BD2039" s="3280"/>
      <c r="BF2039" s="3041"/>
      <c r="BH2039" s="3282"/>
    </row>
    <row r="2040" spans="1:60" s="3030" customFormat="1">
      <c r="A2040" s="2126"/>
      <c r="B2040" s="2126"/>
      <c r="C2040" s="2126"/>
      <c r="D2040" s="2126"/>
      <c r="E2040" s="525"/>
      <c r="F2040" s="525"/>
      <c r="G2040" s="525"/>
      <c r="K2040" s="3280"/>
      <c r="AB2040" s="3280"/>
      <c r="AG2040" s="3865"/>
      <c r="AM2040" s="3041"/>
      <c r="BD2040" s="3280"/>
      <c r="BF2040" s="3041"/>
      <c r="BH2040" s="3282"/>
    </row>
    <row r="2041" spans="1:60" s="3030" customFormat="1">
      <c r="A2041" s="2126"/>
      <c r="B2041" s="2126"/>
      <c r="C2041" s="2126"/>
      <c r="D2041" s="2126"/>
      <c r="E2041" s="525"/>
      <c r="F2041" s="525"/>
      <c r="G2041" s="525"/>
      <c r="K2041" s="3280"/>
      <c r="AB2041" s="3280"/>
      <c r="AG2041" s="3865"/>
      <c r="AM2041" s="3041"/>
      <c r="BD2041" s="3280"/>
      <c r="BF2041" s="3041"/>
      <c r="BH2041" s="3282"/>
    </row>
    <row r="2042" spans="1:60" s="3030" customFormat="1">
      <c r="A2042" s="2126"/>
      <c r="B2042" s="2126"/>
      <c r="C2042" s="2126"/>
      <c r="D2042" s="2126"/>
      <c r="E2042" s="525"/>
      <c r="F2042" s="525"/>
      <c r="G2042" s="525"/>
      <c r="K2042" s="3280"/>
      <c r="AB2042" s="3280"/>
      <c r="AG2042" s="3865"/>
      <c r="AM2042" s="3041"/>
      <c r="BD2042" s="3280"/>
      <c r="BF2042" s="3041"/>
      <c r="BH2042" s="3282"/>
    </row>
    <row r="2043" spans="1:60" s="3030" customFormat="1">
      <c r="A2043" s="2126"/>
      <c r="B2043" s="2126"/>
      <c r="C2043" s="2126"/>
      <c r="D2043" s="2126"/>
      <c r="E2043" s="525"/>
      <c r="F2043" s="525"/>
      <c r="G2043" s="525"/>
      <c r="K2043" s="3280"/>
      <c r="AB2043" s="3280"/>
      <c r="AG2043" s="3865"/>
      <c r="AM2043" s="3041"/>
      <c r="BD2043" s="3280"/>
      <c r="BF2043" s="3041"/>
      <c r="BH2043" s="3282"/>
    </row>
    <row r="2044" spans="1:60" s="3030" customFormat="1">
      <c r="A2044" s="2126"/>
      <c r="B2044" s="2126"/>
      <c r="C2044" s="2126"/>
      <c r="D2044" s="2126"/>
      <c r="E2044" s="525"/>
      <c r="F2044" s="525"/>
      <c r="G2044" s="525"/>
      <c r="K2044" s="3280"/>
      <c r="AB2044" s="3280"/>
      <c r="AG2044" s="3865"/>
      <c r="AM2044" s="3041"/>
      <c r="BD2044" s="3280"/>
      <c r="BF2044" s="3041"/>
      <c r="BH2044" s="3282"/>
    </row>
    <row r="2045" spans="1:60" s="3030" customFormat="1">
      <c r="A2045" s="2126"/>
      <c r="B2045" s="2126"/>
      <c r="C2045" s="2126"/>
      <c r="D2045" s="2126"/>
      <c r="E2045" s="525"/>
      <c r="F2045" s="525"/>
      <c r="G2045" s="525"/>
      <c r="K2045" s="3280"/>
      <c r="AB2045" s="3280"/>
      <c r="AG2045" s="3865"/>
      <c r="AM2045" s="3041"/>
      <c r="BD2045" s="3280"/>
      <c r="BF2045" s="3041"/>
      <c r="BH2045" s="3282"/>
    </row>
    <row r="2046" spans="1:60" s="3030" customFormat="1">
      <c r="A2046" s="2126"/>
      <c r="B2046" s="2126"/>
      <c r="C2046" s="2126"/>
      <c r="D2046" s="2126"/>
      <c r="E2046" s="525"/>
      <c r="F2046" s="525"/>
      <c r="G2046" s="525"/>
      <c r="K2046" s="3280"/>
      <c r="AB2046" s="3280"/>
      <c r="AG2046" s="3865"/>
      <c r="AM2046" s="3041"/>
      <c r="BD2046" s="3280"/>
      <c r="BF2046" s="3041"/>
      <c r="BH2046" s="3282"/>
    </row>
    <row r="2047" spans="1:60" s="3030" customFormat="1">
      <c r="A2047" s="2126"/>
      <c r="B2047" s="2126"/>
      <c r="C2047" s="2126"/>
      <c r="D2047" s="2126"/>
      <c r="E2047" s="525"/>
      <c r="F2047" s="525"/>
      <c r="G2047" s="525"/>
      <c r="K2047" s="3280"/>
      <c r="AB2047" s="3280"/>
      <c r="AG2047" s="3865"/>
      <c r="AM2047" s="3041"/>
      <c r="BD2047" s="3280"/>
      <c r="BF2047" s="3041"/>
      <c r="BH2047" s="3282"/>
    </row>
    <row r="2048" spans="1:60" s="3030" customFormat="1">
      <c r="A2048" s="2126"/>
      <c r="B2048" s="2126"/>
      <c r="C2048" s="2126"/>
      <c r="D2048" s="2126"/>
      <c r="E2048" s="525"/>
      <c r="F2048" s="525"/>
      <c r="G2048" s="525"/>
      <c r="K2048" s="3280"/>
      <c r="AB2048" s="3280"/>
      <c r="AG2048" s="3865"/>
      <c r="AM2048" s="3041"/>
      <c r="BD2048" s="3280"/>
      <c r="BF2048" s="3041"/>
      <c r="BH2048" s="3282"/>
    </row>
    <row r="2049" spans="1:60" s="3030" customFormat="1">
      <c r="A2049" s="2126"/>
      <c r="B2049" s="2126"/>
      <c r="C2049" s="2126"/>
      <c r="D2049" s="2126"/>
      <c r="E2049" s="525"/>
      <c r="F2049" s="525"/>
      <c r="G2049" s="525"/>
      <c r="K2049" s="3280"/>
      <c r="AB2049" s="3280"/>
      <c r="AG2049" s="3865"/>
      <c r="AM2049" s="3041"/>
      <c r="BD2049" s="3280"/>
      <c r="BF2049" s="3041"/>
      <c r="BH2049" s="3282"/>
    </row>
    <row r="2050" spans="1:60" s="3030" customFormat="1">
      <c r="A2050" s="2126"/>
      <c r="B2050" s="2126"/>
      <c r="C2050" s="2126"/>
      <c r="D2050" s="2126"/>
      <c r="E2050" s="525"/>
      <c r="F2050" s="525"/>
      <c r="G2050" s="525"/>
      <c r="K2050" s="3280"/>
      <c r="AB2050" s="3280"/>
      <c r="AG2050" s="3865"/>
      <c r="AM2050" s="3041"/>
      <c r="BD2050" s="3280"/>
      <c r="BF2050" s="3041"/>
      <c r="BH2050" s="3282"/>
    </row>
    <row r="2051" spans="1:60" s="3030" customFormat="1">
      <c r="A2051" s="2126"/>
      <c r="B2051" s="2126"/>
      <c r="C2051" s="2126"/>
      <c r="D2051" s="2126"/>
      <c r="E2051" s="525"/>
      <c r="F2051" s="525"/>
      <c r="G2051" s="525"/>
      <c r="K2051" s="3280"/>
      <c r="AB2051" s="3280"/>
      <c r="AG2051" s="3865"/>
      <c r="AM2051" s="3041"/>
      <c r="BD2051" s="3280"/>
      <c r="BF2051" s="3041"/>
      <c r="BH2051" s="3282"/>
    </row>
    <row r="2052" spans="1:60" s="3030" customFormat="1">
      <c r="A2052" s="2126"/>
      <c r="B2052" s="2126"/>
      <c r="C2052" s="2126"/>
      <c r="D2052" s="2126"/>
      <c r="E2052" s="525"/>
      <c r="F2052" s="525"/>
      <c r="G2052" s="525"/>
      <c r="K2052" s="3280"/>
      <c r="AB2052" s="3280"/>
      <c r="AG2052" s="3865"/>
      <c r="AM2052" s="3041"/>
      <c r="BD2052" s="3280"/>
      <c r="BF2052" s="3041"/>
      <c r="BH2052" s="3282"/>
    </row>
    <row r="2053" spans="1:60" s="3030" customFormat="1">
      <c r="A2053" s="2126"/>
      <c r="B2053" s="2126"/>
      <c r="C2053" s="2126"/>
      <c r="D2053" s="2126"/>
      <c r="E2053" s="525"/>
      <c r="F2053" s="525"/>
      <c r="G2053" s="525"/>
      <c r="K2053" s="3280"/>
      <c r="AB2053" s="3280"/>
      <c r="AG2053" s="3865"/>
      <c r="AM2053" s="3041"/>
      <c r="BD2053" s="3280"/>
      <c r="BF2053" s="3041"/>
      <c r="BH2053" s="3282"/>
    </row>
    <row r="2054" spans="1:60" s="3030" customFormat="1">
      <c r="A2054" s="2126"/>
      <c r="B2054" s="2126"/>
      <c r="C2054" s="2126"/>
      <c r="D2054" s="2126"/>
      <c r="E2054" s="525"/>
      <c r="F2054" s="525"/>
      <c r="G2054" s="525"/>
      <c r="K2054" s="3280"/>
      <c r="AB2054" s="3280"/>
      <c r="AG2054" s="3865"/>
      <c r="AM2054" s="3041"/>
      <c r="BD2054" s="3280"/>
      <c r="BF2054" s="3041"/>
      <c r="BH2054" s="3282"/>
    </row>
    <row r="2055" spans="1:60" s="3030" customFormat="1">
      <c r="A2055" s="2126"/>
      <c r="B2055" s="2126"/>
      <c r="C2055" s="2126"/>
      <c r="D2055" s="2126"/>
      <c r="E2055" s="525"/>
      <c r="F2055" s="525"/>
      <c r="G2055" s="525"/>
      <c r="K2055" s="3280"/>
      <c r="AB2055" s="3280"/>
      <c r="AG2055" s="3865"/>
      <c r="AM2055" s="3041"/>
      <c r="BD2055" s="3280"/>
      <c r="BF2055" s="3041"/>
      <c r="BH2055" s="3282"/>
    </row>
    <row r="2056" spans="1:60" s="3030" customFormat="1">
      <c r="A2056" s="2126"/>
      <c r="B2056" s="2126"/>
      <c r="C2056" s="2126"/>
      <c r="D2056" s="2126"/>
      <c r="E2056" s="525"/>
      <c r="F2056" s="525"/>
      <c r="G2056" s="525"/>
      <c r="K2056" s="3280"/>
      <c r="AB2056" s="3280"/>
      <c r="AG2056" s="3865"/>
      <c r="AM2056" s="3041"/>
      <c r="BD2056" s="3280"/>
      <c r="BF2056" s="3041"/>
      <c r="BH2056" s="3282"/>
    </row>
    <row r="2057" spans="1:60" s="3030" customFormat="1">
      <c r="A2057" s="2126"/>
      <c r="B2057" s="2126"/>
      <c r="C2057" s="2126"/>
      <c r="D2057" s="2126"/>
      <c r="E2057" s="525"/>
      <c r="F2057" s="525"/>
      <c r="G2057" s="525"/>
      <c r="K2057" s="3280"/>
      <c r="AB2057" s="3280"/>
      <c r="AG2057" s="3865"/>
      <c r="AM2057" s="3041"/>
      <c r="BD2057" s="3280"/>
      <c r="BF2057" s="3041"/>
      <c r="BH2057" s="3282"/>
    </row>
    <row r="2058" spans="1:60" s="3030" customFormat="1">
      <c r="A2058" s="2126"/>
      <c r="B2058" s="2126"/>
      <c r="C2058" s="2126"/>
      <c r="D2058" s="2126"/>
      <c r="E2058" s="525"/>
      <c r="F2058" s="525"/>
      <c r="G2058" s="525"/>
      <c r="K2058" s="3280"/>
      <c r="AB2058" s="3280"/>
      <c r="AG2058" s="3865"/>
      <c r="AM2058" s="3041"/>
      <c r="BD2058" s="3280"/>
      <c r="BF2058" s="3041"/>
      <c r="BH2058" s="3282"/>
    </row>
    <row r="2059" spans="1:60" s="3030" customFormat="1">
      <c r="A2059" s="2126"/>
      <c r="B2059" s="2126"/>
      <c r="C2059" s="2126"/>
      <c r="D2059" s="2126"/>
      <c r="E2059" s="525"/>
      <c r="F2059" s="525"/>
      <c r="G2059" s="525"/>
      <c r="K2059" s="3280"/>
      <c r="AB2059" s="3280"/>
      <c r="AG2059" s="3865"/>
      <c r="AM2059" s="3041"/>
      <c r="BD2059" s="3280"/>
      <c r="BF2059" s="3041"/>
      <c r="BH2059" s="3282"/>
    </row>
    <row r="2060" spans="1:60" s="3030" customFormat="1">
      <c r="A2060" s="2126"/>
      <c r="B2060" s="2126"/>
      <c r="C2060" s="2126"/>
      <c r="D2060" s="2126"/>
      <c r="E2060" s="525"/>
      <c r="F2060" s="525"/>
      <c r="G2060" s="525"/>
      <c r="K2060" s="3280"/>
      <c r="AB2060" s="3280"/>
      <c r="AG2060" s="3865"/>
      <c r="AM2060" s="3041"/>
      <c r="BD2060" s="3280"/>
      <c r="BF2060" s="3041"/>
      <c r="BH2060" s="3282"/>
    </row>
    <row r="2061" spans="1:60" s="3030" customFormat="1">
      <c r="A2061" s="2126"/>
      <c r="B2061" s="2126"/>
      <c r="C2061" s="2126"/>
      <c r="D2061" s="2126"/>
      <c r="E2061" s="525"/>
      <c r="F2061" s="525"/>
      <c r="G2061" s="525"/>
      <c r="K2061" s="3280"/>
      <c r="AB2061" s="3280"/>
      <c r="AG2061" s="3865"/>
      <c r="AM2061" s="3041"/>
      <c r="BD2061" s="3280"/>
      <c r="BF2061" s="3041"/>
      <c r="BH2061" s="3282"/>
    </row>
    <row r="2062" spans="1:60" s="3030" customFormat="1">
      <c r="A2062" s="2126"/>
      <c r="B2062" s="2126"/>
      <c r="C2062" s="2126"/>
      <c r="D2062" s="2126"/>
      <c r="E2062" s="525"/>
      <c r="F2062" s="525"/>
      <c r="G2062" s="525"/>
      <c r="K2062" s="3280"/>
      <c r="AB2062" s="3280"/>
      <c r="AG2062" s="3865"/>
      <c r="AM2062" s="3041"/>
      <c r="BD2062" s="3280"/>
      <c r="BF2062" s="3041"/>
      <c r="BH2062" s="3282"/>
    </row>
    <row r="2063" spans="1:60" s="3030" customFormat="1">
      <c r="A2063" s="2126"/>
      <c r="B2063" s="2126"/>
      <c r="C2063" s="2126"/>
      <c r="D2063" s="2126"/>
      <c r="E2063" s="525"/>
      <c r="F2063" s="525"/>
      <c r="G2063" s="525"/>
      <c r="K2063" s="3280"/>
      <c r="AB2063" s="3280"/>
      <c r="AG2063" s="3865"/>
      <c r="AM2063" s="3041"/>
      <c r="BD2063" s="3280"/>
      <c r="BF2063" s="3041"/>
      <c r="BH2063" s="3282"/>
    </row>
    <row r="2064" spans="1:60" s="3030" customFormat="1">
      <c r="A2064" s="2126"/>
      <c r="B2064" s="2126"/>
      <c r="C2064" s="2126"/>
      <c r="D2064" s="2126"/>
      <c r="E2064" s="525"/>
      <c r="F2064" s="525"/>
      <c r="G2064" s="525"/>
      <c r="K2064" s="3280"/>
      <c r="AB2064" s="3280"/>
      <c r="AG2064" s="3865"/>
      <c r="AM2064" s="3041"/>
      <c r="BD2064" s="3280"/>
      <c r="BF2064" s="3041"/>
      <c r="BH2064" s="3282"/>
    </row>
    <row r="2065" spans="1:60" s="3030" customFormat="1">
      <c r="A2065" s="2126"/>
      <c r="B2065" s="2126"/>
      <c r="C2065" s="2126"/>
      <c r="D2065" s="2126"/>
      <c r="E2065" s="525"/>
      <c r="F2065" s="525"/>
      <c r="G2065" s="525"/>
      <c r="K2065" s="3280"/>
      <c r="AB2065" s="3280"/>
      <c r="AG2065" s="3865"/>
      <c r="AM2065" s="3041"/>
      <c r="BD2065" s="3280"/>
      <c r="BF2065" s="3041"/>
      <c r="BH2065" s="3282"/>
    </row>
    <row r="2066" spans="1:60" s="3030" customFormat="1">
      <c r="A2066" s="2126"/>
      <c r="B2066" s="2126"/>
      <c r="C2066" s="2126"/>
      <c r="D2066" s="2126"/>
      <c r="E2066" s="525"/>
      <c r="F2066" s="525"/>
      <c r="G2066" s="525"/>
      <c r="K2066" s="3280"/>
      <c r="AB2066" s="3280"/>
      <c r="AG2066" s="3865"/>
      <c r="AM2066" s="3041"/>
      <c r="BD2066" s="3280"/>
      <c r="BF2066" s="3041"/>
      <c r="BH2066" s="3282"/>
    </row>
    <row r="2067" spans="1:60" s="3030" customFormat="1">
      <c r="A2067" s="2126"/>
      <c r="B2067" s="2126"/>
      <c r="C2067" s="2126"/>
      <c r="D2067" s="2126"/>
      <c r="E2067" s="525"/>
      <c r="F2067" s="525"/>
      <c r="G2067" s="525"/>
      <c r="K2067" s="3280"/>
      <c r="AB2067" s="3280"/>
      <c r="AG2067" s="3865"/>
      <c r="AM2067" s="3041"/>
      <c r="BD2067" s="3280"/>
      <c r="BF2067" s="3041"/>
      <c r="BH2067" s="3282"/>
    </row>
    <row r="2068" spans="1:60" s="3030" customFormat="1">
      <c r="A2068" s="2126"/>
      <c r="B2068" s="2126"/>
      <c r="C2068" s="2126"/>
      <c r="D2068" s="2126"/>
      <c r="E2068" s="525"/>
      <c r="F2068" s="525"/>
      <c r="G2068" s="525"/>
      <c r="K2068" s="3280"/>
      <c r="AB2068" s="3280"/>
      <c r="AG2068" s="3865"/>
      <c r="AM2068" s="3041"/>
      <c r="BD2068" s="3280"/>
      <c r="BF2068" s="3041"/>
      <c r="BH2068" s="3282"/>
    </row>
    <row r="2069" spans="1:60" s="3030" customFormat="1">
      <c r="A2069" s="2126"/>
      <c r="B2069" s="2126"/>
      <c r="C2069" s="2126"/>
      <c r="D2069" s="2126"/>
      <c r="E2069" s="525"/>
      <c r="F2069" s="525"/>
      <c r="G2069" s="525"/>
      <c r="K2069" s="3280"/>
      <c r="AB2069" s="3280"/>
      <c r="AG2069" s="3865"/>
      <c r="AM2069" s="3041"/>
      <c r="BD2069" s="3280"/>
      <c r="BF2069" s="3041"/>
      <c r="BH2069" s="3282"/>
    </row>
    <row r="2070" spans="1:60" s="3030" customFormat="1">
      <c r="A2070" s="2126"/>
      <c r="B2070" s="2126"/>
      <c r="C2070" s="2126"/>
      <c r="D2070" s="2126"/>
      <c r="E2070" s="525"/>
      <c r="F2070" s="525"/>
      <c r="G2070" s="525"/>
      <c r="K2070" s="3280"/>
      <c r="AB2070" s="3280"/>
      <c r="AG2070" s="3865"/>
      <c r="AM2070" s="3041"/>
      <c r="BD2070" s="3280"/>
      <c r="BF2070" s="3041"/>
      <c r="BH2070" s="3282"/>
    </row>
    <row r="2071" spans="1:60" s="3030" customFormat="1">
      <c r="A2071" s="2126"/>
      <c r="B2071" s="2126"/>
      <c r="C2071" s="2126"/>
      <c r="D2071" s="2126"/>
      <c r="E2071" s="525"/>
      <c r="F2071" s="525"/>
      <c r="G2071" s="525"/>
      <c r="K2071" s="3280"/>
      <c r="AB2071" s="3280"/>
      <c r="AG2071" s="3865"/>
      <c r="AM2071" s="3041"/>
      <c r="BD2071" s="3280"/>
      <c r="BF2071" s="3041"/>
      <c r="BH2071" s="3282"/>
    </row>
    <row r="2072" spans="1:60" s="3030" customFormat="1">
      <c r="A2072" s="2126"/>
      <c r="B2072" s="2126"/>
      <c r="C2072" s="2126"/>
      <c r="D2072" s="2126"/>
      <c r="E2072" s="525"/>
      <c r="F2072" s="525"/>
      <c r="G2072" s="525"/>
      <c r="K2072" s="3280"/>
      <c r="AB2072" s="3280"/>
      <c r="AG2072" s="3865"/>
      <c r="AM2072" s="3041"/>
      <c r="BD2072" s="3280"/>
      <c r="BF2072" s="3041"/>
      <c r="BH2072" s="3282"/>
    </row>
    <row r="2073" spans="1:60" s="3030" customFormat="1">
      <c r="A2073" s="2126"/>
      <c r="B2073" s="2126"/>
      <c r="C2073" s="2126"/>
      <c r="D2073" s="2126"/>
      <c r="E2073" s="525"/>
      <c r="F2073" s="525"/>
      <c r="G2073" s="525"/>
      <c r="K2073" s="3280"/>
      <c r="AB2073" s="3280"/>
      <c r="AG2073" s="3865"/>
      <c r="AM2073" s="3041"/>
      <c r="BD2073" s="3280"/>
      <c r="BF2073" s="3041"/>
      <c r="BH2073" s="3282"/>
    </row>
    <row r="2074" spans="1:60" s="3030" customFormat="1">
      <c r="A2074" s="2126"/>
      <c r="B2074" s="2126"/>
      <c r="C2074" s="2126"/>
      <c r="D2074" s="2126"/>
      <c r="E2074" s="525"/>
      <c r="F2074" s="525"/>
      <c r="G2074" s="525"/>
      <c r="K2074" s="3280"/>
      <c r="AB2074" s="3280"/>
      <c r="AG2074" s="3865"/>
      <c r="AM2074" s="3041"/>
      <c r="BD2074" s="3280"/>
      <c r="BF2074" s="3041"/>
      <c r="BH2074" s="3282"/>
    </row>
    <row r="2075" spans="1:60" s="3030" customFormat="1">
      <c r="A2075" s="2126"/>
      <c r="B2075" s="2126"/>
      <c r="C2075" s="2126"/>
      <c r="D2075" s="2126"/>
      <c r="E2075" s="525"/>
      <c r="F2075" s="525"/>
      <c r="G2075" s="525"/>
      <c r="K2075" s="3280"/>
      <c r="AB2075" s="3280"/>
      <c r="AG2075" s="3865"/>
      <c r="AM2075" s="3041"/>
      <c r="BD2075" s="3280"/>
      <c r="BF2075" s="3041"/>
      <c r="BH2075" s="3282"/>
    </row>
    <row r="2076" spans="1:60" s="3030" customFormat="1">
      <c r="A2076" s="2126"/>
      <c r="B2076" s="2126"/>
      <c r="C2076" s="2126"/>
      <c r="D2076" s="2126"/>
      <c r="E2076" s="525"/>
      <c r="F2076" s="525"/>
      <c r="G2076" s="525"/>
      <c r="K2076" s="3280"/>
      <c r="AB2076" s="3280"/>
      <c r="AG2076" s="3865"/>
      <c r="AM2076" s="3041"/>
      <c r="BD2076" s="3280"/>
      <c r="BF2076" s="3041"/>
      <c r="BH2076" s="3282"/>
    </row>
    <row r="2077" spans="1:60" s="3030" customFormat="1">
      <c r="A2077" s="2126"/>
      <c r="B2077" s="2126"/>
      <c r="C2077" s="2126"/>
      <c r="D2077" s="2126"/>
      <c r="E2077" s="525"/>
      <c r="F2077" s="525"/>
      <c r="G2077" s="525"/>
      <c r="K2077" s="3280"/>
      <c r="AB2077" s="3280"/>
      <c r="AG2077" s="3865"/>
      <c r="AM2077" s="3041"/>
      <c r="BD2077" s="3280"/>
      <c r="BF2077" s="3041"/>
      <c r="BH2077" s="3282"/>
    </row>
    <row r="2078" spans="1:60" s="3030" customFormat="1">
      <c r="A2078" s="2126"/>
      <c r="B2078" s="2126"/>
      <c r="C2078" s="2126"/>
      <c r="D2078" s="2126"/>
      <c r="E2078" s="525"/>
      <c r="F2078" s="525"/>
      <c r="G2078" s="525"/>
      <c r="K2078" s="3280"/>
      <c r="AB2078" s="3280"/>
      <c r="AG2078" s="3865"/>
      <c r="AM2078" s="3041"/>
      <c r="BD2078" s="3280"/>
      <c r="BF2078" s="3041"/>
      <c r="BH2078" s="3282"/>
    </row>
    <row r="2079" spans="1:60" s="3030" customFormat="1">
      <c r="A2079" s="2126"/>
      <c r="B2079" s="2126"/>
      <c r="C2079" s="2126"/>
      <c r="D2079" s="2126"/>
      <c r="E2079" s="525"/>
      <c r="F2079" s="525"/>
      <c r="G2079" s="525"/>
      <c r="K2079" s="3280"/>
      <c r="AB2079" s="3280"/>
      <c r="AG2079" s="3865"/>
      <c r="AM2079" s="3041"/>
      <c r="BD2079" s="3280"/>
      <c r="BF2079" s="3041"/>
      <c r="BH2079" s="3282"/>
    </row>
    <row r="2080" spans="1:60" s="3030" customFormat="1">
      <c r="A2080" s="2126"/>
      <c r="B2080" s="2126"/>
      <c r="C2080" s="2126"/>
      <c r="D2080" s="2126"/>
      <c r="E2080" s="525"/>
      <c r="F2080" s="525"/>
      <c r="G2080" s="525"/>
      <c r="K2080" s="3280"/>
      <c r="AB2080" s="3280"/>
      <c r="AG2080" s="3865"/>
      <c r="AM2080" s="3041"/>
      <c r="BD2080" s="3280"/>
      <c r="BF2080" s="3041"/>
      <c r="BH2080" s="3282"/>
    </row>
    <row r="2081" spans="1:60" s="3030" customFormat="1">
      <c r="A2081" s="2126"/>
      <c r="B2081" s="2126"/>
      <c r="C2081" s="2126"/>
      <c r="D2081" s="2126"/>
      <c r="E2081" s="525"/>
      <c r="F2081" s="525"/>
      <c r="G2081" s="525"/>
      <c r="K2081" s="3280"/>
      <c r="AB2081" s="3280"/>
      <c r="AG2081" s="3865"/>
      <c r="AM2081" s="3041"/>
      <c r="BD2081" s="3280"/>
      <c r="BF2081" s="3041"/>
      <c r="BH2081" s="3282"/>
    </row>
    <row r="2082" spans="1:60" s="3030" customFormat="1">
      <c r="A2082" s="2126"/>
      <c r="B2082" s="2126"/>
      <c r="C2082" s="2126"/>
      <c r="D2082" s="2126"/>
      <c r="E2082" s="525"/>
      <c r="F2082" s="525"/>
      <c r="G2082" s="525"/>
      <c r="K2082" s="3280"/>
      <c r="AB2082" s="3280"/>
      <c r="AG2082" s="3865"/>
      <c r="AM2082" s="3041"/>
      <c r="BD2082" s="3280"/>
      <c r="BF2082" s="3041"/>
      <c r="BH2082" s="3282"/>
    </row>
    <row r="2083" spans="1:60" s="3030" customFormat="1">
      <c r="A2083" s="2126"/>
      <c r="B2083" s="2126"/>
      <c r="C2083" s="2126"/>
      <c r="D2083" s="2126"/>
      <c r="E2083" s="525"/>
      <c r="F2083" s="525"/>
      <c r="G2083" s="525"/>
      <c r="K2083" s="3280"/>
      <c r="AB2083" s="3280"/>
      <c r="AG2083" s="3865"/>
      <c r="AM2083" s="3041"/>
      <c r="BD2083" s="3280"/>
      <c r="BF2083" s="3041"/>
      <c r="BH2083" s="3282"/>
    </row>
    <row r="2084" spans="1:60" s="3030" customFormat="1">
      <c r="A2084" s="2126"/>
      <c r="B2084" s="2126"/>
      <c r="C2084" s="2126"/>
      <c r="D2084" s="2126"/>
      <c r="E2084" s="525"/>
      <c r="F2084" s="525"/>
      <c r="G2084" s="525"/>
      <c r="K2084" s="3280"/>
      <c r="AB2084" s="3280"/>
      <c r="AG2084" s="3865"/>
      <c r="AM2084" s="3041"/>
      <c r="BD2084" s="3280"/>
      <c r="BF2084" s="3041"/>
      <c r="BH2084" s="3282"/>
    </row>
    <row r="2085" spans="1:60" s="3030" customFormat="1">
      <c r="A2085" s="2126"/>
      <c r="B2085" s="2126"/>
      <c r="C2085" s="2126"/>
      <c r="D2085" s="2126"/>
      <c r="E2085" s="525"/>
      <c r="F2085" s="525"/>
      <c r="G2085" s="525"/>
      <c r="K2085" s="3280"/>
      <c r="AB2085" s="3280"/>
      <c r="AG2085" s="3865"/>
      <c r="AM2085" s="3041"/>
      <c r="BD2085" s="3280"/>
      <c r="BF2085" s="3041"/>
      <c r="BH2085" s="3282"/>
    </row>
    <row r="2086" spans="1:60" s="3030" customFormat="1">
      <c r="A2086" s="2126"/>
      <c r="B2086" s="2126"/>
      <c r="C2086" s="2126"/>
      <c r="D2086" s="2126"/>
      <c r="E2086" s="525"/>
      <c r="F2086" s="525"/>
      <c r="G2086" s="525"/>
      <c r="K2086" s="3280"/>
      <c r="AB2086" s="3280"/>
      <c r="AG2086" s="3865"/>
      <c r="AM2086" s="3041"/>
      <c r="BD2086" s="3280"/>
      <c r="BF2086" s="3041"/>
      <c r="BH2086" s="3282"/>
    </row>
    <row r="2087" spans="1:60" s="3030" customFormat="1">
      <c r="A2087" s="2126"/>
      <c r="B2087" s="2126"/>
      <c r="C2087" s="2126"/>
      <c r="D2087" s="2126"/>
      <c r="E2087" s="525"/>
      <c r="F2087" s="525"/>
      <c r="G2087" s="525"/>
      <c r="K2087" s="3280"/>
      <c r="AB2087" s="3280"/>
      <c r="AG2087" s="3865"/>
      <c r="AM2087" s="3041"/>
      <c r="BD2087" s="3280"/>
      <c r="BF2087" s="3041"/>
      <c r="BH2087" s="3282"/>
    </row>
    <row r="2088" spans="1:60" s="3030" customFormat="1">
      <c r="A2088" s="2126"/>
      <c r="B2088" s="2126"/>
      <c r="C2088" s="2126"/>
      <c r="D2088" s="2126"/>
      <c r="E2088" s="525"/>
      <c r="F2088" s="525"/>
      <c r="G2088" s="525"/>
      <c r="K2088" s="3280"/>
      <c r="AB2088" s="3280"/>
      <c r="AG2088" s="3865"/>
      <c r="AM2088" s="3041"/>
      <c r="BD2088" s="3280"/>
      <c r="BF2088" s="3041"/>
      <c r="BH2088" s="3282"/>
    </row>
    <row r="2089" spans="1:60" s="3030" customFormat="1">
      <c r="A2089" s="2126"/>
      <c r="B2089" s="2126"/>
      <c r="C2089" s="2126"/>
      <c r="D2089" s="2126"/>
      <c r="E2089" s="525"/>
      <c r="F2089" s="525"/>
      <c r="G2089" s="525"/>
      <c r="K2089" s="3280"/>
      <c r="AB2089" s="3280"/>
      <c r="AG2089" s="3865"/>
      <c r="AM2089" s="3041"/>
      <c r="BD2089" s="3280"/>
      <c r="BF2089" s="3041"/>
      <c r="BH2089" s="3282"/>
    </row>
    <row r="2090" spans="1:60" s="3030" customFormat="1">
      <c r="A2090" s="2126"/>
      <c r="B2090" s="2126"/>
      <c r="C2090" s="2126"/>
      <c r="D2090" s="2126"/>
      <c r="E2090" s="525"/>
      <c r="F2090" s="525"/>
      <c r="G2090" s="525"/>
      <c r="K2090" s="3280"/>
      <c r="AB2090" s="3280"/>
      <c r="AG2090" s="3865"/>
      <c r="AM2090" s="3041"/>
      <c r="BD2090" s="3280"/>
      <c r="BF2090" s="3041"/>
      <c r="BH2090" s="3282"/>
    </row>
    <row r="2091" spans="1:60" s="3030" customFormat="1">
      <c r="A2091" s="2126"/>
      <c r="B2091" s="2126"/>
      <c r="C2091" s="2126"/>
      <c r="D2091" s="2126"/>
      <c r="E2091" s="525"/>
      <c r="F2091" s="525"/>
      <c r="G2091" s="525"/>
      <c r="K2091" s="3280"/>
      <c r="AB2091" s="3280"/>
      <c r="AG2091" s="3865"/>
      <c r="AM2091" s="3041"/>
      <c r="BD2091" s="3280"/>
      <c r="BF2091" s="3041"/>
      <c r="BH2091" s="3282"/>
    </row>
    <row r="2092" spans="1:60" s="3030" customFormat="1">
      <c r="A2092" s="2126"/>
      <c r="B2092" s="2126"/>
      <c r="C2092" s="2126"/>
      <c r="D2092" s="2126"/>
      <c r="E2092" s="525"/>
      <c r="F2092" s="525"/>
      <c r="G2092" s="525"/>
      <c r="K2092" s="3280"/>
      <c r="AB2092" s="3280"/>
      <c r="AG2092" s="3865"/>
      <c r="AM2092" s="3041"/>
      <c r="BD2092" s="3280"/>
      <c r="BF2092" s="3041"/>
      <c r="BH2092" s="3282"/>
    </row>
    <row r="2093" spans="1:60" s="3030" customFormat="1">
      <c r="A2093" s="2126"/>
      <c r="B2093" s="2126"/>
      <c r="C2093" s="2126"/>
      <c r="D2093" s="2126"/>
      <c r="E2093" s="525"/>
      <c r="F2093" s="525"/>
      <c r="G2093" s="525"/>
      <c r="K2093" s="3280"/>
      <c r="AB2093" s="3280"/>
      <c r="AG2093" s="3865"/>
      <c r="AM2093" s="3041"/>
      <c r="BD2093" s="3280"/>
      <c r="BF2093" s="3041"/>
      <c r="BH2093" s="3282"/>
    </row>
    <row r="2094" spans="1:60" s="3030" customFormat="1">
      <c r="A2094" s="2126"/>
      <c r="B2094" s="2126"/>
      <c r="C2094" s="2126"/>
      <c r="D2094" s="2126"/>
      <c r="E2094" s="525"/>
      <c r="F2094" s="525"/>
      <c r="G2094" s="525"/>
      <c r="K2094" s="3280"/>
      <c r="AB2094" s="3280"/>
      <c r="AG2094" s="3865"/>
      <c r="AM2094" s="3041"/>
      <c r="BD2094" s="3280"/>
      <c r="BF2094" s="3041"/>
      <c r="BH2094" s="3282"/>
    </row>
    <row r="2095" spans="1:60" s="3030" customFormat="1">
      <c r="A2095" s="2126"/>
      <c r="B2095" s="2126"/>
      <c r="C2095" s="2126"/>
      <c r="D2095" s="2126"/>
      <c r="E2095" s="525"/>
      <c r="F2095" s="525"/>
      <c r="G2095" s="525"/>
      <c r="K2095" s="3280"/>
      <c r="AB2095" s="3280"/>
      <c r="AG2095" s="3865"/>
      <c r="AM2095" s="3041"/>
      <c r="BD2095" s="3280"/>
      <c r="BF2095" s="3041"/>
      <c r="BH2095" s="3282"/>
    </row>
    <row r="2096" spans="1:60" s="3030" customFormat="1">
      <c r="A2096" s="2126"/>
      <c r="B2096" s="2126"/>
      <c r="C2096" s="2126"/>
      <c r="D2096" s="2126"/>
      <c r="E2096" s="525"/>
      <c r="F2096" s="525"/>
      <c r="G2096" s="525"/>
      <c r="K2096" s="3280"/>
      <c r="AB2096" s="3280"/>
      <c r="AG2096" s="3865"/>
      <c r="AM2096" s="3041"/>
      <c r="BD2096" s="3280"/>
      <c r="BF2096" s="3041"/>
      <c r="BH2096" s="3282"/>
    </row>
    <row r="2097" spans="1:60" s="3030" customFormat="1">
      <c r="A2097" s="2126"/>
      <c r="B2097" s="2126"/>
      <c r="C2097" s="2126"/>
      <c r="D2097" s="2126"/>
      <c r="E2097" s="525"/>
      <c r="F2097" s="525"/>
      <c r="G2097" s="525"/>
      <c r="K2097" s="3280"/>
      <c r="AB2097" s="3280"/>
      <c r="AG2097" s="3865"/>
      <c r="AM2097" s="3041"/>
      <c r="BD2097" s="3280"/>
      <c r="BF2097" s="3041"/>
      <c r="BH2097" s="3282"/>
    </row>
    <row r="2098" spans="1:60" s="3030" customFormat="1">
      <c r="A2098" s="2126"/>
      <c r="B2098" s="2126"/>
      <c r="C2098" s="2126"/>
      <c r="D2098" s="2126"/>
      <c r="E2098" s="525"/>
      <c r="F2098" s="525"/>
      <c r="G2098" s="525"/>
      <c r="K2098" s="3280"/>
      <c r="AB2098" s="3280"/>
      <c r="AG2098" s="3865"/>
      <c r="AM2098" s="3041"/>
      <c r="BD2098" s="3280"/>
      <c r="BF2098" s="3041"/>
      <c r="BH2098" s="3282"/>
    </row>
    <row r="2099" spans="1:60" s="3030" customFormat="1">
      <c r="A2099" s="2126"/>
      <c r="B2099" s="2126"/>
      <c r="C2099" s="2126"/>
      <c r="D2099" s="2126"/>
      <c r="E2099" s="525"/>
      <c r="F2099" s="525"/>
      <c r="G2099" s="525"/>
      <c r="K2099" s="3280"/>
      <c r="AB2099" s="3280"/>
      <c r="AG2099" s="3865"/>
      <c r="AM2099" s="3041"/>
      <c r="BD2099" s="3280"/>
      <c r="BF2099" s="3041"/>
      <c r="BH2099" s="3282"/>
    </row>
    <row r="2100" spans="1:60" s="3030" customFormat="1">
      <c r="A2100" s="2126"/>
      <c r="B2100" s="2126"/>
      <c r="C2100" s="2126"/>
      <c r="D2100" s="2126"/>
      <c r="E2100" s="525"/>
      <c r="F2100" s="525"/>
      <c r="G2100" s="525"/>
      <c r="K2100" s="3280"/>
      <c r="AB2100" s="3280"/>
      <c r="AG2100" s="3865"/>
      <c r="AM2100" s="3041"/>
      <c r="BD2100" s="3280"/>
      <c r="BF2100" s="3041"/>
      <c r="BH2100" s="3282"/>
    </row>
    <row r="2101" spans="1:60" s="3030" customFormat="1">
      <c r="A2101" s="2126"/>
      <c r="B2101" s="2126"/>
      <c r="C2101" s="2126"/>
      <c r="D2101" s="2126"/>
      <c r="E2101" s="525"/>
      <c r="F2101" s="525"/>
      <c r="G2101" s="525"/>
      <c r="K2101" s="3280"/>
      <c r="AB2101" s="3280"/>
      <c r="AG2101" s="3865"/>
      <c r="AM2101" s="3041"/>
      <c r="BD2101" s="3280"/>
      <c r="BF2101" s="3041"/>
      <c r="BH2101" s="3282"/>
    </row>
    <row r="2102" spans="1:60" s="3030" customFormat="1">
      <c r="A2102" s="2126"/>
      <c r="B2102" s="2126"/>
      <c r="C2102" s="2126"/>
      <c r="D2102" s="2126"/>
      <c r="E2102" s="525"/>
      <c r="F2102" s="525"/>
      <c r="G2102" s="525"/>
      <c r="K2102" s="3280"/>
      <c r="AB2102" s="3280"/>
      <c r="AG2102" s="3865"/>
      <c r="AM2102" s="3041"/>
      <c r="BD2102" s="3280"/>
      <c r="BF2102" s="3041"/>
      <c r="BH2102" s="3282"/>
    </row>
    <row r="2103" spans="1:60" s="3030" customFormat="1">
      <c r="A2103" s="2126"/>
      <c r="B2103" s="2126"/>
      <c r="C2103" s="2126"/>
      <c r="D2103" s="2126"/>
      <c r="E2103" s="525"/>
      <c r="F2103" s="525"/>
      <c r="G2103" s="525"/>
      <c r="K2103" s="3280"/>
      <c r="AB2103" s="3280"/>
      <c r="AG2103" s="3865"/>
      <c r="AM2103" s="3041"/>
      <c r="BD2103" s="3280"/>
      <c r="BF2103" s="3041"/>
      <c r="BH2103" s="3282"/>
    </row>
    <row r="2104" spans="1:60" s="3030" customFormat="1">
      <c r="A2104" s="2126"/>
      <c r="B2104" s="2126"/>
      <c r="C2104" s="2126"/>
      <c r="D2104" s="2126"/>
      <c r="E2104" s="525"/>
      <c r="F2104" s="525"/>
      <c r="G2104" s="525"/>
      <c r="K2104" s="3280"/>
      <c r="AB2104" s="3280"/>
      <c r="AG2104" s="3865"/>
      <c r="AM2104" s="3041"/>
      <c r="BD2104" s="3280"/>
      <c r="BF2104" s="3041"/>
      <c r="BH2104" s="3282"/>
    </row>
    <row r="2105" spans="1:60" s="3030" customFormat="1">
      <c r="A2105" s="2126"/>
      <c r="B2105" s="2126"/>
      <c r="C2105" s="2126"/>
      <c r="D2105" s="2126"/>
      <c r="E2105" s="525"/>
      <c r="F2105" s="525"/>
      <c r="G2105" s="525"/>
      <c r="K2105" s="3280"/>
      <c r="AB2105" s="3280"/>
      <c r="AG2105" s="3865"/>
      <c r="AM2105" s="3041"/>
      <c r="BD2105" s="3280"/>
      <c r="BF2105" s="3041"/>
      <c r="BH2105" s="3282"/>
    </row>
    <row r="2106" spans="1:60" s="3030" customFormat="1">
      <c r="A2106" s="2126"/>
      <c r="B2106" s="2126"/>
      <c r="C2106" s="2126"/>
      <c r="D2106" s="2126"/>
      <c r="E2106" s="525"/>
      <c r="F2106" s="525"/>
      <c r="G2106" s="525"/>
      <c r="K2106" s="3280"/>
      <c r="AB2106" s="3280"/>
      <c r="AG2106" s="3865"/>
      <c r="AM2106" s="3041"/>
      <c r="BD2106" s="3280"/>
      <c r="BF2106" s="3041"/>
      <c r="BH2106" s="3282"/>
    </row>
    <row r="2107" spans="1:60" s="3030" customFormat="1">
      <c r="A2107" s="2126"/>
      <c r="B2107" s="2126"/>
      <c r="C2107" s="2126"/>
      <c r="D2107" s="2126"/>
      <c r="E2107" s="525"/>
      <c r="F2107" s="525"/>
      <c r="G2107" s="525"/>
      <c r="K2107" s="3280"/>
      <c r="AB2107" s="3280"/>
      <c r="AG2107" s="3865"/>
      <c r="AM2107" s="3041"/>
      <c r="BD2107" s="3280"/>
      <c r="BF2107" s="3041"/>
      <c r="BH2107" s="3282"/>
    </row>
    <row r="2108" spans="1:60" s="3030" customFormat="1">
      <c r="A2108" s="2126"/>
      <c r="B2108" s="2126"/>
      <c r="C2108" s="2126"/>
      <c r="D2108" s="2126"/>
      <c r="E2108" s="525"/>
      <c r="F2108" s="525"/>
      <c r="G2108" s="525"/>
      <c r="K2108" s="3280"/>
      <c r="AB2108" s="3280"/>
      <c r="AG2108" s="3865"/>
      <c r="AM2108" s="3041"/>
      <c r="BD2108" s="3280"/>
      <c r="BF2108" s="3041"/>
      <c r="BH2108" s="3282"/>
    </row>
    <row r="2109" spans="1:60" s="3030" customFormat="1">
      <c r="A2109" s="2126"/>
      <c r="B2109" s="2126"/>
      <c r="C2109" s="2126"/>
      <c r="D2109" s="2126"/>
      <c r="E2109" s="525"/>
      <c r="F2109" s="525"/>
      <c r="G2109" s="525"/>
      <c r="K2109" s="3280"/>
      <c r="AB2109" s="3280"/>
      <c r="AG2109" s="3865"/>
      <c r="AM2109" s="3041"/>
      <c r="BD2109" s="3280"/>
      <c r="BF2109" s="3041"/>
      <c r="BH2109" s="3282"/>
    </row>
    <row r="2110" spans="1:60" s="3030" customFormat="1">
      <c r="A2110" s="2126"/>
      <c r="B2110" s="2126"/>
      <c r="C2110" s="2126"/>
      <c r="D2110" s="2126"/>
      <c r="E2110" s="525"/>
      <c r="F2110" s="525"/>
      <c r="G2110" s="525"/>
      <c r="K2110" s="3280"/>
      <c r="AB2110" s="3280"/>
      <c r="AG2110" s="3865"/>
      <c r="AM2110" s="3041"/>
      <c r="BD2110" s="3280"/>
      <c r="BF2110" s="3041"/>
      <c r="BH2110" s="3282"/>
    </row>
    <row r="2111" spans="1:60" s="3030" customFormat="1">
      <c r="A2111" s="2126"/>
      <c r="B2111" s="2126"/>
      <c r="C2111" s="2126"/>
      <c r="D2111" s="2126"/>
      <c r="E2111" s="525"/>
      <c r="F2111" s="525"/>
      <c r="G2111" s="525"/>
      <c r="K2111" s="3280"/>
      <c r="AB2111" s="3280"/>
      <c r="AG2111" s="3865"/>
      <c r="AM2111" s="3041"/>
      <c r="BD2111" s="3280"/>
      <c r="BF2111" s="3041"/>
      <c r="BH2111" s="3282"/>
    </row>
    <row r="2112" spans="1:60" s="3030" customFormat="1">
      <c r="A2112" s="2126"/>
      <c r="B2112" s="2126"/>
      <c r="C2112" s="2126"/>
      <c r="D2112" s="2126"/>
      <c r="E2112" s="525"/>
      <c r="F2112" s="525"/>
      <c r="G2112" s="525"/>
      <c r="K2112" s="3280"/>
      <c r="AB2112" s="3280"/>
      <c r="AG2112" s="3865"/>
      <c r="AM2112" s="3041"/>
      <c r="BD2112" s="3280"/>
      <c r="BF2112" s="3041"/>
      <c r="BH2112" s="3282"/>
    </row>
    <row r="2113" spans="1:60" s="3030" customFormat="1">
      <c r="A2113" s="2126"/>
      <c r="B2113" s="2126"/>
      <c r="C2113" s="2126"/>
      <c r="D2113" s="2126"/>
      <c r="E2113" s="525"/>
      <c r="F2113" s="525"/>
      <c r="G2113" s="525"/>
      <c r="K2113" s="3280"/>
      <c r="AB2113" s="3280"/>
      <c r="AG2113" s="3865"/>
      <c r="AM2113" s="3041"/>
      <c r="BD2113" s="3280"/>
      <c r="BF2113" s="3041"/>
      <c r="BH2113" s="3282"/>
    </row>
    <row r="2114" spans="1:60" s="3030" customFormat="1">
      <c r="A2114" s="2126"/>
      <c r="B2114" s="2126"/>
      <c r="C2114" s="2126"/>
      <c r="D2114" s="2126"/>
      <c r="E2114" s="525"/>
      <c r="F2114" s="525"/>
      <c r="G2114" s="525"/>
      <c r="K2114" s="3280"/>
      <c r="AB2114" s="3280"/>
      <c r="AG2114" s="3865"/>
      <c r="AM2114" s="3041"/>
      <c r="BD2114" s="3280"/>
      <c r="BF2114" s="3041"/>
      <c r="BH2114" s="3282"/>
    </row>
    <row r="2115" spans="1:60" s="3030" customFormat="1">
      <c r="A2115" s="2126"/>
      <c r="B2115" s="2126"/>
      <c r="C2115" s="2126"/>
      <c r="D2115" s="2126"/>
      <c r="E2115" s="525"/>
      <c r="F2115" s="525"/>
      <c r="G2115" s="525"/>
      <c r="K2115" s="3280"/>
      <c r="AB2115" s="3280"/>
      <c r="AG2115" s="3865"/>
      <c r="AM2115" s="3041"/>
      <c r="BD2115" s="3280"/>
      <c r="BF2115" s="3041"/>
      <c r="BH2115" s="3282"/>
    </row>
    <row r="2116" spans="1:60" s="3030" customFormat="1">
      <c r="A2116" s="2126"/>
      <c r="B2116" s="2126"/>
      <c r="C2116" s="2126"/>
      <c r="D2116" s="2126"/>
      <c r="E2116" s="525"/>
      <c r="F2116" s="525"/>
      <c r="G2116" s="525"/>
      <c r="K2116" s="3280"/>
      <c r="AB2116" s="3280"/>
      <c r="AG2116" s="3865"/>
      <c r="AM2116" s="3041"/>
      <c r="BD2116" s="3280"/>
      <c r="BF2116" s="3041"/>
      <c r="BH2116" s="3282"/>
    </row>
    <row r="2117" spans="1:60" s="3030" customFormat="1">
      <c r="A2117" s="2126"/>
      <c r="B2117" s="2126"/>
      <c r="C2117" s="2126"/>
      <c r="D2117" s="2126"/>
      <c r="E2117" s="525"/>
      <c r="F2117" s="525"/>
      <c r="G2117" s="525"/>
      <c r="K2117" s="3280"/>
      <c r="AB2117" s="3280"/>
      <c r="AG2117" s="3865"/>
      <c r="AM2117" s="3041"/>
      <c r="BD2117" s="3280"/>
      <c r="BF2117" s="3041"/>
      <c r="BH2117" s="3282"/>
    </row>
    <row r="2118" spans="1:60" s="3030" customFormat="1">
      <c r="A2118" s="2126"/>
      <c r="B2118" s="2126"/>
      <c r="C2118" s="2126"/>
      <c r="D2118" s="2126"/>
      <c r="E2118" s="525"/>
      <c r="F2118" s="525"/>
      <c r="G2118" s="525"/>
      <c r="K2118" s="3280"/>
      <c r="AB2118" s="3280"/>
      <c r="AG2118" s="3865"/>
      <c r="AM2118" s="3041"/>
      <c r="BD2118" s="3280"/>
      <c r="BF2118" s="3041"/>
      <c r="BH2118" s="3282"/>
    </row>
    <row r="2119" spans="1:60" s="3030" customFormat="1">
      <c r="A2119" s="2126"/>
      <c r="B2119" s="2126"/>
      <c r="C2119" s="2126"/>
      <c r="D2119" s="2126"/>
      <c r="E2119" s="525"/>
      <c r="F2119" s="525"/>
      <c r="G2119" s="525"/>
      <c r="K2119" s="3280"/>
      <c r="AB2119" s="3280"/>
      <c r="AG2119" s="3865"/>
      <c r="AM2119" s="3041"/>
      <c r="BD2119" s="3280"/>
      <c r="BF2119" s="3041"/>
      <c r="BH2119" s="3282"/>
    </row>
    <row r="2120" spans="1:60" s="3030" customFormat="1">
      <c r="A2120" s="2126"/>
      <c r="B2120" s="2126"/>
      <c r="C2120" s="2126"/>
      <c r="D2120" s="2126"/>
      <c r="E2120" s="525"/>
      <c r="F2120" s="525"/>
      <c r="G2120" s="525"/>
      <c r="K2120" s="3280"/>
      <c r="AB2120" s="3280"/>
      <c r="AG2120" s="3865"/>
      <c r="AM2120" s="3041"/>
      <c r="BD2120" s="3280"/>
      <c r="BF2120" s="3041"/>
      <c r="BH2120" s="3282"/>
    </row>
    <row r="2121" spans="1:60" s="3030" customFormat="1">
      <c r="A2121" s="2126"/>
      <c r="B2121" s="2126"/>
      <c r="C2121" s="2126"/>
      <c r="D2121" s="2126"/>
      <c r="E2121" s="525"/>
      <c r="F2121" s="525"/>
      <c r="G2121" s="525"/>
      <c r="K2121" s="3280"/>
      <c r="AB2121" s="3280"/>
      <c r="AG2121" s="3865"/>
      <c r="AM2121" s="3041"/>
      <c r="BD2121" s="3280"/>
      <c r="BF2121" s="3041"/>
      <c r="BH2121" s="3282"/>
    </row>
    <row r="2122" spans="1:60" s="3030" customFormat="1">
      <c r="A2122" s="2126"/>
      <c r="B2122" s="2126"/>
      <c r="C2122" s="2126"/>
      <c r="D2122" s="2126"/>
      <c r="E2122" s="525"/>
      <c r="F2122" s="525"/>
      <c r="G2122" s="525"/>
      <c r="K2122" s="3280"/>
      <c r="AB2122" s="3280"/>
      <c r="AG2122" s="3865"/>
      <c r="AM2122" s="3041"/>
      <c r="BD2122" s="3280"/>
      <c r="BF2122" s="3041"/>
      <c r="BH2122" s="3282"/>
    </row>
    <row r="2123" spans="1:60" s="3030" customFormat="1">
      <c r="A2123" s="2126"/>
      <c r="B2123" s="2126"/>
      <c r="C2123" s="2126"/>
      <c r="D2123" s="2126"/>
      <c r="E2123" s="525"/>
      <c r="F2123" s="525"/>
      <c r="G2123" s="525"/>
      <c r="K2123" s="3280"/>
      <c r="AB2123" s="3280"/>
      <c r="AG2123" s="3865"/>
      <c r="AM2123" s="3041"/>
      <c r="BD2123" s="3280"/>
      <c r="BF2123" s="3041"/>
      <c r="BH2123" s="3282"/>
    </row>
    <row r="2124" spans="1:60" s="3030" customFormat="1">
      <c r="A2124" s="2126"/>
      <c r="B2124" s="2126"/>
      <c r="C2124" s="2126"/>
      <c r="D2124" s="2126"/>
      <c r="E2124" s="525"/>
      <c r="F2124" s="525"/>
      <c r="G2124" s="525"/>
      <c r="K2124" s="3280"/>
      <c r="AB2124" s="3280"/>
      <c r="AG2124" s="3865"/>
      <c r="AM2124" s="3041"/>
      <c r="BD2124" s="3280"/>
      <c r="BF2124" s="3041"/>
      <c r="BH2124" s="3282"/>
    </row>
    <row r="2125" spans="1:60" s="3030" customFormat="1">
      <c r="A2125" s="2126"/>
      <c r="B2125" s="2126"/>
      <c r="C2125" s="2126"/>
      <c r="D2125" s="2126"/>
      <c r="E2125" s="525"/>
      <c r="F2125" s="525"/>
      <c r="G2125" s="525"/>
      <c r="K2125" s="3280"/>
      <c r="AB2125" s="3280"/>
      <c r="AG2125" s="3865"/>
      <c r="AM2125" s="3041"/>
      <c r="BD2125" s="3280"/>
      <c r="BF2125" s="3041"/>
      <c r="BH2125" s="3282"/>
    </row>
    <row r="2126" spans="1:60" s="3030" customFormat="1">
      <c r="A2126" s="2126"/>
      <c r="B2126" s="2126"/>
      <c r="C2126" s="2126"/>
      <c r="D2126" s="2126"/>
      <c r="E2126" s="525"/>
      <c r="F2126" s="525"/>
      <c r="G2126" s="525"/>
      <c r="K2126" s="3280"/>
      <c r="AB2126" s="3280"/>
      <c r="AG2126" s="3865"/>
      <c r="AM2126" s="3041"/>
      <c r="BD2126" s="3280"/>
      <c r="BF2126" s="3041"/>
      <c r="BH2126" s="3282"/>
    </row>
    <row r="2127" spans="1:60" s="3030" customFormat="1">
      <c r="A2127" s="2126"/>
      <c r="B2127" s="2126"/>
      <c r="C2127" s="2126"/>
      <c r="D2127" s="2126"/>
      <c r="E2127" s="525"/>
      <c r="F2127" s="525"/>
      <c r="G2127" s="525"/>
      <c r="K2127" s="3280"/>
      <c r="AB2127" s="3280"/>
      <c r="AG2127" s="3865"/>
      <c r="AM2127" s="3041"/>
      <c r="BD2127" s="3280"/>
      <c r="BF2127" s="3041"/>
      <c r="BH2127" s="3282"/>
    </row>
    <row r="2128" spans="1:60" s="3030" customFormat="1">
      <c r="A2128" s="2126"/>
      <c r="B2128" s="2126"/>
      <c r="C2128" s="2126"/>
      <c r="D2128" s="2126"/>
      <c r="E2128" s="525"/>
      <c r="F2128" s="525"/>
      <c r="G2128" s="525"/>
      <c r="K2128" s="3280"/>
      <c r="AB2128" s="3280"/>
      <c r="AG2128" s="3865"/>
      <c r="AM2128" s="3041"/>
      <c r="BD2128" s="3280"/>
      <c r="BF2128" s="3041"/>
      <c r="BH2128" s="3282"/>
    </row>
    <row r="2129" spans="1:60" s="3030" customFormat="1">
      <c r="A2129" s="2126"/>
      <c r="B2129" s="2126"/>
      <c r="C2129" s="2126"/>
      <c r="D2129" s="2126"/>
      <c r="E2129" s="525"/>
      <c r="F2129" s="525"/>
      <c r="G2129" s="525"/>
      <c r="K2129" s="3280"/>
      <c r="AB2129" s="3280"/>
      <c r="AG2129" s="3865"/>
      <c r="AM2129" s="3041"/>
      <c r="BD2129" s="3280"/>
      <c r="BF2129" s="3041"/>
      <c r="BH2129" s="3282"/>
    </row>
    <row r="2130" spans="1:60" s="3030" customFormat="1">
      <c r="A2130" s="2126"/>
      <c r="B2130" s="2126"/>
      <c r="C2130" s="2126"/>
      <c r="D2130" s="2126"/>
      <c r="E2130" s="525"/>
      <c r="F2130" s="525"/>
      <c r="G2130" s="525"/>
      <c r="K2130" s="3280"/>
      <c r="AB2130" s="3280"/>
      <c r="AG2130" s="3865"/>
      <c r="AM2130" s="3041"/>
      <c r="BD2130" s="3280"/>
      <c r="BF2130" s="3041"/>
      <c r="BH2130" s="3282"/>
    </row>
    <row r="2131" spans="1:60" s="3030" customFormat="1">
      <c r="A2131" s="2126"/>
      <c r="B2131" s="2126"/>
      <c r="C2131" s="2126"/>
      <c r="D2131" s="2126"/>
      <c r="E2131" s="525"/>
      <c r="F2131" s="525"/>
      <c r="G2131" s="525"/>
      <c r="K2131" s="3280"/>
      <c r="AB2131" s="3280"/>
      <c r="AG2131" s="3865"/>
      <c r="AM2131" s="3041"/>
      <c r="BD2131" s="3280"/>
      <c r="BF2131" s="3041"/>
      <c r="BH2131" s="3282"/>
    </row>
    <row r="2132" spans="1:60" s="3030" customFormat="1">
      <c r="A2132" s="2126"/>
      <c r="B2132" s="2126"/>
      <c r="C2132" s="2126"/>
      <c r="D2132" s="2126"/>
      <c r="E2132" s="525"/>
      <c r="F2132" s="525"/>
      <c r="G2132" s="525"/>
      <c r="K2132" s="3280"/>
      <c r="AB2132" s="3280"/>
      <c r="AG2132" s="3865"/>
      <c r="AM2132" s="3041"/>
      <c r="BD2132" s="3280"/>
      <c r="BF2132" s="3041"/>
      <c r="BH2132" s="3282"/>
    </row>
    <row r="2133" spans="1:60" s="3030" customFormat="1">
      <c r="A2133" s="2126"/>
      <c r="B2133" s="2126"/>
      <c r="C2133" s="2126"/>
      <c r="D2133" s="2126"/>
      <c r="E2133" s="525"/>
      <c r="F2133" s="525"/>
      <c r="G2133" s="525"/>
      <c r="K2133" s="3280"/>
      <c r="AB2133" s="3280"/>
      <c r="AG2133" s="3865"/>
      <c r="AM2133" s="3041"/>
      <c r="BD2133" s="3280"/>
      <c r="BF2133" s="3041"/>
      <c r="BH2133" s="3282"/>
    </row>
    <row r="2134" spans="1:60" s="3030" customFormat="1">
      <c r="A2134" s="2126"/>
      <c r="B2134" s="2126"/>
      <c r="C2134" s="2126"/>
      <c r="D2134" s="2126"/>
      <c r="E2134" s="525"/>
      <c r="F2134" s="525"/>
      <c r="G2134" s="525"/>
      <c r="K2134" s="3280"/>
      <c r="AB2134" s="3280"/>
      <c r="AG2134" s="3865"/>
      <c r="AM2134" s="3041"/>
      <c r="BD2134" s="3280"/>
      <c r="BF2134" s="3041"/>
      <c r="BH2134" s="3282"/>
    </row>
    <row r="2135" spans="1:60" s="3030" customFormat="1">
      <c r="A2135" s="2126"/>
      <c r="B2135" s="2126"/>
      <c r="C2135" s="2126"/>
      <c r="D2135" s="2126"/>
      <c r="E2135" s="525"/>
      <c r="F2135" s="525"/>
      <c r="G2135" s="525"/>
      <c r="K2135" s="3280"/>
      <c r="AB2135" s="3280"/>
      <c r="AG2135" s="3865"/>
      <c r="AM2135" s="3041"/>
      <c r="BD2135" s="3280"/>
      <c r="BF2135" s="3041"/>
      <c r="BH2135" s="3282"/>
    </row>
    <row r="2136" spans="1:60" s="3030" customFormat="1">
      <c r="A2136" s="2126"/>
      <c r="B2136" s="2126"/>
      <c r="C2136" s="2126"/>
      <c r="D2136" s="2126"/>
      <c r="E2136" s="525"/>
      <c r="F2136" s="525"/>
      <c r="G2136" s="525"/>
      <c r="K2136" s="3280"/>
      <c r="AB2136" s="3280"/>
      <c r="AG2136" s="3865"/>
      <c r="AM2136" s="3041"/>
      <c r="BD2136" s="3280"/>
      <c r="BF2136" s="3041"/>
      <c r="BH2136" s="3282"/>
    </row>
    <row r="2137" spans="1:60" s="3030" customFormat="1">
      <c r="A2137" s="2126"/>
      <c r="B2137" s="2126"/>
      <c r="C2137" s="2126"/>
      <c r="D2137" s="2126"/>
      <c r="E2137" s="525"/>
      <c r="F2137" s="525"/>
      <c r="G2137" s="525"/>
      <c r="K2137" s="3280"/>
      <c r="AB2137" s="3280"/>
      <c r="AG2137" s="3865"/>
      <c r="AM2137" s="3041"/>
      <c r="BD2137" s="3280"/>
      <c r="BF2137" s="3041"/>
      <c r="BH2137" s="3282"/>
    </row>
    <row r="2138" spans="1:60" s="3030" customFormat="1">
      <c r="A2138" s="2126"/>
      <c r="B2138" s="2126"/>
      <c r="C2138" s="2126"/>
      <c r="D2138" s="2126"/>
      <c r="E2138" s="525"/>
      <c r="F2138" s="525"/>
      <c r="G2138" s="525"/>
      <c r="K2138" s="3280"/>
      <c r="AB2138" s="3280"/>
      <c r="AG2138" s="3865"/>
      <c r="AM2138" s="3041"/>
      <c r="BD2138" s="3280"/>
      <c r="BF2138" s="3041"/>
      <c r="BH2138" s="3282"/>
    </row>
    <row r="2139" spans="1:60" s="3030" customFormat="1">
      <c r="A2139" s="2126"/>
      <c r="B2139" s="2126"/>
      <c r="C2139" s="2126"/>
      <c r="D2139" s="2126"/>
      <c r="E2139" s="525"/>
      <c r="F2139" s="525"/>
      <c r="G2139" s="525"/>
      <c r="K2139" s="3280"/>
      <c r="AB2139" s="3280"/>
      <c r="AG2139" s="3865"/>
      <c r="AM2139" s="3041"/>
      <c r="BD2139" s="3280"/>
      <c r="BF2139" s="3041"/>
      <c r="BH2139" s="3282"/>
    </row>
    <row r="2140" spans="1:60" s="3030" customFormat="1">
      <c r="A2140" s="2126"/>
      <c r="B2140" s="2126"/>
      <c r="C2140" s="2126"/>
      <c r="D2140" s="2126"/>
      <c r="E2140" s="525"/>
      <c r="F2140" s="525"/>
      <c r="G2140" s="525"/>
      <c r="K2140" s="3280"/>
      <c r="AB2140" s="3280"/>
      <c r="AG2140" s="3865"/>
      <c r="AM2140" s="3041"/>
      <c r="BD2140" s="3280"/>
      <c r="BF2140" s="3041"/>
      <c r="BH2140" s="3282"/>
    </row>
    <row r="2141" spans="1:60" s="3030" customFormat="1">
      <c r="A2141" s="2126"/>
      <c r="B2141" s="2126"/>
      <c r="C2141" s="2126"/>
      <c r="D2141" s="2126"/>
      <c r="E2141" s="525"/>
      <c r="F2141" s="525"/>
      <c r="G2141" s="525"/>
      <c r="K2141" s="3280"/>
      <c r="AB2141" s="3280"/>
      <c r="AG2141" s="3865"/>
      <c r="AM2141" s="3041"/>
      <c r="BD2141" s="3280"/>
      <c r="BF2141" s="3041"/>
      <c r="BH2141" s="3282"/>
    </row>
    <row r="2142" spans="1:60" s="3030" customFormat="1">
      <c r="A2142" s="2126"/>
      <c r="B2142" s="2126"/>
      <c r="C2142" s="2126"/>
      <c r="D2142" s="2126"/>
      <c r="E2142" s="525"/>
      <c r="F2142" s="525"/>
      <c r="G2142" s="525"/>
      <c r="K2142" s="3280"/>
      <c r="AB2142" s="3280"/>
      <c r="AG2142" s="3865"/>
      <c r="AM2142" s="3041"/>
      <c r="BD2142" s="3280"/>
      <c r="BF2142" s="3041"/>
      <c r="BH2142" s="3282"/>
    </row>
    <row r="2143" spans="1:60" s="3030" customFormat="1">
      <c r="A2143" s="2126"/>
      <c r="B2143" s="2126"/>
      <c r="C2143" s="2126"/>
      <c r="D2143" s="2126"/>
      <c r="E2143" s="525"/>
      <c r="F2143" s="525"/>
      <c r="G2143" s="525"/>
      <c r="K2143" s="3280"/>
      <c r="AB2143" s="3280"/>
      <c r="AG2143" s="3865"/>
      <c r="AM2143" s="3041"/>
      <c r="BD2143" s="3280"/>
      <c r="BF2143" s="3041"/>
      <c r="BH2143" s="3282"/>
    </row>
    <row r="2144" spans="1:60" s="3030" customFormat="1">
      <c r="A2144" s="2126"/>
      <c r="B2144" s="2126"/>
      <c r="C2144" s="2126"/>
      <c r="D2144" s="2126"/>
      <c r="E2144" s="525"/>
      <c r="F2144" s="525"/>
      <c r="G2144" s="525"/>
      <c r="K2144" s="3280"/>
      <c r="AB2144" s="3280"/>
      <c r="AG2144" s="3865"/>
      <c r="AM2144" s="3041"/>
      <c r="BD2144" s="3280"/>
      <c r="BF2144" s="3041"/>
      <c r="BH2144" s="3282"/>
    </row>
    <row r="2145" spans="1:60" s="3030" customFormat="1">
      <c r="A2145" s="2126"/>
      <c r="B2145" s="2126"/>
      <c r="C2145" s="2126"/>
      <c r="D2145" s="2126"/>
      <c r="E2145" s="525"/>
      <c r="F2145" s="525"/>
      <c r="G2145" s="525"/>
      <c r="K2145" s="3280"/>
      <c r="AB2145" s="3280"/>
      <c r="AG2145" s="3865"/>
      <c r="AM2145" s="3041"/>
      <c r="BD2145" s="3280"/>
      <c r="BF2145" s="3041"/>
      <c r="BH2145" s="3282"/>
    </row>
    <row r="2146" spans="1:60" s="3030" customFormat="1">
      <c r="A2146" s="2126"/>
      <c r="B2146" s="2126"/>
      <c r="C2146" s="2126"/>
      <c r="D2146" s="2126"/>
      <c r="E2146" s="525"/>
      <c r="F2146" s="525"/>
      <c r="G2146" s="525"/>
      <c r="K2146" s="3280"/>
      <c r="AB2146" s="3280"/>
      <c r="AG2146" s="3865"/>
      <c r="AM2146" s="3041"/>
      <c r="BD2146" s="3280"/>
      <c r="BF2146" s="3041"/>
      <c r="BH2146" s="3282"/>
    </row>
    <row r="2147" spans="1:60" s="3030" customFormat="1">
      <c r="A2147" s="2126"/>
      <c r="B2147" s="2126"/>
      <c r="C2147" s="2126"/>
      <c r="D2147" s="2126"/>
      <c r="E2147" s="525"/>
      <c r="F2147" s="525"/>
      <c r="G2147" s="525"/>
      <c r="K2147" s="3280"/>
      <c r="AB2147" s="3280"/>
      <c r="AG2147" s="3865"/>
      <c r="AM2147" s="3041"/>
      <c r="BD2147" s="3280"/>
      <c r="BF2147" s="3041"/>
      <c r="BH2147" s="3282"/>
    </row>
    <row r="2148" spans="1:60" s="3030" customFormat="1">
      <c r="A2148" s="2126"/>
      <c r="B2148" s="2126"/>
      <c r="C2148" s="2126"/>
      <c r="D2148" s="2126"/>
      <c r="E2148" s="525"/>
      <c r="F2148" s="525"/>
      <c r="G2148" s="525"/>
      <c r="K2148" s="3280"/>
      <c r="AB2148" s="3280"/>
      <c r="AG2148" s="3865"/>
      <c r="AM2148" s="3041"/>
      <c r="BD2148" s="3280"/>
      <c r="BF2148" s="3041"/>
      <c r="BH2148" s="3282"/>
    </row>
    <row r="2149" spans="1:60" s="3030" customFormat="1">
      <c r="A2149" s="2126"/>
      <c r="B2149" s="2126"/>
      <c r="C2149" s="2126"/>
      <c r="D2149" s="2126"/>
      <c r="E2149" s="525"/>
      <c r="F2149" s="525"/>
      <c r="G2149" s="525"/>
      <c r="K2149" s="3280"/>
      <c r="AB2149" s="3280"/>
      <c r="AG2149" s="3865"/>
      <c r="AM2149" s="3041"/>
      <c r="BD2149" s="3280"/>
      <c r="BF2149" s="3041"/>
      <c r="BH2149" s="3282"/>
    </row>
    <row r="2150" spans="1:60" s="3030" customFormat="1">
      <c r="A2150" s="2126"/>
      <c r="B2150" s="2126"/>
      <c r="C2150" s="2126"/>
      <c r="D2150" s="2126"/>
      <c r="E2150" s="525"/>
      <c r="F2150" s="525"/>
      <c r="G2150" s="525"/>
      <c r="K2150" s="3280"/>
      <c r="AB2150" s="3280"/>
      <c r="AG2150" s="3865"/>
      <c r="AM2150" s="3041"/>
      <c r="BD2150" s="3280"/>
      <c r="BF2150" s="3041"/>
      <c r="BH2150" s="3282"/>
    </row>
    <row r="2151" spans="1:60" s="3030" customFormat="1">
      <c r="A2151" s="2126"/>
      <c r="B2151" s="2126"/>
      <c r="C2151" s="2126"/>
      <c r="D2151" s="2126"/>
      <c r="E2151" s="525"/>
      <c r="F2151" s="525"/>
      <c r="G2151" s="525"/>
      <c r="K2151" s="3280"/>
      <c r="AB2151" s="3280"/>
      <c r="AG2151" s="3865"/>
      <c r="AM2151" s="3041"/>
      <c r="BD2151" s="3280"/>
      <c r="BF2151" s="3041"/>
      <c r="BH2151" s="3282"/>
    </row>
    <row r="2152" spans="1:60" s="3030" customFormat="1">
      <c r="A2152" s="2126"/>
      <c r="B2152" s="2126"/>
      <c r="C2152" s="2126"/>
      <c r="D2152" s="2126"/>
      <c r="E2152" s="525"/>
      <c r="F2152" s="525"/>
      <c r="G2152" s="525"/>
      <c r="K2152" s="3280"/>
      <c r="AB2152" s="3280"/>
      <c r="AG2152" s="3865"/>
      <c r="AM2152" s="3041"/>
      <c r="BD2152" s="3280"/>
      <c r="BF2152" s="3041"/>
      <c r="BH2152" s="3282"/>
    </row>
    <row r="2153" spans="1:60" s="3030" customFormat="1">
      <c r="A2153" s="2126"/>
      <c r="B2153" s="2126"/>
      <c r="C2153" s="2126"/>
      <c r="D2153" s="2126"/>
      <c r="E2153" s="525"/>
      <c r="F2153" s="525"/>
      <c r="G2153" s="525"/>
      <c r="K2153" s="3280"/>
      <c r="AB2153" s="3280"/>
      <c r="AG2153" s="3865"/>
      <c r="AM2153" s="3041"/>
      <c r="BD2153" s="3280"/>
      <c r="BF2153" s="3041"/>
      <c r="BH2153" s="3282"/>
    </row>
    <row r="2154" spans="1:60" s="3030" customFormat="1">
      <c r="A2154" s="2126"/>
      <c r="B2154" s="2126"/>
      <c r="C2154" s="2126"/>
      <c r="D2154" s="2126"/>
      <c r="E2154" s="525"/>
      <c r="F2154" s="525"/>
      <c r="G2154" s="525"/>
      <c r="K2154" s="3280"/>
      <c r="AB2154" s="3280"/>
      <c r="AG2154" s="3865"/>
      <c r="AM2154" s="3041"/>
      <c r="BD2154" s="3280"/>
      <c r="BF2154" s="3041"/>
      <c r="BH2154" s="3282"/>
    </row>
    <row r="2155" spans="1:60" s="3030" customFormat="1">
      <c r="A2155" s="2126"/>
      <c r="B2155" s="2126"/>
      <c r="C2155" s="2126"/>
      <c r="D2155" s="2126"/>
      <c r="E2155" s="525"/>
      <c r="F2155" s="525"/>
      <c r="G2155" s="525"/>
      <c r="K2155" s="3280"/>
      <c r="AB2155" s="3280"/>
      <c r="AG2155" s="3865"/>
      <c r="AM2155" s="3041"/>
      <c r="BD2155" s="3280"/>
      <c r="BF2155" s="3041"/>
      <c r="BH2155" s="3282"/>
    </row>
    <row r="2156" spans="1:60" s="3030" customFormat="1">
      <c r="A2156" s="2126"/>
      <c r="B2156" s="2126"/>
      <c r="C2156" s="2126"/>
      <c r="D2156" s="2126"/>
      <c r="E2156" s="525"/>
      <c r="F2156" s="525"/>
      <c r="G2156" s="525"/>
      <c r="K2156" s="3280"/>
      <c r="AB2156" s="3280"/>
      <c r="AG2156" s="3865"/>
      <c r="AM2156" s="3041"/>
      <c r="BD2156" s="3280"/>
      <c r="BF2156" s="3041"/>
      <c r="BH2156" s="3282"/>
    </row>
    <row r="2157" spans="1:60" s="3030" customFormat="1">
      <c r="A2157" s="2126"/>
      <c r="B2157" s="2126"/>
      <c r="C2157" s="2126"/>
      <c r="D2157" s="2126"/>
      <c r="E2157" s="525"/>
      <c r="F2157" s="525"/>
      <c r="G2157" s="525"/>
      <c r="K2157" s="3280"/>
      <c r="AB2157" s="3280"/>
      <c r="AG2157" s="3865"/>
      <c r="AM2157" s="3041"/>
      <c r="BD2157" s="3280"/>
      <c r="BF2157" s="3041"/>
      <c r="BH2157" s="3282"/>
    </row>
    <row r="2158" spans="1:60" s="3030" customFormat="1">
      <c r="A2158" s="2126"/>
      <c r="B2158" s="2126"/>
      <c r="C2158" s="2126"/>
      <c r="D2158" s="2126"/>
      <c r="E2158" s="525"/>
      <c r="F2158" s="525"/>
      <c r="G2158" s="525"/>
      <c r="K2158" s="3280"/>
      <c r="AB2158" s="3280"/>
      <c r="AG2158" s="3865"/>
      <c r="AM2158" s="3041"/>
      <c r="BD2158" s="3280"/>
      <c r="BF2158" s="3041"/>
      <c r="BH2158" s="3282"/>
    </row>
    <row r="2159" spans="1:60" s="3030" customFormat="1">
      <c r="A2159" s="2126"/>
      <c r="B2159" s="2126"/>
      <c r="C2159" s="2126"/>
      <c r="D2159" s="2126"/>
      <c r="E2159" s="525"/>
      <c r="F2159" s="525"/>
      <c r="G2159" s="525"/>
      <c r="K2159" s="3280"/>
      <c r="AB2159" s="3280"/>
      <c r="AG2159" s="3865"/>
      <c r="AM2159" s="3041"/>
      <c r="BD2159" s="3280"/>
      <c r="BF2159" s="3041"/>
      <c r="BH2159" s="3282"/>
    </row>
    <row r="2160" spans="1:60" s="3030" customFormat="1">
      <c r="A2160" s="2126"/>
      <c r="B2160" s="2126"/>
      <c r="C2160" s="2126"/>
      <c r="D2160" s="2126"/>
      <c r="E2160" s="525"/>
      <c r="F2160" s="525"/>
      <c r="G2160" s="525"/>
      <c r="K2160" s="3280"/>
      <c r="AB2160" s="3280"/>
      <c r="AG2160" s="3865"/>
      <c r="AM2160" s="3041"/>
      <c r="BD2160" s="3280"/>
      <c r="BF2160" s="3041"/>
      <c r="BH2160" s="3282"/>
    </row>
    <row r="2161" spans="1:60" s="3030" customFormat="1">
      <c r="A2161" s="2126"/>
      <c r="B2161" s="2126"/>
      <c r="C2161" s="2126"/>
      <c r="D2161" s="2126"/>
      <c r="E2161" s="525"/>
      <c r="F2161" s="525"/>
      <c r="G2161" s="525"/>
      <c r="K2161" s="3280"/>
      <c r="AB2161" s="3280"/>
      <c r="AG2161" s="3865"/>
      <c r="AM2161" s="3041"/>
      <c r="BD2161" s="3280"/>
      <c r="BF2161" s="3041"/>
      <c r="BH2161" s="3282"/>
    </row>
    <row r="2162" spans="1:60" s="3030" customFormat="1">
      <c r="A2162" s="2126"/>
      <c r="B2162" s="2126"/>
      <c r="C2162" s="2126"/>
      <c r="D2162" s="2126"/>
      <c r="E2162" s="525"/>
      <c r="F2162" s="525"/>
      <c r="G2162" s="525"/>
      <c r="K2162" s="3280"/>
      <c r="AB2162" s="3280"/>
      <c r="AG2162" s="3865"/>
      <c r="AM2162" s="3041"/>
      <c r="BD2162" s="3280"/>
      <c r="BF2162" s="3041"/>
      <c r="BH2162" s="3282"/>
    </row>
    <row r="2163" spans="1:60" s="3030" customFormat="1">
      <c r="A2163" s="2126"/>
      <c r="B2163" s="2126"/>
      <c r="C2163" s="2126"/>
      <c r="D2163" s="2126"/>
      <c r="E2163" s="525"/>
      <c r="F2163" s="525"/>
      <c r="G2163" s="525"/>
      <c r="K2163" s="3280"/>
      <c r="AB2163" s="3280"/>
      <c r="AG2163" s="3865"/>
      <c r="AM2163" s="3041"/>
      <c r="BD2163" s="3280"/>
      <c r="BF2163" s="3041"/>
      <c r="BH2163" s="3282"/>
    </row>
    <row r="2164" spans="1:60" s="3030" customFormat="1">
      <c r="A2164" s="2126"/>
      <c r="B2164" s="2126"/>
      <c r="C2164" s="2126"/>
      <c r="D2164" s="2126"/>
      <c r="E2164" s="525"/>
      <c r="F2164" s="525"/>
      <c r="G2164" s="525"/>
      <c r="K2164" s="3280"/>
      <c r="AB2164" s="3280"/>
      <c r="AG2164" s="3865"/>
      <c r="AM2164" s="3041"/>
      <c r="BD2164" s="3280"/>
      <c r="BF2164" s="3041"/>
      <c r="BH2164" s="3282"/>
    </row>
    <row r="2165" spans="1:60" s="3030" customFormat="1">
      <c r="A2165" s="2126"/>
      <c r="B2165" s="2126"/>
      <c r="C2165" s="2126"/>
      <c r="D2165" s="2126"/>
      <c r="E2165" s="525"/>
      <c r="F2165" s="525"/>
      <c r="G2165" s="525"/>
      <c r="K2165" s="3280"/>
      <c r="AB2165" s="3280"/>
      <c r="AG2165" s="3865"/>
      <c r="AM2165" s="3041"/>
      <c r="BD2165" s="3280"/>
      <c r="BF2165" s="3041"/>
      <c r="BH2165" s="3282"/>
    </row>
    <row r="2166" spans="1:60" s="3030" customFormat="1">
      <c r="A2166" s="2126"/>
      <c r="B2166" s="2126"/>
      <c r="C2166" s="2126"/>
      <c r="D2166" s="2126"/>
      <c r="E2166" s="525"/>
      <c r="F2166" s="525"/>
      <c r="G2166" s="525"/>
      <c r="K2166" s="3280"/>
      <c r="AB2166" s="3280"/>
      <c r="AG2166" s="3865"/>
      <c r="AM2166" s="3041"/>
      <c r="BD2166" s="3280"/>
      <c r="BF2166" s="3041"/>
      <c r="BH2166" s="3282"/>
    </row>
    <row r="2167" spans="1:60" s="3030" customFormat="1">
      <c r="A2167" s="2126"/>
      <c r="B2167" s="2126"/>
      <c r="C2167" s="2126"/>
      <c r="D2167" s="2126"/>
      <c r="E2167" s="525"/>
      <c r="F2167" s="525"/>
      <c r="G2167" s="525"/>
      <c r="K2167" s="3280"/>
      <c r="AB2167" s="3280"/>
      <c r="AG2167" s="3865"/>
      <c r="AM2167" s="3041"/>
      <c r="BD2167" s="3280"/>
      <c r="BF2167" s="3041"/>
      <c r="BH2167" s="3282"/>
    </row>
    <row r="2168" spans="1:60" s="3030" customFormat="1">
      <c r="A2168" s="2126"/>
      <c r="B2168" s="2126"/>
      <c r="C2168" s="2126"/>
      <c r="D2168" s="2126"/>
      <c r="E2168" s="525"/>
      <c r="F2168" s="525"/>
      <c r="G2168" s="525"/>
      <c r="K2168" s="3280"/>
      <c r="AB2168" s="3280"/>
      <c r="AG2168" s="3865"/>
      <c r="AM2168" s="3041"/>
      <c r="BD2168" s="3280"/>
      <c r="BF2168" s="3041"/>
      <c r="BH2168" s="3282"/>
    </row>
    <row r="2169" spans="1:60" s="3030" customFormat="1">
      <c r="A2169" s="2126"/>
      <c r="B2169" s="2126"/>
      <c r="C2169" s="2126"/>
      <c r="D2169" s="2126"/>
      <c r="E2169" s="525"/>
      <c r="F2169" s="525"/>
      <c r="G2169" s="525"/>
      <c r="K2169" s="3280"/>
      <c r="AB2169" s="3280"/>
      <c r="AG2169" s="3865"/>
      <c r="AM2169" s="3041"/>
      <c r="BD2169" s="3280"/>
      <c r="BF2169" s="3041"/>
      <c r="BH2169" s="3282"/>
    </row>
    <row r="2170" spans="1:60" s="3030" customFormat="1">
      <c r="A2170" s="2126"/>
      <c r="B2170" s="2126"/>
      <c r="C2170" s="2126"/>
      <c r="D2170" s="2126"/>
      <c r="E2170" s="525"/>
      <c r="F2170" s="525"/>
      <c r="G2170" s="525"/>
      <c r="K2170" s="3280"/>
      <c r="AB2170" s="3280"/>
      <c r="AG2170" s="3865"/>
      <c r="AM2170" s="3041"/>
      <c r="BD2170" s="3280"/>
      <c r="BF2170" s="3041"/>
      <c r="BH2170" s="3282"/>
    </row>
    <row r="2171" spans="1:60" s="3030" customFormat="1">
      <c r="A2171" s="2126"/>
      <c r="B2171" s="2126"/>
      <c r="C2171" s="2126"/>
      <c r="D2171" s="2126"/>
      <c r="E2171" s="525"/>
      <c r="F2171" s="525"/>
      <c r="G2171" s="525"/>
      <c r="K2171" s="3280"/>
      <c r="AB2171" s="3280"/>
      <c r="AG2171" s="3865"/>
      <c r="AM2171" s="3041"/>
      <c r="BD2171" s="3280"/>
      <c r="BF2171" s="3041"/>
      <c r="BH2171" s="3282"/>
    </row>
    <row r="2172" spans="1:60" s="3030" customFormat="1">
      <c r="A2172" s="2126"/>
      <c r="B2172" s="2126"/>
      <c r="C2172" s="2126"/>
      <c r="D2172" s="2126"/>
      <c r="E2172" s="525"/>
      <c r="F2172" s="525"/>
      <c r="G2172" s="525"/>
      <c r="K2172" s="3280"/>
      <c r="AB2172" s="3280"/>
      <c r="AG2172" s="3865"/>
      <c r="AM2172" s="3041"/>
      <c r="BD2172" s="3280"/>
      <c r="BF2172" s="3041"/>
      <c r="BH2172" s="3282"/>
    </row>
    <row r="2173" spans="1:60" s="3030" customFormat="1">
      <c r="A2173" s="2126"/>
      <c r="B2173" s="2126"/>
      <c r="C2173" s="2126"/>
      <c r="D2173" s="2126"/>
      <c r="E2173" s="525"/>
      <c r="F2173" s="525"/>
      <c r="G2173" s="525"/>
      <c r="K2173" s="3280"/>
      <c r="AB2173" s="3280"/>
      <c r="AG2173" s="3865"/>
      <c r="AM2173" s="3041"/>
      <c r="BD2173" s="3280"/>
      <c r="BF2173" s="3041"/>
      <c r="BH2173" s="3282"/>
    </row>
    <row r="2174" spans="1:60" s="3030" customFormat="1">
      <c r="A2174" s="2126"/>
      <c r="B2174" s="2126"/>
      <c r="C2174" s="2126"/>
      <c r="D2174" s="2126"/>
      <c r="E2174" s="525"/>
      <c r="F2174" s="525"/>
      <c r="G2174" s="525"/>
      <c r="K2174" s="3280"/>
      <c r="AB2174" s="3280"/>
      <c r="AG2174" s="3865"/>
      <c r="AM2174" s="3041"/>
      <c r="BD2174" s="3280"/>
      <c r="BF2174" s="3041"/>
      <c r="BH2174" s="3282"/>
    </row>
    <row r="2175" spans="1:60" s="3030" customFormat="1">
      <c r="A2175" s="2126"/>
      <c r="B2175" s="2126"/>
      <c r="C2175" s="2126"/>
      <c r="D2175" s="2126"/>
      <c r="E2175" s="525"/>
      <c r="F2175" s="525"/>
      <c r="G2175" s="525"/>
      <c r="K2175" s="3280"/>
      <c r="AB2175" s="3280"/>
      <c r="AG2175" s="3865"/>
      <c r="AM2175" s="3041"/>
      <c r="BD2175" s="3280"/>
      <c r="BF2175" s="3041"/>
      <c r="BH2175" s="3282"/>
    </row>
    <row r="2176" spans="1:60" s="3030" customFormat="1">
      <c r="A2176" s="2126"/>
      <c r="B2176" s="2126"/>
      <c r="C2176" s="2126"/>
      <c r="D2176" s="2126"/>
      <c r="E2176" s="525"/>
      <c r="F2176" s="525"/>
      <c r="G2176" s="525"/>
      <c r="K2176" s="3280"/>
      <c r="AB2176" s="3280"/>
      <c r="AG2176" s="3865"/>
      <c r="AM2176" s="3041"/>
      <c r="BD2176" s="3280"/>
      <c r="BF2176" s="3041"/>
      <c r="BH2176" s="3282"/>
    </row>
    <row r="2177" spans="1:60" s="3030" customFormat="1">
      <c r="A2177" s="2126"/>
      <c r="B2177" s="2126"/>
      <c r="C2177" s="2126"/>
      <c r="D2177" s="2126"/>
      <c r="E2177" s="525"/>
      <c r="F2177" s="525"/>
      <c r="G2177" s="525"/>
      <c r="K2177" s="3280"/>
      <c r="AB2177" s="3280"/>
      <c r="AG2177" s="3865"/>
      <c r="AM2177" s="3041"/>
      <c r="BD2177" s="3280"/>
      <c r="BF2177" s="3041"/>
      <c r="BH2177" s="3282"/>
    </row>
    <row r="2178" spans="1:60" s="3030" customFormat="1">
      <c r="A2178" s="2126"/>
      <c r="B2178" s="2126"/>
      <c r="C2178" s="2126"/>
      <c r="D2178" s="2126"/>
      <c r="E2178" s="525"/>
      <c r="F2178" s="525"/>
      <c r="G2178" s="525"/>
      <c r="K2178" s="3280"/>
      <c r="AB2178" s="3280"/>
      <c r="AG2178" s="3865"/>
      <c r="AM2178" s="3041"/>
      <c r="BD2178" s="3280"/>
      <c r="BF2178" s="3041"/>
      <c r="BH2178" s="3282"/>
    </row>
    <row r="2179" spans="1:60" s="3030" customFormat="1">
      <c r="A2179" s="2126"/>
      <c r="B2179" s="2126"/>
      <c r="C2179" s="2126"/>
      <c r="D2179" s="2126"/>
      <c r="E2179" s="525"/>
      <c r="F2179" s="525"/>
      <c r="G2179" s="525"/>
      <c r="K2179" s="3280"/>
      <c r="AB2179" s="3280"/>
      <c r="AG2179" s="3865"/>
      <c r="AM2179" s="3041"/>
      <c r="BD2179" s="3280"/>
      <c r="BF2179" s="3041"/>
      <c r="BH2179" s="3282"/>
    </row>
    <row r="2180" spans="1:60" s="3030" customFormat="1">
      <c r="A2180" s="2126"/>
      <c r="B2180" s="2126"/>
      <c r="C2180" s="2126"/>
      <c r="D2180" s="2126"/>
      <c r="E2180" s="525"/>
      <c r="F2180" s="525"/>
      <c r="G2180" s="525"/>
      <c r="K2180" s="3280"/>
      <c r="AB2180" s="3280"/>
      <c r="AG2180" s="3865"/>
      <c r="AM2180" s="3041"/>
      <c r="BD2180" s="3280"/>
      <c r="BF2180" s="3041"/>
      <c r="BH2180" s="3282"/>
    </row>
    <row r="2181" spans="1:60" s="3030" customFormat="1">
      <c r="A2181" s="2126"/>
      <c r="B2181" s="2126"/>
      <c r="C2181" s="2126"/>
      <c r="D2181" s="2126"/>
      <c r="E2181" s="525"/>
      <c r="F2181" s="525"/>
      <c r="G2181" s="525"/>
      <c r="K2181" s="3280"/>
      <c r="AB2181" s="3280"/>
      <c r="AG2181" s="3865"/>
      <c r="AM2181" s="3041"/>
      <c r="BD2181" s="3280"/>
      <c r="BF2181" s="3041"/>
      <c r="BH2181" s="3282"/>
    </row>
    <row r="2182" spans="1:60" s="3030" customFormat="1">
      <c r="A2182" s="2126"/>
      <c r="B2182" s="2126"/>
      <c r="C2182" s="2126"/>
      <c r="D2182" s="2126"/>
      <c r="E2182" s="525"/>
      <c r="F2182" s="525"/>
      <c r="G2182" s="525"/>
      <c r="K2182" s="3280"/>
      <c r="AB2182" s="3280"/>
      <c r="AG2182" s="3865"/>
      <c r="AM2182" s="3041"/>
      <c r="BD2182" s="3280"/>
      <c r="BF2182" s="3041"/>
      <c r="BH2182" s="3282"/>
    </row>
    <row r="2183" spans="1:60" s="3030" customFormat="1">
      <c r="A2183" s="2126"/>
      <c r="B2183" s="2126"/>
      <c r="C2183" s="2126"/>
      <c r="D2183" s="2126"/>
      <c r="E2183" s="525"/>
      <c r="F2183" s="525"/>
      <c r="G2183" s="525"/>
      <c r="K2183" s="3280"/>
      <c r="AB2183" s="3280"/>
      <c r="AG2183" s="3865"/>
      <c r="AM2183" s="3041"/>
      <c r="BD2183" s="3280"/>
      <c r="BF2183" s="3041"/>
      <c r="BH2183" s="3282"/>
    </row>
    <row r="2184" spans="1:60" s="3030" customFormat="1">
      <c r="A2184" s="2126"/>
      <c r="B2184" s="2126"/>
      <c r="C2184" s="2126"/>
      <c r="D2184" s="2126"/>
      <c r="E2184" s="525"/>
      <c r="F2184" s="525"/>
      <c r="G2184" s="525"/>
      <c r="K2184" s="3280"/>
      <c r="AB2184" s="3280"/>
      <c r="AG2184" s="3865"/>
      <c r="AM2184" s="3041"/>
      <c r="BD2184" s="3280"/>
      <c r="BF2184" s="3041"/>
      <c r="BH2184" s="3282"/>
    </row>
    <row r="2185" spans="1:60" s="3030" customFormat="1">
      <c r="A2185" s="2126"/>
      <c r="B2185" s="2126"/>
      <c r="C2185" s="2126"/>
      <c r="D2185" s="2126"/>
      <c r="E2185" s="525"/>
      <c r="F2185" s="525"/>
      <c r="G2185" s="525"/>
      <c r="K2185" s="3280"/>
      <c r="AB2185" s="3280"/>
      <c r="AG2185" s="3865"/>
      <c r="AM2185" s="3041"/>
      <c r="BD2185" s="3280"/>
      <c r="BF2185" s="3041"/>
      <c r="BH2185" s="3282"/>
    </row>
    <row r="2186" spans="1:60" s="3030" customFormat="1">
      <c r="A2186" s="2126"/>
      <c r="B2186" s="2126"/>
      <c r="C2186" s="2126"/>
      <c r="D2186" s="2126"/>
      <c r="E2186" s="525"/>
      <c r="F2186" s="525"/>
      <c r="G2186" s="525"/>
      <c r="K2186" s="3280"/>
      <c r="AB2186" s="3280"/>
      <c r="AG2186" s="3865"/>
      <c r="AM2186" s="3041"/>
      <c r="BD2186" s="3280"/>
      <c r="BF2186" s="3041"/>
      <c r="BH2186" s="3282"/>
    </row>
    <row r="2187" spans="1:60" s="3030" customFormat="1">
      <c r="A2187" s="2126"/>
      <c r="B2187" s="2126"/>
      <c r="C2187" s="2126"/>
      <c r="D2187" s="2126"/>
      <c r="E2187" s="525"/>
      <c r="F2187" s="525"/>
      <c r="G2187" s="525"/>
      <c r="K2187" s="3280"/>
      <c r="AB2187" s="3280"/>
      <c r="AG2187" s="3865"/>
      <c r="AM2187" s="3041"/>
      <c r="BD2187" s="3280"/>
      <c r="BF2187" s="3041"/>
      <c r="BH2187" s="3282"/>
    </row>
    <row r="2188" spans="1:60" s="3030" customFormat="1">
      <c r="A2188" s="2126"/>
      <c r="B2188" s="2126"/>
      <c r="C2188" s="2126"/>
      <c r="D2188" s="2126"/>
      <c r="E2188" s="525"/>
      <c r="F2188" s="525"/>
      <c r="G2188" s="525"/>
      <c r="K2188" s="3280"/>
      <c r="AB2188" s="3280"/>
      <c r="AG2188" s="3865"/>
      <c r="AM2188" s="3041"/>
      <c r="BD2188" s="3280"/>
      <c r="BF2188" s="3041"/>
      <c r="BH2188" s="3282"/>
    </row>
    <row r="2189" spans="1:60" s="3030" customFormat="1">
      <c r="A2189" s="2126"/>
      <c r="B2189" s="2126"/>
      <c r="C2189" s="2126"/>
      <c r="D2189" s="2126"/>
      <c r="E2189" s="525"/>
      <c r="F2189" s="525"/>
      <c r="G2189" s="525"/>
      <c r="K2189" s="3280"/>
      <c r="AB2189" s="3280"/>
      <c r="AG2189" s="3865"/>
      <c r="AM2189" s="3041"/>
      <c r="BD2189" s="3280"/>
      <c r="BF2189" s="3041"/>
      <c r="BH2189" s="3282"/>
    </row>
    <row r="2190" spans="1:60" s="3030" customFormat="1">
      <c r="A2190" s="2126"/>
      <c r="B2190" s="2126"/>
      <c r="C2190" s="2126"/>
      <c r="D2190" s="2126"/>
      <c r="E2190" s="525"/>
      <c r="F2190" s="525"/>
      <c r="G2190" s="525"/>
      <c r="K2190" s="3280"/>
      <c r="AB2190" s="3280"/>
      <c r="AG2190" s="3865"/>
      <c r="AM2190" s="3041"/>
      <c r="BD2190" s="3280"/>
      <c r="BF2190" s="3041"/>
      <c r="BH2190" s="3282"/>
    </row>
    <row r="2191" spans="1:60" s="3030" customFormat="1">
      <c r="A2191" s="2126"/>
      <c r="B2191" s="2126"/>
      <c r="C2191" s="2126"/>
      <c r="D2191" s="2126"/>
      <c r="E2191" s="525"/>
      <c r="F2191" s="525"/>
      <c r="G2191" s="525"/>
      <c r="K2191" s="3280"/>
      <c r="AB2191" s="3280"/>
      <c r="AG2191" s="3865"/>
      <c r="AM2191" s="3041"/>
      <c r="BD2191" s="3280"/>
      <c r="BF2191" s="3041"/>
      <c r="BH2191" s="3282"/>
    </row>
    <row r="2192" spans="1:60" s="3030" customFormat="1">
      <c r="A2192" s="2126"/>
      <c r="B2192" s="2126"/>
      <c r="C2192" s="2126"/>
      <c r="D2192" s="2126"/>
      <c r="E2192" s="525"/>
      <c r="F2192" s="525"/>
      <c r="G2192" s="525"/>
      <c r="K2192" s="3280"/>
      <c r="AB2192" s="3280"/>
      <c r="AG2192" s="3865"/>
      <c r="AM2192" s="3041"/>
      <c r="BD2192" s="3280"/>
      <c r="BF2192" s="3041"/>
      <c r="BH2192" s="3282"/>
    </row>
    <row r="2193" spans="1:60" s="3030" customFormat="1">
      <c r="A2193" s="2126"/>
      <c r="B2193" s="2126"/>
      <c r="C2193" s="2126"/>
      <c r="D2193" s="2126"/>
      <c r="E2193" s="525"/>
      <c r="F2193" s="525"/>
      <c r="G2193" s="525"/>
      <c r="K2193" s="3280"/>
      <c r="AB2193" s="3280"/>
      <c r="AG2193" s="3865"/>
      <c r="AM2193" s="3041"/>
      <c r="BD2193" s="3280"/>
      <c r="BF2193" s="3041"/>
      <c r="BH2193" s="3282"/>
    </row>
    <row r="2194" spans="1:60" s="3030" customFormat="1">
      <c r="A2194" s="2126"/>
      <c r="B2194" s="2126"/>
      <c r="C2194" s="2126"/>
      <c r="D2194" s="2126"/>
      <c r="E2194" s="525"/>
      <c r="F2194" s="525"/>
      <c r="G2194" s="525"/>
      <c r="K2194" s="3280"/>
      <c r="AB2194" s="3280"/>
      <c r="AG2194" s="3865"/>
      <c r="AM2194" s="3041"/>
      <c r="BD2194" s="3280"/>
      <c r="BF2194" s="3041"/>
      <c r="BH2194" s="3282"/>
    </row>
    <row r="2195" spans="1:60" s="3030" customFormat="1">
      <c r="A2195" s="2126"/>
      <c r="B2195" s="2126"/>
      <c r="C2195" s="2126"/>
      <c r="D2195" s="2126"/>
      <c r="E2195" s="525"/>
      <c r="F2195" s="525"/>
      <c r="G2195" s="525"/>
      <c r="K2195" s="3280"/>
      <c r="AB2195" s="3280"/>
      <c r="AG2195" s="3865"/>
      <c r="AM2195" s="3041"/>
      <c r="BD2195" s="3280"/>
      <c r="BF2195" s="3041"/>
      <c r="BH2195" s="3282"/>
    </row>
    <row r="2196" spans="1:60" s="3030" customFormat="1">
      <c r="A2196" s="2126"/>
      <c r="B2196" s="2126"/>
      <c r="C2196" s="2126"/>
      <c r="D2196" s="2126"/>
      <c r="E2196" s="525"/>
      <c r="F2196" s="525"/>
      <c r="G2196" s="525"/>
      <c r="K2196" s="3280"/>
      <c r="AB2196" s="3280"/>
      <c r="AG2196" s="3865"/>
      <c r="AM2196" s="3041"/>
      <c r="BD2196" s="3280"/>
      <c r="BF2196" s="3041"/>
      <c r="BH2196" s="3282"/>
    </row>
    <row r="2197" spans="1:60" s="3030" customFormat="1">
      <c r="A2197" s="2126"/>
      <c r="B2197" s="2126"/>
      <c r="C2197" s="2126"/>
      <c r="D2197" s="2126"/>
      <c r="E2197" s="525"/>
      <c r="F2197" s="525"/>
      <c r="G2197" s="525"/>
      <c r="K2197" s="3280"/>
      <c r="AB2197" s="3280"/>
      <c r="AG2197" s="3865"/>
      <c r="AM2197" s="3041"/>
      <c r="BD2197" s="3280"/>
      <c r="BF2197" s="3041"/>
      <c r="BH2197" s="3282"/>
    </row>
    <row r="2198" spans="1:60" s="3030" customFormat="1">
      <c r="A2198" s="2126"/>
      <c r="B2198" s="2126"/>
      <c r="C2198" s="2126"/>
      <c r="D2198" s="2126"/>
      <c r="E2198" s="525"/>
      <c r="F2198" s="525"/>
      <c r="G2198" s="525"/>
      <c r="K2198" s="3280"/>
      <c r="AB2198" s="3280"/>
      <c r="AG2198" s="3865"/>
      <c r="AM2198" s="3041"/>
      <c r="BD2198" s="3280"/>
      <c r="BF2198" s="3041"/>
      <c r="BH2198" s="3282"/>
    </row>
    <row r="2199" spans="1:60" s="3030" customFormat="1">
      <c r="A2199" s="2126"/>
      <c r="B2199" s="2126"/>
      <c r="C2199" s="2126"/>
      <c r="D2199" s="2126"/>
      <c r="E2199" s="525"/>
      <c r="F2199" s="525"/>
      <c r="G2199" s="525"/>
      <c r="K2199" s="3280"/>
      <c r="AB2199" s="3280"/>
      <c r="AG2199" s="3865"/>
      <c r="AM2199" s="3041"/>
      <c r="BD2199" s="3280"/>
      <c r="BF2199" s="3041"/>
      <c r="BH2199" s="3282"/>
    </row>
    <row r="2200" spans="1:60" s="3030" customFormat="1">
      <c r="A2200" s="2126"/>
      <c r="B2200" s="2126"/>
      <c r="C2200" s="2126"/>
      <c r="D2200" s="2126"/>
      <c r="E2200" s="525"/>
      <c r="F2200" s="525"/>
      <c r="G2200" s="525"/>
      <c r="K2200" s="3280"/>
      <c r="AB2200" s="3280"/>
      <c r="AG2200" s="3865"/>
      <c r="AM2200" s="3041"/>
      <c r="BD2200" s="3280"/>
      <c r="BF2200" s="3041"/>
      <c r="BH2200" s="3282"/>
    </row>
    <row r="2201" spans="1:60" s="3030" customFormat="1">
      <c r="A2201" s="2126"/>
      <c r="B2201" s="2126"/>
      <c r="C2201" s="2126"/>
      <c r="D2201" s="2126"/>
      <c r="E2201" s="525"/>
      <c r="F2201" s="525"/>
      <c r="G2201" s="525"/>
      <c r="K2201" s="3280"/>
      <c r="AB2201" s="3280"/>
      <c r="AG2201" s="3865"/>
      <c r="AM2201" s="3041"/>
      <c r="BD2201" s="3280"/>
      <c r="BF2201" s="3041"/>
      <c r="BH2201" s="3282"/>
    </row>
    <row r="2202" spans="1:60" s="3030" customFormat="1">
      <c r="A2202" s="2126"/>
      <c r="B2202" s="2126"/>
      <c r="C2202" s="2126"/>
      <c r="D2202" s="2126"/>
      <c r="E2202" s="525"/>
      <c r="F2202" s="525"/>
      <c r="G2202" s="525"/>
      <c r="K2202" s="3280"/>
      <c r="AB2202" s="3280"/>
      <c r="AG2202" s="3865"/>
      <c r="AM2202" s="3041"/>
      <c r="BD2202" s="3280"/>
      <c r="BF2202" s="3041"/>
      <c r="BH2202" s="3282"/>
    </row>
    <row r="2203" spans="1:60" s="3030" customFormat="1">
      <c r="A2203" s="2126"/>
      <c r="B2203" s="2126"/>
      <c r="C2203" s="2126"/>
      <c r="D2203" s="2126"/>
      <c r="E2203" s="525"/>
      <c r="F2203" s="525"/>
      <c r="G2203" s="525"/>
      <c r="K2203" s="3280"/>
      <c r="AB2203" s="3280"/>
      <c r="AG2203" s="3865"/>
      <c r="AM2203" s="3041"/>
      <c r="BD2203" s="3280"/>
      <c r="BF2203" s="3041"/>
      <c r="BH2203" s="3282"/>
    </row>
    <row r="2204" spans="1:60" s="3030" customFormat="1">
      <c r="A2204" s="2126"/>
      <c r="B2204" s="2126"/>
      <c r="C2204" s="2126"/>
      <c r="D2204" s="2126"/>
      <c r="E2204" s="525"/>
      <c r="F2204" s="525"/>
      <c r="G2204" s="525"/>
      <c r="K2204" s="3280"/>
      <c r="AB2204" s="3280"/>
      <c r="AG2204" s="3865"/>
      <c r="AM2204" s="3041"/>
      <c r="BD2204" s="3280"/>
      <c r="BF2204" s="3041"/>
      <c r="BH2204" s="3282"/>
    </row>
    <row r="2205" spans="1:60" s="3030" customFormat="1">
      <c r="A2205" s="2126"/>
      <c r="B2205" s="2126"/>
      <c r="C2205" s="2126"/>
      <c r="D2205" s="2126"/>
      <c r="E2205" s="525"/>
      <c r="F2205" s="525"/>
      <c r="G2205" s="525"/>
      <c r="K2205" s="3280"/>
      <c r="AB2205" s="3280"/>
      <c r="AG2205" s="3865"/>
      <c r="AM2205" s="3041"/>
      <c r="BD2205" s="3280"/>
      <c r="BF2205" s="3041"/>
      <c r="BH2205" s="3282"/>
    </row>
    <row r="2206" spans="1:60" s="3030" customFormat="1">
      <c r="A2206" s="2126"/>
      <c r="B2206" s="2126"/>
      <c r="C2206" s="2126"/>
      <c r="D2206" s="2126"/>
      <c r="E2206" s="525"/>
      <c r="F2206" s="525"/>
      <c r="G2206" s="525"/>
      <c r="K2206" s="3280"/>
      <c r="AB2206" s="3280"/>
      <c r="AG2206" s="3865"/>
      <c r="AM2206" s="3041"/>
      <c r="BD2206" s="3280"/>
      <c r="BF2206" s="3041"/>
      <c r="BH2206" s="3282"/>
    </row>
    <row r="2207" spans="1:60" s="3030" customFormat="1">
      <c r="A2207" s="2126"/>
      <c r="B2207" s="2126"/>
      <c r="C2207" s="2126"/>
      <c r="D2207" s="2126"/>
      <c r="E2207" s="525"/>
      <c r="F2207" s="525"/>
      <c r="G2207" s="525"/>
      <c r="K2207" s="3280"/>
      <c r="AB2207" s="3280"/>
      <c r="AG2207" s="3865"/>
      <c r="AM2207" s="3041"/>
      <c r="BD2207" s="3280"/>
      <c r="BF2207" s="3041"/>
      <c r="BH2207" s="3282"/>
    </row>
    <row r="2208" spans="1:60" s="3030" customFormat="1">
      <c r="A2208" s="2126"/>
      <c r="B2208" s="2126"/>
      <c r="C2208" s="2126"/>
      <c r="D2208" s="2126"/>
      <c r="E2208" s="525"/>
      <c r="F2208" s="525"/>
      <c r="G2208" s="525"/>
      <c r="K2208" s="3280"/>
      <c r="AB2208" s="3280"/>
      <c r="AG2208" s="3865"/>
      <c r="AM2208" s="3041"/>
      <c r="BD2208" s="3280"/>
      <c r="BF2208" s="3041"/>
      <c r="BH2208" s="3282"/>
    </row>
    <row r="2209" spans="1:60" s="3030" customFormat="1">
      <c r="A2209" s="2126"/>
      <c r="B2209" s="2126"/>
      <c r="C2209" s="2126"/>
      <c r="D2209" s="2126"/>
      <c r="E2209" s="525"/>
      <c r="F2209" s="525"/>
      <c r="G2209" s="525"/>
      <c r="K2209" s="3280"/>
      <c r="AB2209" s="3280"/>
      <c r="AG2209" s="3865"/>
      <c r="AM2209" s="3041"/>
      <c r="BD2209" s="3280"/>
      <c r="BF2209" s="3041"/>
      <c r="BH2209" s="3282"/>
    </row>
    <row r="2210" spans="1:60" s="3030" customFormat="1">
      <c r="A2210" s="2126"/>
      <c r="B2210" s="2126"/>
      <c r="C2210" s="2126"/>
      <c r="D2210" s="2126"/>
      <c r="E2210" s="525"/>
      <c r="F2210" s="525"/>
      <c r="G2210" s="525"/>
      <c r="K2210" s="3280"/>
      <c r="AB2210" s="3280"/>
      <c r="AG2210" s="3865"/>
      <c r="AM2210" s="3041"/>
      <c r="BD2210" s="3280"/>
      <c r="BF2210" s="3041"/>
      <c r="BH2210" s="3282"/>
    </row>
    <row r="2211" spans="1:60" s="3030" customFormat="1">
      <c r="A2211" s="2126"/>
      <c r="B2211" s="2126"/>
      <c r="C2211" s="2126"/>
      <c r="D2211" s="2126"/>
      <c r="E2211" s="525"/>
      <c r="F2211" s="525"/>
      <c r="G2211" s="525"/>
      <c r="K2211" s="3280"/>
      <c r="AB2211" s="3280"/>
      <c r="AG2211" s="3865"/>
      <c r="AM2211" s="3041"/>
      <c r="BD2211" s="3280"/>
      <c r="BF2211" s="3041"/>
      <c r="BH2211" s="3282"/>
    </row>
    <row r="2212" spans="1:60" s="3030" customFormat="1">
      <c r="A2212" s="2126"/>
      <c r="B2212" s="2126"/>
      <c r="C2212" s="2126"/>
      <c r="D2212" s="2126"/>
      <c r="E2212" s="525"/>
      <c r="F2212" s="525"/>
      <c r="G2212" s="525"/>
      <c r="K2212" s="3280"/>
      <c r="AB2212" s="3280"/>
      <c r="AG2212" s="3865"/>
      <c r="AM2212" s="3041"/>
      <c r="BD2212" s="3280"/>
      <c r="BF2212" s="3041"/>
      <c r="BH2212" s="3282"/>
    </row>
    <row r="2213" spans="1:60" s="3030" customFormat="1">
      <c r="A2213" s="2126"/>
      <c r="B2213" s="2126"/>
      <c r="C2213" s="2126"/>
      <c r="D2213" s="2126"/>
      <c r="E2213" s="525"/>
      <c r="F2213" s="525"/>
      <c r="G2213" s="525"/>
      <c r="K2213" s="3280"/>
      <c r="AB2213" s="3280"/>
      <c r="AG2213" s="3865"/>
      <c r="AM2213" s="3041"/>
      <c r="BD2213" s="3280"/>
      <c r="BF2213" s="3041"/>
      <c r="BH2213" s="3282"/>
    </row>
    <row r="2214" spans="1:60" s="3030" customFormat="1">
      <c r="A2214" s="2126"/>
      <c r="B2214" s="2126"/>
      <c r="C2214" s="2126"/>
      <c r="D2214" s="2126"/>
      <c r="E2214" s="525"/>
      <c r="F2214" s="525"/>
      <c r="G2214" s="525"/>
      <c r="K2214" s="3280"/>
      <c r="AB2214" s="3280"/>
      <c r="AG2214" s="3865"/>
      <c r="AM2214" s="3041"/>
      <c r="BD2214" s="3280"/>
      <c r="BF2214" s="3041"/>
      <c r="BH2214" s="3282"/>
    </row>
    <row r="2215" spans="1:60" s="3030" customFormat="1">
      <c r="A2215" s="2126"/>
      <c r="B2215" s="2126"/>
      <c r="C2215" s="2126"/>
      <c r="D2215" s="2126"/>
      <c r="E2215" s="525"/>
      <c r="F2215" s="525"/>
      <c r="G2215" s="525"/>
      <c r="K2215" s="3280"/>
      <c r="AB2215" s="3280"/>
      <c r="AG2215" s="3865"/>
      <c r="AM2215" s="3041"/>
      <c r="BD2215" s="3280"/>
      <c r="BF2215" s="3041"/>
      <c r="BH2215" s="3282"/>
    </row>
    <row r="2216" spans="1:60" s="3030" customFormat="1">
      <c r="A2216" s="2126"/>
      <c r="B2216" s="2126"/>
      <c r="C2216" s="2126"/>
      <c r="D2216" s="2126"/>
      <c r="E2216" s="525"/>
      <c r="F2216" s="525"/>
      <c r="G2216" s="525"/>
      <c r="K2216" s="3280"/>
      <c r="AB2216" s="3280"/>
      <c r="AG2216" s="3865"/>
      <c r="AM2216" s="3041"/>
      <c r="BD2216" s="3280"/>
      <c r="BF2216" s="3041"/>
      <c r="BH2216" s="3282"/>
    </row>
    <row r="2217" spans="1:60" s="3030" customFormat="1">
      <c r="A2217" s="2126"/>
      <c r="B2217" s="2126"/>
      <c r="C2217" s="2126"/>
      <c r="D2217" s="2126"/>
      <c r="E2217" s="525"/>
      <c r="F2217" s="525"/>
      <c r="G2217" s="525"/>
      <c r="K2217" s="3280"/>
      <c r="AB2217" s="3280"/>
      <c r="AG2217" s="3865"/>
      <c r="AM2217" s="3041"/>
      <c r="BD2217" s="3280"/>
      <c r="BF2217" s="3041"/>
      <c r="BH2217" s="3282"/>
    </row>
    <row r="2218" spans="1:60" s="3030" customFormat="1">
      <c r="A2218" s="2126"/>
      <c r="B2218" s="2126"/>
      <c r="C2218" s="2126"/>
      <c r="D2218" s="2126"/>
      <c r="E2218" s="525"/>
      <c r="F2218" s="525"/>
      <c r="G2218" s="525"/>
      <c r="K2218" s="3280"/>
      <c r="AB2218" s="3280"/>
      <c r="AG2218" s="3865"/>
      <c r="AM2218" s="3041"/>
      <c r="BD2218" s="3280"/>
      <c r="BF2218" s="3041"/>
      <c r="BH2218" s="3282"/>
    </row>
    <row r="2219" spans="1:60" s="3030" customFormat="1">
      <c r="A2219" s="2126"/>
      <c r="B2219" s="2126"/>
      <c r="C2219" s="2126"/>
      <c r="D2219" s="2126"/>
      <c r="E2219" s="525"/>
      <c r="F2219" s="525"/>
      <c r="G2219" s="525"/>
      <c r="K2219" s="3280"/>
      <c r="AB2219" s="3280"/>
      <c r="AG2219" s="3865"/>
      <c r="AM2219" s="3041"/>
      <c r="BD2219" s="3280"/>
      <c r="BF2219" s="3041"/>
      <c r="BH2219" s="3282"/>
    </row>
    <row r="2220" spans="1:60" s="3030" customFormat="1">
      <c r="A2220" s="2126"/>
      <c r="B2220" s="2126"/>
      <c r="C2220" s="2126"/>
      <c r="D2220" s="2126"/>
      <c r="E2220" s="525"/>
      <c r="F2220" s="525"/>
      <c r="G2220" s="525"/>
      <c r="K2220" s="3280"/>
      <c r="AB2220" s="3280"/>
      <c r="AG2220" s="3865"/>
      <c r="AM2220" s="3041"/>
      <c r="BD2220" s="3280"/>
      <c r="BF2220" s="3041"/>
      <c r="BH2220" s="3282"/>
    </row>
    <row r="2221" spans="1:60" s="3030" customFormat="1">
      <c r="A2221" s="2126"/>
      <c r="B2221" s="2126"/>
      <c r="C2221" s="2126"/>
      <c r="D2221" s="2126"/>
      <c r="E2221" s="525"/>
      <c r="F2221" s="525"/>
      <c r="G2221" s="525"/>
      <c r="K2221" s="3280"/>
      <c r="AB2221" s="3280"/>
      <c r="AG2221" s="3865"/>
      <c r="AM2221" s="3041"/>
      <c r="BD2221" s="3280"/>
      <c r="BF2221" s="3041"/>
      <c r="BH2221" s="3282"/>
    </row>
    <row r="2222" spans="1:60" s="3030" customFormat="1">
      <c r="A2222" s="2126"/>
      <c r="B2222" s="2126"/>
      <c r="C2222" s="2126"/>
      <c r="D2222" s="2126"/>
      <c r="E2222" s="525"/>
      <c r="F2222" s="525"/>
      <c r="G2222" s="525"/>
      <c r="K2222" s="3280"/>
      <c r="AB2222" s="3280"/>
      <c r="AG2222" s="3865"/>
      <c r="AM2222" s="3041"/>
      <c r="BD2222" s="3280"/>
      <c r="BF2222" s="3041"/>
      <c r="BH2222" s="3282"/>
    </row>
    <row r="2223" spans="1:60" s="3030" customFormat="1">
      <c r="A2223" s="2126"/>
      <c r="B2223" s="2126"/>
      <c r="C2223" s="2126"/>
      <c r="D2223" s="2126"/>
      <c r="E2223" s="525"/>
      <c r="F2223" s="525"/>
      <c r="G2223" s="525"/>
      <c r="K2223" s="3280"/>
      <c r="AB2223" s="3280"/>
      <c r="AG2223" s="3865"/>
      <c r="AM2223" s="3041"/>
      <c r="BD2223" s="3280"/>
      <c r="BF2223" s="3041"/>
      <c r="BH2223" s="3282"/>
    </row>
    <row r="2224" spans="1:60" s="3030" customFormat="1">
      <c r="A2224" s="2126"/>
      <c r="B2224" s="2126"/>
      <c r="C2224" s="2126"/>
      <c r="D2224" s="2126"/>
      <c r="E2224" s="525"/>
      <c r="F2224" s="525"/>
      <c r="G2224" s="525"/>
      <c r="K2224" s="3280"/>
      <c r="AB2224" s="3280"/>
      <c r="AG2224" s="3865"/>
      <c r="AM2224" s="3041"/>
      <c r="BD2224" s="3280"/>
      <c r="BF2224" s="3041"/>
      <c r="BH2224" s="3282"/>
    </row>
    <row r="2225" spans="1:60" s="3030" customFormat="1">
      <c r="A2225" s="2126"/>
      <c r="B2225" s="2126"/>
      <c r="C2225" s="2126"/>
      <c r="D2225" s="2126"/>
      <c r="E2225" s="525"/>
      <c r="F2225" s="525"/>
      <c r="G2225" s="525"/>
      <c r="K2225" s="3280"/>
      <c r="AB2225" s="3280"/>
      <c r="AG2225" s="3865"/>
      <c r="AM2225" s="3041"/>
      <c r="BD2225" s="3280"/>
      <c r="BF2225" s="3041"/>
      <c r="BH2225" s="3282"/>
    </row>
    <row r="2226" spans="1:60" s="3030" customFormat="1">
      <c r="A2226" s="2126"/>
      <c r="B2226" s="2126"/>
      <c r="C2226" s="2126"/>
      <c r="D2226" s="2126"/>
      <c r="E2226" s="525"/>
      <c r="F2226" s="525"/>
      <c r="G2226" s="525"/>
      <c r="K2226" s="3280"/>
      <c r="AB2226" s="3280"/>
      <c r="AG2226" s="3865"/>
      <c r="AM2226" s="3041"/>
      <c r="BD2226" s="3280"/>
      <c r="BF2226" s="3041"/>
      <c r="BH2226" s="3282"/>
    </row>
    <row r="2227" spans="1:60" s="3030" customFormat="1">
      <c r="A2227" s="2126"/>
      <c r="B2227" s="2126"/>
      <c r="C2227" s="2126"/>
      <c r="D2227" s="2126"/>
      <c r="E2227" s="525"/>
      <c r="F2227" s="525"/>
      <c r="G2227" s="525"/>
      <c r="K2227" s="3280"/>
      <c r="AB2227" s="3280"/>
      <c r="AG2227" s="3865"/>
      <c r="AM2227" s="3041"/>
      <c r="BD2227" s="3280"/>
      <c r="BF2227" s="3041"/>
      <c r="BH2227" s="3282"/>
    </row>
    <row r="2228" spans="1:60" s="3030" customFormat="1">
      <c r="A2228" s="2126"/>
      <c r="B2228" s="2126"/>
      <c r="C2228" s="2126"/>
      <c r="D2228" s="2126"/>
      <c r="E2228" s="525"/>
      <c r="F2228" s="525"/>
      <c r="G2228" s="525"/>
      <c r="K2228" s="3280"/>
      <c r="AB2228" s="3280"/>
      <c r="AG2228" s="3865"/>
      <c r="AM2228" s="3041"/>
      <c r="BD2228" s="3280"/>
      <c r="BF2228" s="3041"/>
      <c r="BH2228" s="3282"/>
    </row>
    <row r="2229" spans="1:60" s="3030" customFormat="1">
      <c r="A2229" s="2126"/>
      <c r="B2229" s="2126"/>
      <c r="C2229" s="2126"/>
      <c r="D2229" s="2126"/>
      <c r="E2229" s="525"/>
      <c r="F2229" s="525"/>
      <c r="G2229" s="525"/>
      <c r="K2229" s="3280"/>
      <c r="AB2229" s="3280"/>
      <c r="AG2229" s="3865"/>
      <c r="AM2229" s="3041"/>
      <c r="BD2229" s="3280"/>
      <c r="BF2229" s="3041"/>
      <c r="BH2229" s="3282"/>
    </row>
    <row r="2230" spans="1:60" s="3030" customFormat="1">
      <c r="A2230" s="2126"/>
      <c r="B2230" s="2126"/>
      <c r="C2230" s="2126"/>
      <c r="D2230" s="2126"/>
      <c r="E2230" s="525"/>
      <c r="F2230" s="525"/>
      <c r="G2230" s="525"/>
      <c r="K2230" s="3280"/>
      <c r="AB2230" s="3280"/>
      <c r="AG2230" s="3865"/>
      <c r="AM2230" s="3041"/>
      <c r="BD2230" s="3280"/>
      <c r="BF2230" s="3041"/>
      <c r="BH2230" s="3282"/>
    </row>
    <row r="2231" spans="1:60" s="3030" customFormat="1">
      <c r="A2231" s="2126"/>
      <c r="B2231" s="2126"/>
      <c r="C2231" s="2126"/>
      <c r="D2231" s="2126"/>
      <c r="E2231" s="525"/>
      <c r="F2231" s="525"/>
      <c r="G2231" s="525"/>
      <c r="K2231" s="3280"/>
      <c r="AB2231" s="3280"/>
      <c r="AG2231" s="3865"/>
      <c r="AM2231" s="3041"/>
      <c r="BD2231" s="3280"/>
      <c r="BF2231" s="3041"/>
      <c r="BH2231" s="3282"/>
    </row>
    <row r="2232" spans="1:60" s="3030" customFormat="1">
      <c r="A2232" s="2126"/>
      <c r="B2232" s="2126"/>
      <c r="C2232" s="2126"/>
      <c r="D2232" s="2126"/>
      <c r="E2232" s="525"/>
      <c r="F2232" s="525"/>
      <c r="G2232" s="525"/>
      <c r="K2232" s="3280"/>
      <c r="AB2232" s="3280"/>
      <c r="AG2232" s="3865"/>
      <c r="AM2232" s="3041"/>
      <c r="BD2232" s="3280"/>
      <c r="BF2232" s="3041"/>
      <c r="BH2232" s="3282"/>
    </row>
    <row r="2233" spans="1:60" s="3030" customFormat="1">
      <c r="A2233" s="2126"/>
      <c r="B2233" s="2126"/>
      <c r="C2233" s="2126"/>
      <c r="D2233" s="2126"/>
      <c r="E2233" s="525"/>
      <c r="F2233" s="525"/>
      <c r="G2233" s="525"/>
      <c r="K2233" s="3280"/>
      <c r="AB2233" s="3280"/>
      <c r="AG2233" s="3865"/>
      <c r="AM2233" s="3041"/>
      <c r="BD2233" s="3280"/>
      <c r="BF2233" s="3041"/>
      <c r="BH2233" s="3282"/>
    </row>
    <row r="2234" spans="1:60" s="3030" customFormat="1">
      <c r="A2234" s="2126"/>
      <c r="B2234" s="2126"/>
      <c r="C2234" s="2126"/>
      <c r="D2234" s="2126"/>
      <c r="E2234" s="525"/>
      <c r="F2234" s="525"/>
      <c r="G2234" s="525"/>
      <c r="K2234" s="3280"/>
      <c r="AB2234" s="3280"/>
      <c r="AG2234" s="3865"/>
      <c r="AM2234" s="3041"/>
      <c r="BD2234" s="3280"/>
      <c r="BF2234" s="3041"/>
      <c r="BH2234" s="3282"/>
    </row>
    <row r="2235" spans="1:60" s="3030" customFormat="1">
      <c r="A2235" s="2126"/>
      <c r="B2235" s="2126"/>
      <c r="C2235" s="2126"/>
      <c r="D2235" s="2126"/>
      <c r="E2235" s="525"/>
      <c r="F2235" s="525"/>
      <c r="G2235" s="525"/>
      <c r="K2235" s="3280"/>
      <c r="AB2235" s="3280"/>
      <c r="AG2235" s="3865"/>
      <c r="AM2235" s="3041"/>
      <c r="BD2235" s="3280"/>
      <c r="BF2235" s="3041"/>
      <c r="BH2235" s="3282"/>
    </row>
    <row r="2236" spans="1:60" s="3030" customFormat="1">
      <c r="A2236" s="2126"/>
      <c r="B2236" s="2126"/>
      <c r="C2236" s="2126"/>
      <c r="D2236" s="2126"/>
      <c r="E2236" s="525"/>
      <c r="F2236" s="525"/>
      <c r="G2236" s="525"/>
      <c r="K2236" s="3280"/>
      <c r="AB2236" s="3280"/>
      <c r="AG2236" s="3865"/>
      <c r="AM2236" s="3041"/>
      <c r="BD2236" s="3280"/>
      <c r="BF2236" s="3041"/>
      <c r="BH2236" s="3282"/>
    </row>
    <row r="2237" spans="1:60" s="3030" customFormat="1">
      <c r="A2237" s="2126"/>
      <c r="B2237" s="2126"/>
      <c r="C2237" s="2126"/>
      <c r="D2237" s="2126"/>
      <c r="E2237" s="525"/>
      <c r="F2237" s="525"/>
      <c r="G2237" s="525"/>
      <c r="K2237" s="3280"/>
      <c r="AB2237" s="3280"/>
      <c r="AG2237" s="3865"/>
      <c r="AM2237" s="3041"/>
      <c r="BD2237" s="3280"/>
      <c r="BF2237" s="3041"/>
      <c r="BH2237" s="3282"/>
    </row>
    <row r="2238" spans="1:60" s="3030" customFormat="1">
      <c r="A2238" s="2126"/>
      <c r="B2238" s="2126"/>
      <c r="C2238" s="2126"/>
      <c r="D2238" s="2126"/>
      <c r="E2238" s="525"/>
      <c r="F2238" s="525"/>
      <c r="G2238" s="525"/>
      <c r="K2238" s="3280"/>
      <c r="AB2238" s="3280"/>
      <c r="AG2238" s="3865"/>
      <c r="AM2238" s="3041"/>
      <c r="BD2238" s="3280"/>
      <c r="BF2238" s="3041"/>
      <c r="BH2238" s="3282"/>
    </row>
    <row r="2239" spans="1:60" s="3030" customFormat="1">
      <c r="A2239" s="2126"/>
      <c r="B2239" s="2126"/>
      <c r="C2239" s="2126"/>
      <c r="D2239" s="2126"/>
      <c r="E2239" s="525"/>
      <c r="F2239" s="525"/>
      <c r="G2239" s="525"/>
      <c r="K2239" s="3280"/>
      <c r="AB2239" s="3280"/>
      <c r="AG2239" s="3865"/>
      <c r="AM2239" s="3041"/>
      <c r="BD2239" s="3280"/>
      <c r="BF2239" s="3041"/>
      <c r="BH2239" s="3282"/>
    </row>
    <row r="2240" spans="1:60" s="3030" customFormat="1">
      <c r="A2240" s="2126"/>
      <c r="B2240" s="2126"/>
      <c r="C2240" s="2126"/>
      <c r="D2240" s="2126"/>
      <c r="E2240" s="525"/>
      <c r="F2240" s="525"/>
      <c r="G2240" s="525"/>
      <c r="K2240" s="3280"/>
      <c r="AB2240" s="3280"/>
      <c r="AG2240" s="3865"/>
      <c r="AM2240" s="3041"/>
      <c r="BD2240" s="3280"/>
      <c r="BF2240" s="3041"/>
      <c r="BH2240" s="3282"/>
    </row>
    <row r="2241" spans="1:60" s="3030" customFormat="1">
      <c r="A2241" s="2126"/>
      <c r="B2241" s="2126"/>
      <c r="C2241" s="2126"/>
      <c r="D2241" s="2126"/>
      <c r="E2241" s="525"/>
      <c r="F2241" s="525"/>
      <c r="G2241" s="525"/>
      <c r="K2241" s="3280"/>
      <c r="AB2241" s="3280"/>
      <c r="AG2241" s="3865"/>
      <c r="AM2241" s="3041"/>
      <c r="BD2241" s="3280"/>
      <c r="BF2241" s="3041"/>
      <c r="BH2241" s="3282"/>
    </row>
    <row r="2242" spans="1:60" s="3030" customFormat="1">
      <c r="A2242" s="2126"/>
      <c r="B2242" s="2126"/>
      <c r="C2242" s="2126"/>
      <c r="D2242" s="2126"/>
      <c r="E2242" s="525"/>
      <c r="F2242" s="525"/>
      <c r="G2242" s="525"/>
      <c r="K2242" s="3280"/>
      <c r="AB2242" s="3280"/>
      <c r="AG2242" s="3865"/>
      <c r="AM2242" s="3041"/>
      <c r="BD2242" s="3280"/>
      <c r="BF2242" s="3041"/>
      <c r="BH2242" s="3282"/>
    </row>
    <row r="2243" spans="1:60" s="3030" customFormat="1">
      <c r="A2243" s="2126"/>
      <c r="B2243" s="2126"/>
      <c r="C2243" s="2126"/>
      <c r="D2243" s="2126"/>
      <c r="E2243" s="525"/>
      <c r="F2243" s="525"/>
      <c r="G2243" s="525"/>
      <c r="K2243" s="3280"/>
      <c r="AB2243" s="3280"/>
      <c r="AG2243" s="3865"/>
      <c r="AM2243" s="3041"/>
      <c r="BD2243" s="3280"/>
      <c r="BF2243" s="3041"/>
      <c r="BH2243" s="3282"/>
    </row>
    <row r="2244" spans="1:60" s="3030" customFormat="1">
      <c r="A2244" s="2126"/>
      <c r="B2244" s="2126"/>
      <c r="C2244" s="2126"/>
      <c r="D2244" s="2126"/>
      <c r="E2244" s="525"/>
      <c r="F2244" s="525"/>
      <c r="G2244" s="525"/>
      <c r="K2244" s="3280"/>
      <c r="AB2244" s="3280"/>
      <c r="AG2244" s="3865"/>
      <c r="AM2244" s="3041"/>
      <c r="BD2244" s="3280"/>
      <c r="BF2244" s="3041"/>
      <c r="BH2244" s="3282"/>
    </row>
    <row r="2245" spans="1:60" s="3030" customFormat="1">
      <c r="A2245" s="2126"/>
      <c r="B2245" s="2126"/>
      <c r="C2245" s="2126"/>
      <c r="D2245" s="2126"/>
      <c r="E2245" s="525"/>
      <c r="F2245" s="525"/>
      <c r="G2245" s="525"/>
      <c r="K2245" s="3280"/>
      <c r="AB2245" s="3280"/>
      <c r="AG2245" s="3865"/>
      <c r="AM2245" s="3041"/>
      <c r="BD2245" s="3280"/>
      <c r="BF2245" s="3041"/>
      <c r="BH2245" s="3282"/>
    </row>
    <row r="2246" spans="1:60" s="3030" customFormat="1">
      <c r="A2246" s="2126"/>
      <c r="B2246" s="2126"/>
      <c r="C2246" s="2126"/>
      <c r="D2246" s="2126"/>
      <c r="E2246" s="525"/>
      <c r="F2246" s="525"/>
      <c r="G2246" s="525"/>
      <c r="K2246" s="3280"/>
      <c r="AB2246" s="3280"/>
      <c r="AG2246" s="3865"/>
      <c r="AM2246" s="3041"/>
      <c r="BD2246" s="3280"/>
      <c r="BF2246" s="3041"/>
      <c r="BH2246" s="3282"/>
    </row>
    <row r="2247" spans="1:60" s="3030" customFormat="1">
      <c r="A2247" s="2126"/>
      <c r="B2247" s="2126"/>
      <c r="C2247" s="2126"/>
      <c r="D2247" s="2126"/>
      <c r="E2247" s="525"/>
      <c r="F2247" s="525"/>
      <c r="G2247" s="525"/>
      <c r="K2247" s="3280"/>
      <c r="AB2247" s="3280"/>
      <c r="AG2247" s="3865"/>
      <c r="AM2247" s="3041"/>
      <c r="BD2247" s="3280"/>
      <c r="BF2247" s="3041"/>
      <c r="BH2247" s="3282"/>
    </row>
    <row r="2248" spans="1:60" s="3030" customFormat="1">
      <c r="A2248" s="2126"/>
      <c r="B2248" s="2126"/>
      <c r="C2248" s="2126"/>
      <c r="D2248" s="2126"/>
      <c r="E2248" s="525"/>
      <c r="F2248" s="525"/>
      <c r="G2248" s="525"/>
      <c r="K2248" s="3280"/>
      <c r="AB2248" s="3280"/>
      <c r="AG2248" s="3865"/>
      <c r="AM2248" s="3041"/>
      <c r="BD2248" s="3280"/>
      <c r="BF2248" s="3041"/>
      <c r="BH2248" s="3282"/>
    </row>
    <row r="2249" spans="1:60" s="3030" customFormat="1">
      <c r="A2249" s="2126"/>
      <c r="B2249" s="2126"/>
      <c r="C2249" s="2126"/>
      <c r="D2249" s="2126"/>
      <c r="E2249" s="525"/>
      <c r="F2249" s="525"/>
      <c r="G2249" s="525"/>
      <c r="K2249" s="3280"/>
      <c r="AB2249" s="3280"/>
      <c r="AG2249" s="3865"/>
      <c r="AM2249" s="3041"/>
      <c r="BD2249" s="3280"/>
      <c r="BF2249" s="3041"/>
      <c r="BH2249" s="3282"/>
    </row>
    <row r="2250" spans="1:60" s="3030" customFormat="1">
      <c r="A2250" s="2126"/>
      <c r="B2250" s="2126"/>
      <c r="C2250" s="2126"/>
      <c r="D2250" s="2126"/>
      <c r="E2250" s="525"/>
      <c r="F2250" s="525"/>
      <c r="G2250" s="525"/>
      <c r="K2250" s="3280"/>
      <c r="AB2250" s="3280"/>
      <c r="AG2250" s="3865"/>
      <c r="AM2250" s="3041"/>
      <c r="BD2250" s="3280"/>
      <c r="BF2250" s="3041"/>
      <c r="BH2250" s="3282"/>
    </row>
    <row r="2251" spans="1:60" s="3030" customFormat="1">
      <c r="A2251" s="2126"/>
      <c r="B2251" s="2126"/>
      <c r="C2251" s="2126"/>
      <c r="D2251" s="2126"/>
      <c r="E2251" s="525"/>
      <c r="F2251" s="525"/>
      <c r="G2251" s="525"/>
      <c r="K2251" s="3280"/>
      <c r="AB2251" s="3280"/>
      <c r="AG2251" s="3865"/>
      <c r="AM2251" s="3041"/>
      <c r="BD2251" s="3280"/>
      <c r="BF2251" s="3041"/>
      <c r="BH2251" s="3282"/>
    </row>
    <row r="2252" spans="1:60" s="3030" customFormat="1">
      <c r="A2252" s="2126"/>
      <c r="B2252" s="2126"/>
      <c r="C2252" s="2126"/>
      <c r="D2252" s="2126"/>
      <c r="E2252" s="525"/>
      <c r="F2252" s="525"/>
      <c r="G2252" s="525"/>
      <c r="K2252" s="3280"/>
      <c r="AB2252" s="3280"/>
      <c r="AG2252" s="3865"/>
      <c r="AM2252" s="3041"/>
      <c r="BD2252" s="3280"/>
      <c r="BF2252" s="3041"/>
      <c r="BH2252" s="3282"/>
    </row>
    <row r="2253" spans="1:60" s="3030" customFormat="1">
      <c r="A2253" s="2126"/>
      <c r="B2253" s="2126"/>
      <c r="C2253" s="2126"/>
      <c r="D2253" s="2126"/>
      <c r="E2253" s="525"/>
      <c r="F2253" s="525"/>
      <c r="G2253" s="525"/>
      <c r="K2253" s="3280"/>
      <c r="AB2253" s="3280"/>
      <c r="AG2253" s="3865"/>
      <c r="AM2253" s="3041"/>
      <c r="BD2253" s="3280"/>
      <c r="BF2253" s="3041"/>
      <c r="BH2253" s="3282"/>
    </row>
    <row r="2254" spans="1:60" s="3030" customFormat="1">
      <c r="A2254" s="2126"/>
      <c r="B2254" s="2126"/>
      <c r="C2254" s="2126"/>
      <c r="D2254" s="2126"/>
      <c r="E2254" s="525"/>
      <c r="F2254" s="525"/>
      <c r="G2254" s="525"/>
      <c r="K2254" s="3280"/>
      <c r="AB2254" s="3280"/>
      <c r="AG2254" s="3865"/>
      <c r="AM2254" s="3041"/>
      <c r="BD2254" s="3280"/>
      <c r="BF2254" s="3041"/>
      <c r="BH2254" s="3282"/>
    </row>
    <row r="2255" spans="1:60" s="3030" customFormat="1">
      <c r="A2255" s="2126"/>
      <c r="B2255" s="2126"/>
      <c r="C2255" s="2126"/>
      <c r="D2255" s="2126"/>
      <c r="E2255" s="525"/>
      <c r="F2255" s="525"/>
      <c r="G2255" s="525"/>
      <c r="K2255" s="3280"/>
      <c r="AB2255" s="3280"/>
      <c r="AG2255" s="3865"/>
      <c r="AM2255" s="3041"/>
      <c r="BD2255" s="3280"/>
      <c r="BF2255" s="3041"/>
      <c r="BH2255" s="3282"/>
    </row>
    <row r="2256" spans="1:60" s="3030" customFormat="1">
      <c r="A2256" s="2126"/>
      <c r="B2256" s="2126"/>
      <c r="C2256" s="2126"/>
      <c r="D2256" s="2126"/>
      <c r="E2256" s="525"/>
      <c r="F2256" s="525"/>
      <c r="G2256" s="525"/>
      <c r="K2256" s="3280"/>
      <c r="AB2256" s="3280"/>
      <c r="AG2256" s="3865"/>
      <c r="AM2256" s="3041"/>
      <c r="BD2256" s="3280"/>
      <c r="BF2256" s="3041"/>
      <c r="BH2256" s="3282"/>
    </row>
    <row r="2257" spans="1:60" s="3030" customFormat="1">
      <c r="A2257" s="2126"/>
      <c r="B2257" s="2126"/>
      <c r="C2257" s="2126"/>
      <c r="D2257" s="2126"/>
      <c r="E2257" s="525"/>
      <c r="F2257" s="525"/>
      <c r="G2257" s="525"/>
      <c r="K2257" s="3280"/>
      <c r="AB2257" s="3280"/>
      <c r="AG2257" s="3865"/>
      <c r="AM2257" s="3041"/>
      <c r="BD2257" s="3280"/>
      <c r="BF2257" s="3041"/>
      <c r="BH2257" s="3282"/>
    </row>
    <row r="2258" spans="1:60" s="3030" customFormat="1">
      <c r="A2258" s="2126"/>
      <c r="B2258" s="2126"/>
      <c r="C2258" s="2126"/>
      <c r="D2258" s="2126"/>
      <c r="E2258" s="525"/>
      <c r="F2258" s="525"/>
      <c r="G2258" s="525"/>
      <c r="K2258" s="3280"/>
      <c r="AB2258" s="3280"/>
      <c r="AG2258" s="3865"/>
      <c r="AM2258" s="3041"/>
      <c r="BD2258" s="3280"/>
      <c r="BF2258" s="3041"/>
      <c r="BH2258" s="3282"/>
    </row>
    <row r="2259" spans="1:60" s="3030" customFormat="1">
      <c r="A2259" s="2126"/>
      <c r="B2259" s="2126"/>
      <c r="C2259" s="2126"/>
      <c r="D2259" s="2126"/>
      <c r="E2259" s="525"/>
      <c r="F2259" s="525"/>
      <c r="G2259" s="525"/>
      <c r="K2259" s="3280"/>
      <c r="AB2259" s="3280"/>
      <c r="AG2259" s="3865"/>
      <c r="AM2259" s="3041"/>
      <c r="BD2259" s="3280"/>
      <c r="BF2259" s="3041"/>
      <c r="BH2259" s="3282"/>
    </row>
    <row r="2260" spans="1:60" s="3030" customFormat="1">
      <c r="A2260" s="2126"/>
      <c r="B2260" s="2126"/>
      <c r="C2260" s="2126"/>
      <c r="D2260" s="2126"/>
      <c r="E2260" s="525"/>
      <c r="F2260" s="525"/>
      <c r="G2260" s="525"/>
      <c r="K2260" s="3280"/>
      <c r="AB2260" s="3280"/>
      <c r="AG2260" s="3865"/>
      <c r="AM2260" s="3041"/>
      <c r="BD2260" s="3280"/>
      <c r="BF2260" s="3041"/>
      <c r="BH2260" s="3282"/>
    </row>
    <row r="2261" spans="1:60" s="3030" customFormat="1">
      <c r="A2261" s="2126"/>
      <c r="B2261" s="2126"/>
      <c r="C2261" s="2126"/>
      <c r="D2261" s="2126"/>
      <c r="E2261" s="525"/>
      <c r="F2261" s="525"/>
      <c r="G2261" s="525"/>
      <c r="K2261" s="3280"/>
      <c r="AB2261" s="3280"/>
      <c r="AG2261" s="3865"/>
      <c r="AM2261" s="3041"/>
      <c r="BD2261" s="3280"/>
      <c r="BF2261" s="3041"/>
      <c r="BH2261" s="3282"/>
    </row>
    <row r="2262" spans="1:60" s="3030" customFormat="1">
      <c r="A2262" s="2126"/>
      <c r="B2262" s="2126"/>
      <c r="C2262" s="2126"/>
      <c r="D2262" s="2126"/>
      <c r="E2262" s="525"/>
      <c r="F2262" s="525"/>
      <c r="G2262" s="525"/>
      <c r="K2262" s="3280"/>
      <c r="AB2262" s="3280"/>
      <c r="AG2262" s="3865"/>
      <c r="AM2262" s="3041"/>
      <c r="BD2262" s="3280"/>
      <c r="BF2262" s="3041"/>
      <c r="BH2262" s="3282"/>
    </row>
    <row r="2263" spans="1:60" s="3030" customFormat="1">
      <c r="A2263" s="2126"/>
      <c r="B2263" s="2126"/>
      <c r="C2263" s="2126"/>
      <c r="D2263" s="2126"/>
      <c r="E2263" s="525"/>
      <c r="F2263" s="525"/>
      <c r="G2263" s="525"/>
      <c r="K2263" s="3280"/>
      <c r="AB2263" s="3280"/>
      <c r="AG2263" s="3865"/>
      <c r="AM2263" s="3041"/>
      <c r="BD2263" s="3280"/>
      <c r="BF2263" s="3041"/>
      <c r="BH2263" s="3282"/>
    </row>
    <row r="2264" spans="1:60" s="3030" customFormat="1">
      <c r="A2264" s="2126"/>
      <c r="B2264" s="2126"/>
      <c r="C2264" s="2126"/>
      <c r="D2264" s="2126"/>
      <c r="E2264" s="525"/>
      <c r="F2264" s="525"/>
      <c r="G2264" s="525"/>
      <c r="K2264" s="3280"/>
      <c r="AB2264" s="3280"/>
      <c r="AG2264" s="3865"/>
      <c r="AM2264" s="3041"/>
      <c r="BD2264" s="3280"/>
      <c r="BF2264" s="3041"/>
      <c r="BH2264" s="3282"/>
    </row>
    <row r="2265" spans="1:60" s="3030" customFormat="1">
      <c r="A2265" s="2126"/>
      <c r="B2265" s="2126"/>
      <c r="C2265" s="2126"/>
      <c r="D2265" s="2126"/>
      <c r="E2265" s="525"/>
      <c r="F2265" s="525"/>
      <c r="G2265" s="525"/>
      <c r="K2265" s="3280"/>
      <c r="AB2265" s="3280"/>
      <c r="AG2265" s="3865"/>
      <c r="AM2265" s="3041"/>
      <c r="BD2265" s="3280"/>
      <c r="BF2265" s="3041"/>
      <c r="BH2265" s="3282"/>
    </row>
    <row r="2266" spans="1:60" s="3030" customFormat="1">
      <c r="A2266" s="2126"/>
      <c r="B2266" s="2126"/>
      <c r="C2266" s="2126"/>
      <c r="D2266" s="2126"/>
      <c r="E2266" s="525"/>
      <c r="F2266" s="525"/>
      <c r="G2266" s="525"/>
      <c r="K2266" s="3280"/>
      <c r="AB2266" s="3280"/>
      <c r="AG2266" s="3865"/>
      <c r="AM2266" s="3041"/>
      <c r="BD2266" s="3280"/>
      <c r="BF2266" s="3041"/>
      <c r="BH2266" s="3282"/>
    </row>
    <row r="2267" spans="1:60" s="3030" customFormat="1">
      <c r="A2267" s="2126"/>
      <c r="B2267" s="2126"/>
      <c r="C2267" s="2126"/>
      <c r="D2267" s="2126"/>
      <c r="E2267" s="525"/>
      <c r="F2267" s="525"/>
      <c r="G2267" s="525"/>
      <c r="K2267" s="3280"/>
      <c r="AB2267" s="3280"/>
      <c r="AG2267" s="3865"/>
      <c r="AM2267" s="3041"/>
      <c r="BD2267" s="3280"/>
      <c r="BF2267" s="3041"/>
      <c r="BH2267" s="3282"/>
    </row>
    <row r="2268" spans="1:60" s="3030" customFormat="1">
      <c r="A2268" s="2126"/>
      <c r="B2268" s="2126"/>
      <c r="C2268" s="2126"/>
      <c r="D2268" s="2126"/>
      <c r="E2268" s="525"/>
      <c r="F2268" s="525"/>
      <c r="G2268" s="525"/>
      <c r="K2268" s="3280"/>
      <c r="AB2268" s="3280"/>
      <c r="AG2268" s="3865"/>
      <c r="AM2268" s="3041"/>
      <c r="BD2268" s="3280"/>
      <c r="BF2268" s="3041"/>
      <c r="BH2268" s="3282"/>
    </row>
    <row r="2269" spans="1:60" s="3030" customFormat="1">
      <c r="A2269" s="2126"/>
      <c r="B2269" s="2126"/>
      <c r="C2269" s="2126"/>
      <c r="D2269" s="2126"/>
      <c r="E2269" s="525"/>
      <c r="F2269" s="525"/>
      <c r="G2269" s="525"/>
      <c r="K2269" s="3280"/>
      <c r="AB2269" s="3280"/>
      <c r="AG2269" s="3865"/>
      <c r="AM2269" s="3041"/>
      <c r="BD2269" s="3280"/>
      <c r="BF2269" s="3041"/>
      <c r="BH2269" s="3282"/>
    </row>
    <row r="2270" spans="1:60" s="3030" customFormat="1">
      <c r="A2270" s="2126"/>
      <c r="B2270" s="2126"/>
      <c r="C2270" s="2126"/>
      <c r="D2270" s="2126"/>
      <c r="E2270" s="525"/>
      <c r="F2270" s="525"/>
      <c r="G2270" s="525"/>
      <c r="K2270" s="3280"/>
      <c r="AB2270" s="3280"/>
      <c r="AG2270" s="3865"/>
      <c r="AM2270" s="3041"/>
      <c r="BD2270" s="3280"/>
      <c r="BF2270" s="3041"/>
      <c r="BH2270" s="3282"/>
    </row>
    <row r="2271" spans="1:60" s="3030" customFormat="1">
      <c r="A2271" s="2126"/>
      <c r="B2271" s="2126"/>
      <c r="C2271" s="2126"/>
      <c r="D2271" s="2126"/>
      <c r="E2271" s="525"/>
      <c r="F2271" s="525"/>
      <c r="G2271" s="525"/>
      <c r="K2271" s="3280"/>
      <c r="AB2271" s="3280"/>
      <c r="AG2271" s="3865"/>
      <c r="AM2271" s="3041"/>
      <c r="BD2271" s="3280"/>
      <c r="BF2271" s="3041"/>
      <c r="BH2271" s="3282"/>
    </row>
    <row r="2272" spans="1:60" s="3030" customFormat="1">
      <c r="A2272" s="2126"/>
      <c r="B2272" s="2126"/>
      <c r="C2272" s="2126"/>
      <c r="D2272" s="2126"/>
      <c r="E2272" s="525"/>
      <c r="F2272" s="525"/>
      <c r="G2272" s="525"/>
      <c r="K2272" s="3280"/>
      <c r="AB2272" s="3280"/>
      <c r="AG2272" s="3865"/>
      <c r="AM2272" s="3041"/>
      <c r="BD2272" s="3280"/>
      <c r="BF2272" s="3041"/>
      <c r="BH2272" s="3282"/>
    </row>
    <row r="2273" spans="1:60" s="3030" customFormat="1">
      <c r="A2273" s="2126"/>
      <c r="B2273" s="2126"/>
      <c r="C2273" s="2126"/>
      <c r="D2273" s="2126"/>
      <c r="E2273" s="525"/>
      <c r="F2273" s="525"/>
      <c r="G2273" s="525"/>
      <c r="K2273" s="3280"/>
      <c r="AB2273" s="3280"/>
      <c r="AG2273" s="3865"/>
      <c r="AM2273" s="3041"/>
      <c r="BD2273" s="3280"/>
      <c r="BF2273" s="3041"/>
      <c r="BH2273" s="3282"/>
    </row>
    <row r="2274" spans="1:60" s="3030" customFormat="1">
      <c r="A2274" s="2126"/>
      <c r="B2274" s="2126"/>
      <c r="C2274" s="2126"/>
      <c r="D2274" s="2126"/>
      <c r="E2274" s="525"/>
      <c r="F2274" s="525"/>
      <c r="G2274" s="525"/>
      <c r="K2274" s="3280"/>
      <c r="AB2274" s="3280"/>
      <c r="AG2274" s="3865"/>
      <c r="AM2274" s="3041"/>
      <c r="BD2274" s="3280"/>
      <c r="BF2274" s="3041"/>
      <c r="BH2274" s="3282"/>
    </row>
    <row r="2275" spans="1:60" s="3030" customFormat="1">
      <c r="A2275" s="2126"/>
      <c r="B2275" s="2126"/>
      <c r="C2275" s="2126"/>
      <c r="D2275" s="2126"/>
      <c r="E2275" s="525"/>
      <c r="F2275" s="525"/>
      <c r="G2275" s="525"/>
      <c r="K2275" s="3280"/>
      <c r="AB2275" s="3280"/>
      <c r="AG2275" s="3865"/>
      <c r="AM2275" s="3041"/>
      <c r="BD2275" s="3280"/>
      <c r="BF2275" s="3041"/>
      <c r="BH2275" s="3282"/>
    </row>
    <row r="2276" spans="1:60" s="3030" customFormat="1">
      <c r="A2276" s="2126"/>
      <c r="B2276" s="2126"/>
      <c r="C2276" s="2126"/>
      <c r="D2276" s="2126"/>
      <c r="E2276" s="525"/>
      <c r="F2276" s="525"/>
      <c r="G2276" s="525"/>
      <c r="K2276" s="3280"/>
      <c r="AB2276" s="3280"/>
      <c r="AG2276" s="3865"/>
      <c r="AM2276" s="3041"/>
      <c r="BD2276" s="3280"/>
      <c r="BF2276" s="3041"/>
      <c r="BH2276" s="3282"/>
    </row>
    <row r="2277" spans="1:60" s="3030" customFormat="1">
      <c r="A2277" s="2126"/>
      <c r="B2277" s="2126"/>
      <c r="C2277" s="2126"/>
      <c r="D2277" s="2126"/>
      <c r="E2277" s="525"/>
      <c r="F2277" s="525"/>
      <c r="G2277" s="525"/>
      <c r="K2277" s="3280"/>
      <c r="AB2277" s="3280"/>
      <c r="AG2277" s="3865"/>
      <c r="AM2277" s="3041"/>
      <c r="BD2277" s="3280"/>
      <c r="BF2277" s="3041"/>
      <c r="BH2277" s="3282"/>
    </row>
    <row r="2278" spans="1:60" s="3030" customFormat="1">
      <c r="A2278" s="2126"/>
      <c r="B2278" s="2126"/>
      <c r="C2278" s="2126"/>
      <c r="D2278" s="2126"/>
      <c r="E2278" s="525"/>
      <c r="F2278" s="525"/>
      <c r="G2278" s="525"/>
      <c r="K2278" s="3280"/>
      <c r="AB2278" s="3280"/>
      <c r="AG2278" s="3865"/>
      <c r="AM2278" s="3041"/>
      <c r="BD2278" s="3280"/>
      <c r="BF2278" s="3041"/>
      <c r="BH2278" s="3282"/>
    </row>
    <row r="2279" spans="1:60" s="3030" customFormat="1">
      <c r="A2279" s="2126"/>
      <c r="B2279" s="2126"/>
      <c r="C2279" s="2126"/>
      <c r="D2279" s="2126"/>
      <c r="E2279" s="525"/>
      <c r="F2279" s="525"/>
      <c r="G2279" s="525"/>
      <c r="K2279" s="3280"/>
      <c r="AB2279" s="3280"/>
      <c r="AG2279" s="3865"/>
      <c r="AM2279" s="3041"/>
      <c r="BD2279" s="3280"/>
      <c r="BF2279" s="3041"/>
      <c r="BH2279" s="3282"/>
    </row>
    <row r="2280" spans="1:60" s="3030" customFormat="1">
      <c r="A2280" s="2126"/>
      <c r="B2280" s="2126"/>
      <c r="C2280" s="2126"/>
      <c r="D2280" s="2126"/>
      <c r="E2280" s="525"/>
      <c r="F2280" s="525"/>
      <c r="G2280" s="525"/>
      <c r="K2280" s="3280"/>
      <c r="AB2280" s="3280"/>
      <c r="AG2280" s="3865"/>
      <c r="AM2280" s="3041"/>
      <c r="BD2280" s="3280"/>
      <c r="BF2280" s="3041"/>
      <c r="BH2280" s="3282"/>
    </row>
    <row r="2281" spans="1:60" s="3030" customFormat="1">
      <c r="A2281" s="2126"/>
      <c r="B2281" s="2126"/>
      <c r="C2281" s="2126"/>
      <c r="D2281" s="2126"/>
      <c r="E2281" s="525"/>
      <c r="F2281" s="525"/>
      <c r="G2281" s="525"/>
      <c r="K2281" s="3280"/>
      <c r="AB2281" s="3280"/>
      <c r="AG2281" s="3865"/>
      <c r="AM2281" s="3041"/>
      <c r="BD2281" s="3280"/>
      <c r="BF2281" s="3041"/>
      <c r="BH2281" s="3282"/>
    </row>
    <row r="2282" spans="1:60" s="3030" customFormat="1">
      <c r="A2282" s="2126"/>
      <c r="B2282" s="2126"/>
      <c r="C2282" s="2126"/>
      <c r="D2282" s="2126"/>
      <c r="E2282" s="525"/>
      <c r="F2282" s="525"/>
      <c r="G2282" s="525"/>
      <c r="K2282" s="3280"/>
      <c r="AB2282" s="3280"/>
      <c r="AG2282" s="3865"/>
      <c r="AM2282" s="3041"/>
      <c r="BD2282" s="3280"/>
      <c r="BF2282" s="3041"/>
      <c r="BH2282" s="3282"/>
    </row>
    <row r="2283" spans="1:60" s="3030" customFormat="1">
      <c r="A2283" s="2126"/>
      <c r="B2283" s="2126"/>
      <c r="C2283" s="2126"/>
      <c r="D2283" s="2126"/>
      <c r="E2283" s="525"/>
      <c r="F2283" s="525"/>
      <c r="G2283" s="525"/>
      <c r="K2283" s="3280"/>
      <c r="AB2283" s="3280"/>
      <c r="AG2283" s="3865"/>
      <c r="AM2283" s="3041"/>
      <c r="BD2283" s="3280"/>
      <c r="BF2283" s="3041"/>
      <c r="BH2283" s="3282"/>
    </row>
    <row r="2284" spans="1:60" s="3030" customFormat="1">
      <c r="A2284" s="2126"/>
      <c r="B2284" s="2126"/>
      <c r="C2284" s="2126"/>
      <c r="D2284" s="2126"/>
      <c r="E2284" s="525"/>
      <c r="F2284" s="525"/>
      <c r="G2284" s="525"/>
      <c r="K2284" s="3280"/>
      <c r="AB2284" s="3280"/>
      <c r="AG2284" s="3865"/>
      <c r="AM2284" s="3041"/>
      <c r="BD2284" s="3280"/>
      <c r="BF2284" s="3041"/>
      <c r="BH2284" s="3282"/>
    </row>
    <row r="2285" spans="1:60" s="3030" customFormat="1">
      <c r="A2285" s="2126"/>
      <c r="B2285" s="2126"/>
      <c r="C2285" s="2126"/>
      <c r="D2285" s="2126"/>
      <c r="E2285" s="525"/>
      <c r="F2285" s="525"/>
      <c r="G2285" s="525"/>
      <c r="K2285" s="3280"/>
      <c r="AB2285" s="3280"/>
      <c r="AG2285" s="3865"/>
      <c r="AM2285" s="3041"/>
      <c r="BD2285" s="3280"/>
      <c r="BF2285" s="3041"/>
      <c r="BH2285" s="3282"/>
    </row>
    <row r="2286" spans="1:60" s="3030" customFormat="1">
      <c r="A2286" s="2126"/>
      <c r="B2286" s="2126"/>
      <c r="C2286" s="2126"/>
      <c r="D2286" s="2126"/>
      <c r="E2286" s="525"/>
      <c r="F2286" s="525"/>
      <c r="G2286" s="525"/>
      <c r="K2286" s="3280"/>
      <c r="AB2286" s="3280"/>
      <c r="AG2286" s="3865"/>
      <c r="AM2286" s="3041"/>
      <c r="BD2286" s="3280"/>
      <c r="BF2286" s="3041"/>
      <c r="BH2286" s="3282"/>
    </row>
    <row r="2287" spans="1:60" s="3030" customFormat="1">
      <c r="A2287" s="2126"/>
      <c r="B2287" s="2126"/>
      <c r="C2287" s="2126"/>
      <c r="D2287" s="2126"/>
      <c r="E2287" s="525"/>
      <c r="F2287" s="525"/>
      <c r="G2287" s="525"/>
      <c r="K2287" s="3280"/>
      <c r="AB2287" s="3280"/>
      <c r="AG2287" s="3865"/>
      <c r="AM2287" s="3041"/>
      <c r="BD2287" s="3280"/>
      <c r="BF2287" s="3041"/>
      <c r="BH2287" s="3282"/>
    </row>
    <row r="2288" spans="1:60" s="3030" customFormat="1">
      <c r="A2288" s="2126"/>
      <c r="B2288" s="2126"/>
      <c r="C2288" s="2126"/>
      <c r="D2288" s="2126"/>
      <c r="E2288" s="525"/>
      <c r="F2288" s="525"/>
      <c r="G2288" s="525"/>
      <c r="K2288" s="3280"/>
      <c r="AB2288" s="3280"/>
      <c r="AG2288" s="3865"/>
      <c r="AM2288" s="3041"/>
      <c r="BD2288" s="3280"/>
      <c r="BF2288" s="3041"/>
      <c r="BH2288" s="3282"/>
    </row>
    <row r="2289" spans="1:60" s="3030" customFormat="1">
      <c r="A2289" s="2126"/>
      <c r="B2289" s="2126"/>
      <c r="C2289" s="2126"/>
      <c r="D2289" s="2126"/>
      <c r="E2289" s="525"/>
      <c r="F2289" s="525"/>
      <c r="G2289" s="525"/>
      <c r="K2289" s="3280"/>
      <c r="AB2289" s="3280"/>
      <c r="AG2289" s="3865"/>
      <c r="AM2289" s="3041"/>
      <c r="BD2289" s="3280"/>
      <c r="BF2289" s="3041"/>
      <c r="BH2289" s="3282"/>
    </row>
    <row r="2290" spans="1:60" s="3030" customFormat="1">
      <c r="A2290" s="2126"/>
      <c r="B2290" s="2126"/>
      <c r="C2290" s="2126"/>
      <c r="D2290" s="2126"/>
      <c r="E2290" s="525"/>
      <c r="F2290" s="525"/>
      <c r="G2290" s="525"/>
      <c r="K2290" s="3280"/>
      <c r="AB2290" s="3280"/>
      <c r="AG2290" s="3865"/>
      <c r="AM2290" s="3041"/>
      <c r="BD2290" s="3280"/>
      <c r="BF2290" s="3041"/>
      <c r="BH2290" s="3282"/>
    </row>
    <row r="2291" spans="1:60" s="3030" customFormat="1">
      <c r="A2291" s="2126"/>
      <c r="B2291" s="2126"/>
      <c r="C2291" s="2126"/>
      <c r="D2291" s="2126"/>
      <c r="E2291" s="525"/>
      <c r="F2291" s="525"/>
      <c r="G2291" s="525"/>
      <c r="K2291" s="3280"/>
      <c r="AB2291" s="3280"/>
      <c r="AG2291" s="3865"/>
      <c r="AM2291" s="3041"/>
      <c r="BD2291" s="3280"/>
      <c r="BF2291" s="3041"/>
      <c r="BH2291" s="3282"/>
    </row>
    <row r="2292" spans="1:60" s="3030" customFormat="1">
      <c r="A2292" s="2126"/>
      <c r="B2292" s="2126"/>
      <c r="C2292" s="2126"/>
      <c r="D2292" s="2126"/>
      <c r="E2292" s="525"/>
      <c r="F2292" s="525"/>
      <c r="G2292" s="525"/>
      <c r="K2292" s="3280"/>
      <c r="AB2292" s="3280"/>
      <c r="AG2292" s="3865"/>
      <c r="AM2292" s="3041"/>
      <c r="BD2292" s="3280"/>
      <c r="BF2292" s="3041"/>
      <c r="BH2292" s="3282"/>
    </row>
    <row r="2293" spans="1:60" s="3030" customFormat="1">
      <c r="A2293" s="2126"/>
      <c r="B2293" s="2126"/>
      <c r="C2293" s="2126"/>
      <c r="D2293" s="2126"/>
      <c r="E2293" s="525"/>
      <c r="F2293" s="525"/>
      <c r="G2293" s="525"/>
      <c r="K2293" s="3280"/>
      <c r="AB2293" s="3280"/>
      <c r="AG2293" s="3865"/>
      <c r="AM2293" s="3041"/>
      <c r="BD2293" s="3280"/>
      <c r="BF2293" s="3041"/>
      <c r="BH2293" s="3282"/>
    </row>
    <row r="2294" spans="1:60" s="3030" customFormat="1">
      <c r="A2294" s="2126"/>
      <c r="B2294" s="2126"/>
      <c r="C2294" s="2126"/>
      <c r="D2294" s="2126"/>
      <c r="E2294" s="525"/>
      <c r="F2294" s="525"/>
      <c r="G2294" s="525"/>
      <c r="K2294" s="3280"/>
      <c r="AB2294" s="3280"/>
      <c r="AG2294" s="3865"/>
      <c r="AM2294" s="3041"/>
      <c r="BD2294" s="3280"/>
      <c r="BF2294" s="3041"/>
      <c r="BH2294" s="3282"/>
    </row>
    <row r="2295" spans="1:60" s="3030" customFormat="1">
      <c r="A2295" s="2126"/>
      <c r="B2295" s="2126"/>
      <c r="C2295" s="2126"/>
      <c r="D2295" s="2126"/>
      <c r="E2295" s="525"/>
      <c r="F2295" s="525"/>
      <c r="G2295" s="525"/>
      <c r="K2295" s="3280"/>
      <c r="AB2295" s="3280"/>
      <c r="AG2295" s="3865"/>
      <c r="AM2295" s="3041"/>
      <c r="BD2295" s="3280"/>
      <c r="BF2295" s="3041"/>
      <c r="BH2295" s="3282"/>
    </row>
    <row r="2296" spans="1:60" s="3030" customFormat="1">
      <c r="A2296" s="2126"/>
      <c r="B2296" s="2126"/>
      <c r="C2296" s="2126"/>
      <c r="D2296" s="2126"/>
      <c r="E2296" s="525"/>
      <c r="F2296" s="525"/>
      <c r="G2296" s="525"/>
      <c r="K2296" s="3280"/>
      <c r="AB2296" s="3280"/>
      <c r="AG2296" s="3865"/>
      <c r="AM2296" s="3041"/>
      <c r="BD2296" s="3280"/>
      <c r="BF2296" s="3041"/>
      <c r="BH2296" s="3282"/>
    </row>
    <row r="2297" spans="1:60" s="3030" customFormat="1">
      <c r="A2297" s="2126"/>
      <c r="B2297" s="2126"/>
      <c r="C2297" s="2126"/>
      <c r="D2297" s="2126"/>
      <c r="E2297" s="525"/>
      <c r="F2297" s="525"/>
      <c r="G2297" s="525"/>
      <c r="K2297" s="3280"/>
      <c r="AB2297" s="3280"/>
      <c r="AG2297" s="3865"/>
      <c r="AM2297" s="3041"/>
      <c r="BD2297" s="3280"/>
      <c r="BF2297" s="3041"/>
      <c r="BH2297" s="3282"/>
    </row>
    <row r="2298" spans="1:60" s="3030" customFormat="1">
      <c r="A2298" s="2126"/>
      <c r="B2298" s="2126"/>
      <c r="C2298" s="2126"/>
      <c r="D2298" s="2126"/>
      <c r="E2298" s="525"/>
      <c r="F2298" s="525"/>
      <c r="G2298" s="525"/>
      <c r="K2298" s="3280"/>
      <c r="AB2298" s="3280"/>
      <c r="AG2298" s="3865"/>
      <c r="AM2298" s="3041"/>
      <c r="BD2298" s="3280"/>
      <c r="BF2298" s="3041"/>
      <c r="BH2298" s="3282"/>
    </row>
    <row r="2299" spans="1:60" s="3030" customFormat="1">
      <c r="A2299" s="2126"/>
      <c r="B2299" s="2126"/>
      <c r="C2299" s="2126"/>
      <c r="D2299" s="2126"/>
      <c r="E2299" s="525"/>
      <c r="F2299" s="525"/>
      <c r="G2299" s="525"/>
      <c r="K2299" s="3280"/>
      <c r="AB2299" s="3280"/>
      <c r="AG2299" s="3865"/>
      <c r="AM2299" s="3041"/>
      <c r="BD2299" s="3280"/>
      <c r="BF2299" s="3041"/>
      <c r="BH2299" s="3282"/>
    </row>
    <row r="2300" spans="1:60" s="3030" customFormat="1">
      <c r="A2300" s="2126"/>
      <c r="B2300" s="2126"/>
      <c r="C2300" s="2126"/>
      <c r="D2300" s="2126"/>
      <c r="E2300" s="525"/>
      <c r="F2300" s="525"/>
      <c r="G2300" s="525"/>
      <c r="K2300" s="3280"/>
      <c r="AB2300" s="3280"/>
      <c r="AG2300" s="3865"/>
      <c r="AM2300" s="3041"/>
      <c r="BD2300" s="3280"/>
      <c r="BF2300" s="3041"/>
      <c r="BH2300" s="3282"/>
    </row>
    <row r="2301" spans="1:60" s="3030" customFormat="1">
      <c r="A2301" s="2126"/>
      <c r="B2301" s="2126"/>
      <c r="C2301" s="2126"/>
      <c r="D2301" s="2126"/>
      <c r="E2301" s="525"/>
      <c r="F2301" s="525"/>
      <c r="G2301" s="525"/>
      <c r="K2301" s="3280"/>
      <c r="AB2301" s="3280"/>
      <c r="AG2301" s="3865"/>
      <c r="AM2301" s="3041"/>
      <c r="BD2301" s="3280"/>
      <c r="BF2301" s="3041"/>
      <c r="BH2301" s="3282"/>
    </row>
    <row r="2302" spans="1:60" s="3030" customFormat="1">
      <c r="A2302" s="2126"/>
      <c r="B2302" s="2126"/>
      <c r="C2302" s="2126"/>
      <c r="D2302" s="2126"/>
      <c r="E2302" s="525"/>
      <c r="F2302" s="525"/>
      <c r="G2302" s="525"/>
      <c r="K2302" s="3280"/>
      <c r="AB2302" s="3280"/>
      <c r="AG2302" s="3865"/>
      <c r="AM2302" s="3041"/>
      <c r="BD2302" s="3280"/>
      <c r="BF2302" s="3041"/>
      <c r="BH2302" s="3282"/>
    </row>
    <row r="2303" spans="1:60" s="3030" customFormat="1">
      <c r="A2303" s="2126"/>
      <c r="B2303" s="2126"/>
      <c r="C2303" s="2126"/>
      <c r="D2303" s="2126"/>
      <c r="E2303" s="525"/>
      <c r="F2303" s="525"/>
      <c r="G2303" s="525"/>
      <c r="K2303" s="3280"/>
      <c r="AB2303" s="3280"/>
      <c r="AG2303" s="3865"/>
      <c r="AM2303" s="3041"/>
      <c r="BD2303" s="3280"/>
      <c r="BF2303" s="3041"/>
      <c r="BH2303" s="3282"/>
    </row>
    <row r="2304" spans="1:60" s="3030" customFormat="1">
      <c r="A2304" s="2126"/>
      <c r="B2304" s="2126"/>
      <c r="C2304" s="2126"/>
      <c r="D2304" s="2126"/>
      <c r="E2304" s="525"/>
      <c r="F2304" s="525"/>
      <c r="G2304" s="525"/>
      <c r="K2304" s="3280"/>
      <c r="AB2304" s="3280"/>
      <c r="AG2304" s="3865"/>
      <c r="AM2304" s="3041"/>
      <c r="BD2304" s="3280"/>
      <c r="BF2304" s="3041"/>
      <c r="BH2304" s="3282"/>
    </row>
    <row r="2305" spans="1:60" s="3030" customFormat="1">
      <c r="A2305" s="2126"/>
      <c r="B2305" s="2126"/>
      <c r="C2305" s="2126"/>
      <c r="D2305" s="2126"/>
      <c r="E2305" s="525"/>
      <c r="F2305" s="525"/>
      <c r="G2305" s="525"/>
      <c r="K2305" s="3280"/>
      <c r="AB2305" s="3280"/>
      <c r="AG2305" s="3865"/>
      <c r="AM2305" s="3041"/>
      <c r="BD2305" s="3280"/>
      <c r="BF2305" s="3041"/>
      <c r="BH2305" s="3282"/>
    </row>
    <row r="2306" spans="1:60" s="3030" customFormat="1">
      <c r="A2306" s="2126"/>
      <c r="B2306" s="2126"/>
      <c r="C2306" s="2126"/>
      <c r="D2306" s="2126"/>
      <c r="E2306" s="525"/>
      <c r="F2306" s="525"/>
      <c r="G2306" s="525"/>
      <c r="K2306" s="3280"/>
      <c r="AB2306" s="3280"/>
      <c r="AG2306" s="3865"/>
      <c r="AM2306" s="3041"/>
      <c r="BD2306" s="3280"/>
      <c r="BF2306" s="3041"/>
      <c r="BH2306" s="3282"/>
    </row>
    <row r="2307" spans="1:60" s="3030" customFormat="1">
      <c r="A2307" s="2126"/>
      <c r="B2307" s="2126"/>
      <c r="C2307" s="2126"/>
      <c r="D2307" s="2126"/>
      <c r="E2307" s="525"/>
      <c r="F2307" s="525"/>
      <c r="G2307" s="525"/>
      <c r="K2307" s="3280"/>
      <c r="AB2307" s="3280"/>
      <c r="AG2307" s="3865"/>
      <c r="AM2307" s="3041"/>
      <c r="BD2307" s="3280"/>
      <c r="BF2307" s="3041"/>
      <c r="BH2307" s="3282"/>
    </row>
    <row r="2308" spans="1:60" s="3030" customFormat="1">
      <c r="A2308" s="2126"/>
      <c r="B2308" s="2126"/>
      <c r="C2308" s="2126"/>
      <c r="D2308" s="2126"/>
      <c r="E2308" s="525"/>
      <c r="F2308" s="525"/>
      <c r="G2308" s="525"/>
      <c r="K2308" s="3280"/>
      <c r="AB2308" s="3280"/>
      <c r="AG2308" s="3865"/>
      <c r="AM2308" s="3041"/>
      <c r="BD2308" s="3280"/>
      <c r="BF2308" s="3041"/>
      <c r="BH2308" s="3282"/>
    </row>
    <row r="2309" spans="1:60" s="3030" customFormat="1">
      <c r="A2309" s="2126"/>
      <c r="B2309" s="2126"/>
      <c r="C2309" s="2126"/>
      <c r="D2309" s="2126"/>
      <c r="E2309" s="525"/>
      <c r="F2309" s="525"/>
      <c r="G2309" s="525"/>
      <c r="K2309" s="3280"/>
      <c r="AB2309" s="3280"/>
      <c r="AG2309" s="3865"/>
      <c r="AM2309" s="3041"/>
      <c r="BD2309" s="3280"/>
      <c r="BF2309" s="3041"/>
      <c r="BH2309" s="3282"/>
    </row>
    <row r="2310" spans="1:60" s="3030" customFormat="1">
      <c r="A2310" s="2126"/>
      <c r="B2310" s="2126"/>
      <c r="C2310" s="2126"/>
      <c r="D2310" s="2126"/>
      <c r="E2310" s="525"/>
      <c r="F2310" s="525"/>
      <c r="G2310" s="525"/>
      <c r="K2310" s="3280"/>
      <c r="AB2310" s="3280"/>
      <c r="AG2310" s="3865"/>
      <c r="AM2310" s="3041"/>
      <c r="BD2310" s="3280"/>
      <c r="BF2310" s="3041"/>
      <c r="BH2310" s="3282"/>
    </row>
    <row r="2311" spans="1:60" s="3030" customFormat="1">
      <c r="A2311" s="2126"/>
      <c r="B2311" s="2126"/>
      <c r="C2311" s="2126"/>
      <c r="D2311" s="2126"/>
      <c r="E2311" s="525"/>
      <c r="F2311" s="525"/>
      <c r="G2311" s="525"/>
      <c r="K2311" s="3280"/>
      <c r="AB2311" s="3280"/>
      <c r="AG2311" s="3865"/>
      <c r="AM2311" s="3041"/>
      <c r="BD2311" s="3280"/>
      <c r="BF2311" s="3041"/>
      <c r="BH2311" s="3282"/>
    </row>
    <row r="2312" spans="1:60" s="3030" customFormat="1">
      <c r="A2312" s="2126"/>
      <c r="B2312" s="2126"/>
      <c r="C2312" s="2126"/>
      <c r="D2312" s="2126"/>
      <c r="E2312" s="525"/>
      <c r="F2312" s="525"/>
      <c r="G2312" s="525"/>
      <c r="K2312" s="3280"/>
      <c r="AB2312" s="3280"/>
      <c r="AG2312" s="3865"/>
      <c r="AM2312" s="3041"/>
      <c r="BD2312" s="3280"/>
      <c r="BF2312" s="3041"/>
      <c r="BH2312" s="3282"/>
    </row>
    <row r="2313" spans="1:60" s="3030" customFormat="1">
      <c r="A2313" s="2126"/>
      <c r="B2313" s="2126"/>
      <c r="C2313" s="2126"/>
      <c r="D2313" s="2126"/>
      <c r="E2313" s="525"/>
      <c r="F2313" s="525"/>
      <c r="G2313" s="525"/>
      <c r="K2313" s="3280"/>
      <c r="AB2313" s="3280"/>
      <c r="AG2313" s="3865"/>
      <c r="AM2313" s="3041"/>
      <c r="BD2313" s="3280"/>
      <c r="BF2313" s="3041"/>
      <c r="BH2313" s="3282"/>
    </row>
    <row r="2314" spans="1:60" s="3030" customFormat="1">
      <c r="A2314" s="2126"/>
      <c r="B2314" s="2126"/>
      <c r="C2314" s="2126"/>
      <c r="D2314" s="2126"/>
      <c r="E2314" s="525"/>
      <c r="F2314" s="525"/>
      <c r="G2314" s="525"/>
      <c r="K2314" s="3280"/>
      <c r="AB2314" s="3280"/>
      <c r="AG2314" s="3865"/>
      <c r="AM2314" s="3041"/>
      <c r="BD2314" s="3280"/>
      <c r="BF2314" s="3041"/>
      <c r="BH2314" s="3282"/>
    </row>
    <row r="2315" spans="1:60" s="3030" customFormat="1">
      <c r="A2315" s="2126"/>
      <c r="B2315" s="2126"/>
      <c r="C2315" s="2126"/>
      <c r="D2315" s="2126"/>
      <c r="E2315" s="525"/>
      <c r="F2315" s="525"/>
      <c r="G2315" s="525"/>
      <c r="K2315" s="3280"/>
      <c r="AB2315" s="3280"/>
      <c r="AG2315" s="3865"/>
      <c r="AM2315" s="3041"/>
      <c r="BD2315" s="3280"/>
      <c r="BF2315" s="3041"/>
      <c r="BH2315" s="3282"/>
    </row>
    <row r="2316" spans="1:60" s="3030" customFormat="1">
      <c r="A2316" s="2126"/>
      <c r="B2316" s="2126"/>
      <c r="C2316" s="2126"/>
      <c r="D2316" s="2126"/>
      <c r="E2316" s="525"/>
      <c r="F2316" s="525"/>
      <c r="G2316" s="525"/>
      <c r="K2316" s="3280"/>
      <c r="AB2316" s="3280"/>
      <c r="AG2316" s="3865"/>
      <c r="AM2316" s="3041"/>
      <c r="BD2316" s="3280"/>
      <c r="BF2316" s="3041"/>
      <c r="BH2316" s="3282"/>
    </row>
    <row r="2317" spans="1:60" s="3030" customFormat="1">
      <c r="A2317" s="2126"/>
      <c r="B2317" s="2126"/>
      <c r="C2317" s="2126"/>
      <c r="D2317" s="2126"/>
      <c r="E2317" s="525"/>
      <c r="F2317" s="525"/>
      <c r="G2317" s="525"/>
      <c r="K2317" s="3280"/>
      <c r="AB2317" s="3280"/>
      <c r="AG2317" s="3865"/>
      <c r="AM2317" s="3041"/>
      <c r="BD2317" s="3280"/>
      <c r="BF2317" s="3041"/>
      <c r="BH2317" s="3282"/>
    </row>
    <row r="2318" spans="1:60" s="3030" customFormat="1">
      <c r="A2318" s="2126"/>
      <c r="B2318" s="2126"/>
      <c r="C2318" s="2126"/>
      <c r="D2318" s="2126"/>
      <c r="E2318" s="525"/>
      <c r="F2318" s="525"/>
      <c r="G2318" s="525"/>
      <c r="K2318" s="3280"/>
      <c r="AB2318" s="3280"/>
      <c r="AG2318" s="3865"/>
      <c r="AM2318" s="3041"/>
      <c r="BD2318" s="3280"/>
      <c r="BF2318" s="3041"/>
      <c r="BH2318" s="3282"/>
    </row>
    <row r="2319" spans="1:60" s="3030" customFormat="1">
      <c r="A2319" s="2126"/>
      <c r="B2319" s="2126"/>
      <c r="C2319" s="2126"/>
      <c r="D2319" s="2126"/>
      <c r="E2319" s="525"/>
      <c r="F2319" s="525"/>
      <c r="G2319" s="525"/>
      <c r="K2319" s="3280"/>
      <c r="AB2319" s="3280"/>
      <c r="AG2319" s="3865"/>
      <c r="AM2319" s="3041"/>
      <c r="BD2319" s="3280"/>
      <c r="BF2319" s="3041"/>
      <c r="BH2319" s="3282"/>
    </row>
    <row r="2320" spans="1:60" s="3030" customFormat="1">
      <c r="A2320" s="2126"/>
      <c r="B2320" s="2126"/>
      <c r="C2320" s="2126"/>
      <c r="D2320" s="2126"/>
      <c r="E2320" s="525"/>
      <c r="F2320" s="525"/>
      <c r="G2320" s="525"/>
      <c r="K2320" s="3280"/>
      <c r="AB2320" s="3280"/>
      <c r="AG2320" s="3865"/>
      <c r="AM2320" s="3041"/>
      <c r="BD2320" s="3280"/>
      <c r="BF2320" s="3041"/>
      <c r="BH2320" s="3282"/>
    </row>
    <row r="2321" spans="1:60" s="3030" customFormat="1">
      <c r="A2321" s="2126"/>
      <c r="B2321" s="2126"/>
      <c r="C2321" s="2126"/>
      <c r="D2321" s="2126"/>
      <c r="E2321" s="525"/>
      <c r="F2321" s="525"/>
      <c r="G2321" s="525"/>
      <c r="K2321" s="3280"/>
      <c r="AB2321" s="3280"/>
      <c r="AG2321" s="3865"/>
      <c r="AM2321" s="3041"/>
      <c r="BD2321" s="3280"/>
      <c r="BF2321" s="3041"/>
      <c r="BH2321" s="3282"/>
    </row>
    <row r="2322" spans="1:60" s="3030" customFormat="1">
      <c r="A2322" s="2126"/>
      <c r="B2322" s="2126"/>
      <c r="C2322" s="2126"/>
      <c r="D2322" s="2126"/>
      <c r="E2322" s="525"/>
      <c r="F2322" s="525"/>
      <c r="G2322" s="525"/>
      <c r="K2322" s="3280"/>
      <c r="AB2322" s="3280"/>
      <c r="AG2322" s="3865"/>
      <c r="AM2322" s="3041"/>
      <c r="BD2322" s="3280"/>
      <c r="BF2322" s="3041"/>
      <c r="BH2322" s="3282"/>
    </row>
    <row r="2323" spans="1:60" s="3030" customFormat="1">
      <c r="A2323" s="2126"/>
      <c r="B2323" s="2126"/>
      <c r="C2323" s="2126"/>
      <c r="D2323" s="2126"/>
      <c r="E2323" s="525"/>
      <c r="F2323" s="525"/>
      <c r="G2323" s="525"/>
      <c r="K2323" s="3280"/>
      <c r="AB2323" s="3280"/>
      <c r="AG2323" s="3865"/>
      <c r="AM2323" s="3041"/>
      <c r="BD2323" s="3280"/>
      <c r="BF2323" s="3041"/>
      <c r="BH2323" s="3282"/>
    </row>
    <row r="2324" spans="1:60" s="3030" customFormat="1">
      <c r="A2324" s="2126"/>
      <c r="B2324" s="2126"/>
      <c r="C2324" s="2126"/>
      <c r="D2324" s="2126"/>
      <c r="E2324" s="525"/>
      <c r="F2324" s="525"/>
      <c r="G2324" s="525"/>
      <c r="K2324" s="3280"/>
      <c r="AB2324" s="3280"/>
      <c r="AG2324" s="3865"/>
      <c r="AM2324" s="3041"/>
      <c r="BD2324" s="3280"/>
      <c r="BF2324" s="3041"/>
      <c r="BH2324" s="3282"/>
    </row>
    <row r="2325" spans="1:60" s="3030" customFormat="1">
      <c r="A2325" s="2126"/>
      <c r="B2325" s="2126"/>
      <c r="C2325" s="2126"/>
      <c r="D2325" s="2126"/>
      <c r="E2325" s="525"/>
      <c r="F2325" s="525"/>
      <c r="G2325" s="525"/>
      <c r="K2325" s="3280"/>
      <c r="AB2325" s="3280"/>
      <c r="AG2325" s="3865"/>
      <c r="AM2325" s="3041"/>
      <c r="BD2325" s="3280"/>
      <c r="BF2325" s="3041"/>
      <c r="BH2325" s="3282"/>
    </row>
    <row r="2326" spans="1:60" s="3030" customFormat="1">
      <c r="A2326" s="2126"/>
      <c r="B2326" s="2126"/>
      <c r="C2326" s="2126"/>
      <c r="D2326" s="2126"/>
      <c r="E2326" s="525"/>
      <c r="F2326" s="525"/>
      <c r="G2326" s="525"/>
      <c r="K2326" s="3280"/>
      <c r="AB2326" s="3280"/>
      <c r="AG2326" s="3865"/>
      <c r="AM2326" s="3041"/>
      <c r="BD2326" s="3280"/>
      <c r="BF2326" s="3041"/>
      <c r="BH2326" s="3282"/>
    </row>
    <row r="2327" spans="1:60" s="3030" customFormat="1">
      <c r="A2327" s="2126"/>
      <c r="B2327" s="2126"/>
      <c r="C2327" s="2126"/>
      <c r="D2327" s="2126"/>
      <c r="E2327" s="525"/>
      <c r="F2327" s="525"/>
      <c r="G2327" s="525"/>
      <c r="K2327" s="3280"/>
      <c r="AB2327" s="3280"/>
      <c r="AG2327" s="3865"/>
      <c r="AM2327" s="3041"/>
      <c r="BD2327" s="3280"/>
      <c r="BF2327" s="3041"/>
      <c r="BH2327" s="3282"/>
    </row>
    <row r="2328" spans="1:60" s="3030" customFormat="1">
      <c r="A2328" s="2126"/>
      <c r="B2328" s="2126"/>
      <c r="C2328" s="2126"/>
      <c r="D2328" s="2126"/>
      <c r="E2328" s="525"/>
      <c r="F2328" s="525"/>
      <c r="G2328" s="525"/>
      <c r="K2328" s="3280"/>
      <c r="AB2328" s="3280"/>
      <c r="AG2328" s="3865"/>
      <c r="AM2328" s="3041"/>
      <c r="BD2328" s="3280"/>
      <c r="BF2328" s="3041"/>
      <c r="BH2328" s="3282"/>
    </row>
    <row r="2329" spans="1:60" s="3030" customFormat="1">
      <c r="A2329" s="2126"/>
      <c r="B2329" s="2126"/>
      <c r="C2329" s="2126"/>
      <c r="D2329" s="2126"/>
      <c r="E2329" s="525"/>
      <c r="F2329" s="525"/>
      <c r="G2329" s="525"/>
      <c r="K2329" s="3280"/>
      <c r="AB2329" s="3280"/>
      <c r="AG2329" s="3865"/>
      <c r="AM2329" s="3041"/>
      <c r="BD2329" s="3280"/>
      <c r="BF2329" s="3041"/>
      <c r="BH2329" s="3282"/>
    </row>
    <row r="2330" spans="1:60" s="3030" customFormat="1">
      <c r="A2330" s="2126"/>
      <c r="B2330" s="2126"/>
      <c r="C2330" s="2126"/>
      <c r="D2330" s="2126"/>
      <c r="E2330" s="525"/>
      <c r="F2330" s="525"/>
      <c r="G2330" s="525"/>
      <c r="K2330" s="3280"/>
      <c r="AB2330" s="3280"/>
      <c r="AG2330" s="3865"/>
      <c r="AM2330" s="3041"/>
      <c r="BD2330" s="3280"/>
      <c r="BF2330" s="3041"/>
      <c r="BH2330" s="3282"/>
    </row>
    <row r="2331" spans="1:60" s="3030" customFormat="1">
      <c r="A2331" s="2126"/>
      <c r="B2331" s="2126"/>
      <c r="C2331" s="2126"/>
      <c r="D2331" s="2126"/>
      <c r="E2331" s="525"/>
      <c r="F2331" s="525"/>
      <c r="G2331" s="525"/>
      <c r="K2331" s="3280"/>
      <c r="AB2331" s="3280"/>
      <c r="AG2331" s="3865"/>
      <c r="AM2331" s="3041"/>
      <c r="BD2331" s="3280"/>
      <c r="BF2331" s="3041"/>
      <c r="BH2331" s="3282"/>
    </row>
    <row r="2332" spans="1:60" s="3030" customFormat="1">
      <c r="A2332" s="2126"/>
      <c r="B2332" s="2126"/>
      <c r="C2332" s="2126"/>
      <c r="D2332" s="2126"/>
      <c r="E2332" s="525"/>
      <c r="F2332" s="525"/>
      <c r="G2332" s="525"/>
      <c r="K2332" s="3280"/>
      <c r="AB2332" s="3280"/>
      <c r="AG2332" s="3865"/>
      <c r="AM2332" s="3041"/>
      <c r="BD2332" s="3280"/>
      <c r="BF2332" s="3041"/>
      <c r="BH2332" s="3282"/>
    </row>
    <row r="2333" spans="1:60" s="3030" customFormat="1">
      <c r="A2333" s="2126"/>
      <c r="B2333" s="2126"/>
      <c r="C2333" s="2126"/>
      <c r="D2333" s="2126"/>
      <c r="E2333" s="525"/>
      <c r="F2333" s="525"/>
      <c r="G2333" s="525"/>
      <c r="K2333" s="3280"/>
      <c r="AB2333" s="3280"/>
      <c r="AG2333" s="3865"/>
      <c r="AM2333" s="3041"/>
      <c r="BD2333" s="3280"/>
      <c r="BF2333" s="3041"/>
      <c r="BH2333" s="3282"/>
    </row>
    <row r="2334" spans="1:60" s="3030" customFormat="1">
      <c r="A2334" s="2126"/>
      <c r="B2334" s="2126"/>
      <c r="C2334" s="2126"/>
      <c r="D2334" s="2126"/>
      <c r="E2334" s="525"/>
      <c r="F2334" s="525"/>
      <c r="G2334" s="525"/>
      <c r="K2334" s="3280"/>
      <c r="AB2334" s="3280"/>
      <c r="AG2334" s="3865"/>
      <c r="AM2334" s="3041"/>
      <c r="BD2334" s="3280"/>
      <c r="BF2334" s="3041"/>
      <c r="BH2334" s="3282"/>
    </row>
    <row r="2335" spans="1:60" s="3030" customFormat="1">
      <c r="A2335" s="2126"/>
      <c r="B2335" s="2126"/>
      <c r="C2335" s="2126"/>
      <c r="D2335" s="2126"/>
      <c r="E2335" s="525"/>
      <c r="F2335" s="525"/>
      <c r="G2335" s="525"/>
      <c r="K2335" s="3280"/>
      <c r="AB2335" s="3280"/>
      <c r="AG2335" s="3865"/>
      <c r="AM2335" s="3041"/>
      <c r="BD2335" s="3280"/>
      <c r="BF2335" s="3041"/>
      <c r="BH2335" s="3282"/>
    </row>
    <row r="2336" spans="1:60" s="3030" customFormat="1">
      <c r="A2336" s="2126"/>
      <c r="B2336" s="2126"/>
      <c r="C2336" s="2126"/>
      <c r="D2336" s="2126"/>
      <c r="E2336" s="525"/>
      <c r="F2336" s="525"/>
      <c r="G2336" s="525"/>
      <c r="K2336" s="3280"/>
      <c r="AB2336" s="3280"/>
      <c r="AG2336" s="3865"/>
      <c r="AM2336" s="3041"/>
      <c r="BD2336" s="3280"/>
      <c r="BF2336" s="3041"/>
      <c r="BH2336" s="3282"/>
    </row>
    <row r="2337" spans="1:60" s="3030" customFormat="1">
      <c r="A2337" s="2126"/>
      <c r="B2337" s="2126"/>
      <c r="C2337" s="2126"/>
      <c r="D2337" s="2126"/>
      <c r="E2337" s="525"/>
      <c r="F2337" s="525"/>
      <c r="G2337" s="525"/>
      <c r="K2337" s="3280"/>
      <c r="AB2337" s="3280"/>
      <c r="AG2337" s="3865"/>
      <c r="AM2337" s="3041"/>
      <c r="BD2337" s="3280"/>
      <c r="BF2337" s="3041"/>
      <c r="BH2337" s="3282"/>
    </row>
    <row r="2338" spans="1:60" s="3030" customFormat="1">
      <c r="A2338" s="2126"/>
      <c r="B2338" s="2126"/>
      <c r="C2338" s="2126"/>
      <c r="D2338" s="2126"/>
      <c r="E2338" s="525"/>
      <c r="F2338" s="525"/>
      <c r="G2338" s="525"/>
      <c r="K2338" s="3280"/>
      <c r="AB2338" s="3280"/>
      <c r="AG2338" s="3865"/>
      <c r="AM2338" s="3041"/>
      <c r="BD2338" s="3280"/>
      <c r="BF2338" s="3041"/>
      <c r="BH2338" s="3282"/>
    </row>
    <row r="2339" spans="1:60" s="3030" customFormat="1">
      <c r="A2339" s="2126"/>
      <c r="B2339" s="2126"/>
      <c r="C2339" s="2126"/>
      <c r="D2339" s="2126"/>
      <c r="E2339" s="525"/>
      <c r="F2339" s="525"/>
      <c r="G2339" s="525"/>
      <c r="K2339" s="3280"/>
      <c r="AB2339" s="3280"/>
      <c r="AG2339" s="3865"/>
      <c r="AM2339" s="3041"/>
      <c r="BD2339" s="3280"/>
      <c r="BF2339" s="3041"/>
      <c r="BH2339" s="3282"/>
    </row>
    <row r="2340" spans="1:60" s="3030" customFormat="1">
      <c r="A2340" s="2126"/>
      <c r="B2340" s="2126"/>
      <c r="C2340" s="2126"/>
      <c r="D2340" s="2126"/>
      <c r="E2340" s="525"/>
      <c r="F2340" s="525"/>
      <c r="G2340" s="525"/>
      <c r="K2340" s="3280"/>
      <c r="AB2340" s="3280"/>
      <c r="AG2340" s="3865"/>
      <c r="AM2340" s="3041"/>
      <c r="BD2340" s="3280"/>
      <c r="BF2340" s="3041"/>
      <c r="BH2340" s="3282"/>
    </row>
    <row r="2341" spans="1:60" s="3030" customFormat="1">
      <c r="A2341" s="2126"/>
      <c r="B2341" s="2126"/>
      <c r="C2341" s="2126"/>
      <c r="D2341" s="2126"/>
      <c r="E2341" s="525"/>
      <c r="F2341" s="525"/>
      <c r="G2341" s="525"/>
      <c r="K2341" s="3280"/>
      <c r="AB2341" s="3280"/>
      <c r="AG2341" s="3865"/>
      <c r="AM2341" s="3041"/>
      <c r="BD2341" s="3280"/>
      <c r="BF2341" s="3041"/>
      <c r="BH2341" s="3282"/>
    </row>
    <row r="2342" spans="1:60" s="3030" customFormat="1">
      <c r="A2342" s="2126"/>
      <c r="B2342" s="2126"/>
      <c r="C2342" s="2126"/>
      <c r="D2342" s="2126"/>
      <c r="E2342" s="525"/>
      <c r="F2342" s="525"/>
      <c r="G2342" s="525"/>
      <c r="K2342" s="3280"/>
      <c r="AB2342" s="3280"/>
      <c r="AG2342" s="3865"/>
      <c r="AM2342" s="3041"/>
      <c r="BD2342" s="3280"/>
      <c r="BF2342" s="3041"/>
      <c r="BH2342" s="3282"/>
    </row>
    <row r="2343" spans="1:60" s="3030" customFormat="1">
      <c r="A2343" s="2126"/>
      <c r="B2343" s="2126"/>
      <c r="C2343" s="2126"/>
      <c r="D2343" s="2126"/>
      <c r="E2343" s="525"/>
      <c r="F2343" s="525"/>
      <c r="G2343" s="525"/>
      <c r="K2343" s="3280"/>
      <c r="AB2343" s="3280"/>
      <c r="AG2343" s="3865"/>
      <c r="AM2343" s="3041"/>
      <c r="BD2343" s="3280"/>
      <c r="BF2343" s="3041"/>
      <c r="BH2343" s="3282"/>
    </row>
    <row r="2344" spans="1:60" s="3030" customFormat="1">
      <c r="A2344" s="2126"/>
      <c r="B2344" s="2126"/>
      <c r="C2344" s="2126"/>
      <c r="D2344" s="2126"/>
      <c r="E2344" s="525"/>
      <c r="F2344" s="525"/>
      <c r="G2344" s="525"/>
      <c r="K2344" s="3280"/>
      <c r="AB2344" s="3280"/>
      <c r="AG2344" s="3865"/>
      <c r="AM2344" s="3041"/>
      <c r="BD2344" s="3280"/>
      <c r="BF2344" s="3041"/>
      <c r="BH2344" s="3282"/>
    </row>
    <row r="2345" spans="1:60" s="3030" customFormat="1">
      <c r="A2345" s="2126"/>
      <c r="B2345" s="2126"/>
      <c r="C2345" s="2126"/>
      <c r="D2345" s="2126"/>
      <c r="E2345" s="525"/>
      <c r="F2345" s="525"/>
      <c r="G2345" s="525"/>
      <c r="K2345" s="3280"/>
      <c r="AB2345" s="3280"/>
      <c r="AG2345" s="3865"/>
      <c r="AM2345" s="3041"/>
      <c r="BD2345" s="3280"/>
      <c r="BF2345" s="3041"/>
      <c r="BH2345" s="3282"/>
    </row>
    <row r="2346" spans="1:60" s="3030" customFormat="1">
      <c r="A2346" s="2126"/>
      <c r="B2346" s="2126"/>
      <c r="C2346" s="2126"/>
      <c r="D2346" s="2126"/>
      <c r="E2346" s="525"/>
      <c r="F2346" s="525"/>
      <c r="G2346" s="525"/>
      <c r="K2346" s="3280"/>
      <c r="AB2346" s="3280"/>
      <c r="AG2346" s="3865"/>
      <c r="AM2346" s="3041"/>
      <c r="BD2346" s="3280"/>
      <c r="BF2346" s="3041"/>
      <c r="BH2346" s="3282"/>
    </row>
    <row r="2347" spans="1:60" s="3030" customFormat="1">
      <c r="A2347" s="2126"/>
      <c r="B2347" s="2126"/>
      <c r="C2347" s="2126"/>
      <c r="D2347" s="2126"/>
      <c r="E2347" s="525"/>
      <c r="F2347" s="525"/>
      <c r="G2347" s="525"/>
      <c r="K2347" s="3280"/>
      <c r="AB2347" s="3280"/>
      <c r="AG2347" s="3865"/>
      <c r="AM2347" s="3041"/>
      <c r="BD2347" s="3280"/>
      <c r="BF2347" s="3041"/>
      <c r="BH2347" s="3282"/>
    </row>
    <row r="2348" spans="1:60" s="3030" customFormat="1">
      <c r="A2348" s="2126"/>
      <c r="B2348" s="2126"/>
      <c r="C2348" s="2126"/>
      <c r="D2348" s="2126"/>
      <c r="E2348" s="525"/>
      <c r="F2348" s="525"/>
      <c r="G2348" s="525"/>
      <c r="K2348" s="3280"/>
      <c r="AB2348" s="3280"/>
      <c r="AG2348" s="3865"/>
      <c r="AM2348" s="3041"/>
      <c r="BD2348" s="3280"/>
      <c r="BF2348" s="3041"/>
      <c r="BH2348" s="3282"/>
    </row>
    <row r="2349" spans="1:60" s="3030" customFormat="1">
      <c r="A2349" s="2126"/>
      <c r="B2349" s="2126"/>
      <c r="C2349" s="2126"/>
      <c r="D2349" s="2126"/>
      <c r="E2349" s="525"/>
      <c r="F2349" s="525"/>
      <c r="G2349" s="525"/>
      <c r="K2349" s="3280"/>
      <c r="AB2349" s="3280"/>
      <c r="AG2349" s="3865"/>
      <c r="AM2349" s="3041"/>
      <c r="BD2349" s="3280"/>
      <c r="BF2349" s="3041"/>
      <c r="BH2349" s="3282"/>
    </row>
    <row r="2350" spans="1:60" s="3030" customFormat="1">
      <c r="A2350" s="2126"/>
      <c r="B2350" s="2126"/>
      <c r="C2350" s="2126"/>
      <c r="D2350" s="2126"/>
      <c r="E2350" s="525"/>
      <c r="F2350" s="525"/>
      <c r="G2350" s="525"/>
      <c r="K2350" s="3280"/>
      <c r="AB2350" s="3280"/>
      <c r="AG2350" s="3865"/>
      <c r="AM2350" s="3041"/>
      <c r="BD2350" s="3280"/>
      <c r="BF2350" s="3041"/>
      <c r="BH2350" s="3282"/>
    </row>
    <row r="2351" spans="1:60" s="3030" customFormat="1">
      <c r="A2351" s="2126"/>
      <c r="B2351" s="2126"/>
      <c r="C2351" s="2126"/>
      <c r="D2351" s="2126"/>
      <c r="E2351" s="525"/>
      <c r="F2351" s="525"/>
      <c r="G2351" s="525"/>
      <c r="K2351" s="3280"/>
      <c r="AB2351" s="3280"/>
      <c r="AG2351" s="3865"/>
      <c r="AM2351" s="3041"/>
      <c r="BD2351" s="3280"/>
      <c r="BF2351" s="3041"/>
      <c r="BH2351" s="3282"/>
    </row>
    <row r="2352" spans="1:60" s="3030" customFormat="1">
      <c r="A2352" s="2126"/>
      <c r="B2352" s="2126"/>
      <c r="C2352" s="2126"/>
      <c r="D2352" s="2126"/>
      <c r="E2352" s="525"/>
      <c r="F2352" s="525"/>
      <c r="G2352" s="525"/>
      <c r="K2352" s="3280"/>
      <c r="AB2352" s="3280"/>
      <c r="AG2352" s="3865"/>
      <c r="AM2352" s="3041"/>
      <c r="BD2352" s="3280"/>
      <c r="BF2352" s="3041"/>
      <c r="BH2352" s="3282"/>
    </row>
    <row r="2353" spans="1:60" s="3030" customFormat="1">
      <c r="A2353" s="2126"/>
      <c r="B2353" s="2126"/>
      <c r="C2353" s="2126"/>
      <c r="D2353" s="2126"/>
      <c r="E2353" s="525"/>
      <c r="F2353" s="525"/>
      <c r="G2353" s="525"/>
      <c r="K2353" s="3280"/>
      <c r="AB2353" s="3280"/>
      <c r="AG2353" s="3865"/>
      <c r="AM2353" s="3041"/>
      <c r="BD2353" s="3280"/>
      <c r="BF2353" s="3041"/>
      <c r="BH2353" s="3282"/>
    </row>
    <row r="2354" spans="1:60" s="3030" customFormat="1">
      <c r="A2354" s="2126"/>
      <c r="B2354" s="2126"/>
      <c r="C2354" s="2126"/>
      <c r="D2354" s="2126"/>
      <c r="E2354" s="525"/>
      <c r="F2354" s="525"/>
      <c r="G2354" s="525"/>
      <c r="K2354" s="3280"/>
      <c r="AB2354" s="3280"/>
      <c r="AG2354" s="3865"/>
      <c r="AM2354" s="3041"/>
      <c r="BD2354" s="3280"/>
      <c r="BF2354" s="3041"/>
      <c r="BH2354" s="3282"/>
    </row>
    <row r="2355" spans="1:60" s="3030" customFormat="1">
      <c r="A2355" s="2126"/>
      <c r="B2355" s="2126"/>
      <c r="C2355" s="2126"/>
      <c r="D2355" s="2126"/>
      <c r="E2355" s="525"/>
      <c r="F2355" s="525"/>
      <c r="G2355" s="525"/>
      <c r="K2355" s="3280"/>
      <c r="AB2355" s="3280"/>
      <c r="AG2355" s="3865"/>
      <c r="AM2355" s="3041"/>
      <c r="BD2355" s="3280"/>
      <c r="BF2355" s="3041"/>
      <c r="BH2355" s="3282"/>
    </row>
    <row r="2356" spans="1:60" s="3030" customFormat="1">
      <c r="A2356" s="2126"/>
      <c r="B2356" s="2126"/>
      <c r="C2356" s="2126"/>
      <c r="D2356" s="2126"/>
      <c r="E2356" s="525"/>
      <c r="F2356" s="525"/>
      <c r="G2356" s="525"/>
      <c r="K2356" s="3280"/>
      <c r="AB2356" s="3280"/>
      <c r="AG2356" s="3865"/>
      <c r="AM2356" s="3041"/>
      <c r="BD2356" s="3280"/>
      <c r="BF2356" s="3041"/>
      <c r="BH2356" s="3282"/>
    </row>
    <row r="2357" spans="1:60" s="3030" customFormat="1">
      <c r="A2357" s="2126"/>
      <c r="B2357" s="2126"/>
      <c r="C2357" s="2126"/>
      <c r="D2357" s="2126"/>
      <c r="E2357" s="525"/>
      <c r="F2357" s="525"/>
      <c r="G2357" s="525"/>
      <c r="K2357" s="3280"/>
      <c r="AB2357" s="3280"/>
      <c r="AG2357" s="3865"/>
      <c r="AM2357" s="3041"/>
      <c r="BD2357" s="3280"/>
      <c r="BF2357" s="3041"/>
      <c r="BH2357" s="3282"/>
    </row>
    <row r="2358" spans="1:60" s="3030" customFormat="1">
      <c r="A2358" s="2126"/>
      <c r="B2358" s="2126"/>
      <c r="C2358" s="2126"/>
      <c r="D2358" s="2126"/>
      <c r="E2358" s="525"/>
      <c r="F2358" s="525"/>
      <c r="G2358" s="525"/>
      <c r="K2358" s="3280"/>
      <c r="AB2358" s="3280"/>
      <c r="AG2358" s="3865"/>
      <c r="AM2358" s="3041"/>
      <c r="BD2358" s="3280"/>
      <c r="BF2358" s="3041"/>
      <c r="BH2358" s="3282"/>
    </row>
    <row r="2359" spans="1:60" s="3030" customFormat="1">
      <c r="A2359" s="2126"/>
      <c r="B2359" s="2126"/>
      <c r="C2359" s="2126"/>
      <c r="D2359" s="2126"/>
      <c r="E2359" s="525"/>
      <c r="F2359" s="525"/>
      <c r="G2359" s="525"/>
      <c r="K2359" s="3280"/>
      <c r="AB2359" s="3280"/>
      <c r="AG2359" s="3865"/>
      <c r="AM2359" s="3041"/>
      <c r="BD2359" s="3280"/>
      <c r="BF2359" s="3041"/>
      <c r="BH2359" s="3282"/>
    </row>
    <row r="2360" spans="1:60" s="3030" customFormat="1">
      <c r="A2360" s="2126"/>
      <c r="B2360" s="2126"/>
      <c r="C2360" s="2126"/>
      <c r="D2360" s="2126"/>
      <c r="E2360" s="525"/>
      <c r="F2360" s="525"/>
      <c r="G2360" s="525"/>
      <c r="K2360" s="3280"/>
      <c r="AB2360" s="3280"/>
      <c r="AG2360" s="3865"/>
      <c r="AM2360" s="3041"/>
      <c r="BD2360" s="3280"/>
      <c r="BF2360" s="3041"/>
      <c r="BH2360" s="3282"/>
    </row>
    <row r="2361" spans="1:60" s="3030" customFormat="1">
      <c r="A2361" s="2126"/>
      <c r="B2361" s="2126"/>
      <c r="C2361" s="2126"/>
      <c r="D2361" s="2126"/>
      <c r="E2361" s="525"/>
      <c r="F2361" s="525"/>
      <c r="G2361" s="525"/>
      <c r="K2361" s="3280"/>
      <c r="AB2361" s="3280"/>
      <c r="AG2361" s="3865"/>
      <c r="AM2361" s="3041"/>
      <c r="BD2361" s="3280"/>
      <c r="BF2361" s="3041"/>
      <c r="BH2361" s="3282"/>
    </row>
    <row r="2362" spans="1:60" s="3030" customFormat="1">
      <c r="A2362" s="2126"/>
      <c r="B2362" s="2126"/>
      <c r="C2362" s="2126"/>
      <c r="D2362" s="2126"/>
      <c r="E2362" s="525"/>
      <c r="F2362" s="525"/>
      <c r="G2362" s="525"/>
      <c r="K2362" s="3280"/>
      <c r="AB2362" s="3280"/>
      <c r="AG2362" s="3865"/>
      <c r="AM2362" s="3041"/>
      <c r="BD2362" s="3280"/>
      <c r="BF2362" s="3041"/>
      <c r="BH2362" s="3282"/>
    </row>
    <row r="2363" spans="1:60" s="3030" customFormat="1">
      <c r="A2363" s="2126"/>
      <c r="B2363" s="2126"/>
      <c r="C2363" s="2126"/>
      <c r="D2363" s="2126"/>
      <c r="E2363" s="525"/>
      <c r="F2363" s="525"/>
      <c r="G2363" s="525"/>
      <c r="K2363" s="3280"/>
      <c r="AB2363" s="3280"/>
      <c r="AG2363" s="3865"/>
      <c r="AM2363" s="3041"/>
      <c r="BD2363" s="3280"/>
      <c r="BF2363" s="3041"/>
      <c r="BH2363" s="3282"/>
    </row>
    <row r="2364" spans="1:60" s="3030" customFormat="1">
      <c r="A2364" s="2126"/>
      <c r="B2364" s="2126"/>
      <c r="C2364" s="2126"/>
      <c r="D2364" s="2126"/>
      <c r="E2364" s="525"/>
      <c r="F2364" s="525"/>
      <c r="G2364" s="525"/>
      <c r="K2364" s="3280"/>
      <c r="AB2364" s="3280"/>
      <c r="AG2364" s="3865"/>
      <c r="AM2364" s="3041"/>
      <c r="BD2364" s="3280"/>
      <c r="BF2364" s="3041"/>
      <c r="BH2364" s="3282"/>
    </row>
    <row r="2365" spans="1:60" s="3030" customFormat="1">
      <c r="A2365" s="2126"/>
      <c r="B2365" s="2126"/>
      <c r="C2365" s="2126"/>
      <c r="D2365" s="2126"/>
      <c r="E2365" s="525"/>
      <c r="F2365" s="525"/>
      <c r="G2365" s="525"/>
      <c r="K2365" s="3280"/>
      <c r="AB2365" s="3280"/>
      <c r="AG2365" s="3865"/>
      <c r="AM2365" s="3041"/>
      <c r="BD2365" s="3280"/>
      <c r="BF2365" s="3041"/>
      <c r="BH2365" s="3282"/>
    </row>
    <row r="2366" spans="1:60" s="3030" customFormat="1">
      <c r="A2366" s="2126"/>
      <c r="B2366" s="2126"/>
      <c r="C2366" s="2126"/>
      <c r="D2366" s="2126"/>
      <c r="E2366" s="525"/>
      <c r="F2366" s="525"/>
      <c r="G2366" s="525"/>
      <c r="K2366" s="3280"/>
      <c r="AB2366" s="3280"/>
      <c r="AG2366" s="3865"/>
      <c r="AM2366" s="3041"/>
      <c r="BD2366" s="3280"/>
      <c r="BF2366" s="3041"/>
      <c r="BH2366" s="3282"/>
    </row>
    <row r="2367" spans="1:60" s="3030" customFormat="1">
      <c r="A2367" s="2126"/>
      <c r="B2367" s="2126"/>
      <c r="C2367" s="2126"/>
      <c r="D2367" s="2126"/>
      <c r="E2367" s="525"/>
      <c r="F2367" s="525"/>
      <c r="G2367" s="525"/>
      <c r="K2367" s="3280"/>
      <c r="AB2367" s="3280"/>
      <c r="AG2367" s="3865"/>
      <c r="AM2367" s="3041"/>
      <c r="BD2367" s="3280"/>
      <c r="BF2367" s="3041"/>
      <c r="BH2367" s="3282"/>
    </row>
    <row r="2368" spans="1:60" s="3030" customFormat="1">
      <c r="A2368" s="2126"/>
      <c r="B2368" s="2126"/>
      <c r="C2368" s="2126"/>
      <c r="D2368" s="2126"/>
      <c r="E2368" s="525"/>
      <c r="F2368" s="525"/>
      <c r="G2368" s="525"/>
      <c r="K2368" s="3280"/>
      <c r="AB2368" s="3280"/>
      <c r="AG2368" s="3865"/>
      <c r="AM2368" s="3041"/>
      <c r="BD2368" s="3280"/>
      <c r="BF2368" s="3041"/>
      <c r="BH2368" s="3282"/>
    </row>
    <row r="2369" spans="1:60" s="3030" customFormat="1">
      <c r="A2369" s="2126"/>
      <c r="B2369" s="2126"/>
      <c r="C2369" s="2126"/>
      <c r="D2369" s="2126"/>
      <c r="E2369" s="525"/>
      <c r="F2369" s="525"/>
      <c r="G2369" s="525"/>
      <c r="K2369" s="3280"/>
      <c r="AB2369" s="3280"/>
      <c r="AG2369" s="3865"/>
      <c r="AM2369" s="3041"/>
      <c r="BD2369" s="3280"/>
      <c r="BF2369" s="3041"/>
      <c r="BH2369" s="3282"/>
    </row>
    <row r="2370" spans="1:60" s="3030" customFormat="1">
      <c r="A2370" s="2126"/>
      <c r="B2370" s="2126"/>
      <c r="C2370" s="2126"/>
      <c r="D2370" s="2126"/>
      <c r="E2370" s="525"/>
      <c r="F2370" s="525"/>
      <c r="G2370" s="525"/>
      <c r="K2370" s="3280"/>
      <c r="AB2370" s="3280"/>
      <c r="AG2370" s="3865"/>
      <c r="AM2370" s="3041"/>
      <c r="BD2370" s="3280"/>
      <c r="BF2370" s="3041"/>
      <c r="BH2370" s="3282"/>
    </row>
    <row r="2371" spans="1:60" s="3030" customFormat="1">
      <c r="A2371" s="2126"/>
      <c r="B2371" s="2126"/>
      <c r="C2371" s="2126"/>
      <c r="D2371" s="2126"/>
      <c r="E2371" s="525"/>
      <c r="F2371" s="525"/>
      <c r="G2371" s="525"/>
      <c r="K2371" s="3280"/>
      <c r="AB2371" s="3280"/>
      <c r="AG2371" s="3865"/>
      <c r="AM2371" s="3041"/>
      <c r="BD2371" s="3280"/>
      <c r="BF2371" s="3041"/>
      <c r="BH2371" s="3282"/>
    </row>
    <row r="2372" spans="1:60" s="3030" customFormat="1">
      <c r="A2372" s="2126"/>
      <c r="B2372" s="2126"/>
      <c r="C2372" s="2126"/>
      <c r="D2372" s="2126"/>
      <c r="E2372" s="525"/>
      <c r="F2372" s="525"/>
      <c r="G2372" s="525"/>
      <c r="K2372" s="3280"/>
      <c r="AB2372" s="3280"/>
      <c r="AG2372" s="3865"/>
      <c r="AM2372" s="3041"/>
      <c r="BD2372" s="3280"/>
      <c r="BF2372" s="3041"/>
      <c r="BH2372" s="3282"/>
    </row>
    <row r="2373" spans="1:60" s="3030" customFormat="1">
      <c r="A2373" s="2126"/>
      <c r="B2373" s="2126"/>
      <c r="C2373" s="2126"/>
      <c r="D2373" s="2126"/>
      <c r="E2373" s="525"/>
      <c r="F2373" s="525"/>
      <c r="G2373" s="525"/>
      <c r="K2373" s="3280"/>
      <c r="AB2373" s="3280"/>
      <c r="AG2373" s="3865"/>
      <c r="AM2373" s="3041"/>
      <c r="BD2373" s="3280"/>
      <c r="BF2373" s="3041"/>
      <c r="BH2373" s="3282"/>
    </row>
    <row r="2374" spans="1:60" s="3030" customFormat="1">
      <c r="A2374" s="2126"/>
      <c r="B2374" s="2126"/>
      <c r="C2374" s="2126"/>
      <c r="D2374" s="2126"/>
      <c r="E2374" s="525"/>
      <c r="F2374" s="525"/>
      <c r="G2374" s="525"/>
      <c r="K2374" s="3280"/>
      <c r="AB2374" s="3280"/>
      <c r="AG2374" s="3865"/>
      <c r="AM2374" s="3041"/>
      <c r="BD2374" s="3280"/>
      <c r="BF2374" s="3041"/>
      <c r="BH2374" s="3282"/>
    </row>
    <row r="2375" spans="1:60" s="3030" customFormat="1">
      <c r="A2375" s="2126"/>
      <c r="B2375" s="2126"/>
      <c r="C2375" s="2126"/>
      <c r="D2375" s="2126"/>
      <c r="E2375" s="525"/>
      <c r="F2375" s="525"/>
      <c r="G2375" s="525"/>
      <c r="K2375" s="3280"/>
      <c r="AB2375" s="3280"/>
      <c r="AG2375" s="3865"/>
      <c r="AM2375" s="3041"/>
      <c r="BD2375" s="3280"/>
      <c r="BF2375" s="3041"/>
      <c r="BH2375" s="3282"/>
    </row>
    <row r="2376" spans="1:60" s="3030" customFormat="1">
      <c r="A2376" s="2126"/>
      <c r="B2376" s="2126"/>
      <c r="C2376" s="2126"/>
      <c r="D2376" s="2126"/>
      <c r="E2376" s="525"/>
      <c r="F2376" s="525"/>
      <c r="G2376" s="525"/>
      <c r="K2376" s="3280"/>
      <c r="AB2376" s="3280"/>
      <c r="AG2376" s="3865"/>
      <c r="AM2376" s="3041"/>
      <c r="BD2376" s="3280"/>
      <c r="BF2376" s="3041"/>
      <c r="BH2376" s="3282"/>
    </row>
    <row r="2377" spans="1:60" s="3030" customFormat="1">
      <c r="A2377" s="2126"/>
      <c r="B2377" s="2126"/>
      <c r="C2377" s="2126"/>
      <c r="D2377" s="2126"/>
      <c r="E2377" s="525"/>
      <c r="F2377" s="525"/>
      <c r="G2377" s="525"/>
      <c r="K2377" s="3280"/>
      <c r="AB2377" s="3280"/>
      <c r="AG2377" s="3865"/>
      <c r="AM2377" s="3041"/>
      <c r="BD2377" s="3280"/>
      <c r="BF2377" s="3041"/>
      <c r="BH2377" s="3282"/>
    </row>
    <row r="2378" spans="1:60" s="3030" customFormat="1">
      <c r="A2378" s="2126"/>
      <c r="B2378" s="2126"/>
      <c r="C2378" s="2126"/>
      <c r="D2378" s="2126"/>
      <c r="E2378" s="525"/>
      <c r="F2378" s="525"/>
      <c r="G2378" s="525"/>
      <c r="K2378" s="3280"/>
      <c r="AB2378" s="3280"/>
      <c r="AG2378" s="3865"/>
      <c r="AM2378" s="3041"/>
      <c r="BD2378" s="3280"/>
      <c r="BF2378" s="3041"/>
      <c r="BH2378" s="3282"/>
    </row>
    <row r="2379" spans="1:60" s="3030" customFormat="1">
      <c r="A2379" s="2126"/>
      <c r="B2379" s="2126"/>
      <c r="C2379" s="2126"/>
      <c r="D2379" s="2126"/>
      <c r="E2379" s="525"/>
      <c r="F2379" s="525"/>
      <c r="G2379" s="525"/>
      <c r="K2379" s="3280"/>
      <c r="AB2379" s="3280"/>
      <c r="AG2379" s="3865"/>
      <c r="AM2379" s="3041"/>
      <c r="BD2379" s="3280"/>
      <c r="BF2379" s="3041"/>
      <c r="BH2379" s="3282"/>
    </row>
    <row r="2380" spans="1:60" s="3030" customFormat="1">
      <c r="A2380" s="2126"/>
      <c r="B2380" s="2126"/>
      <c r="C2380" s="2126"/>
      <c r="D2380" s="2126"/>
      <c r="E2380" s="525"/>
      <c r="F2380" s="525"/>
      <c r="G2380" s="525"/>
      <c r="K2380" s="3280"/>
      <c r="AB2380" s="3280"/>
      <c r="AG2380" s="3865"/>
      <c r="AM2380" s="3041"/>
      <c r="BD2380" s="3280"/>
      <c r="BF2380" s="3041"/>
      <c r="BH2380" s="3282"/>
    </row>
    <row r="2381" spans="1:60" s="3030" customFormat="1">
      <c r="A2381" s="2126"/>
      <c r="B2381" s="2126"/>
      <c r="C2381" s="2126"/>
      <c r="D2381" s="2126"/>
      <c r="E2381" s="525"/>
      <c r="F2381" s="525"/>
      <c r="G2381" s="525"/>
      <c r="K2381" s="3280"/>
      <c r="AB2381" s="3280"/>
      <c r="AG2381" s="3865"/>
      <c r="AM2381" s="3041"/>
      <c r="BD2381" s="3280"/>
      <c r="BF2381" s="3041"/>
      <c r="BH2381" s="3282"/>
    </row>
    <row r="2382" spans="1:60" s="3030" customFormat="1">
      <c r="A2382" s="2126"/>
      <c r="B2382" s="2126"/>
      <c r="C2382" s="2126"/>
      <c r="D2382" s="2126"/>
      <c r="E2382" s="525"/>
      <c r="F2382" s="525"/>
      <c r="G2382" s="525"/>
      <c r="K2382" s="3280"/>
      <c r="AB2382" s="3280"/>
      <c r="AG2382" s="3865"/>
      <c r="AM2382" s="3041"/>
      <c r="BD2382" s="3280"/>
      <c r="BF2382" s="3041"/>
      <c r="BH2382" s="3282"/>
    </row>
    <row r="2383" spans="1:60" s="3030" customFormat="1">
      <c r="A2383" s="2126"/>
      <c r="B2383" s="2126"/>
      <c r="C2383" s="2126"/>
      <c r="D2383" s="2126"/>
      <c r="E2383" s="525"/>
      <c r="F2383" s="525"/>
      <c r="G2383" s="525"/>
      <c r="K2383" s="3280"/>
      <c r="AB2383" s="3280"/>
      <c r="AG2383" s="3865"/>
      <c r="AM2383" s="3041"/>
      <c r="BD2383" s="3280"/>
      <c r="BF2383" s="3041"/>
      <c r="BH2383" s="3282"/>
    </row>
    <row r="2384" spans="1:60" s="3030" customFormat="1">
      <c r="A2384" s="2126"/>
      <c r="B2384" s="2126"/>
      <c r="C2384" s="2126"/>
      <c r="D2384" s="2126"/>
      <c r="E2384" s="525"/>
      <c r="F2384" s="525"/>
      <c r="G2384" s="525"/>
      <c r="K2384" s="3280"/>
      <c r="AB2384" s="3280"/>
      <c r="AG2384" s="3865"/>
      <c r="AM2384" s="3041"/>
      <c r="BD2384" s="3280"/>
      <c r="BF2384" s="3041"/>
      <c r="BH2384" s="3282"/>
    </row>
    <row r="2385" spans="1:60" s="3030" customFormat="1">
      <c r="A2385" s="2126"/>
      <c r="B2385" s="2126"/>
      <c r="C2385" s="2126"/>
      <c r="D2385" s="2126"/>
      <c r="E2385" s="525"/>
      <c r="F2385" s="525"/>
      <c r="G2385" s="525"/>
      <c r="K2385" s="3280"/>
      <c r="AB2385" s="3280"/>
      <c r="AG2385" s="3865"/>
      <c r="AM2385" s="3041"/>
      <c r="BD2385" s="3280"/>
      <c r="BF2385" s="3041"/>
      <c r="BH2385" s="3282"/>
    </row>
    <row r="2386" spans="1:60" s="3030" customFormat="1">
      <c r="A2386" s="2126"/>
      <c r="B2386" s="2126"/>
      <c r="C2386" s="2126"/>
      <c r="D2386" s="2126"/>
      <c r="E2386" s="525"/>
      <c r="F2386" s="525"/>
      <c r="G2386" s="525"/>
      <c r="K2386" s="3280"/>
      <c r="AB2386" s="3280"/>
      <c r="AG2386" s="3865"/>
      <c r="AM2386" s="3041"/>
      <c r="BD2386" s="3280"/>
      <c r="BF2386" s="3041"/>
      <c r="BH2386" s="3282"/>
    </row>
    <row r="2387" spans="1:60" s="3030" customFormat="1">
      <c r="A2387" s="2126"/>
      <c r="B2387" s="2126"/>
      <c r="C2387" s="2126"/>
      <c r="D2387" s="2126"/>
      <c r="E2387" s="525"/>
      <c r="F2387" s="525"/>
      <c r="G2387" s="525"/>
      <c r="K2387" s="3280"/>
      <c r="AB2387" s="3280"/>
      <c r="AG2387" s="3865"/>
      <c r="AM2387" s="3041"/>
      <c r="BD2387" s="3280"/>
      <c r="BF2387" s="3041"/>
      <c r="BH2387" s="3282"/>
    </row>
    <row r="2388" spans="1:60" s="3030" customFormat="1">
      <c r="A2388" s="2126"/>
      <c r="B2388" s="2126"/>
      <c r="C2388" s="2126"/>
      <c r="D2388" s="2126"/>
      <c r="E2388" s="525"/>
      <c r="F2388" s="525"/>
      <c r="G2388" s="525"/>
      <c r="K2388" s="3280"/>
      <c r="AB2388" s="3280"/>
      <c r="AG2388" s="3865"/>
      <c r="AM2388" s="3041"/>
      <c r="BD2388" s="3280"/>
      <c r="BF2388" s="3041"/>
      <c r="BH2388" s="3282"/>
    </row>
    <row r="2389" spans="1:60" s="3030" customFormat="1">
      <c r="A2389" s="2126"/>
      <c r="B2389" s="2126"/>
      <c r="C2389" s="2126"/>
      <c r="D2389" s="2126"/>
      <c r="E2389" s="525"/>
      <c r="F2389" s="525"/>
      <c r="G2389" s="525"/>
      <c r="K2389" s="3280"/>
      <c r="AB2389" s="3280"/>
      <c r="AG2389" s="3865"/>
      <c r="AM2389" s="3041"/>
      <c r="BD2389" s="3280"/>
      <c r="BF2389" s="3041"/>
      <c r="BH2389" s="3282"/>
    </row>
    <row r="2390" spans="1:60" s="3030" customFormat="1">
      <c r="A2390" s="2126"/>
      <c r="B2390" s="2126"/>
      <c r="C2390" s="2126"/>
      <c r="D2390" s="2126"/>
      <c r="E2390" s="525"/>
      <c r="F2390" s="525"/>
      <c r="G2390" s="525"/>
      <c r="K2390" s="3280"/>
      <c r="AB2390" s="3280"/>
      <c r="AG2390" s="3865"/>
      <c r="AM2390" s="3041"/>
      <c r="BD2390" s="3280"/>
      <c r="BF2390" s="3041"/>
      <c r="BH2390" s="3282"/>
    </row>
    <row r="2391" spans="1:60" s="3030" customFormat="1">
      <c r="A2391" s="2126"/>
      <c r="B2391" s="2126"/>
      <c r="C2391" s="2126"/>
      <c r="D2391" s="2126"/>
      <c r="E2391" s="525"/>
      <c r="F2391" s="525"/>
      <c r="G2391" s="525"/>
      <c r="K2391" s="3280"/>
      <c r="AB2391" s="3280"/>
      <c r="AG2391" s="3865"/>
      <c r="AM2391" s="3041"/>
      <c r="BD2391" s="3280"/>
      <c r="BF2391" s="3041"/>
      <c r="BH2391" s="3282"/>
    </row>
    <row r="2392" spans="1:60" s="3030" customFormat="1">
      <c r="A2392" s="2126"/>
      <c r="B2392" s="2126"/>
      <c r="C2392" s="2126"/>
      <c r="D2392" s="2126"/>
      <c r="E2392" s="525"/>
      <c r="F2392" s="525"/>
      <c r="G2392" s="525"/>
      <c r="K2392" s="3280"/>
      <c r="AB2392" s="3280"/>
      <c r="AG2392" s="3865"/>
      <c r="AM2392" s="3041"/>
      <c r="BD2392" s="3280"/>
      <c r="BF2392" s="3041"/>
      <c r="BH2392" s="3282"/>
    </row>
    <row r="2393" spans="1:60" s="3030" customFormat="1">
      <c r="A2393" s="2126"/>
      <c r="B2393" s="2126"/>
      <c r="C2393" s="2126"/>
      <c r="D2393" s="2126"/>
      <c r="E2393" s="525"/>
      <c r="F2393" s="525"/>
      <c r="G2393" s="525"/>
      <c r="K2393" s="3280"/>
      <c r="AB2393" s="3280"/>
      <c r="AG2393" s="3865"/>
      <c r="AM2393" s="3041"/>
      <c r="BD2393" s="3280"/>
      <c r="BF2393" s="3041"/>
      <c r="BH2393" s="3282"/>
    </row>
    <row r="2394" spans="1:60" s="3030" customFormat="1">
      <c r="A2394" s="2126"/>
      <c r="B2394" s="2126"/>
      <c r="C2394" s="2126"/>
      <c r="D2394" s="2126"/>
      <c r="E2394" s="525"/>
      <c r="F2394" s="525"/>
      <c r="G2394" s="525"/>
      <c r="K2394" s="3280"/>
      <c r="AB2394" s="3280"/>
      <c r="AG2394" s="3865"/>
      <c r="AM2394" s="3041"/>
      <c r="BD2394" s="3280"/>
      <c r="BF2394" s="3041"/>
      <c r="BH2394" s="3282"/>
    </row>
    <row r="2395" spans="1:60" s="3030" customFormat="1">
      <c r="A2395" s="2126"/>
      <c r="B2395" s="2126"/>
      <c r="C2395" s="2126"/>
      <c r="D2395" s="2126"/>
      <c r="E2395" s="525"/>
      <c r="F2395" s="525"/>
      <c r="G2395" s="525"/>
      <c r="K2395" s="3280"/>
      <c r="AB2395" s="3280"/>
      <c r="AG2395" s="3865"/>
      <c r="AM2395" s="3041"/>
      <c r="BD2395" s="3280"/>
      <c r="BF2395" s="3041"/>
      <c r="BH2395" s="3282"/>
    </row>
    <row r="2396" spans="1:60" s="3030" customFormat="1">
      <c r="A2396" s="2126"/>
      <c r="B2396" s="2126"/>
      <c r="C2396" s="2126"/>
      <c r="D2396" s="2126"/>
      <c r="E2396" s="525"/>
      <c r="F2396" s="525"/>
      <c r="G2396" s="525"/>
      <c r="K2396" s="3280"/>
      <c r="AB2396" s="3280"/>
      <c r="AG2396" s="3865"/>
      <c r="AM2396" s="3041"/>
      <c r="BD2396" s="3280"/>
      <c r="BF2396" s="3041"/>
      <c r="BH2396" s="3282"/>
    </row>
    <row r="2397" spans="1:60" s="3030" customFormat="1">
      <c r="A2397" s="2126"/>
      <c r="B2397" s="2126"/>
      <c r="C2397" s="2126"/>
      <c r="D2397" s="2126"/>
      <c r="E2397" s="525"/>
      <c r="F2397" s="525"/>
      <c r="G2397" s="525"/>
      <c r="K2397" s="3280"/>
      <c r="AB2397" s="3280"/>
      <c r="AG2397" s="3865"/>
      <c r="AM2397" s="3041"/>
      <c r="BD2397" s="3280"/>
      <c r="BF2397" s="3041"/>
      <c r="BH2397" s="3282"/>
    </row>
    <row r="2398" spans="1:60" s="3030" customFormat="1">
      <c r="A2398" s="2126"/>
      <c r="B2398" s="2126"/>
      <c r="C2398" s="2126"/>
      <c r="D2398" s="2126"/>
      <c r="E2398" s="525"/>
      <c r="F2398" s="525"/>
      <c r="G2398" s="525"/>
      <c r="K2398" s="3280"/>
      <c r="AB2398" s="3280"/>
      <c r="AG2398" s="3865"/>
      <c r="AM2398" s="3041"/>
      <c r="BD2398" s="3280"/>
      <c r="BF2398" s="3041"/>
      <c r="BH2398" s="3282"/>
    </row>
    <row r="2399" spans="1:60" s="3030" customFormat="1">
      <c r="A2399" s="2126"/>
      <c r="B2399" s="2126"/>
      <c r="C2399" s="2126"/>
      <c r="D2399" s="2126"/>
      <c r="E2399" s="525"/>
      <c r="F2399" s="525"/>
      <c r="G2399" s="525"/>
      <c r="K2399" s="3280"/>
      <c r="AB2399" s="3280"/>
      <c r="AG2399" s="3865"/>
      <c r="AM2399" s="3041"/>
      <c r="BD2399" s="3280"/>
      <c r="BF2399" s="3041"/>
      <c r="BH2399" s="3282"/>
    </row>
    <row r="2400" spans="1:60" s="3030" customFormat="1">
      <c r="A2400" s="2126"/>
      <c r="B2400" s="2126"/>
      <c r="C2400" s="2126"/>
      <c r="D2400" s="2126"/>
      <c r="E2400" s="525"/>
      <c r="F2400" s="525"/>
      <c r="G2400" s="525"/>
      <c r="K2400" s="3280"/>
      <c r="AB2400" s="3280"/>
      <c r="AG2400" s="3865"/>
      <c r="AM2400" s="3041"/>
      <c r="BD2400" s="3280"/>
      <c r="BF2400" s="3041"/>
      <c r="BH2400" s="3282"/>
    </row>
    <row r="2401" spans="1:60" s="3030" customFormat="1">
      <c r="A2401" s="2126"/>
      <c r="B2401" s="2126"/>
      <c r="C2401" s="2126"/>
      <c r="D2401" s="2126"/>
      <c r="E2401" s="525"/>
      <c r="F2401" s="525"/>
      <c r="G2401" s="525"/>
      <c r="K2401" s="3280"/>
      <c r="AB2401" s="3280"/>
      <c r="AG2401" s="3865"/>
      <c r="AM2401" s="3041"/>
      <c r="BD2401" s="3280"/>
      <c r="BF2401" s="3041"/>
      <c r="BH2401" s="3282"/>
    </row>
    <row r="2402" spans="1:60" s="3030" customFormat="1">
      <c r="A2402" s="2126"/>
      <c r="B2402" s="2126"/>
      <c r="C2402" s="2126"/>
      <c r="D2402" s="2126"/>
      <c r="E2402" s="525"/>
      <c r="F2402" s="525"/>
      <c r="G2402" s="525"/>
      <c r="K2402" s="3280"/>
      <c r="AB2402" s="3280"/>
      <c r="AG2402" s="3865"/>
      <c r="AM2402" s="3041"/>
      <c r="BD2402" s="3280"/>
      <c r="BF2402" s="3041"/>
      <c r="BH2402" s="3282"/>
    </row>
    <row r="2403" spans="1:60" s="3030" customFormat="1">
      <c r="A2403" s="2126"/>
      <c r="B2403" s="2126"/>
      <c r="C2403" s="2126"/>
      <c r="D2403" s="2126"/>
      <c r="E2403" s="525"/>
      <c r="F2403" s="525"/>
      <c r="G2403" s="525"/>
      <c r="K2403" s="3280"/>
      <c r="AB2403" s="3280"/>
      <c r="AG2403" s="3865"/>
      <c r="AM2403" s="3041"/>
      <c r="BD2403" s="3280"/>
      <c r="BF2403" s="3041"/>
      <c r="BH2403" s="3282"/>
    </row>
    <row r="2404" spans="1:60" s="3030" customFormat="1">
      <c r="A2404" s="2126"/>
      <c r="B2404" s="2126"/>
      <c r="C2404" s="2126"/>
      <c r="D2404" s="2126"/>
      <c r="E2404" s="525"/>
      <c r="F2404" s="525"/>
      <c r="G2404" s="525"/>
      <c r="K2404" s="3280"/>
      <c r="AB2404" s="3280"/>
      <c r="AG2404" s="3865"/>
      <c r="AM2404" s="3041"/>
      <c r="BD2404" s="3280"/>
      <c r="BF2404" s="3041"/>
      <c r="BH2404" s="3282"/>
    </row>
    <row r="2405" spans="1:60" s="3030" customFormat="1">
      <c r="A2405" s="2126"/>
      <c r="B2405" s="2126"/>
      <c r="C2405" s="2126"/>
      <c r="D2405" s="2126"/>
      <c r="E2405" s="525"/>
      <c r="F2405" s="525"/>
      <c r="G2405" s="525"/>
      <c r="K2405" s="3280"/>
      <c r="AB2405" s="3280"/>
      <c r="AG2405" s="3865"/>
      <c r="AM2405" s="3041"/>
      <c r="BD2405" s="3280"/>
      <c r="BF2405" s="3041"/>
      <c r="BH2405" s="3282"/>
    </row>
    <row r="2406" spans="1:60" s="3030" customFormat="1">
      <c r="A2406" s="2126"/>
      <c r="B2406" s="2126"/>
      <c r="C2406" s="2126"/>
      <c r="D2406" s="2126"/>
      <c r="E2406" s="525"/>
      <c r="F2406" s="525"/>
      <c r="G2406" s="525"/>
      <c r="K2406" s="3280"/>
      <c r="AB2406" s="3280"/>
      <c r="AG2406" s="3865"/>
      <c r="AM2406" s="3041"/>
      <c r="BD2406" s="3280"/>
      <c r="BF2406" s="3041"/>
      <c r="BH2406" s="3282"/>
    </row>
    <row r="2407" spans="1:60" s="3030" customFormat="1">
      <c r="A2407" s="2126"/>
      <c r="B2407" s="2126"/>
      <c r="C2407" s="2126"/>
      <c r="D2407" s="2126"/>
      <c r="E2407" s="525"/>
      <c r="F2407" s="525"/>
      <c r="G2407" s="525"/>
      <c r="K2407" s="3280"/>
      <c r="AB2407" s="3280"/>
      <c r="AG2407" s="3865"/>
      <c r="AM2407" s="3041"/>
      <c r="BD2407" s="3280"/>
      <c r="BF2407" s="3041"/>
      <c r="BH2407" s="3282"/>
    </row>
    <row r="2408" spans="1:60" s="3030" customFormat="1">
      <c r="A2408" s="2126"/>
      <c r="B2408" s="2126"/>
      <c r="C2408" s="2126"/>
      <c r="D2408" s="2126"/>
      <c r="E2408" s="525"/>
      <c r="F2408" s="525"/>
      <c r="G2408" s="525"/>
      <c r="K2408" s="3280"/>
      <c r="AB2408" s="3280"/>
      <c r="AG2408" s="3865"/>
      <c r="AM2408" s="3041"/>
      <c r="BD2408" s="3280"/>
      <c r="BF2408" s="3041"/>
      <c r="BH2408" s="3282"/>
    </row>
    <row r="2409" spans="1:60" s="3030" customFormat="1">
      <c r="A2409" s="2126"/>
      <c r="B2409" s="2126"/>
      <c r="C2409" s="2126"/>
      <c r="D2409" s="2126"/>
      <c r="E2409" s="525"/>
      <c r="F2409" s="525"/>
      <c r="G2409" s="525"/>
      <c r="K2409" s="3280"/>
      <c r="AB2409" s="3280"/>
      <c r="AG2409" s="3865"/>
      <c r="AM2409" s="3041"/>
      <c r="BD2409" s="3280"/>
      <c r="BF2409" s="3041"/>
      <c r="BH2409" s="3282"/>
    </row>
    <row r="2410" spans="1:60" s="3030" customFormat="1">
      <c r="A2410" s="2126"/>
      <c r="B2410" s="2126"/>
      <c r="C2410" s="2126"/>
      <c r="D2410" s="2126"/>
      <c r="E2410" s="525"/>
      <c r="F2410" s="525"/>
      <c r="G2410" s="525"/>
      <c r="K2410" s="3280"/>
      <c r="AB2410" s="3280"/>
      <c r="AG2410" s="3865"/>
      <c r="AM2410" s="3041"/>
      <c r="BD2410" s="3280"/>
      <c r="BF2410" s="3041"/>
      <c r="BH2410" s="3282"/>
    </row>
    <row r="2411" spans="1:60" s="3030" customFormat="1">
      <c r="A2411" s="2126"/>
      <c r="B2411" s="2126"/>
      <c r="C2411" s="2126"/>
      <c r="D2411" s="2126"/>
      <c r="E2411" s="525"/>
      <c r="F2411" s="525"/>
      <c r="G2411" s="525"/>
      <c r="K2411" s="3280"/>
      <c r="AB2411" s="3280"/>
      <c r="AG2411" s="3865"/>
      <c r="AM2411" s="3041"/>
      <c r="BD2411" s="3280"/>
      <c r="BF2411" s="3041"/>
      <c r="BH2411" s="3282"/>
    </row>
    <row r="2412" spans="1:60" s="3030" customFormat="1">
      <c r="A2412" s="2126"/>
      <c r="B2412" s="2126"/>
      <c r="C2412" s="2126"/>
      <c r="D2412" s="2126"/>
      <c r="E2412" s="525"/>
      <c r="F2412" s="525"/>
      <c r="G2412" s="525"/>
      <c r="K2412" s="3280"/>
      <c r="AB2412" s="3280"/>
      <c r="AG2412" s="3865"/>
      <c r="AM2412" s="3041"/>
      <c r="BD2412" s="3280"/>
      <c r="BF2412" s="3041"/>
      <c r="BH2412" s="3282"/>
    </row>
    <row r="2413" spans="1:60" s="3030" customFormat="1">
      <c r="A2413" s="2126"/>
      <c r="B2413" s="2126"/>
      <c r="C2413" s="2126"/>
      <c r="D2413" s="2126"/>
      <c r="E2413" s="525"/>
      <c r="F2413" s="525"/>
      <c r="G2413" s="525"/>
      <c r="K2413" s="3280"/>
      <c r="AB2413" s="3280"/>
      <c r="AG2413" s="3865"/>
      <c r="AM2413" s="3041"/>
      <c r="BD2413" s="3280"/>
      <c r="BF2413" s="3041"/>
      <c r="BH2413" s="3282"/>
    </row>
    <row r="2414" spans="1:60" s="3030" customFormat="1">
      <c r="A2414" s="2126"/>
      <c r="B2414" s="2126"/>
      <c r="C2414" s="2126"/>
      <c r="D2414" s="2126"/>
      <c r="E2414" s="525"/>
      <c r="F2414" s="525"/>
      <c r="G2414" s="525"/>
      <c r="K2414" s="3280"/>
      <c r="AB2414" s="3280"/>
      <c r="AG2414" s="3865"/>
      <c r="AM2414" s="3041"/>
      <c r="BD2414" s="3280"/>
      <c r="BF2414" s="3041"/>
      <c r="BH2414" s="3282"/>
    </row>
    <row r="2415" spans="1:60" s="3030" customFormat="1">
      <c r="A2415" s="2126"/>
      <c r="B2415" s="2126"/>
      <c r="C2415" s="2126"/>
      <c r="D2415" s="2126"/>
      <c r="E2415" s="525"/>
      <c r="F2415" s="525"/>
      <c r="G2415" s="525"/>
      <c r="K2415" s="3280"/>
      <c r="AB2415" s="3280"/>
      <c r="AG2415" s="3865"/>
      <c r="AM2415" s="3041"/>
      <c r="BD2415" s="3280"/>
      <c r="BF2415" s="3041"/>
      <c r="BH2415" s="3282"/>
    </row>
    <row r="2416" spans="1:60" s="3030" customFormat="1">
      <c r="A2416" s="2126"/>
      <c r="B2416" s="2126"/>
      <c r="C2416" s="2126"/>
      <c r="D2416" s="2126"/>
      <c r="E2416" s="525"/>
      <c r="F2416" s="525"/>
      <c r="G2416" s="525"/>
      <c r="K2416" s="3280"/>
      <c r="AB2416" s="3280"/>
      <c r="AG2416" s="3865"/>
      <c r="AM2416" s="3041"/>
      <c r="BD2416" s="3280"/>
      <c r="BF2416" s="3041"/>
      <c r="BH2416" s="3282"/>
    </row>
    <row r="2417" spans="1:60" s="3030" customFormat="1">
      <c r="A2417" s="2126"/>
      <c r="B2417" s="2126"/>
      <c r="C2417" s="2126"/>
      <c r="D2417" s="2126"/>
      <c r="E2417" s="525"/>
      <c r="F2417" s="525"/>
      <c r="G2417" s="525"/>
      <c r="K2417" s="3280"/>
      <c r="AB2417" s="3280"/>
      <c r="AG2417" s="3865"/>
      <c r="AM2417" s="3041"/>
      <c r="BD2417" s="3280"/>
      <c r="BF2417" s="3041"/>
      <c r="BH2417" s="3282"/>
    </row>
    <row r="2418" spans="1:60" s="3030" customFormat="1">
      <c r="A2418" s="2126"/>
      <c r="B2418" s="2126"/>
      <c r="C2418" s="2126"/>
      <c r="D2418" s="2126"/>
      <c r="E2418" s="525"/>
      <c r="F2418" s="525"/>
      <c r="G2418" s="525"/>
      <c r="K2418" s="3280"/>
      <c r="AB2418" s="3280"/>
      <c r="AG2418" s="3865"/>
      <c r="AM2418" s="3041"/>
      <c r="BD2418" s="3280"/>
      <c r="BF2418" s="3041"/>
      <c r="BH2418" s="3282"/>
    </row>
    <row r="2419" spans="1:60" s="3030" customFormat="1">
      <c r="A2419" s="2126"/>
      <c r="B2419" s="2126"/>
      <c r="C2419" s="2126"/>
      <c r="D2419" s="2126"/>
      <c r="E2419" s="525"/>
      <c r="F2419" s="525"/>
      <c r="G2419" s="525"/>
      <c r="K2419" s="3280"/>
      <c r="AB2419" s="3280"/>
      <c r="AG2419" s="3865"/>
      <c r="AM2419" s="3041"/>
      <c r="BD2419" s="3280"/>
      <c r="BF2419" s="3041"/>
      <c r="BH2419" s="3282"/>
    </row>
    <row r="2420" spans="1:60" s="3030" customFormat="1">
      <c r="A2420" s="2126"/>
      <c r="B2420" s="2126"/>
      <c r="C2420" s="2126"/>
      <c r="D2420" s="2126"/>
      <c r="E2420" s="525"/>
      <c r="F2420" s="525"/>
      <c r="G2420" s="525"/>
      <c r="K2420" s="3280"/>
      <c r="AB2420" s="3280"/>
      <c r="AG2420" s="3865"/>
      <c r="AM2420" s="3041"/>
      <c r="BD2420" s="3280"/>
      <c r="BF2420" s="3041"/>
      <c r="BH2420" s="3282"/>
    </row>
    <row r="2421" spans="1:60" s="3030" customFormat="1">
      <c r="A2421" s="2126"/>
      <c r="B2421" s="2126"/>
      <c r="C2421" s="2126"/>
      <c r="D2421" s="2126"/>
      <c r="E2421" s="525"/>
      <c r="F2421" s="525"/>
      <c r="G2421" s="525"/>
      <c r="K2421" s="3280"/>
      <c r="AB2421" s="3280"/>
      <c r="AG2421" s="3865"/>
      <c r="AM2421" s="3041"/>
      <c r="BD2421" s="3280"/>
      <c r="BF2421" s="3041"/>
      <c r="BH2421" s="3282"/>
    </row>
    <row r="2422" spans="1:60" s="3030" customFormat="1">
      <c r="A2422" s="2126"/>
      <c r="B2422" s="2126"/>
      <c r="C2422" s="2126"/>
      <c r="D2422" s="2126"/>
      <c r="E2422" s="525"/>
      <c r="F2422" s="525"/>
      <c r="G2422" s="525"/>
      <c r="K2422" s="3280"/>
      <c r="AB2422" s="3280"/>
      <c r="AG2422" s="3865"/>
      <c r="AM2422" s="3041"/>
      <c r="BD2422" s="3280"/>
      <c r="BF2422" s="3041"/>
      <c r="BH2422" s="3282"/>
    </row>
    <row r="2423" spans="1:60" s="3030" customFormat="1">
      <c r="A2423" s="2126"/>
      <c r="B2423" s="2126"/>
      <c r="C2423" s="2126"/>
      <c r="D2423" s="2126"/>
      <c r="E2423" s="525"/>
      <c r="F2423" s="525"/>
      <c r="G2423" s="525"/>
      <c r="K2423" s="3280"/>
      <c r="AB2423" s="3280"/>
      <c r="AG2423" s="3865"/>
      <c r="AM2423" s="3041"/>
      <c r="BD2423" s="3280"/>
      <c r="BF2423" s="3041"/>
      <c r="BH2423" s="3282"/>
    </row>
    <row r="2424" spans="1:60" s="3030" customFormat="1">
      <c r="A2424" s="2126"/>
      <c r="B2424" s="2126"/>
      <c r="C2424" s="2126"/>
      <c r="D2424" s="2126"/>
      <c r="E2424" s="525"/>
      <c r="F2424" s="525"/>
      <c r="G2424" s="525"/>
      <c r="K2424" s="3280"/>
      <c r="AB2424" s="3280"/>
      <c r="AG2424" s="3865"/>
      <c r="AM2424" s="3041"/>
      <c r="BD2424" s="3280"/>
      <c r="BF2424" s="3041"/>
      <c r="BH2424" s="3282"/>
    </row>
    <row r="2425" spans="1:60" s="3030" customFormat="1">
      <c r="A2425" s="2126"/>
      <c r="B2425" s="2126"/>
      <c r="C2425" s="2126"/>
      <c r="D2425" s="2126"/>
      <c r="E2425" s="525"/>
      <c r="F2425" s="525"/>
      <c r="G2425" s="525"/>
      <c r="K2425" s="3280"/>
      <c r="AB2425" s="3280"/>
      <c r="AG2425" s="3865"/>
      <c r="AM2425" s="3041"/>
      <c r="BD2425" s="3280"/>
      <c r="BF2425" s="3041"/>
      <c r="BH2425" s="3282"/>
    </row>
    <row r="2426" spans="1:60" s="3030" customFormat="1">
      <c r="A2426" s="2126"/>
      <c r="B2426" s="2126"/>
      <c r="C2426" s="2126"/>
      <c r="D2426" s="2126"/>
      <c r="E2426" s="525"/>
      <c r="F2426" s="525"/>
      <c r="G2426" s="525"/>
      <c r="K2426" s="3280"/>
      <c r="AB2426" s="3280"/>
      <c r="AG2426" s="3865"/>
      <c r="AM2426" s="3041"/>
      <c r="BD2426" s="3280"/>
      <c r="BF2426" s="3041"/>
      <c r="BH2426" s="3282"/>
    </row>
    <row r="2427" spans="1:60" s="3030" customFormat="1">
      <c r="A2427" s="2126"/>
      <c r="B2427" s="2126"/>
      <c r="C2427" s="2126"/>
      <c r="D2427" s="2126"/>
      <c r="E2427" s="525"/>
      <c r="F2427" s="525"/>
      <c r="G2427" s="525"/>
      <c r="K2427" s="3280"/>
      <c r="AB2427" s="3280"/>
      <c r="AG2427" s="3865"/>
      <c r="AM2427" s="3041"/>
      <c r="BD2427" s="3280"/>
      <c r="BF2427" s="3041"/>
      <c r="BH2427" s="3282"/>
    </row>
    <row r="2428" spans="1:60" s="3030" customFormat="1">
      <c r="A2428" s="2126"/>
      <c r="B2428" s="2126"/>
      <c r="C2428" s="2126"/>
      <c r="D2428" s="2126"/>
      <c r="E2428" s="525"/>
      <c r="F2428" s="525"/>
      <c r="G2428" s="525"/>
      <c r="K2428" s="3280"/>
      <c r="AB2428" s="3280"/>
      <c r="AG2428" s="3865"/>
      <c r="AM2428" s="3041"/>
      <c r="BD2428" s="3280"/>
      <c r="BF2428" s="3041"/>
      <c r="BH2428" s="3282"/>
    </row>
    <row r="2429" spans="1:60" s="3030" customFormat="1">
      <c r="A2429" s="2126"/>
      <c r="B2429" s="2126"/>
      <c r="C2429" s="2126"/>
      <c r="D2429" s="2126"/>
      <c r="E2429" s="525"/>
      <c r="F2429" s="525"/>
      <c r="G2429" s="525"/>
      <c r="K2429" s="3280"/>
      <c r="AB2429" s="3280"/>
      <c r="AG2429" s="3865"/>
      <c r="AM2429" s="3041"/>
      <c r="BD2429" s="3280"/>
      <c r="BF2429" s="3041"/>
      <c r="BH2429" s="3282"/>
    </row>
    <row r="2430" spans="1:60" s="3030" customFormat="1">
      <c r="A2430" s="2126"/>
      <c r="B2430" s="2126"/>
      <c r="C2430" s="2126"/>
      <c r="D2430" s="2126"/>
      <c r="E2430" s="525"/>
      <c r="F2430" s="525"/>
      <c r="G2430" s="525"/>
      <c r="K2430" s="3280"/>
      <c r="AB2430" s="3280"/>
      <c r="AG2430" s="3865"/>
      <c r="AM2430" s="3041"/>
      <c r="BD2430" s="3280"/>
      <c r="BF2430" s="3041"/>
      <c r="BH2430" s="3282"/>
    </row>
    <row r="2431" spans="1:60" s="3030" customFormat="1">
      <c r="A2431" s="2126"/>
      <c r="B2431" s="2126"/>
      <c r="C2431" s="2126"/>
      <c r="D2431" s="2126"/>
      <c r="E2431" s="525"/>
      <c r="F2431" s="525"/>
      <c r="G2431" s="525"/>
      <c r="K2431" s="3280"/>
      <c r="AB2431" s="3280"/>
      <c r="AG2431" s="3865"/>
      <c r="AM2431" s="3041"/>
      <c r="BD2431" s="3280"/>
      <c r="BF2431" s="3041"/>
      <c r="BH2431" s="3282"/>
    </row>
    <row r="2432" spans="1:60" s="3030" customFormat="1">
      <c r="A2432" s="2126"/>
      <c r="B2432" s="2126"/>
      <c r="C2432" s="2126"/>
      <c r="D2432" s="2126"/>
      <c r="E2432" s="525"/>
      <c r="F2432" s="525"/>
      <c r="G2432" s="525"/>
      <c r="K2432" s="3280"/>
      <c r="AB2432" s="3280"/>
      <c r="AG2432" s="3865"/>
      <c r="AM2432" s="3041"/>
      <c r="BD2432" s="3280"/>
      <c r="BF2432" s="3041"/>
      <c r="BH2432" s="3282"/>
    </row>
    <row r="2433" spans="1:60" s="3030" customFormat="1">
      <c r="A2433" s="2126"/>
      <c r="B2433" s="2126"/>
      <c r="C2433" s="2126"/>
      <c r="D2433" s="2126"/>
      <c r="E2433" s="525"/>
      <c r="F2433" s="525"/>
      <c r="G2433" s="525"/>
      <c r="K2433" s="3280"/>
      <c r="AB2433" s="3280"/>
      <c r="AG2433" s="3865"/>
      <c r="AM2433" s="3041"/>
      <c r="BD2433" s="3280"/>
      <c r="BF2433" s="3041"/>
      <c r="BH2433" s="3282"/>
    </row>
    <row r="2434" spans="1:60" s="3030" customFormat="1">
      <c r="A2434" s="2126"/>
      <c r="B2434" s="2126"/>
      <c r="C2434" s="2126"/>
      <c r="D2434" s="2126"/>
      <c r="E2434" s="525"/>
      <c r="F2434" s="525"/>
      <c r="G2434" s="525"/>
      <c r="K2434" s="3280"/>
      <c r="AB2434" s="3280"/>
      <c r="AG2434" s="3865"/>
      <c r="AM2434" s="3041"/>
      <c r="BD2434" s="3280"/>
      <c r="BF2434" s="3041"/>
      <c r="BH2434" s="3282"/>
    </row>
    <row r="2435" spans="1:60" s="3030" customFormat="1">
      <c r="A2435" s="2126"/>
      <c r="B2435" s="2126"/>
      <c r="C2435" s="2126"/>
      <c r="D2435" s="2126"/>
      <c r="E2435" s="525"/>
      <c r="F2435" s="525"/>
      <c r="G2435" s="525"/>
      <c r="K2435" s="3280"/>
      <c r="AB2435" s="3280"/>
      <c r="AG2435" s="3865"/>
      <c r="AM2435" s="3041"/>
      <c r="BD2435" s="3280"/>
      <c r="BF2435" s="3041"/>
      <c r="BH2435" s="3282"/>
    </row>
    <row r="2436" spans="1:60" s="3030" customFormat="1">
      <c r="A2436" s="2126"/>
      <c r="B2436" s="2126"/>
      <c r="C2436" s="2126"/>
      <c r="D2436" s="2126"/>
      <c r="E2436" s="525"/>
      <c r="F2436" s="525"/>
      <c r="G2436" s="525"/>
      <c r="K2436" s="3280"/>
      <c r="AB2436" s="3280"/>
      <c r="AG2436" s="3865"/>
      <c r="AM2436" s="3041"/>
      <c r="BD2436" s="3280"/>
      <c r="BF2436" s="3041"/>
      <c r="BH2436" s="3282"/>
    </row>
    <row r="2437" spans="1:60" s="3030" customFormat="1">
      <c r="A2437" s="2126"/>
      <c r="B2437" s="2126"/>
      <c r="C2437" s="2126"/>
      <c r="D2437" s="2126"/>
      <c r="E2437" s="525"/>
      <c r="F2437" s="525"/>
      <c r="G2437" s="525"/>
      <c r="K2437" s="3280"/>
      <c r="AB2437" s="3280"/>
      <c r="AG2437" s="3865"/>
      <c r="AM2437" s="3041"/>
      <c r="BD2437" s="3280"/>
      <c r="BF2437" s="3041"/>
      <c r="BH2437" s="3282"/>
    </row>
    <row r="2438" spans="1:60" s="3030" customFormat="1">
      <c r="A2438" s="2126"/>
      <c r="B2438" s="2126"/>
      <c r="C2438" s="2126"/>
      <c r="D2438" s="2126"/>
      <c r="E2438" s="525"/>
      <c r="F2438" s="525"/>
      <c r="G2438" s="525"/>
      <c r="K2438" s="3280"/>
      <c r="AB2438" s="3280"/>
      <c r="AG2438" s="3865"/>
      <c r="AM2438" s="3041"/>
      <c r="BD2438" s="3280"/>
      <c r="BF2438" s="3041"/>
      <c r="BH2438" s="3282"/>
    </row>
    <row r="2439" spans="1:60" s="3030" customFormat="1">
      <c r="A2439" s="2126"/>
      <c r="B2439" s="2126"/>
      <c r="C2439" s="2126"/>
      <c r="D2439" s="2126"/>
      <c r="E2439" s="525"/>
      <c r="F2439" s="525"/>
      <c r="G2439" s="525"/>
      <c r="K2439" s="3280"/>
      <c r="AB2439" s="3280"/>
      <c r="AG2439" s="3865"/>
      <c r="AM2439" s="3041"/>
      <c r="BD2439" s="3280"/>
      <c r="BF2439" s="3041"/>
      <c r="BH2439" s="3282"/>
    </row>
    <row r="2440" spans="1:60" s="3030" customFormat="1">
      <c r="A2440" s="2126"/>
      <c r="B2440" s="2126"/>
      <c r="C2440" s="2126"/>
      <c r="D2440" s="2126"/>
      <c r="E2440" s="525"/>
      <c r="F2440" s="525"/>
      <c r="G2440" s="525"/>
      <c r="K2440" s="3280"/>
      <c r="AB2440" s="3280"/>
      <c r="AG2440" s="3865"/>
      <c r="AM2440" s="3041"/>
      <c r="BD2440" s="3280"/>
      <c r="BF2440" s="3041"/>
      <c r="BH2440" s="3282"/>
    </row>
    <row r="2441" spans="1:60" s="3030" customFormat="1">
      <c r="A2441" s="2126"/>
      <c r="B2441" s="2126"/>
      <c r="C2441" s="2126"/>
      <c r="D2441" s="2126"/>
      <c r="E2441" s="525"/>
      <c r="F2441" s="525"/>
      <c r="G2441" s="525"/>
      <c r="K2441" s="3280"/>
      <c r="AB2441" s="3280"/>
      <c r="AG2441" s="3865"/>
      <c r="AM2441" s="3041"/>
      <c r="BD2441" s="3280"/>
      <c r="BF2441" s="3041"/>
      <c r="BH2441" s="3282"/>
    </row>
    <row r="2442" spans="1:60" s="3030" customFormat="1">
      <c r="A2442" s="2126"/>
      <c r="B2442" s="2126"/>
      <c r="C2442" s="2126"/>
      <c r="D2442" s="2126"/>
      <c r="E2442" s="525"/>
      <c r="F2442" s="525"/>
      <c r="G2442" s="525"/>
      <c r="K2442" s="3280"/>
      <c r="AB2442" s="3280"/>
      <c r="AG2442" s="3865"/>
      <c r="AM2442" s="3041"/>
      <c r="BD2442" s="3280"/>
      <c r="BF2442" s="3041"/>
      <c r="BH2442" s="3282"/>
    </row>
    <row r="2443" spans="1:60" s="3030" customFormat="1">
      <c r="A2443" s="2126"/>
      <c r="B2443" s="2126"/>
      <c r="C2443" s="2126"/>
      <c r="D2443" s="2126"/>
      <c r="E2443" s="525"/>
      <c r="F2443" s="525"/>
      <c r="G2443" s="525"/>
      <c r="K2443" s="3280"/>
      <c r="AB2443" s="3280"/>
      <c r="AG2443" s="3865"/>
      <c r="AM2443" s="3041"/>
      <c r="BD2443" s="3280"/>
      <c r="BF2443" s="3041"/>
      <c r="BH2443" s="3282"/>
    </row>
    <row r="2444" spans="1:60" s="3030" customFormat="1">
      <c r="A2444" s="2126"/>
      <c r="B2444" s="2126"/>
      <c r="C2444" s="2126"/>
      <c r="D2444" s="2126"/>
      <c r="E2444" s="525"/>
      <c r="F2444" s="525"/>
      <c r="G2444" s="525"/>
      <c r="K2444" s="3280"/>
      <c r="AB2444" s="3280"/>
      <c r="AG2444" s="3865"/>
      <c r="AM2444" s="3041"/>
      <c r="BD2444" s="3280"/>
      <c r="BF2444" s="3041"/>
      <c r="BH2444" s="3282"/>
    </row>
    <row r="2445" spans="1:60" s="3030" customFormat="1">
      <c r="A2445" s="2126"/>
      <c r="B2445" s="2126"/>
      <c r="C2445" s="2126"/>
      <c r="D2445" s="2126"/>
      <c r="E2445" s="525"/>
      <c r="F2445" s="525"/>
      <c r="G2445" s="525"/>
      <c r="K2445" s="3280"/>
      <c r="AB2445" s="3280"/>
      <c r="AG2445" s="3865"/>
      <c r="AM2445" s="3041"/>
      <c r="BD2445" s="3280"/>
      <c r="BF2445" s="3041"/>
      <c r="BH2445" s="3282"/>
    </row>
    <row r="2446" spans="1:60" s="3030" customFormat="1">
      <c r="A2446" s="2126"/>
      <c r="B2446" s="2126"/>
      <c r="C2446" s="2126"/>
      <c r="D2446" s="2126"/>
      <c r="E2446" s="525"/>
      <c r="F2446" s="525"/>
      <c r="G2446" s="525"/>
      <c r="K2446" s="3280"/>
      <c r="AB2446" s="3280"/>
      <c r="AG2446" s="3865"/>
      <c r="AM2446" s="3041"/>
      <c r="BD2446" s="3280"/>
      <c r="BF2446" s="3041"/>
      <c r="BH2446" s="3282"/>
    </row>
    <row r="2447" spans="1:60" s="3030" customFormat="1">
      <c r="A2447" s="2126"/>
      <c r="B2447" s="2126"/>
      <c r="C2447" s="2126"/>
      <c r="D2447" s="2126"/>
      <c r="E2447" s="525"/>
      <c r="F2447" s="525"/>
      <c r="G2447" s="525"/>
      <c r="K2447" s="3280"/>
      <c r="AB2447" s="3280"/>
      <c r="AG2447" s="3865"/>
      <c r="AM2447" s="3041"/>
      <c r="BD2447" s="3280"/>
      <c r="BF2447" s="3041"/>
      <c r="BH2447" s="3282"/>
    </row>
    <row r="2448" spans="1:60" s="3030" customFormat="1">
      <c r="A2448" s="2126"/>
      <c r="B2448" s="2126"/>
      <c r="C2448" s="2126"/>
      <c r="D2448" s="2126"/>
      <c r="E2448" s="525"/>
      <c r="F2448" s="525"/>
      <c r="G2448" s="525"/>
      <c r="K2448" s="3280"/>
      <c r="AB2448" s="3280"/>
      <c r="AG2448" s="3865"/>
      <c r="AM2448" s="3041"/>
      <c r="BD2448" s="3280"/>
      <c r="BF2448" s="3041"/>
      <c r="BH2448" s="3282"/>
    </row>
    <row r="2449" spans="1:60" s="3030" customFormat="1">
      <c r="A2449" s="2126"/>
      <c r="B2449" s="2126"/>
      <c r="C2449" s="2126"/>
      <c r="D2449" s="2126"/>
      <c r="E2449" s="525"/>
      <c r="F2449" s="525"/>
      <c r="G2449" s="525"/>
      <c r="K2449" s="3280"/>
      <c r="AB2449" s="3280"/>
      <c r="AG2449" s="3865"/>
      <c r="AM2449" s="3041"/>
      <c r="BD2449" s="3280"/>
      <c r="BF2449" s="3041"/>
      <c r="BH2449" s="3282"/>
    </row>
    <row r="2450" spans="1:60" s="3030" customFormat="1">
      <c r="A2450" s="2126"/>
      <c r="B2450" s="2126"/>
      <c r="C2450" s="2126"/>
      <c r="D2450" s="2126"/>
      <c r="E2450" s="525"/>
      <c r="F2450" s="525"/>
      <c r="G2450" s="525"/>
      <c r="K2450" s="3280"/>
      <c r="AB2450" s="3280"/>
      <c r="AG2450" s="3865"/>
      <c r="AM2450" s="3041"/>
      <c r="BD2450" s="3280"/>
      <c r="BF2450" s="3041"/>
      <c r="BH2450" s="3282"/>
    </row>
    <row r="2451" spans="1:60" s="3030" customFormat="1">
      <c r="A2451" s="2126"/>
      <c r="B2451" s="2126"/>
      <c r="C2451" s="2126"/>
      <c r="D2451" s="2126"/>
      <c r="E2451" s="525"/>
      <c r="F2451" s="525"/>
      <c r="G2451" s="525"/>
      <c r="K2451" s="3280"/>
      <c r="AB2451" s="3280"/>
      <c r="AG2451" s="3865"/>
      <c r="AM2451" s="3041"/>
      <c r="BD2451" s="3280"/>
      <c r="BF2451" s="3041"/>
      <c r="BH2451" s="3282"/>
    </row>
    <row r="2452" spans="1:60" s="3030" customFormat="1">
      <c r="A2452" s="2126"/>
      <c r="B2452" s="2126"/>
      <c r="C2452" s="2126"/>
      <c r="D2452" s="2126"/>
      <c r="E2452" s="525"/>
      <c r="F2452" s="525"/>
      <c r="G2452" s="525"/>
      <c r="K2452" s="3280"/>
      <c r="AB2452" s="3280"/>
      <c r="AG2452" s="3865"/>
      <c r="AM2452" s="3041"/>
      <c r="BD2452" s="3280"/>
      <c r="BF2452" s="3041"/>
      <c r="BH2452" s="3282"/>
    </row>
    <row r="2453" spans="1:60" s="3030" customFormat="1">
      <c r="A2453" s="2126"/>
      <c r="B2453" s="2126"/>
      <c r="C2453" s="2126"/>
      <c r="D2453" s="2126"/>
      <c r="E2453" s="525"/>
      <c r="F2453" s="525"/>
      <c r="G2453" s="525"/>
      <c r="K2453" s="3280"/>
      <c r="AB2453" s="3280"/>
      <c r="AG2453" s="3865"/>
      <c r="AM2453" s="3041"/>
      <c r="BD2453" s="3280"/>
      <c r="BF2453" s="3041"/>
      <c r="BH2453" s="3282"/>
    </row>
    <row r="2454" spans="1:60" s="3030" customFormat="1">
      <c r="A2454" s="2126"/>
      <c r="B2454" s="2126"/>
      <c r="C2454" s="2126"/>
      <c r="D2454" s="2126"/>
      <c r="E2454" s="525"/>
      <c r="F2454" s="525"/>
      <c r="G2454" s="525"/>
      <c r="K2454" s="3280"/>
      <c r="AB2454" s="3280"/>
      <c r="AG2454" s="3865"/>
      <c r="AM2454" s="3041"/>
      <c r="BD2454" s="3280"/>
      <c r="BF2454" s="3041"/>
      <c r="BH2454" s="3282"/>
    </row>
    <row r="2455" spans="1:60" s="3030" customFormat="1">
      <c r="A2455" s="2126"/>
      <c r="B2455" s="2126"/>
      <c r="C2455" s="2126"/>
      <c r="D2455" s="2126"/>
      <c r="E2455" s="525"/>
      <c r="F2455" s="525"/>
      <c r="G2455" s="525"/>
      <c r="K2455" s="3280"/>
      <c r="AB2455" s="3280"/>
      <c r="AG2455" s="3865"/>
      <c r="AM2455" s="3041"/>
      <c r="BD2455" s="3280"/>
      <c r="BF2455" s="3041"/>
      <c r="BH2455" s="3282"/>
    </row>
    <row r="2456" spans="1:60" s="3030" customFormat="1">
      <c r="A2456" s="2126"/>
      <c r="B2456" s="2126"/>
      <c r="C2456" s="2126"/>
      <c r="D2456" s="2126"/>
      <c r="E2456" s="525"/>
      <c r="F2456" s="525"/>
      <c r="G2456" s="525"/>
      <c r="K2456" s="3280"/>
      <c r="AB2456" s="3280"/>
      <c r="AG2456" s="3865"/>
      <c r="AM2456" s="3041"/>
      <c r="BD2456" s="3280"/>
      <c r="BF2456" s="3041"/>
      <c r="BH2456" s="3282"/>
    </row>
    <row r="2457" spans="1:60" s="3030" customFormat="1">
      <c r="A2457" s="2126"/>
      <c r="B2457" s="2126"/>
      <c r="C2457" s="2126"/>
      <c r="D2457" s="2126"/>
      <c r="E2457" s="525"/>
      <c r="F2457" s="525"/>
      <c r="G2457" s="525"/>
      <c r="K2457" s="3280"/>
      <c r="AB2457" s="3280"/>
      <c r="AG2457" s="3865"/>
      <c r="AM2457" s="3041"/>
      <c r="BD2457" s="3280"/>
      <c r="BF2457" s="3041"/>
      <c r="BH2457" s="3282"/>
    </row>
    <row r="2458" spans="1:60" s="3030" customFormat="1">
      <c r="A2458" s="2126"/>
      <c r="B2458" s="2126"/>
      <c r="C2458" s="2126"/>
      <c r="D2458" s="2126"/>
      <c r="E2458" s="525"/>
      <c r="F2458" s="525"/>
      <c r="G2458" s="525"/>
      <c r="K2458" s="3280"/>
      <c r="AB2458" s="3280"/>
      <c r="AG2458" s="3865"/>
      <c r="AM2458" s="3041"/>
      <c r="BD2458" s="3280"/>
      <c r="BF2458" s="3041"/>
      <c r="BH2458" s="3282"/>
    </row>
    <row r="2459" spans="1:60" s="3030" customFormat="1">
      <c r="A2459" s="2126"/>
      <c r="B2459" s="2126"/>
      <c r="C2459" s="2126"/>
      <c r="D2459" s="2126"/>
      <c r="E2459" s="525"/>
      <c r="F2459" s="525"/>
      <c r="G2459" s="525"/>
      <c r="K2459" s="3280"/>
      <c r="AB2459" s="3280"/>
      <c r="AG2459" s="3865"/>
      <c r="AM2459" s="3041"/>
      <c r="BD2459" s="3280"/>
      <c r="BF2459" s="3041"/>
      <c r="BH2459" s="3282"/>
    </row>
    <row r="2460" spans="1:60" s="3030" customFormat="1">
      <c r="A2460" s="2126"/>
      <c r="B2460" s="2126"/>
      <c r="C2460" s="2126"/>
      <c r="D2460" s="2126"/>
      <c r="E2460" s="525"/>
      <c r="F2460" s="525"/>
      <c r="G2460" s="525"/>
      <c r="K2460" s="3280"/>
      <c r="AB2460" s="3280"/>
      <c r="AG2460" s="3865"/>
      <c r="AM2460" s="3041"/>
      <c r="BD2460" s="3280"/>
      <c r="BF2460" s="3041"/>
      <c r="BH2460" s="3282"/>
    </row>
    <row r="2461" spans="1:60" s="3030" customFormat="1">
      <c r="A2461" s="2126"/>
      <c r="B2461" s="2126"/>
      <c r="C2461" s="2126"/>
      <c r="D2461" s="2126"/>
      <c r="E2461" s="525"/>
      <c r="F2461" s="525"/>
      <c r="G2461" s="525"/>
      <c r="K2461" s="3280"/>
      <c r="AB2461" s="3280"/>
      <c r="AG2461" s="3865"/>
      <c r="AM2461" s="3041"/>
      <c r="BD2461" s="3280"/>
      <c r="BF2461" s="3041"/>
      <c r="BH2461" s="3282"/>
    </row>
    <row r="2462" spans="1:60" s="3030" customFormat="1">
      <c r="A2462" s="2126"/>
      <c r="B2462" s="2126"/>
      <c r="C2462" s="2126"/>
      <c r="D2462" s="2126"/>
      <c r="E2462" s="525"/>
      <c r="F2462" s="525"/>
      <c r="G2462" s="525"/>
      <c r="K2462" s="3280"/>
      <c r="AB2462" s="3280"/>
      <c r="AG2462" s="3865"/>
      <c r="AM2462" s="3041"/>
      <c r="BD2462" s="3280"/>
      <c r="BF2462" s="3041"/>
      <c r="BH2462" s="3282"/>
    </row>
    <row r="2463" spans="1:60" s="3030" customFormat="1">
      <c r="A2463" s="2126"/>
      <c r="B2463" s="2126"/>
      <c r="C2463" s="2126"/>
      <c r="D2463" s="2126"/>
      <c r="E2463" s="525"/>
      <c r="F2463" s="525"/>
      <c r="G2463" s="525"/>
      <c r="K2463" s="3280"/>
      <c r="AB2463" s="3280"/>
      <c r="AG2463" s="3865"/>
      <c r="AM2463" s="3041"/>
      <c r="BD2463" s="3280"/>
      <c r="BF2463" s="3041"/>
      <c r="BH2463" s="3282"/>
    </row>
    <row r="2464" spans="1:60" s="3030" customFormat="1">
      <c r="A2464" s="2126"/>
      <c r="B2464" s="2126"/>
      <c r="C2464" s="2126"/>
      <c r="D2464" s="2126"/>
      <c r="E2464" s="525"/>
      <c r="F2464" s="525"/>
      <c r="G2464" s="525"/>
      <c r="K2464" s="3280"/>
      <c r="AB2464" s="3280"/>
      <c r="AG2464" s="3865"/>
      <c r="AM2464" s="3041"/>
      <c r="BD2464" s="3280"/>
      <c r="BF2464" s="3041"/>
      <c r="BH2464" s="3282"/>
    </row>
    <row r="2465" spans="1:60" s="3030" customFormat="1">
      <c r="A2465" s="2126"/>
      <c r="B2465" s="2126"/>
      <c r="C2465" s="2126"/>
      <c r="D2465" s="2126"/>
      <c r="E2465" s="525"/>
      <c r="F2465" s="525"/>
      <c r="G2465" s="525"/>
      <c r="K2465" s="3280"/>
      <c r="AB2465" s="3280"/>
      <c r="AG2465" s="3865"/>
      <c r="AM2465" s="3041"/>
      <c r="BD2465" s="3280"/>
      <c r="BF2465" s="3041"/>
      <c r="BH2465" s="3282"/>
    </row>
    <row r="2466" spans="1:60" s="3030" customFormat="1">
      <c r="A2466" s="2126"/>
      <c r="B2466" s="2126"/>
      <c r="C2466" s="2126"/>
      <c r="D2466" s="2126"/>
      <c r="E2466" s="525"/>
      <c r="F2466" s="525"/>
      <c r="G2466" s="525"/>
      <c r="K2466" s="3280"/>
      <c r="AB2466" s="3280"/>
      <c r="AG2466" s="3865"/>
      <c r="AM2466" s="3041"/>
      <c r="BD2466" s="3280"/>
      <c r="BF2466" s="3041"/>
      <c r="BH2466" s="3282"/>
    </row>
    <row r="2467" spans="1:60" s="3030" customFormat="1">
      <c r="A2467" s="2126"/>
      <c r="B2467" s="2126"/>
      <c r="C2467" s="2126"/>
      <c r="D2467" s="2126"/>
      <c r="E2467" s="525"/>
      <c r="F2467" s="525"/>
      <c r="G2467" s="525"/>
      <c r="K2467" s="3280"/>
      <c r="AB2467" s="3280"/>
      <c r="AG2467" s="3865"/>
      <c r="AM2467" s="3041"/>
      <c r="BD2467" s="3280"/>
      <c r="BF2467" s="3041"/>
      <c r="BH2467" s="3282"/>
    </row>
    <row r="2468" spans="1:60" s="3030" customFormat="1">
      <c r="A2468" s="2126"/>
      <c r="B2468" s="2126"/>
      <c r="C2468" s="2126"/>
      <c r="D2468" s="2126"/>
      <c r="E2468" s="525"/>
      <c r="F2468" s="525"/>
      <c r="G2468" s="525"/>
      <c r="K2468" s="3280"/>
      <c r="AB2468" s="3280"/>
      <c r="AG2468" s="3865"/>
      <c r="AM2468" s="3041"/>
      <c r="BD2468" s="3280"/>
      <c r="BF2468" s="3041"/>
      <c r="BH2468" s="3282"/>
    </row>
    <row r="2469" spans="1:60" s="3030" customFormat="1">
      <c r="A2469" s="2126"/>
      <c r="B2469" s="2126"/>
      <c r="C2469" s="2126"/>
      <c r="D2469" s="2126"/>
      <c r="E2469" s="525"/>
      <c r="F2469" s="525"/>
      <c r="G2469" s="525"/>
      <c r="K2469" s="3280"/>
      <c r="AB2469" s="3280"/>
      <c r="AG2469" s="3865"/>
      <c r="AM2469" s="3041"/>
      <c r="BD2469" s="3280"/>
      <c r="BF2469" s="3041"/>
      <c r="BH2469" s="3282"/>
    </row>
    <row r="2470" spans="1:60" s="3030" customFormat="1">
      <c r="A2470" s="2126"/>
      <c r="B2470" s="2126"/>
      <c r="C2470" s="2126"/>
      <c r="D2470" s="2126"/>
      <c r="E2470" s="525"/>
      <c r="F2470" s="525"/>
      <c r="G2470" s="525"/>
      <c r="K2470" s="3280"/>
      <c r="AB2470" s="3280"/>
      <c r="AG2470" s="3865"/>
      <c r="AM2470" s="3041"/>
      <c r="BD2470" s="3280"/>
      <c r="BF2470" s="3041"/>
      <c r="BH2470" s="3282"/>
    </row>
    <row r="2471" spans="1:60" s="3030" customFormat="1">
      <c r="A2471" s="2126"/>
      <c r="B2471" s="2126"/>
      <c r="C2471" s="2126"/>
      <c r="D2471" s="2126"/>
      <c r="E2471" s="525"/>
      <c r="F2471" s="525"/>
      <c r="G2471" s="525"/>
      <c r="K2471" s="3280"/>
      <c r="AB2471" s="3280"/>
      <c r="AG2471" s="3865"/>
      <c r="AM2471" s="3041"/>
      <c r="BD2471" s="3280"/>
      <c r="BF2471" s="3041"/>
      <c r="BH2471" s="3282"/>
    </row>
    <row r="2472" spans="1:60" s="3030" customFormat="1">
      <c r="A2472" s="2126"/>
      <c r="B2472" s="2126"/>
      <c r="C2472" s="2126"/>
      <c r="D2472" s="2126"/>
      <c r="E2472" s="525"/>
      <c r="F2472" s="525"/>
      <c r="G2472" s="525"/>
      <c r="K2472" s="3280"/>
      <c r="AB2472" s="3280"/>
      <c r="AG2472" s="3865"/>
      <c r="AM2472" s="3041"/>
      <c r="BD2472" s="3280"/>
      <c r="BF2472" s="3041"/>
      <c r="BH2472" s="3282"/>
    </row>
    <row r="2473" spans="1:60" s="3030" customFormat="1">
      <c r="A2473" s="2126"/>
      <c r="B2473" s="2126"/>
      <c r="C2473" s="2126"/>
      <c r="D2473" s="2126"/>
      <c r="E2473" s="525"/>
      <c r="F2473" s="525"/>
      <c r="G2473" s="525"/>
      <c r="K2473" s="3280"/>
      <c r="AB2473" s="3280"/>
      <c r="AG2473" s="3865"/>
      <c r="AM2473" s="3041"/>
      <c r="BD2473" s="3280"/>
      <c r="BF2473" s="3041"/>
      <c r="BH2473" s="3282"/>
    </row>
    <row r="2474" spans="1:60" s="3030" customFormat="1">
      <c r="A2474" s="2126"/>
      <c r="B2474" s="2126"/>
      <c r="C2474" s="2126"/>
      <c r="D2474" s="2126"/>
      <c r="E2474" s="525"/>
      <c r="F2474" s="525"/>
      <c r="G2474" s="525"/>
      <c r="K2474" s="3280"/>
      <c r="AB2474" s="3280"/>
      <c r="AG2474" s="3865"/>
      <c r="AM2474" s="3041"/>
      <c r="BD2474" s="3280"/>
      <c r="BF2474" s="3041"/>
      <c r="BH2474" s="3282"/>
    </row>
    <row r="2475" spans="1:60" s="3030" customFormat="1">
      <c r="A2475" s="2126"/>
      <c r="B2475" s="2126"/>
      <c r="C2475" s="2126"/>
      <c r="D2475" s="2126"/>
      <c r="E2475" s="525"/>
      <c r="F2475" s="525"/>
      <c r="G2475" s="525"/>
      <c r="K2475" s="3280"/>
      <c r="AB2475" s="3280"/>
      <c r="AG2475" s="3865"/>
      <c r="AM2475" s="3041"/>
      <c r="BD2475" s="3280"/>
      <c r="BF2475" s="3041"/>
      <c r="BH2475" s="3282"/>
    </row>
    <row r="2476" spans="1:60" s="3030" customFormat="1">
      <c r="A2476" s="2126"/>
      <c r="B2476" s="2126"/>
      <c r="C2476" s="2126"/>
      <c r="D2476" s="2126"/>
      <c r="E2476" s="525"/>
      <c r="F2476" s="525"/>
      <c r="G2476" s="525"/>
      <c r="K2476" s="3280"/>
      <c r="AB2476" s="3280"/>
      <c r="AG2476" s="3865"/>
      <c r="AM2476" s="3041"/>
      <c r="BD2476" s="3280"/>
      <c r="BF2476" s="3041"/>
      <c r="BH2476" s="3282"/>
    </row>
    <row r="2477" spans="1:60" s="3030" customFormat="1">
      <c r="A2477" s="2126"/>
      <c r="B2477" s="2126"/>
      <c r="C2477" s="2126"/>
      <c r="D2477" s="2126"/>
      <c r="E2477" s="525"/>
      <c r="F2477" s="525"/>
      <c r="G2477" s="525"/>
      <c r="K2477" s="3280"/>
      <c r="AB2477" s="3280"/>
      <c r="AG2477" s="3865"/>
      <c r="AM2477" s="3041"/>
      <c r="BD2477" s="3280"/>
      <c r="BF2477" s="3041"/>
      <c r="BH2477" s="3282"/>
    </row>
    <row r="2478" spans="1:60" s="3030" customFormat="1">
      <c r="A2478" s="2126"/>
      <c r="B2478" s="2126"/>
      <c r="C2478" s="2126"/>
      <c r="D2478" s="2126"/>
      <c r="E2478" s="525"/>
      <c r="F2478" s="525"/>
      <c r="G2478" s="525"/>
      <c r="K2478" s="3280"/>
      <c r="AB2478" s="3280"/>
      <c r="AG2478" s="3865"/>
      <c r="AM2478" s="3041"/>
      <c r="BD2478" s="3280"/>
      <c r="BF2478" s="3041"/>
      <c r="BH2478" s="3282"/>
    </row>
    <row r="2479" spans="1:60" s="3030" customFormat="1">
      <c r="A2479" s="2126"/>
      <c r="B2479" s="2126"/>
      <c r="C2479" s="2126"/>
      <c r="D2479" s="2126"/>
      <c r="E2479" s="525"/>
      <c r="F2479" s="525"/>
      <c r="G2479" s="525"/>
      <c r="K2479" s="3280"/>
      <c r="AB2479" s="3280"/>
      <c r="AG2479" s="3865"/>
      <c r="AM2479" s="3041"/>
      <c r="BD2479" s="3280"/>
      <c r="BF2479" s="3041"/>
      <c r="BH2479" s="3282"/>
    </row>
    <row r="2480" spans="1:60" s="3030" customFormat="1">
      <c r="A2480" s="2126"/>
      <c r="B2480" s="2126"/>
      <c r="C2480" s="2126"/>
      <c r="D2480" s="2126"/>
      <c r="E2480" s="525"/>
      <c r="F2480" s="525"/>
      <c r="G2480" s="525"/>
      <c r="K2480" s="3280"/>
      <c r="AB2480" s="3280"/>
      <c r="AG2480" s="3865"/>
      <c r="AM2480" s="3041"/>
      <c r="BD2480" s="3280"/>
      <c r="BF2480" s="3041"/>
      <c r="BH2480" s="3282"/>
    </row>
    <row r="2481" spans="1:60" s="3030" customFormat="1">
      <c r="A2481" s="2126"/>
      <c r="B2481" s="2126"/>
      <c r="C2481" s="2126"/>
      <c r="D2481" s="2126"/>
      <c r="E2481" s="525"/>
      <c r="F2481" s="525"/>
      <c r="G2481" s="525"/>
      <c r="K2481" s="3280"/>
      <c r="AB2481" s="3280"/>
      <c r="AG2481" s="3865"/>
      <c r="AM2481" s="3041"/>
      <c r="BD2481" s="3280"/>
      <c r="BF2481" s="3041"/>
      <c r="BH2481" s="3282"/>
    </row>
    <row r="2482" spans="1:60" s="3030" customFormat="1">
      <c r="A2482" s="2126"/>
      <c r="B2482" s="2126"/>
      <c r="C2482" s="2126"/>
      <c r="D2482" s="2126"/>
      <c r="E2482" s="525"/>
      <c r="F2482" s="525"/>
      <c r="G2482" s="525"/>
      <c r="K2482" s="3280"/>
      <c r="AB2482" s="3280"/>
      <c r="AG2482" s="3865"/>
      <c r="AM2482" s="3041"/>
      <c r="BD2482" s="3280"/>
      <c r="BF2482" s="3041"/>
      <c r="BH2482" s="3282"/>
    </row>
    <row r="2483" spans="1:60" s="3030" customFormat="1">
      <c r="A2483" s="2126"/>
      <c r="B2483" s="2126"/>
      <c r="C2483" s="2126"/>
      <c r="D2483" s="2126"/>
      <c r="E2483" s="525"/>
      <c r="F2483" s="525"/>
      <c r="G2483" s="525"/>
      <c r="K2483" s="3280"/>
      <c r="AB2483" s="3280"/>
      <c r="AG2483" s="3865"/>
      <c r="AM2483" s="3041"/>
      <c r="BD2483" s="3280"/>
      <c r="BF2483" s="3041"/>
      <c r="BH2483" s="3282"/>
    </row>
    <row r="2484" spans="1:60" s="3030" customFormat="1">
      <c r="A2484" s="2126"/>
      <c r="B2484" s="2126"/>
      <c r="C2484" s="2126"/>
      <c r="D2484" s="2126"/>
      <c r="E2484" s="525"/>
      <c r="F2484" s="525"/>
      <c r="G2484" s="525"/>
      <c r="K2484" s="3280"/>
      <c r="AB2484" s="3280"/>
      <c r="AG2484" s="3865"/>
      <c r="AM2484" s="3041"/>
      <c r="BD2484" s="3280"/>
      <c r="BF2484" s="3041"/>
      <c r="BH2484" s="3282"/>
    </row>
    <row r="2485" spans="1:60" s="3030" customFormat="1">
      <c r="A2485" s="2126"/>
      <c r="B2485" s="2126"/>
      <c r="C2485" s="2126"/>
      <c r="D2485" s="2126"/>
      <c r="E2485" s="525"/>
      <c r="F2485" s="525"/>
      <c r="G2485" s="525"/>
      <c r="K2485" s="3280"/>
      <c r="AB2485" s="3280"/>
      <c r="AG2485" s="3865"/>
      <c r="AM2485" s="3041"/>
      <c r="BD2485" s="3280"/>
      <c r="BF2485" s="3041"/>
      <c r="BH2485" s="3282"/>
    </row>
    <row r="2486" spans="1:60" s="3030" customFormat="1">
      <c r="A2486" s="2126"/>
      <c r="B2486" s="2126"/>
      <c r="C2486" s="2126"/>
      <c r="D2486" s="2126"/>
      <c r="E2486" s="525"/>
      <c r="F2486" s="525"/>
      <c r="G2486" s="525"/>
      <c r="K2486" s="3280"/>
      <c r="AB2486" s="3280"/>
      <c r="AG2486" s="3865"/>
      <c r="AM2486" s="3041"/>
      <c r="BD2486" s="3280"/>
      <c r="BF2486" s="3041"/>
      <c r="BH2486" s="3282"/>
    </row>
    <row r="2487" spans="1:60" s="3030" customFormat="1">
      <c r="A2487" s="2126"/>
      <c r="B2487" s="2126"/>
      <c r="C2487" s="2126"/>
      <c r="D2487" s="2126"/>
      <c r="E2487" s="525"/>
      <c r="F2487" s="525"/>
      <c r="G2487" s="525"/>
      <c r="K2487" s="3280"/>
      <c r="AB2487" s="3280"/>
      <c r="AG2487" s="3865"/>
      <c r="AM2487" s="3041"/>
      <c r="BD2487" s="3280"/>
      <c r="BF2487" s="3041"/>
      <c r="BH2487" s="3282"/>
    </row>
    <row r="2488" spans="1:60" s="3030" customFormat="1">
      <c r="A2488" s="2126"/>
      <c r="B2488" s="2126"/>
      <c r="C2488" s="2126"/>
      <c r="D2488" s="2126"/>
      <c r="E2488" s="525"/>
      <c r="F2488" s="525"/>
      <c r="G2488" s="525"/>
      <c r="K2488" s="3280"/>
      <c r="AB2488" s="3280"/>
      <c r="AG2488" s="3865"/>
      <c r="AM2488" s="3041"/>
      <c r="BD2488" s="3280"/>
      <c r="BF2488" s="3041"/>
      <c r="BH2488" s="3282"/>
    </row>
    <row r="2489" spans="1:60" s="3030" customFormat="1">
      <c r="A2489" s="2126"/>
      <c r="B2489" s="2126"/>
      <c r="C2489" s="2126"/>
      <c r="D2489" s="2126"/>
      <c r="E2489" s="525"/>
      <c r="F2489" s="525"/>
      <c r="G2489" s="525"/>
      <c r="K2489" s="3280"/>
      <c r="AB2489" s="3280"/>
      <c r="AG2489" s="3865"/>
      <c r="AM2489" s="3041"/>
      <c r="BD2489" s="3280"/>
      <c r="BF2489" s="3041"/>
      <c r="BH2489" s="3282"/>
    </row>
    <row r="2490" spans="1:60" s="3030" customFormat="1">
      <c r="A2490" s="2126"/>
      <c r="B2490" s="2126"/>
      <c r="C2490" s="2126"/>
      <c r="D2490" s="2126"/>
      <c r="E2490" s="525"/>
      <c r="F2490" s="525"/>
      <c r="G2490" s="525"/>
      <c r="K2490" s="3280"/>
      <c r="AB2490" s="3280"/>
      <c r="AG2490" s="3865"/>
      <c r="AM2490" s="3041"/>
      <c r="BD2490" s="3280"/>
      <c r="BF2490" s="3041"/>
      <c r="BH2490" s="3282"/>
    </row>
    <row r="2491" spans="1:60" s="3030" customFormat="1">
      <c r="A2491" s="2126"/>
      <c r="B2491" s="2126"/>
      <c r="C2491" s="2126"/>
      <c r="D2491" s="2126"/>
      <c r="E2491" s="525"/>
      <c r="F2491" s="525"/>
      <c r="G2491" s="525"/>
      <c r="K2491" s="3280"/>
      <c r="AB2491" s="3280"/>
      <c r="AG2491" s="3865"/>
      <c r="AM2491" s="3041"/>
      <c r="BD2491" s="3280"/>
      <c r="BF2491" s="3041"/>
      <c r="BH2491" s="3282"/>
    </row>
    <row r="2492" spans="1:60" s="3030" customFormat="1">
      <c r="A2492" s="2126"/>
      <c r="B2492" s="2126"/>
      <c r="C2492" s="2126"/>
      <c r="D2492" s="2126"/>
      <c r="E2492" s="525"/>
      <c r="F2492" s="525"/>
      <c r="G2492" s="525"/>
      <c r="K2492" s="3280"/>
      <c r="AB2492" s="3280"/>
      <c r="AG2492" s="3865"/>
      <c r="AM2492" s="3041"/>
      <c r="BD2492" s="3280"/>
      <c r="BF2492" s="3041"/>
      <c r="BH2492" s="3282"/>
    </row>
    <row r="2493" spans="1:60" s="3030" customFormat="1">
      <c r="A2493" s="2126"/>
      <c r="B2493" s="2126"/>
      <c r="C2493" s="2126"/>
      <c r="D2493" s="2126"/>
      <c r="E2493" s="525"/>
      <c r="F2493" s="525"/>
      <c r="G2493" s="525"/>
      <c r="K2493" s="3280"/>
      <c r="AB2493" s="3280"/>
      <c r="AG2493" s="3865"/>
      <c r="AM2493" s="3041"/>
      <c r="BD2493" s="3280"/>
      <c r="BF2493" s="3041"/>
      <c r="BH2493" s="3282"/>
    </row>
    <row r="2494" spans="1:60" s="3030" customFormat="1">
      <c r="A2494" s="2126"/>
      <c r="B2494" s="2126"/>
      <c r="C2494" s="2126"/>
      <c r="D2494" s="2126"/>
      <c r="E2494" s="525"/>
      <c r="F2494" s="525"/>
      <c r="G2494" s="525"/>
      <c r="K2494" s="3280"/>
      <c r="AB2494" s="3280"/>
      <c r="AG2494" s="3865"/>
      <c r="AM2494" s="3041"/>
      <c r="BD2494" s="3280"/>
      <c r="BF2494" s="3041"/>
      <c r="BH2494" s="3282"/>
    </row>
    <row r="2495" spans="1:60" s="3030" customFormat="1">
      <c r="A2495" s="2126"/>
      <c r="B2495" s="2126"/>
      <c r="C2495" s="2126"/>
      <c r="D2495" s="2126"/>
      <c r="E2495" s="525"/>
      <c r="F2495" s="525"/>
      <c r="G2495" s="525"/>
      <c r="K2495" s="3280"/>
      <c r="AB2495" s="3280"/>
      <c r="AG2495" s="3865"/>
      <c r="AM2495" s="3041"/>
      <c r="BD2495" s="3280"/>
      <c r="BF2495" s="3041"/>
      <c r="BH2495" s="3282"/>
    </row>
    <row r="2496" spans="1:60" s="3030" customFormat="1">
      <c r="A2496" s="2126"/>
      <c r="B2496" s="2126"/>
      <c r="C2496" s="2126"/>
      <c r="D2496" s="2126"/>
      <c r="E2496" s="525"/>
      <c r="F2496" s="525"/>
      <c r="G2496" s="525"/>
      <c r="K2496" s="3280"/>
      <c r="AB2496" s="3280"/>
      <c r="AG2496" s="3865"/>
      <c r="AM2496" s="3041"/>
      <c r="BD2496" s="3280"/>
      <c r="BF2496" s="3041"/>
      <c r="BH2496" s="3282"/>
    </row>
    <row r="2497" spans="1:60" s="3030" customFormat="1">
      <c r="A2497" s="2126"/>
      <c r="B2497" s="2126"/>
      <c r="C2497" s="2126"/>
      <c r="D2497" s="2126"/>
      <c r="E2497" s="525"/>
      <c r="F2497" s="525"/>
      <c r="G2497" s="525"/>
      <c r="K2497" s="3280"/>
      <c r="AB2497" s="3280"/>
      <c r="AG2497" s="3865"/>
      <c r="AM2497" s="3041"/>
      <c r="BD2497" s="3280"/>
      <c r="BF2497" s="3041"/>
      <c r="BH2497" s="3282"/>
    </row>
    <row r="2498" spans="1:60" s="3030" customFormat="1">
      <c r="A2498" s="2126"/>
      <c r="B2498" s="2126"/>
      <c r="C2498" s="2126"/>
      <c r="D2498" s="2126"/>
      <c r="E2498" s="525"/>
      <c r="F2498" s="525"/>
      <c r="G2498" s="525"/>
      <c r="K2498" s="3280"/>
      <c r="AB2498" s="3280"/>
      <c r="AG2498" s="3865"/>
      <c r="AM2498" s="3041"/>
      <c r="BD2498" s="3280"/>
      <c r="BF2498" s="3041"/>
      <c r="BH2498" s="3282"/>
    </row>
    <row r="2499" spans="1:60" s="3030" customFormat="1">
      <c r="A2499" s="2126"/>
      <c r="B2499" s="2126"/>
      <c r="C2499" s="2126"/>
      <c r="D2499" s="2126"/>
      <c r="E2499" s="525"/>
      <c r="F2499" s="525"/>
      <c r="G2499" s="525"/>
      <c r="K2499" s="3280"/>
      <c r="AB2499" s="3280"/>
      <c r="AG2499" s="3865"/>
      <c r="AM2499" s="3041"/>
      <c r="BD2499" s="3280"/>
      <c r="BF2499" s="3041"/>
      <c r="BH2499" s="3282"/>
    </row>
    <row r="2500" spans="1:60" s="3030" customFormat="1">
      <c r="A2500" s="2126"/>
      <c r="B2500" s="2126"/>
      <c r="C2500" s="2126"/>
      <c r="D2500" s="2126"/>
      <c r="E2500" s="525"/>
      <c r="F2500" s="525"/>
      <c r="G2500" s="525"/>
      <c r="K2500" s="3280"/>
      <c r="AB2500" s="3280"/>
      <c r="AG2500" s="3865"/>
      <c r="AM2500" s="3041"/>
      <c r="BD2500" s="3280"/>
      <c r="BF2500" s="3041"/>
      <c r="BH2500" s="3282"/>
    </row>
    <row r="2501" spans="1:60" s="3030" customFormat="1">
      <c r="A2501" s="2126"/>
      <c r="B2501" s="2126"/>
      <c r="C2501" s="2126"/>
      <c r="D2501" s="2126"/>
      <c r="E2501" s="525"/>
      <c r="F2501" s="525"/>
      <c r="G2501" s="525"/>
      <c r="K2501" s="3280"/>
      <c r="AB2501" s="3280"/>
      <c r="AG2501" s="3865"/>
      <c r="AM2501" s="3041"/>
      <c r="BD2501" s="3280"/>
      <c r="BF2501" s="3041"/>
      <c r="BH2501" s="3282"/>
    </row>
    <row r="2502" spans="1:60" s="3030" customFormat="1">
      <c r="A2502" s="2126"/>
      <c r="B2502" s="2126"/>
      <c r="C2502" s="2126"/>
      <c r="D2502" s="2126"/>
      <c r="E2502" s="525"/>
      <c r="F2502" s="525"/>
      <c r="G2502" s="525"/>
      <c r="K2502" s="3280"/>
      <c r="AB2502" s="3280"/>
      <c r="AG2502" s="3865"/>
      <c r="AM2502" s="3041"/>
      <c r="BD2502" s="3280"/>
      <c r="BF2502" s="3041"/>
      <c r="BH2502" s="3282"/>
    </row>
    <row r="2503" spans="1:60" s="3030" customFormat="1">
      <c r="A2503" s="2126"/>
      <c r="B2503" s="2126"/>
      <c r="C2503" s="2126"/>
      <c r="D2503" s="2126"/>
      <c r="E2503" s="525"/>
      <c r="F2503" s="525"/>
      <c r="G2503" s="525"/>
      <c r="K2503" s="3280"/>
      <c r="AB2503" s="3280"/>
      <c r="AG2503" s="3865"/>
      <c r="AM2503" s="3041"/>
      <c r="BD2503" s="3280"/>
      <c r="BF2503" s="3041"/>
      <c r="BH2503" s="3282"/>
    </row>
    <row r="2504" spans="1:60" s="3030" customFormat="1">
      <c r="A2504" s="2126"/>
      <c r="B2504" s="2126"/>
      <c r="C2504" s="2126"/>
      <c r="D2504" s="2126"/>
      <c r="E2504" s="525"/>
      <c r="F2504" s="525"/>
      <c r="G2504" s="525"/>
      <c r="K2504" s="3280"/>
      <c r="AB2504" s="3280"/>
      <c r="AG2504" s="3865"/>
      <c r="AM2504" s="3041"/>
      <c r="BD2504" s="3280"/>
      <c r="BF2504" s="3041"/>
      <c r="BH2504" s="3282"/>
    </row>
    <row r="2505" spans="1:60" s="3030" customFormat="1">
      <c r="A2505" s="2126"/>
      <c r="B2505" s="2126"/>
      <c r="C2505" s="2126"/>
      <c r="D2505" s="2126"/>
      <c r="E2505" s="525"/>
      <c r="F2505" s="525"/>
      <c r="G2505" s="525"/>
      <c r="K2505" s="3280"/>
      <c r="AB2505" s="3280"/>
      <c r="AG2505" s="3865"/>
      <c r="AM2505" s="3041"/>
      <c r="BD2505" s="3280"/>
      <c r="BF2505" s="3041"/>
      <c r="BH2505" s="3282"/>
    </row>
    <row r="2506" spans="1:60" s="3030" customFormat="1">
      <c r="A2506" s="2126"/>
      <c r="B2506" s="2126"/>
      <c r="C2506" s="2126"/>
      <c r="D2506" s="2126"/>
      <c r="E2506" s="525"/>
      <c r="F2506" s="525"/>
      <c r="G2506" s="525"/>
      <c r="K2506" s="3280"/>
      <c r="AB2506" s="3280"/>
      <c r="AG2506" s="3865"/>
      <c r="AM2506" s="3041"/>
      <c r="BD2506" s="3280"/>
      <c r="BF2506" s="3041"/>
      <c r="BH2506" s="3282"/>
    </row>
    <row r="2507" spans="1:60" s="3030" customFormat="1">
      <c r="A2507" s="2126"/>
      <c r="B2507" s="2126"/>
      <c r="C2507" s="2126"/>
      <c r="D2507" s="2126"/>
      <c r="E2507" s="525"/>
      <c r="F2507" s="525"/>
      <c r="G2507" s="525"/>
      <c r="K2507" s="3280"/>
      <c r="AB2507" s="3280"/>
      <c r="AG2507" s="3865"/>
      <c r="AM2507" s="3041"/>
      <c r="BD2507" s="3280"/>
      <c r="BF2507" s="3041"/>
      <c r="BH2507" s="3282"/>
    </row>
    <row r="2508" spans="1:60" s="3030" customFormat="1">
      <c r="A2508" s="2126"/>
      <c r="B2508" s="2126"/>
      <c r="C2508" s="2126"/>
      <c r="D2508" s="2126"/>
      <c r="E2508" s="525"/>
      <c r="F2508" s="525"/>
      <c r="G2508" s="525"/>
      <c r="K2508" s="3280"/>
      <c r="AB2508" s="3280"/>
      <c r="AG2508" s="3865"/>
      <c r="AM2508" s="3041"/>
      <c r="BD2508" s="3280"/>
      <c r="BF2508" s="3041"/>
      <c r="BH2508" s="3282"/>
    </row>
    <row r="2509" spans="1:60" s="3030" customFormat="1">
      <c r="A2509" s="2126"/>
      <c r="B2509" s="2126"/>
      <c r="C2509" s="2126"/>
      <c r="D2509" s="2126"/>
      <c r="E2509" s="525"/>
      <c r="F2509" s="525"/>
      <c r="G2509" s="525"/>
      <c r="K2509" s="3280"/>
      <c r="AB2509" s="3280"/>
      <c r="AG2509" s="3865"/>
      <c r="AM2509" s="3041"/>
      <c r="BD2509" s="3280"/>
      <c r="BF2509" s="3041"/>
      <c r="BH2509" s="3282"/>
    </row>
    <row r="2510" spans="1:60" s="3030" customFormat="1">
      <c r="A2510" s="2126"/>
      <c r="B2510" s="2126"/>
      <c r="C2510" s="2126"/>
      <c r="D2510" s="2126"/>
      <c r="E2510" s="525"/>
      <c r="F2510" s="525"/>
      <c r="G2510" s="525"/>
      <c r="K2510" s="3280"/>
      <c r="AB2510" s="3280"/>
      <c r="AG2510" s="3865"/>
      <c r="AM2510" s="3041"/>
      <c r="BD2510" s="3280"/>
      <c r="BF2510" s="3041"/>
      <c r="BH2510" s="3282"/>
    </row>
    <row r="2511" spans="1:60" s="3030" customFormat="1">
      <c r="A2511" s="2126"/>
      <c r="B2511" s="2126"/>
      <c r="C2511" s="2126"/>
      <c r="D2511" s="2126"/>
      <c r="E2511" s="525"/>
      <c r="F2511" s="525"/>
      <c r="G2511" s="525"/>
      <c r="K2511" s="3280"/>
      <c r="AB2511" s="3280"/>
      <c r="AG2511" s="3865"/>
      <c r="AM2511" s="3041"/>
      <c r="BD2511" s="3280"/>
      <c r="BF2511" s="3041"/>
      <c r="BH2511" s="3282"/>
    </row>
    <row r="2512" spans="1:60" s="3030" customFormat="1">
      <c r="A2512" s="2126"/>
      <c r="B2512" s="2126"/>
      <c r="C2512" s="2126"/>
      <c r="D2512" s="2126"/>
      <c r="E2512" s="525"/>
      <c r="F2512" s="525"/>
      <c r="G2512" s="525"/>
      <c r="K2512" s="3280"/>
      <c r="AB2512" s="3280"/>
      <c r="AG2512" s="3865"/>
      <c r="AM2512" s="3041"/>
      <c r="BD2512" s="3280"/>
      <c r="BF2512" s="3041"/>
      <c r="BH2512" s="3282"/>
    </row>
    <row r="2513" spans="1:60" s="3030" customFormat="1">
      <c r="A2513" s="2126"/>
      <c r="B2513" s="2126"/>
      <c r="C2513" s="2126"/>
      <c r="D2513" s="2126"/>
      <c r="E2513" s="525"/>
      <c r="F2513" s="525"/>
      <c r="G2513" s="525"/>
      <c r="K2513" s="3280"/>
      <c r="AB2513" s="3280"/>
      <c r="AG2513" s="3865"/>
      <c r="AM2513" s="3041"/>
      <c r="BD2513" s="3280"/>
      <c r="BF2513" s="3041"/>
      <c r="BH2513" s="3282"/>
    </row>
    <row r="2514" spans="1:60" s="3030" customFormat="1">
      <c r="A2514" s="2126"/>
      <c r="B2514" s="2126"/>
      <c r="C2514" s="2126"/>
      <c r="D2514" s="2126"/>
      <c r="E2514" s="525"/>
      <c r="F2514" s="525"/>
      <c r="G2514" s="525"/>
      <c r="K2514" s="3280"/>
      <c r="AB2514" s="3280"/>
      <c r="AG2514" s="3865"/>
      <c r="AM2514" s="3041"/>
      <c r="BD2514" s="3280"/>
      <c r="BF2514" s="3041"/>
      <c r="BH2514" s="3282"/>
    </row>
    <row r="2515" spans="1:60" s="3030" customFormat="1">
      <c r="A2515" s="2126"/>
      <c r="B2515" s="2126"/>
      <c r="C2515" s="2126"/>
      <c r="D2515" s="2126"/>
      <c r="E2515" s="525"/>
      <c r="F2515" s="525"/>
      <c r="G2515" s="525"/>
      <c r="K2515" s="3280"/>
      <c r="AB2515" s="3280"/>
      <c r="AG2515" s="3865"/>
      <c r="AM2515" s="3041"/>
      <c r="BD2515" s="3280"/>
      <c r="BF2515" s="3041"/>
      <c r="BH2515" s="3282"/>
    </row>
    <row r="2516" spans="1:60" s="3030" customFormat="1">
      <c r="A2516" s="2126"/>
      <c r="B2516" s="2126"/>
      <c r="C2516" s="2126"/>
      <c r="D2516" s="2126"/>
      <c r="E2516" s="525"/>
      <c r="F2516" s="525"/>
      <c r="G2516" s="525"/>
      <c r="K2516" s="3280"/>
      <c r="AB2516" s="3280"/>
      <c r="AG2516" s="3865"/>
      <c r="AM2516" s="3041"/>
      <c r="BD2516" s="3280"/>
      <c r="BF2516" s="3041"/>
      <c r="BH2516" s="3282"/>
    </row>
    <row r="2517" spans="1:60" s="3030" customFormat="1">
      <c r="A2517" s="2126"/>
      <c r="B2517" s="2126"/>
      <c r="C2517" s="2126"/>
      <c r="D2517" s="2126"/>
      <c r="E2517" s="525"/>
      <c r="F2517" s="525"/>
      <c r="G2517" s="525"/>
      <c r="K2517" s="3280"/>
      <c r="AB2517" s="3280"/>
      <c r="AG2517" s="3865"/>
      <c r="AM2517" s="3041"/>
      <c r="BD2517" s="3280"/>
      <c r="BF2517" s="3041"/>
      <c r="BH2517" s="3282"/>
    </row>
    <row r="2518" spans="1:60" s="3030" customFormat="1">
      <c r="A2518" s="2126"/>
      <c r="B2518" s="2126"/>
      <c r="C2518" s="2126"/>
      <c r="D2518" s="2126"/>
      <c r="E2518" s="525"/>
      <c r="F2518" s="525"/>
      <c r="G2518" s="525"/>
      <c r="K2518" s="3280"/>
      <c r="AB2518" s="3280"/>
      <c r="AG2518" s="3865"/>
      <c r="AM2518" s="3041"/>
      <c r="BD2518" s="3280"/>
      <c r="BF2518" s="3041"/>
      <c r="BH2518" s="3282"/>
    </row>
    <row r="2519" spans="1:60" s="3030" customFormat="1">
      <c r="A2519" s="2126"/>
      <c r="B2519" s="2126"/>
      <c r="C2519" s="2126"/>
      <c r="D2519" s="2126"/>
      <c r="E2519" s="525"/>
      <c r="F2519" s="525"/>
      <c r="G2519" s="525"/>
      <c r="K2519" s="3280"/>
      <c r="AB2519" s="3280"/>
      <c r="AG2519" s="3865"/>
      <c r="AM2519" s="3041"/>
      <c r="BD2519" s="3280"/>
      <c r="BF2519" s="3041"/>
      <c r="BH2519" s="3282"/>
    </row>
    <row r="2520" spans="1:60" s="3030" customFormat="1">
      <c r="A2520" s="2126"/>
      <c r="B2520" s="2126"/>
      <c r="C2520" s="2126"/>
      <c r="D2520" s="2126"/>
      <c r="E2520" s="525"/>
      <c r="F2520" s="525"/>
      <c r="G2520" s="525"/>
      <c r="K2520" s="3280"/>
      <c r="AB2520" s="3280"/>
      <c r="AG2520" s="3865"/>
      <c r="AM2520" s="3041"/>
      <c r="BD2520" s="3280"/>
      <c r="BF2520" s="3041"/>
      <c r="BH2520" s="3282"/>
    </row>
    <row r="2521" spans="1:60" s="3030" customFormat="1">
      <c r="A2521" s="2126"/>
      <c r="B2521" s="2126"/>
      <c r="C2521" s="2126"/>
      <c r="D2521" s="2126"/>
      <c r="E2521" s="525"/>
      <c r="F2521" s="525"/>
      <c r="G2521" s="525"/>
      <c r="K2521" s="3280"/>
      <c r="AB2521" s="3280"/>
      <c r="AG2521" s="3865"/>
      <c r="AM2521" s="3041"/>
      <c r="BD2521" s="3280"/>
      <c r="BF2521" s="3041"/>
      <c r="BH2521" s="3282"/>
    </row>
    <row r="2522" spans="1:60" s="3030" customFormat="1">
      <c r="A2522" s="2126"/>
      <c r="B2522" s="2126"/>
      <c r="C2522" s="2126"/>
      <c r="D2522" s="2126"/>
      <c r="E2522" s="525"/>
      <c r="F2522" s="525"/>
      <c r="G2522" s="525"/>
      <c r="K2522" s="3280"/>
      <c r="AB2522" s="3280"/>
      <c r="AG2522" s="3865"/>
      <c r="AM2522" s="3041"/>
      <c r="BD2522" s="3280"/>
      <c r="BF2522" s="3041"/>
      <c r="BH2522" s="3282"/>
    </row>
    <row r="2523" spans="1:60" s="3030" customFormat="1">
      <c r="A2523" s="2126"/>
      <c r="B2523" s="2126"/>
      <c r="C2523" s="2126"/>
      <c r="D2523" s="2126"/>
      <c r="E2523" s="525"/>
      <c r="F2523" s="525"/>
      <c r="G2523" s="525"/>
      <c r="K2523" s="3280"/>
      <c r="AB2523" s="3280"/>
      <c r="AG2523" s="3865"/>
      <c r="AM2523" s="3041"/>
      <c r="BD2523" s="3280"/>
      <c r="BF2523" s="3041"/>
      <c r="BH2523" s="3282"/>
    </row>
    <row r="2524" spans="1:60" s="3030" customFormat="1">
      <c r="A2524" s="2126"/>
      <c r="B2524" s="2126"/>
      <c r="C2524" s="2126"/>
      <c r="D2524" s="2126"/>
      <c r="E2524" s="525"/>
      <c r="F2524" s="525"/>
      <c r="G2524" s="525"/>
      <c r="K2524" s="3280"/>
      <c r="AB2524" s="3280"/>
      <c r="AG2524" s="3865"/>
      <c r="AM2524" s="3041"/>
      <c r="BD2524" s="3280"/>
      <c r="BF2524" s="3041"/>
      <c r="BH2524" s="3282"/>
    </row>
    <row r="2525" spans="1:60" s="3030" customFormat="1">
      <c r="A2525" s="2126"/>
      <c r="B2525" s="2126"/>
      <c r="C2525" s="2126"/>
      <c r="D2525" s="2126"/>
      <c r="E2525" s="525"/>
      <c r="F2525" s="525"/>
      <c r="G2525" s="525"/>
      <c r="K2525" s="3280"/>
      <c r="AB2525" s="3280"/>
      <c r="AG2525" s="3865"/>
      <c r="AM2525" s="3041"/>
      <c r="BD2525" s="3280"/>
      <c r="BF2525" s="3041"/>
      <c r="BH2525" s="3282"/>
    </row>
    <row r="2526" spans="1:60" s="3030" customFormat="1">
      <c r="A2526" s="2126"/>
      <c r="B2526" s="2126"/>
      <c r="C2526" s="2126"/>
      <c r="D2526" s="2126"/>
      <c r="E2526" s="525"/>
      <c r="F2526" s="525"/>
      <c r="G2526" s="525"/>
      <c r="K2526" s="3280"/>
      <c r="AB2526" s="3280"/>
      <c r="AG2526" s="3865"/>
      <c r="AM2526" s="3041"/>
      <c r="BD2526" s="3280"/>
      <c r="BF2526" s="3041"/>
      <c r="BH2526" s="3282"/>
    </row>
    <row r="2527" spans="1:60" s="3030" customFormat="1">
      <c r="A2527" s="2126"/>
      <c r="B2527" s="2126"/>
      <c r="C2527" s="2126"/>
      <c r="D2527" s="2126"/>
      <c r="E2527" s="525"/>
      <c r="F2527" s="525"/>
      <c r="G2527" s="525"/>
      <c r="K2527" s="3280"/>
      <c r="AB2527" s="3280"/>
      <c r="AG2527" s="3865"/>
      <c r="AM2527" s="3041"/>
      <c r="BD2527" s="3280"/>
      <c r="BF2527" s="3041"/>
      <c r="BH2527" s="3282"/>
    </row>
    <row r="2528" spans="1:60" s="3030" customFormat="1">
      <c r="A2528" s="2126"/>
      <c r="B2528" s="2126"/>
      <c r="C2528" s="2126"/>
      <c r="D2528" s="2126"/>
      <c r="E2528" s="525"/>
      <c r="F2528" s="525"/>
      <c r="G2528" s="525"/>
      <c r="K2528" s="3280"/>
      <c r="AB2528" s="3280"/>
      <c r="AG2528" s="3865"/>
      <c r="AM2528" s="3041"/>
      <c r="BD2528" s="3280"/>
      <c r="BF2528" s="3041"/>
      <c r="BH2528" s="3282"/>
    </row>
    <row r="2529" spans="1:60" s="3030" customFormat="1">
      <c r="A2529" s="2126"/>
      <c r="B2529" s="2126"/>
      <c r="C2529" s="2126"/>
      <c r="D2529" s="2126"/>
      <c r="E2529" s="525"/>
      <c r="F2529" s="525"/>
      <c r="G2529" s="525"/>
      <c r="K2529" s="3280"/>
      <c r="AB2529" s="3280"/>
      <c r="AG2529" s="3865"/>
      <c r="AM2529" s="3041"/>
      <c r="BD2529" s="3280"/>
      <c r="BF2529" s="3041"/>
      <c r="BH2529" s="3282"/>
    </row>
    <row r="2530" spans="1:60" s="3030" customFormat="1">
      <c r="A2530" s="2126"/>
      <c r="B2530" s="2126"/>
      <c r="C2530" s="2126"/>
      <c r="D2530" s="2126"/>
      <c r="E2530" s="525"/>
      <c r="F2530" s="525"/>
      <c r="G2530" s="525"/>
      <c r="K2530" s="3280"/>
      <c r="AB2530" s="3280"/>
      <c r="AG2530" s="3865"/>
      <c r="AM2530" s="3041"/>
      <c r="BD2530" s="3280"/>
      <c r="BF2530" s="3041"/>
      <c r="BH2530" s="3282"/>
    </row>
    <row r="2531" spans="1:60" s="3030" customFormat="1">
      <c r="A2531" s="2126"/>
      <c r="B2531" s="2126"/>
      <c r="C2531" s="2126"/>
      <c r="D2531" s="2126"/>
      <c r="E2531" s="525"/>
      <c r="F2531" s="525"/>
      <c r="G2531" s="525"/>
      <c r="K2531" s="3280"/>
      <c r="AB2531" s="3280"/>
      <c r="AG2531" s="3865"/>
      <c r="AM2531" s="3041"/>
      <c r="BD2531" s="3280"/>
      <c r="BF2531" s="3041"/>
      <c r="BH2531" s="3282"/>
    </row>
    <row r="2532" spans="1:60" s="3030" customFormat="1">
      <c r="A2532" s="2126"/>
      <c r="B2532" s="2126"/>
      <c r="C2532" s="2126"/>
      <c r="D2532" s="2126"/>
      <c r="E2532" s="525"/>
      <c r="F2532" s="525"/>
      <c r="G2532" s="525"/>
      <c r="K2532" s="3280"/>
      <c r="AB2532" s="3280"/>
      <c r="AG2532" s="3865"/>
      <c r="AM2532" s="3041"/>
      <c r="BD2532" s="3280"/>
      <c r="BF2532" s="3041"/>
      <c r="BH2532" s="3282"/>
    </row>
    <row r="2533" spans="1:60" s="3030" customFormat="1">
      <c r="A2533" s="2126"/>
      <c r="B2533" s="2126"/>
      <c r="C2533" s="2126"/>
      <c r="D2533" s="2126"/>
      <c r="E2533" s="525"/>
      <c r="F2533" s="525"/>
      <c r="G2533" s="525"/>
      <c r="K2533" s="3280"/>
      <c r="AB2533" s="3280"/>
      <c r="AG2533" s="3865"/>
      <c r="AM2533" s="3041"/>
      <c r="BD2533" s="3280"/>
      <c r="BF2533" s="3041"/>
      <c r="BH2533" s="3282"/>
    </row>
    <row r="2534" spans="1:60" s="3030" customFormat="1">
      <c r="A2534" s="2126"/>
      <c r="B2534" s="2126"/>
      <c r="C2534" s="2126"/>
      <c r="D2534" s="2126"/>
      <c r="E2534" s="525"/>
      <c r="F2534" s="525"/>
      <c r="G2534" s="525"/>
      <c r="K2534" s="3280"/>
      <c r="AB2534" s="3280"/>
      <c r="AG2534" s="3865"/>
      <c r="AM2534" s="3041"/>
      <c r="BD2534" s="3280"/>
      <c r="BF2534" s="3041"/>
      <c r="BH2534" s="3282"/>
    </row>
    <row r="2535" spans="1:60" s="3030" customFormat="1">
      <c r="A2535" s="2126"/>
      <c r="B2535" s="2126"/>
      <c r="C2535" s="2126"/>
      <c r="D2535" s="2126"/>
      <c r="E2535" s="525"/>
      <c r="F2535" s="525"/>
      <c r="G2535" s="525"/>
      <c r="K2535" s="3280"/>
      <c r="AB2535" s="3280"/>
      <c r="AG2535" s="3865"/>
      <c r="AM2535" s="3041"/>
      <c r="BD2535" s="3280"/>
      <c r="BF2535" s="3041"/>
      <c r="BH2535" s="3282"/>
    </row>
    <row r="2536" spans="1:60" s="3030" customFormat="1">
      <c r="A2536" s="2126"/>
      <c r="B2536" s="2126"/>
      <c r="C2536" s="2126"/>
      <c r="D2536" s="2126"/>
      <c r="E2536" s="525"/>
      <c r="F2536" s="525"/>
      <c r="G2536" s="525"/>
      <c r="K2536" s="3280"/>
      <c r="AB2536" s="3280"/>
      <c r="AG2536" s="3865"/>
      <c r="AM2536" s="3041"/>
      <c r="BD2536" s="3280"/>
      <c r="BF2536" s="3041"/>
      <c r="BH2536" s="3282"/>
    </row>
    <row r="2537" spans="1:60" s="3030" customFormat="1">
      <c r="A2537" s="2126"/>
      <c r="B2537" s="2126"/>
      <c r="C2537" s="2126"/>
      <c r="D2537" s="2126"/>
      <c r="E2537" s="525"/>
      <c r="F2537" s="525"/>
      <c r="G2537" s="525"/>
      <c r="K2537" s="3280"/>
      <c r="AB2537" s="3280"/>
      <c r="AG2537" s="3865"/>
      <c r="AM2537" s="3041"/>
      <c r="BD2537" s="3280"/>
      <c r="BF2537" s="3041"/>
      <c r="BH2537" s="3282"/>
    </row>
    <row r="2538" spans="1:60" s="3030" customFormat="1">
      <c r="A2538" s="2126"/>
      <c r="B2538" s="2126"/>
      <c r="C2538" s="2126"/>
      <c r="D2538" s="2126"/>
      <c r="E2538" s="525"/>
      <c r="F2538" s="525"/>
      <c r="G2538" s="525"/>
      <c r="K2538" s="3280"/>
      <c r="AB2538" s="3280"/>
      <c r="AG2538" s="3865"/>
      <c r="AM2538" s="3041"/>
      <c r="BD2538" s="3280"/>
      <c r="BF2538" s="3041"/>
      <c r="BH2538" s="3282"/>
    </row>
    <row r="2539" spans="1:60" s="3030" customFormat="1">
      <c r="A2539" s="2126"/>
      <c r="B2539" s="2126"/>
      <c r="C2539" s="2126"/>
      <c r="D2539" s="2126"/>
      <c r="E2539" s="525"/>
      <c r="F2539" s="525"/>
      <c r="G2539" s="525"/>
      <c r="K2539" s="3280"/>
      <c r="AB2539" s="3280"/>
      <c r="AG2539" s="3865"/>
      <c r="AM2539" s="3041"/>
      <c r="BD2539" s="3280"/>
      <c r="BF2539" s="3041"/>
      <c r="BH2539" s="3282"/>
    </row>
    <row r="2540" spans="1:60" s="3030" customFormat="1">
      <c r="A2540" s="2126"/>
      <c r="B2540" s="2126"/>
      <c r="C2540" s="2126"/>
      <c r="D2540" s="2126"/>
      <c r="E2540" s="525"/>
      <c r="F2540" s="525"/>
      <c r="G2540" s="525"/>
      <c r="K2540" s="3280"/>
      <c r="AB2540" s="3280"/>
      <c r="AG2540" s="3865"/>
      <c r="AM2540" s="3041"/>
      <c r="BD2540" s="3280"/>
      <c r="BF2540" s="3041"/>
      <c r="BH2540" s="3282"/>
    </row>
    <row r="2541" spans="1:60" s="3030" customFormat="1">
      <c r="A2541" s="2126"/>
      <c r="B2541" s="2126"/>
      <c r="C2541" s="2126"/>
      <c r="D2541" s="2126"/>
      <c r="E2541" s="525"/>
      <c r="F2541" s="525"/>
      <c r="G2541" s="525"/>
      <c r="K2541" s="3280"/>
      <c r="AB2541" s="3280"/>
      <c r="AG2541" s="3865"/>
      <c r="AM2541" s="3041"/>
      <c r="BD2541" s="3280"/>
      <c r="BF2541" s="3041"/>
      <c r="BH2541" s="3282"/>
    </row>
    <row r="2542" spans="1:60" s="3030" customFormat="1">
      <c r="A2542" s="2126"/>
      <c r="B2542" s="2126"/>
      <c r="C2542" s="2126"/>
      <c r="D2542" s="2126"/>
      <c r="E2542" s="525"/>
      <c r="F2542" s="525"/>
      <c r="G2542" s="525"/>
      <c r="K2542" s="3280"/>
      <c r="AB2542" s="3280"/>
      <c r="AG2542" s="3865"/>
      <c r="AM2542" s="3041"/>
      <c r="BD2542" s="3280"/>
      <c r="BF2542" s="3041"/>
      <c r="BH2542" s="3282"/>
    </row>
    <row r="2543" spans="1:60" s="3030" customFormat="1">
      <c r="A2543" s="2126"/>
      <c r="B2543" s="2126"/>
      <c r="C2543" s="2126"/>
      <c r="D2543" s="2126"/>
      <c r="E2543" s="525"/>
      <c r="F2543" s="525"/>
      <c r="G2543" s="525"/>
      <c r="K2543" s="3280"/>
      <c r="AB2543" s="3280"/>
      <c r="AG2543" s="3865"/>
      <c r="AM2543" s="3041"/>
      <c r="BD2543" s="3280"/>
      <c r="BF2543" s="3041"/>
      <c r="BH2543" s="3282"/>
    </row>
    <row r="2544" spans="1:60" s="3030" customFormat="1">
      <c r="A2544" s="2126"/>
      <c r="B2544" s="2126"/>
      <c r="C2544" s="2126"/>
      <c r="D2544" s="2126"/>
      <c r="E2544" s="525"/>
      <c r="F2544" s="525"/>
      <c r="G2544" s="525"/>
      <c r="K2544" s="3280"/>
      <c r="AB2544" s="3280"/>
      <c r="AG2544" s="3865"/>
      <c r="AM2544" s="3041"/>
      <c r="BD2544" s="3280"/>
      <c r="BF2544" s="3041"/>
      <c r="BH2544" s="3282"/>
    </row>
    <row r="2545" spans="1:60" s="3030" customFormat="1">
      <c r="A2545" s="2126"/>
      <c r="B2545" s="2126"/>
      <c r="C2545" s="2126"/>
      <c r="D2545" s="2126"/>
      <c r="E2545" s="525"/>
      <c r="F2545" s="525"/>
      <c r="G2545" s="525"/>
      <c r="K2545" s="3280"/>
      <c r="AB2545" s="3280"/>
      <c r="AG2545" s="3865"/>
      <c r="AM2545" s="3041"/>
      <c r="BD2545" s="3280"/>
      <c r="BF2545" s="3041"/>
      <c r="BH2545" s="3282"/>
    </row>
    <row r="2546" spans="1:60" s="3030" customFormat="1">
      <c r="A2546" s="2126"/>
      <c r="B2546" s="2126"/>
      <c r="C2546" s="2126"/>
      <c r="D2546" s="2126"/>
      <c r="E2546" s="525"/>
      <c r="F2546" s="525"/>
      <c r="G2546" s="525"/>
      <c r="K2546" s="3280"/>
      <c r="AB2546" s="3280"/>
      <c r="AG2546" s="3865"/>
      <c r="AM2546" s="3041"/>
      <c r="BD2546" s="3280"/>
      <c r="BF2546" s="3041"/>
      <c r="BH2546" s="3282"/>
    </row>
    <row r="2547" spans="1:60" s="3030" customFormat="1">
      <c r="A2547" s="2126"/>
      <c r="B2547" s="2126"/>
      <c r="C2547" s="2126"/>
      <c r="D2547" s="2126"/>
      <c r="E2547" s="525"/>
      <c r="F2547" s="525"/>
      <c r="G2547" s="525"/>
      <c r="K2547" s="3280"/>
      <c r="AB2547" s="3280"/>
      <c r="AG2547" s="3865"/>
      <c r="AM2547" s="3041"/>
      <c r="BD2547" s="3280"/>
      <c r="BF2547" s="3041"/>
      <c r="BH2547" s="3282"/>
    </row>
    <row r="2548" spans="1:60" s="3030" customFormat="1">
      <c r="A2548" s="2126"/>
      <c r="B2548" s="2126"/>
      <c r="C2548" s="2126"/>
      <c r="D2548" s="2126"/>
      <c r="E2548" s="525"/>
      <c r="F2548" s="525"/>
      <c r="G2548" s="525"/>
      <c r="K2548" s="3280"/>
      <c r="AB2548" s="3280"/>
      <c r="AG2548" s="3865"/>
      <c r="AM2548" s="3041"/>
      <c r="BD2548" s="3280"/>
      <c r="BF2548" s="3041"/>
      <c r="BH2548" s="3282"/>
    </row>
    <row r="2549" spans="1:60" s="3030" customFormat="1">
      <c r="A2549" s="2126"/>
      <c r="B2549" s="2126"/>
      <c r="C2549" s="2126"/>
      <c r="D2549" s="2126"/>
      <c r="E2549" s="525"/>
      <c r="F2549" s="525"/>
      <c r="G2549" s="525"/>
      <c r="K2549" s="3280"/>
      <c r="AB2549" s="3280"/>
      <c r="AG2549" s="3865"/>
      <c r="AM2549" s="3041"/>
      <c r="BD2549" s="3280"/>
      <c r="BF2549" s="3041"/>
      <c r="BH2549" s="3282"/>
    </row>
    <row r="2550" spans="1:60" s="3030" customFormat="1">
      <c r="A2550" s="2126"/>
      <c r="B2550" s="2126"/>
      <c r="C2550" s="2126"/>
      <c r="D2550" s="2126"/>
      <c r="E2550" s="525"/>
      <c r="F2550" s="525"/>
      <c r="G2550" s="525"/>
      <c r="K2550" s="3280"/>
      <c r="AB2550" s="3280"/>
      <c r="AG2550" s="3865"/>
      <c r="AM2550" s="3041"/>
      <c r="BD2550" s="3280"/>
      <c r="BF2550" s="3041"/>
      <c r="BH2550" s="3282"/>
    </row>
    <row r="2551" spans="1:60" s="3030" customFormat="1">
      <c r="A2551" s="2126"/>
      <c r="B2551" s="2126"/>
      <c r="C2551" s="2126"/>
      <c r="D2551" s="2126"/>
      <c r="E2551" s="525"/>
      <c r="F2551" s="525"/>
      <c r="G2551" s="525"/>
      <c r="K2551" s="3280"/>
      <c r="AB2551" s="3280"/>
      <c r="AG2551" s="3865"/>
      <c r="AM2551" s="3041"/>
      <c r="BD2551" s="3280"/>
      <c r="BF2551" s="3041"/>
      <c r="BH2551" s="3282"/>
    </row>
    <row r="2552" spans="1:60" s="3030" customFormat="1">
      <c r="A2552" s="2126"/>
      <c r="B2552" s="2126"/>
      <c r="C2552" s="2126"/>
      <c r="D2552" s="2126"/>
      <c r="E2552" s="525"/>
      <c r="F2552" s="525"/>
      <c r="G2552" s="525"/>
      <c r="K2552" s="3280"/>
      <c r="AB2552" s="3280"/>
      <c r="AG2552" s="3865"/>
      <c r="AM2552" s="3041"/>
      <c r="BD2552" s="3280"/>
      <c r="BF2552" s="3041"/>
      <c r="BH2552" s="3282"/>
    </row>
    <row r="2553" spans="1:60" s="3030" customFormat="1">
      <c r="A2553" s="2126"/>
      <c r="B2553" s="2126"/>
      <c r="C2553" s="2126"/>
      <c r="D2553" s="2126"/>
      <c r="E2553" s="525"/>
      <c r="F2553" s="525"/>
      <c r="G2553" s="525"/>
      <c r="K2553" s="3280"/>
      <c r="AB2553" s="3280"/>
      <c r="AG2553" s="3865"/>
      <c r="AM2553" s="3041"/>
      <c r="BD2553" s="3280"/>
      <c r="BF2553" s="3041"/>
      <c r="BH2553" s="3282"/>
    </row>
    <row r="2554" spans="1:60" s="3030" customFormat="1">
      <c r="A2554" s="2126"/>
      <c r="B2554" s="2126"/>
      <c r="C2554" s="2126"/>
      <c r="D2554" s="2126"/>
      <c r="E2554" s="525"/>
      <c r="F2554" s="525"/>
      <c r="G2554" s="525"/>
      <c r="K2554" s="3280"/>
      <c r="AB2554" s="3280"/>
      <c r="AG2554" s="3865"/>
      <c r="AM2554" s="3041"/>
      <c r="BD2554" s="3280"/>
      <c r="BF2554" s="3041"/>
      <c r="BH2554" s="3282"/>
    </row>
    <row r="2555" spans="1:60" s="3030" customFormat="1">
      <c r="A2555" s="2126"/>
      <c r="B2555" s="2126"/>
      <c r="C2555" s="2126"/>
      <c r="D2555" s="2126"/>
      <c r="E2555" s="525"/>
      <c r="F2555" s="525"/>
      <c r="G2555" s="525"/>
      <c r="K2555" s="3280"/>
      <c r="AB2555" s="3280"/>
      <c r="AG2555" s="3865"/>
      <c r="AM2555" s="3041"/>
      <c r="BD2555" s="3280"/>
      <c r="BF2555" s="3041"/>
      <c r="BH2555" s="3282"/>
    </row>
    <row r="2556" spans="1:60" s="3030" customFormat="1">
      <c r="A2556" s="2126"/>
      <c r="B2556" s="2126"/>
      <c r="C2556" s="2126"/>
      <c r="D2556" s="2126"/>
      <c r="E2556" s="525"/>
      <c r="F2556" s="525"/>
      <c r="G2556" s="525"/>
      <c r="K2556" s="3280"/>
      <c r="AB2556" s="3280"/>
      <c r="AG2556" s="3865"/>
      <c r="AM2556" s="3041"/>
      <c r="BD2556" s="3280"/>
      <c r="BF2556" s="3041"/>
      <c r="BH2556" s="3282"/>
    </row>
    <row r="2557" spans="1:60" s="3030" customFormat="1">
      <c r="A2557" s="2126"/>
      <c r="B2557" s="2126"/>
      <c r="C2557" s="2126"/>
      <c r="D2557" s="2126"/>
      <c r="E2557" s="525"/>
      <c r="F2557" s="525"/>
      <c r="G2557" s="525"/>
      <c r="K2557" s="3280"/>
      <c r="AB2557" s="3280"/>
      <c r="AG2557" s="3865"/>
      <c r="AM2557" s="3041"/>
      <c r="BD2557" s="3280"/>
      <c r="BF2557" s="3041"/>
      <c r="BH2557" s="3282"/>
    </row>
    <row r="2558" spans="1:60" s="3030" customFormat="1">
      <c r="A2558" s="2126"/>
      <c r="B2558" s="2126"/>
      <c r="C2558" s="2126"/>
      <c r="D2558" s="2126"/>
      <c r="E2558" s="525"/>
      <c r="F2558" s="525"/>
      <c r="G2558" s="525"/>
      <c r="K2558" s="3280"/>
      <c r="AB2558" s="3280"/>
      <c r="AG2558" s="3865"/>
      <c r="AM2558" s="3041"/>
      <c r="BD2558" s="3280"/>
      <c r="BF2558" s="3041"/>
      <c r="BH2558" s="3282"/>
    </row>
    <row r="2559" spans="1:60" s="3030" customFormat="1">
      <c r="A2559" s="2126"/>
      <c r="B2559" s="2126"/>
      <c r="C2559" s="2126"/>
      <c r="D2559" s="2126"/>
      <c r="E2559" s="525"/>
      <c r="F2559" s="525"/>
      <c r="G2559" s="525"/>
      <c r="K2559" s="3280"/>
      <c r="AB2559" s="3280"/>
      <c r="AG2559" s="3865"/>
      <c r="AM2559" s="3041"/>
      <c r="BD2559" s="3280"/>
      <c r="BF2559" s="3041"/>
      <c r="BH2559" s="3282"/>
    </row>
    <row r="2560" spans="1:60" s="3030" customFormat="1">
      <c r="A2560" s="2126"/>
      <c r="B2560" s="2126"/>
      <c r="C2560" s="2126"/>
      <c r="D2560" s="2126"/>
      <c r="E2560" s="525"/>
      <c r="F2560" s="525"/>
      <c r="G2560" s="525"/>
      <c r="K2560" s="3280"/>
      <c r="AB2560" s="3280"/>
      <c r="AG2560" s="3865"/>
      <c r="AM2560" s="3041"/>
      <c r="BD2560" s="3280"/>
      <c r="BF2560" s="3041"/>
      <c r="BH2560" s="3282"/>
    </row>
    <row r="2561" spans="1:60" s="3030" customFormat="1">
      <c r="A2561" s="2126"/>
      <c r="B2561" s="2126"/>
      <c r="C2561" s="2126"/>
      <c r="D2561" s="2126"/>
      <c r="E2561" s="525"/>
      <c r="F2561" s="525"/>
      <c r="G2561" s="525"/>
      <c r="K2561" s="3280"/>
      <c r="AB2561" s="3280"/>
      <c r="AG2561" s="3865"/>
      <c r="AM2561" s="3041"/>
      <c r="BD2561" s="3280"/>
      <c r="BF2561" s="3041"/>
      <c r="BH2561" s="3282"/>
    </row>
    <row r="2562" spans="1:60" s="3030" customFormat="1">
      <c r="A2562" s="2126"/>
      <c r="B2562" s="2126"/>
      <c r="C2562" s="2126"/>
      <c r="D2562" s="2126"/>
      <c r="E2562" s="525"/>
      <c r="F2562" s="525"/>
      <c r="G2562" s="525"/>
      <c r="K2562" s="3280"/>
      <c r="AB2562" s="3280"/>
      <c r="AG2562" s="3865"/>
      <c r="AM2562" s="3041"/>
      <c r="BD2562" s="3280"/>
      <c r="BF2562" s="3041"/>
      <c r="BH2562" s="3282"/>
    </row>
    <row r="2563" spans="1:60" s="3030" customFormat="1">
      <c r="A2563" s="2126"/>
      <c r="B2563" s="2126"/>
      <c r="C2563" s="2126"/>
      <c r="D2563" s="2126"/>
      <c r="E2563" s="525"/>
      <c r="F2563" s="525"/>
      <c r="G2563" s="525"/>
      <c r="K2563" s="3280"/>
      <c r="AB2563" s="3280"/>
      <c r="AG2563" s="3865"/>
      <c r="AM2563" s="3041"/>
      <c r="BD2563" s="3280"/>
      <c r="BF2563" s="3041"/>
      <c r="BH2563" s="3282"/>
    </row>
    <row r="2564" spans="1:60" s="3030" customFormat="1">
      <c r="A2564" s="2126"/>
      <c r="B2564" s="2126"/>
      <c r="C2564" s="2126"/>
      <c r="D2564" s="2126"/>
      <c r="E2564" s="525"/>
      <c r="F2564" s="525"/>
      <c r="G2564" s="525"/>
      <c r="K2564" s="3280"/>
      <c r="AB2564" s="3280"/>
      <c r="AG2564" s="3865"/>
      <c r="AM2564" s="3041"/>
      <c r="BD2564" s="3280"/>
      <c r="BF2564" s="3041"/>
      <c r="BH2564" s="3282"/>
    </row>
    <row r="2565" spans="1:60" s="3030" customFormat="1">
      <c r="A2565" s="2126"/>
      <c r="B2565" s="2126"/>
      <c r="C2565" s="2126"/>
      <c r="D2565" s="2126"/>
      <c r="E2565" s="525"/>
      <c r="F2565" s="525"/>
      <c r="G2565" s="525"/>
      <c r="K2565" s="3280"/>
      <c r="AB2565" s="3280"/>
      <c r="AG2565" s="3865"/>
      <c r="AM2565" s="3041"/>
      <c r="BD2565" s="3280"/>
      <c r="BF2565" s="3041"/>
      <c r="BH2565" s="3282"/>
    </row>
    <row r="2566" spans="1:60" s="3030" customFormat="1">
      <c r="A2566" s="2126"/>
      <c r="B2566" s="2126"/>
      <c r="C2566" s="2126"/>
      <c r="D2566" s="2126"/>
      <c r="E2566" s="525"/>
      <c r="F2566" s="525"/>
      <c r="G2566" s="525"/>
      <c r="K2566" s="3280"/>
      <c r="AB2566" s="3280"/>
      <c r="AG2566" s="3865"/>
      <c r="AM2566" s="3041"/>
      <c r="BD2566" s="3280"/>
      <c r="BF2566" s="3041"/>
      <c r="BH2566" s="3282"/>
    </row>
    <row r="2567" spans="1:60" s="3030" customFormat="1">
      <c r="A2567" s="2126"/>
      <c r="B2567" s="2126"/>
      <c r="C2567" s="2126"/>
      <c r="D2567" s="2126"/>
      <c r="E2567" s="525"/>
      <c r="F2567" s="525"/>
      <c r="G2567" s="525"/>
      <c r="K2567" s="3280"/>
      <c r="AB2567" s="3280"/>
      <c r="AG2567" s="3865"/>
      <c r="AM2567" s="3041"/>
      <c r="BD2567" s="3280"/>
      <c r="BF2567" s="3041"/>
      <c r="BH2567" s="3282"/>
    </row>
    <row r="2568" spans="1:60" s="3030" customFormat="1">
      <c r="A2568" s="2126"/>
      <c r="B2568" s="2126"/>
      <c r="C2568" s="2126"/>
      <c r="D2568" s="2126"/>
      <c r="E2568" s="525"/>
      <c r="F2568" s="525"/>
      <c r="G2568" s="525"/>
      <c r="K2568" s="3280"/>
      <c r="AB2568" s="3280"/>
      <c r="AG2568" s="3865"/>
      <c r="AM2568" s="3041"/>
      <c r="BD2568" s="3280"/>
      <c r="BF2568" s="3041"/>
      <c r="BH2568" s="3282"/>
    </row>
    <row r="2569" spans="1:60" s="3030" customFormat="1">
      <c r="A2569" s="2126"/>
      <c r="B2569" s="2126"/>
      <c r="C2569" s="2126"/>
      <c r="D2569" s="2126"/>
      <c r="E2569" s="525"/>
      <c r="F2569" s="525"/>
      <c r="G2569" s="525"/>
      <c r="K2569" s="3280"/>
      <c r="AB2569" s="3280"/>
      <c r="AG2569" s="3865"/>
      <c r="AM2569" s="3041"/>
      <c r="BD2569" s="3280"/>
      <c r="BF2569" s="3041"/>
      <c r="BH2569" s="3282"/>
    </row>
    <row r="2570" spans="1:60" s="3030" customFormat="1">
      <c r="A2570" s="2126"/>
      <c r="B2570" s="2126"/>
      <c r="C2570" s="2126"/>
      <c r="D2570" s="2126"/>
      <c r="E2570" s="525"/>
      <c r="F2570" s="525"/>
      <c r="G2570" s="525"/>
      <c r="K2570" s="3280"/>
      <c r="AB2570" s="3280"/>
      <c r="AG2570" s="3865"/>
      <c r="AM2570" s="3041"/>
      <c r="BD2570" s="3280"/>
      <c r="BF2570" s="3041"/>
      <c r="BH2570" s="3282"/>
    </row>
    <row r="2571" spans="1:60" s="3030" customFormat="1">
      <c r="A2571" s="2126"/>
      <c r="B2571" s="2126"/>
      <c r="C2571" s="2126"/>
      <c r="D2571" s="2126"/>
      <c r="E2571" s="525"/>
      <c r="F2571" s="525"/>
      <c r="G2571" s="525"/>
      <c r="K2571" s="3280"/>
      <c r="AB2571" s="3280"/>
      <c r="AG2571" s="3865"/>
      <c r="AM2571" s="3041"/>
      <c r="BD2571" s="3280"/>
      <c r="BF2571" s="3041"/>
      <c r="BH2571" s="3282"/>
    </row>
    <row r="2572" spans="1:60" s="3030" customFormat="1">
      <c r="A2572" s="2126"/>
      <c r="B2572" s="2126"/>
      <c r="C2572" s="2126"/>
      <c r="D2572" s="2126"/>
      <c r="E2572" s="525"/>
      <c r="F2572" s="525"/>
      <c r="G2572" s="525"/>
      <c r="K2572" s="3280"/>
      <c r="AB2572" s="3280"/>
      <c r="AG2572" s="3865"/>
      <c r="AM2572" s="3041"/>
      <c r="BD2572" s="3280"/>
      <c r="BF2572" s="3041"/>
      <c r="BH2572" s="3282"/>
    </row>
    <row r="2573" spans="1:60" s="3030" customFormat="1">
      <c r="A2573" s="2126"/>
      <c r="B2573" s="2126"/>
      <c r="C2573" s="2126"/>
      <c r="D2573" s="2126"/>
      <c r="E2573" s="525"/>
      <c r="F2573" s="525"/>
      <c r="G2573" s="525"/>
      <c r="K2573" s="3280"/>
      <c r="AB2573" s="3280"/>
      <c r="AG2573" s="3865"/>
      <c r="AM2573" s="3041"/>
      <c r="BD2573" s="3280"/>
      <c r="BF2573" s="3041"/>
      <c r="BH2573" s="3282"/>
    </row>
    <row r="2574" spans="1:60" s="3030" customFormat="1">
      <c r="A2574" s="2126"/>
      <c r="B2574" s="2126"/>
      <c r="C2574" s="2126"/>
      <c r="D2574" s="2126"/>
      <c r="E2574" s="525"/>
      <c r="F2574" s="525"/>
      <c r="G2574" s="525"/>
      <c r="K2574" s="3280"/>
      <c r="AB2574" s="3280"/>
      <c r="AG2574" s="3865"/>
      <c r="AM2574" s="3041"/>
      <c r="BD2574" s="3280"/>
      <c r="BF2574" s="3041"/>
      <c r="BH2574" s="3282"/>
    </row>
    <row r="2575" spans="1:60" s="3030" customFormat="1">
      <c r="A2575" s="2126"/>
      <c r="B2575" s="2126"/>
      <c r="C2575" s="2126"/>
      <c r="D2575" s="2126"/>
      <c r="E2575" s="525"/>
      <c r="F2575" s="525"/>
      <c r="G2575" s="525"/>
      <c r="K2575" s="3280"/>
      <c r="AB2575" s="3280"/>
      <c r="AG2575" s="3865"/>
      <c r="AM2575" s="3041"/>
      <c r="BD2575" s="3280"/>
      <c r="BF2575" s="3041"/>
      <c r="BH2575" s="3282"/>
    </row>
    <row r="2576" spans="1:60" s="3030" customFormat="1">
      <c r="A2576" s="2126"/>
      <c r="B2576" s="2126"/>
      <c r="C2576" s="2126"/>
      <c r="D2576" s="2126"/>
      <c r="E2576" s="525"/>
      <c r="F2576" s="525"/>
      <c r="G2576" s="525"/>
      <c r="K2576" s="3280"/>
      <c r="AB2576" s="3280"/>
      <c r="AG2576" s="3865"/>
      <c r="AM2576" s="3041"/>
      <c r="BD2576" s="3280"/>
      <c r="BF2576" s="3041"/>
      <c r="BH2576" s="3282"/>
    </row>
    <row r="2577" spans="1:60" s="3030" customFormat="1">
      <c r="A2577" s="2126"/>
      <c r="B2577" s="2126"/>
      <c r="C2577" s="2126"/>
      <c r="D2577" s="2126"/>
      <c r="E2577" s="525"/>
      <c r="F2577" s="525"/>
      <c r="G2577" s="525"/>
      <c r="K2577" s="3280"/>
      <c r="AB2577" s="3280"/>
      <c r="AG2577" s="3865"/>
      <c r="AM2577" s="3041"/>
      <c r="BD2577" s="3280"/>
      <c r="BF2577" s="3041"/>
      <c r="BH2577" s="3282"/>
    </row>
    <row r="2578" spans="1:60" s="3030" customFormat="1">
      <c r="A2578" s="2126"/>
      <c r="B2578" s="2126"/>
      <c r="C2578" s="2126"/>
      <c r="D2578" s="2126"/>
      <c r="E2578" s="525"/>
      <c r="F2578" s="525"/>
      <c r="G2578" s="525"/>
      <c r="K2578" s="3280"/>
      <c r="AB2578" s="3280"/>
      <c r="AG2578" s="3865"/>
      <c r="AM2578" s="3041"/>
      <c r="BD2578" s="3280"/>
      <c r="BF2578" s="3041"/>
      <c r="BH2578" s="3282"/>
    </row>
    <row r="2579" spans="1:60" s="3030" customFormat="1">
      <c r="A2579" s="2126"/>
      <c r="B2579" s="2126"/>
      <c r="C2579" s="2126"/>
      <c r="D2579" s="2126"/>
      <c r="E2579" s="525"/>
      <c r="F2579" s="525"/>
      <c r="G2579" s="525"/>
      <c r="K2579" s="3280"/>
      <c r="AB2579" s="3280"/>
      <c r="AG2579" s="3865"/>
      <c r="AM2579" s="3041"/>
      <c r="BD2579" s="3280"/>
      <c r="BF2579" s="3041"/>
      <c r="BH2579" s="3282"/>
    </row>
    <row r="2580" spans="1:60" s="3030" customFormat="1">
      <c r="A2580" s="2126"/>
      <c r="B2580" s="2126"/>
      <c r="C2580" s="2126"/>
      <c r="D2580" s="2126"/>
      <c r="E2580" s="525"/>
      <c r="F2580" s="525"/>
      <c r="G2580" s="525"/>
      <c r="K2580" s="3280"/>
      <c r="AB2580" s="3280"/>
      <c r="AG2580" s="3865"/>
      <c r="AM2580" s="3041"/>
      <c r="BD2580" s="3280"/>
      <c r="BF2580" s="3041"/>
      <c r="BH2580" s="3282"/>
    </row>
    <row r="2581" spans="1:60" s="3030" customFormat="1">
      <c r="A2581" s="2126"/>
      <c r="B2581" s="2126"/>
      <c r="C2581" s="2126"/>
      <c r="D2581" s="2126"/>
      <c r="E2581" s="525"/>
      <c r="F2581" s="525"/>
      <c r="G2581" s="525"/>
      <c r="K2581" s="3280"/>
      <c r="AB2581" s="3280"/>
      <c r="AG2581" s="3865"/>
      <c r="AM2581" s="3041"/>
      <c r="BD2581" s="3280"/>
      <c r="BF2581" s="3041"/>
      <c r="BH2581" s="3282"/>
    </row>
    <row r="2582" spans="1:60" s="3030" customFormat="1">
      <c r="A2582" s="2126"/>
      <c r="B2582" s="2126"/>
      <c r="C2582" s="2126"/>
      <c r="D2582" s="2126"/>
      <c r="E2582" s="525"/>
      <c r="F2582" s="525"/>
      <c r="G2582" s="525"/>
      <c r="K2582" s="3280"/>
      <c r="AB2582" s="3280"/>
      <c r="AG2582" s="3865"/>
      <c r="AM2582" s="3041"/>
      <c r="BD2582" s="3280"/>
      <c r="BF2582" s="3041"/>
      <c r="BH2582" s="3282"/>
    </row>
    <row r="2583" spans="1:60" s="3030" customFormat="1">
      <c r="A2583" s="2126"/>
      <c r="B2583" s="2126"/>
      <c r="C2583" s="2126"/>
      <c r="D2583" s="2126"/>
      <c r="E2583" s="525"/>
      <c r="F2583" s="525"/>
      <c r="G2583" s="525"/>
      <c r="K2583" s="3280"/>
      <c r="AB2583" s="3280"/>
      <c r="AG2583" s="3865"/>
      <c r="AM2583" s="3041"/>
      <c r="BD2583" s="3280"/>
      <c r="BF2583" s="3041"/>
      <c r="BH2583" s="3282"/>
    </row>
    <row r="2584" spans="1:60" s="3030" customFormat="1">
      <c r="A2584" s="2126"/>
      <c r="B2584" s="2126"/>
      <c r="C2584" s="2126"/>
      <c r="D2584" s="2126"/>
      <c r="E2584" s="525"/>
      <c r="F2584" s="525"/>
      <c r="G2584" s="525"/>
      <c r="K2584" s="3280"/>
      <c r="AB2584" s="3280"/>
      <c r="AG2584" s="3865"/>
      <c r="AM2584" s="3041"/>
      <c r="BD2584" s="3280"/>
      <c r="BF2584" s="3041"/>
      <c r="BH2584" s="3282"/>
    </row>
    <row r="2585" spans="1:60" s="3030" customFormat="1">
      <c r="A2585" s="2126"/>
      <c r="B2585" s="2126"/>
      <c r="C2585" s="2126"/>
      <c r="D2585" s="2126"/>
      <c r="E2585" s="525"/>
      <c r="F2585" s="525"/>
      <c r="G2585" s="525"/>
      <c r="K2585" s="3280"/>
      <c r="AB2585" s="3280"/>
      <c r="AG2585" s="3865"/>
      <c r="AM2585" s="3041"/>
      <c r="BD2585" s="3280"/>
      <c r="BF2585" s="3041"/>
      <c r="BH2585" s="3282"/>
    </row>
    <row r="2586" spans="1:60" s="3030" customFormat="1">
      <c r="A2586" s="2126"/>
      <c r="B2586" s="2126"/>
      <c r="C2586" s="2126"/>
      <c r="D2586" s="2126"/>
      <c r="E2586" s="525"/>
      <c r="F2586" s="525"/>
      <c r="G2586" s="525"/>
      <c r="K2586" s="3280"/>
      <c r="AB2586" s="3280"/>
      <c r="AG2586" s="3865"/>
      <c r="AM2586" s="3041"/>
      <c r="BD2586" s="3280"/>
      <c r="BF2586" s="3041"/>
      <c r="BH2586" s="3282"/>
    </row>
    <row r="2587" spans="1:60" s="3030" customFormat="1">
      <c r="A2587" s="2126"/>
      <c r="B2587" s="2126"/>
      <c r="C2587" s="2126"/>
      <c r="D2587" s="2126"/>
      <c r="E2587" s="525"/>
      <c r="F2587" s="525"/>
      <c r="G2587" s="525"/>
      <c r="K2587" s="3280"/>
      <c r="AB2587" s="3280"/>
      <c r="AG2587" s="3865"/>
      <c r="AM2587" s="3041"/>
      <c r="BD2587" s="3280"/>
      <c r="BF2587" s="3041"/>
      <c r="BH2587" s="3282"/>
    </row>
    <row r="2588" spans="1:60" s="3030" customFormat="1">
      <c r="A2588" s="2126"/>
      <c r="B2588" s="2126"/>
      <c r="C2588" s="2126"/>
      <c r="D2588" s="2126"/>
      <c r="E2588" s="525"/>
      <c r="F2588" s="525"/>
      <c r="G2588" s="525"/>
      <c r="K2588" s="3280"/>
      <c r="AB2588" s="3280"/>
      <c r="AG2588" s="3865"/>
      <c r="AM2588" s="3041"/>
      <c r="BD2588" s="3280"/>
      <c r="BF2588" s="3041"/>
      <c r="BH2588" s="3282"/>
    </row>
  </sheetData>
  <printOptions horizontalCentered="1"/>
  <pageMargins left="0.59055118110236227" right="0.59055118110236227" top="1.1811023622047245" bottom="0.98425196850393704" header="0" footer="0.47244094488188981"/>
  <pageSetup paperSize="9" scale="60" fitToHeight="3" orientation="landscape" r:id="rId1"/>
  <headerFooter alignWithMargins="0">
    <oddFooter>&amp;C&amp;"Times New Roman,Normal"&amp;12&amp;F   -   &amp;A&amp;R&amp;"Times New Roman,Normal"&amp;12&amp;P/&amp;N</oddFooter>
  </headerFooter>
  <rowBreaks count="1" manualBreakCount="1">
    <brk id="14" max="20" man="1"/>
  </rowBreaks>
  <legacyDrawing r:id="rId2"/>
</worksheet>
</file>

<file path=xl/worksheets/sheet11.xml><?xml version="1.0" encoding="utf-8"?>
<worksheet xmlns="http://schemas.openxmlformats.org/spreadsheetml/2006/main" xmlns:r="http://schemas.openxmlformats.org/officeDocument/2006/relationships">
  <dimension ref="A1:BS2807"/>
  <sheetViews>
    <sheetView topLeftCell="C9" zoomScale="70" zoomScaleNormal="70" workbookViewId="0">
      <pane xSplit="7" ySplit="1" topLeftCell="J10" activePane="bottomRight" state="frozen"/>
      <selection activeCell="C9" sqref="C9"/>
      <selection pane="topRight" activeCell="J9" sqref="J9"/>
      <selection pane="bottomLeft" activeCell="C11" sqref="C11"/>
      <selection pane="bottomRight" activeCell="K92" sqref="K92"/>
    </sheetView>
  </sheetViews>
  <sheetFormatPr baseColWidth="10" defaultRowHeight="12.75"/>
  <cols>
    <col min="1" max="1" width="10.5703125" style="3094" bestFit="1" customWidth="1"/>
    <col min="2" max="2" width="9.7109375" style="3095" customWidth="1"/>
    <col min="3" max="3" width="4.140625" style="2151" customWidth="1"/>
    <col min="4" max="4" width="5.85546875" style="3102" customWidth="1"/>
    <col min="5" max="5" width="33.7109375" style="525" customWidth="1"/>
    <col min="6" max="6" width="9.5703125" style="525" hidden="1" customWidth="1"/>
    <col min="7" max="7" width="9.28515625" style="526" customWidth="1"/>
    <col min="8" max="10" width="8.42578125" style="3030" hidden="1" customWidth="1"/>
    <col min="11" max="11" width="8.42578125" style="3280" customWidth="1"/>
    <col min="12" max="13" width="8.42578125" style="3030" hidden="1" customWidth="1"/>
    <col min="14" max="14" width="8.42578125" style="3030" customWidth="1"/>
    <col min="15" max="15" width="8.42578125" style="3030" hidden="1" customWidth="1"/>
    <col min="16" max="16" width="8.42578125" style="3041" customWidth="1"/>
    <col min="17" max="23" width="8.42578125" style="3030" hidden="1" customWidth="1"/>
    <col min="24" max="24" width="8.42578125" style="3280" customWidth="1"/>
    <col min="25" max="26" width="8.42578125" style="3030" hidden="1" customWidth="1"/>
    <col min="27" max="27" width="8.42578125" style="3041" customWidth="1"/>
    <col min="28" max="31" width="8.42578125" style="3030" hidden="1" customWidth="1"/>
    <col min="32" max="32" width="8.42578125" style="3041" hidden="1" customWidth="1"/>
    <col min="33" max="38" width="8.42578125" style="3030" customWidth="1"/>
    <col min="39" max="39" width="8.42578125" style="3030" hidden="1" customWidth="1"/>
    <col min="40" max="40" width="8.42578125" style="3280" customWidth="1"/>
    <col min="41" max="41" width="8.42578125" style="3030" hidden="1" customWidth="1"/>
    <col min="42" max="42" width="8.42578125" style="3030" customWidth="1"/>
    <col min="43" max="51" width="8.42578125" style="3030" hidden="1" customWidth="1"/>
    <col min="52" max="52" width="8.42578125" style="3041" customWidth="1"/>
    <col min="53" max="55" width="8.42578125" style="3030" hidden="1" customWidth="1"/>
    <col min="56" max="56" width="8.42578125" style="3281" customWidth="1"/>
    <col min="57" max="59" width="8.42578125" style="3030" hidden="1" customWidth="1"/>
    <col min="60" max="60" width="9.140625" style="3282" hidden="1" customWidth="1"/>
    <col min="61" max="61" width="8.42578125" style="3030" hidden="1" customWidth="1"/>
    <col min="62" max="62" width="11.42578125" style="2589"/>
    <col min="63" max="68" width="11.42578125" style="2126"/>
    <col min="69" max="69" width="11.28515625" style="2126" customWidth="1"/>
    <col min="70" max="16384" width="11.42578125" style="2126"/>
  </cols>
  <sheetData>
    <row r="1" spans="1:71">
      <c r="C1" s="2188"/>
      <c r="D1" s="3096"/>
      <c r="E1" s="2120"/>
      <c r="F1" s="2120"/>
      <c r="G1" s="2121"/>
      <c r="H1" s="3097"/>
      <c r="I1" s="3097"/>
      <c r="J1" s="3097"/>
      <c r="K1" s="3098"/>
      <c r="L1" s="3097"/>
      <c r="M1" s="3097"/>
      <c r="N1" s="3097"/>
      <c r="O1" s="3097"/>
      <c r="P1" s="3099"/>
      <c r="Q1" s="3097"/>
      <c r="R1" s="3097"/>
      <c r="S1" s="3097"/>
      <c r="T1" s="3097"/>
      <c r="U1" s="3097"/>
      <c r="V1" s="3097"/>
      <c r="W1" s="3097"/>
      <c r="X1" s="3098"/>
      <c r="Y1" s="3097"/>
      <c r="Z1" s="3097"/>
      <c r="AA1" s="3099"/>
      <c r="AB1" s="3097"/>
      <c r="AC1" s="3097"/>
      <c r="AD1" s="3097"/>
      <c r="AE1" s="3097"/>
      <c r="AF1" s="3099"/>
      <c r="AG1" s="3097"/>
      <c r="AH1" s="3097"/>
      <c r="AI1" s="3097"/>
      <c r="AJ1" s="3097"/>
      <c r="AK1" s="3097"/>
      <c r="AL1" s="3097"/>
      <c r="AM1" s="3097"/>
      <c r="AN1" s="3098"/>
      <c r="AO1" s="3097"/>
      <c r="AP1" s="3097"/>
      <c r="AQ1" s="3097"/>
      <c r="AR1" s="3097"/>
      <c r="AS1" s="3097"/>
      <c r="AT1" s="3097"/>
      <c r="AU1" s="3097"/>
      <c r="AV1" s="3097"/>
      <c r="AW1" s="3097"/>
      <c r="AX1" s="3097"/>
      <c r="AY1" s="3097"/>
      <c r="AZ1" s="3099"/>
      <c r="BA1" s="3097"/>
      <c r="BB1" s="3097"/>
      <c r="BC1" s="3097"/>
      <c r="BD1" s="3100"/>
      <c r="BE1" s="3097"/>
      <c r="BF1" s="3097"/>
      <c r="BG1" s="3097"/>
      <c r="BH1" s="3099"/>
      <c r="BI1" s="3097"/>
      <c r="BJ1" s="3101"/>
      <c r="BK1" s="2125"/>
      <c r="BL1" s="2125"/>
      <c r="BM1" s="2125"/>
      <c r="BN1" s="2125"/>
      <c r="BO1" s="2125"/>
      <c r="BP1" s="2125"/>
      <c r="BQ1" s="2125"/>
      <c r="BR1" s="2125"/>
      <c r="BS1" s="2125"/>
    </row>
    <row r="2" spans="1:71">
      <c r="H2" s="3103"/>
      <c r="I2" s="3103"/>
      <c r="J2" s="3103"/>
      <c r="K2" s="3104"/>
      <c r="L2" s="3103"/>
      <c r="M2" s="3103"/>
      <c r="N2" s="3103"/>
      <c r="O2" s="3103"/>
      <c r="P2" s="3105"/>
      <c r="Q2" s="3103"/>
      <c r="R2" s="3103"/>
      <c r="S2" s="3103"/>
      <c r="T2" s="3103"/>
      <c r="U2" s="3103"/>
      <c r="V2" s="3103"/>
      <c r="W2" s="3103"/>
      <c r="X2" s="3104"/>
      <c r="Y2" s="3103"/>
      <c r="Z2" s="3103"/>
      <c r="AA2" s="3105"/>
      <c r="AB2" s="3103"/>
      <c r="AC2" s="3103"/>
      <c r="AD2" s="3103"/>
      <c r="AE2" s="3103"/>
      <c r="AF2" s="3105"/>
      <c r="AG2" s="3103"/>
      <c r="AH2" s="3103"/>
      <c r="AI2" s="3103"/>
      <c r="AJ2" s="3103"/>
      <c r="AK2" s="3103"/>
      <c r="AL2" s="3103"/>
      <c r="AM2" s="3103"/>
      <c r="AN2" s="3104"/>
      <c r="AO2" s="3103"/>
      <c r="AP2" s="3103"/>
      <c r="AQ2" s="3103"/>
      <c r="AR2" s="3103"/>
      <c r="AS2" s="3103"/>
      <c r="AT2" s="3103"/>
      <c r="AU2" s="3103"/>
      <c r="AV2" s="3103"/>
      <c r="AW2" s="3103"/>
      <c r="AX2" s="3103"/>
      <c r="AY2" s="3103"/>
      <c r="AZ2" s="3105"/>
      <c r="BA2" s="3103"/>
      <c r="BB2" s="3103"/>
      <c r="BC2" s="3103"/>
      <c r="BD2" s="3106"/>
      <c r="BE2" s="3103"/>
      <c r="BF2" s="3103"/>
      <c r="BG2" s="3103"/>
      <c r="BH2" s="3105"/>
      <c r="BI2" s="3103"/>
      <c r="BJ2" s="3101"/>
      <c r="BK2" s="2125"/>
      <c r="BL2" s="2125"/>
      <c r="BM2" s="2125"/>
      <c r="BN2" s="2125"/>
      <c r="BO2" s="2125"/>
      <c r="BP2" s="2125"/>
      <c r="BQ2" s="2125"/>
      <c r="BR2" s="2125"/>
      <c r="BS2" s="2125"/>
    </row>
    <row r="3" spans="1:71">
      <c r="H3" s="3103"/>
      <c r="I3" s="3103"/>
      <c r="J3" s="3103"/>
      <c r="K3" s="3104"/>
      <c r="L3" s="3103"/>
      <c r="M3" s="3103"/>
      <c r="N3" s="3103"/>
      <c r="O3" s="3103"/>
      <c r="P3" s="3105"/>
      <c r="Q3" s="3103"/>
      <c r="R3" s="3103"/>
      <c r="S3" s="3103"/>
      <c r="T3" s="3103"/>
      <c r="U3" s="3103"/>
      <c r="V3" s="3103"/>
      <c r="W3" s="3103"/>
      <c r="X3" s="3104"/>
      <c r="Y3" s="3103"/>
      <c r="Z3" s="3103"/>
      <c r="AA3" s="3105"/>
      <c r="AB3" s="3103"/>
      <c r="AC3" s="3103"/>
      <c r="AD3" s="3103"/>
      <c r="AE3" s="3103"/>
      <c r="AF3" s="3105"/>
      <c r="AG3" s="3103"/>
      <c r="AH3" s="3103"/>
      <c r="AI3" s="3103"/>
      <c r="AJ3" s="3103"/>
      <c r="AK3" s="3103"/>
      <c r="AL3" s="3103"/>
      <c r="AM3" s="3103"/>
      <c r="AN3" s="3104"/>
      <c r="AO3" s="3103"/>
      <c r="AP3" s="3103"/>
      <c r="AQ3" s="3103"/>
      <c r="AR3" s="3103"/>
      <c r="AS3" s="3103"/>
      <c r="AT3" s="3103"/>
      <c r="AU3" s="3103"/>
      <c r="AV3" s="3103"/>
      <c r="AW3" s="3103"/>
      <c r="AX3" s="3103"/>
      <c r="AY3" s="3103"/>
      <c r="AZ3" s="3105"/>
      <c r="BA3" s="3103"/>
      <c r="BB3" s="3103"/>
      <c r="BC3" s="3103"/>
      <c r="BD3" s="3106"/>
      <c r="BE3" s="3103"/>
      <c r="BF3" s="3103"/>
      <c r="BG3" s="3103"/>
      <c r="BH3" s="3105"/>
      <c r="BI3" s="3103"/>
      <c r="BJ3" s="3101"/>
      <c r="BK3" s="2125"/>
      <c r="BL3" s="2125"/>
      <c r="BM3" s="2125"/>
      <c r="BN3" s="2125"/>
      <c r="BO3" s="2125"/>
      <c r="BP3" s="2125"/>
      <c r="BQ3" s="2125"/>
      <c r="BR3" s="2125"/>
      <c r="BS3" s="2125"/>
    </row>
    <row r="4" spans="1:71">
      <c r="H4" s="3103"/>
      <c r="I4" s="3103"/>
      <c r="J4" s="3103"/>
      <c r="K4" s="3104"/>
      <c r="L4" s="3103"/>
      <c r="M4" s="3103"/>
      <c r="N4" s="3103"/>
      <c r="O4" s="3103"/>
      <c r="P4" s="3105"/>
      <c r="Q4" s="3103"/>
      <c r="R4" s="3103"/>
      <c r="S4" s="3103"/>
      <c r="T4" s="3103"/>
      <c r="U4" s="3103"/>
      <c r="V4" s="3103"/>
      <c r="W4" s="3103"/>
      <c r="X4" s="3104"/>
      <c r="Y4" s="3103"/>
      <c r="Z4" s="3103"/>
      <c r="AA4" s="3105"/>
      <c r="AB4" s="3103"/>
      <c r="AC4" s="3103"/>
      <c r="AD4" s="3103"/>
      <c r="AE4" s="3103"/>
      <c r="AF4" s="3105"/>
      <c r="AG4" s="3103"/>
      <c r="AH4" s="3103"/>
      <c r="AI4" s="3103"/>
      <c r="AJ4" s="3103"/>
      <c r="AK4" s="3103"/>
      <c r="AL4" s="3103"/>
      <c r="AM4" s="3103"/>
      <c r="AN4" s="3104"/>
      <c r="AO4" s="3103"/>
      <c r="AP4" s="3103"/>
      <c r="AQ4" s="3103"/>
      <c r="AR4" s="3103"/>
      <c r="AS4" s="3103"/>
      <c r="AT4" s="3103"/>
      <c r="AU4" s="3103"/>
      <c r="AV4" s="3103"/>
      <c r="AW4" s="3103"/>
      <c r="AX4" s="3103"/>
      <c r="AY4" s="3103"/>
      <c r="AZ4" s="3105"/>
      <c r="BA4" s="3103"/>
      <c r="BB4" s="3103"/>
      <c r="BC4" s="3103"/>
      <c r="BD4" s="3106"/>
      <c r="BE4" s="3103"/>
      <c r="BF4" s="3103"/>
      <c r="BG4" s="3103"/>
      <c r="BH4" s="3105"/>
      <c r="BI4" s="3103"/>
      <c r="BJ4" s="3101"/>
      <c r="BK4" s="2125"/>
      <c r="BL4" s="2125"/>
      <c r="BM4" s="2125"/>
      <c r="BN4" s="2125"/>
      <c r="BO4" s="2125"/>
      <c r="BP4" s="2125"/>
      <c r="BQ4" s="2125"/>
      <c r="BR4" s="2125"/>
      <c r="BS4" s="2125"/>
    </row>
    <row r="5" spans="1:71" ht="26.25">
      <c r="G5" s="2130"/>
      <c r="H5" s="3107"/>
      <c r="I5" s="3107"/>
      <c r="J5" s="3107"/>
      <c r="K5" s="3108"/>
      <c r="L5" s="3107"/>
      <c r="M5" s="3107"/>
      <c r="N5" s="3107"/>
      <c r="O5" s="3107"/>
      <c r="P5" s="3034"/>
      <c r="Q5" s="3107"/>
      <c r="R5" s="3107"/>
      <c r="S5" s="3107"/>
      <c r="T5" s="3107"/>
      <c r="U5" s="3107"/>
      <c r="V5" s="3107"/>
      <c r="W5" s="3107"/>
      <c r="X5" s="3108"/>
      <c r="Y5" s="3107"/>
      <c r="Z5" s="3107"/>
      <c r="AA5" s="3034"/>
      <c r="AB5" s="3107"/>
      <c r="AC5" s="3107"/>
      <c r="AD5" s="3107"/>
      <c r="AE5" s="3107"/>
      <c r="AF5" s="3034"/>
      <c r="AG5" s="3107"/>
      <c r="AH5" s="3107"/>
      <c r="AI5" s="3107"/>
      <c r="AJ5" s="3107"/>
      <c r="AK5" s="3107"/>
      <c r="AL5" s="3107"/>
      <c r="AM5" s="3107"/>
      <c r="AN5" s="3108"/>
      <c r="AO5" s="3107"/>
      <c r="AP5" s="3107"/>
      <c r="AQ5" s="3107"/>
      <c r="AR5" s="3107"/>
      <c r="AS5" s="3107"/>
      <c r="AT5" s="3107"/>
      <c r="AU5" s="3107"/>
      <c r="AV5" s="3107"/>
      <c r="AW5" s="3107"/>
      <c r="AX5" s="3107"/>
      <c r="AY5" s="3107"/>
      <c r="AZ5" s="3034"/>
      <c r="BA5" s="3107"/>
      <c r="BB5" s="3107"/>
      <c r="BC5" s="3107"/>
      <c r="BD5" s="3109"/>
      <c r="BE5" s="3107"/>
      <c r="BF5" s="3107"/>
      <c r="BG5" s="3107"/>
      <c r="BH5" s="3110"/>
      <c r="BI5" s="3107"/>
    </row>
    <row r="6" spans="1:71" ht="13.5" thickBot="1">
      <c r="H6" s="3107"/>
      <c r="I6" s="3107"/>
      <c r="J6" s="3107"/>
      <c r="K6" s="3108"/>
      <c r="L6" s="3107"/>
      <c r="M6" s="3107"/>
      <c r="N6" s="3107"/>
      <c r="O6" s="3107"/>
      <c r="P6" s="3034"/>
      <c r="Q6" s="3107"/>
      <c r="R6" s="3107"/>
      <c r="S6" s="3107"/>
      <c r="T6" s="3107"/>
      <c r="U6" s="3107"/>
      <c r="V6" s="3107"/>
      <c r="W6" s="3107"/>
      <c r="X6" s="3108"/>
      <c r="Y6" s="3107"/>
      <c r="Z6" s="3107"/>
      <c r="AA6" s="3034"/>
      <c r="AB6" s="3107"/>
      <c r="AC6" s="3107"/>
      <c r="AD6" s="3107"/>
      <c r="AE6" s="3107"/>
      <c r="AF6" s="3034"/>
      <c r="AG6" s="3107"/>
      <c r="AH6" s="3107"/>
      <c r="AI6" s="3107"/>
      <c r="AJ6" s="3107"/>
      <c r="AK6" s="3107"/>
      <c r="AL6" s="3107"/>
      <c r="AM6" s="3107"/>
      <c r="AN6" s="3108"/>
      <c r="AO6" s="3107"/>
      <c r="AP6" s="3107"/>
      <c r="AQ6" s="3107"/>
      <c r="AR6" s="3107"/>
      <c r="AS6" s="3107"/>
      <c r="AT6" s="3107"/>
      <c r="AU6" s="3107"/>
      <c r="AV6" s="3107"/>
      <c r="AW6" s="3107"/>
      <c r="AX6" s="3107"/>
      <c r="AY6" s="3107"/>
      <c r="AZ6" s="3034"/>
      <c r="BA6" s="3107"/>
      <c r="BB6" s="3107"/>
      <c r="BC6" s="3107"/>
      <c r="BD6" s="3109"/>
      <c r="BE6" s="3107"/>
      <c r="BF6" s="3107"/>
      <c r="BG6" s="3107"/>
      <c r="BH6" s="3110"/>
      <c r="BI6" s="3107"/>
    </row>
    <row r="7" spans="1:71">
      <c r="E7" s="2120"/>
      <c r="F7" s="2120"/>
      <c r="G7" s="2121"/>
      <c r="H7" s="3107"/>
      <c r="I7" s="3107"/>
      <c r="J7" s="3107"/>
      <c r="K7" s="3108"/>
      <c r="L7" s="3107"/>
      <c r="M7" s="3107"/>
      <c r="N7" s="3107"/>
      <c r="O7" s="3107"/>
      <c r="P7" s="3034"/>
      <c r="Q7" s="3107"/>
      <c r="R7" s="3107"/>
      <c r="S7" s="3107"/>
      <c r="T7" s="3107"/>
      <c r="U7" s="3107"/>
      <c r="V7" s="3107"/>
      <c r="W7" s="3107"/>
      <c r="X7" s="3108"/>
      <c r="Y7" s="3107"/>
      <c r="Z7" s="3107"/>
      <c r="AA7" s="3034"/>
      <c r="AB7" s="3107"/>
      <c r="AC7" s="3107"/>
      <c r="AD7" s="3107"/>
      <c r="AE7" s="3107"/>
      <c r="AF7" s="3034"/>
      <c r="AG7" s="3107"/>
      <c r="AH7" s="3107"/>
      <c r="AI7" s="3107"/>
      <c r="AJ7" s="3107"/>
      <c r="AK7" s="3107"/>
      <c r="AL7" s="3107"/>
      <c r="AM7" s="3107"/>
      <c r="AN7" s="3108"/>
      <c r="AO7" s="3107"/>
      <c r="AP7" s="3107"/>
      <c r="AQ7" s="3107"/>
      <c r="AR7" s="3107"/>
      <c r="AS7" s="3107"/>
      <c r="AT7" s="3107"/>
      <c r="AU7" s="3107"/>
      <c r="AV7" s="3107"/>
      <c r="AW7" s="3107"/>
      <c r="AX7" s="3107"/>
      <c r="AY7" s="3107"/>
      <c r="AZ7" s="3034"/>
      <c r="BA7" s="3107"/>
      <c r="BB7" s="3107"/>
      <c r="BC7" s="3107"/>
      <c r="BD7" s="3109"/>
      <c r="BE7" s="3107"/>
      <c r="BF7" s="3107"/>
      <c r="BG7" s="3107"/>
      <c r="BH7" s="3110"/>
      <c r="BI7" s="3107"/>
    </row>
    <row r="8" spans="1:71" ht="13.5" thickBot="1">
      <c r="H8" s="3107"/>
      <c r="I8" s="3107"/>
      <c r="J8" s="3107"/>
      <c r="K8" s="3108"/>
      <c r="L8" s="3107"/>
      <c r="M8" s="3107"/>
      <c r="N8" s="3107"/>
      <c r="O8" s="3107"/>
      <c r="P8" s="3034"/>
      <c r="Q8" s="3107"/>
      <c r="R8" s="3107"/>
      <c r="S8" s="3107"/>
      <c r="T8" s="3107"/>
      <c r="U8" s="3107"/>
      <c r="V8" s="3107"/>
      <c r="W8" s="3107"/>
      <c r="X8" s="3108"/>
      <c r="Y8" s="3107"/>
      <c r="Z8" s="3107"/>
      <c r="AA8" s="3034"/>
      <c r="AB8" s="3107"/>
      <c r="AC8" s="3107"/>
      <c r="AD8" s="3107"/>
      <c r="AE8" s="3107"/>
      <c r="AF8" s="3034"/>
      <c r="AG8" s="3107"/>
      <c r="AH8" s="3107"/>
      <c r="AI8" s="3107"/>
      <c r="AJ8" s="3107"/>
      <c r="AK8" s="3107"/>
      <c r="AL8" s="3107"/>
      <c r="AM8" s="3107"/>
      <c r="AN8" s="3108"/>
      <c r="AO8" s="3107"/>
      <c r="AP8" s="3107"/>
      <c r="AQ8" s="3107"/>
      <c r="AR8" s="3107"/>
      <c r="AS8" s="3107"/>
      <c r="AT8" s="3107"/>
      <c r="AU8" s="3107"/>
      <c r="AV8" s="3107"/>
      <c r="AW8" s="3107"/>
      <c r="AX8" s="3107"/>
      <c r="AY8" s="3107"/>
      <c r="AZ8" s="3034"/>
      <c r="BA8" s="3107"/>
      <c r="BB8" s="3107"/>
      <c r="BC8" s="3107"/>
      <c r="BD8" s="3109"/>
      <c r="BE8" s="3107"/>
      <c r="BF8" s="3107"/>
      <c r="BG8" s="3107"/>
      <c r="BH8" s="3110"/>
      <c r="BI8" s="3107"/>
    </row>
    <row r="9" spans="1:71" s="3118" customFormat="1" ht="39" thickBot="1">
      <c r="A9" s="3111"/>
      <c r="B9" s="3112"/>
      <c r="C9" s="3113"/>
      <c r="D9" s="3114"/>
      <c r="E9" s="3115" t="str">
        <f>'Du K'!E2</f>
        <v>Paramètre</v>
      </c>
      <c r="F9" s="3115" t="str">
        <f>'Du K'!F2</f>
        <v>Symbole</v>
      </c>
      <c r="G9" s="3116" t="str">
        <f>'Du K'!G2</f>
        <v>Unité</v>
      </c>
      <c r="H9" s="350" t="str">
        <f>'Du K'!H2</f>
        <v>butanol</v>
      </c>
      <c r="I9" s="350" t="str">
        <f>'Du K'!I2</f>
        <v>butanol</v>
      </c>
      <c r="J9" s="350" t="str">
        <f>'Du K'!J2</f>
        <v>MEK</v>
      </c>
      <c r="K9" s="404" t="str">
        <f>'Du K'!K2</f>
        <v>CV</v>
      </c>
      <c r="L9" s="350" t="str">
        <f>'Du K'!L2</f>
        <v>cis-DCE</v>
      </c>
      <c r="M9" s="350" t="str">
        <f>'Du K'!M2</f>
        <v>cis-DCE</v>
      </c>
      <c r="N9" s="350" t="str">
        <f>'Du K'!N2</f>
        <v>TCE</v>
      </c>
      <c r="O9" s="350" t="str">
        <f>'Du K'!O2</f>
        <v>TCE</v>
      </c>
      <c r="P9" s="396" t="str">
        <f>'Du K'!P2</f>
        <v>PCE</v>
      </c>
      <c r="Q9" s="350" t="str">
        <f>'Du K'!Q2</f>
        <v>PCE</v>
      </c>
      <c r="R9" s="350" t="str">
        <f>'Du K'!R2</f>
        <v>DCMA</v>
      </c>
      <c r="S9" s="350" t="str">
        <f>'Du K'!S2</f>
        <v>chloroforme</v>
      </c>
      <c r="T9" s="350" t="str">
        <f>'Du K'!T2</f>
        <v>chloroforme</v>
      </c>
      <c r="U9" s="350" t="str">
        <f>'Du K'!U2</f>
        <v>PCMA</v>
      </c>
      <c r="V9" s="350" t="str">
        <f>'Du K'!V2</f>
        <v>1,1,1-TCA</v>
      </c>
      <c r="W9" s="350" t="str">
        <f>'Du K'!W2</f>
        <v>1,1,1-TCA</v>
      </c>
      <c r="X9" s="404" t="str">
        <f>'Du K'!X2</f>
        <v>B</v>
      </c>
      <c r="Y9" s="350" t="str">
        <f>'Du K'!Y2</f>
        <v>T</v>
      </c>
      <c r="Z9" s="350" t="str">
        <f>'Du K'!Z2</f>
        <v>E</v>
      </c>
      <c r="AA9" s="396" t="str">
        <f>'Du K'!AA2</f>
        <v>X</v>
      </c>
      <c r="AB9" s="350" t="str">
        <f>'Du K'!AB2</f>
        <v>Ar 
&gt;EC8-EC10</v>
      </c>
      <c r="AC9" s="350" t="str">
        <f>'Du K'!AC2</f>
        <v>Ar
&gt;EC10-EC12</v>
      </c>
      <c r="AD9" s="350" t="str">
        <f>'Du K'!AD2</f>
        <v>Ar
 &gt;EC12 - EC16</v>
      </c>
      <c r="AE9" s="350" t="str">
        <f>'Du K'!AE2</f>
        <v>Ar
 &gt;EC16 - EC21</v>
      </c>
      <c r="AF9" s="396" t="str">
        <f>'Du K'!AF2</f>
        <v>Ar
 &gt;EC21 - EC35</v>
      </c>
      <c r="AG9" s="350" t="str">
        <f>'Du K'!AG2</f>
        <v>Al 
EC5-EC6</v>
      </c>
      <c r="AH9" s="350" t="str">
        <f>'Du K'!AH2</f>
        <v>Al
&gt;EC6-EC8</v>
      </c>
      <c r="AI9" s="350" t="str">
        <f>'Du K'!AI2</f>
        <v>Al 
&gt;EC8-EC10</v>
      </c>
      <c r="AJ9" s="350" t="str">
        <f>'Du K'!AJ2</f>
        <v>Al &gt;
EC10-EC12</v>
      </c>
      <c r="AK9" s="350" t="str">
        <f>'Du K'!AK2</f>
        <v>Al 
&gt;EC12-EC16</v>
      </c>
      <c r="AL9" s="350" t="str">
        <f>'Du K'!AL2</f>
        <v>Al 
&gt;EC16- EC21</v>
      </c>
      <c r="AM9" s="350" t="str">
        <f>'Du K'!AM2</f>
        <v>Al  &gt;EC21</v>
      </c>
      <c r="AN9" s="404" t="str">
        <f>'Du K'!AN2</f>
        <v>Naphtalène</v>
      </c>
      <c r="AO9" s="350" t="str">
        <f>'Du K'!AO2</f>
        <v>Acénaphthylène</v>
      </c>
      <c r="AP9" s="350" t="str">
        <f>'Du K'!AP2</f>
        <v>Acénaphtène</v>
      </c>
      <c r="AQ9" s="350" t="str">
        <f>'Du K'!AQ2</f>
        <v>Fluorène</v>
      </c>
      <c r="AR9" s="350" t="str">
        <f>'Du K'!AR2</f>
        <v>Phénanthrène</v>
      </c>
      <c r="AS9" s="350" t="str">
        <f>'Du K'!AS2</f>
        <v>Anthracène</v>
      </c>
      <c r="AT9" s="350" t="str">
        <f>'Du K'!AT2</f>
        <v>Fluoranthène</v>
      </c>
      <c r="AU9" s="350" t="str">
        <f>'Du K'!AU2</f>
        <v>Pyrène</v>
      </c>
      <c r="AV9" s="350" t="str">
        <f>'Du K'!AV2</f>
        <v>BaA</v>
      </c>
      <c r="AW9" s="350" t="str">
        <f>'Du K'!AW2</f>
        <v>Chrysène</v>
      </c>
      <c r="AX9" s="350" t="str">
        <f>'Du K'!AX2</f>
        <v>BbF</v>
      </c>
      <c r="AY9" s="350" t="str">
        <f>'Du K'!AY2</f>
        <v>BkF</v>
      </c>
      <c r="AZ9" s="396" t="str">
        <f>'Du K'!AZ2</f>
        <v>BaP</v>
      </c>
      <c r="BA9" s="350" t="str">
        <f>'Du K'!BA2</f>
        <v>DahA</v>
      </c>
      <c r="BB9" s="350" t="str">
        <f>'Du K'!BB2</f>
        <v>BghP</v>
      </c>
      <c r="BC9" s="350" t="str">
        <f>'Du K'!BC2</f>
        <v>IcdP</v>
      </c>
      <c r="BD9" s="2081" t="str">
        <f>'Du K'!BD2</f>
        <v>Phénol</v>
      </c>
      <c r="BE9" s="350" t="str">
        <f>'Du K'!BE2</f>
        <v>PCB (7)</v>
      </c>
      <c r="BF9" s="350" t="str">
        <f>'Du K'!BF2</f>
        <v>PCB-A1254</v>
      </c>
      <c r="BG9" s="350" t="str">
        <f>'Du K'!BG2</f>
        <v>Hg0</v>
      </c>
      <c r="BH9" s="1577" t="str">
        <f>'Du K'!BH2</f>
        <v>CH3HgCl</v>
      </c>
      <c r="BI9" s="350" t="str">
        <f>'Du K'!BI2</f>
        <v>CN/HCN</v>
      </c>
      <c r="BJ9" s="3117"/>
    </row>
    <row r="10" spans="1:71" s="3131" customFormat="1">
      <c r="A10" s="3119"/>
      <c r="B10" s="537"/>
      <c r="C10" s="3066"/>
      <c r="D10" s="3120"/>
      <c r="E10" s="3121" t="s">
        <v>1163</v>
      </c>
      <c r="F10" s="3121" t="str">
        <f>Substances!F$10</f>
        <v>t</v>
      </c>
      <c r="G10" s="3122" t="str">
        <f>Substances!G$10</f>
        <v>an</v>
      </c>
      <c r="H10" s="3123">
        <f>Substances!H$10</f>
        <v>7</v>
      </c>
      <c r="I10" s="3123">
        <f>Substances!I$10</f>
        <v>7</v>
      </c>
      <c r="J10" s="3123">
        <f>Substances!J$10</f>
        <v>7</v>
      </c>
      <c r="K10" s="3124">
        <f>Substances!K$10</f>
        <v>1</v>
      </c>
      <c r="L10" s="3123">
        <f>Substances!L$10</f>
        <v>1</v>
      </c>
      <c r="M10" s="3123">
        <f>Substances!M$10</f>
        <v>1</v>
      </c>
      <c r="N10" s="3123">
        <f>Substances!N$10</f>
        <v>1</v>
      </c>
      <c r="O10" s="3123">
        <f>Substances!O$10</f>
        <v>1</v>
      </c>
      <c r="P10" s="3125">
        <f>Substances!P$10</f>
        <v>1</v>
      </c>
      <c r="Q10" s="3123">
        <f>Substances!Q$10</f>
        <v>1</v>
      </c>
      <c r="R10" s="3123">
        <f>Substances!R$10</f>
        <v>1</v>
      </c>
      <c r="S10" s="3123">
        <f>Substances!S$10</f>
        <v>1</v>
      </c>
      <c r="T10" s="3123">
        <f>Substances!T$10</f>
        <v>1</v>
      </c>
      <c r="U10" s="3123">
        <f>Substances!U$10</f>
        <v>1</v>
      </c>
      <c r="V10" s="3123">
        <f>Substances!V$10</f>
        <v>1</v>
      </c>
      <c r="W10" s="3123">
        <f>Substances!W$10</f>
        <v>1</v>
      </c>
      <c r="X10" s="3124">
        <f>Substances!X$10</f>
        <v>1</v>
      </c>
      <c r="Y10" s="3123">
        <f>Substances!Y$10</f>
        <v>1</v>
      </c>
      <c r="Z10" s="3123">
        <f>Substances!Z$10</f>
        <v>1</v>
      </c>
      <c r="AA10" s="3126">
        <f>Substances!AA$10</f>
        <v>7</v>
      </c>
      <c r="AB10" s="3004">
        <f>Substances!AB$10</f>
        <v>1</v>
      </c>
      <c r="AC10" s="3127">
        <f>Substances!AC$10</f>
        <v>1</v>
      </c>
      <c r="AD10" s="3127">
        <f>Substances!AD$10</f>
        <v>1</v>
      </c>
      <c r="AE10" s="3127">
        <f>Substances!AE$10</f>
        <v>1</v>
      </c>
      <c r="AF10" s="3126">
        <f>Substances!AF$10</f>
        <v>1</v>
      </c>
      <c r="AG10" s="3128">
        <f>Substances!AG$10</f>
        <v>1</v>
      </c>
      <c r="AH10" s="3127">
        <f>Substances!AH$10</f>
        <v>1</v>
      </c>
      <c r="AI10" s="3127">
        <f>Substances!AI$10</f>
        <v>1</v>
      </c>
      <c r="AJ10" s="3127">
        <f>Substances!AJ$10</f>
        <v>1</v>
      </c>
      <c r="AK10" s="3127">
        <f>Substances!AK$10</f>
        <v>1</v>
      </c>
      <c r="AL10" s="3127">
        <f>Substances!AL$10</f>
        <v>1</v>
      </c>
      <c r="AM10" s="3127">
        <f>Substances!AM$10</f>
        <v>1</v>
      </c>
      <c r="AN10" s="2871">
        <f>Substances!AN$10</f>
        <v>7</v>
      </c>
      <c r="AO10" s="3123">
        <f>Substances!AO$10</f>
        <v>1</v>
      </c>
      <c r="AP10" s="3123">
        <f>Substances!AP$10</f>
        <v>1</v>
      </c>
      <c r="AQ10" s="3123">
        <f>Substances!AQ$10</f>
        <v>1</v>
      </c>
      <c r="AR10" s="3123">
        <f>Substances!AR$10</f>
        <v>1</v>
      </c>
      <c r="AS10" s="3123">
        <f>Substances!AS$10</f>
        <v>1</v>
      </c>
      <c r="AT10" s="3123">
        <f>Substances!AT$10</f>
        <v>1</v>
      </c>
      <c r="AU10" s="3123">
        <f>Substances!AU$10</f>
        <v>1</v>
      </c>
      <c r="AV10" s="3123">
        <f>Substances!AV$10</f>
        <v>1</v>
      </c>
      <c r="AW10" s="3123">
        <f>Substances!AW$10</f>
        <v>1</v>
      </c>
      <c r="AX10" s="3123">
        <f>Substances!AX$10</f>
        <v>1</v>
      </c>
      <c r="AY10" s="3123">
        <f>Substances!AY$10</f>
        <v>1</v>
      </c>
      <c r="AZ10" s="3125">
        <f>Substances!AZ$10</f>
        <v>1</v>
      </c>
      <c r="BA10" s="3123">
        <f>Substances!BA$10</f>
        <v>1</v>
      </c>
      <c r="BB10" s="3123">
        <f>Substances!BB$10</f>
        <v>1</v>
      </c>
      <c r="BC10" s="3123">
        <f>Substances!BC$10</f>
        <v>1</v>
      </c>
      <c r="BD10" s="3129">
        <f>Substances!BD$10</f>
        <v>1</v>
      </c>
      <c r="BE10" s="3123">
        <f>Substances!BE$10</f>
        <v>1</v>
      </c>
      <c r="BF10" s="3123">
        <f>Substances!BF$10</f>
        <v>1</v>
      </c>
      <c r="BG10" s="3123">
        <f>Substances!BG$10</f>
        <v>1</v>
      </c>
      <c r="BH10" s="3125">
        <f>Substances!BH$10</f>
        <v>1</v>
      </c>
      <c r="BI10" s="3123">
        <f>Substances!BI$10</f>
        <v>7</v>
      </c>
      <c r="BJ10" s="3130"/>
    </row>
    <row r="11" spans="1:71" s="3131" customFormat="1" ht="26.25" thickBot="1">
      <c r="A11" s="3119"/>
      <c r="B11" s="537"/>
      <c r="C11" s="3066"/>
      <c r="D11" s="3120"/>
      <c r="E11" s="3121" t="s">
        <v>1030</v>
      </c>
      <c r="F11" s="3121"/>
      <c r="G11" s="2613" t="str">
        <f>'3phas'!G35</f>
        <v>-</v>
      </c>
      <c r="H11" s="3132">
        <f>'3phas'!H35</f>
        <v>1.114203677483629</v>
      </c>
      <c r="I11" s="3132">
        <f>'3phas'!I35</f>
        <v>1.114203677483629</v>
      </c>
      <c r="J11" s="3132">
        <f>'3phas'!J35</f>
        <v>1.0294018985216711</v>
      </c>
      <c r="K11" s="3133">
        <f>'3phas'!K35</f>
        <v>1.1364401341171635</v>
      </c>
      <c r="L11" s="3132">
        <f>'3phas'!L35</f>
        <v>1.9552497554026853</v>
      </c>
      <c r="M11" s="3132">
        <f>'3phas'!M35</f>
        <v>1.9552497554026853</v>
      </c>
      <c r="N11" s="3132">
        <f>'3phas'!N35</f>
        <v>2.8650588119386651</v>
      </c>
      <c r="O11" s="3132">
        <f>'3phas'!O35</f>
        <v>2.8650588119386651</v>
      </c>
      <c r="P11" s="3134">
        <f>'3phas'!P35</f>
        <v>3.5563940007466872</v>
      </c>
      <c r="Q11" s="3132">
        <f>'3phas'!Q35</f>
        <v>3.5563940007466872</v>
      </c>
      <c r="R11" s="3132">
        <f>'3phas'!R35</f>
        <v>1.1565503994865238</v>
      </c>
      <c r="S11" s="3132">
        <f>'3phas'!S35</f>
        <v>2.4382164508968378</v>
      </c>
      <c r="T11" s="3132">
        <f>'3phas'!T35</f>
        <v>2.4382164508968378</v>
      </c>
      <c r="U11" s="3132">
        <f>'3phas'!U35</f>
        <v>2.0957650458865205</v>
      </c>
      <c r="V11" s="3132">
        <f>'3phas'!V35</f>
        <v>1.2204427640169995</v>
      </c>
      <c r="W11" s="3132">
        <f>'3phas'!W35</f>
        <v>1.2204427640169995</v>
      </c>
      <c r="X11" s="3133">
        <f>'3phas'!X35</f>
        <v>2.3727882855399636</v>
      </c>
      <c r="Y11" s="3132">
        <f>'3phas'!Y35</f>
        <v>3.7673851497077151</v>
      </c>
      <c r="Z11" s="3132">
        <f>'3phas'!Z35</f>
        <v>4.8736949369718783</v>
      </c>
      <c r="AA11" s="3135">
        <f>'3phas'!AA35</f>
        <v>5.0186615959741356</v>
      </c>
      <c r="AB11" s="3136">
        <f>'3phas'!AB35</f>
        <v>5.4463853767259751</v>
      </c>
      <c r="AC11" s="3136">
        <f>'3phas'!AC35</f>
        <v>5.7147025522520787</v>
      </c>
      <c r="AD11" s="3136">
        <f>'3phas'!AD35</f>
        <v>5.8637494382706006</v>
      </c>
      <c r="AE11" s="3136">
        <f>'3phas'!AE35</f>
        <v>5.9333666609658868</v>
      </c>
      <c r="AF11" s="3135">
        <f>'3phas'!AF35</f>
        <v>5.9947065405177291</v>
      </c>
      <c r="AG11" s="3136">
        <f>'3phas'!AG35</f>
        <v>1.7454755004397569</v>
      </c>
      <c r="AH11" s="3136">
        <f>'3phas'!AH35</f>
        <v>2.8463246578218673</v>
      </c>
      <c r="AI11" s="3136">
        <f>'3phas'!AI35</f>
        <v>4.7270988764592872</v>
      </c>
      <c r="AJ11" s="3136">
        <f>'3phas'!AJ35</f>
        <v>5.6982415447934311</v>
      </c>
      <c r="AK11" s="3136">
        <f>'3phas'!AK35</f>
        <v>5.9316453137386809</v>
      </c>
      <c r="AL11" s="3136">
        <f>'3phas'!AL35</f>
        <v>5.9948269832060026</v>
      </c>
      <c r="AM11" s="3136">
        <f>'3phas'!AM35</f>
        <v>5.9999641945564379</v>
      </c>
      <c r="AN11" s="3137">
        <f>'3phas'!AN35</f>
        <v>5.3154108571101348</v>
      </c>
      <c r="AO11" s="3132">
        <f>'3phas'!AO35</f>
        <v>5.7696363229788794</v>
      </c>
      <c r="AP11" s="3132">
        <f>'3phas'!AP35</f>
        <v>5.7335150366668417</v>
      </c>
      <c r="AQ11" s="3132">
        <f>'3phas'!AQ35</f>
        <v>5.8342009553372716</v>
      </c>
      <c r="AR11" s="3132">
        <f>'3phas'!AR35</f>
        <v>5.9193159660932224</v>
      </c>
      <c r="AS11" s="3132">
        <f>'3phas'!AS35</f>
        <v>5.9146508148052215</v>
      </c>
      <c r="AT11" s="3132">
        <f>'3phas'!AT35</f>
        <v>5.9761237468085806</v>
      </c>
      <c r="AU11" s="3132">
        <f>'3phas'!AU35</f>
        <v>5.9741840236269805</v>
      </c>
      <c r="AV11" s="3132">
        <f>'3phas'!AV35</f>
        <v>5.9934710594357332</v>
      </c>
      <c r="AW11" s="3132">
        <f>'3phas'!AW35</f>
        <v>5.9918219157351666</v>
      </c>
      <c r="AX11" s="3132">
        <f>'3phas'!AX35</f>
        <v>5.9919807020878988</v>
      </c>
      <c r="AY11" s="3132">
        <f>'3phas'!AY35</f>
        <v>5.9944963871607628</v>
      </c>
      <c r="AZ11" s="3138">
        <f>'3phas'!AZ35</f>
        <v>5.9949160921949582</v>
      </c>
      <c r="BA11" s="3132">
        <f>'3phas'!BA35</f>
        <v>5.9986643474433281</v>
      </c>
      <c r="BB11" s="3132">
        <f>'3phas'!BB35</f>
        <v>5.9978572310113245</v>
      </c>
      <c r="BC11" s="3132">
        <f>'3phas'!BC35</f>
        <v>5.9991668055323943</v>
      </c>
      <c r="BD11" s="3139">
        <f>'3phas'!BD35</f>
        <v>1.4055327464996221</v>
      </c>
      <c r="BE11" s="3123">
        <f>'3phas'!BE35</f>
        <v>5.9959275038966107</v>
      </c>
      <c r="BF11" s="3123">
        <f>'3phas'!BF35</f>
        <v>5.9959275038966107</v>
      </c>
      <c r="BG11" s="3123">
        <f>'3phas'!BG35</f>
        <v>1</v>
      </c>
      <c r="BH11" s="3125">
        <f>'3phas'!BH35</f>
        <v>1.039304331652477</v>
      </c>
      <c r="BI11" s="3123">
        <f>'3phas'!BI35</f>
        <v>1.1747297944184807</v>
      </c>
      <c r="BJ11" s="3130"/>
    </row>
    <row r="12" spans="1:71" s="3153" customFormat="1">
      <c r="A12" s="3140"/>
      <c r="B12" s="3141"/>
      <c r="C12" s="3142"/>
      <c r="D12" s="3143"/>
      <c r="E12" s="3144" t="s">
        <v>597</v>
      </c>
      <c r="F12" s="3145"/>
      <c r="G12" s="3146"/>
      <c r="H12" s="3147"/>
      <c r="I12" s="3147"/>
      <c r="J12" s="3147"/>
      <c r="K12" s="3148"/>
      <c r="L12" s="3147"/>
      <c r="M12" s="3147"/>
      <c r="N12" s="3147"/>
      <c r="O12" s="3147"/>
      <c r="P12" s="3149"/>
      <c r="Q12" s="3147"/>
      <c r="R12" s="3147"/>
      <c r="S12" s="3147"/>
      <c r="T12" s="3147"/>
      <c r="U12" s="3147"/>
      <c r="V12" s="3147"/>
      <c r="W12" s="3147"/>
      <c r="X12" s="3148"/>
      <c r="Y12" s="3147"/>
      <c r="Z12" s="3147"/>
      <c r="AA12" s="3149"/>
      <c r="AB12" s="3147"/>
      <c r="AC12" s="3147"/>
      <c r="AD12" s="3147"/>
      <c r="AE12" s="3147"/>
      <c r="AF12" s="3149"/>
      <c r="AG12" s="3147"/>
      <c r="AH12" s="3147"/>
      <c r="AI12" s="3147"/>
      <c r="AJ12" s="3147"/>
      <c r="AK12" s="3147"/>
      <c r="AL12" s="3147"/>
      <c r="AM12" s="3147"/>
      <c r="AN12" s="3148"/>
      <c r="AO12" s="3147"/>
      <c r="AP12" s="3147"/>
      <c r="AQ12" s="3147"/>
      <c r="AR12" s="3147"/>
      <c r="AS12" s="3147"/>
      <c r="AT12" s="3147"/>
      <c r="AU12" s="3147"/>
      <c r="AV12" s="3147"/>
      <c r="AW12" s="3147"/>
      <c r="AX12" s="3147"/>
      <c r="AY12" s="3147"/>
      <c r="AZ12" s="3149"/>
      <c r="BA12" s="3147"/>
      <c r="BB12" s="3147"/>
      <c r="BC12" s="3147"/>
      <c r="BD12" s="3150"/>
      <c r="BE12" s="3147"/>
      <c r="BF12" s="3147"/>
      <c r="BG12" s="3147"/>
      <c r="BH12" s="3151"/>
      <c r="BI12" s="3147"/>
      <c r="BJ12" s="3152"/>
    </row>
    <row r="13" spans="1:71" s="3166" customFormat="1">
      <c r="A13" s="3154"/>
      <c r="B13" s="3155"/>
      <c r="C13" s="3156"/>
      <c r="D13" s="3157"/>
      <c r="E13" s="3158" t="s">
        <v>1034</v>
      </c>
      <c r="F13" s="3158" t="str">
        <f>ExpoRisk!F514</f>
        <v>Cs</v>
      </c>
      <c r="G13" s="3159" t="str">
        <f>ExpoRisk!G514</f>
        <v>mg/kg ms</v>
      </c>
      <c r="H13" s="3160">
        <f>ExpoRisk!H514</f>
        <v>21.726590419182642</v>
      </c>
      <c r="I13" s="3160">
        <f>ExpoRisk!I514</f>
        <v>21.726590419182642</v>
      </c>
      <c r="J13" s="3160">
        <f>ExpoRisk!J514</f>
        <v>191.60039130531911</v>
      </c>
      <c r="K13" s="3161">
        <f>ExpoRisk!K514</f>
        <v>0.28938084848484852</v>
      </c>
      <c r="L13" s="3160">
        <f>ExpoRisk!L514</f>
        <v>0.3100509090909091</v>
      </c>
      <c r="M13" s="3160">
        <f>ExpoRisk!M514</f>
        <v>0.3100509090909091</v>
      </c>
      <c r="N13" s="3160">
        <f>ExpoRisk!N514</f>
        <v>1.0335030303030306</v>
      </c>
      <c r="O13" s="3160">
        <f>ExpoRisk!O514</f>
        <v>1.0335030303030306</v>
      </c>
      <c r="P13" s="3162">
        <f>ExpoRisk!P514</f>
        <v>0.18086303030303036</v>
      </c>
      <c r="Q13" s="3160">
        <f>ExpoRisk!Q514</f>
        <v>0.18086303030303036</v>
      </c>
      <c r="R13" s="3160">
        <f>ExpoRisk!R514</f>
        <v>2.0670060606060612</v>
      </c>
      <c r="S13" s="3160">
        <f>ExpoRisk!S514</f>
        <v>0.32555345454545448</v>
      </c>
      <c r="T13" s="3160">
        <f>ExpoRisk!T514</f>
        <v>0.32555345454545448</v>
      </c>
      <c r="U13" s="3160">
        <f>ExpoRisk!U514</f>
        <v>0.19636557575757582</v>
      </c>
      <c r="V13" s="3160">
        <f>ExpoRisk!V514</f>
        <v>5.1675151515151523</v>
      </c>
      <c r="W13" s="3160">
        <f>ExpoRisk!W514</f>
        <v>5.1675151515151523</v>
      </c>
      <c r="X13" s="3161">
        <f>ExpoRisk!X514</f>
        <v>4.960814545454547E-2</v>
      </c>
      <c r="Y13" s="3160">
        <f>ExpoRisk!Y514</f>
        <v>1.3435539393939397</v>
      </c>
      <c r="Z13" s="3160">
        <f>ExpoRisk!Z514</f>
        <v>1.3693915151515152</v>
      </c>
      <c r="AA13" s="3162">
        <f>ExpoRisk!AA514</f>
        <v>3.6172606060606061</v>
      </c>
      <c r="AB13" s="3160">
        <f>ExpoRisk!AB514</f>
        <v>1.0335030303030304</v>
      </c>
      <c r="AC13" s="3160">
        <f>ExpoRisk!AC514</f>
        <v>1.8173282568501126</v>
      </c>
      <c r="AD13" s="3160">
        <f>ExpoRisk!AD514</f>
        <v>4.3967566039946124</v>
      </c>
      <c r="AE13" s="3160" t="str">
        <f>ExpoRisk!AE514</f>
        <v>PVL</v>
      </c>
      <c r="AF13" s="3162" t="str">
        <f>ExpoRisk!AF514</f>
        <v>PVL</v>
      </c>
      <c r="AG13" s="3160">
        <f>ExpoRisk!AG514</f>
        <v>95.082278787878806</v>
      </c>
      <c r="AH13" s="3160">
        <f>ExpoRisk!AH514</f>
        <v>95.082278787878792</v>
      </c>
      <c r="AI13" s="3160">
        <f>ExpoRisk!AI514</f>
        <v>5.1675151515151514</v>
      </c>
      <c r="AJ13" s="3160">
        <f>ExpoRisk!AJ514</f>
        <v>5.1675151515151523</v>
      </c>
      <c r="AK13" s="3160">
        <f>ExpoRisk!AK514</f>
        <v>6.5110819455480886</v>
      </c>
      <c r="AL13" s="3160" t="str">
        <f>ExpoRisk!AL514</f>
        <v>PVL</v>
      </c>
      <c r="AM13" s="3160" t="str">
        <f>ExpoRisk!AM514</f>
        <v>PVL</v>
      </c>
      <c r="AN13" s="3161">
        <f>ExpoRisk!AN514</f>
        <v>0.2582747666418157</v>
      </c>
      <c r="AO13" s="3160" t="str">
        <f>ExpoRisk!AO514</f>
        <v>PVL</v>
      </c>
      <c r="AP13" s="3160" t="str">
        <f>ExpoRisk!AP514</f>
        <v>PVL</v>
      </c>
      <c r="AQ13" s="3160" t="str">
        <f>ExpoRisk!AQ514</f>
        <v>PVL</v>
      </c>
      <c r="AR13" s="3160" t="str">
        <f>ExpoRisk!AR514</f>
        <v>PVL</v>
      </c>
      <c r="AS13" s="3160" t="str">
        <f>ExpoRisk!AS514</f>
        <v>PVL</v>
      </c>
      <c r="AT13" s="3160" t="str">
        <f>ExpoRisk!AT514</f>
        <v>PVL</v>
      </c>
      <c r="AU13" s="3160" t="str">
        <f>ExpoRisk!AU514</f>
        <v>PVL</v>
      </c>
      <c r="AV13" s="3160" t="str">
        <f>ExpoRisk!AV514</f>
        <v>PVL</v>
      </c>
      <c r="AW13" s="3160" t="str">
        <f>ExpoRisk!AW514</f>
        <v>PVL</v>
      </c>
      <c r="AX13" s="3160" t="str">
        <f>ExpoRisk!AX514</f>
        <v>PVL</v>
      </c>
      <c r="AY13" s="3160" t="str">
        <f>ExpoRisk!AY514</f>
        <v>PVL</v>
      </c>
      <c r="AZ13" s="3162" t="str">
        <f>ExpoRisk!AZ514</f>
        <v>PVL</v>
      </c>
      <c r="BA13" s="3160" t="str">
        <f>ExpoRisk!BA514</f>
        <v>PVL</v>
      </c>
      <c r="BB13" s="3160" t="str">
        <f>ExpoRisk!BB514</f>
        <v>PVL</v>
      </c>
      <c r="BC13" s="3160" t="str">
        <f>ExpoRisk!BC514</f>
        <v>PVL</v>
      </c>
      <c r="BD13" s="3163">
        <f>ExpoRisk!BD514</f>
        <v>7.7275160836308379</v>
      </c>
      <c r="BE13" s="3160">
        <f>ExpoRisk!BE514</f>
        <v>6.0279661547861298</v>
      </c>
      <c r="BF13" s="3160">
        <f>ExpoRisk!BF514</f>
        <v>12.05593230957226</v>
      </c>
      <c r="BG13" s="3160">
        <f>ExpoRisk!BG514</f>
        <v>1.5502545454545454E-4</v>
      </c>
      <c r="BH13" s="3164">
        <f>ExpoRisk!BH514</f>
        <v>9.9195806050834195E-2</v>
      </c>
      <c r="BI13" s="3160">
        <f>ExpoRisk!BI514</f>
        <v>0.13815427896424801</v>
      </c>
      <c r="BJ13" s="3165"/>
    </row>
    <row r="14" spans="1:71" s="3166" customFormat="1">
      <c r="A14" s="3154"/>
      <c r="B14" s="3155"/>
      <c r="C14" s="3167" t="s">
        <v>162</v>
      </c>
      <c r="D14" s="3168">
        <f>Sols!Q15</f>
        <v>4.0000000000000003E-5</v>
      </c>
      <c r="E14" s="3158" t="s">
        <v>1035</v>
      </c>
      <c r="F14" s="3158" t="str">
        <f>ExpoRisk!F515</f>
        <v>Cs</v>
      </c>
      <c r="G14" s="3159" t="str">
        <f>ExpoRisk!G515</f>
        <v>mg/kg ms</v>
      </c>
      <c r="H14" s="3160" t="str">
        <f>ExpoRisk!H515</f>
        <v>PVL</v>
      </c>
      <c r="I14" s="3160" t="str">
        <f>ExpoRisk!I515</f>
        <v>PVL</v>
      </c>
      <c r="J14" s="3160" t="str">
        <f>ExpoRisk!J515</f>
        <v>PVL</v>
      </c>
      <c r="K14" s="3161">
        <f>ExpoRisk!K515</f>
        <v>1.8086303030303033</v>
      </c>
      <c r="L14" s="3160" t="str">
        <f>ExpoRisk!L515</f>
        <v>PVL</v>
      </c>
      <c r="M14" s="3160" t="str">
        <f>ExpoRisk!M515</f>
        <v>PVL</v>
      </c>
      <c r="N14" s="3160">
        <f>ExpoRisk!N515</f>
        <v>0.90431515151515141</v>
      </c>
      <c r="O14" s="3160">
        <f>ExpoRisk!O515</f>
        <v>0.90431515151515141</v>
      </c>
      <c r="P14" s="3162">
        <f>ExpoRisk!P515</f>
        <v>0.30654750898818695</v>
      </c>
      <c r="Q14" s="3160">
        <f>ExpoRisk!Q515</f>
        <v>0.30654750898818695</v>
      </c>
      <c r="R14" s="3160">
        <f>ExpoRisk!R515</f>
        <v>1.8086303030303033</v>
      </c>
      <c r="S14" s="3160">
        <f>ExpoRisk!S515</f>
        <v>7.863610013175229E-2</v>
      </c>
      <c r="T14" s="3160">
        <f>ExpoRisk!T515</f>
        <v>7.863610013175229E-2</v>
      </c>
      <c r="U14" s="3160">
        <f>ExpoRisk!U515</f>
        <v>4.3062626262626261E-2</v>
      </c>
      <c r="V14" s="3160" t="str">
        <f>ExpoRisk!V515</f>
        <v>PVL</v>
      </c>
      <c r="W14" s="3160" t="str">
        <f>ExpoRisk!W515</f>
        <v>PVL</v>
      </c>
      <c r="X14" s="3161">
        <f>ExpoRisk!X515</f>
        <v>0.30143838383838378</v>
      </c>
      <c r="Y14" s="3160" t="str">
        <f>ExpoRisk!Y515</f>
        <v>PVL</v>
      </c>
      <c r="Z14" s="3160">
        <f>ExpoRisk!Z515</f>
        <v>0.72345212121212132</v>
      </c>
      <c r="AA14" s="3162" t="str">
        <f>ExpoRisk!AA515</f>
        <v>PVL</v>
      </c>
      <c r="AB14" s="3160" t="str">
        <f>ExpoRisk!AB515</f>
        <v>PVL</v>
      </c>
      <c r="AC14" s="3160" t="str">
        <f>ExpoRisk!AC515</f>
        <v>PVL</v>
      </c>
      <c r="AD14" s="3160" t="str">
        <f>ExpoRisk!AD515</f>
        <v>PVL</v>
      </c>
      <c r="AE14" s="3160" t="str">
        <f>ExpoRisk!AE515</f>
        <v>PVL</v>
      </c>
      <c r="AF14" s="3162" t="str">
        <f>ExpoRisk!AF515</f>
        <v>PVL</v>
      </c>
      <c r="AG14" s="3160" t="str">
        <f>ExpoRisk!AG515</f>
        <v>PVL</v>
      </c>
      <c r="AH14" s="3160" t="str">
        <f>ExpoRisk!AH515</f>
        <v>PVL</v>
      </c>
      <c r="AI14" s="3160" t="str">
        <f>ExpoRisk!AI515</f>
        <v>PVL</v>
      </c>
      <c r="AJ14" s="3160" t="str">
        <f>ExpoRisk!AJ515</f>
        <v>PVL</v>
      </c>
      <c r="AK14" s="3160" t="str">
        <f>ExpoRisk!AK515</f>
        <v>PVL</v>
      </c>
      <c r="AL14" s="3160" t="str">
        <f>ExpoRisk!AL515</f>
        <v>PVL</v>
      </c>
      <c r="AM14" s="3160" t="str">
        <f>ExpoRisk!AM515</f>
        <v>PVL</v>
      </c>
      <c r="AN14" s="3161">
        <f>ExpoRisk!AN515</f>
        <v>5.4657193234831106E-2</v>
      </c>
      <c r="AO14" s="3160">
        <f>ExpoRisk!AO515</f>
        <v>3.2736081774919841</v>
      </c>
      <c r="AP14" s="3160">
        <f>ExpoRisk!AP515</f>
        <v>2.5158632155480651</v>
      </c>
      <c r="AQ14" s="3160">
        <f>ExpoRisk!AQ515</f>
        <v>4.0000540500248984</v>
      </c>
      <c r="AR14" s="3160">
        <f>ExpoRisk!AR515</f>
        <v>9.299913277035321</v>
      </c>
      <c r="AS14" s="3160">
        <f>ExpoRisk!AS515</f>
        <v>0.81130487583452282</v>
      </c>
      <c r="AT14" s="3160">
        <f>ExpoRisk!AT515</f>
        <v>35.52976496968072</v>
      </c>
      <c r="AU14" s="3160">
        <f>ExpoRisk!AU515</f>
        <v>36.385664955652977</v>
      </c>
      <c r="AV14" s="3160">
        <f>ExpoRisk!AV515</f>
        <v>1.2661929454148575</v>
      </c>
      <c r="AW14" s="3160">
        <f>ExpoRisk!AW515</f>
        <v>13.022816301201384</v>
      </c>
      <c r="AX14" s="3160">
        <f>ExpoRisk!AX515</f>
        <v>25.861298922701501</v>
      </c>
      <c r="AY14" s="3160">
        <f>ExpoRisk!AY515</f>
        <v>37.416668079564445</v>
      </c>
      <c r="AZ14" s="3162">
        <f>ExpoRisk!AZ515</f>
        <v>5.5738464851434175</v>
      </c>
      <c r="BA14" s="3160">
        <f>ExpoRisk!BA515</f>
        <v>31.986967206047492</v>
      </c>
      <c r="BB14" s="3160">
        <f>ExpoRisk!BB515</f>
        <v>207.51375486344185</v>
      </c>
      <c r="BC14" s="3160">
        <f>ExpoRisk!BC515</f>
        <v>75904424.211020678</v>
      </c>
      <c r="BD14" s="3163" t="str">
        <f>ExpoRisk!BD515</f>
        <v>PVL</v>
      </c>
      <c r="BE14" s="3160">
        <f>ExpoRisk!BE515</f>
        <v>0.68232498837884525</v>
      </c>
      <c r="BF14" s="3160">
        <f>ExpoRisk!BF515</f>
        <v>1.3646499767576905</v>
      </c>
      <c r="BG14" s="3160" t="str">
        <f>ExpoRisk!BG515</f>
        <v>PVL</v>
      </c>
      <c r="BH14" s="3164" t="str">
        <f>ExpoRisk!BH515</f>
        <v>PVL</v>
      </c>
      <c r="BI14" s="3160" t="str">
        <f>ExpoRisk!BI515</f>
        <v>PVL</v>
      </c>
      <c r="BJ14" s="3165"/>
    </row>
    <row r="15" spans="1:71" s="3166" customFormat="1" ht="25.5">
      <c r="A15" s="3156"/>
      <c r="B15" s="3155"/>
      <c r="C15" s="3167" t="s">
        <v>42</v>
      </c>
      <c r="D15" s="3169">
        <f>Sols!D15</f>
        <v>0.1</v>
      </c>
      <c r="E15" s="3158" t="s">
        <v>1249</v>
      </c>
      <c r="F15" s="3170"/>
      <c r="G15" s="2613" t="str">
        <f>'EmVap-Vol'!G316</f>
        <v>m</v>
      </c>
      <c r="H15" s="3171">
        <f>'EmVap-Vol'!H316</f>
        <v>0.99894015662951541</v>
      </c>
      <c r="I15" s="3171">
        <f>'EmVap-Vol'!I316</f>
        <v>0.99894015662951541</v>
      </c>
      <c r="J15" s="1547">
        <f>'EmVap-Vol'!J316</f>
        <v>2.8318788245294559</v>
      </c>
      <c r="K15" s="1468">
        <f>'EmVap-Vol'!K316</f>
        <v>20.303846590662936</v>
      </c>
      <c r="L15" s="1547">
        <f>'EmVap-Vol'!L316</f>
        <v>7.8808007979752412</v>
      </c>
      <c r="M15" s="1547">
        <f>'EmVap-Vol'!M316</f>
        <v>7.8808007979752412</v>
      </c>
      <c r="N15" s="1433">
        <f>'EmVap-Vol'!N316</f>
        <v>11.458046072569964</v>
      </c>
      <c r="O15" s="1433">
        <f>'EmVap-Vol'!O316</f>
        <v>11.458046072569964</v>
      </c>
      <c r="P15" s="3172">
        <f>'EmVap-Vol'!P316</f>
        <v>11.831712818445082</v>
      </c>
      <c r="Q15" s="1433">
        <f>'EmVap-Vol'!Q316</f>
        <v>11.831712818445082</v>
      </c>
      <c r="R15" s="1433">
        <f>'EmVap-Vol'!R316</f>
        <v>13.650931244134451</v>
      </c>
      <c r="S15" s="1433">
        <f>'EmVap-Vol'!S316</f>
        <v>7.4529893195210333</v>
      </c>
      <c r="T15" s="1433">
        <f>'EmVap-Vol'!T316</f>
        <v>7.4529893195210333</v>
      </c>
      <c r="U15" s="1433">
        <f>'EmVap-Vol'!U316</f>
        <v>16.203779419781899</v>
      </c>
      <c r="V15" s="1433">
        <f>'EmVap-Vol'!V316</f>
        <v>18.376611641749395</v>
      </c>
      <c r="W15" s="3173">
        <f>'EmVap-Vol'!W316</f>
        <v>18.376611641749395</v>
      </c>
      <c r="X15" s="3174">
        <f>'EmVap-Vol'!X316</f>
        <v>8.8426564784154138</v>
      </c>
      <c r="Y15" s="1547">
        <f>'EmVap-Vol'!Y316</f>
        <v>7.1346065565536723</v>
      </c>
      <c r="Z15" s="1547">
        <f>'EmVap-Vol'!Z316</f>
        <v>5.292736893882469</v>
      </c>
      <c r="AA15" s="2079">
        <f>'EmVap-Vol'!AA316</f>
        <v>12.171943016268708</v>
      </c>
      <c r="AB15" s="3175">
        <f>'EmVap-Vol'!AB316</f>
        <v>4.1572518398802005</v>
      </c>
      <c r="AC15" s="1547">
        <f>'EmVap-Vol'!AC316</f>
        <v>1.7060809345929908</v>
      </c>
      <c r="AD15" s="1547">
        <f>'EmVap-Vol'!AD316</f>
        <v>0.70518097092119381</v>
      </c>
      <c r="AE15" s="1547">
        <f>'EmVap-Vol'!AE316</f>
        <v>0.22068195143385555</v>
      </c>
      <c r="AF15" s="2080">
        <f>'EmVap-Vol'!AF316</f>
        <v>3.2182531510040126E-3</v>
      </c>
      <c r="AG15" s="1433">
        <f>'EmVap-Vol'!AG316</f>
        <v>22.968076998586223</v>
      </c>
      <c r="AH15" s="1433">
        <f>'EmVap-Vol'!AH316</f>
        <v>19.262313254656402</v>
      </c>
      <c r="AI15" s="1433">
        <f>'EmVap-Vol'!AI316</f>
        <v>11.68216075797574</v>
      </c>
      <c r="AJ15" s="1547">
        <f>'EmVap-Vol'!AJ316</f>
        <v>5.333741329849401</v>
      </c>
      <c r="AK15" s="1547">
        <f>'EmVap-Vol'!AK316</f>
        <v>2.3809476803076062</v>
      </c>
      <c r="AL15" s="1547">
        <f>'EmVap-Vol'!AL316</f>
        <v>0.5989815051669013</v>
      </c>
      <c r="AM15" s="1547">
        <f>'EmVap-Vol'!AM316</f>
        <v>2.5704267271673929E-2</v>
      </c>
      <c r="AN15" s="3176">
        <f>'EmVap-Vol'!AN316</f>
        <v>1.2604926868327915</v>
      </c>
      <c r="AO15" s="1547">
        <f>'EmVap-Vol'!AO316</f>
        <v>0.20930068731102713</v>
      </c>
      <c r="AP15" s="636">
        <f>'EmVap-Vol'!AP316</f>
        <v>0.28169178791697697</v>
      </c>
      <c r="AQ15" s="1547">
        <f>'EmVap-Vol'!AQ316</f>
        <v>0.16592565803573694</v>
      </c>
      <c r="AR15" s="1547">
        <f>'EmVap-Vol'!AR316</f>
        <v>5.8333887111297951E-2</v>
      </c>
      <c r="AS15" s="1547">
        <f>'EmVap-Vol'!AS316</f>
        <v>6.9722722298615147E-2</v>
      </c>
      <c r="AT15" s="1547">
        <f>'EmVap-Vol'!AT316</f>
        <v>8.5116316957009677E-3</v>
      </c>
      <c r="AU15" s="1547">
        <f>'EmVap-Vol'!AU316</f>
        <v>8.2151794498636962E-3</v>
      </c>
      <c r="AV15" s="1547">
        <f>'EmVap-Vol'!AV316</f>
        <v>1.4170366990346392E-3</v>
      </c>
      <c r="AW15" s="1547">
        <f>'EmVap-Vol'!AW316</f>
        <v>1.3662641182154084E-3</v>
      </c>
      <c r="AX15" s="1547">
        <f>'EmVap-Vol'!AX316</f>
        <v>4.8797843591209082E-5</v>
      </c>
      <c r="AY15" s="1547">
        <f>'EmVap-Vol'!AY316</f>
        <v>3.3489769485975817E-5</v>
      </c>
      <c r="AZ15" s="1630">
        <f>'EmVap-Vol'!AZ316</f>
        <v>2.23638767032114E-5</v>
      </c>
      <c r="BA15" s="1547">
        <f>'EmVap-Vol'!BA316</f>
        <v>3.8624699411720137E-6</v>
      </c>
      <c r="BB15" s="1547">
        <f>'EmVap-Vol'!BB316</f>
        <v>6.1156045151905254E-5</v>
      </c>
      <c r="BC15" s="1547">
        <f>'EmVap-Vol'!BC316</f>
        <v>1.6246181233548372E-11</v>
      </c>
      <c r="BD15" s="2551">
        <f>'EmVap-Vol'!BD316</f>
        <v>4.0122971694318242E-2</v>
      </c>
      <c r="BE15" s="1547">
        <f>'EmVap-Vol'!BE316</f>
        <v>1.2858852435855691E-3</v>
      </c>
      <c r="BF15" s="1547">
        <f>'EmVap-Vol'!BF316</f>
        <v>1.2858852435855691E-3</v>
      </c>
      <c r="BG15" s="1433">
        <f>'EmVap-Vol'!BG316</f>
        <v>16.881966924880764</v>
      </c>
      <c r="BH15" s="629"/>
      <c r="BI15" s="530"/>
      <c r="BJ15" s="3165" t="s">
        <v>994</v>
      </c>
    </row>
    <row r="16" spans="1:71" s="3189" customFormat="1">
      <c r="A16" s="3177"/>
      <c r="B16" s="3178"/>
      <c r="C16" s="3179"/>
      <c r="D16" s="3180"/>
      <c r="E16" s="3181" t="str">
        <f>ExpoRisk!E517</f>
        <v>Teneur limite</v>
      </c>
      <c r="F16" s="3181" t="str">
        <f>ExpoRisk!F517</f>
        <v>Cs</v>
      </c>
      <c r="G16" s="3182" t="str">
        <f>ExpoRisk!G517</f>
        <v>mg/kg ms</v>
      </c>
      <c r="H16" s="3183">
        <f>ExpoRisk!H517</f>
        <v>21.726590419182642</v>
      </c>
      <c r="I16" s="3183">
        <f>ExpoRisk!I517</f>
        <v>21.726590419182642</v>
      </c>
      <c r="J16" s="3183">
        <f>ExpoRisk!J517</f>
        <v>191.60039130531911</v>
      </c>
      <c r="K16" s="3184">
        <f>ExpoRisk!K517</f>
        <v>0.28938084848484852</v>
      </c>
      <c r="L16" s="3183">
        <f>ExpoRisk!L517</f>
        <v>0.3100509090909091</v>
      </c>
      <c r="M16" s="3183">
        <f>ExpoRisk!M517</f>
        <v>0.3100509090909091</v>
      </c>
      <c r="N16" s="3183">
        <f>ExpoRisk!N517</f>
        <v>0.90431515151515141</v>
      </c>
      <c r="O16" s="3183">
        <f>ExpoRisk!O517</f>
        <v>0.90431515151515141</v>
      </c>
      <c r="P16" s="3185">
        <f>ExpoRisk!P517</f>
        <v>0.18086303030303036</v>
      </c>
      <c r="Q16" s="3183">
        <f>ExpoRisk!Q517</f>
        <v>0.18086303030303036</v>
      </c>
      <c r="R16" s="3183">
        <f>ExpoRisk!R517</f>
        <v>1.8086303030303033</v>
      </c>
      <c r="S16" s="3183">
        <f>ExpoRisk!S517</f>
        <v>7.863610013175229E-2</v>
      </c>
      <c r="T16" s="3183">
        <f>ExpoRisk!T517</f>
        <v>7.863610013175229E-2</v>
      </c>
      <c r="U16" s="3183">
        <f>ExpoRisk!U517</f>
        <v>4.3062626262626261E-2</v>
      </c>
      <c r="V16" s="3183">
        <f>ExpoRisk!V517</f>
        <v>5.1675151515151523</v>
      </c>
      <c r="W16" s="3183">
        <f>ExpoRisk!W517</f>
        <v>5.1675151515151523</v>
      </c>
      <c r="X16" s="3184">
        <f>ExpoRisk!X517</f>
        <v>4.960814545454547E-2</v>
      </c>
      <c r="Y16" s="3183">
        <f>ExpoRisk!Y517</f>
        <v>1.3435539393939397</v>
      </c>
      <c r="Z16" s="3183">
        <f>ExpoRisk!Z517</f>
        <v>0.72345212121212132</v>
      </c>
      <c r="AA16" s="3185">
        <f>ExpoRisk!AA517</f>
        <v>3.6172606060606061</v>
      </c>
      <c r="AB16" s="3183">
        <f>ExpoRisk!AB517</f>
        <v>1.0335030303030304</v>
      </c>
      <c r="AC16" s="3183">
        <f>ExpoRisk!AC517</f>
        <v>1.8173282568501126</v>
      </c>
      <c r="AD16" s="3183">
        <f>ExpoRisk!AD517</f>
        <v>4.3967566039946124</v>
      </c>
      <c r="AE16" s="3183" t="str">
        <f>ExpoRisk!AE517</f>
        <v>PVL</v>
      </c>
      <c r="AF16" s="3185" t="str">
        <f>ExpoRisk!AF517</f>
        <v>PVL</v>
      </c>
      <c r="AG16" s="3183">
        <f>ExpoRisk!AG517</f>
        <v>95.082278787878806</v>
      </c>
      <c r="AH16" s="3183" t="str">
        <f>ExpoRisk!AH517</f>
        <v>PVL</v>
      </c>
      <c r="AI16" s="3183">
        <f>ExpoRisk!AI517</f>
        <v>5.1675151515151514</v>
      </c>
      <c r="AJ16" s="3183">
        <f>ExpoRisk!AJ517</f>
        <v>5.1675151515151523</v>
      </c>
      <c r="AK16" s="3183" t="str">
        <f>ExpoRisk!AK517</f>
        <v>PVL</v>
      </c>
      <c r="AL16" s="3183" t="str">
        <f>ExpoRisk!AL517</f>
        <v>PVL</v>
      </c>
      <c r="AM16" s="3183" t="str">
        <f>ExpoRisk!AM517</f>
        <v>PVL</v>
      </c>
      <c r="AN16" s="3184">
        <f>ExpoRisk!AN517</f>
        <v>5.4657193234831106E-2</v>
      </c>
      <c r="AO16" s="3183">
        <f>ExpoRisk!AO517</f>
        <v>3.2736081774919841</v>
      </c>
      <c r="AP16" s="3183">
        <f>ExpoRisk!AP517</f>
        <v>2.5158632155480651</v>
      </c>
      <c r="AQ16" s="3183">
        <f>ExpoRisk!AQ517</f>
        <v>4.0000540500248984</v>
      </c>
      <c r="AR16" s="3183" t="str">
        <f>ExpoRisk!AR517</f>
        <v>PVL</v>
      </c>
      <c r="AS16" s="3183" t="str">
        <f>ExpoRisk!AS517</f>
        <v>PVL</v>
      </c>
      <c r="AT16" s="3183" t="str">
        <f>ExpoRisk!AT517</f>
        <v>PVL</v>
      </c>
      <c r="AU16" s="3183" t="str">
        <f>ExpoRisk!AU517</f>
        <v>PVL</v>
      </c>
      <c r="AV16" s="3183" t="str">
        <f>ExpoRisk!AV517</f>
        <v>PVL</v>
      </c>
      <c r="AW16" s="3183" t="str">
        <f>ExpoRisk!AW517</f>
        <v>PVL</v>
      </c>
      <c r="AX16" s="3183" t="str">
        <f>ExpoRisk!AX517</f>
        <v>PVL</v>
      </c>
      <c r="AY16" s="3183" t="str">
        <f>ExpoRisk!AY517</f>
        <v>PVL</v>
      </c>
      <c r="AZ16" s="3185" t="str">
        <f>ExpoRisk!AZ517</f>
        <v>PVL</v>
      </c>
      <c r="BA16" s="3183" t="str">
        <f>ExpoRisk!BA517</f>
        <v>PVL</v>
      </c>
      <c r="BB16" s="3183" t="str">
        <f>ExpoRisk!BB517</f>
        <v>PVL</v>
      </c>
      <c r="BC16" s="3183" t="str">
        <f>ExpoRisk!BC517</f>
        <v>PVL</v>
      </c>
      <c r="BD16" s="3186">
        <f>ExpoRisk!BD517</f>
        <v>7.7275160836308379</v>
      </c>
      <c r="BE16" s="3183">
        <f>ExpoRisk!BE517</f>
        <v>0.68232498837884525</v>
      </c>
      <c r="BF16" s="3183">
        <f>ExpoRisk!BF517</f>
        <v>1.3646499767576905</v>
      </c>
      <c r="BG16" s="3183">
        <f>ExpoRisk!BG517</f>
        <v>1.5502545454545454E-4</v>
      </c>
      <c r="BH16" s="3187">
        <f>ExpoRisk!BH517</f>
        <v>9.9195806050834195E-2</v>
      </c>
      <c r="BI16" s="3183">
        <f>ExpoRisk!BI517</f>
        <v>0.13815427896424801</v>
      </c>
      <c r="BJ16" s="3188"/>
    </row>
    <row r="17" spans="1:62" s="3166" customFormat="1" ht="25.5">
      <c r="A17" s="3156"/>
      <c r="B17" s="3155"/>
      <c r="C17" s="3190" t="s">
        <v>162</v>
      </c>
      <c r="D17" s="3191">
        <v>1.0000000000000001E-5</v>
      </c>
      <c r="E17" s="3158" t="s">
        <v>1249</v>
      </c>
      <c r="F17" s="3170"/>
      <c r="G17" s="2613" t="s">
        <v>73</v>
      </c>
      <c r="H17" s="3171">
        <v>0.54269670638252376</v>
      </c>
      <c r="I17" s="3171">
        <v>0.54269670638252376</v>
      </c>
      <c r="J17" s="1547">
        <v>1.6167213958221138</v>
      </c>
      <c r="K17" s="1468">
        <v>13.307793814266651</v>
      </c>
      <c r="L17" s="1547">
        <v>4.8730121024073192</v>
      </c>
      <c r="M17" s="1547">
        <v>4.8730121024073192</v>
      </c>
      <c r="N17" s="1433">
        <v>7.2216428976168512</v>
      </c>
      <c r="O17" s="1433">
        <v>7.2216428976168512</v>
      </c>
      <c r="P17" s="3134">
        <v>7.4038814214933213</v>
      </c>
      <c r="Q17" s="1547">
        <v>7.4038814214933213</v>
      </c>
      <c r="R17" s="1547">
        <v>10.854752590374991</v>
      </c>
      <c r="S17" s="1547">
        <v>4.7455783182023765</v>
      </c>
      <c r="T17" s="1547">
        <v>4.7455783182023765</v>
      </c>
      <c r="U17" s="1547">
        <v>10.293711425473875</v>
      </c>
      <c r="V17" s="1547">
        <v>10.806895578361715</v>
      </c>
      <c r="W17" s="3192">
        <v>10.806895578361715</v>
      </c>
      <c r="X17" s="3176">
        <v>5.5442546540951918</v>
      </c>
      <c r="Y17" s="1547">
        <v>4.3937678325866836</v>
      </c>
      <c r="Z17" s="1547">
        <v>3.1904900833062317</v>
      </c>
      <c r="AA17" s="2079">
        <v>7.5808850540032271</v>
      </c>
      <c r="AB17" s="1433">
        <v>2.3299956233845109</v>
      </c>
      <c r="AC17" s="1433">
        <v>0.91563708082427619</v>
      </c>
      <c r="AD17" s="1433">
        <v>0.37173387633882893</v>
      </c>
      <c r="AE17" s="1433">
        <v>0.12026634543250996</v>
      </c>
      <c r="AF17" s="2079">
        <v>2.9266425892942737E-3</v>
      </c>
      <c r="AG17" s="1433">
        <v>14.08988479096376</v>
      </c>
      <c r="AH17" s="1433">
        <v>11.584147781039977</v>
      </c>
      <c r="AI17" s="1547">
        <v>6.7971221831833226</v>
      </c>
      <c r="AJ17" s="1547">
        <v>2.9659049796833226</v>
      </c>
      <c r="AK17" s="1547">
        <v>1.2661416905055893</v>
      </c>
      <c r="AL17" s="1547">
        <v>0.31314946587578879</v>
      </c>
      <c r="AM17" s="1547">
        <v>1.7990166656121232E-2</v>
      </c>
      <c r="AN17" s="3176">
        <v>0.67132535021425921</v>
      </c>
      <c r="AO17" s="1547">
        <v>0.11464522680571133</v>
      </c>
      <c r="AP17" s="636">
        <v>0.1518123000292686</v>
      </c>
      <c r="AQ17" s="1547">
        <v>9.2290267525663189E-2</v>
      </c>
      <c r="AR17" s="1547">
        <v>3.6226603429710354E-2</v>
      </c>
      <c r="AS17" s="1547">
        <v>4.2311978182224534E-2</v>
      </c>
      <c r="AT17" s="1547">
        <v>7.0044680425249677E-3</v>
      </c>
      <c r="AU17" s="1547">
        <v>6.790970978646867E-3</v>
      </c>
      <c r="AV17" s="1547">
        <v>1.3522867902402739E-3</v>
      </c>
      <c r="AW17" s="1547">
        <v>1.3058177484836177E-3</v>
      </c>
      <c r="AX17" s="1547">
        <v>4.876679126197131E-5</v>
      </c>
      <c r="AY17" s="1547">
        <v>3.3489769485975817E-5</v>
      </c>
      <c r="AZ17" s="1630">
        <v>2.23638767032114E-5</v>
      </c>
      <c r="BA17" s="1547">
        <v>3.8624699411720137E-6</v>
      </c>
      <c r="BB17" s="1547">
        <v>6.1074108648202785E-5</v>
      </c>
      <c r="BC17" s="1547">
        <v>1.6246181233548372E-11</v>
      </c>
      <c r="BD17" s="2551">
        <v>2.6448973955027696E-2</v>
      </c>
      <c r="BE17" s="1547">
        <v>1.2319595440495499E-3</v>
      </c>
      <c r="BF17" s="1547">
        <v>1.2319595440495499E-3</v>
      </c>
      <c r="BG17" s="1433">
        <v>9.9618882534121251</v>
      </c>
      <c r="BH17" s="629"/>
      <c r="BI17" s="530"/>
      <c r="BJ17" s="3165" t="s">
        <v>994</v>
      </c>
    </row>
    <row r="18" spans="1:62" s="3189" customFormat="1">
      <c r="A18" s="3177"/>
      <c r="B18" s="3178"/>
      <c r="C18" s="3193" t="s">
        <v>42</v>
      </c>
      <c r="D18" s="3194">
        <f>Sols!D15</f>
        <v>0.1</v>
      </c>
      <c r="E18" s="3181" t="s">
        <v>499</v>
      </c>
      <c r="F18" s="3181" t="s">
        <v>19</v>
      </c>
      <c r="G18" s="3182" t="s">
        <v>20</v>
      </c>
      <c r="H18" s="3183">
        <v>39.992068094597435</v>
      </c>
      <c r="I18" s="3183">
        <v>39.992068094597435</v>
      </c>
      <c r="J18" s="3183">
        <v>335.61075662834332</v>
      </c>
      <c r="K18" s="3184">
        <v>0.28938084848484852</v>
      </c>
      <c r="L18" s="3183">
        <v>0.3100509090909091</v>
      </c>
      <c r="M18" s="3183">
        <v>0.3100509090909091</v>
      </c>
      <c r="N18" s="3183">
        <v>0.90431515151515141</v>
      </c>
      <c r="O18" s="3183">
        <v>0.90431515151515141</v>
      </c>
      <c r="P18" s="3185">
        <v>0.18086303030303036</v>
      </c>
      <c r="Q18" s="3183">
        <v>0.18086303030303036</v>
      </c>
      <c r="R18" s="3183">
        <v>1.8086303030303033</v>
      </c>
      <c r="S18" s="3183">
        <v>7.863610013175229E-2</v>
      </c>
      <c r="T18" s="3183">
        <v>7.863610013175229E-2</v>
      </c>
      <c r="U18" s="3183">
        <v>4.3062626262626261E-2</v>
      </c>
      <c r="V18" s="3183">
        <v>5.1675151515151523</v>
      </c>
      <c r="W18" s="3183">
        <v>5.1675151515151523</v>
      </c>
      <c r="X18" s="3184">
        <v>4.960814545454547E-2</v>
      </c>
      <c r="Y18" s="3183">
        <v>1.3435539393939397</v>
      </c>
      <c r="Z18" s="3183">
        <v>0.72345212121212132</v>
      </c>
      <c r="AA18" s="3185">
        <v>3.6172606060606061</v>
      </c>
      <c r="AB18" s="3183">
        <v>1.3306930964983301</v>
      </c>
      <c r="AC18" s="3183">
        <v>3.3861768552644755</v>
      </c>
      <c r="AD18" s="3183">
        <v>8.3406686564208403</v>
      </c>
      <c r="AE18" s="3183" t="s">
        <v>498</v>
      </c>
      <c r="AF18" s="3185" t="s">
        <v>498</v>
      </c>
      <c r="AG18" s="3183">
        <v>95.082278787878806</v>
      </c>
      <c r="AH18" s="3183" t="s">
        <v>498</v>
      </c>
      <c r="AI18" s="3183">
        <v>5.1675151515151514</v>
      </c>
      <c r="AJ18" s="3183">
        <v>5.2269191227430039</v>
      </c>
      <c r="AK18" s="3183" t="s">
        <v>498</v>
      </c>
      <c r="AL18" s="3183" t="s">
        <v>498</v>
      </c>
      <c r="AM18" s="3183" t="s">
        <v>498</v>
      </c>
      <c r="AN18" s="3184">
        <v>0.10856355984793634</v>
      </c>
      <c r="AO18" s="3183">
        <v>6.461450198247535</v>
      </c>
      <c r="AP18" s="3183">
        <v>4.980685534235235</v>
      </c>
      <c r="AQ18" s="3183" t="s">
        <v>498</v>
      </c>
      <c r="AR18" s="3183" t="s">
        <v>498</v>
      </c>
      <c r="AS18" s="3183" t="s">
        <v>498</v>
      </c>
      <c r="AT18" s="3183" t="s">
        <v>498</v>
      </c>
      <c r="AU18" s="3183" t="s">
        <v>498</v>
      </c>
      <c r="AV18" s="3183" t="s">
        <v>498</v>
      </c>
      <c r="AW18" s="3183" t="s">
        <v>498</v>
      </c>
      <c r="AX18" s="3183" t="s">
        <v>498</v>
      </c>
      <c r="AY18" s="3183" t="s">
        <v>498</v>
      </c>
      <c r="AZ18" s="3185" t="s">
        <v>498</v>
      </c>
      <c r="BA18" s="3183" t="s">
        <v>498</v>
      </c>
      <c r="BB18" s="3183" t="s">
        <v>498</v>
      </c>
      <c r="BC18" s="3183" t="s">
        <v>498</v>
      </c>
      <c r="BD18" s="3186">
        <v>11.722606314260123</v>
      </c>
      <c r="BE18" s="3183">
        <v>1.028602779259685</v>
      </c>
      <c r="BF18" s="3183">
        <v>2.05720555851937</v>
      </c>
      <c r="BG18" s="3183">
        <v>1.5502545454545454E-4</v>
      </c>
      <c r="BH18" s="3187">
        <v>0.15544636882379465</v>
      </c>
      <c r="BI18" s="3183">
        <v>0.23854373269573845</v>
      </c>
      <c r="BJ18" s="3188"/>
    </row>
    <row r="19" spans="1:62" s="3166" customFormat="1" ht="25.5">
      <c r="A19" s="3156"/>
      <c r="B19" s="3155"/>
      <c r="C19" s="3167" t="s">
        <v>162</v>
      </c>
      <c r="D19" s="3168">
        <f>Sols!Q15</f>
        <v>4.0000000000000003E-5</v>
      </c>
      <c r="E19" s="3158" t="s">
        <v>1249</v>
      </c>
      <c r="F19" s="3170"/>
      <c r="G19" s="2613" t="s">
        <v>73</v>
      </c>
      <c r="H19" s="3171">
        <v>0.94116007059781515</v>
      </c>
      <c r="I19" s="3171">
        <v>0.94116007059781515</v>
      </c>
      <c r="J19" s="1547">
        <v>2.7861670051592666</v>
      </c>
      <c r="K19" s="1468">
        <v>18.987389768397495</v>
      </c>
      <c r="L19" s="1547">
        <v>5.4961783299338718</v>
      </c>
      <c r="M19" s="1547">
        <v>5.4961783299338718</v>
      </c>
      <c r="N19" s="1547">
        <v>6.5375714259426125</v>
      </c>
      <c r="O19" s="1547">
        <v>6.5375714259426125</v>
      </c>
      <c r="P19" s="3134">
        <v>5.9639439594324779</v>
      </c>
      <c r="Q19" s="1547">
        <v>5.9639439594324779</v>
      </c>
      <c r="R19" s="1547">
        <v>10.717866086350876</v>
      </c>
      <c r="S19" s="1547">
        <v>4.5738445501349378</v>
      </c>
      <c r="T19" s="1547">
        <v>4.5738445501349378</v>
      </c>
      <c r="U19" s="1547">
        <v>10.960573474824301</v>
      </c>
      <c r="V19" s="1547">
        <v>12.887697165760882</v>
      </c>
      <c r="W19" s="3192">
        <v>12.887697165760882</v>
      </c>
      <c r="X19" s="3176">
        <v>5.5308363459268479</v>
      </c>
      <c r="Y19" s="1547">
        <v>3.4375949921105375</v>
      </c>
      <c r="Z19" s="1547">
        <v>2.1948691422349116</v>
      </c>
      <c r="AA19" s="2080">
        <v>5.1032394764061317</v>
      </c>
      <c r="AB19" s="3175">
        <v>1.6588029370667177</v>
      </c>
      <c r="AC19" s="1547">
        <v>0.66627348829615596</v>
      </c>
      <c r="AD19" s="1547">
        <v>0.26503533598872842</v>
      </c>
      <c r="AE19" s="1547">
        <v>7.2400665847872386E-2</v>
      </c>
      <c r="AF19" s="2080">
        <v>5.5418843283910207E-4</v>
      </c>
      <c r="AG19" s="1433">
        <v>17.20259656659146</v>
      </c>
      <c r="AH19" s="1433">
        <v>11.137983008846934</v>
      </c>
      <c r="AI19" s="1547">
        <v>5.101467661204075</v>
      </c>
      <c r="AJ19" s="1547">
        <v>2.0955569439486901</v>
      </c>
      <c r="AK19" s="1547">
        <v>0.92392302942220406</v>
      </c>
      <c r="AL19" s="1547">
        <v>0.22126776543978938</v>
      </c>
      <c r="AM19" s="1547">
        <v>5.2869612858433279E-3</v>
      </c>
      <c r="AN19" s="3176">
        <v>0.50992345649523951</v>
      </c>
      <c r="AO19" s="1547">
        <v>6.926756863021552E-2</v>
      </c>
      <c r="AP19" s="636">
        <v>9.8092137038118601E-2</v>
      </c>
      <c r="AQ19" s="1547">
        <v>5.2221499490838867E-2</v>
      </c>
      <c r="AR19" s="1547">
        <v>1.4335785286889269E-2</v>
      </c>
      <c r="AS19" s="1547">
        <v>1.787549859505835E-2</v>
      </c>
      <c r="AT19" s="1547">
        <v>1.5430538416610073E-3</v>
      </c>
      <c r="AU19" s="1547">
        <v>1.4859334662993065E-3</v>
      </c>
      <c r="AV19" s="1547">
        <v>2.3981702327652288E-4</v>
      </c>
      <c r="AW19" s="1547">
        <v>2.3117144096040931E-4</v>
      </c>
      <c r="AX19" s="1547">
        <v>8.1438586032504295E-6</v>
      </c>
      <c r="AY19" s="1547">
        <v>5.5867528017375182E-6</v>
      </c>
      <c r="AZ19" s="1630">
        <v>3.7304736812459973E-6</v>
      </c>
      <c r="BA19" s="1547">
        <v>6.4388832537666929E-7</v>
      </c>
      <c r="BB19" s="1547">
        <v>1.0196315583456037E-5</v>
      </c>
      <c r="BC19" s="1547">
        <v>2.7080698794534896E-12</v>
      </c>
      <c r="BD19" s="2551">
        <v>3.0642524442598448E-2</v>
      </c>
      <c r="BE19" s="1547">
        <v>2.1725064891593013E-4</v>
      </c>
      <c r="BF19" s="1547">
        <v>2.1725064891593013E-4</v>
      </c>
      <c r="BG19" s="1433">
        <v>16.881966924880764</v>
      </c>
      <c r="BH19" s="629"/>
      <c r="BI19" s="530"/>
      <c r="BJ19" s="3165" t="s">
        <v>994</v>
      </c>
    </row>
    <row r="20" spans="1:62" s="3207" customFormat="1" ht="13.5" thickBot="1">
      <c r="A20" s="3195"/>
      <c r="B20" s="3196"/>
      <c r="C20" s="3197" t="s">
        <v>42</v>
      </c>
      <c r="D20" s="3198">
        <v>0.6</v>
      </c>
      <c r="E20" s="3199" t="s">
        <v>499</v>
      </c>
      <c r="F20" s="3199" t="s">
        <v>19</v>
      </c>
      <c r="G20" s="3200" t="s">
        <v>20</v>
      </c>
      <c r="H20" s="3201">
        <v>23.060438191537131</v>
      </c>
      <c r="I20" s="3201">
        <v>23.060438191537131</v>
      </c>
      <c r="J20" s="3201">
        <v>194.74392235079773</v>
      </c>
      <c r="K20" s="3202">
        <v>0.28938084848484857</v>
      </c>
      <c r="L20" s="3201">
        <v>0.31005090909090915</v>
      </c>
      <c r="M20" s="3201">
        <v>0.31005090909090915</v>
      </c>
      <c r="N20" s="3201">
        <v>0.90431515151515152</v>
      </c>
      <c r="O20" s="3201">
        <v>0.90431515151515152</v>
      </c>
      <c r="P20" s="3203">
        <v>0.18086303030303036</v>
      </c>
      <c r="Q20" s="3201">
        <v>0.18086303030303036</v>
      </c>
      <c r="R20" s="3201">
        <v>1.808630303030303</v>
      </c>
      <c r="S20" s="3201">
        <v>7.8636100131752318E-2</v>
      </c>
      <c r="T20" s="3201">
        <v>7.8636100131752318E-2</v>
      </c>
      <c r="U20" s="3201">
        <v>4.3062626262626254E-2</v>
      </c>
      <c r="V20" s="3201">
        <v>5.1675151515151514</v>
      </c>
      <c r="W20" s="3201">
        <v>5.1675151515151514</v>
      </c>
      <c r="X20" s="3202">
        <v>4.960814545454547E-2</v>
      </c>
      <c r="Y20" s="3201">
        <v>1.3435539393939395</v>
      </c>
      <c r="Z20" s="3201">
        <v>0.7234521212121211</v>
      </c>
      <c r="AA20" s="3203">
        <v>3.617260606060607</v>
      </c>
      <c r="AB20" s="3201">
        <v>1.8691244279997243</v>
      </c>
      <c r="AC20" s="3201">
        <v>4.6535081244759455</v>
      </c>
      <c r="AD20" s="3201">
        <v>11.69847439150888</v>
      </c>
      <c r="AE20" s="3201" t="s">
        <v>498</v>
      </c>
      <c r="AF20" s="3203" t="s">
        <v>498</v>
      </c>
      <c r="AG20" s="3201">
        <v>95.082278787878778</v>
      </c>
      <c r="AH20" s="3201">
        <v>95.082278787878792</v>
      </c>
      <c r="AI20" s="3201">
        <v>5.1675151515151523</v>
      </c>
      <c r="AJ20" s="3201">
        <v>7.397816365387702</v>
      </c>
      <c r="AK20" s="3201">
        <v>16.77904431523946</v>
      </c>
      <c r="AL20" s="3201" t="s">
        <v>498</v>
      </c>
      <c r="AM20" s="3201" t="s">
        <v>498</v>
      </c>
      <c r="AN20" s="3202">
        <v>0.12830084471915124</v>
      </c>
      <c r="AO20" s="3201">
        <v>8.1591486322685096</v>
      </c>
      <c r="AP20" s="3201">
        <v>6.197840438557515</v>
      </c>
      <c r="AQ20" s="3201">
        <v>10.109417182476125</v>
      </c>
      <c r="AR20" s="3201">
        <v>25.051720648498531</v>
      </c>
      <c r="AS20" s="3201" t="s">
        <v>498</v>
      </c>
      <c r="AT20" s="3201" t="s">
        <v>498</v>
      </c>
      <c r="AU20" s="3201" t="s">
        <v>498</v>
      </c>
      <c r="AV20" s="3201">
        <v>5.6832286062549846</v>
      </c>
      <c r="AW20" s="3201" t="s">
        <v>498</v>
      </c>
      <c r="AX20" s="3201" t="s">
        <v>498</v>
      </c>
      <c r="AY20" s="3201" t="s">
        <v>498</v>
      </c>
      <c r="AZ20" s="3203" t="s">
        <v>498</v>
      </c>
      <c r="BA20" s="3201" t="s">
        <v>498</v>
      </c>
      <c r="BB20" s="3201" t="s">
        <v>498</v>
      </c>
      <c r="BC20" s="3201" t="s">
        <v>498</v>
      </c>
      <c r="BD20" s="3204">
        <v>10.118321343651582</v>
      </c>
      <c r="BE20" s="3201">
        <v>3.1108565405078785</v>
      </c>
      <c r="BF20" s="3201">
        <v>6.221713081015757</v>
      </c>
      <c r="BG20" s="3201">
        <v>1.5502545454545454E-4</v>
      </c>
      <c r="BH20" s="3205">
        <v>0.10203474314032804</v>
      </c>
      <c r="BI20" s="3201">
        <v>0.15193634751107735</v>
      </c>
      <c r="BJ20" s="3206"/>
    </row>
    <row r="21" spans="1:62" s="3208" customFormat="1">
      <c r="B21" s="3209"/>
      <c r="C21" s="2564"/>
      <c r="D21" s="2565"/>
      <c r="E21" s="3210" t="s">
        <v>1250</v>
      </c>
      <c r="F21" s="3210"/>
      <c r="G21" s="3211"/>
      <c r="H21" s="2566"/>
      <c r="I21" s="2566"/>
      <c r="J21" s="2566"/>
      <c r="K21" s="2567"/>
      <c r="L21" s="2566"/>
      <c r="M21" s="2566"/>
      <c r="N21" s="2566"/>
      <c r="O21" s="2566"/>
      <c r="P21" s="2568"/>
      <c r="Q21" s="2566"/>
      <c r="R21" s="2566"/>
      <c r="S21" s="2566"/>
      <c r="T21" s="2566"/>
      <c r="U21" s="2566"/>
      <c r="V21" s="2566"/>
      <c r="W21" s="2566"/>
      <c r="X21" s="2567"/>
      <c r="Y21" s="2566"/>
      <c r="Z21" s="2566"/>
      <c r="AA21" s="2568"/>
      <c r="AB21" s="2566"/>
      <c r="AC21" s="2566"/>
      <c r="AD21" s="2566"/>
      <c r="AE21" s="2566"/>
      <c r="AF21" s="2568"/>
      <c r="AG21" s="2566"/>
      <c r="AH21" s="2566"/>
      <c r="AI21" s="2566"/>
      <c r="AJ21" s="2566"/>
      <c r="AK21" s="2566"/>
      <c r="AL21" s="2566"/>
      <c r="AM21" s="2566"/>
      <c r="AN21" s="2567"/>
      <c r="AO21" s="2566"/>
      <c r="AP21" s="2566"/>
      <c r="AQ21" s="2566"/>
      <c r="AR21" s="2566"/>
      <c r="AS21" s="2566"/>
      <c r="AT21" s="2566"/>
      <c r="AU21" s="2566"/>
      <c r="AV21" s="2566"/>
      <c r="AW21" s="2566"/>
      <c r="AX21" s="2566"/>
      <c r="AY21" s="2566"/>
      <c r="AZ21" s="2568"/>
      <c r="BA21" s="2566"/>
      <c r="BB21" s="2566"/>
      <c r="BC21" s="2566"/>
      <c r="BD21" s="2569"/>
      <c r="BE21" s="2566"/>
      <c r="BF21" s="2566"/>
      <c r="BG21" s="2566"/>
      <c r="BH21" s="2570"/>
      <c r="BI21" s="2566"/>
      <c r="BJ21" s="3212"/>
    </row>
    <row r="22" spans="1:62" s="3166" customFormat="1">
      <c r="B22" s="3155"/>
      <c r="C22" s="3167"/>
      <c r="D22" s="3213"/>
      <c r="E22" s="3158" t="s">
        <v>1034</v>
      </c>
      <c r="F22" s="3214" t="str">
        <f>ExpoRisk!F142</f>
        <v>Cs</v>
      </c>
      <c r="G22" s="3215" t="str">
        <f>ExpoRisk!G142</f>
        <v>mg/kg ms</v>
      </c>
      <c r="H22" s="1629">
        <f>ExpoRisk!H142</f>
        <v>555.19258157370484</v>
      </c>
      <c r="I22" s="1629">
        <f>ExpoRisk!I142</f>
        <v>555.19258157370484</v>
      </c>
      <c r="J22" s="1629">
        <f>ExpoRisk!J142</f>
        <v>4153.1270958274908</v>
      </c>
      <c r="K22" s="1628">
        <f>ExpoRisk!K142</f>
        <v>1.5697919999999999</v>
      </c>
      <c r="L22" s="1629">
        <f>ExpoRisk!L142</f>
        <v>2.1511535215770454</v>
      </c>
      <c r="M22" s="1629">
        <f>ExpoRisk!M142</f>
        <v>2.1511535215770454</v>
      </c>
      <c r="N22" s="1629">
        <f>ExpoRisk!N142</f>
        <v>5.6064000000000007</v>
      </c>
      <c r="O22" s="1629">
        <f>ExpoRisk!O142</f>
        <v>5.6064000000000007</v>
      </c>
      <c r="P22" s="1630">
        <f>ExpoRisk!P142</f>
        <v>0.9811200000000001</v>
      </c>
      <c r="Q22" s="1629">
        <f>ExpoRisk!Q142</f>
        <v>0.9811200000000001</v>
      </c>
      <c r="R22" s="1629">
        <f>ExpoRisk!R142</f>
        <v>11.212800000000003</v>
      </c>
      <c r="S22" s="1629">
        <f>ExpoRisk!S142</f>
        <v>2.0970733272906545</v>
      </c>
      <c r="T22" s="1629">
        <f>ExpoRisk!T142</f>
        <v>2.0970733272906545</v>
      </c>
      <c r="U22" s="1629">
        <f>ExpoRisk!U142</f>
        <v>1.0652159999999999</v>
      </c>
      <c r="V22" s="1629">
        <f>ExpoRisk!V142</f>
        <v>28.031999999999996</v>
      </c>
      <c r="W22" s="1629">
        <f>ExpoRisk!W142</f>
        <v>28.031999999999996</v>
      </c>
      <c r="X22" s="1628">
        <f>ExpoRisk!X142</f>
        <v>0.2943962154063326</v>
      </c>
      <c r="Y22" s="1629">
        <f>ExpoRisk!Y142</f>
        <v>10.306506396441879</v>
      </c>
      <c r="Z22" s="1629">
        <f>ExpoRisk!Z142</f>
        <v>14.737620900259596</v>
      </c>
      <c r="AA22" s="1630">
        <f>ExpoRisk!AA142</f>
        <v>19.622400000000003</v>
      </c>
      <c r="AB22" s="1629">
        <f>ExpoRisk!AB142</f>
        <v>20.294227186569373</v>
      </c>
      <c r="AC22" s="1629">
        <f>ExpoRisk!AC142</f>
        <v>62.731002417862939</v>
      </c>
      <c r="AD22" s="1629">
        <f>ExpoRisk!AD142</f>
        <v>262.57778161997174</v>
      </c>
      <c r="AE22" s="1629" t="str">
        <f>ExpoRisk!AE142</f>
        <v>PVL</v>
      </c>
      <c r="AF22" s="1630" t="str">
        <f>ExpoRisk!AF142</f>
        <v>PVL</v>
      </c>
      <c r="AG22" s="1629">
        <f>ExpoRisk!AG142</f>
        <v>515.78880000000004</v>
      </c>
      <c r="AH22" s="1629">
        <f>ExpoRisk!AH142</f>
        <v>515.78879999999992</v>
      </c>
      <c r="AI22" s="1629">
        <f>ExpoRisk!AI142</f>
        <v>35.126059463763632</v>
      </c>
      <c r="AJ22" s="1629">
        <f>ExpoRisk!AJ142</f>
        <v>88.784774651703415</v>
      </c>
      <c r="AK22" s="1629">
        <f>ExpoRisk!AK142</f>
        <v>265.17925700147731</v>
      </c>
      <c r="AL22" s="1629" t="str">
        <f>ExpoRisk!AL142</f>
        <v>PVL</v>
      </c>
      <c r="AM22" s="1629" t="str">
        <f>ExpoRisk!AM142</f>
        <v>PVL</v>
      </c>
      <c r="AN22" s="1628">
        <f>ExpoRisk!AN142</f>
        <v>9.828128207665829</v>
      </c>
      <c r="AO22" s="1629" t="str">
        <f>ExpoRisk!AO142</f>
        <v>PVL</v>
      </c>
      <c r="AP22" s="1629" t="str">
        <f>ExpoRisk!AP142</f>
        <v>PVL</v>
      </c>
      <c r="AQ22" s="1629" t="str">
        <f>ExpoRisk!AQ142</f>
        <v>PVL</v>
      </c>
      <c r="AR22" s="1629" t="str">
        <f>ExpoRisk!AR142</f>
        <v>PVL</v>
      </c>
      <c r="AS22" s="1629" t="str">
        <f>ExpoRisk!AS142</f>
        <v>PVL</v>
      </c>
      <c r="AT22" s="1629" t="str">
        <f>ExpoRisk!AT142</f>
        <v>PVL</v>
      </c>
      <c r="AU22" s="1629" t="str">
        <f>ExpoRisk!AU142</f>
        <v>PVL</v>
      </c>
      <c r="AV22" s="1629" t="str">
        <f>ExpoRisk!AV142</f>
        <v>PVL</v>
      </c>
      <c r="AW22" s="1629" t="str">
        <f>ExpoRisk!AW142</f>
        <v>PVL</v>
      </c>
      <c r="AX22" s="1629" t="str">
        <f>ExpoRisk!AX142</f>
        <v>PVL</v>
      </c>
      <c r="AY22" s="1629" t="str">
        <f>ExpoRisk!AY142</f>
        <v>PVL</v>
      </c>
      <c r="AZ22" s="1630" t="str">
        <f>ExpoRisk!AZ142</f>
        <v>PVL</v>
      </c>
      <c r="BA22" s="1629" t="str">
        <f>ExpoRisk!BA142</f>
        <v>PVL</v>
      </c>
      <c r="BB22" s="1629" t="str">
        <f>ExpoRisk!BB142</f>
        <v>PVL</v>
      </c>
      <c r="BC22" s="1629" t="str">
        <f>ExpoRisk!BC142</f>
        <v>PVL</v>
      </c>
      <c r="BD22" s="2082">
        <f>ExpoRisk!BD142</f>
        <v>156.67322898811207</v>
      </c>
      <c r="BE22" s="1629">
        <f>ExpoRisk!BE142</f>
        <v>4236.0868848163436</v>
      </c>
      <c r="BF22" s="1629">
        <f>ExpoRisk!BF142</f>
        <v>8472.1737696326873</v>
      </c>
      <c r="BG22" s="1629">
        <f>ExpoRisk!BG142</f>
        <v>8.4095999999999986E-4</v>
      </c>
      <c r="BH22" s="2545">
        <f>ExpoRisk!BH142</f>
        <v>3.4900173865331361</v>
      </c>
      <c r="BI22" s="1629">
        <f>ExpoRisk!BI142</f>
        <v>1.6262141349069297</v>
      </c>
      <c r="BJ22" s="3165"/>
    </row>
    <row r="23" spans="1:62" s="3166" customFormat="1">
      <c r="B23" s="3155"/>
      <c r="C23" s="3167" t="s">
        <v>42</v>
      </c>
      <c r="D23" s="3169">
        <f>Sols!D15</f>
        <v>0.1</v>
      </c>
      <c r="E23" s="3158" t="s">
        <v>1035</v>
      </c>
      <c r="F23" s="3214" t="str">
        <f>ExpoRisk!F143</f>
        <v>Cs</v>
      </c>
      <c r="G23" s="3215" t="str">
        <f>ExpoRisk!G143</f>
        <v>mg/kg ms</v>
      </c>
      <c r="H23" s="1629" t="str">
        <f>ExpoRisk!H143</f>
        <v>PVL</v>
      </c>
      <c r="I23" s="1629" t="str">
        <f>ExpoRisk!I143</f>
        <v>PVL</v>
      </c>
      <c r="J23" s="1629" t="str">
        <f>ExpoRisk!J143</f>
        <v>PVL</v>
      </c>
      <c r="K23" s="1628">
        <f>ExpoRisk!K143</f>
        <v>9.8111999999999977</v>
      </c>
      <c r="L23" s="1629" t="str">
        <f>ExpoRisk!L143</f>
        <v>PVL</v>
      </c>
      <c r="M23" s="1629" t="str">
        <f>ExpoRisk!M143</f>
        <v>PVL</v>
      </c>
      <c r="N23" s="1629">
        <f>ExpoRisk!N143</f>
        <v>4.9055999999999989</v>
      </c>
      <c r="O23" s="1629">
        <f>ExpoRisk!O143</f>
        <v>4.9055999999999989</v>
      </c>
      <c r="P23" s="1630">
        <f>ExpoRisk!P143</f>
        <v>1.6629152542372878</v>
      </c>
      <c r="Q23" s="1629">
        <f>ExpoRisk!Q143</f>
        <v>1.6629152542372878</v>
      </c>
      <c r="R23" s="1629">
        <f>ExpoRisk!R143</f>
        <v>9.8111999999999977</v>
      </c>
      <c r="S23" s="1629">
        <f>ExpoRisk!S143</f>
        <v>0.42657391304347808</v>
      </c>
      <c r="T23" s="1629">
        <f>ExpoRisk!T143</f>
        <v>0.42657391304347808</v>
      </c>
      <c r="U23" s="1629">
        <f>ExpoRisk!U143</f>
        <v>0.2336</v>
      </c>
      <c r="V23" s="1629" t="str">
        <f>ExpoRisk!V143</f>
        <v>PVL</v>
      </c>
      <c r="W23" s="1629" t="str">
        <f>ExpoRisk!W143</f>
        <v>PVL</v>
      </c>
      <c r="X23" s="1628">
        <f>ExpoRisk!X143</f>
        <v>1.6351999999999998</v>
      </c>
      <c r="Y23" s="1629" t="str">
        <f>ExpoRisk!Y143</f>
        <v>PVL</v>
      </c>
      <c r="Z23" s="1629">
        <f>ExpoRisk!Z143</f>
        <v>3.9244799999999995</v>
      </c>
      <c r="AA23" s="1630" t="str">
        <f>ExpoRisk!AA143</f>
        <v>PVL</v>
      </c>
      <c r="AB23" s="1629" t="str">
        <f>ExpoRisk!AB143</f>
        <v>PVL</v>
      </c>
      <c r="AC23" s="1629" t="str">
        <f>ExpoRisk!AC143</f>
        <v>PVL</v>
      </c>
      <c r="AD23" s="1629" t="str">
        <f>ExpoRisk!AD143</f>
        <v>PVL</v>
      </c>
      <c r="AE23" s="1629" t="str">
        <f>ExpoRisk!AE143</f>
        <v>PVL</v>
      </c>
      <c r="AF23" s="1630" t="str">
        <f>ExpoRisk!AF143</f>
        <v>PVL</v>
      </c>
      <c r="AG23" s="1629" t="str">
        <f>ExpoRisk!AG143</f>
        <v>PVL</v>
      </c>
      <c r="AH23" s="1629" t="str">
        <f>ExpoRisk!AH143</f>
        <v>PVL</v>
      </c>
      <c r="AI23" s="1629" t="str">
        <f>ExpoRisk!AI143</f>
        <v>PVL</v>
      </c>
      <c r="AJ23" s="1629" t="str">
        <f>ExpoRisk!AJ143</f>
        <v>PVL</v>
      </c>
      <c r="AK23" s="1629" t="str">
        <f>ExpoRisk!AK143</f>
        <v>PVL</v>
      </c>
      <c r="AL23" s="1629" t="str">
        <f>ExpoRisk!AL143</f>
        <v>PVL</v>
      </c>
      <c r="AM23" s="1629" t="str">
        <f>ExpoRisk!AM143</f>
        <v>PVL</v>
      </c>
      <c r="AN23" s="1628">
        <f>ExpoRisk!AN143</f>
        <v>1.7291766399934905</v>
      </c>
      <c r="AO23" s="1629">
        <f>ExpoRisk!AO143</f>
        <v>144.0939461440594</v>
      </c>
      <c r="AP23" s="1629">
        <f>ExpoRisk!AP143</f>
        <v>101.47760316353728</v>
      </c>
      <c r="AQ23" s="1629">
        <f>ExpoRisk!AQ143</f>
        <v>205.51505551643945</v>
      </c>
      <c r="AR23" s="1629">
        <f>ExpoRisk!AR143</f>
        <v>817.33097958510382</v>
      </c>
      <c r="AS23" s="1629">
        <f>ExpoRisk!AS143</f>
        <v>65.47048768378356</v>
      </c>
      <c r="AT23" s="1629">
        <f>ExpoRisk!AT143</f>
        <v>8200.9102121685373</v>
      </c>
      <c r="AU23" s="1629">
        <f>ExpoRisk!AU143</f>
        <v>8407.3025916318384</v>
      </c>
      <c r="AV23" s="1629">
        <f>ExpoRisk!AV143</f>
        <v>549.95881674452539</v>
      </c>
      <c r="AW23" s="1629">
        <f>ExpoRisk!AW143</f>
        <v>5415.4812190603134</v>
      </c>
      <c r="AX23" s="1629">
        <f>ExpoRisk!AX143</f>
        <v>2442.7610970719029</v>
      </c>
      <c r="AY23" s="1629">
        <f>ExpoRisk!AY143</f>
        <v>3559.0762799474433</v>
      </c>
      <c r="AZ23" s="1630">
        <f>ExpoRisk!AZ143</f>
        <v>397.58816732513299</v>
      </c>
      <c r="BA23" s="1629">
        <f>ExpoRisk!BA143</f>
        <v>1718.9118740794863</v>
      </c>
      <c r="BB23" s="1629">
        <f>ExpoRisk!BB143</f>
        <v>68791.464462142219</v>
      </c>
      <c r="BC23" s="1629">
        <f>ExpoRisk!BC143</f>
        <v>28985.56449398501</v>
      </c>
      <c r="BD23" s="2082" t="str">
        <f>ExpoRisk!BD143</f>
        <v>PVL</v>
      </c>
      <c r="BE23" s="1629">
        <f>ExpoRisk!BE143</f>
        <v>69.940492529840981</v>
      </c>
      <c r="BF23" s="1629">
        <f>ExpoRisk!BF143</f>
        <v>139.88098505968196</v>
      </c>
      <c r="BG23" s="1629" t="str">
        <f>ExpoRisk!BG143</f>
        <v>PVL</v>
      </c>
      <c r="BH23" s="2545" t="str">
        <f>ExpoRisk!BH143</f>
        <v>PVL</v>
      </c>
      <c r="BI23" s="1629" t="str">
        <f>ExpoRisk!BI143</f>
        <v>PVL</v>
      </c>
      <c r="BJ23" s="3165"/>
    </row>
    <row r="24" spans="1:62" s="3166" customFormat="1" ht="25.5">
      <c r="B24" s="3155"/>
      <c r="C24" s="3156"/>
      <c r="D24" s="3157"/>
      <c r="E24" s="3158" t="s">
        <v>1251</v>
      </c>
      <c r="F24" s="3216"/>
      <c r="G24" s="2613" t="str">
        <f>'EmVap-Vol'!G73</f>
        <v>m</v>
      </c>
      <c r="H24" s="3171">
        <f>'EmVap-Vol'!H73</f>
        <v>0.21206047037998846</v>
      </c>
      <c r="I24" s="3171">
        <f>'EmVap-Vol'!I73</f>
        <v>0.21206047037998846</v>
      </c>
      <c r="J24" s="1547">
        <f>'EmVap-Vol'!J73</f>
        <v>0.70870934890412951</v>
      </c>
      <c r="K24" s="3176">
        <f>'EmVap-Vol'!K73</f>
        <v>6.8715678522199113</v>
      </c>
      <c r="L24" s="1547">
        <f>'EmVap-Vol'!L73</f>
        <v>2.3456066474980699</v>
      </c>
      <c r="M24" s="1547">
        <f>'EmVap-Vol'!M73</f>
        <v>2.3456066474980699</v>
      </c>
      <c r="N24" s="1547">
        <f>'EmVap-Vol'!N73</f>
        <v>3.5035690430159927</v>
      </c>
      <c r="O24" s="1547">
        <f>'EmVap-Vol'!O73</f>
        <v>3.5035690430159927</v>
      </c>
      <c r="P24" s="3134">
        <f>'EmVap-Vol'!P73</f>
        <v>3.4940904558934593</v>
      </c>
      <c r="Q24" s="1547">
        <f>'EmVap-Vol'!Q73</f>
        <v>3.4940904558934593</v>
      </c>
      <c r="R24" s="1547">
        <f>'EmVap-Vol'!R73</f>
        <v>8.6277644268249993</v>
      </c>
      <c r="S24" s="1547">
        <f>'EmVap-Vol'!S73</f>
        <v>2.5264009279279191</v>
      </c>
      <c r="T24" s="1547">
        <f>'EmVap-Vol'!T73</f>
        <v>2.5264009279279191</v>
      </c>
      <c r="U24" s="1547">
        <f>'EmVap-Vol'!U73</f>
        <v>4.9260063609027478</v>
      </c>
      <c r="V24" s="1547">
        <f>'EmVap-Vol'!V73</f>
        <v>3.7609526789275964</v>
      </c>
      <c r="W24" s="3192">
        <f>'EmVap-Vol'!W73</f>
        <v>3.7609526789275964</v>
      </c>
      <c r="X24" s="3176">
        <f>'EmVap-Vol'!X73</f>
        <v>2.7422961225425935</v>
      </c>
      <c r="Y24" s="1547">
        <f>'EmVap-Vol'!Y73</f>
        <v>2.1214715403027795</v>
      </c>
      <c r="Z24" s="1547">
        <f>'EmVap-Vol'!Z73</f>
        <v>1.512146373612274</v>
      </c>
      <c r="AA24" s="2080">
        <f>'EmVap-Vol'!AA73</f>
        <v>3.5084026361778968</v>
      </c>
      <c r="AB24" s="3175">
        <f>'EmVap-Vol'!AB73</f>
        <v>0.82876770055727345</v>
      </c>
      <c r="AC24" s="1547">
        <f>'EmVap-Vol'!AC73</f>
        <v>0.26811623203410911</v>
      </c>
      <c r="AD24" s="1547">
        <f>'EmVap-Vol'!AD73</f>
        <v>6.4054162908354473E-2</v>
      </c>
      <c r="AE24" s="1547">
        <f>'EmVap-Vol'!AE73</f>
        <v>7.1349674219258474E-3</v>
      </c>
      <c r="AF24" s="2080">
        <f>'EmVap-Vol'!AF73</f>
        <v>2.5509990085964551E-5</v>
      </c>
      <c r="AG24" s="3192">
        <f>'EmVap-Vol'!AG73</f>
        <v>5.7628882059556457</v>
      </c>
      <c r="AH24" s="1547">
        <f>'EmVap-Vol'!AH73</f>
        <v>4.441656589676934</v>
      </c>
      <c r="AI24" s="1547">
        <f>'EmVap-Vol'!AI73</f>
        <v>2.3941199577696501</v>
      </c>
      <c r="AJ24" s="1547">
        <f>'EmVap-Vol'!AJ73</f>
        <v>0.9471894289297107</v>
      </c>
      <c r="AK24" s="1547">
        <f>'EmVap-Vol'!AK73</f>
        <v>0.31712887708834447</v>
      </c>
      <c r="AL24" s="636">
        <f>'EmVap-Vol'!AL73</f>
        <v>2.8836657237436142E-2</v>
      </c>
      <c r="AM24" s="1547">
        <f>'EmVap-Vol'!AM73</f>
        <v>1.7947409489268984E-4</v>
      </c>
      <c r="AN24" s="3176">
        <f>'EmVap-Vol'!AN73</f>
        <v>0.17968996361102896</v>
      </c>
      <c r="AO24" s="1547">
        <f>'EmVap-Vol'!AO73</f>
        <v>8.1793702673659541E-3</v>
      </c>
      <c r="AP24" s="2550">
        <f>'EmVap-Vol'!AP73</f>
        <v>1.3290793501444798E-2</v>
      </c>
      <c r="AQ24" s="1547">
        <f>'EmVap-Vol'!AQ73</f>
        <v>5.1135258443422427E-3</v>
      </c>
      <c r="AR24" s="1547">
        <f>'EmVap-Vol'!AR73</f>
        <v>9.8564652372593042E-4</v>
      </c>
      <c r="AS24" s="1547">
        <f>'EmVap-Vol'!AS73</f>
        <v>1.2636006275708878E-3</v>
      </c>
      <c r="AT24" s="1547">
        <f>'EmVap-Vol'!AT73</f>
        <v>8.8631986534776219E-5</v>
      </c>
      <c r="AU24" s="1547">
        <f>'EmVap-Vol'!AU73</f>
        <v>8.6422170227029582E-5</v>
      </c>
      <c r="AV24" s="1547">
        <f>'EmVap-Vol'!AV73</f>
        <v>1.3086977849019465E-5</v>
      </c>
      <c r="AW24" s="1547">
        <f>'EmVap-Vol'!AW73</f>
        <v>1.3289841807262448E-5</v>
      </c>
      <c r="AX24" s="1547">
        <f>'EmVap-Vol'!AX73</f>
        <v>2.9422748513696639E-6</v>
      </c>
      <c r="AY24" s="1547">
        <f>'EmVap-Vol'!AY73</f>
        <v>2.0192740526892017E-6</v>
      </c>
      <c r="AZ24" s="1630">
        <f>'EmVap-Vol'!AZ73</f>
        <v>1.8075526094230021E-6</v>
      </c>
      <c r="BA24" s="1547">
        <f>'EmVap-Vol'!BA73</f>
        <v>4.1804552958213392E-7</v>
      </c>
      <c r="BB24" s="1547">
        <f>'EmVap-Vol'!BB73</f>
        <v>1.0446482940906776E-6</v>
      </c>
      <c r="BC24" s="1547">
        <f>'EmVap-Vol'!BC73</f>
        <v>2.4790741964819674E-7</v>
      </c>
      <c r="BD24" s="3391">
        <f>'EmVap-Vol'!BD73</f>
        <v>1.0735209907032806E-2</v>
      </c>
      <c r="BE24" s="1547">
        <f>'EmVap-Vol'!BE73</f>
        <v>9.92614201344999E-6</v>
      </c>
      <c r="BF24" s="1547">
        <f>'EmVap-Vol'!BF73</f>
        <v>9.92614201344999E-6</v>
      </c>
      <c r="BG24" s="1547">
        <f>'EmVap-Vol'!BG73</f>
        <v>3.5616762018745569</v>
      </c>
      <c r="BH24" s="629"/>
      <c r="BI24" s="530"/>
      <c r="BJ24" s="3165" t="s">
        <v>994</v>
      </c>
    </row>
    <row r="25" spans="1:62" s="3189" customFormat="1">
      <c r="A25" s="3177"/>
      <c r="B25" s="3178"/>
      <c r="C25" s="3193"/>
      <c r="D25" s="3194"/>
      <c r="E25" s="3181" t="str">
        <f>ExpoRisk!E145</f>
        <v>Teneur limite</v>
      </c>
      <c r="F25" s="3181" t="str">
        <f>ExpoRisk!F145</f>
        <v>Cs</v>
      </c>
      <c r="G25" s="3182" t="str">
        <f>ExpoRisk!G145</f>
        <v>mg/kg ms</v>
      </c>
      <c r="H25" s="3183">
        <f>ExpoRisk!H145</f>
        <v>555.19258157370484</v>
      </c>
      <c r="I25" s="3183">
        <f>ExpoRisk!I145</f>
        <v>555.19258157370484</v>
      </c>
      <c r="J25" s="3183">
        <f>ExpoRisk!J145</f>
        <v>4153.1270958274908</v>
      </c>
      <c r="K25" s="3184">
        <f>ExpoRisk!K145</f>
        <v>1.5697919999999999</v>
      </c>
      <c r="L25" s="3183">
        <f>ExpoRisk!L145</f>
        <v>2.1511535215770454</v>
      </c>
      <c r="M25" s="3183">
        <f>ExpoRisk!M145</f>
        <v>2.1511535215770454</v>
      </c>
      <c r="N25" s="3183">
        <f>ExpoRisk!N145</f>
        <v>4.9055999999999989</v>
      </c>
      <c r="O25" s="3183">
        <f>ExpoRisk!O145</f>
        <v>4.9055999999999989</v>
      </c>
      <c r="P25" s="3185">
        <f>ExpoRisk!P145</f>
        <v>0.9811200000000001</v>
      </c>
      <c r="Q25" s="3183">
        <f>ExpoRisk!Q145</f>
        <v>0.9811200000000001</v>
      </c>
      <c r="R25" s="3183">
        <f>ExpoRisk!R145</f>
        <v>9.8111999999999977</v>
      </c>
      <c r="S25" s="3183">
        <f>ExpoRisk!S145</f>
        <v>0.42657391304347808</v>
      </c>
      <c r="T25" s="3183">
        <f>ExpoRisk!T145</f>
        <v>0.42657391304347808</v>
      </c>
      <c r="U25" s="3183">
        <f>ExpoRisk!U145</f>
        <v>0.2336</v>
      </c>
      <c r="V25" s="3183">
        <f>ExpoRisk!V145</f>
        <v>28.031999999999996</v>
      </c>
      <c r="W25" s="3183">
        <f>ExpoRisk!W145</f>
        <v>28.031999999999996</v>
      </c>
      <c r="X25" s="3184">
        <f>ExpoRisk!X145</f>
        <v>0.2943962154063326</v>
      </c>
      <c r="Y25" s="3183">
        <f>ExpoRisk!Y145</f>
        <v>10.306506396441879</v>
      </c>
      <c r="Z25" s="3183">
        <f>ExpoRisk!Z145</f>
        <v>3.9244799999999995</v>
      </c>
      <c r="AA25" s="3185">
        <f>ExpoRisk!AA145</f>
        <v>19.622400000000003</v>
      </c>
      <c r="AB25" s="3183">
        <f>ExpoRisk!AB145</f>
        <v>20.294227186569373</v>
      </c>
      <c r="AC25" s="3183">
        <f>ExpoRisk!AC145</f>
        <v>62.731002417862939</v>
      </c>
      <c r="AD25" s="3183" t="str">
        <f>ExpoRisk!AD145</f>
        <v>PVL</v>
      </c>
      <c r="AE25" s="3183" t="str">
        <f>ExpoRisk!AE145</f>
        <v>PVL</v>
      </c>
      <c r="AF25" s="3185" t="str">
        <f>ExpoRisk!AF145</f>
        <v>PVL</v>
      </c>
      <c r="AG25" s="3183" t="str">
        <f>ExpoRisk!AG145</f>
        <v>PVL</v>
      </c>
      <c r="AH25" s="3183" t="str">
        <f>ExpoRisk!AH145</f>
        <v>PVL</v>
      </c>
      <c r="AI25" s="3183" t="str">
        <f>ExpoRisk!AI145</f>
        <v>PVL</v>
      </c>
      <c r="AJ25" s="3183" t="str">
        <f>ExpoRisk!AJ145</f>
        <v>PVL</v>
      </c>
      <c r="AK25" s="3183" t="str">
        <f>ExpoRisk!AK145</f>
        <v>PVL</v>
      </c>
      <c r="AL25" s="3183" t="str">
        <f>ExpoRisk!AL145</f>
        <v>PVL</v>
      </c>
      <c r="AM25" s="3183" t="str">
        <f>ExpoRisk!AM145</f>
        <v>PVL</v>
      </c>
      <c r="AN25" s="3184">
        <f>ExpoRisk!AN145</f>
        <v>1.7291766399934905</v>
      </c>
      <c r="AO25" s="3183" t="str">
        <f>ExpoRisk!AO145</f>
        <v>PVL</v>
      </c>
      <c r="AP25" s="3183" t="str">
        <f>ExpoRisk!AP145</f>
        <v>PVL</v>
      </c>
      <c r="AQ25" s="3183" t="str">
        <f>ExpoRisk!AQ145</f>
        <v>PVL</v>
      </c>
      <c r="AR25" s="3183" t="str">
        <f>ExpoRisk!AR145</f>
        <v>PVL</v>
      </c>
      <c r="AS25" s="3183" t="str">
        <f>ExpoRisk!AS145</f>
        <v>PVL</v>
      </c>
      <c r="AT25" s="3183" t="str">
        <f>ExpoRisk!AT145</f>
        <v>PVL</v>
      </c>
      <c r="AU25" s="3183" t="str">
        <f>ExpoRisk!AU145</f>
        <v>PVL</v>
      </c>
      <c r="AV25" s="3183" t="str">
        <f>ExpoRisk!AV145</f>
        <v>PVL</v>
      </c>
      <c r="AW25" s="3183" t="str">
        <f>ExpoRisk!AW145</f>
        <v>PVL</v>
      </c>
      <c r="AX25" s="3183" t="str">
        <f>ExpoRisk!AX145</f>
        <v>PVL</v>
      </c>
      <c r="AY25" s="3183" t="str">
        <f>ExpoRisk!AY145</f>
        <v>PVL</v>
      </c>
      <c r="AZ25" s="3185" t="str">
        <f>ExpoRisk!AZ145</f>
        <v>PVL</v>
      </c>
      <c r="BA25" s="3183" t="str">
        <f>ExpoRisk!BA145</f>
        <v>PVL</v>
      </c>
      <c r="BB25" s="3183" t="str">
        <f>ExpoRisk!BB145</f>
        <v>PVL</v>
      </c>
      <c r="BC25" s="3183" t="str">
        <f>ExpoRisk!BC145</f>
        <v>PVL</v>
      </c>
      <c r="BD25" s="3186">
        <f>ExpoRisk!BD145</f>
        <v>156.67322898811207</v>
      </c>
      <c r="BE25" s="3183" t="str">
        <f>ExpoRisk!BE145</f>
        <v>PVL</v>
      </c>
      <c r="BF25" s="3183" t="str">
        <f>ExpoRisk!BF145</f>
        <v>PVL</v>
      </c>
      <c r="BG25" s="3183">
        <f>ExpoRisk!BG145</f>
        <v>8.4095999999999986E-4</v>
      </c>
      <c r="BH25" s="3187">
        <f>ExpoRisk!BH145</f>
        <v>3.4900173865331361</v>
      </c>
      <c r="BI25" s="3183"/>
      <c r="BJ25" s="3188"/>
    </row>
    <row r="26" spans="1:62" s="3166" customFormat="1" ht="25.5">
      <c r="B26" s="3155"/>
      <c r="C26" s="3217" t="s">
        <v>42</v>
      </c>
      <c r="D26" s="3218">
        <v>0.6</v>
      </c>
      <c r="E26" s="3158" t="s">
        <v>1249</v>
      </c>
      <c r="F26" s="3216"/>
      <c r="G26" s="2613" t="s">
        <v>73</v>
      </c>
      <c r="H26" s="3171">
        <v>0.19505829969665237</v>
      </c>
      <c r="I26" s="3171">
        <v>0.19505829969665237</v>
      </c>
      <c r="J26" s="1547">
        <v>0.69591294721345953</v>
      </c>
      <c r="K26" s="3176">
        <v>6.4293697142065964</v>
      </c>
      <c r="L26" s="1547">
        <v>1.6288223459032261</v>
      </c>
      <c r="M26" s="1547">
        <v>1.6288223459032261</v>
      </c>
      <c r="N26" s="1547">
        <v>1.9967370342934252</v>
      </c>
      <c r="O26" s="1547">
        <v>1.9967370342934252</v>
      </c>
      <c r="P26" s="3134">
        <v>1.7536874257257073</v>
      </c>
      <c r="Q26" s="1547">
        <v>1.7536874257257073</v>
      </c>
      <c r="R26" s="1547">
        <v>6.8329478572977536</v>
      </c>
      <c r="S26" s="1547">
        <v>1.5500894211994132</v>
      </c>
      <c r="T26" s="1547">
        <v>1.5500894211994132</v>
      </c>
      <c r="U26" s="1547">
        <v>3.3356637801480655</v>
      </c>
      <c r="V26" s="1547">
        <v>2.6187372558781838</v>
      </c>
      <c r="W26" s="3128">
        <v>2.6187372558781838</v>
      </c>
      <c r="X26" s="3176">
        <v>1.7108132663022129</v>
      </c>
      <c r="Y26" s="1547">
        <v>1.0015607763063783</v>
      </c>
      <c r="Z26" s="1547">
        <v>0.58931273210227586</v>
      </c>
      <c r="AA26" s="2080">
        <v>1.4566148373466208</v>
      </c>
      <c r="AB26" s="3175">
        <v>0.27178927456388047</v>
      </c>
      <c r="AC26" s="1547">
        <v>6.580101557308432E-2</v>
      </c>
      <c r="AD26" s="1547">
        <v>1.2184903241752781E-2</v>
      </c>
      <c r="AE26" s="1547">
        <v>1.2187017527373334E-3</v>
      </c>
      <c r="AF26" s="2080">
        <v>4.2556133251492323E-6</v>
      </c>
      <c r="AG26" s="3192">
        <v>4.3111463908577514</v>
      </c>
      <c r="AH26" s="1547">
        <v>2.5493751759795549</v>
      </c>
      <c r="AI26" s="1547">
        <v>0.99877671773895638</v>
      </c>
      <c r="AJ26" s="1547">
        <v>0.30863634944000728</v>
      </c>
      <c r="AK26" s="636">
        <v>7.8263451810330592E-2</v>
      </c>
      <c r="AL26" s="2550">
        <v>5.0690576813261501E-3</v>
      </c>
      <c r="AM26" s="1547">
        <v>2.9922770908963336E-5</v>
      </c>
      <c r="AN26" s="3219">
        <v>4.3310659916819594E-2</v>
      </c>
      <c r="AO26" s="1547">
        <v>1.4391632789638731E-3</v>
      </c>
      <c r="AP26" s="2550">
        <v>2.3751600213518798E-3</v>
      </c>
      <c r="AQ26" s="1547">
        <v>8.8481891785924249E-4</v>
      </c>
      <c r="AR26" s="1547">
        <v>1.6681489970851726E-4</v>
      </c>
      <c r="AS26" s="1547">
        <v>2.1413754364527082E-4</v>
      </c>
      <c r="AT26" s="1547">
        <v>1.4833285784748851E-5</v>
      </c>
      <c r="AU26" s="1547">
        <v>1.4468073762402556E-5</v>
      </c>
      <c r="AV26" s="1547">
        <v>2.1835855650298441E-6</v>
      </c>
      <c r="AW26" s="1547">
        <v>2.2180432342477907E-6</v>
      </c>
      <c r="AX26" s="1547">
        <v>4.9103692867369375E-7</v>
      </c>
      <c r="AY26" s="1547">
        <v>3.3685536493521795E-7</v>
      </c>
      <c r="AZ26" s="1630">
        <v>3.0151480201467962E-7</v>
      </c>
      <c r="BA26" s="1547">
        <v>6.9689797765892791E-8</v>
      </c>
      <c r="BB26" s="1547">
        <v>1.7417046732637331E-7</v>
      </c>
      <c r="BC26" s="1547">
        <v>4.132365172271335E-8</v>
      </c>
      <c r="BD26" s="3391">
        <v>7.6069125371446833E-3</v>
      </c>
      <c r="BE26" s="1547">
        <v>1.6555085367020439E-6</v>
      </c>
      <c r="BF26" s="1547">
        <v>1.6555085367020439E-6</v>
      </c>
      <c r="BG26" s="1547">
        <v>3.5616762018745569</v>
      </c>
      <c r="BH26" s="629"/>
      <c r="BI26" s="530"/>
      <c r="BJ26" s="3165" t="s">
        <v>994</v>
      </c>
    </row>
    <row r="27" spans="1:62" s="3232" customFormat="1" ht="13.5" thickBot="1">
      <c r="A27" s="3220"/>
      <c r="B27" s="3221"/>
      <c r="C27" s="3222"/>
      <c r="D27" s="3223"/>
      <c r="E27" s="3224" t="s">
        <v>499</v>
      </c>
      <c r="F27" s="3224" t="s">
        <v>19</v>
      </c>
      <c r="G27" s="3225" t="s">
        <v>20</v>
      </c>
      <c r="H27" s="3226">
        <v>603.58569813792235</v>
      </c>
      <c r="I27" s="3226">
        <v>603.58569813792235</v>
      </c>
      <c r="J27" s="3226">
        <v>4229.494524833397</v>
      </c>
      <c r="K27" s="3227">
        <v>1.5697920000000003</v>
      </c>
      <c r="L27" s="3226">
        <v>3.0977964003815219</v>
      </c>
      <c r="M27" s="3226">
        <v>3.0977964003815219</v>
      </c>
      <c r="N27" s="3226">
        <v>4.9055999999999989</v>
      </c>
      <c r="O27" s="3226">
        <v>4.9055999999999989</v>
      </c>
      <c r="P27" s="3228">
        <v>1.6629152542372878</v>
      </c>
      <c r="Q27" s="3226">
        <v>1.6629152542372878</v>
      </c>
      <c r="R27" s="3226">
        <v>9.8111999999999995</v>
      </c>
      <c r="S27" s="3226">
        <v>0.42657391304347819</v>
      </c>
      <c r="T27" s="3226">
        <v>0.42657391304347819</v>
      </c>
      <c r="U27" s="3226">
        <v>0.23359999999999992</v>
      </c>
      <c r="V27" s="3226">
        <v>32.113187304771714</v>
      </c>
      <c r="W27" s="3226">
        <v>32.113187304771714</v>
      </c>
      <c r="X27" s="3227">
        <v>0.47189346488115663</v>
      </c>
      <c r="Y27" s="3226">
        <v>21.830886869027605</v>
      </c>
      <c r="Z27" s="3226">
        <v>5.0444566321347493</v>
      </c>
      <c r="AA27" s="3228">
        <v>40.413703396865628</v>
      </c>
      <c r="AB27" s="3226">
        <v>61.883236661889946</v>
      </c>
      <c r="AC27" s="3226">
        <v>255.60699714914182</v>
      </c>
      <c r="AD27" s="3226" t="s">
        <v>498</v>
      </c>
      <c r="AE27" s="3226" t="s">
        <v>498</v>
      </c>
      <c r="AF27" s="3228" t="s">
        <v>498</v>
      </c>
      <c r="AG27" s="3226" t="s">
        <v>498</v>
      </c>
      <c r="AH27" s="3226" t="s">
        <v>498</v>
      </c>
      <c r="AI27" s="3226">
        <v>84.198999142048109</v>
      </c>
      <c r="AJ27" s="3226" t="s">
        <v>498</v>
      </c>
      <c r="AK27" s="3226" t="s">
        <v>498</v>
      </c>
      <c r="AL27" s="3226" t="s">
        <v>498</v>
      </c>
      <c r="AM27" s="3226" t="s">
        <v>498</v>
      </c>
      <c r="AN27" s="3227">
        <v>5.4187052889487397</v>
      </c>
      <c r="AO27" s="3226" t="s">
        <v>498</v>
      </c>
      <c r="AP27" s="3226" t="s">
        <v>498</v>
      </c>
      <c r="AQ27" s="3226" t="s">
        <v>498</v>
      </c>
      <c r="AR27" s="3226" t="s">
        <v>498</v>
      </c>
      <c r="AS27" s="3226" t="s">
        <v>498</v>
      </c>
      <c r="AT27" s="3226" t="s">
        <v>498</v>
      </c>
      <c r="AU27" s="3226" t="s">
        <v>498</v>
      </c>
      <c r="AV27" s="3226" t="s">
        <v>498</v>
      </c>
      <c r="AW27" s="3226" t="s">
        <v>498</v>
      </c>
      <c r="AX27" s="3226" t="s">
        <v>498</v>
      </c>
      <c r="AY27" s="3226" t="s">
        <v>498</v>
      </c>
      <c r="AZ27" s="3228" t="s">
        <v>498</v>
      </c>
      <c r="BA27" s="3226" t="s">
        <v>498</v>
      </c>
      <c r="BB27" s="3226" t="s">
        <v>498</v>
      </c>
      <c r="BC27" s="3226" t="s">
        <v>498</v>
      </c>
      <c r="BD27" s="3229">
        <v>221.10415911674497</v>
      </c>
      <c r="BE27" s="3226" t="s">
        <v>498</v>
      </c>
      <c r="BF27" s="3226" t="s">
        <v>498</v>
      </c>
      <c r="BG27" s="3226">
        <v>8.4095999999999986E-4</v>
      </c>
      <c r="BH27" s="3230">
        <v>3.6258253040753594</v>
      </c>
      <c r="BI27" s="3226"/>
      <c r="BJ27" s="3231"/>
    </row>
    <row r="28" spans="1:62" s="2137" customFormat="1" ht="13.5" hidden="1" thickBot="1">
      <c r="B28" s="3233"/>
      <c r="C28" s="2241"/>
      <c r="D28" s="3234"/>
      <c r="E28" s="3235" t="s">
        <v>626</v>
      </c>
      <c r="F28" s="3235"/>
      <c r="G28" s="3236"/>
      <c r="H28" s="499"/>
      <c r="I28" s="499"/>
      <c r="J28" s="499"/>
      <c r="K28" s="498"/>
      <c r="L28" s="499"/>
      <c r="M28" s="499"/>
      <c r="N28" s="499"/>
      <c r="O28" s="499"/>
      <c r="P28" s="501"/>
      <c r="Q28" s="499"/>
      <c r="R28" s="499"/>
      <c r="S28" s="499"/>
      <c r="T28" s="499"/>
      <c r="U28" s="499"/>
      <c r="V28" s="499"/>
      <c r="W28" s="499"/>
      <c r="X28" s="498"/>
      <c r="Y28" s="499"/>
      <c r="Z28" s="499"/>
      <c r="AA28" s="501"/>
      <c r="AB28" s="499"/>
      <c r="AC28" s="499"/>
      <c r="AD28" s="499"/>
      <c r="AE28" s="499"/>
      <c r="AF28" s="501"/>
      <c r="AG28" s="499"/>
      <c r="AH28" s="499"/>
      <c r="AI28" s="499"/>
      <c r="AJ28" s="499"/>
      <c r="AK28" s="499"/>
      <c r="AL28" s="499"/>
      <c r="AM28" s="499"/>
      <c r="AN28" s="498"/>
      <c r="AO28" s="499"/>
      <c r="AP28" s="499"/>
      <c r="AQ28" s="499"/>
      <c r="AR28" s="499"/>
      <c r="AS28" s="499"/>
      <c r="AT28" s="499"/>
      <c r="AU28" s="499"/>
      <c r="AV28" s="499"/>
      <c r="AW28" s="499"/>
      <c r="AX28" s="499"/>
      <c r="AY28" s="499"/>
      <c r="AZ28" s="501"/>
      <c r="BA28" s="499"/>
      <c r="BB28" s="499"/>
      <c r="BC28" s="499"/>
      <c r="BD28" s="2083"/>
      <c r="BE28" s="499"/>
      <c r="BF28" s="499"/>
      <c r="BG28" s="499"/>
      <c r="BH28" s="2546"/>
      <c r="BI28" s="499"/>
      <c r="BJ28" s="3237"/>
    </row>
    <row r="29" spans="1:62" s="3166" customFormat="1" ht="26.25" hidden="1" thickBot="1">
      <c r="B29" s="3155"/>
      <c r="C29" s="240"/>
      <c r="D29" s="3238"/>
      <c r="E29" s="3239" t="s">
        <v>1012</v>
      </c>
      <c r="F29" s="3216"/>
      <c r="G29" s="3240" t="str">
        <f>'EmVap-Vol'!G429</f>
        <v>m</v>
      </c>
      <c r="H29" s="637">
        <f>'EmVap-Vol'!H429</f>
        <v>0.30754147396296677</v>
      </c>
      <c r="I29" s="637">
        <f>'EmVap-Vol'!I429</f>
        <v>0.30754147396296677</v>
      </c>
      <c r="J29" s="639">
        <f>'EmVap-Vol'!J429</f>
        <v>0.72168153964702897</v>
      </c>
      <c r="K29" s="638">
        <f>'EmVap-Vol'!K429</f>
        <v>5.6542505283598699</v>
      </c>
      <c r="L29" s="639">
        <f>'EmVap-Vol'!L429</f>
        <v>2.0383960443296685</v>
      </c>
      <c r="M29" s="639">
        <f>'EmVap-Vol'!M429</f>
        <v>2.0383960443296685</v>
      </c>
      <c r="N29" s="639">
        <f>'EmVap-Vol'!N429</f>
        <v>2.9645656843956778</v>
      </c>
      <c r="O29" s="639">
        <f>'EmVap-Vol'!O429</f>
        <v>2.9645656843956778</v>
      </c>
      <c r="P29" s="640">
        <f>'EmVap-Vol'!P429</f>
        <v>2.9569805050510607</v>
      </c>
      <c r="Q29" s="639">
        <f>'EmVap-Vol'!Q429</f>
        <v>2.9569805050510607</v>
      </c>
      <c r="R29" s="639">
        <f>'EmVap-Vol'!R429</f>
        <v>7.0560297294301044</v>
      </c>
      <c r="S29" s="639">
        <f>'EmVap-Vol'!S429</f>
        <v>2.1831123771980412</v>
      </c>
      <c r="T29" s="639">
        <f>'EmVap-Vol'!T429</f>
        <v>2.1831123771980412</v>
      </c>
      <c r="U29" s="639">
        <f>'EmVap-Vol'!U429</f>
        <v>4.1009109661294989</v>
      </c>
      <c r="V29" s="639">
        <f>'EmVap-Vol'!V429</f>
        <v>3.1702406330902466</v>
      </c>
      <c r="W29" s="639">
        <f>'EmVap-Vol'!W429</f>
        <v>3.1702406330902466</v>
      </c>
      <c r="X29" s="638">
        <f>'EmVap-Vol'!X429</f>
        <v>2.3558596379914278</v>
      </c>
      <c r="Y29" s="639">
        <f>'EmVap-Vol'!Y429</f>
        <v>1.8587934952687786</v>
      </c>
      <c r="Z29" s="639">
        <f>'EmVap-Vol'!Z429</f>
        <v>1.369726484751393</v>
      </c>
      <c r="AA29" s="640">
        <f>'EmVap-Vol'!AA429</f>
        <v>2.9684489409513453</v>
      </c>
      <c r="AB29" s="639">
        <f>'EmVap-Vol'!AB429</f>
        <v>0.81712464889936798</v>
      </c>
      <c r="AC29" s="639">
        <f>'EmVap-Vol'!AC429</f>
        <v>0.34688384273828998</v>
      </c>
      <c r="AD29" s="639">
        <f>'EmVap-Vol'!AD429</f>
        <v>0.14295414707433193</v>
      </c>
      <c r="AE29" s="639">
        <f>'EmVap-Vol'!AE429</f>
        <v>4.4982136124226427E-2</v>
      </c>
      <c r="AF29" s="640">
        <f>'EmVap-Vol'!AF429</f>
        <v>2.7517201302782331E-3</v>
      </c>
      <c r="AG29" s="639">
        <f>'EmVap-Vol'!AG429</f>
        <v>4.7691538965459968</v>
      </c>
      <c r="AH29" s="639">
        <f>'EmVap-Vol'!AH429</f>
        <v>3.7140607421017089</v>
      </c>
      <c r="AI29" s="639">
        <f>'EmVap-Vol'!AI429</f>
        <v>2.0771534284805124</v>
      </c>
      <c r="AJ29" s="639">
        <f>'EmVap-Vol'!AJ429</f>
        <v>0.91349886885326237</v>
      </c>
      <c r="AK29" s="639">
        <f>'EmVap-Vol'!AK429</f>
        <v>0.39011456383072907</v>
      </c>
      <c r="AL29" s="639">
        <f>'EmVap-Vol'!AL429</f>
        <v>9.2445530247866919E-2</v>
      </c>
      <c r="AM29" s="639">
        <f>'EmVap-Vol'!AM429</f>
        <v>7.0650947574505433E-3</v>
      </c>
      <c r="AN29" s="638">
        <f>'EmVap-Vol'!AN429</f>
        <v>0.2666203002811372</v>
      </c>
      <c r="AO29" s="639">
        <f>'EmVap-Vol'!AO429</f>
        <v>4.8463822636424223E-2</v>
      </c>
      <c r="AP29" s="639">
        <f>'EmVap-Vol'!AP429</f>
        <v>6.1997692707558519E-2</v>
      </c>
      <c r="AQ29" s="639">
        <f>'EmVap-Vol'!AQ429</f>
        <v>3.8205159445334549E-2</v>
      </c>
      <c r="AR29" s="639">
        <f>'EmVap-Vol'!AR429</f>
        <v>1.6865739723645492E-2</v>
      </c>
      <c r="AS29" s="639">
        <f>'EmVap-Vol'!AS429</f>
        <v>1.9044225056281196E-2</v>
      </c>
      <c r="AT29" s="639">
        <f>'EmVap-Vol'!AT429</f>
        <v>5.2165100569156395E-3</v>
      </c>
      <c r="AU29" s="639">
        <f>'EmVap-Vol'!AU429</f>
        <v>5.1774558654536828E-3</v>
      </c>
      <c r="AV29" s="639">
        <f>'EmVap-Vol'!AV429</f>
        <v>2.0641012232251606E-3</v>
      </c>
      <c r="AW29" s="639">
        <f>'EmVap-Vol'!AW429</f>
        <v>2.1152072677703237E-3</v>
      </c>
      <c r="AX29" s="639">
        <f>'EmVap-Vol'!AX429</f>
        <v>1.2286390840402697E-3</v>
      </c>
      <c r="AY29" s="639">
        <f>'EmVap-Vol'!AY429</f>
        <v>1.0178413501733478E-3</v>
      </c>
      <c r="AZ29" s="1617">
        <f>'EmVap-Vol'!AZ429</f>
        <v>9.7004184367048541E-4</v>
      </c>
      <c r="BA29" s="639">
        <f>'EmVap-Vol'!BA429</f>
        <v>4.6969698057441488E-4</v>
      </c>
      <c r="BB29" s="639">
        <f>'EmVap-Vol'!BB429</f>
        <v>6.8129401773643747E-4</v>
      </c>
      <c r="BC29" s="639">
        <f>'EmVap-Vol'!BC429</f>
        <v>3.6679461732386974E-4</v>
      </c>
      <c r="BD29" s="2084">
        <f>'EmVap-Vol'!BD429</f>
        <v>7.3044714877994868E-2</v>
      </c>
      <c r="BE29" s="639">
        <f>'EmVap-Vol'!BE429</f>
        <v>1.7617099422674669E-3</v>
      </c>
      <c r="BF29" s="639">
        <f>'EmVap-Vol'!BF429</f>
        <v>1.7617099422674669E-3</v>
      </c>
      <c r="BG29" s="2547">
        <f>'EmVap-Vol'!BG429</f>
        <v>3.0110406758987889</v>
      </c>
      <c r="BH29" s="629"/>
      <c r="BI29" s="530"/>
      <c r="BJ29" s="3165" t="s">
        <v>994</v>
      </c>
    </row>
    <row r="30" spans="1:62" ht="13.5" hidden="1" thickBot="1">
      <c r="A30" s="3241"/>
      <c r="B30" s="2156"/>
      <c r="C30" s="240" t="s">
        <v>162</v>
      </c>
      <c r="D30" s="3242" t="e">
        <f>#REF!</f>
        <v>#REF!</v>
      </c>
      <c r="E30" s="2153" t="s">
        <v>305</v>
      </c>
      <c r="F30" s="2153" t="str">
        <f>F25</f>
        <v>Cs</v>
      </c>
      <c r="G30" s="2154" t="str">
        <f>G25</f>
        <v>mg/kg ms</v>
      </c>
      <c r="H30" s="2155">
        <f>ExpoRisk!H213</f>
        <v>3572.6658096956917</v>
      </c>
      <c r="I30" s="2155">
        <f>ExpoRisk!I213</f>
        <v>3572.6658096956917</v>
      </c>
      <c r="J30" s="2155">
        <f>ExpoRisk!J213</f>
        <v>38061.902956125879</v>
      </c>
      <c r="K30" s="3243">
        <f>ExpoRisk!K213</f>
        <v>14.649905454545456</v>
      </c>
      <c r="L30" s="2155">
        <f>ExpoRisk!L213</f>
        <v>23.100997448053402</v>
      </c>
      <c r="M30" s="2155">
        <f>ExpoRisk!M213</f>
        <v>23.100997448053402</v>
      </c>
      <c r="N30" s="2155">
        <f>ExpoRisk!N213</f>
        <v>52.946464823993082</v>
      </c>
      <c r="O30" s="2155">
        <f>ExpoRisk!O213</f>
        <v>52.946464823993082</v>
      </c>
      <c r="P30" s="3022">
        <f>ExpoRisk!P213</f>
        <v>9.2893993316328647</v>
      </c>
      <c r="Q30" s="2155">
        <f>ExpoRisk!Q213</f>
        <v>9.2893993316328647</v>
      </c>
      <c r="R30" s="2155">
        <f>ExpoRisk!R213</f>
        <v>104.64218181818184</v>
      </c>
      <c r="S30" s="2155">
        <f>ExpoRisk!S213</f>
        <v>22.648138238559238</v>
      </c>
      <c r="T30" s="2155">
        <f>ExpoRisk!T213</f>
        <v>22.648138238559238</v>
      </c>
      <c r="U30" s="2155">
        <f>ExpoRisk!U213</f>
        <v>9.9410072727272745</v>
      </c>
      <c r="V30" s="2155">
        <f>ExpoRisk!V213</f>
        <v>261.60545454545451</v>
      </c>
      <c r="W30" s="2155">
        <f>ExpoRisk!W213</f>
        <v>261.60545454545451</v>
      </c>
      <c r="X30" s="3243">
        <f>ExpoRisk!X213</f>
        <v>3.1980840324310131</v>
      </c>
      <c r="Y30" s="2155">
        <f>ExpoRisk!Y213</f>
        <v>109.77672079487719</v>
      </c>
      <c r="Z30" s="2155">
        <f>ExpoRisk!Z213</f>
        <v>151.83785863743765</v>
      </c>
      <c r="AA30" s="3022">
        <f>ExpoRisk!AA213</f>
        <v>185.07020517233119</v>
      </c>
      <c r="AB30" s="2155">
        <f>ExpoRisk!AB213</f>
        <v>192.092201524817</v>
      </c>
      <c r="AC30" s="2155">
        <f>ExpoRisk!AC213</f>
        <v>452.49519691724385</v>
      </c>
      <c r="AD30" s="2155">
        <f>ExpoRisk!AD213</f>
        <v>1097.9973364861983</v>
      </c>
      <c r="AE30" s="2155" t="str">
        <f>ExpoRisk!AE213</f>
        <v>PVL</v>
      </c>
      <c r="AF30" s="3022" t="str">
        <f>ExpoRisk!AF213</f>
        <v>PVL</v>
      </c>
      <c r="AG30" s="2155">
        <f>ExpoRisk!AG213</f>
        <v>4813.5403636363644</v>
      </c>
      <c r="AH30" s="2155">
        <f>ExpoRisk!AH213</f>
        <v>4813.5403636363626</v>
      </c>
      <c r="AI30" s="2155">
        <f>ExpoRisk!AI213</f>
        <v>377.83264003298774</v>
      </c>
      <c r="AJ30" s="2155">
        <f>ExpoRisk!AJ213</f>
        <v>859.13227743955849</v>
      </c>
      <c r="AK30" s="2155">
        <f>ExpoRisk!AK213</f>
        <v>2011.7586893702742</v>
      </c>
      <c r="AL30" s="2155" t="str">
        <f>ExpoRisk!AL213</f>
        <v>PVL</v>
      </c>
      <c r="AM30" s="2155" t="str">
        <f>ExpoRisk!AM213</f>
        <v>PVL</v>
      </c>
      <c r="AN30" s="3243">
        <f>ExpoRisk!AN213</f>
        <v>61.815036660693629</v>
      </c>
      <c r="AO30" s="2155" t="str">
        <f>ExpoRisk!AO213</f>
        <v>PVL</v>
      </c>
      <c r="AP30" s="2155" t="str">
        <f>ExpoRisk!AP213</f>
        <v>PVL</v>
      </c>
      <c r="AQ30" s="2155" t="str">
        <f>ExpoRisk!AQ213</f>
        <v>PVL</v>
      </c>
      <c r="AR30" s="2155" t="str">
        <f>ExpoRisk!AR213</f>
        <v>PVL</v>
      </c>
      <c r="AS30" s="2155" t="str">
        <f>ExpoRisk!AS213</f>
        <v>PVL</v>
      </c>
      <c r="AT30" s="2155" t="str">
        <f>ExpoRisk!AT213</f>
        <v>PVL</v>
      </c>
      <c r="AU30" s="2155" t="str">
        <f>ExpoRisk!AU213</f>
        <v>PVL</v>
      </c>
      <c r="AV30" s="2155" t="str">
        <f>ExpoRisk!AV213</f>
        <v>PVL</v>
      </c>
      <c r="AW30" s="2155" t="str">
        <f>ExpoRisk!AW213</f>
        <v>PVL</v>
      </c>
      <c r="AX30" s="2155" t="str">
        <f>ExpoRisk!AX213</f>
        <v>PVL</v>
      </c>
      <c r="AY30" s="2155" t="str">
        <f>ExpoRisk!AY213</f>
        <v>PVL</v>
      </c>
      <c r="AZ30" s="3022" t="str">
        <f>ExpoRisk!AZ213</f>
        <v>PVL</v>
      </c>
      <c r="BA30" s="2155" t="str">
        <f>ExpoRisk!BA213</f>
        <v>PVL</v>
      </c>
      <c r="BB30" s="2155" t="str">
        <f>ExpoRisk!BB213</f>
        <v>PVL</v>
      </c>
      <c r="BC30" s="2155" t="str">
        <f>ExpoRisk!BC213</f>
        <v>PVL</v>
      </c>
      <c r="BD30" s="3244">
        <f>ExpoRisk!BD213</f>
        <v>214.88655680215246</v>
      </c>
      <c r="BE30" s="2155">
        <f>ExpoRisk!BE213</f>
        <v>222.74278665483376</v>
      </c>
      <c r="BF30" s="2155">
        <f>ExpoRisk!BF213</f>
        <v>445.48557330966753</v>
      </c>
      <c r="BG30" s="3245">
        <v>1.4E-2</v>
      </c>
      <c r="BH30" s="3246">
        <f>ExpoRisk!BH213</f>
        <v>4.0905688492945949</v>
      </c>
      <c r="BI30" s="2155"/>
    </row>
    <row r="31" spans="1:62" ht="13.5" hidden="1" thickBot="1">
      <c r="A31" s="3241"/>
      <c r="B31" s="2156"/>
      <c r="C31" s="240" t="s">
        <v>42</v>
      </c>
      <c r="D31" s="3247" t="e">
        <f>#REF!</f>
        <v>#REF!</v>
      </c>
      <c r="E31" s="2153" t="s">
        <v>306</v>
      </c>
      <c r="F31" s="2153" t="str">
        <f>F30</f>
        <v>Cs</v>
      </c>
      <c r="G31" s="2154" t="str">
        <f>G30</f>
        <v>mg/kg ms</v>
      </c>
      <c r="H31" s="2155" t="str">
        <f>ExpoRisk!H214</f>
        <v>PVL</v>
      </c>
      <c r="I31" s="2155" t="str">
        <f>ExpoRisk!I214</f>
        <v>PVL</v>
      </c>
      <c r="J31" s="2155" t="str">
        <f>ExpoRisk!J214</f>
        <v>PVL</v>
      </c>
      <c r="K31" s="3243">
        <f>ExpoRisk!K214</f>
        <v>91.561909090909097</v>
      </c>
      <c r="L31" s="2155" t="str">
        <f>ExpoRisk!L214</f>
        <v>PVL</v>
      </c>
      <c r="M31" s="2155" t="str">
        <f>ExpoRisk!M214</f>
        <v>PVL</v>
      </c>
      <c r="N31" s="2155">
        <f>ExpoRisk!N214</f>
        <v>45.780954545454541</v>
      </c>
      <c r="O31" s="2155">
        <f>ExpoRisk!O214</f>
        <v>45.780954545454541</v>
      </c>
      <c r="P31" s="3022">
        <f>ExpoRisk!P214</f>
        <v>15.518967642526961</v>
      </c>
      <c r="Q31" s="2155">
        <f>ExpoRisk!Q214</f>
        <v>15.518967642526961</v>
      </c>
      <c r="R31" s="2155">
        <f>ExpoRisk!R214</f>
        <v>91.561909090909097</v>
      </c>
      <c r="S31" s="2155">
        <f>ExpoRisk!S214</f>
        <v>3.9809525691699599</v>
      </c>
      <c r="T31" s="2155">
        <f>ExpoRisk!T214</f>
        <v>3.9809525691699599</v>
      </c>
      <c r="U31" s="2155">
        <f>ExpoRisk!U214</f>
        <v>2.1800454545454544</v>
      </c>
      <c r="V31" s="2155" t="str">
        <f>ExpoRisk!V214</f>
        <v>PVL</v>
      </c>
      <c r="W31" s="2155" t="str">
        <f>ExpoRisk!W214</f>
        <v>PVL</v>
      </c>
      <c r="X31" s="3243">
        <f>ExpoRisk!X214</f>
        <v>15.260318181818182</v>
      </c>
      <c r="Y31" s="2155" t="str">
        <f>ExpoRisk!Y214</f>
        <v>PVL</v>
      </c>
      <c r="Z31" s="2155">
        <f>ExpoRisk!Z214</f>
        <v>36.624763636363639</v>
      </c>
      <c r="AA31" s="3022" t="str">
        <f>ExpoRisk!AA214</f>
        <v>PVL</v>
      </c>
      <c r="AB31" s="2155" t="str">
        <f>ExpoRisk!AB214</f>
        <v>PVL</v>
      </c>
      <c r="AC31" s="2155" t="str">
        <f>ExpoRisk!AC214</f>
        <v>PVL</v>
      </c>
      <c r="AD31" s="2155" t="str">
        <f>ExpoRisk!AD214</f>
        <v>PVL</v>
      </c>
      <c r="AE31" s="2155" t="str">
        <f>ExpoRisk!AE214</f>
        <v>PVL</v>
      </c>
      <c r="AF31" s="3022" t="str">
        <f>ExpoRisk!AF214</f>
        <v>PVL</v>
      </c>
      <c r="AG31" s="2155" t="str">
        <f>ExpoRisk!AG214</f>
        <v>PVL</v>
      </c>
      <c r="AH31" s="2155" t="str">
        <f>ExpoRisk!AH214</f>
        <v>PVL</v>
      </c>
      <c r="AI31" s="2155" t="str">
        <f>ExpoRisk!AI214</f>
        <v>PVL</v>
      </c>
      <c r="AJ31" s="2155" t="str">
        <f>ExpoRisk!AJ214</f>
        <v>PVL</v>
      </c>
      <c r="AK31" s="2155" t="str">
        <f>ExpoRisk!AK214</f>
        <v>PVL</v>
      </c>
      <c r="AL31" s="2155" t="str">
        <f>ExpoRisk!AL214</f>
        <v>PVL</v>
      </c>
      <c r="AM31" s="2155" t="str">
        <f>ExpoRisk!AM214</f>
        <v>PVL</v>
      </c>
      <c r="AN31" s="3243">
        <f>ExpoRisk!AN214</f>
        <v>12.676022110965874</v>
      </c>
      <c r="AO31" s="2155">
        <f>ExpoRisk!AO214</f>
        <v>814.69630491006035</v>
      </c>
      <c r="AP31" s="2155">
        <f>ExpoRisk!AP214</f>
        <v>636.8510746029375</v>
      </c>
      <c r="AQ31" s="2155">
        <f>ExpoRisk!AQ214</f>
        <v>1033.454585635367</v>
      </c>
      <c r="AR31" s="2155">
        <f>ExpoRisk!AR214</f>
        <v>2341.0356065412543</v>
      </c>
      <c r="AS31" s="2155">
        <f>ExpoRisk!AS214</f>
        <v>207.32425240211546</v>
      </c>
      <c r="AT31" s="2155">
        <f>ExpoRisk!AT214</f>
        <v>7568.910400425184</v>
      </c>
      <c r="AU31" s="2155">
        <f>ExpoRisk!AU214</f>
        <v>7626.0036299221192</v>
      </c>
      <c r="AV31" s="2155">
        <f>ExpoRisk!AV214</f>
        <v>191.28566360722678</v>
      </c>
      <c r="AW31" s="2155">
        <f>ExpoRisk!AW214</f>
        <v>1866.6396350524715</v>
      </c>
      <c r="AX31" s="2155">
        <f>ExpoRisk!AX214</f>
        <v>321.35797840545695</v>
      </c>
      <c r="AY31" s="2155">
        <f>ExpoRisk!AY214</f>
        <v>387.91209668370192</v>
      </c>
      <c r="AZ31" s="3022">
        <f>ExpoRisk!AZ214</f>
        <v>40.702674303525676</v>
      </c>
      <c r="BA31" s="2155">
        <f>ExpoRisk!BA214</f>
        <v>84.061211497304782</v>
      </c>
      <c r="BB31" s="2155">
        <f>ExpoRisk!BB214</f>
        <v>5795.3388985995298</v>
      </c>
      <c r="BC31" s="2155">
        <f>ExpoRisk!BC214</f>
        <v>1076.4415659035874</v>
      </c>
      <c r="BD31" s="3244" t="str">
        <f>ExpoRisk!BD214</f>
        <v>PVL</v>
      </c>
      <c r="BE31" s="2155">
        <f>ExpoRisk!BE214</f>
        <v>112.05958562308237</v>
      </c>
      <c r="BF31" s="2155">
        <f>ExpoRisk!BF214</f>
        <v>224.11917124616474</v>
      </c>
      <c r="BG31" s="2155" t="str">
        <f>ExpoRisk!BG214</f>
        <v>PVL</v>
      </c>
      <c r="BH31" s="3246" t="str">
        <f>ExpoRisk!BH214</f>
        <v>PVL</v>
      </c>
      <c r="BI31" s="2155"/>
    </row>
    <row r="32" spans="1:62" ht="26.25" hidden="1" thickBot="1">
      <c r="A32" s="2275"/>
      <c r="B32" s="2156"/>
      <c r="C32" s="2149"/>
      <c r="D32" s="3248"/>
      <c r="E32" s="2153" t="s">
        <v>493</v>
      </c>
      <c r="F32" s="2153" t="str">
        <f>F31</f>
        <v>Cs</v>
      </c>
      <c r="G32" s="2154" t="str">
        <f>G31</f>
        <v>mg/kg ms</v>
      </c>
      <c r="H32" s="2155">
        <f>ExpoRisk!H215</f>
        <v>3572.6658096956917</v>
      </c>
      <c r="I32" s="2155">
        <f>ExpoRisk!I215</f>
        <v>3572.6658096956917</v>
      </c>
      <c r="J32" s="2155">
        <f>ExpoRisk!J215</f>
        <v>38061.902956125879</v>
      </c>
      <c r="K32" s="3243">
        <f>ExpoRisk!K215</f>
        <v>14.649905454545456</v>
      </c>
      <c r="L32" s="2155">
        <f>ExpoRisk!L215</f>
        <v>23.100997448053402</v>
      </c>
      <c r="M32" s="2155">
        <f>ExpoRisk!M215</f>
        <v>23.100997448053402</v>
      </c>
      <c r="N32" s="2155">
        <f>ExpoRisk!N215</f>
        <v>45.780954545454541</v>
      </c>
      <c r="O32" s="2155">
        <f>ExpoRisk!O215</f>
        <v>45.780954545454541</v>
      </c>
      <c r="P32" s="3022">
        <f>ExpoRisk!P215</f>
        <v>9.2893993316328647</v>
      </c>
      <c r="Q32" s="2155">
        <f>ExpoRisk!Q215</f>
        <v>9.2893993316328647</v>
      </c>
      <c r="R32" s="2155">
        <f>ExpoRisk!R215</f>
        <v>91.561909090909097</v>
      </c>
      <c r="S32" s="2155">
        <f>ExpoRisk!S215</f>
        <v>3.9809525691699599</v>
      </c>
      <c r="T32" s="2155">
        <f>ExpoRisk!T215</f>
        <v>3.9809525691699599</v>
      </c>
      <c r="U32" s="2155">
        <f>ExpoRisk!U215</f>
        <v>2.1800454545454544</v>
      </c>
      <c r="V32" s="2155">
        <f>ExpoRisk!V215</f>
        <v>261.60545454545451</v>
      </c>
      <c r="W32" s="2155">
        <f>ExpoRisk!W215</f>
        <v>261.60545454545451</v>
      </c>
      <c r="X32" s="3243">
        <f>ExpoRisk!X215</f>
        <v>3.1980840324310131</v>
      </c>
      <c r="Y32" s="2155">
        <f>ExpoRisk!Y215</f>
        <v>109.77672079487719</v>
      </c>
      <c r="Z32" s="2155">
        <f>ExpoRisk!Z215</f>
        <v>36.624763636363639</v>
      </c>
      <c r="AA32" s="3022">
        <f>ExpoRisk!AA215</f>
        <v>185.07020517233119</v>
      </c>
      <c r="AB32" s="2155">
        <f>ExpoRisk!AB215</f>
        <v>192.092201524817</v>
      </c>
      <c r="AC32" s="2155">
        <f>ExpoRisk!AC215</f>
        <v>452.49519691724385</v>
      </c>
      <c r="AD32" s="2155">
        <f>ExpoRisk!AD215</f>
        <v>1097.9973364861983</v>
      </c>
      <c r="AE32" s="2155" t="str">
        <f>ExpoRisk!AE215</f>
        <v>PVL</v>
      </c>
      <c r="AF32" s="3022" t="str">
        <f>ExpoRisk!AF215</f>
        <v>PVL</v>
      </c>
      <c r="AG32" s="2155">
        <f>ExpoRisk!AG215</f>
        <v>4813.5403636363644</v>
      </c>
      <c r="AH32" s="2155">
        <f>ExpoRisk!AH215</f>
        <v>4813.5403636363626</v>
      </c>
      <c r="AI32" s="2155">
        <f>ExpoRisk!AI215</f>
        <v>377.83264003298774</v>
      </c>
      <c r="AJ32" s="2155">
        <f>ExpoRisk!AJ215</f>
        <v>859.13227743955849</v>
      </c>
      <c r="AK32" s="2155">
        <f>ExpoRisk!AK215</f>
        <v>2011.7586893702742</v>
      </c>
      <c r="AL32" s="2155" t="str">
        <f>ExpoRisk!AL215</f>
        <v>PVL</v>
      </c>
      <c r="AM32" s="2155" t="str">
        <f>ExpoRisk!AM215</f>
        <v>PVL</v>
      </c>
      <c r="AN32" s="3243">
        <f>ExpoRisk!AN215</f>
        <v>12.676022110965874</v>
      </c>
      <c r="AO32" s="2155">
        <f>ExpoRisk!AO215</f>
        <v>814.69630491006035</v>
      </c>
      <c r="AP32" s="2155">
        <f>ExpoRisk!AP215</f>
        <v>636.8510746029375</v>
      </c>
      <c r="AQ32" s="2155">
        <f>ExpoRisk!AQ215</f>
        <v>1033.454585635367</v>
      </c>
      <c r="AR32" s="2155">
        <f>ExpoRisk!AR215</f>
        <v>2341.0356065412543</v>
      </c>
      <c r="AS32" s="2155">
        <f>ExpoRisk!AS215</f>
        <v>207.32425240211546</v>
      </c>
      <c r="AT32" s="2155">
        <f>ExpoRisk!AT215</f>
        <v>7568.910400425184</v>
      </c>
      <c r="AU32" s="2155">
        <f>ExpoRisk!AU215</f>
        <v>7626.0036299221192</v>
      </c>
      <c r="AV32" s="2155">
        <f>ExpoRisk!AV215</f>
        <v>191.28566360722678</v>
      </c>
      <c r="AW32" s="2155">
        <f>ExpoRisk!AW215</f>
        <v>1866.6396350524715</v>
      </c>
      <c r="AX32" s="2155">
        <f>ExpoRisk!AX215</f>
        <v>321.35797840545695</v>
      </c>
      <c r="AY32" s="2155">
        <f>ExpoRisk!AY215</f>
        <v>387.91209668370192</v>
      </c>
      <c r="AZ32" s="3022">
        <f>ExpoRisk!AZ215</f>
        <v>40.702674303525676</v>
      </c>
      <c r="BA32" s="2155">
        <f>ExpoRisk!BA215</f>
        <v>84.061211497304782</v>
      </c>
      <c r="BB32" s="2155">
        <f>ExpoRisk!BB215</f>
        <v>5795.3388985995298</v>
      </c>
      <c r="BC32" s="2155">
        <f>ExpoRisk!BC215</f>
        <v>1076.4415659035874</v>
      </c>
      <c r="BD32" s="3244">
        <f>ExpoRisk!BD215</f>
        <v>214.88655680215246</v>
      </c>
      <c r="BE32" s="2155">
        <f>ExpoRisk!BE215</f>
        <v>112.05958562308237</v>
      </c>
      <c r="BF32" s="2155">
        <f>ExpoRisk!BF215</f>
        <v>224.11917124616474</v>
      </c>
      <c r="BG32" s="2155">
        <f>ExpoRisk!BG215</f>
        <v>7.8481636363636371E-3</v>
      </c>
      <c r="BH32" s="3246">
        <f>ExpoRisk!BH215</f>
        <v>4.0905688492945949</v>
      </c>
      <c r="BI32" s="2155"/>
    </row>
    <row r="33" spans="1:62" s="3258" customFormat="1" ht="13.5" hidden="1" thickBot="1">
      <c r="A33" s="2362"/>
      <c r="B33" s="2292"/>
      <c r="C33" s="3249"/>
      <c r="D33" s="3250"/>
      <c r="E33" s="2290" t="s">
        <v>499</v>
      </c>
      <c r="F33" s="2290" t="s">
        <v>19</v>
      </c>
      <c r="G33" s="2291" t="s">
        <v>20</v>
      </c>
      <c r="H33" s="3251">
        <f>ExpoRisk!H216</f>
        <v>3572.6658096956917</v>
      </c>
      <c r="I33" s="3251">
        <f>ExpoRisk!I216</f>
        <v>3572.6658096956917</v>
      </c>
      <c r="J33" s="3251">
        <f>ExpoRisk!J216</f>
        <v>38061.902956125879</v>
      </c>
      <c r="K33" s="3252">
        <f>ExpoRisk!K216</f>
        <v>14.649905454545456</v>
      </c>
      <c r="L33" s="3251">
        <f>ExpoRisk!L216</f>
        <v>23.100997448053402</v>
      </c>
      <c r="M33" s="3251">
        <f>ExpoRisk!M216</f>
        <v>23.100997448053402</v>
      </c>
      <c r="N33" s="3251">
        <f>ExpoRisk!N216</f>
        <v>45.780954545454541</v>
      </c>
      <c r="O33" s="3251">
        <f>ExpoRisk!O216</f>
        <v>45.780954545454541</v>
      </c>
      <c r="P33" s="3253">
        <f>ExpoRisk!P216</f>
        <v>9.2893993316328647</v>
      </c>
      <c r="Q33" s="3251">
        <f>ExpoRisk!Q216</f>
        <v>9.2893993316328647</v>
      </c>
      <c r="R33" s="3251">
        <f>ExpoRisk!R216</f>
        <v>91.561909090909097</v>
      </c>
      <c r="S33" s="3251">
        <f>ExpoRisk!S216</f>
        <v>3.9809525691699599</v>
      </c>
      <c r="T33" s="3251">
        <f>ExpoRisk!T216</f>
        <v>3.9809525691699599</v>
      </c>
      <c r="U33" s="3251">
        <f>ExpoRisk!U216</f>
        <v>2.1800454545454544</v>
      </c>
      <c r="V33" s="3251">
        <f>ExpoRisk!V216</f>
        <v>261.60545454545451</v>
      </c>
      <c r="W33" s="3251">
        <f>ExpoRisk!W216</f>
        <v>261.60545454545451</v>
      </c>
      <c r="X33" s="3252">
        <f>ExpoRisk!X216</f>
        <v>3.1980840324310131</v>
      </c>
      <c r="Y33" s="3251">
        <f>ExpoRisk!Y216</f>
        <v>109.77672079487719</v>
      </c>
      <c r="Z33" s="3251">
        <f>ExpoRisk!Z216</f>
        <v>36.624763636363639</v>
      </c>
      <c r="AA33" s="3253" t="str">
        <f>ExpoRisk!AA216</f>
        <v>PVL</v>
      </c>
      <c r="AB33" s="3251" t="str">
        <f>ExpoRisk!AB216</f>
        <v>PVL</v>
      </c>
      <c r="AC33" s="3251" t="str">
        <f>ExpoRisk!AC216</f>
        <v>PVL</v>
      </c>
      <c r="AD33" s="3251" t="str">
        <f>ExpoRisk!AD216</f>
        <v>PVL</v>
      </c>
      <c r="AE33" s="3251" t="str">
        <f>ExpoRisk!AE216</f>
        <v>PVL</v>
      </c>
      <c r="AF33" s="3253" t="str">
        <f>ExpoRisk!AF216</f>
        <v>PVL</v>
      </c>
      <c r="AG33" s="3251" t="str">
        <f>ExpoRisk!AG216</f>
        <v>PVL</v>
      </c>
      <c r="AH33" s="3251" t="str">
        <f>ExpoRisk!AH216</f>
        <v>PVL</v>
      </c>
      <c r="AI33" s="3251" t="str">
        <f>ExpoRisk!AI216</f>
        <v>PVL</v>
      </c>
      <c r="AJ33" s="3251" t="str">
        <f>ExpoRisk!AJ216</f>
        <v>PVL</v>
      </c>
      <c r="AK33" s="3251" t="str">
        <f>ExpoRisk!AK216</f>
        <v>PVL</v>
      </c>
      <c r="AL33" s="3251" t="str">
        <f>ExpoRisk!AL216</f>
        <v>PVL</v>
      </c>
      <c r="AM33" s="3251" t="str">
        <f>ExpoRisk!AM216</f>
        <v>PVL</v>
      </c>
      <c r="AN33" s="3252">
        <f>ExpoRisk!AN216</f>
        <v>12.676022110965874</v>
      </c>
      <c r="AO33" s="3251" t="str">
        <f>ExpoRisk!AO216</f>
        <v>PVL</v>
      </c>
      <c r="AP33" s="3251" t="str">
        <f>ExpoRisk!AP216</f>
        <v>PVL</v>
      </c>
      <c r="AQ33" s="3251" t="str">
        <f>ExpoRisk!AQ216</f>
        <v>PVL</v>
      </c>
      <c r="AR33" s="3251" t="str">
        <f>ExpoRisk!AR216</f>
        <v>PVL</v>
      </c>
      <c r="AS33" s="3251" t="str">
        <f>ExpoRisk!AS216</f>
        <v>PVL</v>
      </c>
      <c r="AT33" s="3251" t="str">
        <f>ExpoRisk!AT216</f>
        <v>PVL</v>
      </c>
      <c r="AU33" s="3251" t="str">
        <f>ExpoRisk!AU216</f>
        <v>PVL</v>
      </c>
      <c r="AV33" s="3251" t="str">
        <f>ExpoRisk!AV216</f>
        <v>PVL</v>
      </c>
      <c r="AW33" s="3251" t="str">
        <f>ExpoRisk!AW216</f>
        <v>PVL</v>
      </c>
      <c r="AX33" s="3251" t="str">
        <f>ExpoRisk!AX216</f>
        <v>PVL</v>
      </c>
      <c r="AY33" s="3251" t="str">
        <f>ExpoRisk!AY216</f>
        <v>PVL</v>
      </c>
      <c r="AZ33" s="3253" t="str">
        <f>ExpoRisk!AZ216</f>
        <v>PVL</v>
      </c>
      <c r="BA33" s="3251" t="str">
        <f>ExpoRisk!BA216</f>
        <v>PVL</v>
      </c>
      <c r="BB33" s="3251" t="str">
        <f>ExpoRisk!BB216</f>
        <v>PVL</v>
      </c>
      <c r="BC33" s="3251" t="str">
        <f>ExpoRisk!BC216</f>
        <v>PVL</v>
      </c>
      <c r="BD33" s="3254">
        <f>ExpoRisk!BD216</f>
        <v>214.88655680215246</v>
      </c>
      <c r="BE33" s="3251" t="str">
        <f>ExpoRisk!BE216</f>
        <v>PVL</v>
      </c>
      <c r="BF33" s="3251" t="str">
        <f>ExpoRisk!BF216</f>
        <v>PVL</v>
      </c>
      <c r="BG33" s="3255">
        <f>BG30</f>
        <v>1.4E-2</v>
      </c>
      <c r="BH33" s="3256">
        <f>ExpoRisk!BH216</f>
        <v>4.0905688492945949</v>
      </c>
      <c r="BI33" s="3251"/>
      <c r="BJ33" s="3257"/>
    </row>
    <row r="34" spans="1:62" s="3267" customFormat="1" ht="13.5" hidden="1" thickBot="1">
      <c r="A34" s="2399"/>
      <c r="B34" s="2295"/>
      <c r="C34" s="3259" t="s">
        <v>42</v>
      </c>
      <c r="D34" s="3260">
        <v>0.6</v>
      </c>
      <c r="E34" s="2293" t="s">
        <v>499</v>
      </c>
      <c r="F34" s="2293" t="s">
        <v>19</v>
      </c>
      <c r="G34" s="2294" t="s">
        <v>20</v>
      </c>
      <c r="H34" s="3261">
        <v>1426.2651418989476</v>
      </c>
      <c r="I34" s="3261">
        <v>1426.2651418989476</v>
      </c>
      <c r="J34" s="3261">
        <v>3198.4600956520439</v>
      </c>
      <c r="K34" s="3262">
        <v>14.649905454545461</v>
      </c>
      <c r="L34" s="3261">
        <v>32.302179059648431</v>
      </c>
      <c r="M34" s="3261">
        <v>32.302179059648431</v>
      </c>
      <c r="N34" s="3261">
        <v>45.780954545454541</v>
      </c>
      <c r="O34" s="3261">
        <v>45.780954545454541</v>
      </c>
      <c r="P34" s="3263">
        <v>15.518967642526963</v>
      </c>
      <c r="Q34" s="3261">
        <v>15.518967642526963</v>
      </c>
      <c r="R34" s="3261">
        <v>5.4624789023193321</v>
      </c>
      <c r="S34" s="3261">
        <v>3.9809525691699603</v>
      </c>
      <c r="T34" s="3261">
        <v>3.9809525691699603</v>
      </c>
      <c r="U34" s="3261">
        <v>2.1800454545454544</v>
      </c>
      <c r="V34" s="3261" t="s">
        <v>498</v>
      </c>
      <c r="W34" s="3261" t="s">
        <v>498</v>
      </c>
      <c r="X34" s="3262">
        <v>4.9262830986142863</v>
      </c>
      <c r="Y34" s="3261">
        <v>213.0739045534028</v>
      </c>
      <c r="Z34" s="3261">
        <v>36.624763636363625</v>
      </c>
      <c r="AA34" s="3263">
        <v>414.60111212929098</v>
      </c>
      <c r="AB34" s="3261">
        <v>448.29502361950773</v>
      </c>
      <c r="AC34" s="3261" t="s">
        <v>498</v>
      </c>
      <c r="AD34" s="3261" t="s">
        <v>498</v>
      </c>
      <c r="AE34" s="3261" t="s">
        <v>498</v>
      </c>
      <c r="AF34" s="3263" t="s">
        <v>498</v>
      </c>
      <c r="AG34" s="3261" t="s">
        <v>498</v>
      </c>
      <c r="AH34" s="3261" t="s">
        <v>498</v>
      </c>
      <c r="AI34" s="3261" t="s">
        <v>498</v>
      </c>
      <c r="AJ34" s="3261" t="s">
        <v>498</v>
      </c>
      <c r="AK34" s="3261" t="s">
        <v>498</v>
      </c>
      <c r="AL34" s="3261" t="s">
        <v>498</v>
      </c>
      <c r="AM34" s="3261" t="s">
        <v>498</v>
      </c>
      <c r="AN34" s="3262">
        <v>29.224790571634813</v>
      </c>
      <c r="AO34" s="3261" t="s">
        <v>498</v>
      </c>
      <c r="AP34" s="3261" t="s">
        <v>498</v>
      </c>
      <c r="AQ34" s="3261" t="s">
        <v>498</v>
      </c>
      <c r="AR34" s="3261" t="s">
        <v>498</v>
      </c>
      <c r="AS34" s="3261" t="s">
        <v>498</v>
      </c>
      <c r="AT34" s="3261" t="s">
        <v>498</v>
      </c>
      <c r="AU34" s="3261" t="s">
        <v>498</v>
      </c>
      <c r="AV34" s="3261" t="s">
        <v>498</v>
      </c>
      <c r="AW34" s="3261" t="s">
        <v>498</v>
      </c>
      <c r="AX34" s="3261" t="s">
        <v>498</v>
      </c>
      <c r="AY34" s="3261" t="s">
        <v>498</v>
      </c>
      <c r="AZ34" s="3263" t="s">
        <v>498</v>
      </c>
      <c r="BA34" s="3261" t="s">
        <v>498</v>
      </c>
      <c r="BB34" s="3261" t="s">
        <v>498</v>
      </c>
      <c r="BC34" s="3261" t="s">
        <v>498</v>
      </c>
      <c r="BD34" s="3264">
        <v>255.40178255608066</v>
      </c>
      <c r="BE34" s="3261" t="s">
        <v>498</v>
      </c>
      <c r="BF34" s="3261">
        <v>105.90708727114124</v>
      </c>
      <c r="BG34" s="3261">
        <v>1.3717851324747798E-2</v>
      </c>
      <c r="BH34" s="3265">
        <v>4.1669423761467241</v>
      </c>
      <c r="BI34" s="3261"/>
      <c r="BJ34" s="3266"/>
    </row>
    <row r="35" spans="1:62" s="2193" customFormat="1" ht="13.5" hidden="1" thickBot="1">
      <c r="A35" s="2362"/>
      <c r="B35" s="2236"/>
      <c r="C35" s="3268"/>
      <c r="D35" s="3269"/>
      <c r="E35" s="2356" t="s">
        <v>476</v>
      </c>
      <c r="F35" s="2356">
        <f>F26</f>
        <v>0</v>
      </c>
      <c r="G35" s="2350" t="s">
        <v>24</v>
      </c>
      <c r="H35" s="2235">
        <f>ExpoRisk!H217</f>
        <v>9412.1578843298739</v>
      </c>
      <c r="I35" s="2235">
        <f>ExpoRisk!I217</f>
        <v>9412.1578843298739</v>
      </c>
      <c r="J35" s="2235">
        <f>ExpoRisk!J217</f>
        <v>658267.86738053837</v>
      </c>
      <c r="K35" s="3270">
        <f>ExpoRisk!K217</f>
        <v>56450.681890396372</v>
      </c>
      <c r="L35" s="2235">
        <f>ExpoRisk!L217</f>
        <v>16642.856419069733</v>
      </c>
      <c r="M35" s="2235">
        <f>ExpoRisk!M217</f>
        <v>16642.856419069733</v>
      </c>
      <c r="N35" s="2235">
        <f>ExpoRisk!N217</f>
        <v>65051.551562152286</v>
      </c>
      <c r="O35" s="2235">
        <f>ExpoRisk!O217</f>
        <v>65051.551562152286</v>
      </c>
      <c r="P35" s="3271">
        <f>ExpoRisk!P217</f>
        <v>14410.534926816785</v>
      </c>
      <c r="Q35" s="2235">
        <f>ExpoRisk!Q217</f>
        <v>14410.534926816785</v>
      </c>
      <c r="R35" s="2235">
        <f>ExpoRisk!R217</f>
        <v>57095.741629831115</v>
      </c>
      <c r="S35" s="2235">
        <f>ExpoRisk!S217</f>
        <v>2328.9496685225176</v>
      </c>
      <c r="T35" s="2235">
        <f>ExpoRisk!T217</f>
        <v>2328.9496685225176</v>
      </c>
      <c r="U35" s="2235">
        <f>ExpoRisk!U217</f>
        <v>6004.4201216823349</v>
      </c>
      <c r="V35" s="2235">
        <f>ExpoRisk!V217</f>
        <v>1179365.3413826337</v>
      </c>
      <c r="W35" s="2235">
        <f>ExpoRisk!W217</f>
        <v>1179365.3413826337</v>
      </c>
      <c r="X35" s="3270">
        <f>ExpoRisk!X217</f>
        <v>2765.8841464130337</v>
      </c>
      <c r="Y35" s="2235">
        <f>ExpoRisk!Y217</f>
        <v>65799.792955346216</v>
      </c>
      <c r="Z35" s="2235">
        <f>ExpoRisk!Z217</f>
        <v>13000.799391486573</v>
      </c>
      <c r="AA35" s="3271" t="str">
        <f>ExpoRisk!AA217</f>
        <v>PVL</v>
      </c>
      <c r="AB35" s="2235" t="str">
        <f>ExpoRisk!AB217</f>
        <v>PVL</v>
      </c>
      <c r="AC35" s="2235" t="str">
        <f>ExpoRisk!AC217</f>
        <v>PVL</v>
      </c>
      <c r="AD35" s="2235" t="str">
        <f>ExpoRisk!AD217</f>
        <v>PVL</v>
      </c>
      <c r="AE35" s="2235" t="str">
        <f>ExpoRisk!AE217</f>
        <v>PVL</v>
      </c>
      <c r="AF35" s="3271" t="str">
        <f>ExpoRisk!AF217</f>
        <v>PVL</v>
      </c>
      <c r="AG35" s="2235" t="str">
        <f>ExpoRisk!AG217</f>
        <v>PVL</v>
      </c>
      <c r="AH35" s="2235" t="str">
        <f>ExpoRisk!AH217</f>
        <v>PVL</v>
      </c>
      <c r="AI35" s="2235" t="str">
        <f>ExpoRisk!AI217</f>
        <v>PVL</v>
      </c>
      <c r="AJ35" s="2235" t="str">
        <f>ExpoRisk!AJ217</f>
        <v>PVL</v>
      </c>
      <c r="AK35" s="2235" t="str">
        <f>ExpoRisk!AK217</f>
        <v>PVL</v>
      </c>
      <c r="AL35" s="2235" t="str">
        <f>ExpoRisk!AL217</f>
        <v>PVL</v>
      </c>
      <c r="AM35" s="2235" t="str">
        <f>ExpoRisk!AM217</f>
        <v>PVL</v>
      </c>
      <c r="AN35" s="3270">
        <f>ExpoRisk!AN217</f>
        <v>54.183738765448929</v>
      </c>
      <c r="AO35" s="2235" t="str">
        <f>ExpoRisk!AO217</f>
        <v>PVL</v>
      </c>
      <c r="AP35" s="2235" t="str">
        <f>ExpoRisk!AP217</f>
        <v>PVL</v>
      </c>
      <c r="AQ35" s="2235" t="str">
        <f>ExpoRisk!AQ217</f>
        <v>PVL</v>
      </c>
      <c r="AR35" s="2235" t="str">
        <f>ExpoRisk!AR217</f>
        <v>PVL</v>
      </c>
      <c r="AS35" s="2235" t="str">
        <f>ExpoRisk!AS217</f>
        <v>PVL</v>
      </c>
      <c r="AT35" s="2235" t="str">
        <f>ExpoRisk!AT217</f>
        <v>PVL</v>
      </c>
      <c r="AU35" s="2235" t="str">
        <f>ExpoRisk!AU217</f>
        <v>PVL</v>
      </c>
      <c r="AV35" s="2235" t="str">
        <f>ExpoRisk!AV217</f>
        <v>PVL</v>
      </c>
      <c r="AW35" s="2235" t="str">
        <f>ExpoRisk!AW217</f>
        <v>PVL</v>
      </c>
      <c r="AX35" s="2235" t="str">
        <f>ExpoRisk!AX217</f>
        <v>PVL</v>
      </c>
      <c r="AY35" s="2235" t="str">
        <f>ExpoRisk!AY217</f>
        <v>PVL</v>
      </c>
      <c r="AZ35" s="3271" t="str">
        <f>ExpoRisk!AZ217</f>
        <v>PVL</v>
      </c>
      <c r="BA35" s="2235" t="str">
        <f>ExpoRisk!BA217</f>
        <v>PVL</v>
      </c>
      <c r="BB35" s="2235" t="str">
        <f>ExpoRisk!BB217</f>
        <v>PVL</v>
      </c>
      <c r="BC35" s="2235" t="str">
        <f>ExpoRisk!BC217</f>
        <v>PVL</v>
      </c>
      <c r="BD35" s="3272">
        <f>ExpoRisk!BD217</f>
        <v>20.10202590422794</v>
      </c>
      <c r="BE35" s="2235" t="str">
        <f>ExpoRisk!BE217</f>
        <v>PVL</v>
      </c>
      <c r="BF35" s="2235" t="str">
        <f>ExpoRisk!BF217</f>
        <v>PVL</v>
      </c>
      <c r="BG35" s="2235" t="str">
        <f>ExpoRisk!BG217</f>
        <v>Saturation</v>
      </c>
      <c r="BH35" s="3273">
        <f>ExpoRisk!BH217</f>
        <v>0.50885829224279044</v>
      </c>
      <c r="BI35" s="2235"/>
      <c r="BJ35" s="3274"/>
    </row>
    <row r="36" spans="1:62" s="2137" customFormat="1" ht="13.5" hidden="1" thickBot="1">
      <c r="B36" s="3233"/>
      <c r="C36" s="3275"/>
      <c r="D36" s="3276"/>
      <c r="E36" s="3277" t="s">
        <v>596</v>
      </c>
      <c r="F36" s="3277"/>
      <c r="G36" s="3278"/>
      <c r="H36" s="499"/>
      <c r="I36" s="499"/>
      <c r="J36" s="499"/>
      <c r="K36" s="498"/>
      <c r="L36" s="499"/>
      <c r="M36" s="499"/>
      <c r="N36" s="499"/>
      <c r="O36" s="499"/>
      <c r="P36" s="501"/>
      <c r="Q36" s="499"/>
      <c r="R36" s="499"/>
      <c r="S36" s="499"/>
      <c r="T36" s="499"/>
      <c r="U36" s="499"/>
      <c r="V36" s="499"/>
      <c r="W36" s="499"/>
      <c r="X36" s="498"/>
      <c r="Y36" s="499"/>
      <c r="Z36" s="499"/>
      <c r="AA36" s="501"/>
      <c r="AB36" s="499"/>
      <c r="AC36" s="499"/>
      <c r="AD36" s="499"/>
      <c r="AE36" s="499"/>
      <c r="AF36" s="501"/>
      <c r="AG36" s="499"/>
      <c r="AH36" s="499"/>
      <c r="AI36" s="499"/>
      <c r="AJ36" s="499"/>
      <c r="AK36" s="499"/>
      <c r="AL36" s="499"/>
      <c r="AM36" s="499"/>
      <c r="AN36" s="498"/>
      <c r="AO36" s="499"/>
      <c r="AP36" s="499"/>
      <c r="AQ36" s="499"/>
      <c r="AR36" s="499"/>
      <c r="AS36" s="499"/>
      <c r="AT36" s="499"/>
      <c r="AU36" s="499"/>
      <c r="AV36" s="499"/>
      <c r="AW36" s="499"/>
      <c r="AX36" s="499"/>
      <c r="AY36" s="499"/>
      <c r="AZ36" s="501"/>
      <c r="BA36" s="499"/>
      <c r="BB36" s="499"/>
      <c r="BC36" s="499"/>
      <c r="BD36" s="2083"/>
      <c r="BE36" s="499"/>
      <c r="BF36" s="499"/>
      <c r="BG36" s="499"/>
      <c r="BH36" s="2546"/>
      <c r="BI36" s="499"/>
      <c r="BJ36" s="3237"/>
    </row>
    <row r="37" spans="1:62" ht="13.5" hidden="1" thickBot="1">
      <c r="A37" s="3241"/>
      <c r="B37" s="2156"/>
      <c r="C37" s="276"/>
      <c r="D37" s="3279"/>
      <c r="E37" s="2153" t="s">
        <v>305</v>
      </c>
      <c r="F37" s="2153" t="s">
        <v>19</v>
      </c>
      <c r="G37" s="2154" t="s">
        <v>20</v>
      </c>
      <c r="H37" s="2155">
        <v>2.1114253045733191</v>
      </c>
      <c r="I37" s="2155">
        <v>2.1114253045733191</v>
      </c>
      <c r="J37" s="2155">
        <v>4.0834383047740177</v>
      </c>
      <c r="K37" s="3243">
        <v>3.5778735042735044E-2</v>
      </c>
      <c r="L37" s="2155">
        <v>3.8334358974358974E-2</v>
      </c>
      <c r="M37" s="2155">
        <v>3.8334358974358974E-2</v>
      </c>
      <c r="N37" s="2155">
        <v>0.12778119658119658</v>
      </c>
      <c r="O37" s="2155">
        <v>0.12778119658119658</v>
      </c>
      <c r="P37" s="3022">
        <v>2.2361709401709402E-2</v>
      </c>
      <c r="Q37" s="2155">
        <v>2.2361709401709402E-2</v>
      </c>
      <c r="R37" s="2155">
        <v>6.3890598290598294E-3</v>
      </c>
      <c r="S37" s="2155">
        <v>4.0251076923076924E-2</v>
      </c>
      <c r="T37" s="2155">
        <v>4.0251076923076924E-2</v>
      </c>
      <c r="U37" s="2155">
        <v>2.4278427350427352E-2</v>
      </c>
      <c r="V37" s="2155">
        <v>0.63890598290598311</v>
      </c>
      <c r="W37" s="2155">
        <v>0.63890598290598311</v>
      </c>
      <c r="X37" s="3243">
        <v>6.133497435897437E-3</v>
      </c>
      <c r="Y37" s="2155">
        <v>0.1661155555555556</v>
      </c>
      <c r="Z37" s="2155">
        <v>0.1693100854700855</v>
      </c>
      <c r="AA37" s="3022">
        <v>0.44723418803418802</v>
      </c>
      <c r="AB37" s="2155">
        <v>0.15512171368912359</v>
      </c>
      <c r="AC37" s="2155">
        <v>0.41835722067082637</v>
      </c>
      <c r="AD37" s="2155">
        <v>1.0416685051817909</v>
      </c>
      <c r="AE37" s="2155" t="s">
        <v>498</v>
      </c>
      <c r="AF37" s="3022" t="s">
        <v>498</v>
      </c>
      <c r="AG37" s="2155">
        <v>11.755870085470086</v>
      </c>
      <c r="AH37" s="2155">
        <v>11.755870085470086</v>
      </c>
      <c r="AI37" s="2155">
        <v>0.63890598290598288</v>
      </c>
      <c r="AJ37" s="2155">
        <v>0.63890598290598311</v>
      </c>
      <c r="AK37" s="2155">
        <v>1.5123143220732171</v>
      </c>
      <c r="AL37" s="2155" t="s">
        <v>498</v>
      </c>
      <c r="AM37" s="2155" t="s">
        <v>498</v>
      </c>
      <c r="AN37" s="3243">
        <v>6.0233276992038884E-2</v>
      </c>
      <c r="AO37" s="2155" t="s">
        <v>498</v>
      </c>
      <c r="AP37" s="2155" t="s">
        <v>498</v>
      </c>
      <c r="AQ37" s="2155" t="s">
        <v>498</v>
      </c>
      <c r="AR37" s="2155" t="s">
        <v>498</v>
      </c>
      <c r="AS37" s="2155" t="s">
        <v>498</v>
      </c>
      <c r="AT37" s="2155" t="s">
        <v>498</v>
      </c>
      <c r="AU37" s="2155" t="s">
        <v>498</v>
      </c>
      <c r="AV37" s="2155" t="s">
        <v>498</v>
      </c>
      <c r="AW37" s="2155" t="s">
        <v>498</v>
      </c>
      <c r="AX37" s="2155" t="s">
        <v>498</v>
      </c>
      <c r="AY37" s="2155" t="s">
        <v>498</v>
      </c>
      <c r="AZ37" s="3022" t="s">
        <v>498</v>
      </c>
      <c r="BA37" s="2155" t="s">
        <v>498</v>
      </c>
      <c r="BB37" s="2155" t="s">
        <v>498</v>
      </c>
      <c r="BC37" s="2155" t="s">
        <v>498</v>
      </c>
      <c r="BD37" s="3244">
        <v>1.5097888410399709</v>
      </c>
      <c r="BE37" s="2155">
        <v>0.78832158107218098</v>
      </c>
      <c r="BF37" s="2155">
        <v>1.576643162144362</v>
      </c>
      <c r="BG37" s="2155">
        <v>1.9167179487179488E-5</v>
      </c>
      <c r="BH37" s="3246">
        <v>1.9332888011935157E-2</v>
      </c>
      <c r="BI37" s="2155">
        <v>2.9322409610324871E-2</v>
      </c>
    </row>
    <row r="38" spans="1:62" ht="13.5" hidden="1" thickBot="1">
      <c r="A38" s="3241"/>
      <c r="B38" s="2156"/>
      <c r="C38" s="2149"/>
      <c r="D38" s="3248"/>
      <c r="E38" s="2153" t="s">
        <v>306</v>
      </c>
      <c r="F38" s="2153" t="s">
        <v>19</v>
      </c>
      <c r="G38" s="2154" t="s">
        <v>20</v>
      </c>
      <c r="H38" s="2155" t="s">
        <v>498</v>
      </c>
      <c r="I38" s="2155" t="s">
        <v>498</v>
      </c>
      <c r="J38" s="2155" t="s">
        <v>498</v>
      </c>
      <c r="K38" s="3243">
        <v>0.22361709401709398</v>
      </c>
      <c r="L38" s="2155" t="s">
        <v>498</v>
      </c>
      <c r="M38" s="2155" t="s">
        <v>498</v>
      </c>
      <c r="N38" s="2155">
        <v>0.11180854700854699</v>
      </c>
      <c r="O38" s="2155">
        <v>0.11180854700854699</v>
      </c>
      <c r="P38" s="3022">
        <v>3.7901202375778639E-2</v>
      </c>
      <c r="Q38" s="2155">
        <v>3.7901202375778639E-2</v>
      </c>
      <c r="R38" s="2155">
        <v>0.22361709401709398</v>
      </c>
      <c r="S38" s="2155">
        <v>9.7224823485693047E-3</v>
      </c>
      <c r="T38" s="2155">
        <v>9.7224823485693047E-3</v>
      </c>
      <c r="U38" s="2155">
        <v>5.3242165242165232E-3</v>
      </c>
      <c r="V38" s="2155" t="s">
        <v>498</v>
      </c>
      <c r="W38" s="2155" t="s">
        <v>498</v>
      </c>
      <c r="X38" s="3243">
        <v>3.7269515669515668E-2</v>
      </c>
      <c r="Y38" s="2155" t="s">
        <v>498</v>
      </c>
      <c r="Z38" s="2155">
        <v>8.9446837606837609E-2</v>
      </c>
      <c r="AA38" s="3022" t="s">
        <v>498</v>
      </c>
      <c r="AB38" s="2155" t="s">
        <v>498</v>
      </c>
      <c r="AC38" s="2155" t="s">
        <v>498</v>
      </c>
      <c r="AD38" s="2155" t="s">
        <v>498</v>
      </c>
      <c r="AE38" s="2155" t="s">
        <v>498</v>
      </c>
      <c r="AF38" s="3022" t="s">
        <v>498</v>
      </c>
      <c r="AG38" s="2155" t="s">
        <v>498</v>
      </c>
      <c r="AH38" s="2155" t="s">
        <v>498</v>
      </c>
      <c r="AI38" s="2155" t="s">
        <v>498</v>
      </c>
      <c r="AJ38" s="2155" t="s">
        <v>498</v>
      </c>
      <c r="AK38" s="2155" t="s">
        <v>498</v>
      </c>
      <c r="AL38" s="2155" t="s">
        <v>498</v>
      </c>
      <c r="AM38" s="2155" t="s">
        <v>498</v>
      </c>
      <c r="AN38" s="3243">
        <v>1.2225463164554107E-2</v>
      </c>
      <c r="AO38" s="2155">
        <v>0.74236133184529385</v>
      </c>
      <c r="AP38" s="2155">
        <v>0.56964394755573566</v>
      </c>
      <c r="AQ38" s="2155">
        <v>0.90764039523473683</v>
      </c>
      <c r="AR38" s="2155">
        <v>2.0805828613445669</v>
      </c>
      <c r="AS38" s="2155">
        <v>0.51758172578011064</v>
      </c>
      <c r="AT38" s="2155">
        <v>7.3177972477119058</v>
      </c>
      <c r="AU38" s="2155">
        <v>7.4762305233528421</v>
      </c>
      <c r="AV38" s="2155">
        <v>0.2182093334069159</v>
      </c>
      <c r="AW38" s="2155">
        <v>18.259286007246516</v>
      </c>
      <c r="AX38" s="2155">
        <v>21.920856700189741</v>
      </c>
      <c r="AY38" s="2155">
        <v>39.638522391421738</v>
      </c>
      <c r="AZ38" s="3022">
        <v>14.204068524138547</v>
      </c>
      <c r="BA38" s="2155">
        <v>12.276458233095207</v>
      </c>
      <c r="BB38" s="2155">
        <v>24.001307279326699</v>
      </c>
      <c r="BC38" s="2155">
        <v>7193487.6119091064</v>
      </c>
      <c r="BD38" s="3244" t="s">
        <v>498</v>
      </c>
      <c r="BE38" s="2155" t="s">
        <v>498</v>
      </c>
      <c r="BF38" s="2155">
        <v>4.4785096619094612E-2</v>
      </c>
      <c r="BG38" s="2155" t="s">
        <v>498</v>
      </c>
      <c r="BH38" s="3246" t="s">
        <v>498</v>
      </c>
      <c r="BI38" s="2155" t="s">
        <v>498</v>
      </c>
    </row>
    <row r="39" spans="1:62" ht="26.25" hidden="1" thickBot="1">
      <c r="A39" s="2275"/>
      <c r="B39" s="2156"/>
      <c r="C39" s="2149"/>
      <c r="D39" s="3248"/>
      <c r="E39" s="2153" t="s">
        <v>493</v>
      </c>
      <c r="F39" s="2153" t="s">
        <v>19</v>
      </c>
      <c r="G39" s="2154" t="s">
        <v>20</v>
      </c>
      <c r="H39" s="2155">
        <v>2.1114253045733191</v>
      </c>
      <c r="I39" s="2155">
        <v>2.1114253045733191</v>
      </c>
      <c r="J39" s="2155">
        <v>4.0834383047740177</v>
      </c>
      <c r="K39" s="3243">
        <v>3.5778735042735044E-2</v>
      </c>
      <c r="L39" s="2155">
        <v>3.8334358974358974E-2</v>
      </c>
      <c r="M39" s="2155">
        <v>3.8334358974358974E-2</v>
      </c>
      <c r="N39" s="2155">
        <v>0.11180854700854699</v>
      </c>
      <c r="O39" s="2155">
        <v>0.11180854700854699</v>
      </c>
      <c r="P39" s="3022">
        <v>2.2361709401709402E-2</v>
      </c>
      <c r="Q39" s="2155">
        <v>2.2361709401709402E-2</v>
      </c>
      <c r="R39" s="2155">
        <v>6.3890598290598294E-3</v>
      </c>
      <c r="S39" s="2155">
        <v>9.7224823485693047E-3</v>
      </c>
      <c r="T39" s="2155">
        <v>9.7224823485693047E-3</v>
      </c>
      <c r="U39" s="2155">
        <v>5.3242165242165232E-3</v>
      </c>
      <c r="V39" s="2155">
        <v>0.63890598290598311</v>
      </c>
      <c r="W39" s="2155">
        <v>0.63890598290598311</v>
      </c>
      <c r="X39" s="3243">
        <v>6.133497435897437E-3</v>
      </c>
      <c r="Y39" s="2155">
        <v>0.1661155555555556</v>
      </c>
      <c r="Z39" s="2155">
        <v>8.9446837606837609E-2</v>
      </c>
      <c r="AA39" s="3022">
        <v>0.44723418803418802</v>
      </c>
      <c r="AB39" s="2155">
        <v>0.15512171368912359</v>
      </c>
      <c r="AC39" s="2155">
        <v>0.41835722067082637</v>
      </c>
      <c r="AD39" s="2155">
        <v>1.0416685051817909</v>
      </c>
      <c r="AE39" s="2155" t="s">
        <v>498</v>
      </c>
      <c r="AF39" s="3022" t="s">
        <v>498</v>
      </c>
      <c r="AG39" s="2155">
        <v>11.755870085470086</v>
      </c>
      <c r="AH39" s="2155">
        <v>11.755870085470086</v>
      </c>
      <c r="AI39" s="2155">
        <v>0.63890598290598288</v>
      </c>
      <c r="AJ39" s="2155">
        <v>0.63890598290598311</v>
      </c>
      <c r="AK39" s="2155">
        <v>1.5123143220732171</v>
      </c>
      <c r="AL39" s="2155" t="s">
        <v>498</v>
      </c>
      <c r="AM39" s="2155" t="s">
        <v>498</v>
      </c>
      <c r="AN39" s="3243">
        <v>1.2225463164554107E-2</v>
      </c>
      <c r="AO39" s="2155">
        <v>0.74236133184529385</v>
      </c>
      <c r="AP39" s="2155">
        <v>0.56964394755573566</v>
      </c>
      <c r="AQ39" s="2155">
        <v>0.90764039523473683</v>
      </c>
      <c r="AR39" s="2155">
        <v>2.0805828613445669</v>
      </c>
      <c r="AS39" s="2155">
        <v>0.51758172578011064</v>
      </c>
      <c r="AT39" s="2155">
        <v>7.3177972477119058</v>
      </c>
      <c r="AU39" s="2155">
        <v>7.4762305233528421</v>
      </c>
      <c r="AV39" s="2155">
        <v>0.2182093334069159</v>
      </c>
      <c r="AW39" s="2155">
        <v>18.259286007246516</v>
      </c>
      <c r="AX39" s="2155">
        <v>21.920856700189741</v>
      </c>
      <c r="AY39" s="2155">
        <v>39.638522391421738</v>
      </c>
      <c r="AZ39" s="3022">
        <v>14.204068524138547</v>
      </c>
      <c r="BA39" s="2155">
        <v>12.276458233095207</v>
      </c>
      <c r="BB39" s="2155">
        <v>24.001307279326699</v>
      </c>
      <c r="BC39" s="2155">
        <v>7193487.6119091064</v>
      </c>
      <c r="BD39" s="3244">
        <v>1.5097888410399709</v>
      </c>
      <c r="BE39" s="2155">
        <v>0.78832158107218098</v>
      </c>
      <c r="BF39" s="2155">
        <v>4.4785096619094612E-2</v>
      </c>
      <c r="BG39" s="2155">
        <v>1.9167179487179488E-5</v>
      </c>
      <c r="BH39" s="3246">
        <v>1.9332888011935157E-2</v>
      </c>
      <c r="BI39" s="2155">
        <v>2.9322409610324871E-2</v>
      </c>
    </row>
    <row r="40" spans="1:62" ht="13.5" hidden="1" thickBot="1"/>
    <row r="41" spans="1:62" s="2177" customFormat="1" ht="13.5" hidden="1" thickBot="1">
      <c r="A41" s="2399"/>
      <c r="B41" s="2232"/>
      <c r="C41" s="240" t="s">
        <v>42</v>
      </c>
      <c r="D41" s="3247">
        <v>0.1</v>
      </c>
      <c r="E41" s="2217" t="s">
        <v>476</v>
      </c>
      <c r="F41" s="2217" t="s">
        <v>93</v>
      </c>
      <c r="G41" s="2218" t="s">
        <v>24</v>
      </c>
      <c r="H41" s="2235">
        <v>5.5535505658166899</v>
      </c>
      <c r="I41" s="2235">
        <v>5.5535505658166899</v>
      </c>
      <c r="J41" s="2235">
        <v>58.344232464000768</v>
      </c>
      <c r="K41" s="3270">
        <v>137.89360738385591</v>
      </c>
      <c r="L41" s="2235">
        <v>27.546364921716798</v>
      </c>
      <c r="M41" s="2235">
        <v>27.546364921716798</v>
      </c>
      <c r="N41" s="2235">
        <v>158.24128466287829</v>
      </c>
      <c r="O41" s="2235">
        <v>158.24128466287829</v>
      </c>
      <c r="P41" s="3271">
        <v>34.801927718197348</v>
      </c>
      <c r="Q41" s="2235">
        <v>34.801927718197348</v>
      </c>
      <c r="R41" s="2235">
        <v>4.6454116469453783</v>
      </c>
      <c r="S41" s="2235">
        <v>5.6948871907779823</v>
      </c>
      <c r="T41" s="2235">
        <v>5.6948871907779823</v>
      </c>
      <c r="U41" s="2235">
        <v>14.67977786205841</v>
      </c>
      <c r="V41" s="2235">
        <v>612.71450080383738</v>
      </c>
      <c r="W41" s="2235">
        <v>612.71450080383738</v>
      </c>
      <c r="X41" s="3270">
        <v>5.3045958605153256</v>
      </c>
      <c r="Y41" s="2235">
        <v>99.569098831452294</v>
      </c>
      <c r="Z41" s="2235">
        <v>31.751205372279408</v>
      </c>
      <c r="AA41" s="3271">
        <v>106.50301794477248</v>
      </c>
      <c r="AB41" s="2235">
        <v>41.778315771385223</v>
      </c>
      <c r="AC41" s="2235">
        <v>21.986677135002719</v>
      </c>
      <c r="AD41" s="2235">
        <v>10.715355705473812</v>
      </c>
      <c r="AE41" s="2235" t="s">
        <v>498</v>
      </c>
      <c r="AF41" s="3271" t="s">
        <v>498</v>
      </c>
      <c r="AG41" s="2235">
        <v>72816.88370493683</v>
      </c>
      <c r="AH41" s="2235">
        <v>54520.878844700805</v>
      </c>
      <c r="AI41" s="2235">
        <v>1204.8357681154205</v>
      </c>
      <c r="AJ41" s="2235">
        <v>286.80289947363588</v>
      </c>
      <c r="AK41" s="2235">
        <v>154.76303529899556</v>
      </c>
      <c r="AL41" s="2235" t="s">
        <v>498</v>
      </c>
      <c r="AM41" s="2235" t="s">
        <v>498</v>
      </c>
      <c r="AN41" s="3270">
        <v>5.2257821625426609E-2</v>
      </c>
      <c r="AO41" s="2235">
        <v>0.86666355328224887</v>
      </c>
      <c r="AP41" s="2235">
        <v>1.1125557411167686</v>
      </c>
      <c r="AQ41" s="2235">
        <v>0.71778534614006251</v>
      </c>
      <c r="AR41" s="2235">
        <v>0.32943263587360794</v>
      </c>
      <c r="AS41" s="2235" t="s">
        <v>498</v>
      </c>
      <c r="AT41" s="2235" t="s">
        <v>498</v>
      </c>
      <c r="AU41" s="2235" t="s">
        <v>498</v>
      </c>
      <c r="AV41" s="2235">
        <v>4.9994420775743181E-4</v>
      </c>
      <c r="AW41" s="2235" t="s">
        <v>498</v>
      </c>
      <c r="AX41" s="2235" t="s">
        <v>498</v>
      </c>
      <c r="AY41" s="2235" t="s">
        <v>498</v>
      </c>
      <c r="AZ41" s="3271" t="s">
        <v>498</v>
      </c>
      <c r="BA41" s="2235" t="s">
        <v>498</v>
      </c>
      <c r="BB41" s="2235" t="s">
        <v>498</v>
      </c>
      <c r="BC41" s="2235" t="s">
        <v>498</v>
      </c>
      <c r="BD41" s="3272">
        <v>0.13518469827709373</v>
      </c>
      <c r="BE41" s="2235">
        <v>1.636766148747745E-3</v>
      </c>
      <c r="BF41" s="2235">
        <v>9.2985821870858226E-5</v>
      </c>
      <c r="BG41" s="2235" t="s">
        <v>595</v>
      </c>
      <c r="BH41" s="3273">
        <v>2.4310937506698133E-3</v>
      </c>
      <c r="BI41" s="2322">
        <v>2.8223211927800883E-2</v>
      </c>
      <c r="BJ41" s="3283"/>
    </row>
    <row r="42" spans="1:62" ht="13.5" hidden="1" thickBot="1">
      <c r="A42" s="3241"/>
      <c r="B42" s="2156"/>
      <c r="C42" s="2149"/>
      <c r="D42" s="3248"/>
      <c r="E42" s="3170" t="s">
        <v>597</v>
      </c>
      <c r="F42" s="2153"/>
      <c r="G42" s="2154"/>
      <c r="H42" s="2155"/>
      <c r="I42" s="2155"/>
      <c r="J42" s="2155"/>
      <c r="K42" s="3243"/>
      <c r="L42" s="2155"/>
      <c r="M42" s="2155"/>
      <c r="N42" s="2155"/>
      <c r="O42" s="2155"/>
      <c r="P42" s="3022"/>
      <c r="Q42" s="2155"/>
      <c r="R42" s="2155"/>
      <c r="S42" s="2155"/>
      <c r="T42" s="2155"/>
      <c r="U42" s="2155"/>
      <c r="V42" s="2155"/>
      <c r="W42" s="2155"/>
      <c r="X42" s="3243"/>
      <c r="Y42" s="2155"/>
      <c r="Z42" s="2155"/>
      <c r="AA42" s="3022"/>
      <c r="AB42" s="2155"/>
      <c r="AC42" s="2155"/>
      <c r="AD42" s="2155"/>
      <c r="AE42" s="2155"/>
      <c r="AF42" s="3022"/>
      <c r="AG42" s="2155"/>
      <c r="AH42" s="2155"/>
      <c r="AI42" s="2155"/>
      <c r="AJ42" s="2155"/>
      <c r="AK42" s="2155"/>
      <c r="AL42" s="2155"/>
      <c r="AM42" s="2155"/>
      <c r="AN42" s="3243"/>
      <c r="AO42" s="2155"/>
      <c r="AP42" s="2155"/>
      <c r="AQ42" s="2155"/>
      <c r="AR42" s="2155"/>
      <c r="AS42" s="2155"/>
      <c r="AT42" s="2155"/>
      <c r="AU42" s="2155"/>
      <c r="AV42" s="2155"/>
      <c r="AW42" s="2155"/>
      <c r="AX42" s="2155"/>
      <c r="AY42" s="2155"/>
      <c r="AZ42" s="3022"/>
      <c r="BA42" s="2155"/>
      <c r="BB42" s="2155"/>
      <c r="BC42" s="2155"/>
      <c r="BD42" s="3244"/>
      <c r="BE42" s="2155"/>
      <c r="BF42" s="2155"/>
      <c r="BG42" s="2155"/>
      <c r="BH42" s="3246"/>
      <c r="BI42" s="2155"/>
    </row>
    <row r="43" spans="1:62" s="2274" customFormat="1" ht="13.5" hidden="1" thickBot="1">
      <c r="A43" s="2375"/>
      <c r="B43" s="2227"/>
      <c r="C43" s="2149"/>
      <c r="D43" s="3248"/>
      <c r="E43" s="2225" t="s">
        <v>499</v>
      </c>
      <c r="F43" s="2225" t="s">
        <v>19</v>
      </c>
      <c r="G43" s="2226" t="s">
        <v>20</v>
      </c>
      <c r="H43" s="2273">
        <v>17.077351824205223</v>
      </c>
      <c r="I43" s="2273">
        <v>17.077351824205223</v>
      </c>
      <c r="J43" s="2273">
        <v>33.027127425260311</v>
      </c>
      <c r="K43" s="3284">
        <v>0.28938084848484852</v>
      </c>
      <c r="L43" s="2273">
        <v>0.31005090909090915</v>
      </c>
      <c r="M43" s="2273">
        <v>0.31005090909090915</v>
      </c>
      <c r="N43" s="2273">
        <v>0.90431515151515174</v>
      </c>
      <c r="O43" s="2273">
        <v>0.90431515151515174</v>
      </c>
      <c r="P43" s="3285">
        <v>0.18086303030303036</v>
      </c>
      <c r="Q43" s="2273">
        <v>0.18086303030303036</v>
      </c>
      <c r="R43" s="2273">
        <v>5.1675151515151521E-2</v>
      </c>
      <c r="S43" s="2273">
        <v>7.8636100131752304E-2</v>
      </c>
      <c r="T43" s="2273">
        <v>7.8636100131752304E-2</v>
      </c>
      <c r="U43" s="2273">
        <v>4.3062626262626261E-2</v>
      </c>
      <c r="V43" s="2273">
        <v>5.1675151515151532</v>
      </c>
      <c r="W43" s="2273">
        <v>5.1675151515151532</v>
      </c>
      <c r="X43" s="3284">
        <v>4.9608145454545463E-2</v>
      </c>
      <c r="Y43" s="2273">
        <v>1.3435539393939397</v>
      </c>
      <c r="Z43" s="2273">
        <v>0.72345212121212121</v>
      </c>
      <c r="AA43" s="3285">
        <v>3.6172606060606061</v>
      </c>
      <c r="AB43" s="2273">
        <v>1.2546349967981107</v>
      </c>
      <c r="AC43" s="2273">
        <v>3.3837017251415986</v>
      </c>
      <c r="AD43" s="2273">
        <v>8.4250858927629491</v>
      </c>
      <c r="AE43" s="2273" t="s">
        <v>498</v>
      </c>
      <c r="AF43" s="3285" t="s">
        <v>498</v>
      </c>
      <c r="AG43" s="2273">
        <v>95.082278787878806</v>
      </c>
      <c r="AH43" s="2273" t="s">
        <v>498</v>
      </c>
      <c r="AI43" s="2273">
        <v>5.1675151515151514</v>
      </c>
      <c r="AJ43" s="2273">
        <v>5.1675151515151523</v>
      </c>
      <c r="AK43" s="2273" t="s">
        <v>498</v>
      </c>
      <c r="AL43" s="2273" t="s">
        <v>498</v>
      </c>
      <c r="AM43" s="2273" t="s">
        <v>498</v>
      </c>
      <c r="AN43" s="3284">
        <v>0.11006470525779531</v>
      </c>
      <c r="AO43" s="2273">
        <v>6.5507793505674741</v>
      </c>
      <c r="AP43" s="2273">
        <v>5.0495488928098702</v>
      </c>
      <c r="AQ43" s="2273" t="s">
        <v>498</v>
      </c>
      <c r="AR43" s="2273" t="s">
        <v>498</v>
      </c>
      <c r="AS43" s="2273" t="s">
        <v>498</v>
      </c>
      <c r="AT43" s="2273" t="s">
        <v>498</v>
      </c>
      <c r="AU43" s="2273" t="s">
        <v>498</v>
      </c>
      <c r="AV43" s="2273" t="s">
        <v>498</v>
      </c>
      <c r="AW43" s="2273" t="s">
        <v>498</v>
      </c>
      <c r="AX43" s="2273" t="s">
        <v>498</v>
      </c>
      <c r="AY43" s="2273" t="s">
        <v>498</v>
      </c>
      <c r="AZ43" s="3285" t="s">
        <v>498</v>
      </c>
      <c r="BA43" s="2273" t="s">
        <v>498</v>
      </c>
      <c r="BB43" s="2273" t="s">
        <v>498</v>
      </c>
      <c r="BC43" s="2273" t="s">
        <v>498</v>
      </c>
      <c r="BD43" s="3286">
        <v>12.211275086479537</v>
      </c>
      <c r="BE43" s="2273">
        <v>6.3759986969105098</v>
      </c>
      <c r="BF43" s="2273">
        <v>0.4024499158103898</v>
      </c>
      <c r="BG43" s="2273">
        <v>1.5502545454545457E-4</v>
      </c>
      <c r="BH43" s="3287">
        <v>0.1563657163919869</v>
      </c>
      <c r="BI43" s="2273">
        <v>0.23716164818350827</v>
      </c>
      <c r="BJ43" s="3288"/>
    </row>
    <row r="44" spans="1:62" s="2193" customFormat="1" ht="13.5" hidden="1" thickBot="1">
      <c r="A44" s="2362"/>
      <c r="B44" s="2236"/>
      <c r="C44" s="2149"/>
      <c r="D44" s="3248"/>
      <c r="E44" s="2217" t="s">
        <v>476</v>
      </c>
      <c r="F44" s="2217" t="s">
        <v>93</v>
      </c>
      <c r="G44" s="2218" t="s">
        <v>24</v>
      </c>
      <c r="H44" s="2235">
        <v>44.91749562750033</v>
      </c>
      <c r="I44" s="2235">
        <v>44.91749562750033</v>
      </c>
      <c r="J44" s="2235">
        <v>471.89213018468809</v>
      </c>
      <c r="K44" s="3270">
        <v>1115.2928983574939</v>
      </c>
      <c r="L44" s="2235">
        <v>222.79687764809017</v>
      </c>
      <c r="M44" s="2235">
        <v>222.79687764809017</v>
      </c>
      <c r="N44" s="2235">
        <v>1279.86629953186</v>
      </c>
      <c r="O44" s="2235">
        <v>1279.86629953186</v>
      </c>
      <c r="P44" s="3271">
        <v>281.48036424348828</v>
      </c>
      <c r="Q44" s="2235">
        <v>281.48036424348828</v>
      </c>
      <c r="R44" s="2235">
        <v>37.572406133106512</v>
      </c>
      <c r="S44" s="2235">
        <v>46.06063588677533</v>
      </c>
      <c r="T44" s="2235">
        <v>46.06063588677533</v>
      </c>
      <c r="U44" s="2235">
        <v>118.73104424227358</v>
      </c>
      <c r="V44" s="2235">
        <v>4955.6766584901279</v>
      </c>
      <c r="W44" s="2235">
        <v>4955.6766584901279</v>
      </c>
      <c r="X44" s="3270">
        <v>42.903932996838435</v>
      </c>
      <c r="Y44" s="2235">
        <v>805.32166015097914</v>
      </c>
      <c r="Z44" s="2235">
        <v>256.80591390590763</v>
      </c>
      <c r="AA44" s="3271">
        <v>861.40367070672505</v>
      </c>
      <c r="AB44" s="2235">
        <v>337.90586648049367</v>
      </c>
      <c r="AC44" s="2235">
        <v>177.82974375952483</v>
      </c>
      <c r="AD44" s="2235">
        <v>86.666527538306624</v>
      </c>
      <c r="AE44" s="2235" t="s">
        <v>498</v>
      </c>
      <c r="AF44" s="3271" t="s">
        <v>498</v>
      </c>
      <c r="AG44" s="2235">
        <v>588947.92019305448</v>
      </c>
      <c r="AH44" s="2235" t="s">
        <v>498</v>
      </c>
      <c r="AI44" s="2235">
        <v>9744.7938404108027</v>
      </c>
      <c r="AJ44" s="2235">
        <v>2319.6814056859121</v>
      </c>
      <c r="AK44" s="2235" t="s">
        <v>498</v>
      </c>
      <c r="AL44" s="2235" t="s">
        <v>498</v>
      </c>
      <c r="AM44" s="2235" t="s">
        <v>498</v>
      </c>
      <c r="AN44" s="3270">
        <v>0.47047229681189762</v>
      </c>
      <c r="AO44" s="2235">
        <v>7.6476527873813458</v>
      </c>
      <c r="AP44" s="2235">
        <v>9.8621334165861043</v>
      </c>
      <c r="AQ44" s="2235" t="s">
        <v>498</v>
      </c>
      <c r="AR44" s="2235" t="s">
        <v>498</v>
      </c>
      <c r="AS44" s="2235" t="s">
        <v>498</v>
      </c>
      <c r="AT44" s="2235" t="s">
        <v>498</v>
      </c>
      <c r="AU44" s="2235" t="s">
        <v>498</v>
      </c>
      <c r="AV44" s="2235" t="s">
        <v>498</v>
      </c>
      <c r="AW44" s="2235" t="s">
        <v>498</v>
      </c>
      <c r="AX44" s="2235" t="s">
        <v>498</v>
      </c>
      <c r="AY44" s="2235" t="s">
        <v>498</v>
      </c>
      <c r="AZ44" s="3271" t="s">
        <v>498</v>
      </c>
      <c r="BA44" s="2235" t="s">
        <v>498</v>
      </c>
      <c r="BB44" s="2235" t="s">
        <v>498</v>
      </c>
      <c r="BC44" s="2235" t="s">
        <v>498</v>
      </c>
      <c r="BD44" s="3272">
        <v>1.0933830568036531</v>
      </c>
      <c r="BE44" s="2235">
        <v>1.3238276208763722E-2</v>
      </c>
      <c r="BF44" s="2235">
        <v>8.3559351231881599E-4</v>
      </c>
      <c r="BG44" s="2235" t="s">
        <v>595</v>
      </c>
      <c r="BH44" s="3273">
        <v>1.9662852011809541E-2</v>
      </c>
      <c r="BI44" s="2235">
        <v>0.22827126238195775</v>
      </c>
      <c r="BJ44" s="3274"/>
    </row>
    <row r="45" spans="1:62" ht="13.5" hidden="1" thickBot="1">
      <c r="A45" s="3241"/>
      <c r="B45" s="2156"/>
      <c r="C45" s="2149"/>
      <c r="D45" s="3248"/>
      <c r="E45" s="3289" t="s">
        <v>598</v>
      </c>
      <c r="F45" s="3289"/>
      <c r="G45" s="2154"/>
      <c r="H45" s="2155"/>
      <c r="I45" s="2155"/>
      <c r="J45" s="2155"/>
      <c r="K45" s="3243"/>
      <c r="L45" s="2155"/>
      <c r="M45" s="2155"/>
      <c r="N45" s="2155"/>
      <c r="O45" s="2155"/>
      <c r="P45" s="3022"/>
      <c r="Q45" s="2155"/>
      <c r="R45" s="2155"/>
      <c r="S45" s="2155"/>
      <c r="T45" s="2155"/>
      <c r="U45" s="2155"/>
      <c r="V45" s="2155"/>
      <c r="W45" s="2155"/>
      <c r="X45" s="3243"/>
      <c r="Y45" s="2155"/>
      <c r="Z45" s="2155"/>
      <c r="AA45" s="3022"/>
      <c r="AB45" s="2155"/>
      <c r="AC45" s="2155"/>
      <c r="AD45" s="2155"/>
      <c r="AE45" s="2155"/>
      <c r="AF45" s="3022"/>
      <c r="AG45" s="2155"/>
      <c r="AH45" s="2155"/>
      <c r="AI45" s="2155"/>
      <c r="AJ45" s="2155"/>
      <c r="AK45" s="2155"/>
      <c r="AL45" s="2155"/>
      <c r="AM45" s="2155"/>
      <c r="AN45" s="3243"/>
      <c r="AO45" s="2155"/>
      <c r="AP45" s="2155"/>
      <c r="AQ45" s="2155"/>
      <c r="AR45" s="2155"/>
      <c r="AS45" s="2155"/>
      <c r="AT45" s="2155"/>
      <c r="AU45" s="2155"/>
      <c r="AV45" s="2155"/>
      <c r="AW45" s="2155"/>
      <c r="AX45" s="2155"/>
      <c r="AY45" s="2155"/>
      <c r="AZ45" s="3022"/>
      <c r="BA45" s="2155"/>
      <c r="BB45" s="2155"/>
      <c r="BC45" s="2155"/>
      <c r="BD45" s="3244"/>
      <c r="BE45" s="2155"/>
      <c r="BF45" s="2155"/>
      <c r="BG45" s="2155"/>
      <c r="BH45" s="3246"/>
      <c r="BI45" s="2155"/>
    </row>
    <row r="46" spans="1:62" s="2274" customFormat="1" ht="13.5" hidden="1" thickBot="1">
      <c r="A46" s="2375"/>
      <c r="B46" s="2227"/>
      <c r="C46" s="240"/>
      <c r="D46" s="3238"/>
      <c r="E46" s="2225" t="s">
        <v>499</v>
      </c>
      <c r="F46" s="2225" t="s">
        <v>19</v>
      </c>
      <c r="G46" s="2226" t="s">
        <v>20</v>
      </c>
      <c r="H46" s="2273">
        <v>47.816585107774628</v>
      </c>
      <c r="I46" s="2273">
        <v>47.816585107774628</v>
      </c>
      <c r="J46" s="2273">
        <v>92.475956790728887</v>
      </c>
      <c r="K46" s="3284">
        <v>0.81026637575757587</v>
      </c>
      <c r="L46" s="2273">
        <v>0.86814254545454572</v>
      </c>
      <c r="M46" s="2273">
        <v>0.86814254545454572</v>
      </c>
      <c r="N46" s="2273">
        <v>2.5320824242424247</v>
      </c>
      <c r="O46" s="2273">
        <v>2.5320824242424247</v>
      </c>
      <c r="P46" s="3285">
        <v>0.506416484848485</v>
      </c>
      <c r="Q46" s="2273">
        <v>0.506416484848485</v>
      </c>
      <c r="R46" s="2273">
        <v>0.14469042424242429</v>
      </c>
      <c r="S46" s="2273">
        <v>0.22018108036890649</v>
      </c>
      <c r="T46" s="2273">
        <v>0.22018108036890649</v>
      </c>
      <c r="U46" s="2273">
        <v>0.12057535353535355</v>
      </c>
      <c r="V46" s="2273">
        <v>14.469042424242428</v>
      </c>
      <c r="W46" s="2273">
        <v>14.469042424242428</v>
      </c>
      <c r="X46" s="3284">
        <v>0.1389028072727273</v>
      </c>
      <c r="Y46" s="2273">
        <v>3.7619510303030319</v>
      </c>
      <c r="Z46" s="2273">
        <v>2.0256659393939396</v>
      </c>
      <c r="AA46" s="3285">
        <v>10.128329696969697</v>
      </c>
      <c r="AB46" s="2273">
        <v>3.5129779910347096</v>
      </c>
      <c r="AC46" s="2273">
        <v>9.4743648303964783</v>
      </c>
      <c r="AD46" s="2273">
        <v>23.590240499736264</v>
      </c>
      <c r="AE46" s="2273" t="s">
        <v>498</v>
      </c>
      <c r="AF46" s="3285" t="s">
        <v>498</v>
      </c>
      <c r="AG46" s="2273" t="s">
        <v>498</v>
      </c>
      <c r="AH46" s="2273" t="s">
        <v>498</v>
      </c>
      <c r="AI46" s="2273">
        <v>14.469042424242426</v>
      </c>
      <c r="AJ46" s="2273" t="s">
        <v>498</v>
      </c>
      <c r="AK46" s="2273" t="s">
        <v>498</v>
      </c>
      <c r="AL46" s="2273" t="s">
        <v>498</v>
      </c>
      <c r="AM46" s="2273" t="s">
        <v>498</v>
      </c>
      <c r="AN46" s="3284">
        <v>0.30818117472182688</v>
      </c>
      <c r="AO46" s="2273">
        <v>18.342182181588921</v>
      </c>
      <c r="AP46" s="2273" t="s">
        <v>498</v>
      </c>
      <c r="AQ46" s="2273" t="s">
        <v>498</v>
      </c>
      <c r="AR46" s="2273" t="s">
        <v>498</v>
      </c>
      <c r="AS46" s="2273" t="s">
        <v>498</v>
      </c>
      <c r="AT46" s="2273" t="s">
        <v>498</v>
      </c>
      <c r="AU46" s="2273" t="s">
        <v>498</v>
      </c>
      <c r="AV46" s="2273" t="s">
        <v>498</v>
      </c>
      <c r="AW46" s="2273" t="s">
        <v>498</v>
      </c>
      <c r="AX46" s="2273" t="s">
        <v>498</v>
      </c>
      <c r="AY46" s="2273" t="s">
        <v>498</v>
      </c>
      <c r="AZ46" s="3285" t="s">
        <v>498</v>
      </c>
      <c r="BA46" s="2273" t="s">
        <v>498</v>
      </c>
      <c r="BB46" s="2273" t="s">
        <v>498</v>
      </c>
      <c r="BC46" s="2273" t="s">
        <v>498</v>
      </c>
      <c r="BD46" s="3286">
        <v>34.19157024214271</v>
      </c>
      <c r="BE46" s="2273">
        <v>17.852796351349429</v>
      </c>
      <c r="BF46" s="2273">
        <v>1.1268597642690916</v>
      </c>
      <c r="BG46" s="2273">
        <v>4.340712727272728E-4</v>
      </c>
      <c r="BH46" s="3287">
        <v>0.43782400589756337</v>
      </c>
      <c r="BI46" s="2273">
        <v>0.66405261491382317</v>
      </c>
      <c r="BJ46" s="3288"/>
    </row>
    <row r="47" spans="1:62" ht="13.5" hidden="1" thickBot="1">
      <c r="A47" s="3241"/>
      <c r="B47" s="2156"/>
      <c r="C47" s="240"/>
      <c r="D47" s="3238"/>
      <c r="E47" s="2356" t="s">
        <v>476</v>
      </c>
      <c r="F47" s="2356" t="s">
        <v>93</v>
      </c>
      <c r="G47" s="2350" t="s">
        <v>24</v>
      </c>
      <c r="H47" s="2322">
        <v>125.76898775700093</v>
      </c>
      <c r="I47" s="2322">
        <v>125.76898775700093</v>
      </c>
      <c r="J47" s="2322">
        <v>1321.2979645171267</v>
      </c>
      <c r="K47" s="3290">
        <v>3122.820115400983</v>
      </c>
      <c r="L47" s="2322">
        <v>623.83125741465255</v>
      </c>
      <c r="M47" s="2322">
        <v>623.83125741465255</v>
      </c>
      <c r="N47" s="2322">
        <v>3583.6256386892078</v>
      </c>
      <c r="O47" s="2322">
        <v>3583.6256386892078</v>
      </c>
      <c r="P47" s="3054">
        <v>788.14501988176721</v>
      </c>
      <c r="Q47" s="2322">
        <v>788.14501988176721</v>
      </c>
      <c r="R47" s="2322">
        <v>105.20273717269826</v>
      </c>
      <c r="S47" s="2322">
        <v>128.96978048297095</v>
      </c>
      <c r="T47" s="2322">
        <v>128.96978048297095</v>
      </c>
      <c r="U47" s="2322">
        <v>332.44692387836608</v>
      </c>
      <c r="V47" s="2322">
        <v>13875.894643772357</v>
      </c>
      <c r="W47" s="2322">
        <v>13875.894643772357</v>
      </c>
      <c r="X47" s="3290">
        <v>120.13101239114764</v>
      </c>
      <c r="Y47" s="2322">
        <v>2254.9006484227425</v>
      </c>
      <c r="Z47" s="2322">
        <v>719.05655893654125</v>
      </c>
      <c r="AA47" s="3054">
        <v>2411.93027797883</v>
      </c>
      <c r="AB47" s="2322">
        <v>946.13642614538207</v>
      </c>
      <c r="AC47" s="2322">
        <v>497.9232825266696</v>
      </c>
      <c r="AD47" s="2322">
        <v>242.66627710725865</v>
      </c>
      <c r="AE47" s="2322" t="s">
        <v>498</v>
      </c>
      <c r="AF47" s="3054" t="s">
        <v>498</v>
      </c>
      <c r="AG47" s="2322" t="s">
        <v>498</v>
      </c>
      <c r="AH47" s="2322" t="s">
        <v>498</v>
      </c>
      <c r="AI47" s="2322">
        <v>27285.422753150247</v>
      </c>
      <c r="AJ47" s="2322" t="s">
        <v>498</v>
      </c>
      <c r="AK47" s="2322" t="s">
        <v>498</v>
      </c>
      <c r="AL47" s="2322" t="s">
        <v>498</v>
      </c>
      <c r="AM47" s="2322" t="s">
        <v>498</v>
      </c>
      <c r="AN47" s="3290">
        <v>1.3173224310733134</v>
      </c>
      <c r="AO47" s="2322">
        <v>21.413427804667759</v>
      </c>
      <c r="AP47" s="2322" t="s">
        <v>498</v>
      </c>
      <c r="AQ47" s="2322" t="s">
        <v>498</v>
      </c>
      <c r="AR47" s="2322" t="s">
        <v>498</v>
      </c>
      <c r="AS47" s="2322" t="s">
        <v>498</v>
      </c>
      <c r="AT47" s="2322" t="s">
        <v>498</v>
      </c>
      <c r="AU47" s="2322" t="s">
        <v>498</v>
      </c>
      <c r="AV47" s="2322" t="s">
        <v>498</v>
      </c>
      <c r="AW47" s="2322" t="s">
        <v>498</v>
      </c>
      <c r="AX47" s="2322" t="s">
        <v>498</v>
      </c>
      <c r="AY47" s="2322" t="s">
        <v>498</v>
      </c>
      <c r="AZ47" s="3054" t="s">
        <v>498</v>
      </c>
      <c r="BA47" s="2322" t="s">
        <v>498</v>
      </c>
      <c r="BB47" s="2322" t="s">
        <v>498</v>
      </c>
      <c r="BC47" s="2322" t="s">
        <v>498</v>
      </c>
      <c r="BD47" s="3291">
        <v>3.061472559050229</v>
      </c>
      <c r="BE47" s="2322">
        <v>3.7067173384538424E-2</v>
      </c>
      <c r="BF47" s="2322">
        <v>2.3396618344926848E-3</v>
      </c>
      <c r="BG47" s="2322" t="s">
        <v>595</v>
      </c>
      <c r="BH47" s="3292">
        <v>5.5055985633066712E-2</v>
      </c>
      <c r="BI47" s="2322">
        <v>0.63915953466948172</v>
      </c>
    </row>
    <row r="48" spans="1:62" s="2137" customFormat="1" ht="13.5" hidden="1" thickBot="1">
      <c r="B48" s="3233"/>
      <c r="C48" s="240"/>
      <c r="D48" s="3238"/>
      <c r="E48" s="3235" t="s">
        <v>627</v>
      </c>
      <c r="F48" s="3235"/>
      <c r="G48" s="3236"/>
      <c r="H48" s="499"/>
      <c r="I48" s="499"/>
      <c r="J48" s="499"/>
      <c r="K48" s="498"/>
      <c r="L48" s="499"/>
      <c r="M48" s="499"/>
      <c r="N48" s="499"/>
      <c r="O48" s="499"/>
      <c r="P48" s="501"/>
      <c r="Q48" s="499"/>
      <c r="R48" s="499"/>
      <c r="S48" s="499"/>
      <c r="T48" s="499"/>
      <c r="U48" s="499"/>
      <c r="V48" s="499"/>
      <c r="W48" s="499"/>
      <c r="X48" s="498"/>
      <c r="Y48" s="499"/>
      <c r="Z48" s="499"/>
      <c r="AA48" s="501"/>
      <c r="AB48" s="499"/>
      <c r="AC48" s="499"/>
      <c r="AD48" s="499"/>
      <c r="AE48" s="499"/>
      <c r="AF48" s="501"/>
      <c r="AG48" s="499"/>
      <c r="AH48" s="499"/>
      <c r="AI48" s="499"/>
      <c r="AJ48" s="499"/>
      <c r="AK48" s="499"/>
      <c r="AL48" s="499"/>
      <c r="AM48" s="499"/>
      <c r="AN48" s="498"/>
      <c r="AO48" s="499"/>
      <c r="AP48" s="499"/>
      <c r="AQ48" s="499"/>
      <c r="AR48" s="499"/>
      <c r="AS48" s="499"/>
      <c r="AT48" s="499"/>
      <c r="AU48" s="499"/>
      <c r="AV48" s="499"/>
      <c r="AW48" s="499"/>
      <c r="AX48" s="499"/>
      <c r="AY48" s="499"/>
      <c r="AZ48" s="501"/>
      <c r="BA48" s="499"/>
      <c r="BB48" s="499"/>
      <c r="BC48" s="499"/>
      <c r="BD48" s="2083"/>
      <c r="BE48" s="499"/>
      <c r="BF48" s="499"/>
      <c r="BG48" s="499"/>
      <c r="BH48" s="2546"/>
      <c r="BI48" s="499"/>
      <c r="BJ48" s="3237"/>
    </row>
    <row r="49" spans="1:62" ht="13.5" hidden="1" thickBot="1">
      <c r="A49" s="3241"/>
      <c r="B49" s="2156"/>
      <c r="C49" s="276"/>
      <c r="D49" s="3279"/>
      <c r="E49" s="2153" t="s">
        <v>305</v>
      </c>
      <c r="F49" s="2153" t="s">
        <v>19</v>
      </c>
      <c r="G49" s="2154" t="s">
        <v>20</v>
      </c>
      <c r="H49" s="2155">
        <v>2191.0042258112398</v>
      </c>
      <c r="I49" s="2155">
        <v>2191.0042258112398</v>
      </c>
      <c r="J49" s="2155">
        <v>2748.1893273665305</v>
      </c>
      <c r="K49" s="3243">
        <v>8.3722240000000028</v>
      </c>
      <c r="L49" s="2155">
        <v>11.45668921494269</v>
      </c>
      <c r="M49" s="2155">
        <v>11.45668921494269</v>
      </c>
      <c r="N49" s="2155">
        <v>29.900800000000004</v>
      </c>
      <c r="O49" s="2155">
        <v>29.900800000000004</v>
      </c>
      <c r="P49" s="3022">
        <v>5.2326400000000008</v>
      </c>
      <c r="Q49" s="2155">
        <v>5.2326400000000008</v>
      </c>
      <c r="R49" s="2155">
        <v>2.4907697736790411</v>
      </c>
      <c r="S49" s="2155">
        <v>11.147744279592089</v>
      </c>
      <c r="T49" s="2155">
        <v>11.147744279592089</v>
      </c>
      <c r="U49" s="2155">
        <v>5.681152</v>
      </c>
      <c r="V49" s="2155">
        <v>274.51616191583679</v>
      </c>
      <c r="W49" s="2155">
        <v>274.51616191583679</v>
      </c>
      <c r="X49" s="3243">
        <v>1.5663037092258811</v>
      </c>
      <c r="Y49" s="2155">
        <v>54.799322524727273</v>
      </c>
      <c r="Z49" s="2155">
        <v>78.274575708136624</v>
      </c>
      <c r="AA49" s="3022">
        <v>104.65279999999998</v>
      </c>
      <c r="AB49" s="2155">
        <v>107.49443012002149</v>
      </c>
      <c r="AC49" s="2155">
        <v>329.64104048117611</v>
      </c>
      <c r="AD49" s="2155">
        <v>1364.9118543979573</v>
      </c>
      <c r="AE49" s="2155" t="s">
        <v>498</v>
      </c>
      <c r="AF49" s="3022" t="s">
        <v>498</v>
      </c>
      <c r="AG49" s="2155">
        <v>2750.8735999999999</v>
      </c>
      <c r="AH49" s="2155">
        <v>2750.8736000000004</v>
      </c>
      <c r="AI49" s="2155">
        <v>186.82377971933545</v>
      </c>
      <c r="AJ49" s="2155">
        <v>470.60358553181504</v>
      </c>
      <c r="AK49" s="2155">
        <v>1395.3655453243891</v>
      </c>
      <c r="AL49" s="2155" t="s">
        <v>498</v>
      </c>
      <c r="AM49" s="2155" t="s">
        <v>498</v>
      </c>
      <c r="AN49" s="3243">
        <v>51.492626484514297</v>
      </c>
      <c r="AO49" s="2155" t="s">
        <v>498</v>
      </c>
      <c r="AP49" s="2155" t="s">
        <v>498</v>
      </c>
      <c r="AQ49" s="2155" t="s">
        <v>498</v>
      </c>
      <c r="AR49" s="2155" t="s">
        <v>498</v>
      </c>
      <c r="AS49" s="2155" t="s">
        <v>498</v>
      </c>
      <c r="AT49" s="2155" t="s">
        <v>498</v>
      </c>
      <c r="AU49" s="2155" t="s">
        <v>498</v>
      </c>
      <c r="AV49" s="2155" t="s">
        <v>498</v>
      </c>
      <c r="AW49" s="2155" t="s">
        <v>498</v>
      </c>
      <c r="AX49" s="2155" t="s">
        <v>498</v>
      </c>
      <c r="AY49" s="2155" t="s">
        <v>498</v>
      </c>
      <c r="AZ49" s="3022" t="s">
        <v>498</v>
      </c>
      <c r="BA49" s="2155" t="s">
        <v>498</v>
      </c>
      <c r="BB49" s="2155" t="s">
        <v>498</v>
      </c>
      <c r="BC49" s="2155" t="s">
        <v>498</v>
      </c>
      <c r="BD49" s="3244">
        <v>863.45157966215129</v>
      </c>
      <c r="BE49" s="2155">
        <v>22056.589925835764</v>
      </c>
      <c r="BF49" s="2155">
        <v>44113.179851671528</v>
      </c>
      <c r="BG49" s="2155">
        <v>4.4851199999999996E-3</v>
      </c>
      <c r="BH49" s="3246">
        <v>18.974818145732929</v>
      </c>
      <c r="BI49" s="2155">
        <v>8.6175994834419818</v>
      </c>
    </row>
    <row r="50" spans="1:62" ht="13.5" hidden="1" thickBot="1">
      <c r="A50" s="3241"/>
      <c r="B50" s="2156"/>
      <c r="C50" s="2149"/>
      <c r="D50" s="3248"/>
      <c r="E50" s="2153" t="s">
        <v>306</v>
      </c>
      <c r="F50" s="2153" t="s">
        <v>19</v>
      </c>
      <c r="G50" s="2154" t="s">
        <v>20</v>
      </c>
      <c r="H50" s="2155" t="s">
        <v>498</v>
      </c>
      <c r="I50" s="2155" t="s">
        <v>498</v>
      </c>
      <c r="J50" s="2155" t="s">
        <v>498</v>
      </c>
      <c r="K50" s="3243">
        <v>52.3264</v>
      </c>
      <c r="L50" s="2155" t="s">
        <v>498</v>
      </c>
      <c r="M50" s="2155" t="s">
        <v>498</v>
      </c>
      <c r="N50" s="2155">
        <v>26.163199999999993</v>
      </c>
      <c r="O50" s="2155">
        <v>26.163199999999993</v>
      </c>
      <c r="P50" s="3022">
        <v>8.8688813559322011</v>
      </c>
      <c r="Q50" s="2155">
        <v>8.8688813559322011</v>
      </c>
      <c r="R50" s="2155">
        <v>52.3264</v>
      </c>
      <c r="S50" s="2155">
        <v>2.2750608695652175</v>
      </c>
      <c r="T50" s="2155">
        <v>2.2750608695652175</v>
      </c>
      <c r="U50" s="2155">
        <v>1.2458666666666662</v>
      </c>
      <c r="V50" s="2155" t="s">
        <v>498</v>
      </c>
      <c r="W50" s="2155" t="s">
        <v>498</v>
      </c>
      <c r="X50" s="3243">
        <v>8.7210666666666654</v>
      </c>
      <c r="Y50" s="2155" t="s">
        <v>498</v>
      </c>
      <c r="Z50" s="2155">
        <v>20.93056</v>
      </c>
      <c r="AA50" s="3022" t="s">
        <v>498</v>
      </c>
      <c r="AB50" s="2155" t="s">
        <v>498</v>
      </c>
      <c r="AC50" s="2155" t="s">
        <v>498</v>
      </c>
      <c r="AD50" s="2155" t="s">
        <v>498</v>
      </c>
      <c r="AE50" s="2155" t="s">
        <v>498</v>
      </c>
      <c r="AF50" s="3022" t="s">
        <v>498</v>
      </c>
      <c r="AG50" s="2155" t="s">
        <v>498</v>
      </c>
      <c r="AH50" s="2155" t="s">
        <v>498</v>
      </c>
      <c r="AI50" s="2155" t="s">
        <v>498</v>
      </c>
      <c r="AJ50" s="2155" t="s">
        <v>498</v>
      </c>
      <c r="AK50" s="2155" t="s">
        <v>498</v>
      </c>
      <c r="AL50" s="2155" t="s">
        <v>498</v>
      </c>
      <c r="AM50" s="2155" t="s">
        <v>498</v>
      </c>
      <c r="AN50" s="3243">
        <v>9.1604669046782199</v>
      </c>
      <c r="AO50" s="2155">
        <v>769.73793241904821</v>
      </c>
      <c r="AP50" s="2155">
        <v>535.13368276392089</v>
      </c>
      <c r="AQ50" s="2155">
        <v>1078.9120575431421</v>
      </c>
      <c r="AR50" s="2155">
        <v>4258.1628635722282</v>
      </c>
      <c r="AS50" s="2155">
        <v>969.60594800601586</v>
      </c>
      <c r="AT50" s="2155">
        <v>42693.777814207438</v>
      </c>
      <c r="AU50" s="2155">
        <v>43804.451613587378</v>
      </c>
      <c r="AV50" s="2155">
        <v>2876.6943239505963</v>
      </c>
      <c r="AW50" s="2155">
        <v>232328.76088926633</v>
      </c>
      <c r="AX50" s="2155">
        <v>108058.99206876886</v>
      </c>
      <c r="AY50" s="2155">
        <v>202596.54017547672</v>
      </c>
      <c r="AZ50" s="3022">
        <v>55943.83380231879</v>
      </c>
      <c r="BA50" s="2155">
        <v>38151.034092031761</v>
      </c>
      <c r="BB50" s="2155">
        <v>410439.46274852112</v>
      </c>
      <c r="BC50" s="2155">
        <v>161316.91448327704</v>
      </c>
      <c r="BD50" s="3244" t="s">
        <v>498</v>
      </c>
      <c r="BE50" s="2155" t="s">
        <v>498</v>
      </c>
      <c r="BF50" s="2155">
        <v>730.04188708141419</v>
      </c>
      <c r="BG50" s="2155" t="s">
        <v>498</v>
      </c>
      <c r="BH50" s="3246" t="s">
        <v>498</v>
      </c>
      <c r="BI50" s="2155" t="s">
        <v>498</v>
      </c>
    </row>
    <row r="51" spans="1:62" ht="26.25" hidden="1" thickBot="1">
      <c r="A51" s="2275"/>
      <c r="B51" s="2156"/>
      <c r="C51" s="2149"/>
      <c r="D51" s="3248"/>
      <c r="E51" s="2153" t="s">
        <v>493</v>
      </c>
      <c r="F51" s="2153" t="s">
        <v>19</v>
      </c>
      <c r="G51" s="2154" t="s">
        <v>20</v>
      </c>
      <c r="H51" s="2155">
        <v>2191.0042258112398</v>
      </c>
      <c r="I51" s="2155">
        <v>2191.0042258112398</v>
      </c>
      <c r="J51" s="2155">
        <v>2748.1893273665305</v>
      </c>
      <c r="K51" s="3243">
        <v>8.3722240000000028</v>
      </c>
      <c r="L51" s="2155">
        <v>11.45668921494269</v>
      </c>
      <c r="M51" s="2155">
        <v>11.45668921494269</v>
      </c>
      <c r="N51" s="2155">
        <v>26.163199999999993</v>
      </c>
      <c r="O51" s="2155">
        <v>26.163199999999993</v>
      </c>
      <c r="P51" s="3022">
        <v>5.2326400000000008</v>
      </c>
      <c r="Q51" s="2155">
        <v>5.2326400000000008</v>
      </c>
      <c r="R51" s="2155">
        <v>2.4907697736790411</v>
      </c>
      <c r="S51" s="2155">
        <v>2.2750608695652175</v>
      </c>
      <c r="T51" s="2155">
        <v>2.2750608695652175</v>
      </c>
      <c r="U51" s="2155">
        <v>1.2458666666666662</v>
      </c>
      <c r="V51" s="2155">
        <v>274.51616191583679</v>
      </c>
      <c r="W51" s="2155">
        <v>274.51616191583679</v>
      </c>
      <c r="X51" s="3243">
        <v>1.5663037092258811</v>
      </c>
      <c r="Y51" s="2155">
        <v>54.799322524727273</v>
      </c>
      <c r="Z51" s="2155">
        <v>20.93056</v>
      </c>
      <c r="AA51" s="3022">
        <v>104.65279999999998</v>
      </c>
      <c r="AB51" s="2155">
        <v>107.49443012002149</v>
      </c>
      <c r="AC51" s="2155">
        <v>329.64104048117611</v>
      </c>
      <c r="AD51" s="2155">
        <v>1364.9118543979573</v>
      </c>
      <c r="AE51" s="2155" t="s">
        <v>498</v>
      </c>
      <c r="AF51" s="3022" t="s">
        <v>498</v>
      </c>
      <c r="AG51" s="2155">
        <v>2750.8735999999999</v>
      </c>
      <c r="AH51" s="2155">
        <v>2750.8736000000004</v>
      </c>
      <c r="AI51" s="2155">
        <v>186.82377971933545</v>
      </c>
      <c r="AJ51" s="2155">
        <v>470.60358553181504</v>
      </c>
      <c r="AK51" s="2155">
        <v>1395.3655453243891</v>
      </c>
      <c r="AL51" s="2155" t="s">
        <v>498</v>
      </c>
      <c r="AM51" s="2155" t="s">
        <v>498</v>
      </c>
      <c r="AN51" s="3243">
        <v>9.1604669046782199</v>
      </c>
      <c r="AO51" s="2155">
        <v>769.73793241904821</v>
      </c>
      <c r="AP51" s="2155">
        <v>535.13368276392089</v>
      </c>
      <c r="AQ51" s="2155">
        <v>1078.9120575431421</v>
      </c>
      <c r="AR51" s="2155">
        <v>4258.1628635722282</v>
      </c>
      <c r="AS51" s="2155">
        <v>969.60594800601586</v>
      </c>
      <c r="AT51" s="2155">
        <v>42693.777814207438</v>
      </c>
      <c r="AU51" s="2155">
        <v>43804.451613587378</v>
      </c>
      <c r="AV51" s="2155">
        <v>2876.6943239505963</v>
      </c>
      <c r="AW51" s="2155">
        <v>232328.76088926633</v>
      </c>
      <c r="AX51" s="2155">
        <v>108058.99206876886</v>
      </c>
      <c r="AY51" s="2155">
        <v>202596.54017547672</v>
      </c>
      <c r="AZ51" s="3022">
        <v>55943.83380231879</v>
      </c>
      <c r="BA51" s="2155">
        <v>38151.034092031761</v>
      </c>
      <c r="BB51" s="2155">
        <v>410439.46274852112</v>
      </c>
      <c r="BC51" s="2155">
        <v>161316.91448327704</v>
      </c>
      <c r="BD51" s="3244">
        <v>863.45157966215129</v>
      </c>
      <c r="BE51" s="2155">
        <v>22056.589925835764</v>
      </c>
      <c r="BF51" s="2155">
        <v>730.04188708141419</v>
      </c>
      <c r="BG51" s="2155">
        <v>4.4851199999999996E-3</v>
      </c>
      <c r="BH51" s="3246">
        <v>18.974818145732929</v>
      </c>
      <c r="BI51" s="2155">
        <v>8.6175994834419818</v>
      </c>
    </row>
    <row r="52" spans="1:62" s="2274" customFormat="1" ht="13.5" hidden="1" thickBot="1">
      <c r="A52" s="2375"/>
      <c r="B52" s="2227"/>
      <c r="C52" s="240"/>
      <c r="D52" s="3242"/>
      <c r="E52" s="2225" t="s">
        <v>499</v>
      </c>
      <c r="F52" s="2225" t="s">
        <v>19</v>
      </c>
      <c r="G52" s="2226" t="s">
        <v>20</v>
      </c>
      <c r="H52" s="2273">
        <v>2191.0042258112398</v>
      </c>
      <c r="I52" s="2273">
        <v>2191.0042258112398</v>
      </c>
      <c r="J52" s="2273">
        <v>2748.1893273665305</v>
      </c>
      <c r="K52" s="3284">
        <v>8.3722240000000028</v>
      </c>
      <c r="L52" s="2273">
        <v>11.45668921494269</v>
      </c>
      <c r="M52" s="2273">
        <v>11.45668921494269</v>
      </c>
      <c r="N52" s="2273">
        <v>26.163199999999993</v>
      </c>
      <c r="O52" s="2273">
        <v>26.163199999999993</v>
      </c>
      <c r="P52" s="3285">
        <v>5.2326400000000008</v>
      </c>
      <c r="Q52" s="2273">
        <v>5.2326400000000008</v>
      </c>
      <c r="R52" s="2273">
        <v>2.4907697736790411</v>
      </c>
      <c r="S52" s="2273">
        <v>2.2750608695652175</v>
      </c>
      <c r="T52" s="2273">
        <v>2.2750608695652175</v>
      </c>
      <c r="U52" s="2273">
        <v>1.2458666666666662</v>
      </c>
      <c r="V52" s="2273" t="s">
        <v>498</v>
      </c>
      <c r="W52" s="2273" t="s">
        <v>498</v>
      </c>
      <c r="X52" s="3284">
        <v>1.5663037092258811</v>
      </c>
      <c r="Y52" s="2273">
        <v>54.799322524727273</v>
      </c>
      <c r="Z52" s="2273">
        <v>20.93056</v>
      </c>
      <c r="AA52" s="3285">
        <v>104.65279999999998</v>
      </c>
      <c r="AB52" s="2273">
        <v>107.49443012002149</v>
      </c>
      <c r="AC52" s="2273" t="s">
        <v>498</v>
      </c>
      <c r="AD52" s="2273" t="s">
        <v>498</v>
      </c>
      <c r="AE52" s="2273" t="s">
        <v>498</v>
      </c>
      <c r="AF52" s="3285" t="s">
        <v>498</v>
      </c>
      <c r="AG52" s="2273" t="s">
        <v>498</v>
      </c>
      <c r="AH52" s="2273" t="s">
        <v>498</v>
      </c>
      <c r="AI52" s="2273" t="s">
        <v>498</v>
      </c>
      <c r="AJ52" s="2273" t="s">
        <v>498</v>
      </c>
      <c r="AK52" s="2273" t="s">
        <v>498</v>
      </c>
      <c r="AL52" s="2273" t="s">
        <v>498</v>
      </c>
      <c r="AM52" s="2273" t="s">
        <v>498</v>
      </c>
      <c r="AN52" s="3284">
        <v>9.1604669046782199</v>
      </c>
      <c r="AO52" s="2273" t="s">
        <v>498</v>
      </c>
      <c r="AP52" s="2273" t="s">
        <v>498</v>
      </c>
      <c r="AQ52" s="2273" t="s">
        <v>498</v>
      </c>
      <c r="AR52" s="2273" t="s">
        <v>498</v>
      </c>
      <c r="AS52" s="2273" t="s">
        <v>498</v>
      </c>
      <c r="AT52" s="2273" t="s">
        <v>498</v>
      </c>
      <c r="AU52" s="2273" t="s">
        <v>498</v>
      </c>
      <c r="AV52" s="2273" t="s">
        <v>498</v>
      </c>
      <c r="AW52" s="2273" t="s">
        <v>498</v>
      </c>
      <c r="AX52" s="2273" t="s">
        <v>498</v>
      </c>
      <c r="AY52" s="2273" t="s">
        <v>498</v>
      </c>
      <c r="AZ52" s="3285" t="s">
        <v>498</v>
      </c>
      <c r="BA52" s="2273" t="s">
        <v>498</v>
      </c>
      <c r="BB52" s="2273" t="s">
        <v>498</v>
      </c>
      <c r="BC52" s="2273" t="s">
        <v>498</v>
      </c>
      <c r="BD52" s="3286">
        <v>863.45157966215129</v>
      </c>
      <c r="BE52" s="2273" t="s">
        <v>498</v>
      </c>
      <c r="BF52" s="2273" t="s">
        <v>498</v>
      </c>
      <c r="BG52" s="2273">
        <v>4.4851199999999996E-3</v>
      </c>
      <c r="BH52" s="3287">
        <v>18.974818145732929</v>
      </c>
      <c r="BI52" s="2273">
        <v>8.6175994834419818</v>
      </c>
      <c r="BJ52" s="3288"/>
    </row>
    <row r="53" spans="1:62" s="2193" customFormat="1" ht="13.5" hidden="1" thickBot="1">
      <c r="A53" s="2362"/>
      <c r="B53" s="2236"/>
      <c r="C53" s="2241"/>
      <c r="D53" s="3234"/>
      <c r="E53" s="2356" t="s">
        <v>476</v>
      </c>
      <c r="F53" s="2356" t="s">
        <v>93</v>
      </c>
      <c r="G53" s="2350" t="s">
        <v>24</v>
      </c>
      <c r="H53" s="2235">
        <v>5762.86204944374</v>
      </c>
      <c r="I53" s="2235">
        <v>5762.86204944374</v>
      </c>
      <c r="J53" s="2235">
        <v>39266.173504691214</v>
      </c>
      <c r="K53" s="3270">
        <v>32267.104127822295</v>
      </c>
      <c r="L53" s="2235">
        <v>8232.5660413573096</v>
      </c>
      <c r="M53" s="2235">
        <v>8232.5660413573096</v>
      </c>
      <c r="N53" s="2235">
        <v>37028.460611113514</v>
      </c>
      <c r="O53" s="2235">
        <v>37028.460611113514</v>
      </c>
      <c r="P53" s="3271">
        <v>8143.6510860581811</v>
      </c>
      <c r="Q53" s="2235">
        <v>8143.6510860581811</v>
      </c>
      <c r="R53" s="2235">
        <v>1811.0099492073127</v>
      </c>
      <c r="S53" s="2235">
        <v>1332.6036026420479</v>
      </c>
      <c r="T53" s="2235">
        <v>1332.6036026420479</v>
      </c>
      <c r="U53" s="2235">
        <v>3435.0680197216675</v>
      </c>
      <c r="V53" s="2235" t="s">
        <v>498</v>
      </c>
      <c r="W53" s="2235" t="s">
        <v>498</v>
      </c>
      <c r="X53" s="3270">
        <v>1354.6281316825423</v>
      </c>
      <c r="Y53" s="2235">
        <v>32846.527479700067</v>
      </c>
      <c r="Z53" s="2235">
        <v>7429.7820571133807</v>
      </c>
      <c r="AA53" s="3271">
        <v>24921.706199076754</v>
      </c>
      <c r="AB53" s="2235">
        <v>28951.048427814298</v>
      </c>
      <c r="AC53" s="2235" t="s">
        <v>498</v>
      </c>
      <c r="AD53" s="2235" t="s">
        <v>498</v>
      </c>
      <c r="AE53" s="2235" t="s">
        <v>498</v>
      </c>
      <c r="AF53" s="3271" t="s">
        <v>498</v>
      </c>
      <c r="AG53" s="2235" t="s">
        <v>498</v>
      </c>
      <c r="AH53" s="2235" t="s">
        <v>498</v>
      </c>
      <c r="AI53" s="2235" t="s">
        <v>498</v>
      </c>
      <c r="AJ53" s="2235" t="s">
        <v>498</v>
      </c>
      <c r="AK53" s="2235" t="s">
        <v>498</v>
      </c>
      <c r="AL53" s="2235" t="s">
        <v>498</v>
      </c>
      <c r="AM53" s="2235" t="s">
        <v>498</v>
      </c>
      <c r="AN53" s="3270">
        <v>39.156475224450752</v>
      </c>
      <c r="AO53" s="2235" t="s">
        <v>498</v>
      </c>
      <c r="AP53" s="2235" t="s">
        <v>498</v>
      </c>
      <c r="AQ53" s="2235" t="s">
        <v>498</v>
      </c>
      <c r="AR53" s="2235" t="s">
        <v>498</v>
      </c>
      <c r="AS53" s="2235" t="s">
        <v>498</v>
      </c>
      <c r="AT53" s="2235" t="s">
        <v>498</v>
      </c>
      <c r="AU53" s="2235" t="s">
        <v>498</v>
      </c>
      <c r="AV53" s="2235" t="s">
        <v>498</v>
      </c>
      <c r="AW53" s="2235" t="s">
        <v>498</v>
      </c>
      <c r="AX53" s="2235" t="s">
        <v>498</v>
      </c>
      <c r="AY53" s="2235" t="s">
        <v>498</v>
      </c>
      <c r="AZ53" s="3271" t="s">
        <v>498</v>
      </c>
      <c r="BA53" s="2235" t="s">
        <v>498</v>
      </c>
      <c r="BB53" s="2235" t="s">
        <v>498</v>
      </c>
      <c r="BC53" s="2235" t="s">
        <v>498</v>
      </c>
      <c r="BD53" s="3272">
        <v>77.312428136046634</v>
      </c>
      <c r="BE53" s="2235" t="s">
        <v>498</v>
      </c>
      <c r="BF53" s="2235" t="s">
        <v>498</v>
      </c>
      <c r="BG53" s="2235" t="s">
        <v>595</v>
      </c>
      <c r="BH53" s="3273">
        <v>2.3860667783162768</v>
      </c>
      <c r="BI53" s="2235">
        <v>8.2945549073992293</v>
      </c>
      <c r="BJ53" s="3274"/>
    </row>
    <row r="54" spans="1:62" s="2137" customFormat="1" ht="13.5" hidden="1" thickBot="1">
      <c r="B54" s="3233"/>
      <c r="C54" s="240"/>
      <c r="D54" s="3238"/>
      <c r="E54" s="3216" t="s">
        <v>628</v>
      </c>
      <c r="F54" s="3216"/>
      <c r="G54" s="2154"/>
      <c r="H54" s="499"/>
      <c r="I54" s="499"/>
      <c r="J54" s="499"/>
      <c r="K54" s="498"/>
      <c r="L54" s="499"/>
      <c r="M54" s="499"/>
      <c r="N54" s="499"/>
      <c r="O54" s="499"/>
      <c r="P54" s="501"/>
      <c r="Q54" s="499"/>
      <c r="R54" s="499"/>
      <c r="S54" s="499"/>
      <c r="T54" s="499"/>
      <c r="U54" s="499"/>
      <c r="V54" s="499"/>
      <c r="W54" s="499"/>
      <c r="X54" s="498"/>
      <c r="Y54" s="499"/>
      <c r="Z54" s="499"/>
      <c r="AA54" s="501"/>
      <c r="AB54" s="499"/>
      <c r="AC54" s="499"/>
      <c r="AD54" s="499"/>
      <c r="AE54" s="499"/>
      <c r="AF54" s="501"/>
      <c r="AG54" s="499"/>
      <c r="AH54" s="499"/>
      <c r="AI54" s="499"/>
      <c r="AJ54" s="499"/>
      <c r="AK54" s="499"/>
      <c r="AL54" s="499"/>
      <c r="AM54" s="499"/>
      <c r="AN54" s="498"/>
      <c r="AO54" s="499"/>
      <c r="AP54" s="499"/>
      <c r="AQ54" s="499"/>
      <c r="AR54" s="499"/>
      <c r="AS54" s="499"/>
      <c r="AT54" s="499"/>
      <c r="AU54" s="499"/>
      <c r="AV54" s="499"/>
      <c r="AW54" s="499"/>
      <c r="AX54" s="499"/>
      <c r="AY54" s="499"/>
      <c r="AZ54" s="501"/>
      <c r="BA54" s="499"/>
      <c r="BB54" s="499"/>
      <c r="BC54" s="499"/>
      <c r="BD54" s="2083"/>
      <c r="BE54" s="499"/>
      <c r="BF54" s="499"/>
      <c r="BG54" s="499"/>
      <c r="BH54" s="2546"/>
      <c r="BI54" s="499"/>
      <c r="BJ54" s="3237"/>
    </row>
    <row r="55" spans="1:62" s="2274" customFormat="1" ht="13.5" hidden="1" thickBot="1">
      <c r="A55" s="2375"/>
      <c r="B55" s="2227"/>
      <c r="C55" s="240"/>
      <c r="D55" s="3242"/>
      <c r="E55" s="2225" t="s">
        <v>499</v>
      </c>
      <c r="F55" s="2225" t="s">
        <v>19</v>
      </c>
      <c r="G55" s="2226" t="s">
        <v>20</v>
      </c>
      <c r="H55" s="2273">
        <v>410.81329233960747</v>
      </c>
      <c r="I55" s="2273">
        <v>410.81329233960747</v>
      </c>
      <c r="J55" s="2273">
        <v>515.2854988812245</v>
      </c>
      <c r="K55" s="3284">
        <v>1.5697920000000001</v>
      </c>
      <c r="L55" s="2273">
        <v>2.1481292278017543</v>
      </c>
      <c r="M55" s="2273">
        <v>2.1481292278017543</v>
      </c>
      <c r="N55" s="2273">
        <v>4.905599999999998</v>
      </c>
      <c r="O55" s="2273">
        <v>4.905599999999998</v>
      </c>
      <c r="P55" s="3285">
        <v>0.9811200000000001</v>
      </c>
      <c r="Q55" s="2273">
        <v>0.9811200000000001</v>
      </c>
      <c r="R55" s="2273">
        <v>0.4670193325648202</v>
      </c>
      <c r="S55" s="2273">
        <v>0.42657391304347819</v>
      </c>
      <c r="T55" s="2273">
        <v>0.42657391304347819</v>
      </c>
      <c r="U55" s="2273">
        <v>0.23359999999999992</v>
      </c>
      <c r="V55" s="2273">
        <v>51.471780359219395</v>
      </c>
      <c r="W55" s="2273">
        <v>51.471780359219395</v>
      </c>
      <c r="X55" s="3284">
        <v>0.29368194547985271</v>
      </c>
      <c r="Y55" s="2273">
        <v>10.274872973386364</v>
      </c>
      <c r="Z55" s="2273">
        <v>3.9244799999999995</v>
      </c>
      <c r="AA55" s="3285">
        <v>19.622400000000003</v>
      </c>
      <c r="AB55" s="2273">
        <v>20.155205647504026</v>
      </c>
      <c r="AC55" s="2273">
        <v>61.80769509022052</v>
      </c>
      <c r="AD55" s="2273" t="s">
        <v>498</v>
      </c>
      <c r="AE55" s="2273" t="s">
        <v>498</v>
      </c>
      <c r="AF55" s="3285" t="s">
        <v>498</v>
      </c>
      <c r="AG55" s="2273" t="s">
        <v>498</v>
      </c>
      <c r="AH55" s="2273" t="s">
        <v>498</v>
      </c>
      <c r="AI55" s="2273" t="s">
        <v>498</v>
      </c>
      <c r="AJ55" s="2273" t="s">
        <v>498</v>
      </c>
      <c r="AK55" s="2273" t="s">
        <v>498</v>
      </c>
      <c r="AL55" s="2273" t="s">
        <v>498</v>
      </c>
      <c r="AM55" s="2273" t="s">
        <v>498</v>
      </c>
      <c r="AN55" s="3284">
        <v>1.714428689549629</v>
      </c>
      <c r="AO55" s="2273" t="s">
        <v>498</v>
      </c>
      <c r="AP55" s="2273" t="s">
        <v>498</v>
      </c>
      <c r="AQ55" s="2273" t="s">
        <v>498</v>
      </c>
      <c r="AR55" s="2273" t="s">
        <v>498</v>
      </c>
      <c r="AS55" s="2273" t="s">
        <v>498</v>
      </c>
      <c r="AT55" s="2273" t="s">
        <v>498</v>
      </c>
      <c r="AU55" s="2273" t="s">
        <v>498</v>
      </c>
      <c r="AV55" s="2273" t="s">
        <v>498</v>
      </c>
      <c r="AW55" s="2273" t="s">
        <v>498</v>
      </c>
      <c r="AX55" s="2273" t="s">
        <v>498</v>
      </c>
      <c r="AY55" s="2273" t="s">
        <v>498</v>
      </c>
      <c r="AZ55" s="3285" t="s">
        <v>498</v>
      </c>
      <c r="BA55" s="2273" t="s">
        <v>498</v>
      </c>
      <c r="BB55" s="2273" t="s">
        <v>498</v>
      </c>
      <c r="BC55" s="2273" t="s">
        <v>498</v>
      </c>
      <c r="BD55" s="3286">
        <v>161.89717118665337</v>
      </c>
      <c r="BE55" s="2273" t="s">
        <v>498</v>
      </c>
      <c r="BF55" s="2273" t="s">
        <v>498</v>
      </c>
      <c r="BG55" s="2273">
        <v>8.4095999999999975E-4</v>
      </c>
      <c r="BH55" s="3287">
        <v>3.5577784023249239</v>
      </c>
      <c r="BI55" s="2273"/>
      <c r="BJ55" s="3288"/>
    </row>
    <row r="56" spans="1:62" ht="13.5" hidden="1" thickBot="1">
      <c r="A56" s="3241"/>
      <c r="B56" s="2156"/>
      <c r="C56" s="2241"/>
      <c r="D56" s="3234"/>
      <c r="E56" s="2153" t="s">
        <v>476</v>
      </c>
      <c r="F56" s="2153" t="s">
        <v>93</v>
      </c>
      <c r="G56" s="2154" t="s">
        <v>24</v>
      </c>
      <c r="H56" s="2155">
        <v>1080.5366342707011</v>
      </c>
      <c r="I56" s="2155">
        <v>1080.5366342707011</v>
      </c>
      <c r="J56" s="2155">
        <v>7362.4075321296041</v>
      </c>
      <c r="K56" s="3243">
        <v>6050.0820239666782</v>
      </c>
      <c r="L56" s="2155">
        <v>1543.6061327544953</v>
      </c>
      <c r="M56" s="2155">
        <v>1543.6061327544953</v>
      </c>
      <c r="N56" s="2155">
        <v>6942.8363645837835</v>
      </c>
      <c r="O56" s="2155">
        <v>6942.8363645837835</v>
      </c>
      <c r="P56" s="3022">
        <v>1526.9345786359088</v>
      </c>
      <c r="Q56" s="2155">
        <v>1526.9345786359088</v>
      </c>
      <c r="R56" s="2155">
        <v>339.56436547637111</v>
      </c>
      <c r="S56" s="2155">
        <v>249.86317549538396</v>
      </c>
      <c r="T56" s="2155">
        <v>249.86317549538396</v>
      </c>
      <c r="U56" s="2155">
        <v>644.07525369781263</v>
      </c>
      <c r="V56" s="2155">
        <v>49361.732480324434</v>
      </c>
      <c r="W56" s="2155">
        <v>49361.732480324434</v>
      </c>
      <c r="X56" s="3243">
        <v>253.99277469047667</v>
      </c>
      <c r="Y56" s="2155">
        <v>6158.7239024437613</v>
      </c>
      <c r="Z56" s="2155">
        <v>1393.0841357087588</v>
      </c>
      <c r="AA56" s="3022">
        <v>4672.8199123268923</v>
      </c>
      <c r="AB56" s="2155">
        <v>5428.321580215179</v>
      </c>
      <c r="AC56" s="2155">
        <v>3248.2906216566125</v>
      </c>
      <c r="AD56" s="2155" t="s">
        <v>498</v>
      </c>
      <c r="AE56" s="2155" t="s">
        <v>498</v>
      </c>
      <c r="AF56" s="3022" t="s">
        <v>498</v>
      </c>
      <c r="AG56" s="2155" t="s">
        <v>498</v>
      </c>
      <c r="AH56" s="2155" t="s">
        <v>498</v>
      </c>
      <c r="AI56" s="2155" t="s">
        <v>498</v>
      </c>
      <c r="AJ56" s="2155" t="s">
        <v>498</v>
      </c>
      <c r="AK56" s="2155" t="s">
        <v>498</v>
      </c>
      <c r="AL56" s="2155" t="s">
        <v>498</v>
      </c>
      <c r="AM56" s="2155" t="s">
        <v>498</v>
      </c>
      <c r="AN56" s="3243">
        <v>7.3283365580584165</v>
      </c>
      <c r="AO56" s="2155" t="s">
        <v>498</v>
      </c>
      <c r="AP56" s="2155" t="s">
        <v>498</v>
      </c>
      <c r="AQ56" s="2155" t="s">
        <v>498</v>
      </c>
      <c r="AR56" s="2155" t="s">
        <v>498</v>
      </c>
      <c r="AS56" s="2155" t="s">
        <v>498</v>
      </c>
      <c r="AT56" s="2155" t="s">
        <v>498</v>
      </c>
      <c r="AU56" s="2155" t="s">
        <v>498</v>
      </c>
      <c r="AV56" s="2155" t="s">
        <v>498</v>
      </c>
      <c r="AW56" s="2155" t="s">
        <v>498</v>
      </c>
      <c r="AX56" s="2155" t="s">
        <v>498</v>
      </c>
      <c r="AY56" s="2155" t="s">
        <v>498</v>
      </c>
      <c r="AZ56" s="3022" t="s">
        <v>498</v>
      </c>
      <c r="BA56" s="2155" t="s">
        <v>498</v>
      </c>
      <c r="BB56" s="2155" t="s">
        <v>498</v>
      </c>
      <c r="BC56" s="2155" t="s">
        <v>498</v>
      </c>
      <c r="BD56" s="3244">
        <v>14.496080275508744</v>
      </c>
      <c r="BE56" s="2155" t="s">
        <v>498</v>
      </c>
      <c r="BF56" s="2155" t="s">
        <v>498</v>
      </c>
      <c r="BG56" s="2155" t="s">
        <v>595</v>
      </c>
      <c r="BH56" s="3246">
        <v>0.44738752093430195</v>
      </c>
      <c r="BI56" s="2155"/>
    </row>
    <row r="57" spans="1:62" s="2137" customFormat="1" ht="13.5" hidden="1" thickBot="1">
      <c r="B57" s="3233"/>
      <c r="C57" s="240"/>
      <c r="D57" s="3238"/>
      <c r="E57" s="3235" t="s">
        <v>626</v>
      </c>
      <c r="F57" s="3235"/>
      <c r="G57" s="3236"/>
      <c r="H57" s="499"/>
      <c r="I57" s="499"/>
      <c r="J57" s="499"/>
      <c r="K57" s="498"/>
      <c r="L57" s="499"/>
      <c r="M57" s="499"/>
      <c r="N57" s="499"/>
      <c r="O57" s="499"/>
      <c r="P57" s="501"/>
      <c r="Q57" s="499"/>
      <c r="R57" s="499"/>
      <c r="S57" s="499"/>
      <c r="T57" s="499"/>
      <c r="U57" s="499"/>
      <c r="V57" s="499"/>
      <c r="W57" s="499"/>
      <c r="X57" s="498"/>
      <c r="Y57" s="499"/>
      <c r="Z57" s="499"/>
      <c r="AA57" s="501"/>
      <c r="AB57" s="499"/>
      <c r="AC57" s="499"/>
      <c r="AD57" s="499"/>
      <c r="AE57" s="499"/>
      <c r="AF57" s="501"/>
      <c r="AG57" s="499"/>
      <c r="AH57" s="499"/>
      <c r="AI57" s="499"/>
      <c r="AJ57" s="499"/>
      <c r="AK57" s="499"/>
      <c r="AL57" s="499"/>
      <c r="AM57" s="499"/>
      <c r="AN57" s="498"/>
      <c r="AO57" s="499"/>
      <c r="AP57" s="499"/>
      <c r="AQ57" s="499"/>
      <c r="AR57" s="499"/>
      <c r="AS57" s="499"/>
      <c r="AT57" s="499"/>
      <c r="AU57" s="499"/>
      <c r="AV57" s="499"/>
      <c r="AW57" s="499"/>
      <c r="AX57" s="499"/>
      <c r="AY57" s="499"/>
      <c r="AZ57" s="501"/>
      <c r="BA57" s="499"/>
      <c r="BB57" s="499"/>
      <c r="BC57" s="499"/>
      <c r="BD57" s="2083"/>
      <c r="BE57" s="499"/>
      <c r="BF57" s="499"/>
      <c r="BG57" s="499"/>
      <c r="BH57" s="2546"/>
      <c r="BI57" s="499"/>
      <c r="BJ57" s="3237"/>
    </row>
    <row r="58" spans="1:62" ht="13.5" hidden="1" thickBot="1">
      <c r="A58" s="3241"/>
      <c r="B58" s="2156"/>
      <c r="C58" s="276"/>
      <c r="D58" s="3279"/>
      <c r="E58" s="2153" t="s">
        <v>305</v>
      </c>
      <c r="F58" s="2153" t="s">
        <v>19</v>
      </c>
      <c r="G58" s="2154" t="s">
        <v>20</v>
      </c>
      <c r="H58" s="2155">
        <v>1351.1944451507584</v>
      </c>
      <c r="I58" s="2155">
        <v>1351.1944451507584</v>
      </c>
      <c r="J58" s="2155">
        <v>3151.8186372910418</v>
      </c>
      <c r="K58" s="3243">
        <v>14.649905454545459</v>
      </c>
      <c r="L58" s="2155">
        <v>23.130831970646749</v>
      </c>
      <c r="M58" s="2155">
        <v>23.130831970646749</v>
      </c>
      <c r="N58" s="2155">
        <v>53.051904338721464</v>
      </c>
      <c r="O58" s="2155">
        <v>53.051904338721464</v>
      </c>
      <c r="P58" s="3022">
        <v>9.274376420048295</v>
      </c>
      <c r="Q58" s="2155">
        <v>9.274376420048295</v>
      </c>
      <c r="R58" s="2155">
        <v>4.9160781146036348</v>
      </c>
      <c r="S58" s="2155">
        <v>22.634219723948153</v>
      </c>
      <c r="T58" s="2155">
        <v>22.634219723948153</v>
      </c>
      <c r="U58" s="2155">
        <v>9.9410072727272727</v>
      </c>
      <c r="V58" s="2155">
        <v>536.64914469580458</v>
      </c>
      <c r="W58" s="2155">
        <v>536.64914469580458</v>
      </c>
      <c r="X58" s="3243">
        <v>3.1980840324310131</v>
      </c>
      <c r="Y58" s="2155">
        <v>109.77672079487719</v>
      </c>
      <c r="Z58" s="2155">
        <v>151.83785863743765</v>
      </c>
      <c r="AA58" s="3022">
        <v>185.07020517233116</v>
      </c>
      <c r="AB58" s="2155">
        <v>192.092201524817</v>
      </c>
      <c r="AC58" s="2155">
        <v>452.49519691724385</v>
      </c>
      <c r="AD58" s="2155">
        <v>1097.9973364861983</v>
      </c>
      <c r="AE58" s="2155" t="s">
        <v>498</v>
      </c>
      <c r="AF58" s="3022" t="s">
        <v>498</v>
      </c>
      <c r="AG58" s="2155">
        <v>4813.5403636363644</v>
      </c>
      <c r="AH58" s="2155">
        <v>4813.5403636363635</v>
      </c>
      <c r="AI58" s="2155">
        <v>377.83264003298774</v>
      </c>
      <c r="AJ58" s="2155">
        <v>859.13227743955849</v>
      </c>
      <c r="AK58" s="2155">
        <v>2011.7586893702742</v>
      </c>
      <c r="AL58" s="2155" t="s">
        <v>498</v>
      </c>
      <c r="AM58" s="2155" t="s">
        <v>498</v>
      </c>
      <c r="AN58" s="3243">
        <v>61.815036660693622</v>
      </c>
      <c r="AO58" s="2155" t="s">
        <v>498</v>
      </c>
      <c r="AP58" s="2155" t="s">
        <v>498</v>
      </c>
      <c r="AQ58" s="2155" t="s">
        <v>498</v>
      </c>
      <c r="AR58" s="2155" t="s">
        <v>498</v>
      </c>
      <c r="AS58" s="2155" t="s">
        <v>498</v>
      </c>
      <c r="AT58" s="2155" t="s">
        <v>498</v>
      </c>
      <c r="AU58" s="2155" t="s">
        <v>498</v>
      </c>
      <c r="AV58" s="2155" t="s">
        <v>498</v>
      </c>
      <c r="AW58" s="2155" t="s">
        <v>498</v>
      </c>
      <c r="AX58" s="2155" t="s">
        <v>498</v>
      </c>
      <c r="AY58" s="2155" t="s">
        <v>498</v>
      </c>
      <c r="AZ58" s="3022" t="s">
        <v>498</v>
      </c>
      <c r="BA58" s="2155" t="s">
        <v>498</v>
      </c>
      <c r="BB58" s="2155" t="s">
        <v>498</v>
      </c>
      <c r="BC58" s="2155" t="s">
        <v>498</v>
      </c>
      <c r="BD58" s="3244">
        <v>215.22403473857096</v>
      </c>
      <c r="BE58" s="2155">
        <v>222.74278665483374</v>
      </c>
      <c r="BF58" s="2155">
        <v>445.48557330966747</v>
      </c>
      <c r="BG58" s="3245">
        <v>1.4E-2</v>
      </c>
      <c r="BH58" s="3246">
        <v>4.0873908196506656</v>
      </c>
      <c r="BI58" s="2155"/>
    </row>
    <row r="59" spans="1:62" ht="13.5" hidden="1" thickBot="1">
      <c r="A59" s="3241"/>
      <c r="B59" s="2156"/>
      <c r="C59" s="2149"/>
      <c r="D59" s="3248"/>
      <c r="E59" s="2153" t="s">
        <v>306</v>
      </c>
      <c r="F59" s="2153" t="s">
        <v>19</v>
      </c>
      <c r="G59" s="2154" t="s">
        <v>20</v>
      </c>
      <c r="H59" s="2155" t="s">
        <v>498</v>
      </c>
      <c r="I59" s="2155" t="s">
        <v>498</v>
      </c>
      <c r="J59" s="2155" t="s">
        <v>498</v>
      </c>
      <c r="K59" s="3243">
        <v>91.561909090909083</v>
      </c>
      <c r="L59" s="2155" t="s">
        <v>498</v>
      </c>
      <c r="M59" s="2155" t="s">
        <v>498</v>
      </c>
      <c r="N59" s="2155">
        <v>45.780954545454556</v>
      </c>
      <c r="O59" s="2155">
        <v>45.780954545454556</v>
      </c>
      <c r="P59" s="3022">
        <v>15.518967642526965</v>
      </c>
      <c r="Q59" s="2155">
        <v>15.518967642526965</v>
      </c>
      <c r="R59" s="2155">
        <v>91.561909090909097</v>
      </c>
      <c r="S59" s="2155">
        <v>3.9809525691699603</v>
      </c>
      <c r="T59" s="2155">
        <v>3.9809525691699603</v>
      </c>
      <c r="U59" s="2155">
        <v>2.1800454545454544</v>
      </c>
      <c r="V59" s="2155" t="s">
        <v>498</v>
      </c>
      <c r="W59" s="2155" t="s">
        <v>498</v>
      </c>
      <c r="X59" s="3243">
        <v>15.26031818181818</v>
      </c>
      <c r="Y59" s="2155" t="s">
        <v>498</v>
      </c>
      <c r="Z59" s="2155">
        <v>36.624763636363632</v>
      </c>
      <c r="AA59" s="3022" t="s">
        <v>498</v>
      </c>
      <c r="AB59" s="2155" t="s">
        <v>498</v>
      </c>
      <c r="AC59" s="2155" t="s">
        <v>498</v>
      </c>
      <c r="AD59" s="2155" t="s">
        <v>498</v>
      </c>
      <c r="AE59" s="2155" t="s">
        <v>498</v>
      </c>
      <c r="AF59" s="3022" t="s">
        <v>498</v>
      </c>
      <c r="AG59" s="2155" t="s">
        <v>498</v>
      </c>
      <c r="AH59" s="2155" t="s">
        <v>498</v>
      </c>
      <c r="AI59" s="2155" t="s">
        <v>498</v>
      </c>
      <c r="AJ59" s="2155" t="s">
        <v>498</v>
      </c>
      <c r="AK59" s="2155" t="s">
        <v>498</v>
      </c>
      <c r="AL59" s="2155" t="s">
        <v>498</v>
      </c>
      <c r="AM59" s="2155" t="s">
        <v>498</v>
      </c>
      <c r="AN59" s="3243">
        <v>12.676022110965874</v>
      </c>
      <c r="AO59" s="2155">
        <v>822.68632582771033</v>
      </c>
      <c r="AP59" s="2155">
        <v>636.4173015423238</v>
      </c>
      <c r="AQ59" s="2155">
        <v>1032.8325846246817</v>
      </c>
      <c r="AR59" s="2155">
        <v>2339.7215252664851</v>
      </c>
      <c r="AS59" s="2155">
        <v>588.55908534719549</v>
      </c>
      <c r="AT59" s="2155">
        <v>7563.2961751004987</v>
      </c>
      <c r="AU59" s="2155">
        <v>7620.3470557997916</v>
      </c>
      <c r="AV59" s="2155">
        <v>191.15994182985477</v>
      </c>
      <c r="AW59" s="2155">
        <v>15252.757515357513</v>
      </c>
      <c r="AX59" s="2155">
        <v>2575.4140527803265</v>
      </c>
      <c r="AY59" s="2155">
        <v>4000.4062484483188</v>
      </c>
      <c r="AZ59" s="3022">
        <v>1034.638386127484</v>
      </c>
      <c r="BA59" s="2155">
        <v>336.58662048915585</v>
      </c>
      <c r="BB59" s="2155">
        <v>6296.6084066322446</v>
      </c>
      <c r="BC59" s="2155">
        <v>1075.8570198024292</v>
      </c>
      <c r="BD59" s="3244" t="s">
        <v>498</v>
      </c>
      <c r="BE59" s="2155" t="s">
        <v>498</v>
      </c>
      <c r="BF59" s="2155">
        <v>43.251068135224777</v>
      </c>
      <c r="BG59" s="2155" t="s">
        <v>498</v>
      </c>
      <c r="BH59" s="3246" t="s">
        <v>498</v>
      </c>
      <c r="BI59" s="2155"/>
    </row>
    <row r="60" spans="1:62" ht="26.25" hidden="1" thickBot="1">
      <c r="A60" s="2275"/>
      <c r="B60" s="2156"/>
      <c r="C60" s="2149"/>
      <c r="D60" s="3248"/>
      <c r="E60" s="2153" t="s">
        <v>493</v>
      </c>
      <c r="F60" s="2153" t="s">
        <v>19</v>
      </c>
      <c r="G60" s="2154" t="s">
        <v>20</v>
      </c>
      <c r="H60" s="2155">
        <v>1351.1944451507584</v>
      </c>
      <c r="I60" s="2155">
        <v>1351.1944451507584</v>
      </c>
      <c r="J60" s="2155">
        <v>3151.8186372910418</v>
      </c>
      <c r="K60" s="3243">
        <v>14.649905454545459</v>
      </c>
      <c r="L60" s="2155">
        <v>23.130831970646749</v>
      </c>
      <c r="M60" s="2155">
        <v>23.130831970646749</v>
      </c>
      <c r="N60" s="2155">
        <v>45.780954545454556</v>
      </c>
      <c r="O60" s="2155">
        <v>45.780954545454556</v>
      </c>
      <c r="P60" s="3022">
        <v>9.274376420048295</v>
      </c>
      <c r="Q60" s="2155">
        <v>9.274376420048295</v>
      </c>
      <c r="R60" s="2155">
        <v>4.9160781146036348</v>
      </c>
      <c r="S60" s="2155">
        <v>3.9809525691699603</v>
      </c>
      <c r="T60" s="2155">
        <v>3.9809525691699603</v>
      </c>
      <c r="U60" s="2155">
        <v>2.1800454545454544</v>
      </c>
      <c r="V60" s="2155">
        <v>536.64914469580458</v>
      </c>
      <c r="W60" s="2155">
        <v>536.64914469580458</v>
      </c>
      <c r="X60" s="3243">
        <v>3.1980840324310131</v>
      </c>
      <c r="Y60" s="2155">
        <v>109.77672079487719</v>
      </c>
      <c r="Z60" s="2155">
        <v>36.624763636363632</v>
      </c>
      <c r="AA60" s="3022">
        <v>185.07020517233116</v>
      </c>
      <c r="AB60" s="2155">
        <v>192.092201524817</v>
      </c>
      <c r="AC60" s="2155">
        <v>452.49519691724385</v>
      </c>
      <c r="AD60" s="2155">
        <v>1097.9973364861983</v>
      </c>
      <c r="AE60" s="2155" t="s">
        <v>498</v>
      </c>
      <c r="AF60" s="3022" t="s">
        <v>498</v>
      </c>
      <c r="AG60" s="2155">
        <v>4813.5403636363644</v>
      </c>
      <c r="AH60" s="2155">
        <v>4813.5403636363635</v>
      </c>
      <c r="AI60" s="2155">
        <v>377.83264003298774</v>
      </c>
      <c r="AJ60" s="2155">
        <v>859.13227743955849</v>
      </c>
      <c r="AK60" s="2155">
        <v>2011.7586893702742</v>
      </c>
      <c r="AL60" s="2155" t="s">
        <v>498</v>
      </c>
      <c r="AM60" s="2155" t="s">
        <v>498</v>
      </c>
      <c r="AN60" s="3243">
        <v>12.676022110965874</v>
      </c>
      <c r="AO60" s="2155">
        <v>822.68632582771033</v>
      </c>
      <c r="AP60" s="2155">
        <v>636.4173015423238</v>
      </c>
      <c r="AQ60" s="2155">
        <v>1032.8325846246817</v>
      </c>
      <c r="AR60" s="2155">
        <v>2339.7215252664851</v>
      </c>
      <c r="AS60" s="2155">
        <v>588.55908534719549</v>
      </c>
      <c r="AT60" s="2155">
        <v>7563.2961751004987</v>
      </c>
      <c r="AU60" s="2155">
        <v>7620.3470557997916</v>
      </c>
      <c r="AV60" s="2155">
        <v>191.15994182985477</v>
      </c>
      <c r="AW60" s="2155">
        <v>15252.757515357513</v>
      </c>
      <c r="AX60" s="2155">
        <v>2575.4140527803265</v>
      </c>
      <c r="AY60" s="2155">
        <v>4000.4062484483188</v>
      </c>
      <c r="AZ60" s="3022">
        <v>1034.638386127484</v>
      </c>
      <c r="BA60" s="2155">
        <v>336.58662048915585</v>
      </c>
      <c r="BB60" s="2155">
        <v>6296.6084066322446</v>
      </c>
      <c r="BC60" s="2155">
        <v>1075.8570198024292</v>
      </c>
      <c r="BD60" s="3244">
        <v>215.22403473857096</v>
      </c>
      <c r="BE60" s="2155">
        <v>222.74278665483374</v>
      </c>
      <c r="BF60" s="2155">
        <v>43.251068135224777</v>
      </c>
      <c r="BG60" s="2155">
        <v>7.8481636363636354E-3</v>
      </c>
      <c r="BH60" s="3246">
        <v>4.0873908196506656</v>
      </c>
      <c r="BI60" s="2155"/>
    </row>
    <row r="61" spans="1:62" s="2274" customFormat="1" ht="13.5" hidden="1" thickBot="1">
      <c r="A61" s="2375"/>
      <c r="B61" s="2227"/>
      <c r="C61" s="240"/>
      <c r="D61" s="3242"/>
      <c r="E61" s="2225" t="s">
        <v>499</v>
      </c>
      <c r="F61" s="2225" t="s">
        <v>19</v>
      </c>
      <c r="G61" s="2226" t="s">
        <v>20</v>
      </c>
      <c r="H61" s="2273">
        <v>1351.1944451507584</v>
      </c>
      <c r="I61" s="2273">
        <v>1351.1944451507584</v>
      </c>
      <c r="J61" s="2273">
        <v>3151.8186372910418</v>
      </c>
      <c r="K61" s="3284">
        <v>14.649905454545459</v>
      </c>
      <c r="L61" s="2273">
        <v>23.130831970646749</v>
      </c>
      <c r="M61" s="2273">
        <v>23.130831970646749</v>
      </c>
      <c r="N61" s="2273">
        <v>45.780954545454556</v>
      </c>
      <c r="O61" s="2273">
        <v>45.780954545454556</v>
      </c>
      <c r="P61" s="3285">
        <v>9.274376420048295</v>
      </c>
      <c r="Q61" s="2273">
        <v>9.274376420048295</v>
      </c>
      <c r="R61" s="2273">
        <v>4.9160781146036348</v>
      </c>
      <c r="S61" s="2273">
        <v>3.9809525691699603</v>
      </c>
      <c r="T61" s="2273">
        <v>3.9809525691699603</v>
      </c>
      <c r="U61" s="2273">
        <v>2.1800454545454544</v>
      </c>
      <c r="V61" s="2273" t="s">
        <v>498</v>
      </c>
      <c r="W61" s="2273" t="s">
        <v>498</v>
      </c>
      <c r="X61" s="3284">
        <v>3.1980840324310131</v>
      </c>
      <c r="Y61" s="2273">
        <v>109.77672079487719</v>
      </c>
      <c r="Z61" s="2273">
        <v>36.624763636363632</v>
      </c>
      <c r="AA61" s="3285" t="s">
        <v>498</v>
      </c>
      <c r="AB61" s="2273" t="s">
        <v>498</v>
      </c>
      <c r="AC61" s="2273" t="s">
        <v>498</v>
      </c>
      <c r="AD61" s="2273" t="s">
        <v>498</v>
      </c>
      <c r="AE61" s="2273" t="s">
        <v>498</v>
      </c>
      <c r="AF61" s="3285" t="s">
        <v>498</v>
      </c>
      <c r="AG61" s="2273" t="s">
        <v>498</v>
      </c>
      <c r="AH61" s="2273" t="s">
        <v>498</v>
      </c>
      <c r="AI61" s="2273" t="s">
        <v>498</v>
      </c>
      <c r="AJ61" s="2273" t="s">
        <v>498</v>
      </c>
      <c r="AK61" s="2273" t="s">
        <v>498</v>
      </c>
      <c r="AL61" s="2273" t="s">
        <v>498</v>
      </c>
      <c r="AM61" s="2273" t="s">
        <v>498</v>
      </c>
      <c r="AN61" s="3284">
        <v>12.676022110965874</v>
      </c>
      <c r="AO61" s="2273" t="s">
        <v>498</v>
      </c>
      <c r="AP61" s="2273" t="s">
        <v>498</v>
      </c>
      <c r="AQ61" s="2273" t="s">
        <v>498</v>
      </c>
      <c r="AR61" s="2273" t="s">
        <v>498</v>
      </c>
      <c r="AS61" s="2273" t="s">
        <v>498</v>
      </c>
      <c r="AT61" s="2273" t="s">
        <v>498</v>
      </c>
      <c r="AU61" s="2273" t="s">
        <v>498</v>
      </c>
      <c r="AV61" s="2273" t="s">
        <v>498</v>
      </c>
      <c r="AW61" s="2273" t="s">
        <v>498</v>
      </c>
      <c r="AX61" s="2273" t="s">
        <v>498</v>
      </c>
      <c r="AY61" s="2273" t="s">
        <v>498</v>
      </c>
      <c r="AZ61" s="3285" t="s">
        <v>498</v>
      </c>
      <c r="BA61" s="2273" t="s">
        <v>498</v>
      </c>
      <c r="BB61" s="2273" t="s">
        <v>498</v>
      </c>
      <c r="BC61" s="2273" t="s">
        <v>498</v>
      </c>
      <c r="BD61" s="3286">
        <v>215.22403473857096</v>
      </c>
      <c r="BE61" s="2273" t="s">
        <v>498</v>
      </c>
      <c r="BF61" s="2273" t="s">
        <v>498</v>
      </c>
      <c r="BG61" s="2273">
        <v>1.4E-2</v>
      </c>
      <c r="BH61" s="3287">
        <v>4.0873908196506656</v>
      </c>
      <c r="BI61" s="2273"/>
      <c r="BJ61" s="3288"/>
    </row>
    <row r="62" spans="1:62" s="2193" customFormat="1" ht="13.5" hidden="1" thickBot="1">
      <c r="A62" s="2362"/>
      <c r="B62" s="2236"/>
      <c r="C62" s="3268"/>
      <c r="D62" s="3269"/>
      <c r="E62" s="2356" t="s">
        <v>476</v>
      </c>
      <c r="F62" s="2356" t="s">
        <v>93</v>
      </c>
      <c r="G62" s="2350" t="s">
        <v>24</v>
      </c>
      <c r="H62" s="2235">
        <v>3553.9626522150502</v>
      </c>
      <c r="I62" s="2235">
        <v>3553.9626522150502</v>
      </c>
      <c r="J62" s="2235">
        <v>45033.235605271475</v>
      </c>
      <c r="K62" s="3270">
        <v>56461.702979348142</v>
      </c>
      <c r="L62" s="2235">
        <v>16621.390195478125</v>
      </c>
      <c r="M62" s="2235">
        <v>16621.390195478125</v>
      </c>
      <c r="N62" s="2235">
        <v>64793.231413800415</v>
      </c>
      <c r="O62" s="2235">
        <v>64793.231413800415</v>
      </c>
      <c r="P62" s="3271">
        <v>14433.877661302644</v>
      </c>
      <c r="Q62" s="2235">
        <v>14433.877661302644</v>
      </c>
      <c r="R62" s="2235">
        <v>3574.4236463400862</v>
      </c>
      <c r="S62" s="2235">
        <v>2331.8196917680011</v>
      </c>
      <c r="T62" s="2235">
        <v>2331.8196917680011</v>
      </c>
      <c r="U62" s="2235">
        <v>6010.7591147651001</v>
      </c>
      <c r="V62" s="2235" t="s">
        <v>498</v>
      </c>
      <c r="W62" s="2235" t="s">
        <v>498</v>
      </c>
      <c r="X62" s="3270">
        <v>2765.8841464130337</v>
      </c>
      <c r="Y62" s="2235">
        <v>65799.792955346216</v>
      </c>
      <c r="Z62" s="2235">
        <v>13000.799391486569</v>
      </c>
      <c r="AA62" s="3271" t="s">
        <v>498</v>
      </c>
      <c r="AB62" s="2235" t="s">
        <v>498</v>
      </c>
      <c r="AC62" s="2235" t="s">
        <v>498</v>
      </c>
      <c r="AD62" s="2235" t="s">
        <v>498</v>
      </c>
      <c r="AE62" s="2235" t="s">
        <v>498</v>
      </c>
      <c r="AF62" s="3271" t="s">
        <v>498</v>
      </c>
      <c r="AG62" s="2235" t="s">
        <v>498</v>
      </c>
      <c r="AH62" s="2235" t="s">
        <v>498</v>
      </c>
      <c r="AI62" s="2235" t="s">
        <v>498</v>
      </c>
      <c r="AJ62" s="2235" t="s">
        <v>498</v>
      </c>
      <c r="AK62" s="2235" t="s">
        <v>498</v>
      </c>
      <c r="AL62" s="2235" t="s">
        <v>498</v>
      </c>
      <c r="AM62" s="2235" t="s">
        <v>498</v>
      </c>
      <c r="AN62" s="3270">
        <v>54.183738765448929</v>
      </c>
      <c r="AO62" s="2235" t="s">
        <v>498</v>
      </c>
      <c r="AP62" s="2235" t="s">
        <v>498</v>
      </c>
      <c r="AQ62" s="2235" t="s">
        <v>498</v>
      </c>
      <c r="AR62" s="2235" t="s">
        <v>498</v>
      </c>
      <c r="AS62" s="2235" t="s">
        <v>498</v>
      </c>
      <c r="AT62" s="2235" t="s">
        <v>498</v>
      </c>
      <c r="AU62" s="2235" t="s">
        <v>498</v>
      </c>
      <c r="AV62" s="2235" t="s">
        <v>498</v>
      </c>
      <c r="AW62" s="2235" t="s">
        <v>498</v>
      </c>
      <c r="AX62" s="2235" t="s">
        <v>498</v>
      </c>
      <c r="AY62" s="2235" t="s">
        <v>498</v>
      </c>
      <c r="AZ62" s="3271" t="s">
        <v>498</v>
      </c>
      <c r="BA62" s="2235" t="s">
        <v>498</v>
      </c>
      <c r="BB62" s="2235" t="s">
        <v>498</v>
      </c>
      <c r="BC62" s="2235" t="s">
        <v>498</v>
      </c>
      <c r="BD62" s="3272">
        <v>19.270904253121437</v>
      </c>
      <c r="BE62" s="2235" t="s">
        <v>498</v>
      </c>
      <c r="BF62" s="2235" t="s">
        <v>498</v>
      </c>
      <c r="BG62" s="2235" t="s">
        <v>595</v>
      </c>
      <c r="BH62" s="3273">
        <v>0.51398581898697171</v>
      </c>
      <c r="BI62" s="2235"/>
      <c r="BJ62" s="3274"/>
    </row>
    <row r="63" spans="1:62" s="2137" customFormat="1" ht="13.5" hidden="1" thickBot="1">
      <c r="B63" s="3233"/>
      <c r="C63" s="240" t="s">
        <v>162</v>
      </c>
      <c r="D63" s="3242">
        <v>4.0000000000000003E-5</v>
      </c>
      <c r="E63" s="3277" t="s">
        <v>596</v>
      </c>
      <c r="F63" s="3277"/>
      <c r="G63" s="3278"/>
      <c r="H63" s="499"/>
      <c r="I63" s="499"/>
      <c r="J63" s="499"/>
      <c r="K63" s="498"/>
      <c r="L63" s="499"/>
      <c r="M63" s="499"/>
      <c r="N63" s="499"/>
      <c r="O63" s="499"/>
      <c r="P63" s="501"/>
      <c r="Q63" s="499"/>
      <c r="R63" s="499"/>
      <c r="S63" s="499"/>
      <c r="T63" s="499"/>
      <c r="U63" s="499"/>
      <c r="V63" s="499"/>
      <c r="W63" s="499"/>
      <c r="X63" s="498"/>
      <c r="Y63" s="499"/>
      <c r="Z63" s="499"/>
      <c r="AA63" s="501"/>
      <c r="AB63" s="499"/>
      <c r="AC63" s="499"/>
      <c r="AD63" s="499"/>
      <c r="AE63" s="499"/>
      <c r="AF63" s="501"/>
      <c r="AG63" s="499"/>
      <c r="AH63" s="499"/>
      <c r="AI63" s="499"/>
      <c r="AJ63" s="499"/>
      <c r="AK63" s="499"/>
      <c r="AL63" s="499"/>
      <c r="AM63" s="499"/>
      <c r="AN63" s="498"/>
      <c r="AO63" s="499"/>
      <c r="AP63" s="499"/>
      <c r="AQ63" s="499"/>
      <c r="AR63" s="499"/>
      <c r="AS63" s="499"/>
      <c r="AT63" s="499"/>
      <c r="AU63" s="499"/>
      <c r="AV63" s="499"/>
      <c r="AW63" s="499"/>
      <c r="AX63" s="499"/>
      <c r="AY63" s="499"/>
      <c r="AZ63" s="501"/>
      <c r="BA63" s="499"/>
      <c r="BB63" s="499"/>
      <c r="BC63" s="499"/>
      <c r="BD63" s="2083"/>
      <c r="BE63" s="499"/>
      <c r="BF63" s="499"/>
      <c r="BG63" s="499"/>
      <c r="BH63" s="2546"/>
      <c r="BI63" s="499"/>
      <c r="BJ63" s="3237"/>
    </row>
    <row r="64" spans="1:62" ht="13.5" hidden="1" thickBot="1">
      <c r="A64" s="3241"/>
      <c r="B64" s="2156"/>
      <c r="C64" s="276"/>
      <c r="D64" s="3279"/>
      <c r="E64" s="2153" t="s">
        <v>305</v>
      </c>
      <c r="F64" s="2153" t="s">
        <v>19</v>
      </c>
      <c r="G64" s="2154" t="s">
        <v>20</v>
      </c>
      <c r="H64" s="2155">
        <v>1.2192300358675985</v>
      </c>
      <c r="I64" s="2155">
        <v>1.2192300358675985</v>
      </c>
      <c r="J64" s="2155">
        <v>2.2599276328754572</v>
      </c>
      <c r="K64" s="3243">
        <v>3.5778735042735044E-2</v>
      </c>
      <c r="L64" s="2155">
        <v>3.8334358974358974E-2</v>
      </c>
      <c r="M64" s="2155">
        <v>3.8334358974358974E-2</v>
      </c>
      <c r="N64" s="2155">
        <v>0.12778119658119658</v>
      </c>
      <c r="O64" s="2155">
        <v>0.12778119658119658</v>
      </c>
      <c r="P64" s="3022">
        <v>2.2361709401709402E-2</v>
      </c>
      <c r="Q64" s="2155">
        <v>2.2361709401709402E-2</v>
      </c>
      <c r="R64" s="2155">
        <v>6.3890598290598285E-3</v>
      </c>
      <c r="S64" s="2155">
        <v>4.0251076923076924E-2</v>
      </c>
      <c r="T64" s="2155">
        <v>4.0251076923076924E-2</v>
      </c>
      <c r="U64" s="2155">
        <v>2.4278427350427352E-2</v>
      </c>
      <c r="V64" s="2155">
        <v>0.63890598290598288</v>
      </c>
      <c r="W64" s="2155">
        <v>0.63890598290598288</v>
      </c>
      <c r="X64" s="3243">
        <v>6.133497435897437E-3</v>
      </c>
      <c r="Y64" s="2155">
        <v>0.16611555555555557</v>
      </c>
      <c r="Z64" s="2155">
        <v>0.22675392645753184</v>
      </c>
      <c r="AA64" s="3022">
        <v>0.44723418803418813</v>
      </c>
      <c r="AB64" s="2155">
        <v>0.23236940460364613</v>
      </c>
      <c r="AC64" s="2155">
        <v>0.58206660919567743</v>
      </c>
      <c r="AD64" s="2155">
        <v>1.465194988902752</v>
      </c>
      <c r="AE64" s="2155" t="s">
        <v>498</v>
      </c>
      <c r="AF64" s="3022" t="s">
        <v>498</v>
      </c>
      <c r="AG64" s="2155">
        <v>11.755870085470086</v>
      </c>
      <c r="AH64" s="2155">
        <v>11.755870085470088</v>
      </c>
      <c r="AI64" s="2155">
        <v>0.63890598290598299</v>
      </c>
      <c r="AJ64" s="2155">
        <v>0.91950866070364479</v>
      </c>
      <c r="AK64" s="2155">
        <v>2.0991603383338449</v>
      </c>
      <c r="AL64" s="2155" t="s">
        <v>498</v>
      </c>
      <c r="AM64" s="2155" t="s">
        <v>498</v>
      </c>
      <c r="AN64" s="3243">
        <v>7.9896078657184191E-2</v>
      </c>
      <c r="AO64" s="2155" t="s">
        <v>498</v>
      </c>
      <c r="AP64" s="2155" t="s">
        <v>498</v>
      </c>
      <c r="AQ64" s="2155" t="s">
        <v>498</v>
      </c>
      <c r="AR64" s="2155" t="s">
        <v>498</v>
      </c>
      <c r="AS64" s="2155" t="s">
        <v>498</v>
      </c>
      <c r="AT64" s="2155" t="s">
        <v>498</v>
      </c>
      <c r="AU64" s="2155" t="s">
        <v>498</v>
      </c>
      <c r="AV64" s="2155" t="s">
        <v>498</v>
      </c>
      <c r="AW64" s="2155" t="s">
        <v>498</v>
      </c>
      <c r="AX64" s="2155" t="s">
        <v>498</v>
      </c>
      <c r="AY64" s="2155" t="s">
        <v>498</v>
      </c>
      <c r="AZ64" s="3022" t="s">
        <v>498</v>
      </c>
      <c r="BA64" s="2155" t="s">
        <v>498</v>
      </c>
      <c r="BB64" s="2155" t="s">
        <v>498</v>
      </c>
      <c r="BC64" s="2155" t="s">
        <v>498</v>
      </c>
      <c r="BD64" s="3244">
        <v>1.3053693930572228</v>
      </c>
      <c r="BE64" s="2155">
        <v>4.470176356880617</v>
      </c>
      <c r="BF64" s="2155">
        <v>8.940352713761234</v>
      </c>
      <c r="BG64" s="2155">
        <v>1.9167179487179491E-5</v>
      </c>
      <c r="BH64" s="3246">
        <v>1.2679265954742043E-2</v>
      </c>
      <c r="BI64" s="2155">
        <v>1.8851589480955847E-2</v>
      </c>
    </row>
    <row r="65" spans="1:62" ht="13.5" hidden="1" thickBot="1">
      <c r="A65" s="3241"/>
      <c r="B65" s="2156"/>
      <c r="C65" s="2149"/>
      <c r="D65" s="3248"/>
      <c r="E65" s="2153" t="s">
        <v>306</v>
      </c>
      <c r="F65" s="2153" t="s">
        <v>19</v>
      </c>
      <c r="G65" s="2154" t="s">
        <v>20</v>
      </c>
      <c r="H65" s="2155" t="s">
        <v>498</v>
      </c>
      <c r="I65" s="2155" t="s">
        <v>498</v>
      </c>
      <c r="J65" s="2155" t="s">
        <v>498</v>
      </c>
      <c r="K65" s="3243">
        <v>0.22361709401709404</v>
      </c>
      <c r="L65" s="2155" t="s">
        <v>498</v>
      </c>
      <c r="M65" s="2155" t="s">
        <v>498</v>
      </c>
      <c r="N65" s="2155">
        <v>0.11180854700854702</v>
      </c>
      <c r="O65" s="2155">
        <v>0.11180854700854702</v>
      </c>
      <c r="P65" s="3022">
        <v>3.7901202375778646E-2</v>
      </c>
      <c r="Q65" s="2155">
        <v>3.7901202375778646E-2</v>
      </c>
      <c r="R65" s="2155">
        <v>0.22361709401709395</v>
      </c>
      <c r="S65" s="2155">
        <v>9.7224823485693047E-3</v>
      </c>
      <c r="T65" s="2155">
        <v>9.7224823485693047E-3</v>
      </c>
      <c r="U65" s="2155">
        <v>5.324216524216524E-3</v>
      </c>
      <c r="V65" s="2155" t="s">
        <v>498</v>
      </c>
      <c r="W65" s="2155" t="s">
        <v>498</v>
      </c>
      <c r="X65" s="3243">
        <v>3.7269515669515675E-2</v>
      </c>
      <c r="Y65" s="2155" t="s">
        <v>498</v>
      </c>
      <c r="Z65" s="2155">
        <v>8.9446837606837609E-2</v>
      </c>
      <c r="AA65" s="3022" t="s">
        <v>498</v>
      </c>
      <c r="AB65" s="2155" t="s">
        <v>498</v>
      </c>
      <c r="AC65" s="2155" t="s">
        <v>498</v>
      </c>
      <c r="AD65" s="2155" t="s">
        <v>498</v>
      </c>
      <c r="AE65" s="2155" t="s">
        <v>498</v>
      </c>
      <c r="AF65" s="3022" t="s">
        <v>498</v>
      </c>
      <c r="AG65" s="2155" t="s">
        <v>498</v>
      </c>
      <c r="AH65" s="2155" t="s">
        <v>498</v>
      </c>
      <c r="AI65" s="2155" t="s">
        <v>498</v>
      </c>
      <c r="AJ65" s="2155" t="s">
        <v>498</v>
      </c>
      <c r="AK65" s="2155" t="s">
        <v>498</v>
      </c>
      <c r="AL65" s="2155" t="s">
        <v>498</v>
      </c>
      <c r="AM65" s="2155" t="s">
        <v>498</v>
      </c>
      <c r="AN65" s="3243">
        <v>1.4835309123575436E-2</v>
      </c>
      <c r="AO65" s="2155">
        <v>0.94541819994158782</v>
      </c>
      <c r="AP65" s="2155">
        <v>0.71831413316253323</v>
      </c>
      <c r="AQ65" s="2155">
        <v>1.1708513927907456</v>
      </c>
      <c r="AR65" s="2155">
        <v>2.8761711253748099</v>
      </c>
      <c r="AS65" s="2155">
        <v>0.24835744172302024</v>
      </c>
      <c r="AT65" s="2155">
        <v>12.898616332886739</v>
      </c>
      <c r="AU65" s="2155">
        <v>13.255064607135896</v>
      </c>
      <c r="AV65" s="2155">
        <v>0.56934057956256034</v>
      </c>
      <c r="AW65" s="2155">
        <v>8.0239786111059352</v>
      </c>
      <c r="AX65" s="2155">
        <v>19.333696271822664</v>
      </c>
      <c r="AY65" s="2155">
        <v>36.175531107511048</v>
      </c>
      <c r="AZ65" s="3022">
        <v>13.324204896411668</v>
      </c>
      <c r="BA65" s="2155">
        <v>18.159799629723686</v>
      </c>
      <c r="BB65" s="2155">
        <v>115.57338380046849</v>
      </c>
      <c r="BC65" s="2155">
        <v>43154931.581582196</v>
      </c>
      <c r="BD65" s="3244" t="s">
        <v>498</v>
      </c>
      <c r="BE65" s="2155" t="s">
        <v>498</v>
      </c>
      <c r="BF65" s="2155">
        <v>0.11984302450221292</v>
      </c>
      <c r="BG65" s="2155" t="s">
        <v>498</v>
      </c>
      <c r="BH65" s="3246" t="s">
        <v>498</v>
      </c>
      <c r="BI65" s="2155" t="s">
        <v>498</v>
      </c>
    </row>
    <row r="66" spans="1:62" ht="26.25" hidden="1" thickBot="1">
      <c r="A66" s="2275"/>
      <c r="B66" s="2156"/>
      <c r="C66" s="2149"/>
      <c r="D66" s="3248"/>
      <c r="E66" s="2153" t="s">
        <v>493</v>
      </c>
      <c r="F66" s="2153" t="s">
        <v>19</v>
      </c>
      <c r="G66" s="2154" t="s">
        <v>20</v>
      </c>
      <c r="H66" s="2155">
        <v>1.2192300358675985</v>
      </c>
      <c r="I66" s="2155">
        <v>1.2192300358675985</v>
      </c>
      <c r="J66" s="2155">
        <v>2.2599276328754572</v>
      </c>
      <c r="K66" s="3243">
        <v>3.5778735042735044E-2</v>
      </c>
      <c r="L66" s="2155">
        <v>3.8334358974358974E-2</v>
      </c>
      <c r="M66" s="2155">
        <v>3.8334358974358974E-2</v>
      </c>
      <c r="N66" s="2155">
        <v>0.11180854700854702</v>
      </c>
      <c r="O66" s="2155">
        <v>0.11180854700854702</v>
      </c>
      <c r="P66" s="3022">
        <v>2.2361709401709402E-2</v>
      </c>
      <c r="Q66" s="2155">
        <v>2.2361709401709402E-2</v>
      </c>
      <c r="R66" s="2155">
        <v>6.3890598290598285E-3</v>
      </c>
      <c r="S66" s="2155">
        <v>9.7224823485693047E-3</v>
      </c>
      <c r="T66" s="2155">
        <v>9.7224823485693047E-3</v>
      </c>
      <c r="U66" s="2155">
        <v>5.324216524216524E-3</v>
      </c>
      <c r="V66" s="2155">
        <v>0.63890598290598288</v>
      </c>
      <c r="W66" s="2155">
        <v>0.63890598290598288</v>
      </c>
      <c r="X66" s="3243">
        <v>6.133497435897437E-3</v>
      </c>
      <c r="Y66" s="2155">
        <v>0.16611555555555557</v>
      </c>
      <c r="Z66" s="2155">
        <v>8.9446837606837609E-2</v>
      </c>
      <c r="AA66" s="3022">
        <v>0.44723418803418813</v>
      </c>
      <c r="AB66" s="2155">
        <v>0.23236940460364613</v>
      </c>
      <c r="AC66" s="2155">
        <v>0.58206660919567743</v>
      </c>
      <c r="AD66" s="2155">
        <v>1.465194988902752</v>
      </c>
      <c r="AE66" s="2155" t="s">
        <v>498</v>
      </c>
      <c r="AF66" s="3022" t="s">
        <v>498</v>
      </c>
      <c r="AG66" s="2155">
        <v>11.755870085470086</v>
      </c>
      <c r="AH66" s="2155">
        <v>11.755870085470088</v>
      </c>
      <c r="AI66" s="2155">
        <v>0.63890598290598299</v>
      </c>
      <c r="AJ66" s="2155">
        <v>0.91950866070364479</v>
      </c>
      <c r="AK66" s="2155">
        <v>2.0991603383338449</v>
      </c>
      <c r="AL66" s="2155" t="s">
        <v>498</v>
      </c>
      <c r="AM66" s="2155" t="s">
        <v>498</v>
      </c>
      <c r="AN66" s="3243">
        <v>1.4835309123575436E-2</v>
      </c>
      <c r="AO66" s="2155">
        <v>0.94541819994158782</v>
      </c>
      <c r="AP66" s="2155">
        <v>0.71831413316253323</v>
      </c>
      <c r="AQ66" s="2155">
        <v>1.1708513927907456</v>
      </c>
      <c r="AR66" s="2155">
        <v>2.8761711253748099</v>
      </c>
      <c r="AS66" s="2155">
        <v>0.24835744172302024</v>
      </c>
      <c r="AT66" s="2155">
        <v>12.898616332886739</v>
      </c>
      <c r="AU66" s="2155">
        <v>13.255064607135896</v>
      </c>
      <c r="AV66" s="2155">
        <v>0.56934057956256034</v>
      </c>
      <c r="AW66" s="2155">
        <v>8.0239786111059352</v>
      </c>
      <c r="AX66" s="2155">
        <v>19.333696271822664</v>
      </c>
      <c r="AY66" s="2155">
        <v>36.175531107511048</v>
      </c>
      <c r="AZ66" s="3022">
        <v>13.324204896411668</v>
      </c>
      <c r="BA66" s="2155">
        <v>18.159799629723686</v>
      </c>
      <c r="BB66" s="2155">
        <v>115.57338380046849</v>
      </c>
      <c r="BC66" s="2155">
        <v>43154931.581582196</v>
      </c>
      <c r="BD66" s="3244">
        <v>1.3053693930572228</v>
      </c>
      <c r="BE66" s="2155">
        <v>4.470176356880617</v>
      </c>
      <c r="BF66" s="2155">
        <v>0.11984302450221292</v>
      </c>
      <c r="BG66" s="2155">
        <v>1.9167179487179491E-5</v>
      </c>
      <c r="BH66" s="3246">
        <v>1.2679265954742043E-2</v>
      </c>
      <c r="BI66" s="2155">
        <v>1.8851589480955847E-2</v>
      </c>
    </row>
    <row r="67" spans="1:62" ht="13.5" hidden="1" thickBot="1"/>
    <row r="68" spans="1:62" s="2177" customFormat="1" ht="13.5" hidden="1" thickBot="1">
      <c r="A68" s="2399"/>
      <c r="B68" s="2232"/>
      <c r="C68" s="2318"/>
      <c r="D68" s="3293"/>
      <c r="E68" s="2217" t="s">
        <v>476</v>
      </c>
      <c r="F68" s="2217" t="s">
        <v>93</v>
      </c>
      <c r="G68" s="2218" t="s">
        <v>24</v>
      </c>
      <c r="H68" s="2235">
        <v>2.878165927040671</v>
      </c>
      <c r="I68" s="2235">
        <v>2.878165927040671</v>
      </c>
      <c r="J68" s="2235">
        <v>31.355016234255075</v>
      </c>
      <c r="K68" s="3270">
        <v>121.31453945600127</v>
      </c>
      <c r="L68" s="2235">
        <v>14.124827856174186</v>
      </c>
      <c r="M68" s="2235">
        <v>14.124827856174186</v>
      </c>
      <c r="N68" s="2235">
        <v>55.451633282161161</v>
      </c>
      <c r="O68" s="2235">
        <v>55.451633282161161</v>
      </c>
      <c r="P68" s="3271">
        <v>9.7546392835526579</v>
      </c>
      <c r="Q68" s="2235">
        <v>9.7546392835526579</v>
      </c>
      <c r="R68" s="2235">
        <v>3.7625493884037282</v>
      </c>
      <c r="S68" s="2235">
        <v>2.3390135723258214</v>
      </c>
      <c r="T68" s="2235">
        <v>2.3390135723258214</v>
      </c>
      <c r="U68" s="2235">
        <v>7.0017441916028025</v>
      </c>
      <c r="V68" s="2235">
        <v>209.96399151965178</v>
      </c>
      <c r="W68" s="2235">
        <v>209.96399151965178</v>
      </c>
      <c r="X68" s="3270">
        <v>2.2355959412148669</v>
      </c>
      <c r="Y68" s="2235">
        <v>26.429232710432363</v>
      </c>
      <c r="Z68" s="2235">
        <v>6.5148118179114123</v>
      </c>
      <c r="AA68" s="3271">
        <v>21.221398555783672</v>
      </c>
      <c r="AB68" s="2235">
        <v>11.49076416570216</v>
      </c>
      <c r="AC68" s="2235">
        <v>5.3529278002477936</v>
      </c>
      <c r="AD68" s="2235">
        <v>2.5703784961287974</v>
      </c>
      <c r="AE68" s="2235" t="s">
        <v>498</v>
      </c>
      <c r="AF68" s="3271" t="s">
        <v>498</v>
      </c>
      <c r="AG68" s="2235">
        <v>41717.50545143216</v>
      </c>
      <c r="AH68" s="2235">
        <v>19154.834883249958</v>
      </c>
      <c r="AI68" s="2235">
        <v>254.8784782386173</v>
      </c>
      <c r="AJ68" s="2235">
        <v>72.437182866526626</v>
      </c>
      <c r="AK68" s="2235">
        <v>36.215593902967008</v>
      </c>
      <c r="AL68" s="2235" t="s">
        <v>498</v>
      </c>
      <c r="AM68" s="2235" t="s">
        <v>498</v>
      </c>
      <c r="AN68" s="3270">
        <v>1.1930145536576372E-2</v>
      </c>
      <c r="AO68" s="2235">
        <v>0.19129812362018139</v>
      </c>
      <c r="AP68" s="2235">
        <v>0.24468747953918363</v>
      </c>
      <c r="AQ68" s="2235">
        <v>0.15870885717430144</v>
      </c>
      <c r="AR68" s="2235">
        <v>7.6935149800602398E-2</v>
      </c>
      <c r="AS68" s="2235">
        <v>8.5874529916480525E-3</v>
      </c>
      <c r="AT68" s="2235">
        <v>3.2220774077508375E-2</v>
      </c>
      <c r="AU68" s="2235">
        <v>3.1863676412899937E-2</v>
      </c>
      <c r="AV68" s="2235">
        <v>2.1764161755699304E-4</v>
      </c>
      <c r="AW68" s="2235" t="s">
        <v>498</v>
      </c>
      <c r="AX68" s="2235" t="s">
        <v>498</v>
      </c>
      <c r="AY68" s="2235" t="s">
        <v>498</v>
      </c>
      <c r="AZ68" s="3271" t="s">
        <v>498</v>
      </c>
      <c r="BA68" s="2235" t="s">
        <v>498</v>
      </c>
      <c r="BB68" s="2235" t="s">
        <v>498</v>
      </c>
      <c r="BC68" s="2235" t="s">
        <v>498</v>
      </c>
      <c r="BD68" s="3272">
        <v>8.300006640298481E-2</v>
      </c>
      <c r="BE68" s="2235">
        <v>1.5479306602921978E-3</v>
      </c>
      <c r="BF68" s="2235">
        <v>4.14991886759869E-5</v>
      </c>
      <c r="BG68" s="2235" t="s">
        <v>595</v>
      </c>
      <c r="BH68" s="3273">
        <v>1.5341097287692213E-3</v>
      </c>
      <c r="BI68" s="2322">
        <v>1.5446026326287271E-2</v>
      </c>
      <c r="BJ68" s="3283"/>
    </row>
    <row r="69" spans="1:62" ht="13.5" hidden="1" thickBot="1">
      <c r="A69" s="3241"/>
      <c r="B69" s="2156"/>
      <c r="C69" s="2149"/>
      <c r="D69" s="3248"/>
      <c r="E69" s="3170" t="s">
        <v>597</v>
      </c>
      <c r="F69" s="2153"/>
      <c r="G69" s="2154"/>
      <c r="H69" s="2155"/>
      <c r="I69" s="2155"/>
      <c r="J69" s="2155"/>
      <c r="K69" s="3243"/>
      <c r="L69" s="2155"/>
      <c r="M69" s="2155"/>
      <c r="N69" s="2155"/>
      <c r="O69" s="2155"/>
      <c r="P69" s="3022"/>
      <c r="Q69" s="2155"/>
      <c r="R69" s="2155"/>
      <c r="S69" s="2155"/>
      <c r="T69" s="2155"/>
      <c r="U69" s="2155"/>
      <c r="V69" s="2155"/>
      <c r="W69" s="2155"/>
      <c r="X69" s="3243"/>
      <c r="Y69" s="2155"/>
      <c r="Z69" s="2155"/>
      <c r="AA69" s="3022"/>
      <c r="AB69" s="2155"/>
      <c r="AC69" s="2155"/>
      <c r="AD69" s="2155"/>
      <c r="AE69" s="2155"/>
      <c r="AF69" s="3022"/>
      <c r="AG69" s="2155"/>
      <c r="AH69" s="2155"/>
      <c r="AI69" s="2155"/>
      <c r="AJ69" s="2155"/>
      <c r="AK69" s="2155"/>
      <c r="AL69" s="2155"/>
      <c r="AM69" s="2155"/>
      <c r="AN69" s="3243"/>
      <c r="AO69" s="2155"/>
      <c r="AP69" s="2155"/>
      <c r="AQ69" s="2155"/>
      <c r="AR69" s="2155"/>
      <c r="AS69" s="2155"/>
      <c r="AT69" s="2155"/>
      <c r="AU69" s="2155"/>
      <c r="AV69" s="2155"/>
      <c r="AW69" s="2155"/>
      <c r="AX69" s="2155"/>
      <c r="AY69" s="2155"/>
      <c r="AZ69" s="3022"/>
      <c r="BA69" s="2155"/>
      <c r="BB69" s="2155"/>
      <c r="BC69" s="2155"/>
      <c r="BD69" s="3244"/>
      <c r="BE69" s="2155"/>
      <c r="BF69" s="2155"/>
      <c r="BG69" s="2155"/>
      <c r="BH69" s="3246"/>
      <c r="BI69" s="2155"/>
    </row>
    <row r="70" spans="1:62" s="3267" customFormat="1" ht="13.5" hidden="1" thickBot="1">
      <c r="A70" s="2399"/>
      <c r="B70" s="2295"/>
      <c r="C70" s="2149"/>
      <c r="D70" s="3248"/>
      <c r="E70" s="2293" t="s">
        <v>499</v>
      </c>
      <c r="F70" s="2293" t="s">
        <v>19</v>
      </c>
      <c r="G70" s="2294" t="s">
        <v>20</v>
      </c>
      <c r="H70" s="3261">
        <v>9.8612156594177662</v>
      </c>
      <c r="I70" s="3261">
        <v>9.8612156594177662</v>
      </c>
      <c r="J70" s="3261">
        <v>18.278448780671667</v>
      </c>
      <c r="K70" s="3262">
        <v>0.28938084848484852</v>
      </c>
      <c r="L70" s="3261">
        <v>0.31005090909090915</v>
      </c>
      <c r="M70" s="3261">
        <v>0.31005090909090915</v>
      </c>
      <c r="N70" s="3261">
        <v>0.90431515151515152</v>
      </c>
      <c r="O70" s="3261">
        <v>0.90431515151515152</v>
      </c>
      <c r="P70" s="3263">
        <v>0.18086303030303033</v>
      </c>
      <c r="Q70" s="3261">
        <v>0.18086303030303033</v>
      </c>
      <c r="R70" s="3261">
        <v>5.1675151515151514E-2</v>
      </c>
      <c r="S70" s="3261">
        <v>7.863610013175229E-2</v>
      </c>
      <c r="T70" s="3261">
        <v>7.863610013175229E-2</v>
      </c>
      <c r="U70" s="3261">
        <v>4.3062626262626254E-2</v>
      </c>
      <c r="V70" s="3261">
        <v>5.1675151515151514</v>
      </c>
      <c r="W70" s="3261">
        <v>5.1675151515151514</v>
      </c>
      <c r="X70" s="3262">
        <v>4.9608145454545463E-2</v>
      </c>
      <c r="Y70" s="3261">
        <v>1.3435539393939397</v>
      </c>
      <c r="Z70" s="3261">
        <v>0.7234521212121211</v>
      </c>
      <c r="AA70" s="3263">
        <v>3.617260606060607</v>
      </c>
      <c r="AB70" s="3261">
        <v>1.8794195878027862</v>
      </c>
      <c r="AC70" s="3261">
        <v>4.7077944215343566</v>
      </c>
      <c r="AD70" s="3261">
        <v>11.850596969903792</v>
      </c>
      <c r="AE70" s="3261" t="s">
        <v>498</v>
      </c>
      <c r="AF70" s="3263" t="s">
        <v>498</v>
      </c>
      <c r="AG70" s="3261">
        <v>95.082278787878778</v>
      </c>
      <c r="AH70" s="3261">
        <v>95.082278787878806</v>
      </c>
      <c r="AI70" s="3261">
        <v>5.1675151515151532</v>
      </c>
      <c r="AJ70" s="3261">
        <v>7.437048741543399</v>
      </c>
      <c r="AK70" s="3261">
        <v>16.978151941012662</v>
      </c>
      <c r="AL70" s="3261" t="s">
        <v>498</v>
      </c>
      <c r="AM70" s="3261" t="s">
        <v>498</v>
      </c>
      <c r="AN70" s="3262">
        <v>0.13007368623860172</v>
      </c>
      <c r="AO70" s="3261">
        <v>8.2717925108955086</v>
      </c>
      <c r="AP70" s="3261">
        <v>6.2834410185289196</v>
      </c>
      <c r="AQ70" s="3261">
        <v>10.248932332866461</v>
      </c>
      <c r="AR70" s="3261">
        <v>25.396543758477808</v>
      </c>
      <c r="AS70" s="3261" t="s">
        <v>498</v>
      </c>
      <c r="AT70" s="3261" t="s">
        <v>498</v>
      </c>
      <c r="AU70" s="3261" t="s">
        <v>498</v>
      </c>
      <c r="AV70" s="3261">
        <v>5.7600387775965123</v>
      </c>
      <c r="AW70" s="3261" t="s">
        <v>498</v>
      </c>
      <c r="AX70" s="3261" t="s">
        <v>498</v>
      </c>
      <c r="AY70" s="3261" t="s">
        <v>498</v>
      </c>
      <c r="AZ70" s="3263" t="s">
        <v>498</v>
      </c>
      <c r="BA70" s="3261" t="s">
        <v>498</v>
      </c>
      <c r="BB70" s="3261" t="s">
        <v>498</v>
      </c>
      <c r="BC70" s="3261" t="s">
        <v>498</v>
      </c>
      <c r="BD70" s="3264">
        <v>10.557916653505437</v>
      </c>
      <c r="BE70" s="3261">
        <v>36.155091159202037</v>
      </c>
      <c r="BF70" s="3261">
        <v>1.2169031389755807</v>
      </c>
      <c r="BG70" s="3261">
        <v>1.5502545454545459E-4</v>
      </c>
      <c r="BH70" s="3265">
        <v>0.10255076753735967</v>
      </c>
      <c r="BI70" s="3261">
        <v>0.15247294105761736</v>
      </c>
      <c r="BJ70" s="3266"/>
    </row>
    <row r="71" spans="1:62" s="2193" customFormat="1" ht="13.5" hidden="1" thickBot="1">
      <c r="A71" s="2362"/>
      <c r="B71" s="2236"/>
      <c r="C71" s="2149"/>
      <c r="D71" s="3248"/>
      <c r="E71" s="2217" t="s">
        <v>476</v>
      </c>
      <c r="F71" s="2217" t="s">
        <v>93</v>
      </c>
      <c r="G71" s="2218" t="s">
        <v>24</v>
      </c>
      <c r="H71" s="2235">
        <v>23.278802256490888</v>
      </c>
      <c r="I71" s="2235">
        <v>23.278802256490888</v>
      </c>
      <c r="J71" s="2235">
        <v>253.60150914467107</v>
      </c>
      <c r="K71" s="3270">
        <v>981.20026656601033</v>
      </c>
      <c r="L71" s="2235">
        <v>114.24257075718157</v>
      </c>
      <c r="M71" s="2235">
        <v>114.24257075718157</v>
      </c>
      <c r="N71" s="2235">
        <v>448.49659077929783</v>
      </c>
      <c r="O71" s="2235">
        <v>448.49659077929783</v>
      </c>
      <c r="P71" s="3271">
        <v>78.896187614415965</v>
      </c>
      <c r="Q71" s="2235">
        <v>78.896187614415965</v>
      </c>
      <c r="R71" s="2235">
        <v>30.431755990867654</v>
      </c>
      <c r="S71" s="2235">
        <v>18.918101251169354</v>
      </c>
      <c r="T71" s="2235">
        <v>18.918101251169354</v>
      </c>
      <c r="U71" s="2235">
        <v>56.630584413332876</v>
      </c>
      <c r="V71" s="2235">
        <v>1698.203079137638</v>
      </c>
      <c r="W71" s="2235">
        <v>1698.203079137638</v>
      </c>
      <c r="X71" s="3270">
        <v>18.081652399541834</v>
      </c>
      <c r="Y71" s="2235">
        <v>213.76143615511634</v>
      </c>
      <c r="Z71" s="2235">
        <v>52.692242174982347</v>
      </c>
      <c r="AA71" s="3271">
        <v>171.64011843271624</v>
      </c>
      <c r="AB71" s="2235">
        <v>92.938084033392229</v>
      </c>
      <c r="AC71" s="2235">
        <v>43.294845020754167</v>
      </c>
      <c r="AD71" s="2235">
        <v>20.789396529768993</v>
      </c>
      <c r="AE71" s="2235" t="s">
        <v>498</v>
      </c>
      <c r="AF71" s="3271" t="s">
        <v>498</v>
      </c>
      <c r="AG71" s="2235">
        <v>337414.02846655494</v>
      </c>
      <c r="AH71" s="2235">
        <v>154925.61054719498</v>
      </c>
      <c r="AI71" s="2235">
        <v>2061.4745100719988</v>
      </c>
      <c r="AJ71" s="2235">
        <v>585.87687392329917</v>
      </c>
      <c r="AK71" s="2235">
        <v>292.91419273223602</v>
      </c>
      <c r="AL71" s="2235" t="s">
        <v>498</v>
      </c>
      <c r="AM71" s="2235" t="s">
        <v>498</v>
      </c>
      <c r="AN71" s="3270">
        <v>0.10460166312540531</v>
      </c>
      <c r="AO71" s="2235">
        <v>1.673733789351153</v>
      </c>
      <c r="AP71" s="2235">
        <v>2.1403996868165147</v>
      </c>
      <c r="AQ71" s="2235">
        <v>1.3892423477662366</v>
      </c>
      <c r="AR71" s="2235">
        <v>0.67933610807716538</v>
      </c>
      <c r="AS71" s="2235" t="s">
        <v>498</v>
      </c>
      <c r="AT71" s="2235" t="s">
        <v>498</v>
      </c>
      <c r="AU71" s="2235" t="s">
        <v>498</v>
      </c>
      <c r="AV71" s="2235">
        <v>2.2018879415029624E-3</v>
      </c>
      <c r="AW71" s="2235" t="s">
        <v>498</v>
      </c>
      <c r="AX71" s="2235" t="s">
        <v>498</v>
      </c>
      <c r="AY71" s="2235" t="s">
        <v>498</v>
      </c>
      <c r="AZ71" s="3271" t="s">
        <v>498</v>
      </c>
      <c r="BA71" s="2235" t="s">
        <v>498</v>
      </c>
      <c r="BB71" s="2235" t="s">
        <v>498</v>
      </c>
      <c r="BC71" s="2235" t="s">
        <v>498</v>
      </c>
      <c r="BD71" s="3272">
        <v>0.67131019616277776</v>
      </c>
      <c r="BE71" s="2235">
        <v>1.2519768721170133E-2</v>
      </c>
      <c r="BF71" s="2235">
        <v>4.2138867217771054E-4</v>
      </c>
      <c r="BG71" s="2235" t="s">
        <v>595</v>
      </c>
      <c r="BH71" s="3273">
        <v>1.2407984084676063E-2</v>
      </c>
      <c r="BI71" s="2235">
        <v>0.12492851406517011</v>
      </c>
      <c r="BJ71" s="3274"/>
    </row>
    <row r="72" spans="1:62" ht="13.5" hidden="1" thickBot="1">
      <c r="A72" s="3241"/>
      <c r="B72" s="2156"/>
      <c r="C72" s="2149"/>
      <c r="D72" s="3248"/>
      <c r="E72" s="3289" t="s">
        <v>598</v>
      </c>
      <c r="F72" s="3289"/>
      <c r="G72" s="2154"/>
      <c r="H72" s="2155"/>
      <c r="I72" s="2155"/>
      <c r="J72" s="2155"/>
      <c r="K72" s="3243"/>
      <c r="L72" s="2155"/>
      <c r="M72" s="2155"/>
      <c r="N72" s="2155"/>
      <c r="O72" s="2155"/>
      <c r="P72" s="3022"/>
      <c r="Q72" s="2155"/>
      <c r="R72" s="2155"/>
      <c r="S72" s="2155"/>
      <c r="T72" s="2155"/>
      <c r="U72" s="2155"/>
      <c r="V72" s="2155"/>
      <c r="W72" s="2155"/>
      <c r="X72" s="3243"/>
      <c r="Y72" s="2155"/>
      <c r="Z72" s="2155"/>
      <c r="AA72" s="3022"/>
      <c r="AB72" s="2155"/>
      <c r="AC72" s="2155"/>
      <c r="AD72" s="2155"/>
      <c r="AE72" s="2155"/>
      <c r="AF72" s="3022"/>
      <c r="AG72" s="2155"/>
      <c r="AH72" s="2155"/>
      <c r="AI72" s="2155"/>
      <c r="AJ72" s="2155"/>
      <c r="AK72" s="2155"/>
      <c r="AL72" s="2155"/>
      <c r="AM72" s="2155"/>
      <c r="AN72" s="3243"/>
      <c r="AO72" s="2155"/>
      <c r="AP72" s="2155"/>
      <c r="AQ72" s="2155"/>
      <c r="AR72" s="2155"/>
      <c r="AS72" s="2155"/>
      <c r="AT72" s="2155"/>
      <c r="AU72" s="2155"/>
      <c r="AV72" s="2155"/>
      <c r="AW72" s="2155"/>
      <c r="AX72" s="2155"/>
      <c r="AY72" s="2155"/>
      <c r="AZ72" s="3022"/>
      <c r="BA72" s="2155"/>
      <c r="BB72" s="2155"/>
      <c r="BC72" s="2155"/>
      <c r="BD72" s="3244"/>
      <c r="BE72" s="2155"/>
      <c r="BF72" s="2155"/>
      <c r="BG72" s="2155"/>
      <c r="BH72" s="3246"/>
      <c r="BI72" s="2155"/>
    </row>
    <row r="73" spans="1:62" s="2274" customFormat="1" ht="13.5" hidden="1" thickBot="1">
      <c r="A73" s="2375"/>
      <c r="B73" s="2227"/>
      <c r="C73" s="2149"/>
      <c r="D73" s="3248"/>
      <c r="E73" s="2225" t="s">
        <v>499</v>
      </c>
      <c r="F73" s="2225" t="s">
        <v>19</v>
      </c>
      <c r="G73" s="2226" t="s">
        <v>20</v>
      </c>
      <c r="H73" s="2273">
        <v>27.611403846369747</v>
      </c>
      <c r="I73" s="2273">
        <v>27.611403846369747</v>
      </c>
      <c r="J73" s="2273">
        <v>51.179656585880679</v>
      </c>
      <c r="K73" s="3284">
        <v>0.81026637575757599</v>
      </c>
      <c r="L73" s="2273">
        <v>0.86814254545454572</v>
      </c>
      <c r="M73" s="2273">
        <v>0.86814254545454572</v>
      </c>
      <c r="N73" s="2273">
        <v>2.5320824242424242</v>
      </c>
      <c r="O73" s="2273">
        <v>2.5320824242424242</v>
      </c>
      <c r="P73" s="3285">
        <v>0.506416484848485</v>
      </c>
      <c r="Q73" s="2273">
        <v>0.506416484848485</v>
      </c>
      <c r="R73" s="2273">
        <v>0.14469042424242423</v>
      </c>
      <c r="S73" s="2273">
        <v>0.22018108036890649</v>
      </c>
      <c r="T73" s="2273">
        <v>0.22018108036890649</v>
      </c>
      <c r="U73" s="2273">
        <v>0.12057535353535352</v>
      </c>
      <c r="V73" s="2273">
        <v>14.469042424242428</v>
      </c>
      <c r="W73" s="2273">
        <v>14.469042424242428</v>
      </c>
      <c r="X73" s="3284">
        <v>0.13890280727272733</v>
      </c>
      <c r="Y73" s="2273">
        <v>3.761951030303031</v>
      </c>
      <c r="Z73" s="2273">
        <v>2.0256659393939391</v>
      </c>
      <c r="AA73" s="3285">
        <v>10.128329696969699</v>
      </c>
      <c r="AB73" s="2273">
        <v>5.2623748458478001</v>
      </c>
      <c r="AC73" s="2273">
        <v>13.181824380296201</v>
      </c>
      <c r="AD73" s="2273">
        <v>33.181671515730621</v>
      </c>
      <c r="AE73" s="2273" t="s">
        <v>498</v>
      </c>
      <c r="AF73" s="3285" t="s">
        <v>498</v>
      </c>
      <c r="AG73" s="2273">
        <v>266.23038060606063</v>
      </c>
      <c r="AH73" s="2273" t="s">
        <v>498</v>
      </c>
      <c r="AI73" s="2273">
        <v>14.469042424242428</v>
      </c>
      <c r="AJ73" s="2273">
        <v>20.823736476321521</v>
      </c>
      <c r="AK73" s="2273" t="s">
        <v>498</v>
      </c>
      <c r="AL73" s="2273" t="s">
        <v>498</v>
      </c>
      <c r="AM73" s="2273" t="s">
        <v>498</v>
      </c>
      <c r="AN73" s="3284">
        <v>0.36420632146808479</v>
      </c>
      <c r="AO73" s="2273">
        <v>23.161019030507425</v>
      </c>
      <c r="AP73" s="2273">
        <v>17.593634851880982</v>
      </c>
      <c r="AQ73" s="2273">
        <v>28.697010532026095</v>
      </c>
      <c r="AR73" s="2273" t="s">
        <v>498</v>
      </c>
      <c r="AS73" s="2273" t="s">
        <v>498</v>
      </c>
      <c r="AT73" s="2273" t="s">
        <v>498</v>
      </c>
      <c r="AU73" s="2273" t="s">
        <v>498</v>
      </c>
      <c r="AV73" s="2273" t="s">
        <v>498</v>
      </c>
      <c r="AW73" s="2273" t="s">
        <v>498</v>
      </c>
      <c r="AX73" s="2273" t="s">
        <v>498</v>
      </c>
      <c r="AY73" s="2273" t="s">
        <v>498</v>
      </c>
      <c r="AZ73" s="3285" t="s">
        <v>498</v>
      </c>
      <c r="BA73" s="2273" t="s">
        <v>498</v>
      </c>
      <c r="BB73" s="2273" t="s">
        <v>498</v>
      </c>
      <c r="BC73" s="2273" t="s">
        <v>498</v>
      </c>
      <c r="BD73" s="3286">
        <v>29.56216662981522</v>
      </c>
      <c r="BE73" s="2273">
        <v>101.23425524576572</v>
      </c>
      <c r="BF73" s="2273">
        <v>3.4073287891316268</v>
      </c>
      <c r="BG73" s="2273">
        <v>4.3407127272727285E-4</v>
      </c>
      <c r="BH73" s="3287">
        <v>0.28714214910460706</v>
      </c>
      <c r="BI73" s="2273">
        <v>0.42692423496132853</v>
      </c>
      <c r="BJ73" s="3288"/>
    </row>
    <row r="74" spans="1:62" ht="13.5" hidden="1" thickBot="1">
      <c r="A74" s="3241"/>
      <c r="B74" s="2156"/>
      <c r="C74" s="2149"/>
      <c r="D74" s="3248"/>
      <c r="E74" s="2356" t="s">
        <v>476</v>
      </c>
      <c r="F74" s="2356" t="s">
        <v>93</v>
      </c>
      <c r="G74" s="2350" t="s">
        <v>24</v>
      </c>
      <c r="H74" s="2322">
        <v>65.180646318174496</v>
      </c>
      <c r="I74" s="2322">
        <v>65.180646318174496</v>
      </c>
      <c r="J74" s="2322">
        <v>710.08422560507904</v>
      </c>
      <c r="K74" s="3290">
        <v>2747.3607463848293</v>
      </c>
      <c r="L74" s="2322">
        <v>319.87919812010847</v>
      </c>
      <c r="M74" s="2322">
        <v>319.87919812010847</v>
      </c>
      <c r="N74" s="2322">
        <v>1255.790454182034</v>
      </c>
      <c r="O74" s="2322">
        <v>1255.790454182034</v>
      </c>
      <c r="P74" s="3054">
        <v>220.90932532036473</v>
      </c>
      <c r="Q74" s="2322">
        <v>220.90932532036473</v>
      </c>
      <c r="R74" s="2322">
        <v>85.208916774429426</v>
      </c>
      <c r="S74" s="2322">
        <v>52.970683503274202</v>
      </c>
      <c r="T74" s="2322">
        <v>52.970683503274202</v>
      </c>
      <c r="U74" s="2322">
        <v>158.5656363573321</v>
      </c>
      <c r="V74" s="2322">
        <v>4754.9686215853881</v>
      </c>
      <c r="W74" s="2322">
        <v>4754.9686215853881</v>
      </c>
      <c r="X74" s="3290">
        <v>50.62862671871715</v>
      </c>
      <c r="Y74" s="2322">
        <v>598.53202123432573</v>
      </c>
      <c r="Z74" s="2322">
        <v>147.53827808995058</v>
      </c>
      <c r="AA74" s="3054">
        <v>480.5923316116054</v>
      </c>
      <c r="AB74" s="2322">
        <v>260.22663529349813</v>
      </c>
      <c r="AC74" s="2322">
        <v>121.22556605811171</v>
      </c>
      <c r="AD74" s="2322">
        <v>58.210310283353188</v>
      </c>
      <c r="AE74" s="2322" t="s">
        <v>498</v>
      </c>
      <c r="AF74" s="3054" t="s">
        <v>498</v>
      </c>
      <c r="AG74" s="2322">
        <v>944759.27970635402</v>
      </c>
      <c r="AH74" s="2322" t="s">
        <v>498</v>
      </c>
      <c r="AI74" s="2322">
        <v>5772.1286282015963</v>
      </c>
      <c r="AJ74" s="2322">
        <v>1640.4552469852379</v>
      </c>
      <c r="AK74" s="2322" t="s">
        <v>498</v>
      </c>
      <c r="AL74" s="2322" t="s">
        <v>498</v>
      </c>
      <c r="AM74" s="2322" t="s">
        <v>498</v>
      </c>
      <c r="AN74" s="3290">
        <v>0.29288465675113484</v>
      </c>
      <c r="AO74" s="2322">
        <v>4.6864546101832287</v>
      </c>
      <c r="AP74" s="2322">
        <v>5.9931191230862426</v>
      </c>
      <c r="AQ74" s="2322">
        <v>3.8898785737454626</v>
      </c>
      <c r="AR74" s="2322" t="s">
        <v>498</v>
      </c>
      <c r="AS74" s="2322" t="s">
        <v>498</v>
      </c>
      <c r="AT74" s="2322" t="s">
        <v>498</v>
      </c>
      <c r="AU74" s="2322" t="s">
        <v>498</v>
      </c>
      <c r="AV74" s="2322" t="s">
        <v>498</v>
      </c>
      <c r="AW74" s="2322" t="s">
        <v>498</v>
      </c>
      <c r="AX74" s="2322" t="s">
        <v>498</v>
      </c>
      <c r="AY74" s="2322" t="s">
        <v>498</v>
      </c>
      <c r="AZ74" s="3054" t="s">
        <v>498</v>
      </c>
      <c r="BA74" s="2322" t="s">
        <v>498</v>
      </c>
      <c r="BB74" s="2322" t="s">
        <v>498</v>
      </c>
      <c r="BC74" s="2322" t="s">
        <v>498</v>
      </c>
      <c r="BD74" s="3291">
        <v>1.8796685492557776</v>
      </c>
      <c r="BE74" s="2322">
        <v>3.5055352419276382E-2</v>
      </c>
      <c r="BF74" s="2322">
        <v>1.1798882820975899E-3</v>
      </c>
      <c r="BG74" s="2322" t="s">
        <v>595</v>
      </c>
      <c r="BH74" s="3292">
        <v>3.4742355437092975E-2</v>
      </c>
      <c r="BI74" s="2322">
        <v>0.34979983938247622</v>
      </c>
    </row>
    <row r="75" spans="1:62" s="2137" customFormat="1" ht="13.5" hidden="1" thickBot="1">
      <c r="B75" s="3233"/>
      <c r="C75" s="2149"/>
      <c r="D75" s="3248"/>
      <c r="E75" s="3235" t="s">
        <v>627</v>
      </c>
      <c r="F75" s="3235"/>
      <c r="G75" s="3236"/>
      <c r="H75" s="499"/>
      <c r="I75" s="499"/>
      <c r="J75" s="499"/>
      <c r="K75" s="498"/>
      <c r="L75" s="499"/>
      <c r="M75" s="499"/>
      <c r="N75" s="499"/>
      <c r="O75" s="499"/>
      <c r="P75" s="501"/>
      <c r="Q75" s="499"/>
      <c r="R75" s="499"/>
      <c r="S75" s="499"/>
      <c r="T75" s="499"/>
      <c r="U75" s="499"/>
      <c r="V75" s="499"/>
      <c r="W75" s="499"/>
      <c r="X75" s="498"/>
      <c r="Y75" s="499"/>
      <c r="Z75" s="499"/>
      <c r="AA75" s="501"/>
      <c r="AB75" s="499"/>
      <c r="AC75" s="499"/>
      <c r="AD75" s="499"/>
      <c r="AE75" s="499"/>
      <c r="AF75" s="501"/>
      <c r="AG75" s="499"/>
      <c r="AH75" s="499"/>
      <c r="AI75" s="499"/>
      <c r="AJ75" s="499"/>
      <c r="AK75" s="499"/>
      <c r="AL75" s="499"/>
      <c r="AM75" s="499"/>
      <c r="AN75" s="498"/>
      <c r="AO75" s="499"/>
      <c r="AP75" s="499"/>
      <c r="AQ75" s="499"/>
      <c r="AR75" s="499"/>
      <c r="AS75" s="499"/>
      <c r="AT75" s="499"/>
      <c r="AU75" s="499"/>
      <c r="AV75" s="499"/>
      <c r="AW75" s="499"/>
      <c r="AX75" s="499"/>
      <c r="AY75" s="499"/>
      <c r="AZ75" s="501"/>
      <c r="BA75" s="499"/>
      <c r="BB75" s="499"/>
      <c r="BC75" s="499"/>
      <c r="BD75" s="2083"/>
      <c r="BE75" s="499"/>
      <c r="BF75" s="499"/>
      <c r="BG75" s="499"/>
      <c r="BH75" s="2546"/>
      <c r="BI75" s="499"/>
      <c r="BJ75" s="3237"/>
    </row>
    <row r="76" spans="1:62" ht="13.5" hidden="1" thickBot="1">
      <c r="A76" s="3241"/>
      <c r="B76" s="2156"/>
      <c r="C76" s="2149"/>
      <c r="D76" s="3248"/>
      <c r="E76" s="2153" t="s">
        <v>305</v>
      </c>
      <c r="F76" s="2153" t="s">
        <v>19</v>
      </c>
      <c r="G76" s="2154" t="s">
        <v>20</v>
      </c>
      <c r="H76" s="2155">
        <v>2422.7604535445289</v>
      </c>
      <c r="I76" s="2155">
        <v>2422.7604535445289</v>
      </c>
      <c r="J76" s="2155">
        <v>2812.4450652391674</v>
      </c>
      <c r="K76" s="3243">
        <v>8.372224000000001</v>
      </c>
      <c r="L76" s="2155">
        <v>16.530599453463537</v>
      </c>
      <c r="M76" s="2155">
        <v>16.530599453463537</v>
      </c>
      <c r="N76" s="2155">
        <v>44.98497074424256</v>
      </c>
      <c r="O76" s="2155">
        <v>44.98497074424256</v>
      </c>
      <c r="P76" s="3022">
        <v>8.8920821011085653</v>
      </c>
      <c r="Q76" s="2155">
        <v>8.8920821011085653</v>
      </c>
      <c r="R76" s="2155">
        <v>2.8000746861394226</v>
      </c>
      <c r="S76" s="2155">
        <v>18.159248631962093</v>
      </c>
      <c r="T76" s="2155">
        <v>18.159248631962093</v>
      </c>
      <c r="U76" s="2155">
        <v>5.681152</v>
      </c>
      <c r="V76" s="2155">
        <v>508.31739619968505</v>
      </c>
      <c r="W76" s="2155">
        <v>508.31739619968505</v>
      </c>
      <c r="X76" s="3243">
        <v>2.5073990971275348</v>
      </c>
      <c r="Y76" s="2155">
        <v>115.74669050592814</v>
      </c>
      <c r="Z76" s="2155">
        <v>199.89520683079709</v>
      </c>
      <c r="AA76" s="3022">
        <v>214.61609064296312</v>
      </c>
      <c r="AB76" s="2155">
        <v>325.22056106327517</v>
      </c>
      <c r="AC76" s="2155">
        <v>1328.8516004428675</v>
      </c>
      <c r="AD76" s="2155">
        <v>7132.696310475756</v>
      </c>
      <c r="AE76" s="2155" t="s">
        <v>498</v>
      </c>
      <c r="AF76" s="3022" t="s">
        <v>498</v>
      </c>
      <c r="AG76" s="2155">
        <v>2750.8736000000004</v>
      </c>
      <c r="AH76" s="2155">
        <v>3228.7114666041011</v>
      </c>
      <c r="AI76" s="2155">
        <v>446.41364651862739</v>
      </c>
      <c r="AJ76" s="2155">
        <v>1433.4478820485942</v>
      </c>
      <c r="AK76" s="2155">
        <v>5592.2613935759246</v>
      </c>
      <c r="AL76" s="2155" t="s">
        <v>498</v>
      </c>
      <c r="AM76" s="2155" t="s">
        <v>498</v>
      </c>
      <c r="AN76" s="3243">
        <v>211.64636486493401</v>
      </c>
      <c r="AO76" s="2155" t="s">
        <v>498</v>
      </c>
      <c r="AP76" s="2155" t="s">
        <v>498</v>
      </c>
      <c r="AQ76" s="2155" t="s">
        <v>498</v>
      </c>
      <c r="AR76" s="2155" t="s">
        <v>498</v>
      </c>
      <c r="AS76" s="2155" t="s">
        <v>498</v>
      </c>
      <c r="AT76" s="2155" t="s">
        <v>498</v>
      </c>
      <c r="AU76" s="2155" t="s">
        <v>498</v>
      </c>
      <c r="AV76" s="2155" t="s">
        <v>498</v>
      </c>
      <c r="AW76" s="2155" t="s">
        <v>498</v>
      </c>
      <c r="AX76" s="2155" t="s">
        <v>498</v>
      </c>
      <c r="AY76" s="2155" t="s">
        <v>498</v>
      </c>
      <c r="AZ76" s="3022" t="s">
        <v>498</v>
      </c>
      <c r="BA76" s="2155" t="s">
        <v>498</v>
      </c>
      <c r="BB76" s="2155" t="s">
        <v>498</v>
      </c>
      <c r="BC76" s="2155" t="s">
        <v>498</v>
      </c>
      <c r="BD76" s="3244">
        <v>1211.4063861186385</v>
      </c>
      <c r="BE76" s="2155">
        <v>132247.37762403511</v>
      </c>
      <c r="BF76" s="2155">
        <v>264494.75524807023</v>
      </c>
      <c r="BG76" s="2155">
        <v>6.899368016797607E-3</v>
      </c>
      <c r="BH76" s="3246">
        <v>19.713478101960245</v>
      </c>
      <c r="BI76" s="2155">
        <v>9.7225038187280042</v>
      </c>
    </row>
    <row r="77" spans="1:62" ht="13.5" hidden="1" thickBot="1">
      <c r="A77" s="3241"/>
      <c r="B77" s="2156"/>
      <c r="C77" s="2149"/>
      <c r="D77" s="3248"/>
      <c r="E77" s="2153" t="s">
        <v>306</v>
      </c>
      <c r="F77" s="2153" t="s">
        <v>19</v>
      </c>
      <c r="G77" s="2154" t="s">
        <v>20</v>
      </c>
      <c r="H77" s="2155" t="s">
        <v>498</v>
      </c>
      <c r="I77" s="2155" t="s">
        <v>498</v>
      </c>
      <c r="J77" s="2155" t="s">
        <v>498</v>
      </c>
      <c r="K77" s="3243">
        <v>52.326400000000007</v>
      </c>
      <c r="L77" s="2155" t="s">
        <v>498</v>
      </c>
      <c r="M77" s="2155" t="s">
        <v>498</v>
      </c>
      <c r="N77" s="2155">
        <v>26.163200000000003</v>
      </c>
      <c r="O77" s="2155">
        <v>26.163200000000003</v>
      </c>
      <c r="P77" s="3022">
        <v>8.8688813559322028</v>
      </c>
      <c r="Q77" s="2155">
        <v>8.8688813559322028</v>
      </c>
      <c r="R77" s="2155">
        <v>52.326399999999985</v>
      </c>
      <c r="S77" s="2155">
        <v>2.2750608695652175</v>
      </c>
      <c r="T77" s="2155">
        <v>2.2750608695652175</v>
      </c>
      <c r="U77" s="2155">
        <v>1.2458666666666665</v>
      </c>
      <c r="V77" s="2155" t="s">
        <v>498</v>
      </c>
      <c r="W77" s="2155" t="s">
        <v>498</v>
      </c>
      <c r="X77" s="3243">
        <v>8.7210666666666654</v>
      </c>
      <c r="Y77" s="2155" t="s">
        <v>498</v>
      </c>
      <c r="Z77" s="2155">
        <v>26.885839091415537</v>
      </c>
      <c r="AA77" s="3022" t="s">
        <v>498</v>
      </c>
      <c r="AB77" s="2155" t="s">
        <v>498</v>
      </c>
      <c r="AC77" s="2155" t="s">
        <v>498</v>
      </c>
      <c r="AD77" s="2155" t="s">
        <v>498</v>
      </c>
      <c r="AE77" s="2155" t="s">
        <v>498</v>
      </c>
      <c r="AF77" s="3022" t="s">
        <v>498</v>
      </c>
      <c r="AG77" s="2155" t="s">
        <v>498</v>
      </c>
      <c r="AH77" s="2155" t="s">
        <v>498</v>
      </c>
      <c r="AI77" s="2155" t="s">
        <v>498</v>
      </c>
      <c r="AJ77" s="2155" t="s">
        <v>498</v>
      </c>
      <c r="AK77" s="2155" t="s">
        <v>498</v>
      </c>
      <c r="AL77" s="2155" t="s">
        <v>498</v>
      </c>
      <c r="AM77" s="2155" t="s">
        <v>498</v>
      </c>
      <c r="AN77" s="3243">
        <v>28.50998276623169</v>
      </c>
      <c r="AO77" s="2155">
        <v>3103.9938275952459</v>
      </c>
      <c r="AP77" s="2155">
        <v>1991.6156298729998</v>
      </c>
      <c r="AQ77" s="2155">
        <v>4696.9189278701097</v>
      </c>
      <c r="AR77" s="2155">
        <v>22845.452995364049</v>
      </c>
      <c r="AS77" s="2155">
        <v>1790.7672522508465</v>
      </c>
      <c r="AT77" s="2155">
        <v>252555.38029904594</v>
      </c>
      <c r="AU77" s="2155">
        <v>259135.97050587085</v>
      </c>
      <c r="AV77" s="2155">
        <v>17216.673981423388</v>
      </c>
      <c r="AW77" s="2155">
        <v>232003.76819676632</v>
      </c>
      <c r="AX77" s="2155">
        <v>108039.06096607701</v>
      </c>
      <c r="AY77" s="2155">
        <v>202570.88818492193</v>
      </c>
      <c r="AZ77" s="3022">
        <v>55937.61969581186</v>
      </c>
      <c r="BA77" s="2155">
        <v>57113.197496308843</v>
      </c>
      <c r="BB77" s="2155">
        <v>2297628.6502791243</v>
      </c>
      <c r="BC77" s="2155">
        <v>967753.09707788401</v>
      </c>
      <c r="BD77" s="3244" t="s">
        <v>498</v>
      </c>
      <c r="BE77" s="2155" t="s">
        <v>498</v>
      </c>
      <c r="BF77" s="2155">
        <v>4372.2906715820882</v>
      </c>
      <c r="BG77" s="2155" t="s">
        <v>498</v>
      </c>
      <c r="BH77" s="3246" t="s">
        <v>498</v>
      </c>
      <c r="BI77" s="2155" t="s">
        <v>498</v>
      </c>
    </row>
    <row r="78" spans="1:62" ht="26.25" hidden="1" thickBot="1">
      <c r="A78" s="2275"/>
      <c r="B78" s="2156"/>
      <c r="C78" s="2149"/>
      <c r="D78" s="3248"/>
      <c r="E78" s="2153" t="s">
        <v>493</v>
      </c>
      <c r="F78" s="2153" t="s">
        <v>19</v>
      </c>
      <c r="G78" s="2154" t="s">
        <v>20</v>
      </c>
      <c r="H78" s="2155">
        <v>2422.7604535445289</v>
      </c>
      <c r="I78" s="2155">
        <v>2422.7604535445289</v>
      </c>
      <c r="J78" s="2155">
        <v>2812.4450652391674</v>
      </c>
      <c r="K78" s="3243">
        <v>8.372224000000001</v>
      </c>
      <c r="L78" s="2155">
        <v>16.530599453463537</v>
      </c>
      <c r="M78" s="2155">
        <v>16.530599453463537</v>
      </c>
      <c r="N78" s="2155">
        <v>26.163200000000003</v>
      </c>
      <c r="O78" s="2155">
        <v>26.163200000000003</v>
      </c>
      <c r="P78" s="3022">
        <v>8.8688813559322028</v>
      </c>
      <c r="Q78" s="2155">
        <v>8.8688813559322028</v>
      </c>
      <c r="R78" s="2155">
        <v>2.8000746861394226</v>
      </c>
      <c r="S78" s="2155">
        <v>2.2750608695652175</v>
      </c>
      <c r="T78" s="2155">
        <v>2.2750608695652175</v>
      </c>
      <c r="U78" s="2155">
        <v>1.2458666666666665</v>
      </c>
      <c r="V78" s="2155">
        <v>508.31739619968505</v>
      </c>
      <c r="W78" s="2155">
        <v>508.31739619968505</v>
      </c>
      <c r="X78" s="3243">
        <v>2.5073990971275348</v>
      </c>
      <c r="Y78" s="2155">
        <v>115.74669050592814</v>
      </c>
      <c r="Z78" s="2155">
        <v>26.885839091415537</v>
      </c>
      <c r="AA78" s="3022">
        <v>214.61609064296312</v>
      </c>
      <c r="AB78" s="2155">
        <v>325.22056106327517</v>
      </c>
      <c r="AC78" s="2155">
        <v>1328.8516004428675</v>
      </c>
      <c r="AD78" s="2155">
        <v>7132.696310475756</v>
      </c>
      <c r="AE78" s="2155" t="s">
        <v>498</v>
      </c>
      <c r="AF78" s="3022" t="s">
        <v>498</v>
      </c>
      <c r="AG78" s="2155">
        <v>2750.8736000000004</v>
      </c>
      <c r="AH78" s="2155">
        <v>3228.7114666041011</v>
      </c>
      <c r="AI78" s="2155">
        <v>446.41364651862739</v>
      </c>
      <c r="AJ78" s="2155">
        <v>1433.4478820485942</v>
      </c>
      <c r="AK78" s="2155">
        <v>5592.2613935759246</v>
      </c>
      <c r="AL78" s="2155" t="s">
        <v>498</v>
      </c>
      <c r="AM78" s="2155" t="s">
        <v>498</v>
      </c>
      <c r="AN78" s="3243">
        <v>28.50998276623169</v>
      </c>
      <c r="AO78" s="2155">
        <v>3103.9938275952459</v>
      </c>
      <c r="AP78" s="2155">
        <v>1991.6156298729998</v>
      </c>
      <c r="AQ78" s="2155">
        <v>4696.9189278701097</v>
      </c>
      <c r="AR78" s="2155">
        <v>22845.452995364049</v>
      </c>
      <c r="AS78" s="2155">
        <v>1790.7672522508465</v>
      </c>
      <c r="AT78" s="2155">
        <v>252555.38029904594</v>
      </c>
      <c r="AU78" s="2155">
        <v>259135.97050587085</v>
      </c>
      <c r="AV78" s="2155">
        <v>17216.673981423388</v>
      </c>
      <c r="AW78" s="2155">
        <v>232003.76819676632</v>
      </c>
      <c r="AX78" s="2155">
        <v>108039.06096607701</v>
      </c>
      <c r="AY78" s="2155">
        <v>202570.88818492193</v>
      </c>
      <c r="AZ78" s="3022">
        <v>55937.61969581186</v>
      </c>
      <c r="BA78" s="2155">
        <v>57113.197496308843</v>
      </c>
      <c r="BB78" s="2155">
        <v>2297628.6502791243</v>
      </c>
      <c r="BC78" s="2155">
        <v>967753.09707788401</v>
      </c>
      <c r="BD78" s="3244">
        <v>1211.4063861186385</v>
      </c>
      <c r="BE78" s="2155">
        <v>132247.37762403511</v>
      </c>
      <c r="BF78" s="2155">
        <v>4372.2906715820882</v>
      </c>
      <c r="BG78" s="2155">
        <v>6.899368016797607E-3</v>
      </c>
      <c r="BH78" s="3246">
        <v>19.713478101960245</v>
      </c>
      <c r="BI78" s="2155">
        <v>9.7225038187280042</v>
      </c>
    </row>
    <row r="79" spans="1:62" s="2274" customFormat="1" ht="13.5" hidden="1" thickBot="1">
      <c r="A79" s="2375"/>
      <c r="B79" s="2227"/>
      <c r="C79" s="2149"/>
      <c r="D79" s="3248"/>
      <c r="E79" s="2225" t="s">
        <v>499</v>
      </c>
      <c r="F79" s="2225" t="s">
        <v>19</v>
      </c>
      <c r="G79" s="2226" t="s">
        <v>20</v>
      </c>
      <c r="H79" s="2273">
        <v>2422.7604535445289</v>
      </c>
      <c r="I79" s="2273">
        <v>2422.7604535445289</v>
      </c>
      <c r="J79" s="2273">
        <v>2812.4450652391674</v>
      </c>
      <c r="K79" s="3284">
        <v>8.372224000000001</v>
      </c>
      <c r="L79" s="2273">
        <v>16.530599453463537</v>
      </c>
      <c r="M79" s="2273">
        <v>16.530599453463537</v>
      </c>
      <c r="N79" s="2273">
        <v>26.163200000000003</v>
      </c>
      <c r="O79" s="2273">
        <v>26.163200000000003</v>
      </c>
      <c r="P79" s="3285">
        <v>8.8688813559322028</v>
      </c>
      <c r="Q79" s="2273">
        <v>8.8688813559322028</v>
      </c>
      <c r="R79" s="2273">
        <v>2.8000746861394226</v>
      </c>
      <c r="S79" s="2273">
        <v>2.2750608695652175</v>
      </c>
      <c r="T79" s="2273">
        <v>2.2750608695652175</v>
      </c>
      <c r="U79" s="2273">
        <v>1.2458666666666665</v>
      </c>
      <c r="V79" s="2273" t="s">
        <v>498</v>
      </c>
      <c r="W79" s="2273" t="s">
        <v>498</v>
      </c>
      <c r="X79" s="3284">
        <v>2.5073990971275348</v>
      </c>
      <c r="Y79" s="2273">
        <v>115.74669050592814</v>
      </c>
      <c r="Z79" s="2273">
        <v>26.885839091415537</v>
      </c>
      <c r="AA79" s="3285">
        <v>214.61609064296312</v>
      </c>
      <c r="AB79" s="2273">
        <v>325.22056106327517</v>
      </c>
      <c r="AC79" s="2273" t="s">
        <v>498</v>
      </c>
      <c r="AD79" s="2273" t="s">
        <v>498</v>
      </c>
      <c r="AE79" s="2273" t="s">
        <v>498</v>
      </c>
      <c r="AF79" s="3285" t="s">
        <v>498</v>
      </c>
      <c r="AG79" s="2273" t="s">
        <v>498</v>
      </c>
      <c r="AH79" s="2273" t="s">
        <v>498</v>
      </c>
      <c r="AI79" s="2273" t="s">
        <v>498</v>
      </c>
      <c r="AJ79" s="2273" t="s">
        <v>498</v>
      </c>
      <c r="AK79" s="2273" t="s">
        <v>498</v>
      </c>
      <c r="AL79" s="2273" t="s">
        <v>498</v>
      </c>
      <c r="AM79" s="2273" t="s">
        <v>498</v>
      </c>
      <c r="AN79" s="3284">
        <v>28.50998276623169</v>
      </c>
      <c r="AO79" s="2273" t="s">
        <v>498</v>
      </c>
      <c r="AP79" s="2273" t="s">
        <v>498</v>
      </c>
      <c r="AQ79" s="2273" t="s">
        <v>498</v>
      </c>
      <c r="AR79" s="2273" t="s">
        <v>498</v>
      </c>
      <c r="AS79" s="2273" t="s">
        <v>498</v>
      </c>
      <c r="AT79" s="2273" t="s">
        <v>498</v>
      </c>
      <c r="AU79" s="2273" t="s">
        <v>498</v>
      </c>
      <c r="AV79" s="2273" t="s">
        <v>498</v>
      </c>
      <c r="AW79" s="2273" t="s">
        <v>498</v>
      </c>
      <c r="AX79" s="2273" t="s">
        <v>498</v>
      </c>
      <c r="AY79" s="2273" t="s">
        <v>498</v>
      </c>
      <c r="AZ79" s="3285" t="s">
        <v>498</v>
      </c>
      <c r="BA79" s="2273" t="s">
        <v>498</v>
      </c>
      <c r="BB79" s="2273" t="s">
        <v>498</v>
      </c>
      <c r="BC79" s="2273" t="s">
        <v>498</v>
      </c>
      <c r="BD79" s="3286">
        <v>1211.4063861186385</v>
      </c>
      <c r="BE79" s="2273" t="s">
        <v>498</v>
      </c>
      <c r="BF79" s="2273" t="s">
        <v>498</v>
      </c>
      <c r="BG79" s="2273">
        <v>6.899368016797607E-3</v>
      </c>
      <c r="BH79" s="3287">
        <v>19.713478101960245</v>
      </c>
      <c r="BI79" s="2273">
        <v>9.7225038187280042</v>
      </c>
      <c r="BJ79" s="3288"/>
    </row>
    <row r="80" spans="1:62" s="2193" customFormat="1" ht="13.5" hidden="1" thickBot="1">
      <c r="A80" s="2362"/>
      <c r="B80" s="2236"/>
      <c r="C80" s="2149"/>
      <c r="D80" s="3248"/>
      <c r="E80" s="2356" t="s">
        <v>476</v>
      </c>
      <c r="F80" s="2356" t="s">
        <v>93</v>
      </c>
      <c r="G80" s="2350" t="s">
        <v>24</v>
      </c>
      <c r="H80" s="2235">
        <v>5719.2706721758495</v>
      </c>
      <c r="I80" s="2235">
        <v>5719.2706721758495</v>
      </c>
      <c r="J80" s="2235">
        <v>39020.833851357413</v>
      </c>
      <c r="K80" s="3270">
        <v>28387.602232704299</v>
      </c>
      <c r="L80" s="2235">
        <v>6090.9293356311819</v>
      </c>
      <c r="M80" s="2235">
        <v>6090.9293356311819</v>
      </c>
      <c r="N80" s="2235">
        <v>12975.682188025714</v>
      </c>
      <c r="O80" s="2235">
        <v>12975.682188025714</v>
      </c>
      <c r="P80" s="3271">
        <v>3868.7891395785109</v>
      </c>
      <c r="Q80" s="2235">
        <v>3868.7891395785109</v>
      </c>
      <c r="R80" s="2235">
        <v>1648.978031149376</v>
      </c>
      <c r="S80" s="2235">
        <v>547.32917592424224</v>
      </c>
      <c r="T80" s="2235">
        <v>547.32917592424224</v>
      </c>
      <c r="U80" s="2235">
        <v>1638.4081408350555</v>
      </c>
      <c r="V80" s="2235" t="s">
        <v>498</v>
      </c>
      <c r="W80" s="2235" t="s">
        <v>498</v>
      </c>
      <c r="X80" s="3270">
        <v>913.92085887844712</v>
      </c>
      <c r="Y80" s="2235">
        <v>18415.471137623139</v>
      </c>
      <c r="Z80" s="2235">
        <v>1958.2154823305798</v>
      </c>
      <c r="AA80" s="3271">
        <v>10183.598923949787</v>
      </c>
      <c r="AB80" s="2235">
        <v>16082.292655479809</v>
      </c>
      <c r="AC80" s="2235" t="s">
        <v>498</v>
      </c>
      <c r="AD80" s="2235" t="s">
        <v>498</v>
      </c>
      <c r="AE80" s="2235" t="s">
        <v>498</v>
      </c>
      <c r="AF80" s="3271" t="s">
        <v>498</v>
      </c>
      <c r="AG80" s="2235" t="s">
        <v>498</v>
      </c>
      <c r="AH80" s="2235" t="s">
        <v>498</v>
      </c>
      <c r="AI80" s="2235" t="s">
        <v>498</v>
      </c>
      <c r="AJ80" s="2235" t="s">
        <v>498</v>
      </c>
      <c r="AK80" s="2235" t="s">
        <v>498</v>
      </c>
      <c r="AL80" s="2235" t="s">
        <v>498</v>
      </c>
      <c r="AM80" s="2235" t="s">
        <v>498</v>
      </c>
      <c r="AN80" s="3270">
        <v>22.926940100352589</v>
      </c>
      <c r="AO80" s="2235" t="s">
        <v>498</v>
      </c>
      <c r="AP80" s="2235" t="s">
        <v>498</v>
      </c>
      <c r="AQ80" s="2235" t="s">
        <v>498</v>
      </c>
      <c r="AR80" s="2235" t="s">
        <v>498</v>
      </c>
      <c r="AS80" s="2235" t="s">
        <v>498</v>
      </c>
      <c r="AT80" s="2235" t="s">
        <v>498</v>
      </c>
      <c r="AU80" s="2235" t="s">
        <v>498</v>
      </c>
      <c r="AV80" s="2235" t="s">
        <v>498</v>
      </c>
      <c r="AW80" s="2235" t="s">
        <v>498</v>
      </c>
      <c r="AX80" s="2235" t="s">
        <v>498</v>
      </c>
      <c r="AY80" s="2235" t="s">
        <v>498</v>
      </c>
      <c r="AZ80" s="3271" t="s">
        <v>498</v>
      </c>
      <c r="BA80" s="2235" t="s">
        <v>498</v>
      </c>
      <c r="BB80" s="2235" t="s">
        <v>498</v>
      </c>
      <c r="BC80" s="2235" t="s">
        <v>498</v>
      </c>
      <c r="BD80" s="3272">
        <v>77.025561518155826</v>
      </c>
      <c r="BE80" s="2235" t="s">
        <v>498</v>
      </c>
      <c r="BF80" s="2235" t="s">
        <v>498</v>
      </c>
      <c r="BG80" s="2235" t="s">
        <v>595</v>
      </c>
      <c r="BH80" s="3273">
        <v>2.3852042107205325</v>
      </c>
      <c r="BI80" s="2235">
        <v>7.9661213763014169</v>
      </c>
      <c r="BJ80" s="3274"/>
    </row>
    <row r="81" spans="1:71" s="2137" customFormat="1" ht="13.5" hidden="1" thickBot="1">
      <c r="B81" s="3233"/>
      <c r="C81" s="2149"/>
      <c r="D81" s="3248"/>
      <c r="E81" s="3216" t="s">
        <v>628</v>
      </c>
      <c r="F81" s="3216"/>
      <c r="G81" s="2154"/>
      <c r="H81" s="499"/>
      <c r="I81" s="499"/>
      <c r="J81" s="499"/>
      <c r="K81" s="498"/>
      <c r="L81" s="499"/>
      <c r="M81" s="499"/>
      <c r="N81" s="499"/>
      <c r="O81" s="499"/>
      <c r="P81" s="501"/>
      <c r="Q81" s="499"/>
      <c r="R81" s="499"/>
      <c r="S81" s="499"/>
      <c r="T81" s="499"/>
      <c r="U81" s="499"/>
      <c r="V81" s="499"/>
      <c r="W81" s="499"/>
      <c r="X81" s="498"/>
      <c r="Y81" s="499"/>
      <c r="Z81" s="499"/>
      <c r="AA81" s="501"/>
      <c r="AB81" s="499"/>
      <c r="AC81" s="499"/>
      <c r="AD81" s="499"/>
      <c r="AE81" s="499"/>
      <c r="AF81" s="501"/>
      <c r="AG81" s="499"/>
      <c r="AH81" s="499"/>
      <c r="AI81" s="499"/>
      <c r="AJ81" s="499"/>
      <c r="AK81" s="499"/>
      <c r="AL81" s="499"/>
      <c r="AM81" s="499"/>
      <c r="AN81" s="498"/>
      <c r="AO81" s="499"/>
      <c r="AP81" s="499"/>
      <c r="AQ81" s="499"/>
      <c r="AR81" s="499"/>
      <c r="AS81" s="499"/>
      <c r="AT81" s="499"/>
      <c r="AU81" s="499"/>
      <c r="AV81" s="499"/>
      <c r="AW81" s="499"/>
      <c r="AX81" s="499"/>
      <c r="AY81" s="499"/>
      <c r="AZ81" s="501"/>
      <c r="BA81" s="499"/>
      <c r="BB81" s="499"/>
      <c r="BC81" s="499"/>
      <c r="BD81" s="2083"/>
      <c r="BE81" s="499"/>
      <c r="BF81" s="499"/>
      <c r="BG81" s="530"/>
      <c r="BH81" s="2546"/>
      <c r="BI81" s="499"/>
      <c r="BJ81" s="3237"/>
    </row>
    <row r="82" spans="1:71" s="2274" customFormat="1" ht="13.5" hidden="1" thickBot="1">
      <c r="A82" s="2375"/>
      <c r="B82" s="2227"/>
      <c r="C82" s="240"/>
      <c r="D82" s="3242"/>
      <c r="E82" s="2225" t="s">
        <v>499</v>
      </c>
      <c r="F82" s="2225" t="s">
        <v>19</v>
      </c>
      <c r="G82" s="2226" t="s">
        <v>20</v>
      </c>
      <c r="H82" s="2273">
        <v>454.26758503959917</v>
      </c>
      <c r="I82" s="2273">
        <v>454.26758503959917</v>
      </c>
      <c r="J82" s="2273">
        <v>527.33344973234387</v>
      </c>
      <c r="K82" s="3284">
        <v>1.5697920000000001</v>
      </c>
      <c r="L82" s="2273">
        <v>3.0994873975244128</v>
      </c>
      <c r="M82" s="2273">
        <v>3.0994873975244128</v>
      </c>
      <c r="N82" s="2273">
        <v>4.9055999999999997</v>
      </c>
      <c r="O82" s="2273">
        <v>4.9055999999999997</v>
      </c>
      <c r="P82" s="3285">
        <v>1.6629152542372878</v>
      </c>
      <c r="Q82" s="2273">
        <v>1.6629152542372878</v>
      </c>
      <c r="R82" s="2273">
        <v>0.5250140036511417</v>
      </c>
      <c r="S82" s="2273">
        <v>0.42657391304347819</v>
      </c>
      <c r="T82" s="2273">
        <v>0.42657391304347819</v>
      </c>
      <c r="U82" s="2273">
        <v>0.23359999999999995</v>
      </c>
      <c r="V82" s="2273">
        <v>95.30951178744094</v>
      </c>
      <c r="W82" s="2273">
        <v>95.30951178744094</v>
      </c>
      <c r="X82" s="3284">
        <v>0.47013733071141267</v>
      </c>
      <c r="Y82" s="2273">
        <v>21.702504469861527</v>
      </c>
      <c r="Z82" s="2273">
        <v>5.0374008367471435</v>
      </c>
      <c r="AA82" s="3285">
        <v>40.240516995555581</v>
      </c>
      <c r="AB82" s="2273">
        <v>60.978855199364091</v>
      </c>
      <c r="AC82" s="2273">
        <v>249.15967508303765</v>
      </c>
      <c r="AD82" s="2273" t="s">
        <v>498</v>
      </c>
      <c r="AE82" s="2273" t="s">
        <v>498</v>
      </c>
      <c r="AF82" s="3285" t="s">
        <v>498</v>
      </c>
      <c r="AG82" s="2273" t="s">
        <v>498</v>
      </c>
      <c r="AH82" s="2273" t="s">
        <v>498</v>
      </c>
      <c r="AI82" s="2273">
        <v>83.702558722242628</v>
      </c>
      <c r="AJ82" s="2273" t="s">
        <v>498</v>
      </c>
      <c r="AK82" s="2273" t="s">
        <v>498</v>
      </c>
      <c r="AL82" s="2273" t="s">
        <v>498</v>
      </c>
      <c r="AM82" s="2273" t="s">
        <v>498</v>
      </c>
      <c r="AN82" s="3284">
        <v>5.3345831231673619</v>
      </c>
      <c r="AO82" s="2273" t="s">
        <v>498</v>
      </c>
      <c r="AP82" s="2273" t="s">
        <v>498</v>
      </c>
      <c r="AQ82" s="2273" t="s">
        <v>498</v>
      </c>
      <c r="AR82" s="2273" t="s">
        <v>498</v>
      </c>
      <c r="AS82" s="2273" t="s">
        <v>498</v>
      </c>
      <c r="AT82" s="2273" t="s">
        <v>498</v>
      </c>
      <c r="AU82" s="2273" t="s">
        <v>498</v>
      </c>
      <c r="AV82" s="2273" t="s">
        <v>498</v>
      </c>
      <c r="AW82" s="2273" t="s">
        <v>498</v>
      </c>
      <c r="AX82" s="2273" t="s">
        <v>498</v>
      </c>
      <c r="AY82" s="2273" t="s">
        <v>498</v>
      </c>
      <c r="AZ82" s="3285" t="s">
        <v>498</v>
      </c>
      <c r="BA82" s="2273" t="s">
        <v>498</v>
      </c>
      <c r="BB82" s="2273" t="s">
        <v>498</v>
      </c>
      <c r="BC82" s="2273" t="s">
        <v>498</v>
      </c>
      <c r="BD82" s="3286">
        <v>227.1386973972447</v>
      </c>
      <c r="BE82" s="2273" t="s">
        <v>498</v>
      </c>
      <c r="BF82" s="2273" t="s">
        <v>498</v>
      </c>
      <c r="BG82" s="2273">
        <v>1.2936315031495511E-3</v>
      </c>
      <c r="BH82" s="3287">
        <v>3.6962771441175466</v>
      </c>
      <c r="BI82" s="2273"/>
      <c r="BJ82" s="3288"/>
    </row>
    <row r="83" spans="1:71" ht="13.5" hidden="1" thickBot="1">
      <c r="A83" s="3241"/>
      <c r="B83" s="2156"/>
      <c r="C83" s="2241"/>
      <c r="D83" s="3234"/>
      <c r="E83" s="2153" t="s">
        <v>476</v>
      </c>
      <c r="F83" s="2153" t="s">
        <v>93</v>
      </c>
      <c r="G83" s="2154" t="s">
        <v>24</v>
      </c>
      <c r="H83" s="2155">
        <v>1072.3632510329719</v>
      </c>
      <c r="I83" s="2155">
        <v>1072.3632510329719</v>
      </c>
      <c r="J83" s="2155">
        <v>7316.4063471295149</v>
      </c>
      <c r="K83" s="3243">
        <v>5322.6754186320568</v>
      </c>
      <c r="L83" s="2155">
        <v>1142.0492504308463</v>
      </c>
      <c r="M83" s="2155">
        <v>1142.0492504308463</v>
      </c>
      <c r="N83" s="2155">
        <v>2432.9404102548206</v>
      </c>
      <c r="O83" s="2155">
        <v>2432.9404102548206</v>
      </c>
      <c r="P83" s="3022">
        <v>725.39796367097074</v>
      </c>
      <c r="Q83" s="2155">
        <v>725.39796367097074</v>
      </c>
      <c r="R83" s="2155">
        <v>309.18338084050799</v>
      </c>
      <c r="S83" s="2155">
        <v>102.62422048579539</v>
      </c>
      <c r="T83" s="2155">
        <v>102.62422048579539</v>
      </c>
      <c r="U83" s="2155">
        <v>307.2015264065729</v>
      </c>
      <c r="V83" s="2155">
        <v>31321.612350005445</v>
      </c>
      <c r="W83" s="2155">
        <v>31321.612350005445</v>
      </c>
      <c r="X83" s="3243">
        <v>171.36016103970877</v>
      </c>
      <c r="Y83" s="2155">
        <v>3452.9008383043388</v>
      </c>
      <c r="Z83" s="2155">
        <v>366.89635297166092</v>
      </c>
      <c r="AA83" s="3022">
        <v>1909.4247982405848</v>
      </c>
      <c r="AB83" s="2155">
        <v>3015.4298729024636</v>
      </c>
      <c r="AC83" s="2155">
        <v>2291.3765029327242</v>
      </c>
      <c r="AD83" s="2155" t="s">
        <v>498</v>
      </c>
      <c r="AE83" s="2155" t="s">
        <v>498</v>
      </c>
      <c r="AF83" s="3022" t="s">
        <v>498</v>
      </c>
      <c r="AG83" s="2155" t="s">
        <v>498</v>
      </c>
      <c r="AH83" s="2155" t="s">
        <v>498</v>
      </c>
      <c r="AI83" s="2155">
        <v>33391.424345048064</v>
      </c>
      <c r="AJ83" s="2155" t="s">
        <v>498</v>
      </c>
      <c r="AK83" s="2155" t="s">
        <v>498</v>
      </c>
      <c r="AL83" s="2155" t="s">
        <v>498</v>
      </c>
      <c r="AM83" s="2155" t="s">
        <v>498</v>
      </c>
      <c r="AN83" s="3243">
        <v>4.2899242952217227</v>
      </c>
      <c r="AO83" s="2155" t="s">
        <v>498</v>
      </c>
      <c r="AP83" s="2155" t="s">
        <v>498</v>
      </c>
      <c r="AQ83" s="2155" t="s">
        <v>498</v>
      </c>
      <c r="AR83" s="2155" t="s">
        <v>498</v>
      </c>
      <c r="AS83" s="2155" t="s">
        <v>498</v>
      </c>
      <c r="AT83" s="2155" t="s">
        <v>498</v>
      </c>
      <c r="AU83" s="2155" t="s">
        <v>498</v>
      </c>
      <c r="AV83" s="2155" t="s">
        <v>498</v>
      </c>
      <c r="AW83" s="2155" t="s">
        <v>498</v>
      </c>
      <c r="AX83" s="2155" t="s">
        <v>498</v>
      </c>
      <c r="AY83" s="2155" t="s">
        <v>498</v>
      </c>
      <c r="AZ83" s="3022" t="s">
        <v>498</v>
      </c>
      <c r="BA83" s="2155" t="s">
        <v>498</v>
      </c>
      <c r="BB83" s="2155" t="s">
        <v>498</v>
      </c>
      <c r="BC83" s="2155" t="s">
        <v>498</v>
      </c>
      <c r="BD83" s="3244">
        <v>14.442292784654217</v>
      </c>
      <c r="BE83" s="2155" t="s">
        <v>498</v>
      </c>
      <c r="BF83" s="2155" t="s">
        <v>498</v>
      </c>
      <c r="BG83" s="2155" t="s">
        <v>595</v>
      </c>
      <c r="BH83" s="3246">
        <v>0.44722578951009989</v>
      </c>
      <c r="BI83" s="2155"/>
    </row>
    <row r="84" spans="1:71" s="2137" customFormat="1" ht="13.5" hidden="1" thickBot="1">
      <c r="B84" s="3233"/>
      <c r="C84" s="240"/>
      <c r="D84" s="3238"/>
      <c r="E84" s="3235" t="s">
        <v>626</v>
      </c>
      <c r="F84" s="3235"/>
      <c r="G84" s="3236"/>
      <c r="H84" s="499"/>
      <c r="I84" s="499"/>
      <c r="J84" s="499"/>
      <c r="K84" s="498"/>
      <c r="L84" s="499"/>
      <c r="M84" s="499"/>
      <c r="N84" s="499"/>
      <c r="O84" s="499"/>
      <c r="P84" s="501"/>
      <c r="Q84" s="499"/>
      <c r="R84" s="499"/>
      <c r="S84" s="499"/>
      <c r="T84" s="499"/>
      <c r="U84" s="499"/>
      <c r="V84" s="499"/>
      <c r="W84" s="499"/>
      <c r="X84" s="498"/>
      <c r="Y84" s="499"/>
      <c r="Z84" s="499"/>
      <c r="AA84" s="501"/>
      <c r="AB84" s="499"/>
      <c r="AC84" s="499"/>
      <c r="AD84" s="499"/>
      <c r="AE84" s="499"/>
      <c r="AF84" s="501"/>
      <c r="AG84" s="499"/>
      <c r="AH84" s="499"/>
      <c r="AI84" s="499"/>
      <c r="AJ84" s="499"/>
      <c r="AK84" s="499"/>
      <c r="AL84" s="499"/>
      <c r="AM84" s="499"/>
      <c r="AN84" s="498"/>
      <c r="AO84" s="499"/>
      <c r="AP84" s="499"/>
      <c r="AQ84" s="499"/>
      <c r="AR84" s="499"/>
      <c r="AS84" s="499"/>
      <c r="AT84" s="499"/>
      <c r="AU84" s="499"/>
      <c r="AV84" s="499"/>
      <c r="AW84" s="499"/>
      <c r="AX84" s="499"/>
      <c r="AY84" s="499"/>
      <c r="AZ84" s="501"/>
      <c r="BA84" s="499"/>
      <c r="BB84" s="499"/>
      <c r="BC84" s="499"/>
      <c r="BD84" s="2083"/>
      <c r="BE84" s="499"/>
      <c r="BF84" s="499"/>
      <c r="BG84" s="499"/>
      <c r="BH84" s="2546"/>
      <c r="BI84" s="499"/>
      <c r="BJ84" s="3237"/>
    </row>
    <row r="85" spans="1:71" ht="13.5" hidden="1" thickBot="1">
      <c r="A85" s="3241"/>
      <c r="B85" s="2156"/>
      <c r="C85" s="276"/>
      <c r="D85" s="3279"/>
      <c r="E85" s="2153" t="s">
        <v>305</v>
      </c>
      <c r="F85" s="2153" t="s">
        <v>19</v>
      </c>
      <c r="G85" s="2154" t="s">
        <v>20</v>
      </c>
      <c r="H85" s="2155">
        <v>1426.2651418989476</v>
      </c>
      <c r="I85" s="2155">
        <v>1426.2651418989476</v>
      </c>
      <c r="J85" s="2155">
        <v>3198.4600956520435</v>
      </c>
      <c r="K85" s="3243">
        <v>14.649905454545461</v>
      </c>
      <c r="L85" s="2155">
        <v>32.302179059648431</v>
      </c>
      <c r="M85" s="2155">
        <v>32.302179059648431</v>
      </c>
      <c r="N85" s="2155">
        <v>89.619745573884018</v>
      </c>
      <c r="O85" s="2155">
        <v>89.619745573884018</v>
      </c>
      <c r="P85" s="3022">
        <v>17.51784832943547</v>
      </c>
      <c r="Q85" s="2155">
        <v>17.51784832943547</v>
      </c>
      <c r="R85" s="2155">
        <v>5.4624789023193321</v>
      </c>
      <c r="S85" s="2155">
        <v>35.317643580151945</v>
      </c>
      <c r="T85" s="2155">
        <v>35.317643580151945</v>
      </c>
      <c r="U85" s="2155">
        <v>10.524435720418857</v>
      </c>
      <c r="V85" s="2155">
        <v>916.74196189146858</v>
      </c>
      <c r="W85" s="2155">
        <v>916.74196189146858</v>
      </c>
      <c r="X85" s="3243">
        <v>4.9262830986142854</v>
      </c>
      <c r="Y85" s="2155">
        <v>213.0739045534028</v>
      </c>
      <c r="Z85" s="2155">
        <v>335.20403753666022</v>
      </c>
      <c r="AA85" s="3022">
        <v>414.60111212929098</v>
      </c>
      <c r="AB85" s="2155">
        <v>448.29502361950773</v>
      </c>
      <c r="AC85" s="2155">
        <v>1081.7098612775505</v>
      </c>
      <c r="AD85" s="2155">
        <v>2658.8203174153132</v>
      </c>
      <c r="AE85" s="2155" t="s">
        <v>498</v>
      </c>
      <c r="AF85" s="3022" t="s">
        <v>498</v>
      </c>
      <c r="AG85" s="2155">
        <v>4813.5403636363635</v>
      </c>
      <c r="AH85" s="2155">
        <v>6559.6261422678108</v>
      </c>
      <c r="AI85" s="2155">
        <v>821.47966266385617</v>
      </c>
      <c r="AJ85" s="2155">
        <v>2050.8337839665869</v>
      </c>
      <c r="AK85" s="2155">
        <v>4899.6321191720563</v>
      </c>
      <c r="AL85" s="2155" t="s">
        <v>498</v>
      </c>
      <c r="AM85" s="2155" t="s">
        <v>498</v>
      </c>
      <c r="AN85" s="3243">
        <v>142.51564763553785</v>
      </c>
      <c r="AO85" s="2155" t="s">
        <v>498</v>
      </c>
      <c r="AP85" s="2155" t="s">
        <v>498</v>
      </c>
      <c r="AQ85" s="2155" t="s">
        <v>498</v>
      </c>
      <c r="AR85" s="2155" t="s">
        <v>498</v>
      </c>
      <c r="AS85" s="2155" t="s">
        <v>498</v>
      </c>
      <c r="AT85" s="2155" t="s">
        <v>498</v>
      </c>
      <c r="AU85" s="2155" t="s">
        <v>498</v>
      </c>
      <c r="AV85" s="2155" t="s">
        <v>498</v>
      </c>
      <c r="AW85" s="2155" t="s">
        <v>498</v>
      </c>
      <c r="AX85" s="2155" t="s">
        <v>498</v>
      </c>
      <c r="AY85" s="2155" t="s">
        <v>498</v>
      </c>
      <c r="AZ85" s="3022" t="s">
        <v>498</v>
      </c>
      <c r="BA85" s="2155" t="s">
        <v>498</v>
      </c>
      <c r="BB85" s="2155" t="s">
        <v>498</v>
      </c>
      <c r="BC85" s="2155" t="s">
        <v>498</v>
      </c>
      <c r="BD85" s="3244">
        <v>255.40178255608066</v>
      </c>
      <c r="BE85" s="2155">
        <v>545.4209748419679</v>
      </c>
      <c r="BF85" s="2155">
        <v>1090.8419496839358</v>
      </c>
      <c r="BG85" s="3245">
        <v>1.4E-2</v>
      </c>
      <c r="BH85" s="3246">
        <v>4.1669423761467241</v>
      </c>
      <c r="BI85" s="2155"/>
    </row>
    <row r="86" spans="1:71" ht="13.5" hidden="1" thickBot="1">
      <c r="A86" s="3241"/>
      <c r="B86" s="2156"/>
      <c r="C86" s="2149"/>
      <c r="D86" s="3248"/>
      <c r="E86" s="2153" t="s">
        <v>306</v>
      </c>
      <c r="F86" s="2153" t="s">
        <v>19</v>
      </c>
      <c r="G86" s="2154" t="s">
        <v>20</v>
      </c>
      <c r="H86" s="2155" t="s">
        <v>498</v>
      </c>
      <c r="I86" s="2155" t="s">
        <v>498</v>
      </c>
      <c r="J86" s="2155" t="s">
        <v>498</v>
      </c>
      <c r="K86" s="3243">
        <v>91.561909090909097</v>
      </c>
      <c r="L86" s="2155" t="s">
        <v>498</v>
      </c>
      <c r="M86" s="2155" t="s">
        <v>498</v>
      </c>
      <c r="N86" s="2155">
        <v>45.780954545454541</v>
      </c>
      <c r="O86" s="2155">
        <v>45.780954545454541</v>
      </c>
      <c r="P86" s="3022">
        <v>15.518967642526963</v>
      </c>
      <c r="Q86" s="2155">
        <v>15.518967642526963</v>
      </c>
      <c r="R86" s="2155">
        <v>91.561909090909083</v>
      </c>
      <c r="S86" s="2155">
        <v>3.9809525691699603</v>
      </c>
      <c r="T86" s="2155">
        <v>3.9809525691699603</v>
      </c>
      <c r="U86" s="2155">
        <v>2.1800454545454544</v>
      </c>
      <c r="V86" s="2155" t="s">
        <v>498</v>
      </c>
      <c r="W86" s="2155" t="s">
        <v>498</v>
      </c>
      <c r="X86" s="3243">
        <v>15.26031818181818</v>
      </c>
      <c r="Y86" s="2155" t="s">
        <v>498</v>
      </c>
      <c r="Z86" s="2155">
        <v>36.624763636363625</v>
      </c>
      <c r="AA86" s="3022" t="s">
        <v>498</v>
      </c>
      <c r="AB86" s="2155" t="s">
        <v>498</v>
      </c>
      <c r="AC86" s="2155" t="s">
        <v>498</v>
      </c>
      <c r="AD86" s="2155" t="s">
        <v>498</v>
      </c>
      <c r="AE86" s="2155" t="s">
        <v>498</v>
      </c>
      <c r="AF86" s="3022" t="s">
        <v>498</v>
      </c>
      <c r="AG86" s="2155" t="s">
        <v>498</v>
      </c>
      <c r="AH86" s="2155" t="s">
        <v>498</v>
      </c>
      <c r="AI86" s="2155" t="s">
        <v>498</v>
      </c>
      <c r="AJ86" s="2155" t="s">
        <v>498</v>
      </c>
      <c r="AK86" s="2155" t="s">
        <v>498</v>
      </c>
      <c r="AL86" s="2155" t="s">
        <v>498</v>
      </c>
      <c r="AM86" s="2155" t="s">
        <v>498</v>
      </c>
      <c r="AN86" s="3243">
        <v>29.224790571634816</v>
      </c>
      <c r="AO86" s="2155">
        <v>1976.0980899494607</v>
      </c>
      <c r="AP86" s="2155">
        <v>1523.8859175957268</v>
      </c>
      <c r="AQ86" s="2155">
        <v>2494.7131883963916</v>
      </c>
      <c r="AR86" s="2155">
        <v>5692.4592703743228</v>
      </c>
      <c r="AS86" s="2155">
        <v>503.9306971476629</v>
      </c>
      <c r="AT86" s="2155">
        <v>18489.318271943437</v>
      </c>
      <c r="AU86" s="2155">
        <v>18625.7619919114</v>
      </c>
      <c r="AV86" s="2155">
        <v>467.98948579091888</v>
      </c>
      <c r="AW86" s="2155">
        <v>6231.1602079657723</v>
      </c>
      <c r="AX86" s="2155">
        <v>1052.111719149304</v>
      </c>
      <c r="AY86" s="2155">
        <v>1633.9085506846488</v>
      </c>
      <c r="AZ86" s="3022">
        <v>422.56841522902732</v>
      </c>
      <c r="BA86" s="2155">
        <v>205.73619724431555</v>
      </c>
      <c r="BB86" s="2155">
        <v>14393.703390995621</v>
      </c>
      <c r="BC86" s="2155">
        <v>2635.1177518552099</v>
      </c>
      <c r="BD86" s="3244" t="s">
        <v>498</v>
      </c>
      <c r="BE86" s="2155" t="s">
        <v>498</v>
      </c>
      <c r="BF86" s="2155">
        <v>105.90708727114124</v>
      </c>
      <c r="BG86" s="2155" t="s">
        <v>498</v>
      </c>
      <c r="BH86" s="3246" t="s">
        <v>498</v>
      </c>
      <c r="BI86" s="2155"/>
    </row>
    <row r="87" spans="1:71" ht="26.25" hidden="1" thickBot="1">
      <c r="A87" s="2275"/>
      <c r="B87" s="2156"/>
      <c r="C87" s="2149"/>
      <c r="D87" s="3248"/>
      <c r="E87" s="2153" t="s">
        <v>493</v>
      </c>
      <c r="F87" s="2153" t="s">
        <v>19</v>
      </c>
      <c r="G87" s="2154" t="s">
        <v>20</v>
      </c>
      <c r="H87" s="2155">
        <v>1426.2651418989476</v>
      </c>
      <c r="I87" s="2155">
        <v>1426.2651418989476</v>
      </c>
      <c r="J87" s="2155">
        <v>3198.4600956520435</v>
      </c>
      <c r="K87" s="3243">
        <v>14.649905454545461</v>
      </c>
      <c r="L87" s="2155">
        <v>32.302179059648431</v>
      </c>
      <c r="M87" s="2155">
        <v>32.302179059648431</v>
      </c>
      <c r="N87" s="2155">
        <v>45.780954545454541</v>
      </c>
      <c r="O87" s="2155">
        <v>45.780954545454541</v>
      </c>
      <c r="P87" s="3022">
        <v>15.518967642526963</v>
      </c>
      <c r="Q87" s="2155">
        <v>15.518967642526963</v>
      </c>
      <c r="R87" s="2155">
        <v>5.4624789023193321</v>
      </c>
      <c r="S87" s="2155">
        <v>3.9809525691699603</v>
      </c>
      <c r="T87" s="2155">
        <v>3.9809525691699603</v>
      </c>
      <c r="U87" s="2155">
        <v>2.1800454545454544</v>
      </c>
      <c r="V87" s="2155">
        <v>916.74196189146858</v>
      </c>
      <c r="W87" s="2155">
        <v>916.74196189146858</v>
      </c>
      <c r="X87" s="3243">
        <v>4.9262830986142854</v>
      </c>
      <c r="Y87" s="2155">
        <v>213.0739045534028</v>
      </c>
      <c r="Z87" s="2155">
        <v>36.624763636363625</v>
      </c>
      <c r="AA87" s="3022">
        <v>414.60111212929098</v>
      </c>
      <c r="AB87" s="2155">
        <v>448.29502361950773</v>
      </c>
      <c r="AC87" s="2155">
        <v>1081.7098612775505</v>
      </c>
      <c r="AD87" s="2155">
        <v>2658.8203174153132</v>
      </c>
      <c r="AE87" s="2155" t="s">
        <v>498</v>
      </c>
      <c r="AF87" s="3022" t="s">
        <v>498</v>
      </c>
      <c r="AG87" s="2155">
        <v>4813.5403636363635</v>
      </c>
      <c r="AH87" s="2155">
        <v>6559.6261422678108</v>
      </c>
      <c r="AI87" s="2155">
        <v>821.47966266385617</v>
      </c>
      <c r="AJ87" s="2155">
        <v>2050.8337839665869</v>
      </c>
      <c r="AK87" s="2155">
        <v>4899.6321191720563</v>
      </c>
      <c r="AL87" s="2155" t="s">
        <v>498</v>
      </c>
      <c r="AM87" s="2155" t="s">
        <v>498</v>
      </c>
      <c r="AN87" s="3243">
        <v>29.224790571634816</v>
      </c>
      <c r="AO87" s="2155">
        <v>1976.0980899494607</v>
      </c>
      <c r="AP87" s="2155">
        <v>1523.8859175957268</v>
      </c>
      <c r="AQ87" s="2155">
        <v>2494.7131883963916</v>
      </c>
      <c r="AR87" s="2155">
        <v>5692.4592703743228</v>
      </c>
      <c r="AS87" s="2155">
        <v>503.9306971476629</v>
      </c>
      <c r="AT87" s="2155">
        <v>18489.318271943437</v>
      </c>
      <c r="AU87" s="2155">
        <v>18625.7619919114</v>
      </c>
      <c r="AV87" s="2155">
        <v>467.98948579091888</v>
      </c>
      <c r="AW87" s="2155">
        <v>6231.1602079657723</v>
      </c>
      <c r="AX87" s="2155">
        <v>1052.111719149304</v>
      </c>
      <c r="AY87" s="2155">
        <v>1633.9085506846488</v>
      </c>
      <c r="AZ87" s="3022">
        <v>422.56841522902732</v>
      </c>
      <c r="BA87" s="2155">
        <v>205.73619724431555</v>
      </c>
      <c r="BB87" s="2155">
        <v>14393.703390995621</v>
      </c>
      <c r="BC87" s="2155">
        <v>2635.1177518552099</v>
      </c>
      <c r="BD87" s="3244">
        <v>255.40178255608066</v>
      </c>
      <c r="BE87" s="2155">
        <v>545.4209748419679</v>
      </c>
      <c r="BF87" s="2155">
        <v>105.90708727114124</v>
      </c>
      <c r="BG87" s="2155">
        <v>1.3717851324747798E-2</v>
      </c>
      <c r="BH87" s="3246">
        <v>4.1669423761467241</v>
      </c>
      <c r="BI87" s="2155"/>
    </row>
    <row r="88" spans="1:71" s="3267" customFormat="1" ht="13.5" hidden="1" thickBot="1">
      <c r="A88" s="2399"/>
      <c r="B88" s="2295"/>
      <c r="C88" s="3294"/>
      <c r="D88" s="3295"/>
      <c r="E88" s="2293" t="s">
        <v>499</v>
      </c>
      <c r="F88" s="2293" t="s">
        <v>19</v>
      </c>
      <c r="G88" s="2294" t="s">
        <v>20</v>
      </c>
      <c r="H88" s="3261">
        <v>1426.2651418989476</v>
      </c>
      <c r="I88" s="3261">
        <v>1426.2651418989476</v>
      </c>
      <c r="J88" s="3261">
        <v>3198.4600956520435</v>
      </c>
      <c r="K88" s="3262">
        <v>14.649905454545461</v>
      </c>
      <c r="L88" s="3261">
        <v>32.302179059648431</v>
      </c>
      <c r="M88" s="3261">
        <v>32.302179059648431</v>
      </c>
      <c r="N88" s="3261">
        <v>45.780954545454541</v>
      </c>
      <c r="O88" s="3261">
        <v>45.780954545454541</v>
      </c>
      <c r="P88" s="3263">
        <v>15.518967642526963</v>
      </c>
      <c r="Q88" s="3261">
        <v>15.518967642526963</v>
      </c>
      <c r="R88" s="3261">
        <v>5.4624789023193321</v>
      </c>
      <c r="S88" s="3261">
        <v>3.9809525691699603</v>
      </c>
      <c r="T88" s="3261">
        <v>3.9809525691699603</v>
      </c>
      <c r="U88" s="3261">
        <v>2.1800454545454544</v>
      </c>
      <c r="V88" s="3261" t="s">
        <v>498</v>
      </c>
      <c r="W88" s="3261" t="s">
        <v>498</v>
      </c>
      <c r="X88" s="3262">
        <v>4.9262830986142854</v>
      </c>
      <c r="Y88" s="3261">
        <v>213.0739045534028</v>
      </c>
      <c r="Z88" s="3261">
        <v>36.624763636363625</v>
      </c>
      <c r="AA88" s="3263">
        <v>414.60111212929098</v>
      </c>
      <c r="AB88" s="3261">
        <v>448.29502361950773</v>
      </c>
      <c r="AC88" s="3261" t="s">
        <v>498</v>
      </c>
      <c r="AD88" s="3261" t="s">
        <v>498</v>
      </c>
      <c r="AE88" s="3261" t="s">
        <v>498</v>
      </c>
      <c r="AF88" s="3263" t="s">
        <v>498</v>
      </c>
      <c r="AG88" s="3261" t="s">
        <v>498</v>
      </c>
      <c r="AH88" s="3261" t="s">
        <v>498</v>
      </c>
      <c r="AI88" s="3261" t="s">
        <v>498</v>
      </c>
      <c r="AJ88" s="3261" t="s">
        <v>498</v>
      </c>
      <c r="AK88" s="3261" t="s">
        <v>498</v>
      </c>
      <c r="AL88" s="3261" t="s">
        <v>498</v>
      </c>
      <c r="AM88" s="3261" t="s">
        <v>498</v>
      </c>
      <c r="AN88" s="3262">
        <v>29.224790571634816</v>
      </c>
      <c r="AO88" s="3261" t="s">
        <v>498</v>
      </c>
      <c r="AP88" s="3261" t="s">
        <v>498</v>
      </c>
      <c r="AQ88" s="3261" t="s">
        <v>498</v>
      </c>
      <c r="AR88" s="3261" t="s">
        <v>498</v>
      </c>
      <c r="AS88" s="3261" t="s">
        <v>498</v>
      </c>
      <c r="AT88" s="3261" t="s">
        <v>498</v>
      </c>
      <c r="AU88" s="3261" t="s">
        <v>498</v>
      </c>
      <c r="AV88" s="3261" t="s">
        <v>498</v>
      </c>
      <c r="AW88" s="3261" t="s">
        <v>498</v>
      </c>
      <c r="AX88" s="3261" t="s">
        <v>498</v>
      </c>
      <c r="AY88" s="3261" t="s">
        <v>498</v>
      </c>
      <c r="AZ88" s="3263" t="s">
        <v>498</v>
      </c>
      <c r="BA88" s="3261" t="s">
        <v>498</v>
      </c>
      <c r="BB88" s="3261" t="s">
        <v>498</v>
      </c>
      <c r="BC88" s="3261" t="s">
        <v>498</v>
      </c>
      <c r="BD88" s="3264">
        <v>255.40178255608066</v>
      </c>
      <c r="BE88" s="3261" t="s">
        <v>498</v>
      </c>
      <c r="BF88" s="3261">
        <v>105.90708727114124</v>
      </c>
      <c r="BG88" s="3261">
        <v>1.3717851324747798E-2</v>
      </c>
      <c r="BH88" s="3265">
        <v>4.1669423761467241</v>
      </c>
      <c r="BI88" s="3261"/>
      <c r="BJ88" s="3266"/>
    </row>
    <row r="89" spans="1:71" s="2193" customFormat="1" ht="13.5" hidden="1" thickBot="1">
      <c r="A89" s="2362"/>
      <c r="B89" s="2236"/>
      <c r="C89" s="2241"/>
      <c r="D89" s="3234"/>
      <c r="E89" s="2153" t="s">
        <v>476</v>
      </c>
      <c r="F89" s="2153" t="s">
        <v>93</v>
      </c>
      <c r="G89" s="2154" t="s">
        <v>24</v>
      </c>
      <c r="H89" s="2155">
        <v>3366.9017441965002</v>
      </c>
      <c r="I89" s="2155">
        <v>3366.9017441965002</v>
      </c>
      <c r="J89" s="2155">
        <v>44376.539657680994</v>
      </c>
      <c r="K89" s="3243">
        <v>49673.263494904291</v>
      </c>
      <c r="L89" s="2155">
        <v>11902.187249355935</v>
      </c>
      <c r="M89" s="2155">
        <v>11902.187249355935</v>
      </c>
      <c r="N89" s="2155">
        <v>22705.139908201949</v>
      </c>
      <c r="O89" s="2155">
        <v>22705.139908201949</v>
      </c>
      <c r="P89" s="3022">
        <v>6769.6940643725547</v>
      </c>
      <c r="Q89" s="2155">
        <v>6769.6940643725547</v>
      </c>
      <c r="R89" s="2155">
        <v>3216.8812318219111</v>
      </c>
      <c r="S89" s="2155">
        <v>957.72887584044861</v>
      </c>
      <c r="T89" s="2155">
        <v>957.72887584044861</v>
      </c>
      <c r="U89" s="2155">
        <v>2866.9233359249774</v>
      </c>
      <c r="V89" s="2155" t="s">
        <v>498</v>
      </c>
      <c r="W89" s="2155" t="s">
        <v>498</v>
      </c>
      <c r="X89" s="3243">
        <v>1795.5788871909872</v>
      </c>
      <c r="Y89" s="2155">
        <v>33900.376091382852</v>
      </c>
      <c r="Z89" s="2155">
        <v>2667.5447601084811</v>
      </c>
      <c r="AA89" s="3022">
        <v>19672.949156324914</v>
      </c>
      <c r="AB89" s="2155">
        <v>22168.376262168269</v>
      </c>
      <c r="AC89" s="2155" t="s">
        <v>498</v>
      </c>
      <c r="AD89" s="2155" t="s">
        <v>498</v>
      </c>
      <c r="AE89" s="2155" t="s">
        <v>498</v>
      </c>
      <c r="AF89" s="3022" t="s">
        <v>498</v>
      </c>
      <c r="AG89" s="2155" t="s">
        <v>498</v>
      </c>
      <c r="AH89" s="2155" t="s">
        <v>498</v>
      </c>
      <c r="AI89" s="2155" t="s">
        <v>498</v>
      </c>
      <c r="AJ89" s="2155" t="s">
        <v>498</v>
      </c>
      <c r="AK89" s="2155" t="s">
        <v>498</v>
      </c>
      <c r="AL89" s="2155" t="s">
        <v>498</v>
      </c>
      <c r="AM89" s="2155" t="s">
        <v>498</v>
      </c>
      <c r="AN89" s="3243">
        <v>23.501768779560098</v>
      </c>
      <c r="AO89" s="2155" t="s">
        <v>498</v>
      </c>
      <c r="AP89" s="2155" t="s">
        <v>498</v>
      </c>
      <c r="AQ89" s="2155" t="s">
        <v>498</v>
      </c>
      <c r="AR89" s="2155" t="s">
        <v>498</v>
      </c>
      <c r="AS89" s="2155" t="s">
        <v>498</v>
      </c>
      <c r="AT89" s="2155" t="s">
        <v>498</v>
      </c>
      <c r="AU89" s="2155" t="s">
        <v>498</v>
      </c>
      <c r="AV89" s="2155" t="s">
        <v>498</v>
      </c>
      <c r="AW89" s="2155" t="s">
        <v>498</v>
      </c>
      <c r="AX89" s="2155" t="s">
        <v>498</v>
      </c>
      <c r="AY89" s="2155" t="s">
        <v>498</v>
      </c>
      <c r="AZ89" s="3022" t="s">
        <v>498</v>
      </c>
      <c r="BA89" s="2155" t="s">
        <v>498</v>
      </c>
      <c r="BB89" s="2155" t="s">
        <v>498</v>
      </c>
      <c r="BC89" s="2155" t="s">
        <v>498</v>
      </c>
      <c r="BD89" s="3244">
        <v>16.239361076138028</v>
      </c>
      <c r="BE89" s="2155" t="s">
        <v>498</v>
      </c>
      <c r="BF89" s="2155">
        <v>3.6673458593396442E-2</v>
      </c>
      <c r="BG89" s="2155" t="s">
        <v>595</v>
      </c>
      <c r="BH89" s="3246">
        <v>0.50417325902660903</v>
      </c>
      <c r="BI89" s="2155"/>
      <c r="BJ89" s="3274"/>
    </row>
    <row r="90" spans="1:71" s="3304" customFormat="1" ht="13.5" thickBot="1">
      <c r="A90" s="2177"/>
      <c r="B90" s="2177"/>
      <c r="C90" s="2178"/>
      <c r="D90" s="3296"/>
      <c r="E90" s="2182" t="s">
        <v>993</v>
      </c>
      <c r="F90" s="3297"/>
      <c r="G90" s="3298"/>
      <c r="H90" s="3299"/>
      <c r="I90" s="3299"/>
      <c r="J90" s="3299"/>
      <c r="K90" s="3300" t="s">
        <v>1033</v>
      </c>
      <c r="L90" s="3299"/>
      <c r="M90" s="3299"/>
      <c r="N90" s="3299"/>
      <c r="O90" s="3299"/>
      <c r="P90" s="3301"/>
      <c r="Q90" s="3302"/>
      <c r="R90" s="3302"/>
      <c r="S90" s="3302"/>
      <c r="T90" s="3302"/>
      <c r="U90" s="3302"/>
      <c r="V90" s="3302"/>
      <c r="W90" s="3302"/>
      <c r="X90" s="3303"/>
      <c r="Y90" s="3302"/>
      <c r="Z90" s="3302"/>
      <c r="AA90" s="3301"/>
      <c r="AB90" s="3302"/>
      <c r="AC90" s="3302"/>
      <c r="AD90" s="3302"/>
      <c r="AE90" s="3302"/>
      <c r="AF90" s="3301"/>
      <c r="AG90" s="3091"/>
      <c r="AH90" s="3302"/>
      <c r="AI90" s="3302"/>
      <c r="AJ90" s="3302"/>
      <c r="AK90" s="3302"/>
      <c r="AL90" s="3302"/>
      <c r="AM90" s="3302"/>
      <c r="AN90" s="3302"/>
      <c r="AO90" s="3302"/>
      <c r="AP90" s="3302"/>
      <c r="AQ90" s="3302"/>
      <c r="AR90" s="3302"/>
      <c r="AS90" s="3302"/>
      <c r="AT90" s="3302"/>
      <c r="AU90" s="3302"/>
      <c r="AV90" s="3302"/>
      <c r="AW90" s="3302"/>
      <c r="AX90" s="3302"/>
      <c r="AY90" s="3302"/>
      <c r="AZ90" s="3302"/>
      <c r="BA90" s="3302"/>
      <c r="BB90" s="3302"/>
      <c r="BC90" s="3302"/>
      <c r="BD90" s="3301"/>
      <c r="BE90" s="3302"/>
      <c r="BF90" s="3302"/>
      <c r="BG90" s="3302"/>
      <c r="BH90" s="3091"/>
      <c r="BI90" s="3301"/>
      <c r="BJ90" s="3283"/>
      <c r="BK90" s="2177"/>
      <c r="BL90" s="2177"/>
      <c r="BM90" s="2177"/>
      <c r="BN90" s="2177"/>
      <c r="BO90" s="2177"/>
      <c r="BP90" s="2177"/>
      <c r="BQ90" s="2177"/>
      <c r="BR90" s="2177"/>
      <c r="BS90" s="2177"/>
    </row>
    <row r="91" spans="1:71" s="3030" customFormat="1">
      <c r="A91" s="2126"/>
      <c r="B91" s="2126"/>
      <c r="C91" s="2149" t="s">
        <v>1014</v>
      </c>
      <c r="D91" s="3248"/>
      <c r="E91" s="4131" t="s">
        <v>1253</v>
      </c>
      <c r="F91" s="4132"/>
      <c r="G91" s="4133"/>
      <c r="K91" s="3280"/>
      <c r="P91" s="3041"/>
      <c r="X91" s="3280"/>
      <c r="AA91" s="3041"/>
      <c r="AF91" s="3041"/>
      <c r="AN91" s="3280"/>
      <c r="AZ91" s="3041"/>
      <c r="BD91" s="3281"/>
      <c r="BH91" s="3282"/>
      <c r="BJ91" s="2589"/>
      <c r="BK91" s="2126"/>
      <c r="BL91" s="2126"/>
      <c r="BM91" s="2126"/>
      <c r="BN91" s="2126"/>
      <c r="BO91" s="2126"/>
      <c r="BP91" s="2126"/>
      <c r="BQ91" s="2126"/>
      <c r="BR91" s="2126"/>
      <c r="BS91" s="2126"/>
    </row>
    <row r="92" spans="1:71" s="3030" customFormat="1">
      <c r="A92" s="2126"/>
      <c r="B92" s="2126"/>
      <c r="C92" s="2149"/>
      <c r="D92" s="3248"/>
      <c r="E92" s="525"/>
      <c r="F92" s="525"/>
      <c r="G92" s="526"/>
      <c r="K92" s="3280" t="s">
        <v>1269</v>
      </c>
      <c r="P92" s="3041"/>
      <c r="X92" s="3280"/>
      <c r="AA92" s="3041"/>
      <c r="AF92" s="3041"/>
      <c r="AN92" s="3280"/>
      <c r="AZ92" s="3041"/>
      <c r="BD92" s="3281"/>
      <c r="BH92" s="3282"/>
      <c r="BJ92" s="2589"/>
      <c r="BK92" s="2126"/>
      <c r="BL92" s="2126"/>
      <c r="BM92" s="2126"/>
      <c r="BN92" s="2126"/>
      <c r="BO92" s="2126"/>
      <c r="BP92" s="2126"/>
      <c r="BQ92" s="2126"/>
      <c r="BR92" s="2126"/>
      <c r="BS92" s="2126"/>
    </row>
    <row r="93" spans="1:71" s="3030" customFormat="1" ht="13.5" thickBot="1">
      <c r="A93" s="2126"/>
      <c r="B93" s="2126"/>
      <c r="C93" s="2149" t="s">
        <v>1013</v>
      </c>
      <c r="D93" s="3248"/>
      <c r="E93" s="4131" t="s">
        <v>1010</v>
      </c>
      <c r="F93" s="4132"/>
      <c r="G93" s="4133"/>
      <c r="K93" s="3280"/>
      <c r="P93" s="3041"/>
      <c r="X93" s="3280"/>
      <c r="AA93" s="3041"/>
      <c r="AF93" s="3041"/>
      <c r="AN93" s="3280"/>
      <c r="AZ93" s="3041"/>
      <c r="BD93" s="3281"/>
      <c r="BH93" s="3282"/>
      <c r="BJ93" s="2589"/>
      <c r="BK93" s="2126"/>
      <c r="BL93" s="2126"/>
      <c r="BM93" s="2126"/>
      <c r="BN93" s="2126"/>
      <c r="BO93" s="2126"/>
      <c r="BP93" s="2126"/>
      <c r="BQ93" s="2126"/>
      <c r="BR93" s="2126"/>
      <c r="BS93" s="2126"/>
    </row>
    <row r="94" spans="1:71" s="3118" customFormat="1" ht="39" thickBot="1">
      <c r="A94" s="3111"/>
      <c r="B94" s="3112"/>
      <c r="C94" s="2561" t="s">
        <v>1026</v>
      </c>
      <c r="D94" s="3114"/>
      <c r="E94" s="3115" t="str">
        <f>'Du K'!E2</f>
        <v>Paramètre</v>
      </c>
      <c r="F94" s="3115" t="str">
        <f>'Du K'!F2</f>
        <v>Symbole</v>
      </c>
      <c r="G94" s="3116" t="str">
        <f>'Du K'!G2</f>
        <v>Unité</v>
      </c>
      <c r="H94" s="350" t="str">
        <f>'Du K'!H2</f>
        <v>butanol</v>
      </c>
      <c r="I94" s="350" t="str">
        <f>'Du K'!I2</f>
        <v>butanol</v>
      </c>
      <c r="J94" s="350" t="str">
        <f>'Du K'!J2</f>
        <v>MEK</v>
      </c>
      <c r="K94" s="404" t="str">
        <f>'Du K'!K2</f>
        <v>CV</v>
      </c>
      <c r="L94" s="350" t="str">
        <f>'Du K'!L2</f>
        <v>cis-DCE</v>
      </c>
      <c r="M94" s="350" t="str">
        <f>'Du K'!M2</f>
        <v>cis-DCE</v>
      </c>
      <c r="N94" s="350" t="str">
        <f>'Du K'!N2</f>
        <v>TCE</v>
      </c>
      <c r="O94" s="350" t="str">
        <f>'Du K'!O2</f>
        <v>TCE</v>
      </c>
      <c r="P94" s="396" t="str">
        <f>'Du K'!P2</f>
        <v>PCE</v>
      </c>
      <c r="Q94" s="350" t="str">
        <f>'Du K'!Q2</f>
        <v>PCE</v>
      </c>
      <c r="R94" s="350" t="str">
        <f>'Du K'!R2</f>
        <v>DCMA</v>
      </c>
      <c r="S94" s="350" t="str">
        <f>'Du K'!S2</f>
        <v>chloroforme</v>
      </c>
      <c r="T94" s="350" t="str">
        <f>'Du K'!T2</f>
        <v>chloroforme</v>
      </c>
      <c r="U94" s="350" t="str">
        <f>'Du K'!U2</f>
        <v>PCMA</v>
      </c>
      <c r="V94" s="350" t="str">
        <f>'Du K'!V2</f>
        <v>1,1,1-TCA</v>
      </c>
      <c r="W94" s="350" t="str">
        <f>'Du K'!W2</f>
        <v>1,1,1-TCA</v>
      </c>
      <c r="X94" s="404" t="str">
        <f>'Du K'!X2</f>
        <v>B</v>
      </c>
      <c r="Y94" s="350" t="str">
        <f>'Du K'!Y2</f>
        <v>T</v>
      </c>
      <c r="Z94" s="350" t="str">
        <f>'Du K'!Z2</f>
        <v>E</v>
      </c>
      <c r="AA94" s="396" t="str">
        <f>'Du K'!AA2</f>
        <v>X</v>
      </c>
      <c r="AB94" s="350" t="str">
        <f>'Du K'!AB2</f>
        <v>Ar 
&gt;EC8-EC10</v>
      </c>
      <c r="AC94" s="350" t="str">
        <f>'Du K'!AC2</f>
        <v>Ar
&gt;EC10-EC12</v>
      </c>
      <c r="AD94" s="350" t="str">
        <f>'Du K'!AD2</f>
        <v>Ar
 &gt;EC12 - EC16</v>
      </c>
      <c r="AE94" s="350" t="str">
        <f>'Du K'!AE2</f>
        <v>Ar
 &gt;EC16 - EC21</v>
      </c>
      <c r="AF94" s="396" t="str">
        <f>'Du K'!AF2</f>
        <v>Ar
 &gt;EC21 - EC35</v>
      </c>
      <c r="AG94" s="350" t="str">
        <f>'Du K'!AG2</f>
        <v>Al 
EC5-EC6</v>
      </c>
      <c r="AH94" s="350" t="str">
        <f>'Du K'!AH2</f>
        <v>Al
&gt;EC6-EC8</v>
      </c>
      <c r="AI94" s="350" t="str">
        <f>'Du K'!AI2</f>
        <v>Al 
&gt;EC8-EC10</v>
      </c>
      <c r="AJ94" s="350" t="str">
        <f>'Du K'!AJ2</f>
        <v>Al &gt;
EC10-EC12</v>
      </c>
      <c r="AK94" s="350" t="str">
        <f>'Du K'!AK2</f>
        <v>Al 
&gt;EC12-EC16</v>
      </c>
      <c r="AL94" s="350" t="str">
        <f>'Du K'!AL2</f>
        <v>Al 
&gt;EC16- EC21</v>
      </c>
      <c r="AM94" s="350" t="str">
        <f>'Du K'!AM2</f>
        <v>Al  &gt;EC21</v>
      </c>
      <c r="AN94" s="404" t="str">
        <f>'Du K'!AN2</f>
        <v>Naphtalène</v>
      </c>
      <c r="AO94" s="350" t="str">
        <f>'Du K'!AO2</f>
        <v>Acénaphthylène</v>
      </c>
      <c r="AP94" s="350" t="str">
        <f>'Du K'!AP2</f>
        <v>Acénaphtène</v>
      </c>
      <c r="AQ94" s="350" t="str">
        <f>'Du K'!AQ2</f>
        <v>Fluorène</v>
      </c>
      <c r="AR94" s="350" t="str">
        <f>'Du K'!AR2</f>
        <v>Phénanthrène</v>
      </c>
      <c r="AS94" s="350" t="str">
        <f>'Du K'!AS2</f>
        <v>Anthracène</v>
      </c>
      <c r="AT94" s="350" t="str">
        <f>'Du K'!AT2</f>
        <v>Fluoranthène</v>
      </c>
      <c r="AU94" s="350" t="str">
        <f>'Du K'!AU2</f>
        <v>Pyrène</v>
      </c>
      <c r="AV94" s="350" t="str">
        <f>'Du K'!AV2</f>
        <v>BaA</v>
      </c>
      <c r="AW94" s="350" t="str">
        <f>'Du K'!AW2</f>
        <v>Chrysène</v>
      </c>
      <c r="AX94" s="350" t="str">
        <f>'Du K'!AX2</f>
        <v>BbF</v>
      </c>
      <c r="AY94" s="350" t="str">
        <f>'Du K'!AY2</f>
        <v>BkF</v>
      </c>
      <c r="AZ94" s="396" t="str">
        <f>'Du K'!AZ2</f>
        <v>BaP</v>
      </c>
      <c r="BA94" s="350" t="str">
        <f>'Du K'!BA2</f>
        <v>DahA</v>
      </c>
      <c r="BB94" s="350" t="str">
        <f>'Du K'!BB2</f>
        <v>BghP</v>
      </c>
      <c r="BC94" s="350" t="str">
        <f>'Du K'!BC2</f>
        <v>IcdP</v>
      </c>
      <c r="BD94" s="2081" t="str">
        <f>'Du K'!BD2</f>
        <v>Phénol</v>
      </c>
      <c r="BE94" s="350" t="str">
        <f>'Du K'!BE2</f>
        <v>PCB (7)</v>
      </c>
      <c r="BF94" s="350" t="str">
        <f>'Du K'!BF2</f>
        <v>PCB-A1254</v>
      </c>
      <c r="BG94" s="350" t="str">
        <f>'Du K'!BG2</f>
        <v>Hg0</v>
      </c>
      <c r="BH94" s="1577" t="str">
        <f>'Du K'!BH2</f>
        <v>CH3HgCl</v>
      </c>
      <c r="BI94" s="350" t="str">
        <f>'Du K'!BI2</f>
        <v>CN/HCN</v>
      </c>
      <c r="BJ94" s="3117"/>
    </row>
    <row r="95" spans="1:71" s="3131" customFormat="1" ht="13.5" thickBot="1">
      <c r="A95" s="3119"/>
      <c r="B95" s="537"/>
      <c r="C95" s="3305"/>
      <c r="D95" s="3306"/>
      <c r="E95" s="3121" t="s">
        <v>1163</v>
      </c>
      <c r="F95" s="3121" t="str">
        <f>Substances!F$10</f>
        <v>t</v>
      </c>
      <c r="G95" s="3122" t="str">
        <f>Substances!G$10</f>
        <v>an</v>
      </c>
      <c r="H95" s="3123">
        <f>Substances!H$10</f>
        <v>7</v>
      </c>
      <c r="I95" s="3123">
        <f>Substances!I$10</f>
        <v>7</v>
      </c>
      <c r="J95" s="3123">
        <f>Substances!J$10</f>
        <v>7</v>
      </c>
      <c r="K95" s="3124">
        <f>Substances!K$10</f>
        <v>1</v>
      </c>
      <c r="L95" s="3123">
        <f>Substances!L$10</f>
        <v>1</v>
      </c>
      <c r="M95" s="3123">
        <f>Substances!M$10</f>
        <v>1</v>
      </c>
      <c r="N95" s="3123">
        <f>Substances!N$10</f>
        <v>1</v>
      </c>
      <c r="O95" s="3123">
        <f>Substances!O$10</f>
        <v>1</v>
      </c>
      <c r="P95" s="3125">
        <f>Substances!P$10</f>
        <v>1</v>
      </c>
      <c r="Q95" s="3123">
        <f>Substances!Q$10</f>
        <v>1</v>
      </c>
      <c r="R95" s="3123">
        <f>Substances!R$10</f>
        <v>1</v>
      </c>
      <c r="S95" s="3123">
        <f>Substances!S$10</f>
        <v>1</v>
      </c>
      <c r="T95" s="3123">
        <f>Substances!T$10</f>
        <v>1</v>
      </c>
      <c r="U95" s="3123">
        <f>Substances!U$10</f>
        <v>1</v>
      </c>
      <c r="V95" s="3123">
        <f>Substances!V$10</f>
        <v>1</v>
      </c>
      <c r="W95" s="3123">
        <f>Substances!W$10</f>
        <v>1</v>
      </c>
      <c r="X95" s="3124">
        <f>Substances!X$10</f>
        <v>1</v>
      </c>
      <c r="Y95" s="3123">
        <f>Substances!Y$10</f>
        <v>1</v>
      </c>
      <c r="Z95" s="3123">
        <f>Substances!Z$10</f>
        <v>1</v>
      </c>
      <c r="AA95" s="3126">
        <f>Substances!AA$10</f>
        <v>7</v>
      </c>
      <c r="AB95" s="3004">
        <f>Substances!AB$10</f>
        <v>1</v>
      </c>
      <c r="AC95" s="3127">
        <f>Substances!AC$10</f>
        <v>1</v>
      </c>
      <c r="AD95" s="3127">
        <f>Substances!AD$10</f>
        <v>1</v>
      </c>
      <c r="AE95" s="3127">
        <f>Substances!AE$10</f>
        <v>1</v>
      </c>
      <c r="AF95" s="3126">
        <f>Substances!AF$10</f>
        <v>1</v>
      </c>
      <c r="AG95" s="3128">
        <f>Substances!AG$10</f>
        <v>1</v>
      </c>
      <c r="AH95" s="3127">
        <f>Substances!AH$10</f>
        <v>1</v>
      </c>
      <c r="AI95" s="3127">
        <f>Substances!AI$10</f>
        <v>1</v>
      </c>
      <c r="AJ95" s="3127">
        <f>Substances!AJ$10</f>
        <v>1</v>
      </c>
      <c r="AK95" s="3127">
        <f>Substances!AK$10</f>
        <v>1</v>
      </c>
      <c r="AL95" s="3127">
        <f>Substances!AL$10</f>
        <v>1</v>
      </c>
      <c r="AM95" s="3127">
        <f>Substances!AM$10</f>
        <v>1</v>
      </c>
      <c r="AN95" s="2871">
        <f>Substances!AN$10</f>
        <v>7</v>
      </c>
      <c r="AO95" s="3123">
        <f>Substances!AO$10</f>
        <v>1</v>
      </c>
      <c r="AP95" s="3123">
        <f>Substances!AP$10</f>
        <v>1</v>
      </c>
      <c r="AQ95" s="3123">
        <f>Substances!AQ$10</f>
        <v>1</v>
      </c>
      <c r="AR95" s="3123">
        <f>Substances!AR$10</f>
        <v>1</v>
      </c>
      <c r="AS95" s="3123">
        <f>Substances!AS$10</f>
        <v>1</v>
      </c>
      <c r="AT95" s="3123">
        <f>Substances!AT$10</f>
        <v>1</v>
      </c>
      <c r="AU95" s="3123">
        <f>Substances!AU$10</f>
        <v>1</v>
      </c>
      <c r="AV95" s="3123">
        <f>Substances!AV$10</f>
        <v>1</v>
      </c>
      <c r="AW95" s="3123">
        <f>Substances!AW$10</f>
        <v>1</v>
      </c>
      <c r="AX95" s="3123">
        <f>Substances!AX$10</f>
        <v>1</v>
      </c>
      <c r="AY95" s="3123">
        <f>Substances!AY$10</f>
        <v>1</v>
      </c>
      <c r="AZ95" s="3125">
        <f>Substances!AZ$10</f>
        <v>1</v>
      </c>
      <c r="BA95" s="3123">
        <f>Substances!BA$10</f>
        <v>1</v>
      </c>
      <c r="BB95" s="3123">
        <f>Substances!BB$10</f>
        <v>1</v>
      </c>
      <c r="BC95" s="3123">
        <f>Substances!BC$10</f>
        <v>1</v>
      </c>
      <c r="BD95" s="3129">
        <f>Substances!BD$10</f>
        <v>1</v>
      </c>
      <c r="BE95" s="3123">
        <f>Substances!BE$10</f>
        <v>1</v>
      </c>
      <c r="BF95" s="3123">
        <f>Substances!BF$10</f>
        <v>1</v>
      </c>
      <c r="BG95" s="3123">
        <f>Substances!BG$10</f>
        <v>1</v>
      </c>
      <c r="BH95" s="3125">
        <f>Substances!BH$10</f>
        <v>1</v>
      </c>
      <c r="BI95" s="3123">
        <f>Substances!BI$10</f>
        <v>7</v>
      </c>
      <c r="BJ95" s="3130"/>
    </row>
    <row r="96" spans="1:71" s="2552" customFormat="1" ht="13.15" customHeight="1">
      <c r="A96" s="3307"/>
      <c r="C96" s="2562"/>
      <c r="D96" s="2563"/>
      <c r="E96" s="2552" t="s">
        <v>1164</v>
      </c>
      <c r="G96" s="3308"/>
      <c r="H96" s="3309"/>
      <c r="I96" s="3309"/>
      <c r="J96" s="3309"/>
      <c r="K96" s="3310"/>
      <c r="L96" s="3309"/>
      <c r="M96" s="3309"/>
      <c r="N96" s="3309"/>
      <c r="O96" s="3309"/>
      <c r="P96" s="3311"/>
      <c r="Q96" s="3309"/>
      <c r="R96" s="3309"/>
      <c r="S96" s="3309"/>
      <c r="T96" s="3309"/>
      <c r="U96" s="3309"/>
      <c r="V96" s="3309"/>
      <c r="W96" s="3309"/>
      <c r="X96" s="3310"/>
      <c r="Y96" s="3309"/>
      <c r="Z96" s="3309"/>
      <c r="AA96" s="3311"/>
      <c r="AB96" s="3309"/>
      <c r="AC96" s="3309"/>
      <c r="AD96" s="3309"/>
      <c r="AE96" s="3309"/>
      <c r="AF96" s="3311"/>
      <c r="AG96" s="3309"/>
      <c r="AH96" s="3309"/>
      <c r="AI96" s="3309"/>
      <c r="AJ96" s="3309"/>
      <c r="AK96" s="3309"/>
      <c r="AL96" s="3309"/>
      <c r="AM96" s="3309"/>
      <c r="AN96" s="3310"/>
      <c r="AO96" s="3309"/>
      <c r="AP96" s="3309"/>
      <c r="AQ96" s="3309"/>
      <c r="AR96" s="3309"/>
      <c r="AS96" s="3309"/>
      <c r="AT96" s="3309"/>
      <c r="AU96" s="3309"/>
      <c r="AV96" s="3309"/>
      <c r="AW96" s="3309"/>
      <c r="AX96" s="3309"/>
      <c r="AY96" s="3309"/>
      <c r="AZ96" s="3311"/>
      <c r="BA96" s="3309"/>
      <c r="BB96" s="3309"/>
      <c r="BC96" s="3309"/>
      <c r="BD96" s="3312"/>
      <c r="BE96" s="3309"/>
      <c r="BF96" s="3309"/>
      <c r="BG96" s="3309"/>
      <c r="BH96" s="3309"/>
      <c r="BI96" s="3309"/>
      <c r="BJ96" s="3309"/>
    </row>
    <row r="97" spans="1:71" s="3314" customFormat="1" ht="12.75" customHeight="1">
      <c r="A97" s="3313"/>
      <c r="C97" s="4135" t="s">
        <v>664</v>
      </c>
      <c r="D97" s="4136"/>
      <c r="E97" s="3315" t="s">
        <v>1023</v>
      </c>
      <c r="F97" s="3315" t="str">
        <f>'EmVap-Vol'!F52</f>
        <v>Zo(t)</v>
      </c>
      <c r="G97" s="3316" t="s">
        <v>73</v>
      </c>
      <c r="H97" s="3317">
        <f>'EmVap-Vol'!H52</f>
        <v>0.30411039770531162</v>
      </c>
      <c r="I97" s="3317">
        <f>'EmVap-Vol'!I52</f>
        <v>0.30411039770531162</v>
      </c>
      <c r="J97" s="3317">
        <f>'EmVap-Vol'!J52</f>
        <v>1.8357446886973099</v>
      </c>
      <c r="K97" s="3318">
        <f>'EmVap-Vol'!K52</f>
        <v>114.9985058047412</v>
      </c>
      <c r="L97" s="3319">
        <f>'EmVap-Vol'!L52</f>
        <v>14.937543627847784</v>
      </c>
      <c r="M97" s="3319">
        <f>'EmVap-Vol'!M52</f>
        <v>14.937543627847784</v>
      </c>
      <c r="N97" s="3319">
        <f>'EmVap-Vol'!N52</f>
        <v>31.608904637260025</v>
      </c>
      <c r="O97" s="3319">
        <f>'EmVap-Vol'!O52</f>
        <v>31.608904637260025</v>
      </c>
      <c r="P97" s="3320">
        <f>'EmVap-Vol'!P52</f>
        <v>31.44913754933771</v>
      </c>
      <c r="Q97" s="3319">
        <f>'EmVap-Vol'!Q52</f>
        <v>31.44913754933771</v>
      </c>
      <c r="R97" s="3319">
        <f>'EmVap-Vol'!R52</f>
        <v>179.0821207102228</v>
      </c>
      <c r="S97" s="3319">
        <f>'EmVap-Vol'!S52</f>
        <v>17.136830400810606</v>
      </c>
      <c r="T97" s="3319">
        <f>'EmVap-Vol'!T52</f>
        <v>17.136830400810606</v>
      </c>
      <c r="U97" s="3319">
        <f>'EmVap-Vol'!U52</f>
        <v>60.489230342735411</v>
      </c>
      <c r="V97" s="3319">
        <f>'EmVap-Vol'!V52</f>
        <v>36.151098700050092</v>
      </c>
      <c r="W97" s="3321">
        <f>'EmVap-Vol'!W52</f>
        <v>36.151098700050092</v>
      </c>
      <c r="X97" s="3318">
        <f>'EmVap-Vol'!X52</f>
        <v>19.958644323815452</v>
      </c>
      <c r="Y97" s="3319">
        <f>'EmVap-Vol'!Y52</f>
        <v>12.42537204108759</v>
      </c>
      <c r="Z97" s="3319">
        <f>'EmVap-Vol'!Z52</f>
        <v>6.7473360725349751</v>
      </c>
      <c r="AA97" s="3322">
        <f>'EmVap-Vol'!AA52</f>
        <v>31.687917804450805</v>
      </c>
      <c r="AB97" s="3317">
        <f>'EmVap-Vol'!AB52</f>
        <v>2.4014676725062758</v>
      </c>
      <c r="AC97" s="3317">
        <f>'EmVap-Vol'!AC52</f>
        <v>0.43267437003190246</v>
      </c>
      <c r="AD97" s="3323">
        <f>'EmVap-Vol'!AD52</f>
        <v>7.3441015527324127E-2</v>
      </c>
      <c r="AE97" s="3323">
        <f>'EmVap-Vol'!AE52</f>
        <v>7.2511091825832735E-3</v>
      </c>
      <c r="AF97" s="3324">
        <f>'EmVap-Vol'!AF52</f>
        <v>2.5511385895721031E-5</v>
      </c>
      <c r="AG97" s="3319">
        <f>'EmVap-Vol'!AG52</f>
        <v>81.813745583809421</v>
      </c>
      <c r="AH97" s="3319">
        <f>'EmVap-Vol'!AH52</f>
        <v>49.618293601382057</v>
      </c>
      <c r="AI97" s="3319">
        <f>'EmVap-Vol'!AI52</f>
        <v>15.519621763440071</v>
      </c>
      <c r="AJ97" s="3317">
        <f>'EmVap-Vol'!AJ52</f>
        <v>3.0016503051096239</v>
      </c>
      <c r="AK97" s="3317">
        <f>'EmVap-Vol'!AK52</f>
        <v>0.54742992050717176</v>
      </c>
      <c r="AL97" s="3323">
        <f>'EmVap-Vol'!AL52</f>
        <v>3.0740864394159934E-2</v>
      </c>
      <c r="AM97" s="3319">
        <f>'EmVap-Vol'!AM52</f>
        <v>1.795478560816269E-4</v>
      </c>
      <c r="AN97" s="3325">
        <f>'EmVap-Vol'!AN52</f>
        <v>0.25278612495668407</v>
      </c>
      <c r="AO97" s="3323">
        <f>'EmVap-Vol'!AO52</f>
        <v>8.3304311458017363E-3</v>
      </c>
      <c r="AP97" s="3326">
        <f>'EmVap-Vol'!AP52</f>
        <v>1.3691362712846392E-2</v>
      </c>
      <c r="AQ97" s="3326">
        <f>'EmVap-Vol'!AQ52</f>
        <v>5.1725159039691052E-3</v>
      </c>
      <c r="AR97" s="3326">
        <f>'EmVap-Vol'!AR52</f>
        <v>9.8779424647098203E-4</v>
      </c>
      <c r="AS97" s="3326">
        <f>'EmVap-Vol'!AS52</f>
        <v>1.2671520465222992E-3</v>
      </c>
      <c r="AT97" s="3326">
        <f>'EmVap-Vol'!AT52</f>
        <v>8.8648278418334214E-5</v>
      </c>
      <c r="AU97" s="3326">
        <f>'EmVap-Vol'!AU52</f>
        <v>8.6437502263963668E-5</v>
      </c>
      <c r="AV97" s="3326">
        <f>'EmVap-Vol'!AV52</f>
        <v>1.3087312773857895E-5</v>
      </c>
      <c r="AW97" s="3326">
        <f>'EmVap-Vol'!AW52</f>
        <v>1.3290175805841281E-5</v>
      </c>
      <c r="AX97" s="3326">
        <f>'EmVap-Vol'!AX52</f>
        <v>2.9422855933078892E-6</v>
      </c>
      <c r="AY97" s="3326">
        <f>'EmVap-Vol'!AY52</f>
        <v>2.0192791121519996E-6</v>
      </c>
      <c r="AZ97" s="3324">
        <f>'EmVap-Vol'!AZ52</f>
        <v>1.8075566049454732E-6</v>
      </c>
      <c r="BA97" s="3319">
        <f>'EmVap-Vol'!BA52</f>
        <v>4.1804574042886678E-7</v>
      </c>
      <c r="BB97" s="3319">
        <f>'EmVap-Vol'!BB52</f>
        <v>1.0446498576737724E-6</v>
      </c>
      <c r="BC97" s="3319">
        <f>'EmVap-Vol'!BC52</f>
        <v>2.4790749175684703E-7</v>
      </c>
      <c r="BD97" s="3327">
        <f>'EmVap-Vol'!BD52</f>
        <v>1.0884884271893764E-2</v>
      </c>
      <c r="BE97" s="3314">
        <f>'EmVap-Vol'!BE52</f>
        <v>9.9263426275972225E-6</v>
      </c>
      <c r="BF97" s="3314">
        <f>'EmVap-Vol'!BF52</f>
        <v>9.9263426275972225E-6</v>
      </c>
      <c r="BG97" s="3319">
        <f>'EmVap-Vol'!BG52</f>
        <v>32.601103796380769</v>
      </c>
      <c r="BH97" s="3328">
        <f>'EmVap-Vol'!BH52</f>
        <v>7.6864975622898462E-3</v>
      </c>
      <c r="BI97" s="3323">
        <f>'EmVap-Vol'!BI52</f>
        <v>0.44143380796121434</v>
      </c>
    </row>
    <row r="98" spans="1:71" s="3330" customFormat="1">
      <c r="A98" s="3329"/>
      <c r="C98" s="4137"/>
      <c r="D98" s="4138"/>
      <c r="E98" s="3331" t="s">
        <v>1024</v>
      </c>
      <c r="F98" s="3330" t="str">
        <f>'EmVap-Vol'!F73</f>
        <v>Z0(t)</v>
      </c>
      <c r="G98" s="3332" t="s">
        <v>73</v>
      </c>
      <c r="H98" s="3333">
        <f>'EmVap-Vol'!H73</f>
        <v>0.21206047037998846</v>
      </c>
      <c r="I98" s="3333">
        <f>'EmVap-Vol'!I73</f>
        <v>0.21206047037998846</v>
      </c>
      <c r="J98" s="3333">
        <f>'EmVap-Vol'!J73</f>
        <v>0.70870934890412951</v>
      </c>
      <c r="K98" s="3334">
        <f>'EmVap-Vol'!K73</f>
        <v>6.8715678522199113</v>
      </c>
      <c r="L98" s="3335">
        <f>'EmVap-Vol'!L73</f>
        <v>2.3456066474980699</v>
      </c>
      <c r="M98" s="3335">
        <f>'EmVap-Vol'!M73</f>
        <v>2.3456066474980699</v>
      </c>
      <c r="N98" s="3335">
        <f>'EmVap-Vol'!N73</f>
        <v>3.5035690430159927</v>
      </c>
      <c r="O98" s="3335">
        <f>'EmVap-Vol'!O73</f>
        <v>3.5035690430159927</v>
      </c>
      <c r="P98" s="3336">
        <f>'EmVap-Vol'!P73</f>
        <v>3.4940904558934593</v>
      </c>
      <c r="Q98" s="3335">
        <f>'EmVap-Vol'!Q73</f>
        <v>3.4940904558934593</v>
      </c>
      <c r="R98" s="3335">
        <f>'EmVap-Vol'!R73</f>
        <v>8.6277644268249993</v>
      </c>
      <c r="S98" s="3335">
        <f>'EmVap-Vol'!S73</f>
        <v>2.5264009279279191</v>
      </c>
      <c r="T98" s="3335">
        <f>'EmVap-Vol'!T73</f>
        <v>2.5264009279279191</v>
      </c>
      <c r="U98" s="3335">
        <f>'EmVap-Vol'!U73</f>
        <v>4.9260063609027478</v>
      </c>
      <c r="V98" s="3335">
        <f>'EmVap-Vol'!V73</f>
        <v>3.7609526789275964</v>
      </c>
      <c r="W98" s="3335">
        <f>'EmVap-Vol'!W73</f>
        <v>3.7609526789275964</v>
      </c>
      <c r="X98" s="3334">
        <f>'EmVap-Vol'!X73</f>
        <v>2.7422961225425935</v>
      </c>
      <c r="Y98" s="3335">
        <f>'EmVap-Vol'!Y73</f>
        <v>2.1214715403027795</v>
      </c>
      <c r="Z98" s="3335">
        <f>'EmVap-Vol'!Z73</f>
        <v>1.512146373612274</v>
      </c>
      <c r="AA98" s="3336">
        <f>'EmVap-Vol'!AA73</f>
        <v>3.5084026361778968</v>
      </c>
      <c r="AB98" s="3333">
        <f>'EmVap-Vol'!AB73</f>
        <v>0.82876770055727345</v>
      </c>
      <c r="AC98" s="3333">
        <f>'EmVap-Vol'!AC73</f>
        <v>0.26811623203410911</v>
      </c>
      <c r="AD98" s="3337">
        <f>'EmVap-Vol'!AD73</f>
        <v>6.4054162908354473E-2</v>
      </c>
      <c r="AE98" s="3337">
        <f>'EmVap-Vol'!AE73</f>
        <v>7.1349674219258474E-3</v>
      </c>
      <c r="AF98" s="3338">
        <f>'EmVap-Vol'!AF53</f>
        <v>2.2824639619806395E-4</v>
      </c>
      <c r="AG98" s="3335">
        <f>'EmVap-Vol'!AG73</f>
        <v>5.7628882059556457</v>
      </c>
      <c r="AH98" s="3335">
        <f>'EmVap-Vol'!AH73</f>
        <v>4.441656589676934</v>
      </c>
      <c r="AI98" s="3333">
        <f>'EmVap-Vol'!AI73</f>
        <v>2.3941199577696501</v>
      </c>
      <c r="AJ98" s="3333">
        <f>'EmVap-Vol'!AJ73</f>
        <v>0.9471894289297107</v>
      </c>
      <c r="AK98" s="3333">
        <f>'EmVap-Vol'!AK73</f>
        <v>0.31712887708834447</v>
      </c>
      <c r="AL98" s="3337">
        <f>'EmVap-Vol'!AL73</f>
        <v>2.8836657237436142E-2</v>
      </c>
      <c r="AM98" s="3339">
        <f>'EmVap-Vol'!AM73</f>
        <v>1.7947409489268984E-4</v>
      </c>
      <c r="AN98" s="3340">
        <f>'EmVap-Vol'!AN73</f>
        <v>0.17968996361102896</v>
      </c>
      <c r="AO98" s="3337">
        <f>'EmVap-Vol'!AO73</f>
        <v>8.1793702673659541E-3</v>
      </c>
      <c r="AP98" s="3341">
        <f>'EmVap-Vol'!AP73</f>
        <v>1.3290793501444798E-2</v>
      </c>
      <c r="AQ98" s="3341">
        <f>'EmVap-Vol'!AQ73</f>
        <v>5.1135258443422427E-3</v>
      </c>
      <c r="AR98" s="3342">
        <f>'EmVap-Vol'!AR73</f>
        <v>9.8564652372593042E-4</v>
      </c>
      <c r="AS98" s="3342">
        <f>'EmVap-Vol'!AS73</f>
        <v>1.2636006275708878E-3</v>
      </c>
      <c r="AT98" s="3342">
        <f>'EmVap-Vol'!AT73</f>
        <v>8.8631986534776219E-5</v>
      </c>
      <c r="AU98" s="3342">
        <f>'EmVap-Vol'!AU73</f>
        <v>8.6422170227029582E-5</v>
      </c>
      <c r="AV98" s="3342">
        <f>'EmVap-Vol'!AV73</f>
        <v>1.3086977849019465E-5</v>
      </c>
      <c r="AW98" s="3342">
        <f>'EmVap-Vol'!AW73</f>
        <v>1.3289841807262448E-5</v>
      </c>
      <c r="AX98" s="3342">
        <f>'EmVap-Vol'!AX73</f>
        <v>2.9422748513696639E-6</v>
      </c>
      <c r="AY98" s="3342">
        <f>'EmVap-Vol'!AY73</f>
        <v>2.0192740526892017E-6</v>
      </c>
      <c r="AZ98" s="3338">
        <f>'EmVap-Vol'!AZ73</f>
        <v>1.8075526094230021E-6</v>
      </c>
      <c r="BA98" s="3339">
        <f>'EmVap-Vol'!BA73</f>
        <v>4.1804552958213392E-7</v>
      </c>
      <c r="BB98" s="3339">
        <f>'EmVap-Vol'!BB73</f>
        <v>1.0446482940906776E-6</v>
      </c>
      <c r="BC98" s="3339">
        <f>'EmVap-Vol'!BC73</f>
        <v>2.4790741964819674E-7</v>
      </c>
      <c r="BD98" s="3343">
        <f>'EmVap-Vol'!BD73</f>
        <v>1.0735209907032806E-2</v>
      </c>
      <c r="BE98" s="3344">
        <f>'EmVap-Vol'!BE73</f>
        <v>9.92614201344999E-6</v>
      </c>
      <c r="BF98" s="3344">
        <f>'EmVap-Vol'!BF73</f>
        <v>9.92614201344999E-6</v>
      </c>
      <c r="BG98" s="3345">
        <f>'EmVap-Vol'!BG73</f>
        <v>3.5616762018745569</v>
      </c>
      <c r="BH98" s="3346">
        <f>'EmVap-Vol'!BH73</f>
        <v>7.6093121144384379E-3</v>
      </c>
      <c r="BI98" s="3345">
        <f>'EmVap-Vol'!BI73</f>
        <v>0.28959138276519308</v>
      </c>
      <c r="BJ98" s="3345"/>
    </row>
    <row r="99" spans="1:71" s="2608" customFormat="1" ht="12.75" customHeight="1">
      <c r="A99" s="1680"/>
      <c r="C99" s="4135" t="s">
        <v>1011</v>
      </c>
      <c r="D99" s="4136"/>
      <c r="E99" s="2608" t="s">
        <v>1045</v>
      </c>
      <c r="G99" s="2613" t="s">
        <v>73</v>
      </c>
      <c r="H99" s="3175">
        <f>'EmVap-Vol'!H227</f>
        <v>11.580789333942086</v>
      </c>
      <c r="I99" s="3175">
        <f>'EmVap-Vol'!I227</f>
        <v>11.580789333942086</v>
      </c>
      <c r="J99" s="3175">
        <f>'EmVap-Vol'!J227</f>
        <v>76.024489047988112</v>
      </c>
      <c r="K99" s="3174">
        <f>'EmVap-Vol'!K227</f>
        <v>2419.7900242894834</v>
      </c>
      <c r="L99" s="3347">
        <f>'EmVap-Vol'!L227</f>
        <v>452.41859419237551</v>
      </c>
      <c r="M99" s="3347">
        <f>'EmVap-Vol'!M227</f>
        <v>452.41859419237551</v>
      </c>
      <c r="N99" s="3347">
        <f>'EmVap-Vol'!N227</f>
        <v>892.31075487959924</v>
      </c>
      <c r="O99" s="3347">
        <f>'EmVap-Vol'!O227</f>
        <v>892.31075487959924</v>
      </c>
      <c r="P99" s="3172">
        <f>'EmVap-Vol'!P227</f>
        <v>974.17231068159253</v>
      </c>
      <c r="Q99" s="3347">
        <f>'EmVap-Vol'!Q227</f>
        <v>974.17231068159253</v>
      </c>
      <c r="R99" s="3347">
        <f>'EmVap-Vol'!R227</f>
        <v>391.67292670217222</v>
      </c>
      <c r="S99" s="3347">
        <f>'EmVap-Vol'!S227</f>
        <v>367.38076262976642</v>
      </c>
      <c r="T99" s="3347">
        <f>'EmVap-Vol'!T227</f>
        <v>367.38076262976642</v>
      </c>
      <c r="U99" s="3347">
        <f>'EmVap-Vol'!U227</f>
        <v>1729.6125761388741</v>
      </c>
      <c r="V99" s="3347">
        <f>'EmVap-Vol'!V227</f>
        <v>2831.0326461996888</v>
      </c>
      <c r="W99" s="3347">
        <f>'EmVap-Vol'!W227</f>
        <v>2831.0326461996888</v>
      </c>
      <c r="X99" s="3174">
        <f>'EmVap-Vol'!X227</f>
        <v>543.10953265061062</v>
      </c>
      <c r="Y99" s="3347">
        <f>'EmVap-Vol'!Y227</f>
        <v>376.40690790052395</v>
      </c>
      <c r="Z99" s="3347">
        <f>'EmVap-Vol'!Z227</f>
        <v>222.91461234348682</v>
      </c>
      <c r="AA99" s="3172">
        <f>'EmVap-Vol'!AA227</f>
        <v>1046.8109840962682</v>
      </c>
      <c r="AB99" s="3347">
        <f>'EmVap-Vol'!AB227</f>
        <v>169.13038822723968</v>
      </c>
      <c r="AC99" s="3347">
        <f>'EmVap-Vol'!AC227</f>
        <v>33.003168862567257</v>
      </c>
      <c r="AD99" s="3347">
        <f>'EmVap-Vol'!AD227</f>
        <v>6.459819312394754</v>
      </c>
      <c r="AE99" s="3347">
        <f>'EmVap-Vol'!AE227</f>
        <v>0.80548981646529538</v>
      </c>
      <c r="AF99" s="3172">
        <f>'EmVap-Vol'!AF227</f>
        <v>3.3385515515627312E-3</v>
      </c>
      <c r="AG99" s="3347">
        <f>'EmVap-Vol'!AG227</f>
        <v>3889.7404424357464</v>
      </c>
      <c r="AH99" s="3347">
        <f>'EmVap-Vol'!AH227</f>
        <v>2912.402407369078</v>
      </c>
      <c r="AI99" s="3347">
        <f>'EmVap-Vol'!AI227</f>
        <v>1184.2249547795018</v>
      </c>
      <c r="AJ99" s="3347">
        <f>'EmVap-Vol'!AJ227</f>
        <v>281.89663657732621</v>
      </c>
      <c r="AK99" s="3347">
        <f>'EmVap-Vol'!AK227</f>
        <v>64.2641082161566</v>
      </c>
      <c r="AL99" s="3347">
        <f>'EmVap-Vol'!AL227</f>
        <v>4.8718043235456072</v>
      </c>
      <c r="AM99" s="3347">
        <f>'EmVap-Vol'!AM227</f>
        <v>3.3724087043273211E-2</v>
      </c>
      <c r="AN99" s="3174">
        <f>'EmVap-Vol'!AN227</f>
        <v>18.790023891079979</v>
      </c>
      <c r="AO99" s="3347">
        <f>'EmVap-Vol'!AO227</f>
        <v>0.73312579845056114</v>
      </c>
      <c r="AP99" s="3175">
        <f>'EmVap-Vol'!AP227</f>
        <v>1.2264831989577032</v>
      </c>
      <c r="AQ99" s="3175">
        <f>'EmVap-Vol'!AQ227</f>
        <v>0.49661985998967906</v>
      </c>
      <c r="AR99" s="3175">
        <f>'EmVap-Vol'!AR227</f>
        <v>9.943171176694704E-2</v>
      </c>
      <c r="AS99" s="3175">
        <f>'EmVap-Vol'!AS227</f>
        <v>0.12842796967466577</v>
      </c>
      <c r="AT99" s="3175">
        <f>'EmVap-Vol'!AT227</f>
        <v>9.3746645873532125E-3</v>
      </c>
      <c r="AU99" s="3175">
        <f>'EmVap-Vol'!AU227</f>
        <v>9.0185338942139221E-3</v>
      </c>
      <c r="AV99" s="3136">
        <f>'EmVap-Vol'!AV227</f>
        <v>1.4387705181061045E-3</v>
      </c>
      <c r="AW99" s="3136">
        <f>'EmVap-Vol'!AW227</f>
        <v>1.38637427401723E-3</v>
      </c>
      <c r="AX99" s="3136">
        <f>'EmVap-Vol'!AX227</f>
        <v>4.8797843591209082E-5</v>
      </c>
      <c r="AY99" s="3136">
        <f>'EmVap-Vol'!AY227</f>
        <v>3.3489769485975817E-5</v>
      </c>
      <c r="AZ99" s="3162">
        <f>'EmVap-Vol'!AZ227</f>
        <v>2.23638767032114E-5</v>
      </c>
      <c r="BA99" s="3136">
        <f>'EmVap-Vol'!BA227</f>
        <v>3.8624699411720137E-6</v>
      </c>
      <c r="BB99" s="3136">
        <f>'EmVap-Vol'!BB227</f>
        <v>6.1156045151905254E-5</v>
      </c>
      <c r="BC99" s="3136">
        <f>'EmVap-Vol'!BC227</f>
        <v>1.6246181233548372E-11</v>
      </c>
      <c r="BD99" s="3348">
        <f>'EmVap-Vol'!BD227</f>
        <v>5.8745403723414469E-2</v>
      </c>
      <c r="BE99" s="3160">
        <f>'EmVap-Vol'!BE227</f>
        <v>1.3038466938750132E-3</v>
      </c>
      <c r="BF99" s="3160">
        <f>'EmVap-Vol'!BF227</f>
        <v>1.3038466938750132E-3</v>
      </c>
      <c r="BG99" s="3004">
        <f>'EmVap-Vol'!BG227</f>
        <v>2367.7453136301756</v>
      </c>
      <c r="BH99" s="3004">
        <f>'EmVap-Vol'!BH227</f>
        <v>7.8118961443816165E-2</v>
      </c>
      <c r="BI99" s="3004">
        <f>'EmVap-Vol'!BI227</f>
        <v>4.2310497535890743</v>
      </c>
      <c r="BJ99" s="3004"/>
    </row>
    <row r="100" spans="1:71" s="2554" customFormat="1" ht="12">
      <c r="A100" s="2553"/>
      <c r="C100" s="4139"/>
      <c r="D100" s="4140"/>
      <c r="E100" s="2554" t="s">
        <v>1041</v>
      </c>
      <c r="G100" s="2555" t="str">
        <f>'EmVap-Vol'!G225</f>
        <v>m</v>
      </c>
      <c r="H100" s="2556">
        <f>'EmVap-Vol'!H225</f>
        <v>11.580789333942086</v>
      </c>
      <c r="I100" s="2556">
        <f>'EmVap-Vol'!I225</f>
        <v>11.580789333942086</v>
      </c>
      <c r="J100" s="2556">
        <f>'EmVap-Vol'!J225</f>
        <v>76.024489047988112</v>
      </c>
      <c r="K100" s="2557">
        <f>'EmVap-Vol'!K225</f>
        <v>2419.7900242894834</v>
      </c>
      <c r="L100" s="2558">
        <f>'EmVap-Vol'!L225</f>
        <v>452.41859419237551</v>
      </c>
      <c r="M100" s="2558">
        <f>'EmVap-Vol'!M225</f>
        <v>452.41859419237551</v>
      </c>
      <c r="N100" s="2558">
        <f>'EmVap-Vol'!N225</f>
        <v>892.31075487959924</v>
      </c>
      <c r="O100" s="2558">
        <f>'EmVap-Vol'!O225</f>
        <v>892.31075487959924</v>
      </c>
      <c r="P100" s="2559">
        <f>'EmVap-Vol'!P225</f>
        <v>974.17231068159253</v>
      </c>
      <c r="Q100" s="2558">
        <f>'EmVap-Vol'!Q225</f>
        <v>974.17231068159253</v>
      </c>
      <c r="R100" s="2558">
        <f>'EmVap-Vol'!R225</f>
        <v>391.5905392775195</v>
      </c>
      <c r="S100" s="2558">
        <f>'EmVap-Vol'!S225</f>
        <v>367.38076262976642</v>
      </c>
      <c r="T100" s="2558">
        <f>'EmVap-Vol'!T225</f>
        <v>367.38076262976642</v>
      </c>
      <c r="U100" s="2558">
        <f>'EmVap-Vol'!U225</f>
        <v>1729.6125761388741</v>
      </c>
      <c r="V100" s="2558">
        <f>'EmVap-Vol'!V225</f>
        <v>2831.0326461996888</v>
      </c>
      <c r="W100" s="2558">
        <f>'EmVap-Vol'!W225</f>
        <v>2831.0326461996888</v>
      </c>
      <c r="X100" s="2557">
        <f>'EmVap-Vol'!X225</f>
        <v>543.10953265061062</v>
      </c>
      <c r="Y100" s="2558">
        <f>'EmVap-Vol'!Y225</f>
        <v>376.40690790052395</v>
      </c>
      <c r="Z100" s="2558">
        <f>'EmVap-Vol'!Z225</f>
        <v>222.91461234348682</v>
      </c>
      <c r="AA100" s="2559">
        <f>'EmVap-Vol'!AA225</f>
        <v>1046.8109840962682</v>
      </c>
      <c r="AB100" s="2558">
        <f>'EmVap-Vol'!AB225</f>
        <v>169.13038822723968</v>
      </c>
      <c r="AC100" s="2558">
        <f>'EmVap-Vol'!AC225</f>
        <v>33.003168862567257</v>
      </c>
      <c r="AD100" s="2558">
        <f>'EmVap-Vol'!AD225</f>
        <v>6.459819312394754</v>
      </c>
      <c r="AE100" s="2558">
        <f>'EmVap-Vol'!AE225</f>
        <v>0.80548981646529538</v>
      </c>
      <c r="AF100" s="2559">
        <f>'EmVap-Vol'!AF225</f>
        <v>3.3385515515627312E-3</v>
      </c>
      <c r="AG100" s="2558">
        <f>'EmVap-Vol'!AG225</f>
        <v>3889.7404424357464</v>
      </c>
      <c r="AH100" s="2558">
        <f>'EmVap-Vol'!AH225</f>
        <v>2912.402407369078</v>
      </c>
      <c r="AI100" s="2558">
        <f>'EmVap-Vol'!AI225</f>
        <v>1184.2249547795018</v>
      </c>
      <c r="AJ100" s="2558">
        <f>'EmVap-Vol'!AJ225</f>
        <v>281.89663657732621</v>
      </c>
      <c r="AK100" s="2558">
        <f>'EmVap-Vol'!AK225</f>
        <v>64.2641082161566</v>
      </c>
      <c r="AL100" s="2558">
        <f>'EmVap-Vol'!AL225</f>
        <v>4.8718043235456072</v>
      </c>
      <c r="AM100" s="2558">
        <f>'EmVap-Vol'!AM225</f>
        <v>3.3724087043273211E-2</v>
      </c>
      <c r="AN100" s="2557">
        <f>'EmVap-Vol'!AN225</f>
        <v>18.790023891079979</v>
      </c>
      <c r="AO100" s="2558">
        <f>'EmVap-Vol'!AO225</f>
        <v>0.73312579845056114</v>
      </c>
      <c r="AP100" s="2556">
        <f>'EmVap-Vol'!AP225</f>
        <v>1.2264831989577032</v>
      </c>
      <c r="AQ100" s="2556">
        <f>'EmVap-Vol'!AQ225</f>
        <v>0.49661985998967906</v>
      </c>
      <c r="AR100" s="2556">
        <f>'EmVap-Vol'!AR225</f>
        <v>9.943171176694704E-2</v>
      </c>
      <c r="AS100" s="2556">
        <f>'EmVap-Vol'!AS225</f>
        <v>0.12842796967466577</v>
      </c>
      <c r="AT100" s="2556">
        <f>'EmVap-Vol'!AT225</f>
        <v>9.3746645873532125E-3</v>
      </c>
      <c r="AU100" s="2556">
        <f>'EmVap-Vol'!AU225</f>
        <v>9.0185338942139221E-3</v>
      </c>
      <c r="AV100" s="2556">
        <f>'EmVap-Vol'!AV225</f>
        <v>1.4387705181061045E-3</v>
      </c>
      <c r="AW100" s="2556">
        <f>'EmVap-Vol'!AW225</f>
        <v>1.38637427401723E-3</v>
      </c>
      <c r="AX100" s="2556">
        <f>'EmVap-Vol'!AX225</f>
        <v>4.8797843591209082E-5</v>
      </c>
      <c r="AY100" s="2556">
        <f>'EmVap-Vol'!AY225</f>
        <v>3.3489769485975817E-5</v>
      </c>
      <c r="AZ100" s="3393">
        <f>'EmVap-Vol'!AZ225</f>
        <v>2.23638767032114E-5</v>
      </c>
      <c r="BA100" s="2556">
        <f>'EmVap-Vol'!BA225</f>
        <v>3.8624699411720137E-6</v>
      </c>
      <c r="BB100" s="2556">
        <f>'EmVap-Vol'!BB225</f>
        <v>6.1156045151905254E-5</v>
      </c>
      <c r="BC100" s="2556">
        <f>'EmVap-Vol'!BC225</f>
        <v>1.6246181233548372E-11</v>
      </c>
      <c r="BD100" s="3009">
        <f>'EmVap-Vol'!BD225</f>
        <v>5.8745403723414469E-2</v>
      </c>
      <c r="BE100" s="2560">
        <f>'EmVap-Vol'!BE225</f>
        <v>1.3038466938750132E-3</v>
      </c>
      <c r="BF100" s="2560">
        <f>'EmVap-Vol'!BF225</f>
        <v>1.3038466938750132E-3</v>
      </c>
      <c r="BG100" s="2560">
        <f>'EmVap-Vol'!BG225</f>
        <v>2367.7453136301756</v>
      </c>
      <c r="BH100" s="2560">
        <f>'EmVap-Vol'!BH225</f>
        <v>7.8118961443816165E-2</v>
      </c>
      <c r="BI100" s="2560">
        <f>'EmVap-Vol'!BI225</f>
        <v>4.2310497535890743</v>
      </c>
      <c r="BJ100" s="2560"/>
    </row>
    <row r="101" spans="1:71" s="2554" customFormat="1" ht="12">
      <c r="A101" s="2553"/>
      <c r="C101" s="4139"/>
      <c r="D101" s="4140"/>
      <c r="E101" s="2554" t="s">
        <v>1042</v>
      </c>
      <c r="G101" s="2555" t="str">
        <f>'EmVap-Vol'!G214</f>
        <v>m</v>
      </c>
      <c r="H101" s="2556">
        <f>'EmVap-Vol'!H214</f>
        <v>6.8749486759935377E-2</v>
      </c>
      <c r="I101" s="2556">
        <f>'EmVap-Vol'!I214</f>
        <v>6.8749486759935377E-2</v>
      </c>
      <c r="J101" s="2556">
        <f>'EmVap-Vol'!J214</f>
        <v>0.46390037541760965</v>
      </c>
      <c r="K101" s="2557">
        <f>'EmVap-Vol'!K214</f>
        <v>29.700698297436752</v>
      </c>
      <c r="L101" s="2558">
        <f>'EmVap-Vol'!L214</f>
        <v>3.8556834668556279</v>
      </c>
      <c r="M101" s="2558">
        <f>'EmVap-Vol'!M214</f>
        <v>3.8556834668556279</v>
      </c>
      <c r="N101" s="2558">
        <f>'EmVap-Vol'!N214</f>
        <v>8.162558968062271</v>
      </c>
      <c r="O101" s="2558">
        <f>'EmVap-Vol'!O214</f>
        <v>8.162558968062271</v>
      </c>
      <c r="P101" s="2559">
        <f>'EmVap-Vol'!P214</f>
        <v>8.1217831670425742</v>
      </c>
      <c r="Q101" s="2558">
        <f>'EmVap-Vol'!Q214</f>
        <v>8.1217831670425742</v>
      </c>
      <c r="R101" s="2558">
        <f>'EmVap-Vol'!R214</f>
        <v>46.250398125910159</v>
      </c>
      <c r="S101" s="2558">
        <f>'EmVap-Vol'!S214</f>
        <v>4.4241807685658934</v>
      </c>
      <c r="T101" s="2558">
        <f>'EmVap-Vol'!T214</f>
        <v>4.4241807685658934</v>
      </c>
      <c r="U101" s="2558">
        <f>'EmVap-Vol'!U214</f>
        <v>15.621637293243753</v>
      </c>
      <c r="V101" s="2558">
        <f>'EmVap-Vol'!V214</f>
        <v>9.336640795864211</v>
      </c>
      <c r="W101" s="2558">
        <f>'EmVap-Vol'!W214</f>
        <v>9.336640795864211</v>
      </c>
      <c r="X101" s="2557">
        <f>'EmVap-Vol'!X214</f>
        <v>5.15335491616477</v>
      </c>
      <c r="Y101" s="2558">
        <f>'EmVap-Vol'!Y214</f>
        <v>3.2083672252797437</v>
      </c>
      <c r="Z101" s="2558">
        <f>'EmVap-Vol'!Z214</f>
        <v>1.7423099778856468</v>
      </c>
      <c r="AA101" s="2559">
        <f>'EmVap-Vol'!AA214</f>
        <v>8.1819186430938853</v>
      </c>
      <c r="AB101" s="2558">
        <f>'EmVap-Vol'!AB214</f>
        <v>0.62016479548454517</v>
      </c>
      <c r="AC101" s="2558">
        <f>'EmVap-Vol'!AC214</f>
        <v>0.11170664251788653</v>
      </c>
      <c r="AD101" s="2558">
        <f>'EmVap-Vol'!AD214</f>
        <v>1.8949415606405794E-2</v>
      </c>
      <c r="AE101" s="2558">
        <f>'EmVap-Vol'!AE214</f>
        <v>1.8654051127586458E-3</v>
      </c>
      <c r="AF101" s="2559">
        <f>'EmVap-Vol'!AF214</f>
        <v>6.1208756211441444E-6</v>
      </c>
      <c r="AG101" s="2558">
        <f>'EmVap-Vol'!AG214</f>
        <v>21.130137008325065</v>
      </c>
      <c r="AH101" s="2558">
        <f>'EmVap-Vol'!AH214</f>
        <v>12.814984667862385</v>
      </c>
      <c r="AI101" s="2558">
        <f>'EmVap-Vol'!AI214</f>
        <v>4.0082755154567868</v>
      </c>
      <c r="AJ101" s="2556">
        <f>'EmVap-Vol'!AJ214</f>
        <v>0.77524080002644769</v>
      </c>
      <c r="AK101" s="3006">
        <f>'EmVap-Vol'!AK214</f>
        <v>0.14138560650137716</v>
      </c>
      <c r="AL101" s="3392">
        <f>'EmVap-Vol'!AL214</f>
        <v>7.9394932148588657E-3</v>
      </c>
      <c r="AM101" s="3006">
        <f>'EmVap-Vol'!AM214</f>
        <v>4.6372118051889427E-5</v>
      </c>
      <c r="AN101" s="3008">
        <f>'EmVap-Vol'!AN214</f>
        <v>6.4497056418008764E-2</v>
      </c>
      <c r="AO101" s="3006">
        <f>'EmVap-Vol'!AO214</f>
        <v>2.1194860358130022E-3</v>
      </c>
      <c r="AP101" s="3392">
        <f>'EmVap-Vol'!AP214</f>
        <v>3.4995787903578891E-3</v>
      </c>
      <c r="AQ101" s="3006">
        <f>'EmVap-Vol'!AQ214</f>
        <v>1.3148002356630764E-3</v>
      </c>
      <c r="AR101" s="3006">
        <f>'EmVap-Vol'!AR214</f>
        <v>2.4551833256797345E-4</v>
      </c>
      <c r="AS101" s="3006">
        <f>'EmVap-Vol'!AS214</f>
        <v>3.1711634456740617E-4</v>
      </c>
      <c r="AT101" s="3006">
        <f>'EmVap-Vol'!AT214</f>
        <v>2.0390438478587708E-5</v>
      </c>
      <c r="AU101" s="3006">
        <f>'EmVap-Vol'!AU214</f>
        <v>1.9615833593140415E-5</v>
      </c>
      <c r="AV101" s="3006">
        <f>'EmVap-Vol'!AV214</f>
        <v>2.7730156982701145E-6</v>
      </c>
      <c r="AW101" s="3006">
        <f>'EmVap-Vol'!AW214</f>
        <v>2.6720297484189191E-6</v>
      </c>
      <c r="AX101" s="3006">
        <f>'EmVap-Vol'!AX214</f>
        <v>8.5097277152918891E-8</v>
      </c>
      <c r="AY101" s="3006">
        <f>'EmVap-Vol'!AY214</f>
        <v>5.8401928978862845E-8</v>
      </c>
      <c r="AZ101" s="3393">
        <f>'EmVap-Vol'!AZ214</f>
        <v>3.9002868455736859E-8</v>
      </c>
      <c r="BA101" s="3006">
        <f>'EmVap-Vol'!BA214</f>
        <v>6.1046756084612246E-9</v>
      </c>
      <c r="BB101" s="3006">
        <f>'EmVap-Vol'!BB214</f>
        <v>1.0027399524006756E-7</v>
      </c>
      <c r="BC101" s="3006">
        <f>'EmVap-Vol'!BC214</f>
        <v>2.5872423906708577E-14</v>
      </c>
      <c r="BD101" s="3395">
        <f>'EmVap-Vol'!BD214</f>
        <v>5.5779017225097765E-4</v>
      </c>
      <c r="BE101" s="2560">
        <f>'EmVap-Vol'!BE214</f>
        <v>2.2280042056407152E-6</v>
      </c>
      <c r="BF101" s="2560">
        <f>'EmVap-Vol'!BF214</f>
        <v>2.2280042056407152E-6</v>
      </c>
      <c r="BG101" s="2560">
        <f>'EmVap-Vol'!BG214</f>
        <v>8.4169834671120878</v>
      </c>
      <c r="BH101" s="2560">
        <f>'EmVap-Vol'!BH214</f>
        <v>4.8846486842557806E-4</v>
      </c>
      <c r="BI101" s="2560">
        <f>'EmVap-Vol'!BI214</f>
        <v>8.230771156047148E-2</v>
      </c>
      <c r="BJ101" s="2560"/>
    </row>
    <row r="102" spans="1:71" s="2554" customFormat="1" ht="12">
      <c r="A102" s="2553"/>
      <c r="C102" s="4139"/>
      <c r="D102" s="4140"/>
      <c r="E102" s="2554" t="s">
        <v>1043</v>
      </c>
      <c r="G102" s="2555" t="str">
        <f>'EmVap-Vol'!G307</f>
        <v>m</v>
      </c>
      <c r="H102" s="2556">
        <f>'EmVap-Vol'!H307</f>
        <v>0.93224883782186008</v>
      </c>
      <c r="I102" s="2556">
        <f>'EmVap-Vol'!I307</f>
        <v>0.93224883782186008</v>
      </c>
      <c r="J102" s="2556">
        <f>'EmVap-Vol'!J307</f>
        <v>2.4504680986035599</v>
      </c>
      <c r="K102" s="2557">
        <f>'EmVap-Vol'!K307</f>
        <v>14.012465036618465</v>
      </c>
      <c r="L102" s="2558">
        <f>'EmVap-Vol'!L307</f>
        <v>6.0358785442563425</v>
      </c>
      <c r="M102" s="2558">
        <f>'EmVap-Vol'!M307</f>
        <v>6.0358785442563425</v>
      </c>
      <c r="N102" s="2558">
        <f>'EmVap-Vol'!N307</f>
        <v>8.4931370941090218</v>
      </c>
      <c r="O102" s="2558">
        <f>'EmVap-Vol'!O307</f>
        <v>8.4931370941090218</v>
      </c>
      <c r="P102" s="2559">
        <f>'EmVap-Vol'!P307</f>
        <v>8.8759966800926939</v>
      </c>
      <c r="Q102" s="2558">
        <f>'EmVap-Vol'!Q307</f>
        <v>8.8759966800926939</v>
      </c>
      <c r="R102" s="2558">
        <f>'EmVap-Vol'!R307</f>
        <v>5.6126507671476906</v>
      </c>
      <c r="S102" s="2558">
        <f>'EmVap-Vol'!S307</f>
        <v>5.4351118808576491</v>
      </c>
      <c r="T102" s="2558">
        <f>'EmVap-Vol'!T307</f>
        <v>5.4351118808576491</v>
      </c>
      <c r="U102" s="2558">
        <f>'EmVap-Vol'!U307</f>
        <v>11.840487349093948</v>
      </c>
      <c r="V102" s="2558">
        <f>'EmVap-Vol'!V307</f>
        <v>15.159794964658312</v>
      </c>
      <c r="W102" s="2558">
        <f>'EmVap-Vol'!W307</f>
        <v>15.159794964658312</v>
      </c>
      <c r="X102" s="2557">
        <f>'EmVap-Vol'!X307</f>
        <v>6.6171137734665999</v>
      </c>
      <c r="Y102" s="2558">
        <f>'EmVap-Vol'!Y307</f>
        <v>5.5019687017575443</v>
      </c>
      <c r="Z102" s="2558">
        <f>'EmVap-Vol'!Z307</f>
        <v>4.2247511386590997</v>
      </c>
      <c r="AA102" s="2559">
        <f>'EmVap-Vol'!AA307</f>
        <v>9.2024522842271743</v>
      </c>
      <c r="AB102" s="2558">
        <f>'EmVap-Vol'!AB307</f>
        <v>3.6747482779731615</v>
      </c>
      <c r="AC102" s="2558">
        <f>'EmVap-Vol'!AC307</f>
        <v>1.6009112022299632</v>
      </c>
      <c r="AD102" s="2558">
        <f>'EmVap-Vol'!AD307</f>
        <v>0.6864389115248124</v>
      </c>
      <c r="AE102" s="2558">
        <f>'EmVap-Vol'!AE307</f>
        <v>0.21881858416099922</v>
      </c>
      <c r="AF102" s="2559">
        <f>'EmVap-Vol'!AF307</f>
        <v>3.2121322946629047E-3</v>
      </c>
      <c r="AG102" s="2558">
        <f>'EmVap-Vol'!AG307</f>
        <v>17.776753287161945</v>
      </c>
      <c r="AH102" s="2558">
        <f>'EmVap-Vol'!AH307</f>
        <v>15.376694363083754</v>
      </c>
      <c r="AI102" s="2558">
        <f>'EmVap-Vol'!AI307</f>
        <v>9.7904175498435624</v>
      </c>
      <c r="AJ102" s="2558">
        <f>'EmVap-Vol'!AJ307</f>
        <v>4.7559464310587494</v>
      </c>
      <c r="AK102" s="2556">
        <f>'EmVap-Vol'!AK307</f>
        <v>2.2497432508316568</v>
      </c>
      <c r="AL102" s="2556">
        <f>'EmVap-Vol'!AL307</f>
        <v>0.59107894681499318</v>
      </c>
      <c r="AM102" s="2558">
        <f>'EmVap-Vol'!AM307</f>
        <v>2.5657896425340963E-2</v>
      </c>
      <c r="AN102" s="3007">
        <f>'EmVap-Vol'!AN307</f>
        <v>1.1982344890885093</v>
      </c>
      <c r="AO102" s="2556">
        <f>'EmVap-Vol'!AO307</f>
        <v>0.2071837757034965</v>
      </c>
      <c r="AP102" s="2556">
        <f>'EmVap-Vol'!AP307</f>
        <v>0.27819927913385528</v>
      </c>
      <c r="AQ102" s="2556">
        <f>'EmVap-Vol'!AQ307</f>
        <v>0.16461184763154252</v>
      </c>
      <c r="AR102" s="2556">
        <f>'EmVap-Vol'!AR307</f>
        <v>5.8088401892143822E-2</v>
      </c>
      <c r="AS102" s="2556">
        <f>'EmVap-Vol'!AS307</f>
        <v>6.9405661911265348E-2</v>
      </c>
      <c r="AT102" s="2556">
        <f>'EmVap-Vol'!AT307</f>
        <v>8.491241455553751E-3</v>
      </c>
      <c r="AU102" s="2556">
        <f>'EmVap-Vol'!AU307</f>
        <v>8.1955637955208674E-3</v>
      </c>
      <c r="AV102" s="2556">
        <f>'EmVap-Vol'!AV307</f>
        <v>1.4142636865225808E-3</v>
      </c>
      <c r="AW102" s="2556">
        <f>'EmVap-Vol'!AW307</f>
        <v>1.3635920911815522E-3</v>
      </c>
      <c r="AX102" s="2556">
        <f>'EmVap-Vol'!AX307</f>
        <v>4.8768702300423794E-5</v>
      </c>
      <c r="AY102" s="2556">
        <f>'EmVap-Vol'!AY307</f>
        <v>3.347603872810162E-5</v>
      </c>
      <c r="AZ102" s="3393">
        <f>'EmVap-Vol'!AZ307</f>
        <v>2.2357752033741463E-5</v>
      </c>
      <c r="BA102" s="2556">
        <f>'EmVap-Vol'!BA307</f>
        <v>3.8622871667143288E-6</v>
      </c>
      <c r="BB102" s="2556">
        <f>'EmVap-Vol'!BB307</f>
        <v>6.1110288414281677E-5</v>
      </c>
      <c r="BC102" s="2556">
        <f>'EmVap-Vol'!BC307</f>
        <v>1.624618495288388E-11</v>
      </c>
      <c r="BD102" s="3009">
        <f>'EmVap-Vol'!BD307</f>
        <v>3.9565202227431005E-2</v>
      </c>
      <c r="BE102" s="2560">
        <f>'EmVap-Vol'!BE307</f>
        <v>1.2836572416486253E-3</v>
      </c>
      <c r="BF102" s="2560">
        <f>'EmVap-Vol'!BF307</f>
        <v>1.2836572416486253E-3</v>
      </c>
      <c r="BG102" s="2560">
        <f>'EmVap-Vol'!BG307</f>
        <v>13.860516341045496</v>
      </c>
      <c r="BH102" s="2560">
        <f>'EmVap-Vol'!BH307</f>
        <v>4.8863850209885977E-2</v>
      </c>
      <c r="BI102" s="2560">
        <f>'EmVap-Vol'!BI307</f>
        <v>0.54824673317189843</v>
      </c>
      <c r="BJ102" s="2560"/>
    </row>
    <row r="103" spans="1:71" s="2554" customFormat="1" ht="12">
      <c r="A103" s="2553"/>
      <c r="C103" s="4139"/>
      <c r="D103" s="4140"/>
      <c r="E103" s="2554" t="s">
        <v>1044</v>
      </c>
      <c r="G103" s="2555" t="str">
        <f>'EmVap-Vol'!G253</f>
        <v>m</v>
      </c>
      <c r="H103" s="2556">
        <f>'EmVap-Vol'!H253</f>
        <v>6.6691318807655442E-2</v>
      </c>
      <c r="I103" s="2556">
        <f>'EmVap-Vol'!I253</f>
        <v>6.6691318807655442E-2</v>
      </c>
      <c r="J103" s="2556">
        <f>'EmVap-Vol'!J253</f>
        <v>0.38141072592589642</v>
      </c>
      <c r="K103" s="2557">
        <f>'EmVap-Vol'!K253</f>
        <v>6.2913815540444684</v>
      </c>
      <c r="L103" s="2558">
        <f>'EmVap-Vol'!L253</f>
        <v>1.8449222537188992</v>
      </c>
      <c r="M103" s="2558">
        <f>'EmVap-Vol'!M253</f>
        <v>1.8449222537188992</v>
      </c>
      <c r="N103" s="2558">
        <f>'EmVap-Vol'!N253</f>
        <v>2.964908978460941</v>
      </c>
      <c r="O103" s="2558">
        <f>'EmVap-Vol'!O253</f>
        <v>2.964908978460941</v>
      </c>
      <c r="P103" s="2559">
        <f>'EmVap-Vol'!P253</f>
        <v>2.9557161383523862</v>
      </c>
      <c r="Q103" s="2558">
        <f>'EmVap-Vol'!Q253</f>
        <v>2.9557161383523862</v>
      </c>
      <c r="R103" s="2558">
        <f>'EmVap-Vol'!R253</f>
        <v>8.038280476986758</v>
      </c>
      <c r="S103" s="2558">
        <f>'EmVap-Vol'!S253</f>
        <v>2.0178774386633842</v>
      </c>
      <c r="T103" s="2558">
        <f>'EmVap-Vol'!T253</f>
        <v>2.0178774386633842</v>
      </c>
      <c r="U103" s="2558">
        <f>'EmVap-Vol'!U253</f>
        <v>4.3632920706879528</v>
      </c>
      <c r="V103" s="2558">
        <f>'EmVap-Vol'!V253</f>
        <v>3.2168166770910833</v>
      </c>
      <c r="W103" s="2558">
        <f>'EmVap-Vol'!W253</f>
        <v>3.2168166770910833</v>
      </c>
      <c r="X103" s="2557">
        <f>'EmVap-Vol'!X253</f>
        <v>2.2255427049488135</v>
      </c>
      <c r="Y103" s="2558">
        <f>'EmVap-Vol'!Y253</f>
        <v>1.6326378547961271</v>
      </c>
      <c r="Z103" s="2558">
        <f>'EmVap-Vol'!Z253</f>
        <v>1.0679857552233689</v>
      </c>
      <c r="AA103" s="2559">
        <f>'EmVap-Vol'!AA253</f>
        <v>2.969490732041534</v>
      </c>
      <c r="AB103" s="2558">
        <f>'EmVap-Vol'!AB253</f>
        <v>0.48250356190703869</v>
      </c>
      <c r="AC103" s="2558">
        <f>'EmVap-Vol'!AC253</f>
        <v>0.10516973236302807</v>
      </c>
      <c r="AD103" s="2558">
        <f>'EmVap-Vol'!AD253</f>
        <v>1.8742059396381294E-2</v>
      </c>
      <c r="AE103" s="2558">
        <f>'EmVap-Vol'!AE253</f>
        <v>1.8633672728562978E-3</v>
      </c>
      <c r="AF103" s="2559">
        <f>'EmVap-Vol'!AF253</f>
        <v>6.1208563411074834E-6</v>
      </c>
      <c r="AG103" s="2558">
        <f>'EmVap-Vol'!AG253</f>
        <v>5.1913237114242818</v>
      </c>
      <c r="AH103" s="2558">
        <f>'EmVap-Vol'!AH253</f>
        <v>3.8856188915726477</v>
      </c>
      <c r="AI103" s="2556">
        <f>'EmVap-Vol'!AI253</f>
        <v>1.8917432081321797</v>
      </c>
      <c r="AJ103" s="2556">
        <f>'EmVap-Vol'!AJ253</f>
        <v>0.57779489879065071</v>
      </c>
      <c r="AK103" s="3006">
        <f>'EmVap-Vol'!AK253</f>
        <v>0.13120442947594957</v>
      </c>
      <c r="AL103" s="3392">
        <f>'EmVap-Vol'!AL253</f>
        <v>7.9025583519081177E-3</v>
      </c>
      <c r="AM103" s="3006">
        <f>'EmVap-Vol'!AM253</f>
        <v>4.6370846332965954E-5</v>
      </c>
      <c r="AN103" s="3008">
        <f>'EmVap-Vol'!AN253</f>
        <v>6.2258197744282207E-2</v>
      </c>
      <c r="AO103" s="3006">
        <f>'EmVap-Vol'!AO253</f>
        <v>2.1169116075306915E-3</v>
      </c>
      <c r="AP103" s="3392">
        <f>'EmVap-Vol'!AP253</f>
        <v>3.4925087831216839E-3</v>
      </c>
      <c r="AQ103" s="3006">
        <f>'EmVap-Vol'!AQ253</f>
        <v>1.3138104041944265E-3</v>
      </c>
      <c r="AR103" s="3006">
        <f>'EmVap-Vol'!AR253</f>
        <v>2.4548521915412902E-4</v>
      </c>
      <c r="AS103" s="3006">
        <f>'EmVap-Vol'!AS253</f>
        <v>3.1706038734979902E-4</v>
      </c>
      <c r="AT103" s="3006">
        <f>'EmVap-Vol'!AT253</f>
        <v>2.0390240147216687E-5</v>
      </c>
      <c r="AU103" s="3006">
        <f>'EmVap-Vol'!AU253</f>
        <v>1.9615654342830524E-5</v>
      </c>
      <c r="AV103" s="3006">
        <f>'EmVap-Vol'!AV253</f>
        <v>2.7730125120584148E-6</v>
      </c>
      <c r="AW103" s="3006">
        <f>'EmVap-Vol'!AW253</f>
        <v>2.6720270338564944E-6</v>
      </c>
      <c r="AX103" s="3006">
        <f>'EmVap-Vol'!AX253</f>
        <v>8.5097276780743414E-8</v>
      </c>
      <c r="AY103" s="3006">
        <f>'EmVap-Vol'!AY253</f>
        <v>5.8401928626494737E-8</v>
      </c>
      <c r="AZ103" s="3393">
        <f>'EmVap-Vol'!AZ253</f>
        <v>3.9002866714099582E-8</v>
      </c>
      <c r="BA103" s="3006">
        <f>'EmVap-Vol'!BA253</f>
        <v>6.1046740995607252E-9</v>
      </c>
      <c r="BB103" s="3006">
        <f>'EmVap-Vol'!BB253</f>
        <v>1.002739939970354E-7</v>
      </c>
      <c r="BC103" s="3006">
        <f>'EmVap-Vol'!BC253</f>
        <v>0</v>
      </c>
      <c r="BD103" s="3395">
        <f>'EmVap-Vol'!BD253</f>
        <v>5.5776946688723683E-4</v>
      </c>
      <c r="BE103" s="2560">
        <f>'EmVap-Vol'!BE253</f>
        <v>2.2280019369436133E-6</v>
      </c>
      <c r="BF103" s="2560">
        <f>'EmVap-Vol'!BF253</f>
        <v>2.2280019369436133E-6</v>
      </c>
      <c r="BG103" s="2560">
        <f>'EmVap-Vol'!BG253</f>
        <v>3.0214505838352692</v>
      </c>
      <c r="BH103" s="2560">
        <f>'EmVap-Vol'!BH253</f>
        <v>4.884446577788637E-4</v>
      </c>
      <c r="BI103" s="2560">
        <f>'EmVap-Vol'!BI253</f>
        <v>8.0139554942425084E-2</v>
      </c>
      <c r="BJ103" s="2560"/>
    </row>
    <row r="104" spans="1:71" s="3350" customFormat="1" ht="15.75" customHeight="1" thickBot="1">
      <c r="A104" s="3349"/>
      <c r="C104" s="4141"/>
      <c r="D104" s="4142"/>
      <c r="E104" s="3350" t="s">
        <v>1046</v>
      </c>
      <c r="G104" s="3351" t="s">
        <v>73</v>
      </c>
      <c r="H104" s="3352">
        <f>'EmVap-Vol'!H316</f>
        <v>0.99894015662951541</v>
      </c>
      <c r="I104" s="3352">
        <f>'EmVap-Vol'!I316</f>
        <v>0.99894015662951541</v>
      </c>
      <c r="J104" s="3352">
        <f>'EmVap-Vol'!J316</f>
        <v>2.8318788245294559</v>
      </c>
      <c r="K104" s="3353">
        <f>'EmVap-Vol'!K316</f>
        <v>20.303846590662936</v>
      </c>
      <c r="L104" s="3354">
        <f>'EmVap-Vol'!L316</f>
        <v>7.8808007979752412</v>
      </c>
      <c r="M104" s="3354">
        <f>'EmVap-Vol'!M316</f>
        <v>7.8808007979752412</v>
      </c>
      <c r="N104" s="3354">
        <f>'EmVap-Vol'!N316</f>
        <v>11.458046072569964</v>
      </c>
      <c r="O104" s="3354">
        <f>'EmVap-Vol'!O316</f>
        <v>11.458046072569964</v>
      </c>
      <c r="P104" s="3355">
        <f>'EmVap-Vol'!P316</f>
        <v>11.831712818445082</v>
      </c>
      <c r="Q104" s="3354">
        <f>'EmVap-Vol'!Q316</f>
        <v>11.831712818445082</v>
      </c>
      <c r="R104" s="3354">
        <f>'EmVap-Vol'!R316</f>
        <v>13.650931244134451</v>
      </c>
      <c r="S104" s="3354">
        <f>'EmVap-Vol'!S316</f>
        <v>7.4529893195210333</v>
      </c>
      <c r="T104" s="3354">
        <f>'EmVap-Vol'!T316</f>
        <v>7.4529893195210333</v>
      </c>
      <c r="U104" s="3354">
        <f>'EmVap-Vol'!U316</f>
        <v>16.203779419781899</v>
      </c>
      <c r="V104" s="3354">
        <f>'EmVap-Vol'!V316</f>
        <v>18.376611641749395</v>
      </c>
      <c r="W104" s="3354">
        <f>'EmVap-Vol'!W316</f>
        <v>18.376611641749395</v>
      </c>
      <c r="X104" s="3353">
        <f>'EmVap-Vol'!X316</f>
        <v>8.8426564784154138</v>
      </c>
      <c r="Y104" s="3354">
        <f>'EmVap-Vol'!Y316</f>
        <v>7.1346065565536723</v>
      </c>
      <c r="Z104" s="3354">
        <f>'EmVap-Vol'!Z316</f>
        <v>5.292736893882469</v>
      </c>
      <c r="AA104" s="3355">
        <f>'EmVap-Vol'!AA316</f>
        <v>12.171943016268708</v>
      </c>
      <c r="AB104" s="3354">
        <f>'EmVap-Vol'!AB316</f>
        <v>4.1572518398802005</v>
      </c>
      <c r="AC104" s="3352">
        <f>'EmVap-Vol'!AC316</f>
        <v>1.7060809345929908</v>
      </c>
      <c r="AD104" s="3352">
        <f>'EmVap-Vol'!AD316</f>
        <v>0.70518097092119381</v>
      </c>
      <c r="AE104" s="3352">
        <f>'EmVap-Vol'!AE316</f>
        <v>0.22068195143385555</v>
      </c>
      <c r="AF104" s="3356">
        <f>'EmVap-Vol'!AF316</f>
        <v>3.2182531510040126E-3</v>
      </c>
      <c r="AG104" s="3354">
        <f>'EmVap-Vol'!AG316</f>
        <v>22.968076998586223</v>
      </c>
      <c r="AH104" s="3354">
        <f>'EmVap-Vol'!AH316</f>
        <v>19.262313254656402</v>
      </c>
      <c r="AI104" s="3354">
        <f>'EmVap-Vol'!AI316</f>
        <v>11.68216075797574</v>
      </c>
      <c r="AJ104" s="3354">
        <f>'EmVap-Vol'!AJ316</f>
        <v>5.333741329849401</v>
      </c>
      <c r="AK104" s="3352">
        <f>'EmVap-Vol'!AK316</f>
        <v>2.3809476803076062</v>
      </c>
      <c r="AL104" s="3352">
        <f>'EmVap-Vol'!AL316</f>
        <v>0.5989815051669013</v>
      </c>
      <c r="AM104" s="3354">
        <f>'EmVap-Vol'!AM316</f>
        <v>2.5704267271673929E-2</v>
      </c>
      <c r="AN104" s="3357">
        <f>'EmVap-Vol'!AN316</f>
        <v>1.2604926868327915</v>
      </c>
      <c r="AO104" s="3352">
        <f>'EmVap-Vol'!AO316</f>
        <v>0.20930068731102713</v>
      </c>
      <c r="AP104" s="3352">
        <f>'EmVap-Vol'!AP316</f>
        <v>0.28169178791697697</v>
      </c>
      <c r="AQ104" s="3352">
        <f>'EmVap-Vol'!AQ316</f>
        <v>0.16592565803573694</v>
      </c>
      <c r="AR104" s="3352">
        <f>'EmVap-Vol'!AR316</f>
        <v>5.8333887111297951E-2</v>
      </c>
      <c r="AS104" s="3352">
        <f>'EmVap-Vol'!AS316</f>
        <v>6.9722722298615147E-2</v>
      </c>
      <c r="AT104" s="3352">
        <f>'EmVap-Vol'!AT316</f>
        <v>8.5116316957009677E-3</v>
      </c>
      <c r="AU104" s="3352">
        <f>'EmVap-Vol'!AU316</f>
        <v>8.2151794498636962E-3</v>
      </c>
      <c r="AV104" s="3358">
        <f>'EmVap-Vol'!AV316</f>
        <v>1.4170366990346392E-3</v>
      </c>
      <c r="AW104" s="3358">
        <f>'EmVap-Vol'!AW316</f>
        <v>1.3662641182154084E-3</v>
      </c>
      <c r="AX104" s="3358">
        <f>'EmVap-Vol'!AX316</f>
        <v>4.8797843591209082E-5</v>
      </c>
      <c r="AY104" s="3358">
        <f>'EmVap-Vol'!AY316</f>
        <v>3.3489769485975817E-5</v>
      </c>
      <c r="AZ104" s="3394">
        <f>'EmVap-Vol'!AZ316</f>
        <v>2.23638767032114E-5</v>
      </c>
      <c r="BA104" s="3358">
        <f>'EmVap-Vol'!BA316</f>
        <v>3.8624699411720137E-6</v>
      </c>
      <c r="BB104" s="3358">
        <f>'EmVap-Vol'!BB316</f>
        <v>6.1156045151905254E-5</v>
      </c>
      <c r="BC104" s="3358">
        <f>'EmVap-Vol'!BC316</f>
        <v>1.6246181233548372E-11</v>
      </c>
      <c r="BD104" s="3359">
        <f>'EmVap-Vol'!BD316</f>
        <v>4.0122971694318242E-2</v>
      </c>
      <c r="BE104" s="3360">
        <f>'EmVap-Vol'!BE316</f>
        <v>1.2858852435855691E-3</v>
      </c>
      <c r="BF104" s="3360">
        <f>'EmVap-Vol'!BF316</f>
        <v>1.2858852435855691E-3</v>
      </c>
      <c r="BG104" s="3361">
        <f>'EmVap-Vol'!BG316</f>
        <v>16.881966924880764</v>
      </c>
      <c r="BH104" s="3361">
        <f>'EmVap-Vol'!BH316</f>
        <v>4.9352294867664834E-2</v>
      </c>
      <c r="BI104" s="3361">
        <f>'EmVap-Vol'!BI316</f>
        <v>0.62838628811432362</v>
      </c>
      <c r="BJ104" s="3361"/>
    </row>
    <row r="105" spans="1:71" s="3003" customFormat="1">
      <c r="C105" s="2564"/>
      <c r="D105" s="2565"/>
      <c r="E105" s="4134" t="s">
        <v>1252</v>
      </c>
      <c r="F105" s="4134"/>
      <c r="G105" s="4134"/>
      <c r="H105" s="4134"/>
      <c r="I105" s="4134"/>
      <c r="J105" s="4134"/>
      <c r="K105" s="4134"/>
      <c r="L105" s="4134"/>
      <c r="M105" s="4134"/>
      <c r="N105" s="4134"/>
      <c r="O105" s="4134"/>
      <c r="P105" s="4134"/>
      <c r="Q105" s="4134"/>
      <c r="R105" s="4134"/>
      <c r="S105" s="4134"/>
      <c r="T105" s="4134"/>
      <c r="U105" s="4134"/>
      <c r="V105" s="4134"/>
      <c r="W105" s="4134"/>
      <c r="X105" s="4134"/>
      <c r="Y105" s="4134"/>
      <c r="Z105" s="4134"/>
      <c r="AA105" s="4134"/>
      <c r="AB105" s="3362"/>
      <c r="AC105" s="3362"/>
      <c r="AD105" s="3362"/>
      <c r="AE105" s="3362"/>
      <c r="AF105" s="3363"/>
      <c r="AG105" s="3362"/>
      <c r="AH105" s="3362"/>
      <c r="AI105" s="3362"/>
      <c r="AJ105" s="3362"/>
      <c r="AK105" s="3362"/>
      <c r="AL105" s="3362"/>
      <c r="AM105" s="3362"/>
      <c r="AN105" s="3364"/>
      <c r="AO105" s="3362"/>
      <c r="AP105" s="3362"/>
      <c r="AQ105" s="3362"/>
      <c r="AR105" s="3362"/>
      <c r="AS105" s="3362"/>
      <c r="AT105" s="3362"/>
      <c r="AU105" s="3362"/>
      <c r="AV105" s="3362"/>
      <c r="AW105" s="3362"/>
      <c r="AX105" s="3362"/>
      <c r="AY105" s="3362"/>
      <c r="AZ105" s="3363"/>
      <c r="BA105" s="3362"/>
      <c r="BB105" s="3362"/>
      <c r="BC105" s="3362"/>
      <c r="BD105" s="3365"/>
      <c r="BE105" s="3362"/>
      <c r="BF105" s="3362"/>
      <c r="BG105" s="3362"/>
      <c r="BH105" s="3362"/>
      <c r="BI105" s="3362"/>
      <c r="BJ105" s="3362"/>
    </row>
    <row r="106" spans="1:71" s="1671" customFormat="1">
      <c r="C106" s="4149" t="s">
        <v>1017</v>
      </c>
      <c r="D106" s="4150"/>
      <c r="E106" s="2608" t="s">
        <v>1023</v>
      </c>
      <c r="F106" s="3158" t="str">
        <f>ExpoRisk!F162</f>
        <v>Cs</v>
      </c>
      <c r="G106" s="2613" t="str">
        <f>ExpoRisk!G162</f>
        <v>mg/kg ms</v>
      </c>
      <c r="H106" s="3366">
        <f>ExpoRisk!H162</f>
        <v>387.14361918689377</v>
      </c>
      <c r="I106" s="3366">
        <f>ExpoRisk!I162</f>
        <v>387.14361918689377</v>
      </c>
      <c r="J106" s="3366">
        <f>ExpoRisk!J162</f>
        <v>1603.3602156782929</v>
      </c>
      <c r="K106" s="3367">
        <f>ExpoRisk!K162</f>
        <v>1.5697919999999999</v>
      </c>
      <c r="L106" s="3005">
        <f>ExpoRisk!L162</f>
        <v>1.6819199999999999</v>
      </c>
      <c r="M106" s="3005">
        <f>ExpoRisk!M162</f>
        <v>1.6819199999999999</v>
      </c>
      <c r="N106" s="3005">
        <f>ExpoRisk!N162</f>
        <v>4.9055999999999989</v>
      </c>
      <c r="O106" s="3005">
        <f>ExpoRisk!O162</f>
        <v>4.9055999999999989</v>
      </c>
      <c r="P106" s="3368">
        <f>ExpoRisk!P162</f>
        <v>0.9811200000000001</v>
      </c>
      <c r="Q106" s="3366">
        <f>ExpoRisk!Q162</f>
        <v>0.9811200000000001</v>
      </c>
      <c r="R106" s="3366">
        <f>ExpoRisk!R162</f>
        <v>9.8111999999999977</v>
      </c>
      <c r="S106" s="3366">
        <f>ExpoRisk!S162</f>
        <v>0.42657391304347808</v>
      </c>
      <c r="T106" s="3366">
        <f>ExpoRisk!T162</f>
        <v>0.42657391304347808</v>
      </c>
      <c r="U106" s="3366">
        <f>ExpoRisk!U162</f>
        <v>0.2336</v>
      </c>
      <c r="V106" s="3366">
        <f>ExpoRisk!V162</f>
        <v>28.031999999999996</v>
      </c>
      <c r="W106" s="3366">
        <f>ExpoRisk!W162</f>
        <v>28.031999999999996</v>
      </c>
      <c r="X106" s="3367">
        <f>ExpoRisk!X162</f>
        <v>0.26910720000000005</v>
      </c>
      <c r="Y106" s="3005">
        <f>ExpoRisk!Y162</f>
        <v>7.2883200000000024</v>
      </c>
      <c r="Z106" s="3005">
        <f>ExpoRisk!Z162</f>
        <v>3.9244799999999995</v>
      </c>
      <c r="AA106" s="3368">
        <f>ExpoRisk!AA162</f>
        <v>19.622400000000003</v>
      </c>
      <c r="AB106" s="3005">
        <f>ExpoRisk!AB162</f>
        <v>7.0037170154561172</v>
      </c>
      <c r="AC106" s="3005">
        <f>ExpoRisk!AC162</f>
        <v>38.872651501774577</v>
      </c>
      <c r="AD106" s="3005" t="str">
        <f>ExpoRisk!AD162</f>
        <v>PVL</v>
      </c>
      <c r="AE106" s="3005" t="str">
        <f>ExpoRisk!AE162</f>
        <v>PVL</v>
      </c>
      <c r="AF106" s="3368" t="str">
        <f>ExpoRisk!AF162</f>
        <v>PVL</v>
      </c>
      <c r="AG106" s="3366" t="str">
        <f>ExpoRisk!AG162</f>
        <v>PVL</v>
      </c>
      <c r="AH106" s="3366" t="str">
        <f>ExpoRisk!AH162</f>
        <v>PVL</v>
      </c>
      <c r="AI106" s="3366" t="str">
        <f>ExpoRisk!AI162</f>
        <v>PVL</v>
      </c>
      <c r="AJ106" s="3366" t="str">
        <f>ExpoRisk!AJ162</f>
        <v>PVL</v>
      </c>
      <c r="AK106" s="3366" t="str">
        <f>ExpoRisk!AK162</f>
        <v>PVL</v>
      </c>
      <c r="AL106" s="3366" t="str">
        <f>ExpoRisk!AL162</f>
        <v>PVL</v>
      </c>
      <c r="AM106" s="3366" t="str">
        <f>ExpoRisk!AM162</f>
        <v>PVL</v>
      </c>
      <c r="AN106" s="3367">
        <f>ExpoRisk!AN162</f>
        <v>0.6437567795064606</v>
      </c>
      <c r="AO106" s="3005" t="str">
        <f>ExpoRisk!AO162</f>
        <v>PVL</v>
      </c>
      <c r="AP106" s="3005" t="str">
        <f>ExpoRisk!AP162</f>
        <v>PVL</v>
      </c>
      <c r="AQ106" s="3005" t="str">
        <f>ExpoRisk!AQ162</f>
        <v>PVL</v>
      </c>
      <c r="AR106" s="3005" t="str">
        <f>ExpoRisk!AR162</f>
        <v>PVL</v>
      </c>
      <c r="AS106" s="3005" t="str">
        <f>ExpoRisk!AS162</f>
        <v>PVL</v>
      </c>
      <c r="AT106" s="3005" t="str">
        <f>ExpoRisk!AT162</f>
        <v>PVL</v>
      </c>
      <c r="AU106" s="3005" t="str">
        <f>ExpoRisk!AU162</f>
        <v>PVL</v>
      </c>
      <c r="AV106" s="3005" t="str">
        <f>ExpoRisk!AV162</f>
        <v>PVL</v>
      </c>
      <c r="AW106" s="3005" t="str">
        <f>ExpoRisk!AW162</f>
        <v>PVL</v>
      </c>
      <c r="AX106" s="3005" t="str">
        <f>ExpoRisk!AX162</f>
        <v>PVL</v>
      </c>
      <c r="AY106" s="3005" t="str">
        <f>ExpoRisk!AY162</f>
        <v>PVL</v>
      </c>
      <c r="AZ106" s="3368" t="str">
        <f>ExpoRisk!AZ162</f>
        <v>PVL</v>
      </c>
      <c r="BA106" s="3366" t="str">
        <f>ExpoRisk!BA162</f>
        <v>PVL</v>
      </c>
      <c r="BB106" s="3366" t="str">
        <f>ExpoRisk!BB162</f>
        <v>PVL</v>
      </c>
      <c r="BC106" s="3366" t="str">
        <f>ExpoRisk!BC162</f>
        <v>PVL</v>
      </c>
      <c r="BD106" s="3369">
        <f>ExpoRisk!BD162</f>
        <v>154.51886836711196</v>
      </c>
      <c r="BE106" s="3128" t="str">
        <f>ExpoRisk!BE162</f>
        <v>PVL</v>
      </c>
      <c r="BF106" s="3128" t="str">
        <f>ExpoRisk!BF162</f>
        <v>PVL</v>
      </c>
      <c r="BG106" s="3128" t="str">
        <f>ExpoRisk!BG162</f>
        <v>PVL</v>
      </c>
      <c r="BH106" s="3128">
        <f>ExpoRisk!BH162</f>
        <v>3.4549717037880656</v>
      </c>
      <c r="BI106" s="3128">
        <f>ExpoRisk!BI162</f>
        <v>1.0668362764851442</v>
      </c>
      <c r="BJ106" s="3128"/>
    </row>
    <row r="107" spans="1:71" s="2608" customFormat="1">
      <c r="C107" s="4149"/>
      <c r="D107" s="4150"/>
      <c r="E107" s="3370" t="s">
        <v>1024</v>
      </c>
      <c r="F107" s="2608" t="str">
        <f>Récap1!F45</f>
        <v>Cs</v>
      </c>
      <c r="G107" s="2613" t="str">
        <f>Récap1!G45</f>
        <v>mg/kg ms</v>
      </c>
      <c r="H107" s="3005">
        <f>Récap1!H45</f>
        <v>555.19258157370484</v>
      </c>
      <c r="I107" s="3005">
        <f>Récap1!I45</f>
        <v>555.19258157370484</v>
      </c>
      <c r="J107" s="3005">
        <f>Récap1!J45</f>
        <v>4153.1270958274908</v>
      </c>
      <c r="K107" s="3367">
        <f>Récap1!K45</f>
        <v>1.5697919999999999</v>
      </c>
      <c r="L107" s="3005">
        <f>Récap1!L45</f>
        <v>2.1511535215770454</v>
      </c>
      <c r="M107" s="3005">
        <f>Récap1!M45</f>
        <v>2.1511535215770454</v>
      </c>
      <c r="N107" s="3005">
        <f>Récap1!N45</f>
        <v>4.9055999999999989</v>
      </c>
      <c r="O107" s="3005">
        <f>Récap1!O45</f>
        <v>4.9055999999999989</v>
      </c>
      <c r="P107" s="3368">
        <f>Récap1!P45</f>
        <v>0.9811200000000001</v>
      </c>
      <c r="Q107" s="3005">
        <f>Récap1!Q45</f>
        <v>0.9811200000000001</v>
      </c>
      <c r="R107" s="3005">
        <f>Récap1!R45</f>
        <v>9.8111999999999977</v>
      </c>
      <c r="S107" s="3005">
        <f>Récap1!S45</f>
        <v>0.42657391304347808</v>
      </c>
      <c r="T107" s="3005">
        <f>Récap1!T45</f>
        <v>0.42657391304347808</v>
      </c>
      <c r="U107" s="3005">
        <f>Récap1!U45</f>
        <v>0.2336</v>
      </c>
      <c r="V107" s="3005">
        <f>Récap1!V45</f>
        <v>28.031999999999996</v>
      </c>
      <c r="W107" s="3005">
        <f>Récap1!W45</f>
        <v>28.031999999999996</v>
      </c>
      <c r="X107" s="3367">
        <f>Récap1!X45</f>
        <v>0.2943962154063326</v>
      </c>
      <c r="Y107" s="3005">
        <f>Récap1!Y45</f>
        <v>10.306506396441879</v>
      </c>
      <c r="Z107" s="3005">
        <f>Récap1!Z45</f>
        <v>3.9244799999999995</v>
      </c>
      <c r="AA107" s="3368">
        <f>Récap1!AA45</f>
        <v>19.622400000000003</v>
      </c>
      <c r="AB107" s="3005">
        <f>Récap1!AB45</f>
        <v>20.294227186569373</v>
      </c>
      <c r="AC107" s="3005">
        <f>Récap1!AC45</f>
        <v>62.731002417862939</v>
      </c>
      <c r="AD107" s="3005" t="str">
        <f>Récap1!AD45</f>
        <v>PVL</v>
      </c>
      <c r="AE107" s="3005" t="str">
        <f>Récap1!AE45</f>
        <v>PVL</v>
      </c>
      <c r="AF107" s="3368" t="str">
        <f>Récap1!AF45</f>
        <v>PVL</v>
      </c>
      <c r="AG107" s="3005" t="str">
        <f>Récap1!AG45</f>
        <v>PVL</v>
      </c>
      <c r="AH107" s="3005" t="str">
        <f>Récap1!AH45</f>
        <v>PVL</v>
      </c>
      <c r="AI107" s="3005" t="str">
        <f>Récap1!AI45</f>
        <v>PVL</v>
      </c>
      <c r="AJ107" s="3005" t="str">
        <f>Récap1!AJ45</f>
        <v>PVL</v>
      </c>
      <c r="AK107" s="3005" t="str">
        <f>Récap1!AK45</f>
        <v>PVL</v>
      </c>
      <c r="AL107" s="3005" t="str">
        <f>Récap1!AL45</f>
        <v>PVL</v>
      </c>
      <c r="AM107" s="3005" t="str">
        <f>Récap1!AM45</f>
        <v>PVL</v>
      </c>
      <c r="AN107" s="3367">
        <f>Récap1!AN45</f>
        <v>1.7291766399934905</v>
      </c>
      <c r="AO107" s="3005" t="str">
        <f>Récap1!AO45</f>
        <v>PVL</v>
      </c>
      <c r="AP107" s="3005" t="str">
        <f>Récap1!AP45</f>
        <v>PVL</v>
      </c>
      <c r="AQ107" s="3005" t="str">
        <f>Récap1!AQ45</f>
        <v>PVL</v>
      </c>
      <c r="AR107" s="3005" t="str">
        <f>Récap1!AR45</f>
        <v>PVL</v>
      </c>
      <c r="AS107" s="3005" t="str">
        <f>Récap1!AS45</f>
        <v>PVL</v>
      </c>
      <c r="AT107" s="3005" t="str">
        <f>Récap1!AT45</f>
        <v>PVL</v>
      </c>
      <c r="AU107" s="3005" t="str">
        <f>Récap1!AU45</f>
        <v>PVL</v>
      </c>
      <c r="AV107" s="3005" t="str">
        <f>Récap1!AV45</f>
        <v>PVL</v>
      </c>
      <c r="AW107" s="3005" t="str">
        <f>Récap1!AW45</f>
        <v>PVL</v>
      </c>
      <c r="AX107" s="3005" t="str">
        <f>Récap1!AX45</f>
        <v>PVL</v>
      </c>
      <c r="AY107" s="3005" t="str">
        <f>Récap1!AY45</f>
        <v>PVL</v>
      </c>
      <c r="AZ107" s="3368" t="str">
        <f>Récap1!AZ45</f>
        <v>PVL</v>
      </c>
      <c r="BA107" s="3005" t="str">
        <f>Récap1!BA45</f>
        <v>PVL</v>
      </c>
      <c r="BB107" s="3005" t="str">
        <f>Récap1!BB45</f>
        <v>PVL</v>
      </c>
      <c r="BC107" s="3005" t="str">
        <f>Récap1!BC45</f>
        <v>PVL</v>
      </c>
      <c r="BD107" s="3369">
        <f>Récap1!BD45</f>
        <v>156.67322898811207</v>
      </c>
      <c r="BE107" s="3004" t="str">
        <f>Récap1!BE45</f>
        <v>PVL</v>
      </c>
      <c r="BF107" s="3004" t="str">
        <f>Récap1!BF45</f>
        <v>PVL</v>
      </c>
      <c r="BG107" s="3004">
        <f>Récap1!BG45</f>
        <v>8.4095999999999986E-4</v>
      </c>
      <c r="BH107" s="3004">
        <f>Récap1!BH45</f>
        <v>3.4900173865331361</v>
      </c>
      <c r="BI107" s="3004">
        <f>Récap1!BI45</f>
        <v>0</v>
      </c>
      <c r="BJ107" s="3004"/>
    </row>
    <row r="108" spans="1:71" s="3376" customFormat="1">
      <c r="A108" s="3371"/>
      <c r="B108" s="3372"/>
      <c r="C108" s="4145" t="s">
        <v>1025</v>
      </c>
      <c r="D108" s="4146"/>
      <c r="E108" s="3373" t="s">
        <v>1023</v>
      </c>
      <c r="F108" s="3374" t="str">
        <f>ExpoRisk!F534</f>
        <v>Cs</v>
      </c>
      <c r="G108" s="3316" t="str">
        <f>ExpoRisk!G534</f>
        <v>mg/kg ms</v>
      </c>
      <c r="H108" s="3314">
        <f>ExpoRisk!H534</f>
        <v>7.234521212121213</v>
      </c>
      <c r="I108" s="3314">
        <f>ExpoRisk!I534</f>
        <v>7.234521212121213</v>
      </c>
      <c r="J108" s="3314">
        <f>ExpoRisk!J534</f>
        <v>180.86303030303029</v>
      </c>
      <c r="K108" s="3313">
        <f>ExpoRisk!K534</f>
        <v>0.28938084848484852</v>
      </c>
      <c r="L108" s="3314">
        <f>ExpoRisk!L534</f>
        <v>0.3100509090909091</v>
      </c>
      <c r="M108" s="3314">
        <f>ExpoRisk!M534</f>
        <v>0.3100509090909091</v>
      </c>
      <c r="N108" s="3314">
        <f>ExpoRisk!N534</f>
        <v>0.90431515151515141</v>
      </c>
      <c r="O108" s="3314">
        <f>ExpoRisk!O534</f>
        <v>0.90431515151515141</v>
      </c>
      <c r="P108" s="3324">
        <f>ExpoRisk!P534</f>
        <v>0.18086303030303036</v>
      </c>
      <c r="Q108" s="3314">
        <f>ExpoRisk!Q534</f>
        <v>0.18086303030303036</v>
      </c>
      <c r="R108" s="3314">
        <f>ExpoRisk!R534</f>
        <v>1.8086303030303033</v>
      </c>
      <c r="S108" s="3314">
        <f>ExpoRisk!S534</f>
        <v>7.863610013175229E-2</v>
      </c>
      <c r="T108" s="3314">
        <f>ExpoRisk!T534</f>
        <v>7.863610013175229E-2</v>
      </c>
      <c r="U108" s="3314">
        <f>ExpoRisk!U534</f>
        <v>4.3062626262626261E-2</v>
      </c>
      <c r="V108" s="3314">
        <f>ExpoRisk!V534</f>
        <v>5.1675151515151523</v>
      </c>
      <c r="W108" s="3314">
        <f>ExpoRisk!W534</f>
        <v>5.1675151515151523</v>
      </c>
      <c r="X108" s="3313">
        <f>ExpoRisk!X534</f>
        <v>4.960814545454547E-2</v>
      </c>
      <c r="Y108" s="3314">
        <f>ExpoRisk!Y534</f>
        <v>1.3435539393939397</v>
      </c>
      <c r="Z108" s="3314">
        <f>ExpoRisk!Z534</f>
        <v>0.72345212121212132</v>
      </c>
      <c r="AA108" s="3324">
        <f>ExpoRisk!AA534</f>
        <v>3.6172606060606061</v>
      </c>
      <c r="AB108" s="3314">
        <f>ExpoRisk!AB534</f>
        <v>1.0335030303030304</v>
      </c>
      <c r="AC108" s="3314">
        <f>ExpoRisk!AC534</f>
        <v>1.0335030303030304</v>
      </c>
      <c r="AD108" s="3314">
        <f>ExpoRisk!AD534</f>
        <v>1.0335030303030304</v>
      </c>
      <c r="AE108" s="3314" t="str">
        <f>ExpoRisk!AE534</f>
        <v>PVL</v>
      </c>
      <c r="AF108" s="3324" t="str">
        <f>ExpoRisk!AF534</f>
        <v>PVL</v>
      </c>
      <c r="AG108" s="3314">
        <f>ExpoRisk!AG534</f>
        <v>95.082278787878806</v>
      </c>
      <c r="AH108" s="3314" t="str">
        <f>ExpoRisk!AH534</f>
        <v>PVL</v>
      </c>
      <c r="AI108" s="3314">
        <f>ExpoRisk!AI534</f>
        <v>5.1675151515151505</v>
      </c>
      <c r="AJ108" s="3314">
        <f>ExpoRisk!AJ534</f>
        <v>5.1675151515151523</v>
      </c>
      <c r="AK108" s="3314" t="str">
        <f>ExpoRisk!AK534</f>
        <v>PVL</v>
      </c>
      <c r="AL108" s="3314" t="str">
        <f>ExpoRisk!AL534</f>
        <v>PVL</v>
      </c>
      <c r="AM108" s="3314" t="str">
        <f>ExpoRisk!AM534</f>
        <v>PVL</v>
      </c>
      <c r="AN108" s="3313">
        <f>ExpoRisk!AN534</f>
        <v>5.3195008912655974E-2</v>
      </c>
      <c r="AO108" s="3314">
        <f>ExpoRisk!AO534</f>
        <v>1.6442093663911845</v>
      </c>
      <c r="AP108" s="3314">
        <f>ExpoRisk!AP534</f>
        <v>1.644209366391185</v>
      </c>
      <c r="AQ108" s="3314">
        <f>ExpoRisk!AQ534</f>
        <v>1.6442093663911848</v>
      </c>
      <c r="AR108" s="3314">
        <f>ExpoRisk!AR534</f>
        <v>1.6442093663911845</v>
      </c>
      <c r="AS108" s="3314">
        <f>ExpoRisk!AS534</f>
        <v>0.16442093663911844</v>
      </c>
      <c r="AT108" s="3314" t="str">
        <f>ExpoRisk!AT534</f>
        <v>PVL</v>
      </c>
      <c r="AU108" s="3314" t="str">
        <f>ExpoRisk!AU534</f>
        <v>PVL</v>
      </c>
      <c r="AV108" s="3314">
        <f>ExpoRisk!AV534</f>
        <v>0.85709083503923134</v>
      </c>
      <c r="AW108" s="3314" t="str">
        <f>ExpoRisk!AW534</f>
        <v>PVL</v>
      </c>
      <c r="AX108" s="3314" t="str">
        <f>ExpoRisk!AX534</f>
        <v>PVL</v>
      </c>
      <c r="AY108" s="3314" t="str">
        <f>ExpoRisk!AY534</f>
        <v>PVL</v>
      </c>
      <c r="AZ108" s="3324" t="str">
        <f>ExpoRisk!AZ534</f>
        <v>PVL</v>
      </c>
      <c r="BA108" s="3314" t="str">
        <f>ExpoRisk!BA534</f>
        <v>PVL</v>
      </c>
      <c r="BB108" s="3314" t="str">
        <f>ExpoRisk!BB534</f>
        <v>PVL</v>
      </c>
      <c r="BC108" s="3314" t="str">
        <f>ExpoRisk!BC534</f>
        <v>PVL</v>
      </c>
      <c r="BD108" s="3375">
        <f>ExpoRisk!BD534</f>
        <v>5.2778751942993356</v>
      </c>
      <c r="BE108" s="3376">
        <f>ExpoRisk!BE534</f>
        <v>0.4728918785415116</v>
      </c>
      <c r="BF108" s="3376">
        <f>ExpoRisk!BF534</f>
        <v>0.9457837570830232</v>
      </c>
      <c r="BG108" s="3376" t="str">
        <f>ExpoRisk!BG534</f>
        <v>PVL</v>
      </c>
      <c r="BH108" s="3377">
        <f>ExpoRisk!BH534</f>
        <v>6.2667764386209565E-2</v>
      </c>
      <c r="BI108" s="3376">
        <f>ExpoRisk!BI534</f>
        <v>2.8938084848484862E-2</v>
      </c>
      <c r="BJ108" s="3378"/>
      <c r="BK108" s="3372"/>
      <c r="BL108" s="3372"/>
      <c r="BM108" s="3372"/>
      <c r="BN108" s="3372"/>
      <c r="BO108" s="3372"/>
      <c r="BP108" s="3372"/>
      <c r="BQ108" s="3372"/>
      <c r="BR108" s="3372"/>
      <c r="BS108" s="3372"/>
    </row>
    <row r="109" spans="1:71" s="3380" customFormat="1">
      <c r="A109" s="3166"/>
      <c r="B109" s="2608"/>
      <c r="C109" s="4147"/>
      <c r="D109" s="4148"/>
      <c r="E109" s="3379" t="s">
        <v>1024</v>
      </c>
      <c r="F109" s="2608" t="str">
        <f>Récap1!F21</f>
        <v>Cs</v>
      </c>
      <c r="G109" s="3332" t="str">
        <f>Récap1!G21</f>
        <v>mg/kg ms</v>
      </c>
      <c r="H109" s="3160">
        <f>Récap1!H21</f>
        <v>21.726590419182642</v>
      </c>
      <c r="I109" s="3160">
        <f>Récap1!I21</f>
        <v>21.726590419182642</v>
      </c>
      <c r="J109" s="3160">
        <f>Récap1!J21</f>
        <v>191.60039130531911</v>
      </c>
      <c r="K109" s="3161">
        <f>Récap1!K21</f>
        <v>0.28938084848484852</v>
      </c>
      <c r="L109" s="3160">
        <f>Récap1!L21</f>
        <v>0.3100509090909091</v>
      </c>
      <c r="M109" s="3160">
        <f>Récap1!M21</f>
        <v>0.3100509090909091</v>
      </c>
      <c r="N109" s="3160">
        <f>Récap1!N21</f>
        <v>0.90431515151515141</v>
      </c>
      <c r="O109" s="3160">
        <f>Récap1!O21</f>
        <v>0.90431515151515141</v>
      </c>
      <c r="P109" s="3162">
        <f>Récap1!P21</f>
        <v>0.18086303030303036</v>
      </c>
      <c r="Q109" s="3160">
        <f>Récap1!Q21</f>
        <v>0.18086303030303036</v>
      </c>
      <c r="R109" s="3160">
        <f>Récap1!R21</f>
        <v>1.8086303030303033</v>
      </c>
      <c r="S109" s="3160">
        <f>Récap1!S21</f>
        <v>7.863610013175229E-2</v>
      </c>
      <c r="T109" s="3160">
        <f>Récap1!T21</f>
        <v>7.863610013175229E-2</v>
      </c>
      <c r="U109" s="3160">
        <f>Récap1!U21</f>
        <v>4.3062626262626261E-2</v>
      </c>
      <c r="V109" s="3160">
        <f>Récap1!V21</f>
        <v>5.1675151515151523</v>
      </c>
      <c r="W109" s="3160">
        <f>Récap1!W21</f>
        <v>5.1675151515151523</v>
      </c>
      <c r="X109" s="3161">
        <f>Récap1!X21</f>
        <v>4.960814545454547E-2</v>
      </c>
      <c r="Y109" s="3160">
        <f>Récap1!Y21</f>
        <v>1.3435539393939397</v>
      </c>
      <c r="Z109" s="3160">
        <f>Récap1!Z21</f>
        <v>0.72345212121212132</v>
      </c>
      <c r="AA109" s="3162">
        <f>Récap1!AA21</f>
        <v>3.6172606060606061</v>
      </c>
      <c r="AB109" s="3160">
        <f>Récap1!AB21</f>
        <v>1.0335030303030304</v>
      </c>
      <c r="AC109" s="3160">
        <f>Récap1!AC21</f>
        <v>1.8173282568501126</v>
      </c>
      <c r="AD109" s="3160">
        <f>Récap1!AD21</f>
        <v>4.3967566039946124</v>
      </c>
      <c r="AE109" s="3160" t="str">
        <f>Récap1!AE21</f>
        <v>PVL</v>
      </c>
      <c r="AF109" s="3162" t="str">
        <f>Récap1!AF21</f>
        <v>PVL</v>
      </c>
      <c r="AG109" s="3160">
        <f>Récap1!AG21</f>
        <v>95.082278787878806</v>
      </c>
      <c r="AH109" s="3160" t="str">
        <f>Récap1!AH21</f>
        <v>PVL</v>
      </c>
      <c r="AI109" s="3160">
        <f>Récap1!AI21</f>
        <v>5.1675151515151514</v>
      </c>
      <c r="AJ109" s="3160">
        <f>Récap1!AJ21</f>
        <v>5.1675151515151523</v>
      </c>
      <c r="AK109" s="3160" t="str">
        <f>Récap1!AK21</f>
        <v>PVL</v>
      </c>
      <c r="AL109" s="3160" t="str">
        <f>Récap1!AL21</f>
        <v>PVL</v>
      </c>
      <c r="AM109" s="3160" t="str">
        <f>Récap1!AM21</f>
        <v>PVL</v>
      </c>
      <c r="AN109" s="3161">
        <f>Récap1!AN21</f>
        <v>5.4657193234831106E-2</v>
      </c>
      <c r="AO109" s="3160">
        <f>Récap1!AO21</f>
        <v>3.2736081774919841</v>
      </c>
      <c r="AP109" s="3160">
        <f>Récap1!AP21</f>
        <v>2.5158632155480651</v>
      </c>
      <c r="AQ109" s="3160">
        <f>Récap1!AQ21</f>
        <v>4.0000540500248984</v>
      </c>
      <c r="AR109" s="3160" t="str">
        <f>Récap1!AR21</f>
        <v>PVL</v>
      </c>
      <c r="AS109" s="3160" t="str">
        <f>Récap1!AS21</f>
        <v>PVL</v>
      </c>
      <c r="AT109" s="3160" t="str">
        <f>Récap1!AT21</f>
        <v>PVL</v>
      </c>
      <c r="AU109" s="3160" t="str">
        <f>Récap1!AU21</f>
        <v>PVL</v>
      </c>
      <c r="AV109" s="3160" t="str">
        <f>Récap1!AV21</f>
        <v>PVL</v>
      </c>
      <c r="AW109" s="3160" t="str">
        <f>Récap1!AW21</f>
        <v>PVL</v>
      </c>
      <c r="AX109" s="3160" t="str">
        <f>Récap1!AX21</f>
        <v>PVL</v>
      </c>
      <c r="AY109" s="3160" t="str">
        <f>Récap1!AY21</f>
        <v>PVL</v>
      </c>
      <c r="AZ109" s="3162" t="str">
        <f>Récap1!AZ21</f>
        <v>PVL</v>
      </c>
      <c r="BA109" s="3160" t="str">
        <f>Récap1!BA21</f>
        <v>PVL</v>
      </c>
      <c r="BB109" s="3160" t="str">
        <f>Récap1!BB21</f>
        <v>PVL</v>
      </c>
      <c r="BC109" s="3160" t="str">
        <f>Récap1!BC21</f>
        <v>PVL</v>
      </c>
      <c r="BD109" s="3163">
        <f>Récap1!BD21</f>
        <v>7.7275160836308379</v>
      </c>
      <c r="BE109" s="3380">
        <f>Récap1!BE21</f>
        <v>0.68232498837884525</v>
      </c>
      <c r="BF109" s="3380">
        <f>Récap1!BF21</f>
        <v>1.3646499767576905</v>
      </c>
      <c r="BG109" s="3380">
        <f>Récap1!BG21</f>
        <v>1.5502545454545454E-4</v>
      </c>
      <c r="BH109" s="3004">
        <f>Récap1!BH21</f>
        <v>9.9195806050834195E-2</v>
      </c>
      <c r="BI109" s="3380">
        <f>Récap1!BI21</f>
        <v>0.13815427896424801</v>
      </c>
      <c r="BJ109" s="3004"/>
      <c r="BK109" s="2608"/>
      <c r="BL109" s="2608"/>
      <c r="BM109" s="2608"/>
      <c r="BN109" s="2608"/>
      <c r="BO109" s="2608"/>
      <c r="BP109" s="2608"/>
      <c r="BQ109" s="2608"/>
      <c r="BR109" s="2608"/>
      <c r="BS109" s="2608"/>
    </row>
    <row r="110" spans="1:71" s="3396" customFormat="1">
      <c r="C110" s="4151" t="s">
        <v>1017</v>
      </c>
      <c r="D110" s="4152"/>
      <c r="E110" s="4143" t="s">
        <v>1027</v>
      </c>
      <c r="F110" s="3397"/>
      <c r="G110" s="4155" t="s">
        <v>35</v>
      </c>
      <c r="H110" s="3398">
        <f>IF(H107="PVL", IF(H106="PVL","=","pvl/x"),H107/H106)</f>
        <v>1.4340739561709923</v>
      </c>
      <c r="I110" s="3398">
        <f>IF(I107="PVL", IF(I106="PVL","=","pvl/x"),I107/I106)</f>
        <v>1.4340739561709923</v>
      </c>
      <c r="J110" s="3398">
        <f>IF(J107="PVL", IF(J106="PVL","=","pvl/x"),J107/J106)</f>
        <v>2.5902645302138376</v>
      </c>
      <c r="K110" s="3399">
        <f>IF(K107="PVL", IF(K106="PVL","=","pvl/x"),K107/K106)</f>
        <v>1</v>
      </c>
      <c r="L110" s="3398">
        <f t="shared" ref="L110:BI110" si="0">IF(L107="PVL", IF(L106="PVL","=","pvl/x"),L107/L106)</f>
        <v>1.2789868255190768</v>
      </c>
      <c r="M110" s="3398">
        <f t="shared" si="0"/>
        <v>1.2789868255190768</v>
      </c>
      <c r="N110" s="3398">
        <f t="shared" si="0"/>
        <v>1</v>
      </c>
      <c r="O110" s="3398">
        <f t="shared" si="0"/>
        <v>1</v>
      </c>
      <c r="P110" s="3400">
        <f t="shared" si="0"/>
        <v>1</v>
      </c>
      <c r="Q110" s="3398">
        <f t="shared" si="0"/>
        <v>1</v>
      </c>
      <c r="R110" s="3398">
        <f t="shared" si="0"/>
        <v>1</v>
      </c>
      <c r="S110" s="3398">
        <f t="shared" si="0"/>
        <v>1</v>
      </c>
      <c r="T110" s="3398">
        <f t="shared" si="0"/>
        <v>1</v>
      </c>
      <c r="U110" s="3398">
        <f t="shared" si="0"/>
        <v>1</v>
      </c>
      <c r="V110" s="3398">
        <f t="shared" si="0"/>
        <v>1</v>
      </c>
      <c r="W110" s="3398">
        <f t="shared" si="0"/>
        <v>1</v>
      </c>
      <c r="X110" s="3399">
        <f t="shared" si="0"/>
        <v>1.0939737599229324</v>
      </c>
      <c r="Y110" s="3398">
        <f t="shared" si="0"/>
        <v>1.4141127717281727</v>
      </c>
      <c r="Z110" s="3398">
        <f t="shared" si="0"/>
        <v>1</v>
      </c>
      <c r="AA110" s="3400">
        <f t="shared" si="0"/>
        <v>1</v>
      </c>
      <c r="AB110" s="3398">
        <f t="shared" si="0"/>
        <v>2.897636660902084</v>
      </c>
      <c r="AC110" s="3398">
        <f t="shared" si="0"/>
        <v>1.6137567156950743</v>
      </c>
      <c r="AD110" s="3398" t="str">
        <f t="shared" si="0"/>
        <v>=</v>
      </c>
      <c r="AE110" s="3398" t="str">
        <f t="shared" si="0"/>
        <v>=</v>
      </c>
      <c r="AF110" s="3400" t="str">
        <f t="shared" si="0"/>
        <v>=</v>
      </c>
      <c r="AG110" s="3398" t="str">
        <f t="shared" si="0"/>
        <v>=</v>
      </c>
      <c r="AH110" s="3398" t="str">
        <f t="shared" si="0"/>
        <v>=</v>
      </c>
      <c r="AI110" s="3398" t="str">
        <f t="shared" si="0"/>
        <v>=</v>
      </c>
      <c r="AJ110" s="3398" t="str">
        <f t="shared" si="0"/>
        <v>=</v>
      </c>
      <c r="AK110" s="3398" t="str">
        <f t="shared" si="0"/>
        <v>=</v>
      </c>
      <c r="AL110" s="3398" t="str">
        <f t="shared" si="0"/>
        <v>=</v>
      </c>
      <c r="AM110" s="3398" t="str">
        <f t="shared" si="0"/>
        <v>=</v>
      </c>
      <c r="AN110" s="3399">
        <f t="shared" si="0"/>
        <v>2.6860713471929141</v>
      </c>
      <c r="AO110" s="3398" t="str">
        <f t="shared" si="0"/>
        <v>=</v>
      </c>
      <c r="AP110" s="3398" t="str">
        <f t="shared" si="0"/>
        <v>=</v>
      </c>
      <c r="AQ110" s="3398" t="str">
        <f t="shared" si="0"/>
        <v>=</v>
      </c>
      <c r="AR110" s="3398" t="str">
        <f t="shared" si="0"/>
        <v>=</v>
      </c>
      <c r="AS110" s="3398" t="str">
        <f t="shared" si="0"/>
        <v>=</v>
      </c>
      <c r="AT110" s="3398" t="str">
        <f t="shared" si="0"/>
        <v>=</v>
      </c>
      <c r="AU110" s="3398" t="str">
        <f t="shared" si="0"/>
        <v>=</v>
      </c>
      <c r="AV110" s="3398" t="str">
        <f t="shared" si="0"/>
        <v>=</v>
      </c>
      <c r="AW110" s="3398" t="str">
        <f t="shared" si="0"/>
        <v>=</v>
      </c>
      <c r="AX110" s="3398" t="str">
        <f t="shared" si="0"/>
        <v>=</v>
      </c>
      <c r="AY110" s="3398" t="str">
        <f t="shared" si="0"/>
        <v>=</v>
      </c>
      <c r="AZ110" s="3400" t="str">
        <f t="shared" si="0"/>
        <v>=</v>
      </c>
      <c r="BA110" s="3398" t="str">
        <f t="shared" si="0"/>
        <v>=</v>
      </c>
      <c r="BB110" s="3398" t="str">
        <f t="shared" si="0"/>
        <v>=</v>
      </c>
      <c r="BC110" s="3398" t="str">
        <f t="shared" si="0"/>
        <v>=</v>
      </c>
      <c r="BD110" s="3401">
        <f t="shared" si="0"/>
        <v>1.0139423789713609</v>
      </c>
      <c r="BE110" s="1744" t="str">
        <f t="shared" si="0"/>
        <v>=</v>
      </c>
      <c r="BF110" s="1744" t="str">
        <f t="shared" si="0"/>
        <v>=</v>
      </c>
      <c r="BG110" s="1744" t="e">
        <f t="shared" si="0"/>
        <v>#VALUE!</v>
      </c>
      <c r="BH110" s="1744">
        <f t="shared" si="0"/>
        <v>1.0101435513080024</v>
      </c>
      <c r="BI110" s="1744">
        <f t="shared" si="0"/>
        <v>0</v>
      </c>
      <c r="BJ110" s="1744"/>
    </row>
    <row r="111" spans="1:71" s="2608" customFormat="1" ht="13.5" thickBot="1">
      <c r="C111" s="4153" t="s">
        <v>1025</v>
      </c>
      <c r="D111" s="4154"/>
      <c r="E111" s="4144"/>
      <c r="F111" s="2820"/>
      <c r="G111" s="4155"/>
      <c r="H111" s="3381">
        <f>IF(H109="PVL", IF(H108="PVL","=","pvl/x"),H109/H108)</f>
        <v>3.0031829034906168</v>
      </c>
      <c r="I111" s="3381">
        <f>IF(I109="PVL", IF(I108="PVL","=","pvl/x"),I109/I108)</f>
        <v>3.0031829034906168</v>
      </c>
      <c r="J111" s="3381">
        <f>IF(J109="PVL", IF(J108="PVL","=","pvl/x"),J109/J108)</f>
        <v>1.0593673620545818</v>
      </c>
      <c r="K111" s="3382">
        <f>IF(K109="PVL", IF(K108="PVL","=","pvl/x"),K109/K108)</f>
        <v>1</v>
      </c>
      <c r="L111" s="3381">
        <f t="shared" ref="L111:BI111" si="1">IF(L109="PVL", IF(L108="PVL","=","pvl/x"),L109/L108)</f>
        <v>1</v>
      </c>
      <c r="M111" s="3381">
        <f t="shared" si="1"/>
        <v>1</v>
      </c>
      <c r="N111" s="3381">
        <f t="shared" si="1"/>
        <v>1</v>
      </c>
      <c r="O111" s="3381">
        <f t="shared" si="1"/>
        <v>1</v>
      </c>
      <c r="P111" s="3383">
        <f t="shared" si="1"/>
        <v>1</v>
      </c>
      <c r="Q111" s="3381">
        <f t="shared" si="1"/>
        <v>1</v>
      </c>
      <c r="R111" s="3381">
        <f t="shared" si="1"/>
        <v>1</v>
      </c>
      <c r="S111" s="3381">
        <f t="shared" si="1"/>
        <v>1</v>
      </c>
      <c r="T111" s="3381">
        <f t="shared" si="1"/>
        <v>1</v>
      </c>
      <c r="U111" s="3381">
        <f t="shared" si="1"/>
        <v>1</v>
      </c>
      <c r="V111" s="3381">
        <f t="shared" si="1"/>
        <v>1</v>
      </c>
      <c r="W111" s="3381">
        <f t="shared" si="1"/>
        <v>1</v>
      </c>
      <c r="X111" s="3382">
        <f t="shared" si="1"/>
        <v>1</v>
      </c>
      <c r="Y111" s="3381">
        <f t="shared" si="1"/>
        <v>1</v>
      </c>
      <c r="Z111" s="3381">
        <f t="shared" si="1"/>
        <v>1</v>
      </c>
      <c r="AA111" s="3383">
        <f t="shared" si="1"/>
        <v>1</v>
      </c>
      <c r="AB111" s="3381">
        <f t="shared" si="1"/>
        <v>1</v>
      </c>
      <c r="AC111" s="3381">
        <f t="shared" si="1"/>
        <v>1.7584159925658458</v>
      </c>
      <c r="AD111" s="3381">
        <f t="shared" si="1"/>
        <v>4.2542271043999289</v>
      </c>
      <c r="AE111" s="3381" t="str">
        <f t="shared" si="1"/>
        <v>=</v>
      </c>
      <c r="AF111" s="3383" t="str">
        <f t="shared" si="1"/>
        <v>=</v>
      </c>
      <c r="AG111" s="3381">
        <f t="shared" si="1"/>
        <v>1</v>
      </c>
      <c r="AH111" s="3381" t="str">
        <f t="shared" si="1"/>
        <v>=</v>
      </c>
      <c r="AI111" s="3381">
        <f t="shared" si="1"/>
        <v>1.0000000000000002</v>
      </c>
      <c r="AJ111" s="3381">
        <f t="shared" si="1"/>
        <v>1</v>
      </c>
      <c r="AK111" s="3381" t="str">
        <f t="shared" si="1"/>
        <v>=</v>
      </c>
      <c r="AL111" s="3381" t="str">
        <f t="shared" si="1"/>
        <v>=</v>
      </c>
      <c r="AM111" s="3381" t="str">
        <f t="shared" si="1"/>
        <v>=</v>
      </c>
      <c r="AN111" s="3382">
        <f t="shared" si="1"/>
        <v>1.0274872464929177</v>
      </c>
      <c r="AO111" s="3381">
        <f t="shared" si="1"/>
        <v>1.9909922935648443</v>
      </c>
      <c r="AP111" s="3381">
        <f t="shared" si="1"/>
        <v>1.5301355575354989</v>
      </c>
      <c r="AQ111" s="3381">
        <f t="shared" si="1"/>
        <v>2.4328130783030821</v>
      </c>
      <c r="AR111" s="3381" t="str">
        <f t="shared" si="1"/>
        <v>pvl/x</v>
      </c>
      <c r="AS111" s="3381" t="str">
        <f t="shared" si="1"/>
        <v>pvl/x</v>
      </c>
      <c r="AT111" s="3381" t="str">
        <f t="shared" si="1"/>
        <v>=</v>
      </c>
      <c r="AU111" s="3381" t="str">
        <f t="shared" si="1"/>
        <v>=</v>
      </c>
      <c r="AV111" s="3381" t="str">
        <f t="shared" si="1"/>
        <v>pvl/x</v>
      </c>
      <c r="AW111" s="3381" t="str">
        <f t="shared" si="1"/>
        <v>=</v>
      </c>
      <c r="AX111" s="3381" t="str">
        <f t="shared" si="1"/>
        <v>=</v>
      </c>
      <c r="AY111" s="3381" t="str">
        <f t="shared" si="1"/>
        <v>=</v>
      </c>
      <c r="AZ111" s="3383" t="str">
        <f t="shared" si="1"/>
        <v>=</v>
      </c>
      <c r="BA111" s="3381" t="str">
        <f t="shared" si="1"/>
        <v>=</v>
      </c>
      <c r="BB111" s="3381" t="str">
        <f t="shared" si="1"/>
        <v>=</v>
      </c>
      <c r="BC111" s="3381" t="str">
        <f t="shared" si="1"/>
        <v>=</v>
      </c>
      <c r="BD111" s="3384">
        <f t="shared" si="1"/>
        <v>1.4641339173721604</v>
      </c>
      <c r="BE111" s="3004">
        <f t="shared" si="1"/>
        <v>1.4428773665626595</v>
      </c>
      <c r="BF111" s="3004">
        <f t="shared" si="1"/>
        <v>1.4428773665626595</v>
      </c>
      <c r="BG111" s="3004" t="e">
        <f t="shared" si="1"/>
        <v>#VALUE!</v>
      </c>
      <c r="BH111" s="3004">
        <f t="shared" si="1"/>
        <v>1.5828840716178931</v>
      </c>
      <c r="BI111" s="3004">
        <f t="shared" si="1"/>
        <v>4.7741334538066873</v>
      </c>
      <c r="BJ111" s="3004"/>
    </row>
    <row r="112" spans="1:71" s="3389" customFormat="1" ht="13.5" thickBot="1">
      <c r="A112" s="3385"/>
      <c r="B112" s="3118"/>
      <c r="C112" s="3385"/>
      <c r="D112" s="3118"/>
      <c r="E112" s="4130" t="s">
        <v>1047</v>
      </c>
      <c r="F112" s="4130"/>
      <c r="G112" s="4130"/>
      <c r="H112" s="4130"/>
      <c r="I112" s="4130"/>
      <c r="J112" s="4130"/>
      <c r="K112" s="4130"/>
      <c r="L112" s="4130"/>
      <c r="M112" s="4130"/>
      <c r="N112" s="4130"/>
      <c r="O112" s="4130"/>
      <c r="P112" s="4130"/>
      <c r="Q112" s="4130"/>
      <c r="R112" s="4130"/>
      <c r="S112" s="4130"/>
      <c r="T112" s="4130"/>
      <c r="U112" s="4130"/>
      <c r="V112" s="4130"/>
      <c r="W112" s="4130"/>
      <c r="X112" s="4130"/>
      <c r="Y112" s="4130"/>
      <c r="Z112" s="4130"/>
      <c r="AA112" s="4130"/>
      <c r="AB112" s="4130"/>
      <c r="AC112" s="4130"/>
      <c r="AD112" s="4130"/>
      <c r="AE112" s="4130"/>
      <c r="AF112" s="4130"/>
      <c r="AG112" s="4130"/>
      <c r="AH112" s="4130"/>
      <c r="AI112" s="4130"/>
      <c r="AJ112" s="4130"/>
      <c r="AK112" s="4130"/>
      <c r="AL112" s="4130"/>
      <c r="AM112" s="3386"/>
      <c r="AN112" s="3386"/>
      <c r="AO112" s="3386"/>
      <c r="AP112" s="3386"/>
      <c r="AQ112" s="3386"/>
      <c r="AR112" s="3386"/>
      <c r="AS112" s="3386"/>
      <c r="AT112" s="3386"/>
      <c r="AU112" s="3386"/>
      <c r="AV112" s="3386"/>
      <c r="AW112" s="3386"/>
      <c r="AX112" s="3386"/>
      <c r="AY112" s="3386"/>
      <c r="AZ112" s="3386"/>
      <c r="BA112" s="3386"/>
      <c r="BB112" s="3386"/>
      <c r="BC112" s="3386"/>
      <c r="BD112" s="3387"/>
      <c r="BE112" s="3386"/>
      <c r="BF112" s="3386"/>
      <c r="BG112" s="3386"/>
      <c r="BH112" s="3386"/>
      <c r="BI112" s="3388"/>
      <c r="BJ112" s="3388"/>
      <c r="BK112" s="3118"/>
      <c r="BL112" s="3118"/>
      <c r="BM112" s="3118"/>
      <c r="BN112" s="3118"/>
      <c r="BO112" s="3118"/>
      <c r="BP112" s="3118"/>
      <c r="BQ112" s="3118"/>
      <c r="BR112" s="3118"/>
      <c r="BS112" s="3118"/>
    </row>
    <row r="113" spans="1:71" s="3030" customFormat="1">
      <c r="A113" s="2126"/>
      <c r="B113" s="2126"/>
      <c r="C113" s="2149"/>
      <c r="D113" s="3248"/>
      <c r="E113" s="525"/>
      <c r="F113" s="525"/>
      <c r="G113" s="526"/>
      <c r="K113" s="3280"/>
      <c r="P113" s="3041"/>
      <c r="X113" s="3280"/>
      <c r="AA113" s="3041"/>
      <c r="AF113" s="3041"/>
      <c r="AN113" s="3280"/>
      <c r="AZ113" s="3041"/>
      <c r="BD113" s="3281"/>
      <c r="BH113" s="3282"/>
      <c r="BJ113" s="2589"/>
      <c r="BK113" s="2126"/>
      <c r="BL113" s="2126"/>
      <c r="BM113" s="2126"/>
      <c r="BN113" s="2126"/>
      <c r="BO113" s="2126"/>
      <c r="BP113" s="2126"/>
      <c r="BQ113" s="2126"/>
      <c r="BR113" s="2126"/>
      <c r="BS113" s="2126"/>
    </row>
    <row r="114" spans="1:71" s="3030" customFormat="1">
      <c r="A114" s="2126"/>
      <c r="B114" s="2126"/>
      <c r="C114" s="2149"/>
      <c r="D114" s="3248"/>
      <c r="E114" s="525"/>
      <c r="F114" s="525"/>
      <c r="G114" s="526"/>
      <c r="K114" s="3280"/>
      <c r="P114" s="3041"/>
      <c r="X114" s="3280"/>
      <c r="AA114" s="3041"/>
      <c r="AF114" s="3041"/>
      <c r="AN114" s="3280"/>
      <c r="AZ114" s="3041"/>
      <c r="BD114" s="3281"/>
      <c r="BH114" s="3282"/>
      <c r="BJ114" s="2589"/>
      <c r="BK114" s="2126"/>
      <c r="BL114" s="2126"/>
      <c r="BM114" s="2126"/>
      <c r="BN114" s="2126"/>
      <c r="BO114" s="2126"/>
      <c r="BP114" s="2126"/>
      <c r="BQ114" s="2126"/>
      <c r="BR114" s="2126"/>
      <c r="BS114" s="2126"/>
    </row>
    <row r="115" spans="1:71" s="3030" customFormat="1">
      <c r="A115" s="2126"/>
      <c r="B115" s="2126"/>
      <c r="C115" s="2149"/>
      <c r="D115" s="3248"/>
      <c r="E115" s="525"/>
      <c r="F115" s="525"/>
      <c r="G115" s="526"/>
      <c r="K115" s="3280"/>
      <c r="P115" s="3041"/>
      <c r="X115" s="3280"/>
      <c r="AA115" s="3041"/>
      <c r="AF115" s="3041"/>
      <c r="AN115" s="3280"/>
      <c r="AZ115" s="3041"/>
      <c r="BD115" s="3281"/>
      <c r="BH115" s="3282"/>
      <c r="BJ115" s="2589"/>
      <c r="BK115" s="2126"/>
      <c r="BL115" s="2126"/>
      <c r="BM115" s="2126"/>
      <c r="BN115" s="2126"/>
      <c r="BO115" s="2126"/>
      <c r="BP115" s="2126"/>
      <c r="BQ115" s="2126"/>
      <c r="BR115" s="2126"/>
      <c r="BS115" s="2126"/>
    </row>
    <row r="116" spans="1:71" s="3030" customFormat="1">
      <c r="A116" s="2126"/>
      <c r="B116" s="2126"/>
      <c r="C116" s="2149" t="s">
        <v>664</v>
      </c>
      <c r="D116" s="3248"/>
      <c r="E116" s="525" t="s">
        <v>1080</v>
      </c>
      <c r="F116" s="525"/>
      <c r="G116" s="3041"/>
      <c r="H116" s="3176">
        <f t="shared" ref="H116:J116" si="2">H97/H98</f>
        <v>1.4340739561709925</v>
      </c>
      <c r="I116" s="3175">
        <f t="shared" si="2"/>
        <v>1.4340739561709925</v>
      </c>
      <c r="J116" s="3175">
        <f t="shared" si="2"/>
        <v>2.5902645302138376</v>
      </c>
      <c r="K116" s="3176">
        <f>K97/K98</f>
        <v>16.735410066218012</v>
      </c>
      <c r="L116" s="3175">
        <f t="shared" ref="L116:BI116" si="3">L97/L98</f>
        <v>6.3683071685445825</v>
      </c>
      <c r="M116" s="3175">
        <f t="shared" si="3"/>
        <v>6.3683071685445825</v>
      </c>
      <c r="N116" s="3175">
        <f t="shared" si="3"/>
        <v>9.0219157234161411</v>
      </c>
      <c r="O116" s="3175">
        <f t="shared" si="3"/>
        <v>9.0219157234161411</v>
      </c>
      <c r="P116" s="3134">
        <f t="shared" si="3"/>
        <v>9.0006649645525503</v>
      </c>
      <c r="Q116" s="3175">
        <f t="shared" si="3"/>
        <v>9.0006649645525503</v>
      </c>
      <c r="R116" s="3175">
        <f t="shared" si="3"/>
        <v>20.756491699452283</v>
      </c>
      <c r="S116" s="3175">
        <f t="shared" si="3"/>
        <v>6.7831001055187778</v>
      </c>
      <c r="T116" s="3175">
        <f t="shared" si="3"/>
        <v>6.7831001055187778</v>
      </c>
      <c r="U116" s="3175">
        <f t="shared" si="3"/>
        <v>12.279568053917425</v>
      </c>
      <c r="V116" s="3175">
        <f t="shared" si="3"/>
        <v>9.6122184420459842</v>
      </c>
      <c r="W116" s="3175">
        <f t="shared" si="3"/>
        <v>9.6122184420459842</v>
      </c>
      <c r="X116" s="3176">
        <f t="shared" si="3"/>
        <v>7.2780777246296289</v>
      </c>
      <c r="Y116" s="3175">
        <f t="shared" si="3"/>
        <v>5.8569590989253726</v>
      </c>
      <c r="Z116" s="3175">
        <f t="shared" si="3"/>
        <v>4.4620918915519248</v>
      </c>
      <c r="AA116" s="3134">
        <f t="shared" si="3"/>
        <v>9.0320071811860423</v>
      </c>
      <c r="AB116" s="3175">
        <f t="shared" si="3"/>
        <v>2.8976366609020836</v>
      </c>
      <c r="AC116" s="3175">
        <f t="shared" si="3"/>
        <v>1.6137567156950745</v>
      </c>
      <c r="AD116" s="3175">
        <f t="shared" si="3"/>
        <v>1.146545551339105</v>
      </c>
      <c r="AE116" s="3175">
        <f t="shared" si="3"/>
        <v>1.0162778263430496</v>
      </c>
      <c r="AF116" s="3134">
        <f t="shared" si="3"/>
        <v>0.11177125387593491</v>
      </c>
      <c r="AG116" s="3175">
        <f t="shared" si="3"/>
        <v>14.196656721409095</v>
      </c>
      <c r="AH116" s="3175">
        <f t="shared" si="3"/>
        <v>11.171123340940472</v>
      </c>
      <c r="AI116" s="3175">
        <f t="shared" si="3"/>
        <v>6.4823910402125673</v>
      </c>
      <c r="AJ116" s="3175">
        <f t="shared" si="3"/>
        <v>3.1690073953859246</v>
      </c>
      <c r="AK116" s="3175">
        <f t="shared" si="3"/>
        <v>1.7262064733217939</v>
      </c>
      <c r="AL116" s="3175">
        <f t="shared" si="3"/>
        <v>1.0660342542842214</v>
      </c>
      <c r="AM116" s="3175">
        <f t="shared" si="3"/>
        <v>1.0004109851562766</v>
      </c>
      <c r="AN116" s="3176">
        <f t="shared" si="3"/>
        <v>1.4067904510453617</v>
      </c>
      <c r="AO116" s="3175">
        <f t="shared" si="3"/>
        <v>1.0184685218418934</v>
      </c>
      <c r="AP116" s="3175">
        <f t="shared" si="3"/>
        <v>1.0301388484711653</v>
      </c>
      <c r="AQ116" s="3175">
        <f t="shared" si="3"/>
        <v>1.0115360832080531</v>
      </c>
      <c r="AR116" s="3175">
        <f t="shared" si="3"/>
        <v>1.0021789989548513</v>
      </c>
      <c r="AS116" s="3175">
        <f t="shared" si="3"/>
        <v>1.0028105549126218</v>
      </c>
      <c r="AT116" s="3175">
        <f t="shared" si="3"/>
        <v>1.0001838149430577</v>
      </c>
      <c r="AU116" s="3175">
        <f t="shared" si="3"/>
        <v>1.0001774086081594</v>
      </c>
      <c r="AV116" s="3175">
        <f t="shared" si="3"/>
        <v>1.000025592221695</v>
      </c>
      <c r="AW116" s="3175">
        <f t="shared" si="3"/>
        <v>1.0000251318701665</v>
      </c>
      <c r="AX116" s="3175">
        <f t="shared" si="3"/>
        <v>1.0000036508955716</v>
      </c>
      <c r="AY116" s="3175">
        <f t="shared" si="3"/>
        <v>1.0000025055850101</v>
      </c>
      <c r="AZ116" s="3134">
        <f t="shared" si="3"/>
        <v>1.0000022104598507</v>
      </c>
      <c r="BA116" s="3175">
        <f t="shared" si="3"/>
        <v>1.0000005043630846</v>
      </c>
      <c r="BB116" s="3175">
        <f t="shared" si="3"/>
        <v>1.0000014967555144</v>
      </c>
      <c r="BC116" s="3175">
        <f t="shared" si="3"/>
        <v>1.0000002908692704</v>
      </c>
      <c r="BD116" s="3390">
        <f t="shared" si="3"/>
        <v>1.0139423789713609</v>
      </c>
      <c r="BE116" s="3030">
        <f t="shared" si="3"/>
        <v>1.0000202106867866</v>
      </c>
      <c r="BF116" s="3280">
        <f t="shared" si="3"/>
        <v>1.0000202106867866</v>
      </c>
      <c r="BG116" s="3280">
        <f t="shared" si="3"/>
        <v>9.153303654953918</v>
      </c>
      <c r="BH116" s="3280">
        <f t="shared" si="3"/>
        <v>1.0101435513080022</v>
      </c>
      <c r="BI116" s="3280">
        <f t="shared" si="3"/>
        <v>1.5243333684384468</v>
      </c>
      <c r="BJ116" s="3280"/>
      <c r="BK116" s="2126"/>
      <c r="BL116" s="2126"/>
      <c r="BM116" s="2126"/>
      <c r="BN116" s="2126"/>
      <c r="BO116" s="2126"/>
      <c r="BP116" s="2126"/>
      <c r="BQ116" s="2126"/>
      <c r="BR116" s="2126"/>
      <c r="BS116" s="2126"/>
    </row>
    <row r="117" spans="1:71" s="3030" customFormat="1">
      <c r="A117" s="2126"/>
      <c r="B117" s="2126"/>
      <c r="C117" s="2149" t="s">
        <v>1011</v>
      </c>
      <c r="D117" s="3248"/>
      <c r="E117" s="525" t="s">
        <v>1080</v>
      </c>
      <c r="F117" s="525"/>
      <c r="G117" s="3041"/>
      <c r="H117" s="3176">
        <f t="shared" ref="H117:J117" si="4">H99/H104</f>
        <v>11.593076178873789</v>
      </c>
      <c r="I117" s="3175">
        <f t="shared" si="4"/>
        <v>11.593076178873789</v>
      </c>
      <c r="J117" s="3175">
        <f t="shared" si="4"/>
        <v>26.845954138104872</v>
      </c>
      <c r="K117" s="3176">
        <f>K99/K104</f>
        <v>119.17889615075522</v>
      </c>
      <c r="L117" s="3175">
        <f t="shared" ref="L117:BI117" si="5">L99/L104</f>
        <v>57.407693176131573</v>
      </c>
      <c r="M117" s="3175">
        <f t="shared" si="5"/>
        <v>57.407693176131573</v>
      </c>
      <c r="N117" s="3175">
        <f t="shared" si="5"/>
        <v>77.876345515467094</v>
      </c>
      <c r="O117" s="3175">
        <f t="shared" si="5"/>
        <v>77.876345515467094</v>
      </c>
      <c r="P117" s="3134">
        <f t="shared" si="5"/>
        <v>82.335696076302995</v>
      </c>
      <c r="Q117" s="3175">
        <f t="shared" si="5"/>
        <v>82.335696076302995</v>
      </c>
      <c r="R117" s="3175">
        <f t="shared" si="5"/>
        <v>28.692029847448445</v>
      </c>
      <c r="S117" s="3175">
        <f t="shared" si="5"/>
        <v>49.293075151404643</v>
      </c>
      <c r="T117" s="3175">
        <f t="shared" si="5"/>
        <v>49.293075151404643</v>
      </c>
      <c r="U117" s="3175">
        <f t="shared" si="5"/>
        <v>106.74130592195846</v>
      </c>
      <c r="V117" s="3175">
        <f t="shared" si="5"/>
        <v>154.05629184478883</v>
      </c>
      <c r="W117" s="3175">
        <f t="shared" si="5"/>
        <v>154.05629184478883</v>
      </c>
      <c r="X117" s="3176">
        <f t="shared" si="5"/>
        <v>61.419273040439847</v>
      </c>
      <c r="Y117" s="3175">
        <f t="shared" si="5"/>
        <v>52.75790681894938</v>
      </c>
      <c r="Z117" s="3175">
        <f t="shared" si="5"/>
        <v>42.117077952833696</v>
      </c>
      <c r="AA117" s="3134">
        <f t="shared" si="5"/>
        <v>86.001962274809159</v>
      </c>
      <c r="AB117" s="3175">
        <f t="shared" si="5"/>
        <v>40.683219285583021</v>
      </c>
      <c r="AC117" s="3175">
        <f t="shared" si="5"/>
        <v>19.344433311096473</v>
      </c>
      <c r="AD117" s="3175">
        <f t="shared" si="5"/>
        <v>9.1605128027719562</v>
      </c>
      <c r="AE117" s="3175">
        <f t="shared" si="5"/>
        <v>3.6500031435816029</v>
      </c>
      <c r="AF117" s="3134">
        <f t="shared" si="5"/>
        <v>1.0373800303811367</v>
      </c>
      <c r="AG117" s="3175">
        <f t="shared" si="5"/>
        <v>169.35420595617018</v>
      </c>
      <c r="AH117" s="3175">
        <f t="shared" si="5"/>
        <v>151.19691850432577</v>
      </c>
      <c r="AI117" s="3175">
        <f t="shared" si="5"/>
        <v>101.37036968704595</v>
      </c>
      <c r="AJ117" s="3175">
        <f t="shared" si="5"/>
        <v>52.851576247190373</v>
      </c>
      <c r="AK117" s="3175">
        <f t="shared" si="5"/>
        <v>26.990978738287104</v>
      </c>
      <c r="AL117" s="3175">
        <f t="shared" si="5"/>
        <v>8.1334803854888964</v>
      </c>
      <c r="AM117" s="3175">
        <f t="shared" si="5"/>
        <v>1.3120034384499695</v>
      </c>
      <c r="AN117" s="3176">
        <f t="shared" si="5"/>
        <v>14.906888463028853</v>
      </c>
      <c r="AO117" s="3175">
        <f t="shared" si="5"/>
        <v>3.502739565117214</v>
      </c>
      <c r="AP117" s="3175">
        <f t="shared" si="5"/>
        <v>4.3539898980625757</v>
      </c>
      <c r="AQ117" s="3175">
        <f t="shared" si="5"/>
        <v>2.9930263099075214</v>
      </c>
      <c r="AR117" s="3175">
        <f t="shared" si="5"/>
        <v>1.7045274486378155</v>
      </c>
      <c r="AS117" s="3175">
        <f t="shared" si="5"/>
        <v>1.8419815727306541</v>
      </c>
      <c r="AT117" s="3175">
        <f t="shared" si="5"/>
        <v>1.1013945295692416</v>
      </c>
      <c r="AU117" s="3175">
        <f t="shared" si="5"/>
        <v>1.0977890317859771</v>
      </c>
      <c r="AV117" s="3175">
        <f t="shared" si="5"/>
        <v>1.0153375131965683</v>
      </c>
      <c r="AW117" s="3175">
        <f t="shared" si="5"/>
        <v>1.0147190836191242</v>
      </c>
      <c r="AX117" s="3175">
        <f t="shared" si="5"/>
        <v>1</v>
      </c>
      <c r="AY117" s="3175">
        <f t="shared" si="5"/>
        <v>1</v>
      </c>
      <c r="AZ117" s="3134">
        <f t="shared" si="5"/>
        <v>1</v>
      </c>
      <c r="BA117" s="3175">
        <f t="shared" si="5"/>
        <v>1</v>
      </c>
      <c r="BB117" s="3175">
        <f t="shared" si="5"/>
        <v>1</v>
      </c>
      <c r="BC117" s="3175">
        <f t="shared" si="5"/>
        <v>1</v>
      </c>
      <c r="BD117" s="3390">
        <f t="shared" si="5"/>
        <v>1.4641339173721601</v>
      </c>
      <c r="BE117" s="3030">
        <f t="shared" si="5"/>
        <v>1.0139681595842567</v>
      </c>
      <c r="BF117" s="3280">
        <f t="shared" si="5"/>
        <v>1.0139681595842567</v>
      </c>
      <c r="BG117" s="3280">
        <f t="shared" si="5"/>
        <v>140.25292930414261</v>
      </c>
      <c r="BH117" s="3280">
        <f t="shared" si="5"/>
        <v>1.5828840716178931</v>
      </c>
      <c r="BI117" s="3280">
        <f t="shared" si="5"/>
        <v>6.7331987244433806</v>
      </c>
      <c r="BJ117" s="3280"/>
      <c r="BK117" s="2126"/>
      <c r="BL117" s="2126"/>
      <c r="BM117" s="2126"/>
      <c r="BN117" s="2126"/>
      <c r="BO117" s="2126"/>
      <c r="BP117" s="2126"/>
      <c r="BQ117" s="2126"/>
      <c r="BR117" s="2126"/>
      <c r="BS117" s="2126"/>
    </row>
    <row r="118" spans="1:71" s="3030" customFormat="1">
      <c r="A118" s="2126"/>
      <c r="B118" s="2126"/>
      <c r="C118" s="2149"/>
      <c r="D118" s="3248"/>
      <c r="E118" s="525"/>
      <c r="F118" s="525"/>
      <c r="G118" s="526"/>
      <c r="K118" s="3280"/>
      <c r="P118" s="3041"/>
      <c r="X118" s="3280"/>
      <c r="AA118" s="3041"/>
      <c r="AF118" s="3041"/>
      <c r="AN118" s="3280"/>
      <c r="AZ118" s="3041"/>
      <c r="BD118" s="3281"/>
      <c r="BH118" s="3282"/>
      <c r="BJ118" s="2589"/>
      <c r="BK118" s="2126"/>
      <c r="BL118" s="2126"/>
      <c r="BM118" s="2126"/>
      <c r="BN118" s="2126"/>
      <c r="BO118" s="2126"/>
      <c r="BP118" s="2126"/>
      <c r="BQ118" s="2126"/>
      <c r="BR118" s="2126"/>
      <c r="BS118" s="2126"/>
    </row>
    <row r="119" spans="1:71" s="3030" customFormat="1">
      <c r="A119" s="2126"/>
      <c r="B119" s="2126"/>
      <c r="C119" s="2149"/>
      <c r="D119" s="3248"/>
      <c r="E119" s="525"/>
      <c r="F119" s="525"/>
      <c r="G119" s="526"/>
      <c r="K119" s="3280"/>
      <c r="P119" s="3041"/>
      <c r="X119" s="3280"/>
      <c r="AA119" s="3041"/>
      <c r="AF119" s="3041"/>
      <c r="AN119" s="3280"/>
      <c r="AZ119" s="3041"/>
      <c r="BD119" s="3281"/>
      <c r="BH119" s="3282"/>
      <c r="BJ119" s="2589"/>
      <c r="BK119" s="2126"/>
      <c r="BL119" s="2126"/>
      <c r="BM119" s="2126"/>
      <c r="BN119" s="2126"/>
      <c r="BO119" s="2126"/>
      <c r="BP119" s="2126"/>
      <c r="BQ119" s="2126"/>
      <c r="BR119" s="2126"/>
      <c r="BS119" s="2126"/>
    </row>
    <row r="120" spans="1:71" s="3030" customFormat="1">
      <c r="A120" s="2126"/>
      <c r="B120" s="2126"/>
      <c r="C120" s="2149"/>
      <c r="D120" s="3248"/>
      <c r="E120" s="525"/>
      <c r="F120" s="525"/>
      <c r="G120" s="526"/>
      <c r="K120" s="3280"/>
      <c r="P120" s="3041"/>
      <c r="X120" s="3280"/>
      <c r="AA120" s="3041"/>
      <c r="AF120" s="3041"/>
      <c r="AN120" s="3280"/>
      <c r="AZ120" s="3041"/>
      <c r="BD120" s="3281"/>
      <c r="BH120" s="3282"/>
      <c r="BJ120" s="2589"/>
      <c r="BK120" s="2126"/>
      <c r="BL120" s="2126"/>
      <c r="BM120" s="2126"/>
      <c r="BN120" s="2126"/>
      <c r="BO120" s="2126"/>
      <c r="BP120" s="2126"/>
      <c r="BQ120" s="2126"/>
      <c r="BR120" s="2126"/>
      <c r="BS120" s="2126"/>
    </row>
    <row r="121" spans="1:71" s="3030" customFormat="1">
      <c r="A121" s="2126"/>
      <c r="B121" s="2126"/>
      <c r="C121" s="2149"/>
      <c r="D121" s="3248"/>
      <c r="E121" s="525"/>
      <c r="F121" s="525"/>
      <c r="G121" s="526"/>
      <c r="K121" s="3280"/>
      <c r="P121" s="3041"/>
      <c r="X121" s="3280"/>
      <c r="AA121" s="3041"/>
      <c r="AF121" s="3041"/>
      <c r="AN121" s="3280"/>
      <c r="AZ121" s="3041"/>
      <c r="BD121" s="3281"/>
      <c r="BH121" s="3282"/>
      <c r="BJ121" s="2589"/>
      <c r="BK121" s="2126"/>
      <c r="BL121" s="2126"/>
      <c r="BM121" s="2126"/>
      <c r="BN121" s="2126"/>
      <c r="BO121" s="2126"/>
      <c r="BP121" s="2126"/>
      <c r="BQ121" s="2126"/>
      <c r="BR121" s="2126"/>
      <c r="BS121" s="2126"/>
    </row>
    <row r="122" spans="1:71" s="3030" customFormat="1">
      <c r="A122" s="2126"/>
      <c r="B122" s="2126"/>
      <c r="C122" s="2149"/>
      <c r="D122" s="3248"/>
      <c r="E122" s="525"/>
      <c r="F122" s="525"/>
      <c r="G122" s="526"/>
      <c r="K122" s="3280"/>
      <c r="P122" s="3041"/>
      <c r="X122" s="3280"/>
      <c r="AA122" s="3041"/>
      <c r="AF122" s="3041"/>
      <c r="AN122" s="3280"/>
      <c r="AZ122" s="3041"/>
      <c r="BD122" s="3281"/>
      <c r="BH122" s="3282"/>
      <c r="BJ122" s="2589"/>
      <c r="BK122" s="2126"/>
      <c r="BL122" s="2126"/>
      <c r="BM122" s="2126"/>
      <c r="BN122" s="2126"/>
      <c r="BO122" s="2126"/>
      <c r="BP122" s="2126"/>
      <c r="BQ122" s="2126"/>
      <c r="BR122" s="2126"/>
      <c r="BS122" s="2126"/>
    </row>
    <row r="123" spans="1:71" s="3030" customFormat="1">
      <c r="A123" s="2126"/>
      <c r="B123" s="2126"/>
      <c r="C123" s="2149"/>
      <c r="D123" s="3248"/>
      <c r="E123" s="525"/>
      <c r="F123" s="525"/>
      <c r="G123" s="526"/>
      <c r="K123" s="3280"/>
      <c r="P123" s="3041"/>
      <c r="X123" s="3280"/>
      <c r="AA123" s="3041"/>
      <c r="AF123" s="3041"/>
      <c r="AN123" s="3280"/>
      <c r="AZ123" s="3041"/>
      <c r="BD123" s="3281"/>
      <c r="BH123" s="3282"/>
      <c r="BJ123" s="2589"/>
      <c r="BK123" s="2126"/>
      <c r="BL123" s="2126"/>
      <c r="BM123" s="2126"/>
      <c r="BN123" s="2126"/>
      <c r="BO123" s="2126"/>
      <c r="BP123" s="2126"/>
      <c r="BQ123" s="2126"/>
      <c r="BR123" s="2126"/>
      <c r="BS123" s="2126"/>
    </row>
    <row r="124" spans="1:71" s="3030" customFormat="1">
      <c r="A124" s="2126"/>
      <c r="B124" s="2126"/>
      <c r="C124" s="2149"/>
      <c r="D124" s="3248"/>
      <c r="E124" s="525"/>
      <c r="F124" s="525"/>
      <c r="G124" s="526"/>
      <c r="K124" s="3280"/>
      <c r="P124" s="3041"/>
      <c r="X124" s="3280"/>
      <c r="AA124" s="3041"/>
      <c r="AF124" s="3041"/>
      <c r="AN124" s="3280"/>
      <c r="AZ124" s="3041"/>
      <c r="BD124" s="3281"/>
      <c r="BH124" s="3282"/>
      <c r="BJ124" s="2589"/>
      <c r="BK124" s="2126"/>
      <c r="BL124" s="2126"/>
      <c r="BM124" s="2126"/>
      <c r="BN124" s="2126"/>
      <c r="BO124" s="2126"/>
      <c r="BP124" s="2126"/>
      <c r="BQ124" s="2126"/>
      <c r="BR124" s="2126"/>
      <c r="BS124" s="2126"/>
    </row>
    <row r="125" spans="1:71" s="3030" customFormat="1">
      <c r="A125" s="2126"/>
      <c r="B125" s="2126"/>
      <c r="C125" s="2149"/>
      <c r="D125" s="3248"/>
      <c r="E125" s="525"/>
      <c r="F125" s="525"/>
      <c r="G125" s="526"/>
      <c r="K125" s="3280"/>
      <c r="P125" s="3041"/>
      <c r="X125" s="3280"/>
      <c r="AA125" s="3041"/>
      <c r="AF125" s="3041"/>
      <c r="AN125" s="3280"/>
      <c r="AZ125" s="3041"/>
      <c r="BD125" s="3281"/>
      <c r="BH125" s="3282"/>
      <c r="BJ125" s="2589"/>
      <c r="BK125" s="2126"/>
      <c r="BL125" s="2126"/>
      <c r="BM125" s="2126"/>
      <c r="BN125" s="2126"/>
      <c r="BO125" s="2126"/>
      <c r="BP125" s="2126"/>
      <c r="BQ125" s="2126"/>
      <c r="BR125" s="2126"/>
      <c r="BS125" s="2126"/>
    </row>
    <row r="126" spans="1:71" s="3030" customFormat="1">
      <c r="A126" s="2126"/>
      <c r="B126" s="2126"/>
      <c r="C126" s="2149"/>
      <c r="D126" s="3248"/>
      <c r="E126" s="525"/>
      <c r="F126" s="525"/>
      <c r="G126" s="526"/>
      <c r="K126" s="3280"/>
      <c r="P126" s="3041"/>
      <c r="X126" s="3280"/>
      <c r="AA126" s="3041"/>
      <c r="AF126" s="3041"/>
      <c r="AN126" s="3280"/>
      <c r="AZ126" s="3041"/>
      <c r="BD126" s="3281"/>
      <c r="BH126" s="3282"/>
      <c r="BJ126" s="2589"/>
      <c r="BK126" s="2126"/>
      <c r="BL126" s="2126"/>
      <c r="BM126" s="2126"/>
      <c r="BN126" s="2126"/>
      <c r="BO126" s="2126"/>
      <c r="BP126" s="2126"/>
      <c r="BQ126" s="2126"/>
      <c r="BR126" s="2126"/>
      <c r="BS126" s="2126"/>
    </row>
    <row r="127" spans="1:71" s="3030" customFormat="1">
      <c r="A127" s="2126"/>
      <c r="B127" s="2126"/>
      <c r="C127" s="2149"/>
      <c r="D127" s="3248"/>
      <c r="E127" s="525"/>
      <c r="F127" s="525"/>
      <c r="G127" s="526"/>
      <c r="K127" s="3280"/>
      <c r="P127" s="3041"/>
      <c r="X127" s="3280"/>
      <c r="AA127" s="3041"/>
      <c r="AF127" s="3041"/>
      <c r="AN127" s="3280"/>
      <c r="AZ127" s="3041"/>
      <c r="BD127" s="3281"/>
      <c r="BH127" s="3282"/>
      <c r="BJ127" s="2589"/>
      <c r="BK127" s="2126"/>
      <c r="BL127" s="2126"/>
      <c r="BM127" s="2126"/>
      <c r="BN127" s="2126"/>
      <c r="BO127" s="2126"/>
      <c r="BP127" s="2126"/>
      <c r="BQ127" s="2126"/>
      <c r="BR127" s="2126"/>
      <c r="BS127" s="2126"/>
    </row>
    <row r="128" spans="1:71" s="3030" customFormat="1">
      <c r="A128" s="2126"/>
      <c r="B128" s="2126"/>
      <c r="C128" s="2149"/>
      <c r="D128" s="3248"/>
      <c r="E128" s="525"/>
      <c r="F128" s="525"/>
      <c r="G128" s="526"/>
      <c r="K128" s="3280"/>
      <c r="P128" s="3041"/>
      <c r="X128" s="3280"/>
      <c r="AA128" s="3041"/>
      <c r="AF128" s="3041"/>
      <c r="AN128" s="3280"/>
      <c r="AZ128" s="3041"/>
      <c r="BD128" s="3281"/>
      <c r="BH128" s="3282"/>
      <c r="BJ128" s="2589"/>
      <c r="BK128" s="2126"/>
      <c r="BL128" s="2126"/>
      <c r="BM128" s="2126"/>
      <c r="BN128" s="2126"/>
      <c r="BO128" s="2126"/>
      <c r="BP128" s="2126"/>
      <c r="BQ128" s="2126"/>
      <c r="BR128" s="2126"/>
      <c r="BS128" s="2126"/>
    </row>
    <row r="129" spans="1:71" s="3030" customFormat="1">
      <c r="A129" s="2126"/>
      <c r="B129" s="2126"/>
      <c r="C129" s="2149"/>
      <c r="D129" s="3248"/>
      <c r="E129" s="525"/>
      <c r="F129" s="525"/>
      <c r="G129" s="526"/>
      <c r="K129" s="3280"/>
      <c r="P129" s="3041"/>
      <c r="X129" s="3280"/>
      <c r="AA129" s="3041"/>
      <c r="AF129" s="3041"/>
      <c r="AN129" s="3280"/>
      <c r="AZ129" s="3041"/>
      <c r="BD129" s="3281"/>
      <c r="BH129" s="3282"/>
      <c r="BJ129" s="2589"/>
      <c r="BK129" s="2126"/>
      <c r="BL129" s="2126"/>
      <c r="BM129" s="2126"/>
      <c r="BN129" s="2126"/>
      <c r="BO129" s="2126"/>
      <c r="BP129" s="2126"/>
      <c r="BQ129" s="2126"/>
      <c r="BR129" s="2126"/>
      <c r="BS129" s="2126"/>
    </row>
    <row r="130" spans="1:71" s="3030" customFormat="1">
      <c r="A130" s="2126"/>
      <c r="B130" s="2126"/>
      <c r="C130" s="2149"/>
      <c r="D130" s="3248"/>
      <c r="E130" s="525"/>
      <c r="F130" s="525"/>
      <c r="G130" s="526"/>
      <c r="K130" s="3280"/>
      <c r="P130" s="3041"/>
      <c r="X130" s="3280"/>
      <c r="AA130" s="3041"/>
      <c r="AF130" s="3041"/>
      <c r="AN130" s="3280"/>
      <c r="AZ130" s="3041"/>
      <c r="BD130" s="3281"/>
      <c r="BH130" s="3282"/>
      <c r="BJ130" s="2589"/>
      <c r="BK130" s="2126"/>
      <c r="BL130" s="2126"/>
      <c r="BM130" s="2126"/>
      <c r="BN130" s="2126"/>
      <c r="BO130" s="2126"/>
      <c r="BP130" s="2126"/>
      <c r="BQ130" s="2126"/>
      <c r="BR130" s="2126"/>
      <c r="BS130" s="2126"/>
    </row>
    <row r="131" spans="1:71" s="3030" customFormat="1">
      <c r="A131" s="2126"/>
      <c r="B131" s="2126"/>
      <c r="C131" s="2149"/>
      <c r="D131" s="3248"/>
      <c r="E131" s="525"/>
      <c r="F131" s="525"/>
      <c r="G131" s="526"/>
      <c r="K131" s="3280"/>
      <c r="P131" s="3041"/>
      <c r="X131" s="3280"/>
      <c r="AA131" s="3041"/>
      <c r="AF131" s="3041"/>
      <c r="AN131" s="3280"/>
      <c r="AZ131" s="3041"/>
      <c r="BD131" s="3281"/>
      <c r="BH131" s="3282"/>
      <c r="BJ131" s="2589"/>
      <c r="BK131" s="2126"/>
      <c r="BL131" s="2126"/>
      <c r="BM131" s="2126"/>
      <c r="BN131" s="2126"/>
      <c r="BO131" s="2126"/>
      <c r="BP131" s="2126"/>
      <c r="BQ131" s="2126"/>
      <c r="BR131" s="2126"/>
      <c r="BS131" s="2126"/>
    </row>
    <row r="132" spans="1:71" s="3030" customFormat="1">
      <c r="A132" s="2126"/>
      <c r="B132" s="2126"/>
      <c r="C132" s="2149"/>
      <c r="D132" s="3248"/>
      <c r="E132" s="525"/>
      <c r="F132" s="525"/>
      <c r="G132" s="526"/>
      <c r="K132" s="3280"/>
      <c r="P132" s="3041"/>
      <c r="X132" s="3280"/>
      <c r="AA132" s="3041"/>
      <c r="AF132" s="3041"/>
      <c r="AN132" s="3280"/>
      <c r="AZ132" s="3041"/>
      <c r="BD132" s="3281"/>
      <c r="BH132" s="3282"/>
      <c r="BJ132" s="2589"/>
      <c r="BK132" s="2126"/>
      <c r="BL132" s="2126"/>
      <c r="BM132" s="2126"/>
      <c r="BN132" s="2126"/>
      <c r="BO132" s="2126"/>
      <c r="BP132" s="2126"/>
      <c r="BQ132" s="2126"/>
      <c r="BR132" s="2126"/>
      <c r="BS132" s="2126"/>
    </row>
    <row r="133" spans="1:71" s="3030" customFormat="1">
      <c r="A133" s="2126"/>
      <c r="B133" s="2126"/>
      <c r="C133" s="2149"/>
      <c r="D133" s="3248"/>
      <c r="E133" s="525"/>
      <c r="F133" s="525"/>
      <c r="G133" s="526"/>
      <c r="K133" s="3280"/>
      <c r="P133" s="3041"/>
      <c r="X133" s="3280"/>
      <c r="AA133" s="3041"/>
      <c r="AF133" s="3041"/>
      <c r="AN133" s="3280"/>
      <c r="AZ133" s="3041"/>
      <c r="BD133" s="3281"/>
      <c r="BH133" s="3282"/>
      <c r="BJ133" s="2589"/>
      <c r="BK133" s="2126"/>
      <c r="BL133" s="2126"/>
      <c r="BM133" s="2126"/>
      <c r="BN133" s="2126"/>
      <c r="BO133" s="2126"/>
      <c r="BP133" s="2126"/>
      <c r="BQ133" s="2126"/>
      <c r="BR133" s="2126"/>
      <c r="BS133" s="2126"/>
    </row>
    <row r="134" spans="1:71" s="3030" customFormat="1">
      <c r="A134" s="2126"/>
      <c r="B134" s="2126"/>
      <c r="C134" s="2149"/>
      <c r="D134" s="3248"/>
      <c r="E134" s="525"/>
      <c r="F134" s="525"/>
      <c r="G134" s="526"/>
      <c r="K134" s="3280"/>
      <c r="P134" s="3041"/>
      <c r="X134" s="3280"/>
      <c r="AA134" s="3041"/>
      <c r="AF134" s="3041"/>
      <c r="AN134" s="3280"/>
      <c r="AZ134" s="3041"/>
      <c r="BD134" s="3281"/>
      <c r="BH134" s="3282"/>
      <c r="BJ134" s="2589"/>
      <c r="BK134" s="2126"/>
      <c r="BL134" s="2126"/>
      <c r="BM134" s="2126"/>
      <c r="BN134" s="2126"/>
      <c r="BO134" s="2126"/>
      <c r="BP134" s="2126"/>
      <c r="BQ134" s="2126"/>
      <c r="BR134" s="2126"/>
      <c r="BS134" s="2126"/>
    </row>
    <row r="135" spans="1:71" s="3030" customFormat="1">
      <c r="A135" s="2126"/>
      <c r="B135" s="2126"/>
      <c r="C135" s="2149"/>
      <c r="D135" s="3248"/>
      <c r="E135" s="525"/>
      <c r="F135" s="525"/>
      <c r="G135" s="526"/>
      <c r="K135" s="3280"/>
      <c r="P135" s="3041"/>
      <c r="X135" s="3280"/>
      <c r="AA135" s="3041"/>
      <c r="AF135" s="3041"/>
      <c r="AN135" s="3280"/>
      <c r="AZ135" s="3041"/>
      <c r="BD135" s="3281"/>
      <c r="BH135" s="3282"/>
      <c r="BJ135" s="2589"/>
      <c r="BK135" s="2126"/>
      <c r="BL135" s="2126"/>
      <c r="BM135" s="2126"/>
      <c r="BN135" s="2126"/>
      <c r="BO135" s="2126"/>
      <c r="BP135" s="2126"/>
      <c r="BQ135" s="2126"/>
      <c r="BR135" s="2126"/>
      <c r="BS135" s="2126"/>
    </row>
    <row r="136" spans="1:71" s="3030" customFormat="1">
      <c r="A136" s="2126"/>
      <c r="B136" s="2126"/>
      <c r="C136" s="2149"/>
      <c r="D136" s="3248"/>
      <c r="E136" s="525"/>
      <c r="F136" s="525"/>
      <c r="G136" s="526"/>
      <c r="K136" s="3280"/>
      <c r="P136" s="3041"/>
      <c r="X136" s="3280"/>
      <c r="AA136" s="3041"/>
      <c r="AF136" s="3041"/>
      <c r="AN136" s="3280"/>
      <c r="AZ136" s="3041"/>
      <c r="BD136" s="3281"/>
      <c r="BH136" s="3282"/>
      <c r="BJ136" s="2589"/>
      <c r="BK136" s="2126"/>
      <c r="BL136" s="2126"/>
      <c r="BM136" s="2126"/>
      <c r="BN136" s="2126"/>
      <c r="BO136" s="2126"/>
      <c r="BP136" s="2126"/>
      <c r="BQ136" s="2126"/>
      <c r="BR136" s="2126"/>
      <c r="BS136" s="2126"/>
    </row>
    <row r="137" spans="1:71" s="3030" customFormat="1">
      <c r="A137" s="2126"/>
      <c r="B137" s="2126"/>
      <c r="C137" s="2149"/>
      <c r="D137" s="3248"/>
      <c r="E137" s="525"/>
      <c r="F137" s="525"/>
      <c r="G137" s="526"/>
      <c r="K137" s="3280"/>
      <c r="P137" s="3041"/>
      <c r="X137" s="3280"/>
      <c r="AA137" s="3041"/>
      <c r="AF137" s="3041"/>
      <c r="AN137" s="3280"/>
      <c r="AZ137" s="3041"/>
      <c r="BD137" s="3281"/>
      <c r="BH137" s="3282"/>
      <c r="BJ137" s="2589"/>
      <c r="BK137" s="2126"/>
      <c r="BL137" s="2126"/>
      <c r="BM137" s="2126"/>
      <c r="BN137" s="2126"/>
      <c r="BO137" s="2126"/>
      <c r="BP137" s="2126"/>
      <c r="BQ137" s="2126"/>
      <c r="BR137" s="2126"/>
      <c r="BS137" s="2126"/>
    </row>
    <row r="138" spans="1:71" s="3030" customFormat="1">
      <c r="A138" s="2126"/>
      <c r="B138" s="2126"/>
      <c r="C138" s="2149"/>
      <c r="D138" s="3248"/>
      <c r="E138" s="525"/>
      <c r="F138" s="525"/>
      <c r="G138" s="526"/>
      <c r="K138" s="3280"/>
      <c r="P138" s="3041"/>
      <c r="X138" s="3280"/>
      <c r="AA138" s="3041"/>
      <c r="AF138" s="3041"/>
      <c r="AN138" s="3280"/>
      <c r="AZ138" s="3041"/>
      <c r="BD138" s="3281"/>
      <c r="BH138" s="3282"/>
      <c r="BJ138" s="2589"/>
      <c r="BK138" s="2126"/>
      <c r="BL138" s="2126"/>
      <c r="BM138" s="2126"/>
      <c r="BN138" s="2126"/>
      <c r="BO138" s="2126"/>
      <c r="BP138" s="2126"/>
      <c r="BQ138" s="2126"/>
      <c r="BR138" s="2126"/>
      <c r="BS138" s="2126"/>
    </row>
    <row r="139" spans="1:71" s="3030" customFormat="1">
      <c r="A139" s="2126"/>
      <c r="B139" s="2126"/>
      <c r="C139" s="2149"/>
      <c r="D139" s="3248"/>
      <c r="E139" s="525"/>
      <c r="F139" s="525"/>
      <c r="G139" s="526"/>
      <c r="K139" s="3280"/>
      <c r="P139" s="3041"/>
      <c r="X139" s="3280"/>
      <c r="AA139" s="3041"/>
      <c r="AF139" s="3041"/>
      <c r="AN139" s="3280"/>
      <c r="AZ139" s="3041"/>
      <c r="BD139" s="3281"/>
      <c r="BH139" s="3282"/>
      <c r="BJ139" s="2589"/>
      <c r="BK139" s="2126"/>
      <c r="BL139" s="2126"/>
      <c r="BM139" s="2126"/>
      <c r="BN139" s="2126"/>
      <c r="BO139" s="2126"/>
      <c r="BP139" s="2126"/>
      <c r="BQ139" s="2126"/>
      <c r="BR139" s="2126"/>
      <c r="BS139" s="2126"/>
    </row>
    <row r="140" spans="1:71" s="3030" customFormat="1">
      <c r="A140" s="2126"/>
      <c r="B140" s="2126"/>
      <c r="C140" s="2149"/>
      <c r="D140" s="3248"/>
      <c r="E140" s="525"/>
      <c r="F140" s="525"/>
      <c r="G140" s="526"/>
      <c r="K140" s="3280"/>
      <c r="P140" s="3041"/>
      <c r="X140" s="3280"/>
      <c r="AA140" s="3041"/>
      <c r="AF140" s="3041"/>
      <c r="AN140" s="3280"/>
      <c r="AZ140" s="3041"/>
      <c r="BD140" s="3281"/>
      <c r="BH140" s="3282"/>
      <c r="BJ140" s="2589"/>
      <c r="BK140" s="2126"/>
      <c r="BL140" s="2126"/>
      <c r="BM140" s="2126"/>
      <c r="BN140" s="2126"/>
      <c r="BO140" s="2126"/>
      <c r="BP140" s="2126"/>
      <c r="BQ140" s="2126"/>
      <c r="BR140" s="2126"/>
      <c r="BS140" s="2126"/>
    </row>
    <row r="141" spans="1:71" s="3030" customFormat="1">
      <c r="A141" s="2126"/>
      <c r="B141" s="2126"/>
      <c r="C141" s="2149"/>
      <c r="D141" s="3248"/>
      <c r="E141" s="525"/>
      <c r="F141" s="525"/>
      <c r="G141" s="526"/>
      <c r="K141" s="3280"/>
      <c r="P141" s="3041"/>
      <c r="X141" s="3280"/>
      <c r="AA141" s="3041"/>
      <c r="AF141" s="3041"/>
      <c r="AN141" s="3280"/>
      <c r="AZ141" s="3041"/>
      <c r="BD141" s="3281"/>
      <c r="BH141" s="3282"/>
      <c r="BJ141" s="2589"/>
      <c r="BK141" s="2126"/>
      <c r="BL141" s="2126"/>
      <c r="BM141" s="2126"/>
      <c r="BN141" s="2126"/>
      <c r="BO141" s="2126"/>
      <c r="BP141" s="2126"/>
      <c r="BQ141" s="2126"/>
      <c r="BR141" s="2126"/>
      <c r="BS141" s="2126"/>
    </row>
    <row r="142" spans="1:71" s="3030" customFormat="1">
      <c r="A142" s="2126"/>
      <c r="B142" s="2126"/>
      <c r="C142" s="2149"/>
      <c r="D142" s="3248"/>
      <c r="E142" s="525"/>
      <c r="F142" s="525"/>
      <c r="G142" s="526"/>
      <c r="K142" s="3280"/>
      <c r="P142" s="3041"/>
      <c r="X142" s="3280"/>
      <c r="AA142" s="3041"/>
      <c r="AF142" s="3041"/>
      <c r="AN142" s="3280"/>
      <c r="AZ142" s="3041"/>
      <c r="BD142" s="3281"/>
      <c r="BH142" s="3282"/>
      <c r="BJ142" s="2589"/>
      <c r="BK142" s="2126"/>
      <c r="BL142" s="2126"/>
      <c r="BM142" s="2126"/>
      <c r="BN142" s="2126"/>
      <c r="BO142" s="2126"/>
      <c r="BP142" s="2126"/>
      <c r="BQ142" s="2126"/>
      <c r="BR142" s="2126"/>
      <c r="BS142" s="2126"/>
    </row>
    <row r="143" spans="1:71" s="3030" customFormat="1">
      <c r="A143" s="2126"/>
      <c r="B143" s="2126"/>
      <c r="C143" s="2149"/>
      <c r="D143" s="3248"/>
      <c r="E143" s="525"/>
      <c r="F143" s="525"/>
      <c r="G143" s="526"/>
      <c r="K143" s="3280"/>
      <c r="P143" s="3041"/>
      <c r="X143" s="3280"/>
      <c r="AA143" s="3041"/>
      <c r="AF143" s="3041"/>
      <c r="AN143" s="3280"/>
      <c r="AZ143" s="3041"/>
      <c r="BD143" s="3281"/>
      <c r="BH143" s="3282"/>
      <c r="BJ143" s="2589"/>
      <c r="BK143" s="2126"/>
      <c r="BL143" s="2126"/>
      <c r="BM143" s="2126"/>
      <c r="BN143" s="2126"/>
      <c r="BO143" s="2126"/>
      <c r="BP143" s="2126"/>
      <c r="BQ143" s="2126"/>
      <c r="BR143" s="2126"/>
      <c r="BS143" s="2126"/>
    </row>
    <row r="144" spans="1:71" s="3030" customFormat="1">
      <c r="A144" s="2126"/>
      <c r="B144" s="2126"/>
      <c r="C144" s="2149"/>
      <c r="D144" s="3248"/>
      <c r="E144" s="525"/>
      <c r="F144" s="525"/>
      <c r="G144" s="526"/>
      <c r="K144" s="3280"/>
      <c r="P144" s="3041"/>
      <c r="X144" s="3280"/>
      <c r="AA144" s="3041"/>
      <c r="AF144" s="3041"/>
      <c r="AN144" s="3280"/>
      <c r="AZ144" s="3041"/>
      <c r="BD144" s="3281"/>
      <c r="BH144" s="3282"/>
      <c r="BJ144" s="2589"/>
      <c r="BK144" s="2126"/>
      <c r="BL144" s="2126"/>
      <c r="BM144" s="2126"/>
      <c r="BN144" s="2126"/>
      <c r="BO144" s="2126"/>
      <c r="BP144" s="2126"/>
      <c r="BQ144" s="2126"/>
      <c r="BR144" s="2126"/>
      <c r="BS144" s="2126"/>
    </row>
    <row r="145" spans="1:71" s="3030" customFormat="1">
      <c r="A145" s="2126"/>
      <c r="B145" s="2126"/>
      <c r="C145" s="2149"/>
      <c r="D145" s="3248"/>
      <c r="E145" s="525"/>
      <c r="F145" s="525"/>
      <c r="G145" s="526"/>
      <c r="K145" s="3280"/>
      <c r="P145" s="3041"/>
      <c r="X145" s="3280"/>
      <c r="AA145" s="3041"/>
      <c r="AF145" s="3041"/>
      <c r="AN145" s="3280"/>
      <c r="AZ145" s="3041"/>
      <c r="BD145" s="3281"/>
      <c r="BH145" s="3282"/>
      <c r="BJ145" s="2589"/>
      <c r="BK145" s="2126"/>
      <c r="BL145" s="2126"/>
      <c r="BM145" s="2126"/>
      <c r="BN145" s="2126"/>
      <c r="BO145" s="2126"/>
      <c r="BP145" s="2126"/>
      <c r="BQ145" s="2126"/>
      <c r="BR145" s="2126"/>
      <c r="BS145" s="2126"/>
    </row>
    <row r="146" spans="1:71" s="3030" customFormat="1">
      <c r="A146" s="2126"/>
      <c r="B146" s="2126"/>
      <c r="C146" s="2149"/>
      <c r="D146" s="3248"/>
      <c r="E146" s="525"/>
      <c r="F146" s="525"/>
      <c r="G146" s="526"/>
      <c r="K146" s="3280"/>
      <c r="P146" s="3041"/>
      <c r="X146" s="3280"/>
      <c r="AA146" s="3041"/>
      <c r="AF146" s="3041"/>
      <c r="AN146" s="3280"/>
      <c r="AZ146" s="3041"/>
      <c r="BD146" s="3281"/>
      <c r="BH146" s="3282"/>
      <c r="BJ146" s="2589"/>
      <c r="BK146" s="2126"/>
      <c r="BL146" s="2126"/>
      <c r="BM146" s="2126"/>
      <c r="BN146" s="2126"/>
      <c r="BO146" s="2126"/>
      <c r="BP146" s="2126"/>
      <c r="BQ146" s="2126"/>
      <c r="BR146" s="2126"/>
      <c r="BS146" s="2126"/>
    </row>
    <row r="147" spans="1:71" s="3030" customFormat="1">
      <c r="A147" s="2126"/>
      <c r="B147" s="2126"/>
      <c r="C147" s="2149"/>
      <c r="D147" s="3248"/>
      <c r="E147" s="525"/>
      <c r="F147" s="525"/>
      <c r="G147" s="526"/>
      <c r="K147" s="3280"/>
      <c r="P147" s="3041"/>
      <c r="X147" s="3280"/>
      <c r="AA147" s="3041"/>
      <c r="AF147" s="3041"/>
      <c r="AN147" s="3280"/>
      <c r="AZ147" s="3041"/>
      <c r="BD147" s="3281"/>
      <c r="BH147" s="3282"/>
      <c r="BJ147" s="2589"/>
      <c r="BK147" s="2126"/>
      <c r="BL147" s="2126"/>
      <c r="BM147" s="2126"/>
      <c r="BN147" s="2126"/>
      <c r="BO147" s="2126"/>
      <c r="BP147" s="2126"/>
      <c r="BQ147" s="2126"/>
      <c r="BR147" s="2126"/>
      <c r="BS147" s="2126"/>
    </row>
    <row r="148" spans="1:71" s="3030" customFormat="1">
      <c r="A148" s="2126"/>
      <c r="B148" s="2126"/>
      <c r="C148" s="2149"/>
      <c r="D148" s="3248"/>
      <c r="E148" s="525"/>
      <c r="F148" s="525"/>
      <c r="G148" s="526"/>
      <c r="K148" s="3280"/>
      <c r="P148" s="3041"/>
      <c r="X148" s="3280"/>
      <c r="AA148" s="3041"/>
      <c r="AF148" s="3041"/>
      <c r="AN148" s="3280"/>
      <c r="AZ148" s="3041"/>
      <c r="BD148" s="3281"/>
      <c r="BH148" s="3282"/>
      <c r="BJ148" s="2589"/>
      <c r="BK148" s="2126"/>
      <c r="BL148" s="2126"/>
      <c r="BM148" s="2126"/>
      <c r="BN148" s="2126"/>
      <c r="BO148" s="2126"/>
      <c r="BP148" s="2126"/>
      <c r="BQ148" s="2126"/>
      <c r="BR148" s="2126"/>
      <c r="BS148" s="2126"/>
    </row>
    <row r="149" spans="1:71" s="3030" customFormat="1">
      <c r="A149" s="2126"/>
      <c r="B149" s="2126"/>
      <c r="C149" s="2149"/>
      <c r="D149" s="3248"/>
      <c r="E149" s="525"/>
      <c r="F149" s="525"/>
      <c r="G149" s="526"/>
      <c r="K149" s="3280"/>
      <c r="P149" s="3041"/>
      <c r="X149" s="3280"/>
      <c r="AA149" s="3041"/>
      <c r="AF149" s="3041"/>
      <c r="AN149" s="3280"/>
      <c r="AZ149" s="3041"/>
      <c r="BD149" s="3281"/>
      <c r="BH149" s="3282"/>
      <c r="BJ149" s="2589"/>
      <c r="BK149" s="2126"/>
      <c r="BL149" s="2126"/>
      <c r="BM149" s="2126"/>
      <c r="BN149" s="2126"/>
      <c r="BO149" s="2126"/>
      <c r="BP149" s="2126"/>
      <c r="BQ149" s="2126"/>
      <c r="BR149" s="2126"/>
      <c r="BS149" s="2126"/>
    </row>
    <row r="150" spans="1:71" s="3030" customFormat="1">
      <c r="A150" s="2126"/>
      <c r="B150" s="2126"/>
      <c r="C150" s="2149"/>
      <c r="D150" s="3248"/>
      <c r="E150" s="525"/>
      <c r="F150" s="525"/>
      <c r="G150" s="526"/>
      <c r="K150" s="3280"/>
      <c r="P150" s="3041"/>
      <c r="X150" s="3280"/>
      <c r="AA150" s="3041"/>
      <c r="AF150" s="3041"/>
      <c r="AN150" s="3280"/>
      <c r="AZ150" s="3041"/>
      <c r="BD150" s="3281"/>
      <c r="BH150" s="3282"/>
      <c r="BJ150" s="2589"/>
      <c r="BK150" s="2126"/>
      <c r="BL150" s="2126"/>
      <c r="BM150" s="2126"/>
      <c r="BN150" s="2126"/>
      <c r="BO150" s="2126"/>
      <c r="BP150" s="2126"/>
      <c r="BQ150" s="2126"/>
      <c r="BR150" s="2126"/>
      <c r="BS150" s="2126"/>
    </row>
    <row r="151" spans="1:71" s="3030" customFormat="1">
      <c r="A151" s="2126"/>
      <c r="B151" s="2126"/>
      <c r="C151" s="2149"/>
      <c r="D151" s="3248"/>
      <c r="E151" s="525"/>
      <c r="F151" s="525"/>
      <c r="G151" s="526"/>
      <c r="K151" s="3280"/>
      <c r="P151" s="3041"/>
      <c r="X151" s="3280"/>
      <c r="AA151" s="3041"/>
      <c r="AF151" s="3041"/>
      <c r="AN151" s="3280"/>
      <c r="AZ151" s="3041"/>
      <c r="BD151" s="3281"/>
      <c r="BH151" s="3282"/>
      <c r="BJ151" s="2589"/>
      <c r="BK151" s="2126"/>
      <c r="BL151" s="2126"/>
      <c r="BM151" s="2126"/>
      <c r="BN151" s="2126"/>
      <c r="BO151" s="2126"/>
      <c r="BP151" s="2126"/>
      <c r="BQ151" s="2126"/>
      <c r="BR151" s="2126"/>
      <c r="BS151" s="2126"/>
    </row>
    <row r="152" spans="1:71" s="3030" customFormat="1">
      <c r="A152" s="2126"/>
      <c r="B152" s="2126"/>
      <c r="C152" s="2149"/>
      <c r="D152" s="3248"/>
      <c r="E152" s="525"/>
      <c r="F152" s="525"/>
      <c r="G152" s="526"/>
      <c r="K152" s="3280"/>
      <c r="P152" s="3041"/>
      <c r="X152" s="3280"/>
      <c r="AA152" s="3041"/>
      <c r="AF152" s="3041"/>
      <c r="AN152" s="3280"/>
      <c r="AZ152" s="3041"/>
      <c r="BD152" s="3281"/>
      <c r="BH152" s="3282"/>
      <c r="BJ152" s="2589"/>
      <c r="BK152" s="2126"/>
      <c r="BL152" s="2126"/>
      <c r="BM152" s="2126"/>
      <c r="BN152" s="2126"/>
      <c r="BO152" s="2126"/>
      <c r="BP152" s="2126"/>
      <c r="BQ152" s="2126"/>
      <c r="BR152" s="2126"/>
      <c r="BS152" s="2126"/>
    </row>
    <row r="153" spans="1:71" s="3030" customFormat="1">
      <c r="A153" s="2126"/>
      <c r="B153" s="2126"/>
      <c r="C153" s="2149"/>
      <c r="D153" s="3248"/>
      <c r="E153" s="525"/>
      <c r="F153" s="525"/>
      <c r="G153" s="526"/>
      <c r="K153" s="3280"/>
      <c r="P153" s="3041"/>
      <c r="X153" s="3280"/>
      <c r="AA153" s="3041"/>
      <c r="AF153" s="3041"/>
      <c r="AN153" s="3280"/>
      <c r="AZ153" s="3041"/>
      <c r="BD153" s="3281"/>
      <c r="BH153" s="3282"/>
      <c r="BJ153" s="2589"/>
      <c r="BK153" s="2126"/>
      <c r="BL153" s="2126"/>
      <c r="BM153" s="2126"/>
      <c r="BN153" s="2126"/>
      <c r="BO153" s="2126"/>
      <c r="BP153" s="2126"/>
      <c r="BQ153" s="2126"/>
      <c r="BR153" s="2126"/>
      <c r="BS153" s="2126"/>
    </row>
    <row r="154" spans="1:71" s="3030" customFormat="1">
      <c r="A154" s="2126"/>
      <c r="B154" s="2126"/>
      <c r="C154" s="2149"/>
      <c r="D154" s="3248"/>
      <c r="E154" s="525"/>
      <c r="F154" s="525"/>
      <c r="G154" s="526"/>
      <c r="K154" s="3280"/>
      <c r="P154" s="3041"/>
      <c r="X154" s="3280"/>
      <c r="AA154" s="3041"/>
      <c r="AF154" s="3041"/>
      <c r="AN154" s="3280"/>
      <c r="AZ154" s="3041"/>
      <c r="BD154" s="3281"/>
      <c r="BH154" s="3282"/>
      <c r="BJ154" s="2589"/>
      <c r="BK154" s="2126"/>
      <c r="BL154" s="2126"/>
      <c r="BM154" s="2126"/>
      <c r="BN154" s="2126"/>
      <c r="BO154" s="2126"/>
      <c r="BP154" s="2126"/>
      <c r="BQ154" s="2126"/>
      <c r="BR154" s="2126"/>
      <c r="BS154" s="2126"/>
    </row>
    <row r="155" spans="1:71" s="3030" customFormat="1">
      <c r="A155" s="2126"/>
      <c r="B155" s="2126"/>
      <c r="C155" s="2149"/>
      <c r="D155" s="3248"/>
      <c r="E155" s="525"/>
      <c r="F155" s="525"/>
      <c r="G155" s="526"/>
      <c r="K155" s="3280"/>
      <c r="P155" s="3041"/>
      <c r="X155" s="3280"/>
      <c r="AA155" s="3041"/>
      <c r="AF155" s="3041"/>
      <c r="AN155" s="3280"/>
      <c r="AZ155" s="3041"/>
      <c r="BD155" s="3281"/>
      <c r="BH155" s="3282"/>
      <c r="BJ155" s="2589"/>
      <c r="BK155" s="2126"/>
      <c r="BL155" s="2126"/>
      <c r="BM155" s="2126"/>
      <c r="BN155" s="2126"/>
      <c r="BO155" s="2126"/>
      <c r="BP155" s="2126"/>
      <c r="BQ155" s="2126"/>
      <c r="BR155" s="2126"/>
      <c r="BS155" s="2126"/>
    </row>
    <row r="156" spans="1:71" s="3030" customFormat="1">
      <c r="A156" s="2126"/>
      <c r="B156" s="2126"/>
      <c r="C156" s="2149"/>
      <c r="D156" s="3248"/>
      <c r="E156" s="525"/>
      <c r="F156" s="525"/>
      <c r="G156" s="526"/>
      <c r="K156" s="3280"/>
      <c r="P156" s="3041"/>
      <c r="X156" s="3280"/>
      <c r="AA156" s="3041"/>
      <c r="AF156" s="3041"/>
      <c r="AN156" s="3280"/>
      <c r="AZ156" s="3041"/>
      <c r="BD156" s="3281"/>
      <c r="BH156" s="3282"/>
      <c r="BJ156" s="2589"/>
      <c r="BK156" s="2126"/>
      <c r="BL156" s="2126"/>
      <c r="BM156" s="2126"/>
      <c r="BN156" s="2126"/>
      <c r="BO156" s="2126"/>
      <c r="BP156" s="2126"/>
      <c r="BQ156" s="2126"/>
      <c r="BR156" s="2126"/>
      <c r="BS156" s="2126"/>
    </row>
    <row r="157" spans="1:71" s="3030" customFormat="1">
      <c r="A157" s="2126"/>
      <c r="B157" s="2126"/>
      <c r="C157" s="2149"/>
      <c r="D157" s="3248"/>
      <c r="E157" s="525"/>
      <c r="F157" s="525"/>
      <c r="G157" s="526"/>
      <c r="K157" s="3280"/>
      <c r="P157" s="3041"/>
      <c r="X157" s="3280"/>
      <c r="AA157" s="3041"/>
      <c r="AF157" s="3041"/>
      <c r="AN157" s="3280"/>
      <c r="AZ157" s="3041"/>
      <c r="BD157" s="3281"/>
      <c r="BH157" s="3282"/>
      <c r="BJ157" s="2589"/>
      <c r="BK157" s="2126"/>
      <c r="BL157" s="2126"/>
      <c r="BM157" s="2126"/>
      <c r="BN157" s="2126"/>
      <c r="BO157" s="2126"/>
      <c r="BP157" s="2126"/>
      <c r="BQ157" s="2126"/>
      <c r="BR157" s="2126"/>
      <c r="BS157" s="2126"/>
    </row>
    <row r="158" spans="1:71" s="3030" customFormat="1">
      <c r="A158" s="2126"/>
      <c r="B158" s="2126"/>
      <c r="C158" s="2149"/>
      <c r="D158" s="3248"/>
      <c r="E158" s="525"/>
      <c r="F158" s="525"/>
      <c r="G158" s="526"/>
      <c r="K158" s="3280"/>
      <c r="P158" s="3041"/>
      <c r="X158" s="3280"/>
      <c r="AA158" s="3041"/>
      <c r="AF158" s="3041"/>
      <c r="AN158" s="3280"/>
      <c r="AZ158" s="3041"/>
      <c r="BD158" s="3281"/>
      <c r="BH158" s="3282"/>
      <c r="BJ158" s="2589"/>
      <c r="BK158" s="2126"/>
      <c r="BL158" s="2126"/>
      <c r="BM158" s="2126"/>
      <c r="BN158" s="2126"/>
      <c r="BO158" s="2126"/>
      <c r="BP158" s="2126"/>
      <c r="BQ158" s="2126"/>
      <c r="BR158" s="2126"/>
      <c r="BS158" s="2126"/>
    </row>
    <row r="159" spans="1:71" s="3030" customFormat="1">
      <c r="A159" s="2126"/>
      <c r="B159" s="2126"/>
      <c r="C159" s="2149"/>
      <c r="D159" s="3248"/>
      <c r="E159" s="525"/>
      <c r="F159" s="525"/>
      <c r="G159" s="526"/>
      <c r="K159" s="3280"/>
      <c r="P159" s="3041"/>
      <c r="X159" s="3280"/>
      <c r="AA159" s="3041"/>
      <c r="AF159" s="3041"/>
      <c r="AN159" s="3280"/>
      <c r="AZ159" s="3041"/>
      <c r="BD159" s="3281"/>
      <c r="BH159" s="3282"/>
      <c r="BJ159" s="2589"/>
      <c r="BK159" s="2126"/>
      <c r="BL159" s="2126"/>
      <c r="BM159" s="2126"/>
      <c r="BN159" s="2126"/>
      <c r="BO159" s="2126"/>
      <c r="BP159" s="2126"/>
      <c r="BQ159" s="2126"/>
      <c r="BR159" s="2126"/>
      <c r="BS159" s="2126"/>
    </row>
    <row r="160" spans="1:71" s="3030" customFormat="1">
      <c r="A160" s="2126"/>
      <c r="B160" s="2126"/>
      <c r="C160" s="2149"/>
      <c r="D160" s="3248"/>
      <c r="E160" s="525"/>
      <c r="F160" s="525"/>
      <c r="G160" s="526"/>
      <c r="K160" s="3280"/>
      <c r="P160" s="3041"/>
      <c r="X160" s="3280"/>
      <c r="AA160" s="3041"/>
      <c r="AF160" s="3041"/>
      <c r="AN160" s="3280"/>
      <c r="AZ160" s="3041"/>
      <c r="BD160" s="3281"/>
      <c r="BH160" s="3282"/>
      <c r="BJ160" s="2589"/>
      <c r="BK160" s="2126"/>
      <c r="BL160" s="2126"/>
      <c r="BM160" s="2126"/>
      <c r="BN160" s="2126"/>
      <c r="BO160" s="2126"/>
      <c r="BP160" s="2126"/>
      <c r="BQ160" s="2126"/>
      <c r="BR160" s="2126"/>
      <c r="BS160" s="2126"/>
    </row>
    <row r="161" spans="1:71" s="3030" customFormat="1">
      <c r="A161" s="2126"/>
      <c r="B161" s="2126"/>
      <c r="C161" s="2149"/>
      <c r="D161" s="3248"/>
      <c r="E161" s="525"/>
      <c r="F161" s="525"/>
      <c r="G161" s="526"/>
      <c r="K161" s="3280"/>
      <c r="P161" s="3041"/>
      <c r="X161" s="3280"/>
      <c r="AA161" s="3041"/>
      <c r="AF161" s="3041"/>
      <c r="AN161" s="3280"/>
      <c r="AZ161" s="3041"/>
      <c r="BD161" s="3281"/>
      <c r="BH161" s="3282"/>
      <c r="BJ161" s="2589"/>
      <c r="BK161" s="2126"/>
      <c r="BL161" s="2126"/>
      <c r="BM161" s="2126"/>
      <c r="BN161" s="2126"/>
      <c r="BO161" s="2126"/>
      <c r="BP161" s="2126"/>
      <c r="BQ161" s="2126"/>
      <c r="BR161" s="2126"/>
      <c r="BS161" s="2126"/>
    </row>
    <row r="162" spans="1:71" s="3030" customFormat="1">
      <c r="A162" s="2126"/>
      <c r="B162" s="2126"/>
      <c r="C162" s="2149"/>
      <c r="D162" s="3248"/>
      <c r="E162" s="525"/>
      <c r="F162" s="525"/>
      <c r="G162" s="526"/>
      <c r="K162" s="3280"/>
      <c r="P162" s="3041"/>
      <c r="X162" s="3280"/>
      <c r="AA162" s="3041"/>
      <c r="AF162" s="3041"/>
      <c r="AN162" s="3280"/>
      <c r="AZ162" s="3041"/>
      <c r="BD162" s="3281"/>
      <c r="BH162" s="3282"/>
      <c r="BJ162" s="2589"/>
      <c r="BK162" s="2126"/>
      <c r="BL162" s="2126"/>
      <c r="BM162" s="2126"/>
      <c r="BN162" s="2126"/>
      <c r="BO162" s="2126"/>
      <c r="BP162" s="2126"/>
      <c r="BQ162" s="2126"/>
      <c r="BR162" s="2126"/>
      <c r="BS162" s="2126"/>
    </row>
    <row r="163" spans="1:71" s="3030" customFormat="1">
      <c r="A163" s="2126"/>
      <c r="B163" s="2126"/>
      <c r="C163" s="2149"/>
      <c r="D163" s="3248"/>
      <c r="E163" s="525"/>
      <c r="F163" s="525"/>
      <c r="G163" s="526"/>
      <c r="K163" s="3280"/>
      <c r="P163" s="3041"/>
      <c r="X163" s="3280"/>
      <c r="AA163" s="3041"/>
      <c r="AF163" s="3041"/>
      <c r="AN163" s="3280"/>
      <c r="AZ163" s="3041"/>
      <c r="BD163" s="3281"/>
      <c r="BH163" s="3282"/>
      <c r="BJ163" s="2589"/>
      <c r="BK163" s="2126"/>
      <c r="BL163" s="2126"/>
      <c r="BM163" s="2126"/>
      <c r="BN163" s="2126"/>
      <c r="BO163" s="2126"/>
      <c r="BP163" s="2126"/>
      <c r="BQ163" s="2126"/>
      <c r="BR163" s="2126"/>
      <c r="BS163" s="2126"/>
    </row>
    <row r="164" spans="1:71" s="3030" customFormat="1">
      <c r="A164" s="2126"/>
      <c r="B164" s="2126"/>
      <c r="C164" s="2149"/>
      <c r="D164" s="3248"/>
      <c r="E164" s="525"/>
      <c r="F164" s="525"/>
      <c r="G164" s="526"/>
      <c r="K164" s="3280"/>
      <c r="P164" s="3041"/>
      <c r="X164" s="3280"/>
      <c r="AA164" s="3041"/>
      <c r="AF164" s="3041"/>
      <c r="AN164" s="3280"/>
      <c r="AZ164" s="3041"/>
      <c r="BD164" s="3281"/>
      <c r="BH164" s="3282"/>
      <c r="BJ164" s="2589"/>
      <c r="BK164" s="2126"/>
      <c r="BL164" s="2126"/>
      <c r="BM164" s="2126"/>
      <c r="BN164" s="2126"/>
      <c r="BO164" s="2126"/>
      <c r="BP164" s="2126"/>
      <c r="BQ164" s="2126"/>
      <c r="BR164" s="2126"/>
      <c r="BS164" s="2126"/>
    </row>
    <row r="165" spans="1:71" s="3030" customFormat="1">
      <c r="A165" s="2126"/>
      <c r="B165" s="2126"/>
      <c r="C165" s="2149"/>
      <c r="D165" s="3248"/>
      <c r="E165" s="525"/>
      <c r="F165" s="525"/>
      <c r="G165" s="526"/>
      <c r="K165" s="3280"/>
      <c r="P165" s="3041"/>
      <c r="X165" s="3280"/>
      <c r="AA165" s="3041"/>
      <c r="AF165" s="3041"/>
      <c r="AN165" s="3280"/>
      <c r="AZ165" s="3041"/>
      <c r="BD165" s="3281"/>
      <c r="BH165" s="3282"/>
      <c r="BJ165" s="2589"/>
      <c r="BK165" s="2126"/>
      <c r="BL165" s="2126"/>
      <c r="BM165" s="2126"/>
      <c r="BN165" s="2126"/>
      <c r="BO165" s="2126"/>
      <c r="BP165" s="2126"/>
      <c r="BQ165" s="2126"/>
      <c r="BR165" s="2126"/>
      <c r="BS165" s="2126"/>
    </row>
    <row r="166" spans="1:71" s="3030" customFormat="1">
      <c r="A166" s="2126"/>
      <c r="B166" s="2126"/>
      <c r="C166" s="2149"/>
      <c r="D166" s="3248"/>
      <c r="E166" s="525"/>
      <c r="F166" s="525"/>
      <c r="G166" s="526"/>
      <c r="K166" s="3280"/>
      <c r="P166" s="3041"/>
      <c r="X166" s="3280"/>
      <c r="AA166" s="3041"/>
      <c r="AF166" s="3041"/>
      <c r="AN166" s="3280"/>
      <c r="AZ166" s="3041"/>
      <c r="BD166" s="3281"/>
      <c r="BH166" s="3282"/>
      <c r="BJ166" s="2589"/>
      <c r="BK166" s="2126"/>
      <c r="BL166" s="2126"/>
      <c r="BM166" s="2126"/>
      <c r="BN166" s="2126"/>
      <c r="BO166" s="2126"/>
      <c r="BP166" s="2126"/>
      <c r="BQ166" s="2126"/>
      <c r="BR166" s="2126"/>
      <c r="BS166" s="2126"/>
    </row>
    <row r="167" spans="1:71" s="3030" customFormat="1">
      <c r="A167" s="2126"/>
      <c r="B167" s="2126"/>
      <c r="C167" s="2149"/>
      <c r="D167" s="3248"/>
      <c r="E167" s="525"/>
      <c r="F167" s="525"/>
      <c r="G167" s="526"/>
      <c r="K167" s="3280"/>
      <c r="P167" s="3041"/>
      <c r="X167" s="3280"/>
      <c r="AA167" s="3041"/>
      <c r="AF167" s="3041"/>
      <c r="AN167" s="3280"/>
      <c r="AZ167" s="3041"/>
      <c r="BD167" s="3281"/>
      <c r="BH167" s="3282"/>
      <c r="BJ167" s="2589"/>
      <c r="BK167" s="2126"/>
      <c r="BL167" s="2126"/>
      <c r="BM167" s="2126"/>
      <c r="BN167" s="2126"/>
      <c r="BO167" s="2126"/>
      <c r="BP167" s="2126"/>
      <c r="BQ167" s="2126"/>
      <c r="BR167" s="2126"/>
      <c r="BS167" s="2126"/>
    </row>
    <row r="168" spans="1:71" s="3030" customFormat="1">
      <c r="A168" s="2126"/>
      <c r="B168" s="2126"/>
      <c r="C168" s="2149"/>
      <c r="D168" s="3248"/>
      <c r="E168" s="525"/>
      <c r="F168" s="525"/>
      <c r="G168" s="526"/>
      <c r="K168" s="3280"/>
      <c r="P168" s="3041"/>
      <c r="X168" s="3280"/>
      <c r="AA168" s="3041"/>
      <c r="AF168" s="3041"/>
      <c r="AN168" s="3280"/>
      <c r="AZ168" s="3041"/>
      <c r="BD168" s="3281"/>
      <c r="BH168" s="3282"/>
      <c r="BJ168" s="2589"/>
      <c r="BK168" s="2126"/>
      <c r="BL168" s="2126"/>
      <c r="BM168" s="2126"/>
      <c r="BN168" s="2126"/>
      <c r="BO168" s="2126"/>
      <c r="BP168" s="2126"/>
      <c r="BQ168" s="2126"/>
      <c r="BR168" s="2126"/>
      <c r="BS168" s="2126"/>
    </row>
    <row r="169" spans="1:71" s="3030" customFormat="1">
      <c r="A169" s="2126"/>
      <c r="B169" s="2126"/>
      <c r="C169" s="2149"/>
      <c r="D169" s="3248"/>
      <c r="E169" s="525"/>
      <c r="F169" s="525"/>
      <c r="G169" s="526"/>
      <c r="K169" s="3280"/>
      <c r="P169" s="3041"/>
      <c r="X169" s="3280"/>
      <c r="AA169" s="3041"/>
      <c r="AF169" s="3041"/>
      <c r="AN169" s="3280"/>
      <c r="AZ169" s="3041"/>
      <c r="BD169" s="3281"/>
      <c r="BH169" s="3282"/>
      <c r="BJ169" s="2589"/>
      <c r="BK169" s="2126"/>
      <c r="BL169" s="2126"/>
      <c r="BM169" s="2126"/>
      <c r="BN169" s="2126"/>
      <c r="BO169" s="2126"/>
      <c r="BP169" s="2126"/>
      <c r="BQ169" s="2126"/>
      <c r="BR169" s="2126"/>
      <c r="BS169" s="2126"/>
    </row>
    <row r="170" spans="1:71" s="3030" customFormat="1">
      <c r="A170" s="2126"/>
      <c r="B170" s="2126"/>
      <c r="C170" s="2149"/>
      <c r="D170" s="3248"/>
      <c r="E170" s="525"/>
      <c r="F170" s="525"/>
      <c r="G170" s="526"/>
      <c r="K170" s="3280"/>
      <c r="P170" s="3041"/>
      <c r="X170" s="3280"/>
      <c r="AA170" s="3041"/>
      <c r="AF170" s="3041"/>
      <c r="AN170" s="3280"/>
      <c r="AZ170" s="3041"/>
      <c r="BD170" s="3281"/>
      <c r="BH170" s="3282"/>
      <c r="BJ170" s="2589"/>
      <c r="BK170" s="2126"/>
      <c r="BL170" s="2126"/>
      <c r="BM170" s="2126"/>
      <c r="BN170" s="2126"/>
      <c r="BO170" s="2126"/>
      <c r="BP170" s="2126"/>
      <c r="BQ170" s="2126"/>
      <c r="BR170" s="2126"/>
      <c r="BS170" s="2126"/>
    </row>
    <row r="171" spans="1:71" s="3030" customFormat="1">
      <c r="A171" s="2126"/>
      <c r="B171" s="2126"/>
      <c r="C171" s="2149"/>
      <c r="D171" s="3248"/>
      <c r="E171" s="525"/>
      <c r="F171" s="525"/>
      <c r="G171" s="526"/>
      <c r="K171" s="3280"/>
      <c r="P171" s="3041"/>
      <c r="X171" s="3280"/>
      <c r="AA171" s="3041"/>
      <c r="AF171" s="3041"/>
      <c r="AN171" s="3280"/>
      <c r="AZ171" s="3041"/>
      <c r="BD171" s="3281"/>
      <c r="BH171" s="3282"/>
      <c r="BJ171" s="2589"/>
      <c r="BK171" s="2126"/>
      <c r="BL171" s="2126"/>
      <c r="BM171" s="2126"/>
      <c r="BN171" s="2126"/>
      <c r="BO171" s="2126"/>
      <c r="BP171" s="2126"/>
      <c r="BQ171" s="2126"/>
      <c r="BR171" s="2126"/>
      <c r="BS171" s="2126"/>
    </row>
    <row r="172" spans="1:71" s="3030" customFormat="1">
      <c r="A172" s="2126"/>
      <c r="B172" s="2126"/>
      <c r="C172" s="2149"/>
      <c r="D172" s="3248"/>
      <c r="E172" s="525"/>
      <c r="F172" s="525"/>
      <c r="G172" s="526"/>
      <c r="K172" s="3280"/>
      <c r="P172" s="3041"/>
      <c r="X172" s="3280"/>
      <c r="AA172" s="3041"/>
      <c r="AF172" s="3041"/>
      <c r="AN172" s="3280"/>
      <c r="AZ172" s="3041"/>
      <c r="BD172" s="3281"/>
      <c r="BH172" s="3282"/>
      <c r="BJ172" s="2589"/>
      <c r="BK172" s="2126"/>
      <c r="BL172" s="2126"/>
      <c r="BM172" s="2126"/>
      <c r="BN172" s="2126"/>
      <c r="BO172" s="2126"/>
      <c r="BP172" s="2126"/>
      <c r="BQ172" s="2126"/>
      <c r="BR172" s="2126"/>
      <c r="BS172" s="2126"/>
    </row>
    <row r="173" spans="1:71" s="3030" customFormat="1">
      <c r="A173" s="2126"/>
      <c r="B173" s="2126"/>
      <c r="C173" s="2149"/>
      <c r="D173" s="3248"/>
      <c r="E173" s="525"/>
      <c r="F173" s="525"/>
      <c r="G173" s="526"/>
      <c r="K173" s="3280"/>
      <c r="P173" s="3041"/>
      <c r="X173" s="3280"/>
      <c r="AA173" s="3041"/>
      <c r="AF173" s="3041"/>
      <c r="AN173" s="3280"/>
      <c r="AZ173" s="3041"/>
      <c r="BD173" s="3281"/>
      <c r="BH173" s="3282"/>
      <c r="BJ173" s="2589"/>
      <c r="BK173" s="2126"/>
      <c r="BL173" s="2126"/>
      <c r="BM173" s="2126"/>
      <c r="BN173" s="2126"/>
      <c r="BO173" s="2126"/>
      <c r="BP173" s="2126"/>
      <c r="BQ173" s="2126"/>
      <c r="BR173" s="2126"/>
      <c r="BS173" s="2126"/>
    </row>
    <row r="174" spans="1:71" s="3030" customFormat="1">
      <c r="A174" s="2126"/>
      <c r="B174" s="2126"/>
      <c r="C174" s="2149"/>
      <c r="D174" s="3248"/>
      <c r="E174" s="525"/>
      <c r="F174" s="525"/>
      <c r="G174" s="526"/>
      <c r="K174" s="3280"/>
      <c r="P174" s="3041"/>
      <c r="X174" s="3280"/>
      <c r="AA174" s="3041"/>
      <c r="AF174" s="3041"/>
      <c r="AN174" s="3280"/>
      <c r="AZ174" s="3041"/>
      <c r="BD174" s="3281"/>
      <c r="BH174" s="3282"/>
      <c r="BJ174" s="2589"/>
      <c r="BK174" s="2126"/>
      <c r="BL174" s="2126"/>
      <c r="BM174" s="2126"/>
      <c r="BN174" s="2126"/>
      <c r="BO174" s="2126"/>
      <c r="BP174" s="2126"/>
      <c r="BQ174" s="2126"/>
      <c r="BR174" s="2126"/>
      <c r="BS174" s="2126"/>
    </row>
    <row r="175" spans="1:71" s="3030" customFormat="1">
      <c r="A175" s="2126"/>
      <c r="B175" s="2126"/>
      <c r="C175" s="2149"/>
      <c r="D175" s="3248"/>
      <c r="E175" s="525"/>
      <c r="F175" s="525"/>
      <c r="G175" s="526"/>
      <c r="K175" s="3280"/>
      <c r="P175" s="3041"/>
      <c r="X175" s="3280"/>
      <c r="AA175" s="3041"/>
      <c r="AF175" s="3041"/>
      <c r="AN175" s="3280"/>
      <c r="AZ175" s="3041"/>
      <c r="BD175" s="3281"/>
      <c r="BH175" s="3282"/>
      <c r="BJ175" s="2589"/>
      <c r="BK175" s="2126"/>
      <c r="BL175" s="2126"/>
      <c r="BM175" s="2126"/>
      <c r="BN175" s="2126"/>
      <c r="BO175" s="2126"/>
      <c r="BP175" s="2126"/>
      <c r="BQ175" s="2126"/>
      <c r="BR175" s="2126"/>
      <c r="BS175" s="2126"/>
    </row>
    <row r="176" spans="1:71" s="3030" customFormat="1">
      <c r="A176" s="2126"/>
      <c r="B176" s="2126"/>
      <c r="C176" s="2149"/>
      <c r="D176" s="3248"/>
      <c r="E176" s="525"/>
      <c r="F176" s="525"/>
      <c r="G176" s="526"/>
      <c r="K176" s="3280"/>
      <c r="P176" s="3041"/>
      <c r="X176" s="3280"/>
      <c r="AA176" s="3041"/>
      <c r="AF176" s="3041"/>
      <c r="AN176" s="3280"/>
      <c r="AZ176" s="3041"/>
      <c r="BD176" s="3281"/>
      <c r="BH176" s="3282"/>
      <c r="BJ176" s="2589"/>
      <c r="BK176" s="2126"/>
      <c r="BL176" s="2126"/>
      <c r="BM176" s="2126"/>
      <c r="BN176" s="2126"/>
      <c r="BO176" s="2126"/>
      <c r="BP176" s="2126"/>
      <c r="BQ176" s="2126"/>
      <c r="BR176" s="2126"/>
      <c r="BS176" s="2126"/>
    </row>
    <row r="177" spans="1:71" s="3030" customFormat="1">
      <c r="A177" s="2126"/>
      <c r="B177" s="2126"/>
      <c r="C177" s="2149"/>
      <c r="D177" s="3248"/>
      <c r="E177" s="525"/>
      <c r="F177" s="525"/>
      <c r="G177" s="526"/>
      <c r="K177" s="3280"/>
      <c r="P177" s="3041"/>
      <c r="X177" s="3280"/>
      <c r="AA177" s="3041"/>
      <c r="AF177" s="3041"/>
      <c r="AN177" s="3280"/>
      <c r="AZ177" s="3041"/>
      <c r="BD177" s="3281"/>
      <c r="BH177" s="3282"/>
      <c r="BJ177" s="2589"/>
      <c r="BK177" s="2126"/>
      <c r="BL177" s="2126"/>
      <c r="BM177" s="2126"/>
      <c r="BN177" s="2126"/>
      <c r="BO177" s="2126"/>
      <c r="BP177" s="2126"/>
      <c r="BQ177" s="2126"/>
      <c r="BR177" s="2126"/>
      <c r="BS177" s="2126"/>
    </row>
    <row r="178" spans="1:71" s="3030" customFormat="1">
      <c r="A178" s="2126"/>
      <c r="B178" s="2126"/>
      <c r="C178" s="2149"/>
      <c r="D178" s="3248"/>
      <c r="E178" s="525"/>
      <c r="F178" s="525"/>
      <c r="G178" s="526"/>
      <c r="K178" s="3280"/>
      <c r="P178" s="3041"/>
      <c r="X178" s="3280"/>
      <c r="AA178" s="3041"/>
      <c r="AF178" s="3041"/>
      <c r="AN178" s="3280"/>
      <c r="AZ178" s="3041"/>
      <c r="BD178" s="3281"/>
      <c r="BH178" s="3282"/>
      <c r="BJ178" s="2589"/>
      <c r="BK178" s="2126"/>
      <c r="BL178" s="2126"/>
      <c r="BM178" s="2126"/>
      <c r="BN178" s="2126"/>
      <c r="BO178" s="2126"/>
      <c r="BP178" s="2126"/>
      <c r="BQ178" s="2126"/>
      <c r="BR178" s="2126"/>
      <c r="BS178" s="2126"/>
    </row>
    <row r="179" spans="1:71" s="3030" customFormat="1">
      <c r="A179" s="2126"/>
      <c r="B179" s="2126"/>
      <c r="C179" s="2149"/>
      <c r="D179" s="3248"/>
      <c r="E179" s="525"/>
      <c r="F179" s="525"/>
      <c r="G179" s="526"/>
      <c r="K179" s="3280"/>
      <c r="P179" s="3041"/>
      <c r="X179" s="3280"/>
      <c r="AA179" s="3041"/>
      <c r="AF179" s="3041"/>
      <c r="AN179" s="3280"/>
      <c r="AZ179" s="3041"/>
      <c r="BD179" s="3281"/>
      <c r="BH179" s="3282"/>
      <c r="BJ179" s="2589"/>
      <c r="BK179" s="2126"/>
      <c r="BL179" s="2126"/>
      <c r="BM179" s="2126"/>
      <c r="BN179" s="2126"/>
      <c r="BO179" s="2126"/>
      <c r="BP179" s="2126"/>
      <c r="BQ179" s="2126"/>
      <c r="BR179" s="2126"/>
      <c r="BS179" s="2126"/>
    </row>
    <row r="180" spans="1:71" s="3030" customFormat="1">
      <c r="A180" s="2126"/>
      <c r="B180" s="2126"/>
      <c r="C180" s="2149"/>
      <c r="D180" s="3248"/>
      <c r="E180" s="525"/>
      <c r="F180" s="525"/>
      <c r="G180" s="526"/>
      <c r="K180" s="3280"/>
      <c r="P180" s="3041"/>
      <c r="X180" s="3280"/>
      <c r="AA180" s="3041"/>
      <c r="AF180" s="3041"/>
      <c r="AN180" s="3280"/>
      <c r="AZ180" s="3041"/>
      <c r="BD180" s="3281"/>
      <c r="BH180" s="3282"/>
      <c r="BJ180" s="2589"/>
      <c r="BK180" s="2126"/>
      <c r="BL180" s="2126"/>
      <c r="BM180" s="2126"/>
      <c r="BN180" s="2126"/>
      <c r="BO180" s="2126"/>
      <c r="BP180" s="2126"/>
      <c r="BQ180" s="2126"/>
      <c r="BR180" s="2126"/>
      <c r="BS180" s="2126"/>
    </row>
    <row r="181" spans="1:71" s="3030" customFormat="1">
      <c r="A181" s="2126"/>
      <c r="B181" s="2126"/>
      <c r="C181" s="2149"/>
      <c r="D181" s="3248"/>
      <c r="E181" s="525"/>
      <c r="F181" s="525"/>
      <c r="G181" s="526"/>
      <c r="K181" s="3280"/>
      <c r="P181" s="3041"/>
      <c r="X181" s="3280"/>
      <c r="AA181" s="3041"/>
      <c r="AF181" s="3041"/>
      <c r="AN181" s="3280"/>
      <c r="AZ181" s="3041"/>
      <c r="BD181" s="3281"/>
      <c r="BH181" s="3282"/>
      <c r="BJ181" s="2589"/>
      <c r="BK181" s="2126"/>
      <c r="BL181" s="2126"/>
      <c r="BM181" s="2126"/>
      <c r="BN181" s="2126"/>
      <c r="BO181" s="2126"/>
      <c r="BP181" s="2126"/>
      <c r="BQ181" s="2126"/>
      <c r="BR181" s="2126"/>
      <c r="BS181" s="2126"/>
    </row>
    <row r="182" spans="1:71" s="3030" customFormat="1">
      <c r="A182" s="2126"/>
      <c r="B182" s="2126"/>
      <c r="C182" s="2149"/>
      <c r="D182" s="3248"/>
      <c r="E182" s="525"/>
      <c r="F182" s="525"/>
      <c r="G182" s="526"/>
      <c r="K182" s="3280"/>
      <c r="P182" s="3041"/>
      <c r="X182" s="3280"/>
      <c r="AA182" s="3041"/>
      <c r="AF182" s="3041"/>
      <c r="AN182" s="3280"/>
      <c r="AZ182" s="3041"/>
      <c r="BD182" s="3281"/>
      <c r="BH182" s="3282"/>
      <c r="BJ182" s="2589"/>
      <c r="BK182" s="2126"/>
      <c r="BL182" s="2126"/>
      <c r="BM182" s="2126"/>
      <c r="BN182" s="2126"/>
      <c r="BO182" s="2126"/>
      <c r="BP182" s="2126"/>
      <c r="BQ182" s="2126"/>
      <c r="BR182" s="2126"/>
      <c r="BS182" s="2126"/>
    </row>
    <row r="183" spans="1:71" s="3030" customFormat="1">
      <c r="A183" s="2126"/>
      <c r="B183" s="2126"/>
      <c r="C183" s="2149"/>
      <c r="D183" s="3248"/>
      <c r="E183" s="525"/>
      <c r="F183" s="525"/>
      <c r="G183" s="526"/>
      <c r="K183" s="3280"/>
      <c r="P183" s="3041"/>
      <c r="X183" s="3280"/>
      <c r="AA183" s="3041"/>
      <c r="AF183" s="3041"/>
      <c r="AN183" s="3280"/>
      <c r="AZ183" s="3041"/>
      <c r="BD183" s="3281"/>
      <c r="BH183" s="3282"/>
      <c r="BJ183" s="2589"/>
      <c r="BK183" s="2126"/>
      <c r="BL183" s="2126"/>
      <c r="BM183" s="2126"/>
      <c r="BN183" s="2126"/>
      <c r="BO183" s="2126"/>
      <c r="BP183" s="2126"/>
      <c r="BQ183" s="2126"/>
      <c r="BR183" s="2126"/>
      <c r="BS183" s="2126"/>
    </row>
    <row r="184" spans="1:71" s="3030" customFormat="1">
      <c r="A184" s="2126"/>
      <c r="B184" s="2126"/>
      <c r="C184" s="2149"/>
      <c r="D184" s="3248"/>
      <c r="E184" s="525"/>
      <c r="F184" s="525"/>
      <c r="G184" s="526"/>
      <c r="K184" s="3280"/>
      <c r="P184" s="3041"/>
      <c r="X184" s="3280"/>
      <c r="AA184" s="3041"/>
      <c r="AF184" s="3041"/>
      <c r="AN184" s="3280"/>
      <c r="AZ184" s="3041"/>
      <c r="BD184" s="3281"/>
      <c r="BH184" s="3282"/>
      <c r="BJ184" s="2589"/>
      <c r="BK184" s="2126"/>
      <c r="BL184" s="2126"/>
      <c r="BM184" s="2126"/>
      <c r="BN184" s="2126"/>
      <c r="BO184" s="2126"/>
      <c r="BP184" s="2126"/>
      <c r="BQ184" s="2126"/>
      <c r="BR184" s="2126"/>
      <c r="BS184" s="2126"/>
    </row>
    <row r="185" spans="1:71" s="3030" customFormat="1">
      <c r="A185" s="2126"/>
      <c r="B185" s="2126"/>
      <c r="C185" s="2149"/>
      <c r="D185" s="3248"/>
      <c r="E185" s="525"/>
      <c r="F185" s="525"/>
      <c r="G185" s="526"/>
      <c r="K185" s="3280"/>
      <c r="P185" s="3041"/>
      <c r="X185" s="3280"/>
      <c r="AA185" s="3041"/>
      <c r="AF185" s="3041"/>
      <c r="AN185" s="3280"/>
      <c r="AZ185" s="3041"/>
      <c r="BD185" s="3281"/>
      <c r="BH185" s="3282"/>
      <c r="BJ185" s="2589"/>
      <c r="BK185" s="2126"/>
      <c r="BL185" s="2126"/>
      <c r="BM185" s="2126"/>
      <c r="BN185" s="2126"/>
      <c r="BO185" s="2126"/>
      <c r="BP185" s="2126"/>
      <c r="BQ185" s="2126"/>
      <c r="BR185" s="2126"/>
      <c r="BS185" s="2126"/>
    </row>
    <row r="186" spans="1:71" s="3030" customFormat="1">
      <c r="A186" s="2126"/>
      <c r="B186" s="2126"/>
      <c r="C186" s="2149"/>
      <c r="D186" s="3248"/>
      <c r="E186" s="525"/>
      <c r="F186" s="525"/>
      <c r="G186" s="526"/>
      <c r="K186" s="3280"/>
      <c r="P186" s="3041"/>
      <c r="X186" s="3280"/>
      <c r="AA186" s="3041"/>
      <c r="AF186" s="3041"/>
      <c r="AN186" s="3280"/>
      <c r="AZ186" s="3041"/>
      <c r="BD186" s="3281"/>
      <c r="BH186" s="3282"/>
      <c r="BJ186" s="2589"/>
      <c r="BK186" s="2126"/>
      <c r="BL186" s="2126"/>
      <c r="BM186" s="2126"/>
      <c r="BN186" s="2126"/>
      <c r="BO186" s="2126"/>
      <c r="BP186" s="2126"/>
      <c r="BQ186" s="2126"/>
      <c r="BR186" s="2126"/>
      <c r="BS186" s="2126"/>
    </row>
    <row r="187" spans="1:71" s="3030" customFormat="1">
      <c r="A187" s="2126"/>
      <c r="B187" s="2126"/>
      <c r="C187" s="2149"/>
      <c r="D187" s="3248"/>
      <c r="E187" s="525"/>
      <c r="F187" s="525"/>
      <c r="G187" s="526"/>
      <c r="K187" s="3280"/>
      <c r="P187" s="3041"/>
      <c r="X187" s="3280"/>
      <c r="AA187" s="3041"/>
      <c r="AF187" s="3041"/>
      <c r="AN187" s="3280"/>
      <c r="AZ187" s="3041"/>
      <c r="BD187" s="3281"/>
      <c r="BH187" s="3282"/>
      <c r="BJ187" s="2589"/>
      <c r="BK187" s="2126"/>
      <c r="BL187" s="2126"/>
      <c r="BM187" s="2126"/>
      <c r="BN187" s="2126"/>
      <c r="BO187" s="2126"/>
      <c r="BP187" s="2126"/>
      <c r="BQ187" s="2126"/>
      <c r="BR187" s="2126"/>
      <c r="BS187" s="2126"/>
    </row>
    <row r="188" spans="1:71" s="3030" customFormat="1">
      <c r="A188" s="2126"/>
      <c r="B188" s="2126"/>
      <c r="C188" s="2149"/>
      <c r="D188" s="3248"/>
      <c r="E188" s="525"/>
      <c r="F188" s="525"/>
      <c r="G188" s="526"/>
      <c r="K188" s="3280"/>
      <c r="P188" s="3041"/>
      <c r="X188" s="3280"/>
      <c r="AA188" s="3041"/>
      <c r="AF188" s="3041"/>
      <c r="AN188" s="3280"/>
      <c r="AZ188" s="3041"/>
      <c r="BD188" s="3281"/>
      <c r="BH188" s="3282"/>
      <c r="BJ188" s="2589"/>
      <c r="BK188" s="2126"/>
      <c r="BL188" s="2126"/>
      <c r="BM188" s="2126"/>
      <c r="BN188" s="2126"/>
      <c r="BO188" s="2126"/>
      <c r="BP188" s="2126"/>
      <c r="BQ188" s="2126"/>
      <c r="BR188" s="2126"/>
      <c r="BS188" s="2126"/>
    </row>
    <row r="189" spans="1:71" s="3030" customFormat="1">
      <c r="A189" s="2126"/>
      <c r="B189" s="2126"/>
      <c r="C189" s="2149"/>
      <c r="D189" s="3248"/>
      <c r="E189" s="525"/>
      <c r="F189" s="525"/>
      <c r="G189" s="526"/>
      <c r="K189" s="3280"/>
      <c r="P189" s="3041"/>
      <c r="X189" s="3280"/>
      <c r="AA189" s="3041"/>
      <c r="AF189" s="3041"/>
      <c r="AN189" s="3280"/>
      <c r="AZ189" s="3041"/>
      <c r="BD189" s="3281"/>
      <c r="BH189" s="3282"/>
      <c r="BJ189" s="2589"/>
      <c r="BK189" s="2126"/>
      <c r="BL189" s="2126"/>
      <c r="BM189" s="2126"/>
      <c r="BN189" s="2126"/>
      <c r="BO189" s="2126"/>
      <c r="BP189" s="2126"/>
      <c r="BQ189" s="2126"/>
      <c r="BR189" s="2126"/>
      <c r="BS189" s="2126"/>
    </row>
    <row r="190" spans="1:71" s="3030" customFormat="1">
      <c r="A190" s="2126"/>
      <c r="B190" s="2126"/>
      <c r="C190" s="2149"/>
      <c r="D190" s="3248"/>
      <c r="E190" s="525"/>
      <c r="F190" s="525"/>
      <c r="G190" s="526"/>
      <c r="K190" s="3280"/>
      <c r="P190" s="3041"/>
      <c r="X190" s="3280"/>
      <c r="AA190" s="3041"/>
      <c r="AF190" s="3041"/>
      <c r="AN190" s="3280"/>
      <c r="AZ190" s="3041"/>
      <c r="BD190" s="3281"/>
      <c r="BH190" s="3282"/>
      <c r="BJ190" s="2589"/>
      <c r="BK190" s="2126"/>
      <c r="BL190" s="2126"/>
      <c r="BM190" s="2126"/>
      <c r="BN190" s="2126"/>
      <c r="BO190" s="2126"/>
      <c r="BP190" s="2126"/>
      <c r="BQ190" s="2126"/>
      <c r="BR190" s="2126"/>
      <c r="BS190" s="2126"/>
    </row>
    <row r="191" spans="1:71" s="3030" customFormat="1">
      <c r="A191" s="2126"/>
      <c r="B191" s="2126"/>
      <c r="C191" s="2149"/>
      <c r="D191" s="3248"/>
      <c r="E191" s="525"/>
      <c r="F191" s="525"/>
      <c r="G191" s="526"/>
      <c r="K191" s="3280"/>
      <c r="P191" s="3041"/>
      <c r="X191" s="3280"/>
      <c r="AA191" s="3041"/>
      <c r="AF191" s="3041"/>
      <c r="AN191" s="3280"/>
      <c r="AZ191" s="3041"/>
      <c r="BD191" s="3281"/>
      <c r="BH191" s="3282"/>
      <c r="BJ191" s="2589"/>
      <c r="BK191" s="2126"/>
      <c r="BL191" s="2126"/>
      <c r="BM191" s="2126"/>
      <c r="BN191" s="2126"/>
      <c r="BO191" s="2126"/>
      <c r="BP191" s="2126"/>
      <c r="BQ191" s="2126"/>
      <c r="BR191" s="2126"/>
      <c r="BS191" s="2126"/>
    </row>
    <row r="192" spans="1:71" s="3030" customFormat="1">
      <c r="A192" s="2126"/>
      <c r="B192" s="2126"/>
      <c r="C192" s="2149"/>
      <c r="D192" s="3248"/>
      <c r="E192" s="525"/>
      <c r="F192" s="525"/>
      <c r="G192" s="526"/>
      <c r="K192" s="3280"/>
      <c r="P192" s="3041"/>
      <c r="X192" s="3280"/>
      <c r="AA192" s="3041"/>
      <c r="AF192" s="3041"/>
      <c r="AN192" s="3280"/>
      <c r="AZ192" s="3041"/>
      <c r="BD192" s="3281"/>
      <c r="BH192" s="3282"/>
      <c r="BJ192" s="2589"/>
      <c r="BK192" s="2126"/>
      <c r="BL192" s="2126"/>
      <c r="BM192" s="2126"/>
      <c r="BN192" s="2126"/>
      <c r="BO192" s="2126"/>
      <c r="BP192" s="2126"/>
      <c r="BQ192" s="2126"/>
      <c r="BR192" s="2126"/>
      <c r="BS192" s="2126"/>
    </row>
    <row r="193" spans="1:71" s="3030" customFormat="1">
      <c r="A193" s="2126"/>
      <c r="B193" s="2126"/>
      <c r="C193" s="2149"/>
      <c r="D193" s="3248"/>
      <c r="E193" s="525"/>
      <c r="F193" s="525"/>
      <c r="G193" s="526"/>
      <c r="K193" s="3280"/>
      <c r="P193" s="3041"/>
      <c r="X193" s="3280"/>
      <c r="AA193" s="3041"/>
      <c r="AF193" s="3041"/>
      <c r="AN193" s="3280"/>
      <c r="AZ193" s="3041"/>
      <c r="BD193" s="3281"/>
      <c r="BH193" s="3282"/>
      <c r="BJ193" s="2589"/>
      <c r="BK193" s="2126"/>
      <c r="BL193" s="2126"/>
      <c r="BM193" s="2126"/>
      <c r="BN193" s="2126"/>
      <c r="BO193" s="2126"/>
      <c r="BP193" s="2126"/>
      <c r="BQ193" s="2126"/>
      <c r="BR193" s="2126"/>
      <c r="BS193" s="2126"/>
    </row>
    <row r="194" spans="1:71" s="3030" customFormat="1">
      <c r="A194" s="2126"/>
      <c r="B194" s="2126"/>
      <c r="C194" s="2149"/>
      <c r="D194" s="3248"/>
      <c r="E194" s="525"/>
      <c r="F194" s="525"/>
      <c r="G194" s="526"/>
      <c r="K194" s="3280"/>
      <c r="P194" s="3041"/>
      <c r="X194" s="3280"/>
      <c r="AA194" s="3041"/>
      <c r="AF194" s="3041"/>
      <c r="AN194" s="3280"/>
      <c r="AZ194" s="3041"/>
      <c r="BD194" s="3281"/>
      <c r="BH194" s="3282"/>
      <c r="BJ194" s="2589"/>
      <c r="BK194" s="2126"/>
      <c r="BL194" s="2126"/>
      <c r="BM194" s="2126"/>
      <c r="BN194" s="2126"/>
      <c r="BO194" s="2126"/>
      <c r="BP194" s="2126"/>
      <c r="BQ194" s="2126"/>
      <c r="BR194" s="2126"/>
      <c r="BS194" s="2126"/>
    </row>
    <row r="195" spans="1:71" s="3030" customFormat="1">
      <c r="A195" s="2126"/>
      <c r="B195" s="2126"/>
      <c r="C195" s="2149"/>
      <c r="D195" s="3248"/>
      <c r="E195" s="525"/>
      <c r="F195" s="525"/>
      <c r="G195" s="526"/>
      <c r="K195" s="3280"/>
      <c r="P195" s="3041"/>
      <c r="X195" s="3280"/>
      <c r="AA195" s="3041"/>
      <c r="AF195" s="3041"/>
      <c r="AN195" s="3280"/>
      <c r="AZ195" s="3041"/>
      <c r="BD195" s="3281"/>
      <c r="BH195" s="3282"/>
      <c r="BJ195" s="2589"/>
      <c r="BK195" s="2126"/>
      <c r="BL195" s="2126"/>
      <c r="BM195" s="2126"/>
      <c r="BN195" s="2126"/>
      <c r="BO195" s="2126"/>
      <c r="BP195" s="2126"/>
      <c r="BQ195" s="2126"/>
      <c r="BR195" s="2126"/>
      <c r="BS195" s="2126"/>
    </row>
    <row r="196" spans="1:71" s="3030" customFormat="1">
      <c r="A196" s="2126"/>
      <c r="B196" s="2126"/>
      <c r="C196" s="2149"/>
      <c r="D196" s="3248"/>
      <c r="E196" s="525"/>
      <c r="F196" s="525"/>
      <c r="G196" s="526"/>
      <c r="K196" s="3280"/>
      <c r="P196" s="3041"/>
      <c r="X196" s="3280"/>
      <c r="AA196" s="3041"/>
      <c r="AF196" s="3041"/>
      <c r="AN196" s="3280"/>
      <c r="AZ196" s="3041"/>
      <c r="BD196" s="3281"/>
      <c r="BH196" s="3282"/>
      <c r="BJ196" s="2589"/>
      <c r="BK196" s="2126"/>
      <c r="BL196" s="2126"/>
      <c r="BM196" s="2126"/>
      <c r="BN196" s="2126"/>
      <c r="BO196" s="2126"/>
      <c r="BP196" s="2126"/>
      <c r="BQ196" s="2126"/>
      <c r="BR196" s="2126"/>
      <c r="BS196" s="2126"/>
    </row>
    <row r="197" spans="1:71" s="3030" customFormat="1">
      <c r="A197" s="2126"/>
      <c r="B197" s="2126"/>
      <c r="C197" s="2149"/>
      <c r="D197" s="3248"/>
      <c r="E197" s="525"/>
      <c r="F197" s="525"/>
      <c r="G197" s="526"/>
      <c r="K197" s="3280"/>
      <c r="P197" s="3041"/>
      <c r="X197" s="3280"/>
      <c r="AA197" s="3041"/>
      <c r="AF197" s="3041"/>
      <c r="AN197" s="3280"/>
      <c r="AZ197" s="3041"/>
      <c r="BD197" s="3281"/>
      <c r="BH197" s="3282"/>
      <c r="BJ197" s="2589"/>
      <c r="BK197" s="2126"/>
      <c r="BL197" s="2126"/>
      <c r="BM197" s="2126"/>
      <c r="BN197" s="2126"/>
      <c r="BO197" s="2126"/>
      <c r="BP197" s="2126"/>
      <c r="BQ197" s="2126"/>
      <c r="BR197" s="2126"/>
      <c r="BS197" s="2126"/>
    </row>
    <row r="198" spans="1:71" s="3030" customFormat="1">
      <c r="A198" s="2126"/>
      <c r="B198" s="2126"/>
      <c r="C198" s="2149"/>
      <c r="D198" s="3248"/>
      <c r="E198" s="525"/>
      <c r="F198" s="525"/>
      <c r="G198" s="526"/>
      <c r="K198" s="3280"/>
      <c r="P198" s="3041"/>
      <c r="X198" s="3280"/>
      <c r="AA198" s="3041"/>
      <c r="AF198" s="3041"/>
      <c r="AN198" s="3280"/>
      <c r="AZ198" s="3041"/>
      <c r="BD198" s="3281"/>
      <c r="BH198" s="3282"/>
      <c r="BJ198" s="2589"/>
      <c r="BK198" s="2126"/>
      <c r="BL198" s="2126"/>
      <c r="BM198" s="2126"/>
      <c r="BN198" s="2126"/>
      <c r="BO198" s="2126"/>
      <c r="BP198" s="2126"/>
      <c r="BQ198" s="2126"/>
      <c r="BR198" s="2126"/>
      <c r="BS198" s="2126"/>
    </row>
    <row r="199" spans="1:71" s="3030" customFormat="1">
      <c r="A199" s="2126"/>
      <c r="B199" s="2126"/>
      <c r="C199" s="2149"/>
      <c r="D199" s="3248"/>
      <c r="E199" s="525"/>
      <c r="F199" s="525"/>
      <c r="G199" s="526"/>
      <c r="K199" s="3280"/>
      <c r="P199" s="3041"/>
      <c r="X199" s="3280"/>
      <c r="AA199" s="3041"/>
      <c r="AF199" s="3041"/>
      <c r="AN199" s="3280"/>
      <c r="AZ199" s="3041"/>
      <c r="BD199" s="3281"/>
      <c r="BH199" s="3282"/>
      <c r="BJ199" s="2589"/>
      <c r="BK199" s="2126"/>
      <c r="BL199" s="2126"/>
      <c r="BM199" s="2126"/>
      <c r="BN199" s="2126"/>
      <c r="BO199" s="2126"/>
      <c r="BP199" s="2126"/>
      <c r="BQ199" s="2126"/>
      <c r="BR199" s="2126"/>
      <c r="BS199" s="2126"/>
    </row>
    <row r="200" spans="1:71" s="3030" customFormat="1">
      <c r="A200" s="2126"/>
      <c r="B200" s="2126"/>
      <c r="C200" s="2149"/>
      <c r="D200" s="3248"/>
      <c r="E200" s="525"/>
      <c r="F200" s="525"/>
      <c r="G200" s="526"/>
      <c r="K200" s="3280"/>
      <c r="P200" s="3041"/>
      <c r="X200" s="3280"/>
      <c r="AA200" s="3041"/>
      <c r="AF200" s="3041"/>
      <c r="AN200" s="3280"/>
      <c r="AZ200" s="3041"/>
      <c r="BD200" s="3281"/>
      <c r="BH200" s="3282"/>
      <c r="BJ200" s="2589"/>
      <c r="BK200" s="2126"/>
      <c r="BL200" s="2126"/>
      <c r="BM200" s="2126"/>
      <c r="BN200" s="2126"/>
      <c r="BO200" s="2126"/>
      <c r="BP200" s="2126"/>
      <c r="BQ200" s="2126"/>
      <c r="BR200" s="2126"/>
      <c r="BS200" s="2126"/>
    </row>
    <row r="201" spans="1:71" s="3030" customFormat="1">
      <c r="A201" s="2126"/>
      <c r="B201" s="2126"/>
      <c r="C201" s="2149"/>
      <c r="D201" s="3248"/>
      <c r="E201" s="525"/>
      <c r="F201" s="525"/>
      <c r="G201" s="526"/>
      <c r="K201" s="3280"/>
      <c r="P201" s="3041"/>
      <c r="X201" s="3280"/>
      <c r="AA201" s="3041"/>
      <c r="AF201" s="3041"/>
      <c r="AN201" s="3280"/>
      <c r="AZ201" s="3041"/>
      <c r="BD201" s="3281"/>
      <c r="BH201" s="3282"/>
      <c r="BJ201" s="2589"/>
      <c r="BK201" s="2126"/>
      <c r="BL201" s="2126"/>
      <c r="BM201" s="2126"/>
      <c r="BN201" s="2126"/>
      <c r="BO201" s="2126"/>
      <c r="BP201" s="2126"/>
      <c r="BQ201" s="2126"/>
      <c r="BR201" s="2126"/>
      <c r="BS201" s="2126"/>
    </row>
    <row r="202" spans="1:71" s="3030" customFormat="1">
      <c r="A202" s="2126"/>
      <c r="B202" s="2126"/>
      <c r="C202" s="2149"/>
      <c r="D202" s="3248"/>
      <c r="E202" s="525"/>
      <c r="F202" s="525"/>
      <c r="G202" s="526"/>
      <c r="K202" s="3280"/>
      <c r="P202" s="3041"/>
      <c r="X202" s="3280"/>
      <c r="AA202" s="3041"/>
      <c r="AF202" s="3041"/>
      <c r="AN202" s="3280"/>
      <c r="AZ202" s="3041"/>
      <c r="BD202" s="3281"/>
      <c r="BH202" s="3282"/>
      <c r="BJ202" s="2589"/>
      <c r="BK202" s="2126"/>
      <c r="BL202" s="2126"/>
      <c r="BM202" s="2126"/>
      <c r="BN202" s="2126"/>
      <c r="BO202" s="2126"/>
      <c r="BP202" s="2126"/>
      <c r="BQ202" s="2126"/>
      <c r="BR202" s="2126"/>
      <c r="BS202" s="2126"/>
    </row>
    <row r="203" spans="1:71" s="3030" customFormat="1">
      <c r="A203" s="2126"/>
      <c r="B203" s="2126"/>
      <c r="C203" s="2149"/>
      <c r="D203" s="3248"/>
      <c r="E203" s="525"/>
      <c r="F203" s="525"/>
      <c r="G203" s="526"/>
      <c r="K203" s="3280"/>
      <c r="P203" s="3041"/>
      <c r="X203" s="3280"/>
      <c r="AA203" s="3041"/>
      <c r="AF203" s="3041"/>
      <c r="AN203" s="3280"/>
      <c r="AZ203" s="3041"/>
      <c r="BD203" s="3281"/>
      <c r="BH203" s="3282"/>
      <c r="BJ203" s="2589"/>
      <c r="BK203" s="2126"/>
      <c r="BL203" s="2126"/>
      <c r="BM203" s="2126"/>
      <c r="BN203" s="2126"/>
      <c r="BO203" s="2126"/>
      <c r="BP203" s="2126"/>
      <c r="BQ203" s="2126"/>
      <c r="BR203" s="2126"/>
      <c r="BS203" s="2126"/>
    </row>
    <row r="204" spans="1:71" s="3030" customFormat="1">
      <c r="A204" s="2126"/>
      <c r="B204" s="2126"/>
      <c r="C204" s="2149"/>
      <c r="D204" s="3248"/>
      <c r="E204" s="525"/>
      <c r="F204" s="525"/>
      <c r="G204" s="526"/>
      <c r="K204" s="3280"/>
      <c r="P204" s="3041"/>
      <c r="X204" s="3280"/>
      <c r="AA204" s="3041"/>
      <c r="AF204" s="3041"/>
      <c r="AN204" s="3280"/>
      <c r="AZ204" s="3041"/>
      <c r="BD204" s="3281"/>
      <c r="BH204" s="3282"/>
      <c r="BJ204" s="2589"/>
      <c r="BK204" s="2126"/>
      <c r="BL204" s="2126"/>
      <c r="BM204" s="2126"/>
      <c r="BN204" s="2126"/>
      <c r="BO204" s="2126"/>
      <c r="BP204" s="2126"/>
      <c r="BQ204" s="2126"/>
      <c r="BR204" s="2126"/>
      <c r="BS204" s="2126"/>
    </row>
    <row r="205" spans="1:71" s="3030" customFormat="1">
      <c r="A205" s="2126"/>
      <c r="B205" s="2126"/>
      <c r="C205" s="2149"/>
      <c r="D205" s="3248"/>
      <c r="E205" s="525"/>
      <c r="F205" s="525"/>
      <c r="G205" s="526"/>
      <c r="K205" s="3280"/>
      <c r="P205" s="3041"/>
      <c r="X205" s="3280"/>
      <c r="AA205" s="3041"/>
      <c r="AF205" s="3041"/>
      <c r="AN205" s="3280"/>
      <c r="AZ205" s="3041"/>
      <c r="BD205" s="3281"/>
      <c r="BH205" s="3282"/>
      <c r="BJ205" s="2589"/>
      <c r="BK205" s="2126"/>
      <c r="BL205" s="2126"/>
      <c r="BM205" s="2126"/>
      <c r="BN205" s="2126"/>
      <c r="BO205" s="2126"/>
      <c r="BP205" s="2126"/>
      <c r="BQ205" s="2126"/>
      <c r="BR205" s="2126"/>
      <c r="BS205" s="2126"/>
    </row>
    <row r="206" spans="1:71" s="3030" customFormat="1">
      <c r="A206" s="2126"/>
      <c r="B206" s="2126"/>
      <c r="C206" s="2149"/>
      <c r="D206" s="3248"/>
      <c r="E206" s="525"/>
      <c r="F206" s="525"/>
      <c r="G206" s="526"/>
      <c r="K206" s="3280"/>
      <c r="P206" s="3041"/>
      <c r="X206" s="3280"/>
      <c r="AA206" s="3041"/>
      <c r="AF206" s="3041"/>
      <c r="AN206" s="3280"/>
      <c r="AZ206" s="3041"/>
      <c r="BD206" s="3281"/>
      <c r="BH206" s="3282"/>
      <c r="BJ206" s="2589"/>
      <c r="BK206" s="2126"/>
      <c r="BL206" s="2126"/>
      <c r="BM206" s="2126"/>
      <c r="BN206" s="2126"/>
      <c r="BO206" s="2126"/>
      <c r="BP206" s="2126"/>
      <c r="BQ206" s="2126"/>
      <c r="BR206" s="2126"/>
      <c r="BS206" s="2126"/>
    </row>
    <row r="207" spans="1:71" s="3030" customFormat="1">
      <c r="A207" s="2126"/>
      <c r="B207" s="2126"/>
      <c r="C207" s="2149"/>
      <c r="D207" s="3248"/>
      <c r="E207" s="525"/>
      <c r="F207" s="525"/>
      <c r="G207" s="526"/>
      <c r="K207" s="3280"/>
      <c r="P207" s="3041"/>
      <c r="X207" s="3280"/>
      <c r="AA207" s="3041"/>
      <c r="AF207" s="3041"/>
      <c r="AN207" s="3280"/>
      <c r="AZ207" s="3041"/>
      <c r="BD207" s="3281"/>
      <c r="BH207" s="3282"/>
      <c r="BJ207" s="2589"/>
      <c r="BK207" s="2126"/>
      <c r="BL207" s="2126"/>
      <c r="BM207" s="2126"/>
      <c r="BN207" s="2126"/>
      <c r="BO207" s="2126"/>
      <c r="BP207" s="2126"/>
      <c r="BQ207" s="2126"/>
      <c r="BR207" s="2126"/>
      <c r="BS207" s="2126"/>
    </row>
    <row r="208" spans="1:71" s="3030" customFormat="1">
      <c r="A208" s="2126"/>
      <c r="B208" s="2126"/>
      <c r="C208" s="2149"/>
      <c r="D208" s="3248"/>
      <c r="E208" s="525"/>
      <c r="F208" s="525"/>
      <c r="G208" s="526"/>
      <c r="K208" s="3280"/>
      <c r="P208" s="3041"/>
      <c r="X208" s="3280"/>
      <c r="AA208" s="3041"/>
      <c r="AF208" s="3041"/>
      <c r="AN208" s="3280"/>
      <c r="AZ208" s="3041"/>
      <c r="BD208" s="3281"/>
      <c r="BH208" s="3282"/>
      <c r="BJ208" s="2589"/>
      <c r="BK208" s="2126"/>
      <c r="BL208" s="2126"/>
      <c r="BM208" s="2126"/>
      <c r="BN208" s="2126"/>
      <c r="BO208" s="2126"/>
      <c r="BP208" s="2126"/>
      <c r="BQ208" s="2126"/>
      <c r="BR208" s="2126"/>
      <c r="BS208" s="2126"/>
    </row>
    <row r="209" spans="1:71" s="3030" customFormat="1">
      <c r="A209" s="2126"/>
      <c r="B209" s="2126"/>
      <c r="C209" s="2149"/>
      <c r="D209" s="3248"/>
      <c r="E209" s="525"/>
      <c r="F209" s="525"/>
      <c r="G209" s="526"/>
      <c r="K209" s="3280"/>
      <c r="P209" s="3041"/>
      <c r="X209" s="3280"/>
      <c r="AA209" s="3041"/>
      <c r="AF209" s="3041"/>
      <c r="AN209" s="3280"/>
      <c r="AZ209" s="3041"/>
      <c r="BD209" s="3281"/>
      <c r="BH209" s="3282"/>
      <c r="BJ209" s="2589"/>
      <c r="BK209" s="2126"/>
      <c r="BL209" s="2126"/>
      <c r="BM209" s="2126"/>
      <c r="BN209" s="2126"/>
      <c r="BO209" s="2126"/>
      <c r="BP209" s="2126"/>
      <c r="BQ209" s="2126"/>
      <c r="BR209" s="2126"/>
      <c r="BS209" s="2126"/>
    </row>
    <row r="210" spans="1:71" s="3030" customFormat="1">
      <c r="A210" s="2126"/>
      <c r="B210" s="2126"/>
      <c r="C210" s="2149"/>
      <c r="D210" s="3248"/>
      <c r="E210" s="525"/>
      <c r="F210" s="525"/>
      <c r="G210" s="526"/>
      <c r="K210" s="3280"/>
      <c r="P210" s="3041"/>
      <c r="X210" s="3280"/>
      <c r="AA210" s="3041"/>
      <c r="AF210" s="3041"/>
      <c r="AN210" s="3280"/>
      <c r="AZ210" s="3041"/>
      <c r="BD210" s="3281"/>
      <c r="BH210" s="3282"/>
      <c r="BJ210" s="2589"/>
      <c r="BK210" s="2126"/>
      <c r="BL210" s="2126"/>
      <c r="BM210" s="2126"/>
      <c r="BN210" s="2126"/>
      <c r="BO210" s="2126"/>
      <c r="BP210" s="2126"/>
      <c r="BQ210" s="2126"/>
      <c r="BR210" s="2126"/>
      <c r="BS210" s="2126"/>
    </row>
    <row r="211" spans="1:71" s="3030" customFormat="1">
      <c r="A211" s="2126"/>
      <c r="B211" s="2126"/>
      <c r="C211" s="2149"/>
      <c r="D211" s="3248"/>
      <c r="E211" s="525"/>
      <c r="F211" s="525"/>
      <c r="G211" s="526"/>
      <c r="K211" s="3280"/>
      <c r="P211" s="3041"/>
      <c r="X211" s="3280"/>
      <c r="AA211" s="3041"/>
      <c r="AF211" s="3041"/>
      <c r="AN211" s="3280"/>
      <c r="AZ211" s="3041"/>
      <c r="BD211" s="3281"/>
      <c r="BH211" s="3282"/>
      <c r="BJ211" s="2589"/>
      <c r="BK211" s="2126"/>
      <c r="BL211" s="2126"/>
      <c r="BM211" s="2126"/>
      <c r="BN211" s="2126"/>
      <c r="BO211" s="2126"/>
      <c r="BP211" s="2126"/>
      <c r="BQ211" s="2126"/>
      <c r="BR211" s="2126"/>
      <c r="BS211" s="2126"/>
    </row>
    <row r="212" spans="1:71" s="3030" customFormat="1">
      <c r="A212" s="2126"/>
      <c r="B212" s="2126"/>
      <c r="C212" s="2149"/>
      <c r="D212" s="3248"/>
      <c r="E212" s="525"/>
      <c r="F212" s="525"/>
      <c r="G212" s="526"/>
      <c r="K212" s="3280"/>
      <c r="P212" s="3041"/>
      <c r="X212" s="3280"/>
      <c r="AA212" s="3041"/>
      <c r="AF212" s="3041"/>
      <c r="AN212" s="3280"/>
      <c r="AZ212" s="3041"/>
      <c r="BD212" s="3281"/>
      <c r="BH212" s="3282"/>
      <c r="BJ212" s="2589"/>
      <c r="BK212" s="2126"/>
      <c r="BL212" s="2126"/>
      <c r="BM212" s="2126"/>
      <c r="BN212" s="2126"/>
      <c r="BO212" s="2126"/>
      <c r="BP212" s="2126"/>
      <c r="BQ212" s="2126"/>
      <c r="BR212" s="2126"/>
      <c r="BS212" s="2126"/>
    </row>
    <row r="213" spans="1:71" s="3030" customFormat="1">
      <c r="A213" s="2126"/>
      <c r="B213" s="2126"/>
      <c r="C213" s="2149"/>
      <c r="D213" s="3248"/>
      <c r="E213" s="525"/>
      <c r="F213" s="525"/>
      <c r="G213" s="526"/>
      <c r="K213" s="3280"/>
      <c r="P213" s="3041"/>
      <c r="X213" s="3280"/>
      <c r="AA213" s="3041"/>
      <c r="AF213" s="3041"/>
      <c r="AN213" s="3280"/>
      <c r="AZ213" s="3041"/>
      <c r="BD213" s="3281"/>
      <c r="BH213" s="3282"/>
      <c r="BJ213" s="2589"/>
      <c r="BK213" s="2126"/>
      <c r="BL213" s="2126"/>
      <c r="BM213" s="2126"/>
      <c r="BN213" s="2126"/>
      <c r="BO213" s="2126"/>
      <c r="BP213" s="2126"/>
      <c r="BQ213" s="2126"/>
      <c r="BR213" s="2126"/>
      <c r="BS213" s="2126"/>
    </row>
    <row r="214" spans="1:71" s="3030" customFormat="1">
      <c r="A214" s="2126"/>
      <c r="B214" s="2126"/>
      <c r="C214" s="2149"/>
      <c r="D214" s="3248"/>
      <c r="E214" s="525"/>
      <c r="F214" s="525"/>
      <c r="G214" s="526"/>
      <c r="K214" s="3280"/>
      <c r="P214" s="3041"/>
      <c r="X214" s="3280"/>
      <c r="AA214" s="3041"/>
      <c r="AF214" s="3041"/>
      <c r="AN214" s="3280"/>
      <c r="AZ214" s="3041"/>
      <c r="BD214" s="3281"/>
      <c r="BH214" s="3282"/>
      <c r="BJ214" s="2589"/>
      <c r="BK214" s="2126"/>
      <c r="BL214" s="2126"/>
      <c r="BM214" s="2126"/>
      <c r="BN214" s="2126"/>
      <c r="BO214" s="2126"/>
      <c r="BP214" s="2126"/>
      <c r="BQ214" s="2126"/>
      <c r="BR214" s="2126"/>
      <c r="BS214" s="2126"/>
    </row>
    <row r="215" spans="1:71" s="3030" customFormat="1">
      <c r="A215" s="2126"/>
      <c r="B215" s="2126"/>
      <c r="C215" s="2149"/>
      <c r="D215" s="3248"/>
      <c r="E215" s="525"/>
      <c r="F215" s="525"/>
      <c r="G215" s="526"/>
      <c r="K215" s="3280"/>
      <c r="P215" s="3041"/>
      <c r="X215" s="3280"/>
      <c r="AA215" s="3041"/>
      <c r="AF215" s="3041"/>
      <c r="AN215" s="3280"/>
      <c r="AZ215" s="3041"/>
      <c r="BD215" s="3281"/>
      <c r="BH215" s="3282"/>
      <c r="BJ215" s="2589"/>
      <c r="BK215" s="2126"/>
      <c r="BL215" s="2126"/>
      <c r="BM215" s="2126"/>
      <c r="BN215" s="2126"/>
      <c r="BO215" s="2126"/>
      <c r="BP215" s="2126"/>
      <c r="BQ215" s="2126"/>
      <c r="BR215" s="2126"/>
      <c r="BS215" s="2126"/>
    </row>
    <row r="216" spans="1:71" s="3030" customFormat="1">
      <c r="A216" s="2126"/>
      <c r="B216" s="2126"/>
      <c r="C216" s="2149"/>
      <c r="D216" s="3248"/>
      <c r="E216" s="525"/>
      <c r="F216" s="525"/>
      <c r="G216" s="526"/>
      <c r="K216" s="3280"/>
      <c r="P216" s="3041"/>
      <c r="X216" s="3280"/>
      <c r="AA216" s="3041"/>
      <c r="AF216" s="3041"/>
      <c r="AN216" s="3280"/>
      <c r="AZ216" s="3041"/>
      <c r="BD216" s="3281"/>
      <c r="BH216" s="3282"/>
      <c r="BJ216" s="2589"/>
      <c r="BK216" s="2126"/>
      <c r="BL216" s="2126"/>
      <c r="BM216" s="2126"/>
      <c r="BN216" s="2126"/>
      <c r="BO216" s="2126"/>
      <c r="BP216" s="2126"/>
      <c r="BQ216" s="2126"/>
      <c r="BR216" s="2126"/>
      <c r="BS216" s="2126"/>
    </row>
    <row r="217" spans="1:71" s="3030" customFormat="1">
      <c r="A217" s="2126"/>
      <c r="B217" s="2126"/>
      <c r="C217" s="2149"/>
      <c r="D217" s="3248"/>
      <c r="E217" s="525"/>
      <c r="F217" s="525"/>
      <c r="G217" s="526"/>
      <c r="K217" s="3280"/>
      <c r="P217" s="3041"/>
      <c r="X217" s="3280"/>
      <c r="AA217" s="3041"/>
      <c r="AF217" s="3041"/>
      <c r="AN217" s="3280"/>
      <c r="AZ217" s="3041"/>
      <c r="BD217" s="3281"/>
      <c r="BH217" s="3282"/>
      <c r="BJ217" s="2589"/>
      <c r="BK217" s="2126"/>
      <c r="BL217" s="2126"/>
      <c r="BM217" s="2126"/>
      <c r="BN217" s="2126"/>
      <c r="BO217" s="2126"/>
      <c r="BP217" s="2126"/>
      <c r="BQ217" s="2126"/>
      <c r="BR217" s="2126"/>
      <c r="BS217" s="2126"/>
    </row>
    <row r="218" spans="1:71" s="3030" customFormat="1">
      <c r="A218" s="2126"/>
      <c r="B218" s="2126"/>
      <c r="C218" s="2149"/>
      <c r="D218" s="3248"/>
      <c r="E218" s="525"/>
      <c r="F218" s="525"/>
      <c r="G218" s="526"/>
      <c r="K218" s="3280"/>
      <c r="P218" s="3041"/>
      <c r="X218" s="3280"/>
      <c r="AA218" s="3041"/>
      <c r="AF218" s="3041"/>
      <c r="AN218" s="3280"/>
      <c r="AZ218" s="3041"/>
      <c r="BD218" s="3281"/>
      <c r="BH218" s="3282"/>
      <c r="BJ218" s="2589"/>
      <c r="BK218" s="2126"/>
      <c r="BL218" s="2126"/>
      <c r="BM218" s="2126"/>
      <c r="BN218" s="2126"/>
      <c r="BO218" s="2126"/>
      <c r="BP218" s="2126"/>
      <c r="BQ218" s="2126"/>
      <c r="BR218" s="2126"/>
      <c r="BS218" s="2126"/>
    </row>
    <row r="219" spans="1:71" s="3030" customFormat="1">
      <c r="A219" s="2126"/>
      <c r="B219" s="2126"/>
      <c r="C219" s="2149"/>
      <c r="D219" s="3248"/>
      <c r="E219" s="525"/>
      <c r="F219" s="525"/>
      <c r="G219" s="526"/>
      <c r="K219" s="3280"/>
      <c r="P219" s="3041"/>
      <c r="X219" s="3280"/>
      <c r="AA219" s="3041"/>
      <c r="AF219" s="3041"/>
      <c r="AN219" s="3280"/>
      <c r="AZ219" s="3041"/>
      <c r="BD219" s="3281"/>
      <c r="BH219" s="3282"/>
      <c r="BJ219" s="2589"/>
      <c r="BK219" s="2126"/>
      <c r="BL219" s="2126"/>
      <c r="BM219" s="2126"/>
      <c r="BN219" s="2126"/>
      <c r="BO219" s="2126"/>
      <c r="BP219" s="2126"/>
      <c r="BQ219" s="2126"/>
      <c r="BR219" s="2126"/>
      <c r="BS219" s="2126"/>
    </row>
    <row r="220" spans="1:71" s="3030" customFormat="1">
      <c r="A220" s="2126"/>
      <c r="B220" s="2126"/>
      <c r="C220" s="2149"/>
      <c r="D220" s="3248"/>
      <c r="E220" s="525"/>
      <c r="F220" s="525"/>
      <c r="G220" s="526"/>
      <c r="K220" s="3280"/>
      <c r="P220" s="3041"/>
      <c r="X220" s="3280"/>
      <c r="AA220" s="3041"/>
      <c r="AF220" s="3041"/>
      <c r="AN220" s="3280"/>
      <c r="AZ220" s="3041"/>
      <c r="BD220" s="3281"/>
      <c r="BH220" s="3282"/>
      <c r="BJ220" s="2589"/>
      <c r="BK220" s="2126"/>
      <c r="BL220" s="2126"/>
      <c r="BM220" s="2126"/>
      <c r="BN220" s="2126"/>
      <c r="BO220" s="2126"/>
      <c r="BP220" s="2126"/>
      <c r="BQ220" s="2126"/>
      <c r="BR220" s="2126"/>
      <c r="BS220" s="2126"/>
    </row>
    <row r="221" spans="1:71" s="3030" customFormat="1">
      <c r="A221" s="2126"/>
      <c r="B221" s="2126"/>
      <c r="C221" s="2149"/>
      <c r="D221" s="3248"/>
      <c r="E221" s="525"/>
      <c r="F221" s="525"/>
      <c r="G221" s="526"/>
      <c r="K221" s="3280"/>
      <c r="P221" s="3041"/>
      <c r="X221" s="3280"/>
      <c r="AA221" s="3041"/>
      <c r="AF221" s="3041"/>
      <c r="AN221" s="3280"/>
      <c r="AZ221" s="3041"/>
      <c r="BD221" s="3281"/>
      <c r="BH221" s="3282"/>
      <c r="BJ221" s="2589"/>
      <c r="BK221" s="2126"/>
      <c r="BL221" s="2126"/>
      <c r="BM221" s="2126"/>
      <c r="BN221" s="2126"/>
      <c r="BO221" s="2126"/>
      <c r="BP221" s="2126"/>
      <c r="BQ221" s="2126"/>
      <c r="BR221" s="2126"/>
      <c r="BS221" s="2126"/>
    </row>
    <row r="222" spans="1:71" s="3030" customFormat="1">
      <c r="A222" s="2126"/>
      <c r="B222" s="2126"/>
      <c r="C222" s="2149"/>
      <c r="D222" s="3248"/>
      <c r="E222" s="525"/>
      <c r="F222" s="525"/>
      <c r="G222" s="526"/>
      <c r="K222" s="3280"/>
      <c r="P222" s="3041"/>
      <c r="X222" s="3280"/>
      <c r="AA222" s="3041"/>
      <c r="AF222" s="3041"/>
      <c r="AN222" s="3280"/>
      <c r="AZ222" s="3041"/>
      <c r="BD222" s="3281"/>
      <c r="BH222" s="3282"/>
      <c r="BJ222" s="2589"/>
      <c r="BK222" s="2126"/>
      <c r="BL222" s="2126"/>
      <c r="BM222" s="2126"/>
      <c r="BN222" s="2126"/>
      <c r="BO222" s="2126"/>
      <c r="BP222" s="2126"/>
      <c r="BQ222" s="2126"/>
      <c r="BR222" s="2126"/>
      <c r="BS222" s="2126"/>
    </row>
    <row r="223" spans="1:71" s="3030" customFormat="1">
      <c r="A223" s="2126"/>
      <c r="B223" s="2126"/>
      <c r="C223" s="2149"/>
      <c r="D223" s="3248"/>
      <c r="E223" s="525"/>
      <c r="F223" s="525"/>
      <c r="G223" s="526"/>
      <c r="K223" s="3280"/>
      <c r="P223" s="3041"/>
      <c r="X223" s="3280"/>
      <c r="AA223" s="3041"/>
      <c r="AF223" s="3041"/>
      <c r="AN223" s="3280"/>
      <c r="AZ223" s="3041"/>
      <c r="BD223" s="3281"/>
      <c r="BH223" s="3282"/>
      <c r="BJ223" s="2589"/>
      <c r="BK223" s="2126"/>
      <c r="BL223" s="2126"/>
      <c r="BM223" s="2126"/>
      <c r="BN223" s="2126"/>
      <c r="BO223" s="2126"/>
      <c r="BP223" s="2126"/>
      <c r="BQ223" s="2126"/>
      <c r="BR223" s="2126"/>
      <c r="BS223" s="2126"/>
    </row>
    <row r="224" spans="1:71" s="3030" customFormat="1">
      <c r="A224" s="2126"/>
      <c r="B224" s="2126"/>
      <c r="C224" s="2149"/>
      <c r="D224" s="3248"/>
      <c r="E224" s="525"/>
      <c r="F224" s="525"/>
      <c r="G224" s="526"/>
      <c r="K224" s="3280"/>
      <c r="P224" s="3041"/>
      <c r="X224" s="3280"/>
      <c r="AA224" s="3041"/>
      <c r="AF224" s="3041"/>
      <c r="AN224" s="3280"/>
      <c r="AZ224" s="3041"/>
      <c r="BD224" s="3281"/>
      <c r="BH224" s="3282"/>
      <c r="BJ224" s="2589"/>
      <c r="BK224" s="2126"/>
      <c r="BL224" s="2126"/>
      <c r="BM224" s="2126"/>
      <c r="BN224" s="2126"/>
      <c r="BO224" s="2126"/>
      <c r="BP224" s="2126"/>
      <c r="BQ224" s="2126"/>
      <c r="BR224" s="2126"/>
      <c r="BS224" s="2126"/>
    </row>
    <row r="225" spans="1:71" s="3030" customFormat="1">
      <c r="A225" s="2126"/>
      <c r="B225" s="2126"/>
      <c r="C225" s="2149"/>
      <c r="D225" s="3248"/>
      <c r="E225" s="525"/>
      <c r="F225" s="525"/>
      <c r="G225" s="526"/>
      <c r="K225" s="3280"/>
      <c r="P225" s="3041"/>
      <c r="X225" s="3280"/>
      <c r="AA225" s="3041"/>
      <c r="AF225" s="3041"/>
      <c r="AN225" s="3280"/>
      <c r="AZ225" s="3041"/>
      <c r="BD225" s="3281"/>
      <c r="BH225" s="3282"/>
      <c r="BJ225" s="2589"/>
      <c r="BK225" s="2126"/>
      <c r="BL225" s="2126"/>
      <c r="BM225" s="2126"/>
      <c r="BN225" s="2126"/>
      <c r="BO225" s="2126"/>
      <c r="BP225" s="2126"/>
      <c r="BQ225" s="2126"/>
      <c r="BR225" s="2126"/>
      <c r="BS225" s="2126"/>
    </row>
    <row r="226" spans="1:71" s="3030" customFormat="1">
      <c r="A226" s="2126"/>
      <c r="B226" s="2126"/>
      <c r="C226" s="2149"/>
      <c r="D226" s="3248"/>
      <c r="E226" s="525"/>
      <c r="F226" s="525"/>
      <c r="G226" s="526"/>
      <c r="K226" s="3280"/>
      <c r="P226" s="3041"/>
      <c r="X226" s="3280"/>
      <c r="AA226" s="3041"/>
      <c r="AF226" s="3041"/>
      <c r="AN226" s="3280"/>
      <c r="AZ226" s="3041"/>
      <c r="BD226" s="3281"/>
      <c r="BH226" s="3282"/>
      <c r="BJ226" s="2589"/>
      <c r="BK226" s="2126"/>
      <c r="BL226" s="2126"/>
      <c r="BM226" s="2126"/>
      <c r="BN226" s="2126"/>
      <c r="BO226" s="2126"/>
      <c r="BP226" s="2126"/>
      <c r="BQ226" s="2126"/>
      <c r="BR226" s="2126"/>
      <c r="BS226" s="2126"/>
    </row>
    <row r="227" spans="1:71" s="3030" customFormat="1">
      <c r="A227" s="2126"/>
      <c r="B227" s="2126"/>
      <c r="C227" s="2149"/>
      <c r="D227" s="3248"/>
      <c r="E227" s="525"/>
      <c r="F227" s="525"/>
      <c r="G227" s="526"/>
      <c r="K227" s="3280"/>
      <c r="P227" s="3041"/>
      <c r="X227" s="3280"/>
      <c r="AA227" s="3041"/>
      <c r="AF227" s="3041"/>
      <c r="AN227" s="3280"/>
      <c r="AZ227" s="3041"/>
      <c r="BD227" s="3281"/>
      <c r="BH227" s="3282"/>
      <c r="BJ227" s="2589"/>
      <c r="BK227" s="2126"/>
      <c r="BL227" s="2126"/>
      <c r="BM227" s="2126"/>
      <c r="BN227" s="2126"/>
      <c r="BO227" s="2126"/>
      <c r="BP227" s="2126"/>
      <c r="BQ227" s="2126"/>
      <c r="BR227" s="2126"/>
      <c r="BS227" s="2126"/>
    </row>
    <row r="228" spans="1:71" s="3030" customFormat="1">
      <c r="A228" s="2126"/>
      <c r="B228" s="2126"/>
      <c r="C228" s="2149"/>
      <c r="D228" s="3248"/>
      <c r="E228" s="525"/>
      <c r="F228" s="525"/>
      <c r="G228" s="526"/>
      <c r="K228" s="3280"/>
      <c r="P228" s="3041"/>
      <c r="X228" s="3280"/>
      <c r="AA228" s="3041"/>
      <c r="AF228" s="3041"/>
      <c r="AN228" s="3280"/>
      <c r="AZ228" s="3041"/>
      <c r="BD228" s="3281"/>
      <c r="BH228" s="3282"/>
      <c r="BJ228" s="2589"/>
      <c r="BK228" s="2126"/>
      <c r="BL228" s="2126"/>
      <c r="BM228" s="2126"/>
      <c r="BN228" s="2126"/>
      <c r="BO228" s="2126"/>
      <c r="BP228" s="2126"/>
      <c r="BQ228" s="2126"/>
      <c r="BR228" s="2126"/>
      <c r="BS228" s="2126"/>
    </row>
    <row r="229" spans="1:71" s="3030" customFormat="1">
      <c r="A229" s="2126"/>
      <c r="B229" s="2126"/>
      <c r="C229" s="2149"/>
      <c r="D229" s="3248"/>
      <c r="E229" s="525"/>
      <c r="F229" s="525"/>
      <c r="G229" s="526"/>
      <c r="K229" s="3280"/>
      <c r="P229" s="3041"/>
      <c r="X229" s="3280"/>
      <c r="AA229" s="3041"/>
      <c r="AF229" s="3041"/>
      <c r="AN229" s="3280"/>
      <c r="AZ229" s="3041"/>
      <c r="BD229" s="3281"/>
      <c r="BH229" s="3282"/>
      <c r="BJ229" s="2589"/>
      <c r="BK229" s="2126"/>
      <c r="BL229" s="2126"/>
      <c r="BM229" s="2126"/>
      <c r="BN229" s="2126"/>
      <c r="BO229" s="2126"/>
      <c r="BP229" s="2126"/>
      <c r="BQ229" s="2126"/>
      <c r="BR229" s="2126"/>
      <c r="BS229" s="2126"/>
    </row>
    <row r="230" spans="1:71" s="3030" customFormat="1">
      <c r="A230" s="2126"/>
      <c r="B230" s="2126"/>
      <c r="C230" s="2149"/>
      <c r="D230" s="3248"/>
      <c r="E230" s="525"/>
      <c r="F230" s="525"/>
      <c r="G230" s="526"/>
      <c r="K230" s="3280"/>
      <c r="P230" s="3041"/>
      <c r="X230" s="3280"/>
      <c r="AA230" s="3041"/>
      <c r="AF230" s="3041"/>
      <c r="AN230" s="3280"/>
      <c r="AZ230" s="3041"/>
      <c r="BD230" s="3281"/>
      <c r="BH230" s="3282"/>
      <c r="BJ230" s="2589"/>
      <c r="BK230" s="2126"/>
      <c r="BL230" s="2126"/>
      <c r="BM230" s="2126"/>
      <c r="BN230" s="2126"/>
      <c r="BO230" s="2126"/>
      <c r="BP230" s="2126"/>
      <c r="BQ230" s="2126"/>
      <c r="BR230" s="2126"/>
      <c r="BS230" s="2126"/>
    </row>
    <row r="231" spans="1:71" s="3030" customFormat="1">
      <c r="A231" s="2126"/>
      <c r="B231" s="2126"/>
      <c r="C231" s="2149"/>
      <c r="D231" s="3248"/>
      <c r="E231" s="525"/>
      <c r="F231" s="525"/>
      <c r="G231" s="526"/>
      <c r="K231" s="3280"/>
      <c r="P231" s="3041"/>
      <c r="X231" s="3280"/>
      <c r="AA231" s="3041"/>
      <c r="AF231" s="3041"/>
      <c r="AN231" s="3280"/>
      <c r="AZ231" s="3041"/>
      <c r="BD231" s="3281"/>
      <c r="BH231" s="3282"/>
      <c r="BJ231" s="2589"/>
      <c r="BK231" s="2126"/>
      <c r="BL231" s="2126"/>
      <c r="BM231" s="2126"/>
      <c r="BN231" s="2126"/>
      <c r="BO231" s="2126"/>
      <c r="BP231" s="2126"/>
      <c r="BQ231" s="2126"/>
      <c r="BR231" s="2126"/>
      <c r="BS231" s="2126"/>
    </row>
    <row r="232" spans="1:71" s="3030" customFormat="1">
      <c r="A232" s="2126"/>
      <c r="B232" s="2126"/>
      <c r="C232" s="2149"/>
      <c r="D232" s="3248"/>
      <c r="E232" s="525"/>
      <c r="F232" s="525"/>
      <c r="G232" s="526"/>
      <c r="K232" s="3280"/>
      <c r="P232" s="3041"/>
      <c r="X232" s="3280"/>
      <c r="AA232" s="3041"/>
      <c r="AF232" s="3041"/>
      <c r="AN232" s="3280"/>
      <c r="AZ232" s="3041"/>
      <c r="BD232" s="3281"/>
      <c r="BH232" s="3282"/>
      <c r="BJ232" s="2589"/>
      <c r="BK232" s="2126"/>
      <c r="BL232" s="2126"/>
      <c r="BM232" s="2126"/>
      <c r="BN232" s="2126"/>
      <c r="BO232" s="2126"/>
      <c r="BP232" s="2126"/>
      <c r="BQ232" s="2126"/>
      <c r="BR232" s="2126"/>
      <c r="BS232" s="2126"/>
    </row>
    <row r="233" spans="1:71" s="3030" customFormat="1">
      <c r="A233" s="2126"/>
      <c r="B233" s="2126"/>
      <c r="C233" s="2149"/>
      <c r="D233" s="3248"/>
      <c r="E233" s="525"/>
      <c r="F233" s="525"/>
      <c r="G233" s="526"/>
      <c r="K233" s="3280"/>
      <c r="P233" s="3041"/>
      <c r="X233" s="3280"/>
      <c r="AA233" s="3041"/>
      <c r="AF233" s="3041"/>
      <c r="AN233" s="3280"/>
      <c r="AZ233" s="3041"/>
      <c r="BD233" s="3281"/>
      <c r="BH233" s="3282"/>
      <c r="BJ233" s="2589"/>
      <c r="BK233" s="2126"/>
      <c r="BL233" s="2126"/>
      <c r="BM233" s="2126"/>
      <c r="BN233" s="2126"/>
      <c r="BO233" s="2126"/>
      <c r="BP233" s="2126"/>
      <c r="BQ233" s="2126"/>
      <c r="BR233" s="2126"/>
      <c r="BS233" s="2126"/>
    </row>
    <row r="234" spans="1:71" s="3030" customFormat="1">
      <c r="A234" s="2126"/>
      <c r="B234" s="2126"/>
      <c r="C234" s="2149"/>
      <c r="D234" s="3248"/>
      <c r="E234" s="525"/>
      <c r="F234" s="525"/>
      <c r="G234" s="526"/>
      <c r="K234" s="3280"/>
      <c r="P234" s="3041"/>
      <c r="X234" s="3280"/>
      <c r="AA234" s="3041"/>
      <c r="AF234" s="3041"/>
      <c r="AN234" s="3280"/>
      <c r="AZ234" s="3041"/>
      <c r="BD234" s="3281"/>
      <c r="BH234" s="3282"/>
      <c r="BJ234" s="2589"/>
      <c r="BK234" s="2126"/>
      <c r="BL234" s="2126"/>
      <c r="BM234" s="2126"/>
      <c r="BN234" s="2126"/>
      <c r="BO234" s="2126"/>
      <c r="BP234" s="2126"/>
      <c r="BQ234" s="2126"/>
      <c r="BR234" s="2126"/>
      <c r="BS234" s="2126"/>
    </row>
    <row r="235" spans="1:71" s="3030" customFormat="1">
      <c r="A235" s="2126"/>
      <c r="B235" s="2126"/>
      <c r="C235" s="2149"/>
      <c r="D235" s="3248"/>
      <c r="E235" s="525"/>
      <c r="F235" s="525"/>
      <c r="G235" s="526"/>
      <c r="K235" s="3280"/>
      <c r="P235" s="3041"/>
      <c r="X235" s="3280"/>
      <c r="AA235" s="3041"/>
      <c r="AF235" s="3041"/>
      <c r="AN235" s="3280"/>
      <c r="AZ235" s="3041"/>
      <c r="BD235" s="3281"/>
      <c r="BH235" s="3282"/>
      <c r="BJ235" s="2589"/>
      <c r="BK235" s="2126"/>
      <c r="BL235" s="2126"/>
      <c r="BM235" s="2126"/>
      <c r="BN235" s="2126"/>
      <c r="BO235" s="2126"/>
      <c r="BP235" s="2126"/>
      <c r="BQ235" s="2126"/>
      <c r="BR235" s="2126"/>
      <c r="BS235" s="2126"/>
    </row>
    <row r="236" spans="1:71" s="3030" customFormat="1">
      <c r="A236" s="2126"/>
      <c r="B236" s="2126"/>
      <c r="C236" s="2149"/>
      <c r="D236" s="3248"/>
      <c r="E236" s="525"/>
      <c r="F236" s="525"/>
      <c r="G236" s="526"/>
      <c r="K236" s="3280"/>
      <c r="P236" s="3041"/>
      <c r="X236" s="3280"/>
      <c r="AA236" s="3041"/>
      <c r="AF236" s="3041"/>
      <c r="AN236" s="3280"/>
      <c r="AZ236" s="3041"/>
      <c r="BD236" s="3281"/>
      <c r="BH236" s="3282"/>
      <c r="BJ236" s="2589"/>
      <c r="BK236" s="2126"/>
      <c r="BL236" s="2126"/>
      <c r="BM236" s="2126"/>
      <c r="BN236" s="2126"/>
      <c r="BO236" s="2126"/>
      <c r="BP236" s="2126"/>
      <c r="BQ236" s="2126"/>
      <c r="BR236" s="2126"/>
      <c r="BS236" s="2126"/>
    </row>
    <row r="237" spans="1:71" s="3030" customFormat="1">
      <c r="A237" s="2126"/>
      <c r="B237" s="2126"/>
      <c r="C237" s="2149"/>
      <c r="D237" s="3248"/>
      <c r="E237" s="525"/>
      <c r="F237" s="525"/>
      <c r="G237" s="526"/>
      <c r="K237" s="3280"/>
      <c r="P237" s="3041"/>
      <c r="X237" s="3280"/>
      <c r="AA237" s="3041"/>
      <c r="AF237" s="3041"/>
      <c r="AN237" s="3280"/>
      <c r="AZ237" s="3041"/>
      <c r="BD237" s="3281"/>
      <c r="BH237" s="3282"/>
      <c r="BJ237" s="2589"/>
      <c r="BK237" s="2126"/>
      <c r="BL237" s="2126"/>
      <c r="BM237" s="2126"/>
      <c r="BN237" s="2126"/>
      <c r="BO237" s="2126"/>
      <c r="BP237" s="2126"/>
      <c r="BQ237" s="2126"/>
      <c r="BR237" s="2126"/>
      <c r="BS237" s="2126"/>
    </row>
    <row r="238" spans="1:71" s="3030" customFormat="1">
      <c r="A238" s="2126"/>
      <c r="B238" s="2126"/>
      <c r="C238" s="2149"/>
      <c r="D238" s="3248"/>
      <c r="E238" s="525"/>
      <c r="F238" s="525"/>
      <c r="G238" s="526"/>
      <c r="K238" s="3280"/>
      <c r="P238" s="3041"/>
      <c r="X238" s="3280"/>
      <c r="AA238" s="3041"/>
      <c r="AF238" s="3041"/>
      <c r="AN238" s="3280"/>
      <c r="AZ238" s="3041"/>
      <c r="BD238" s="3281"/>
      <c r="BH238" s="3282"/>
      <c r="BJ238" s="2589"/>
      <c r="BK238" s="2126"/>
      <c r="BL238" s="2126"/>
      <c r="BM238" s="2126"/>
      <c r="BN238" s="2126"/>
      <c r="BO238" s="2126"/>
      <c r="BP238" s="2126"/>
      <c r="BQ238" s="2126"/>
      <c r="BR238" s="2126"/>
      <c r="BS238" s="2126"/>
    </row>
    <row r="239" spans="1:71" s="3030" customFormat="1">
      <c r="A239" s="2126"/>
      <c r="B239" s="2126"/>
      <c r="C239" s="2149"/>
      <c r="D239" s="3248"/>
      <c r="E239" s="525"/>
      <c r="F239" s="525"/>
      <c r="G239" s="526"/>
      <c r="K239" s="3280"/>
      <c r="P239" s="3041"/>
      <c r="X239" s="3280"/>
      <c r="AA239" s="3041"/>
      <c r="AF239" s="3041"/>
      <c r="AN239" s="3280"/>
      <c r="AZ239" s="3041"/>
      <c r="BD239" s="3281"/>
      <c r="BH239" s="3282"/>
      <c r="BJ239" s="2589"/>
      <c r="BK239" s="2126"/>
      <c r="BL239" s="2126"/>
      <c r="BM239" s="2126"/>
      <c r="BN239" s="2126"/>
      <c r="BO239" s="2126"/>
      <c r="BP239" s="2126"/>
      <c r="BQ239" s="2126"/>
      <c r="BR239" s="2126"/>
      <c r="BS239" s="2126"/>
    </row>
    <row r="240" spans="1:71" s="3030" customFormat="1">
      <c r="A240" s="2126"/>
      <c r="B240" s="2126"/>
      <c r="C240" s="2149"/>
      <c r="D240" s="3248"/>
      <c r="E240" s="525"/>
      <c r="F240" s="525"/>
      <c r="G240" s="526"/>
      <c r="K240" s="3280"/>
      <c r="P240" s="3041"/>
      <c r="X240" s="3280"/>
      <c r="AA240" s="3041"/>
      <c r="AF240" s="3041"/>
      <c r="AN240" s="3280"/>
      <c r="AZ240" s="3041"/>
      <c r="BD240" s="3281"/>
      <c r="BH240" s="3282"/>
      <c r="BJ240" s="2589"/>
      <c r="BK240" s="2126"/>
      <c r="BL240" s="2126"/>
      <c r="BM240" s="2126"/>
      <c r="BN240" s="2126"/>
      <c r="BO240" s="2126"/>
      <c r="BP240" s="2126"/>
      <c r="BQ240" s="2126"/>
      <c r="BR240" s="2126"/>
      <c r="BS240" s="2126"/>
    </row>
    <row r="241" spans="1:71" s="3030" customFormat="1">
      <c r="A241" s="2126"/>
      <c r="B241" s="2126"/>
      <c r="C241" s="2149"/>
      <c r="D241" s="3248"/>
      <c r="E241" s="525"/>
      <c r="F241" s="525"/>
      <c r="G241" s="526"/>
      <c r="K241" s="3280"/>
      <c r="P241" s="3041"/>
      <c r="X241" s="3280"/>
      <c r="AA241" s="3041"/>
      <c r="AF241" s="3041"/>
      <c r="AN241" s="3280"/>
      <c r="AZ241" s="3041"/>
      <c r="BD241" s="3281"/>
      <c r="BH241" s="3282"/>
      <c r="BJ241" s="2589"/>
      <c r="BK241" s="2126"/>
      <c r="BL241" s="2126"/>
      <c r="BM241" s="2126"/>
      <c r="BN241" s="2126"/>
      <c r="BO241" s="2126"/>
      <c r="BP241" s="2126"/>
      <c r="BQ241" s="2126"/>
      <c r="BR241" s="2126"/>
      <c r="BS241" s="2126"/>
    </row>
    <row r="242" spans="1:71" s="3030" customFormat="1">
      <c r="A242" s="2126"/>
      <c r="B242" s="2126"/>
      <c r="C242" s="2149"/>
      <c r="D242" s="3248"/>
      <c r="E242" s="525"/>
      <c r="F242" s="525"/>
      <c r="G242" s="526"/>
      <c r="K242" s="3280"/>
      <c r="P242" s="3041"/>
      <c r="X242" s="3280"/>
      <c r="AA242" s="3041"/>
      <c r="AF242" s="3041"/>
      <c r="AN242" s="3280"/>
      <c r="AZ242" s="3041"/>
      <c r="BD242" s="3281"/>
      <c r="BH242" s="3282"/>
      <c r="BJ242" s="2589"/>
      <c r="BK242" s="2126"/>
      <c r="BL242" s="2126"/>
      <c r="BM242" s="2126"/>
      <c r="BN242" s="2126"/>
      <c r="BO242" s="2126"/>
      <c r="BP242" s="2126"/>
      <c r="BQ242" s="2126"/>
      <c r="BR242" s="2126"/>
      <c r="BS242" s="2126"/>
    </row>
    <row r="243" spans="1:71" s="3030" customFormat="1">
      <c r="A243" s="2126"/>
      <c r="B243" s="2126"/>
      <c r="C243" s="2149"/>
      <c r="D243" s="3248"/>
      <c r="E243" s="525"/>
      <c r="F243" s="525"/>
      <c r="G243" s="526"/>
      <c r="K243" s="3280"/>
      <c r="P243" s="3041"/>
      <c r="X243" s="3280"/>
      <c r="AA243" s="3041"/>
      <c r="AF243" s="3041"/>
      <c r="AN243" s="3280"/>
      <c r="AZ243" s="3041"/>
      <c r="BD243" s="3281"/>
      <c r="BH243" s="3282"/>
      <c r="BJ243" s="2589"/>
      <c r="BK243" s="2126"/>
      <c r="BL243" s="2126"/>
      <c r="BM243" s="2126"/>
      <c r="BN243" s="2126"/>
      <c r="BO243" s="2126"/>
      <c r="BP243" s="2126"/>
      <c r="BQ243" s="2126"/>
      <c r="BR243" s="2126"/>
      <c r="BS243" s="2126"/>
    </row>
    <row r="244" spans="1:71" s="3030" customFormat="1">
      <c r="A244" s="2126"/>
      <c r="B244" s="2126"/>
      <c r="C244" s="2149"/>
      <c r="D244" s="3248"/>
      <c r="E244" s="525"/>
      <c r="F244" s="525"/>
      <c r="G244" s="526"/>
      <c r="K244" s="3280"/>
      <c r="P244" s="3041"/>
      <c r="X244" s="3280"/>
      <c r="AA244" s="3041"/>
      <c r="AF244" s="3041"/>
      <c r="AN244" s="3280"/>
      <c r="AZ244" s="3041"/>
      <c r="BD244" s="3281"/>
      <c r="BH244" s="3282"/>
      <c r="BJ244" s="2589"/>
      <c r="BK244" s="2126"/>
      <c r="BL244" s="2126"/>
      <c r="BM244" s="2126"/>
      <c r="BN244" s="2126"/>
      <c r="BO244" s="2126"/>
      <c r="BP244" s="2126"/>
      <c r="BQ244" s="2126"/>
      <c r="BR244" s="2126"/>
      <c r="BS244" s="2126"/>
    </row>
    <row r="245" spans="1:71" s="3030" customFormat="1">
      <c r="A245" s="2126"/>
      <c r="B245" s="2126"/>
      <c r="C245" s="2149"/>
      <c r="D245" s="3248"/>
      <c r="E245" s="525"/>
      <c r="F245" s="525"/>
      <c r="G245" s="526"/>
      <c r="K245" s="3280"/>
      <c r="P245" s="3041"/>
      <c r="X245" s="3280"/>
      <c r="AA245" s="3041"/>
      <c r="AF245" s="3041"/>
      <c r="AN245" s="3280"/>
      <c r="AZ245" s="3041"/>
      <c r="BD245" s="3281"/>
      <c r="BH245" s="3282"/>
      <c r="BJ245" s="2589"/>
      <c r="BK245" s="2126"/>
      <c r="BL245" s="2126"/>
      <c r="BM245" s="2126"/>
      <c r="BN245" s="2126"/>
      <c r="BO245" s="2126"/>
      <c r="BP245" s="2126"/>
      <c r="BQ245" s="2126"/>
      <c r="BR245" s="2126"/>
      <c r="BS245" s="2126"/>
    </row>
    <row r="246" spans="1:71" s="3030" customFormat="1">
      <c r="A246" s="2126"/>
      <c r="B246" s="2126"/>
      <c r="C246" s="2149"/>
      <c r="D246" s="3248"/>
      <c r="E246" s="525"/>
      <c r="F246" s="525"/>
      <c r="G246" s="526"/>
      <c r="K246" s="3280"/>
      <c r="P246" s="3041"/>
      <c r="X246" s="3280"/>
      <c r="AA246" s="3041"/>
      <c r="AF246" s="3041"/>
      <c r="AN246" s="3280"/>
      <c r="AZ246" s="3041"/>
      <c r="BD246" s="3281"/>
      <c r="BH246" s="3282"/>
      <c r="BJ246" s="2589"/>
      <c r="BK246" s="2126"/>
      <c r="BL246" s="2126"/>
      <c r="BM246" s="2126"/>
      <c r="BN246" s="2126"/>
      <c r="BO246" s="2126"/>
      <c r="BP246" s="2126"/>
      <c r="BQ246" s="2126"/>
      <c r="BR246" s="2126"/>
      <c r="BS246" s="2126"/>
    </row>
    <row r="247" spans="1:71" s="3030" customFormat="1">
      <c r="A247" s="2126"/>
      <c r="B247" s="2126"/>
      <c r="C247" s="2149"/>
      <c r="D247" s="3248"/>
      <c r="E247" s="525"/>
      <c r="F247" s="525"/>
      <c r="G247" s="526"/>
      <c r="K247" s="3280"/>
      <c r="P247" s="3041"/>
      <c r="X247" s="3280"/>
      <c r="AA247" s="3041"/>
      <c r="AF247" s="3041"/>
      <c r="AN247" s="3280"/>
      <c r="AZ247" s="3041"/>
      <c r="BD247" s="3281"/>
      <c r="BH247" s="3282"/>
      <c r="BJ247" s="2589"/>
      <c r="BK247" s="2126"/>
      <c r="BL247" s="2126"/>
      <c r="BM247" s="2126"/>
      <c r="BN247" s="2126"/>
      <c r="BO247" s="2126"/>
      <c r="BP247" s="2126"/>
      <c r="BQ247" s="2126"/>
      <c r="BR247" s="2126"/>
      <c r="BS247" s="2126"/>
    </row>
    <row r="248" spans="1:71" s="3030" customFormat="1">
      <c r="A248" s="2126"/>
      <c r="B248" s="2126"/>
      <c r="C248" s="2149"/>
      <c r="D248" s="3248"/>
      <c r="E248" s="525"/>
      <c r="F248" s="525"/>
      <c r="G248" s="526"/>
      <c r="K248" s="3280"/>
      <c r="P248" s="3041"/>
      <c r="X248" s="3280"/>
      <c r="AA248" s="3041"/>
      <c r="AF248" s="3041"/>
      <c r="AN248" s="3280"/>
      <c r="AZ248" s="3041"/>
      <c r="BD248" s="3281"/>
      <c r="BH248" s="3282"/>
      <c r="BJ248" s="2589"/>
      <c r="BK248" s="2126"/>
      <c r="BL248" s="2126"/>
      <c r="BM248" s="2126"/>
      <c r="BN248" s="2126"/>
      <c r="BO248" s="2126"/>
      <c r="BP248" s="2126"/>
      <c r="BQ248" s="2126"/>
      <c r="BR248" s="2126"/>
      <c r="BS248" s="2126"/>
    </row>
    <row r="249" spans="1:71" s="3030" customFormat="1">
      <c r="A249" s="2126"/>
      <c r="B249" s="2126"/>
      <c r="C249" s="2149"/>
      <c r="D249" s="3248"/>
      <c r="E249" s="525"/>
      <c r="F249" s="525"/>
      <c r="G249" s="526"/>
      <c r="K249" s="3280"/>
      <c r="P249" s="3041"/>
      <c r="X249" s="3280"/>
      <c r="AA249" s="3041"/>
      <c r="AF249" s="3041"/>
      <c r="AN249" s="3280"/>
      <c r="AZ249" s="3041"/>
      <c r="BD249" s="3281"/>
      <c r="BH249" s="3282"/>
      <c r="BJ249" s="2589"/>
      <c r="BK249" s="2126"/>
      <c r="BL249" s="2126"/>
      <c r="BM249" s="2126"/>
      <c r="BN249" s="2126"/>
      <c r="BO249" s="2126"/>
      <c r="BP249" s="2126"/>
      <c r="BQ249" s="2126"/>
      <c r="BR249" s="2126"/>
      <c r="BS249" s="2126"/>
    </row>
    <row r="250" spans="1:71" s="3030" customFormat="1">
      <c r="A250" s="2126"/>
      <c r="B250" s="2126"/>
      <c r="C250" s="2149"/>
      <c r="D250" s="3248"/>
      <c r="E250" s="525"/>
      <c r="F250" s="525"/>
      <c r="G250" s="526"/>
      <c r="K250" s="3280"/>
      <c r="P250" s="3041"/>
      <c r="X250" s="3280"/>
      <c r="AA250" s="3041"/>
      <c r="AF250" s="3041"/>
      <c r="AN250" s="3280"/>
      <c r="AZ250" s="3041"/>
      <c r="BD250" s="3281"/>
      <c r="BH250" s="3282"/>
      <c r="BJ250" s="2589"/>
      <c r="BK250" s="2126"/>
      <c r="BL250" s="2126"/>
      <c r="BM250" s="2126"/>
      <c r="BN250" s="2126"/>
      <c r="BO250" s="2126"/>
      <c r="BP250" s="2126"/>
      <c r="BQ250" s="2126"/>
      <c r="BR250" s="2126"/>
      <c r="BS250" s="2126"/>
    </row>
    <row r="251" spans="1:71" s="3030" customFormat="1">
      <c r="A251" s="2126"/>
      <c r="B251" s="2126"/>
      <c r="C251" s="2149"/>
      <c r="D251" s="3248"/>
      <c r="E251" s="525"/>
      <c r="F251" s="525"/>
      <c r="G251" s="526"/>
      <c r="K251" s="3280"/>
      <c r="P251" s="3041"/>
      <c r="X251" s="3280"/>
      <c r="AA251" s="3041"/>
      <c r="AF251" s="3041"/>
      <c r="AN251" s="3280"/>
      <c r="AZ251" s="3041"/>
      <c r="BD251" s="3281"/>
      <c r="BH251" s="3282"/>
      <c r="BJ251" s="2589"/>
      <c r="BK251" s="2126"/>
      <c r="BL251" s="2126"/>
      <c r="BM251" s="2126"/>
      <c r="BN251" s="2126"/>
      <c r="BO251" s="2126"/>
      <c r="BP251" s="2126"/>
      <c r="BQ251" s="2126"/>
      <c r="BR251" s="2126"/>
      <c r="BS251" s="2126"/>
    </row>
    <row r="252" spans="1:71" s="3030" customFormat="1">
      <c r="A252" s="2126"/>
      <c r="B252" s="2126"/>
      <c r="C252" s="2149"/>
      <c r="D252" s="3248"/>
      <c r="E252" s="525"/>
      <c r="F252" s="525"/>
      <c r="G252" s="526"/>
      <c r="K252" s="3280"/>
      <c r="P252" s="3041"/>
      <c r="X252" s="3280"/>
      <c r="AA252" s="3041"/>
      <c r="AF252" s="3041"/>
      <c r="AN252" s="3280"/>
      <c r="AZ252" s="3041"/>
      <c r="BD252" s="3281"/>
      <c r="BH252" s="3282"/>
      <c r="BJ252" s="2589"/>
      <c r="BK252" s="2126"/>
      <c r="BL252" s="2126"/>
      <c r="BM252" s="2126"/>
      <c r="BN252" s="2126"/>
      <c r="BO252" s="2126"/>
      <c r="BP252" s="2126"/>
      <c r="BQ252" s="2126"/>
      <c r="BR252" s="2126"/>
      <c r="BS252" s="2126"/>
    </row>
    <row r="253" spans="1:71" s="3030" customFormat="1">
      <c r="A253" s="2126"/>
      <c r="B253" s="2126"/>
      <c r="C253" s="2149"/>
      <c r="D253" s="3248"/>
      <c r="E253" s="525"/>
      <c r="F253" s="525"/>
      <c r="G253" s="526"/>
      <c r="K253" s="3280"/>
      <c r="P253" s="3041"/>
      <c r="X253" s="3280"/>
      <c r="AA253" s="3041"/>
      <c r="AF253" s="3041"/>
      <c r="AN253" s="3280"/>
      <c r="AZ253" s="3041"/>
      <c r="BD253" s="3281"/>
      <c r="BH253" s="3282"/>
      <c r="BJ253" s="2589"/>
      <c r="BK253" s="2126"/>
      <c r="BL253" s="2126"/>
      <c r="BM253" s="2126"/>
      <c r="BN253" s="2126"/>
      <c r="BO253" s="2126"/>
      <c r="BP253" s="2126"/>
      <c r="BQ253" s="2126"/>
      <c r="BR253" s="2126"/>
      <c r="BS253" s="2126"/>
    </row>
    <row r="254" spans="1:71" s="3030" customFormat="1">
      <c r="A254" s="2126"/>
      <c r="B254" s="2126"/>
      <c r="C254" s="2149"/>
      <c r="D254" s="3248"/>
      <c r="E254" s="525"/>
      <c r="F254" s="525"/>
      <c r="G254" s="526"/>
      <c r="K254" s="3280"/>
      <c r="P254" s="3041"/>
      <c r="X254" s="3280"/>
      <c r="AA254" s="3041"/>
      <c r="AF254" s="3041"/>
      <c r="AN254" s="3280"/>
      <c r="AZ254" s="3041"/>
      <c r="BD254" s="3281"/>
      <c r="BH254" s="3282"/>
      <c r="BJ254" s="2589"/>
      <c r="BK254" s="2126"/>
      <c r="BL254" s="2126"/>
      <c r="BM254" s="2126"/>
      <c r="BN254" s="2126"/>
      <c r="BO254" s="2126"/>
      <c r="BP254" s="2126"/>
      <c r="BQ254" s="2126"/>
      <c r="BR254" s="2126"/>
      <c r="BS254" s="2126"/>
    </row>
    <row r="255" spans="1:71" s="3030" customFormat="1">
      <c r="A255" s="2126"/>
      <c r="B255" s="2126"/>
      <c r="C255" s="2149"/>
      <c r="D255" s="3248"/>
      <c r="E255" s="525"/>
      <c r="F255" s="525"/>
      <c r="G255" s="526"/>
      <c r="K255" s="3280"/>
      <c r="P255" s="3041"/>
      <c r="X255" s="3280"/>
      <c r="AA255" s="3041"/>
      <c r="AF255" s="3041"/>
      <c r="AN255" s="3280"/>
      <c r="AZ255" s="3041"/>
      <c r="BD255" s="3281"/>
      <c r="BH255" s="3282"/>
      <c r="BJ255" s="2589"/>
      <c r="BK255" s="2126"/>
      <c r="BL255" s="2126"/>
      <c r="BM255" s="2126"/>
      <c r="BN255" s="2126"/>
      <c r="BO255" s="2126"/>
      <c r="BP255" s="2126"/>
      <c r="BQ255" s="2126"/>
      <c r="BR255" s="2126"/>
      <c r="BS255" s="2126"/>
    </row>
    <row r="256" spans="1:71" s="3030" customFormat="1">
      <c r="A256" s="2126"/>
      <c r="B256" s="2126"/>
      <c r="C256" s="2149"/>
      <c r="D256" s="3248"/>
      <c r="E256" s="525"/>
      <c r="F256" s="525"/>
      <c r="G256" s="526"/>
      <c r="K256" s="3280"/>
      <c r="P256" s="3041"/>
      <c r="X256" s="3280"/>
      <c r="AA256" s="3041"/>
      <c r="AF256" s="3041"/>
      <c r="AN256" s="3280"/>
      <c r="AZ256" s="3041"/>
      <c r="BD256" s="3281"/>
      <c r="BH256" s="3282"/>
      <c r="BJ256" s="2589"/>
      <c r="BK256" s="2126"/>
      <c r="BL256" s="2126"/>
      <c r="BM256" s="2126"/>
      <c r="BN256" s="2126"/>
      <c r="BO256" s="2126"/>
      <c r="BP256" s="2126"/>
      <c r="BQ256" s="2126"/>
      <c r="BR256" s="2126"/>
      <c r="BS256" s="2126"/>
    </row>
    <row r="257" spans="1:71" s="3030" customFormat="1">
      <c r="A257" s="2126"/>
      <c r="B257" s="2126"/>
      <c r="C257" s="2149"/>
      <c r="D257" s="3248"/>
      <c r="E257" s="525"/>
      <c r="F257" s="525"/>
      <c r="G257" s="526"/>
      <c r="K257" s="3280"/>
      <c r="P257" s="3041"/>
      <c r="X257" s="3280"/>
      <c r="AA257" s="3041"/>
      <c r="AF257" s="3041"/>
      <c r="AN257" s="3280"/>
      <c r="AZ257" s="3041"/>
      <c r="BD257" s="3281"/>
      <c r="BH257" s="3282"/>
      <c r="BJ257" s="2589"/>
      <c r="BK257" s="2126"/>
      <c r="BL257" s="2126"/>
      <c r="BM257" s="2126"/>
      <c r="BN257" s="2126"/>
      <c r="BO257" s="2126"/>
      <c r="BP257" s="2126"/>
      <c r="BQ257" s="2126"/>
      <c r="BR257" s="2126"/>
      <c r="BS257" s="2126"/>
    </row>
    <row r="258" spans="1:71" s="3030" customFormat="1">
      <c r="A258" s="2126"/>
      <c r="B258" s="2126"/>
      <c r="C258" s="2149"/>
      <c r="D258" s="3248"/>
      <c r="E258" s="525"/>
      <c r="F258" s="525"/>
      <c r="G258" s="526"/>
      <c r="K258" s="3280"/>
      <c r="P258" s="3041"/>
      <c r="X258" s="3280"/>
      <c r="AA258" s="3041"/>
      <c r="AF258" s="3041"/>
      <c r="AN258" s="3280"/>
      <c r="AZ258" s="3041"/>
      <c r="BD258" s="3281"/>
      <c r="BH258" s="3282"/>
      <c r="BJ258" s="2589"/>
      <c r="BK258" s="2126"/>
      <c r="BL258" s="2126"/>
      <c r="BM258" s="2126"/>
      <c r="BN258" s="2126"/>
      <c r="BO258" s="2126"/>
      <c r="BP258" s="2126"/>
      <c r="BQ258" s="2126"/>
      <c r="BR258" s="2126"/>
      <c r="BS258" s="2126"/>
    </row>
    <row r="259" spans="1:71" s="3030" customFormat="1">
      <c r="A259" s="2126"/>
      <c r="B259" s="2126"/>
      <c r="C259" s="2149"/>
      <c r="D259" s="3248"/>
      <c r="E259" s="525"/>
      <c r="F259" s="525"/>
      <c r="G259" s="526"/>
      <c r="K259" s="3280"/>
      <c r="P259" s="3041"/>
      <c r="X259" s="3280"/>
      <c r="AA259" s="3041"/>
      <c r="AF259" s="3041"/>
      <c r="AN259" s="3280"/>
      <c r="AZ259" s="3041"/>
      <c r="BD259" s="3281"/>
      <c r="BH259" s="3282"/>
      <c r="BJ259" s="2589"/>
      <c r="BK259" s="2126"/>
      <c r="BL259" s="2126"/>
      <c r="BM259" s="2126"/>
      <c r="BN259" s="2126"/>
      <c r="BO259" s="2126"/>
      <c r="BP259" s="2126"/>
      <c r="BQ259" s="2126"/>
      <c r="BR259" s="2126"/>
      <c r="BS259" s="2126"/>
    </row>
    <row r="260" spans="1:71" s="3030" customFormat="1">
      <c r="A260" s="2126"/>
      <c r="B260" s="2126"/>
      <c r="C260" s="2149"/>
      <c r="D260" s="3248"/>
      <c r="E260" s="525"/>
      <c r="F260" s="525"/>
      <c r="G260" s="526"/>
      <c r="K260" s="3280"/>
      <c r="P260" s="3041"/>
      <c r="X260" s="3280"/>
      <c r="AA260" s="3041"/>
      <c r="AF260" s="3041"/>
      <c r="AN260" s="3280"/>
      <c r="AZ260" s="3041"/>
      <c r="BD260" s="3281"/>
      <c r="BH260" s="3282"/>
      <c r="BJ260" s="2589"/>
      <c r="BK260" s="2126"/>
      <c r="BL260" s="2126"/>
      <c r="BM260" s="2126"/>
      <c r="BN260" s="2126"/>
      <c r="BO260" s="2126"/>
      <c r="BP260" s="2126"/>
      <c r="BQ260" s="2126"/>
      <c r="BR260" s="2126"/>
      <c r="BS260" s="2126"/>
    </row>
    <row r="261" spans="1:71" s="3030" customFormat="1">
      <c r="A261" s="2126"/>
      <c r="B261" s="2126"/>
      <c r="C261" s="2149"/>
      <c r="D261" s="3248"/>
      <c r="E261" s="525"/>
      <c r="F261" s="525"/>
      <c r="G261" s="526"/>
      <c r="K261" s="3280"/>
      <c r="P261" s="3041"/>
      <c r="X261" s="3280"/>
      <c r="AA261" s="3041"/>
      <c r="AF261" s="3041"/>
      <c r="AN261" s="3280"/>
      <c r="AZ261" s="3041"/>
      <c r="BD261" s="3281"/>
      <c r="BH261" s="3282"/>
      <c r="BJ261" s="2589"/>
      <c r="BK261" s="2126"/>
      <c r="BL261" s="2126"/>
      <c r="BM261" s="2126"/>
      <c r="BN261" s="2126"/>
      <c r="BO261" s="2126"/>
      <c r="BP261" s="2126"/>
      <c r="BQ261" s="2126"/>
      <c r="BR261" s="2126"/>
      <c r="BS261" s="2126"/>
    </row>
    <row r="262" spans="1:71" s="3030" customFormat="1">
      <c r="A262" s="2126"/>
      <c r="B262" s="2126"/>
      <c r="C262" s="2149"/>
      <c r="D262" s="3248"/>
      <c r="E262" s="525"/>
      <c r="F262" s="525"/>
      <c r="G262" s="526"/>
      <c r="K262" s="3280"/>
      <c r="P262" s="3041"/>
      <c r="X262" s="3280"/>
      <c r="AA262" s="3041"/>
      <c r="AF262" s="3041"/>
      <c r="AN262" s="3280"/>
      <c r="AZ262" s="3041"/>
      <c r="BD262" s="3281"/>
      <c r="BH262" s="3282"/>
      <c r="BJ262" s="2589"/>
      <c r="BK262" s="2126"/>
      <c r="BL262" s="2126"/>
      <c r="BM262" s="2126"/>
      <c r="BN262" s="2126"/>
      <c r="BO262" s="2126"/>
      <c r="BP262" s="2126"/>
      <c r="BQ262" s="2126"/>
      <c r="BR262" s="2126"/>
      <c r="BS262" s="2126"/>
    </row>
    <row r="263" spans="1:71" s="3030" customFormat="1">
      <c r="A263" s="2126"/>
      <c r="B263" s="2126"/>
      <c r="C263" s="2149"/>
      <c r="D263" s="3248"/>
      <c r="E263" s="525"/>
      <c r="F263" s="525"/>
      <c r="G263" s="526"/>
      <c r="K263" s="3280"/>
      <c r="P263" s="3041"/>
      <c r="X263" s="3280"/>
      <c r="AA263" s="3041"/>
      <c r="AF263" s="3041"/>
      <c r="AN263" s="3280"/>
      <c r="AZ263" s="3041"/>
      <c r="BD263" s="3281"/>
      <c r="BH263" s="3282"/>
      <c r="BJ263" s="2589"/>
      <c r="BK263" s="2126"/>
      <c r="BL263" s="2126"/>
      <c r="BM263" s="2126"/>
      <c r="BN263" s="2126"/>
      <c r="BO263" s="2126"/>
      <c r="BP263" s="2126"/>
      <c r="BQ263" s="2126"/>
      <c r="BR263" s="2126"/>
      <c r="BS263" s="2126"/>
    </row>
    <row r="264" spans="1:71" s="3030" customFormat="1">
      <c r="A264" s="2126"/>
      <c r="B264" s="2126"/>
      <c r="C264" s="2149"/>
      <c r="D264" s="3248"/>
      <c r="E264" s="525"/>
      <c r="F264" s="525"/>
      <c r="G264" s="526"/>
      <c r="K264" s="3280"/>
      <c r="P264" s="3041"/>
      <c r="X264" s="3280"/>
      <c r="AA264" s="3041"/>
      <c r="AF264" s="3041"/>
      <c r="AN264" s="3280"/>
      <c r="AZ264" s="3041"/>
      <c r="BD264" s="3281"/>
      <c r="BH264" s="3282"/>
      <c r="BJ264" s="2589"/>
      <c r="BK264" s="2126"/>
      <c r="BL264" s="2126"/>
      <c r="BM264" s="2126"/>
      <c r="BN264" s="2126"/>
      <c r="BO264" s="2126"/>
      <c r="BP264" s="2126"/>
      <c r="BQ264" s="2126"/>
      <c r="BR264" s="2126"/>
      <c r="BS264" s="2126"/>
    </row>
    <row r="265" spans="1:71" s="3030" customFormat="1">
      <c r="A265" s="2126"/>
      <c r="B265" s="2126"/>
      <c r="C265" s="2149"/>
      <c r="D265" s="3248"/>
      <c r="E265" s="525"/>
      <c r="F265" s="525"/>
      <c r="G265" s="526"/>
      <c r="K265" s="3280"/>
      <c r="P265" s="3041"/>
      <c r="X265" s="3280"/>
      <c r="AA265" s="3041"/>
      <c r="AF265" s="3041"/>
      <c r="AN265" s="3280"/>
      <c r="AZ265" s="3041"/>
      <c r="BD265" s="3281"/>
      <c r="BH265" s="3282"/>
      <c r="BJ265" s="2589"/>
      <c r="BK265" s="2126"/>
      <c r="BL265" s="2126"/>
      <c r="BM265" s="2126"/>
      <c r="BN265" s="2126"/>
      <c r="BO265" s="2126"/>
      <c r="BP265" s="2126"/>
      <c r="BQ265" s="2126"/>
      <c r="BR265" s="2126"/>
      <c r="BS265" s="2126"/>
    </row>
    <row r="266" spans="1:71" s="3030" customFormat="1">
      <c r="A266" s="2126"/>
      <c r="B266" s="2126"/>
      <c r="C266" s="2149"/>
      <c r="D266" s="3248"/>
      <c r="E266" s="525"/>
      <c r="F266" s="525"/>
      <c r="G266" s="526"/>
      <c r="K266" s="3280"/>
      <c r="P266" s="3041"/>
      <c r="X266" s="3280"/>
      <c r="AA266" s="3041"/>
      <c r="AF266" s="3041"/>
      <c r="AN266" s="3280"/>
      <c r="AZ266" s="3041"/>
      <c r="BD266" s="3281"/>
      <c r="BH266" s="3282"/>
      <c r="BJ266" s="2589"/>
      <c r="BK266" s="2126"/>
      <c r="BL266" s="2126"/>
      <c r="BM266" s="2126"/>
      <c r="BN266" s="2126"/>
      <c r="BO266" s="2126"/>
      <c r="BP266" s="2126"/>
      <c r="BQ266" s="2126"/>
      <c r="BR266" s="2126"/>
      <c r="BS266" s="2126"/>
    </row>
    <row r="267" spans="1:71" s="3030" customFormat="1">
      <c r="A267" s="2126"/>
      <c r="B267" s="2126"/>
      <c r="C267" s="2149"/>
      <c r="D267" s="3248"/>
      <c r="E267" s="525"/>
      <c r="F267" s="525"/>
      <c r="G267" s="526"/>
      <c r="K267" s="3280"/>
      <c r="P267" s="3041"/>
      <c r="X267" s="3280"/>
      <c r="AA267" s="3041"/>
      <c r="AF267" s="3041"/>
      <c r="AN267" s="3280"/>
      <c r="AZ267" s="3041"/>
      <c r="BD267" s="3281"/>
      <c r="BH267" s="3282"/>
      <c r="BJ267" s="2589"/>
      <c r="BK267" s="2126"/>
      <c r="BL267" s="2126"/>
      <c r="BM267" s="2126"/>
      <c r="BN267" s="2126"/>
      <c r="BO267" s="2126"/>
      <c r="BP267" s="2126"/>
      <c r="BQ267" s="2126"/>
      <c r="BR267" s="2126"/>
      <c r="BS267" s="2126"/>
    </row>
    <row r="268" spans="1:71" s="3030" customFormat="1">
      <c r="A268" s="2126"/>
      <c r="B268" s="2126"/>
      <c r="C268" s="2149"/>
      <c r="D268" s="3248"/>
      <c r="E268" s="525"/>
      <c r="F268" s="525"/>
      <c r="G268" s="526"/>
      <c r="K268" s="3280"/>
      <c r="P268" s="3041"/>
      <c r="X268" s="3280"/>
      <c r="AA268" s="3041"/>
      <c r="AF268" s="3041"/>
      <c r="AN268" s="3280"/>
      <c r="AZ268" s="3041"/>
      <c r="BD268" s="3281"/>
      <c r="BH268" s="3282"/>
      <c r="BJ268" s="2589"/>
      <c r="BK268" s="2126"/>
      <c r="BL268" s="2126"/>
      <c r="BM268" s="2126"/>
      <c r="BN268" s="2126"/>
      <c r="BO268" s="2126"/>
      <c r="BP268" s="2126"/>
      <c r="BQ268" s="2126"/>
      <c r="BR268" s="2126"/>
      <c r="BS268" s="2126"/>
    </row>
    <row r="269" spans="1:71" s="3030" customFormat="1">
      <c r="A269" s="2126"/>
      <c r="B269" s="2126"/>
      <c r="C269" s="2149"/>
      <c r="D269" s="3248"/>
      <c r="E269" s="525"/>
      <c r="F269" s="525"/>
      <c r="G269" s="526"/>
      <c r="K269" s="3280"/>
      <c r="P269" s="3041"/>
      <c r="X269" s="3280"/>
      <c r="AA269" s="3041"/>
      <c r="AF269" s="3041"/>
      <c r="AN269" s="3280"/>
      <c r="AZ269" s="3041"/>
      <c r="BD269" s="3281"/>
      <c r="BH269" s="3282"/>
      <c r="BJ269" s="2589"/>
      <c r="BK269" s="2126"/>
      <c r="BL269" s="2126"/>
      <c r="BM269" s="2126"/>
      <c r="BN269" s="2126"/>
      <c r="BO269" s="2126"/>
      <c r="BP269" s="2126"/>
      <c r="BQ269" s="2126"/>
      <c r="BR269" s="2126"/>
      <c r="BS269" s="2126"/>
    </row>
    <row r="270" spans="1:71" s="3030" customFormat="1">
      <c r="A270" s="2126"/>
      <c r="B270" s="2126"/>
      <c r="C270" s="2149"/>
      <c r="D270" s="3248"/>
      <c r="E270" s="525"/>
      <c r="F270" s="525"/>
      <c r="G270" s="526"/>
      <c r="K270" s="3280"/>
      <c r="P270" s="3041"/>
      <c r="X270" s="3280"/>
      <c r="AA270" s="3041"/>
      <c r="AF270" s="3041"/>
      <c r="AN270" s="3280"/>
      <c r="AZ270" s="3041"/>
      <c r="BD270" s="3281"/>
      <c r="BH270" s="3282"/>
      <c r="BJ270" s="2589"/>
      <c r="BK270" s="2126"/>
      <c r="BL270" s="2126"/>
      <c r="BM270" s="2126"/>
      <c r="BN270" s="2126"/>
      <c r="BO270" s="2126"/>
      <c r="BP270" s="2126"/>
      <c r="BQ270" s="2126"/>
      <c r="BR270" s="2126"/>
      <c r="BS270" s="2126"/>
    </row>
    <row r="271" spans="1:71" s="3030" customFormat="1">
      <c r="A271" s="2126"/>
      <c r="B271" s="2126"/>
      <c r="C271" s="2149"/>
      <c r="D271" s="3248"/>
      <c r="E271" s="525"/>
      <c r="F271" s="525"/>
      <c r="G271" s="526"/>
      <c r="K271" s="3280"/>
      <c r="P271" s="3041"/>
      <c r="X271" s="3280"/>
      <c r="AA271" s="3041"/>
      <c r="AF271" s="3041"/>
      <c r="AN271" s="3280"/>
      <c r="AZ271" s="3041"/>
      <c r="BD271" s="3281"/>
      <c r="BH271" s="3282"/>
      <c r="BJ271" s="2589"/>
      <c r="BK271" s="2126"/>
      <c r="BL271" s="2126"/>
      <c r="BM271" s="2126"/>
      <c r="BN271" s="2126"/>
      <c r="BO271" s="2126"/>
      <c r="BP271" s="2126"/>
      <c r="BQ271" s="2126"/>
      <c r="BR271" s="2126"/>
      <c r="BS271" s="2126"/>
    </row>
    <row r="272" spans="1:71" s="3030" customFormat="1">
      <c r="A272" s="2126"/>
      <c r="B272" s="2126"/>
      <c r="C272" s="2149"/>
      <c r="D272" s="3248"/>
      <c r="E272" s="525"/>
      <c r="F272" s="525"/>
      <c r="G272" s="526"/>
      <c r="K272" s="3280"/>
      <c r="P272" s="3041"/>
      <c r="X272" s="3280"/>
      <c r="AA272" s="3041"/>
      <c r="AF272" s="3041"/>
      <c r="AN272" s="3280"/>
      <c r="AZ272" s="3041"/>
      <c r="BD272" s="3281"/>
      <c r="BH272" s="3282"/>
      <c r="BJ272" s="2589"/>
      <c r="BK272" s="2126"/>
      <c r="BL272" s="2126"/>
      <c r="BM272" s="2126"/>
      <c r="BN272" s="2126"/>
      <c r="BO272" s="2126"/>
      <c r="BP272" s="2126"/>
      <c r="BQ272" s="2126"/>
      <c r="BR272" s="2126"/>
      <c r="BS272" s="2126"/>
    </row>
    <row r="273" spans="1:71" s="3030" customFormat="1">
      <c r="A273" s="2126"/>
      <c r="B273" s="2126"/>
      <c r="C273" s="2149"/>
      <c r="D273" s="3248"/>
      <c r="E273" s="525"/>
      <c r="F273" s="525"/>
      <c r="G273" s="526"/>
      <c r="K273" s="3280"/>
      <c r="P273" s="3041"/>
      <c r="X273" s="3280"/>
      <c r="AA273" s="3041"/>
      <c r="AF273" s="3041"/>
      <c r="AN273" s="3280"/>
      <c r="AZ273" s="3041"/>
      <c r="BD273" s="3281"/>
      <c r="BH273" s="3282"/>
      <c r="BJ273" s="2589"/>
      <c r="BK273" s="2126"/>
      <c r="BL273" s="2126"/>
      <c r="BM273" s="2126"/>
      <c r="BN273" s="2126"/>
      <c r="BO273" s="2126"/>
      <c r="BP273" s="2126"/>
      <c r="BQ273" s="2126"/>
      <c r="BR273" s="2126"/>
      <c r="BS273" s="2126"/>
    </row>
    <row r="274" spans="1:71" s="3030" customFormat="1">
      <c r="A274" s="2126"/>
      <c r="B274" s="2126"/>
      <c r="C274" s="2149"/>
      <c r="D274" s="3248"/>
      <c r="E274" s="525"/>
      <c r="F274" s="525"/>
      <c r="G274" s="526"/>
      <c r="K274" s="3280"/>
      <c r="P274" s="3041"/>
      <c r="X274" s="3280"/>
      <c r="AA274" s="3041"/>
      <c r="AF274" s="3041"/>
      <c r="AN274" s="3280"/>
      <c r="AZ274" s="3041"/>
      <c r="BD274" s="3281"/>
      <c r="BH274" s="3282"/>
      <c r="BJ274" s="2589"/>
      <c r="BK274" s="2126"/>
      <c r="BL274" s="2126"/>
      <c r="BM274" s="2126"/>
      <c r="BN274" s="2126"/>
      <c r="BO274" s="2126"/>
      <c r="BP274" s="2126"/>
      <c r="BQ274" s="2126"/>
      <c r="BR274" s="2126"/>
      <c r="BS274" s="2126"/>
    </row>
    <row r="275" spans="1:71" s="3030" customFormat="1">
      <c r="A275" s="2126"/>
      <c r="B275" s="2126"/>
      <c r="C275" s="2149"/>
      <c r="D275" s="3248"/>
      <c r="E275" s="525"/>
      <c r="F275" s="525"/>
      <c r="G275" s="526"/>
      <c r="K275" s="3280"/>
      <c r="P275" s="3041"/>
      <c r="X275" s="3280"/>
      <c r="AA275" s="3041"/>
      <c r="AF275" s="3041"/>
      <c r="AN275" s="3280"/>
      <c r="AZ275" s="3041"/>
      <c r="BD275" s="3281"/>
      <c r="BH275" s="3282"/>
      <c r="BJ275" s="2589"/>
      <c r="BK275" s="2126"/>
      <c r="BL275" s="2126"/>
      <c r="BM275" s="2126"/>
      <c r="BN275" s="2126"/>
      <c r="BO275" s="2126"/>
      <c r="BP275" s="2126"/>
      <c r="BQ275" s="2126"/>
      <c r="BR275" s="2126"/>
      <c r="BS275" s="2126"/>
    </row>
    <row r="276" spans="1:71" s="3030" customFormat="1">
      <c r="A276" s="2126"/>
      <c r="B276" s="2126"/>
      <c r="C276" s="2149"/>
      <c r="D276" s="3248"/>
      <c r="E276" s="525"/>
      <c r="F276" s="525"/>
      <c r="G276" s="526"/>
      <c r="K276" s="3280"/>
      <c r="P276" s="3041"/>
      <c r="X276" s="3280"/>
      <c r="AA276" s="3041"/>
      <c r="AF276" s="3041"/>
      <c r="AN276" s="3280"/>
      <c r="AZ276" s="3041"/>
      <c r="BD276" s="3281"/>
      <c r="BH276" s="3282"/>
      <c r="BJ276" s="2589"/>
      <c r="BK276" s="2126"/>
      <c r="BL276" s="2126"/>
      <c r="BM276" s="2126"/>
      <c r="BN276" s="2126"/>
      <c r="BO276" s="2126"/>
      <c r="BP276" s="2126"/>
      <c r="BQ276" s="2126"/>
      <c r="BR276" s="2126"/>
      <c r="BS276" s="2126"/>
    </row>
    <row r="277" spans="1:71" s="3030" customFormat="1">
      <c r="A277" s="2126"/>
      <c r="B277" s="2126"/>
      <c r="C277" s="2149"/>
      <c r="D277" s="3248"/>
      <c r="E277" s="525"/>
      <c r="F277" s="525"/>
      <c r="G277" s="526"/>
      <c r="K277" s="3280"/>
      <c r="P277" s="3041"/>
      <c r="X277" s="3280"/>
      <c r="AA277" s="3041"/>
      <c r="AF277" s="3041"/>
      <c r="AN277" s="3280"/>
      <c r="AZ277" s="3041"/>
      <c r="BD277" s="3281"/>
      <c r="BH277" s="3282"/>
      <c r="BJ277" s="2589"/>
      <c r="BK277" s="2126"/>
      <c r="BL277" s="2126"/>
      <c r="BM277" s="2126"/>
      <c r="BN277" s="2126"/>
      <c r="BO277" s="2126"/>
      <c r="BP277" s="2126"/>
      <c r="BQ277" s="2126"/>
      <c r="BR277" s="2126"/>
      <c r="BS277" s="2126"/>
    </row>
    <row r="278" spans="1:71" s="3030" customFormat="1">
      <c r="A278" s="2126"/>
      <c r="B278" s="2126"/>
      <c r="C278" s="2149"/>
      <c r="D278" s="3248"/>
      <c r="E278" s="525"/>
      <c r="F278" s="525"/>
      <c r="G278" s="526"/>
      <c r="K278" s="3280"/>
      <c r="P278" s="3041"/>
      <c r="X278" s="3280"/>
      <c r="AA278" s="3041"/>
      <c r="AF278" s="3041"/>
      <c r="AN278" s="3280"/>
      <c r="AZ278" s="3041"/>
      <c r="BD278" s="3281"/>
      <c r="BH278" s="3282"/>
      <c r="BJ278" s="2589"/>
      <c r="BK278" s="2126"/>
      <c r="BL278" s="2126"/>
      <c r="BM278" s="2126"/>
      <c r="BN278" s="2126"/>
      <c r="BO278" s="2126"/>
      <c r="BP278" s="2126"/>
      <c r="BQ278" s="2126"/>
      <c r="BR278" s="2126"/>
      <c r="BS278" s="2126"/>
    </row>
    <row r="279" spans="1:71" s="3030" customFormat="1">
      <c r="A279" s="2126"/>
      <c r="B279" s="2126"/>
      <c r="C279" s="2149"/>
      <c r="D279" s="3248"/>
      <c r="E279" s="525"/>
      <c r="F279" s="525"/>
      <c r="G279" s="526"/>
      <c r="K279" s="3280"/>
      <c r="P279" s="3041"/>
      <c r="X279" s="3280"/>
      <c r="AA279" s="3041"/>
      <c r="AF279" s="3041"/>
      <c r="AN279" s="3280"/>
      <c r="AZ279" s="3041"/>
      <c r="BD279" s="3281"/>
      <c r="BH279" s="3282"/>
      <c r="BJ279" s="2589"/>
      <c r="BK279" s="2126"/>
      <c r="BL279" s="2126"/>
      <c r="BM279" s="2126"/>
      <c r="BN279" s="2126"/>
      <c r="BO279" s="2126"/>
      <c r="BP279" s="2126"/>
      <c r="BQ279" s="2126"/>
      <c r="BR279" s="2126"/>
      <c r="BS279" s="2126"/>
    </row>
    <row r="280" spans="1:71" s="3030" customFormat="1">
      <c r="A280" s="2126"/>
      <c r="B280" s="2126"/>
      <c r="C280" s="2149"/>
      <c r="D280" s="3248"/>
      <c r="E280" s="525"/>
      <c r="F280" s="525"/>
      <c r="G280" s="526"/>
      <c r="K280" s="3280"/>
      <c r="P280" s="3041"/>
      <c r="X280" s="3280"/>
      <c r="AA280" s="3041"/>
      <c r="AF280" s="3041"/>
      <c r="AN280" s="3280"/>
      <c r="AZ280" s="3041"/>
      <c r="BD280" s="3281"/>
      <c r="BH280" s="3282"/>
      <c r="BJ280" s="2589"/>
      <c r="BK280" s="2126"/>
      <c r="BL280" s="2126"/>
      <c r="BM280" s="2126"/>
      <c r="BN280" s="2126"/>
      <c r="BO280" s="2126"/>
      <c r="BP280" s="2126"/>
      <c r="BQ280" s="2126"/>
      <c r="BR280" s="2126"/>
      <c r="BS280" s="2126"/>
    </row>
    <row r="281" spans="1:71" s="3030" customFormat="1">
      <c r="A281" s="2126"/>
      <c r="B281" s="2126"/>
      <c r="C281" s="2149"/>
      <c r="D281" s="3248"/>
      <c r="E281" s="525"/>
      <c r="F281" s="525"/>
      <c r="G281" s="526"/>
      <c r="K281" s="3280"/>
      <c r="P281" s="3041"/>
      <c r="X281" s="3280"/>
      <c r="AA281" s="3041"/>
      <c r="AF281" s="3041"/>
      <c r="AN281" s="3280"/>
      <c r="AZ281" s="3041"/>
      <c r="BD281" s="3281"/>
      <c r="BH281" s="3282"/>
      <c r="BJ281" s="2589"/>
      <c r="BK281" s="2126"/>
      <c r="BL281" s="2126"/>
      <c r="BM281" s="2126"/>
      <c r="BN281" s="2126"/>
      <c r="BO281" s="2126"/>
      <c r="BP281" s="2126"/>
      <c r="BQ281" s="2126"/>
      <c r="BR281" s="2126"/>
      <c r="BS281" s="2126"/>
    </row>
    <row r="282" spans="1:71" s="3030" customFormat="1">
      <c r="A282" s="2126"/>
      <c r="B282" s="2126"/>
      <c r="C282" s="2149"/>
      <c r="D282" s="3248"/>
      <c r="E282" s="525"/>
      <c r="F282" s="525"/>
      <c r="G282" s="526"/>
      <c r="K282" s="3280"/>
      <c r="P282" s="3041"/>
      <c r="X282" s="3280"/>
      <c r="AA282" s="3041"/>
      <c r="AF282" s="3041"/>
      <c r="AN282" s="3280"/>
      <c r="AZ282" s="3041"/>
      <c r="BD282" s="3281"/>
      <c r="BH282" s="3282"/>
      <c r="BJ282" s="2589"/>
      <c r="BK282" s="2126"/>
      <c r="BL282" s="2126"/>
      <c r="BM282" s="2126"/>
      <c r="BN282" s="2126"/>
      <c r="BO282" s="2126"/>
      <c r="BP282" s="2126"/>
      <c r="BQ282" s="2126"/>
      <c r="BR282" s="2126"/>
      <c r="BS282" s="2126"/>
    </row>
    <row r="283" spans="1:71" s="3030" customFormat="1">
      <c r="A283" s="2126"/>
      <c r="B283" s="2126"/>
      <c r="C283" s="2149"/>
      <c r="D283" s="3248"/>
      <c r="E283" s="525"/>
      <c r="F283" s="525"/>
      <c r="G283" s="526"/>
      <c r="K283" s="3280"/>
      <c r="P283" s="3041"/>
      <c r="X283" s="3280"/>
      <c r="AA283" s="3041"/>
      <c r="AF283" s="3041"/>
      <c r="AN283" s="3280"/>
      <c r="AZ283" s="3041"/>
      <c r="BD283" s="3281"/>
      <c r="BH283" s="3282"/>
      <c r="BJ283" s="2589"/>
      <c r="BK283" s="2126"/>
      <c r="BL283" s="2126"/>
      <c r="BM283" s="2126"/>
      <c r="BN283" s="2126"/>
      <c r="BO283" s="2126"/>
      <c r="BP283" s="2126"/>
      <c r="BQ283" s="2126"/>
      <c r="BR283" s="2126"/>
      <c r="BS283" s="2126"/>
    </row>
    <row r="284" spans="1:71" s="3030" customFormat="1">
      <c r="A284" s="2126"/>
      <c r="B284" s="2126"/>
      <c r="C284" s="2149"/>
      <c r="D284" s="3248"/>
      <c r="E284" s="525"/>
      <c r="F284" s="525"/>
      <c r="G284" s="526"/>
      <c r="K284" s="3280"/>
      <c r="P284" s="3041"/>
      <c r="X284" s="3280"/>
      <c r="AA284" s="3041"/>
      <c r="AF284" s="3041"/>
      <c r="AN284" s="3280"/>
      <c r="AZ284" s="3041"/>
      <c r="BD284" s="3281"/>
      <c r="BH284" s="3282"/>
      <c r="BJ284" s="2589"/>
      <c r="BK284" s="2126"/>
      <c r="BL284" s="2126"/>
      <c r="BM284" s="2126"/>
      <c r="BN284" s="2126"/>
      <c r="BO284" s="2126"/>
      <c r="BP284" s="2126"/>
      <c r="BQ284" s="2126"/>
      <c r="BR284" s="2126"/>
      <c r="BS284" s="2126"/>
    </row>
    <row r="285" spans="1:71" s="3030" customFormat="1">
      <c r="A285" s="2126"/>
      <c r="B285" s="2126"/>
      <c r="C285" s="2149"/>
      <c r="D285" s="3248"/>
      <c r="E285" s="525"/>
      <c r="F285" s="525"/>
      <c r="G285" s="526"/>
      <c r="K285" s="3280"/>
      <c r="P285" s="3041"/>
      <c r="X285" s="3280"/>
      <c r="AA285" s="3041"/>
      <c r="AF285" s="3041"/>
      <c r="AN285" s="3280"/>
      <c r="AZ285" s="3041"/>
      <c r="BD285" s="3281"/>
      <c r="BH285" s="3282"/>
      <c r="BJ285" s="2589"/>
      <c r="BK285" s="2126"/>
      <c r="BL285" s="2126"/>
      <c r="BM285" s="2126"/>
      <c r="BN285" s="2126"/>
      <c r="BO285" s="2126"/>
      <c r="BP285" s="2126"/>
      <c r="BQ285" s="2126"/>
      <c r="BR285" s="2126"/>
      <c r="BS285" s="2126"/>
    </row>
    <row r="286" spans="1:71" s="3030" customFormat="1">
      <c r="A286" s="2126"/>
      <c r="B286" s="2126"/>
      <c r="C286" s="2149"/>
      <c r="D286" s="3248"/>
      <c r="E286" s="525"/>
      <c r="F286" s="525"/>
      <c r="G286" s="526"/>
      <c r="K286" s="3280"/>
      <c r="P286" s="3041"/>
      <c r="X286" s="3280"/>
      <c r="AA286" s="3041"/>
      <c r="AF286" s="3041"/>
      <c r="AN286" s="3280"/>
      <c r="AZ286" s="3041"/>
      <c r="BD286" s="3281"/>
      <c r="BH286" s="3282"/>
      <c r="BJ286" s="2589"/>
      <c r="BK286" s="2126"/>
      <c r="BL286" s="2126"/>
      <c r="BM286" s="2126"/>
      <c r="BN286" s="2126"/>
      <c r="BO286" s="2126"/>
      <c r="BP286" s="2126"/>
      <c r="BQ286" s="2126"/>
      <c r="BR286" s="2126"/>
      <c r="BS286" s="2126"/>
    </row>
    <row r="287" spans="1:71" s="3030" customFormat="1">
      <c r="A287" s="2126"/>
      <c r="B287" s="2126"/>
      <c r="C287" s="2149"/>
      <c r="D287" s="3248"/>
      <c r="E287" s="525"/>
      <c r="F287" s="525"/>
      <c r="G287" s="526"/>
      <c r="K287" s="3280"/>
      <c r="P287" s="3041"/>
      <c r="X287" s="3280"/>
      <c r="AA287" s="3041"/>
      <c r="AF287" s="3041"/>
      <c r="AN287" s="3280"/>
      <c r="AZ287" s="3041"/>
      <c r="BD287" s="3281"/>
      <c r="BH287" s="3282"/>
      <c r="BJ287" s="2589"/>
      <c r="BK287" s="2126"/>
      <c r="BL287" s="2126"/>
      <c r="BM287" s="2126"/>
      <c r="BN287" s="2126"/>
      <c r="BO287" s="2126"/>
      <c r="BP287" s="2126"/>
      <c r="BQ287" s="2126"/>
      <c r="BR287" s="2126"/>
      <c r="BS287" s="2126"/>
    </row>
    <row r="288" spans="1:71" s="3030" customFormat="1">
      <c r="A288" s="2126"/>
      <c r="B288" s="2126"/>
      <c r="C288" s="2149"/>
      <c r="D288" s="3248"/>
      <c r="E288" s="525"/>
      <c r="F288" s="525"/>
      <c r="G288" s="526"/>
      <c r="K288" s="3280"/>
      <c r="P288" s="3041"/>
      <c r="X288" s="3280"/>
      <c r="AA288" s="3041"/>
      <c r="AF288" s="3041"/>
      <c r="AN288" s="3280"/>
      <c r="AZ288" s="3041"/>
      <c r="BD288" s="3281"/>
      <c r="BH288" s="3282"/>
      <c r="BJ288" s="2589"/>
      <c r="BK288" s="2126"/>
      <c r="BL288" s="2126"/>
      <c r="BM288" s="2126"/>
      <c r="BN288" s="2126"/>
      <c r="BO288" s="2126"/>
      <c r="BP288" s="2126"/>
      <c r="BQ288" s="2126"/>
      <c r="BR288" s="2126"/>
      <c r="BS288" s="2126"/>
    </row>
    <row r="289" spans="1:71" s="3030" customFormat="1">
      <c r="A289" s="2126"/>
      <c r="B289" s="2126"/>
      <c r="C289" s="2149"/>
      <c r="D289" s="3248"/>
      <c r="E289" s="525"/>
      <c r="F289" s="525"/>
      <c r="G289" s="526"/>
      <c r="K289" s="3280"/>
      <c r="P289" s="3041"/>
      <c r="X289" s="3280"/>
      <c r="AA289" s="3041"/>
      <c r="AF289" s="3041"/>
      <c r="AN289" s="3280"/>
      <c r="AZ289" s="3041"/>
      <c r="BD289" s="3281"/>
      <c r="BH289" s="3282"/>
      <c r="BJ289" s="2589"/>
      <c r="BK289" s="2126"/>
      <c r="BL289" s="2126"/>
      <c r="BM289" s="2126"/>
      <c r="BN289" s="2126"/>
      <c r="BO289" s="2126"/>
      <c r="BP289" s="2126"/>
      <c r="BQ289" s="2126"/>
      <c r="BR289" s="2126"/>
      <c r="BS289" s="2126"/>
    </row>
    <row r="290" spans="1:71" s="3030" customFormat="1">
      <c r="A290" s="2126"/>
      <c r="B290" s="2126"/>
      <c r="C290" s="2149"/>
      <c r="D290" s="3248"/>
      <c r="E290" s="525"/>
      <c r="F290" s="525"/>
      <c r="G290" s="526"/>
      <c r="K290" s="3280"/>
      <c r="P290" s="3041"/>
      <c r="X290" s="3280"/>
      <c r="AA290" s="3041"/>
      <c r="AF290" s="3041"/>
      <c r="AN290" s="3280"/>
      <c r="AZ290" s="3041"/>
      <c r="BD290" s="3281"/>
      <c r="BH290" s="3282"/>
      <c r="BJ290" s="2589"/>
      <c r="BK290" s="2126"/>
      <c r="BL290" s="2126"/>
      <c r="BM290" s="2126"/>
      <c r="BN290" s="2126"/>
      <c r="BO290" s="2126"/>
      <c r="BP290" s="2126"/>
      <c r="BQ290" s="2126"/>
      <c r="BR290" s="2126"/>
      <c r="BS290" s="2126"/>
    </row>
    <row r="291" spans="1:71" s="3030" customFormat="1">
      <c r="A291" s="2126"/>
      <c r="B291" s="2126"/>
      <c r="C291" s="2149"/>
      <c r="D291" s="3248"/>
      <c r="E291" s="525"/>
      <c r="F291" s="525"/>
      <c r="G291" s="526"/>
      <c r="K291" s="3280"/>
      <c r="P291" s="3041"/>
      <c r="X291" s="3280"/>
      <c r="AA291" s="3041"/>
      <c r="AF291" s="3041"/>
      <c r="AN291" s="3280"/>
      <c r="AZ291" s="3041"/>
      <c r="BD291" s="3281"/>
      <c r="BH291" s="3282"/>
      <c r="BJ291" s="2589"/>
      <c r="BK291" s="2126"/>
      <c r="BL291" s="2126"/>
      <c r="BM291" s="2126"/>
      <c r="BN291" s="2126"/>
      <c r="BO291" s="2126"/>
      <c r="BP291" s="2126"/>
      <c r="BQ291" s="2126"/>
      <c r="BR291" s="2126"/>
      <c r="BS291" s="2126"/>
    </row>
    <row r="292" spans="1:71" s="3030" customFormat="1">
      <c r="A292" s="2126"/>
      <c r="B292" s="2126"/>
      <c r="C292" s="2149"/>
      <c r="D292" s="3248"/>
      <c r="E292" s="525"/>
      <c r="F292" s="525"/>
      <c r="G292" s="526"/>
      <c r="K292" s="3280"/>
      <c r="P292" s="3041"/>
      <c r="X292" s="3280"/>
      <c r="AA292" s="3041"/>
      <c r="AF292" s="3041"/>
      <c r="AN292" s="3280"/>
      <c r="AZ292" s="3041"/>
      <c r="BD292" s="3281"/>
      <c r="BH292" s="3282"/>
      <c r="BJ292" s="2589"/>
      <c r="BK292" s="2126"/>
      <c r="BL292" s="2126"/>
      <c r="BM292" s="2126"/>
      <c r="BN292" s="2126"/>
      <c r="BO292" s="2126"/>
      <c r="BP292" s="2126"/>
      <c r="BQ292" s="2126"/>
      <c r="BR292" s="2126"/>
      <c r="BS292" s="2126"/>
    </row>
    <row r="293" spans="1:71" s="3030" customFormat="1">
      <c r="A293" s="2126"/>
      <c r="B293" s="2126"/>
      <c r="C293" s="2149"/>
      <c r="D293" s="3248"/>
      <c r="E293" s="525"/>
      <c r="F293" s="525"/>
      <c r="G293" s="526"/>
      <c r="K293" s="3280"/>
      <c r="P293" s="3041"/>
      <c r="X293" s="3280"/>
      <c r="AA293" s="3041"/>
      <c r="AF293" s="3041"/>
      <c r="AN293" s="3280"/>
      <c r="AZ293" s="3041"/>
      <c r="BD293" s="3281"/>
      <c r="BH293" s="3282"/>
      <c r="BJ293" s="2589"/>
      <c r="BK293" s="2126"/>
      <c r="BL293" s="2126"/>
      <c r="BM293" s="2126"/>
      <c r="BN293" s="2126"/>
      <c r="BO293" s="2126"/>
      <c r="BP293" s="2126"/>
      <c r="BQ293" s="2126"/>
      <c r="BR293" s="2126"/>
      <c r="BS293" s="2126"/>
    </row>
    <row r="294" spans="1:71" s="3030" customFormat="1">
      <c r="A294" s="2126"/>
      <c r="B294" s="2126"/>
      <c r="C294" s="2149"/>
      <c r="D294" s="3248"/>
      <c r="E294" s="525"/>
      <c r="F294" s="525"/>
      <c r="G294" s="526"/>
      <c r="K294" s="3280"/>
      <c r="P294" s="3041"/>
      <c r="X294" s="3280"/>
      <c r="AA294" s="3041"/>
      <c r="AF294" s="3041"/>
      <c r="AN294" s="3280"/>
      <c r="AZ294" s="3041"/>
      <c r="BD294" s="3281"/>
      <c r="BH294" s="3282"/>
      <c r="BJ294" s="2589"/>
      <c r="BK294" s="2126"/>
      <c r="BL294" s="2126"/>
      <c r="BM294" s="2126"/>
      <c r="BN294" s="2126"/>
      <c r="BO294" s="2126"/>
      <c r="BP294" s="2126"/>
      <c r="BQ294" s="2126"/>
      <c r="BR294" s="2126"/>
      <c r="BS294" s="2126"/>
    </row>
    <row r="295" spans="1:71" s="3030" customFormat="1">
      <c r="A295" s="2126"/>
      <c r="B295" s="2126"/>
      <c r="C295" s="2149"/>
      <c r="D295" s="3248"/>
      <c r="E295" s="525"/>
      <c r="F295" s="525"/>
      <c r="G295" s="526"/>
      <c r="K295" s="3280"/>
      <c r="P295" s="3041"/>
      <c r="X295" s="3280"/>
      <c r="AA295" s="3041"/>
      <c r="AF295" s="3041"/>
      <c r="AN295" s="3280"/>
      <c r="AZ295" s="3041"/>
      <c r="BD295" s="3281"/>
      <c r="BH295" s="3282"/>
      <c r="BJ295" s="2589"/>
      <c r="BK295" s="2126"/>
      <c r="BL295" s="2126"/>
      <c r="BM295" s="2126"/>
      <c r="BN295" s="2126"/>
      <c r="BO295" s="2126"/>
      <c r="BP295" s="2126"/>
      <c r="BQ295" s="2126"/>
      <c r="BR295" s="2126"/>
      <c r="BS295" s="2126"/>
    </row>
    <row r="296" spans="1:71" s="3030" customFormat="1">
      <c r="A296" s="2126"/>
      <c r="B296" s="2126"/>
      <c r="C296" s="2149"/>
      <c r="D296" s="3248"/>
      <c r="E296" s="525"/>
      <c r="F296" s="525"/>
      <c r="G296" s="526"/>
      <c r="K296" s="3280"/>
      <c r="P296" s="3041"/>
      <c r="X296" s="3280"/>
      <c r="AA296" s="3041"/>
      <c r="AF296" s="3041"/>
      <c r="AN296" s="3280"/>
      <c r="AZ296" s="3041"/>
      <c r="BD296" s="3281"/>
      <c r="BH296" s="3282"/>
      <c r="BJ296" s="2589"/>
      <c r="BK296" s="2126"/>
      <c r="BL296" s="2126"/>
      <c r="BM296" s="2126"/>
      <c r="BN296" s="2126"/>
      <c r="BO296" s="2126"/>
      <c r="BP296" s="2126"/>
      <c r="BQ296" s="2126"/>
      <c r="BR296" s="2126"/>
      <c r="BS296" s="2126"/>
    </row>
    <row r="297" spans="1:71" s="3030" customFormat="1">
      <c r="A297" s="2126"/>
      <c r="B297" s="2126"/>
      <c r="C297" s="2149"/>
      <c r="D297" s="3248"/>
      <c r="E297" s="525"/>
      <c r="F297" s="525"/>
      <c r="G297" s="526"/>
      <c r="K297" s="3280"/>
      <c r="P297" s="3041"/>
      <c r="X297" s="3280"/>
      <c r="AA297" s="3041"/>
      <c r="AF297" s="3041"/>
      <c r="AN297" s="3280"/>
      <c r="AZ297" s="3041"/>
      <c r="BD297" s="3281"/>
      <c r="BH297" s="3282"/>
      <c r="BJ297" s="2589"/>
      <c r="BK297" s="2126"/>
      <c r="BL297" s="2126"/>
      <c r="BM297" s="2126"/>
      <c r="BN297" s="2126"/>
      <c r="BO297" s="2126"/>
      <c r="BP297" s="2126"/>
      <c r="BQ297" s="2126"/>
      <c r="BR297" s="2126"/>
      <c r="BS297" s="2126"/>
    </row>
    <row r="298" spans="1:71" s="3030" customFormat="1">
      <c r="A298" s="2126"/>
      <c r="B298" s="2126"/>
      <c r="C298" s="2149"/>
      <c r="D298" s="3248"/>
      <c r="E298" s="525"/>
      <c r="F298" s="525"/>
      <c r="G298" s="526"/>
      <c r="K298" s="3280"/>
      <c r="P298" s="3041"/>
      <c r="X298" s="3280"/>
      <c r="AA298" s="3041"/>
      <c r="AF298" s="3041"/>
      <c r="AN298" s="3280"/>
      <c r="AZ298" s="3041"/>
      <c r="BD298" s="3281"/>
      <c r="BH298" s="3282"/>
      <c r="BJ298" s="2589"/>
      <c r="BK298" s="2126"/>
      <c r="BL298" s="2126"/>
      <c r="BM298" s="2126"/>
      <c r="BN298" s="2126"/>
      <c r="BO298" s="2126"/>
      <c r="BP298" s="2126"/>
      <c r="BQ298" s="2126"/>
      <c r="BR298" s="2126"/>
      <c r="BS298" s="2126"/>
    </row>
    <row r="299" spans="1:71" s="3030" customFormat="1">
      <c r="A299" s="2126"/>
      <c r="B299" s="2126"/>
      <c r="C299" s="2149"/>
      <c r="D299" s="3248"/>
      <c r="E299" s="525"/>
      <c r="F299" s="525"/>
      <c r="G299" s="526"/>
      <c r="K299" s="3280"/>
      <c r="P299" s="3041"/>
      <c r="X299" s="3280"/>
      <c r="AA299" s="3041"/>
      <c r="AF299" s="3041"/>
      <c r="AN299" s="3280"/>
      <c r="AZ299" s="3041"/>
      <c r="BD299" s="3281"/>
      <c r="BH299" s="3282"/>
      <c r="BJ299" s="2589"/>
      <c r="BK299" s="2126"/>
      <c r="BL299" s="2126"/>
      <c r="BM299" s="2126"/>
      <c r="BN299" s="2126"/>
      <c r="BO299" s="2126"/>
      <c r="BP299" s="2126"/>
      <c r="BQ299" s="2126"/>
      <c r="BR299" s="2126"/>
      <c r="BS299" s="2126"/>
    </row>
    <row r="300" spans="1:71" s="3030" customFormat="1">
      <c r="A300" s="2126"/>
      <c r="B300" s="2126"/>
      <c r="C300" s="2149"/>
      <c r="D300" s="3248"/>
      <c r="E300" s="525"/>
      <c r="F300" s="525"/>
      <c r="G300" s="526"/>
      <c r="K300" s="3280"/>
      <c r="P300" s="3041"/>
      <c r="X300" s="3280"/>
      <c r="AA300" s="3041"/>
      <c r="AF300" s="3041"/>
      <c r="AN300" s="3280"/>
      <c r="AZ300" s="3041"/>
      <c r="BD300" s="3281"/>
      <c r="BH300" s="3282"/>
      <c r="BJ300" s="2589"/>
      <c r="BK300" s="2126"/>
      <c r="BL300" s="2126"/>
      <c r="BM300" s="2126"/>
      <c r="BN300" s="2126"/>
      <c r="BO300" s="2126"/>
      <c r="BP300" s="2126"/>
      <c r="BQ300" s="2126"/>
      <c r="BR300" s="2126"/>
      <c r="BS300" s="2126"/>
    </row>
    <row r="301" spans="1:71" s="3030" customFormat="1">
      <c r="A301" s="2126"/>
      <c r="B301" s="2126"/>
      <c r="C301" s="2149"/>
      <c r="D301" s="3248"/>
      <c r="E301" s="525"/>
      <c r="F301" s="525"/>
      <c r="G301" s="526"/>
      <c r="K301" s="3280"/>
      <c r="P301" s="3041"/>
      <c r="X301" s="3280"/>
      <c r="AA301" s="3041"/>
      <c r="AF301" s="3041"/>
      <c r="AN301" s="3280"/>
      <c r="AZ301" s="3041"/>
      <c r="BD301" s="3281"/>
      <c r="BH301" s="3282"/>
      <c r="BJ301" s="2589"/>
      <c r="BK301" s="2126"/>
      <c r="BL301" s="2126"/>
      <c r="BM301" s="2126"/>
      <c r="BN301" s="2126"/>
      <c r="BO301" s="2126"/>
      <c r="BP301" s="2126"/>
      <c r="BQ301" s="2126"/>
      <c r="BR301" s="2126"/>
      <c r="BS301" s="2126"/>
    </row>
    <row r="302" spans="1:71" s="3030" customFormat="1">
      <c r="A302" s="2126"/>
      <c r="B302" s="2126"/>
      <c r="C302" s="2149"/>
      <c r="D302" s="3248"/>
      <c r="E302" s="525"/>
      <c r="F302" s="525"/>
      <c r="G302" s="526"/>
      <c r="K302" s="3280"/>
      <c r="P302" s="3041"/>
      <c r="X302" s="3280"/>
      <c r="AA302" s="3041"/>
      <c r="AF302" s="3041"/>
      <c r="AN302" s="3280"/>
      <c r="AZ302" s="3041"/>
      <c r="BD302" s="3281"/>
      <c r="BH302" s="3282"/>
      <c r="BJ302" s="2589"/>
      <c r="BK302" s="2126"/>
      <c r="BL302" s="2126"/>
      <c r="BM302" s="2126"/>
      <c r="BN302" s="2126"/>
      <c r="BO302" s="2126"/>
      <c r="BP302" s="2126"/>
      <c r="BQ302" s="2126"/>
      <c r="BR302" s="2126"/>
      <c r="BS302" s="2126"/>
    </row>
    <row r="303" spans="1:71" s="3030" customFormat="1">
      <c r="A303" s="2126"/>
      <c r="B303" s="2126"/>
      <c r="C303" s="2149"/>
      <c r="D303" s="3248"/>
      <c r="E303" s="525"/>
      <c r="F303" s="525"/>
      <c r="G303" s="526"/>
      <c r="K303" s="3280"/>
      <c r="P303" s="3041"/>
      <c r="X303" s="3280"/>
      <c r="AA303" s="3041"/>
      <c r="AF303" s="3041"/>
      <c r="AN303" s="3280"/>
      <c r="AZ303" s="3041"/>
      <c r="BD303" s="3281"/>
      <c r="BH303" s="3282"/>
      <c r="BJ303" s="2589"/>
      <c r="BK303" s="2126"/>
      <c r="BL303" s="2126"/>
      <c r="BM303" s="2126"/>
      <c r="BN303" s="2126"/>
      <c r="BO303" s="2126"/>
      <c r="BP303" s="2126"/>
      <c r="BQ303" s="2126"/>
      <c r="BR303" s="2126"/>
      <c r="BS303" s="2126"/>
    </row>
    <row r="304" spans="1:71" s="3030" customFormat="1">
      <c r="A304" s="2126"/>
      <c r="B304" s="2126"/>
      <c r="C304" s="2149"/>
      <c r="D304" s="3248"/>
      <c r="E304" s="525"/>
      <c r="F304" s="525"/>
      <c r="G304" s="526"/>
      <c r="K304" s="3280"/>
      <c r="P304" s="3041"/>
      <c r="X304" s="3280"/>
      <c r="AA304" s="3041"/>
      <c r="AF304" s="3041"/>
      <c r="AN304" s="3280"/>
      <c r="AZ304" s="3041"/>
      <c r="BD304" s="3281"/>
      <c r="BH304" s="3282"/>
      <c r="BJ304" s="2589"/>
      <c r="BK304" s="2126"/>
      <c r="BL304" s="2126"/>
      <c r="BM304" s="2126"/>
      <c r="BN304" s="2126"/>
      <c r="BO304" s="2126"/>
      <c r="BP304" s="2126"/>
      <c r="BQ304" s="2126"/>
      <c r="BR304" s="2126"/>
      <c r="BS304" s="2126"/>
    </row>
    <row r="305" spans="1:71" s="3030" customFormat="1">
      <c r="A305" s="2126"/>
      <c r="B305" s="2126"/>
      <c r="C305" s="2149"/>
      <c r="D305" s="3248"/>
      <c r="E305" s="525"/>
      <c r="F305" s="525"/>
      <c r="G305" s="526"/>
      <c r="K305" s="3280"/>
      <c r="P305" s="3041"/>
      <c r="X305" s="3280"/>
      <c r="AA305" s="3041"/>
      <c r="AF305" s="3041"/>
      <c r="AN305" s="3280"/>
      <c r="AZ305" s="3041"/>
      <c r="BD305" s="3281"/>
      <c r="BH305" s="3282"/>
      <c r="BJ305" s="2589"/>
      <c r="BK305" s="2126"/>
      <c r="BL305" s="2126"/>
      <c r="BM305" s="2126"/>
      <c r="BN305" s="2126"/>
      <c r="BO305" s="2126"/>
      <c r="BP305" s="2126"/>
      <c r="BQ305" s="2126"/>
      <c r="BR305" s="2126"/>
      <c r="BS305" s="2126"/>
    </row>
    <row r="306" spans="1:71" s="3030" customFormat="1">
      <c r="A306" s="2126"/>
      <c r="B306" s="2126"/>
      <c r="C306" s="2149"/>
      <c r="D306" s="3248"/>
      <c r="E306" s="525"/>
      <c r="F306" s="525"/>
      <c r="G306" s="526"/>
      <c r="K306" s="3280"/>
      <c r="P306" s="3041"/>
      <c r="X306" s="3280"/>
      <c r="AA306" s="3041"/>
      <c r="AF306" s="3041"/>
      <c r="AN306" s="3280"/>
      <c r="AZ306" s="3041"/>
      <c r="BD306" s="3281"/>
      <c r="BH306" s="3282"/>
      <c r="BJ306" s="2589"/>
      <c r="BK306" s="2126"/>
      <c r="BL306" s="2126"/>
      <c r="BM306" s="2126"/>
      <c r="BN306" s="2126"/>
      <c r="BO306" s="2126"/>
      <c r="BP306" s="2126"/>
      <c r="BQ306" s="2126"/>
      <c r="BR306" s="2126"/>
      <c r="BS306" s="2126"/>
    </row>
    <row r="307" spans="1:71" s="3030" customFormat="1">
      <c r="A307" s="2126"/>
      <c r="B307" s="2126"/>
      <c r="C307" s="2149"/>
      <c r="D307" s="3248"/>
      <c r="E307" s="525"/>
      <c r="F307" s="525"/>
      <c r="G307" s="526"/>
      <c r="K307" s="3280"/>
      <c r="P307" s="3041"/>
      <c r="X307" s="3280"/>
      <c r="AA307" s="3041"/>
      <c r="AF307" s="3041"/>
      <c r="AN307" s="3280"/>
      <c r="AZ307" s="3041"/>
      <c r="BD307" s="3281"/>
      <c r="BH307" s="3282"/>
      <c r="BJ307" s="2589"/>
      <c r="BK307" s="2126"/>
      <c r="BL307" s="2126"/>
      <c r="BM307" s="2126"/>
      <c r="BN307" s="2126"/>
      <c r="BO307" s="2126"/>
      <c r="BP307" s="2126"/>
      <c r="BQ307" s="2126"/>
      <c r="BR307" s="2126"/>
      <c r="BS307" s="2126"/>
    </row>
    <row r="308" spans="1:71" s="3030" customFormat="1">
      <c r="A308" s="2126"/>
      <c r="B308" s="2126"/>
      <c r="C308" s="2149"/>
      <c r="D308" s="3248"/>
      <c r="E308" s="525"/>
      <c r="F308" s="525"/>
      <c r="G308" s="526"/>
      <c r="K308" s="3280"/>
      <c r="P308" s="3041"/>
      <c r="X308" s="3280"/>
      <c r="AA308" s="3041"/>
      <c r="AF308" s="3041"/>
      <c r="AN308" s="3280"/>
      <c r="AZ308" s="3041"/>
      <c r="BD308" s="3281"/>
      <c r="BH308" s="3282"/>
      <c r="BJ308" s="2589"/>
      <c r="BK308" s="2126"/>
      <c r="BL308" s="2126"/>
      <c r="BM308" s="2126"/>
      <c r="BN308" s="2126"/>
      <c r="BO308" s="2126"/>
      <c r="BP308" s="2126"/>
      <c r="BQ308" s="2126"/>
      <c r="BR308" s="2126"/>
      <c r="BS308" s="2126"/>
    </row>
    <row r="309" spans="1:71" s="3030" customFormat="1">
      <c r="A309" s="2126"/>
      <c r="B309" s="2126"/>
      <c r="C309" s="2149"/>
      <c r="D309" s="3248"/>
      <c r="E309" s="525"/>
      <c r="F309" s="525"/>
      <c r="G309" s="526"/>
      <c r="K309" s="3280"/>
      <c r="P309" s="3041"/>
      <c r="X309" s="3280"/>
      <c r="AA309" s="3041"/>
      <c r="AF309" s="3041"/>
      <c r="AN309" s="3280"/>
      <c r="AZ309" s="3041"/>
      <c r="BD309" s="3281"/>
      <c r="BH309" s="3282"/>
      <c r="BJ309" s="2589"/>
      <c r="BK309" s="2126"/>
      <c r="BL309" s="2126"/>
      <c r="BM309" s="2126"/>
      <c r="BN309" s="2126"/>
      <c r="BO309" s="2126"/>
      <c r="BP309" s="2126"/>
      <c r="BQ309" s="2126"/>
      <c r="BR309" s="2126"/>
      <c r="BS309" s="2126"/>
    </row>
    <row r="310" spans="1:71" s="3030" customFormat="1">
      <c r="A310" s="2126"/>
      <c r="B310" s="2126"/>
      <c r="C310" s="2149"/>
      <c r="D310" s="3248"/>
      <c r="E310" s="525"/>
      <c r="F310" s="525"/>
      <c r="G310" s="526"/>
      <c r="K310" s="3280"/>
      <c r="P310" s="3041"/>
      <c r="X310" s="3280"/>
      <c r="AA310" s="3041"/>
      <c r="AF310" s="3041"/>
      <c r="AN310" s="3280"/>
      <c r="AZ310" s="3041"/>
      <c r="BD310" s="3281"/>
      <c r="BH310" s="3282"/>
      <c r="BJ310" s="2589"/>
      <c r="BK310" s="2126"/>
      <c r="BL310" s="2126"/>
      <c r="BM310" s="2126"/>
      <c r="BN310" s="2126"/>
      <c r="BO310" s="2126"/>
      <c r="BP310" s="2126"/>
      <c r="BQ310" s="2126"/>
      <c r="BR310" s="2126"/>
      <c r="BS310" s="2126"/>
    </row>
    <row r="311" spans="1:71" s="3030" customFormat="1">
      <c r="A311" s="2126"/>
      <c r="B311" s="2126"/>
      <c r="C311" s="2149"/>
      <c r="D311" s="3248"/>
      <c r="E311" s="525"/>
      <c r="F311" s="525"/>
      <c r="G311" s="526"/>
      <c r="K311" s="3280"/>
      <c r="P311" s="3041"/>
      <c r="X311" s="3280"/>
      <c r="AA311" s="3041"/>
      <c r="AF311" s="3041"/>
      <c r="AN311" s="3280"/>
      <c r="AZ311" s="3041"/>
      <c r="BD311" s="3281"/>
      <c r="BH311" s="3282"/>
      <c r="BJ311" s="2589"/>
      <c r="BK311" s="2126"/>
      <c r="BL311" s="2126"/>
      <c r="BM311" s="2126"/>
      <c r="BN311" s="2126"/>
      <c r="BO311" s="2126"/>
      <c r="BP311" s="2126"/>
      <c r="BQ311" s="2126"/>
      <c r="BR311" s="2126"/>
      <c r="BS311" s="2126"/>
    </row>
    <row r="312" spans="1:71" s="3030" customFormat="1">
      <c r="A312" s="2126"/>
      <c r="B312" s="2126"/>
      <c r="C312" s="2149"/>
      <c r="D312" s="3248"/>
      <c r="E312" s="525"/>
      <c r="F312" s="525"/>
      <c r="G312" s="526"/>
      <c r="K312" s="3280"/>
      <c r="P312" s="3041"/>
      <c r="X312" s="3280"/>
      <c r="AA312" s="3041"/>
      <c r="AF312" s="3041"/>
      <c r="AN312" s="3280"/>
      <c r="AZ312" s="3041"/>
      <c r="BD312" s="3281"/>
      <c r="BH312" s="3282"/>
      <c r="BJ312" s="2589"/>
      <c r="BK312" s="2126"/>
      <c r="BL312" s="2126"/>
      <c r="BM312" s="2126"/>
      <c r="BN312" s="2126"/>
      <c r="BO312" s="2126"/>
      <c r="BP312" s="2126"/>
      <c r="BQ312" s="2126"/>
      <c r="BR312" s="2126"/>
      <c r="BS312" s="2126"/>
    </row>
    <row r="313" spans="1:71" s="3030" customFormat="1">
      <c r="A313" s="2126"/>
      <c r="B313" s="2126"/>
      <c r="C313" s="2149"/>
      <c r="D313" s="3248"/>
      <c r="E313" s="525"/>
      <c r="F313" s="525"/>
      <c r="G313" s="526"/>
      <c r="K313" s="3280"/>
      <c r="P313" s="3041"/>
      <c r="X313" s="3280"/>
      <c r="AA313" s="3041"/>
      <c r="AF313" s="3041"/>
      <c r="AN313" s="3280"/>
      <c r="AZ313" s="3041"/>
      <c r="BD313" s="3281"/>
      <c r="BH313" s="3282"/>
      <c r="BJ313" s="2589"/>
      <c r="BK313" s="2126"/>
      <c r="BL313" s="2126"/>
      <c r="BM313" s="2126"/>
      <c r="BN313" s="2126"/>
      <c r="BO313" s="2126"/>
      <c r="BP313" s="2126"/>
      <c r="BQ313" s="2126"/>
      <c r="BR313" s="2126"/>
      <c r="BS313" s="2126"/>
    </row>
    <row r="314" spans="1:71" s="3030" customFormat="1">
      <c r="A314" s="2126"/>
      <c r="B314" s="2126"/>
      <c r="C314" s="2149"/>
      <c r="D314" s="3248"/>
      <c r="E314" s="525"/>
      <c r="F314" s="525"/>
      <c r="G314" s="526"/>
      <c r="K314" s="3280"/>
      <c r="P314" s="3041"/>
      <c r="X314" s="3280"/>
      <c r="AA314" s="3041"/>
      <c r="AF314" s="3041"/>
      <c r="AN314" s="3280"/>
      <c r="AZ314" s="3041"/>
      <c r="BD314" s="3281"/>
      <c r="BH314" s="3282"/>
      <c r="BJ314" s="2589"/>
      <c r="BK314" s="2126"/>
      <c r="BL314" s="2126"/>
      <c r="BM314" s="2126"/>
      <c r="BN314" s="2126"/>
      <c r="BO314" s="2126"/>
      <c r="BP314" s="2126"/>
      <c r="BQ314" s="2126"/>
      <c r="BR314" s="2126"/>
      <c r="BS314" s="2126"/>
    </row>
    <row r="315" spans="1:71" s="3030" customFormat="1">
      <c r="A315" s="2126"/>
      <c r="B315" s="2126"/>
      <c r="C315" s="2149"/>
      <c r="D315" s="3248"/>
      <c r="E315" s="525"/>
      <c r="F315" s="525"/>
      <c r="G315" s="526"/>
      <c r="K315" s="3280"/>
      <c r="P315" s="3041"/>
      <c r="X315" s="3280"/>
      <c r="AA315" s="3041"/>
      <c r="AF315" s="3041"/>
      <c r="AN315" s="3280"/>
      <c r="AZ315" s="3041"/>
      <c r="BD315" s="3281"/>
      <c r="BH315" s="3282"/>
      <c r="BJ315" s="2589"/>
      <c r="BK315" s="2126"/>
      <c r="BL315" s="2126"/>
      <c r="BM315" s="2126"/>
      <c r="BN315" s="2126"/>
      <c r="BO315" s="2126"/>
      <c r="BP315" s="2126"/>
      <c r="BQ315" s="2126"/>
      <c r="BR315" s="2126"/>
      <c r="BS315" s="2126"/>
    </row>
    <row r="316" spans="1:71" s="3030" customFormat="1">
      <c r="A316" s="2126"/>
      <c r="B316" s="2126"/>
      <c r="C316" s="2149"/>
      <c r="D316" s="3248"/>
      <c r="E316" s="525"/>
      <c r="F316" s="525"/>
      <c r="G316" s="526"/>
      <c r="K316" s="3280"/>
      <c r="P316" s="3041"/>
      <c r="X316" s="3280"/>
      <c r="AA316" s="3041"/>
      <c r="AF316" s="3041"/>
      <c r="AN316" s="3280"/>
      <c r="AZ316" s="3041"/>
      <c r="BD316" s="3281"/>
      <c r="BH316" s="3282"/>
      <c r="BJ316" s="2589"/>
      <c r="BK316" s="2126"/>
      <c r="BL316" s="2126"/>
      <c r="BM316" s="2126"/>
      <c r="BN316" s="2126"/>
      <c r="BO316" s="2126"/>
      <c r="BP316" s="2126"/>
      <c r="BQ316" s="2126"/>
      <c r="BR316" s="2126"/>
      <c r="BS316" s="2126"/>
    </row>
    <row r="317" spans="1:71" s="3030" customFormat="1">
      <c r="A317" s="2126"/>
      <c r="B317" s="2126"/>
      <c r="C317" s="2149"/>
      <c r="D317" s="3248"/>
      <c r="E317" s="525"/>
      <c r="F317" s="525"/>
      <c r="G317" s="526"/>
      <c r="K317" s="3280"/>
      <c r="P317" s="3041"/>
      <c r="X317" s="3280"/>
      <c r="AA317" s="3041"/>
      <c r="AF317" s="3041"/>
      <c r="AN317" s="3280"/>
      <c r="AZ317" s="3041"/>
      <c r="BD317" s="3281"/>
      <c r="BH317" s="3282"/>
      <c r="BJ317" s="2589"/>
      <c r="BK317" s="2126"/>
      <c r="BL317" s="2126"/>
      <c r="BM317" s="2126"/>
      <c r="BN317" s="2126"/>
      <c r="BO317" s="2126"/>
      <c r="BP317" s="2126"/>
      <c r="BQ317" s="2126"/>
      <c r="BR317" s="2126"/>
      <c r="BS317" s="2126"/>
    </row>
    <row r="318" spans="1:71" s="3030" customFormat="1">
      <c r="A318" s="2126"/>
      <c r="B318" s="2126"/>
      <c r="C318" s="2149"/>
      <c r="D318" s="3248"/>
      <c r="E318" s="525"/>
      <c r="F318" s="525"/>
      <c r="G318" s="526"/>
      <c r="K318" s="3280"/>
      <c r="P318" s="3041"/>
      <c r="X318" s="3280"/>
      <c r="AA318" s="3041"/>
      <c r="AF318" s="3041"/>
      <c r="AN318" s="3280"/>
      <c r="AZ318" s="3041"/>
      <c r="BD318" s="3281"/>
      <c r="BH318" s="3282"/>
      <c r="BJ318" s="2589"/>
      <c r="BK318" s="2126"/>
      <c r="BL318" s="2126"/>
      <c r="BM318" s="2126"/>
      <c r="BN318" s="2126"/>
      <c r="BO318" s="2126"/>
      <c r="BP318" s="2126"/>
      <c r="BQ318" s="2126"/>
      <c r="BR318" s="2126"/>
      <c r="BS318" s="2126"/>
    </row>
    <row r="319" spans="1:71" s="3030" customFormat="1">
      <c r="A319" s="2126"/>
      <c r="B319" s="2126"/>
      <c r="C319" s="2149"/>
      <c r="D319" s="3248"/>
      <c r="E319" s="525"/>
      <c r="F319" s="525"/>
      <c r="G319" s="526"/>
      <c r="K319" s="3280"/>
      <c r="P319" s="3041"/>
      <c r="X319" s="3280"/>
      <c r="AA319" s="3041"/>
      <c r="AF319" s="3041"/>
      <c r="AN319" s="3280"/>
      <c r="AZ319" s="3041"/>
      <c r="BD319" s="3281"/>
      <c r="BH319" s="3282"/>
      <c r="BJ319" s="2589"/>
      <c r="BK319" s="2126"/>
      <c r="BL319" s="2126"/>
      <c r="BM319" s="2126"/>
      <c r="BN319" s="2126"/>
      <c r="BO319" s="2126"/>
      <c r="BP319" s="2126"/>
      <c r="BQ319" s="2126"/>
      <c r="BR319" s="2126"/>
      <c r="BS319" s="2126"/>
    </row>
    <row r="320" spans="1:71" s="3030" customFormat="1">
      <c r="A320" s="2126"/>
      <c r="B320" s="2126"/>
      <c r="C320" s="2149"/>
      <c r="D320" s="3248"/>
      <c r="E320" s="525"/>
      <c r="F320" s="525"/>
      <c r="G320" s="526"/>
      <c r="K320" s="3280"/>
      <c r="P320" s="3041"/>
      <c r="X320" s="3280"/>
      <c r="AA320" s="3041"/>
      <c r="AF320" s="3041"/>
      <c r="AN320" s="3280"/>
      <c r="AZ320" s="3041"/>
      <c r="BD320" s="3281"/>
      <c r="BH320" s="3282"/>
      <c r="BJ320" s="2589"/>
      <c r="BK320" s="2126"/>
      <c r="BL320" s="2126"/>
      <c r="BM320" s="2126"/>
      <c r="BN320" s="2126"/>
      <c r="BO320" s="2126"/>
      <c r="BP320" s="2126"/>
      <c r="BQ320" s="2126"/>
      <c r="BR320" s="2126"/>
      <c r="BS320" s="2126"/>
    </row>
    <row r="321" spans="1:71" s="3030" customFormat="1">
      <c r="A321" s="2126"/>
      <c r="B321" s="2126"/>
      <c r="C321" s="2149"/>
      <c r="D321" s="3248"/>
      <c r="E321" s="525"/>
      <c r="F321" s="525"/>
      <c r="G321" s="526"/>
      <c r="K321" s="3280"/>
      <c r="P321" s="3041"/>
      <c r="X321" s="3280"/>
      <c r="AA321" s="3041"/>
      <c r="AF321" s="3041"/>
      <c r="AN321" s="3280"/>
      <c r="AZ321" s="3041"/>
      <c r="BD321" s="3281"/>
      <c r="BH321" s="3282"/>
      <c r="BJ321" s="2589"/>
      <c r="BK321" s="2126"/>
      <c r="BL321" s="2126"/>
      <c r="BM321" s="2126"/>
      <c r="BN321" s="2126"/>
      <c r="BO321" s="2126"/>
      <c r="BP321" s="2126"/>
      <c r="BQ321" s="2126"/>
      <c r="BR321" s="2126"/>
      <c r="BS321" s="2126"/>
    </row>
    <row r="322" spans="1:71" s="3030" customFormat="1">
      <c r="A322" s="2126"/>
      <c r="B322" s="2126"/>
      <c r="C322" s="2149"/>
      <c r="D322" s="3248"/>
      <c r="E322" s="525"/>
      <c r="F322" s="525"/>
      <c r="G322" s="526"/>
      <c r="K322" s="3280"/>
      <c r="P322" s="3041"/>
      <c r="X322" s="3280"/>
      <c r="AA322" s="3041"/>
      <c r="AF322" s="3041"/>
      <c r="AN322" s="3280"/>
      <c r="AZ322" s="3041"/>
      <c r="BD322" s="3281"/>
      <c r="BH322" s="3282"/>
      <c r="BJ322" s="2589"/>
      <c r="BK322" s="2126"/>
      <c r="BL322" s="2126"/>
      <c r="BM322" s="2126"/>
      <c r="BN322" s="2126"/>
      <c r="BO322" s="2126"/>
      <c r="BP322" s="2126"/>
      <c r="BQ322" s="2126"/>
      <c r="BR322" s="2126"/>
      <c r="BS322" s="2126"/>
    </row>
    <row r="323" spans="1:71" s="3030" customFormat="1">
      <c r="A323" s="2126"/>
      <c r="B323" s="2126"/>
      <c r="C323" s="2149"/>
      <c r="D323" s="3248"/>
      <c r="E323" s="525"/>
      <c r="F323" s="525"/>
      <c r="G323" s="526"/>
      <c r="K323" s="3280"/>
      <c r="P323" s="3041"/>
      <c r="X323" s="3280"/>
      <c r="AA323" s="3041"/>
      <c r="AF323" s="3041"/>
      <c r="AN323" s="3280"/>
      <c r="AZ323" s="3041"/>
      <c r="BD323" s="3281"/>
      <c r="BH323" s="3282"/>
      <c r="BJ323" s="2589"/>
      <c r="BK323" s="2126"/>
      <c r="BL323" s="2126"/>
      <c r="BM323" s="2126"/>
      <c r="BN323" s="2126"/>
      <c r="BO323" s="2126"/>
      <c r="BP323" s="2126"/>
      <c r="BQ323" s="2126"/>
      <c r="BR323" s="2126"/>
      <c r="BS323" s="2126"/>
    </row>
    <row r="324" spans="1:71" s="3030" customFormat="1">
      <c r="A324" s="2126"/>
      <c r="B324" s="2126"/>
      <c r="C324" s="2149"/>
      <c r="D324" s="3248"/>
      <c r="E324" s="525"/>
      <c r="F324" s="525"/>
      <c r="G324" s="526"/>
      <c r="K324" s="3280"/>
      <c r="P324" s="3041"/>
      <c r="X324" s="3280"/>
      <c r="AA324" s="3041"/>
      <c r="AF324" s="3041"/>
      <c r="AN324" s="3280"/>
      <c r="AZ324" s="3041"/>
      <c r="BD324" s="3281"/>
      <c r="BH324" s="3282"/>
      <c r="BJ324" s="2589"/>
      <c r="BK324" s="2126"/>
      <c r="BL324" s="2126"/>
      <c r="BM324" s="2126"/>
      <c r="BN324" s="2126"/>
      <c r="BO324" s="2126"/>
      <c r="BP324" s="2126"/>
      <c r="BQ324" s="2126"/>
      <c r="BR324" s="2126"/>
      <c r="BS324" s="2126"/>
    </row>
    <row r="325" spans="1:71" s="3030" customFormat="1">
      <c r="A325" s="2126"/>
      <c r="B325" s="2126"/>
      <c r="C325" s="2149"/>
      <c r="D325" s="3248"/>
      <c r="E325" s="525"/>
      <c r="F325" s="525"/>
      <c r="G325" s="526"/>
      <c r="K325" s="3280"/>
      <c r="P325" s="3041"/>
      <c r="X325" s="3280"/>
      <c r="AA325" s="3041"/>
      <c r="AF325" s="3041"/>
      <c r="AN325" s="3280"/>
      <c r="AZ325" s="3041"/>
      <c r="BD325" s="3281"/>
      <c r="BH325" s="3282"/>
      <c r="BJ325" s="2589"/>
      <c r="BK325" s="2126"/>
      <c r="BL325" s="2126"/>
      <c r="BM325" s="2126"/>
      <c r="BN325" s="2126"/>
      <c r="BO325" s="2126"/>
      <c r="BP325" s="2126"/>
      <c r="BQ325" s="2126"/>
      <c r="BR325" s="2126"/>
      <c r="BS325" s="2126"/>
    </row>
    <row r="326" spans="1:71" s="3030" customFormat="1">
      <c r="A326" s="2126"/>
      <c r="B326" s="2126"/>
      <c r="C326" s="2149"/>
      <c r="D326" s="3248"/>
      <c r="E326" s="525"/>
      <c r="F326" s="525"/>
      <c r="G326" s="526"/>
      <c r="K326" s="3280"/>
      <c r="P326" s="3041"/>
      <c r="X326" s="3280"/>
      <c r="AA326" s="3041"/>
      <c r="AF326" s="3041"/>
      <c r="AN326" s="3280"/>
      <c r="AZ326" s="3041"/>
      <c r="BD326" s="3281"/>
      <c r="BH326" s="3282"/>
      <c r="BJ326" s="2589"/>
      <c r="BK326" s="2126"/>
      <c r="BL326" s="2126"/>
      <c r="BM326" s="2126"/>
      <c r="BN326" s="2126"/>
      <c r="BO326" s="2126"/>
      <c r="BP326" s="2126"/>
      <c r="BQ326" s="2126"/>
      <c r="BR326" s="2126"/>
      <c r="BS326" s="2126"/>
    </row>
    <row r="327" spans="1:71" s="3030" customFormat="1">
      <c r="A327" s="2126"/>
      <c r="B327" s="2126"/>
      <c r="C327" s="2149"/>
      <c r="D327" s="3248"/>
      <c r="E327" s="525"/>
      <c r="F327" s="525"/>
      <c r="G327" s="526"/>
      <c r="K327" s="3280"/>
      <c r="P327" s="3041"/>
      <c r="X327" s="3280"/>
      <c r="AA327" s="3041"/>
      <c r="AF327" s="3041"/>
      <c r="AN327" s="3280"/>
      <c r="AZ327" s="3041"/>
      <c r="BD327" s="3281"/>
      <c r="BH327" s="3282"/>
      <c r="BJ327" s="2589"/>
      <c r="BK327" s="2126"/>
      <c r="BL327" s="2126"/>
      <c r="BM327" s="2126"/>
      <c r="BN327" s="2126"/>
      <c r="BO327" s="2126"/>
      <c r="BP327" s="2126"/>
      <c r="BQ327" s="2126"/>
      <c r="BR327" s="2126"/>
      <c r="BS327" s="2126"/>
    </row>
    <row r="328" spans="1:71" s="3030" customFormat="1">
      <c r="A328" s="2126"/>
      <c r="B328" s="2126"/>
      <c r="C328" s="2149"/>
      <c r="D328" s="3248"/>
      <c r="E328" s="525"/>
      <c r="F328" s="525"/>
      <c r="G328" s="526"/>
      <c r="K328" s="3280"/>
      <c r="P328" s="3041"/>
      <c r="X328" s="3280"/>
      <c r="AA328" s="3041"/>
      <c r="AF328" s="3041"/>
      <c r="AN328" s="3280"/>
      <c r="AZ328" s="3041"/>
      <c r="BD328" s="3281"/>
      <c r="BH328" s="3282"/>
      <c r="BJ328" s="2589"/>
      <c r="BK328" s="2126"/>
      <c r="BL328" s="2126"/>
      <c r="BM328" s="2126"/>
      <c r="BN328" s="2126"/>
      <c r="BO328" s="2126"/>
      <c r="BP328" s="2126"/>
      <c r="BQ328" s="2126"/>
      <c r="BR328" s="2126"/>
      <c r="BS328" s="2126"/>
    </row>
    <row r="329" spans="1:71" s="3030" customFormat="1">
      <c r="A329" s="2126"/>
      <c r="B329" s="2126"/>
      <c r="C329" s="2149"/>
      <c r="D329" s="3248"/>
      <c r="E329" s="525"/>
      <c r="F329" s="525"/>
      <c r="G329" s="526"/>
      <c r="K329" s="3280"/>
      <c r="P329" s="3041"/>
      <c r="X329" s="3280"/>
      <c r="AA329" s="3041"/>
      <c r="AF329" s="3041"/>
      <c r="AN329" s="3280"/>
      <c r="AZ329" s="3041"/>
      <c r="BD329" s="3281"/>
      <c r="BH329" s="3282"/>
      <c r="BJ329" s="2589"/>
      <c r="BK329" s="2126"/>
      <c r="BL329" s="2126"/>
      <c r="BM329" s="2126"/>
      <c r="BN329" s="2126"/>
      <c r="BO329" s="2126"/>
      <c r="BP329" s="2126"/>
      <c r="BQ329" s="2126"/>
      <c r="BR329" s="2126"/>
      <c r="BS329" s="2126"/>
    </row>
    <row r="330" spans="1:71" s="3030" customFormat="1">
      <c r="A330" s="2126"/>
      <c r="B330" s="2126"/>
      <c r="C330" s="2149"/>
      <c r="D330" s="3248"/>
      <c r="E330" s="525"/>
      <c r="F330" s="525"/>
      <c r="G330" s="526"/>
      <c r="K330" s="3280"/>
      <c r="P330" s="3041"/>
      <c r="X330" s="3280"/>
      <c r="AA330" s="3041"/>
      <c r="AF330" s="3041"/>
      <c r="AN330" s="3280"/>
      <c r="AZ330" s="3041"/>
      <c r="BD330" s="3281"/>
      <c r="BH330" s="3282"/>
      <c r="BJ330" s="2589"/>
      <c r="BK330" s="2126"/>
      <c r="BL330" s="2126"/>
      <c r="BM330" s="2126"/>
      <c r="BN330" s="2126"/>
      <c r="BO330" s="2126"/>
      <c r="BP330" s="2126"/>
      <c r="BQ330" s="2126"/>
      <c r="BR330" s="2126"/>
      <c r="BS330" s="2126"/>
    </row>
    <row r="331" spans="1:71" s="3030" customFormat="1">
      <c r="A331" s="2126"/>
      <c r="B331" s="2126"/>
      <c r="C331" s="2149"/>
      <c r="D331" s="3248"/>
      <c r="E331" s="525"/>
      <c r="F331" s="525"/>
      <c r="G331" s="526"/>
      <c r="K331" s="3280"/>
      <c r="P331" s="3041"/>
      <c r="X331" s="3280"/>
      <c r="AA331" s="3041"/>
      <c r="AF331" s="3041"/>
      <c r="AN331" s="3280"/>
      <c r="AZ331" s="3041"/>
      <c r="BD331" s="3281"/>
      <c r="BH331" s="3282"/>
      <c r="BJ331" s="2589"/>
      <c r="BK331" s="2126"/>
      <c r="BL331" s="2126"/>
      <c r="BM331" s="2126"/>
      <c r="BN331" s="2126"/>
      <c r="BO331" s="2126"/>
      <c r="BP331" s="2126"/>
      <c r="BQ331" s="2126"/>
      <c r="BR331" s="2126"/>
      <c r="BS331" s="2126"/>
    </row>
    <row r="332" spans="1:71" s="3030" customFormat="1">
      <c r="A332" s="2126"/>
      <c r="B332" s="2126"/>
      <c r="C332" s="2149"/>
      <c r="D332" s="3248"/>
      <c r="E332" s="525"/>
      <c r="F332" s="525"/>
      <c r="G332" s="526"/>
      <c r="K332" s="3280"/>
      <c r="P332" s="3041"/>
      <c r="X332" s="3280"/>
      <c r="AA332" s="3041"/>
      <c r="AF332" s="3041"/>
      <c r="AN332" s="3280"/>
      <c r="AZ332" s="3041"/>
      <c r="BD332" s="3281"/>
      <c r="BH332" s="3282"/>
      <c r="BJ332" s="2589"/>
      <c r="BK332" s="2126"/>
      <c r="BL332" s="2126"/>
      <c r="BM332" s="2126"/>
      <c r="BN332" s="2126"/>
      <c r="BO332" s="2126"/>
      <c r="BP332" s="2126"/>
      <c r="BQ332" s="2126"/>
      <c r="BR332" s="2126"/>
      <c r="BS332" s="2126"/>
    </row>
    <row r="333" spans="1:71" s="3030" customFormat="1">
      <c r="A333" s="2126"/>
      <c r="B333" s="2126"/>
      <c r="C333" s="2149"/>
      <c r="D333" s="3248"/>
      <c r="E333" s="525"/>
      <c r="F333" s="525"/>
      <c r="G333" s="526"/>
      <c r="K333" s="3280"/>
      <c r="P333" s="3041"/>
      <c r="X333" s="3280"/>
      <c r="AA333" s="3041"/>
      <c r="AF333" s="3041"/>
      <c r="AN333" s="3280"/>
      <c r="AZ333" s="3041"/>
      <c r="BD333" s="3281"/>
      <c r="BH333" s="3282"/>
      <c r="BJ333" s="2589"/>
      <c r="BK333" s="2126"/>
      <c r="BL333" s="2126"/>
      <c r="BM333" s="2126"/>
      <c r="BN333" s="2126"/>
      <c r="BO333" s="2126"/>
      <c r="BP333" s="2126"/>
      <c r="BQ333" s="2126"/>
      <c r="BR333" s="2126"/>
      <c r="BS333" s="2126"/>
    </row>
    <row r="334" spans="1:71" s="3030" customFormat="1">
      <c r="A334" s="2126"/>
      <c r="B334" s="2126"/>
      <c r="C334" s="2149"/>
      <c r="D334" s="3248"/>
      <c r="E334" s="525"/>
      <c r="F334" s="525"/>
      <c r="G334" s="526"/>
      <c r="K334" s="3280"/>
      <c r="P334" s="3041"/>
      <c r="X334" s="3280"/>
      <c r="AA334" s="3041"/>
      <c r="AF334" s="3041"/>
      <c r="AN334" s="3280"/>
      <c r="AZ334" s="3041"/>
      <c r="BD334" s="3281"/>
      <c r="BH334" s="3282"/>
      <c r="BJ334" s="2589"/>
      <c r="BK334" s="2126"/>
      <c r="BL334" s="2126"/>
      <c r="BM334" s="2126"/>
      <c r="BN334" s="2126"/>
      <c r="BO334" s="2126"/>
      <c r="BP334" s="2126"/>
      <c r="BQ334" s="2126"/>
      <c r="BR334" s="2126"/>
      <c r="BS334" s="2126"/>
    </row>
    <row r="335" spans="1:71" s="3030" customFormat="1">
      <c r="A335" s="2126"/>
      <c r="B335" s="2126"/>
      <c r="C335" s="2149"/>
      <c r="D335" s="3248"/>
      <c r="E335" s="525"/>
      <c r="F335" s="525"/>
      <c r="G335" s="526"/>
      <c r="K335" s="3280"/>
      <c r="P335" s="3041"/>
      <c r="X335" s="3280"/>
      <c r="AA335" s="3041"/>
      <c r="AF335" s="3041"/>
      <c r="AN335" s="3280"/>
      <c r="AZ335" s="3041"/>
      <c r="BD335" s="3281"/>
      <c r="BH335" s="3282"/>
      <c r="BJ335" s="2589"/>
      <c r="BK335" s="2126"/>
      <c r="BL335" s="2126"/>
      <c r="BM335" s="2126"/>
      <c r="BN335" s="2126"/>
      <c r="BO335" s="2126"/>
      <c r="BP335" s="2126"/>
      <c r="BQ335" s="2126"/>
      <c r="BR335" s="2126"/>
      <c r="BS335" s="2126"/>
    </row>
    <row r="336" spans="1:71" s="3030" customFormat="1">
      <c r="A336" s="2126"/>
      <c r="B336" s="2126"/>
      <c r="C336" s="2149"/>
      <c r="D336" s="3248"/>
      <c r="E336" s="525"/>
      <c r="F336" s="525"/>
      <c r="G336" s="526"/>
      <c r="K336" s="3280"/>
      <c r="P336" s="3041"/>
      <c r="X336" s="3280"/>
      <c r="AA336" s="3041"/>
      <c r="AF336" s="3041"/>
      <c r="AN336" s="3280"/>
      <c r="AZ336" s="3041"/>
      <c r="BD336" s="3281"/>
      <c r="BH336" s="3282"/>
      <c r="BJ336" s="2589"/>
      <c r="BK336" s="2126"/>
      <c r="BL336" s="2126"/>
      <c r="BM336" s="2126"/>
      <c r="BN336" s="2126"/>
      <c r="BO336" s="2126"/>
      <c r="BP336" s="2126"/>
      <c r="BQ336" s="2126"/>
      <c r="BR336" s="2126"/>
      <c r="BS336" s="2126"/>
    </row>
    <row r="337" spans="1:71" s="3030" customFormat="1">
      <c r="A337" s="2126"/>
      <c r="B337" s="2126"/>
      <c r="C337" s="2149"/>
      <c r="D337" s="3248"/>
      <c r="E337" s="525"/>
      <c r="F337" s="525"/>
      <c r="G337" s="526"/>
      <c r="K337" s="3280"/>
      <c r="P337" s="3041"/>
      <c r="X337" s="3280"/>
      <c r="AA337" s="3041"/>
      <c r="AF337" s="3041"/>
      <c r="AN337" s="3280"/>
      <c r="AZ337" s="3041"/>
      <c r="BD337" s="3281"/>
      <c r="BH337" s="3282"/>
      <c r="BJ337" s="2589"/>
      <c r="BK337" s="2126"/>
      <c r="BL337" s="2126"/>
      <c r="BM337" s="2126"/>
      <c r="BN337" s="2126"/>
      <c r="BO337" s="2126"/>
      <c r="BP337" s="2126"/>
      <c r="BQ337" s="2126"/>
      <c r="BR337" s="2126"/>
      <c r="BS337" s="2126"/>
    </row>
    <row r="338" spans="1:71" s="3030" customFormat="1">
      <c r="A338" s="2126"/>
      <c r="B338" s="2126"/>
      <c r="C338" s="2149"/>
      <c r="D338" s="3248"/>
      <c r="E338" s="525"/>
      <c r="F338" s="525"/>
      <c r="G338" s="526"/>
      <c r="K338" s="3280"/>
      <c r="P338" s="3041"/>
      <c r="X338" s="3280"/>
      <c r="AA338" s="3041"/>
      <c r="AF338" s="3041"/>
      <c r="AN338" s="3280"/>
      <c r="AZ338" s="3041"/>
      <c r="BD338" s="3281"/>
      <c r="BH338" s="3282"/>
      <c r="BJ338" s="2589"/>
      <c r="BK338" s="2126"/>
      <c r="BL338" s="2126"/>
      <c r="BM338" s="2126"/>
      <c r="BN338" s="2126"/>
      <c r="BO338" s="2126"/>
      <c r="BP338" s="2126"/>
      <c r="BQ338" s="2126"/>
      <c r="BR338" s="2126"/>
      <c r="BS338" s="2126"/>
    </row>
    <row r="339" spans="1:71" s="3030" customFormat="1">
      <c r="A339" s="2126"/>
      <c r="B339" s="2126"/>
      <c r="C339" s="2149"/>
      <c r="D339" s="3248"/>
      <c r="E339" s="525"/>
      <c r="F339" s="525"/>
      <c r="G339" s="526"/>
      <c r="K339" s="3280"/>
      <c r="P339" s="3041"/>
      <c r="X339" s="3280"/>
      <c r="AA339" s="3041"/>
      <c r="AF339" s="3041"/>
      <c r="AN339" s="3280"/>
      <c r="AZ339" s="3041"/>
      <c r="BD339" s="3281"/>
      <c r="BH339" s="3282"/>
      <c r="BJ339" s="2589"/>
      <c r="BK339" s="2126"/>
      <c r="BL339" s="2126"/>
      <c r="BM339" s="2126"/>
      <c r="BN339" s="2126"/>
      <c r="BO339" s="2126"/>
      <c r="BP339" s="2126"/>
      <c r="BQ339" s="2126"/>
      <c r="BR339" s="2126"/>
      <c r="BS339" s="2126"/>
    </row>
    <row r="340" spans="1:71" s="3030" customFormat="1">
      <c r="A340" s="2126"/>
      <c r="B340" s="2126"/>
      <c r="C340" s="2149"/>
      <c r="D340" s="3248"/>
      <c r="E340" s="525"/>
      <c r="F340" s="525"/>
      <c r="G340" s="526"/>
      <c r="K340" s="3280"/>
      <c r="P340" s="3041"/>
      <c r="X340" s="3280"/>
      <c r="AA340" s="3041"/>
      <c r="AF340" s="3041"/>
      <c r="AN340" s="3280"/>
      <c r="AZ340" s="3041"/>
      <c r="BD340" s="3281"/>
      <c r="BH340" s="3282"/>
      <c r="BJ340" s="2589"/>
      <c r="BK340" s="2126"/>
      <c r="BL340" s="2126"/>
      <c r="BM340" s="2126"/>
      <c r="BN340" s="2126"/>
      <c r="BO340" s="2126"/>
      <c r="BP340" s="2126"/>
      <c r="BQ340" s="2126"/>
      <c r="BR340" s="2126"/>
      <c r="BS340" s="2126"/>
    </row>
    <row r="341" spans="1:71" s="3030" customFormat="1">
      <c r="A341" s="2126"/>
      <c r="B341" s="2126"/>
      <c r="C341" s="2149"/>
      <c r="D341" s="3248"/>
      <c r="E341" s="525"/>
      <c r="F341" s="525"/>
      <c r="G341" s="526"/>
      <c r="K341" s="3280"/>
      <c r="P341" s="3041"/>
      <c r="X341" s="3280"/>
      <c r="AA341" s="3041"/>
      <c r="AF341" s="3041"/>
      <c r="AN341" s="3280"/>
      <c r="AZ341" s="3041"/>
      <c r="BD341" s="3281"/>
      <c r="BH341" s="3282"/>
      <c r="BJ341" s="2589"/>
      <c r="BK341" s="2126"/>
      <c r="BL341" s="2126"/>
      <c r="BM341" s="2126"/>
      <c r="BN341" s="2126"/>
      <c r="BO341" s="2126"/>
      <c r="BP341" s="2126"/>
      <c r="BQ341" s="2126"/>
      <c r="BR341" s="2126"/>
      <c r="BS341" s="2126"/>
    </row>
    <row r="342" spans="1:71" s="3030" customFormat="1">
      <c r="A342" s="2126"/>
      <c r="B342" s="2126"/>
      <c r="C342" s="2149"/>
      <c r="D342" s="3248"/>
      <c r="E342" s="525"/>
      <c r="F342" s="525"/>
      <c r="G342" s="526"/>
      <c r="K342" s="3280"/>
      <c r="P342" s="3041"/>
      <c r="X342" s="3280"/>
      <c r="AA342" s="3041"/>
      <c r="AF342" s="3041"/>
      <c r="AN342" s="3280"/>
      <c r="AZ342" s="3041"/>
      <c r="BD342" s="3281"/>
      <c r="BH342" s="3282"/>
      <c r="BJ342" s="2589"/>
      <c r="BK342" s="2126"/>
      <c r="BL342" s="2126"/>
      <c r="BM342" s="2126"/>
      <c r="BN342" s="2126"/>
      <c r="BO342" s="2126"/>
      <c r="BP342" s="2126"/>
      <c r="BQ342" s="2126"/>
      <c r="BR342" s="2126"/>
      <c r="BS342" s="2126"/>
    </row>
    <row r="343" spans="1:71" s="3030" customFormat="1">
      <c r="A343" s="2126"/>
      <c r="B343" s="2126"/>
      <c r="C343" s="2149"/>
      <c r="D343" s="3248"/>
      <c r="E343" s="525"/>
      <c r="F343" s="525"/>
      <c r="G343" s="526"/>
      <c r="K343" s="3280"/>
      <c r="P343" s="3041"/>
      <c r="X343" s="3280"/>
      <c r="AA343" s="3041"/>
      <c r="AF343" s="3041"/>
      <c r="AN343" s="3280"/>
      <c r="AZ343" s="3041"/>
      <c r="BD343" s="3281"/>
      <c r="BH343" s="3282"/>
      <c r="BJ343" s="2589"/>
      <c r="BK343" s="2126"/>
      <c r="BL343" s="2126"/>
      <c r="BM343" s="2126"/>
      <c r="BN343" s="2126"/>
      <c r="BO343" s="2126"/>
      <c r="BP343" s="2126"/>
      <c r="BQ343" s="2126"/>
      <c r="BR343" s="2126"/>
      <c r="BS343" s="2126"/>
    </row>
    <row r="344" spans="1:71" s="3030" customFormat="1">
      <c r="A344" s="2126"/>
      <c r="B344" s="2126"/>
      <c r="C344" s="2149"/>
      <c r="D344" s="3248"/>
      <c r="E344" s="525"/>
      <c r="F344" s="525"/>
      <c r="G344" s="526"/>
      <c r="K344" s="3280"/>
      <c r="P344" s="3041"/>
      <c r="X344" s="3280"/>
      <c r="AA344" s="3041"/>
      <c r="AF344" s="3041"/>
      <c r="AN344" s="3280"/>
      <c r="AZ344" s="3041"/>
      <c r="BD344" s="3281"/>
      <c r="BH344" s="3282"/>
      <c r="BJ344" s="2589"/>
      <c r="BK344" s="2126"/>
      <c r="BL344" s="2126"/>
      <c r="BM344" s="2126"/>
      <c r="BN344" s="2126"/>
      <c r="BO344" s="2126"/>
      <c r="BP344" s="2126"/>
      <c r="BQ344" s="2126"/>
      <c r="BR344" s="2126"/>
      <c r="BS344" s="2126"/>
    </row>
    <row r="345" spans="1:71" s="3030" customFormat="1">
      <c r="A345" s="2126"/>
      <c r="B345" s="2126"/>
      <c r="C345" s="2149"/>
      <c r="D345" s="3248"/>
      <c r="E345" s="525"/>
      <c r="F345" s="525"/>
      <c r="G345" s="526"/>
      <c r="K345" s="3280"/>
      <c r="P345" s="3041"/>
      <c r="X345" s="3280"/>
      <c r="AA345" s="3041"/>
      <c r="AF345" s="3041"/>
      <c r="AN345" s="3280"/>
      <c r="AZ345" s="3041"/>
      <c r="BD345" s="3281"/>
      <c r="BH345" s="3282"/>
      <c r="BJ345" s="2589"/>
      <c r="BK345" s="2126"/>
      <c r="BL345" s="2126"/>
      <c r="BM345" s="2126"/>
      <c r="BN345" s="2126"/>
      <c r="BO345" s="2126"/>
      <c r="BP345" s="2126"/>
      <c r="BQ345" s="2126"/>
      <c r="BR345" s="2126"/>
      <c r="BS345" s="2126"/>
    </row>
    <row r="346" spans="1:71" s="3030" customFormat="1">
      <c r="A346" s="2126"/>
      <c r="B346" s="2126"/>
      <c r="C346" s="2149"/>
      <c r="D346" s="3248"/>
      <c r="E346" s="525"/>
      <c r="F346" s="525"/>
      <c r="G346" s="526"/>
      <c r="K346" s="3280"/>
      <c r="P346" s="3041"/>
      <c r="X346" s="3280"/>
      <c r="AA346" s="3041"/>
      <c r="AF346" s="3041"/>
      <c r="AN346" s="3280"/>
      <c r="AZ346" s="3041"/>
      <c r="BD346" s="3281"/>
      <c r="BH346" s="3282"/>
      <c r="BJ346" s="2589"/>
      <c r="BK346" s="2126"/>
      <c r="BL346" s="2126"/>
      <c r="BM346" s="2126"/>
      <c r="BN346" s="2126"/>
      <c r="BO346" s="2126"/>
      <c r="BP346" s="2126"/>
      <c r="BQ346" s="2126"/>
      <c r="BR346" s="2126"/>
      <c r="BS346" s="2126"/>
    </row>
    <row r="347" spans="1:71" s="3030" customFormat="1">
      <c r="A347" s="2126"/>
      <c r="B347" s="2126"/>
      <c r="C347" s="2149"/>
      <c r="D347" s="3248"/>
      <c r="E347" s="525"/>
      <c r="F347" s="525"/>
      <c r="G347" s="526"/>
      <c r="K347" s="3280"/>
      <c r="P347" s="3041"/>
      <c r="X347" s="3280"/>
      <c r="AA347" s="3041"/>
      <c r="AF347" s="3041"/>
      <c r="AN347" s="3280"/>
      <c r="AZ347" s="3041"/>
      <c r="BD347" s="3281"/>
      <c r="BH347" s="3282"/>
      <c r="BJ347" s="2589"/>
      <c r="BK347" s="2126"/>
      <c r="BL347" s="2126"/>
      <c r="BM347" s="2126"/>
      <c r="BN347" s="2126"/>
      <c r="BO347" s="2126"/>
      <c r="BP347" s="2126"/>
      <c r="BQ347" s="2126"/>
      <c r="BR347" s="2126"/>
      <c r="BS347" s="2126"/>
    </row>
    <row r="348" spans="1:71" s="3030" customFormat="1">
      <c r="A348" s="2126"/>
      <c r="B348" s="2126"/>
      <c r="C348" s="2149"/>
      <c r="D348" s="3248"/>
      <c r="E348" s="525"/>
      <c r="F348" s="525"/>
      <c r="G348" s="526"/>
      <c r="K348" s="3280"/>
      <c r="P348" s="3041"/>
      <c r="X348" s="3280"/>
      <c r="AA348" s="3041"/>
      <c r="AF348" s="3041"/>
      <c r="AN348" s="3280"/>
      <c r="AZ348" s="3041"/>
      <c r="BD348" s="3281"/>
      <c r="BH348" s="3282"/>
      <c r="BJ348" s="2589"/>
      <c r="BK348" s="2126"/>
      <c r="BL348" s="2126"/>
      <c r="BM348" s="2126"/>
      <c r="BN348" s="2126"/>
      <c r="BO348" s="2126"/>
      <c r="BP348" s="2126"/>
      <c r="BQ348" s="2126"/>
      <c r="BR348" s="2126"/>
      <c r="BS348" s="2126"/>
    </row>
    <row r="349" spans="1:71" s="3030" customFormat="1">
      <c r="A349" s="2126"/>
      <c r="B349" s="2126"/>
      <c r="C349" s="2149"/>
      <c r="D349" s="3248"/>
      <c r="E349" s="525"/>
      <c r="F349" s="525"/>
      <c r="G349" s="526"/>
      <c r="K349" s="3280"/>
      <c r="P349" s="3041"/>
      <c r="X349" s="3280"/>
      <c r="AA349" s="3041"/>
      <c r="AF349" s="3041"/>
      <c r="AN349" s="3280"/>
      <c r="AZ349" s="3041"/>
      <c r="BD349" s="3281"/>
      <c r="BH349" s="3282"/>
      <c r="BJ349" s="2589"/>
      <c r="BK349" s="2126"/>
      <c r="BL349" s="2126"/>
      <c r="BM349" s="2126"/>
      <c r="BN349" s="2126"/>
      <c r="BO349" s="2126"/>
      <c r="BP349" s="2126"/>
      <c r="BQ349" s="2126"/>
      <c r="BR349" s="2126"/>
      <c r="BS349" s="2126"/>
    </row>
    <row r="350" spans="1:71" s="3030" customFormat="1">
      <c r="A350" s="2126"/>
      <c r="B350" s="2126"/>
      <c r="C350" s="2149"/>
      <c r="D350" s="3248"/>
      <c r="E350" s="525"/>
      <c r="F350" s="525"/>
      <c r="G350" s="526"/>
      <c r="K350" s="3280"/>
      <c r="P350" s="3041"/>
      <c r="X350" s="3280"/>
      <c r="AA350" s="3041"/>
      <c r="AF350" s="3041"/>
      <c r="AN350" s="3280"/>
      <c r="AZ350" s="3041"/>
      <c r="BD350" s="3281"/>
      <c r="BH350" s="3282"/>
      <c r="BJ350" s="2589"/>
      <c r="BK350" s="2126"/>
      <c r="BL350" s="2126"/>
      <c r="BM350" s="2126"/>
      <c r="BN350" s="2126"/>
      <c r="BO350" s="2126"/>
      <c r="BP350" s="2126"/>
      <c r="BQ350" s="2126"/>
      <c r="BR350" s="2126"/>
      <c r="BS350" s="2126"/>
    </row>
    <row r="351" spans="1:71" s="3030" customFormat="1">
      <c r="A351" s="2126"/>
      <c r="B351" s="2126"/>
      <c r="C351" s="2149"/>
      <c r="D351" s="3248"/>
      <c r="E351" s="525"/>
      <c r="F351" s="525"/>
      <c r="G351" s="526"/>
      <c r="K351" s="3280"/>
      <c r="P351" s="3041"/>
      <c r="X351" s="3280"/>
      <c r="AA351" s="3041"/>
      <c r="AF351" s="3041"/>
      <c r="AN351" s="3280"/>
      <c r="AZ351" s="3041"/>
      <c r="BD351" s="3281"/>
      <c r="BH351" s="3282"/>
      <c r="BJ351" s="2589"/>
      <c r="BK351" s="2126"/>
      <c r="BL351" s="2126"/>
      <c r="BM351" s="2126"/>
      <c r="BN351" s="2126"/>
      <c r="BO351" s="2126"/>
      <c r="BP351" s="2126"/>
      <c r="BQ351" s="2126"/>
      <c r="BR351" s="2126"/>
      <c r="BS351" s="2126"/>
    </row>
    <row r="352" spans="1:71" s="3030" customFormat="1">
      <c r="A352" s="2126"/>
      <c r="B352" s="2126"/>
      <c r="C352" s="2149"/>
      <c r="D352" s="3248"/>
      <c r="E352" s="525"/>
      <c r="F352" s="525"/>
      <c r="G352" s="526"/>
      <c r="K352" s="3280"/>
      <c r="P352" s="3041"/>
      <c r="X352" s="3280"/>
      <c r="AA352" s="3041"/>
      <c r="AF352" s="3041"/>
      <c r="AN352" s="3280"/>
      <c r="AZ352" s="3041"/>
      <c r="BD352" s="3281"/>
      <c r="BH352" s="3282"/>
      <c r="BJ352" s="2589"/>
      <c r="BK352" s="2126"/>
      <c r="BL352" s="2126"/>
      <c r="BM352" s="2126"/>
      <c r="BN352" s="2126"/>
      <c r="BO352" s="2126"/>
      <c r="BP352" s="2126"/>
      <c r="BQ352" s="2126"/>
      <c r="BR352" s="2126"/>
      <c r="BS352" s="2126"/>
    </row>
    <row r="353" spans="1:71" s="3030" customFormat="1">
      <c r="A353" s="2126"/>
      <c r="B353" s="2126"/>
      <c r="C353" s="2149"/>
      <c r="D353" s="3248"/>
      <c r="E353" s="525"/>
      <c r="F353" s="525"/>
      <c r="G353" s="526"/>
      <c r="K353" s="3280"/>
      <c r="P353" s="3041"/>
      <c r="X353" s="3280"/>
      <c r="AA353" s="3041"/>
      <c r="AF353" s="3041"/>
      <c r="AN353" s="3280"/>
      <c r="AZ353" s="3041"/>
      <c r="BD353" s="3281"/>
      <c r="BH353" s="3282"/>
      <c r="BJ353" s="2589"/>
      <c r="BK353" s="2126"/>
      <c r="BL353" s="2126"/>
      <c r="BM353" s="2126"/>
      <c r="BN353" s="2126"/>
      <c r="BO353" s="2126"/>
      <c r="BP353" s="2126"/>
      <c r="BQ353" s="2126"/>
      <c r="BR353" s="2126"/>
      <c r="BS353" s="2126"/>
    </row>
    <row r="354" spans="1:71" s="3030" customFormat="1">
      <c r="A354" s="2126"/>
      <c r="B354" s="2126"/>
      <c r="C354" s="2149"/>
      <c r="D354" s="3248"/>
      <c r="E354" s="525"/>
      <c r="F354" s="525"/>
      <c r="G354" s="526"/>
      <c r="K354" s="3280"/>
      <c r="P354" s="3041"/>
      <c r="X354" s="3280"/>
      <c r="AA354" s="3041"/>
      <c r="AF354" s="3041"/>
      <c r="AN354" s="3280"/>
      <c r="AZ354" s="3041"/>
      <c r="BD354" s="3281"/>
      <c r="BH354" s="3282"/>
      <c r="BJ354" s="2589"/>
      <c r="BK354" s="2126"/>
      <c r="BL354" s="2126"/>
      <c r="BM354" s="2126"/>
      <c r="BN354" s="2126"/>
      <c r="BO354" s="2126"/>
      <c r="BP354" s="2126"/>
      <c r="BQ354" s="2126"/>
      <c r="BR354" s="2126"/>
      <c r="BS354" s="2126"/>
    </row>
    <row r="355" spans="1:71" s="3030" customFormat="1">
      <c r="A355" s="2126"/>
      <c r="B355" s="2126"/>
      <c r="C355" s="2149"/>
      <c r="D355" s="3248"/>
      <c r="E355" s="525"/>
      <c r="F355" s="525"/>
      <c r="G355" s="526"/>
      <c r="K355" s="3280"/>
      <c r="P355" s="3041"/>
      <c r="X355" s="3280"/>
      <c r="AA355" s="3041"/>
      <c r="AF355" s="3041"/>
      <c r="AN355" s="3280"/>
      <c r="AZ355" s="3041"/>
      <c r="BD355" s="3281"/>
      <c r="BH355" s="3282"/>
      <c r="BJ355" s="2589"/>
      <c r="BK355" s="2126"/>
      <c r="BL355" s="2126"/>
      <c r="BM355" s="2126"/>
      <c r="BN355" s="2126"/>
      <c r="BO355" s="2126"/>
      <c r="BP355" s="2126"/>
      <c r="BQ355" s="2126"/>
      <c r="BR355" s="2126"/>
      <c r="BS355" s="2126"/>
    </row>
    <row r="356" spans="1:71" s="3030" customFormat="1">
      <c r="A356" s="2126"/>
      <c r="B356" s="2126"/>
      <c r="C356" s="2149"/>
      <c r="D356" s="3248"/>
      <c r="E356" s="525"/>
      <c r="F356" s="525"/>
      <c r="G356" s="526"/>
      <c r="K356" s="3280"/>
      <c r="P356" s="3041"/>
      <c r="X356" s="3280"/>
      <c r="AA356" s="3041"/>
      <c r="AF356" s="3041"/>
      <c r="AN356" s="3280"/>
      <c r="AZ356" s="3041"/>
      <c r="BD356" s="3281"/>
      <c r="BH356" s="3282"/>
      <c r="BJ356" s="2589"/>
      <c r="BK356" s="2126"/>
      <c r="BL356" s="2126"/>
      <c r="BM356" s="2126"/>
      <c r="BN356" s="2126"/>
      <c r="BO356" s="2126"/>
      <c r="BP356" s="2126"/>
      <c r="BQ356" s="2126"/>
      <c r="BR356" s="2126"/>
      <c r="BS356" s="2126"/>
    </row>
    <row r="357" spans="1:71" s="3030" customFormat="1">
      <c r="A357" s="2126"/>
      <c r="B357" s="2126"/>
      <c r="C357" s="2149"/>
      <c r="D357" s="3248"/>
      <c r="E357" s="525"/>
      <c r="F357" s="525"/>
      <c r="G357" s="526"/>
      <c r="K357" s="3280"/>
      <c r="P357" s="3041"/>
      <c r="X357" s="3280"/>
      <c r="AA357" s="3041"/>
      <c r="AF357" s="3041"/>
      <c r="AN357" s="3280"/>
      <c r="AZ357" s="3041"/>
      <c r="BD357" s="3281"/>
      <c r="BH357" s="3282"/>
      <c r="BJ357" s="2589"/>
      <c r="BK357" s="2126"/>
      <c r="BL357" s="2126"/>
      <c r="BM357" s="2126"/>
      <c r="BN357" s="2126"/>
      <c r="BO357" s="2126"/>
      <c r="BP357" s="2126"/>
      <c r="BQ357" s="2126"/>
      <c r="BR357" s="2126"/>
      <c r="BS357" s="2126"/>
    </row>
    <row r="358" spans="1:71" s="3030" customFormat="1">
      <c r="A358" s="2126"/>
      <c r="B358" s="2126"/>
      <c r="C358" s="2149"/>
      <c r="D358" s="3248"/>
      <c r="E358" s="525"/>
      <c r="F358" s="525"/>
      <c r="G358" s="526"/>
      <c r="K358" s="3280"/>
      <c r="P358" s="3041"/>
      <c r="X358" s="3280"/>
      <c r="AA358" s="3041"/>
      <c r="AF358" s="3041"/>
      <c r="AN358" s="3280"/>
      <c r="AZ358" s="3041"/>
      <c r="BD358" s="3281"/>
      <c r="BH358" s="3282"/>
      <c r="BJ358" s="2589"/>
      <c r="BK358" s="2126"/>
      <c r="BL358" s="2126"/>
      <c r="BM358" s="2126"/>
      <c r="BN358" s="2126"/>
      <c r="BO358" s="2126"/>
      <c r="BP358" s="2126"/>
      <c r="BQ358" s="2126"/>
      <c r="BR358" s="2126"/>
      <c r="BS358" s="2126"/>
    </row>
    <row r="359" spans="1:71" s="3030" customFormat="1">
      <c r="A359" s="2126"/>
      <c r="B359" s="2126"/>
      <c r="C359" s="2149"/>
      <c r="D359" s="3248"/>
      <c r="E359" s="525"/>
      <c r="F359" s="525"/>
      <c r="G359" s="526"/>
      <c r="K359" s="3280"/>
      <c r="P359" s="3041"/>
      <c r="X359" s="3280"/>
      <c r="AA359" s="3041"/>
      <c r="AF359" s="3041"/>
      <c r="AN359" s="3280"/>
      <c r="AZ359" s="3041"/>
      <c r="BD359" s="3281"/>
      <c r="BH359" s="3282"/>
      <c r="BJ359" s="2589"/>
      <c r="BK359" s="2126"/>
      <c r="BL359" s="2126"/>
      <c r="BM359" s="2126"/>
      <c r="BN359" s="2126"/>
      <c r="BO359" s="2126"/>
      <c r="BP359" s="2126"/>
      <c r="BQ359" s="2126"/>
      <c r="BR359" s="2126"/>
      <c r="BS359" s="2126"/>
    </row>
    <row r="360" spans="1:71" s="3030" customFormat="1">
      <c r="A360" s="2126"/>
      <c r="B360" s="2126"/>
      <c r="C360" s="2149"/>
      <c r="D360" s="3248"/>
      <c r="E360" s="525"/>
      <c r="F360" s="525"/>
      <c r="G360" s="526"/>
      <c r="K360" s="3280"/>
      <c r="P360" s="3041"/>
      <c r="X360" s="3280"/>
      <c r="AA360" s="3041"/>
      <c r="AF360" s="3041"/>
      <c r="AN360" s="3280"/>
      <c r="AZ360" s="3041"/>
      <c r="BD360" s="3281"/>
      <c r="BH360" s="3282"/>
      <c r="BJ360" s="2589"/>
      <c r="BK360" s="2126"/>
      <c r="BL360" s="2126"/>
      <c r="BM360" s="2126"/>
      <c r="BN360" s="2126"/>
      <c r="BO360" s="2126"/>
      <c r="BP360" s="2126"/>
      <c r="BQ360" s="2126"/>
      <c r="BR360" s="2126"/>
      <c r="BS360" s="2126"/>
    </row>
    <row r="361" spans="1:71" s="3030" customFormat="1">
      <c r="A361" s="2126"/>
      <c r="B361" s="2126"/>
      <c r="C361" s="2149"/>
      <c r="D361" s="3248"/>
      <c r="E361" s="525"/>
      <c r="F361" s="525"/>
      <c r="G361" s="526"/>
      <c r="K361" s="3280"/>
      <c r="P361" s="3041"/>
      <c r="X361" s="3280"/>
      <c r="AA361" s="3041"/>
      <c r="AF361" s="3041"/>
      <c r="AN361" s="3280"/>
      <c r="AZ361" s="3041"/>
      <c r="BD361" s="3281"/>
      <c r="BH361" s="3282"/>
      <c r="BJ361" s="2589"/>
      <c r="BK361" s="2126"/>
      <c r="BL361" s="2126"/>
      <c r="BM361" s="2126"/>
      <c r="BN361" s="2126"/>
      <c r="BO361" s="2126"/>
      <c r="BP361" s="2126"/>
      <c r="BQ361" s="2126"/>
      <c r="BR361" s="2126"/>
      <c r="BS361" s="2126"/>
    </row>
    <row r="362" spans="1:71" s="3030" customFormat="1">
      <c r="A362" s="2126"/>
      <c r="B362" s="2126"/>
      <c r="C362" s="2149"/>
      <c r="D362" s="3248"/>
      <c r="E362" s="525"/>
      <c r="F362" s="525"/>
      <c r="G362" s="526"/>
      <c r="K362" s="3280"/>
      <c r="P362" s="3041"/>
      <c r="X362" s="3280"/>
      <c r="AA362" s="3041"/>
      <c r="AF362" s="3041"/>
      <c r="AN362" s="3280"/>
      <c r="AZ362" s="3041"/>
      <c r="BD362" s="3281"/>
      <c r="BH362" s="3282"/>
      <c r="BJ362" s="2589"/>
      <c r="BK362" s="2126"/>
      <c r="BL362" s="2126"/>
      <c r="BM362" s="2126"/>
      <c r="BN362" s="2126"/>
      <c r="BO362" s="2126"/>
      <c r="BP362" s="2126"/>
      <c r="BQ362" s="2126"/>
      <c r="BR362" s="2126"/>
      <c r="BS362" s="2126"/>
    </row>
    <row r="363" spans="1:71" s="3030" customFormat="1">
      <c r="A363" s="2126"/>
      <c r="B363" s="2126"/>
      <c r="C363" s="2149"/>
      <c r="D363" s="3248"/>
      <c r="E363" s="525"/>
      <c r="F363" s="525"/>
      <c r="G363" s="526"/>
      <c r="K363" s="3280"/>
      <c r="P363" s="3041"/>
      <c r="X363" s="3280"/>
      <c r="AA363" s="3041"/>
      <c r="AF363" s="3041"/>
      <c r="AN363" s="3280"/>
      <c r="AZ363" s="3041"/>
      <c r="BD363" s="3281"/>
      <c r="BH363" s="3282"/>
      <c r="BJ363" s="2589"/>
      <c r="BK363" s="2126"/>
      <c r="BL363" s="2126"/>
      <c r="BM363" s="2126"/>
      <c r="BN363" s="2126"/>
      <c r="BO363" s="2126"/>
      <c r="BP363" s="2126"/>
      <c r="BQ363" s="2126"/>
      <c r="BR363" s="2126"/>
      <c r="BS363" s="2126"/>
    </row>
    <row r="364" spans="1:71" s="3030" customFormat="1">
      <c r="A364" s="2126"/>
      <c r="B364" s="2126"/>
      <c r="C364" s="2149"/>
      <c r="D364" s="3248"/>
      <c r="E364" s="525"/>
      <c r="F364" s="525"/>
      <c r="G364" s="526"/>
      <c r="K364" s="3280"/>
      <c r="P364" s="3041"/>
      <c r="X364" s="3280"/>
      <c r="AA364" s="3041"/>
      <c r="AF364" s="3041"/>
      <c r="AN364" s="3280"/>
      <c r="AZ364" s="3041"/>
      <c r="BD364" s="3281"/>
      <c r="BH364" s="3282"/>
      <c r="BJ364" s="2589"/>
      <c r="BK364" s="2126"/>
      <c r="BL364" s="2126"/>
      <c r="BM364" s="2126"/>
      <c r="BN364" s="2126"/>
      <c r="BO364" s="2126"/>
      <c r="BP364" s="2126"/>
      <c r="BQ364" s="2126"/>
      <c r="BR364" s="2126"/>
      <c r="BS364" s="2126"/>
    </row>
    <row r="365" spans="1:71" s="3030" customFormat="1">
      <c r="A365" s="2126"/>
      <c r="B365" s="2126"/>
      <c r="C365" s="2149"/>
      <c r="D365" s="3248"/>
      <c r="E365" s="525"/>
      <c r="F365" s="525"/>
      <c r="G365" s="526"/>
      <c r="K365" s="3280"/>
      <c r="P365" s="3041"/>
      <c r="X365" s="3280"/>
      <c r="AA365" s="3041"/>
      <c r="AF365" s="3041"/>
      <c r="AN365" s="3280"/>
      <c r="AZ365" s="3041"/>
      <c r="BD365" s="3281"/>
      <c r="BH365" s="3282"/>
      <c r="BJ365" s="2589"/>
      <c r="BK365" s="2126"/>
      <c r="BL365" s="2126"/>
      <c r="BM365" s="2126"/>
      <c r="BN365" s="2126"/>
      <c r="BO365" s="2126"/>
      <c r="BP365" s="2126"/>
      <c r="BQ365" s="2126"/>
      <c r="BR365" s="2126"/>
      <c r="BS365" s="2126"/>
    </row>
    <row r="366" spans="1:71" s="3030" customFormat="1">
      <c r="A366" s="2126"/>
      <c r="B366" s="2126"/>
      <c r="C366" s="2149"/>
      <c r="D366" s="3248"/>
      <c r="E366" s="525"/>
      <c r="F366" s="525"/>
      <c r="G366" s="526"/>
      <c r="K366" s="3280"/>
      <c r="P366" s="3041"/>
      <c r="X366" s="3280"/>
      <c r="AA366" s="3041"/>
      <c r="AF366" s="3041"/>
      <c r="AN366" s="3280"/>
      <c r="AZ366" s="3041"/>
      <c r="BD366" s="3281"/>
      <c r="BH366" s="3282"/>
      <c r="BJ366" s="2589"/>
      <c r="BK366" s="2126"/>
      <c r="BL366" s="2126"/>
      <c r="BM366" s="2126"/>
      <c r="BN366" s="2126"/>
      <c r="BO366" s="2126"/>
      <c r="BP366" s="2126"/>
      <c r="BQ366" s="2126"/>
      <c r="BR366" s="2126"/>
      <c r="BS366" s="2126"/>
    </row>
    <row r="367" spans="1:71" s="3030" customFormat="1">
      <c r="A367" s="2126"/>
      <c r="B367" s="2126"/>
      <c r="C367" s="2149"/>
      <c r="D367" s="3248"/>
      <c r="E367" s="525"/>
      <c r="F367" s="525"/>
      <c r="G367" s="526"/>
      <c r="K367" s="3280"/>
      <c r="P367" s="3041"/>
      <c r="X367" s="3280"/>
      <c r="AA367" s="3041"/>
      <c r="AF367" s="3041"/>
      <c r="AN367" s="3280"/>
      <c r="AZ367" s="3041"/>
      <c r="BD367" s="3281"/>
      <c r="BH367" s="3282"/>
      <c r="BJ367" s="2589"/>
      <c r="BK367" s="2126"/>
      <c r="BL367" s="2126"/>
      <c r="BM367" s="2126"/>
      <c r="BN367" s="2126"/>
      <c r="BO367" s="2126"/>
      <c r="BP367" s="2126"/>
      <c r="BQ367" s="2126"/>
      <c r="BR367" s="2126"/>
      <c r="BS367" s="2126"/>
    </row>
    <row r="368" spans="1:71" s="3030" customFormat="1">
      <c r="A368" s="2126"/>
      <c r="B368" s="2126"/>
      <c r="C368" s="2149"/>
      <c r="D368" s="3248"/>
      <c r="E368" s="525"/>
      <c r="F368" s="525"/>
      <c r="G368" s="526"/>
      <c r="K368" s="3280"/>
      <c r="P368" s="3041"/>
      <c r="X368" s="3280"/>
      <c r="AA368" s="3041"/>
      <c r="AF368" s="3041"/>
      <c r="AN368" s="3280"/>
      <c r="AZ368" s="3041"/>
      <c r="BD368" s="3281"/>
      <c r="BH368" s="3282"/>
      <c r="BJ368" s="2589"/>
      <c r="BK368" s="2126"/>
      <c r="BL368" s="2126"/>
      <c r="BM368" s="2126"/>
      <c r="BN368" s="2126"/>
      <c r="BO368" s="2126"/>
      <c r="BP368" s="2126"/>
      <c r="BQ368" s="2126"/>
      <c r="BR368" s="2126"/>
      <c r="BS368" s="2126"/>
    </row>
    <row r="369" spans="1:71" s="3030" customFormat="1">
      <c r="A369" s="2126"/>
      <c r="B369" s="2126"/>
      <c r="C369" s="2149"/>
      <c r="D369" s="3248"/>
      <c r="E369" s="525"/>
      <c r="F369" s="525"/>
      <c r="G369" s="526"/>
      <c r="K369" s="3280"/>
      <c r="P369" s="3041"/>
      <c r="X369" s="3280"/>
      <c r="AA369" s="3041"/>
      <c r="AF369" s="3041"/>
      <c r="AN369" s="3280"/>
      <c r="AZ369" s="3041"/>
      <c r="BD369" s="3281"/>
      <c r="BH369" s="3282"/>
      <c r="BJ369" s="2589"/>
      <c r="BK369" s="2126"/>
      <c r="BL369" s="2126"/>
      <c r="BM369" s="2126"/>
      <c r="BN369" s="2126"/>
      <c r="BO369" s="2126"/>
      <c r="BP369" s="2126"/>
      <c r="BQ369" s="2126"/>
      <c r="BR369" s="2126"/>
      <c r="BS369" s="2126"/>
    </row>
    <row r="370" spans="1:71" s="3030" customFormat="1">
      <c r="A370" s="2126"/>
      <c r="B370" s="2126"/>
      <c r="C370" s="2149"/>
      <c r="D370" s="3248"/>
      <c r="E370" s="525"/>
      <c r="F370" s="525"/>
      <c r="G370" s="526"/>
      <c r="K370" s="3280"/>
      <c r="P370" s="3041"/>
      <c r="X370" s="3280"/>
      <c r="AA370" s="3041"/>
      <c r="AF370" s="3041"/>
      <c r="AN370" s="3280"/>
      <c r="AZ370" s="3041"/>
      <c r="BD370" s="3281"/>
      <c r="BH370" s="3282"/>
      <c r="BJ370" s="2589"/>
      <c r="BK370" s="2126"/>
      <c r="BL370" s="2126"/>
      <c r="BM370" s="2126"/>
      <c r="BN370" s="2126"/>
      <c r="BO370" s="2126"/>
      <c r="BP370" s="2126"/>
      <c r="BQ370" s="2126"/>
      <c r="BR370" s="2126"/>
      <c r="BS370" s="2126"/>
    </row>
    <row r="371" spans="1:71" s="3030" customFormat="1">
      <c r="A371" s="2126"/>
      <c r="B371" s="2126"/>
      <c r="C371" s="2149"/>
      <c r="D371" s="3248"/>
      <c r="E371" s="525"/>
      <c r="F371" s="525"/>
      <c r="G371" s="526"/>
      <c r="K371" s="3280"/>
      <c r="P371" s="3041"/>
      <c r="X371" s="3280"/>
      <c r="AA371" s="3041"/>
      <c r="AF371" s="3041"/>
      <c r="AN371" s="3280"/>
      <c r="AZ371" s="3041"/>
      <c r="BD371" s="3281"/>
      <c r="BH371" s="3282"/>
      <c r="BJ371" s="2589"/>
      <c r="BK371" s="2126"/>
      <c r="BL371" s="2126"/>
      <c r="BM371" s="2126"/>
      <c r="BN371" s="2126"/>
      <c r="BO371" s="2126"/>
      <c r="BP371" s="2126"/>
      <c r="BQ371" s="2126"/>
      <c r="BR371" s="2126"/>
      <c r="BS371" s="2126"/>
    </row>
    <row r="372" spans="1:71" s="3030" customFormat="1">
      <c r="A372" s="2126"/>
      <c r="B372" s="2126"/>
      <c r="C372" s="2149"/>
      <c r="D372" s="3248"/>
      <c r="E372" s="525"/>
      <c r="F372" s="525"/>
      <c r="G372" s="526"/>
      <c r="K372" s="3280"/>
      <c r="P372" s="3041"/>
      <c r="X372" s="3280"/>
      <c r="AA372" s="3041"/>
      <c r="AF372" s="3041"/>
      <c r="AN372" s="3280"/>
      <c r="AZ372" s="3041"/>
      <c r="BD372" s="3281"/>
      <c r="BH372" s="3282"/>
      <c r="BJ372" s="2589"/>
      <c r="BK372" s="2126"/>
      <c r="BL372" s="2126"/>
      <c r="BM372" s="2126"/>
      <c r="BN372" s="2126"/>
      <c r="BO372" s="2126"/>
      <c r="BP372" s="2126"/>
      <c r="BQ372" s="2126"/>
      <c r="BR372" s="2126"/>
      <c r="BS372" s="2126"/>
    </row>
    <row r="373" spans="1:71" s="3030" customFormat="1">
      <c r="A373" s="2126"/>
      <c r="B373" s="2126"/>
      <c r="C373" s="2149"/>
      <c r="D373" s="3248"/>
      <c r="E373" s="525"/>
      <c r="F373" s="525"/>
      <c r="G373" s="526"/>
      <c r="K373" s="3280"/>
      <c r="P373" s="3041"/>
      <c r="X373" s="3280"/>
      <c r="AA373" s="3041"/>
      <c r="AF373" s="3041"/>
      <c r="AN373" s="3280"/>
      <c r="AZ373" s="3041"/>
      <c r="BD373" s="3281"/>
      <c r="BH373" s="3282"/>
      <c r="BJ373" s="2589"/>
      <c r="BK373" s="2126"/>
      <c r="BL373" s="2126"/>
      <c r="BM373" s="2126"/>
      <c r="BN373" s="2126"/>
      <c r="BO373" s="2126"/>
      <c r="BP373" s="2126"/>
      <c r="BQ373" s="2126"/>
      <c r="BR373" s="2126"/>
      <c r="BS373" s="2126"/>
    </row>
    <row r="374" spans="1:71" s="3030" customFormat="1">
      <c r="A374" s="2126"/>
      <c r="B374" s="2126"/>
      <c r="C374" s="2149"/>
      <c r="D374" s="3248"/>
      <c r="E374" s="525"/>
      <c r="F374" s="525"/>
      <c r="G374" s="526"/>
      <c r="K374" s="3280"/>
      <c r="P374" s="3041"/>
      <c r="X374" s="3280"/>
      <c r="AA374" s="3041"/>
      <c r="AF374" s="3041"/>
      <c r="AN374" s="3280"/>
      <c r="AZ374" s="3041"/>
      <c r="BD374" s="3281"/>
      <c r="BH374" s="3282"/>
      <c r="BJ374" s="2589"/>
      <c r="BK374" s="2126"/>
      <c r="BL374" s="2126"/>
      <c r="BM374" s="2126"/>
      <c r="BN374" s="2126"/>
      <c r="BO374" s="2126"/>
      <c r="BP374" s="2126"/>
      <c r="BQ374" s="2126"/>
      <c r="BR374" s="2126"/>
      <c r="BS374" s="2126"/>
    </row>
    <row r="375" spans="1:71" s="3030" customFormat="1">
      <c r="A375" s="2126"/>
      <c r="B375" s="2126"/>
      <c r="C375" s="2149"/>
      <c r="D375" s="3248"/>
      <c r="E375" s="525"/>
      <c r="F375" s="525"/>
      <c r="G375" s="526"/>
      <c r="K375" s="3280"/>
      <c r="P375" s="3041"/>
      <c r="X375" s="3280"/>
      <c r="AA375" s="3041"/>
      <c r="AF375" s="3041"/>
      <c r="AN375" s="3280"/>
      <c r="AZ375" s="3041"/>
      <c r="BD375" s="3281"/>
      <c r="BH375" s="3282"/>
      <c r="BJ375" s="2589"/>
      <c r="BK375" s="2126"/>
      <c r="BL375" s="2126"/>
      <c r="BM375" s="2126"/>
      <c r="BN375" s="2126"/>
      <c r="BO375" s="2126"/>
      <c r="BP375" s="2126"/>
      <c r="BQ375" s="2126"/>
      <c r="BR375" s="2126"/>
      <c r="BS375" s="2126"/>
    </row>
    <row r="376" spans="1:71" s="3030" customFormat="1">
      <c r="A376" s="2126"/>
      <c r="B376" s="2126"/>
      <c r="C376" s="2149"/>
      <c r="D376" s="3248"/>
      <c r="E376" s="525"/>
      <c r="F376" s="525"/>
      <c r="G376" s="526"/>
      <c r="K376" s="3280"/>
      <c r="P376" s="3041"/>
      <c r="X376" s="3280"/>
      <c r="AA376" s="3041"/>
      <c r="AF376" s="3041"/>
      <c r="AN376" s="3280"/>
      <c r="AZ376" s="3041"/>
      <c r="BD376" s="3281"/>
      <c r="BH376" s="3282"/>
      <c r="BJ376" s="2589"/>
      <c r="BK376" s="2126"/>
      <c r="BL376" s="2126"/>
      <c r="BM376" s="2126"/>
      <c r="BN376" s="2126"/>
      <c r="BO376" s="2126"/>
      <c r="BP376" s="2126"/>
      <c r="BQ376" s="2126"/>
      <c r="BR376" s="2126"/>
      <c r="BS376" s="2126"/>
    </row>
    <row r="377" spans="1:71" s="3030" customFormat="1">
      <c r="A377" s="2126"/>
      <c r="B377" s="2126"/>
      <c r="C377" s="2149"/>
      <c r="D377" s="3248"/>
      <c r="E377" s="525"/>
      <c r="F377" s="525"/>
      <c r="G377" s="526"/>
      <c r="K377" s="3280"/>
      <c r="P377" s="3041"/>
      <c r="X377" s="3280"/>
      <c r="AA377" s="3041"/>
      <c r="AF377" s="3041"/>
      <c r="AN377" s="3280"/>
      <c r="AZ377" s="3041"/>
      <c r="BD377" s="3281"/>
      <c r="BH377" s="3282"/>
      <c r="BJ377" s="2589"/>
      <c r="BK377" s="2126"/>
      <c r="BL377" s="2126"/>
      <c r="BM377" s="2126"/>
      <c r="BN377" s="2126"/>
      <c r="BO377" s="2126"/>
      <c r="BP377" s="2126"/>
      <c r="BQ377" s="2126"/>
      <c r="BR377" s="2126"/>
      <c r="BS377" s="2126"/>
    </row>
    <row r="378" spans="1:71" s="3030" customFormat="1">
      <c r="A378" s="2126"/>
      <c r="B378" s="2126"/>
      <c r="C378" s="2149"/>
      <c r="D378" s="3248"/>
      <c r="E378" s="525"/>
      <c r="F378" s="525"/>
      <c r="G378" s="526"/>
      <c r="K378" s="3280"/>
      <c r="P378" s="3041"/>
      <c r="X378" s="3280"/>
      <c r="AA378" s="3041"/>
      <c r="AF378" s="3041"/>
      <c r="AN378" s="3280"/>
      <c r="AZ378" s="3041"/>
      <c r="BD378" s="3281"/>
      <c r="BH378" s="3282"/>
      <c r="BJ378" s="2589"/>
      <c r="BK378" s="2126"/>
      <c r="BL378" s="2126"/>
      <c r="BM378" s="2126"/>
      <c r="BN378" s="2126"/>
      <c r="BO378" s="2126"/>
      <c r="BP378" s="2126"/>
      <c r="BQ378" s="2126"/>
      <c r="BR378" s="2126"/>
      <c r="BS378" s="2126"/>
    </row>
    <row r="379" spans="1:71" s="3030" customFormat="1">
      <c r="A379" s="2126"/>
      <c r="B379" s="2126"/>
      <c r="C379" s="2149"/>
      <c r="D379" s="3248"/>
      <c r="E379" s="525"/>
      <c r="F379" s="525"/>
      <c r="G379" s="526"/>
      <c r="K379" s="3280"/>
      <c r="P379" s="3041"/>
      <c r="X379" s="3280"/>
      <c r="AA379" s="3041"/>
      <c r="AF379" s="3041"/>
      <c r="AN379" s="3280"/>
      <c r="AZ379" s="3041"/>
      <c r="BD379" s="3281"/>
      <c r="BH379" s="3282"/>
      <c r="BJ379" s="2589"/>
      <c r="BK379" s="2126"/>
      <c r="BL379" s="2126"/>
      <c r="BM379" s="2126"/>
      <c r="BN379" s="2126"/>
      <c r="BO379" s="2126"/>
      <c r="BP379" s="2126"/>
      <c r="BQ379" s="2126"/>
      <c r="BR379" s="2126"/>
      <c r="BS379" s="2126"/>
    </row>
    <row r="380" spans="1:71" s="3030" customFormat="1">
      <c r="A380" s="2126"/>
      <c r="B380" s="2126"/>
      <c r="C380" s="2149"/>
      <c r="D380" s="3248"/>
      <c r="E380" s="525"/>
      <c r="F380" s="525"/>
      <c r="G380" s="526"/>
      <c r="K380" s="3280"/>
      <c r="P380" s="3041"/>
      <c r="X380" s="3280"/>
      <c r="AA380" s="3041"/>
      <c r="AF380" s="3041"/>
      <c r="AN380" s="3280"/>
      <c r="AZ380" s="3041"/>
      <c r="BD380" s="3281"/>
      <c r="BH380" s="3282"/>
      <c r="BJ380" s="2589"/>
      <c r="BK380" s="2126"/>
      <c r="BL380" s="2126"/>
      <c r="BM380" s="2126"/>
      <c r="BN380" s="2126"/>
      <c r="BO380" s="2126"/>
      <c r="BP380" s="2126"/>
      <c r="BQ380" s="2126"/>
      <c r="BR380" s="2126"/>
      <c r="BS380" s="2126"/>
    </row>
    <row r="381" spans="1:71" s="3030" customFormat="1">
      <c r="A381" s="2126"/>
      <c r="B381" s="2126"/>
      <c r="C381" s="2149"/>
      <c r="D381" s="3248"/>
      <c r="E381" s="525"/>
      <c r="F381" s="525"/>
      <c r="G381" s="526"/>
      <c r="K381" s="3280"/>
      <c r="P381" s="3041"/>
      <c r="X381" s="3280"/>
      <c r="AA381" s="3041"/>
      <c r="AF381" s="3041"/>
      <c r="AN381" s="3280"/>
      <c r="AZ381" s="3041"/>
      <c r="BD381" s="3281"/>
      <c r="BH381" s="3282"/>
      <c r="BJ381" s="2589"/>
      <c r="BK381" s="2126"/>
      <c r="BL381" s="2126"/>
      <c r="BM381" s="2126"/>
      <c r="BN381" s="2126"/>
      <c r="BO381" s="2126"/>
      <c r="BP381" s="2126"/>
      <c r="BQ381" s="2126"/>
      <c r="BR381" s="2126"/>
      <c r="BS381" s="2126"/>
    </row>
    <row r="382" spans="1:71" s="3030" customFormat="1">
      <c r="A382" s="2126"/>
      <c r="B382" s="2126"/>
      <c r="C382" s="2149"/>
      <c r="D382" s="3248"/>
      <c r="E382" s="525"/>
      <c r="F382" s="525"/>
      <c r="G382" s="526"/>
      <c r="K382" s="3280"/>
      <c r="P382" s="3041"/>
      <c r="X382" s="3280"/>
      <c r="AA382" s="3041"/>
      <c r="AF382" s="3041"/>
      <c r="AN382" s="3280"/>
      <c r="AZ382" s="3041"/>
      <c r="BD382" s="3281"/>
      <c r="BH382" s="3282"/>
      <c r="BJ382" s="2589"/>
      <c r="BK382" s="2126"/>
      <c r="BL382" s="2126"/>
      <c r="BM382" s="2126"/>
      <c r="BN382" s="2126"/>
      <c r="BO382" s="2126"/>
      <c r="BP382" s="2126"/>
      <c r="BQ382" s="2126"/>
      <c r="BR382" s="2126"/>
      <c r="BS382" s="2126"/>
    </row>
    <row r="383" spans="1:71" s="3030" customFormat="1">
      <c r="A383" s="2126"/>
      <c r="B383" s="2126"/>
      <c r="C383" s="2149"/>
      <c r="D383" s="3248"/>
      <c r="E383" s="525"/>
      <c r="F383" s="525"/>
      <c r="G383" s="526"/>
      <c r="K383" s="3280"/>
      <c r="P383" s="3041"/>
      <c r="X383" s="3280"/>
      <c r="AA383" s="3041"/>
      <c r="AF383" s="3041"/>
      <c r="AN383" s="3280"/>
      <c r="AZ383" s="3041"/>
      <c r="BD383" s="3281"/>
      <c r="BH383" s="3282"/>
      <c r="BJ383" s="2589"/>
      <c r="BK383" s="2126"/>
      <c r="BL383" s="2126"/>
      <c r="BM383" s="2126"/>
      <c r="BN383" s="2126"/>
      <c r="BO383" s="2126"/>
      <c r="BP383" s="2126"/>
      <c r="BQ383" s="2126"/>
      <c r="BR383" s="2126"/>
      <c r="BS383" s="2126"/>
    </row>
    <row r="384" spans="1:71" s="3030" customFormat="1">
      <c r="A384" s="2126"/>
      <c r="B384" s="2126"/>
      <c r="C384" s="2149"/>
      <c r="D384" s="3248"/>
      <c r="E384" s="525"/>
      <c r="F384" s="525"/>
      <c r="G384" s="526"/>
      <c r="K384" s="3280"/>
      <c r="P384" s="3041"/>
      <c r="X384" s="3280"/>
      <c r="AA384" s="3041"/>
      <c r="AF384" s="3041"/>
      <c r="AN384" s="3280"/>
      <c r="AZ384" s="3041"/>
      <c r="BD384" s="3281"/>
      <c r="BH384" s="3282"/>
      <c r="BJ384" s="2589"/>
      <c r="BK384" s="2126"/>
      <c r="BL384" s="2126"/>
      <c r="BM384" s="2126"/>
      <c r="BN384" s="2126"/>
      <c r="BO384" s="2126"/>
      <c r="BP384" s="2126"/>
      <c r="BQ384" s="2126"/>
      <c r="BR384" s="2126"/>
      <c r="BS384" s="2126"/>
    </row>
    <row r="385" spans="1:71" s="3030" customFormat="1">
      <c r="A385" s="2126"/>
      <c r="B385" s="2126"/>
      <c r="C385" s="2149"/>
      <c r="D385" s="3248"/>
      <c r="E385" s="525"/>
      <c r="F385" s="525"/>
      <c r="G385" s="526"/>
      <c r="K385" s="3280"/>
      <c r="P385" s="3041"/>
      <c r="X385" s="3280"/>
      <c r="AA385" s="3041"/>
      <c r="AF385" s="3041"/>
      <c r="AN385" s="3280"/>
      <c r="AZ385" s="3041"/>
      <c r="BD385" s="3281"/>
      <c r="BH385" s="3282"/>
      <c r="BJ385" s="2589"/>
      <c r="BK385" s="2126"/>
      <c r="BL385" s="2126"/>
      <c r="BM385" s="2126"/>
      <c r="BN385" s="2126"/>
      <c r="BO385" s="2126"/>
      <c r="BP385" s="2126"/>
      <c r="BQ385" s="2126"/>
      <c r="BR385" s="2126"/>
      <c r="BS385" s="2126"/>
    </row>
    <row r="386" spans="1:71" s="3030" customFormat="1">
      <c r="A386" s="2126"/>
      <c r="B386" s="2126"/>
      <c r="C386" s="2149"/>
      <c r="D386" s="3248"/>
      <c r="E386" s="525"/>
      <c r="F386" s="525"/>
      <c r="G386" s="526"/>
      <c r="K386" s="3280"/>
      <c r="P386" s="3041"/>
      <c r="X386" s="3280"/>
      <c r="AA386" s="3041"/>
      <c r="AF386" s="3041"/>
      <c r="AN386" s="3280"/>
      <c r="AZ386" s="3041"/>
      <c r="BD386" s="3281"/>
      <c r="BH386" s="3282"/>
      <c r="BJ386" s="2589"/>
      <c r="BK386" s="2126"/>
      <c r="BL386" s="2126"/>
      <c r="BM386" s="2126"/>
      <c r="BN386" s="2126"/>
      <c r="BO386" s="2126"/>
      <c r="BP386" s="2126"/>
      <c r="BQ386" s="2126"/>
      <c r="BR386" s="2126"/>
      <c r="BS386" s="2126"/>
    </row>
    <row r="387" spans="1:71" s="3030" customFormat="1">
      <c r="A387" s="2126"/>
      <c r="B387" s="2126"/>
      <c r="C387" s="2149"/>
      <c r="D387" s="3248"/>
      <c r="E387" s="525"/>
      <c r="F387" s="525"/>
      <c r="G387" s="526"/>
      <c r="K387" s="3280"/>
      <c r="P387" s="3041"/>
      <c r="X387" s="3280"/>
      <c r="AA387" s="3041"/>
      <c r="AF387" s="3041"/>
      <c r="AN387" s="3280"/>
      <c r="AZ387" s="3041"/>
      <c r="BD387" s="3281"/>
      <c r="BH387" s="3282"/>
      <c r="BJ387" s="2589"/>
      <c r="BK387" s="2126"/>
      <c r="BL387" s="2126"/>
      <c r="BM387" s="2126"/>
      <c r="BN387" s="2126"/>
      <c r="BO387" s="2126"/>
      <c r="BP387" s="2126"/>
      <c r="BQ387" s="2126"/>
      <c r="BR387" s="2126"/>
      <c r="BS387" s="2126"/>
    </row>
    <row r="388" spans="1:71" s="3030" customFormat="1">
      <c r="A388" s="2126"/>
      <c r="B388" s="2126"/>
      <c r="C388" s="2149"/>
      <c r="D388" s="3248"/>
      <c r="E388" s="525"/>
      <c r="F388" s="525"/>
      <c r="G388" s="526"/>
      <c r="K388" s="3280"/>
      <c r="P388" s="3041"/>
      <c r="X388" s="3280"/>
      <c r="AA388" s="3041"/>
      <c r="AF388" s="3041"/>
      <c r="AN388" s="3280"/>
      <c r="AZ388" s="3041"/>
      <c r="BD388" s="3281"/>
      <c r="BH388" s="3282"/>
      <c r="BJ388" s="2589"/>
      <c r="BK388" s="2126"/>
      <c r="BL388" s="2126"/>
      <c r="BM388" s="2126"/>
      <c r="BN388" s="2126"/>
      <c r="BO388" s="2126"/>
      <c r="BP388" s="2126"/>
      <c r="BQ388" s="2126"/>
      <c r="BR388" s="2126"/>
      <c r="BS388" s="2126"/>
    </row>
    <row r="389" spans="1:71" s="3030" customFormat="1">
      <c r="A389" s="2126"/>
      <c r="B389" s="2126"/>
      <c r="C389" s="2149"/>
      <c r="D389" s="3248"/>
      <c r="E389" s="525"/>
      <c r="F389" s="525"/>
      <c r="G389" s="526"/>
      <c r="K389" s="3280"/>
      <c r="P389" s="3041"/>
      <c r="X389" s="3280"/>
      <c r="AA389" s="3041"/>
      <c r="AF389" s="3041"/>
      <c r="AN389" s="3280"/>
      <c r="AZ389" s="3041"/>
      <c r="BD389" s="3281"/>
      <c r="BH389" s="3282"/>
      <c r="BJ389" s="2589"/>
      <c r="BK389" s="2126"/>
      <c r="BL389" s="2126"/>
      <c r="BM389" s="2126"/>
      <c r="BN389" s="2126"/>
      <c r="BO389" s="2126"/>
      <c r="BP389" s="2126"/>
      <c r="BQ389" s="2126"/>
      <c r="BR389" s="2126"/>
      <c r="BS389" s="2126"/>
    </row>
    <row r="390" spans="1:71" s="3030" customFormat="1">
      <c r="A390" s="2126"/>
      <c r="B390" s="2126"/>
      <c r="C390" s="2149"/>
      <c r="D390" s="3248"/>
      <c r="E390" s="525"/>
      <c r="F390" s="525"/>
      <c r="G390" s="526"/>
      <c r="K390" s="3280"/>
      <c r="P390" s="3041"/>
      <c r="X390" s="3280"/>
      <c r="AA390" s="3041"/>
      <c r="AF390" s="3041"/>
      <c r="AN390" s="3280"/>
      <c r="AZ390" s="3041"/>
      <c r="BD390" s="3281"/>
      <c r="BH390" s="3282"/>
      <c r="BJ390" s="2589"/>
      <c r="BK390" s="2126"/>
      <c r="BL390" s="2126"/>
      <c r="BM390" s="2126"/>
      <c r="BN390" s="2126"/>
      <c r="BO390" s="2126"/>
      <c r="BP390" s="2126"/>
      <c r="BQ390" s="2126"/>
      <c r="BR390" s="2126"/>
      <c r="BS390" s="2126"/>
    </row>
    <row r="391" spans="1:71" s="3030" customFormat="1">
      <c r="A391" s="2126"/>
      <c r="B391" s="2126"/>
      <c r="C391" s="2149"/>
      <c r="D391" s="3248"/>
      <c r="E391" s="525"/>
      <c r="F391" s="525"/>
      <c r="G391" s="526"/>
      <c r="K391" s="3280"/>
      <c r="P391" s="3041"/>
      <c r="X391" s="3280"/>
      <c r="AA391" s="3041"/>
      <c r="AF391" s="3041"/>
      <c r="AN391" s="3280"/>
      <c r="AZ391" s="3041"/>
      <c r="BD391" s="3281"/>
      <c r="BH391" s="3282"/>
      <c r="BJ391" s="2589"/>
      <c r="BK391" s="2126"/>
      <c r="BL391" s="2126"/>
      <c r="BM391" s="2126"/>
      <c r="BN391" s="2126"/>
      <c r="BO391" s="2126"/>
      <c r="BP391" s="2126"/>
      <c r="BQ391" s="2126"/>
      <c r="BR391" s="2126"/>
      <c r="BS391" s="2126"/>
    </row>
    <row r="392" spans="1:71" s="3030" customFormat="1">
      <c r="A392" s="2126"/>
      <c r="B392" s="2126"/>
      <c r="C392" s="2149"/>
      <c r="D392" s="3248"/>
      <c r="E392" s="525"/>
      <c r="F392" s="525"/>
      <c r="G392" s="526"/>
      <c r="K392" s="3280"/>
      <c r="P392" s="3041"/>
      <c r="X392" s="3280"/>
      <c r="AA392" s="3041"/>
      <c r="AF392" s="3041"/>
      <c r="AN392" s="3280"/>
      <c r="AZ392" s="3041"/>
      <c r="BD392" s="3281"/>
      <c r="BH392" s="3282"/>
      <c r="BJ392" s="2589"/>
      <c r="BK392" s="2126"/>
      <c r="BL392" s="2126"/>
      <c r="BM392" s="2126"/>
      <c r="BN392" s="2126"/>
      <c r="BO392" s="2126"/>
      <c r="BP392" s="2126"/>
      <c r="BQ392" s="2126"/>
      <c r="BR392" s="2126"/>
      <c r="BS392" s="2126"/>
    </row>
    <row r="393" spans="1:71" s="3030" customFormat="1">
      <c r="A393" s="2126"/>
      <c r="B393" s="2126"/>
      <c r="C393" s="2149"/>
      <c r="D393" s="3248"/>
      <c r="E393" s="525"/>
      <c r="F393" s="525"/>
      <c r="G393" s="526"/>
      <c r="K393" s="3280"/>
      <c r="P393" s="3041"/>
      <c r="X393" s="3280"/>
      <c r="AA393" s="3041"/>
      <c r="AF393" s="3041"/>
      <c r="AN393" s="3280"/>
      <c r="AZ393" s="3041"/>
      <c r="BD393" s="3281"/>
      <c r="BH393" s="3282"/>
      <c r="BJ393" s="2589"/>
      <c r="BK393" s="2126"/>
      <c r="BL393" s="2126"/>
      <c r="BM393" s="2126"/>
      <c r="BN393" s="2126"/>
      <c r="BO393" s="2126"/>
      <c r="BP393" s="2126"/>
      <c r="BQ393" s="2126"/>
      <c r="BR393" s="2126"/>
      <c r="BS393" s="2126"/>
    </row>
    <row r="394" spans="1:71" s="3030" customFormat="1">
      <c r="A394" s="2126"/>
      <c r="B394" s="2126"/>
      <c r="C394" s="2149"/>
      <c r="D394" s="3248"/>
      <c r="E394" s="525"/>
      <c r="F394" s="525"/>
      <c r="G394" s="526"/>
      <c r="K394" s="3280"/>
      <c r="P394" s="3041"/>
      <c r="X394" s="3280"/>
      <c r="AA394" s="3041"/>
      <c r="AF394" s="3041"/>
      <c r="AN394" s="3280"/>
      <c r="AZ394" s="3041"/>
      <c r="BD394" s="3281"/>
      <c r="BH394" s="3282"/>
      <c r="BJ394" s="2589"/>
      <c r="BK394" s="2126"/>
      <c r="BL394" s="2126"/>
      <c r="BM394" s="2126"/>
      <c r="BN394" s="2126"/>
      <c r="BO394" s="2126"/>
      <c r="BP394" s="2126"/>
      <c r="BQ394" s="2126"/>
      <c r="BR394" s="2126"/>
      <c r="BS394" s="2126"/>
    </row>
    <row r="395" spans="1:71" s="3030" customFormat="1">
      <c r="A395" s="2126"/>
      <c r="B395" s="2126"/>
      <c r="C395" s="2149"/>
      <c r="D395" s="3248"/>
      <c r="E395" s="525"/>
      <c r="F395" s="525"/>
      <c r="G395" s="526"/>
      <c r="K395" s="3280"/>
      <c r="P395" s="3041"/>
      <c r="X395" s="3280"/>
      <c r="AA395" s="3041"/>
      <c r="AF395" s="3041"/>
      <c r="AN395" s="3280"/>
      <c r="AZ395" s="3041"/>
      <c r="BD395" s="3281"/>
      <c r="BH395" s="3282"/>
      <c r="BJ395" s="2589"/>
      <c r="BK395" s="2126"/>
      <c r="BL395" s="2126"/>
      <c r="BM395" s="2126"/>
      <c r="BN395" s="2126"/>
      <c r="BO395" s="2126"/>
      <c r="BP395" s="2126"/>
      <c r="BQ395" s="2126"/>
      <c r="BR395" s="2126"/>
      <c r="BS395" s="2126"/>
    </row>
    <row r="396" spans="1:71" s="3030" customFormat="1">
      <c r="A396" s="2126"/>
      <c r="B396" s="2126"/>
      <c r="C396" s="2149"/>
      <c r="D396" s="3248"/>
      <c r="E396" s="525"/>
      <c r="F396" s="525"/>
      <c r="G396" s="526"/>
      <c r="K396" s="3280"/>
      <c r="P396" s="3041"/>
      <c r="X396" s="3280"/>
      <c r="AA396" s="3041"/>
      <c r="AF396" s="3041"/>
      <c r="AN396" s="3280"/>
      <c r="AZ396" s="3041"/>
      <c r="BD396" s="3281"/>
      <c r="BH396" s="3282"/>
      <c r="BJ396" s="2589"/>
      <c r="BK396" s="2126"/>
      <c r="BL396" s="2126"/>
      <c r="BM396" s="2126"/>
      <c r="BN396" s="2126"/>
      <c r="BO396" s="2126"/>
      <c r="BP396" s="2126"/>
      <c r="BQ396" s="2126"/>
      <c r="BR396" s="2126"/>
      <c r="BS396" s="2126"/>
    </row>
    <row r="397" spans="1:71" s="3030" customFormat="1">
      <c r="A397" s="2126"/>
      <c r="B397" s="2126"/>
      <c r="C397" s="2149"/>
      <c r="D397" s="3248"/>
      <c r="E397" s="525"/>
      <c r="F397" s="525"/>
      <c r="G397" s="526"/>
      <c r="K397" s="3280"/>
      <c r="P397" s="3041"/>
      <c r="X397" s="3280"/>
      <c r="AA397" s="3041"/>
      <c r="AF397" s="3041"/>
      <c r="AN397" s="3280"/>
      <c r="AZ397" s="3041"/>
      <c r="BD397" s="3281"/>
      <c r="BH397" s="3282"/>
      <c r="BJ397" s="2589"/>
      <c r="BK397" s="2126"/>
      <c r="BL397" s="2126"/>
      <c r="BM397" s="2126"/>
      <c r="BN397" s="2126"/>
      <c r="BO397" s="2126"/>
      <c r="BP397" s="2126"/>
      <c r="BQ397" s="2126"/>
      <c r="BR397" s="2126"/>
      <c r="BS397" s="2126"/>
    </row>
    <row r="398" spans="1:71" s="3030" customFormat="1">
      <c r="A398" s="2126"/>
      <c r="B398" s="2126"/>
      <c r="C398" s="2149"/>
      <c r="D398" s="3248"/>
      <c r="E398" s="525"/>
      <c r="F398" s="525"/>
      <c r="G398" s="526"/>
      <c r="K398" s="3280"/>
      <c r="P398" s="3041"/>
      <c r="X398" s="3280"/>
      <c r="AA398" s="3041"/>
      <c r="AF398" s="3041"/>
      <c r="AN398" s="3280"/>
      <c r="AZ398" s="3041"/>
      <c r="BD398" s="3281"/>
      <c r="BH398" s="3282"/>
      <c r="BJ398" s="2589"/>
      <c r="BK398" s="2126"/>
      <c r="BL398" s="2126"/>
      <c r="BM398" s="2126"/>
      <c r="BN398" s="2126"/>
      <c r="BO398" s="2126"/>
      <c r="BP398" s="2126"/>
      <c r="BQ398" s="2126"/>
      <c r="BR398" s="2126"/>
      <c r="BS398" s="2126"/>
    </row>
    <row r="399" spans="1:71" s="3030" customFormat="1">
      <c r="A399" s="2126"/>
      <c r="B399" s="2126"/>
      <c r="C399" s="2149"/>
      <c r="D399" s="3248"/>
      <c r="E399" s="525"/>
      <c r="F399" s="525"/>
      <c r="G399" s="526"/>
      <c r="K399" s="3280"/>
      <c r="P399" s="3041"/>
      <c r="X399" s="3280"/>
      <c r="AA399" s="3041"/>
      <c r="AF399" s="3041"/>
      <c r="AN399" s="3280"/>
      <c r="AZ399" s="3041"/>
      <c r="BD399" s="3281"/>
      <c r="BH399" s="3282"/>
      <c r="BJ399" s="2589"/>
      <c r="BK399" s="2126"/>
      <c r="BL399" s="2126"/>
      <c r="BM399" s="2126"/>
      <c r="BN399" s="2126"/>
      <c r="BO399" s="2126"/>
      <c r="BP399" s="2126"/>
      <c r="BQ399" s="2126"/>
      <c r="BR399" s="2126"/>
      <c r="BS399" s="2126"/>
    </row>
    <row r="400" spans="1:71" s="3030" customFormat="1">
      <c r="A400" s="2126"/>
      <c r="B400" s="2126"/>
      <c r="C400" s="2149"/>
      <c r="D400" s="3248"/>
      <c r="E400" s="525"/>
      <c r="F400" s="525"/>
      <c r="G400" s="526"/>
      <c r="K400" s="3280"/>
      <c r="P400" s="3041"/>
      <c r="X400" s="3280"/>
      <c r="AA400" s="3041"/>
      <c r="AF400" s="3041"/>
      <c r="AN400" s="3280"/>
      <c r="AZ400" s="3041"/>
      <c r="BD400" s="3281"/>
      <c r="BH400" s="3282"/>
      <c r="BJ400" s="2589"/>
      <c r="BK400" s="2126"/>
      <c r="BL400" s="2126"/>
      <c r="BM400" s="2126"/>
      <c r="BN400" s="2126"/>
      <c r="BO400" s="2126"/>
      <c r="BP400" s="2126"/>
      <c r="BQ400" s="2126"/>
      <c r="BR400" s="2126"/>
      <c r="BS400" s="2126"/>
    </row>
    <row r="401" spans="1:71" s="3030" customFormat="1">
      <c r="A401" s="2126"/>
      <c r="B401" s="2126"/>
      <c r="C401" s="2149"/>
      <c r="D401" s="3248"/>
      <c r="E401" s="525"/>
      <c r="F401" s="525"/>
      <c r="G401" s="526"/>
      <c r="K401" s="3280"/>
      <c r="P401" s="3041"/>
      <c r="X401" s="3280"/>
      <c r="AA401" s="3041"/>
      <c r="AF401" s="3041"/>
      <c r="AN401" s="3280"/>
      <c r="AZ401" s="3041"/>
      <c r="BD401" s="3281"/>
      <c r="BH401" s="3282"/>
      <c r="BJ401" s="2589"/>
      <c r="BK401" s="2126"/>
      <c r="BL401" s="2126"/>
      <c r="BM401" s="2126"/>
      <c r="BN401" s="2126"/>
      <c r="BO401" s="2126"/>
      <c r="BP401" s="2126"/>
      <c r="BQ401" s="2126"/>
      <c r="BR401" s="2126"/>
      <c r="BS401" s="2126"/>
    </row>
    <row r="402" spans="1:71" s="3030" customFormat="1">
      <c r="A402" s="2126"/>
      <c r="B402" s="2126"/>
      <c r="C402" s="2149"/>
      <c r="D402" s="3248"/>
      <c r="E402" s="525"/>
      <c r="F402" s="525"/>
      <c r="G402" s="526"/>
      <c r="K402" s="3280"/>
      <c r="P402" s="3041"/>
      <c r="X402" s="3280"/>
      <c r="AA402" s="3041"/>
      <c r="AF402" s="3041"/>
      <c r="AN402" s="3280"/>
      <c r="AZ402" s="3041"/>
      <c r="BD402" s="3281"/>
      <c r="BH402" s="3282"/>
      <c r="BJ402" s="2589"/>
      <c r="BK402" s="2126"/>
      <c r="BL402" s="2126"/>
      <c r="BM402" s="2126"/>
      <c r="BN402" s="2126"/>
      <c r="BO402" s="2126"/>
      <c r="BP402" s="2126"/>
      <c r="BQ402" s="2126"/>
      <c r="BR402" s="2126"/>
      <c r="BS402" s="2126"/>
    </row>
    <row r="403" spans="1:71" s="3030" customFormat="1">
      <c r="A403" s="2126"/>
      <c r="B403" s="2126"/>
      <c r="C403" s="2149"/>
      <c r="D403" s="3248"/>
      <c r="E403" s="525"/>
      <c r="F403" s="525"/>
      <c r="G403" s="526"/>
      <c r="K403" s="3280"/>
      <c r="P403" s="3041"/>
      <c r="X403" s="3280"/>
      <c r="AA403" s="3041"/>
      <c r="AF403" s="3041"/>
      <c r="AN403" s="3280"/>
      <c r="AZ403" s="3041"/>
      <c r="BD403" s="3281"/>
      <c r="BH403" s="3282"/>
      <c r="BJ403" s="2589"/>
      <c r="BK403" s="2126"/>
      <c r="BL403" s="2126"/>
      <c r="BM403" s="2126"/>
      <c r="BN403" s="2126"/>
      <c r="BO403" s="2126"/>
      <c r="BP403" s="2126"/>
      <c r="BQ403" s="2126"/>
      <c r="BR403" s="2126"/>
      <c r="BS403" s="2126"/>
    </row>
    <row r="404" spans="1:71" s="3030" customFormat="1">
      <c r="A404" s="2126"/>
      <c r="B404" s="2126"/>
      <c r="C404" s="2149"/>
      <c r="D404" s="3248"/>
      <c r="E404" s="525"/>
      <c r="F404" s="525"/>
      <c r="G404" s="526"/>
      <c r="K404" s="3280"/>
      <c r="P404" s="3041"/>
      <c r="X404" s="3280"/>
      <c r="AA404" s="3041"/>
      <c r="AF404" s="3041"/>
      <c r="AN404" s="3280"/>
      <c r="AZ404" s="3041"/>
      <c r="BD404" s="3281"/>
      <c r="BH404" s="3282"/>
      <c r="BJ404" s="2589"/>
      <c r="BK404" s="2126"/>
      <c r="BL404" s="2126"/>
      <c r="BM404" s="2126"/>
      <c r="BN404" s="2126"/>
      <c r="BO404" s="2126"/>
      <c r="BP404" s="2126"/>
      <c r="BQ404" s="2126"/>
      <c r="BR404" s="2126"/>
      <c r="BS404" s="2126"/>
    </row>
    <row r="405" spans="1:71" s="3030" customFormat="1">
      <c r="A405" s="2126"/>
      <c r="B405" s="2126"/>
      <c r="C405" s="2149"/>
      <c r="D405" s="3248"/>
      <c r="E405" s="525"/>
      <c r="F405" s="525"/>
      <c r="G405" s="526"/>
      <c r="K405" s="3280"/>
      <c r="P405" s="3041"/>
      <c r="X405" s="3280"/>
      <c r="AA405" s="3041"/>
      <c r="AF405" s="3041"/>
      <c r="AN405" s="3280"/>
      <c r="AZ405" s="3041"/>
      <c r="BD405" s="3281"/>
      <c r="BH405" s="3282"/>
      <c r="BJ405" s="2589"/>
      <c r="BK405" s="2126"/>
      <c r="BL405" s="2126"/>
      <c r="BM405" s="2126"/>
      <c r="BN405" s="2126"/>
      <c r="BO405" s="2126"/>
      <c r="BP405" s="2126"/>
      <c r="BQ405" s="2126"/>
      <c r="BR405" s="2126"/>
      <c r="BS405" s="2126"/>
    </row>
    <row r="406" spans="1:71" s="3030" customFormat="1">
      <c r="A406" s="2126"/>
      <c r="B406" s="2126"/>
      <c r="C406" s="2149"/>
      <c r="D406" s="3248"/>
      <c r="E406" s="525"/>
      <c r="F406" s="525"/>
      <c r="G406" s="526"/>
      <c r="K406" s="3280"/>
      <c r="P406" s="3041"/>
      <c r="X406" s="3280"/>
      <c r="AA406" s="3041"/>
      <c r="AF406" s="3041"/>
      <c r="AN406" s="3280"/>
      <c r="AZ406" s="3041"/>
      <c r="BD406" s="3281"/>
      <c r="BH406" s="3282"/>
      <c r="BJ406" s="2589"/>
      <c r="BK406" s="2126"/>
      <c r="BL406" s="2126"/>
      <c r="BM406" s="2126"/>
      <c r="BN406" s="2126"/>
      <c r="BO406" s="2126"/>
      <c r="BP406" s="2126"/>
      <c r="BQ406" s="2126"/>
      <c r="BR406" s="2126"/>
      <c r="BS406" s="2126"/>
    </row>
    <row r="407" spans="1:71" s="3030" customFormat="1">
      <c r="A407" s="2126"/>
      <c r="B407" s="2126"/>
      <c r="C407" s="2149"/>
      <c r="D407" s="3248"/>
      <c r="E407" s="525"/>
      <c r="F407" s="525"/>
      <c r="G407" s="526"/>
      <c r="K407" s="3280"/>
      <c r="P407" s="3041"/>
      <c r="X407" s="3280"/>
      <c r="AA407" s="3041"/>
      <c r="AF407" s="3041"/>
      <c r="AN407" s="3280"/>
      <c r="AZ407" s="3041"/>
      <c r="BD407" s="3281"/>
      <c r="BH407" s="3282"/>
      <c r="BJ407" s="2589"/>
      <c r="BK407" s="2126"/>
      <c r="BL407" s="2126"/>
      <c r="BM407" s="2126"/>
      <c r="BN407" s="2126"/>
      <c r="BO407" s="2126"/>
      <c r="BP407" s="2126"/>
      <c r="BQ407" s="2126"/>
      <c r="BR407" s="2126"/>
      <c r="BS407" s="2126"/>
    </row>
    <row r="408" spans="1:71" s="3030" customFormat="1">
      <c r="A408" s="2126"/>
      <c r="B408" s="2126"/>
      <c r="C408" s="2149"/>
      <c r="D408" s="3248"/>
      <c r="E408" s="525"/>
      <c r="F408" s="525"/>
      <c r="G408" s="526"/>
      <c r="K408" s="3280"/>
      <c r="P408" s="3041"/>
      <c r="X408" s="3280"/>
      <c r="AA408" s="3041"/>
      <c r="AF408" s="3041"/>
      <c r="AN408" s="3280"/>
      <c r="AZ408" s="3041"/>
      <c r="BD408" s="3281"/>
      <c r="BH408" s="3282"/>
      <c r="BJ408" s="2589"/>
      <c r="BK408" s="2126"/>
      <c r="BL408" s="2126"/>
      <c r="BM408" s="2126"/>
      <c r="BN408" s="2126"/>
      <c r="BO408" s="2126"/>
      <c r="BP408" s="2126"/>
      <c r="BQ408" s="2126"/>
      <c r="BR408" s="2126"/>
      <c r="BS408" s="2126"/>
    </row>
    <row r="409" spans="1:71" s="3030" customFormat="1">
      <c r="A409" s="2126"/>
      <c r="B409" s="2126"/>
      <c r="C409" s="2149"/>
      <c r="D409" s="3248"/>
      <c r="E409" s="525"/>
      <c r="F409" s="525"/>
      <c r="G409" s="526"/>
      <c r="K409" s="3280"/>
      <c r="P409" s="3041"/>
      <c r="X409" s="3280"/>
      <c r="AA409" s="3041"/>
      <c r="AF409" s="3041"/>
      <c r="AN409" s="3280"/>
      <c r="AZ409" s="3041"/>
      <c r="BD409" s="3281"/>
      <c r="BH409" s="3282"/>
      <c r="BJ409" s="2589"/>
      <c r="BK409" s="2126"/>
      <c r="BL409" s="2126"/>
      <c r="BM409" s="2126"/>
      <c r="BN409" s="2126"/>
      <c r="BO409" s="2126"/>
      <c r="BP409" s="2126"/>
      <c r="BQ409" s="2126"/>
      <c r="BR409" s="2126"/>
      <c r="BS409" s="2126"/>
    </row>
    <row r="410" spans="1:71" s="3030" customFormat="1">
      <c r="A410" s="2126"/>
      <c r="B410" s="2126"/>
      <c r="C410" s="2149"/>
      <c r="D410" s="3248"/>
      <c r="E410" s="525"/>
      <c r="F410" s="525"/>
      <c r="G410" s="526"/>
      <c r="K410" s="3280"/>
      <c r="P410" s="3041"/>
      <c r="X410" s="3280"/>
      <c r="AA410" s="3041"/>
      <c r="AF410" s="3041"/>
      <c r="AN410" s="3280"/>
      <c r="AZ410" s="3041"/>
      <c r="BD410" s="3281"/>
      <c r="BH410" s="3282"/>
      <c r="BJ410" s="2589"/>
      <c r="BK410" s="2126"/>
      <c r="BL410" s="2126"/>
      <c r="BM410" s="2126"/>
      <c r="BN410" s="2126"/>
      <c r="BO410" s="2126"/>
      <c r="BP410" s="2126"/>
      <c r="BQ410" s="2126"/>
      <c r="BR410" s="2126"/>
      <c r="BS410" s="2126"/>
    </row>
    <row r="411" spans="1:71" s="3030" customFormat="1">
      <c r="A411" s="2126"/>
      <c r="B411" s="2126"/>
      <c r="C411" s="2149"/>
      <c r="D411" s="3248"/>
      <c r="E411" s="525"/>
      <c r="F411" s="525"/>
      <c r="G411" s="526"/>
      <c r="K411" s="3280"/>
      <c r="P411" s="3041"/>
      <c r="X411" s="3280"/>
      <c r="AA411" s="3041"/>
      <c r="AF411" s="3041"/>
      <c r="AN411" s="3280"/>
      <c r="AZ411" s="3041"/>
      <c r="BD411" s="3281"/>
      <c r="BH411" s="3282"/>
      <c r="BJ411" s="2589"/>
      <c r="BK411" s="2126"/>
      <c r="BL411" s="2126"/>
      <c r="BM411" s="2126"/>
      <c r="BN411" s="2126"/>
      <c r="BO411" s="2126"/>
      <c r="BP411" s="2126"/>
      <c r="BQ411" s="2126"/>
      <c r="BR411" s="2126"/>
      <c r="BS411" s="2126"/>
    </row>
    <row r="412" spans="1:71" s="3030" customFormat="1">
      <c r="A412" s="2126"/>
      <c r="B412" s="2126"/>
      <c r="C412" s="2149"/>
      <c r="D412" s="3248"/>
      <c r="E412" s="525"/>
      <c r="F412" s="525"/>
      <c r="G412" s="526"/>
      <c r="K412" s="3280"/>
      <c r="P412" s="3041"/>
      <c r="X412" s="3280"/>
      <c r="AA412" s="3041"/>
      <c r="AF412" s="3041"/>
      <c r="AN412" s="3280"/>
      <c r="AZ412" s="3041"/>
      <c r="BD412" s="3281"/>
      <c r="BH412" s="3282"/>
      <c r="BJ412" s="2589"/>
      <c r="BK412" s="2126"/>
      <c r="BL412" s="2126"/>
      <c r="BM412" s="2126"/>
      <c r="BN412" s="2126"/>
      <c r="BO412" s="2126"/>
      <c r="BP412" s="2126"/>
      <c r="BQ412" s="2126"/>
      <c r="BR412" s="2126"/>
      <c r="BS412" s="2126"/>
    </row>
    <row r="413" spans="1:71" s="3030" customFormat="1">
      <c r="A413" s="2126"/>
      <c r="B413" s="2126"/>
      <c r="C413" s="2149"/>
      <c r="D413" s="3248"/>
      <c r="E413" s="525"/>
      <c r="F413" s="525"/>
      <c r="G413" s="526"/>
      <c r="K413" s="3280"/>
      <c r="P413" s="3041"/>
      <c r="X413" s="3280"/>
      <c r="AA413" s="3041"/>
      <c r="AF413" s="3041"/>
      <c r="AN413" s="3280"/>
      <c r="AZ413" s="3041"/>
      <c r="BD413" s="3281"/>
      <c r="BH413" s="3282"/>
      <c r="BJ413" s="2589"/>
      <c r="BK413" s="2126"/>
      <c r="BL413" s="2126"/>
      <c r="BM413" s="2126"/>
      <c r="BN413" s="2126"/>
      <c r="BO413" s="2126"/>
      <c r="BP413" s="2126"/>
      <c r="BQ413" s="2126"/>
      <c r="BR413" s="2126"/>
      <c r="BS413" s="2126"/>
    </row>
    <row r="414" spans="1:71" s="3030" customFormat="1">
      <c r="A414" s="2126"/>
      <c r="B414" s="2126"/>
      <c r="C414" s="2149"/>
      <c r="D414" s="3248"/>
      <c r="E414" s="525"/>
      <c r="F414" s="525"/>
      <c r="G414" s="526"/>
      <c r="K414" s="3280"/>
      <c r="P414" s="3041"/>
      <c r="X414" s="3280"/>
      <c r="AA414" s="3041"/>
      <c r="AF414" s="3041"/>
      <c r="AN414" s="3280"/>
      <c r="AZ414" s="3041"/>
      <c r="BD414" s="3281"/>
      <c r="BH414" s="3282"/>
      <c r="BJ414" s="2589"/>
      <c r="BK414" s="2126"/>
      <c r="BL414" s="2126"/>
      <c r="BM414" s="2126"/>
      <c r="BN414" s="2126"/>
      <c r="BO414" s="2126"/>
      <c r="BP414" s="2126"/>
      <c r="BQ414" s="2126"/>
      <c r="BR414" s="2126"/>
      <c r="BS414" s="2126"/>
    </row>
    <row r="415" spans="1:71" s="3030" customFormat="1">
      <c r="A415" s="2126"/>
      <c r="B415" s="2126"/>
      <c r="C415" s="2149"/>
      <c r="D415" s="3248"/>
      <c r="E415" s="525"/>
      <c r="F415" s="525"/>
      <c r="G415" s="526"/>
      <c r="K415" s="3280"/>
      <c r="P415" s="3041"/>
      <c r="X415" s="3280"/>
      <c r="AA415" s="3041"/>
      <c r="AF415" s="3041"/>
      <c r="AN415" s="3280"/>
      <c r="AZ415" s="3041"/>
      <c r="BD415" s="3281"/>
      <c r="BH415" s="3282"/>
      <c r="BJ415" s="2589"/>
      <c r="BK415" s="2126"/>
      <c r="BL415" s="2126"/>
      <c r="BM415" s="2126"/>
      <c r="BN415" s="2126"/>
      <c r="BO415" s="2126"/>
      <c r="BP415" s="2126"/>
      <c r="BQ415" s="2126"/>
      <c r="BR415" s="2126"/>
      <c r="BS415" s="2126"/>
    </row>
    <row r="416" spans="1:71" s="3030" customFormat="1">
      <c r="A416" s="2126"/>
      <c r="B416" s="2126"/>
      <c r="C416" s="2149"/>
      <c r="D416" s="3248"/>
      <c r="E416" s="525"/>
      <c r="F416" s="525"/>
      <c r="G416" s="526"/>
      <c r="K416" s="3280"/>
      <c r="P416" s="3041"/>
      <c r="X416" s="3280"/>
      <c r="AA416" s="3041"/>
      <c r="AF416" s="3041"/>
      <c r="AN416" s="3280"/>
      <c r="AZ416" s="3041"/>
      <c r="BD416" s="3281"/>
      <c r="BH416" s="3282"/>
      <c r="BJ416" s="2589"/>
      <c r="BK416" s="2126"/>
      <c r="BL416" s="2126"/>
      <c r="BM416" s="2126"/>
      <c r="BN416" s="2126"/>
      <c r="BO416" s="2126"/>
      <c r="BP416" s="2126"/>
      <c r="BQ416" s="2126"/>
      <c r="BR416" s="2126"/>
      <c r="BS416" s="2126"/>
    </row>
    <row r="417" spans="1:71" s="3030" customFormat="1">
      <c r="A417" s="2126"/>
      <c r="B417" s="2126"/>
      <c r="C417" s="2149"/>
      <c r="D417" s="3248"/>
      <c r="E417" s="525"/>
      <c r="F417" s="525"/>
      <c r="G417" s="526"/>
      <c r="K417" s="3280"/>
      <c r="P417" s="3041"/>
      <c r="X417" s="3280"/>
      <c r="AA417" s="3041"/>
      <c r="AF417" s="3041"/>
      <c r="AN417" s="3280"/>
      <c r="AZ417" s="3041"/>
      <c r="BD417" s="3281"/>
      <c r="BH417" s="3282"/>
      <c r="BJ417" s="2589"/>
      <c r="BK417" s="2126"/>
      <c r="BL417" s="2126"/>
      <c r="BM417" s="2126"/>
      <c r="BN417" s="2126"/>
      <c r="BO417" s="2126"/>
      <c r="BP417" s="2126"/>
      <c r="BQ417" s="2126"/>
      <c r="BR417" s="2126"/>
      <c r="BS417" s="2126"/>
    </row>
    <row r="418" spans="1:71" s="3030" customFormat="1">
      <c r="A418" s="2126"/>
      <c r="B418" s="2126"/>
      <c r="C418" s="2149"/>
      <c r="D418" s="3248"/>
      <c r="E418" s="525"/>
      <c r="F418" s="525"/>
      <c r="G418" s="526"/>
      <c r="K418" s="3280"/>
      <c r="P418" s="3041"/>
      <c r="X418" s="3280"/>
      <c r="AA418" s="3041"/>
      <c r="AF418" s="3041"/>
      <c r="AN418" s="3280"/>
      <c r="AZ418" s="3041"/>
      <c r="BD418" s="3281"/>
      <c r="BH418" s="3282"/>
      <c r="BJ418" s="2589"/>
      <c r="BK418" s="2126"/>
      <c r="BL418" s="2126"/>
      <c r="BM418" s="2126"/>
      <c r="BN418" s="2126"/>
      <c r="BO418" s="2126"/>
      <c r="BP418" s="2126"/>
      <c r="BQ418" s="2126"/>
      <c r="BR418" s="2126"/>
      <c r="BS418" s="2126"/>
    </row>
    <row r="419" spans="1:71" s="3030" customFormat="1">
      <c r="A419" s="2126"/>
      <c r="B419" s="2126"/>
      <c r="C419" s="2149"/>
      <c r="D419" s="3248"/>
      <c r="E419" s="525"/>
      <c r="F419" s="525"/>
      <c r="G419" s="526"/>
      <c r="K419" s="3280"/>
      <c r="P419" s="3041"/>
      <c r="X419" s="3280"/>
      <c r="AA419" s="3041"/>
      <c r="AF419" s="3041"/>
      <c r="AN419" s="3280"/>
      <c r="AZ419" s="3041"/>
      <c r="BD419" s="3281"/>
      <c r="BH419" s="3282"/>
      <c r="BJ419" s="2589"/>
      <c r="BK419" s="2126"/>
      <c r="BL419" s="2126"/>
      <c r="BM419" s="2126"/>
      <c r="BN419" s="2126"/>
      <c r="BO419" s="2126"/>
      <c r="BP419" s="2126"/>
      <c r="BQ419" s="2126"/>
      <c r="BR419" s="2126"/>
      <c r="BS419" s="2126"/>
    </row>
    <row r="420" spans="1:71" s="3030" customFormat="1">
      <c r="A420" s="2126"/>
      <c r="B420" s="2126"/>
      <c r="C420" s="2149"/>
      <c r="D420" s="3248"/>
      <c r="E420" s="525"/>
      <c r="F420" s="525"/>
      <c r="G420" s="526"/>
      <c r="K420" s="3280"/>
      <c r="P420" s="3041"/>
      <c r="X420" s="3280"/>
      <c r="AA420" s="3041"/>
      <c r="AF420" s="3041"/>
      <c r="AN420" s="3280"/>
      <c r="AZ420" s="3041"/>
      <c r="BD420" s="3281"/>
      <c r="BH420" s="3282"/>
      <c r="BJ420" s="2589"/>
      <c r="BK420" s="2126"/>
      <c r="BL420" s="2126"/>
      <c r="BM420" s="2126"/>
      <c r="BN420" s="2126"/>
      <c r="BO420" s="2126"/>
      <c r="BP420" s="2126"/>
      <c r="BQ420" s="2126"/>
      <c r="BR420" s="2126"/>
      <c r="BS420" s="2126"/>
    </row>
    <row r="421" spans="1:71" s="3030" customFormat="1">
      <c r="A421" s="2126"/>
      <c r="B421" s="2126"/>
      <c r="C421" s="2149"/>
      <c r="D421" s="3248"/>
      <c r="E421" s="525"/>
      <c r="F421" s="525"/>
      <c r="G421" s="526"/>
      <c r="K421" s="3280"/>
      <c r="P421" s="3041"/>
      <c r="X421" s="3280"/>
      <c r="AA421" s="3041"/>
      <c r="AF421" s="3041"/>
      <c r="AN421" s="3280"/>
      <c r="AZ421" s="3041"/>
      <c r="BD421" s="3281"/>
      <c r="BH421" s="3282"/>
      <c r="BJ421" s="2589"/>
      <c r="BK421" s="2126"/>
      <c r="BL421" s="2126"/>
      <c r="BM421" s="2126"/>
      <c r="BN421" s="2126"/>
      <c r="BO421" s="2126"/>
      <c r="BP421" s="2126"/>
      <c r="BQ421" s="2126"/>
      <c r="BR421" s="2126"/>
      <c r="BS421" s="2126"/>
    </row>
    <row r="422" spans="1:71" s="3030" customFormat="1">
      <c r="A422" s="2126"/>
      <c r="B422" s="2126"/>
      <c r="C422" s="2149"/>
      <c r="D422" s="3248"/>
      <c r="E422" s="525"/>
      <c r="F422" s="525"/>
      <c r="G422" s="526"/>
      <c r="K422" s="3280"/>
      <c r="P422" s="3041"/>
      <c r="X422" s="3280"/>
      <c r="AA422" s="3041"/>
      <c r="AF422" s="3041"/>
      <c r="AN422" s="3280"/>
      <c r="AZ422" s="3041"/>
      <c r="BD422" s="3281"/>
      <c r="BH422" s="3282"/>
      <c r="BJ422" s="2589"/>
      <c r="BK422" s="2126"/>
      <c r="BL422" s="2126"/>
      <c r="BM422" s="2126"/>
      <c r="BN422" s="2126"/>
      <c r="BO422" s="2126"/>
      <c r="BP422" s="2126"/>
      <c r="BQ422" s="2126"/>
      <c r="BR422" s="2126"/>
      <c r="BS422" s="2126"/>
    </row>
    <row r="423" spans="1:71" s="3030" customFormat="1">
      <c r="A423" s="2126"/>
      <c r="B423" s="2126"/>
      <c r="C423" s="2149"/>
      <c r="D423" s="3248"/>
      <c r="E423" s="525"/>
      <c r="F423" s="525"/>
      <c r="G423" s="526"/>
      <c r="K423" s="3280"/>
      <c r="P423" s="3041"/>
      <c r="X423" s="3280"/>
      <c r="AA423" s="3041"/>
      <c r="AF423" s="3041"/>
      <c r="AN423" s="3280"/>
      <c r="AZ423" s="3041"/>
      <c r="BD423" s="3281"/>
      <c r="BH423" s="3282"/>
      <c r="BJ423" s="2589"/>
      <c r="BK423" s="2126"/>
      <c r="BL423" s="2126"/>
      <c r="BM423" s="2126"/>
      <c r="BN423" s="2126"/>
      <c r="BO423" s="2126"/>
      <c r="BP423" s="2126"/>
      <c r="BQ423" s="2126"/>
      <c r="BR423" s="2126"/>
      <c r="BS423" s="2126"/>
    </row>
    <row r="424" spans="1:71" s="3030" customFormat="1">
      <c r="A424" s="2126"/>
      <c r="B424" s="2126"/>
      <c r="C424" s="2149"/>
      <c r="D424" s="3248"/>
      <c r="E424" s="525"/>
      <c r="F424" s="525"/>
      <c r="G424" s="526"/>
      <c r="K424" s="3280"/>
      <c r="P424" s="3041"/>
      <c r="X424" s="3280"/>
      <c r="AA424" s="3041"/>
      <c r="AF424" s="3041"/>
      <c r="AN424" s="3280"/>
      <c r="AZ424" s="3041"/>
      <c r="BD424" s="3281"/>
      <c r="BH424" s="3282"/>
      <c r="BJ424" s="2589"/>
      <c r="BK424" s="2126"/>
      <c r="BL424" s="2126"/>
      <c r="BM424" s="2126"/>
      <c r="BN424" s="2126"/>
      <c r="BO424" s="2126"/>
      <c r="BP424" s="2126"/>
      <c r="BQ424" s="2126"/>
      <c r="BR424" s="2126"/>
      <c r="BS424" s="2126"/>
    </row>
    <row r="425" spans="1:71" s="3030" customFormat="1">
      <c r="A425" s="2126"/>
      <c r="B425" s="2126"/>
      <c r="C425" s="2149"/>
      <c r="D425" s="3248"/>
      <c r="E425" s="525"/>
      <c r="F425" s="525"/>
      <c r="G425" s="526"/>
      <c r="K425" s="3280"/>
      <c r="P425" s="3041"/>
      <c r="X425" s="3280"/>
      <c r="AA425" s="3041"/>
      <c r="AF425" s="3041"/>
      <c r="AN425" s="3280"/>
      <c r="AZ425" s="3041"/>
      <c r="BD425" s="3281"/>
      <c r="BH425" s="3282"/>
      <c r="BJ425" s="2589"/>
      <c r="BK425" s="2126"/>
      <c r="BL425" s="2126"/>
      <c r="BM425" s="2126"/>
      <c r="BN425" s="2126"/>
      <c r="BO425" s="2126"/>
      <c r="BP425" s="2126"/>
      <c r="BQ425" s="2126"/>
      <c r="BR425" s="2126"/>
      <c r="BS425" s="2126"/>
    </row>
    <row r="426" spans="1:71" s="3030" customFormat="1">
      <c r="A426" s="2126"/>
      <c r="B426" s="2126"/>
      <c r="C426" s="2149"/>
      <c r="D426" s="3248"/>
      <c r="E426" s="525"/>
      <c r="F426" s="525"/>
      <c r="G426" s="526"/>
      <c r="K426" s="3280"/>
      <c r="P426" s="3041"/>
      <c r="X426" s="3280"/>
      <c r="AA426" s="3041"/>
      <c r="AF426" s="3041"/>
      <c r="AN426" s="3280"/>
      <c r="AZ426" s="3041"/>
      <c r="BD426" s="3281"/>
      <c r="BH426" s="3282"/>
      <c r="BJ426" s="2589"/>
      <c r="BK426" s="2126"/>
      <c r="BL426" s="2126"/>
      <c r="BM426" s="2126"/>
      <c r="BN426" s="2126"/>
      <c r="BO426" s="2126"/>
      <c r="BP426" s="2126"/>
      <c r="BQ426" s="2126"/>
      <c r="BR426" s="2126"/>
      <c r="BS426" s="2126"/>
    </row>
    <row r="427" spans="1:71" s="3030" customFormat="1">
      <c r="A427" s="2126"/>
      <c r="B427" s="2126"/>
      <c r="C427" s="2149"/>
      <c r="D427" s="3248"/>
      <c r="E427" s="525"/>
      <c r="F427" s="525"/>
      <c r="G427" s="526"/>
      <c r="K427" s="3280"/>
      <c r="P427" s="3041"/>
      <c r="X427" s="3280"/>
      <c r="AA427" s="3041"/>
      <c r="AF427" s="3041"/>
      <c r="AN427" s="3280"/>
      <c r="AZ427" s="3041"/>
      <c r="BD427" s="3281"/>
      <c r="BH427" s="3282"/>
      <c r="BJ427" s="2589"/>
      <c r="BK427" s="2126"/>
      <c r="BL427" s="2126"/>
      <c r="BM427" s="2126"/>
      <c r="BN427" s="2126"/>
      <c r="BO427" s="2126"/>
      <c r="BP427" s="2126"/>
      <c r="BQ427" s="2126"/>
      <c r="BR427" s="2126"/>
      <c r="BS427" s="2126"/>
    </row>
    <row r="428" spans="1:71" s="3030" customFormat="1">
      <c r="A428" s="2126"/>
      <c r="B428" s="2126"/>
      <c r="C428" s="2149"/>
      <c r="D428" s="3248"/>
      <c r="E428" s="525"/>
      <c r="F428" s="525"/>
      <c r="G428" s="526"/>
      <c r="K428" s="3280"/>
      <c r="P428" s="3041"/>
      <c r="X428" s="3280"/>
      <c r="AA428" s="3041"/>
      <c r="AF428" s="3041"/>
      <c r="AN428" s="3280"/>
      <c r="AZ428" s="3041"/>
      <c r="BD428" s="3281"/>
      <c r="BH428" s="3282"/>
      <c r="BJ428" s="2589"/>
      <c r="BK428" s="2126"/>
      <c r="BL428" s="2126"/>
      <c r="BM428" s="2126"/>
      <c r="BN428" s="2126"/>
      <c r="BO428" s="2126"/>
      <c r="BP428" s="2126"/>
      <c r="BQ428" s="2126"/>
      <c r="BR428" s="2126"/>
      <c r="BS428" s="2126"/>
    </row>
    <row r="429" spans="1:71" s="3030" customFormat="1">
      <c r="A429" s="2126"/>
      <c r="B429" s="2126"/>
      <c r="C429" s="2149"/>
      <c r="D429" s="3248"/>
      <c r="E429" s="525"/>
      <c r="F429" s="525"/>
      <c r="G429" s="526"/>
      <c r="K429" s="3280"/>
      <c r="P429" s="3041"/>
      <c r="X429" s="3280"/>
      <c r="AA429" s="3041"/>
      <c r="AF429" s="3041"/>
      <c r="AN429" s="3280"/>
      <c r="AZ429" s="3041"/>
      <c r="BD429" s="3281"/>
      <c r="BH429" s="3282"/>
      <c r="BJ429" s="2589"/>
      <c r="BK429" s="2126"/>
      <c r="BL429" s="2126"/>
      <c r="BM429" s="2126"/>
      <c r="BN429" s="2126"/>
      <c r="BO429" s="2126"/>
      <c r="BP429" s="2126"/>
      <c r="BQ429" s="2126"/>
      <c r="BR429" s="2126"/>
      <c r="BS429" s="2126"/>
    </row>
    <row r="430" spans="1:71" s="3030" customFormat="1">
      <c r="A430" s="2126"/>
      <c r="B430" s="2126"/>
      <c r="C430" s="2149"/>
      <c r="D430" s="3248"/>
      <c r="E430" s="525"/>
      <c r="F430" s="525"/>
      <c r="G430" s="526"/>
      <c r="K430" s="3280"/>
      <c r="P430" s="3041"/>
      <c r="X430" s="3280"/>
      <c r="AA430" s="3041"/>
      <c r="AF430" s="3041"/>
      <c r="AN430" s="3280"/>
      <c r="AZ430" s="3041"/>
      <c r="BD430" s="3281"/>
      <c r="BH430" s="3282"/>
      <c r="BJ430" s="2589"/>
      <c r="BK430" s="2126"/>
      <c r="BL430" s="2126"/>
      <c r="BM430" s="2126"/>
      <c r="BN430" s="2126"/>
      <c r="BO430" s="2126"/>
      <c r="BP430" s="2126"/>
      <c r="BQ430" s="2126"/>
      <c r="BR430" s="2126"/>
      <c r="BS430" s="2126"/>
    </row>
    <row r="431" spans="1:71" s="3030" customFormat="1">
      <c r="A431" s="2126"/>
      <c r="B431" s="2126"/>
      <c r="C431" s="2149"/>
      <c r="D431" s="3248"/>
      <c r="E431" s="525"/>
      <c r="F431" s="525"/>
      <c r="G431" s="526"/>
      <c r="K431" s="3280"/>
      <c r="P431" s="3041"/>
      <c r="X431" s="3280"/>
      <c r="AA431" s="3041"/>
      <c r="AF431" s="3041"/>
      <c r="AN431" s="3280"/>
      <c r="AZ431" s="3041"/>
      <c r="BD431" s="3281"/>
      <c r="BH431" s="3282"/>
      <c r="BJ431" s="2589"/>
      <c r="BK431" s="2126"/>
      <c r="BL431" s="2126"/>
      <c r="BM431" s="2126"/>
      <c r="BN431" s="2126"/>
      <c r="BO431" s="2126"/>
      <c r="BP431" s="2126"/>
      <c r="BQ431" s="2126"/>
      <c r="BR431" s="2126"/>
      <c r="BS431" s="2126"/>
    </row>
    <row r="432" spans="1:71" s="3030" customFormat="1">
      <c r="A432" s="2126"/>
      <c r="B432" s="2126"/>
      <c r="C432" s="2149"/>
      <c r="D432" s="3248"/>
      <c r="E432" s="525"/>
      <c r="F432" s="525"/>
      <c r="G432" s="526"/>
      <c r="K432" s="3280"/>
      <c r="P432" s="3041"/>
      <c r="X432" s="3280"/>
      <c r="AA432" s="3041"/>
      <c r="AF432" s="3041"/>
      <c r="AN432" s="3280"/>
      <c r="AZ432" s="3041"/>
      <c r="BD432" s="3281"/>
      <c r="BH432" s="3282"/>
      <c r="BJ432" s="2589"/>
      <c r="BK432" s="2126"/>
      <c r="BL432" s="2126"/>
      <c r="BM432" s="2126"/>
      <c r="BN432" s="2126"/>
      <c r="BO432" s="2126"/>
      <c r="BP432" s="2126"/>
      <c r="BQ432" s="2126"/>
      <c r="BR432" s="2126"/>
      <c r="BS432" s="2126"/>
    </row>
    <row r="433" spans="1:71" s="3030" customFormat="1">
      <c r="A433" s="2126"/>
      <c r="B433" s="2126"/>
      <c r="C433" s="2149"/>
      <c r="D433" s="3248"/>
      <c r="E433" s="525"/>
      <c r="F433" s="525"/>
      <c r="G433" s="526"/>
      <c r="K433" s="3280"/>
      <c r="P433" s="3041"/>
      <c r="X433" s="3280"/>
      <c r="AA433" s="3041"/>
      <c r="AF433" s="3041"/>
      <c r="AN433" s="3280"/>
      <c r="AZ433" s="3041"/>
      <c r="BD433" s="3281"/>
      <c r="BH433" s="3282"/>
      <c r="BJ433" s="2589"/>
      <c r="BK433" s="2126"/>
      <c r="BL433" s="2126"/>
      <c r="BM433" s="2126"/>
      <c r="BN433" s="2126"/>
      <c r="BO433" s="2126"/>
      <c r="BP433" s="2126"/>
      <c r="BQ433" s="2126"/>
      <c r="BR433" s="2126"/>
      <c r="BS433" s="2126"/>
    </row>
    <row r="434" spans="1:71" s="3030" customFormat="1">
      <c r="A434" s="2126"/>
      <c r="B434" s="2126"/>
      <c r="C434" s="2149"/>
      <c r="D434" s="3248"/>
      <c r="E434" s="525"/>
      <c r="F434" s="525"/>
      <c r="G434" s="526"/>
      <c r="K434" s="3280"/>
      <c r="P434" s="3041"/>
      <c r="X434" s="3280"/>
      <c r="AA434" s="3041"/>
      <c r="AF434" s="3041"/>
      <c r="AN434" s="3280"/>
      <c r="AZ434" s="3041"/>
      <c r="BD434" s="3281"/>
      <c r="BH434" s="3282"/>
      <c r="BJ434" s="2589"/>
      <c r="BK434" s="2126"/>
      <c r="BL434" s="2126"/>
      <c r="BM434" s="2126"/>
      <c r="BN434" s="2126"/>
      <c r="BO434" s="2126"/>
      <c r="BP434" s="2126"/>
      <c r="BQ434" s="2126"/>
      <c r="BR434" s="2126"/>
      <c r="BS434" s="2126"/>
    </row>
    <row r="435" spans="1:71" s="3030" customFormat="1">
      <c r="A435" s="2126"/>
      <c r="B435" s="2126"/>
      <c r="C435" s="2149"/>
      <c r="D435" s="3248"/>
      <c r="E435" s="525"/>
      <c r="F435" s="525"/>
      <c r="G435" s="526"/>
      <c r="K435" s="3280"/>
      <c r="P435" s="3041"/>
      <c r="X435" s="3280"/>
      <c r="AA435" s="3041"/>
      <c r="AF435" s="3041"/>
      <c r="AN435" s="3280"/>
      <c r="AZ435" s="3041"/>
      <c r="BD435" s="3281"/>
      <c r="BH435" s="3282"/>
      <c r="BJ435" s="2589"/>
      <c r="BK435" s="2126"/>
      <c r="BL435" s="2126"/>
      <c r="BM435" s="2126"/>
      <c r="BN435" s="2126"/>
      <c r="BO435" s="2126"/>
      <c r="BP435" s="2126"/>
      <c r="BQ435" s="2126"/>
      <c r="BR435" s="2126"/>
      <c r="BS435" s="2126"/>
    </row>
    <row r="436" spans="1:71" s="3030" customFormat="1">
      <c r="A436" s="2126"/>
      <c r="B436" s="2126"/>
      <c r="C436" s="2149"/>
      <c r="D436" s="3248"/>
      <c r="E436" s="525"/>
      <c r="F436" s="525"/>
      <c r="G436" s="526"/>
      <c r="K436" s="3280"/>
      <c r="P436" s="3041"/>
      <c r="X436" s="3280"/>
      <c r="AA436" s="3041"/>
      <c r="AF436" s="3041"/>
      <c r="AN436" s="3280"/>
      <c r="AZ436" s="3041"/>
      <c r="BD436" s="3281"/>
      <c r="BH436" s="3282"/>
      <c r="BJ436" s="2589"/>
      <c r="BK436" s="2126"/>
      <c r="BL436" s="2126"/>
      <c r="BM436" s="2126"/>
      <c r="BN436" s="2126"/>
      <c r="BO436" s="2126"/>
      <c r="BP436" s="2126"/>
      <c r="BQ436" s="2126"/>
      <c r="BR436" s="2126"/>
      <c r="BS436" s="2126"/>
    </row>
    <row r="437" spans="1:71" s="3030" customFormat="1">
      <c r="A437" s="2126"/>
      <c r="B437" s="2126"/>
      <c r="C437" s="2149"/>
      <c r="D437" s="3248"/>
      <c r="E437" s="525"/>
      <c r="F437" s="525"/>
      <c r="G437" s="526"/>
      <c r="K437" s="3280"/>
      <c r="P437" s="3041"/>
      <c r="X437" s="3280"/>
      <c r="AA437" s="3041"/>
      <c r="AF437" s="3041"/>
      <c r="AN437" s="3280"/>
      <c r="AZ437" s="3041"/>
      <c r="BD437" s="3281"/>
      <c r="BH437" s="3282"/>
      <c r="BJ437" s="2589"/>
      <c r="BK437" s="2126"/>
      <c r="BL437" s="2126"/>
      <c r="BM437" s="2126"/>
      <c r="BN437" s="2126"/>
      <c r="BO437" s="2126"/>
      <c r="BP437" s="2126"/>
      <c r="BQ437" s="2126"/>
      <c r="BR437" s="2126"/>
      <c r="BS437" s="2126"/>
    </row>
    <row r="438" spans="1:71" s="3030" customFormat="1">
      <c r="A438" s="2126"/>
      <c r="B438" s="2126"/>
      <c r="C438" s="2149"/>
      <c r="D438" s="3248"/>
      <c r="E438" s="525"/>
      <c r="F438" s="525"/>
      <c r="G438" s="526"/>
      <c r="K438" s="3280"/>
      <c r="P438" s="3041"/>
      <c r="X438" s="3280"/>
      <c r="AA438" s="3041"/>
      <c r="AF438" s="3041"/>
      <c r="AN438" s="3280"/>
      <c r="AZ438" s="3041"/>
      <c r="BD438" s="3281"/>
      <c r="BH438" s="3282"/>
      <c r="BJ438" s="2589"/>
      <c r="BK438" s="2126"/>
      <c r="BL438" s="2126"/>
      <c r="BM438" s="2126"/>
      <c r="BN438" s="2126"/>
      <c r="BO438" s="2126"/>
      <c r="BP438" s="2126"/>
      <c r="BQ438" s="2126"/>
      <c r="BR438" s="2126"/>
      <c r="BS438" s="2126"/>
    </row>
    <row r="439" spans="1:71" s="3030" customFormat="1">
      <c r="A439" s="2126"/>
      <c r="B439" s="2126"/>
      <c r="C439" s="2149"/>
      <c r="D439" s="3248"/>
      <c r="E439" s="525"/>
      <c r="F439" s="525"/>
      <c r="G439" s="526"/>
      <c r="K439" s="3280"/>
      <c r="P439" s="3041"/>
      <c r="X439" s="3280"/>
      <c r="AA439" s="3041"/>
      <c r="AF439" s="3041"/>
      <c r="AN439" s="3280"/>
      <c r="AZ439" s="3041"/>
      <c r="BD439" s="3281"/>
      <c r="BH439" s="3282"/>
      <c r="BJ439" s="2589"/>
      <c r="BK439" s="2126"/>
      <c r="BL439" s="2126"/>
      <c r="BM439" s="2126"/>
      <c r="BN439" s="2126"/>
      <c r="BO439" s="2126"/>
      <c r="BP439" s="2126"/>
      <c r="BQ439" s="2126"/>
      <c r="BR439" s="2126"/>
      <c r="BS439" s="2126"/>
    </row>
    <row r="440" spans="1:71" s="3030" customFormat="1">
      <c r="A440" s="2126"/>
      <c r="B440" s="2126"/>
      <c r="C440" s="2149"/>
      <c r="D440" s="3248"/>
      <c r="E440" s="525"/>
      <c r="F440" s="525"/>
      <c r="G440" s="526"/>
      <c r="K440" s="3280"/>
      <c r="P440" s="3041"/>
      <c r="X440" s="3280"/>
      <c r="AA440" s="3041"/>
      <c r="AF440" s="3041"/>
      <c r="AN440" s="3280"/>
      <c r="AZ440" s="3041"/>
      <c r="BD440" s="3281"/>
      <c r="BH440" s="3282"/>
      <c r="BJ440" s="2589"/>
      <c r="BK440" s="2126"/>
      <c r="BL440" s="2126"/>
      <c r="BM440" s="2126"/>
      <c r="BN440" s="2126"/>
      <c r="BO440" s="2126"/>
      <c r="BP440" s="2126"/>
      <c r="BQ440" s="2126"/>
      <c r="BR440" s="2126"/>
      <c r="BS440" s="2126"/>
    </row>
    <row r="441" spans="1:71" s="3030" customFormat="1">
      <c r="A441" s="2126"/>
      <c r="B441" s="2126"/>
      <c r="C441" s="2149"/>
      <c r="D441" s="3248"/>
      <c r="E441" s="525"/>
      <c r="F441" s="525"/>
      <c r="G441" s="526"/>
      <c r="K441" s="3280"/>
      <c r="P441" s="3041"/>
      <c r="X441" s="3280"/>
      <c r="AA441" s="3041"/>
      <c r="AF441" s="3041"/>
      <c r="AN441" s="3280"/>
      <c r="AZ441" s="3041"/>
      <c r="BD441" s="3281"/>
      <c r="BH441" s="3282"/>
      <c r="BJ441" s="2589"/>
      <c r="BK441" s="2126"/>
      <c r="BL441" s="2126"/>
      <c r="BM441" s="2126"/>
      <c r="BN441" s="2126"/>
      <c r="BO441" s="2126"/>
      <c r="BP441" s="2126"/>
      <c r="BQ441" s="2126"/>
      <c r="BR441" s="2126"/>
      <c r="BS441" s="2126"/>
    </row>
    <row r="442" spans="1:71" s="3030" customFormat="1">
      <c r="A442" s="2126"/>
      <c r="B442" s="2126"/>
      <c r="C442" s="2149"/>
      <c r="D442" s="3248"/>
      <c r="E442" s="525"/>
      <c r="F442" s="525"/>
      <c r="G442" s="526"/>
      <c r="K442" s="3280"/>
      <c r="P442" s="3041"/>
      <c r="X442" s="3280"/>
      <c r="AA442" s="3041"/>
      <c r="AF442" s="3041"/>
      <c r="AN442" s="3280"/>
      <c r="AZ442" s="3041"/>
      <c r="BD442" s="3281"/>
      <c r="BH442" s="3282"/>
      <c r="BJ442" s="2589"/>
      <c r="BK442" s="2126"/>
      <c r="BL442" s="2126"/>
      <c r="BM442" s="2126"/>
      <c r="BN442" s="2126"/>
      <c r="BO442" s="2126"/>
      <c r="BP442" s="2126"/>
      <c r="BQ442" s="2126"/>
      <c r="BR442" s="2126"/>
      <c r="BS442" s="2126"/>
    </row>
    <row r="443" spans="1:71" s="3030" customFormat="1">
      <c r="A443" s="2126"/>
      <c r="B443" s="2126"/>
      <c r="C443" s="2149"/>
      <c r="D443" s="3248"/>
      <c r="E443" s="525"/>
      <c r="F443" s="525"/>
      <c r="G443" s="526"/>
      <c r="K443" s="3280"/>
      <c r="P443" s="3041"/>
      <c r="X443" s="3280"/>
      <c r="AA443" s="3041"/>
      <c r="AF443" s="3041"/>
      <c r="AN443" s="3280"/>
      <c r="AZ443" s="3041"/>
      <c r="BD443" s="3281"/>
      <c r="BH443" s="3282"/>
      <c r="BJ443" s="2589"/>
      <c r="BK443" s="2126"/>
      <c r="BL443" s="2126"/>
      <c r="BM443" s="2126"/>
      <c r="BN443" s="2126"/>
      <c r="BO443" s="2126"/>
      <c r="BP443" s="2126"/>
      <c r="BQ443" s="2126"/>
      <c r="BR443" s="2126"/>
      <c r="BS443" s="2126"/>
    </row>
    <row r="444" spans="1:71" s="3030" customFormat="1">
      <c r="A444" s="2126"/>
      <c r="B444" s="2126"/>
      <c r="C444" s="2149"/>
      <c r="D444" s="3248"/>
      <c r="E444" s="525"/>
      <c r="F444" s="525"/>
      <c r="G444" s="526"/>
      <c r="K444" s="3280"/>
      <c r="P444" s="3041"/>
      <c r="X444" s="3280"/>
      <c r="AA444" s="3041"/>
      <c r="AF444" s="3041"/>
      <c r="AN444" s="3280"/>
      <c r="AZ444" s="3041"/>
      <c r="BD444" s="3281"/>
      <c r="BH444" s="3282"/>
      <c r="BJ444" s="2589"/>
      <c r="BK444" s="2126"/>
      <c r="BL444" s="2126"/>
      <c r="BM444" s="2126"/>
      <c r="BN444" s="2126"/>
      <c r="BO444" s="2126"/>
      <c r="BP444" s="2126"/>
      <c r="BQ444" s="2126"/>
      <c r="BR444" s="2126"/>
      <c r="BS444" s="2126"/>
    </row>
    <row r="445" spans="1:71" s="3030" customFormat="1">
      <c r="A445" s="2126"/>
      <c r="B445" s="2126"/>
      <c r="C445" s="2149"/>
      <c r="D445" s="3248"/>
      <c r="E445" s="525"/>
      <c r="F445" s="525"/>
      <c r="G445" s="526"/>
      <c r="K445" s="3280"/>
      <c r="P445" s="3041"/>
      <c r="X445" s="3280"/>
      <c r="AA445" s="3041"/>
      <c r="AF445" s="3041"/>
      <c r="AN445" s="3280"/>
      <c r="AZ445" s="3041"/>
      <c r="BD445" s="3281"/>
      <c r="BH445" s="3282"/>
      <c r="BJ445" s="2589"/>
      <c r="BK445" s="2126"/>
      <c r="BL445" s="2126"/>
      <c r="BM445" s="2126"/>
      <c r="BN445" s="2126"/>
      <c r="BO445" s="2126"/>
      <c r="BP445" s="2126"/>
      <c r="BQ445" s="2126"/>
      <c r="BR445" s="2126"/>
      <c r="BS445" s="2126"/>
    </row>
    <row r="446" spans="1:71" s="3030" customFormat="1">
      <c r="A446" s="2126"/>
      <c r="B446" s="2126"/>
      <c r="C446" s="2149"/>
      <c r="D446" s="3248"/>
      <c r="E446" s="525"/>
      <c r="F446" s="525"/>
      <c r="G446" s="526"/>
      <c r="K446" s="3280"/>
      <c r="P446" s="3041"/>
      <c r="X446" s="3280"/>
      <c r="AA446" s="3041"/>
      <c r="AF446" s="3041"/>
      <c r="AN446" s="3280"/>
      <c r="AZ446" s="3041"/>
      <c r="BD446" s="3281"/>
      <c r="BH446" s="3282"/>
      <c r="BJ446" s="2589"/>
      <c r="BK446" s="2126"/>
      <c r="BL446" s="2126"/>
      <c r="BM446" s="2126"/>
      <c r="BN446" s="2126"/>
      <c r="BO446" s="2126"/>
      <c r="BP446" s="2126"/>
      <c r="BQ446" s="2126"/>
      <c r="BR446" s="2126"/>
      <c r="BS446" s="2126"/>
    </row>
    <row r="447" spans="1:71" s="3030" customFormat="1">
      <c r="A447" s="2126"/>
      <c r="B447" s="2126"/>
      <c r="C447" s="2149"/>
      <c r="D447" s="3248"/>
      <c r="E447" s="525"/>
      <c r="F447" s="525"/>
      <c r="G447" s="526"/>
      <c r="K447" s="3280"/>
      <c r="P447" s="3041"/>
      <c r="X447" s="3280"/>
      <c r="AA447" s="3041"/>
      <c r="AF447" s="3041"/>
      <c r="AN447" s="3280"/>
      <c r="AZ447" s="3041"/>
      <c r="BD447" s="3281"/>
      <c r="BH447" s="3282"/>
      <c r="BJ447" s="2589"/>
      <c r="BK447" s="2126"/>
      <c r="BL447" s="2126"/>
      <c r="BM447" s="2126"/>
      <c r="BN447" s="2126"/>
      <c r="BO447" s="2126"/>
      <c r="BP447" s="2126"/>
      <c r="BQ447" s="2126"/>
      <c r="BR447" s="2126"/>
      <c r="BS447" s="2126"/>
    </row>
    <row r="448" spans="1:71" s="3030" customFormat="1">
      <c r="A448" s="2126"/>
      <c r="B448" s="2126"/>
      <c r="C448" s="2149"/>
      <c r="D448" s="3248"/>
      <c r="E448" s="525"/>
      <c r="F448" s="525"/>
      <c r="G448" s="526"/>
      <c r="K448" s="3280"/>
      <c r="P448" s="3041"/>
      <c r="X448" s="3280"/>
      <c r="AA448" s="3041"/>
      <c r="AF448" s="3041"/>
      <c r="AN448" s="3280"/>
      <c r="AZ448" s="3041"/>
      <c r="BD448" s="3281"/>
      <c r="BH448" s="3282"/>
      <c r="BJ448" s="2589"/>
      <c r="BK448" s="2126"/>
      <c r="BL448" s="2126"/>
      <c r="BM448" s="2126"/>
      <c r="BN448" s="2126"/>
      <c r="BO448" s="2126"/>
      <c r="BP448" s="2126"/>
      <c r="BQ448" s="2126"/>
      <c r="BR448" s="2126"/>
      <c r="BS448" s="2126"/>
    </row>
    <row r="449" spans="1:71" s="3030" customFormat="1">
      <c r="A449" s="2126"/>
      <c r="B449" s="2126"/>
      <c r="C449" s="2149"/>
      <c r="D449" s="3248"/>
      <c r="E449" s="525"/>
      <c r="F449" s="525"/>
      <c r="G449" s="526"/>
      <c r="K449" s="3280"/>
      <c r="P449" s="3041"/>
      <c r="X449" s="3280"/>
      <c r="AA449" s="3041"/>
      <c r="AF449" s="3041"/>
      <c r="AN449" s="3280"/>
      <c r="AZ449" s="3041"/>
      <c r="BD449" s="3281"/>
      <c r="BH449" s="3282"/>
      <c r="BJ449" s="2589"/>
      <c r="BK449" s="2126"/>
      <c r="BL449" s="2126"/>
      <c r="BM449" s="2126"/>
      <c r="BN449" s="2126"/>
      <c r="BO449" s="2126"/>
      <c r="BP449" s="2126"/>
      <c r="BQ449" s="2126"/>
      <c r="BR449" s="2126"/>
      <c r="BS449" s="2126"/>
    </row>
    <row r="450" spans="1:71" s="3030" customFormat="1">
      <c r="A450" s="2126"/>
      <c r="B450" s="2126"/>
      <c r="C450" s="2149"/>
      <c r="D450" s="3248"/>
      <c r="E450" s="525"/>
      <c r="F450" s="525"/>
      <c r="G450" s="526"/>
      <c r="K450" s="3280"/>
      <c r="P450" s="3041"/>
      <c r="X450" s="3280"/>
      <c r="AA450" s="3041"/>
      <c r="AF450" s="3041"/>
      <c r="AN450" s="3280"/>
      <c r="AZ450" s="3041"/>
      <c r="BD450" s="3281"/>
      <c r="BH450" s="3282"/>
      <c r="BJ450" s="2589"/>
      <c r="BK450" s="2126"/>
      <c r="BL450" s="2126"/>
      <c r="BM450" s="2126"/>
      <c r="BN450" s="2126"/>
      <c r="BO450" s="2126"/>
      <c r="BP450" s="2126"/>
      <c r="BQ450" s="2126"/>
      <c r="BR450" s="2126"/>
      <c r="BS450" s="2126"/>
    </row>
    <row r="451" spans="1:71" s="3030" customFormat="1">
      <c r="A451" s="2126"/>
      <c r="B451" s="2126"/>
      <c r="C451" s="2149"/>
      <c r="D451" s="3248"/>
      <c r="E451" s="525"/>
      <c r="F451" s="525"/>
      <c r="G451" s="526"/>
      <c r="K451" s="3280"/>
      <c r="P451" s="3041"/>
      <c r="X451" s="3280"/>
      <c r="AA451" s="3041"/>
      <c r="AF451" s="3041"/>
      <c r="AN451" s="3280"/>
      <c r="AZ451" s="3041"/>
      <c r="BD451" s="3281"/>
      <c r="BH451" s="3282"/>
      <c r="BJ451" s="2589"/>
      <c r="BK451" s="2126"/>
      <c r="BL451" s="2126"/>
      <c r="BM451" s="2126"/>
      <c r="BN451" s="2126"/>
      <c r="BO451" s="2126"/>
      <c r="BP451" s="2126"/>
      <c r="BQ451" s="2126"/>
      <c r="BR451" s="2126"/>
      <c r="BS451" s="2126"/>
    </row>
    <row r="452" spans="1:71" s="3030" customFormat="1">
      <c r="A452" s="2126"/>
      <c r="B452" s="2126"/>
      <c r="C452" s="2149"/>
      <c r="D452" s="3248"/>
      <c r="E452" s="525"/>
      <c r="F452" s="525"/>
      <c r="G452" s="526"/>
      <c r="K452" s="3280"/>
      <c r="P452" s="3041"/>
      <c r="X452" s="3280"/>
      <c r="AA452" s="3041"/>
      <c r="AF452" s="3041"/>
      <c r="AN452" s="3280"/>
      <c r="AZ452" s="3041"/>
      <c r="BD452" s="3281"/>
      <c r="BH452" s="3282"/>
      <c r="BJ452" s="2589"/>
      <c r="BK452" s="2126"/>
      <c r="BL452" s="2126"/>
      <c r="BM452" s="2126"/>
      <c r="BN452" s="2126"/>
      <c r="BO452" s="2126"/>
      <c r="BP452" s="2126"/>
      <c r="BQ452" s="2126"/>
      <c r="BR452" s="2126"/>
      <c r="BS452" s="2126"/>
    </row>
    <row r="453" spans="1:71" s="3030" customFormat="1">
      <c r="A453" s="2126"/>
      <c r="B453" s="2126"/>
      <c r="C453" s="2149"/>
      <c r="D453" s="3248"/>
      <c r="E453" s="525"/>
      <c r="F453" s="525"/>
      <c r="G453" s="526"/>
      <c r="K453" s="3280"/>
      <c r="P453" s="3041"/>
      <c r="X453" s="3280"/>
      <c r="AA453" s="3041"/>
      <c r="AF453" s="3041"/>
      <c r="AN453" s="3280"/>
      <c r="AZ453" s="3041"/>
      <c r="BD453" s="3281"/>
      <c r="BH453" s="3282"/>
      <c r="BJ453" s="2589"/>
      <c r="BK453" s="2126"/>
      <c r="BL453" s="2126"/>
      <c r="BM453" s="2126"/>
      <c r="BN453" s="2126"/>
      <c r="BO453" s="2126"/>
      <c r="BP453" s="2126"/>
      <c r="BQ453" s="2126"/>
      <c r="BR453" s="2126"/>
      <c r="BS453" s="2126"/>
    </row>
    <row r="454" spans="1:71" s="3030" customFormat="1">
      <c r="A454" s="2126"/>
      <c r="B454" s="2126"/>
      <c r="C454" s="2149"/>
      <c r="D454" s="3248"/>
      <c r="E454" s="525"/>
      <c r="F454" s="525"/>
      <c r="G454" s="526"/>
      <c r="K454" s="3280"/>
      <c r="P454" s="3041"/>
      <c r="X454" s="3280"/>
      <c r="AA454" s="3041"/>
      <c r="AF454" s="3041"/>
      <c r="AN454" s="3280"/>
      <c r="AZ454" s="3041"/>
      <c r="BD454" s="3281"/>
      <c r="BH454" s="3282"/>
      <c r="BJ454" s="2589"/>
      <c r="BK454" s="2126"/>
      <c r="BL454" s="2126"/>
      <c r="BM454" s="2126"/>
      <c r="BN454" s="2126"/>
      <c r="BO454" s="2126"/>
      <c r="BP454" s="2126"/>
      <c r="BQ454" s="2126"/>
      <c r="BR454" s="2126"/>
      <c r="BS454" s="2126"/>
    </row>
    <row r="455" spans="1:71" s="3030" customFormat="1">
      <c r="A455" s="2126"/>
      <c r="B455" s="2126"/>
      <c r="C455" s="2149"/>
      <c r="D455" s="3248"/>
      <c r="E455" s="525"/>
      <c r="F455" s="525"/>
      <c r="G455" s="526"/>
      <c r="K455" s="3280"/>
      <c r="P455" s="3041"/>
      <c r="X455" s="3280"/>
      <c r="AA455" s="3041"/>
      <c r="AF455" s="3041"/>
      <c r="AN455" s="3280"/>
      <c r="AZ455" s="3041"/>
      <c r="BD455" s="3281"/>
      <c r="BH455" s="3282"/>
      <c r="BJ455" s="2589"/>
      <c r="BK455" s="2126"/>
      <c r="BL455" s="2126"/>
      <c r="BM455" s="2126"/>
      <c r="BN455" s="2126"/>
      <c r="BO455" s="2126"/>
      <c r="BP455" s="2126"/>
      <c r="BQ455" s="2126"/>
      <c r="BR455" s="2126"/>
      <c r="BS455" s="2126"/>
    </row>
    <row r="456" spans="1:71" s="3030" customFormat="1">
      <c r="A456" s="2126"/>
      <c r="B456" s="2126"/>
      <c r="C456" s="2149"/>
      <c r="D456" s="3248"/>
      <c r="E456" s="525"/>
      <c r="F456" s="525"/>
      <c r="G456" s="526"/>
      <c r="K456" s="3280"/>
      <c r="P456" s="3041"/>
      <c r="X456" s="3280"/>
      <c r="AA456" s="3041"/>
      <c r="AF456" s="3041"/>
      <c r="AN456" s="3280"/>
      <c r="AZ456" s="3041"/>
      <c r="BD456" s="3281"/>
      <c r="BH456" s="3282"/>
      <c r="BJ456" s="2589"/>
      <c r="BK456" s="2126"/>
      <c r="BL456" s="2126"/>
      <c r="BM456" s="2126"/>
      <c r="BN456" s="2126"/>
      <c r="BO456" s="2126"/>
      <c r="BP456" s="2126"/>
      <c r="BQ456" s="2126"/>
      <c r="BR456" s="2126"/>
      <c r="BS456" s="2126"/>
    </row>
    <row r="457" spans="1:71" s="3030" customFormat="1">
      <c r="A457" s="2126"/>
      <c r="B457" s="2126"/>
      <c r="C457" s="2149"/>
      <c r="D457" s="3248"/>
      <c r="E457" s="525"/>
      <c r="F457" s="525"/>
      <c r="G457" s="526"/>
      <c r="K457" s="3280"/>
      <c r="P457" s="3041"/>
      <c r="X457" s="3280"/>
      <c r="AA457" s="3041"/>
      <c r="AF457" s="3041"/>
      <c r="AN457" s="3280"/>
      <c r="AZ457" s="3041"/>
      <c r="BD457" s="3281"/>
      <c r="BH457" s="3282"/>
      <c r="BJ457" s="2589"/>
      <c r="BK457" s="2126"/>
      <c r="BL457" s="2126"/>
      <c r="BM457" s="2126"/>
      <c r="BN457" s="2126"/>
      <c r="BO457" s="2126"/>
      <c r="BP457" s="2126"/>
      <c r="BQ457" s="2126"/>
      <c r="BR457" s="2126"/>
      <c r="BS457" s="2126"/>
    </row>
    <row r="458" spans="1:71" s="3030" customFormat="1">
      <c r="A458" s="2126"/>
      <c r="B458" s="2126"/>
      <c r="C458" s="2149"/>
      <c r="D458" s="3248"/>
      <c r="E458" s="525"/>
      <c r="F458" s="525"/>
      <c r="G458" s="526"/>
      <c r="K458" s="3280"/>
      <c r="P458" s="3041"/>
      <c r="X458" s="3280"/>
      <c r="AA458" s="3041"/>
      <c r="AF458" s="3041"/>
      <c r="AN458" s="3280"/>
      <c r="AZ458" s="3041"/>
      <c r="BD458" s="3281"/>
      <c r="BH458" s="3282"/>
      <c r="BJ458" s="2589"/>
      <c r="BK458" s="2126"/>
      <c r="BL458" s="2126"/>
      <c r="BM458" s="2126"/>
      <c r="BN458" s="2126"/>
      <c r="BO458" s="2126"/>
      <c r="BP458" s="2126"/>
      <c r="BQ458" s="2126"/>
      <c r="BR458" s="2126"/>
      <c r="BS458" s="2126"/>
    </row>
    <row r="459" spans="1:71" s="3030" customFormat="1">
      <c r="A459" s="2126"/>
      <c r="B459" s="2126"/>
      <c r="C459" s="2149"/>
      <c r="D459" s="3248"/>
      <c r="E459" s="525"/>
      <c r="F459" s="525"/>
      <c r="G459" s="526"/>
      <c r="K459" s="3280"/>
      <c r="P459" s="3041"/>
      <c r="X459" s="3280"/>
      <c r="AA459" s="3041"/>
      <c r="AF459" s="3041"/>
      <c r="AN459" s="3280"/>
      <c r="AZ459" s="3041"/>
      <c r="BD459" s="3281"/>
      <c r="BH459" s="3282"/>
      <c r="BJ459" s="2589"/>
      <c r="BK459" s="2126"/>
      <c r="BL459" s="2126"/>
      <c r="BM459" s="2126"/>
      <c r="BN459" s="2126"/>
      <c r="BO459" s="2126"/>
      <c r="BP459" s="2126"/>
      <c r="BQ459" s="2126"/>
      <c r="BR459" s="2126"/>
      <c r="BS459" s="2126"/>
    </row>
    <row r="460" spans="1:71" s="3030" customFormat="1">
      <c r="A460" s="2126"/>
      <c r="B460" s="2126"/>
      <c r="C460" s="2149"/>
      <c r="D460" s="3248"/>
      <c r="E460" s="525"/>
      <c r="F460" s="525"/>
      <c r="G460" s="526"/>
      <c r="K460" s="3280"/>
      <c r="P460" s="3041"/>
      <c r="X460" s="3280"/>
      <c r="AA460" s="3041"/>
      <c r="AF460" s="3041"/>
      <c r="AN460" s="3280"/>
      <c r="AZ460" s="3041"/>
      <c r="BD460" s="3281"/>
      <c r="BH460" s="3282"/>
      <c r="BJ460" s="2589"/>
      <c r="BK460" s="2126"/>
      <c r="BL460" s="2126"/>
      <c r="BM460" s="2126"/>
      <c r="BN460" s="2126"/>
      <c r="BO460" s="2126"/>
      <c r="BP460" s="2126"/>
      <c r="BQ460" s="2126"/>
      <c r="BR460" s="2126"/>
      <c r="BS460" s="2126"/>
    </row>
    <row r="461" spans="1:71" s="3030" customFormat="1">
      <c r="A461" s="2126"/>
      <c r="B461" s="2126"/>
      <c r="C461" s="2149"/>
      <c r="D461" s="3248"/>
      <c r="E461" s="525"/>
      <c r="F461" s="525"/>
      <c r="G461" s="526"/>
      <c r="K461" s="3280"/>
      <c r="P461" s="3041"/>
      <c r="X461" s="3280"/>
      <c r="AA461" s="3041"/>
      <c r="AF461" s="3041"/>
      <c r="AN461" s="3280"/>
      <c r="AZ461" s="3041"/>
      <c r="BD461" s="3281"/>
      <c r="BH461" s="3282"/>
      <c r="BJ461" s="2589"/>
      <c r="BK461" s="2126"/>
      <c r="BL461" s="2126"/>
      <c r="BM461" s="2126"/>
      <c r="BN461" s="2126"/>
      <c r="BO461" s="2126"/>
      <c r="BP461" s="2126"/>
      <c r="BQ461" s="2126"/>
      <c r="BR461" s="2126"/>
      <c r="BS461" s="2126"/>
    </row>
    <row r="462" spans="1:71" s="3030" customFormat="1">
      <c r="A462" s="2126"/>
      <c r="B462" s="2126"/>
      <c r="C462" s="2149"/>
      <c r="D462" s="3248"/>
      <c r="E462" s="525"/>
      <c r="F462" s="525"/>
      <c r="G462" s="526"/>
      <c r="K462" s="3280"/>
      <c r="P462" s="3041"/>
      <c r="X462" s="3280"/>
      <c r="AA462" s="3041"/>
      <c r="AF462" s="3041"/>
      <c r="AN462" s="3280"/>
      <c r="AZ462" s="3041"/>
      <c r="BD462" s="3281"/>
      <c r="BH462" s="3282"/>
      <c r="BJ462" s="2589"/>
      <c r="BK462" s="2126"/>
      <c r="BL462" s="2126"/>
      <c r="BM462" s="2126"/>
      <c r="BN462" s="2126"/>
      <c r="BO462" s="2126"/>
      <c r="BP462" s="2126"/>
      <c r="BQ462" s="2126"/>
      <c r="BR462" s="2126"/>
      <c r="BS462" s="2126"/>
    </row>
    <row r="463" spans="1:71" s="3030" customFormat="1">
      <c r="A463" s="2126"/>
      <c r="B463" s="2126"/>
      <c r="C463" s="2149"/>
      <c r="D463" s="3248"/>
      <c r="E463" s="525"/>
      <c r="F463" s="525"/>
      <c r="G463" s="526"/>
      <c r="K463" s="3280"/>
      <c r="P463" s="3041"/>
      <c r="X463" s="3280"/>
      <c r="AA463" s="3041"/>
      <c r="AF463" s="3041"/>
      <c r="AN463" s="3280"/>
      <c r="AZ463" s="3041"/>
      <c r="BD463" s="3281"/>
      <c r="BH463" s="3282"/>
      <c r="BJ463" s="2589"/>
      <c r="BK463" s="2126"/>
      <c r="BL463" s="2126"/>
      <c r="BM463" s="2126"/>
      <c r="BN463" s="2126"/>
      <c r="BO463" s="2126"/>
      <c r="BP463" s="2126"/>
      <c r="BQ463" s="2126"/>
      <c r="BR463" s="2126"/>
      <c r="BS463" s="2126"/>
    </row>
    <row r="464" spans="1:71" s="3030" customFormat="1">
      <c r="A464" s="2126"/>
      <c r="B464" s="2126"/>
      <c r="C464" s="2149"/>
      <c r="D464" s="3248"/>
      <c r="E464" s="525"/>
      <c r="F464" s="525"/>
      <c r="G464" s="526"/>
      <c r="K464" s="3280"/>
      <c r="P464" s="3041"/>
      <c r="X464" s="3280"/>
      <c r="AA464" s="3041"/>
      <c r="AF464" s="3041"/>
      <c r="AN464" s="3280"/>
      <c r="AZ464" s="3041"/>
      <c r="BD464" s="3281"/>
      <c r="BH464" s="3282"/>
      <c r="BJ464" s="2589"/>
      <c r="BK464" s="2126"/>
      <c r="BL464" s="2126"/>
      <c r="BM464" s="2126"/>
      <c r="BN464" s="2126"/>
      <c r="BO464" s="2126"/>
      <c r="BP464" s="2126"/>
      <c r="BQ464" s="2126"/>
      <c r="BR464" s="2126"/>
      <c r="BS464" s="2126"/>
    </row>
    <row r="465" spans="1:71" s="3030" customFormat="1">
      <c r="A465" s="2126"/>
      <c r="B465" s="2126"/>
      <c r="C465" s="2149"/>
      <c r="D465" s="3248"/>
      <c r="E465" s="525"/>
      <c r="F465" s="525"/>
      <c r="G465" s="526"/>
      <c r="K465" s="3280"/>
      <c r="P465" s="3041"/>
      <c r="X465" s="3280"/>
      <c r="AA465" s="3041"/>
      <c r="AF465" s="3041"/>
      <c r="AN465" s="3280"/>
      <c r="AZ465" s="3041"/>
      <c r="BD465" s="3281"/>
      <c r="BH465" s="3282"/>
      <c r="BJ465" s="2589"/>
      <c r="BK465" s="2126"/>
      <c r="BL465" s="2126"/>
      <c r="BM465" s="2126"/>
      <c r="BN465" s="2126"/>
      <c r="BO465" s="2126"/>
      <c r="BP465" s="2126"/>
      <c r="BQ465" s="2126"/>
      <c r="BR465" s="2126"/>
      <c r="BS465" s="2126"/>
    </row>
    <row r="466" spans="1:71" s="3030" customFormat="1">
      <c r="A466" s="2126"/>
      <c r="B466" s="2126"/>
      <c r="C466" s="2149"/>
      <c r="D466" s="3248"/>
      <c r="E466" s="525"/>
      <c r="F466" s="525"/>
      <c r="G466" s="526"/>
      <c r="K466" s="3280"/>
      <c r="P466" s="3041"/>
      <c r="X466" s="3280"/>
      <c r="AA466" s="3041"/>
      <c r="AF466" s="3041"/>
      <c r="AN466" s="3280"/>
      <c r="AZ466" s="3041"/>
      <c r="BD466" s="3281"/>
      <c r="BH466" s="3282"/>
      <c r="BJ466" s="2589"/>
      <c r="BK466" s="2126"/>
      <c r="BL466" s="2126"/>
      <c r="BM466" s="2126"/>
      <c r="BN466" s="2126"/>
      <c r="BO466" s="2126"/>
      <c r="BP466" s="2126"/>
      <c r="BQ466" s="2126"/>
      <c r="BR466" s="2126"/>
      <c r="BS466" s="2126"/>
    </row>
    <row r="467" spans="1:71" s="3030" customFormat="1">
      <c r="A467" s="2126"/>
      <c r="B467" s="2126"/>
      <c r="C467" s="2149"/>
      <c r="D467" s="3248"/>
      <c r="E467" s="525"/>
      <c r="F467" s="525"/>
      <c r="G467" s="526"/>
      <c r="K467" s="3280"/>
      <c r="P467" s="3041"/>
      <c r="X467" s="3280"/>
      <c r="AA467" s="3041"/>
      <c r="AF467" s="3041"/>
      <c r="AN467" s="3280"/>
      <c r="AZ467" s="3041"/>
      <c r="BD467" s="3281"/>
      <c r="BH467" s="3282"/>
      <c r="BJ467" s="2589"/>
      <c r="BK467" s="2126"/>
      <c r="BL467" s="2126"/>
      <c r="BM467" s="2126"/>
      <c r="BN467" s="2126"/>
      <c r="BO467" s="2126"/>
      <c r="BP467" s="2126"/>
      <c r="BQ467" s="2126"/>
      <c r="BR467" s="2126"/>
      <c r="BS467" s="2126"/>
    </row>
    <row r="468" spans="1:71" s="3030" customFormat="1">
      <c r="A468" s="2126"/>
      <c r="B468" s="2126"/>
      <c r="C468" s="2149"/>
      <c r="D468" s="3248"/>
      <c r="E468" s="525"/>
      <c r="F468" s="525"/>
      <c r="G468" s="526"/>
      <c r="K468" s="3280"/>
      <c r="P468" s="3041"/>
      <c r="X468" s="3280"/>
      <c r="AA468" s="3041"/>
      <c r="AF468" s="3041"/>
      <c r="AN468" s="3280"/>
      <c r="AZ468" s="3041"/>
      <c r="BD468" s="3281"/>
      <c r="BH468" s="3282"/>
      <c r="BJ468" s="2589"/>
      <c r="BK468" s="2126"/>
      <c r="BL468" s="2126"/>
      <c r="BM468" s="2126"/>
      <c r="BN468" s="2126"/>
      <c r="BO468" s="2126"/>
      <c r="BP468" s="2126"/>
      <c r="BQ468" s="2126"/>
      <c r="BR468" s="2126"/>
      <c r="BS468" s="2126"/>
    </row>
    <row r="469" spans="1:71" s="3030" customFormat="1">
      <c r="A469" s="2126"/>
      <c r="B469" s="2126"/>
      <c r="C469" s="2149"/>
      <c r="D469" s="3248"/>
      <c r="E469" s="525"/>
      <c r="F469" s="525"/>
      <c r="G469" s="526"/>
      <c r="K469" s="3280"/>
      <c r="P469" s="3041"/>
      <c r="X469" s="3280"/>
      <c r="AA469" s="3041"/>
      <c r="AF469" s="3041"/>
      <c r="AN469" s="3280"/>
      <c r="AZ469" s="3041"/>
      <c r="BD469" s="3281"/>
      <c r="BH469" s="3282"/>
      <c r="BJ469" s="2589"/>
      <c r="BK469" s="2126"/>
      <c r="BL469" s="2126"/>
      <c r="BM469" s="2126"/>
      <c r="BN469" s="2126"/>
      <c r="BO469" s="2126"/>
      <c r="BP469" s="2126"/>
      <c r="BQ469" s="2126"/>
      <c r="BR469" s="2126"/>
      <c r="BS469" s="2126"/>
    </row>
    <row r="470" spans="1:71" s="3030" customFormat="1">
      <c r="A470" s="2126"/>
      <c r="B470" s="2126"/>
      <c r="C470" s="2149"/>
      <c r="D470" s="3248"/>
      <c r="E470" s="525"/>
      <c r="F470" s="525"/>
      <c r="G470" s="526"/>
      <c r="K470" s="3280"/>
      <c r="P470" s="3041"/>
      <c r="X470" s="3280"/>
      <c r="AA470" s="3041"/>
      <c r="AF470" s="3041"/>
      <c r="AN470" s="3280"/>
      <c r="AZ470" s="3041"/>
      <c r="BD470" s="3281"/>
      <c r="BH470" s="3282"/>
      <c r="BJ470" s="2589"/>
      <c r="BK470" s="2126"/>
      <c r="BL470" s="2126"/>
      <c r="BM470" s="2126"/>
      <c r="BN470" s="2126"/>
      <c r="BO470" s="2126"/>
      <c r="BP470" s="2126"/>
      <c r="BQ470" s="2126"/>
      <c r="BR470" s="2126"/>
      <c r="BS470" s="2126"/>
    </row>
    <row r="471" spans="1:71" s="3030" customFormat="1">
      <c r="A471" s="2126"/>
      <c r="B471" s="2126"/>
      <c r="C471" s="2149"/>
      <c r="D471" s="3248"/>
      <c r="E471" s="525"/>
      <c r="F471" s="525"/>
      <c r="G471" s="526"/>
      <c r="K471" s="3280"/>
      <c r="P471" s="3041"/>
      <c r="X471" s="3280"/>
      <c r="AA471" s="3041"/>
      <c r="AF471" s="3041"/>
      <c r="AN471" s="3280"/>
      <c r="AZ471" s="3041"/>
      <c r="BD471" s="3281"/>
      <c r="BH471" s="3282"/>
      <c r="BJ471" s="2589"/>
      <c r="BK471" s="2126"/>
      <c r="BL471" s="2126"/>
      <c r="BM471" s="2126"/>
      <c r="BN471" s="2126"/>
      <c r="BO471" s="2126"/>
      <c r="BP471" s="2126"/>
      <c r="BQ471" s="2126"/>
      <c r="BR471" s="2126"/>
      <c r="BS471" s="2126"/>
    </row>
    <row r="472" spans="1:71" s="3030" customFormat="1">
      <c r="A472" s="2126"/>
      <c r="B472" s="2126"/>
      <c r="C472" s="2149"/>
      <c r="D472" s="3248"/>
      <c r="E472" s="525"/>
      <c r="F472" s="525"/>
      <c r="G472" s="526"/>
      <c r="K472" s="3280"/>
      <c r="P472" s="3041"/>
      <c r="X472" s="3280"/>
      <c r="AA472" s="3041"/>
      <c r="AF472" s="3041"/>
      <c r="AN472" s="3280"/>
      <c r="AZ472" s="3041"/>
      <c r="BD472" s="3281"/>
      <c r="BH472" s="3282"/>
      <c r="BJ472" s="2589"/>
      <c r="BK472" s="2126"/>
      <c r="BL472" s="2126"/>
      <c r="BM472" s="2126"/>
      <c r="BN472" s="2126"/>
      <c r="BO472" s="2126"/>
      <c r="BP472" s="2126"/>
      <c r="BQ472" s="2126"/>
      <c r="BR472" s="2126"/>
      <c r="BS472" s="2126"/>
    </row>
    <row r="473" spans="1:71" s="3030" customFormat="1">
      <c r="A473" s="2126"/>
      <c r="B473" s="2126"/>
      <c r="C473" s="2149"/>
      <c r="D473" s="3248"/>
      <c r="E473" s="525"/>
      <c r="F473" s="525"/>
      <c r="G473" s="526"/>
      <c r="K473" s="3280"/>
      <c r="P473" s="3041"/>
      <c r="X473" s="3280"/>
      <c r="AA473" s="3041"/>
      <c r="AF473" s="3041"/>
      <c r="AN473" s="3280"/>
      <c r="AZ473" s="3041"/>
      <c r="BD473" s="3281"/>
      <c r="BH473" s="3282"/>
      <c r="BJ473" s="2589"/>
      <c r="BK473" s="2126"/>
      <c r="BL473" s="2126"/>
      <c r="BM473" s="2126"/>
      <c r="BN473" s="2126"/>
      <c r="BO473" s="2126"/>
      <c r="BP473" s="2126"/>
      <c r="BQ473" s="2126"/>
      <c r="BR473" s="2126"/>
      <c r="BS473" s="2126"/>
    </row>
    <row r="474" spans="1:71" s="3030" customFormat="1">
      <c r="A474" s="2126"/>
      <c r="B474" s="2126"/>
      <c r="C474" s="2149"/>
      <c r="D474" s="3248"/>
      <c r="E474" s="525"/>
      <c r="F474" s="525"/>
      <c r="G474" s="526"/>
      <c r="K474" s="3280"/>
      <c r="P474" s="3041"/>
      <c r="X474" s="3280"/>
      <c r="AA474" s="3041"/>
      <c r="AF474" s="3041"/>
      <c r="AN474" s="3280"/>
      <c r="AZ474" s="3041"/>
      <c r="BD474" s="3281"/>
      <c r="BH474" s="3282"/>
      <c r="BJ474" s="2589"/>
      <c r="BK474" s="2126"/>
      <c r="BL474" s="2126"/>
      <c r="BM474" s="2126"/>
      <c r="BN474" s="2126"/>
      <c r="BO474" s="2126"/>
      <c r="BP474" s="2126"/>
      <c r="BQ474" s="2126"/>
      <c r="BR474" s="2126"/>
      <c r="BS474" s="2126"/>
    </row>
    <row r="475" spans="1:71" s="3030" customFormat="1">
      <c r="A475" s="2126"/>
      <c r="B475" s="2126"/>
      <c r="C475" s="2149"/>
      <c r="D475" s="3248"/>
      <c r="E475" s="525"/>
      <c r="F475" s="525"/>
      <c r="G475" s="526"/>
      <c r="K475" s="3280"/>
      <c r="P475" s="3041"/>
      <c r="X475" s="3280"/>
      <c r="AA475" s="3041"/>
      <c r="AF475" s="3041"/>
      <c r="AN475" s="3280"/>
      <c r="AZ475" s="3041"/>
      <c r="BD475" s="3281"/>
      <c r="BH475" s="3282"/>
      <c r="BJ475" s="2589"/>
      <c r="BK475" s="2126"/>
      <c r="BL475" s="2126"/>
      <c r="BM475" s="2126"/>
      <c r="BN475" s="2126"/>
      <c r="BO475" s="2126"/>
      <c r="BP475" s="2126"/>
      <c r="BQ475" s="2126"/>
      <c r="BR475" s="2126"/>
      <c r="BS475" s="2126"/>
    </row>
    <row r="476" spans="1:71" s="3030" customFormat="1">
      <c r="A476" s="2126"/>
      <c r="B476" s="2126"/>
      <c r="C476" s="2149"/>
      <c r="D476" s="3248"/>
      <c r="E476" s="525"/>
      <c r="F476" s="525"/>
      <c r="G476" s="526"/>
      <c r="K476" s="3280"/>
      <c r="P476" s="3041"/>
      <c r="X476" s="3280"/>
      <c r="AA476" s="3041"/>
      <c r="AF476" s="3041"/>
      <c r="AN476" s="3280"/>
      <c r="AZ476" s="3041"/>
      <c r="BD476" s="3281"/>
      <c r="BH476" s="3282"/>
      <c r="BJ476" s="2589"/>
      <c r="BK476" s="2126"/>
      <c r="BL476" s="2126"/>
      <c r="BM476" s="2126"/>
      <c r="BN476" s="2126"/>
      <c r="BO476" s="2126"/>
      <c r="BP476" s="2126"/>
      <c r="BQ476" s="2126"/>
      <c r="BR476" s="2126"/>
      <c r="BS476" s="2126"/>
    </row>
    <row r="477" spans="1:71" s="3030" customFormat="1">
      <c r="A477" s="2126"/>
      <c r="B477" s="2126"/>
      <c r="C477" s="2149"/>
      <c r="D477" s="3248"/>
      <c r="E477" s="525"/>
      <c r="F477" s="525"/>
      <c r="G477" s="526"/>
      <c r="K477" s="3280"/>
      <c r="P477" s="3041"/>
      <c r="X477" s="3280"/>
      <c r="AA477" s="3041"/>
      <c r="AF477" s="3041"/>
      <c r="AN477" s="3280"/>
      <c r="AZ477" s="3041"/>
      <c r="BD477" s="3281"/>
      <c r="BH477" s="3282"/>
      <c r="BJ477" s="2589"/>
      <c r="BK477" s="2126"/>
      <c r="BL477" s="2126"/>
      <c r="BM477" s="2126"/>
      <c r="BN477" s="2126"/>
      <c r="BO477" s="2126"/>
      <c r="BP477" s="2126"/>
      <c r="BQ477" s="2126"/>
      <c r="BR477" s="2126"/>
      <c r="BS477" s="2126"/>
    </row>
    <row r="478" spans="1:71" s="3030" customFormat="1">
      <c r="A478" s="2126"/>
      <c r="B478" s="2126"/>
      <c r="C478" s="2149"/>
      <c r="D478" s="3248"/>
      <c r="E478" s="525"/>
      <c r="F478" s="525"/>
      <c r="G478" s="526"/>
      <c r="K478" s="3280"/>
      <c r="P478" s="3041"/>
      <c r="X478" s="3280"/>
      <c r="AA478" s="3041"/>
      <c r="AF478" s="3041"/>
      <c r="AN478" s="3280"/>
      <c r="AZ478" s="3041"/>
      <c r="BD478" s="3281"/>
      <c r="BH478" s="3282"/>
      <c r="BJ478" s="2589"/>
      <c r="BK478" s="2126"/>
      <c r="BL478" s="2126"/>
      <c r="BM478" s="2126"/>
      <c r="BN478" s="2126"/>
      <c r="BO478" s="2126"/>
      <c r="BP478" s="2126"/>
      <c r="BQ478" s="2126"/>
      <c r="BR478" s="2126"/>
      <c r="BS478" s="2126"/>
    </row>
    <row r="479" spans="1:71" s="3030" customFormat="1">
      <c r="A479" s="2126"/>
      <c r="B479" s="2126"/>
      <c r="C479" s="2149"/>
      <c r="D479" s="3248"/>
      <c r="E479" s="525"/>
      <c r="F479" s="525"/>
      <c r="G479" s="526"/>
      <c r="K479" s="3280"/>
      <c r="P479" s="3041"/>
      <c r="X479" s="3280"/>
      <c r="AA479" s="3041"/>
      <c r="AF479" s="3041"/>
      <c r="AN479" s="3280"/>
      <c r="AZ479" s="3041"/>
      <c r="BD479" s="3281"/>
      <c r="BH479" s="3282"/>
      <c r="BJ479" s="2589"/>
      <c r="BK479" s="2126"/>
      <c r="BL479" s="2126"/>
      <c r="BM479" s="2126"/>
      <c r="BN479" s="2126"/>
      <c r="BO479" s="2126"/>
      <c r="BP479" s="2126"/>
      <c r="BQ479" s="2126"/>
      <c r="BR479" s="2126"/>
      <c r="BS479" s="2126"/>
    </row>
    <row r="480" spans="1:71" s="3030" customFormat="1">
      <c r="A480" s="2126"/>
      <c r="B480" s="2126"/>
      <c r="C480" s="2149"/>
      <c r="D480" s="3248"/>
      <c r="E480" s="525"/>
      <c r="F480" s="525"/>
      <c r="G480" s="526"/>
      <c r="K480" s="3280"/>
      <c r="P480" s="3041"/>
      <c r="X480" s="3280"/>
      <c r="AA480" s="3041"/>
      <c r="AF480" s="3041"/>
      <c r="AN480" s="3280"/>
      <c r="AZ480" s="3041"/>
      <c r="BD480" s="3281"/>
      <c r="BH480" s="3282"/>
      <c r="BJ480" s="2589"/>
      <c r="BK480" s="2126"/>
      <c r="BL480" s="2126"/>
      <c r="BM480" s="2126"/>
      <c r="BN480" s="2126"/>
      <c r="BO480" s="2126"/>
      <c r="BP480" s="2126"/>
      <c r="BQ480" s="2126"/>
      <c r="BR480" s="2126"/>
      <c r="BS480" s="2126"/>
    </row>
    <row r="481" spans="1:71" s="3030" customFormat="1">
      <c r="A481" s="2126"/>
      <c r="B481" s="2126"/>
      <c r="C481" s="2149"/>
      <c r="D481" s="3248"/>
      <c r="E481" s="525"/>
      <c r="F481" s="525"/>
      <c r="G481" s="526"/>
      <c r="K481" s="3280"/>
      <c r="P481" s="3041"/>
      <c r="X481" s="3280"/>
      <c r="AA481" s="3041"/>
      <c r="AF481" s="3041"/>
      <c r="AN481" s="3280"/>
      <c r="AZ481" s="3041"/>
      <c r="BD481" s="3281"/>
      <c r="BH481" s="3282"/>
      <c r="BJ481" s="2589"/>
      <c r="BK481" s="2126"/>
      <c r="BL481" s="2126"/>
      <c r="BM481" s="2126"/>
      <c r="BN481" s="2126"/>
      <c r="BO481" s="2126"/>
      <c r="BP481" s="2126"/>
      <c r="BQ481" s="2126"/>
      <c r="BR481" s="2126"/>
      <c r="BS481" s="2126"/>
    </row>
    <row r="482" spans="1:71" s="3030" customFormat="1">
      <c r="A482" s="2126"/>
      <c r="B482" s="2126"/>
      <c r="C482" s="2149"/>
      <c r="D482" s="3248"/>
      <c r="E482" s="525"/>
      <c r="F482" s="525"/>
      <c r="G482" s="526"/>
      <c r="K482" s="3280"/>
      <c r="P482" s="3041"/>
      <c r="X482" s="3280"/>
      <c r="AA482" s="3041"/>
      <c r="AF482" s="3041"/>
      <c r="AN482" s="3280"/>
      <c r="AZ482" s="3041"/>
      <c r="BD482" s="3281"/>
      <c r="BH482" s="3282"/>
      <c r="BJ482" s="2589"/>
      <c r="BK482" s="2126"/>
      <c r="BL482" s="2126"/>
      <c r="BM482" s="2126"/>
      <c r="BN482" s="2126"/>
      <c r="BO482" s="2126"/>
      <c r="BP482" s="2126"/>
      <c r="BQ482" s="2126"/>
      <c r="BR482" s="2126"/>
      <c r="BS482" s="2126"/>
    </row>
    <row r="483" spans="1:71" s="3030" customFormat="1">
      <c r="A483" s="2126"/>
      <c r="B483" s="2126"/>
      <c r="C483" s="2149"/>
      <c r="D483" s="3248"/>
      <c r="E483" s="525"/>
      <c r="F483" s="525"/>
      <c r="G483" s="526"/>
      <c r="K483" s="3280"/>
      <c r="P483" s="3041"/>
      <c r="X483" s="3280"/>
      <c r="AA483" s="3041"/>
      <c r="AF483" s="3041"/>
      <c r="AN483" s="3280"/>
      <c r="AZ483" s="3041"/>
      <c r="BD483" s="3281"/>
      <c r="BH483" s="3282"/>
      <c r="BJ483" s="2589"/>
      <c r="BK483" s="2126"/>
      <c r="BL483" s="2126"/>
      <c r="BM483" s="2126"/>
      <c r="BN483" s="2126"/>
      <c r="BO483" s="2126"/>
      <c r="BP483" s="2126"/>
      <c r="BQ483" s="2126"/>
      <c r="BR483" s="2126"/>
      <c r="BS483" s="2126"/>
    </row>
    <row r="484" spans="1:71" s="3030" customFormat="1">
      <c r="A484" s="2126"/>
      <c r="B484" s="2126"/>
      <c r="C484" s="2149"/>
      <c r="D484" s="3248"/>
      <c r="E484" s="525"/>
      <c r="F484" s="525"/>
      <c r="G484" s="526"/>
      <c r="K484" s="3280"/>
      <c r="P484" s="3041"/>
      <c r="X484" s="3280"/>
      <c r="AA484" s="3041"/>
      <c r="AF484" s="3041"/>
      <c r="AN484" s="3280"/>
      <c r="AZ484" s="3041"/>
      <c r="BD484" s="3281"/>
      <c r="BH484" s="3282"/>
      <c r="BJ484" s="2589"/>
      <c r="BK484" s="2126"/>
      <c r="BL484" s="2126"/>
      <c r="BM484" s="2126"/>
      <c r="BN484" s="2126"/>
      <c r="BO484" s="2126"/>
      <c r="BP484" s="2126"/>
      <c r="BQ484" s="2126"/>
      <c r="BR484" s="2126"/>
      <c r="BS484" s="2126"/>
    </row>
    <row r="485" spans="1:71" s="3030" customFormat="1">
      <c r="A485" s="2126"/>
      <c r="B485" s="2126"/>
      <c r="C485" s="2149"/>
      <c r="D485" s="3248"/>
      <c r="E485" s="525"/>
      <c r="F485" s="525"/>
      <c r="G485" s="526"/>
      <c r="K485" s="3280"/>
      <c r="P485" s="3041"/>
      <c r="X485" s="3280"/>
      <c r="AA485" s="3041"/>
      <c r="AF485" s="3041"/>
      <c r="AN485" s="3280"/>
      <c r="AZ485" s="3041"/>
      <c r="BD485" s="3281"/>
      <c r="BH485" s="3282"/>
      <c r="BJ485" s="2589"/>
      <c r="BK485" s="2126"/>
      <c r="BL485" s="2126"/>
      <c r="BM485" s="2126"/>
      <c r="BN485" s="2126"/>
      <c r="BO485" s="2126"/>
      <c r="BP485" s="2126"/>
      <c r="BQ485" s="2126"/>
      <c r="BR485" s="2126"/>
      <c r="BS485" s="2126"/>
    </row>
    <row r="486" spans="1:71" s="3030" customFormat="1">
      <c r="A486" s="2126"/>
      <c r="B486" s="2126"/>
      <c r="C486" s="2149"/>
      <c r="D486" s="3248"/>
      <c r="E486" s="525"/>
      <c r="F486" s="525"/>
      <c r="G486" s="526"/>
      <c r="K486" s="3280"/>
      <c r="P486" s="3041"/>
      <c r="X486" s="3280"/>
      <c r="AA486" s="3041"/>
      <c r="AF486" s="3041"/>
      <c r="AN486" s="3280"/>
      <c r="AZ486" s="3041"/>
      <c r="BD486" s="3281"/>
      <c r="BH486" s="3282"/>
      <c r="BJ486" s="2589"/>
      <c r="BK486" s="2126"/>
      <c r="BL486" s="2126"/>
      <c r="BM486" s="2126"/>
      <c r="BN486" s="2126"/>
      <c r="BO486" s="2126"/>
      <c r="BP486" s="2126"/>
      <c r="BQ486" s="2126"/>
      <c r="BR486" s="2126"/>
      <c r="BS486" s="2126"/>
    </row>
    <row r="487" spans="1:71" s="3030" customFormat="1">
      <c r="A487" s="2126"/>
      <c r="B487" s="2126"/>
      <c r="C487" s="2149"/>
      <c r="D487" s="3248"/>
      <c r="E487" s="525"/>
      <c r="F487" s="525"/>
      <c r="G487" s="526"/>
      <c r="K487" s="3280"/>
      <c r="P487" s="3041"/>
      <c r="X487" s="3280"/>
      <c r="AA487" s="3041"/>
      <c r="AF487" s="3041"/>
      <c r="AN487" s="3280"/>
      <c r="AZ487" s="3041"/>
      <c r="BD487" s="3281"/>
      <c r="BH487" s="3282"/>
      <c r="BJ487" s="2589"/>
      <c r="BK487" s="2126"/>
      <c r="BL487" s="2126"/>
      <c r="BM487" s="2126"/>
      <c r="BN487" s="2126"/>
      <c r="BO487" s="2126"/>
      <c r="BP487" s="2126"/>
      <c r="BQ487" s="2126"/>
      <c r="BR487" s="2126"/>
      <c r="BS487" s="2126"/>
    </row>
    <row r="488" spans="1:71" s="3030" customFormat="1">
      <c r="A488" s="2126"/>
      <c r="B488" s="2126"/>
      <c r="C488" s="2149"/>
      <c r="D488" s="3248"/>
      <c r="E488" s="525"/>
      <c r="F488" s="525"/>
      <c r="G488" s="526"/>
      <c r="K488" s="3280"/>
      <c r="P488" s="3041"/>
      <c r="X488" s="3280"/>
      <c r="AA488" s="3041"/>
      <c r="AF488" s="3041"/>
      <c r="AN488" s="3280"/>
      <c r="AZ488" s="3041"/>
      <c r="BD488" s="3281"/>
      <c r="BH488" s="3282"/>
      <c r="BJ488" s="2589"/>
      <c r="BK488" s="2126"/>
      <c r="BL488" s="2126"/>
      <c r="BM488" s="2126"/>
      <c r="BN488" s="2126"/>
      <c r="BO488" s="2126"/>
      <c r="BP488" s="2126"/>
      <c r="BQ488" s="2126"/>
      <c r="BR488" s="2126"/>
      <c r="BS488" s="2126"/>
    </row>
    <row r="489" spans="1:71" s="3030" customFormat="1">
      <c r="A489" s="2126"/>
      <c r="B489" s="2126"/>
      <c r="C489" s="2149"/>
      <c r="D489" s="3248"/>
      <c r="E489" s="525"/>
      <c r="F489" s="525"/>
      <c r="G489" s="526"/>
      <c r="K489" s="3280"/>
      <c r="P489" s="3041"/>
      <c r="X489" s="3280"/>
      <c r="AA489" s="3041"/>
      <c r="AF489" s="3041"/>
      <c r="AN489" s="3280"/>
      <c r="AZ489" s="3041"/>
      <c r="BD489" s="3281"/>
      <c r="BH489" s="3282"/>
      <c r="BJ489" s="2589"/>
      <c r="BK489" s="2126"/>
      <c r="BL489" s="2126"/>
      <c r="BM489" s="2126"/>
      <c r="BN489" s="2126"/>
      <c r="BO489" s="2126"/>
      <c r="BP489" s="2126"/>
      <c r="BQ489" s="2126"/>
      <c r="BR489" s="2126"/>
      <c r="BS489" s="2126"/>
    </row>
    <row r="490" spans="1:71" s="3030" customFormat="1">
      <c r="A490" s="2126"/>
      <c r="B490" s="2126"/>
      <c r="C490" s="2149"/>
      <c r="D490" s="3248"/>
      <c r="E490" s="525"/>
      <c r="F490" s="525"/>
      <c r="G490" s="526"/>
      <c r="K490" s="3280"/>
      <c r="P490" s="3041"/>
      <c r="X490" s="3280"/>
      <c r="AA490" s="3041"/>
      <c r="AF490" s="3041"/>
      <c r="AN490" s="3280"/>
      <c r="AZ490" s="3041"/>
      <c r="BD490" s="3281"/>
      <c r="BH490" s="3282"/>
      <c r="BJ490" s="2589"/>
      <c r="BK490" s="2126"/>
      <c r="BL490" s="2126"/>
      <c r="BM490" s="2126"/>
      <c r="BN490" s="2126"/>
      <c r="BO490" s="2126"/>
      <c r="BP490" s="2126"/>
      <c r="BQ490" s="2126"/>
      <c r="BR490" s="2126"/>
      <c r="BS490" s="2126"/>
    </row>
    <row r="491" spans="1:71" s="3030" customFormat="1">
      <c r="A491" s="2126"/>
      <c r="B491" s="2126"/>
      <c r="C491" s="2149"/>
      <c r="D491" s="3248"/>
      <c r="E491" s="525"/>
      <c r="F491" s="525"/>
      <c r="G491" s="526"/>
      <c r="K491" s="3280"/>
      <c r="P491" s="3041"/>
      <c r="X491" s="3280"/>
      <c r="AA491" s="3041"/>
      <c r="AF491" s="3041"/>
      <c r="AN491" s="3280"/>
      <c r="AZ491" s="3041"/>
      <c r="BD491" s="3281"/>
      <c r="BH491" s="3282"/>
      <c r="BJ491" s="2589"/>
      <c r="BK491" s="2126"/>
      <c r="BL491" s="2126"/>
      <c r="BM491" s="2126"/>
      <c r="BN491" s="2126"/>
      <c r="BO491" s="2126"/>
      <c r="BP491" s="2126"/>
      <c r="BQ491" s="2126"/>
      <c r="BR491" s="2126"/>
      <c r="BS491" s="2126"/>
    </row>
    <row r="492" spans="1:71" s="3030" customFormat="1">
      <c r="A492" s="2126"/>
      <c r="B492" s="2126"/>
      <c r="C492" s="2149"/>
      <c r="D492" s="3248"/>
      <c r="E492" s="525"/>
      <c r="F492" s="525"/>
      <c r="G492" s="526"/>
      <c r="K492" s="3280"/>
      <c r="P492" s="3041"/>
      <c r="X492" s="3280"/>
      <c r="AA492" s="3041"/>
      <c r="AF492" s="3041"/>
      <c r="AN492" s="3280"/>
      <c r="AZ492" s="3041"/>
      <c r="BD492" s="3281"/>
      <c r="BH492" s="3282"/>
      <c r="BJ492" s="2589"/>
      <c r="BK492" s="2126"/>
      <c r="BL492" s="2126"/>
      <c r="BM492" s="2126"/>
      <c r="BN492" s="2126"/>
      <c r="BO492" s="2126"/>
      <c r="BP492" s="2126"/>
      <c r="BQ492" s="2126"/>
      <c r="BR492" s="2126"/>
      <c r="BS492" s="2126"/>
    </row>
    <row r="493" spans="1:71" s="3030" customFormat="1">
      <c r="A493" s="2126"/>
      <c r="B493" s="2126"/>
      <c r="C493" s="2149"/>
      <c r="D493" s="3248"/>
      <c r="E493" s="525"/>
      <c r="F493" s="525"/>
      <c r="G493" s="526"/>
      <c r="K493" s="3280"/>
      <c r="P493" s="3041"/>
      <c r="X493" s="3280"/>
      <c r="AA493" s="3041"/>
      <c r="AF493" s="3041"/>
      <c r="AN493" s="3280"/>
      <c r="AZ493" s="3041"/>
      <c r="BD493" s="3281"/>
      <c r="BH493" s="3282"/>
      <c r="BJ493" s="2589"/>
      <c r="BK493" s="2126"/>
      <c r="BL493" s="2126"/>
      <c r="BM493" s="2126"/>
      <c r="BN493" s="2126"/>
      <c r="BO493" s="2126"/>
      <c r="BP493" s="2126"/>
      <c r="BQ493" s="2126"/>
      <c r="BR493" s="2126"/>
      <c r="BS493" s="2126"/>
    </row>
    <row r="494" spans="1:71" s="3030" customFormat="1">
      <c r="A494" s="2126"/>
      <c r="B494" s="2126"/>
      <c r="C494" s="2149"/>
      <c r="D494" s="3248"/>
      <c r="E494" s="525"/>
      <c r="F494" s="525"/>
      <c r="G494" s="526"/>
      <c r="K494" s="3280"/>
      <c r="P494" s="3041"/>
      <c r="X494" s="3280"/>
      <c r="AA494" s="3041"/>
      <c r="AF494" s="3041"/>
      <c r="AN494" s="3280"/>
      <c r="AZ494" s="3041"/>
      <c r="BD494" s="3281"/>
      <c r="BH494" s="3282"/>
      <c r="BJ494" s="2589"/>
      <c r="BK494" s="2126"/>
      <c r="BL494" s="2126"/>
      <c r="BM494" s="2126"/>
      <c r="BN494" s="2126"/>
      <c r="BO494" s="2126"/>
      <c r="BP494" s="2126"/>
      <c r="BQ494" s="2126"/>
      <c r="BR494" s="2126"/>
      <c r="BS494" s="2126"/>
    </row>
    <row r="495" spans="1:71" s="3030" customFormat="1">
      <c r="A495" s="2126"/>
      <c r="B495" s="2126"/>
      <c r="C495" s="2149"/>
      <c r="D495" s="3248"/>
      <c r="E495" s="525"/>
      <c r="F495" s="525"/>
      <c r="G495" s="526"/>
      <c r="K495" s="3280"/>
      <c r="P495" s="3041"/>
      <c r="X495" s="3280"/>
      <c r="AA495" s="3041"/>
      <c r="AF495" s="3041"/>
      <c r="AN495" s="3280"/>
      <c r="AZ495" s="3041"/>
      <c r="BD495" s="3281"/>
      <c r="BH495" s="3282"/>
      <c r="BJ495" s="2589"/>
      <c r="BK495" s="2126"/>
      <c r="BL495" s="2126"/>
      <c r="BM495" s="2126"/>
      <c r="BN495" s="2126"/>
      <c r="BO495" s="2126"/>
      <c r="BP495" s="2126"/>
      <c r="BQ495" s="2126"/>
      <c r="BR495" s="2126"/>
      <c r="BS495" s="2126"/>
    </row>
    <row r="496" spans="1:71" s="3030" customFormat="1">
      <c r="A496" s="2126"/>
      <c r="B496" s="2126"/>
      <c r="C496" s="2149"/>
      <c r="D496" s="3248"/>
      <c r="E496" s="525"/>
      <c r="F496" s="525"/>
      <c r="G496" s="526"/>
      <c r="K496" s="3280"/>
      <c r="P496" s="3041"/>
      <c r="X496" s="3280"/>
      <c r="AA496" s="3041"/>
      <c r="AF496" s="3041"/>
      <c r="AN496" s="3280"/>
      <c r="AZ496" s="3041"/>
      <c r="BD496" s="3281"/>
      <c r="BH496" s="3282"/>
      <c r="BJ496" s="2589"/>
      <c r="BK496" s="2126"/>
      <c r="BL496" s="2126"/>
      <c r="BM496" s="2126"/>
      <c r="BN496" s="2126"/>
      <c r="BO496" s="2126"/>
      <c r="BP496" s="2126"/>
      <c r="BQ496" s="2126"/>
      <c r="BR496" s="2126"/>
      <c r="BS496" s="2126"/>
    </row>
    <row r="497" spans="1:71" s="3030" customFormat="1">
      <c r="A497" s="2126"/>
      <c r="B497" s="2126"/>
      <c r="C497" s="2149"/>
      <c r="D497" s="3248"/>
      <c r="E497" s="525"/>
      <c r="F497" s="525"/>
      <c r="G497" s="526"/>
      <c r="K497" s="3280"/>
      <c r="P497" s="3041"/>
      <c r="X497" s="3280"/>
      <c r="AA497" s="3041"/>
      <c r="AF497" s="3041"/>
      <c r="AN497" s="3280"/>
      <c r="AZ497" s="3041"/>
      <c r="BD497" s="3281"/>
      <c r="BH497" s="3282"/>
      <c r="BJ497" s="2589"/>
      <c r="BK497" s="2126"/>
      <c r="BL497" s="2126"/>
      <c r="BM497" s="2126"/>
      <c r="BN497" s="2126"/>
      <c r="BO497" s="2126"/>
      <c r="BP497" s="2126"/>
      <c r="BQ497" s="2126"/>
      <c r="BR497" s="2126"/>
      <c r="BS497" s="2126"/>
    </row>
    <row r="498" spans="1:71" s="3030" customFormat="1">
      <c r="A498" s="2126"/>
      <c r="B498" s="2126"/>
      <c r="C498" s="2149"/>
      <c r="D498" s="3248"/>
      <c r="E498" s="525"/>
      <c r="F498" s="525"/>
      <c r="G498" s="526"/>
      <c r="K498" s="3280"/>
      <c r="P498" s="3041"/>
      <c r="X498" s="3280"/>
      <c r="AA498" s="3041"/>
      <c r="AF498" s="3041"/>
      <c r="AN498" s="3280"/>
      <c r="AZ498" s="3041"/>
      <c r="BD498" s="3281"/>
      <c r="BH498" s="3282"/>
      <c r="BJ498" s="2589"/>
      <c r="BK498" s="2126"/>
      <c r="BL498" s="2126"/>
      <c r="BM498" s="2126"/>
      <c r="BN498" s="2126"/>
      <c r="BO498" s="2126"/>
      <c r="BP498" s="2126"/>
      <c r="BQ498" s="2126"/>
      <c r="BR498" s="2126"/>
      <c r="BS498" s="2126"/>
    </row>
    <row r="499" spans="1:71" s="3030" customFormat="1">
      <c r="A499" s="2126"/>
      <c r="B499" s="2126"/>
      <c r="C499" s="2149"/>
      <c r="D499" s="3248"/>
      <c r="E499" s="525"/>
      <c r="F499" s="525"/>
      <c r="G499" s="526"/>
      <c r="K499" s="3280"/>
      <c r="P499" s="3041"/>
      <c r="X499" s="3280"/>
      <c r="AA499" s="3041"/>
      <c r="AF499" s="3041"/>
      <c r="AN499" s="3280"/>
      <c r="AZ499" s="3041"/>
      <c r="BD499" s="3281"/>
      <c r="BH499" s="3282"/>
      <c r="BJ499" s="2589"/>
      <c r="BK499" s="2126"/>
      <c r="BL499" s="2126"/>
      <c r="BM499" s="2126"/>
      <c r="BN499" s="2126"/>
      <c r="BO499" s="2126"/>
      <c r="BP499" s="2126"/>
      <c r="BQ499" s="2126"/>
      <c r="BR499" s="2126"/>
      <c r="BS499" s="2126"/>
    </row>
    <row r="500" spans="1:71" s="3030" customFormat="1">
      <c r="A500" s="2126"/>
      <c r="B500" s="2126"/>
      <c r="C500" s="2149"/>
      <c r="D500" s="3248"/>
      <c r="E500" s="525"/>
      <c r="F500" s="525"/>
      <c r="G500" s="526"/>
      <c r="K500" s="3280"/>
      <c r="P500" s="3041"/>
      <c r="X500" s="3280"/>
      <c r="AA500" s="3041"/>
      <c r="AF500" s="3041"/>
      <c r="AN500" s="3280"/>
      <c r="AZ500" s="3041"/>
      <c r="BD500" s="3281"/>
      <c r="BH500" s="3282"/>
      <c r="BJ500" s="2589"/>
      <c r="BK500" s="2126"/>
      <c r="BL500" s="2126"/>
      <c r="BM500" s="2126"/>
      <c r="BN500" s="2126"/>
      <c r="BO500" s="2126"/>
      <c r="BP500" s="2126"/>
      <c r="BQ500" s="2126"/>
      <c r="BR500" s="2126"/>
      <c r="BS500" s="2126"/>
    </row>
    <row r="501" spans="1:71" s="3030" customFormat="1">
      <c r="A501" s="2126"/>
      <c r="B501" s="2126"/>
      <c r="C501" s="2149"/>
      <c r="D501" s="3248"/>
      <c r="E501" s="525"/>
      <c r="F501" s="525"/>
      <c r="G501" s="526"/>
      <c r="K501" s="3280"/>
      <c r="P501" s="3041"/>
      <c r="X501" s="3280"/>
      <c r="AA501" s="3041"/>
      <c r="AF501" s="3041"/>
      <c r="AN501" s="3280"/>
      <c r="AZ501" s="3041"/>
      <c r="BD501" s="3281"/>
      <c r="BH501" s="3282"/>
      <c r="BJ501" s="2589"/>
      <c r="BK501" s="2126"/>
      <c r="BL501" s="2126"/>
      <c r="BM501" s="2126"/>
      <c r="BN501" s="2126"/>
      <c r="BO501" s="2126"/>
      <c r="BP501" s="2126"/>
      <c r="BQ501" s="2126"/>
      <c r="BR501" s="2126"/>
      <c r="BS501" s="2126"/>
    </row>
    <row r="502" spans="1:71" s="3030" customFormat="1">
      <c r="A502" s="2126"/>
      <c r="B502" s="2126"/>
      <c r="C502" s="2149"/>
      <c r="D502" s="3248"/>
      <c r="E502" s="525"/>
      <c r="F502" s="525"/>
      <c r="G502" s="526"/>
      <c r="K502" s="3280"/>
      <c r="P502" s="3041"/>
      <c r="X502" s="3280"/>
      <c r="AA502" s="3041"/>
      <c r="AF502" s="3041"/>
      <c r="AN502" s="3280"/>
      <c r="AZ502" s="3041"/>
      <c r="BD502" s="3281"/>
      <c r="BH502" s="3282"/>
      <c r="BJ502" s="2589"/>
      <c r="BK502" s="2126"/>
      <c r="BL502" s="2126"/>
      <c r="BM502" s="2126"/>
      <c r="BN502" s="2126"/>
      <c r="BO502" s="2126"/>
      <c r="BP502" s="2126"/>
      <c r="BQ502" s="2126"/>
      <c r="BR502" s="2126"/>
      <c r="BS502" s="2126"/>
    </row>
    <row r="503" spans="1:71" s="3030" customFormat="1">
      <c r="A503" s="2126"/>
      <c r="B503" s="2126"/>
      <c r="C503" s="2149"/>
      <c r="D503" s="3248"/>
      <c r="E503" s="525"/>
      <c r="F503" s="525"/>
      <c r="G503" s="526"/>
      <c r="K503" s="3280"/>
      <c r="P503" s="3041"/>
      <c r="X503" s="3280"/>
      <c r="AA503" s="3041"/>
      <c r="AF503" s="3041"/>
      <c r="AN503" s="3280"/>
      <c r="AZ503" s="3041"/>
      <c r="BD503" s="3281"/>
      <c r="BH503" s="3282"/>
      <c r="BJ503" s="2589"/>
      <c r="BK503" s="2126"/>
      <c r="BL503" s="2126"/>
      <c r="BM503" s="2126"/>
      <c r="BN503" s="2126"/>
      <c r="BO503" s="2126"/>
      <c r="BP503" s="2126"/>
      <c r="BQ503" s="2126"/>
      <c r="BR503" s="2126"/>
      <c r="BS503" s="2126"/>
    </row>
    <row r="504" spans="1:71" s="3030" customFormat="1">
      <c r="A504" s="2126"/>
      <c r="B504" s="2126"/>
      <c r="C504" s="2149"/>
      <c r="D504" s="3248"/>
      <c r="E504" s="525"/>
      <c r="F504" s="525"/>
      <c r="G504" s="526"/>
      <c r="K504" s="3280"/>
      <c r="P504" s="3041"/>
      <c r="X504" s="3280"/>
      <c r="AA504" s="3041"/>
      <c r="AF504" s="3041"/>
      <c r="AN504" s="3280"/>
      <c r="AZ504" s="3041"/>
      <c r="BD504" s="3281"/>
      <c r="BH504" s="3282"/>
      <c r="BJ504" s="2589"/>
      <c r="BK504" s="2126"/>
      <c r="BL504" s="2126"/>
      <c r="BM504" s="2126"/>
      <c r="BN504" s="2126"/>
      <c r="BO504" s="2126"/>
      <c r="BP504" s="2126"/>
      <c r="BQ504" s="2126"/>
      <c r="BR504" s="2126"/>
      <c r="BS504" s="2126"/>
    </row>
    <row r="505" spans="1:71" s="3030" customFormat="1">
      <c r="A505" s="2126"/>
      <c r="B505" s="2126"/>
      <c r="C505" s="2149"/>
      <c r="D505" s="3248"/>
      <c r="E505" s="525"/>
      <c r="F505" s="525"/>
      <c r="G505" s="526"/>
      <c r="K505" s="3280"/>
      <c r="P505" s="3041"/>
      <c r="X505" s="3280"/>
      <c r="AA505" s="3041"/>
      <c r="AF505" s="3041"/>
      <c r="AN505" s="3280"/>
      <c r="AZ505" s="3041"/>
      <c r="BD505" s="3281"/>
      <c r="BH505" s="3282"/>
      <c r="BJ505" s="2589"/>
      <c r="BK505" s="2126"/>
      <c r="BL505" s="2126"/>
      <c r="BM505" s="2126"/>
      <c r="BN505" s="2126"/>
      <c r="BO505" s="2126"/>
      <c r="BP505" s="2126"/>
      <c r="BQ505" s="2126"/>
      <c r="BR505" s="2126"/>
      <c r="BS505" s="2126"/>
    </row>
    <row r="506" spans="1:71" s="3030" customFormat="1">
      <c r="A506" s="2126"/>
      <c r="B506" s="2126"/>
      <c r="C506" s="2149"/>
      <c r="D506" s="3248"/>
      <c r="E506" s="525"/>
      <c r="F506" s="525"/>
      <c r="G506" s="526"/>
      <c r="K506" s="3280"/>
      <c r="P506" s="3041"/>
      <c r="X506" s="3280"/>
      <c r="AA506" s="3041"/>
      <c r="AF506" s="3041"/>
      <c r="AN506" s="3280"/>
      <c r="AZ506" s="3041"/>
      <c r="BD506" s="3281"/>
      <c r="BH506" s="3282"/>
      <c r="BJ506" s="2589"/>
      <c r="BK506" s="2126"/>
      <c r="BL506" s="2126"/>
      <c r="BM506" s="2126"/>
      <c r="BN506" s="2126"/>
      <c r="BO506" s="2126"/>
      <c r="BP506" s="2126"/>
      <c r="BQ506" s="2126"/>
      <c r="BR506" s="2126"/>
      <c r="BS506" s="2126"/>
    </row>
    <row r="507" spans="1:71" s="3030" customFormat="1">
      <c r="A507" s="2126"/>
      <c r="B507" s="2126"/>
      <c r="C507" s="2149"/>
      <c r="D507" s="3248"/>
      <c r="E507" s="525"/>
      <c r="F507" s="525"/>
      <c r="G507" s="526"/>
      <c r="K507" s="3280"/>
      <c r="P507" s="3041"/>
      <c r="X507" s="3280"/>
      <c r="AA507" s="3041"/>
      <c r="AF507" s="3041"/>
      <c r="AN507" s="3280"/>
      <c r="AZ507" s="3041"/>
      <c r="BD507" s="3281"/>
      <c r="BH507" s="3282"/>
      <c r="BJ507" s="2589"/>
      <c r="BK507" s="2126"/>
      <c r="BL507" s="2126"/>
      <c r="BM507" s="2126"/>
      <c r="BN507" s="2126"/>
      <c r="BO507" s="2126"/>
      <c r="BP507" s="2126"/>
      <c r="BQ507" s="2126"/>
      <c r="BR507" s="2126"/>
      <c r="BS507" s="2126"/>
    </row>
    <row r="508" spans="1:71" s="3030" customFormat="1">
      <c r="A508" s="2126"/>
      <c r="B508" s="2126"/>
      <c r="C508" s="2149"/>
      <c r="D508" s="3248"/>
      <c r="E508" s="525"/>
      <c r="F508" s="525"/>
      <c r="G508" s="526"/>
      <c r="K508" s="3280"/>
      <c r="P508" s="3041"/>
      <c r="X508" s="3280"/>
      <c r="AA508" s="3041"/>
      <c r="AF508" s="3041"/>
      <c r="AN508" s="3280"/>
      <c r="AZ508" s="3041"/>
      <c r="BD508" s="3281"/>
      <c r="BH508" s="3282"/>
      <c r="BJ508" s="2589"/>
      <c r="BK508" s="2126"/>
      <c r="BL508" s="2126"/>
      <c r="BM508" s="2126"/>
      <c r="BN508" s="2126"/>
      <c r="BO508" s="2126"/>
      <c r="BP508" s="2126"/>
      <c r="BQ508" s="2126"/>
      <c r="BR508" s="2126"/>
      <c r="BS508" s="2126"/>
    </row>
    <row r="509" spans="1:71" s="3030" customFormat="1">
      <c r="A509" s="2126"/>
      <c r="B509" s="2126"/>
      <c r="C509" s="2149"/>
      <c r="D509" s="3248"/>
      <c r="E509" s="525"/>
      <c r="F509" s="525"/>
      <c r="G509" s="526"/>
      <c r="K509" s="3280"/>
      <c r="P509" s="3041"/>
      <c r="X509" s="3280"/>
      <c r="AA509" s="3041"/>
      <c r="AF509" s="3041"/>
      <c r="AN509" s="3280"/>
      <c r="AZ509" s="3041"/>
      <c r="BD509" s="3281"/>
      <c r="BH509" s="3282"/>
      <c r="BJ509" s="2589"/>
      <c r="BK509" s="2126"/>
      <c r="BL509" s="2126"/>
      <c r="BM509" s="2126"/>
      <c r="BN509" s="2126"/>
      <c r="BO509" s="2126"/>
      <c r="BP509" s="2126"/>
      <c r="BQ509" s="2126"/>
      <c r="BR509" s="2126"/>
      <c r="BS509" s="2126"/>
    </row>
    <row r="510" spans="1:71" s="3030" customFormat="1">
      <c r="A510" s="2126"/>
      <c r="B510" s="2126"/>
      <c r="C510" s="2149"/>
      <c r="D510" s="3248"/>
      <c r="E510" s="525"/>
      <c r="F510" s="525"/>
      <c r="G510" s="526"/>
      <c r="K510" s="3280"/>
      <c r="P510" s="3041"/>
      <c r="X510" s="3280"/>
      <c r="AA510" s="3041"/>
      <c r="AF510" s="3041"/>
      <c r="AN510" s="3280"/>
      <c r="AZ510" s="3041"/>
      <c r="BD510" s="3281"/>
      <c r="BH510" s="3282"/>
      <c r="BJ510" s="2589"/>
      <c r="BK510" s="2126"/>
      <c r="BL510" s="2126"/>
      <c r="BM510" s="2126"/>
      <c r="BN510" s="2126"/>
      <c r="BO510" s="2126"/>
      <c r="BP510" s="2126"/>
      <c r="BQ510" s="2126"/>
      <c r="BR510" s="2126"/>
      <c r="BS510" s="2126"/>
    </row>
    <row r="511" spans="1:71" s="3030" customFormat="1">
      <c r="A511" s="2126"/>
      <c r="B511" s="2126"/>
      <c r="C511" s="2149"/>
      <c r="D511" s="3248"/>
      <c r="E511" s="525"/>
      <c r="F511" s="525"/>
      <c r="G511" s="526"/>
      <c r="K511" s="3280"/>
      <c r="P511" s="3041"/>
      <c r="X511" s="3280"/>
      <c r="AA511" s="3041"/>
      <c r="AF511" s="3041"/>
      <c r="AN511" s="3280"/>
      <c r="AZ511" s="3041"/>
      <c r="BD511" s="3281"/>
      <c r="BH511" s="3282"/>
      <c r="BJ511" s="2589"/>
      <c r="BK511" s="2126"/>
      <c r="BL511" s="2126"/>
      <c r="BM511" s="2126"/>
      <c r="BN511" s="2126"/>
      <c r="BO511" s="2126"/>
      <c r="BP511" s="2126"/>
      <c r="BQ511" s="2126"/>
      <c r="BR511" s="2126"/>
      <c r="BS511" s="2126"/>
    </row>
    <row r="512" spans="1:71" s="3030" customFormat="1">
      <c r="A512" s="2126"/>
      <c r="B512" s="2126"/>
      <c r="C512" s="2149"/>
      <c r="D512" s="3248"/>
      <c r="E512" s="525"/>
      <c r="F512" s="525"/>
      <c r="G512" s="526"/>
      <c r="K512" s="3280"/>
      <c r="P512" s="3041"/>
      <c r="X512" s="3280"/>
      <c r="AA512" s="3041"/>
      <c r="AF512" s="3041"/>
      <c r="AN512" s="3280"/>
      <c r="AZ512" s="3041"/>
      <c r="BD512" s="3281"/>
      <c r="BH512" s="3282"/>
      <c r="BJ512" s="2589"/>
      <c r="BK512" s="2126"/>
      <c r="BL512" s="2126"/>
      <c r="BM512" s="2126"/>
      <c r="BN512" s="2126"/>
      <c r="BO512" s="2126"/>
      <c r="BP512" s="2126"/>
      <c r="BQ512" s="2126"/>
      <c r="BR512" s="2126"/>
      <c r="BS512" s="2126"/>
    </row>
    <row r="513" spans="1:71" s="3030" customFormat="1">
      <c r="A513" s="2126"/>
      <c r="B513" s="2126"/>
      <c r="C513" s="2149"/>
      <c r="D513" s="3248"/>
      <c r="E513" s="525"/>
      <c r="F513" s="525"/>
      <c r="G513" s="526"/>
      <c r="K513" s="3280"/>
      <c r="P513" s="3041"/>
      <c r="X513" s="3280"/>
      <c r="AA513" s="3041"/>
      <c r="AF513" s="3041"/>
      <c r="AN513" s="3280"/>
      <c r="AZ513" s="3041"/>
      <c r="BD513" s="3281"/>
      <c r="BH513" s="3282"/>
      <c r="BJ513" s="2589"/>
      <c r="BK513" s="2126"/>
      <c r="BL513" s="2126"/>
      <c r="BM513" s="2126"/>
      <c r="BN513" s="2126"/>
      <c r="BO513" s="2126"/>
      <c r="BP513" s="2126"/>
      <c r="BQ513" s="2126"/>
      <c r="BR513" s="2126"/>
      <c r="BS513" s="2126"/>
    </row>
    <row r="514" spans="1:71" s="3030" customFormat="1">
      <c r="A514" s="2126"/>
      <c r="B514" s="2126"/>
      <c r="C514" s="2149"/>
      <c r="D514" s="3248"/>
      <c r="E514" s="525"/>
      <c r="F514" s="525"/>
      <c r="G514" s="526"/>
      <c r="K514" s="3280"/>
      <c r="P514" s="3041"/>
      <c r="X514" s="3280"/>
      <c r="AA514" s="3041"/>
      <c r="AF514" s="3041"/>
      <c r="AN514" s="3280"/>
      <c r="AZ514" s="3041"/>
      <c r="BD514" s="3281"/>
      <c r="BH514" s="3282"/>
      <c r="BJ514" s="2589"/>
      <c r="BK514" s="2126"/>
      <c r="BL514" s="2126"/>
      <c r="BM514" s="2126"/>
      <c r="BN514" s="2126"/>
      <c r="BO514" s="2126"/>
      <c r="BP514" s="2126"/>
      <c r="BQ514" s="2126"/>
      <c r="BR514" s="2126"/>
      <c r="BS514" s="2126"/>
    </row>
    <row r="515" spans="1:71" s="3030" customFormat="1">
      <c r="A515" s="2126"/>
      <c r="B515" s="2126"/>
      <c r="C515" s="2149"/>
      <c r="D515" s="3248"/>
      <c r="E515" s="525"/>
      <c r="F515" s="525"/>
      <c r="G515" s="526"/>
      <c r="K515" s="3280"/>
      <c r="P515" s="3041"/>
      <c r="X515" s="3280"/>
      <c r="AA515" s="3041"/>
      <c r="AF515" s="3041"/>
      <c r="AN515" s="3280"/>
      <c r="AZ515" s="3041"/>
      <c r="BD515" s="3281"/>
      <c r="BH515" s="3282"/>
      <c r="BJ515" s="2589"/>
      <c r="BK515" s="2126"/>
      <c r="BL515" s="2126"/>
      <c r="BM515" s="2126"/>
      <c r="BN515" s="2126"/>
      <c r="BO515" s="2126"/>
      <c r="BP515" s="2126"/>
      <c r="BQ515" s="2126"/>
      <c r="BR515" s="2126"/>
      <c r="BS515" s="2126"/>
    </row>
    <row r="516" spans="1:71" s="3030" customFormat="1">
      <c r="A516" s="2126"/>
      <c r="B516" s="2126"/>
      <c r="C516" s="2149"/>
      <c r="D516" s="3248"/>
      <c r="E516" s="525"/>
      <c r="F516" s="525"/>
      <c r="G516" s="526"/>
      <c r="K516" s="3280"/>
      <c r="P516" s="3041"/>
      <c r="X516" s="3280"/>
      <c r="AA516" s="3041"/>
      <c r="AF516" s="3041"/>
      <c r="AN516" s="3280"/>
      <c r="AZ516" s="3041"/>
      <c r="BD516" s="3281"/>
      <c r="BH516" s="3282"/>
      <c r="BJ516" s="2589"/>
      <c r="BK516" s="2126"/>
      <c r="BL516" s="2126"/>
      <c r="BM516" s="2126"/>
      <c r="BN516" s="2126"/>
      <c r="BO516" s="2126"/>
      <c r="BP516" s="2126"/>
      <c r="BQ516" s="2126"/>
      <c r="BR516" s="2126"/>
      <c r="BS516" s="2126"/>
    </row>
    <row r="517" spans="1:71" s="3030" customFormat="1">
      <c r="A517" s="2126"/>
      <c r="B517" s="2126"/>
      <c r="C517" s="2149"/>
      <c r="D517" s="3248"/>
      <c r="E517" s="525"/>
      <c r="F517" s="525"/>
      <c r="G517" s="526"/>
      <c r="K517" s="3280"/>
      <c r="P517" s="3041"/>
      <c r="X517" s="3280"/>
      <c r="AA517" s="3041"/>
      <c r="AF517" s="3041"/>
      <c r="AN517" s="3280"/>
      <c r="AZ517" s="3041"/>
      <c r="BD517" s="3281"/>
      <c r="BH517" s="3282"/>
      <c r="BJ517" s="2589"/>
      <c r="BK517" s="2126"/>
      <c r="BL517" s="2126"/>
      <c r="BM517" s="2126"/>
      <c r="BN517" s="2126"/>
      <c r="BO517" s="2126"/>
      <c r="BP517" s="2126"/>
      <c r="BQ517" s="2126"/>
      <c r="BR517" s="2126"/>
      <c r="BS517" s="2126"/>
    </row>
    <row r="518" spans="1:71" s="3030" customFormat="1">
      <c r="A518" s="2126"/>
      <c r="B518" s="2126"/>
      <c r="C518" s="2149"/>
      <c r="D518" s="3248"/>
      <c r="E518" s="525"/>
      <c r="F518" s="525"/>
      <c r="G518" s="526"/>
      <c r="K518" s="3280"/>
      <c r="P518" s="3041"/>
      <c r="X518" s="3280"/>
      <c r="AA518" s="3041"/>
      <c r="AF518" s="3041"/>
      <c r="AN518" s="3280"/>
      <c r="AZ518" s="3041"/>
      <c r="BD518" s="3281"/>
      <c r="BH518" s="3282"/>
      <c r="BJ518" s="2589"/>
      <c r="BK518" s="2126"/>
      <c r="BL518" s="2126"/>
      <c r="BM518" s="2126"/>
      <c r="BN518" s="2126"/>
      <c r="BO518" s="2126"/>
      <c r="BP518" s="2126"/>
      <c r="BQ518" s="2126"/>
      <c r="BR518" s="2126"/>
      <c r="BS518" s="2126"/>
    </row>
    <row r="519" spans="1:71" s="3030" customFormat="1">
      <c r="A519" s="2126"/>
      <c r="B519" s="2126"/>
      <c r="C519" s="2149"/>
      <c r="D519" s="3248"/>
      <c r="E519" s="525"/>
      <c r="F519" s="525"/>
      <c r="G519" s="526"/>
      <c r="K519" s="3280"/>
      <c r="P519" s="3041"/>
      <c r="X519" s="3280"/>
      <c r="AA519" s="3041"/>
      <c r="AF519" s="3041"/>
      <c r="AN519" s="3280"/>
      <c r="AZ519" s="3041"/>
      <c r="BD519" s="3281"/>
      <c r="BH519" s="3282"/>
      <c r="BJ519" s="2589"/>
      <c r="BK519" s="2126"/>
      <c r="BL519" s="2126"/>
      <c r="BM519" s="2126"/>
      <c r="BN519" s="2126"/>
      <c r="BO519" s="2126"/>
      <c r="BP519" s="2126"/>
      <c r="BQ519" s="2126"/>
      <c r="BR519" s="2126"/>
      <c r="BS519" s="2126"/>
    </row>
    <row r="520" spans="1:71" s="3030" customFormat="1">
      <c r="A520" s="2126"/>
      <c r="B520" s="2126"/>
      <c r="C520" s="2149"/>
      <c r="D520" s="3248"/>
      <c r="E520" s="525"/>
      <c r="F520" s="525"/>
      <c r="G520" s="526"/>
      <c r="K520" s="3280"/>
      <c r="P520" s="3041"/>
      <c r="X520" s="3280"/>
      <c r="AA520" s="3041"/>
      <c r="AF520" s="3041"/>
      <c r="AN520" s="3280"/>
      <c r="AZ520" s="3041"/>
      <c r="BD520" s="3281"/>
      <c r="BH520" s="3282"/>
      <c r="BJ520" s="2589"/>
      <c r="BK520" s="2126"/>
      <c r="BL520" s="2126"/>
      <c r="BM520" s="2126"/>
      <c r="BN520" s="2126"/>
      <c r="BO520" s="2126"/>
      <c r="BP520" s="2126"/>
      <c r="BQ520" s="2126"/>
      <c r="BR520" s="2126"/>
      <c r="BS520" s="2126"/>
    </row>
    <row r="521" spans="1:71" s="3030" customFormat="1">
      <c r="A521" s="2126"/>
      <c r="B521" s="2126"/>
      <c r="C521" s="2149"/>
      <c r="D521" s="3248"/>
      <c r="E521" s="525"/>
      <c r="F521" s="525"/>
      <c r="G521" s="526"/>
      <c r="K521" s="3280"/>
      <c r="P521" s="3041"/>
      <c r="X521" s="3280"/>
      <c r="AA521" s="3041"/>
      <c r="AF521" s="3041"/>
      <c r="AN521" s="3280"/>
      <c r="AZ521" s="3041"/>
      <c r="BD521" s="3281"/>
      <c r="BH521" s="3282"/>
      <c r="BJ521" s="2589"/>
      <c r="BK521" s="2126"/>
      <c r="BL521" s="2126"/>
      <c r="BM521" s="2126"/>
      <c r="BN521" s="2126"/>
      <c r="BO521" s="2126"/>
      <c r="BP521" s="2126"/>
      <c r="BQ521" s="2126"/>
      <c r="BR521" s="2126"/>
      <c r="BS521" s="2126"/>
    </row>
    <row r="522" spans="1:71" s="3030" customFormat="1">
      <c r="A522" s="2126"/>
      <c r="B522" s="2126"/>
      <c r="C522" s="2149"/>
      <c r="D522" s="3248"/>
      <c r="E522" s="525"/>
      <c r="F522" s="525"/>
      <c r="G522" s="526"/>
      <c r="K522" s="3280"/>
      <c r="P522" s="3041"/>
      <c r="X522" s="3280"/>
      <c r="AA522" s="3041"/>
      <c r="AF522" s="3041"/>
      <c r="AN522" s="3280"/>
      <c r="AZ522" s="3041"/>
      <c r="BD522" s="3281"/>
      <c r="BH522" s="3282"/>
      <c r="BJ522" s="2589"/>
      <c r="BK522" s="2126"/>
      <c r="BL522" s="2126"/>
      <c r="BM522" s="2126"/>
      <c r="BN522" s="2126"/>
      <c r="BO522" s="2126"/>
      <c r="BP522" s="2126"/>
      <c r="BQ522" s="2126"/>
      <c r="BR522" s="2126"/>
      <c r="BS522" s="2126"/>
    </row>
    <row r="523" spans="1:71" s="3030" customFormat="1">
      <c r="A523" s="2126"/>
      <c r="B523" s="2126"/>
      <c r="C523" s="2149"/>
      <c r="D523" s="3248"/>
      <c r="E523" s="525"/>
      <c r="F523" s="525"/>
      <c r="G523" s="526"/>
      <c r="K523" s="3280"/>
      <c r="P523" s="3041"/>
      <c r="X523" s="3280"/>
      <c r="AA523" s="3041"/>
      <c r="AF523" s="3041"/>
      <c r="AN523" s="3280"/>
      <c r="AZ523" s="3041"/>
      <c r="BD523" s="3281"/>
      <c r="BH523" s="3282"/>
      <c r="BJ523" s="2589"/>
      <c r="BK523" s="2126"/>
      <c r="BL523" s="2126"/>
      <c r="BM523" s="2126"/>
      <c r="BN523" s="2126"/>
      <c r="BO523" s="2126"/>
      <c r="BP523" s="2126"/>
      <c r="BQ523" s="2126"/>
      <c r="BR523" s="2126"/>
      <c r="BS523" s="2126"/>
    </row>
    <row r="524" spans="1:71" s="3030" customFormat="1">
      <c r="A524" s="2126"/>
      <c r="B524" s="2126"/>
      <c r="C524" s="2149"/>
      <c r="D524" s="3248"/>
      <c r="E524" s="525"/>
      <c r="F524" s="525"/>
      <c r="G524" s="526"/>
      <c r="K524" s="3280"/>
      <c r="P524" s="3041"/>
      <c r="X524" s="3280"/>
      <c r="AA524" s="3041"/>
      <c r="AF524" s="3041"/>
      <c r="AN524" s="3280"/>
      <c r="AZ524" s="3041"/>
      <c r="BD524" s="3281"/>
      <c r="BH524" s="3282"/>
      <c r="BJ524" s="2589"/>
      <c r="BK524" s="2126"/>
      <c r="BL524" s="2126"/>
      <c r="BM524" s="2126"/>
      <c r="BN524" s="2126"/>
      <c r="BO524" s="2126"/>
      <c r="BP524" s="2126"/>
      <c r="BQ524" s="2126"/>
      <c r="BR524" s="2126"/>
      <c r="BS524" s="2126"/>
    </row>
    <row r="525" spans="1:71" s="3030" customFormat="1">
      <c r="A525" s="2126"/>
      <c r="B525" s="2126"/>
      <c r="C525" s="2149"/>
      <c r="D525" s="3248"/>
      <c r="E525" s="525"/>
      <c r="F525" s="525"/>
      <c r="G525" s="526"/>
      <c r="K525" s="3280"/>
      <c r="P525" s="3041"/>
      <c r="X525" s="3280"/>
      <c r="AA525" s="3041"/>
      <c r="AF525" s="3041"/>
      <c r="AN525" s="3280"/>
      <c r="AZ525" s="3041"/>
      <c r="BD525" s="3281"/>
      <c r="BH525" s="3282"/>
      <c r="BJ525" s="2589"/>
      <c r="BK525" s="2126"/>
      <c r="BL525" s="2126"/>
      <c r="BM525" s="2126"/>
      <c r="BN525" s="2126"/>
      <c r="BO525" s="2126"/>
      <c r="BP525" s="2126"/>
      <c r="BQ525" s="2126"/>
      <c r="BR525" s="2126"/>
      <c r="BS525" s="2126"/>
    </row>
    <row r="526" spans="1:71" s="3030" customFormat="1">
      <c r="A526" s="2126"/>
      <c r="B526" s="2126"/>
      <c r="C526" s="2149"/>
      <c r="D526" s="3248"/>
      <c r="E526" s="525"/>
      <c r="F526" s="525"/>
      <c r="G526" s="526"/>
      <c r="K526" s="3280"/>
      <c r="P526" s="3041"/>
      <c r="X526" s="3280"/>
      <c r="AA526" s="3041"/>
      <c r="AF526" s="3041"/>
      <c r="AN526" s="3280"/>
      <c r="AZ526" s="3041"/>
      <c r="BD526" s="3281"/>
      <c r="BH526" s="3282"/>
      <c r="BJ526" s="2589"/>
      <c r="BK526" s="2126"/>
      <c r="BL526" s="2126"/>
      <c r="BM526" s="2126"/>
      <c r="BN526" s="2126"/>
      <c r="BO526" s="2126"/>
      <c r="BP526" s="2126"/>
      <c r="BQ526" s="2126"/>
      <c r="BR526" s="2126"/>
      <c r="BS526" s="2126"/>
    </row>
    <row r="527" spans="1:71" s="3030" customFormat="1">
      <c r="A527" s="2126"/>
      <c r="B527" s="2126"/>
      <c r="C527" s="2149"/>
      <c r="D527" s="3248"/>
      <c r="E527" s="525"/>
      <c r="F527" s="525"/>
      <c r="G527" s="526"/>
      <c r="K527" s="3280"/>
      <c r="P527" s="3041"/>
      <c r="X527" s="3280"/>
      <c r="AA527" s="3041"/>
      <c r="AF527" s="3041"/>
      <c r="AN527" s="3280"/>
      <c r="AZ527" s="3041"/>
      <c r="BD527" s="3281"/>
      <c r="BH527" s="3282"/>
      <c r="BJ527" s="2589"/>
      <c r="BK527" s="2126"/>
      <c r="BL527" s="2126"/>
      <c r="BM527" s="2126"/>
      <c r="BN527" s="2126"/>
      <c r="BO527" s="2126"/>
      <c r="BP527" s="2126"/>
      <c r="BQ527" s="2126"/>
      <c r="BR527" s="2126"/>
      <c r="BS527" s="2126"/>
    </row>
    <row r="528" spans="1:71" s="3030" customFormat="1">
      <c r="A528" s="2126"/>
      <c r="B528" s="2126"/>
      <c r="C528" s="2149"/>
      <c r="D528" s="3248"/>
      <c r="E528" s="525"/>
      <c r="F528" s="525"/>
      <c r="G528" s="526"/>
      <c r="K528" s="3280"/>
      <c r="P528" s="3041"/>
      <c r="X528" s="3280"/>
      <c r="AA528" s="3041"/>
      <c r="AF528" s="3041"/>
      <c r="AN528" s="3280"/>
      <c r="AZ528" s="3041"/>
      <c r="BD528" s="3281"/>
      <c r="BH528" s="3282"/>
      <c r="BJ528" s="2589"/>
      <c r="BK528" s="2126"/>
      <c r="BL528" s="2126"/>
      <c r="BM528" s="2126"/>
      <c r="BN528" s="2126"/>
      <c r="BO528" s="2126"/>
      <c r="BP528" s="2126"/>
      <c r="BQ528" s="2126"/>
      <c r="BR528" s="2126"/>
      <c r="BS528" s="2126"/>
    </row>
    <row r="529" spans="1:71" s="3030" customFormat="1">
      <c r="A529" s="2126"/>
      <c r="B529" s="2126"/>
      <c r="C529" s="2149"/>
      <c r="D529" s="3248"/>
      <c r="E529" s="525"/>
      <c r="F529" s="525"/>
      <c r="G529" s="526"/>
      <c r="K529" s="3280"/>
      <c r="P529" s="3041"/>
      <c r="X529" s="3280"/>
      <c r="AA529" s="3041"/>
      <c r="AF529" s="3041"/>
      <c r="AN529" s="3280"/>
      <c r="AZ529" s="3041"/>
      <c r="BD529" s="3281"/>
      <c r="BH529" s="3282"/>
      <c r="BJ529" s="2589"/>
      <c r="BK529" s="2126"/>
      <c r="BL529" s="2126"/>
      <c r="BM529" s="2126"/>
      <c r="BN529" s="2126"/>
      <c r="BO529" s="2126"/>
      <c r="BP529" s="2126"/>
      <c r="BQ529" s="2126"/>
      <c r="BR529" s="2126"/>
      <c r="BS529" s="2126"/>
    </row>
    <row r="530" spans="1:71" s="3030" customFormat="1">
      <c r="A530" s="2126"/>
      <c r="B530" s="2126"/>
      <c r="C530" s="2149"/>
      <c r="D530" s="3248"/>
      <c r="E530" s="525"/>
      <c r="F530" s="525"/>
      <c r="G530" s="526"/>
      <c r="K530" s="3280"/>
      <c r="P530" s="3041"/>
      <c r="X530" s="3280"/>
      <c r="AA530" s="3041"/>
      <c r="AF530" s="3041"/>
      <c r="AN530" s="3280"/>
      <c r="AZ530" s="3041"/>
      <c r="BD530" s="3281"/>
      <c r="BH530" s="3282"/>
      <c r="BJ530" s="2589"/>
      <c r="BK530" s="2126"/>
      <c r="BL530" s="2126"/>
      <c r="BM530" s="2126"/>
      <c r="BN530" s="2126"/>
      <c r="BO530" s="2126"/>
      <c r="BP530" s="2126"/>
      <c r="BQ530" s="2126"/>
      <c r="BR530" s="2126"/>
      <c r="BS530" s="2126"/>
    </row>
    <row r="531" spans="1:71" s="3030" customFormat="1">
      <c r="A531" s="2126"/>
      <c r="B531" s="2126"/>
      <c r="C531" s="2149"/>
      <c r="D531" s="3248"/>
      <c r="E531" s="525"/>
      <c r="F531" s="525"/>
      <c r="G531" s="526"/>
      <c r="K531" s="3280"/>
      <c r="P531" s="3041"/>
      <c r="X531" s="3280"/>
      <c r="AA531" s="3041"/>
      <c r="AF531" s="3041"/>
      <c r="AN531" s="3280"/>
      <c r="AZ531" s="3041"/>
      <c r="BD531" s="3281"/>
      <c r="BH531" s="3282"/>
      <c r="BJ531" s="2589"/>
      <c r="BK531" s="2126"/>
      <c r="BL531" s="2126"/>
      <c r="BM531" s="2126"/>
      <c r="BN531" s="2126"/>
      <c r="BO531" s="2126"/>
      <c r="BP531" s="2126"/>
      <c r="BQ531" s="2126"/>
      <c r="BR531" s="2126"/>
      <c r="BS531" s="2126"/>
    </row>
    <row r="532" spans="1:71" s="3030" customFormat="1">
      <c r="A532" s="2126"/>
      <c r="B532" s="2126"/>
      <c r="C532" s="2149"/>
      <c r="D532" s="3248"/>
      <c r="E532" s="525"/>
      <c r="F532" s="525"/>
      <c r="G532" s="526"/>
      <c r="K532" s="3280"/>
      <c r="P532" s="3041"/>
      <c r="X532" s="3280"/>
      <c r="AA532" s="3041"/>
      <c r="AF532" s="3041"/>
      <c r="AN532" s="3280"/>
      <c r="AZ532" s="3041"/>
      <c r="BD532" s="3281"/>
      <c r="BH532" s="3282"/>
      <c r="BJ532" s="2589"/>
      <c r="BK532" s="2126"/>
      <c r="BL532" s="2126"/>
      <c r="BM532" s="2126"/>
      <c r="BN532" s="2126"/>
      <c r="BO532" s="2126"/>
      <c r="BP532" s="2126"/>
      <c r="BQ532" s="2126"/>
      <c r="BR532" s="2126"/>
      <c r="BS532" s="2126"/>
    </row>
    <row r="533" spans="1:71" s="3030" customFormat="1">
      <c r="A533" s="2126"/>
      <c r="B533" s="2126"/>
      <c r="C533" s="2149"/>
      <c r="D533" s="3248"/>
      <c r="E533" s="525"/>
      <c r="F533" s="525"/>
      <c r="G533" s="526"/>
      <c r="K533" s="3280"/>
      <c r="P533" s="3041"/>
      <c r="X533" s="3280"/>
      <c r="AA533" s="3041"/>
      <c r="AF533" s="3041"/>
      <c r="AN533" s="3280"/>
      <c r="AZ533" s="3041"/>
      <c r="BD533" s="3281"/>
      <c r="BH533" s="3282"/>
      <c r="BJ533" s="2589"/>
      <c r="BK533" s="2126"/>
      <c r="BL533" s="2126"/>
      <c r="BM533" s="2126"/>
      <c r="BN533" s="2126"/>
      <c r="BO533" s="2126"/>
      <c r="BP533" s="2126"/>
      <c r="BQ533" s="2126"/>
      <c r="BR533" s="2126"/>
      <c r="BS533" s="2126"/>
    </row>
    <row r="534" spans="1:71" s="3030" customFormat="1">
      <c r="A534" s="2126"/>
      <c r="B534" s="2126"/>
      <c r="C534" s="2149"/>
      <c r="D534" s="3248"/>
      <c r="E534" s="525"/>
      <c r="F534" s="525"/>
      <c r="G534" s="526"/>
      <c r="K534" s="3280"/>
      <c r="P534" s="3041"/>
      <c r="X534" s="3280"/>
      <c r="AA534" s="3041"/>
      <c r="AF534" s="3041"/>
      <c r="AN534" s="3280"/>
      <c r="AZ534" s="3041"/>
      <c r="BD534" s="3281"/>
      <c r="BH534" s="3282"/>
      <c r="BJ534" s="2589"/>
      <c r="BK534" s="2126"/>
      <c r="BL534" s="2126"/>
      <c r="BM534" s="2126"/>
      <c r="BN534" s="2126"/>
      <c r="BO534" s="2126"/>
      <c r="BP534" s="2126"/>
      <c r="BQ534" s="2126"/>
      <c r="BR534" s="2126"/>
      <c r="BS534" s="2126"/>
    </row>
    <row r="535" spans="1:71" s="3030" customFormat="1">
      <c r="A535" s="2126"/>
      <c r="B535" s="2126"/>
      <c r="C535" s="2149"/>
      <c r="D535" s="3248"/>
      <c r="E535" s="525"/>
      <c r="F535" s="525"/>
      <c r="G535" s="526"/>
      <c r="K535" s="3280"/>
      <c r="P535" s="3041"/>
      <c r="X535" s="3280"/>
      <c r="AA535" s="3041"/>
      <c r="AF535" s="3041"/>
      <c r="AN535" s="3280"/>
      <c r="AZ535" s="3041"/>
      <c r="BD535" s="3281"/>
      <c r="BH535" s="3282"/>
      <c r="BJ535" s="2589"/>
      <c r="BK535" s="2126"/>
      <c r="BL535" s="2126"/>
      <c r="BM535" s="2126"/>
      <c r="BN535" s="2126"/>
      <c r="BO535" s="2126"/>
      <c r="BP535" s="2126"/>
      <c r="BQ535" s="2126"/>
      <c r="BR535" s="2126"/>
      <c r="BS535" s="2126"/>
    </row>
    <row r="536" spans="1:71" s="3030" customFormat="1">
      <c r="A536" s="2126"/>
      <c r="B536" s="2126"/>
      <c r="C536" s="2149"/>
      <c r="D536" s="3248"/>
      <c r="E536" s="525"/>
      <c r="F536" s="525"/>
      <c r="G536" s="526"/>
      <c r="K536" s="3280"/>
      <c r="P536" s="3041"/>
      <c r="X536" s="3280"/>
      <c r="AA536" s="3041"/>
      <c r="AF536" s="3041"/>
      <c r="AN536" s="3280"/>
      <c r="AZ536" s="3041"/>
      <c r="BD536" s="3281"/>
      <c r="BH536" s="3282"/>
      <c r="BJ536" s="2589"/>
      <c r="BK536" s="2126"/>
      <c r="BL536" s="2126"/>
      <c r="BM536" s="2126"/>
      <c r="BN536" s="2126"/>
      <c r="BO536" s="2126"/>
      <c r="BP536" s="2126"/>
      <c r="BQ536" s="2126"/>
      <c r="BR536" s="2126"/>
      <c r="BS536" s="2126"/>
    </row>
    <row r="537" spans="1:71" s="3030" customFormat="1">
      <c r="A537" s="2126"/>
      <c r="B537" s="2126"/>
      <c r="C537" s="2149"/>
      <c r="D537" s="3248"/>
      <c r="E537" s="525"/>
      <c r="F537" s="525"/>
      <c r="G537" s="526"/>
      <c r="K537" s="3280"/>
      <c r="P537" s="3041"/>
      <c r="X537" s="3280"/>
      <c r="AA537" s="3041"/>
      <c r="AF537" s="3041"/>
      <c r="AN537" s="3280"/>
      <c r="AZ537" s="3041"/>
      <c r="BD537" s="3281"/>
      <c r="BH537" s="3282"/>
      <c r="BJ537" s="2589"/>
      <c r="BK537" s="2126"/>
      <c r="BL537" s="2126"/>
      <c r="BM537" s="2126"/>
      <c r="BN537" s="2126"/>
      <c r="BO537" s="2126"/>
      <c r="BP537" s="2126"/>
      <c r="BQ537" s="2126"/>
      <c r="BR537" s="2126"/>
      <c r="BS537" s="2126"/>
    </row>
    <row r="538" spans="1:71" s="3030" customFormat="1">
      <c r="A538" s="2126"/>
      <c r="B538" s="2126"/>
      <c r="C538" s="2149"/>
      <c r="D538" s="3248"/>
      <c r="E538" s="525"/>
      <c r="F538" s="525"/>
      <c r="G538" s="526"/>
      <c r="K538" s="3280"/>
      <c r="P538" s="3041"/>
      <c r="X538" s="3280"/>
      <c r="AA538" s="3041"/>
      <c r="AF538" s="3041"/>
      <c r="AN538" s="3280"/>
      <c r="AZ538" s="3041"/>
      <c r="BD538" s="3281"/>
      <c r="BH538" s="3282"/>
      <c r="BJ538" s="2589"/>
      <c r="BK538" s="2126"/>
      <c r="BL538" s="2126"/>
      <c r="BM538" s="2126"/>
      <c r="BN538" s="2126"/>
      <c r="BO538" s="2126"/>
      <c r="BP538" s="2126"/>
      <c r="BQ538" s="2126"/>
      <c r="BR538" s="2126"/>
      <c r="BS538" s="2126"/>
    </row>
    <row r="539" spans="1:71" s="3030" customFormat="1">
      <c r="A539" s="2126"/>
      <c r="B539" s="2126"/>
      <c r="C539" s="2149"/>
      <c r="D539" s="3248"/>
      <c r="E539" s="525"/>
      <c r="F539" s="525"/>
      <c r="G539" s="526"/>
      <c r="K539" s="3280"/>
      <c r="P539" s="3041"/>
      <c r="X539" s="3280"/>
      <c r="AA539" s="3041"/>
      <c r="AF539" s="3041"/>
      <c r="AN539" s="3280"/>
      <c r="AZ539" s="3041"/>
      <c r="BD539" s="3281"/>
      <c r="BH539" s="3282"/>
      <c r="BJ539" s="2589"/>
      <c r="BK539" s="2126"/>
      <c r="BL539" s="2126"/>
      <c r="BM539" s="2126"/>
      <c r="BN539" s="2126"/>
      <c r="BO539" s="2126"/>
      <c r="BP539" s="2126"/>
      <c r="BQ539" s="2126"/>
      <c r="BR539" s="2126"/>
      <c r="BS539" s="2126"/>
    </row>
    <row r="540" spans="1:71" s="3030" customFormat="1">
      <c r="A540" s="2126"/>
      <c r="B540" s="2126"/>
      <c r="C540" s="2149"/>
      <c r="D540" s="3248"/>
      <c r="E540" s="525"/>
      <c r="F540" s="525"/>
      <c r="G540" s="526"/>
      <c r="K540" s="3280"/>
      <c r="P540" s="3041"/>
      <c r="X540" s="3280"/>
      <c r="AA540" s="3041"/>
      <c r="AF540" s="3041"/>
      <c r="AN540" s="3280"/>
      <c r="AZ540" s="3041"/>
      <c r="BD540" s="3281"/>
      <c r="BH540" s="3282"/>
      <c r="BJ540" s="2589"/>
      <c r="BK540" s="2126"/>
      <c r="BL540" s="2126"/>
      <c r="BM540" s="2126"/>
      <c r="BN540" s="2126"/>
      <c r="BO540" s="2126"/>
      <c r="BP540" s="2126"/>
      <c r="BQ540" s="2126"/>
      <c r="BR540" s="2126"/>
      <c r="BS540" s="2126"/>
    </row>
    <row r="541" spans="1:71" s="3030" customFormat="1">
      <c r="A541" s="2126"/>
      <c r="B541" s="2126"/>
      <c r="C541" s="2149"/>
      <c r="D541" s="3248"/>
      <c r="E541" s="525"/>
      <c r="F541" s="525"/>
      <c r="G541" s="526"/>
      <c r="K541" s="3280"/>
      <c r="P541" s="3041"/>
      <c r="X541" s="3280"/>
      <c r="AA541" s="3041"/>
      <c r="AF541" s="3041"/>
      <c r="AN541" s="3280"/>
      <c r="AZ541" s="3041"/>
      <c r="BD541" s="3281"/>
      <c r="BH541" s="3282"/>
      <c r="BJ541" s="2589"/>
      <c r="BK541" s="2126"/>
      <c r="BL541" s="2126"/>
      <c r="BM541" s="2126"/>
      <c r="BN541" s="2126"/>
      <c r="BO541" s="2126"/>
      <c r="BP541" s="2126"/>
      <c r="BQ541" s="2126"/>
      <c r="BR541" s="2126"/>
      <c r="BS541" s="2126"/>
    </row>
    <row r="542" spans="1:71" s="3030" customFormat="1">
      <c r="A542" s="2126"/>
      <c r="B542" s="2126"/>
      <c r="C542" s="2149"/>
      <c r="D542" s="3248"/>
      <c r="E542" s="525"/>
      <c r="F542" s="525"/>
      <c r="G542" s="526"/>
      <c r="K542" s="3280"/>
      <c r="P542" s="3041"/>
      <c r="X542" s="3280"/>
      <c r="AA542" s="3041"/>
      <c r="AF542" s="3041"/>
      <c r="AN542" s="3280"/>
      <c r="AZ542" s="3041"/>
      <c r="BD542" s="3281"/>
      <c r="BH542" s="3282"/>
      <c r="BJ542" s="2589"/>
      <c r="BK542" s="2126"/>
      <c r="BL542" s="2126"/>
      <c r="BM542" s="2126"/>
      <c r="BN542" s="2126"/>
      <c r="BO542" s="2126"/>
      <c r="BP542" s="2126"/>
      <c r="BQ542" s="2126"/>
      <c r="BR542" s="2126"/>
      <c r="BS542" s="2126"/>
    </row>
    <row r="543" spans="1:71" s="3030" customFormat="1">
      <c r="A543" s="2126"/>
      <c r="B543" s="2126"/>
      <c r="C543" s="2149"/>
      <c r="D543" s="3248"/>
      <c r="E543" s="525"/>
      <c r="F543" s="525"/>
      <c r="G543" s="526"/>
      <c r="K543" s="3280"/>
      <c r="P543" s="3041"/>
      <c r="X543" s="3280"/>
      <c r="AA543" s="3041"/>
      <c r="AF543" s="3041"/>
      <c r="AN543" s="3280"/>
      <c r="AZ543" s="3041"/>
      <c r="BD543" s="3281"/>
      <c r="BH543" s="3282"/>
      <c r="BJ543" s="2589"/>
      <c r="BK543" s="2126"/>
      <c r="BL543" s="2126"/>
      <c r="BM543" s="2126"/>
      <c r="BN543" s="2126"/>
      <c r="BO543" s="2126"/>
      <c r="BP543" s="2126"/>
      <c r="BQ543" s="2126"/>
      <c r="BR543" s="2126"/>
      <c r="BS543" s="2126"/>
    </row>
    <row r="544" spans="1:71" s="3030" customFormat="1">
      <c r="A544" s="2126"/>
      <c r="B544" s="2126"/>
      <c r="C544" s="2149"/>
      <c r="D544" s="3248"/>
      <c r="E544" s="525"/>
      <c r="F544" s="525"/>
      <c r="G544" s="526"/>
      <c r="K544" s="3280"/>
      <c r="P544" s="3041"/>
      <c r="X544" s="3280"/>
      <c r="AA544" s="3041"/>
      <c r="AF544" s="3041"/>
      <c r="AN544" s="3280"/>
      <c r="AZ544" s="3041"/>
      <c r="BD544" s="3281"/>
      <c r="BH544" s="3282"/>
      <c r="BJ544" s="2589"/>
      <c r="BK544" s="2126"/>
      <c r="BL544" s="2126"/>
      <c r="BM544" s="2126"/>
      <c r="BN544" s="2126"/>
      <c r="BO544" s="2126"/>
      <c r="BP544" s="2126"/>
      <c r="BQ544" s="2126"/>
      <c r="BR544" s="2126"/>
      <c r="BS544" s="2126"/>
    </row>
    <row r="545" spans="1:71" s="3030" customFormat="1">
      <c r="A545" s="2126"/>
      <c r="B545" s="2126"/>
      <c r="C545" s="2149"/>
      <c r="D545" s="3248"/>
      <c r="E545" s="525"/>
      <c r="F545" s="525"/>
      <c r="G545" s="526"/>
      <c r="K545" s="3280"/>
      <c r="P545" s="3041"/>
      <c r="X545" s="3280"/>
      <c r="AA545" s="3041"/>
      <c r="AF545" s="3041"/>
      <c r="AN545" s="3280"/>
      <c r="AZ545" s="3041"/>
      <c r="BD545" s="3281"/>
      <c r="BH545" s="3282"/>
      <c r="BJ545" s="2589"/>
      <c r="BK545" s="2126"/>
      <c r="BL545" s="2126"/>
      <c r="BM545" s="2126"/>
      <c r="BN545" s="2126"/>
      <c r="BO545" s="2126"/>
      <c r="BP545" s="2126"/>
      <c r="BQ545" s="2126"/>
      <c r="BR545" s="2126"/>
      <c r="BS545" s="2126"/>
    </row>
    <row r="546" spans="1:71" s="3030" customFormat="1">
      <c r="A546" s="2126"/>
      <c r="B546" s="2126"/>
      <c r="C546" s="2149"/>
      <c r="D546" s="3248"/>
      <c r="E546" s="525"/>
      <c r="F546" s="525"/>
      <c r="G546" s="526"/>
      <c r="K546" s="3280"/>
      <c r="P546" s="3041"/>
      <c r="X546" s="3280"/>
      <c r="AA546" s="3041"/>
      <c r="AF546" s="3041"/>
      <c r="AN546" s="3280"/>
      <c r="AZ546" s="3041"/>
      <c r="BD546" s="3281"/>
      <c r="BH546" s="3282"/>
      <c r="BJ546" s="2589"/>
      <c r="BK546" s="2126"/>
      <c r="BL546" s="2126"/>
      <c r="BM546" s="2126"/>
      <c r="BN546" s="2126"/>
      <c r="BO546" s="2126"/>
      <c r="BP546" s="2126"/>
      <c r="BQ546" s="2126"/>
      <c r="BR546" s="2126"/>
      <c r="BS546" s="2126"/>
    </row>
    <row r="547" spans="1:71" s="3030" customFormat="1">
      <c r="A547" s="2126"/>
      <c r="B547" s="2126"/>
      <c r="C547" s="2149"/>
      <c r="D547" s="3248"/>
      <c r="E547" s="525"/>
      <c r="F547" s="525"/>
      <c r="G547" s="526"/>
      <c r="K547" s="3280"/>
      <c r="P547" s="3041"/>
      <c r="X547" s="3280"/>
      <c r="AA547" s="3041"/>
      <c r="AF547" s="3041"/>
      <c r="AN547" s="3280"/>
      <c r="AZ547" s="3041"/>
      <c r="BD547" s="3281"/>
      <c r="BH547" s="3282"/>
      <c r="BJ547" s="2589"/>
      <c r="BK547" s="2126"/>
      <c r="BL547" s="2126"/>
      <c r="BM547" s="2126"/>
      <c r="BN547" s="2126"/>
      <c r="BO547" s="2126"/>
      <c r="BP547" s="2126"/>
      <c r="BQ547" s="2126"/>
      <c r="BR547" s="2126"/>
      <c r="BS547" s="2126"/>
    </row>
    <row r="548" spans="1:71" s="3030" customFormat="1">
      <c r="A548" s="2126"/>
      <c r="B548" s="2126"/>
      <c r="C548" s="2149"/>
      <c r="D548" s="3248"/>
      <c r="E548" s="525"/>
      <c r="F548" s="525"/>
      <c r="G548" s="526"/>
      <c r="K548" s="3280"/>
      <c r="P548" s="3041"/>
      <c r="X548" s="3280"/>
      <c r="AA548" s="3041"/>
      <c r="AF548" s="3041"/>
      <c r="AN548" s="3280"/>
      <c r="AZ548" s="3041"/>
      <c r="BD548" s="3281"/>
      <c r="BH548" s="3282"/>
      <c r="BJ548" s="2589"/>
      <c r="BK548" s="2126"/>
      <c r="BL548" s="2126"/>
      <c r="BM548" s="2126"/>
      <c r="BN548" s="2126"/>
      <c r="BO548" s="2126"/>
      <c r="BP548" s="2126"/>
      <c r="BQ548" s="2126"/>
      <c r="BR548" s="2126"/>
      <c r="BS548" s="2126"/>
    </row>
    <row r="549" spans="1:71" s="3030" customFormat="1">
      <c r="A549" s="2126"/>
      <c r="B549" s="2126"/>
      <c r="C549" s="2149"/>
      <c r="D549" s="3248"/>
      <c r="E549" s="525"/>
      <c r="F549" s="525"/>
      <c r="G549" s="526"/>
      <c r="K549" s="3280"/>
      <c r="P549" s="3041"/>
      <c r="X549" s="3280"/>
      <c r="AA549" s="3041"/>
      <c r="AF549" s="3041"/>
      <c r="AN549" s="3280"/>
      <c r="AZ549" s="3041"/>
      <c r="BD549" s="3281"/>
      <c r="BH549" s="3282"/>
      <c r="BJ549" s="2589"/>
      <c r="BK549" s="2126"/>
      <c r="BL549" s="2126"/>
      <c r="BM549" s="2126"/>
      <c r="BN549" s="2126"/>
      <c r="BO549" s="2126"/>
      <c r="BP549" s="2126"/>
      <c r="BQ549" s="2126"/>
      <c r="BR549" s="2126"/>
      <c r="BS549" s="2126"/>
    </row>
    <row r="550" spans="1:71" s="3030" customFormat="1">
      <c r="A550" s="2126"/>
      <c r="B550" s="2126"/>
      <c r="C550" s="2149"/>
      <c r="D550" s="3248"/>
      <c r="E550" s="525"/>
      <c r="F550" s="525"/>
      <c r="G550" s="526"/>
      <c r="K550" s="3280"/>
      <c r="P550" s="3041"/>
      <c r="X550" s="3280"/>
      <c r="AA550" s="3041"/>
      <c r="AF550" s="3041"/>
      <c r="AN550" s="3280"/>
      <c r="AZ550" s="3041"/>
      <c r="BD550" s="3281"/>
      <c r="BH550" s="3282"/>
      <c r="BJ550" s="2589"/>
      <c r="BK550" s="2126"/>
      <c r="BL550" s="2126"/>
      <c r="BM550" s="2126"/>
      <c r="BN550" s="2126"/>
      <c r="BO550" s="2126"/>
      <c r="BP550" s="2126"/>
      <c r="BQ550" s="2126"/>
      <c r="BR550" s="2126"/>
      <c r="BS550" s="2126"/>
    </row>
    <row r="551" spans="1:71" s="3030" customFormat="1">
      <c r="A551" s="2126"/>
      <c r="B551" s="2126"/>
      <c r="C551" s="2149"/>
      <c r="D551" s="3248"/>
      <c r="E551" s="525"/>
      <c r="F551" s="525"/>
      <c r="G551" s="526"/>
      <c r="K551" s="3280"/>
      <c r="P551" s="3041"/>
      <c r="X551" s="3280"/>
      <c r="AA551" s="3041"/>
      <c r="AF551" s="3041"/>
      <c r="AN551" s="3280"/>
      <c r="AZ551" s="3041"/>
      <c r="BD551" s="3281"/>
      <c r="BH551" s="3282"/>
      <c r="BJ551" s="2589"/>
      <c r="BK551" s="2126"/>
      <c r="BL551" s="2126"/>
      <c r="BM551" s="2126"/>
      <c r="BN551" s="2126"/>
      <c r="BO551" s="2126"/>
      <c r="BP551" s="2126"/>
      <c r="BQ551" s="2126"/>
      <c r="BR551" s="2126"/>
      <c r="BS551" s="2126"/>
    </row>
    <row r="552" spans="1:71" s="3030" customFormat="1">
      <c r="A552" s="2126"/>
      <c r="B552" s="2126"/>
      <c r="C552" s="2149"/>
      <c r="D552" s="3248"/>
      <c r="E552" s="525"/>
      <c r="F552" s="525"/>
      <c r="G552" s="526"/>
      <c r="K552" s="3280"/>
      <c r="P552" s="3041"/>
      <c r="X552" s="3280"/>
      <c r="AA552" s="3041"/>
      <c r="AF552" s="3041"/>
      <c r="AN552" s="3280"/>
      <c r="AZ552" s="3041"/>
      <c r="BD552" s="3281"/>
      <c r="BH552" s="3282"/>
      <c r="BJ552" s="2589"/>
      <c r="BK552" s="2126"/>
      <c r="BL552" s="2126"/>
      <c r="BM552" s="2126"/>
      <c r="BN552" s="2126"/>
      <c r="BO552" s="2126"/>
      <c r="BP552" s="2126"/>
      <c r="BQ552" s="2126"/>
      <c r="BR552" s="2126"/>
      <c r="BS552" s="2126"/>
    </row>
    <row r="553" spans="1:71" s="3030" customFormat="1">
      <c r="A553" s="2126"/>
      <c r="B553" s="2126"/>
      <c r="C553" s="2149"/>
      <c r="D553" s="3248"/>
      <c r="E553" s="525"/>
      <c r="F553" s="525"/>
      <c r="G553" s="526"/>
      <c r="K553" s="3280"/>
      <c r="P553" s="3041"/>
      <c r="X553" s="3280"/>
      <c r="AA553" s="3041"/>
      <c r="AF553" s="3041"/>
      <c r="AN553" s="3280"/>
      <c r="AZ553" s="3041"/>
      <c r="BD553" s="3281"/>
      <c r="BH553" s="3282"/>
      <c r="BJ553" s="2589"/>
      <c r="BK553" s="2126"/>
      <c r="BL553" s="2126"/>
      <c r="BM553" s="2126"/>
      <c r="BN553" s="2126"/>
      <c r="BO553" s="2126"/>
      <c r="BP553" s="2126"/>
      <c r="BQ553" s="2126"/>
      <c r="BR553" s="2126"/>
      <c r="BS553" s="2126"/>
    </row>
    <row r="554" spans="1:71" s="3030" customFormat="1">
      <c r="A554" s="2126"/>
      <c r="B554" s="2126"/>
      <c r="C554" s="2149"/>
      <c r="D554" s="3248"/>
      <c r="E554" s="525"/>
      <c r="F554" s="525"/>
      <c r="G554" s="526"/>
      <c r="K554" s="3280"/>
      <c r="P554" s="3041"/>
      <c r="X554" s="3280"/>
      <c r="AA554" s="3041"/>
      <c r="AF554" s="3041"/>
      <c r="AN554" s="3280"/>
      <c r="AZ554" s="3041"/>
      <c r="BD554" s="3281"/>
      <c r="BH554" s="3282"/>
      <c r="BJ554" s="2589"/>
      <c r="BK554" s="2126"/>
      <c r="BL554" s="2126"/>
      <c r="BM554" s="2126"/>
      <c r="BN554" s="2126"/>
      <c r="BO554" s="2126"/>
      <c r="BP554" s="2126"/>
      <c r="BQ554" s="2126"/>
      <c r="BR554" s="2126"/>
      <c r="BS554" s="2126"/>
    </row>
    <row r="555" spans="1:71" s="3030" customFormat="1">
      <c r="A555" s="2126"/>
      <c r="B555" s="2126"/>
      <c r="C555" s="2149"/>
      <c r="D555" s="3248"/>
      <c r="E555" s="525"/>
      <c r="F555" s="525"/>
      <c r="G555" s="526"/>
      <c r="K555" s="3280"/>
      <c r="P555" s="3041"/>
      <c r="X555" s="3280"/>
      <c r="AA555" s="3041"/>
      <c r="AF555" s="3041"/>
      <c r="AN555" s="3280"/>
      <c r="AZ555" s="3041"/>
      <c r="BD555" s="3281"/>
      <c r="BH555" s="3282"/>
      <c r="BJ555" s="2589"/>
      <c r="BK555" s="2126"/>
      <c r="BL555" s="2126"/>
      <c r="BM555" s="2126"/>
      <c r="BN555" s="2126"/>
      <c r="BO555" s="2126"/>
      <c r="BP555" s="2126"/>
      <c r="BQ555" s="2126"/>
      <c r="BR555" s="2126"/>
      <c r="BS555" s="2126"/>
    </row>
    <row r="556" spans="1:71" s="3030" customFormat="1">
      <c r="A556" s="2126"/>
      <c r="B556" s="2126"/>
      <c r="C556" s="2149"/>
      <c r="D556" s="3248"/>
      <c r="E556" s="525"/>
      <c r="F556" s="525"/>
      <c r="G556" s="526"/>
      <c r="K556" s="3280"/>
      <c r="P556" s="3041"/>
      <c r="X556" s="3280"/>
      <c r="AA556" s="3041"/>
      <c r="AF556" s="3041"/>
      <c r="AN556" s="3280"/>
      <c r="AZ556" s="3041"/>
      <c r="BD556" s="3281"/>
      <c r="BH556" s="3282"/>
      <c r="BJ556" s="2589"/>
      <c r="BK556" s="2126"/>
      <c r="BL556" s="2126"/>
      <c r="BM556" s="2126"/>
      <c r="BN556" s="2126"/>
      <c r="BO556" s="2126"/>
      <c r="BP556" s="2126"/>
      <c r="BQ556" s="2126"/>
      <c r="BR556" s="2126"/>
      <c r="BS556" s="2126"/>
    </row>
    <row r="557" spans="1:71" s="3030" customFormat="1">
      <c r="A557" s="2126"/>
      <c r="B557" s="2126"/>
      <c r="C557" s="2149"/>
      <c r="D557" s="3248"/>
      <c r="E557" s="525"/>
      <c r="F557" s="525"/>
      <c r="G557" s="526"/>
      <c r="K557" s="3280"/>
      <c r="P557" s="3041"/>
      <c r="X557" s="3280"/>
      <c r="AA557" s="3041"/>
      <c r="AF557" s="3041"/>
      <c r="AN557" s="3280"/>
      <c r="AZ557" s="3041"/>
      <c r="BD557" s="3281"/>
      <c r="BH557" s="3282"/>
      <c r="BJ557" s="2589"/>
      <c r="BK557" s="2126"/>
      <c r="BL557" s="2126"/>
      <c r="BM557" s="2126"/>
      <c r="BN557" s="2126"/>
      <c r="BO557" s="2126"/>
      <c r="BP557" s="2126"/>
      <c r="BQ557" s="2126"/>
      <c r="BR557" s="2126"/>
      <c r="BS557" s="2126"/>
    </row>
    <row r="558" spans="1:71" s="3030" customFormat="1">
      <c r="A558" s="2126"/>
      <c r="B558" s="2126"/>
      <c r="C558" s="2149"/>
      <c r="D558" s="3248"/>
      <c r="E558" s="525"/>
      <c r="F558" s="525"/>
      <c r="G558" s="526"/>
      <c r="K558" s="3280"/>
      <c r="P558" s="3041"/>
      <c r="X558" s="3280"/>
      <c r="AA558" s="3041"/>
      <c r="AF558" s="3041"/>
      <c r="AN558" s="3280"/>
      <c r="AZ558" s="3041"/>
      <c r="BD558" s="3281"/>
      <c r="BH558" s="3282"/>
      <c r="BJ558" s="2589"/>
      <c r="BK558" s="2126"/>
      <c r="BL558" s="2126"/>
      <c r="BM558" s="2126"/>
      <c r="BN558" s="2126"/>
      <c r="BO558" s="2126"/>
      <c r="BP558" s="2126"/>
      <c r="BQ558" s="2126"/>
      <c r="BR558" s="2126"/>
      <c r="BS558" s="2126"/>
    </row>
    <row r="559" spans="1:71" s="3030" customFormat="1">
      <c r="A559" s="2126"/>
      <c r="B559" s="2126"/>
      <c r="C559" s="2149"/>
      <c r="D559" s="3248"/>
      <c r="E559" s="525"/>
      <c r="F559" s="525"/>
      <c r="G559" s="526"/>
      <c r="K559" s="3280"/>
      <c r="P559" s="3041"/>
      <c r="X559" s="3280"/>
      <c r="AA559" s="3041"/>
      <c r="AF559" s="3041"/>
      <c r="AN559" s="3280"/>
      <c r="AZ559" s="3041"/>
      <c r="BD559" s="3281"/>
      <c r="BH559" s="3282"/>
      <c r="BJ559" s="2589"/>
      <c r="BK559" s="2126"/>
      <c r="BL559" s="2126"/>
      <c r="BM559" s="2126"/>
      <c r="BN559" s="2126"/>
      <c r="BO559" s="2126"/>
      <c r="BP559" s="2126"/>
      <c r="BQ559" s="2126"/>
      <c r="BR559" s="2126"/>
      <c r="BS559" s="2126"/>
    </row>
    <row r="560" spans="1:71" s="3030" customFormat="1">
      <c r="A560" s="2126"/>
      <c r="B560" s="2126"/>
      <c r="C560" s="2149"/>
      <c r="D560" s="3248"/>
      <c r="E560" s="525"/>
      <c r="F560" s="525"/>
      <c r="G560" s="526"/>
      <c r="K560" s="3280"/>
      <c r="P560" s="3041"/>
      <c r="X560" s="3280"/>
      <c r="AA560" s="3041"/>
      <c r="AF560" s="3041"/>
      <c r="AN560" s="3280"/>
      <c r="AZ560" s="3041"/>
      <c r="BD560" s="3281"/>
      <c r="BH560" s="3282"/>
      <c r="BJ560" s="2589"/>
      <c r="BK560" s="2126"/>
      <c r="BL560" s="2126"/>
      <c r="BM560" s="2126"/>
      <c r="BN560" s="2126"/>
      <c r="BO560" s="2126"/>
      <c r="BP560" s="2126"/>
      <c r="BQ560" s="2126"/>
      <c r="BR560" s="2126"/>
      <c r="BS560" s="2126"/>
    </row>
    <row r="561" spans="1:71" s="3030" customFormat="1">
      <c r="A561" s="2126"/>
      <c r="B561" s="2126"/>
      <c r="C561" s="2149"/>
      <c r="D561" s="3248"/>
      <c r="E561" s="525"/>
      <c r="F561" s="525"/>
      <c r="G561" s="526"/>
      <c r="K561" s="3280"/>
      <c r="P561" s="3041"/>
      <c r="X561" s="3280"/>
      <c r="AA561" s="3041"/>
      <c r="AF561" s="3041"/>
      <c r="AN561" s="3280"/>
      <c r="AZ561" s="3041"/>
      <c r="BD561" s="3281"/>
      <c r="BH561" s="3282"/>
      <c r="BJ561" s="2589"/>
      <c r="BK561" s="2126"/>
      <c r="BL561" s="2126"/>
      <c r="BM561" s="2126"/>
      <c r="BN561" s="2126"/>
      <c r="BO561" s="2126"/>
      <c r="BP561" s="2126"/>
      <c r="BQ561" s="2126"/>
      <c r="BR561" s="2126"/>
      <c r="BS561" s="2126"/>
    </row>
    <row r="562" spans="1:71" s="3030" customFormat="1">
      <c r="A562" s="2126"/>
      <c r="B562" s="2126"/>
      <c r="C562" s="2149"/>
      <c r="D562" s="3248"/>
      <c r="E562" s="525"/>
      <c r="F562" s="525"/>
      <c r="G562" s="526"/>
      <c r="K562" s="3280"/>
      <c r="P562" s="3041"/>
      <c r="X562" s="3280"/>
      <c r="AA562" s="3041"/>
      <c r="AF562" s="3041"/>
      <c r="AN562" s="3280"/>
      <c r="AZ562" s="3041"/>
      <c r="BD562" s="3281"/>
      <c r="BH562" s="3282"/>
      <c r="BJ562" s="2589"/>
      <c r="BK562" s="2126"/>
      <c r="BL562" s="2126"/>
      <c r="BM562" s="2126"/>
      <c r="BN562" s="2126"/>
      <c r="BO562" s="2126"/>
      <c r="BP562" s="2126"/>
      <c r="BQ562" s="2126"/>
      <c r="BR562" s="2126"/>
      <c r="BS562" s="2126"/>
    </row>
    <row r="563" spans="1:71" s="3030" customFormat="1">
      <c r="A563" s="2126"/>
      <c r="B563" s="2126"/>
      <c r="C563" s="2149"/>
      <c r="D563" s="3248"/>
      <c r="E563" s="525"/>
      <c r="F563" s="525"/>
      <c r="G563" s="526"/>
      <c r="K563" s="3280"/>
      <c r="P563" s="3041"/>
      <c r="X563" s="3280"/>
      <c r="AA563" s="3041"/>
      <c r="AF563" s="3041"/>
      <c r="AN563" s="3280"/>
      <c r="AZ563" s="3041"/>
      <c r="BD563" s="3281"/>
      <c r="BH563" s="3282"/>
      <c r="BJ563" s="2589"/>
      <c r="BK563" s="2126"/>
      <c r="BL563" s="2126"/>
      <c r="BM563" s="2126"/>
      <c r="BN563" s="2126"/>
      <c r="BO563" s="2126"/>
      <c r="BP563" s="2126"/>
      <c r="BQ563" s="2126"/>
      <c r="BR563" s="2126"/>
      <c r="BS563" s="2126"/>
    </row>
    <row r="564" spans="1:71" s="3030" customFormat="1">
      <c r="A564" s="2126"/>
      <c r="B564" s="2126"/>
      <c r="C564" s="2149"/>
      <c r="D564" s="3248"/>
      <c r="E564" s="525"/>
      <c r="F564" s="525"/>
      <c r="G564" s="526"/>
      <c r="K564" s="3280"/>
      <c r="P564" s="3041"/>
      <c r="X564" s="3280"/>
      <c r="AA564" s="3041"/>
      <c r="AF564" s="3041"/>
      <c r="AN564" s="3280"/>
      <c r="AZ564" s="3041"/>
      <c r="BD564" s="3281"/>
      <c r="BH564" s="3282"/>
      <c r="BJ564" s="2589"/>
      <c r="BK564" s="2126"/>
      <c r="BL564" s="2126"/>
      <c r="BM564" s="2126"/>
      <c r="BN564" s="2126"/>
      <c r="BO564" s="2126"/>
      <c r="BP564" s="2126"/>
      <c r="BQ564" s="2126"/>
      <c r="BR564" s="2126"/>
      <c r="BS564" s="2126"/>
    </row>
    <row r="565" spans="1:71" s="3030" customFormat="1">
      <c r="A565" s="2126"/>
      <c r="B565" s="2126"/>
      <c r="C565" s="2149"/>
      <c r="D565" s="3248"/>
      <c r="E565" s="525"/>
      <c r="F565" s="525"/>
      <c r="G565" s="526"/>
      <c r="K565" s="3280"/>
      <c r="P565" s="3041"/>
      <c r="X565" s="3280"/>
      <c r="AA565" s="3041"/>
      <c r="AF565" s="3041"/>
      <c r="AN565" s="3280"/>
      <c r="AZ565" s="3041"/>
      <c r="BD565" s="3281"/>
      <c r="BH565" s="3282"/>
      <c r="BJ565" s="2589"/>
      <c r="BK565" s="2126"/>
      <c r="BL565" s="2126"/>
      <c r="BM565" s="2126"/>
      <c r="BN565" s="2126"/>
      <c r="BO565" s="2126"/>
      <c r="BP565" s="2126"/>
      <c r="BQ565" s="2126"/>
      <c r="BR565" s="2126"/>
      <c r="BS565" s="2126"/>
    </row>
    <row r="566" spans="1:71" s="3030" customFormat="1">
      <c r="A566" s="2126"/>
      <c r="B566" s="2126"/>
      <c r="C566" s="2149"/>
      <c r="D566" s="3248"/>
      <c r="E566" s="525"/>
      <c r="F566" s="525"/>
      <c r="G566" s="526"/>
      <c r="K566" s="3280"/>
      <c r="P566" s="3041"/>
      <c r="X566" s="3280"/>
      <c r="AA566" s="3041"/>
      <c r="AF566" s="3041"/>
      <c r="AN566" s="3280"/>
      <c r="AZ566" s="3041"/>
      <c r="BD566" s="3281"/>
      <c r="BH566" s="3282"/>
      <c r="BJ566" s="2589"/>
      <c r="BK566" s="2126"/>
      <c r="BL566" s="2126"/>
      <c r="BM566" s="2126"/>
      <c r="BN566" s="2126"/>
      <c r="BO566" s="2126"/>
      <c r="BP566" s="2126"/>
      <c r="BQ566" s="2126"/>
      <c r="BR566" s="2126"/>
      <c r="BS566" s="2126"/>
    </row>
    <row r="567" spans="1:71" s="3030" customFormat="1">
      <c r="A567" s="2126"/>
      <c r="B567" s="2126"/>
      <c r="C567" s="2149"/>
      <c r="D567" s="3248"/>
      <c r="E567" s="525"/>
      <c r="F567" s="525"/>
      <c r="G567" s="526"/>
      <c r="K567" s="3280"/>
      <c r="P567" s="3041"/>
      <c r="X567" s="3280"/>
      <c r="AA567" s="3041"/>
      <c r="AF567" s="3041"/>
      <c r="AN567" s="3280"/>
      <c r="AZ567" s="3041"/>
      <c r="BD567" s="3281"/>
      <c r="BH567" s="3282"/>
      <c r="BJ567" s="2589"/>
      <c r="BK567" s="2126"/>
      <c r="BL567" s="2126"/>
      <c r="BM567" s="2126"/>
      <c r="BN567" s="2126"/>
      <c r="BO567" s="2126"/>
      <c r="BP567" s="2126"/>
      <c r="BQ567" s="2126"/>
      <c r="BR567" s="2126"/>
      <c r="BS567" s="2126"/>
    </row>
    <row r="568" spans="1:71" s="3030" customFormat="1">
      <c r="A568" s="2126"/>
      <c r="B568" s="2126"/>
      <c r="C568" s="2149"/>
      <c r="D568" s="3248"/>
      <c r="E568" s="525"/>
      <c r="F568" s="525"/>
      <c r="G568" s="526"/>
      <c r="K568" s="3280"/>
      <c r="P568" s="3041"/>
      <c r="X568" s="3280"/>
      <c r="AA568" s="3041"/>
      <c r="AF568" s="3041"/>
      <c r="AN568" s="3280"/>
      <c r="AZ568" s="3041"/>
      <c r="BD568" s="3281"/>
      <c r="BH568" s="3282"/>
      <c r="BJ568" s="2589"/>
      <c r="BK568" s="2126"/>
      <c r="BL568" s="2126"/>
      <c r="BM568" s="2126"/>
      <c r="BN568" s="2126"/>
      <c r="BO568" s="2126"/>
      <c r="BP568" s="2126"/>
      <c r="BQ568" s="2126"/>
      <c r="BR568" s="2126"/>
      <c r="BS568" s="2126"/>
    </row>
    <row r="569" spans="1:71" s="3030" customFormat="1">
      <c r="A569" s="2126"/>
      <c r="B569" s="2126"/>
      <c r="C569" s="2149"/>
      <c r="D569" s="3248"/>
      <c r="E569" s="525"/>
      <c r="F569" s="525"/>
      <c r="G569" s="526"/>
      <c r="K569" s="3280"/>
      <c r="P569" s="3041"/>
      <c r="X569" s="3280"/>
      <c r="AA569" s="3041"/>
      <c r="AF569" s="3041"/>
      <c r="AN569" s="3280"/>
      <c r="AZ569" s="3041"/>
      <c r="BD569" s="3281"/>
      <c r="BH569" s="3282"/>
      <c r="BJ569" s="2589"/>
      <c r="BK569" s="2126"/>
      <c r="BL569" s="2126"/>
      <c r="BM569" s="2126"/>
      <c r="BN569" s="2126"/>
      <c r="BO569" s="2126"/>
      <c r="BP569" s="2126"/>
      <c r="BQ569" s="2126"/>
      <c r="BR569" s="2126"/>
      <c r="BS569" s="2126"/>
    </row>
    <row r="570" spans="1:71" s="3030" customFormat="1">
      <c r="A570" s="2126"/>
      <c r="B570" s="2126"/>
      <c r="C570" s="2149"/>
      <c r="D570" s="3248"/>
      <c r="E570" s="525"/>
      <c r="F570" s="525"/>
      <c r="G570" s="526"/>
      <c r="K570" s="3280"/>
      <c r="P570" s="3041"/>
      <c r="X570" s="3280"/>
      <c r="AA570" s="3041"/>
      <c r="AF570" s="3041"/>
      <c r="AN570" s="3280"/>
      <c r="AZ570" s="3041"/>
      <c r="BD570" s="3281"/>
      <c r="BH570" s="3282"/>
      <c r="BJ570" s="2589"/>
      <c r="BK570" s="2126"/>
      <c r="BL570" s="2126"/>
      <c r="BM570" s="2126"/>
      <c r="BN570" s="2126"/>
      <c r="BO570" s="2126"/>
      <c r="BP570" s="2126"/>
      <c r="BQ570" s="2126"/>
      <c r="BR570" s="2126"/>
      <c r="BS570" s="2126"/>
    </row>
    <row r="571" spans="1:71" s="3030" customFormat="1">
      <c r="A571" s="2126"/>
      <c r="B571" s="2126"/>
      <c r="C571" s="2149"/>
      <c r="D571" s="3248"/>
      <c r="E571" s="525"/>
      <c r="F571" s="525"/>
      <c r="G571" s="526"/>
      <c r="K571" s="3280"/>
      <c r="P571" s="3041"/>
      <c r="X571" s="3280"/>
      <c r="AA571" s="3041"/>
      <c r="AF571" s="3041"/>
      <c r="AN571" s="3280"/>
      <c r="AZ571" s="3041"/>
      <c r="BD571" s="3281"/>
      <c r="BH571" s="3282"/>
      <c r="BJ571" s="2589"/>
      <c r="BK571" s="2126"/>
      <c r="BL571" s="2126"/>
      <c r="BM571" s="2126"/>
      <c r="BN571" s="2126"/>
      <c r="BO571" s="2126"/>
      <c r="BP571" s="2126"/>
      <c r="BQ571" s="2126"/>
      <c r="BR571" s="2126"/>
      <c r="BS571" s="2126"/>
    </row>
    <row r="572" spans="1:71" s="3030" customFormat="1">
      <c r="A572" s="2126"/>
      <c r="B572" s="2126"/>
      <c r="C572" s="2149"/>
      <c r="D572" s="3248"/>
      <c r="E572" s="525"/>
      <c r="F572" s="525"/>
      <c r="G572" s="526"/>
      <c r="K572" s="3280"/>
      <c r="P572" s="3041"/>
      <c r="X572" s="3280"/>
      <c r="AA572" s="3041"/>
      <c r="AF572" s="3041"/>
      <c r="AN572" s="3280"/>
      <c r="AZ572" s="3041"/>
      <c r="BD572" s="3281"/>
      <c r="BH572" s="3282"/>
      <c r="BJ572" s="2589"/>
      <c r="BK572" s="2126"/>
      <c r="BL572" s="2126"/>
      <c r="BM572" s="2126"/>
      <c r="BN572" s="2126"/>
      <c r="BO572" s="2126"/>
      <c r="BP572" s="2126"/>
      <c r="BQ572" s="2126"/>
      <c r="BR572" s="2126"/>
      <c r="BS572" s="2126"/>
    </row>
    <row r="573" spans="1:71" s="3030" customFormat="1">
      <c r="A573" s="2126"/>
      <c r="B573" s="2126"/>
      <c r="C573" s="2149"/>
      <c r="D573" s="3248"/>
      <c r="E573" s="525"/>
      <c r="F573" s="525"/>
      <c r="G573" s="526"/>
      <c r="K573" s="3280"/>
      <c r="P573" s="3041"/>
      <c r="X573" s="3280"/>
      <c r="AA573" s="3041"/>
      <c r="AF573" s="3041"/>
      <c r="AN573" s="3280"/>
      <c r="AZ573" s="3041"/>
      <c r="BD573" s="3281"/>
      <c r="BH573" s="3282"/>
      <c r="BJ573" s="2589"/>
      <c r="BK573" s="2126"/>
      <c r="BL573" s="2126"/>
      <c r="BM573" s="2126"/>
      <c r="BN573" s="2126"/>
      <c r="BO573" s="2126"/>
      <c r="BP573" s="2126"/>
      <c r="BQ573" s="2126"/>
      <c r="BR573" s="2126"/>
      <c r="BS573" s="2126"/>
    </row>
    <row r="574" spans="1:71" s="3030" customFormat="1">
      <c r="A574" s="2126"/>
      <c r="B574" s="2126"/>
      <c r="C574" s="2149"/>
      <c r="D574" s="3248"/>
      <c r="E574" s="525"/>
      <c r="F574" s="525"/>
      <c r="G574" s="526"/>
      <c r="K574" s="3280"/>
      <c r="P574" s="3041"/>
      <c r="X574" s="3280"/>
      <c r="AA574" s="3041"/>
      <c r="AF574" s="3041"/>
      <c r="AN574" s="3280"/>
      <c r="AZ574" s="3041"/>
      <c r="BD574" s="3281"/>
      <c r="BH574" s="3282"/>
      <c r="BJ574" s="2589"/>
      <c r="BK574" s="2126"/>
      <c r="BL574" s="2126"/>
      <c r="BM574" s="2126"/>
      <c r="BN574" s="2126"/>
      <c r="BO574" s="2126"/>
      <c r="BP574" s="2126"/>
      <c r="BQ574" s="2126"/>
      <c r="BR574" s="2126"/>
      <c r="BS574" s="2126"/>
    </row>
    <row r="575" spans="1:71" s="3030" customFormat="1">
      <c r="A575" s="2126"/>
      <c r="B575" s="2126"/>
      <c r="C575" s="2149"/>
      <c r="D575" s="3248"/>
      <c r="E575" s="525"/>
      <c r="F575" s="525"/>
      <c r="G575" s="526"/>
      <c r="K575" s="3280"/>
      <c r="P575" s="3041"/>
      <c r="X575" s="3280"/>
      <c r="AA575" s="3041"/>
      <c r="AF575" s="3041"/>
      <c r="AN575" s="3280"/>
      <c r="AZ575" s="3041"/>
      <c r="BD575" s="3281"/>
      <c r="BH575" s="3282"/>
      <c r="BJ575" s="2589"/>
      <c r="BK575" s="2126"/>
      <c r="BL575" s="2126"/>
      <c r="BM575" s="2126"/>
      <c r="BN575" s="2126"/>
      <c r="BO575" s="2126"/>
      <c r="BP575" s="2126"/>
      <c r="BQ575" s="2126"/>
      <c r="BR575" s="2126"/>
      <c r="BS575" s="2126"/>
    </row>
    <row r="576" spans="1:71" s="3030" customFormat="1">
      <c r="A576" s="2126"/>
      <c r="B576" s="2126"/>
      <c r="C576" s="2149"/>
      <c r="D576" s="3248"/>
      <c r="E576" s="525"/>
      <c r="F576" s="525"/>
      <c r="G576" s="526"/>
      <c r="K576" s="3280"/>
      <c r="P576" s="3041"/>
      <c r="X576" s="3280"/>
      <c r="AA576" s="3041"/>
      <c r="AF576" s="3041"/>
      <c r="AN576" s="3280"/>
      <c r="AZ576" s="3041"/>
      <c r="BD576" s="3281"/>
      <c r="BH576" s="3282"/>
      <c r="BJ576" s="2589"/>
      <c r="BK576" s="2126"/>
      <c r="BL576" s="2126"/>
      <c r="BM576" s="2126"/>
      <c r="BN576" s="2126"/>
      <c r="BO576" s="2126"/>
      <c r="BP576" s="2126"/>
      <c r="BQ576" s="2126"/>
      <c r="BR576" s="2126"/>
      <c r="BS576" s="2126"/>
    </row>
    <row r="577" spans="1:71" s="3030" customFormat="1">
      <c r="A577" s="2126"/>
      <c r="B577" s="2126"/>
      <c r="C577" s="2149"/>
      <c r="D577" s="3248"/>
      <c r="E577" s="525"/>
      <c r="F577" s="525"/>
      <c r="G577" s="526"/>
      <c r="K577" s="3280"/>
      <c r="P577" s="3041"/>
      <c r="X577" s="3280"/>
      <c r="AA577" s="3041"/>
      <c r="AF577" s="3041"/>
      <c r="AN577" s="3280"/>
      <c r="AZ577" s="3041"/>
      <c r="BD577" s="3281"/>
      <c r="BH577" s="3282"/>
      <c r="BJ577" s="2589"/>
      <c r="BK577" s="2126"/>
      <c r="BL577" s="2126"/>
      <c r="BM577" s="2126"/>
      <c r="BN577" s="2126"/>
      <c r="BO577" s="2126"/>
      <c r="BP577" s="2126"/>
      <c r="BQ577" s="2126"/>
      <c r="BR577" s="2126"/>
      <c r="BS577" s="2126"/>
    </row>
    <row r="578" spans="1:71" s="3030" customFormat="1">
      <c r="A578" s="2126"/>
      <c r="B578" s="2126"/>
      <c r="C578" s="2149"/>
      <c r="D578" s="3248"/>
      <c r="E578" s="525"/>
      <c r="F578" s="525"/>
      <c r="G578" s="526"/>
      <c r="K578" s="3280"/>
      <c r="P578" s="3041"/>
      <c r="X578" s="3280"/>
      <c r="AA578" s="3041"/>
      <c r="AF578" s="3041"/>
      <c r="AN578" s="3280"/>
      <c r="AZ578" s="3041"/>
      <c r="BD578" s="3281"/>
      <c r="BH578" s="3282"/>
      <c r="BJ578" s="2589"/>
      <c r="BK578" s="2126"/>
      <c r="BL578" s="2126"/>
      <c r="BM578" s="2126"/>
      <c r="BN578" s="2126"/>
      <c r="BO578" s="2126"/>
      <c r="BP578" s="2126"/>
      <c r="BQ578" s="2126"/>
      <c r="BR578" s="2126"/>
      <c r="BS578" s="2126"/>
    </row>
    <row r="579" spans="1:71" s="3030" customFormat="1">
      <c r="A579" s="2126"/>
      <c r="B579" s="2126"/>
      <c r="C579" s="2149"/>
      <c r="D579" s="3248"/>
      <c r="E579" s="525"/>
      <c r="F579" s="525"/>
      <c r="G579" s="526"/>
      <c r="K579" s="3280"/>
      <c r="P579" s="3041"/>
      <c r="X579" s="3280"/>
      <c r="AA579" s="3041"/>
      <c r="AF579" s="3041"/>
      <c r="AN579" s="3280"/>
      <c r="AZ579" s="3041"/>
      <c r="BD579" s="3281"/>
      <c r="BH579" s="3282"/>
      <c r="BJ579" s="2589"/>
      <c r="BK579" s="2126"/>
      <c r="BL579" s="2126"/>
      <c r="BM579" s="2126"/>
      <c r="BN579" s="2126"/>
      <c r="BO579" s="2126"/>
      <c r="BP579" s="2126"/>
      <c r="BQ579" s="2126"/>
      <c r="BR579" s="2126"/>
      <c r="BS579" s="2126"/>
    </row>
    <row r="580" spans="1:71" s="3030" customFormat="1">
      <c r="A580" s="2126"/>
      <c r="B580" s="2126"/>
      <c r="C580" s="2149"/>
      <c r="D580" s="3248"/>
      <c r="E580" s="525"/>
      <c r="F580" s="525"/>
      <c r="G580" s="526"/>
      <c r="K580" s="3280"/>
      <c r="P580" s="3041"/>
      <c r="X580" s="3280"/>
      <c r="AA580" s="3041"/>
      <c r="AF580" s="3041"/>
      <c r="AN580" s="3280"/>
      <c r="AZ580" s="3041"/>
      <c r="BD580" s="3281"/>
      <c r="BH580" s="3282"/>
      <c r="BJ580" s="2589"/>
      <c r="BK580" s="2126"/>
      <c r="BL580" s="2126"/>
      <c r="BM580" s="2126"/>
      <c r="BN580" s="2126"/>
      <c r="BO580" s="2126"/>
      <c r="BP580" s="2126"/>
      <c r="BQ580" s="2126"/>
      <c r="BR580" s="2126"/>
      <c r="BS580" s="2126"/>
    </row>
    <row r="581" spans="1:71" s="3030" customFormat="1">
      <c r="A581" s="2126"/>
      <c r="B581" s="2126"/>
      <c r="C581" s="2149"/>
      <c r="D581" s="3248"/>
      <c r="E581" s="525"/>
      <c r="F581" s="525"/>
      <c r="G581" s="526"/>
      <c r="K581" s="3280"/>
      <c r="P581" s="3041"/>
      <c r="X581" s="3280"/>
      <c r="AA581" s="3041"/>
      <c r="AF581" s="3041"/>
      <c r="AN581" s="3280"/>
      <c r="AZ581" s="3041"/>
      <c r="BD581" s="3281"/>
      <c r="BH581" s="3282"/>
      <c r="BJ581" s="2589"/>
      <c r="BK581" s="2126"/>
      <c r="BL581" s="2126"/>
      <c r="BM581" s="2126"/>
      <c r="BN581" s="2126"/>
      <c r="BO581" s="2126"/>
      <c r="BP581" s="2126"/>
      <c r="BQ581" s="2126"/>
      <c r="BR581" s="2126"/>
      <c r="BS581" s="2126"/>
    </row>
    <row r="582" spans="1:71" s="3030" customFormat="1">
      <c r="A582" s="2126"/>
      <c r="B582" s="2126"/>
      <c r="C582" s="2149"/>
      <c r="D582" s="3248"/>
      <c r="E582" s="525"/>
      <c r="F582" s="525"/>
      <c r="G582" s="526"/>
      <c r="K582" s="3280"/>
      <c r="P582" s="3041"/>
      <c r="X582" s="3280"/>
      <c r="AA582" s="3041"/>
      <c r="AF582" s="3041"/>
      <c r="AN582" s="3280"/>
      <c r="AZ582" s="3041"/>
      <c r="BD582" s="3281"/>
      <c r="BH582" s="3282"/>
      <c r="BJ582" s="2589"/>
      <c r="BK582" s="2126"/>
      <c r="BL582" s="2126"/>
      <c r="BM582" s="2126"/>
      <c r="BN582" s="2126"/>
      <c r="BO582" s="2126"/>
      <c r="BP582" s="2126"/>
      <c r="BQ582" s="2126"/>
      <c r="BR582" s="2126"/>
      <c r="BS582" s="2126"/>
    </row>
    <row r="583" spans="1:71" s="3030" customFormat="1">
      <c r="A583" s="2126"/>
      <c r="B583" s="2126"/>
      <c r="C583" s="2149"/>
      <c r="D583" s="3248"/>
      <c r="E583" s="525"/>
      <c r="F583" s="525"/>
      <c r="G583" s="526"/>
      <c r="K583" s="3280"/>
      <c r="P583" s="3041"/>
      <c r="X583" s="3280"/>
      <c r="AA583" s="3041"/>
      <c r="AF583" s="3041"/>
      <c r="AN583" s="3280"/>
      <c r="AZ583" s="3041"/>
      <c r="BD583" s="3281"/>
      <c r="BH583" s="3282"/>
      <c r="BJ583" s="2589"/>
      <c r="BK583" s="2126"/>
      <c r="BL583" s="2126"/>
      <c r="BM583" s="2126"/>
      <c r="BN583" s="2126"/>
      <c r="BO583" s="2126"/>
      <c r="BP583" s="2126"/>
      <c r="BQ583" s="2126"/>
      <c r="BR583" s="2126"/>
      <c r="BS583" s="2126"/>
    </row>
    <row r="584" spans="1:71" s="3030" customFormat="1">
      <c r="A584" s="2126"/>
      <c r="B584" s="2126"/>
      <c r="C584" s="2149"/>
      <c r="D584" s="3248"/>
      <c r="E584" s="525"/>
      <c r="F584" s="525"/>
      <c r="G584" s="526"/>
      <c r="K584" s="3280"/>
      <c r="P584" s="3041"/>
      <c r="X584" s="3280"/>
      <c r="AA584" s="3041"/>
      <c r="AF584" s="3041"/>
      <c r="AN584" s="3280"/>
      <c r="AZ584" s="3041"/>
      <c r="BD584" s="3281"/>
      <c r="BH584" s="3282"/>
      <c r="BJ584" s="2589"/>
      <c r="BK584" s="2126"/>
      <c r="BL584" s="2126"/>
      <c r="BM584" s="2126"/>
      <c r="BN584" s="2126"/>
      <c r="BO584" s="2126"/>
      <c r="BP584" s="2126"/>
      <c r="BQ584" s="2126"/>
      <c r="BR584" s="2126"/>
      <c r="BS584" s="2126"/>
    </row>
    <row r="585" spans="1:71" s="3030" customFormat="1">
      <c r="A585" s="2126"/>
      <c r="B585" s="2126"/>
      <c r="C585" s="2149"/>
      <c r="D585" s="3248"/>
      <c r="E585" s="525"/>
      <c r="F585" s="525"/>
      <c r="G585" s="526"/>
      <c r="K585" s="3280"/>
      <c r="P585" s="3041"/>
      <c r="X585" s="3280"/>
      <c r="AA585" s="3041"/>
      <c r="AF585" s="3041"/>
      <c r="AN585" s="3280"/>
      <c r="AZ585" s="3041"/>
      <c r="BD585" s="3281"/>
      <c r="BH585" s="3282"/>
      <c r="BJ585" s="2589"/>
      <c r="BK585" s="2126"/>
      <c r="BL585" s="2126"/>
      <c r="BM585" s="2126"/>
      <c r="BN585" s="2126"/>
      <c r="BO585" s="2126"/>
      <c r="BP585" s="2126"/>
      <c r="BQ585" s="2126"/>
      <c r="BR585" s="2126"/>
      <c r="BS585" s="2126"/>
    </row>
    <row r="586" spans="1:71" s="3030" customFormat="1">
      <c r="A586" s="2126"/>
      <c r="B586" s="2126"/>
      <c r="C586" s="2149"/>
      <c r="D586" s="3248"/>
      <c r="E586" s="525"/>
      <c r="F586" s="525"/>
      <c r="G586" s="526"/>
      <c r="K586" s="3280"/>
      <c r="P586" s="3041"/>
      <c r="X586" s="3280"/>
      <c r="AA586" s="3041"/>
      <c r="AF586" s="3041"/>
      <c r="AN586" s="3280"/>
      <c r="AZ586" s="3041"/>
      <c r="BD586" s="3281"/>
      <c r="BH586" s="3282"/>
      <c r="BJ586" s="2589"/>
      <c r="BK586" s="2126"/>
      <c r="BL586" s="2126"/>
      <c r="BM586" s="2126"/>
      <c r="BN586" s="2126"/>
      <c r="BO586" s="2126"/>
      <c r="BP586" s="2126"/>
      <c r="BQ586" s="2126"/>
      <c r="BR586" s="2126"/>
      <c r="BS586" s="2126"/>
    </row>
    <row r="587" spans="1:71" s="3030" customFormat="1">
      <c r="A587" s="2126"/>
      <c r="B587" s="2126"/>
      <c r="C587" s="2149"/>
      <c r="D587" s="3248"/>
      <c r="E587" s="525"/>
      <c r="F587" s="525"/>
      <c r="G587" s="526"/>
      <c r="K587" s="3280"/>
      <c r="P587" s="3041"/>
      <c r="X587" s="3280"/>
      <c r="AA587" s="3041"/>
      <c r="AF587" s="3041"/>
      <c r="AN587" s="3280"/>
      <c r="AZ587" s="3041"/>
      <c r="BD587" s="3281"/>
      <c r="BH587" s="3282"/>
      <c r="BJ587" s="2589"/>
      <c r="BK587" s="2126"/>
      <c r="BL587" s="2126"/>
      <c r="BM587" s="2126"/>
      <c r="BN587" s="2126"/>
      <c r="BO587" s="2126"/>
      <c r="BP587" s="2126"/>
      <c r="BQ587" s="2126"/>
      <c r="BR587" s="2126"/>
      <c r="BS587" s="2126"/>
    </row>
    <row r="588" spans="1:71" s="3030" customFormat="1">
      <c r="A588" s="2126"/>
      <c r="B588" s="2126"/>
      <c r="C588" s="2149"/>
      <c r="D588" s="3248"/>
      <c r="E588" s="525"/>
      <c r="F588" s="525"/>
      <c r="G588" s="526"/>
      <c r="K588" s="3280"/>
      <c r="P588" s="3041"/>
      <c r="X588" s="3280"/>
      <c r="AA588" s="3041"/>
      <c r="AF588" s="3041"/>
      <c r="AN588" s="3280"/>
      <c r="AZ588" s="3041"/>
      <c r="BD588" s="3281"/>
      <c r="BH588" s="3282"/>
      <c r="BJ588" s="2589"/>
      <c r="BK588" s="2126"/>
      <c r="BL588" s="2126"/>
      <c r="BM588" s="2126"/>
      <c r="BN588" s="2126"/>
      <c r="BO588" s="2126"/>
      <c r="BP588" s="2126"/>
      <c r="BQ588" s="2126"/>
      <c r="BR588" s="2126"/>
      <c r="BS588" s="2126"/>
    </row>
    <row r="589" spans="1:71" s="3030" customFormat="1">
      <c r="A589" s="2126"/>
      <c r="B589" s="2126"/>
      <c r="C589" s="2149"/>
      <c r="D589" s="3248"/>
      <c r="E589" s="525"/>
      <c r="F589" s="525"/>
      <c r="G589" s="526"/>
      <c r="K589" s="3280"/>
      <c r="P589" s="3041"/>
      <c r="X589" s="3280"/>
      <c r="AA589" s="3041"/>
      <c r="AF589" s="3041"/>
      <c r="AN589" s="3280"/>
      <c r="AZ589" s="3041"/>
      <c r="BD589" s="3281"/>
      <c r="BH589" s="3282"/>
      <c r="BJ589" s="2589"/>
      <c r="BK589" s="2126"/>
      <c r="BL589" s="2126"/>
      <c r="BM589" s="2126"/>
      <c r="BN589" s="2126"/>
      <c r="BO589" s="2126"/>
      <c r="BP589" s="2126"/>
      <c r="BQ589" s="2126"/>
      <c r="BR589" s="2126"/>
      <c r="BS589" s="2126"/>
    </row>
    <row r="590" spans="1:71" s="3030" customFormat="1">
      <c r="A590" s="2126"/>
      <c r="B590" s="2126"/>
      <c r="C590" s="2149"/>
      <c r="D590" s="3248"/>
      <c r="E590" s="525"/>
      <c r="F590" s="525"/>
      <c r="G590" s="526"/>
      <c r="K590" s="3280"/>
      <c r="P590" s="3041"/>
      <c r="X590" s="3280"/>
      <c r="AA590" s="3041"/>
      <c r="AF590" s="3041"/>
      <c r="AN590" s="3280"/>
      <c r="AZ590" s="3041"/>
      <c r="BD590" s="3281"/>
      <c r="BH590" s="3282"/>
      <c r="BJ590" s="2589"/>
      <c r="BK590" s="2126"/>
      <c r="BL590" s="2126"/>
      <c r="BM590" s="2126"/>
      <c r="BN590" s="2126"/>
      <c r="BO590" s="2126"/>
      <c r="BP590" s="2126"/>
      <c r="BQ590" s="2126"/>
      <c r="BR590" s="2126"/>
      <c r="BS590" s="2126"/>
    </row>
    <row r="591" spans="1:71" s="3030" customFormat="1">
      <c r="A591" s="2126"/>
      <c r="B591" s="2126"/>
      <c r="C591" s="2149"/>
      <c r="D591" s="3248"/>
      <c r="E591" s="525"/>
      <c r="F591" s="525"/>
      <c r="G591" s="526"/>
      <c r="K591" s="3280"/>
      <c r="P591" s="3041"/>
      <c r="X591" s="3280"/>
      <c r="AA591" s="3041"/>
      <c r="AF591" s="3041"/>
      <c r="AN591" s="3280"/>
      <c r="AZ591" s="3041"/>
      <c r="BD591" s="3281"/>
      <c r="BH591" s="3282"/>
      <c r="BJ591" s="2589"/>
      <c r="BK591" s="2126"/>
      <c r="BL591" s="2126"/>
      <c r="BM591" s="2126"/>
      <c r="BN591" s="2126"/>
      <c r="BO591" s="2126"/>
      <c r="BP591" s="2126"/>
      <c r="BQ591" s="2126"/>
      <c r="BR591" s="2126"/>
      <c r="BS591" s="2126"/>
    </row>
    <row r="592" spans="1:71" s="3030" customFormat="1">
      <c r="A592" s="2126"/>
      <c r="B592" s="2126"/>
      <c r="C592" s="2149"/>
      <c r="D592" s="3248"/>
      <c r="E592" s="525"/>
      <c r="F592" s="525"/>
      <c r="G592" s="526"/>
      <c r="K592" s="3280"/>
      <c r="P592" s="3041"/>
      <c r="X592" s="3280"/>
      <c r="AA592" s="3041"/>
      <c r="AF592" s="3041"/>
      <c r="AN592" s="3280"/>
      <c r="AZ592" s="3041"/>
      <c r="BD592" s="3281"/>
      <c r="BH592" s="3282"/>
      <c r="BJ592" s="2589"/>
      <c r="BK592" s="2126"/>
      <c r="BL592" s="2126"/>
      <c r="BM592" s="2126"/>
      <c r="BN592" s="2126"/>
      <c r="BO592" s="2126"/>
      <c r="BP592" s="2126"/>
      <c r="BQ592" s="2126"/>
      <c r="BR592" s="2126"/>
      <c r="BS592" s="2126"/>
    </row>
    <row r="593" spans="1:71" s="3030" customFormat="1">
      <c r="A593" s="2126"/>
      <c r="B593" s="2126"/>
      <c r="C593" s="2149"/>
      <c r="D593" s="3248"/>
      <c r="E593" s="525"/>
      <c r="F593" s="525"/>
      <c r="G593" s="526"/>
      <c r="K593" s="3280"/>
      <c r="P593" s="3041"/>
      <c r="X593" s="3280"/>
      <c r="AA593" s="3041"/>
      <c r="AF593" s="3041"/>
      <c r="AN593" s="3280"/>
      <c r="AZ593" s="3041"/>
      <c r="BD593" s="3281"/>
      <c r="BH593" s="3282"/>
      <c r="BJ593" s="2589"/>
      <c r="BK593" s="2126"/>
      <c r="BL593" s="2126"/>
      <c r="BM593" s="2126"/>
      <c r="BN593" s="2126"/>
      <c r="BO593" s="2126"/>
      <c r="BP593" s="2126"/>
      <c r="BQ593" s="2126"/>
      <c r="BR593" s="2126"/>
      <c r="BS593" s="2126"/>
    </row>
    <row r="594" spans="1:71" s="3030" customFormat="1">
      <c r="A594" s="2126"/>
      <c r="B594" s="2126"/>
      <c r="C594" s="2149"/>
      <c r="D594" s="3248"/>
      <c r="E594" s="525"/>
      <c r="F594" s="525"/>
      <c r="G594" s="526"/>
      <c r="K594" s="3280"/>
      <c r="P594" s="3041"/>
      <c r="X594" s="3280"/>
      <c r="AA594" s="3041"/>
      <c r="AF594" s="3041"/>
      <c r="AN594" s="3280"/>
      <c r="AZ594" s="3041"/>
      <c r="BD594" s="3281"/>
      <c r="BH594" s="3282"/>
      <c r="BJ594" s="2589"/>
      <c r="BK594" s="2126"/>
      <c r="BL594" s="2126"/>
      <c r="BM594" s="2126"/>
      <c r="BN594" s="2126"/>
      <c r="BO594" s="2126"/>
      <c r="BP594" s="2126"/>
      <c r="BQ594" s="2126"/>
      <c r="BR594" s="2126"/>
      <c r="BS594" s="2126"/>
    </row>
    <row r="595" spans="1:71" s="3030" customFormat="1">
      <c r="A595" s="2126"/>
      <c r="B595" s="2126"/>
      <c r="C595" s="2149"/>
      <c r="D595" s="3248"/>
      <c r="E595" s="525"/>
      <c r="F595" s="525"/>
      <c r="G595" s="526"/>
      <c r="K595" s="3280"/>
      <c r="P595" s="3041"/>
      <c r="X595" s="3280"/>
      <c r="AA595" s="3041"/>
      <c r="AF595" s="3041"/>
      <c r="AN595" s="3280"/>
      <c r="AZ595" s="3041"/>
      <c r="BD595" s="3281"/>
      <c r="BH595" s="3282"/>
      <c r="BJ595" s="2589"/>
      <c r="BK595" s="2126"/>
      <c r="BL595" s="2126"/>
      <c r="BM595" s="2126"/>
      <c r="BN595" s="2126"/>
      <c r="BO595" s="2126"/>
      <c r="BP595" s="2126"/>
      <c r="BQ595" s="2126"/>
      <c r="BR595" s="2126"/>
      <c r="BS595" s="2126"/>
    </row>
    <row r="596" spans="1:71" s="3030" customFormat="1">
      <c r="A596" s="2126"/>
      <c r="B596" s="2126"/>
      <c r="C596" s="2149"/>
      <c r="D596" s="3248"/>
      <c r="E596" s="525"/>
      <c r="F596" s="525"/>
      <c r="G596" s="526"/>
      <c r="K596" s="3280"/>
      <c r="P596" s="3041"/>
      <c r="X596" s="3280"/>
      <c r="AA596" s="3041"/>
      <c r="AF596" s="3041"/>
      <c r="AN596" s="3280"/>
      <c r="AZ596" s="3041"/>
      <c r="BD596" s="3281"/>
      <c r="BH596" s="3282"/>
      <c r="BJ596" s="2589"/>
      <c r="BK596" s="2126"/>
      <c r="BL596" s="2126"/>
      <c r="BM596" s="2126"/>
      <c r="BN596" s="2126"/>
      <c r="BO596" s="2126"/>
      <c r="BP596" s="2126"/>
      <c r="BQ596" s="2126"/>
      <c r="BR596" s="2126"/>
      <c r="BS596" s="2126"/>
    </row>
    <row r="597" spans="1:71" s="3030" customFormat="1">
      <c r="A597" s="2126"/>
      <c r="B597" s="2126"/>
      <c r="C597" s="2149"/>
      <c r="D597" s="3248"/>
      <c r="E597" s="525"/>
      <c r="F597" s="525"/>
      <c r="G597" s="526"/>
      <c r="K597" s="3280"/>
      <c r="P597" s="3041"/>
      <c r="X597" s="3280"/>
      <c r="AA597" s="3041"/>
      <c r="AF597" s="3041"/>
      <c r="AN597" s="3280"/>
      <c r="AZ597" s="3041"/>
      <c r="BD597" s="3281"/>
      <c r="BH597" s="3282"/>
      <c r="BJ597" s="2589"/>
      <c r="BK597" s="2126"/>
      <c r="BL597" s="2126"/>
      <c r="BM597" s="2126"/>
      <c r="BN597" s="2126"/>
      <c r="BO597" s="2126"/>
      <c r="BP597" s="2126"/>
      <c r="BQ597" s="2126"/>
      <c r="BR597" s="2126"/>
      <c r="BS597" s="2126"/>
    </row>
    <row r="598" spans="1:71" s="3030" customFormat="1">
      <c r="A598" s="2126"/>
      <c r="B598" s="2126"/>
      <c r="C598" s="2149"/>
      <c r="D598" s="3248"/>
      <c r="E598" s="525"/>
      <c r="F598" s="525"/>
      <c r="G598" s="526"/>
      <c r="K598" s="3280"/>
      <c r="P598" s="3041"/>
      <c r="X598" s="3280"/>
      <c r="AA598" s="3041"/>
      <c r="AF598" s="3041"/>
      <c r="AN598" s="3280"/>
      <c r="AZ598" s="3041"/>
      <c r="BD598" s="3281"/>
      <c r="BH598" s="3282"/>
      <c r="BJ598" s="2589"/>
      <c r="BK598" s="2126"/>
      <c r="BL598" s="2126"/>
      <c r="BM598" s="2126"/>
      <c r="BN598" s="2126"/>
      <c r="BO598" s="2126"/>
      <c r="BP598" s="2126"/>
      <c r="BQ598" s="2126"/>
      <c r="BR598" s="2126"/>
      <c r="BS598" s="2126"/>
    </row>
    <row r="599" spans="1:71" s="3030" customFormat="1">
      <c r="A599" s="2126"/>
      <c r="B599" s="2126"/>
      <c r="C599" s="2149"/>
      <c r="D599" s="3248"/>
      <c r="E599" s="525"/>
      <c r="F599" s="525"/>
      <c r="G599" s="526"/>
      <c r="K599" s="3280"/>
      <c r="P599" s="3041"/>
      <c r="X599" s="3280"/>
      <c r="AA599" s="3041"/>
      <c r="AF599" s="3041"/>
      <c r="AN599" s="3280"/>
      <c r="AZ599" s="3041"/>
      <c r="BD599" s="3281"/>
      <c r="BH599" s="3282"/>
      <c r="BJ599" s="2589"/>
      <c r="BK599" s="2126"/>
      <c r="BL599" s="2126"/>
      <c r="BM599" s="2126"/>
      <c r="BN599" s="2126"/>
      <c r="BO599" s="2126"/>
      <c r="BP599" s="2126"/>
      <c r="BQ599" s="2126"/>
      <c r="BR599" s="2126"/>
      <c r="BS599" s="2126"/>
    </row>
    <row r="600" spans="1:71" s="3030" customFormat="1">
      <c r="A600" s="2126"/>
      <c r="B600" s="2126"/>
      <c r="C600" s="2149"/>
      <c r="D600" s="3248"/>
      <c r="E600" s="525"/>
      <c r="F600" s="525"/>
      <c r="G600" s="526"/>
      <c r="K600" s="3280"/>
      <c r="P600" s="3041"/>
      <c r="X600" s="3280"/>
      <c r="AA600" s="3041"/>
      <c r="AF600" s="3041"/>
      <c r="AN600" s="3280"/>
      <c r="AZ600" s="3041"/>
      <c r="BD600" s="3281"/>
      <c r="BH600" s="3282"/>
      <c r="BJ600" s="2589"/>
      <c r="BK600" s="2126"/>
      <c r="BL600" s="2126"/>
      <c r="BM600" s="2126"/>
      <c r="BN600" s="2126"/>
      <c r="BO600" s="2126"/>
      <c r="BP600" s="2126"/>
      <c r="BQ600" s="2126"/>
      <c r="BR600" s="2126"/>
      <c r="BS600" s="2126"/>
    </row>
    <row r="601" spans="1:71" s="3030" customFormat="1">
      <c r="A601" s="2126"/>
      <c r="B601" s="2126"/>
      <c r="C601" s="2149"/>
      <c r="D601" s="3248"/>
      <c r="E601" s="525"/>
      <c r="F601" s="525"/>
      <c r="G601" s="526"/>
      <c r="K601" s="3280"/>
      <c r="P601" s="3041"/>
      <c r="X601" s="3280"/>
      <c r="AA601" s="3041"/>
      <c r="AF601" s="3041"/>
      <c r="AN601" s="3280"/>
      <c r="AZ601" s="3041"/>
      <c r="BD601" s="3281"/>
      <c r="BH601" s="3282"/>
      <c r="BJ601" s="2589"/>
      <c r="BK601" s="2126"/>
      <c r="BL601" s="2126"/>
      <c r="BM601" s="2126"/>
      <c r="BN601" s="2126"/>
      <c r="BO601" s="2126"/>
      <c r="BP601" s="2126"/>
      <c r="BQ601" s="2126"/>
      <c r="BR601" s="2126"/>
      <c r="BS601" s="2126"/>
    </row>
    <row r="602" spans="1:71" s="3030" customFormat="1">
      <c r="A602" s="2126"/>
      <c r="B602" s="2126"/>
      <c r="C602" s="2149"/>
      <c r="D602" s="3248"/>
      <c r="E602" s="525"/>
      <c r="F602" s="525"/>
      <c r="G602" s="526"/>
      <c r="K602" s="3280"/>
      <c r="P602" s="3041"/>
      <c r="X602" s="3280"/>
      <c r="AA602" s="3041"/>
      <c r="AF602" s="3041"/>
      <c r="AN602" s="3280"/>
      <c r="AZ602" s="3041"/>
      <c r="BD602" s="3281"/>
      <c r="BH602" s="3282"/>
      <c r="BJ602" s="2589"/>
      <c r="BK602" s="2126"/>
      <c r="BL602" s="2126"/>
      <c r="BM602" s="2126"/>
      <c r="BN602" s="2126"/>
      <c r="BO602" s="2126"/>
      <c r="BP602" s="2126"/>
      <c r="BQ602" s="2126"/>
      <c r="BR602" s="2126"/>
      <c r="BS602" s="2126"/>
    </row>
    <row r="603" spans="1:71" s="3030" customFormat="1">
      <c r="A603" s="2126"/>
      <c r="B603" s="2126"/>
      <c r="C603" s="2149"/>
      <c r="D603" s="3248"/>
      <c r="E603" s="525"/>
      <c r="F603" s="525"/>
      <c r="G603" s="526"/>
      <c r="K603" s="3280"/>
      <c r="P603" s="3041"/>
      <c r="X603" s="3280"/>
      <c r="AA603" s="3041"/>
      <c r="AF603" s="3041"/>
      <c r="AN603" s="3280"/>
      <c r="AZ603" s="3041"/>
      <c r="BD603" s="3281"/>
      <c r="BH603" s="3282"/>
      <c r="BJ603" s="2589"/>
      <c r="BK603" s="2126"/>
      <c r="BL603" s="2126"/>
      <c r="BM603" s="2126"/>
      <c r="BN603" s="2126"/>
      <c r="BO603" s="2126"/>
      <c r="BP603" s="2126"/>
      <c r="BQ603" s="2126"/>
      <c r="BR603" s="2126"/>
      <c r="BS603" s="2126"/>
    </row>
    <row r="604" spans="1:71" s="3030" customFormat="1">
      <c r="A604" s="2126"/>
      <c r="B604" s="2126"/>
      <c r="C604" s="2149"/>
      <c r="D604" s="3248"/>
      <c r="E604" s="525"/>
      <c r="F604" s="525"/>
      <c r="G604" s="526"/>
      <c r="K604" s="3280"/>
      <c r="P604" s="3041"/>
      <c r="X604" s="3280"/>
      <c r="AA604" s="3041"/>
      <c r="AF604" s="3041"/>
      <c r="AN604" s="3280"/>
      <c r="AZ604" s="3041"/>
      <c r="BD604" s="3281"/>
      <c r="BH604" s="3282"/>
      <c r="BJ604" s="2589"/>
      <c r="BK604" s="2126"/>
      <c r="BL604" s="2126"/>
      <c r="BM604" s="2126"/>
      <c r="BN604" s="2126"/>
      <c r="BO604" s="2126"/>
      <c r="BP604" s="2126"/>
      <c r="BQ604" s="2126"/>
      <c r="BR604" s="2126"/>
      <c r="BS604" s="2126"/>
    </row>
    <row r="605" spans="1:71" s="3030" customFormat="1">
      <c r="A605" s="2126"/>
      <c r="B605" s="2126"/>
      <c r="C605" s="2149"/>
      <c r="D605" s="3248"/>
      <c r="E605" s="525"/>
      <c r="F605" s="525"/>
      <c r="G605" s="526"/>
      <c r="K605" s="3280"/>
      <c r="P605" s="3041"/>
      <c r="X605" s="3280"/>
      <c r="AA605" s="3041"/>
      <c r="AF605" s="3041"/>
      <c r="AN605" s="3280"/>
      <c r="AZ605" s="3041"/>
      <c r="BD605" s="3281"/>
      <c r="BH605" s="3282"/>
      <c r="BJ605" s="2589"/>
      <c r="BK605" s="2126"/>
      <c r="BL605" s="2126"/>
      <c r="BM605" s="2126"/>
      <c r="BN605" s="2126"/>
      <c r="BO605" s="2126"/>
      <c r="BP605" s="2126"/>
      <c r="BQ605" s="2126"/>
      <c r="BR605" s="2126"/>
      <c r="BS605" s="2126"/>
    </row>
    <row r="606" spans="1:71" s="3030" customFormat="1">
      <c r="A606" s="2126"/>
      <c r="B606" s="2126"/>
      <c r="C606" s="2149"/>
      <c r="D606" s="3248"/>
      <c r="E606" s="525"/>
      <c r="F606" s="525"/>
      <c r="G606" s="526"/>
      <c r="K606" s="3280"/>
      <c r="P606" s="3041"/>
      <c r="X606" s="3280"/>
      <c r="AA606" s="3041"/>
      <c r="AF606" s="3041"/>
      <c r="AN606" s="3280"/>
      <c r="AZ606" s="3041"/>
      <c r="BD606" s="3281"/>
      <c r="BH606" s="3282"/>
      <c r="BJ606" s="2589"/>
      <c r="BK606" s="2126"/>
      <c r="BL606" s="2126"/>
      <c r="BM606" s="2126"/>
      <c r="BN606" s="2126"/>
      <c r="BO606" s="2126"/>
      <c r="BP606" s="2126"/>
      <c r="BQ606" s="2126"/>
      <c r="BR606" s="2126"/>
      <c r="BS606" s="2126"/>
    </row>
    <row r="607" spans="1:71" s="3030" customFormat="1">
      <c r="A607" s="2126"/>
      <c r="B607" s="2126"/>
      <c r="C607" s="2149"/>
      <c r="D607" s="3248"/>
      <c r="E607" s="525"/>
      <c r="F607" s="525"/>
      <c r="G607" s="526"/>
      <c r="K607" s="3280"/>
      <c r="P607" s="3041"/>
      <c r="X607" s="3280"/>
      <c r="AA607" s="3041"/>
      <c r="AF607" s="3041"/>
      <c r="AN607" s="3280"/>
      <c r="AZ607" s="3041"/>
      <c r="BD607" s="3281"/>
      <c r="BH607" s="3282"/>
      <c r="BJ607" s="2589"/>
      <c r="BK607" s="2126"/>
      <c r="BL607" s="2126"/>
      <c r="BM607" s="2126"/>
      <c r="BN607" s="2126"/>
      <c r="BO607" s="2126"/>
      <c r="BP607" s="2126"/>
      <c r="BQ607" s="2126"/>
      <c r="BR607" s="2126"/>
      <c r="BS607" s="2126"/>
    </row>
    <row r="608" spans="1:71" s="3030" customFormat="1">
      <c r="A608" s="2126"/>
      <c r="B608" s="2126"/>
      <c r="C608" s="2149"/>
      <c r="D608" s="3248"/>
      <c r="E608" s="525"/>
      <c r="F608" s="525"/>
      <c r="G608" s="526"/>
      <c r="K608" s="3280"/>
      <c r="P608" s="3041"/>
      <c r="X608" s="3280"/>
      <c r="AA608" s="3041"/>
      <c r="AF608" s="3041"/>
      <c r="AN608" s="3280"/>
      <c r="AZ608" s="3041"/>
      <c r="BD608" s="3281"/>
      <c r="BH608" s="3282"/>
      <c r="BJ608" s="2589"/>
      <c r="BK608" s="2126"/>
      <c r="BL608" s="2126"/>
      <c r="BM608" s="2126"/>
      <c r="BN608" s="2126"/>
      <c r="BO608" s="2126"/>
      <c r="BP608" s="2126"/>
      <c r="BQ608" s="2126"/>
      <c r="BR608" s="2126"/>
      <c r="BS608" s="2126"/>
    </row>
    <row r="609" spans="1:71" s="3030" customFormat="1">
      <c r="A609" s="2126"/>
      <c r="B609" s="2126"/>
      <c r="C609" s="2149"/>
      <c r="D609" s="3248"/>
      <c r="E609" s="525"/>
      <c r="F609" s="525"/>
      <c r="G609" s="526"/>
      <c r="K609" s="3280"/>
      <c r="P609" s="3041"/>
      <c r="X609" s="3280"/>
      <c r="AA609" s="3041"/>
      <c r="AF609" s="3041"/>
      <c r="AN609" s="3280"/>
      <c r="AZ609" s="3041"/>
      <c r="BD609" s="3281"/>
      <c r="BH609" s="3282"/>
      <c r="BJ609" s="2589"/>
      <c r="BK609" s="2126"/>
      <c r="BL609" s="2126"/>
      <c r="BM609" s="2126"/>
      <c r="BN609" s="2126"/>
      <c r="BO609" s="2126"/>
      <c r="BP609" s="2126"/>
      <c r="BQ609" s="2126"/>
      <c r="BR609" s="2126"/>
      <c r="BS609" s="2126"/>
    </row>
    <row r="610" spans="1:71" s="3030" customFormat="1">
      <c r="A610" s="2126"/>
      <c r="B610" s="2126"/>
      <c r="C610" s="2149"/>
      <c r="D610" s="3248"/>
      <c r="E610" s="525"/>
      <c r="F610" s="525"/>
      <c r="G610" s="526"/>
      <c r="K610" s="3280"/>
      <c r="P610" s="3041"/>
      <c r="X610" s="3280"/>
      <c r="AA610" s="3041"/>
      <c r="AF610" s="3041"/>
      <c r="AN610" s="3280"/>
      <c r="AZ610" s="3041"/>
      <c r="BD610" s="3281"/>
      <c r="BH610" s="3282"/>
      <c r="BJ610" s="2589"/>
      <c r="BK610" s="2126"/>
      <c r="BL610" s="2126"/>
      <c r="BM610" s="2126"/>
      <c r="BN610" s="2126"/>
      <c r="BO610" s="2126"/>
      <c r="BP610" s="2126"/>
      <c r="BQ610" s="2126"/>
      <c r="BR610" s="2126"/>
      <c r="BS610" s="2126"/>
    </row>
    <row r="611" spans="1:71" s="3030" customFormat="1">
      <c r="A611" s="2126"/>
      <c r="B611" s="2126"/>
      <c r="C611" s="2149"/>
      <c r="D611" s="3248"/>
      <c r="E611" s="525"/>
      <c r="F611" s="525"/>
      <c r="G611" s="526"/>
      <c r="K611" s="3280"/>
      <c r="P611" s="3041"/>
      <c r="X611" s="3280"/>
      <c r="AA611" s="3041"/>
      <c r="AF611" s="3041"/>
      <c r="AN611" s="3280"/>
      <c r="AZ611" s="3041"/>
      <c r="BD611" s="3281"/>
      <c r="BH611" s="3282"/>
      <c r="BJ611" s="2589"/>
      <c r="BK611" s="2126"/>
      <c r="BL611" s="2126"/>
      <c r="BM611" s="2126"/>
      <c r="BN611" s="2126"/>
      <c r="BO611" s="2126"/>
      <c r="BP611" s="2126"/>
      <c r="BQ611" s="2126"/>
      <c r="BR611" s="2126"/>
      <c r="BS611" s="2126"/>
    </row>
    <row r="612" spans="1:71" s="3030" customFormat="1">
      <c r="A612" s="2126"/>
      <c r="B612" s="2126"/>
      <c r="C612" s="2149"/>
      <c r="D612" s="3248"/>
      <c r="E612" s="525"/>
      <c r="F612" s="525"/>
      <c r="G612" s="526"/>
      <c r="K612" s="3280"/>
      <c r="P612" s="3041"/>
      <c r="X612" s="3280"/>
      <c r="AA612" s="3041"/>
      <c r="AF612" s="3041"/>
      <c r="AN612" s="3280"/>
      <c r="AZ612" s="3041"/>
      <c r="BD612" s="3281"/>
      <c r="BH612" s="3282"/>
      <c r="BJ612" s="2589"/>
      <c r="BK612" s="2126"/>
      <c r="BL612" s="2126"/>
      <c r="BM612" s="2126"/>
      <c r="BN612" s="2126"/>
      <c r="BO612" s="2126"/>
      <c r="BP612" s="2126"/>
      <c r="BQ612" s="2126"/>
      <c r="BR612" s="2126"/>
      <c r="BS612" s="2126"/>
    </row>
    <row r="613" spans="1:71" s="3030" customFormat="1">
      <c r="A613" s="2126"/>
      <c r="B613" s="2126"/>
      <c r="C613" s="2149"/>
      <c r="D613" s="3248"/>
      <c r="E613" s="525"/>
      <c r="F613" s="525"/>
      <c r="G613" s="526"/>
      <c r="K613" s="3280"/>
      <c r="P613" s="3041"/>
      <c r="X613" s="3280"/>
      <c r="AA613" s="3041"/>
      <c r="AF613" s="3041"/>
      <c r="AN613" s="3280"/>
      <c r="AZ613" s="3041"/>
      <c r="BD613" s="3281"/>
      <c r="BH613" s="3282"/>
      <c r="BJ613" s="2589"/>
      <c r="BK613" s="2126"/>
      <c r="BL613" s="2126"/>
      <c r="BM613" s="2126"/>
      <c r="BN613" s="2126"/>
      <c r="BO613" s="2126"/>
      <c r="BP613" s="2126"/>
      <c r="BQ613" s="2126"/>
      <c r="BR613" s="2126"/>
      <c r="BS613" s="2126"/>
    </row>
    <row r="614" spans="1:71" s="3030" customFormat="1">
      <c r="A614" s="2126"/>
      <c r="B614" s="2126"/>
      <c r="C614" s="2149"/>
      <c r="D614" s="3248"/>
      <c r="E614" s="525"/>
      <c r="F614" s="525"/>
      <c r="G614" s="526"/>
      <c r="K614" s="3280"/>
      <c r="P614" s="3041"/>
      <c r="X614" s="3280"/>
      <c r="AA614" s="3041"/>
      <c r="AF614" s="3041"/>
      <c r="AN614" s="3280"/>
      <c r="AZ614" s="3041"/>
      <c r="BD614" s="3281"/>
      <c r="BH614" s="3282"/>
      <c r="BJ614" s="2589"/>
      <c r="BK614" s="2126"/>
      <c r="BL614" s="2126"/>
      <c r="BM614" s="2126"/>
      <c r="BN614" s="2126"/>
      <c r="BO614" s="2126"/>
      <c r="BP614" s="2126"/>
      <c r="BQ614" s="2126"/>
      <c r="BR614" s="2126"/>
      <c r="BS614" s="2126"/>
    </row>
    <row r="615" spans="1:71" s="3030" customFormat="1">
      <c r="A615" s="2126"/>
      <c r="B615" s="2126"/>
      <c r="C615" s="2149"/>
      <c r="D615" s="3248"/>
      <c r="E615" s="525"/>
      <c r="F615" s="525"/>
      <c r="G615" s="526"/>
      <c r="K615" s="3280"/>
      <c r="P615" s="3041"/>
      <c r="X615" s="3280"/>
      <c r="AA615" s="3041"/>
      <c r="AF615" s="3041"/>
      <c r="AN615" s="3280"/>
      <c r="AZ615" s="3041"/>
      <c r="BD615" s="3281"/>
      <c r="BH615" s="3282"/>
      <c r="BJ615" s="2589"/>
      <c r="BK615" s="2126"/>
      <c r="BL615" s="2126"/>
      <c r="BM615" s="2126"/>
      <c r="BN615" s="2126"/>
      <c r="BO615" s="2126"/>
      <c r="BP615" s="2126"/>
      <c r="BQ615" s="2126"/>
      <c r="BR615" s="2126"/>
      <c r="BS615" s="2126"/>
    </row>
    <row r="616" spans="1:71" s="3030" customFormat="1">
      <c r="A616" s="2126"/>
      <c r="B616" s="2126"/>
      <c r="C616" s="2149"/>
      <c r="D616" s="3248"/>
      <c r="E616" s="525"/>
      <c r="F616" s="525"/>
      <c r="G616" s="526"/>
      <c r="K616" s="3280"/>
      <c r="P616" s="3041"/>
      <c r="X616" s="3280"/>
      <c r="AA616" s="3041"/>
      <c r="AF616" s="3041"/>
      <c r="AN616" s="3280"/>
      <c r="AZ616" s="3041"/>
      <c r="BD616" s="3281"/>
      <c r="BH616" s="3282"/>
      <c r="BJ616" s="2589"/>
      <c r="BK616" s="2126"/>
      <c r="BL616" s="2126"/>
      <c r="BM616" s="2126"/>
      <c r="BN616" s="2126"/>
      <c r="BO616" s="2126"/>
      <c r="BP616" s="2126"/>
      <c r="BQ616" s="2126"/>
      <c r="BR616" s="2126"/>
      <c r="BS616" s="2126"/>
    </row>
    <row r="617" spans="1:71" s="3030" customFormat="1">
      <c r="A617" s="2126"/>
      <c r="B617" s="2126"/>
      <c r="C617" s="2149"/>
      <c r="D617" s="3248"/>
      <c r="E617" s="525"/>
      <c r="F617" s="525"/>
      <c r="G617" s="526"/>
      <c r="K617" s="3280"/>
      <c r="P617" s="3041"/>
      <c r="X617" s="3280"/>
      <c r="AA617" s="3041"/>
      <c r="AF617" s="3041"/>
      <c r="AN617" s="3280"/>
      <c r="AZ617" s="3041"/>
      <c r="BD617" s="3281"/>
      <c r="BH617" s="3282"/>
      <c r="BJ617" s="2589"/>
      <c r="BK617" s="2126"/>
      <c r="BL617" s="2126"/>
      <c r="BM617" s="2126"/>
      <c r="BN617" s="2126"/>
      <c r="BO617" s="2126"/>
      <c r="BP617" s="2126"/>
      <c r="BQ617" s="2126"/>
      <c r="BR617" s="2126"/>
      <c r="BS617" s="2126"/>
    </row>
    <row r="618" spans="1:71" s="3030" customFormat="1">
      <c r="A618" s="2126"/>
      <c r="B618" s="2126"/>
      <c r="C618" s="2149"/>
      <c r="D618" s="3248"/>
      <c r="E618" s="525"/>
      <c r="F618" s="525"/>
      <c r="G618" s="526"/>
      <c r="K618" s="3280"/>
      <c r="P618" s="3041"/>
      <c r="X618" s="3280"/>
      <c r="AA618" s="3041"/>
      <c r="AF618" s="3041"/>
      <c r="AN618" s="3280"/>
      <c r="AZ618" s="3041"/>
      <c r="BD618" s="3281"/>
      <c r="BH618" s="3282"/>
      <c r="BJ618" s="2589"/>
      <c r="BK618" s="2126"/>
      <c r="BL618" s="2126"/>
      <c r="BM618" s="2126"/>
      <c r="BN618" s="2126"/>
      <c r="BO618" s="2126"/>
      <c r="BP618" s="2126"/>
      <c r="BQ618" s="2126"/>
      <c r="BR618" s="2126"/>
      <c r="BS618" s="2126"/>
    </row>
    <row r="619" spans="1:71" s="3030" customFormat="1">
      <c r="A619" s="2126"/>
      <c r="B619" s="2126"/>
      <c r="C619" s="2149"/>
      <c r="D619" s="3248"/>
      <c r="E619" s="525"/>
      <c r="F619" s="525"/>
      <c r="G619" s="526"/>
      <c r="K619" s="3280"/>
      <c r="P619" s="3041"/>
      <c r="X619" s="3280"/>
      <c r="AA619" s="3041"/>
      <c r="AF619" s="3041"/>
      <c r="AN619" s="3280"/>
      <c r="AZ619" s="3041"/>
      <c r="BD619" s="3281"/>
      <c r="BH619" s="3282"/>
      <c r="BJ619" s="2589"/>
      <c r="BK619" s="2126"/>
      <c r="BL619" s="2126"/>
      <c r="BM619" s="2126"/>
      <c r="BN619" s="2126"/>
      <c r="BO619" s="2126"/>
      <c r="BP619" s="2126"/>
      <c r="BQ619" s="2126"/>
      <c r="BR619" s="2126"/>
      <c r="BS619" s="2126"/>
    </row>
    <row r="620" spans="1:71" s="3030" customFormat="1">
      <c r="A620" s="2126"/>
      <c r="B620" s="2126"/>
      <c r="C620" s="2149"/>
      <c r="D620" s="3248"/>
      <c r="E620" s="525"/>
      <c r="F620" s="525"/>
      <c r="G620" s="526"/>
      <c r="K620" s="3280"/>
      <c r="P620" s="3041"/>
      <c r="X620" s="3280"/>
      <c r="AA620" s="3041"/>
      <c r="AF620" s="3041"/>
      <c r="AN620" s="3280"/>
      <c r="AZ620" s="3041"/>
      <c r="BD620" s="3281"/>
      <c r="BH620" s="3282"/>
      <c r="BJ620" s="2589"/>
      <c r="BK620" s="2126"/>
      <c r="BL620" s="2126"/>
      <c r="BM620" s="2126"/>
      <c r="BN620" s="2126"/>
      <c r="BO620" s="2126"/>
      <c r="BP620" s="2126"/>
      <c r="BQ620" s="2126"/>
      <c r="BR620" s="2126"/>
      <c r="BS620" s="2126"/>
    </row>
    <row r="621" spans="1:71" s="3030" customFormat="1">
      <c r="A621" s="2126"/>
      <c r="B621" s="2126"/>
      <c r="C621" s="2149"/>
      <c r="D621" s="3248"/>
      <c r="E621" s="525"/>
      <c r="F621" s="525"/>
      <c r="G621" s="526"/>
      <c r="K621" s="3280"/>
      <c r="P621" s="3041"/>
      <c r="X621" s="3280"/>
      <c r="AA621" s="3041"/>
      <c r="AF621" s="3041"/>
      <c r="AN621" s="3280"/>
      <c r="AZ621" s="3041"/>
      <c r="BD621" s="3281"/>
      <c r="BH621" s="3282"/>
      <c r="BJ621" s="2589"/>
      <c r="BK621" s="2126"/>
      <c r="BL621" s="2126"/>
      <c r="BM621" s="2126"/>
      <c r="BN621" s="2126"/>
      <c r="BO621" s="2126"/>
      <c r="BP621" s="2126"/>
      <c r="BQ621" s="2126"/>
      <c r="BR621" s="2126"/>
      <c r="BS621" s="2126"/>
    </row>
    <row r="622" spans="1:71" s="3030" customFormat="1">
      <c r="A622" s="2126"/>
      <c r="B622" s="2126"/>
      <c r="C622" s="2149"/>
      <c r="D622" s="3248"/>
      <c r="E622" s="525"/>
      <c r="F622" s="525"/>
      <c r="G622" s="526"/>
      <c r="K622" s="3280"/>
      <c r="P622" s="3041"/>
      <c r="X622" s="3280"/>
      <c r="AA622" s="3041"/>
      <c r="AF622" s="3041"/>
      <c r="AN622" s="3280"/>
      <c r="AZ622" s="3041"/>
      <c r="BD622" s="3281"/>
      <c r="BH622" s="3282"/>
      <c r="BJ622" s="2589"/>
      <c r="BK622" s="2126"/>
      <c r="BL622" s="2126"/>
      <c r="BM622" s="2126"/>
      <c r="BN622" s="2126"/>
      <c r="BO622" s="2126"/>
      <c r="BP622" s="2126"/>
      <c r="BQ622" s="2126"/>
      <c r="BR622" s="2126"/>
      <c r="BS622" s="2126"/>
    </row>
    <row r="623" spans="1:71" s="3030" customFormat="1">
      <c r="A623" s="2126"/>
      <c r="B623" s="2126"/>
      <c r="C623" s="2149"/>
      <c r="D623" s="3248"/>
      <c r="E623" s="525"/>
      <c r="F623" s="525"/>
      <c r="G623" s="526"/>
      <c r="K623" s="3280"/>
      <c r="P623" s="3041"/>
      <c r="X623" s="3280"/>
      <c r="AA623" s="3041"/>
      <c r="AF623" s="3041"/>
      <c r="AN623" s="3280"/>
      <c r="AZ623" s="3041"/>
      <c r="BD623" s="3281"/>
      <c r="BH623" s="3282"/>
      <c r="BJ623" s="2589"/>
      <c r="BK623" s="2126"/>
      <c r="BL623" s="2126"/>
      <c r="BM623" s="2126"/>
      <c r="BN623" s="2126"/>
      <c r="BO623" s="2126"/>
      <c r="BP623" s="2126"/>
      <c r="BQ623" s="2126"/>
      <c r="BR623" s="2126"/>
      <c r="BS623" s="2126"/>
    </row>
    <row r="624" spans="1:71" s="3030" customFormat="1">
      <c r="A624" s="2126"/>
      <c r="B624" s="2126"/>
      <c r="C624" s="2149"/>
      <c r="D624" s="3248"/>
      <c r="E624" s="525"/>
      <c r="F624" s="525"/>
      <c r="G624" s="526"/>
      <c r="K624" s="3280"/>
      <c r="P624" s="3041"/>
      <c r="X624" s="3280"/>
      <c r="AA624" s="3041"/>
      <c r="AF624" s="3041"/>
      <c r="AN624" s="3280"/>
      <c r="AZ624" s="3041"/>
      <c r="BD624" s="3281"/>
      <c r="BH624" s="3282"/>
      <c r="BJ624" s="2589"/>
      <c r="BK624" s="2126"/>
      <c r="BL624" s="2126"/>
      <c r="BM624" s="2126"/>
      <c r="BN624" s="2126"/>
      <c r="BO624" s="2126"/>
      <c r="BP624" s="2126"/>
      <c r="BQ624" s="2126"/>
      <c r="BR624" s="2126"/>
      <c r="BS624" s="2126"/>
    </row>
    <row r="625" spans="1:71" s="3030" customFormat="1">
      <c r="A625" s="2126"/>
      <c r="B625" s="2126"/>
      <c r="C625" s="2149"/>
      <c r="D625" s="3248"/>
      <c r="E625" s="525"/>
      <c r="F625" s="525"/>
      <c r="G625" s="526"/>
      <c r="K625" s="3280"/>
      <c r="P625" s="3041"/>
      <c r="X625" s="3280"/>
      <c r="AA625" s="3041"/>
      <c r="AF625" s="3041"/>
      <c r="AN625" s="3280"/>
      <c r="AZ625" s="3041"/>
      <c r="BD625" s="3281"/>
      <c r="BH625" s="3282"/>
      <c r="BJ625" s="2589"/>
      <c r="BK625" s="2126"/>
      <c r="BL625" s="2126"/>
      <c r="BM625" s="2126"/>
      <c r="BN625" s="2126"/>
      <c r="BO625" s="2126"/>
      <c r="BP625" s="2126"/>
      <c r="BQ625" s="2126"/>
      <c r="BR625" s="2126"/>
      <c r="BS625" s="2126"/>
    </row>
    <row r="626" spans="1:71" s="3030" customFormat="1">
      <c r="A626" s="2126"/>
      <c r="B626" s="2126"/>
      <c r="C626" s="2149"/>
      <c r="D626" s="3248"/>
      <c r="E626" s="525"/>
      <c r="F626" s="525"/>
      <c r="G626" s="526"/>
      <c r="K626" s="3280"/>
      <c r="P626" s="3041"/>
      <c r="X626" s="3280"/>
      <c r="AA626" s="3041"/>
      <c r="AF626" s="3041"/>
      <c r="AN626" s="3280"/>
      <c r="AZ626" s="3041"/>
      <c r="BD626" s="3281"/>
      <c r="BH626" s="3282"/>
      <c r="BJ626" s="2589"/>
      <c r="BK626" s="2126"/>
      <c r="BL626" s="2126"/>
      <c r="BM626" s="2126"/>
      <c r="BN626" s="2126"/>
      <c r="BO626" s="2126"/>
      <c r="BP626" s="2126"/>
      <c r="BQ626" s="2126"/>
      <c r="BR626" s="2126"/>
      <c r="BS626" s="2126"/>
    </row>
    <row r="627" spans="1:71" s="3030" customFormat="1">
      <c r="A627" s="2126"/>
      <c r="B627" s="2126"/>
      <c r="C627" s="2149"/>
      <c r="D627" s="3248"/>
      <c r="E627" s="525"/>
      <c r="F627" s="525"/>
      <c r="G627" s="526"/>
      <c r="K627" s="3280"/>
      <c r="P627" s="3041"/>
      <c r="X627" s="3280"/>
      <c r="AA627" s="3041"/>
      <c r="AF627" s="3041"/>
      <c r="AN627" s="3280"/>
      <c r="AZ627" s="3041"/>
      <c r="BD627" s="3281"/>
      <c r="BH627" s="3282"/>
      <c r="BJ627" s="2589"/>
      <c r="BK627" s="2126"/>
      <c r="BL627" s="2126"/>
      <c r="BM627" s="2126"/>
      <c r="BN627" s="2126"/>
      <c r="BO627" s="2126"/>
      <c r="BP627" s="2126"/>
      <c r="BQ627" s="2126"/>
      <c r="BR627" s="2126"/>
      <c r="BS627" s="2126"/>
    </row>
    <row r="628" spans="1:71" s="3030" customFormat="1">
      <c r="A628" s="2126"/>
      <c r="B628" s="2126"/>
      <c r="C628" s="2149"/>
      <c r="D628" s="3248"/>
      <c r="E628" s="525"/>
      <c r="F628" s="525"/>
      <c r="G628" s="526"/>
      <c r="K628" s="3280"/>
      <c r="P628" s="3041"/>
      <c r="X628" s="3280"/>
      <c r="AA628" s="3041"/>
      <c r="AF628" s="3041"/>
      <c r="AN628" s="3280"/>
      <c r="AZ628" s="3041"/>
      <c r="BD628" s="3281"/>
      <c r="BH628" s="3282"/>
      <c r="BJ628" s="2589"/>
      <c r="BK628" s="2126"/>
      <c r="BL628" s="2126"/>
      <c r="BM628" s="2126"/>
      <c r="BN628" s="2126"/>
      <c r="BO628" s="2126"/>
      <c r="BP628" s="2126"/>
      <c r="BQ628" s="2126"/>
      <c r="BR628" s="2126"/>
      <c r="BS628" s="2126"/>
    </row>
    <row r="629" spans="1:71" s="3030" customFormat="1">
      <c r="A629" s="2126"/>
      <c r="B629" s="2126"/>
      <c r="C629" s="2149"/>
      <c r="D629" s="3248"/>
      <c r="E629" s="525"/>
      <c r="F629" s="525"/>
      <c r="G629" s="526"/>
      <c r="K629" s="3280"/>
      <c r="P629" s="3041"/>
      <c r="X629" s="3280"/>
      <c r="AA629" s="3041"/>
      <c r="AF629" s="3041"/>
      <c r="AN629" s="3280"/>
      <c r="AZ629" s="3041"/>
      <c r="BD629" s="3281"/>
      <c r="BH629" s="3282"/>
      <c r="BJ629" s="2589"/>
      <c r="BK629" s="2126"/>
      <c r="BL629" s="2126"/>
      <c r="BM629" s="2126"/>
      <c r="BN629" s="2126"/>
      <c r="BO629" s="2126"/>
      <c r="BP629" s="2126"/>
      <c r="BQ629" s="2126"/>
      <c r="BR629" s="2126"/>
      <c r="BS629" s="2126"/>
    </row>
    <row r="630" spans="1:71" s="3030" customFormat="1">
      <c r="A630" s="2126"/>
      <c r="B630" s="2126"/>
      <c r="C630" s="2149"/>
      <c r="D630" s="3248"/>
      <c r="E630" s="525"/>
      <c r="F630" s="525"/>
      <c r="G630" s="526"/>
      <c r="K630" s="3280"/>
      <c r="P630" s="3041"/>
      <c r="X630" s="3280"/>
      <c r="AA630" s="3041"/>
      <c r="AF630" s="3041"/>
      <c r="AN630" s="3280"/>
      <c r="AZ630" s="3041"/>
      <c r="BD630" s="3281"/>
      <c r="BH630" s="3282"/>
      <c r="BJ630" s="2589"/>
      <c r="BK630" s="2126"/>
      <c r="BL630" s="2126"/>
      <c r="BM630" s="2126"/>
      <c r="BN630" s="2126"/>
      <c r="BO630" s="2126"/>
      <c r="BP630" s="2126"/>
      <c r="BQ630" s="2126"/>
      <c r="BR630" s="2126"/>
      <c r="BS630" s="2126"/>
    </row>
    <row r="631" spans="1:71" s="3030" customFormat="1">
      <c r="A631" s="2126"/>
      <c r="B631" s="2126"/>
      <c r="C631" s="2149"/>
      <c r="D631" s="3248"/>
      <c r="E631" s="525"/>
      <c r="F631" s="525"/>
      <c r="G631" s="526"/>
      <c r="K631" s="3280"/>
      <c r="P631" s="3041"/>
      <c r="X631" s="3280"/>
      <c r="AA631" s="3041"/>
      <c r="AF631" s="3041"/>
      <c r="AN631" s="3280"/>
      <c r="AZ631" s="3041"/>
      <c r="BD631" s="3281"/>
      <c r="BH631" s="3282"/>
      <c r="BJ631" s="2589"/>
      <c r="BK631" s="2126"/>
      <c r="BL631" s="2126"/>
      <c r="BM631" s="2126"/>
      <c r="BN631" s="2126"/>
      <c r="BO631" s="2126"/>
      <c r="BP631" s="2126"/>
      <c r="BQ631" s="2126"/>
      <c r="BR631" s="2126"/>
      <c r="BS631" s="2126"/>
    </row>
    <row r="632" spans="1:71" s="3030" customFormat="1">
      <c r="A632" s="2126"/>
      <c r="B632" s="2126"/>
      <c r="C632" s="2149"/>
      <c r="D632" s="3248"/>
      <c r="E632" s="525"/>
      <c r="F632" s="525"/>
      <c r="G632" s="526"/>
      <c r="K632" s="3280"/>
      <c r="P632" s="3041"/>
      <c r="X632" s="3280"/>
      <c r="AA632" s="3041"/>
      <c r="AF632" s="3041"/>
      <c r="AN632" s="3280"/>
      <c r="AZ632" s="3041"/>
      <c r="BD632" s="3281"/>
      <c r="BH632" s="3282"/>
      <c r="BJ632" s="2589"/>
      <c r="BK632" s="2126"/>
      <c r="BL632" s="2126"/>
      <c r="BM632" s="2126"/>
      <c r="BN632" s="2126"/>
      <c r="BO632" s="2126"/>
      <c r="BP632" s="2126"/>
      <c r="BQ632" s="2126"/>
      <c r="BR632" s="2126"/>
      <c r="BS632" s="2126"/>
    </row>
    <row r="633" spans="1:71" s="3030" customFormat="1">
      <c r="A633" s="2126"/>
      <c r="B633" s="2126"/>
      <c r="C633" s="2149"/>
      <c r="D633" s="3248"/>
      <c r="E633" s="525"/>
      <c r="F633" s="525"/>
      <c r="G633" s="526"/>
      <c r="K633" s="3280"/>
      <c r="P633" s="3041"/>
      <c r="X633" s="3280"/>
      <c r="AA633" s="3041"/>
      <c r="AF633" s="3041"/>
      <c r="AN633" s="3280"/>
      <c r="AZ633" s="3041"/>
      <c r="BD633" s="3281"/>
      <c r="BH633" s="3282"/>
      <c r="BJ633" s="2589"/>
      <c r="BK633" s="2126"/>
      <c r="BL633" s="2126"/>
      <c r="BM633" s="2126"/>
      <c r="BN633" s="2126"/>
      <c r="BO633" s="2126"/>
      <c r="BP633" s="2126"/>
      <c r="BQ633" s="2126"/>
      <c r="BR633" s="2126"/>
      <c r="BS633" s="2126"/>
    </row>
    <row r="634" spans="1:71" s="3030" customFormat="1">
      <c r="A634" s="2126"/>
      <c r="B634" s="2126"/>
      <c r="C634" s="2149"/>
      <c r="D634" s="3248"/>
      <c r="E634" s="525"/>
      <c r="F634" s="525"/>
      <c r="G634" s="526"/>
      <c r="K634" s="3280"/>
      <c r="P634" s="3041"/>
      <c r="X634" s="3280"/>
      <c r="AA634" s="3041"/>
      <c r="AF634" s="3041"/>
      <c r="AN634" s="3280"/>
      <c r="AZ634" s="3041"/>
      <c r="BD634" s="3281"/>
      <c r="BH634" s="3282"/>
      <c r="BJ634" s="2589"/>
      <c r="BK634" s="2126"/>
      <c r="BL634" s="2126"/>
      <c r="BM634" s="2126"/>
      <c r="BN634" s="2126"/>
      <c r="BO634" s="2126"/>
      <c r="BP634" s="2126"/>
      <c r="BQ634" s="2126"/>
      <c r="BR634" s="2126"/>
      <c r="BS634" s="2126"/>
    </row>
    <row r="635" spans="1:71" s="3030" customFormat="1">
      <c r="A635" s="2126"/>
      <c r="B635" s="2126"/>
      <c r="C635" s="2149"/>
      <c r="D635" s="3248"/>
      <c r="E635" s="525"/>
      <c r="F635" s="525"/>
      <c r="G635" s="526"/>
      <c r="K635" s="3280"/>
      <c r="P635" s="3041"/>
      <c r="X635" s="3280"/>
      <c r="AA635" s="3041"/>
      <c r="AF635" s="3041"/>
      <c r="AN635" s="3280"/>
      <c r="AZ635" s="3041"/>
      <c r="BD635" s="3281"/>
      <c r="BH635" s="3282"/>
      <c r="BJ635" s="2589"/>
      <c r="BK635" s="2126"/>
      <c r="BL635" s="2126"/>
      <c r="BM635" s="2126"/>
      <c r="BN635" s="2126"/>
      <c r="BO635" s="2126"/>
      <c r="BP635" s="2126"/>
      <c r="BQ635" s="2126"/>
      <c r="BR635" s="2126"/>
      <c r="BS635" s="2126"/>
    </row>
    <row r="636" spans="1:71" s="3030" customFormat="1">
      <c r="A636" s="2126"/>
      <c r="B636" s="2126"/>
      <c r="C636" s="2149"/>
      <c r="D636" s="3248"/>
      <c r="E636" s="525"/>
      <c r="F636" s="525"/>
      <c r="G636" s="526"/>
      <c r="K636" s="3280"/>
      <c r="P636" s="3041"/>
      <c r="X636" s="3280"/>
      <c r="AA636" s="3041"/>
      <c r="AF636" s="3041"/>
      <c r="AN636" s="3280"/>
      <c r="AZ636" s="3041"/>
      <c r="BD636" s="3281"/>
      <c r="BH636" s="3282"/>
      <c r="BJ636" s="2589"/>
      <c r="BK636" s="2126"/>
      <c r="BL636" s="2126"/>
      <c r="BM636" s="2126"/>
      <c r="BN636" s="2126"/>
      <c r="BO636" s="2126"/>
      <c r="BP636" s="2126"/>
      <c r="BQ636" s="2126"/>
      <c r="BR636" s="2126"/>
      <c r="BS636" s="2126"/>
    </row>
    <row r="637" spans="1:71" s="3030" customFormat="1">
      <c r="A637" s="2126"/>
      <c r="B637" s="2126"/>
      <c r="C637" s="2149"/>
      <c r="D637" s="3248"/>
      <c r="E637" s="525"/>
      <c r="F637" s="525"/>
      <c r="G637" s="526"/>
      <c r="K637" s="3280"/>
      <c r="P637" s="3041"/>
      <c r="X637" s="3280"/>
      <c r="AA637" s="3041"/>
      <c r="AF637" s="3041"/>
      <c r="AN637" s="3280"/>
      <c r="AZ637" s="3041"/>
      <c r="BD637" s="3281"/>
      <c r="BH637" s="3282"/>
      <c r="BJ637" s="2589"/>
      <c r="BK637" s="2126"/>
      <c r="BL637" s="2126"/>
      <c r="BM637" s="2126"/>
      <c r="BN637" s="2126"/>
      <c r="BO637" s="2126"/>
      <c r="BP637" s="2126"/>
      <c r="BQ637" s="2126"/>
      <c r="BR637" s="2126"/>
      <c r="BS637" s="2126"/>
    </row>
    <row r="638" spans="1:71" s="3030" customFormat="1">
      <c r="A638" s="2126"/>
      <c r="B638" s="2126"/>
      <c r="C638" s="2149"/>
      <c r="D638" s="3248"/>
      <c r="E638" s="525"/>
      <c r="F638" s="525"/>
      <c r="G638" s="526"/>
      <c r="K638" s="3280"/>
      <c r="P638" s="3041"/>
      <c r="X638" s="3280"/>
      <c r="AA638" s="3041"/>
      <c r="AF638" s="3041"/>
      <c r="AN638" s="3280"/>
      <c r="AZ638" s="3041"/>
      <c r="BD638" s="3281"/>
      <c r="BH638" s="3282"/>
      <c r="BJ638" s="2589"/>
      <c r="BK638" s="2126"/>
      <c r="BL638" s="2126"/>
      <c r="BM638" s="2126"/>
      <c r="BN638" s="2126"/>
      <c r="BO638" s="2126"/>
      <c r="BP638" s="2126"/>
      <c r="BQ638" s="2126"/>
      <c r="BR638" s="2126"/>
      <c r="BS638" s="2126"/>
    </row>
    <row r="639" spans="1:71" s="3030" customFormat="1">
      <c r="A639" s="2126"/>
      <c r="B639" s="2126"/>
      <c r="C639" s="2149"/>
      <c r="D639" s="3248"/>
      <c r="E639" s="525"/>
      <c r="F639" s="525"/>
      <c r="G639" s="526"/>
      <c r="K639" s="3280"/>
      <c r="P639" s="3041"/>
      <c r="X639" s="3280"/>
      <c r="AA639" s="3041"/>
      <c r="AF639" s="3041"/>
      <c r="AN639" s="3280"/>
      <c r="AZ639" s="3041"/>
      <c r="BD639" s="3281"/>
      <c r="BH639" s="3282"/>
      <c r="BJ639" s="2589"/>
      <c r="BK639" s="2126"/>
      <c r="BL639" s="2126"/>
      <c r="BM639" s="2126"/>
      <c r="BN639" s="2126"/>
      <c r="BO639" s="2126"/>
      <c r="BP639" s="2126"/>
      <c r="BQ639" s="2126"/>
      <c r="BR639" s="2126"/>
      <c r="BS639" s="2126"/>
    </row>
    <row r="640" spans="1:71" s="3030" customFormat="1">
      <c r="A640" s="2126"/>
      <c r="B640" s="2126"/>
      <c r="C640" s="2149"/>
      <c r="D640" s="3248"/>
      <c r="E640" s="525"/>
      <c r="F640" s="525"/>
      <c r="G640" s="526"/>
      <c r="K640" s="3280"/>
      <c r="P640" s="3041"/>
      <c r="X640" s="3280"/>
      <c r="AA640" s="3041"/>
      <c r="AF640" s="3041"/>
      <c r="AN640" s="3280"/>
      <c r="AZ640" s="3041"/>
      <c r="BD640" s="3281"/>
      <c r="BH640" s="3282"/>
      <c r="BJ640" s="2589"/>
      <c r="BK640" s="2126"/>
      <c r="BL640" s="2126"/>
      <c r="BM640" s="2126"/>
      <c r="BN640" s="2126"/>
      <c r="BO640" s="2126"/>
      <c r="BP640" s="2126"/>
      <c r="BQ640" s="2126"/>
      <c r="BR640" s="2126"/>
      <c r="BS640" s="2126"/>
    </row>
    <row r="641" spans="1:71" s="3030" customFormat="1">
      <c r="A641" s="2126"/>
      <c r="B641" s="2126"/>
      <c r="C641" s="2149"/>
      <c r="D641" s="3248"/>
      <c r="E641" s="525"/>
      <c r="F641" s="525"/>
      <c r="G641" s="526"/>
      <c r="K641" s="3280"/>
      <c r="P641" s="3041"/>
      <c r="X641" s="3280"/>
      <c r="AA641" s="3041"/>
      <c r="AF641" s="3041"/>
      <c r="AN641" s="3280"/>
      <c r="AZ641" s="3041"/>
      <c r="BD641" s="3281"/>
      <c r="BH641" s="3282"/>
      <c r="BJ641" s="2589"/>
      <c r="BK641" s="2126"/>
      <c r="BL641" s="2126"/>
      <c r="BM641" s="2126"/>
      <c r="BN641" s="2126"/>
      <c r="BO641" s="2126"/>
      <c r="BP641" s="2126"/>
      <c r="BQ641" s="2126"/>
      <c r="BR641" s="2126"/>
      <c r="BS641" s="2126"/>
    </row>
    <row r="642" spans="1:71" s="3030" customFormat="1">
      <c r="A642" s="2126"/>
      <c r="B642" s="2126"/>
      <c r="C642" s="2149"/>
      <c r="D642" s="3248"/>
      <c r="E642" s="525"/>
      <c r="F642" s="525"/>
      <c r="G642" s="526"/>
      <c r="K642" s="3280"/>
      <c r="P642" s="3041"/>
      <c r="X642" s="3280"/>
      <c r="AA642" s="3041"/>
      <c r="AF642" s="3041"/>
      <c r="AN642" s="3280"/>
      <c r="AZ642" s="3041"/>
      <c r="BD642" s="3281"/>
      <c r="BH642" s="3282"/>
      <c r="BJ642" s="2589"/>
      <c r="BK642" s="2126"/>
      <c r="BL642" s="2126"/>
      <c r="BM642" s="2126"/>
      <c r="BN642" s="2126"/>
      <c r="BO642" s="2126"/>
      <c r="BP642" s="2126"/>
      <c r="BQ642" s="2126"/>
      <c r="BR642" s="2126"/>
      <c r="BS642" s="2126"/>
    </row>
    <row r="643" spans="1:71" s="3030" customFormat="1">
      <c r="A643" s="2126"/>
      <c r="B643" s="2126"/>
      <c r="C643" s="2149"/>
      <c r="D643" s="3248"/>
      <c r="E643" s="525"/>
      <c r="F643" s="525"/>
      <c r="G643" s="526"/>
      <c r="K643" s="3280"/>
      <c r="P643" s="3041"/>
      <c r="X643" s="3280"/>
      <c r="AA643" s="3041"/>
      <c r="AF643" s="3041"/>
      <c r="AN643" s="3280"/>
      <c r="AZ643" s="3041"/>
      <c r="BD643" s="3281"/>
      <c r="BH643" s="3282"/>
      <c r="BJ643" s="2589"/>
      <c r="BK643" s="2126"/>
      <c r="BL643" s="2126"/>
      <c r="BM643" s="2126"/>
      <c r="BN643" s="2126"/>
      <c r="BO643" s="2126"/>
      <c r="BP643" s="2126"/>
      <c r="BQ643" s="2126"/>
      <c r="BR643" s="2126"/>
      <c r="BS643" s="2126"/>
    </row>
    <row r="644" spans="1:71" s="3030" customFormat="1">
      <c r="A644" s="2126"/>
      <c r="B644" s="2126"/>
      <c r="C644" s="2149"/>
      <c r="D644" s="3248"/>
      <c r="E644" s="525"/>
      <c r="F644" s="525"/>
      <c r="G644" s="526"/>
      <c r="K644" s="3280"/>
      <c r="P644" s="3041"/>
      <c r="X644" s="3280"/>
      <c r="AA644" s="3041"/>
      <c r="AF644" s="3041"/>
      <c r="AN644" s="3280"/>
      <c r="AZ644" s="3041"/>
      <c r="BD644" s="3281"/>
      <c r="BH644" s="3282"/>
      <c r="BJ644" s="2589"/>
      <c r="BK644" s="2126"/>
      <c r="BL644" s="2126"/>
      <c r="BM644" s="2126"/>
      <c r="BN644" s="2126"/>
      <c r="BO644" s="2126"/>
      <c r="BP644" s="2126"/>
      <c r="BQ644" s="2126"/>
      <c r="BR644" s="2126"/>
      <c r="BS644" s="2126"/>
    </row>
    <row r="645" spans="1:71" s="3030" customFormat="1">
      <c r="A645" s="2126"/>
      <c r="B645" s="2126"/>
      <c r="C645" s="2149"/>
      <c r="D645" s="3248"/>
      <c r="E645" s="525"/>
      <c r="F645" s="525"/>
      <c r="G645" s="526"/>
      <c r="K645" s="3280"/>
      <c r="P645" s="3041"/>
      <c r="X645" s="3280"/>
      <c r="AA645" s="3041"/>
      <c r="AF645" s="3041"/>
      <c r="AN645" s="3280"/>
      <c r="AZ645" s="3041"/>
      <c r="BD645" s="3281"/>
      <c r="BH645" s="3282"/>
      <c r="BJ645" s="2589"/>
      <c r="BK645" s="2126"/>
      <c r="BL645" s="2126"/>
      <c r="BM645" s="2126"/>
      <c r="BN645" s="2126"/>
      <c r="BO645" s="2126"/>
      <c r="BP645" s="2126"/>
      <c r="BQ645" s="2126"/>
      <c r="BR645" s="2126"/>
      <c r="BS645" s="2126"/>
    </row>
    <row r="646" spans="1:71" s="3030" customFormat="1">
      <c r="A646" s="2126"/>
      <c r="B646" s="2126"/>
      <c r="C646" s="2149"/>
      <c r="D646" s="3248"/>
      <c r="E646" s="525"/>
      <c r="F646" s="525"/>
      <c r="G646" s="526"/>
      <c r="K646" s="3280"/>
      <c r="P646" s="3041"/>
      <c r="X646" s="3280"/>
      <c r="AA646" s="3041"/>
      <c r="AF646" s="3041"/>
      <c r="AN646" s="3280"/>
      <c r="AZ646" s="3041"/>
      <c r="BD646" s="3281"/>
      <c r="BH646" s="3282"/>
      <c r="BJ646" s="2589"/>
      <c r="BK646" s="2126"/>
      <c r="BL646" s="2126"/>
      <c r="BM646" s="2126"/>
      <c r="BN646" s="2126"/>
      <c r="BO646" s="2126"/>
      <c r="BP646" s="2126"/>
      <c r="BQ646" s="2126"/>
      <c r="BR646" s="2126"/>
      <c r="BS646" s="2126"/>
    </row>
    <row r="647" spans="1:71" s="3030" customFormat="1">
      <c r="A647" s="2126"/>
      <c r="B647" s="2126"/>
      <c r="C647" s="2149"/>
      <c r="D647" s="3248"/>
      <c r="E647" s="525"/>
      <c r="F647" s="525"/>
      <c r="G647" s="526"/>
      <c r="K647" s="3280"/>
      <c r="P647" s="3041"/>
      <c r="X647" s="3280"/>
      <c r="AA647" s="3041"/>
      <c r="AF647" s="3041"/>
      <c r="AN647" s="3280"/>
      <c r="AZ647" s="3041"/>
      <c r="BD647" s="3281"/>
      <c r="BH647" s="3282"/>
      <c r="BJ647" s="2589"/>
      <c r="BK647" s="2126"/>
      <c r="BL647" s="2126"/>
      <c r="BM647" s="2126"/>
      <c r="BN647" s="2126"/>
      <c r="BO647" s="2126"/>
      <c r="BP647" s="2126"/>
      <c r="BQ647" s="2126"/>
      <c r="BR647" s="2126"/>
      <c r="BS647" s="2126"/>
    </row>
    <row r="648" spans="1:71" s="3030" customFormat="1">
      <c r="A648" s="2126"/>
      <c r="B648" s="2126"/>
      <c r="C648" s="2149"/>
      <c r="D648" s="3248"/>
      <c r="E648" s="525"/>
      <c r="F648" s="525"/>
      <c r="G648" s="526"/>
      <c r="K648" s="3280"/>
      <c r="P648" s="3041"/>
      <c r="X648" s="3280"/>
      <c r="AA648" s="3041"/>
      <c r="AF648" s="3041"/>
      <c r="AN648" s="3280"/>
      <c r="AZ648" s="3041"/>
      <c r="BD648" s="3281"/>
      <c r="BH648" s="3282"/>
      <c r="BJ648" s="2589"/>
      <c r="BK648" s="2126"/>
      <c r="BL648" s="2126"/>
      <c r="BM648" s="2126"/>
      <c r="BN648" s="2126"/>
      <c r="BO648" s="2126"/>
      <c r="BP648" s="2126"/>
      <c r="BQ648" s="2126"/>
      <c r="BR648" s="2126"/>
      <c r="BS648" s="2126"/>
    </row>
    <row r="649" spans="1:71" s="3030" customFormat="1">
      <c r="A649" s="2126"/>
      <c r="B649" s="2126"/>
      <c r="C649" s="2149"/>
      <c r="D649" s="3248"/>
      <c r="E649" s="525"/>
      <c r="F649" s="525"/>
      <c r="G649" s="526"/>
      <c r="K649" s="3280"/>
      <c r="P649" s="3041"/>
      <c r="X649" s="3280"/>
      <c r="AA649" s="3041"/>
      <c r="AF649" s="3041"/>
      <c r="AN649" s="3280"/>
      <c r="AZ649" s="3041"/>
      <c r="BD649" s="3281"/>
      <c r="BH649" s="3282"/>
      <c r="BJ649" s="2589"/>
      <c r="BK649" s="2126"/>
      <c r="BL649" s="2126"/>
      <c r="BM649" s="2126"/>
      <c r="BN649" s="2126"/>
      <c r="BO649" s="2126"/>
      <c r="BP649" s="2126"/>
      <c r="BQ649" s="2126"/>
      <c r="BR649" s="2126"/>
      <c r="BS649" s="2126"/>
    </row>
    <row r="650" spans="1:71" s="3030" customFormat="1">
      <c r="A650" s="2126"/>
      <c r="B650" s="2126"/>
      <c r="C650" s="2149"/>
      <c r="D650" s="3248"/>
      <c r="E650" s="525"/>
      <c r="F650" s="525"/>
      <c r="G650" s="526"/>
      <c r="K650" s="3280"/>
      <c r="P650" s="3041"/>
      <c r="X650" s="3280"/>
      <c r="AA650" s="3041"/>
      <c r="AF650" s="3041"/>
      <c r="AN650" s="3280"/>
      <c r="AZ650" s="3041"/>
      <c r="BD650" s="3281"/>
      <c r="BH650" s="3282"/>
      <c r="BJ650" s="2589"/>
      <c r="BK650" s="2126"/>
      <c r="BL650" s="2126"/>
      <c r="BM650" s="2126"/>
      <c r="BN650" s="2126"/>
      <c r="BO650" s="2126"/>
      <c r="BP650" s="2126"/>
      <c r="BQ650" s="2126"/>
      <c r="BR650" s="2126"/>
      <c r="BS650" s="2126"/>
    </row>
    <row r="651" spans="1:71" s="3030" customFormat="1">
      <c r="A651" s="2126"/>
      <c r="B651" s="2126"/>
      <c r="C651" s="2149"/>
      <c r="D651" s="3248"/>
      <c r="E651" s="525"/>
      <c r="F651" s="525"/>
      <c r="G651" s="526"/>
      <c r="K651" s="3280"/>
      <c r="P651" s="3041"/>
      <c r="X651" s="3280"/>
      <c r="AA651" s="3041"/>
      <c r="AF651" s="3041"/>
      <c r="AN651" s="3280"/>
      <c r="AZ651" s="3041"/>
      <c r="BD651" s="3281"/>
      <c r="BH651" s="3282"/>
      <c r="BJ651" s="2589"/>
      <c r="BK651" s="2126"/>
      <c r="BL651" s="2126"/>
      <c r="BM651" s="2126"/>
      <c r="BN651" s="2126"/>
      <c r="BO651" s="2126"/>
      <c r="BP651" s="2126"/>
      <c r="BQ651" s="2126"/>
      <c r="BR651" s="2126"/>
      <c r="BS651" s="2126"/>
    </row>
    <row r="652" spans="1:71" s="3030" customFormat="1">
      <c r="A652" s="2126"/>
      <c r="B652" s="2126"/>
      <c r="C652" s="2149"/>
      <c r="D652" s="3248"/>
      <c r="E652" s="525"/>
      <c r="F652" s="525"/>
      <c r="G652" s="526"/>
      <c r="K652" s="3280"/>
      <c r="P652" s="3041"/>
      <c r="X652" s="3280"/>
      <c r="AA652" s="3041"/>
      <c r="AF652" s="3041"/>
      <c r="AN652" s="3280"/>
      <c r="AZ652" s="3041"/>
      <c r="BD652" s="3281"/>
      <c r="BH652" s="3282"/>
      <c r="BJ652" s="2589"/>
      <c r="BK652" s="2126"/>
      <c r="BL652" s="2126"/>
      <c r="BM652" s="2126"/>
      <c r="BN652" s="2126"/>
      <c r="BO652" s="2126"/>
      <c r="BP652" s="2126"/>
      <c r="BQ652" s="2126"/>
      <c r="BR652" s="2126"/>
      <c r="BS652" s="2126"/>
    </row>
    <row r="653" spans="1:71" s="3030" customFormat="1">
      <c r="A653" s="2126"/>
      <c r="B653" s="2126"/>
      <c r="C653" s="2149"/>
      <c r="D653" s="3248"/>
      <c r="E653" s="525"/>
      <c r="F653" s="525"/>
      <c r="G653" s="526"/>
      <c r="K653" s="3280"/>
      <c r="P653" s="3041"/>
      <c r="X653" s="3280"/>
      <c r="AA653" s="3041"/>
      <c r="AF653" s="3041"/>
      <c r="AN653" s="3280"/>
      <c r="AZ653" s="3041"/>
      <c r="BD653" s="3281"/>
      <c r="BH653" s="3282"/>
      <c r="BJ653" s="2589"/>
      <c r="BK653" s="2126"/>
      <c r="BL653" s="2126"/>
      <c r="BM653" s="2126"/>
      <c r="BN653" s="2126"/>
      <c r="BO653" s="2126"/>
      <c r="BP653" s="2126"/>
      <c r="BQ653" s="2126"/>
      <c r="BR653" s="2126"/>
      <c r="BS653" s="2126"/>
    </row>
    <row r="654" spans="1:71" s="3030" customFormat="1">
      <c r="A654" s="2126"/>
      <c r="B654" s="2126"/>
      <c r="C654" s="2149"/>
      <c r="D654" s="3248"/>
      <c r="E654" s="525"/>
      <c r="F654" s="525"/>
      <c r="G654" s="526"/>
      <c r="K654" s="3280"/>
      <c r="P654" s="3041"/>
      <c r="X654" s="3280"/>
      <c r="AA654" s="3041"/>
      <c r="AF654" s="3041"/>
      <c r="AN654" s="3280"/>
      <c r="AZ654" s="3041"/>
      <c r="BD654" s="3281"/>
      <c r="BH654" s="3282"/>
      <c r="BJ654" s="2589"/>
      <c r="BK654" s="2126"/>
      <c r="BL654" s="2126"/>
      <c r="BM654" s="2126"/>
      <c r="BN654" s="2126"/>
      <c r="BO654" s="2126"/>
      <c r="BP654" s="2126"/>
      <c r="BQ654" s="2126"/>
      <c r="BR654" s="2126"/>
      <c r="BS654" s="2126"/>
    </row>
    <row r="655" spans="1:71" s="3030" customFormat="1">
      <c r="A655" s="2126"/>
      <c r="B655" s="2126"/>
      <c r="C655" s="2149"/>
      <c r="D655" s="3248"/>
      <c r="E655" s="525"/>
      <c r="F655" s="525"/>
      <c r="G655" s="526"/>
      <c r="K655" s="3280"/>
      <c r="P655" s="3041"/>
      <c r="X655" s="3280"/>
      <c r="AA655" s="3041"/>
      <c r="AF655" s="3041"/>
      <c r="AN655" s="3280"/>
      <c r="AZ655" s="3041"/>
      <c r="BD655" s="3281"/>
      <c r="BH655" s="3282"/>
      <c r="BJ655" s="2589"/>
      <c r="BK655" s="2126"/>
      <c r="BL655" s="2126"/>
      <c r="BM655" s="2126"/>
      <c r="BN655" s="2126"/>
      <c r="BO655" s="2126"/>
      <c r="BP655" s="2126"/>
      <c r="BQ655" s="2126"/>
      <c r="BR655" s="2126"/>
      <c r="BS655" s="2126"/>
    </row>
    <row r="656" spans="1:71" s="3030" customFormat="1">
      <c r="A656" s="2126"/>
      <c r="B656" s="2126"/>
      <c r="C656" s="2149"/>
      <c r="D656" s="3248"/>
      <c r="E656" s="525"/>
      <c r="F656" s="525"/>
      <c r="G656" s="526"/>
      <c r="K656" s="3280"/>
      <c r="P656" s="3041"/>
      <c r="X656" s="3280"/>
      <c r="AA656" s="3041"/>
      <c r="AF656" s="3041"/>
      <c r="AN656" s="3280"/>
      <c r="AZ656" s="3041"/>
      <c r="BD656" s="3281"/>
      <c r="BH656" s="3282"/>
      <c r="BJ656" s="2589"/>
      <c r="BK656" s="2126"/>
      <c r="BL656" s="2126"/>
      <c r="BM656" s="2126"/>
      <c r="BN656" s="2126"/>
      <c r="BO656" s="2126"/>
      <c r="BP656" s="2126"/>
      <c r="BQ656" s="2126"/>
      <c r="BR656" s="2126"/>
      <c r="BS656" s="2126"/>
    </row>
    <row r="657" spans="1:71" s="3030" customFormat="1">
      <c r="A657" s="2126"/>
      <c r="B657" s="2126"/>
      <c r="C657" s="2149"/>
      <c r="D657" s="3248"/>
      <c r="E657" s="525"/>
      <c r="F657" s="525"/>
      <c r="G657" s="526"/>
      <c r="K657" s="3280"/>
      <c r="P657" s="3041"/>
      <c r="X657" s="3280"/>
      <c r="AA657" s="3041"/>
      <c r="AF657" s="3041"/>
      <c r="AN657" s="3280"/>
      <c r="AZ657" s="3041"/>
      <c r="BD657" s="3281"/>
      <c r="BH657" s="3282"/>
      <c r="BJ657" s="2589"/>
      <c r="BK657" s="2126"/>
      <c r="BL657" s="2126"/>
      <c r="BM657" s="2126"/>
      <c r="BN657" s="2126"/>
      <c r="BO657" s="2126"/>
      <c r="BP657" s="2126"/>
      <c r="BQ657" s="2126"/>
      <c r="BR657" s="2126"/>
      <c r="BS657" s="2126"/>
    </row>
    <row r="658" spans="1:71" s="3030" customFormat="1">
      <c r="A658" s="2126"/>
      <c r="B658" s="2126"/>
      <c r="C658" s="2149"/>
      <c r="D658" s="3248"/>
      <c r="E658" s="525"/>
      <c r="F658" s="525"/>
      <c r="G658" s="526"/>
      <c r="K658" s="3280"/>
      <c r="P658" s="3041"/>
      <c r="X658" s="3280"/>
      <c r="AA658" s="3041"/>
      <c r="AF658" s="3041"/>
      <c r="AN658" s="3280"/>
      <c r="AZ658" s="3041"/>
      <c r="BD658" s="3281"/>
      <c r="BH658" s="3282"/>
      <c r="BJ658" s="2589"/>
      <c r="BK658" s="2126"/>
      <c r="BL658" s="2126"/>
      <c r="BM658" s="2126"/>
      <c r="BN658" s="2126"/>
      <c r="BO658" s="2126"/>
      <c r="BP658" s="2126"/>
      <c r="BQ658" s="2126"/>
      <c r="BR658" s="2126"/>
      <c r="BS658" s="2126"/>
    </row>
    <row r="659" spans="1:71" s="3030" customFormat="1">
      <c r="A659" s="2126"/>
      <c r="B659" s="2126"/>
      <c r="C659" s="2149"/>
      <c r="D659" s="3248"/>
      <c r="E659" s="525"/>
      <c r="F659" s="525"/>
      <c r="G659" s="526"/>
      <c r="K659" s="3280"/>
      <c r="P659" s="3041"/>
      <c r="X659" s="3280"/>
      <c r="AA659" s="3041"/>
      <c r="AF659" s="3041"/>
      <c r="AN659" s="3280"/>
      <c r="AZ659" s="3041"/>
      <c r="BD659" s="3281"/>
      <c r="BH659" s="3282"/>
      <c r="BJ659" s="2589"/>
      <c r="BK659" s="2126"/>
      <c r="BL659" s="2126"/>
      <c r="BM659" s="2126"/>
      <c r="BN659" s="2126"/>
      <c r="BO659" s="2126"/>
      <c r="BP659" s="2126"/>
      <c r="BQ659" s="2126"/>
      <c r="BR659" s="2126"/>
      <c r="BS659" s="2126"/>
    </row>
    <row r="660" spans="1:71" s="3030" customFormat="1">
      <c r="A660" s="2126"/>
      <c r="B660" s="2126"/>
      <c r="C660" s="2149"/>
      <c r="D660" s="3248"/>
      <c r="E660" s="525"/>
      <c r="F660" s="525"/>
      <c r="G660" s="526"/>
      <c r="K660" s="3280"/>
      <c r="P660" s="3041"/>
      <c r="X660" s="3280"/>
      <c r="AA660" s="3041"/>
      <c r="AF660" s="3041"/>
      <c r="AN660" s="3280"/>
      <c r="AZ660" s="3041"/>
      <c r="BD660" s="3281"/>
      <c r="BH660" s="3282"/>
      <c r="BJ660" s="2589"/>
      <c r="BK660" s="2126"/>
      <c r="BL660" s="2126"/>
      <c r="BM660" s="2126"/>
      <c r="BN660" s="2126"/>
      <c r="BO660" s="2126"/>
      <c r="BP660" s="2126"/>
      <c r="BQ660" s="2126"/>
      <c r="BR660" s="2126"/>
      <c r="BS660" s="2126"/>
    </row>
    <row r="661" spans="1:71" s="3030" customFormat="1">
      <c r="A661" s="2126"/>
      <c r="B661" s="2126"/>
      <c r="C661" s="2149"/>
      <c r="D661" s="3248"/>
      <c r="E661" s="525"/>
      <c r="F661" s="525"/>
      <c r="G661" s="526"/>
      <c r="K661" s="3280"/>
      <c r="P661" s="3041"/>
      <c r="X661" s="3280"/>
      <c r="AA661" s="3041"/>
      <c r="AF661" s="3041"/>
      <c r="AN661" s="3280"/>
      <c r="AZ661" s="3041"/>
      <c r="BD661" s="3281"/>
      <c r="BH661" s="3282"/>
      <c r="BJ661" s="2589"/>
      <c r="BK661" s="2126"/>
      <c r="BL661" s="2126"/>
      <c r="BM661" s="2126"/>
      <c r="BN661" s="2126"/>
      <c r="BO661" s="2126"/>
      <c r="BP661" s="2126"/>
      <c r="BQ661" s="2126"/>
      <c r="BR661" s="2126"/>
      <c r="BS661" s="2126"/>
    </row>
    <row r="662" spans="1:71" s="3030" customFormat="1">
      <c r="A662" s="2126"/>
      <c r="B662" s="2126"/>
      <c r="C662" s="2149"/>
      <c r="D662" s="3248"/>
      <c r="E662" s="525"/>
      <c r="F662" s="525"/>
      <c r="G662" s="526"/>
      <c r="K662" s="3280"/>
      <c r="P662" s="3041"/>
      <c r="X662" s="3280"/>
      <c r="AA662" s="3041"/>
      <c r="AF662" s="3041"/>
      <c r="AN662" s="3280"/>
      <c r="AZ662" s="3041"/>
      <c r="BD662" s="3281"/>
      <c r="BH662" s="3282"/>
      <c r="BJ662" s="2589"/>
      <c r="BK662" s="2126"/>
      <c r="BL662" s="2126"/>
      <c r="BM662" s="2126"/>
      <c r="BN662" s="2126"/>
      <c r="BO662" s="2126"/>
      <c r="BP662" s="2126"/>
      <c r="BQ662" s="2126"/>
      <c r="BR662" s="2126"/>
      <c r="BS662" s="2126"/>
    </row>
    <row r="663" spans="1:71" s="3030" customFormat="1">
      <c r="A663" s="2126"/>
      <c r="B663" s="2126"/>
      <c r="C663" s="2149"/>
      <c r="D663" s="3248"/>
      <c r="E663" s="525"/>
      <c r="F663" s="525"/>
      <c r="G663" s="526"/>
      <c r="K663" s="3280"/>
      <c r="P663" s="3041"/>
      <c r="X663" s="3280"/>
      <c r="AA663" s="3041"/>
      <c r="AF663" s="3041"/>
      <c r="AN663" s="3280"/>
      <c r="AZ663" s="3041"/>
      <c r="BD663" s="3281"/>
      <c r="BH663" s="3282"/>
      <c r="BJ663" s="2589"/>
      <c r="BK663" s="2126"/>
      <c r="BL663" s="2126"/>
      <c r="BM663" s="2126"/>
      <c r="BN663" s="2126"/>
      <c r="BO663" s="2126"/>
      <c r="BP663" s="2126"/>
      <c r="BQ663" s="2126"/>
      <c r="BR663" s="2126"/>
      <c r="BS663" s="2126"/>
    </row>
    <row r="664" spans="1:71" s="3030" customFormat="1">
      <c r="A664" s="2126"/>
      <c r="B664" s="2126"/>
      <c r="C664" s="2149"/>
      <c r="D664" s="3248"/>
      <c r="E664" s="525"/>
      <c r="F664" s="525"/>
      <c r="G664" s="526"/>
      <c r="K664" s="3280"/>
      <c r="P664" s="3041"/>
      <c r="X664" s="3280"/>
      <c r="AA664" s="3041"/>
      <c r="AF664" s="3041"/>
      <c r="AN664" s="3280"/>
      <c r="AZ664" s="3041"/>
      <c r="BD664" s="3281"/>
      <c r="BH664" s="3282"/>
      <c r="BJ664" s="2589"/>
      <c r="BK664" s="2126"/>
      <c r="BL664" s="2126"/>
      <c r="BM664" s="2126"/>
      <c r="BN664" s="2126"/>
      <c r="BO664" s="2126"/>
      <c r="BP664" s="2126"/>
      <c r="BQ664" s="2126"/>
      <c r="BR664" s="2126"/>
      <c r="BS664" s="2126"/>
    </row>
    <row r="665" spans="1:71" s="3030" customFormat="1">
      <c r="A665" s="2126"/>
      <c r="B665" s="2126"/>
      <c r="C665" s="2149"/>
      <c r="D665" s="3248"/>
      <c r="E665" s="525"/>
      <c r="F665" s="525"/>
      <c r="G665" s="526"/>
      <c r="K665" s="3280"/>
      <c r="P665" s="3041"/>
      <c r="X665" s="3280"/>
      <c r="AA665" s="3041"/>
      <c r="AF665" s="3041"/>
      <c r="AN665" s="3280"/>
      <c r="AZ665" s="3041"/>
      <c r="BD665" s="3281"/>
      <c r="BH665" s="3282"/>
      <c r="BJ665" s="2589"/>
      <c r="BK665" s="2126"/>
      <c r="BL665" s="2126"/>
      <c r="BM665" s="2126"/>
      <c r="BN665" s="2126"/>
      <c r="BO665" s="2126"/>
      <c r="BP665" s="2126"/>
      <c r="BQ665" s="2126"/>
      <c r="BR665" s="2126"/>
      <c r="BS665" s="2126"/>
    </row>
    <row r="666" spans="1:71" s="3030" customFormat="1">
      <c r="A666" s="2126"/>
      <c r="B666" s="2126"/>
      <c r="C666" s="2149"/>
      <c r="D666" s="3248"/>
      <c r="E666" s="525"/>
      <c r="F666" s="525"/>
      <c r="G666" s="526"/>
      <c r="K666" s="3280"/>
      <c r="P666" s="3041"/>
      <c r="X666" s="3280"/>
      <c r="AA666" s="3041"/>
      <c r="AF666" s="3041"/>
      <c r="AN666" s="3280"/>
      <c r="AZ666" s="3041"/>
      <c r="BD666" s="3281"/>
      <c r="BH666" s="3282"/>
      <c r="BJ666" s="2589"/>
      <c r="BK666" s="2126"/>
      <c r="BL666" s="2126"/>
      <c r="BM666" s="2126"/>
      <c r="BN666" s="2126"/>
      <c r="BO666" s="2126"/>
      <c r="BP666" s="2126"/>
      <c r="BQ666" s="2126"/>
      <c r="BR666" s="2126"/>
      <c r="BS666" s="2126"/>
    </row>
    <row r="667" spans="1:71" s="3030" customFormat="1">
      <c r="A667" s="2126"/>
      <c r="B667" s="2126"/>
      <c r="C667" s="2149"/>
      <c r="D667" s="3248"/>
      <c r="E667" s="525"/>
      <c r="F667" s="525"/>
      <c r="G667" s="526"/>
      <c r="K667" s="3280"/>
      <c r="P667" s="3041"/>
      <c r="X667" s="3280"/>
      <c r="AA667" s="3041"/>
      <c r="AF667" s="3041"/>
      <c r="AN667" s="3280"/>
      <c r="AZ667" s="3041"/>
      <c r="BD667" s="3281"/>
      <c r="BH667" s="3282"/>
      <c r="BJ667" s="2589"/>
      <c r="BK667" s="2126"/>
      <c r="BL667" s="2126"/>
      <c r="BM667" s="2126"/>
      <c r="BN667" s="2126"/>
      <c r="BO667" s="2126"/>
      <c r="BP667" s="2126"/>
      <c r="BQ667" s="2126"/>
      <c r="BR667" s="2126"/>
      <c r="BS667" s="2126"/>
    </row>
    <row r="668" spans="1:71" s="3030" customFormat="1">
      <c r="A668" s="2126"/>
      <c r="B668" s="2126"/>
      <c r="C668" s="2149"/>
      <c r="D668" s="3248"/>
      <c r="E668" s="525"/>
      <c r="F668" s="525"/>
      <c r="G668" s="526"/>
      <c r="K668" s="3280"/>
      <c r="P668" s="3041"/>
      <c r="X668" s="3280"/>
      <c r="AA668" s="3041"/>
      <c r="AF668" s="3041"/>
      <c r="AN668" s="3280"/>
      <c r="AZ668" s="3041"/>
      <c r="BD668" s="3281"/>
      <c r="BH668" s="3282"/>
      <c r="BJ668" s="2589"/>
      <c r="BK668" s="2126"/>
      <c r="BL668" s="2126"/>
      <c r="BM668" s="2126"/>
      <c r="BN668" s="2126"/>
      <c r="BO668" s="2126"/>
      <c r="BP668" s="2126"/>
      <c r="BQ668" s="2126"/>
      <c r="BR668" s="2126"/>
      <c r="BS668" s="2126"/>
    </row>
    <row r="669" spans="1:71" s="3030" customFormat="1">
      <c r="A669" s="2126"/>
      <c r="B669" s="2126"/>
      <c r="C669" s="2149"/>
      <c r="D669" s="3248"/>
      <c r="E669" s="525"/>
      <c r="F669" s="525"/>
      <c r="G669" s="526"/>
      <c r="K669" s="3280"/>
      <c r="P669" s="3041"/>
      <c r="X669" s="3280"/>
      <c r="AA669" s="3041"/>
      <c r="AF669" s="3041"/>
      <c r="AN669" s="3280"/>
      <c r="AZ669" s="3041"/>
      <c r="BD669" s="3281"/>
      <c r="BH669" s="3282"/>
      <c r="BJ669" s="2589"/>
      <c r="BK669" s="2126"/>
      <c r="BL669" s="2126"/>
      <c r="BM669" s="2126"/>
      <c r="BN669" s="2126"/>
      <c r="BO669" s="2126"/>
      <c r="BP669" s="2126"/>
      <c r="BQ669" s="2126"/>
      <c r="BR669" s="2126"/>
      <c r="BS669" s="2126"/>
    </row>
    <row r="670" spans="1:71" s="3030" customFormat="1">
      <c r="A670" s="2126"/>
      <c r="B670" s="2126"/>
      <c r="C670" s="2149"/>
      <c r="D670" s="3248"/>
      <c r="E670" s="525"/>
      <c r="F670" s="525"/>
      <c r="G670" s="526"/>
      <c r="K670" s="3280"/>
      <c r="P670" s="3041"/>
      <c r="X670" s="3280"/>
      <c r="AA670" s="3041"/>
      <c r="AF670" s="3041"/>
      <c r="AN670" s="3280"/>
      <c r="AZ670" s="3041"/>
      <c r="BD670" s="3281"/>
      <c r="BH670" s="3282"/>
      <c r="BJ670" s="2589"/>
      <c r="BK670" s="2126"/>
      <c r="BL670" s="2126"/>
      <c r="BM670" s="2126"/>
      <c r="BN670" s="2126"/>
      <c r="BO670" s="2126"/>
      <c r="BP670" s="2126"/>
      <c r="BQ670" s="2126"/>
      <c r="BR670" s="2126"/>
      <c r="BS670" s="2126"/>
    </row>
    <row r="671" spans="1:71" s="3030" customFormat="1">
      <c r="A671" s="2126"/>
      <c r="B671" s="2126"/>
      <c r="C671" s="2149"/>
      <c r="D671" s="3248"/>
      <c r="E671" s="525"/>
      <c r="F671" s="525"/>
      <c r="G671" s="526"/>
      <c r="K671" s="3280"/>
      <c r="P671" s="3041"/>
      <c r="X671" s="3280"/>
      <c r="AA671" s="3041"/>
      <c r="AF671" s="3041"/>
      <c r="AN671" s="3280"/>
      <c r="AZ671" s="3041"/>
      <c r="BD671" s="3281"/>
      <c r="BH671" s="3282"/>
      <c r="BJ671" s="2589"/>
      <c r="BK671" s="2126"/>
      <c r="BL671" s="2126"/>
      <c r="BM671" s="2126"/>
      <c r="BN671" s="2126"/>
      <c r="BO671" s="2126"/>
      <c r="BP671" s="2126"/>
      <c r="BQ671" s="2126"/>
      <c r="BR671" s="2126"/>
      <c r="BS671" s="2126"/>
    </row>
    <row r="672" spans="1:71" s="3030" customFormat="1">
      <c r="A672" s="2126"/>
      <c r="B672" s="2126"/>
      <c r="C672" s="2149"/>
      <c r="D672" s="3248"/>
      <c r="E672" s="525"/>
      <c r="F672" s="525"/>
      <c r="G672" s="526"/>
      <c r="K672" s="3280"/>
      <c r="P672" s="3041"/>
      <c r="X672" s="3280"/>
      <c r="AA672" s="3041"/>
      <c r="AF672" s="3041"/>
      <c r="AN672" s="3280"/>
      <c r="AZ672" s="3041"/>
      <c r="BD672" s="3281"/>
      <c r="BH672" s="3282"/>
      <c r="BJ672" s="2589"/>
      <c r="BK672" s="2126"/>
      <c r="BL672" s="2126"/>
      <c r="BM672" s="2126"/>
      <c r="BN672" s="2126"/>
      <c r="BO672" s="2126"/>
      <c r="BP672" s="2126"/>
      <c r="BQ672" s="2126"/>
      <c r="BR672" s="2126"/>
      <c r="BS672" s="2126"/>
    </row>
    <row r="673" spans="1:71" s="3030" customFormat="1">
      <c r="A673" s="2126"/>
      <c r="B673" s="2126"/>
      <c r="C673" s="2149"/>
      <c r="D673" s="3248"/>
      <c r="E673" s="525"/>
      <c r="F673" s="525"/>
      <c r="G673" s="526"/>
      <c r="K673" s="3280"/>
      <c r="P673" s="3041"/>
      <c r="X673" s="3280"/>
      <c r="AA673" s="3041"/>
      <c r="AF673" s="3041"/>
      <c r="AN673" s="3280"/>
      <c r="AZ673" s="3041"/>
      <c r="BD673" s="3281"/>
      <c r="BH673" s="3282"/>
      <c r="BJ673" s="2589"/>
      <c r="BK673" s="2126"/>
      <c r="BL673" s="2126"/>
      <c r="BM673" s="2126"/>
      <c r="BN673" s="2126"/>
      <c r="BO673" s="2126"/>
      <c r="BP673" s="2126"/>
      <c r="BQ673" s="2126"/>
      <c r="BR673" s="2126"/>
      <c r="BS673" s="2126"/>
    </row>
    <row r="674" spans="1:71" s="3030" customFormat="1">
      <c r="A674" s="2126"/>
      <c r="B674" s="2126"/>
      <c r="C674" s="2149"/>
      <c r="D674" s="3248"/>
      <c r="E674" s="525"/>
      <c r="F674" s="525"/>
      <c r="G674" s="526"/>
      <c r="K674" s="3280"/>
      <c r="P674" s="3041"/>
      <c r="X674" s="3280"/>
      <c r="AA674" s="3041"/>
      <c r="AF674" s="3041"/>
      <c r="AN674" s="3280"/>
      <c r="AZ674" s="3041"/>
      <c r="BD674" s="3281"/>
      <c r="BH674" s="3282"/>
      <c r="BJ674" s="2589"/>
      <c r="BK674" s="2126"/>
      <c r="BL674" s="2126"/>
      <c r="BM674" s="2126"/>
      <c r="BN674" s="2126"/>
      <c r="BO674" s="2126"/>
      <c r="BP674" s="2126"/>
      <c r="BQ674" s="2126"/>
      <c r="BR674" s="2126"/>
      <c r="BS674" s="2126"/>
    </row>
    <row r="675" spans="1:71" s="3030" customFormat="1">
      <c r="A675" s="2126"/>
      <c r="B675" s="2126"/>
      <c r="C675" s="2149"/>
      <c r="D675" s="3248"/>
      <c r="E675" s="525"/>
      <c r="F675" s="525"/>
      <c r="G675" s="526"/>
      <c r="K675" s="3280"/>
      <c r="P675" s="3041"/>
      <c r="X675" s="3280"/>
      <c r="AA675" s="3041"/>
      <c r="AF675" s="3041"/>
      <c r="AN675" s="3280"/>
      <c r="AZ675" s="3041"/>
      <c r="BD675" s="3281"/>
      <c r="BH675" s="3282"/>
      <c r="BJ675" s="2589"/>
      <c r="BK675" s="2126"/>
      <c r="BL675" s="2126"/>
      <c r="BM675" s="2126"/>
      <c r="BN675" s="2126"/>
      <c r="BO675" s="2126"/>
      <c r="BP675" s="2126"/>
      <c r="BQ675" s="2126"/>
      <c r="BR675" s="2126"/>
      <c r="BS675" s="2126"/>
    </row>
    <row r="676" spans="1:71" s="3030" customFormat="1">
      <c r="A676" s="2126"/>
      <c r="B676" s="2126"/>
      <c r="C676" s="2149"/>
      <c r="D676" s="3248"/>
      <c r="E676" s="525"/>
      <c r="F676" s="525"/>
      <c r="G676" s="526"/>
      <c r="K676" s="3280"/>
      <c r="P676" s="3041"/>
      <c r="X676" s="3280"/>
      <c r="AA676" s="3041"/>
      <c r="AF676" s="3041"/>
      <c r="AN676" s="3280"/>
      <c r="AZ676" s="3041"/>
      <c r="BD676" s="3281"/>
      <c r="BH676" s="3282"/>
      <c r="BJ676" s="2589"/>
      <c r="BK676" s="2126"/>
      <c r="BL676" s="2126"/>
      <c r="BM676" s="2126"/>
      <c r="BN676" s="2126"/>
      <c r="BO676" s="2126"/>
      <c r="BP676" s="2126"/>
      <c r="BQ676" s="2126"/>
      <c r="BR676" s="2126"/>
      <c r="BS676" s="2126"/>
    </row>
    <row r="677" spans="1:71" s="3030" customFormat="1">
      <c r="A677" s="2126"/>
      <c r="B677" s="2126"/>
      <c r="C677" s="2149"/>
      <c r="D677" s="3248"/>
      <c r="E677" s="525"/>
      <c r="F677" s="525"/>
      <c r="G677" s="526"/>
      <c r="K677" s="3280"/>
      <c r="P677" s="3041"/>
      <c r="X677" s="3280"/>
      <c r="AA677" s="3041"/>
      <c r="AF677" s="3041"/>
      <c r="AN677" s="3280"/>
      <c r="AZ677" s="3041"/>
      <c r="BD677" s="3281"/>
      <c r="BH677" s="3282"/>
      <c r="BJ677" s="2589"/>
      <c r="BK677" s="2126"/>
      <c r="BL677" s="2126"/>
      <c r="BM677" s="2126"/>
      <c r="BN677" s="2126"/>
      <c r="BO677" s="2126"/>
      <c r="BP677" s="2126"/>
      <c r="BQ677" s="2126"/>
      <c r="BR677" s="2126"/>
      <c r="BS677" s="2126"/>
    </row>
    <row r="678" spans="1:71" s="3030" customFormat="1">
      <c r="A678" s="2126"/>
      <c r="B678" s="2126"/>
      <c r="C678" s="2149"/>
      <c r="D678" s="3248"/>
      <c r="E678" s="525"/>
      <c r="F678" s="525"/>
      <c r="G678" s="526"/>
      <c r="K678" s="3280"/>
      <c r="P678" s="3041"/>
      <c r="X678" s="3280"/>
      <c r="AA678" s="3041"/>
      <c r="AF678" s="3041"/>
      <c r="AN678" s="3280"/>
      <c r="AZ678" s="3041"/>
      <c r="BD678" s="3281"/>
      <c r="BH678" s="3282"/>
      <c r="BJ678" s="2589"/>
      <c r="BK678" s="2126"/>
      <c r="BL678" s="2126"/>
      <c r="BM678" s="2126"/>
      <c r="BN678" s="2126"/>
      <c r="BO678" s="2126"/>
      <c r="BP678" s="2126"/>
      <c r="BQ678" s="2126"/>
      <c r="BR678" s="2126"/>
      <c r="BS678" s="2126"/>
    </row>
    <row r="679" spans="1:71" s="3030" customFormat="1">
      <c r="A679" s="2126"/>
      <c r="B679" s="2126"/>
      <c r="C679" s="2149"/>
      <c r="D679" s="3248"/>
      <c r="E679" s="525"/>
      <c r="F679" s="525"/>
      <c r="G679" s="526"/>
      <c r="K679" s="3280"/>
      <c r="P679" s="3041"/>
      <c r="X679" s="3280"/>
      <c r="AA679" s="3041"/>
      <c r="AF679" s="3041"/>
      <c r="AN679" s="3280"/>
      <c r="AZ679" s="3041"/>
      <c r="BD679" s="3281"/>
      <c r="BH679" s="3282"/>
      <c r="BJ679" s="2589"/>
      <c r="BK679" s="2126"/>
      <c r="BL679" s="2126"/>
      <c r="BM679" s="2126"/>
      <c r="BN679" s="2126"/>
      <c r="BO679" s="2126"/>
      <c r="BP679" s="2126"/>
      <c r="BQ679" s="2126"/>
      <c r="BR679" s="2126"/>
      <c r="BS679" s="2126"/>
    </row>
    <row r="680" spans="1:71" s="3030" customFormat="1">
      <c r="A680" s="2126"/>
      <c r="B680" s="2126"/>
      <c r="C680" s="2149"/>
      <c r="D680" s="3248"/>
      <c r="E680" s="525"/>
      <c r="F680" s="525"/>
      <c r="G680" s="526"/>
      <c r="K680" s="3280"/>
      <c r="P680" s="3041"/>
      <c r="X680" s="3280"/>
      <c r="AA680" s="3041"/>
      <c r="AF680" s="3041"/>
      <c r="AN680" s="3280"/>
      <c r="AZ680" s="3041"/>
      <c r="BD680" s="3281"/>
      <c r="BH680" s="3282"/>
      <c r="BJ680" s="2589"/>
      <c r="BK680" s="2126"/>
      <c r="BL680" s="2126"/>
      <c r="BM680" s="2126"/>
      <c r="BN680" s="2126"/>
      <c r="BO680" s="2126"/>
      <c r="BP680" s="2126"/>
      <c r="BQ680" s="2126"/>
      <c r="BR680" s="2126"/>
      <c r="BS680" s="2126"/>
    </row>
    <row r="681" spans="1:71" s="3030" customFormat="1">
      <c r="A681" s="2126"/>
      <c r="B681" s="2126"/>
      <c r="C681" s="2149"/>
      <c r="D681" s="3248"/>
      <c r="E681" s="525"/>
      <c r="F681" s="525"/>
      <c r="G681" s="526"/>
      <c r="K681" s="3280"/>
      <c r="P681" s="3041"/>
      <c r="X681" s="3280"/>
      <c r="AA681" s="3041"/>
      <c r="AF681" s="3041"/>
      <c r="AN681" s="3280"/>
      <c r="AZ681" s="3041"/>
      <c r="BD681" s="3281"/>
      <c r="BH681" s="3282"/>
      <c r="BJ681" s="2589"/>
      <c r="BK681" s="2126"/>
      <c r="BL681" s="2126"/>
      <c r="BM681" s="2126"/>
      <c r="BN681" s="2126"/>
      <c r="BO681" s="2126"/>
      <c r="BP681" s="2126"/>
      <c r="BQ681" s="2126"/>
      <c r="BR681" s="2126"/>
      <c r="BS681" s="2126"/>
    </row>
    <row r="682" spans="1:71" s="3030" customFormat="1">
      <c r="A682" s="2126"/>
      <c r="B682" s="2126"/>
      <c r="C682" s="2149"/>
      <c r="D682" s="3248"/>
      <c r="E682" s="525"/>
      <c r="F682" s="525"/>
      <c r="G682" s="526"/>
      <c r="K682" s="3280"/>
      <c r="P682" s="3041"/>
      <c r="X682" s="3280"/>
      <c r="AA682" s="3041"/>
      <c r="AF682" s="3041"/>
      <c r="AN682" s="3280"/>
      <c r="AZ682" s="3041"/>
      <c r="BD682" s="3281"/>
      <c r="BH682" s="3282"/>
      <c r="BJ682" s="2589"/>
      <c r="BK682" s="2126"/>
      <c r="BL682" s="2126"/>
      <c r="BM682" s="2126"/>
      <c r="BN682" s="2126"/>
      <c r="BO682" s="2126"/>
      <c r="BP682" s="2126"/>
      <c r="BQ682" s="2126"/>
      <c r="BR682" s="2126"/>
      <c r="BS682" s="2126"/>
    </row>
    <row r="683" spans="1:71" s="3030" customFormat="1">
      <c r="A683" s="2126"/>
      <c r="B683" s="2126"/>
      <c r="C683" s="2149"/>
      <c r="D683" s="3248"/>
      <c r="E683" s="525"/>
      <c r="F683" s="525"/>
      <c r="G683" s="526"/>
      <c r="K683" s="3280"/>
      <c r="P683" s="3041"/>
      <c r="X683" s="3280"/>
      <c r="AA683" s="3041"/>
      <c r="AF683" s="3041"/>
      <c r="AN683" s="3280"/>
      <c r="AZ683" s="3041"/>
      <c r="BD683" s="3281"/>
      <c r="BH683" s="3282"/>
      <c r="BJ683" s="2589"/>
      <c r="BK683" s="2126"/>
      <c r="BL683" s="2126"/>
      <c r="BM683" s="2126"/>
      <c r="BN683" s="2126"/>
      <c r="BO683" s="2126"/>
      <c r="BP683" s="2126"/>
      <c r="BQ683" s="2126"/>
      <c r="BR683" s="2126"/>
      <c r="BS683" s="2126"/>
    </row>
    <row r="684" spans="1:71" s="3030" customFormat="1">
      <c r="A684" s="2126"/>
      <c r="B684" s="2126"/>
      <c r="C684" s="2149"/>
      <c r="D684" s="3248"/>
      <c r="E684" s="525"/>
      <c r="F684" s="525"/>
      <c r="G684" s="526"/>
      <c r="K684" s="3280"/>
      <c r="P684" s="3041"/>
      <c r="X684" s="3280"/>
      <c r="AA684" s="3041"/>
      <c r="AF684" s="3041"/>
      <c r="AN684" s="3280"/>
      <c r="AZ684" s="3041"/>
      <c r="BD684" s="3281"/>
      <c r="BH684" s="3282"/>
      <c r="BJ684" s="2589"/>
      <c r="BK684" s="2126"/>
      <c r="BL684" s="2126"/>
      <c r="BM684" s="2126"/>
      <c r="BN684" s="2126"/>
      <c r="BO684" s="2126"/>
      <c r="BP684" s="2126"/>
      <c r="BQ684" s="2126"/>
      <c r="BR684" s="2126"/>
      <c r="BS684" s="2126"/>
    </row>
    <row r="685" spans="1:71" s="3030" customFormat="1">
      <c r="A685" s="2126"/>
      <c r="B685" s="2126"/>
      <c r="C685" s="2149"/>
      <c r="D685" s="3248"/>
      <c r="E685" s="525"/>
      <c r="F685" s="525"/>
      <c r="G685" s="526"/>
      <c r="K685" s="3280"/>
      <c r="P685" s="3041"/>
      <c r="X685" s="3280"/>
      <c r="AA685" s="3041"/>
      <c r="AF685" s="3041"/>
      <c r="AN685" s="3280"/>
      <c r="AZ685" s="3041"/>
      <c r="BD685" s="3281"/>
      <c r="BH685" s="3282"/>
      <c r="BJ685" s="2589"/>
      <c r="BK685" s="2126"/>
      <c r="BL685" s="2126"/>
      <c r="BM685" s="2126"/>
      <c r="BN685" s="2126"/>
      <c r="BO685" s="2126"/>
      <c r="BP685" s="2126"/>
      <c r="BQ685" s="2126"/>
      <c r="BR685" s="2126"/>
      <c r="BS685" s="2126"/>
    </row>
    <row r="686" spans="1:71" s="3030" customFormat="1">
      <c r="A686" s="2126"/>
      <c r="B686" s="2126"/>
      <c r="C686" s="2149"/>
      <c r="D686" s="3248"/>
      <c r="E686" s="525"/>
      <c r="F686" s="525"/>
      <c r="G686" s="526"/>
      <c r="K686" s="3280"/>
      <c r="P686" s="3041"/>
      <c r="X686" s="3280"/>
      <c r="AA686" s="3041"/>
      <c r="AF686" s="3041"/>
      <c r="AN686" s="3280"/>
      <c r="AZ686" s="3041"/>
      <c r="BD686" s="3281"/>
      <c r="BH686" s="3282"/>
      <c r="BJ686" s="2589"/>
      <c r="BK686" s="2126"/>
      <c r="BL686" s="2126"/>
      <c r="BM686" s="2126"/>
      <c r="BN686" s="2126"/>
      <c r="BO686" s="2126"/>
      <c r="BP686" s="2126"/>
      <c r="BQ686" s="2126"/>
      <c r="BR686" s="2126"/>
      <c r="BS686" s="2126"/>
    </row>
    <row r="687" spans="1:71" s="3030" customFormat="1">
      <c r="A687" s="2126"/>
      <c r="B687" s="2126"/>
      <c r="C687" s="2149"/>
      <c r="D687" s="3248"/>
      <c r="E687" s="525"/>
      <c r="F687" s="525"/>
      <c r="G687" s="526"/>
      <c r="K687" s="3280"/>
      <c r="P687" s="3041"/>
      <c r="X687" s="3280"/>
      <c r="AA687" s="3041"/>
      <c r="AF687" s="3041"/>
      <c r="AN687" s="3280"/>
      <c r="AZ687" s="3041"/>
      <c r="BD687" s="3281"/>
      <c r="BH687" s="3282"/>
      <c r="BJ687" s="2589"/>
      <c r="BK687" s="2126"/>
      <c r="BL687" s="2126"/>
      <c r="BM687" s="2126"/>
      <c r="BN687" s="2126"/>
      <c r="BO687" s="2126"/>
      <c r="BP687" s="2126"/>
      <c r="BQ687" s="2126"/>
      <c r="BR687" s="2126"/>
      <c r="BS687" s="2126"/>
    </row>
    <row r="688" spans="1:71" s="3030" customFormat="1">
      <c r="A688" s="2126"/>
      <c r="B688" s="2126"/>
      <c r="C688" s="2149"/>
      <c r="D688" s="3248"/>
      <c r="E688" s="525"/>
      <c r="F688" s="525"/>
      <c r="G688" s="526"/>
      <c r="K688" s="3280"/>
      <c r="P688" s="3041"/>
      <c r="X688" s="3280"/>
      <c r="AA688" s="3041"/>
      <c r="AF688" s="3041"/>
      <c r="AN688" s="3280"/>
      <c r="AZ688" s="3041"/>
      <c r="BD688" s="3281"/>
      <c r="BH688" s="3282"/>
      <c r="BJ688" s="2589"/>
      <c r="BK688" s="2126"/>
      <c r="BL688" s="2126"/>
      <c r="BM688" s="2126"/>
      <c r="BN688" s="2126"/>
      <c r="BO688" s="2126"/>
      <c r="BP688" s="2126"/>
      <c r="BQ688" s="2126"/>
      <c r="BR688" s="2126"/>
      <c r="BS688" s="2126"/>
    </row>
    <row r="689" spans="1:71" s="3030" customFormat="1">
      <c r="A689" s="2126"/>
      <c r="B689" s="2126"/>
      <c r="C689" s="2149"/>
      <c r="D689" s="3248"/>
      <c r="E689" s="525"/>
      <c r="F689" s="525"/>
      <c r="G689" s="526"/>
      <c r="K689" s="3280"/>
      <c r="P689" s="3041"/>
      <c r="X689" s="3280"/>
      <c r="AA689" s="3041"/>
      <c r="AF689" s="3041"/>
      <c r="AN689" s="3280"/>
      <c r="AZ689" s="3041"/>
      <c r="BD689" s="3281"/>
      <c r="BH689" s="3282"/>
      <c r="BJ689" s="2589"/>
      <c r="BK689" s="2126"/>
      <c r="BL689" s="2126"/>
      <c r="BM689" s="2126"/>
      <c r="BN689" s="2126"/>
      <c r="BO689" s="2126"/>
      <c r="BP689" s="2126"/>
      <c r="BQ689" s="2126"/>
      <c r="BR689" s="2126"/>
      <c r="BS689" s="2126"/>
    </row>
    <row r="690" spans="1:71" s="3030" customFormat="1">
      <c r="A690" s="2126"/>
      <c r="B690" s="2126"/>
      <c r="C690" s="2149"/>
      <c r="D690" s="3248"/>
      <c r="E690" s="525"/>
      <c r="F690" s="525"/>
      <c r="G690" s="526"/>
      <c r="K690" s="3280"/>
      <c r="P690" s="3041"/>
      <c r="X690" s="3280"/>
      <c r="AA690" s="3041"/>
      <c r="AF690" s="3041"/>
      <c r="AN690" s="3280"/>
      <c r="AZ690" s="3041"/>
      <c r="BD690" s="3281"/>
      <c r="BH690" s="3282"/>
      <c r="BJ690" s="2589"/>
      <c r="BK690" s="2126"/>
      <c r="BL690" s="2126"/>
      <c r="BM690" s="2126"/>
      <c r="BN690" s="2126"/>
      <c r="BO690" s="2126"/>
      <c r="BP690" s="2126"/>
      <c r="BQ690" s="2126"/>
      <c r="BR690" s="2126"/>
      <c r="BS690" s="2126"/>
    </row>
    <row r="691" spans="1:71" s="3030" customFormat="1">
      <c r="A691" s="2126"/>
      <c r="B691" s="2126"/>
      <c r="C691" s="2149"/>
      <c r="D691" s="3248"/>
      <c r="E691" s="525"/>
      <c r="F691" s="525"/>
      <c r="G691" s="526"/>
      <c r="K691" s="3280"/>
      <c r="P691" s="3041"/>
      <c r="X691" s="3280"/>
      <c r="AA691" s="3041"/>
      <c r="AF691" s="3041"/>
      <c r="AN691" s="3280"/>
      <c r="AZ691" s="3041"/>
      <c r="BD691" s="3281"/>
      <c r="BH691" s="3282"/>
      <c r="BJ691" s="2589"/>
      <c r="BK691" s="2126"/>
      <c r="BL691" s="2126"/>
      <c r="BM691" s="2126"/>
      <c r="BN691" s="2126"/>
      <c r="BO691" s="2126"/>
      <c r="BP691" s="2126"/>
      <c r="BQ691" s="2126"/>
      <c r="BR691" s="2126"/>
      <c r="BS691" s="2126"/>
    </row>
    <row r="692" spans="1:71" s="3030" customFormat="1">
      <c r="A692" s="2126"/>
      <c r="B692" s="2126"/>
      <c r="C692" s="2149"/>
      <c r="D692" s="3248"/>
      <c r="E692" s="525"/>
      <c r="F692" s="525"/>
      <c r="G692" s="526"/>
      <c r="K692" s="3280"/>
      <c r="P692" s="3041"/>
      <c r="X692" s="3280"/>
      <c r="AA692" s="3041"/>
      <c r="AF692" s="3041"/>
      <c r="AN692" s="3280"/>
      <c r="AZ692" s="3041"/>
      <c r="BD692" s="3281"/>
      <c r="BH692" s="3282"/>
      <c r="BJ692" s="2589"/>
      <c r="BK692" s="2126"/>
      <c r="BL692" s="2126"/>
      <c r="BM692" s="2126"/>
      <c r="BN692" s="2126"/>
      <c r="BO692" s="2126"/>
      <c r="BP692" s="2126"/>
      <c r="BQ692" s="2126"/>
      <c r="BR692" s="2126"/>
      <c r="BS692" s="2126"/>
    </row>
    <row r="693" spans="1:71" s="3030" customFormat="1">
      <c r="A693" s="2126"/>
      <c r="B693" s="2126"/>
      <c r="C693" s="2149"/>
      <c r="D693" s="3248"/>
      <c r="E693" s="525"/>
      <c r="F693" s="525"/>
      <c r="G693" s="526"/>
      <c r="K693" s="3280"/>
      <c r="P693" s="3041"/>
      <c r="X693" s="3280"/>
      <c r="AA693" s="3041"/>
      <c r="AF693" s="3041"/>
      <c r="AN693" s="3280"/>
      <c r="AZ693" s="3041"/>
      <c r="BD693" s="3281"/>
      <c r="BH693" s="3282"/>
      <c r="BJ693" s="2589"/>
      <c r="BK693" s="2126"/>
      <c r="BL693" s="2126"/>
      <c r="BM693" s="2126"/>
      <c r="BN693" s="2126"/>
      <c r="BO693" s="2126"/>
      <c r="BP693" s="2126"/>
      <c r="BQ693" s="2126"/>
      <c r="BR693" s="2126"/>
      <c r="BS693" s="2126"/>
    </row>
    <row r="694" spans="1:71" s="3030" customFormat="1">
      <c r="A694" s="2126"/>
      <c r="B694" s="2126"/>
      <c r="C694" s="2149"/>
      <c r="D694" s="3248"/>
      <c r="E694" s="525"/>
      <c r="F694" s="525"/>
      <c r="G694" s="526"/>
      <c r="K694" s="3280"/>
      <c r="P694" s="3041"/>
      <c r="X694" s="3280"/>
      <c r="AA694" s="3041"/>
      <c r="AF694" s="3041"/>
      <c r="AN694" s="3280"/>
      <c r="AZ694" s="3041"/>
      <c r="BD694" s="3281"/>
      <c r="BH694" s="3282"/>
      <c r="BJ694" s="2589"/>
      <c r="BK694" s="2126"/>
      <c r="BL694" s="2126"/>
      <c r="BM694" s="2126"/>
      <c r="BN694" s="2126"/>
      <c r="BO694" s="2126"/>
      <c r="BP694" s="2126"/>
      <c r="BQ694" s="2126"/>
      <c r="BR694" s="2126"/>
      <c r="BS694" s="2126"/>
    </row>
    <row r="695" spans="1:71" s="3030" customFormat="1">
      <c r="A695" s="2126"/>
      <c r="B695" s="2126"/>
      <c r="C695" s="2149"/>
      <c r="D695" s="3248"/>
      <c r="E695" s="525"/>
      <c r="F695" s="525"/>
      <c r="G695" s="526"/>
      <c r="K695" s="3280"/>
      <c r="P695" s="3041"/>
      <c r="X695" s="3280"/>
      <c r="AA695" s="3041"/>
      <c r="AF695" s="3041"/>
      <c r="AN695" s="3280"/>
      <c r="AZ695" s="3041"/>
      <c r="BD695" s="3281"/>
      <c r="BH695" s="3282"/>
      <c r="BJ695" s="2589"/>
      <c r="BK695" s="2126"/>
      <c r="BL695" s="2126"/>
      <c r="BM695" s="2126"/>
      <c r="BN695" s="2126"/>
      <c r="BO695" s="2126"/>
      <c r="BP695" s="2126"/>
      <c r="BQ695" s="2126"/>
      <c r="BR695" s="2126"/>
      <c r="BS695" s="2126"/>
    </row>
    <row r="696" spans="1:71" s="3030" customFormat="1">
      <c r="A696" s="2126"/>
      <c r="B696" s="2126"/>
      <c r="C696" s="2149"/>
      <c r="D696" s="3248"/>
      <c r="E696" s="525"/>
      <c r="F696" s="525"/>
      <c r="G696" s="526"/>
      <c r="K696" s="3280"/>
      <c r="P696" s="3041"/>
      <c r="X696" s="3280"/>
      <c r="AA696" s="3041"/>
      <c r="AF696" s="3041"/>
      <c r="AN696" s="3280"/>
      <c r="AZ696" s="3041"/>
      <c r="BD696" s="3281"/>
      <c r="BH696" s="3282"/>
      <c r="BJ696" s="2589"/>
      <c r="BK696" s="2126"/>
      <c r="BL696" s="2126"/>
      <c r="BM696" s="2126"/>
      <c r="BN696" s="2126"/>
      <c r="BO696" s="2126"/>
      <c r="BP696" s="2126"/>
      <c r="BQ696" s="2126"/>
      <c r="BR696" s="2126"/>
      <c r="BS696" s="2126"/>
    </row>
    <row r="697" spans="1:71" s="3030" customFormat="1">
      <c r="A697" s="2126"/>
      <c r="B697" s="2126"/>
      <c r="C697" s="2149"/>
      <c r="D697" s="3248"/>
      <c r="E697" s="525"/>
      <c r="F697" s="525"/>
      <c r="G697" s="526"/>
      <c r="K697" s="3280"/>
      <c r="P697" s="3041"/>
      <c r="X697" s="3280"/>
      <c r="AA697" s="3041"/>
      <c r="AF697" s="3041"/>
      <c r="AN697" s="3280"/>
      <c r="AZ697" s="3041"/>
      <c r="BD697" s="3281"/>
      <c r="BH697" s="3282"/>
      <c r="BJ697" s="2589"/>
      <c r="BK697" s="2126"/>
      <c r="BL697" s="2126"/>
      <c r="BM697" s="2126"/>
      <c r="BN697" s="2126"/>
      <c r="BO697" s="2126"/>
      <c r="BP697" s="2126"/>
      <c r="BQ697" s="2126"/>
      <c r="BR697" s="2126"/>
      <c r="BS697" s="2126"/>
    </row>
    <row r="698" spans="1:71" s="3030" customFormat="1">
      <c r="A698" s="2126"/>
      <c r="B698" s="2126"/>
      <c r="C698" s="2149"/>
      <c r="D698" s="3248"/>
      <c r="E698" s="525"/>
      <c r="F698" s="525"/>
      <c r="G698" s="526"/>
      <c r="K698" s="3280"/>
      <c r="P698" s="3041"/>
      <c r="X698" s="3280"/>
      <c r="AA698" s="3041"/>
      <c r="AF698" s="3041"/>
      <c r="AN698" s="3280"/>
      <c r="AZ698" s="3041"/>
      <c r="BD698" s="3281"/>
      <c r="BH698" s="3282"/>
      <c r="BJ698" s="2589"/>
      <c r="BK698" s="2126"/>
      <c r="BL698" s="2126"/>
      <c r="BM698" s="2126"/>
      <c r="BN698" s="2126"/>
      <c r="BO698" s="2126"/>
      <c r="BP698" s="2126"/>
      <c r="BQ698" s="2126"/>
      <c r="BR698" s="2126"/>
      <c r="BS698" s="2126"/>
    </row>
    <row r="699" spans="1:71" s="3030" customFormat="1">
      <c r="A699" s="2126"/>
      <c r="B699" s="2126"/>
      <c r="C699" s="2149"/>
      <c r="D699" s="3248"/>
      <c r="E699" s="525"/>
      <c r="F699" s="525"/>
      <c r="G699" s="526"/>
      <c r="K699" s="3280"/>
      <c r="P699" s="3041"/>
      <c r="X699" s="3280"/>
      <c r="AA699" s="3041"/>
      <c r="AF699" s="3041"/>
      <c r="AN699" s="3280"/>
      <c r="AZ699" s="3041"/>
      <c r="BD699" s="3281"/>
      <c r="BH699" s="3282"/>
      <c r="BJ699" s="2589"/>
      <c r="BK699" s="2126"/>
      <c r="BL699" s="2126"/>
      <c r="BM699" s="2126"/>
      <c r="BN699" s="2126"/>
      <c r="BO699" s="2126"/>
      <c r="BP699" s="2126"/>
      <c r="BQ699" s="2126"/>
      <c r="BR699" s="2126"/>
      <c r="BS699" s="2126"/>
    </row>
    <row r="700" spans="1:71" s="3030" customFormat="1">
      <c r="A700" s="2126"/>
      <c r="B700" s="2126"/>
      <c r="C700" s="2149"/>
      <c r="D700" s="3248"/>
      <c r="E700" s="525"/>
      <c r="F700" s="525"/>
      <c r="G700" s="526"/>
      <c r="K700" s="3280"/>
      <c r="P700" s="3041"/>
      <c r="X700" s="3280"/>
      <c r="AA700" s="3041"/>
      <c r="AF700" s="3041"/>
      <c r="AN700" s="3280"/>
      <c r="AZ700" s="3041"/>
      <c r="BD700" s="3281"/>
      <c r="BH700" s="3282"/>
      <c r="BJ700" s="2589"/>
      <c r="BK700" s="2126"/>
      <c r="BL700" s="2126"/>
      <c r="BM700" s="2126"/>
      <c r="BN700" s="2126"/>
      <c r="BO700" s="2126"/>
      <c r="BP700" s="2126"/>
      <c r="BQ700" s="2126"/>
      <c r="BR700" s="2126"/>
      <c r="BS700" s="2126"/>
    </row>
    <row r="701" spans="1:71" s="3030" customFormat="1">
      <c r="A701" s="2126"/>
      <c r="B701" s="2126"/>
      <c r="C701" s="2149"/>
      <c r="D701" s="3248"/>
      <c r="E701" s="525"/>
      <c r="F701" s="525"/>
      <c r="G701" s="526"/>
      <c r="K701" s="3280"/>
      <c r="P701" s="3041"/>
      <c r="X701" s="3280"/>
      <c r="AA701" s="3041"/>
      <c r="AF701" s="3041"/>
      <c r="AN701" s="3280"/>
      <c r="AZ701" s="3041"/>
      <c r="BD701" s="3281"/>
      <c r="BH701" s="3282"/>
      <c r="BJ701" s="2589"/>
      <c r="BK701" s="2126"/>
      <c r="BL701" s="2126"/>
      <c r="BM701" s="2126"/>
      <c r="BN701" s="2126"/>
      <c r="BO701" s="2126"/>
      <c r="BP701" s="2126"/>
      <c r="BQ701" s="2126"/>
      <c r="BR701" s="2126"/>
      <c r="BS701" s="2126"/>
    </row>
    <row r="702" spans="1:71" s="3030" customFormat="1">
      <c r="A702" s="2126"/>
      <c r="B702" s="2126"/>
      <c r="C702" s="2149"/>
      <c r="D702" s="3248"/>
      <c r="E702" s="525"/>
      <c r="F702" s="525"/>
      <c r="G702" s="526"/>
      <c r="K702" s="3280"/>
      <c r="P702" s="3041"/>
      <c r="X702" s="3280"/>
      <c r="AA702" s="3041"/>
      <c r="AF702" s="3041"/>
      <c r="AN702" s="3280"/>
      <c r="AZ702" s="3041"/>
      <c r="BD702" s="3281"/>
      <c r="BH702" s="3282"/>
      <c r="BJ702" s="2589"/>
      <c r="BK702" s="2126"/>
      <c r="BL702" s="2126"/>
      <c r="BM702" s="2126"/>
      <c r="BN702" s="2126"/>
      <c r="BO702" s="2126"/>
      <c r="BP702" s="2126"/>
      <c r="BQ702" s="2126"/>
      <c r="BR702" s="2126"/>
      <c r="BS702" s="2126"/>
    </row>
    <row r="703" spans="1:71" s="3030" customFormat="1">
      <c r="A703" s="2126"/>
      <c r="B703" s="2126"/>
      <c r="C703" s="2149"/>
      <c r="D703" s="3248"/>
      <c r="E703" s="525"/>
      <c r="F703" s="525"/>
      <c r="G703" s="526"/>
      <c r="K703" s="3280"/>
      <c r="P703" s="3041"/>
      <c r="X703" s="3280"/>
      <c r="AA703" s="3041"/>
      <c r="AF703" s="3041"/>
      <c r="AN703" s="3280"/>
      <c r="AZ703" s="3041"/>
      <c r="BD703" s="3281"/>
      <c r="BH703" s="3282"/>
      <c r="BJ703" s="2589"/>
      <c r="BK703" s="2126"/>
      <c r="BL703" s="2126"/>
      <c r="BM703" s="2126"/>
      <c r="BN703" s="2126"/>
      <c r="BO703" s="2126"/>
      <c r="BP703" s="2126"/>
      <c r="BQ703" s="2126"/>
      <c r="BR703" s="2126"/>
      <c r="BS703" s="2126"/>
    </row>
    <row r="704" spans="1:71" s="3030" customFormat="1">
      <c r="A704" s="2126"/>
      <c r="B704" s="2126"/>
      <c r="C704" s="2149"/>
      <c r="D704" s="3248"/>
      <c r="E704" s="525"/>
      <c r="F704" s="525"/>
      <c r="G704" s="526"/>
      <c r="K704" s="3280"/>
      <c r="P704" s="3041"/>
      <c r="X704" s="3280"/>
      <c r="AA704" s="3041"/>
      <c r="AF704" s="3041"/>
      <c r="AN704" s="3280"/>
      <c r="AZ704" s="3041"/>
      <c r="BD704" s="3281"/>
      <c r="BH704" s="3282"/>
      <c r="BJ704" s="2589"/>
      <c r="BK704" s="2126"/>
      <c r="BL704" s="2126"/>
      <c r="BM704" s="2126"/>
      <c r="BN704" s="2126"/>
      <c r="BO704" s="2126"/>
      <c r="BP704" s="2126"/>
      <c r="BQ704" s="2126"/>
      <c r="BR704" s="2126"/>
      <c r="BS704" s="2126"/>
    </row>
    <row r="705" spans="1:71" s="3030" customFormat="1">
      <c r="A705" s="2126"/>
      <c r="B705" s="2126"/>
      <c r="C705" s="2149"/>
      <c r="D705" s="3248"/>
      <c r="E705" s="525"/>
      <c r="F705" s="525"/>
      <c r="G705" s="526"/>
      <c r="K705" s="3280"/>
      <c r="P705" s="3041"/>
      <c r="X705" s="3280"/>
      <c r="AA705" s="3041"/>
      <c r="AF705" s="3041"/>
      <c r="AN705" s="3280"/>
      <c r="AZ705" s="3041"/>
      <c r="BD705" s="3281"/>
      <c r="BH705" s="3282"/>
      <c r="BJ705" s="2589"/>
      <c r="BK705" s="2126"/>
      <c r="BL705" s="2126"/>
      <c r="BM705" s="2126"/>
      <c r="BN705" s="2126"/>
      <c r="BO705" s="2126"/>
      <c r="BP705" s="2126"/>
      <c r="BQ705" s="2126"/>
      <c r="BR705" s="2126"/>
      <c r="BS705" s="2126"/>
    </row>
    <row r="706" spans="1:71" s="3030" customFormat="1">
      <c r="A706" s="2126"/>
      <c r="B706" s="2126"/>
      <c r="C706" s="2149"/>
      <c r="D706" s="3248"/>
      <c r="E706" s="525"/>
      <c r="F706" s="525"/>
      <c r="G706" s="526"/>
      <c r="K706" s="3280"/>
      <c r="P706" s="3041"/>
      <c r="X706" s="3280"/>
      <c r="AA706" s="3041"/>
      <c r="AF706" s="3041"/>
      <c r="AN706" s="3280"/>
      <c r="AZ706" s="3041"/>
      <c r="BD706" s="3281"/>
      <c r="BH706" s="3282"/>
      <c r="BJ706" s="2589"/>
      <c r="BK706" s="2126"/>
      <c r="BL706" s="2126"/>
      <c r="BM706" s="2126"/>
      <c r="BN706" s="2126"/>
      <c r="BO706" s="2126"/>
      <c r="BP706" s="2126"/>
      <c r="BQ706" s="2126"/>
      <c r="BR706" s="2126"/>
      <c r="BS706" s="2126"/>
    </row>
    <row r="707" spans="1:71" s="3030" customFormat="1">
      <c r="A707" s="2126"/>
      <c r="B707" s="2126"/>
      <c r="C707" s="2149"/>
      <c r="D707" s="3248"/>
      <c r="E707" s="525"/>
      <c r="F707" s="525"/>
      <c r="G707" s="526"/>
      <c r="K707" s="3280"/>
      <c r="P707" s="3041"/>
      <c r="X707" s="3280"/>
      <c r="AA707" s="3041"/>
      <c r="AF707" s="3041"/>
      <c r="AN707" s="3280"/>
      <c r="AZ707" s="3041"/>
      <c r="BD707" s="3281"/>
      <c r="BH707" s="3282"/>
      <c r="BJ707" s="2589"/>
      <c r="BK707" s="2126"/>
      <c r="BL707" s="2126"/>
      <c r="BM707" s="2126"/>
      <c r="BN707" s="2126"/>
      <c r="BO707" s="2126"/>
      <c r="BP707" s="2126"/>
      <c r="BQ707" s="2126"/>
      <c r="BR707" s="2126"/>
      <c r="BS707" s="2126"/>
    </row>
    <row r="708" spans="1:71" s="3030" customFormat="1">
      <c r="A708" s="2126"/>
      <c r="B708" s="2126"/>
      <c r="C708" s="2149"/>
      <c r="D708" s="3248"/>
      <c r="E708" s="525"/>
      <c r="F708" s="525"/>
      <c r="G708" s="526"/>
      <c r="K708" s="3280"/>
      <c r="P708" s="3041"/>
      <c r="X708" s="3280"/>
      <c r="AA708" s="3041"/>
      <c r="AF708" s="3041"/>
      <c r="AN708" s="3280"/>
      <c r="AZ708" s="3041"/>
      <c r="BD708" s="3281"/>
      <c r="BH708" s="3282"/>
      <c r="BJ708" s="2589"/>
      <c r="BK708" s="2126"/>
      <c r="BL708" s="2126"/>
      <c r="BM708" s="2126"/>
      <c r="BN708" s="2126"/>
      <c r="BO708" s="2126"/>
      <c r="BP708" s="2126"/>
      <c r="BQ708" s="2126"/>
      <c r="BR708" s="2126"/>
      <c r="BS708" s="2126"/>
    </row>
    <row r="709" spans="1:71" s="3030" customFormat="1">
      <c r="A709" s="2126"/>
      <c r="B709" s="2126"/>
      <c r="C709" s="2149"/>
      <c r="D709" s="3248"/>
      <c r="E709" s="525"/>
      <c r="F709" s="525"/>
      <c r="G709" s="526"/>
      <c r="K709" s="3280"/>
      <c r="P709" s="3041"/>
      <c r="X709" s="3280"/>
      <c r="AA709" s="3041"/>
      <c r="AF709" s="3041"/>
      <c r="AN709" s="3280"/>
      <c r="AZ709" s="3041"/>
      <c r="BD709" s="3281"/>
      <c r="BH709" s="3282"/>
      <c r="BJ709" s="2589"/>
      <c r="BK709" s="2126"/>
      <c r="BL709" s="2126"/>
      <c r="BM709" s="2126"/>
      <c r="BN709" s="2126"/>
      <c r="BO709" s="2126"/>
      <c r="BP709" s="2126"/>
      <c r="BQ709" s="2126"/>
      <c r="BR709" s="2126"/>
      <c r="BS709" s="2126"/>
    </row>
    <row r="710" spans="1:71" s="3030" customFormat="1">
      <c r="A710" s="2126"/>
      <c r="B710" s="2126"/>
      <c r="C710" s="2149"/>
      <c r="D710" s="3248"/>
      <c r="E710" s="525"/>
      <c r="F710" s="525"/>
      <c r="G710" s="526"/>
      <c r="K710" s="3280"/>
      <c r="P710" s="3041"/>
      <c r="X710" s="3280"/>
      <c r="AA710" s="3041"/>
      <c r="AF710" s="3041"/>
      <c r="AN710" s="3280"/>
      <c r="AZ710" s="3041"/>
      <c r="BD710" s="3281"/>
      <c r="BH710" s="3282"/>
      <c r="BJ710" s="2589"/>
      <c r="BK710" s="2126"/>
      <c r="BL710" s="2126"/>
      <c r="BM710" s="2126"/>
      <c r="BN710" s="2126"/>
      <c r="BO710" s="2126"/>
      <c r="BP710" s="2126"/>
      <c r="BQ710" s="2126"/>
      <c r="BR710" s="2126"/>
      <c r="BS710" s="2126"/>
    </row>
    <row r="711" spans="1:71" s="3030" customFormat="1">
      <c r="A711" s="2126"/>
      <c r="B711" s="2126"/>
      <c r="C711" s="2149"/>
      <c r="D711" s="3248"/>
      <c r="E711" s="525"/>
      <c r="F711" s="525"/>
      <c r="G711" s="526"/>
      <c r="K711" s="3280"/>
      <c r="P711" s="3041"/>
      <c r="X711" s="3280"/>
      <c r="AA711" s="3041"/>
      <c r="AF711" s="3041"/>
      <c r="AN711" s="3280"/>
      <c r="AZ711" s="3041"/>
      <c r="BD711" s="3281"/>
      <c r="BH711" s="3282"/>
      <c r="BJ711" s="2589"/>
      <c r="BK711" s="2126"/>
      <c r="BL711" s="2126"/>
      <c r="BM711" s="2126"/>
      <c r="BN711" s="2126"/>
      <c r="BO711" s="2126"/>
      <c r="BP711" s="2126"/>
      <c r="BQ711" s="2126"/>
      <c r="BR711" s="2126"/>
      <c r="BS711" s="2126"/>
    </row>
    <row r="712" spans="1:71" s="3030" customFormat="1">
      <c r="A712" s="2126"/>
      <c r="B712" s="2126"/>
      <c r="C712" s="2149"/>
      <c r="D712" s="3248"/>
      <c r="E712" s="525"/>
      <c r="F712" s="525"/>
      <c r="G712" s="526"/>
      <c r="K712" s="3280"/>
      <c r="P712" s="3041"/>
      <c r="X712" s="3280"/>
      <c r="AA712" s="3041"/>
      <c r="AF712" s="3041"/>
      <c r="AN712" s="3280"/>
      <c r="AZ712" s="3041"/>
      <c r="BD712" s="3281"/>
      <c r="BH712" s="3282"/>
      <c r="BJ712" s="2589"/>
      <c r="BK712" s="2126"/>
      <c r="BL712" s="2126"/>
      <c r="BM712" s="2126"/>
      <c r="BN712" s="2126"/>
      <c r="BO712" s="2126"/>
      <c r="BP712" s="2126"/>
      <c r="BQ712" s="2126"/>
      <c r="BR712" s="2126"/>
      <c r="BS712" s="2126"/>
    </row>
    <row r="713" spans="1:71" s="3030" customFormat="1">
      <c r="A713" s="2126"/>
      <c r="B713" s="2126"/>
      <c r="C713" s="2149"/>
      <c r="D713" s="3248"/>
      <c r="E713" s="525"/>
      <c r="F713" s="525"/>
      <c r="G713" s="526"/>
      <c r="K713" s="3280"/>
      <c r="P713" s="3041"/>
      <c r="X713" s="3280"/>
      <c r="AA713" s="3041"/>
      <c r="AF713" s="3041"/>
      <c r="AN713" s="3280"/>
      <c r="AZ713" s="3041"/>
      <c r="BD713" s="3281"/>
      <c r="BH713" s="3282"/>
      <c r="BJ713" s="2589"/>
      <c r="BK713" s="2126"/>
      <c r="BL713" s="2126"/>
      <c r="BM713" s="2126"/>
      <c r="BN713" s="2126"/>
      <c r="BO713" s="2126"/>
      <c r="BP713" s="2126"/>
      <c r="BQ713" s="2126"/>
      <c r="BR713" s="2126"/>
      <c r="BS713" s="2126"/>
    </row>
    <row r="714" spans="1:71" s="3030" customFormat="1">
      <c r="A714" s="2126"/>
      <c r="B714" s="2126"/>
      <c r="C714" s="2149"/>
      <c r="D714" s="3248"/>
      <c r="E714" s="525"/>
      <c r="F714" s="525"/>
      <c r="G714" s="526"/>
      <c r="K714" s="3280"/>
      <c r="P714" s="3041"/>
      <c r="X714" s="3280"/>
      <c r="AA714" s="3041"/>
      <c r="AF714" s="3041"/>
      <c r="AN714" s="3280"/>
      <c r="AZ714" s="3041"/>
      <c r="BD714" s="3281"/>
      <c r="BH714" s="3282"/>
      <c r="BJ714" s="2589"/>
      <c r="BK714" s="2126"/>
      <c r="BL714" s="2126"/>
      <c r="BM714" s="2126"/>
      <c r="BN714" s="2126"/>
      <c r="BO714" s="2126"/>
      <c r="BP714" s="2126"/>
      <c r="BQ714" s="2126"/>
      <c r="BR714" s="2126"/>
      <c r="BS714" s="2126"/>
    </row>
    <row r="715" spans="1:71" s="3030" customFormat="1">
      <c r="A715" s="2126"/>
      <c r="B715" s="2126"/>
      <c r="C715" s="2149"/>
      <c r="D715" s="3248"/>
      <c r="E715" s="525"/>
      <c r="F715" s="525"/>
      <c r="G715" s="526"/>
      <c r="K715" s="3280"/>
      <c r="P715" s="3041"/>
      <c r="X715" s="3280"/>
      <c r="AA715" s="3041"/>
      <c r="AF715" s="3041"/>
      <c r="AN715" s="3280"/>
      <c r="AZ715" s="3041"/>
      <c r="BD715" s="3281"/>
      <c r="BH715" s="3282"/>
      <c r="BJ715" s="2589"/>
      <c r="BK715" s="2126"/>
      <c r="BL715" s="2126"/>
      <c r="BM715" s="2126"/>
      <c r="BN715" s="2126"/>
      <c r="BO715" s="2126"/>
      <c r="BP715" s="2126"/>
      <c r="BQ715" s="2126"/>
      <c r="BR715" s="2126"/>
      <c r="BS715" s="2126"/>
    </row>
    <row r="716" spans="1:71" s="3030" customFormat="1">
      <c r="A716" s="2126"/>
      <c r="B716" s="2126"/>
      <c r="C716" s="2149"/>
      <c r="D716" s="3248"/>
      <c r="E716" s="525"/>
      <c r="F716" s="525"/>
      <c r="G716" s="526"/>
      <c r="K716" s="3280"/>
      <c r="P716" s="3041"/>
      <c r="X716" s="3280"/>
      <c r="AA716" s="3041"/>
      <c r="AF716" s="3041"/>
      <c r="AN716" s="3280"/>
      <c r="AZ716" s="3041"/>
      <c r="BD716" s="3281"/>
      <c r="BH716" s="3282"/>
      <c r="BJ716" s="2589"/>
      <c r="BK716" s="2126"/>
      <c r="BL716" s="2126"/>
      <c r="BM716" s="2126"/>
      <c r="BN716" s="2126"/>
      <c r="BO716" s="2126"/>
      <c r="BP716" s="2126"/>
      <c r="BQ716" s="2126"/>
      <c r="BR716" s="2126"/>
      <c r="BS716" s="2126"/>
    </row>
    <row r="717" spans="1:71" s="3030" customFormat="1">
      <c r="A717" s="2126"/>
      <c r="B717" s="2126"/>
      <c r="C717" s="2149"/>
      <c r="D717" s="3248"/>
      <c r="E717" s="525"/>
      <c r="F717" s="525"/>
      <c r="G717" s="526"/>
      <c r="K717" s="3280"/>
      <c r="P717" s="3041"/>
      <c r="X717" s="3280"/>
      <c r="AA717" s="3041"/>
      <c r="AF717" s="3041"/>
      <c r="AN717" s="3280"/>
      <c r="AZ717" s="3041"/>
      <c r="BD717" s="3281"/>
      <c r="BH717" s="3282"/>
      <c r="BJ717" s="2589"/>
      <c r="BK717" s="2126"/>
      <c r="BL717" s="2126"/>
      <c r="BM717" s="2126"/>
      <c r="BN717" s="2126"/>
      <c r="BO717" s="2126"/>
      <c r="BP717" s="2126"/>
      <c r="BQ717" s="2126"/>
      <c r="BR717" s="2126"/>
      <c r="BS717" s="2126"/>
    </row>
    <row r="718" spans="1:71" s="3030" customFormat="1">
      <c r="A718" s="2126"/>
      <c r="B718" s="2126"/>
      <c r="C718" s="2149"/>
      <c r="D718" s="3248"/>
      <c r="E718" s="525"/>
      <c r="F718" s="525"/>
      <c r="G718" s="526"/>
      <c r="K718" s="3280"/>
      <c r="P718" s="3041"/>
      <c r="X718" s="3280"/>
      <c r="AA718" s="3041"/>
      <c r="AF718" s="3041"/>
      <c r="AN718" s="3280"/>
      <c r="AZ718" s="3041"/>
      <c r="BD718" s="3281"/>
      <c r="BH718" s="3282"/>
      <c r="BJ718" s="2589"/>
      <c r="BK718" s="2126"/>
      <c r="BL718" s="2126"/>
      <c r="BM718" s="2126"/>
      <c r="BN718" s="2126"/>
      <c r="BO718" s="2126"/>
      <c r="BP718" s="2126"/>
      <c r="BQ718" s="2126"/>
      <c r="BR718" s="2126"/>
      <c r="BS718" s="2126"/>
    </row>
    <row r="719" spans="1:71" s="3030" customFormat="1">
      <c r="A719" s="2126"/>
      <c r="B719" s="2126"/>
      <c r="C719" s="2149"/>
      <c r="D719" s="3248"/>
      <c r="E719" s="525"/>
      <c r="F719" s="525"/>
      <c r="G719" s="526"/>
      <c r="K719" s="3280"/>
      <c r="P719" s="3041"/>
      <c r="X719" s="3280"/>
      <c r="AA719" s="3041"/>
      <c r="AF719" s="3041"/>
      <c r="AN719" s="3280"/>
      <c r="AZ719" s="3041"/>
      <c r="BD719" s="3281"/>
      <c r="BH719" s="3282"/>
      <c r="BJ719" s="2589"/>
      <c r="BK719" s="2126"/>
      <c r="BL719" s="2126"/>
      <c r="BM719" s="2126"/>
      <c r="BN719" s="2126"/>
      <c r="BO719" s="2126"/>
      <c r="BP719" s="2126"/>
      <c r="BQ719" s="2126"/>
      <c r="BR719" s="2126"/>
      <c r="BS719" s="2126"/>
    </row>
    <row r="720" spans="1:71" s="3030" customFormat="1">
      <c r="A720" s="2126"/>
      <c r="B720" s="2126"/>
      <c r="C720" s="2149"/>
      <c r="D720" s="3248"/>
      <c r="E720" s="525"/>
      <c r="F720" s="525"/>
      <c r="G720" s="526"/>
      <c r="K720" s="3280"/>
      <c r="P720" s="3041"/>
      <c r="X720" s="3280"/>
      <c r="AA720" s="3041"/>
      <c r="AF720" s="3041"/>
      <c r="AN720" s="3280"/>
      <c r="AZ720" s="3041"/>
      <c r="BD720" s="3281"/>
      <c r="BH720" s="3282"/>
      <c r="BJ720" s="2589"/>
      <c r="BK720" s="2126"/>
      <c r="BL720" s="2126"/>
      <c r="BM720" s="2126"/>
      <c r="BN720" s="2126"/>
      <c r="BO720" s="2126"/>
      <c r="BP720" s="2126"/>
      <c r="BQ720" s="2126"/>
      <c r="BR720" s="2126"/>
      <c r="BS720" s="2126"/>
    </row>
    <row r="721" spans="1:71" s="3030" customFormat="1">
      <c r="A721" s="2126"/>
      <c r="B721" s="2126"/>
      <c r="C721" s="2149"/>
      <c r="D721" s="3248"/>
      <c r="E721" s="525"/>
      <c r="F721" s="525"/>
      <c r="G721" s="526"/>
      <c r="K721" s="3280"/>
      <c r="P721" s="3041"/>
      <c r="X721" s="3280"/>
      <c r="AA721" s="3041"/>
      <c r="AF721" s="3041"/>
      <c r="AN721" s="3280"/>
      <c r="AZ721" s="3041"/>
      <c r="BD721" s="3281"/>
      <c r="BH721" s="3282"/>
      <c r="BJ721" s="2589"/>
      <c r="BK721" s="2126"/>
      <c r="BL721" s="2126"/>
      <c r="BM721" s="2126"/>
      <c r="BN721" s="2126"/>
      <c r="BO721" s="2126"/>
      <c r="BP721" s="2126"/>
      <c r="BQ721" s="2126"/>
      <c r="BR721" s="2126"/>
      <c r="BS721" s="2126"/>
    </row>
    <row r="722" spans="1:71" s="3030" customFormat="1">
      <c r="A722" s="2126"/>
      <c r="B722" s="2126"/>
      <c r="C722" s="2149"/>
      <c r="D722" s="3248"/>
      <c r="E722" s="525"/>
      <c r="F722" s="525"/>
      <c r="G722" s="526"/>
      <c r="K722" s="3280"/>
      <c r="P722" s="3041"/>
      <c r="X722" s="3280"/>
      <c r="AA722" s="3041"/>
      <c r="AF722" s="3041"/>
      <c r="AN722" s="3280"/>
      <c r="AZ722" s="3041"/>
      <c r="BD722" s="3281"/>
      <c r="BH722" s="3282"/>
      <c r="BJ722" s="2589"/>
      <c r="BK722" s="2126"/>
      <c r="BL722" s="2126"/>
      <c r="BM722" s="2126"/>
      <c r="BN722" s="2126"/>
      <c r="BO722" s="2126"/>
      <c r="BP722" s="2126"/>
      <c r="BQ722" s="2126"/>
      <c r="BR722" s="2126"/>
      <c r="BS722" s="2126"/>
    </row>
    <row r="723" spans="1:71" s="3030" customFormat="1">
      <c r="A723" s="2126"/>
      <c r="B723" s="2126"/>
      <c r="C723" s="2149"/>
      <c r="D723" s="3248"/>
      <c r="E723" s="525"/>
      <c r="F723" s="525"/>
      <c r="G723" s="526"/>
      <c r="K723" s="3280"/>
      <c r="P723" s="3041"/>
      <c r="X723" s="3280"/>
      <c r="AA723" s="3041"/>
      <c r="AF723" s="3041"/>
      <c r="AN723" s="3280"/>
      <c r="AZ723" s="3041"/>
      <c r="BD723" s="3281"/>
      <c r="BH723" s="3282"/>
      <c r="BJ723" s="2589"/>
      <c r="BK723" s="2126"/>
      <c r="BL723" s="2126"/>
      <c r="BM723" s="2126"/>
      <c r="BN723" s="2126"/>
      <c r="BO723" s="2126"/>
      <c r="BP723" s="2126"/>
      <c r="BQ723" s="2126"/>
      <c r="BR723" s="2126"/>
      <c r="BS723" s="2126"/>
    </row>
    <row r="724" spans="1:71" s="3030" customFormat="1">
      <c r="A724" s="2126"/>
      <c r="B724" s="2126"/>
      <c r="C724" s="2149"/>
      <c r="D724" s="3248"/>
      <c r="E724" s="525"/>
      <c r="F724" s="525"/>
      <c r="G724" s="526"/>
      <c r="K724" s="3280"/>
      <c r="P724" s="3041"/>
      <c r="X724" s="3280"/>
      <c r="AA724" s="3041"/>
      <c r="AF724" s="3041"/>
      <c r="AN724" s="3280"/>
      <c r="AZ724" s="3041"/>
      <c r="BD724" s="3281"/>
      <c r="BH724" s="3282"/>
      <c r="BJ724" s="2589"/>
      <c r="BK724" s="2126"/>
      <c r="BL724" s="2126"/>
      <c r="BM724" s="2126"/>
      <c r="BN724" s="2126"/>
      <c r="BO724" s="2126"/>
      <c r="BP724" s="2126"/>
      <c r="BQ724" s="2126"/>
      <c r="BR724" s="2126"/>
      <c r="BS724" s="2126"/>
    </row>
    <row r="725" spans="1:71" s="3030" customFormat="1">
      <c r="A725" s="2126"/>
      <c r="B725" s="2126"/>
      <c r="C725" s="2149"/>
      <c r="D725" s="3248"/>
      <c r="E725" s="525"/>
      <c r="F725" s="525"/>
      <c r="G725" s="526"/>
      <c r="K725" s="3280"/>
      <c r="P725" s="3041"/>
      <c r="X725" s="3280"/>
      <c r="AA725" s="3041"/>
      <c r="AF725" s="3041"/>
      <c r="AN725" s="3280"/>
      <c r="AZ725" s="3041"/>
      <c r="BD725" s="3281"/>
      <c r="BH725" s="3282"/>
      <c r="BJ725" s="2589"/>
      <c r="BK725" s="2126"/>
      <c r="BL725" s="2126"/>
      <c r="BM725" s="2126"/>
      <c r="BN725" s="2126"/>
      <c r="BO725" s="2126"/>
      <c r="BP725" s="2126"/>
      <c r="BQ725" s="2126"/>
      <c r="BR725" s="2126"/>
      <c r="BS725" s="2126"/>
    </row>
    <row r="726" spans="1:71" s="3030" customFormat="1">
      <c r="A726" s="2126"/>
      <c r="B726" s="2126"/>
      <c r="C726" s="2149"/>
      <c r="D726" s="3248"/>
      <c r="E726" s="525"/>
      <c r="F726" s="525"/>
      <c r="G726" s="526"/>
      <c r="K726" s="3280"/>
      <c r="P726" s="3041"/>
      <c r="X726" s="3280"/>
      <c r="AA726" s="3041"/>
      <c r="AF726" s="3041"/>
      <c r="AN726" s="3280"/>
      <c r="AZ726" s="3041"/>
      <c r="BD726" s="3281"/>
      <c r="BH726" s="3282"/>
      <c r="BJ726" s="2589"/>
      <c r="BK726" s="2126"/>
      <c r="BL726" s="2126"/>
      <c r="BM726" s="2126"/>
      <c r="BN726" s="2126"/>
      <c r="BO726" s="2126"/>
      <c r="BP726" s="2126"/>
      <c r="BQ726" s="2126"/>
      <c r="BR726" s="2126"/>
      <c r="BS726" s="2126"/>
    </row>
    <row r="727" spans="1:71" s="3030" customFormat="1">
      <c r="A727" s="2126"/>
      <c r="B727" s="2126"/>
      <c r="C727" s="2149"/>
      <c r="D727" s="3248"/>
      <c r="E727" s="525"/>
      <c r="F727" s="525"/>
      <c r="G727" s="526"/>
      <c r="K727" s="3280"/>
      <c r="P727" s="3041"/>
      <c r="X727" s="3280"/>
      <c r="AA727" s="3041"/>
      <c r="AF727" s="3041"/>
      <c r="AN727" s="3280"/>
      <c r="AZ727" s="3041"/>
      <c r="BD727" s="3281"/>
      <c r="BH727" s="3282"/>
      <c r="BJ727" s="2589"/>
      <c r="BK727" s="2126"/>
      <c r="BL727" s="2126"/>
      <c r="BM727" s="2126"/>
      <c r="BN727" s="2126"/>
      <c r="BO727" s="2126"/>
      <c r="BP727" s="2126"/>
      <c r="BQ727" s="2126"/>
      <c r="BR727" s="2126"/>
      <c r="BS727" s="2126"/>
    </row>
    <row r="728" spans="1:71" s="3030" customFormat="1">
      <c r="A728" s="2126"/>
      <c r="B728" s="2126"/>
      <c r="C728" s="2149"/>
      <c r="D728" s="3248"/>
      <c r="E728" s="525"/>
      <c r="F728" s="525"/>
      <c r="G728" s="526"/>
      <c r="K728" s="3280"/>
      <c r="P728" s="3041"/>
      <c r="X728" s="3280"/>
      <c r="AA728" s="3041"/>
      <c r="AF728" s="3041"/>
      <c r="AN728" s="3280"/>
      <c r="AZ728" s="3041"/>
      <c r="BD728" s="3281"/>
      <c r="BH728" s="3282"/>
      <c r="BJ728" s="2589"/>
      <c r="BK728" s="2126"/>
      <c r="BL728" s="2126"/>
      <c r="BM728" s="2126"/>
      <c r="BN728" s="2126"/>
      <c r="BO728" s="2126"/>
      <c r="BP728" s="2126"/>
      <c r="BQ728" s="2126"/>
      <c r="BR728" s="2126"/>
      <c r="BS728" s="2126"/>
    </row>
    <row r="729" spans="1:71" s="3030" customFormat="1">
      <c r="A729" s="2126"/>
      <c r="B729" s="2126"/>
      <c r="C729" s="2149"/>
      <c r="D729" s="3248"/>
      <c r="E729" s="525"/>
      <c r="F729" s="525"/>
      <c r="G729" s="526"/>
      <c r="K729" s="3280"/>
      <c r="P729" s="3041"/>
      <c r="X729" s="3280"/>
      <c r="AA729" s="3041"/>
      <c r="AF729" s="3041"/>
      <c r="AN729" s="3280"/>
      <c r="AZ729" s="3041"/>
      <c r="BD729" s="3281"/>
      <c r="BH729" s="3282"/>
      <c r="BJ729" s="2589"/>
      <c r="BK729" s="2126"/>
      <c r="BL729" s="2126"/>
      <c r="BM729" s="2126"/>
      <c r="BN729" s="2126"/>
      <c r="BO729" s="2126"/>
      <c r="BP729" s="2126"/>
      <c r="BQ729" s="2126"/>
      <c r="BR729" s="2126"/>
      <c r="BS729" s="2126"/>
    </row>
    <row r="730" spans="1:71" s="3030" customFormat="1">
      <c r="A730" s="2126"/>
      <c r="B730" s="2126"/>
      <c r="C730" s="2149"/>
      <c r="D730" s="3248"/>
      <c r="E730" s="525"/>
      <c r="F730" s="525"/>
      <c r="G730" s="526"/>
      <c r="K730" s="3280"/>
      <c r="P730" s="3041"/>
      <c r="X730" s="3280"/>
      <c r="AA730" s="3041"/>
      <c r="AF730" s="3041"/>
      <c r="AN730" s="3280"/>
      <c r="AZ730" s="3041"/>
      <c r="BD730" s="3281"/>
      <c r="BH730" s="3282"/>
      <c r="BJ730" s="2589"/>
      <c r="BK730" s="2126"/>
      <c r="BL730" s="2126"/>
      <c r="BM730" s="2126"/>
      <c r="BN730" s="2126"/>
      <c r="BO730" s="2126"/>
      <c r="BP730" s="2126"/>
      <c r="BQ730" s="2126"/>
      <c r="BR730" s="2126"/>
      <c r="BS730" s="2126"/>
    </row>
    <row r="731" spans="1:71" s="3030" customFormat="1">
      <c r="A731" s="2126"/>
      <c r="B731" s="2126"/>
      <c r="C731" s="2149"/>
      <c r="D731" s="3248"/>
      <c r="E731" s="525"/>
      <c r="F731" s="525"/>
      <c r="G731" s="526"/>
      <c r="K731" s="3280"/>
      <c r="P731" s="3041"/>
      <c r="X731" s="3280"/>
      <c r="AA731" s="3041"/>
      <c r="AF731" s="3041"/>
      <c r="AN731" s="3280"/>
      <c r="AZ731" s="3041"/>
      <c r="BD731" s="3281"/>
      <c r="BH731" s="3282"/>
      <c r="BJ731" s="2589"/>
      <c r="BK731" s="2126"/>
      <c r="BL731" s="2126"/>
      <c r="BM731" s="2126"/>
      <c r="BN731" s="2126"/>
      <c r="BO731" s="2126"/>
      <c r="BP731" s="2126"/>
      <c r="BQ731" s="2126"/>
      <c r="BR731" s="2126"/>
      <c r="BS731" s="2126"/>
    </row>
    <row r="732" spans="1:71" s="3030" customFormat="1">
      <c r="A732" s="2126"/>
      <c r="B732" s="2126"/>
      <c r="C732" s="2149"/>
      <c r="D732" s="3248"/>
      <c r="E732" s="525"/>
      <c r="F732" s="525"/>
      <c r="G732" s="526"/>
      <c r="K732" s="3280"/>
      <c r="P732" s="3041"/>
      <c r="X732" s="3280"/>
      <c r="AA732" s="3041"/>
      <c r="AF732" s="3041"/>
      <c r="AN732" s="3280"/>
      <c r="AZ732" s="3041"/>
      <c r="BD732" s="3281"/>
      <c r="BH732" s="3282"/>
      <c r="BJ732" s="2589"/>
      <c r="BK732" s="2126"/>
      <c r="BL732" s="2126"/>
      <c r="BM732" s="2126"/>
      <c r="BN732" s="2126"/>
      <c r="BO732" s="2126"/>
      <c r="BP732" s="2126"/>
      <c r="BQ732" s="2126"/>
      <c r="BR732" s="2126"/>
      <c r="BS732" s="2126"/>
    </row>
    <row r="733" spans="1:71" s="3030" customFormat="1">
      <c r="A733" s="2126"/>
      <c r="B733" s="2126"/>
      <c r="C733" s="2149"/>
      <c r="D733" s="3248"/>
      <c r="E733" s="525"/>
      <c r="F733" s="525"/>
      <c r="G733" s="526"/>
      <c r="K733" s="3280"/>
      <c r="P733" s="3041"/>
      <c r="X733" s="3280"/>
      <c r="AA733" s="3041"/>
      <c r="AF733" s="3041"/>
      <c r="AN733" s="3280"/>
      <c r="AZ733" s="3041"/>
      <c r="BD733" s="3281"/>
      <c r="BH733" s="3282"/>
      <c r="BJ733" s="2589"/>
      <c r="BK733" s="2126"/>
      <c r="BL733" s="2126"/>
      <c r="BM733" s="2126"/>
      <c r="BN733" s="2126"/>
      <c r="BO733" s="2126"/>
      <c r="BP733" s="2126"/>
      <c r="BQ733" s="2126"/>
      <c r="BR733" s="2126"/>
      <c r="BS733" s="2126"/>
    </row>
    <row r="734" spans="1:71" s="3030" customFormat="1">
      <c r="A734" s="2126"/>
      <c r="B734" s="2126"/>
      <c r="C734" s="2149"/>
      <c r="D734" s="3248"/>
      <c r="E734" s="525"/>
      <c r="F734" s="525"/>
      <c r="G734" s="526"/>
      <c r="K734" s="3280"/>
      <c r="P734" s="3041"/>
      <c r="X734" s="3280"/>
      <c r="AA734" s="3041"/>
      <c r="AF734" s="3041"/>
      <c r="AN734" s="3280"/>
      <c r="AZ734" s="3041"/>
      <c r="BD734" s="3281"/>
      <c r="BH734" s="3282"/>
      <c r="BJ734" s="2589"/>
      <c r="BK734" s="2126"/>
      <c r="BL734" s="2126"/>
      <c r="BM734" s="2126"/>
      <c r="BN734" s="2126"/>
      <c r="BO734" s="2126"/>
      <c r="BP734" s="2126"/>
      <c r="BQ734" s="2126"/>
      <c r="BR734" s="2126"/>
      <c r="BS734" s="2126"/>
    </row>
    <row r="735" spans="1:71" s="3030" customFormat="1">
      <c r="A735" s="2126"/>
      <c r="B735" s="2126"/>
      <c r="C735" s="2149"/>
      <c r="D735" s="3248"/>
      <c r="E735" s="525"/>
      <c r="F735" s="525"/>
      <c r="G735" s="526"/>
      <c r="K735" s="3280"/>
      <c r="P735" s="3041"/>
      <c r="X735" s="3280"/>
      <c r="AA735" s="3041"/>
      <c r="AF735" s="3041"/>
      <c r="AN735" s="3280"/>
      <c r="AZ735" s="3041"/>
      <c r="BD735" s="3281"/>
      <c r="BH735" s="3282"/>
      <c r="BJ735" s="2589"/>
      <c r="BK735" s="2126"/>
      <c r="BL735" s="2126"/>
      <c r="BM735" s="2126"/>
      <c r="BN735" s="2126"/>
      <c r="BO735" s="2126"/>
      <c r="BP735" s="2126"/>
      <c r="BQ735" s="2126"/>
      <c r="BR735" s="2126"/>
      <c r="BS735" s="2126"/>
    </row>
    <row r="736" spans="1:71" s="3030" customFormat="1">
      <c r="A736" s="2126"/>
      <c r="B736" s="2126"/>
      <c r="C736" s="2149"/>
      <c r="D736" s="3248"/>
      <c r="E736" s="525"/>
      <c r="F736" s="525"/>
      <c r="G736" s="526"/>
      <c r="K736" s="3280"/>
      <c r="P736" s="3041"/>
      <c r="X736" s="3280"/>
      <c r="AA736" s="3041"/>
      <c r="AF736" s="3041"/>
      <c r="AN736" s="3280"/>
      <c r="AZ736" s="3041"/>
      <c r="BD736" s="3281"/>
      <c r="BH736" s="3282"/>
      <c r="BJ736" s="2589"/>
      <c r="BK736" s="2126"/>
      <c r="BL736" s="2126"/>
      <c r="BM736" s="2126"/>
      <c r="BN736" s="2126"/>
      <c r="BO736" s="2126"/>
      <c r="BP736" s="2126"/>
      <c r="BQ736" s="2126"/>
      <c r="BR736" s="2126"/>
      <c r="BS736" s="2126"/>
    </row>
    <row r="737" spans="1:71" s="3030" customFormat="1">
      <c r="A737" s="2126"/>
      <c r="B737" s="2126"/>
      <c r="C737" s="2149"/>
      <c r="D737" s="3248"/>
      <c r="E737" s="525"/>
      <c r="F737" s="525"/>
      <c r="G737" s="526"/>
      <c r="K737" s="3280"/>
      <c r="P737" s="3041"/>
      <c r="X737" s="3280"/>
      <c r="AA737" s="3041"/>
      <c r="AF737" s="3041"/>
      <c r="AN737" s="3280"/>
      <c r="AZ737" s="3041"/>
      <c r="BD737" s="3281"/>
      <c r="BH737" s="3282"/>
      <c r="BJ737" s="2589"/>
      <c r="BK737" s="2126"/>
      <c r="BL737" s="2126"/>
      <c r="BM737" s="2126"/>
      <c r="BN737" s="2126"/>
      <c r="BO737" s="2126"/>
      <c r="BP737" s="2126"/>
      <c r="BQ737" s="2126"/>
      <c r="BR737" s="2126"/>
      <c r="BS737" s="2126"/>
    </row>
    <row r="738" spans="1:71" s="3030" customFormat="1">
      <c r="A738" s="2126"/>
      <c r="B738" s="2126"/>
      <c r="C738" s="2149"/>
      <c r="D738" s="3248"/>
      <c r="E738" s="525"/>
      <c r="F738" s="525"/>
      <c r="G738" s="526"/>
      <c r="K738" s="3280"/>
      <c r="P738" s="3041"/>
      <c r="X738" s="3280"/>
      <c r="AA738" s="3041"/>
      <c r="AF738" s="3041"/>
      <c r="AN738" s="3280"/>
      <c r="AZ738" s="3041"/>
      <c r="BD738" s="3281"/>
      <c r="BH738" s="3282"/>
      <c r="BJ738" s="2589"/>
      <c r="BK738" s="2126"/>
      <c r="BL738" s="2126"/>
      <c r="BM738" s="2126"/>
      <c r="BN738" s="2126"/>
      <c r="BO738" s="2126"/>
      <c r="BP738" s="2126"/>
      <c r="BQ738" s="2126"/>
      <c r="BR738" s="2126"/>
      <c r="BS738" s="2126"/>
    </row>
    <row r="739" spans="1:71" s="3030" customFormat="1">
      <c r="A739" s="2126"/>
      <c r="B739" s="2126"/>
      <c r="C739" s="2149"/>
      <c r="D739" s="3248"/>
      <c r="E739" s="525"/>
      <c r="F739" s="525"/>
      <c r="G739" s="526"/>
      <c r="K739" s="3280"/>
      <c r="P739" s="3041"/>
      <c r="X739" s="3280"/>
      <c r="AA739" s="3041"/>
      <c r="AF739" s="3041"/>
      <c r="AN739" s="3280"/>
      <c r="AZ739" s="3041"/>
      <c r="BD739" s="3281"/>
      <c r="BH739" s="3282"/>
      <c r="BJ739" s="2589"/>
      <c r="BK739" s="2126"/>
      <c r="BL739" s="2126"/>
      <c r="BM739" s="2126"/>
      <c r="BN739" s="2126"/>
      <c r="BO739" s="2126"/>
      <c r="BP739" s="2126"/>
      <c r="BQ739" s="2126"/>
      <c r="BR739" s="2126"/>
      <c r="BS739" s="2126"/>
    </row>
    <row r="740" spans="1:71" s="3030" customFormat="1">
      <c r="A740" s="2126"/>
      <c r="B740" s="2126"/>
      <c r="C740" s="2149"/>
      <c r="D740" s="3248"/>
      <c r="E740" s="525"/>
      <c r="F740" s="525"/>
      <c r="G740" s="526"/>
      <c r="K740" s="3280"/>
      <c r="P740" s="3041"/>
      <c r="X740" s="3280"/>
      <c r="AA740" s="3041"/>
      <c r="AF740" s="3041"/>
      <c r="AN740" s="3280"/>
      <c r="AZ740" s="3041"/>
      <c r="BD740" s="3281"/>
      <c r="BH740" s="3282"/>
      <c r="BJ740" s="2589"/>
      <c r="BK740" s="2126"/>
      <c r="BL740" s="2126"/>
      <c r="BM740" s="2126"/>
      <c r="BN740" s="2126"/>
      <c r="BO740" s="2126"/>
      <c r="BP740" s="2126"/>
      <c r="BQ740" s="2126"/>
      <c r="BR740" s="2126"/>
      <c r="BS740" s="2126"/>
    </row>
    <row r="741" spans="1:71" s="3030" customFormat="1">
      <c r="A741" s="2126"/>
      <c r="B741" s="2126"/>
      <c r="C741" s="2149"/>
      <c r="D741" s="3248"/>
      <c r="E741" s="525"/>
      <c r="F741" s="525"/>
      <c r="G741" s="526"/>
      <c r="K741" s="3280"/>
      <c r="P741" s="3041"/>
      <c r="X741" s="3280"/>
      <c r="AA741" s="3041"/>
      <c r="AF741" s="3041"/>
      <c r="AN741" s="3280"/>
      <c r="AZ741" s="3041"/>
      <c r="BD741" s="3281"/>
      <c r="BH741" s="3282"/>
      <c r="BJ741" s="2589"/>
      <c r="BK741" s="2126"/>
      <c r="BL741" s="2126"/>
      <c r="BM741" s="2126"/>
      <c r="BN741" s="2126"/>
      <c r="BO741" s="2126"/>
      <c r="BP741" s="2126"/>
      <c r="BQ741" s="2126"/>
      <c r="BR741" s="2126"/>
      <c r="BS741" s="2126"/>
    </row>
    <row r="742" spans="1:71" s="3030" customFormat="1">
      <c r="A742" s="2126"/>
      <c r="B742" s="2126"/>
      <c r="C742" s="2149"/>
      <c r="D742" s="3248"/>
      <c r="E742" s="525"/>
      <c r="F742" s="525"/>
      <c r="G742" s="526"/>
      <c r="K742" s="3280"/>
      <c r="P742" s="3041"/>
      <c r="X742" s="3280"/>
      <c r="AA742" s="3041"/>
      <c r="AF742" s="3041"/>
      <c r="AN742" s="3280"/>
      <c r="AZ742" s="3041"/>
      <c r="BD742" s="3281"/>
      <c r="BH742" s="3282"/>
      <c r="BJ742" s="2589"/>
      <c r="BK742" s="2126"/>
      <c r="BL742" s="2126"/>
      <c r="BM742" s="2126"/>
      <c r="BN742" s="2126"/>
      <c r="BO742" s="2126"/>
      <c r="BP742" s="2126"/>
      <c r="BQ742" s="2126"/>
      <c r="BR742" s="2126"/>
      <c r="BS742" s="2126"/>
    </row>
    <row r="743" spans="1:71" s="3030" customFormat="1">
      <c r="A743" s="2126"/>
      <c r="B743" s="2126"/>
      <c r="C743" s="2149"/>
      <c r="D743" s="3248"/>
      <c r="E743" s="525"/>
      <c r="F743" s="525"/>
      <c r="G743" s="526"/>
      <c r="K743" s="3280"/>
      <c r="P743" s="3041"/>
      <c r="X743" s="3280"/>
      <c r="AA743" s="3041"/>
      <c r="AF743" s="3041"/>
      <c r="AN743" s="3280"/>
      <c r="AZ743" s="3041"/>
      <c r="BD743" s="3281"/>
      <c r="BH743" s="3282"/>
      <c r="BJ743" s="2589"/>
      <c r="BK743" s="2126"/>
      <c r="BL743" s="2126"/>
      <c r="BM743" s="2126"/>
      <c r="BN743" s="2126"/>
      <c r="BO743" s="2126"/>
      <c r="BP743" s="2126"/>
      <c r="BQ743" s="2126"/>
      <c r="BR743" s="2126"/>
      <c r="BS743" s="2126"/>
    </row>
    <row r="744" spans="1:71" s="3030" customFormat="1">
      <c r="A744" s="2126"/>
      <c r="B744" s="2126"/>
      <c r="C744" s="2149"/>
      <c r="D744" s="3248"/>
      <c r="E744" s="525"/>
      <c r="F744" s="525"/>
      <c r="G744" s="526"/>
      <c r="K744" s="3280"/>
      <c r="P744" s="3041"/>
      <c r="X744" s="3280"/>
      <c r="AA744" s="3041"/>
      <c r="AF744" s="3041"/>
      <c r="AN744" s="3280"/>
      <c r="AZ744" s="3041"/>
      <c r="BD744" s="3281"/>
      <c r="BH744" s="3282"/>
      <c r="BJ744" s="2589"/>
      <c r="BK744" s="2126"/>
      <c r="BL744" s="2126"/>
      <c r="BM744" s="2126"/>
      <c r="BN744" s="2126"/>
      <c r="BO744" s="2126"/>
      <c r="BP744" s="2126"/>
      <c r="BQ744" s="2126"/>
      <c r="BR744" s="2126"/>
      <c r="BS744" s="2126"/>
    </row>
    <row r="745" spans="1:71" s="3030" customFormat="1">
      <c r="A745" s="2126"/>
      <c r="B745" s="2126"/>
      <c r="C745" s="2149"/>
      <c r="D745" s="3248"/>
      <c r="E745" s="525"/>
      <c r="F745" s="525"/>
      <c r="G745" s="526"/>
      <c r="K745" s="3280"/>
      <c r="P745" s="3041"/>
      <c r="X745" s="3280"/>
      <c r="AA745" s="3041"/>
      <c r="AF745" s="3041"/>
      <c r="AN745" s="3280"/>
      <c r="AZ745" s="3041"/>
      <c r="BD745" s="3281"/>
      <c r="BH745" s="3282"/>
      <c r="BJ745" s="2589"/>
      <c r="BK745" s="2126"/>
      <c r="BL745" s="2126"/>
      <c r="BM745" s="2126"/>
      <c r="BN745" s="2126"/>
      <c r="BO745" s="2126"/>
      <c r="BP745" s="2126"/>
      <c r="BQ745" s="2126"/>
      <c r="BR745" s="2126"/>
      <c r="BS745" s="2126"/>
    </row>
    <row r="746" spans="1:71" s="3030" customFormat="1">
      <c r="A746" s="2126"/>
      <c r="B746" s="2126"/>
      <c r="C746" s="2149"/>
      <c r="D746" s="3248"/>
      <c r="E746" s="525"/>
      <c r="F746" s="525"/>
      <c r="G746" s="526"/>
      <c r="K746" s="3280"/>
      <c r="P746" s="3041"/>
      <c r="X746" s="3280"/>
      <c r="AA746" s="3041"/>
      <c r="AF746" s="3041"/>
      <c r="AN746" s="3280"/>
      <c r="AZ746" s="3041"/>
      <c r="BD746" s="3281"/>
      <c r="BH746" s="3282"/>
      <c r="BJ746" s="2589"/>
      <c r="BK746" s="2126"/>
      <c r="BL746" s="2126"/>
      <c r="BM746" s="2126"/>
      <c r="BN746" s="2126"/>
      <c r="BO746" s="2126"/>
      <c r="BP746" s="2126"/>
      <c r="BQ746" s="2126"/>
      <c r="BR746" s="2126"/>
      <c r="BS746" s="2126"/>
    </row>
    <row r="747" spans="1:71" s="3030" customFormat="1">
      <c r="A747" s="2126"/>
      <c r="B747" s="2126"/>
      <c r="C747" s="2149"/>
      <c r="D747" s="3248"/>
      <c r="E747" s="525"/>
      <c r="F747" s="525"/>
      <c r="G747" s="526"/>
      <c r="K747" s="3280"/>
      <c r="P747" s="3041"/>
      <c r="X747" s="3280"/>
      <c r="AA747" s="3041"/>
      <c r="AF747" s="3041"/>
      <c r="AN747" s="3280"/>
      <c r="AZ747" s="3041"/>
      <c r="BD747" s="3281"/>
      <c r="BH747" s="3282"/>
      <c r="BJ747" s="2589"/>
      <c r="BK747" s="2126"/>
      <c r="BL747" s="2126"/>
      <c r="BM747" s="2126"/>
      <c r="BN747" s="2126"/>
      <c r="BO747" s="2126"/>
      <c r="BP747" s="2126"/>
      <c r="BQ747" s="2126"/>
      <c r="BR747" s="2126"/>
      <c r="BS747" s="2126"/>
    </row>
    <row r="748" spans="1:71" s="3030" customFormat="1">
      <c r="A748" s="2126"/>
      <c r="B748" s="2126"/>
      <c r="C748" s="2149"/>
      <c r="D748" s="3248"/>
      <c r="E748" s="525"/>
      <c r="F748" s="525"/>
      <c r="G748" s="526"/>
      <c r="K748" s="3280"/>
      <c r="P748" s="3041"/>
      <c r="X748" s="3280"/>
      <c r="AA748" s="3041"/>
      <c r="AF748" s="3041"/>
      <c r="AN748" s="3280"/>
      <c r="AZ748" s="3041"/>
      <c r="BD748" s="3281"/>
      <c r="BH748" s="3282"/>
      <c r="BJ748" s="2589"/>
      <c r="BK748" s="2126"/>
      <c r="BL748" s="2126"/>
      <c r="BM748" s="2126"/>
      <c r="BN748" s="2126"/>
      <c r="BO748" s="2126"/>
      <c r="BP748" s="2126"/>
      <c r="BQ748" s="2126"/>
      <c r="BR748" s="2126"/>
      <c r="BS748" s="2126"/>
    </row>
    <row r="749" spans="1:71" s="3030" customFormat="1">
      <c r="A749" s="2126"/>
      <c r="B749" s="2126"/>
      <c r="C749" s="2149"/>
      <c r="D749" s="3248"/>
      <c r="E749" s="525"/>
      <c r="F749" s="525"/>
      <c r="G749" s="526"/>
      <c r="K749" s="3280"/>
      <c r="P749" s="3041"/>
      <c r="X749" s="3280"/>
      <c r="AA749" s="3041"/>
      <c r="AF749" s="3041"/>
      <c r="AN749" s="3280"/>
      <c r="AZ749" s="3041"/>
      <c r="BD749" s="3281"/>
      <c r="BH749" s="3282"/>
      <c r="BJ749" s="2589"/>
      <c r="BK749" s="2126"/>
      <c r="BL749" s="2126"/>
      <c r="BM749" s="2126"/>
      <c r="BN749" s="2126"/>
      <c r="BO749" s="2126"/>
      <c r="BP749" s="2126"/>
      <c r="BQ749" s="2126"/>
      <c r="BR749" s="2126"/>
      <c r="BS749" s="2126"/>
    </row>
    <row r="750" spans="1:71" s="3030" customFormat="1">
      <c r="A750" s="2126"/>
      <c r="B750" s="2126"/>
      <c r="C750" s="2149"/>
      <c r="D750" s="3248"/>
      <c r="E750" s="525"/>
      <c r="F750" s="525"/>
      <c r="G750" s="526"/>
      <c r="K750" s="3280"/>
      <c r="P750" s="3041"/>
      <c r="X750" s="3280"/>
      <c r="AA750" s="3041"/>
      <c r="AF750" s="3041"/>
      <c r="AN750" s="3280"/>
      <c r="AZ750" s="3041"/>
      <c r="BD750" s="3281"/>
      <c r="BH750" s="3282"/>
      <c r="BJ750" s="2589"/>
      <c r="BK750" s="2126"/>
      <c r="BL750" s="2126"/>
      <c r="BM750" s="2126"/>
      <c r="BN750" s="2126"/>
      <c r="BO750" s="2126"/>
      <c r="BP750" s="2126"/>
      <c r="BQ750" s="2126"/>
      <c r="BR750" s="2126"/>
      <c r="BS750" s="2126"/>
    </row>
    <row r="751" spans="1:71" s="3030" customFormat="1">
      <c r="A751" s="2126"/>
      <c r="B751" s="2126"/>
      <c r="C751" s="2149"/>
      <c r="D751" s="3248"/>
      <c r="E751" s="525"/>
      <c r="F751" s="525"/>
      <c r="G751" s="526"/>
      <c r="K751" s="3280"/>
      <c r="P751" s="3041"/>
      <c r="X751" s="3280"/>
      <c r="AA751" s="3041"/>
      <c r="AF751" s="3041"/>
      <c r="AN751" s="3280"/>
      <c r="AZ751" s="3041"/>
      <c r="BD751" s="3281"/>
      <c r="BH751" s="3282"/>
      <c r="BJ751" s="2589"/>
      <c r="BK751" s="2126"/>
      <c r="BL751" s="2126"/>
      <c r="BM751" s="2126"/>
      <c r="BN751" s="2126"/>
      <c r="BO751" s="2126"/>
      <c r="BP751" s="2126"/>
      <c r="BQ751" s="2126"/>
      <c r="BR751" s="2126"/>
      <c r="BS751" s="2126"/>
    </row>
    <row r="752" spans="1:71" s="3030" customFormat="1">
      <c r="A752" s="2126"/>
      <c r="B752" s="2126"/>
      <c r="C752" s="2149"/>
      <c r="D752" s="3248"/>
      <c r="E752" s="525"/>
      <c r="F752" s="525"/>
      <c r="G752" s="526"/>
      <c r="K752" s="3280"/>
      <c r="P752" s="3041"/>
      <c r="X752" s="3280"/>
      <c r="AA752" s="3041"/>
      <c r="AF752" s="3041"/>
      <c r="AN752" s="3280"/>
      <c r="AZ752" s="3041"/>
      <c r="BD752" s="3281"/>
      <c r="BH752" s="3282"/>
      <c r="BJ752" s="2589"/>
      <c r="BK752" s="2126"/>
      <c r="BL752" s="2126"/>
      <c r="BM752" s="2126"/>
      <c r="BN752" s="2126"/>
      <c r="BO752" s="2126"/>
      <c r="BP752" s="2126"/>
      <c r="BQ752" s="2126"/>
      <c r="BR752" s="2126"/>
      <c r="BS752" s="2126"/>
    </row>
    <row r="753" spans="1:71" s="3030" customFormat="1">
      <c r="A753" s="2126"/>
      <c r="B753" s="2126"/>
      <c r="C753" s="2149"/>
      <c r="D753" s="3248"/>
      <c r="E753" s="525"/>
      <c r="F753" s="525"/>
      <c r="G753" s="526"/>
      <c r="K753" s="3280"/>
      <c r="P753" s="3041"/>
      <c r="X753" s="3280"/>
      <c r="AA753" s="3041"/>
      <c r="AF753" s="3041"/>
      <c r="AN753" s="3280"/>
      <c r="AZ753" s="3041"/>
      <c r="BD753" s="3281"/>
      <c r="BH753" s="3282"/>
      <c r="BJ753" s="2589"/>
      <c r="BK753" s="2126"/>
      <c r="BL753" s="2126"/>
      <c r="BM753" s="2126"/>
      <c r="BN753" s="2126"/>
      <c r="BO753" s="2126"/>
      <c r="BP753" s="2126"/>
      <c r="BQ753" s="2126"/>
      <c r="BR753" s="2126"/>
      <c r="BS753" s="2126"/>
    </row>
    <row r="754" spans="1:71" s="3030" customFormat="1">
      <c r="A754" s="2126"/>
      <c r="B754" s="2126"/>
      <c r="C754" s="2149"/>
      <c r="D754" s="3248"/>
      <c r="E754" s="525"/>
      <c r="F754" s="525"/>
      <c r="G754" s="526"/>
      <c r="K754" s="3280"/>
      <c r="P754" s="3041"/>
      <c r="X754" s="3280"/>
      <c r="AA754" s="3041"/>
      <c r="AF754" s="3041"/>
      <c r="AN754" s="3280"/>
      <c r="AZ754" s="3041"/>
      <c r="BD754" s="3281"/>
      <c r="BH754" s="3282"/>
      <c r="BJ754" s="2589"/>
      <c r="BK754" s="2126"/>
      <c r="BL754" s="2126"/>
      <c r="BM754" s="2126"/>
      <c r="BN754" s="2126"/>
      <c r="BO754" s="2126"/>
      <c r="BP754" s="2126"/>
      <c r="BQ754" s="2126"/>
      <c r="BR754" s="2126"/>
      <c r="BS754" s="2126"/>
    </row>
    <row r="755" spans="1:71" s="3030" customFormat="1">
      <c r="A755" s="2126"/>
      <c r="B755" s="2126"/>
      <c r="C755" s="2149"/>
      <c r="D755" s="3248"/>
      <c r="E755" s="525"/>
      <c r="F755" s="525"/>
      <c r="G755" s="526"/>
      <c r="K755" s="3280"/>
      <c r="P755" s="3041"/>
      <c r="X755" s="3280"/>
      <c r="AA755" s="3041"/>
      <c r="AF755" s="3041"/>
      <c r="AN755" s="3280"/>
      <c r="AZ755" s="3041"/>
      <c r="BD755" s="3281"/>
      <c r="BH755" s="3282"/>
      <c r="BJ755" s="2589"/>
      <c r="BK755" s="2126"/>
      <c r="BL755" s="2126"/>
      <c r="BM755" s="2126"/>
      <c r="BN755" s="2126"/>
      <c r="BO755" s="2126"/>
      <c r="BP755" s="2126"/>
      <c r="BQ755" s="2126"/>
      <c r="BR755" s="2126"/>
      <c r="BS755" s="2126"/>
    </row>
    <row r="756" spans="1:71" s="3030" customFormat="1">
      <c r="A756" s="2126"/>
      <c r="B756" s="2126"/>
      <c r="C756" s="2149"/>
      <c r="D756" s="3248"/>
      <c r="E756" s="525"/>
      <c r="F756" s="525"/>
      <c r="G756" s="526"/>
      <c r="K756" s="3280"/>
      <c r="P756" s="3041"/>
      <c r="X756" s="3280"/>
      <c r="AA756" s="3041"/>
      <c r="AF756" s="3041"/>
      <c r="AN756" s="3280"/>
      <c r="AZ756" s="3041"/>
      <c r="BD756" s="3281"/>
      <c r="BH756" s="3282"/>
      <c r="BJ756" s="2589"/>
      <c r="BK756" s="2126"/>
      <c r="BL756" s="2126"/>
      <c r="BM756" s="2126"/>
      <c r="BN756" s="2126"/>
      <c r="BO756" s="2126"/>
      <c r="BP756" s="2126"/>
      <c r="BQ756" s="2126"/>
      <c r="BR756" s="2126"/>
      <c r="BS756" s="2126"/>
    </row>
    <row r="757" spans="1:71" s="3030" customFormat="1">
      <c r="A757" s="2126"/>
      <c r="B757" s="2126"/>
      <c r="C757" s="2149"/>
      <c r="D757" s="3248"/>
      <c r="E757" s="525"/>
      <c r="F757" s="525"/>
      <c r="G757" s="526"/>
      <c r="K757" s="3280"/>
      <c r="P757" s="3041"/>
      <c r="X757" s="3280"/>
      <c r="AA757" s="3041"/>
      <c r="AF757" s="3041"/>
      <c r="AN757" s="3280"/>
      <c r="AZ757" s="3041"/>
      <c r="BD757" s="3281"/>
      <c r="BH757" s="3282"/>
      <c r="BJ757" s="2589"/>
      <c r="BK757" s="2126"/>
      <c r="BL757" s="2126"/>
      <c r="BM757" s="2126"/>
      <c r="BN757" s="2126"/>
      <c r="BO757" s="2126"/>
      <c r="BP757" s="2126"/>
      <c r="BQ757" s="2126"/>
      <c r="BR757" s="2126"/>
      <c r="BS757" s="2126"/>
    </row>
    <row r="758" spans="1:71" s="3030" customFormat="1">
      <c r="A758" s="2126"/>
      <c r="B758" s="2126"/>
      <c r="C758" s="2149"/>
      <c r="D758" s="3248"/>
      <c r="E758" s="525"/>
      <c r="F758" s="525"/>
      <c r="G758" s="526"/>
      <c r="K758" s="3280"/>
      <c r="P758" s="3041"/>
      <c r="X758" s="3280"/>
      <c r="AA758" s="3041"/>
      <c r="AF758" s="3041"/>
      <c r="AN758" s="3280"/>
      <c r="AZ758" s="3041"/>
      <c r="BD758" s="3281"/>
      <c r="BH758" s="3282"/>
      <c r="BJ758" s="2589"/>
      <c r="BK758" s="2126"/>
      <c r="BL758" s="2126"/>
      <c r="BM758" s="2126"/>
      <c r="BN758" s="2126"/>
      <c r="BO758" s="2126"/>
      <c r="BP758" s="2126"/>
      <c r="BQ758" s="2126"/>
      <c r="BR758" s="2126"/>
      <c r="BS758" s="2126"/>
    </row>
    <row r="759" spans="1:71" s="3030" customFormat="1">
      <c r="A759" s="2126"/>
      <c r="B759" s="2126"/>
      <c r="C759" s="2149"/>
      <c r="D759" s="3248"/>
      <c r="E759" s="525"/>
      <c r="F759" s="525"/>
      <c r="G759" s="526"/>
      <c r="K759" s="3280"/>
      <c r="P759" s="3041"/>
      <c r="X759" s="3280"/>
      <c r="AA759" s="3041"/>
      <c r="AF759" s="3041"/>
      <c r="AN759" s="3280"/>
      <c r="AZ759" s="3041"/>
      <c r="BD759" s="3281"/>
      <c r="BH759" s="3282"/>
      <c r="BJ759" s="2589"/>
      <c r="BK759" s="2126"/>
      <c r="BL759" s="2126"/>
      <c r="BM759" s="2126"/>
      <c r="BN759" s="2126"/>
      <c r="BO759" s="2126"/>
      <c r="BP759" s="2126"/>
      <c r="BQ759" s="2126"/>
      <c r="BR759" s="2126"/>
      <c r="BS759" s="2126"/>
    </row>
    <row r="760" spans="1:71" s="3030" customFormat="1">
      <c r="A760" s="2126"/>
      <c r="B760" s="2126"/>
      <c r="C760" s="2149"/>
      <c r="D760" s="3248"/>
      <c r="E760" s="525"/>
      <c r="F760" s="525"/>
      <c r="G760" s="526"/>
      <c r="K760" s="3280"/>
      <c r="P760" s="3041"/>
      <c r="X760" s="3280"/>
      <c r="AA760" s="3041"/>
      <c r="AF760" s="3041"/>
      <c r="AN760" s="3280"/>
      <c r="AZ760" s="3041"/>
      <c r="BD760" s="3281"/>
      <c r="BH760" s="3282"/>
      <c r="BJ760" s="2589"/>
      <c r="BK760" s="2126"/>
      <c r="BL760" s="2126"/>
      <c r="BM760" s="2126"/>
      <c r="BN760" s="2126"/>
      <c r="BO760" s="2126"/>
      <c r="BP760" s="2126"/>
      <c r="BQ760" s="2126"/>
      <c r="BR760" s="2126"/>
      <c r="BS760" s="2126"/>
    </row>
    <row r="761" spans="1:71" s="3030" customFormat="1">
      <c r="A761" s="2126"/>
      <c r="B761" s="2126"/>
      <c r="C761" s="2149"/>
      <c r="D761" s="3248"/>
      <c r="E761" s="525"/>
      <c r="F761" s="525"/>
      <c r="G761" s="526"/>
      <c r="K761" s="3280"/>
      <c r="P761" s="3041"/>
      <c r="X761" s="3280"/>
      <c r="AA761" s="3041"/>
      <c r="AF761" s="3041"/>
      <c r="AN761" s="3280"/>
      <c r="AZ761" s="3041"/>
      <c r="BD761" s="3281"/>
      <c r="BH761" s="3282"/>
      <c r="BJ761" s="2589"/>
      <c r="BK761" s="2126"/>
      <c r="BL761" s="2126"/>
      <c r="BM761" s="2126"/>
      <c r="BN761" s="2126"/>
      <c r="BO761" s="2126"/>
      <c r="BP761" s="2126"/>
      <c r="BQ761" s="2126"/>
      <c r="BR761" s="2126"/>
      <c r="BS761" s="2126"/>
    </row>
    <row r="762" spans="1:71" s="3030" customFormat="1">
      <c r="A762" s="2126"/>
      <c r="B762" s="2126"/>
      <c r="C762" s="2149"/>
      <c r="D762" s="3248"/>
      <c r="E762" s="525"/>
      <c r="F762" s="525"/>
      <c r="G762" s="526"/>
      <c r="K762" s="3280"/>
      <c r="P762" s="3041"/>
      <c r="X762" s="3280"/>
      <c r="AA762" s="3041"/>
      <c r="AF762" s="3041"/>
      <c r="AN762" s="3280"/>
      <c r="AZ762" s="3041"/>
      <c r="BD762" s="3281"/>
      <c r="BH762" s="3282"/>
      <c r="BJ762" s="2589"/>
      <c r="BK762" s="2126"/>
      <c r="BL762" s="2126"/>
      <c r="BM762" s="2126"/>
      <c r="BN762" s="2126"/>
      <c r="BO762" s="2126"/>
      <c r="BP762" s="2126"/>
      <c r="BQ762" s="2126"/>
      <c r="BR762" s="2126"/>
      <c r="BS762" s="2126"/>
    </row>
    <row r="763" spans="1:71" s="3030" customFormat="1">
      <c r="A763" s="2126"/>
      <c r="B763" s="2126"/>
      <c r="C763" s="2149"/>
      <c r="D763" s="3248"/>
      <c r="E763" s="525"/>
      <c r="F763" s="525"/>
      <c r="G763" s="526"/>
      <c r="K763" s="3280"/>
      <c r="P763" s="3041"/>
      <c r="X763" s="3280"/>
      <c r="AA763" s="3041"/>
      <c r="AF763" s="3041"/>
      <c r="AN763" s="3280"/>
      <c r="AZ763" s="3041"/>
      <c r="BD763" s="3281"/>
      <c r="BH763" s="3282"/>
      <c r="BJ763" s="2589"/>
      <c r="BK763" s="2126"/>
      <c r="BL763" s="2126"/>
      <c r="BM763" s="2126"/>
      <c r="BN763" s="2126"/>
      <c r="BO763" s="2126"/>
      <c r="BP763" s="2126"/>
      <c r="BQ763" s="2126"/>
      <c r="BR763" s="2126"/>
      <c r="BS763" s="2126"/>
    </row>
    <row r="764" spans="1:71" s="3030" customFormat="1">
      <c r="A764" s="2126"/>
      <c r="B764" s="2126"/>
      <c r="C764" s="2149"/>
      <c r="D764" s="3248"/>
      <c r="E764" s="525"/>
      <c r="F764" s="525"/>
      <c r="G764" s="526"/>
      <c r="K764" s="3280"/>
      <c r="P764" s="3041"/>
      <c r="X764" s="3280"/>
      <c r="AA764" s="3041"/>
      <c r="AF764" s="3041"/>
      <c r="AN764" s="3280"/>
      <c r="AZ764" s="3041"/>
      <c r="BD764" s="3281"/>
      <c r="BH764" s="3282"/>
      <c r="BJ764" s="2589"/>
      <c r="BK764" s="2126"/>
      <c r="BL764" s="2126"/>
      <c r="BM764" s="2126"/>
      <c r="BN764" s="2126"/>
      <c r="BO764" s="2126"/>
      <c r="BP764" s="2126"/>
      <c r="BQ764" s="2126"/>
      <c r="BR764" s="2126"/>
      <c r="BS764" s="2126"/>
    </row>
    <row r="765" spans="1:71" s="3030" customFormat="1">
      <c r="A765" s="2126"/>
      <c r="B765" s="2126"/>
      <c r="C765" s="2149"/>
      <c r="D765" s="3248"/>
      <c r="E765" s="525"/>
      <c r="F765" s="525"/>
      <c r="G765" s="526"/>
      <c r="K765" s="3280"/>
      <c r="P765" s="3041"/>
      <c r="X765" s="3280"/>
      <c r="AA765" s="3041"/>
      <c r="AF765" s="3041"/>
      <c r="AN765" s="3280"/>
      <c r="AZ765" s="3041"/>
      <c r="BD765" s="3281"/>
      <c r="BH765" s="3282"/>
      <c r="BJ765" s="2589"/>
      <c r="BK765" s="2126"/>
      <c r="BL765" s="2126"/>
      <c r="BM765" s="2126"/>
      <c r="BN765" s="2126"/>
      <c r="BO765" s="2126"/>
      <c r="BP765" s="2126"/>
      <c r="BQ765" s="2126"/>
      <c r="BR765" s="2126"/>
      <c r="BS765" s="2126"/>
    </row>
    <row r="766" spans="1:71" s="3030" customFormat="1">
      <c r="A766" s="2126"/>
      <c r="B766" s="2126"/>
      <c r="C766" s="2149"/>
      <c r="D766" s="3248"/>
      <c r="E766" s="525"/>
      <c r="F766" s="525"/>
      <c r="G766" s="526"/>
      <c r="K766" s="3280"/>
      <c r="P766" s="3041"/>
      <c r="X766" s="3280"/>
      <c r="AA766" s="3041"/>
      <c r="AF766" s="3041"/>
      <c r="AN766" s="3280"/>
      <c r="AZ766" s="3041"/>
      <c r="BD766" s="3281"/>
      <c r="BH766" s="3282"/>
      <c r="BJ766" s="2589"/>
      <c r="BK766" s="2126"/>
      <c r="BL766" s="2126"/>
      <c r="BM766" s="2126"/>
      <c r="BN766" s="2126"/>
      <c r="BO766" s="2126"/>
      <c r="BP766" s="2126"/>
      <c r="BQ766" s="2126"/>
      <c r="BR766" s="2126"/>
      <c r="BS766" s="2126"/>
    </row>
    <row r="767" spans="1:71" s="3030" customFormat="1">
      <c r="A767" s="2126"/>
      <c r="B767" s="2126"/>
      <c r="C767" s="2149"/>
      <c r="D767" s="3248"/>
      <c r="E767" s="525"/>
      <c r="F767" s="525"/>
      <c r="G767" s="526"/>
      <c r="K767" s="3280"/>
      <c r="P767" s="3041"/>
      <c r="X767" s="3280"/>
      <c r="AA767" s="3041"/>
      <c r="AF767" s="3041"/>
      <c r="AN767" s="3280"/>
      <c r="AZ767" s="3041"/>
      <c r="BD767" s="3281"/>
      <c r="BH767" s="3282"/>
      <c r="BJ767" s="2589"/>
      <c r="BK767" s="2126"/>
      <c r="BL767" s="2126"/>
      <c r="BM767" s="2126"/>
      <c r="BN767" s="2126"/>
      <c r="BO767" s="2126"/>
      <c r="BP767" s="2126"/>
      <c r="BQ767" s="2126"/>
      <c r="BR767" s="2126"/>
      <c r="BS767" s="2126"/>
    </row>
    <row r="768" spans="1:71" s="3030" customFormat="1">
      <c r="A768" s="2126"/>
      <c r="B768" s="2126"/>
      <c r="C768" s="2149"/>
      <c r="D768" s="3248"/>
      <c r="E768" s="525"/>
      <c r="F768" s="525"/>
      <c r="G768" s="526"/>
      <c r="K768" s="3280"/>
      <c r="P768" s="3041"/>
      <c r="X768" s="3280"/>
      <c r="AA768" s="3041"/>
      <c r="AF768" s="3041"/>
      <c r="AN768" s="3280"/>
      <c r="AZ768" s="3041"/>
      <c r="BD768" s="3281"/>
      <c r="BH768" s="3282"/>
      <c r="BJ768" s="2589"/>
      <c r="BK768" s="2126"/>
      <c r="BL768" s="2126"/>
      <c r="BM768" s="2126"/>
      <c r="BN768" s="2126"/>
      <c r="BO768" s="2126"/>
      <c r="BP768" s="2126"/>
      <c r="BQ768" s="2126"/>
      <c r="BR768" s="2126"/>
      <c r="BS768" s="2126"/>
    </row>
    <row r="769" spans="1:71" s="3030" customFormat="1">
      <c r="A769" s="2126"/>
      <c r="B769" s="2126"/>
      <c r="C769" s="2149"/>
      <c r="D769" s="3248"/>
      <c r="E769" s="525"/>
      <c r="F769" s="525"/>
      <c r="G769" s="526"/>
      <c r="K769" s="3280"/>
      <c r="P769" s="3041"/>
      <c r="X769" s="3280"/>
      <c r="AA769" s="3041"/>
      <c r="AF769" s="3041"/>
      <c r="AN769" s="3280"/>
      <c r="AZ769" s="3041"/>
      <c r="BD769" s="3281"/>
      <c r="BH769" s="3282"/>
      <c r="BJ769" s="2589"/>
      <c r="BK769" s="2126"/>
      <c r="BL769" s="2126"/>
      <c r="BM769" s="2126"/>
      <c r="BN769" s="2126"/>
      <c r="BO769" s="2126"/>
      <c r="BP769" s="2126"/>
      <c r="BQ769" s="2126"/>
      <c r="BR769" s="2126"/>
      <c r="BS769" s="2126"/>
    </row>
    <row r="770" spans="1:71" s="3030" customFormat="1">
      <c r="A770" s="2126"/>
      <c r="B770" s="2126"/>
      <c r="C770" s="2149"/>
      <c r="D770" s="3248"/>
      <c r="E770" s="525"/>
      <c r="F770" s="525"/>
      <c r="G770" s="526"/>
      <c r="K770" s="3280"/>
      <c r="P770" s="3041"/>
      <c r="X770" s="3280"/>
      <c r="AA770" s="3041"/>
      <c r="AF770" s="3041"/>
      <c r="AN770" s="3280"/>
      <c r="AZ770" s="3041"/>
      <c r="BD770" s="3281"/>
      <c r="BH770" s="3282"/>
      <c r="BJ770" s="2589"/>
      <c r="BK770" s="2126"/>
      <c r="BL770" s="2126"/>
      <c r="BM770" s="2126"/>
      <c r="BN770" s="2126"/>
      <c r="BO770" s="2126"/>
      <c r="BP770" s="2126"/>
      <c r="BQ770" s="2126"/>
      <c r="BR770" s="2126"/>
      <c r="BS770" s="2126"/>
    </row>
    <row r="771" spans="1:71" s="3030" customFormat="1">
      <c r="A771" s="2126"/>
      <c r="B771" s="2126"/>
      <c r="C771" s="2149"/>
      <c r="D771" s="3248"/>
      <c r="E771" s="525"/>
      <c r="F771" s="525"/>
      <c r="G771" s="526"/>
      <c r="K771" s="3280"/>
      <c r="P771" s="3041"/>
      <c r="X771" s="3280"/>
      <c r="AA771" s="3041"/>
      <c r="AF771" s="3041"/>
      <c r="AN771" s="3280"/>
      <c r="AZ771" s="3041"/>
      <c r="BD771" s="3281"/>
      <c r="BH771" s="3282"/>
      <c r="BJ771" s="2589"/>
      <c r="BK771" s="2126"/>
      <c r="BL771" s="2126"/>
      <c r="BM771" s="2126"/>
      <c r="BN771" s="2126"/>
      <c r="BO771" s="2126"/>
      <c r="BP771" s="2126"/>
      <c r="BQ771" s="2126"/>
      <c r="BR771" s="2126"/>
      <c r="BS771" s="2126"/>
    </row>
    <row r="772" spans="1:71" s="3030" customFormat="1">
      <c r="A772" s="2126"/>
      <c r="B772" s="2126"/>
      <c r="C772" s="2149"/>
      <c r="D772" s="3248"/>
      <c r="E772" s="525"/>
      <c r="F772" s="525"/>
      <c r="G772" s="526"/>
      <c r="K772" s="3280"/>
      <c r="P772" s="3041"/>
      <c r="X772" s="3280"/>
      <c r="AA772" s="3041"/>
      <c r="AF772" s="3041"/>
      <c r="AN772" s="3280"/>
      <c r="AZ772" s="3041"/>
      <c r="BD772" s="3281"/>
      <c r="BH772" s="3282"/>
      <c r="BJ772" s="2589"/>
      <c r="BK772" s="2126"/>
      <c r="BL772" s="2126"/>
      <c r="BM772" s="2126"/>
      <c r="BN772" s="2126"/>
      <c r="BO772" s="2126"/>
      <c r="BP772" s="2126"/>
      <c r="BQ772" s="2126"/>
      <c r="BR772" s="2126"/>
      <c r="BS772" s="2126"/>
    </row>
    <row r="773" spans="1:71" s="3030" customFormat="1">
      <c r="A773" s="2126"/>
      <c r="B773" s="2126"/>
      <c r="C773" s="2149"/>
      <c r="D773" s="3248"/>
      <c r="E773" s="525"/>
      <c r="F773" s="525"/>
      <c r="G773" s="526"/>
      <c r="K773" s="3280"/>
      <c r="P773" s="3041"/>
      <c r="X773" s="3280"/>
      <c r="AA773" s="3041"/>
      <c r="AF773" s="3041"/>
      <c r="AN773" s="3280"/>
      <c r="AZ773" s="3041"/>
      <c r="BD773" s="3281"/>
      <c r="BH773" s="3282"/>
      <c r="BJ773" s="2589"/>
      <c r="BK773" s="2126"/>
      <c r="BL773" s="2126"/>
      <c r="BM773" s="2126"/>
      <c r="BN773" s="2126"/>
      <c r="BO773" s="2126"/>
      <c r="BP773" s="2126"/>
      <c r="BQ773" s="2126"/>
      <c r="BR773" s="2126"/>
      <c r="BS773" s="2126"/>
    </row>
    <row r="774" spans="1:71" s="3030" customFormat="1">
      <c r="A774" s="2126"/>
      <c r="B774" s="2126"/>
      <c r="C774" s="2149"/>
      <c r="D774" s="3248"/>
      <c r="E774" s="525"/>
      <c r="F774" s="525"/>
      <c r="G774" s="526"/>
      <c r="K774" s="3280"/>
      <c r="P774" s="3041"/>
      <c r="X774" s="3280"/>
      <c r="AA774" s="3041"/>
      <c r="AF774" s="3041"/>
      <c r="AN774" s="3280"/>
      <c r="AZ774" s="3041"/>
      <c r="BD774" s="3281"/>
      <c r="BH774" s="3282"/>
      <c r="BJ774" s="2589"/>
      <c r="BK774" s="2126"/>
      <c r="BL774" s="2126"/>
      <c r="BM774" s="2126"/>
      <c r="BN774" s="2126"/>
      <c r="BO774" s="2126"/>
      <c r="BP774" s="2126"/>
      <c r="BQ774" s="2126"/>
      <c r="BR774" s="2126"/>
      <c r="BS774" s="2126"/>
    </row>
    <row r="775" spans="1:71" s="3030" customFormat="1">
      <c r="A775" s="2126"/>
      <c r="B775" s="2126"/>
      <c r="C775" s="2149"/>
      <c r="D775" s="3248"/>
      <c r="E775" s="525"/>
      <c r="F775" s="525"/>
      <c r="G775" s="526"/>
      <c r="K775" s="3280"/>
      <c r="P775" s="3041"/>
      <c r="X775" s="3280"/>
      <c r="AA775" s="3041"/>
      <c r="AF775" s="3041"/>
      <c r="AN775" s="3280"/>
      <c r="AZ775" s="3041"/>
      <c r="BD775" s="3281"/>
      <c r="BH775" s="3282"/>
      <c r="BJ775" s="2589"/>
      <c r="BK775" s="2126"/>
      <c r="BL775" s="2126"/>
      <c r="BM775" s="2126"/>
      <c r="BN775" s="2126"/>
      <c r="BO775" s="2126"/>
      <c r="BP775" s="2126"/>
      <c r="BQ775" s="2126"/>
      <c r="BR775" s="2126"/>
      <c r="BS775" s="2126"/>
    </row>
    <row r="776" spans="1:71" s="3030" customFormat="1">
      <c r="A776" s="2126"/>
      <c r="B776" s="2126"/>
      <c r="C776" s="2149"/>
      <c r="D776" s="3248"/>
      <c r="E776" s="525"/>
      <c r="F776" s="525"/>
      <c r="G776" s="526"/>
      <c r="K776" s="3280"/>
      <c r="P776" s="3041"/>
      <c r="X776" s="3280"/>
      <c r="AA776" s="3041"/>
      <c r="AF776" s="3041"/>
      <c r="AN776" s="3280"/>
      <c r="AZ776" s="3041"/>
      <c r="BD776" s="3281"/>
      <c r="BH776" s="3282"/>
      <c r="BJ776" s="2589"/>
      <c r="BK776" s="2126"/>
      <c r="BL776" s="2126"/>
      <c r="BM776" s="2126"/>
      <c r="BN776" s="2126"/>
      <c r="BO776" s="2126"/>
      <c r="BP776" s="2126"/>
      <c r="BQ776" s="2126"/>
      <c r="BR776" s="2126"/>
      <c r="BS776" s="2126"/>
    </row>
    <row r="777" spans="1:71" s="3030" customFormat="1">
      <c r="A777" s="2126"/>
      <c r="B777" s="2126"/>
      <c r="C777" s="2149"/>
      <c r="D777" s="3248"/>
      <c r="E777" s="525"/>
      <c r="F777" s="525"/>
      <c r="G777" s="526"/>
      <c r="K777" s="3280"/>
      <c r="P777" s="3041"/>
      <c r="X777" s="3280"/>
      <c r="AA777" s="3041"/>
      <c r="AF777" s="3041"/>
      <c r="AN777" s="3280"/>
      <c r="AZ777" s="3041"/>
      <c r="BD777" s="3281"/>
      <c r="BH777" s="3282"/>
      <c r="BJ777" s="2589"/>
      <c r="BK777" s="2126"/>
      <c r="BL777" s="2126"/>
      <c r="BM777" s="2126"/>
      <c r="BN777" s="2126"/>
      <c r="BO777" s="2126"/>
      <c r="BP777" s="2126"/>
      <c r="BQ777" s="2126"/>
      <c r="BR777" s="2126"/>
      <c r="BS777" s="2126"/>
    </row>
    <row r="778" spans="1:71" s="3030" customFormat="1">
      <c r="A778" s="2126"/>
      <c r="B778" s="2126"/>
      <c r="C778" s="2149"/>
      <c r="D778" s="3248"/>
      <c r="E778" s="525"/>
      <c r="F778" s="525"/>
      <c r="G778" s="526"/>
      <c r="K778" s="3280"/>
      <c r="P778" s="3041"/>
      <c r="X778" s="3280"/>
      <c r="AA778" s="3041"/>
      <c r="AF778" s="3041"/>
      <c r="AN778" s="3280"/>
      <c r="AZ778" s="3041"/>
      <c r="BD778" s="3281"/>
      <c r="BH778" s="3282"/>
      <c r="BJ778" s="2589"/>
      <c r="BK778" s="2126"/>
      <c r="BL778" s="2126"/>
      <c r="BM778" s="2126"/>
      <c r="BN778" s="2126"/>
      <c r="BO778" s="2126"/>
      <c r="BP778" s="2126"/>
      <c r="BQ778" s="2126"/>
      <c r="BR778" s="2126"/>
      <c r="BS778" s="2126"/>
    </row>
    <row r="779" spans="1:71" s="3030" customFormat="1">
      <c r="A779" s="2126"/>
      <c r="B779" s="2126"/>
      <c r="C779" s="2149"/>
      <c r="D779" s="3248"/>
      <c r="E779" s="525"/>
      <c r="F779" s="525"/>
      <c r="G779" s="526"/>
      <c r="K779" s="3280"/>
      <c r="P779" s="3041"/>
      <c r="X779" s="3280"/>
      <c r="AA779" s="3041"/>
      <c r="AF779" s="3041"/>
      <c r="AN779" s="3280"/>
      <c r="AZ779" s="3041"/>
      <c r="BD779" s="3281"/>
      <c r="BH779" s="3282"/>
      <c r="BJ779" s="2589"/>
      <c r="BK779" s="2126"/>
      <c r="BL779" s="2126"/>
      <c r="BM779" s="2126"/>
      <c r="BN779" s="2126"/>
      <c r="BO779" s="2126"/>
      <c r="BP779" s="2126"/>
      <c r="BQ779" s="2126"/>
      <c r="BR779" s="2126"/>
      <c r="BS779" s="2126"/>
    </row>
    <row r="780" spans="1:71" s="3030" customFormat="1">
      <c r="A780" s="2126"/>
      <c r="B780" s="2126"/>
      <c r="C780" s="2149"/>
      <c r="D780" s="3248"/>
      <c r="E780" s="525"/>
      <c r="F780" s="525"/>
      <c r="G780" s="526"/>
      <c r="K780" s="3280"/>
      <c r="P780" s="3041"/>
      <c r="X780" s="3280"/>
      <c r="AA780" s="3041"/>
      <c r="AF780" s="3041"/>
      <c r="AN780" s="3280"/>
      <c r="AZ780" s="3041"/>
      <c r="BD780" s="3281"/>
      <c r="BH780" s="3282"/>
      <c r="BJ780" s="2589"/>
      <c r="BK780" s="2126"/>
      <c r="BL780" s="2126"/>
      <c r="BM780" s="2126"/>
      <c r="BN780" s="2126"/>
      <c r="BO780" s="2126"/>
      <c r="BP780" s="2126"/>
      <c r="BQ780" s="2126"/>
      <c r="BR780" s="2126"/>
      <c r="BS780" s="2126"/>
    </row>
    <row r="781" spans="1:71" s="3030" customFormat="1">
      <c r="A781" s="2126"/>
      <c r="B781" s="2126"/>
      <c r="C781" s="2149"/>
      <c r="D781" s="3248"/>
      <c r="E781" s="525"/>
      <c r="F781" s="525"/>
      <c r="G781" s="526"/>
      <c r="K781" s="3280"/>
      <c r="P781" s="3041"/>
      <c r="X781" s="3280"/>
      <c r="AA781" s="3041"/>
      <c r="AF781" s="3041"/>
      <c r="AN781" s="3280"/>
      <c r="AZ781" s="3041"/>
      <c r="BD781" s="3281"/>
      <c r="BH781" s="3282"/>
      <c r="BJ781" s="2589"/>
      <c r="BK781" s="2126"/>
      <c r="BL781" s="2126"/>
      <c r="BM781" s="2126"/>
      <c r="BN781" s="2126"/>
      <c r="BO781" s="2126"/>
      <c r="BP781" s="2126"/>
      <c r="BQ781" s="2126"/>
      <c r="BR781" s="2126"/>
      <c r="BS781" s="2126"/>
    </row>
    <row r="782" spans="1:71" s="3030" customFormat="1">
      <c r="A782" s="2126"/>
      <c r="B782" s="2126"/>
      <c r="C782" s="2149"/>
      <c r="D782" s="3248"/>
      <c r="E782" s="525"/>
      <c r="F782" s="525"/>
      <c r="G782" s="526"/>
      <c r="K782" s="3280"/>
      <c r="P782" s="3041"/>
      <c r="X782" s="3280"/>
      <c r="AA782" s="3041"/>
      <c r="AF782" s="3041"/>
      <c r="AN782" s="3280"/>
      <c r="AZ782" s="3041"/>
      <c r="BD782" s="3281"/>
      <c r="BH782" s="3282"/>
      <c r="BJ782" s="2589"/>
      <c r="BK782" s="2126"/>
      <c r="BL782" s="2126"/>
      <c r="BM782" s="2126"/>
      <c r="BN782" s="2126"/>
      <c r="BO782" s="2126"/>
      <c r="BP782" s="2126"/>
      <c r="BQ782" s="2126"/>
      <c r="BR782" s="2126"/>
      <c r="BS782" s="2126"/>
    </row>
    <row r="783" spans="1:71" s="3030" customFormat="1">
      <c r="A783" s="2126"/>
      <c r="B783" s="2126"/>
      <c r="C783" s="2149"/>
      <c r="D783" s="3248"/>
      <c r="E783" s="525"/>
      <c r="F783" s="525"/>
      <c r="G783" s="526"/>
      <c r="K783" s="3280"/>
      <c r="P783" s="3041"/>
      <c r="X783" s="3280"/>
      <c r="AA783" s="3041"/>
      <c r="AF783" s="3041"/>
      <c r="AN783" s="3280"/>
      <c r="AZ783" s="3041"/>
      <c r="BD783" s="3281"/>
      <c r="BH783" s="3282"/>
      <c r="BJ783" s="2589"/>
      <c r="BK783" s="2126"/>
      <c r="BL783" s="2126"/>
      <c r="BM783" s="2126"/>
      <c r="BN783" s="2126"/>
      <c r="BO783" s="2126"/>
      <c r="BP783" s="2126"/>
      <c r="BQ783" s="2126"/>
      <c r="BR783" s="2126"/>
      <c r="BS783" s="2126"/>
    </row>
    <row r="784" spans="1:71" s="3030" customFormat="1">
      <c r="A784" s="2126"/>
      <c r="B784" s="2126"/>
      <c r="C784" s="2149"/>
      <c r="D784" s="3248"/>
      <c r="E784" s="525"/>
      <c r="F784" s="525"/>
      <c r="G784" s="526"/>
      <c r="K784" s="3280"/>
      <c r="P784" s="3041"/>
      <c r="X784" s="3280"/>
      <c r="AA784" s="3041"/>
      <c r="AF784" s="3041"/>
      <c r="AN784" s="3280"/>
      <c r="AZ784" s="3041"/>
      <c r="BD784" s="3281"/>
      <c r="BH784" s="3282"/>
      <c r="BJ784" s="2589"/>
      <c r="BK784" s="2126"/>
      <c r="BL784" s="2126"/>
      <c r="BM784" s="2126"/>
      <c r="BN784" s="2126"/>
      <c r="BO784" s="2126"/>
      <c r="BP784" s="2126"/>
      <c r="BQ784" s="2126"/>
      <c r="BR784" s="2126"/>
      <c r="BS784" s="2126"/>
    </row>
    <row r="785" spans="1:71" s="3030" customFormat="1">
      <c r="A785" s="2126"/>
      <c r="B785" s="2126"/>
      <c r="C785" s="2149"/>
      <c r="D785" s="3248"/>
      <c r="E785" s="525"/>
      <c r="F785" s="525"/>
      <c r="G785" s="526"/>
      <c r="K785" s="3280"/>
      <c r="P785" s="3041"/>
      <c r="X785" s="3280"/>
      <c r="AA785" s="3041"/>
      <c r="AF785" s="3041"/>
      <c r="AN785" s="3280"/>
      <c r="AZ785" s="3041"/>
      <c r="BD785" s="3281"/>
      <c r="BH785" s="3282"/>
      <c r="BJ785" s="2589"/>
      <c r="BK785" s="2126"/>
      <c r="BL785" s="2126"/>
      <c r="BM785" s="2126"/>
      <c r="BN785" s="2126"/>
      <c r="BO785" s="2126"/>
      <c r="BP785" s="2126"/>
      <c r="BQ785" s="2126"/>
      <c r="BR785" s="2126"/>
      <c r="BS785" s="2126"/>
    </row>
    <row r="786" spans="1:71" s="3030" customFormat="1">
      <c r="A786" s="2126"/>
      <c r="B786" s="2126"/>
      <c r="C786" s="2149"/>
      <c r="D786" s="3248"/>
      <c r="E786" s="525"/>
      <c r="F786" s="525"/>
      <c r="G786" s="526"/>
      <c r="K786" s="3280"/>
      <c r="P786" s="3041"/>
      <c r="X786" s="3280"/>
      <c r="AA786" s="3041"/>
      <c r="AF786" s="3041"/>
      <c r="AN786" s="3280"/>
      <c r="AZ786" s="3041"/>
      <c r="BD786" s="3281"/>
      <c r="BH786" s="3282"/>
      <c r="BJ786" s="2589"/>
      <c r="BK786" s="2126"/>
      <c r="BL786" s="2126"/>
      <c r="BM786" s="2126"/>
      <c r="BN786" s="2126"/>
      <c r="BO786" s="2126"/>
      <c r="BP786" s="2126"/>
      <c r="BQ786" s="2126"/>
      <c r="BR786" s="2126"/>
      <c r="BS786" s="2126"/>
    </row>
    <row r="787" spans="1:71" s="3030" customFormat="1">
      <c r="A787" s="2126"/>
      <c r="B787" s="2126"/>
      <c r="C787" s="2149"/>
      <c r="D787" s="3248"/>
      <c r="E787" s="525"/>
      <c r="F787" s="525"/>
      <c r="G787" s="526"/>
      <c r="K787" s="3280"/>
      <c r="P787" s="3041"/>
      <c r="X787" s="3280"/>
      <c r="AA787" s="3041"/>
      <c r="AF787" s="3041"/>
      <c r="AN787" s="3280"/>
      <c r="AZ787" s="3041"/>
      <c r="BD787" s="3281"/>
      <c r="BH787" s="3282"/>
      <c r="BJ787" s="2589"/>
      <c r="BK787" s="2126"/>
      <c r="BL787" s="2126"/>
      <c r="BM787" s="2126"/>
      <c r="BN787" s="2126"/>
      <c r="BO787" s="2126"/>
      <c r="BP787" s="2126"/>
      <c r="BQ787" s="2126"/>
      <c r="BR787" s="2126"/>
      <c r="BS787" s="2126"/>
    </row>
    <row r="788" spans="1:71" s="3030" customFormat="1">
      <c r="A788" s="2126"/>
      <c r="B788" s="2126"/>
      <c r="C788" s="2149"/>
      <c r="D788" s="3248"/>
      <c r="E788" s="525"/>
      <c r="F788" s="525"/>
      <c r="G788" s="526"/>
      <c r="K788" s="3280"/>
      <c r="P788" s="3041"/>
      <c r="X788" s="3280"/>
      <c r="AA788" s="3041"/>
      <c r="AF788" s="3041"/>
      <c r="AN788" s="3280"/>
      <c r="AZ788" s="3041"/>
      <c r="BD788" s="3281"/>
      <c r="BH788" s="3282"/>
      <c r="BJ788" s="2589"/>
      <c r="BK788" s="2126"/>
      <c r="BL788" s="2126"/>
      <c r="BM788" s="2126"/>
      <c r="BN788" s="2126"/>
      <c r="BO788" s="2126"/>
      <c r="BP788" s="2126"/>
      <c r="BQ788" s="2126"/>
      <c r="BR788" s="2126"/>
      <c r="BS788" s="2126"/>
    </row>
    <row r="789" spans="1:71" s="3030" customFormat="1">
      <c r="A789" s="2126"/>
      <c r="B789" s="2126"/>
      <c r="C789" s="2149"/>
      <c r="D789" s="3248"/>
      <c r="E789" s="525"/>
      <c r="F789" s="525"/>
      <c r="G789" s="526"/>
      <c r="K789" s="3280"/>
      <c r="P789" s="3041"/>
      <c r="X789" s="3280"/>
      <c r="AA789" s="3041"/>
      <c r="AF789" s="3041"/>
      <c r="AN789" s="3280"/>
      <c r="AZ789" s="3041"/>
      <c r="BD789" s="3281"/>
      <c r="BH789" s="3282"/>
      <c r="BJ789" s="2589"/>
      <c r="BK789" s="2126"/>
      <c r="BL789" s="2126"/>
      <c r="BM789" s="2126"/>
      <c r="BN789" s="2126"/>
      <c r="BO789" s="2126"/>
      <c r="BP789" s="2126"/>
      <c r="BQ789" s="2126"/>
      <c r="BR789" s="2126"/>
      <c r="BS789" s="2126"/>
    </row>
    <row r="790" spans="1:71" s="3030" customFormat="1">
      <c r="A790" s="2126"/>
      <c r="B790" s="2126"/>
      <c r="C790" s="2149"/>
      <c r="D790" s="3248"/>
      <c r="E790" s="525"/>
      <c r="F790" s="525"/>
      <c r="G790" s="526"/>
      <c r="K790" s="3280"/>
      <c r="P790" s="3041"/>
      <c r="X790" s="3280"/>
      <c r="AA790" s="3041"/>
      <c r="AF790" s="3041"/>
      <c r="AN790" s="3280"/>
      <c r="AZ790" s="3041"/>
      <c r="BD790" s="3281"/>
      <c r="BH790" s="3282"/>
      <c r="BJ790" s="2589"/>
      <c r="BK790" s="2126"/>
      <c r="BL790" s="2126"/>
      <c r="BM790" s="2126"/>
      <c r="BN790" s="2126"/>
      <c r="BO790" s="2126"/>
      <c r="BP790" s="2126"/>
      <c r="BQ790" s="2126"/>
      <c r="BR790" s="2126"/>
      <c r="BS790" s="2126"/>
    </row>
    <row r="791" spans="1:71" s="3030" customFormat="1">
      <c r="A791" s="2126"/>
      <c r="B791" s="2126"/>
      <c r="C791" s="2149"/>
      <c r="D791" s="3248"/>
      <c r="E791" s="525"/>
      <c r="F791" s="525"/>
      <c r="G791" s="526"/>
      <c r="K791" s="3280"/>
      <c r="P791" s="3041"/>
      <c r="X791" s="3280"/>
      <c r="AA791" s="3041"/>
      <c r="AF791" s="3041"/>
      <c r="AN791" s="3280"/>
      <c r="AZ791" s="3041"/>
      <c r="BD791" s="3281"/>
      <c r="BH791" s="3282"/>
      <c r="BJ791" s="2589"/>
      <c r="BK791" s="2126"/>
      <c r="BL791" s="2126"/>
      <c r="BM791" s="2126"/>
      <c r="BN791" s="2126"/>
      <c r="BO791" s="2126"/>
      <c r="BP791" s="2126"/>
      <c r="BQ791" s="2126"/>
      <c r="BR791" s="2126"/>
      <c r="BS791" s="2126"/>
    </row>
    <row r="792" spans="1:71" s="3030" customFormat="1">
      <c r="A792" s="2126"/>
      <c r="B792" s="2126"/>
      <c r="C792" s="2149"/>
      <c r="D792" s="3248"/>
      <c r="E792" s="525"/>
      <c r="F792" s="525"/>
      <c r="G792" s="526"/>
      <c r="K792" s="3280"/>
      <c r="P792" s="3041"/>
      <c r="X792" s="3280"/>
      <c r="AA792" s="3041"/>
      <c r="AF792" s="3041"/>
      <c r="AN792" s="3280"/>
      <c r="AZ792" s="3041"/>
      <c r="BD792" s="3281"/>
      <c r="BH792" s="3282"/>
      <c r="BJ792" s="2589"/>
      <c r="BK792" s="2126"/>
      <c r="BL792" s="2126"/>
      <c r="BM792" s="2126"/>
      <c r="BN792" s="2126"/>
      <c r="BO792" s="2126"/>
      <c r="BP792" s="2126"/>
      <c r="BQ792" s="2126"/>
      <c r="BR792" s="2126"/>
      <c r="BS792" s="2126"/>
    </row>
    <row r="793" spans="1:71" s="3030" customFormat="1">
      <c r="A793" s="2126"/>
      <c r="B793" s="2126"/>
      <c r="C793" s="2149"/>
      <c r="D793" s="3248"/>
      <c r="E793" s="525"/>
      <c r="F793" s="525"/>
      <c r="G793" s="526"/>
      <c r="K793" s="3280"/>
      <c r="P793" s="3041"/>
      <c r="X793" s="3280"/>
      <c r="AA793" s="3041"/>
      <c r="AF793" s="3041"/>
      <c r="AN793" s="3280"/>
      <c r="AZ793" s="3041"/>
      <c r="BD793" s="3281"/>
      <c r="BH793" s="3282"/>
      <c r="BJ793" s="2589"/>
      <c r="BK793" s="2126"/>
      <c r="BL793" s="2126"/>
      <c r="BM793" s="2126"/>
      <c r="BN793" s="2126"/>
      <c r="BO793" s="2126"/>
      <c r="BP793" s="2126"/>
      <c r="BQ793" s="2126"/>
      <c r="BR793" s="2126"/>
      <c r="BS793" s="2126"/>
    </row>
    <row r="794" spans="1:71" s="3030" customFormat="1">
      <c r="A794" s="2126"/>
      <c r="B794" s="2126"/>
      <c r="C794" s="2149"/>
      <c r="D794" s="3248"/>
      <c r="E794" s="525"/>
      <c r="F794" s="525"/>
      <c r="G794" s="526"/>
      <c r="K794" s="3280"/>
      <c r="P794" s="3041"/>
      <c r="X794" s="3280"/>
      <c r="AA794" s="3041"/>
      <c r="AF794" s="3041"/>
      <c r="AN794" s="3280"/>
      <c r="AZ794" s="3041"/>
      <c r="BD794" s="3281"/>
      <c r="BH794" s="3282"/>
      <c r="BJ794" s="2589"/>
      <c r="BK794" s="2126"/>
      <c r="BL794" s="2126"/>
      <c r="BM794" s="2126"/>
      <c r="BN794" s="2126"/>
      <c r="BO794" s="2126"/>
      <c r="BP794" s="2126"/>
      <c r="BQ794" s="2126"/>
      <c r="BR794" s="2126"/>
      <c r="BS794" s="2126"/>
    </row>
    <row r="795" spans="1:71" s="3030" customFormat="1">
      <c r="A795" s="2126"/>
      <c r="B795" s="2126"/>
      <c r="C795" s="2149"/>
      <c r="D795" s="3248"/>
      <c r="E795" s="525"/>
      <c r="F795" s="525"/>
      <c r="G795" s="526"/>
      <c r="K795" s="3280"/>
      <c r="P795" s="3041"/>
      <c r="X795" s="3280"/>
      <c r="AA795" s="3041"/>
      <c r="AF795" s="3041"/>
      <c r="AN795" s="3280"/>
      <c r="AZ795" s="3041"/>
      <c r="BD795" s="3281"/>
      <c r="BH795" s="3282"/>
      <c r="BJ795" s="2589"/>
      <c r="BK795" s="2126"/>
      <c r="BL795" s="2126"/>
      <c r="BM795" s="2126"/>
      <c r="BN795" s="2126"/>
      <c r="BO795" s="2126"/>
      <c r="BP795" s="2126"/>
      <c r="BQ795" s="2126"/>
      <c r="BR795" s="2126"/>
      <c r="BS795" s="2126"/>
    </row>
    <row r="796" spans="1:71" s="3030" customFormat="1">
      <c r="A796" s="2126"/>
      <c r="B796" s="2126"/>
      <c r="C796" s="2149"/>
      <c r="D796" s="3248"/>
      <c r="E796" s="525"/>
      <c r="F796" s="525"/>
      <c r="G796" s="526"/>
      <c r="K796" s="3280"/>
      <c r="P796" s="3041"/>
      <c r="X796" s="3280"/>
      <c r="AA796" s="3041"/>
      <c r="AF796" s="3041"/>
      <c r="AN796" s="3280"/>
      <c r="AZ796" s="3041"/>
      <c r="BD796" s="3281"/>
      <c r="BH796" s="3282"/>
      <c r="BJ796" s="2589"/>
      <c r="BK796" s="2126"/>
      <c r="BL796" s="2126"/>
      <c r="BM796" s="2126"/>
      <c r="BN796" s="2126"/>
      <c r="BO796" s="2126"/>
      <c r="BP796" s="2126"/>
      <c r="BQ796" s="2126"/>
      <c r="BR796" s="2126"/>
      <c r="BS796" s="2126"/>
    </row>
    <row r="797" spans="1:71" s="3030" customFormat="1">
      <c r="A797" s="2126"/>
      <c r="B797" s="2126"/>
      <c r="C797" s="2149"/>
      <c r="D797" s="3248"/>
      <c r="E797" s="525"/>
      <c r="F797" s="525"/>
      <c r="G797" s="526"/>
      <c r="K797" s="3280"/>
      <c r="P797" s="3041"/>
      <c r="X797" s="3280"/>
      <c r="AA797" s="3041"/>
      <c r="AF797" s="3041"/>
      <c r="AN797" s="3280"/>
      <c r="AZ797" s="3041"/>
      <c r="BD797" s="3281"/>
      <c r="BH797" s="3282"/>
      <c r="BJ797" s="2589"/>
      <c r="BK797" s="2126"/>
      <c r="BL797" s="2126"/>
      <c r="BM797" s="2126"/>
      <c r="BN797" s="2126"/>
      <c r="BO797" s="2126"/>
      <c r="BP797" s="2126"/>
      <c r="BQ797" s="2126"/>
      <c r="BR797" s="2126"/>
      <c r="BS797" s="2126"/>
    </row>
    <row r="798" spans="1:71" s="3030" customFormat="1">
      <c r="A798" s="2126"/>
      <c r="B798" s="2126"/>
      <c r="C798" s="2149"/>
      <c r="D798" s="3248"/>
      <c r="E798" s="525"/>
      <c r="F798" s="525"/>
      <c r="G798" s="526"/>
      <c r="K798" s="3280"/>
      <c r="P798" s="3041"/>
      <c r="X798" s="3280"/>
      <c r="AA798" s="3041"/>
      <c r="AF798" s="3041"/>
      <c r="AN798" s="3280"/>
      <c r="AZ798" s="3041"/>
      <c r="BD798" s="3281"/>
      <c r="BH798" s="3282"/>
      <c r="BJ798" s="2589"/>
      <c r="BK798" s="2126"/>
      <c r="BL798" s="2126"/>
      <c r="BM798" s="2126"/>
      <c r="BN798" s="2126"/>
      <c r="BO798" s="2126"/>
      <c r="BP798" s="2126"/>
      <c r="BQ798" s="2126"/>
      <c r="BR798" s="2126"/>
      <c r="BS798" s="2126"/>
    </row>
    <row r="799" spans="1:71" s="3030" customFormat="1">
      <c r="A799" s="2126"/>
      <c r="B799" s="2126"/>
      <c r="C799" s="2149"/>
      <c r="D799" s="3248"/>
      <c r="E799" s="525"/>
      <c r="F799" s="525"/>
      <c r="G799" s="526"/>
      <c r="K799" s="3280"/>
      <c r="P799" s="3041"/>
      <c r="X799" s="3280"/>
      <c r="AA799" s="3041"/>
      <c r="AF799" s="3041"/>
      <c r="AN799" s="3280"/>
      <c r="AZ799" s="3041"/>
      <c r="BD799" s="3281"/>
      <c r="BH799" s="3282"/>
      <c r="BJ799" s="2589"/>
      <c r="BK799" s="2126"/>
      <c r="BL799" s="2126"/>
      <c r="BM799" s="2126"/>
      <c r="BN799" s="2126"/>
      <c r="BO799" s="2126"/>
      <c r="BP799" s="2126"/>
      <c r="BQ799" s="2126"/>
      <c r="BR799" s="2126"/>
      <c r="BS799" s="2126"/>
    </row>
    <row r="800" spans="1:71" s="3030" customFormat="1">
      <c r="A800" s="2126"/>
      <c r="B800" s="2126"/>
      <c r="C800" s="2149"/>
      <c r="D800" s="3248"/>
      <c r="E800" s="525"/>
      <c r="F800" s="525"/>
      <c r="G800" s="526"/>
      <c r="K800" s="3280"/>
      <c r="P800" s="3041"/>
      <c r="X800" s="3280"/>
      <c r="AA800" s="3041"/>
      <c r="AF800" s="3041"/>
      <c r="AN800" s="3280"/>
      <c r="AZ800" s="3041"/>
      <c r="BD800" s="3281"/>
      <c r="BH800" s="3282"/>
      <c r="BJ800" s="2589"/>
      <c r="BK800" s="2126"/>
      <c r="BL800" s="2126"/>
      <c r="BM800" s="2126"/>
      <c r="BN800" s="2126"/>
      <c r="BO800" s="2126"/>
      <c r="BP800" s="2126"/>
      <c r="BQ800" s="2126"/>
      <c r="BR800" s="2126"/>
      <c r="BS800" s="2126"/>
    </row>
    <row r="801" spans="1:71" s="3030" customFormat="1">
      <c r="A801" s="2126"/>
      <c r="B801" s="2126"/>
      <c r="C801" s="2149"/>
      <c r="D801" s="3248"/>
      <c r="E801" s="525"/>
      <c r="F801" s="525"/>
      <c r="G801" s="526"/>
      <c r="K801" s="3280"/>
      <c r="P801" s="3041"/>
      <c r="X801" s="3280"/>
      <c r="AA801" s="3041"/>
      <c r="AF801" s="3041"/>
      <c r="AN801" s="3280"/>
      <c r="AZ801" s="3041"/>
      <c r="BD801" s="3281"/>
      <c r="BH801" s="3282"/>
      <c r="BJ801" s="2589"/>
      <c r="BK801" s="2126"/>
      <c r="BL801" s="2126"/>
      <c r="BM801" s="2126"/>
      <c r="BN801" s="2126"/>
      <c r="BO801" s="2126"/>
      <c r="BP801" s="2126"/>
      <c r="BQ801" s="2126"/>
      <c r="BR801" s="2126"/>
      <c r="BS801" s="2126"/>
    </row>
    <row r="802" spans="1:71" s="3030" customFormat="1">
      <c r="A802" s="2126"/>
      <c r="B802" s="2126"/>
      <c r="C802" s="2149"/>
      <c r="D802" s="3248"/>
      <c r="E802" s="525"/>
      <c r="F802" s="525"/>
      <c r="G802" s="526"/>
      <c r="K802" s="3280"/>
      <c r="P802" s="3041"/>
      <c r="X802" s="3280"/>
      <c r="AA802" s="3041"/>
      <c r="AF802" s="3041"/>
      <c r="AN802" s="3280"/>
      <c r="AZ802" s="3041"/>
      <c r="BD802" s="3281"/>
      <c r="BH802" s="3282"/>
      <c r="BJ802" s="2589"/>
      <c r="BK802" s="2126"/>
      <c r="BL802" s="2126"/>
      <c r="BM802" s="2126"/>
      <c r="BN802" s="2126"/>
      <c r="BO802" s="2126"/>
      <c r="BP802" s="2126"/>
      <c r="BQ802" s="2126"/>
      <c r="BR802" s="2126"/>
      <c r="BS802" s="2126"/>
    </row>
    <row r="803" spans="1:71" s="3030" customFormat="1">
      <c r="A803" s="2126"/>
      <c r="B803" s="2126"/>
      <c r="C803" s="2149"/>
      <c r="D803" s="3248"/>
      <c r="E803" s="525"/>
      <c r="F803" s="525"/>
      <c r="G803" s="526"/>
      <c r="K803" s="3280"/>
      <c r="P803" s="3041"/>
      <c r="X803" s="3280"/>
      <c r="AA803" s="3041"/>
      <c r="AF803" s="3041"/>
      <c r="AN803" s="3280"/>
      <c r="AZ803" s="3041"/>
      <c r="BD803" s="3281"/>
      <c r="BH803" s="3282"/>
      <c r="BJ803" s="2589"/>
      <c r="BK803" s="2126"/>
      <c r="BL803" s="2126"/>
      <c r="BM803" s="2126"/>
      <c r="BN803" s="2126"/>
      <c r="BO803" s="2126"/>
      <c r="BP803" s="2126"/>
      <c r="BQ803" s="2126"/>
      <c r="BR803" s="2126"/>
      <c r="BS803" s="2126"/>
    </row>
    <row r="804" spans="1:71" s="3030" customFormat="1">
      <c r="A804" s="2126"/>
      <c r="B804" s="2126"/>
      <c r="C804" s="2149"/>
      <c r="D804" s="3248"/>
      <c r="E804" s="525"/>
      <c r="F804" s="525"/>
      <c r="G804" s="526"/>
      <c r="K804" s="3280"/>
      <c r="P804" s="3041"/>
      <c r="X804" s="3280"/>
      <c r="AA804" s="3041"/>
      <c r="AF804" s="3041"/>
      <c r="AN804" s="3280"/>
      <c r="AZ804" s="3041"/>
      <c r="BD804" s="3281"/>
      <c r="BH804" s="3282"/>
      <c r="BJ804" s="2589"/>
      <c r="BK804" s="2126"/>
      <c r="BL804" s="2126"/>
      <c r="BM804" s="2126"/>
      <c r="BN804" s="2126"/>
      <c r="BO804" s="2126"/>
      <c r="BP804" s="2126"/>
      <c r="BQ804" s="2126"/>
      <c r="BR804" s="2126"/>
      <c r="BS804" s="2126"/>
    </row>
    <row r="805" spans="1:71" s="3030" customFormat="1">
      <c r="A805" s="2126"/>
      <c r="B805" s="2126"/>
      <c r="C805" s="2149"/>
      <c r="D805" s="3248"/>
      <c r="E805" s="525"/>
      <c r="F805" s="525"/>
      <c r="G805" s="526"/>
      <c r="K805" s="3280"/>
      <c r="P805" s="3041"/>
      <c r="X805" s="3280"/>
      <c r="AA805" s="3041"/>
      <c r="AF805" s="3041"/>
      <c r="AN805" s="3280"/>
      <c r="AZ805" s="3041"/>
      <c r="BD805" s="3281"/>
      <c r="BH805" s="3282"/>
      <c r="BJ805" s="2589"/>
      <c r="BK805" s="2126"/>
      <c r="BL805" s="2126"/>
      <c r="BM805" s="2126"/>
      <c r="BN805" s="2126"/>
      <c r="BO805" s="2126"/>
      <c r="BP805" s="2126"/>
      <c r="BQ805" s="2126"/>
      <c r="BR805" s="2126"/>
      <c r="BS805" s="2126"/>
    </row>
    <row r="806" spans="1:71" s="3030" customFormat="1">
      <c r="A806" s="2126"/>
      <c r="B806" s="2126"/>
      <c r="C806" s="2149"/>
      <c r="D806" s="3248"/>
      <c r="E806" s="525"/>
      <c r="F806" s="525"/>
      <c r="G806" s="526"/>
      <c r="K806" s="3280"/>
      <c r="P806" s="3041"/>
      <c r="X806" s="3280"/>
      <c r="AA806" s="3041"/>
      <c r="AF806" s="3041"/>
      <c r="AN806" s="3280"/>
      <c r="AZ806" s="3041"/>
      <c r="BD806" s="3281"/>
      <c r="BH806" s="3282"/>
      <c r="BJ806" s="2589"/>
      <c r="BK806" s="2126"/>
      <c r="BL806" s="2126"/>
      <c r="BM806" s="2126"/>
      <c r="BN806" s="2126"/>
      <c r="BO806" s="2126"/>
      <c r="BP806" s="2126"/>
      <c r="BQ806" s="2126"/>
      <c r="BR806" s="2126"/>
      <c r="BS806" s="2126"/>
    </row>
    <row r="807" spans="1:71" s="3030" customFormat="1">
      <c r="A807" s="2126"/>
      <c r="B807" s="2126"/>
      <c r="C807" s="2149"/>
      <c r="D807" s="3248"/>
      <c r="E807" s="525"/>
      <c r="F807" s="525"/>
      <c r="G807" s="526"/>
      <c r="K807" s="3280"/>
      <c r="P807" s="3041"/>
      <c r="X807" s="3280"/>
      <c r="AA807" s="3041"/>
      <c r="AF807" s="3041"/>
      <c r="AN807" s="3280"/>
      <c r="AZ807" s="3041"/>
      <c r="BD807" s="3281"/>
      <c r="BH807" s="3282"/>
      <c r="BJ807" s="2589"/>
      <c r="BK807" s="2126"/>
      <c r="BL807" s="2126"/>
      <c r="BM807" s="2126"/>
      <c r="BN807" s="2126"/>
      <c r="BO807" s="2126"/>
      <c r="BP807" s="2126"/>
      <c r="BQ807" s="2126"/>
      <c r="BR807" s="2126"/>
      <c r="BS807" s="2126"/>
    </row>
    <row r="808" spans="1:71" s="3030" customFormat="1">
      <c r="A808" s="2126"/>
      <c r="B808" s="2126"/>
      <c r="C808" s="2149"/>
      <c r="D808" s="3248"/>
      <c r="E808" s="525"/>
      <c r="F808" s="525"/>
      <c r="G808" s="526"/>
      <c r="K808" s="3280"/>
      <c r="P808" s="3041"/>
      <c r="X808" s="3280"/>
      <c r="AA808" s="3041"/>
      <c r="AF808" s="3041"/>
      <c r="AN808" s="3280"/>
      <c r="AZ808" s="3041"/>
      <c r="BD808" s="3281"/>
      <c r="BH808" s="3282"/>
      <c r="BJ808" s="2589"/>
      <c r="BK808" s="2126"/>
      <c r="BL808" s="2126"/>
      <c r="BM808" s="2126"/>
      <c r="BN808" s="2126"/>
      <c r="BO808" s="2126"/>
      <c r="BP808" s="2126"/>
      <c r="BQ808" s="2126"/>
      <c r="BR808" s="2126"/>
      <c r="BS808" s="2126"/>
    </row>
    <row r="809" spans="1:71" s="3030" customFormat="1">
      <c r="A809" s="2126"/>
      <c r="B809" s="2126"/>
      <c r="C809" s="2149"/>
      <c r="D809" s="3248"/>
      <c r="E809" s="525"/>
      <c r="F809" s="525"/>
      <c r="G809" s="526"/>
      <c r="K809" s="3280"/>
      <c r="P809" s="3041"/>
      <c r="X809" s="3280"/>
      <c r="AA809" s="3041"/>
      <c r="AF809" s="3041"/>
      <c r="AN809" s="3280"/>
      <c r="AZ809" s="3041"/>
      <c r="BD809" s="3281"/>
      <c r="BH809" s="3282"/>
      <c r="BJ809" s="2589"/>
      <c r="BK809" s="2126"/>
      <c r="BL809" s="2126"/>
      <c r="BM809" s="2126"/>
      <c r="BN809" s="2126"/>
      <c r="BO809" s="2126"/>
      <c r="BP809" s="2126"/>
      <c r="BQ809" s="2126"/>
      <c r="BR809" s="2126"/>
      <c r="BS809" s="2126"/>
    </row>
    <row r="810" spans="1:71" s="3030" customFormat="1">
      <c r="A810" s="2126"/>
      <c r="B810" s="2126"/>
      <c r="C810" s="2149"/>
      <c r="D810" s="3248"/>
      <c r="E810" s="525"/>
      <c r="F810" s="525"/>
      <c r="G810" s="526"/>
      <c r="K810" s="3280"/>
      <c r="P810" s="3041"/>
      <c r="X810" s="3280"/>
      <c r="AA810" s="3041"/>
      <c r="AF810" s="3041"/>
      <c r="AN810" s="3280"/>
      <c r="AZ810" s="3041"/>
      <c r="BD810" s="3281"/>
      <c r="BH810" s="3282"/>
      <c r="BJ810" s="2589"/>
      <c r="BK810" s="2126"/>
      <c r="BL810" s="2126"/>
      <c r="BM810" s="2126"/>
      <c r="BN810" s="2126"/>
      <c r="BO810" s="2126"/>
      <c r="BP810" s="2126"/>
      <c r="BQ810" s="2126"/>
      <c r="BR810" s="2126"/>
      <c r="BS810" s="2126"/>
    </row>
    <row r="811" spans="1:71" s="3030" customFormat="1">
      <c r="A811" s="2126"/>
      <c r="B811" s="2126"/>
      <c r="C811" s="2149"/>
      <c r="D811" s="3248"/>
      <c r="E811" s="525"/>
      <c r="F811" s="525"/>
      <c r="G811" s="526"/>
      <c r="K811" s="3280"/>
      <c r="P811" s="3041"/>
      <c r="X811" s="3280"/>
      <c r="AA811" s="3041"/>
      <c r="AF811" s="3041"/>
      <c r="AN811" s="3280"/>
      <c r="AZ811" s="3041"/>
      <c r="BD811" s="3281"/>
      <c r="BH811" s="3282"/>
      <c r="BJ811" s="2589"/>
      <c r="BK811" s="2126"/>
      <c r="BL811" s="2126"/>
      <c r="BM811" s="2126"/>
      <c r="BN811" s="2126"/>
      <c r="BO811" s="2126"/>
      <c r="BP811" s="2126"/>
      <c r="BQ811" s="2126"/>
      <c r="BR811" s="2126"/>
      <c r="BS811" s="2126"/>
    </row>
    <row r="812" spans="1:71" s="3030" customFormat="1">
      <c r="A812" s="2126"/>
      <c r="B812" s="2126"/>
      <c r="C812" s="2149"/>
      <c r="D812" s="3248"/>
      <c r="E812" s="525"/>
      <c r="F812" s="525"/>
      <c r="G812" s="526"/>
      <c r="K812" s="3280"/>
      <c r="P812" s="3041"/>
      <c r="X812" s="3280"/>
      <c r="AA812" s="3041"/>
      <c r="AF812" s="3041"/>
      <c r="AN812" s="3280"/>
      <c r="AZ812" s="3041"/>
      <c r="BD812" s="3281"/>
      <c r="BH812" s="3282"/>
      <c r="BJ812" s="2589"/>
      <c r="BK812" s="2126"/>
      <c r="BL812" s="2126"/>
      <c r="BM812" s="2126"/>
      <c r="BN812" s="2126"/>
      <c r="BO812" s="2126"/>
      <c r="BP812" s="2126"/>
      <c r="BQ812" s="2126"/>
      <c r="BR812" s="2126"/>
      <c r="BS812" s="2126"/>
    </row>
    <row r="813" spans="1:71" s="3030" customFormat="1">
      <c r="A813" s="2126"/>
      <c r="B813" s="2126"/>
      <c r="C813" s="2149"/>
      <c r="D813" s="3248"/>
      <c r="E813" s="525"/>
      <c r="F813" s="525"/>
      <c r="G813" s="526"/>
      <c r="K813" s="3280"/>
      <c r="P813" s="3041"/>
      <c r="X813" s="3280"/>
      <c r="AA813" s="3041"/>
      <c r="AF813" s="3041"/>
      <c r="AN813" s="3280"/>
      <c r="AZ813" s="3041"/>
      <c r="BD813" s="3281"/>
      <c r="BH813" s="3282"/>
      <c r="BJ813" s="2589"/>
      <c r="BK813" s="2126"/>
      <c r="BL813" s="2126"/>
      <c r="BM813" s="2126"/>
      <c r="BN813" s="2126"/>
      <c r="BO813" s="2126"/>
      <c r="BP813" s="2126"/>
      <c r="BQ813" s="2126"/>
      <c r="BR813" s="2126"/>
      <c r="BS813" s="2126"/>
    </row>
    <row r="814" spans="1:71" s="3030" customFormat="1">
      <c r="A814" s="2126"/>
      <c r="B814" s="2126"/>
      <c r="C814" s="2149"/>
      <c r="D814" s="3248"/>
      <c r="E814" s="525"/>
      <c r="F814" s="525"/>
      <c r="G814" s="526"/>
      <c r="K814" s="3280"/>
      <c r="P814" s="3041"/>
      <c r="X814" s="3280"/>
      <c r="AA814" s="3041"/>
      <c r="AF814" s="3041"/>
      <c r="AN814" s="3280"/>
      <c r="AZ814" s="3041"/>
      <c r="BD814" s="3281"/>
      <c r="BH814" s="3282"/>
      <c r="BJ814" s="2589"/>
      <c r="BK814" s="2126"/>
      <c r="BL814" s="2126"/>
      <c r="BM814" s="2126"/>
      <c r="BN814" s="2126"/>
      <c r="BO814" s="2126"/>
      <c r="BP814" s="2126"/>
      <c r="BQ814" s="2126"/>
      <c r="BR814" s="2126"/>
      <c r="BS814" s="2126"/>
    </row>
    <row r="815" spans="1:71" s="3030" customFormat="1">
      <c r="A815" s="2126"/>
      <c r="B815" s="2126"/>
      <c r="C815" s="2149"/>
      <c r="D815" s="3248"/>
      <c r="E815" s="525"/>
      <c r="F815" s="525"/>
      <c r="G815" s="526"/>
      <c r="K815" s="3280"/>
      <c r="P815" s="3041"/>
      <c r="X815" s="3280"/>
      <c r="AA815" s="3041"/>
      <c r="AF815" s="3041"/>
      <c r="AN815" s="3280"/>
      <c r="AZ815" s="3041"/>
      <c r="BD815" s="3281"/>
      <c r="BH815" s="3282"/>
      <c r="BJ815" s="2589"/>
      <c r="BK815" s="2126"/>
      <c r="BL815" s="2126"/>
      <c r="BM815" s="2126"/>
      <c r="BN815" s="2126"/>
      <c r="BO815" s="2126"/>
      <c r="BP815" s="2126"/>
      <c r="BQ815" s="2126"/>
      <c r="BR815" s="2126"/>
      <c r="BS815" s="2126"/>
    </row>
    <row r="816" spans="1:71" s="3030" customFormat="1">
      <c r="A816" s="2126"/>
      <c r="B816" s="2126"/>
      <c r="C816" s="2149"/>
      <c r="D816" s="3248"/>
      <c r="E816" s="525"/>
      <c r="F816" s="525"/>
      <c r="G816" s="526"/>
      <c r="K816" s="3280"/>
      <c r="P816" s="3041"/>
      <c r="X816" s="3280"/>
      <c r="AA816" s="3041"/>
      <c r="AF816" s="3041"/>
      <c r="AN816" s="3280"/>
      <c r="AZ816" s="3041"/>
      <c r="BD816" s="3281"/>
      <c r="BH816" s="3282"/>
      <c r="BJ816" s="2589"/>
      <c r="BK816" s="2126"/>
      <c r="BL816" s="2126"/>
      <c r="BM816" s="2126"/>
      <c r="BN816" s="2126"/>
      <c r="BO816" s="2126"/>
      <c r="BP816" s="2126"/>
      <c r="BQ816" s="2126"/>
      <c r="BR816" s="2126"/>
      <c r="BS816" s="2126"/>
    </row>
    <row r="817" spans="1:71" s="3030" customFormat="1">
      <c r="A817" s="2126"/>
      <c r="B817" s="2126"/>
      <c r="C817" s="2149"/>
      <c r="D817" s="3248"/>
      <c r="E817" s="525"/>
      <c r="F817" s="525"/>
      <c r="G817" s="526"/>
      <c r="K817" s="3280"/>
      <c r="P817" s="3041"/>
      <c r="X817" s="3280"/>
      <c r="AA817" s="3041"/>
      <c r="AF817" s="3041"/>
      <c r="AN817" s="3280"/>
      <c r="AZ817" s="3041"/>
      <c r="BD817" s="3281"/>
      <c r="BH817" s="3282"/>
      <c r="BJ817" s="2589"/>
      <c r="BK817" s="2126"/>
      <c r="BL817" s="2126"/>
      <c r="BM817" s="2126"/>
      <c r="BN817" s="2126"/>
      <c r="BO817" s="2126"/>
      <c r="BP817" s="2126"/>
      <c r="BQ817" s="2126"/>
      <c r="BR817" s="2126"/>
      <c r="BS817" s="2126"/>
    </row>
    <row r="818" spans="1:71" s="3030" customFormat="1">
      <c r="A818" s="2126"/>
      <c r="B818" s="2126"/>
      <c r="C818" s="2149"/>
      <c r="D818" s="3248"/>
      <c r="E818" s="525"/>
      <c r="F818" s="525"/>
      <c r="G818" s="526"/>
      <c r="K818" s="3280"/>
      <c r="P818" s="3041"/>
      <c r="X818" s="3280"/>
      <c r="AA818" s="3041"/>
      <c r="AF818" s="3041"/>
      <c r="AN818" s="3280"/>
      <c r="AZ818" s="3041"/>
      <c r="BD818" s="3281"/>
      <c r="BH818" s="3282"/>
      <c r="BJ818" s="2589"/>
      <c r="BK818" s="2126"/>
      <c r="BL818" s="2126"/>
      <c r="BM818" s="2126"/>
      <c r="BN818" s="2126"/>
      <c r="BO818" s="2126"/>
      <c r="BP818" s="2126"/>
      <c r="BQ818" s="2126"/>
      <c r="BR818" s="2126"/>
      <c r="BS818" s="2126"/>
    </row>
    <row r="819" spans="1:71" s="3030" customFormat="1">
      <c r="A819" s="2126"/>
      <c r="B819" s="2126"/>
      <c r="C819" s="2149"/>
      <c r="D819" s="3248"/>
      <c r="E819" s="525"/>
      <c r="F819" s="525"/>
      <c r="G819" s="526"/>
      <c r="K819" s="3280"/>
      <c r="P819" s="3041"/>
      <c r="X819" s="3280"/>
      <c r="AA819" s="3041"/>
      <c r="AF819" s="3041"/>
      <c r="AN819" s="3280"/>
      <c r="AZ819" s="3041"/>
      <c r="BD819" s="3281"/>
      <c r="BH819" s="3282"/>
      <c r="BJ819" s="2589"/>
      <c r="BK819" s="2126"/>
      <c r="BL819" s="2126"/>
      <c r="BM819" s="2126"/>
      <c r="BN819" s="2126"/>
      <c r="BO819" s="2126"/>
      <c r="BP819" s="2126"/>
      <c r="BQ819" s="2126"/>
      <c r="BR819" s="2126"/>
      <c r="BS819" s="2126"/>
    </row>
    <row r="820" spans="1:71" s="3030" customFormat="1">
      <c r="A820" s="2126"/>
      <c r="B820" s="2126"/>
      <c r="C820" s="2149"/>
      <c r="D820" s="3248"/>
      <c r="E820" s="525"/>
      <c r="F820" s="525"/>
      <c r="G820" s="526"/>
      <c r="K820" s="3280"/>
      <c r="P820" s="3041"/>
      <c r="X820" s="3280"/>
      <c r="AA820" s="3041"/>
      <c r="AF820" s="3041"/>
      <c r="AN820" s="3280"/>
      <c r="AZ820" s="3041"/>
      <c r="BD820" s="3281"/>
      <c r="BH820" s="3282"/>
      <c r="BJ820" s="2589"/>
      <c r="BK820" s="2126"/>
      <c r="BL820" s="2126"/>
      <c r="BM820" s="2126"/>
      <c r="BN820" s="2126"/>
      <c r="BO820" s="2126"/>
      <c r="BP820" s="2126"/>
      <c r="BQ820" s="2126"/>
      <c r="BR820" s="2126"/>
      <c r="BS820" s="2126"/>
    </row>
    <row r="821" spans="1:71" s="3030" customFormat="1">
      <c r="A821" s="2126"/>
      <c r="B821" s="2126"/>
      <c r="C821" s="2149"/>
      <c r="D821" s="3248"/>
      <c r="E821" s="525"/>
      <c r="F821" s="525"/>
      <c r="G821" s="526"/>
      <c r="K821" s="3280"/>
      <c r="P821" s="3041"/>
      <c r="X821" s="3280"/>
      <c r="AA821" s="3041"/>
      <c r="AF821" s="3041"/>
      <c r="AN821" s="3280"/>
      <c r="AZ821" s="3041"/>
      <c r="BD821" s="3281"/>
      <c r="BH821" s="3282"/>
      <c r="BJ821" s="2589"/>
      <c r="BK821" s="2126"/>
      <c r="BL821" s="2126"/>
      <c r="BM821" s="2126"/>
      <c r="BN821" s="2126"/>
      <c r="BO821" s="2126"/>
      <c r="BP821" s="2126"/>
      <c r="BQ821" s="2126"/>
      <c r="BR821" s="2126"/>
      <c r="BS821" s="2126"/>
    </row>
    <row r="822" spans="1:71" s="3030" customFormat="1">
      <c r="A822" s="2126"/>
      <c r="B822" s="2126"/>
      <c r="C822" s="2149"/>
      <c r="D822" s="3248"/>
      <c r="E822" s="525"/>
      <c r="F822" s="525"/>
      <c r="G822" s="526"/>
      <c r="K822" s="3280"/>
      <c r="P822" s="3041"/>
      <c r="X822" s="3280"/>
      <c r="AA822" s="3041"/>
      <c r="AF822" s="3041"/>
      <c r="AN822" s="3280"/>
      <c r="AZ822" s="3041"/>
      <c r="BD822" s="3281"/>
      <c r="BH822" s="3282"/>
      <c r="BJ822" s="2589"/>
      <c r="BK822" s="2126"/>
      <c r="BL822" s="2126"/>
      <c r="BM822" s="2126"/>
      <c r="BN822" s="2126"/>
      <c r="BO822" s="2126"/>
      <c r="BP822" s="2126"/>
      <c r="BQ822" s="2126"/>
      <c r="BR822" s="2126"/>
      <c r="BS822" s="2126"/>
    </row>
    <row r="823" spans="1:71" s="3030" customFormat="1">
      <c r="A823" s="2126"/>
      <c r="B823" s="2126"/>
      <c r="C823" s="2149"/>
      <c r="D823" s="3248"/>
      <c r="E823" s="525"/>
      <c r="F823" s="525"/>
      <c r="G823" s="526"/>
      <c r="K823" s="3280"/>
      <c r="P823" s="3041"/>
      <c r="X823" s="3280"/>
      <c r="AA823" s="3041"/>
      <c r="AF823" s="3041"/>
      <c r="AN823" s="3280"/>
      <c r="AZ823" s="3041"/>
      <c r="BD823" s="3281"/>
      <c r="BH823" s="3282"/>
      <c r="BJ823" s="2589"/>
      <c r="BK823" s="2126"/>
      <c r="BL823" s="2126"/>
      <c r="BM823" s="2126"/>
      <c r="BN823" s="2126"/>
      <c r="BO823" s="2126"/>
      <c r="BP823" s="2126"/>
      <c r="BQ823" s="2126"/>
      <c r="BR823" s="2126"/>
      <c r="BS823" s="2126"/>
    </row>
    <row r="824" spans="1:71" s="3030" customFormat="1">
      <c r="A824" s="2126"/>
      <c r="B824" s="2126"/>
      <c r="C824" s="2149"/>
      <c r="D824" s="3248"/>
      <c r="E824" s="525"/>
      <c r="F824" s="525"/>
      <c r="G824" s="526"/>
      <c r="K824" s="3280"/>
      <c r="P824" s="3041"/>
      <c r="X824" s="3280"/>
      <c r="AA824" s="3041"/>
      <c r="AF824" s="3041"/>
      <c r="AN824" s="3280"/>
      <c r="AZ824" s="3041"/>
      <c r="BD824" s="3281"/>
      <c r="BH824" s="3282"/>
      <c r="BJ824" s="2589"/>
      <c r="BK824" s="2126"/>
      <c r="BL824" s="2126"/>
      <c r="BM824" s="2126"/>
      <c r="BN824" s="2126"/>
      <c r="BO824" s="2126"/>
      <c r="BP824" s="2126"/>
      <c r="BQ824" s="2126"/>
      <c r="BR824" s="2126"/>
      <c r="BS824" s="2126"/>
    </row>
    <row r="825" spans="1:71" s="3030" customFormat="1">
      <c r="A825" s="2126"/>
      <c r="B825" s="2126"/>
      <c r="C825" s="2149"/>
      <c r="D825" s="3248"/>
      <c r="E825" s="525"/>
      <c r="F825" s="525"/>
      <c r="G825" s="526"/>
      <c r="K825" s="3280"/>
      <c r="P825" s="3041"/>
      <c r="X825" s="3280"/>
      <c r="AA825" s="3041"/>
      <c r="AF825" s="3041"/>
      <c r="AN825" s="3280"/>
      <c r="AZ825" s="3041"/>
      <c r="BD825" s="3281"/>
      <c r="BH825" s="3282"/>
      <c r="BJ825" s="2589"/>
      <c r="BK825" s="2126"/>
      <c r="BL825" s="2126"/>
      <c r="BM825" s="2126"/>
      <c r="BN825" s="2126"/>
      <c r="BO825" s="2126"/>
      <c r="BP825" s="2126"/>
      <c r="BQ825" s="2126"/>
      <c r="BR825" s="2126"/>
      <c r="BS825" s="2126"/>
    </row>
    <row r="826" spans="1:71" s="3030" customFormat="1">
      <c r="A826" s="2126"/>
      <c r="B826" s="2126"/>
      <c r="C826" s="2149"/>
      <c r="D826" s="3248"/>
      <c r="E826" s="525"/>
      <c r="F826" s="525"/>
      <c r="G826" s="526"/>
      <c r="K826" s="3280"/>
      <c r="P826" s="3041"/>
      <c r="X826" s="3280"/>
      <c r="AA826" s="3041"/>
      <c r="AF826" s="3041"/>
      <c r="AN826" s="3280"/>
      <c r="AZ826" s="3041"/>
      <c r="BD826" s="3281"/>
      <c r="BH826" s="3282"/>
      <c r="BJ826" s="2589"/>
      <c r="BK826" s="2126"/>
      <c r="BL826" s="2126"/>
      <c r="BM826" s="2126"/>
      <c r="BN826" s="2126"/>
      <c r="BO826" s="2126"/>
      <c r="BP826" s="2126"/>
      <c r="BQ826" s="2126"/>
      <c r="BR826" s="2126"/>
      <c r="BS826" s="2126"/>
    </row>
    <row r="827" spans="1:71" s="3030" customFormat="1">
      <c r="A827" s="2126"/>
      <c r="B827" s="2126"/>
      <c r="C827" s="2149"/>
      <c r="D827" s="3248"/>
      <c r="E827" s="525"/>
      <c r="F827" s="525"/>
      <c r="G827" s="526"/>
      <c r="K827" s="3280"/>
      <c r="P827" s="3041"/>
      <c r="X827" s="3280"/>
      <c r="AA827" s="3041"/>
      <c r="AF827" s="3041"/>
      <c r="AN827" s="3280"/>
      <c r="AZ827" s="3041"/>
      <c r="BD827" s="3281"/>
      <c r="BH827" s="3282"/>
      <c r="BJ827" s="2589"/>
      <c r="BK827" s="2126"/>
      <c r="BL827" s="2126"/>
      <c r="BM827" s="2126"/>
      <c r="BN827" s="2126"/>
      <c r="BO827" s="2126"/>
      <c r="BP827" s="2126"/>
      <c r="BQ827" s="2126"/>
      <c r="BR827" s="2126"/>
      <c r="BS827" s="2126"/>
    </row>
    <row r="828" spans="1:71" s="3030" customFormat="1">
      <c r="A828" s="2126"/>
      <c r="B828" s="2126"/>
      <c r="C828" s="2149"/>
      <c r="D828" s="3248"/>
      <c r="E828" s="525"/>
      <c r="F828" s="525"/>
      <c r="G828" s="526"/>
      <c r="K828" s="3280"/>
      <c r="P828" s="3041"/>
      <c r="X828" s="3280"/>
      <c r="AA828" s="3041"/>
      <c r="AF828" s="3041"/>
      <c r="AN828" s="3280"/>
      <c r="AZ828" s="3041"/>
      <c r="BD828" s="3281"/>
      <c r="BH828" s="3282"/>
      <c r="BJ828" s="2589"/>
      <c r="BK828" s="2126"/>
      <c r="BL828" s="2126"/>
      <c r="BM828" s="2126"/>
      <c r="BN828" s="2126"/>
      <c r="BO828" s="2126"/>
      <c r="BP828" s="2126"/>
      <c r="BQ828" s="2126"/>
      <c r="BR828" s="2126"/>
      <c r="BS828" s="2126"/>
    </row>
    <row r="829" spans="1:71" s="3030" customFormat="1">
      <c r="A829" s="2126"/>
      <c r="B829" s="2126"/>
      <c r="C829" s="2149"/>
      <c r="D829" s="3248"/>
      <c r="E829" s="525"/>
      <c r="F829" s="525"/>
      <c r="G829" s="526"/>
      <c r="K829" s="3280"/>
      <c r="P829" s="3041"/>
      <c r="X829" s="3280"/>
      <c r="AA829" s="3041"/>
      <c r="AF829" s="3041"/>
      <c r="AN829" s="3280"/>
      <c r="AZ829" s="3041"/>
      <c r="BD829" s="3281"/>
      <c r="BH829" s="3282"/>
      <c r="BJ829" s="2589"/>
      <c r="BK829" s="2126"/>
      <c r="BL829" s="2126"/>
      <c r="BM829" s="2126"/>
      <c r="BN829" s="2126"/>
      <c r="BO829" s="2126"/>
      <c r="BP829" s="2126"/>
      <c r="BQ829" s="2126"/>
      <c r="BR829" s="2126"/>
      <c r="BS829" s="2126"/>
    </row>
    <row r="830" spans="1:71" s="3030" customFormat="1">
      <c r="A830" s="2126"/>
      <c r="B830" s="2126"/>
      <c r="C830" s="2149"/>
      <c r="D830" s="3248"/>
      <c r="E830" s="525"/>
      <c r="F830" s="525"/>
      <c r="G830" s="526"/>
      <c r="K830" s="3280"/>
      <c r="P830" s="3041"/>
      <c r="X830" s="3280"/>
      <c r="AA830" s="3041"/>
      <c r="AF830" s="3041"/>
      <c r="AN830" s="3280"/>
      <c r="AZ830" s="3041"/>
      <c r="BD830" s="3281"/>
      <c r="BH830" s="3282"/>
      <c r="BJ830" s="2589"/>
      <c r="BK830" s="2126"/>
      <c r="BL830" s="2126"/>
      <c r="BM830" s="2126"/>
      <c r="BN830" s="2126"/>
      <c r="BO830" s="2126"/>
      <c r="BP830" s="2126"/>
      <c r="BQ830" s="2126"/>
      <c r="BR830" s="2126"/>
      <c r="BS830" s="2126"/>
    </row>
    <row r="831" spans="1:71" s="3030" customFormat="1">
      <c r="A831" s="2126"/>
      <c r="B831" s="2126"/>
      <c r="C831" s="2149"/>
      <c r="D831" s="3248"/>
      <c r="E831" s="525"/>
      <c r="F831" s="525"/>
      <c r="G831" s="526"/>
      <c r="K831" s="3280"/>
      <c r="P831" s="3041"/>
      <c r="X831" s="3280"/>
      <c r="AA831" s="3041"/>
      <c r="AF831" s="3041"/>
      <c r="AN831" s="3280"/>
      <c r="AZ831" s="3041"/>
      <c r="BD831" s="3281"/>
      <c r="BH831" s="3282"/>
      <c r="BJ831" s="2589"/>
      <c r="BK831" s="2126"/>
      <c r="BL831" s="2126"/>
      <c r="BM831" s="2126"/>
      <c r="BN831" s="2126"/>
      <c r="BO831" s="2126"/>
      <c r="BP831" s="2126"/>
      <c r="BQ831" s="2126"/>
      <c r="BR831" s="2126"/>
      <c r="BS831" s="2126"/>
    </row>
    <row r="832" spans="1:71" s="3030" customFormat="1">
      <c r="A832" s="2126"/>
      <c r="B832" s="2126"/>
      <c r="C832" s="2149"/>
      <c r="D832" s="3248"/>
      <c r="E832" s="525"/>
      <c r="F832" s="525"/>
      <c r="G832" s="526"/>
      <c r="K832" s="3280"/>
      <c r="P832" s="3041"/>
      <c r="X832" s="3280"/>
      <c r="AA832" s="3041"/>
      <c r="AF832" s="3041"/>
      <c r="AN832" s="3280"/>
      <c r="AZ832" s="3041"/>
      <c r="BD832" s="3281"/>
      <c r="BH832" s="3282"/>
      <c r="BJ832" s="2589"/>
      <c r="BK832" s="2126"/>
      <c r="BL832" s="2126"/>
      <c r="BM832" s="2126"/>
      <c r="BN832" s="2126"/>
      <c r="BO832" s="2126"/>
      <c r="BP832" s="2126"/>
      <c r="BQ832" s="2126"/>
      <c r="BR832" s="2126"/>
      <c r="BS832" s="2126"/>
    </row>
    <row r="833" spans="1:71" s="3030" customFormat="1">
      <c r="A833" s="2126"/>
      <c r="B833" s="2126"/>
      <c r="C833" s="2149"/>
      <c r="D833" s="3248"/>
      <c r="E833" s="525"/>
      <c r="F833" s="525"/>
      <c r="G833" s="526"/>
      <c r="K833" s="3280"/>
      <c r="P833" s="3041"/>
      <c r="X833" s="3280"/>
      <c r="AA833" s="3041"/>
      <c r="AF833" s="3041"/>
      <c r="AN833" s="3280"/>
      <c r="AZ833" s="3041"/>
      <c r="BD833" s="3281"/>
      <c r="BH833" s="3282"/>
      <c r="BJ833" s="2589"/>
      <c r="BK833" s="2126"/>
      <c r="BL833" s="2126"/>
      <c r="BM833" s="2126"/>
      <c r="BN833" s="2126"/>
      <c r="BO833" s="2126"/>
      <c r="BP833" s="2126"/>
      <c r="BQ833" s="2126"/>
      <c r="BR833" s="2126"/>
      <c r="BS833" s="2126"/>
    </row>
    <row r="834" spans="1:71" s="3030" customFormat="1">
      <c r="A834" s="2126"/>
      <c r="B834" s="2126"/>
      <c r="C834" s="2149"/>
      <c r="D834" s="3248"/>
      <c r="E834" s="525"/>
      <c r="F834" s="525"/>
      <c r="G834" s="526"/>
      <c r="K834" s="3280"/>
      <c r="P834" s="3041"/>
      <c r="X834" s="3280"/>
      <c r="AA834" s="3041"/>
      <c r="AF834" s="3041"/>
      <c r="AN834" s="3280"/>
      <c r="AZ834" s="3041"/>
      <c r="BD834" s="3281"/>
      <c r="BH834" s="3282"/>
      <c r="BJ834" s="2589"/>
      <c r="BK834" s="2126"/>
      <c r="BL834" s="2126"/>
      <c r="BM834" s="2126"/>
      <c r="BN834" s="2126"/>
      <c r="BO834" s="2126"/>
      <c r="BP834" s="2126"/>
      <c r="BQ834" s="2126"/>
      <c r="BR834" s="2126"/>
      <c r="BS834" s="2126"/>
    </row>
    <row r="835" spans="1:71" s="3030" customFormat="1">
      <c r="A835" s="2126"/>
      <c r="B835" s="2126"/>
      <c r="C835" s="2149"/>
      <c r="D835" s="3248"/>
      <c r="E835" s="525"/>
      <c r="F835" s="525"/>
      <c r="G835" s="526"/>
      <c r="K835" s="3280"/>
      <c r="P835" s="3041"/>
      <c r="X835" s="3280"/>
      <c r="AA835" s="3041"/>
      <c r="AF835" s="3041"/>
      <c r="AN835" s="3280"/>
      <c r="AZ835" s="3041"/>
      <c r="BD835" s="3281"/>
      <c r="BH835" s="3282"/>
      <c r="BJ835" s="2589"/>
      <c r="BK835" s="2126"/>
      <c r="BL835" s="2126"/>
      <c r="BM835" s="2126"/>
      <c r="BN835" s="2126"/>
      <c r="BO835" s="2126"/>
      <c r="BP835" s="2126"/>
      <c r="BQ835" s="2126"/>
      <c r="BR835" s="2126"/>
      <c r="BS835" s="2126"/>
    </row>
    <row r="836" spans="1:71" s="3030" customFormat="1">
      <c r="A836" s="2126"/>
      <c r="B836" s="2126"/>
      <c r="C836" s="2149"/>
      <c r="D836" s="3248"/>
      <c r="E836" s="525"/>
      <c r="F836" s="525"/>
      <c r="G836" s="526"/>
      <c r="K836" s="3280"/>
      <c r="P836" s="3041"/>
      <c r="X836" s="3280"/>
      <c r="AA836" s="3041"/>
      <c r="AF836" s="3041"/>
      <c r="AN836" s="3280"/>
      <c r="AZ836" s="3041"/>
      <c r="BD836" s="3281"/>
      <c r="BH836" s="3282"/>
      <c r="BJ836" s="2589"/>
      <c r="BK836" s="2126"/>
      <c r="BL836" s="2126"/>
      <c r="BM836" s="2126"/>
      <c r="BN836" s="2126"/>
      <c r="BO836" s="2126"/>
      <c r="BP836" s="2126"/>
      <c r="BQ836" s="2126"/>
      <c r="BR836" s="2126"/>
      <c r="BS836" s="2126"/>
    </row>
    <row r="837" spans="1:71" s="3030" customFormat="1">
      <c r="A837" s="2126"/>
      <c r="B837" s="2126"/>
      <c r="C837" s="2149"/>
      <c r="D837" s="3248"/>
      <c r="E837" s="525"/>
      <c r="F837" s="525"/>
      <c r="G837" s="526"/>
      <c r="K837" s="3280"/>
      <c r="P837" s="3041"/>
      <c r="X837" s="3280"/>
      <c r="AA837" s="3041"/>
      <c r="AF837" s="3041"/>
      <c r="AN837" s="3280"/>
      <c r="AZ837" s="3041"/>
      <c r="BD837" s="3281"/>
      <c r="BH837" s="3282"/>
      <c r="BJ837" s="2589"/>
      <c r="BK837" s="2126"/>
      <c r="BL837" s="2126"/>
      <c r="BM837" s="2126"/>
      <c r="BN837" s="2126"/>
      <c r="BO837" s="2126"/>
      <c r="BP837" s="2126"/>
      <c r="BQ837" s="2126"/>
      <c r="BR837" s="2126"/>
      <c r="BS837" s="2126"/>
    </row>
    <row r="838" spans="1:71" s="3030" customFormat="1">
      <c r="A838" s="2126"/>
      <c r="B838" s="2126"/>
      <c r="C838" s="2149"/>
      <c r="D838" s="3248"/>
      <c r="E838" s="525"/>
      <c r="F838" s="525"/>
      <c r="G838" s="526"/>
      <c r="K838" s="3280"/>
      <c r="P838" s="3041"/>
      <c r="X838" s="3280"/>
      <c r="AA838" s="3041"/>
      <c r="AF838" s="3041"/>
      <c r="AN838" s="3280"/>
      <c r="AZ838" s="3041"/>
      <c r="BD838" s="3281"/>
      <c r="BH838" s="3282"/>
      <c r="BJ838" s="2589"/>
      <c r="BK838" s="2126"/>
      <c r="BL838" s="2126"/>
      <c r="BM838" s="2126"/>
      <c r="BN838" s="2126"/>
      <c r="BO838" s="2126"/>
      <c r="BP838" s="2126"/>
      <c r="BQ838" s="2126"/>
      <c r="BR838" s="2126"/>
      <c r="BS838" s="2126"/>
    </row>
    <row r="839" spans="1:71" s="3030" customFormat="1">
      <c r="A839" s="2126"/>
      <c r="B839" s="2126"/>
      <c r="C839" s="2149"/>
      <c r="D839" s="3248"/>
      <c r="E839" s="525"/>
      <c r="F839" s="525"/>
      <c r="G839" s="526"/>
      <c r="K839" s="3280"/>
      <c r="P839" s="3041"/>
      <c r="X839" s="3280"/>
      <c r="AA839" s="3041"/>
      <c r="AF839" s="3041"/>
      <c r="AN839" s="3280"/>
      <c r="AZ839" s="3041"/>
      <c r="BD839" s="3281"/>
      <c r="BH839" s="3282"/>
      <c r="BJ839" s="2589"/>
      <c r="BK839" s="2126"/>
      <c r="BL839" s="2126"/>
      <c r="BM839" s="2126"/>
      <c r="BN839" s="2126"/>
      <c r="BO839" s="2126"/>
      <c r="BP839" s="2126"/>
      <c r="BQ839" s="2126"/>
      <c r="BR839" s="2126"/>
      <c r="BS839" s="2126"/>
    </row>
    <row r="840" spans="1:71" s="3030" customFormat="1">
      <c r="A840" s="2126"/>
      <c r="B840" s="2126"/>
      <c r="C840" s="2149"/>
      <c r="D840" s="3248"/>
      <c r="E840" s="525"/>
      <c r="F840" s="525"/>
      <c r="G840" s="526"/>
      <c r="K840" s="3280"/>
      <c r="P840" s="3041"/>
      <c r="X840" s="3280"/>
      <c r="AA840" s="3041"/>
      <c r="AF840" s="3041"/>
      <c r="AN840" s="3280"/>
      <c r="AZ840" s="3041"/>
      <c r="BD840" s="3281"/>
      <c r="BH840" s="3282"/>
      <c r="BJ840" s="2589"/>
      <c r="BK840" s="2126"/>
      <c r="BL840" s="2126"/>
      <c r="BM840" s="2126"/>
      <c r="BN840" s="2126"/>
      <c r="BO840" s="2126"/>
      <c r="BP840" s="2126"/>
      <c r="BQ840" s="2126"/>
      <c r="BR840" s="2126"/>
      <c r="BS840" s="2126"/>
    </row>
    <row r="841" spans="1:71" s="3030" customFormat="1">
      <c r="A841" s="2126"/>
      <c r="B841" s="2126"/>
      <c r="C841" s="2149"/>
      <c r="D841" s="3248"/>
      <c r="E841" s="525"/>
      <c r="F841" s="525"/>
      <c r="G841" s="526"/>
      <c r="K841" s="3280"/>
      <c r="P841" s="3041"/>
      <c r="X841" s="3280"/>
      <c r="AA841" s="3041"/>
      <c r="AF841" s="3041"/>
      <c r="AN841" s="3280"/>
      <c r="AZ841" s="3041"/>
      <c r="BD841" s="3281"/>
      <c r="BH841" s="3282"/>
      <c r="BJ841" s="2589"/>
      <c r="BK841" s="2126"/>
      <c r="BL841" s="2126"/>
      <c r="BM841" s="2126"/>
      <c r="BN841" s="2126"/>
      <c r="BO841" s="2126"/>
      <c r="BP841" s="2126"/>
      <c r="BQ841" s="2126"/>
      <c r="BR841" s="2126"/>
      <c r="BS841" s="2126"/>
    </row>
    <row r="842" spans="1:71" s="3030" customFormat="1">
      <c r="A842" s="2126"/>
      <c r="B842" s="2126"/>
      <c r="C842" s="2149"/>
      <c r="D842" s="3248"/>
      <c r="E842" s="525"/>
      <c r="F842" s="525"/>
      <c r="G842" s="526"/>
      <c r="K842" s="3280"/>
      <c r="P842" s="3041"/>
      <c r="X842" s="3280"/>
      <c r="AA842" s="3041"/>
      <c r="AF842" s="3041"/>
      <c r="AN842" s="3280"/>
      <c r="AZ842" s="3041"/>
      <c r="BD842" s="3281"/>
      <c r="BH842" s="3282"/>
      <c r="BJ842" s="2589"/>
      <c r="BK842" s="2126"/>
      <c r="BL842" s="2126"/>
      <c r="BM842" s="2126"/>
      <c r="BN842" s="2126"/>
      <c r="BO842" s="2126"/>
      <c r="BP842" s="2126"/>
      <c r="BQ842" s="2126"/>
      <c r="BR842" s="2126"/>
      <c r="BS842" s="2126"/>
    </row>
    <row r="843" spans="1:71" s="3030" customFormat="1">
      <c r="A843" s="2126"/>
      <c r="B843" s="2126"/>
      <c r="C843" s="2149"/>
      <c r="D843" s="3248"/>
      <c r="E843" s="525"/>
      <c r="F843" s="525"/>
      <c r="G843" s="526"/>
      <c r="K843" s="3280"/>
      <c r="P843" s="3041"/>
      <c r="X843" s="3280"/>
      <c r="AA843" s="3041"/>
      <c r="AF843" s="3041"/>
      <c r="AN843" s="3280"/>
      <c r="AZ843" s="3041"/>
      <c r="BD843" s="3281"/>
      <c r="BH843" s="3282"/>
      <c r="BJ843" s="2589"/>
      <c r="BK843" s="2126"/>
      <c r="BL843" s="2126"/>
      <c r="BM843" s="2126"/>
      <c r="BN843" s="2126"/>
      <c r="BO843" s="2126"/>
      <c r="BP843" s="2126"/>
      <c r="BQ843" s="2126"/>
      <c r="BR843" s="2126"/>
      <c r="BS843" s="2126"/>
    </row>
    <row r="844" spans="1:71" s="3030" customFormat="1">
      <c r="A844" s="2126"/>
      <c r="B844" s="2126"/>
      <c r="C844" s="2149"/>
      <c r="D844" s="3248"/>
      <c r="E844" s="525"/>
      <c r="F844" s="525"/>
      <c r="G844" s="526"/>
      <c r="K844" s="3280"/>
      <c r="P844" s="3041"/>
      <c r="X844" s="3280"/>
      <c r="AA844" s="3041"/>
      <c r="AF844" s="3041"/>
      <c r="AN844" s="3280"/>
      <c r="AZ844" s="3041"/>
      <c r="BD844" s="3281"/>
      <c r="BH844" s="3282"/>
      <c r="BJ844" s="2589"/>
      <c r="BK844" s="2126"/>
      <c r="BL844" s="2126"/>
      <c r="BM844" s="2126"/>
      <c r="BN844" s="2126"/>
      <c r="BO844" s="2126"/>
      <c r="BP844" s="2126"/>
      <c r="BQ844" s="2126"/>
      <c r="BR844" s="2126"/>
      <c r="BS844" s="2126"/>
    </row>
    <row r="845" spans="1:71" s="3030" customFormat="1">
      <c r="A845" s="2126"/>
      <c r="B845" s="2126"/>
      <c r="C845" s="2149"/>
      <c r="D845" s="3248"/>
      <c r="E845" s="525"/>
      <c r="F845" s="525"/>
      <c r="G845" s="526"/>
      <c r="K845" s="3280"/>
      <c r="P845" s="3041"/>
      <c r="X845" s="3280"/>
      <c r="AA845" s="3041"/>
      <c r="AF845" s="3041"/>
      <c r="AN845" s="3280"/>
      <c r="AZ845" s="3041"/>
      <c r="BD845" s="3281"/>
      <c r="BH845" s="3282"/>
      <c r="BJ845" s="2589"/>
      <c r="BK845" s="2126"/>
      <c r="BL845" s="2126"/>
      <c r="BM845" s="2126"/>
      <c r="BN845" s="2126"/>
      <c r="BO845" s="2126"/>
      <c r="BP845" s="2126"/>
      <c r="BQ845" s="2126"/>
      <c r="BR845" s="2126"/>
      <c r="BS845" s="2126"/>
    </row>
    <row r="846" spans="1:71" s="3030" customFormat="1">
      <c r="A846" s="2126"/>
      <c r="B846" s="2126"/>
      <c r="C846" s="2149"/>
      <c r="D846" s="3248"/>
      <c r="E846" s="525"/>
      <c r="F846" s="525"/>
      <c r="G846" s="526"/>
      <c r="K846" s="3280"/>
      <c r="P846" s="3041"/>
      <c r="X846" s="3280"/>
      <c r="AA846" s="3041"/>
      <c r="AF846" s="3041"/>
      <c r="AN846" s="3280"/>
      <c r="AZ846" s="3041"/>
      <c r="BD846" s="3281"/>
      <c r="BH846" s="3282"/>
      <c r="BJ846" s="2589"/>
      <c r="BK846" s="2126"/>
      <c r="BL846" s="2126"/>
      <c r="BM846" s="2126"/>
      <c r="BN846" s="2126"/>
      <c r="BO846" s="2126"/>
      <c r="BP846" s="2126"/>
      <c r="BQ846" s="2126"/>
      <c r="BR846" s="2126"/>
      <c r="BS846" s="2126"/>
    </row>
    <row r="847" spans="1:71" s="3030" customFormat="1">
      <c r="A847" s="2126"/>
      <c r="B847" s="2126"/>
      <c r="C847" s="2149"/>
      <c r="D847" s="3248"/>
      <c r="E847" s="525"/>
      <c r="F847" s="525"/>
      <c r="G847" s="526"/>
      <c r="K847" s="3280"/>
      <c r="P847" s="3041"/>
      <c r="X847" s="3280"/>
      <c r="AA847" s="3041"/>
      <c r="AF847" s="3041"/>
      <c r="AN847" s="3280"/>
      <c r="AZ847" s="3041"/>
      <c r="BD847" s="3281"/>
      <c r="BH847" s="3282"/>
      <c r="BJ847" s="2589"/>
      <c r="BK847" s="2126"/>
      <c r="BL847" s="2126"/>
      <c r="BM847" s="2126"/>
      <c r="BN847" s="2126"/>
      <c r="BO847" s="2126"/>
      <c r="BP847" s="2126"/>
      <c r="BQ847" s="2126"/>
      <c r="BR847" s="2126"/>
      <c r="BS847" s="2126"/>
    </row>
    <row r="848" spans="1:71" s="3030" customFormat="1">
      <c r="A848" s="2126"/>
      <c r="B848" s="2126"/>
      <c r="C848" s="2149"/>
      <c r="D848" s="3248"/>
      <c r="E848" s="525"/>
      <c r="F848" s="525"/>
      <c r="G848" s="526"/>
      <c r="K848" s="3280"/>
      <c r="P848" s="3041"/>
      <c r="X848" s="3280"/>
      <c r="AA848" s="3041"/>
      <c r="AF848" s="3041"/>
      <c r="AN848" s="3280"/>
      <c r="AZ848" s="3041"/>
      <c r="BD848" s="3281"/>
      <c r="BH848" s="3282"/>
      <c r="BJ848" s="2589"/>
      <c r="BK848" s="2126"/>
      <c r="BL848" s="2126"/>
      <c r="BM848" s="2126"/>
      <c r="BN848" s="2126"/>
      <c r="BO848" s="2126"/>
      <c r="BP848" s="2126"/>
      <c r="BQ848" s="2126"/>
      <c r="BR848" s="2126"/>
      <c r="BS848" s="2126"/>
    </row>
    <row r="849" spans="1:71" s="3030" customFormat="1">
      <c r="A849" s="2126"/>
      <c r="B849" s="2126"/>
      <c r="C849" s="2149"/>
      <c r="D849" s="3248"/>
      <c r="E849" s="525"/>
      <c r="F849" s="525"/>
      <c r="G849" s="526"/>
      <c r="K849" s="3280"/>
      <c r="P849" s="3041"/>
      <c r="X849" s="3280"/>
      <c r="AA849" s="3041"/>
      <c r="AF849" s="3041"/>
      <c r="AN849" s="3280"/>
      <c r="AZ849" s="3041"/>
      <c r="BD849" s="3281"/>
      <c r="BH849" s="3282"/>
      <c r="BJ849" s="2589"/>
      <c r="BK849" s="2126"/>
      <c r="BL849" s="2126"/>
      <c r="BM849" s="2126"/>
      <c r="BN849" s="2126"/>
      <c r="BO849" s="2126"/>
      <c r="BP849" s="2126"/>
      <c r="BQ849" s="2126"/>
      <c r="BR849" s="2126"/>
      <c r="BS849" s="2126"/>
    </row>
    <row r="850" spans="1:71" s="3030" customFormat="1">
      <c r="A850" s="2126"/>
      <c r="B850" s="2126"/>
      <c r="C850" s="2149"/>
      <c r="D850" s="3248"/>
      <c r="E850" s="525"/>
      <c r="F850" s="525"/>
      <c r="G850" s="526"/>
      <c r="K850" s="3280"/>
      <c r="P850" s="3041"/>
      <c r="X850" s="3280"/>
      <c r="AA850" s="3041"/>
      <c r="AF850" s="3041"/>
      <c r="AN850" s="3280"/>
      <c r="AZ850" s="3041"/>
      <c r="BD850" s="3281"/>
      <c r="BH850" s="3282"/>
      <c r="BJ850" s="2589"/>
      <c r="BK850" s="2126"/>
      <c r="BL850" s="2126"/>
      <c r="BM850" s="2126"/>
      <c r="BN850" s="2126"/>
      <c r="BO850" s="2126"/>
      <c r="BP850" s="2126"/>
      <c r="BQ850" s="2126"/>
      <c r="BR850" s="2126"/>
      <c r="BS850" s="2126"/>
    </row>
    <row r="851" spans="1:71" s="3030" customFormat="1">
      <c r="A851" s="2126"/>
      <c r="B851" s="2126"/>
      <c r="C851" s="2149"/>
      <c r="D851" s="3248"/>
      <c r="E851" s="525"/>
      <c r="F851" s="525"/>
      <c r="G851" s="526"/>
      <c r="K851" s="3280"/>
      <c r="P851" s="3041"/>
      <c r="X851" s="3280"/>
      <c r="AA851" s="3041"/>
      <c r="AF851" s="3041"/>
      <c r="AN851" s="3280"/>
      <c r="AZ851" s="3041"/>
      <c r="BD851" s="3281"/>
      <c r="BH851" s="3282"/>
      <c r="BJ851" s="2589"/>
      <c r="BK851" s="2126"/>
      <c r="BL851" s="2126"/>
      <c r="BM851" s="2126"/>
      <c r="BN851" s="2126"/>
      <c r="BO851" s="2126"/>
      <c r="BP851" s="2126"/>
      <c r="BQ851" s="2126"/>
      <c r="BR851" s="2126"/>
      <c r="BS851" s="2126"/>
    </row>
    <row r="852" spans="1:71" s="3030" customFormat="1">
      <c r="A852" s="2126"/>
      <c r="B852" s="2126"/>
      <c r="C852" s="2149"/>
      <c r="D852" s="3248"/>
      <c r="E852" s="525"/>
      <c r="F852" s="525"/>
      <c r="G852" s="526"/>
      <c r="K852" s="3280"/>
      <c r="P852" s="3041"/>
      <c r="X852" s="3280"/>
      <c r="AA852" s="3041"/>
      <c r="AF852" s="3041"/>
      <c r="AN852" s="3280"/>
      <c r="AZ852" s="3041"/>
      <c r="BD852" s="3281"/>
      <c r="BH852" s="3282"/>
      <c r="BJ852" s="2589"/>
      <c r="BK852" s="2126"/>
      <c r="BL852" s="2126"/>
      <c r="BM852" s="2126"/>
      <c r="BN852" s="2126"/>
      <c r="BO852" s="2126"/>
      <c r="BP852" s="2126"/>
      <c r="BQ852" s="2126"/>
      <c r="BR852" s="2126"/>
      <c r="BS852" s="2126"/>
    </row>
    <row r="853" spans="1:71" s="3030" customFormat="1">
      <c r="A853" s="2126"/>
      <c r="B853" s="2126"/>
      <c r="C853" s="2149"/>
      <c r="D853" s="3248"/>
      <c r="E853" s="525"/>
      <c r="F853" s="525"/>
      <c r="G853" s="526"/>
      <c r="K853" s="3280"/>
      <c r="P853" s="3041"/>
      <c r="X853" s="3280"/>
      <c r="AA853" s="3041"/>
      <c r="AF853" s="3041"/>
      <c r="AN853" s="3280"/>
      <c r="AZ853" s="3041"/>
      <c r="BD853" s="3281"/>
      <c r="BH853" s="3282"/>
      <c r="BJ853" s="2589"/>
      <c r="BK853" s="2126"/>
      <c r="BL853" s="2126"/>
      <c r="BM853" s="2126"/>
      <c r="BN853" s="2126"/>
      <c r="BO853" s="2126"/>
      <c r="BP853" s="2126"/>
      <c r="BQ853" s="2126"/>
      <c r="BR853" s="2126"/>
      <c r="BS853" s="2126"/>
    </row>
    <row r="854" spans="1:71" s="3030" customFormat="1">
      <c r="A854" s="2126"/>
      <c r="B854" s="2126"/>
      <c r="C854" s="2149"/>
      <c r="D854" s="3248"/>
      <c r="E854" s="525"/>
      <c r="F854" s="525"/>
      <c r="G854" s="526"/>
      <c r="K854" s="3280"/>
      <c r="P854" s="3041"/>
      <c r="X854" s="3280"/>
      <c r="AA854" s="3041"/>
      <c r="AF854" s="3041"/>
      <c r="AN854" s="3280"/>
      <c r="AZ854" s="3041"/>
      <c r="BD854" s="3281"/>
      <c r="BH854" s="3282"/>
      <c r="BJ854" s="2589"/>
      <c r="BK854" s="2126"/>
      <c r="BL854" s="2126"/>
      <c r="BM854" s="2126"/>
      <c r="BN854" s="2126"/>
      <c r="BO854" s="2126"/>
      <c r="BP854" s="2126"/>
      <c r="BQ854" s="2126"/>
      <c r="BR854" s="2126"/>
      <c r="BS854" s="2126"/>
    </row>
    <row r="855" spans="1:71" s="3030" customFormat="1">
      <c r="A855" s="2126"/>
      <c r="B855" s="2126"/>
      <c r="C855" s="2149"/>
      <c r="D855" s="3248"/>
      <c r="E855" s="525"/>
      <c r="F855" s="525"/>
      <c r="G855" s="526"/>
      <c r="K855" s="3280"/>
      <c r="P855" s="3041"/>
      <c r="X855" s="3280"/>
      <c r="AA855" s="3041"/>
      <c r="AF855" s="3041"/>
      <c r="AN855" s="3280"/>
      <c r="AZ855" s="3041"/>
      <c r="BD855" s="3281"/>
      <c r="BH855" s="3282"/>
      <c r="BJ855" s="2589"/>
      <c r="BK855" s="2126"/>
      <c r="BL855" s="2126"/>
      <c r="BM855" s="2126"/>
      <c r="BN855" s="2126"/>
      <c r="BO855" s="2126"/>
      <c r="BP855" s="2126"/>
      <c r="BQ855" s="2126"/>
      <c r="BR855" s="2126"/>
      <c r="BS855" s="2126"/>
    </row>
    <row r="856" spans="1:71" s="3030" customFormat="1">
      <c r="A856" s="2126"/>
      <c r="B856" s="2126"/>
      <c r="C856" s="2149"/>
      <c r="D856" s="3248"/>
      <c r="E856" s="525"/>
      <c r="F856" s="525"/>
      <c r="G856" s="526"/>
      <c r="K856" s="3280"/>
      <c r="P856" s="3041"/>
      <c r="X856" s="3280"/>
      <c r="AA856" s="3041"/>
      <c r="AF856" s="3041"/>
      <c r="AN856" s="3280"/>
      <c r="AZ856" s="3041"/>
      <c r="BD856" s="3281"/>
      <c r="BH856" s="3282"/>
      <c r="BJ856" s="2589"/>
      <c r="BK856" s="2126"/>
      <c r="BL856" s="2126"/>
      <c r="BM856" s="2126"/>
      <c r="BN856" s="2126"/>
      <c r="BO856" s="2126"/>
      <c r="BP856" s="2126"/>
      <c r="BQ856" s="2126"/>
      <c r="BR856" s="2126"/>
      <c r="BS856" s="2126"/>
    </row>
    <row r="857" spans="1:71" s="3030" customFormat="1">
      <c r="A857" s="2126"/>
      <c r="B857" s="2126"/>
      <c r="C857" s="2149"/>
      <c r="D857" s="3248"/>
      <c r="E857" s="525"/>
      <c r="F857" s="525"/>
      <c r="G857" s="526"/>
      <c r="K857" s="3280"/>
      <c r="P857" s="3041"/>
      <c r="X857" s="3280"/>
      <c r="AA857" s="3041"/>
      <c r="AF857" s="3041"/>
      <c r="AN857" s="3280"/>
      <c r="AZ857" s="3041"/>
      <c r="BD857" s="3281"/>
      <c r="BH857" s="3282"/>
      <c r="BJ857" s="2589"/>
      <c r="BK857" s="2126"/>
      <c r="BL857" s="2126"/>
      <c r="BM857" s="2126"/>
      <c r="BN857" s="2126"/>
      <c r="BO857" s="2126"/>
      <c r="BP857" s="2126"/>
      <c r="BQ857" s="2126"/>
      <c r="BR857" s="2126"/>
      <c r="BS857" s="2126"/>
    </row>
    <row r="858" spans="1:71" s="3030" customFormat="1">
      <c r="A858" s="2126"/>
      <c r="B858" s="2126"/>
      <c r="C858" s="2149"/>
      <c r="D858" s="3248"/>
      <c r="E858" s="525"/>
      <c r="F858" s="525"/>
      <c r="G858" s="526"/>
      <c r="K858" s="3280"/>
      <c r="P858" s="3041"/>
      <c r="X858" s="3280"/>
      <c r="AA858" s="3041"/>
      <c r="AF858" s="3041"/>
      <c r="AN858" s="3280"/>
      <c r="AZ858" s="3041"/>
      <c r="BD858" s="3281"/>
      <c r="BH858" s="3282"/>
      <c r="BJ858" s="2589"/>
      <c r="BK858" s="2126"/>
      <c r="BL858" s="2126"/>
      <c r="BM858" s="2126"/>
      <c r="BN858" s="2126"/>
      <c r="BO858" s="2126"/>
      <c r="BP858" s="2126"/>
      <c r="BQ858" s="2126"/>
      <c r="BR858" s="2126"/>
      <c r="BS858" s="2126"/>
    </row>
    <row r="859" spans="1:71" s="3030" customFormat="1">
      <c r="A859" s="2126"/>
      <c r="B859" s="2126"/>
      <c r="C859" s="2149"/>
      <c r="D859" s="3248"/>
      <c r="E859" s="525"/>
      <c r="F859" s="525"/>
      <c r="G859" s="526"/>
      <c r="K859" s="3280"/>
      <c r="P859" s="3041"/>
      <c r="X859" s="3280"/>
      <c r="AA859" s="3041"/>
      <c r="AF859" s="3041"/>
      <c r="AN859" s="3280"/>
      <c r="AZ859" s="3041"/>
      <c r="BD859" s="3281"/>
      <c r="BH859" s="3282"/>
      <c r="BJ859" s="2589"/>
      <c r="BK859" s="2126"/>
      <c r="BL859" s="2126"/>
      <c r="BM859" s="2126"/>
      <c r="BN859" s="2126"/>
      <c r="BO859" s="2126"/>
      <c r="BP859" s="2126"/>
      <c r="BQ859" s="2126"/>
      <c r="BR859" s="2126"/>
      <c r="BS859" s="2126"/>
    </row>
    <row r="860" spans="1:71" s="3030" customFormat="1">
      <c r="A860" s="2126"/>
      <c r="B860" s="2126"/>
      <c r="C860" s="2149"/>
      <c r="D860" s="3248"/>
      <c r="E860" s="525"/>
      <c r="F860" s="525"/>
      <c r="G860" s="526"/>
      <c r="K860" s="3280"/>
      <c r="P860" s="3041"/>
      <c r="X860" s="3280"/>
      <c r="AA860" s="3041"/>
      <c r="AF860" s="3041"/>
      <c r="AN860" s="3280"/>
      <c r="AZ860" s="3041"/>
      <c r="BD860" s="3281"/>
      <c r="BH860" s="3282"/>
      <c r="BJ860" s="2589"/>
      <c r="BK860" s="2126"/>
      <c r="BL860" s="2126"/>
      <c r="BM860" s="2126"/>
      <c r="BN860" s="2126"/>
      <c r="BO860" s="2126"/>
      <c r="BP860" s="2126"/>
      <c r="BQ860" s="2126"/>
      <c r="BR860" s="2126"/>
      <c r="BS860" s="2126"/>
    </row>
    <row r="861" spans="1:71" s="3030" customFormat="1">
      <c r="A861" s="2126"/>
      <c r="B861" s="2126"/>
      <c r="C861" s="2149"/>
      <c r="D861" s="3248"/>
      <c r="E861" s="525"/>
      <c r="F861" s="525"/>
      <c r="G861" s="526"/>
      <c r="K861" s="3280"/>
      <c r="P861" s="3041"/>
      <c r="X861" s="3280"/>
      <c r="AA861" s="3041"/>
      <c r="AF861" s="3041"/>
      <c r="AN861" s="3280"/>
      <c r="AZ861" s="3041"/>
      <c r="BD861" s="3281"/>
      <c r="BH861" s="3282"/>
      <c r="BJ861" s="2589"/>
      <c r="BK861" s="2126"/>
      <c r="BL861" s="2126"/>
      <c r="BM861" s="2126"/>
      <c r="BN861" s="2126"/>
      <c r="BO861" s="2126"/>
      <c r="BP861" s="2126"/>
      <c r="BQ861" s="2126"/>
      <c r="BR861" s="2126"/>
      <c r="BS861" s="2126"/>
    </row>
    <row r="862" spans="1:71" s="3030" customFormat="1">
      <c r="A862" s="2126"/>
      <c r="B862" s="2126"/>
      <c r="C862" s="2149"/>
      <c r="D862" s="3248"/>
      <c r="E862" s="525"/>
      <c r="F862" s="525"/>
      <c r="G862" s="526"/>
      <c r="K862" s="3280"/>
      <c r="P862" s="3041"/>
      <c r="X862" s="3280"/>
      <c r="AA862" s="3041"/>
      <c r="AF862" s="3041"/>
      <c r="AN862" s="3280"/>
      <c r="AZ862" s="3041"/>
      <c r="BD862" s="3281"/>
      <c r="BH862" s="3282"/>
      <c r="BJ862" s="2589"/>
      <c r="BK862" s="2126"/>
      <c r="BL862" s="2126"/>
      <c r="BM862" s="2126"/>
      <c r="BN862" s="2126"/>
      <c r="BO862" s="2126"/>
      <c r="BP862" s="2126"/>
      <c r="BQ862" s="2126"/>
      <c r="BR862" s="2126"/>
      <c r="BS862" s="2126"/>
    </row>
    <row r="863" spans="1:71" s="3030" customFormat="1">
      <c r="A863" s="2126"/>
      <c r="B863" s="2126"/>
      <c r="C863" s="2149"/>
      <c r="D863" s="3248"/>
      <c r="E863" s="525"/>
      <c r="F863" s="525"/>
      <c r="G863" s="526"/>
      <c r="K863" s="3280"/>
      <c r="P863" s="3041"/>
      <c r="X863" s="3280"/>
      <c r="AA863" s="3041"/>
      <c r="AF863" s="3041"/>
      <c r="AN863" s="3280"/>
      <c r="AZ863" s="3041"/>
      <c r="BD863" s="3281"/>
      <c r="BH863" s="3282"/>
      <c r="BJ863" s="2589"/>
      <c r="BK863" s="2126"/>
      <c r="BL863" s="2126"/>
      <c r="BM863" s="2126"/>
      <c r="BN863" s="2126"/>
      <c r="BO863" s="2126"/>
      <c r="BP863" s="2126"/>
      <c r="BQ863" s="2126"/>
      <c r="BR863" s="2126"/>
      <c r="BS863" s="2126"/>
    </row>
    <row r="864" spans="1:71" s="3030" customFormat="1">
      <c r="A864" s="2126"/>
      <c r="B864" s="2126"/>
      <c r="C864" s="2149"/>
      <c r="D864" s="3248"/>
      <c r="E864" s="525"/>
      <c r="F864" s="525"/>
      <c r="G864" s="526"/>
      <c r="K864" s="3280"/>
      <c r="P864" s="3041"/>
      <c r="X864" s="3280"/>
      <c r="AA864" s="3041"/>
      <c r="AF864" s="3041"/>
      <c r="AN864" s="3280"/>
      <c r="AZ864" s="3041"/>
      <c r="BD864" s="3281"/>
      <c r="BH864" s="3282"/>
      <c r="BJ864" s="2589"/>
      <c r="BK864" s="2126"/>
      <c r="BL864" s="2126"/>
      <c r="BM864" s="2126"/>
      <c r="BN864" s="2126"/>
      <c r="BO864" s="2126"/>
      <c r="BP864" s="2126"/>
      <c r="BQ864" s="2126"/>
      <c r="BR864" s="2126"/>
      <c r="BS864" s="2126"/>
    </row>
    <row r="865" spans="1:71" s="3030" customFormat="1">
      <c r="A865" s="2126"/>
      <c r="B865" s="2126"/>
      <c r="C865" s="2149"/>
      <c r="D865" s="3248"/>
      <c r="E865" s="525"/>
      <c r="F865" s="525"/>
      <c r="G865" s="526"/>
      <c r="K865" s="3280"/>
      <c r="P865" s="3041"/>
      <c r="X865" s="3280"/>
      <c r="AA865" s="3041"/>
      <c r="AF865" s="3041"/>
      <c r="AN865" s="3280"/>
      <c r="AZ865" s="3041"/>
      <c r="BD865" s="3281"/>
      <c r="BH865" s="3282"/>
      <c r="BJ865" s="2589"/>
      <c r="BK865" s="2126"/>
      <c r="BL865" s="2126"/>
      <c r="BM865" s="2126"/>
      <c r="BN865" s="2126"/>
      <c r="BO865" s="2126"/>
      <c r="BP865" s="2126"/>
      <c r="BQ865" s="2126"/>
      <c r="BR865" s="2126"/>
      <c r="BS865" s="2126"/>
    </row>
    <row r="866" spans="1:71" s="3030" customFormat="1">
      <c r="A866" s="2126"/>
      <c r="B866" s="2126"/>
      <c r="C866" s="2149"/>
      <c r="D866" s="3248"/>
      <c r="E866" s="525"/>
      <c r="F866" s="525"/>
      <c r="G866" s="526"/>
      <c r="K866" s="3280"/>
      <c r="P866" s="3041"/>
      <c r="X866" s="3280"/>
      <c r="AA866" s="3041"/>
      <c r="AF866" s="3041"/>
      <c r="AN866" s="3280"/>
      <c r="AZ866" s="3041"/>
      <c r="BD866" s="3281"/>
      <c r="BH866" s="3282"/>
      <c r="BJ866" s="2589"/>
      <c r="BK866" s="2126"/>
      <c r="BL866" s="2126"/>
      <c r="BM866" s="2126"/>
      <c r="BN866" s="2126"/>
      <c r="BO866" s="2126"/>
      <c r="BP866" s="2126"/>
      <c r="BQ866" s="2126"/>
      <c r="BR866" s="2126"/>
      <c r="BS866" s="2126"/>
    </row>
    <row r="867" spans="1:71" s="3030" customFormat="1">
      <c r="A867" s="2126"/>
      <c r="B867" s="2126"/>
      <c r="C867" s="2149"/>
      <c r="D867" s="3248"/>
      <c r="E867" s="525"/>
      <c r="F867" s="525"/>
      <c r="G867" s="526"/>
      <c r="K867" s="3280"/>
      <c r="P867" s="3041"/>
      <c r="X867" s="3280"/>
      <c r="AA867" s="3041"/>
      <c r="AF867" s="3041"/>
      <c r="AN867" s="3280"/>
      <c r="AZ867" s="3041"/>
      <c r="BD867" s="3281"/>
      <c r="BH867" s="3282"/>
      <c r="BJ867" s="2589"/>
      <c r="BK867" s="2126"/>
      <c r="BL867" s="2126"/>
      <c r="BM867" s="2126"/>
      <c r="BN867" s="2126"/>
      <c r="BO867" s="2126"/>
      <c r="BP867" s="2126"/>
      <c r="BQ867" s="2126"/>
      <c r="BR867" s="2126"/>
      <c r="BS867" s="2126"/>
    </row>
    <row r="868" spans="1:71" s="3030" customFormat="1">
      <c r="A868" s="2126"/>
      <c r="B868" s="2126"/>
      <c r="C868" s="2149"/>
      <c r="D868" s="3248"/>
      <c r="E868" s="525"/>
      <c r="F868" s="525"/>
      <c r="G868" s="526"/>
      <c r="K868" s="3280"/>
      <c r="P868" s="3041"/>
      <c r="X868" s="3280"/>
      <c r="AA868" s="3041"/>
      <c r="AF868" s="3041"/>
      <c r="AN868" s="3280"/>
      <c r="AZ868" s="3041"/>
      <c r="BD868" s="3281"/>
      <c r="BH868" s="3282"/>
      <c r="BJ868" s="2589"/>
      <c r="BK868" s="2126"/>
      <c r="BL868" s="2126"/>
      <c r="BM868" s="2126"/>
      <c r="BN868" s="2126"/>
      <c r="BO868" s="2126"/>
      <c r="BP868" s="2126"/>
      <c r="BQ868" s="2126"/>
      <c r="BR868" s="2126"/>
      <c r="BS868" s="2126"/>
    </row>
    <row r="869" spans="1:71" s="3030" customFormat="1">
      <c r="A869" s="2126"/>
      <c r="B869" s="2126"/>
      <c r="C869" s="2149"/>
      <c r="D869" s="3248"/>
      <c r="E869" s="525"/>
      <c r="F869" s="525"/>
      <c r="G869" s="526"/>
      <c r="K869" s="3280"/>
      <c r="P869" s="3041"/>
      <c r="X869" s="3280"/>
      <c r="AA869" s="3041"/>
      <c r="AF869" s="3041"/>
      <c r="AN869" s="3280"/>
      <c r="AZ869" s="3041"/>
      <c r="BD869" s="3281"/>
      <c r="BH869" s="3282"/>
      <c r="BJ869" s="2589"/>
      <c r="BK869" s="2126"/>
      <c r="BL869" s="2126"/>
      <c r="BM869" s="2126"/>
      <c r="BN869" s="2126"/>
      <c r="BO869" s="2126"/>
      <c r="BP869" s="2126"/>
      <c r="BQ869" s="2126"/>
      <c r="BR869" s="2126"/>
      <c r="BS869" s="2126"/>
    </row>
    <row r="870" spans="1:71" s="3030" customFormat="1">
      <c r="A870" s="2126"/>
      <c r="B870" s="2126"/>
      <c r="C870" s="2149"/>
      <c r="D870" s="3248"/>
      <c r="E870" s="525"/>
      <c r="F870" s="525"/>
      <c r="G870" s="526"/>
      <c r="K870" s="3280"/>
      <c r="P870" s="3041"/>
      <c r="X870" s="3280"/>
      <c r="AA870" s="3041"/>
      <c r="AF870" s="3041"/>
      <c r="AN870" s="3280"/>
      <c r="AZ870" s="3041"/>
      <c r="BD870" s="3281"/>
      <c r="BH870" s="3282"/>
      <c r="BJ870" s="2589"/>
      <c r="BK870" s="2126"/>
      <c r="BL870" s="2126"/>
      <c r="BM870" s="2126"/>
      <c r="BN870" s="2126"/>
      <c r="BO870" s="2126"/>
      <c r="BP870" s="2126"/>
      <c r="BQ870" s="2126"/>
      <c r="BR870" s="2126"/>
      <c r="BS870" s="2126"/>
    </row>
    <row r="871" spans="1:71" s="3030" customFormat="1">
      <c r="A871" s="2126"/>
      <c r="B871" s="2126"/>
      <c r="C871" s="2149"/>
      <c r="D871" s="3248"/>
      <c r="E871" s="525"/>
      <c r="F871" s="525"/>
      <c r="G871" s="526"/>
      <c r="K871" s="3280"/>
      <c r="P871" s="3041"/>
      <c r="X871" s="3280"/>
      <c r="AA871" s="3041"/>
      <c r="AF871" s="3041"/>
      <c r="AN871" s="3280"/>
      <c r="AZ871" s="3041"/>
      <c r="BD871" s="3281"/>
      <c r="BH871" s="3282"/>
      <c r="BJ871" s="2589"/>
      <c r="BK871" s="2126"/>
      <c r="BL871" s="2126"/>
      <c r="BM871" s="2126"/>
      <c r="BN871" s="2126"/>
      <c r="BO871" s="2126"/>
      <c r="BP871" s="2126"/>
      <c r="BQ871" s="2126"/>
      <c r="BR871" s="2126"/>
      <c r="BS871" s="2126"/>
    </row>
    <row r="872" spans="1:71" s="3030" customFormat="1">
      <c r="A872" s="2126"/>
      <c r="B872" s="2126"/>
      <c r="C872" s="2149"/>
      <c r="D872" s="3248"/>
      <c r="E872" s="525"/>
      <c r="F872" s="525"/>
      <c r="G872" s="526"/>
      <c r="K872" s="3280"/>
      <c r="P872" s="3041"/>
      <c r="X872" s="3280"/>
      <c r="AA872" s="3041"/>
      <c r="AF872" s="3041"/>
      <c r="AN872" s="3280"/>
      <c r="AZ872" s="3041"/>
      <c r="BD872" s="3281"/>
      <c r="BH872" s="3282"/>
      <c r="BJ872" s="2589"/>
      <c r="BK872" s="2126"/>
      <c r="BL872" s="2126"/>
      <c r="BM872" s="2126"/>
      <c r="BN872" s="2126"/>
      <c r="BO872" s="2126"/>
      <c r="BP872" s="2126"/>
      <c r="BQ872" s="2126"/>
      <c r="BR872" s="2126"/>
      <c r="BS872" s="2126"/>
    </row>
    <row r="873" spans="1:71" s="3030" customFormat="1">
      <c r="A873" s="2126"/>
      <c r="B873" s="2126"/>
      <c r="C873" s="2149"/>
      <c r="D873" s="3248"/>
      <c r="E873" s="525"/>
      <c r="F873" s="525"/>
      <c r="G873" s="526"/>
      <c r="K873" s="3280"/>
      <c r="P873" s="3041"/>
      <c r="X873" s="3280"/>
      <c r="AA873" s="3041"/>
      <c r="AF873" s="3041"/>
      <c r="AN873" s="3280"/>
      <c r="AZ873" s="3041"/>
      <c r="BD873" s="3281"/>
      <c r="BH873" s="3282"/>
      <c r="BJ873" s="2589"/>
      <c r="BK873" s="2126"/>
      <c r="BL873" s="2126"/>
      <c r="BM873" s="2126"/>
      <c r="BN873" s="2126"/>
      <c r="BO873" s="2126"/>
      <c r="BP873" s="2126"/>
      <c r="BQ873" s="2126"/>
      <c r="BR873" s="2126"/>
      <c r="BS873" s="2126"/>
    </row>
    <row r="874" spans="1:71" s="3030" customFormat="1">
      <c r="A874" s="2126"/>
      <c r="B874" s="2126"/>
      <c r="C874" s="2149"/>
      <c r="D874" s="3248"/>
      <c r="E874" s="525"/>
      <c r="F874" s="525"/>
      <c r="G874" s="526"/>
      <c r="K874" s="3280"/>
      <c r="P874" s="3041"/>
      <c r="X874" s="3280"/>
      <c r="AA874" s="3041"/>
      <c r="AF874" s="3041"/>
      <c r="AN874" s="3280"/>
      <c r="AZ874" s="3041"/>
      <c r="BD874" s="3281"/>
      <c r="BH874" s="3282"/>
      <c r="BJ874" s="2589"/>
      <c r="BK874" s="2126"/>
      <c r="BL874" s="2126"/>
      <c r="BM874" s="2126"/>
      <c r="BN874" s="2126"/>
      <c r="BO874" s="2126"/>
      <c r="BP874" s="2126"/>
      <c r="BQ874" s="2126"/>
      <c r="BR874" s="2126"/>
      <c r="BS874" s="2126"/>
    </row>
    <row r="875" spans="1:71" s="3030" customFormat="1">
      <c r="A875" s="2126"/>
      <c r="B875" s="2126"/>
      <c r="C875" s="2149"/>
      <c r="D875" s="3248"/>
      <c r="E875" s="525"/>
      <c r="F875" s="525"/>
      <c r="G875" s="526"/>
      <c r="K875" s="3280"/>
      <c r="P875" s="3041"/>
      <c r="X875" s="3280"/>
      <c r="AA875" s="3041"/>
      <c r="AF875" s="3041"/>
      <c r="AN875" s="3280"/>
      <c r="AZ875" s="3041"/>
      <c r="BD875" s="3281"/>
      <c r="BH875" s="3282"/>
      <c r="BJ875" s="2589"/>
      <c r="BK875" s="2126"/>
      <c r="BL875" s="2126"/>
      <c r="BM875" s="2126"/>
      <c r="BN875" s="2126"/>
      <c r="BO875" s="2126"/>
      <c r="BP875" s="2126"/>
      <c r="BQ875" s="2126"/>
      <c r="BR875" s="2126"/>
      <c r="BS875" s="2126"/>
    </row>
    <row r="876" spans="1:71" s="3030" customFormat="1">
      <c r="A876" s="2126"/>
      <c r="B876" s="2126"/>
      <c r="C876" s="2149"/>
      <c r="D876" s="3248"/>
      <c r="E876" s="525"/>
      <c r="F876" s="525"/>
      <c r="G876" s="526"/>
      <c r="K876" s="3280"/>
      <c r="P876" s="3041"/>
      <c r="X876" s="3280"/>
      <c r="AA876" s="3041"/>
      <c r="AF876" s="3041"/>
      <c r="AN876" s="3280"/>
      <c r="AZ876" s="3041"/>
      <c r="BD876" s="3281"/>
      <c r="BH876" s="3282"/>
      <c r="BJ876" s="2589"/>
      <c r="BK876" s="2126"/>
      <c r="BL876" s="2126"/>
      <c r="BM876" s="2126"/>
      <c r="BN876" s="2126"/>
      <c r="BO876" s="2126"/>
      <c r="BP876" s="2126"/>
      <c r="BQ876" s="2126"/>
      <c r="BR876" s="2126"/>
      <c r="BS876" s="2126"/>
    </row>
    <row r="877" spans="1:71" s="3030" customFormat="1">
      <c r="A877" s="2126"/>
      <c r="B877" s="2126"/>
      <c r="C877" s="2149"/>
      <c r="D877" s="3248"/>
      <c r="E877" s="525"/>
      <c r="F877" s="525"/>
      <c r="G877" s="526"/>
      <c r="K877" s="3280"/>
      <c r="P877" s="3041"/>
      <c r="X877" s="3280"/>
      <c r="AA877" s="3041"/>
      <c r="AF877" s="3041"/>
      <c r="AN877" s="3280"/>
      <c r="AZ877" s="3041"/>
      <c r="BD877" s="3281"/>
      <c r="BH877" s="3282"/>
      <c r="BJ877" s="2589"/>
      <c r="BK877" s="2126"/>
      <c r="BL877" s="2126"/>
      <c r="BM877" s="2126"/>
      <c r="BN877" s="2126"/>
      <c r="BO877" s="2126"/>
      <c r="BP877" s="2126"/>
      <c r="BQ877" s="2126"/>
      <c r="BR877" s="2126"/>
      <c r="BS877" s="2126"/>
    </row>
    <row r="878" spans="1:71" s="3030" customFormat="1">
      <c r="A878" s="2126"/>
      <c r="B878" s="2126"/>
      <c r="C878" s="2149"/>
      <c r="D878" s="3248"/>
      <c r="E878" s="525"/>
      <c r="F878" s="525"/>
      <c r="G878" s="526"/>
      <c r="K878" s="3280"/>
      <c r="P878" s="3041"/>
      <c r="X878" s="3280"/>
      <c r="AA878" s="3041"/>
      <c r="AF878" s="3041"/>
      <c r="AN878" s="3280"/>
      <c r="AZ878" s="3041"/>
      <c r="BD878" s="3281"/>
      <c r="BH878" s="3282"/>
      <c r="BJ878" s="2589"/>
      <c r="BK878" s="2126"/>
      <c r="BL878" s="2126"/>
      <c r="BM878" s="2126"/>
      <c r="BN878" s="2126"/>
      <c r="BO878" s="2126"/>
      <c r="BP878" s="2126"/>
      <c r="BQ878" s="2126"/>
      <c r="BR878" s="2126"/>
      <c r="BS878" s="2126"/>
    </row>
    <row r="879" spans="1:71" s="3030" customFormat="1">
      <c r="A879" s="2126"/>
      <c r="B879" s="2126"/>
      <c r="C879" s="2149"/>
      <c r="D879" s="3248"/>
      <c r="E879" s="525"/>
      <c r="F879" s="525"/>
      <c r="G879" s="526"/>
      <c r="K879" s="3280"/>
      <c r="P879" s="3041"/>
      <c r="X879" s="3280"/>
      <c r="AA879" s="3041"/>
      <c r="AF879" s="3041"/>
      <c r="AN879" s="3280"/>
      <c r="AZ879" s="3041"/>
      <c r="BD879" s="3281"/>
      <c r="BH879" s="3282"/>
      <c r="BJ879" s="2589"/>
      <c r="BK879" s="2126"/>
      <c r="BL879" s="2126"/>
      <c r="BM879" s="2126"/>
      <c r="BN879" s="2126"/>
      <c r="BO879" s="2126"/>
      <c r="BP879" s="2126"/>
      <c r="BQ879" s="2126"/>
      <c r="BR879" s="2126"/>
      <c r="BS879" s="2126"/>
    </row>
    <row r="880" spans="1:71" s="3030" customFormat="1">
      <c r="A880" s="2126"/>
      <c r="B880" s="2126"/>
      <c r="C880" s="2149"/>
      <c r="D880" s="3248"/>
      <c r="E880" s="525"/>
      <c r="F880" s="525"/>
      <c r="G880" s="526"/>
      <c r="K880" s="3280"/>
      <c r="P880" s="3041"/>
      <c r="X880" s="3280"/>
      <c r="AA880" s="3041"/>
      <c r="AF880" s="3041"/>
      <c r="AN880" s="3280"/>
      <c r="AZ880" s="3041"/>
      <c r="BD880" s="3281"/>
      <c r="BH880" s="3282"/>
      <c r="BJ880" s="2589"/>
      <c r="BK880" s="2126"/>
      <c r="BL880" s="2126"/>
      <c r="BM880" s="2126"/>
      <c r="BN880" s="2126"/>
      <c r="BO880" s="2126"/>
      <c r="BP880" s="2126"/>
      <c r="BQ880" s="2126"/>
      <c r="BR880" s="2126"/>
      <c r="BS880" s="2126"/>
    </row>
    <row r="881" spans="1:71" s="3030" customFormat="1">
      <c r="A881" s="2126"/>
      <c r="B881" s="2126"/>
      <c r="C881" s="2149"/>
      <c r="D881" s="3248"/>
      <c r="E881" s="525"/>
      <c r="F881" s="525"/>
      <c r="G881" s="526"/>
      <c r="K881" s="3280"/>
      <c r="P881" s="3041"/>
      <c r="X881" s="3280"/>
      <c r="AA881" s="3041"/>
      <c r="AF881" s="3041"/>
      <c r="AN881" s="3280"/>
      <c r="AZ881" s="3041"/>
      <c r="BD881" s="3281"/>
      <c r="BH881" s="3282"/>
      <c r="BJ881" s="2589"/>
      <c r="BK881" s="2126"/>
      <c r="BL881" s="2126"/>
      <c r="BM881" s="2126"/>
      <c r="BN881" s="2126"/>
      <c r="BO881" s="2126"/>
      <c r="BP881" s="2126"/>
      <c r="BQ881" s="2126"/>
      <c r="BR881" s="2126"/>
      <c r="BS881" s="2126"/>
    </row>
    <row r="882" spans="1:71" s="3030" customFormat="1">
      <c r="A882" s="2126"/>
      <c r="B882" s="2126"/>
      <c r="C882" s="2149"/>
      <c r="D882" s="3248"/>
      <c r="E882" s="525"/>
      <c r="F882" s="525"/>
      <c r="G882" s="526"/>
      <c r="K882" s="3280"/>
      <c r="P882" s="3041"/>
      <c r="X882" s="3280"/>
      <c r="AA882" s="3041"/>
      <c r="AF882" s="3041"/>
      <c r="AN882" s="3280"/>
      <c r="AZ882" s="3041"/>
      <c r="BD882" s="3281"/>
      <c r="BH882" s="3282"/>
      <c r="BJ882" s="2589"/>
      <c r="BK882" s="2126"/>
      <c r="BL882" s="2126"/>
      <c r="BM882" s="2126"/>
      <c r="BN882" s="2126"/>
      <c r="BO882" s="2126"/>
      <c r="BP882" s="2126"/>
      <c r="BQ882" s="2126"/>
      <c r="BR882" s="2126"/>
      <c r="BS882" s="2126"/>
    </row>
    <row r="883" spans="1:71" s="3030" customFormat="1">
      <c r="A883" s="2126"/>
      <c r="B883" s="2126"/>
      <c r="C883" s="2149"/>
      <c r="D883" s="3248"/>
      <c r="E883" s="525"/>
      <c r="F883" s="525"/>
      <c r="G883" s="526"/>
      <c r="K883" s="3280"/>
      <c r="P883" s="3041"/>
      <c r="X883" s="3280"/>
      <c r="AA883" s="3041"/>
      <c r="AF883" s="3041"/>
      <c r="AN883" s="3280"/>
      <c r="AZ883" s="3041"/>
      <c r="BD883" s="3281"/>
      <c r="BH883" s="3282"/>
      <c r="BJ883" s="2589"/>
      <c r="BK883" s="2126"/>
      <c r="BL883" s="2126"/>
      <c r="BM883" s="2126"/>
      <c r="BN883" s="2126"/>
      <c r="BO883" s="2126"/>
      <c r="BP883" s="2126"/>
      <c r="BQ883" s="2126"/>
      <c r="BR883" s="2126"/>
      <c r="BS883" s="2126"/>
    </row>
    <row r="884" spans="1:71" s="3030" customFormat="1">
      <c r="A884" s="2126"/>
      <c r="B884" s="2126"/>
      <c r="C884" s="2149"/>
      <c r="D884" s="3248"/>
      <c r="E884" s="525"/>
      <c r="F884" s="525"/>
      <c r="G884" s="526"/>
      <c r="K884" s="3280"/>
      <c r="P884" s="3041"/>
      <c r="X884" s="3280"/>
      <c r="AA884" s="3041"/>
      <c r="AF884" s="3041"/>
      <c r="AN884" s="3280"/>
      <c r="AZ884" s="3041"/>
      <c r="BD884" s="3281"/>
      <c r="BH884" s="3282"/>
      <c r="BJ884" s="2589"/>
      <c r="BK884" s="2126"/>
      <c r="BL884" s="2126"/>
      <c r="BM884" s="2126"/>
      <c r="BN884" s="2126"/>
      <c r="BO884" s="2126"/>
      <c r="BP884" s="2126"/>
      <c r="BQ884" s="2126"/>
      <c r="BR884" s="2126"/>
      <c r="BS884" s="2126"/>
    </row>
    <row r="885" spans="1:71" s="3030" customFormat="1">
      <c r="A885" s="2126"/>
      <c r="B885" s="2126"/>
      <c r="C885" s="2149"/>
      <c r="D885" s="3248"/>
      <c r="E885" s="525"/>
      <c r="F885" s="525"/>
      <c r="G885" s="526"/>
      <c r="K885" s="3280"/>
      <c r="P885" s="3041"/>
      <c r="X885" s="3280"/>
      <c r="AA885" s="3041"/>
      <c r="AF885" s="3041"/>
      <c r="AN885" s="3280"/>
      <c r="AZ885" s="3041"/>
      <c r="BD885" s="3281"/>
      <c r="BH885" s="3282"/>
      <c r="BJ885" s="2589"/>
      <c r="BK885" s="2126"/>
      <c r="BL885" s="2126"/>
      <c r="BM885" s="2126"/>
      <c r="BN885" s="2126"/>
      <c r="BO885" s="2126"/>
      <c r="BP885" s="2126"/>
      <c r="BQ885" s="2126"/>
      <c r="BR885" s="2126"/>
      <c r="BS885" s="2126"/>
    </row>
    <row r="886" spans="1:71" s="3030" customFormat="1">
      <c r="A886" s="2126"/>
      <c r="B886" s="2126"/>
      <c r="C886" s="2149"/>
      <c r="D886" s="3248"/>
      <c r="E886" s="525"/>
      <c r="F886" s="525"/>
      <c r="G886" s="526"/>
      <c r="K886" s="3280"/>
      <c r="P886" s="3041"/>
      <c r="X886" s="3280"/>
      <c r="AA886" s="3041"/>
      <c r="AF886" s="3041"/>
      <c r="AN886" s="3280"/>
      <c r="AZ886" s="3041"/>
      <c r="BD886" s="3281"/>
      <c r="BH886" s="3282"/>
      <c r="BJ886" s="2589"/>
      <c r="BK886" s="2126"/>
      <c r="BL886" s="2126"/>
      <c r="BM886" s="2126"/>
      <c r="BN886" s="2126"/>
      <c r="BO886" s="2126"/>
      <c r="BP886" s="2126"/>
      <c r="BQ886" s="2126"/>
      <c r="BR886" s="2126"/>
      <c r="BS886" s="2126"/>
    </row>
    <row r="887" spans="1:71" s="3030" customFormat="1">
      <c r="A887" s="2126"/>
      <c r="B887" s="2126"/>
      <c r="C887" s="2149"/>
      <c r="D887" s="3248"/>
      <c r="E887" s="525"/>
      <c r="F887" s="525"/>
      <c r="G887" s="526"/>
      <c r="K887" s="3280"/>
      <c r="P887" s="3041"/>
      <c r="X887" s="3280"/>
      <c r="AA887" s="3041"/>
      <c r="AF887" s="3041"/>
      <c r="AN887" s="3280"/>
      <c r="AZ887" s="3041"/>
      <c r="BD887" s="3281"/>
      <c r="BH887" s="3282"/>
      <c r="BJ887" s="2589"/>
      <c r="BK887" s="2126"/>
      <c r="BL887" s="2126"/>
      <c r="BM887" s="2126"/>
      <c r="BN887" s="2126"/>
      <c r="BO887" s="2126"/>
      <c r="BP887" s="2126"/>
      <c r="BQ887" s="2126"/>
      <c r="BR887" s="2126"/>
      <c r="BS887" s="2126"/>
    </row>
    <row r="888" spans="1:71" s="3030" customFormat="1">
      <c r="A888" s="2126"/>
      <c r="B888" s="2126"/>
      <c r="C888" s="2149"/>
      <c r="D888" s="3248"/>
      <c r="E888" s="525"/>
      <c r="F888" s="525"/>
      <c r="G888" s="526"/>
      <c r="K888" s="3280"/>
      <c r="P888" s="3041"/>
      <c r="X888" s="3280"/>
      <c r="AA888" s="3041"/>
      <c r="AF888" s="3041"/>
      <c r="AN888" s="3280"/>
      <c r="AZ888" s="3041"/>
      <c r="BD888" s="3281"/>
      <c r="BH888" s="3282"/>
      <c r="BJ888" s="2589"/>
      <c r="BK888" s="2126"/>
      <c r="BL888" s="2126"/>
      <c r="BM888" s="2126"/>
      <c r="BN888" s="2126"/>
      <c r="BO888" s="2126"/>
      <c r="BP888" s="2126"/>
      <c r="BQ888" s="2126"/>
      <c r="BR888" s="2126"/>
      <c r="BS888" s="2126"/>
    </row>
    <row r="889" spans="1:71" s="3030" customFormat="1">
      <c r="A889" s="2126"/>
      <c r="B889" s="2126"/>
      <c r="C889" s="2149"/>
      <c r="D889" s="3248"/>
      <c r="E889" s="525"/>
      <c r="F889" s="525"/>
      <c r="G889" s="526"/>
      <c r="K889" s="3280"/>
      <c r="P889" s="3041"/>
      <c r="X889" s="3280"/>
      <c r="AA889" s="3041"/>
      <c r="AF889" s="3041"/>
      <c r="AN889" s="3280"/>
      <c r="AZ889" s="3041"/>
      <c r="BD889" s="3281"/>
      <c r="BH889" s="3282"/>
      <c r="BJ889" s="2589"/>
      <c r="BK889" s="2126"/>
      <c r="BL889" s="2126"/>
      <c r="BM889" s="2126"/>
      <c r="BN889" s="2126"/>
      <c r="BO889" s="2126"/>
      <c r="BP889" s="2126"/>
      <c r="BQ889" s="2126"/>
      <c r="BR889" s="2126"/>
      <c r="BS889" s="2126"/>
    </row>
    <row r="890" spans="1:71" s="3030" customFormat="1">
      <c r="A890" s="2126"/>
      <c r="B890" s="2126"/>
      <c r="C890" s="2149"/>
      <c r="D890" s="3248"/>
      <c r="E890" s="525"/>
      <c r="F890" s="525"/>
      <c r="G890" s="526"/>
      <c r="K890" s="3280"/>
      <c r="P890" s="3041"/>
      <c r="X890" s="3280"/>
      <c r="AA890" s="3041"/>
      <c r="AF890" s="3041"/>
      <c r="AN890" s="3280"/>
      <c r="AZ890" s="3041"/>
      <c r="BD890" s="3281"/>
      <c r="BH890" s="3282"/>
      <c r="BJ890" s="2589"/>
      <c r="BK890" s="2126"/>
      <c r="BL890" s="2126"/>
      <c r="BM890" s="2126"/>
      <c r="BN890" s="2126"/>
      <c r="BO890" s="2126"/>
      <c r="BP890" s="2126"/>
      <c r="BQ890" s="2126"/>
      <c r="BR890" s="2126"/>
      <c r="BS890" s="2126"/>
    </row>
    <row r="891" spans="1:71" s="3030" customFormat="1">
      <c r="A891" s="2126"/>
      <c r="B891" s="2126"/>
      <c r="C891" s="2149"/>
      <c r="D891" s="3248"/>
      <c r="E891" s="525"/>
      <c r="F891" s="525"/>
      <c r="G891" s="526"/>
      <c r="K891" s="3280"/>
      <c r="P891" s="3041"/>
      <c r="X891" s="3280"/>
      <c r="AA891" s="3041"/>
      <c r="AF891" s="3041"/>
      <c r="AN891" s="3280"/>
      <c r="AZ891" s="3041"/>
      <c r="BD891" s="3281"/>
      <c r="BH891" s="3282"/>
      <c r="BJ891" s="2589"/>
      <c r="BK891" s="2126"/>
      <c r="BL891" s="2126"/>
      <c r="BM891" s="2126"/>
      <c r="BN891" s="2126"/>
      <c r="BO891" s="2126"/>
      <c r="BP891" s="2126"/>
      <c r="BQ891" s="2126"/>
      <c r="BR891" s="2126"/>
      <c r="BS891" s="2126"/>
    </row>
    <row r="892" spans="1:71" s="3030" customFormat="1">
      <c r="A892" s="2126"/>
      <c r="B892" s="2126"/>
      <c r="C892" s="2149"/>
      <c r="D892" s="3248"/>
      <c r="E892" s="525"/>
      <c r="F892" s="525"/>
      <c r="G892" s="526"/>
      <c r="K892" s="3280"/>
      <c r="P892" s="3041"/>
      <c r="X892" s="3280"/>
      <c r="AA892" s="3041"/>
      <c r="AF892" s="3041"/>
      <c r="AN892" s="3280"/>
      <c r="AZ892" s="3041"/>
      <c r="BD892" s="3281"/>
      <c r="BH892" s="3282"/>
      <c r="BJ892" s="2589"/>
      <c r="BK892" s="2126"/>
      <c r="BL892" s="2126"/>
      <c r="BM892" s="2126"/>
      <c r="BN892" s="2126"/>
      <c r="BO892" s="2126"/>
      <c r="BP892" s="2126"/>
      <c r="BQ892" s="2126"/>
      <c r="BR892" s="2126"/>
      <c r="BS892" s="2126"/>
    </row>
    <row r="893" spans="1:71" s="3030" customFormat="1">
      <c r="A893" s="2126"/>
      <c r="B893" s="2126"/>
      <c r="C893" s="2149"/>
      <c r="D893" s="3248"/>
      <c r="E893" s="525"/>
      <c r="F893" s="525"/>
      <c r="G893" s="526"/>
      <c r="K893" s="3280"/>
      <c r="P893" s="3041"/>
      <c r="X893" s="3280"/>
      <c r="AA893" s="3041"/>
      <c r="AF893" s="3041"/>
      <c r="AN893" s="3280"/>
      <c r="AZ893" s="3041"/>
      <c r="BD893" s="3281"/>
      <c r="BH893" s="3282"/>
      <c r="BJ893" s="2589"/>
      <c r="BK893" s="2126"/>
      <c r="BL893" s="2126"/>
      <c r="BM893" s="2126"/>
      <c r="BN893" s="2126"/>
      <c r="BO893" s="2126"/>
      <c r="BP893" s="2126"/>
      <c r="BQ893" s="2126"/>
      <c r="BR893" s="2126"/>
      <c r="BS893" s="2126"/>
    </row>
    <row r="894" spans="1:71" s="3030" customFormat="1">
      <c r="A894" s="2126"/>
      <c r="B894" s="2126"/>
      <c r="C894" s="2149"/>
      <c r="D894" s="3248"/>
      <c r="E894" s="525"/>
      <c r="F894" s="525"/>
      <c r="G894" s="526"/>
      <c r="K894" s="3280"/>
      <c r="P894" s="3041"/>
      <c r="X894" s="3280"/>
      <c r="AA894" s="3041"/>
      <c r="AF894" s="3041"/>
      <c r="AN894" s="3280"/>
      <c r="AZ894" s="3041"/>
      <c r="BD894" s="3281"/>
      <c r="BH894" s="3282"/>
      <c r="BJ894" s="2589"/>
      <c r="BK894" s="2126"/>
      <c r="BL894" s="2126"/>
      <c r="BM894" s="2126"/>
      <c r="BN894" s="2126"/>
      <c r="BO894" s="2126"/>
      <c r="BP894" s="2126"/>
      <c r="BQ894" s="2126"/>
      <c r="BR894" s="2126"/>
      <c r="BS894" s="2126"/>
    </row>
    <row r="895" spans="1:71" s="3030" customFormat="1">
      <c r="A895" s="2126"/>
      <c r="B895" s="2126"/>
      <c r="C895" s="2149"/>
      <c r="D895" s="3248"/>
      <c r="E895" s="525"/>
      <c r="F895" s="525"/>
      <c r="G895" s="526"/>
      <c r="K895" s="3280"/>
      <c r="P895" s="3041"/>
      <c r="X895" s="3280"/>
      <c r="AA895" s="3041"/>
      <c r="AF895" s="3041"/>
      <c r="AN895" s="3280"/>
      <c r="AZ895" s="3041"/>
      <c r="BD895" s="3281"/>
      <c r="BH895" s="3282"/>
      <c r="BJ895" s="2589"/>
      <c r="BK895" s="2126"/>
      <c r="BL895" s="2126"/>
      <c r="BM895" s="2126"/>
      <c r="BN895" s="2126"/>
      <c r="BO895" s="2126"/>
      <c r="BP895" s="2126"/>
      <c r="BQ895" s="2126"/>
      <c r="BR895" s="2126"/>
      <c r="BS895" s="2126"/>
    </row>
    <row r="896" spans="1:71" s="3030" customFormat="1">
      <c r="A896" s="2126"/>
      <c r="B896" s="2126"/>
      <c r="C896" s="2149"/>
      <c r="D896" s="3248"/>
      <c r="E896" s="525"/>
      <c r="F896" s="525"/>
      <c r="G896" s="526"/>
      <c r="K896" s="3280"/>
      <c r="P896" s="3041"/>
      <c r="X896" s="3280"/>
      <c r="AA896" s="3041"/>
      <c r="AF896" s="3041"/>
      <c r="AN896" s="3280"/>
      <c r="AZ896" s="3041"/>
      <c r="BD896" s="3281"/>
      <c r="BH896" s="3282"/>
      <c r="BJ896" s="2589"/>
      <c r="BK896" s="2126"/>
      <c r="BL896" s="2126"/>
      <c r="BM896" s="2126"/>
      <c r="BN896" s="2126"/>
      <c r="BO896" s="2126"/>
      <c r="BP896" s="2126"/>
      <c r="BQ896" s="2126"/>
      <c r="BR896" s="2126"/>
      <c r="BS896" s="2126"/>
    </row>
    <row r="897" spans="1:71" s="3030" customFormat="1">
      <c r="A897" s="2126"/>
      <c r="B897" s="2126"/>
      <c r="C897" s="2149"/>
      <c r="D897" s="3248"/>
      <c r="E897" s="525"/>
      <c r="F897" s="525"/>
      <c r="G897" s="526"/>
      <c r="K897" s="3280"/>
      <c r="P897" s="3041"/>
      <c r="X897" s="3280"/>
      <c r="AA897" s="3041"/>
      <c r="AF897" s="3041"/>
      <c r="AN897" s="3280"/>
      <c r="AZ897" s="3041"/>
      <c r="BD897" s="3281"/>
      <c r="BH897" s="3282"/>
      <c r="BJ897" s="2589"/>
      <c r="BK897" s="2126"/>
      <c r="BL897" s="2126"/>
      <c r="BM897" s="2126"/>
      <c r="BN897" s="2126"/>
      <c r="BO897" s="2126"/>
      <c r="BP897" s="2126"/>
      <c r="BQ897" s="2126"/>
      <c r="BR897" s="2126"/>
      <c r="BS897" s="2126"/>
    </row>
    <row r="898" spans="1:71" s="3030" customFormat="1">
      <c r="A898" s="2126"/>
      <c r="B898" s="2126"/>
      <c r="C898" s="2149"/>
      <c r="D898" s="3248"/>
      <c r="E898" s="525"/>
      <c r="F898" s="525"/>
      <c r="G898" s="526"/>
      <c r="K898" s="3280"/>
      <c r="P898" s="3041"/>
      <c r="X898" s="3280"/>
      <c r="AA898" s="3041"/>
      <c r="AF898" s="3041"/>
      <c r="AN898" s="3280"/>
      <c r="AZ898" s="3041"/>
      <c r="BD898" s="3281"/>
      <c r="BH898" s="3282"/>
      <c r="BJ898" s="2589"/>
      <c r="BK898" s="2126"/>
      <c r="BL898" s="2126"/>
      <c r="BM898" s="2126"/>
      <c r="BN898" s="2126"/>
      <c r="BO898" s="2126"/>
      <c r="BP898" s="2126"/>
      <c r="BQ898" s="2126"/>
      <c r="BR898" s="2126"/>
      <c r="BS898" s="2126"/>
    </row>
    <row r="899" spans="1:71" s="3030" customFormat="1">
      <c r="A899" s="2126"/>
      <c r="B899" s="2126"/>
      <c r="C899" s="2149"/>
      <c r="D899" s="3248"/>
      <c r="E899" s="525"/>
      <c r="F899" s="525"/>
      <c r="G899" s="526"/>
      <c r="K899" s="3280"/>
      <c r="P899" s="3041"/>
      <c r="X899" s="3280"/>
      <c r="AA899" s="3041"/>
      <c r="AF899" s="3041"/>
      <c r="AN899" s="3280"/>
      <c r="AZ899" s="3041"/>
      <c r="BD899" s="3281"/>
      <c r="BH899" s="3282"/>
      <c r="BJ899" s="2589"/>
      <c r="BK899" s="2126"/>
      <c r="BL899" s="2126"/>
      <c r="BM899" s="2126"/>
      <c r="BN899" s="2126"/>
      <c r="BO899" s="2126"/>
      <c r="BP899" s="2126"/>
      <c r="BQ899" s="2126"/>
      <c r="BR899" s="2126"/>
      <c r="BS899" s="2126"/>
    </row>
    <row r="900" spans="1:71" s="3030" customFormat="1">
      <c r="A900" s="2126"/>
      <c r="B900" s="2126"/>
      <c r="C900" s="2149"/>
      <c r="D900" s="3248"/>
      <c r="E900" s="525"/>
      <c r="F900" s="525"/>
      <c r="G900" s="526"/>
      <c r="K900" s="3280"/>
      <c r="P900" s="3041"/>
      <c r="X900" s="3280"/>
      <c r="AA900" s="3041"/>
      <c r="AF900" s="3041"/>
      <c r="AN900" s="3280"/>
      <c r="AZ900" s="3041"/>
      <c r="BD900" s="3281"/>
      <c r="BH900" s="3282"/>
      <c r="BJ900" s="2589"/>
      <c r="BK900" s="2126"/>
      <c r="BL900" s="2126"/>
      <c r="BM900" s="2126"/>
      <c r="BN900" s="2126"/>
      <c r="BO900" s="2126"/>
      <c r="BP900" s="2126"/>
      <c r="BQ900" s="2126"/>
      <c r="BR900" s="2126"/>
      <c r="BS900" s="2126"/>
    </row>
    <row r="901" spans="1:71" s="3030" customFormat="1">
      <c r="A901" s="2126"/>
      <c r="B901" s="2126"/>
      <c r="C901" s="2149"/>
      <c r="D901" s="3248"/>
      <c r="E901" s="525"/>
      <c r="F901" s="525"/>
      <c r="G901" s="526"/>
      <c r="K901" s="3280"/>
      <c r="P901" s="3041"/>
      <c r="X901" s="3280"/>
      <c r="AA901" s="3041"/>
      <c r="AF901" s="3041"/>
      <c r="AN901" s="3280"/>
      <c r="AZ901" s="3041"/>
      <c r="BD901" s="3281"/>
      <c r="BH901" s="3282"/>
      <c r="BJ901" s="2589"/>
      <c r="BK901" s="2126"/>
      <c r="BL901" s="2126"/>
      <c r="BM901" s="2126"/>
      <c r="BN901" s="2126"/>
      <c r="BO901" s="2126"/>
      <c r="BP901" s="2126"/>
      <c r="BQ901" s="2126"/>
      <c r="BR901" s="2126"/>
      <c r="BS901" s="2126"/>
    </row>
    <row r="902" spans="1:71" s="3030" customFormat="1">
      <c r="A902" s="2126"/>
      <c r="B902" s="2126"/>
      <c r="C902" s="2149"/>
      <c r="D902" s="3248"/>
      <c r="E902" s="525"/>
      <c r="F902" s="525"/>
      <c r="G902" s="526"/>
      <c r="K902" s="3280"/>
      <c r="P902" s="3041"/>
      <c r="X902" s="3280"/>
      <c r="AA902" s="3041"/>
      <c r="AF902" s="3041"/>
      <c r="AN902" s="3280"/>
      <c r="AZ902" s="3041"/>
      <c r="BD902" s="3281"/>
      <c r="BH902" s="3282"/>
      <c r="BJ902" s="2589"/>
      <c r="BK902" s="2126"/>
      <c r="BL902" s="2126"/>
      <c r="BM902" s="2126"/>
      <c r="BN902" s="2126"/>
      <c r="BO902" s="2126"/>
      <c r="BP902" s="2126"/>
      <c r="BQ902" s="2126"/>
      <c r="BR902" s="2126"/>
      <c r="BS902" s="2126"/>
    </row>
    <row r="903" spans="1:71" s="3030" customFormat="1">
      <c r="A903" s="2126"/>
      <c r="B903" s="2126"/>
      <c r="C903" s="2149"/>
      <c r="D903" s="3248"/>
      <c r="E903" s="525"/>
      <c r="F903" s="525"/>
      <c r="G903" s="526"/>
      <c r="K903" s="3280"/>
      <c r="P903" s="3041"/>
      <c r="X903" s="3280"/>
      <c r="AA903" s="3041"/>
      <c r="AF903" s="3041"/>
      <c r="AN903" s="3280"/>
      <c r="AZ903" s="3041"/>
      <c r="BD903" s="3281"/>
      <c r="BH903" s="3282"/>
      <c r="BJ903" s="2589"/>
      <c r="BK903" s="2126"/>
      <c r="BL903" s="2126"/>
      <c r="BM903" s="2126"/>
      <c r="BN903" s="2126"/>
      <c r="BO903" s="2126"/>
      <c r="BP903" s="2126"/>
      <c r="BQ903" s="2126"/>
      <c r="BR903" s="2126"/>
      <c r="BS903" s="2126"/>
    </row>
    <row r="904" spans="1:71" s="3030" customFormat="1">
      <c r="A904" s="2126"/>
      <c r="B904" s="2126"/>
      <c r="C904" s="2149"/>
      <c r="D904" s="3248"/>
      <c r="E904" s="525"/>
      <c r="F904" s="525"/>
      <c r="G904" s="526"/>
      <c r="K904" s="3280"/>
      <c r="P904" s="3041"/>
      <c r="X904" s="3280"/>
      <c r="AA904" s="3041"/>
      <c r="AF904" s="3041"/>
      <c r="AN904" s="3280"/>
      <c r="AZ904" s="3041"/>
      <c r="BD904" s="3281"/>
      <c r="BH904" s="3282"/>
      <c r="BJ904" s="2589"/>
      <c r="BK904" s="2126"/>
      <c r="BL904" s="2126"/>
      <c r="BM904" s="2126"/>
      <c r="BN904" s="2126"/>
      <c r="BO904" s="2126"/>
      <c r="BP904" s="2126"/>
      <c r="BQ904" s="2126"/>
      <c r="BR904" s="2126"/>
      <c r="BS904" s="2126"/>
    </row>
    <row r="905" spans="1:71" s="3030" customFormat="1">
      <c r="A905" s="2126"/>
      <c r="B905" s="2126"/>
      <c r="C905" s="2149"/>
      <c r="D905" s="3248"/>
      <c r="E905" s="525"/>
      <c r="F905" s="525"/>
      <c r="G905" s="526"/>
      <c r="K905" s="3280"/>
      <c r="P905" s="3041"/>
      <c r="X905" s="3280"/>
      <c r="AA905" s="3041"/>
      <c r="AF905" s="3041"/>
      <c r="AN905" s="3280"/>
      <c r="AZ905" s="3041"/>
      <c r="BD905" s="3281"/>
      <c r="BH905" s="3282"/>
      <c r="BJ905" s="2589"/>
      <c r="BK905" s="2126"/>
      <c r="BL905" s="2126"/>
      <c r="BM905" s="2126"/>
      <c r="BN905" s="2126"/>
      <c r="BO905" s="2126"/>
      <c r="BP905" s="2126"/>
      <c r="BQ905" s="2126"/>
      <c r="BR905" s="2126"/>
      <c r="BS905" s="2126"/>
    </row>
    <row r="906" spans="1:71" s="3030" customFormat="1">
      <c r="A906" s="2126"/>
      <c r="B906" s="2126"/>
      <c r="C906" s="2149"/>
      <c r="D906" s="3248"/>
      <c r="E906" s="525"/>
      <c r="F906" s="525"/>
      <c r="G906" s="526"/>
      <c r="K906" s="3280"/>
      <c r="P906" s="3041"/>
      <c r="X906" s="3280"/>
      <c r="AA906" s="3041"/>
      <c r="AF906" s="3041"/>
      <c r="AN906" s="3280"/>
      <c r="AZ906" s="3041"/>
      <c r="BD906" s="3281"/>
      <c r="BH906" s="3282"/>
      <c r="BJ906" s="2589"/>
      <c r="BK906" s="2126"/>
      <c r="BL906" s="2126"/>
      <c r="BM906" s="2126"/>
      <c r="BN906" s="2126"/>
      <c r="BO906" s="2126"/>
      <c r="BP906" s="2126"/>
      <c r="BQ906" s="2126"/>
      <c r="BR906" s="2126"/>
      <c r="BS906" s="2126"/>
    </row>
    <row r="907" spans="1:71" s="3030" customFormat="1">
      <c r="A907" s="2126"/>
      <c r="B907" s="2126"/>
      <c r="C907" s="2149"/>
      <c r="D907" s="3248"/>
      <c r="E907" s="525"/>
      <c r="F907" s="525"/>
      <c r="G907" s="526"/>
      <c r="K907" s="3280"/>
      <c r="P907" s="3041"/>
      <c r="X907" s="3280"/>
      <c r="AA907" s="3041"/>
      <c r="AF907" s="3041"/>
      <c r="AN907" s="3280"/>
      <c r="AZ907" s="3041"/>
      <c r="BD907" s="3281"/>
      <c r="BH907" s="3282"/>
      <c r="BJ907" s="2589"/>
      <c r="BK907" s="2126"/>
      <c r="BL907" s="2126"/>
      <c r="BM907" s="2126"/>
      <c r="BN907" s="2126"/>
      <c r="BO907" s="2126"/>
      <c r="BP907" s="2126"/>
      <c r="BQ907" s="2126"/>
      <c r="BR907" s="2126"/>
      <c r="BS907" s="2126"/>
    </row>
    <row r="908" spans="1:71" s="3030" customFormat="1">
      <c r="A908" s="2126"/>
      <c r="B908" s="2126"/>
      <c r="C908" s="2149"/>
      <c r="D908" s="3248"/>
      <c r="E908" s="525"/>
      <c r="F908" s="525"/>
      <c r="G908" s="526"/>
      <c r="K908" s="3280"/>
      <c r="P908" s="3041"/>
      <c r="X908" s="3280"/>
      <c r="AA908" s="3041"/>
      <c r="AF908" s="3041"/>
      <c r="AN908" s="3280"/>
      <c r="AZ908" s="3041"/>
      <c r="BD908" s="3281"/>
      <c r="BH908" s="3282"/>
      <c r="BJ908" s="2589"/>
      <c r="BK908" s="2126"/>
      <c r="BL908" s="2126"/>
      <c r="BM908" s="2126"/>
      <c r="BN908" s="2126"/>
      <c r="BO908" s="2126"/>
      <c r="BP908" s="2126"/>
      <c r="BQ908" s="2126"/>
      <c r="BR908" s="2126"/>
      <c r="BS908" s="2126"/>
    </row>
    <row r="909" spans="1:71" s="3030" customFormat="1">
      <c r="A909" s="2126"/>
      <c r="B909" s="2126"/>
      <c r="C909" s="2149"/>
      <c r="D909" s="3248"/>
      <c r="E909" s="525"/>
      <c r="F909" s="525"/>
      <c r="G909" s="526"/>
      <c r="K909" s="3280"/>
      <c r="P909" s="3041"/>
      <c r="X909" s="3280"/>
      <c r="AA909" s="3041"/>
      <c r="AF909" s="3041"/>
      <c r="AN909" s="3280"/>
      <c r="AZ909" s="3041"/>
      <c r="BD909" s="3281"/>
      <c r="BH909" s="3282"/>
      <c r="BJ909" s="2589"/>
      <c r="BK909" s="2126"/>
      <c r="BL909" s="2126"/>
      <c r="BM909" s="2126"/>
      <c r="BN909" s="2126"/>
      <c r="BO909" s="2126"/>
      <c r="BP909" s="2126"/>
      <c r="BQ909" s="2126"/>
      <c r="BR909" s="2126"/>
      <c r="BS909" s="2126"/>
    </row>
    <row r="910" spans="1:71" s="3030" customFormat="1">
      <c r="A910" s="2126"/>
      <c r="B910" s="2126"/>
      <c r="C910" s="2149"/>
      <c r="D910" s="3248"/>
      <c r="E910" s="525"/>
      <c r="F910" s="525"/>
      <c r="G910" s="526"/>
      <c r="K910" s="3280"/>
      <c r="P910" s="3041"/>
      <c r="X910" s="3280"/>
      <c r="AA910" s="3041"/>
      <c r="AF910" s="3041"/>
      <c r="AN910" s="3280"/>
      <c r="AZ910" s="3041"/>
      <c r="BD910" s="3281"/>
      <c r="BH910" s="3282"/>
      <c r="BJ910" s="2589"/>
      <c r="BK910" s="2126"/>
      <c r="BL910" s="2126"/>
      <c r="BM910" s="2126"/>
      <c r="BN910" s="2126"/>
      <c r="BO910" s="2126"/>
      <c r="BP910" s="2126"/>
      <c r="BQ910" s="2126"/>
      <c r="BR910" s="2126"/>
      <c r="BS910" s="2126"/>
    </row>
    <row r="911" spans="1:71" s="3030" customFormat="1">
      <c r="A911" s="2126"/>
      <c r="B911" s="2126"/>
      <c r="C911" s="2149"/>
      <c r="D911" s="3248"/>
      <c r="E911" s="525"/>
      <c r="F911" s="525"/>
      <c r="G911" s="526"/>
      <c r="K911" s="3280"/>
      <c r="P911" s="3041"/>
      <c r="X911" s="3280"/>
      <c r="AA911" s="3041"/>
      <c r="AF911" s="3041"/>
      <c r="AN911" s="3280"/>
      <c r="AZ911" s="3041"/>
      <c r="BD911" s="3281"/>
      <c r="BH911" s="3282"/>
      <c r="BJ911" s="2589"/>
      <c r="BK911" s="2126"/>
      <c r="BL911" s="2126"/>
      <c r="BM911" s="2126"/>
      <c r="BN911" s="2126"/>
      <c r="BO911" s="2126"/>
      <c r="BP911" s="2126"/>
      <c r="BQ911" s="2126"/>
      <c r="BR911" s="2126"/>
      <c r="BS911" s="2126"/>
    </row>
    <row r="912" spans="1:71" s="3030" customFormat="1">
      <c r="A912" s="2126"/>
      <c r="B912" s="2126"/>
      <c r="C912" s="2149"/>
      <c r="D912" s="3248"/>
      <c r="E912" s="525"/>
      <c r="F912" s="525"/>
      <c r="G912" s="526"/>
      <c r="K912" s="3280"/>
      <c r="P912" s="3041"/>
      <c r="X912" s="3280"/>
      <c r="AA912" s="3041"/>
      <c r="AF912" s="3041"/>
      <c r="AN912" s="3280"/>
      <c r="AZ912" s="3041"/>
      <c r="BD912" s="3281"/>
      <c r="BH912" s="3282"/>
      <c r="BJ912" s="2589"/>
      <c r="BK912" s="2126"/>
      <c r="BL912" s="2126"/>
      <c r="BM912" s="2126"/>
      <c r="BN912" s="2126"/>
      <c r="BO912" s="2126"/>
      <c r="BP912" s="2126"/>
      <c r="BQ912" s="2126"/>
      <c r="BR912" s="2126"/>
      <c r="BS912" s="2126"/>
    </row>
    <row r="913" spans="1:71" s="3030" customFormat="1">
      <c r="A913" s="2126"/>
      <c r="B913" s="2126"/>
      <c r="C913" s="2149"/>
      <c r="D913" s="3248"/>
      <c r="E913" s="525"/>
      <c r="F913" s="525"/>
      <c r="G913" s="526"/>
      <c r="K913" s="3280"/>
      <c r="P913" s="3041"/>
      <c r="X913" s="3280"/>
      <c r="AA913" s="3041"/>
      <c r="AF913" s="3041"/>
      <c r="AN913" s="3280"/>
      <c r="AZ913" s="3041"/>
      <c r="BD913" s="3281"/>
      <c r="BH913" s="3282"/>
      <c r="BJ913" s="2589"/>
      <c r="BK913" s="2126"/>
      <c r="BL913" s="2126"/>
      <c r="BM913" s="2126"/>
      <c r="BN913" s="2126"/>
      <c r="BO913" s="2126"/>
      <c r="BP913" s="2126"/>
      <c r="BQ913" s="2126"/>
      <c r="BR913" s="2126"/>
      <c r="BS913" s="2126"/>
    </row>
    <row r="914" spans="1:71" s="3030" customFormat="1">
      <c r="A914" s="2126"/>
      <c r="B914" s="2126"/>
      <c r="C914" s="2149"/>
      <c r="D914" s="3248"/>
      <c r="E914" s="525"/>
      <c r="F914" s="525"/>
      <c r="G914" s="526"/>
      <c r="K914" s="3280"/>
      <c r="P914" s="3041"/>
      <c r="X914" s="3280"/>
      <c r="AA914" s="3041"/>
      <c r="AF914" s="3041"/>
      <c r="AN914" s="3280"/>
      <c r="AZ914" s="3041"/>
      <c r="BD914" s="3281"/>
      <c r="BH914" s="3282"/>
      <c r="BJ914" s="2589"/>
      <c r="BK914" s="2126"/>
      <c r="BL914" s="2126"/>
      <c r="BM914" s="2126"/>
      <c r="BN914" s="2126"/>
      <c r="BO914" s="2126"/>
      <c r="BP914" s="2126"/>
      <c r="BQ914" s="2126"/>
      <c r="BR914" s="2126"/>
      <c r="BS914" s="2126"/>
    </row>
    <row r="915" spans="1:71" s="3030" customFormat="1">
      <c r="A915" s="2126"/>
      <c r="B915" s="2126"/>
      <c r="C915" s="2149"/>
      <c r="D915" s="3248"/>
      <c r="E915" s="525"/>
      <c r="F915" s="525"/>
      <c r="G915" s="526"/>
      <c r="K915" s="3280"/>
      <c r="P915" s="3041"/>
      <c r="X915" s="3280"/>
      <c r="AA915" s="3041"/>
      <c r="AF915" s="3041"/>
      <c r="AN915" s="3280"/>
      <c r="AZ915" s="3041"/>
      <c r="BD915" s="3281"/>
      <c r="BH915" s="3282"/>
      <c r="BJ915" s="2589"/>
      <c r="BK915" s="2126"/>
      <c r="BL915" s="2126"/>
      <c r="BM915" s="2126"/>
      <c r="BN915" s="2126"/>
      <c r="BO915" s="2126"/>
      <c r="BP915" s="2126"/>
      <c r="BQ915" s="2126"/>
      <c r="BR915" s="2126"/>
      <c r="BS915" s="2126"/>
    </row>
    <row r="916" spans="1:71" s="3030" customFormat="1">
      <c r="A916" s="2126"/>
      <c r="B916" s="2126"/>
      <c r="C916" s="2149"/>
      <c r="D916" s="3248"/>
      <c r="E916" s="525"/>
      <c r="F916" s="525"/>
      <c r="G916" s="526"/>
      <c r="K916" s="3280"/>
      <c r="P916" s="3041"/>
      <c r="X916" s="3280"/>
      <c r="AA916" s="3041"/>
      <c r="AF916" s="3041"/>
      <c r="AN916" s="3280"/>
      <c r="AZ916" s="3041"/>
      <c r="BD916" s="3281"/>
      <c r="BH916" s="3282"/>
      <c r="BJ916" s="2589"/>
      <c r="BK916" s="2126"/>
      <c r="BL916" s="2126"/>
      <c r="BM916" s="2126"/>
      <c r="BN916" s="2126"/>
      <c r="BO916" s="2126"/>
      <c r="BP916" s="2126"/>
      <c r="BQ916" s="2126"/>
      <c r="BR916" s="2126"/>
      <c r="BS916" s="2126"/>
    </row>
    <row r="917" spans="1:71" s="3030" customFormat="1">
      <c r="A917" s="2126"/>
      <c r="B917" s="2126"/>
      <c r="C917" s="2149"/>
      <c r="D917" s="3248"/>
      <c r="E917" s="525"/>
      <c r="F917" s="525"/>
      <c r="G917" s="526"/>
      <c r="K917" s="3280"/>
      <c r="P917" s="3041"/>
      <c r="X917" s="3280"/>
      <c r="AA917" s="3041"/>
      <c r="AF917" s="3041"/>
      <c r="AN917" s="3280"/>
      <c r="AZ917" s="3041"/>
      <c r="BD917" s="3281"/>
      <c r="BH917" s="3282"/>
      <c r="BJ917" s="2589"/>
      <c r="BK917" s="2126"/>
      <c r="BL917" s="2126"/>
      <c r="BM917" s="2126"/>
      <c r="BN917" s="2126"/>
      <c r="BO917" s="2126"/>
      <c r="BP917" s="2126"/>
      <c r="BQ917" s="2126"/>
      <c r="BR917" s="2126"/>
      <c r="BS917" s="2126"/>
    </row>
    <row r="918" spans="1:71" s="3030" customFormat="1">
      <c r="A918" s="2126"/>
      <c r="B918" s="2126"/>
      <c r="C918" s="2149"/>
      <c r="D918" s="3248"/>
      <c r="E918" s="525"/>
      <c r="F918" s="525"/>
      <c r="G918" s="526"/>
      <c r="K918" s="3280"/>
      <c r="P918" s="3041"/>
      <c r="X918" s="3280"/>
      <c r="AA918" s="3041"/>
      <c r="AF918" s="3041"/>
      <c r="AN918" s="3280"/>
      <c r="AZ918" s="3041"/>
      <c r="BD918" s="3281"/>
      <c r="BH918" s="3282"/>
      <c r="BJ918" s="2589"/>
      <c r="BK918" s="2126"/>
      <c r="BL918" s="2126"/>
      <c r="BM918" s="2126"/>
      <c r="BN918" s="2126"/>
      <c r="BO918" s="2126"/>
      <c r="BP918" s="2126"/>
      <c r="BQ918" s="2126"/>
      <c r="BR918" s="2126"/>
      <c r="BS918" s="2126"/>
    </row>
    <row r="919" spans="1:71" s="3030" customFormat="1">
      <c r="A919" s="2126"/>
      <c r="B919" s="2126"/>
      <c r="C919" s="2149"/>
      <c r="D919" s="3248"/>
      <c r="E919" s="525"/>
      <c r="F919" s="525"/>
      <c r="G919" s="526"/>
      <c r="K919" s="3280"/>
      <c r="P919" s="3041"/>
      <c r="X919" s="3280"/>
      <c r="AA919" s="3041"/>
      <c r="AF919" s="3041"/>
      <c r="AN919" s="3280"/>
      <c r="AZ919" s="3041"/>
      <c r="BD919" s="3281"/>
      <c r="BH919" s="3282"/>
      <c r="BJ919" s="2589"/>
      <c r="BK919" s="2126"/>
      <c r="BL919" s="2126"/>
      <c r="BM919" s="2126"/>
      <c r="BN919" s="2126"/>
      <c r="BO919" s="2126"/>
      <c r="BP919" s="2126"/>
      <c r="BQ919" s="2126"/>
      <c r="BR919" s="2126"/>
      <c r="BS919" s="2126"/>
    </row>
    <row r="920" spans="1:71" s="3030" customFormat="1">
      <c r="A920" s="2126"/>
      <c r="B920" s="2126"/>
      <c r="C920" s="2149"/>
      <c r="D920" s="3248"/>
      <c r="E920" s="525"/>
      <c r="F920" s="525"/>
      <c r="G920" s="526"/>
      <c r="K920" s="3280"/>
      <c r="P920" s="3041"/>
      <c r="X920" s="3280"/>
      <c r="AA920" s="3041"/>
      <c r="AF920" s="3041"/>
      <c r="AN920" s="3280"/>
      <c r="AZ920" s="3041"/>
      <c r="BD920" s="3281"/>
      <c r="BH920" s="3282"/>
      <c r="BJ920" s="2589"/>
      <c r="BK920" s="2126"/>
      <c r="BL920" s="2126"/>
      <c r="BM920" s="2126"/>
      <c r="BN920" s="2126"/>
      <c r="BO920" s="2126"/>
      <c r="BP920" s="2126"/>
      <c r="BQ920" s="2126"/>
      <c r="BR920" s="2126"/>
      <c r="BS920" s="2126"/>
    </row>
    <row r="921" spans="1:71" s="3030" customFormat="1">
      <c r="A921" s="2126"/>
      <c r="B921" s="2126"/>
      <c r="C921" s="2149"/>
      <c r="D921" s="3248"/>
      <c r="E921" s="525"/>
      <c r="F921" s="525"/>
      <c r="G921" s="526"/>
      <c r="K921" s="3280"/>
      <c r="P921" s="3041"/>
      <c r="X921" s="3280"/>
      <c r="AA921" s="3041"/>
      <c r="AF921" s="3041"/>
      <c r="AN921" s="3280"/>
      <c r="AZ921" s="3041"/>
      <c r="BD921" s="3281"/>
      <c r="BH921" s="3282"/>
      <c r="BJ921" s="2589"/>
      <c r="BK921" s="2126"/>
      <c r="BL921" s="2126"/>
      <c r="BM921" s="2126"/>
      <c r="BN921" s="2126"/>
      <c r="BO921" s="2126"/>
      <c r="BP921" s="2126"/>
      <c r="BQ921" s="2126"/>
      <c r="BR921" s="2126"/>
      <c r="BS921" s="2126"/>
    </row>
    <row r="922" spans="1:71" s="3030" customFormat="1">
      <c r="A922" s="2126"/>
      <c r="B922" s="2126"/>
      <c r="C922" s="2149"/>
      <c r="D922" s="3248"/>
      <c r="E922" s="525"/>
      <c r="F922" s="525"/>
      <c r="G922" s="526"/>
      <c r="K922" s="3280"/>
      <c r="P922" s="3041"/>
      <c r="X922" s="3280"/>
      <c r="AA922" s="3041"/>
      <c r="AF922" s="3041"/>
      <c r="AN922" s="3280"/>
      <c r="AZ922" s="3041"/>
      <c r="BD922" s="3281"/>
      <c r="BH922" s="3282"/>
      <c r="BJ922" s="2589"/>
      <c r="BK922" s="2126"/>
      <c r="BL922" s="2126"/>
      <c r="BM922" s="2126"/>
      <c r="BN922" s="2126"/>
      <c r="BO922" s="2126"/>
      <c r="BP922" s="2126"/>
      <c r="BQ922" s="2126"/>
      <c r="BR922" s="2126"/>
      <c r="BS922" s="2126"/>
    </row>
    <row r="923" spans="1:71" s="3030" customFormat="1">
      <c r="A923" s="2126"/>
      <c r="B923" s="2126"/>
      <c r="C923" s="2149"/>
      <c r="D923" s="3248"/>
      <c r="E923" s="525"/>
      <c r="F923" s="525"/>
      <c r="G923" s="526"/>
      <c r="K923" s="3280"/>
      <c r="P923" s="3041"/>
      <c r="X923" s="3280"/>
      <c r="AA923" s="3041"/>
      <c r="AF923" s="3041"/>
      <c r="AN923" s="3280"/>
      <c r="AZ923" s="3041"/>
      <c r="BD923" s="3281"/>
      <c r="BH923" s="3282"/>
      <c r="BJ923" s="2589"/>
      <c r="BK923" s="2126"/>
      <c r="BL923" s="2126"/>
      <c r="BM923" s="2126"/>
      <c r="BN923" s="2126"/>
      <c r="BO923" s="2126"/>
      <c r="BP923" s="2126"/>
      <c r="BQ923" s="2126"/>
      <c r="BR923" s="2126"/>
      <c r="BS923" s="2126"/>
    </row>
    <row r="924" spans="1:71" s="3030" customFormat="1">
      <c r="A924" s="2126"/>
      <c r="B924" s="2126"/>
      <c r="C924" s="2149"/>
      <c r="D924" s="3248"/>
      <c r="E924" s="525"/>
      <c r="F924" s="525"/>
      <c r="G924" s="526"/>
      <c r="K924" s="3280"/>
      <c r="P924" s="3041"/>
      <c r="X924" s="3280"/>
      <c r="AA924" s="3041"/>
      <c r="AF924" s="3041"/>
      <c r="AN924" s="3280"/>
      <c r="AZ924" s="3041"/>
      <c r="BD924" s="3281"/>
      <c r="BH924" s="3282"/>
      <c r="BJ924" s="2589"/>
      <c r="BK924" s="2126"/>
      <c r="BL924" s="2126"/>
      <c r="BM924" s="2126"/>
      <c r="BN924" s="2126"/>
      <c r="BO924" s="2126"/>
      <c r="BP924" s="2126"/>
      <c r="BQ924" s="2126"/>
      <c r="BR924" s="2126"/>
      <c r="BS924" s="2126"/>
    </row>
    <row r="925" spans="1:71" s="3030" customFormat="1">
      <c r="A925" s="2126"/>
      <c r="B925" s="2126"/>
      <c r="C925" s="2149"/>
      <c r="D925" s="3248"/>
      <c r="E925" s="525"/>
      <c r="F925" s="525"/>
      <c r="G925" s="526"/>
      <c r="K925" s="3280"/>
      <c r="P925" s="3041"/>
      <c r="X925" s="3280"/>
      <c r="AA925" s="3041"/>
      <c r="AF925" s="3041"/>
      <c r="AN925" s="3280"/>
      <c r="AZ925" s="3041"/>
      <c r="BD925" s="3281"/>
      <c r="BH925" s="3282"/>
      <c r="BJ925" s="2589"/>
      <c r="BK925" s="2126"/>
      <c r="BL925" s="2126"/>
      <c r="BM925" s="2126"/>
      <c r="BN925" s="2126"/>
      <c r="BO925" s="2126"/>
      <c r="BP925" s="2126"/>
      <c r="BQ925" s="2126"/>
      <c r="BR925" s="2126"/>
      <c r="BS925" s="2126"/>
    </row>
    <row r="926" spans="1:71" s="3030" customFormat="1">
      <c r="A926" s="2126"/>
      <c r="B926" s="2126"/>
      <c r="C926" s="2149"/>
      <c r="D926" s="3248"/>
      <c r="E926" s="525"/>
      <c r="F926" s="525"/>
      <c r="G926" s="526"/>
      <c r="K926" s="3280"/>
      <c r="P926" s="3041"/>
      <c r="X926" s="3280"/>
      <c r="AA926" s="3041"/>
      <c r="AF926" s="3041"/>
      <c r="AN926" s="3280"/>
      <c r="AZ926" s="3041"/>
      <c r="BD926" s="3281"/>
      <c r="BH926" s="3282"/>
      <c r="BJ926" s="2589"/>
      <c r="BK926" s="2126"/>
      <c r="BL926" s="2126"/>
      <c r="BM926" s="2126"/>
      <c r="BN926" s="2126"/>
      <c r="BO926" s="2126"/>
      <c r="BP926" s="2126"/>
      <c r="BQ926" s="2126"/>
      <c r="BR926" s="2126"/>
      <c r="BS926" s="2126"/>
    </row>
    <row r="927" spans="1:71" s="3030" customFormat="1">
      <c r="A927" s="2126"/>
      <c r="B927" s="2126"/>
      <c r="C927" s="2149"/>
      <c r="D927" s="3248"/>
      <c r="E927" s="525"/>
      <c r="F927" s="525"/>
      <c r="G927" s="526"/>
      <c r="K927" s="3280"/>
      <c r="P927" s="3041"/>
      <c r="X927" s="3280"/>
      <c r="AA927" s="3041"/>
      <c r="AF927" s="3041"/>
      <c r="AN927" s="3280"/>
      <c r="AZ927" s="3041"/>
      <c r="BD927" s="3281"/>
      <c r="BH927" s="3282"/>
      <c r="BJ927" s="2589"/>
      <c r="BK927" s="2126"/>
      <c r="BL927" s="2126"/>
      <c r="BM927" s="2126"/>
      <c r="BN927" s="2126"/>
      <c r="BO927" s="2126"/>
      <c r="BP927" s="2126"/>
      <c r="BQ927" s="2126"/>
      <c r="BR927" s="2126"/>
      <c r="BS927" s="2126"/>
    </row>
    <row r="928" spans="1:71" s="3030" customFormat="1">
      <c r="A928" s="2126"/>
      <c r="B928" s="2126"/>
      <c r="C928" s="2149"/>
      <c r="D928" s="3248"/>
      <c r="E928" s="525"/>
      <c r="F928" s="525"/>
      <c r="G928" s="526"/>
      <c r="K928" s="3280"/>
      <c r="P928" s="3041"/>
      <c r="X928" s="3280"/>
      <c r="AA928" s="3041"/>
      <c r="AF928" s="3041"/>
      <c r="AN928" s="3280"/>
      <c r="AZ928" s="3041"/>
      <c r="BD928" s="3281"/>
      <c r="BH928" s="3282"/>
      <c r="BJ928" s="2589"/>
      <c r="BK928" s="2126"/>
      <c r="BL928" s="2126"/>
      <c r="BM928" s="2126"/>
      <c r="BN928" s="2126"/>
      <c r="BO928" s="2126"/>
      <c r="BP928" s="2126"/>
      <c r="BQ928" s="2126"/>
      <c r="BR928" s="2126"/>
      <c r="BS928" s="2126"/>
    </row>
    <row r="929" spans="1:71" s="3030" customFormat="1">
      <c r="A929" s="2126"/>
      <c r="B929" s="2126"/>
      <c r="C929" s="2149"/>
      <c r="D929" s="3248"/>
      <c r="E929" s="525"/>
      <c r="F929" s="525"/>
      <c r="G929" s="526"/>
      <c r="K929" s="3280"/>
      <c r="P929" s="3041"/>
      <c r="X929" s="3280"/>
      <c r="AA929" s="3041"/>
      <c r="AF929" s="3041"/>
      <c r="AN929" s="3280"/>
      <c r="AZ929" s="3041"/>
      <c r="BD929" s="3281"/>
      <c r="BH929" s="3282"/>
      <c r="BJ929" s="2589"/>
      <c r="BK929" s="2126"/>
      <c r="BL929" s="2126"/>
      <c r="BM929" s="2126"/>
      <c r="BN929" s="2126"/>
      <c r="BO929" s="2126"/>
      <c r="BP929" s="2126"/>
      <c r="BQ929" s="2126"/>
      <c r="BR929" s="2126"/>
      <c r="BS929" s="2126"/>
    </row>
    <row r="930" spans="1:71" s="3030" customFormat="1">
      <c r="A930" s="2126"/>
      <c r="B930" s="2126"/>
      <c r="C930" s="2149"/>
      <c r="D930" s="3248"/>
      <c r="E930" s="525"/>
      <c r="F930" s="525"/>
      <c r="G930" s="526"/>
      <c r="K930" s="3280"/>
      <c r="P930" s="3041"/>
      <c r="X930" s="3280"/>
      <c r="AA930" s="3041"/>
      <c r="AF930" s="3041"/>
      <c r="AN930" s="3280"/>
      <c r="AZ930" s="3041"/>
      <c r="BD930" s="3281"/>
      <c r="BH930" s="3282"/>
      <c r="BJ930" s="2589"/>
      <c r="BK930" s="2126"/>
      <c r="BL930" s="2126"/>
      <c r="BM930" s="2126"/>
      <c r="BN930" s="2126"/>
      <c r="BO930" s="2126"/>
      <c r="BP930" s="2126"/>
      <c r="BQ930" s="2126"/>
      <c r="BR930" s="2126"/>
      <c r="BS930" s="2126"/>
    </row>
    <row r="931" spans="1:71" s="3030" customFormat="1">
      <c r="A931" s="2126"/>
      <c r="B931" s="2126"/>
      <c r="C931" s="2149"/>
      <c r="D931" s="3248"/>
      <c r="E931" s="525"/>
      <c r="F931" s="525"/>
      <c r="G931" s="526"/>
      <c r="K931" s="3280"/>
      <c r="P931" s="3041"/>
      <c r="X931" s="3280"/>
      <c r="AA931" s="3041"/>
      <c r="AF931" s="3041"/>
      <c r="AN931" s="3280"/>
      <c r="AZ931" s="3041"/>
      <c r="BD931" s="3281"/>
      <c r="BH931" s="3282"/>
      <c r="BJ931" s="2589"/>
      <c r="BK931" s="2126"/>
      <c r="BL931" s="2126"/>
      <c r="BM931" s="2126"/>
      <c r="BN931" s="2126"/>
      <c r="BO931" s="2126"/>
      <c r="BP931" s="2126"/>
      <c r="BQ931" s="2126"/>
      <c r="BR931" s="2126"/>
      <c r="BS931" s="2126"/>
    </row>
    <row r="932" spans="1:71" s="3030" customFormat="1">
      <c r="A932" s="2126"/>
      <c r="B932" s="2126"/>
      <c r="C932" s="2149"/>
      <c r="D932" s="3248"/>
      <c r="E932" s="525"/>
      <c r="F932" s="525"/>
      <c r="G932" s="526"/>
      <c r="K932" s="3280"/>
      <c r="P932" s="3041"/>
      <c r="X932" s="3280"/>
      <c r="AA932" s="3041"/>
      <c r="AF932" s="3041"/>
      <c r="AN932" s="3280"/>
      <c r="AZ932" s="3041"/>
      <c r="BD932" s="3281"/>
      <c r="BH932" s="3282"/>
      <c r="BJ932" s="2589"/>
      <c r="BK932" s="2126"/>
      <c r="BL932" s="2126"/>
      <c r="BM932" s="2126"/>
      <c r="BN932" s="2126"/>
      <c r="BO932" s="2126"/>
      <c r="BP932" s="2126"/>
      <c r="BQ932" s="2126"/>
      <c r="BR932" s="2126"/>
      <c r="BS932" s="2126"/>
    </row>
    <row r="933" spans="1:71" s="3030" customFormat="1">
      <c r="A933" s="2126"/>
      <c r="B933" s="2126"/>
      <c r="C933" s="2149"/>
      <c r="D933" s="3248"/>
      <c r="E933" s="525"/>
      <c r="F933" s="525"/>
      <c r="G933" s="526"/>
      <c r="K933" s="3280"/>
      <c r="P933" s="3041"/>
      <c r="X933" s="3280"/>
      <c r="AA933" s="3041"/>
      <c r="AF933" s="3041"/>
      <c r="AN933" s="3280"/>
      <c r="AZ933" s="3041"/>
      <c r="BD933" s="3281"/>
      <c r="BH933" s="3282"/>
      <c r="BJ933" s="2589"/>
      <c r="BK933" s="2126"/>
      <c r="BL933" s="2126"/>
      <c r="BM933" s="2126"/>
      <c r="BN933" s="2126"/>
      <c r="BO933" s="2126"/>
      <c r="BP933" s="2126"/>
      <c r="BQ933" s="2126"/>
      <c r="BR933" s="2126"/>
      <c r="BS933" s="2126"/>
    </row>
    <row r="934" spans="1:71" s="3030" customFormat="1">
      <c r="A934" s="2126"/>
      <c r="B934" s="2126"/>
      <c r="C934" s="2149"/>
      <c r="D934" s="3248"/>
      <c r="E934" s="525"/>
      <c r="F934" s="525"/>
      <c r="G934" s="526"/>
      <c r="K934" s="3280"/>
      <c r="P934" s="3041"/>
      <c r="X934" s="3280"/>
      <c r="AA934" s="3041"/>
      <c r="AF934" s="3041"/>
      <c r="AN934" s="3280"/>
      <c r="AZ934" s="3041"/>
      <c r="BD934" s="3281"/>
      <c r="BH934" s="3282"/>
      <c r="BJ934" s="2589"/>
      <c r="BK934" s="2126"/>
      <c r="BL934" s="2126"/>
      <c r="BM934" s="2126"/>
      <c r="BN934" s="2126"/>
      <c r="BO934" s="2126"/>
      <c r="BP934" s="2126"/>
      <c r="BQ934" s="2126"/>
      <c r="BR934" s="2126"/>
      <c r="BS934" s="2126"/>
    </row>
    <row r="935" spans="1:71" s="3030" customFormat="1">
      <c r="A935" s="2126"/>
      <c r="B935" s="2126"/>
      <c r="C935" s="2149"/>
      <c r="D935" s="3248"/>
      <c r="E935" s="525"/>
      <c r="F935" s="525"/>
      <c r="G935" s="526"/>
      <c r="K935" s="3280"/>
      <c r="P935" s="3041"/>
      <c r="X935" s="3280"/>
      <c r="AA935" s="3041"/>
      <c r="AF935" s="3041"/>
      <c r="AN935" s="3280"/>
      <c r="AZ935" s="3041"/>
      <c r="BD935" s="3281"/>
      <c r="BH935" s="3282"/>
      <c r="BJ935" s="2589"/>
      <c r="BK935" s="2126"/>
      <c r="BL935" s="2126"/>
      <c r="BM935" s="2126"/>
      <c r="BN935" s="2126"/>
      <c r="BO935" s="2126"/>
      <c r="BP935" s="2126"/>
      <c r="BQ935" s="2126"/>
      <c r="BR935" s="2126"/>
      <c r="BS935" s="2126"/>
    </row>
    <row r="936" spans="1:71" s="3030" customFormat="1">
      <c r="A936" s="2126"/>
      <c r="B936" s="2126"/>
      <c r="C936" s="2149"/>
      <c r="D936" s="3248"/>
      <c r="E936" s="525"/>
      <c r="F936" s="525"/>
      <c r="G936" s="526"/>
      <c r="K936" s="3280"/>
      <c r="P936" s="3041"/>
      <c r="X936" s="3280"/>
      <c r="AA936" s="3041"/>
      <c r="AF936" s="3041"/>
      <c r="AN936" s="3280"/>
      <c r="AZ936" s="3041"/>
      <c r="BD936" s="3281"/>
      <c r="BH936" s="3282"/>
      <c r="BJ936" s="2589"/>
      <c r="BK936" s="2126"/>
      <c r="BL936" s="2126"/>
      <c r="BM936" s="2126"/>
      <c r="BN936" s="2126"/>
      <c r="BO936" s="2126"/>
      <c r="BP936" s="2126"/>
      <c r="BQ936" s="2126"/>
      <c r="BR936" s="2126"/>
      <c r="BS936" s="2126"/>
    </row>
    <row r="937" spans="1:71" s="3030" customFormat="1">
      <c r="A937" s="2126"/>
      <c r="B937" s="2126"/>
      <c r="C937" s="2149"/>
      <c r="D937" s="3248"/>
      <c r="E937" s="525"/>
      <c r="F937" s="525"/>
      <c r="G937" s="526"/>
      <c r="K937" s="3280"/>
      <c r="P937" s="3041"/>
      <c r="X937" s="3280"/>
      <c r="AA937" s="3041"/>
      <c r="AF937" s="3041"/>
      <c r="AN937" s="3280"/>
      <c r="AZ937" s="3041"/>
      <c r="BD937" s="3281"/>
      <c r="BH937" s="3282"/>
      <c r="BJ937" s="2589"/>
      <c r="BK937" s="2126"/>
      <c r="BL937" s="2126"/>
      <c r="BM937" s="2126"/>
      <c r="BN937" s="2126"/>
      <c r="BO937" s="2126"/>
      <c r="BP937" s="2126"/>
      <c r="BQ937" s="2126"/>
      <c r="BR937" s="2126"/>
      <c r="BS937" s="2126"/>
    </row>
    <row r="938" spans="1:71" s="3030" customFormat="1">
      <c r="A938" s="2126"/>
      <c r="B938" s="2126"/>
      <c r="C938" s="2149"/>
      <c r="D938" s="3248"/>
      <c r="E938" s="525"/>
      <c r="F938" s="525"/>
      <c r="G938" s="526"/>
      <c r="K938" s="3280"/>
      <c r="P938" s="3041"/>
      <c r="X938" s="3280"/>
      <c r="AA938" s="3041"/>
      <c r="AF938" s="3041"/>
      <c r="AN938" s="3280"/>
      <c r="AZ938" s="3041"/>
      <c r="BD938" s="3281"/>
      <c r="BH938" s="3282"/>
      <c r="BJ938" s="2589"/>
      <c r="BK938" s="2126"/>
      <c r="BL938" s="2126"/>
      <c r="BM938" s="2126"/>
      <c r="BN938" s="2126"/>
      <c r="BO938" s="2126"/>
      <c r="BP938" s="2126"/>
      <c r="BQ938" s="2126"/>
      <c r="BR938" s="2126"/>
      <c r="BS938" s="2126"/>
    </row>
    <row r="939" spans="1:71" s="3030" customFormat="1">
      <c r="A939" s="2126"/>
      <c r="B939" s="2126"/>
      <c r="C939" s="2149"/>
      <c r="D939" s="3248"/>
      <c r="E939" s="525"/>
      <c r="F939" s="525"/>
      <c r="G939" s="526"/>
      <c r="K939" s="3280"/>
      <c r="P939" s="3041"/>
      <c r="X939" s="3280"/>
      <c r="AA939" s="3041"/>
      <c r="AF939" s="3041"/>
      <c r="AN939" s="3280"/>
      <c r="AZ939" s="3041"/>
      <c r="BD939" s="3281"/>
      <c r="BH939" s="3282"/>
      <c r="BJ939" s="2589"/>
      <c r="BK939" s="2126"/>
      <c r="BL939" s="2126"/>
      <c r="BM939" s="2126"/>
      <c r="BN939" s="2126"/>
      <c r="BO939" s="2126"/>
      <c r="BP939" s="2126"/>
      <c r="BQ939" s="2126"/>
      <c r="BR939" s="2126"/>
      <c r="BS939" s="2126"/>
    </row>
    <row r="940" spans="1:71" s="3030" customFormat="1">
      <c r="A940" s="2126"/>
      <c r="B940" s="2126"/>
      <c r="C940" s="2149"/>
      <c r="D940" s="3248"/>
      <c r="E940" s="525"/>
      <c r="F940" s="525"/>
      <c r="G940" s="526"/>
      <c r="K940" s="3280"/>
      <c r="P940" s="3041"/>
      <c r="X940" s="3280"/>
      <c r="AA940" s="3041"/>
      <c r="AF940" s="3041"/>
      <c r="AN940" s="3280"/>
      <c r="AZ940" s="3041"/>
      <c r="BD940" s="3281"/>
      <c r="BH940" s="3282"/>
      <c r="BJ940" s="2589"/>
      <c r="BK940" s="2126"/>
      <c r="BL940" s="2126"/>
      <c r="BM940" s="2126"/>
      <c r="BN940" s="2126"/>
      <c r="BO940" s="2126"/>
      <c r="BP940" s="2126"/>
      <c r="BQ940" s="2126"/>
      <c r="BR940" s="2126"/>
      <c r="BS940" s="2126"/>
    </row>
    <row r="941" spans="1:71" s="3030" customFormat="1">
      <c r="A941" s="2126"/>
      <c r="B941" s="2126"/>
      <c r="C941" s="2149"/>
      <c r="D941" s="3248"/>
      <c r="E941" s="525"/>
      <c r="F941" s="525"/>
      <c r="G941" s="526"/>
      <c r="K941" s="3280"/>
      <c r="P941" s="3041"/>
      <c r="X941" s="3280"/>
      <c r="AA941" s="3041"/>
      <c r="AF941" s="3041"/>
      <c r="AN941" s="3280"/>
      <c r="AZ941" s="3041"/>
      <c r="BD941" s="3281"/>
      <c r="BH941" s="3282"/>
      <c r="BJ941" s="2589"/>
      <c r="BK941" s="2126"/>
      <c r="BL941" s="2126"/>
      <c r="BM941" s="2126"/>
      <c r="BN941" s="2126"/>
      <c r="BO941" s="2126"/>
      <c r="BP941" s="2126"/>
      <c r="BQ941" s="2126"/>
      <c r="BR941" s="2126"/>
      <c r="BS941" s="2126"/>
    </row>
    <row r="942" spans="1:71" s="3030" customFormat="1">
      <c r="A942" s="2126"/>
      <c r="B942" s="2126"/>
      <c r="C942" s="2149"/>
      <c r="D942" s="3248"/>
      <c r="E942" s="525"/>
      <c r="F942" s="525"/>
      <c r="G942" s="526"/>
      <c r="K942" s="3280"/>
      <c r="P942" s="3041"/>
      <c r="X942" s="3280"/>
      <c r="AA942" s="3041"/>
      <c r="AF942" s="3041"/>
      <c r="AN942" s="3280"/>
      <c r="AZ942" s="3041"/>
      <c r="BD942" s="3281"/>
      <c r="BH942" s="3282"/>
      <c r="BJ942" s="2589"/>
      <c r="BK942" s="2126"/>
      <c r="BL942" s="2126"/>
      <c r="BM942" s="2126"/>
      <c r="BN942" s="2126"/>
      <c r="BO942" s="2126"/>
      <c r="BP942" s="2126"/>
      <c r="BQ942" s="2126"/>
      <c r="BR942" s="2126"/>
      <c r="BS942" s="2126"/>
    </row>
    <row r="943" spans="1:71" s="3030" customFormat="1">
      <c r="A943" s="2126"/>
      <c r="B943" s="2126"/>
      <c r="C943" s="2149"/>
      <c r="D943" s="3248"/>
      <c r="E943" s="525"/>
      <c r="F943" s="525"/>
      <c r="G943" s="526"/>
      <c r="K943" s="3280"/>
      <c r="P943" s="3041"/>
      <c r="X943" s="3280"/>
      <c r="AA943" s="3041"/>
      <c r="AF943" s="3041"/>
      <c r="AN943" s="3280"/>
      <c r="AZ943" s="3041"/>
      <c r="BD943" s="3281"/>
      <c r="BH943" s="3282"/>
      <c r="BJ943" s="2589"/>
      <c r="BK943" s="2126"/>
      <c r="BL943" s="2126"/>
      <c r="BM943" s="2126"/>
      <c r="BN943" s="2126"/>
      <c r="BO943" s="2126"/>
      <c r="BP943" s="2126"/>
      <c r="BQ943" s="2126"/>
      <c r="BR943" s="2126"/>
      <c r="BS943" s="2126"/>
    </row>
    <row r="944" spans="1:71" s="3030" customFormat="1">
      <c r="A944" s="2126"/>
      <c r="B944" s="2126"/>
      <c r="C944" s="2149"/>
      <c r="D944" s="3248"/>
      <c r="E944" s="525"/>
      <c r="F944" s="525"/>
      <c r="G944" s="526"/>
      <c r="K944" s="3280"/>
      <c r="P944" s="3041"/>
      <c r="X944" s="3280"/>
      <c r="AA944" s="3041"/>
      <c r="AF944" s="3041"/>
      <c r="AN944" s="3280"/>
      <c r="AZ944" s="3041"/>
      <c r="BD944" s="3281"/>
      <c r="BH944" s="3282"/>
      <c r="BJ944" s="2589"/>
      <c r="BK944" s="2126"/>
      <c r="BL944" s="2126"/>
      <c r="BM944" s="2126"/>
      <c r="BN944" s="2126"/>
      <c r="BO944" s="2126"/>
      <c r="BP944" s="2126"/>
      <c r="BQ944" s="2126"/>
      <c r="BR944" s="2126"/>
      <c r="BS944" s="2126"/>
    </row>
    <row r="945" spans="1:71" s="3030" customFormat="1">
      <c r="A945" s="2126"/>
      <c r="B945" s="2126"/>
      <c r="C945" s="2149"/>
      <c r="D945" s="3248"/>
      <c r="E945" s="525"/>
      <c r="F945" s="525"/>
      <c r="G945" s="526"/>
      <c r="K945" s="3280"/>
      <c r="P945" s="3041"/>
      <c r="X945" s="3280"/>
      <c r="AA945" s="3041"/>
      <c r="AF945" s="3041"/>
      <c r="AN945" s="3280"/>
      <c r="AZ945" s="3041"/>
      <c r="BD945" s="3281"/>
      <c r="BH945" s="3282"/>
      <c r="BJ945" s="2589"/>
      <c r="BK945" s="2126"/>
      <c r="BL945" s="2126"/>
      <c r="BM945" s="2126"/>
      <c r="BN945" s="2126"/>
      <c r="BO945" s="2126"/>
      <c r="BP945" s="2126"/>
      <c r="BQ945" s="2126"/>
      <c r="BR945" s="2126"/>
      <c r="BS945" s="2126"/>
    </row>
    <row r="946" spans="1:71" s="3030" customFormat="1">
      <c r="A946" s="2126"/>
      <c r="B946" s="2126"/>
      <c r="C946" s="2149"/>
      <c r="D946" s="3248"/>
      <c r="E946" s="525"/>
      <c r="F946" s="525"/>
      <c r="G946" s="526"/>
      <c r="K946" s="3280"/>
      <c r="P946" s="3041"/>
      <c r="X946" s="3280"/>
      <c r="AA946" s="3041"/>
      <c r="AF946" s="3041"/>
      <c r="AN946" s="3280"/>
      <c r="AZ946" s="3041"/>
      <c r="BD946" s="3281"/>
      <c r="BH946" s="3282"/>
      <c r="BJ946" s="2589"/>
      <c r="BK946" s="2126"/>
      <c r="BL946" s="2126"/>
      <c r="BM946" s="2126"/>
      <c r="BN946" s="2126"/>
      <c r="BO946" s="2126"/>
      <c r="BP946" s="2126"/>
      <c r="BQ946" s="2126"/>
      <c r="BR946" s="2126"/>
      <c r="BS946" s="2126"/>
    </row>
    <row r="947" spans="1:71" s="3030" customFormat="1">
      <c r="A947" s="2126"/>
      <c r="B947" s="2126"/>
      <c r="C947" s="2149"/>
      <c r="D947" s="3248"/>
      <c r="E947" s="525"/>
      <c r="F947" s="525"/>
      <c r="G947" s="526"/>
      <c r="K947" s="3280"/>
      <c r="P947" s="3041"/>
      <c r="X947" s="3280"/>
      <c r="AA947" s="3041"/>
      <c r="AF947" s="3041"/>
      <c r="AN947" s="3280"/>
      <c r="AZ947" s="3041"/>
      <c r="BD947" s="3281"/>
      <c r="BH947" s="3282"/>
      <c r="BJ947" s="2589"/>
      <c r="BK947" s="2126"/>
      <c r="BL947" s="2126"/>
      <c r="BM947" s="2126"/>
      <c r="BN947" s="2126"/>
      <c r="BO947" s="2126"/>
      <c r="BP947" s="2126"/>
      <c r="BQ947" s="2126"/>
      <c r="BR947" s="2126"/>
      <c r="BS947" s="2126"/>
    </row>
    <row r="948" spans="1:71" s="3030" customFormat="1">
      <c r="A948" s="2126"/>
      <c r="B948" s="2126"/>
      <c r="C948" s="2149"/>
      <c r="D948" s="3248"/>
      <c r="E948" s="525"/>
      <c r="F948" s="525"/>
      <c r="G948" s="526"/>
      <c r="K948" s="3280"/>
      <c r="P948" s="3041"/>
      <c r="X948" s="3280"/>
      <c r="AA948" s="3041"/>
      <c r="AF948" s="3041"/>
      <c r="AN948" s="3280"/>
      <c r="AZ948" s="3041"/>
      <c r="BD948" s="3281"/>
      <c r="BH948" s="3282"/>
      <c r="BJ948" s="2589"/>
      <c r="BK948" s="2126"/>
      <c r="BL948" s="2126"/>
      <c r="BM948" s="2126"/>
      <c r="BN948" s="2126"/>
      <c r="BO948" s="2126"/>
      <c r="BP948" s="2126"/>
      <c r="BQ948" s="2126"/>
      <c r="BR948" s="2126"/>
      <c r="BS948" s="2126"/>
    </row>
    <row r="949" spans="1:71" s="3030" customFormat="1">
      <c r="A949" s="2126"/>
      <c r="B949" s="2126"/>
      <c r="C949" s="2149"/>
      <c r="D949" s="3248"/>
      <c r="E949" s="525"/>
      <c r="F949" s="525"/>
      <c r="G949" s="526"/>
      <c r="K949" s="3280"/>
      <c r="P949" s="3041"/>
      <c r="X949" s="3280"/>
      <c r="AA949" s="3041"/>
      <c r="AF949" s="3041"/>
      <c r="AN949" s="3280"/>
      <c r="AZ949" s="3041"/>
      <c r="BD949" s="3281"/>
      <c r="BH949" s="3282"/>
      <c r="BJ949" s="2589"/>
      <c r="BK949" s="2126"/>
      <c r="BL949" s="2126"/>
      <c r="BM949" s="2126"/>
      <c r="BN949" s="2126"/>
      <c r="BO949" s="2126"/>
      <c r="BP949" s="2126"/>
      <c r="BQ949" s="2126"/>
      <c r="BR949" s="2126"/>
      <c r="BS949" s="2126"/>
    </row>
    <row r="950" spans="1:71" s="3030" customFormat="1">
      <c r="A950" s="2126"/>
      <c r="B950" s="2126"/>
      <c r="C950" s="2149"/>
      <c r="D950" s="3248"/>
      <c r="E950" s="525"/>
      <c r="F950" s="525"/>
      <c r="G950" s="526"/>
      <c r="K950" s="3280"/>
      <c r="P950" s="3041"/>
      <c r="X950" s="3280"/>
      <c r="AA950" s="3041"/>
      <c r="AF950" s="3041"/>
      <c r="AN950" s="3280"/>
      <c r="AZ950" s="3041"/>
      <c r="BD950" s="3281"/>
      <c r="BH950" s="3282"/>
      <c r="BJ950" s="2589"/>
      <c r="BK950" s="2126"/>
      <c r="BL950" s="2126"/>
      <c r="BM950" s="2126"/>
      <c r="BN950" s="2126"/>
      <c r="BO950" s="2126"/>
      <c r="BP950" s="2126"/>
      <c r="BQ950" s="2126"/>
      <c r="BR950" s="2126"/>
      <c r="BS950" s="2126"/>
    </row>
    <row r="951" spans="1:71" s="3030" customFormat="1">
      <c r="A951" s="2126"/>
      <c r="B951" s="2126"/>
      <c r="C951" s="2149"/>
      <c r="D951" s="3248"/>
      <c r="E951" s="525"/>
      <c r="F951" s="525"/>
      <c r="G951" s="526"/>
      <c r="K951" s="3280"/>
      <c r="P951" s="3041"/>
      <c r="X951" s="3280"/>
      <c r="AA951" s="3041"/>
      <c r="AF951" s="3041"/>
      <c r="AN951" s="3280"/>
      <c r="AZ951" s="3041"/>
      <c r="BD951" s="3281"/>
      <c r="BH951" s="3282"/>
      <c r="BJ951" s="2589"/>
      <c r="BK951" s="2126"/>
      <c r="BL951" s="2126"/>
      <c r="BM951" s="2126"/>
      <c r="BN951" s="2126"/>
      <c r="BO951" s="2126"/>
      <c r="BP951" s="2126"/>
      <c r="BQ951" s="2126"/>
      <c r="BR951" s="2126"/>
      <c r="BS951" s="2126"/>
    </row>
    <row r="952" spans="1:71" s="3030" customFormat="1">
      <c r="A952" s="2126"/>
      <c r="B952" s="2126"/>
      <c r="C952" s="2149"/>
      <c r="D952" s="3248"/>
      <c r="E952" s="525"/>
      <c r="F952" s="525"/>
      <c r="G952" s="526"/>
      <c r="K952" s="3280"/>
      <c r="P952" s="3041"/>
      <c r="X952" s="3280"/>
      <c r="AA952" s="3041"/>
      <c r="AF952" s="3041"/>
      <c r="AN952" s="3280"/>
      <c r="AZ952" s="3041"/>
      <c r="BD952" s="3281"/>
      <c r="BH952" s="3282"/>
      <c r="BJ952" s="2589"/>
      <c r="BK952" s="2126"/>
      <c r="BL952" s="2126"/>
      <c r="BM952" s="2126"/>
      <c r="BN952" s="2126"/>
      <c r="BO952" s="2126"/>
      <c r="BP952" s="2126"/>
      <c r="BQ952" s="2126"/>
      <c r="BR952" s="2126"/>
      <c r="BS952" s="2126"/>
    </row>
    <row r="953" spans="1:71" s="3030" customFormat="1">
      <c r="A953" s="2126"/>
      <c r="B953" s="2126"/>
      <c r="C953" s="2149"/>
      <c r="D953" s="3248"/>
      <c r="E953" s="525"/>
      <c r="F953" s="525"/>
      <c r="G953" s="526"/>
      <c r="K953" s="3280"/>
      <c r="P953" s="3041"/>
      <c r="X953" s="3280"/>
      <c r="AA953" s="3041"/>
      <c r="AF953" s="3041"/>
      <c r="AN953" s="3280"/>
      <c r="AZ953" s="3041"/>
      <c r="BD953" s="3281"/>
      <c r="BH953" s="3282"/>
      <c r="BJ953" s="2589"/>
      <c r="BK953" s="2126"/>
      <c r="BL953" s="2126"/>
      <c r="BM953" s="2126"/>
      <c r="BN953" s="2126"/>
      <c r="BO953" s="2126"/>
      <c r="BP953" s="2126"/>
      <c r="BQ953" s="2126"/>
      <c r="BR953" s="2126"/>
      <c r="BS953" s="2126"/>
    </row>
    <row r="954" spans="1:71" s="3030" customFormat="1">
      <c r="A954" s="2126"/>
      <c r="B954" s="2126"/>
      <c r="C954" s="2149"/>
      <c r="D954" s="3248"/>
      <c r="E954" s="525"/>
      <c r="F954" s="525"/>
      <c r="G954" s="526"/>
      <c r="K954" s="3280"/>
      <c r="P954" s="3041"/>
      <c r="X954" s="3280"/>
      <c r="AA954" s="3041"/>
      <c r="AF954" s="3041"/>
      <c r="AN954" s="3280"/>
      <c r="AZ954" s="3041"/>
      <c r="BD954" s="3281"/>
      <c r="BH954" s="3282"/>
      <c r="BJ954" s="2589"/>
      <c r="BK954" s="2126"/>
      <c r="BL954" s="2126"/>
      <c r="BM954" s="2126"/>
      <c r="BN954" s="2126"/>
      <c r="BO954" s="2126"/>
      <c r="BP954" s="2126"/>
      <c r="BQ954" s="2126"/>
      <c r="BR954" s="2126"/>
      <c r="BS954" s="2126"/>
    </row>
    <row r="955" spans="1:71" s="3030" customFormat="1">
      <c r="A955" s="2126"/>
      <c r="B955" s="2126"/>
      <c r="C955" s="2149"/>
      <c r="D955" s="3248"/>
      <c r="E955" s="525"/>
      <c r="F955" s="525"/>
      <c r="G955" s="526"/>
      <c r="K955" s="3280"/>
      <c r="P955" s="3041"/>
      <c r="X955" s="3280"/>
      <c r="AA955" s="3041"/>
      <c r="AF955" s="3041"/>
      <c r="AN955" s="3280"/>
      <c r="AZ955" s="3041"/>
      <c r="BD955" s="3281"/>
      <c r="BH955" s="3282"/>
      <c r="BJ955" s="2589"/>
      <c r="BK955" s="2126"/>
      <c r="BL955" s="2126"/>
      <c r="BM955" s="2126"/>
      <c r="BN955" s="2126"/>
      <c r="BO955" s="2126"/>
      <c r="BP955" s="2126"/>
      <c r="BQ955" s="2126"/>
      <c r="BR955" s="2126"/>
      <c r="BS955" s="2126"/>
    </row>
    <row r="956" spans="1:71" s="3030" customFormat="1">
      <c r="A956" s="2126"/>
      <c r="B956" s="2126"/>
      <c r="C956" s="2149"/>
      <c r="D956" s="3248"/>
      <c r="E956" s="525"/>
      <c r="F956" s="525"/>
      <c r="G956" s="526"/>
      <c r="K956" s="3280"/>
      <c r="P956" s="3041"/>
      <c r="X956" s="3280"/>
      <c r="AA956" s="3041"/>
      <c r="AF956" s="3041"/>
      <c r="AN956" s="3280"/>
      <c r="AZ956" s="3041"/>
      <c r="BD956" s="3281"/>
      <c r="BH956" s="3282"/>
      <c r="BJ956" s="2589"/>
      <c r="BK956" s="2126"/>
      <c r="BL956" s="2126"/>
      <c r="BM956" s="2126"/>
      <c r="BN956" s="2126"/>
      <c r="BO956" s="2126"/>
      <c r="BP956" s="2126"/>
      <c r="BQ956" s="2126"/>
      <c r="BR956" s="2126"/>
      <c r="BS956" s="2126"/>
    </row>
    <row r="957" spans="1:71" s="3030" customFormat="1">
      <c r="A957" s="2126"/>
      <c r="B957" s="2126"/>
      <c r="C957" s="2149"/>
      <c r="D957" s="3248"/>
      <c r="E957" s="525"/>
      <c r="F957" s="525"/>
      <c r="G957" s="526"/>
      <c r="K957" s="3280"/>
      <c r="P957" s="3041"/>
      <c r="X957" s="3280"/>
      <c r="AA957" s="3041"/>
      <c r="AF957" s="3041"/>
      <c r="AN957" s="3280"/>
      <c r="AZ957" s="3041"/>
      <c r="BD957" s="3281"/>
      <c r="BH957" s="3282"/>
      <c r="BJ957" s="2589"/>
      <c r="BK957" s="2126"/>
      <c r="BL957" s="2126"/>
      <c r="BM957" s="2126"/>
      <c r="BN957" s="2126"/>
      <c r="BO957" s="2126"/>
      <c r="BP957" s="2126"/>
      <c r="BQ957" s="2126"/>
      <c r="BR957" s="2126"/>
      <c r="BS957" s="2126"/>
    </row>
    <row r="958" spans="1:71" s="3030" customFormat="1">
      <c r="A958" s="2126"/>
      <c r="B958" s="2126"/>
      <c r="C958" s="2149"/>
      <c r="D958" s="3248"/>
      <c r="E958" s="525"/>
      <c r="F958" s="525"/>
      <c r="G958" s="526"/>
      <c r="K958" s="3280"/>
      <c r="P958" s="3041"/>
      <c r="X958" s="3280"/>
      <c r="AA958" s="3041"/>
      <c r="AF958" s="3041"/>
      <c r="AN958" s="3280"/>
      <c r="AZ958" s="3041"/>
      <c r="BD958" s="3281"/>
      <c r="BH958" s="3282"/>
      <c r="BJ958" s="2589"/>
      <c r="BK958" s="2126"/>
      <c r="BL958" s="2126"/>
      <c r="BM958" s="2126"/>
      <c r="BN958" s="2126"/>
      <c r="BO958" s="2126"/>
      <c r="BP958" s="2126"/>
      <c r="BQ958" s="2126"/>
      <c r="BR958" s="2126"/>
      <c r="BS958" s="2126"/>
    </row>
    <row r="959" spans="1:71" s="3030" customFormat="1">
      <c r="A959" s="2126"/>
      <c r="B959" s="2126"/>
      <c r="C959" s="2149"/>
      <c r="D959" s="3248"/>
      <c r="E959" s="525"/>
      <c r="F959" s="525"/>
      <c r="G959" s="526"/>
      <c r="K959" s="3280"/>
      <c r="P959" s="3041"/>
      <c r="X959" s="3280"/>
      <c r="AA959" s="3041"/>
      <c r="AF959" s="3041"/>
      <c r="AN959" s="3280"/>
      <c r="AZ959" s="3041"/>
      <c r="BD959" s="3281"/>
      <c r="BH959" s="3282"/>
      <c r="BJ959" s="2589"/>
      <c r="BK959" s="2126"/>
      <c r="BL959" s="2126"/>
      <c r="BM959" s="2126"/>
      <c r="BN959" s="2126"/>
      <c r="BO959" s="2126"/>
      <c r="BP959" s="2126"/>
      <c r="BQ959" s="2126"/>
      <c r="BR959" s="2126"/>
      <c r="BS959" s="2126"/>
    </row>
    <row r="960" spans="1:71" s="3030" customFormat="1">
      <c r="A960" s="2126"/>
      <c r="B960" s="2126"/>
      <c r="C960" s="2149"/>
      <c r="D960" s="3248"/>
      <c r="E960" s="525"/>
      <c r="F960" s="525"/>
      <c r="G960" s="526"/>
      <c r="K960" s="3280"/>
      <c r="P960" s="3041"/>
      <c r="X960" s="3280"/>
      <c r="AA960" s="3041"/>
      <c r="AF960" s="3041"/>
      <c r="AN960" s="3280"/>
      <c r="AZ960" s="3041"/>
      <c r="BD960" s="3281"/>
      <c r="BH960" s="3282"/>
      <c r="BJ960" s="2589"/>
      <c r="BK960" s="2126"/>
      <c r="BL960" s="2126"/>
      <c r="BM960" s="2126"/>
      <c r="BN960" s="2126"/>
      <c r="BO960" s="2126"/>
      <c r="BP960" s="2126"/>
      <c r="BQ960" s="2126"/>
      <c r="BR960" s="2126"/>
      <c r="BS960" s="2126"/>
    </row>
    <row r="961" spans="1:71" s="3030" customFormat="1">
      <c r="A961" s="2126"/>
      <c r="B961" s="2126"/>
      <c r="C961" s="2149"/>
      <c r="D961" s="3248"/>
      <c r="E961" s="525"/>
      <c r="F961" s="525"/>
      <c r="G961" s="526"/>
      <c r="K961" s="3280"/>
      <c r="P961" s="3041"/>
      <c r="X961" s="3280"/>
      <c r="AA961" s="3041"/>
      <c r="AF961" s="3041"/>
      <c r="AN961" s="3280"/>
      <c r="AZ961" s="3041"/>
      <c r="BD961" s="3281"/>
      <c r="BH961" s="3282"/>
      <c r="BJ961" s="2589"/>
      <c r="BK961" s="2126"/>
      <c r="BL961" s="2126"/>
      <c r="BM961" s="2126"/>
      <c r="BN961" s="2126"/>
      <c r="BO961" s="2126"/>
      <c r="BP961" s="2126"/>
      <c r="BQ961" s="2126"/>
      <c r="BR961" s="2126"/>
      <c r="BS961" s="2126"/>
    </row>
    <row r="962" spans="1:71" s="3030" customFormat="1">
      <c r="A962" s="2126"/>
      <c r="B962" s="2126"/>
      <c r="C962" s="2149"/>
      <c r="D962" s="3248"/>
      <c r="E962" s="525"/>
      <c r="F962" s="525"/>
      <c r="G962" s="526"/>
      <c r="K962" s="3280"/>
      <c r="P962" s="3041"/>
      <c r="X962" s="3280"/>
      <c r="AA962" s="3041"/>
      <c r="AF962" s="3041"/>
      <c r="AN962" s="3280"/>
      <c r="AZ962" s="3041"/>
      <c r="BD962" s="3281"/>
      <c r="BH962" s="3282"/>
      <c r="BJ962" s="2589"/>
      <c r="BK962" s="2126"/>
      <c r="BL962" s="2126"/>
      <c r="BM962" s="2126"/>
      <c r="BN962" s="2126"/>
      <c r="BO962" s="2126"/>
      <c r="BP962" s="2126"/>
      <c r="BQ962" s="2126"/>
      <c r="BR962" s="2126"/>
      <c r="BS962" s="2126"/>
    </row>
    <row r="963" spans="1:71" s="3030" customFormat="1">
      <c r="A963" s="2126"/>
      <c r="B963" s="2126"/>
      <c r="C963" s="2149"/>
      <c r="D963" s="3248"/>
      <c r="E963" s="525"/>
      <c r="F963" s="525"/>
      <c r="G963" s="526"/>
      <c r="K963" s="3280"/>
      <c r="P963" s="3041"/>
      <c r="X963" s="3280"/>
      <c r="AA963" s="3041"/>
      <c r="AF963" s="3041"/>
      <c r="AN963" s="3280"/>
      <c r="AZ963" s="3041"/>
      <c r="BD963" s="3281"/>
      <c r="BH963" s="3282"/>
      <c r="BJ963" s="2589"/>
      <c r="BK963" s="2126"/>
      <c r="BL963" s="2126"/>
      <c r="BM963" s="2126"/>
      <c r="BN963" s="2126"/>
      <c r="BO963" s="2126"/>
      <c r="BP963" s="2126"/>
      <c r="BQ963" s="2126"/>
      <c r="BR963" s="2126"/>
      <c r="BS963" s="2126"/>
    </row>
    <row r="964" spans="1:71" s="3030" customFormat="1">
      <c r="A964" s="2126"/>
      <c r="B964" s="2126"/>
      <c r="C964" s="2149"/>
      <c r="D964" s="3248"/>
      <c r="E964" s="525"/>
      <c r="F964" s="525"/>
      <c r="G964" s="526"/>
      <c r="K964" s="3280"/>
      <c r="P964" s="3041"/>
      <c r="X964" s="3280"/>
      <c r="AA964" s="3041"/>
      <c r="AF964" s="3041"/>
      <c r="AN964" s="3280"/>
      <c r="AZ964" s="3041"/>
      <c r="BD964" s="3281"/>
      <c r="BH964" s="3282"/>
      <c r="BJ964" s="2589"/>
      <c r="BK964" s="2126"/>
      <c r="BL964" s="2126"/>
      <c r="BM964" s="2126"/>
      <c r="BN964" s="2126"/>
      <c r="BO964" s="2126"/>
      <c r="BP964" s="2126"/>
      <c r="BQ964" s="2126"/>
      <c r="BR964" s="2126"/>
      <c r="BS964" s="2126"/>
    </row>
    <row r="965" spans="1:71" s="3030" customFormat="1">
      <c r="A965" s="2126"/>
      <c r="B965" s="2126"/>
      <c r="C965" s="2149"/>
      <c r="D965" s="3248"/>
      <c r="E965" s="525"/>
      <c r="F965" s="525"/>
      <c r="G965" s="526"/>
      <c r="K965" s="3280"/>
      <c r="P965" s="3041"/>
      <c r="X965" s="3280"/>
      <c r="AA965" s="3041"/>
      <c r="AF965" s="3041"/>
      <c r="AN965" s="3280"/>
      <c r="AZ965" s="3041"/>
      <c r="BD965" s="3281"/>
      <c r="BH965" s="3282"/>
      <c r="BJ965" s="2589"/>
      <c r="BK965" s="2126"/>
      <c r="BL965" s="2126"/>
      <c r="BM965" s="2126"/>
      <c r="BN965" s="2126"/>
      <c r="BO965" s="2126"/>
      <c r="BP965" s="2126"/>
      <c r="BQ965" s="2126"/>
      <c r="BR965" s="2126"/>
      <c r="BS965" s="2126"/>
    </row>
    <row r="966" spans="1:71" s="3030" customFormat="1">
      <c r="A966" s="2126"/>
      <c r="B966" s="2126"/>
      <c r="C966" s="2149"/>
      <c r="D966" s="3248"/>
      <c r="E966" s="525"/>
      <c r="F966" s="525"/>
      <c r="G966" s="526"/>
      <c r="K966" s="3280"/>
      <c r="P966" s="3041"/>
      <c r="X966" s="3280"/>
      <c r="AA966" s="3041"/>
      <c r="AF966" s="3041"/>
      <c r="AN966" s="3280"/>
      <c r="AZ966" s="3041"/>
      <c r="BD966" s="3281"/>
      <c r="BH966" s="3282"/>
      <c r="BJ966" s="2589"/>
      <c r="BK966" s="2126"/>
      <c r="BL966" s="2126"/>
      <c r="BM966" s="2126"/>
      <c r="BN966" s="2126"/>
      <c r="BO966" s="2126"/>
      <c r="BP966" s="2126"/>
      <c r="BQ966" s="2126"/>
      <c r="BR966" s="2126"/>
      <c r="BS966" s="2126"/>
    </row>
    <row r="967" spans="1:71" s="3030" customFormat="1">
      <c r="A967" s="2126"/>
      <c r="B967" s="2126"/>
      <c r="C967" s="2149"/>
      <c r="D967" s="3248"/>
      <c r="E967" s="525"/>
      <c r="F967" s="525"/>
      <c r="G967" s="526"/>
      <c r="K967" s="3280"/>
      <c r="P967" s="3041"/>
      <c r="X967" s="3280"/>
      <c r="AA967" s="3041"/>
      <c r="AF967" s="3041"/>
      <c r="AN967" s="3280"/>
      <c r="AZ967" s="3041"/>
      <c r="BD967" s="3281"/>
      <c r="BH967" s="3282"/>
      <c r="BJ967" s="2589"/>
      <c r="BK967" s="2126"/>
      <c r="BL967" s="2126"/>
      <c r="BM967" s="2126"/>
      <c r="BN967" s="2126"/>
      <c r="BO967" s="2126"/>
      <c r="BP967" s="2126"/>
      <c r="BQ967" s="2126"/>
      <c r="BR967" s="2126"/>
      <c r="BS967" s="2126"/>
    </row>
    <row r="968" spans="1:71" s="3030" customFormat="1">
      <c r="A968" s="2126"/>
      <c r="B968" s="2126"/>
      <c r="C968" s="2149"/>
      <c r="D968" s="3248"/>
      <c r="E968" s="525"/>
      <c r="F968" s="525"/>
      <c r="G968" s="526"/>
      <c r="K968" s="3280"/>
      <c r="P968" s="3041"/>
      <c r="X968" s="3280"/>
      <c r="AA968" s="3041"/>
      <c r="AF968" s="3041"/>
      <c r="AN968" s="3280"/>
      <c r="AZ968" s="3041"/>
      <c r="BD968" s="3281"/>
      <c r="BH968" s="3282"/>
      <c r="BJ968" s="2589"/>
      <c r="BK968" s="2126"/>
      <c r="BL968" s="2126"/>
      <c r="BM968" s="2126"/>
      <c r="BN968" s="2126"/>
      <c r="BO968" s="2126"/>
      <c r="BP968" s="2126"/>
      <c r="BQ968" s="2126"/>
      <c r="BR968" s="2126"/>
      <c r="BS968" s="2126"/>
    </row>
    <row r="969" spans="1:71" s="3030" customFormat="1">
      <c r="A969" s="2126"/>
      <c r="B969" s="2126"/>
      <c r="C969" s="2149"/>
      <c r="D969" s="3248"/>
      <c r="E969" s="525"/>
      <c r="F969" s="525"/>
      <c r="G969" s="526"/>
      <c r="K969" s="3280"/>
      <c r="P969" s="3041"/>
      <c r="X969" s="3280"/>
      <c r="AA969" s="3041"/>
      <c r="AF969" s="3041"/>
      <c r="AN969" s="3280"/>
      <c r="AZ969" s="3041"/>
      <c r="BD969" s="3281"/>
      <c r="BH969" s="3282"/>
      <c r="BJ969" s="2589"/>
      <c r="BK969" s="2126"/>
      <c r="BL969" s="2126"/>
      <c r="BM969" s="2126"/>
      <c r="BN969" s="2126"/>
      <c r="BO969" s="2126"/>
      <c r="BP969" s="2126"/>
      <c r="BQ969" s="2126"/>
      <c r="BR969" s="2126"/>
      <c r="BS969" s="2126"/>
    </row>
    <row r="970" spans="1:71" s="3030" customFormat="1">
      <c r="A970" s="2126"/>
      <c r="B970" s="2126"/>
      <c r="C970" s="2149"/>
      <c r="D970" s="3248"/>
      <c r="E970" s="525"/>
      <c r="F970" s="525"/>
      <c r="G970" s="526"/>
      <c r="K970" s="3280"/>
      <c r="P970" s="3041"/>
      <c r="X970" s="3280"/>
      <c r="AA970" s="3041"/>
      <c r="AF970" s="3041"/>
      <c r="AN970" s="3280"/>
      <c r="AZ970" s="3041"/>
      <c r="BD970" s="3281"/>
      <c r="BH970" s="3282"/>
      <c r="BJ970" s="2589"/>
      <c r="BK970" s="2126"/>
      <c r="BL970" s="2126"/>
      <c r="BM970" s="2126"/>
      <c r="BN970" s="2126"/>
      <c r="BO970" s="2126"/>
      <c r="BP970" s="2126"/>
      <c r="BQ970" s="2126"/>
      <c r="BR970" s="2126"/>
      <c r="BS970" s="2126"/>
    </row>
    <row r="971" spans="1:71" s="3030" customFormat="1">
      <c r="A971" s="2126"/>
      <c r="B971" s="2126"/>
      <c r="C971" s="2149"/>
      <c r="D971" s="3248"/>
      <c r="E971" s="525"/>
      <c r="F971" s="525"/>
      <c r="G971" s="526"/>
      <c r="K971" s="3280"/>
      <c r="P971" s="3041"/>
      <c r="X971" s="3280"/>
      <c r="AA971" s="3041"/>
      <c r="AF971" s="3041"/>
      <c r="AN971" s="3280"/>
      <c r="AZ971" s="3041"/>
      <c r="BD971" s="3281"/>
      <c r="BH971" s="3282"/>
      <c r="BJ971" s="2589"/>
      <c r="BK971" s="2126"/>
      <c r="BL971" s="2126"/>
      <c r="BM971" s="2126"/>
      <c r="BN971" s="2126"/>
      <c r="BO971" s="2126"/>
      <c r="BP971" s="2126"/>
      <c r="BQ971" s="2126"/>
      <c r="BR971" s="2126"/>
      <c r="BS971" s="2126"/>
    </row>
    <row r="972" spans="1:71" s="3030" customFormat="1">
      <c r="A972" s="2126"/>
      <c r="B972" s="2126"/>
      <c r="C972" s="2149"/>
      <c r="D972" s="3248"/>
      <c r="E972" s="525"/>
      <c r="F972" s="525"/>
      <c r="G972" s="526"/>
      <c r="K972" s="3280"/>
      <c r="P972" s="3041"/>
      <c r="X972" s="3280"/>
      <c r="AA972" s="3041"/>
      <c r="AF972" s="3041"/>
      <c r="AN972" s="3280"/>
      <c r="AZ972" s="3041"/>
      <c r="BD972" s="3281"/>
      <c r="BH972" s="3282"/>
      <c r="BJ972" s="2589"/>
      <c r="BK972" s="2126"/>
      <c r="BL972" s="2126"/>
      <c r="BM972" s="2126"/>
      <c r="BN972" s="2126"/>
      <c r="BO972" s="2126"/>
      <c r="BP972" s="2126"/>
      <c r="BQ972" s="2126"/>
      <c r="BR972" s="2126"/>
      <c r="BS972" s="2126"/>
    </row>
    <row r="973" spans="1:71" s="3030" customFormat="1">
      <c r="A973" s="2126"/>
      <c r="B973" s="2126"/>
      <c r="C973" s="2149"/>
      <c r="D973" s="3248"/>
      <c r="E973" s="525"/>
      <c r="F973" s="525"/>
      <c r="G973" s="526"/>
      <c r="K973" s="3280"/>
      <c r="P973" s="3041"/>
      <c r="X973" s="3280"/>
      <c r="AA973" s="3041"/>
      <c r="AF973" s="3041"/>
      <c r="AN973" s="3280"/>
      <c r="AZ973" s="3041"/>
      <c r="BD973" s="3281"/>
      <c r="BH973" s="3282"/>
      <c r="BJ973" s="2589"/>
      <c r="BK973" s="2126"/>
      <c r="BL973" s="2126"/>
      <c r="BM973" s="2126"/>
      <c r="BN973" s="2126"/>
      <c r="BO973" s="2126"/>
      <c r="BP973" s="2126"/>
      <c r="BQ973" s="2126"/>
      <c r="BR973" s="2126"/>
      <c r="BS973" s="2126"/>
    </row>
    <row r="974" spans="1:71" s="3030" customFormat="1">
      <c r="A974" s="2126"/>
      <c r="B974" s="2126"/>
      <c r="C974" s="2149"/>
      <c r="D974" s="3248"/>
      <c r="E974" s="525"/>
      <c r="F974" s="525"/>
      <c r="G974" s="526"/>
      <c r="K974" s="3280"/>
      <c r="P974" s="3041"/>
      <c r="X974" s="3280"/>
      <c r="AA974" s="3041"/>
      <c r="AF974" s="3041"/>
      <c r="AN974" s="3280"/>
      <c r="AZ974" s="3041"/>
      <c r="BD974" s="3281"/>
      <c r="BH974" s="3282"/>
      <c r="BJ974" s="2589"/>
      <c r="BK974" s="2126"/>
      <c r="BL974" s="2126"/>
      <c r="BM974" s="2126"/>
      <c r="BN974" s="2126"/>
      <c r="BO974" s="2126"/>
      <c r="BP974" s="2126"/>
      <c r="BQ974" s="2126"/>
      <c r="BR974" s="2126"/>
      <c r="BS974" s="2126"/>
    </row>
    <row r="975" spans="1:71" s="3030" customFormat="1">
      <c r="A975" s="2126"/>
      <c r="B975" s="2126"/>
      <c r="C975" s="2149"/>
      <c r="D975" s="3248"/>
      <c r="E975" s="525"/>
      <c r="F975" s="525"/>
      <c r="G975" s="526"/>
      <c r="K975" s="3280"/>
      <c r="P975" s="3041"/>
      <c r="X975" s="3280"/>
      <c r="AA975" s="3041"/>
      <c r="AF975" s="3041"/>
      <c r="AN975" s="3280"/>
      <c r="AZ975" s="3041"/>
      <c r="BD975" s="3281"/>
      <c r="BH975" s="3282"/>
      <c r="BJ975" s="2589"/>
      <c r="BK975" s="2126"/>
      <c r="BL975" s="2126"/>
      <c r="BM975" s="2126"/>
      <c r="BN975" s="2126"/>
      <c r="BO975" s="2126"/>
      <c r="BP975" s="2126"/>
      <c r="BQ975" s="2126"/>
      <c r="BR975" s="2126"/>
      <c r="BS975" s="2126"/>
    </row>
    <row r="976" spans="1:71" s="3030" customFormat="1">
      <c r="A976" s="2126"/>
      <c r="B976" s="2126"/>
      <c r="C976" s="2149"/>
      <c r="D976" s="3248"/>
      <c r="E976" s="525"/>
      <c r="F976" s="525"/>
      <c r="G976" s="526"/>
      <c r="K976" s="3280"/>
      <c r="P976" s="3041"/>
      <c r="X976" s="3280"/>
      <c r="AA976" s="3041"/>
      <c r="AF976" s="3041"/>
      <c r="AN976" s="3280"/>
      <c r="AZ976" s="3041"/>
      <c r="BD976" s="3281"/>
      <c r="BH976" s="3282"/>
      <c r="BJ976" s="2589"/>
      <c r="BK976" s="2126"/>
      <c r="BL976" s="2126"/>
      <c r="BM976" s="2126"/>
      <c r="BN976" s="2126"/>
      <c r="BO976" s="2126"/>
      <c r="BP976" s="2126"/>
      <c r="BQ976" s="2126"/>
      <c r="BR976" s="2126"/>
      <c r="BS976" s="2126"/>
    </row>
    <row r="977" spans="1:71" s="3030" customFormat="1">
      <c r="A977" s="2126"/>
      <c r="B977" s="2126"/>
      <c r="C977" s="2149"/>
      <c r="D977" s="3248"/>
      <c r="E977" s="525"/>
      <c r="F977" s="525"/>
      <c r="G977" s="526"/>
      <c r="K977" s="3280"/>
      <c r="P977" s="3041"/>
      <c r="X977" s="3280"/>
      <c r="AA977" s="3041"/>
      <c r="AF977" s="3041"/>
      <c r="AN977" s="3280"/>
      <c r="AZ977" s="3041"/>
      <c r="BD977" s="3281"/>
      <c r="BH977" s="3282"/>
      <c r="BJ977" s="2589"/>
      <c r="BK977" s="2126"/>
      <c r="BL977" s="2126"/>
      <c r="BM977" s="2126"/>
      <c r="BN977" s="2126"/>
      <c r="BO977" s="2126"/>
      <c r="BP977" s="2126"/>
      <c r="BQ977" s="2126"/>
      <c r="BR977" s="2126"/>
      <c r="BS977" s="2126"/>
    </row>
    <row r="978" spans="1:71" s="3030" customFormat="1">
      <c r="A978" s="2126"/>
      <c r="B978" s="2126"/>
      <c r="C978" s="2149"/>
      <c r="D978" s="3248"/>
      <c r="E978" s="525"/>
      <c r="F978" s="525"/>
      <c r="G978" s="526"/>
      <c r="K978" s="3280"/>
      <c r="P978" s="3041"/>
      <c r="X978" s="3280"/>
      <c r="AA978" s="3041"/>
      <c r="AF978" s="3041"/>
      <c r="AN978" s="3280"/>
      <c r="AZ978" s="3041"/>
      <c r="BD978" s="3281"/>
      <c r="BH978" s="3282"/>
      <c r="BJ978" s="2589"/>
      <c r="BK978" s="2126"/>
      <c r="BL978" s="2126"/>
      <c r="BM978" s="2126"/>
      <c r="BN978" s="2126"/>
      <c r="BO978" s="2126"/>
      <c r="BP978" s="2126"/>
      <c r="BQ978" s="2126"/>
      <c r="BR978" s="2126"/>
      <c r="BS978" s="2126"/>
    </row>
    <row r="979" spans="1:71" s="3030" customFormat="1">
      <c r="A979" s="2126"/>
      <c r="B979" s="2126"/>
      <c r="C979" s="2149"/>
      <c r="D979" s="3248"/>
      <c r="E979" s="525"/>
      <c r="F979" s="525"/>
      <c r="G979" s="526"/>
      <c r="K979" s="3280"/>
      <c r="P979" s="3041"/>
      <c r="X979" s="3280"/>
      <c r="AA979" s="3041"/>
      <c r="AF979" s="3041"/>
      <c r="AN979" s="3280"/>
      <c r="AZ979" s="3041"/>
      <c r="BD979" s="3281"/>
      <c r="BH979" s="3282"/>
      <c r="BJ979" s="2589"/>
      <c r="BK979" s="2126"/>
      <c r="BL979" s="2126"/>
      <c r="BM979" s="2126"/>
      <c r="BN979" s="2126"/>
      <c r="BO979" s="2126"/>
      <c r="BP979" s="2126"/>
      <c r="BQ979" s="2126"/>
      <c r="BR979" s="2126"/>
      <c r="BS979" s="2126"/>
    </row>
    <row r="980" spans="1:71" s="3030" customFormat="1">
      <c r="A980" s="2126"/>
      <c r="B980" s="2126"/>
      <c r="C980" s="2149"/>
      <c r="D980" s="3248"/>
      <c r="E980" s="525"/>
      <c r="F980" s="525"/>
      <c r="G980" s="526"/>
      <c r="K980" s="3280"/>
      <c r="P980" s="3041"/>
      <c r="X980" s="3280"/>
      <c r="AA980" s="3041"/>
      <c r="AF980" s="3041"/>
      <c r="AN980" s="3280"/>
      <c r="AZ980" s="3041"/>
      <c r="BD980" s="3281"/>
      <c r="BH980" s="3282"/>
      <c r="BJ980" s="2589"/>
      <c r="BK980" s="2126"/>
      <c r="BL980" s="2126"/>
      <c r="BM980" s="2126"/>
      <c r="BN980" s="2126"/>
      <c r="BO980" s="2126"/>
      <c r="BP980" s="2126"/>
      <c r="BQ980" s="2126"/>
      <c r="BR980" s="2126"/>
      <c r="BS980" s="2126"/>
    </row>
    <row r="981" spans="1:71" s="3030" customFormat="1">
      <c r="A981" s="2126"/>
      <c r="B981" s="2126"/>
      <c r="C981" s="2149"/>
      <c r="D981" s="3248"/>
      <c r="E981" s="525"/>
      <c r="F981" s="525"/>
      <c r="G981" s="526"/>
      <c r="K981" s="3280"/>
      <c r="P981" s="3041"/>
      <c r="X981" s="3280"/>
      <c r="AA981" s="3041"/>
      <c r="AF981" s="3041"/>
      <c r="AN981" s="3280"/>
      <c r="AZ981" s="3041"/>
      <c r="BD981" s="3281"/>
      <c r="BH981" s="3282"/>
      <c r="BJ981" s="2589"/>
      <c r="BK981" s="2126"/>
      <c r="BL981" s="2126"/>
      <c r="BM981" s="2126"/>
      <c r="BN981" s="2126"/>
      <c r="BO981" s="2126"/>
      <c r="BP981" s="2126"/>
      <c r="BQ981" s="2126"/>
      <c r="BR981" s="2126"/>
      <c r="BS981" s="2126"/>
    </row>
    <row r="982" spans="1:71" s="3030" customFormat="1">
      <c r="A982" s="2126"/>
      <c r="B982" s="2126"/>
      <c r="C982" s="2149"/>
      <c r="D982" s="3248"/>
      <c r="E982" s="525"/>
      <c r="F982" s="525"/>
      <c r="G982" s="526"/>
      <c r="K982" s="3280"/>
      <c r="P982" s="3041"/>
      <c r="X982" s="3280"/>
      <c r="AA982" s="3041"/>
      <c r="AF982" s="3041"/>
      <c r="AN982" s="3280"/>
      <c r="AZ982" s="3041"/>
      <c r="BD982" s="3281"/>
      <c r="BH982" s="3282"/>
      <c r="BJ982" s="2589"/>
      <c r="BK982" s="2126"/>
      <c r="BL982" s="2126"/>
      <c r="BM982" s="2126"/>
      <c r="BN982" s="2126"/>
      <c r="BO982" s="2126"/>
      <c r="BP982" s="2126"/>
      <c r="BQ982" s="2126"/>
      <c r="BR982" s="2126"/>
      <c r="BS982" s="2126"/>
    </row>
    <row r="983" spans="1:71" s="3030" customFormat="1">
      <c r="A983" s="2126"/>
      <c r="B983" s="2126"/>
      <c r="C983" s="2149"/>
      <c r="D983" s="3248"/>
      <c r="E983" s="525"/>
      <c r="F983" s="525"/>
      <c r="G983" s="526"/>
      <c r="K983" s="3280"/>
      <c r="P983" s="3041"/>
      <c r="X983" s="3280"/>
      <c r="AA983" s="3041"/>
      <c r="AF983" s="3041"/>
      <c r="AN983" s="3280"/>
      <c r="AZ983" s="3041"/>
      <c r="BD983" s="3281"/>
      <c r="BH983" s="3282"/>
      <c r="BJ983" s="2589"/>
      <c r="BK983" s="2126"/>
      <c r="BL983" s="2126"/>
      <c r="BM983" s="2126"/>
      <c r="BN983" s="2126"/>
      <c r="BO983" s="2126"/>
      <c r="BP983" s="2126"/>
      <c r="BQ983" s="2126"/>
      <c r="BR983" s="2126"/>
      <c r="BS983" s="2126"/>
    </row>
    <row r="984" spans="1:71" s="3030" customFormat="1">
      <c r="A984" s="2126"/>
      <c r="B984" s="2126"/>
      <c r="C984" s="2149"/>
      <c r="D984" s="3248"/>
      <c r="E984" s="525"/>
      <c r="F984" s="525"/>
      <c r="G984" s="526"/>
      <c r="K984" s="3280"/>
      <c r="P984" s="3041"/>
      <c r="X984" s="3280"/>
      <c r="AA984" s="3041"/>
      <c r="AF984" s="3041"/>
      <c r="AN984" s="3280"/>
      <c r="AZ984" s="3041"/>
      <c r="BD984" s="3281"/>
      <c r="BH984" s="3282"/>
      <c r="BJ984" s="2589"/>
      <c r="BK984" s="2126"/>
      <c r="BL984" s="2126"/>
      <c r="BM984" s="2126"/>
      <c r="BN984" s="2126"/>
      <c r="BO984" s="2126"/>
      <c r="BP984" s="2126"/>
      <c r="BQ984" s="2126"/>
      <c r="BR984" s="2126"/>
      <c r="BS984" s="2126"/>
    </row>
    <row r="985" spans="1:71" s="3030" customFormat="1">
      <c r="A985" s="2126"/>
      <c r="B985" s="2126"/>
      <c r="C985" s="2149"/>
      <c r="D985" s="3248"/>
      <c r="E985" s="525"/>
      <c r="F985" s="525"/>
      <c r="G985" s="526"/>
      <c r="K985" s="3280"/>
      <c r="P985" s="3041"/>
      <c r="X985" s="3280"/>
      <c r="AA985" s="3041"/>
      <c r="AF985" s="3041"/>
      <c r="AN985" s="3280"/>
      <c r="AZ985" s="3041"/>
      <c r="BD985" s="3281"/>
      <c r="BH985" s="3282"/>
      <c r="BJ985" s="2589"/>
      <c r="BK985" s="2126"/>
      <c r="BL985" s="2126"/>
      <c r="BM985" s="2126"/>
      <c r="BN985" s="2126"/>
      <c r="BO985" s="2126"/>
      <c r="BP985" s="2126"/>
      <c r="BQ985" s="2126"/>
      <c r="BR985" s="2126"/>
      <c r="BS985" s="2126"/>
    </row>
    <row r="986" spans="1:71" s="3030" customFormat="1">
      <c r="A986" s="2126"/>
      <c r="B986" s="2126"/>
      <c r="C986" s="2149"/>
      <c r="D986" s="3248"/>
      <c r="E986" s="525"/>
      <c r="F986" s="525"/>
      <c r="G986" s="526"/>
      <c r="K986" s="3280"/>
      <c r="P986" s="3041"/>
      <c r="X986" s="3280"/>
      <c r="AA986" s="3041"/>
      <c r="AF986" s="3041"/>
      <c r="AN986" s="3280"/>
      <c r="AZ986" s="3041"/>
      <c r="BD986" s="3281"/>
      <c r="BH986" s="3282"/>
      <c r="BJ986" s="2589"/>
      <c r="BK986" s="2126"/>
      <c r="BL986" s="2126"/>
      <c r="BM986" s="2126"/>
      <c r="BN986" s="2126"/>
      <c r="BO986" s="2126"/>
      <c r="BP986" s="2126"/>
      <c r="BQ986" s="2126"/>
      <c r="BR986" s="2126"/>
      <c r="BS986" s="2126"/>
    </row>
    <row r="987" spans="1:71" s="3030" customFormat="1">
      <c r="A987" s="2126"/>
      <c r="B987" s="2126"/>
      <c r="C987" s="2149"/>
      <c r="D987" s="3248"/>
      <c r="E987" s="525"/>
      <c r="F987" s="525"/>
      <c r="G987" s="526"/>
      <c r="K987" s="3280"/>
      <c r="P987" s="3041"/>
      <c r="X987" s="3280"/>
      <c r="AA987" s="3041"/>
      <c r="AF987" s="3041"/>
      <c r="AN987" s="3280"/>
      <c r="AZ987" s="3041"/>
      <c r="BD987" s="3281"/>
      <c r="BH987" s="3282"/>
      <c r="BJ987" s="2589"/>
      <c r="BK987" s="2126"/>
      <c r="BL987" s="2126"/>
      <c r="BM987" s="2126"/>
      <c r="BN987" s="2126"/>
      <c r="BO987" s="2126"/>
      <c r="BP987" s="2126"/>
      <c r="BQ987" s="2126"/>
      <c r="BR987" s="2126"/>
      <c r="BS987" s="2126"/>
    </row>
    <row r="988" spans="1:71" s="3030" customFormat="1">
      <c r="A988" s="2126"/>
      <c r="B988" s="2126"/>
      <c r="C988" s="2149"/>
      <c r="D988" s="3248"/>
      <c r="E988" s="525"/>
      <c r="F988" s="525"/>
      <c r="G988" s="526"/>
      <c r="K988" s="3280"/>
      <c r="P988" s="3041"/>
      <c r="X988" s="3280"/>
      <c r="AA988" s="3041"/>
      <c r="AF988" s="3041"/>
      <c r="AN988" s="3280"/>
      <c r="AZ988" s="3041"/>
      <c r="BD988" s="3281"/>
      <c r="BH988" s="3282"/>
      <c r="BJ988" s="2589"/>
      <c r="BK988" s="2126"/>
      <c r="BL988" s="2126"/>
      <c r="BM988" s="2126"/>
      <c r="BN988" s="2126"/>
      <c r="BO988" s="2126"/>
      <c r="BP988" s="2126"/>
      <c r="BQ988" s="2126"/>
      <c r="BR988" s="2126"/>
      <c r="BS988" s="2126"/>
    </row>
    <row r="989" spans="1:71" s="3030" customFormat="1">
      <c r="A989" s="2126"/>
      <c r="B989" s="2126"/>
      <c r="C989" s="2149"/>
      <c r="D989" s="3248"/>
      <c r="E989" s="525"/>
      <c r="F989" s="525"/>
      <c r="G989" s="526"/>
      <c r="K989" s="3280"/>
      <c r="P989" s="3041"/>
      <c r="X989" s="3280"/>
      <c r="AA989" s="3041"/>
      <c r="AF989" s="3041"/>
      <c r="AN989" s="3280"/>
      <c r="AZ989" s="3041"/>
      <c r="BD989" s="3281"/>
      <c r="BH989" s="3282"/>
      <c r="BJ989" s="2589"/>
      <c r="BK989" s="2126"/>
      <c r="BL989" s="2126"/>
      <c r="BM989" s="2126"/>
      <c r="BN989" s="2126"/>
      <c r="BO989" s="2126"/>
      <c r="BP989" s="2126"/>
      <c r="BQ989" s="2126"/>
      <c r="BR989" s="2126"/>
      <c r="BS989" s="2126"/>
    </row>
    <row r="990" spans="1:71" s="3030" customFormat="1">
      <c r="A990" s="2126"/>
      <c r="B990" s="2126"/>
      <c r="C990" s="2149"/>
      <c r="D990" s="3248"/>
      <c r="E990" s="525"/>
      <c r="F990" s="525"/>
      <c r="G990" s="526"/>
      <c r="K990" s="3280"/>
      <c r="P990" s="3041"/>
      <c r="X990" s="3280"/>
      <c r="AA990" s="3041"/>
      <c r="AF990" s="3041"/>
      <c r="AN990" s="3280"/>
      <c r="AZ990" s="3041"/>
      <c r="BD990" s="3281"/>
      <c r="BH990" s="3282"/>
      <c r="BJ990" s="2589"/>
      <c r="BK990" s="2126"/>
      <c r="BL990" s="2126"/>
      <c r="BM990" s="2126"/>
      <c r="BN990" s="2126"/>
      <c r="BO990" s="2126"/>
      <c r="BP990" s="2126"/>
      <c r="BQ990" s="2126"/>
      <c r="BR990" s="2126"/>
      <c r="BS990" s="2126"/>
    </row>
    <row r="991" spans="1:71" s="3030" customFormat="1">
      <c r="A991" s="2126"/>
      <c r="B991" s="2126"/>
      <c r="C991" s="2149"/>
      <c r="D991" s="3248"/>
      <c r="E991" s="525"/>
      <c r="F991" s="525"/>
      <c r="G991" s="526"/>
      <c r="K991" s="3280"/>
      <c r="P991" s="3041"/>
      <c r="X991" s="3280"/>
      <c r="AA991" s="3041"/>
      <c r="AF991" s="3041"/>
      <c r="AN991" s="3280"/>
      <c r="AZ991" s="3041"/>
      <c r="BD991" s="3281"/>
      <c r="BH991" s="3282"/>
      <c r="BJ991" s="2589"/>
      <c r="BK991" s="2126"/>
      <c r="BL991" s="2126"/>
      <c r="BM991" s="2126"/>
      <c r="BN991" s="2126"/>
      <c r="BO991" s="2126"/>
      <c r="BP991" s="2126"/>
      <c r="BQ991" s="2126"/>
      <c r="BR991" s="2126"/>
      <c r="BS991" s="2126"/>
    </row>
    <row r="992" spans="1:71" s="3030" customFormat="1">
      <c r="A992" s="2126"/>
      <c r="B992" s="2126"/>
      <c r="C992" s="2149"/>
      <c r="D992" s="3248"/>
      <c r="E992" s="525"/>
      <c r="F992" s="525"/>
      <c r="G992" s="526"/>
      <c r="K992" s="3280"/>
      <c r="P992" s="3041"/>
      <c r="X992" s="3280"/>
      <c r="AA992" s="3041"/>
      <c r="AF992" s="3041"/>
      <c r="AN992" s="3280"/>
      <c r="AZ992" s="3041"/>
      <c r="BD992" s="3281"/>
      <c r="BH992" s="3282"/>
      <c r="BJ992" s="2589"/>
      <c r="BK992" s="2126"/>
      <c r="BL992" s="2126"/>
      <c r="BM992" s="2126"/>
      <c r="BN992" s="2126"/>
      <c r="BO992" s="2126"/>
      <c r="BP992" s="2126"/>
      <c r="BQ992" s="2126"/>
      <c r="BR992" s="2126"/>
      <c r="BS992" s="2126"/>
    </row>
    <row r="993" spans="1:71" s="3030" customFormat="1">
      <c r="A993" s="2126"/>
      <c r="B993" s="2126"/>
      <c r="C993" s="2149"/>
      <c r="D993" s="3248"/>
      <c r="E993" s="525"/>
      <c r="F993" s="525"/>
      <c r="G993" s="526"/>
      <c r="K993" s="3280"/>
      <c r="P993" s="3041"/>
      <c r="X993" s="3280"/>
      <c r="AA993" s="3041"/>
      <c r="AF993" s="3041"/>
      <c r="AN993" s="3280"/>
      <c r="AZ993" s="3041"/>
      <c r="BD993" s="3281"/>
      <c r="BH993" s="3282"/>
      <c r="BJ993" s="2589"/>
      <c r="BK993" s="2126"/>
      <c r="BL993" s="2126"/>
      <c r="BM993" s="2126"/>
      <c r="BN993" s="2126"/>
      <c r="BO993" s="2126"/>
      <c r="BP993" s="2126"/>
      <c r="BQ993" s="2126"/>
      <c r="BR993" s="2126"/>
      <c r="BS993" s="2126"/>
    </row>
    <row r="994" spans="1:71" s="3030" customFormat="1">
      <c r="A994" s="2126"/>
      <c r="B994" s="2126"/>
      <c r="C994" s="2149"/>
      <c r="D994" s="3248"/>
      <c r="E994" s="525"/>
      <c r="F994" s="525"/>
      <c r="G994" s="526"/>
      <c r="K994" s="3280"/>
      <c r="P994" s="3041"/>
      <c r="X994" s="3280"/>
      <c r="AA994" s="3041"/>
      <c r="AF994" s="3041"/>
      <c r="AN994" s="3280"/>
      <c r="AZ994" s="3041"/>
      <c r="BD994" s="3281"/>
      <c r="BH994" s="3282"/>
      <c r="BJ994" s="2589"/>
      <c r="BK994" s="2126"/>
      <c r="BL994" s="2126"/>
      <c r="BM994" s="2126"/>
      <c r="BN994" s="2126"/>
      <c r="BO994" s="2126"/>
      <c r="BP994" s="2126"/>
      <c r="BQ994" s="2126"/>
      <c r="BR994" s="2126"/>
      <c r="BS994" s="2126"/>
    </row>
    <row r="995" spans="1:71" s="3030" customFormat="1">
      <c r="A995" s="2126"/>
      <c r="B995" s="2126"/>
      <c r="C995" s="2149"/>
      <c r="D995" s="3248"/>
      <c r="E995" s="525"/>
      <c r="F995" s="525"/>
      <c r="G995" s="526"/>
      <c r="K995" s="3280"/>
      <c r="P995" s="3041"/>
      <c r="X995" s="3280"/>
      <c r="AA995" s="3041"/>
      <c r="AF995" s="3041"/>
      <c r="AN995" s="3280"/>
      <c r="AZ995" s="3041"/>
      <c r="BD995" s="3281"/>
      <c r="BH995" s="3282"/>
      <c r="BJ995" s="2589"/>
      <c r="BK995" s="2126"/>
      <c r="BL995" s="2126"/>
      <c r="BM995" s="2126"/>
      <c r="BN995" s="2126"/>
      <c r="BO995" s="2126"/>
      <c r="BP995" s="2126"/>
      <c r="BQ995" s="2126"/>
      <c r="BR995" s="2126"/>
      <c r="BS995" s="2126"/>
    </row>
    <row r="996" spans="1:71" s="3030" customFormat="1">
      <c r="A996" s="2126"/>
      <c r="B996" s="2126"/>
      <c r="C996" s="2149"/>
      <c r="D996" s="3248"/>
      <c r="E996" s="525"/>
      <c r="F996" s="525"/>
      <c r="G996" s="526"/>
      <c r="K996" s="3280"/>
      <c r="P996" s="3041"/>
      <c r="X996" s="3280"/>
      <c r="AA996" s="3041"/>
      <c r="AF996" s="3041"/>
      <c r="AN996" s="3280"/>
      <c r="AZ996" s="3041"/>
      <c r="BD996" s="3281"/>
      <c r="BH996" s="3282"/>
      <c r="BJ996" s="2589"/>
      <c r="BK996" s="2126"/>
      <c r="BL996" s="2126"/>
      <c r="BM996" s="2126"/>
      <c r="BN996" s="2126"/>
      <c r="BO996" s="2126"/>
      <c r="BP996" s="2126"/>
      <c r="BQ996" s="2126"/>
      <c r="BR996" s="2126"/>
      <c r="BS996" s="2126"/>
    </row>
    <row r="997" spans="1:71" s="3030" customFormat="1">
      <c r="A997" s="2126"/>
      <c r="B997" s="2126"/>
      <c r="C997" s="2149"/>
      <c r="D997" s="3248"/>
      <c r="E997" s="525"/>
      <c r="F997" s="525"/>
      <c r="G997" s="526"/>
      <c r="K997" s="3280"/>
      <c r="P997" s="3041"/>
      <c r="X997" s="3280"/>
      <c r="AA997" s="3041"/>
      <c r="AF997" s="3041"/>
      <c r="AN997" s="3280"/>
      <c r="AZ997" s="3041"/>
      <c r="BD997" s="3281"/>
      <c r="BH997" s="3282"/>
      <c r="BJ997" s="2589"/>
      <c r="BK997" s="2126"/>
      <c r="BL997" s="2126"/>
      <c r="BM997" s="2126"/>
      <c r="BN997" s="2126"/>
      <c r="BO997" s="2126"/>
      <c r="BP997" s="2126"/>
      <c r="BQ997" s="2126"/>
      <c r="BR997" s="2126"/>
      <c r="BS997" s="2126"/>
    </row>
    <row r="998" spans="1:71" s="3030" customFormat="1">
      <c r="A998" s="2126"/>
      <c r="B998" s="2126"/>
      <c r="C998" s="2149"/>
      <c r="D998" s="3248"/>
      <c r="E998" s="525"/>
      <c r="F998" s="525"/>
      <c r="G998" s="526"/>
      <c r="K998" s="3280"/>
      <c r="P998" s="3041"/>
      <c r="X998" s="3280"/>
      <c r="AA998" s="3041"/>
      <c r="AF998" s="3041"/>
      <c r="AN998" s="3280"/>
      <c r="AZ998" s="3041"/>
      <c r="BD998" s="3281"/>
      <c r="BH998" s="3282"/>
      <c r="BJ998" s="2589"/>
      <c r="BK998" s="2126"/>
      <c r="BL998" s="2126"/>
      <c r="BM998" s="2126"/>
      <c r="BN998" s="2126"/>
      <c r="BO998" s="2126"/>
      <c r="BP998" s="2126"/>
      <c r="BQ998" s="2126"/>
      <c r="BR998" s="2126"/>
      <c r="BS998" s="2126"/>
    </row>
    <row r="999" spans="1:71" s="3030" customFormat="1">
      <c r="A999" s="2126"/>
      <c r="B999" s="2126"/>
      <c r="C999" s="2149"/>
      <c r="D999" s="3248"/>
      <c r="E999" s="525"/>
      <c r="F999" s="525"/>
      <c r="G999" s="526"/>
      <c r="K999" s="3280"/>
      <c r="P999" s="3041"/>
      <c r="X999" s="3280"/>
      <c r="AA999" s="3041"/>
      <c r="AF999" s="3041"/>
      <c r="AN999" s="3280"/>
      <c r="AZ999" s="3041"/>
      <c r="BD999" s="3281"/>
      <c r="BH999" s="3282"/>
      <c r="BJ999" s="2589"/>
      <c r="BK999" s="2126"/>
      <c r="BL999" s="2126"/>
      <c r="BM999" s="2126"/>
      <c r="BN999" s="2126"/>
      <c r="BO999" s="2126"/>
      <c r="BP999" s="2126"/>
      <c r="BQ999" s="2126"/>
      <c r="BR999" s="2126"/>
      <c r="BS999" s="2126"/>
    </row>
    <row r="1000" spans="1:71" s="3030" customFormat="1">
      <c r="A1000" s="2126"/>
      <c r="B1000" s="2126"/>
      <c r="C1000" s="2149"/>
      <c r="D1000" s="3248"/>
      <c r="E1000" s="525"/>
      <c r="F1000" s="525"/>
      <c r="G1000" s="526"/>
      <c r="K1000" s="3280"/>
      <c r="P1000" s="3041"/>
      <c r="X1000" s="3280"/>
      <c r="AA1000" s="3041"/>
      <c r="AF1000" s="3041"/>
      <c r="AN1000" s="3280"/>
      <c r="AZ1000" s="3041"/>
      <c r="BD1000" s="3281"/>
      <c r="BH1000" s="3282"/>
      <c r="BJ1000" s="2589"/>
      <c r="BK1000" s="2126"/>
      <c r="BL1000" s="2126"/>
      <c r="BM1000" s="2126"/>
      <c r="BN1000" s="2126"/>
      <c r="BO1000" s="2126"/>
      <c r="BP1000" s="2126"/>
      <c r="BQ1000" s="2126"/>
      <c r="BR1000" s="2126"/>
      <c r="BS1000" s="2126"/>
    </row>
    <row r="1001" spans="1:71" s="3030" customFormat="1">
      <c r="A1001" s="2126"/>
      <c r="B1001" s="2126"/>
      <c r="C1001" s="2149"/>
      <c r="D1001" s="3248"/>
      <c r="E1001" s="525"/>
      <c r="F1001" s="525"/>
      <c r="G1001" s="526"/>
      <c r="K1001" s="3280"/>
      <c r="P1001" s="3041"/>
      <c r="X1001" s="3280"/>
      <c r="AA1001" s="3041"/>
      <c r="AF1001" s="3041"/>
      <c r="AN1001" s="3280"/>
      <c r="AZ1001" s="3041"/>
      <c r="BD1001" s="3281"/>
      <c r="BH1001" s="3282"/>
      <c r="BJ1001" s="2589"/>
      <c r="BK1001" s="2126"/>
      <c r="BL1001" s="2126"/>
      <c r="BM1001" s="2126"/>
      <c r="BN1001" s="2126"/>
      <c r="BO1001" s="2126"/>
      <c r="BP1001" s="2126"/>
      <c r="BQ1001" s="2126"/>
      <c r="BR1001" s="2126"/>
      <c r="BS1001" s="2126"/>
    </row>
    <row r="1002" spans="1:71" s="3030" customFormat="1">
      <c r="A1002" s="2126"/>
      <c r="B1002" s="2126"/>
      <c r="C1002" s="2149"/>
      <c r="D1002" s="3248"/>
      <c r="E1002" s="525"/>
      <c r="F1002" s="525"/>
      <c r="G1002" s="526"/>
      <c r="K1002" s="3280"/>
      <c r="P1002" s="3041"/>
      <c r="X1002" s="3280"/>
      <c r="AA1002" s="3041"/>
      <c r="AF1002" s="3041"/>
      <c r="AN1002" s="3280"/>
      <c r="AZ1002" s="3041"/>
      <c r="BD1002" s="3281"/>
      <c r="BH1002" s="3282"/>
      <c r="BJ1002" s="2589"/>
      <c r="BK1002" s="2126"/>
      <c r="BL1002" s="2126"/>
      <c r="BM1002" s="2126"/>
      <c r="BN1002" s="2126"/>
      <c r="BO1002" s="2126"/>
      <c r="BP1002" s="2126"/>
      <c r="BQ1002" s="2126"/>
      <c r="BR1002" s="2126"/>
      <c r="BS1002" s="2126"/>
    </row>
    <row r="1003" spans="1:71" s="3030" customFormat="1">
      <c r="A1003" s="2126"/>
      <c r="B1003" s="2126"/>
      <c r="C1003" s="2149"/>
      <c r="D1003" s="3248"/>
      <c r="E1003" s="525"/>
      <c r="F1003" s="525"/>
      <c r="G1003" s="526"/>
      <c r="K1003" s="3280"/>
      <c r="P1003" s="3041"/>
      <c r="X1003" s="3280"/>
      <c r="AA1003" s="3041"/>
      <c r="AF1003" s="3041"/>
      <c r="AN1003" s="3280"/>
      <c r="AZ1003" s="3041"/>
      <c r="BD1003" s="3281"/>
      <c r="BH1003" s="3282"/>
      <c r="BJ1003" s="2589"/>
      <c r="BK1003" s="2126"/>
      <c r="BL1003" s="2126"/>
      <c r="BM1003" s="2126"/>
      <c r="BN1003" s="2126"/>
      <c r="BO1003" s="2126"/>
      <c r="BP1003" s="2126"/>
      <c r="BQ1003" s="2126"/>
      <c r="BR1003" s="2126"/>
      <c r="BS1003" s="2126"/>
    </row>
    <row r="1004" spans="1:71" s="3030" customFormat="1">
      <c r="A1004" s="2126"/>
      <c r="B1004" s="2126"/>
      <c r="C1004" s="2149"/>
      <c r="D1004" s="3248"/>
      <c r="E1004" s="525"/>
      <c r="F1004" s="525"/>
      <c r="G1004" s="526"/>
      <c r="K1004" s="3280"/>
      <c r="P1004" s="3041"/>
      <c r="X1004" s="3280"/>
      <c r="AA1004" s="3041"/>
      <c r="AF1004" s="3041"/>
      <c r="AN1004" s="3280"/>
      <c r="AZ1004" s="3041"/>
      <c r="BD1004" s="3281"/>
      <c r="BH1004" s="3282"/>
      <c r="BJ1004" s="2589"/>
      <c r="BK1004" s="2126"/>
      <c r="BL1004" s="2126"/>
      <c r="BM1004" s="2126"/>
      <c r="BN1004" s="2126"/>
      <c r="BO1004" s="2126"/>
      <c r="BP1004" s="2126"/>
      <c r="BQ1004" s="2126"/>
      <c r="BR1004" s="2126"/>
      <c r="BS1004" s="2126"/>
    </row>
    <row r="1005" spans="1:71" s="3030" customFormat="1">
      <c r="A1005" s="2126"/>
      <c r="B1005" s="2126"/>
      <c r="C1005" s="2149"/>
      <c r="D1005" s="3248"/>
      <c r="E1005" s="525"/>
      <c r="F1005" s="525"/>
      <c r="G1005" s="526"/>
      <c r="K1005" s="3280"/>
      <c r="P1005" s="3041"/>
      <c r="X1005" s="3280"/>
      <c r="AA1005" s="3041"/>
      <c r="AF1005" s="3041"/>
      <c r="AN1005" s="3280"/>
      <c r="AZ1005" s="3041"/>
      <c r="BD1005" s="3281"/>
      <c r="BH1005" s="3282"/>
      <c r="BJ1005" s="2589"/>
      <c r="BK1005" s="2126"/>
      <c r="BL1005" s="2126"/>
      <c r="BM1005" s="2126"/>
      <c r="BN1005" s="2126"/>
      <c r="BO1005" s="2126"/>
      <c r="BP1005" s="2126"/>
      <c r="BQ1005" s="2126"/>
      <c r="BR1005" s="2126"/>
      <c r="BS1005" s="2126"/>
    </row>
    <row r="1006" spans="1:71" s="3030" customFormat="1">
      <c r="A1006" s="2126"/>
      <c r="B1006" s="2126"/>
      <c r="C1006" s="2149"/>
      <c r="D1006" s="3248"/>
      <c r="E1006" s="525"/>
      <c r="F1006" s="525"/>
      <c r="G1006" s="526"/>
      <c r="K1006" s="3280"/>
      <c r="P1006" s="3041"/>
      <c r="X1006" s="3280"/>
      <c r="AA1006" s="3041"/>
      <c r="AF1006" s="3041"/>
      <c r="AN1006" s="3280"/>
      <c r="AZ1006" s="3041"/>
      <c r="BD1006" s="3281"/>
      <c r="BH1006" s="3282"/>
      <c r="BJ1006" s="2589"/>
      <c r="BK1006" s="2126"/>
      <c r="BL1006" s="2126"/>
      <c r="BM1006" s="2126"/>
      <c r="BN1006" s="2126"/>
      <c r="BO1006" s="2126"/>
      <c r="BP1006" s="2126"/>
      <c r="BQ1006" s="2126"/>
      <c r="BR1006" s="2126"/>
      <c r="BS1006" s="2126"/>
    </row>
    <row r="1007" spans="1:71" s="3030" customFormat="1">
      <c r="A1007" s="2126"/>
      <c r="B1007" s="2126"/>
      <c r="C1007" s="2149"/>
      <c r="D1007" s="3248"/>
      <c r="E1007" s="525"/>
      <c r="F1007" s="525"/>
      <c r="G1007" s="526"/>
      <c r="K1007" s="3280"/>
      <c r="P1007" s="3041"/>
      <c r="X1007" s="3280"/>
      <c r="AA1007" s="3041"/>
      <c r="AF1007" s="3041"/>
      <c r="AN1007" s="3280"/>
      <c r="AZ1007" s="3041"/>
      <c r="BD1007" s="3281"/>
      <c r="BH1007" s="3282"/>
      <c r="BJ1007" s="2589"/>
      <c r="BK1007" s="2126"/>
      <c r="BL1007" s="2126"/>
      <c r="BM1007" s="2126"/>
      <c r="BN1007" s="2126"/>
      <c r="BO1007" s="2126"/>
      <c r="BP1007" s="2126"/>
      <c r="BQ1007" s="2126"/>
      <c r="BR1007" s="2126"/>
      <c r="BS1007" s="2126"/>
    </row>
    <row r="1008" spans="1:71" s="3030" customFormat="1">
      <c r="A1008" s="2126"/>
      <c r="B1008" s="2126"/>
      <c r="C1008" s="2149"/>
      <c r="D1008" s="3248"/>
      <c r="E1008" s="525"/>
      <c r="F1008" s="525"/>
      <c r="G1008" s="526"/>
      <c r="K1008" s="3280"/>
      <c r="P1008" s="3041"/>
      <c r="X1008" s="3280"/>
      <c r="AA1008" s="3041"/>
      <c r="AF1008" s="3041"/>
      <c r="AN1008" s="3280"/>
      <c r="AZ1008" s="3041"/>
      <c r="BD1008" s="3281"/>
      <c r="BH1008" s="3282"/>
      <c r="BJ1008" s="2589"/>
      <c r="BK1008" s="2126"/>
      <c r="BL1008" s="2126"/>
      <c r="BM1008" s="2126"/>
      <c r="BN1008" s="2126"/>
      <c r="BO1008" s="2126"/>
      <c r="BP1008" s="2126"/>
      <c r="BQ1008" s="2126"/>
      <c r="BR1008" s="2126"/>
      <c r="BS1008" s="2126"/>
    </row>
    <row r="1009" spans="1:71" s="3030" customFormat="1">
      <c r="A1009" s="2126"/>
      <c r="B1009" s="2126"/>
      <c r="C1009" s="2149"/>
      <c r="D1009" s="3248"/>
      <c r="E1009" s="525"/>
      <c r="F1009" s="525"/>
      <c r="G1009" s="526"/>
      <c r="K1009" s="3280"/>
      <c r="P1009" s="3041"/>
      <c r="X1009" s="3280"/>
      <c r="AA1009" s="3041"/>
      <c r="AF1009" s="3041"/>
      <c r="AN1009" s="3280"/>
      <c r="AZ1009" s="3041"/>
      <c r="BD1009" s="3281"/>
      <c r="BH1009" s="3282"/>
      <c r="BJ1009" s="2589"/>
      <c r="BK1009" s="2126"/>
      <c r="BL1009" s="2126"/>
      <c r="BM1009" s="2126"/>
      <c r="BN1009" s="2126"/>
      <c r="BO1009" s="2126"/>
      <c r="BP1009" s="2126"/>
      <c r="BQ1009" s="2126"/>
      <c r="BR1009" s="2126"/>
      <c r="BS1009" s="2126"/>
    </row>
    <row r="1010" spans="1:71" s="3030" customFormat="1">
      <c r="A1010" s="2126"/>
      <c r="B1010" s="2126"/>
      <c r="C1010" s="2149"/>
      <c r="D1010" s="3248"/>
      <c r="E1010" s="525"/>
      <c r="F1010" s="525"/>
      <c r="G1010" s="526"/>
      <c r="K1010" s="3280"/>
      <c r="P1010" s="3041"/>
      <c r="X1010" s="3280"/>
      <c r="AA1010" s="3041"/>
      <c r="AF1010" s="3041"/>
      <c r="AN1010" s="3280"/>
      <c r="AZ1010" s="3041"/>
      <c r="BD1010" s="3281"/>
      <c r="BH1010" s="3282"/>
      <c r="BJ1010" s="2589"/>
      <c r="BK1010" s="2126"/>
      <c r="BL1010" s="2126"/>
      <c r="BM1010" s="2126"/>
      <c r="BN1010" s="2126"/>
      <c r="BO1010" s="2126"/>
      <c r="BP1010" s="2126"/>
      <c r="BQ1010" s="2126"/>
      <c r="BR1010" s="2126"/>
      <c r="BS1010" s="2126"/>
    </row>
    <row r="1011" spans="1:71" s="3030" customFormat="1">
      <c r="A1011" s="2126"/>
      <c r="B1011" s="2126"/>
      <c r="C1011" s="2149"/>
      <c r="D1011" s="3248"/>
      <c r="E1011" s="525"/>
      <c r="F1011" s="525"/>
      <c r="G1011" s="526"/>
      <c r="K1011" s="3280"/>
      <c r="P1011" s="3041"/>
      <c r="X1011" s="3280"/>
      <c r="AA1011" s="3041"/>
      <c r="AF1011" s="3041"/>
      <c r="AN1011" s="3280"/>
      <c r="AZ1011" s="3041"/>
      <c r="BD1011" s="3281"/>
      <c r="BH1011" s="3282"/>
      <c r="BJ1011" s="2589"/>
      <c r="BK1011" s="2126"/>
      <c r="BL1011" s="2126"/>
      <c r="BM1011" s="2126"/>
      <c r="BN1011" s="2126"/>
      <c r="BO1011" s="2126"/>
      <c r="BP1011" s="2126"/>
      <c r="BQ1011" s="2126"/>
      <c r="BR1011" s="2126"/>
      <c r="BS1011" s="2126"/>
    </row>
    <row r="1012" spans="1:71" s="3030" customFormat="1">
      <c r="A1012" s="2126"/>
      <c r="B1012" s="2126"/>
      <c r="C1012" s="2149"/>
      <c r="D1012" s="3248"/>
      <c r="E1012" s="525"/>
      <c r="F1012" s="525"/>
      <c r="G1012" s="526"/>
      <c r="K1012" s="3280"/>
      <c r="P1012" s="3041"/>
      <c r="X1012" s="3280"/>
      <c r="AA1012" s="3041"/>
      <c r="AF1012" s="3041"/>
      <c r="AN1012" s="3280"/>
      <c r="AZ1012" s="3041"/>
      <c r="BD1012" s="3281"/>
      <c r="BH1012" s="3282"/>
      <c r="BJ1012" s="2589"/>
      <c r="BK1012" s="2126"/>
      <c r="BL1012" s="2126"/>
      <c r="BM1012" s="2126"/>
      <c r="BN1012" s="2126"/>
      <c r="BO1012" s="2126"/>
      <c r="BP1012" s="2126"/>
      <c r="BQ1012" s="2126"/>
      <c r="BR1012" s="2126"/>
      <c r="BS1012" s="2126"/>
    </row>
    <row r="1013" spans="1:71" s="3030" customFormat="1">
      <c r="A1013" s="2126"/>
      <c r="B1013" s="2126"/>
      <c r="C1013" s="2149"/>
      <c r="D1013" s="3248"/>
      <c r="E1013" s="525"/>
      <c r="F1013" s="525"/>
      <c r="G1013" s="526"/>
      <c r="K1013" s="3280"/>
      <c r="P1013" s="3041"/>
      <c r="X1013" s="3280"/>
      <c r="AA1013" s="3041"/>
      <c r="AF1013" s="3041"/>
      <c r="AN1013" s="3280"/>
      <c r="AZ1013" s="3041"/>
      <c r="BD1013" s="3281"/>
      <c r="BH1013" s="3282"/>
      <c r="BJ1013" s="2589"/>
      <c r="BK1013" s="2126"/>
      <c r="BL1013" s="2126"/>
      <c r="BM1013" s="2126"/>
      <c r="BN1013" s="2126"/>
      <c r="BO1013" s="2126"/>
      <c r="BP1013" s="2126"/>
      <c r="BQ1013" s="2126"/>
      <c r="BR1013" s="2126"/>
      <c r="BS1013" s="2126"/>
    </row>
    <row r="1014" spans="1:71" s="3030" customFormat="1">
      <c r="A1014" s="2126"/>
      <c r="B1014" s="2126"/>
      <c r="C1014" s="2149"/>
      <c r="D1014" s="3248"/>
      <c r="E1014" s="525"/>
      <c r="F1014" s="525"/>
      <c r="G1014" s="526"/>
      <c r="K1014" s="3280"/>
      <c r="P1014" s="3041"/>
      <c r="X1014" s="3280"/>
      <c r="AA1014" s="3041"/>
      <c r="AF1014" s="3041"/>
      <c r="AN1014" s="3280"/>
      <c r="AZ1014" s="3041"/>
      <c r="BD1014" s="3281"/>
      <c r="BH1014" s="3282"/>
      <c r="BJ1014" s="2589"/>
      <c r="BK1014" s="2126"/>
      <c r="BL1014" s="2126"/>
      <c r="BM1014" s="2126"/>
      <c r="BN1014" s="2126"/>
      <c r="BO1014" s="2126"/>
      <c r="BP1014" s="2126"/>
      <c r="BQ1014" s="2126"/>
      <c r="BR1014" s="2126"/>
      <c r="BS1014" s="2126"/>
    </row>
    <row r="1015" spans="1:71" s="3030" customFormat="1">
      <c r="A1015" s="2126"/>
      <c r="B1015" s="2126"/>
      <c r="C1015" s="2149"/>
      <c r="D1015" s="3248"/>
      <c r="E1015" s="525"/>
      <c r="F1015" s="525"/>
      <c r="G1015" s="526"/>
      <c r="K1015" s="3280"/>
      <c r="P1015" s="3041"/>
      <c r="X1015" s="3280"/>
      <c r="AA1015" s="3041"/>
      <c r="AF1015" s="3041"/>
      <c r="AN1015" s="3280"/>
      <c r="AZ1015" s="3041"/>
      <c r="BD1015" s="3281"/>
      <c r="BH1015" s="3282"/>
      <c r="BJ1015" s="2589"/>
      <c r="BK1015" s="2126"/>
      <c r="BL1015" s="2126"/>
      <c r="BM1015" s="2126"/>
      <c r="BN1015" s="2126"/>
      <c r="BO1015" s="2126"/>
      <c r="BP1015" s="2126"/>
      <c r="BQ1015" s="2126"/>
      <c r="BR1015" s="2126"/>
      <c r="BS1015" s="2126"/>
    </row>
    <row r="1016" spans="1:71" s="3030" customFormat="1">
      <c r="A1016" s="2126"/>
      <c r="B1016" s="2126"/>
      <c r="C1016" s="2149"/>
      <c r="D1016" s="3248"/>
      <c r="E1016" s="525"/>
      <c r="F1016" s="525"/>
      <c r="G1016" s="526"/>
      <c r="K1016" s="3280"/>
      <c r="P1016" s="3041"/>
      <c r="X1016" s="3280"/>
      <c r="AA1016" s="3041"/>
      <c r="AF1016" s="3041"/>
      <c r="AN1016" s="3280"/>
      <c r="AZ1016" s="3041"/>
      <c r="BD1016" s="3281"/>
      <c r="BH1016" s="3282"/>
      <c r="BJ1016" s="2589"/>
      <c r="BK1016" s="2126"/>
      <c r="BL1016" s="2126"/>
      <c r="BM1016" s="2126"/>
      <c r="BN1016" s="2126"/>
      <c r="BO1016" s="2126"/>
      <c r="BP1016" s="2126"/>
      <c r="BQ1016" s="2126"/>
      <c r="BR1016" s="2126"/>
      <c r="BS1016" s="2126"/>
    </row>
    <row r="1017" spans="1:71" s="3030" customFormat="1">
      <c r="A1017" s="2126"/>
      <c r="B1017" s="2126"/>
      <c r="C1017" s="2149"/>
      <c r="D1017" s="3248"/>
      <c r="E1017" s="525"/>
      <c r="F1017" s="525"/>
      <c r="G1017" s="526"/>
      <c r="K1017" s="3280"/>
      <c r="P1017" s="3041"/>
      <c r="X1017" s="3280"/>
      <c r="AA1017" s="3041"/>
      <c r="AF1017" s="3041"/>
      <c r="AN1017" s="3280"/>
      <c r="AZ1017" s="3041"/>
      <c r="BD1017" s="3281"/>
      <c r="BH1017" s="3282"/>
      <c r="BJ1017" s="2589"/>
      <c r="BK1017" s="2126"/>
      <c r="BL1017" s="2126"/>
      <c r="BM1017" s="2126"/>
      <c r="BN1017" s="2126"/>
      <c r="BO1017" s="2126"/>
      <c r="BP1017" s="2126"/>
      <c r="BQ1017" s="2126"/>
      <c r="BR1017" s="2126"/>
      <c r="BS1017" s="2126"/>
    </row>
    <row r="1018" spans="1:71" s="3030" customFormat="1">
      <c r="A1018" s="2126"/>
      <c r="B1018" s="2126"/>
      <c r="C1018" s="2149"/>
      <c r="D1018" s="3248"/>
      <c r="E1018" s="525"/>
      <c r="F1018" s="525"/>
      <c r="G1018" s="526"/>
      <c r="K1018" s="3280"/>
      <c r="P1018" s="3041"/>
      <c r="X1018" s="3280"/>
      <c r="AA1018" s="3041"/>
      <c r="AF1018" s="3041"/>
      <c r="AN1018" s="3280"/>
      <c r="AZ1018" s="3041"/>
      <c r="BD1018" s="3281"/>
      <c r="BH1018" s="3282"/>
      <c r="BJ1018" s="2589"/>
      <c r="BK1018" s="2126"/>
      <c r="BL1018" s="2126"/>
      <c r="BM1018" s="2126"/>
      <c r="BN1018" s="2126"/>
      <c r="BO1018" s="2126"/>
      <c r="BP1018" s="2126"/>
      <c r="BQ1018" s="2126"/>
      <c r="BR1018" s="2126"/>
      <c r="BS1018" s="2126"/>
    </row>
    <row r="1019" spans="1:71" s="3030" customFormat="1">
      <c r="A1019" s="2126"/>
      <c r="B1019" s="2126"/>
      <c r="C1019" s="2149"/>
      <c r="D1019" s="3248"/>
      <c r="E1019" s="525"/>
      <c r="F1019" s="525"/>
      <c r="G1019" s="526"/>
      <c r="K1019" s="3280"/>
      <c r="P1019" s="3041"/>
      <c r="X1019" s="3280"/>
      <c r="AA1019" s="3041"/>
      <c r="AF1019" s="3041"/>
      <c r="AN1019" s="3280"/>
      <c r="AZ1019" s="3041"/>
      <c r="BD1019" s="3281"/>
      <c r="BH1019" s="3282"/>
      <c r="BJ1019" s="2589"/>
      <c r="BK1019" s="2126"/>
      <c r="BL1019" s="2126"/>
      <c r="BM1019" s="2126"/>
      <c r="BN1019" s="2126"/>
      <c r="BO1019" s="2126"/>
      <c r="BP1019" s="2126"/>
      <c r="BQ1019" s="2126"/>
      <c r="BR1019" s="2126"/>
      <c r="BS1019" s="2126"/>
    </row>
    <row r="1020" spans="1:71" s="3030" customFormat="1">
      <c r="A1020" s="2126"/>
      <c r="B1020" s="2126"/>
      <c r="C1020" s="2149"/>
      <c r="D1020" s="3248"/>
      <c r="E1020" s="525"/>
      <c r="F1020" s="525"/>
      <c r="G1020" s="526"/>
      <c r="K1020" s="3280"/>
      <c r="P1020" s="3041"/>
      <c r="X1020" s="3280"/>
      <c r="AA1020" s="3041"/>
      <c r="AF1020" s="3041"/>
      <c r="AN1020" s="3280"/>
      <c r="AZ1020" s="3041"/>
      <c r="BD1020" s="3281"/>
      <c r="BH1020" s="3282"/>
      <c r="BJ1020" s="2589"/>
      <c r="BK1020" s="2126"/>
      <c r="BL1020" s="2126"/>
      <c r="BM1020" s="2126"/>
      <c r="BN1020" s="2126"/>
      <c r="BO1020" s="2126"/>
      <c r="BP1020" s="2126"/>
      <c r="BQ1020" s="2126"/>
      <c r="BR1020" s="2126"/>
      <c r="BS1020" s="2126"/>
    </row>
    <row r="1021" spans="1:71" s="3030" customFormat="1">
      <c r="A1021" s="2126"/>
      <c r="B1021" s="2126"/>
      <c r="C1021" s="2149"/>
      <c r="D1021" s="3248"/>
      <c r="E1021" s="525"/>
      <c r="F1021" s="525"/>
      <c r="G1021" s="526"/>
      <c r="K1021" s="3280"/>
      <c r="P1021" s="3041"/>
      <c r="X1021" s="3280"/>
      <c r="AA1021" s="3041"/>
      <c r="AF1021" s="3041"/>
      <c r="AN1021" s="3280"/>
      <c r="AZ1021" s="3041"/>
      <c r="BD1021" s="3281"/>
      <c r="BH1021" s="3282"/>
      <c r="BJ1021" s="2589"/>
      <c r="BK1021" s="2126"/>
      <c r="BL1021" s="2126"/>
      <c r="BM1021" s="2126"/>
      <c r="BN1021" s="2126"/>
      <c r="BO1021" s="2126"/>
      <c r="BP1021" s="2126"/>
      <c r="BQ1021" s="2126"/>
      <c r="BR1021" s="2126"/>
      <c r="BS1021" s="2126"/>
    </row>
    <row r="1022" spans="1:71" s="3030" customFormat="1">
      <c r="A1022" s="2126"/>
      <c r="B1022" s="2126"/>
      <c r="C1022" s="2149"/>
      <c r="D1022" s="3248"/>
      <c r="E1022" s="525"/>
      <c r="F1022" s="525"/>
      <c r="G1022" s="526"/>
      <c r="K1022" s="3280"/>
      <c r="P1022" s="3041"/>
      <c r="X1022" s="3280"/>
      <c r="AA1022" s="3041"/>
      <c r="AF1022" s="3041"/>
      <c r="AN1022" s="3280"/>
      <c r="AZ1022" s="3041"/>
      <c r="BD1022" s="3281"/>
      <c r="BH1022" s="3282"/>
      <c r="BJ1022" s="2589"/>
      <c r="BK1022" s="2126"/>
      <c r="BL1022" s="2126"/>
      <c r="BM1022" s="2126"/>
      <c r="BN1022" s="2126"/>
      <c r="BO1022" s="2126"/>
      <c r="BP1022" s="2126"/>
      <c r="BQ1022" s="2126"/>
      <c r="BR1022" s="2126"/>
      <c r="BS1022" s="2126"/>
    </row>
    <row r="1023" spans="1:71" s="3030" customFormat="1">
      <c r="A1023" s="2126"/>
      <c r="B1023" s="2126"/>
      <c r="C1023" s="2149"/>
      <c r="D1023" s="3248"/>
      <c r="E1023" s="525"/>
      <c r="F1023" s="525"/>
      <c r="G1023" s="526"/>
      <c r="K1023" s="3280"/>
      <c r="P1023" s="3041"/>
      <c r="X1023" s="3280"/>
      <c r="AA1023" s="3041"/>
      <c r="AF1023" s="3041"/>
      <c r="AN1023" s="3280"/>
      <c r="AZ1023" s="3041"/>
      <c r="BD1023" s="3281"/>
      <c r="BH1023" s="3282"/>
      <c r="BJ1023" s="2589"/>
      <c r="BK1023" s="2126"/>
      <c r="BL1023" s="2126"/>
      <c r="BM1023" s="2126"/>
      <c r="BN1023" s="2126"/>
      <c r="BO1023" s="2126"/>
      <c r="BP1023" s="2126"/>
      <c r="BQ1023" s="2126"/>
      <c r="BR1023" s="2126"/>
      <c r="BS1023" s="2126"/>
    </row>
    <row r="1024" spans="1:71" s="3030" customFormat="1">
      <c r="A1024" s="2126"/>
      <c r="B1024" s="2126"/>
      <c r="C1024" s="2149"/>
      <c r="D1024" s="3248"/>
      <c r="E1024" s="525"/>
      <c r="F1024" s="525"/>
      <c r="G1024" s="526"/>
      <c r="K1024" s="3280"/>
      <c r="P1024" s="3041"/>
      <c r="X1024" s="3280"/>
      <c r="AA1024" s="3041"/>
      <c r="AF1024" s="3041"/>
      <c r="AN1024" s="3280"/>
      <c r="AZ1024" s="3041"/>
      <c r="BD1024" s="3281"/>
      <c r="BH1024" s="3282"/>
      <c r="BJ1024" s="2589"/>
      <c r="BK1024" s="2126"/>
      <c r="BL1024" s="2126"/>
      <c r="BM1024" s="2126"/>
      <c r="BN1024" s="2126"/>
      <c r="BO1024" s="2126"/>
      <c r="BP1024" s="2126"/>
      <c r="BQ1024" s="2126"/>
      <c r="BR1024" s="2126"/>
      <c r="BS1024" s="2126"/>
    </row>
    <row r="1025" spans="1:71" s="3030" customFormat="1">
      <c r="A1025" s="2126"/>
      <c r="B1025" s="2126"/>
      <c r="C1025" s="2149"/>
      <c r="D1025" s="3248"/>
      <c r="E1025" s="525"/>
      <c r="F1025" s="525"/>
      <c r="G1025" s="526"/>
      <c r="K1025" s="3280"/>
      <c r="P1025" s="3041"/>
      <c r="X1025" s="3280"/>
      <c r="AA1025" s="3041"/>
      <c r="AF1025" s="3041"/>
      <c r="AN1025" s="3280"/>
      <c r="AZ1025" s="3041"/>
      <c r="BD1025" s="3281"/>
      <c r="BH1025" s="3282"/>
      <c r="BJ1025" s="2589"/>
      <c r="BK1025" s="2126"/>
      <c r="BL1025" s="2126"/>
      <c r="BM1025" s="2126"/>
      <c r="BN1025" s="2126"/>
      <c r="BO1025" s="2126"/>
      <c r="BP1025" s="2126"/>
      <c r="BQ1025" s="2126"/>
      <c r="BR1025" s="2126"/>
      <c r="BS1025" s="2126"/>
    </row>
    <row r="1026" spans="1:71" s="3030" customFormat="1">
      <c r="A1026" s="2126"/>
      <c r="B1026" s="2126"/>
      <c r="C1026" s="2149"/>
      <c r="D1026" s="3248"/>
      <c r="E1026" s="525"/>
      <c r="F1026" s="525"/>
      <c r="G1026" s="526"/>
      <c r="K1026" s="3280"/>
      <c r="P1026" s="3041"/>
      <c r="X1026" s="3280"/>
      <c r="AA1026" s="3041"/>
      <c r="AF1026" s="3041"/>
      <c r="AN1026" s="3280"/>
      <c r="AZ1026" s="3041"/>
      <c r="BD1026" s="3281"/>
      <c r="BH1026" s="3282"/>
      <c r="BJ1026" s="2589"/>
      <c r="BK1026" s="2126"/>
      <c r="BL1026" s="2126"/>
      <c r="BM1026" s="2126"/>
      <c r="BN1026" s="2126"/>
      <c r="BO1026" s="2126"/>
      <c r="BP1026" s="2126"/>
      <c r="BQ1026" s="2126"/>
      <c r="BR1026" s="2126"/>
      <c r="BS1026" s="2126"/>
    </row>
    <row r="1027" spans="1:71" s="3030" customFormat="1">
      <c r="A1027" s="2126"/>
      <c r="B1027" s="2126"/>
      <c r="C1027" s="2149"/>
      <c r="D1027" s="3248"/>
      <c r="E1027" s="525"/>
      <c r="F1027" s="525"/>
      <c r="G1027" s="526"/>
      <c r="K1027" s="3280"/>
      <c r="P1027" s="3041"/>
      <c r="X1027" s="3280"/>
      <c r="AA1027" s="3041"/>
      <c r="AF1027" s="3041"/>
      <c r="AN1027" s="3280"/>
      <c r="AZ1027" s="3041"/>
      <c r="BD1027" s="3281"/>
      <c r="BH1027" s="3282"/>
      <c r="BJ1027" s="2589"/>
      <c r="BK1027" s="2126"/>
      <c r="BL1027" s="2126"/>
      <c r="BM1027" s="2126"/>
      <c r="BN1027" s="2126"/>
      <c r="BO1027" s="2126"/>
      <c r="BP1027" s="2126"/>
      <c r="BQ1027" s="2126"/>
      <c r="BR1027" s="2126"/>
      <c r="BS1027" s="2126"/>
    </row>
    <row r="1028" spans="1:71" s="3030" customFormat="1">
      <c r="A1028" s="2126"/>
      <c r="B1028" s="2126"/>
      <c r="C1028" s="2149"/>
      <c r="D1028" s="3248"/>
      <c r="E1028" s="525"/>
      <c r="F1028" s="525"/>
      <c r="G1028" s="526"/>
      <c r="K1028" s="3280"/>
      <c r="P1028" s="3041"/>
      <c r="X1028" s="3280"/>
      <c r="AA1028" s="3041"/>
      <c r="AF1028" s="3041"/>
      <c r="AN1028" s="3280"/>
      <c r="AZ1028" s="3041"/>
      <c r="BD1028" s="3281"/>
      <c r="BH1028" s="3282"/>
      <c r="BJ1028" s="2589"/>
      <c r="BK1028" s="2126"/>
      <c r="BL1028" s="2126"/>
      <c r="BM1028" s="2126"/>
      <c r="BN1028" s="2126"/>
      <c r="BO1028" s="2126"/>
      <c r="BP1028" s="2126"/>
      <c r="BQ1028" s="2126"/>
      <c r="BR1028" s="2126"/>
      <c r="BS1028" s="2126"/>
    </row>
    <row r="1029" spans="1:71" s="3030" customFormat="1">
      <c r="A1029" s="2126"/>
      <c r="B1029" s="2126"/>
      <c r="C1029" s="2149"/>
      <c r="D1029" s="3248"/>
      <c r="E1029" s="525"/>
      <c r="F1029" s="525"/>
      <c r="G1029" s="526"/>
      <c r="K1029" s="3280"/>
      <c r="P1029" s="3041"/>
      <c r="X1029" s="3280"/>
      <c r="AA1029" s="3041"/>
      <c r="AF1029" s="3041"/>
      <c r="AN1029" s="3280"/>
      <c r="AZ1029" s="3041"/>
      <c r="BD1029" s="3281"/>
      <c r="BH1029" s="3282"/>
      <c r="BJ1029" s="2589"/>
      <c r="BK1029" s="2126"/>
      <c r="BL1029" s="2126"/>
      <c r="BM1029" s="2126"/>
      <c r="BN1029" s="2126"/>
      <c r="BO1029" s="2126"/>
      <c r="BP1029" s="2126"/>
      <c r="BQ1029" s="2126"/>
      <c r="BR1029" s="2126"/>
      <c r="BS1029" s="2126"/>
    </row>
    <row r="1030" spans="1:71" s="3030" customFormat="1">
      <c r="A1030" s="2126"/>
      <c r="B1030" s="2126"/>
      <c r="C1030" s="2149"/>
      <c r="D1030" s="3248"/>
      <c r="E1030" s="525"/>
      <c r="F1030" s="525"/>
      <c r="G1030" s="526"/>
      <c r="K1030" s="3280"/>
      <c r="P1030" s="3041"/>
      <c r="X1030" s="3280"/>
      <c r="AA1030" s="3041"/>
      <c r="AF1030" s="3041"/>
      <c r="AN1030" s="3280"/>
      <c r="AZ1030" s="3041"/>
      <c r="BD1030" s="3281"/>
      <c r="BH1030" s="3282"/>
      <c r="BJ1030" s="2589"/>
      <c r="BK1030" s="2126"/>
      <c r="BL1030" s="2126"/>
      <c r="BM1030" s="2126"/>
      <c r="BN1030" s="2126"/>
      <c r="BO1030" s="2126"/>
      <c r="BP1030" s="2126"/>
      <c r="BQ1030" s="2126"/>
      <c r="BR1030" s="2126"/>
      <c r="BS1030" s="2126"/>
    </row>
    <row r="1031" spans="1:71" s="3030" customFormat="1">
      <c r="A1031" s="2126"/>
      <c r="B1031" s="2126"/>
      <c r="C1031" s="2149"/>
      <c r="D1031" s="3248"/>
      <c r="E1031" s="525"/>
      <c r="F1031" s="525"/>
      <c r="G1031" s="526"/>
      <c r="K1031" s="3280"/>
      <c r="P1031" s="3041"/>
      <c r="X1031" s="3280"/>
      <c r="AA1031" s="3041"/>
      <c r="AF1031" s="3041"/>
      <c r="AN1031" s="3280"/>
      <c r="AZ1031" s="3041"/>
      <c r="BD1031" s="3281"/>
      <c r="BH1031" s="3282"/>
      <c r="BJ1031" s="2589"/>
      <c r="BK1031" s="2126"/>
      <c r="BL1031" s="2126"/>
      <c r="BM1031" s="2126"/>
      <c r="BN1031" s="2126"/>
      <c r="BO1031" s="2126"/>
      <c r="BP1031" s="2126"/>
      <c r="BQ1031" s="2126"/>
      <c r="BR1031" s="2126"/>
      <c r="BS1031" s="2126"/>
    </row>
    <row r="1032" spans="1:71" s="3030" customFormat="1">
      <c r="A1032" s="2126"/>
      <c r="B1032" s="2126"/>
      <c r="C1032" s="2149"/>
      <c r="D1032" s="3248"/>
      <c r="E1032" s="525"/>
      <c r="F1032" s="525"/>
      <c r="G1032" s="526"/>
      <c r="K1032" s="3280"/>
      <c r="P1032" s="3041"/>
      <c r="X1032" s="3280"/>
      <c r="AA1032" s="3041"/>
      <c r="AF1032" s="3041"/>
      <c r="AN1032" s="3280"/>
      <c r="AZ1032" s="3041"/>
      <c r="BD1032" s="3281"/>
      <c r="BH1032" s="3282"/>
      <c r="BJ1032" s="2589"/>
      <c r="BK1032" s="2126"/>
      <c r="BL1032" s="2126"/>
      <c r="BM1032" s="2126"/>
      <c r="BN1032" s="2126"/>
      <c r="BO1032" s="2126"/>
      <c r="BP1032" s="2126"/>
      <c r="BQ1032" s="2126"/>
      <c r="BR1032" s="2126"/>
      <c r="BS1032" s="2126"/>
    </row>
    <row r="1033" spans="1:71" s="3030" customFormat="1">
      <c r="A1033" s="2126"/>
      <c r="B1033" s="2126"/>
      <c r="C1033" s="2149"/>
      <c r="D1033" s="3248"/>
      <c r="E1033" s="525"/>
      <c r="F1033" s="525"/>
      <c r="G1033" s="526"/>
      <c r="K1033" s="3280"/>
      <c r="P1033" s="3041"/>
      <c r="X1033" s="3280"/>
      <c r="AA1033" s="3041"/>
      <c r="AF1033" s="3041"/>
      <c r="AN1033" s="3280"/>
      <c r="AZ1033" s="3041"/>
      <c r="BD1033" s="3281"/>
      <c r="BH1033" s="3282"/>
      <c r="BJ1033" s="2589"/>
      <c r="BK1033" s="2126"/>
      <c r="BL1033" s="2126"/>
      <c r="BM1033" s="2126"/>
      <c r="BN1033" s="2126"/>
      <c r="BO1033" s="2126"/>
      <c r="BP1033" s="2126"/>
      <c r="BQ1033" s="2126"/>
      <c r="BR1033" s="2126"/>
      <c r="BS1033" s="2126"/>
    </row>
    <row r="1034" spans="1:71" s="3030" customFormat="1">
      <c r="A1034" s="2126"/>
      <c r="B1034" s="2126"/>
      <c r="C1034" s="2149"/>
      <c r="D1034" s="3248"/>
      <c r="E1034" s="525"/>
      <c r="F1034" s="525"/>
      <c r="G1034" s="526"/>
      <c r="K1034" s="3280"/>
      <c r="P1034" s="3041"/>
      <c r="X1034" s="3280"/>
      <c r="AA1034" s="3041"/>
      <c r="AF1034" s="3041"/>
      <c r="AN1034" s="3280"/>
      <c r="AZ1034" s="3041"/>
      <c r="BD1034" s="3281"/>
      <c r="BH1034" s="3282"/>
      <c r="BJ1034" s="2589"/>
      <c r="BK1034" s="2126"/>
      <c r="BL1034" s="2126"/>
      <c r="BM1034" s="2126"/>
      <c r="BN1034" s="2126"/>
      <c r="BO1034" s="2126"/>
      <c r="BP1034" s="2126"/>
      <c r="BQ1034" s="2126"/>
      <c r="BR1034" s="2126"/>
      <c r="BS1034" s="2126"/>
    </row>
    <row r="1035" spans="1:71" s="3030" customFormat="1">
      <c r="A1035" s="2126"/>
      <c r="B1035" s="2126"/>
      <c r="C1035" s="2149"/>
      <c r="D1035" s="3248"/>
      <c r="E1035" s="525"/>
      <c r="F1035" s="525"/>
      <c r="G1035" s="526"/>
      <c r="K1035" s="3280"/>
      <c r="P1035" s="3041"/>
      <c r="X1035" s="3280"/>
      <c r="AA1035" s="3041"/>
      <c r="AF1035" s="3041"/>
      <c r="AN1035" s="3280"/>
      <c r="AZ1035" s="3041"/>
      <c r="BD1035" s="3281"/>
      <c r="BH1035" s="3282"/>
      <c r="BJ1035" s="2589"/>
      <c r="BK1035" s="2126"/>
      <c r="BL1035" s="2126"/>
      <c r="BM1035" s="2126"/>
      <c r="BN1035" s="2126"/>
      <c r="BO1035" s="2126"/>
      <c r="BP1035" s="2126"/>
      <c r="BQ1035" s="2126"/>
      <c r="BR1035" s="2126"/>
      <c r="BS1035" s="2126"/>
    </row>
    <row r="1036" spans="1:71" s="3030" customFormat="1">
      <c r="A1036" s="2126"/>
      <c r="B1036" s="2126"/>
      <c r="C1036" s="2149"/>
      <c r="D1036" s="3248"/>
      <c r="E1036" s="525"/>
      <c r="F1036" s="525"/>
      <c r="G1036" s="526"/>
      <c r="K1036" s="3280"/>
      <c r="P1036" s="3041"/>
      <c r="X1036" s="3280"/>
      <c r="AA1036" s="3041"/>
      <c r="AF1036" s="3041"/>
      <c r="AN1036" s="3280"/>
      <c r="AZ1036" s="3041"/>
      <c r="BD1036" s="3281"/>
      <c r="BH1036" s="3282"/>
      <c r="BJ1036" s="2589"/>
      <c r="BK1036" s="2126"/>
      <c r="BL1036" s="2126"/>
      <c r="BM1036" s="2126"/>
      <c r="BN1036" s="2126"/>
      <c r="BO1036" s="2126"/>
      <c r="BP1036" s="2126"/>
      <c r="BQ1036" s="2126"/>
      <c r="BR1036" s="2126"/>
      <c r="BS1036" s="2126"/>
    </row>
    <row r="1037" spans="1:71" s="3030" customFormat="1">
      <c r="A1037" s="2126"/>
      <c r="B1037" s="2126"/>
      <c r="C1037" s="2149"/>
      <c r="D1037" s="3248"/>
      <c r="E1037" s="525"/>
      <c r="F1037" s="525"/>
      <c r="G1037" s="526"/>
      <c r="K1037" s="3280"/>
      <c r="P1037" s="3041"/>
      <c r="X1037" s="3280"/>
      <c r="AA1037" s="3041"/>
      <c r="AF1037" s="3041"/>
      <c r="AN1037" s="3280"/>
      <c r="AZ1037" s="3041"/>
      <c r="BD1037" s="3281"/>
      <c r="BH1037" s="3282"/>
      <c r="BJ1037" s="2589"/>
      <c r="BK1037" s="2126"/>
      <c r="BL1037" s="2126"/>
      <c r="BM1037" s="2126"/>
      <c r="BN1037" s="2126"/>
      <c r="BO1037" s="2126"/>
      <c r="BP1037" s="2126"/>
      <c r="BQ1037" s="2126"/>
      <c r="BR1037" s="2126"/>
      <c r="BS1037" s="2126"/>
    </row>
    <row r="1038" spans="1:71" s="3030" customFormat="1">
      <c r="A1038" s="2126"/>
      <c r="B1038" s="2126"/>
      <c r="C1038" s="2149"/>
      <c r="D1038" s="3248"/>
      <c r="E1038" s="525"/>
      <c r="F1038" s="525"/>
      <c r="G1038" s="526"/>
      <c r="K1038" s="3280"/>
      <c r="P1038" s="3041"/>
      <c r="X1038" s="3280"/>
      <c r="AA1038" s="3041"/>
      <c r="AF1038" s="3041"/>
      <c r="AN1038" s="3280"/>
      <c r="AZ1038" s="3041"/>
      <c r="BD1038" s="3281"/>
      <c r="BH1038" s="3282"/>
      <c r="BJ1038" s="2589"/>
      <c r="BK1038" s="2126"/>
      <c r="BL1038" s="2126"/>
      <c r="BM1038" s="2126"/>
      <c r="BN1038" s="2126"/>
      <c r="BO1038" s="2126"/>
      <c r="BP1038" s="2126"/>
      <c r="BQ1038" s="2126"/>
      <c r="BR1038" s="2126"/>
      <c r="BS1038" s="2126"/>
    </row>
    <row r="1039" spans="1:71" s="3030" customFormat="1">
      <c r="A1039" s="2126"/>
      <c r="B1039" s="2126"/>
      <c r="C1039" s="2149"/>
      <c r="D1039" s="3248"/>
      <c r="E1039" s="525"/>
      <c r="F1039" s="525"/>
      <c r="G1039" s="526"/>
      <c r="K1039" s="3280"/>
      <c r="P1039" s="3041"/>
      <c r="X1039" s="3280"/>
      <c r="AA1039" s="3041"/>
      <c r="AF1039" s="3041"/>
      <c r="AN1039" s="3280"/>
      <c r="AZ1039" s="3041"/>
      <c r="BD1039" s="3281"/>
      <c r="BH1039" s="3282"/>
      <c r="BJ1039" s="2589"/>
      <c r="BK1039" s="2126"/>
      <c r="BL1039" s="2126"/>
      <c r="BM1039" s="2126"/>
      <c r="BN1039" s="2126"/>
      <c r="BO1039" s="2126"/>
      <c r="BP1039" s="2126"/>
      <c r="BQ1039" s="2126"/>
      <c r="BR1039" s="2126"/>
      <c r="BS1039" s="2126"/>
    </row>
    <row r="1040" spans="1:71" s="3030" customFormat="1">
      <c r="A1040" s="2126"/>
      <c r="B1040" s="2126"/>
      <c r="C1040" s="2149"/>
      <c r="D1040" s="3248"/>
      <c r="E1040" s="525"/>
      <c r="F1040" s="525"/>
      <c r="G1040" s="526"/>
      <c r="K1040" s="3280"/>
      <c r="P1040" s="3041"/>
      <c r="X1040" s="3280"/>
      <c r="AA1040" s="3041"/>
      <c r="AF1040" s="3041"/>
      <c r="AN1040" s="3280"/>
      <c r="AZ1040" s="3041"/>
      <c r="BD1040" s="3281"/>
      <c r="BH1040" s="3282"/>
      <c r="BJ1040" s="2589"/>
      <c r="BK1040" s="2126"/>
      <c r="BL1040" s="2126"/>
      <c r="BM1040" s="2126"/>
      <c r="BN1040" s="2126"/>
      <c r="BO1040" s="2126"/>
      <c r="BP1040" s="2126"/>
      <c r="BQ1040" s="2126"/>
      <c r="BR1040" s="2126"/>
      <c r="BS1040" s="2126"/>
    </row>
    <row r="1041" spans="1:71" s="3030" customFormat="1">
      <c r="A1041" s="2126"/>
      <c r="B1041" s="2126"/>
      <c r="C1041" s="2149"/>
      <c r="D1041" s="3248"/>
      <c r="E1041" s="525"/>
      <c r="F1041" s="525"/>
      <c r="G1041" s="526"/>
      <c r="K1041" s="3280"/>
      <c r="P1041" s="3041"/>
      <c r="X1041" s="3280"/>
      <c r="AA1041" s="3041"/>
      <c r="AF1041" s="3041"/>
      <c r="AN1041" s="3280"/>
      <c r="AZ1041" s="3041"/>
      <c r="BD1041" s="3281"/>
      <c r="BH1041" s="3282"/>
      <c r="BJ1041" s="2589"/>
      <c r="BK1041" s="2126"/>
      <c r="BL1041" s="2126"/>
      <c r="BM1041" s="2126"/>
      <c r="BN1041" s="2126"/>
      <c r="BO1041" s="2126"/>
      <c r="BP1041" s="2126"/>
      <c r="BQ1041" s="2126"/>
      <c r="BR1041" s="2126"/>
      <c r="BS1041" s="2126"/>
    </row>
    <row r="1042" spans="1:71" s="3030" customFormat="1">
      <c r="A1042" s="2126"/>
      <c r="B1042" s="2126"/>
      <c r="C1042" s="2149"/>
      <c r="D1042" s="3248"/>
      <c r="E1042" s="525"/>
      <c r="F1042" s="525"/>
      <c r="G1042" s="526"/>
      <c r="K1042" s="3280"/>
      <c r="P1042" s="3041"/>
      <c r="X1042" s="3280"/>
      <c r="AA1042" s="3041"/>
      <c r="AF1042" s="3041"/>
      <c r="AN1042" s="3280"/>
      <c r="AZ1042" s="3041"/>
      <c r="BD1042" s="3281"/>
      <c r="BH1042" s="3282"/>
      <c r="BJ1042" s="2589"/>
      <c r="BK1042" s="2126"/>
      <c r="BL1042" s="2126"/>
      <c r="BM1042" s="2126"/>
      <c r="BN1042" s="2126"/>
      <c r="BO1042" s="2126"/>
      <c r="BP1042" s="2126"/>
      <c r="BQ1042" s="2126"/>
      <c r="BR1042" s="2126"/>
      <c r="BS1042" s="2126"/>
    </row>
    <row r="1043" spans="1:71" s="3030" customFormat="1">
      <c r="A1043" s="2126"/>
      <c r="B1043" s="2126"/>
      <c r="C1043" s="2149"/>
      <c r="D1043" s="3248"/>
      <c r="E1043" s="525"/>
      <c r="F1043" s="525"/>
      <c r="G1043" s="526"/>
      <c r="K1043" s="3280"/>
      <c r="P1043" s="3041"/>
      <c r="X1043" s="3280"/>
      <c r="AA1043" s="3041"/>
      <c r="AF1043" s="3041"/>
      <c r="AN1043" s="3280"/>
      <c r="AZ1043" s="3041"/>
      <c r="BD1043" s="3281"/>
      <c r="BH1043" s="3282"/>
      <c r="BJ1043" s="2589"/>
      <c r="BK1043" s="2126"/>
      <c r="BL1043" s="2126"/>
      <c r="BM1043" s="2126"/>
      <c r="BN1043" s="2126"/>
      <c r="BO1043" s="2126"/>
      <c r="BP1043" s="2126"/>
      <c r="BQ1043" s="2126"/>
      <c r="BR1043" s="2126"/>
      <c r="BS1043" s="2126"/>
    </row>
    <row r="1044" spans="1:71" s="3030" customFormat="1">
      <c r="A1044" s="2126"/>
      <c r="B1044" s="2126"/>
      <c r="C1044" s="2149"/>
      <c r="D1044" s="3248"/>
      <c r="E1044" s="525"/>
      <c r="F1044" s="525"/>
      <c r="G1044" s="526"/>
      <c r="K1044" s="3280"/>
      <c r="P1044" s="3041"/>
      <c r="X1044" s="3280"/>
      <c r="AA1044" s="3041"/>
      <c r="AF1044" s="3041"/>
      <c r="AN1044" s="3280"/>
      <c r="AZ1044" s="3041"/>
      <c r="BD1044" s="3281"/>
      <c r="BH1044" s="3282"/>
      <c r="BJ1044" s="2589"/>
      <c r="BK1044" s="2126"/>
      <c r="BL1044" s="2126"/>
      <c r="BM1044" s="2126"/>
      <c r="BN1044" s="2126"/>
      <c r="BO1044" s="2126"/>
      <c r="BP1044" s="2126"/>
      <c r="BQ1044" s="2126"/>
      <c r="BR1044" s="2126"/>
      <c r="BS1044" s="2126"/>
    </row>
    <row r="1045" spans="1:71" s="3030" customFormat="1">
      <c r="A1045" s="2126"/>
      <c r="B1045" s="2126"/>
      <c r="C1045" s="2149"/>
      <c r="D1045" s="3248"/>
      <c r="E1045" s="525"/>
      <c r="F1045" s="525"/>
      <c r="G1045" s="526"/>
      <c r="K1045" s="3280"/>
      <c r="P1045" s="3041"/>
      <c r="X1045" s="3280"/>
      <c r="AA1045" s="3041"/>
      <c r="AF1045" s="3041"/>
      <c r="AN1045" s="3280"/>
      <c r="AZ1045" s="3041"/>
      <c r="BD1045" s="3281"/>
      <c r="BH1045" s="3282"/>
      <c r="BJ1045" s="2589"/>
      <c r="BK1045" s="2126"/>
      <c r="BL1045" s="2126"/>
      <c r="BM1045" s="2126"/>
      <c r="BN1045" s="2126"/>
      <c r="BO1045" s="2126"/>
      <c r="BP1045" s="2126"/>
      <c r="BQ1045" s="2126"/>
      <c r="BR1045" s="2126"/>
      <c r="BS1045" s="2126"/>
    </row>
    <row r="1046" spans="1:71" s="3030" customFormat="1">
      <c r="A1046" s="2126"/>
      <c r="B1046" s="2126"/>
      <c r="C1046" s="2149"/>
      <c r="D1046" s="3248"/>
      <c r="E1046" s="525"/>
      <c r="F1046" s="525"/>
      <c r="G1046" s="526"/>
      <c r="K1046" s="3280"/>
      <c r="P1046" s="3041"/>
      <c r="X1046" s="3280"/>
      <c r="AA1046" s="3041"/>
      <c r="AF1046" s="3041"/>
      <c r="AN1046" s="3280"/>
      <c r="AZ1046" s="3041"/>
      <c r="BD1046" s="3281"/>
      <c r="BH1046" s="3282"/>
      <c r="BJ1046" s="2589"/>
      <c r="BK1046" s="2126"/>
      <c r="BL1046" s="2126"/>
      <c r="BM1046" s="2126"/>
      <c r="BN1046" s="2126"/>
      <c r="BO1046" s="2126"/>
      <c r="BP1046" s="2126"/>
      <c r="BQ1046" s="2126"/>
      <c r="BR1046" s="2126"/>
      <c r="BS1046" s="2126"/>
    </row>
    <row r="1047" spans="1:71" s="3030" customFormat="1">
      <c r="A1047" s="2126"/>
      <c r="B1047" s="2126"/>
      <c r="C1047" s="2149"/>
      <c r="D1047" s="3248"/>
      <c r="E1047" s="525"/>
      <c r="F1047" s="525"/>
      <c r="G1047" s="526"/>
      <c r="K1047" s="3280"/>
      <c r="P1047" s="3041"/>
      <c r="X1047" s="3280"/>
      <c r="AA1047" s="3041"/>
      <c r="AF1047" s="3041"/>
      <c r="AN1047" s="3280"/>
      <c r="AZ1047" s="3041"/>
      <c r="BD1047" s="3281"/>
      <c r="BH1047" s="3282"/>
      <c r="BJ1047" s="2589"/>
      <c r="BK1047" s="2126"/>
      <c r="BL1047" s="2126"/>
      <c r="BM1047" s="2126"/>
      <c r="BN1047" s="2126"/>
      <c r="BO1047" s="2126"/>
      <c r="BP1047" s="2126"/>
      <c r="BQ1047" s="2126"/>
      <c r="BR1047" s="2126"/>
      <c r="BS1047" s="2126"/>
    </row>
    <row r="1048" spans="1:71" s="3030" customFormat="1">
      <c r="A1048" s="2126"/>
      <c r="B1048" s="2126"/>
      <c r="C1048" s="2149"/>
      <c r="D1048" s="3248"/>
      <c r="E1048" s="525"/>
      <c r="F1048" s="525"/>
      <c r="G1048" s="526"/>
      <c r="K1048" s="3280"/>
      <c r="P1048" s="3041"/>
      <c r="X1048" s="3280"/>
      <c r="AA1048" s="3041"/>
      <c r="AF1048" s="3041"/>
      <c r="AN1048" s="3280"/>
      <c r="AZ1048" s="3041"/>
      <c r="BD1048" s="3281"/>
      <c r="BH1048" s="3282"/>
      <c r="BJ1048" s="2589"/>
      <c r="BK1048" s="2126"/>
      <c r="BL1048" s="2126"/>
      <c r="BM1048" s="2126"/>
      <c r="BN1048" s="2126"/>
      <c r="BO1048" s="2126"/>
      <c r="BP1048" s="2126"/>
      <c r="BQ1048" s="2126"/>
      <c r="BR1048" s="2126"/>
      <c r="BS1048" s="2126"/>
    </row>
    <row r="1049" spans="1:71" s="3030" customFormat="1">
      <c r="A1049" s="2126"/>
      <c r="B1049" s="2126"/>
      <c r="C1049" s="2149"/>
      <c r="D1049" s="3248"/>
      <c r="E1049" s="525"/>
      <c r="F1049" s="525"/>
      <c r="G1049" s="526"/>
      <c r="K1049" s="3280"/>
      <c r="P1049" s="3041"/>
      <c r="X1049" s="3280"/>
      <c r="AA1049" s="3041"/>
      <c r="AF1049" s="3041"/>
      <c r="AN1049" s="3280"/>
      <c r="AZ1049" s="3041"/>
      <c r="BD1049" s="3281"/>
      <c r="BH1049" s="3282"/>
      <c r="BJ1049" s="2589"/>
      <c r="BK1049" s="2126"/>
      <c r="BL1049" s="2126"/>
      <c r="BM1049" s="2126"/>
      <c r="BN1049" s="2126"/>
      <c r="BO1049" s="2126"/>
      <c r="BP1049" s="2126"/>
      <c r="BQ1049" s="2126"/>
      <c r="BR1049" s="2126"/>
      <c r="BS1049" s="2126"/>
    </row>
    <row r="1050" spans="1:71" s="3030" customFormat="1">
      <c r="A1050" s="2126"/>
      <c r="B1050" s="2126"/>
      <c r="C1050" s="2149"/>
      <c r="D1050" s="3248"/>
      <c r="E1050" s="525"/>
      <c r="F1050" s="525"/>
      <c r="G1050" s="526"/>
      <c r="K1050" s="3280"/>
      <c r="P1050" s="3041"/>
      <c r="X1050" s="3280"/>
      <c r="AA1050" s="3041"/>
      <c r="AF1050" s="3041"/>
      <c r="AN1050" s="3280"/>
      <c r="AZ1050" s="3041"/>
      <c r="BD1050" s="3281"/>
      <c r="BH1050" s="3282"/>
      <c r="BJ1050" s="2589"/>
      <c r="BK1050" s="2126"/>
      <c r="BL1050" s="2126"/>
      <c r="BM1050" s="2126"/>
      <c r="BN1050" s="2126"/>
      <c r="BO1050" s="2126"/>
      <c r="BP1050" s="2126"/>
      <c r="BQ1050" s="2126"/>
      <c r="BR1050" s="2126"/>
      <c r="BS1050" s="2126"/>
    </row>
    <row r="1051" spans="1:71" s="3030" customFormat="1">
      <c r="A1051" s="2126"/>
      <c r="B1051" s="2126"/>
      <c r="C1051" s="2149"/>
      <c r="D1051" s="3248"/>
      <c r="E1051" s="525"/>
      <c r="F1051" s="525"/>
      <c r="G1051" s="526"/>
      <c r="K1051" s="3280"/>
      <c r="P1051" s="3041"/>
      <c r="X1051" s="3280"/>
      <c r="AA1051" s="3041"/>
      <c r="AF1051" s="3041"/>
      <c r="AN1051" s="3280"/>
      <c r="AZ1051" s="3041"/>
      <c r="BD1051" s="3281"/>
      <c r="BH1051" s="3282"/>
      <c r="BJ1051" s="2589"/>
      <c r="BK1051" s="2126"/>
      <c r="BL1051" s="2126"/>
      <c r="BM1051" s="2126"/>
      <c r="BN1051" s="2126"/>
      <c r="BO1051" s="2126"/>
      <c r="BP1051" s="2126"/>
      <c r="BQ1051" s="2126"/>
      <c r="BR1051" s="2126"/>
      <c r="BS1051" s="2126"/>
    </row>
    <row r="1052" spans="1:71" s="3030" customFormat="1">
      <c r="A1052" s="2126"/>
      <c r="B1052" s="2126"/>
      <c r="C1052" s="2149"/>
      <c r="D1052" s="3248"/>
      <c r="E1052" s="525"/>
      <c r="F1052" s="525"/>
      <c r="G1052" s="526"/>
      <c r="K1052" s="3280"/>
      <c r="P1052" s="3041"/>
      <c r="X1052" s="3280"/>
      <c r="AA1052" s="3041"/>
      <c r="AF1052" s="3041"/>
      <c r="AN1052" s="3280"/>
      <c r="AZ1052" s="3041"/>
      <c r="BD1052" s="3281"/>
      <c r="BH1052" s="3282"/>
      <c r="BJ1052" s="2589"/>
      <c r="BK1052" s="2126"/>
      <c r="BL1052" s="2126"/>
      <c r="BM1052" s="2126"/>
      <c r="BN1052" s="2126"/>
      <c r="BO1052" s="2126"/>
      <c r="BP1052" s="2126"/>
      <c r="BQ1052" s="2126"/>
      <c r="BR1052" s="2126"/>
      <c r="BS1052" s="2126"/>
    </row>
    <row r="1053" spans="1:71" s="3030" customFormat="1">
      <c r="A1053" s="2126"/>
      <c r="B1053" s="2126"/>
      <c r="C1053" s="2149"/>
      <c r="D1053" s="3248"/>
      <c r="E1053" s="525"/>
      <c r="F1053" s="525"/>
      <c r="G1053" s="526"/>
      <c r="K1053" s="3280"/>
      <c r="P1053" s="3041"/>
      <c r="X1053" s="3280"/>
      <c r="AA1053" s="3041"/>
      <c r="AF1053" s="3041"/>
      <c r="AN1053" s="3280"/>
      <c r="AZ1053" s="3041"/>
      <c r="BD1053" s="3281"/>
      <c r="BH1053" s="3282"/>
      <c r="BJ1053" s="2589"/>
      <c r="BK1053" s="2126"/>
      <c r="BL1053" s="2126"/>
      <c r="BM1053" s="2126"/>
      <c r="BN1053" s="2126"/>
      <c r="BO1053" s="2126"/>
      <c r="BP1053" s="2126"/>
      <c r="BQ1053" s="2126"/>
      <c r="BR1053" s="2126"/>
      <c r="BS1053" s="2126"/>
    </row>
    <row r="1054" spans="1:71" s="3030" customFormat="1">
      <c r="A1054" s="2126"/>
      <c r="B1054" s="2126"/>
      <c r="C1054" s="2149"/>
      <c r="D1054" s="3248"/>
      <c r="E1054" s="525"/>
      <c r="F1054" s="525"/>
      <c r="G1054" s="526"/>
      <c r="K1054" s="3280"/>
      <c r="P1054" s="3041"/>
      <c r="X1054" s="3280"/>
      <c r="AA1054" s="3041"/>
      <c r="AF1054" s="3041"/>
      <c r="AN1054" s="3280"/>
      <c r="AZ1054" s="3041"/>
      <c r="BD1054" s="3281"/>
      <c r="BH1054" s="3282"/>
      <c r="BJ1054" s="2589"/>
      <c r="BK1054" s="2126"/>
      <c r="BL1054" s="2126"/>
      <c r="BM1054" s="2126"/>
      <c r="BN1054" s="2126"/>
      <c r="BO1054" s="2126"/>
      <c r="BP1054" s="2126"/>
      <c r="BQ1054" s="2126"/>
      <c r="BR1054" s="2126"/>
      <c r="BS1054" s="2126"/>
    </row>
    <row r="1055" spans="1:71" s="3030" customFormat="1">
      <c r="A1055" s="2126"/>
      <c r="B1055" s="2126"/>
      <c r="C1055" s="2149"/>
      <c r="D1055" s="3248"/>
      <c r="E1055" s="525"/>
      <c r="F1055" s="525"/>
      <c r="G1055" s="526"/>
      <c r="K1055" s="3280"/>
      <c r="P1055" s="3041"/>
      <c r="X1055" s="3280"/>
      <c r="AA1055" s="3041"/>
      <c r="AF1055" s="3041"/>
      <c r="AN1055" s="3280"/>
      <c r="AZ1055" s="3041"/>
      <c r="BD1055" s="3281"/>
      <c r="BH1055" s="3282"/>
      <c r="BJ1055" s="2589"/>
      <c r="BK1055" s="2126"/>
      <c r="BL1055" s="2126"/>
      <c r="BM1055" s="2126"/>
      <c r="BN1055" s="2126"/>
      <c r="BO1055" s="2126"/>
      <c r="BP1055" s="2126"/>
      <c r="BQ1055" s="2126"/>
      <c r="BR1055" s="2126"/>
      <c r="BS1055" s="2126"/>
    </row>
    <row r="1056" spans="1:71" s="3030" customFormat="1">
      <c r="A1056" s="2126"/>
      <c r="B1056" s="2126"/>
      <c r="C1056" s="2149"/>
      <c r="D1056" s="3248"/>
      <c r="E1056" s="525"/>
      <c r="F1056" s="525"/>
      <c r="G1056" s="526"/>
      <c r="K1056" s="3280"/>
      <c r="P1056" s="3041"/>
      <c r="X1056" s="3280"/>
      <c r="AA1056" s="3041"/>
      <c r="AF1056" s="3041"/>
      <c r="AN1056" s="3280"/>
      <c r="AZ1056" s="3041"/>
      <c r="BD1056" s="3281"/>
      <c r="BH1056" s="3282"/>
      <c r="BJ1056" s="2589"/>
      <c r="BK1056" s="2126"/>
      <c r="BL1056" s="2126"/>
      <c r="BM1056" s="2126"/>
      <c r="BN1056" s="2126"/>
      <c r="BO1056" s="2126"/>
      <c r="BP1056" s="2126"/>
      <c r="BQ1056" s="2126"/>
      <c r="BR1056" s="2126"/>
      <c r="BS1056" s="2126"/>
    </row>
    <row r="1057" spans="1:71" s="3030" customFormat="1">
      <c r="A1057" s="2126"/>
      <c r="B1057" s="2126"/>
      <c r="C1057" s="2149"/>
      <c r="D1057" s="3248"/>
      <c r="E1057" s="525"/>
      <c r="F1057" s="525"/>
      <c r="G1057" s="526"/>
      <c r="K1057" s="3280"/>
      <c r="P1057" s="3041"/>
      <c r="X1057" s="3280"/>
      <c r="AA1057" s="3041"/>
      <c r="AF1057" s="3041"/>
      <c r="AN1057" s="3280"/>
      <c r="AZ1057" s="3041"/>
      <c r="BD1057" s="3281"/>
      <c r="BH1057" s="3282"/>
      <c r="BJ1057" s="2589"/>
      <c r="BK1057" s="2126"/>
      <c r="BL1057" s="2126"/>
      <c r="BM1057" s="2126"/>
      <c r="BN1057" s="2126"/>
      <c r="BO1057" s="2126"/>
      <c r="BP1057" s="2126"/>
      <c r="BQ1057" s="2126"/>
      <c r="BR1057" s="2126"/>
      <c r="BS1057" s="2126"/>
    </row>
    <row r="1058" spans="1:71" s="3030" customFormat="1">
      <c r="A1058" s="2126"/>
      <c r="B1058" s="2126"/>
      <c r="C1058" s="2149"/>
      <c r="D1058" s="3248"/>
      <c r="E1058" s="525"/>
      <c r="F1058" s="525"/>
      <c r="G1058" s="526"/>
      <c r="K1058" s="3280"/>
      <c r="P1058" s="3041"/>
      <c r="X1058" s="3280"/>
      <c r="AA1058" s="3041"/>
      <c r="AF1058" s="3041"/>
      <c r="AN1058" s="3280"/>
      <c r="AZ1058" s="3041"/>
      <c r="BD1058" s="3281"/>
      <c r="BH1058" s="3282"/>
      <c r="BJ1058" s="2589"/>
      <c r="BK1058" s="2126"/>
      <c r="BL1058" s="2126"/>
      <c r="BM1058" s="2126"/>
      <c r="BN1058" s="2126"/>
      <c r="BO1058" s="2126"/>
      <c r="BP1058" s="2126"/>
      <c r="BQ1058" s="2126"/>
      <c r="BR1058" s="2126"/>
      <c r="BS1058" s="2126"/>
    </row>
    <row r="1059" spans="1:71" s="3030" customFormat="1">
      <c r="A1059" s="2126"/>
      <c r="B1059" s="2126"/>
      <c r="C1059" s="2149"/>
      <c r="D1059" s="3248"/>
      <c r="E1059" s="525"/>
      <c r="F1059" s="525"/>
      <c r="G1059" s="526"/>
      <c r="K1059" s="3280"/>
      <c r="P1059" s="3041"/>
      <c r="X1059" s="3280"/>
      <c r="AA1059" s="3041"/>
      <c r="AF1059" s="3041"/>
      <c r="AN1059" s="3280"/>
      <c r="AZ1059" s="3041"/>
      <c r="BD1059" s="3281"/>
      <c r="BH1059" s="3282"/>
      <c r="BJ1059" s="2589"/>
      <c r="BK1059" s="2126"/>
      <c r="BL1059" s="2126"/>
      <c r="BM1059" s="2126"/>
      <c r="BN1059" s="2126"/>
      <c r="BO1059" s="2126"/>
      <c r="BP1059" s="2126"/>
      <c r="BQ1059" s="2126"/>
      <c r="BR1059" s="2126"/>
      <c r="BS1059" s="2126"/>
    </row>
    <row r="1060" spans="1:71" s="3030" customFormat="1">
      <c r="A1060" s="2126"/>
      <c r="B1060" s="2126"/>
      <c r="C1060" s="2149"/>
      <c r="D1060" s="3248"/>
      <c r="E1060" s="525"/>
      <c r="F1060" s="525"/>
      <c r="G1060" s="526"/>
      <c r="K1060" s="3280"/>
      <c r="P1060" s="3041"/>
      <c r="X1060" s="3280"/>
      <c r="AA1060" s="3041"/>
      <c r="AF1060" s="3041"/>
      <c r="AN1060" s="3280"/>
      <c r="AZ1060" s="3041"/>
      <c r="BD1060" s="3281"/>
      <c r="BH1060" s="3282"/>
      <c r="BJ1060" s="2589"/>
      <c r="BK1060" s="2126"/>
      <c r="BL1060" s="2126"/>
      <c r="BM1060" s="2126"/>
      <c r="BN1060" s="2126"/>
      <c r="BO1060" s="2126"/>
      <c r="BP1060" s="2126"/>
      <c r="BQ1060" s="2126"/>
      <c r="BR1060" s="2126"/>
      <c r="BS1060" s="2126"/>
    </row>
    <row r="1061" spans="1:71" s="3030" customFormat="1">
      <c r="A1061" s="2126"/>
      <c r="B1061" s="2126"/>
      <c r="C1061" s="2149"/>
      <c r="D1061" s="3248"/>
      <c r="E1061" s="525"/>
      <c r="F1061" s="525"/>
      <c r="G1061" s="526"/>
      <c r="K1061" s="3280"/>
      <c r="P1061" s="3041"/>
      <c r="X1061" s="3280"/>
      <c r="AA1061" s="3041"/>
      <c r="AF1061" s="3041"/>
      <c r="AN1061" s="3280"/>
      <c r="AZ1061" s="3041"/>
      <c r="BD1061" s="3281"/>
      <c r="BH1061" s="3282"/>
      <c r="BJ1061" s="2589"/>
      <c r="BK1061" s="2126"/>
      <c r="BL1061" s="2126"/>
      <c r="BM1061" s="2126"/>
      <c r="BN1061" s="2126"/>
      <c r="BO1061" s="2126"/>
      <c r="BP1061" s="2126"/>
      <c r="BQ1061" s="2126"/>
      <c r="BR1061" s="2126"/>
      <c r="BS1061" s="2126"/>
    </row>
    <row r="1062" spans="1:71" s="3030" customFormat="1">
      <c r="A1062" s="2126"/>
      <c r="B1062" s="2126"/>
      <c r="C1062" s="2149"/>
      <c r="D1062" s="3248"/>
      <c r="E1062" s="525"/>
      <c r="F1062" s="525"/>
      <c r="G1062" s="526"/>
      <c r="K1062" s="3280"/>
      <c r="P1062" s="3041"/>
      <c r="X1062" s="3280"/>
      <c r="AA1062" s="3041"/>
      <c r="AF1062" s="3041"/>
      <c r="AN1062" s="3280"/>
      <c r="AZ1062" s="3041"/>
      <c r="BD1062" s="3281"/>
      <c r="BH1062" s="3282"/>
      <c r="BJ1062" s="2589"/>
      <c r="BK1062" s="2126"/>
      <c r="BL1062" s="2126"/>
      <c r="BM1062" s="2126"/>
      <c r="BN1062" s="2126"/>
      <c r="BO1062" s="2126"/>
      <c r="BP1062" s="2126"/>
      <c r="BQ1062" s="2126"/>
      <c r="BR1062" s="2126"/>
      <c r="BS1062" s="2126"/>
    </row>
    <row r="1063" spans="1:71" s="3030" customFormat="1">
      <c r="A1063" s="2126"/>
      <c r="B1063" s="2126"/>
      <c r="C1063" s="2149"/>
      <c r="D1063" s="3248"/>
      <c r="E1063" s="525"/>
      <c r="F1063" s="525"/>
      <c r="G1063" s="526"/>
      <c r="K1063" s="3280"/>
      <c r="P1063" s="3041"/>
      <c r="X1063" s="3280"/>
      <c r="AA1063" s="3041"/>
      <c r="AF1063" s="3041"/>
      <c r="AN1063" s="3280"/>
      <c r="AZ1063" s="3041"/>
      <c r="BD1063" s="3281"/>
      <c r="BH1063" s="3282"/>
      <c r="BJ1063" s="2589"/>
      <c r="BK1063" s="2126"/>
      <c r="BL1063" s="2126"/>
      <c r="BM1063" s="2126"/>
      <c r="BN1063" s="2126"/>
      <c r="BO1063" s="2126"/>
      <c r="BP1063" s="2126"/>
      <c r="BQ1063" s="2126"/>
      <c r="BR1063" s="2126"/>
      <c r="BS1063" s="2126"/>
    </row>
    <row r="1064" spans="1:71" s="3030" customFormat="1">
      <c r="A1064" s="2126"/>
      <c r="B1064" s="2126"/>
      <c r="C1064" s="2149"/>
      <c r="D1064" s="3248"/>
      <c r="E1064" s="525"/>
      <c r="F1064" s="525"/>
      <c r="G1064" s="526"/>
      <c r="K1064" s="3280"/>
      <c r="P1064" s="3041"/>
      <c r="X1064" s="3280"/>
      <c r="AA1064" s="3041"/>
      <c r="AF1064" s="3041"/>
      <c r="AN1064" s="3280"/>
      <c r="AZ1064" s="3041"/>
      <c r="BD1064" s="3281"/>
      <c r="BH1064" s="3282"/>
      <c r="BJ1064" s="2589"/>
      <c r="BK1064" s="2126"/>
      <c r="BL1064" s="2126"/>
      <c r="BM1064" s="2126"/>
      <c r="BN1064" s="2126"/>
      <c r="BO1064" s="2126"/>
      <c r="BP1064" s="2126"/>
      <c r="BQ1064" s="2126"/>
      <c r="BR1064" s="2126"/>
      <c r="BS1064" s="2126"/>
    </row>
    <row r="1065" spans="1:71" s="3030" customFormat="1">
      <c r="A1065" s="2126"/>
      <c r="B1065" s="2126"/>
      <c r="C1065" s="2149"/>
      <c r="D1065" s="3248"/>
      <c r="E1065" s="525"/>
      <c r="F1065" s="525"/>
      <c r="G1065" s="526"/>
      <c r="K1065" s="3280"/>
      <c r="P1065" s="3041"/>
      <c r="X1065" s="3280"/>
      <c r="AA1065" s="3041"/>
      <c r="AF1065" s="3041"/>
      <c r="AN1065" s="3280"/>
      <c r="AZ1065" s="3041"/>
      <c r="BD1065" s="3281"/>
      <c r="BH1065" s="3282"/>
      <c r="BJ1065" s="2589"/>
      <c r="BK1065" s="2126"/>
      <c r="BL1065" s="2126"/>
      <c r="BM1065" s="2126"/>
      <c r="BN1065" s="2126"/>
      <c r="BO1065" s="2126"/>
      <c r="BP1065" s="2126"/>
      <c r="BQ1065" s="2126"/>
      <c r="BR1065" s="2126"/>
      <c r="BS1065" s="2126"/>
    </row>
    <row r="1066" spans="1:71" s="3030" customFormat="1">
      <c r="A1066" s="2126"/>
      <c r="B1066" s="2126"/>
      <c r="C1066" s="2149"/>
      <c r="D1066" s="3248"/>
      <c r="E1066" s="525"/>
      <c r="F1066" s="525"/>
      <c r="G1066" s="526"/>
      <c r="K1066" s="3280"/>
      <c r="P1066" s="3041"/>
      <c r="X1066" s="3280"/>
      <c r="AA1066" s="3041"/>
      <c r="AF1066" s="3041"/>
      <c r="AN1066" s="3280"/>
      <c r="AZ1066" s="3041"/>
      <c r="BD1066" s="3281"/>
      <c r="BH1066" s="3282"/>
      <c r="BJ1066" s="2589"/>
      <c r="BK1066" s="2126"/>
      <c r="BL1066" s="2126"/>
      <c r="BM1066" s="2126"/>
      <c r="BN1066" s="2126"/>
      <c r="BO1066" s="2126"/>
      <c r="BP1066" s="2126"/>
      <c r="BQ1066" s="2126"/>
      <c r="BR1066" s="2126"/>
      <c r="BS1066" s="2126"/>
    </row>
    <row r="1067" spans="1:71" s="3030" customFormat="1">
      <c r="A1067" s="2126"/>
      <c r="B1067" s="2126"/>
      <c r="C1067" s="2149"/>
      <c r="D1067" s="3248"/>
      <c r="E1067" s="525"/>
      <c r="F1067" s="525"/>
      <c r="G1067" s="526"/>
      <c r="K1067" s="3280"/>
      <c r="P1067" s="3041"/>
      <c r="X1067" s="3280"/>
      <c r="AA1067" s="3041"/>
      <c r="AF1067" s="3041"/>
      <c r="AN1067" s="3280"/>
      <c r="AZ1067" s="3041"/>
      <c r="BD1067" s="3281"/>
      <c r="BH1067" s="3282"/>
      <c r="BJ1067" s="2589"/>
      <c r="BK1067" s="2126"/>
      <c r="BL1067" s="2126"/>
      <c r="BM1067" s="2126"/>
      <c r="BN1067" s="2126"/>
      <c r="BO1067" s="2126"/>
      <c r="BP1067" s="2126"/>
      <c r="BQ1067" s="2126"/>
      <c r="BR1067" s="2126"/>
      <c r="BS1067" s="2126"/>
    </row>
    <row r="1068" spans="1:71" s="3030" customFormat="1">
      <c r="A1068" s="2126"/>
      <c r="B1068" s="2126"/>
      <c r="C1068" s="2149"/>
      <c r="D1068" s="3248"/>
      <c r="E1068" s="525"/>
      <c r="F1068" s="525"/>
      <c r="G1068" s="526"/>
      <c r="K1068" s="3280"/>
      <c r="P1068" s="3041"/>
      <c r="X1068" s="3280"/>
      <c r="AA1068" s="3041"/>
      <c r="AF1068" s="3041"/>
      <c r="AN1068" s="3280"/>
      <c r="AZ1068" s="3041"/>
      <c r="BD1068" s="3281"/>
      <c r="BH1068" s="3282"/>
      <c r="BJ1068" s="2589"/>
      <c r="BK1068" s="2126"/>
      <c r="BL1068" s="2126"/>
      <c r="BM1068" s="2126"/>
      <c r="BN1068" s="2126"/>
      <c r="BO1068" s="2126"/>
      <c r="BP1068" s="2126"/>
      <c r="BQ1068" s="2126"/>
      <c r="BR1068" s="2126"/>
      <c r="BS1068" s="2126"/>
    </row>
    <row r="1069" spans="1:71" s="3030" customFormat="1">
      <c r="A1069" s="2126"/>
      <c r="B1069" s="2126"/>
      <c r="C1069" s="2149"/>
      <c r="D1069" s="3248"/>
      <c r="E1069" s="525"/>
      <c r="F1069" s="525"/>
      <c r="G1069" s="526"/>
      <c r="K1069" s="3280"/>
      <c r="P1069" s="3041"/>
      <c r="X1069" s="3280"/>
      <c r="AA1069" s="3041"/>
      <c r="AF1069" s="3041"/>
      <c r="AN1069" s="3280"/>
      <c r="AZ1069" s="3041"/>
      <c r="BD1069" s="3281"/>
      <c r="BH1069" s="3282"/>
      <c r="BJ1069" s="2589"/>
      <c r="BK1069" s="2126"/>
      <c r="BL1069" s="2126"/>
      <c r="BM1069" s="2126"/>
      <c r="BN1069" s="2126"/>
      <c r="BO1069" s="2126"/>
      <c r="BP1069" s="2126"/>
      <c r="BQ1069" s="2126"/>
      <c r="BR1069" s="2126"/>
      <c r="BS1069" s="2126"/>
    </row>
    <row r="1070" spans="1:71" s="3030" customFormat="1">
      <c r="A1070" s="2126"/>
      <c r="B1070" s="2126"/>
      <c r="C1070" s="2149"/>
      <c r="D1070" s="3248"/>
      <c r="E1070" s="525"/>
      <c r="F1070" s="525"/>
      <c r="G1070" s="526"/>
      <c r="K1070" s="3280"/>
      <c r="P1070" s="3041"/>
      <c r="X1070" s="3280"/>
      <c r="AA1070" s="3041"/>
      <c r="AF1070" s="3041"/>
      <c r="AN1070" s="3280"/>
      <c r="AZ1070" s="3041"/>
      <c r="BD1070" s="3281"/>
      <c r="BH1070" s="3282"/>
      <c r="BJ1070" s="2589"/>
      <c r="BK1070" s="2126"/>
      <c r="BL1070" s="2126"/>
      <c r="BM1070" s="2126"/>
      <c r="BN1070" s="2126"/>
      <c r="BO1070" s="2126"/>
      <c r="BP1070" s="2126"/>
      <c r="BQ1070" s="2126"/>
      <c r="BR1070" s="2126"/>
      <c r="BS1070" s="2126"/>
    </row>
    <row r="1071" spans="1:71" s="3030" customFormat="1">
      <c r="A1071" s="2126"/>
      <c r="B1071" s="2126"/>
      <c r="C1071" s="2149"/>
      <c r="D1071" s="3248"/>
      <c r="E1071" s="525"/>
      <c r="F1071" s="525"/>
      <c r="G1071" s="526"/>
      <c r="K1071" s="3280"/>
      <c r="P1071" s="3041"/>
      <c r="X1071" s="3280"/>
      <c r="AA1071" s="3041"/>
      <c r="AF1071" s="3041"/>
      <c r="AN1071" s="3280"/>
      <c r="AZ1071" s="3041"/>
      <c r="BD1071" s="3281"/>
      <c r="BH1071" s="3282"/>
      <c r="BJ1071" s="2589"/>
      <c r="BK1071" s="2126"/>
      <c r="BL1071" s="2126"/>
      <c r="BM1071" s="2126"/>
      <c r="BN1071" s="2126"/>
      <c r="BO1071" s="2126"/>
      <c r="BP1071" s="2126"/>
      <c r="BQ1071" s="2126"/>
      <c r="BR1071" s="2126"/>
      <c r="BS1071" s="2126"/>
    </row>
    <row r="1072" spans="1:71" s="3030" customFormat="1">
      <c r="A1072" s="2126"/>
      <c r="B1072" s="2126"/>
      <c r="C1072" s="2149"/>
      <c r="D1072" s="3248"/>
      <c r="E1072" s="525"/>
      <c r="F1072" s="525"/>
      <c r="G1072" s="526"/>
      <c r="K1072" s="3280"/>
      <c r="P1072" s="3041"/>
      <c r="X1072" s="3280"/>
      <c r="AA1072" s="3041"/>
      <c r="AF1072" s="3041"/>
      <c r="AN1072" s="3280"/>
      <c r="AZ1072" s="3041"/>
      <c r="BD1072" s="3281"/>
      <c r="BH1072" s="3282"/>
      <c r="BJ1072" s="2589"/>
      <c r="BK1072" s="2126"/>
      <c r="BL1072" s="2126"/>
      <c r="BM1072" s="2126"/>
      <c r="BN1072" s="2126"/>
      <c r="BO1072" s="2126"/>
      <c r="BP1072" s="2126"/>
      <c r="BQ1072" s="2126"/>
      <c r="BR1072" s="2126"/>
      <c r="BS1072" s="2126"/>
    </row>
    <row r="1073" spans="1:71" s="3030" customFormat="1">
      <c r="A1073" s="2126"/>
      <c r="B1073" s="2126"/>
      <c r="C1073" s="2149"/>
      <c r="D1073" s="3248"/>
      <c r="E1073" s="525"/>
      <c r="F1073" s="525"/>
      <c r="G1073" s="526"/>
      <c r="K1073" s="3280"/>
      <c r="P1073" s="3041"/>
      <c r="X1073" s="3280"/>
      <c r="AA1073" s="3041"/>
      <c r="AF1073" s="3041"/>
      <c r="AN1073" s="3280"/>
      <c r="AZ1073" s="3041"/>
      <c r="BD1073" s="3281"/>
      <c r="BH1073" s="3282"/>
      <c r="BJ1073" s="2589"/>
      <c r="BK1073" s="2126"/>
      <c r="BL1073" s="2126"/>
      <c r="BM1073" s="2126"/>
      <c r="BN1073" s="2126"/>
      <c r="BO1073" s="2126"/>
      <c r="BP1073" s="2126"/>
      <c r="BQ1073" s="2126"/>
      <c r="BR1073" s="2126"/>
      <c r="BS1073" s="2126"/>
    </row>
    <row r="1074" spans="1:71" s="3030" customFormat="1">
      <c r="A1074" s="2126"/>
      <c r="B1074" s="2126"/>
      <c r="C1074" s="2149"/>
      <c r="D1074" s="3248"/>
      <c r="E1074" s="525"/>
      <c r="F1074" s="525"/>
      <c r="G1074" s="526"/>
      <c r="K1074" s="3280"/>
      <c r="P1074" s="3041"/>
      <c r="X1074" s="3280"/>
      <c r="AA1074" s="3041"/>
      <c r="AF1074" s="3041"/>
      <c r="AN1074" s="3280"/>
      <c r="AZ1074" s="3041"/>
      <c r="BD1074" s="3281"/>
      <c r="BH1074" s="3282"/>
      <c r="BJ1074" s="2589"/>
      <c r="BK1074" s="2126"/>
      <c r="BL1074" s="2126"/>
      <c r="BM1074" s="2126"/>
      <c r="BN1074" s="2126"/>
      <c r="BO1074" s="2126"/>
      <c r="BP1074" s="2126"/>
      <c r="BQ1074" s="2126"/>
      <c r="BR1074" s="2126"/>
      <c r="BS1074" s="2126"/>
    </row>
    <row r="1075" spans="1:71" s="3030" customFormat="1">
      <c r="A1075" s="2126"/>
      <c r="B1075" s="2126"/>
      <c r="C1075" s="2149"/>
      <c r="D1075" s="3248"/>
      <c r="E1075" s="525"/>
      <c r="F1075" s="525"/>
      <c r="G1075" s="526"/>
      <c r="K1075" s="3280"/>
      <c r="P1075" s="3041"/>
      <c r="X1075" s="3280"/>
      <c r="AA1075" s="3041"/>
      <c r="AF1075" s="3041"/>
      <c r="AN1075" s="3280"/>
      <c r="AZ1075" s="3041"/>
      <c r="BD1075" s="3281"/>
      <c r="BH1075" s="3282"/>
      <c r="BJ1075" s="2589"/>
      <c r="BK1075" s="2126"/>
      <c r="BL1075" s="2126"/>
      <c r="BM1075" s="2126"/>
      <c r="BN1075" s="2126"/>
      <c r="BO1075" s="2126"/>
      <c r="BP1075" s="2126"/>
      <c r="BQ1075" s="2126"/>
      <c r="BR1075" s="2126"/>
      <c r="BS1075" s="2126"/>
    </row>
    <row r="1076" spans="1:71" s="3030" customFormat="1">
      <c r="A1076" s="2126"/>
      <c r="B1076" s="2126"/>
      <c r="C1076" s="2149"/>
      <c r="D1076" s="3248"/>
      <c r="E1076" s="525"/>
      <c r="F1076" s="525"/>
      <c r="G1076" s="526"/>
      <c r="K1076" s="3280"/>
      <c r="P1076" s="3041"/>
      <c r="X1076" s="3280"/>
      <c r="AA1076" s="3041"/>
      <c r="AF1076" s="3041"/>
      <c r="AN1076" s="3280"/>
      <c r="AZ1076" s="3041"/>
      <c r="BD1076" s="3281"/>
      <c r="BH1076" s="3282"/>
      <c r="BJ1076" s="2589"/>
      <c r="BK1076" s="2126"/>
      <c r="BL1076" s="2126"/>
      <c r="BM1076" s="2126"/>
      <c r="BN1076" s="2126"/>
      <c r="BO1076" s="2126"/>
      <c r="BP1076" s="2126"/>
      <c r="BQ1076" s="2126"/>
      <c r="BR1076" s="2126"/>
      <c r="BS1076" s="2126"/>
    </row>
    <row r="1077" spans="1:71" s="3030" customFormat="1">
      <c r="A1077" s="2126"/>
      <c r="B1077" s="2126"/>
      <c r="C1077" s="2149"/>
      <c r="D1077" s="3248"/>
      <c r="E1077" s="525"/>
      <c r="F1077" s="525"/>
      <c r="G1077" s="526"/>
      <c r="K1077" s="3280"/>
      <c r="P1077" s="3041"/>
      <c r="X1077" s="3280"/>
      <c r="AA1077" s="3041"/>
      <c r="AF1077" s="3041"/>
      <c r="AN1077" s="3280"/>
      <c r="AZ1077" s="3041"/>
      <c r="BD1077" s="3281"/>
      <c r="BH1077" s="3282"/>
      <c r="BJ1077" s="2589"/>
      <c r="BK1077" s="2126"/>
      <c r="BL1077" s="2126"/>
      <c r="BM1077" s="2126"/>
      <c r="BN1077" s="2126"/>
      <c r="BO1077" s="2126"/>
      <c r="BP1077" s="2126"/>
      <c r="BQ1077" s="2126"/>
      <c r="BR1077" s="2126"/>
      <c r="BS1077" s="2126"/>
    </row>
    <row r="1078" spans="1:71" s="3030" customFormat="1">
      <c r="A1078" s="2126"/>
      <c r="B1078" s="2126"/>
      <c r="C1078" s="2149"/>
      <c r="D1078" s="3248"/>
      <c r="E1078" s="525"/>
      <c r="F1078" s="525"/>
      <c r="G1078" s="526"/>
      <c r="K1078" s="3280"/>
      <c r="P1078" s="3041"/>
      <c r="X1078" s="3280"/>
      <c r="AA1078" s="3041"/>
      <c r="AF1078" s="3041"/>
      <c r="AN1078" s="3280"/>
      <c r="AZ1078" s="3041"/>
      <c r="BD1078" s="3281"/>
      <c r="BH1078" s="3282"/>
      <c r="BJ1078" s="2589"/>
      <c r="BK1078" s="2126"/>
      <c r="BL1078" s="2126"/>
      <c r="BM1078" s="2126"/>
      <c r="BN1078" s="2126"/>
      <c r="BO1078" s="2126"/>
      <c r="BP1078" s="2126"/>
      <c r="BQ1078" s="2126"/>
      <c r="BR1078" s="2126"/>
      <c r="BS1078" s="2126"/>
    </row>
    <row r="1079" spans="1:71" s="3030" customFormat="1">
      <c r="A1079" s="2126"/>
      <c r="B1079" s="2126"/>
      <c r="C1079" s="2149"/>
      <c r="D1079" s="3248"/>
      <c r="E1079" s="525"/>
      <c r="F1079" s="525"/>
      <c r="G1079" s="526"/>
      <c r="K1079" s="3280"/>
      <c r="P1079" s="3041"/>
      <c r="X1079" s="3280"/>
      <c r="AA1079" s="3041"/>
      <c r="AF1079" s="3041"/>
      <c r="AN1079" s="3280"/>
      <c r="AZ1079" s="3041"/>
      <c r="BD1079" s="3281"/>
      <c r="BH1079" s="3282"/>
      <c r="BJ1079" s="2589"/>
      <c r="BK1079" s="2126"/>
      <c r="BL1079" s="2126"/>
      <c r="BM1079" s="2126"/>
      <c r="BN1079" s="2126"/>
      <c r="BO1079" s="2126"/>
      <c r="BP1079" s="2126"/>
      <c r="BQ1079" s="2126"/>
      <c r="BR1079" s="2126"/>
      <c r="BS1079" s="2126"/>
    </row>
    <row r="1080" spans="1:71" s="3030" customFormat="1">
      <c r="A1080" s="2126"/>
      <c r="B1080" s="2126"/>
      <c r="C1080" s="2149"/>
      <c r="D1080" s="3248"/>
      <c r="E1080" s="525"/>
      <c r="F1080" s="525"/>
      <c r="G1080" s="526"/>
      <c r="K1080" s="3280"/>
      <c r="P1080" s="3041"/>
      <c r="X1080" s="3280"/>
      <c r="AA1080" s="3041"/>
      <c r="AF1080" s="3041"/>
      <c r="AN1080" s="3280"/>
      <c r="AZ1080" s="3041"/>
      <c r="BD1080" s="3281"/>
      <c r="BH1080" s="3282"/>
      <c r="BJ1080" s="2589"/>
      <c r="BK1080" s="2126"/>
      <c r="BL1080" s="2126"/>
      <c r="BM1080" s="2126"/>
      <c r="BN1080" s="2126"/>
      <c r="BO1080" s="2126"/>
      <c r="BP1080" s="2126"/>
      <c r="BQ1080" s="2126"/>
      <c r="BR1080" s="2126"/>
      <c r="BS1080" s="2126"/>
    </row>
    <row r="1081" spans="1:71" s="3030" customFormat="1">
      <c r="A1081" s="2126"/>
      <c r="B1081" s="2126"/>
      <c r="C1081" s="2149"/>
      <c r="D1081" s="3248"/>
      <c r="E1081" s="525"/>
      <c r="F1081" s="525"/>
      <c r="G1081" s="526"/>
      <c r="K1081" s="3280"/>
      <c r="P1081" s="3041"/>
      <c r="X1081" s="3280"/>
      <c r="AA1081" s="3041"/>
      <c r="AF1081" s="3041"/>
      <c r="AN1081" s="3280"/>
      <c r="AZ1081" s="3041"/>
      <c r="BD1081" s="3281"/>
      <c r="BH1081" s="3282"/>
      <c r="BJ1081" s="2589"/>
      <c r="BK1081" s="2126"/>
      <c r="BL1081" s="2126"/>
      <c r="BM1081" s="2126"/>
      <c r="BN1081" s="2126"/>
      <c r="BO1081" s="2126"/>
      <c r="BP1081" s="2126"/>
      <c r="BQ1081" s="2126"/>
      <c r="BR1081" s="2126"/>
      <c r="BS1081" s="2126"/>
    </row>
    <row r="1082" spans="1:71" s="3030" customFormat="1">
      <c r="A1082" s="2126"/>
      <c r="B1082" s="2126"/>
      <c r="C1082" s="2149"/>
      <c r="D1082" s="3248"/>
      <c r="E1082" s="525"/>
      <c r="F1082" s="525"/>
      <c r="G1082" s="526"/>
      <c r="K1082" s="3280"/>
      <c r="P1082" s="3041"/>
      <c r="X1082" s="3280"/>
      <c r="AA1082" s="3041"/>
      <c r="AF1082" s="3041"/>
      <c r="AN1082" s="3280"/>
      <c r="AZ1082" s="3041"/>
      <c r="BD1082" s="3281"/>
      <c r="BH1082" s="3282"/>
      <c r="BJ1082" s="2589"/>
      <c r="BK1082" s="2126"/>
      <c r="BL1082" s="2126"/>
      <c r="BM1082" s="2126"/>
      <c r="BN1082" s="2126"/>
      <c r="BO1082" s="2126"/>
      <c r="BP1082" s="2126"/>
      <c r="BQ1082" s="2126"/>
      <c r="BR1082" s="2126"/>
      <c r="BS1082" s="2126"/>
    </row>
    <row r="1083" spans="1:71" s="3030" customFormat="1">
      <c r="A1083" s="2126"/>
      <c r="B1083" s="2126"/>
      <c r="C1083" s="2149"/>
      <c r="D1083" s="3248"/>
      <c r="E1083" s="525"/>
      <c r="F1083" s="525"/>
      <c r="G1083" s="526"/>
      <c r="K1083" s="3280"/>
      <c r="P1083" s="3041"/>
      <c r="X1083" s="3280"/>
      <c r="AA1083" s="3041"/>
      <c r="AF1083" s="3041"/>
      <c r="AN1083" s="3280"/>
      <c r="AZ1083" s="3041"/>
      <c r="BD1083" s="3281"/>
      <c r="BH1083" s="3282"/>
      <c r="BJ1083" s="2589"/>
      <c r="BK1083" s="2126"/>
      <c r="BL1083" s="2126"/>
      <c r="BM1083" s="2126"/>
      <c r="BN1083" s="2126"/>
      <c r="BO1083" s="2126"/>
      <c r="BP1083" s="2126"/>
      <c r="BQ1083" s="2126"/>
      <c r="BR1083" s="2126"/>
      <c r="BS1083" s="2126"/>
    </row>
    <row r="1084" spans="1:71" s="3030" customFormat="1">
      <c r="A1084" s="2126"/>
      <c r="B1084" s="2126"/>
      <c r="C1084" s="2149"/>
      <c r="D1084" s="3248"/>
      <c r="E1084" s="525"/>
      <c r="F1084" s="525"/>
      <c r="G1084" s="526"/>
      <c r="K1084" s="3280"/>
      <c r="P1084" s="3041"/>
      <c r="X1084" s="3280"/>
      <c r="AA1084" s="3041"/>
      <c r="AF1084" s="3041"/>
      <c r="AN1084" s="3280"/>
      <c r="AZ1084" s="3041"/>
      <c r="BD1084" s="3281"/>
      <c r="BH1084" s="3282"/>
      <c r="BJ1084" s="2589"/>
      <c r="BK1084" s="2126"/>
      <c r="BL1084" s="2126"/>
      <c r="BM1084" s="2126"/>
      <c r="BN1084" s="2126"/>
      <c r="BO1084" s="2126"/>
      <c r="BP1084" s="2126"/>
      <c r="BQ1084" s="2126"/>
      <c r="BR1084" s="2126"/>
      <c r="BS1084" s="2126"/>
    </row>
    <row r="1085" spans="1:71" s="3030" customFormat="1">
      <c r="A1085" s="2126"/>
      <c r="B1085" s="2126"/>
      <c r="C1085" s="2149"/>
      <c r="D1085" s="3248"/>
      <c r="E1085" s="525"/>
      <c r="F1085" s="525"/>
      <c r="G1085" s="526"/>
      <c r="K1085" s="3280"/>
      <c r="P1085" s="3041"/>
      <c r="X1085" s="3280"/>
      <c r="AA1085" s="3041"/>
      <c r="AF1085" s="3041"/>
      <c r="AN1085" s="3280"/>
      <c r="AZ1085" s="3041"/>
      <c r="BD1085" s="3281"/>
      <c r="BH1085" s="3282"/>
      <c r="BJ1085" s="2589"/>
      <c r="BK1085" s="2126"/>
      <c r="BL1085" s="2126"/>
      <c r="BM1085" s="2126"/>
      <c r="BN1085" s="2126"/>
      <c r="BO1085" s="2126"/>
      <c r="BP1085" s="2126"/>
      <c r="BQ1085" s="2126"/>
      <c r="BR1085" s="2126"/>
      <c r="BS1085" s="2126"/>
    </row>
    <row r="1086" spans="1:71" s="3030" customFormat="1">
      <c r="A1086" s="2126"/>
      <c r="B1086" s="2126"/>
      <c r="C1086" s="2149"/>
      <c r="D1086" s="3248"/>
      <c r="E1086" s="525"/>
      <c r="F1086" s="525"/>
      <c r="G1086" s="526"/>
      <c r="K1086" s="3280"/>
      <c r="P1086" s="3041"/>
      <c r="X1086" s="3280"/>
      <c r="AA1086" s="3041"/>
      <c r="AF1086" s="3041"/>
      <c r="AN1086" s="3280"/>
      <c r="AZ1086" s="3041"/>
      <c r="BD1086" s="3281"/>
      <c r="BH1086" s="3282"/>
      <c r="BJ1086" s="2589"/>
      <c r="BK1086" s="2126"/>
      <c r="BL1086" s="2126"/>
      <c r="BM1086" s="2126"/>
      <c r="BN1086" s="2126"/>
      <c r="BO1086" s="2126"/>
      <c r="BP1086" s="2126"/>
      <c r="BQ1086" s="2126"/>
      <c r="BR1086" s="2126"/>
      <c r="BS1086" s="2126"/>
    </row>
    <row r="1087" spans="1:71" s="3030" customFormat="1">
      <c r="A1087" s="2126"/>
      <c r="B1087" s="2126"/>
      <c r="C1087" s="2149"/>
      <c r="D1087" s="3248"/>
      <c r="E1087" s="525"/>
      <c r="F1087" s="525"/>
      <c r="G1087" s="526"/>
      <c r="K1087" s="3280"/>
      <c r="P1087" s="3041"/>
      <c r="X1087" s="3280"/>
      <c r="AA1087" s="3041"/>
      <c r="AF1087" s="3041"/>
      <c r="AN1087" s="3280"/>
      <c r="AZ1087" s="3041"/>
      <c r="BD1087" s="3281"/>
      <c r="BH1087" s="3282"/>
      <c r="BJ1087" s="2589"/>
      <c r="BK1087" s="2126"/>
      <c r="BL1087" s="2126"/>
      <c r="BM1087" s="2126"/>
      <c r="BN1087" s="2126"/>
      <c r="BO1087" s="2126"/>
      <c r="BP1087" s="2126"/>
      <c r="BQ1087" s="2126"/>
      <c r="BR1087" s="2126"/>
      <c r="BS1087" s="2126"/>
    </row>
    <row r="1088" spans="1:71" s="3030" customFormat="1">
      <c r="A1088" s="2126"/>
      <c r="B1088" s="2126"/>
      <c r="C1088" s="2149"/>
      <c r="D1088" s="3248"/>
      <c r="E1088" s="525"/>
      <c r="F1088" s="525"/>
      <c r="G1088" s="526"/>
      <c r="K1088" s="3280"/>
      <c r="P1088" s="3041"/>
      <c r="X1088" s="3280"/>
      <c r="AA1088" s="3041"/>
      <c r="AF1088" s="3041"/>
      <c r="AN1088" s="3280"/>
      <c r="AZ1088" s="3041"/>
      <c r="BD1088" s="3281"/>
      <c r="BH1088" s="3282"/>
      <c r="BJ1088" s="2589"/>
      <c r="BK1088" s="2126"/>
      <c r="BL1088" s="2126"/>
      <c r="BM1088" s="2126"/>
      <c r="BN1088" s="2126"/>
      <c r="BO1088" s="2126"/>
      <c r="BP1088" s="2126"/>
      <c r="BQ1088" s="2126"/>
      <c r="BR1088" s="2126"/>
      <c r="BS1088" s="2126"/>
    </row>
    <row r="1089" spans="1:71" s="3030" customFormat="1">
      <c r="A1089" s="2126"/>
      <c r="B1089" s="2126"/>
      <c r="C1089" s="2149"/>
      <c r="D1089" s="3248"/>
      <c r="E1089" s="525"/>
      <c r="F1089" s="525"/>
      <c r="G1089" s="526"/>
      <c r="K1089" s="3280"/>
      <c r="P1089" s="3041"/>
      <c r="X1089" s="3280"/>
      <c r="AA1089" s="3041"/>
      <c r="AF1089" s="3041"/>
      <c r="AN1089" s="3280"/>
      <c r="AZ1089" s="3041"/>
      <c r="BD1089" s="3281"/>
      <c r="BH1089" s="3282"/>
      <c r="BJ1089" s="2589"/>
      <c r="BK1089" s="2126"/>
      <c r="BL1089" s="2126"/>
      <c r="BM1089" s="2126"/>
      <c r="BN1089" s="2126"/>
      <c r="BO1089" s="2126"/>
      <c r="BP1089" s="2126"/>
      <c r="BQ1089" s="2126"/>
      <c r="BR1089" s="2126"/>
      <c r="BS1089" s="2126"/>
    </row>
    <row r="1090" spans="1:71" s="3030" customFormat="1">
      <c r="A1090" s="2126"/>
      <c r="B1090" s="2126"/>
      <c r="C1090" s="2149"/>
      <c r="D1090" s="3248"/>
      <c r="E1090" s="525"/>
      <c r="F1090" s="525"/>
      <c r="G1090" s="526"/>
      <c r="K1090" s="3280"/>
      <c r="P1090" s="3041"/>
      <c r="X1090" s="3280"/>
      <c r="AA1090" s="3041"/>
      <c r="AF1090" s="3041"/>
      <c r="AN1090" s="3280"/>
      <c r="AZ1090" s="3041"/>
      <c r="BD1090" s="3281"/>
      <c r="BH1090" s="3282"/>
      <c r="BJ1090" s="2589"/>
      <c r="BK1090" s="2126"/>
      <c r="BL1090" s="2126"/>
      <c r="BM1090" s="2126"/>
      <c r="BN1090" s="2126"/>
      <c r="BO1090" s="2126"/>
      <c r="BP1090" s="2126"/>
      <c r="BQ1090" s="2126"/>
      <c r="BR1090" s="2126"/>
      <c r="BS1090" s="2126"/>
    </row>
    <row r="1091" spans="1:71" s="3030" customFormat="1">
      <c r="A1091" s="2126"/>
      <c r="B1091" s="2126"/>
      <c r="C1091" s="2149"/>
      <c r="D1091" s="3248"/>
      <c r="E1091" s="525"/>
      <c r="F1091" s="525"/>
      <c r="G1091" s="526"/>
      <c r="K1091" s="3280"/>
      <c r="P1091" s="3041"/>
      <c r="X1091" s="3280"/>
      <c r="AA1091" s="3041"/>
      <c r="AF1091" s="3041"/>
      <c r="AN1091" s="3280"/>
      <c r="AZ1091" s="3041"/>
      <c r="BD1091" s="3281"/>
      <c r="BH1091" s="3282"/>
      <c r="BJ1091" s="2589"/>
      <c r="BK1091" s="2126"/>
      <c r="BL1091" s="2126"/>
      <c r="BM1091" s="2126"/>
      <c r="BN1091" s="2126"/>
      <c r="BO1091" s="2126"/>
      <c r="BP1091" s="2126"/>
      <c r="BQ1091" s="2126"/>
      <c r="BR1091" s="2126"/>
      <c r="BS1091" s="2126"/>
    </row>
    <row r="1092" spans="1:71" s="3030" customFormat="1">
      <c r="A1092" s="2126"/>
      <c r="B1092" s="2126"/>
      <c r="C1092" s="2149"/>
      <c r="D1092" s="3248"/>
      <c r="E1092" s="525"/>
      <c r="F1092" s="525"/>
      <c r="G1092" s="526"/>
      <c r="K1092" s="3280"/>
      <c r="P1092" s="3041"/>
      <c r="X1092" s="3280"/>
      <c r="AA1092" s="3041"/>
      <c r="AF1092" s="3041"/>
      <c r="AN1092" s="3280"/>
      <c r="AZ1092" s="3041"/>
      <c r="BD1092" s="3281"/>
      <c r="BH1092" s="3282"/>
      <c r="BJ1092" s="2589"/>
      <c r="BK1092" s="2126"/>
      <c r="BL1092" s="2126"/>
      <c r="BM1092" s="2126"/>
      <c r="BN1092" s="2126"/>
      <c r="BO1092" s="2126"/>
      <c r="BP1092" s="2126"/>
      <c r="BQ1092" s="2126"/>
      <c r="BR1092" s="2126"/>
      <c r="BS1092" s="2126"/>
    </row>
    <row r="1093" spans="1:71" s="3030" customFormat="1">
      <c r="A1093" s="2126"/>
      <c r="B1093" s="2126"/>
      <c r="C1093" s="2149"/>
      <c r="D1093" s="3248"/>
      <c r="E1093" s="525"/>
      <c r="F1093" s="525"/>
      <c r="G1093" s="526"/>
      <c r="K1093" s="3280"/>
      <c r="P1093" s="3041"/>
      <c r="X1093" s="3280"/>
      <c r="AA1093" s="3041"/>
      <c r="AF1093" s="3041"/>
      <c r="AN1093" s="3280"/>
      <c r="AZ1093" s="3041"/>
      <c r="BD1093" s="3281"/>
      <c r="BH1093" s="3282"/>
      <c r="BJ1093" s="2589"/>
      <c r="BK1093" s="2126"/>
      <c r="BL1093" s="2126"/>
      <c r="BM1093" s="2126"/>
      <c r="BN1093" s="2126"/>
      <c r="BO1093" s="2126"/>
      <c r="BP1093" s="2126"/>
      <c r="BQ1093" s="2126"/>
      <c r="BR1093" s="2126"/>
      <c r="BS1093" s="2126"/>
    </row>
    <row r="1094" spans="1:71" s="3030" customFormat="1">
      <c r="A1094" s="2126"/>
      <c r="B1094" s="2126"/>
      <c r="C1094" s="2149"/>
      <c r="D1094" s="3248"/>
      <c r="E1094" s="525"/>
      <c r="F1094" s="525"/>
      <c r="G1094" s="526"/>
      <c r="K1094" s="3280"/>
      <c r="P1094" s="3041"/>
      <c r="X1094" s="3280"/>
      <c r="AA1094" s="3041"/>
      <c r="AF1094" s="3041"/>
      <c r="AN1094" s="3280"/>
      <c r="AZ1094" s="3041"/>
      <c r="BD1094" s="3281"/>
      <c r="BH1094" s="3282"/>
      <c r="BJ1094" s="2589"/>
      <c r="BK1094" s="2126"/>
      <c r="BL1094" s="2126"/>
      <c r="BM1094" s="2126"/>
      <c r="BN1094" s="2126"/>
      <c r="BO1094" s="2126"/>
      <c r="BP1094" s="2126"/>
      <c r="BQ1094" s="2126"/>
      <c r="BR1094" s="2126"/>
      <c r="BS1094" s="2126"/>
    </row>
    <row r="1095" spans="1:71" s="3030" customFormat="1">
      <c r="A1095" s="2126"/>
      <c r="B1095" s="2126"/>
      <c r="C1095" s="2149"/>
      <c r="D1095" s="3248"/>
      <c r="E1095" s="525"/>
      <c r="F1095" s="525"/>
      <c r="G1095" s="526"/>
      <c r="K1095" s="3280"/>
      <c r="P1095" s="3041"/>
      <c r="X1095" s="3280"/>
      <c r="AA1095" s="3041"/>
      <c r="AF1095" s="3041"/>
      <c r="AN1095" s="3280"/>
      <c r="AZ1095" s="3041"/>
      <c r="BD1095" s="3281"/>
      <c r="BH1095" s="3282"/>
      <c r="BJ1095" s="2589"/>
      <c r="BK1095" s="2126"/>
      <c r="BL1095" s="2126"/>
      <c r="BM1095" s="2126"/>
      <c r="BN1095" s="2126"/>
      <c r="BO1095" s="2126"/>
      <c r="BP1095" s="2126"/>
      <c r="BQ1095" s="2126"/>
      <c r="BR1095" s="2126"/>
      <c r="BS1095" s="2126"/>
    </row>
    <row r="1096" spans="1:71" s="3030" customFormat="1">
      <c r="A1096" s="2126"/>
      <c r="B1096" s="2126"/>
      <c r="C1096" s="2149"/>
      <c r="D1096" s="3248"/>
      <c r="E1096" s="525"/>
      <c r="F1096" s="525"/>
      <c r="G1096" s="526"/>
      <c r="K1096" s="3280"/>
      <c r="P1096" s="3041"/>
      <c r="X1096" s="3280"/>
      <c r="AA1096" s="3041"/>
      <c r="AF1096" s="3041"/>
      <c r="AN1096" s="3280"/>
      <c r="AZ1096" s="3041"/>
      <c r="BD1096" s="3281"/>
      <c r="BH1096" s="3282"/>
      <c r="BJ1096" s="2589"/>
      <c r="BK1096" s="2126"/>
      <c r="BL1096" s="2126"/>
      <c r="BM1096" s="2126"/>
      <c r="BN1096" s="2126"/>
      <c r="BO1096" s="2126"/>
      <c r="BP1096" s="2126"/>
      <c r="BQ1096" s="2126"/>
      <c r="BR1096" s="2126"/>
      <c r="BS1096" s="2126"/>
    </row>
    <row r="1097" spans="1:71" s="3030" customFormat="1">
      <c r="A1097" s="2126"/>
      <c r="B1097" s="2126"/>
      <c r="C1097" s="2149"/>
      <c r="D1097" s="3248"/>
      <c r="E1097" s="525"/>
      <c r="F1097" s="525"/>
      <c r="G1097" s="526"/>
      <c r="K1097" s="3280"/>
      <c r="P1097" s="3041"/>
      <c r="X1097" s="3280"/>
      <c r="AA1097" s="3041"/>
      <c r="AF1097" s="3041"/>
      <c r="AN1097" s="3280"/>
      <c r="AZ1097" s="3041"/>
      <c r="BD1097" s="3281"/>
      <c r="BH1097" s="3282"/>
      <c r="BJ1097" s="2589"/>
      <c r="BK1097" s="2126"/>
      <c r="BL1097" s="2126"/>
      <c r="BM1097" s="2126"/>
      <c r="BN1097" s="2126"/>
      <c r="BO1097" s="2126"/>
      <c r="BP1097" s="2126"/>
      <c r="BQ1097" s="2126"/>
      <c r="BR1097" s="2126"/>
      <c r="BS1097" s="2126"/>
    </row>
    <row r="1098" spans="1:71" s="3030" customFormat="1">
      <c r="A1098" s="2126"/>
      <c r="B1098" s="2126"/>
      <c r="C1098" s="2149"/>
      <c r="D1098" s="3248"/>
      <c r="E1098" s="525"/>
      <c r="F1098" s="525"/>
      <c r="G1098" s="526"/>
      <c r="K1098" s="3280"/>
      <c r="P1098" s="3041"/>
      <c r="X1098" s="3280"/>
      <c r="AA1098" s="3041"/>
      <c r="AF1098" s="3041"/>
      <c r="AN1098" s="3280"/>
      <c r="AZ1098" s="3041"/>
      <c r="BD1098" s="3281"/>
      <c r="BH1098" s="3282"/>
      <c r="BJ1098" s="2589"/>
      <c r="BK1098" s="2126"/>
      <c r="BL1098" s="2126"/>
      <c r="BM1098" s="2126"/>
      <c r="BN1098" s="2126"/>
      <c r="BO1098" s="2126"/>
      <c r="BP1098" s="2126"/>
      <c r="BQ1098" s="2126"/>
      <c r="BR1098" s="2126"/>
      <c r="BS1098" s="2126"/>
    </row>
    <row r="1099" spans="1:71" s="3030" customFormat="1">
      <c r="A1099" s="2126"/>
      <c r="B1099" s="2126"/>
      <c r="C1099" s="2149"/>
      <c r="D1099" s="3248"/>
      <c r="E1099" s="525"/>
      <c r="F1099" s="525"/>
      <c r="G1099" s="526"/>
      <c r="K1099" s="3280"/>
      <c r="P1099" s="3041"/>
      <c r="X1099" s="3280"/>
      <c r="AA1099" s="3041"/>
      <c r="AF1099" s="3041"/>
      <c r="AN1099" s="3280"/>
      <c r="AZ1099" s="3041"/>
      <c r="BD1099" s="3281"/>
      <c r="BH1099" s="3282"/>
      <c r="BJ1099" s="2589"/>
      <c r="BK1099" s="2126"/>
      <c r="BL1099" s="2126"/>
      <c r="BM1099" s="2126"/>
      <c r="BN1099" s="2126"/>
      <c r="BO1099" s="2126"/>
      <c r="BP1099" s="2126"/>
      <c r="BQ1099" s="2126"/>
      <c r="BR1099" s="2126"/>
      <c r="BS1099" s="2126"/>
    </row>
    <row r="1100" spans="1:71" s="3030" customFormat="1">
      <c r="A1100" s="2126"/>
      <c r="B1100" s="2126"/>
      <c r="C1100" s="2149"/>
      <c r="D1100" s="3248"/>
      <c r="E1100" s="525"/>
      <c r="F1100" s="525"/>
      <c r="G1100" s="526"/>
      <c r="K1100" s="3280"/>
      <c r="P1100" s="3041"/>
      <c r="X1100" s="3280"/>
      <c r="AA1100" s="3041"/>
      <c r="AF1100" s="3041"/>
      <c r="AN1100" s="3280"/>
      <c r="AZ1100" s="3041"/>
      <c r="BD1100" s="3281"/>
      <c r="BH1100" s="3282"/>
      <c r="BJ1100" s="2589"/>
      <c r="BK1100" s="2126"/>
      <c r="BL1100" s="2126"/>
      <c r="BM1100" s="2126"/>
      <c r="BN1100" s="2126"/>
      <c r="BO1100" s="2126"/>
      <c r="BP1100" s="2126"/>
      <c r="BQ1100" s="2126"/>
      <c r="BR1100" s="2126"/>
      <c r="BS1100" s="2126"/>
    </row>
    <row r="1101" spans="1:71" s="3030" customFormat="1">
      <c r="A1101" s="2126"/>
      <c r="B1101" s="2126"/>
      <c r="C1101" s="2149"/>
      <c r="D1101" s="3248"/>
      <c r="E1101" s="525"/>
      <c r="F1101" s="525"/>
      <c r="G1101" s="526"/>
      <c r="K1101" s="3280"/>
      <c r="P1101" s="3041"/>
      <c r="X1101" s="3280"/>
      <c r="AA1101" s="3041"/>
      <c r="AF1101" s="3041"/>
      <c r="AN1101" s="3280"/>
      <c r="AZ1101" s="3041"/>
      <c r="BD1101" s="3281"/>
      <c r="BH1101" s="3282"/>
      <c r="BJ1101" s="2589"/>
      <c r="BK1101" s="2126"/>
      <c r="BL1101" s="2126"/>
      <c r="BM1101" s="2126"/>
      <c r="BN1101" s="2126"/>
      <c r="BO1101" s="2126"/>
      <c r="BP1101" s="2126"/>
      <c r="BQ1101" s="2126"/>
      <c r="BR1101" s="2126"/>
      <c r="BS1101" s="2126"/>
    </row>
    <row r="1102" spans="1:71" s="3030" customFormat="1">
      <c r="A1102" s="2126"/>
      <c r="B1102" s="2126"/>
      <c r="C1102" s="2149"/>
      <c r="D1102" s="3248"/>
      <c r="E1102" s="525"/>
      <c r="F1102" s="525"/>
      <c r="G1102" s="526"/>
      <c r="K1102" s="3280"/>
      <c r="P1102" s="3041"/>
      <c r="X1102" s="3280"/>
      <c r="AA1102" s="3041"/>
      <c r="AF1102" s="3041"/>
      <c r="AN1102" s="3280"/>
      <c r="AZ1102" s="3041"/>
      <c r="BD1102" s="3281"/>
      <c r="BH1102" s="3282"/>
      <c r="BJ1102" s="2589"/>
      <c r="BK1102" s="2126"/>
      <c r="BL1102" s="2126"/>
      <c r="BM1102" s="2126"/>
      <c r="BN1102" s="2126"/>
      <c r="BO1102" s="2126"/>
      <c r="BP1102" s="2126"/>
      <c r="BQ1102" s="2126"/>
      <c r="BR1102" s="2126"/>
      <c r="BS1102" s="2126"/>
    </row>
    <row r="1103" spans="1:71" s="3030" customFormat="1">
      <c r="A1103" s="2126"/>
      <c r="B1103" s="2126"/>
      <c r="C1103" s="2149"/>
      <c r="D1103" s="3248"/>
      <c r="E1103" s="525"/>
      <c r="F1103" s="525"/>
      <c r="G1103" s="526"/>
      <c r="K1103" s="3280"/>
      <c r="P1103" s="3041"/>
      <c r="X1103" s="3280"/>
      <c r="AA1103" s="3041"/>
      <c r="AF1103" s="3041"/>
      <c r="AN1103" s="3280"/>
      <c r="AZ1103" s="3041"/>
      <c r="BD1103" s="3281"/>
      <c r="BH1103" s="3282"/>
      <c r="BJ1103" s="2589"/>
      <c r="BK1103" s="2126"/>
      <c r="BL1103" s="2126"/>
      <c r="BM1103" s="2126"/>
      <c r="BN1103" s="2126"/>
      <c r="BO1103" s="2126"/>
      <c r="BP1103" s="2126"/>
      <c r="BQ1103" s="2126"/>
      <c r="BR1103" s="2126"/>
      <c r="BS1103" s="2126"/>
    </row>
    <row r="1104" spans="1:71" s="3030" customFormat="1">
      <c r="A1104" s="2126"/>
      <c r="B1104" s="2126"/>
      <c r="C1104" s="2149"/>
      <c r="D1104" s="3248"/>
      <c r="E1104" s="525"/>
      <c r="F1104" s="525"/>
      <c r="G1104" s="526"/>
      <c r="K1104" s="3280"/>
      <c r="P1104" s="3041"/>
      <c r="X1104" s="3280"/>
      <c r="AA1104" s="3041"/>
      <c r="AF1104" s="3041"/>
      <c r="AN1104" s="3280"/>
      <c r="AZ1104" s="3041"/>
      <c r="BD1104" s="3281"/>
      <c r="BH1104" s="3282"/>
      <c r="BJ1104" s="2589"/>
      <c r="BK1104" s="2126"/>
      <c r="BL1104" s="2126"/>
      <c r="BM1104" s="2126"/>
      <c r="BN1104" s="2126"/>
      <c r="BO1104" s="2126"/>
      <c r="BP1104" s="2126"/>
      <c r="BQ1104" s="2126"/>
      <c r="BR1104" s="2126"/>
      <c r="BS1104" s="2126"/>
    </row>
    <row r="1105" spans="1:71" s="3030" customFormat="1">
      <c r="A1105" s="2126"/>
      <c r="B1105" s="2126"/>
      <c r="C1105" s="2149"/>
      <c r="D1105" s="3248"/>
      <c r="E1105" s="525"/>
      <c r="F1105" s="525"/>
      <c r="G1105" s="526"/>
      <c r="K1105" s="3280"/>
      <c r="P1105" s="3041"/>
      <c r="X1105" s="3280"/>
      <c r="AA1105" s="3041"/>
      <c r="AF1105" s="3041"/>
      <c r="AN1105" s="3280"/>
      <c r="AZ1105" s="3041"/>
      <c r="BD1105" s="3281"/>
      <c r="BH1105" s="3282"/>
      <c r="BJ1105" s="2589"/>
      <c r="BK1105" s="2126"/>
      <c r="BL1105" s="2126"/>
      <c r="BM1105" s="2126"/>
      <c r="BN1105" s="2126"/>
      <c r="BO1105" s="2126"/>
      <c r="BP1105" s="2126"/>
      <c r="BQ1105" s="2126"/>
      <c r="BR1105" s="2126"/>
      <c r="BS1105" s="2126"/>
    </row>
    <row r="1106" spans="1:71" s="3030" customFormat="1">
      <c r="A1106" s="2126"/>
      <c r="B1106" s="2126"/>
      <c r="C1106" s="2149"/>
      <c r="D1106" s="3248"/>
      <c r="E1106" s="525"/>
      <c r="F1106" s="525"/>
      <c r="G1106" s="526"/>
      <c r="K1106" s="3280"/>
      <c r="P1106" s="3041"/>
      <c r="X1106" s="3280"/>
      <c r="AA1106" s="3041"/>
      <c r="AF1106" s="3041"/>
      <c r="AN1106" s="3280"/>
      <c r="AZ1106" s="3041"/>
      <c r="BD1106" s="3281"/>
      <c r="BH1106" s="3282"/>
      <c r="BJ1106" s="2589"/>
      <c r="BK1106" s="2126"/>
      <c r="BL1106" s="2126"/>
      <c r="BM1106" s="2126"/>
      <c r="BN1106" s="2126"/>
      <c r="BO1106" s="2126"/>
      <c r="BP1106" s="2126"/>
      <c r="BQ1106" s="2126"/>
      <c r="BR1106" s="2126"/>
      <c r="BS1106" s="2126"/>
    </row>
    <row r="1107" spans="1:71" s="3030" customFormat="1">
      <c r="A1107" s="2126"/>
      <c r="B1107" s="2126"/>
      <c r="C1107" s="2149"/>
      <c r="D1107" s="3248"/>
      <c r="E1107" s="525"/>
      <c r="F1107" s="525"/>
      <c r="G1107" s="526"/>
      <c r="K1107" s="3280"/>
      <c r="P1107" s="3041"/>
      <c r="X1107" s="3280"/>
      <c r="AA1107" s="3041"/>
      <c r="AF1107" s="3041"/>
      <c r="AN1107" s="3280"/>
      <c r="AZ1107" s="3041"/>
      <c r="BD1107" s="3281"/>
      <c r="BH1107" s="3282"/>
      <c r="BJ1107" s="2589"/>
      <c r="BK1107" s="2126"/>
      <c r="BL1107" s="2126"/>
      <c r="BM1107" s="2126"/>
      <c r="BN1107" s="2126"/>
      <c r="BO1107" s="2126"/>
      <c r="BP1107" s="2126"/>
      <c r="BQ1107" s="2126"/>
      <c r="BR1107" s="2126"/>
      <c r="BS1107" s="2126"/>
    </row>
    <row r="1108" spans="1:71" s="3030" customFormat="1">
      <c r="A1108" s="2126"/>
      <c r="B1108" s="2126"/>
      <c r="C1108" s="2149"/>
      <c r="D1108" s="3248"/>
      <c r="E1108" s="525"/>
      <c r="F1108" s="525"/>
      <c r="G1108" s="526"/>
      <c r="K1108" s="3280"/>
      <c r="P1108" s="3041"/>
      <c r="X1108" s="3280"/>
      <c r="AA1108" s="3041"/>
      <c r="AF1108" s="3041"/>
      <c r="AN1108" s="3280"/>
      <c r="AZ1108" s="3041"/>
      <c r="BD1108" s="3281"/>
      <c r="BH1108" s="3282"/>
      <c r="BJ1108" s="2589"/>
      <c r="BK1108" s="2126"/>
      <c r="BL1108" s="2126"/>
      <c r="BM1108" s="2126"/>
      <c r="BN1108" s="2126"/>
      <c r="BO1108" s="2126"/>
      <c r="BP1108" s="2126"/>
      <c r="BQ1108" s="2126"/>
      <c r="BR1108" s="2126"/>
      <c r="BS1108" s="2126"/>
    </row>
    <row r="1109" spans="1:71" s="3030" customFormat="1">
      <c r="A1109" s="2126"/>
      <c r="B1109" s="2126"/>
      <c r="C1109" s="2149"/>
      <c r="D1109" s="3248"/>
      <c r="E1109" s="525"/>
      <c r="F1109" s="525"/>
      <c r="G1109" s="526"/>
      <c r="K1109" s="3280"/>
      <c r="P1109" s="3041"/>
      <c r="X1109" s="3280"/>
      <c r="AA1109" s="3041"/>
      <c r="AF1109" s="3041"/>
      <c r="AN1109" s="3280"/>
      <c r="AZ1109" s="3041"/>
      <c r="BD1109" s="3281"/>
      <c r="BH1109" s="3282"/>
      <c r="BJ1109" s="2589"/>
      <c r="BK1109" s="2126"/>
      <c r="BL1109" s="2126"/>
      <c r="BM1109" s="2126"/>
      <c r="BN1109" s="2126"/>
      <c r="BO1109" s="2126"/>
      <c r="BP1109" s="2126"/>
      <c r="BQ1109" s="2126"/>
      <c r="BR1109" s="2126"/>
      <c r="BS1109" s="2126"/>
    </row>
    <row r="1110" spans="1:71" s="3030" customFormat="1">
      <c r="A1110" s="2126"/>
      <c r="B1110" s="2126"/>
      <c r="C1110" s="2149"/>
      <c r="D1110" s="3248"/>
      <c r="E1110" s="525"/>
      <c r="F1110" s="525"/>
      <c r="G1110" s="526"/>
      <c r="K1110" s="3280"/>
      <c r="P1110" s="3041"/>
      <c r="X1110" s="3280"/>
      <c r="AA1110" s="3041"/>
      <c r="AF1110" s="3041"/>
      <c r="AN1110" s="3280"/>
      <c r="AZ1110" s="3041"/>
      <c r="BD1110" s="3281"/>
      <c r="BH1110" s="3282"/>
      <c r="BJ1110" s="2589"/>
      <c r="BK1110" s="2126"/>
      <c r="BL1110" s="2126"/>
      <c r="BM1110" s="2126"/>
      <c r="BN1110" s="2126"/>
      <c r="BO1110" s="2126"/>
      <c r="BP1110" s="2126"/>
      <c r="BQ1110" s="2126"/>
      <c r="BR1110" s="2126"/>
      <c r="BS1110" s="2126"/>
    </row>
    <row r="1111" spans="1:71" s="3030" customFormat="1">
      <c r="A1111" s="2126"/>
      <c r="B1111" s="2126"/>
      <c r="C1111" s="2149"/>
      <c r="D1111" s="3248"/>
      <c r="E1111" s="525"/>
      <c r="F1111" s="525"/>
      <c r="G1111" s="526"/>
      <c r="K1111" s="3280"/>
      <c r="P1111" s="3041"/>
      <c r="X1111" s="3280"/>
      <c r="AA1111" s="3041"/>
      <c r="AF1111" s="3041"/>
      <c r="AN1111" s="3280"/>
      <c r="AZ1111" s="3041"/>
      <c r="BD1111" s="3281"/>
      <c r="BH1111" s="3282"/>
      <c r="BJ1111" s="2589"/>
      <c r="BK1111" s="2126"/>
      <c r="BL1111" s="2126"/>
      <c r="BM1111" s="2126"/>
      <c r="BN1111" s="2126"/>
      <c r="BO1111" s="2126"/>
      <c r="BP1111" s="2126"/>
      <c r="BQ1111" s="2126"/>
      <c r="BR1111" s="2126"/>
      <c r="BS1111" s="2126"/>
    </row>
    <row r="1112" spans="1:71" s="3030" customFormat="1">
      <c r="A1112" s="2126"/>
      <c r="B1112" s="2126"/>
      <c r="C1112" s="2149"/>
      <c r="D1112" s="3248"/>
      <c r="E1112" s="525"/>
      <c r="F1112" s="525"/>
      <c r="G1112" s="526"/>
      <c r="K1112" s="3280"/>
      <c r="P1112" s="3041"/>
      <c r="X1112" s="3280"/>
      <c r="AA1112" s="3041"/>
      <c r="AF1112" s="3041"/>
      <c r="AN1112" s="3280"/>
      <c r="AZ1112" s="3041"/>
      <c r="BD1112" s="3281"/>
      <c r="BH1112" s="3282"/>
      <c r="BJ1112" s="2589"/>
      <c r="BK1112" s="2126"/>
      <c r="BL1112" s="2126"/>
      <c r="BM1112" s="2126"/>
      <c r="BN1112" s="2126"/>
      <c r="BO1112" s="2126"/>
      <c r="BP1112" s="2126"/>
      <c r="BQ1112" s="2126"/>
      <c r="BR1112" s="2126"/>
      <c r="BS1112" s="2126"/>
    </row>
    <row r="1113" spans="1:71" s="3030" customFormat="1">
      <c r="A1113" s="2126"/>
      <c r="B1113" s="2126"/>
      <c r="C1113" s="2149"/>
      <c r="D1113" s="3248"/>
      <c r="E1113" s="525"/>
      <c r="F1113" s="525"/>
      <c r="G1113" s="526"/>
      <c r="K1113" s="3280"/>
      <c r="P1113" s="3041"/>
      <c r="X1113" s="3280"/>
      <c r="AA1113" s="3041"/>
      <c r="AF1113" s="3041"/>
      <c r="AN1113" s="3280"/>
      <c r="AZ1113" s="3041"/>
      <c r="BD1113" s="3281"/>
      <c r="BH1113" s="3282"/>
      <c r="BJ1113" s="2589"/>
      <c r="BK1113" s="2126"/>
      <c r="BL1113" s="2126"/>
      <c r="BM1113" s="2126"/>
      <c r="BN1113" s="2126"/>
      <c r="BO1113" s="2126"/>
      <c r="BP1113" s="2126"/>
      <c r="BQ1113" s="2126"/>
      <c r="BR1113" s="2126"/>
      <c r="BS1113" s="2126"/>
    </row>
    <row r="1114" spans="1:71" s="3030" customFormat="1">
      <c r="A1114" s="2126"/>
      <c r="B1114" s="2126"/>
      <c r="C1114" s="2149"/>
      <c r="D1114" s="3248"/>
      <c r="E1114" s="525"/>
      <c r="F1114" s="525"/>
      <c r="G1114" s="526"/>
      <c r="K1114" s="3280"/>
      <c r="P1114" s="3041"/>
      <c r="X1114" s="3280"/>
      <c r="AA1114" s="3041"/>
      <c r="AF1114" s="3041"/>
      <c r="AN1114" s="3280"/>
      <c r="AZ1114" s="3041"/>
      <c r="BD1114" s="3281"/>
      <c r="BH1114" s="3282"/>
      <c r="BJ1114" s="2589"/>
      <c r="BK1114" s="2126"/>
      <c r="BL1114" s="2126"/>
      <c r="BM1114" s="2126"/>
      <c r="BN1114" s="2126"/>
      <c r="BO1114" s="2126"/>
      <c r="BP1114" s="2126"/>
      <c r="BQ1114" s="2126"/>
      <c r="BR1114" s="2126"/>
      <c r="BS1114" s="2126"/>
    </row>
    <row r="1115" spans="1:71" s="3030" customFormat="1">
      <c r="A1115" s="2126"/>
      <c r="B1115" s="2126"/>
      <c r="C1115" s="2149"/>
      <c r="D1115" s="3248"/>
      <c r="E1115" s="525"/>
      <c r="F1115" s="525"/>
      <c r="G1115" s="526"/>
      <c r="K1115" s="3280"/>
      <c r="P1115" s="3041"/>
      <c r="X1115" s="3280"/>
      <c r="AA1115" s="3041"/>
      <c r="AF1115" s="3041"/>
      <c r="AN1115" s="3280"/>
      <c r="AZ1115" s="3041"/>
      <c r="BD1115" s="3281"/>
      <c r="BH1115" s="3282"/>
      <c r="BJ1115" s="2589"/>
      <c r="BK1115" s="2126"/>
      <c r="BL1115" s="2126"/>
      <c r="BM1115" s="2126"/>
      <c r="BN1115" s="2126"/>
      <c r="BO1115" s="2126"/>
      <c r="BP1115" s="2126"/>
      <c r="BQ1115" s="2126"/>
      <c r="BR1115" s="2126"/>
      <c r="BS1115" s="2126"/>
    </row>
    <row r="1116" spans="1:71" s="3030" customFormat="1">
      <c r="A1116" s="2126"/>
      <c r="B1116" s="2126"/>
      <c r="C1116" s="2149"/>
      <c r="D1116" s="3248"/>
      <c r="E1116" s="525"/>
      <c r="F1116" s="525"/>
      <c r="G1116" s="526"/>
      <c r="K1116" s="3280"/>
      <c r="P1116" s="3041"/>
      <c r="X1116" s="3280"/>
      <c r="AA1116" s="3041"/>
      <c r="AF1116" s="3041"/>
      <c r="AN1116" s="3280"/>
      <c r="AZ1116" s="3041"/>
      <c r="BD1116" s="3281"/>
      <c r="BH1116" s="3282"/>
      <c r="BJ1116" s="2589"/>
      <c r="BK1116" s="2126"/>
      <c r="BL1116" s="2126"/>
      <c r="BM1116" s="2126"/>
      <c r="BN1116" s="2126"/>
      <c r="BO1116" s="2126"/>
      <c r="BP1116" s="2126"/>
      <c r="BQ1116" s="2126"/>
      <c r="BR1116" s="2126"/>
      <c r="BS1116" s="2126"/>
    </row>
    <row r="1117" spans="1:71" s="3030" customFormat="1">
      <c r="A1117" s="2126"/>
      <c r="B1117" s="2126"/>
      <c r="C1117" s="2149"/>
      <c r="D1117" s="3248"/>
      <c r="E1117" s="525"/>
      <c r="F1117" s="525"/>
      <c r="G1117" s="526"/>
      <c r="K1117" s="3280"/>
      <c r="P1117" s="3041"/>
      <c r="X1117" s="3280"/>
      <c r="AA1117" s="3041"/>
      <c r="AF1117" s="3041"/>
      <c r="AN1117" s="3280"/>
      <c r="AZ1117" s="3041"/>
      <c r="BD1117" s="3281"/>
      <c r="BH1117" s="3282"/>
      <c r="BJ1117" s="2589"/>
      <c r="BK1117" s="2126"/>
      <c r="BL1117" s="2126"/>
      <c r="BM1117" s="2126"/>
      <c r="BN1117" s="2126"/>
      <c r="BO1117" s="2126"/>
      <c r="BP1117" s="2126"/>
      <c r="BQ1117" s="2126"/>
      <c r="BR1117" s="2126"/>
      <c r="BS1117" s="2126"/>
    </row>
    <row r="1118" spans="1:71" s="3030" customFormat="1">
      <c r="A1118" s="2126"/>
      <c r="B1118" s="2126"/>
      <c r="C1118" s="2149"/>
      <c r="D1118" s="3248"/>
      <c r="E1118" s="525"/>
      <c r="F1118" s="525"/>
      <c r="G1118" s="526"/>
      <c r="K1118" s="3280"/>
      <c r="P1118" s="3041"/>
      <c r="X1118" s="3280"/>
      <c r="AA1118" s="3041"/>
      <c r="AF1118" s="3041"/>
      <c r="AN1118" s="3280"/>
      <c r="AZ1118" s="3041"/>
      <c r="BD1118" s="3281"/>
      <c r="BH1118" s="3282"/>
      <c r="BJ1118" s="2589"/>
      <c r="BK1118" s="2126"/>
      <c r="BL1118" s="2126"/>
      <c r="BM1118" s="2126"/>
      <c r="BN1118" s="2126"/>
      <c r="BO1118" s="2126"/>
      <c r="BP1118" s="2126"/>
      <c r="BQ1118" s="2126"/>
      <c r="BR1118" s="2126"/>
      <c r="BS1118" s="2126"/>
    </row>
    <row r="1119" spans="1:71" s="3030" customFormat="1">
      <c r="A1119" s="2126"/>
      <c r="B1119" s="2126"/>
      <c r="C1119" s="2149"/>
      <c r="D1119" s="3248"/>
      <c r="E1119" s="525"/>
      <c r="F1119" s="525"/>
      <c r="G1119" s="526"/>
      <c r="K1119" s="3280"/>
      <c r="P1119" s="3041"/>
      <c r="X1119" s="3280"/>
      <c r="AA1119" s="3041"/>
      <c r="AF1119" s="3041"/>
      <c r="AN1119" s="3280"/>
      <c r="AZ1119" s="3041"/>
      <c r="BD1119" s="3281"/>
      <c r="BH1119" s="3282"/>
      <c r="BJ1119" s="2589"/>
      <c r="BK1119" s="2126"/>
      <c r="BL1119" s="2126"/>
      <c r="BM1119" s="2126"/>
      <c r="BN1119" s="2126"/>
      <c r="BO1119" s="2126"/>
      <c r="BP1119" s="2126"/>
      <c r="BQ1119" s="2126"/>
      <c r="BR1119" s="2126"/>
      <c r="BS1119" s="2126"/>
    </row>
    <row r="1120" spans="1:71" s="3030" customFormat="1">
      <c r="A1120" s="2126"/>
      <c r="B1120" s="2126"/>
      <c r="C1120" s="2149"/>
      <c r="D1120" s="3248"/>
      <c r="E1120" s="525"/>
      <c r="F1120" s="525"/>
      <c r="G1120" s="526"/>
      <c r="K1120" s="3280"/>
      <c r="P1120" s="3041"/>
      <c r="X1120" s="3280"/>
      <c r="AA1120" s="3041"/>
      <c r="AF1120" s="3041"/>
      <c r="AN1120" s="3280"/>
      <c r="AZ1120" s="3041"/>
      <c r="BD1120" s="3281"/>
      <c r="BH1120" s="3282"/>
      <c r="BJ1120" s="2589"/>
      <c r="BK1120" s="2126"/>
      <c r="BL1120" s="2126"/>
      <c r="BM1120" s="2126"/>
      <c r="BN1120" s="2126"/>
      <c r="BO1120" s="2126"/>
      <c r="BP1120" s="2126"/>
      <c r="BQ1120" s="2126"/>
      <c r="BR1120" s="2126"/>
      <c r="BS1120" s="2126"/>
    </row>
    <row r="1121" spans="1:71" s="3030" customFormat="1">
      <c r="A1121" s="2126"/>
      <c r="B1121" s="2126"/>
      <c r="C1121" s="2149"/>
      <c r="D1121" s="3248"/>
      <c r="E1121" s="525"/>
      <c r="F1121" s="525"/>
      <c r="G1121" s="526"/>
      <c r="K1121" s="3280"/>
      <c r="P1121" s="3041"/>
      <c r="X1121" s="3280"/>
      <c r="AA1121" s="3041"/>
      <c r="AF1121" s="3041"/>
      <c r="AN1121" s="3280"/>
      <c r="AZ1121" s="3041"/>
      <c r="BD1121" s="3281"/>
      <c r="BH1121" s="3282"/>
      <c r="BJ1121" s="2589"/>
      <c r="BK1121" s="2126"/>
      <c r="BL1121" s="2126"/>
      <c r="BM1121" s="2126"/>
      <c r="BN1121" s="2126"/>
      <c r="BO1121" s="2126"/>
      <c r="BP1121" s="2126"/>
      <c r="BQ1121" s="2126"/>
      <c r="BR1121" s="2126"/>
      <c r="BS1121" s="2126"/>
    </row>
    <row r="1122" spans="1:71" s="3030" customFormat="1">
      <c r="A1122" s="2126"/>
      <c r="B1122" s="2126"/>
      <c r="C1122" s="2149"/>
      <c r="D1122" s="3248"/>
      <c r="E1122" s="525"/>
      <c r="F1122" s="525"/>
      <c r="G1122" s="526"/>
      <c r="K1122" s="3280"/>
      <c r="P1122" s="3041"/>
      <c r="X1122" s="3280"/>
      <c r="AA1122" s="3041"/>
      <c r="AF1122" s="3041"/>
      <c r="AN1122" s="3280"/>
      <c r="AZ1122" s="3041"/>
      <c r="BD1122" s="3281"/>
      <c r="BH1122" s="3282"/>
      <c r="BJ1122" s="2589"/>
      <c r="BK1122" s="2126"/>
      <c r="BL1122" s="2126"/>
      <c r="BM1122" s="2126"/>
      <c r="BN1122" s="2126"/>
      <c r="BO1122" s="2126"/>
      <c r="BP1122" s="2126"/>
      <c r="BQ1122" s="2126"/>
      <c r="BR1122" s="2126"/>
      <c r="BS1122" s="2126"/>
    </row>
    <row r="1123" spans="1:71" s="3030" customFormat="1">
      <c r="A1123" s="2126"/>
      <c r="B1123" s="2126"/>
      <c r="C1123" s="2149"/>
      <c r="D1123" s="3248"/>
      <c r="E1123" s="525"/>
      <c r="F1123" s="525"/>
      <c r="G1123" s="526"/>
      <c r="K1123" s="3280"/>
      <c r="P1123" s="3041"/>
      <c r="X1123" s="3280"/>
      <c r="AA1123" s="3041"/>
      <c r="AF1123" s="3041"/>
      <c r="AN1123" s="3280"/>
      <c r="AZ1123" s="3041"/>
      <c r="BD1123" s="3281"/>
      <c r="BH1123" s="3282"/>
      <c r="BJ1123" s="2589"/>
      <c r="BK1123" s="2126"/>
      <c r="BL1123" s="2126"/>
      <c r="BM1123" s="2126"/>
      <c r="BN1123" s="2126"/>
      <c r="BO1123" s="2126"/>
      <c r="BP1123" s="2126"/>
      <c r="BQ1123" s="2126"/>
      <c r="BR1123" s="2126"/>
      <c r="BS1123" s="2126"/>
    </row>
    <row r="1124" spans="1:71" s="3030" customFormat="1">
      <c r="A1124" s="2126"/>
      <c r="B1124" s="2126"/>
      <c r="C1124" s="2149"/>
      <c r="D1124" s="3248"/>
      <c r="E1124" s="525"/>
      <c r="F1124" s="525"/>
      <c r="G1124" s="526"/>
      <c r="K1124" s="3280"/>
      <c r="P1124" s="3041"/>
      <c r="X1124" s="3280"/>
      <c r="AA1124" s="3041"/>
      <c r="AF1124" s="3041"/>
      <c r="AN1124" s="3280"/>
      <c r="AZ1124" s="3041"/>
      <c r="BD1124" s="3281"/>
      <c r="BH1124" s="3282"/>
      <c r="BJ1124" s="2589"/>
      <c r="BK1124" s="2126"/>
      <c r="BL1124" s="2126"/>
      <c r="BM1124" s="2126"/>
      <c r="BN1124" s="2126"/>
      <c r="BO1124" s="2126"/>
      <c r="BP1124" s="2126"/>
      <c r="BQ1124" s="2126"/>
      <c r="BR1124" s="2126"/>
      <c r="BS1124" s="2126"/>
    </row>
    <row r="1125" spans="1:71" s="3030" customFormat="1">
      <c r="A1125" s="2126"/>
      <c r="B1125" s="2126"/>
      <c r="C1125" s="2149"/>
      <c r="D1125" s="3248"/>
      <c r="E1125" s="525"/>
      <c r="F1125" s="525"/>
      <c r="G1125" s="526"/>
      <c r="K1125" s="3280"/>
      <c r="P1125" s="3041"/>
      <c r="X1125" s="3280"/>
      <c r="AA1125" s="3041"/>
      <c r="AF1125" s="3041"/>
      <c r="AN1125" s="3280"/>
      <c r="AZ1125" s="3041"/>
      <c r="BD1125" s="3281"/>
      <c r="BH1125" s="3282"/>
      <c r="BJ1125" s="2589"/>
      <c r="BK1125" s="2126"/>
      <c r="BL1125" s="2126"/>
      <c r="BM1125" s="2126"/>
      <c r="BN1125" s="2126"/>
      <c r="BO1125" s="2126"/>
      <c r="BP1125" s="2126"/>
      <c r="BQ1125" s="2126"/>
      <c r="BR1125" s="2126"/>
      <c r="BS1125" s="2126"/>
    </row>
    <row r="1126" spans="1:71" s="3030" customFormat="1">
      <c r="A1126" s="2126"/>
      <c r="B1126" s="2126"/>
      <c r="C1126" s="2149"/>
      <c r="D1126" s="3248"/>
      <c r="E1126" s="525"/>
      <c r="F1126" s="525"/>
      <c r="G1126" s="526"/>
      <c r="K1126" s="3280"/>
      <c r="P1126" s="3041"/>
      <c r="X1126" s="3280"/>
      <c r="AA1126" s="3041"/>
      <c r="AF1126" s="3041"/>
      <c r="AN1126" s="3280"/>
      <c r="AZ1126" s="3041"/>
      <c r="BD1126" s="3281"/>
      <c r="BH1126" s="3282"/>
      <c r="BJ1126" s="2589"/>
      <c r="BK1126" s="2126"/>
      <c r="BL1126" s="2126"/>
      <c r="BM1126" s="2126"/>
      <c r="BN1126" s="2126"/>
      <c r="BO1126" s="2126"/>
      <c r="BP1126" s="2126"/>
      <c r="BQ1126" s="2126"/>
      <c r="BR1126" s="2126"/>
      <c r="BS1126" s="2126"/>
    </row>
    <row r="1127" spans="1:71" s="3030" customFormat="1">
      <c r="A1127" s="2126"/>
      <c r="B1127" s="2126"/>
      <c r="C1127" s="2149"/>
      <c r="D1127" s="3248"/>
      <c r="E1127" s="525"/>
      <c r="F1127" s="525"/>
      <c r="G1127" s="526"/>
      <c r="K1127" s="3280"/>
      <c r="P1127" s="3041"/>
      <c r="X1127" s="3280"/>
      <c r="AA1127" s="3041"/>
      <c r="AF1127" s="3041"/>
      <c r="AN1127" s="3280"/>
      <c r="AZ1127" s="3041"/>
      <c r="BD1127" s="3281"/>
      <c r="BH1127" s="3282"/>
      <c r="BJ1127" s="2589"/>
      <c r="BK1127" s="2126"/>
      <c r="BL1127" s="2126"/>
      <c r="BM1127" s="2126"/>
      <c r="BN1127" s="2126"/>
      <c r="BO1127" s="2126"/>
      <c r="BP1127" s="2126"/>
      <c r="BQ1127" s="2126"/>
      <c r="BR1127" s="2126"/>
      <c r="BS1127" s="2126"/>
    </row>
    <row r="1128" spans="1:71" s="3030" customFormat="1">
      <c r="A1128" s="2126"/>
      <c r="B1128" s="2126"/>
      <c r="C1128" s="2149"/>
      <c r="D1128" s="3248"/>
      <c r="E1128" s="525"/>
      <c r="F1128" s="525"/>
      <c r="G1128" s="526"/>
      <c r="K1128" s="3280"/>
      <c r="P1128" s="3041"/>
      <c r="X1128" s="3280"/>
      <c r="AA1128" s="3041"/>
      <c r="AF1128" s="3041"/>
      <c r="AN1128" s="3280"/>
      <c r="AZ1128" s="3041"/>
      <c r="BD1128" s="3281"/>
      <c r="BH1128" s="3282"/>
      <c r="BJ1128" s="2589"/>
      <c r="BK1128" s="2126"/>
      <c r="BL1128" s="2126"/>
      <c r="BM1128" s="2126"/>
      <c r="BN1128" s="2126"/>
      <c r="BO1128" s="2126"/>
      <c r="BP1128" s="2126"/>
      <c r="BQ1128" s="2126"/>
      <c r="BR1128" s="2126"/>
      <c r="BS1128" s="2126"/>
    </row>
    <row r="1129" spans="1:71" s="3030" customFormat="1">
      <c r="A1129" s="2126"/>
      <c r="B1129" s="2126"/>
      <c r="C1129" s="2149"/>
      <c r="D1129" s="3248"/>
      <c r="E1129" s="525"/>
      <c r="F1129" s="525"/>
      <c r="G1129" s="526"/>
      <c r="K1129" s="3280"/>
      <c r="P1129" s="3041"/>
      <c r="X1129" s="3280"/>
      <c r="AA1129" s="3041"/>
      <c r="AF1129" s="3041"/>
      <c r="AN1129" s="3280"/>
      <c r="AZ1129" s="3041"/>
      <c r="BD1129" s="3281"/>
      <c r="BH1129" s="3282"/>
      <c r="BJ1129" s="2589"/>
      <c r="BK1129" s="2126"/>
      <c r="BL1129" s="2126"/>
      <c r="BM1129" s="2126"/>
      <c r="BN1129" s="2126"/>
      <c r="BO1129" s="2126"/>
      <c r="BP1129" s="2126"/>
      <c r="BQ1129" s="2126"/>
      <c r="BR1129" s="2126"/>
      <c r="BS1129" s="2126"/>
    </row>
    <row r="1130" spans="1:71" s="3030" customFormat="1">
      <c r="A1130" s="2126"/>
      <c r="B1130" s="2126"/>
      <c r="C1130" s="2149"/>
      <c r="D1130" s="3248"/>
      <c r="E1130" s="525"/>
      <c r="F1130" s="525"/>
      <c r="G1130" s="526"/>
      <c r="K1130" s="3280"/>
      <c r="P1130" s="3041"/>
      <c r="X1130" s="3280"/>
      <c r="AA1130" s="3041"/>
      <c r="AF1130" s="3041"/>
      <c r="AN1130" s="3280"/>
      <c r="AZ1130" s="3041"/>
      <c r="BD1130" s="3281"/>
      <c r="BH1130" s="3282"/>
      <c r="BJ1130" s="2589"/>
      <c r="BK1130" s="2126"/>
      <c r="BL1130" s="2126"/>
      <c r="BM1130" s="2126"/>
      <c r="BN1130" s="2126"/>
      <c r="BO1130" s="2126"/>
      <c r="BP1130" s="2126"/>
      <c r="BQ1130" s="2126"/>
      <c r="BR1130" s="2126"/>
      <c r="BS1130" s="2126"/>
    </row>
    <row r="1131" spans="1:71" s="3030" customFormat="1">
      <c r="A1131" s="2126"/>
      <c r="B1131" s="2126"/>
      <c r="C1131" s="2149"/>
      <c r="D1131" s="3248"/>
      <c r="E1131" s="525"/>
      <c r="F1131" s="525"/>
      <c r="G1131" s="526"/>
      <c r="K1131" s="3280"/>
      <c r="P1131" s="3041"/>
      <c r="X1131" s="3280"/>
      <c r="AA1131" s="3041"/>
      <c r="AF1131" s="3041"/>
      <c r="AN1131" s="3280"/>
      <c r="AZ1131" s="3041"/>
      <c r="BD1131" s="3281"/>
      <c r="BH1131" s="3282"/>
      <c r="BJ1131" s="2589"/>
      <c r="BK1131" s="2126"/>
      <c r="BL1131" s="2126"/>
      <c r="BM1131" s="2126"/>
      <c r="BN1131" s="2126"/>
      <c r="BO1131" s="2126"/>
      <c r="BP1131" s="2126"/>
      <c r="BQ1131" s="2126"/>
      <c r="BR1131" s="2126"/>
      <c r="BS1131" s="2126"/>
    </row>
    <row r="1132" spans="1:71" s="3030" customFormat="1">
      <c r="A1132" s="2126"/>
      <c r="B1132" s="2126"/>
      <c r="C1132" s="2149"/>
      <c r="D1132" s="3248"/>
      <c r="E1132" s="525"/>
      <c r="F1132" s="525"/>
      <c r="G1132" s="526"/>
      <c r="K1132" s="3280"/>
      <c r="P1132" s="3041"/>
      <c r="X1132" s="3280"/>
      <c r="AA1132" s="3041"/>
      <c r="AF1132" s="3041"/>
      <c r="AN1132" s="3280"/>
      <c r="AZ1132" s="3041"/>
      <c r="BD1132" s="3281"/>
      <c r="BH1132" s="3282"/>
      <c r="BJ1132" s="2589"/>
      <c r="BK1132" s="2126"/>
      <c r="BL1132" s="2126"/>
      <c r="BM1132" s="2126"/>
      <c r="BN1132" s="2126"/>
      <c r="BO1132" s="2126"/>
      <c r="BP1132" s="2126"/>
      <c r="BQ1132" s="2126"/>
      <c r="BR1132" s="2126"/>
      <c r="BS1132" s="2126"/>
    </row>
    <row r="1133" spans="1:71" s="3030" customFormat="1">
      <c r="A1133" s="2126"/>
      <c r="B1133" s="2126"/>
      <c r="C1133" s="2149"/>
      <c r="D1133" s="3248"/>
      <c r="E1133" s="525"/>
      <c r="F1133" s="525"/>
      <c r="G1133" s="526"/>
      <c r="K1133" s="3280"/>
      <c r="P1133" s="3041"/>
      <c r="X1133" s="3280"/>
      <c r="AA1133" s="3041"/>
      <c r="AF1133" s="3041"/>
      <c r="AN1133" s="3280"/>
      <c r="AZ1133" s="3041"/>
      <c r="BD1133" s="3281"/>
      <c r="BH1133" s="3282"/>
      <c r="BJ1133" s="2589"/>
      <c r="BK1133" s="2126"/>
      <c r="BL1133" s="2126"/>
      <c r="BM1133" s="2126"/>
      <c r="BN1133" s="2126"/>
      <c r="BO1133" s="2126"/>
      <c r="BP1133" s="2126"/>
      <c r="BQ1133" s="2126"/>
      <c r="BR1133" s="2126"/>
      <c r="BS1133" s="2126"/>
    </row>
    <row r="1134" spans="1:71" s="3030" customFormat="1">
      <c r="A1134" s="2126"/>
      <c r="B1134" s="2126"/>
      <c r="C1134" s="2149"/>
      <c r="D1134" s="3248"/>
      <c r="E1134" s="525"/>
      <c r="F1134" s="525"/>
      <c r="G1134" s="526"/>
      <c r="K1134" s="3280"/>
      <c r="P1134" s="3041"/>
      <c r="X1134" s="3280"/>
      <c r="AA1134" s="3041"/>
      <c r="AF1134" s="3041"/>
      <c r="AN1134" s="3280"/>
      <c r="AZ1134" s="3041"/>
      <c r="BD1134" s="3281"/>
      <c r="BH1134" s="3282"/>
      <c r="BJ1134" s="2589"/>
      <c r="BK1134" s="2126"/>
      <c r="BL1134" s="2126"/>
      <c r="BM1134" s="2126"/>
      <c r="BN1134" s="2126"/>
      <c r="BO1134" s="2126"/>
      <c r="BP1134" s="2126"/>
      <c r="BQ1134" s="2126"/>
      <c r="BR1134" s="2126"/>
      <c r="BS1134" s="2126"/>
    </row>
    <row r="1135" spans="1:71" s="3030" customFormat="1">
      <c r="A1135" s="2126"/>
      <c r="B1135" s="2126"/>
      <c r="C1135" s="2149"/>
      <c r="D1135" s="3248"/>
      <c r="E1135" s="525"/>
      <c r="F1135" s="525"/>
      <c r="G1135" s="526"/>
      <c r="K1135" s="3280"/>
      <c r="P1135" s="3041"/>
      <c r="X1135" s="3280"/>
      <c r="AA1135" s="3041"/>
      <c r="AF1135" s="3041"/>
      <c r="AN1135" s="3280"/>
      <c r="AZ1135" s="3041"/>
      <c r="BD1135" s="3281"/>
      <c r="BH1135" s="3282"/>
      <c r="BJ1135" s="2589"/>
      <c r="BK1135" s="2126"/>
      <c r="BL1135" s="2126"/>
      <c r="BM1135" s="2126"/>
      <c r="BN1135" s="2126"/>
      <c r="BO1135" s="2126"/>
      <c r="BP1135" s="2126"/>
      <c r="BQ1135" s="2126"/>
      <c r="BR1135" s="2126"/>
      <c r="BS1135" s="2126"/>
    </row>
    <row r="1136" spans="1:71" s="3030" customFormat="1">
      <c r="A1136" s="2126"/>
      <c r="B1136" s="2126"/>
      <c r="C1136" s="2149"/>
      <c r="D1136" s="3248"/>
      <c r="E1136" s="525"/>
      <c r="F1136" s="525"/>
      <c r="G1136" s="526"/>
      <c r="K1136" s="3280"/>
      <c r="P1136" s="3041"/>
      <c r="X1136" s="3280"/>
      <c r="AA1136" s="3041"/>
      <c r="AF1136" s="3041"/>
      <c r="AN1136" s="3280"/>
      <c r="AZ1136" s="3041"/>
      <c r="BD1136" s="3281"/>
      <c r="BH1136" s="3282"/>
      <c r="BJ1136" s="2589"/>
      <c r="BK1136" s="2126"/>
      <c r="BL1136" s="2126"/>
      <c r="BM1136" s="2126"/>
      <c r="BN1136" s="2126"/>
      <c r="BO1136" s="2126"/>
      <c r="BP1136" s="2126"/>
      <c r="BQ1136" s="2126"/>
      <c r="BR1136" s="2126"/>
      <c r="BS1136" s="2126"/>
    </row>
    <row r="1137" spans="1:71" s="3030" customFormat="1">
      <c r="A1137" s="2126"/>
      <c r="B1137" s="2126"/>
      <c r="C1137" s="2149"/>
      <c r="D1137" s="3248"/>
      <c r="E1137" s="525"/>
      <c r="F1137" s="525"/>
      <c r="G1137" s="526"/>
      <c r="K1137" s="3280"/>
      <c r="P1137" s="3041"/>
      <c r="X1137" s="3280"/>
      <c r="AA1137" s="3041"/>
      <c r="AF1137" s="3041"/>
      <c r="AN1137" s="3280"/>
      <c r="AZ1137" s="3041"/>
      <c r="BD1137" s="3281"/>
      <c r="BH1137" s="3282"/>
      <c r="BJ1137" s="2589"/>
      <c r="BK1137" s="2126"/>
      <c r="BL1137" s="2126"/>
      <c r="BM1137" s="2126"/>
      <c r="BN1137" s="2126"/>
      <c r="BO1137" s="2126"/>
      <c r="BP1137" s="2126"/>
      <c r="BQ1137" s="2126"/>
      <c r="BR1137" s="2126"/>
      <c r="BS1137" s="2126"/>
    </row>
    <row r="1138" spans="1:71" s="3030" customFormat="1">
      <c r="A1138" s="2126"/>
      <c r="B1138" s="2126"/>
      <c r="C1138" s="2149"/>
      <c r="D1138" s="3248"/>
      <c r="E1138" s="525"/>
      <c r="F1138" s="525"/>
      <c r="G1138" s="526"/>
      <c r="K1138" s="3280"/>
      <c r="P1138" s="3041"/>
      <c r="X1138" s="3280"/>
      <c r="AA1138" s="3041"/>
      <c r="AF1138" s="3041"/>
      <c r="AN1138" s="3280"/>
      <c r="AZ1138" s="3041"/>
      <c r="BD1138" s="3281"/>
      <c r="BH1138" s="3282"/>
      <c r="BJ1138" s="2589"/>
      <c r="BK1138" s="2126"/>
      <c r="BL1138" s="2126"/>
      <c r="BM1138" s="2126"/>
      <c r="BN1138" s="2126"/>
      <c r="BO1138" s="2126"/>
      <c r="BP1138" s="2126"/>
      <c r="BQ1138" s="2126"/>
      <c r="BR1138" s="2126"/>
      <c r="BS1138" s="2126"/>
    </row>
    <row r="1139" spans="1:71" s="3030" customFormat="1">
      <c r="A1139" s="2126"/>
      <c r="B1139" s="2126"/>
      <c r="C1139" s="2149"/>
      <c r="D1139" s="3248"/>
      <c r="E1139" s="525"/>
      <c r="F1139" s="525"/>
      <c r="G1139" s="526"/>
      <c r="K1139" s="3280"/>
      <c r="P1139" s="3041"/>
      <c r="X1139" s="3280"/>
      <c r="AA1139" s="3041"/>
      <c r="AF1139" s="3041"/>
      <c r="AN1139" s="3280"/>
      <c r="AZ1139" s="3041"/>
      <c r="BD1139" s="3281"/>
      <c r="BH1139" s="3282"/>
      <c r="BJ1139" s="2589"/>
      <c r="BK1139" s="2126"/>
      <c r="BL1139" s="2126"/>
      <c r="BM1139" s="2126"/>
      <c r="BN1139" s="2126"/>
      <c r="BO1139" s="2126"/>
      <c r="BP1139" s="2126"/>
      <c r="BQ1139" s="2126"/>
      <c r="BR1139" s="2126"/>
      <c r="BS1139" s="2126"/>
    </row>
    <row r="1140" spans="1:71" s="3030" customFormat="1">
      <c r="A1140" s="2126"/>
      <c r="B1140" s="2126"/>
      <c r="C1140" s="2149"/>
      <c r="D1140" s="3248"/>
      <c r="E1140" s="525"/>
      <c r="F1140" s="525"/>
      <c r="G1140" s="526"/>
      <c r="K1140" s="3280"/>
      <c r="P1140" s="3041"/>
      <c r="X1140" s="3280"/>
      <c r="AA1140" s="3041"/>
      <c r="AF1140" s="3041"/>
      <c r="AN1140" s="3280"/>
      <c r="AZ1140" s="3041"/>
      <c r="BD1140" s="3281"/>
      <c r="BH1140" s="3282"/>
      <c r="BJ1140" s="2589"/>
      <c r="BK1140" s="2126"/>
      <c r="BL1140" s="2126"/>
      <c r="BM1140" s="2126"/>
      <c r="BN1140" s="2126"/>
      <c r="BO1140" s="2126"/>
      <c r="BP1140" s="2126"/>
      <c r="BQ1140" s="2126"/>
      <c r="BR1140" s="2126"/>
      <c r="BS1140" s="2126"/>
    </row>
    <row r="1141" spans="1:71" s="3030" customFormat="1">
      <c r="A1141" s="2126"/>
      <c r="B1141" s="2126"/>
      <c r="C1141" s="2149"/>
      <c r="D1141" s="3248"/>
      <c r="E1141" s="525"/>
      <c r="F1141" s="525"/>
      <c r="G1141" s="526"/>
      <c r="K1141" s="3280"/>
      <c r="P1141" s="3041"/>
      <c r="X1141" s="3280"/>
      <c r="AA1141" s="3041"/>
      <c r="AF1141" s="3041"/>
      <c r="AN1141" s="3280"/>
      <c r="AZ1141" s="3041"/>
      <c r="BD1141" s="3281"/>
      <c r="BH1141" s="3282"/>
      <c r="BJ1141" s="2589"/>
      <c r="BK1141" s="2126"/>
      <c r="BL1141" s="2126"/>
      <c r="BM1141" s="2126"/>
      <c r="BN1141" s="2126"/>
      <c r="BO1141" s="2126"/>
      <c r="BP1141" s="2126"/>
      <c r="BQ1141" s="2126"/>
      <c r="BR1141" s="2126"/>
      <c r="BS1141" s="2126"/>
    </row>
    <row r="1142" spans="1:71" s="3030" customFormat="1">
      <c r="A1142" s="2126"/>
      <c r="B1142" s="2126"/>
      <c r="C1142" s="2149"/>
      <c r="D1142" s="3248"/>
      <c r="E1142" s="525"/>
      <c r="F1142" s="525"/>
      <c r="G1142" s="526"/>
      <c r="K1142" s="3280"/>
      <c r="P1142" s="3041"/>
      <c r="X1142" s="3280"/>
      <c r="AA1142" s="3041"/>
      <c r="AF1142" s="3041"/>
      <c r="AN1142" s="3280"/>
      <c r="AZ1142" s="3041"/>
      <c r="BD1142" s="3281"/>
      <c r="BH1142" s="3282"/>
      <c r="BJ1142" s="2589"/>
      <c r="BK1142" s="2126"/>
      <c r="BL1142" s="2126"/>
      <c r="BM1142" s="2126"/>
      <c r="BN1142" s="2126"/>
      <c r="BO1142" s="2126"/>
      <c r="BP1142" s="2126"/>
      <c r="BQ1142" s="2126"/>
      <c r="BR1142" s="2126"/>
      <c r="BS1142" s="2126"/>
    </row>
    <row r="1143" spans="1:71" s="3030" customFormat="1">
      <c r="A1143" s="2126"/>
      <c r="B1143" s="2126"/>
      <c r="C1143" s="2149"/>
      <c r="D1143" s="3248"/>
      <c r="E1143" s="525"/>
      <c r="F1143" s="525"/>
      <c r="G1143" s="526"/>
      <c r="K1143" s="3280"/>
      <c r="P1143" s="3041"/>
      <c r="X1143" s="3280"/>
      <c r="AA1143" s="3041"/>
      <c r="AF1143" s="3041"/>
      <c r="AN1143" s="3280"/>
      <c r="AZ1143" s="3041"/>
      <c r="BD1143" s="3281"/>
      <c r="BH1143" s="3282"/>
      <c r="BJ1143" s="2589"/>
      <c r="BK1143" s="2126"/>
      <c r="BL1143" s="2126"/>
      <c r="BM1143" s="2126"/>
      <c r="BN1143" s="2126"/>
      <c r="BO1143" s="2126"/>
      <c r="BP1143" s="2126"/>
      <c r="BQ1143" s="2126"/>
      <c r="BR1143" s="2126"/>
      <c r="BS1143" s="2126"/>
    </row>
    <row r="1144" spans="1:71" s="3030" customFormat="1">
      <c r="A1144" s="2126"/>
      <c r="B1144" s="2126"/>
      <c r="C1144" s="2149"/>
      <c r="D1144" s="3248"/>
      <c r="E1144" s="525"/>
      <c r="F1144" s="525"/>
      <c r="G1144" s="526"/>
      <c r="K1144" s="3280"/>
      <c r="P1144" s="3041"/>
      <c r="X1144" s="3280"/>
      <c r="AA1144" s="3041"/>
      <c r="AF1144" s="3041"/>
      <c r="AN1144" s="3280"/>
      <c r="AZ1144" s="3041"/>
      <c r="BD1144" s="3281"/>
      <c r="BH1144" s="3282"/>
      <c r="BJ1144" s="2589"/>
      <c r="BK1144" s="2126"/>
      <c r="BL1144" s="2126"/>
      <c r="BM1144" s="2126"/>
      <c r="BN1144" s="2126"/>
      <c r="BO1144" s="2126"/>
      <c r="BP1144" s="2126"/>
      <c r="BQ1144" s="2126"/>
      <c r="BR1144" s="2126"/>
      <c r="BS1144" s="2126"/>
    </row>
    <row r="1145" spans="1:71" s="3030" customFormat="1">
      <c r="A1145" s="2126"/>
      <c r="B1145" s="2126"/>
      <c r="C1145" s="2149"/>
      <c r="D1145" s="3248"/>
      <c r="E1145" s="525"/>
      <c r="F1145" s="525"/>
      <c r="G1145" s="526"/>
      <c r="K1145" s="3280"/>
      <c r="P1145" s="3041"/>
      <c r="X1145" s="3280"/>
      <c r="AA1145" s="3041"/>
      <c r="AF1145" s="3041"/>
      <c r="AN1145" s="3280"/>
      <c r="AZ1145" s="3041"/>
      <c r="BD1145" s="3281"/>
      <c r="BH1145" s="3282"/>
      <c r="BJ1145" s="2589"/>
      <c r="BK1145" s="2126"/>
      <c r="BL1145" s="2126"/>
      <c r="BM1145" s="2126"/>
      <c r="BN1145" s="2126"/>
      <c r="BO1145" s="2126"/>
      <c r="BP1145" s="2126"/>
      <c r="BQ1145" s="2126"/>
      <c r="BR1145" s="2126"/>
      <c r="BS1145" s="2126"/>
    </row>
    <row r="1146" spans="1:71" s="3030" customFormat="1">
      <c r="A1146" s="2126"/>
      <c r="B1146" s="2126"/>
      <c r="C1146" s="2149"/>
      <c r="D1146" s="3248"/>
      <c r="E1146" s="525"/>
      <c r="F1146" s="525"/>
      <c r="G1146" s="526"/>
      <c r="K1146" s="3280"/>
      <c r="P1146" s="3041"/>
      <c r="X1146" s="3280"/>
      <c r="AA1146" s="3041"/>
      <c r="AF1146" s="3041"/>
      <c r="AN1146" s="3280"/>
      <c r="AZ1146" s="3041"/>
      <c r="BD1146" s="3281"/>
      <c r="BH1146" s="3282"/>
      <c r="BJ1146" s="2589"/>
      <c r="BK1146" s="2126"/>
      <c r="BL1146" s="2126"/>
      <c r="BM1146" s="2126"/>
      <c r="BN1146" s="2126"/>
      <c r="BO1146" s="2126"/>
      <c r="BP1146" s="2126"/>
      <c r="BQ1146" s="2126"/>
      <c r="BR1146" s="2126"/>
      <c r="BS1146" s="2126"/>
    </row>
    <row r="1147" spans="1:71" s="3030" customFormat="1">
      <c r="A1147" s="2126"/>
      <c r="B1147" s="2126"/>
      <c r="C1147" s="2149"/>
      <c r="D1147" s="3248"/>
      <c r="E1147" s="525"/>
      <c r="F1147" s="525"/>
      <c r="G1147" s="526"/>
      <c r="K1147" s="3280"/>
      <c r="P1147" s="3041"/>
      <c r="X1147" s="3280"/>
      <c r="AA1147" s="3041"/>
      <c r="AF1147" s="3041"/>
      <c r="AN1147" s="3280"/>
      <c r="AZ1147" s="3041"/>
      <c r="BD1147" s="3281"/>
      <c r="BH1147" s="3282"/>
      <c r="BJ1147" s="2589"/>
      <c r="BK1147" s="2126"/>
      <c r="BL1147" s="2126"/>
      <c r="BM1147" s="2126"/>
      <c r="BN1147" s="2126"/>
      <c r="BO1147" s="2126"/>
      <c r="BP1147" s="2126"/>
      <c r="BQ1147" s="2126"/>
      <c r="BR1147" s="2126"/>
      <c r="BS1147" s="2126"/>
    </row>
    <row r="1148" spans="1:71" s="3030" customFormat="1">
      <c r="A1148" s="2126"/>
      <c r="B1148" s="2126"/>
      <c r="C1148" s="2149"/>
      <c r="D1148" s="3248"/>
      <c r="E1148" s="525"/>
      <c r="F1148" s="525"/>
      <c r="G1148" s="526"/>
      <c r="K1148" s="3280"/>
      <c r="P1148" s="3041"/>
      <c r="X1148" s="3280"/>
      <c r="AA1148" s="3041"/>
      <c r="AF1148" s="3041"/>
      <c r="AN1148" s="3280"/>
      <c r="AZ1148" s="3041"/>
      <c r="BD1148" s="3281"/>
      <c r="BH1148" s="3282"/>
      <c r="BJ1148" s="2589"/>
      <c r="BK1148" s="2126"/>
      <c r="BL1148" s="2126"/>
      <c r="BM1148" s="2126"/>
      <c r="BN1148" s="2126"/>
      <c r="BO1148" s="2126"/>
      <c r="BP1148" s="2126"/>
      <c r="BQ1148" s="2126"/>
      <c r="BR1148" s="2126"/>
      <c r="BS1148" s="2126"/>
    </row>
    <row r="1149" spans="1:71" s="3030" customFormat="1">
      <c r="A1149" s="2126"/>
      <c r="B1149" s="2126"/>
      <c r="C1149" s="2149"/>
      <c r="D1149" s="3248"/>
      <c r="E1149" s="525"/>
      <c r="F1149" s="525"/>
      <c r="G1149" s="526"/>
      <c r="K1149" s="3280"/>
      <c r="P1149" s="3041"/>
      <c r="X1149" s="3280"/>
      <c r="AA1149" s="3041"/>
      <c r="AF1149" s="3041"/>
      <c r="AN1149" s="3280"/>
      <c r="AZ1149" s="3041"/>
      <c r="BD1149" s="3281"/>
      <c r="BH1149" s="3282"/>
      <c r="BJ1149" s="2589"/>
      <c r="BK1149" s="2126"/>
      <c r="BL1149" s="2126"/>
      <c r="BM1149" s="2126"/>
      <c r="BN1149" s="2126"/>
      <c r="BO1149" s="2126"/>
      <c r="BP1149" s="2126"/>
      <c r="BQ1149" s="2126"/>
      <c r="BR1149" s="2126"/>
      <c r="BS1149" s="2126"/>
    </row>
    <row r="1150" spans="1:71" s="3030" customFormat="1">
      <c r="A1150" s="2126"/>
      <c r="B1150" s="2126"/>
      <c r="C1150" s="2149"/>
      <c r="D1150" s="3248"/>
      <c r="E1150" s="525"/>
      <c r="F1150" s="525"/>
      <c r="G1150" s="526"/>
      <c r="K1150" s="3280"/>
      <c r="P1150" s="3041"/>
      <c r="X1150" s="3280"/>
      <c r="AA1150" s="3041"/>
      <c r="AF1150" s="3041"/>
      <c r="AN1150" s="3280"/>
      <c r="AZ1150" s="3041"/>
      <c r="BD1150" s="3281"/>
      <c r="BH1150" s="3282"/>
      <c r="BJ1150" s="2589"/>
      <c r="BK1150" s="2126"/>
      <c r="BL1150" s="2126"/>
      <c r="BM1150" s="2126"/>
      <c r="BN1150" s="2126"/>
      <c r="BO1150" s="2126"/>
      <c r="BP1150" s="2126"/>
      <c r="BQ1150" s="2126"/>
      <c r="BR1150" s="2126"/>
      <c r="BS1150" s="2126"/>
    </row>
    <row r="1151" spans="1:71" s="3030" customFormat="1">
      <c r="A1151" s="2126"/>
      <c r="B1151" s="2126"/>
      <c r="C1151" s="2149"/>
      <c r="D1151" s="3248"/>
      <c r="E1151" s="525"/>
      <c r="F1151" s="525"/>
      <c r="G1151" s="526"/>
      <c r="K1151" s="3280"/>
      <c r="P1151" s="3041"/>
      <c r="X1151" s="3280"/>
      <c r="AA1151" s="3041"/>
      <c r="AF1151" s="3041"/>
      <c r="AN1151" s="3280"/>
      <c r="AZ1151" s="3041"/>
      <c r="BD1151" s="3281"/>
      <c r="BH1151" s="3282"/>
      <c r="BJ1151" s="2589"/>
      <c r="BK1151" s="2126"/>
      <c r="BL1151" s="2126"/>
      <c r="BM1151" s="2126"/>
      <c r="BN1151" s="2126"/>
      <c r="BO1151" s="2126"/>
      <c r="BP1151" s="2126"/>
      <c r="BQ1151" s="2126"/>
      <c r="BR1151" s="2126"/>
      <c r="BS1151" s="2126"/>
    </row>
    <row r="1152" spans="1:71" s="3030" customFormat="1">
      <c r="A1152" s="2126"/>
      <c r="B1152" s="2126"/>
      <c r="C1152" s="2149"/>
      <c r="D1152" s="3248"/>
      <c r="E1152" s="525"/>
      <c r="F1152" s="525"/>
      <c r="G1152" s="526"/>
      <c r="K1152" s="3280"/>
      <c r="P1152" s="3041"/>
      <c r="X1152" s="3280"/>
      <c r="AA1152" s="3041"/>
      <c r="AF1152" s="3041"/>
      <c r="AN1152" s="3280"/>
      <c r="AZ1152" s="3041"/>
      <c r="BD1152" s="3281"/>
      <c r="BH1152" s="3282"/>
      <c r="BJ1152" s="2589"/>
      <c r="BK1152" s="2126"/>
      <c r="BL1152" s="2126"/>
      <c r="BM1152" s="2126"/>
      <c r="BN1152" s="2126"/>
      <c r="BO1152" s="2126"/>
      <c r="BP1152" s="2126"/>
      <c r="BQ1152" s="2126"/>
      <c r="BR1152" s="2126"/>
      <c r="BS1152" s="2126"/>
    </row>
    <row r="1153" spans="1:71" s="3030" customFormat="1">
      <c r="A1153" s="2126"/>
      <c r="B1153" s="2126"/>
      <c r="C1153" s="2149"/>
      <c r="D1153" s="3248"/>
      <c r="E1153" s="525"/>
      <c r="F1153" s="525"/>
      <c r="G1153" s="526"/>
      <c r="K1153" s="3280"/>
      <c r="P1153" s="3041"/>
      <c r="X1153" s="3280"/>
      <c r="AA1153" s="3041"/>
      <c r="AF1153" s="3041"/>
      <c r="AN1153" s="3280"/>
      <c r="AZ1153" s="3041"/>
      <c r="BD1153" s="3281"/>
      <c r="BH1153" s="3282"/>
      <c r="BJ1153" s="2589"/>
      <c r="BK1153" s="2126"/>
      <c r="BL1153" s="2126"/>
      <c r="BM1153" s="2126"/>
      <c r="BN1153" s="2126"/>
      <c r="BO1153" s="2126"/>
      <c r="BP1153" s="2126"/>
      <c r="BQ1153" s="2126"/>
      <c r="BR1153" s="2126"/>
      <c r="BS1153" s="2126"/>
    </row>
    <row r="1154" spans="1:71" s="3030" customFormat="1">
      <c r="A1154" s="2126"/>
      <c r="B1154" s="2126"/>
      <c r="C1154" s="2149"/>
      <c r="D1154" s="3248"/>
      <c r="E1154" s="525"/>
      <c r="F1154" s="525"/>
      <c r="G1154" s="526"/>
      <c r="K1154" s="3280"/>
      <c r="P1154" s="3041"/>
      <c r="X1154" s="3280"/>
      <c r="AA1154" s="3041"/>
      <c r="AF1154" s="3041"/>
      <c r="AN1154" s="3280"/>
      <c r="AZ1154" s="3041"/>
      <c r="BD1154" s="3281"/>
      <c r="BH1154" s="3282"/>
      <c r="BJ1154" s="2589"/>
      <c r="BK1154" s="2126"/>
      <c r="BL1154" s="2126"/>
      <c r="BM1154" s="2126"/>
      <c r="BN1154" s="2126"/>
      <c r="BO1154" s="2126"/>
      <c r="BP1154" s="2126"/>
      <c r="BQ1154" s="2126"/>
      <c r="BR1154" s="2126"/>
      <c r="BS1154" s="2126"/>
    </row>
    <row r="1155" spans="1:71" s="3030" customFormat="1">
      <c r="A1155" s="2126"/>
      <c r="B1155" s="2126"/>
      <c r="C1155" s="2149"/>
      <c r="D1155" s="3248"/>
      <c r="E1155" s="525"/>
      <c r="F1155" s="525"/>
      <c r="G1155" s="526"/>
      <c r="K1155" s="3280"/>
      <c r="P1155" s="3041"/>
      <c r="X1155" s="3280"/>
      <c r="AA1155" s="3041"/>
      <c r="AF1155" s="3041"/>
      <c r="AN1155" s="3280"/>
      <c r="AZ1155" s="3041"/>
      <c r="BD1155" s="3281"/>
      <c r="BH1155" s="3282"/>
      <c r="BJ1155" s="2589"/>
      <c r="BK1155" s="2126"/>
      <c r="BL1155" s="2126"/>
      <c r="BM1155" s="2126"/>
      <c r="BN1155" s="2126"/>
      <c r="BO1155" s="2126"/>
      <c r="BP1155" s="2126"/>
      <c r="BQ1155" s="2126"/>
      <c r="BR1155" s="2126"/>
      <c r="BS1155" s="2126"/>
    </row>
    <row r="1156" spans="1:71" s="3030" customFormat="1">
      <c r="A1156" s="2126"/>
      <c r="B1156" s="2126"/>
      <c r="C1156" s="2149"/>
      <c r="D1156" s="3248"/>
      <c r="E1156" s="525"/>
      <c r="F1156" s="525"/>
      <c r="G1156" s="526"/>
      <c r="K1156" s="3280"/>
      <c r="P1156" s="3041"/>
      <c r="X1156" s="3280"/>
      <c r="AA1156" s="3041"/>
      <c r="AF1156" s="3041"/>
      <c r="AN1156" s="3280"/>
      <c r="AZ1156" s="3041"/>
      <c r="BD1156" s="3281"/>
      <c r="BH1156" s="3282"/>
      <c r="BJ1156" s="2589"/>
      <c r="BK1156" s="2126"/>
      <c r="BL1156" s="2126"/>
      <c r="BM1156" s="2126"/>
      <c r="BN1156" s="2126"/>
      <c r="BO1156" s="2126"/>
      <c r="BP1156" s="2126"/>
      <c r="BQ1156" s="2126"/>
      <c r="BR1156" s="2126"/>
      <c r="BS1156" s="2126"/>
    </row>
    <row r="1157" spans="1:71" s="3030" customFormat="1">
      <c r="A1157" s="2126"/>
      <c r="B1157" s="2126"/>
      <c r="C1157" s="2149"/>
      <c r="D1157" s="3248"/>
      <c r="E1157" s="525"/>
      <c r="F1157" s="525"/>
      <c r="G1157" s="526"/>
      <c r="K1157" s="3280"/>
      <c r="P1157" s="3041"/>
      <c r="X1157" s="3280"/>
      <c r="AA1157" s="3041"/>
      <c r="AF1157" s="3041"/>
      <c r="AN1157" s="3280"/>
      <c r="AZ1157" s="3041"/>
      <c r="BD1157" s="3281"/>
      <c r="BH1157" s="3282"/>
      <c r="BJ1157" s="2589"/>
      <c r="BK1157" s="2126"/>
      <c r="BL1157" s="2126"/>
      <c r="BM1157" s="2126"/>
      <c r="BN1157" s="2126"/>
      <c r="BO1157" s="2126"/>
      <c r="BP1157" s="2126"/>
      <c r="BQ1157" s="2126"/>
      <c r="BR1157" s="2126"/>
      <c r="BS1157" s="2126"/>
    </row>
    <row r="1158" spans="1:71" s="3030" customFormat="1">
      <c r="A1158" s="2126"/>
      <c r="B1158" s="2126"/>
      <c r="C1158" s="2149"/>
      <c r="D1158" s="3248"/>
      <c r="E1158" s="525"/>
      <c r="F1158" s="525"/>
      <c r="G1158" s="526"/>
      <c r="K1158" s="3280"/>
      <c r="P1158" s="3041"/>
      <c r="X1158" s="3280"/>
      <c r="AA1158" s="3041"/>
      <c r="AF1158" s="3041"/>
      <c r="AN1158" s="3280"/>
      <c r="AZ1158" s="3041"/>
      <c r="BD1158" s="3281"/>
      <c r="BH1158" s="3282"/>
      <c r="BJ1158" s="2589"/>
      <c r="BK1158" s="2126"/>
      <c r="BL1158" s="2126"/>
      <c r="BM1158" s="2126"/>
      <c r="BN1158" s="2126"/>
      <c r="BO1158" s="2126"/>
      <c r="BP1158" s="2126"/>
      <c r="BQ1158" s="2126"/>
      <c r="BR1158" s="2126"/>
      <c r="BS1158" s="2126"/>
    </row>
    <row r="1159" spans="1:71" s="3030" customFormat="1">
      <c r="A1159" s="2126"/>
      <c r="B1159" s="2126"/>
      <c r="C1159" s="2149"/>
      <c r="D1159" s="3248"/>
      <c r="E1159" s="525"/>
      <c r="F1159" s="525"/>
      <c r="G1159" s="526"/>
      <c r="K1159" s="3280"/>
      <c r="P1159" s="3041"/>
      <c r="X1159" s="3280"/>
      <c r="AA1159" s="3041"/>
      <c r="AF1159" s="3041"/>
      <c r="AN1159" s="3280"/>
      <c r="AZ1159" s="3041"/>
      <c r="BD1159" s="3281"/>
      <c r="BH1159" s="3282"/>
      <c r="BJ1159" s="2589"/>
      <c r="BK1159" s="2126"/>
      <c r="BL1159" s="2126"/>
      <c r="BM1159" s="2126"/>
      <c r="BN1159" s="2126"/>
      <c r="BO1159" s="2126"/>
      <c r="BP1159" s="2126"/>
      <c r="BQ1159" s="2126"/>
      <c r="BR1159" s="2126"/>
      <c r="BS1159" s="2126"/>
    </row>
    <row r="1160" spans="1:71" s="3030" customFormat="1">
      <c r="A1160" s="2126"/>
      <c r="B1160" s="2126"/>
      <c r="C1160" s="2149"/>
      <c r="D1160" s="3248"/>
      <c r="E1160" s="525"/>
      <c r="F1160" s="525"/>
      <c r="G1160" s="526"/>
      <c r="K1160" s="3280"/>
      <c r="P1160" s="3041"/>
      <c r="X1160" s="3280"/>
      <c r="AA1160" s="3041"/>
      <c r="AF1160" s="3041"/>
      <c r="AN1160" s="3280"/>
      <c r="AZ1160" s="3041"/>
      <c r="BD1160" s="3281"/>
      <c r="BH1160" s="3282"/>
      <c r="BJ1160" s="2589"/>
      <c r="BK1160" s="2126"/>
      <c r="BL1160" s="2126"/>
      <c r="BM1160" s="2126"/>
      <c r="BN1160" s="2126"/>
      <c r="BO1160" s="2126"/>
      <c r="BP1160" s="2126"/>
      <c r="BQ1160" s="2126"/>
      <c r="BR1160" s="2126"/>
      <c r="BS1160" s="2126"/>
    </row>
    <row r="1161" spans="1:71" s="3030" customFormat="1">
      <c r="A1161" s="2126"/>
      <c r="B1161" s="2126"/>
      <c r="C1161" s="2149"/>
      <c r="D1161" s="3248"/>
      <c r="E1161" s="525"/>
      <c r="F1161" s="525"/>
      <c r="G1161" s="526"/>
      <c r="K1161" s="3280"/>
      <c r="P1161" s="3041"/>
      <c r="X1161" s="3280"/>
      <c r="AA1161" s="3041"/>
      <c r="AF1161" s="3041"/>
      <c r="AN1161" s="3280"/>
      <c r="AZ1161" s="3041"/>
      <c r="BD1161" s="3281"/>
      <c r="BH1161" s="3282"/>
      <c r="BJ1161" s="2589"/>
      <c r="BK1161" s="2126"/>
      <c r="BL1161" s="2126"/>
      <c r="BM1161" s="2126"/>
      <c r="BN1161" s="2126"/>
      <c r="BO1161" s="2126"/>
      <c r="BP1161" s="2126"/>
      <c r="BQ1161" s="2126"/>
      <c r="BR1161" s="2126"/>
      <c r="BS1161" s="2126"/>
    </row>
    <row r="1162" spans="1:71" s="3030" customFormat="1">
      <c r="A1162" s="2126"/>
      <c r="B1162" s="2126"/>
      <c r="C1162" s="2149"/>
      <c r="D1162" s="3248"/>
      <c r="E1162" s="525"/>
      <c r="F1162" s="525"/>
      <c r="G1162" s="526"/>
      <c r="K1162" s="3280"/>
      <c r="P1162" s="3041"/>
      <c r="X1162" s="3280"/>
      <c r="AA1162" s="3041"/>
      <c r="AF1162" s="3041"/>
      <c r="AN1162" s="3280"/>
      <c r="AZ1162" s="3041"/>
      <c r="BD1162" s="3281"/>
      <c r="BH1162" s="3282"/>
      <c r="BJ1162" s="2589"/>
      <c r="BK1162" s="2126"/>
      <c r="BL1162" s="2126"/>
      <c r="BM1162" s="2126"/>
      <c r="BN1162" s="2126"/>
      <c r="BO1162" s="2126"/>
      <c r="BP1162" s="2126"/>
      <c r="BQ1162" s="2126"/>
      <c r="BR1162" s="2126"/>
      <c r="BS1162" s="2126"/>
    </row>
    <row r="1163" spans="1:71" s="3030" customFormat="1">
      <c r="A1163" s="2126"/>
      <c r="B1163" s="2126"/>
      <c r="C1163" s="2149"/>
      <c r="D1163" s="3248"/>
      <c r="E1163" s="525"/>
      <c r="F1163" s="525"/>
      <c r="G1163" s="526"/>
      <c r="K1163" s="3280"/>
      <c r="P1163" s="3041"/>
      <c r="X1163" s="3280"/>
      <c r="AA1163" s="3041"/>
      <c r="AF1163" s="3041"/>
      <c r="AN1163" s="3280"/>
      <c r="AZ1163" s="3041"/>
      <c r="BD1163" s="3281"/>
      <c r="BH1163" s="3282"/>
      <c r="BJ1163" s="2589"/>
      <c r="BK1163" s="2126"/>
      <c r="BL1163" s="2126"/>
      <c r="BM1163" s="2126"/>
      <c r="BN1163" s="2126"/>
      <c r="BO1163" s="2126"/>
      <c r="BP1163" s="2126"/>
      <c r="BQ1163" s="2126"/>
      <c r="BR1163" s="2126"/>
      <c r="BS1163" s="2126"/>
    </row>
    <row r="1164" spans="1:71" s="3030" customFormat="1">
      <c r="A1164" s="2126"/>
      <c r="B1164" s="2126"/>
      <c r="C1164" s="2149"/>
      <c r="D1164" s="3248"/>
      <c r="E1164" s="525"/>
      <c r="F1164" s="525"/>
      <c r="G1164" s="526"/>
      <c r="K1164" s="3280"/>
      <c r="P1164" s="3041"/>
      <c r="X1164" s="3280"/>
      <c r="AA1164" s="3041"/>
      <c r="AF1164" s="3041"/>
      <c r="AN1164" s="3280"/>
      <c r="AZ1164" s="3041"/>
      <c r="BD1164" s="3281"/>
      <c r="BH1164" s="3282"/>
      <c r="BJ1164" s="2589"/>
      <c r="BK1164" s="2126"/>
      <c r="BL1164" s="2126"/>
      <c r="BM1164" s="2126"/>
      <c r="BN1164" s="2126"/>
      <c r="BO1164" s="2126"/>
      <c r="BP1164" s="2126"/>
      <c r="BQ1164" s="2126"/>
      <c r="BR1164" s="2126"/>
      <c r="BS1164" s="2126"/>
    </row>
    <row r="1165" spans="1:71" s="3030" customFormat="1">
      <c r="A1165" s="2126"/>
      <c r="B1165" s="2126"/>
      <c r="C1165" s="2149"/>
      <c r="D1165" s="3248"/>
      <c r="E1165" s="525"/>
      <c r="F1165" s="525"/>
      <c r="G1165" s="526"/>
      <c r="K1165" s="3280"/>
      <c r="P1165" s="3041"/>
      <c r="X1165" s="3280"/>
      <c r="AA1165" s="3041"/>
      <c r="AF1165" s="3041"/>
      <c r="AN1165" s="3280"/>
      <c r="AZ1165" s="3041"/>
      <c r="BD1165" s="3281"/>
      <c r="BH1165" s="3282"/>
      <c r="BJ1165" s="2589"/>
      <c r="BK1165" s="2126"/>
      <c r="BL1165" s="2126"/>
      <c r="BM1165" s="2126"/>
      <c r="BN1165" s="2126"/>
      <c r="BO1165" s="2126"/>
      <c r="BP1165" s="2126"/>
      <c r="BQ1165" s="2126"/>
      <c r="BR1165" s="2126"/>
      <c r="BS1165" s="2126"/>
    </row>
    <row r="1166" spans="1:71" s="3030" customFormat="1">
      <c r="A1166" s="2126"/>
      <c r="B1166" s="2126"/>
      <c r="C1166" s="2149"/>
      <c r="D1166" s="3248"/>
      <c r="E1166" s="525"/>
      <c r="F1166" s="525"/>
      <c r="G1166" s="526"/>
      <c r="K1166" s="3280"/>
      <c r="P1166" s="3041"/>
      <c r="X1166" s="3280"/>
      <c r="AA1166" s="3041"/>
      <c r="AF1166" s="3041"/>
      <c r="AN1166" s="3280"/>
      <c r="AZ1166" s="3041"/>
      <c r="BD1166" s="3281"/>
      <c r="BH1166" s="3282"/>
      <c r="BJ1166" s="2589"/>
      <c r="BK1166" s="2126"/>
      <c r="BL1166" s="2126"/>
      <c r="BM1166" s="2126"/>
      <c r="BN1166" s="2126"/>
      <c r="BO1166" s="2126"/>
      <c r="BP1166" s="2126"/>
      <c r="BQ1166" s="2126"/>
      <c r="BR1166" s="2126"/>
      <c r="BS1166" s="2126"/>
    </row>
    <row r="1167" spans="1:71" s="3030" customFormat="1">
      <c r="A1167" s="2126"/>
      <c r="B1167" s="2126"/>
      <c r="C1167" s="2149"/>
      <c r="D1167" s="3248"/>
      <c r="E1167" s="525"/>
      <c r="F1167" s="525"/>
      <c r="G1167" s="526"/>
      <c r="K1167" s="3280"/>
      <c r="P1167" s="3041"/>
      <c r="X1167" s="3280"/>
      <c r="AA1167" s="3041"/>
      <c r="AF1167" s="3041"/>
      <c r="AN1167" s="3280"/>
      <c r="AZ1167" s="3041"/>
      <c r="BD1167" s="3281"/>
      <c r="BH1167" s="3282"/>
      <c r="BJ1167" s="2589"/>
      <c r="BK1167" s="2126"/>
      <c r="BL1167" s="2126"/>
      <c r="BM1167" s="2126"/>
      <c r="BN1167" s="2126"/>
      <c r="BO1167" s="2126"/>
      <c r="BP1167" s="2126"/>
      <c r="BQ1167" s="2126"/>
      <c r="BR1167" s="2126"/>
      <c r="BS1167" s="2126"/>
    </row>
    <row r="1168" spans="1:71" s="3030" customFormat="1">
      <c r="A1168" s="2126"/>
      <c r="B1168" s="2126"/>
      <c r="C1168" s="2149"/>
      <c r="D1168" s="3248"/>
      <c r="E1168" s="525"/>
      <c r="F1168" s="525"/>
      <c r="G1168" s="526"/>
      <c r="K1168" s="3280"/>
      <c r="P1168" s="3041"/>
      <c r="X1168" s="3280"/>
      <c r="AA1168" s="3041"/>
      <c r="AF1168" s="3041"/>
      <c r="AN1168" s="3280"/>
      <c r="AZ1168" s="3041"/>
      <c r="BD1168" s="3281"/>
      <c r="BH1168" s="3282"/>
      <c r="BJ1168" s="2589"/>
      <c r="BK1168" s="2126"/>
      <c r="BL1168" s="2126"/>
      <c r="BM1168" s="2126"/>
      <c r="BN1168" s="2126"/>
      <c r="BO1168" s="2126"/>
      <c r="BP1168" s="2126"/>
      <c r="BQ1168" s="2126"/>
      <c r="BR1168" s="2126"/>
      <c r="BS1168" s="2126"/>
    </row>
    <row r="1169" spans="1:71" s="3030" customFormat="1">
      <c r="A1169" s="2126"/>
      <c r="B1169" s="2126"/>
      <c r="C1169" s="2149"/>
      <c r="D1169" s="3248"/>
      <c r="E1169" s="525"/>
      <c r="F1169" s="525"/>
      <c r="G1169" s="526"/>
      <c r="K1169" s="3280"/>
      <c r="P1169" s="3041"/>
      <c r="X1169" s="3280"/>
      <c r="AA1169" s="3041"/>
      <c r="AF1169" s="3041"/>
      <c r="AN1169" s="3280"/>
      <c r="AZ1169" s="3041"/>
      <c r="BD1169" s="3281"/>
      <c r="BH1169" s="3282"/>
      <c r="BJ1169" s="2589"/>
      <c r="BK1169" s="2126"/>
      <c r="BL1169" s="2126"/>
      <c r="BM1169" s="2126"/>
      <c r="BN1169" s="2126"/>
      <c r="BO1169" s="2126"/>
      <c r="BP1169" s="2126"/>
      <c r="BQ1169" s="2126"/>
      <c r="BR1169" s="2126"/>
      <c r="BS1169" s="2126"/>
    </row>
    <row r="1170" spans="1:71" s="3030" customFormat="1">
      <c r="A1170" s="2126"/>
      <c r="B1170" s="2126"/>
      <c r="C1170" s="2149"/>
      <c r="D1170" s="3248"/>
      <c r="E1170" s="525"/>
      <c r="F1170" s="525"/>
      <c r="G1170" s="526"/>
      <c r="K1170" s="3280"/>
      <c r="P1170" s="3041"/>
      <c r="X1170" s="3280"/>
      <c r="AA1170" s="3041"/>
      <c r="AF1170" s="3041"/>
      <c r="AN1170" s="3280"/>
      <c r="AZ1170" s="3041"/>
      <c r="BD1170" s="3281"/>
      <c r="BH1170" s="3282"/>
      <c r="BJ1170" s="2589"/>
      <c r="BK1170" s="2126"/>
      <c r="BL1170" s="2126"/>
      <c r="BM1170" s="2126"/>
      <c r="BN1170" s="2126"/>
      <c r="BO1170" s="2126"/>
      <c r="BP1170" s="2126"/>
      <c r="BQ1170" s="2126"/>
      <c r="BR1170" s="2126"/>
      <c r="BS1170" s="2126"/>
    </row>
    <row r="1171" spans="1:71" s="3030" customFormat="1">
      <c r="A1171" s="2126"/>
      <c r="B1171" s="2126"/>
      <c r="C1171" s="2149"/>
      <c r="D1171" s="3248"/>
      <c r="E1171" s="525"/>
      <c r="F1171" s="525"/>
      <c r="G1171" s="526"/>
      <c r="K1171" s="3280"/>
      <c r="P1171" s="3041"/>
      <c r="X1171" s="3280"/>
      <c r="AA1171" s="3041"/>
      <c r="AF1171" s="3041"/>
      <c r="AN1171" s="3280"/>
      <c r="AZ1171" s="3041"/>
      <c r="BD1171" s="3281"/>
      <c r="BH1171" s="3282"/>
      <c r="BJ1171" s="2589"/>
      <c r="BK1171" s="2126"/>
      <c r="BL1171" s="2126"/>
      <c r="BM1171" s="2126"/>
      <c r="BN1171" s="2126"/>
      <c r="BO1171" s="2126"/>
      <c r="BP1171" s="2126"/>
      <c r="BQ1171" s="2126"/>
      <c r="BR1171" s="2126"/>
      <c r="BS1171" s="2126"/>
    </row>
    <row r="1172" spans="1:71" s="3030" customFormat="1">
      <c r="A1172" s="2126"/>
      <c r="B1172" s="2126"/>
      <c r="C1172" s="2149"/>
      <c r="D1172" s="3248"/>
      <c r="E1172" s="525"/>
      <c r="F1172" s="525"/>
      <c r="G1172" s="526"/>
      <c r="K1172" s="3280"/>
      <c r="P1172" s="3041"/>
      <c r="X1172" s="3280"/>
      <c r="AA1172" s="3041"/>
      <c r="AF1172" s="3041"/>
      <c r="AN1172" s="3280"/>
      <c r="AZ1172" s="3041"/>
      <c r="BD1172" s="3281"/>
      <c r="BH1172" s="3282"/>
      <c r="BJ1172" s="2589"/>
      <c r="BK1172" s="2126"/>
      <c r="BL1172" s="2126"/>
      <c r="BM1172" s="2126"/>
      <c r="BN1172" s="2126"/>
      <c r="BO1172" s="2126"/>
      <c r="BP1172" s="2126"/>
      <c r="BQ1172" s="2126"/>
      <c r="BR1172" s="2126"/>
      <c r="BS1172" s="2126"/>
    </row>
    <row r="1173" spans="1:71" s="3030" customFormat="1">
      <c r="A1173" s="2126"/>
      <c r="B1173" s="2126"/>
      <c r="C1173" s="2149"/>
      <c r="D1173" s="3248"/>
      <c r="E1173" s="525"/>
      <c r="F1173" s="525"/>
      <c r="G1173" s="526"/>
      <c r="K1173" s="3280"/>
      <c r="P1173" s="3041"/>
      <c r="X1173" s="3280"/>
      <c r="AA1173" s="3041"/>
      <c r="AF1173" s="3041"/>
      <c r="AN1173" s="3280"/>
      <c r="AZ1173" s="3041"/>
      <c r="BD1173" s="3281"/>
      <c r="BH1173" s="3282"/>
      <c r="BJ1173" s="2589"/>
      <c r="BK1173" s="2126"/>
      <c r="BL1173" s="2126"/>
      <c r="BM1173" s="2126"/>
      <c r="BN1173" s="2126"/>
      <c r="BO1173" s="2126"/>
      <c r="BP1173" s="2126"/>
      <c r="BQ1173" s="2126"/>
      <c r="BR1173" s="2126"/>
      <c r="BS1173" s="2126"/>
    </row>
    <row r="1174" spans="1:71" s="3030" customFormat="1">
      <c r="A1174" s="2126"/>
      <c r="B1174" s="2126"/>
      <c r="C1174" s="2149"/>
      <c r="D1174" s="3248"/>
      <c r="E1174" s="525"/>
      <c r="F1174" s="525"/>
      <c r="G1174" s="526"/>
      <c r="K1174" s="3280"/>
      <c r="P1174" s="3041"/>
      <c r="X1174" s="3280"/>
      <c r="AA1174" s="3041"/>
      <c r="AF1174" s="3041"/>
      <c r="AN1174" s="3280"/>
      <c r="AZ1174" s="3041"/>
      <c r="BD1174" s="3281"/>
      <c r="BH1174" s="3282"/>
      <c r="BJ1174" s="2589"/>
      <c r="BK1174" s="2126"/>
      <c r="BL1174" s="2126"/>
      <c r="BM1174" s="2126"/>
      <c r="BN1174" s="2126"/>
      <c r="BO1174" s="2126"/>
      <c r="BP1174" s="2126"/>
      <c r="BQ1174" s="2126"/>
      <c r="BR1174" s="2126"/>
      <c r="BS1174" s="2126"/>
    </row>
    <row r="1175" spans="1:71" s="3030" customFormat="1">
      <c r="A1175" s="2126"/>
      <c r="B1175" s="2126"/>
      <c r="C1175" s="2149"/>
      <c r="D1175" s="3248"/>
      <c r="E1175" s="525"/>
      <c r="F1175" s="525"/>
      <c r="G1175" s="526"/>
      <c r="K1175" s="3280"/>
      <c r="P1175" s="3041"/>
      <c r="X1175" s="3280"/>
      <c r="AA1175" s="3041"/>
      <c r="AF1175" s="3041"/>
      <c r="AN1175" s="3280"/>
      <c r="AZ1175" s="3041"/>
      <c r="BD1175" s="3281"/>
      <c r="BH1175" s="3282"/>
      <c r="BJ1175" s="2589"/>
      <c r="BK1175" s="2126"/>
      <c r="BL1175" s="2126"/>
      <c r="BM1175" s="2126"/>
      <c r="BN1175" s="2126"/>
      <c r="BO1175" s="2126"/>
      <c r="BP1175" s="2126"/>
      <c r="BQ1175" s="2126"/>
      <c r="BR1175" s="2126"/>
      <c r="BS1175" s="2126"/>
    </row>
    <row r="1176" spans="1:71" s="3030" customFormat="1">
      <c r="A1176" s="2126"/>
      <c r="B1176" s="2126"/>
      <c r="C1176" s="2149"/>
      <c r="D1176" s="3248"/>
      <c r="E1176" s="525"/>
      <c r="F1176" s="525"/>
      <c r="G1176" s="526"/>
      <c r="K1176" s="3280"/>
      <c r="P1176" s="3041"/>
      <c r="X1176" s="3280"/>
      <c r="AA1176" s="3041"/>
      <c r="AF1176" s="3041"/>
      <c r="AN1176" s="3280"/>
      <c r="AZ1176" s="3041"/>
      <c r="BD1176" s="3281"/>
      <c r="BH1176" s="3282"/>
      <c r="BJ1176" s="2589"/>
      <c r="BK1176" s="2126"/>
      <c r="BL1176" s="2126"/>
      <c r="BM1176" s="2126"/>
      <c r="BN1176" s="2126"/>
      <c r="BO1176" s="2126"/>
      <c r="BP1176" s="2126"/>
      <c r="BQ1176" s="2126"/>
      <c r="BR1176" s="2126"/>
      <c r="BS1176" s="2126"/>
    </row>
    <row r="1177" spans="1:71" s="3030" customFormat="1">
      <c r="A1177" s="2126"/>
      <c r="B1177" s="2126"/>
      <c r="C1177" s="2149"/>
      <c r="D1177" s="3248"/>
      <c r="E1177" s="525"/>
      <c r="F1177" s="525"/>
      <c r="G1177" s="526"/>
      <c r="K1177" s="3280"/>
      <c r="P1177" s="3041"/>
      <c r="X1177" s="3280"/>
      <c r="AA1177" s="3041"/>
      <c r="AF1177" s="3041"/>
      <c r="AN1177" s="3280"/>
      <c r="AZ1177" s="3041"/>
      <c r="BD1177" s="3281"/>
      <c r="BH1177" s="3282"/>
      <c r="BJ1177" s="2589"/>
      <c r="BK1177" s="2126"/>
      <c r="BL1177" s="2126"/>
      <c r="BM1177" s="2126"/>
      <c r="BN1177" s="2126"/>
      <c r="BO1177" s="2126"/>
      <c r="BP1177" s="2126"/>
      <c r="BQ1177" s="2126"/>
      <c r="BR1177" s="2126"/>
      <c r="BS1177" s="2126"/>
    </row>
    <row r="1178" spans="1:71" s="3030" customFormat="1">
      <c r="A1178" s="2126"/>
      <c r="B1178" s="2126"/>
      <c r="C1178" s="2149"/>
      <c r="D1178" s="3248"/>
      <c r="E1178" s="525"/>
      <c r="F1178" s="525"/>
      <c r="G1178" s="526"/>
      <c r="K1178" s="3280"/>
      <c r="P1178" s="3041"/>
      <c r="X1178" s="3280"/>
      <c r="AA1178" s="3041"/>
      <c r="AF1178" s="3041"/>
      <c r="AN1178" s="3280"/>
      <c r="AZ1178" s="3041"/>
      <c r="BD1178" s="3281"/>
      <c r="BH1178" s="3282"/>
      <c r="BJ1178" s="2589"/>
      <c r="BK1178" s="2126"/>
      <c r="BL1178" s="2126"/>
      <c r="BM1178" s="2126"/>
      <c r="BN1178" s="2126"/>
      <c r="BO1178" s="2126"/>
      <c r="BP1178" s="2126"/>
      <c r="BQ1178" s="2126"/>
      <c r="BR1178" s="2126"/>
      <c r="BS1178" s="2126"/>
    </row>
    <row r="1179" spans="1:71" s="3030" customFormat="1">
      <c r="A1179" s="2126"/>
      <c r="B1179" s="2126"/>
      <c r="C1179" s="2149"/>
      <c r="D1179" s="3248"/>
      <c r="E1179" s="525"/>
      <c r="F1179" s="525"/>
      <c r="G1179" s="526"/>
      <c r="K1179" s="3280"/>
      <c r="P1179" s="3041"/>
      <c r="X1179" s="3280"/>
      <c r="AA1179" s="3041"/>
      <c r="AF1179" s="3041"/>
      <c r="AN1179" s="3280"/>
      <c r="AZ1179" s="3041"/>
      <c r="BD1179" s="3281"/>
      <c r="BH1179" s="3282"/>
      <c r="BJ1179" s="2589"/>
      <c r="BK1179" s="2126"/>
      <c r="BL1179" s="2126"/>
      <c r="BM1179" s="2126"/>
      <c r="BN1179" s="2126"/>
      <c r="BO1179" s="2126"/>
      <c r="BP1179" s="2126"/>
      <c r="BQ1179" s="2126"/>
      <c r="BR1179" s="2126"/>
      <c r="BS1179" s="2126"/>
    </row>
    <row r="1180" spans="1:71" s="3030" customFormat="1">
      <c r="A1180" s="2126"/>
      <c r="B1180" s="2126"/>
      <c r="C1180" s="2149"/>
      <c r="D1180" s="3248"/>
      <c r="E1180" s="525"/>
      <c r="F1180" s="525"/>
      <c r="G1180" s="526"/>
      <c r="K1180" s="3280"/>
      <c r="P1180" s="3041"/>
      <c r="X1180" s="3280"/>
      <c r="AA1180" s="3041"/>
      <c r="AF1180" s="3041"/>
      <c r="AN1180" s="3280"/>
      <c r="AZ1180" s="3041"/>
      <c r="BD1180" s="3281"/>
      <c r="BH1180" s="3282"/>
      <c r="BJ1180" s="2589"/>
      <c r="BK1180" s="2126"/>
      <c r="BL1180" s="2126"/>
      <c r="BM1180" s="2126"/>
      <c r="BN1180" s="2126"/>
      <c r="BO1180" s="2126"/>
      <c r="BP1180" s="2126"/>
      <c r="BQ1180" s="2126"/>
      <c r="BR1180" s="2126"/>
      <c r="BS1180" s="2126"/>
    </row>
    <row r="1181" spans="1:71" s="3030" customFormat="1">
      <c r="A1181" s="2126"/>
      <c r="B1181" s="2126"/>
      <c r="C1181" s="2149"/>
      <c r="D1181" s="3248"/>
      <c r="E1181" s="525"/>
      <c r="F1181" s="525"/>
      <c r="G1181" s="526"/>
      <c r="K1181" s="3280"/>
      <c r="P1181" s="3041"/>
      <c r="X1181" s="3280"/>
      <c r="AA1181" s="3041"/>
      <c r="AF1181" s="3041"/>
      <c r="AN1181" s="3280"/>
      <c r="AZ1181" s="3041"/>
      <c r="BD1181" s="3281"/>
      <c r="BH1181" s="3282"/>
      <c r="BJ1181" s="2589"/>
      <c r="BK1181" s="2126"/>
      <c r="BL1181" s="2126"/>
      <c r="BM1181" s="2126"/>
      <c r="BN1181" s="2126"/>
      <c r="BO1181" s="2126"/>
      <c r="BP1181" s="2126"/>
      <c r="BQ1181" s="2126"/>
      <c r="BR1181" s="2126"/>
      <c r="BS1181" s="2126"/>
    </row>
    <row r="1182" spans="1:71" s="3030" customFormat="1">
      <c r="A1182" s="2126"/>
      <c r="B1182" s="2126"/>
      <c r="C1182" s="2149"/>
      <c r="D1182" s="3248"/>
      <c r="E1182" s="525"/>
      <c r="F1182" s="525"/>
      <c r="G1182" s="526"/>
      <c r="K1182" s="3280"/>
      <c r="P1182" s="3041"/>
      <c r="X1182" s="3280"/>
      <c r="AA1182" s="3041"/>
      <c r="AF1182" s="3041"/>
      <c r="AN1182" s="3280"/>
      <c r="AZ1182" s="3041"/>
      <c r="BD1182" s="3281"/>
      <c r="BH1182" s="3282"/>
      <c r="BJ1182" s="2589"/>
      <c r="BK1182" s="2126"/>
      <c r="BL1182" s="2126"/>
      <c r="BM1182" s="2126"/>
      <c r="BN1182" s="2126"/>
      <c r="BO1182" s="2126"/>
      <c r="BP1182" s="2126"/>
      <c r="BQ1182" s="2126"/>
      <c r="BR1182" s="2126"/>
      <c r="BS1182" s="2126"/>
    </row>
    <row r="1183" spans="1:71" s="3030" customFormat="1">
      <c r="A1183" s="2126"/>
      <c r="B1183" s="2126"/>
      <c r="C1183" s="2149"/>
      <c r="D1183" s="3248"/>
      <c r="E1183" s="525"/>
      <c r="F1183" s="525"/>
      <c r="G1183" s="526"/>
      <c r="K1183" s="3280"/>
      <c r="P1183" s="3041"/>
      <c r="X1183" s="3280"/>
      <c r="AA1183" s="3041"/>
      <c r="AF1183" s="3041"/>
      <c r="AN1183" s="3280"/>
      <c r="AZ1183" s="3041"/>
      <c r="BD1183" s="3281"/>
      <c r="BH1183" s="3282"/>
      <c r="BJ1183" s="2589"/>
      <c r="BK1183" s="2126"/>
      <c r="BL1183" s="2126"/>
      <c r="BM1183" s="2126"/>
      <c r="BN1183" s="2126"/>
      <c r="BO1183" s="2126"/>
      <c r="BP1183" s="2126"/>
      <c r="BQ1183" s="2126"/>
      <c r="BR1183" s="2126"/>
      <c r="BS1183" s="2126"/>
    </row>
    <row r="1184" spans="1:71" s="3030" customFormat="1">
      <c r="A1184" s="2126"/>
      <c r="B1184" s="2126"/>
      <c r="C1184" s="2149"/>
      <c r="D1184" s="3248"/>
      <c r="E1184" s="525"/>
      <c r="F1184" s="525"/>
      <c r="G1184" s="526"/>
      <c r="K1184" s="3280"/>
      <c r="P1184" s="3041"/>
      <c r="X1184" s="3280"/>
      <c r="AA1184" s="3041"/>
      <c r="AF1184" s="3041"/>
      <c r="AN1184" s="3280"/>
      <c r="AZ1184" s="3041"/>
      <c r="BD1184" s="3281"/>
      <c r="BH1184" s="3282"/>
      <c r="BJ1184" s="2589"/>
      <c r="BK1184" s="2126"/>
      <c r="BL1184" s="2126"/>
      <c r="BM1184" s="2126"/>
      <c r="BN1184" s="2126"/>
      <c r="BO1184" s="2126"/>
      <c r="BP1184" s="2126"/>
      <c r="BQ1184" s="2126"/>
      <c r="BR1184" s="2126"/>
      <c r="BS1184" s="2126"/>
    </row>
    <row r="1185" spans="1:71" s="3030" customFormat="1">
      <c r="A1185" s="2126"/>
      <c r="B1185" s="2126"/>
      <c r="C1185" s="2149"/>
      <c r="D1185" s="3248"/>
      <c r="E1185" s="525"/>
      <c r="F1185" s="525"/>
      <c r="G1185" s="526"/>
      <c r="K1185" s="3280"/>
      <c r="P1185" s="3041"/>
      <c r="X1185" s="3280"/>
      <c r="AA1185" s="3041"/>
      <c r="AF1185" s="3041"/>
      <c r="AN1185" s="3280"/>
      <c r="AZ1185" s="3041"/>
      <c r="BD1185" s="3281"/>
      <c r="BH1185" s="3282"/>
      <c r="BJ1185" s="2589"/>
      <c r="BK1185" s="2126"/>
      <c r="BL1185" s="2126"/>
      <c r="BM1185" s="2126"/>
      <c r="BN1185" s="2126"/>
      <c r="BO1185" s="2126"/>
      <c r="BP1185" s="2126"/>
      <c r="BQ1185" s="2126"/>
      <c r="BR1185" s="2126"/>
      <c r="BS1185" s="2126"/>
    </row>
    <row r="1186" spans="1:71" s="3030" customFormat="1">
      <c r="A1186" s="2126"/>
      <c r="B1186" s="2126"/>
      <c r="C1186" s="2149"/>
      <c r="D1186" s="3248"/>
      <c r="E1186" s="525"/>
      <c r="F1186" s="525"/>
      <c r="G1186" s="526"/>
      <c r="K1186" s="3280"/>
      <c r="P1186" s="3041"/>
      <c r="X1186" s="3280"/>
      <c r="AA1186" s="3041"/>
      <c r="AF1186" s="3041"/>
      <c r="AN1186" s="3280"/>
      <c r="AZ1186" s="3041"/>
      <c r="BD1186" s="3281"/>
      <c r="BH1186" s="3282"/>
      <c r="BJ1186" s="2589"/>
      <c r="BK1186" s="2126"/>
      <c r="BL1186" s="2126"/>
      <c r="BM1186" s="2126"/>
      <c r="BN1186" s="2126"/>
      <c r="BO1186" s="2126"/>
      <c r="BP1186" s="2126"/>
      <c r="BQ1186" s="2126"/>
      <c r="BR1186" s="2126"/>
      <c r="BS1186" s="2126"/>
    </row>
    <row r="1187" spans="1:71" s="3030" customFormat="1">
      <c r="A1187" s="2126"/>
      <c r="B1187" s="2126"/>
      <c r="C1187" s="2149"/>
      <c r="D1187" s="3248"/>
      <c r="E1187" s="525"/>
      <c r="F1187" s="525"/>
      <c r="G1187" s="526"/>
      <c r="K1187" s="3280"/>
      <c r="P1187" s="3041"/>
      <c r="X1187" s="3280"/>
      <c r="AA1187" s="3041"/>
      <c r="AF1187" s="3041"/>
      <c r="AN1187" s="3280"/>
      <c r="AZ1187" s="3041"/>
      <c r="BD1187" s="3281"/>
      <c r="BH1187" s="3282"/>
      <c r="BJ1187" s="2589"/>
      <c r="BK1187" s="2126"/>
      <c r="BL1187" s="2126"/>
      <c r="BM1187" s="2126"/>
      <c r="BN1187" s="2126"/>
      <c r="BO1187" s="2126"/>
      <c r="BP1187" s="2126"/>
      <c r="BQ1187" s="2126"/>
      <c r="BR1187" s="2126"/>
      <c r="BS1187" s="2126"/>
    </row>
    <row r="1188" spans="1:71" s="3030" customFormat="1">
      <c r="A1188" s="2126"/>
      <c r="B1188" s="2126"/>
      <c r="C1188" s="2149"/>
      <c r="D1188" s="3248"/>
      <c r="E1188" s="525"/>
      <c r="F1188" s="525"/>
      <c r="G1188" s="526"/>
      <c r="K1188" s="3280"/>
      <c r="P1188" s="3041"/>
      <c r="X1188" s="3280"/>
      <c r="AA1188" s="3041"/>
      <c r="AF1188" s="3041"/>
      <c r="AN1188" s="3280"/>
      <c r="AZ1188" s="3041"/>
      <c r="BD1188" s="3281"/>
      <c r="BH1188" s="3282"/>
      <c r="BJ1188" s="2589"/>
      <c r="BK1188" s="2126"/>
      <c r="BL1188" s="2126"/>
      <c r="BM1188" s="2126"/>
      <c r="BN1188" s="2126"/>
      <c r="BO1188" s="2126"/>
      <c r="BP1188" s="2126"/>
      <c r="BQ1188" s="2126"/>
      <c r="BR1188" s="2126"/>
      <c r="BS1188" s="2126"/>
    </row>
    <row r="1189" spans="1:71" s="3030" customFormat="1">
      <c r="A1189" s="2126"/>
      <c r="B1189" s="2126"/>
      <c r="C1189" s="2149"/>
      <c r="D1189" s="3248"/>
      <c r="E1189" s="525"/>
      <c r="F1189" s="525"/>
      <c r="G1189" s="526"/>
      <c r="K1189" s="3280"/>
      <c r="P1189" s="3041"/>
      <c r="X1189" s="3280"/>
      <c r="AA1189" s="3041"/>
      <c r="AF1189" s="3041"/>
      <c r="AN1189" s="3280"/>
      <c r="AZ1189" s="3041"/>
      <c r="BD1189" s="3281"/>
      <c r="BH1189" s="3282"/>
      <c r="BJ1189" s="2589"/>
      <c r="BK1189" s="2126"/>
      <c r="BL1189" s="2126"/>
      <c r="BM1189" s="2126"/>
      <c r="BN1189" s="2126"/>
      <c r="BO1189" s="2126"/>
      <c r="BP1189" s="2126"/>
      <c r="BQ1189" s="2126"/>
      <c r="BR1189" s="2126"/>
      <c r="BS1189" s="2126"/>
    </row>
    <row r="1190" spans="1:71" s="3030" customFormat="1">
      <c r="A1190" s="2126"/>
      <c r="B1190" s="2126"/>
      <c r="C1190" s="2149"/>
      <c r="D1190" s="3248"/>
      <c r="E1190" s="525"/>
      <c r="F1190" s="525"/>
      <c r="G1190" s="526"/>
      <c r="K1190" s="3280"/>
      <c r="P1190" s="3041"/>
      <c r="X1190" s="3280"/>
      <c r="AA1190" s="3041"/>
      <c r="AF1190" s="3041"/>
      <c r="AN1190" s="3280"/>
      <c r="AZ1190" s="3041"/>
      <c r="BD1190" s="3281"/>
      <c r="BH1190" s="3282"/>
      <c r="BJ1190" s="2589"/>
      <c r="BK1190" s="2126"/>
      <c r="BL1190" s="2126"/>
      <c r="BM1190" s="2126"/>
      <c r="BN1190" s="2126"/>
      <c r="BO1190" s="2126"/>
      <c r="BP1190" s="2126"/>
      <c r="BQ1190" s="2126"/>
      <c r="BR1190" s="2126"/>
      <c r="BS1190" s="2126"/>
    </row>
    <row r="1191" spans="1:71" s="3030" customFormat="1">
      <c r="A1191" s="2126"/>
      <c r="B1191" s="2126"/>
      <c r="C1191" s="2149"/>
      <c r="D1191" s="3248"/>
      <c r="E1191" s="525"/>
      <c r="F1191" s="525"/>
      <c r="G1191" s="526"/>
      <c r="K1191" s="3280"/>
      <c r="P1191" s="3041"/>
      <c r="X1191" s="3280"/>
      <c r="AA1191" s="3041"/>
      <c r="AF1191" s="3041"/>
      <c r="AN1191" s="3280"/>
      <c r="AZ1191" s="3041"/>
      <c r="BD1191" s="3281"/>
      <c r="BH1191" s="3282"/>
      <c r="BJ1191" s="2589"/>
      <c r="BK1191" s="2126"/>
      <c r="BL1191" s="2126"/>
      <c r="BM1191" s="2126"/>
      <c r="BN1191" s="2126"/>
      <c r="BO1191" s="2126"/>
      <c r="BP1191" s="2126"/>
      <c r="BQ1191" s="2126"/>
      <c r="BR1191" s="2126"/>
      <c r="BS1191" s="2126"/>
    </row>
    <row r="1192" spans="1:71" s="3030" customFormat="1">
      <c r="A1192" s="2126"/>
      <c r="B1192" s="2126"/>
      <c r="C1192" s="2149"/>
      <c r="D1192" s="3248"/>
      <c r="E1192" s="525"/>
      <c r="F1192" s="525"/>
      <c r="G1192" s="526"/>
      <c r="K1192" s="3280"/>
      <c r="P1192" s="3041"/>
      <c r="X1192" s="3280"/>
      <c r="AA1192" s="3041"/>
      <c r="AF1192" s="3041"/>
      <c r="AN1192" s="3280"/>
      <c r="AZ1192" s="3041"/>
      <c r="BD1192" s="3281"/>
      <c r="BH1192" s="3282"/>
      <c r="BJ1192" s="2589"/>
      <c r="BK1192" s="2126"/>
      <c r="BL1192" s="2126"/>
      <c r="BM1192" s="2126"/>
      <c r="BN1192" s="2126"/>
      <c r="BO1192" s="2126"/>
      <c r="BP1192" s="2126"/>
      <c r="BQ1192" s="2126"/>
      <c r="BR1192" s="2126"/>
      <c r="BS1192" s="2126"/>
    </row>
    <row r="1193" spans="1:71" s="3030" customFormat="1">
      <c r="A1193" s="2126"/>
      <c r="B1193" s="2126"/>
      <c r="C1193" s="2149"/>
      <c r="D1193" s="3248"/>
      <c r="E1193" s="525"/>
      <c r="F1193" s="525"/>
      <c r="G1193" s="526"/>
      <c r="K1193" s="3280"/>
      <c r="P1193" s="3041"/>
      <c r="X1193" s="3280"/>
      <c r="AA1193" s="3041"/>
      <c r="AF1193" s="3041"/>
      <c r="AN1193" s="3280"/>
      <c r="AZ1193" s="3041"/>
      <c r="BD1193" s="3281"/>
      <c r="BH1193" s="3282"/>
      <c r="BJ1193" s="2589"/>
      <c r="BK1193" s="2126"/>
      <c r="BL1193" s="2126"/>
      <c r="BM1193" s="2126"/>
      <c r="BN1193" s="2126"/>
      <c r="BO1193" s="2126"/>
      <c r="BP1193" s="2126"/>
      <c r="BQ1193" s="2126"/>
      <c r="BR1193" s="2126"/>
      <c r="BS1193" s="2126"/>
    </row>
    <row r="1194" spans="1:71" s="3030" customFormat="1">
      <c r="A1194" s="2126"/>
      <c r="B1194" s="2126"/>
      <c r="C1194" s="2149"/>
      <c r="D1194" s="3248"/>
      <c r="E1194" s="525"/>
      <c r="F1194" s="525"/>
      <c r="G1194" s="526"/>
      <c r="K1194" s="3280"/>
      <c r="P1194" s="3041"/>
      <c r="X1194" s="3280"/>
      <c r="AA1194" s="3041"/>
      <c r="AF1194" s="3041"/>
      <c r="AN1194" s="3280"/>
      <c r="AZ1194" s="3041"/>
      <c r="BD1194" s="3281"/>
      <c r="BH1194" s="3282"/>
      <c r="BJ1194" s="2589"/>
      <c r="BK1194" s="2126"/>
      <c r="BL1194" s="2126"/>
      <c r="BM1194" s="2126"/>
      <c r="BN1194" s="2126"/>
      <c r="BO1194" s="2126"/>
      <c r="BP1194" s="2126"/>
      <c r="BQ1194" s="2126"/>
      <c r="BR1194" s="2126"/>
      <c r="BS1194" s="2126"/>
    </row>
    <row r="1195" spans="1:71" s="3030" customFormat="1">
      <c r="A1195" s="2126"/>
      <c r="B1195" s="2126"/>
      <c r="C1195" s="2149"/>
      <c r="D1195" s="3248"/>
      <c r="E1195" s="525"/>
      <c r="F1195" s="525"/>
      <c r="G1195" s="526"/>
      <c r="K1195" s="3280"/>
      <c r="P1195" s="3041"/>
      <c r="X1195" s="3280"/>
      <c r="AA1195" s="3041"/>
      <c r="AF1195" s="3041"/>
      <c r="AN1195" s="3280"/>
      <c r="AZ1195" s="3041"/>
      <c r="BD1195" s="3281"/>
      <c r="BH1195" s="3282"/>
      <c r="BJ1195" s="2589"/>
      <c r="BK1195" s="2126"/>
      <c r="BL1195" s="2126"/>
      <c r="BM1195" s="2126"/>
      <c r="BN1195" s="2126"/>
      <c r="BO1195" s="2126"/>
      <c r="BP1195" s="2126"/>
      <c r="BQ1195" s="2126"/>
      <c r="BR1195" s="2126"/>
      <c r="BS1195" s="2126"/>
    </row>
    <row r="1196" spans="1:71" s="3030" customFormat="1">
      <c r="A1196" s="2126"/>
      <c r="B1196" s="2126"/>
      <c r="C1196" s="2149"/>
      <c r="D1196" s="3248"/>
      <c r="E1196" s="525"/>
      <c r="F1196" s="525"/>
      <c r="G1196" s="526"/>
      <c r="K1196" s="3280"/>
      <c r="P1196" s="3041"/>
      <c r="X1196" s="3280"/>
      <c r="AA1196" s="3041"/>
      <c r="AF1196" s="3041"/>
      <c r="AN1196" s="3280"/>
      <c r="AZ1196" s="3041"/>
      <c r="BD1196" s="3281"/>
      <c r="BH1196" s="3282"/>
      <c r="BJ1196" s="2589"/>
      <c r="BK1196" s="2126"/>
      <c r="BL1196" s="2126"/>
      <c r="BM1196" s="2126"/>
      <c r="BN1196" s="2126"/>
      <c r="BO1196" s="2126"/>
      <c r="BP1196" s="2126"/>
      <c r="BQ1196" s="2126"/>
      <c r="BR1196" s="2126"/>
      <c r="BS1196" s="2126"/>
    </row>
    <row r="1197" spans="1:71" s="3030" customFormat="1">
      <c r="A1197" s="2126"/>
      <c r="B1197" s="2126"/>
      <c r="C1197" s="2149"/>
      <c r="D1197" s="3248"/>
      <c r="E1197" s="525"/>
      <c r="F1197" s="525"/>
      <c r="G1197" s="526"/>
      <c r="K1197" s="3280"/>
      <c r="P1197" s="3041"/>
      <c r="X1197" s="3280"/>
      <c r="AA1197" s="3041"/>
      <c r="AF1197" s="3041"/>
      <c r="AN1197" s="3280"/>
      <c r="AZ1197" s="3041"/>
      <c r="BD1197" s="3281"/>
      <c r="BH1197" s="3282"/>
      <c r="BJ1197" s="2589"/>
      <c r="BK1197" s="2126"/>
      <c r="BL1197" s="2126"/>
      <c r="BM1197" s="2126"/>
      <c r="BN1197" s="2126"/>
      <c r="BO1197" s="2126"/>
      <c r="BP1197" s="2126"/>
      <c r="BQ1197" s="2126"/>
      <c r="BR1197" s="2126"/>
      <c r="BS1197" s="2126"/>
    </row>
    <row r="1198" spans="1:71" s="3030" customFormat="1">
      <c r="A1198" s="2126"/>
      <c r="B1198" s="2126"/>
      <c r="C1198" s="2149"/>
      <c r="D1198" s="3248"/>
      <c r="E1198" s="525"/>
      <c r="F1198" s="525"/>
      <c r="G1198" s="526"/>
      <c r="K1198" s="3280"/>
      <c r="P1198" s="3041"/>
      <c r="X1198" s="3280"/>
      <c r="AA1198" s="3041"/>
      <c r="AF1198" s="3041"/>
      <c r="AN1198" s="3280"/>
      <c r="AZ1198" s="3041"/>
      <c r="BD1198" s="3281"/>
      <c r="BH1198" s="3282"/>
      <c r="BJ1198" s="2589"/>
      <c r="BK1198" s="2126"/>
      <c r="BL1198" s="2126"/>
      <c r="BM1198" s="2126"/>
      <c r="BN1198" s="2126"/>
      <c r="BO1198" s="2126"/>
      <c r="BP1198" s="2126"/>
      <c r="BQ1198" s="2126"/>
      <c r="BR1198" s="2126"/>
      <c r="BS1198" s="2126"/>
    </row>
    <row r="1199" spans="1:71" s="3030" customFormat="1">
      <c r="A1199" s="2126"/>
      <c r="B1199" s="2126"/>
      <c r="C1199" s="2149"/>
      <c r="D1199" s="3248"/>
      <c r="E1199" s="525"/>
      <c r="F1199" s="525"/>
      <c r="G1199" s="526"/>
      <c r="K1199" s="3280"/>
      <c r="P1199" s="3041"/>
      <c r="X1199" s="3280"/>
      <c r="AA1199" s="3041"/>
      <c r="AF1199" s="3041"/>
      <c r="AN1199" s="3280"/>
      <c r="AZ1199" s="3041"/>
      <c r="BD1199" s="3281"/>
      <c r="BH1199" s="3282"/>
      <c r="BJ1199" s="2589"/>
      <c r="BK1199" s="2126"/>
      <c r="BL1199" s="2126"/>
      <c r="BM1199" s="2126"/>
      <c r="BN1199" s="2126"/>
      <c r="BO1199" s="2126"/>
      <c r="BP1199" s="2126"/>
      <c r="BQ1199" s="2126"/>
      <c r="BR1199" s="2126"/>
      <c r="BS1199" s="2126"/>
    </row>
    <row r="1200" spans="1:71" s="3030" customFormat="1">
      <c r="A1200" s="2126"/>
      <c r="B1200" s="2126"/>
      <c r="C1200" s="2149"/>
      <c r="D1200" s="3248"/>
      <c r="E1200" s="525"/>
      <c r="F1200" s="525"/>
      <c r="G1200" s="526"/>
      <c r="K1200" s="3280"/>
      <c r="P1200" s="3041"/>
      <c r="X1200" s="3280"/>
      <c r="AA1200" s="3041"/>
      <c r="AF1200" s="3041"/>
      <c r="AN1200" s="3280"/>
      <c r="AZ1200" s="3041"/>
      <c r="BD1200" s="3281"/>
      <c r="BH1200" s="3282"/>
      <c r="BJ1200" s="2589"/>
      <c r="BK1200" s="2126"/>
      <c r="BL1200" s="2126"/>
      <c r="BM1200" s="2126"/>
      <c r="BN1200" s="2126"/>
      <c r="BO1200" s="2126"/>
      <c r="BP1200" s="2126"/>
      <c r="BQ1200" s="2126"/>
      <c r="BR1200" s="2126"/>
      <c r="BS1200" s="2126"/>
    </row>
    <row r="1201" spans="1:71" s="3030" customFormat="1">
      <c r="A1201" s="2126"/>
      <c r="B1201" s="2126"/>
      <c r="C1201" s="2149"/>
      <c r="D1201" s="3248"/>
      <c r="E1201" s="525"/>
      <c r="F1201" s="525"/>
      <c r="G1201" s="526"/>
      <c r="K1201" s="3280"/>
      <c r="P1201" s="3041"/>
      <c r="X1201" s="3280"/>
      <c r="AA1201" s="3041"/>
      <c r="AF1201" s="3041"/>
      <c r="AN1201" s="3280"/>
      <c r="AZ1201" s="3041"/>
      <c r="BD1201" s="3281"/>
      <c r="BH1201" s="3282"/>
      <c r="BJ1201" s="2589"/>
      <c r="BK1201" s="2126"/>
      <c r="BL1201" s="2126"/>
      <c r="BM1201" s="2126"/>
      <c r="BN1201" s="2126"/>
      <c r="BO1201" s="2126"/>
      <c r="BP1201" s="2126"/>
      <c r="BQ1201" s="2126"/>
      <c r="BR1201" s="2126"/>
      <c r="BS1201" s="2126"/>
    </row>
    <row r="1202" spans="1:71" s="3030" customFormat="1">
      <c r="A1202" s="2126"/>
      <c r="B1202" s="2126"/>
      <c r="C1202" s="2149"/>
      <c r="D1202" s="3248"/>
      <c r="E1202" s="525"/>
      <c r="F1202" s="525"/>
      <c r="G1202" s="526"/>
      <c r="K1202" s="3280"/>
      <c r="P1202" s="3041"/>
      <c r="X1202" s="3280"/>
      <c r="AA1202" s="3041"/>
      <c r="AF1202" s="3041"/>
      <c r="AN1202" s="3280"/>
      <c r="AZ1202" s="3041"/>
      <c r="BD1202" s="3281"/>
      <c r="BH1202" s="3282"/>
      <c r="BJ1202" s="2589"/>
      <c r="BK1202" s="2126"/>
      <c r="BL1202" s="2126"/>
      <c r="BM1202" s="2126"/>
      <c r="BN1202" s="2126"/>
      <c r="BO1202" s="2126"/>
      <c r="BP1202" s="2126"/>
      <c r="BQ1202" s="2126"/>
      <c r="BR1202" s="2126"/>
      <c r="BS1202" s="2126"/>
    </row>
    <row r="1203" spans="1:71" s="3030" customFormat="1">
      <c r="A1203" s="2126"/>
      <c r="B1203" s="2126"/>
      <c r="C1203" s="2149"/>
      <c r="D1203" s="3248"/>
      <c r="E1203" s="525"/>
      <c r="F1203" s="525"/>
      <c r="G1203" s="526"/>
      <c r="K1203" s="3280"/>
      <c r="P1203" s="3041"/>
      <c r="X1203" s="3280"/>
      <c r="AA1203" s="3041"/>
      <c r="AF1203" s="3041"/>
      <c r="AN1203" s="3280"/>
      <c r="AZ1203" s="3041"/>
      <c r="BD1203" s="3281"/>
      <c r="BH1203" s="3282"/>
      <c r="BJ1203" s="2589"/>
      <c r="BK1203" s="2126"/>
      <c r="BL1203" s="2126"/>
      <c r="BM1203" s="2126"/>
      <c r="BN1203" s="2126"/>
      <c r="BO1203" s="2126"/>
      <c r="BP1203" s="2126"/>
      <c r="BQ1203" s="2126"/>
      <c r="BR1203" s="2126"/>
      <c r="BS1203" s="2126"/>
    </row>
    <row r="1204" spans="1:71" s="3030" customFormat="1">
      <c r="A1204" s="2126"/>
      <c r="B1204" s="2126"/>
      <c r="C1204" s="2149"/>
      <c r="D1204" s="3248"/>
      <c r="E1204" s="525"/>
      <c r="F1204" s="525"/>
      <c r="G1204" s="526"/>
      <c r="K1204" s="3280"/>
      <c r="P1204" s="3041"/>
      <c r="X1204" s="3280"/>
      <c r="AA1204" s="3041"/>
      <c r="AF1204" s="3041"/>
      <c r="AN1204" s="3280"/>
      <c r="AZ1204" s="3041"/>
      <c r="BD1204" s="3281"/>
      <c r="BH1204" s="3282"/>
      <c r="BJ1204" s="2589"/>
      <c r="BK1204" s="2126"/>
      <c r="BL1204" s="2126"/>
      <c r="BM1204" s="2126"/>
      <c r="BN1204" s="2126"/>
      <c r="BO1204" s="2126"/>
      <c r="BP1204" s="2126"/>
      <c r="BQ1204" s="2126"/>
      <c r="BR1204" s="2126"/>
      <c r="BS1204" s="2126"/>
    </row>
    <row r="1205" spans="1:71" s="3030" customFormat="1">
      <c r="A1205" s="2126"/>
      <c r="B1205" s="2126"/>
      <c r="C1205" s="2149"/>
      <c r="D1205" s="3248"/>
      <c r="E1205" s="525"/>
      <c r="F1205" s="525"/>
      <c r="G1205" s="526"/>
      <c r="K1205" s="3280"/>
      <c r="P1205" s="3041"/>
      <c r="X1205" s="3280"/>
      <c r="AA1205" s="3041"/>
      <c r="AF1205" s="3041"/>
      <c r="AN1205" s="3280"/>
      <c r="AZ1205" s="3041"/>
      <c r="BD1205" s="3281"/>
      <c r="BH1205" s="3282"/>
      <c r="BJ1205" s="2589"/>
      <c r="BK1205" s="2126"/>
      <c r="BL1205" s="2126"/>
      <c r="BM1205" s="2126"/>
      <c r="BN1205" s="2126"/>
      <c r="BO1205" s="2126"/>
      <c r="BP1205" s="2126"/>
      <c r="BQ1205" s="2126"/>
      <c r="BR1205" s="2126"/>
      <c r="BS1205" s="2126"/>
    </row>
    <row r="1206" spans="1:71" s="3030" customFormat="1">
      <c r="A1206" s="2126"/>
      <c r="B1206" s="2126"/>
      <c r="C1206" s="2149"/>
      <c r="D1206" s="3248"/>
      <c r="E1206" s="525"/>
      <c r="F1206" s="525"/>
      <c r="G1206" s="526"/>
      <c r="K1206" s="3280"/>
      <c r="P1206" s="3041"/>
      <c r="X1206" s="3280"/>
      <c r="AA1206" s="3041"/>
      <c r="AF1206" s="3041"/>
      <c r="AN1206" s="3280"/>
      <c r="AZ1206" s="3041"/>
      <c r="BD1206" s="3281"/>
      <c r="BH1206" s="3282"/>
      <c r="BJ1206" s="2589"/>
      <c r="BK1206" s="2126"/>
      <c r="BL1206" s="2126"/>
      <c r="BM1206" s="2126"/>
      <c r="BN1206" s="2126"/>
      <c r="BO1206" s="2126"/>
      <c r="BP1206" s="2126"/>
      <c r="BQ1206" s="2126"/>
      <c r="BR1206" s="2126"/>
      <c r="BS1206" s="2126"/>
    </row>
    <row r="1207" spans="1:71" s="3030" customFormat="1">
      <c r="A1207" s="2126"/>
      <c r="B1207" s="2126"/>
      <c r="C1207" s="2149"/>
      <c r="D1207" s="3248"/>
      <c r="E1207" s="525"/>
      <c r="F1207" s="525"/>
      <c r="G1207" s="526"/>
      <c r="K1207" s="3280"/>
      <c r="P1207" s="3041"/>
      <c r="X1207" s="3280"/>
      <c r="AA1207" s="3041"/>
      <c r="AF1207" s="3041"/>
      <c r="AN1207" s="3280"/>
      <c r="AZ1207" s="3041"/>
      <c r="BD1207" s="3281"/>
      <c r="BH1207" s="3282"/>
      <c r="BJ1207" s="2589"/>
      <c r="BK1207" s="2126"/>
      <c r="BL1207" s="2126"/>
      <c r="BM1207" s="2126"/>
      <c r="BN1207" s="2126"/>
      <c r="BO1207" s="2126"/>
      <c r="BP1207" s="2126"/>
      <c r="BQ1207" s="2126"/>
      <c r="BR1207" s="2126"/>
      <c r="BS1207" s="2126"/>
    </row>
    <row r="1208" spans="1:71" s="3030" customFormat="1">
      <c r="A1208" s="2126"/>
      <c r="B1208" s="2126"/>
      <c r="C1208" s="2149"/>
      <c r="D1208" s="3248"/>
      <c r="E1208" s="525"/>
      <c r="F1208" s="525"/>
      <c r="G1208" s="526"/>
      <c r="K1208" s="3280"/>
      <c r="P1208" s="3041"/>
      <c r="X1208" s="3280"/>
      <c r="AA1208" s="3041"/>
      <c r="AF1208" s="3041"/>
      <c r="AN1208" s="3280"/>
      <c r="AZ1208" s="3041"/>
      <c r="BD1208" s="3281"/>
      <c r="BH1208" s="3282"/>
      <c r="BJ1208" s="2589"/>
      <c r="BK1208" s="2126"/>
      <c r="BL1208" s="2126"/>
      <c r="BM1208" s="2126"/>
      <c r="BN1208" s="2126"/>
      <c r="BO1208" s="2126"/>
      <c r="BP1208" s="2126"/>
      <c r="BQ1208" s="2126"/>
      <c r="BR1208" s="2126"/>
      <c r="BS1208" s="2126"/>
    </row>
    <row r="1209" spans="1:71" s="3030" customFormat="1">
      <c r="A1209" s="2126"/>
      <c r="B1209" s="2126"/>
      <c r="C1209" s="2149"/>
      <c r="D1209" s="3248"/>
      <c r="E1209" s="525"/>
      <c r="F1209" s="525"/>
      <c r="G1209" s="526"/>
      <c r="K1209" s="3280"/>
      <c r="P1209" s="3041"/>
      <c r="X1209" s="3280"/>
      <c r="AA1209" s="3041"/>
      <c r="AF1209" s="3041"/>
      <c r="AN1209" s="3280"/>
      <c r="AZ1209" s="3041"/>
      <c r="BD1209" s="3281"/>
      <c r="BH1209" s="3282"/>
      <c r="BJ1209" s="2589"/>
      <c r="BK1209" s="2126"/>
      <c r="BL1209" s="2126"/>
      <c r="BM1209" s="2126"/>
      <c r="BN1209" s="2126"/>
      <c r="BO1209" s="2126"/>
      <c r="BP1209" s="2126"/>
      <c r="BQ1209" s="2126"/>
      <c r="BR1209" s="2126"/>
      <c r="BS1209" s="2126"/>
    </row>
    <row r="1210" spans="1:71" s="3030" customFormat="1">
      <c r="A1210" s="2126"/>
      <c r="B1210" s="2126"/>
      <c r="C1210" s="2149"/>
      <c r="D1210" s="3248"/>
      <c r="E1210" s="525"/>
      <c r="F1210" s="525"/>
      <c r="G1210" s="526"/>
      <c r="K1210" s="3280"/>
      <c r="P1210" s="3041"/>
      <c r="X1210" s="3280"/>
      <c r="AA1210" s="3041"/>
      <c r="AF1210" s="3041"/>
      <c r="AN1210" s="3280"/>
      <c r="AZ1210" s="3041"/>
      <c r="BD1210" s="3281"/>
      <c r="BH1210" s="3282"/>
      <c r="BJ1210" s="2589"/>
      <c r="BK1210" s="2126"/>
      <c r="BL1210" s="2126"/>
      <c r="BM1210" s="2126"/>
      <c r="BN1210" s="2126"/>
      <c r="BO1210" s="2126"/>
      <c r="BP1210" s="2126"/>
      <c r="BQ1210" s="2126"/>
      <c r="BR1210" s="2126"/>
      <c r="BS1210" s="2126"/>
    </row>
    <row r="1211" spans="1:71" s="3030" customFormat="1">
      <c r="A1211" s="2126"/>
      <c r="B1211" s="2126"/>
      <c r="C1211" s="2149"/>
      <c r="D1211" s="3248"/>
      <c r="E1211" s="525"/>
      <c r="F1211" s="525"/>
      <c r="G1211" s="526"/>
      <c r="K1211" s="3280"/>
      <c r="P1211" s="3041"/>
      <c r="X1211" s="3280"/>
      <c r="AA1211" s="3041"/>
      <c r="AF1211" s="3041"/>
      <c r="AN1211" s="3280"/>
      <c r="AZ1211" s="3041"/>
      <c r="BD1211" s="3281"/>
      <c r="BH1211" s="3282"/>
      <c r="BJ1211" s="2589"/>
      <c r="BK1211" s="2126"/>
      <c r="BL1211" s="2126"/>
      <c r="BM1211" s="2126"/>
      <c r="BN1211" s="2126"/>
      <c r="BO1211" s="2126"/>
      <c r="BP1211" s="2126"/>
      <c r="BQ1211" s="2126"/>
      <c r="BR1211" s="2126"/>
      <c r="BS1211" s="2126"/>
    </row>
    <row r="1212" spans="1:71" s="3030" customFormat="1">
      <c r="A1212" s="2126"/>
      <c r="B1212" s="2126"/>
      <c r="C1212" s="2149"/>
      <c r="D1212" s="3248"/>
      <c r="E1212" s="525"/>
      <c r="F1212" s="525"/>
      <c r="G1212" s="526"/>
      <c r="K1212" s="3280"/>
      <c r="P1212" s="3041"/>
      <c r="X1212" s="3280"/>
      <c r="AA1212" s="3041"/>
      <c r="AF1212" s="3041"/>
      <c r="AN1212" s="3280"/>
      <c r="AZ1212" s="3041"/>
      <c r="BD1212" s="3281"/>
      <c r="BH1212" s="3282"/>
      <c r="BJ1212" s="2589"/>
      <c r="BK1212" s="2126"/>
      <c r="BL1212" s="2126"/>
      <c r="BM1212" s="2126"/>
      <c r="BN1212" s="2126"/>
      <c r="BO1212" s="2126"/>
      <c r="BP1212" s="2126"/>
      <c r="BQ1212" s="2126"/>
      <c r="BR1212" s="2126"/>
      <c r="BS1212" s="2126"/>
    </row>
    <row r="1213" spans="1:71" s="3030" customFormat="1">
      <c r="A1213" s="2126"/>
      <c r="B1213" s="2126"/>
      <c r="C1213" s="2149"/>
      <c r="D1213" s="3248"/>
      <c r="E1213" s="525"/>
      <c r="F1213" s="525"/>
      <c r="G1213" s="526"/>
      <c r="K1213" s="3280"/>
      <c r="P1213" s="3041"/>
      <c r="X1213" s="3280"/>
      <c r="AA1213" s="3041"/>
      <c r="AF1213" s="3041"/>
      <c r="AN1213" s="3280"/>
      <c r="AZ1213" s="3041"/>
      <c r="BD1213" s="3281"/>
      <c r="BH1213" s="3282"/>
      <c r="BJ1213" s="2589"/>
      <c r="BK1213" s="2126"/>
      <c r="BL1213" s="2126"/>
      <c r="BM1213" s="2126"/>
      <c r="BN1213" s="2126"/>
      <c r="BO1213" s="2126"/>
      <c r="BP1213" s="2126"/>
      <c r="BQ1213" s="2126"/>
      <c r="BR1213" s="2126"/>
      <c r="BS1213" s="2126"/>
    </row>
    <row r="1214" spans="1:71" s="3030" customFormat="1">
      <c r="A1214" s="2126"/>
      <c r="B1214" s="2126"/>
      <c r="C1214" s="2149"/>
      <c r="D1214" s="3248"/>
      <c r="E1214" s="525"/>
      <c r="F1214" s="525"/>
      <c r="G1214" s="526"/>
      <c r="K1214" s="3280"/>
      <c r="P1214" s="3041"/>
      <c r="X1214" s="3280"/>
      <c r="AA1214" s="3041"/>
      <c r="AF1214" s="3041"/>
      <c r="AN1214" s="3280"/>
      <c r="AZ1214" s="3041"/>
      <c r="BD1214" s="3281"/>
      <c r="BH1214" s="3282"/>
      <c r="BJ1214" s="2589"/>
      <c r="BK1214" s="2126"/>
      <c r="BL1214" s="2126"/>
      <c r="BM1214" s="2126"/>
      <c r="BN1214" s="2126"/>
      <c r="BO1214" s="2126"/>
      <c r="BP1214" s="2126"/>
      <c r="BQ1214" s="2126"/>
      <c r="BR1214" s="2126"/>
      <c r="BS1214" s="2126"/>
    </row>
    <row r="1215" spans="1:71" s="3030" customFormat="1">
      <c r="A1215" s="2126"/>
      <c r="B1215" s="2126"/>
      <c r="C1215" s="2149"/>
      <c r="D1215" s="3248"/>
      <c r="E1215" s="525"/>
      <c r="F1215" s="525"/>
      <c r="G1215" s="526"/>
      <c r="K1215" s="3280"/>
      <c r="P1215" s="3041"/>
      <c r="X1215" s="3280"/>
      <c r="AA1215" s="3041"/>
      <c r="AF1215" s="3041"/>
      <c r="AN1215" s="3280"/>
      <c r="AZ1215" s="3041"/>
      <c r="BD1215" s="3281"/>
      <c r="BH1215" s="3282"/>
      <c r="BJ1215" s="2589"/>
      <c r="BK1215" s="2126"/>
      <c r="BL1215" s="2126"/>
      <c r="BM1215" s="2126"/>
      <c r="BN1215" s="2126"/>
      <c r="BO1215" s="2126"/>
      <c r="BP1215" s="2126"/>
      <c r="BQ1215" s="2126"/>
      <c r="BR1215" s="2126"/>
      <c r="BS1215" s="2126"/>
    </row>
    <row r="1216" spans="1:71" s="3030" customFormat="1">
      <c r="A1216" s="2126"/>
      <c r="B1216" s="2126"/>
      <c r="C1216" s="2149"/>
      <c r="D1216" s="3248"/>
      <c r="E1216" s="525"/>
      <c r="F1216" s="525"/>
      <c r="G1216" s="526"/>
      <c r="K1216" s="3280"/>
      <c r="P1216" s="3041"/>
      <c r="X1216" s="3280"/>
      <c r="AA1216" s="3041"/>
      <c r="AF1216" s="3041"/>
      <c r="AN1216" s="3280"/>
      <c r="AZ1216" s="3041"/>
      <c r="BD1216" s="3281"/>
      <c r="BH1216" s="3282"/>
      <c r="BJ1216" s="2589"/>
      <c r="BK1216" s="2126"/>
      <c r="BL1216" s="2126"/>
      <c r="BM1216" s="2126"/>
      <c r="BN1216" s="2126"/>
      <c r="BO1216" s="2126"/>
      <c r="BP1216" s="2126"/>
      <c r="BQ1216" s="2126"/>
      <c r="BR1216" s="2126"/>
      <c r="BS1216" s="2126"/>
    </row>
    <row r="1217" spans="1:71" s="3030" customFormat="1">
      <c r="A1217" s="2126"/>
      <c r="B1217" s="2126"/>
      <c r="C1217" s="2149"/>
      <c r="D1217" s="3248"/>
      <c r="E1217" s="525"/>
      <c r="F1217" s="525"/>
      <c r="G1217" s="526"/>
      <c r="K1217" s="3280"/>
      <c r="P1217" s="3041"/>
      <c r="X1217" s="3280"/>
      <c r="AA1217" s="3041"/>
      <c r="AF1217" s="3041"/>
      <c r="AN1217" s="3280"/>
      <c r="AZ1217" s="3041"/>
      <c r="BD1217" s="3281"/>
      <c r="BH1217" s="3282"/>
      <c r="BJ1217" s="2589"/>
      <c r="BK1217" s="2126"/>
      <c r="BL1217" s="2126"/>
      <c r="BM1217" s="2126"/>
      <c r="BN1217" s="2126"/>
      <c r="BO1217" s="2126"/>
      <c r="BP1217" s="2126"/>
      <c r="BQ1217" s="2126"/>
      <c r="BR1217" s="2126"/>
      <c r="BS1217" s="2126"/>
    </row>
    <row r="1218" spans="1:71" s="3030" customFormat="1">
      <c r="A1218" s="2126"/>
      <c r="B1218" s="2126"/>
      <c r="C1218" s="2149"/>
      <c r="D1218" s="3248"/>
      <c r="E1218" s="525"/>
      <c r="F1218" s="525"/>
      <c r="G1218" s="526"/>
      <c r="K1218" s="3280"/>
      <c r="P1218" s="3041"/>
      <c r="X1218" s="3280"/>
      <c r="AA1218" s="3041"/>
      <c r="AF1218" s="3041"/>
      <c r="AN1218" s="3280"/>
      <c r="AZ1218" s="3041"/>
      <c r="BD1218" s="3281"/>
      <c r="BH1218" s="3282"/>
      <c r="BJ1218" s="2589"/>
      <c r="BK1218" s="2126"/>
      <c r="BL1218" s="2126"/>
      <c r="BM1218" s="2126"/>
      <c r="BN1218" s="2126"/>
      <c r="BO1218" s="2126"/>
      <c r="BP1218" s="2126"/>
      <c r="BQ1218" s="2126"/>
      <c r="BR1218" s="2126"/>
      <c r="BS1218" s="2126"/>
    </row>
    <row r="1219" spans="1:71" s="3030" customFormat="1">
      <c r="A1219" s="2126"/>
      <c r="B1219" s="2126"/>
      <c r="C1219" s="2149"/>
      <c r="D1219" s="3248"/>
      <c r="E1219" s="525"/>
      <c r="F1219" s="525"/>
      <c r="G1219" s="526"/>
      <c r="K1219" s="3280"/>
      <c r="P1219" s="3041"/>
      <c r="X1219" s="3280"/>
      <c r="AA1219" s="3041"/>
      <c r="AF1219" s="3041"/>
      <c r="AN1219" s="3280"/>
      <c r="AZ1219" s="3041"/>
      <c r="BD1219" s="3281"/>
      <c r="BH1219" s="3282"/>
      <c r="BJ1219" s="2589"/>
      <c r="BK1219" s="2126"/>
      <c r="BL1219" s="2126"/>
      <c r="BM1219" s="2126"/>
      <c r="BN1219" s="2126"/>
      <c r="BO1219" s="2126"/>
      <c r="BP1219" s="2126"/>
      <c r="BQ1219" s="2126"/>
      <c r="BR1219" s="2126"/>
      <c r="BS1219" s="2126"/>
    </row>
    <row r="1220" spans="1:71" s="3030" customFormat="1">
      <c r="A1220" s="2126"/>
      <c r="B1220" s="2126"/>
      <c r="C1220" s="2149"/>
      <c r="D1220" s="3248"/>
      <c r="E1220" s="525"/>
      <c r="F1220" s="525"/>
      <c r="G1220" s="526"/>
      <c r="K1220" s="3280"/>
      <c r="P1220" s="3041"/>
      <c r="X1220" s="3280"/>
      <c r="AA1220" s="3041"/>
      <c r="AF1220" s="3041"/>
      <c r="AN1220" s="3280"/>
      <c r="AZ1220" s="3041"/>
      <c r="BD1220" s="3281"/>
      <c r="BH1220" s="3282"/>
      <c r="BJ1220" s="2589"/>
      <c r="BK1220" s="2126"/>
      <c r="BL1220" s="2126"/>
      <c r="BM1220" s="2126"/>
      <c r="BN1220" s="2126"/>
      <c r="BO1220" s="2126"/>
      <c r="BP1220" s="2126"/>
      <c r="BQ1220" s="2126"/>
      <c r="BR1220" s="2126"/>
      <c r="BS1220" s="2126"/>
    </row>
    <row r="1221" spans="1:71" s="3030" customFormat="1">
      <c r="A1221" s="2126"/>
      <c r="B1221" s="2126"/>
      <c r="C1221" s="2149"/>
      <c r="D1221" s="3248"/>
      <c r="E1221" s="525"/>
      <c r="F1221" s="525"/>
      <c r="G1221" s="526"/>
      <c r="K1221" s="3280"/>
      <c r="P1221" s="3041"/>
      <c r="X1221" s="3280"/>
      <c r="AA1221" s="3041"/>
      <c r="AF1221" s="3041"/>
      <c r="AN1221" s="3280"/>
      <c r="AZ1221" s="3041"/>
      <c r="BD1221" s="3281"/>
      <c r="BH1221" s="3282"/>
      <c r="BJ1221" s="2589"/>
      <c r="BK1221" s="2126"/>
      <c r="BL1221" s="2126"/>
      <c r="BM1221" s="2126"/>
      <c r="BN1221" s="2126"/>
      <c r="BO1221" s="2126"/>
      <c r="BP1221" s="2126"/>
      <c r="BQ1221" s="2126"/>
      <c r="BR1221" s="2126"/>
      <c r="BS1221" s="2126"/>
    </row>
    <row r="1222" spans="1:71" s="3030" customFormat="1">
      <c r="A1222" s="2126"/>
      <c r="B1222" s="2126"/>
      <c r="C1222" s="2149"/>
      <c r="D1222" s="3248"/>
      <c r="E1222" s="525"/>
      <c r="F1222" s="525"/>
      <c r="G1222" s="526"/>
      <c r="K1222" s="3280"/>
      <c r="P1222" s="3041"/>
      <c r="X1222" s="3280"/>
      <c r="AA1222" s="3041"/>
      <c r="AF1222" s="3041"/>
      <c r="AN1222" s="3280"/>
      <c r="AZ1222" s="3041"/>
      <c r="BD1222" s="3281"/>
      <c r="BH1222" s="3282"/>
      <c r="BJ1222" s="2589"/>
      <c r="BK1222" s="2126"/>
      <c r="BL1222" s="2126"/>
      <c r="BM1222" s="2126"/>
      <c r="BN1222" s="2126"/>
      <c r="BO1222" s="2126"/>
      <c r="BP1222" s="2126"/>
      <c r="BQ1222" s="2126"/>
      <c r="BR1222" s="2126"/>
      <c r="BS1222" s="2126"/>
    </row>
    <row r="1223" spans="1:71" s="3030" customFormat="1">
      <c r="A1223" s="2126"/>
      <c r="B1223" s="2126"/>
      <c r="C1223" s="2149"/>
      <c r="D1223" s="3248"/>
      <c r="E1223" s="525"/>
      <c r="F1223" s="525"/>
      <c r="G1223" s="526"/>
      <c r="K1223" s="3280"/>
      <c r="P1223" s="3041"/>
      <c r="X1223" s="3280"/>
      <c r="AA1223" s="3041"/>
      <c r="AF1223" s="3041"/>
      <c r="AN1223" s="3280"/>
      <c r="AZ1223" s="3041"/>
      <c r="BD1223" s="3281"/>
      <c r="BH1223" s="3282"/>
      <c r="BJ1223" s="2589"/>
      <c r="BK1223" s="2126"/>
      <c r="BL1223" s="2126"/>
      <c r="BM1223" s="2126"/>
      <c r="BN1223" s="2126"/>
      <c r="BO1223" s="2126"/>
      <c r="BP1223" s="2126"/>
      <c r="BQ1223" s="2126"/>
      <c r="BR1223" s="2126"/>
      <c r="BS1223" s="2126"/>
    </row>
    <row r="1224" spans="1:71" s="3030" customFormat="1">
      <c r="A1224" s="2126"/>
      <c r="B1224" s="2126"/>
      <c r="C1224" s="2149"/>
      <c r="D1224" s="3248"/>
      <c r="E1224" s="525"/>
      <c r="F1224" s="525"/>
      <c r="G1224" s="526"/>
      <c r="K1224" s="3280"/>
      <c r="P1224" s="3041"/>
      <c r="X1224" s="3280"/>
      <c r="AA1224" s="3041"/>
      <c r="AF1224" s="3041"/>
      <c r="AN1224" s="3280"/>
      <c r="AZ1224" s="3041"/>
      <c r="BD1224" s="3281"/>
      <c r="BH1224" s="3282"/>
      <c r="BJ1224" s="2589"/>
      <c r="BK1224" s="2126"/>
      <c r="BL1224" s="2126"/>
      <c r="BM1224" s="2126"/>
      <c r="BN1224" s="2126"/>
      <c r="BO1224" s="2126"/>
      <c r="BP1224" s="2126"/>
      <c r="BQ1224" s="2126"/>
      <c r="BR1224" s="2126"/>
      <c r="BS1224" s="2126"/>
    </row>
    <row r="1225" spans="1:71" s="3030" customFormat="1">
      <c r="A1225" s="2126"/>
      <c r="B1225" s="2126"/>
      <c r="C1225" s="2149"/>
      <c r="D1225" s="3248"/>
      <c r="E1225" s="525"/>
      <c r="F1225" s="525"/>
      <c r="G1225" s="526"/>
      <c r="K1225" s="3280"/>
      <c r="P1225" s="3041"/>
      <c r="X1225" s="3280"/>
      <c r="AA1225" s="3041"/>
      <c r="AF1225" s="3041"/>
      <c r="AN1225" s="3280"/>
      <c r="AZ1225" s="3041"/>
      <c r="BD1225" s="3281"/>
      <c r="BH1225" s="3282"/>
      <c r="BJ1225" s="2589"/>
      <c r="BK1225" s="2126"/>
      <c r="BL1225" s="2126"/>
      <c r="BM1225" s="2126"/>
      <c r="BN1225" s="2126"/>
      <c r="BO1225" s="2126"/>
      <c r="BP1225" s="2126"/>
      <c r="BQ1225" s="2126"/>
      <c r="BR1225" s="2126"/>
      <c r="BS1225" s="2126"/>
    </row>
    <row r="1226" spans="1:71" s="3030" customFormat="1">
      <c r="A1226" s="2126"/>
      <c r="B1226" s="2126"/>
      <c r="C1226" s="2149"/>
      <c r="D1226" s="3248"/>
      <c r="E1226" s="525"/>
      <c r="F1226" s="525"/>
      <c r="G1226" s="526"/>
      <c r="K1226" s="3280"/>
      <c r="P1226" s="3041"/>
      <c r="X1226" s="3280"/>
      <c r="AA1226" s="3041"/>
      <c r="AF1226" s="3041"/>
      <c r="AN1226" s="3280"/>
      <c r="AZ1226" s="3041"/>
      <c r="BD1226" s="3281"/>
      <c r="BH1226" s="3282"/>
      <c r="BJ1226" s="2589"/>
      <c r="BK1226" s="2126"/>
      <c r="BL1226" s="2126"/>
      <c r="BM1226" s="2126"/>
      <c r="BN1226" s="2126"/>
      <c r="BO1226" s="2126"/>
      <c r="BP1226" s="2126"/>
      <c r="BQ1226" s="2126"/>
      <c r="BR1226" s="2126"/>
      <c r="BS1226" s="2126"/>
    </row>
    <row r="1227" spans="1:71" s="3030" customFormat="1">
      <c r="A1227" s="2126"/>
      <c r="B1227" s="2126"/>
      <c r="C1227" s="2149"/>
      <c r="D1227" s="3248"/>
      <c r="E1227" s="525"/>
      <c r="F1227" s="525"/>
      <c r="G1227" s="526"/>
      <c r="K1227" s="3280"/>
      <c r="P1227" s="3041"/>
      <c r="X1227" s="3280"/>
      <c r="AA1227" s="3041"/>
      <c r="AF1227" s="3041"/>
      <c r="AN1227" s="3280"/>
      <c r="AZ1227" s="3041"/>
      <c r="BD1227" s="3281"/>
      <c r="BH1227" s="3282"/>
      <c r="BJ1227" s="2589"/>
      <c r="BK1227" s="2126"/>
      <c r="BL1227" s="2126"/>
      <c r="BM1227" s="2126"/>
      <c r="BN1227" s="2126"/>
      <c r="BO1227" s="2126"/>
      <c r="BP1227" s="2126"/>
      <c r="BQ1227" s="2126"/>
      <c r="BR1227" s="2126"/>
      <c r="BS1227" s="2126"/>
    </row>
    <row r="1228" spans="1:71" s="3030" customFormat="1">
      <c r="A1228" s="2126"/>
      <c r="B1228" s="2126"/>
      <c r="C1228" s="2149"/>
      <c r="D1228" s="3248"/>
      <c r="E1228" s="525"/>
      <c r="F1228" s="525"/>
      <c r="G1228" s="526"/>
      <c r="K1228" s="3280"/>
      <c r="P1228" s="3041"/>
      <c r="X1228" s="3280"/>
      <c r="AA1228" s="3041"/>
      <c r="AF1228" s="3041"/>
      <c r="AN1228" s="3280"/>
      <c r="AZ1228" s="3041"/>
      <c r="BD1228" s="3281"/>
      <c r="BH1228" s="3282"/>
      <c r="BJ1228" s="2589"/>
      <c r="BK1228" s="2126"/>
      <c r="BL1228" s="2126"/>
      <c r="BM1228" s="2126"/>
      <c r="BN1228" s="2126"/>
      <c r="BO1228" s="2126"/>
      <c r="BP1228" s="2126"/>
      <c r="BQ1228" s="2126"/>
      <c r="BR1228" s="2126"/>
      <c r="BS1228" s="2126"/>
    </row>
    <row r="1229" spans="1:71" s="3030" customFormat="1">
      <c r="A1229" s="2126"/>
      <c r="B1229" s="2126"/>
      <c r="C1229" s="2149"/>
      <c r="D1229" s="3248"/>
      <c r="E1229" s="525"/>
      <c r="F1229" s="525"/>
      <c r="G1229" s="526"/>
      <c r="K1229" s="3280"/>
      <c r="P1229" s="3041"/>
      <c r="X1229" s="3280"/>
      <c r="AA1229" s="3041"/>
      <c r="AF1229" s="3041"/>
      <c r="AN1229" s="3280"/>
      <c r="AZ1229" s="3041"/>
      <c r="BD1229" s="3281"/>
      <c r="BH1229" s="3282"/>
      <c r="BJ1229" s="2589"/>
      <c r="BK1229" s="2126"/>
      <c r="BL1229" s="2126"/>
      <c r="BM1229" s="2126"/>
      <c r="BN1229" s="2126"/>
      <c r="BO1229" s="2126"/>
      <c r="BP1229" s="2126"/>
      <c r="BQ1229" s="2126"/>
      <c r="BR1229" s="2126"/>
      <c r="BS1229" s="2126"/>
    </row>
    <row r="1230" spans="1:71" s="3030" customFormat="1">
      <c r="A1230" s="2126"/>
      <c r="B1230" s="2126"/>
      <c r="C1230" s="2149"/>
      <c r="D1230" s="3248"/>
      <c r="E1230" s="525"/>
      <c r="F1230" s="525"/>
      <c r="G1230" s="526"/>
      <c r="K1230" s="3280"/>
      <c r="P1230" s="3041"/>
      <c r="X1230" s="3280"/>
      <c r="AA1230" s="3041"/>
      <c r="AF1230" s="3041"/>
      <c r="AN1230" s="3280"/>
      <c r="AZ1230" s="3041"/>
      <c r="BD1230" s="3281"/>
      <c r="BH1230" s="3282"/>
      <c r="BJ1230" s="2589"/>
      <c r="BK1230" s="2126"/>
      <c r="BL1230" s="2126"/>
      <c r="BM1230" s="2126"/>
      <c r="BN1230" s="2126"/>
      <c r="BO1230" s="2126"/>
      <c r="BP1230" s="2126"/>
      <c r="BQ1230" s="2126"/>
      <c r="BR1230" s="2126"/>
      <c r="BS1230" s="2126"/>
    </row>
    <row r="1231" spans="1:71" s="3030" customFormat="1">
      <c r="A1231" s="2126"/>
      <c r="B1231" s="2126"/>
      <c r="C1231" s="2149"/>
      <c r="D1231" s="3248"/>
      <c r="E1231" s="525"/>
      <c r="F1231" s="525"/>
      <c r="G1231" s="526"/>
      <c r="K1231" s="3280"/>
      <c r="P1231" s="3041"/>
      <c r="X1231" s="3280"/>
      <c r="AA1231" s="3041"/>
      <c r="AF1231" s="3041"/>
      <c r="AN1231" s="3280"/>
      <c r="AZ1231" s="3041"/>
      <c r="BD1231" s="3281"/>
      <c r="BH1231" s="3282"/>
      <c r="BJ1231" s="2589"/>
      <c r="BK1231" s="2126"/>
      <c r="BL1231" s="2126"/>
      <c r="BM1231" s="2126"/>
      <c r="BN1231" s="2126"/>
      <c r="BO1231" s="2126"/>
      <c r="BP1231" s="2126"/>
      <c r="BQ1231" s="2126"/>
      <c r="BR1231" s="2126"/>
      <c r="BS1231" s="2126"/>
    </row>
    <row r="1232" spans="1:71" s="3030" customFormat="1">
      <c r="A1232" s="2126"/>
      <c r="B1232" s="2126"/>
      <c r="C1232" s="2149"/>
      <c r="D1232" s="3248"/>
      <c r="E1232" s="525"/>
      <c r="F1232" s="525"/>
      <c r="G1232" s="526"/>
      <c r="K1232" s="3280"/>
      <c r="P1232" s="3041"/>
      <c r="X1232" s="3280"/>
      <c r="AA1232" s="3041"/>
      <c r="AF1232" s="3041"/>
      <c r="AN1232" s="3280"/>
      <c r="AZ1232" s="3041"/>
      <c r="BD1232" s="3281"/>
      <c r="BH1232" s="3282"/>
      <c r="BJ1232" s="2589"/>
      <c r="BK1232" s="2126"/>
      <c r="BL1232" s="2126"/>
      <c r="BM1232" s="2126"/>
      <c r="BN1232" s="2126"/>
      <c r="BO1232" s="2126"/>
      <c r="BP1232" s="2126"/>
      <c r="BQ1232" s="2126"/>
      <c r="BR1232" s="2126"/>
      <c r="BS1232" s="2126"/>
    </row>
    <row r="1233" spans="1:71" s="3030" customFormat="1">
      <c r="A1233" s="2126"/>
      <c r="B1233" s="2126"/>
      <c r="C1233" s="2149"/>
      <c r="D1233" s="3248"/>
      <c r="E1233" s="525"/>
      <c r="F1233" s="525"/>
      <c r="G1233" s="526"/>
      <c r="K1233" s="3280"/>
      <c r="P1233" s="3041"/>
      <c r="X1233" s="3280"/>
      <c r="AA1233" s="3041"/>
      <c r="AF1233" s="3041"/>
      <c r="AN1233" s="3280"/>
      <c r="AZ1233" s="3041"/>
      <c r="BD1233" s="3281"/>
      <c r="BH1233" s="3282"/>
      <c r="BJ1233" s="2589"/>
      <c r="BK1233" s="2126"/>
      <c r="BL1233" s="2126"/>
      <c r="BM1233" s="2126"/>
      <c r="BN1233" s="2126"/>
      <c r="BO1233" s="2126"/>
      <c r="BP1233" s="2126"/>
      <c r="BQ1233" s="2126"/>
      <c r="BR1233" s="2126"/>
      <c r="BS1233" s="2126"/>
    </row>
    <row r="1234" spans="1:71" s="3030" customFormat="1">
      <c r="A1234" s="2126"/>
      <c r="B1234" s="2126"/>
      <c r="C1234" s="2149"/>
      <c r="D1234" s="3248"/>
      <c r="E1234" s="525"/>
      <c r="F1234" s="525"/>
      <c r="G1234" s="526"/>
      <c r="K1234" s="3280"/>
      <c r="P1234" s="3041"/>
      <c r="X1234" s="3280"/>
      <c r="AA1234" s="3041"/>
      <c r="AF1234" s="3041"/>
      <c r="AN1234" s="3280"/>
      <c r="AZ1234" s="3041"/>
      <c r="BD1234" s="3281"/>
      <c r="BH1234" s="3282"/>
      <c r="BJ1234" s="2589"/>
      <c r="BK1234" s="2126"/>
      <c r="BL1234" s="2126"/>
      <c r="BM1234" s="2126"/>
      <c r="BN1234" s="2126"/>
      <c r="BO1234" s="2126"/>
      <c r="BP1234" s="2126"/>
      <c r="BQ1234" s="2126"/>
      <c r="BR1234" s="2126"/>
      <c r="BS1234" s="2126"/>
    </row>
    <row r="1235" spans="1:71" s="3030" customFormat="1">
      <c r="A1235" s="2126"/>
      <c r="B1235" s="2126"/>
      <c r="C1235" s="2149"/>
      <c r="D1235" s="3248"/>
      <c r="E1235" s="525"/>
      <c r="F1235" s="525"/>
      <c r="G1235" s="526"/>
      <c r="K1235" s="3280"/>
      <c r="P1235" s="3041"/>
      <c r="X1235" s="3280"/>
      <c r="AA1235" s="3041"/>
      <c r="AF1235" s="3041"/>
      <c r="AN1235" s="3280"/>
      <c r="AZ1235" s="3041"/>
      <c r="BD1235" s="3281"/>
      <c r="BH1235" s="3282"/>
      <c r="BJ1235" s="2589"/>
      <c r="BK1235" s="2126"/>
      <c r="BL1235" s="2126"/>
      <c r="BM1235" s="2126"/>
      <c r="BN1235" s="2126"/>
      <c r="BO1235" s="2126"/>
      <c r="BP1235" s="2126"/>
      <c r="BQ1235" s="2126"/>
      <c r="BR1235" s="2126"/>
      <c r="BS1235" s="2126"/>
    </row>
    <row r="1236" spans="1:71" s="3030" customFormat="1">
      <c r="A1236" s="2126"/>
      <c r="B1236" s="2126"/>
      <c r="C1236" s="2149"/>
      <c r="D1236" s="3248"/>
      <c r="E1236" s="525"/>
      <c r="F1236" s="525"/>
      <c r="G1236" s="526"/>
      <c r="K1236" s="3280"/>
      <c r="P1236" s="3041"/>
      <c r="X1236" s="3280"/>
      <c r="AA1236" s="3041"/>
      <c r="AF1236" s="3041"/>
      <c r="AN1236" s="3280"/>
      <c r="AZ1236" s="3041"/>
      <c r="BD1236" s="3281"/>
      <c r="BH1236" s="3282"/>
      <c r="BJ1236" s="2589"/>
      <c r="BK1236" s="2126"/>
      <c r="BL1236" s="2126"/>
      <c r="BM1236" s="2126"/>
      <c r="BN1236" s="2126"/>
      <c r="BO1236" s="2126"/>
      <c r="BP1236" s="2126"/>
      <c r="BQ1236" s="2126"/>
      <c r="BR1236" s="2126"/>
      <c r="BS1236" s="2126"/>
    </row>
    <row r="1237" spans="1:71" s="3030" customFormat="1">
      <c r="A1237" s="2126"/>
      <c r="B1237" s="2126"/>
      <c r="C1237" s="2149"/>
      <c r="D1237" s="3248"/>
      <c r="E1237" s="525"/>
      <c r="F1237" s="525"/>
      <c r="G1237" s="526"/>
      <c r="K1237" s="3280"/>
      <c r="P1237" s="3041"/>
      <c r="X1237" s="3280"/>
      <c r="AA1237" s="3041"/>
      <c r="AF1237" s="3041"/>
      <c r="AN1237" s="3280"/>
      <c r="AZ1237" s="3041"/>
      <c r="BD1237" s="3281"/>
      <c r="BH1237" s="3282"/>
      <c r="BJ1237" s="2589"/>
      <c r="BK1237" s="2126"/>
      <c r="BL1237" s="2126"/>
      <c r="BM1237" s="2126"/>
      <c r="BN1237" s="2126"/>
      <c r="BO1237" s="2126"/>
      <c r="BP1237" s="2126"/>
      <c r="BQ1237" s="2126"/>
      <c r="BR1237" s="2126"/>
      <c r="BS1237" s="2126"/>
    </row>
    <row r="1238" spans="1:71" s="3030" customFormat="1">
      <c r="A1238" s="2126"/>
      <c r="B1238" s="2126"/>
      <c r="C1238" s="2149"/>
      <c r="D1238" s="3248"/>
      <c r="E1238" s="525"/>
      <c r="F1238" s="525"/>
      <c r="G1238" s="526"/>
      <c r="K1238" s="3280"/>
      <c r="P1238" s="3041"/>
      <c r="X1238" s="3280"/>
      <c r="AA1238" s="3041"/>
      <c r="AF1238" s="3041"/>
      <c r="AN1238" s="3280"/>
      <c r="AZ1238" s="3041"/>
      <c r="BD1238" s="3281"/>
      <c r="BH1238" s="3282"/>
      <c r="BJ1238" s="2589"/>
      <c r="BK1238" s="2126"/>
      <c r="BL1238" s="2126"/>
      <c r="BM1238" s="2126"/>
      <c r="BN1238" s="2126"/>
      <c r="BO1238" s="2126"/>
      <c r="BP1238" s="2126"/>
      <c r="BQ1238" s="2126"/>
      <c r="BR1238" s="2126"/>
      <c r="BS1238" s="2126"/>
    </row>
    <row r="1239" spans="1:71" s="3030" customFormat="1">
      <c r="A1239" s="2126"/>
      <c r="B1239" s="2126"/>
      <c r="C1239" s="2149"/>
      <c r="D1239" s="3248"/>
      <c r="E1239" s="525"/>
      <c r="F1239" s="525"/>
      <c r="G1239" s="526"/>
      <c r="K1239" s="3280"/>
      <c r="P1239" s="3041"/>
      <c r="X1239" s="3280"/>
      <c r="AA1239" s="3041"/>
      <c r="AF1239" s="3041"/>
      <c r="AN1239" s="3280"/>
      <c r="AZ1239" s="3041"/>
      <c r="BD1239" s="3281"/>
      <c r="BH1239" s="3282"/>
      <c r="BJ1239" s="2589"/>
      <c r="BK1239" s="2126"/>
      <c r="BL1239" s="2126"/>
      <c r="BM1239" s="2126"/>
      <c r="BN1239" s="2126"/>
      <c r="BO1239" s="2126"/>
      <c r="BP1239" s="2126"/>
      <c r="BQ1239" s="2126"/>
      <c r="BR1239" s="2126"/>
      <c r="BS1239" s="2126"/>
    </row>
    <row r="1240" spans="1:71" s="3030" customFormat="1">
      <c r="A1240" s="2126"/>
      <c r="B1240" s="2126"/>
      <c r="C1240" s="2149"/>
      <c r="D1240" s="3248"/>
      <c r="E1240" s="525"/>
      <c r="F1240" s="525"/>
      <c r="G1240" s="526"/>
      <c r="K1240" s="3280"/>
      <c r="P1240" s="3041"/>
      <c r="X1240" s="3280"/>
      <c r="AA1240" s="3041"/>
      <c r="AF1240" s="3041"/>
      <c r="AN1240" s="3280"/>
      <c r="AZ1240" s="3041"/>
      <c r="BD1240" s="3281"/>
      <c r="BH1240" s="3282"/>
      <c r="BJ1240" s="2589"/>
      <c r="BK1240" s="2126"/>
      <c r="BL1240" s="2126"/>
      <c r="BM1240" s="2126"/>
      <c r="BN1240" s="2126"/>
      <c r="BO1240" s="2126"/>
      <c r="BP1240" s="2126"/>
      <c r="BQ1240" s="2126"/>
      <c r="BR1240" s="2126"/>
      <c r="BS1240" s="2126"/>
    </row>
    <row r="1241" spans="1:71" s="3030" customFormat="1">
      <c r="A1241" s="2126"/>
      <c r="B1241" s="2126"/>
      <c r="C1241" s="2149"/>
      <c r="D1241" s="3248"/>
      <c r="E1241" s="525"/>
      <c r="F1241" s="525"/>
      <c r="G1241" s="526"/>
      <c r="K1241" s="3280"/>
      <c r="P1241" s="3041"/>
      <c r="X1241" s="3280"/>
      <c r="AA1241" s="3041"/>
      <c r="AF1241" s="3041"/>
      <c r="AN1241" s="3280"/>
      <c r="AZ1241" s="3041"/>
      <c r="BD1241" s="3281"/>
      <c r="BH1241" s="3282"/>
      <c r="BJ1241" s="2589"/>
      <c r="BK1241" s="2126"/>
      <c r="BL1241" s="2126"/>
      <c r="BM1241" s="2126"/>
      <c r="BN1241" s="2126"/>
      <c r="BO1241" s="2126"/>
      <c r="BP1241" s="2126"/>
      <c r="BQ1241" s="2126"/>
      <c r="BR1241" s="2126"/>
      <c r="BS1241" s="2126"/>
    </row>
    <row r="1242" spans="1:71" s="3030" customFormat="1">
      <c r="A1242" s="2126"/>
      <c r="B1242" s="2126"/>
      <c r="C1242" s="2149"/>
      <c r="D1242" s="3248"/>
      <c r="E1242" s="525"/>
      <c r="F1242" s="525"/>
      <c r="G1242" s="526"/>
      <c r="K1242" s="3280"/>
      <c r="P1242" s="3041"/>
      <c r="X1242" s="3280"/>
      <c r="AA1242" s="3041"/>
      <c r="AF1242" s="3041"/>
      <c r="AN1242" s="3280"/>
      <c r="AZ1242" s="3041"/>
      <c r="BD1242" s="3281"/>
      <c r="BH1242" s="3282"/>
      <c r="BJ1242" s="2589"/>
      <c r="BK1242" s="2126"/>
      <c r="BL1242" s="2126"/>
      <c r="BM1242" s="2126"/>
      <c r="BN1242" s="2126"/>
      <c r="BO1242" s="2126"/>
      <c r="BP1242" s="2126"/>
      <c r="BQ1242" s="2126"/>
      <c r="BR1242" s="2126"/>
      <c r="BS1242" s="2126"/>
    </row>
    <row r="1243" spans="1:71" s="3030" customFormat="1">
      <c r="A1243" s="2126"/>
      <c r="B1243" s="2126"/>
      <c r="C1243" s="2149"/>
      <c r="D1243" s="3248"/>
      <c r="E1243" s="525"/>
      <c r="F1243" s="525"/>
      <c r="G1243" s="526"/>
      <c r="K1243" s="3280"/>
      <c r="P1243" s="3041"/>
      <c r="X1243" s="3280"/>
      <c r="AA1243" s="3041"/>
      <c r="AF1243" s="3041"/>
      <c r="AN1243" s="3280"/>
      <c r="AZ1243" s="3041"/>
      <c r="BD1243" s="3281"/>
      <c r="BH1243" s="3282"/>
      <c r="BJ1243" s="2589"/>
      <c r="BK1243" s="2126"/>
      <c r="BL1243" s="2126"/>
      <c r="BM1243" s="2126"/>
      <c r="BN1243" s="2126"/>
      <c r="BO1243" s="2126"/>
      <c r="BP1243" s="2126"/>
      <c r="BQ1243" s="2126"/>
      <c r="BR1243" s="2126"/>
      <c r="BS1243" s="2126"/>
    </row>
    <row r="1244" spans="1:71" s="3030" customFormat="1">
      <c r="A1244" s="2126"/>
      <c r="B1244" s="2126"/>
      <c r="C1244" s="2149"/>
      <c r="D1244" s="3248"/>
      <c r="E1244" s="525"/>
      <c r="F1244" s="525"/>
      <c r="G1244" s="526"/>
      <c r="K1244" s="3280"/>
      <c r="P1244" s="3041"/>
      <c r="X1244" s="3280"/>
      <c r="AA1244" s="3041"/>
      <c r="AF1244" s="3041"/>
      <c r="AN1244" s="3280"/>
      <c r="AZ1244" s="3041"/>
      <c r="BD1244" s="3281"/>
      <c r="BH1244" s="3282"/>
      <c r="BJ1244" s="2589"/>
      <c r="BK1244" s="2126"/>
      <c r="BL1244" s="2126"/>
      <c r="BM1244" s="2126"/>
      <c r="BN1244" s="2126"/>
      <c r="BO1244" s="2126"/>
      <c r="BP1244" s="2126"/>
      <c r="BQ1244" s="2126"/>
      <c r="BR1244" s="2126"/>
      <c r="BS1244" s="2126"/>
    </row>
    <row r="1245" spans="1:71" s="3030" customFormat="1">
      <c r="A1245" s="2126"/>
      <c r="B1245" s="2126"/>
      <c r="C1245" s="2149"/>
      <c r="D1245" s="3248"/>
      <c r="E1245" s="525"/>
      <c r="F1245" s="525"/>
      <c r="G1245" s="526"/>
      <c r="K1245" s="3280"/>
      <c r="P1245" s="3041"/>
      <c r="X1245" s="3280"/>
      <c r="AA1245" s="3041"/>
      <c r="AF1245" s="3041"/>
      <c r="AN1245" s="3280"/>
      <c r="AZ1245" s="3041"/>
      <c r="BD1245" s="3281"/>
      <c r="BH1245" s="3282"/>
      <c r="BJ1245" s="2589"/>
      <c r="BK1245" s="2126"/>
      <c r="BL1245" s="2126"/>
      <c r="BM1245" s="2126"/>
      <c r="BN1245" s="2126"/>
      <c r="BO1245" s="2126"/>
      <c r="BP1245" s="2126"/>
      <c r="BQ1245" s="2126"/>
      <c r="BR1245" s="2126"/>
      <c r="BS1245" s="2126"/>
    </row>
    <row r="1246" spans="1:71" s="3030" customFormat="1">
      <c r="A1246" s="2126"/>
      <c r="B1246" s="2126"/>
      <c r="C1246" s="2149"/>
      <c r="D1246" s="3248"/>
      <c r="E1246" s="525"/>
      <c r="F1246" s="525"/>
      <c r="G1246" s="526"/>
      <c r="K1246" s="3280"/>
      <c r="P1246" s="3041"/>
      <c r="X1246" s="3280"/>
      <c r="AA1246" s="3041"/>
      <c r="AF1246" s="3041"/>
      <c r="AN1246" s="3280"/>
      <c r="AZ1246" s="3041"/>
      <c r="BD1246" s="3281"/>
      <c r="BH1246" s="3282"/>
      <c r="BJ1246" s="2589"/>
      <c r="BK1246" s="2126"/>
      <c r="BL1246" s="2126"/>
      <c r="BM1246" s="2126"/>
      <c r="BN1246" s="2126"/>
      <c r="BO1246" s="2126"/>
      <c r="BP1246" s="2126"/>
      <c r="BQ1246" s="2126"/>
      <c r="BR1246" s="2126"/>
      <c r="BS1246" s="2126"/>
    </row>
    <row r="1247" spans="1:71" s="3030" customFormat="1">
      <c r="A1247" s="2126"/>
      <c r="B1247" s="2126"/>
      <c r="C1247" s="2149"/>
      <c r="D1247" s="3248"/>
      <c r="E1247" s="525"/>
      <c r="F1247" s="525"/>
      <c r="G1247" s="526"/>
      <c r="K1247" s="3280"/>
      <c r="P1247" s="3041"/>
      <c r="X1247" s="3280"/>
      <c r="AA1247" s="3041"/>
      <c r="AF1247" s="3041"/>
      <c r="AN1247" s="3280"/>
      <c r="AZ1247" s="3041"/>
      <c r="BD1247" s="3281"/>
      <c r="BH1247" s="3282"/>
      <c r="BJ1247" s="2589"/>
      <c r="BK1247" s="2126"/>
      <c r="BL1247" s="2126"/>
      <c r="BM1247" s="2126"/>
      <c r="BN1247" s="2126"/>
      <c r="BO1247" s="2126"/>
      <c r="BP1247" s="2126"/>
      <c r="BQ1247" s="2126"/>
      <c r="BR1247" s="2126"/>
      <c r="BS1247" s="2126"/>
    </row>
    <row r="1248" spans="1:71" s="3030" customFormat="1">
      <c r="A1248" s="2126"/>
      <c r="B1248" s="2126"/>
      <c r="C1248" s="2149"/>
      <c r="D1248" s="3248"/>
      <c r="E1248" s="525"/>
      <c r="F1248" s="525"/>
      <c r="G1248" s="526"/>
      <c r="K1248" s="3280"/>
      <c r="P1248" s="3041"/>
      <c r="X1248" s="3280"/>
      <c r="AA1248" s="3041"/>
      <c r="AF1248" s="3041"/>
      <c r="AN1248" s="3280"/>
      <c r="AZ1248" s="3041"/>
      <c r="BD1248" s="3281"/>
      <c r="BH1248" s="3282"/>
      <c r="BJ1248" s="2589"/>
      <c r="BK1248" s="2126"/>
      <c r="BL1248" s="2126"/>
      <c r="BM1248" s="2126"/>
      <c r="BN1248" s="2126"/>
      <c r="BO1248" s="2126"/>
      <c r="BP1248" s="2126"/>
      <c r="BQ1248" s="2126"/>
      <c r="BR1248" s="2126"/>
      <c r="BS1248" s="2126"/>
    </row>
    <row r="1249" spans="1:71" s="3030" customFormat="1">
      <c r="A1249" s="2126"/>
      <c r="B1249" s="2126"/>
      <c r="C1249" s="2149"/>
      <c r="D1249" s="3248"/>
      <c r="E1249" s="525"/>
      <c r="F1249" s="525"/>
      <c r="G1249" s="526"/>
      <c r="K1249" s="3280"/>
      <c r="P1249" s="3041"/>
      <c r="X1249" s="3280"/>
      <c r="AA1249" s="3041"/>
      <c r="AF1249" s="3041"/>
      <c r="AN1249" s="3280"/>
      <c r="AZ1249" s="3041"/>
      <c r="BD1249" s="3281"/>
      <c r="BH1249" s="3282"/>
      <c r="BJ1249" s="2589"/>
      <c r="BK1249" s="2126"/>
      <c r="BL1249" s="2126"/>
      <c r="BM1249" s="2126"/>
      <c r="BN1249" s="2126"/>
      <c r="BO1249" s="2126"/>
      <c r="BP1249" s="2126"/>
      <c r="BQ1249" s="2126"/>
      <c r="BR1249" s="2126"/>
      <c r="BS1249" s="2126"/>
    </row>
    <row r="1250" spans="1:71" s="3030" customFormat="1">
      <c r="A1250" s="2126"/>
      <c r="B1250" s="2126"/>
      <c r="C1250" s="2149"/>
      <c r="D1250" s="3248"/>
      <c r="E1250" s="525"/>
      <c r="F1250" s="525"/>
      <c r="G1250" s="526"/>
      <c r="K1250" s="3280"/>
      <c r="P1250" s="3041"/>
      <c r="X1250" s="3280"/>
      <c r="AA1250" s="3041"/>
      <c r="AF1250" s="3041"/>
      <c r="AN1250" s="3280"/>
      <c r="AZ1250" s="3041"/>
      <c r="BD1250" s="3281"/>
      <c r="BH1250" s="3282"/>
      <c r="BJ1250" s="2589"/>
      <c r="BK1250" s="2126"/>
      <c r="BL1250" s="2126"/>
      <c r="BM1250" s="2126"/>
      <c r="BN1250" s="2126"/>
      <c r="BO1250" s="2126"/>
      <c r="BP1250" s="2126"/>
      <c r="BQ1250" s="2126"/>
      <c r="BR1250" s="2126"/>
      <c r="BS1250" s="2126"/>
    </row>
    <row r="1251" spans="1:71" s="3030" customFormat="1">
      <c r="A1251" s="2126"/>
      <c r="B1251" s="2126"/>
      <c r="C1251" s="2149"/>
      <c r="D1251" s="3248"/>
      <c r="E1251" s="525"/>
      <c r="F1251" s="525"/>
      <c r="G1251" s="526"/>
      <c r="K1251" s="3280"/>
      <c r="P1251" s="3041"/>
      <c r="X1251" s="3280"/>
      <c r="AA1251" s="3041"/>
      <c r="AF1251" s="3041"/>
      <c r="AN1251" s="3280"/>
      <c r="AZ1251" s="3041"/>
      <c r="BD1251" s="3281"/>
      <c r="BH1251" s="3282"/>
      <c r="BJ1251" s="2589"/>
      <c r="BK1251" s="2126"/>
      <c r="BL1251" s="2126"/>
      <c r="BM1251" s="2126"/>
      <c r="BN1251" s="2126"/>
      <c r="BO1251" s="2126"/>
      <c r="BP1251" s="2126"/>
      <c r="BQ1251" s="2126"/>
      <c r="BR1251" s="2126"/>
      <c r="BS1251" s="2126"/>
    </row>
    <row r="1252" spans="1:71" s="3030" customFormat="1">
      <c r="A1252" s="2126"/>
      <c r="B1252" s="2126"/>
      <c r="C1252" s="2149"/>
      <c r="D1252" s="3248"/>
      <c r="E1252" s="525"/>
      <c r="F1252" s="525"/>
      <c r="G1252" s="526"/>
      <c r="K1252" s="3280"/>
      <c r="P1252" s="3041"/>
      <c r="X1252" s="3280"/>
      <c r="AA1252" s="3041"/>
      <c r="AF1252" s="3041"/>
      <c r="AN1252" s="3280"/>
      <c r="AZ1252" s="3041"/>
      <c r="BD1252" s="3281"/>
      <c r="BH1252" s="3282"/>
      <c r="BJ1252" s="2589"/>
      <c r="BK1252" s="2126"/>
      <c r="BL1252" s="2126"/>
      <c r="BM1252" s="2126"/>
      <c r="BN1252" s="2126"/>
      <c r="BO1252" s="2126"/>
      <c r="BP1252" s="2126"/>
      <c r="BQ1252" s="2126"/>
      <c r="BR1252" s="2126"/>
      <c r="BS1252" s="2126"/>
    </row>
    <row r="1253" spans="1:71" s="3030" customFormat="1">
      <c r="A1253" s="2126"/>
      <c r="B1253" s="2126"/>
      <c r="C1253" s="2149"/>
      <c r="D1253" s="3248"/>
      <c r="E1253" s="525"/>
      <c r="F1253" s="525"/>
      <c r="G1253" s="526"/>
      <c r="K1253" s="3280"/>
      <c r="P1253" s="3041"/>
      <c r="X1253" s="3280"/>
      <c r="AA1253" s="3041"/>
      <c r="AF1253" s="3041"/>
      <c r="AN1253" s="3280"/>
      <c r="AZ1253" s="3041"/>
      <c r="BD1253" s="3281"/>
      <c r="BH1253" s="3282"/>
      <c r="BJ1253" s="2589"/>
      <c r="BK1253" s="2126"/>
      <c r="BL1253" s="2126"/>
      <c r="BM1253" s="2126"/>
      <c r="BN1253" s="2126"/>
      <c r="BO1253" s="2126"/>
      <c r="BP1253" s="2126"/>
      <c r="BQ1253" s="2126"/>
      <c r="BR1253" s="2126"/>
      <c r="BS1253" s="2126"/>
    </row>
    <row r="1254" spans="1:71" s="3030" customFormat="1">
      <c r="A1254" s="2126"/>
      <c r="B1254" s="2126"/>
      <c r="C1254" s="2149"/>
      <c r="D1254" s="3248"/>
      <c r="E1254" s="525"/>
      <c r="F1254" s="525"/>
      <c r="G1254" s="526"/>
      <c r="K1254" s="3280"/>
      <c r="P1254" s="3041"/>
      <c r="X1254" s="3280"/>
      <c r="AA1254" s="3041"/>
      <c r="AF1254" s="3041"/>
      <c r="AN1254" s="3280"/>
      <c r="AZ1254" s="3041"/>
      <c r="BD1254" s="3281"/>
      <c r="BH1254" s="3282"/>
      <c r="BJ1254" s="2589"/>
      <c r="BK1254" s="2126"/>
      <c r="BL1254" s="2126"/>
      <c r="BM1254" s="2126"/>
      <c r="BN1254" s="2126"/>
      <c r="BO1254" s="2126"/>
      <c r="BP1254" s="2126"/>
      <c r="BQ1254" s="2126"/>
      <c r="BR1254" s="2126"/>
      <c r="BS1254" s="2126"/>
    </row>
    <row r="1255" spans="1:71" s="3030" customFormat="1">
      <c r="A1255" s="2126"/>
      <c r="B1255" s="2126"/>
      <c r="C1255" s="2149"/>
      <c r="D1255" s="3248"/>
      <c r="E1255" s="525"/>
      <c r="F1255" s="525"/>
      <c r="G1255" s="526"/>
      <c r="K1255" s="3280"/>
      <c r="P1255" s="3041"/>
      <c r="X1255" s="3280"/>
      <c r="AA1255" s="3041"/>
      <c r="AF1255" s="3041"/>
      <c r="AN1255" s="3280"/>
      <c r="AZ1255" s="3041"/>
      <c r="BD1255" s="3281"/>
      <c r="BH1255" s="3282"/>
      <c r="BJ1255" s="2589"/>
      <c r="BK1255" s="2126"/>
      <c r="BL1255" s="2126"/>
      <c r="BM1255" s="2126"/>
      <c r="BN1255" s="2126"/>
      <c r="BO1255" s="2126"/>
      <c r="BP1255" s="2126"/>
      <c r="BQ1255" s="2126"/>
      <c r="BR1255" s="2126"/>
      <c r="BS1255" s="2126"/>
    </row>
    <row r="1256" spans="1:71" s="3030" customFormat="1">
      <c r="A1256" s="2126"/>
      <c r="B1256" s="2126"/>
      <c r="C1256" s="2149"/>
      <c r="D1256" s="3248"/>
      <c r="E1256" s="525"/>
      <c r="F1256" s="525"/>
      <c r="G1256" s="526"/>
      <c r="K1256" s="3280"/>
      <c r="P1256" s="3041"/>
      <c r="X1256" s="3280"/>
      <c r="AA1256" s="3041"/>
      <c r="AF1256" s="3041"/>
      <c r="AN1256" s="3280"/>
      <c r="AZ1256" s="3041"/>
      <c r="BD1256" s="3281"/>
      <c r="BH1256" s="3282"/>
      <c r="BJ1256" s="2589"/>
      <c r="BK1256" s="2126"/>
      <c r="BL1256" s="2126"/>
      <c r="BM1256" s="2126"/>
      <c r="BN1256" s="2126"/>
      <c r="BO1256" s="2126"/>
      <c r="BP1256" s="2126"/>
      <c r="BQ1256" s="2126"/>
      <c r="BR1256" s="2126"/>
      <c r="BS1256" s="2126"/>
    </row>
    <row r="1257" spans="1:71" s="3030" customFormat="1">
      <c r="A1257" s="2126"/>
      <c r="B1257" s="2126"/>
      <c r="C1257" s="2149"/>
      <c r="D1257" s="3248"/>
      <c r="E1257" s="525"/>
      <c r="F1257" s="525"/>
      <c r="G1257" s="526"/>
      <c r="K1257" s="3280"/>
      <c r="P1257" s="3041"/>
      <c r="X1257" s="3280"/>
      <c r="AA1257" s="3041"/>
      <c r="AF1257" s="3041"/>
      <c r="AN1257" s="3280"/>
      <c r="AZ1257" s="3041"/>
      <c r="BD1257" s="3281"/>
      <c r="BH1257" s="3282"/>
      <c r="BJ1257" s="2589"/>
      <c r="BK1257" s="2126"/>
      <c r="BL1257" s="2126"/>
      <c r="BM1257" s="2126"/>
      <c r="BN1257" s="2126"/>
      <c r="BO1257" s="2126"/>
      <c r="BP1257" s="2126"/>
      <c r="BQ1257" s="2126"/>
      <c r="BR1257" s="2126"/>
      <c r="BS1257" s="2126"/>
    </row>
    <row r="1258" spans="1:71" s="3030" customFormat="1">
      <c r="A1258" s="2126"/>
      <c r="B1258" s="2126"/>
      <c r="C1258" s="2149"/>
      <c r="D1258" s="3248"/>
      <c r="E1258" s="525"/>
      <c r="F1258" s="525"/>
      <c r="G1258" s="526"/>
      <c r="K1258" s="3280"/>
      <c r="P1258" s="3041"/>
      <c r="X1258" s="3280"/>
      <c r="AA1258" s="3041"/>
      <c r="AF1258" s="3041"/>
      <c r="AN1258" s="3280"/>
      <c r="AZ1258" s="3041"/>
      <c r="BD1258" s="3281"/>
      <c r="BH1258" s="3282"/>
      <c r="BJ1258" s="2589"/>
      <c r="BK1258" s="2126"/>
      <c r="BL1258" s="2126"/>
      <c r="BM1258" s="2126"/>
      <c r="BN1258" s="2126"/>
      <c r="BO1258" s="2126"/>
      <c r="BP1258" s="2126"/>
      <c r="BQ1258" s="2126"/>
      <c r="BR1258" s="2126"/>
      <c r="BS1258" s="2126"/>
    </row>
    <row r="1259" spans="1:71" s="3030" customFormat="1">
      <c r="A1259" s="2126"/>
      <c r="B1259" s="2126"/>
      <c r="C1259" s="2149"/>
      <c r="D1259" s="3248"/>
      <c r="E1259" s="525"/>
      <c r="F1259" s="525"/>
      <c r="G1259" s="526"/>
      <c r="K1259" s="3280"/>
      <c r="P1259" s="3041"/>
      <c r="X1259" s="3280"/>
      <c r="AA1259" s="3041"/>
      <c r="AF1259" s="3041"/>
      <c r="AN1259" s="3280"/>
      <c r="AZ1259" s="3041"/>
      <c r="BD1259" s="3281"/>
      <c r="BH1259" s="3282"/>
      <c r="BJ1259" s="2589"/>
      <c r="BK1259" s="2126"/>
      <c r="BL1259" s="2126"/>
      <c r="BM1259" s="2126"/>
      <c r="BN1259" s="2126"/>
      <c r="BO1259" s="2126"/>
      <c r="BP1259" s="2126"/>
      <c r="BQ1259" s="2126"/>
      <c r="BR1259" s="2126"/>
      <c r="BS1259" s="2126"/>
    </row>
    <row r="1260" spans="1:71" s="3030" customFormat="1">
      <c r="A1260" s="2126"/>
      <c r="B1260" s="2126"/>
      <c r="C1260" s="2149"/>
      <c r="D1260" s="3248"/>
      <c r="E1260" s="525"/>
      <c r="F1260" s="525"/>
      <c r="G1260" s="526"/>
      <c r="K1260" s="3280"/>
      <c r="P1260" s="3041"/>
      <c r="X1260" s="3280"/>
      <c r="AA1260" s="3041"/>
      <c r="AF1260" s="3041"/>
      <c r="AN1260" s="3280"/>
      <c r="AZ1260" s="3041"/>
      <c r="BD1260" s="3281"/>
      <c r="BH1260" s="3282"/>
      <c r="BJ1260" s="2589"/>
      <c r="BK1260" s="2126"/>
      <c r="BL1260" s="2126"/>
      <c r="BM1260" s="2126"/>
      <c r="BN1260" s="2126"/>
      <c r="BO1260" s="2126"/>
      <c r="BP1260" s="2126"/>
      <c r="BQ1260" s="2126"/>
      <c r="BR1260" s="2126"/>
      <c r="BS1260" s="2126"/>
    </row>
    <row r="1261" spans="1:71" s="3030" customFormat="1">
      <c r="A1261" s="2126"/>
      <c r="B1261" s="2126"/>
      <c r="C1261" s="2149"/>
      <c r="D1261" s="3248"/>
      <c r="E1261" s="525"/>
      <c r="F1261" s="525"/>
      <c r="G1261" s="526"/>
      <c r="K1261" s="3280"/>
      <c r="P1261" s="3041"/>
      <c r="X1261" s="3280"/>
      <c r="AA1261" s="3041"/>
      <c r="AF1261" s="3041"/>
      <c r="AN1261" s="3280"/>
      <c r="AZ1261" s="3041"/>
      <c r="BD1261" s="3281"/>
      <c r="BH1261" s="3282"/>
      <c r="BJ1261" s="2589"/>
      <c r="BK1261" s="2126"/>
      <c r="BL1261" s="2126"/>
      <c r="BM1261" s="2126"/>
      <c r="BN1261" s="2126"/>
      <c r="BO1261" s="2126"/>
      <c r="BP1261" s="2126"/>
      <c r="BQ1261" s="2126"/>
      <c r="BR1261" s="2126"/>
      <c r="BS1261" s="2126"/>
    </row>
    <row r="1262" spans="1:71" s="3030" customFormat="1">
      <c r="A1262" s="2126"/>
      <c r="B1262" s="2126"/>
      <c r="C1262" s="2149"/>
      <c r="D1262" s="3248"/>
      <c r="E1262" s="525"/>
      <c r="F1262" s="525"/>
      <c r="G1262" s="526"/>
      <c r="K1262" s="3280"/>
      <c r="P1262" s="3041"/>
      <c r="X1262" s="3280"/>
      <c r="AA1262" s="3041"/>
      <c r="AF1262" s="3041"/>
      <c r="AN1262" s="3280"/>
      <c r="AZ1262" s="3041"/>
      <c r="BD1262" s="3281"/>
      <c r="BH1262" s="3282"/>
      <c r="BJ1262" s="2589"/>
      <c r="BK1262" s="2126"/>
      <c r="BL1262" s="2126"/>
      <c r="BM1262" s="2126"/>
      <c r="BN1262" s="2126"/>
      <c r="BO1262" s="2126"/>
      <c r="BP1262" s="2126"/>
      <c r="BQ1262" s="2126"/>
      <c r="BR1262" s="2126"/>
      <c r="BS1262" s="2126"/>
    </row>
    <row r="1263" spans="1:71" s="3030" customFormat="1">
      <c r="A1263" s="2126"/>
      <c r="B1263" s="2126"/>
      <c r="C1263" s="2149"/>
      <c r="D1263" s="3248"/>
      <c r="E1263" s="525"/>
      <c r="F1263" s="525"/>
      <c r="G1263" s="526"/>
      <c r="K1263" s="3280"/>
      <c r="P1263" s="3041"/>
      <c r="X1263" s="3280"/>
      <c r="AA1263" s="3041"/>
      <c r="AF1263" s="3041"/>
      <c r="AN1263" s="3280"/>
      <c r="AZ1263" s="3041"/>
      <c r="BD1263" s="3281"/>
      <c r="BH1263" s="3282"/>
      <c r="BJ1263" s="2589"/>
      <c r="BK1263" s="2126"/>
      <c r="BL1263" s="2126"/>
      <c r="BM1263" s="2126"/>
      <c r="BN1263" s="2126"/>
      <c r="BO1263" s="2126"/>
      <c r="BP1263" s="2126"/>
      <c r="BQ1263" s="2126"/>
      <c r="BR1263" s="2126"/>
      <c r="BS1263" s="2126"/>
    </row>
    <row r="1264" spans="1:71" s="3030" customFormat="1">
      <c r="A1264" s="2126"/>
      <c r="B1264" s="2126"/>
      <c r="C1264" s="2149"/>
      <c r="D1264" s="3248"/>
      <c r="E1264" s="525"/>
      <c r="F1264" s="525"/>
      <c r="G1264" s="526"/>
      <c r="K1264" s="3280"/>
      <c r="P1264" s="3041"/>
      <c r="X1264" s="3280"/>
      <c r="AA1264" s="3041"/>
      <c r="AF1264" s="3041"/>
      <c r="AN1264" s="3280"/>
      <c r="AZ1264" s="3041"/>
      <c r="BD1264" s="3281"/>
      <c r="BH1264" s="3282"/>
      <c r="BJ1264" s="2589"/>
      <c r="BK1264" s="2126"/>
      <c r="BL1264" s="2126"/>
      <c r="BM1264" s="2126"/>
      <c r="BN1264" s="2126"/>
      <c r="BO1264" s="2126"/>
      <c r="BP1264" s="2126"/>
      <c r="BQ1264" s="2126"/>
      <c r="BR1264" s="2126"/>
      <c r="BS1264" s="2126"/>
    </row>
    <row r="1265" spans="1:71" s="3030" customFormat="1">
      <c r="A1265" s="2126"/>
      <c r="B1265" s="2126"/>
      <c r="C1265" s="2149"/>
      <c r="D1265" s="3248"/>
      <c r="E1265" s="525"/>
      <c r="F1265" s="525"/>
      <c r="G1265" s="526"/>
      <c r="K1265" s="3280"/>
      <c r="P1265" s="3041"/>
      <c r="X1265" s="3280"/>
      <c r="AA1265" s="3041"/>
      <c r="AF1265" s="3041"/>
      <c r="AN1265" s="3280"/>
      <c r="AZ1265" s="3041"/>
      <c r="BD1265" s="3281"/>
      <c r="BH1265" s="3282"/>
      <c r="BJ1265" s="2589"/>
      <c r="BK1265" s="2126"/>
      <c r="BL1265" s="2126"/>
      <c r="BM1265" s="2126"/>
      <c r="BN1265" s="2126"/>
      <c r="BO1265" s="2126"/>
      <c r="BP1265" s="2126"/>
      <c r="BQ1265" s="2126"/>
      <c r="BR1265" s="2126"/>
      <c r="BS1265" s="2126"/>
    </row>
    <row r="1266" spans="1:71" s="3030" customFormat="1">
      <c r="A1266" s="2126"/>
      <c r="B1266" s="2126"/>
      <c r="C1266" s="2149"/>
      <c r="D1266" s="3248"/>
      <c r="E1266" s="525"/>
      <c r="F1266" s="525"/>
      <c r="G1266" s="526"/>
      <c r="K1266" s="3280"/>
      <c r="P1266" s="3041"/>
      <c r="X1266" s="3280"/>
      <c r="AA1266" s="3041"/>
      <c r="AF1266" s="3041"/>
      <c r="AN1266" s="3280"/>
      <c r="AZ1266" s="3041"/>
      <c r="BD1266" s="3281"/>
      <c r="BH1266" s="3282"/>
      <c r="BJ1266" s="2589"/>
      <c r="BK1266" s="2126"/>
      <c r="BL1266" s="2126"/>
      <c r="BM1266" s="2126"/>
      <c r="BN1266" s="2126"/>
      <c r="BO1266" s="2126"/>
      <c r="BP1266" s="2126"/>
      <c r="BQ1266" s="2126"/>
      <c r="BR1266" s="2126"/>
      <c r="BS1266" s="2126"/>
    </row>
    <row r="1267" spans="1:71" s="3030" customFormat="1">
      <c r="A1267" s="2126"/>
      <c r="B1267" s="2126"/>
      <c r="C1267" s="2149"/>
      <c r="D1267" s="3248"/>
      <c r="E1267" s="525"/>
      <c r="F1267" s="525"/>
      <c r="G1267" s="526"/>
      <c r="K1267" s="3280"/>
      <c r="P1267" s="3041"/>
      <c r="X1267" s="3280"/>
      <c r="AA1267" s="3041"/>
      <c r="AF1267" s="3041"/>
      <c r="AN1267" s="3280"/>
      <c r="AZ1267" s="3041"/>
      <c r="BD1267" s="3281"/>
      <c r="BH1267" s="3282"/>
      <c r="BJ1267" s="2589"/>
      <c r="BK1267" s="2126"/>
      <c r="BL1267" s="2126"/>
      <c r="BM1267" s="2126"/>
      <c r="BN1267" s="2126"/>
      <c r="BO1267" s="2126"/>
      <c r="BP1267" s="2126"/>
      <c r="BQ1267" s="2126"/>
      <c r="BR1267" s="2126"/>
      <c r="BS1267" s="2126"/>
    </row>
    <row r="1268" spans="1:71" s="3030" customFormat="1">
      <c r="A1268" s="2126"/>
      <c r="B1268" s="2126"/>
      <c r="C1268" s="2149"/>
      <c r="D1268" s="3248"/>
      <c r="E1268" s="525"/>
      <c r="F1268" s="525"/>
      <c r="G1268" s="526"/>
      <c r="K1268" s="3280"/>
      <c r="P1268" s="3041"/>
      <c r="X1268" s="3280"/>
      <c r="AA1268" s="3041"/>
      <c r="AF1268" s="3041"/>
      <c r="AN1268" s="3280"/>
      <c r="AZ1268" s="3041"/>
      <c r="BD1268" s="3281"/>
      <c r="BH1268" s="3282"/>
      <c r="BJ1268" s="2589"/>
      <c r="BK1268" s="2126"/>
      <c r="BL1268" s="2126"/>
      <c r="BM1268" s="2126"/>
      <c r="BN1268" s="2126"/>
      <c r="BO1268" s="2126"/>
      <c r="BP1268" s="2126"/>
      <c r="BQ1268" s="2126"/>
      <c r="BR1268" s="2126"/>
      <c r="BS1268" s="2126"/>
    </row>
    <row r="1269" spans="1:71" s="3030" customFormat="1">
      <c r="A1269" s="2126"/>
      <c r="B1269" s="2126"/>
      <c r="C1269" s="2149"/>
      <c r="D1269" s="3248"/>
      <c r="E1269" s="525"/>
      <c r="F1269" s="525"/>
      <c r="G1269" s="526"/>
      <c r="K1269" s="3280"/>
      <c r="P1269" s="3041"/>
      <c r="X1269" s="3280"/>
      <c r="AA1269" s="3041"/>
      <c r="AF1269" s="3041"/>
      <c r="AN1269" s="3280"/>
      <c r="AZ1269" s="3041"/>
      <c r="BD1269" s="3281"/>
      <c r="BH1269" s="3282"/>
      <c r="BJ1269" s="2589"/>
      <c r="BK1269" s="2126"/>
      <c r="BL1269" s="2126"/>
      <c r="BM1269" s="2126"/>
      <c r="BN1269" s="2126"/>
      <c r="BO1269" s="2126"/>
      <c r="BP1269" s="2126"/>
      <c r="BQ1269" s="2126"/>
      <c r="BR1269" s="2126"/>
      <c r="BS1269" s="2126"/>
    </row>
    <row r="1270" spans="1:71" s="3030" customFormat="1">
      <c r="A1270" s="2126"/>
      <c r="B1270" s="2126"/>
      <c r="C1270" s="2149"/>
      <c r="D1270" s="3248"/>
      <c r="E1270" s="525"/>
      <c r="F1270" s="525"/>
      <c r="G1270" s="526"/>
      <c r="K1270" s="3280"/>
      <c r="P1270" s="3041"/>
      <c r="X1270" s="3280"/>
      <c r="AA1270" s="3041"/>
      <c r="AF1270" s="3041"/>
      <c r="AN1270" s="3280"/>
      <c r="AZ1270" s="3041"/>
      <c r="BD1270" s="3281"/>
      <c r="BH1270" s="3282"/>
      <c r="BJ1270" s="2589"/>
      <c r="BK1270" s="2126"/>
      <c r="BL1270" s="2126"/>
      <c r="BM1270" s="2126"/>
      <c r="BN1270" s="2126"/>
      <c r="BO1270" s="2126"/>
      <c r="BP1270" s="2126"/>
      <c r="BQ1270" s="2126"/>
      <c r="BR1270" s="2126"/>
      <c r="BS1270" s="2126"/>
    </row>
    <row r="1271" spans="1:71" s="3030" customFormat="1">
      <c r="A1271" s="2126"/>
      <c r="B1271" s="2126"/>
      <c r="C1271" s="2149"/>
      <c r="D1271" s="3248"/>
      <c r="E1271" s="525"/>
      <c r="F1271" s="525"/>
      <c r="G1271" s="526"/>
      <c r="K1271" s="3280"/>
      <c r="P1271" s="3041"/>
      <c r="X1271" s="3280"/>
      <c r="AA1271" s="3041"/>
      <c r="AF1271" s="3041"/>
      <c r="AN1271" s="3280"/>
      <c r="AZ1271" s="3041"/>
      <c r="BD1271" s="3281"/>
      <c r="BH1271" s="3282"/>
      <c r="BJ1271" s="2589"/>
      <c r="BK1271" s="2126"/>
      <c r="BL1271" s="2126"/>
      <c r="BM1271" s="2126"/>
      <c r="BN1271" s="2126"/>
      <c r="BO1271" s="2126"/>
      <c r="BP1271" s="2126"/>
      <c r="BQ1271" s="2126"/>
      <c r="BR1271" s="2126"/>
      <c r="BS1271" s="2126"/>
    </row>
    <row r="1272" spans="1:71" s="3030" customFormat="1">
      <c r="A1272" s="2126"/>
      <c r="B1272" s="2126"/>
      <c r="C1272" s="2149"/>
      <c r="D1272" s="3248"/>
      <c r="E1272" s="525"/>
      <c r="F1272" s="525"/>
      <c r="G1272" s="526"/>
      <c r="K1272" s="3280"/>
      <c r="P1272" s="3041"/>
      <c r="X1272" s="3280"/>
      <c r="AA1272" s="3041"/>
      <c r="AF1272" s="3041"/>
      <c r="AN1272" s="3280"/>
      <c r="AZ1272" s="3041"/>
      <c r="BD1272" s="3281"/>
      <c r="BH1272" s="3282"/>
      <c r="BJ1272" s="2589"/>
      <c r="BK1272" s="2126"/>
      <c r="BL1272" s="2126"/>
      <c r="BM1272" s="2126"/>
      <c r="BN1272" s="2126"/>
      <c r="BO1272" s="2126"/>
      <c r="BP1272" s="2126"/>
      <c r="BQ1272" s="2126"/>
      <c r="BR1272" s="2126"/>
      <c r="BS1272" s="2126"/>
    </row>
    <row r="1273" spans="1:71" s="3030" customFormat="1">
      <c r="A1273" s="2126"/>
      <c r="B1273" s="2126"/>
      <c r="C1273" s="2149"/>
      <c r="D1273" s="3248"/>
      <c r="E1273" s="525"/>
      <c r="F1273" s="525"/>
      <c r="G1273" s="526"/>
      <c r="K1273" s="3280"/>
      <c r="P1273" s="3041"/>
      <c r="X1273" s="3280"/>
      <c r="AA1273" s="3041"/>
      <c r="AF1273" s="3041"/>
      <c r="AN1273" s="3280"/>
      <c r="AZ1273" s="3041"/>
      <c r="BD1273" s="3281"/>
      <c r="BH1273" s="3282"/>
      <c r="BJ1273" s="2589"/>
      <c r="BK1273" s="2126"/>
      <c r="BL1273" s="2126"/>
      <c r="BM1273" s="2126"/>
      <c r="BN1273" s="2126"/>
      <c r="BO1273" s="2126"/>
      <c r="BP1273" s="2126"/>
      <c r="BQ1273" s="2126"/>
      <c r="BR1273" s="2126"/>
      <c r="BS1273" s="2126"/>
    </row>
    <row r="1274" spans="1:71" s="3030" customFormat="1">
      <c r="A1274" s="2126"/>
      <c r="B1274" s="2126"/>
      <c r="C1274" s="2149"/>
      <c r="D1274" s="3248"/>
      <c r="E1274" s="525"/>
      <c r="F1274" s="525"/>
      <c r="G1274" s="526"/>
      <c r="K1274" s="3280"/>
      <c r="P1274" s="3041"/>
      <c r="X1274" s="3280"/>
      <c r="AA1274" s="3041"/>
      <c r="AF1274" s="3041"/>
      <c r="AN1274" s="3280"/>
      <c r="AZ1274" s="3041"/>
      <c r="BD1274" s="3281"/>
      <c r="BH1274" s="3282"/>
      <c r="BJ1274" s="2589"/>
      <c r="BK1274" s="2126"/>
      <c r="BL1274" s="2126"/>
      <c r="BM1274" s="2126"/>
      <c r="BN1274" s="2126"/>
      <c r="BO1274" s="2126"/>
      <c r="BP1274" s="2126"/>
      <c r="BQ1274" s="2126"/>
      <c r="BR1274" s="2126"/>
      <c r="BS1274" s="2126"/>
    </row>
    <row r="1275" spans="1:71" s="3030" customFormat="1">
      <c r="A1275" s="2126"/>
      <c r="B1275" s="2126"/>
      <c r="C1275" s="2149"/>
      <c r="D1275" s="3248"/>
      <c r="E1275" s="525"/>
      <c r="F1275" s="525"/>
      <c r="G1275" s="526"/>
      <c r="K1275" s="3280"/>
      <c r="P1275" s="3041"/>
      <c r="X1275" s="3280"/>
      <c r="AA1275" s="3041"/>
      <c r="AF1275" s="3041"/>
      <c r="AN1275" s="3280"/>
      <c r="AZ1275" s="3041"/>
      <c r="BD1275" s="3281"/>
      <c r="BH1275" s="3282"/>
      <c r="BJ1275" s="2589"/>
      <c r="BK1275" s="2126"/>
      <c r="BL1275" s="2126"/>
      <c r="BM1275" s="2126"/>
      <c r="BN1275" s="2126"/>
      <c r="BO1275" s="2126"/>
      <c r="BP1275" s="2126"/>
      <c r="BQ1275" s="2126"/>
      <c r="BR1275" s="2126"/>
      <c r="BS1275" s="2126"/>
    </row>
    <row r="1276" spans="1:71" s="3030" customFormat="1">
      <c r="A1276" s="2126"/>
      <c r="B1276" s="2126"/>
      <c r="C1276" s="2149"/>
      <c r="D1276" s="3248"/>
      <c r="E1276" s="525"/>
      <c r="F1276" s="525"/>
      <c r="G1276" s="526"/>
      <c r="K1276" s="3280"/>
      <c r="P1276" s="3041"/>
      <c r="X1276" s="3280"/>
      <c r="AA1276" s="3041"/>
      <c r="AF1276" s="3041"/>
      <c r="AN1276" s="3280"/>
      <c r="AZ1276" s="3041"/>
      <c r="BD1276" s="3281"/>
      <c r="BH1276" s="3282"/>
      <c r="BJ1276" s="2589"/>
      <c r="BK1276" s="2126"/>
      <c r="BL1276" s="2126"/>
      <c r="BM1276" s="2126"/>
      <c r="BN1276" s="2126"/>
      <c r="BO1276" s="2126"/>
      <c r="BP1276" s="2126"/>
      <c r="BQ1276" s="2126"/>
      <c r="BR1276" s="2126"/>
      <c r="BS1276" s="2126"/>
    </row>
    <row r="1277" spans="1:71" s="3030" customFormat="1">
      <c r="A1277" s="2126"/>
      <c r="B1277" s="2126"/>
      <c r="C1277" s="2149"/>
      <c r="D1277" s="3248"/>
      <c r="E1277" s="525"/>
      <c r="F1277" s="525"/>
      <c r="G1277" s="526"/>
      <c r="K1277" s="3280"/>
      <c r="P1277" s="3041"/>
      <c r="X1277" s="3280"/>
      <c r="AA1277" s="3041"/>
      <c r="AF1277" s="3041"/>
      <c r="AN1277" s="3280"/>
      <c r="AZ1277" s="3041"/>
      <c r="BD1277" s="3281"/>
      <c r="BH1277" s="3282"/>
      <c r="BJ1277" s="2589"/>
      <c r="BK1277" s="2126"/>
      <c r="BL1277" s="2126"/>
      <c r="BM1277" s="2126"/>
      <c r="BN1277" s="2126"/>
      <c r="BO1277" s="2126"/>
      <c r="BP1277" s="2126"/>
      <c r="BQ1277" s="2126"/>
      <c r="BR1277" s="2126"/>
      <c r="BS1277" s="2126"/>
    </row>
    <row r="1278" spans="1:71" s="3030" customFormat="1">
      <c r="A1278" s="2126"/>
      <c r="B1278" s="2126"/>
      <c r="C1278" s="2149"/>
      <c r="D1278" s="3248"/>
      <c r="E1278" s="525"/>
      <c r="F1278" s="525"/>
      <c r="G1278" s="526"/>
      <c r="K1278" s="3280"/>
      <c r="P1278" s="3041"/>
      <c r="X1278" s="3280"/>
      <c r="AA1278" s="3041"/>
      <c r="AF1278" s="3041"/>
      <c r="AN1278" s="3280"/>
      <c r="AZ1278" s="3041"/>
      <c r="BD1278" s="3281"/>
      <c r="BH1278" s="3282"/>
      <c r="BJ1278" s="2589"/>
      <c r="BK1278" s="2126"/>
      <c r="BL1278" s="2126"/>
      <c r="BM1278" s="2126"/>
      <c r="BN1278" s="2126"/>
      <c r="BO1278" s="2126"/>
      <c r="BP1278" s="2126"/>
      <c r="BQ1278" s="2126"/>
      <c r="BR1278" s="2126"/>
      <c r="BS1278" s="2126"/>
    </row>
    <row r="1279" spans="1:71" s="3030" customFormat="1">
      <c r="A1279" s="2126"/>
      <c r="B1279" s="2126"/>
      <c r="C1279" s="2149"/>
      <c r="D1279" s="3248"/>
      <c r="E1279" s="525"/>
      <c r="F1279" s="525"/>
      <c r="G1279" s="526"/>
      <c r="K1279" s="3280"/>
      <c r="P1279" s="3041"/>
      <c r="X1279" s="3280"/>
      <c r="AA1279" s="3041"/>
      <c r="AF1279" s="3041"/>
      <c r="AN1279" s="3280"/>
      <c r="AZ1279" s="3041"/>
      <c r="BD1279" s="3281"/>
      <c r="BH1279" s="3282"/>
      <c r="BJ1279" s="2589"/>
      <c r="BK1279" s="2126"/>
      <c r="BL1279" s="2126"/>
      <c r="BM1279" s="2126"/>
      <c r="BN1279" s="2126"/>
      <c r="BO1279" s="2126"/>
      <c r="BP1279" s="2126"/>
      <c r="BQ1279" s="2126"/>
      <c r="BR1279" s="2126"/>
      <c r="BS1279" s="2126"/>
    </row>
    <row r="1280" spans="1:71" s="3030" customFormat="1">
      <c r="A1280" s="2126"/>
      <c r="B1280" s="2126"/>
      <c r="C1280" s="2149"/>
      <c r="D1280" s="3248"/>
      <c r="E1280" s="525"/>
      <c r="F1280" s="525"/>
      <c r="G1280" s="526"/>
      <c r="K1280" s="3280"/>
      <c r="P1280" s="3041"/>
      <c r="X1280" s="3280"/>
      <c r="AA1280" s="3041"/>
      <c r="AF1280" s="3041"/>
      <c r="AN1280" s="3280"/>
      <c r="AZ1280" s="3041"/>
      <c r="BD1280" s="3281"/>
      <c r="BH1280" s="3282"/>
      <c r="BJ1280" s="2589"/>
      <c r="BK1280" s="2126"/>
      <c r="BL1280" s="2126"/>
      <c r="BM1280" s="2126"/>
      <c r="BN1280" s="2126"/>
      <c r="BO1280" s="2126"/>
      <c r="BP1280" s="2126"/>
      <c r="BQ1280" s="2126"/>
      <c r="BR1280" s="2126"/>
      <c r="BS1280" s="2126"/>
    </row>
    <row r="1281" spans="1:71" s="3030" customFormat="1">
      <c r="A1281" s="2126"/>
      <c r="B1281" s="2126"/>
      <c r="C1281" s="2149"/>
      <c r="D1281" s="3248"/>
      <c r="E1281" s="525"/>
      <c r="F1281" s="525"/>
      <c r="G1281" s="526"/>
      <c r="K1281" s="3280"/>
      <c r="P1281" s="3041"/>
      <c r="X1281" s="3280"/>
      <c r="AA1281" s="3041"/>
      <c r="AF1281" s="3041"/>
      <c r="AN1281" s="3280"/>
      <c r="AZ1281" s="3041"/>
      <c r="BD1281" s="3281"/>
      <c r="BH1281" s="3282"/>
      <c r="BJ1281" s="2589"/>
      <c r="BK1281" s="2126"/>
      <c r="BL1281" s="2126"/>
      <c r="BM1281" s="2126"/>
      <c r="BN1281" s="2126"/>
      <c r="BO1281" s="2126"/>
      <c r="BP1281" s="2126"/>
      <c r="BQ1281" s="2126"/>
      <c r="BR1281" s="2126"/>
      <c r="BS1281" s="2126"/>
    </row>
    <row r="1282" spans="1:71" s="3030" customFormat="1">
      <c r="A1282" s="2126"/>
      <c r="B1282" s="2126"/>
      <c r="C1282" s="2149"/>
      <c r="D1282" s="3248"/>
      <c r="E1282" s="525"/>
      <c r="F1282" s="525"/>
      <c r="G1282" s="526"/>
      <c r="K1282" s="3280"/>
      <c r="P1282" s="3041"/>
      <c r="X1282" s="3280"/>
      <c r="AA1282" s="3041"/>
      <c r="AF1282" s="3041"/>
      <c r="AN1282" s="3280"/>
      <c r="AZ1282" s="3041"/>
      <c r="BD1282" s="3281"/>
      <c r="BH1282" s="3282"/>
      <c r="BJ1282" s="2589"/>
      <c r="BK1282" s="2126"/>
      <c r="BL1282" s="2126"/>
      <c r="BM1282" s="2126"/>
      <c r="BN1282" s="2126"/>
      <c r="BO1282" s="2126"/>
      <c r="BP1282" s="2126"/>
      <c r="BQ1282" s="2126"/>
      <c r="BR1282" s="2126"/>
      <c r="BS1282" s="2126"/>
    </row>
    <row r="1283" spans="1:71" s="3030" customFormat="1">
      <c r="A1283" s="2126"/>
      <c r="B1283" s="2126"/>
      <c r="C1283" s="2149"/>
      <c r="D1283" s="3248"/>
      <c r="E1283" s="525"/>
      <c r="F1283" s="525"/>
      <c r="G1283" s="526"/>
      <c r="K1283" s="3280"/>
      <c r="P1283" s="3041"/>
      <c r="X1283" s="3280"/>
      <c r="AA1283" s="3041"/>
      <c r="AF1283" s="3041"/>
      <c r="AN1283" s="3280"/>
      <c r="AZ1283" s="3041"/>
      <c r="BD1283" s="3281"/>
      <c r="BH1283" s="3282"/>
      <c r="BJ1283" s="2589"/>
      <c r="BK1283" s="2126"/>
      <c r="BL1283" s="2126"/>
      <c r="BM1283" s="2126"/>
      <c r="BN1283" s="2126"/>
      <c r="BO1283" s="2126"/>
      <c r="BP1283" s="2126"/>
      <c r="BQ1283" s="2126"/>
      <c r="BR1283" s="2126"/>
      <c r="BS1283" s="2126"/>
    </row>
    <row r="1284" spans="1:71" s="3030" customFormat="1">
      <c r="A1284" s="2126"/>
      <c r="B1284" s="2126"/>
      <c r="C1284" s="2149"/>
      <c r="D1284" s="3248"/>
      <c r="E1284" s="525"/>
      <c r="F1284" s="525"/>
      <c r="G1284" s="526"/>
      <c r="K1284" s="3280"/>
      <c r="P1284" s="3041"/>
      <c r="X1284" s="3280"/>
      <c r="AA1284" s="3041"/>
      <c r="AF1284" s="3041"/>
      <c r="AN1284" s="3280"/>
      <c r="AZ1284" s="3041"/>
      <c r="BD1284" s="3281"/>
      <c r="BH1284" s="3282"/>
      <c r="BJ1284" s="2589"/>
      <c r="BK1284" s="2126"/>
      <c r="BL1284" s="2126"/>
      <c r="BM1284" s="2126"/>
      <c r="BN1284" s="2126"/>
      <c r="BO1284" s="2126"/>
      <c r="BP1284" s="2126"/>
      <c r="BQ1284" s="2126"/>
      <c r="BR1284" s="2126"/>
      <c r="BS1284" s="2126"/>
    </row>
    <row r="1285" spans="1:71" s="3030" customFormat="1">
      <c r="A1285" s="2126"/>
      <c r="B1285" s="2126"/>
      <c r="C1285" s="2149"/>
      <c r="D1285" s="3248"/>
      <c r="E1285" s="525"/>
      <c r="F1285" s="525"/>
      <c r="G1285" s="526"/>
      <c r="K1285" s="3280"/>
      <c r="P1285" s="3041"/>
      <c r="X1285" s="3280"/>
      <c r="AA1285" s="3041"/>
      <c r="AF1285" s="3041"/>
      <c r="AN1285" s="3280"/>
      <c r="AZ1285" s="3041"/>
      <c r="BD1285" s="3281"/>
      <c r="BH1285" s="3282"/>
      <c r="BJ1285" s="2589"/>
      <c r="BK1285" s="2126"/>
      <c r="BL1285" s="2126"/>
      <c r="BM1285" s="2126"/>
      <c r="BN1285" s="2126"/>
      <c r="BO1285" s="2126"/>
      <c r="BP1285" s="2126"/>
      <c r="BQ1285" s="2126"/>
      <c r="BR1285" s="2126"/>
      <c r="BS1285" s="2126"/>
    </row>
    <row r="1286" spans="1:71" s="3030" customFormat="1">
      <c r="A1286" s="2126"/>
      <c r="B1286" s="2126"/>
      <c r="C1286" s="2149"/>
      <c r="D1286" s="3248"/>
      <c r="E1286" s="525"/>
      <c r="F1286" s="525"/>
      <c r="G1286" s="526"/>
      <c r="K1286" s="3280"/>
      <c r="P1286" s="3041"/>
      <c r="X1286" s="3280"/>
      <c r="AA1286" s="3041"/>
      <c r="AF1286" s="3041"/>
      <c r="AN1286" s="3280"/>
      <c r="AZ1286" s="3041"/>
      <c r="BD1286" s="3281"/>
      <c r="BH1286" s="3282"/>
      <c r="BJ1286" s="2589"/>
      <c r="BK1286" s="2126"/>
      <c r="BL1286" s="2126"/>
      <c r="BM1286" s="2126"/>
      <c r="BN1286" s="2126"/>
      <c r="BO1286" s="2126"/>
      <c r="BP1286" s="2126"/>
      <c r="BQ1286" s="2126"/>
      <c r="BR1286" s="2126"/>
      <c r="BS1286" s="2126"/>
    </row>
    <row r="1287" spans="1:71" s="3030" customFormat="1">
      <c r="A1287" s="2126"/>
      <c r="B1287" s="2126"/>
      <c r="C1287" s="2149"/>
      <c r="D1287" s="3248"/>
      <c r="E1287" s="525"/>
      <c r="F1287" s="525"/>
      <c r="G1287" s="526"/>
      <c r="K1287" s="3280"/>
      <c r="P1287" s="3041"/>
      <c r="X1287" s="3280"/>
      <c r="AA1287" s="3041"/>
      <c r="AF1287" s="3041"/>
      <c r="AN1287" s="3280"/>
      <c r="AZ1287" s="3041"/>
      <c r="BD1287" s="3281"/>
      <c r="BH1287" s="3282"/>
      <c r="BJ1287" s="2589"/>
      <c r="BK1287" s="2126"/>
      <c r="BL1287" s="2126"/>
      <c r="BM1287" s="2126"/>
      <c r="BN1287" s="2126"/>
      <c r="BO1287" s="2126"/>
      <c r="BP1287" s="2126"/>
      <c r="BQ1287" s="2126"/>
      <c r="BR1287" s="2126"/>
      <c r="BS1287" s="2126"/>
    </row>
    <row r="1288" spans="1:71" s="3030" customFormat="1">
      <c r="A1288" s="2126"/>
      <c r="B1288" s="2126"/>
      <c r="C1288" s="2149"/>
      <c r="D1288" s="3248"/>
      <c r="E1288" s="525"/>
      <c r="F1288" s="525"/>
      <c r="G1288" s="526"/>
      <c r="K1288" s="3280"/>
      <c r="P1288" s="3041"/>
      <c r="X1288" s="3280"/>
      <c r="AA1288" s="3041"/>
      <c r="AF1288" s="3041"/>
      <c r="AN1288" s="3280"/>
      <c r="AZ1288" s="3041"/>
      <c r="BD1288" s="3281"/>
      <c r="BH1288" s="3282"/>
      <c r="BJ1288" s="2589"/>
      <c r="BK1288" s="2126"/>
      <c r="BL1288" s="2126"/>
      <c r="BM1288" s="2126"/>
      <c r="BN1288" s="2126"/>
      <c r="BO1288" s="2126"/>
      <c r="BP1288" s="2126"/>
      <c r="BQ1288" s="2126"/>
      <c r="BR1288" s="2126"/>
      <c r="BS1288" s="2126"/>
    </row>
    <row r="1289" spans="1:71" s="3030" customFormat="1">
      <c r="A1289" s="2126"/>
      <c r="B1289" s="2126"/>
      <c r="C1289" s="2149"/>
      <c r="D1289" s="3248"/>
      <c r="E1289" s="525"/>
      <c r="F1289" s="525"/>
      <c r="G1289" s="526"/>
      <c r="K1289" s="3280"/>
      <c r="P1289" s="3041"/>
      <c r="X1289" s="3280"/>
      <c r="AA1289" s="3041"/>
      <c r="AF1289" s="3041"/>
      <c r="AN1289" s="3280"/>
      <c r="AZ1289" s="3041"/>
      <c r="BD1289" s="3281"/>
      <c r="BH1289" s="3282"/>
      <c r="BJ1289" s="2589"/>
      <c r="BK1289" s="2126"/>
      <c r="BL1289" s="2126"/>
      <c r="BM1289" s="2126"/>
      <c r="BN1289" s="2126"/>
      <c r="BO1289" s="2126"/>
      <c r="BP1289" s="2126"/>
      <c r="BQ1289" s="2126"/>
      <c r="BR1289" s="2126"/>
      <c r="BS1289" s="2126"/>
    </row>
    <row r="1290" spans="1:71" s="3030" customFormat="1">
      <c r="A1290" s="2126"/>
      <c r="B1290" s="2126"/>
      <c r="C1290" s="2149"/>
      <c r="D1290" s="3248"/>
      <c r="E1290" s="525"/>
      <c r="F1290" s="525"/>
      <c r="G1290" s="526"/>
      <c r="K1290" s="3280"/>
      <c r="P1290" s="3041"/>
      <c r="X1290" s="3280"/>
      <c r="AA1290" s="3041"/>
      <c r="AF1290" s="3041"/>
      <c r="AN1290" s="3280"/>
      <c r="AZ1290" s="3041"/>
      <c r="BD1290" s="3281"/>
      <c r="BH1290" s="3282"/>
      <c r="BJ1290" s="2589"/>
      <c r="BK1290" s="2126"/>
      <c r="BL1290" s="2126"/>
      <c r="BM1290" s="2126"/>
      <c r="BN1290" s="2126"/>
      <c r="BO1290" s="2126"/>
      <c r="BP1290" s="2126"/>
      <c r="BQ1290" s="2126"/>
      <c r="BR1290" s="2126"/>
      <c r="BS1290" s="2126"/>
    </row>
    <row r="1291" spans="1:71" s="3030" customFormat="1">
      <c r="A1291" s="2126"/>
      <c r="B1291" s="2126"/>
      <c r="C1291" s="2149"/>
      <c r="D1291" s="3248"/>
      <c r="E1291" s="525"/>
      <c r="F1291" s="525"/>
      <c r="G1291" s="526"/>
      <c r="K1291" s="3280"/>
      <c r="P1291" s="3041"/>
      <c r="X1291" s="3280"/>
      <c r="AA1291" s="3041"/>
      <c r="AF1291" s="3041"/>
      <c r="AN1291" s="3280"/>
      <c r="AZ1291" s="3041"/>
      <c r="BD1291" s="3281"/>
      <c r="BH1291" s="3282"/>
      <c r="BJ1291" s="2589"/>
      <c r="BK1291" s="2126"/>
      <c r="BL1291" s="2126"/>
      <c r="BM1291" s="2126"/>
      <c r="BN1291" s="2126"/>
      <c r="BO1291" s="2126"/>
      <c r="BP1291" s="2126"/>
      <c r="BQ1291" s="2126"/>
      <c r="BR1291" s="2126"/>
      <c r="BS1291" s="2126"/>
    </row>
    <row r="1292" spans="1:71" s="3030" customFormat="1">
      <c r="A1292" s="2126"/>
      <c r="B1292" s="2126"/>
      <c r="C1292" s="2149"/>
      <c r="D1292" s="3248"/>
      <c r="E1292" s="525"/>
      <c r="F1292" s="525"/>
      <c r="G1292" s="526"/>
      <c r="K1292" s="3280"/>
      <c r="P1292" s="3041"/>
      <c r="X1292" s="3280"/>
      <c r="AA1292" s="3041"/>
      <c r="AF1292" s="3041"/>
      <c r="AN1292" s="3280"/>
      <c r="AZ1292" s="3041"/>
      <c r="BD1292" s="3281"/>
      <c r="BH1292" s="3282"/>
      <c r="BJ1292" s="2589"/>
      <c r="BK1292" s="2126"/>
      <c r="BL1292" s="2126"/>
      <c r="BM1292" s="2126"/>
      <c r="BN1292" s="2126"/>
      <c r="BO1292" s="2126"/>
      <c r="BP1292" s="2126"/>
      <c r="BQ1292" s="2126"/>
      <c r="BR1292" s="2126"/>
      <c r="BS1292" s="2126"/>
    </row>
    <row r="1293" spans="1:71" s="3030" customFormat="1">
      <c r="A1293" s="2126"/>
      <c r="B1293" s="2126"/>
      <c r="C1293" s="2149"/>
      <c r="D1293" s="3248"/>
      <c r="E1293" s="525"/>
      <c r="F1293" s="525"/>
      <c r="G1293" s="526"/>
      <c r="K1293" s="3280"/>
      <c r="P1293" s="3041"/>
      <c r="X1293" s="3280"/>
      <c r="AA1293" s="3041"/>
      <c r="AF1293" s="3041"/>
      <c r="AN1293" s="3280"/>
      <c r="AZ1293" s="3041"/>
      <c r="BD1293" s="3281"/>
      <c r="BH1293" s="3282"/>
      <c r="BJ1293" s="2589"/>
      <c r="BK1293" s="2126"/>
      <c r="BL1293" s="2126"/>
      <c r="BM1293" s="2126"/>
      <c r="BN1293" s="2126"/>
      <c r="BO1293" s="2126"/>
      <c r="BP1293" s="2126"/>
      <c r="BQ1293" s="2126"/>
      <c r="BR1293" s="2126"/>
      <c r="BS1293" s="2126"/>
    </row>
    <row r="1294" spans="1:71" s="3030" customFormat="1">
      <c r="A1294" s="2126"/>
      <c r="B1294" s="2126"/>
      <c r="C1294" s="2149"/>
      <c r="D1294" s="3248"/>
      <c r="E1294" s="525"/>
      <c r="F1294" s="525"/>
      <c r="G1294" s="526"/>
      <c r="K1294" s="3280"/>
      <c r="P1294" s="3041"/>
      <c r="X1294" s="3280"/>
      <c r="AA1294" s="3041"/>
      <c r="AF1294" s="3041"/>
      <c r="AN1294" s="3280"/>
      <c r="AZ1294" s="3041"/>
      <c r="BD1294" s="3281"/>
      <c r="BH1294" s="3282"/>
      <c r="BJ1294" s="2589"/>
      <c r="BK1294" s="2126"/>
      <c r="BL1294" s="2126"/>
      <c r="BM1294" s="2126"/>
      <c r="BN1294" s="2126"/>
      <c r="BO1294" s="2126"/>
      <c r="BP1294" s="2126"/>
      <c r="BQ1294" s="2126"/>
      <c r="BR1294" s="2126"/>
      <c r="BS1294" s="2126"/>
    </row>
    <row r="1295" spans="1:71" s="3030" customFormat="1">
      <c r="A1295" s="2126"/>
      <c r="B1295" s="2126"/>
      <c r="C1295" s="2149"/>
      <c r="D1295" s="3248"/>
      <c r="E1295" s="525"/>
      <c r="F1295" s="525"/>
      <c r="G1295" s="526"/>
      <c r="K1295" s="3280"/>
      <c r="P1295" s="3041"/>
      <c r="X1295" s="3280"/>
      <c r="AA1295" s="3041"/>
      <c r="AF1295" s="3041"/>
      <c r="AN1295" s="3280"/>
      <c r="AZ1295" s="3041"/>
      <c r="BD1295" s="3281"/>
      <c r="BH1295" s="3282"/>
      <c r="BJ1295" s="2589"/>
      <c r="BK1295" s="2126"/>
      <c r="BL1295" s="2126"/>
      <c r="BM1295" s="2126"/>
      <c r="BN1295" s="2126"/>
      <c r="BO1295" s="2126"/>
      <c r="BP1295" s="2126"/>
      <c r="BQ1295" s="2126"/>
      <c r="BR1295" s="2126"/>
      <c r="BS1295" s="2126"/>
    </row>
    <row r="1296" spans="1:71" s="3030" customFormat="1">
      <c r="A1296" s="2126"/>
      <c r="B1296" s="2126"/>
      <c r="C1296" s="2149"/>
      <c r="D1296" s="3248"/>
      <c r="E1296" s="525"/>
      <c r="F1296" s="525"/>
      <c r="G1296" s="526"/>
      <c r="K1296" s="3280"/>
      <c r="P1296" s="3041"/>
      <c r="X1296" s="3280"/>
      <c r="AA1296" s="3041"/>
      <c r="AF1296" s="3041"/>
      <c r="AN1296" s="3280"/>
      <c r="AZ1296" s="3041"/>
      <c r="BD1296" s="3281"/>
      <c r="BH1296" s="3282"/>
      <c r="BJ1296" s="2589"/>
      <c r="BK1296" s="2126"/>
      <c r="BL1296" s="2126"/>
      <c r="BM1296" s="2126"/>
      <c r="BN1296" s="2126"/>
      <c r="BO1296" s="2126"/>
      <c r="BP1296" s="2126"/>
      <c r="BQ1296" s="2126"/>
      <c r="BR1296" s="2126"/>
      <c r="BS1296" s="2126"/>
    </row>
    <row r="1297" spans="1:71" s="3030" customFormat="1">
      <c r="A1297" s="2126"/>
      <c r="B1297" s="2126"/>
      <c r="C1297" s="2149"/>
      <c r="D1297" s="3248"/>
      <c r="E1297" s="525"/>
      <c r="F1297" s="525"/>
      <c r="G1297" s="526"/>
      <c r="K1297" s="3280"/>
      <c r="P1297" s="3041"/>
      <c r="X1297" s="3280"/>
      <c r="AA1297" s="3041"/>
      <c r="AF1297" s="3041"/>
      <c r="AN1297" s="3280"/>
      <c r="AZ1297" s="3041"/>
      <c r="BD1297" s="3281"/>
      <c r="BH1297" s="3282"/>
      <c r="BJ1297" s="2589"/>
      <c r="BK1297" s="2126"/>
      <c r="BL1297" s="2126"/>
      <c r="BM1297" s="2126"/>
      <c r="BN1297" s="2126"/>
      <c r="BO1297" s="2126"/>
      <c r="BP1297" s="2126"/>
      <c r="BQ1297" s="2126"/>
      <c r="BR1297" s="2126"/>
      <c r="BS1297" s="2126"/>
    </row>
    <row r="1298" spans="1:71" s="3030" customFormat="1">
      <c r="A1298" s="2126"/>
      <c r="B1298" s="2126"/>
      <c r="C1298" s="2149"/>
      <c r="D1298" s="3248"/>
      <c r="E1298" s="525"/>
      <c r="F1298" s="525"/>
      <c r="G1298" s="526"/>
      <c r="K1298" s="3280"/>
      <c r="P1298" s="3041"/>
      <c r="X1298" s="3280"/>
      <c r="AA1298" s="3041"/>
      <c r="AF1298" s="3041"/>
      <c r="AN1298" s="3280"/>
      <c r="AZ1298" s="3041"/>
      <c r="BD1298" s="3281"/>
      <c r="BH1298" s="3282"/>
      <c r="BJ1298" s="2589"/>
      <c r="BK1298" s="2126"/>
      <c r="BL1298" s="2126"/>
      <c r="BM1298" s="2126"/>
      <c r="BN1298" s="2126"/>
      <c r="BO1298" s="2126"/>
      <c r="BP1298" s="2126"/>
      <c r="BQ1298" s="2126"/>
      <c r="BR1298" s="2126"/>
      <c r="BS1298" s="2126"/>
    </row>
    <row r="1299" spans="1:71" s="3030" customFormat="1">
      <c r="A1299" s="2126"/>
      <c r="B1299" s="2126"/>
      <c r="C1299" s="2149"/>
      <c r="D1299" s="3248"/>
      <c r="E1299" s="525"/>
      <c r="F1299" s="525"/>
      <c r="G1299" s="526"/>
      <c r="K1299" s="3280"/>
      <c r="P1299" s="3041"/>
      <c r="X1299" s="3280"/>
      <c r="AA1299" s="3041"/>
      <c r="AF1299" s="3041"/>
      <c r="AN1299" s="3280"/>
      <c r="AZ1299" s="3041"/>
      <c r="BD1299" s="3281"/>
      <c r="BH1299" s="3282"/>
      <c r="BJ1299" s="2589"/>
      <c r="BK1299" s="2126"/>
      <c r="BL1299" s="2126"/>
      <c r="BM1299" s="2126"/>
      <c r="BN1299" s="2126"/>
      <c r="BO1299" s="2126"/>
      <c r="BP1299" s="2126"/>
      <c r="BQ1299" s="2126"/>
      <c r="BR1299" s="2126"/>
      <c r="BS1299" s="2126"/>
    </row>
    <row r="1300" spans="1:71" s="3030" customFormat="1">
      <c r="A1300" s="2126"/>
      <c r="B1300" s="2126"/>
      <c r="C1300" s="2149"/>
      <c r="D1300" s="3248"/>
      <c r="E1300" s="525"/>
      <c r="F1300" s="525"/>
      <c r="G1300" s="526"/>
      <c r="K1300" s="3280"/>
      <c r="P1300" s="3041"/>
      <c r="X1300" s="3280"/>
      <c r="AA1300" s="3041"/>
      <c r="AF1300" s="3041"/>
      <c r="AN1300" s="3280"/>
      <c r="AZ1300" s="3041"/>
      <c r="BD1300" s="3281"/>
      <c r="BH1300" s="3282"/>
      <c r="BJ1300" s="2589"/>
      <c r="BK1300" s="2126"/>
      <c r="BL1300" s="2126"/>
      <c r="BM1300" s="2126"/>
      <c r="BN1300" s="2126"/>
      <c r="BO1300" s="2126"/>
      <c r="BP1300" s="2126"/>
      <c r="BQ1300" s="2126"/>
      <c r="BR1300" s="2126"/>
      <c r="BS1300" s="2126"/>
    </row>
    <row r="1301" spans="1:71" s="3030" customFormat="1">
      <c r="A1301" s="2126"/>
      <c r="B1301" s="2126"/>
      <c r="C1301" s="2149"/>
      <c r="D1301" s="3248"/>
      <c r="E1301" s="525"/>
      <c r="F1301" s="525"/>
      <c r="G1301" s="526"/>
      <c r="K1301" s="3280"/>
      <c r="P1301" s="3041"/>
      <c r="X1301" s="3280"/>
      <c r="AA1301" s="3041"/>
      <c r="AF1301" s="3041"/>
      <c r="AN1301" s="3280"/>
      <c r="AZ1301" s="3041"/>
      <c r="BD1301" s="3281"/>
      <c r="BH1301" s="3282"/>
      <c r="BJ1301" s="2589"/>
      <c r="BK1301" s="2126"/>
      <c r="BL1301" s="2126"/>
      <c r="BM1301" s="2126"/>
      <c r="BN1301" s="2126"/>
      <c r="BO1301" s="2126"/>
      <c r="BP1301" s="2126"/>
      <c r="BQ1301" s="2126"/>
      <c r="BR1301" s="2126"/>
      <c r="BS1301" s="2126"/>
    </row>
    <row r="1302" spans="1:71" s="3030" customFormat="1">
      <c r="A1302" s="2126"/>
      <c r="B1302" s="2126"/>
      <c r="C1302" s="2149"/>
      <c r="D1302" s="3248"/>
      <c r="E1302" s="525"/>
      <c r="F1302" s="525"/>
      <c r="G1302" s="526"/>
      <c r="K1302" s="3280"/>
      <c r="P1302" s="3041"/>
      <c r="X1302" s="3280"/>
      <c r="AA1302" s="3041"/>
      <c r="AF1302" s="3041"/>
      <c r="AN1302" s="3280"/>
      <c r="AZ1302" s="3041"/>
      <c r="BD1302" s="3281"/>
      <c r="BH1302" s="3282"/>
      <c r="BJ1302" s="2589"/>
      <c r="BK1302" s="2126"/>
      <c r="BL1302" s="2126"/>
      <c r="BM1302" s="2126"/>
      <c r="BN1302" s="2126"/>
      <c r="BO1302" s="2126"/>
      <c r="BP1302" s="2126"/>
      <c r="BQ1302" s="2126"/>
      <c r="BR1302" s="2126"/>
      <c r="BS1302" s="2126"/>
    </row>
    <row r="1303" spans="1:71" s="3030" customFormat="1">
      <c r="A1303" s="2126"/>
      <c r="B1303" s="2126"/>
      <c r="C1303" s="2149"/>
      <c r="D1303" s="3248"/>
      <c r="E1303" s="525"/>
      <c r="F1303" s="525"/>
      <c r="G1303" s="526"/>
      <c r="K1303" s="3280"/>
      <c r="P1303" s="3041"/>
      <c r="X1303" s="3280"/>
      <c r="AA1303" s="3041"/>
      <c r="AF1303" s="3041"/>
      <c r="AN1303" s="3280"/>
      <c r="AZ1303" s="3041"/>
      <c r="BD1303" s="3281"/>
      <c r="BH1303" s="3282"/>
      <c r="BJ1303" s="2589"/>
      <c r="BK1303" s="2126"/>
      <c r="BL1303" s="2126"/>
      <c r="BM1303" s="2126"/>
      <c r="BN1303" s="2126"/>
      <c r="BO1303" s="2126"/>
      <c r="BP1303" s="2126"/>
      <c r="BQ1303" s="2126"/>
      <c r="BR1303" s="2126"/>
      <c r="BS1303" s="2126"/>
    </row>
    <row r="1304" spans="1:71" s="3030" customFormat="1">
      <c r="A1304" s="2126"/>
      <c r="B1304" s="2126"/>
      <c r="C1304" s="2149"/>
      <c r="D1304" s="3248"/>
      <c r="E1304" s="525"/>
      <c r="F1304" s="525"/>
      <c r="G1304" s="526"/>
      <c r="K1304" s="3280"/>
      <c r="P1304" s="3041"/>
      <c r="X1304" s="3280"/>
      <c r="AA1304" s="3041"/>
      <c r="AF1304" s="3041"/>
      <c r="AN1304" s="3280"/>
      <c r="AZ1304" s="3041"/>
      <c r="BD1304" s="3281"/>
      <c r="BH1304" s="3282"/>
      <c r="BJ1304" s="2589"/>
      <c r="BK1304" s="2126"/>
      <c r="BL1304" s="2126"/>
      <c r="BM1304" s="2126"/>
      <c r="BN1304" s="2126"/>
      <c r="BO1304" s="2126"/>
      <c r="BP1304" s="2126"/>
      <c r="BQ1304" s="2126"/>
      <c r="BR1304" s="2126"/>
      <c r="BS1304" s="2126"/>
    </row>
    <row r="1305" spans="1:71" s="3030" customFormat="1">
      <c r="A1305" s="2126"/>
      <c r="B1305" s="2126"/>
      <c r="C1305" s="2149"/>
      <c r="D1305" s="3248"/>
      <c r="E1305" s="525"/>
      <c r="F1305" s="525"/>
      <c r="G1305" s="526"/>
      <c r="K1305" s="3280"/>
      <c r="P1305" s="3041"/>
      <c r="X1305" s="3280"/>
      <c r="AA1305" s="3041"/>
      <c r="AF1305" s="3041"/>
      <c r="AN1305" s="3280"/>
      <c r="AZ1305" s="3041"/>
      <c r="BD1305" s="3281"/>
      <c r="BH1305" s="3282"/>
      <c r="BJ1305" s="2589"/>
      <c r="BK1305" s="2126"/>
      <c r="BL1305" s="2126"/>
      <c r="BM1305" s="2126"/>
      <c r="BN1305" s="2126"/>
      <c r="BO1305" s="2126"/>
      <c r="BP1305" s="2126"/>
      <c r="BQ1305" s="2126"/>
      <c r="BR1305" s="2126"/>
      <c r="BS1305" s="2126"/>
    </row>
    <row r="1306" spans="1:71" s="3030" customFormat="1">
      <c r="A1306" s="2126"/>
      <c r="B1306" s="2126"/>
      <c r="C1306" s="2149"/>
      <c r="D1306" s="3248"/>
      <c r="E1306" s="525"/>
      <c r="F1306" s="525"/>
      <c r="G1306" s="526"/>
      <c r="K1306" s="3280"/>
      <c r="P1306" s="3041"/>
      <c r="X1306" s="3280"/>
      <c r="AA1306" s="3041"/>
      <c r="AF1306" s="3041"/>
      <c r="AN1306" s="3280"/>
      <c r="AZ1306" s="3041"/>
      <c r="BD1306" s="3281"/>
      <c r="BH1306" s="3282"/>
      <c r="BJ1306" s="2589"/>
      <c r="BK1306" s="2126"/>
      <c r="BL1306" s="2126"/>
      <c r="BM1306" s="2126"/>
      <c r="BN1306" s="2126"/>
      <c r="BO1306" s="2126"/>
      <c r="BP1306" s="2126"/>
      <c r="BQ1306" s="2126"/>
      <c r="BR1306" s="2126"/>
      <c r="BS1306" s="2126"/>
    </row>
    <row r="1307" spans="1:71" s="3030" customFormat="1">
      <c r="A1307" s="2126"/>
      <c r="B1307" s="2126"/>
      <c r="C1307" s="2149"/>
      <c r="D1307" s="3248"/>
      <c r="E1307" s="525"/>
      <c r="F1307" s="525"/>
      <c r="G1307" s="526"/>
      <c r="K1307" s="3280"/>
      <c r="P1307" s="3041"/>
      <c r="X1307" s="3280"/>
      <c r="AA1307" s="3041"/>
      <c r="AF1307" s="3041"/>
      <c r="AN1307" s="3280"/>
      <c r="AZ1307" s="3041"/>
      <c r="BD1307" s="3281"/>
      <c r="BH1307" s="3282"/>
      <c r="BJ1307" s="2589"/>
      <c r="BK1307" s="2126"/>
      <c r="BL1307" s="2126"/>
      <c r="BM1307" s="2126"/>
      <c r="BN1307" s="2126"/>
      <c r="BO1307" s="2126"/>
      <c r="BP1307" s="2126"/>
      <c r="BQ1307" s="2126"/>
      <c r="BR1307" s="2126"/>
      <c r="BS1307" s="2126"/>
    </row>
    <row r="1308" spans="1:71" s="3030" customFormat="1">
      <c r="A1308" s="2126"/>
      <c r="B1308" s="2126"/>
      <c r="C1308" s="2149"/>
      <c r="D1308" s="3248"/>
      <c r="E1308" s="525"/>
      <c r="F1308" s="525"/>
      <c r="G1308" s="526"/>
      <c r="K1308" s="3280"/>
      <c r="P1308" s="3041"/>
      <c r="X1308" s="3280"/>
      <c r="AA1308" s="3041"/>
      <c r="AF1308" s="3041"/>
      <c r="AN1308" s="3280"/>
      <c r="AZ1308" s="3041"/>
      <c r="BD1308" s="3281"/>
      <c r="BH1308" s="3282"/>
      <c r="BJ1308" s="2589"/>
      <c r="BK1308" s="2126"/>
      <c r="BL1308" s="2126"/>
      <c r="BM1308" s="2126"/>
      <c r="BN1308" s="2126"/>
      <c r="BO1308" s="2126"/>
      <c r="BP1308" s="2126"/>
      <c r="BQ1308" s="2126"/>
      <c r="BR1308" s="2126"/>
      <c r="BS1308" s="2126"/>
    </row>
    <row r="1309" spans="1:71" s="3030" customFormat="1">
      <c r="A1309" s="2126"/>
      <c r="B1309" s="2126"/>
      <c r="C1309" s="2149"/>
      <c r="D1309" s="3248"/>
      <c r="E1309" s="525"/>
      <c r="F1309" s="525"/>
      <c r="G1309" s="526"/>
      <c r="K1309" s="3280"/>
      <c r="P1309" s="3041"/>
      <c r="X1309" s="3280"/>
      <c r="AA1309" s="3041"/>
      <c r="AF1309" s="3041"/>
      <c r="AN1309" s="3280"/>
      <c r="AZ1309" s="3041"/>
      <c r="BD1309" s="3281"/>
      <c r="BH1309" s="3282"/>
      <c r="BJ1309" s="2589"/>
      <c r="BK1309" s="2126"/>
      <c r="BL1309" s="2126"/>
      <c r="BM1309" s="2126"/>
      <c r="BN1309" s="2126"/>
      <c r="BO1309" s="2126"/>
      <c r="BP1309" s="2126"/>
      <c r="BQ1309" s="2126"/>
      <c r="BR1309" s="2126"/>
      <c r="BS1309" s="2126"/>
    </row>
    <row r="1310" spans="1:71" s="3030" customFormat="1">
      <c r="A1310" s="2126"/>
      <c r="B1310" s="2126"/>
      <c r="C1310" s="2149"/>
      <c r="D1310" s="3248"/>
      <c r="E1310" s="525"/>
      <c r="F1310" s="525"/>
      <c r="G1310" s="526"/>
      <c r="K1310" s="3280"/>
      <c r="P1310" s="3041"/>
      <c r="X1310" s="3280"/>
      <c r="AA1310" s="3041"/>
      <c r="AF1310" s="3041"/>
      <c r="AN1310" s="3280"/>
      <c r="AZ1310" s="3041"/>
      <c r="BD1310" s="3281"/>
      <c r="BH1310" s="3282"/>
      <c r="BJ1310" s="2589"/>
      <c r="BK1310" s="2126"/>
      <c r="BL1310" s="2126"/>
      <c r="BM1310" s="2126"/>
      <c r="BN1310" s="2126"/>
      <c r="BO1310" s="2126"/>
      <c r="BP1310" s="2126"/>
      <c r="BQ1310" s="2126"/>
      <c r="BR1310" s="2126"/>
      <c r="BS1310" s="2126"/>
    </row>
    <row r="1311" spans="1:71" s="3030" customFormat="1">
      <c r="A1311" s="2126"/>
      <c r="B1311" s="2126"/>
      <c r="C1311" s="2149"/>
      <c r="D1311" s="3248"/>
      <c r="E1311" s="525"/>
      <c r="F1311" s="525"/>
      <c r="G1311" s="526"/>
      <c r="K1311" s="3280"/>
      <c r="P1311" s="3041"/>
      <c r="X1311" s="3280"/>
      <c r="AA1311" s="3041"/>
      <c r="AF1311" s="3041"/>
      <c r="AN1311" s="3280"/>
      <c r="AZ1311" s="3041"/>
      <c r="BD1311" s="3281"/>
      <c r="BH1311" s="3282"/>
      <c r="BJ1311" s="2589"/>
      <c r="BK1311" s="2126"/>
      <c r="BL1311" s="2126"/>
      <c r="BM1311" s="2126"/>
      <c r="BN1311" s="2126"/>
      <c r="BO1311" s="2126"/>
      <c r="BP1311" s="2126"/>
      <c r="BQ1311" s="2126"/>
      <c r="BR1311" s="2126"/>
      <c r="BS1311" s="2126"/>
    </row>
    <row r="1312" spans="1:71" s="3030" customFormat="1">
      <c r="A1312" s="2126"/>
      <c r="B1312" s="2126"/>
      <c r="C1312" s="2149"/>
      <c r="D1312" s="3248"/>
      <c r="E1312" s="525"/>
      <c r="F1312" s="525"/>
      <c r="G1312" s="526"/>
      <c r="K1312" s="3280"/>
      <c r="P1312" s="3041"/>
      <c r="X1312" s="3280"/>
      <c r="AA1312" s="3041"/>
      <c r="AF1312" s="3041"/>
      <c r="AN1312" s="3280"/>
      <c r="AZ1312" s="3041"/>
      <c r="BD1312" s="3281"/>
      <c r="BH1312" s="3282"/>
      <c r="BJ1312" s="2589"/>
      <c r="BK1312" s="2126"/>
      <c r="BL1312" s="2126"/>
      <c r="BM1312" s="2126"/>
      <c r="BN1312" s="2126"/>
      <c r="BO1312" s="2126"/>
      <c r="BP1312" s="2126"/>
      <c r="BQ1312" s="2126"/>
      <c r="BR1312" s="2126"/>
      <c r="BS1312" s="2126"/>
    </row>
    <row r="1313" spans="1:71" s="3030" customFormat="1">
      <c r="A1313" s="2126"/>
      <c r="B1313" s="2126"/>
      <c r="C1313" s="2149"/>
      <c r="D1313" s="3248"/>
      <c r="E1313" s="525"/>
      <c r="F1313" s="525"/>
      <c r="G1313" s="526"/>
      <c r="K1313" s="3280"/>
      <c r="P1313" s="3041"/>
      <c r="X1313" s="3280"/>
      <c r="AA1313" s="3041"/>
      <c r="AF1313" s="3041"/>
      <c r="AN1313" s="3280"/>
      <c r="AZ1313" s="3041"/>
      <c r="BD1313" s="3281"/>
      <c r="BH1313" s="3282"/>
      <c r="BJ1313" s="2589"/>
      <c r="BK1313" s="2126"/>
      <c r="BL1313" s="2126"/>
      <c r="BM1313" s="2126"/>
      <c r="BN1313" s="2126"/>
      <c r="BO1313" s="2126"/>
      <c r="BP1313" s="2126"/>
      <c r="BQ1313" s="2126"/>
      <c r="BR1313" s="2126"/>
      <c r="BS1313" s="2126"/>
    </row>
    <row r="1314" spans="1:71" s="3030" customFormat="1">
      <c r="A1314" s="2126"/>
      <c r="B1314" s="2126"/>
      <c r="C1314" s="2149"/>
      <c r="D1314" s="3248"/>
      <c r="E1314" s="525"/>
      <c r="F1314" s="525"/>
      <c r="G1314" s="526"/>
      <c r="K1314" s="3280"/>
      <c r="P1314" s="3041"/>
      <c r="X1314" s="3280"/>
      <c r="AA1314" s="3041"/>
      <c r="AF1314" s="3041"/>
      <c r="AN1314" s="3280"/>
      <c r="AZ1314" s="3041"/>
      <c r="BD1314" s="3281"/>
      <c r="BH1314" s="3282"/>
      <c r="BJ1314" s="2589"/>
      <c r="BK1314" s="2126"/>
      <c r="BL1314" s="2126"/>
      <c r="BM1314" s="2126"/>
      <c r="BN1314" s="2126"/>
      <c r="BO1314" s="2126"/>
      <c r="BP1314" s="2126"/>
      <c r="BQ1314" s="2126"/>
      <c r="BR1314" s="2126"/>
      <c r="BS1314" s="2126"/>
    </row>
    <row r="1315" spans="1:71" s="3030" customFormat="1">
      <c r="A1315" s="2126"/>
      <c r="B1315" s="2126"/>
      <c r="C1315" s="2149"/>
      <c r="D1315" s="3248"/>
      <c r="E1315" s="525"/>
      <c r="F1315" s="525"/>
      <c r="G1315" s="526"/>
      <c r="K1315" s="3280"/>
      <c r="P1315" s="3041"/>
      <c r="X1315" s="3280"/>
      <c r="AA1315" s="3041"/>
      <c r="AF1315" s="3041"/>
      <c r="AN1315" s="3280"/>
      <c r="AZ1315" s="3041"/>
      <c r="BD1315" s="3281"/>
      <c r="BH1315" s="3282"/>
      <c r="BJ1315" s="2589"/>
      <c r="BK1315" s="2126"/>
      <c r="BL1315" s="2126"/>
      <c r="BM1315" s="2126"/>
      <c r="BN1315" s="2126"/>
      <c r="BO1315" s="2126"/>
      <c r="BP1315" s="2126"/>
      <c r="BQ1315" s="2126"/>
      <c r="BR1315" s="2126"/>
      <c r="BS1315" s="2126"/>
    </row>
    <row r="1316" spans="1:71" s="3030" customFormat="1">
      <c r="A1316" s="2126"/>
      <c r="B1316" s="2126"/>
      <c r="C1316" s="2149"/>
      <c r="D1316" s="3248"/>
      <c r="E1316" s="525"/>
      <c r="F1316" s="525"/>
      <c r="G1316" s="526"/>
      <c r="K1316" s="3280"/>
      <c r="P1316" s="3041"/>
      <c r="X1316" s="3280"/>
      <c r="AA1316" s="3041"/>
      <c r="AF1316" s="3041"/>
      <c r="AN1316" s="3280"/>
      <c r="AZ1316" s="3041"/>
      <c r="BD1316" s="3281"/>
      <c r="BH1316" s="3282"/>
      <c r="BJ1316" s="2589"/>
      <c r="BK1316" s="2126"/>
      <c r="BL1316" s="2126"/>
      <c r="BM1316" s="2126"/>
      <c r="BN1316" s="2126"/>
      <c r="BO1316" s="2126"/>
      <c r="BP1316" s="2126"/>
      <c r="BQ1316" s="2126"/>
      <c r="BR1316" s="2126"/>
      <c r="BS1316" s="2126"/>
    </row>
    <row r="1317" spans="1:71" s="3030" customFormat="1">
      <c r="A1317" s="2126"/>
      <c r="B1317" s="2126"/>
      <c r="C1317" s="2149"/>
      <c r="D1317" s="3248"/>
      <c r="E1317" s="525"/>
      <c r="F1317" s="525"/>
      <c r="G1317" s="526"/>
      <c r="K1317" s="3280"/>
      <c r="P1317" s="3041"/>
      <c r="X1317" s="3280"/>
      <c r="AA1317" s="3041"/>
      <c r="AF1317" s="3041"/>
      <c r="AN1317" s="3280"/>
      <c r="AZ1317" s="3041"/>
      <c r="BD1317" s="3281"/>
      <c r="BH1317" s="3282"/>
      <c r="BJ1317" s="2589"/>
      <c r="BK1317" s="2126"/>
      <c r="BL1317" s="2126"/>
      <c r="BM1317" s="2126"/>
      <c r="BN1317" s="2126"/>
      <c r="BO1317" s="2126"/>
      <c r="BP1317" s="2126"/>
      <c r="BQ1317" s="2126"/>
      <c r="BR1317" s="2126"/>
      <c r="BS1317" s="2126"/>
    </row>
    <row r="1318" spans="1:71" s="3030" customFormat="1">
      <c r="A1318" s="2126"/>
      <c r="B1318" s="2126"/>
      <c r="C1318" s="2149"/>
      <c r="D1318" s="3248"/>
      <c r="E1318" s="525"/>
      <c r="F1318" s="525"/>
      <c r="G1318" s="526"/>
      <c r="K1318" s="3280"/>
      <c r="P1318" s="3041"/>
      <c r="X1318" s="3280"/>
      <c r="AA1318" s="3041"/>
      <c r="AF1318" s="3041"/>
      <c r="AN1318" s="3280"/>
      <c r="AZ1318" s="3041"/>
      <c r="BD1318" s="3281"/>
      <c r="BH1318" s="3282"/>
      <c r="BJ1318" s="2589"/>
      <c r="BK1318" s="2126"/>
      <c r="BL1318" s="2126"/>
      <c r="BM1318" s="2126"/>
      <c r="BN1318" s="2126"/>
      <c r="BO1318" s="2126"/>
      <c r="BP1318" s="2126"/>
      <c r="BQ1318" s="2126"/>
      <c r="BR1318" s="2126"/>
      <c r="BS1318" s="2126"/>
    </row>
    <row r="1319" spans="1:71" s="3030" customFormat="1">
      <c r="A1319" s="2126"/>
      <c r="B1319" s="2126"/>
      <c r="C1319" s="2149"/>
      <c r="D1319" s="3248"/>
      <c r="E1319" s="525"/>
      <c r="F1319" s="525"/>
      <c r="G1319" s="526"/>
      <c r="K1319" s="3280"/>
      <c r="P1319" s="3041"/>
      <c r="X1319" s="3280"/>
      <c r="AA1319" s="3041"/>
      <c r="AF1319" s="3041"/>
      <c r="AN1319" s="3280"/>
      <c r="AZ1319" s="3041"/>
      <c r="BD1319" s="3281"/>
      <c r="BH1319" s="3282"/>
      <c r="BJ1319" s="2589"/>
      <c r="BK1319" s="2126"/>
      <c r="BL1319" s="2126"/>
      <c r="BM1319" s="2126"/>
      <c r="BN1319" s="2126"/>
      <c r="BO1319" s="2126"/>
      <c r="BP1319" s="2126"/>
      <c r="BQ1319" s="2126"/>
      <c r="BR1319" s="2126"/>
      <c r="BS1319" s="2126"/>
    </row>
    <row r="1320" spans="1:71" s="3030" customFormat="1">
      <c r="A1320" s="2126"/>
      <c r="B1320" s="2126"/>
      <c r="C1320" s="2149"/>
      <c r="D1320" s="3248"/>
      <c r="E1320" s="525"/>
      <c r="F1320" s="525"/>
      <c r="G1320" s="526"/>
      <c r="K1320" s="3280"/>
      <c r="P1320" s="3041"/>
      <c r="X1320" s="3280"/>
      <c r="AA1320" s="3041"/>
      <c r="AF1320" s="3041"/>
      <c r="AN1320" s="3280"/>
      <c r="AZ1320" s="3041"/>
      <c r="BD1320" s="3281"/>
      <c r="BH1320" s="3282"/>
      <c r="BJ1320" s="2589"/>
      <c r="BK1320" s="2126"/>
      <c r="BL1320" s="2126"/>
      <c r="BM1320" s="2126"/>
      <c r="BN1320" s="2126"/>
      <c r="BO1320" s="2126"/>
      <c r="BP1320" s="2126"/>
      <c r="BQ1320" s="2126"/>
      <c r="BR1320" s="2126"/>
      <c r="BS1320" s="2126"/>
    </row>
    <row r="1321" spans="1:71" s="3030" customFormat="1">
      <c r="A1321" s="2126"/>
      <c r="B1321" s="2126"/>
      <c r="C1321" s="2149"/>
      <c r="D1321" s="3248"/>
      <c r="E1321" s="525"/>
      <c r="F1321" s="525"/>
      <c r="G1321" s="526"/>
      <c r="K1321" s="3280"/>
      <c r="P1321" s="3041"/>
      <c r="X1321" s="3280"/>
      <c r="AA1321" s="3041"/>
      <c r="AF1321" s="3041"/>
      <c r="AN1321" s="3280"/>
      <c r="AZ1321" s="3041"/>
      <c r="BD1321" s="3281"/>
      <c r="BH1321" s="3282"/>
      <c r="BJ1321" s="2589"/>
      <c r="BK1321" s="2126"/>
      <c r="BL1321" s="2126"/>
      <c r="BM1321" s="2126"/>
      <c r="BN1321" s="2126"/>
      <c r="BO1321" s="2126"/>
      <c r="BP1321" s="2126"/>
      <c r="BQ1321" s="2126"/>
      <c r="BR1321" s="2126"/>
      <c r="BS1321" s="2126"/>
    </row>
    <row r="1322" spans="1:71" s="3030" customFormat="1">
      <c r="A1322" s="2126"/>
      <c r="B1322" s="2126"/>
      <c r="C1322" s="2149"/>
      <c r="D1322" s="3248"/>
      <c r="E1322" s="525"/>
      <c r="F1322" s="525"/>
      <c r="G1322" s="526"/>
      <c r="K1322" s="3280"/>
      <c r="P1322" s="3041"/>
      <c r="X1322" s="3280"/>
      <c r="AA1322" s="3041"/>
      <c r="AF1322" s="3041"/>
      <c r="AN1322" s="3280"/>
      <c r="AZ1322" s="3041"/>
      <c r="BD1322" s="3281"/>
      <c r="BH1322" s="3282"/>
      <c r="BJ1322" s="2589"/>
      <c r="BK1322" s="2126"/>
      <c r="BL1322" s="2126"/>
      <c r="BM1322" s="2126"/>
      <c r="BN1322" s="2126"/>
      <c r="BO1322" s="2126"/>
      <c r="BP1322" s="2126"/>
      <c r="BQ1322" s="2126"/>
      <c r="BR1322" s="2126"/>
      <c r="BS1322" s="2126"/>
    </row>
    <row r="1323" spans="1:71" s="3030" customFormat="1">
      <c r="A1323" s="2126"/>
      <c r="B1323" s="2126"/>
      <c r="C1323" s="2149"/>
      <c r="D1323" s="3248"/>
      <c r="E1323" s="525"/>
      <c r="F1323" s="525"/>
      <c r="G1323" s="526"/>
      <c r="K1323" s="3280"/>
      <c r="P1323" s="3041"/>
      <c r="X1323" s="3280"/>
      <c r="AA1323" s="3041"/>
      <c r="AF1323" s="3041"/>
      <c r="AN1323" s="3280"/>
      <c r="AZ1323" s="3041"/>
      <c r="BD1323" s="3281"/>
      <c r="BH1323" s="3282"/>
      <c r="BJ1323" s="2589"/>
      <c r="BK1323" s="2126"/>
      <c r="BL1323" s="2126"/>
      <c r="BM1323" s="2126"/>
      <c r="BN1323" s="2126"/>
      <c r="BO1323" s="2126"/>
      <c r="BP1323" s="2126"/>
      <c r="BQ1323" s="2126"/>
      <c r="BR1323" s="2126"/>
      <c r="BS1323" s="2126"/>
    </row>
    <row r="1324" spans="1:71" s="3030" customFormat="1">
      <c r="A1324" s="2126"/>
      <c r="B1324" s="2126"/>
      <c r="C1324" s="2149"/>
      <c r="D1324" s="3248"/>
      <c r="E1324" s="525"/>
      <c r="F1324" s="525"/>
      <c r="G1324" s="526"/>
      <c r="K1324" s="3280"/>
      <c r="P1324" s="3041"/>
      <c r="X1324" s="3280"/>
      <c r="AA1324" s="3041"/>
      <c r="AF1324" s="3041"/>
      <c r="AN1324" s="3280"/>
      <c r="AZ1324" s="3041"/>
      <c r="BD1324" s="3281"/>
      <c r="BH1324" s="3282"/>
      <c r="BJ1324" s="2589"/>
      <c r="BK1324" s="2126"/>
      <c r="BL1324" s="2126"/>
      <c r="BM1324" s="2126"/>
      <c r="BN1324" s="2126"/>
      <c r="BO1324" s="2126"/>
      <c r="BP1324" s="2126"/>
      <c r="BQ1324" s="2126"/>
      <c r="BR1324" s="2126"/>
      <c r="BS1324" s="2126"/>
    </row>
    <row r="1325" spans="1:71" s="3030" customFormat="1">
      <c r="A1325" s="2126"/>
      <c r="B1325" s="2126"/>
      <c r="C1325" s="2149"/>
      <c r="D1325" s="3248"/>
      <c r="E1325" s="525"/>
      <c r="F1325" s="525"/>
      <c r="G1325" s="526"/>
      <c r="K1325" s="3280"/>
      <c r="P1325" s="3041"/>
      <c r="X1325" s="3280"/>
      <c r="AA1325" s="3041"/>
      <c r="AF1325" s="3041"/>
      <c r="AN1325" s="3280"/>
      <c r="AZ1325" s="3041"/>
      <c r="BD1325" s="3281"/>
      <c r="BH1325" s="3282"/>
      <c r="BJ1325" s="2589"/>
      <c r="BK1325" s="2126"/>
      <c r="BL1325" s="2126"/>
      <c r="BM1325" s="2126"/>
      <c r="BN1325" s="2126"/>
      <c r="BO1325" s="2126"/>
      <c r="BP1325" s="2126"/>
      <c r="BQ1325" s="2126"/>
      <c r="BR1325" s="2126"/>
      <c r="BS1325" s="2126"/>
    </row>
    <row r="1326" spans="1:71" s="3030" customFormat="1">
      <c r="A1326" s="2126"/>
      <c r="B1326" s="2126"/>
      <c r="C1326" s="2149"/>
      <c r="D1326" s="3248"/>
      <c r="E1326" s="525"/>
      <c r="F1326" s="525"/>
      <c r="G1326" s="526"/>
      <c r="K1326" s="3280"/>
      <c r="P1326" s="3041"/>
      <c r="X1326" s="3280"/>
      <c r="AA1326" s="3041"/>
      <c r="AF1326" s="3041"/>
      <c r="AN1326" s="3280"/>
      <c r="AZ1326" s="3041"/>
      <c r="BD1326" s="3281"/>
      <c r="BH1326" s="3282"/>
      <c r="BJ1326" s="2589"/>
      <c r="BK1326" s="2126"/>
      <c r="BL1326" s="2126"/>
      <c r="BM1326" s="2126"/>
      <c r="BN1326" s="2126"/>
      <c r="BO1326" s="2126"/>
      <c r="BP1326" s="2126"/>
      <c r="BQ1326" s="2126"/>
      <c r="BR1326" s="2126"/>
      <c r="BS1326" s="2126"/>
    </row>
    <row r="1327" spans="1:71" s="3030" customFormat="1">
      <c r="A1327" s="2126"/>
      <c r="B1327" s="2126"/>
      <c r="C1327" s="2149"/>
      <c r="D1327" s="3248"/>
      <c r="E1327" s="525"/>
      <c r="F1327" s="525"/>
      <c r="G1327" s="526"/>
      <c r="K1327" s="3280"/>
      <c r="P1327" s="3041"/>
      <c r="X1327" s="3280"/>
      <c r="AA1327" s="3041"/>
      <c r="AF1327" s="3041"/>
      <c r="AN1327" s="3280"/>
      <c r="AZ1327" s="3041"/>
      <c r="BD1327" s="3281"/>
      <c r="BH1327" s="3282"/>
      <c r="BJ1327" s="2589"/>
      <c r="BK1327" s="2126"/>
      <c r="BL1327" s="2126"/>
      <c r="BM1327" s="2126"/>
      <c r="BN1327" s="2126"/>
      <c r="BO1327" s="2126"/>
      <c r="BP1327" s="2126"/>
      <c r="BQ1327" s="2126"/>
      <c r="BR1327" s="2126"/>
      <c r="BS1327" s="2126"/>
    </row>
    <row r="1328" spans="1:71" s="3030" customFormat="1">
      <c r="A1328" s="2126"/>
      <c r="B1328" s="2126"/>
      <c r="C1328" s="2149"/>
      <c r="D1328" s="3248"/>
      <c r="E1328" s="525"/>
      <c r="F1328" s="525"/>
      <c r="G1328" s="526"/>
      <c r="K1328" s="3280"/>
      <c r="P1328" s="3041"/>
      <c r="X1328" s="3280"/>
      <c r="AA1328" s="3041"/>
      <c r="AF1328" s="3041"/>
      <c r="AN1328" s="3280"/>
      <c r="AZ1328" s="3041"/>
      <c r="BD1328" s="3281"/>
      <c r="BH1328" s="3282"/>
      <c r="BJ1328" s="2589"/>
      <c r="BK1328" s="2126"/>
      <c r="BL1328" s="2126"/>
      <c r="BM1328" s="2126"/>
      <c r="BN1328" s="2126"/>
      <c r="BO1328" s="2126"/>
      <c r="BP1328" s="2126"/>
      <c r="BQ1328" s="2126"/>
      <c r="BR1328" s="2126"/>
      <c r="BS1328" s="2126"/>
    </row>
    <row r="1329" spans="1:71" s="3030" customFormat="1">
      <c r="A1329" s="2126"/>
      <c r="B1329" s="2126"/>
      <c r="C1329" s="2149"/>
      <c r="D1329" s="3248"/>
      <c r="E1329" s="525"/>
      <c r="F1329" s="525"/>
      <c r="G1329" s="526"/>
      <c r="K1329" s="3280"/>
      <c r="P1329" s="3041"/>
      <c r="X1329" s="3280"/>
      <c r="AA1329" s="3041"/>
      <c r="AF1329" s="3041"/>
      <c r="AN1329" s="3280"/>
      <c r="AZ1329" s="3041"/>
      <c r="BD1329" s="3281"/>
      <c r="BH1329" s="3282"/>
      <c r="BJ1329" s="2589"/>
      <c r="BK1329" s="2126"/>
      <c r="BL1329" s="2126"/>
      <c r="BM1329" s="2126"/>
      <c r="BN1329" s="2126"/>
      <c r="BO1329" s="2126"/>
      <c r="BP1329" s="2126"/>
      <c r="BQ1329" s="2126"/>
      <c r="BR1329" s="2126"/>
      <c r="BS1329" s="2126"/>
    </row>
    <row r="1330" spans="1:71" s="3030" customFormat="1">
      <c r="A1330" s="2126"/>
      <c r="B1330" s="2126"/>
      <c r="C1330" s="2149"/>
      <c r="D1330" s="3248"/>
      <c r="E1330" s="525"/>
      <c r="F1330" s="525"/>
      <c r="G1330" s="526"/>
      <c r="K1330" s="3280"/>
      <c r="P1330" s="3041"/>
      <c r="X1330" s="3280"/>
      <c r="AA1330" s="3041"/>
      <c r="AF1330" s="3041"/>
      <c r="AN1330" s="3280"/>
      <c r="AZ1330" s="3041"/>
      <c r="BD1330" s="3281"/>
      <c r="BH1330" s="3282"/>
      <c r="BJ1330" s="2589"/>
      <c r="BK1330" s="2126"/>
      <c r="BL1330" s="2126"/>
      <c r="BM1330" s="2126"/>
      <c r="BN1330" s="2126"/>
      <c r="BO1330" s="2126"/>
      <c r="BP1330" s="2126"/>
      <c r="BQ1330" s="2126"/>
      <c r="BR1330" s="2126"/>
      <c r="BS1330" s="2126"/>
    </row>
    <row r="1331" spans="1:71" s="3030" customFormat="1">
      <c r="A1331" s="2126"/>
      <c r="B1331" s="2126"/>
      <c r="C1331" s="2149"/>
      <c r="D1331" s="3248"/>
      <c r="E1331" s="525"/>
      <c r="F1331" s="525"/>
      <c r="G1331" s="526"/>
      <c r="K1331" s="3280"/>
      <c r="P1331" s="3041"/>
      <c r="X1331" s="3280"/>
      <c r="AA1331" s="3041"/>
      <c r="AF1331" s="3041"/>
      <c r="AN1331" s="3280"/>
      <c r="AZ1331" s="3041"/>
      <c r="BD1331" s="3281"/>
      <c r="BH1331" s="3282"/>
      <c r="BJ1331" s="2589"/>
      <c r="BK1331" s="2126"/>
      <c r="BL1331" s="2126"/>
      <c r="BM1331" s="2126"/>
      <c r="BN1331" s="2126"/>
      <c r="BO1331" s="2126"/>
      <c r="BP1331" s="2126"/>
      <c r="BQ1331" s="2126"/>
      <c r="BR1331" s="2126"/>
      <c r="BS1331" s="2126"/>
    </row>
    <row r="1332" spans="1:71" s="3030" customFormat="1">
      <c r="A1332" s="2126"/>
      <c r="B1332" s="2126"/>
      <c r="C1332" s="2149"/>
      <c r="D1332" s="3248"/>
      <c r="E1332" s="525"/>
      <c r="F1332" s="525"/>
      <c r="G1332" s="526"/>
      <c r="K1332" s="3280"/>
      <c r="P1332" s="3041"/>
      <c r="X1332" s="3280"/>
      <c r="AA1332" s="3041"/>
      <c r="AF1332" s="3041"/>
      <c r="AN1332" s="3280"/>
      <c r="AZ1332" s="3041"/>
      <c r="BD1332" s="3281"/>
      <c r="BH1332" s="3282"/>
      <c r="BJ1332" s="2589"/>
      <c r="BK1332" s="2126"/>
      <c r="BL1332" s="2126"/>
      <c r="BM1332" s="2126"/>
      <c r="BN1332" s="2126"/>
      <c r="BO1332" s="2126"/>
      <c r="BP1332" s="2126"/>
      <c r="BQ1332" s="2126"/>
      <c r="BR1332" s="2126"/>
      <c r="BS1332" s="2126"/>
    </row>
    <row r="1333" spans="1:71" s="3030" customFormat="1">
      <c r="A1333" s="2126"/>
      <c r="B1333" s="2126"/>
      <c r="C1333" s="2149"/>
      <c r="D1333" s="3248"/>
      <c r="E1333" s="525"/>
      <c r="F1333" s="525"/>
      <c r="G1333" s="526"/>
      <c r="K1333" s="3280"/>
      <c r="P1333" s="3041"/>
      <c r="X1333" s="3280"/>
      <c r="AA1333" s="3041"/>
      <c r="AF1333" s="3041"/>
      <c r="AN1333" s="3280"/>
      <c r="AZ1333" s="3041"/>
      <c r="BD1333" s="3281"/>
      <c r="BH1333" s="3282"/>
      <c r="BJ1333" s="2589"/>
      <c r="BK1333" s="2126"/>
      <c r="BL1333" s="2126"/>
      <c r="BM1333" s="2126"/>
      <c r="BN1333" s="2126"/>
      <c r="BO1333" s="2126"/>
      <c r="BP1333" s="2126"/>
      <c r="BQ1333" s="2126"/>
      <c r="BR1333" s="2126"/>
      <c r="BS1333" s="2126"/>
    </row>
    <row r="1334" spans="1:71" s="3030" customFormat="1">
      <c r="A1334" s="2126"/>
      <c r="B1334" s="2126"/>
      <c r="C1334" s="2149"/>
      <c r="D1334" s="3248"/>
      <c r="E1334" s="525"/>
      <c r="F1334" s="525"/>
      <c r="G1334" s="526"/>
      <c r="K1334" s="3280"/>
      <c r="P1334" s="3041"/>
      <c r="X1334" s="3280"/>
      <c r="AA1334" s="3041"/>
      <c r="AF1334" s="3041"/>
      <c r="AN1334" s="3280"/>
      <c r="AZ1334" s="3041"/>
      <c r="BD1334" s="3281"/>
      <c r="BH1334" s="3282"/>
      <c r="BJ1334" s="2589"/>
      <c r="BK1334" s="2126"/>
      <c r="BL1334" s="2126"/>
      <c r="BM1334" s="2126"/>
      <c r="BN1334" s="2126"/>
      <c r="BO1334" s="2126"/>
      <c r="BP1334" s="2126"/>
      <c r="BQ1334" s="2126"/>
      <c r="BR1334" s="2126"/>
      <c r="BS1334" s="2126"/>
    </row>
    <row r="1335" spans="1:71" s="3030" customFormat="1">
      <c r="A1335" s="2126"/>
      <c r="B1335" s="2126"/>
      <c r="C1335" s="2149"/>
      <c r="D1335" s="3248"/>
      <c r="E1335" s="525"/>
      <c r="F1335" s="525"/>
      <c r="G1335" s="526"/>
      <c r="K1335" s="3280"/>
      <c r="P1335" s="3041"/>
      <c r="X1335" s="3280"/>
      <c r="AA1335" s="3041"/>
      <c r="AF1335" s="3041"/>
      <c r="AN1335" s="3280"/>
      <c r="AZ1335" s="3041"/>
      <c r="BD1335" s="3281"/>
      <c r="BH1335" s="3282"/>
      <c r="BJ1335" s="2589"/>
      <c r="BK1335" s="2126"/>
      <c r="BL1335" s="2126"/>
      <c r="BM1335" s="2126"/>
      <c r="BN1335" s="2126"/>
      <c r="BO1335" s="2126"/>
      <c r="BP1335" s="2126"/>
      <c r="BQ1335" s="2126"/>
      <c r="BR1335" s="2126"/>
      <c r="BS1335" s="2126"/>
    </row>
    <row r="1336" spans="1:71" s="3030" customFormat="1">
      <c r="A1336" s="2126"/>
      <c r="B1336" s="2126"/>
      <c r="C1336" s="2149"/>
      <c r="D1336" s="3248"/>
      <c r="E1336" s="525"/>
      <c r="F1336" s="525"/>
      <c r="G1336" s="526"/>
      <c r="K1336" s="3280"/>
      <c r="P1336" s="3041"/>
      <c r="X1336" s="3280"/>
      <c r="AA1336" s="3041"/>
      <c r="AF1336" s="3041"/>
      <c r="AN1336" s="3280"/>
      <c r="AZ1336" s="3041"/>
      <c r="BD1336" s="3281"/>
      <c r="BH1336" s="3282"/>
      <c r="BJ1336" s="2589"/>
      <c r="BK1336" s="2126"/>
      <c r="BL1336" s="2126"/>
      <c r="BM1336" s="2126"/>
      <c r="BN1336" s="2126"/>
      <c r="BO1336" s="2126"/>
      <c r="BP1336" s="2126"/>
      <c r="BQ1336" s="2126"/>
      <c r="BR1336" s="2126"/>
      <c r="BS1336" s="2126"/>
    </row>
    <row r="1337" spans="1:71" s="3030" customFormat="1">
      <c r="A1337" s="2126"/>
      <c r="B1337" s="2126"/>
      <c r="C1337" s="2149"/>
      <c r="D1337" s="3248"/>
      <c r="E1337" s="525"/>
      <c r="F1337" s="525"/>
      <c r="G1337" s="526"/>
      <c r="K1337" s="3280"/>
      <c r="P1337" s="3041"/>
      <c r="X1337" s="3280"/>
      <c r="AA1337" s="3041"/>
      <c r="AF1337" s="3041"/>
      <c r="AN1337" s="3280"/>
      <c r="AZ1337" s="3041"/>
      <c r="BD1337" s="3281"/>
      <c r="BH1337" s="3282"/>
      <c r="BJ1337" s="2589"/>
      <c r="BK1337" s="2126"/>
      <c r="BL1337" s="2126"/>
      <c r="BM1337" s="2126"/>
      <c r="BN1337" s="2126"/>
      <c r="BO1337" s="2126"/>
      <c r="BP1337" s="2126"/>
      <c r="BQ1337" s="2126"/>
      <c r="BR1337" s="2126"/>
      <c r="BS1337" s="2126"/>
    </row>
    <row r="1338" spans="1:71" s="3030" customFormat="1">
      <c r="A1338" s="2126"/>
      <c r="B1338" s="2126"/>
      <c r="C1338" s="2149"/>
      <c r="D1338" s="3248"/>
      <c r="E1338" s="525"/>
      <c r="F1338" s="525"/>
      <c r="G1338" s="526"/>
      <c r="K1338" s="3280"/>
      <c r="P1338" s="3041"/>
      <c r="X1338" s="3280"/>
      <c r="AA1338" s="3041"/>
      <c r="AF1338" s="3041"/>
      <c r="AN1338" s="3280"/>
      <c r="AZ1338" s="3041"/>
      <c r="BD1338" s="3281"/>
      <c r="BH1338" s="3282"/>
      <c r="BJ1338" s="2589"/>
      <c r="BK1338" s="2126"/>
      <c r="BL1338" s="2126"/>
      <c r="BM1338" s="2126"/>
      <c r="BN1338" s="2126"/>
      <c r="BO1338" s="2126"/>
      <c r="BP1338" s="2126"/>
      <c r="BQ1338" s="2126"/>
      <c r="BR1338" s="2126"/>
      <c r="BS1338" s="2126"/>
    </row>
    <row r="1339" spans="1:71" s="3030" customFormat="1">
      <c r="A1339" s="2126"/>
      <c r="B1339" s="2126"/>
      <c r="C1339" s="2149"/>
      <c r="D1339" s="3248"/>
      <c r="E1339" s="525"/>
      <c r="F1339" s="525"/>
      <c r="G1339" s="526"/>
      <c r="K1339" s="3280"/>
      <c r="P1339" s="3041"/>
      <c r="X1339" s="3280"/>
      <c r="AA1339" s="3041"/>
      <c r="AF1339" s="3041"/>
      <c r="AN1339" s="3280"/>
      <c r="AZ1339" s="3041"/>
      <c r="BD1339" s="3281"/>
      <c r="BH1339" s="3282"/>
      <c r="BJ1339" s="2589"/>
      <c r="BK1339" s="2126"/>
      <c r="BL1339" s="2126"/>
      <c r="BM1339" s="2126"/>
      <c r="BN1339" s="2126"/>
      <c r="BO1339" s="2126"/>
      <c r="BP1339" s="2126"/>
      <c r="BQ1339" s="2126"/>
      <c r="BR1339" s="2126"/>
      <c r="BS1339" s="2126"/>
    </row>
    <row r="1340" spans="1:71" s="3030" customFormat="1">
      <c r="A1340" s="2126"/>
      <c r="B1340" s="2126"/>
      <c r="C1340" s="2149"/>
      <c r="D1340" s="3248"/>
      <c r="E1340" s="525"/>
      <c r="F1340" s="525"/>
      <c r="G1340" s="526"/>
      <c r="K1340" s="3280"/>
      <c r="P1340" s="3041"/>
      <c r="X1340" s="3280"/>
      <c r="AA1340" s="3041"/>
      <c r="AF1340" s="3041"/>
      <c r="AN1340" s="3280"/>
      <c r="AZ1340" s="3041"/>
      <c r="BD1340" s="3281"/>
      <c r="BH1340" s="3282"/>
      <c r="BJ1340" s="2589"/>
      <c r="BK1340" s="2126"/>
      <c r="BL1340" s="2126"/>
      <c r="BM1340" s="2126"/>
      <c r="BN1340" s="2126"/>
      <c r="BO1340" s="2126"/>
      <c r="BP1340" s="2126"/>
      <c r="BQ1340" s="2126"/>
      <c r="BR1340" s="2126"/>
      <c r="BS1340" s="2126"/>
    </row>
    <row r="1341" spans="1:71" s="3030" customFormat="1">
      <c r="A1341" s="2126"/>
      <c r="B1341" s="2126"/>
      <c r="C1341" s="2149"/>
      <c r="D1341" s="3248"/>
      <c r="E1341" s="525"/>
      <c r="F1341" s="525"/>
      <c r="G1341" s="526"/>
      <c r="K1341" s="3280"/>
      <c r="P1341" s="3041"/>
      <c r="X1341" s="3280"/>
      <c r="AA1341" s="3041"/>
      <c r="AF1341" s="3041"/>
      <c r="AN1341" s="3280"/>
      <c r="AZ1341" s="3041"/>
      <c r="BD1341" s="3281"/>
      <c r="BH1341" s="3282"/>
      <c r="BJ1341" s="2589"/>
      <c r="BK1341" s="2126"/>
      <c r="BL1341" s="2126"/>
      <c r="BM1341" s="2126"/>
      <c r="BN1341" s="2126"/>
      <c r="BO1341" s="2126"/>
      <c r="BP1341" s="2126"/>
      <c r="BQ1341" s="2126"/>
      <c r="BR1341" s="2126"/>
      <c r="BS1341" s="2126"/>
    </row>
    <row r="1342" spans="1:71" s="3030" customFormat="1">
      <c r="A1342" s="2126"/>
      <c r="B1342" s="2126"/>
      <c r="C1342" s="2149"/>
      <c r="D1342" s="3248"/>
      <c r="E1342" s="525"/>
      <c r="F1342" s="525"/>
      <c r="G1342" s="526"/>
      <c r="K1342" s="3280"/>
      <c r="P1342" s="3041"/>
      <c r="X1342" s="3280"/>
      <c r="AA1342" s="3041"/>
      <c r="AF1342" s="3041"/>
      <c r="AN1342" s="3280"/>
      <c r="AZ1342" s="3041"/>
      <c r="BD1342" s="3281"/>
      <c r="BH1342" s="3282"/>
      <c r="BJ1342" s="2589"/>
      <c r="BK1342" s="2126"/>
      <c r="BL1342" s="2126"/>
      <c r="BM1342" s="2126"/>
      <c r="BN1342" s="2126"/>
      <c r="BO1342" s="2126"/>
      <c r="BP1342" s="2126"/>
      <c r="BQ1342" s="2126"/>
      <c r="BR1342" s="2126"/>
      <c r="BS1342" s="2126"/>
    </row>
    <row r="1343" spans="1:71" s="3030" customFormat="1">
      <c r="A1343" s="2126"/>
      <c r="B1343" s="2126"/>
      <c r="C1343" s="2149"/>
      <c r="D1343" s="3248"/>
      <c r="E1343" s="525"/>
      <c r="F1343" s="525"/>
      <c r="G1343" s="526"/>
      <c r="K1343" s="3280"/>
      <c r="P1343" s="3041"/>
      <c r="X1343" s="3280"/>
      <c r="AA1343" s="3041"/>
      <c r="AF1343" s="3041"/>
      <c r="AN1343" s="3280"/>
      <c r="AZ1343" s="3041"/>
      <c r="BD1343" s="3281"/>
      <c r="BH1343" s="3282"/>
      <c r="BJ1343" s="2589"/>
      <c r="BK1343" s="2126"/>
      <c r="BL1343" s="2126"/>
      <c r="BM1343" s="2126"/>
      <c r="BN1343" s="2126"/>
      <c r="BO1343" s="2126"/>
      <c r="BP1343" s="2126"/>
      <c r="BQ1343" s="2126"/>
      <c r="BR1343" s="2126"/>
      <c r="BS1343" s="2126"/>
    </row>
    <row r="1344" spans="1:71" s="3030" customFormat="1">
      <c r="A1344" s="2126"/>
      <c r="B1344" s="2126"/>
      <c r="C1344" s="2149"/>
      <c r="D1344" s="3248"/>
      <c r="E1344" s="525"/>
      <c r="F1344" s="525"/>
      <c r="G1344" s="526"/>
      <c r="K1344" s="3280"/>
      <c r="P1344" s="3041"/>
      <c r="X1344" s="3280"/>
      <c r="AA1344" s="3041"/>
      <c r="AF1344" s="3041"/>
      <c r="AN1344" s="3280"/>
      <c r="AZ1344" s="3041"/>
      <c r="BD1344" s="3281"/>
      <c r="BH1344" s="3282"/>
      <c r="BJ1344" s="2589"/>
      <c r="BK1344" s="2126"/>
      <c r="BL1344" s="2126"/>
      <c r="BM1344" s="2126"/>
      <c r="BN1344" s="2126"/>
      <c r="BO1344" s="2126"/>
      <c r="BP1344" s="2126"/>
      <c r="BQ1344" s="2126"/>
      <c r="BR1344" s="2126"/>
      <c r="BS1344" s="2126"/>
    </row>
    <row r="1345" spans="1:71" s="3030" customFormat="1">
      <c r="A1345" s="2126"/>
      <c r="B1345" s="2126"/>
      <c r="C1345" s="2149"/>
      <c r="D1345" s="3248"/>
      <c r="E1345" s="525"/>
      <c r="F1345" s="525"/>
      <c r="G1345" s="526"/>
      <c r="K1345" s="3280"/>
      <c r="P1345" s="3041"/>
      <c r="X1345" s="3280"/>
      <c r="AA1345" s="3041"/>
      <c r="AF1345" s="3041"/>
      <c r="AN1345" s="3280"/>
      <c r="AZ1345" s="3041"/>
      <c r="BD1345" s="3281"/>
      <c r="BH1345" s="3282"/>
      <c r="BJ1345" s="2589"/>
      <c r="BK1345" s="2126"/>
      <c r="BL1345" s="2126"/>
      <c r="BM1345" s="2126"/>
      <c r="BN1345" s="2126"/>
      <c r="BO1345" s="2126"/>
      <c r="BP1345" s="2126"/>
      <c r="BQ1345" s="2126"/>
      <c r="BR1345" s="2126"/>
      <c r="BS1345" s="2126"/>
    </row>
    <row r="1346" spans="1:71" s="3030" customFormat="1">
      <c r="A1346" s="2126"/>
      <c r="B1346" s="2126"/>
      <c r="C1346" s="2149"/>
      <c r="D1346" s="3248"/>
      <c r="E1346" s="525"/>
      <c r="F1346" s="525"/>
      <c r="G1346" s="526"/>
      <c r="K1346" s="3280"/>
      <c r="P1346" s="3041"/>
      <c r="X1346" s="3280"/>
      <c r="AA1346" s="3041"/>
      <c r="AF1346" s="3041"/>
      <c r="AN1346" s="3280"/>
      <c r="AZ1346" s="3041"/>
      <c r="BD1346" s="3281"/>
      <c r="BH1346" s="3282"/>
      <c r="BJ1346" s="2589"/>
      <c r="BK1346" s="2126"/>
      <c r="BL1346" s="2126"/>
      <c r="BM1346" s="2126"/>
      <c r="BN1346" s="2126"/>
      <c r="BO1346" s="2126"/>
      <c r="BP1346" s="2126"/>
      <c r="BQ1346" s="2126"/>
      <c r="BR1346" s="2126"/>
      <c r="BS1346" s="2126"/>
    </row>
    <row r="1347" spans="1:71" s="3030" customFormat="1">
      <c r="A1347" s="2126"/>
      <c r="B1347" s="2126"/>
      <c r="C1347" s="2149"/>
      <c r="D1347" s="3248"/>
      <c r="E1347" s="525"/>
      <c r="F1347" s="525"/>
      <c r="G1347" s="526"/>
      <c r="K1347" s="3280"/>
      <c r="P1347" s="3041"/>
      <c r="X1347" s="3280"/>
      <c r="AA1347" s="3041"/>
      <c r="AF1347" s="3041"/>
      <c r="AN1347" s="3280"/>
      <c r="AZ1347" s="3041"/>
      <c r="BD1347" s="3281"/>
      <c r="BH1347" s="3282"/>
      <c r="BJ1347" s="2589"/>
      <c r="BK1347" s="2126"/>
      <c r="BL1347" s="2126"/>
      <c r="BM1347" s="2126"/>
      <c r="BN1347" s="2126"/>
      <c r="BO1347" s="2126"/>
      <c r="BP1347" s="2126"/>
      <c r="BQ1347" s="2126"/>
      <c r="BR1347" s="2126"/>
      <c r="BS1347" s="2126"/>
    </row>
    <row r="1348" spans="1:71" s="3030" customFormat="1">
      <c r="A1348" s="2126"/>
      <c r="B1348" s="2126"/>
      <c r="C1348" s="2149"/>
      <c r="D1348" s="3248"/>
      <c r="E1348" s="525"/>
      <c r="F1348" s="525"/>
      <c r="G1348" s="526"/>
      <c r="K1348" s="3280"/>
      <c r="P1348" s="3041"/>
      <c r="X1348" s="3280"/>
      <c r="AA1348" s="3041"/>
      <c r="AF1348" s="3041"/>
      <c r="AN1348" s="3280"/>
      <c r="AZ1348" s="3041"/>
      <c r="BD1348" s="3281"/>
      <c r="BH1348" s="3282"/>
      <c r="BJ1348" s="2589"/>
      <c r="BK1348" s="2126"/>
      <c r="BL1348" s="2126"/>
      <c r="BM1348" s="2126"/>
      <c r="BN1348" s="2126"/>
      <c r="BO1348" s="2126"/>
      <c r="BP1348" s="2126"/>
      <c r="BQ1348" s="2126"/>
      <c r="BR1348" s="2126"/>
      <c r="BS1348" s="2126"/>
    </row>
    <row r="1349" spans="1:71" s="3030" customFormat="1">
      <c r="A1349" s="2126"/>
      <c r="B1349" s="2126"/>
      <c r="C1349" s="2149"/>
      <c r="D1349" s="3248"/>
      <c r="E1349" s="525"/>
      <c r="F1349" s="525"/>
      <c r="G1349" s="526"/>
      <c r="K1349" s="3280"/>
      <c r="P1349" s="3041"/>
      <c r="X1349" s="3280"/>
      <c r="AA1349" s="3041"/>
      <c r="AF1349" s="3041"/>
      <c r="AN1349" s="3280"/>
      <c r="AZ1349" s="3041"/>
      <c r="BD1349" s="3281"/>
      <c r="BH1349" s="3282"/>
      <c r="BJ1349" s="2589"/>
      <c r="BK1349" s="2126"/>
      <c r="BL1349" s="2126"/>
      <c r="BM1349" s="2126"/>
      <c r="BN1349" s="2126"/>
      <c r="BO1349" s="2126"/>
      <c r="BP1349" s="2126"/>
      <c r="BQ1349" s="2126"/>
      <c r="BR1349" s="2126"/>
      <c r="BS1349" s="2126"/>
    </row>
    <row r="1350" spans="1:71" s="3030" customFormat="1">
      <c r="A1350" s="2126"/>
      <c r="B1350" s="2126"/>
      <c r="C1350" s="2149"/>
      <c r="D1350" s="3248"/>
      <c r="E1350" s="525"/>
      <c r="F1350" s="525"/>
      <c r="G1350" s="526"/>
      <c r="K1350" s="3280"/>
      <c r="P1350" s="3041"/>
      <c r="X1350" s="3280"/>
      <c r="AA1350" s="3041"/>
      <c r="AF1350" s="3041"/>
      <c r="AN1350" s="3280"/>
      <c r="AZ1350" s="3041"/>
      <c r="BD1350" s="3281"/>
      <c r="BH1350" s="3282"/>
      <c r="BJ1350" s="2589"/>
      <c r="BK1350" s="2126"/>
      <c r="BL1350" s="2126"/>
      <c r="BM1350" s="2126"/>
      <c r="BN1350" s="2126"/>
      <c r="BO1350" s="2126"/>
      <c r="BP1350" s="2126"/>
      <c r="BQ1350" s="2126"/>
      <c r="BR1350" s="2126"/>
      <c r="BS1350" s="2126"/>
    </row>
    <row r="1351" spans="1:71" s="3030" customFormat="1">
      <c r="A1351" s="2126"/>
      <c r="B1351" s="2126"/>
      <c r="C1351" s="2149"/>
      <c r="D1351" s="3248"/>
      <c r="E1351" s="525"/>
      <c r="F1351" s="525"/>
      <c r="G1351" s="526"/>
      <c r="K1351" s="3280"/>
      <c r="P1351" s="3041"/>
      <c r="X1351" s="3280"/>
      <c r="AA1351" s="3041"/>
      <c r="AF1351" s="3041"/>
      <c r="AN1351" s="3280"/>
      <c r="AZ1351" s="3041"/>
      <c r="BD1351" s="3281"/>
      <c r="BH1351" s="3282"/>
      <c r="BJ1351" s="2589"/>
      <c r="BK1351" s="2126"/>
      <c r="BL1351" s="2126"/>
      <c r="BM1351" s="2126"/>
      <c r="BN1351" s="2126"/>
      <c r="BO1351" s="2126"/>
      <c r="BP1351" s="2126"/>
      <c r="BQ1351" s="2126"/>
      <c r="BR1351" s="2126"/>
      <c r="BS1351" s="2126"/>
    </row>
    <row r="1352" spans="1:71" s="3030" customFormat="1">
      <c r="A1352" s="2126"/>
      <c r="B1352" s="2126"/>
      <c r="C1352" s="2149"/>
      <c r="D1352" s="3248"/>
      <c r="E1352" s="525"/>
      <c r="F1352" s="525"/>
      <c r="G1352" s="526"/>
      <c r="K1352" s="3280"/>
      <c r="P1352" s="3041"/>
      <c r="X1352" s="3280"/>
      <c r="AA1352" s="3041"/>
      <c r="AF1352" s="3041"/>
      <c r="AN1352" s="3280"/>
      <c r="AZ1352" s="3041"/>
      <c r="BD1352" s="3281"/>
      <c r="BH1352" s="3282"/>
      <c r="BJ1352" s="2589"/>
      <c r="BK1352" s="2126"/>
      <c r="BL1352" s="2126"/>
      <c r="BM1352" s="2126"/>
      <c r="BN1352" s="2126"/>
      <c r="BO1352" s="2126"/>
      <c r="BP1352" s="2126"/>
      <c r="BQ1352" s="2126"/>
      <c r="BR1352" s="2126"/>
      <c r="BS1352" s="2126"/>
    </row>
    <row r="1353" spans="1:71" s="3030" customFormat="1">
      <c r="A1353" s="2126"/>
      <c r="B1353" s="2126"/>
      <c r="C1353" s="2149"/>
      <c r="D1353" s="3248"/>
      <c r="E1353" s="525"/>
      <c r="F1353" s="525"/>
      <c r="G1353" s="526"/>
      <c r="K1353" s="3280"/>
      <c r="P1353" s="3041"/>
      <c r="X1353" s="3280"/>
      <c r="AA1353" s="3041"/>
      <c r="AF1353" s="3041"/>
      <c r="AN1353" s="3280"/>
      <c r="AZ1353" s="3041"/>
      <c r="BD1353" s="3281"/>
      <c r="BH1353" s="3282"/>
      <c r="BJ1353" s="2589"/>
      <c r="BK1353" s="2126"/>
      <c r="BL1353" s="2126"/>
      <c r="BM1353" s="2126"/>
      <c r="BN1353" s="2126"/>
      <c r="BO1353" s="2126"/>
      <c r="BP1353" s="2126"/>
      <c r="BQ1353" s="2126"/>
      <c r="BR1353" s="2126"/>
      <c r="BS1353" s="2126"/>
    </row>
    <row r="1354" spans="1:71" s="3030" customFormat="1">
      <c r="A1354" s="2126"/>
      <c r="B1354" s="2126"/>
      <c r="C1354" s="2149"/>
      <c r="D1354" s="3248"/>
      <c r="E1354" s="525"/>
      <c r="F1354" s="525"/>
      <c r="G1354" s="526"/>
      <c r="K1354" s="3280"/>
      <c r="P1354" s="3041"/>
      <c r="X1354" s="3280"/>
      <c r="AA1354" s="3041"/>
      <c r="AF1354" s="3041"/>
      <c r="AN1354" s="3280"/>
      <c r="AZ1354" s="3041"/>
      <c r="BD1354" s="3281"/>
      <c r="BH1354" s="3282"/>
      <c r="BJ1354" s="2589"/>
      <c r="BK1354" s="2126"/>
      <c r="BL1354" s="2126"/>
      <c r="BM1354" s="2126"/>
      <c r="BN1354" s="2126"/>
      <c r="BO1354" s="2126"/>
      <c r="BP1354" s="2126"/>
      <c r="BQ1354" s="2126"/>
      <c r="BR1354" s="2126"/>
      <c r="BS1354" s="2126"/>
    </row>
    <row r="1355" spans="1:71" s="3030" customFormat="1">
      <c r="A1355" s="2126"/>
      <c r="B1355" s="2126"/>
      <c r="C1355" s="2149"/>
      <c r="D1355" s="3248"/>
      <c r="E1355" s="525"/>
      <c r="F1355" s="525"/>
      <c r="G1355" s="526"/>
      <c r="K1355" s="3280"/>
      <c r="P1355" s="3041"/>
      <c r="X1355" s="3280"/>
      <c r="AA1355" s="3041"/>
      <c r="AF1355" s="3041"/>
      <c r="AN1355" s="3280"/>
      <c r="AZ1355" s="3041"/>
      <c r="BD1355" s="3281"/>
      <c r="BH1355" s="3282"/>
      <c r="BJ1355" s="2589"/>
      <c r="BK1355" s="2126"/>
      <c r="BL1355" s="2126"/>
      <c r="BM1355" s="2126"/>
      <c r="BN1355" s="2126"/>
      <c r="BO1355" s="2126"/>
      <c r="BP1355" s="2126"/>
      <c r="BQ1355" s="2126"/>
      <c r="BR1355" s="2126"/>
      <c r="BS1355" s="2126"/>
    </row>
    <row r="1356" spans="1:71" s="3030" customFormat="1">
      <c r="A1356" s="2126"/>
      <c r="B1356" s="2126"/>
      <c r="C1356" s="2149"/>
      <c r="D1356" s="3248"/>
      <c r="E1356" s="525"/>
      <c r="F1356" s="525"/>
      <c r="G1356" s="526"/>
      <c r="K1356" s="3280"/>
      <c r="P1356" s="3041"/>
      <c r="X1356" s="3280"/>
      <c r="AA1356" s="3041"/>
      <c r="AF1356" s="3041"/>
      <c r="AN1356" s="3280"/>
      <c r="AZ1356" s="3041"/>
      <c r="BD1356" s="3281"/>
      <c r="BH1356" s="3282"/>
      <c r="BJ1356" s="2589"/>
      <c r="BK1356" s="2126"/>
      <c r="BL1356" s="2126"/>
      <c r="BM1356" s="2126"/>
      <c r="BN1356" s="2126"/>
      <c r="BO1356" s="2126"/>
      <c r="BP1356" s="2126"/>
      <c r="BQ1356" s="2126"/>
      <c r="BR1356" s="2126"/>
      <c r="BS1356" s="2126"/>
    </row>
    <row r="1357" spans="1:71" s="3030" customFormat="1">
      <c r="A1357" s="2126"/>
      <c r="B1357" s="2126"/>
      <c r="C1357" s="2149"/>
      <c r="D1357" s="3248"/>
      <c r="E1357" s="525"/>
      <c r="F1357" s="525"/>
      <c r="G1357" s="526"/>
      <c r="K1357" s="3280"/>
      <c r="P1357" s="3041"/>
      <c r="X1357" s="3280"/>
      <c r="AA1357" s="3041"/>
      <c r="AF1357" s="3041"/>
      <c r="AN1357" s="3280"/>
      <c r="AZ1357" s="3041"/>
      <c r="BD1357" s="3281"/>
      <c r="BH1357" s="3282"/>
      <c r="BJ1357" s="2589"/>
      <c r="BK1357" s="2126"/>
      <c r="BL1357" s="2126"/>
      <c r="BM1357" s="2126"/>
      <c r="BN1357" s="2126"/>
      <c r="BO1357" s="2126"/>
      <c r="BP1357" s="2126"/>
      <c r="BQ1357" s="2126"/>
      <c r="BR1357" s="2126"/>
      <c r="BS1357" s="2126"/>
    </row>
    <row r="1358" spans="1:71" s="3030" customFormat="1">
      <c r="A1358" s="2126"/>
      <c r="B1358" s="2126"/>
      <c r="C1358" s="2149"/>
      <c r="D1358" s="3248"/>
      <c r="E1358" s="525"/>
      <c r="F1358" s="525"/>
      <c r="G1358" s="526"/>
      <c r="K1358" s="3280"/>
      <c r="P1358" s="3041"/>
      <c r="X1358" s="3280"/>
      <c r="AA1358" s="3041"/>
      <c r="AF1358" s="3041"/>
      <c r="AN1358" s="3280"/>
      <c r="AZ1358" s="3041"/>
      <c r="BD1358" s="3281"/>
      <c r="BH1358" s="3282"/>
      <c r="BJ1358" s="2589"/>
      <c r="BK1358" s="2126"/>
      <c r="BL1358" s="2126"/>
      <c r="BM1358" s="2126"/>
      <c r="BN1358" s="2126"/>
      <c r="BO1358" s="2126"/>
      <c r="BP1358" s="2126"/>
      <c r="BQ1358" s="2126"/>
      <c r="BR1358" s="2126"/>
      <c r="BS1358" s="2126"/>
    </row>
    <row r="1359" spans="1:71" s="3030" customFormat="1">
      <c r="A1359" s="2126"/>
      <c r="B1359" s="2126"/>
      <c r="C1359" s="2149"/>
      <c r="D1359" s="3248"/>
      <c r="E1359" s="525"/>
      <c r="F1359" s="525"/>
      <c r="G1359" s="526"/>
      <c r="K1359" s="3280"/>
      <c r="P1359" s="3041"/>
      <c r="X1359" s="3280"/>
      <c r="AA1359" s="3041"/>
      <c r="AF1359" s="3041"/>
      <c r="AN1359" s="3280"/>
      <c r="AZ1359" s="3041"/>
      <c r="BD1359" s="3281"/>
      <c r="BH1359" s="3282"/>
      <c r="BJ1359" s="2589"/>
      <c r="BK1359" s="2126"/>
      <c r="BL1359" s="2126"/>
      <c r="BM1359" s="2126"/>
      <c r="BN1359" s="2126"/>
      <c r="BO1359" s="2126"/>
      <c r="BP1359" s="2126"/>
      <c r="BQ1359" s="2126"/>
      <c r="BR1359" s="2126"/>
      <c r="BS1359" s="2126"/>
    </row>
    <row r="1360" spans="1:71" s="3030" customFormat="1">
      <c r="A1360" s="2126"/>
      <c r="B1360" s="2126"/>
      <c r="C1360" s="2149"/>
      <c r="D1360" s="3248"/>
      <c r="E1360" s="525"/>
      <c r="F1360" s="525"/>
      <c r="G1360" s="526"/>
      <c r="K1360" s="3280"/>
      <c r="P1360" s="3041"/>
      <c r="X1360" s="3280"/>
      <c r="AA1360" s="3041"/>
      <c r="AF1360" s="3041"/>
      <c r="AN1360" s="3280"/>
      <c r="AZ1360" s="3041"/>
      <c r="BD1360" s="3281"/>
      <c r="BH1360" s="3282"/>
      <c r="BJ1360" s="2589"/>
      <c r="BK1360" s="2126"/>
      <c r="BL1360" s="2126"/>
      <c r="BM1360" s="2126"/>
      <c r="BN1360" s="2126"/>
      <c r="BO1360" s="2126"/>
      <c r="BP1360" s="2126"/>
      <c r="BQ1360" s="2126"/>
      <c r="BR1360" s="2126"/>
      <c r="BS1360" s="2126"/>
    </row>
    <row r="1361" spans="1:71" s="3030" customFormat="1">
      <c r="A1361" s="2126"/>
      <c r="B1361" s="2126"/>
      <c r="C1361" s="2149"/>
      <c r="D1361" s="3248"/>
      <c r="E1361" s="525"/>
      <c r="F1361" s="525"/>
      <c r="G1361" s="526"/>
      <c r="K1361" s="3280"/>
      <c r="P1361" s="3041"/>
      <c r="X1361" s="3280"/>
      <c r="AA1361" s="3041"/>
      <c r="AF1361" s="3041"/>
      <c r="AN1361" s="3280"/>
      <c r="AZ1361" s="3041"/>
      <c r="BD1361" s="3281"/>
      <c r="BH1361" s="3282"/>
      <c r="BJ1361" s="2589"/>
      <c r="BK1361" s="2126"/>
      <c r="BL1361" s="2126"/>
      <c r="BM1361" s="2126"/>
      <c r="BN1361" s="2126"/>
      <c r="BO1361" s="2126"/>
      <c r="BP1361" s="2126"/>
      <c r="BQ1361" s="2126"/>
      <c r="BR1361" s="2126"/>
      <c r="BS1361" s="2126"/>
    </row>
    <row r="1362" spans="1:71" s="3030" customFormat="1">
      <c r="A1362" s="2126"/>
      <c r="B1362" s="2126"/>
      <c r="C1362" s="2149"/>
      <c r="D1362" s="3248"/>
      <c r="E1362" s="525"/>
      <c r="F1362" s="525"/>
      <c r="G1362" s="526"/>
      <c r="K1362" s="3280"/>
      <c r="P1362" s="3041"/>
      <c r="X1362" s="3280"/>
      <c r="AA1362" s="3041"/>
      <c r="AF1362" s="3041"/>
      <c r="AN1362" s="3280"/>
      <c r="AZ1362" s="3041"/>
      <c r="BD1362" s="3281"/>
      <c r="BH1362" s="3282"/>
      <c r="BJ1362" s="2589"/>
      <c r="BK1362" s="2126"/>
      <c r="BL1362" s="2126"/>
      <c r="BM1362" s="2126"/>
      <c r="BN1362" s="2126"/>
      <c r="BO1362" s="2126"/>
      <c r="BP1362" s="2126"/>
      <c r="BQ1362" s="2126"/>
      <c r="BR1362" s="2126"/>
      <c r="BS1362" s="2126"/>
    </row>
    <row r="1363" spans="1:71" s="3030" customFormat="1">
      <c r="A1363" s="2126"/>
      <c r="B1363" s="2126"/>
      <c r="C1363" s="2149"/>
      <c r="D1363" s="3248"/>
      <c r="E1363" s="525"/>
      <c r="F1363" s="525"/>
      <c r="G1363" s="526"/>
      <c r="K1363" s="3280"/>
      <c r="P1363" s="3041"/>
      <c r="X1363" s="3280"/>
      <c r="AA1363" s="3041"/>
      <c r="AF1363" s="3041"/>
      <c r="AN1363" s="3280"/>
      <c r="AZ1363" s="3041"/>
      <c r="BD1363" s="3281"/>
      <c r="BH1363" s="3282"/>
      <c r="BJ1363" s="2589"/>
      <c r="BK1363" s="2126"/>
      <c r="BL1363" s="2126"/>
      <c r="BM1363" s="2126"/>
      <c r="BN1363" s="2126"/>
      <c r="BO1363" s="2126"/>
      <c r="BP1363" s="2126"/>
      <c r="BQ1363" s="2126"/>
      <c r="BR1363" s="2126"/>
      <c r="BS1363" s="2126"/>
    </row>
    <row r="1364" spans="1:71" s="3030" customFormat="1">
      <c r="A1364" s="2126"/>
      <c r="B1364" s="2126"/>
      <c r="C1364" s="2149"/>
      <c r="D1364" s="3248"/>
      <c r="E1364" s="525"/>
      <c r="F1364" s="525"/>
      <c r="G1364" s="526"/>
      <c r="K1364" s="3280"/>
      <c r="P1364" s="3041"/>
      <c r="X1364" s="3280"/>
      <c r="AA1364" s="3041"/>
      <c r="AF1364" s="3041"/>
      <c r="AN1364" s="3280"/>
      <c r="AZ1364" s="3041"/>
      <c r="BD1364" s="3281"/>
      <c r="BH1364" s="3282"/>
      <c r="BJ1364" s="2589"/>
      <c r="BK1364" s="2126"/>
      <c r="BL1364" s="2126"/>
      <c r="BM1364" s="2126"/>
      <c r="BN1364" s="2126"/>
      <c r="BO1364" s="2126"/>
      <c r="BP1364" s="2126"/>
      <c r="BQ1364" s="2126"/>
      <c r="BR1364" s="2126"/>
      <c r="BS1364" s="2126"/>
    </row>
    <row r="1365" spans="1:71" s="3030" customFormat="1">
      <c r="A1365" s="2126"/>
      <c r="B1365" s="2126"/>
      <c r="C1365" s="2149"/>
      <c r="D1365" s="3248"/>
      <c r="E1365" s="525"/>
      <c r="F1365" s="525"/>
      <c r="G1365" s="526"/>
      <c r="K1365" s="3280"/>
      <c r="P1365" s="3041"/>
      <c r="X1365" s="3280"/>
      <c r="AA1365" s="3041"/>
      <c r="AF1365" s="3041"/>
      <c r="AN1365" s="3280"/>
      <c r="AZ1365" s="3041"/>
      <c r="BD1365" s="3281"/>
      <c r="BH1365" s="3282"/>
      <c r="BJ1365" s="2589"/>
      <c r="BK1365" s="2126"/>
      <c r="BL1365" s="2126"/>
      <c r="BM1365" s="2126"/>
      <c r="BN1365" s="2126"/>
      <c r="BO1365" s="2126"/>
      <c r="BP1365" s="2126"/>
      <c r="BQ1365" s="2126"/>
      <c r="BR1365" s="2126"/>
      <c r="BS1365" s="2126"/>
    </row>
    <row r="1366" spans="1:71" s="3030" customFormat="1">
      <c r="A1366" s="2126"/>
      <c r="B1366" s="2126"/>
      <c r="C1366" s="2149"/>
      <c r="D1366" s="3248"/>
      <c r="E1366" s="525"/>
      <c r="F1366" s="525"/>
      <c r="G1366" s="526"/>
      <c r="K1366" s="3280"/>
      <c r="P1366" s="3041"/>
      <c r="X1366" s="3280"/>
      <c r="AA1366" s="3041"/>
      <c r="AF1366" s="3041"/>
      <c r="AN1366" s="3280"/>
      <c r="AZ1366" s="3041"/>
      <c r="BD1366" s="3281"/>
      <c r="BH1366" s="3282"/>
      <c r="BJ1366" s="2589"/>
      <c r="BK1366" s="2126"/>
      <c r="BL1366" s="2126"/>
      <c r="BM1366" s="2126"/>
      <c r="BN1366" s="2126"/>
      <c r="BO1366" s="2126"/>
      <c r="BP1366" s="2126"/>
      <c r="BQ1366" s="2126"/>
      <c r="BR1366" s="2126"/>
      <c r="BS1366" s="2126"/>
    </row>
    <row r="1367" spans="1:71" s="3030" customFormat="1">
      <c r="A1367" s="2126"/>
      <c r="B1367" s="2126"/>
      <c r="C1367" s="2149"/>
      <c r="D1367" s="3248"/>
      <c r="E1367" s="525"/>
      <c r="F1367" s="525"/>
      <c r="G1367" s="526"/>
      <c r="K1367" s="3280"/>
      <c r="P1367" s="3041"/>
      <c r="X1367" s="3280"/>
      <c r="AA1367" s="3041"/>
      <c r="AF1367" s="3041"/>
      <c r="AN1367" s="3280"/>
      <c r="AZ1367" s="3041"/>
      <c r="BD1367" s="3281"/>
      <c r="BH1367" s="3282"/>
      <c r="BJ1367" s="2589"/>
      <c r="BK1367" s="2126"/>
      <c r="BL1367" s="2126"/>
      <c r="BM1367" s="2126"/>
      <c r="BN1367" s="2126"/>
      <c r="BO1367" s="2126"/>
      <c r="BP1367" s="2126"/>
      <c r="BQ1367" s="2126"/>
      <c r="BR1367" s="2126"/>
      <c r="BS1367" s="2126"/>
    </row>
    <row r="1368" spans="1:71" s="3030" customFormat="1">
      <c r="A1368" s="2126"/>
      <c r="B1368" s="2126"/>
      <c r="C1368" s="2149"/>
      <c r="D1368" s="3248"/>
      <c r="E1368" s="525"/>
      <c r="F1368" s="525"/>
      <c r="G1368" s="526"/>
      <c r="K1368" s="3280"/>
      <c r="P1368" s="3041"/>
      <c r="X1368" s="3280"/>
      <c r="AA1368" s="3041"/>
      <c r="AF1368" s="3041"/>
      <c r="AN1368" s="3280"/>
      <c r="AZ1368" s="3041"/>
      <c r="BD1368" s="3281"/>
      <c r="BH1368" s="3282"/>
      <c r="BJ1368" s="2589"/>
      <c r="BK1368" s="2126"/>
      <c r="BL1368" s="2126"/>
      <c r="BM1368" s="2126"/>
      <c r="BN1368" s="2126"/>
      <c r="BO1368" s="2126"/>
      <c r="BP1368" s="2126"/>
      <c r="BQ1368" s="2126"/>
      <c r="BR1368" s="2126"/>
      <c r="BS1368" s="2126"/>
    </row>
    <row r="1369" spans="1:71" s="3030" customFormat="1">
      <c r="A1369" s="2126"/>
      <c r="B1369" s="2126"/>
      <c r="C1369" s="2149"/>
      <c r="D1369" s="3248"/>
      <c r="E1369" s="525"/>
      <c r="F1369" s="525"/>
      <c r="G1369" s="526"/>
      <c r="K1369" s="3280"/>
      <c r="P1369" s="3041"/>
      <c r="X1369" s="3280"/>
      <c r="AA1369" s="3041"/>
      <c r="AF1369" s="3041"/>
      <c r="AN1369" s="3280"/>
      <c r="AZ1369" s="3041"/>
      <c r="BD1369" s="3281"/>
      <c r="BH1369" s="3282"/>
      <c r="BJ1369" s="2589"/>
      <c r="BK1369" s="2126"/>
      <c r="BL1369" s="2126"/>
      <c r="BM1369" s="2126"/>
      <c r="BN1369" s="2126"/>
      <c r="BO1369" s="2126"/>
      <c r="BP1369" s="2126"/>
      <c r="BQ1369" s="2126"/>
      <c r="BR1369" s="2126"/>
      <c r="BS1369" s="2126"/>
    </row>
    <row r="1370" spans="1:71" s="3030" customFormat="1">
      <c r="A1370" s="2126"/>
      <c r="B1370" s="2126"/>
      <c r="C1370" s="2149"/>
      <c r="D1370" s="3248"/>
      <c r="E1370" s="525"/>
      <c r="F1370" s="525"/>
      <c r="G1370" s="526"/>
      <c r="K1370" s="3280"/>
      <c r="P1370" s="3041"/>
      <c r="X1370" s="3280"/>
      <c r="AA1370" s="3041"/>
      <c r="AF1370" s="3041"/>
      <c r="AN1370" s="3280"/>
      <c r="AZ1370" s="3041"/>
      <c r="BD1370" s="3281"/>
      <c r="BH1370" s="3282"/>
      <c r="BJ1370" s="2589"/>
      <c r="BK1370" s="2126"/>
      <c r="BL1370" s="2126"/>
      <c r="BM1370" s="2126"/>
      <c r="BN1370" s="2126"/>
      <c r="BO1370" s="2126"/>
      <c r="BP1370" s="2126"/>
      <c r="BQ1370" s="2126"/>
      <c r="BR1370" s="2126"/>
      <c r="BS1370" s="2126"/>
    </row>
    <row r="1371" spans="1:71" s="3030" customFormat="1">
      <c r="A1371" s="2126"/>
      <c r="B1371" s="2126"/>
      <c r="C1371" s="2149"/>
      <c r="D1371" s="3248"/>
      <c r="E1371" s="525"/>
      <c r="F1371" s="525"/>
      <c r="G1371" s="526"/>
      <c r="K1371" s="3280"/>
      <c r="P1371" s="3041"/>
      <c r="X1371" s="3280"/>
      <c r="AA1371" s="3041"/>
      <c r="AF1371" s="3041"/>
      <c r="AN1371" s="3280"/>
      <c r="AZ1371" s="3041"/>
      <c r="BD1371" s="3281"/>
      <c r="BH1371" s="3282"/>
      <c r="BJ1371" s="2589"/>
      <c r="BK1371" s="2126"/>
      <c r="BL1371" s="2126"/>
      <c r="BM1371" s="2126"/>
      <c r="BN1371" s="2126"/>
      <c r="BO1371" s="2126"/>
      <c r="BP1371" s="2126"/>
      <c r="BQ1371" s="2126"/>
      <c r="BR1371" s="2126"/>
      <c r="BS1371" s="2126"/>
    </row>
    <row r="1372" spans="1:71" s="3030" customFormat="1">
      <c r="A1372" s="2126"/>
      <c r="B1372" s="2126"/>
      <c r="C1372" s="2149"/>
      <c r="D1372" s="3248"/>
      <c r="E1372" s="525"/>
      <c r="F1372" s="525"/>
      <c r="G1372" s="526"/>
      <c r="K1372" s="3280"/>
      <c r="P1372" s="3041"/>
      <c r="X1372" s="3280"/>
      <c r="AA1372" s="3041"/>
      <c r="AF1372" s="3041"/>
      <c r="AN1372" s="3280"/>
      <c r="AZ1372" s="3041"/>
      <c r="BD1372" s="3281"/>
      <c r="BH1372" s="3282"/>
      <c r="BJ1372" s="2589"/>
      <c r="BK1372" s="2126"/>
      <c r="BL1372" s="2126"/>
      <c r="BM1372" s="2126"/>
      <c r="BN1372" s="2126"/>
      <c r="BO1372" s="2126"/>
      <c r="BP1372" s="2126"/>
      <c r="BQ1372" s="2126"/>
      <c r="BR1372" s="2126"/>
      <c r="BS1372" s="2126"/>
    </row>
    <row r="1373" spans="1:71" s="3030" customFormat="1">
      <c r="A1373" s="2126"/>
      <c r="B1373" s="2126"/>
      <c r="C1373" s="2149"/>
      <c r="D1373" s="3248"/>
      <c r="E1373" s="525"/>
      <c r="F1373" s="525"/>
      <c r="G1373" s="526"/>
      <c r="K1373" s="3280"/>
      <c r="P1373" s="3041"/>
      <c r="X1373" s="3280"/>
      <c r="AA1373" s="3041"/>
      <c r="AF1373" s="3041"/>
      <c r="AN1373" s="3280"/>
      <c r="AZ1373" s="3041"/>
      <c r="BD1373" s="3281"/>
      <c r="BH1373" s="3282"/>
      <c r="BJ1373" s="2589"/>
      <c r="BK1373" s="2126"/>
      <c r="BL1373" s="2126"/>
      <c r="BM1373" s="2126"/>
      <c r="BN1373" s="2126"/>
      <c r="BO1373" s="2126"/>
      <c r="BP1373" s="2126"/>
      <c r="BQ1373" s="2126"/>
      <c r="BR1373" s="2126"/>
      <c r="BS1373" s="2126"/>
    </row>
    <row r="1374" spans="1:71" s="3030" customFormat="1">
      <c r="A1374" s="2126"/>
      <c r="B1374" s="2126"/>
      <c r="C1374" s="2149"/>
      <c r="D1374" s="3248"/>
      <c r="E1374" s="525"/>
      <c r="F1374" s="525"/>
      <c r="G1374" s="526"/>
      <c r="K1374" s="3280"/>
      <c r="P1374" s="3041"/>
      <c r="X1374" s="3280"/>
      <c r="AA1374" s="3041"/>
      <c r="AF1374" s="3041"/>
      <c r="AN1374" s="3280"/>
      <c r="AZ1374" s="3041"/>
      <c r="BD1374" s="3281"/>
      <c r="BH1374" s="3282"/>
      <c r="BJ1374" s="2589"/>
      <c r="BK1374" s="2126"/>
      <c r="BL1374" s="2126"/>
      <c r="BM1374" s="2126"/>
      <c r="BN1374" s="2126"/>
      <c r="BO1374" s="2126"/>
      <c r="BP1374" s="2126"/>
      <c r="BQ1374" s="2126"/>
      <c r="BR1374" s="2126"/>
      <c r="BS1374" s="2126"/>
    </row>
    <row r="1375" spans="1:71" s="3030" customFormat="1">
      <c r="A1375" s="2126"/>
      <c r="B1375" s="2126"/>
      <c r="C1375" s="2149"/>
      <c r="D1375" s="3248"/>
      <c r="E1375" s="525"/>
      <c r="F1375" s="525"/>
      <c r="G1375" s="526"/>
      <c r="K1375" s="3280"/>
      <c r="P1375" s="3041"/>
      <c r="X1375" s="3280"/>
      <c r="AA1375" s="3041"/>
      <c r="AF1375" s="3041"/>
      <c r="AN1375" s="3280"/>
      <c r="AZ1375" s="3041"/>
      <c r="BD1375" s="3281"/>
      <c r="BH1375" s="3282"/>
      <c r="BJ1375" s="2589"/>
      <c r="BK1375" s="2126"/>
      <c r="BL1375" s="2126"/>
      <c r="BM1375" s="2126"/>
      <c r="BN1375" s="2126"/>
      <c r="BO1375" s="2126"/>
      <c r="BP1375" s="2126"/>
      <c r="BQ1375" s="2126"/>
      <c r="BR1375" s="2126"/>
      <c r="BS1375" s="2126"/>
    </row>
    <row r="1376" spans="1:71" s="3030" customFormat="1">
      <c r="A1376" s="2126"/>
      <c r="B1376" s="2126"/>
      <c r="C1376" s="2149"/>
      <c r="D1376" s="3248"/>
      <c r="E1376" s="525"/>
      <c r="F1376" s="525"/>
      <c r="G1376" s="526"/>
      <c r="K1376" s="3280"/>
      <c r="P1376" s="3041"/>
      <c r="X1376" s="3280"/>
      <c r="AA1376" s="3041"/>
      <c r="AF1376" s="3041"/>
      <c r="AN1376" s="3280"/>
      <c r="AZ1376" s="3041"/>
      <c r="BD1376" s="3281"/>
      <c r="BH1376" s="3282"/>
      <c r="BJ1376" s="2589"/>
      <c r="BK1376" s="2126"/>
      <c r="BL1376" s="2126"/>
      <c r="BM1376" s="2126"/>
      <c r="BN1376" s="2126"/>
      <c r="BO1376" s="2126"/>
      <c r="BP1376" s="2126"/>
      <c r="BQ1376" s="2126"/>
      <c r="BR1376" s="2126"/>
      <c r="BS1376" s="2126"/>
    </row>
    <row r="1377" spans="1:71" s="3030" customFormat="1">
      <c r="A1377" s="2126"/>
      <c r="B1377" s="2126"/>
      <c r="C1377" s="2149"/>
      <c r="D1377" s="3248"/>
      <c r="E1377" s="525"/>
      <c r="F1377" s="525"/>
      <c r="G1377" s="526"/>
      <c r="K1377" s="3280"/>
      <c r="P1377" s="3041"/>
      <c r="X1377" s="3280"/>
      <c r="AA1377" s="3041"/>
      <c r="AF1377" s="3041"/>
      <c r="AN1377" s="3280"/>
      <c r="AZ1377" s="3041"/>
      <c r="BD1377" s="3281"/>
      <c r="BH1377" s="3282"/>
      <c r="BJ1377" s="2589"/>
      <c r="BK1377" s="2126"/>
      <c r="BL1377" s="2126"/>
      <c r="BM1377" s="2126"/>
      <c r="BN1377" s="2126"/>
      <c r="BO1377" s="2126"/>
      <c r="BP1377" s="2126"/>
      <c r="BQ1377" s="2126"/>
      <c r="BR1377" s="2126"/>
      <c r="BS1377" s="2126"/>
    </row>
    <row r="1378" spans="1:71" s="3030" customFormat="1">
      <c r="A1378" s="2126"/>
      <c r="B1378" s="2126"/>
      <c r="C1378" s="2149"/>
      <c r="D1378" s="3248"/>
      <c r="E1378" s="525"/>
      <c r="F1378" s="525"/>
      <c r="G1378" s="526"/>
      <c r="K1378" s="3280"/>
      <c r="P1378" s="3041"/>
      <c r="X1378" s="3280"/>
      <c r="AA1378" s="3041"/>
      <c r="AF1378" s="3041"/>
      <c r="AN1378" s="3280"/>
      <c r="AZ1378" s="3041"/>
      <c r="BD1378" s="3281"/>
      <c r="BH1378" s="3282"/>
      <c r="BJ1378" s="2589"/>
      <c r="BK1378" s="2126"/>
      <c r="BL1378" s="2126"/>
      <c r="BM1378" s="2126"/>
      <c r="BN1378" s="2126"/>
      <c r="BO1378" s="2126"/>
      <c r="BP1378" s="2126"/>
      <c r="BQ1378" s="2126"/>
      <c r="BR1378" s="2126"/>
      <c r="BS1378" s="2126"/>
    </row>
    <row r="1379" spans="1:71" s="3030" customFormat="1">
      <c r="A1379" s="2126"/>
      <c r="B1379" s="2126"/>
      <c r="C1379" s="2149"/>
      <c r="D1379" s="3248"/>
      <c r="E1379" s="525"/>
      <c r="F1379" s="525"/>
      <c r="G1379" s="526"/>
      <c r="K1379" s="3280"/>
      <c r="P1379" s="3041"/>
      <c r="X1379" s="3280"/>
      <c r="AA1379" s="3041"/>
      <c r="AF1379" s="3041"/>
      <c r="AN1379" s="3280"/>
      <c r="AZ1379" s="3041"/>
      <c r="BD1379" s="3281"/>
      <c r="BH1379" s="3282"/>
      <c r="BJ1379" s="2589"/>
      <c r="BK1379" s="2126"/>
      <c r="BL1379" s="2126"/>
      <c r="BM1379" s="2126"/>
      <c r="BN1379" s="2126"/>
      <c r="BO1379" s="2126"/>
      <c r="BP1379" s="2126"/>
      <c r="BQ1379" s="2126"/>
      <c r="BR1379" s="2126"/>
      <c r="BS1379" s="2126"/>
    </row>
    <row r="1380" spans="1:71" s="3030" customFormat="1">
      <c r="A1380" s="2126"/>
      <c r="B1380" s="2126"/>
      <c r="C1380" s="2149"/>
      <c r="D1380" s="3248"/>
      <c r="E1380" s="525"/>
      <c r="F1380" s="525"/>
      <c r="G1380" s="526"/>
      <c r="K1380" s="3280"/>
      <c r="P1380" s="3041"/>
      <c r="X1380" s="3280"/>
      <c r="AA1380" s="3041"/>
      <c r="AF1380" s="3041"/>
      <c r="AN1380" s="3280"/>
      <c r="AZ1380" s="3041"/>
      <c r="BD1380" s="3281"/>
      <c r="BH1380" s="3282"/>
      <c r="BJ1380" s="2589"/>
      <c r="BK1380" s="2126"/>
      <c r="BL1380" s="2126"/>
      <c r="BM1380" s="2126"/>
      <c r="BN1380" s="2126"/>
      <c r="BO1380" s="2126"/>
      <c r="BP1380" s="2126"/>
      <c r="BQ1380" s="2126"/>
      <c r="BR1380" s="2126"/>
      <c r="BS1380" s="2126"/>
    </row>
    <row r="1381" spans="1:71" s="3030" customFormat="1">
      <c r="A1381" s="2126"/>
      <c r="B1381" s="2126"/>
      <c r="C1381" s="2149"/>
      <c r="D1381" s="3248"/>
      <c r="E1381" s="525"/>
      <c r="F1381" s="525"/>
      <c r="G1381" s="526"/>
      <c r="K1381" s="3280"/>
      <c r="P1381" s="3041"/>
      <c r="X1381" s="3280"/>
      <c r="AA1381" s="3041"/>
      <c r="AF1381" s="3041"/>
      <c r="AN1381" s="3280"/>
      <c r="AZ1381" s="3041"/>
      <c r="BD1381" s="3281"/>
      <c r="BH1381" s="3282"/>
      <c r="BJ1381" s="2589"/>
      <c r="BK1381" s="2126"/>
      <c r="BL1381" s="2126"/>
      <c r="BM1381" s="2126"/>
      <c r="BN1381" s="2126"/>
      <c r="BO1381" s="2126"/>
      <c r="BP1381" s="2126"/>
      <c r="BQ1381" s="2126"/>
      <c r="BR1381" s="2126"/>
      <c r="BS1381" s="2126"/>
    </row>
    <row r="1382" spans="1:71" s="3030" customFormat="1">
      <c r="A1382" s="2126"/>
      <c r="B1382" s="2126"/>
      <c r="C1382" s="2149"/>
      <c r="D1382" s="3248"/>
      <c r="E1382" s="525"/>
      <c r="F1382" s="525"/>
      <c r="G1382" s="526"/>
      <c r="K1382" s="3280"/>
      <c r="P1382" s="3041"/>
      <c r="X1382" s="3280"/>
      <c r="AA1382" s="3041"/>
      <c r="AF1382" s="3041"/>
      <c r="AN1382" s="3280"/>
      <c r="AZ1382" s="3041"/>
      <c r="BD1382" s="3281"/>
      <c r="BH1382" s="3282"/>
      <c r="BJ1382" s="2589"/>
      <c r="BK1382" s="2126"/>
      <c r="BL1382" s="2126"/>
      <c r="BM1382" s="2126"/>
      <c r="BN1382" s="2126"/>
      <c r="BO1382" s="2126"/>
      <c r="BP1382" s="2126"/>
      <c r="BQ1382" s="2126"/>
      <c r="BR1382" s="2126"/>
      <c r="BS1382" s="2126"/>
    </row>
    <row r="1383" spans="1:71" s="3030" customFormat="1">
      <c r="A1383" s="2126"/>
      <c r="B1383" s="2126"/>
      <c r="C1383" s="2149"/>
      <c r="D1383" s="3248"/>
      <c r="E1383" s="525"/>
      <c r="F1383" s="525"/>
      <c r="G1383" s="526"/>
      <c r="K1383" s="3280"/>
      <c r="P1383" s="3041"/>
      <c r="X1383" s="3280"/>
      <c r="AA1383" s="3041"/>
      <c r="AF1383" s="3041"/>
      <c r="AN1383" s="3280"/>
      <c r="AZ1383" s="3041"/>
      <c r="BD1383" s="3281"/>
      <c r="BH1383" s="3282"/>
      <c r="BJ1383" s="2589"/>
      <c r="BK1383" s="2126"/>
      <c r="BL1383" s="2126"/>
      <c r="BM1383" s="2126"/>
      <c r="BN1383" s="2126"/>
      <c r="BO1383" s="2126"/>
      <c r="BP1383" s="2126"/>
      <c r="BQ1383" s="2126"/>
      <c r="BR1383" s="2126"/>
      <c r="BS1383" s="2126"/>
    </row>
    <row r="1384" spans="1:71" s="3030" customFormat="1">
      <c r="A1384" s="2126"/>
      <c r="B1384" s="2126"/>
      <c r="C1384" s="2149"/>
      <c r="D1384" s="3248"/>
      <c r="E1384" s="525"/>
      <c r="F1384" s="525"/>
      <c r="G1384" s="526"/>
      <c r="K1384" s="3280"/>
      <c r="P1384" s="3041"/>
      <c r="X1384" s="3280"/>
      <c r="AA1384" s="3041"/>
      <c r="AF1384" s="3041"/>
      <c r="AN1384" s="3280"/>
      <c r="AZ1384" s="3041"/>
      <c r="BD1384" s="3281"/>
      <c r="BH1384" s="3282"/>
      <c r="BJ1384" s="2589"/>
      <c r="BK1384" s="2126"/>
      <c r="BL1384" s="2126"/>
      <c r="BM1384" s="2126"/>
      <c r="BN1384" s="2126"/>
      <c r="BO1384" s="2126"/>
      <c r="BP1384" s="2126"/>
      <c r="BQ1384" s="2126"/>
      <c r="BR1384" s="2126"/>
      <c r="BS1384" s="2126"/>
    </row>
    <row r="1385" spans="1:71" s="3030" customFormat="1">
      <c r="A1385" s="2126"/>
      <c r="B1385" s="2126"/>
      <c r="C1385" s="2149"/>
      <c r="D1385" s="3248"/>
      <c r="E1385" s="525"/>
      <c r="F1385" s="525"/>
      <c r="G1385" s="526"/>
      <c r="K1385" s="3280"/>
      <c r="P1385" s="3041"/>
      <c r="X1385" s="3280"/>
      <c r="AA1385" s="3041"/>
      <c r="AF1385" s="3041"/>
      <c r="AN1385" s="3280"/>
      <c r="AZ1385" s="3041"/>
      <c r="BD1385" s="3281"/>
      <c r="BH1385" s="3282"/>
      <c r="BJ1385" s="2589"/>
      <c r="BK1385" s="2126"/>
      <c r="BL1385" s="2126"/>
      <c r="BM1385" s="2126"/>
      <c r="BN1385" s="2126"/>
      <c r="BO1385" s="2126"/>
      <c r="BP1385" s="2126"/>
      <c r="BQ1385" s="2126"/>
      <c r="BR1385" s="2126"/>
      <c r="BS1385" s="2126"/>
    </row>
    <row r="1386" spans="1:71" s="3030" customFormat="1">
      <c r="A1386" s="2126"/>
      <c r="B1386" s="2126"/>
      <c r="C1386" s="2149"/>
      <c r="D1386" s="3248"/>
      <c r="E1386" s="525"/>
      <c r="F1386" s="525"/>
      <c r="G1386" s="526"/>
      <c r="K1386" s="3280"/>
      <c r="P1386" s="3041"/>
      <c r="X1386" s="3280"/>
      <c r="AA1386" s="3041"/>
      <c r="AF1386" s="3041"/>
      <c r="AN1386" s="3280"/>
      <c r="AZ1386" s="3041"/>
      <c r="BD1386" s="3281"/>
      <c r="BH1386" s="3282"/>
      <c r="BJ1386" s="2589"/>
      <c r="BK1386" s="2126"/>
      <c r="BL1386" s="2126"/>
      <c r="BM1386" s="2126"/>
      <c r="BN1386" s="2126"/>
      <c r="BO1386" s="2126"/>
      <c r="BP1386" s="2126"/>
      <c r="BQ1386" s="2126"/>
      <c r="BR1386" s="2126"/>
      <c r="BS1386" s="2126"/>
    </row>
    <row r="1387" spans="1:71" s="3030" customFormat="1">
      <c r="A1387" s="2126"/>
      <c r="B1387" s="2126"/>
      <c r="C1387" s="2149"/>
      <c r="D1387" s="3248"/>
      <c r="E1387" s="525"/>
      <c r="F1387" s="525"/>
      <c r="G1387" s="526"/>
      <c r="K1387" s="3280"/>
      <c r="P1387" s="3041"/>
      <c r="X1387" s="3280"/>
      <c r="AA1387" s="3041"/>
      <c r="AF1387" s="3041"/>
      <c r="AN1387" s="3280"/>
      <c r="AZ1387" s="3041"/>
      <c r="BD1387" s="3281"/>
      <c r="BH1387" s="3282"/>
      <c r="BJ1387" s="2589"/>
      <c r="BK1387" s="2126"/>
      <c r="BL1387" s="2126"/>
      <c r="BM1387" s="2126"/>
      <c r="BN1387" s="2126"/>
      <c r="BO1387" s="2126"/>
      <c r="BP1387" s="2126"/>
      <c r="BQ1387" s="2126"/>
      <c r="BR1387" s="2126"/>
      <c r="BS1387" s="2126"/>
    </row>
    <row r="1388" spans="1:71" s="3030" customFormat="1">
      <c r="A1388" s="2126"/>
      <c r="B1388" s="2126"/>
      <c r="C1388" s="2149"/>
      <c r="D1388" s="3248"/>
      <c r="E1388" s="525"/>
      <c r="F1388" s="525"/>
      <c r="G1388" s="526"/>
      <c r="K1388" s="3280"/>
      <c r="P1388" s="3041"/>
      <c r="X1388" s="3280"/>
      <c r="AA1388" s="3041"/>
      <c r="AF1388" s="3041"/>
      <c r="AN1388" s="3280"/>
      <c r="AZ1388" s="3041"/>
      <c r="BD1388" s="3281"/>
      <c r="BH1388" s="3282"/>
      <c r="BJ1388" s="2589"/>
      <c r="BK1388" s="2126"/>
      <c r="BL1388" s="2126"/>
      <c r="BM1388" s="2126"/>
      <c r="BN1388" s="2126"/>
      <c r="BO1388" s="2126"/>
      <c r="BP1388" s="2126"/>
      <c r="BQ1388" s="2126"/>
      <c r="BR1388" s="2126"/>
      <c r="BS1388" s="2126"/>
    </row>
    <row r="1389" spans="1:71" s="3030" customFormat="1">
      <c r="A1389" s="2126"/>
      <c r="B1389" s="2126"/>
      <c r="C1389" s="2149"/>
      <c r="D1389" s="3248"/>
      <c r="E1389" s="525"/>
      <c r="F1389" s="525"/>
      <c r="G1389" s="526"/>
      <c r="K1389" s="3280"/>
      <c r="P1389" s="3041"/>
      <c r="X1389" s="3280"/>
      <c r="AA1389" s="3041"/>
      <c r="AF1389" s="3041"/>
      <c r="AN1389" s="3280"/>
      <c r="AZ1389" s="3041"/>
      <c r="BD1389" s="3281"/>
      <c r="BH1389" s="3282"/>
      <c r="BJ1389" s="2589"/>
      <c r="BK1389" s="2126"/>
      <c r="BL1389" s="2126"/>
      <c r="BM1389" s="2126"/>
      <c r="BN1389" s="2126"/>
      <c r="BO1389" s="2126"/>
      <c r="BP1389" s="2126"/>
      <c r="BQ1389" s="2126"/>
      <c r="BR1389" s="2126"/>
      <c r="BS1389" s="2126"/>
    </row>
    <row r="1390" spans="1:71" s="3030" customFormat="1">
      <c r="A1390" s="2126"/>
      <c r="B1390" s="2126"/>
      <c r="C1390" s="2149"/>
      <c r="D1390" s="3248"/>
      <c r="E1390" s="525"/>
      <c r="F1390" s="525"/>
      <c r="G1390" s="526"/>
      <c r="K1390" s="3280"/>
      <c r="P1390" s="3041"/>
      <c r="X1390" s="3280"/>
      <c r="AA1390" s="3041"/>
      <c r="AF1390" s="3041"/>
      <c r="AN1390" s="3280"/>
      <c r="AZ1390" s="3041"/>
      <c r="BD1390" s="3281"/>
      <c r="BH1390" s="3282"/>
      <c r="BJ1390" s="2589"/>
      <c r="BK1390" s="2126"/>
      <c r="BL1390" s="2126"/>
      <c r="BM1390" s="2126"/>
      <c r="BN1390" s="2126"/>
      <c r="BO1390" s="2126"/>
      <c r="BP1390" s="2126"/>
      <c r="BQ1390" s="2126"/>
      <c r="BR1390" s="2126"/>
      <c r="BS1390" s="2126"/>
    </row>
    <row r="1391" spans="1:71" s="3030" customFormat="1">
      <c r="A1391" s="2126"/>
      <c r="B1391" s="2126"/>
      <c r="C1391" s="2149"/>
      <c r="D1391" s="3248"/>
      <c r="E1391" s="525"/>
      <c r="F1391" s="525"/>
      <c r="G1391" s="526"/>
      <c r="K1391" s="3280"/>
      <c r="P1391" s="3041"/>
      <c r="X1391" s="3280"/>
      <c r="AA1391" s="3041"/>
      <c r="AF1391" s="3041"/>
      <c r="AN1391" s="3280"/>
      <c r="AZ1391" s="3041"/>
      <c r="BD1391" s="3281"/>
      <c r="BH1391" s="3282"/>
      <c r="BJ1391" s="2589"/>
      <c r="BK1391" s="2126"/>
      <c r="BL1391" s="2126"/>
      <c r="BM1391" s="2126"/>
      <c r="BN1391" s="2126"/>
      <c r="BO1391" s="2126"/>
      <c r="BP1391" s="2126"/>
      <c r="BQ1391" s="2126"/>
      <c r="BR1391" s="2126"/>
      <c r="BS1391" s="2126"/>
    </row>
    <row r="1392" spans="1:71" s="3030" customFormat="1">
      <c r="A1392" s="2126"/>
      <c r="B1392" s="2126"/>
      <c r="C1392" s="2149"/>
      <c r="D1392" s="3248"/>
      <c r="E1392" s="525"/>
      <c r="F1392" s="525"/>
      <c r="G1392" s="526"/>
      <c r="K1392" s="3280"/>
      <c r="P1392" s="3041"/>
      <c r="X1392" s="3280"/>
      <c r="AA1392" s="3041"/>
      <c r="AF1392" s="3041"/>
      <c r="AN1392" s="3280"/>
      <c r="AZ1392" s="3041"/>
      <c r="BD1392" s="3281"/>
      <c r="BH1392" s="3282"/>
      <c r="BJ1392" s="2589"/>
      <c r="BK1392" s="2126"/>
      <c r="BL1392" s="2126"/>
      <c r="BM1392" s="2126"/>
      <c r="BN1392" s="2126"/>
      <c r="BO1392" s="2126"/>
      <c r="BP1392" s="2126"/>
      <c r="BQ1392" s="2126"/>
      <c r="BR1392" s="2126"/>
      <c r="BS1392" s="2126"/>
    </row>
    <row r="1393" spans="1:71" s="3030" customFormat="1">
      <c r="A1393" s="2126"/>
      <c r="B1393" s="2126"/>
      <c r="C1393" s="2149"/>
      <c r="D1393" s="3248"/>
      <c r="E1393" s="525"/>
      <c r="F1393" s="525"/>
      <c r="G1393" s="526"/>
      <c r="K1393" s="3280"/>
      <c r="P1393" s="3041"/>
      <c r="X1393" s="3280"/>
      <c r="AA1393" s="3041"/>
      <c r="AF1393" s="3041"/>
      <c r="AN1393" s="3280"/>
      <c r="AZ1393" s="3041"/>
      <c r="BD1393" s="3281"/>
      <c r="BH1393" s="3282"/>
      <c r="BJ1393" s="2589"/>
      <c r="BK1393" s="2126"/>
      <c r="BL1393" s="2126"/>
      <c r="BM1393" s="2126"/>
      <c r="BN1393" s="2126"/>
      <c r="BO1393" s="2126"/>
      <c r="BP1393" s="2126"/>
      <c r="BQ1393" s="2126"/>
      <c r="BR1393" s="2126"/>
      <c r="BS1393" s="2126"/>
    </row>
    <row r="1394" spans="1:71" s="3030" customFormat="1">
      <c r="A1394" s="2126"/>
      <c r="B1394" s="2126"/>
      <c r="C1394" s="2149"/>
      <c r="D1394" s="3248"/>
      <c r="E1394" s="525"/>
      <c r="F1394" s="525"/>
      <c r="G1394" s="526"/>
      <c r="K1394" s="3280"/>
      <c r="P1394" s="3041"/>
      <c r="X1394" s="3280"/>
      <c r="AA1394" s="3041"/>
      <c r="AF1394" s="3041"/>
      <c r="AN1394" s="3280"/>
      <c r="AZ1394" s="3041"/>
      <c r="BD1394" s="3281"/>
      <c r="BH1394" s="3282"/>
      <c r="BJ1394" s="2589"/>
      <c r="BK1394" s="2126"/>
      <c r="BL1394" s="2126"/>
      <c r="BM1394" s="2126"/>
      <c r="BN1394" s="2126"/>
      <c r="BO1394" s="2126"/>
      <c r="BP1394" s="2126"/>
      <c r="BQ1394" s="2126"/>
      <c r="BR1394" s="2126"/>
      <c r="BS1394" s="2126"/>
    </row>
    <row r="1395" spans="1:71" s="3030" customFormat="1">
      <c r="A1395" s="2126"/>
      <c r="B1395" s="2126"/>
      <c r="C1395" s="2149"/>
      <c r="D1395" s="3248"/>
      <c r="E1395" s="525"/>
      <c r="F1395" s="525"/>
      <c r="G1395" s="526"/>
      <c r="K1395" s="3280"/>
      <c r="P1395" s="3041"/>
      <c r="X1395" s="3280"/>
      <c r="AA1395" s="3041"/>
      <c r="AF1395" s="3041"/>
      <c r="AN1395" s="3280"/>
      <c r="AZ1395" s="3041"/>
      <c r="BD1395" s="3281"/>
      <c r="BH1395" s="3282"/>
      <c r="BJ1395" s="2589"/>
      <c r="BK1395" s="2126"/>
      <c r="BL1395" s="2126"/>
      <c r="BM1395" s="2126"/>
      <c r="BN1395" s="2126"/>
      <c r="BO1395" s="2126"/>
      <c r="BP1395" s="2126"/>
      <c r="BQ1395" s="2126"/>
      <c r="BR1395" s="2126"/>
      <c r="BS1395" s="2126"/>
    </row>
    <row r="1396" spans="1:71" s="3030" customFormat="1">
      <c r="A1396" s="2126"/>
      <c r="B1396" s="2126"/>
      <c r="C1396" s="2149"/>
      <c r="D1396" s="3248"/>
      <c r="E1396" s="525"/>
      <c r="F1396" s="525"/>
      <c r="G1396" s="526"/>
      <c r="K1396" s="3280"/>
      <c r="P1396" s="3041"/>
      <c r="X1396" s="3280"/>
      <c r="AA1396" s="3041"/>
      <c r="AF1396" s="3041"/>
      <c r="AN1396" s="3280"/>
      <c r="AZ1396" s="3041"/>
      <c r="BD1396" s="3281"/>
      <c r="BH1396" s="3282"/>
      <c r="BJ1396" s="2589"/>
      <c r="BK1396" s="2126"/>
      <c r="BL1396" s="2126"/>
      <c r="BM1396" s="2126"/>
      <c r="BN1396" s="2126"/>
      <c r="BO1396" s="2126"/>
      <c r="BP1396" s="2126"/>
      <c r="BQ1396" s="2126"/>
      <c r="BR1396" s="2126"/>
      <c r="BS1396" s="2126"/>
    </row>
    <row r="1397" spans="1:71" s="3030" customFormat="1">
      <c r="A1397" s="2126"/>
      <c r="B1397" s="2126"/>
      <c r="C1397" s="2149"/>
      <c r="D1397" s="3248"/>
      <c r="E1397" s="525"/>
      <c r="F1397" s="525"/>
      <c r="G1397" s="526"/>
      <c r="K1397" s="3280"/>
      <c r="P1397" s="3041"/>
      <c r="X1397" s="3280"/>
      <c r="AA1397" s="3041"/>
      <c r="AF1397" s="3041"/>
      <c r="AN1397" s="3280"/>
      <c r="AZ1397" s="3041"/>
      <c r="BD1397" s="3281"/>
      <c r="BH1397" s="3282"/>
      <c r="BJ1397" s="2589"/>
      <c r="BK1397" s="2126"/>
      <c r="BL1397" s="2126"/>
      <c r="BM1397" s="2126"/>
      <c r="BN1397" s="2126"/>
      <c r="BO1397" s="2126"/>
      <c r="BP1397" s="2126"/>
      <c r="BQ1397" s="2126"/>
      <c r="BR1397" s="2126"/>
      <c r="BS1397" s="2126"/>
    </row>
    <row r="1398" spans="1:71" s="3030" customFormat="1">
      <c r="A1398" s="2126"/>
      <c r="B1398" s="2126"/>
      <c r="C1398" s="2149"/>
      <c r="D1398" s="3248"/>
      <c r="E1398" s="525"/>
      <c r="F1398" s="525"/>
      <c r="G1398" s="526"/>
      <c r="K1398" s="3280"/>
      <c r="P1398" s="3041"/>
      <c r="X1398" s="3280"/>
      <c r="AA1398" s="3041"/>
      <c r="AF1398" s="3041"/>
      <c r="AN1398" s="3280"/>
      <c r="AZ1398" s="3041"/>
      <c r="BD1398" s="3281"/>
      <c r="BH1398" s="3282"/>
      <c r="BJ1398" s="2589"/>
      <c r="BK1398" s="2126"/>
      <c r="BL1398" s="2126"/>
      <c r="BM1398" s="2126"/>
      <c r="BN1398" s="2126"/>
      <c r="BO1398" s="2126"/>
      <c r="BP1398" s="2126"/>
      <c r="BQ1398" s="2126"/>
      <c r="BR1398" s="2126"/>
      <c r="BS1398" s="2126"/>
    </row>
    <row r="1399" spans="1:71" s="3030" customFormat="1">
      <c r="A1399" s="2126"/>
      <c r="B1399" s="2126"/>
      <c r="C1399" s="2149"/>
      <c r="D1399" s="3248"/>
      <c r="E1399" s="525"/>
      <c r="F1399" s="525"/>
      <c r="G1399" s="526"/>
      <c r="K1399" s="3280"/>
      <c r="P1399" s="3041"/>
      <c r="X1399" s="3280"/>
      <c r="AA1399" s="3041"/>
      <c r="AF1399" s="3041"/>
      <c r="AN1399" s="3280"/>
      <c r="AZ1399" s="3041"/>
      <c r="BD1399" s="3281"/>
      <c r="BH1399" s="3282"/>
      <c r="BJ1399" s="2589"/>
      <c r="BK1399" s="2126"/>
      <c r="BL1399" s="2126"/>
      <c r="BM1399" s="2126"/>
      <c r="BN1399" s="2126"/>
      <c r="BO1399" s="2126"/>
      <c r="BP1399" s="2126"/>
      <c r="BQ1399" s="2126"/>
      <c r="BR1399" s="2126"/>
      <c r="BS1399" s="2126"/>
    </row>
    <row r="1400" spans="1:71" s="3030" customFormat="1">
      <c r="A1400" s="2126"/>
      <c r="B1400" s="2126"/>
      <c r="C1400" s="2149"/>
      <c r="D1400" s="3248"/>
      <c r="E1400" s="525"/>
      <c r="F1400" s="525"/>
      <c r="G1400" s="526"/>
      <c r="K1400" s="3280"/>
      <c r="P1400" s="3041"/>
      <c r="X1400" s="3280"/>
      <c r="AA1400" s="3041"/>
      <c r="AF1400" s="3041"/>
      <c r="AN1400" s="3280"/>
      <c r="AZ1400" s="3041"/>
      <c r="BD1400" s="3281"/>
      <c r="BH1400" s="3282"/>
      <c r="BJ1400" s="2589"/>
      <c r="BK1400" s="2126"/>
      <c r="BL1400" s="2126"/>
      <c r="BM1400" s="2126"/>
      <c r="BN1400" s="2126"/>
      <c r="BO1400" s="2126"/>
      <c r="BP1400" s="2126"/>
      <c r="BQ1400" s="2126"/>
      <c r="BR1400" s="2126"/>
      <c r="BS1400" s="2126"/>
    </row>
    <row r="1401" spans="1:71" s="3030" customFormat="1">
      <c r="A1401" s="2126"/>
      <c r="B1401" s="2126"/>
      <c r="C1401" s="2149"/>
      <c r="D1401" s="3248"/>
      <c r="E1401" s="525"/>
      <c r="F1401" s="525"/>
      <c r="G1401" s="526"/>
      <c r="K1401" s="3280"/>
      <c r="P1401" s="3041"/>
      <c r="X1401" s="3280"/>
      <c r="AA1401" s="3041"/>
      <c r="AF1401" s="3041"/>
      <c r="AN1401" s="3280"/>
      <c r="AZ1401" s="3041"/>
      <c r="BD1401" s="3281"/>
      <c r="BH1401" s="3282"/>
      <c r="BJ1401" s="2589"/>
      <c r="BK1401" s="2126"/>
      <c r="BL1401" s="2126"/>
      <c r="BM1401" s="2126"/>
      <c r="BN1401" s="2126"/>
      <c r="BO1401" s="2126"/>
      <c r="BP1401" s="2126"/>
      <c r="BQ1401" s="2126"/>
      <c r="BR1401" s="2126"/>
      <c r="BS1401" s="2126"/>
    </row>
    <row r="1402" spans="1:71" s="3030" customFormat="1">
      <c r="A1402" s="2126"/>
      <c r="B1402" s="2126"/>
      <c r="C1402" s="2149"/>
      <c r="D1402" s="3248"/>
      <c r="E1402" s="525"/>
      <c r="F1402" s="525"/>
      <c r="G1402" s="526"/>
      <c r="K1402" s="3280"/>
      <c r="P1402" s="3041"/>
      <c r="X1402" s="3280"/>
      <c r="AA1402" s="3041"/>
      <c r="AF1402" s="3041"/>
      <c r="AN1402" s="3280"/>
      <c r="AZ1402" s="3041"/>
      <c r="BD1402" s="3281"/>
      <c r="BH1402" s="3282"/>
      <c r="BJ1402" s="2589"/>
      <c r="BK1402" s="2126"/>
      <c r="BL1402" s="2126"/>
      <c r="BM1402" s="2126"/>
      <c r="BN1402" s="2126"/>
      <c r="BO1402" s="2126"/>
      <c r="BP1402" s="2126"/>
      <c r="BQ1402" s="2126"/>
      <c r="BR1402" s="2126"/>
      <c r="BS1402" s="2126"/>
    </row>
    <row r="1403" spans="1:71" s="3030" customFormat="1">
      <c r="A1403" s="2126"/>
      <c r="B1403" s="2126"/>
      <c r="C1403" s="2149"/>
      <c r="D1403" s="3248"/>
      <c r="E1403" s="525"/>
      <c r="F1403" s="525"/>
      <c r="G1403" s="526"/>
      <c r="K1403" s="3280"/>
      <c r="P1403" s="3041"/>
      <c r="X1403" s="3280"/>
      <c r="AA1403" s="3041"/>
      <c r="AF1403" s="3041"/>
      <c r="AN1403" s="3280"/>
      <c r="AZ1403" s="3041"/>
      <c r="BD1403" s="3281"/>
      <c r="BH1403" s="3282"/>
      <c r="BJ1403" s="2589"/>
      <c r="BK1403" s="2126"/>
      <c r="BL1403" s="2126"/>
      <c r="BM1403" s="2126"/>
      <c r="BN1403" s="2126"/>
      <c r="BO1403" s="2126"/>
      <c r="BP1403" s="2126"/>
      <c r="BQ1403" s="2126"/>
      <c r="BR1403" s="2126"/>
      <c r="BS1403" s="2126"/>
    </row>
    <row r="1404" spans="1:71" s="3030" customFormat="1">
      <c r="A1404" s="2126"/>
      <c r="B1404" s="2126"/>
      <c r="C1404" s="2149"/>
      <c r="D1404" s="3248"/>
      <c r="E1404" s="525"/>
      <c r="F1404" s="525"/>
      <c r="G1404" s="526"/>
      <c r="K1404" s="3280"/>
      <c r="P1404" s="3041"/>
      <c r="X1404" s="3280"/>
      <c r="AA1404" s="3041"/>
      <c r="AF1404" s="3041"/>
      <c r="AN1404" s="3280"/>
      <c r="AZ1404" s="3041"/>
      <c r="BD1404" s="3281"/>
      <c r="BH1404" s="3282"/>
      <c r="BJ1404" s="2589"/>
      <c r="BK1404" s="2126"/>
      <c r="BL1404" s="2126"/>
      <c r="BM1404" s="2126"/>
      <c r="BN1404" s="2126"/>
      <c r="BO1404" s="2126"/>
      <c r="BP1404" s="2126"/>
      <c r="BQ1404" s="2126"/>
      <c r="BR1404" s="2126"/>
      <c r="BS1404" s="2126"/>
    </row>
    <row r="1405" spans="1:71" s="3030" customFormat="1">
      <c r="A1405" s="2126"/>
      <c r="B1405" s="2126"/>
      <c r="C1405" s="2149"/>
      <c r="D1405" s="3248"/>
      <c r="E1405" s="525"/>
      <c r="F1405" s="525"/>
      <c r="G1405" s="526"/>
      <c r="K1405" s="3280"/>
      <c r="P1405" s="3041"/>
      <c r="X1405" s="3280"/>
      <c r="AA1405" s="3041"/>
      <c r="AF1405" s="3041"/>
      <c r="AN1405" s="3280"/>
      <c r="AZ1405" s="3041"/>
      <c r="BD1405" s="3281"/>
      <c r="BH1405" s="3282"/>
      <c r="BJ1405" s="2589"/>
      <c r="BK1405" s="2126"/>
      <c r="BL1405" s="2126"/>
      <c r="BM1405" s="2126"/>
      <c r="BN1405" s="2126"/>
      <c r="BO1405" s="2126"/>
      <c r="BP1405" s="2126"/>
      <c r="BQ1405" s="2126"/>
      <c r="BR1405" s="2126"/>
      <c r="BS1405" s="2126"/>
    </row>
    <row r="1406" spans="1:71" s="3030" customFormat="1">
      <c r="A1406" s="2126"/>
      <c r="B1406" s="2126"/>
      <c r="C1406" s="2149"/>
      <c r="D1406" s="3248"/>
      <c r="E1406" s="525"/>
      <c r="F1406" s="525"/>
      <c r="G1406" s="526"/>
      <c r="K1406" s="3280"/>
      <c r="P1406" s="3041"/>
      <c r="X1406" s="3280"/>
      <c r="AA1406" s="3041"/>
      <c r="AF1406" s="3041"/>
      <c r="AN1406" s="3280"/>
      <c r="AZ1406" s="3041"/>
      <c r="BD1406" s="3281"/>
      <c r="BH1406" s="3282"/>
      <c r="BJ1406" s="2589"/>
      <c r="BK1406" s="2126"/>
      <c r="BL1406" s="2126"/>
      <c r="BM1406" s="2126"/>
      <c r="BN1406" s="2126"/>
      <c r="BO1406" s="2126"/>
      <c r="BP1406" s="2126"/>
      <c r="BQ1406" s="2126"/>
      <c r="BR1406" s="2126"/>
      <c r="BS1406" s="2126"/>
    </row>
    <row r="1407" spans="1:71" s="3030" customFormat="1">
      <c r="A1407" s="2126"/>
      <c r="B1407" s="2126"/>
      <c r="C1407" s="2149"/>
      <c r="D1407" s="3248"/>
      <c r="E1407" s="525"/>
      <c r="F1407" s="525"/>
      <c r="G1407" s="526"/>
      <c r="K1407" s="3280"/>
      <c r="P1407" s="3041"/>
      <c r="X1407" s="3280"/>
      <c r="AA1407" s="3041"/>
      <c r="AF1407" s="3041"/>
      <c r="AN1407" s="3280"/>
      <c r="AZ1407" s="3041"/>
      <c r="BD1407" s="3281"/>
      <c r="BH1407" s="3282"/>
      <c r="BJ1407" s="2589"/>
      <c r="BK1407" s="2126"/>
      <c r="BL1407" s="2126"/>
      <c r="BM1407" s="2126"/>
      <c r="BN1407" s="2126"/>
      <c r="BO1407" s="2126"/>
      <c r="BP1407" s="2126"/>
      <c r="BQ1407" s="2126"/>
      <c r="BR1407" s="2126"/>
      <c r="BS1407" s="2126"/>
    </row>
    <row r="1408" spans="1:71" s="3030" customFormat="1">
      <c r="A1408" s="2126"/>
      <c r="B1408" s="2126"/>
      <c r="C1408" s="2149"/>
      <c r="D1408" s="3248"/>
      <c r="E1408" s="525"/>
      <c r="F1408" s="525"/>
      <c r="G1408" s="526"/>
      <c r="K1408" s="3280"/>
      <c r="P1408" s="3041"/>
      <c r="X1408" s="3280"/>
      <c r="AA1408" s="3041"/>
      <c r="AF1408" s="3041"/>
      <c r="AN1408" s="3280"/>
      <c r="AZ1408" s="3041"/>
      <c r="BD1408" s="3281"/>
      <c r="BH1408" s="3282"/>
      <c r="BJ1408" s="2589"/>
      <c r="BK1408" s="2126"/>
      <c r="BL1408" s="2126"/>
      <c r="BM1408" s="2126"/>
      <c r="BN1408" s="2126"/>
      <c r="BO1408" s="2126"/>
      <c r="BP1408" s="2126"/>
      <c r="BQ1408" s="2126"/>
      <c r="BR1408" s="2126"/>
      <c r="BS1408" s="2126"/>
    </row>
    <row r="1409" spans="1:71" s="3030" customFormat="1">
      <c r="A1409" s="2126"/>
      <c r="B1409" s="2126"/>
      <c r="C1409" s="2149"/>
      <c r="D1409" s="3248"/>
      <c r="E1409" s="525"/>
      <c r="F1409" s="525"/>
      <c r="G1409" s="526"/>
      <c r="K1409" s="3280"/>
      <c r="P1409" s="3041"/>
      <c r="X1409" s="3280"/>
      <c r="AA1409" s="3041"/>
      <c r="AF1409" s="3041"/>
      <c r="AN1409" s="3280"/>
      <c r="AZ1409" s="3041"/>
      <c r="BD1409" s="3281"/>
      <c r="BH1409" s="3282"/>
      <c r="BJ1409" s="2589"/>
      <c r="BK1409" s="2126"/>
      <c r="BL1409" s="2126"/>
      <c r="BM1409" s="2126"/>
      <c r="BN1409" s="2126"/>
      <c r="BO1409" s="2126"/>
      <c r="BP1409" s="2126"/>
      <c r="BQ1409" s="2126"/>
      <c r="BR1409" s="2126"/>
      <c r="BS1409" s="2126"/>
    </row>
    <row r="1410" spans="1:71" s="3030" customFormat="1">
      <c r="A1410" s="2126"/>
      <c r="B1410" s="2126"/>
      <c r="C1410" s="2149"/>
      <c r="D1410" s="3248"/>
      <c r="E1410" s="525"/>
      <c r="F1410" s="525"/>
      <c r="G1410" s="526"/>
      <c r="K1410" s="3280"/>
      <c r="P1410" s="3041"/>
      <c r="X1410" s="3280"/>
      <c r="AA1410" s="3041"/>
      <c r="AF1410" s="3041"/>
      <c r="AN1410" s="3280"/>
      <c r="AZ1410" s="3041"/>
      <c r="BD1410" s="3281"/>
      <c r="BH1410" s="3282"/>
      <c r="BJ1410" s="2589"/>
      <c r="BK1410" s="2126"/>
      <c r="BL1410" s="2126"/>
      <c r="BM1410" s="2126"/>
      <c r="BN1410" s="2126"/>
      <c r="BO1410" s="2126"/>
      <c r="BP1410" s="2126"/>
      <c r="BQ1410" s="2126"/>
      <c r="BR1410" s="2126"/>
      <c r="BS1410" s="2126"/>
    </row>
    <row r="1411" spans="1:71" s="3030" customFormat="1">
      <c r="A1411" s="2126"/>
      <c r="B1411" s="2126"/>
      <c r="C1411" s="2149"/>
      <c r="D1411" s="3248"/>
      <c r="E1411" s="525"/>
      <c r="F1411" s="525"/>
      <c r="G1411" s="526"/>
      <c r="K1411" s="3280"/>
      <c r="P1411" s="3041"/>
      <c r="X1411" s="3280"/>
      <c r="AA1411" s="3041"/>
      <c r="AF1411" s="3041"/>
      <c r="AN1411" s="3280"/>
      <c r="AZ1411" s="3041"/>
      <c r="BD1411" s="3281"/>
      <c r="BH1411" s="3282"/>
      <c r="BJ1411" s="2589"/>
      <c r="BK1411" s="2126"/>
      <c r="BL1411" s="2126"/>
      <c r="BM1411" s="2126"/>
      <c r="BN1411" s="2126"/>
      <c r="BO1411" s="2126"/>
      <c r="BP1411" s="2126"/>
      <c r="BQ1411" s="2126"/>
      <c r="BR1411" s="2126"/>
      <c r="BS1411" s="2126"/>
    </row>
    <row r="1412" spans="1:71" s="3030" customFormat="1">
      <c r="A1412" s="2126"/>
      <c r="B1412" s="2126"/>
      <c r="C1412" s="2149"/>
      <c r="D1412" s="3248"/>
      <c r="E1412" s="525"/>
      <c r="F1412" s="525"/>
      <c r="G1412" s="526"/>
      <c r="K1412" s="3280"/>
      <c r="P1412" s="3041"/>
      <c r="X1412" s="3280"/>
      <c r="AA1412" s="3041"/>
      <c r="AF1412" s="3041"/>
      <c r="AN1412" s="3280"/>
      <c r="AZ1412" s="3041"/>
      <c r="BD1412" s="3281"/>
      <c r="BH1412" s="3282"/>
      <c r="BJ1412" s="2589"/>
      <c r="BK1412" s="2126"/>
      <c r="BL1412" s="2126"/>
      <c r="BM1412" s="2126"/>
      <c r="BN1412" s="2126"/>
      <c r="BO1412" s="2126"/>
      <c r="BP1412" s="2126"/>
      <c r="BQ1412" s="2126"/>
      <c r="BR1412" s="2126"/>
      <c r="BS1412" s="2126"/>
    </row>
    <row r="1413" spans="1:71" s="3030" customFormat="1">
      <c r="A1413" s="2126"/>
      <c r="B1413" s="2126"/>
      <c r="C1413" s="2149"/>
      <c r="D1413" s="3248"/>
      <c r="E1413" s="525"/>
      <c r="F1413" s="525"/>
      <c r="G1413" s="526"/>
      <c r="K1413" s="3280"/>
      <c r="P1413" s="3041"/>
      <c r="X1413" s="3280"/>
      <c r="AA1413" s="3041"/>
      <c r="AF1413" s="3041"/>
      <c r="AN1413" s="3280"/>
      <c r="AZ1413" s="3041"/>
      <c r="BD1413" s="3281"/>
      <c r="BH1413" s="3282"/>
      <c r="BJ1413" s="2589"/>
      <c r="BK1413" s="2126"/>
      <c r="BL1413" s="2126"/>
      <c r="BM1413" s="2126"/>
      <c r="BN1413" s="2126"/>
      <c r="BO1413" s="2126"/>
      <c r="BP1413" s="2126"/>
      <c r="BQ1413" s="2126"/>
      <c r="BR1413" s="2126"/>
      <c r="BS1413" s="2126"/>
    </row>
    <row r="1414" spans="1:71" s="3030" customFormat="1">
      <c r="A1414" s="2126"/>
      <c r="B1414" s="2126"/>
      <c r="C1414" s="2149"/>
      <c r="D1414" s="3248"/>
      <c r="E1414" s="525"/>
      <c r="F1414" s="525"/>
      <c r="G1414" s="526"/>
      <c r="K1414" s="3280"/>
      <c r="P1414" s="3041"/>
      <c r="X1414" s="3280"/>
      <c r="AA1414" s="3041"/>
      <c r="AF1414" s="3041"/>
      <c r="AN1414" s="3280"/>
      <c r="AZ1414" s="3041"/>
      <c r="BD1414" s="3281"/>
      <c r="BH1414" s="3282"/>
      <c r="BJ1414" s="2589"/>
      <c r="BK1414" s="2126"/>
      <c r="BL1414" s="2126"/>
      <c r="BM1414" s="2126"/>
      <c r="BN1414" s="2126"/>
      <c r="BO1414" s="2126"/>
      <c r="BP1414" s="2126"/>
      <c r="BQ1414" s="2126"/>
      <c r="BR1414" s="2126"/>
      <c r="BS1414" s="2126"/>
    </row>
    <row r="1415" spans="1:71" s="3030" customFormat="1">
      <c r="A1415" s="2126"/>
      <c r="B1415" s="2126"/>
      <c r="C1415" s="2149"/>
      <c r="D1415" s="3248"/>
      <c r="E1415" s="525"/>
      <c r="F1415" s="525"/>
      <c r="G1415" s="526"/>
      <c r="K1415" s="3280"/>
      <c r="P1415" s="3041"/>
      <c r="X1415" s="3280"/>
      <c r="AA1415" s="3041"/>
      <c r="AF1415" s="3041"/>
      <c r="AN1415" s="3280"/>
      <c r="AZ1415" s="3041"/>
      <c r="BD1415" s="3281"/>
      <c r="BH1415" s="3282"/>
      <c r="BJ1415" s="2589"/>
      <c r="BK1415" s="2126"/>
      <c r="BL1415" s="2126"/>
      <c r="BM1415" s="2126"/>
      <c r="BN1415" s="2126"/>
      <c r="BO1415" s="2126"/>
      <c r="BP1415" s="2126"/>
      <c r="BQ1415" s="2126"/>
      <c r="BR1415" s="2126"/>
      <c r="BS1415" s="2126"/>
    </row>
    <row r="1416" spans="1:71" s="3030" customFormat="1">
      <c r="A1416" s="2126"/>
      <c r="B1416" s="2126"/>
      <c r="C1416" s="2149"/>
      <c r="D1416" s="3248"/>
      <c r="E1416" s="525"/>
      <c r="F1416" s="525"/>
      <c r="G1416" s="526"/>
      <c r="K1416" s="3280"/>
      <c r="P1416" s="3041"/>
      <c r="X1416" s="3280"/>
      <c r="AA1416" s="3041"/>
      <c r="AF1416" s="3041"/>
      <c r="AN1416" s="3280"/>
      <c r="AZ1416" s="3041"/>
      <c r="BD1416" s="3281"/>
      <c r="BH1416" s="3282"/>
      <c r="BJ1416" s="2589"/>
      <c r="BK1416" s="2126"/>
      <c r="BL1416" s="2126"/>
      <c r="BM1416" s="2126"/>
      <c r="BN1416" s="2126"/>
      <c r="BO1416" s="2126"/>
      <c r="BP1416" s="2126"/>
      <c r="BQ1416" s="2126"/>
      <c r="BR1416" s="2126"/>
      <c r="BS1416" s="2126"/>
    </row>
    <row r="1417" spans="1:71" s="3030" customFormat="1">
      <c r="A1417" s="2126"/>
      <c r="B1417" s="2126"/>
      <c r="C1417" s="2149"/>
      <c r="D1417" s="3248"/>
      <c r="E1417" s="525"/>
      <c r="F1417" s="525"/>
      <c r="G1417" s="526"/>
      <c r="K1417" s="3280"/>
      <c r="P1417" s="3041"/>
      <c r="X1417" s="3280"/>
      <c r="AA1417" s="3041"/>
      <c r="AF1417" s="3041"/>
      <c r="AN1417" s="3280"/>
      <c r="AZ1417" s="3041"/>
      <c r="BD1417" s="3281"/>
      <c r="BH1417" s="3282"/>
      <c r="BJ1417" s="2589"/>
      <c r="BK1417" s="2126"/>
      <c r="BL1417" s="2126"/>
      <c r="BM1417" s="2126"/>
      <c r="BN1417" s="2126"/>
      <c r="BO1417" s="2126"/>
      <c r="BP1417" s="2126"/>
      <c r="BQ1417" s="2126"/>
      <c r="BR1417" s="2126"/>
      <c r="BS1417" s="2126"/>
    </row>
    <row r="1418" spans="1:71" s="3030" customFormat="1">
      <c r="A1418" s="2126"/>
      <c r="B1418" s="2126"/>
      <c r="C1418" s="2149"/>
      <c r="D1418" s="3248"/>
      <c r="E1418" s="525"/>
      <c r="F1418" s="525"/>
      <c r="G1418" s="526"/>
      <c r="K1418" s="3280"/>
      <c r="P1418" s="3041"/>
      <c r="X1418" s="3280"/>
      <c r="AA1418" s="3041"/>
      <c r="AF1418" s="3041"/>
      <c r="AN1418" s="3280"/>
      <c r="AZ1418" s="3041"/>
      <c r="BD1418" s="3281"/>
      <c r="BH1418" s="3282"/>
      <c r="BJ1418" s="2589"/>
      <c r="BK1418" s="2126"/>
      <c r="BL1418" s="2126"/>
      <c r="BM1418" s="2126"/>
      <c r="BN1418" s="2126"/>
      <c r="BO1418" s="2126"/>
      <c r="BP1418" s="2126"/>
      <c r="BQ1418" s="2126"/>
      <c r="BR1418" s="2126"/>
      <c r="BS1418" s="2126"/>
    </row>
    <row r="1419" spans="1:71" s="3030" customFormat="1">
      <c r="A1419" s="2126"/>
      <c r="B1419" s="2126"/>
      <c r="C1419" s="2149"/>
      <c r="D1419" s="3248"/>
      <c r="E1419" s="525"/>
      <c r="F1419" s="525"/>
      <c r="G1419" s="526"/>
      <c r="K1419" s="3280"/>
      <c r="P1419" s="3041"/>
      <c r="X1419" s="3280"/>
      <c r="AA1419" s="3041"/>
      <c r="AF1419" s="3041"/>
      <c r="AN1419" s="3280"/>
      <c r="AZ1419" s="3041"/>
      <c r="BD1419" s="3281"/>
      <c r="BH1419" s="3282"/>
      <c r="BJ1419" s="2589"/>
      <c r="BK1419" s="2126"/>
      <c r="BL1419" s="2126"/>
      <c r="BM1419" s="2126"/>
      <c r="BN1419" s="2126"/>
      <c r="BO1419" s="2126"/>
      <c r="BP1419" s="2126"/>
      <c r="BQ1419" s="2126"/>
      <c r="BR1419" s="2126"/>
      <c r="BS1419" s="2126"/>
    </row>
    <row r="1420" spans="1:71" s="3030" customFormat="1">
      <c r="A1420" s="2126"/>
      <c r="B1420" s="2126"/>
      <c r="C1420" s="2149"/>
      <c r="D1420" s="3248"/>
      <c r="E1420" s="525"/>
      <c r="F1420" s="525"/>
      <c r="G1420" s="526"/>
      <c r="K1420" s="3280"/>
      <c r="P1420" s="3041"/>
      <c r="X1420" s="3280"/>
      <c r="AA1420" s="3041"/>
      <c r="AF1420" s="3041"/>
      <c r="AN1420" s="3280"/>
      <c r="AZ1420" s="3041"/>
      <c r="BD1420" s="3281"/>
      <c r="BH1420" s="3282"/>
      <c r="BJ1420" s="2589"/>
      <c r="BK1420" s="2126"/>
      <c r="BL1420" s="2126"/>
      <c r="BM1420" s="2126"/>
      <c r="BN1420" s="2126"/>
      <c r="BO1420" s="2126"/>
      <c r="BP1420" s="2126"/>
      <c r="BQ1420" s="2126"/>
      <c r="BR1420" s="2126"/>
      <c r="BS1420" s="2126"/>
    </row>
    <row r="1421" spans="1:71" s="3030" customFormat="1">
      <c r="A1421" s="2126"/>
      <c r="B1421" s="2126"/>
      <c r="C1421" s="2149"/>
      <c r="D1421" s="3248"/>
      <c r="E1421" s="525"/>
      <c r="F1421" s="525"/>
      <c r="G1421" s="526"/>
      <c r="K1421" s="3280"/>
      <c r="P1421" s="3041"/>
      <c r="X1421" s="3280"/>
      <c r="AA1421" s="3041"/>
      <c r="AF1421" s="3041"/>
      <c r="AN1421" s="3280"/>
      <c r="AZ1421" s="3041"/>
      <c r="BD1421" s="3281"/>
      <c r="BH1421" s="3282"/>
      <c r="BJ1421" s="2589"/>
      <c r="BK1421" s="2126"/>
      <c r="BL1421" s="2126"/>
      <c r="BM1421" s="2126"/>
      <c r="BN1421" s="2126"/>
      <c r="BO1421" s="2126"/>
      <c r="BP1421" s="2126"/>
      <c r="BQ1421" s="2126"/>
      <c r="BR1421" s="2126"/>
      <c r="BS1421" s="2126"/>
    </row>
    <row r="1422" spans="1:71" s="3030" customFormat="1">
      <c r="A1422" s="2126"/>
      <c r="B1422" s="2126"/>
      <c r="C1422" s="2149"/>
      <c r="D1422" s="3248"/>
      <c r="E1422" s="525"/>
      <c r="F1422" s="525"/>
      <c r="G1422" s="526"/>
      <c r="K1422" s="3280"/>
      <c r="P1422" s="3041"/>
      <c r="X1422" s="3280"/>
      <c r="AA1422" s="3041"/>
      <c r="AF1422" s="3041"/>
      <c r="AN1422" s="3280"/>
      <c r="AZ1422" s="3041"/>
      <c r="BD1422" s="3281"/>
      <c r="BH1422" s="3282"/>
      <c r="BJ1422" s="2589"/>
      <c r="BK1422" s="2126"/>
      <c r="BL1422" s="2126"/>
      <c r="BM1422" s="2126"/>
      <c r="BN1422" s="2126"/>
      <c r="BO1422" s="2126"/>
      <c r="BP1422" s="2126"/>
      <c r="BQ1422" s="2126"/>
      <c r="BR1422" s="2126"/>
      <c r="BS1422" s="2126"/>
    </row>
    <row r="1423" spans="1:71" s="3030" customFormat="1">
      <c r="A1423" s="2126"/>
      <c r="B1423" s="2126"/>
      <c r="C1423" s="2149"/>
      <c r="D1423" s="3248"/>
      <c r="E1423" s="525"/>
      <c r="F1423" s="525"/>
      <c r="G1423" s="526"/>
      <c r="K1423" s="3280"/>
      <c r="P1423" s="3041"/>
      <c r="X1423" s="3280"/>
      <c r="AA1423" s="3041"/>
      <c r="AF1423" s="3041"/>
      <c r="AN1423" s="3280"/>
      <c r="AZ1423" s="3041"/>
      <c r="BD1423" s="3281"/>
      <c r="BH1423" s="3282"/>
      <c r="BJ1423" s="2589"/>
      <c r="BK1423" s="2126"/>
      <c r="BL1423" s="2126"/>
      <c r="BM1423" s="2126"/>
      <c r="BN1423" s="2126"/>
      <c r="BO1423" s="2126"/>
      <c r="BP1423" s="2126"/>
      <c r="BQ1423" s="2126"/>
      <c r="BR1423" s="2126"/>
      <c r="BS1423" s="2126"/>
    </row>
    <row r="1424" spans="1:71" s="3030" customFormat="1">
      <c r="A1424" s="2126"/>
      <c r="B1424" s="2126"/>
      <c r="C1424" s="2149"/>
      <c r="D1424" s="3248"/>
      <c r="E1424" s="525"/>
      <c r="F1424" s="525"/>
      <c r="G1424" s="526"/>
      <c r="K1424" s="3280"/>
      <c r="P1424" s="3041"/>
      <c r="X1424" s="3280"/>
      <c r="AA1424" s="3041"/>
      <c r="AF1424" s="3041"/>
      <c r="AN1424" s="3280"/>
      <c r="AZ1424" s="3041"/>
      <c r="BD1424" s="3281"/>
      <c r="BH1424" s="3282"/>
      <c r="BJ1424" s="2589"/>
      <c r="BK1424" s="2126"/>
      <c r="BL1424" s="2126"/>
      <c r="BM1424" s="2126"/>
      <c r="BN1424" s="2126"/>
      <c r="BO1424" s="2126"/>
      <c r="BP1424" s="2126"/>
      <c r="BQ1424" s="2126"/>
      <c r="BR1424" s="2126"/>
      <c r="BS1424" s="2126"/>
    </row>
    <row r="1425" spans="1:71" s="3030" customFormat="1">
      <c r="A1425" s="2126"/>
      <c r="B1425" s="2126"/>
      <c r="C1425" s="2149"/>
      <c r="D1425" s="3248"/>
      <c r="E1425" s="525"/>
      <c r="F1425" s="525"/>
      <c r="G1425" s="526"/>
      <c r="K1425" s="3280"/>
      <c r="P1425" s="3041"/>
      <c r="X1425" s="3280"/>
      <c r="AA1425" s="3041"/>
      <c r="AF1425" s="3041"/>
      <c r="AN1425" s="3280"/>
      <c r="AZ1425" s="3041"/>
      <c r="BD1425" s="3281"/>
      <c r="BH1425" s="3282"/>
      <c r="BJ1425" s="2589"/>
      <c r="BK1425" s="2126"/>
      <c r="BL1425" s="2126"/>
      <c r="BM1425" s="2126"/>
      <c r="BN1425" s="2126"/>
      <c r="BO1425" s="2126"/>
      <c r="BP1425" s="2126"/>
      <c r="BQ1425" s="2126"/>
      <c r="BR1425" s="2126"/>
      <c r="BS1425" s="2126"/>
    </row>
    <row r="1426" spans="1:71" s="3030" customFormat="1">
      <c r="A1426" s="2126"/>
      <c r="B1426" s="2126"/>
      <c r="C1426" s="2149"/>
      <c r="D1426" s="3248"/>
      <c r="E1426" s="525"/>
      <c r="F1426" s="525"/>
      <c r="G1426" s="526"/>
      <c r="K1426" s="3280"/>
      <c r="P1426" s="3041"/>
      <c r="X1426" s="3280"/>
      <c r="AA1426" s="3041"/>
      <c r="AF1426" s="3041"/>
      <c r="AN1426" s="3280"/>
      <c r="AZ1426" s="3041"/>
      <c r="BD1426" s="3281"/>
      <c r="BH1426" s="3282"/>
      <c r="BJ1426" s="2589"/>
      <c r="BK1426" s="2126"/>
      <c r="BL1426" s="2126"/>
      <c r="BM1426" s="2126"/>
      <c r="BN1426" s="2126"/>
      <c r="BO1426" s="2126"/>
      <c r="BP1426" s="2126"/>
      <c r="BQ1426" s="2126"/>
      <c r="BR1426" s="2126"/>
      <c r="BS1426" s="2126"/>
    </row>
    <row r="1427" spans="1:71" s="3030" customFormat="1">
      <c r="A1427" s="2126"/>
      <c r="B1427" s="2126"/>
      <c r="C1427" s="2149"/>
      <c r="D1427" s="3248"/>
      <c r="E1427" s="525"/>
      <c r="F1427" s="525"/>
      <c r="G1427" s="526"/>
      <c r="K1427" s="3280"/>
      <c r="P1427" s="3041"/>
      <c r="X1427" s="3280"/>
      <c r="AA1427" s="3041"/>
      <c r="AF1427" s="3041"/>
      <c r="AN1427" s="3280"/>
      <c r="AZ1427" s="3041"/>
      <c r="BD1427" s="3281"/>
      <c r="BH1427" s="3282"/>
      <c r="BJ1427" s="2589"/>
      <c r="BK1427" s="2126"/>
      <c r="BL1427" s="2126"/>
      <c r="BM1427" s="2126"/>
      <c r="BN1427" s="2126"/>
      <c r="BO1427" s="2126"/>
      <c r="BP1427" s="2126"/>
      <c r="BQ1427" s="2126"/>
      <c r="BR1427" s="2126"/>
      <c r="BS1427" s="2126"/>
    </row>
    <row r="1428" spans="1:71" s="3030" customFormat="1">
      <c r="A1428" s="2126"/>
      <c r="B1428" s="2126"/>
      <c r="C1428" s="2149"/>
      <c r="D1428" s="3248"/>
      <c r="E1428" s="525"/>
      <c r="F1428" s="525"/>
      <c r="G1428" s="526"/>
      <c r="K1428" s="3280"/>
      <c r="P1428" s="3041"/>
      <c r="X1428" s="3280"/>
      <c r="AA1428" s="3041"/>
      <c r="AF1428" s="3041"/>
      <c r="AN1428" s="3280"/>
      <c r="AZ1428" s="3041"/>
      <c r="BD1428" s="3281"/>
      <c r="BH1428" s="3282"/>
      <c r="BJ1428" s="2589"/>
      <c r="BK1428" s="2126"/>
      <c r="BL1428" s="2126"/>
      <c r="BM1428" s="2126"/>
      <c r="BN1428" s="2126"/>
      <c r="BO1428" s="2126"/>
      <c r="BP1428" s="2126"/>
      <c r="BQ1428" s="2126"/>
      <c r="BR1428" s="2126"/>
      <c r="BS1428" s="2126"/>
    </row>
    <row r="1429" spans="1:71" s="3030" customFormat="1">
      <c r="A1429" s="2126"/>
      <c r="B1429" s="2126"/>
      <c r="C1429" s="2149"/>
      <c r="D1429" s="3248"/>
      <c r="E1429" s="525"/>
      <c r="F1429" s="525"/>
      <c r="G1429" s="526"/>
      <c r="K1429" s="3280"/>
      <c r="P1429" s="3041"/>
      <c r="X1429" s="3280"/>
      <c r="AA1429" s="3041"/>
      <c r="AF1429" s="3041"/>
      <c r="AN1429" s="3280"/>
      <c r="AZ1429" s="3041"/>
      <c r="BD1429" s="3281"/>
      <c r="BH1429" s="3282"/>
      <c r="BJ1429" s="2589"/>
      <c r="BK1429" s="2126"/>
      <c r="BL1429" s="2126"/>
      <c r="BM1429" s="2126"/>
      <c r="BN1429" s="2126"/>
      <c r="BO1429" s="2126"/>
      <c r="BP1429" s="2126"/>
      <c r="BQ1429" s="2126"/>
      <c r="BR1429" s="2126"/>
      <c r="BS1429" s="2126"/>
    </row>
    <row r="1430" spans="1:71" s="3030" customFormat="1">
      <c r="A1430" s="2126"/>
      <c r="B1430" s="2126"/>
      <c r="C1430" s="2149"/>
      <c r="D1430" s="3248"/>
      <c r="E1430" s="525"/>
      <c r="F1430" s="525"/>
      <c r="G1430" s="526"/>
      <c r="K1430" s="3280"/>
      <c r="P1430" s="3041"/>
      <c r="X1430" s="3280"/>
      <c r="AA1430" s="3041"/>
      <c r="AF1430" s="3041"/>
      <c r="AN1430" s="3280"/>
      <c r="AZ1430" s="3041"/>
      <c r="BD1430" s="3281"/>
      <c r="BH1430" s="3282"/>
      <c r="BJ1430" s="2589"/>
      <c r="BK1430" s="2126"/>
      <c r="BL1430" s="2126"/>
      <c r="BM1430" s="2126"/>
      <c r="BN1430" s="2126"/>
      <c r="BO1430" s="2126"/>
      <c r="BP1430" s="2126"/>
      <c r="BQ1430" s="2126"/>
      <c r="BR1430" s="2126"/>
      <c r="BS1430" s="2126"/>
    </row>
    <row r="1431" spans="1:71" s="3030" customFormat="1">
      <c r="A1431" s="2126"/>
      <c r="B1431" s="2126"/>
      <c r="C1431" s="2149"/>
      <c r="D1431" s="3248"/>
      <c r="E1431" s="525"/>
      <c r="F1431" s="525"/>
      <c r="G1431" s="526"/>
      <c r="K1431" s="3280"/>
      <c r="P1431" s="3041"/>
      <c r="X1431" s="3280"/>
      <c r="AA1431" s="3041"/>
      <c r="AF1431" s="3041"/>
      <c r="AN1431" s="3280"/>
      <c r="AZ1431" s="3041"/>
      <c r="BD1431" s="3281"/>
      <c r="BH1431" s="3282"/>
      <c r="BJ1431" s="2589"/>
      <c r="BK1431" s="2126"/>
      <c r="BL1431" s="2126"/>
      <c r="BM1431" s="2126"/>
      <c r="BN1431" s="2126"/>
      <c r="BO1431" s="2126"/>
      <c r="BP1431" s="2126"/>
      <c r="BQ1431" s="2126"/>
      <c r="BR1431" s="2126"/>
      <c r="BS1431" s="2126"/>
    </row>
    <row r="1432" spans="1:71" s="3030" customFormat="1">
      <c r="A1432" s="2126"/>
      <c r="B1432" s="2126"/>
      <c r="C1432" s="2149"/>
      <c r="D1432" s="3248"/>
      <c r="E1432" s="525"/>
      <c r="F1432" s="525"/>
      <c r="G1432" s="526"/>
      <c r="K1432" s="3280"/>
      <c r="P1432" s="3041"/>
      <c r="X1432" s="3280"/>
      <c r="AA1432" s="3041"/>
      <c r="AF1432" s="3041"/>
      <c r="AN1432" s="3280"/>
      <c r="AZ1432" s="3041"/>
      <c r="BD1432" s="3281"/>
      <c r="BH1432" s="3282"/>
      <c r="BJ1432" s="2589"/>
      <c r="BK1432" s="2126"/>
      <c r="BL1432" s="2126"/>
      <c r="BM1432" s="2126"/>
      <c r="BN1432" s="2126"/>
      <c r="BO1432" s="2126"/>
      <c r="BP1432" s="2126"/>
      <c r="BQ1432" s="2126"/>
      <c r="BR1432" s="2126"/>
      <c r="BS1432" s="2126"/>
    </row>
    <row r="1433" spans="1:71" s="3030" customFormat="1">
      <c r="A1433" s="2126"/>
      <c r="B1433" s="2126"/>
      <c r="C1433" s="2149"/>
      <c r="D1433" s="3248"/>
      <c r="E1433" s="525"/>
      <c r="F1433" s="525"/>
      <c r="G1433" s="526"/>
      <c r="K1433" s="3280"/>
      <c r="P1433" s="3041"/>
      <c r="X1433" s="3280"/>
      <c r="AA1433" s="3041"/>
      <c r="AF1433" s="3041"/>
      <c r="AN1433" s="3280"/>
      <c r="AZ1433" s="3041"/>
      <c r="BD1433" s="3281"/>
      <c r="BH1433" s="3282"/>
      <c r="BJ1433" s="2589"/>
      <c r="BK1433" s="2126"/>
      <c r="BL1433" s="2126"/>
      <c r="BM1433" s="2126"/>
      <c r="BN1433" s="2126"/>
      <c r="BO1433" s="2126"/>
      <c r="BP1433" s="2126"/>
      <c r="BQ1433" s="2126"/>
      <c r="BR1433" s="2126"/>
      <c r="BS1433" s="2126"/>
    </row>
    <row r="1434" spans="1:71" s="3030" customFormat="1">
      <c r="A1434" s="2126"/>
      <c r="B1434" s="2126"/>
      <c r="C1434" s="2149"/>
      <c r="D1434" s="3248"/>
      <c r="E1434" s="525"/>
      <c r="F1434" s="525"/>
      <c r="G1434" s="526"/>
      <c r="K1434" s="3280"/>
      <c r="P1434" s="3041"/>
      <c r="X1434" s="3280"/>
      <c r="AA1434" s="3041"/>
      <c r="AF1434" s="3041"/>
      <c r="AN1434" s="3280"/>
      <c r="AZ1434" s="3041"/>
      <c r="BD1434" s="3281"/>
      <c r="BH1434" s="3282"/>
      <c r="BJ1434" s="2589"/>
      <c r="BK1434" s="2126"/>
      <c r="BL1434" s="2126"/>
      <c r="BM1434" s="2126"/>
      <c r="BN1434" s="2126"/>
      <c r="BO1434" s="2126"/>
      <c r="BP1434" s="2126"/>
      <c r="BQ1434" s="2126"/>
      <c r="BR1434" s="2126"/>
      <c r="BS1434" s="2126"/>
    </row>
    <row r="1435" spans="1:71" s="3030" customFormat="1">
      <c r="A1435" s="2126"/>
      <c r="B1435" s="2126"/>
      <c r="C1435" s="2149"/>
      <c r="D1435" s="3248"/>
      <c r="E1435" s="525"/>
      <c r="F1435" s="525"/>
      <c r="G1435" s="526"/>
      <c r="K1435" s="3280"/>
      <c r="P1435" s="3041"/>
      <c r="X1435" s="3280"/>
      <c r="AA1435" s="3041"/>
      <c r="AF1435" s="3041"/>
      <c r="AN1435" s="3280"/>
      <c r="AZ1435" s="3041"/>
      <c r="BD1435" s="3281"/>
      <c r="BH1435" s="3282"/>
      <c r="BJ1435" s="2589"/>
      <c r="BK1435" s="2126"/>
      <c r="BL1435" s="2126"/>
      <c r="BM1435" s="2126"/>
      <c r="BN1435" s="2126"/>
      <c r="BO1435" s="2126"/>
      <c r="BP1435" s="2126"/>
      <c r="BQ1435" s="2126"/>
      <c r="BR1435" s="2126"/>
      <c r="BS1435" s="2126"/>
    </row>
    <row r="1436" spans="1:71" s="3030" customFormat="1">
      <c r="A1436" s="2126"/>
      <c r="B1436" s="2126"/>
      <c r="C1436" s="2149"/>
      <c r="D1436" s="3248"/>
      <c r="E1436" s="525"/>
      <c r="F1436" s="525"/>
      <c r="G1436" s="526"/>
      <c r="K1436" s="3280"/>
      <c r="P1436" s="3041"/>
      <c r="X1436" s="3280"/>
      <c r="AA1436" s="3041"/>
      <c r="AF1436" s="3041"/>
      <c r="AN1436" s="3280"/>
      <c r="AZ1436" s="3041"/>
      <c r="BD1436" s="3281"/>
      <c r="BH1436" s="3282"/>
      <c r="BJ1436" s="2589"/>
      <c r="BK1436" s="2126"/>
      <c r="BL1436" s="2126"/>
      <c r="BM1436" s="2126"/>
      <c r="BN1436" s="2126"/>
      <c r="BO1436" s="2126"/>
      <c r="BP1436" s="2126"/>
      <c r="BQ1436" s="2126"/>
      <c r="BR1436" s="2126"/>
      <c r="BS1436" s="2126"/>
    </row>
    <row r="1437" spans="1:71" s="3030" customFormat="1">
      <c r="A1437" s="2126"/>
      <c r="B1437" s="2126"/>
      <c r="C1437" s="2149"/>
      <c r="D1437" s="3248"/>
      <c r="E1437" s="525"/>
      <c r="F1437" s="525"/>
      <c r="G1437" s="526"/>
      <c r="K1437" s="3280"/>
      <c r="P1437" s="3041"/>
      <c r="X1437" s="3280"/>
      <c r="AA1437" s="3041"/>
      <c r="AF1437" s="3041"/>
      <c r="AN1437" s="3280"/>
      <c r="AZ1437" s="3041"/>
      <c r="BD1437" s="3281"/>
      <c r="BH1437" s="3282"/>
      <c r="BJ1437" s="2589"/>
      <c r="BK1437" s="2126"/>
      <c r="BL1437" s="2126"/>
      <c r="BM1437" s="2126"/>
      <c r="BN1437" s="2126"/>
      <c r="BO1437" s="2126"/>
      <c r="BP1437" s="2126"/>
      <c r="BQ1437" s="2126"/>
      <c r="BR1437" s="2126"/>
      <c r="BS1437" s="2126"/>
    </row>
    <row r="1438" spans="1:71" s="3030" customFormat="1">
      <c r="A1438" s="2126"/>
      <c r="B1438" s="2126"/>
      <c r="C1438" s="2149"/>
      <c r="D1438" s="3248"/>
      <c r="E1438" s="525"/>
      <c r="F1438" s="525"/>
      <c r="G1438" s="526"/>
      <c r="K1438" s="3280"/>
      <c r="P1438" s="3041"/>
      <c r="X1438" s="3280"/>
      <c r="AA1438" s="3041"/>
      <c r="AF1438" s="3041"/>
      <c r="AN1438" s="3280"/>
      <c r="AZ1438" s="3041"/>
      <c r="BD1438" s="3281"/>
      <c r="BH1438" s="3282"/>
      <c r="BJ1438" s="2589"/>
      <c r="BK1438" s="2126"/>
      <c r="BL1438" s="2126"/>
      <c r="BM1438" s="2126"/>
      <c r="BN1438" s="2126"/>
      <c r="BO1438" s="2126"/>
      <c r="BP1438" s="2126"/>
      <c r="BQ1438" s="2126"/>
      <c r="BR1438" s="2126"/>
      <c r="BS1438" s="2126"/>
    </row>
    <row r="1439" spans="1:71" s="3030" customFormat="1">
      <c r="A1439" s="2126"/>
      <c r="B1439" s="2126"/>
      <c r="C1439" s="2149"/>
      <c r="D1439" s="3248"/>
      <c r="E1439" s="525"/>
      <c r="F1439" s="525"/>
      <c r="G1439" s="526"/>
      <c r="K1439" s="3280"/>
      <c r="P1439" s="3041"/>
      <c r="X1439" s="3280"/>
      <c r="AA1439" s="3041"/>
      <c r="AF1439" s="3041"/>
      <c r="AN1439" s="3280"/>
      <c r="AZ1439" s="3041"/>
      <c r="BD1439" s="3281"/>
      <c r="BH1439" s="3282"/>
      <c r="BJ1439" s="2589"/>
      <c r="BK1439" s="2126"/>
      <c r="BL1439" s="2126"/>
      <c r="BM1439" s="2126"/>
      <c r="BN1439" s="2126"/>
      <c r="BO1439" s="2126"/>
      <c r="BP1439" s="2126"/>
      <c r="BQ1439" s="2126"/>
      <c r="BR1439" s="2126"/>
      <c r="BS1439" s="2126"/>
    </row>
    <row r="1440" spans="1:71" s="3030" customFormat="1">
      <c r="A1440" s="2126"/>
      <c r="B1440" s="2126"/>
      <c r="C1440" s="2149"/>
      <c r="D1440" s="3248"/>
      <c r="E1440" s="525"/>
      <c r="F1440" s="525"/>
      <c r="G1440" s="526"/>
      <c r="K1440" s="3280"/>
      <c r="P1440" s="3041"/>
      <c r="X1440" s="3280"/>
      <c r="AA1440" s="3041"/>
      <c r="AF1440" s="3041"/>
      <c r="AN1440" s="3280"/>
      <c r="AZ1440" s="3041"/>
      <c r="BD1440" s="3281"/>
      <c r="BH1440" s="3282"/>
      <c r="BJ1440" s="2589"/>
      <c r="BK1440" s="2126"/>
      <c r="BL1440" s="2126"/>
      <c r="BM1440" s="2126"/>
      <c r="BN1440" s="2126"/>
      <c r="BO1440" s="2126"/>
      <c r="BP1440" s="2126"/>
      <c r="BQ1440" s="2126"/>
      <c r="BR1440" s="2126"/>
      <c r="BS1440" s="2126"/>
    </row>
    <row r="1441" spans="1:71" s="3030" customFormat="1">
      <c r="A1441" s="2126"/>
      <c r="B1441" s="2126"/>
      <c r="C1441" s="2149"/>
      <c r="D1441" s="3248"/>
      <c r="E1441" s="525"/>
      <c r="F1441" s="525"/>
      <c r="G1441" s="526"/>
      <c r="K1441" s="3280"/>
      <c r="P1441" s="3041"/>
      <c r="X1441" s="3280"/>
      <c r="AA1441" s="3041"/>
      <c r="AF1441" s="3041"/>
      <c r="AN1441" s="3280"/>
      <c r="AZ1441" s="3041"/>
      <c r="BD1441" s="3281"/>
      <c r="BH1441" s="3282"/>
      <c r="BJ1441" s="2589"/>
      <c r="BK1441" s="2126"/>
      <c r="BL1441" s="2126"/>
      <c r="BM1441" s="2126"/>
      <c r="BN1441" s="2126"/>
      <c r="BO1441" s="2126"/>
      <c r="BP1441" s="2126"/>
      <c r="BQ1441" s="2126"/>
      <c r="BR1441" s="2126"/>
      <c r="BS1441" s="2126"/>
    </row>
    <row r="1442" spans="1:71" s="3030" customFormat="1">
      <c r="A1442" s="2126"/>
      <c r="B1442" s="2126"/>
      <c r="C1442" s="2149"/>
      <c r="D1442" s="3248"/>
      <c r="E1442" s="525"/>
      <c r="F1442" s="525"/>
      <c r="G1442" s="526"/>
      <c r="K1442" s="3280"/>
      <c r="P1442" s="3041"/>
      <c r="X1442" s="3280"/>
      <c r="AA1442" s="3041"/>
      <c r="AF1442" s="3041"/>
      <c r="AN1442" s="3280"/>
      <c r="AZ1442" s="3041"/>
      <c r="BD1442" s="3281"/>
      <c r="BH1442" s="3282"/>
      <c r="BJ1442" s="2589"/>
      <c r="BK1442" s="2126"/>
      <c r="BL1442" s="2126"/>
      <c r="BM1442" s="2126"/>
      <c r="BN1442" s="2126"/>
      <c r="BO1442" s="2126"/>
      <c r="BP1442" s="2126"/>
      <c r="BQ1442" s="2126"/>
      <c r="BR1442" s="2126"/>
      <c r="BS1442" s="2126"/>
    </row>
    <row r="1443" spans="1:71" s="3030" customFormat="1">
      <c r="A1443" s="2126"/>
      <c r="B1443" s="2126"/>
      <c r="C1443" s="2149"/>
      <c r="D1443" s="3248"/>
      <c r="E1443" s="525"/>
      <c r="F1443" s="525"/>
      <c r="G1443" s="526"/>
      <c r="K1443" s="3280"/>
      <c r="P1443" s="3041"/>
      <c r="X1443" s="3280"/>
      <c r="AA1443" s="3041"/>
      <c r="AF1443" s="3041"/>
      <c r="AN1443" s="3280"/>
      <c r="AZ1443" s="3041"/>
      <c r="BD1443" s="3281"/>
      <c r="BH1443" s="3282"/>
      <c r="BJ1443" s="2589"/>
      <c r="BK1443" s="2126"/>
      <c r="BL1443" s="2126"/>
      <c r="BM1443" s="2126"/>
      <c r="BN1443" s="2126"/>
      <c r="BO1443" s="2126"/>
      <c r="BP1443" s="2126"/>
      <c r="BQ1443" s="2126"/>
      <c r="BR1443" s="2126"/>
      <c r="BS1443" s="2126"/>
    </row>
    <row r="1444" spans="1:71" s="3030" customFormat="1">
      <c r="A1444" s="2126"/>
      <c r="B1444" s="2126"/>
      <c r="C1444" s="2149"/>
      <c r="D1444" s="3248"/>
      <c r="E1444" s="525"/>
      <c r="F1444" s="525"/>
      <c r="G1444" s="526"/>
      <c r="K1444" s="3280"/>
      <c r="P1444" s="3041"/>
      <c r="X1444" s="3280"/>
      <c r="AA1444" s="3041"/>
      <c r="AF1444" s="3041"/>
      <c r="AN1444" s="3280"/>
      <c r="AZ1444" s="3041"/>
      <c r="BD1444" s="3281"/>
      <c r="BH1444" s="3282"/>
      <c r="BJ1444" s="2589"/>
      <c r="BK1444" s="2126"/>
      <c r="BL1444" s="2126"/>
      <c r="BM1444" s="2126"/>
      <c r="BN1444" s="2126"/>
      <c r="BO1444" s="2126"/>
      <c r="BP1444" s="2126"/>
      <c r="BQ1444" s="2126"/>
      <c r="BR1444" s="2126"/>
      <c r="BS1444" s="2126"/>
    </row>
    <row r="1445" spans="1:71" s="3030" customFormat="1">
      <c r="A1445" s="2126"/>
      <c r="B1445" s="2126"/>
      <c r="C1445" s="2149"/>
      <c r="D1445" s="3248"/>
      <c r="E1445" s="525"/>
      <c r="F1445" s="525"/>
      <c r="G1445" s="526"/>
      <c r="K1445" s="3280"/>
      <c r="P1445" s="3041"/>
      <c r="X1445" s="3280"/>
      <c r="AA1445" s="3041"/>
      <c r="AF1445" s="3041"/>
      <c r="AN1445" s="3280"/>
      <c r="AZ1445" s="3041"/>
      <c r="BD1445" s="3281"/>
      <c r="BH1445" s="3282"/>
      <c r="BJ1445" s="2589"/>
      <c r="BK1445" s="2126"/>
      <c r="BL1445" s="2126"/>
      <c r="BM1445" s="2126"/>
      <c r="BN1445" s="2126"/>
      <c r="BO1445" s="2126"/>
      <c r="BP1445" s="2126"/>
      <c r="BQ1445" s="2126"/>
      <c r="BR1445" s="2126"/>
      <c r="BS1445" s="2126"/>
    </row>
    <row r="1446" spans="1:71" s="3030" customFormat="1">
      <c r="A1446" s="2126"/>
      <c r="B1446" s="2126"/>
      <c r="C1446" s="2149"/>
      <c r="D1446" s="3248"/>
      <c r="E1446" s="525"/>
      <c r="F1446" s="525"/>
      <c r="G1446" s="526"/>
      <c r="K1446" s="3280"/>
      <c r="P1446" s="3041"/>
      <c r="X1446" s="3280"/>
      <c r="AA1446" s="3041"/>
      <c r="AF1446" s="3041"/>
      <c r="AN1446" s="3280"/>
      <c r="AZ1446" s="3041"/>
      <c r="BD1446" s="3281"/>
      <c r="BH1446" s="3282"/>
      <c r="BJ1446" s="2589"/>
      <c r="BK1446" s="2126"/>
      <c r="BL1446" s="2126"/>
      <c r="BM1446" s="2126"/>
      <c r="BN1446" s="2126"/>
      <c r="BO1446" s="2126"/>
      <c r="BP1446" s="2126"/>
      <c r="BQ1446" s="2126"/>
      <c r="BR1446" s="2126"/>
      <c r="BS1446" s="2126"/>
    </row>
    <row r="1447" spans="1:71" s="3030" customFormat="1">
      <c r="A1447" s="2126"/>
      <c r="B1447" s="2126"/>
      <c r="C1447" s="2149"/>
      <c r="D1447" s="3248"/>
      <c r="E1447" s="525"/>
      <c r="F1447" s="525"/>
      <c r="G1447" s="526"/>
      <c r="K1447" s="3280"/>
      <c r="P1447" s="3041"/>
      <c r="X1447" s="3280"/>
      <c r="AA1447" s="3041"/>
      <c r="AF1447" s="3041"/>
      <c r="AN1447" s="3280"/>
      <c r="AZ1447" s="3041"/>
      <c r="BD1447" s="3281"/>
      <c r="BH1447" s="3282"/>
      <c r="BJ1447" s="2589"/>
      <c r="BK1447" s="2126"/>
      <c r="BL1447" s="2126"/>
      <c r="BM1447" s="2126"/>
      <c r="BN1447" s="2126"/>
      <c r="BO1447" s="2126"/>
      <c r="BP1447" s="2126"/>
      <c r="BQ1447" s="2126"/>
      <c r="BR1447" s="2126"/>
      <c r="BS1447" s="2126"/>
    </row>
    <row r="1448" spans="1:71" s="3030" customFormat="1">
      <c r="A1448" s="2126"/>
      <c r="B1448" s="2126"/>
      <c r="C1448" s="2149"/>
      <c r="D1448" s="3248"/>
      <c r="E1448" s="525"/>
      <c r="F1448" s="525"/>
      <c r="G1448" s="526"/>
      <c r="K1448" s="3280"/>
      <c r="P1448" s="3041"/>
      <c r="X1448" s="3280"/>
      <c r="AA1448" s="3041"/>
      <c r="AF1448" s="3041"/>
      <c r="AN1448" s="3280"/>
      <c r="AZ1448" s="3041"/>
      <c r="BD1448" s="3281"/>
      <c r="BH1448" s="3282"/>
      <c r="BJ1448" s="2589"/>
      <c r="BK1448" s="2126"/>
      <c r="BL1448" s="2126"/>
      <c r="BM1448" s="2126"/>
      <c r="BN1448" s="2126"/>
      <c r="BO1448" s="2126"/>
      <c r="BP1448" s="2126"/>
      <c r="BQ1448" s="2126"/>
      <c r="BR1448" s="2126"/>
      <c r="BS1448" s="2126"/>
    </row>
    <row r="1449" spans="1:71" s="3030" customFormat="1">
      <c r="A1449" s="2126"/>
      <c r="B1449" s="2126"/>
      <c r="C1449" s="2149"/>
      <c r="D1449" s="3248"/>
      <c r="E1449" s="525"/>
      <c r="F1449" s="525"/>
      <c r="G1449" s="526"/>
      <c r="K1449" s="3280"/>
      <c r="P1449" s="3041"/>
      <c r="X1449" s="3280"/>
      <c r="AA1449" s="3041"/>
      <c r="AF1449" s="3041"/>
      <c r="AN1449" s="3280"/>
      <c r="AZ1449" s="3041"/>
      <c r="BD1449" s="3281"/>
      <c r="BH1449" s="3282"/>
      <c r="BJ1449" s="2589"/>
      <c r="BK1449" s="2126"/>
      <c r="BL1449" s="2126"/>
      <c r="BM1449" s="2126"/>
      <c r="BN1449" s="2126"/>
      <c r="BO1449" s="2126"/>
      <c r="BP1449" s="2126"/>
      <c r="BQ1449" s="2126"/>
      <c r="BR1449" s="2126"/>
      <c r="BS1449" s="2126"/>
    </row>
    <row r="1450" spans="1:71" s="3030" customFormat="1">
      <c r="A1450" s="2126"/>
      <c r="B1450" s="2126"/>
      <c r="C1450" s="2149"/>
      <c r="D1450" s="3248"/>
      <c r="E1450" s="525"/>
      <c r="F1450" s="525"/>
      <c r="G1450" s="526"/>
      <c r="K1450" s="3280"/>
      <c r="P1450" s="3041"/>
      <c r="X1450" s="3280"/>
      <c r="AA1450" s="3041"/>
      <c r="AF1450" s="3041"/>
      <c r="AN1450" s="3280"/>
      <c r="AZ1450" s="3041"/>
      <c r="BD1450" s="3281"/>
      <c r="BH1450" s="3282"/>
      <c r="BJ1450" s="2589"/>
      <c r="BK1450" s="2126"/>
      <c r="BL1450" s="2126"/>
      <c r="BM1450" s="2126"/>
      <c r="BN1450" s="2126"/>
      <c r="BO1450" s="2126"/>
      <c r="BP1450" s="2126"/>
      <c r="BQ1450" s="2126"/>
      <c r="BR1450" s="2126"/>
      <c r="BS1450" s="2126"/>
    </row>
    <row r="1451" spans="1:71" s="3030" customFormat="1">
      <c r="A1451" s="2126"/>
      <c r="B1451" s="2126"/>
      <c r="C1451" s="2149"/>
      <c r="D1451" s="3248"/>
      <c r="E1451" s="525"/>
      <c r="F1451" s="525"/>
      <c r="G1451" s="526"/>
      <c r="K1451" s="3280"/>
      <c r="P1451" s="3041"/>
      <c r="X1451" s="3280"/>
      <c r="AA1451" s="3041"/>
      <c r="AF1451" s="3041"/>
      <c r="AN1451" s="3280"/>
      <c r="AZ1451" s="3041"/>
      <c r="BD1451" s="3281"/>
      <c r="BH1451" s="3282"/>
      <c r="BJ1451" s="2589"/>
      <c r="BK1451" s="2126"/>
      <c r="BL1451" s="2126"/>
      <c r="BM1451" s="2126"/>
      <c r="BN1451" s="2126"/>
      <c r="BO1451" s="2126"/>
      <c r="BP1451" s="2126"/>
      <c r="BQ1451" s="2126"/>
      <c r="BR1451" s="2126"/>
      <c r="BS1451" s="2126"/>
    </row>
    <row r="1452" spans="1:71" s="3030" customFormat="1">
      <c r="A1452" s="2126"/>
      <c r="B1452" s="2126"/>
      <c r="C1452" s="2149"/>
      <c r="D1452" s="3248"/>
      <c r="E1452" s="525"/>
      <c r="F1452" s="525"/>
      <c r="G1452" s="526"/>
      <c r="K1452" s="3280"/>
      <c r="P1452" s="3041"/>
      <c r="X1452" s="3280"/>
      <c r="AA1452" s="3041"/>
      <c r="AF1452" s="3041"/>
      <c r="AN1452" s="3280"/>
      <c r="AZ1452" s="3041"/>
      <c r="BD1452" s="3281"/>
      <c r="BH1452" s="3282"/>
      <c r="BJ1452" s="2589"/>
      <c r="BK1452" s="2126"/>
      <c r="BL1452" s="2126"/>
      <c r="BM1452" s="2126"/>
      <c r="BN1452" s="2126"/>
      <c r="BO1452" s="2126"/>
      <c r="BP1452" s="2126"/>
      <c r="BQ1452" s="2126"/>
      <c r="BR1452" s="2126"/>
      <c r="BS1452" s="2126"/>
    </row>
    <row r="1453" spans="1:71" s="3030" customFormat="1">
      <c r="A1453" s="2126"/>
      <c r="B1453" s="2126"/>
      <c r="C1453" s="2149"/>
      <c r="D1453" s="3248"/>
      <c r="E1453" s="525"/>
      <c r="F1453" s="525"/>
      <c r="G1453" s="526"/>
      <c r="K1453" s="3280"/>
      <c r="P1453" s="3041"/>
      <c r="X1453" s="3280"/>
      <c r="AA1453" s="3041"/>
      <c r="AF1453" s="3041"/>
      <c r="AN1453" s="3280"/>
      <c r="AZ1453" s="3041"/>
      <c r="BD1453" s="3281"/>
      <c r="BH1453" s="3282"/>
      <c r="BJ1453" s="2589"/>
      <c r="BK1453" s="2126"/>
      <c r="BL1453" s="2126"/>
      <c r="BM1453" s="2126"/>
      <c r="BN1453" s="2126"/>
      <c r="BO1453" s="2126"/>
      <c r="BP1453" s="2126"/>
      <c r="BQ1453" s="2126"/>
      <c r="BR1453" s="2126"/>
      <c r="BS1453" s="2126"/>
    </row>
    <row r="1454" spans="1:71" s="3030" customFormat="1">
      <c r="A1454" s="2126"/>
      <c r="B1454" s="2126"/>
      <c r="C1454" s="2149"/>
      <c r="D1454" s="3248"/>
      <c r="E1454" s="525"/>
      <c r="F1454" s="525"/>
      <c r="G1454" s="526"/>
      <c r="K1454" s="3280"/>
      <c r="P1454" s="3041"/>
      <c r="X1454" s="3280"/>
      <c r="AA1454" s="3041"/>
      <c r="AF1454" s="3041"/>
      <c r="AN1454" s="3280"/>
      <c r="AZ1454" s="3041"/>
      <c r="BD1454" s="3281"/>
      <c r="BH1454" s="3282"/>
      <c r="BJ1454" s="2589"/>
      <c r="BK1454" s="2126"/>
      <c r="BL1454" s="2126"/>
      <c r="BM1454" s="2126"/>
      <c r="BN1454" s="2126"/>
      <c r="BO1454" s="2126"/>
      <c r="BP1454" s="2126"/>
      <c r="BQ1454" s="2126"/>
      <c r="BR1454" s="2126"/>
      <c r="BS1454" s="2126"/>
    </row>
    <row r="1455" spans="1:71" s="3030" customFormat="1">
      <c r="A1455" s="2126"/>
      <c r="B1455" s="2126"/>
      <c r="C1455" s="2149"/>
      <c r="D1455" s="3248"/>
      <c r="E1455" s="525"/>
      <c r="F1455" s="525"/>
      <c r="G1455" s="526"/>
      <c r="K1455" s="3280"/>
      <c r="P1455" s="3041"/>
      <c r="X1455" s="3280"/>
      <c r="AA1455" s="3041"/>
      <c r="AF1455" s="3041"/>
      <c r="AN1455" s="3280"/>
      <c r="AZ1455" s="3041"/>
      <c r="BD1455" s="3281"/>
      <c r="BH1455" s="3282"/>
      <c r="BJ1455" s="2589"/>
      <c r="BK1455" s="2126"/>
      <c r="BL1455" s="2126"/>
      <c r="BM1455" s="2126"/>
      <c r="BN1455" s="2126"/>
      <c r="BO1455" s="2126"/>
      <c r="BP1455" s="2126"/>
      <c r="BQ1455" s="2126"/>
      <c r="BR1455" s="2126"/>
      <c r="BS1455" s="2126"/>
    </row>
    <row r="1456" spans="1:71" s="3030" customFormat="1">
      <c r="A1456" s="2126"/>
      <c r="B1456" s="2126"/>
      <c r="C1456" s="2149"/>
      <c r="D1456" s="3248"/>
      <c r="E1456" s="525"/>
      <c r="F1456" s="525"/>
      <c r="G1456" s="526"/>
      <c r="K1456" s="3280"/>
      <c r="P1456" s="3041"/>
      <c r="X1456" s="3280"/>
      <c r="AA1456" s="3041"/>
      <c r="AF1456" s="3041"/>
      <c r="AN1456" s="3280"/>
      <c r="AZ1456" s="3041"/>
      <c r="BD1456" s="3281"/>
      <c r="BH1456" s="3282"/>
      <c r="BJ1456" s="2589"/>
      <c r="BK1456" s="2126"/>
      <c r="BL1456" s="2126"/>
      <c r="BM1456" s="2126"/>
      <c r="BN1456" s="2126"/>
      <c r="BO1456" s="2126"/>
      <c r="BP1456" s="2126"/>
      <c r="BQ1456" s="2126"/>
      <c r="BR1456" s="2126"/>
      <c r="BS1456" s="2126"/>
    </row>
    <row r="1457" spans="1:71" s="3030" customFormat="1">
      <c r="A1457" s="2126"/>
      <c r="B1457" s="2126"/>
      <c r="C1457" s="2149"/>
      <c r="D1457" s="3248"/>
      <c r="E1457" s="525"/>
      <c r="F1457" s="525"/>
      <c r="G1457" s="526"/>
      <c r="K1457" s="3280"/>
      <c r="P1457" s="3041"/>
      <c r="X1457" s="3280"/>
      <c r="AA1457" s="3041"/>
      <c r="AF1457" s="3041"/>
      <c r="AN1457" s="3280"/>
      <c r="AZ1457" s="3041"/>
      <c r="BD1457" s="3281"/>
      <c r="BH1457" s="3282"/>
      <c r="BJ1457" s="2589"/>
      <c r="BK1457" s="2126"/>
      <c r="BL1457" s="2126"/>
      <c r="BM1457" s="2126"/>
      <c r="BN1457" s="2126"/>
      <c r="BO1457" s="2126"/>
      <c r="BP1457" s="2126"/>
      <c r="BQ1457" s="2126"/>
      <c r="BR1457" s="2126"/>
      <c r="BS1457" s="2126"/>
    </row>
    <row r="1458" spans="1:71" s="3030" customFormat="1">
      <c r="A1458" s="2126"/>
      <c r="B1458" s="2126"/>
      <c r="C1458" s="2149"/>
      <c r="D1458" s="3248"/>
      <c r="E1458" s="525"/>
      <c r="F1458" s="525"/>
      <c r="G1458" s="526"/>
      <c r="K1458" s="3280"/>
      <c r="P1458" s="3041"/>
      <c r="X1458" s="3280"/>
      <c r="AA1458" s="3041"/>
      <c r="AF1458" s="3041"/>
      <c r="AN1458" s="3280"/>
      <c r="AZ1458" s="3041"/>
      <c r="BD1458" s="3281"/>
      <c r="BH1458" s="3282"/>
      <c r="BJ1458" s="2589"/>
      <c r="BK1458" s="2126"/>
      <c r="BL1458" s="2126"/>
      <c r="BM1458" s="2126"/>
      <c r="BN1458" s="2126"/>
      <c r="BO1458" s="2126"/>
      <c r="BP1458" s="2126"/>
      <c r="BQ1458" s="2126"/>
      <c r="BR1458" s="2126"/>
      <c r="BS1458" s="2126"/>
    </row>
    <row r="1459" spans="1:71" s="3030" customFormat="1">
      <c r="A1459" s="2126"/>
      <c r="B1459" s="2126"/>
      <c r="C1459" s="2149"/>
      <c r="D1459" s="3248"/>
      <c r="E1459" s="525"/>
      <c r="F1459" s="525"/>
      <c r="G1459" s="526"/>
      <c r="K1459" s="3280"/>
      <c r="P1459" s="3041"/>
      <c r="X1459" s="3280"/>
      <c r="AA1459" s="3041"/>
      <c r="AF1459" s="3041"/>
      <c r="AN1459" s="3280"/>
      <c r="AZ1459" s="3041"/>
      <c r="BD1459" s="3281"/>
      <c r="BH1459" s="3282"/>
      <c r="BJ1459" s="2589"/>
      <c r="BK1459" s="2126"/>
      <c r="BL1459" s="2126"/>
      <c r="BM1459" s="2126"/>
      <c r="BN1459" s="2126"/>
      <c r="BO1459" s="2126"/>
      <c r="BP1459" s="2126"/>
      <c r="BQ1459" s="2126"/>
      <c r="BR1459" s="2126"/>
      <c r="BS1459" s="2126"/>
    </row>
    <row r="1460" spans="1:71" s="3030" customFormat="1">
      <c r="A1460" s="2126"/>
      <c r="B1460" s="2126"/>
      <c r="C1460" s="2149"/>
      <c r="D1460" s="3248"/>
      <c r="E1460" s="525"/>
      <c r="F1460" s="525"/>
      <c r="G1460" s="526"/>
      <c r="K1460" s="3280"/>
      <c r="P1460" s="3041"/>
      <c r="X1460" s="3280"/>
      <c r="AA1460" s="3041"/>
      <c r="AF1460" s="3041"/>
      <c r="AN1460" s="3280"/>
      <c r="AZ1460" s="3041"/>
      <c r="BD1460" s="3281"/>
      <c r="BH1460" s="3282"/>
      <c r="BJ1460" s="2589"/>
      <c r="BK1460" s="2126"/>
      <c r="BL1460" s="2126"/>
      <c r="BM1460" s="2126"/>
      <c r="BN1460" s="2126"/>
      <c r="BO1460" s="2126"/>
      <c r="BP1460" s="2126"/>
      <c r="BQ1460" s="2126"/>
      <c r="BR1460" s="2126"/>
      <c r="BS1460" s="2126"/>
    </row>
    <row r="1461" spans="1:71" s="3030" customFormat="1">
      <c r="A1461" s="2126"/>
      <c r="B1461" s="2126"/>
      <c r="C1461" s="2149"/>
      <c r="D1461" s="3248"/>
      <c r="E1461" s="525"/>
      <c r="F1461" s="525"/>
      <c r="G1461" s="526"/>
      <c r="K1461" s="3280"/>
      <c r="P1461" s="3041"/>
      <c r="X1461" s="3280"/>
      <c r="AA1461" s="3041"/>
      <c r="AF1461" s="3041"/>
      <c r="AN1461" s="3280"/>
      <c r="AZ1461" s="3041"/>
      <c r="BD1461" s="3281"/>
      <c r="BH1461" s="3282"/>
      <c r="BJ1461" s="2589"/>
      <c r="BK1461" s="2126"/>
      <c r="BL1461" s="2126"/>
      <c r="BM1461" s="2126"/>
      <c r="BN1461" s="2126"/>
      <c r="BO1461" s="2126"/>
      <c r="BP1461" s="2126"/>
      <c r="BQ1461" s="2126"/>
      <c r="BR1461" s="2126"/>
      <c r="BS1461" s="2126"/>
    </row>
    <row r="1462" spans="1:71" s="3030" customFormat="1">
      <c r="A1462" s="2126"/>
      <c r="B1462" s="2126"/>
      <c r="C1462" s="2149"/>
      <c r="D1462" s="3248"/>
      <c r="E1462" s="525"/>
      <c r="F1462" s="525"/>
      <c r="G1462" s="526"/>
      <c r="K1462" s="3280"/>
      <c r="P1462" s="3041"/>
      <c r="X1462" s="3280"/>
      <c r="AA1462" s="3041"/>
      <c r="AF1462" s="3041"/>
      <c r="AN1462" s="3280"/>
      <c r="AZ1462" s="3041"/>
      <c r="BD1462" s="3281"/>
      <c r="BH1462" s="3282"/>
      <c r="BJ1462" s="2589"/>
      <c r="BK1462" s="2126"/>
      <c r="BL1462" s="2126"/>
      <c r="BM1462" s="2126"/>
      <c r="BN1462" s="2126"/>
      <c r="BO1462" s="2126"/>
      <c r="BP1462" s="2126"/>
      <c r="BQ1462" s="2126"/>
      <c r="BR1462" s="2126"/>
      <c r="BS1462" s="2126"/>
    </row>
    <row r="1463" spans="1:71" s="3030" customFormat="1">
      <c r="A1463" s="2126"/>
      <c r="B1463" s="2126"/>
      <c r="C1463" s="2149"/>
      <c r="D1463" s="3248"/>
      <c r="E1463" s="525"/>
      <c r="F1463" s="525"/>
      <c r="G1463" s="526"/>
      <c r="K1463" s="3280"/>
      <c r="P1463" s="3041"/>
      <c r="X1463" s="3280"/>
      <c r="AA1463" s="3041"/>
      <c r="AF1463" s="3041"/>
      <c r="AN1463" s="3280"/>
      <c r="AZ1463" s="3041"/>
      <c r="BD1463" s="3281"/>
      <c r="BH1463" s="3282"/>
      <c r="BJ1463" s="2589"/>
      <c r="BK1463" s="2126"/>
      <c r="BL1463" s="2126"/>
      <c r="BM1463" s="2126"/>
      <c r="BN1463" s="2126"/>
      <c r="BO1463" s="2126"/>
      <c r="BP1463" s="2126"/>
      <c r="BQ1463" s="2126"/>
      <c r="BR1463" s="2126"/>
      <c r="BS1463" s="2126"/>
    </row>
    <row r="1464" spans="1:71" s="3030" customFormat="1">
      <c r="A1464" s="2126"/>
      <c r="B1464" s="2126"/>
      <c r="C1464" s="2149"/>
      <c r="D1464" s="3248"/>
      <c r="E1464" s="525"/>
      <c r="F1464" s="525"/>
      <c r="G1464" s="526"/>
      <c r="K1464" s="3280"/>
      <c r="P1464" s="3041"/>
      <c r="X1464" s="3280"/>
      <c r="AA1464" s="3041"/>
      <c r="AF1464" s="3041"/>
      <c r="AN1464" s="3280"/>
      <c r="AZ1464" s="3041"/>
      <c r="BD1464" s="3281"/>
      <c r="BH1464" s="3282"/>
      <c r="BJ1464" s="2589"/>
      <c r="BK1464" s="2126"/>
      <c r="BL1464" s="2126"/>
      <c r="BM1464" s="2126"/>
      <c r="BN1464" s="2126"/>
      <c r="BO1464" s="2126"/>
      <c r="BP1464" s="2126"/>
      <c r="BQ1464" s="2126"/>
      <c r="BR1464" s="2126"/>
      <c r="BS1464" s="2126"/>
    </row>
    <row r="1465" spans="1:71" s="3030" customFormat="1">
      <c r="A1465" s="2126"/>
      <c r="B1465" s="2126"/>
      <c r="C1465" s="2149"/>
      <c r="D1465" s="3248"/>
      <c r="E1465" s="525"/>
      <c r="F1465" s="525"/>
      <c r="G1465" s="526"/>
      <c r="K1465" s="3280"/>
      <c r="P1465" s="3041"/>
      <c r="X1465" s="3280"/>
      <c r="AA1465" s="3041"/>
      <c r="AF1465" s="3041"/>
      <c r="AN1465" s="3280"/>
      <c r="AZ1465" s="3041"/>
      <c r="BD1465" s="3281"/>
      <c r="BH1465" s="3282"/>
      <c r="BJ1465" s="2589"/>
      <c r="BK1465" s="2126"/>
      <c r="BL1465" s="2126"/>
      <c r="BM1465" s="2126"/>
      <c r="BN1465" s="2126"/>
      <c r="BO1465" s="2126"/>
      <c r="BP1465" s="2126"/>
      <c r="BQ1465" s="2126"/>
      <c r="BR1465" s="2126"/>
      <c r="BS1465" s="2126"/>
    </row>
    <row r="1466" spans="1:71" s="3030" customFormat="1">
      <c r="A1466" s="2126"/>
      <c r="B1466" s="2126"/>
      <c r="C1466" s="2149"/>
      <c r="D1466" s="3248"/>
      <c r="E1466" s="525"/>
      <c r="F1466" s="525"/>
      <c r="G1466" s="526"/>
      <c r="K1466" s="3280"/>
      <c r="P1466" s="3041"/>
      <c r="X1466" s="3280"/>
      <c r="AA1466" s="3041"/>
      <c r="AF1466" s="3041"/>
      <c r="AN1466" s="3280"/>
      <c r="AZ1466" s="3041"/>
      <c r="BD1466" s="3281"/>
      <c r="BH1466" s="3282"/>
      <c r="BJ1466" s="2589"/>
      <c r="BK1466" s="2126"/>
      <c r="BL1466" s="2126"/>
      <c r="BM1466" s="2126"/>
      <c r="BN1466" s="2126"/>
      <c r="BO1466" s="2126"/>
      <c r="BP1466" s="2126"/>
      <c r="BQ1466" s="2126"/>
      <c r="BR1466" s="2126"/>
      <c r="BS1466" s="2126"/>
    </row>
    <row r="1467" spans="1:71" s="3030" customFormat="1">
      <c r="A1467" s="2126"/>
      <c r="B1467" s="2126"/>
      <c r="C1467" s="2149"/>
      <c r="D1467" s="3248"/>
      <c r="E1467" s="525"/>
      <c r="F1467" s="525"/>
      <c r="G1467" s="526"/>
      <c r="K1467" s="3280"/>
      <c r="P1467" s="3041"/>
      <c r="X1467" s="3280"/>
      <c r="AA1467" s="3041"/>
      <c r="AF1467" s="3041"/>
      <c r="AN1467" s="3280"/>
      <c r="AZ1467" s="3041"/>
      <c r="BD1467" s="3281"/>
      <c r="BH1467" s="3282"/>
      <c r="BJ1467" s="2589"/>
      <c r="BK1467" s="2126"/>
      <c r="BL1467" s="2126"/>
      <c r="BM1467" s="2126"/>
      <c r="BN1467" s="2126"/>
      <c r="BO1467" s="2126"/>
      <c r="BP1467" s="2126"/>
      <c r="BQ1467" s="2126"/>
      <c r="BR1467" s="2126"/>
      <c r="BS1467" s="2126"/>
    </row>
    <row r="1468" spans="1:71" s="3030" customFormat="1">
      <c r="A1468" s="2126"/>
      <c r="B1468" s="2126"/>
      <c r="C1468" s="2149"/>
      <c r="D1468" s="3248"/>
      <c r="E1468" s="525"/>
      <c r="F1468" s="525"/>
      <c r="G1468" s="526"/>
      <c r="K1468" s="3280"/>
      <c r="P1468" s="3041"/>
      <c r="X1468" s="3280"/>
      <c r="AA1468" s="3041"/>
      <c r="AF1468" s="3041"/>
      <c r="AN1468" s="3280"/>
      <c r="AZ1468" s="3041"/>
      <c r="BD1468" s="3281"/>
      <c r="BH1468" s="3282"/>
      <c r="BJ1468" s="2589"/>
      <c r="BK1468" s="2126"/>
      <c r="BL1468" s="2126"/>
      <c r="BM1468" s="2126"/>
      <c r="BN1468" s="2126"/>
      <c r="BO1468" s="2126"/>
      <c r="BP1468" s="2126"/>
      <c r="BQ1468" s="2126"/>
      <c r="BR1468" s="2126"/>
      <c r="BS1468" s="2126"/>
    </row>
    <row r="1469" spans="1:71" s="3030" customFormat="1">
      <c r="A1469" s="2126"/>
      <c r="B1469" s="2126"/>
      <c r="C1469" s="2149"/>
      <c r="D1469" s="3248"/>
      <c r="E1469" s="525"/>
      <c r="F1469" s="525"/>
      <c r="G1469" s="526"/>
      <c r="K1469" s="3280"/>
      <c r="P1469" s="3041"/>
      <c r="X1469" s="3280"/>
      <c r="AA1469" s="3041"/>
      <c r="AF1469" s="3041"/>
      <c r="AN1469" s="3280"/>
      <c r="AZ1469" s="3041"/>
      <c r="BD1469" s="3281"/>
      <c r="BH1469" s="3282"/>
      <c r="BJ1469" s="2589"/>
      <c r="BK1469" s="2126"/>
      <c r="BL1469" s="2126"/>
      <c r="BM1469" s="2126"/>
      <c r="BN1469" s="2126"/>
      <c r="BO1469" s="2126"/>
      <c r="BP1469" s="2126"/>
      <c r="BQ1469" s="2126"/>
      <c r="BR1469" s="2126"/>
      <c r="BS1469" s="2126"/>
    </row>
    <row r="1470" spans="1:71" s="3030" customFormat="1">
      <c r="A1470" s="2126"/>
      <c r="B1470" s="2126"/>
      <c r="C1470" s="2149"/>
      <c r="D1470" s="3248"/>
      <c r="E1470" s="525"/>
      <c r="F1470" s="525"/>
      <c r="G1470" s="526"/>
      <c r="K1470" s="3280"/>
      <c r="P1470" s="3041"/>
      <c r="X1470" s="3280"/>
      <c r="AA1470" s="3041"/>
      <c r="AF1470" s="3041"/>
      <c r="AN1470" s="3280"/>
      <c r="AZ1470" s="3041"/>
      <c r="BD1470" s="3281"/>
      <c r="BH1470" s="3282"/>
      <c r="BJ1470" s="2589"/>
      <c r="BK1470" s="2126"/>
      <c r="BL1470" s="2126"/>
      <c r="BM1470" s="2126"/>
      <c r="BN1470" s="2126"/>
      <c r="BO1470" s="2126"/>
      <c r="BP1470" s="2126"/>
      <c r="BQ1470" s="2126"/>
      <c r="BR1470" s="2126"/>
      <c r="BS1470" s="2126"/>
    </row>
    <row r="1471" spans="1:71" s="3030" customFormat="1">
      <c r="A1471" s="2126"/>
      <c r="B1471" s="2126"/>
      <c r="C1471" s="2149"/>
      <c r="D1471" s="3248"/>
      <c r="E1471" s="525"/>
      <c r="F1471" s="525"/>
      <c r="G1471" s="526"/>
      <c r="K1471" s="3280"/>
      <c r="P1471" s="3041"/>
      <c r="X1471" s="3280"/>
      <c r="AA1471" s="3041"/>
      <c r="AF1471" s="3041"/>
      <c r="AN1471" s="3280"/>
      <c r="AZ1471" s="3041"/>
      <c r="BD1471" s="3281"/>
      <c r="BH1471" s="3282"/>
      <c r="BJ1471" s="2589"/>
      <c r="BK1471" s="2126"/>
      <c r="BL1471" s="2126"/>
      <c r="BM1471" s="2126"/>
      <c r="BN1471" s="2126"/>
      <c r="BO1471" s="2126"/>
      <c r="BP1471" s="2126"/>
      <c r="BQ1471" s="2126"/>
      <c r="BR1471" s="2126"/>
      <c r="BS1471" s="2126"/>
    </row>
    <row r="1472" spans="1:71" s="3030" customFormat="1">
      <c r="A1472" s="2126"/>
      <c r="B1472" s="2126"/>
      <c r="C1472" s="2149"/>
      <c r="D1472" s="3248"/>
      <c r="E1472" s="525"/>
      <c r="F1472" s="525"/>
      <c r="G1472" s="526"/>
      <c r="K1472" s="3280"/>
      <c r="P1472" s="3041"/>
      <c r="X1472" s="3280"/>
      <c r="AA1472" s="3041"/>
      <c r="AF1472" s="3041"/>
      <c r="AN1472" s="3280"/>
      <c r="AZ1472" s="3041"/>
      <c r="BD1472" s="3281"/>
      <c r="BH1472" s="3282"/>
      <c r="BJ1472" s="2589"/>
      <c r="BK1472" s="2126"/>
      <c r="BL1472" s="2126"/>
      <c r="BM1472" s="2126"/>
      <c r="BN1472" s="2126"/>
      <c r="BO1472" s="2126"/>
      <c r="BP1472" s="2126"/>
      <c r="BQ1472" s="2126"/>
      <c r="BR1472" s="2126"/>
      <c r="BS1472" s="2126"/>
    </row>
    <row r="1473" spans="1:71" s="3030" customFormat="1">
      <c r="A1473" s="2126"/>
      <c r="B1473" s="2126"/>
      <c r="C1473" s="2149"/>
      <c r="D1473" s="3248"/>
      <c r="E1473" s="525"/>
      <c r="F1473" s="525"/>
      <c r="G1473" s="526"/>
      <c r="K1473" s="3280"/>
      <c r="P1473" s="3041"/>
      <c r="X1473" s="3280"/>
      <c r="AA1473" s="3041"/>
      <c r="AF1473" s="3041"/>
      <c r="AN1473" s="3280"/>
      <c r="AZ1473" s="3041"/>
      <c r="BD1473" s="3281"/>
      <c r="BH1473" s="3282"/>
      <c r="BJ1473" s="2589"/>
      <c r="BK1473" s="2126"/>
      <c r="BL1473" s="2126"/>
      <c r="BM1473" s="2126"/>
      <c r="BN1473" s="2126"/>
      <c r="BO1473" s="2126"/>
      <c r="BP1473" s="2126"/>
      <c r="BQ1473" s="2126"/>
      <c r="BR1473" s="2126"/>
      <c r="BS1473" s="2126"/>
    </row>
    <row r="1474" spans="1:71" s="3030" customFormat="1">
      <c r="A1474" s="2126"/>
      <c r="B1474" s="2126"/>
      <c r="C1474" s="2149"/>
      <c r="D1474" s="3248"/>
      <c r="E1474" s="525"/>
      <c r="F1474" s="525"/>
      <c r="G1474" s="526"/>
      <c r="K1474" s="3280"/>
      <c r="P1474" s="3041"/>
      <c r="X1474" s="3280"/>
      <c r="AA1474" s="3041"/>
      <c r="AF1474" s="3041"/>
      <c r="AN1474" s="3280"/>
      <c r="AZ1474" s="3041"/>
      <c r="BD1474" s="3281"/>
      <c r="BH1474" s="3282"/>
      <c r="BJ1474" s="2589"/>
      <c r="BK1474" s="2126"/>
      <c r="BL1474" s="2126"/>
      <c r="BM1474" s="2126"/>
      <c r="BN1474" s="2126"/>
      <c r="BO1474" s="2126"/>
      <c r="BP1474" s="2126"/>
      <c r="BQ1474" s="2126"/>
      <c r="BR1474" s="2126"/>
      <c r="BS1474" s="2126"/>
    </row>
    <row r="1475" spans="1:71" s="3030" customFormat="1">
      <c r="A1475" s="2126"/>
      <c r="B1475" s="2126"/>
      <c r="C1475" s="2149"/>
      <c r="D1475" s="3248"/>
      <c r="E1475" s="525"/>
      <c r="F1475" s="525"/>
      <c r="G1475" s="526"/>
      <c r="K1475" s="3280"/>
      <c r="P1475" s="3041"/>
      <c r="X1475" s="3280"/>
      <c r="AA1475" s="3041"/>
      <c r="AF1475" s="3041"/>
      <c r="AN1475" s="3280"/>
      <c r="AZ1475" s="3041"/>
      <c r="BD1475" s="3281"/>
      <c r="BH1475" s="3282"/>
      <c r="BJ1475" s="2589"/>
      <c r="BK1475" s="2126"/>
      <c r="BL1475" s="2126"/>
      <c r="BM1475" s="2126"/>
      <c r="BN1475" s="2126"/>
      <c r="BO1475" s="2126"/>
      <c r="BP1475" s="2126"/>
      <c r="BQ1475" s="2126"/>
      <c r="BR1475" s="2126"/>
      <c r="BS1475" s="2126"/>
    </row>
    <row r="1476" spans="1:71" s="3030" customFormat="1">
      <c r="A1476" s="2126"/>
      <c r="B1476" s="2126"/>
      <c r="C1476" s="2149"/>
      <c r="D1476" s="3248"/>
      <c r="E1476" s="525"/>
      <c r="F1476" s="525"/>
      <c r="G1476" s="526"/>
      <c r="K1476" s="3280"/>
      <c r="P1476" s="3041"/>
      <c r="X1476" s="3280"/>
      <c r="AA1476" s="3041"/>
      <c r="AF1476" s="3041"/>
      <c r="AN1476" s="3280"/>
      <c r="AZ1476" s="3041"/>
      <c r="BD1476" s="3281"/>
      <c r="BH1476" s="3282"/>
      <c r="BJ1476" s="2589"/>
      <c r="BK1476" s="2126"/>
      <c r="BL1476" s="2126"/>
      <c r="BM1476" s="2126"/>
      <c r="BN1476" s="2126"/>
      <c r="BO1476" s="2126"/>
      <c r="BP1476" s="2126"/>
      <c r="BQ1476" s="2126"/>
      <c r="BR1476" s="2126"/>
      <c r="BS1476" s="2126"/>
    </row>
    <row r="1477" spans="1:71" s="3030" customFormat="1">
      <c r="A1477" s="2126"/>
      <c r="B1477" s="2126"/>
      <c r="C1477" s="2149"/>
      <c r="D1477" s="3248"/>
      <c r="E1477" s="525"/>
      <c r="F1477" s="525"/>
      <c r="G1477" s="526"/>
      <c r="K1477" s="3280"/>
      <c r="P1477" s="3041"/>
      <c r="X1477" s="3280"/>
      <c r="AA1477" s="3041"/>
      <c r="AF1477" s="3041"/>
      <c r="AN1477" s="3280"/>
      <c r="AZ1477" s="3041"/>
      <c r="BD1477" s="3281"/>
      <c r="BH1477" s="3282"/>
      <c r="BJ1477" s="2589"/>
      <c r="BK1477" s="2126"/>
      <c r="BL1477" s="2126"/>
      <c r="BM1477" s="2126"/>
      <c r="BN1477" s="2126"/>
      <c r="BO1477" s="2126"/>
      <c r="BP1477" s="2126"/>
      <c r="BQ1477" s="2126"/>
      <c r="BR1477" s="2126"/>
      <c r="BS1477" s="2126"/>
    </row>
    <row r="1478" spans="1:71" s="3030" customFormat="1">
      <c r="A1478" s="2126"/>
      <c r="B1478" s="2126"/>
      <c r="C1478" s="2149"/>
      <c r="D1478" s="3248"/>
      <c r="E1478" s="525"/>
      <c r="F1478" s="525"/>
      <c r="G1478" s="526"/>
      <c r="K1478" s="3280"/>
      <c r="P1478" s="3041"/>
      <c r="X1478" s="3280"/>
      <c r="AA1478" s="3041"/>
      <c r="AF1478" s="3041"/>
      <c r="AN1478" s="3280"/>
      <c r="AZ1478" s="3041"/>
      <c r="BD1478" s="3281"/>
      <c r="BH1478" s="3282"/>
      <c r="BJ1478" s="2589"/>
      <c r="BK1478" s="2126"/>
      <c r="BL1478" s="2126"/>
      <c r="BM1478" s="2126"/>
      <c r="BN1478" s="2126"/>
      <c r="BO1478" s="2126"/>
      <c r="BP1478" s="2126"/>
      <c r="BQ1478" s="2126"/>
      <c r="BR1478" s="2126"/>
      <c r="BS1478" s="2126"/>
    </row>
    <row r="1479" spans="1:71" s="3030" customFormat="1">
      <c r="A1479" s="2126"/>
      <c r="B1479" s="2126"/>
      <c r="C1479" s="2149"/>
      <c r="D1479" s="3248"/>
      <c r="E1479" s="525"/>
      <c r="F1479" s="525"/>
      <c r="G1479" s="526"/>
      <c r="K1479" s="3280"/>
      <c r="P1479" s="3041"/>
      <c r="X1479" s="3280"/>
      <c r="AA1479" s="3041"/>
      <c r="AF1479" s="3041"/>
      <c r="AN1479" s="3280"/>
      <c r="AZ1479" s="3041"/>
      <c r="BD1479" s="3281"/>
      <c r="BH1479" s="3282"/>
      <c r="BJ1479" s="2589"/>
      <c r="BK1479" s="2126"/>
      <c r="BL1479" s="2126"/>
      <c r="BM1479" s="2126"/>
      <c r="BN1479" s="2126"/>
      <c r="BO1479" s="2126"/>
      <c r="BP1479" s="2126"/>
      <c r="BQ1479" s="2126"/>
      <c r="BR1479" s="2126"/>
      <c r="BS1479" s="2126"/>
    </row>
    <row r="1480" spans="1:71" s="3030" customFormat="1">
      <c r="A1480" s="2126"/>
      <c r="B1480" s="2126"/>
      <c r="C1480" s="2149"/>
      <c r="D1480" s="3248"/>
      <c r="E1480" s="525"/>
      <c r="F1480" s="525"/>
      <c r="G1480" s="526"/>
      <c r="K1480" s="3280"/>
      <c r="P1480" s="3041"/>
      <c r="X1480" s="3280"/>
      <c r="AA1480" s="3041"/>
      <c r="AF1480" s="3041"/>
      <c r="AN1480" s="3280"/>
      <c r="AZ1480" s="3041"/>
      <c r="BD1480" s="3281"/>
      <c r="BH1480" s="3282"/>
      <c r="BJ1480" s="2589"/>
      <c r="BK1480" s="2126"/>
      <c r="BL1480" s="2126"/>
      <c r="BM1480" s="2126"/>
      <c r="BN1480" s="2126"/>
      <c r="BO1480" s="2126"/>
      <c r="BP1480" s="2126"/>
      <c r="BQ1480" s="2126"/>
      <c r="BR1480" s="2126"/>
      <c r="BS1480" s="2126"/>
    </row>
    <row r="1481" spans="1:71" s="3030" customFormat="1">
      <c r="A1481" s="2126"/>
      <c r="B1481" s="2126"/>
      <c r="C1481" s="2149"/>
      <c r="D1481" s="3248"/>
      <c r="E1481" s="525"/>
      <c r="F1481" s="525"/>
      <c r="G1481" s="526"/>
      <c r="K1481" s="3280"/>
      <c r="P1481" s="3041"/>
      <c r="X1481" s="3280"/>
      <c r="AA1481" s="3041"/>
      <c r="AF1481" s="3041"/>
      <c r="AN1481" s="3280"/>
      <c r="AZ1481" s="3041"/>
      <c r="BD1481" s="3281"/>
      <c r="BH1481" s="3282"/>
      <c r="BJ1481" s="2589"/>
      <c r="BK1481" s="2126"/>
      <c r="BL1481" s="2126"/>
      <c r="BM1481" s="2126"/>
      <c r="BN1481" s="2126"/>
      <c r="BO1481" s="2126"/>
      <c r="BP1481" s="2126"/>
      <c r="BQ1481" s="2126"/>
      <c r="BR1481" s="2126"/>
      <c r="BS1481" s="2126"/>
    </row>
    <row r="1482" spans="1:71" s="3030" customFormat="1">
      <c r="A1482" s="2126"/>
      <c r="B1482" s="2126"/>
      <c r="C1482" s="2149"/>
      <c r="D1482" s="3248"/>
      <c r="E1482" s="525"/>
      <c r="F1482" s="525"/>
      <c r="G1482" s="526"/>
      <c r="K1482" s="3280"/>
      <c r="P1482" s="3041"/>
      <c r="X1482" s="3280"/>
      <c r="AA1482" s="3041"/>
      <c r="AF1482" s="3041"/>
      <c r="AN1482" s="3280"/>
      <c r="AZ1482" s="3041"/>
      <c r="BD1482" s="3281"/>
      <c r="BH1482" s="3282"/>
      <c r="BJ1482" s="2589"/>
      <c r="BK1482" s="2126"/>
      <c r="BL1482" s="2126"/>
      <c r="BM1482" s="2126"/>
      <c r="BN1482" s="2126"/>
      <c r="BO1482" s="2126"/>
      <c r="BP1482" s="2126"/>
      <c r="BQ1482" s="2126"/>
      <c r="BR1482" s="2126"/>
      <c r="BS1482" s="2126"/>
    </row>
    <row r="1483" spans="1:71" s="3030" customFormat="1">
      <c r="A1483" s="2126"/>
      <c r="B1483" s="2126"/>
      <c r="C1483" s="2149"/>
      <c r="D1483" s="3248"/>
      <c r="E1483" s="525"/>
      <c r="F1483" s="525"/>
      <c r="G1483" s="526"/>
      <c r="K1483" s="3280"/>
      <c r="P1483" s="3041"/>
      <c r="X1483" s="3280"/>
      <c r="AA1483" s="3041"/>
      <c r="AF1483" s="3041"/>
      <c r="AN1483" s="3280"/>
      <c r="AZ1483" s="3041"/>
      <c r="BD1483" s="3281"/>
      <c r="BH1483" s="3282"/>
      <c r="BJ1483" s="2589"/>
      <c r="BK1483" s="2126"/>
      <c r="BL1483" s="2126"/>
      <c r="BM1483" s="2126"/>
      <c r="BN1483" s="2126"/>
      <c r="BO1483" s="2126"/>
      <c r="BP1483" s="2126"/>
      <c r="BQ1483" s="2126"/>
      <c r="BR1483" s="2126"/>
      <c r="BS1483" s="2126"/>
    </row>
    <row r="1484" spans="1:71" s="3030" customFormat="1">
      <c r="A1484" s="2126"/>
      <c r="B1484" s="2126"/>
      <c r="C1484" s="2149"/>
      <c r="D1484" s="3248"/>
      <c r="E1484" s="525"/>
      <c r="F1484" s="525"/>
      <c r="G1484" s="526"/>
      <c r="K1484" s="3280"/>
      <c r="P1484" s="3041"/>
      <c r="X1484" s="3280"/>
      <c r="AA1484" s="3041"/>
      <c r="AF1484" s="3041"/>
      <c r="AN1484" s="3280"/>
      <c r="AZ1484" s="3041"/>
      <c r="BD1484" s="3281"/>
      <c r="BH1484" s="3282"/>
      <c r="BJ1484" s="2589"/>
      <c r="BK1484" s="2126"/>
      <c r="BL1484" s="2126"/>
      <c r="BM1484" s="2126"/>
      <c r="BN1484" s="2126"/>
      <c r="BO1484" s="2126"/>
      <c r="BP1484" s="2126"/>
      <c r="BQ1484" s="2126"/>
      <c r="BR1484" s="2126"/>
      <c r="BS1484" s="2126"/>
    </row>
    <row r="1485" spans="1:71" s="3030" customFormat="1">
      <c r="A1485" s="2126"/>
      <c r="B1485" s="2126"/>
      <c r="C1485" s="2149"/>
      <c r="D1485" s="3248"/>
      <c r="E1485" s="525"/>
      <c r="F1485" s="525"/>
      <c r="G1485" s="526"/>
      <c r="K1485" s="3280"/>
      <c r="P1485" s="3041"/>
      <c r="X1485" s="3280"/>
      <c r="AA1485" s="3041"/>
      <c r="AF1485" s="3041"/>
      <c r="AN1485" s="3280"/>
      <c r="AZ1485" s="3041"/>
      <c r="BD1485" s="3281"/>
      <c r="BH1485" s="3282"/>
      <c r="BJ1485" s="2589"/>
      <c r="BK1485" s="2126"/>
      <c r="BL1485" s="2126"/>
      <c r="BM1485" s="2126"/>
      <c r="BN1485" s="2126"/>
      <c r="BO1485" s="2126"/>
      <c r="BP1485" s="2126"/>
      <c r="BQ1485" s="2126"/>
      <c r="BR1485" s="2126"/>
      <c r="BS1485" s="2126"/>
    </row>
    <row r="1486" spans="1:71" s="3030" customFormat="1">
      <c r="A1486" s="2126"/>
      <c r="B1486" s="2126"/>
      <c r="C1486" s="2149"/>
      <c r="D1486" s="3248"/>
      <c r="E1486" s="525"/>
      <c r="F1486" s="525"/>
      <c r="G1486" s="526"/>
      <c r="K1486" s="3280"/>
      <c r="P1486" s="3041"/>
      <c r="X1486" s="3280"/>
      <c r="AA1486" s="3041"/>
      <c r="AF1486" s="3041"/>
      <c r="AN1486" s="3280"/>
      <c r="AZ1486" s="3041"/>
      <c r="BD1486" s="3281"/>
      <c r="BH1486" s="3282"/>
      <c r="BJ1486" s="2589"/>
      <c r="BK1486" s="2126"/>
      <c r="BL1486" s="2126"/>
      <c r="BM1486" s="2126"/>
      <c r="BN1486" s="2126"/>
      <c r="BO1486" s="2126"/>
      <c r="BP1486" s="2126"/>
      <c r="BQ1486" s="2126"/>
      <c r="BR1486" s="2126"/>
      <c r="BS1486" s="2126"/>
    </row>
    <row r="1487" spans="1:71" s="3030" customFormat="1">
      <c r="A1487" s="2126"/>
      <c r="B1487" s="2126"/>
      <c r="C1487" s="2149"/>
      <c r="D1487" s="3248"/>
      <c r="E1487" s="525"/>
      <c r="F1487" s="525"/>
      <c r="G1487" s="526"/>
      <c r="K1487" s="3280"/>
      <c r="P1487" s="3041"/>
      <c r="X1487" s="3280"/>
      <c r="AA1487" s="3041"/>
      <c r="AF1487" s="3041"/>
      <c r="AN1487" s="3280"/>
      <c r="AZ1487" s="3041"/>
      <c r="BD1487" s="3281"/>
      <c r="BH1487" s="3282"/>
      <c r="BJ1487" s="2589"/>
      <c r="BK1487" s="2126"/>
      <c r="BL1487" s="2126"/>
      <c r="BM1487" s="2126"/>
      <c r="BN1487" s="2126"/>
      <c r="BO1487" s="2126"/>
      <c r="BP1487" s="2126"/>
      <c r="BQ1487" s="2126"/>
      <c r="BR1487" s="2126"/>
      <c r="BS1487" s="2126"/>
    </row>
    <row r="1488" spans="1:71" s="3030" customFormat="1">
      <c r="A1488" s="2126"/>
      <c r="B1488" s="2126"/>
      <c r="C1488" s="2149"/>
      <c r="D1488" s="3248"/>
      <c r="E1488" s="525"/>
      <c r="F1488" s="525"/>
      <c r="G1488" s="526"/>
      <c r="K1488" s="3280"/>
      <c r="P1488" s="3041"/>
      <c r="X1488" s="3280"/>
      <c r="AA1488" s="3041"/>
      <c r="AF1488" s="3041"/>
      <c r="AN1488" s="3280"/>
      <c r="AZ1488" s="3041"/>
      <c r="BD1488" s="3281"/>
      <c r="BH1488" s="3282"/>
      <c r="BJ1488" s="2589"/>
      <c r="BK1488" s="2126"/>
      <c r="BL1488" s="2126"/>
      <c r="BM1488" s="2126"/>
      <c r="BN1488" s="2126"/>
      <c r="BO1488" s="2126"/>
      <c r="BP1488" s="2126"/>
      <c r="BQ1488" s="2126"/>
      <c r="BR1488" s="2126"/>
      <c r="BS1488" s="2126"/>
    </row>
    <row r="1489" spans="1:71" s="3030" customFormat="1">
      <c r="A1489" s="2126"/>
      <c r="B1489" s="2126"/>
      <c r="C1489" s="2149"/>
      <c r="D1489" s="3248"/>
      <c r="E1489" s="525"/>
      <c r="F1489" s="525"/>
      <c r="G1489" s="526"/>
      <c r="K1489" s="3280"/>
      <c r="P1489" s="3041"/>
      <c r="X1489" s="3280"/>
      <c r="AA1489" s="3041"/>
      <c r="AF1489" s="3041"/>
      <c r="AN1489" s="3280"/>
      <c r="AZ1489" s="3041"/>
      <c r="BD1489" s="3281"/>
      <c r="BH1489" s="3282"/>
      <c r="BJ1489" s="2589"/>
      <c r="BK1489" s="2126"/>
      <c r="BL1489" s="2126"/>
      <c r="BM1489" s="2126"/>
      <c r="BN1489" s="2126"/>
      <c r="BO1489" s="2126"/>
      <c r="BP1489" s="2126"/>
      <c r="BQ1489" s="2126"/>
      <c r="BR1489" s="2126"/>
      <c r="BS1489" s="2126"/>
    </row>
    <row r="1490" spans="1:71" s="3030" customFormat="1">
      <c r="A1490" s="2126"/>
      <c r="B1490" s="2126"/>
      <c r="C1490" s="2149"/>
      <c r="D1490" s="3248"/>
      <c r="E1490" s="525"/>
      <c r="F1490" s="525"/>
      <c r="G1490" s="526"/>
      <c r="K1490" s="3280"/>
      <c r="P1490" s="3041"/>
      <c r="X1490" s="3280"/>
      <c r="AA1490" s="3041"/>
      <c r="AF1490" s="3041"/>
      <c r="AN1490" s="3280"/>
      <c r="AZ1490" s="3041"/>
      <c r="BD1490" s="3281"/>
      <c r="BH1490" s="3282"/>
      <c r="BJ1490" s="2589"/>
      <c r="BK1490" s="2126"/>
      <c r="BL1490" s="2126"/>
      <c r="BM1490" s="2126"/>
      <c r="BN1490" s="2126"/>
      <c r="BO1490" s="2126"/>
      <c r="BP1490" s="2126"/>
      <c r="BQ1490" s="2126"/>
      <c r="BR1490" s="2126"/>
      <c r="BS1490" s="2126"/>
    </row>
    <row r="1491" spans="1:71" s="3030" customFormat="1">
      <c r="A1491" s="2126"/>
      <c r="B1491" s="2126"/>
      <c r="C1491" s="2149"/>
      <c r="D1491" s="3248"/>
      <c r="E1491" s="525"/>
      <c r="F1491" s="525"/>
      <c r="G1491" s="526"/>
      <c r="K1491" s="3280"/>
      <c r="P1491" s="3041"/>
      <c r="X1491" s="3280"/>
      <c r="AA1491" s="3041"/>
      <c r="AF1491" s="3041"/>
      <c r="AN1491" s="3280"/>
      <c r="AZ1491" s="3041"/>
      <c r="BD1491" s="3281"/>
      <c r="BH1491" s="3282"/>
      <c r="BJ1491" s="2589"/>
      <c r="BK1491" s="2126"/>
      <c r="BL1491" s="2126"/>
      <c r="BM1491" s="2126"/>
      <c r="BN1491" s="2126"/>
      <c r="BO1491" s="2126"/>
      <c r="BP1491" s="2126"/>
      <c r="BQ1491" s="2126"/>
      <c r="BR1491" s="2126"/>
      <c r="BS1491" s="2126"/>
    </row>
    <row r="1492" spans="1:71" s="3030" customFormat="1">
      <c r="A1492" s="2126"/>
      <c r="B1492" s="2126"/>
      <c r="C1492" s="2149"/>
      <c r="D1492" s="3248"/>
      <c r="E1492" s="525"/>
      <c r="F1492" s="525"/>
      <c r="G1492" s="526"/>
      <c r="K1492" s="3280"/>
      <c r="P1492" s="3041"/>
      <c r="X1492" s="3280"/>
      <c r="AA1492" s="3041"/>
      <c r="AF1492" s="3041"/>
      <c r="AN1492" s="3280"/>
      <c r="AZ1492" s="3041"/>
      <c r="BD1492" s="3281"/>
      <c r="BH1492" s="3282"/>
      <c r="BJ1492" s="2589"/>
      <c r="BK1492" s="2126"/>
      <c r="BL1492" s="2126"/>
      <c r="BM1492" s="2126"/>
      <c r="BN1492" s="2126"/>
      <c r="BO1492" s="2126"/>
      <c r="BP1492" s="2126"/>
      <c r="BQ1492" s="2126"/>
      <c r="BR1492" s="2126"/>
      <c r="BS1492" s="2126"/>
    </row>
    <row r="1493" spans="1:71" s="3030" customFormat="1">
      <c r="A1493" s="2126"/>
      <c r="B1493" s="2126"/>
      <c r="C1493" s="2149"/>
      <c r="D1493" s="3248"/>
      <c r="E1493" s="525"/>
      <c r="F1493" s="525"/>
      <c r="G1493" s="526"/>
      <c r="K1493" s="3280"/>
      <c r="P1493" s="3041"/>
      <c r="X1493" s="3280"/>
      <c r="AA1493" s="3041"/>
      <c r="AF1493" s="3041"/>
      <c r="AN1493" s="3280"/>
      <c r="AZ1493" s="3041"/>
      <c r="BD1493" s="3281"/>
      <c r="BH1493" s="3282"/>
      <c r="BJ1493" s="2589"/>
      <c r="BK1493" s="2126"/>
      <c r="BL1493" s="2126"/>
      <c r="BM1493" s="2126"/>
      <c r="BN1493" s="2126"/>
      <c r="BO1493" s="2126"/>
      <c r="BP1493" s="2126"/>
      <c r="BQ1493" s="2126"/>
      <c r="BR1493" s="2126"/>
      <c r="BS1493" s="2126"/>
    </row>
    <row r="1494" spans="1:71" s="3030" customFormat="1">
      <c r="A1494" s="2126"/>
      <c r="B1494" s="2126"/>
      <c r="C1494" s="2149"/>
      <c r="D1494" s="3248"/>
      <c r="E1494" s="525"/>
      <c r="F1494" s="525"/>
      <c r="G1494" s="526"/>
      <c r="K1494" s="3280"/>
      <c r="P1494" s="3041"/>
      <c r="X1494" s="3280"/>
      <c r="AA1494" s="3041"/>
      <c r="AF1494" s="3041"/>
      <c r="AN1494" s="3280"/>
      <c r="AZ1494" s="3041"/>
      <c r="BD1494" s="3281"/>
      <c r="BH1494" s="3282"/>
      <c r="BJ1494" s="2589"/>
      <c r="BK1494" s="2126"/>
      <c r="BL1494" s="2126"/>
      <c r="BM1494" s="2126"/>
      <c r="BN1494" s="2126"/>
      <c r="BO1494" s="2126"/>
      <c r="BP1494" s="2126"/>
      <c r="BQ1494" s="2126"/>
      <c r="BR1494" s="2126"/>
      <c r="BS1494" s="2126"/>
    </row>
    <row r="1495" spans="1:71" s="3030" customFormat="1">
      <c r="A1495" s="2126"/>
      <c r="B1495" s="2126"/>
      <c r="C1495" s="2149"/>
      <c r="D1495" s="3248"/>
      <c r="E1495" s="525"/>
      <c r="F1495" s="525"/>
      <c r="G1495" s="526"/>
      <c r="K1495" s="3280"/>
      <c r="P1495" s="3041"/>
      <c r="X1495" s="3280"/>
      <c r="AA1495" s="3041"/>
      <c r="AF1495" s="3041"/>
      <c r="AN1495" s="3280"/>
      <c r="AZ1495" s="3041"/>
      <c r="BD1495" s="3281"/>
      <c r="BH1495" s="3282"/>
      <c r="BJ1495" s="2589"/>
      <c r="BK1495" s="2126"/>
      <c r="BL1495" s="2126"/>
      <c r="BM1495" s="2126"/>
      <c r="BN1495" s="2126"/>
      <c r="BO1495" s="2126"/>
      <c r="BP1495" s="2126"/>
      <c r="BQ1495" s="2126"/>
      <c r="BR1495" s="2126"/>
      <c r="BS1495" s="2126"/>
    </row>
    <row r="1496" spans="1:71" s="3030" customFormat="1">
      <c r="A1496" s="2126"/>
      <c r="B1496" s="2126"/>
      <c r="C1496" s="2149"/>
      <c r="D1496" s="3248"/>
      <c r="E1496" s="525"/>
      <c r="F1496" s="525"/>
      <c r="G1496" s="526"/>
      <c r="K1496" s="3280"/>
      <c r="P1496" s="3041"/>
      <c r="X1496" s="3280"/>
      <c r="AA1496" s="3041"/>
      <c r="AF1496" s="3041"/>
      <c r="AN1496" s="3280"/>
      <c r="AZ1496" s="3041"/>
      <c r="BD1496" s="3281"/>
      <c r="BH1496" s="3282"/>
      <c r="BJ1496" s="2589"/>
      <c r="BK1496" s="2126"/>
      <c r="BL1496" s="2126"/>
      <c r="BM1496" s="2126"/>
      <c r="BN1496" s="2126"/>
      <c r="BO1496" s="2126"/>
      <c r="BP1496" s="2126"/>
      <c r="BQ1496" s="2126"/>
      <c r="BR1496" s="2126"/>
      <c r="BS1496" s="2126"/>
    </row>
    <row r="1497" spans="1:71" s="3030" customFormat="1">
      <c r="A1497" s="2126"/>
      <c r="B1497" s="2126"/>
      <c r="C1497" s="2149"/>
      <c r="D1497" s="3248"/>
      <c r="E1497" s="525"/>
      <c r="F1497" s="525"/>
      <c r="G1497" s="526"/>
      <c r="K1497" s="3280"/>
      <c r="P1497" s="3041"/>
      <c r="X1497" s="3280"/>
      <c r="AA1497" s="3041"/>
      <c r="AF1497" s="3041"/>
      <c r="AN1497" s="3280"/>
      <c r="AZ1497" s="3041"/>
      <c r="BD1497" s="3281"/>
      <c r="BH1497" s="3282"/>
      <c r="BJ1497" s="2589"/>
      <c r="BK1497" s="2126"/>
      <c r="BL1497" s="2126"/>
      <c r="BM1497" s="2126"/>
      <c r="BN1497" s="2126"/>
      <c r="BO1497" s="2126"/>
      <c r="BP1497" s="2126"/>
      <c r="BQ1497" s="2126"/>
      <c r="BR1497" s="2126"/>
      <c r="BS1497" s="2126"/>
    </row>
    <row r="1498" spans="1:71" s="3030" customFormat="1">
      <c r="A1498" s="2126"/>
      <c r="B1498" s="2126"/>
      <c r="C1498" s="2149"/>
      <c r="D1498" s="3248"/>
      <c r="E1498" s="525"/>
      <c r="F1498" s="525"/>
      <c r="G1498" s="526"/>
      <c r="K1498" s="3280"/>
      <c r="P1498" s="3041"/>
      <c r="X1498" s="3280"/>
      <c r="AA1498" s="3041"/>
      <c r="AF1498" s="3041"/>
      <c r="AN1498" s="3280"/>
      <c r="AZ1498" s="3041"/>
      <c r="BD1498" s="3281"/>
      <c r="BH1498" s="3282"/>
      <c r="BJ1498" s="2589"/>
      <c r="BK1498" s="2126"/>
      <c r="BL1498" s="2126"/>
      <c r="BM1498" s="2126"/>
      <c r="BN1498" s="2126"/>
      <c r="BO1498" s="2126"/>
      <c r="BP1498" s="2126"/>
      <c r="BQ1498" s="2126"/>
      <c r="BR1498" s="2126"/>
      <c r="BS1498" s="2126"/>
    </row>
    <row r="1499" spans="1:71" s="3030" customFormat="1">
      <c r="A1499" s="2126"/>
      <c r="B1499" s="2126"/>
      <c r="C1499" s="2149"/>
      <c r="D1499" s="3248"/>
      <c r="E1499" s="525"/>
      <c r="F1499" s="525"/>
      <c r="G1499" s="526"/>
      <c r="K1499" s="3280"/>
      <c r="P1499" s="3041"/>
      <c r="X1499" s="3280"/>
      <c r="AA1499" s="3041"/>
      <c r="AF1499" s="3041"/>
      <c r="AN1499" s="3280"/>
      <c r="AZ1499" s="3041"/>
      <c r="BD1499" s="3281"/>
      <c r="BH1499" s="3282"/>
      <c r="BJ1499" s="2589"/>
      <c r="BK1499" s="2126"/>
      <c r="BL1499" s="2126"/>
      <c r="BM1499" s="2126"/>
      <c r="BN1499" s="2126"/>
      <c r="BO1499" s="2126"/>
      <c r="BP1499" s="2126"/>
      <c r="BQ1499" s="2126"/>
      <c r="BR1499" s="2126"/>
      <c r="BS1499" s="2126"/>
    </row>
    <row r="1500" spans="1:71" s="3030" customFormat="1">
      <c r="A1500" s="2126"/>
      <c r="B1500" s="2126"/>
      <c r="C1500" s="2149"/>
      <c r="D1500" s="3248"/>
      <c r="E1500" s="525"/>
      <c r="F1500" s="525"/>
      <c r="G1500" s="526"/>
      <c r="K1500" s="3280"/>
      <c r="P1500" s="3041"/>
      <c r="X1500" s="3280"/>
      <c r="AA1500" s="3041"/>
      <c r="AF1500" s="3041"/>
      <c r="AN1500" s="3280"/>
      <c r="AZ1500" s="3041"/>
      <c r="BD1500" s="3281"/>
      <c r="BH1500" s="3282"/>
      <c r="BJ1500" s="2589"/>
      <c r="BK1500" s="2126"/>
      <c r="BL1500" s="2126"/>
      <c r="BM1500" s="2126"/>
      <c r="BN1500" s="2126"/>
      <c r="BO1500" s="2126"/>
      <c r="BP1500" s="2126"/>
      <c r="BQ1500" s="2126"/>
      <c r="BR1500" s="2126"/>
      <c r="BS1500" s="2126"/>
    </row>
    <row r="1501" spans="1:71" s="3030" customFormat="1">
      <c r="A1501" s="2126"/>
      <c r="B1501" s="2126"/>
      <c r="C1501" s="2149"/>
      <c r="D1501" s="3248"/>
      <c r="E1501" s="525"/>
      <c r="F1501" s="525"/>
      <c r="G1501" s="526"/>
      <c r="K1501" s="3280"/>
      <c r="P1501" s="3041"/>
      <c r="X1501" s="3280"/>
      <c r="AA1501" s="3041"/>
      <c r="AF1501" s="3041"/>
      <c r="AN1501" s="3280"/>
      <c r="AZ1501" s="3041"/>
      <c r="BD1501" s="3281"/>
      <c r="BH1501" s="3282"/>
      <c r="BJ1501" s="2589"/>
      <c r="BK1501" s="2126"/>
      <c r="BL1501" s="2126"/>
      <c r="BM1501" s="2126"/>
      <c r="BN1501" s="2126"/>
      <c r="BO1501" s="2126"/>
      <c r="BP1501" s="2126"/>
      <c r="BQ1501" s="2126"/>
      <c r="BR1501" s="2126"/>
      <c r="BS1501" s="2126"/>
    </row>
    <row r="1502" spans="1:71" s="3030" customFormat="1">
      <c r="A1502" s="2126"/>
      <c r="B1502" s="2126"/>
      <c r="C1502" s="2149"/>
      <c r="D1502" s="3248"/>
      <c r="E1502" s="525"/>
      <c r="F1502" s="525"/>
      <c r="G1502" s="526"/>
      <c r="K1502" s="3280"/>
      <c r="P1502" s="3041"/>
      <c r="X1502" s="3280"/>
      <c r="AA1502" s="3041"/>
      <c r="AF1502" s="3041"/>
      <c r="AN1502" s="3280"/>
      <c r="AZ1502" s="3041"/>
      <c r="BD1502" s="3281"/>
      <c r="BH1502" s="3282"/>
      <c r="BJ1502" s="2589"/>
      <c r="BK1502" s="2126"/>
      <c r="BL1502" s="2126"/>
      <c r="BM1502" s="2126"/>
      <c r="BN1502" s="2126"/>
      <c r="BO1502" s="2126"/>
      <c r="BP1502" s="2126"/>
      <c r="BQ1502" s="2126"/>
      <c r="BR1502" s="2126"/>
      <c r="BS1502" s="2126"/>
    </row>
    <row r="1503" spans="1:71" s="3030" customFormat="1">
      <c r="A1503" s="2126"/>
      <c r="B1503" s="2126"/>
      <c r="C1503" s="2149"/>
      <c r="D1503" s="3248"/>
      <c r="E1503" s="525"/>
      <c r="F1503" s="525"/>
      <c r="G1503" s="526"/>
      <c r="K1503" s="3280"/>
      <c r="P1503" s="3041"/>
      <c r="X1503" s="3280"/>
      <c r="AA1503" s="3041"/>
      <c r="AF1503" s="3041"/>
      <c r="AN1503" s="3280"/>
      <c r="AZ1503" s="3041"/>
      <c r="BD1503" s="3281"/>
      <c r="BH1503" s="3282"/>
      <c r="BJ1503" s="2589"/>
      <c r="BK1503" s="2126"/>
      <c r="BL1503" s="2126"/>
      <c r="BM1503" s="2126"/>
      <c r="BN1503" s="2126"/>
      <c r="BO1503" s="2126"/>
      <c r="BP1503" s="2126"/>
      <c r="BQ1503" s="2126"/>
      <c r="BR1503" s="2126"/>
      <c r="BS1503" s="2126"/>
    </row>
    <row r="1504" spans="1:71" s="3030" customFormat="1">
      <c r="A1504" s="2126"/>
      <c r="B1504" s="2126"/>
      <c r="C1504" s="2149"/>
      <c r="D1504" s="3248"/>
      <c r="E1504" s="525"/>
      <c r="F1504" s="525"/>
      <c r="G1504" s="526"/>
      <c r="K1504" s="3280"/>
      <c r="P1504" s="3041"/>
      <c r="X1504" s="3280"/>
      <c r="AA1504" s="3041"/>
      <c r="AF1504" s="3041"/>
      <c r="AN1504" s="3280"/>
      <c r="AZ1504" s="3041"/>
      <c r="BD1504" s="3281"/>
      <c r="BH1504" s="3282"/>
      <c r="BJ1504" s="2589"/>
      <c r="BK1504" s="2126"/>
      <c r="BL1504" s="2126"/>
      <c r="BM1504" s="2126"/>
      <c r="BN1504" s="2126"/>
      <c r="BO1504" s="2126"/>
      <c r="BP1504" s="2126"/>
      <c r="BQ1504" s="2126"/>
      <c r="BR1504" s="2126"/>
      <c r="BS1504" s="2126"/>
    </row>
    <row r="1505" spans="1:71" s="3030" customFormat="1">
      <c r="A1505" s="2126"/>
      <c r="B1505" s="2126"/>
      <c r="C1505" s="2149"/>
      <c r="D1505" s="3248"/>
      <c r="E1505" s="525"/>
      <c r="F1505" s="525"/>
      <c r="G1505" s="526"/>
      <c r="K1505" s="3280"/>
      <c r="P1505" s="3041"/>
      <c r="X1505" s="3280"/>
      <c r="AA1505" s="3041"/>
      <c r="AF1505" s="3041"/>
      <c r="AN1505" s="3280"/>
      <c r="AZ1505" s="3041"/>
      <c r="BD1505" s="3281"/>
      <c r="BH1505" s="3282"/>
      <c r="BJ1505" s="2589"/>
      <c r="BK1505" s="2126"/>
      <c r="BL1505" s="2126"/>
      <c r="BM1505" s="2126"/>
      <c r="BN1505" s="2126"/>
      <c r="BO1505" s="2126"/>
      <c r="BP1505" s="2126"/>
      <c r="BQ1505" s="2126"/>
      <c r="BR1505" s="2126"/>
      <c r="BS1505" s="2126"/>
    </row>
    <row r="1506" spans="1:71" s="3030" customFormat="1">
      <c r="A1506" s="2126"/>
      <c r="B1506" s="2126"/>
      <c r="C1506" s="2149"/>
      <c r="D1506" s="3248"/>
      <c r="E1506" s="525"/>
      <c r="F1506" s="525"/>
      <c r="G1506" s="526"/>
      <c r="K1506" s="3280"/>
      <c r="P1506" s="3041"/>
      <c r="X1506" s="3280"/>
      <c r="AA1506" s="3041"/>
      <c r="AF1506" s="3041"/>
      <c r="AN1506" s="3280"/>
      <c r="AZ1506" s="3041"/>
      <c r="BD1506" s="3281"/>
      <c r="BH1506" s="3282"/>
      <c r="BJ1506" s="2589"/>
      <c r="BK1506" s="2126"/>
      <c r="BL1506" s="2126"/>
      <c r="BM1506" s="2126"/>
      <c r="BN1506" s="2126"/>
      <c r="BO1506" s="2126"/>
      <c r="BP1506" s="2126"/>
      <c r="BQ1506" s="2126"/>
      <c r="BR1506" s="2126"/>
      <c r="BS1506" s="2126"/>
    </row>
    <row r="1507" spans="1:71" s="3030" customFormat="1">
      <c r="A1507" s="2126"/>
      <c r="B1507" s="2126"/>
      <c r="C1507" s="2149"/>
      <c r="D1507" s="3248"/>
      <c r="E1507" s="525"/>
      <c r="F1507" s="525"/>
      <c r="G1507" s="526"/>
      <c r="K1507" s="3280"/>
      <c r="P1507" s="3041"/>
      <c r="X1507" s="3280"/>
      <c r="AA1507" s="3041"/>
      <c r="AF1507" s="3041"/>
      <c r="AN1507" s="3280"/>
      <c r="AZ1507" s="3041"/>
      <c r="BD1507" s="3281"/>
      <c r="BH1507" s="3282"/>
      <c r="BJ1507" s="2589"/>
      <c r="BK1507" s="2126"/>
      <c r="BL1507" s="2126"/>
      <c r="BM1507" s="2126"/>
      <c r="BN1507" s="2126"/>
      <c r="BO1507" s="2126"/>
      <c r="BP1507" s="2126"/>
      <c r="BQ1507" s="2126"/>
      <c r="BR1507" s="2126"/>
      <c r="BS1507" s="2126"/>
    </row>
    <row r="1508" spans="1:71" s="3030" customFormat="1">
      <c r="A1508" s="2126"/>
      <c r="B1508" s="2126"/>
      <c r="C1508" s="2149"/>
      <c r="D1508" s="3248"/>
      <c r="E1508" s="525"/>
      <c r="F1508" s="525"/>
      <c r="G1508" s="526"/>
      <c r="K1508" s="3280"/>
      <c r="P1508" s="3041"/>
      <c r="X1508" s="3280"/>
      <c r="AA1508" s="3041"/>
      <c r="AF1508" s="3041"/>
      <c r="AN1508" s="3280"/>
      <c r="AZ1508" s="3041"/>
      <c r="BD1508" s="3281"/>
      <c r="BH1508" s="3282"/>
      <c r="BJ1508" s="2589"/>
      <c r="BK1508" s="2126"/>
      <c r="BL1508" s="2126"/>
      <c r="BM1508" s="2126"/>
      <c r="BN1508" s="2126"/>
      <c r="BO1508" s="2126"/>
      <c r="BP1508" s="2126"/>
      <c r="BQ1508" s="2126"/>
      <c r="BR1508" s="2126"/>
      <c r="BS1508" s="2126"/>
    </row>
    <row r="1509" spans="1:71" s="3030" customFormat="1">
      <c r="A1509" s="2126"/>
      <c r="B1509" s="2126"/>
      <c r="C1509" s="2149"/>
      <c r="D1509" s="3248"/>
      <c r="E1509" s="525"/>
      <c r="F1509" s="525"/>
      <c r="G1509" s="526"/>
      <c r="K1509" s="3280"/>
      <c r="P1509" s="3041"/>
      <c r="X1509" s="3280"/>
      <c r="AA1509" s="3041"/>
      <c r="AF1509" s="3041"/>
      <c r="AN1509" s="3280"/>
      <c r="AZ1509" s="3041"/>
      <c r="BD1509" s="3281"/>
      <c r="BH1509" s="3282"/>
      <c r="BJ1509" s="2589"/>
      <c r="BK1509" s="2126"/>
      <c r="BL1509" s="2126"/>
      <c r="BM1509" s="2126"/>
      <c r="BN1509" s="2126"/>
      <c r="BO1509" s="2126"/>
      <c r="BP1509" s="2126"/>
      <c r="BQ1509" s="2126"/>
      <c r="BR1509" s="2126"/>
      <c r="BS1509" s="2126"/>
    </row>
    <row r="1510" spans="1:71" s="3030" customFormat="1">
      <c r="A1510" s="2126"/>
      <c r="B1510" s="2126"/>
      <c r="C1510" s="2149"/>
      <c r="D1510" s="3248"/>
      <c r="E1510" s="525"/>
      <c r="F1510" s="525"/>
      <c r="G1510" s="526"/>
      <c r="K1510" s="3280"/>
      <c r="P1510" s="3041"/>
      <c r="X1510" s="3280"/>
      <c r="AA1510" s="3041"/>
      <c r="AF1510" s="3041"/>
      <c r="AN1510" s="3280"/>
      <c r="AZ1510" s="3041"/>
      <c r="BD1510" s="3281"/>
      <c r="BH1510" s="3282"/>
      <c r="BJ1510" s="2589"/>
      <c r="BK1510" s="2126"/>
      <c r="BL1510" s="2126"/>
      <c r="BM1510" s="2126"/>
      <c r="BN1510" s="2126"/>
      <c r="BO1510" s="2126"/>
      <c r="BP1510" s="2126"/>
      <c r="BQ1510" s="2126"/>
      <c r="BR1510" s="2126"/>
      <c r="BS1510" s="2126"/>
    </row>
    <row r="1511" spans="1:71" s="3030" customFormat="1">
      <c r="A1511" s="2126"/>
      <c r="B1511" s="2126"/>
      <c r="C1511" s="2149"/>
      <c r="D1511" s="3248"/>
      <c r="E1511" s="525"/>
      <c r="F1511" s="525"/>
      <c r="G1511" s="526"/>
      <c r="K1511" s="3280"/>
      <c r="P1511" s="3041"/>
      <c r="X1511" s="3280"/>
      <c r="AA1511" s="3041"/>
      <c r="AF1511" s="3041"/>
      <c r="AN1511" s="3280"/>
      <c r="AZ1511" s="3041"/>
      <c r="BD1511" s="3281"/>
      <c r="BH1511" s="3282"/>
      <c r="BJ1511" s="2589"/>
      <c r="BK1511" s="2126"/>
      <c r="BL1511" s="2126"/>
      <c r="BM1511" s="2126"/>
      <c r="BN1511" s="2126"/>
      <c r="BO1511" s="2126"/>
      <c r="BP1511" s="2126"/>
      <c r="BQ1511" s="2126"/>
      <c r="BR1511" s="2126"/>
      <c r="BS1511" s="2126"/>
    </row>
    <row r="1512" spans="1:71" s="3030" customFormat="1">
      <c r="A1512" s="2126"/>
      <c r="B1512" s="2126"/>
      <c r="C1512" s="2149"/>
      <c r="D1512" s="3248"/>
      <c r="E1512" s="525"/>
      <c r="F1512" s="525"/>
      <c r="G1512" s="526"/>
      <c r="K1512" s="3280"/>
      <c r="P1512" s="3041"/>
      <c r="X1512" s="3280"/>
      <c r="AA1512" s="3041"/>
      <c r="AF1512" s="3041"/>
      <c r="AN1512" s="3280"/>
      <c r="AZ1512" s="3041"/>
      <c r="BD1512" s="3281"/>
      <c r="BH1512" s="3282"/>
      <c r="BJ1512" s="2589"/>
      <c r="BK1512" s="2126"/>
      <c r="BL1512" s="2126"/>
      <c r="BM1512" s="2126"/>
      <c r="BN1512" s="2126"/>
      <c r="BO1512" s="2126"/>
      <c r="BP1512" s="2126"/>
      <c r="BQ1512" s="2126"/>
      <c r="BR1512" s="2126"/>
      <c r="BS1512" s="2126"/>
    </row>
    <row r="1513" spans="1:71" s="3030" customFormat="1">
      <c r="A1513" s="2126"/>
      <c r="B1513" s="2126"/>
      <c r="C1513" s="2149"/>
      <c r="D1513" s="3248"/>
      <c r="E1513" s="525"/>
      <c r="F1513" s="525"/>
      <c r="G1513" s="526"/>
      <c r="K1513" s="3280"/>
      <c r="P1513" s="3041"/>
      <c r="X1513" s="3280"/>
      <c r="AA1513" s="3041"/>
      <c r="AF1513" s="3041"/>
      <c r="AN1513" s="3280"/>
      <c r="AZ1513" s="3041"/>
      <c r="BD1513" s="3281"/>
      <c r="BH1513" s="3282"/>
      <c r="BJ1513" s="2589"/>
      <c r="BK1513" s="2126"/>
      <c r="BL1513" s="2126"/>
      <c r="BM1513" s="2126"/>
      <c r="BN1513" s="2126"/>
      <c r="BO1513" s="2126"/>
      <c r="BP1513" s="2126"/>
      <c r="BQ1513" s="2126"/>
      <c r="BR1513" s="2126"/>
      <c r="BS1513" s="2126"/>
    </row>
    <row r="1514" spans="1:71" s="3030" customFormat="1">
      <c r="A1514" s="2126"/>
      <c r="B1514" s="2126"/>
      <c r="C1514" s="2149"/>
      <c r="D1514" s="3248"/>
      <c r="E1514" s="525"/>
      <c r="F1514" s="525"/>
      <c r="G1514" s="526"/>
      <c r="K1514" s="3280"/>
      <c r="P1514" s="3041"/>
      <c r="X1514" s="3280"/>
      <c r="AA1514" s="3041"/>
      <c r="AF1514" s="3041"/>
      <c r="AN1514" s="3280"/>
      <c r="AZ1514" s="3041"/>
      <c r="BD1514" s="3281"/>
      <c r="BH1514" s="3282"/>
      <c r="BJ1514" s="2589"/>
      <c r="BK1514" s="2126"/>
      <c r="BL1514" s="2126"/>
      <c r="BM1514" s="2126"/>
      <c r="BN1514" s="2126"/>
      <c r="BO1514" s="2126"/>
      <c r="BP1514" s="2126"/>
      <c r="BQ1514" s="2126"/>
      <c r="BR1514" s="2126"/>
      <c r="BS1514" s="2126"/>
    </row>
    <row r="1515" spans="1:71" s="3030" customFormat="1">
      <c r="A1515" s="2126"/>
      <c r="B1515" s="2126"/>
      <c r="C1515" s="2149"/>
      <c r="D1515" s="3248"/>
      <c r="E1515" s="525"/>
      <c r="F1515" s="525"/>
      <c r="G1515" s="526"/>
      <c r="K1515" s="3280"/>
      <c r="P1515" s="3041"/>
      <c r="X1515" s="3280"/>
      <c r="AA1515" s="3041"/>
      <c r="AF1515" s="3041"/>
      <c r="AN1515" s="3280"/>
      <c r="AZ1515" s="3041"/>
      <c r="BD1515" s="3281"/>
      <c r="BH1515" s="3282"/>
      <c r="BJ1515" s="2589"/>
      <c r="BK1515" s="2126"/>
      <c r="BL1515" s="2126"/>
      <c r="BM1515" s="2126"/>
      <c r="BN1515" s="2126"/>
      <c r="BO1515" s="2126"/>
      <c r="BP1515" s="2126"/>
      <c r="BQ1515" s="2126"/>
      <c r="BR1515" s="2126"/>
      <c r="BS1515" s="2126"/>
    </row>
    <row r="1516" spans="1:71" s="3030" customFormat="1">
      <c r="A1516" s="2126"/>
      <c r="B1516" s="2126"/>
      <c r="C1516" s="2149"/>
      <c r="D1516" s="3248"/>
      <c r="E1516" s="525"/>
      <c r="F1516" s="525"/>
      <c r="G1516" s="526"/>
      <c r="K1516" s="3280"/>
      <c r="P1516" s="3041"/>
      <c r="X1516" s="3280"/>
      <c r="AA1516" s="3041"/>
      <c r="AF1516" s="3041"/>
      <c r="AN1516" s="3280"/>
      <c r="AZ1516" s="3041"/>
      <c r="BD1516" s="3281"/>
      <c r="BH1516" s="3282"/>
      <c r="BJ1516" s="2589"/>
      <c r="BK1516" s="2126"/>
      <c r="BL1516" s="2126"/>
      <c r="BM1516" s="2126"/>
      <c r="BN1516" s="2126"/>
      <c r="BO1516" s="2126"/>
      <c r="BP1516" s="2126"/>
      <c r="BQ1516" s="2126"/>
      <c r="BR1516" s="2126"/>
      <c r="BS1516" s="2126"/>
    </row>
    <row r="1517" spans="1:71" s="3030" customFormat="1">
      <c r="A1517" s="2126"/>
      <c r="B1517" s="2126"/>
      <c r="C1517" s="2149"/>
      <c r="D1517" s="3248"/>
      <c r="E1517" s="525"/>
      <c r="F1517" s="525"/>
      <c r="G1517" s="526"/>
      <c r="K1517" s="3280"/>
      <c r="P1517" s="3041"/>
      <c r="X1517" s="3280"/>
      <c r="AA1517" s="3041"/>
      <c r="AF1517" s="3041"/>
      <c r="AN1517" s="3280"/>
      <c r="AZ1517" s="3041"/>
      <c r="BD1517" s="3281"/>
      <c r="BH1517" s="3282"/>
      <c r="BJ1517" s="2589"/>
      <c r="BK1517" s="2126"/>
      <c r="BL1517" s="2126"/>
      <c r="BM1517" s="2126"/>
      <c r="BN1517" s="2126"/>
      <c r="BO1517" s="2126"/>
      <c r="BP1517" s="2126"/>
      <c r="BQ1517" s="2126"/>
      <c r="BR1517" s="2126"/>
      <c r="BS1517" s="2126"/>
    </row>
    <row r="1518" spans="1:71" s="3030" customFormat="1">
      <c r="A1518" s="2126"/>
      <c r="B1518" s="2126"/>
      <c r="C1518" s="2149"/>
      <c r="D1518" s="3248"/>
      <c r="E1518" s="525"/>
      <c r="F1518" s="525"/>
      <c r="G1518" s="526"/>
      <c r="K1518" s="3280"/>
      <c r="P1518" s="3041"/>
      <c r="X1518" s="3280"/>
      <c r="AA1518" s="3041"/>
      <c r="AF1518" s="3041"/>
      <c r="AN1518" s="3280"/>
      <c r="AZ1518" s="3041"/>
      <c r="BD1518" s="3281"/>
      <c r="BH1518" s="3282"/>
      <c r="BJ1518" s="2589"/>
      <c r="BK1518" s="2126"/>
      <c r="BL1518" s="2126"/>
      <c r="BM1518" s="2126"/>
      <c r="BN1518" s="2126"/>
      <c r="BO1518" s="2126"/>
      <c r="BP1518" s="2126"/>
      <c r="BQ1518" s="2126"/>
      <c r="BR1518" s="2126"/>
      <c r="BS1518" s="2126"/>
    </row>
    <row r="1519" spans="1:71" s="3030" customFormat="1">
      <c r="A1519" s="2126"/>
      <c r="B1519" s="2126"/>
      <c r="C1519" s="2149"/>
      <c r="D1519" s="3248"/>
      <c r="E1519" s="525"/>
      <c r="F1519" s="525"/>
      <c r="G1519" s="526"/>
      <c r="K1519" s="3280"/>
      <c r="P1519" s="3041"/>
      <c r="X1519" s="3280"/>
      <c r="AA1519" s="3041"/>
      <c r="AF1519" s="3041"/>
      <c r="AN1519" s="3280"/>
      <c r="AZ1519" s="3041"/>
      <c r="BD1519" s="3281"/>
      <c r="BH1519" s="3282"/>
      <c r="BJ1519" s="2589"/>
      <c r="BK1519" s="2126"/>
      <c r="BL1519" s="2126"/>
      <c r="BM1519" s="2126"/>
      <c r="BN1519" s="2126"/>
      <c r="BO1519" s="2126"/>
      <c r="BP1519" s="2126"/>
      <c r="BQ1519" s="2126"/>
      <c r="BR1519" s="2126"/>
      <c r="BS1519" s="2126"/>
    </row>
    <row r="1520" spans="1:71" s="3030" customFormat="1">
      <c r="A1520" s="2126"/>
      <c r="B1520" s="2126"/>
      <c r="C1520" s="2149"/>
      <c r="D1520" s="3248"/>
      <c r="E1520" s="525"/>
      <c r="F1520" s="525"/>
      <c r="G1520" s="526"/>
      <c r="K1520" s="3280"/>
      <c r="P1520" s="3041"/>
      <c r="X1520" s="3280"/>
      <c r="AA1520" s="3041"/>
      <c r="AF1520" s="3041"/>
      <c r="AN1520" s="3280"/>
      <c r="AZ1520" s="3041"/>
      <c r="BD1520" s="3281"/>
      <c r="BH1520" s="3282"/>
      <c r="BJ1520" s="2589"/>
      <c r="BK1520" s="2126"/>
      <c r="BL1520" s="2126"/>
      <c r="BM1520" s="2126"/>
      <c r="BN1520" s="2126"/>
      <c r="BO1520" s="2126"/>
      <c r="BP1520" s="2126"/>
      <c r="BQ1520" s="2126"/>
      <c r="BR1520" s="2126"/>
      <c r="BS1520" s="2126"/>
    </row>
    <row r="1521" spans="1:71" s="3030" customFormat="1">
      <c r="A1521" s="2126"/>
      <c r="B1521" s="2126"/>
      <c r="C1521" s="2149"/>
      <c r="D1521" s="3248"/>
      <c r="E1521" s="525"/>
      <c r="F1521" s="525"/>
      <c r="G1521" s="526"/>
      <c r="K1521" s="3280"/>
      <c r="P1521" s="3041"/>
      <c r="X1521" s="3280"/>
      <c r="AA1521" s="3041"/>
      <c r="AF1521" s="3041"/>
      <c r="AN1521" s="3280"/>
      <c r="AZ1521" s="3041"/>
      <c r="BD1521" s="3281"/>
      <c r="BH1521" s="3282"/>
      <c r="BJ1521" s="2589"/>
      <c r="BK1521" s="2126"/>
      <c r="BL1521" s="2126"/>
      <c r="BM1521" s="2126"/>
      <c r="BN1521" s="2126"/>
      <c r="BO1521" s="2126"/>
      <c r="BP1521" s="2126"/>
      <c r="BQ1521" s="2126"/>
      <c r="BR1521" s="2126"/>
      <c r="BS1521" s="2126"/>
    </row>
    <row r="1522" spans="1:71" s="3030" customFormat="1">
      <c r="A1522" s="2126"/>
      <c r="B1522" s="2126"/>
      <c r="C1522" s="2149"/>
      <c r="D1522" s="3248"/>
      <c r="E1522" s="525"/>
      <c r="F1522" s="525"/>
      <c r="G1522" s="526"/>
      <c r="K1522" s="3280"/>
      <c r="P1522" s="3041"/>
      <c r="X1522" s="3280"/>
      <c r="AA1522" s="3041"/>
      <c r="AF1522" s="3041"/>
      <c r="AN1522" s="3280"/>
      <c r="AZ1522" s="3041"/>
      <c r="BD1522" s="3281"/>
      <c r="BH1522" s="3282"/>
      <c r="BJ1522" s="2589"/>
      <c r="BK1522" s="2126"/>
      <c r="BL1522" s="2126"/>
      <c r="BM1522" s="2126"/>
      <c r="BN1522" s="2126"/>
      <c r="BO1522" s="2126"/>
      <c r="BP1522" s="2126"/>
      <c r="BQ1522" s="2126"/>
      <c r="BR1522" s="2126"/>
      <c r="BS1522" s="2126"/>
    </row>
    <row r="1523" spans="1:71" s="3030" customFormat="1">
      <c r="A1523" s="2126"/>
      <c r="B1523" s="2126"/>
      <c r="C1523" s="2149"/>
      <c r="D1523" s="3248"/>
      <c r="E1523" s="525"/>
      <c r="F1523" s="525"/>
      <c r="G1523" s="526"/>
      <c r="K1523" s="3280"/>
      <c r="P1523" s="3041"/>
      <c r="X1523" s="3280"/>
      <c r="AA1523" s="3041"/>
      <c r="AF1523" s="3041"/>
      <c r="AN1523" s="3280"/>
      <c r="AZ1523" s="3041"/>
      <c r="BD1523" s="3281"/>
      <c r="BH1523" s="3282"/>
      <c r="BJ1523" s="2589"/>
      <c r="BK1523" s="2126"/>
      <c r="BL1523" s="2126"/>
      <c r="BM1523" s="2126"/>
      <c r="BN1523" s="2126"/>
      <c r="BO1523" s="2126"/>
      <c r="BP1523" s="2126"/>
      <c r="BQ1523" s="2126"/>
      <c r="BR1523" s="2126"/>
      <c r="BS1523" s="2126"/>
    </row>
    <row r="1524" spans="1:71" s="3030" customFormat="1">
      <c r="A1524" s="2126"/>
      <c r="B1524" s="2126"/>
      <c r="C1524" s="2149"/>
      <c r="D1524" s="3248"/>
      <c r="E1524" s="525"/>
      <c r="F1524" s="525"/>
      <c r="G1524" s="526"/>
      <c r="K1524" s="3280"/>
      <c r="P1524" s="3041"/>
      <c r="X1524" s="3280"/>
      <c r="AA1524" s="3041"/>
      <c r="AF1524" s="3041"/>
      <c r="AN1524" s="3280"/>
      <c r="AZ1524" s="3041"/>
      <c r="BD1524" s="3281"/>
      <c r="BH1524" s="3282"/>
      <c r="BJ1524" s="2589"/>
      <c r="BK1524" s="2126"/>
      <c r="BL1524" s="2126"/>
      <c r="BM1524" s="2126"/>
      <c r="BN1524" s="2126"/>
      <c r="BO1524" s="2126"/>
      <c r="BP1524" s="2126"/>
      <c r="BQ1524" s="2126"/>
      <c r="BR1524" s="2126"/>
      <c r="BS1524" s="2126"/>
    </row>
    <row r="1525" spans="1:71" s="3030" customFormat="1">
      <c r="A1525" s="2126"/>
      <c r="B1525" s="2126"/>
      <c r="C1525" s="2149"/>
      <c r="D1525" s="3248"/>
      <c r="E1525" s="525"/>
      <c r="F1525" s="525"/>
      <c r="G1525" s="526"/>
      <c r="K1525" s="3280"/>
      <c r="P1525" s="3041"/>
      <c r="X1525" s="3280"/>
      <c r="AA1525" s="3041"/>
      <c r="AF1525" s="3041"/>
      <c r="AN1525" s="3280"/>
      <c r="AZ1525" s="3041"/>
      <c r="BD1525" s="3281"/>
      <c r="BH1525" s="3282"/>
      <c r="BJ1525" s="2589"/>
      <c r="BK1525" s="2126"/>
      <c r="BL1525" s="2126"/>
      <c r="BM1525" s="2126"/>
      <c r="BN1525" s="2126"/>
      <c r="BO1525" s="2126"/>
      <c r="BP1525" s="2126"/>
      <c r="BQ1525" s="2126"/>
      <c r="BR1525" s="2126"/>
      <c r="BS1525" s="2126"/>
    </row>
    <row r="1526" spans="1:71" s="3030" customFormat="1">
      <c r="A1526" s="2126"/>
      <c r="B1526" s="2126"/>
      <c r="C1526" s="2149"/>
      <c r="D1526" s="3248"/>
      <c r="E1526" s="525"/>
      <c r="F1526" s="525"/>
      <c r="G1526" s="526"/>
      <c r="K1526" s="3280"/>
      <c r="P1526" s="3041"/>
      <c r="X1526" s="3280"/>
      <c r="AA1526" s="3041"/>
      <c r="AF1526" s="3041"/>
      <c r="AN1526" s="3280"/>
      <c r="AZ1526" s="3041"/>
      <c r="BD1526" s="3281"/>
      <c r="BH1526" s="3282"/>
      <c r="BJ1526" s="2589"/>
      <c r="BK1526" s="2126"/>
      <c r="BL1526" s="2126"/>
      <c r="BM1526" s="2126"/>
      <c r="BN1526" s="2126"/>
      <c r="BO1526" s="2126"/>
      <c r="BP1526" s="2126"/>
      <c r="BQ1526" s="2126"/>
      <c r="BR1526" s="2126"/>
      <c r="BS1526" s="2126"/>
    </row>
    <row r="1527" spans="1:71" s="3030" customFormat="1">
      <c r="A1527" s="2126"/>
      <c r="B1527" s="2126"/>
      <c r="C1527" s="2149"/>
      <c r="D1527" s="3248"/>
      <c r="E1527" s="525"/>
      <c r="F1527" s="525"/>
      <c r="G1527" s="526"/>
      <c r="K1527" s="3280"/>
      <c r="P1527" s="3041"/>
      <c r="X1527" s="3280"/>
      <c r="AA1527" s="3041"/>
      <c r="AF1527" s="3041"/>
      <c r="AN1527" s="3280"/>
      <c r="AZ1527" s="3041"/>
      <c r="BD1527" s="3281"/>
      <c r="BH1527" s="3282"/>
      <c r="BJ1527" s="2589"/>
      <c r="BK1527" s="2126"/>
      <c r="BL1527" s="2126"/>
      <c r="BM1527" s="2126"/>
      <c r="BN1527" s="2126"/>
      <c r="BO1527" s="2126"/>
      <c r="BP1527" s="2126"/>
      <c r="BQ1527" s="2126"/>
      <c r="BR1527" s="2126"/>
      <c r="BS1527" s="2126"/>
    </row>
    <row r="1528" spans="1:71" s="3030" customFormat="1">
      <c r="A1528" s="2126"/>
      <c r="B1528" s="2126"/>
      <c r="C1528" s="2149"/>
      <c r="D1528" s="3248"/>
      <c r="E1528" s="525"/>
      <c r="F1528" s="525"/>
      <c r="G1528" s="526"/>
      <c r="K1528" s="3280"/>
      <c r="P1528" s="3041"/>
      <c r="X1528" s="3280"/>
      <c r="AA1528" s="3041"/>
      <c r="AF1528" s="3041"/>
      <c r="AN1528" s="3280"/>
      <c r="AZ1528" s="3041"/>
      <c r="BD1528" s="3281"/>
      <c r="BH1528" s="3282"/>
      <c r="BJ1528" s="2589"/>
      <c r="BK1528" s="2126"/>
      <c r="BL1528" s="2126"/>
      <c r="BM1528" s="2126"/>
      <c r="BN1528" s="2126"/>
      <c r="BO1528" s="2126"/>
      <c r="BP1528" s="2126"/>
      <c r="BQ1528" s="2126"/>
      <c r="BR1528" s="2126"/>
      <c r="BS1528" s="2126"/>
    </row>
    <row r="1529" spans="1:71" s="3030" customFormat="1">
      <c r="A1529" s="2126"/>
      <c r="B1529" s="2126"/>
      <c r="C1529" s="2149"/>
      <c r="D1529" s="3248"/>
      <c r="E1529" s="525"/>
      <c r="F1529" s="525"/>
      <c r="G1529" s="526"/>
      <c r="K1529" s="3280"/>
      <c r="P1529" s="3041"/>
      <c r="X1529" s="3280"/>
      <c r="AA1529" s="3041"/>
      <c r="AF1529" s="3041"/>
      <c r="AN1529" s="3280"/>
      <c r="AZ1529" s="3041"/>
      <c r="BD1529" s="3281"/>
      <c r="BH1529" s="3282"/>
      <c r="BJ1529" s="2589"/>
      <c r="BK1529" s="2126"/>
      <c r="BL1529" s="2126"/>
      <c r="BM1529" s="2126"/>
      <c r="BN1529" s="2126"/>
      <c r="BO1529" s="2126"/>
      <c r="BP1529" s="2126"/>
      <c r="BQ1529" s="2126"/>
      <c r="BR1529" s="2126"/>
      <c r="BS1529" s="2126"/>
    </row>
    <row r="1530" spans="1:71" s="3030" customFormat="1">
      <c r="A1530" s="2126"/>
      <c r="B1530" s="2126"/>
      <c r="C1530" s="2149"/>
      <c r="D1530" s="3248"/>
      <c r="E1530" s="525"/>
      <c r="F1530" s="525"/>
      <c r="G1530" s="526"/>
      <c r="K1530" s="3280"/>
      <c r="P1530" s="3041"/>
      <c r="X1530" s="3280"/>
      <c r="AA1530" s="3041"/>
      <c r="AF1530" s="3041"/>
      <c r="AN1530" s="3280"/>
      <c r="AZ1530" s="3041"/>
      <c r="BD1530" s="3281"/>
      <c r="BH1530" s="3282"/>
      <c r="BJ1530" s="2589"/>
      <c r="BK1530" s="2126"/>
      <c r="BL1530" s="2126"/>
      <c r="BM1530" s="2126"/>
      <c r="BN1530" s="2126"/>
      <c r="BO1530" s="2126"/>
      <c r="BP1530" s="2126"/>
      <c r="BQ1530" s="2126"/>
      <c r="BR1530" s="2126"/>
      <c r="BS1530" s="2126"/>
    </row>
    <row r="1531" spans="1:71" s="3030" customFormat="1">
      <c r="A1531" s="2126"/>
      <c r="B1531" s="2126"/>
      <c r="C1531" s="2149"/>
      <c r="D1531" s="3248"/>
      <c r="E1531" s="525"/>
      <c r="F1531" s="525"/>
      <c r="G1531" s="526"/>
      <c r="K1531" s="3280"/>
      <c r="P1531" s="3041"/>
      <c r="X1531" s="3280"/>
      <c r="AA1531" s="3041"/>
      <c r="AF1531" s="3041"/>
      <c r="AN1531" s="3280"/>
      <c r="AZ1531" s="3041"/>
      <c r="BD1531" s="3281"/>
      <c r="BH1531" s="3282"/>
      <c r="BJ1531" s="2589"/>
      <c r="BK1531" s="2126"/>
      <c r="BL1531" s="2126"/>
      <c r="BM1531" s="2126"/>
      <c r="BN1531" s="2126"/>
      <c r="BO1531" s="2126"/>
      <c r="BP1531" s="2126"/>
      <c r="BQ1531" s="2126"/>
      <c r="BR1531" s="2126"/>
      <c r="BS1531" s="2126"/>
    </row>
    <row r="1532" spans="1:71" s="3030" customFormat="1">
      <c r="A1532" s="2126"/>
      <c r="B1532" s="2126"/>
      <c r="C1532" s="2149"/>
      <c r="D1532" s="3248"/>
      <c r="E1532" s="525"/>
      <c r="F1532" s="525"/>
      <c r="G1532" s="526"/>
      <c r="K1532" s="3280"/>
      <c r="P1532" s="3041"/>
      <c r="X1532" s="3280"/>
      <c r="AA1532" s="3041"/>
      <c r="AF1532" s="3041"/>
      <c r="AN1532" s="3280"/>
      <c r="AZ1532" s="3041"/>
      <c r="BD1532" s="3281"/>
      <c r="BH1532" s="3282"/>
      <c r="BJ1532" s="2589"/>
      <c r="BK1532" s="2126"/>
      <c r="BL1532" s="2126"/>
      <c r="BM1532" s="2126"/>
      <c r="BN1532" s="2126"/>
      <c r="BO1532" s="2126"/>
      <c r="BP1532" s="2126"/>
      <c r="BQ1532" s="2126"/>
      <c r="BR1532" s="2126"/>
      <c r="BS1532" s="2126"/>
    </row>
    <row r="1533" spans="1:71" s="3030" customFormat="1">
      <c r="A1533" s="2126"/>
      <c r="B1533" s="2126"/>
      <c r="C1533" s="2149"/>
      <c r="D1533" s="3248"/>
      <c r="E1533" s="525"/>
      <c r="F1533" s="525"/>
      <c r="G1533" s="526"/>
      <c r="K1533" s="3280"/>
      <c r="P1533" s="3041"/>
      <c r="X1533" s="3280"/>
      <c r="AA1533" s="3041"/>
      <c r="AF1533" s="3041"/>
      <c r="AN1533" s="3280"/>
      <c r="AZ1533" s="3041"/>
      <c r="BD1533" s="3281"/>
      <c r="BH1533" s="3282"/>
      <c r="BJ1533" s="2589"/>
      <c r="BK1533" s="2126"/>
      <c r="BL1533" s="2126"/>
      <c r="BM1533" s="2126"/>
      <c r="BN1533" s="2126"/>
      <c r="BO1533" s="2126"/>
      <c r="BP1533" s="2126"/>
      <c r="BQ1533" s="2126"/>
      <c r="BR1533" s="2126"/>
      <c r="BS1533" s="2126"/>
    </row>
    <row r="1534" spans="1:71" s="3030" customFormat="1">
      <c r="A1534" s="2126"/>
      <c r="B1534" s="2126"/>
      <c r="C1534" s="2149"/>
      <c r="D1534" s="3248"/>
      <c r="E1534" s="525"/>
      <c r="F1534" s="525"/>
      <c r="G1534" s="526"/>
      <c r="K1534" s="3280"/>
      <c r="P1534" s="3041"/>
      <c r="X1534" s="3280"/>
      <c r="AA1534" s="3041"/>
      <c r="AF1534" s="3041"/>
      <c r="AN1534" s="3280"/>
      <c r="AZ1534" s="3041"/>
      <c r="BD1534" s="3281"/>
      <c r="BH1534" s="3282"/>
      <c r="BJ1534" s="2589"/>
      <c r="BK1534" s="2126"/>
      <c r="BL1534" s="2126"/>
      <c r="BM1534" s="2126"/>
      <c r="BN1534" s="2126"/>
      <c r="BO1534" s="2126"/>
      <c r="BP1534" s="2126"/>
      <c r="BQ1534" s="2126"/>
      <c r="BR1534" s="2126"/>
      <c r="BS1534" s="2126"/>
    </row>
    <row r="1535" spans="1:71" s="3030" customFormat="1">
      <c r="A1535" s="2126"/>
      <c r="B1535" s="2126"/>
      <c r="C1535" s="2149"/>
      <c r="D1535" s="3248"/>
      <c r="E1535" s="525"/>
      <c r="F1535" s="525"/>
      <c r="G1535" s="526"/>
      <c r="K1535" s="3280"/>
      <c r="P1535" s="3041"/>
      <c r="X1535" s="3280"/>
      <c r="AA1535" s="3041"/>
      <c r="AF1535" s="3041"/>
      <c r="AN1535" s="3280"/>
      <c r="AZ1535" s="3041"/>
      <c r="BD1535" s="3281"/>
      <c r="BH1535" s="3282"/>
      <c r="BJ1535" s="2589"/>
      <c r="BK1535" s="2126"/>
      <c r="BL1535" s="2126"/>
      <c r="BM1535" s="2126"/>
      <c r="BN1535" s="2126"/>
      <c r="BO1535" s="2126"/>
      <c r="BP1535" s="2126"/>
      <c r="BQ1535" s="2126"/>
      <c r="BR1535" s="2126"/>
      <c r="BS1535" s="2126"/>
    </row>
    <row r="1536" spans="1:71" s="3030" customFormat="1">
      <c r="A1536" s="2126"/>
      <c r="B1536" s="2126"/>
      <c r="C1536" s="2149"/>
      <c r="D1536" s="3248"/>
      <c r="E1536" s="525"/>
      <c r="F1536" s="525"/>
      <c r="G1536" s="526"/>
      <c r="K1536" s="3280"/>
      <c r="P1536" s="3041"/>
      <c r="X1536" s="3280"/>
      <c r="AA1536" s="3041"/>
      <c r="AF1536" s="3041"/>
      <c r="AN1536" s="3280"/>
      <c r="AZ1536" s="3041"/>
      <c r="BD1536" s="3281"/>
      <c r="BH1536" s="3282"/>
      <c r="BJ1536" s="2589"/>
      <c r="BK1536" s="2126"/>
      <c r="BL1536" s="2126"/>
      <c r="BM1536" s="2126"/>
      <c r="BN1536" s="2126"/>
      <c r="BO1536" s="2126"/>
      <c r="BP1536" s="2126"/>
      <c r="BQ1536" s="2126"/>
      <c r="BR1536" s="2126"/>
      <c r="BS1536" s="2126"/>
    </row>
    <row r="1537" spans="1:71" s="3030" customFormat="1">
      <c r="A1537" s="2126"/>
      <c r="B1537" s="2126"/>
      <c r="C1537" s="2149"/>
      <c r="D1537" s="3248"/>
      <c r="E1537" s="525"/>
      <c r="F1537" s="525"/>
      <c r="G1537" s="526"/>
      <c r="K1537" s="3280"/>
      <c r="P1537" s="3041"/>
      <c r="X1537" s="3280"/>
      <c r="AA1537" s="3041"/>
      <c r="AF1537" s="3041"/>
      <c r="AN1537" s="3280"/>
      <c r="AZ1537" s="3041"/>
      <c r="BD1537" s="3281"/>
      <c r="BH1537" s="3282"/>
      <c r="BJ1537" s="2589"/>
      <c r="BK1537" s="2126"/>
      <c r="BL1537" s="2126"/>
      <c r="BM1537" s="2126"/>
      <c r="BN1537" s="2126"/>
      <c r="BO1537" s="2126"/>
      <c r="BP1537" s="2126"/>
      <c r="BQ1537" s="2126"/>
      <c r="BR1537" s="2126"/>
      <c r="BS1537" s="2126"/>
    </row>
    <row r="1538" spans="1:71" s="3030" customFormat="1">
      <c r="A1538" s="2126"/>
      <c r="B1538" s="2126"/>
      <c r="C1538" s="2149"/>
      <c r="D1538" s="3248"/>
      <c r="E1538" s="525"/>
      <c r="F1538" s="525"/>
      <c r="G1538" s="526"/>
      <c r="K1538" s="3280"/>
      <c r="P1538" s="3041"/>
      <c r="X1538" s="3280"/>
      <c r="AA1538" s="3041"/>
      <c r="AF1538" s="3041"/>
      <c r="AN1538" s="3280"/>
      <c r="AZ1538" s="3041"/>
      <c r="BD1538" s="3281"/>
      <c r="BH1538" s="3282"/>
      <c r="BJ1538" s="2589"/>
      <c r="BK1538" s="2126"/>
      <c r="BL1538" s="2126"/>
      <c r="BM1538" s="2126"/>
      <c r="BN1538" s="2126"/>
      <c r="BO1538" s="2126"/>
      <c r="BP1538" s="2126"/>
      <c r="BQ1538" s="2126"/>
      <c r="BR1538" s="2126"/>
      <c r="BS1538" s="2126"/>
    </row>
    <row r="1539" spans="1:71" s="3030" customFormat="1">
      <c r="A1539" s="2126"/>
      <c r="B1539" s="2126"/>
      <c r="C1539" s="2149"/>
      <c r="D1539" s="3248"/>
      <c r="E1539" s="525"/>
      <c r="F1539" s="525"/>
      <c r="G1539" s="526"/>
      <c r="K1539" s="3280"/>
      <c r="P1539" s="3041"/>
      <c r="X1539" s="3280"/>
      <c r="AA1539" s="3041"/>
      <c r="AF1539" s="3041"/>
      <c r="AN1539" s="3280"/>
      <c r="AZ1539" s="3041"/>
      <c r="BD1539" s="3281"/>
      <c r="BH1539" s="3282"/>
      <c r="BJ1539" s="2589"/>
      <c r="BK1539" s="2126"/>
      <c r="BL1539" s="2126"/>
      <c r="BM1539" s="2126"/>
      <c r="BN1539" s="2126"/>
      <c r="BO1539" s="2126"/>
      <c r="BP1539" s="2126"/>
      <c r="BQ1539" s="2126"/>
      <c r="BR1539" s="2126"/>
      <c r="BS1539" s="2126"/>
    </row>
    <row r="1540" spans="1:71" s="3030" customFormat="1">
      <c r="A1540" s="2126"/>
      <c r="B1540" s="2126"/>
      <c r="C1540" s="2149"/>
      <c r="D1540" s="3248"/>
      <c r="E1540" s="525"/>
      <c r="F1540" s="525"/>
      <c r="G1540" s="526"/>
      <c r="K1540" s="3280"/>
      <c r="P1540" s="3041"/>
      <c r="X1540" s="3280"/>
      <c r="AA1540" s="3041"/>
      <c r="AF1540" s="3041"/>
      <c r="AN1540" s="3280"/>
      <c r="AZ1540" s="3041"/>
      <c r="BD1540" s="3281"/>
      <c r="BH1540" s="3282"/>
      <c r="BJ1540" s="2589"/>
      <c r="BK1540" s="2126"/>
      <c r="BL1540" s="2126"/>
      <c r="BM1540" s="2126"/>
      <c r="BN1540" s="2126"/>
      <c r="BO1540" s="2126"/>
      <c r="BP1540" s="2126"/>
      <c r="BQ1540" s="2126"/>
      <c r="BR1540" s="2126"/>
      <c r="BS1540" s="2126"/>
    </row>
    <row r="1541" spans="1:71" s="3030" customFormat="1">
      <c r="A1541" s="2126"/>
      <c r="B1541" s="2126"/>
      <c r="C1541" s="2149"/>
      <c r="D1541" s="3248"/>
      <c r="E1541" s="525"/>
      <c r="F1541" s="525"/>
      <c r="G1541" s="526"/>
      <c r="K1541" s="3280"/>
      <c r="P1541" s="3041"/>
      <c r="X1541" s="3280"/>
      <c r="AA1541" s="3041"/>
      <c r="AF1541" s="3041"/>
      <c r="AN1541" s="3280"/>
      <c r="AZ1541" s="3041"/>
      <c r="BD1541" s="3281"/>
      <c r="BH1541" s="3282"/>
      <c r="BJ1541" s="2589"/>
      <c r="BK1541" s="2126"/>
      <c r="BL1541" s="2126"/>
      <c r="BM1541" s="2126"/>
      <c r="BN1541" s="2126"/>
      <c r="BO1541" s="2126"/>
      <c r="BP1541" s="2126"/>
      <c r="BQ1541" s="2126"/>
      <c r="BR1541" s="2126"/>
      <c r="BS1541" s="2126"/>
    </row>
    <row r="1542" spans="1:71" s="3030" customFormat="1">
      <c r="A1542" s="2126"/>
      <c r="B1542" s="2126"/>
      <c r="C1542" s="2149"/>
      <c r="D1542" s="3248"/>
      <c r="E1542" s="525"/>
      <c r="F1542" s="525"/>
      <c r="G1542" s="526"/>
      <c r="K1542" s="3280"/>
      <c r="P1542" s="3041"/>
      <c r="X1542" s="3280"/>
      <c r="AA1542" s="3041"/>
      <c r="AF1542" s="3041"/>
      <c r="AN1542" s="3280"/>
      <c r="AZ1542" s="3041"/>
      <c r="BD1542" s="3281"/>
      <c r="BH1542" s="3282"/>
      <c r="BJ1542" s="2589"/>
      <c r="BK1542" s="2126"/>
      <c r="BL1542" s="2126"/>
      <c r="BM1542" s="2126"/>
      <c r="BN1542" s="2126"/>
      <c r="BO1542" s="2126"/>
      <c r="BP1542" s="2126"/>
      <c r="BQ1542" s="2126"/>
      <c r="BR1542" s="2126"/>
      <c r="BS1542" s="2126"/>
    </row>
    <row r="1543" spans="1:71" s="3030" customFormat="1">
      <c r="A1543" s="2126"/>
      <c r="B1543" s="2126"/>
      <c r="C1543" s="2149"/>
      <c r="D1543" s="3248"/>
      <c r="E1543" s="525"/>
      <c r="F1543" s="525"/>
      <c r="G1543" s="526"/>
      <c r="K1543" s="3280"/>
      <c r="P1543" s="3041"/>
      <c r="X1543" s="3280"/>
      <c r="AA1543" s="3041"/>
      <c r="AF1543" s="3041"/>
      <c r="AN1543" s="3280"/>
      <c r="AZ1543" s="3041"/>
      <c r="BD1543" s="3281"/>
      <c r="BH1543" s="3282"/>
      <c r="BJ1543" s="2589"/>
      <c r="BK1543" s="2126"/>
      <c r="BL1543" s="2126"/>
      <c r="BM1543" s="2126"/>
      <c r="BN1543" s="2126"/>
      <c r="BO1543" s="2126"/>
      <c r="BP1543" s="2126"/>
      <c r="BQ1543" s="2126"/>
      <c r="BR1543" s="2126"/>
      <c r="BS1543" s="2126"/>
    </row>
    <row r="1544" spans="1:71" s="3030" customFormat="1">
      <c r="A1544" s="2126"/>
      <c r="B1544" s="2126"/>
      <c r="C1544" s="2149"/>
      <c r="D1544" s="3248"/>
      <c r="E1544" s="525"/>
      <c r="F1544" s="525"/>
      <c r="G1544" s="526"/>
      <c r="K1544" s="3280"/>
      <c r="P1544" s="3041"/>
      <c r="X1544" s="3280"/>
      <c r="AA1544" s="3041"/>
      <c r="AF1544" s="3041"/>
      <c r="AN1544" s="3280"/>
      <c r="AZ1544" s="3041"/>
      <c r="BD1544" s="3281"/>
      <c r="BH1544" s="3282"/>
      <c r="BJ1544" s="2589"/>
      <c r="BK1544" s="2126"/>
      <c r="BL1544" s="2126"/>
      <c r="BM1544" s="2126"/>
      <c r="BN1544" s="2126"/>
      <c r="BO1544" s="2126"/>
      <c r="BP1544" s="2126"/>
      <c r="BQ1544" s="2126"/>
      <c r="BR1544" s="2126"/>
      <c r="BS1544" s="2126"/>
    </row>
    <row r="1545" spans="1:71" s="3030" customFormat="1">
      <c r="A1545" s="2126"/>
      <c r="B1545" s="2126"/>
      <c r="C1545" s="2149"/>
      <c r="D1545" s="3248"/>
      <c r="E1545" s="525"/>
      <c r="F1545" s="525"/>
      <c r="G1545" s="526"/>
      <c r="K1545" s="3280"/>
      <c r="P1545" s="3041"/>
      <c r="X1545" s="3280"/>
      <c r="AA1545" s="3041"/>
      <c r="AF1545" s="3041"/>
      <c r="AN1545" s="3280"/>
      <c r="AZ1545" s="3041"/>
      <c r="BD1545" s="3281"/>
      <c r="BH1545" s="3282"/>
      <c r="BJ1545" s="2589"/>
      <c r="BK1545" s="2126"/>
      <c r="BL1545" s="2126"/>
      <c r="BM1545" s="2126"/>
      <c r="BN1545" s="2126"/>
      <c r="BO1545" s="2126"/>
      <c r="BP1545" s="2126"/>
      <c r="BQ1545" s="2126"/>
      <c r="BR1545" s="2126"/>
      <c r="BS1545" s="2126"/>
    </row>
    <row r="1546" spans="1:71" s="3030" customFormat="1">
      <c r="A1546" s="2126"/>
      <c r="B1546" s="2126"/>
      <c r="C1546" s="2149"/>
      <c r="D1546" s="3248"/>
      <c r="E1546" s="525"/>
      <c r="F1546" s="525"/>
      <c r="G1546" s="526"/>
      <c r="K1546" s="3280"/>
      <c r="P1546" s="3041"/>
      <c r="X1546" s="3280"/>
      <c r="AA1546" s="3041"/>
      <c r="AF1546" s="3041"/>
      <c r="AN1546" s="3280"/>
      <c r="AZ1546" s="3041"/>
      <c r="BD1546" s="3281"/>
      <c r="BH1546" s="3282"/>
      <c r="BJ1546" s="2589"/>
      <c r="BK1546" s="2126"/>
      <c r="BL1546" s="2126"/>
      <c r="BM1546" s="2126"/>
      <c r="BN1546" s="2126"/>
      <c r="BO1546" s="2126"/>
      <c r="BP1546" s="2126"/>
      <c r="BQ1546" s="2126"/>
      <c r="BR1546" s="2126"/>
      <c r="BS1546" s="2126"/>
    </row>
    <row r="1547" spans="1:71" s="3030" customFormat="1">
      <c r="A1547" s="2126"/>
      <c r="B1547" s="2126"/>
      <c r="C1547" s="2149"/>
      <c r="D1547" s="3248"/>
      <c r="E1547" s="525"/>
      <c r="F1547" s="525"/>
      <c r="G1547" s="526"/>
      <c r="K1547" s="3280"/>
      <c r="P1547" s="3041"/>
      <c r="X1547" s="3280"/>
      <c r="AA1547" s="3041"/>
      <c r="AF1547" s="3041"/>
      <c r="AN1547" s="3280"/>
      <c r="AZ1547" s="3041"/>
      <c r="BD1547" s="3281"/>
      <c r="BH1547" s="3282"/>
      <c r="BJ1547" s="2589"/>
      <c r="BK1547" s="2126"/>
      <c r="BL1547" s="2126"/>
      <c r="BM1547" s="2126"/>
      <c r="BN1547" s="2126"/>
      <c r="BO1547" s="2126"/>
      <c r="BP1547" s="2126"/>
      <c r="BQ1547" s="2126"/>
      <c r="BR1547" s="2126"/>
      <c r="BS1547" s="2126"/>
    </row>
    <row r="1548" spans="1:71" s="3030" customFormat="1">
      <c r="A1548" s="2126"/>
      <c r="B1548" s="2126"/>
      <c r="C1548" s="2149"/>
      <c r="D1548" s="3248"/>
      <c r="E1548" s="525"/>
      <c r="F1548" s="525"/>
      <c r="G1548" s="526"/>
      <c r="K1548" s="3280"/>
      <c r="P1548" s="3041"/>
      <c r="X1548" s="3280"/>
      <c r="AA1548" s="3041"/>
      <c r="AF1548" s="3041"/>
      <c r="AN1548" s="3280"/>
      <c r="AZ1548" s="3041"/>
      <c r="BD1548" s="3281"/>
      <c r="BH1548" s="3282"/>
      <c r="BJ1548" s="2589"/>
      <c r="BK1548" s="2126"/>
      <c r="BL1548" s="2126"/>
      <c r="BM1548" s="2126"/>
      <c r="BN1548" s="2126"/>
      <c r="BO1548" s="2126"/>
      <c r="BP1548" s="2126"/>
      <c r="BQ1548" s="2126"/>
      <c r="BR1548" s="2126"/>
      <c r="BS1548" s="2126"/>
    </row>
    <row r="1549" spans="1:71" s="3030" customFormat="1">
      <c r="A1549" s="2126"/>
      <c r="B1549" s="2126"/>
      <c r="C1549" s="2149"/>
      <c r="D1549" s="3248"/>
      <c r="E1549" s="525"/>
      <c r="F1549" s="525"/>
      <c r="G1549" s="526"/>
      <c r="K1549" s="3280"/>
      <c r="P1549" s="3041"/>
      <c r="X1549" s="3280"/>
      <c r="AA1549" s="3041"/>
      <c r="AF1549" s="3041"/>
      <c r="AN1549" s="3280"/>
      <c r="AZ1549" s="3041"/>
      <c r="BD1549" s="3281"/>
      <c r="BH1549" s="3282"/>
      <c r="BJ1549" s="2589"/>
      <c r="BK1549" s="2126"/>
      <c r="BL1549" s="2126"/>
      <c r="BM1549" s="2126"/>
      <c r="BN1549" s="2126"/>
      <c r="BO1549" s="2126"/>
      <c r="BP1549" s="2126"/>
      <c r="BQ1549" s="2126"/>
      <c r="BR1549" s="2126"/>
      <c r="BS1549" s="2126"/>
    </row>
    <row r="1550" spans="1:71" s="3030" customFormat="1">
      <c r="A1550" s="2126"/>
      <c r="B1550" s="2126"/>
      <c r="C1550" s="2149"/>
      <c r="D1550" s="3248"/>
      <c r="E1550" s="525"/>
      <c r="F1550" s="525"/>
      <c r="G1550" s="526"/>
      <c r="K1550" s="3280"/>
      <c r="P1550" s="3041"/>
      <c r="X1550" s="3280"/>
      <c r="AA1550" s="3041"/>
      <c r="AF1550" s="3041"/>
      <c r="AN1550" s="3280"/>
      <c r="AZ1550" s="3041"/>
      <c r="BD1550" s="3281"/>
      <c r="BH1550" s="3282"/>
      <c r="BJ1550" s="2589"/>
      <c r="BK1550" s="2126"/>
      <c r="BL1550" s="2126"/>
      <c r="BM1550" s="2126"/>
      <c r="BN1550" s="2126"/>
      <c r="BO1550" s="2126"/>
      <c r="BP1550" s="2126"/>
      <c r="BQ1550" s="2126"/>
      <c r="BR1550" s="2126"/>
      <c r="BS1550" s="2126"/>
    </row>
    <row r="1551" spans="1:71" s="3030" customFormat="1">
      <c r="A1551" s="2126"/>
      <c r="B1551" s="2126"/>
      <c r="C1551" s="2149"/>
      <c r="D1551" s="3248"/>
      <c r="E1551" s="525"/>
      <c r="F1551" s="525"/>
      <c r="G1551" s="526"/>
      <c r="K1551" s="3280"/>
      <c r="P1551" s="3041"/>
      <c r="X1551" s="3280"/>
      <c r="AA1551" s="3041"/>
      <c r="AF1551" s="3041"/>
      <c r="AN1551" s="3280"/>
      <c r="AZ1551" s="3041"/>
      <c r="BD1551" s="3281"/>
      <c r="BH1551" s="3282"/>
      <c r="BJ1551" s="2589"/>
      <c r="BK1551" s="2126"/>
      <c r="BL1551" s="2126"/>
      <c r="BM1551" s="2126"/>
      <c r="BN1551" s="2126"/>
      <c r="BO1551" s="2126"/>
      <c r="BP1551" s="2126"/>
      <c r="BQ1551" s="2126"/>
      <c r="BR1551" s="2126"/>
      <c r="BS1551" s="2126"/>
    </row>
    <row r="1552" spans="1:71" s="3030" customFormat="1">
      <c r="A1552" s="2126"/>
      <c r="B1552" s="2126"/>
      <c r="C1552" s="2149"/>
      <c r="D1552" s="3248"/>
      <c r="E1552" s="525"/>
      <c r="F1552" s="525"/>
      <c r="G1552" s="526"/>
      <c r="K1552" s="3280"/>
      <c r="P1552" s="3041"/>
      <c r="X1552" s="3280"/>
      <c r="AA1552" s="3041"/>
      <c r="AF1552" s="3041"/>
      <c r="AN1552" s="3280"/>
      <c r="AZ1552" s="3041"/>
      <c r="BD1552" s="3281"/>
      <c r="BH1552" s="3282"/>
      <c r="BJ1552" s="2589"/>
      <c r="BK1552" s="2126"/>
      <c r="BL1552" s="2126"/>
      <c r="BM1552" s="2126"/>
      <c r="BN1552" s="2126"/>
      <c r="BO1552" s="2126"/>
      <c r="BP1552" s="2126"/>
      <c r="BQ1552" s="2126"/>
      <c r="BR1552" s="2126"/>
      <c r="BS1552" s="2126"/>
    </row>
    <row r="1553" spans="1:71" s="3030" customFormat="1">
      <c r="A1553" s="2126"/>
      <c r="B1553" s="2126"/>
      <c r="C1553" s="2149"/>
      <c r="D1553" s="3248"/>
      <c r="E1553" s="525"/>
      <c r="F1553" s="525"/>
      <c r="G1553" s="526"/>
      <c r="K1553" s="3280"/>
      <c r="P1553" s="3041"/>
      <c r="X1553" s="3280"/>
      <c r="AA1553" s="3041"/>
      <c r="AF1553" s="3041"/>
      <c r="AN1553" s="3280"/>
      <c r="AZ1553" s="3041"/>
      <c r="BD1553" s="3281"/>
      <c r="BH1553" s="3282"/>
      <c r="BJ1553" s="2589"/>
      <c r="BK1553" s="2126"/>
      <c r="BL1553" s="2126"/>
      <c r="BM1553" s="2126"/>
      <c r="BN1553" s="2126"/>
      <c r="BO1553" s="2126"/>
      <c r="BP1553" s="2126"/>
      <c r="BQ1553" s="2126"/>
      <c r="BR1553" s="2126"/>
      <c r="BS1553" s="2126"/>
    </row>
    <row r="1554" spans="1:71" s="3030" customFormat="1">
      <c r="A1554" s="2126"/>
      <c r="B1554" s="2126"/>
      <c r="C1554" s="2149"/>
      <c r="D1554" s="3248"/>
      <c r="E1554" s="525"/>
      <c r="F1554" s="525"/>
      <c r="G1554" s="526"/>
      <c r="K1554" s="3280"/>
      <c r="P1554" s="3041"/>
      <c r="X1554" s="3280"/>
      <c r="AA1554" s="3041"/>
      <c r="AF1554" s="3041"/>
      <c r="AN1554" s="3280"/>
      <c r="AZ1554" s="3041"/>
      <c r="BD1554" s="3281"/>
      <c r="BH1554" s="3282"/>
      <c r="BJ1554" s="2589"/>
      <c r="BK1554" s="2126"/>
      <c r="BL1554" s="2126"/>
      <c r="BM1554" s="2126"/>
      <c r="BN1554" s="2126"/>
      <c r="BO1554" s="2126"/>
      <c r="BP1554" s="2126"/>
      <c r="BQ1554" s="2126"/>
      <c r="BR1554" s="2126"/>
      <c r="BS1554" s="2126"/>
    </row>
    <row r="1555" spans="1:71" s="3030" customFormat="1">
      <c r="A1555" s="2126"/>
      <c r="B1555" s="2126"/>
      <c r="C1555" s="2149"/>
      <c r="D1555" s="3248"/>
      <c r="E1555" s="525"/>
      <c r="F1555" s="525"/>
      <c r="G1555" s="526"/>
      <c r="K1555" s="3280"/>
      <c r="P1555" s="3041"/>
      <c r="X1555" s="3280"/>
      <c r="AA1555" s="3041"/>
      <c r="AF1555" s="3041"/>
      <c r="AN1555" s="3280"/>
      <c r="AZ1555" s="3041"/>
      <c r="BD1555" s="3281"/>
      <c r="BH1555" s="3282"/>
      <c r="BJ1555" s="2589"/>
      <c r="BK1555" s="2126"/>
      <c r="BL1555" s="2126"/>
      <c r="BM1555" s="2126"/>
      <c r="BN1555" s="2126"/>
      <c r="BO1555" s="2126"/>
      <c r="BP1555" s="2126"/>
      <c r="BQ1555" s="2126"/>
      <c r="BR1555" s="2126"/>
      <c r="BS1555" s="2126"/>
    </row>
    <row r="1556" spans="1:71" s="3030" customFormat="1">
      <c r="A1556" s="2126"/>
      <c r="B1556" s="2126"/>
      <c r="C1556" s="2149"/>
      <c r="D1556" s="3248"/>
      <c r="E1556" s="525"/>
      <c r="F1556" s="525"/>
      <c r="G1556" s="526"/>
      <c r="K1556" s="3280"/>
      <c r="P1556" s="3041"/>
      <c r="X1556" s="3280"/>
      <c r="AA1556" s="3041"/>
      <c r="AF1556" s="3041"/>
      <c r="AN1556" s="3280"/>
      <c r="AZ1556" s="3041"/>
      <c r="BD1556" s="3281"/>
      <c r="BH1556" s="3282"/>
      <c r="BJ1556" s="2589"/>
      <c r="BK1556" s="2126"/>
      <c r="BL1556" s="2126"/>
      <c r="BM1556" s="2126"/>
      <c r="BN1556" s="2126"/>
      <c r="BO1556" s="2126"/>
      <c r="BP1556" s="2126"/>
      <c r="BQ1556" s="2126"/>
      <c r="BR1556" s="2126"/>
      <c r="BS1556" s="2126"/>
    </row>
    <row r="1557" spans="1:71" s="3030" customFormat="1">
      <c r="A1557" s="2126"/>
      <c r="B1557" s="2126"/>
      <c r="C1557" s="2149"/>
      <c r="D1557" s="3248"/>
      <c r="E1557" s="525"/>
      <c r="F1557" s="525"/>
      <c r="G1557" s="526"/>
      <c r="K1557" s="3280"/>
      <c r="P1557" s="3041"/>
      <c r="X1557" s="3280"/>
      <c r="AA1557" s="3041"/>
      <c r="AF1557" s="3041"/>
      <c r="AN1557" s="3280"/>
      <c r="AZ1557" s="3041"/>
      <c r="BD1557" s="3281"/>
      <c r="BH1557" s="3282"/>
      <c r="BJ1557" s="2589"/>
      <c r="BK1557" s="2126"/>
      <c r="BL1557" s="2126"/>
      <c r="BM1557" s="2126"/>
      <c r="BN1557" s="2126"/>
      <c r="BO1557" s="2126"/>
      <c r="BP1557" s="2126"/>
      <c r="BQ1557" s="2126"/>
      <c r="BR1557" s="2126"/>
      <c r="BS1557" s="2126"/>
    </row>
    <row r="1558" spans="1:71" s="3030" customFormat="1">
      <c r="A1558" s="2126"/>
      <c r="B1558" s="2126"/>
      <c r="C1558" s="2149"/>
      <c r="D1558" s="3248"/>
      <c r="E1558" s="525"/>
      <c r="F1558" s="525"/>
      <c r="G1558" s="526"/>
      <c r="K1558" s="3280"/>
      <c r="P1558" s="3041"/>
      <c r="X1558" s="3280"/>
      <c r="AA1558" s="3041"/>
      <c r="AF1558" s="3041"/>
      <c r="AN1558" s="3280"/>
      <c r="AZ1558" s="3041"/>
      <c r="BD1558" s="3281"/>
      <c r="BH1558" s="3282"/>
      <c r="BJ1558" s="2589"/>
      <c r="BK1558" s="2126"/>
      <c r="BL1558" s="2126"/>
      <c r="BM1558" s="2126"/>
      <c r="BN1558" s="2126"/>
      <c r="BO1558" s="2126"/>
      <c r="BP1558" s="2126"/>
      <c r="BQ1558" s="2126"/>
      <c r="BR1558" s="2126"/>
      <c r="BS1558" s="2126"/>
    </row>
    <row r="1559" spans="1:71" s="3030" customFormat="1">
      <c r="A1559" s="2126"/>
      <c r="B1559" s="2126"/>
      <c r="C1559" s="2149"/>
      <c r="D1559" s="3248"/>
      <c r="E1559" s="525"/>
      <c r="F1559" s="525"/>
      <c r="G1559" s="526"/>
      <c r="K1559" s="3280"/>
      <c r="P1559" s="3041"/>
      <c r="X1559" s="3280"/>
      <c r="AA1559" s="3041"/>
      <c r="AF1559" s="3041"/>
      <c r="AN1559" s="3280"/>
      <c r="AZ1559" s="3041"/>
      <c r="BD1559" s="3281"/>
      <c r="BH1559" s="3282"/>
      <c r="BJ1559" s="2589"/>
      <c r="BK1559" s="2126"/>
      <c r="BL1559" s="2126"/>
      <c r="BM1559" s="2126"/>
      <c r="BN1559" s="2126"/>
      <c r="BO1559" s="2126"/>
      <c r="BP1559" s="2126"/>
      <c r="BQ1559" s="2126"/>
      <c r="BR1559" s="2126"/>
      <c r="BS1559" s="2126"/>
    </row>
    <row r="1560" spans="1:71" s="3030" customFormat="1">
      <c r="A1560" s="2126"/>
      <c r="B1560" s="2126"/>
      <c r="C1560" s="2149"/>
      <c r="D1560" s="3248"/>
      <c r="E1560" s="525"/>
      <c r="F1560" s="525"/>
      <c r="G1560" s="526"/>
      <c r="K1560" s="3280"/>
      <c r="P1560" s="3041"/>
      <c r="X1560" s="3280"/>
      <c r="AA1560" s="3041"/>
      <c r="AF1560" s="3041"/>
      <c r="AN1560" s="3280"/>
      <c r="AZ1560" s="3041"/>
      <c r="BD1560" s="3281"/>
      <c r="BH1560" s="3282"/>
      <c r="BJ1560" s="2589"/>
      <c r="BK1560" s="2126"/>
      <c r="BL1560" s="2126"/>
      <c r="BM1560" s="2126"/>
      <c r="BN1560" s="2126"/>
      <c r="BO1560" s="2126"/>
      <c r="BP1560" s="2126"/>
      <c r="BQ1560" s="2126"/>
      <c r="BR1560" s="2126"/>
      <c r="BS1560" s="2126"/>
    </row>
    <row r="1561" spans="1:71" s="3030" customFormat="1">
      <c r="A1561" s="2126"/>
      <c r="B1561" s="2126"/>
      <c r="C1561" s="2149"/>
      <c r="D1561" s="3248"/>
      <c r="E1561" s="525"/>
      <c r="F1561" s="525"/>
      <c r="G1561" s="526"/>
      <c r="K1561" s="3280"/>
      <c r="P1561" s="3041"/>
      <c r="X1561" s="3280"/>
      <c r="AA1561" s="3041"/>
      <c r="AF1561" s="3041"/>
      <c r="AN1561" s="3280"/>
      <c r="AZ1561" s="3041"/>
      <c r="BD1561" s="3281"/>
      <c r="BH1561" s="3282"/>
      <c r="BJ1561" s="2589"/>
      <c r="BK1561" s="2126"/>
      <c r="BL1561" s="2126"/>
      <c r="BM1561" s="2126"/>
      <c r="BN1561" s="2126"/>
      <c r="BO1561" s="2126"/>
      <c r="BP1561" s="2126"/>
      <c r="BQ1561" s="2126"/>
      <c r="BR1561" s="2126"/>
      <c r="BS1561" s="2126"/>
    </row>
    <row r="1562" spans="1:71" s="3030" customFormat="1">
      <c r="A1562" s="2126"/>
      <c r="B1562" s="2126"/>
      <c r="C1562" s="2149"/>
      <c r="D1562" s="3248"/>
      <c r="E1562" s="525"/>
      <c r="F1562" s="525"/>
      <c r="G1562" s="526"/>
      <c r="K1562" s="3280"/>
      <c r="P1562" s="3041"/>
      <c r="X1562" s="3280"/>
      <c r="AA1562" s="3041"/>
      <c r="AF1562" s="3041"/>
      <c r="AN1562" s="3280"/>
      <c r="AZ1562" s="3041"/>
      <c r="BD1562" s="3281"/>
      <c r="BH1562" s="3282"/>
      <c r="BJ1562" s="2589"/>
      <c r="BK1562" s="2126"/>
      <c r="BL1562" s="2126"/>
      <c r="BM1562" s="2126"/>
      <c r="BN1562" s="2126"/>
      <c r="BO1562" s="2126"/>
      <c r="BP1562" s="2126"/>
      <c r="BQ1562" s="2126"/>
      <c r="BR1562" s="2126"/>
      <c r="BS1562" s="2126"/>
    </row>
    <row r="1563" spans="1:71" s="3030" customFormat="1">
      <c r="A1563" s="2126"/>
      <c r="B1563" s="2126"/>
      <c r="C1563" s="2149"/>
      <c r="D1563" s="3248"/>
      <c r="E1563" s="525"/>
      <c r="F1563" s="525"/>
      <c r="G1563" s="526"/>
      <c r="K1563" s="3280"/>
      <c r="P1563" s="3041"/>
      <c r="X1563" s="3280"/>
      <c r="AA1563" s="3041"/>
      <c r="AF1563" s="3041"/>
      <c r="AN1563" s="3280"/>
      <c r="AZ1563" s="3041"/>
      <c r="BD1563" s="3281"/>
      <c r="BH1563" s="3282"/>
      <c r="BJ1563" s="2589"/>
      <c r="BK1563" s="2126"/>
      <c r="BL1563" s="2126"/>
      <c r="BM1563" s="2126"/>
      <c r="BN1563" s="2126"/>
      <c r="BO1563" s="2126"/>
      <c r="BP1563" s="2126"/>
      <c r="BQ1563" s="2126"/>
      <c r="BR1563" s="2126"/>
      <c r="BS1563" s="2126"/>
    </row>
    <row r="1564" spans="1:71" s="3030" customFormat="1">
      <c r="A1564" s="2126"/>
      <c r="B1564" s="2126"/>
      <c r="C1564" s="2149"/>
      <c r="D1564" s="3248"/>
      <c r="E1564" s="525"/>
      <c r="F1564" s="525"/>
      <c r="G1564" s="526"/>
      <c r="K1564" s="3280"/>
      <c r="P1564" s="3041"/>
      <c r="X1564" s="3280"/>
      <c r="AA1564" s="3041"/>
      <c r="AF1564" s="3041"/>
      <c r="AN1564" s="3280"/>
      <c r="AZ1564" s="3041"/>
      <c r="BD1564" s="3281"/>
      <c r="BH1564" s="3282"/>
      <c r="BJ1564" s="2589"/>
      <c r="BK1564" s="2126"/>
      <c r="BL1564" s="2126"/>
      <c r="BM1564" s="2126"/>
      <c r="BN1564" s="2126"/>
      <c r="BO1564" s="2126"/>
      <c r="BP1564" s="2126"/>
      <c r="BQ1564" s="2126"/>
      <c r="BR1564" s="2126"/>
      <c r="BS1564" s="2126"/>
    </row>
    <row r="1565" spans="1:71" s="3030" customFormat="1">
      <c r="A1565" s="2126"/>
      <c r="B1565" s="2126"/>
      <c r="C1565" s="2149"/>
      <c r="D1565" s="3248"/>
      <c r="E1565" s="525"/>
      <c r="F1565" s="525"/>
      <c r="G1565" s="526"/>
      <c r="K1565" s="3280"/>
      <c r="P1565" s="3041"/>
      <c r="X1565" s="3280"/>
      <c r="AA1565" s="3041"/>
      <c r="AF1565" s="3041"/>
      <c r="AN1565" s="3280"/>
      <c r="AZ1565" s="3041"/>
      <c r="BD1565" s="3281"/>
      <c r="BH1565" s="3282"/>
      <c r="BJ1565" s="2589"/>
      <c r="BK1565" s="2126"/>
      <c r="BL1565" s="2126"/>
      <c r="BM1565" s="2126"/>
      <c r="BN1565" s="2126"/>
      <c r="BO1565" s="2126"/>
      <c r="BP1565" s="2126"/>
      <c r="BQ1565" s="2126"/>
      <c r="BR1565" s="2126"/>
      <c r="BS1565" s="2126"/>
    </row>
    <row r="1566" spans="1:71" s="3030" customFormat="1">
      <c r="A1566" s="2126"/>
      <c r="B1566" s="2126"/>
      <c r="C1566" s="2149"/>
      <c r="D1566" s="3248"/>
      <c r="E1566" s="525"/>
      <c r="F1566" s="525"/>
      <c r="G1566" s="526"/>
      <c r="K1566" s="3280"/>
      <c r="P1566" s="3041"/>
      <c r="X1566" s="3280"/>
      <c r="AA1566" s="3041"/>
      <c r="AF1566" s="3041"/>
      <c r="AN1566" s="3280"/>
      <c r="AZ1566" s="3041"/>
      <c r="BD1566" s="3281"/>
      <c r="BH1566" s="3282"/>
      <c r="BJ1566" s="2589"/>
      <c r="BK1566" s="2126"/>
      <c r="BL1566" s="2126"/>
      <c r="BM1566" s="2126"/>
      <c r="BN1566" s="2126"/>
      <c r="BO1566" s="2126"/>
      <c r="BP1566" s="2126"/>
      <c r="BQ1566" s="2126"/>
      <c r="BR1566" s="2126"/>
      <c r="BS1566" s="2126"/>
    </row>
    <row r="1567" spans="1:71" s="3030" customFormat="1">
      <c r="A1567" s="2126"/>
      <c r="B1567" s="2126"/>
      <c r="C1567" s="2149"/>
      <c r="D1567" s="3248"/>
      <c r="E1567" s="525"/>
      <c r="F1567" s="525"/>
      <c r="G1567" s="526"/>
      <c r="K1567" s="3280"/>
      <c r="P1567" s="3041"/>
      <c r="X1567" s="3280"/>
      <c r="AA1567" s="3041"/>
      <c r="AF1567" s="3041"/>
      <c r="AN1567" s="3280"/>
      <c r="AZ1567" s="3041"/>
      <c r="BD1567" s="3281"/>
      <c r="BH1567" s="3282"/>
      <c r="BJ1567" s="2589"/>
      <c r="BK1567" s="2126"/>
      <c r="BL1567" s="2126"/>
      <c r="BM1567" s="2126"/>
      <c r="BN1567" s="2126"/>
      <c r="BO1567" s="2126"/>
      <c r="BP1567" s="2126"/>
      <c r="BQ1567" s="2126"/>
      <c r="BR1567" s="2126"/>
      <c r="BS1567" s="2126"/>
    </row>
    <row r="1568" spans="1:71" s="3030" customFormat="1">
      <c r="A1568" s="2126"/>
      <c r="B1568" s="2126"/>
      <c r="C1568" s="2149"/>
      <c r="D1568" s="3248"/>
      <c r="E1568" s="525"/>
      <c r="F1568" s="525"/>
      <c r="G1568" s="526"/>
      <c r="K1568" s="3280"/>
      <c r="P1568" s="3041"/>
      <c r="X1568" s="3280"/>
      <c r="AA1568" s="3041"/>
      <c r="AF1568" s="3041"/>
      <c r="AN1568" s="3280"/>
      <c r="AZ1568" s="3041"/>
      <c r="BD1568" s="3281"/>
      <c r="BH1568" s="3282"/>
      <c r="BJ1568" s="2589"/>
      <c r="BK1568" s="2126"/>
      <c r="BL1568" s="2126"/>
      <c r="BM1568" s="2126"/>
      <c r="BN1568" s="2126"/>
      <c r="BO1568" s="2126"/>
      <c r="BP1568" s="2126"/>
      <c r="BQ1568" s="2126"/>
      <c r="BR1568" s="2126"/>
      <c r="BS1568" s="2126"/>
    </row>
    <row r="1569" spans="1:71" s="3030" customFormat="1">
      <c r="A1569" s="2126"/>
      <c r="B1569" s="2126"/>
      <c r="C1569" s="2149"/>
      <c r="D1569" s="3248"/>
      <c r="E1569" s="525"/>
      <c r="F1569" s="525"/>
      <c r="G1569" s="526"/>
      <c r="K1569" s="3280"/>
      <c r="P1569" s="3041"/>
      <c r="X1569" s="3280"/>
      <c r="AA1569" s="3041"/>
      <c r="AF1569" s="3041"/>
      <c r="AN1569" s="3280"/>
      <c r="AZ1569" s="3041"/>
      <c r="BD1569" s="3281"/>
      <c r="BH1569" s="3282"/>
      <c r="BJ1569" s="2589"/>
      <c r="BK1569" s="2126"/>
      <c r="BL1569" s="2126"/>
      <c r="BM1569" s="2126"/>
      <c r="BN1569" s="2126"/>
      <c r="BO1569" s="2126"/>
      <c r="BP1569" s="2126"/>
      <c r="BQ1569" s="2126"/>
      <c r="BR1569" s="2126"/>
      <c r="BS1569" s="2126"/>
    </row>
    <row r="1570" spans="1:71" s="3030" customFormat="1">
      <c r="A1570" s="2126"/>
      <c r="B1570" s="2126"/>
      <c r="C1570" s="2149"/>
      <c r="D1570" s="3248"/>
      <c r="E1570" s="525"/>
      <c r="F1570" s="525"/>
      <c r="G1570" s="526"/>
      <c r="K1570" s="3280"/>
      <c r="P1570" s="3041"/>
      <c r="X1570" s="3280"/>
      <c r="AA1570" s="3041"/>
      <c r="AF1570" s="3041"/>
      <c r="AN1570" s="3280"/>
      <c r="AZ1570" s="3041"/>
      <c r="BD1570" s="3281"/>
      <c r="BH1570" s="3282"/>
      <c r="BJ1570" s="2589"/>
      <c r="BK1570" s="2126"/>
      <c r="BL1570" s="2126"/>
      <c r="BM1570" s="2126"/>
      <c r="BN1570" s="2126"/>
      <c r="BO1570" s="2126"/>
      <c r="BP1570" s="2126"/>
      <c r="BQ1570" s="2126"/>
      <c r="BR1570" s="2126"/>
      <c r="BS1570" s="2126"/>
    </row>
    <row r="1571" spans="1:71" s="3030" customFormat="1">
      <c r="A1571" s="2126"/>
      <c r="B1571" s="2126"/>
      <c r="C1571" s="2149"/>
      <c r="D1571" s="3248"/>
      <c r="E1571" s="525"/>
      <c r="F1571" s="525"/>
      <c r="G1571" s="526"/>
      <c r="K1571" s="3280"/>
      <c r="P1571" s="3041"/>
      <c r="X1571" s="3280"/>
      <c r="AA1571" s="3041"/>
      <c r="AF1571" s="3041"/>
      <c r="AN1571" s="3280"/>
      <c r="AZ1571" s="3041"/>
      <c r="BD1571" s="3281"/>
      <c r="BH1571" s="3282"/>
      <c r="BJ1571" s="2589"/>
      <c r="BK1571" s="2126"/>
      <c r="BL1571" s="2126"/>
      <c r="BM1571" s="2126"/>
      <c r="BN1571" s="2126"/>
      <c r="BO1571" s="2126"/>
      <c r="BP1571" s="2126"/>
      <c r="BQ1571" s="2126"/>
      <c r="BR1571" s="2126"/>
      <c r="BS1571" s="2126"/>
    </row>
    <row r="1572" spans="1:71" s="3030" customFormat="1">
      <c r="A1572" s="2126"/>
      <c r="B1572" s="2126"/>
      <c r="C1572" s="2149"/>
      <c r="D1572" s="3248"/>
      <c r="E1572" s="525"/>
      <c r="F1572" s="525"/>
      <c r="G1572" s="526"/>
      <c r="K1572" s="3280"/>
      <c r="P1572" s="3041"/>
      <c r="X1572" s="3280"/>
      <c r="AA1572" s="3041"/>
      <c r="AF1572" s="3041"/>
      <c r="AN1572" s="3280"/>
      <c r="AZ1572" s="3041"/>
      <c r="BD1572" s="3281"/>
      <c r="BH1572" s="3282"/>
      <c r="BJ1572" s="2589"/>
      <c r="BK1572" s="2126"/>
      <c r="BL1572" s="2126"/>
      <c r="BM1572" s="2126"/>
      <c r="BN1572" s="2126"/>
      <c r="BO1572" s="2126"/>
      <c r="BP1572" s="2126"/>
      <c r="BQ1572" s="2126"/>
      <c r="BR1572" s="2126"/>
      <c r="BS1572" s="2126"/>
    </row>
    <row r="1573" spans="1:71" s="3030" customFormat="1">
      <c r="A1573" s="2126"/>
      <c r="B1573" s="2126"/>
      <c r="C1573" s="2149"/>
      <c r="D1573" s="3248"/>
      <c r="E1573" s="525"/>
      <c r="F1573" s="525"/>
      <c r="G1573" s="526"/>
      <c r="K1573" s="3280"/>
      <c r="P1573" s="3041"/>
      <c r="X1573" s="3280"/>
      <c r="AA1573" s="3041"/>
      <c r="AF1573" s="3041"/>
      <c r="AN1573" s="3280"/>
      <c r="AZ1573" s="3041"/>
      <c r="BD1573" s="3281"/>
      <c r="BH1573" s="3282"/>
      <c r="BJ1573" s="2589"/>
      <c r="BK1573" s="2126"/>
      <c r="BL1573" s="2126"/>
      <c r="BM1573" s="2126"/>
      <c r="BN1573" s="2126"/>
      <c r="BO1573" s="2126"/>
      <c r="BP1573" s="2126"/>
      <c r="BQ1573" s="2126"/>
      <c r="BR1573" s="2126"/>
      <c r="BS1573" s="2126"/>
    </row>
    <row r="1574" spans="1:71" s="3030" customFormat="1">
      <c r="A1574" s="2126"/>
      <c r="B1574" s="2126"/>
      <c r="C1574" s="2149"/>
      <c r="D1574" s="3248"/>
      <c r="E1574" s="525"/>
      <c r="F1574" s="525"/>
      <c r="G1574" s="526"/>
      <c r="K1574" s="3280"/>
      <c r="P1574" s="3041"/>
      <c r="X1574" s="3280"/>
      <c r="AA1574" s="3041"/>
      <c r="AF1574" s="3041"/>
      <c r="AN1574" s="3280"/>
      <c r="AZ1574" s="3041"/>
      <c r="BD1574" s="3281"/>
      <c r="BH1574" s="3282"/>
      <c r="BJ1574" s="2589"/>
      <c r="BK1574" s="2126"/>
      <c r="BL1574" s="2126"/>
      <c r="BM1574" s="2126"/>
      <c r="BN1574" s="2126"/>
      <c r="BO1574" s="2126"/>
      <c r="BP1574" s="2126"/>
      <c r="BQ1574" s="2126"/>
      <c r="BR1574" s="2126"/>
      <c r="BS1574" s="2126"/>
    </row>
    <row r="1575" spans="1:71" s="3030" customFormat="1">
      <c r="A1575" s="2126"/>
      <c r="B1575" s="2126"/>
      <c r="C1575" s="2149"/>
      <c r="D1575" s="3248"/>
      <c r="E1575" s="525"/>
      <c r="F1575" s="525"/>
      <c r="G1575" s="526"/>
      <c r="K1575" s="3280"/>
      <c r="P1575" s="3041"/>
      <c r="X1575" s="3280"/>
      <c r="AA1575" s="3041"/>
      <c r="AF1575" s="3041"/>
      <c r="AN1575" s="3280"/>
      <c r="AZ1575" s="3041"/>
      <c r="BD1575" s="3281"/>
      <c r="BH1575" s="3282"/>
      <c r="BJ1575" s="2589"/>
      <c r="BK1575" s="2126"/>
      <c r="BL1575" s="2126"/>
      <c r="BM1575" s="2126"/>
      <c r="BN1575" s="2126"/>
      <c r="BO1575" s="2126"/>
      <c r="BP1575" s="2126"/>
      <c r="BQ1575" s="2126"/>
      <c r="BR1575" s="2126"/>
      <c r="BS1575" s="2126"/>
    </row>
    <row r="1576" spans="1:71" s="3030" customFormat="1">
      <c r="A1576" s="2126"/>
      <c r="B1576" s="2126"/>
      <c r="C1576" s="2149"/>
      <c r="D1576" s="3248"/>
      <c r="E1576" s="525"/>
      <c r="F1576" s="525"/>
      <c r="G1576" s="526"/>
      <c r="K1576" s="3280"/>
      <c r="P1576" s="3041"/>
      <c r="X1576" s="3280"/>
      <c r="AA1576" s="3041"/>
      <c r="AF1576" s="3041"/>
      <c r="AN1576" s="3280"/>
      <c r="AZ1576" s="3041"/>
      <c r="BD1576" s="3281"/>
      <c r="BH1576" s="3282"/>
      <c r="BJ1576" s="2589"/>
      <c r="BK1576" s="2126"/>
      <c r="BL1576" s="2126"/>
      <c r="BM1576" s="2126"/>
      <c r="BN1576" s="2126"/>
      <c r="BO1576" s="2126"/>
      <c r="BP1576" s="2126"/>
      <c r="BQ1576" s="2126"/>
      <c r="BR1576" s="2126"/>
      <c r="BS1576" s="2126"/>
    </row>
    <row r="1577" spans="1:71" s="3030" customFormat="1">
      <c r="A1577" s="2126"/>
      <c r="B1577" s="2126"/>
      <c r="C1577" s="2149"/>
      <c r="D1577" s="3248"/>
      <c r="E1577" s="525"/>
      <c r="F1577" s="525"/>
      <c r="G1577" s="526"/>
      <c r="K1577" s="3280"/>
      <c r="P1577" s="3041"/>
      <c r="X1577" s="3280"/>
      <c r="AA1577" s="3041"/>
      <c r="AF1577" s="3041"/>
      <c r="AN1577" s="3280"/>
      <c r="AZ1577" s="3041"/>
      <c r="BD1577" s="3281"/>
      <c r="BH1577" s="3282"/>
      <c r="BJ1577" s="2589"/>
      <c r="BK1577" s="2126"/>
      <c r="BL1577" s="2126"/>
      <c r="BM1577" s="2126"/>
      <c r="BN1577" s="2126"/>
      <c r="BO1577" s="2126"/>
      <c r="BP1577" s="2126"/>
      <c r="BQ1577" s="2126"/>
      <c r="BR1577" s="2126"/>
      <c r="BS1577" s="2126"/>
    </row>
    <row r="1578" spans="1:71" s="3030" customFormat="1">
      <c r="A1578" s="2126"/>
      <c r="B1578" s="2126"/>
      <c r="C1578" s="2149"/>
      <c r="D1578" s="3248"/>
      <c r="E1578" s="525"/>
      <c r="F1578" s="525"/>
      <c r="G1578" s="526"/>
      <c r="K1578" s="3280"/>
      <c r="P1578" s="3041"/>
      <c r="X1578" s="3280"/>
      <c r="AA1578" s="3041"/>
      <c r="AF1578" s="3041"/>
      <c r="AN1578" s="3280"/>
      <c r="AZ1578" s="3041"/>
      <c r="BD1578" s="3281"/>
      <c r="BH1578" s="3282"/>
      <c r="BJ1578" s="2589"/>
      <c r="BK1578" s="2126"/>
      <c r="BL1578" s="2126"/>
      <c r="BM1578" s="2126"/>
      <c r="BN1578" s="2126"/>
      <c r="BO1578" s="2126"/>
      <c r="BP1578" s="2126"/>
      <c r="BQ1578" s="2126"/>
      <c r="BR1578" s="2126"/>
      <c r="BS1578" s="2126"/>
    </row>
    <row r="1579" spans="1:71" s="3030" customFormat="1">
      <c r="A1579" s="2126"/>
      <c r="B1579" s="2126"/>
      <c r="C1579" s="2149"/>
      <c r="D1579" s="3248"/>
      <c r="E1579" s="525"/>
      <c r="F1579" s="525"/>
      <c r="G1579" s="526"/>
      <c r="K1579" s="3280"/>
      <c r="P1579" s="3041"/>
      <c r="X1579" s="3280"/>
      <c r="AA1579" s="3041"/>
      <c r="AF1579" s="3041"/>
      <c r="AN1579" s="3280"/>
      <c r="AZ1579" s="3041"/>
      <c r="BD1579" s="3281"/>
      <c r="BH1579" s="3282"/>
      <c r="BJ1579" s="2589"/>
      <c r="BK1579" s="2126"/>
      <c r="BL1579" s="2126"/>
      <c r="BM1579" s="2126"/>
      <c r="BN1579" s="2126"/>
      <c r="BO1579" s="2126"/>
      <c r="BP1579" s="2126"/>
      <c r="BQ1579" s="2126"/>
      <c r="BR1579" s="2126"/>
      <c r="BS1579" s="2126"/>
    </row>
    <row r="1580" spans="1:71" s="3030" customFormat="1">
      <c r="A1580" s="2126"/>
      <c r="B1580" s="2126"/>
      <c r="C1580" s="2149"/>
      <c r="D1580" s="3248"/>
      <c r="E1580" s="525"/>
      <c r="F1580" s="525"/>
      <c r="G1580" s="526"/>
      <c r="K1580" s="3280"/>
      <c r="P1580" s="3041"/>
      <c r="X1580" s="3280"/>
      <c r="AA1580" s="3041"/>
      <c r="AF1580" s="3041"/>
      <c r="AN1580" s="3280"/>
      <c r="AZ1580" s="3041"/>
      <c r="BD1580" s="3281"/>
      <c r="BH1580" s="3282"/>
      <c r="BJ1580" s="2589"/>
      <c r="BK1580" s="2126"/>
      <c r="BL1580" s="2126"/>
      <c r="BM1580" s="2126"/>
      <c r="BN1580" s="2126"/>
      <c r="BO1580" s="2126"/>
      <c r="BP1580" s="2126"/>
      <c r="BQ1580" s="2126"/>
      <c r="BR1580" s="2126"/>
      <c r="BS1580" s="2126"/>
    </row>
    <row r="1581" spans="1:71" s="3030" customFormat="1">
      <c r="A1581" s="2126"/>
      <c r="B1581" s="2126"/>
      <c r="C1581" s="2149"/>
      <c r="D1581" s="3248"/>
      <c r="E1581" s="525"/>
      <c r="F1581" s="525"/>
      <c r="G1581" s="526"/>
      <c r="K1581" s="3280"/>
      <c r="P1581" s="3041"/>
      <c r="X1581" s="3280"/>
      <c r="AA1581" s="3041"/>
      <c r="AF1581" s="3041"/>
      <c r="AN1581" s="3280"/>
      <c r="AZ1581" s="3041"/>
      <c r="BD1581" s="3281"/>
      <c r="BH1581" s="3282"/>
      <c r="BJ1581" s="2589"/>
      <c r="BK1581" s="2126"/>
      <c r="BL1581" s="2126"/>
      <c r="BM1581" s="2126"/>
      <c r="BN1581" s="2126"/>
      <c r="BO1581" s="2126"/>
      <c r="BP1581" s="2126"/>
      <c r="BQ1581" s="2126"/>
      <c r="BR1581" s="2126"/>
      <c r="BS1581" s="2126"/>
    </row>
    <row r="1582" spans="1:71" s="3030" customFormat="1">
      <c r="A1582" s="2126"/>
      <c r="B1582" s="2126"/>
      <c r="C1582" s="2149"/>
      <c r="D1582" s="3248"/>
      <c r="E1582" s="525"/>
      <c r="F1582" s="525"/>
      <c r="G1582" s="526"/>
      <c r="K1582" s="3280"/>
      <c r="P1582" s="3041"/>
      <c r="X1582" s="3280"/>
      <c r="AA1582" s="3041"/>
      <c r="AF1582" s="3041"/>
      <c r="AN1582" s="3280"/>
      <c r="AZ1582" s="3041"/>
      <c r="BD1582" s="3281"/>
      <c r="BH1582" s="3282"/>
      <c r="BJ1582" s="2589"/>
      <c r="BK1582" s="2126"/>
      <c r="BL1582" s="2126"/>
      <c r="BM1582" s="2126"/>
      <c r="BN1582" s="2126"/>
      <c r="BO1582" s="2126"/>
      <c r="BP1582" s="2126"/>
      <c r="BQ1582" s="2126"/>
      <c r="BR1582" s="2126"/>
      <c r="BS1582" s="2126"/>
    </row>
    <row r="1583" spans="1:71" s="3030" customFormat="1">
      <c r="A1583" s="2126"/>
      <c r="B1583" s="2126"/>
      <c r="C1583" s="2149"/>
      <c r="D1583" s="3248"/>
      <c r="E1583" s="525"/>
      <c r="F1583" s="525"/>
      <c r="G1583" s="526"/>
      <c r="K1583" s="3280"/>
      <c r="P1583" s="3041"/>
      <c r="X1583" s="3280"/>
      <c r="AA1583" s="3041"/>
      <c r="AF1583" s="3041"/>
      <c r="AN1583" s="3280"/>
      <c r="AZ1583" s="3041"/>
      <c r="BD1583" s="3281"/>
      <c r="BH1583" s="3282"/>
      <c r="BJ1583" s="2589"/>
      <c r="BK1583" s="2126"/>
      <c r="BL1583" s="2126"/>
      <c r="BM1583" s="2126"/>
      <c r="BN1583" s="2126"/>
      <c r="BO1583" s="2126"/>
      <c r="BP1583" s="2126"/>
      <c r="BQ1583" s="2126"/>
      <c r="BR1583" s="2126"/>
      <c r="BS1583" s="2126"/>
    </row>
    <row r="1584" spans="1:71" s="3030" customFormat="1">
      <c r="A1584" s="2126"/>
      <c r="B1584" s="2126"/>
      <c r="C1584" s="2149"/>
      <c r="D1584" s="3248"/>
      <c r="E1584" s="525"/>
      <c r="F1584" s="525"/>
      <c r="G1584" s="526"/>
      <c r="K1584" s="3280"/>
      <c r="P1584" s="3041"/>
      <c r="X1584" s="3280"/>
      <c r="AA1584" s="3041"/>
      <c r="AF1584" s="3041"/>
      <c r="AN1584" s="3280"/>
      <c r="AZ1584" s="3041"/>
      <c r="BD1584" s="3281"/>
      <c r="BH1584" s="3282"/>
      <c r="BJ1584" s="2589"/>
      <c r="BK1584" s="2126"/>
      <c r="BL1584" s="2126"/>
      <c r="BM1584" s="2126"/>
      <c r="BN1584" s="2126"/>
      <c r="BO1584" s="2126"/>
      <c r="BP1584" s="2126"/>
      <c r="BQ1584" s="2126"/>
      <c r="BR1584" s="2126"/>
      <c r="BS1584" s="2126"/>
    </row>
    <row r="1585" spans="1:71" s="3030" customFormat="1">
      <c r="A1585" s="2126"/>
      <c r="B1585" s="2126"/>
      <c r="C1585" s="2149"/>
      <c r="D1585" s="3248"/>
      <c r="E1585" s="525"/>
      <c r="F1585" s="525"/>
      <c r="G1585" s="526"/>
      <c r="K1585" s="3280"/>
      <c r="P1585" s="3041"/>
      <c r="X1585" s="3280"/>
      <c r="AA1585" s="3041"/>
      <c r="AF1585" s="3041"/>
      <c r="AN1585" s="3280"/>
      <c r="AZ1585" s="3041"/>
      <c r="BD1585" s="3281"/>
      <c r="BH1585" s="3282"/>
      <c r="BJ1585" s="2589"/>
      <c r="BK1585" s="2126"/>
      <c r="BL1585" s="2126"/>
      <c r="BM1585" s="2126"/>
      <c r="BN1585" s="2126"/>
      <c r="BO1585" s="2126"/>
      <c r="BP1585" s="2126"/>
      <c r="BQ1585" s="2126"/>
      <c r="BR1585" s="2126"/>
      <c r="BS1585" s="2126"/>
    </row>
    <row r="1586" spans="1:71" s="3030" customFormat="1">
      <c r="A1586" s="2126"/>
      <c r="B1586" s="2126"/>
      <c r="C1586" s="2149"/>
      <c r="D1586" s="3248"/>
      <c r="E1586" s="525"/>
      <c r="F1586" s="525"/>
      <c r="G1586" s="526"/>
      <c r="K1586" s="3280"/>
      <c r="P1586" s="3041"/>
      <c r="X1586" s="3280"/>
      <c r="AA1586" s="3041"/>
      <c r="AF1586" s="3041"/>
      <c r="AN1586" s="3280"/>
      <c r="AZ1586" s="3041"/>
      <c r="BD1586" s="3281"/>
      <c r="BH1586" s="3282"/>
      <c r="BJ1586" s="2589"/>
      <c r="BK1586" s="2126"/>
      <c r="BL1586" s="2126"/>
      <c r="BM1586" s="2126"/>
      <c r="BN1586" s="2126"/>
      <c r="BO1586" s="2126"/>
      <c r="BP1586" s="2126"/>
      <c r="BQ1586" s="2126"/>
      <c r="BR1586" s="2126"/>
      <c r="BS1586" s="2126"/>
    </row>
    <row r="1587" spans="1:71" s="3030" customFormat="1">
      <c r="A1587" s="2126"/>
      <c r="B1587" s="2126"/>
      <c r="C1587" s="2149"/>
      <c r="D1587" s="3248"/>
      <c r="E1587" s="525"/>
      <c r="F1587" s="525"/>
      <c r="G1587" s="526"/>
      <c r="K1587" s="3280"/>
      <c r="P1587" s="3041"/>
      <c r="X1587" s="3280"/>
      <c r="AA1587" s="3041"/>
      <c r="AF1587" s="3041"/>
      <c r="AN1587" s="3280"/>
      <c r="AZ1587" s="3041"/>
      <c r="BD1587" s="3281"/>
      <c r="BH1587" s="3282"/>
      <c r="BJ1587" s="2589"/>
      <c r="BK1587" s="2126"/>
      <c r="BL1587" s="2126"/>
      <c r="BM1587" s="2126"/>
      <c r="BN1587" s="2126"/>
      <c r="BO1587" s="2126"/>
      <c r="BP1587" s="2126"/>
      <c r="BQ1587" s="2126"/>
      <c r="BR1587" s="2126"/>
      <c r="BS1587" s="2126"/>
    </row>
    <row r="1588" spans="1:71" s="3030" customFormat="1">
      <c r="A1588" s="2126"/>
      <c r="B1588" s="2126"/>
      <c r="C1588" s="2149"/>
      <c r="D1588" s="3248"/>
      <c r="E1588" s="525"/>
      <c r="F1588" s="525"/>
      <c r="G1588" s="526"/>
      <c r="K1588" s="3280"/>
      <c r="P1588" s="3041"/>
      <c r="X1588" s="3280"/>
      <c r="AA1588" s="3041"/>
      <c r="AF1588" s="3041"/>
      <c r="AN1588" s="3280"/>
      <c r="AZ1588" s="3041"/>
      <c r="BD1588" s="3281"/>
      <c r="BH1588" s="3282"/>
      <c r="BJ1588" s="2589"/>
      <c r="BK1588" s="2126"/>
      <c r="BL1588" s="2126"/>
      <c r="BM1588" s="2126"/>
      <c r="BN1588" s="2126"/>
      <c r="BO1588" s="2126"/>
      <c r="BP1588" s="2126"/>
      <c r="BQ1588" s="2126"/>
      <c r="BR1588" s="2126"/>
      <c r="BS1588" s="2126"/>
    </row>
    <row r="1589" spans="1:71" s="3030" customFormat="1">
      <c r="A1589" s="2126"/>
      <c r="B1589" s="2126"/>
      <c r="C1589" s="2149"/>
      <c r="D1589" s="3248"/>
      <c r="E1589" s="525"/>
      <c r="F1589" s="525"/>
      <c r="G1589" s="526"/>
      <c r="K1589" s="3280"/>
      <c r="P1589" s="3041"/>
      <c r="X1589" s="3280"/>
      <c r="AA1589" s="3041"/>
      <c r="AF1589" s="3041"/>
      <c r="AN1589" s="3280"/>
      <c r="AZ1589" s="3041"/>
      <c r="BD1589" s="3281"/>
      <c r="BH1589" s="3282"/>
      <c r="BJ1589" s="2589"/>
      <c r="BK1589" s="2126"/>
      <c r="BL1589" s="2126"/>
      <c r="BM1589" s="2126"/>
      <c r="BN1589" s="2126"/>
      <c r="BO1589" s="2126"/>
      <c r="BP1589" s="2126"/>
      <c r="BQ1589" s="2126"/>
      <c r="BR1589" s="2126"/>
      <c r="BS1589" s="2126"/>
    </row>
    <row r="1590" spans="1:71" s="3030" customFormat="1">
      <c r="A1590" s="2126"/>
      <c r="B1590" s="2126"/>
      <c r="C1590" s="2149"/>
      <c r="D1590" s="3248"/>
      <c r="E1590" s="525"/>
      <c r="F1590" s="525"/>
      <c r="G1590" s="526"/>
      <c r="K1590" s="3280"/>
      <c r="P1590" s="3041"/>
      <c r="X1590" s="3280"/>
      <c r="AA1590" s="3041"/>
      <c r="AF1590" s="3041"/>
      <c r="AN1590" s="3280"/>
      <c r="AZ1590" s="3041"/>
      <c r="BD1590" s="3281"/>
      <c r="BH1590" s="3282"/>
      <c r="BJ1590" s="2589"/>
      <c r="BK1590" s="2126"/>
      <c r="BL1590" s="2126"/>
      <c r="BM1590" s="2126"/>
      <c r="BN1590" s="2126"/>
      <c r="BO1590" s="2126"/>
      <c r="BP1590" s="2126"/>
      <c r="BQ1590" s="2126"/>
      <c r="BR1590" s="2126"/>
      <c r="BS1590" s="2126"/>
    </row>
    <row r="1591" spans="1:71" s="3030" customFormat="1">
      <c r="A1591" s="2126"/>
      <c r="B1591" s="2126"/>
      <c r="C1591" s="2149"/>
      <c r="D1591" s="3248"/>
      <c r="E1591" s="525"/>
      <c r="F1591" s="525"/>
      <c r="G1591" s="526"/>
      <c r="K1591" s="3280"/>
      <c r="P1591" s="3041"/>
      <c r="X1591" s="3280"/>
      <c r="AA1591" s="3041"/>
      <c r="AF1591" s="3041"/>
      <c r="AN1591" s="3280"/>
      <c r="AZ1591" s="3041"/>
      <c r="BD1591" s="3281"/>
      <c r="BH1591" s="3282"/>
      <c r="BJ1591" s="2589"/>
      <c r="BK1591" s="2126"/>
      <c r="BL1591" s="2126"/>
      <c r="BM1591" s="2126"/>
      <c r="BN1591" s="2126"/>
      <c r="BO1591" s="2126"/>
      <c r="BP1591" s="2126"/>
      <c r="BQ1591" s="2126"/>
      <c r="BR1591" s="2126"/>
      <c r="BS1591" s="2126"/>
    </row>
    <row r="1592" spans="1:71" s="3030" customFormat="1">
      <c r="A1592" s="2126"/>
      <c r="B1592" s="2126"/>
      <c r="C1592" s="2149"/>
      <c r="D1592" s="3248"/>
      <c r="E1592" s="525"/>
      <c r="F1592" s="525"/>
      <c r="G1592" s="526"/>
      <c r="K1592" s="3280"/>
      <c r="P1592" s="3041"/>
      <c r="X1592" s="3280"/>
      <c r="AA1592" s="3041"/>
      <c r="AF1592" s="3041"/>
      <c r="AN1592" s="3280"/>
      <c r="AZ1592" s="3041"/>
      <c r="BD1592" s="3281"/>
      <c r="BH1592" s="3282"/>
      <c r="BJ1592" s="2589"/>
      <c r="BK1592" s="2126"/>
      <c r="BL1592" s="2126"/>
      <c r="BM1592" s="2126"/>
      <c r="BN1592" s="2126"/>
      <c r="BO1592" s="2126"/>
      <c r="BP1592" s="2126"/>
      <c r="BQ1592" s="2126"/>
      <c r="BR1592" s="2126"/>
      <c r="BS1592" s="2126"/>
    </row>
    <row r="1593" spans="1:71" s="3030" customFormat="1">
      <c r="A1593" s="2126"/>
      <c r="B1593" s="2126"/>
      <c r="C1593" s="2149"/>
      <c r="D1593" s="3248"/>
      <c r="E1593" s="525"/>
      <c r="F1593" s="525"/>
      <c r="G1593" s="526"/>
      <c r="K1593" s="3280"/>
      <c r="P1593" s="3041"/>
      <c r="X1593" s="3280"/>
      <c r="AA1593" s="3041"/>
      <c r="AF1593" s="3041"/>
      <c r="AN1593" s="3280"/>
      <c r="AZ1593" s="3041"/>
      <c r="BD1593" s="3281"/>
      <c r="BH1593" s="3282"/>
      <c r="BJ1593" s="2589"/>
      <c r="BK1593" s="2126"/>
      <c r="BL1593" s="2126"/>
      <c r="BM1593" s="2126"/>
      <c r="BN1593" s="2126"/>
      <c r="BO1593" s="2126"/>
      <c r="BP1593" s="2126"/>
      <c r="BQ1593" s="2126"/>
      <c r="BR1593" s="2126"/>
      <c r="BS1593" s="2126"/>
    </row>
    <row r="1594" spans="1:71" s="3030" customFormat="1">
      <c r="A1594" s="2126"/>
      <c r="B1594" s="2126"/>
      <c r="C1594" s="2149"/>
      <c r="D1594" s="3248"/>
      <c r="E1594" s="525"/>
      <c r="F1594" s="525"/>
      <c r="G1594" s="526"/>
      <c r="K1594" s="3280"/>
      <c r="P1594" s="3041"/>
      <c r="X1594" s="3280"/>
      <c r="AA1594" s="3041"/>
      <c r="AF1594" s="3041"/>
      <c r="AN1594" s="3280"/>
      <c r="AZ1594" s="3041"/>
      <c r="BD1594" s="3281"/>
      <c r="BH1594" s="3282"/>
      <c r="BJ1594" s="2589"/>
      <c r="BK1594" s="2126"/>
      <c r="BL1594" s="2126"/>
      <c r="BM1594" s="2126"/>
      <c r="BN1594" s="2126"/>
      <c r="BO1594" s="2126"/>
      <c r="BP1594" s="2126"/>
      <c r="BQ1594" s="2126"/>
      <c r="BR1594" s="2126"/>
      <c r="BS1594" s="2126"/>
    </row>
    <row r="1595" spans="1:71" s="3030" customFormat="1">
      <c r="A1595" s="2126"/>
      <c r="B1595" s="2126"/>
      <c r="C1595" s="2149"/>
      <c r="D1595" s="3248"/>
      <c r="E1595" s="525"/>
      <c r="F1595" s="525"/>
      <c r="G1595" s="526"/>
      <c r="K1595" s="3280"/>
      <c r="P1595" s="3041"/>
      <c r="X1595" s="3280"/>
      <c r="AA1595" s="3041"/>
      <c r="AF1595" s="3041"/>
      <c r="AN1595" s="3280"/>
      <c r="AZ1595" s="3041"/>
      <c r="BD1595" s="3281"/>
      <c r="BH1595" s="3282"/>
      <c r="BJ1595" s="2589"/>
      <c r="BK1595" s="2126"/>
      <c r="BL1595" s="2126"/>
      <c r="BM1595" s="2126"/>
      <c r="BN1595" s="2126"/>
      <c r="BO1595" s="2126"/>
      <c r="BP1595" s="2126"/>
      <c r="BQ1595" s="2126"/>
      <c r="BR1595" s="2126"/>
      <c r="BS1595" s="2126"/>
    </row>
    <row r="1596" spans="1:71" s="3030" customFormat="1">
      <c r="A1596" s="2126"/>
      <c r="B1596" s="2126"/>
      <c r="C1596" s="2149"/>
      <c r="D1596" s="3248"/>
      <c r="E1596" s="525"/>
      <c r="F1596" s="525"/>
      <c r="G1596" s="526"/>
      <c r="K1596" s="3280"/>
      <c r="P1596" s="3041"/>
      <c r="X1596" s="3280"/>
      <c r="AA1596" s="3041"/>
      <c r="AF1596" s="3041"/>
      <c r="AN1596" s="3280"/>
      <c r="AZ1596" s="3041"/>
      <c r="BD1596" s="3281"/>
      <c r="BH1596" s="3282"/>
      <c r="BJ1596" s="2589"/>
      <c r="BK1596" s="2126"/>
      <c r="BL1596" s="2126"/>
      <c r="BM1596" s="2126"/>
      <c r="BN1596" s="2126"/>
      <c r="BO1596" s="2126"/>
      <c r="BP1596" s="2126"/>
      <c r="BQ1596" s="2126"/>
      <c r="BR1596" s="2126"/>
      <c r="BS1596" s="2126"/>
    </row>
    <row r="1597" spans="1:71" s="3030" customFormat="1">
      <c r="A1597" s="2126"/>
      <c r="B1597" s="2126"/>
      <c r="C1597" s="2149"/>
      <c r="D1597" s="3248"/>
      <c r="E1597" s="525"/>
      <c r="F1597" s="525"/>
      <c r="G1597" s="526"/>
      <c r="K1597" s="3280"/>
      <c r="P1597" s="3041"/>
      <c r="X1597" s="3280"/>
      <c r="AA1597" s="3041"/>
      <c r="AF1597" s="3041"/>
      <c r="AN1597" s="3280"/>
      <c r="AZ1597" s="3041"/>
      <c r="BD1597" s="3281"/>
      <c r="BH1597" s="3282"/>
      <c r="BJ1597" s="2589"/>
      <c r="BK1597" s="2126"/>
      <c r="BL1597" s="2126"/>
      <c r="BM1597" s="2126"/>
      <c r="BN1597" s="2126"/>
      <c r="BO1597" s="2126"/>
      <c r="BP1597" s="2126"/>
      <c r="BQ1597" s="2126"/>
      <c r="BR1597" s="2126"/>
      <c r="BS1597" s="2126"/>
    </row>
    <row r="1598" spans="1:71" s="3030" customFormat="1">
      <c r="A1598" s="2126"/>
      <c r="B1598" s="2126"/>
      <c r="C1598" s="2149"/>
      <c r="D1598" s="3248"/>
      <c r="E1598" s="525"/>
      <c r="F1598" s="525"/>
      <c r="G1598" s="526"/>
      <c r="K1598" s="3280"/>
      <c r="P1598" s="3041"/>
      <c r="X1598" s="3280"/>
      <c r="AA1598" s="3041"/>
      <c r="AF1598" s="3041"/>
      <c r="AN1598" s="3280"/>
      <c r="AZ1598" s="3041"/>
      <c r="BD1598" s="3281"/>
      <c r="BH1598" s="3282"/>
      <c r="BJ1598" s="2589"/>
      <c r="BK1598" s="2126"/>
      <c r="BL1598" s="2126"/>
      <c r="BM1598" s="2126"/>
      <c r="BN1598" s="2126"/>
      <c r="BO1598" s="2126"/>
      <c r="BP1598" s="2126"/>
      <c r="BQ1598" s="2126"/>
      <c r="BR1598" s="2126"/>
      <c r="BS1598" s="2126"/>
    </row>
    <row r="1599" spans="1:71" s="3030" customFormat="1">
      <c r="A1599" s="2126"/>
      <c r="B1599" s="2126"/>
      <c r="C1599" s="2149"/>
      <c r="D1599" s="3248"/>
      <c r="E1599" s="525"/>
      <c r="F1599" s="525"/>
      <c r="G1599" s="526"/>
      <c r="K1599" s="3280"/>
      <c r="P1599" s="3041"/>
      <c r="X1599" s="3280"/>
      <c r="AA1599" s="3041"/>
      <c r="AF1599" s="3041"/>
      <c r="AN1599" s="3280"/>
      <c r="AZ1599" s="3041"/>
      <c r="BD1599" s="3281"/>
      <c r="BH1599" s="3282"/>
      <c r="BJ1599" s="2589"/>
      <c r="BK1599" s="2126"/>
      <c r="BL1599" s="2126"/>
      <c r="BM1599" s="2126"/>
      <c r="BN1599" s="2126"/>
      <c r="BO1599" s="2126"/>
      <c r="BP1599" s="2126"/>
      <c r="BQ1599" s="2126"/>
      <c r="BR1599" s="2126"/>
      <c r="BS1599" s="2126"/>
    </row>
    <row r="1600" spans="1:71" s="3030" customFormat="1">
      <c r="A1600" s="2126"/>
      <c r="B1600" s="2126"/>
      <c r="C1600" s="2149"/>
      <c r="D1600" s="3248"/>
      <c r="E1600" s="525"/>
      <c r="F1600" s="525"/>
      <c r="G1600" s="526"/>
      <c r="K1600" s="3280"/>
      <c r="P1600" s="3041"/>
      <c r="X1600" s="3280"/>
      <c r="AA1600" s="3041"/>
      <c r="AF1600" s="3041"/>
      <c r="AN1600" s="3280"/>
      <c r="AZ1600" s="3041"/>
      <c r="BD1600" s="3281"/>
      <c r="BH1600" s="3282"/>
      <c r="BJ1600" s="2589"/>
      <c r="BK1600" s="2126"/>
      <c r="BL1600" s="2126"/>
      <c r="BM1600" s="2126"/>
      <c r="BN1600" s="2126"/>
      <c r="BO1600" s="2126"/>
      <c r="BP1600" s="2126"/>
      <c r="BQ1600" s="2126"/>
      <c r="BR1600" s="2126"/>
      <c r="BS1600" s="2126"/>
    </row>
    <row r="1601" spans="1:71" s="3030" customFormat="1">
      <c r="A1601" s="2126"/>
      <c r="B1601" s="2126"/>
      <c r="C1601" s="2149"/>
      <c r="D1601" s="3248"/>
      <c r="E1601" s="525"/>
      <c r="F1601" s="525"/>
      <c r="G1601" s="526"/>
      <c r="K1601" s="3280"/>
      <c r="P1601" s="3041"/>
      <c r="X1601" s="3280"/>
      <c r="AA1601" s="3041"/>
      <c r="AF1601" s="3041"/>
      <c r="AN1601" s="3280"/>
      <c r="AZ1601" s="3041"/>
      <c r="BD1601" s="3281"/>
      <c r="BH1601" s="3282"/>
      <c r="BJ1601" s="2589"/>
      <c r="BK1601" s="2126"/>
      <c r="BL1601" s="2126"/>
      <c r="BM1601" s="2126"/>
      <c r="BN1601" s="2126"/>
      <c r="BO1601" s="2126"/>
      <c r="BP1601" s="2126"/>
      <c r="BQ1601" s="2126"/>
      <c r="BR1601" s="2126"/>
      <c r="BS1601" s="2126"/>
    </row>
    <row r="1602" spans="1:71" s="3030" customFormat="1">
      <c r="A1602" s="2126"/>
      <c r="B1602" s="2126"/>
      <c r="C1602" s="2149"/>
      <c r="D1602" s="3248"/>
      <c r="E1602" s="525"/>
      <c r="F1602" s="525"/>
      <c r="G1602" s="526"/>
      <c r="K1602" s="3280"/>
      <c r="P1602" s="3041"/>
      <c r="X1602" s="3280"/>
      <c r="AA1602" s="3041"/>
      <c r="AF1602" s="3041"/>
      <c r="AN1602" s="3280"/>
      <c r="AZ1602" s="3041"/>
      <c r="BD1602" s="3281"/>
      <c r="BH1602" s="3282"/>
      <c r="BJ1602" s="2589"/>
      <c r="BK1602" s="2126"/>
      <c r="BL1602" s="2126"/>
      <c r="BM1602" s="2126"/>
      <c r="BN1602" s="2126"/>
      <c r="BO1602" s="2126"/>
      <c r="BP1602" s="2126"/>
      <c r="BQ1602" s="2126"/>
      <c r="BR1602" s="2126"/>
      <c r="BS1602" s="2126"/>
    </row>
    <row r="1603" spans="1:71" s="3030" customFormat="1">
      <c r="A1603" s="2126"/>
      <c r="B1603" s="2126"/>
      <c r="C1603" s="2149"/>
      <c r="D1603" s="3248"/>
      <c r="E1603" s="525"/>
      <c r="F1603" s="525"/>
      <c r="G1603" s="526"/>
      <c r="K1603" s="3280"/>
      <c r="P1603" s="3041"/>
      <c r="X1603" s="3280"/>
      <c r="AA1603" s="3041"/>
      <c r="AF1603" s="3041"/>
      <c r="AN1603" s="3280"/>
      <c r="AZ1603" s="3041"/>
      <c r="BD1603" s="3281"/>
      <c r="BH1603" s="3282"/>
      <c r="BJ1603" s="2589"/>
      <c r="BK1603" s="2126"/>
      <c r="BL1603" s="2126"/>
      <c r="BM1603" s="2126"/>
      <c r="BN1603" s="2126"/>
      <c r="BO1603" s="2126"/>
      <c r="BP1603" s="2126"/>
      <c r="BQ1603" s="2126"/>
      <c r="BR1603" s="2126"/>
      <c r="BS1603" s="2126"/>
    </row>
    <row r="1604" spans="1:71" s="3030" customFormat="1">
      <c r="A1604" s="2126"/>
      <c r="B1604" s="2126"/>
      <c r="C1604" s="2149"/>
      <c r="D1604" s="3248"/>
      <c r="E1604" s="525"/>
      <c r="F1604" s="525"/>
      <c r="G1604" s="526"/>
      <c r="K1604" s="3280"/>
      <c r="P1604" s="3041"/>
      <c r="X1604" s="3280"/>
      <c r="AA1604" s="3041"/>
      <c r="AF1604" s="3041"/>
      <c r="AN1604" s="3280"/>
      <c r="AZ1604" s="3041"/>
      <c r="BD1604" s="3281"/>
      <c r="BH1604" s="3282"/>
      <c r="BJ1604" s="2589"/>
      <c r="BK1604" s="2126"/>
      <c r="BL1604" s="2126"/>
      <c r="BM1604" s="2126"/>
      <c r="BN1604" s="2126"/>
      <c r="BO1604" s="2126"/>
      <c r="BP1604" s="2126"/>
      <c r="BQ1604" s="2126"/>
      <c r="BR1604" s="2126"/>
      <c r="BS1604" s="2126"/>
    </row>
    <row r="1605" spans="1:71" s="3030" customFormat="1">
      <c r="A1605" s="2126"/>
      <c r="B1605" s="2126"/>
      <c r="C1605" s="2149"/>
      <c r="D1605" s="3248"/>
      <c r="E1605" s="525"/>
      <c r="F1605" s="525"/>
      <c r="G1605" s="526"/>
      <c r="K1605" s="3280"/>
      <c r="P1605" s="3041"/>
      <c r="X1605" s="3280"/>
      <c r="AA1605" s="3041"/>
      <c r="AF1605" s="3041"/>
      <c r="AN1605" s="3280"/>
      <c r="AZ1605" s="3041"/>
      <c r="BD1605" s="3281"/>
      <c r="BH1605" s="3282"/>
      <c r="BJ1605" s="2589"/>
      <c r="BK1605" s="2126"/>
      <c r="BL1605" s="2126"/>
      <c r="BM1605" s="2126"/>
      <c r="BN1605" s="2126"/>
      <c r="BO1605" s="2126"/>
      <c r="BP1605" s="2126"/>
      <c r="BQ1605" s="2126"/>
      <c r="BR1605" s="2126"/>
      <c r="BS1605" s="2126"/>
    </row>
    <row r="1606" spans="1:71" s="3030" customFormat="1">
      <c r="A1606" s="2126"/>
      <c r="B1606" s="2126"/>
      <c r="C1606" s="2149"/>
      <c r="D1606" s="3248"/>
      <c r="E1606" s="525"/>
      <c r="F1606" s="525"/>
      <c r="G1606" s="526"/>
      <c r="K1606" s="3280"/>
      <c r="P1606" s="3041"/>
      <c r="X1606" s="3280"/>
      <c r="AA1606" s="3041"/>
      <c r="AF1606" s="3041"/>
      <c r="AN1606" s="3280"/>
      <c r="AZ1606" s="3041"/>
      <c r="BD1606" s="3281"/>
      <c r="BH1606" s="3282"/>
      <c r="BJ1606" s="2589"/>
      <c r="BK1606" s="2126"/>
      <c r="BL1606" s="2126"/>
      <c r="BM1606" s="2126"/>
      <c r="BN1606" s="2126"/>
      <c r="BO1606" s="2126"/>
      <c r="BP1606" s="2126"/>
      <c r="BQ1606" s="2126"/>
      <c r="BR1606" s="2126"/>
      <c r="BS1606" s="2126"/>
    </row>
    <row r="1607" spans="1:71" s="3030" customFormat="1">
      <c r="A1607" s="2126"/>
      <c r="B1607" s="2126"/>
      <c r="C1607" s="2149"/>
      <c r="D1607" s="3248"/>
      <c r="E1607" s="525"/>
      <c r="F1607" s="525"/>
      <c r="G1607" s="526"/>
      <c r="K1607" s="3280"/>
      <c r="P1607" s="3041"/>
      <c r="X1607" s="3280"/>
      <c r="AA1607" s="3041"/>
      <c r="AF1607" s="3041"/>
      <c r="AN1607" s="3280"/>
      <c r="AZ1607" s="3041"/>
      <c r="BD1607" s="3281"/>
      <c r="BH1607" s="3282"/>
      <c r="BJ1607" s="2589"/>
      <c r="BK1607" s="2126"/>
      <c r="BL1607" s="2126"/>
      <c r="BM1607" s="2126"/>
      <c r="BN1607" s="2126"/>
      <c r="BO1607" s="2126"/>
      <c r="BP1607" s="2126"/>
      <c r="BQ1607" s="2126"/>
      <c r="BR1607" s="2126"/>
      <c r="BS1607" s="2126"/>
    </row>
    <row r="1608" spans="1:71" s="3030" customFormat="1">
      <c r="A1608" s="2126"/>
      <c r="B1608" s="2126"/>
      <c r="C1608" s="2149"/>
      <c r="D1608" s="3248"/>
      <c r="E1608" s="525"/>
      <c r="F1608" s="525"/>
      <c r="G1608" s="526"/>
      <c r="K1608" s="3280"/>
      <c r="P1608" s="3041"/>
      <c r="X1608" s="3280"/>
      <c r="AA1608" s="3041"/>
      <c r="AF1608" s="3041"/>
      <c r="AN1608" s="3280"/>
      <c r="AZ1608" s="3041"/>
      <c r="BD1608" s="3281"/>
      <c r="BH1608" s="3282"/>
      <c r="BJ1608" s="2589"/>
      <c r="BK1608" s="2126"/>
      <c r="BL1608" s="2126"/>
      <c r="BM1608" s="2126"/>
      <c r="BN1608" s="2126"/>
      <c r="BO1608" s="2126"/>
      <c r="BP1608" s="2126"/>
      <c r="BQ1608" s="2126"/>
      <c r="BR1608" s="2126"/>
      <c r="BS1608" s="2126"/>
    </row>
    <row r="1609" spans="1:71" s="3030" customFormat="1">
      <c r="A1609" s="2126"/>
      <c r="B1609" s="2126"/>
      <c r="C1609" s="2149"/>
      <c r="D1609" s="3248"/>
      <c r="E1609" s="525"/>
      <c r="F1609" s="525"/>
      <c r="G1609" s="526"/>
      <c r="K1609" s="3280"/>
      <c r="P1609" s="3041"/>
      <c r="X1609" s="3280"/>
      <c r="AA1609" s="3041"/>
      <c r="AF1609" s="3041"/>
      <c r="AN1609" s="3280"/>
      <c r="AZ1609" s="3041"/>
      <c r="BD1609" s="3281"/>
      <c r="BH1609" s="3282"/>
      <c r="BJ1609" s="2589"/>
      <c r="BK1609" s="2126"/>
      <c r="BL1609" s="2126"/>
      <c r="BM1609" s="2126"/>
      <c r="BN1609" s="2126"/>
      <c r="BO1609" s="2126"/>
      <c r="BP1609" s="2126"/>
      <c r="BQ1609" s="2126"/>
      <c r="BR1609" s="2126"/>
      <c r="BS1609" s="2126"/>
    </row>
    <row r="1610" spans="1:71" s="3030" customFormat="1">
      <c r="A1610" s="2126"/>
      <c r="B1610" s="2126"/>
      <c r="C1610" s="2149"/>
      <c r="D1610" s="3248"/>
      <c r="E1610" s="525"/>
      <c r="F1610" s="525"/>
      <c r="G1610" s="526"/>
      <c r="K1610" s="3280"/>
      <c r="P1610" s="3041"/>
      <c r="X1610" s="3280"/>
      <c r="AA1610" s="3041"/>
      <c r="AF1610" s="3041"/>
      <c r="AN1610" s="3280"/>
      <c r="AZ1610" s="3041"/>
      <c r="BD1610" s="3281"/>
      <c r="BH1610" s="3282"/>
      <c r="BJ1610" s="2589"/>
      <c r="BK1610" s="2126"/>
      <c r="BL1610" s="2126"/>
      <c r="BM1610" s="2126"/>
      <c r="BN1610" s="2126"/>
      <c r="BO1610" s="2126"/>
      <c r="BP1610" s="2126"/>
      <c r="BQ1610" s="2126"/>
      <c r="BR1610" s="2126"/>
      <c r="BS1610" s="2126"/>
    </row>
    <row r="1611" spans="1:71" s="3030" customFormat="1">
      <c r="A1611" s="2126"/>
      <c r="B1611" s="2126"/>
      <c r="C1611" s="2149"/>
      <c r="D1611" s="3248"/>
      <c r="E1611" s="525"/>
      <c r="F1611" s="525"/>
      <c r="G1611" s="526"/>
      <c r="K1611" s="3280"/>
      <c r="P1611" s="3041"/>
      <c r="X1611" s="3280"/>
      <c r="AA1611" s="3041"/>
      <c r="AF1611" s="3041"/>
      <c r="AN1611" s="3280"/>
      <c r="AZ1611" s="3041"/>
      <c r="BD1611" s="3281"/>
      <c r="BH1611" s="3282"/>
      <c r="BJ1611" s="2589"/>
      <c r="BK1611" s="2126"/>
      <c r="BL1611" s="2126"/>
      <c r="BM1611" s="2126"/>
      <c r="BN1611" s="2126"/>
      <c r="BO1611" s="2126"/>
      <c r="BP1611" s="2126"/>
      <c r="BQ1611" s="2126"/>
      <c r="BR1611" s="2126"/>
      <c r="BS1611" s="2126"/>
    </row>
    <row r="1612" spans="1:71" s="3030" customFormat="1">
      <c r="A1612" s="2126"/>
      <c r="B1612" s="2126"/>
      <c r="C1612" s="2149"/>
      <c r="D1612" s="3248"/>
      <c r="E1612" s="525"/>
      <c r="F1612" s="525"/>
      <c r="G1612" s="526"/>
      <c r="K1612" s="3280"/>
      <c r="P1612" s="3041"/>
      <c r="X1612" s="3280"/>
      <c r="AA1612" s="3041"/>
      <c r="AF1612" s="3041"/>
      <c r="AN1612" s="3280"/>
      <c r="AZ1612" s="3041"/>
      <c r="BD1612" s="3281"/>
      <c r="BH1612" s="3282"/>
      <c r="BJ1612" s="2589"/>
      <c r="BK1612" s="2126"/>
      <c r="BL1612" s="2126"/>
      <c r="BM1612" s="2126"/>
      <c r="BN1612" s="2126"/>
      <c r="BO1612" s="2126"/>
      <c r="BP1612" s="2126"/>
      <c r="BQ1612" s="2126"/>
      <c r="BR1612" s="2126"/>
      <c r="BS1612" s="2126"/>
    </row>
    <row r="1613" spans="1:71" s="3030" customFormat="1">
      <c r="A1613" s="2126"/>
      <c r="B1613" s="2126"/>
      <c r="C1613" s="2149"/>
      <c r="D1613" s="3248"/>
      <c r="E1613" s="525"/>
      <c r="F1613" s="525"/>
      <c r="G1613" s="526"/>
      <c r="K1613" s="3280"/>
      <c r="P1613" s="3041"/>
      <c r="X1613" s="3280"/>
      <c r="AA1613" s="3041"/>
      <c r="AF1613" s="3041"/>
      <c r="AN1613" s="3280"/>
      <c r="AZ1613" s="3041"/>
      <c r="BD1613" s="3281"/>
      <c r="BH1613" s="3282"/>
      <c r="BJ1613" s="2589"/>
      <c r="BK1613" s="2126"/>
      <c r="BL1613" s="2126"/>
      <c r="BM1613" s="2126"/>
      <c r="BN1613" s="2126"/>
      <c r="BO1613" s="2126"/>
      <c r="BP1613" s="2126"/>
      <c r="BQ1613" s="2126"/>
      <c r="BR1613" s="2126"/>
      <c r="BS1613" s="2126"/>
    </row>
    <row r="1614" spans="1:71" s="3030" customFormat="1">
      <c r="A1614" s="2126"/>
      <c r="B1614" s="2126"/>
      <c r="C1614" s="2149"/>
      <c r="D1614" s="3248"/>
      <c r="E1614" s="525"/>
      <c r="F1614" s="525"/>
      <c r="G1614" s="526"/>
      <c r="K1614" s="3280"/>
      <c r="P1614" s="3041"/>
      <c r="X1614" s="3280"/>
      <c r="AA1614" s="3041"/>
      <c r="AF1614" s="3041"/>
      <c r="AN1614" s="3280"/>
      <c r="AZ1614" s="3041"/>
      <c r="BD1614" s="3281"/>
      <c r="BH1614" s="3282"/>
      <c r="BJ1614" s="2589"/>
      <c r="BK1614" s="2126"/>
      <c r="BL1614" s="2126"/>
      <c r="BM1614" s="2126"/>
      <c r="BN1614" s="2126"/>
      <c r="BO1614" s="2126"/>
      <c r="BP1614" s="2126"/>
      <c r="BQ1614" s="2126"/>
      <c r="BR1614" s="2126"/>
      <c r="BS1614" s="2126"/>
    </row>
    <row r="1615" spans="1:71" s="3030" customFormat="1">
      <c r="A1615" s="2126"/>
      <c r="B1615" s="2126"/>
      <c r="C1615" s="2149"/>
      <c r="D1615" s="3248"/>
      <c r="E1615" s="525"/>
      <c r="F1615" s="525"/>
      <c r="G1615" s="526"/>
      <c r="K1615" s="3280"/>
      <c r="P1615" s="3041"/>
      <c r="X1615" s="3280"/>
      <c r="AA1615" s="3041"/>
      <c r="AF1615" s="3041"/>
      <c r="AN1615" s="3280"/>
      <c r="AZ1615" s="3041"/>
      <c r="BD1615" s="3281"/>
      <c r="BH1615" s="3282"/>
      <c r="BJ1615" s="2589"/>
      <c r="BK1615" s="2126"/>
      <c r="BL1615" s="2126"/>
      <c r="BM1615" s="2126"/>
      <c r="BN1615" s="2126"/>
      <c r="BO1615" s="2126"/>
      <c r="BP1615" s="2126"/>
      <c r="BQ1615" s="2126"/>
      <c r="BR1615" s="2126"/>
      <c r="BS1615" s="2126"/>
    </row>
    <row r="1616" spans="1:71" s="3030" customFormat="1">
      <c r="A1616" s="2126"/>
      <c r="B1616" s="2126"/>
      <c r="C1616" s="2149"/>
      <c r="D1616" s="3248"/>
      <c r="E1616" s="525"/>
      <c r="F1616" s="525"/>
      <c r="G1616" s="526"/>
      <c r="K1616" s="3280"/>
      <c r="P1616" s="3041"/>
      <c r="X1616" s="3280"/>
      <c r="AA1616" s="3041"/>
      <c r="AF1616" s="3041"/>
      <c r="AN1616" s="3280"/>
      <c r="AZ1616" s="3041"/>
      <c r="BD1616" s="3281"/>
      <c r="BH1616" s="3282"/>
      <c r="BJ1616" s="2589"/>
      <c r="BK1616" s="2126"/>
      <c r="BL1616" s="2126"/>
      <c r="BM1616" s="2126"/>
      <c r="BN1616" s="2126"/>
      <c r="BO1616" s="2126"/>
      <c r="BP1616" s="2126"/>
      <c r="BQ1616" s="2126"/>
      <c r="BR1616" s="2126"/>
      <c r="BS1616" s="2126"/>
    </row>
    <row r="1617" spans="1:71" s="3030" customFormat="1">
      <c r="A1617" s="2126"/>
      <c r="B1617" s="2126"/>
      <c r="C1617" s="2149"/>
      <c r="D1617" s="3248"/>
      <c r="E1617" s="525"/>
      <c r="F1617" s="525"/>
      <c r="G1617" s="526"/>
      <c r="K1617" s="3280"/>
      <c r="P1617" s="3041"/>
      <c r="X1617" s="3280"/>
      <c r="AA1617" s="3041"/>
      <c r="AF1617" s="3041"/>
      <c r="AN1617" s="3280"/>
      <c r="AZ1617" s="3041"/>
      <c r="BD1617" s="3281"/>
      <c r="BH1617" s="3282"/>
      <c r="BJ1617" s="2589"/>
      <c r="BK1617" s="2126"/>
      <c r="BL1617" s="2126"/>
      <c r="BM1617" s="2126"/>
      <c r="BN1617" s="2126"/>
      <c r="BO1617" s="2126"/>
      <c r="BP1617" s="2126"/>
      <c r="BQ1617" s="2126"/>
      <c r="BR1617" s="2126"/>
      <c r="BS1617" s="2126"/>
    </row>
    <row r="1618" spans="1:71" s="3030" customFormat="1">
      <c r="A1618" s="2126"/>
      <c r="B1618" s="2126"/>
      <c r="C1618" s="2149"/>
      <c r="D1618" s="3248"/>
      <c r="E1618" s="525"/>
      <c r="F1618" s="525"/>
      <c r="G1618" s="526"/>
      <c r="K1618" s="3280"/>
      <c r="P1618" s="3041"/>
      <c r="X1618" s="3280"/>
      <c r="AA1618" s="3041"/>
      <c r="AF1618" s="3041"/>
      <c r="AN1618" s="3280"/>
      <c r="AZ1618" s="3041"/>
      <c r="BD1618" s="3281"/>
      <c r="BH1618" s="3282"/>
      <c r="BJ1618" s="2589"/>
      <c r="BK1618" s="2126"/>
      <c r="BL1618" s="2126"/>
      <c r="BM1618" s="2126"/>
      <c r="BN1618" s="2126"/>
      <c r="BO1618" s="2126"/>
      <c r="BP1618" s="2126"/>
      <c r="BQ1618" s="2126"/>
      <c r="BR1618" s="2126"/>
      <c r="BS1618" s="2126"/>
    </row>
    <row r="1619" spans="1:71" s="3030" customFormat="1">
      <c r="A1619" s="2126"/>
      <c r="B1619" s="2126"/>
      <c r="C1619" s="2149"/>
      <c r="D1619" s="3248"/>
      <c r="E1619" s="525"/>
      <c r="F1619" s="525"/>
      <c r="G1619" s="526"/>
      <c r="K1619" s="3280"/>
      <c r="P1619" s="3041"/>
      <c r="X1619" s="3280"/>
      <c r="AA1619" s="3041"/>
      <c r="AF1619" s="3041"/>
      <c r="AN1619" s="3280"/>
      <c r="AZ1619" s="3041"/>
      <c r="BD1619" s="3281"/>
      <c r="BH1619" s="3282"/>
      <c r="BJ1619" s="2589"/>
      <c r="BK1619" s="2126"/>
      <c r="BL1619" s="2126"/>
      <c r="BM1619" s="2126"/>
      <c r="BN1619" s="2126"/>
      <c r="BO1619" s="2126"/>
      <c r="BP1619" s="2126"/>
      <c r="BQ1619" s="2126"/>
      <c r="BR1619" s="2126"/>
      <c r="BS1619" s="2126"/>
    </row>
    <row r="1620" spans="1:71" s="3030" customFormat="1">
      <c r="A1620" s="2126"/>
      <c r="B1620" s="2126"/>
      <c r="C1620" s="2149"/>
      <c r="D1620" s="3248"/>
      <c r="E1620" s="525"/>
      <c r="F1620" s="525"/>
      <c r="G1620" s="526"/>
      <c r="K1620" s="3280"/>
      <c r="P1620" s="3041"/>
      <c r="X1620" s="3280"/>
      <c r="AA1620" s="3041"/>
      <c r="AF1620" s="3041"/>
      <c r="AN1620" s="3280"/>
      <c r="AZ1620" s="3041"/>
      <c r="BD1620" s="3281"/>
      <c r="BH1620" s="3282"/>
      <c r="BJ1620" s="2589"/>
      <c r="BK1620" s="2126"/>
      <c r="BL1620" s="2126"/>
      <c r="BM1620" s="2126"/>
      <c r="BN1620" s="2126"/>
      <c r="BO1620" s="2126"/>
      <c r="BP1620" s="2126"/>
      <c r="BQ1620" s="2126"/>
      <c r="BR1620" s="2126"/>
      <c r="BS1620" s="2126"/>
    </row>
    <row r="1621" spans="1:71" s="3030" customFormat="1">
      <c r="A1621" s="2126"/>
      <c r="B1621" s="2126"/>
      <c r="C1621" s="2149"/>
      <c r="D1621" s="3248"/>
      <c r="E1621" s="525"/>
      <c r="F1621" s="525"/>
      <c r="G1621" s="526"/>
      <c r="K1621" s="3280"/>
      <c r="P1621" s="3041"/>
      <c r="X1621" s="3280"/>
      <c r="AA1621" s="3041"/>
      <c r="AF1621" s="3041"/>
      <c r="AN1621" s="3280"/>
      <c r="AZ1621" s="3041"/>
      <c r="BD1621" s="3281"/>
      <c r="BH1621" s="3282"/>
      <c r="BJ1621" s="2589"/>
      <c r="BK1621" s="2126"/>
      <c r="BL1621" s="2126"/>
      <c r="BM1621" s="2126"/>
      <c r="BN1621" s="2126"/>
      <c r="BO1621" s="2126"/>
      <c r="BP1621" s="2126"/>
      <c r="BQ1621" s="2126"/>
      <c r="BR1621" s="2126"/>
      <c r="BS1621" s="2126"/>
    </row>
    <row r="1622" spans="1:71" s="3030" customFormat="1">
      <c r="A1622" s="2126"/>
      <c r="B1622" s="2126"/>
      <c r="C1622" s="2149"/>
      <c r="D1622" s="3248"/>
      <c r="E1622" s="525"/>
      <c r="F1622" s="525"/>
      <c r="G1622" s="526"/>
      <c r="K1622" s="3280"/>
      <c r="P1622" s="3041"/>
      <c r="X1622" s="3280"/>
      <c r="AA1622" s="3041"/>
      <c r="AF1622" s="3041"/>
      <c r="AN1622" s="3280"/>
      <c r="AZ1622" s="3041"/>
      <c r="BD1622" s="3281"/>
      <c r="BH1622" s="3282"/>
      <c r="BJ1622" s="2589"/>
      <c r="BK1622" s="2126"/>
      <c r="BL1622" s="2126"/>
      <c r="BM1622" s="2126"/>
      <c r="BN1622" s="2126"/>
      <c r="BO1622" s="2126"/>
      <c r="BP1622" s="2126"/>
      <c r="BQ1622" s="2126"/>
      <c r="BR1622" s="2126"/>
      <c r="BS1622" s="2126"/>
    </row>
    <row r="1623" spans="1:71" s="3030" customFormat="1">
      <c r="A1623" s="2126"/>
      <c r="B1623" s="2126"/>
      <c r="C1623" s="2149"/>
      <c r="D1623" s="3248"/>
      <c r="E1623" s="525"/>
      <c r="F1623" s="525"/>
      <c r="G1623" s="526"/>
      <c r="K1623" s="3280"/>
      <c r="P1623" s="3041"/>
      <c r="X1623" s="3280"/>
      <c r="AA1623" s="3041"/>
      <c r="AF1623" s="3041"/>
      <c r="AN1623" s="3280"/>
      <c r="AZ1623" s="3041"/>
      <c r="BD1623" s="3281"/>
      <c r="BH1623" s="3282"/>
      <c r="BJ1623" s="2589"/>
      <c r="BK1623" s="2126"/>
      <c r="BL1623" s="2126"/>
      <c r="BM1623" s="2126"/>
      <c r="BN1623" s="2126"/>
      <c r="BO1623" s="2126"/>
      <c r="BP1623" s="2126"/>
      <c r="BQ1623" s="2126"/>
      <c r="BR1623" s="2126"/>
      <c r="BS1623" s="2126"/>
    </row>
    <row r="1624" spans="1:71" s="3030" customFormat="1">
      <c r="A1624" s="2126"/>
      <c r="B1624" s="2126"/>
      <c r="C1624" s="2149"/>
      <c r="D1624" s="3248"/>
      <c r="E1624" s="525"/>
      <c r="F1624" s="525"/>
      <c r="G1624" s="526"/>
      <c r="K1624" s="3280"/>
      <c r="P1624" s="3041"/>
      <c r="X1624" s="3280"/>
      <c r="AA1624" s="3041"/>
      <c r="AF1624" s="3041"/>
      <c r="AN1624" s="3280"/>
      <c r="AZ1624" s="3041"/>
      <c r="BD1624" s="3281"/>
      <c r="BH1624" s="3282"/>
      <c r="BJ1624" s="2589"/>
      <c r="BK1624" s="2126"/>
      <c r="BL1624" s="2126"/>
      <c r="BM1624" s="2126"/>
      <c r="BN1624" s="2126"/>
      <c r="BO1624" s="2126"/>
      <c r="BP1624" s="2126"/>
      <c r="BQ1624" s="2126"/>
      <c r="BR1624" s="2126"/>
      <c r="BS1624" s="2126"/>
    </row>
    <row r="1625" spans="1:71" s="3030" customFormat="1">
      <c r="A1625" s="2126"/>
      <c r="B1625" s="2126"/>
      <c r="C1625" s="2149"/>
      <c r="D1625" s="3248"/>
      <c r="E1625" s="525"/>
      <c r="F1625" s="525"/>
      <c r="G1625" s="526"/>
      <c r="K1625" s="3280"/>
      <c r="P1625" s="3041"/>
      <c r="X1625" s="3280"/>
      <c r="AA1625" s="3041"/>
      <c r="AF1625" s="3041"/>
      <c r="AN1625" s="3280"/>
      <c r="AZ1625" s="3041"/>
      <c r="BD1625" s="3281"/>
      <c r="BH1625" s="3282"/>
      <c r="BJ1625" s="2589"/>
      <c r="BK1625" s="2126"/>
      <c r="BL1625" s="2126"/>
      <c r="BM1625" s="2126"/>
      <c r="BN1625" s="2126"/>
      <c r="BO1625" s="2126"/>
      <c r="BP1625" s="2126"/>
      <c r="BQ1625" s="2126"/>
      <c r="BR1625" s="2126"/>
      <c r="BS1625" s="2126"/>
    </row>
    <row r="1626" spans="1:71" s="3030" customFormat="1">
      <c r="A1626" s="2126"/>
      <c r="B1626" s="2126"/>
      <c r="C1626" s="2149"/>
      <c r="D1626" s="3248"/>
      <c r="E1626" s="525"/>
      <c r="F1626" s="525"/>
      <c r="G1626" s="526"/>
      <c r="K1626" s="3280"/>
      <c r="P1626" s="3041"/>
      <c r="X1626" s="3280"/>
      <c r="AA1626" s="3041"/>
      <c r="AF1626" s="3041"/>
      <c r="AN1626" s="3280"/>
      <c r="AZ1626" s="3041"/>
      <c r="BD1626" s="3281"/>
      <c r="BH1626" s="3282"/>
      <c r="BJ1626" s="2589"/>
      <c r="BK1626" s="2126"/>
      <c r="BL1626" s="2126"/>
      <c r="BM1626" s="2126"/>
      <c r="BN1626" s="2126"/>
      <c r="BO1626" s="2126"/>
      <c r="BP1626" s="2126"/>
      <c r="BQ1626" s="2126"/>
      <c r="BR1626" s="2126"/>
      <c r="BS1626" s="2126"/>
    </row>
    <row r="1627" spans="1:71" s="3030" customFormat="1">
      <c r="A1627" s="2126"/>
      <c r="B1627" s="2126"/>
      <c r="C1627" s="2149"/>
      <c r="D1627" s="3248"/>
      <c r="E1627" s="525"/>
      <c r="F1627" s="525"/>
      <c r="G1627" s="526"/>
      <c r="K1627" s="3280"/>
      <c r="P1627" s="3041"/>
      <c r="X1627" s="3280"/>
      <c r="AA1627" s="3041"/>
      <c r="AF1627" s="3041"/>
      <c r="AN1627" s="3280"/>
      <c r="AZ1627" s="3041"/>
      <c r="BD1627" s="3281"/>
      <c r="BH1627" s="3282"/>
      <c r="BJ1627" s="2589"/>
      <c r="BK1627" s="2126"/>
      <c r="BL1627" s="2126"/>
      <c r="BM1627" s="2126"/>
      <c r="BN1627" s="2126"/>
      <c r="BO1627" s="2126"/>
      <c r="BP1627" s="2126"/>
      <c r="BQ1627" s="2126"/>
      <c r="BR1627" s="2126"/>
      <c r="BS1627" s="2126"/>
    </row>
    <row r="1628" spans="1:71" s="3030" customFormat="1">
      <c r="A1628" s="2126"/>
      <c r="B1628" s="2126"/>
      <c r="C1628" s="2149"/>
      <c r="D1628" s="3248"/>
      <c r="E1628" s="525"/>
      <c r="F1628" s="525"/>
      <c r="G1628" s="526"/>
      <c r="K1628" s="3280"/>
      <c r="P1628" s="3041"/>
      <c r="X1628" s="3280"/>
      <c r="AA1628" s="3041"/>
      <c r="AF1628" s="3041"/>
      <c r="AN1628" s="3280"/>
      <c r="AZ1628" s="3041"/>
      <c r="BD1628" s="3281"/>
      <c r="BH1628" s="3282"/>
      <c r="BJ1628" s="2589"/>
      <c r="BK1628" s="2126"/>
      <c r="BL1628" s="2126"/>
      <c r="BM1628" s="2126"/>
      <c r="BN1628" s="2126"/>
      <c r="BO1628" s="2126"/>
      <c r="BP1628" s="2126"/>
      <c r="BQ1628" s="2126"/>
      <c r="BR1628" s="2126"/>
      <c r="BS1628" s="2126"/>
    </row>
    <row r="1629" spans="1:71" s="3030" customFormat="1">
      <c r="A1629" s="2126"/>
      <c r="B1629" s="2126"/>
      <c r="C1629" s="2149"/>
      <c r="D1629" s="3248"/>
      <c r="E1629" s="525"/>
      <c r="F1629" s="525"/>
      <c r="G1629" s="526"/>
      <c r="K1629" s="3280"/>
      <c r="P1629" s="3041"/>
      <c r="X1629" s="3280"/>
      <c r="AA1629" s="3041"/>
      <c r="AF1629" s="3041"/>
      <c r="AN1629" s="3280"/>
      <c r="AZ1629" s="3041"/>
      <c r="BD1629" s="3281"/>
      <c r="BH1629" s="3282"/>
      <c r="BJ1629" s="2589"/>
      <c r="BK1629" s="2126"/>
      <c r="BL1629" s="2126"/>
      <c r="BM1629" s="2126"/>
      <c r="BN1629" s="2126"/>
      <c r="BO1629" s="2126"/>
      <c r="BP1629" s="2126"/>
      <c r="BQ1629" s="2126"/>
      <c r="BR1629" s="2126"/>
      <c r="BS1629" s="2126"/>
    </row>
    <row r="1630" spans="1:71" s="3030" customFormat="1">
      <c r="A1630" s="2126"/>
      <c r="B1630" s="2126"/>
      <c r="C1630" s="2149"/>
      <c r="D1630" s="3248"/>
      <c r="E1630" s="525"/>
      <c r="F1630" s="525"/>
      <c r="G1630" s="526"/>
      <c r="K1630" s="3280"/>
      <c r="P1630" s="3041"/>
      <c r="X1630" s="3280"/>
      <c r="AA1630" s="3041"/>
      <c r="AF1630" s="3041"/>
      <c r="AN1630" s="3280"/>
      <c r="AZ1630" s="3041"/>
      <c r="BD1630" s="3281"/>
      <c r="BH1630" s="3282"/>
      <c r="BJ1630" s="2589"/>
      <c r="BK1630" s="2126"/>
      <c r="BL1630" s="2126"/>
      <c r="BM1630" s="2126"/>
      <c r="BN1630" s="2126"/>
      <c r="BO1630" s="2126"/>
      <c r="BP1630" s="2126"/>
      <c r="BQ1630" s="2126"/>
      <c r="BR1630" s="2126"/>
      <c r="BS1630" s="2126"/>
    </row>
    <row r="1631" spans="1:71" s="3030" customFormat="1">
      <c r="A1631" s="2126"/>
      <c r="B1631" s="2126"/>
      <c r="C1631" s="2149"/>
      <c r="D1631" s="3248"/>
      <c r="E1631" s="525"/>
      <c r="F1631" s="525"/>
      <c r="G1631" s="526"/>
      <c r="K1631" s="3280"/>
      <c r="P1631" s="3041"/>
      <c r="X1631" s="3280"/>
      <c r="AA1631" s="3041"/>
      <c r="AF1631" s="3041"/>
      <c r="AN1631" s="3280"/>
      <c r="AZ1631" s="3041"/>
      <c r="BD1631" s="3281"/>
      <c r="BH1631" s="3282"/>
      <c r="BJ1631" s="2589"/>
      <c r="BK1631" s="2126"/>
      <c r="BL1631" s="2126"/>
      <c r="BM1631" s="2126"/>
      <c r="BN1631" s="2126"/>
      <c r="BO1631" s="2126"/>
      <c r="BP1631" s="2126"/>
      <c r="BQ1631" s="2126"/>
      <c r="BR1631" s="2126"/>
      <c r="BS1631" s="2126"/>
    </row>
    <row r="1632" spans="1:71" s="3030" customFormat="1">
      <c r="A1632" s="2126"/>
      <c r="B1632" s="2126"/>
      <c r="C1632" s="2149"/>
      <c r="D1632" s="3248"/>
      <c r="E1632" s="525"/>
      <c r="F1632" s="525"/>
      <c r="G1632" s="526"/>
      <c r="K1632" s="3280"/>
      <c r="P1632" s="3041"/>
      <c r="X1632" s="3280"/>
      <c r="AA1632" s="3041"/>
      <c r="AF1632" s="3041"/>
      <c r="AN1632" s="3280"/>
      <c r="AZ1632" s="3041"/>
      <c r="BD1632" s="3281"/>
      <c r="BH1632" s="3282"/>
      <c r="BJ1632" s="2589"/>
      <c r="BK1632" s="2126"/>
      <c r="BL1632" s="2126"/>
      <c r="BM1632" s="2126"/>
      <c r="BN1632" s="2126"/>
      <c r="BO1632" s="2126"/>
      <c r="BP1632" s="2126"/>
      <c r="BQ1632" s="2126"/>
      <c r="BR1632" s="2126"/>
      <c r="BS1632" s="2126"/>
    </row>
    <row r="1633" spans="1:71" s="3030" customFormat="1">
      <c r="A1633" s="2126"/>
      <c r="B1633" s="2126"/>
      <c r="C1633" s="2149"/>
      <c r="D1633" s="3248"/>
      <c r="E1633" s="525"/>
      <c r="F1633" s="525"/>
      <c r="G1633" s="526"/>
      <c r="K1633" s="3280"/>
      <c r="P1633" s="3041"/>
      <c r="X1633" s="3280"/>
      <c r="AA1633" s="3041"/>
      <c r="AF1633" s="3041"/>
      <c r="AN1633" s="3280"/>
      <c r="AZ1633" s="3041"/>
      <c r="BD1633" s="3281"/>
      <c r="BH1633" s="3282"/>
      <c r="BJ1633" s="2589"/>
      <c r="BK1633" s="2126"/>
      <c r="BL1633" s="2126"/>
      <c r="BM1633" s="2126"/>
      <c r="BN1633" s="2126"/>
      <c r="BO1633" s="2126"/>
      <c r="BP1633" s="2126"/>
      <c r="BQ1633" s="2126"/>
      <c r="BR1633" s="2126"/>
      <c r="BS1633" s="2126"/>
    </row>
    <row r="1634" spans="1:71" s="3030" customFormat="1">
      <c r="A1634" s="2126"/>
      <c r="B1634" s="2126"/>
      <c r="C1634" s="2149"/>
      <c r="D1634" s="3248"/>
      <c r="E1634" s="525"/>
      <c r="F1634" s="525"/>
      <c r="G1634" s="526"/>
      <c r="K1634" s="3280"/>
      <c r="P1634" s="3041"/>
      <c r="X1634" s="3280"/>
      <c r="AA1634" s="3041"/>
      <c r="AF1634" s="3041"/>
      <c r="AN1634" s="3280"/>
      <c r="AZ1634" s="3041"/>
      <c r="BD1634" s="3281"/>
      <c r="BH1634" s="3282"/>
      <c r="BJ1634" s="2589"/>
      <c r="BK1634" s="2126"/>
      <c r="BL1634" s="2126"/>
      <c r="BM1634" s="2126"/>
      <c r="BN1634" s="2126"/>
      <c r="BO1634" s="2126"/>
      <c r="BP1634" s="2126"/>
      <c r="BQ1634" s="2126"/>
      <c r="BR1634" s="2126"/>
      <c r="BS1634" s="2126"/>
    </row>
    <row r="1635" spans="1:71" s="3030" customFormat="1">
      <c r="A1635" s="2126"/>
      <c r="B1635" s="2126"/>
      <c r="C1635" s="2149"/>
      <c r="D1635" s="3248"/>
      <c r="E1635" s="525"/>
      <c r="F1635" s="525"/>
      <c r="G1635" s="526"/>
      <c r="K1635" s="3280"/>
      <c r="P1635" s="3041"/>
      <c r="X1635" s="3280"/>
      <c r="AA1635" s="3041"/>
      <c r="AF1635" s="3041"/>
      <c r="AN1635" s="3280"/>
      <c r="AZ1635" s="3041"/>
      <c r="BD1635" s="3281"/>
      <c r="BH1635" s="3282"/>
      <c r="BJ1635" s="2589"/>
      <c r="BK1635" s="2126"/>
      <c r="BL1635" s="2126"/>
      <c r="BM1635" s="2126"/>
      <c r="BN1635" s="2126"/>
      <c r="BO1635" s="2126"/>
      <c r="BP1635" s="2126"/>
      <c r="BQ1635" s="2126"/>
      <c r="BR1635" s="2126"/>
      <c r="BS1635" s="2126"/>
    </row>
    <row r="1636" spans="1:71" s="3030" customFormat="1">
      <c r="A1636" s="2126"/>
      <c r="B1636" s="2126"/>
      <c r="C1636" s="2149"/>
      <c r="D1636" s="3248"/>
      <c r="E1636" s="525"/>
      <c r="F1636" s="525"/>
      <c r="G1636" s="526"/>
      <c r="K1636" s="3280"/>
      <c r="P1636" s="3041"/>
      <c r="X1636" s="3280"/>
      <c r="AA1636" s="3041"/>
      <c r="AF1636" s="3041"/>
      <c r="AN1636" s="3280"/>
      <c r="AZ1636" s="3041"/>
      <c r="BD1636" s="3281"/>
      <c r="BH1636" s="3282"/>
      <c r="BJ1636" s="2589"/>
      <c r="BK1636" s="2126"/>
      <c r="BL1636" s="2126"/>
      <c r="BM1636" s="2126"/>
      <c r="BN1636" s="2126"/>
      <c r="BO1636" s="2126"/>
      <c r="BP1636" s="2126"/>
      <c r="BQ1636" s="2126"/>
      <c r="BR1636" s="2126"/>
      <c r="BS1636" s="2126"/>
    </row>
    <row r="1637" spans="1:71" s="3030" customFormat="1">
      <c r="A1637" s="2126"/>
      <c r="B1637" s="2126"/>
      <c r="C1637" s="2149"/>
      <c r="D1637" s="3248"/>
      <c r="E1637" s="525"/>
      <c r="F1637" s="525"/>
      <c r="G1637" s="526"/>
      <c r="K1637" s="3280"/>
      <c r="P1637" s="3041"/>
      <c r="X1637" s="3280"/>
      <c r="AA1637" s="3041"/>
      <c r="AF1637" s="3041"/>
      <c r="AN1637" s="3280"/>
      <c r="AZ1637" s="3041"/>
      <c r="BD1637" s="3281"/>
      <c r="BH1637" s="3282"/>
      <c r="BJ1637" s="2589"/>
      <c r="BK1637" s="2126"/>
      <c r="BL1637" s="2126"/>
      <c r="BM1637" s="2126"/>
      <c r="BN1637" s="2126"/>
      <c r="BO1637" s="2126"/>
      <c r="BP1637" s="2126"/>
      <c r="BQ1637" s="2126"/>
      <c r="BR1637" s="2126"/>
      <c r="BS1637" s="2126"/>
    </row>
    <row r="1638" spans="1:71" s="3030" customFormat="1">
      <c r="A1638" s="2126"/>
      <c r="B1638" s="2126"/>
      <c r="C1638" s="2149"/>
      <c r="D1638" s="3248"/>
      <c r="E1638" s="525"/>
      <c r="F1638" s="525"/>
      <c r="G1638" s="526"/>
      <c r="K1638" s="3280"/>
      <c r="P1638" s="3041"/>
      <c r="X1638" s="3280"/>
      <c r="AA1638" s="3041"/>
      <c r="AF1638" s="3041"/>
      <c r="AN1638" s="3280"/>
      <c r="AZ1638" s="3041"/>
      <c r="BD1638" s="3281"/>
      <c r="BH1638" s="3282"/>
      <c r="BJ1638" s="2589"/>
      <c r="BK1638" s="2126"/>
      <c r="BL1638" s="2126"/>
      <c r="BM1638" s="2126"/>
      <c r="BN1638" s="2126"/>
      <c r="BO1638" s="2126"/>
      <c r="BP1638" s="2126"/>
      <c r="BQ1638" s="2126"/>
      <c r="BR1638" s="2126"/>
      <c r="BS1638" s="2126"/>
    </row>
    <row r="1639" spans="1:71" s="3030" customFormat="1">
      <c r="A1639" s="2126"/>
      <c r="B1639" s="2126"/>
      <c r="C1639" s="2149"/>
      <c r="D1639" s="3248"/>
      <c r="E1639" s="525"/>
      <c r="F1639" s="525"/>
      <c r="G1639" s="526"/>
      <c r="K1639" s="3280"/>
      <c r="P1639" s="3041"/>
      <c r="X1639" s="3280"/>
      <c r="AA1639" s="3041"/>
      <c r="AF1639" s="3041"/>
      <c r="AN1639" s="3280"/>
      <c r="AZ1639" s="3041"/>
      <c r="BD1639" s="3281"/>
      <c r="BH1639" s="3282"/>
      <c r="BJ1639" s="2589"/>
      <c r="BK1639" s="2126"/>
      <c r="BL1639" s="2126"/>
      <c r="BM1639" s="2126"/>
      <c r="BN1639" s="2126"/>
      <c r="BO1639" s="2126"/>
      <c r="BP1639" s="2126"/>
      <c r="BQ1639" s="2126"/>
      <c r="BR1639" s="2126"/>
      <c r="BS1639" s="2126"/>
    </row>
    <row r="1640" spans="1:71" s="3030" customFormat="1">
      <c r="A1640" s="2126"/>
      <c r="B1640" s="2126"/>
      <c r="C1640" s="2149"/>
      <c r="D1640" s="3248"/>
      <c r="E1640" s="525"/>
      <c r="F1640" s="525"/>
      <c r="G1640" s="526"/>
      <c r="K1640" s="3280"/>
      <c r="P1640" s="3041"/>
      <c r="X1640" s="3280"/>
      <c r="AA1640" s="3041"/>
      <c r="AF1640" s="3041"/>
      <c r="AN1640" s="3280"/>
      <c r="AZ1640" s="3041"/>
      <c r="BD1640" s="3281"/>
      <c r="BH1640" s="3282"/>
      <c r="BJ1640" s="2589"/>
      <c r="BK1640" s="2126"/>
      <c r="BL1640" s="2126"/>
      <c r="BM1640" s="2126"/>
      <c r="BN1640" s="2126"/>
      <c r="BO1640" s="2126"/>
      <c r="BP1640" s="2126"/>
      <c r="BQ1640" s="2126"/>
      <c r="BR1640" s="2126"/>
      <c r="BS1640" s="2126"/>
    </row>
    <row r="1641" spans="1:71" s="3030" customFormat="1">
      <c r="A1641" s="2126"/>
      <c r="B1641" s="2126"/>
      <c r="C1641" s="2149"/>
      <c r="D1641" s="3248"/>
      <c r="E1641" s="525"/>
      <c r="F1641" s="525"/>
      <c r="G1641" s="526"/>
      <c r="K1641" s="3280"/>
      <c r="P1641" s="3041"/>
      <c r="X1641" s="3280"/>
      <c r="AA1641" s="3041"/>
      <c r="AF1641" s="3041"/>
      <c r="AN1641" s="3280"/>
      <c r="AZ1641" s="3041"/>
      <c r="BD1641" s="3281"/>
      <c r="BH1641" s="3282"/>
      <c r="BJ1641" s="2589"/>
      <c r="BK1641" s="2126"/>
      <c r="BL1641" s="2126"/>
      <c r="BM1641" s="2126"/>
      <c r="BN1641" s="2126"/>
      <c r="BO1641" s="2126"/>
      <c r="BP1641" s="2126"/>
      <c r="BQ1641" s="2126"/>
      <c r="BR1641" s="2126"/>
      <c r="BS1641" s="2126"/>
    </row>
    <row r="1642" spans="1:71" s="3030" customFormat="1">
      <c r="A1642" s="2126"/>
      <c r="B1642" s="2126"/>
      <c r="C1642" s="2149"/>
      <c r="D1642" s="3248"/>
      <c r="E1642" s="525"/>
      <c r="F1642" s="525"/>
      <c r="G1642" s="526"/>
      <c r="K1642" s="3280"/>
      <c r="P1642" s="3041"/>
      <c r="X1642" s="3280"/>
      <c r="AA1642" s="3041"/>
      <c r="AF1642" s="3041"/>
      <c r="AN1642" s="3280"/>
      <c r="AZ1642" s="3041"/>
      <c r="BD1642" s="3281"/>
      <c r="BH1642" s="3282"/>
      <c r="BJ1642" s="2589"/>
      <c r="BK1642" s="2126"/>
      <c r="BL1642" s="2126"/>
      <c r="BM1642" s="2126"/>
      <c r="BN1642" s="2126"/>
      <c r="BO1642" s="2126"/>
      <c r="BP1642" s="2126"/>
      <c r="BQ1642" s="2126"/>
      <c r="BR1642" s="2126"/>
      <c r="BS1642" s="2126"/>
    </row>
    <row r="1643" spans="1:71" s="3030" customFormat="1">
      <c r="A1643" s="2126"/>
      <c r="B1643" s="2126"/>
      <c r="C1643" s="2149"/>
      <c r="D1643" s="3248"/>
      <c r="E1643" s="525"/>
      <c r="F1643" s="525"/>
      <c r="G1643" s="526"/>
      <c r="K1643" s="3280"/>
      <c r="P1643" s="3041"/>
      <c r="X1643" s="3280"/>
      <c r="AA1643" s="3041"/>
      <c r="AF1643" s="3041"/>
      <c r="AN1643" s="3280"/>
      <c r="AZ1643" s="3041"/>
      <c r="BD1643" s="3281"/>
      <c r="BH1643" s="3282"/>
      <c r="BJ1643" s="2589"/>
      <c r="BK1643" s="2126"/>
      <c r="BL1643" s="2126"/>
      <c r="BM1643" s="2126"/>
      <c r="BN1643" s="2126"/>
      <c r="BO1643" s="2126"/>
      <c r="BP1643" s="2126"/>
      <c r="BQ1643" s="2126"/>
      <c r="BR1643" s="2126"/>
      <c r="BS1643" s="2126"/>
    </row>
    <row r="1644" spans="1:71" s="3030" customFormat="1">
      <c r="A1644" s="2126"/>
      <c r="B1644" s="2126"/>
      <c r="C1644" s="2149"/>
      <c r="D1644" s="3248"/>
      <c r="E1644" s="525"/>
      <c r="F1644" s="525"/>
      <c r="G1644" s="526"/>
      <c r="K1644" s="3280"/>
      <c r="P1644" s="3041"/>
      <c r="X1644" s="3280"/>
      <c r="AA1644" s="3041"/>
      <c r="AF1644" s="3041"/>
      <c r="AN1644" s="3280"/>
      <c r="AZ1644" s="3041"/>
      <c r="BD1644" s="3281"/>
      <c r="BH1644" s="3282"/>
      <c r="BJ1644" s="2589"/>
      <c r="BK1644" s="2126"/>
      <c r="BL1644" s="2126"/>
      <c r="BM1644" s="2126"/>
      <c r="BN1644" s="2126"/>
      <c r="BO1644" s="2126"/>
      <c r="BP1644" s="2126"/>
      <c r="BQ1644" s="2126"/>
      <c r="BR1644" s="2126"/>
      <c r="BS1644" s="2126"/>
    </row>
    <row r="1645" spans="1:71" s="3030" customFormat="1">
      <c r="A1645" s="2126"/>
      <c r="B1645" s="2126"/>
      <c r="C1645" s="2149"/>
      <c r="D1645" s="3248"/>
      <c r="E1645" s="525"/>
      <c r="F1645" s="525"/>
      <c r="G1645" s="526"/>
      <c r="K1645" s="3280"/>
      <c r="P1645" s="3041"/>
      <c r="X1645" s="3280"/>
      <c r="AA1645" s="3041"/>
      <c r="AF1645" s="3041"/>
      <c r="AN1645" s="3280"/>
      <c r="AZ1645" s="3041"/>
      <c r="BD1645" s="3281"/>
      <c r="BH1645" s="3282"/>
      <c r="BJ1645" s="2589"/>
      <c r="BK1645" s="2126"/>
      <c r="BL1645" s="2126"/>
      <c r="BM1645" s="2126"/>
      <c r="BN1645" s="2126"/>
      <c r="BO1645" s="2126"/>
      <c r="BP1645" s="2126"/>
      <c r="BQ1645" s="2126"/>
      <c r="BR1645" s="2126"/>
      <c r="BS1645" s="2126"/>
    </row>
    <row r="1646" spans="1:71" s="3030" customFormat="1">
      <c r="A1646" s="2126"/>
      <c r="B1646" s="2126"/>
      <c r="C1646" s="2149"/>
      <c r="D1646" s="3248"/>
      <c r="E1646" s="525"/>
      <c r="F1646" s="525"/>
      <c r="G1646" s="526"/>
      <c r="K1646" s="3280"/>
      <c r="P1646" s="3041"/>
      <c r="X1646" s="3280"/>
      <c r="AA1646" s="3041"/>
      <c r="AF1646" s="3041"/>
      <c r="AN1646" s="3280"/>
      <c r="AZ1646" s="3041"/>
      <c r="BD1646" s="3281"/>
      <c r="BH1646" s="3282"/>
      <c r="BJ1646" s="2589"/>
      <c r="BK1646" s="2126"/>
      <c r="BL1646" s="2126"/>
      <c r="BM1646" s="2126"/>
      <c r="BN1646" s="2126"/>
      <c r="BO1646" s="2126"/>
      <c r="BP1646" s="2126"/>
      <c r="BQ1646" s="2126"/>
      <c r="BR1646" s="2126"/>
      <c r="BS1646" s="2126"/>
    </row>
    <row r="1647" spans="1:71" s="3030" customFormat="1">
      <c r="A1647" s="2126"/>
      <c r="B1647" s="2126"/>
      <c r="C1647" s="2149"/>
      <c r="D1647" s="3248"/>
      <c r="E1647" s="525"/>
      <c r="F1647" s="525"/>
      <c r="G1647" s="526"/>
      <c r="K1647" s="3280"/>
      <c r="P1647" s="3041"/>
      <c r="X1647" s="3280"/>
      <c r="AA1647" s="3041"/>
      <c r="AF1647" s="3041"/>
      <c r="AN1647" s="3280"/>
      <c r="AZ1647" s="3041"/>
      <c r="BD1647" s="3281"/>
      <c r="BH1647" s="3282"/>
      <c r="BJ1647" s="2589"/>
      <c r="BK1647" s="2126"/>
      <c r="BL1647" s="2126"/>
      <c r="BM1647" s="2126"/>
      <c r="BN1647" s="2126"/>
      <c r="BO1647" s="2126"/>
      <c r="BP1647" s="2126"/>
      <c r="BQ1647" s="2126"/>
      <c r="BR1647" s="2126"/>
      <c r="BS1647" s="2126"/>
    </row>
    <row r="1648" spans="1:71" s="3030" customFormat="1">
      <c r="A1648" s="2126"/>
      <c r="B1648" s="2126"/>
      <c r="C1648" s="2149"/>
      <c r="D1648" s="3248"/>
      <c r="E1648" s="525"/>
      <c r="F1648" s="525"/>
      <c r="G1648" s="526"/>
      <c r="K1648" s="3280"/>
      <c r="P1648" s="3041"/>
      <c r="X1648" s="3280"/>
      <c r="AA1648" s="3041"/>
      <c r="AF1648" s="3041"/>
      <c r="AN1648" s="3280"/>
      <c r="AZ1648" s="3041"/>
      <c r="BD1648" s="3281"/>
      <c r="BH1648" s="3282"/>
      <c r="BJ1648" s="2589"/>
      <c r="BK1648" s="2126"/>
      <c r="BL1648" s="2126"/>
      <c r="BM1648" s="2126"/>
      <c r="BN1648" s="2126"/>
      <c r="BO1648" s="2126"/>
      <c r="BP1648" s="2126"/>
      <c r="BQ1648" s="2126"/>
      <c r="BR1648" s="2126"/>
      <c r="BS1648" s="2126"/>
    </row>
    <row r="1649" spans="1:71" s="3030" customFormat="1">
      <c r="A1649" s="2126"/>
      <c r="B1649" s="2126"/>
      <c r="C1649" s="2149"/>
      <c r="D1649" s="3248"/>
      <c r="E1649" s="525"/>
      <c r="F1649" s="525"/>
      <c r="G1649" s="526"/>
      <c r="K1649" s="3280"/>
      <c r="P1649" s="3041"/>
      <c r="X1649" s="3280"/>
      <c r="AA1649" s="3041"/>
      <c r="AF1649" s="3041"/>
      <c r="AN1649" s="3280"/>
      <c r="AZ1649" s="3041"/>
      <c r="BD1649" s="3281"/>
      <c r="BH1649" s="3282"/>
      <c r="BJ1649" s="2589"/>
      <c r="BK1649" s="2126"/>
      <c r="BL1649" s="2126"/>
      <c r="BM1649" s="2126"/>
      <c r="BN1649" s="2126"/>
      <c r="BO1649" s="2126"/>
      <c r="BP1649" s="2126"/>
      <c r="BQ1649" s="2126"/>
      <c r="BR1649" s="2126"/>
      <c r="BS1649" s="2126"/>
    </row>
    <row r="1650" spans="1:71" s="3030" customFormat="1">
      <c r="A1650" s="2126"/>
      <c r="B1650" s="2126"/>
      <c r="C1650" s="2149"/>
      <c r="D1650" s="3248"/>
      <c r="E1650" s="525"/>
      <c r="F1650" s="525"/>
      <c r="G1650" s="526"/>
      <c r="K1650" s="3280"/>
      <c r="P1650" s="3041"/>
      <c r="X1650" s="3280"/>
      <c r="AA1650" s="3041"/>
      <c r="AF1650" s="3041"/>
      <c r="AN1650" s="3280"/>
      <c r="AZ1650" s="3041"/>
      <c r="BD1650" s="3281"/>
      <c r="BH1650" s="3282"/>
      <c r="BJ1650" s="2589"/>
      <c r="BK1650" s="2126"/>
      <c r="BL1650" s="2126"/>
      <c r="BM1650" s="2126"/>
      <c r="BN1650" s="2126"/>
      <c r="BO1650" s="2126"/>
      <c r="BP1650" s="2126"/>
      <c r="BQ1650" s="2126"/>
      <c r="BR1650" s="2126"/>
      <c r="BS1650" s="2126"/>
    </row>
    <row r="1651" spans="1:71" s="3030" customFormat="1">
      <c r="A1651" s="2126"/>
      <c r="B1651" s="2126"/>
      <c r="C1651" s="2149"/>
      <c r="D1651" s="3248"/>
      <c r="E1651" s="525"/>
      <c r="F1651" s="525"/>
      <c r="G1651" s="526"/>
      <c r="K1651" s="3280"/>
      <c r="P1651" s="3041"/>
      <c r="X1651" s="3280"/>
      <c r="AA1651" s="3041"/>
      <c r="AF1651" s="3041"/>
      <c r="AN1651" s="3280"/>
      <c r="AZ1651" s="3041"/>
      <c r="BD1651" s="3281"/>
      <c r="BH1651" s="3282"/>
      <c r="BJ1651" s="2589"/>
      <c r="BK1651" s="2126"/>
      <c r="BL1651" s="2126"/>
      <c r="BM1651" s="2126"/>
      <c r="BN1651" s="2126"/>
      <c r="BO1651" s="2126"/>
      <c r="BP1651" s="2126"/>
      <c r="BQ1651" s="2126"/>
      <c r="BR1651" s="2126"/>
      <c r="BS1651" s="2126"/>
    </row>
    <row r="1652" spans="1:71" s="3030" customFormat="1">
      <c r="A1652" s="2126"/>
      <c r="B1652" s="2126"/>
      <c r="C1652" s="2149"/>
      <c r="D1652" s="3248"/>
      <c r="E1652" s="525"/>
      <c r="F1652" s="525"/>
      <c r="G1652" s="526"/>
      <c r="K1652" s="3280"/>
      <c r="P1652" s="3041"/>
      <c r="X1652" s="3280"/>
      <c r="AA1652" s="3041"/>
      <c r="AF1652" s="3041"/>
      <c r="AN1652" s="3280"/>
      <c r="AZ1652" s="3041"/>
      <c r="BD1652" s="3281"/>
      <c r="BH1652" s="3282"/>
      <c r="BJ1652" s="2589"/>
      <c r="BK1652" s="2126"/>
      <c r="BL1652" s="2126"/>
      <c r="BM1652" s="2126"/>
      <c r="BN1652" s="2126"/>
      <c r="BO1652" s="2126"/>
      <c r="BP1652" s="2126"/>
      <c r="BQ1652" s="2126"/>
      <c r="BR1652" s="2126"/>
      <c r="BS1652" s="2126"/>
    </row>
    <row r="1653" spans="1:71" s="3030" customFormat="1">
      <c r="A1653" s="2126"/>
      <c r="B1653" s="2126"/>
      <c r="C1653" s="2149"/>
      <c r="D1653" s="3248"/>
      <c r="E1653" s="525"/>
      <c r="F1653" s="525"/>
      <c r="G1653" s="526"/>
      <c r="K1653" s="3280"/>
      <c r="P1653" s="3041"/>
      <c r="X1653" s="3280"/>
      <c r="AA1653" s="3041"/>
      <c r="AF1653" s="3041"/>
      <c r="AN1653" s="3280"/>
      <c r="AZ1653" s="3041"/>
      <c r="BD1653" s="3281"/>
      <c r="BH1653" s="3282"/>
      <c r="BJ1653" s="2589"/>
      <c r="BK1653" s="2126"/>
      <c r="BL1653" s="2126"/>
      <c r="BM1653" s="2126"/>
      <c r="BN1653" s="2126"/>
      <c r="BO1653" s="2126"/>
      <c r="BP1653" s="2126"/>
      <c r="BQ1653" s="2126"/>
      <c r="BR1653" s="2126"/>
      <c r="BS1653" s="2126"/>
    </row>
    <row r="1654" spans="1:71" s="3030" customFormat="1">
      <c r="A1654" s="2126"/>
      <c r="B1654" s="2126"/>
      <c r="C1654" s="2149"/>
      <c r="D1654" s="3248"/>
      <c r="E1654" s="525"/>
      <c r="F1654" s="525"/>
      <c r="G1654" s="526"/>
      <c r="K1654" s="3280"/>
      <c r="P1654" s="3041"/>
      <c r="X1654" s="3280"/>
      <c r="AA1654" s="3041"/>
      <c r="AF1654" s="3041"/>
      <c r="AN1654" s="3280"/>
      <c r="AZ1654" s="3041"/>
      <c r="BD1654" s="3281"/>
      <c r="BH1654" s="3282"/>
      <c r="BJ1654" s="2589"/>
      <c r="BK1654" s="2126"/>
      <c r="BL1654" s="2126"/>
      <c r="BM1654" s="2126"/>
      <c r="BN1654" s="2126"/>
      <c r="BO1654" s="2126"/>
      <c r="BP1654" s="2126"/>
      <c r="BQ1654" s="2126"/>
      <c r="BR1654" s="2126"/>
      <c r="BS1654" s="2126"/>
    </row>
    <row r="1655" spans="1:71" s="3030" customFormat="1">
      <c r="A1655" s="2126"/>
      <c r="B1655" s="2126"/>
      <c r="C1655" s="2149"/>
      <c r="D1655" s="3248"/>
      <c r="E1655" s="525"/>
      <c r="F1655" s="525"/>
      <c r="G1655" s="526"/>
      <c r="K1655" s="3280"/>
      <c r="P1655" s="3041"/>
      <c r="X1655" s="3280"/>
      <c r="AA1655" s="3041"/>
      <c r="AF1655" s="3041"/>
      <c r="AN1655" s="3280"/>
      <c r="AZ1655" s="3041"/>
      <c r="BD1655" s="3281"/>
      <c r="BH1655" s="3282"/>
      <c r="BJ1655" s="2589"/>
      <c r="BK1655" s="2126"/>
      <c r="BL1655" s="2126"/>
      <c r="BM1655" s="2126"/>
      <c r="BN1655" s="2126"/>
      <c r="BO1655" s="2126"/>
      <c r="BP1655" s="2126"/>
      <c r="BQ1655" s="2126"/>
      <c r="BR1655" s="2126"/>
      <c r="BS1655" s="2126"/>
    </row>
    <row r="1656" spans="1:71" s="3030" customFormat="1">
      <c r="A1656" s="2126"/>
      <c r="B1656" s="2126"/>
      <c r="C1656" s="2149"/>
      <c r="D1656" s="3248"/>
      <c r="E1656" s="525"/>
      <c r="F1656" s="525"/>
      <c r="G1656" s="526"/>
      <c r="K1656" s="3280"/>
      <c r="P1656" s="3041"/>
      <c r="X1656" s="3280"/>
      <c r="AA1656" s="3041"/>
      <c r="AF1656" s="3041"/>
      <c r="AN1656" s="3280"/>
      <c r="AZ1656" s="3041"/>
      <c r="BD1656" s="3281"/>
      <c r="BH1656" s="3282"/>
      <c r="BJ1656" s="2589"/>
      <c r="BK1656" s="2126"/>
      <c r="BL1656" s="2126"/>
      <c r="BM1656" s="2126"/>
      <c r="BN1656" s="2126"/>
      <c r="BO1656" s="2126"/>
      <c r="BP1656" s="2126"/>
      <c r="BQ1656" s="2126"/>
      <c r="BR1656" s="2126"/>
      <c r="BS1656" s="2126"/>
    </row>
    <row r="1657" spans="1:71" s="3030" customFormat="1">
      <c r="A1657" s="2126"/>
      <c r="B1657" s="2126"/>
      <c r="C1657" s="2149"/>
      <c r="D1657" s="3248"/>
      <c r="E1657" s="525"/>
      <c r="F1657" s="525"/>
      <c r="G1657" s="526"/>
      <c r="K1657" s="3280"/>
      <c r="P1657" s="3041"/>
      <c r="X1657" s="3280"/>
      <c r="AA1657" s="3041"/>
      <c r="AF1657" s="3041"/>
      <c r="AN1657" s="3280"/>
      <c r="AZ1657" s="3041"/>
      <c r="BD1657" s="3281"/>
      <c r="BH1657" s="3282"/>
      <c r="BJ1657" s="2589"/>
      <c r="BK1657" s="2126"/>
      <c r="BL1657" s="2126"/>
      <c r="BM1657" s="2126"/>
      <c r="BN1657" s="2126"/>
      <c r="BO1657" s="2126"/>
      <c r="BP1657" s="2126"/>
      <c r="BQ1657" s="2126"/>
      <c r="BR1657" s="2126"/>
      <c r="BS1657" s="2126"/>
    </row>
    <row r="1658" spans="1:71" s="3030" customFormat="1">
      <c r="A1658" s="2126"/>
      <c r="B1658" s="2126"/>
      <c r="C1658" s="2149"/>
      <c r="D1658" s="3248"/>
      <c r="E1658" s="525"/>
      <c r="F1658" s="525"/>
      <c r="G1658" s="526"/>
      <c r="K1658" s="3280"/>
      <c r="P1658" s="3041"/>
      <c r="X1658" s="3280"/>
      <c r="AA1658" s="3041"/>
      <c r="AF1658" s="3041"/>
      <c r="AN1658" s="3280"/>
      <c r="AZ1658" s="3041"/>
      <c r="BD1658" s="3281"/>
      <c r="BH1658" s="3282"/>
      <c r="BJ1658" s="2589"/>
      <c r="BK1658" s="2126"/>
      <c r="BL1658" s="2126"/>
      <c r="BM1658" s="2126"/>
      <c r="BN1658" s="2126"/>
      <c r="BO1658" s="2126"/>
      <c r="BP1658" s="2126"/>
      <c r="BQ1658" s="2126"/>
      <c r="BR1658" s="2126"/>
      <c r="BS1658" s="2126"/>
    </row>
    <row r="1659" spans="1:71" s="3030" customFormat="1">
      <c r="A1659" s="2126"/>
      <c r="B1659" s="2126"/>
      <c r="C1659" s="2149"/>
      <c r="D1659" s="3248"/>
      <c r="E1659" s="525"/>
      <c r="F1659" s="525"/>
      <c r="G1659" s="526"/>
      <c r="K1659" s="3280"/>
      <c r="P1659" s="3041"/>
      <c r="X1659" s="3280"/>
      <c r="AA1659" s="3041"/>
      <c r="AF1659" s="3041"/>
      <c r="AN1659" s="3280"/>
      <c r="AZ1659" s="3041"/>
      <c r="BD1659" s="3281"/>
      <c r="BH1659" s="3282"/>
      <c r="BJ1659" s="2589"/>
      <c r="BK1659" s="2126"/>
      <c r="BL1659" s="2126"/>
      <c r="BM1659" s="2126"/>
      <c r="BN1659" s="2126"/>
      <c r="BO1659" s="2126"/>
      <c r="BP1659" s="2126"/>
      <c r="BQ1659" s="2126"/>
      <c r="BR1659" s="2126"/>
      <c r="BS1659" s="2126"/>
    </row>
    <row r="1660" spans="1:71" s="3030" customFormat="1">
      <c r="A1660" s="2126"/>
      <c r="B1660" s="2126"/>
      <c r="C1660" s="2149"/>
      <c r="D1660" s="3248"/>
      <c r="E1660" s="525"/>
      <c r="F1660" s="525"/>
      <c r="G1660" s="526"/>
      <c r="K1660" s="3280"/>
      <c r="P1660" s="3041"/>
      <c r="X1660" s="3280"/>
      <c r="AA1660" s="3041"/>
      <c r="AF1660" s="3041"/>
      <c r="AN1660" s="3280"/>
      <c r="AZ1660" s="3041"/>
      <c r="BD1660" s="3281"/>
      <c r="BH1660" s="3282"/>
      <c r="BJ1660" s="2589"/>
      <c r="BK1660" s="2126"/>
      <c r="BL1660" s="2126"/>
      <c r="BM1660" s="2126"/>
      <c r="BN1660" s="2126"/>
      <c r="BO1660" s="2126"/>
      <c r="BP1660" s="2126"/>
      <c r="BQ1660" s="2126"/>
      <c r="BR1660" s="2126"/>
      <c r="BS1660" s="2126"/>
    </row>
    <row r="1661" spans="1:71" s="3030" customFormat="1">
      <c r="A1661" s="2126"/>
      <c r="B1661" s="2126"/>
      <c r="C1661" s="2149"/>
      <c r="D1661" s="3248"/>
      <c r="E1661" s="525"/>
      <c r="F1661" s="525"/>
      <c r="G1661" s="526"/>
      <c r="K1661" s="3280"/>
      <c r="P1661" s="3041"/>
      <c r="X1661" s="3280"/>
      <c r="AA1661" s="3041"/>
      <c r="AF1661" s="3041"/>
      <c r="AN1661" s="3280"/>
      <c r="AZ1661" s="3041"/>
      <c r="BD1661" s="3281"/>
      <c r="BH1661" s="3282"/>
      <c r="BJ1661" s="2589"/>
      <c r="BK1661" s="2126"/>
      <c r="BL1661" s="2126"/>
      <c r="BM1661" s="2126"/>
      <c r="BN1661" s="2126"/>
      <c r="BO1661" s="2126"/>
      <c r="BP1661" s="2126"/>
      <c r="BQ1661" s="2126"/>
      <c r="BR1661" s="2126"/>
      <c r="BS1661" s="2126"/>
    </row>
    <row r="1662" spans="1:71" s="3030" customFormat="1">
      <c r="A1662" s="2126"/>
      <c r="B1662" s="2126"/>
      <c r="C1662" s="2149"/>
      <c r="D1662" s="3248"/>
      <c r="E1662" s="525"/>
      <c r="F1662" s="525"/>
      <c r="G1662" s="526"/>
      <c r="K1662" s="3280"/>
      <c r="P1662" s="3041"/>
      <c r="X1662" s="3280"/>
      <c r="AA1662" s="3041"/>
      <c r="AF1662" s="3041"/>
      <c r="AN1662" s="3280"/>
      <c r="AZ1662" s="3041"/>
      <c r="BD1662" s="3281"/>
      <c r="BH1662" s="3282"/>
      <c r="BJ1662" s="2589"/>
      <c r="BK1662" s="2126"/>
      <c r="BL1662" s="2126"/>
      <c r="BM1662" s="2126"/>
      <c r="BN1662" s="2126"/>
      <c r="BO1662" s="2126"/>
      <c r="BP1662" s="2126"/>
      <c r="BQ1662" s="2126"/>
      <c r="BR1662" s="2126"/>
      <c r="BS1662" s="2126"/>
    </row>
    <row r="1663" spans="1:71" s="3030" customFormat="1">
      <c r="A1663" s="2126"/>
      <c r="B1663" s="2126"/>
      <c r="C1663" s="2149"/>
      <c r="D1663" s="3248"/>
      <c r="E1663" s="525"/>
      <c r="F1663" s="525"/>
      <c r="G1663" s="526"/>
      <c r="K1663" s="3280"/>
      <c r="P1663" s="3041"/>
      <c r="X1663" s="3280"/>
      <c r="AA1663" s="3041"/>
      <c r="AF1663" s="3041"/>
      <c r="AN1663" s="3280"/>
      <c r="AZ1663" s="3041"/>
      <c r="BD1663" s="3281"/>
      <c r="BH1663" s="3282"/>
      <c r="BJ1663" s="2589"/>
      <c r="BK1663" s="2126"/>
      <c r="BL1663" s="2126"/>
      <c r="BM1663" s="2126"/>
      <c r="BN1663" s="2126"/>
      <c r="BO1663" s="2126"/>
      <c r="BP1663" s="2126"/>
      <c r="BQ1663" s="2126"/>
      <c r="BR1663" s="2126"/>
      <c r="BS1663" s="2126"/>
    </row>
    <row r="1664" spans="1:71" s="3030" customFormat="1">
      <c r="A1664" s="2126"/>
      <c r="B1664" s="2126"/>
      <c r="C1664" s="2149"/>
      <c r="D1664" s="3248"/>
      <c r="E1664" s="525"/>
      <c r="F1664" s="525"/>
      <c r="G1664" s="526"/>
      <c r="K1664" s="3280"/>
      <c r="P1664" s="3041"/>
      <c r="X1664" s="3280"/>
      <c r="AA1664" s="3041"/>
      <c r="AF1664" s="3041"/>
      <c r="AN1664" s="3280"/>
      <c r="AZ1664" s="3041"/>
      <c r="BD1664" s="3281"/>
      <c r="BH1664" s="3282"/>
      <c r="BJ1664" s="2589"/>
      <c r="BK1664" s="2126"/>
      <c r="BL1664" s="2126"/>
      <c r="BM1664" s="2126"/>
      <c r="BN1664" s="2126"/>
      <c r="BO1664" s="2126"/>
      <c r="BP1664" s="2126"/>
      <c r="BQ1664" s="2126"/>
      <c r="BR1664" s="2126"/>
      <c r="BS1664" s="2126"/>
    </row>
    <row r="1665" spans="1:71" s="3030" customFormat="1">
      <c r="A1665" s="2126"/>
      <c r="B1665" s="2126"/>
      <c r="C1665" s="2149"/>
      <c r="D1665" s="3248"/>
      <c r="E1665" s="525"/>
      <c r="F1665" s="525"/>
      <c r="G1665" s="526"/>
      <c r="K1665" s="3280"/>
      <c r="P1665" s="3041"/>
      <c r="X1665" s="3280"/>
      <c r="AA1665" s="3041"/>
      <c r="AF1665" s="3041"/>
      <c r="AN1665" s="3280"/>
      <c r="AZ1665" s="3041"/>
      <c r="BD1665" s="3281"/>
      <c r="BH1665" s="3282"/>
      <c r="BJ1665" s="2589"/>
      <c r="BK1665" s="2126"/>
      <c r="BL1665" s="2126"/>
      <c r="BM1665" s="2126"/>
      <c r="BN1665" s="2126"/>
      <c r="BO1665" s="2126"/>
      <c r="BP1665" s="2126"/>
      <c r="BQ1665" s="2126"/>
      <c r="BR1665" s="2126"/>
      <c r="BS1665" s="2126"/>
    </row>
    <row r="1666" spans="1:71" s="3030" customFormat="1">
      <c r="A1666" s="2126"/>
      <c r="B1666" s="2126"/>
      <c r="C1666" s="2149"/>
      <c r="D1666" s="3248"/>
      <c r="E1666" s="525"/>
      <c r="F1666" s="525"/>
      <c r="G1666" s="526"/>
      <c r="K1666" s="3280"/>
      <c r="P1666" s="3041"/>
      <c r="X1666" s="3280"/>
      <c r="AA1666" s="3041"/>
      <c r="AF1666" s="3041"/>
      <c r="AN1666" s="3280"/>
      <c r="AZ1666" s="3041"/>
      <c r="BD1666" s="3281"/>
      <c r="BH1666" s="3282"/>
      <c r="BJ1666" s="2589"/>
      <c r="BK1666" s="2126"/>
      <c r="BL1666" s="2126"/>
      <c r="BM1666" s="2126"/>
      <c r="BN1666" s="2126"/>
      <c r="BO1666" s="2126"/>
      <c r="BP1666" s="2126"/>
      <c r="BQ1666" s="2126"/>
      <c r="BR1666" s="2126"/>
      <c r="BS1666" s="2126"/>
    </row>
    <row r="1667" spans="1:71" s="3030" customFormat="1">
      <c r="A1667" s="2126"/>
      <c r="B1667" s="2126"/>
      <c r="C1667" s="2149"/>
      <c r="D1667" s="3248"/>
      <c r="E1667" s="525"/>
      <c r="F1667" s="525"/>
      <c r="G1667" s="526"/>
      <c r="K1667" s="3280"/>
      <c r="P1667" s="3041"/>
      <c r="X1667" s="3280"/>
      <c r="AA1667" s="3041"/>
      <c r="AF1667" s="3041"/>
      <c r="AN1667" s="3280"/>
      <c r="AZ1667" s="3041"/>
      <c r="BD1667" s="3281"/>
      <c r="BH1667" s="3282"/>
      <c r="BJ1667" s="2589"/>
      <c r="BK1667" s="2126"/>
      <c r="BL1667" s="2126"/>
      <c r="BM1667" s="2126"/>
      <c r="BN1667" s="2126"/>
      <c r="BO1667" s="2126"/>
      <c r="BP1667" s="2126"/>
      <c r="BQ1667" s="2126"/>
      <c r="BR1667" s="2126"/>
      <c r="BS1667" s="2126"/>
    </row>
    <row r="1668" spans="1:71" s="3030" customFormat="1">
      <c r="A1668" s="2126"/>
      <c r="B1668" s="2126"/>
      <c r="C1668" s="2149"/>
      <c r="D1668" s="3248"/>
      <c r="E1668" s="525"/>
      <c r="F1668" s="525"/>
      <c r="G1668" s="526"/>
      <c r="K1668" s="3280"/>
      <c r="P1668" s="3041"/>
      <c r="X1668" s="3280"/>
      <c r="AA1668" s="3041"/>
      <c r="AF1668" s="3041"/>
      <c r="AN1668" s="3280"/>
      <c r="AZ1668" s="3041"/>
      <c r="BD1668" s="3281"/>
      <c r="BH1668" s="3282"/>
      <c r="BJ1668" s="2589"/>
      <c r="BK1668" s="2126"/>
      <c r="BL1668" s="2126"/>
      <c r="BM1668" s="2126"/>
      <c r="BN1668" s="2126"/>
      <c r="BO1668" s="2126"/>
      <c r="BP1668" s="2126"/>
      <c r="BQ1668" s="2126"/>
      <c r="BR1668" s="2126"/>
      <c r="BS1668" s="2126"/>
    </row>
    <row r="1669" spans="1:71" s="3030" customFormat="1">
      <c r="A1669" s="2126"/>
      <c r="B1669" s="2126"/>
      <c r="C1669" s="2149"/>
      <c r="D1669" s="3248"/>
      <c r="E1669" s="525"/>
      <c r="F1669" s="525"/>
      <c r="G1669" s="526"/>
      <c r="K1669" s="3280"/>
      <c r="P1669" s="3041"/>
      <c r="X1669" s="3280"/>
      <c r="AA1669" s="3041"/>
      <c r="AF1669" s="3041"/>
      <c r="AN1669" s="3280"/>
      <c r="AZ1669" s="3041"/>
      <c r="BD1669" s="3281"/>
      <c r="BH1669" s="3282"/>
      <c r="BJ1669" s="2589"/>
      <c r="BK1669" s="2126"/>
      <c r="BL1669" s="2126"/>
      <c r="BM1669" s="2126"/>
      <c r="BN1669" s="2126"/>
      <c r="BO1669" s="2126"/>
      <c r="BP1669" s="2126"/>
      <c r="BQ1669" s="2126"/>
      <c r="BR1669" s="2126"/>
      <c r="BS1669" s="2126"/>
    </row>
    <row r="1670" spans="1:71" s="3030" customFormat="1">
      <c r="A1670" s="2126"/>
      <c r="B1670" s="2126"/>
      <c r="C1670" s="2149"/>
      <c r="D1670" s="3248"/>
      <c r="E1670" s="525"/>
      <c r="F1670" s="525"/>
      <c r="G1670" s="526"/>
      <c r="K1670" s="3280"/>
      <c r="P1670" s="3041"/>
      <c r="X1670" s="3280"/>
      <c r="AA1670" s="3041"/>
      <c r="AF1670" s="3041"/>
      <c r="AN1670" s="3280"/>
      <c r="AZ1670" s="3041"/>
      <c r="BD1670" s="3281"/>
      <c r="BH1670" s="3282"/>
      <c r="BJ1670" s="2589"/>
      <c r="BK1670" s="2126"/>
      <c r="BL1670" s="2126"/>
      <c r="BM1670" s="2126"/>
      <c r="BN1670" s="2126"/>
      <c r="BO1670" s="2126"/>
      <c r="BP1670" s="2126"/>
      <c r="BQ1670" s="2126"/>
      <c r="BR1670" s="2126"/>
      <c r="BS1670" s="2126"/>
    </row>
    <row r="1671" spans="1:71" s="3030" customFormat="1">
      <c r="A1671" s="2126"/>
      <c r="B1671" s="2126"/>
      <c r="C1671" s="2149"/>
      <c r="D1671" s="3248"/>
      <c r="E1671" s="525"/>
      <c r="F1671" s="525"/>
      <c r="G1671" s="526"/>
      <c r="K1671" s="3280"/>
      <c r="P1671" s="3041"/>
      <c r="X1671" s="3280"/>
      <c r="AA1671" s="3041"/>
      <c r="AF1671" s="3041"/>
      <c r="AN1671" s="3280"/>
      <c r="AZ1671" s="3041"/>
      <c r="BD1671" s="3281"/>
      <c r="BH1671" s="3282"/>
      <c r="BJ1671" s="2589"/>
      <c r="BK1671" s="2126"/>
      <c r="BL1671" s="2126"/>
      <c r="BM1671" s="2126"/>
      <c r="BN1671" s="2126"/>
      <c r="BO1671" s="2126"/>
      <c r="BP1671" s="2126"/>
      <c r="BQ1671" s="2126"/>
      <c r="BR1671" s="2126"/>
      <c r="BS1671" s="2126"/>
    </row>
    <row r="1672" spans="1:71" s="3030" customFormat="1">
      <c r="A1672" s="2126"/>
      <c r="B1672" s="2126"/>
      <c r="C1672" s="2149"/>
      <c r="D1672" s="3248"/>
      <c r="E1672" s="525"/>
      <c r="F1672" s="525"/>
      <c r="G1672" s="526"/>
      <c r="K1672" s="3280"/>
      <c r="P1672" s="3041"/>
      <c r="X1672" s="3280"/>
      <c r="AA1672" s="3041"/>
      <c r="AF1672" s="3041"/>
      <c r="AN1672" s="3280"/>
      <c r="AZ1672" s="3041"/>
      <c r="BD1672" s="3281"/>
      <c r="BH1672" s="3282"/>
      <c r="BJ1672" s="2589"/>
      <c r="BK1672" s="2126"/>
      <c r="BL1672" s="2126"/>
      <c r="BM1672" s="2126"/>
      <c r="BN1672" s="2126"/>
      <c r="BO1672" s="2126"/>
      <c r="BP1672" s="2126"/>
      <c r="BQ1672" s="2126"/>
      <c r="BR1672" s="2126"/>
      <c r="BS1672" s="2126"/>
    </row>
    <row r="1673" spans="1:71" s="3030" customFormat="1">
      <c r="A1673" s="2126"/>
      <c r="B1673" s="2126"/>
      <c r="C1673" s="2149"/>
      <c r="D1673" s="3248"/>
      <c r="E1673" s="525"/>
      <c r="F1673" s="525"/>
      <c r="G1673" s="526"/>
      <c r="K1673" s="3280"/>
      <c r="P1673" s="3041"/>
      <c r="X1673" s="3280"/>
      <c r="AA1673" s="3041"/>
      <c r="AF1673" s="3041"/>
      <c r="AN1673" s="3280"/>
      <c r="AZ1673" s="3041"/>
      <c r="BD1673" s="3281"/>
      <c r="BH1673" s="3282"/>
      <c r="BJ1673" s="2589"/>
      <c r="BK1673" s="2126"/>
      <c r="BL1673" s="2126"/>
      <c r="BM1673" s="2126"/>
      <c r="BN1673" s="2126"/>
      <c r="BO1673" s="2126"/>
      <c r="BP1673" s="2126"/>
      <c r="BQ1673" s="2126"/>
      <c r="BR1673" s="2126"/>
      <c r="BS1673" s="2126"/>
    </row>
    <row r="1674" spans="1:71" s="3030" customFormat="1">
      <c r="A1674" s="2126"/>
      <c r="B1674" s="2126"/>
      <c r="C1674" s="2149"/>
      <c r="D1674" s="3248"/>
      <c r="E1674" s="525"/>
      <c r="F1674" s="525"/>
      <c r="G1674" s="526"/>
      <c r="K1674" s="3280"/>
      <c r="P1674" s="3041"/>
      <c r="X1674" s="3280"/>
      <c r="AA1674" s="3041"/>
      <c r="AF1674" s="3041"/>
      <c r="AN1674" s="3280"/>
      <c r="AZ1674" s="3041"/>
      <c r="BD1674" s="3281"/>
      <c r="BH1674" s="3282"/>
      <c r="BJ1674" s="2589"/>
      <c r="BK1674" s="2126"/>
      <c r="BL1674" s="2126"/>
      <c r="BM1674" s="2126"/>
      <c r="BN1674" s="2126"/>
      <c r="BO1674" s="2126"/>
      <c r="BP1674" s="2126"/>
      <c r="BQ1674" s="2126"/>
      <c r="BR1674" s="2126"/>
      <c r="BS1674" s="2126"/>
    </row>
    <row r="1675" spans="1:71" s="3030" customFormat="1">
      <c r="A1675" s="2126"/>
      <c r="B1675" s="2126"/>
      <c r="C1675" s="2149"/>
      <c r="D1675" s="3248"/>
      <c r="E1675" s="525"/>
      <c r="F1675" s="525"/>
      <c r="G1675" s="526"/>
      <c r="K1675" s="3280"/>
      <c r="P1675" s="3041"/>
      <c r="X1675" s="3280"/>
      <c r="AA1675" s="3041"/>
      <c r="AF1675" s="3041"/>
      <c r="AN1675" s="3280"/>
      <c r="AZ1675" s="3041"/>
      <c r="BD1675" s="3281"/>
      <c r="BH1675" s="3282"/>
      <c r="BJ1675" s="2589"/>
      <c r="BK1675" s="2126"/>
      <c r="BL1675" s="2126"/>
      <c r="BM1675" s="2126"/>
      <c r="BN1675" s="2126"/>
      <c r="BO1675" s="2126"/>
      <c r="BP1675" s="2126"/>
      <c r="BQ1675" s="2126"/>
      <c r="BR1675" s="2126"/>
      <c r="BS1675" s="2126"/>
    </row>
    <row r="1676" spans="1:71" s="3030" customFormat="1">
      <c r="A1676" s="2126"/>
      <c r="B1676" s="2126"/>
      <c r="C1676" s="2149"/>
      <c r="D1676" s="3248"/>
      <c r="E1676" s="525"/>
      <c r="F1676" s="525"/>
      <c r="G1676" s="526"/>
      <c r="K1676" s="3280"/>
      <c r="P1676" s="3041"/>
      <c r="X1676" s="3280"/>
      <c r="AA1676" s="3041"/>
      <c r="AF1676" s="3041"/>
      <c r="AN1676" s="3280"/>
      <c r="AZ1676" s="3041"/>
      <c r="BD1676" s="3281"/>
      <c r="BH1676" s="3282"/>
      <c r="BJ1676" s="2589"/>
      <c r="BK1676" s="2126"/>
      <c r="BL1676" s="2126"/>
      <c r="BM1676" s="2126"/>
      <c r="BN1676" s="2126"/>
      <c r="BO1676" s="2126"/>
      <c r="BP1676" s="2126"/>
      <c r="BQ1676" s="2126"/>
      <c r="BR1676" s="2126"/>
      <c r="BS1676" s="2126"/>
    </row>
    <row r="1677" spans="1:71" s="3030" customFormat="1">
      <c r="A1677" s="2126"/>
      <c r="B1677" s="2126"/>
      <c r="C1677" s="2149"/>
      <c r="D1677" s="3248"/>
      <c r="E1677" s="525"/>
      <c r="F1677" s="525"/>
      <c r="G1677" s="526"/>
      <c r="K1677" s="3280"/>
      <c r="P1677" s="3041"/>
      <c r="X1677" s="3280"/>
      <c r="AA1677" s="3041"/>
      <c r="AF1677" s="3041"/>
      <c r="AN1677" s="3280"/>
      <c r="AZ1677" s="3041"/>
      <c r="BD1677" s="3281"/>
      <c r="BH1677" s="3282"/>
      <c r="BJ1677" s="2589"/>
      <c r="BK1677" s="2126"/>
      <c r="BL1677" s="2126"/>
      <c r="BM1677" s="2126"/>
      <c r="BN1677" s="2126"/>
      <c r="BO1677" s="2126"/>
      <c r="BP1677" s="2126"/>
      <c r="BQ1677" s="2126"/>
      <c r="BR1677" s="2126"/>
      <c r="BS1677" s="2126"/>
    </row>
    <row r="1678" spans="1:71" s="3030" customFormat="1">
      <c r="A1678" s="2126"/>
      <c r="B1678" s="2126"/>
      <c r="C1678" s="2149"/>
      <c r="D1678" s="3248"/>
      <c r="E1678" s="525"/>
      <c r="F1678" s="525"/>
      <c r="G1678" s="526"/>
      <c r="K1678" s="3280"/>
      <c r="P1678" s="3041"/>
      <c r="X1678" s="3280"/>
      <c r="AA1678" s="3041"/>
      <c r="AF1678" s="3041"/>
      <c r="AN1678" s="3280"/>
      <c r="AZ1678" s="3041"/>
      <c r="BD1678" s="3281"/>
      <c r="BH1678" s="3282"/>
      <c r="BJ1678" s="2589"/>
      <c r="BK1678" s="2126"/>
      <c r="BL1678" s="2126"/>
      <c r="BM1678" s="2126"/>
      <c r="BN1678" s="2126"/>
      <c r="BO1678" s="2126"/>
      <c r="BP1678" s="2126"/>
      <c r="BQ1678" s="2126"/>
      <c r="BR1678" s="2126"/>
      <c r="BS1678" s="2126"/>
    </row>
    <row r="1679" spans="1:71" s="3030" customFormat="1">
      <c r="A1679" s="2126"/>
      <c r="B1679" s="2126"/>
      <c r="C1679" s="2149"/>
      <c r="D1679" s="3248"/>
      <c r="E1679" s="525"/>
      <c r="F1679" s="525"/>
      <c r="G1679" s="526"/>
      <c r="K1679" s="3280"/>
      <c r="P1679" s="3041"/>
      <c r="X1679" s="3280"/>
      <c r="AA1679" s="3041"/>
      <c r="AF1679" s="3041"/>
      <c r="AN1679" s="3280"/>
      <c r="AZ1679" s="3041"/>
      <c r="BD1679" s="3281"/>
      <c r="BH1679" s="3282"/>
      <c r="BJ1679" s="2589"/>
      <c r="BK1679" s="2126"/>
      <c r="BL1679" s="2126"/>
      <c r="BM1679" s="2126"/>
      <c r="BN1679" s="2126"/>
      <c r="BO1679" s="2126"/>
      <c r="BP1679" s="2126"/>
      <c r="BQ1679" s="2126"/>
      <c r="BR1679" s="2126"/>
      <c r="BS1679" s="2126"/>
    </row>
    <row r="1680" spans="1:71" s="3030" customFormat="1">
      <c r="A1680" s="2126"/>
      <c r="B1680" s="2126"/>
      <c r="C1680" s="2149"/>
      <c r="D1680" s="3248"/>
      <c r="E1680" s="525"/>
      <c r="F1680" s="525"/>
      <c r="G1680" s="526"/>
      <c r="K1680" s="3280"/>
      <c r="P1680" s="3041"/>
      <c r="X1680" s="3280"/>
      <c r="AA1680" s="3041"/>
      <c r="AF1680" s="3041"/>
      <c r="AN1680" s="3280"/>
      <c r="AZ1680" s="3041"/>
      <c r="BD1680" s="3281"/>
      <c r="BH1680" s="3282"/>
      <c r="BJ1680" s="2589"/>
      <c r="BK1680" s="2126"/>
      <c r="BL1680" s="2126"/>
      <c r="BM1680" s="2126"/>
      <c r="BN1680" s="2126"/>
      <c r="BO1680" s="2126"/>
      <c r="BP1680" s="2126"/>
      <c r="BQ1680" s="2126"/>
      <c r="BR1680" s="2126"/>
      <c r="BS1680" s="2126"/>
    </row>
    <row r="1681" spans="1:71" s="3030" customFormat="1">
      <c r="A1681" s="2126"/>
      <c r="B1681" s="2126"/>
      <c r="C1681" s="2149"/>
      <c r="D1681" s="3248"/>
      <c r="E1681" s="525"/>
      <c r="F1681" s="525"/>
      <c r="G1681" s="526"/>
      <c r="K1681" s="3280"/>
      <c r="P1681" s="3041"/>
      <c r="X1681" s="3280"/>
      <c r="AA1681" s="3041"/>
      <c r="AF1681" s="3041"/>
      <c r="AN1681" s="3280"/>
      <c r="AZ1681" s="3041"/>
      <c r="BD1681" s="3281"/>
      <c r="BH1681" s="3282"/>
      <c r="BJ1681" s="2589"/>
      <c r="BK1681" s="2126"/>
      <c r="BL1681" s="2126"/>
      <c r="BM1681" s="2126"/>
      <c r="BN1681" s="2126"/>
      <c r="BO1681" s="2126"/>
      <c r="BP1681" s="2126"/>
      <c r="BQ1681" s="2126"/>
      <c r="BR1681" s="2126"/>
      <c r="BS1681" s="2126"/>
    </row>
    <row r="1682" spans="1:71" s="3030" customFormat="1">
      <c r="A1682" s="2126"/>
      <c r="B1682" s="2126"/>
      <c r="C1682" s="2149"/>
      <c r="D1682" s="3248"/>
      <c r="E1682" s="525"/>
      <c r="F1682" s="525"/>
      <c r="G1682" s="526"/>
      <c r="K1682" s="3280"/>
      <c r="P1682" s="3041"/>
      <c r="X1682" s="3280"/>
      <c r="AA1682" s="3041"/>
      <c r="AF1682" s="3041"/>
      <c r="AN1682" s="3280"/>
      <c r="AZ1682" s="3041"/>
      <c r="BD1682" s="3281"/>
      <c r="BH1682" s="3282"/>
      <c r="BJ1682" s="2589"/>
      <c r="BK1682" s="2126"/>
      <c r="BL1682" s="2126"/>
      <c r="BM1682" s="2126"/>
      <c r="BN1682" s="2126"/>
      <c r="BO1682" s="2126"/>
      <c r="BP1682" s="2126"/>
      <c r="BQ1682" s="2126"/>
      <c r="BR1682" s="2126"/>
      <c r="BS1682" s="2126"/>
    </row>
    <row r="1683" spans="1:71" s="3030" customFormat="1">
      <c r="A1683" s="2126"/>
      <c r="B1683" s="2126"/>
      <c r="C1683" s="2149"/>
      <c r="D1683" s="3248"/>
      <c r="E1683" s="525"/>
      <c r="F1683" s="525"/>
      <c r="G1683" s="526"/>
      <c r="K1683" s="3280"/>
      <c r="P1683" s="3041"/>
      <c r="X1683" s="3280"/>
      <c r="AA1683" s="3041"/>
      <c r="AF1683" s="3041"/>
      <c r="AN1683" s="3280"/>
      <c r="AZ1683" s="3041"/>
      <c r="BD1683" s="3281"/>
      <c r="BH1683" s="3282"/>
      <c r="BJ1683" s="2589"/>
      <c r="BK1683" s="2126"/>
      <c r="BL1683" s="2126"/>
      <c r="BM1683" s="2126"/>
      <c r="BN1683" s="2126"/>
      <c r="BO1683" s="2126"/>
      <c r="BP1683" s="2126"/>
      <c r="BQ1683" s="2126"/>
      <c r="BR1683" s="2126"/>
      <c r="BS1683" s="2126"/>
    </row>
    <row r="1684" spans="1:71" s="3030" customFormat="1">
      <c r="A1684" s="2126"/>
      <c r="B1684" s="2126"/>
      <c r="C1684" s="2149"/>
      <c r="D1684" s="3248"/>
      <c r="E1684" s="525"/>
      <c r="F1684" s="525"/>
      <c r="G1684" s="526"/>
      <c r="K1684" s="3280"/>
      <c r="P1684" s="3041"/>
      <c r="X1684" s="3280"/>
      <c r="AA1684" s="3041"/>
      <c r="AF1684" s="3041"/>
      <c r="AN1684" s="3280"/>
      <c r="AZ1684" s="3041"/>
      <c r="BD1684" s="3281"/>
      <c r="BH1684" s="3282"/>
      <c r="BJ1684" s="2589"/>
      <c r="BK1684" s="2126"/>
      <c r="BL1684" s="2126"/>
      <c r="BM1684" s="2126"/>
      <c r="BN1684" s="2126"/>
      <c r="BO1684" s="2126"/>
      <c r="BP1684" s="2126"/>
      <c r="BQ1684" s="2126"/>
      <c r="BR1684" s="2126"/>
      <c r="BS1684" s="2126"/>
    </row>
    <row r="1685" spans="1:71" s="3030" customFormat="1">
      <c r="A1685" s="2126"/>
      <c r="B1685" s="2126"/>
      <c r="C1685" s="2149"/>
      <c r="D1685" s="3248"/>
      <c r="E1685" s="525"/>
      <c r="F1685" s="525"/>
      <c r="G1685" s="526"/>
      <c r="K1685" s="3280"/>
      <c r="P1685" s="3041"/>
      <c r="X1685" s="3280"/>
      <c r="AA1685" s="3041"/>
      <c r="AF1685" s="3041"/>
      <c r="AN1685" s="3280"/>
      <c r="AZ1685" s="3041"/>
      <c r="BD1685" s="3281"/>
      <c r="BH1685" s="3282"/>
      <c r="BJ1685" s="2589"/>
      <c r="BK1685" s="2126"/>
      <c r="BL1685" s="2126"/>
      <c r="BM1685" s="2126"/>
      <c r="BN1685" s="2126"/>
      <c r="BO1685" s="2126"/>
      <c r="BP1685" s="2126"/>
      <c r="BQ1685" s="2126"/>
      <c r="BR1685" s="2126"/>
      <c r="BS1685" s="2126"/>
    </row>
    <row r="1686" spans="1:71" s="3030" customFormat="1">
      <c r="A1686" s="2126"/>
      <c r="B1686" s="2126"/>
      <c r="C1686" s="2149"/>
      <c r="D1686" s="3248"/>
      <c r="E1686" s="525"/>
      <c r="F1686" s="525"/>
      <c r="G1686" s="526"/>
      <c r="K1686" s="3280"/>
      <c r="P1686" s="3041"/>
      <c r="X1686" s="3280"/>
      <c r="AA1686" s="3041"/>
      <c r="AF1686" s="3041"/>
      <c r="AN1686" s="3280"/>
      <c r="AZ1686" s="3041"/>
      <c r="BD1686" s="3281"/>
      <c r="BH1686" s="3282"/>
      <c r="BJ1686" s="2589"/>
      <c r="BK1686" s="2126"/>
      <c r="BL1686" s="2126"/>
      <c r="BM1686" s="2126"/>
      <c r="BN1686" s="2126"/>
      <c r="BO1686" s="2126"/>
      <c r="BP1686" s="2126"/>
      <c r="BQ1686" s="2126"/>
      <c r="BR1686" s="2126"/>
      <c r="BS1686" s="2126"/>
    </row>
    <row r="1687" spans="1:71" s="3030" customFormat="1">
      <c r="A1687" s="2126"/>
      <c r="B1687" s="2126"/>
      <c r="C1687" s="2149"/>
      <c r="D1687" s="3248"/>
      <c r="E1687" s="525"/>
      <c r="F1687" s="525"/>
      <c r="G1687" s="526"/>
      <c r="K1687" s="3280"/>
      <c r="P1687" s="3041"/>
      <c r="X1687" s="3280"/>
      <c r="AA1687" s="3041"/>
      <c r="AF1687" s="3041"/>
      <c r="AN1687" s="3280"/>
      <c r="AZ1687" s="3041"/>
      <c r="BD1687" s="3281"/>
      <c r="BH1687" s="3282"/>
      <c r="BJ1687" s="2589"/>
      <c r="BK1687" s="2126"/>
      <c r="BL1687" s="2126"/>
      <c r="BM1687" s="2126"/>
      <c r="BN1687" s="2126"/>
      <c r="BO1687" s="2126"/>
      <c r="BP1687" s="2126"/>
      <c r="BQ1687" s="2126"/>
      <c r="BR1687" s="2126"/>
      <c r="BS1687" s="2126"/>
    </row>
    <row r="1688" spans="1:71" s="3030" customFormat="1">
      <c r="A1688" s="2126"/>
      <c r="B1688" s="2126"/>
      <c r="C1688" s="2149"/>
      <c r="D1688" s="3248"/>
      <c r="E1688" s="525"/>
      <c r="F1688" s="525"/>
      <c r="G1688" s="526"/>
      <c r="K1688" s="3280"/>
      <c r="P1688" s="3041"/>
      <c r="X1688" s="3280"/>
      <c r="AA1688" s="3041"/>
      <c r="AF1688" s="3041"/>
      <c r="AN1688" s="3280"/>
      <c r="AZ1688" s="3041"/>
      <c r="BD1688" s="3281"/>
      <c r="BH1688" s="3282"/>
      <c r="BJ1688" s="2589"/>
      <c r="BK1688" s="2126"/>
      <c r="BL1688" s="2126"/>
      <c r="BM1688" s="2126"/>
      <c r="BN1688" s="2126"/>
      <c r="BO1688" s="2126"/>
      <c r="BP1688" s="2126"/>
      <c r="BQ1688" s="2126"/>
      <c r="BR1688" s="2126"/>
      <c r="BS1688" s="2126"/>
    </row>
    <row r="1689" spans="1:71" s="3030" customFormat="1">
      <c r="A1689" s="2126"/>
      <c r="B1689" s="2126"/>
      <c r="C1689" s="2149"/>
      <c r="D1689" s="3248"/>
      <c r="E1689" s="525"/>
      <c r="F1689" s="525"/>
      <c r="G1689" s="526"/>
      <c r="K1689" s="3280"/>
      <c r="P1689" s="3041"/>
      <c r="X1689" s="3280"/>
      <c r="AA1689" s="3041"/>
      <c r="AF1689" s="3041"/>
      <c r="AN1689" s="3280"/>
      <c r="AZ1689" s="3041"/>
      <c r="BD1689" s="3281"/>
      <c r="BH1689" s="3282"/>
      <c r="BJ1689" s="2589"/>
      <c r="BK1689" s="2126"/>
      <c r="BL1689" s="2126"/>
      <c r="BM1689" s="2126"/>
      <c r="BN1689" s="2126"/>
      <c r="BO1689" s="2126"/>
      <c r="BP1689" s="2126"/>
      <c r="BQ1689" s="2126"/>
      <c r="BR1689" s="2126"/>
      <c r="BS1689" s="2126"/>
    </row>
    <row r="1690" spans="1:71" s="3030" customFormat="1">
      <c r="A1690" s="2126"/>
      <c r="B1690" s="2126"/>
      <c r="C1690" s="2149"/>
      <c r="D1690" s="3248"/>
      <c r="E1690" s="525"/>
      <c r="F1690" s="525"/>
      <c r="G1690" s="526"/>
      <c r="K1690" s="3280"/>
      <c r="P1690" s="3041"/>
      <c r="X1690" s="3280"/>
      <c r="AA1690" s="3041"/>
      <c r="AF1690" s="3041"/>
      <c r="AN1690" s="3280"/>
      <c r="AZ1690" s="3041"/>
      <c r="BD1690" s="3281"/>
      <c r="BH1690" s="3282"/>
      <c r="BJ1690" s="2589"/>
      <c r="BK1690" s="2126"/>
      <c r="BL1690" s="2126"/>
      <c r="BM1690" s="2126"/>
      <c r="BN1690" s="2126"/>
      <c r="BO1690" s="2126"/>
      <c r="BP1690" s="2126"/>
      <c r="BQ1690" s="2126"/>
      <c r="BR1690" s="2126"/>
      <c r="BS1690" s="2126"/>
    </row>
    <row r="1691" spans="1:71" s="3030" customFormat="1">
      <c r="A1691" s="2126"/>
      <c r="B1691" s="2126"/>
      <c r="C1691" s="2149"/>
      <c r="D1691" s="3248"/>
      <c r="E1691" s="525"/>
      <c r="F1691" s="525"/>
      <c r="G1691" s="526"/>
      <c r="K1691" s="3280"/>
      <c r="P1691" s="3041"/>
      <c r="X1691" s="3280"/>
      <c r="AA1691" s="3041"/>
      <c r="AF1691" s="3041"/>
      <c r="AN1691" s="3280"/>
      <c r="AZ1691" s="3041"/>
      <c r="BD1691" s="3281"/>
      <c r="BH1691" s="3282"/>
      <c r="BJ1691" s="2589"/>
      <c r="BK1691" s="2126"/>
      <c r="BL1691" s="2126"/>
      <c r="BM1691" s="2126"/>
      <c r="BN1691" s="2126"/>
      <c r="BO1691" s="2126"/>
      <c r="BP1691" s="2126"/>
      <c r="BQ1691" s="2126"/>
      <c r="BR1691" s="2126"/>
      <c r="BS1691" s="2126"/>
    </row>
    <row r="1692" spans="1:71" s="3030" customFormat="1">
      <c r="A1692" s="2126"/>
      <c r="B1692" s="2126"/>
      <c r="C1692" s="2149"/>
      <c r="D1692" s="3248"/>
      <c r="E1692" s="525"/>
      <c r="F1692" s="525"/>
      <c r="G1692" s="526"/>
      <c r="K1692" s="3280"/>
      <c r="P1692" s="3041"/>
      <c r="X1692" s="3280"/>
      <c r="AA1692" s="3041"/>
      <c r="AF1692" s="3041"/>
      <c r="AN1692" s="3280"/>
      <c r="AZ1692" s="3041"/>
      <c r="BD1692" s="3281"/>
      <c r="BH1692" s="3282"/>
      <c r="BJ1692" s="2589"/>
      <c r="BK1692" s="2126"/>
      <c r="BL1692" s="2126"/>
      <c r="BM1692" s="2126"/>
      <c r="BN1692" s="2126"/>
      <c r="BO1692" s="2126"/>
      <c r="BP1692" s="2126"/>
      <c r="BQ1692" s="2126"/>
      <c r="BR1692" s="2126"/>
      <c r="BS1692" s="2126"/>
    </row>
    <row r="1693" spans="1:71" s="3030" customFormat="1">
      <c r="A1693" s="2126"/>
      <c r="B1693" s="2126"/>
      <c r="C1693" s="2149"/>
      <c r="D1693" s="3248"/>
      <c r="E1693" s="525"/>
      <c r="F1693" s="525"/>
      <c r="G1693" s="526"/>
      <c r="K1693" s="3280"/>
      <c r="P1693" s="3041"/>
      <c r="X1693" s="3280"/>
      <c r="AA1693" s="3041"/>
      <c r="AF1693" s="3041"/>
      <c r="AN1693" s="3280"/>
      <c r="AZ1693" s="3041"/>
      <c r="BD1693" s="3281"/>
      <c r="BH1693" s="3282"/>
      <c r="BJ1693" s="2589"/>
      <c r="BK1693" s="2126"/>
      <c r="BL1693" s="2126"/>
      <c r="BM1693" s="2126"/>
      <c r="BN1693" s="2126"/>
      <c r="BO1693" s="2126"/>
      <c r="BP1693" s="2126"/>
      <c r="BQ1693" s="2126"/>
      <c r="BR1693" s="2126"/>
      <c r="BS1693" s="2126"/>
    </row>
    <row r="1694" spans="1:71" s="3030" customFormat="1">
      <c r="A1694" s="2126"/>
      <c r="B1694" s="2126"/>
      <c r="C1694" s="2149"/>
      <c r="D1694" s="3248"/>
      <c r="E1694" s="525"/>
      <c r="F1694" s="525"/>
      <c r="G1694" s="526"/>
      <c r="K1694" s="3280"/>
      <c r="P1694" s="3041"/>
      <c r="X1694" s="3280"/>
      <c r="AA1694" s="3041"/>
      <c r="AF1694" s="3041"/>
      <c r="AN1694" s="3280"/>
      <c r="AZ1694" s="3041"/>
      <c r="BD1694" s="3281"/>
      <c r="BH1694" s="3282"/>
      <c r="BJ1694" s="2589"/>
      <c r="BK1694" s="2126"/>
      <c r="BL1694" s="2126"/>
      <c r="BM1694" s="2126"/>
      <c r="BN1694" s="2126"/>
      <c r="BO1694" s="2126"/>
      <c r="BP1694" s="2126"/>
      <c r="BQ1694" s="2126"/>
      <c r="BR1694" s="2126"/>
      <c r="BS1694" s="2126"/>
    </row>
    <row r="1695" spans="1:71" s="3030" customFormat="1">
      <c r="A1695" s="2126"/>
      <c r="B1695" s="2126"/>
      <c r="C1695" s="2149"/>
      <c r="D1695" s="3248"/>
      <c r="E1695" s="525"/>
      <c r="F1695" s="525"/>
      <c r="G1695" s="526"/>
      <c r="K1695" s="3280"/>
      <c r="P1695" s="3041"/>
      <c r="X1695" s="3280"/>
      <c r="AA1695" s="3041"/>
      <c r="AF1695" s="3041"/>
      <c r="AN1695" s="3280"/>
      <c r="AZ1695" s="3041"/>
      <c r="BD1695" s="3281"/>
      <c r="BH1695" s="3282"/>
      <c r="BJ1695" s="2589"/>
      <c r="BK1695" s="2126"/>
      <c r="BL1695" s="2126"/>
      <c r="BM1695" s="2126"/>
      <c r="BN1695" s="2126"/>
      <c r="BO1695" s="2126"/>
      <c r="BP1695" s="2126"/>
      <c r="BQ1695" s="2126"/>
      <c r="BR1695" s="2126"/>
      <c r="BS1695" s="2126"/>
    </row>
    <row r="1696" spans="1:71" s="3030" customFormat="1">
      <c r="A1696" s="2126"/>
      <c r="B1696" s="2126"/>
      <c r="C1696" s="2149"/>
      <c r="D1696" s="3248"/>
      <c r="E1696" s="525"/>
      <c r="F1696" s="525"/>
      <c r="G1696" s="526"/>
      <c r="K1696" s="3280"/>
      <c r="P1696" s="3041"/>
      <c r="X1696" s="3280"/>
      <c r="AA1696" s="3041"/>
      <c r="AF1696" s="3041"/>
      <c r="AN1696" s="3280"/>
      <c r="AZ1696" s="3041"/>
      <c r="BD1696" s="3281"/>
      <c r="BH1696" s="3282"/>
      <c r="BJ1696" s="2589"/>
      <c r="BK1696" s="2126"/>
      <c r="BL1696" s="2126"/>
      <c r="BM1696" s="2126"/>
      <c r="BN1696" s="2126"/>
      <c r="BO1696" s="2126"/>
      <c r="BP1696" s="2126"/>
      <c r="BQ1696" s="2126"/>
      <c r="BR1696" s="2126"/>
      <c r="BS1696" s="2126"/>
    </row>
    <row r="1697" spans="1:71" s="3030" customFormat="1">
      <c r="A1697" s="2126"/>
      <c r="B1697" s="2126"/>
      <c r="C1697" s="2149"/>
      <c r="D1697" s="3248"/>
      <c r="E1697" s="525"/>
      <c r="F1697" s="525"/>
      <c r="G1697" s="526"/>
      <c r="K1697" s="3280"/>
      <c r="P1697" s="3041"/>
      <c r="X1697" s="3280"/>
      <c r="AA1697" s="3041"/>
      <c r="AF1697" s="3041"/>
      <c r="AN1697" s="3280"/>
      <c r="AZ1697" s="3041"/>
      <c r="BD1697" s="3281"/>
      <c r="BH1697" s="3282"/>
      <c r="BJ1697" s="2589"/>
      <c r="BK1697" s="2126"/>
      <c r="BL1697" s="2126"/>
      <c r="BM1697" s="2126"/>
      <c r="BN1697" s="2126"/>
      <c r="BO1697" s="2126"/>
      <c r="BP1697" s="2126"/>
      <c r="BQ1697" s="2126"/>
      <c r="BR1697" s="2126"/>
      <c r="BS1697" s="2126"/>
    </row>
    <row r="1698" spans="1:71" s="3030" customFormat="1">
      <c r="A1698" s="2126"/>
      <c r="B1698" s="2126"/>
      <c r="C1698" s="2149"/>
      <c r="D1698" s="3248"/>
      <c r="E1698" s="525"/>
      <c r="F1698" s="525"/>
      <c r="G1698" s="526"/>
      <c r="K1698" s="3280"/>
      <c r="P1698" s="3041"/>
      <c r="X1698" s="3280"/>
      <c r="AA1698" s="3041"/>
      <c r="AF1698" s="3041"/>
      <c r="AN1698" s="3280"/>
      <c r="AZ1698" s="3041"/>
      <c r="BD1698" s="3281"/>
      <c r="BH1698" s="3282"/>
      <c r="BJ1698" s="2589"/>
      <c r="BK1698" s="2126"/>
      <c r="BL1698" s="2126"/>
      <c r="BM1698" s="2126"/>
      <c r="BN1698" s="2126"/>
      <c r="BO1698" s="2126"/>
      <c r="BP1698" s="2126"/>
      <c r="BQ1698" s="2126"/>
      <c r="BR1698" s="2126"/>
      <c r="BS1698" s="2126"/>
    </row>
    <row r="1699" spans="1:71" s="3030" customFormat="1">
      <c r="A1699" s="2126"/>
      <c r="B1699" s="2126"/>
      <c r="C1699" s="2149"/>
      <c r="D1699" s="3248"/>
      <c r="E1699" s="525"/>
      <c r="F1699" s="525"/>
      <c r="G1699" s="526"/>
      <c r="K1699" s="3280"/>
      <c r="P1699" s="3041"/>
      <c r="X1699" s="3280"/>
      <c r="AA1699" s="3041"/>
      <c r="AF1699" s="3041"/>
      <c r="AN1699" s="3280"/>
      <c r="AZ1699" s="3041"/>
      <c r="BD1699" s="3281"/>
      <c r="BH1699" s="3282"/>
      <c r="BJ1699" s="2589"/>
      <c r="BK1699" s="2126"/>
      <c r="BL1699" s="2126"/>
      <c r="BM1699" s="2126"/>
      <c r="BN1699" s="2126"/>
      <c r="BO1699" s="2126"/>
      <c r="BP1699" s="2126"/>
      <c r="BQ1699" s="2126"/>
      <c r="BR1699" s="2126"/>
      <c r="BS1699" s="2126"/>
    </row>
    <row r="1700" spans="1:71" s="3030" customFormat="1">
      <c r="A1700" s="2126"/>
      <c r="B1700" s="2126"/>
      <c r="C1700" s="2149"/>
      <c r="D1700" s="3248"/>
      <c r="E1700" s="525"/>
      <c r="F1700" s="525"/>
      <c r="G1700" s="526"/>
      <c r="K1700" s="3280"/>
      <c r="P1700" s="3041"/>
      <c r="X1700" s="3280"/>
      <c r="AA1700" s="3041"/>
      <c r="AF1700" s="3041"/>
      <c r="AN1700" s="3280"/>
      <c r="AZ1700" s="3041"/>
      <c r="BD1700" s="3281"/>
      <c r="BH1700" s="3282"/>
      <c r="BJ1700" s="2589"/>
      <c r="BK1700" s="2126"/>
      <c r="BL1700" s="2126"/>
      <c r="BM1700" s="2126"/>
      <c r="BN1700" s="2126"/>
      <c r="BO1700" s="2126"/>
      <c r="BP1700" s="2126"/>
      <c r="BQ1700" s="2126"/>
      <c r="BR1700" s="2126"/>
      <c r="BS1700" s="2126"/>
    </row>
    <row r="1701" spans="1:71" s="3030" customFormat="1">
      <c r="A1701" s="2126"/>
      <c r="B1701" s="2126"/>
      <c r="C1701" s="2149"/>
      <c r="D1701" s="3248"/>
      <c r="E1701" s="525"/>
      <c r="F1701" s="525"/>
      <c r="G1701" s="526"/>
      <c r="K1701" s="3280"/>
      <c r="P1701" s="3041"/>
      <c r="X1701" s="3280"/>
      <c r="AA1701" s="3041"/>
      <c r="AF1701" s="3041"/>
      <c r="AN1701" s="3280"/>
      <c r="AZ1701" s="3041"/>
      <c r="BD1701" s="3281"/>
      <c r="BH1701" s="3282"/>
      <c r="BJ1701" s="2589"/>
      <c r="BK1701" s="2126"/>
      <c r="BL1701" s="2126"/>
      <c r="BM1701" s="2126"/>
      <c r="BN1701" s="2126"/>
      <c r="BO1701" s="2126"/>
      <c r="BP1701" s="2126"/>
      <c r="BQ1701" s="2126"/>
      <c r="BR1701" s="2126"/>
      <c r="BS1701" s="2126"/>
    </row>
    <row r="1702" spans="1:71" s="3030" customFormat="1">
      <c r="A1702" s="2126"/>
      <c r="B1702" s="2126"/>
      <c r="C1702" s="2149"/>
      <c r="D1702" s="3248"/>
      <c r="E1702" s="525"/>
      <c r="F1702" s="525"/>
      <c r="G1702" s="526"/>
      <c r="K1702" s="3280"/>
      <c r="P1702" s="3041"/>
      <c r="X1702" s="3280"/>
      <c r="AA1702" s="3041"/>
      <c r="AF1702" s="3041"/>
      <c r="AN1702" s="3280"/>
      <c r="AZ1702" s="3041"/>
      <c r="BD1702" s="3281"/>
      <c r="BH1702" s="3282"/>
      <c r="BJ1702" s="2589"/>
      <c r="BK1702" s="2126"/>
      <c r="BL1702" s="2126"/>
      <c r="BM1702" s="2126"/>
      <c r="BN1702" s="2126"/>
      <c r="BO1702" s="2126"/>
      <c r="BP1702" s="2126"/>
      <c r="BQ1702" s="2126"/>
      <c r="BR1702" s="2126"/>
      <c r="BS1702" s="2126"/>
    </row>
    <row r="1703" spans="1:71" s="3030" customFormat="1">
      <c r="A1703" s="2126"/>
      <c r="B1703" s="2126"/>
      <c r="C1703" s="2149"/>
      <c r="D1703" s="3248"/>
      <c r="E1703" s="525"/>
      <c r="F1703" s="525"/>
      <c r="G1703" s="526"/>
      <c r="K1703" s="3280"/>
      <c r="P1703" s="3041"/>
      <c r="X1703" s="3280"/>
      <c r="AA1703" s="3041"/>
      <c r="AF1703" s="3041"/>
      <c r="AN1703" s="3280"/>
      <c r="AZ1703" s="3041"/>
      <c r="BD1703" s="3281"/>
      <c r="BH1703" s="3282"/>
      <c r="BJ1703" s="2589"/>
      <c r="BK1703" s="2126"/>
      <c r="BL1703" s="2126"/>
      <c r="BM1703" s="2126"/>
      <c r="BN1703" s="2126"/>
      <c r="BO1703" s="2126"/>
      <c r="BP1703" s="2126"/>
      <c r="BQ1703" s="2126"/>
      <c r="BR1703" s="2126"/>
      <c r="BS1703" s="2126"/>
    </row>
    <row r="1704" spans="1:71" s="3030" customFormat="1">
      <c r="A1704" s="2126"/>
      <c r="B1704" s="2126"/>
      <c r="C1704" s="2149"/>
      <c r="D1704" s="3248"/>
      <c r="E1704" s="525"/>
      <c r="F1704" s="525"/>
      <c r="G1704" s="526"/>
      <c r="K1704" s="3280"/>
      <c r="P1704" s="3041"/>
      <c r="X1704" s="3280"/>
      <c r="AA1704" s="3041"/>
      <c r="AF1704" s="3041"/>
      <c r="AN1704" s="3280"/>
      <c r="AZ1704" s="3041"/>
      <c r="BD1704" s="3281"/>
      <c r="BH1704" s="3282"/>
      <c r="BJ1704" s="2589"/>
      <c r="BK1704" s="2126"/>
      <c r="BL1704" s="2126"/>
      <c r="BM1704" s="2126"/>
      <c r="BN1704" s="2126"/>
      <c r="BO1704" s="2126"/>
      <c r="BP1704" s="2126"/>
      <c r="BQ1704" s="2126"/>
      <c r="BR1704" s="2126"/>
      <c r="BS1704" s="2126"/>
    </row>
    <row r="1705" spans="1:71" s="3030" customFormat="1">
      <c r="A1705" s="2126"/>
      <c r="B1705" s="2126"/>
      <c r="C1705" s="2149"/>
      <c r="D1705" s="3248"/>
      <c r="E1705" s="525"/>
      <c r="F1705" s="525"/>
      <c r="G1705" s="526"/>
      <c r="K1705" s="3280"/>
      <c r="P1705" s="3041"/>
      <c r="X1705" s="3280"/>
      <c r="AA1705" s="3041"/>
      <c r="AF1705" s="3041"/>
      <c r="AN1705" s="3280"/>
      <c r="AZ1705" s="3041"/>
      <c r="BD1705" s="3281"/>
      <c r="BH1705" s="3282"/>
      <c r="BJ1705" s="2589"/>
      <c r="BK1705" s="2126"/>
      <c r="BL1705" s="2126"/>
      <c r="BM1705" s="2126"/>
      <c r="BN1705" s="2126"/>
      <c r="BO1705" s="2126"/>
      <c r="BP1705" s="2126"/>
      <c r="BQ1705" s="2126"/>
      <c r="BR1705" s="2126"/>
      <c r="BS1705" s="2126"/>
    </row>
    <row r="1706" spans="1:71" s="3030" customFormat="1">
      <c r="A1706" s="2126"/>
      <c r="B1706" s="2126"/>
      <c r="C1706" s="2149"/>
      <c r="D1706" s="3248"/>
      <c r="E1706" s="525"/>
      <c r="F1706" s="525"/>
      <c r="G1706" s="526"/>
      <c r="K1706" s="3280"/>
      <c r="P1706" s="3041"/>
      <c r="X1706" s="3280"/>
      <c r="AA1706" s="3041"/>
      <c r="AF1706" s="3041"/>
      <c r="AN1706" s="3280"/>
      <c r="AZ1706" s="3041"/>
      <c r="BD1706" s="3281"/>
      <c r="BH1706" s="3282"/>
      <c r="BJ1706" s="2589"/>
      <c r="BK1706" s="2126"/>
      <c r="BL1706" s="2126"/>
      <c r="BM1706" s="2126"/>
      <c r="BN1706" s="2126"/>
      <c r="BO1706" s="2126"/>
      <c r="BP1706" s="2126"/>
      <c r="BQ1706" s="2126"/>
      <c r="BR1706" s="2126"/>
      <c r="BS1706" s="2126"/>
    </row>
    <row r="1707" spans="1:71" s="3030" customFormat="1">
      <c r="A1707" s="2126"/>
      <c r="B1707" s="2126"/>
      <c r="C1707" s="2149"/>
      <c r="D1707" s="3248"/>
      <c r="E1707" s="525"/>
      <c r="F1707" s="525"/>
      <c r="G1707" s="526"/>
      <c r="K1707" s="3280"/>
      <c r="P1707" s="3041"/>
      <c r="X1707" s="3280"/>
      <c r="AA1707" s="3041"/>
      <c r="AF1707" s="3041"/>
      <c r="AN1707" s="3280"/>
      <c r="AZ1707" s="3041"/>
      <c r="BD1707" s="3281"/>
      <c r="BH1707" s="3282"/>
      <c r="BJ1707" s="2589"/>
      <c r="BK1707" s="2126"/>
      <c r="BL1707" s="2126"/>
      <c r="BM1707" s="2126"/>
      <c r="BN1707" s="2126"/>
      <c r="BO1707" s="2126"/>
      <c r="BP1707" s="2126"/>
      <c r="BQ1707" s="2126"/>
      <c r="BR1707" s="2126"/>
      <c r="BS1707" s="2126"/>
    </row>
    <row r="1708" spans="1:71" s="3030" customFormat="1">
      <c r="A1708" s="2126"/>
      <c r="B1708" s="2126"/>
      <c r="C1708" s="2149"/>
      <c r="D1708" s="3248"/>
      <c r="E1708" s="525"/>
      <c r="F1708" s="525"/>
      <c r="G1708" s="526"/>
      <c r="K1708" s="3280"/>
      <c r="P1708" s="3041"/>
      <c r="X1708" s="3280"/>
      <c r="AA1708" s="3041"/>
      <c r="AF1708" s="3041"/>
      <c r="AN1708" s="3280"/>
      <c r="AZ1708" s="3041"/>
      <c r="BD1708" s="3281"/>
      <c r="BH1708" s="3282"/>
      <c r="BJ1708" s="2589"/>
      <c r="BK1708" s="2126"/>
      <c r="BL1708" s="2126"/>
      <c r="BM1708" s="2126"/>
      <c r="BN1708" s="2126"/>
      <c r="BO1708" s="2126"/>
      <c r="BP1708" s="2126"/>
      <c r="BQ1708" s="2126"/>
      <c r="BR1708" s="2126"/>
      <c r="BS1708" s="2126"/>
    </row>
    <row r="1709" spans="1:71" s="3030" customFormat="1">
      <c r="A1709" s="2126"/>
      <c r="B1709" s="2126"/>
      <c r="C1709" s="2149"/>
      <c r="D1709" s="3248"/>
      <c r="E1709" s="525"/>
      <c r="F1709" s="525"/>
      <c r="G1709" s="526"/>
      <c r="K1709" s="3280"/>
      <c r="P1709" s="3041"/>
      <c r="X1709" s="3280"/>
      <c r="AA1709" s="3041"/>
      <c r="AF1709" s="3041"/>
      <c r="AN1709" s="3280"/>
      <c r="AZ1709" s="3041"/>
      <c r="BD1709" s="3281"/>
      <c r="BH1709" s="3282"/>
      <c r="BJ1709" s="2589"/>
      <c r="BK1709" s="2126"/>
      <c r="BL1709" s="2126"/>
      <c r="BM1709" s="2126"/>
      <c r="BN1709" s="2126"/>
      <c r="BO1709" s="2126"/>
      <c r="BP1709" s="2126"/>
      <c r="BQ1709" s="2126"/>
      <c r="BR1709" s="2126"/>
      <c r="BS1709" s="2126"/>
    </row>
    <row r="1710" spans="1:71" s="3030" customFormat="1">
      <c r="A1710" s="2126"/>
      <c r="B1710" s="2126"/>
      <c r="C1710" s="2149"/>
      <c r="D1710" s="3248"/>
      <c r="E1710" s="525"/>
      <c r="F1710" s="525"/>
      <c r="G1710" s="526"/>
      <c r="K1710" s="3280"/>
      <c r="P1710" s="3041"/>
      <c r="X1710" s="3280"/>
      <c r="AA1710" s="3041"/>
      <c r="AF1710" s="3041"/>
      <c r="AN1710" s="3280"/>
      <c r="AZ1710" s="3041"/>
      <c r="BD1710" s="3281"/>
      <c r="BH1710" s="3282"/>
      <c r="BJ1710" s="2589"/>
      <c r="BK1710" s="2126"/>
      <c r="BL1710" s="2126"/>
      <c r="BM1710" s="2126"/>
      <c r="BN1710" s="2126"/>
      <c r="BO1710" s="2126"/>
      <c r="BP1710" s="2126"/>
      <c r="BQ1710" s="2126"/>
      <c r="BR1710" s="2126"/>
      <c r="BS1710" s="2126"/>
    </row>
    <row r="1711" spans="1:71" s="3030" customFormat="1">
      <c r="A1711" s="2126"/>
      <c r="B1711" s="2126"/>
      <c r="C1711" s="2149"/>
      <c r="D1711" s="3248"/>
      <c r="E1711" s="525"/>
      <c r="F1711" s="525"/>
      <c r="G1711" s="526"/>
      <c r="K1711" s="3280"/>
      <c r="P1711" s="3041"/>
      <c r="X1711" s="3280"/>
      <c r="AA1711" s="3041"/>
      <c r="AF1711" s="3041"/>
      <c r="AN1711" s="3280"/>
      <c r="AZ1711" s="3041"/>
      <c r="BD1711" s="3281"/>
      <c r="BH1711" s="3282"/>
      <c r="BJ1711" s="2589"/>
      <c r="BK1711" s="2126"/>
      <c r="BL1711" s="2126"/>
      <c r="BM1711" s="2126"/>
      <c r="BN1711" s="2126"/>
      <c r="BO1711" s="2126"/>
      <c r="BP1711" s="2126"/>
      <c r="BQ1711" s="2126"/>
      <c r="BR1711" s="2126"/>
      <c r="BS1711" s="2126"/>
    </row>
    <row r="1712" spans="1:71" s="3030" customFormat="1">
      <c r="A1712" s="2126"/>
      <c r="B1712" s="2126"/>
      <c r="C1712" s="2149"/>
      <c r="D1712" s="3248"/>
      <c r="E1712" s="525"/>
      <c r="F1712" s="525"/>
      <c r="G1712" s="526"/>
      <c r="K1712" s="3280"/>
      <c r="P1712" s="3041"/>
      <c r="X1712" s="3280"/>
      <c r="AA1712" s="3041"/>
      <c r="AF1712" s="3041"/>
      <c r="AN1712" s="3280"/>
      <c r="AZ1712" s="3041"/>
      <c r="BD1712" s="3281"/>
      <c r="BH1712" s="3282"/>
      <c r="BJ1712" s="2589"/>
      <c r="BK1712" s="2126"/>
      <c r="BL1712" s="2126"/>
      <c r="BM1712" s="2126"/>
      <c r="BN1712" s="2126"/>
      <c r="BO1712" s="2126"/>
      <c r="BP1712" s="2126"/>
      <c r="BQ1712" s="2126"/>
      <c r="BR1712" s="2126"/>
      <c r="BS1712" s="2126"/>
    </row>
    <row r="1713" spans="1:71" s="3030" customFormat="1">
      <c r="A1713" s="2126"/>
      <c r="B1713" s="2126"/>
      <c r="C1713" s="2149"/>
      <c r="D1713" s="3248"/>
      <c r="E1713" s="525"/>
      <c r="F1713" s="525"/>
      <c r="G1713" s="526"/>
      <c r="K1713" s="3280"/>
      <c r="P1713" s="3041"/>
      <c r="X1713" s="3280"/>
      <c r="AA1713" s="3041"/>
      <c r="AF1713" s="3041"/>
      <c r="AN1713" s="3280"/>
      <c r="AZ1713" s="3041"/>
      <c r="BD1713" s="3281"/>
      <c r="BH1713" s="3282"/>
      <c r="BJ1713" s="2589"/>
      <c r="BK1713" s="2126"/>
      <c r="BL1713" s="2126"/>
      <c r="BM1713" s="2126"/>
      <c r="BN1713" s="2126"/>
      <c r="BO1713" s="2126"/>
      <c r="BP1713" s="2126"/>
      <c r="BQ1713" s="2126"/>
      <c r="BR1713" s="2126"/>
      <c r="BS1713" s="2126"/>
    </row>
    <row r="1714" spans="1:71" s="3030" customFormat="1">
      <c r="A1714" s="2126"/>
      <c r="B1714" s="2126"/>
      <c r="C1714" s="2149"/>
      <c r="D1714" s="3248"/>
      <c r="E1714" s="525"/>
      <c r="F1714" s="525"/>
      <c r="G1714" s="526"/>
      <c r="K1714" s="3280"/>
      <c r="P1714" s="3041"/>
      <c r="X1714" s="3280"/>
      <c r="AA1714" s="3041"/>
      <c r="AF1714" s="3041"/>
      <c r="AN1714" s="3280"/>
      <c r="AZ1714" s="3041"/>
      <c r="BD1714" s="3281"/>
      <c r="BH1714" s="3282"/>
      <c r="BJ1714" s="2589"/>
      <c r="BK1714" s="2126"/>
      <c r="BL1714" s="2126"/>
      <c r="BM1714" s="2126"/>
      <c r="BN1714" s="2126"/>
      <c r="BO1714" s="2126"/>
      <c r="BP1714" s="2126"/>
      <c r="BQ1714" s="2126"/>
      <c r="BR1714" s="2126"/>
      <c r="BS1714" s="2126"/>
    </row>
    <row r="1715" spans="1:71" s="3030" customFormat="1">
      <c r="A1715" s="2126"/>
      <c r="B1715" s="2126"/>
      <c r="C1715" s="2149"/>
      <c r="D1715" s="3248"/>
      <c r="E1715" s="525"/>
      <c r="F1715" s="525"/>
      <c r="G1715" s="526"/>
      <c r="K1715" s="3280"/>
      <c r="P1715" s="3041"/>
      <c r="X1715" s="3280"/>
      <c r="AA1715" s="3041"/>
      <c r="AF1715" s="3041"/>
      <c r="AN1715" s="3280"/>
      <c r="AZ1715" s="3041"/>
      <c r="BD1715" s="3281"/>
      <c r="BH1715" s="3282"/>
      <c r="BJ1715" s="2589"/>
      <c r="BK1715" s="2126"/>
      <c r="BL1715" s="2126"/>
      <c r="BM1715" s="2126"/>
      <c r="BN1715" s="2126"/>
      <c r="BO1715" s="2126"/>
      <c r="BP1715" s="2126"/>
      <c r="BQ1715" s="2126"/>
      <c r="BR1715" s="2126"/>
      <c r="BS1715" s="2126"/>
    </row>
    <row r="1716" spans="1:71" s="3030" customFormat="1">
      <c r="A1716" s="2126"/>
      <c r="B1716" s="2126"/>
      <c r="C1716" s="2149"/>
      <c r="D1716" s="3248"/>
      <c r="E1716" s="525"/>
      <c r="F1716" s="525"/>
      <c r="G1716" s="526"/>
      <c r="K1716" s="3280"/>
      <c r="P1716" s="3041"/>
      <c r="X1716" s="3280"/>
      <c r="AA1716" s="3041"/>
      <c r="AF1716" s="3041"/>
      <c r="AN1716" s="3280"/>
      <c r="AZ1716" s="3041"/>
      <c r="BD1716" s="3281"/>
      <c r="BH1716" s="3282"/>
      <c r="BJ1716" s="2589"/>
      <c r="BK1716" s="2126"/>
      <c r="BL1716" s="2126"/>
      <c r="BM1716" s="2126"/>
      <c r="BN1716" s="2126"/>
      <c r="BO1716" s="2126"/>
      <c r="BP1716" s="2126"/>
      <c r="BQ1716" s="2126"/>
      <c r="BR1716" s="2126"/>
      <c r="BS1716" s="2126"/>
    </row>
    <row r="1717" spans="1:71" s="3030" customFormat="1">
      <c r="A1717" s="2126"/>
      <c r="B1717" s="2126"/>
      <c r="C1717" s="2149"/>
      <c r="D1717" s="3248"/>
      <c r="E1717" s="525"/>
      <c r="F1717" s="525"/>
      <c r="G1717" s="526"/>
      <c r="K1717" s="3280"/>
      <c r="P1717" s="3041"/>
      <c r="X1717" s="3280"/>
      <c r="AA1717" s="3041"/>
      <c r="AF1717" s="3041"/>
      <c r="AN1717" s="3280"/>
      <c r="AZ1717" s="3041"/>
      <c r="BD1717" s="3281"/>
      <c r="BH1717" s="3282"/>
      <c r="BJ1717" s="2589"/>
      <c r="BK1717" s="2126"/>
      <c r="BL1717" s="2126"/>
      <c r="BM1717" s="2126"/>
      <c r="BN1717" s="2126"/>
      <c r="BO1717" s="2126"/>
      <c r="BP1717" s="2126"/>
      <c r="BQ1717" s="2126"/>
      <c r="BR1717" s="2126"/>
      <c r="BS1717" s="2126"/>
    </row>
    <row r="1718" spans="1:71" s="3030" customFormat="1">
      <c r="A1718" s="2126"/>
      <c r="B1718" s="2126"/>
      <c r="C1718" s="2149"/>
      <c r="D1718" s="3248"/>
      <c r="E1718" s="525"/>
      <c r="F1718" s="525"/>
      <c r="G1718" s="526"/>
      <c r="K1718" s="3280"/>
      <c r="P1718" s="3041"/>
      <c r="X1718" s="3280"/>
      <c r="AA1718" s="3041"/>
      <c r="AF1718" s="3041"/>
      <c r="AN1718" s="3280"/>
      <c r="AZ1718" s="3041"/>
      <c r="BD1718" s="3281"/>
      <c r="BH1718" s="3282"/>
      <c r="BJ1718" s="2589"/>
      <c r="BK1718" s="2126"/>
      <c r="BL1718" s="2126"/>
      <c r="BM1718" s="2126"/>
      <c r="BN1718" s="2126"/>
      <c r="BO1718" s="2126"/>
      <c r="BP1718" s="2126"/>
      <c r="BQ1718" s="2126"/>
      <c r="BR1718" s="2126"/>
      <c r="BS1718" s="2126"/>
    </row>
    <row r="1719" spans="1:71" s="3030" customFormat="1">
      <c r="A1719" s="2126"/>
      <c r="B1719" s="2126"/>
      <c r="C1719" s="2149"/>
      <c r="D1719" s="3248"/>
      <c r="E1719" s="525"/>
      <c r="F1719" s="525"/>
      <c r="G1719" s="526"/>
      <c r="K1719" s="3280"/>
      <c r="P1719" s="3041"/>
      <c r="X1719" s="3280"/>
      <c r="AA1719" s="3041"/>
      <c r="AF1719" s="3041"/>
      <c r="AN1719" s="3280"/>
      <c r="AZ1719" s="3041"/>
      <c r="BD1719" s="3281"/>
      <c r="BH1719" s="3282"/>
      <c r="BJ1719" s="2589"/>
      <c r="BK1719" s="2126"/>
      <c r="BL1719" s="2126"/>
      <c r="BM1719" s="2126"/>
      <c r="BN1719" s="2126"/>
      <c r="BO1719" s="2126"/>
      <c r="BP1719" s="2126"/>
      <c r="BQ1719" s="2126"/>
      <c r="BR1719" s="2126"/>
      <c r="BS1719" s="2126"/>
    </row>
    <row r="1720" spans="1:71" s="3030" customFormat="1">
      <c r="A1720" s="2126"/>
      <c r="B1720" s="2126"/>
      <c r="C1720" s="2149"/>
      <c r="D1720" s="3248"/>
      <c r="E1720" s="525"/>
      <c r="F1720" s="525"/>
      <c r="G1720" s="526"/>
      <c r="K1720" s="3280"/>
      <c r="P1720" s="3041"/>
      <c r="X1720" s="3280"/>
      <c r="AA1720" s="3041"/>
      <c r="AF1720" s="3041"/>
      <c r="AN1720" s="3280"/>
      <c r="AZ1720" s="3041"/>
      <c r="BD1720" s="3281"/>
      <c r="BH1720" s="3282"/>
      <c r="BJ1720" s="2589"/>
      <c r="BK1720" s="2126"/>
      <c r="BL1720" s="2126"/>
      <c r="BM1720" s="2126"/>
      <c r="BN1720" s="2126"/>
      <c r="BO1720" s="2126"/>
      <c r="BP1720" s="2126"/>
      <c r="BQ1720" s="2126"/>
      <c r="BR1720" s="2126"/>
      <c r="BS1720" s="2126"/>
    </row>
    <row r="1721" spans="1:71" s="3030" customFormat="1">
      <c r="A1721" s="2126"/>
      <c r="B1721" s="2126"/>
      <c r="C1721" s="2149"/>
      <c r="D1721" s="3248"/>
      <c r="E1721" s="525"/>
      <c r="F1721" s="525"/>
      <c r="G1721" s="526"/>
      <c r="K1721" s="3280"/>
      <c r="P1721" s="3041"/>
      <c r="X1721" s="3280"/>
      <c r="AA1721" s="3041"/>
      <c r="AF1721" s="3041"/>
      <c r="AN1721" s="3280"/>
      <c r="AZ1721" s="3041"/>
      <c r="BD1721" s="3281"/>
      <c r="BH1721" s="3282"/>
      <c r="BJ1721" s="2589"/>
      <c r="BK1721" s="2126"/>
      <c r="BL1721" s="2126"/>
      <c r="BM1721" s="2126"/>
      <c r="BN1721" s="2126"/>
      <c r="BO1721" s="2126"/>
      <c r="BP1721" s="2126"/>
      <c r="BQ1721" s="2126"/>
      <c r="BR1721" s="2126"/>
      <c r="BS1721" s="2126"/>
    </row>
    <row r="1722" spans="1:71" s="3030" customFormat="1">
      <c r="A1722" s="2126"/>
      <c r="B1722" s="2126"/>
      <c r="C1722" s="2149"/>
      <c r="D1722" s="3248"/>
      <c r="E1722" s="525"/>
      <c r="F1722" s="525"/>
      <c r="G1722" s="526"/>
      <c r="K1722" s="3280"/>
      <c r="P1722" s="3041"/>
      <c r="X1722" s="3280"/>
      <c r="AA1722" s="3041"/>
      <c r="AF1722" s="3041"/>
      <c r="AN1722" s="3280"/>
      <c r="AZ1722" s="3041"/>
      <c r="BD1722" s="3281"/>
      <c r="BH1722" s="3282"/>
      <c r="BJ1722" s="2589"/>
      <c r="BK1722" s="2126"/>
      <c r="BL1722" s="2126"/>
      <c r="BM1722" s="2126"/>
      <c r="BN1722" s="2126"/>
      <c r="BO1722" s="2126"/>
      <c r="BP1722" s="2126"/>
      <c r="BQ1722" s="2126"/>
      <c r="BR1722" s="2126"/>
      <c r="BS1722" s="2126"/>
    </row>
    <row r="1723" spans="1:71" s="3030" customFormat="1">
      <c r="A1723" s="2126"/>
      <c r="B1723" s="2126"/>
      <c r="C1723" s="2149"/>
      <c r="D1723" s="3248"/>
      <c r="E1723" s="525"/>
      <c r="F1723" s="525"/>
      <c r="G1723" s="526"/>
      <c r="K1723" s="3280"/>
      <c r="P1723" s="3041"/>
      <c r="X1723" s="3280"/>
      <c r="AA1723" s="3041"/>
      <c r="AF1723" s="3041"/>
      <c r="AN1723" s="3280"/>
      <c r="AZ1723" s="3041"/>
      <c r="BD1723" s="3281"/>
      <c r="BH1723" s="3282"/>
      <c r="BJ1723" s="2589"/>
      <c r="BK1723" s="2126"/>
      <c r="BL1723" s="2126"/>
      <c r="BM1723" s="2126"/>
      <c r="BN1723" s="2126"/>
      <c r="BO1723" s="2126"/>
      <c r="BP1723" s="2126"/>
      <c r="BQ1723" s="2126"/>
      <c r="BR1723" s="2126"/>
      <c r="BS1723" s="2126"/>
    </row>
    <row r="1724" spans="1:71" s="3030" customFormat="1">
      <c r="A1724" s="2126"/>
      <c r="B1724" s="2126"/>
      <c r="C1724" s="2149"/>
      <c r="D1724" s="3248"/>
      <c r="E1724" s="525"/>
      <c r="F1724" s="525"/>
      <c r="G1724" s="526"/>
      <c r="K1724" s="3280"/>
      <c r="P1724" s="3041"/>
      <c r="X1724" s="3280"/>
      <c r="AA1724" s="3041"/>
      <c r="AF1724" s="3041"/>
      <c r="AN1724" s="3280"/>
      <c r="AZ1724" s="3041"/>
      <c r="BD1724" s="3281"/>
      <c r="BH1724" s="3282"/>
      <c r="BJ1724" s="2589"/>
      <c r="BK1724" s="2126"/>
      <c r="BL1724" s="2126"/>
      <c r="BM1724" s="2126"/>
      <c r="BN1724" s="2126"/>
      <c r="BO1724" s="2126"/>
      <c r="BP1724" s="2126"/>
      <c r="BQ1724" s="2126"/>
      <c r="BR1724" s="2126"/>
      <c r="BS1724" s="2126"/>
    </row>
    <row r="1725" spans="1:71" s="3030" customFormat="1">
      <c r="A1725" s="2126"/>
      <c r="B1725" s="2126"/>
      <c r="C1725" s="2149"/>
      <c r="D1725" s="3248"/>
      <c r="E1725" s="525"/>
      <c r="F1725" s="525"/>
      <c r="G1725" s="526"/>
      <c r="K1725" s="3280"/>
      <c r="P1725" s="3041"/>
      <c r="X1725" s="3280"/>
      <c r="AA1725" s="3041"/>
      <c r="AF1725" s="3041"/>
      <c r="AN1725" s="3280"/>
      <c r="AZ1725" s="3041"/>
      <c r="BD1725" s="3281"/>
      <c r="BH1725" s="3282"/>
      <c r="BJ1725" s="2589"/>
      <c r="BK1725" s="2126"/>
      <c r="BL1725" s="2126"/>
      <c r="BM1725" s="2126"/>
      <c r="BN1725" s="2126"/>
      <c r="BO1725" s="2126"/>
      <c r="BP1725" s="2126"/>
      <c r="BQ1725" s="2126"/>
      <c r="BR1725" s="2126"/>
      <c r="BS1725" s="2126"/>
    </row>
    <row r="1726" spans="1:71" s="3030" customFormat="1">
      <c r="A1726" s="2126"/>
      <c r="B1726" s="2126"/>
      <c r="C1726" s="2149"/>
      <c r="D1726" s="3248"/>
      <c r="E1726" s="525"/>
      <c r="F1726" s="525"/>
      <c r="G1726" s="526"/>
      <c r="K1726" s="3280"/>
      <c r="P1726" s="3041"/>
      <c r="X1726" s="3280"/>
      <c r="AA1726" s="3041"/>
      <c r="AF1726" s="3041"/>
      <c r="AN1726" s="3280"/>
      <c r="AZ1726" s="3041"/>
      <c r="BD1726" s="3281"/>
      <c r="BH1726" s="3282"/>
      <c r="BJ1726" s="2589"/>
      <c r="BK1726" s="2126"/>
      <c r="BL1726" s="2126"/>
      <c r="BM1726" s="2126"/>
      <c r="BN1726" s="2126"/>
      <c r="BO1726" s="2126"/>
      <c r="BP1726" s="2126"/>
      <c r="BQ1726" s="2126"/>
      <c r="BR1726" s="2126"/>
      <c r="BS1726" s="2126"/>
    </row>
    <row r="1727" spans="1:71" s="3030" customFormat="1">
      <c r="A1727" s="2126"/>
      <c r="B1727" s="2126"/>
      <c r="C1727" s="2149"/>
      <c r="D1727" s="3248"/>
      <c r="E1727" s="525"/>
      <c r="F1727" s="525"/>
      <c r="G1727" s="526"/>
      <c r="K1727" s="3280"/>
      <c r="P1727" s="3041"/>
      <c r="X1727" s="3280"/>
      <c r="AA1727" s="3041"/>
      <c r="AF1727" s="3041"/>
      <c r="AN1727" s="3280"/>
      <c r="AZ1727" s="3041"/>
      <c r="BD1727" s="3281"/>
      <c r="BH1727" s="3282"/>
      <c r="BJ1727" s="2589"/>
      <c r="BK1727" s="2126"/>
      <c r="BL1727" s="2126"/>
      <c r="BM1727" s="2126"/>
      <c r="BN1727" s="2126"/>
      <c r="BO1727" s="2126"/>
      <c r="BP1727" s="2126"/>
      <c r="BQ1727" s="2126"/>
      <c r="BR1727" s="2126"/>
      <c r="BS1727" s="2126"/>
    </row>
    <row r="1728" spans="1:71" s="3030" customFormat="1">
      <c r="A1728" s="2126"/>
      <c r="B1728" s="2126"/>
      <c r="C1728" s="2149"/>
      <c r="D1728" s="3248"/>
      <c r="E1728" s="525"/>
      <c r="F1728" s="525"/>
      <c r="G1728" s="526"/>
      <c r="K1728" s="3280"/>
      <c r="P1728" s="3041"/>
      <c r="X1728" s="3280"/>
      <c r="AA1728" s="3041"/>
      <c r="AF1728" s="3041"/>
      <c r="AN1728" s="3280"/>
      <c r="AZ1728" s="3041"/>
      <c r="BD1728" s="3281"/>
      <c r="BH1728" s="3282"/>
      <c r="BJ1728" s="2589"/>
      <c r="BK1728" s="2126"/>
      <c r="BL1728" s="2126"/>
      <c r="BM1728" s="2126"/>
      <c r="BN1728" s="2126"/>
      <c r="BO1728" s="2126"/>
      <c r="BP1728" s="2126"/>
      <c r="BQ1728" s="2126"/>
      <c r="BR1728" s="2126"/>
      <c r="BS1728" s="2126"/>
    </row>
    <row r="1729" spans="1:71" s="3030" customFormat="1">
      <c r="A1729" s="2126"/>
      <c r="B1729" s="2126"/>
      <c r="C1729" s="2149"/>
      <c r="D1729" s="3248"/>
      <c r="E1729" s="525"/>
      <c r="F1729" s="525"/>
      <c r="G1729" s="526"/>
      <c r="K1729" s="3280"/>
      <c r="P1729" s="3041"/>
      <c r="X1729" s="3280"/>
      <c r="AA1729" s="3041"/>
      <c r="AF1729" s="3041"/>
      <c r="AN1729" s="3280"/>
      <c r="AZ1729" s="3041"/>
      <c r="BD1729" s="3281"/>
      <c r="BH1729" s="3282"/>
      <c r="BJ1729" s="2589"/>
      <c r="BK1729" s="2126"/>
      <c r="BL1729" s="2126"/>
      <c r="BM1729" s="2126"/>
      <c r="BN1729" s="2126"/>
      <c r="BO1729" s="2126"/>
      <c r="BP1729" s="2126"/>
      <c r="BQ1729" s="2126"/>
      <c r="BR1729" s="2126"/>
      <c r="BS1729" s="2126"/>
    </row>
    <row r="1730" spans="1:71" s="3030" customFormat="1">
      <c r="A1730" s="2126"/>
      <c r="B1730" s="2126"/>
      <c r="C1730" s="2149"/>
      <c r="D1730" s="3248"/>
      <c r="E1730" s="525"/>
      <c r="F1730" s="525"/>
      <c r="G1730" s="526"/>
      <c r="K1730" s="3280"/>
      <c r="P1730" s="3041"/>
      <c r="X1730" s="3280"/>
      <c r="AA1730" s="3041"/>
      <c r="AF1730" s="3041"/>
      <c r="AN1730" s="3280"/>
      <c r="AZ1730" s="3041"/>
      <c r="BD1730" s="3281"/>
      <c r="BH1730" s="3282"/>
      <c r="BJ1730" s="2589"/>
      <c r="BK1730" s="2126"/>
      <c r="BL1730" s="2126"/>
      <c r="BM1730" s="2126"/>
      <c r="BN1730" s="2126"/>
      <c r="BO1730" s="2126"/>
      <c r="BP1730" s="2126"/>
      <c r="BQ1730" s="2126"/>
      <c r="BR1730" s="2126"/>
      <c r="BS1730" s="2126"/>
    </row>
    <row r="1731" spans="1:71" s="3030" customFormat="1">
      <c r="A1731" s="2126"/>
      <c r="B1731" s="2126"/>
      <c r="C1731" s="2149"/>
      <c r="D1731" s="3248"/>
      <c r="E1731" s="525"/>
      <c r="F1731" s="525"/>
      <c r="G1731" s="526"/>
      <c r="K1731" s="3280"/>
      <c r="P1731" s="3041"/>
      <c r="X1731" s="3280"/>
      <c r="AA1731" s="3041"/>
      <c r="AF1731" s="3041"/>
      <c r="AN1731" s="3280"/>
      <c r="AZ1731" s="3041"/>
      <c r="BD1731" s="3281"/>
      <c r="BH1731" s="3282"/>
      <c r="BJ1731" s="2589"/>
      <c r="BK1731" s="2126"/>
      <c r="BL1731" s="2126"/>
      <c r="BM1731" s="2126"/>
      <c r="BN1731" s="2126"/>
      <c r="BO1731" s="2126"/>
      <c r="BP1731" s="2126"/>
      <c r="BQ1731" s="2126"/>
      <c r="BR1731" s="2126"/>
      <c r="BS1731" s="2126"/>
    </row>
    <row r="1732" spans="1:71" s="3030" customFormat="1">
      <c r="A1732" s="2126"/>
      <c r="B1732" s="2126"/>
      <c r="C1732" s="2149"/>
      <c r="D1732" s="3248"/>
      <c r="E1732" s="525"/>
      <c r="F1732" s="525"/>
      <c r="G1732" s="526"/>
      <c r="K1732" s="3280"/>
      <c r="P1732" s="3041"/>
      <c r="X1732" s="3280"/>
      <c r="AA1732" s="3041"/>
      <c r="AF1732" s="3041"/>
      <c r="AN1732" s="3280"/>
      <c r="AZ1732" s="3041"/>
      <c r="BD1732" s="3281"/>
      <c r="BH1732" s="3282"/>
      <c r="BJ1732" s="2589"/>
      <c r="BK1732" s="2126"/>
      <c r="BL1732" s="2126"/>
      <c r="BM1732" s="2126"/>
      <c r="BN1732" s="2126"/>
      <c r="BO1732" s="2126"/>
      <c r="BP1732" s="2126"/>
      <c r="BQ1732" s="2126"/>
      <c r="BR1732" s="2126"/>
      <c r="BS1732" s="2126"/>
    </row>
    <row r="1733" spans="1:71" s="3030" customFormat="1">
      <c r="A1733" s="2126"/>
      <c r="B1733" s="2126"/>
      <c r="C1733" s="2149"/>
      <c r="D1733" s="3248"/>
      <c r="E1733" s="525"/>
      <c r="F1733" s="525"/>
      <c r="G1733" s="526"/>
      <c r="K1733" s="3280"/>
      <c r="P1733" s="3041"/>
      <c r="X1733" s="3280"/>
      <c r="AA1733" s="3041"/>
      <c r="AF1733" s="3041"/>
      <c r="AN1733" s="3280"/>
      <c r="AZ1733" s="3041"/>
      <c r="BD1733" s="3281"/>
      <c r="BH1733" s="3282"/>
      <c r="BJ1733" s="2589"/>
      <c r="BK1733" s="2126"/>
      <c r="BL1733" s="2126"/>
      <c r="BM1733" s="2126"/>
      <c r="BN1733" s="2126"/>
      <c r="BO1733" s="2126"/>
      <c r="BP1733" s="2126"/>
      <c r="BQ1733" s="2126"/>
      <c r="BR1733" s="2126"/>
      <c r="BS1733" s="2126"/>
    </row>
    <row r="1734" spans="1:71" s="3030" customFormat="1">
      <c r="A1734" s="2126"/>
      <c r="B1734" s="2126"/>
      <c r="C1734" s="2149"/>
      <c r="D1734" s="3248"/>
      <c r="E1734" s="525"/>
      <c r="F1734" s="525"/>
      <c r="G1734" s="526"/>
      <c r="K1734" s="3280"/>
      <c r="P1734" s="3041"/>
      <c r="X1734" s="3280"/>
      <c r="AA1734" s="3041"/>
      <c r="AF1734" s="3041"/>
      <c r="AN1734" s="3280"/>
      <c r="AZ1734" s="3041"/>
      <c r="BD1734" s="3281"/>
      <c r="BH1734" s="3282"/>
      <c r="BJ1734" s="2589"/>
      <c r="BK1734" s="2126"/>
      <c r="BL1734" s="2126"/>
      <c r="BM1734" s="2126"/>
      <c r="BN1734" s="2126"/>
      <c r="BO1734" s="2126"/>
      <c r="BP1734" s="2126"/>
      <c r="BQ1734" s="2126"/>
      <c r="BR1734" s="2126"/>
      <c r="BS1734" s="2126"/>
    </row>
    <row r="1735" spans="1:71" s="3030" customFormat="1">
      <c r="A1735" s="2126"/>
      <c r="B1735" s="2126"/>
      <c r="C1735" s="2149"/>
      <c r="D1735" s="3248"/>
      <c r="E1735" s="525"/>
      <c r="F1735" s="525"/>
      <c r="G1735" s="526"/>
      <c r="K1735" s="3280"/>
      <c r="P1735" s="3041"/>
      <c r="X1735" s="3280"/>
      <c r="AA1735" s="3041"/>
      <c r="AF1735" s="3041"/>
      <c r="AN1735" s="3280"/>
      <c r="AZ1735" s="3041"/>
      <c r="BD1735" s="3281"/>
      <c r="BH1735" s="3282"/>
      <c r="BJ1735" s="2589"/>
      <c r="BK1735" s="2126"/>
      <c r="BL1735" s="2126"/>
      <c r="BM1735" s="2126"/>
      <c r="BN1735" s="2126"/>
      <c r="BO1735" s="2126"/>
      <c r="BP1735" s="2126"/>
      <c r="BQ1735" s="2126"/>
      <c r="BR1735" s="2126"/>
      <c r="BS1735" s="2126"/>
    </row>
    <row r="1736" spans="1:71" s="3030" customFormat="1">
      <c r="A1736" s="2126"/>
      <c r="B1736" s="2126"/>
      <c r="C1736" s="2149"/>
      <c r="D1736" s="3248"/>
      <c r="E1736" s="525"/>
      <c r="F1736" s="525"/>
      <c r="G1736" s="526"/>
      <c r="K1736" s="3280"/>
      <c r="P1736" s="3041"/>
      <c r="X1736" s="3280"/>
      <c r="AA1736" s="3041"/>
      <c r="AF1736" s="3041"/>
      <c r="AN1736" s="3280"/>
      <c r="AZ1736" s="3041"/>
      <c r="BD1736" s="3281"/>
      <c r="BH1736" s="3282"/>
      <c r="BJ1736" s="2589"/>
      <c r="BK1736" s="2126"/>
      <c r="BL1736" s="2126"/>
      <c r="BM1736" s="2126"/>
      <c r="BN1736" s="2126"/>
      <c r="BO1736" s="2126"/>
      <c r="BP1736" s="2126"/>
      <c r="BQ1736" s="2126"/>
      <c r="BR1736" s="2126"/>
      <c r="BS1736" s="2126"/>
    </row>
    <row r="1737" spans="1:71" s="3030" customFormat="1">
      <c r="A1737" s="2126"/>
      <c r="B1737" s="2126"/>
      <c r="C1737" s="2149"/>
      <c r="D1737" s="3248"/>
      <c r="E1737" s="525"/>
      <c r="F1737" s="525"/>
      <c r="G1737" s="526"/>
      <c r="K1737" s="3280"/>
      <c r="P1737" s="3041"/>
      <c r="X1737" s="3280"/>
      <c r="AA1737" s="3041"/>
      <c r="AF1737" s="3041"/>
      <c r="AN1737" s="3280"/>
      <c r="AZ1737" s="3041"/>
      <c r="BD1737" s="3281"/>
      <c r="BH1737" s="3282"/>
      <c r="BJ1737" s="2589"/>
      <c r="BK1737" s="2126"/>
      <c r="BL1737" s="2126"/>
      <c r="BM1737" s="2126"/>
      <c r="BN1737" s="2126"/>
      <c r="BO1737" s="2126"/>
      <c r="BP1737" s="2126"/>
      <c r="BQ1737" s="2126"/>
      <c r="BR1737" s="2126"/>
      <c r="BS1737" s="2126"/>
    </row>
    <row r="1738" spans="1:71" s="3030" customFormat="1">
      <c r="A1738" s="2126"/>
      <c r="B1738" s="2126"/>
      <c r="C1738" s="2149"/>
      <c r="D1738" s="3248"/>
      <c r="E1738" s="525"/>
      <c r="F1738" s="525"/>
      <c r="G1738" s="526"/>
      <c r="K1738" s="3280"/>
      <c r="P1738" s="3041"/>
      <c r="X1738" s="3280"/>
      <c r="AA1738" s="3041"/>
      <c r="AF1738" s="3041"/>
      <c r="AN1738" s="3280"/>
      <c r="AZ1738" s="3041"/>
      <c r="BD1738" s="3281"/>
      <c r="BH1738" s="3282"/>
      <c r="BJ1738" s="2589"/>
      <c r="BK1738" s="2126"/>
      <c r="BL1738" s="2126"/>
      <c r="BM1738" s="2126"/>
      <c r="BN1738" s="2126"/>
      <c r="BO1738" s="2126"/>
      <c r="BP1738" s="2126"/>
      <c r="BQ1738" s="2126"/>
      <c r="BR1738" s="2126"/>
      <c r="BS1738" s="2126"/>
    </row>
    <row r="1739" spans="1:71" s="3030" customFormat="1">
      <c r="A1739" s="2126"/>
      <c r="B1739" s="2126"/>
      <c r="C1739" s="2149"/>
      <c r="D1739" s="3248"/>
      <c r="E1739" s="525"/>
      <c r="F1739" s="525"/>
      <c r="G1739" s="526"/>
      <c r="K1739" s="3280"/>
      <c r="P1739" s="3041"/>
      <c r="X1739" s="3280"/>
      <c r="AA1739" s="3041"/>
      <c r="AF1739" s="3041"/>
      <c r="AN1739" s="3280"/>
      <c r="AZ1739" s="3041"/>
      <c r="BD1739" s="3281"/>
      <c r="BH1739" s="3282"/>
      <c r="BJ1739" s="2589"/>
      <c r="BK1739" s="2126"/>
      <c r="BL1739" s="2126"/>
      <c r="BM1739" s="2126"/>
      <c r="BN1739" s="2126"/>
      <c r="BO1739" s="2126"/>
      <c r="BP1739" s="2126"/>
      <c r="BQ1739" s="2126"/>
      <c r="BR1739" s="2126"/>
      <c r="BS1739" s="2126"/>
    </row>
    <row r="1740" spans="1:71" s="3030" customFormat="1">
      <c r="A1740" s="2126"/>
      <c r="B1740" s="2126"/>
      <c r="C1740" s="2149"/>
      <c r="D1740" s="3248"/>
      <c r="E1740" s="525"/>
      <c r="F1740" s="525"/>
      <c r="G1740" s="526"/>
      <c r="K1740" s="3280"/>
      <c r="P1740" s="3041"/>
      <c r="X1740" s="3280"/>
      <c r="AA1740" s="3041"/>
      <c r="AF1740" s="3041"/>
      <c r="AN1740" s="3280"/>
      <c r="AZ1740" s="3041"/>
      <c r="BD1740" s="3281"/>
      <c r="BH1740" s="3282"/>
      <c r="BJ1740" s="2589"/>
      <c r="BK1740" s="2126"/>
      <c r="BL1740" s="2126"/>
      <c r="BM1740" s="2126"/>
      <c r="BN1740" s="2126"/>
      <c r="BO1740" s="2126"/>
      <c r="BP1740" s="2126"/>
      <c r="BQ1740" s="2126"/>
      <c r="BR1740" s="2126"/>
      <c r="BS1740" s="2126"/>
    </row>
    <row r="1741" spans="1:71" s="3030" customFormat="1">
      <c r="A1741" s="2126"/>
      <c r="B1741" s="2126"/>
      <c r="C1741" s="2149"/>
      <c r="D1741" s="3248"/>
      <c r="E1741" s="525"/>
      <c r="F1741" s="525"/>
      <c r="G1741" s="526"/>
      <c r="K1741" s="3280"/>
      <c r="P1741" s="3041"/>
      <c r="X1741" s="3280"/>
      <c r="AA1741" s="3041"/>
      <c r="AF1741" s="3041"/>
      <c r="AN1741" s="3280"/>
      <c r="AZ1741" s="3041"/>
      <c r="BD1741" s="3281"/>
      <c r="BH1741" s="3282"/>
      <c r="BJ1741" s="2589"/>
      <c r="BK1741" s="2126"/>
      <c r="BL1741" s="2126"/>
      <c r="BM1741" s="2126"/>
      <c r="BN1741" s="2126"/>
      <c r="BO1741" s="2126"/>
      <c r="BP1741" s="2126"/>
      <c r="BQ1741" s="2126"/>
      <c r="BR1741" s="2126"/>
      <c r="BS1741" s="2126"/>
    </row>
    <row r="1742" spans="1:71" s="3030" customFormat="1">
      <c r="A1742" s="2126"/>
      <c r="B1742" s="2126"/>
      <c r="C1742" s="2149"/>
      <c r="D1742" s="3248"/>
      <c r="E1742" s="525"/>
      <c r="F1742" s="525"/>
      <c r="G1742" s="526"/>
      <c r="K1742" s="3280"/>
      <c r="P1742" s="3041"/>
      <c r="X1742" s="3280"/>
      <c r="AA1742" s="3041"/>
      <c r="AF1742" s="3041"/>
      <c r="AN1742" s="3280"/>
      <c r="AZ1742" s="3041"/>
      <c r="BD1742" s="3281"/>
      <c r="BH1742" s="3282"/>
      <c r="BJ1742" s="2589"/>
      <c r="BK1742" s="2126"/>
      <c r="BL1742" s="2126"/>
      <c r="BM1742" s="2126"/>
      <c r="BN1742" s="2126"/>
      <c r="BO1742" s="2126"/>
      <c r="BP1742" s="2126"/>
      <c r="BQ1742" s="2126"/>
      <c r="BR1742" s="2126"/>
      <c r="BS1742" s="2126"/>
    </row>
    <row r="1743" spans="1:71" s="3030" customFormat="1">
      <c r="A1743" s="2126"/>
      <c r="B1743" s="2126"/>
      <c r="C1743" s="2149"/>
      <c r="D1743" s="3248"/>
      <c r="E1743" s="525"/>
      <c r="F1743" s="525"/>
      <c r="G1743" s="526"/>
      <c r="K1743" s="3280"/>
      <c r="P1743" s="3041"/>
      <c r="X1743" s="3280"/>
      <c r="AA1743" s="3041"/>
      <c r="AF1743" s="3041"/>
      <c r="AN1743" s="3280"/>
      <c r="AZ1743" s="3041"/>
      <c r="BD1743" s="3281"/>
      <c r="BH1743" s="3282"/>
      <c r="BJ1743" s="2589"/>
      <c r="BK1743" s="2126"/>
      <c r="BL1743" s="2126"/>
      <c r="BM1743" s="2126"/>
      <c r="BN1743" s="2126"/>
      <c r="BO1743" s="2126"/>
      <c r="BP1743" s="2126"/>
      <c r="BQ1743" s="2126"/>
      <c r="BR1743" s="2126"/>
      <c r="BS1743" s="2126"/>
    </row>
    <row r="1744" spans="1:71" s="3030" customFormat="1">
      <c r="A1744" s="2126"/>
      <c r="B1744" s="2126"/>
      <c r="C1744" s="2149"/>
      <c r="D1744" s="3248"/>
      <c r="E1744" s="525"/>
      <c r="F1744" s="525"/>
      <c r="G1744" s="526"/>
      <c r="K1744" s="3280"/>
      <c r="P1744" s="3041"/>
      <c r="X1744" s="3280"/>
      <c r="AA1744" s="3041"/>
      <c r="AF1744" s="3041"/>
      <c r="AN1744" s="3280"/>
      <c r="AZ1744" s="3041"/>
      <c r="BD1744" s="3281"/>
      <c r="BH1744" s="3282"/>
      <c r="BJ1744" s="2589"/>
      <c r="BK1744" s="2126"/>
      <c r="BL1744" s="2126"/>
      <c r="BM1744" s="2126"/>
      <c r="BN1744" s="2126"/>
      <c r="BO1744" s="2126"/>
      <c r="BP1744" s="2126"/>
      <c r="BQ1744" s="2126"/>
      <c r="BR1744" s="2126"/>
      <c r="BS1744" s="2126"/>
    </row>
    <row r="1745" spans="1:71" s="3030" customFormat="1">
      <c r="A1745" s="2126"/>
      <c r="B1745" s="2126"/>
      <c r="C1745" s="2149"/>
      <c r="D1745" s="3248"/>
      <c r="E1745" s="525"/>
      <c r="F1745" s="525"/>
      <c r="G1745" s="526"/>
      <c r="K1745" s="3280"/>
      <c r="P1745" s="3041"/>
      <c r="X1745" s="3280"/>
      <c r="AA1745" s="3041"/>
      <c r="AF1745" s="3041"/>
      <c r="AN1745" s="3280"/>
      <c r="AZ1745" s="3041"/>
      <c r="BD1745" s="3281"/>
      <c r="BH1745" s="3282"/>
      <c r="BJ1745" s="2589"/>
      <c r="BK1745" s="2126"/>
      <c r="BL1745" s="2126"/>
      <c r="BM1745" s="2126"/>
      <c r="BN1745" s="2126"/>
      <c r="BO1745" s="2126"/>
      <c r="BP1745" s="2126"/>
      <c r="BQ1745" s="2126"/>
      <c r="BR1745" s="2126"/>
      <c r="BS1745" s="2126"/>
    </row>
    <row r="1746" spans="1:71" s="3030" customFormat="1">
      <c r="A1746" s="2126"/>
      <c r="B1746" s="2126"/>
      <c r="C1746" s="2149"/>
      <c r="D1746" s="3248"/>
      <c r="E1746" s="525"/>
      <c r="F1746" s="525"/>
      <c r="G1746" s="526"/>
      <c r="K1746" s="3280"/>
      <c r="P1746" s="3041"/>
      <c r="X1746" s="3280"/>
      <c r="AA1746" s="3041"/>
      <c r="AF1746" s="3041"/>
      <c r="AN1746" s="3280"/>
      <c r="AZ1746" s="3041"/>
      <c r="BD1746" s="3281"/>
      <c r="BH1746" s="3282"/>
      <c r="BJ1746" s="2589"/>
      <c r="BK1746" s="2126"/>
      <c r="BL1746" s="2126"/>
      <c r="BM1746" s="2126"/>
      <c r="BN1746" s="2126"/>
      <c r="BO1746" s="2126"/>
      <c r="BP1746" s="2126"/>
      <c r="BQ1746" s="2126"/>
      <c r="BR1746" s="2126"/>
      <c r="BS1746" s="2126"/>
    </row>
    <row r="1747" spans="1:71" s="3030" customFormat="1">
      <c r="A1747" s="2126"/>
      <c r="B1747" s="2126"/>
      <c r="C1747" s="2149"/>
      <c r="D1747" s="3248"/>
      <c r="E1747" s="525"/>
      <c r="F1747" s="525"/>
      <c r="G1747" s="526"/>
      <c r="K1747" s="3280"/>
      <c r="P1747" s="3041"/>
      <c r="X1747" s="3280"/>
      <c r="AA1747" s="3041"/>
      <c r="AF1747" s="3041"/>
      <c r="AN1747" s="3280"/>
      <c r="AZ1747" s="3041"/>
      <c r="BD1747" s="3281"/>
      <c r="BH1747" s="3282"/>
      <c r="BJ1747" s="2589"/>
      <c r="BK1747" s="2126"/>
      <c r="BL1747" s="2126"/>
      <c r="BM1747" s="2126"/>
      <c r="BN1747" s="2126"/>
      <c r="BO1747" s="2126"/>
      <c r="BP1747" s="2126"/>
      <c r="BQ1747" s="2126"/>
      <c r="BR1747" s="2126"/>
      <c r="BS1747" s="2126"/>
    </row>
    <row r="1748" spans="1:71" s="3030" customFormat="1">
      <c r="A1748" s="2126"/>
      <c r="B1748" s="2126"/>
      <c r="C1748" s="2149"/>
      <c r="D1748" s="3248"/>
      <c r="E1748" s="525"/>
      <c r="F1748" s="525"/>
      <c r="G1748" s="526"/>
      <c r="K1748" s="3280"/>
      <c r="P1748" s="3041"/>
      <c r="X1748" s="3280"/>
      <c r="AA1748" s="3041"/>
      <c r="AF1748" s="3041"/>
      <c r="AN1748" s="3280"/>
      <c r="AZ1748" s="3041"/>
      <c r="BD1748" s="3281"/>
      <c r="BH1748" s="3282"/>
      <c r="BJ1748" s="2589"/>
      <c r="BK1748" s="2126"/>
      <c r="BL1748" s="2126"/>
      <c r="BM1748" s="2126"/>
      <c r="BN1748" s="2126"/>
      <c r="BO1748" s="2126"/>
      <c r="BP1748" s="2126"/>
      <c r="BQ1748" s="2126"/>
      <c r="BR1748" s="2126"/>
      <c r="BS1748" s="2126"/>
    </row>
    <row r="1749" spans="1:71" s="3030" customFormat="1">
      <c r="A1749" s="2126"/>
      <c r="B1749" s="2126"/>
      <c r="C1749" s="2149"/>
      <c r="D1749" s="3248"/>
      <c r="E1749" s="525"/>
      <c r="F1749" s="525"/>
      <c r="G1749" s="526"/>
      <c r="K1749" s="3280"/>
      <c r="P1749" s="3041"/>
      <c r="X1749" s="3280"/>
      <c r="AA1749" s="3041"/>
      <c r="AF1749" s="3041"/>
      <c r="AN1749" s="3280"/>
      <c r="AZ1749" s="3041"/>
      <c r="BD1749" s="3281"/>
      <c r="BH1749" s="3282"/>
      <c r="BJ1749" s="2589"/>
      <c r="BK1749" s="2126"/>
      <c r="BL1749" s="2126"/>
      <c r="BM1749" s="2126"/>
      <c r="BN1749" s="2126"/>
      <c r="BO1749" s="2126"/>
      <c r="BP1749" s="2126"/>
      <c r="BQ1749" s="2126"/>
      <c r="BR1749" s="2126"/>
      <c r="BS1749" s="2126"/>
    </row>
    <row r="1750" spans="1:71" s="3030" customFormat="1">
      <c r="A1750" s="2126"/>
      <c r="B1750" s="2126"/>
      <c r="C1750" s="2149"/>
      <c r="D1750" s="3248"/>
      <c r="E1750" s="525"/>
      <c r="F1750" s="525"/>
      <c r="G1750" s="526"/>
      <c r="K1750" s="3280"/>
      <c r="P1750" s="3041"/>
      <c r="X1750" s="3280"/>
      <c r="AA1750" s="3041"/>
      <c r="AF1750" s="3041"/>
      <c r="AN1750" s="3280"/>
      <c r="AZ1750" s="3041"/>
      <c r="BD1750" s="3281"/>
      <c r="BH1750" s="3282"/>
      <c r="BJ1750" s="2589"/>
      <c r="BK1750" s="2126"/>
      <c r="BL1750" s="2126"/>
      <c r="BM1750" s="2126"/>
      <c r="BN1750" s="2126"/>
      <c r="BO1750" s="2126"/>
      <c r="BP1750" s="2126"/>
      <c r="BQ1750" s="2126"/>
      <c r="BR1750" s="2126"/>
      <c r="BS1750" s="2126"/>
    </row>
    <row r="1751" spans="1:71" s="3030" customFormat="1">
      <c r="A1751" s="2126"/>
      <c r="B1751" s="2126"/>
      <c r="C1751" s="2149"/>
      <c r="D1751" s="3248"/>
      <c r="E1751" s="525"/>
      <c r="F1751" s="525"/>
      <c r="G1751" s="526"/>
      <c r="K1751" s="3280"/>
      <c r="P1751" s="3041"/>
      <c r="X1751" s="3280"/>
      <c r="AA1751" s="3041"/>
      <c r="AF1751" s="3041"/>
      <c r="AN1751" s="3280"/>
      <c r="AZ1751" s="3041"/>
      <c r="BD1751" s="3281"/>
      <c r="BH1751" s="3282"/>
      <c r="BJ1751" s="2589"/>
      <c r="BK1751" s="2126"/>
      <c r="BL1751" s="2126"/>
      <c r="BM1751" s="2126"/>
      <c r="BN1751" s="2126"/>
      <c r="BO1751" s="2126"/>
      <c r="BP1751" s="2126"/>
      <c r="BQ1751" s="2126"/>
      <c r="BR1751" s="2126"/>
      <c r="BS1751" s="2126"/>
    </row>
    <row r="1752" spans="1:71" s="3030" customFormat="1">
      <c r="A1752" s="2126"/>
      <c r="B1752" s="2126"/>
      <c r="C1752" s="2149"/>
      <c r="D1752" s="3248"/>
      <c r="E1752" s="525"/>
      <c r="F1752" s="525"/>
      <c r="G1752" s="526"/>
      <c r="K1752" s="3280"/>
      <c r="P1752" s="3041"/>
      <c r="X1752" s="3280"/>
      <c r="AA1752" s="3041"/>
      <c r="AF1752" s="3041"/>
      <c r="AN1752" s="3280"/>
      <c r="AZ1752" s="3041"/>
      <c r="BD1752" s="3281"/>
      <c r="BH1752" s="3282"/>
      <c r="BJ1752" s="2589"/>
      <c r="BK1752" s="2126"/>
      <c r="BL1752" s="2126"/>
      <c r="BM1752" s="2126"/>
      <c r="BN1752" s="2126"/>
      <c r="BO1752" s="2126"/>
      <c r="BP1752" s="2126"/>
      <c r="BQ1752" s="2126"/>
      <c r="BR1752" s="2126"/>
      <c r="BS1752" s="2126"/>
    </row>
    <row r="1753" spans="1:71" s="3030" customFormat="1">
      <c r="A1753" s="2126"/>
      <c r="B1753" s="2126"/>
      <c r="C1753" s="2149"/>
      <c r="D1753" s="3248"/>
      <c r="E1753" s="525"/>
      <c r="F1753" s="525"/>
      <c r="G1753" s="526"/>
      <c r="K1753" s="3280"/>
      <c r="P1753" s="3041"/>
      <c r="X1753" s="3280"/>
      <c r="AA1753" s="3041"/>
      <c r="AF1753" s="3041"/>
      <c r="AN1753" s="3280"/>
      <c r="AZ1753" s="3041"/>
      <c r="BD1753" s="3281"/>
      <c r="BH1753" s="3282"/>
      <c r="BJ1753" s="2589"/>
      <c r="BK1753" s="2126"/>
      <c r="BL1753" s="2126"/>
      <c r="BM1753" s="2126"/>
      <c r="BN1753" s="2126"/>
      <c r="BO1753" s="2126"/>
      <c r="BP1753" s="2126"/>
      <c r="BQ1753" s="2126"/>
      <c r="BR1753" s="2126"/>
      <c r="BS1753" s="2126"/>
    </row>
    <row r="1754" spans="1:71" s="3030" customFormat="1">
      <c r="A1754" s="2126"/>
      <c r="B1754" s="2126"/>
      <c r="C1754" s="2149"/>
      <c r="D1754" s="3248"/>
      <c r="E1754" s="525"/>
      <c r="F1754" s="525"/>
      <c r="G1754" s="526"/>
      <c r="K1754" s="3280"/>
      <c r="P1754" s="3041"/>
      <c r="X1754" s="3280"/>
      <c r="AA1754" s="3041"/>
      <c r="AF1754" s="3041"/>
      <c r="AN1754" s="3280"/>
      <c r="AZ1754" s="3041"/>
      <c r="BD1754" s="3281"/>
      <c r="BH1754" s="3282"/>
      <c r="BJ1754" s="2589"/>
      <c r="BK1754" s="2126"/>
      <c r="BL1754" s="2126"/>
      <c r="BM1754" s="2126"/>
      <c r="BN1754" s="2126"/>
      <c r="BO1754" s="2126"/>
      <c r="BP1754" s="2126"/>
      <c r="BQ1754" s="2126"/>
      <c r="BR1754" s="2126"/>
      <c r="BS1754" s="2126"/>
    </row>
    <row r="1755" spans="1:71" s="3030" customFormat="1">
      <c r="A1755" s="2126"/>
      <c r="B1755" s="2126"/>
      <c r="C1755" s="2149"/>
      <c r="D1755" s="3248"/>
      <c r="E1755" s="525"/>
      <c r="F1755" s="525"/>
      <c r="G1755" s="526"/>
      <c r="K1755" s="3280"/>
      <c r="P1755" s="3041"/>
      <c r="X1755" s="3280"/>
      <c r="AA1755" s="3041"/>
      <c r="AF1755" s="3041"/>
      <c r="AN1755" s="3280"/>
      <c r="AZ1755" s="3041"/>
      <c r="BD1755" s="3281"/>
      <c r="BH1755" s="3282"/>
      <c r="BJ1755" s="2589"/>
      <c r="BK1755" s="2126"/>
      <c r="BL1755" s="2126"/>
      <c r="BM1755" s="2126"/>
      <c r="BN1755" s="2126"/>
      <c r="BO1755" s="2126"/>
      <c r="BP1755" s="2126"/>
      <c r="BQ1755" s="2126"/>
      <c r="BR1755" s="2126"/>
      <c r="BS1755" s="2126"/>
    </row>
    <row r="1756" spans="1:71" s="3030" customFormat="1">
      <c r="A1756" s="2126"/>
      <c r="B1756" s="2126"/>
      <c r="C1756" s="2149"/>
      <c r="D1756" s="3248"/>
      <c r="E1756" s="525"/>
      <c r="F1756" s="525"/>
      <c r="G1756" s="526"/>
      <c r="K1756" s="3280"/>
      <c r="P1756" s="3041"/>
      <c r="X1756" s="3280"/>
      <c r="AA1756" s="3041"/>
      <c r="AF1756" s="3041"/>
      <c r="AN1756" s="3280"/>
      <c r="AZ1756" s="3041"/>
      <c r="BD1756" s="3281"/>
      <c r="BH1756" s="3282"/>
      <c r="BJ1756" s="2589"/>
      <c r="BK1756" s="2126"/>
      <c r="BL1756" s="2126"/>
      <c r="BM1756" s="2126"/>
      <c r="BN1756" s="2126"/>
      <c r="BO1756" s="2126"/>
      <c r="BP1756" s="2126"/>
      <c r="BQ1756" s="2126"/>
      <c r="BR1756" s="2126"/>
      <c r="BS1756" s="2126"/>
    </row>
    <row r="1757" spans="1:71" s="3030" customFormat="1">
      <c r="A1757" s="2126"/>
      <c r="B1757" s="2126"/>
      <c r="C1757" s="2149"/>
      <c r="D1757" s="3248"/>
      <c r="E1757" s="525"/>
      <c r="F1757" s="525"/>
      <c r="G1757" s="526"/>
      <c r="K1757" s="3280"/>
      <c r="P1757" s="3041"/>
      <c r="X1757" s="3280"/>
      <c r="AA1757" s="3041"/>
      <c r="AF1757" s="3041"/>
      <c r="AN1757" s="3280"/>
      <c r="AZ1757" s="3041"/>
      <c r="BD1757" s="3281"/>
      <c r="BH1757" s="3282"/>
      <c r="BJ1757" s="2589"/>
      <c r="BK1757" s="2126"/>
      <c r="BL1757" s="2126"/>
      <c r="BM1757" s="2126"/>
      <c r="BN1757" s="2126"/>
      <c r="BO1757" s="2126"/>
      <c r="BP1757" s="2126"/>
      <c r="BQ1757" s="2126"/>
      <c r="BR1757" s="2126"/>
      <c r="BS1757" s="2126"/>
    </row>
    <row r="1758" spans="1:71" s="3030" customFormat="1">
      <c r="A1758" s="2126"/>
      <c r="B1758" s="2126"/>
      <c r="C1758" s="2149"/>
      <c r="D1758" s="3248"/>
      <c r="E1758" s="525"/>
      <c r="F1758" s="525"/>
      <c r="G1758" s="526"/>
      <c r="K1758" s="3280"/>
      <c r="P1758" s="3041"/>
      <c r="X1758" s="3280"/>
      <c r="AA1758" s="3041"/>
      <c r="AF1758" s="3041"/>
      <c r="AN1758" s="3280"/>
      <c r="AZ1758" s="3041"/>
      <c r="BD1758" s="3281"/>
      <c r="BH1758" s="3282"/>
      <c r="BJ1758" s="2589"/>
      <c r="BK1758" s="2126"/>
      <c r="BL1758" s="2126"/>
      <c r="BM1758" s="2126"/>
      <c r="BN1758" s="2126"/>
      <c r="BO1758" s="2126"/>
      <c r="BP1758" s="2126"/>
      <c r="BQ1758" s="2126"/>
      <c r="BR1758" s="2126"/>
      <c r="BS1758" s="2126"/>
    </row>
    <row r="1759" spans="1:71" s="3030" customFormat="1">
      <c r="A1759" s="2126"/>
      <c r="B1759" s="2126"/>
      <c r="C1759" s="2149"/>
      <c r="D1759" s="3248"/>
      <c r="E1759" s="525"/>
      <c r="F1759" s="525"/>
      <c r="G1759" s="526"/>
      <c r="K1759" s="3280"/>
      <c r="P1759" s="3041"/>
      <c r="X1759" s="3280"/>
      <c r="AA1759" s="3041"/>
      <c r="AF1759" s="3041"/>
      <c r="AN1759" s="3280"/>
      <c r="AZ1759" s="3041"/>
      <c r="BD1759" s="3281"/>
      <c r="BH1759" s="3282"/>
      <c r="BJ1759" s="2589"/>
      <c r="BK1759" s="2126"/>
      <c r="BL1759" s="2126"/>
      <c r="BM1759" s="2126"/>
      <c r="BN1759" s="2126"/>
      <c r="BO1759" s="2126"/>
      <c r="BP1759" s="2126"/>
      <c r="BQ1759" s="2126"/>
      <c r="BR1759" s="2126"/>
      <c r="BS1759" s="2126"/>
    </row>
    <row r="1760" spans="1:71" s="3030" customFormat="1">
      <c r="A1760" s="2126"/>
      <c r="B1760" s="2126"/>
      <c r="C1760" s="2149"/>
      <c r="D1760" s="3248"/>
      <c r="E1760" s="525"/>
      <c r="F1760" s="525"/>
      <c r="G1760" s="526"/>
      <c r="K1760" s="3280"/>
      <c r="P1760" s="3041"/>
      <c r="X1760" s="3280"/>
      <c r="AA1760" s="3041"/>
      <c r="AF1760" s="3041"/>
      <c r="AN1760" s="3280"/>
      <c r="AZ1760" s="3041"/>
      <c r="BD1760" s="3281"/>
      <c r="BH1760" s="3282"/>
      <c r="BJ1760" s="2589"/>
      <c r="BK1760" s="2126"/>
      <c r="BL1760" s="2126"/>
      <c r="BM1760" s="2126"/>
      <c r="BN1760" s="2126"/>
      <c r="BO1760" s="2126"/>
      <c r="BP1760" s="2126"/>
      <c r="BQ1760" s="2126"/>
      <c r="BR1760" s="2126"/>
      <c r="BS1760" s="2126"/>
    </row>
    <row r="1761" spans="1:71" s="3030" customFormat="1">
      <c r="A1761" s="2126"/>
      <c r="B1761" s="2126"/>
      <c r="C1761" s="2149"/>
      <c r="D1761" s="3248"/>
      <c r="E1761" s="525"/>
      <c r="F1761" s="525"/>
      <c r="G1761" s="526"/>
      <c r="K1761" s="3280"/>
      <c r="P1761" s="3041"/>
      <c r="X1761" s="3280"/>
      <c r="AA1761" s="3041"/>
      <c r="AF1761" s="3041"/>
      <c r="AN1761" s="3280"/>
      <c r="AZ1761" s="3041"/>
      <c r="BD1761" s="3281"/>
      <c r="BH1761" s="3282"/>
      <c r="BJ1761" s="2589"/>
      <c r="BK1761" s="2126"/>
      <c r="BL1761" s="2126"/>
      <c r="BM1761" s="2126"/>
      <c r="BN1761" s="2126"/>
      <c r="BO1761" s="2126"/>
      <c r="BP1761" s="2126"/>
      <c r="BQ1761" s="2126"/>
      <c r="BR1761" s="2126"/>
      <c r="BS1761" s="2126"/>
    </row>
    <row r="1762" spans="1:71" s="3030" customFormat="1">
      <c r="A1762" s="2126"/>
      <c r="B1762" s="2126"/>
      <c r="C1762" s="2149"/>
      <c r="D1762" s="3248"/>
      <c r="E1762" s="525"/>
      <c r="F1762" s="525"/>
      <c r="G1762" s="526"/>
      <c r="K1762" s="3280"/>
      <c r="P1762" s="3041"/>
      <c r="X1762" s="3280"/>
      <c r="AA1762" s="3041"/>
      <c r="AF1762" s="3041"/>
      <c r="AN1762" s="3280"/>
      <c r="AZ1762" s="3041"/>
      <c r="BD1762" s="3281"/>
      <c r="BH1762" s="3282"/>
      <c r="BJ1762" s="2589"/>
      <c r="BK1762" s="2126"/>
      <c r="BL1762" s="2126"/>
      <c r="BM1762" s="2126"/>
      <c r="BN1762" s="2126"/>
      <c r="BO1762" s="2126"/>
      <c r="BP1762" s="2126"/>
      <c r="BQ1762" s="2126"/>
      <c r="BR1762" s="2126"/>
      <c r="BS1762" s="2126"/>
    </row>
    <row r="1763" spans="1:71" s="3030" customFormat="1">
      <c r="A1763" s="2126"/>
      <c r="B1763" s="2126"/>
      <c r="C1763" s="2149"/>
      <c r="D1763" s="3248"/>
      <c r="E1763" s="525"/>
      <c r="F1763" s="525"/>
      <c r="G1763" s="526"/>
      <c r="K1763" s="3280"/>
      <c r="P1763" s="3041"/>
      <c r="X1763" s="3280"/>
      <c r="AA1763" s="3041"/>
      <c r="AF1763" s="3041"/>
      <c r="AN1763" s="3280"/>
      <c r="AZ1763" s="3041"/>
      <c r="BD1763" s="3281"/>
      <c r="BH1763" s="3282"/>
      <c r="BJ1763" s="2589"/>
      <c r="BK1763" s="2126"/>
      <c r="BL1763" s="2126"/>
      <c r="BM1763" s="2126"/>
      <c r="BN1763" s="2126"/>
      <c r="BO1763" s="2126"/>
      <c r="BP1763" s="2126"/>
      <c r="BQ1763" s="2126"/>
      <c r="BR1763" s="2126"/>
      <c r="BS1763" s="2126"/>
    </row>
    <row r="1764" spans="1:71" s="3030" customFormat="1">
      <c r="A1764" s="2126"/>
      <c r="B1764" s="2126"/>
      <c r="C1764" s="2149"/>
      <c r="D1764" s="3248"/>
      <c r="E1764" s="525"/>
      <c r="F1764" s="525"/>
      <c r="G1764" s="526"/>
      <c r="K1764" s="3280"/>
      <c r="P1764" s="3041"/>
      <c r="X1764" s="3280"/>
      <c r="AA1764" s="3041"/>
      <c r="AF1764" s="3041"/>
      <c r="AN1764" s="3280"/>
      <c r="AZ1764" s="3041"/>
      <c r="BD1764" s="3281"/>
      <c r="BH1764" s="3282"/>
      <c r="BJ1764" s="2589"/>
      <c r="BK1764" s="2126"/>
      <c r="BL1764" s="2126"/>
      <c r="BM1764" s="2126"/>
      <c r="BN1764" s="2126"/>
      <c r="BO1764" s="2126"/>
      <c r="BP1764" s="2126"/>
      <c r="BQ1764" s="2126"/>
      <c r="BR1764" s="2126"/>
      <c r="BS1764" s="2126"/>
    </row>
    <row r="1765" spans="1:71" s="3030" customFormat="1">
      <c r="A1765" s="2126"/>
      <c r="B1765" s="2126"/>
      <c r="C1765" s="2149"/>
      <c r="D1765" s="3248"/>
      <c r="E1765" s="525"/>
      <c r="F1765" s="525"/>
      <c r="G1765" s="526"/>
      <c r="K1765" s="3280"/>
      <c r="P1765" s="3041"/>
      <c r="X1765" s="3280"/>
      <c r="AA1765" s="3041"/>
      <c r="AF1765" s="3041"/>
      <c r="AN1765" s="3280"/>
      <c r="AZ1765" s="3041"/>
      <c r="BD1765" s="3281"/>
      <c r="BH1765" s="3282"/>
      <c r="BJ1765" s="2589"/>
      <c r="BK1765" s="2126"/>
      <c r="BL1765" s="2126"/>
      <c r="BM1765" s="2126"/>
      <c r="BN1765" s="2126"/>
      <c r="BO1765" s="2126"/>
      <c r="BP1765" s="2126"/>
      <c r="BQ1765" s="2126"/>
      <c r="BR1765" s="2126"/>
      <c r="BS1765" s="2126"/>
    </row>
    <row r="1766" spans="1:71" s="3030" customFormat="1">
      <c r="A1766" s="2126"/>
      <c r="B1766" s="2126"/>
      <c r="C1766" s="2149"/>
      <c r="D1766" s="3248"/>
      <c r="E1766" s="525"/>
      <c r="F1766" s="525"/>
      <c r="G1766" s="526"/>
      <c r="K1766" s="3280"/>
      <c r="P1766" s="3041"/>
      <c r="X1766" s="3280"/>
      <c r="AA1766" s="3041"/>
      <c r="AF1766" s="3041"/>
      <c r="AN1766" s="3280"/>
      <c r="AZ1766" s="3041"/>
      <c r="BD1766" s="3281"/>
      <c r="BH1766" s="3282"/>
      <c r="BJ1766" s="2589"/>
      <c r="BK1766" s="2126"/>
      <c r="BL1766" s="2126"/>
      <c r="BM1766" s="2126"/>
      <c r="BN1766" s="2126"/>
      <c r="BO1766" s="2126"/>
      <c r="BP1766" s="2126"/>
      <c r="BQ1766" s="2126"/>
      <c r="BR1766" s="2126"/>
      <c r="BS1766" s="2126"/>
    </row>
    <row r="1767" spans="1:71" s="3030" customFormat="1">
      <c r="A1767" s="2126"/>
      <c r="B1767" s="2126"/>
      <c r="C1767" s="2149"/>
      <c r="D1767" s="3248"/>
      <c r="E1767" s="525"/>
      <c r="F1767" s="525"/>
      <c r="G1767" s="526"/>
      <c r="K1767" s="3280"/>
      <c r="P1767" s="3041"/>
      <c r="X1767" s="3280"/>
      <c r="AA1767" s="3041"/>
      <c r="AF1767" s="3041"/>
      <c r="AN1767" s="3280"/>
      <c r="AZ1767" s="3041"/>
      <c r="BD1767" s="3281"/>
      <c r="BH1767" s="3282"/>
      <c r="BJ1767" s="2589"/>
      <c r="BK1767" s="2126"/>
      <c r="BL1767" s="2126"/>
      <c r="BM1767" s="2126"/>
      <c r="BN1767" s="2126"/>
      <c r="BO1767" s="2126"/>
      <c r="BP1767" s="2126"/>
      <c r="BQ1767" s="2126"/>
      <c r="BR1767" s="2126"/>
      <c r="BS1767" s="2126"/>
    </row>
    <row r="1768" spans="1:71" s="3030" customFormat="1">
      <c r="A1768" s="2126"/>
      <c r="B1768" s="2126"/>
      <c r="C1768" s="2149"/>
      <c r="D1768" s="3248"/>
      <c r="E1768" s="525"/>
      <c r="F1768" s="525"/>
      <c r="G1768" s="526"/>
      <c r="K1768" s="3280"/>
      <c r="P1768" s="3041"/>
      <c r="X1768" s="3280"/>
      <c r="AA1768" s="3041"/>
      <c r="AF1768" s="3041"/>
      <c r="AN1768" s="3280"/>
      <c r="AZ1768" s="3041"/>
      <c r="BD1768" s="3281"/>
      <c r="BH1768" s="3282"/>
      <c r="BJ1768" s="2589"/>
      <c r="BK1768" s="2126"/>
      <c r="BL1768" s="2126"/>
      <c r="BM1768" s="2126"/>
      <c r="BN1768" s="2126"/>
      <c r="BO1768" s="2126"/>
      <c r="BP1768" s="2126"/>
      <c r="BQ1768" s="2126"/>
      <c r="BR1768" s="2126"/>
      <c r="BS1768" s="2126"/>
    </row>
    <row r="1769" spans="1:71" s="3030" customFormat="1">
      <c r="A1769" s="2126"/>
      <c r="B1769" s="2126"/>
      <c r="C1769" s="2149"/>
      <c r="D1769" s="3248"/>
      <c r="E1769" s="525"/>
      <c r="F1769" s="525"/>
      <c r="G1769" s="526"/>
      <c r="K1769" s="3280"/>
      <c r="P1769" s="3041"/>
      <c r="X1769" s="3280"/>
      <c r="AA1769" s="3041"/>
      <c r="AF1769" s="3041"/>
      <c r="AN1769" s="3280"/>
      <c r="AZ1769" s="3041"/>
      <c r="BD1769" s="3281"/>
      <c r="BH1769" s="3282"/>
      <c r="BJ1769" s="2589"/>
      <c r="BK1769" s="2126"/>
      <c r="BL1769" s="2126"/>
      <c r="BM1769" s="2126"/>
      <c r="BN1769" s="2126"/>
      <c r="BO1769" s="2126"/>
      <c r="BP1769" s="2126"/>
      <c r="BQ1769" s="2126"/>
      <c r="BR1769" s="2126"/>
      <c r="BS1769" s="2126"/>
    </row>
    <row r="1770" spans="1:71" s="3030" customFormat="1">
      <c r="A1770" s="2126"/>
      <c r="B1770" s="2126"/>
      <c r="C1770" s="2149"/>
      <c r="D1770" s="3248"/>
      <c r="E1770" s="525"/>
      <c r="F1770" s="525"/>
      <c r="G1770" s="526"/>
      <c r="K1770" s="3280"/>
      <c r="P1770" s="3041"/>
      <c r="X1770" s="3280"/>
      <c r="AA1770" s="3041"/>
      <c r="AF1770" s="3041"/>
      <c r="AN1770" s="3280"/>
      <c r="AZ1770" s="3041"/>
      <c r="BD1770" s="3281"/>
      <c r="BH1770" s="3282"/>
      <c r="BJ1770" s="2589"/>
      <c r="BK1770" s="2126"/>
      <c r="BL1770" s="2126"/>
      <c r="BM1770" s="2126"/>
      <c r="BN1770" s="2126"/>
      <c r="BO1770" s="2126"/>
      <c r="BP1770" s="2126"/>
      <c r="BQ1770" s="2126"/>
      <c r="BR1770" s="2126"/>
      <c r="BS1770" s="2126"/>
    </row>
    <row r="1771" spans="1:71" s="3030" customFormat="1">
      <c r="A1771" s="2126"/>
      <c r="B1771" s="2126"/>
      <c r="C1771" s="2149"/>
      <c r="D1771" s="3248"/>
      <c r="E1771" s="525"/>
      <c r="F1771" s="525"/>
      <c r="G1771" s="526"/>
      <c r="K1771" s="3280"/>
      <c r="P1771" s="3041"/>
      <c r="X1771" s="3280"/>
      <c r="AA1771" s="3041"/>
      <c r="AF1771" s="3041"/>
      <c r="AN1771" s="3280"/>
      <c r="AZ1771" s="3041"/>
      <c r="BD1771" s="3281"/>
      <c r="BH1771" s="3282"/>
      <c r="BJ1771" s="2589"/>
      <c r="BK1771" s="2126"/>
      <c r="BL1771" s="2126"/>
      <c r="BM1771" s="2126"/>
      <c r="BN1771" s="2126"/>
      <c r="BO1771" s="2126"/>
      <c r="BP1771" s="2126"/>
      <c r="BQ1771" s="2126"/>
      <c r="BR1771" s="2126"/>
      <c r="BS1771" s="2126"/>
    </row>
    <row r="1772" spans="1:71" s="3030" customFormat="1">
      <c r="A1772" s="2126"/>
      <c r="B1772" s="2126"/>
      <c r="C1772" s="2149"/>
      <c r="D1772" s="3248"/>
      <c r="E1772" s="525"/>
      <c r="F1772" s="525"/>
      <c r="G1772" s="526"/>
      <c r="K1772" s="3280"/>
      <c r="P1772" s="3041"/>
      <c r="X1772" s="3280"/>
      <c r="AA1772" s="3041"/>
      <c r="AF1772" s="3041"/>
      <c r="AN1772" s="3280"/>
      <c r="AZ1772" s="3041"/>
      <c r="BD1772" s="3281"/>
      <c r="BH1772" s="3282"/>
      <c r="BJ1772" s="2589"/>
      <c r="BK1772" s="2126"/>
      <c r="BL1772" s="2126"/>
      <c r="BM1772" s="2126"/>
      <c r="BN1772" s="2126"/>
      <c r="BO1772" s="2126"/>
      <c r="BP1772" s="2126"/>
      <c r="BQ1772" s="2126"/>
      <c r="BR1772" s="2126"/>
      <c r="BS1772" s="2126"/>
    </row>
    <row r="1773" spans="1:71" s="3030" customFormat="1">
      <c r="A1773" s="2126"/>
      <c r="B1773" s="2126"/>
      <c r="C1773" s="2149"/>
      <c r="D1773" s="3248"/>
      <c r="E1773" s="525"/>
      <c r="F1773" s="525"/>
      <c r="G1773" s="526"/>
      <c r="K1773" s="3280"/>
      <c r="P1773" s="3041"/>
      <c r="X1773" s="3280"/>
      <c r="AA1773" s="3041"/>
      <c r="AF1773" s="3041"/>
      <c r="AN1773" s="3280"/>
      <c r="AZ1773" s="3041"/>
      <c r="BD1773" s="3281"/>
      <c r="BH1773" s="3282"/>
      <c r="BJ1773" s="2589"/>
      <c r="BK1773" s="2126"/>
      <c r="BL1773" s="2126"/>
      <c r="BM1773" s="2126"/>
      <c r="BN1773" s="2126"/>
      <c r="BO1773" s="2126"/>
      <c r="BP1773" s="2126"/>
      <c r="BQ1773" s="2126"/>
      <c r="BR1773" s="2126"/>
      <c r="BS1773" s="2126"/>
    </row>
    <row r="1774" spans="1:71" s="3030" customFormat="1">
      <c r="A1774" s="2126"/>
      <c r="B1774" s="2126"/>
      <c r="C1774" s="2149"/>
      <c r="D1774" s="3248"/>
      <c r="E1774" s="525"/>
      <c r="F1774" s="525"/>
      <c r="G1774" s="526"/>
      <c r="K1774" s="3280"/>
      <c r="P1774" s="3041"/>
      <c r="X1774" s="3280"/>
      <c r="AA1774" s="3041"/>
      <c r="AF1774" s="3041"/>
      <c r="AN1774" s="3280"/>
      <c r="AZ1774" s="3041"/>
      <c r="BD1774" s="3281"/>
      <c r="BH1774" s="3282"/>
      <c r="BJ1774" s="2589"/>
      <c r="BK1774" s="2126"/>
      <c r="BL1774" s="2126"/>
      <c r="BM1774" s="2126"/>
      <c r="BN1774" s="2126"/>
      <c r="BO1774" s="2126"/>
      <c r="BP1774" s="2126"/>
      <c r="BQ1774" s="2126"/>
      <c r="BR1774" s="2126"/>
      <c r="BS1774" s="2126"/>
    </row>
    <row r="1775" spans="1:71" s="3030" customFormat="1">
      <c r="A1775" s="2126"/>
      <c r="B1775" s="2126"/>
      <c r="C1775" s="2149"/>
      <c r="D1775" s="3248"/>
      <c r="E1775" s="525"/>
      <c r="F1775" s="525"/>
      <c r="G1775" s="526"/>
      <c r="K1775" s="3280"/>
      <c r="P1775" s="3041"/>
      <c r="X1775" s="3280"/>
      <c r="AA1775" s="3041"/>
      <c r="AF1775" s="3041"/>
      <c r="AN1775" s="3280"/>
      <c r="AZ1775" s="3041"/>
      <c r="BD1775" s="3281"/>
      <c r="BH1775" s="3282"/>
      <c r="BJ1775" s="2589"/>
      <c r="BK1775" s="2126"/>
      <c r="BL1775" s="2126"/>
      <c r="BM1775" s="2126"/>
      <c r="BN1775" s="2126"/>
      <c r="BO1775" s="2126"/>
      <c r="BP1775" s="2126"/>
      <c r="BQ1775" s="2126"/>
      <c r="BR1775" s="2126"/>
      <c r="BS1775" s="2126"/>
    </row>
    <row r="1776" spans="1:71" s="3030" customFormat="1">
      <c r="A1776" s="2126"/>
      <c r="B1776" s="2126"/>
      <c r="C1776" s="2149"/>
      <c r="D1776" s="3248"/>
      <c r="E1776" s="525"/>
      <c r="F1776" s="525"/>
      <c r="G1776" s="526"/>
      <c r="K1776" s="3280"/>
      <c r="P1776" s="3041"/>
      <c r="X1776" s="3280"/>
      <c r="AA1776" s="3041"/>
      <c r="AF1776" s="3041"/>
      <c r="AN1776" s="3280"/>
      <c r="AZ1776" s="3041"/>
      <c r="BD1776" s="3281"/>
      <c r="BH1776" s="3282"/>
      <c r="BJ1776" s="2589"/>
      <c r="BK1776" s="2126"/>
      <c r="BL1776" s="2126"/>
      <c r="BM1776" s="2126"/>
      <c r="BN1776" s="2126"/>
      <c r="BO1776" s="2126"/>
      <c r="BP1776" s="2126"/>
      <c r="BQ1776" s="2126"/>
      <c r="BR1776" s="2126"/>
      <c r="BS1776" s="2126"/>
    </row>
    <row r="1777" spans="1:71" s="3030" customFormat="1">
      <c r="A1777" s="2126"/>
      <c r="B1777" s="2126"/>
      <c r="C1777" s="2149"/>
      <c r="D1777" s="3248"/>
      <c r="E1777" s="525"/>
      <c r="F1777" s="525"/>
      <c r="G1777" s="526"/>
      <c r="K1777" s="3280"/>
      <c r="P1777" s="3041"/>
      <c r="X1777" s="3280"/>
      <c r="AA1777" s="3041"/>
      <c r="AF1777" s="3041"/>
      <c r="AN1777" s="3280"/>
      <c r="AZ1777" s="3041"/>
      <c r="BD1777" s="3281"/>
      <c r="BH1777" s="3282"/>
      <c r="BJ1777" s="2589"/>
      <c r="BK1777" s="2126"/>
      <c r="BL1777" s="2126"/>
      <c r="BM1777" s="2126"/>
      <c r="BN1777" s="2126"/>
      <c r="BO1777" s="2126"/>
      <c r="BP1777" s="2126"/>
      <c r="BQ1777" s="2126"/>
      <c r="BR1777" s="2126"/>
      <c r="BS1777" s="2126"/>
    </row>
    <row r="1778" spans="1:71" s="3030" customFormat="1">
      <c r="A1778" s="2126"/>
      <c r="B1778" s="2126"/>
      <c r="C1778" s="2149"/>
      <c r="D1778" s="3248"/>
      <c r="E1778" s="525"/>
      <c r="F1778" s="525"/>
      <c r="G1778" s="526"/>
      <c r="K1778" s="3280"/>
      <c r="P1778" s="3041"/>
      <c r="X1778" s="3280"/>
      <c r="AA1778" s="3041"/>
      <c r="AF1778" s="3041"/>
      <c r="AN1778" s="3280"/>
      <c r="AZ1778" s="3041"/>
      <c r="BD1778" s="3281"/>
      <c r="BH1778" s="3282"/>
      <c r="BJ1778" s="2589"/>
      <c r="BK1778" s="2126"/>
      <c r="BL1778" s="2126"/>
      <c r="BM1778" s="2126"/>
      <c r="BN1778" s="2126"/>
      <c r="BO1778" s="2126"/>
      <c r="BP1778" s="2126"/>
      <c r="BQ1778" s="2126"/>
      <c r="BR1778" s="2126"/>
      <c r="BS1778" s="2126"/>
    </row>
    <row r="1779" spans="1:71" s="3030" customFormat="1">
      <c r="A1779" s="2126"/>
      <c r="B1779" s="2126"/>
      <c r="C1779" s="2149"/>
      <c r="D1779" s="3248"/>
      <c r="E1779" s="525"/>
      <c r="F1779" s="525"/>
      <c r="G1779" s="526"/>
      <c r="K1779" s="3280"/>
      <c r="P1779" s="3041"/>
      <c r="X1779" s="3280"/>
      <c r="AA1779" s="3041"/>
      <c r="AF1779" s="3041"/>
      <c r="AN1779" s="3280"/>
      <c r="AZ1779" s="3041"/>
      <c r="BD1779" s="3281"/>
      <c r="BH1779" s="3282"/>
      <c r="BJ1779" s="2589"/>
      <c r="BK1779" s="2126"/>
      <c r="BL1779" s="2126"/>
      <c r="BM1779" s="2126"/>
      <c r="BN1779" s="2126"/>
      <c r="BO1779" s="2126"/>
      <c r="BP1779" s="2126"/>
      <c r="BQ1779" s="2126"/>
      <c r="BR1779" s="2126"/>
      <c r="BS1779" s="2126"/>
    </row>
    <row r="1780" spans="1:71" s="3030" customFormat="1">
      <c r="A1780" s="2126"/>
      <c r="B1780" s="2126"/>
      <c r="C1780" s="2149"/>
      <c r="D1780" s="3248"/>
      <c r="E1780" s="525"/>
      <c r="F1780" s="525"/>
      <c r="G1780" s="526"/>
      <c r="K1780" s="3280"/>
      <c r="P1780" s="3041"/>
      <c r="X1780" s="3280"/>
      <c r="AA1780" s="3041"/>
      <c r="AF1780" s="3041"/>
      <c r="AN1780" s="3280"/>
      <c r="AZ1780" s="3041"/>
      <c r="BD1780" s="3281"/>
      <c r="BH1780" s="3282"/>
      <c r="BJ1780" s="2589"/>
      <c r="BK1780" s="2126"/>
      <c r="BL1780" s="2126"/>
      <c r="BM1780" s="2126"/>
      <c r="BN1780" s="2126"/>
      <c r="BO1780" s="2126"/>
      <c r="BP1780" s="2126"/>
      <c r="BQ1780" s="2126"/>
      <c r="BR1780" s="2126"/>
      <c r="BS1780" s="2126"/>
    </row>
    <row r="1781" spans="1:71" s="3030" customFormat="1">
      <c r="A1781" s="2126"/>
      <c r="B1781" s="2126"/>
      <c r="C1781" s="2149"/>
      <c r="D1781" s="3248"/>
      <c r="E1781" s="525"/>
      <c r="F1781" s="525"/>
      <c r="G1781" s="526"/>
      <c r="K1781" s="3280"/>
      <c r="P1781" s="3041"/>
      <c r="X1781" s="3280"/>
      <c r="AA1781" s="3041"/>
      <c r="AF1781" s="3041"/>
      <c r="AN1781" s="3280"/>
      <c r="AZ1781" s="3041"/>
      <c r="BD1781" s="3281"/>
      <c r="BH1781" s="3282"/>
      <c r="BJ1781" s="2589"/>
      <c r="BK1781" s="2126"/>
      <c r="BL1781" s="2126"/>
      <c r="BM1781" s="2126"/>
      <c r="BN1781" s="2126"/>
      <c r="BO1781" s="2126"/>
      <c r="BP1781" s="2126"/>
      <c r="BQ1781" s="2126"/>
      <c r="BR1781" s="2126"/>
      <c r="BS1781" s="2126"/>
    </row>
    <row r="1782" spans="1:71" s="3030" customFormat="1">
      <c r="A1782" s="2126"/>
      <c r="B1782" s="2126"/>
      <c r="C1782" s="2149"/>
      <c r="D1782" s="3248"/>
      <c r="E1782" s="525"/>
      <c r="F1782" s="525"/>
      <c r="G1782" s="526"/>
      <c r="K1782" s="3280"/>
      <c r="P1782" s="3041"/>
      <c r="X1782" s="3280"/>
      <c r="AA1782" s="3041"/>
      <c r="AF1782" s="3041"/>
      <c r="AN1782" s="3280"/>
      <c r="AZ1782" s="3041"/>
      <c r="BD1782" s="3281"/>
      <c r="BH1782" s="3282"/>
      <c r="BJ1782" s="2589"/>
      <c r="BK1782" s="2126"/>
      <c r="BL1782" s="2126"/>
      <c r="BM1782" s="2126"/>
      <c r="BN1782" s="2126"/>
      <c r="BO1782" s="2126"/>
      <c r="BP1782" s="2126"/>
      <c r="BQ1782" s="2126"/>
      <c r="BR1782" s="2126"/>
      <c r="BS1782" s="2126"/>
    </row>
    <row r="1783" spans="1:71" s="3030" customFormat="1">
      <c r="A1783" s="2126"/>
      <c r="B1783" s="2126"/>
      <c r="C1783" s="2149"/>
      <c r="D1783" s="3248"/>
      <c r="E1783" s="525"/>
      <c r="F1783" s="525"/>
      <c r="G1783" s="526"/>
      <c r="K1783" s="3280"/>
      <c r="P1783" s="3041"/>
      <c r="X1783" s="3280"/>
      <c r="AA1783" s="3041"/>
      <c r="AF1783" s="3041"/>
      <c r="AN1783" s="3280"/>
      <c r="AZ1783" s="3041"/>
      <c r="BD1783" s="3281"/>
      <c r="BH1783" s="3282"/>
      <c r="BJ1783" s="2589"/>
      <c r="BK1783" s="2126"/>
      <c r="BL1783" s="2126"/>
      <c r="BM1783" s="2126"/>
      <c r="BN1783" s="2126"/>
      <c r="BO1783" s="2126"/>
      <c r="BP1783" s="2126"/>
      <c r="BQ1783" s="2126"/>
      <c r="BR1783" s="2126"/>
      <c r="BS1783" s="2126"/>
    </row>
    <row r="1784" spans="1:71" s="3030" customFormat="1">
      <c r="A1784" s="2126"/>
      <c r="B1784" s="2126"/>
      <c r="C1784" s="2149"/>
      <c r="D1784" s="3248"/>
      <c r="E1784" s="525"/>
      <c r="F1784" s="525"/>
      <c r="G1784" s="526"/>
      <c r="K1784" s="3280"/>
      <c r="P1784" s="3041"/>
      <c r="X1784" s="3280"/>
      <c r="AA1784" s="3041"/>
      <c r="AF1784" s="3041"/>
      <c r="AN1784" s="3280"/>
      <c r="AZ1784" s="3041"/>
      <c r="BD1784" s="3281"/>
      <c r="BH1784" s="3282"/>
      <c r="BJ1784" s="2589"/>
      <c r="BK1784" s="2126"/>
      <c r="BL1784" s="2126"/>
      <c r="BM1784" s="2126"/>
      <c r="BN1784" s="2126"/>
      <c r="BO1784" s="2126"/>
      <c r="BP1784" s="2126"/>
      <c r="BQ1784" s="2126"/>
      <c r="BR1784" s="2126"/>
      <c r="BS1784" s="2126"/>
    </row>
    <row r="1785" spans="1:71" s="3030" customFormat="1">
      <c r="A1785" s="2126"/>
      <c r="B1785" s="2126"/>
      <c r="C1785" s="2149"/>
      <c r="D1785" s="3248"/>
      <c r="E1785" s="525"/>
      <c r="F1785" s="525"/>
      <c r="G1785" s="526"/>
      <c r="K1785" s="3280"/>
      <c r="P1785" s="3041"/>
      <c r="X1785" s="3280"/>
      <c r="AA1785" s="3041"/>
      <c r="AF1785" s="3041"/>
      <c r="AN1785" s="3280"/>
      <c r="AZ1785" s="3041"/>
      <c r="BD1785" s="3281"/>
      <c r="BH1785" s="3282"/>
      <c r="BJ1785" s="2589"/>
      <c r="BK1785" s="2126"/>
      <c r="BL1785" s="2126"/>
      <c r="BM1785" s="2126"/>
      <c r="BN1785" s="2126"/>
      <c r="BO1785" s="2126"/>
      <c r="BP1785" s="2126"/>
      <c r="BQ1785" s="2126"/>
      <c r="BR1785" s="2126"/>
      <c r="BS1785" s="2126"/>
    </row>
    <row r="1786" spans="1:71" s="3030" customFormat="1">
      <c r="A1786" s="2126"/>
      <c r="B1786" s="2126"/>
      <c r="C1786" s="2149"/>
      <c r="D1786" s="3248"/>
      <c r="E1786" s="525"/>
      <c r="F1786" s="525"/>
      <c r="G1786" s="526"/>
      <c r="K1786" s="3280"/>
      <c r="P1786" s="3041"/>
      <c r="X1786" s="3280"/>
      <c r="AA1786" s="3041"/>
      <c r="AF1786" s="3041"/>
      <c r="AN1786" s="3280"/>
      <c r="AZ1786" s="3041"/>
      <c r="BD1786" s="3281"/>
      <c r="BH1786" s="3282"/>
      <c r="BJ1786" s="2589"/>
      <c r="BK1786" s="2126"/>
      <c r="BL1786" s="2126"/>
      <c r="BM1786" s="2126"/>
      <c r="BN1786" s="2126"/>
      <c r="BO1786" s="2126"/>
      <c r="BP1786" s="2126"/>
      <c r="BQ1786" s="2126"/>
      <c r="BR1786" s="2126"/>
      <c r="BS1786" s="2126"/>
    </row>
    <row r="1787" spans="1:71" s="3030" customFormat="1">
      <c r="A1787" s="2126"/>
      <c r="B1787" s="2126"/>
      <c r="C1787" s="2149"/>
      <c r="D1787" s="3248"/>
      <c r="E1787" s="525"/>
      <c r="F1787" s="525"/>
      <c r="G1787" s="526"/>
      <c r="K1787" s="3280"/>
      <c r="P1787" s="3041"/>
      <c r="X1787" s="3280"/>
      <c r="AA1787" s="3041"/>
      <c r="AF1787" s="3041"/>
      <c r="AN1787" s="3280"/>
      <c r="AZ1787" s="3041"/>
      <c r="BD1787" s="3281"/>
      <c r="BH1787" s="3282"/>
      <c r="BJ1787" s="2589"/>
      <c r="BK1787" s="2126"/>
      <c r="BL1787" s="2126"/>
      <c r="BM1787" s="2126"/>
      <c r="BN1787" s="2126"/>
      <c r="BO1787" s="2126"/>
      <c r="BP1787" s="2126"/>
      <c r="BQ1787" s="2126"/>
      <c r="BR1787" s="2126"/>
      <c r="BS1787" s="2126"/>
    </row>
    <row r="1788" spans="1:71" s="3030" customFormat="1">
      <c r="A1788" s="2126"/>
      <c r="B1788" s="2126"/>
      <c r="C1788" s="2149"/>
      <c r="D1788" s="3248"/>
      <c r="E1788" s="525"/>
      <c r="F1788" s="525"/>
      <c r="G1788" s="526"/>
      <c r="K1788" s="3280"/>
      <c r="P1788" s="3041"/>
      <c r="X1788" s="3280"/>
      <c r="AA1788" s="3041"/>
      <c r="AF1788" s="3041"/>
      <c r="AN1788" s="3280"/>
      <c r="AZ1788" s="3041"/>
      <c r="BD1788" s="3281"/>
      <c r="BH1788" s="3282"/>
      <c r="BJ1788" s="2589"/>
      <c r="BK1788" s="2126"/>
      <c r="BL1788" s="2126"/>
      <c r="BM1788" s="2126"/>
      <c r="BN1788" s="2126"/>
      <c r="BO1788" s="2126"/>
      <c r="BP1788" s="2126"/>
      <c r="BQ1788" s="2126"/>
      <c r="BR1788" s="2126"/>
      <c r="BS1788" s="2126"/>
    </row>
    <row r="1789" spans="1:71" s="3030" customFormat="1">
      <c r="A1789" s="2126"/>
      <c r="B1789" s="2126"/>
      <c r="C1789" s="2149"/>
      <c r="D1789" s="3248"/>
      <c r="E1789" s="525"/>
      <c r="F1789" s="525"/>
      <c r="G1789" s="526"/>
      <c r="K1789" s="3280"/>
      <c r="P1789" s="3041"/>
      <c r="X1789" s="3280"/>
      <c r="AA1789" s="3041"/>
      <c r="AF1789" s="3041"/>
      <c r="AN1789" s="3280"/>
      <c r="AZ1789" s="3041"/>
      <c r="BD1789" s="3281"/>
      <c r="BH1789" s="3282"/>
      <c r="BJ1789" s="2589"/>
      <c r="BK1789" s="2126"/>
      <c r="BL1789" s="2126"/>
      <c r="BM1789" s="2126"/>
      <c r="BN1789" s="2126"/>
      <c r="BO1789" s="2126"/>
      <c r="BP1789" s="2126"/>
      <c r="BQ1789" s="2126"/>
      <c r="BR1789" s="2126"/>
      <c r="BS1789" s="2126"/>
    </row>
    <row r="1790" spans="1:71" s="3030" customFormat="1">
      <c r="A1790" s="2126"/>
      <c r="B1790" s="2126"/>
      <c r="C1790" s="2149"/>
      <c r="D1790" s="3248"/>
      <c r="E1790" s="525"/>
      <c r="F1790" s="525"/>
      <c r="G1790" s="526"/>
      <c r="K1790" s="3280"/>
      <c r="P1790" s="3041"/>
      <c r="X1790" s="3280"/>
      <c r="AA1790" s="3041"/>
      <c r="AF1790" s="3041"/>
      <c r="AN1790" s="3280"/>
      <c r="AZ1790" s="3041"/>
      <c r="BD1790" s="3281"/>
      <c r="BH1790" s="3282"/>
      <c r="BJ1790" s="2589"/>
      <c r="BK1790" s="2126"/>
      <c r="BL1790" s="2126"/>
      <c r="BM1790" s="2126"/>
      <c r="BN1790" s="2126"/>
      <c r="BO1790" s="2126"/>
      <c r="BP1790" s="2126"/>
      <c r="BQ1790" s="2126"/>
      <c r="BR1790" s="2126"/>
      <c r="BS1790" s="2126"/>
    </row>
    <row r="1791" spans="1:71" s="3030" customFormat="1">
      <c r="A1791" s="2126"/>
      <c r="B1791" s="2126"/>
      <c r="C1791" s="2149"/>
      <c r="D1791" s="3248"/>
      <c r="E1791" s="525"/>
      <c r="F1791" s="525"/>
      <c r="G1791" s="526"/>
      <c r="K1791" s="3280"/>
      <c r="P1791" s="3041"/>
      <c r="X1791" s="3280"/>
      <c r="AA1791" s="3041"/>
      <c r="AF1791" s="3041"/>
      <c r="AN1791" s="3280"/>
      <c r="AZ1791" s="3041"/>
      <c r="BD1791" s="3281"/>
      <c r="BH1791" s="3282"/>
      <c r="BJ1791" s="2589"/>
      <c r="BK1791" s="2126"/>
      <c r="BL1791" s="2126"/>
      <c r="BM1791" s="2126"/>
      <c r="BN1791" s="2126"/>
      <c r="BO1791" s="2126"/>
      <c r="BP1791" s="2126"/>
      <c r="BQ1791" s="2126"/>
      <c r="BR1791" s="2126"/>
      <c r="BS1791" s="2126"/>
    </row>
    <row r="1792" spans="1:71" s="3030" customFormat="1">
      <c r="A1792" s="2126"/>
      <c r="B1792" s="2126"/>
      <c r="C1792" s="2149"/>
      <c r="D1792" s="3248"/>
      <c r="E1792" s="525"/>
      <c r="F1792" s="525"/>
      <c r="G1792" s="526"/>
      <c r="K1792" s="3280"/>
      <c r="P1792" s="3041"/>
      <c r="X1792" s="3280"/>
      <c r="AA1792" s="3041"/>
      <c r="AF1792" s="3041"/>
      <c r="AN1792" s="3280"/>
      <c r="AZ1792" s="3041"/>
      <c r="BD1792" s="3281"/>
      <c r="BH1792" s="3282"/>
      <c r="BJ1792" s="2589"/>
      <c r="BK1792" s="2126"/>
      <c r="BL1792" s="2126"/>
      <c r="BM1792" s="2126"/>
      <c r="BN1792" s="2126"/>
      <c r="BO1792" s="2126"/>
      <c r="BP1792" s="2126"/>
      <c r="BQ1792" s="2126"/>
      <c r="BR1792" s="2126"/>
      <c r="BS1792" s="2126"/>
    </row>
    <row r="1793" spans="1:71" s="3030" customFormat="1">
      <c r="A1793" s="2126"/>
      <c r="B1793" s="2126"/>
      <c r="C1793" s="2149"/>
      <c r="D1793" s="3248"/>
      <c r="E1793" s="525"/>
      <c r="F1793" s="525"/>
      <c r="G1793" s="526"/>
      <c r="K1793" s="3280"/>
      <c r="P1793" s="3041"/>
      <c r="X1793" s="3280"/>
      <c r="AA1793" s="3041"/>
      <c r="AF1793" s="3041"/>
      <c r="AN1793" s="3280"/>
      <c r="AZ1793" s="3041"/>
      <c r="BD1793" s="3281"/>
      <c r="BH1793" s="3282"/>
      <c r="BJ1793" s="2589"/>
      <c r="BK1793" s="2126"/>
      <c r="BL1793" s="2126"/>
      <c r="BM1793" s="2126"/>
      <c r="BN1793" s="2126"/>
      <c r="BO1793" s="2126"/>
      <c r="BP1793" s="2126"/>
      <c r="BQ1793" s="2126"/>
      <c r="BR1793" s="2126"/>
      <c r="BS1793" s="2126"/>
    </row>
    <row r="1794" spans="1:71" s="3030" customFormat="1">
      <c r="A1794" s="2126"/>
      <c r="B1794" s="2126"/>
      <c r="C1794" s="2149"/>
      <c r="D1794" s="3248"/>
      <c r="E1794" s="525"/>
      <c r="F1794" s="525"/>
      <c r="G1794" s="526"/>
      <c r="K1794" s="3280"/>
      <c r="P1794" s="3041"/>
      <c r="X1794" s="3280"/>
      <c r="AA1794" s="3041"/>
      <c r="AF1794" s="3041"/>
      <c r="AN1794" s="3280"/>
      <c r="AZ1794" s="3041"/>
      <c r="BD1794" s="3281"/>
      <c r="BH1794" s="3282"/>
      <c r="BJ1794" s="2589"/>
      <c r="BK1794" s="2126"/>
      <c r="BL1794" s="2126"/>
      <c r="BM1794" s="2126"/>
      <c r="BN1794" s="2126"/>
      <c r="BO1794" s="2126"/>
      <c r="BP1794" s="2126"/>
      <c r="BQ1794" s="2126"/>
      <c r="BR1794" s="2126"/>
      <c r="BS1794" s="2126"/>
    </row>
    <row r="1795" spans="1:71" s="3030" customFormat="1">
      <c r="A1795" s="2126"/>
      <c r="B1795" s="2126"/>
      <c r="C1795" s="2149"/>
      <c r="D1795" s="3248"/>
      <c r="E1795" s="525"/>
      <c r="F1795" s="525"/>
      <c r="G1795" s="526"/>
      <c r="K1795" s="3280"/>
      <c r="P1795" s="3041"/>
      <c r="X1795" s="3280"/>
      <c r="AA1795" s="3041"/>
      <c r="AF1795" s="3041"/>
      <c r="AN1795" s="3280"/>
      <c r="AZ1795" s="3041"/>
      <c r="BD1795" s="3281"/>
      <c r="BH1795" s="3282"/>
      <c r="BJ1795" s="2589"/>
      <c r="BK1795" s="2126"/>
      <c r="BL1795" s="2126"/>
      <c r="BM1795" s="2126"/>
      <c r="BN1795" s="2126"/>
      <c r="BO1795" s="2126"/>
      <c r="BP1795" s="2126"/>
      <c r="BQ1795" s="2126"/>
      <c r="BR1795" s="2126"/>
      <c r="BS1795" s="2126"/>
    </row>
    <row r="1796" spans="1:71" s="3030" customFormat="1">
      <c r="A1796" s="2126"/>
      <c r="B1796" s="2126"/>
      <c r="C1796" s="2149"/>
      <c r="D1796" s="3248"/>
      <c r="E1796" s="525"/>
      <c r="F1796" s="525"/>
      <c r="G1796" s="526"/>
      <c r="K1796" s="3280"/>
      <c r="P1796" s="3041"/>
      <c r="X1796" s="3280"/>
      <c r="AA1796" s="3041"/>
      <c r="AF1796" s="3041"/>
      <c r="AN1796" s="3280"/>
      <c r="AZ1796" s="3041"/>
      <c r="BD1796" s="3281"/>
      <c r="BH1796" s="3282"/>
      <c r="BJ1796" s="2589"/>
      <c r="BK1796" s="2126"/>
      <c r="BL1796" s="2126"/>
      <c r="BM1796" s="2126"/>
      <c r="BN1796" s="2126"/>
      <c r="BO1796" s="2126"/>
      <c r="BP1796" s="2126"/>
      <c r="BQ1796" s="2126"/>
      <c r="BR1796" s="2126"/>
      <c r="BS1796" s="2126"/>
    </row>
    <row r="1797" spans="1:71" s="3030" customFormat="1">
      <c r="A1797" s="2126"/>
      <c r="B1797" s="2126"/>
      <c r="C1797" s="2149"/>
      <c r="D1797" s="3248"/>
      <c r="E1797" s="525"/>
      <c r="F1797" s="525"/>
      <c r="G1797" s="526"/>
      <c r="K1797" s="3280"/>
      <c r="P1797" s="3041"/>
      <c r="X1797" s="3280"/>
      <c r="AA1797" s="3041"/>
      <c r="AF1797" s="3041"/>
      <c r="AN1797" s="3280"/>
      <c r="AZ1797" s="3041"/>
      <c r="BD1797" s="3281"/>
      <c r="BH1797" s="3282"/>
      <c r="BJ1797" s="2589"/>
      <c r="BK1797" s="2126"/>
      <c r="BL1797" s="2126"/>
      <c r="BM1797" s="2126"/>
      <c r="BN1797" s="2126"/>
      <c r="BO1797" s="2126"/>
      <c r="BP1797" s="2126"/>
      <c r="BQ1797" s="2126"/>
      <c r="BR1797" s="2126"/>
      <c r="BS1797" s="2126"/>
    </row>
    <row r="1798" spans="1:71" s="3030" customFormat="1">
      <c r="A1798" s="2126"/>
      <c r="B1798" s="2126"/>
      <c r="C1798" s="2149"/>
      <c r="D1798" s="3248"/>
      <c r="E1798" s="525"/>
      <c r="F1798" s="525"/>
      <c r="G1798" s="526"/>
      <c r="K1798" s="3280"/>
      <c r="P1798" s="3041"/>
      <c r="X1798" s="3280"/>
      <c r="AA1798" s="3041"/>
      <c r="AF1798" s="3041"/>
      <c r="AN1798" s="3280"/>
      <c r="AZ1798" s="3041"/>
      <c r="BD1798" s="3281"/>
      <c r="BH1798" s="3282"/>
      <c r="BJ1798" s="2589"/>
      <c r="BK1798" s="2126"/>
      <c r="BL1798" s="2126"/>
      <c r="BM1798" s="2126"/>
      <c r="BN1798" s="2126"/>
      <c r="BO1798" s="2126"/>
      <c r="BP1798" s="2126"/>
      <c r="BQ1798" s="2126"/>
      <c r="BR1798" s="2126"/>
      <c r="BS1798" s="2126"/>
    </row>
    <row r="1799" spans="1:71" s="3030" customFormat="1">
      <c r="A1799" s="2126"/>
      <c r="B1799" s="2126"/>
      <c r="C1799" s="2149"/>
      <c r="D1799" s="3248"/>
      <c r="E1799" s="525"/>
      <c r="F1799" s="525"/>
      <c r="G1799" s="526"/>
      <c r="K1799" s="3280"/>
      <c r="P1799" s="3041"/>
      <c r="X1799" s="3280"/>
      <c r="AA1799" s="3041"/>
      <c r="AF1799" s="3041"/>
      <c r="AN1799" s="3280"/>
      <c r="AZ1799" s="3041"/>
      <c r="BD1799" s="3281"/>
      <c r="BH1799" s="3282"/>
      <c r="BJ1799" s="2589"/>
      <c r="BK1799" s="2126"/>
      <c r="BL1799" s="2126"/>
      <c r="BM1799" s="2126"/>
      <c r="BN1799" s="2126"/>
      <c r="BO1799" s="2126"/>
      <c r="BP1799" s="2126"/>
      <c r="BQ1799" s="2126"/>
      <c r="BR1799" s="2126"/>
      <c r="BS1799" s="2126"/>
    </row>
    <row r="1800" spans="1:71" s="3030" customFormat="1">
      <c r="A1800" s="2126"/>
      <c r="B1800" s="2126"/>
      <c r="C1800" s="2149"/>
      <c r="D1800" s="3248"/>
      <c r="E1800" s="525"/>
      <c r="F1800" s="525"/>
      <c r="G1800" s="526"/>
      <c r="K1800" s="3280"/>
      <c r="P1800" s="3041"/>
      <c r="X1800" s="3280"/>
      <c r="AA1800" s="3041"/>
      <c r="AF1800" s="3041"/>
      <c r="AN1800" s="3280"/>
      <c r="AZ1800" s="3041"/>
      <c r="BD1800" s="3281"/>
      <c r="BH1800" s="3282"/>
      <c r="BJ1800" s="2589"/>
      <c r="BK1800" s="2126"/>
      <c r="BL1800" s="2126"/>
      <c r="BM1800" s="2126"/>
      <c r="BN1800" s="2126"/>
      <c r="BO1800" s="2126"/>
      <c r="BP1800" s="2126"/>
      <c r="BQ1800" s="2126"/>
      <c r="BR1800" s="2126"/>
      <c r="BS1800" s="2126"/>
    </row>
    <row r="1801" spans="1:71" s="3030" customFormat="1">
      <c r="A1801" s="2126"/>
      <c r="B1801" s="2126"/>
      <c r="C1801" s="2149"/>
      <c r="D1801" s="3248"/>
      <c r="E1801" s="525"/>
      <c r="F1801" s="525"/>
      <c r="G1801" s="526"/>
      <c r="K1801" s="3280"/>
      <c r="P1801" s="3041"/>
      <c r="X1801" s="3280"/>
      <c r="AA1801" s="3041"/>
      <c r="AF1801" s="3041"/>
      <c r="AN1801" s="3280"/>
      <c r="AZ1801" s="3041"/>
      <c r="BD1801" s="3281"/>
      <c r="BH1801" s="3282"/>
      <c r="BJ1801" s="2589"/>
      <c r="BK1801" s="2126"/>
      <c r="BL1801" s="2126"/>
      <c r="BM1801" s="2126"/>
      <c r="BN1801" s="2126"/>
      <c r="BO1801" s="2126"/>
      <c r="BP1801" s="2126"/>
      <c r="BQ1801" s="2126"/>
      <c r="BR1801" s="2126"/>
      <c r="BS1801" s="2126"/>
    </row>
    <row r="1802" spans="1:71" s="3030" customFormat="1">
      <c r="A1802" s="2126"/>
      <c r="B1802" s="2126"/>
      <c r="C1802" s="2149"/>
      <c r="D1802" s="3248"/>
      <c r="E1802" s="525"/>
      <c r="F1802" s="525"/>
      <c r="G1802" s="526"/>
      <c r="K1802" s="3280"/>
      <c r="P1802" s="3041"/>
      <c r="X1802" s="3280"/>
      <c r="AA1802" s="3041"/>
      <c r="AF1802" s="3041"/>
      <c r="AN1802" s="3280"/>
      <c r="AZ1802" s="3041"/>
      <c r="BD1802" s="3281"/>
      <c r="BH1802" s="3282"/>
      <c r="BJ1802" s="2589"/>
      <c r="BK1802" s="2126"/>
      <c r="BL1802" s="2126"/>
      <c r="BM1802" s="2126"/>
      <c r="BN1802" s="2126"/>
      <c r="BO1802" s="2126"/>
      <c r="BP1802" s="2126"/>
      <c r="BQ1802" s="2126"/>
      <c r="BR1802" s="2126"/>
      <c r="BS1802" s="2126"/>
    </row>
    <row r="1803" spans="1:71" s="3030" customFormat="1">
      <c r="A1803" s="2126"/>
      <c r="B1803" s="2126"/>
      <c r="C1803" s="2149"/>
      <c r="D1803" s="3248"/>
      <c r="E1803" s="525"/>
      <c r="F1803" s="525"/>
      <c r="G1803" s="526"/>
      <c r="K1803" s="3280"/>
      <c r="P1803" s="3041"/>
      <c r="X1803" s="3280"/>
      <c r="AA1803" s="3041"/>
      <c r="AF1803" s="3041"/>
      <c r="AN1803" s="3280"/>
      <c r="AZ1803" s="3041"/>
      <c r="BD1803" s="3281"/>
      <c r="BH1803" s="3282"/>
      <c r="BJ1803" s="2589"/>
      <c r="BK1803" s="2126"/>
      <c r="BL1803" s="2126"/>
      <c r="BM1803" s="2126"/>
      <c r="BN1803" s="2126"/>
      <c r="BO1803" s="2126"/>
      <c r="BP1803" s="2126"/>
      <c r="BQ1803" s="2126"/>
      <c r="BR1803" s="2126"/>
      <c r="BS1803" s="2126"/>
    </row>
    <row r="1804" spans="1:71" s="3030" customFormat="1">
      <c r="A1804" s="2126"/>
      <c r="B1804" s="2126"/>
      <c r="C1804" s="2149"/>
      <c r="D1804" s="3248"/>
      <c r="E1804" s="525"/>
      <c r="F1804" s="525"/>
      <c r="G1804" s="526"/>
      <c r="K1804" s="3280"/>
      <c r="P1804" s="3041"/>
      <c r="X1804" s="3280"/>
      <c r="AA1804" s="3041"/>
      <c r="AF1804" s="3041"/>
      <c r="AN1804" s="3280"/>
      <c r="AZ1804" s="3041"/>
      <c r="BD1804" s="3281"/>
      <c r="BH1804" s="3282"/>
      <c r="BJ1804" s="2589"/>
      <c r="BK1804" s="2126"/>
      <c r="BL1804" s="2126"/>
      <c r="BM1804" s="2126"/>
      <c r="BN1804" s="2126"/>
      <c r="BO1804" s="2126"/>
      <c r="BP1804" s="2126"/>
      <c r="BQ1804" s="2126"/>
      <c r="BR1804" s="2126"/>
      <c r="BS1804" s="2126"/>
    </row>
    <row r="1805" spans="1:71" s="3030" customFormat="1">
      <c r="A1805" s="2126"/>
      <c r="B1805" s="2126"/>
      <c r="C1805" s="2149"/>
      <c r="D1805" s="3248"/>
      <c r="E1805" s="525"/>
      <c r="F1805" s="525"/>
      <c r="G1805" s="526"/>
      <c r="K1805" s="3280"/>
      <c r="P1805" s="3041"/>
      <c r="X1805" s="3280"/>
      <c r="AA1805" s="3041"/>
      <c r="AF1805" s="3041"/>
      <c r="AN1805" s="3280"/>
      <c r="AZ1805" s="3041"/>
      <c r="BD1805" s="3281"/>
      <c r="BH1805" s="3282"/>
      <c r="BJ1805" s="2589"/>
      <c r="BK1805" s="2126"/>
      <c r="BL1805" s="2126"/>
      <c r="BM1805" s="2126"/>
      <c r="BN1805" s="2126"/>
      <c r="BO1805" s="2126"/>
      <c r="BP1805" s="2126"/>
      <c r="BQ1805" s="2126"/>
      <c r="BR1805" s="2126"/>
      <c r="BS1805" s="2126"/>
    </row>
    <row r="1806" spans="1:71" s="3030" customFormat="1">
      <c r="A1806" s="2126"/>
      <c r="B1806" s="2126"/>
      <c r="C1806" s="2149"/>
      <c r="D1806" s="3248"/>
      <c r="E1806" s="525"/>
      <c r="F1806" s="525"/>
      <c r="G1806" s="526"/>
      <c r="K1806" s="3280"/>
      <c r="P1806" s="3041"/>
      <c r="X1806" s="3280"/>
      <c r="AA1806" s="3041"/>
      <c r="AF1806" s="3041"/>
      <c r="AN1806" s="3280"/>
      <c r="AZ1806" s="3041"/>
      <c r="BD1806" s="3281"/>
      <c r="BH1806" s="3282"/>
      <c r="BJ1806" s="2589"/>
      <c r="BK1806" s="2126"/>
      <c r="BL1806" s="2126"/>
      <c r="BM1806" s="2126"/>
      <c r="BN1806" s="2126"/>
      <c r="BO1806" s="2126"/>
      <c r="BP1806" s="2126"/>
      <c r="BQ1806" s="2126"/>
      <c r="BR1806" s="2126"/>
      <c r="BS1806" s="2126"/>
    </row>
    <row r="1807" spans="1:71" s="3030" customFormat="1">
      <c r="A1807" s="2126"/>
      <c r="B1807" s="2126"/>
      <c r="C1807" s="2149"/>
      <c r="D1807" s="3248"/>
      <c r="E1807" s="525"/>
      <c r="F1807" s="525"/>
      <c r="G1807" s="526"/>
      <c r="K1807" s="3280"/>
      <c r="P1807" s="3041"/>
      <c r="X1807" s="3280"/>
      <c r="AA1807" s="3041"/>
      <c r="AF1807" s="3041"/>
      <c r="AN1807" s="3280"/>
      <c r="AZ1807" s="3041"/>
      <c r="BD1807" s="3281"/>
      <c r="BH1807" s="3282"/>
      <c r="BJ1807" s="2589"/>
      <c r="BK1807" s="2126"/>
      <c r="BL1807" s="2126"/>
      <c r="BM1807" s="2126"/>
      <c r="BN1807" s="2126"/>
      <c r="BO1807" s="2126"/>
      <c r="BP1807" s="2126"/>
      <c r="BQ1807" s="2126"/>
      <c r="BR1807" s="2126"/>
      <c r="BS1807" s="2126"/>
    </row>
    <row r="1808" spans="1:71" s="3030" customFormat="1">
      <c r="A1808" s="2126"/>
      <c r="B1808" s="2126"/>
      <c r="C1808" s="2149"/>
      <c r="D1808" s="3248"/>
      <c r="E1808" s="525"/>
      <c r="F1808" s="525"/>
      <c r="G1808" s="526"/>
      <c r="K1808" s="3280"/>
      <c r="P1808" s="3041"/>
      <c r="X1808" s="3280"/>
      <c r="AA1808" s="3041"/>
      <c r="AF1808" s="3041"/>
      <c r="AN1808" s="3280"/>
      <c r="AZ1808" s="3041"/>
      <c r="BD1808" s="3281"/>
      <c r="BH1808" s="3282"/>
      <c r="BJ1808" s="2589"/>
      <c r="BK1808" s="2126"/>
      <c r="BL1808" s="2126"/>
      <c r="BM1808" s="2126"/>
      <c r="BN1808" s="2126"/>
      <c r="BO1808" s="2126"/>
      <c r="BP1808" s="2126"/>
      <c r="BQ1808" s="2126"/>
      <c r="BR1808" s="2126"/>
      <c r="BS1808" s="2126"/>
    </row>
    <row r="1809" spans="1:71" s="3030" customFormat="1">
      <c r="A1809" s="2126"/>
      <c r="B1809" s="2126"/>
      <c r="C1809" s="2149"/>
      <c r="D1809" s="3248"/>
      <c r="E1809" s="525"/>
      <c r="F1809" s="525"/>
      <c r="G1809" s="526"/>
      <c r="K1809" s="3280"/>
      <c r="P1809" s="3041"/>
      <c r="X1809" s="3280"/>
      <c r="AA1809" s="3041"/>
      <c r="AF1809" s="3041"/>
      <c r="AN1809" s="3280"/>
      <c r="AZ1809" s="3041"/>
      <c r="BD1809" s="3281"/>
      <c r="BH1809" s="3282"/>
      <c r="BJ1809" s="2589"/>
      <c r="BK1809" s="2126"/>
      <c r="BL1809" s="2126"/>
      <c r="BM1809" s="2126"/>
      <c r="BN1809" s="2126"/>
      <c r="BO1809" s="2126"/>
      <c r="BP1809" s="2126"/>
      <c r="BQ1809" s="2126"/>
      <c r="BR1809" s="2126"/>
      <c r="BS1809" s="2126"/>
    </row>
    <row r="1810" spans="1:71" s="3030" customFormat="1">
      <c r="A1810" s="2126"/>
      <c r="B1810" s="2126"/>
      <c r="C1810" s="2149"/>
      <c r="D1810" s="3248"/>
      <c r="E1810" s="525"/>
      <c r="F1810" s="525"/>
      <c r="G1810" s="526"/>
      <c r="K1810" s="3280"/>
      <c r="P1810" s="3041"/>
      <c r="X1810" s="3280"/>
      <c r="AA1810" s="3041"/>
      <c r="AF1810" s="3041"/>
      <c r="AN1810" s="3280"/>
      <c r="AZ1810" s="3041"/>
      <c r="BD1810" s="3281"/>
      <c r="BH1810" s="3282"/>
      <c r="BJ1810" s="2589"/>
      <c r="BK1810" s="2126"/>
      <c r="BL1810" s="2126"/>
      <c r="BM1810" s="2126"/>
      <c r="BN1810" s="2126"/>
      <c r="BO1810" s="2126"/>
      <c r="BP1810" s="2126"/>
      <c r="BQ1810" s="2126"/>
      <c r="BR1810" s="2126"/>
      <c r="BS1810" s="2126"/>
    </row>
    <row r="1811" spans="1:71" s="3030" customFormat="1">
      <c r="A1811" s="2126"/>
      <c r="B1811" s="2126"/>
      <c r="C1811" s="2149"/>
      <c r="D1811" s="3248"/>
      <c r="E1811" s="525"/>
      <c r="F1811" s="525"/>
      <c r="G1811" s="526"/>
      <c r="K1811" s="3280"/>
      <c r="P1811" s="3041"/>
      <c r="X1811" s="3280"/>
      <c r="AA1811" s="3041"/>
      <c r="AF1811" s="3041"/>
      <c r="AN1811" s="3280"/>
      <c r="AZ1811" s="3041"/>
      <c r="BD1811" s="3281"/>
      <c r="BH1811" s="3282"/>
      <c r="BJ1811" s="2589"/>
      <c r="BK1811" s="2126"/>
      <c r="BL1811" s="2126"/>
      <c r="BM1811" s="2126"/>
      <c r="BN1811" s="2126"/>
      <c r="BO1811" s="2126"/>
      <c r="BP1811" s="2126"/>
      <c r="BQ1811" s="2126"/>
      <c r="BR1811" s="2126"/>
      <c r="BS1811" s="2126"/>
    </row>
    <row r="1812" spans="1:71" s="3030" customFormat="1">
      <c r="A1812" s="2126"/>
      <c r="B1812" s="2126"/>
      <c r="C1812" s="2149"/>
      <c r="D1812" s="3248"/>
      <c r="E1812" s="525"/>
      <c r="F1812" s="525"/>
      <c r="G1812" s="526"/>
      <c r="K1812" s="3280"/>
      <c r="P1812" s="3041"/>
      <c r="X1812" s="3280"/>
      <c r="AA1812" s="3041"/>
      <c r="AF1812" s="3041"/>
      <c r="AN1812" s="3280"/>
      <c r="AZ1812" s="3041"/>
      <c r="BD1812" s="3281"/>
      <c r="BH1812" s="3282"/>
      <c r="BJ1812" s="2589"/>
      <c r="BK1812" s="2126"/>
      <c r="BL1812" s="2126"/>
      <c r="BM1812" s="2126"/>
      <c r="BN1812" s="2126"/>
      <c r="BO1812" s="2126"/>
      <c r="BP1812" s="2126"/>
      <c r="BQ1812" s="2126"/>
      <c r="BR1812" s="2126"/>
      <c r="BS1812" s="2126"/>
    </row>
    <row r="1813" spans="1:71" s="3030" customFormat="1">
      <c r="A1813" s="2126"/>
      <c r="B1813" s="2126"/>
      <c r="C1813" s="2149"/>
      <c r="D1813" s="3248"/>
      <c r="E1813" s="525"/>
      <c r="F1813" s="525"/>
      <c r="G1813" s="526"/>
      <c r="K1813" s="3280"/>
      <c r="P1813" s="3041"/>
      <c r="X1813" s="3280"/>
      <c r="AA1813" s="3041"/>
      <c r="AF1813" s="3041"/>
      <c r="AN1813" s="3280"/>
      <c r="AZ1813" s="3041"/>
      <c r="BD1813" s="3281"/>
      <c r="BH1813" s="3282"/>
      <c r="BJ1813" s="2589"/>
      <c r="BK1813" s="2126"/>
      <c r="BL1813" s="2126"/>
      <c r="BM1813" s="2126"/>
      <c r="BN1813" s="2126"/>
      <c r="BO1813" s="2126"/>
      <c r="BP1813" s="2126"/>
      <c r="BQ1813" s="2126"/>
      <c r="BR1813" s="2126"/>
      <c r="BS1813" s="2126"/>
    </row>
    <row r="1814" spans="1:71" s="3030" customFormat="1">
      <c r="A1814" s="2126"/>
      <c r="B1814" s="2126"/>
      <c r="C1814" s="2149"/>
      <c r="D1814" s="3248"/>
      <c r="E1814" s="525"/>
      <c r="F1814" s="525"/>
      <c r="G1814" s="526"/>
      <c r="K1814" s="3280"/>
      <c r="P1814" s="3041"/>
      <c r="X1814" s="3280"/>
      <c r="AA1814" s="3041"/>
      <c r="AF1814" s="3041"/>
      <c r="AN1814" s="3280"/>
      <c r="AZ1814" s="3041"/>
      <c r="BD1814" s="3281"/>
      <c r="BH1814" s="3282"/>
      <c r="BJ1814" s="2589"/>
      <c r="BK1814" s="2126"/>
      <c r="BL1814" s="2126"/>
      <c r="BM1814" s="2126"/>
      <c r="BN1814" s="2126"/>
      <c r="BO1814" s="2126"/>
      <c r="BP1814" s="2126"/>
      <c r="BQ1814" s="2126"/>
      <c r="BR1814" s="2126"/>
      <c r="BS1814" s="2126"/>
    </row>
    <row r="1815" spans="1:71" s="3030" customFormat="1">
      <c r="A1815" s="2126"/>
      <c r="B1815" s="2126"/>
      <c r="C1815" s="2149"/>
      <c r="D1815" s="3248"/>
      <c r="E1815" s="525"/>
      <c r="F1815" s="525"/>
      <c r="G1815" s="526"/>
      <c r="K1815" s="3280"/>
      <c r="P1815" s="3041"/>
      <c r="X1815" s="3280"/>
      <c r="AA1815" s="3041"/>
      <c r="AF1815" s="3041"/>
      <c r="AN1815" s="3280"/>
      <c r="AZ1815" s="3041"/>
      <c r="BD1815" s="3281"/>
      <c r="BH1815" s="3282"/>
      <c r="BJ1815" s="2589"/>
      <c r="BK1815" s="2126"/>
      <c r="BL1815" s="2126"/>
      <c r="BM1815" s="2126"/>
      <c r="BN1815" s="2126"/>
      <c r="BO1815" s="2126"/>
      <c r="BP1815" s="2126"/>
      <c r="BQ1815" s="2126"/>
      <c r="BR1815" s="2126"/>
      <c r="BS1815" s="2126"/>
    </row>
    <row r="1816" spans="1:71" s="3030" customFormat="1">
      <c r="A1816" s="2126"/>
      <c r="B1816" s="2126"/>
      <c r="C1816" s="2149"/>
      <c r="D1816" s="3248"/>
      <c r="E1816" s="525"/>
      <c r="F1816" s="525"/>
      <c r="G1816" s="526"/>
      <c r="K1816" s="3280"/>
      <c r="P1816" s="3041"/>
      <c r="X1816" s="3280"/>
      <c r="AA1816" s="3041"/>
      <c r="AF1816" s="3041"/>
      <c r="AN1816" s="3280"/>
      <c r="AZ1816" s="3041"/>
      <c r="BD1816" s="3281"/>
      <c r="BH1816" s="3282"/>
      <c r="BJ1816" s="2589"/>
      <c r="BK1816" s="2126"/>
      <c r="BL1816" s="2126"/>
      <c r="BM1816" s="2126"/>
      <c r="BN1816" s="2126"/>
      <c r="BO1816" s="2126"/>
      <c r="BP1816" s="2126"/>
      <c r="BQ1816" s="2126"/>
      <c r="BR1816" s="2126"/>
      <c r="BS1816" s="2126"/>
    </row>
    <row r="1817" spans="1:71" s="3030" customFormat="1">
      <c r="A1817" s="2126"/>
      <c r="B1817" s="2126"/>
      <c r="C1817" s="2149"/>
      <c r="D1817" s="3248"/>
      <c r="E1817" s="525"/>
      <c r="F1817" s="525"/>
      <c r="G1817" s="526"/>
      <c r="K1817" s="3280"/>
      <c r="P1817" s="3041"/>
      <c r="X1817" s="3280"/>
      <c r="AA1817" s="3041"/>
      <c r="AF1817" s="3041"/>
      <c r="AN1817" s="3280"/>
      <c r="AZ1817" s="3041"/>
      <c r="BD1817" s="3281"/>
      <c r="BH1817" s="3282"/>
      <c r="BJ1817" s="2589"/>
      <c r="BK1817" s="2126"/>
      <c r="BL1817" s="2126"/>
      <c r="BM1817" s="2126"/>
      <c r="BN1817" s="2126"/>
      <c r="BO1817" s="2126"/>
      <c r="BP1817" s="2126"/>
      <c r="BQ1817" s="2126"/>
      <c r="BR1817" s="2126"/>
      <c r="BS1817" s="2126"/>
    </row>
    <row r="1818" spans="1:71" s="3030" customFormat="1">
      <c r="A1818" s="2126"/>
      <c r="B1818" s="2126"/>
      <c r="C1818" s="2149"/>
      <c r="D1818" s="3248"/>
      <c r="E1818" s="525"/>
      <c r="F1818" s="525"/>
      <c r="G1818" s="526"/>
      <c r="K1818" s="3280"/>
      <c r="P1818" s="3041"/>
      <c r="X1818" s="3280"/>
      <c r="AA1818" s="3041"/>
      <c r="AF1818" s="3041"/>
      <c r="AN1818" s="3280"/>
      <c r="AZ1818" s="3041"/>
      <c r="BD1818" s="3281"/>
      <c r="BH1818" s="3282"/>
      <c r="BJ1818" s="2589"/>
      <c r="BK1818" s="2126"/>
      <c r="BL1818" s="2126"/>
      <c r="BM1818" s="2126"/>
      <c r="BN1818" s="2126"/>
      <c r="BO1818" s="2126"/>
      <c r="BP1818" s="2126"/>
      <c r="BQ1818" s="2126"/>
      <c r="BR1818" s="2126"/>
      <c r="BS1818" s="2126"/>
    </row>
    <row r="1819" spans="1:71" s="3030" customFormat="1">
      <c r="A1819" s="2126"/>
      <c r="B1819" s="2126"/>
      <c r="C1819" s="2149"/>
      <c r="D1819" s="3248"/>
      <c r="E1819" s="525"/>
      <c r="F1819" s="525"/>
      <c r="G1819" s="526"/>
      <c r="K1819" s="3280"/>
      <c r="P1819" s="3041"/>
      <c r="X1819" s="3280"/>
      <c r="AA1819" s="3041"/>
      <c r="AF1819" s="3041"/>
      <c r="AN1819" s="3280"/>
      <c r="AZ1819" s="3041"/>
      <c r="BD1819" s="3281"/>
      <c r="BH1819" s="3282"/>
      <c r="BJ1819" s="2589"/>
      <c r="BK1819" s="2126"/>
      <c r="BL1819" s="2126"/>
      <c r="BM1819" s="2126"/>
      <c r="BN1819" s="2126"/>
      <c r="BO1819" s="2126"/>
      <c r="BP1819" s="2126"/>
      <c r="BQ1819" s="2126"/>
      <c r="BR1819" s="2126"/>
      <c r="BS1819" s="2126"/>
    </row>
    <row r="1820" spans="1:71" s="3030" customFormat="1">
      <c r="A1820" s="2126"/>
      <c r="B1820" s="2126"/>
      <c r="C1820" s="2149"/>
      <c r="D1820" s="3248"/>
      <c r="E1820" s="525"/>
      <c r="F1820" s="525"/>
      <c r="G1820" s="526"/>
      <c r="K1820" s="3280"/>
      <c r="P1820" s="3041"/>
      <c r="X1820" s="3280"/>
      <c r="AA1820" s="3041"/>
      <c r="AF1820" s="3041"/>
      <c r="AN1820" s="3280"/>
      <c r="AZ1820" s="3041"/>
      <c r="BD1820" s="3281"/>
      <c r="BH1820" s="3282"/>
      <c r="BJ1820" s="2589"/>
      <c r="BK1820" s="2126"/>
      <c r="BL1820" s="2126"/>
      <c r="BM1820" s="2126"/>
      <c r="BN1820" s="2126"/>
      <c r="BO1820" s="2126"/>
      <c r="BP1820" s="2126"/>
      <c r="BQ1820" s="2126"/>
      <c r="BR1820" s="2126"/>
      <c r="BS1820" s="2126"/>
    </row>
    <row r="1821" spans="1:71" s="3030" customFormat="1">
      <c r="A1821" s="2126"/>
      <c r="B1821" s="2126"/>
      <c r="C1821" s="2149"/>
      <c r="D1821" s="3248"/>
      <c r="E1821" s="525"/>
      <c r="F1821" s="525"/>
      <c r="G1821" s="526"/>
      <c r="K1821" s="3280"/>
      <c r="P1821" s="3041"/>
      <c r="X1821" s="3280"/>
      <c r="AA1821" s="3041"/>
      <c r="AF1821" s="3041"/>
      <c r="AN1821" s="3280"/>
      <c r="AZ1821" s="3041"/>
      <c r="BD1821" s="3281"/>
      <c r="BH1821" s="3282"/>
      <c r="BJ1821" s="2589"/>
      <c r="BK1821" s="2126"/>
      <c r="BL1821" s="2126"/>
      <c r="BM1821" s="2126"/>
      <c r="BN1821" s="2126"/>
      <c r="BO1821" s="2126"/>
      <c r="BP1821" s="2126"/>
      <c r="BQ1821" s="2126"/>
      <c r="BR1821" s="2126"/>
      <c r="BS1821" s="2126"/>
    </row>
    <row r="1822" spans="1:71" s="3030" customFormat="1">
      <c r="A1822" s="2126"/>
      <c r="B1822" s="2126"/>
      <c r="C1822" s="2149"/>
      <c r="D1822" s="3248"/>
      <c r="E1822" s="525"/>
      <c r="F1822" s="525"/>
      <c r="G1822" s="526"/>
      <c r="K1822" s="3280"/>
      <c r="P1822" s="3041"/>
      <c r="X1822" s="3280"/>
      <c r="AA1822" s="3041"/>
      <c r="AF1822" s="3041"/>
      <c r="AN1822" s="3280"/>
      <c r="AZ1822" s="3041"/>
      <c r="BD1822" s="3281"/>
      <c r="BH1822" s="3282"/>
      <c r="BJ1822" s="2589"/>
      <c r="BK1822" s="2126"/>
      <c r="BL1822" s="2126"/>
      <c r="BM1822" s="2126"/>
      <c r="BN1822" s="2126"/>
      <c r="BO1822" s="2126"/>
      <c r="BP1822" s="2126"/>
      <c r="BQ1822" s="2126"/>
      <c r="BR1822" s="2126"/>
      <c r="BS1822" s="2126"/>
    </row>
    <row r="1823" spans="1:71" s="3030" customFormat="1">
      <c r="A1823" s="2126"/>
      <c r="B1823" s="2126"/>
      <c r="C1823" s="2149"/>
      <c r="D1823" s="3248"/>
      <c r="E1823" s="525"/>
      <c r="F1823" s="525"/>
      <c r="G1823" s="526"/>
      <c r="K1823" s="3280"/>
      <c r="P1823" s="3041"/>
      <c r="X1823" s="3280"/>
      <c r="AA1823" s="3041"/>
      <c r="AF1823" s="3041"/>
      <c r="AN1823" s="3280"/>
      <c r="AZ1823" s="3041"/>
      <c r="BD1823" s="3281"/>
      <c r="BH1823" s="3282"/>
      <c r="BJ1823" s="2589"/>
      <c r="BK1823" s="2126"/>
      <c r="BL1823" s="2126"/>
      <c r="BM1823" s="2126"/>
      <c r="BN1823" s="2126"/>
      <c r="BO1823" s="2126"/>
      <c r="BP1823" s="2126"/>
      <c r="BQ1823" s="2126"/>
      <c r="BR1823" s="2126"/>
      <c r="BS1823" s="2126"/>
    </row>
    <row r="1824" spans="1:71" s="3030" customFormat="1">
      <c r="A1824" s="2126"/>
      <c r="B1824" s="2126"/>
      <c r="C1824" s="2149"/>
      <c r="D1824" s="3248"/>
      <c r="E1824" s="525"/>
      <c r="F1824" s="525"/>
      <c r="G1824" s="526"/>
      <c r="K1824" s="3280"/>
      <c r="P1824" s="3041"/>
      <c r="X1824" s="3280"/>
      <c r="AA1824" s="3041"/>
      <c r="AF1824" s="3041"/>
      <c r="AN1824" s="3280"/>
      <c r="AZ1824" s="3041"/>
      <c r="BD1824" s="3281"/>
      <c r="BH1824" s="3282"/>
      <c r="BJ1824" s="2589"/>
      <c r="BK1824" s="2126"/>
      <c r="BL1824" s="2126"/>
      <c r="BM1824" s="2126"/>
      <c r="BN1824" s="2126"/>
      <c r="BO1824" s="2126"/>
      <c r="BP1824" s="2126"/>
      <c r="BQ1824" s="2126"/>
      <c r="BR1824" s="2126"/>
      <c r="BS1824" s="2126"/>
    </row>
    <row r="1825" spans="1:71" s="3030" customFormat="1">
      <c r="A1825" s="2126"/>
      <c r="B1825" s="2126"/>
      <c r="C1825" s="2149"/>
      <c r="D1825" s="3248"/>
      <c r="E1825" s="525"/>
      <c r="F1825" s="525"/>
      <c r="G1825" s="526"/>
      <c r="K1825" s="3280"/>
      <c r="P1825" s="3041"/>
      <c r="X1825" s="3280"/>
      <c r="AA1825" s="3041"/>
      <c r="AF1825" s="3041"/>
      <c r="AN1825" s="3280"/>
      <c r="AZ1825" s="3041"/>
      <c r="BD1825" s="3281"/>
      <c r="BH1825" s="3282"/>
      <c r="BJ1825" s="2589"/>
      <c r="BK1825" s="2126"/>
      <c r="BL1825" s="2126"/>
      <c r="BM1825" s="2126"/>
      <c r="BN1825" s="2126"/>
      <c r="BO1825" s="2126"/>
      <c r="BP1825" s="2126"/>
      <c r="BQ1825" s="2126"/>
      <c r="BR1825" s="2126"/>
      <c r="BS1825" s="2126"/>
    </row>
    <row r="1826" spans="1:71" s="3030" customFormat="1">
      <c r="A1826" s="2126"/>
      <c r="B1826" s="2126"/>
      <c r="C1826" s="2149"/>
      <c r="D1826" s="3248"/>
      <c r="E1826" s="525"/>
      <c r="F1826" s="525"/>
      <c r="G1826" s="526"/>
      <c r="K1826" s="3280"/>
      <c r="P1826" s="3041"/>
      <c r="X1826" s="3280"/>
      <c r="AA1826" s="3041"/>
      <c r="AF1826" s="3041"/>
      <c r="AN1826" s="3280"/>
      <c r="AZ1826" s="3041"/>
      <c r="BD1826" s="3281"/>
      <c r="BH1826" s="3282"/>
      <c r="BJ1826" s="2589"/>
      <c r="BK1826" s="2126"/>
      <c r="BL1826" s="2126"/>
      <c r="BM1826" s="2126"/>
      <c r="BN1826" s="2126"/>
      <c r="BO1826" s="2126"/>
      <c r="BP1826" s="2126"/>
      <c r="BQ1826" s="2126"/>
      <c r="BR1826" s="2126"/>
      <c r="BS1826" s="2126"/>
    </row>
    <row r="1827" spans="1:71" s="3030" customFormat="1">
      <c r="A1827" s="2126"/>
      <c r="B1827" s="2126"/>
      <c r="C1827" s="2149"/>
      <c r="D1827" s="3248"/>
      <c r="E1827" s="525"/>
      <c r="F1827" s="525"/>
      <c r="G1827" s="526"/>
      <c r="K1827" s="3280"/>
      <c r="P1827" s="3041"/>
      <c r="X1827" s="3280"/>
      <c r="AA1827" s="3041"/>
      <c r="AF1827" s="3041"/>
      <c r="AN1827" s="3280"/>
      <c r="AZ1827" s="3041"/>
      <c r="BD1827" s="3281"/>
      <c r="BH1827" s="3282"/>
      <c r="BJ1827" s="2589"/>
      <c r="BK1827" s="2126"/>
      <c r="BL1827" s="2126"/>
      <c r="BM1827" s="2126"/>
      <c r="BN1827" s="2126"/>
      <c r="BO1827" s="2126"/>
      <c r="BP1827" s="2126"/>
      <c r="BQ1827" s="2126"/>
      <c r="BR1827" s="2126"/>
      <c r="BS1827" s="2126"/>
    </row>
    <row r="1828" spans="1:71" s="3030" customFormat="1">
      <c r="A1828" s="2126"/>
      <c r="B1828" s="2126"/>
      <c r="C1828" s="2149"/>
      <c r="D1828" s="3248"/>
      <c r="E1828" s="525"/>
      <c r="F1828" s="525"/>
      <c r="G1828" s="526"/>
      <c r="K1828" s="3280"/>
      <c r="P1828" s="3041"/>
      <c r="X1828" s="3280"/>
      <c r="AA1828" s="3041"/>
      <c r="AF1828" s="3041"/>
      <c r="AN1828" s="3280"/>
      <c r="AZ1828" s="3041"/>
      <c r="BD1828" s="3281"/>
      <c r="BH1828" s="3282"/>
      <c r="BJ1828" s="2589"/>
      <c r="BK1828" s="2126"/>
      <c r="BL1828" s="2126"/>
      <c r="BM1828" s="2126"/>
      <c r="BN1828" s="2126"/>
      <c r="BO1828" s="2126"/>
      <c r="BP1828" s="2126"/>
      <c r="BQ1828" s="2126"/>
      <c r="BR1828" s="2126"/>
      <c r="BS1828" s="2126"/>
    </row>
    <row r="1829" spans="1:71" s="3030" customFormat="1">
      <c r="A1829" s="2126"/>
      <c r="B1829" s="2126"/>
      <c r="C1829" s="2149"/>
      <c r="D1829" s="3248"/>
      <c r="E1829" s="525"/>
      <c r="F1829" s="525"/>
      <c r="G1829" s="526"/>
      <c r="K1829" s="3280"/>
      <c r="P1829" s="3041"/>
      <c r="X1829" s="3280"/>
      <c r="AA1829" s="3041"/>
      <c r="AF1829" s="3041"/>
      <c r="AN1829" s="3280"/>
      <c r="AZ1829" s="3041"/>
      <c r="BD1829" s="3281"/>
      <c r="BH1829" s="3282"/>
      <c r="BJ1829" s="2589"/>
      <c r="BK1829" s="2126"/>
      <c r="BL1829" s="2126"/>
      <c r="BM1829" s="2126"/>
      <c r="BN1829" s="2126"/>
      <c r="BO1829" s="2126"/>
      <c r="BP1829" s="2126"/>
      <c r="BQ1829" s="2126"/>
      <c r="BR1829" s="2126"/>
      <c r="BS1829" s="2126"/>
    </row>
    <row r="1830" spans="1:71" s="3030" customFormat="1">
      <c r="A1830" s="2126"/>
      <c r="B1830" s="2126"/>
      <c r="C1830" s="2149"/>
      <c r="D1830" s="3248"/>
      <c r="E1830" s="525"/>
      <c r="F1830" s="525"/>
      <c r="G1830" s="526"/>
      <c r="K1830" s="3280"/>
      <c r="P1830" s="3041"/>
      <c r="X1830" s="3280"/>
      <c r="AA1830" s="3041"/>
      <c r="AF1830" s="3041"/>
      <c r="AN1830" s="3280"/>
      <c r="AZ1830" s="3041"/>
      <c r="BD1830" s="3281"/>
      <c r="BH1830" s="3282"/>
      <c r="BJ1830" s="2589"/>
      <c r="BK1830" s="2126"/>
      <c r="BL1830" s="2126"/>
      <c r="BM1830" s="2126"/>
      <c r="BN1830" s="2126"/>
      <c r="BO1830" s="2126"/>
      <c r="BP1830" s="2126"/>
      <c r="BQ1830" s="2126"/>
      <c r="BR1830" s="2126"/>
      <c r="BS1830" s="2126"/>
    </row>
    <row r="1831" spans="1:71" s="3030" customFormat="1">
      <c r="A1831" s="2126"/>
      <c r="B1831" s="2126"/>
      <c r="C1831" s="2149"/>
      <c r="D1831" s="3248"/>
      <c r="E1831" s="525"/>
      <c r="F1831" s="525"/>
      <c r="G1831" s="526"/>
      <c r="K1831" s="3280"/>
      <c r="P1831" s="3041"/>
      <c r="X1831" s="3280"/>
      <c r="AA1831" s="3041"/>
      <c r="AF1831" s="3041"/>
      <c r="AN1831" s="3280"/>
      <c r="AZ1831" s="3041"/>
      <c r="BD1831" s="3281"/>
      <c r="BH1831" s="3282"/>
      <c r="BJ1831" s="2589"/>
      <c r="BK1831" s="2126"/>
      <c r="BL1831" s="2126"/>
      <c r="BM1831" s="2126"/>
      <c r="BN1831" s="2126"/>
      <c r="BO1831" s="2126"/>
      <c r="BP1831" s="2126"/>
      <c r="BQ1831" s="2126"/>
      <c r="BR1831" s="2126"/>
      <c r="BS1831" s="2126"/>
    </row>
    <row r="1832" spans="1:71" s="3030" customFormat="1">
      <c r="A1832" s="2126"/>
      <c r="B1832" s="2126"/>
      <c r="C1832" s="2149"/>
      <c r="D1832" s="3248"/>
      <c r="E1832" s="525"/>
      <c r="F1832" s="525"/>
      <c r="G1832" s="526"/>
      <c r="K1832" s="3280"/>
      <c r="P1832" s="3041"/>
      <c r="X1832" s="3280"/>
      <c r="AA1832" s="3041"/>
      <c r="AF1832" s="3041"/>
      <c r="AN1832" s="3280"/>
      <c r="AZ1832" s="3041"/>
      <c r="BD1832" s="3281"/>
      <c r="BH1832" s="3282"/>
      <c r="BJ1832" s="2589"/>
      <c r="BK1832" s="2126"/>
      <c r="BL1832" s="2126"/>
      <c r="BM1832" s="2126"/>
      <c r="BN1832" s="2126"/>
      <c r="BO1832" s="2126"/>
      <c r="BP1832" s="2126"/>
      <c r="BQ1832" s="2126"/>
      <c r="BR1832" s="2126"/>
      <c r="BS1832" s="2126"/>
    </row>
    <row r="1833" spans="1:71" s="3030" customFormat="1">
      <c r="A1833" s="2126"/>
      <c r="B1833" s="2126"/>
      <c r="C1833" s="2149"/>
      <c r="D1833" s="3248"/>
      <c r="E1833" s="525"/>
      <c r="F1833" s="525"/>
      <c r="G1833" s="526"/>
      <c r="K1833" s="3280"/>
      <c r="P1833" s="3041"/>
      <c r="X1833" s="3280"/>
      <c r="AA1833" s="3041"/>
      <c r="AF1833" s="3041"/>
      <c r="AN1833" s="3280"/>
      <c r="AZ1833" s="3041"/>
      <c r="BD1833" s="3281"/>
      <c r="BH1833" s="3282"/>
      <c r="BJ1833" s="2589"/>
      <c r="BK1833" s="2126"/>
      <c r="BL1833" s="2126"/>
      <c r="BM1833" s="2126"/>
      <c r="BN1833" s="2126"/>
      <c r="BO1833" s="2126"/>
      <c r="BP1833" s="2126"/>
      <c r="BQ1833" s="2126"/>
      <c r="BR1833" s="2126"/>
      <c r="BS1833" s="2126"/>
    </row>
    <row r="1834" spans="1:71" s="3030" customFormat="1">
      <c r="A1834" s="2126"/>
      <c r="B1834" s="2126"/>
      <c r="C1834" s="2149"/>
      <c r="D1834" s="3248"/>
      <c r="E1834" s="525"/>
      <c r="F1834" s="525"/>
      <c r="G1834" s="526"/>
      <c r="K1834" s="3280"/>
      <c r="P1834" s="3041"/>
      <c r="X1834" s="3280"/>
      <c r="AA1834" s="3041"/>
      <c r="AF1834" s="3041"/>
      <c r="AN1834" s="3280"/>
      <c r="AZ1834" s="3041"/>
      <c r="BD1834" s="3281"/>
      <c r="BH1834" s="3282"/>
      <c r="BJ1834" s="2589"/>
      <c r="BK1834" s="2126"/>
      <c r="BL1834" s="2126"/>
      <c r="BM1834" s="2126"/>
      <c r="BN1834" s="2126"/>
      <c r="BO1834" s="2126"/>
      <c r="BP1834" s="2126"/>
      <c r="BQ1834" s="2126"/>
      <c r="BR1834" s="2126"/>
      <c r="BS1834" s="2126"/>
    </row>
    <row r="1835" spans="1:71" s="3030" customFormat="1">
      <c r="A1835" s="2126"/>
      <c r="B1835" s="2126"/>
      <c r="C1835" s="2149"/>
      <c r="D1835" s="3248"/>
      <c r="E1835" s="525"/>
      <c r="F1835" s="525"/>
      <c r="G1835" s="526"/>
      <c r="K1835" s="3280"/>
      <c r="P1835" s="3041"/>
      <c r="X1835" s="3280"/>
      <c r="AA1835" s="3041"/>
      <c r="AF1835" s="3041"/>
      <c r="AN1835" s="3280"/>
      <c r="AZ1835" s="3041"/>
      <c r="BD1835" s="3281"/>
      <c r="BH1835" s="3282"/>
      <c r="BJ1835" s="2589"/>
      <c r="BK1835" s="2126"/>
      <c r="BL1835" s="2126"/>
      <c r="BM1835" s="2126"/>
      <c r="BN1835" s="2126"/>
      <c r="BO1835" s="2126"/>
      <c r="BP1835" s="2126"/>
      <c r="BQ1835" s="2126"/>
      <c r="BR1835" s="2126"/>
      <c r="BS1835" s="2126"/>
    </row>
    <row r="1836" spans="1:71" s="3030" customFormat="1">
      <c r="A1836" s="2126"/>
      <c r="B1836" s="2126"/>
      <c r="C1836" s="2149"/>
      <c r="D1836" s="3248"/>
      <c r="E1836" s="525"/>
      <c r="F1836" s="525"/>
      <c r="G1836" s="526"/>
      <c r="K1836" s="3280"/>
      <c r="P1836" s="3041"/>
      <c r="X1836" s="3280"/>
      <c r="AA1836" s="3041"/>
      <c r="AF1836" s="3041"/>
      <c r="AN1836" s="3280"/>
      <c r="AZ1836" s="3041"/>
      <c r="BD1836" s="3281"/>
      <c r="BH1836" s="3282"/>
      <c r="BJ1836" s="2589"/>
      <c r="BK1836" s="2126"/>
      <c r="BL1836" s="2126"/>
      <c r="BM1836" s="2126"/>
      <c r="BN1836" s="2126"/>
      <c r="BO1836" s="2126"/>
      <c r="BP1836" s="2126"/>
      <c r="BQ1836" s="2126"/>
      <c r="BR1836" s="2126"/>
      <c r="BS1836" s="2126"/>
    </row>
    <row r="1837" spans="1:71" s="3030" customFormat="1">
      <c r="A1837" s="2126"/>
      <c r="B1837" s="2126"/>
      <c r="C1837" s="2149"/>
      <c r="D1837" s="3248"/>
      <c r="E1837" s="525"/>
      <c r="F1837" s="525"/>
      <c r="G1837" s="526"/>
      <c r="K1837" s="3280"/>
      <c r="P1837" s="3041"/>
      <c r="X1837" s="3280"/>
      <c r="AA1837" s="3041"/>
      <c r="AF1837" s="3041"/>
      <c r="AN1837" s="3280"/>
      <c r="AZ1837" s="3041"/>
      <c r="BD1837" s="3281"/>
      <c r="BH1837" s="3282"/>
      <c r="BJ1837" s="2589"/>
      <c r="BK1837" s="2126"/>
      <c r="BL1837" s="2126"/>
      <c r="BM1837" s="2126"/>
      <c r="BN1837" s="2126"/>
      <c r="BO1837" s="2126"/>
      <c r="BP1837" s="2126"/>
      <c r="BQ1837" s="2126"/>
      <c r="BR1837" s="2126"/>
      <c r="BS1837" s="2126"/>
    </row>
    <row r="1838" spans="1:71" s="3030" customFormat="1">
      <c r="A1838" s="2126"/>
      <c r="B1838" s="2126"/>
      <c r="C1838" s="2149"/>
      <c r="D1838" s="3248"/>
      <c r="E1838" s="525"/>
      <c r="F1838" s="525"/>
      <c r="G1838" s="526"/>
      <c r="K1838" s="3280"/>
      <c r="P1838" s="3041"/>
      <c r="X1838" s="3280"/>
      <c r="AA1838" s="3041"/>
      <c r="AF1838" s="3041"/>
      <c r="AN1838" s="3280"/>
      <c r="AZ1838" s="3041"/>
      <c r="BD1838" s="3281"/>
      <c r="BH1838" s="3282"/>
      <c r="BJ1838" s="2589"/>
      <c r="BK1838" s="2126"/>
      <c r="BL1838" s="2126"/>
      <c r="BM1838" s="2126"/>
      <c r="BN1838" s="2126"/>
      <c r="BO1838" s="2126"/>
      <c r="BP1838" s="2126"/>
      <c r="BQ1838" s="2126"/>
      <c r="BR1838" s="2126"/>
      <c r="BS1838" s="2126"/>
    </row>
    <row r="1839" spans="1:71" s="3030" customFormat="1">
      <c r="A1839" s="2126"/>
      <c r="B1839" s="2126"/>
      <c r="C1839" s="2149"/>
      <c r="D1839" s="3248"/>
      <c r="E1839" s="525"/>
      <c r="F1839" s="525"/>
      <c r="G1839" s="526"/>
      <c r="K1839" s="3280"/>
      <c r="P1839" s="3041"/>
      <c r="X1839" s="3280"/>
      <c r="AA1839" s="3041"/>
      <c r="AF1839" s="3041"/>
      <c r="AN1839" s="3280"/>
      <c r="AZ1839" s="3041"/>
      <c r="BD1839" s="3281"/>
      <c r="BH1839" s="3282"/>
      <c r="BJ1839" s="2589"/>
      <c r="BK1839" s="2126"/>
      <c r="BL1839" s="2126"/>
      <c r="BM1839" s="2126"/>
      <c r="BN1839" s="2126"/>
      <c r="BO1839" s="2126"/>
      <c r="BP1839" s="2126"/>
      <c r="BQ1839" s="2126"/>
      <c r="BR1839" s="2126"/>
      <c r="BS1839" s="2126"/>
    </row>
    <row r="1840" spans="1:71" s="3030" customFormat="1">
      <c r="A1840" s="2126"/>
      <c r="B1840" s="2126"/>
      <c r="C1840" s="2149"/>
      <c r="D1840" s="3248"/>
      <c r="E1840" s="525"/>
      <c r="F1840" s="525"/>
      <c r="G1840" s="526"/>
      <c r="K1840" s="3280"/>
      <c r="P1840" s="3041"/>
      <c r="X1840" s="3280"/>
      <c r="AA1840" s="3041"/>
      <c r="AF1840" s="3041"/>
      <c r="AN1840" s="3280"/>
      <c r="AZ1840" s="3041"/>
      <c r="BD1840" s="3281"/>
      <c r="BH1840" s="3282"/>
      <c r="BJ1840" s="2589"/>
      <c r="BK1840" s="2126"/>
      <c r="BL1840" s="2126"/>
      <c r="BM1840" s="2126"/>
      <c r="BN1840" s="2126"/>
      <c r="BO1840" s="2126"/>
      <c r="BP1840" s="2126"/>
      <c r="BQ1840" s="2126"/>
      <c r="BR1840" s="2126"/>
      <c r="BS1840" s="2126"/>
    </row>
    <row r="1841" spans="1:71" s="3030" customFormat="1">
      <c r="A1841" s="2126"/>
      <c r="B1841" s="2126"/>
      <c r="C1841" s="2149"/>
      <c r="D1841" s="3248"/>
      <c r="E1841" s="525"/>
      <c r="F1841" s="525"/>
      <c r="G1841" s="526"/>
      <c r="K1841" s="3280"/>
      <c r="P1841" s="3041"/>
      <c r="X1841" s="3280"/>
      <c r="AA1841" s="3041"/>
      <c r="AF1841" s="3041"/>
      <c r="AN1841" s="3280"/>
      <c r="AZ1841" s="3041"/>
      <c r="BD1841" s="3281"/>
      <c r="BH1841" s="3282"/>
      <c r="BJ1841" s="2589"/>
      <c r="BK1841" s="2126"/>
      <c r="BL1841" s="2126"/>
      <c r="BM1841" s="2126"/>
      <c r="BN1841" s="2126"/>
      <c r="BO1841" s="2126"/>
      <c r="BP1841" s="2126"/>
      <c r="BQ1841" s="2126"/>
      <c r="BR1841" s="2126"/>
      <c r="BS1841" s="2126"/>
    </row>
    <row r="1842" spans="1:71" s="3030" customFormat="1">
      <c r="A1842" s="2126"/>
      <c r="B1842" s="2126"/>
      <c r="C1842" s="2149"/>
      <c r="D1842" s="3248"/>
      <c r="E1842" s="525"/>
      <c r="F1842" s="525"/>
      <c r="G1842" s="526"/>
      <c r="K1842" s="3280"/>
      <c r="P1842" s="3041"/>
      <c r="X1842" s="3280"/>
      <c r="AA1842" s="3041"/>
      <c r="AF1842" s="3041"/>
      <c r="AN1842" s="3280"/>
      <c r="AZ1842" s="3041"/>
      <c r="BD1842" s="3281"/>
      <c r="BH1842" s="3282"/>
      <c r="BJ1842" s="2589"/>
      <c r="BK1842" s="2126"/>
      <c r="BL1842" s="2126"/>
      <c r="BM1842" s="2126"/>
      <c r="BN1842" s="2126"/>
      <c r="BO1842" s="2126"/>
      <c r="BP1842" s="2126"/>
      <c r="BQ1842" s="2126"/>
      <c r="BR1842" s="2126"/>
      <c r="BS1842" s="2126"/>
    </row>
    <row r="1843" spans="1:71" s="3030" customFormat="1">
      <c r="A1843" s="2126"/>
      <c r="B1843" s="2126"/>
      <c r="C1843" s="2149"/>
      <c r="D1843" s="3248"/>
      <c r="E1843" s="525"/>
      <c r="F1843" s="525"/>
      <c r="G1843" s="526"/>
      <c r="K1843" s="3280"/>
      <c r="P1843" s="3041"/>
      <c r="X1843" s="3280"/>
      <c r="AA1843" s="3041"/>
      <c r="AF1843" s="3041"/>
      <c r="AN1843" s="3280"/>
      <c r="AZ1843" s="3041"/>
      <c r="BD1843" s="3281"/>
      <c r="BH1843" s="3282"/>
      <c r="BJ1843" s="2589"/>
      <c r="BK1843" s="2126"/>
      <c r="BL1843" s="2126"/>
      <c r="BM1843" s="2126"/>
      <c r="BN1843" s="2126"/>
      <c r="BO1843" s="2126"/>
      <c r="BP1843" s="2126"/>
      <c r="BQ1843" s="2126"/>
      <c r="BR1843" s="2126"/>
      <c r="BS1843" s="2126"/>
    </row>
    <row r="1844" spans="1:71" s="3030" customFormat="1">
      <c r="A1844" s="2126"/>
      <c r="B1844" s="2126"/>
      <c r="C1844" s="2149"/>
      <c r="D1844" s="3248"/>
      <c r="E1844" s="525"/>
      <c r="F1844" s="525"/>
      <c r="G1844" s="526"/>
      <c r="K1844" s="3280"/>
      <c r="P1844" s="3041"/>
      <c r="X1844" s="3280"/>
      <c r="AA1844" s="3041"/>
      <c r="AF1844" s="3041"/>
      <c r="AN1844" s="3280"/>
      <c r="AZ1844" s="3041"/>
      <c r="BD1844" s="3281"/>
      <c r="BH1844" s="3282"/>
      <c r="BJ1844" s="2589"/>
      <c r="BK1844" s="2126"/>
      <c r="BL1844" s="2126"/>
      <c r="BM1844" s="2126"/>
      <c r="BN1844" s="2126"/>
      <c r="BO1844" s="2126"/>
      <c r="BP1844" s="2126"/>
      <c r="BQ1844" s="2126"/>
      <c r="BR1844" s="2126"/>
      <c r="BS1844" s="2126"/>
    </row>
    <row r="1845" spans="1:71" s="3030" customFormat="1">
      <c r="A1845" s="2126"/>
      <c r="B1845" s="2126"/>
      <c r="C1845" s="2149"/>
      <c r="D1845" s="3248"/>
      <c r="E1845" s="525"/>
      <c r="F1845" s="525"/>
      <c r="G1845" s="526"/>
      <c r="K1845" s="3280"/>
      <c r="P1845" s="3041"/>
      <c r="X1845" s="3280"/>
      <c r="AA1845" s="3041"/>
      <c r="AF1845" s="3041"/>
      <c r="AN1845" s="3280"/>
      <c r="AZ1845" s="3041"/>
      <c r="BD1845" s="3281"/>
      <c r="BH1845" s="3282"/>
      <c r="BJ1845" s="2589"/>
      <c r="BK1845" s="2126"/>
      <c r="BL1845" s="2126"/>
      <c r="BM1845" s="2126"/>
      <c r="BN1845" s="2126"/>
      <c r="BO1845" s="2126"/>
      <c r="BP1845" s="2126"/>
      <c r="BQ1845" s="2126"/>
      <c r="BR1845" s="2126"/>
      <c r="BS1845" s="2126"/>
    </row>
    <row r="1846" spans="1:71" s="3030" customFormat="1">
      <c r="A1846" s="2126"/>
      <c r="B1846" s="2126"/>
      <c r="C1846" s="2149"/>
      <c r="D1846" s="3248"/>
      <c r="E1846" s="525"/>
      <c r="F1846" s="525"/>
      <c r="G1846" s="526"/>
      <c r="K1846" s="3280"/>
      <c r="P1846" s="3041"/>
      <c r="X1846" s="3280"/>
      <c r="AA1846" s="3041"/>
      <c r="AF1846" s="3041"/>
      <c r="AN1846" s="3280"/>
      <c r="AZ1846" s="3041"/>
      <c r="BD1846" s="3281"/>
      <c r="BH1846" s="3282"/>
      <c r="BJ1846" s="2589"/>
      <c r="BK1846" s="2126"/>
      <c r="BL1846" s="2126"/>
      <c r="BM1846" s="2126"/>
      <c r="BN1846" s="2126"/>
      <c r="BO1846" s="2126"/>
      <c r="BP1846" s="2126"/>
      <c r="BQ1846" s="2126"/>
      <c r="BR1846" s="2126"/>
      <c r="BS1846" s="2126"/>
    </row>
    <row r="1847" spans="1:71" s="3030" customFormat="1">
      <c r="A1847" s="2126"/>
      <c r="B1847" s="2126"/>
      <c r="C1847" s="2149"/>
      <c r="D1847" s="3248"/>
      <c r="E1847" s="525"/>
      <c r="F1847" s="525"/>
      <c r="G1847" s="526"/>
      <c r="K1847" s="3280"/>
      <c r="P1847" s="3041"/>
      <c r="X1847" s="3280"/>
      <c r="AA1847" s="3041"/>
      <c r="AF1847" s="3041"/>
      <c r="AN1847" s="3280"/>
      <c r="AZ1847" s="3041"/>
      <c r="BD1847" s="3281"/>
      <c r="BH1847" s="3282"/>
      <c r="BJ1847" s="2589"/>
      <c r="BK1847" s="2126"/>
      <c r="BL1847" s="2126"/>
      <c r="BM1847" s="2126"/>
      <c r="BN1847" s="2126"/>
      <c r="BO1847" s="2126"/>
      <c r="BP1847" s="2126"/>
      <c r="BQ1847" s="2126"/>
      <c r="BR1847" s="2126"/>
      <c r="BS1847" s="2126"/>
    </row>
    <row r="1848" spans="1:71" s="3030" customFormat="1">
      <c r="A1848" s="2126"/>
      <c r="B1848" s="2126"/>
      <c r="C1848" s="2149"/>
      <c r="D1848" s="3248"/>
      <c r="E1848" s="525"/>
      <c r="F1848" s="525"/>
      <c r="G1848" s="526"/>
      <c r="K1848" s="3280"/>
      <c r="P1848" s="3041"/>
      <c r="X1848" s="3280"/>
      <c r="AA1848" s="3041"/>
      <c r="AF1848" s="3041"/>
      <c r="AN1848" s="3280"/>
      <c r="AZ1848" s="3041"/>
      <c r="BD1848" s="3281"/>
      <c r="BH1848" s="3282"/>
      <c r="BJ1848" s="2589"/>
      <c r="BK1848" s="2126"/>
      <c r="BL1848" s="2126"/>
      <c r="BM1848" s="2126"/>
      <c r="BN1848" s="2126"/>
      <c r="BO1848" s="2126"/>
      <c r="BP1848" s="2126"/>
      <c r="BQ1848" s="2126"/>
      <c r="BR1848" s="2126"/>
      <c r="BS1848" s="2126"/>
    </row>
    <row r="1849" spans="1:71" s="3030" customFormat="1">
      <c r="A1849" s="2126"/>
      <c r="B1849" s="2126"/>
      <c r="C1849" s="2149"/>
      <c r="D1849" s="3248"/>
      <c r="E1849" s="525"/>
      <c r="F1849" s="525"/>
      <c r="G1849" s="526"/>
      <c r="K1849" s="3280"/>
      <c r="P1849" s="3041"/>
      <c r="X1849" s="3280"/>
      <c r="AA1849" s="3041"/>
      <c r="AF1849" s="3041"/>
      <c r="AN1849" s="3280"/>
      <c r="AZ1849" s="3041"/>
      <c r="BD1849" s="3281"/>
      <c r="BH1849" s="3282"/>
      <c r="BJ1849" s="2589"/>
      <c r="BK1849" s="2126"/>
      <c r="BL1849" s="2126"/>
      <c r="BM1849" s="2126"/>
      <c r="BN1849" s="2126"/>
      <c r="BO1849" s="2126"/>
      <c r="BP1849" s="2126"/>
      <c r="BQ1849" s="2126"/>
      <c r="BR1849" s="2126"/>
      <c r="BS1849" s="2126"/>
    </row>
    <row r="1850" spans="1:71" s="3030" customFormat="1">
      <c r="A1850" s="2126"/>
      <c r="B1850" s="2126"/>
      <c r="C1850" s="2149"/>
      <c r="D1850" s="3248"/>
      <c r="E1850" s="525"/>
      <c r="F1850" s="525"/>
      <c r="G1850" s="526"/>
      <c r="K1850" s="3280"/>
      <c r="P1850" s="3041"/>
      <c r="X1850" s="3280"/>
      <c r="AA1850" s="3041"/>
      <c r="AF1850" s="3041"/>
      <c r="AN1850" s="3280"/>
      <c r="AZ1850" s="3041"/>
      <c r="BD1850" s="3281"/>
      <c r="BH1850" s="3282"/>
      <c r="BJ1850" s="2589"/>
      <c r="BK1850" s="2126"/>
      <c r="BL1850" s="2126"/>
      <c r="BM1850" s="2126"/>
      <c r="BN1850" s="2126"/>
      <c r="BO1850" s="2126"/>
      <c r="BP1850" s="2126"/>
      <c r="BQ1850" s="2126"/>
      <c r="BR1850" s="2126"/>
      <c r="BS1850" s="2126"/>
    </row>
    <row r="1851" spans="1:71" s="3030" customFormat="1">
      <c r="A1851" s="2126"/>
      <c r="B1851" s="2126"/>
      <c r="C1851" s="2149"/>
      <c r="D1851" s="3248"/>
      <c r="E1851" s="525"/>
      <c r="F1851" s="525"/>
      <c r="G1851" s="526"/>
      <c r="K1851" s="3280"/>
      <c r="P1851" s="3041"/>
      <c r="X1851" s="3280"/>
      <c r="AA1851" s="3041"/>
      <c r="AF1851" s="3041"/>
      <c r="AN1851" s="3280"/>
      <c r="AZ1851" s="3041"/>
      <c r="BD1851" s="3281"/>
      <c r="BH1851" s="3282"/>
      <c r="BJ1851" s="2589"/>
      <c r="BK1851" s="2126"/>
      <c r="BL1851" s="2126"/>
      <c r="BM1851" s="2126"/>
      <c r="BN1851" s="2126"/>
      <c r="BO1851" s="2126"/>
      <c r="BP1851" s="2126"/>
      <c r="BQ1851" s="2126"/>
      <c r="BR1851" s="2126"/>
      <c r="BS1851" s="2126"/>
    </row>
    <row r="1852" spans="1:71" s="3030" customFormat="1">
      <c r="A1852" s="2126"/>
      <c r="B1852" s="2126"/>
      <c r="C1852" s="2149"/>
      <c r="D1852" s="3248"/>
      <c r="E1852" s="525"/>
      <c r="F1852" s="525"/>
      <c r="G1852" s="526"/>
      <c r="K1852" s="3280"/>
      <c r="P1852" s="3041"/>
      <c r="X1852" s="3280"/>
      <c r="AA1852" s="3041"/>
      <c r="AF1852" s="3041"/>
      <c r="AN1852" s="3280"/>
      <c r="AZ1852" s="3041"/>
      <c r="BD1852" s="3281"/>
      <c r="BH1852" s="3282"/>
      <c r="BJ1852" s="2589"/>
      <c r="BK1852" s="2126"/>
      <c r="BL1852" s="2126"/>
      <c r="BM1852" s="2126"/>
      <c r="BN1852" s="2126"/>
      <c r="BO1852" s="2126"/>
      <c r="BP1852" s="2126"/>
      <c r="BQ1852" s="2126"/>
      <c r="BR1852" s="2126"/>
      <c r="BS1852" s="2126"/>
    </row>
    <row r="1853" spans="1:71" s="3030" customFormat="1">
      <c r="A1853" s="2126"/>
      <c r="B1853" s="2126"/>
      <c r="C1853" s="2149"/>
      <c r="D1853" s="3248"/>
      <c r="E1853" s="525"/>
      <c r="F1853" s="525"/>
      <c r="G1853" s="526"/>
      <c r="K1853" s="3280"/>
      <c r="P1853" s="3041"/>
      <c r="X1853" s="3280"/>
      <c r="AA1853" s="3041"/>
      <c r="AF1853" s="3041"/>
      <c r="AN1853" s="3280"/>
      <c r="AZ1853" s="3041"/>
      <c r="BD1853" s="3281"/>
      <c r="BH1853" s="3282"/>
      <c r="BJ1853" s="2589"/>
      <c r="BK1853" s="2126"/>
      <c r="BL1853" s="2126"/>
      <c r="BM1853" s="2126"/>
      <c r="BN1853" s="2126"/>
      <c r="BO1853" s="2126"/>
      <c r="BP1853" s="2126"/>
      <c r="BQ1853" s="2126"/>
      <c r="BR1853" s="2126"/>
      <c r="BS1853" s="2126"/>
    </row>
    <row r="1854" spans="1:71" s="3030" customFormat="1">
      <c r="A1854" s="2126"/>
      <c r="B1854" s="2126"/>
      <c r="C1854" s="2149"/>
      <c r="D1854" s="3248"/>
      <c r="E1854" s="525"/>
      <c r="F1854" s="525"/>
      <c r="G1854" s="526"/>
      <c r="K1854" s="3280"/>
      <c r="P1854" s="3041"/>
      <c r="X1854" s="3280"/>
      <c r="AA1854" s="3041"/>
      <c r="AF1854" s="3041"/>
      <c r="AN1854" s="3280"/>
      <c r="AZ1854" s="3041"/>
      <c r="BD1854" s="3281"/>
      <c r="BH1854" s="3282"/>
      <c r="BJ1854" s="2589"/>
      <c r="BK1854" s="2126"/>
      <c r="BL1854" s="2126"/>
      <c r="BM1854" s="2126"/>
      <c r="BN1854" s="2126"/>
      <c r="BO1854" s="2126"/>
      <c r="BP1854" s="2126"/>
      <c r="BQ1854" s="2126"/>
      <c r="BR1854" s="2126"/>
      <c r="BS1854" s="2126"/>
    </row>
    <row r="1855" spans="1:71" s="3030" customFormat="1">
      <c r="A1855" s="2126"/>
      <c r="B1855" s="2126"/>
      <c r="C1855" s="2149"/>
      <c r="D1855" s="3248"/>
      <c r="E1855" s="525"/>
      <c r="F1855" s="525"/>
      <c r="G1855" s="526"/>
      <c r="K1855" s="3280"/>
      <c r="P1855" s="3041"/>
      <c r="X1855" s="3280"/>
      <c r="AA1855" s="3041"/>
      <c r="AF1855" s="3041"/>
      <c r="AN1855" s="3280"/>
      <c r="AZ1855" s="3041"/>
      <c r="BD1855" s="3281"/>
      <c r="BH1855" s="3282"/>
      <c r="BJ1855" s="2589"/>
      <c r="BK1855" s="2126"/>
      <c r="BL1855" s="2126"/>
      <c r="BM1855" s="2126"/>
      <c r="BN1855" s="2126"/>
      <c r="BO1855" s="2126"/>
      <c r="BP1855" s="2126"/>
      <c r="BQ1855" s="2126"/>
      <c r="BR1855" s="2126"/>
      <c r="BS1855" s="2126"/>
    </row>
    <row r="1856" spans="1:71" s="3030" customFormat="1">
      <c r="A1856" s="2126"/>
      <c r="B1856" s="2126"/>
      <c r="C1856" s="2149"/>
      <c r="D1856" s="3248"/>
      <c r="E1856" s="525"/>
      <c r="F1856" s="525"/>
      <c r="G1856" s="526"/>
      <c r="K1856" s="3280"/>
      <c r="P1856" s="3041"/>
      <c r="X1856" s="3280"/>
      <c r="AA1856" s="3041"/>
      <c r="AF1856" s="3041"/>
      <c r="AN1856" s="3280"/>
      <c r="AZ1856" s="3041"/>
      <c r="BD1856" s="3281"/>
      <c r="BH1856" s="3282"/>
      <c r="BJ1856" s="2589"/>
      <c r="BK1856" s="2126"/>
      <c r="BL1856" s="2126"/>
      <c r="BM1856" s="2126"/>
      <c r="BN1856" s="2126"/>
      <c r="BO1856" s="2126"/>
      <c r="BP1856" s="2126"/>
      <c r="BQ1856" s="2126"/>
      <c r="BR1856" s="2126"/>
      <c r="BS1856" s="2126"/>
    </row>
    <row r="1857" spans="1:71" s="3030" customFormat="1">
      <c r="A1857" s="2126"/>
      <c r="B1857" s="2126"/>
      <c r="C1857" s="2149"/>
      <c r="D1857" s="3248"/>
      <c r="E1857" s="525"/>
      <c r="F1857" s="525"/>
      <c r="G1857" s="526"/>
      <c r="K1857" s="3280"/>
      <c r="P1857" s="3041"/>
      <c r="X1857" s="3280"/>
      <c r="AA1857" s="3041"/>
      <c r="AF1857" s="3041"/>
      <c r="AN1857" s="3280"/>
      <c r="AZ1857" s="3041"/>
      <c r="BD1857" s="3281"/>
      <c r="BH1857" s="3282"/>
      <c r="BJ1857" s="2589"/>
      <c r="BK1857" s="2126"/>
      <c r="BL1857" s="2126"/>
      <c r="BM1857" s="2126"/>
      <c r="BN1857" s="2126"/>
      <c r="BO1857" s="2126"/>
      <c r="BP1857" s="2126"/>
      <c r="BQ1857" s="2126"/>
      <c r="BR1857" s="2126"/>
      <c r="BS1857" s="2126"/>
    </row>
    <row r="1858" spans="1:71" s="3030" customFormat="1">
      <c r="A1858" s="2126"/>
      <c r="B1858" s="2126"/>
      <c r="C1858" s="2149"/>
      <c r="D1858" s="3248"/>
      <c r="E1858" s="525"/>
      <c r="F1858" s="525"/>
      <c r="G1858" s="526"/>
      <c r="K1858" s="3280"/>
      <c r="P1858" s="3041"/>
      <c r="X1858" s="3280"/>
      <c r="AA1858" s="3041"/>
      <c r="AF1858" s="3041"/>
      <c r="AN1858" s="3280"/>
      <c r="AZ1858" s="3041"/>
      <c r="BD1858" s="3281"/>
      <c r="BH1858" s="3282"/>
      <c r="BJ1858" s="2589"/>
      <c r="BK1858" s="2126"/>
      <c r="BL1858" s="2126"/>
      <c r="BM1858" s="2126"/>
      <c r="BN1858" s="2126"/>
      <c r="BO1858" s="2126"/>
      <c r="BP1858" s="2126"/>
      <c r="BQ1858" s="2126"/>
      <c r="BR1858" s="2126"/>
      <c r="BS1858" s="2126"/>
    </row>
    <row r="1859" spans="1:71" s="3030" customFormat="1">
      <c r="A1859" s="2126"/>
      <c r="B1859" s="2126"/>
      <c r="C1859" s="2149"/>
      <c r="D1859" s="3248"/>
      <c r="E1859" s="525"/>
      <c r="F1859" s="525"/>
      <c r="G1859" s="526"/>
      <c r="K1859" s="3280"/>
      <c r="P1859" s="3041"/>
      <c r="X1859" s="3280"/>
      <c r="AA1859" s="3041"/>
      <c r="AF1859" s="3041"/>
      <c r="AN1859" s="3280"/>
      <c r="AZ1859" s="3041"/>
      <c r="BD1859" s="3281"/>
      <c r="BH1859" s="3282"/>
      <c r="BJ1859" s="2589"/>
      <c r="BK1859" s="2126"/>
      <c r="BL1859" s="2126"/>
      <c r="BM1859" s="2126"/>
      <c r="BN1859" s="2126"/>
      <c r="BO1859" s="2126"/>
      <c r="BP1859" s="2126"/>
      <c r="BQ1859" s="2126"/>
      <c r="BR1859" s="2126"/>
      <c r="BS1859" s="2126"/>
    </row>
    <row r="1860" spans="1:71" s="3030" customFormat="1">
      <c r="A1860" s="2126"/>
      <c r="B1860" s="2126"/>
      <c r="C1860" s="2149"/>
      <c r="D1860" s="3248"/>
      <c r="E1860" s="525"/>
      <c r="F1860" s="525"/>
      <c r="G1860" s="526"/>
      <c r="K1860" s="3280"/>
      <c r="P1860" s="3041"/>
      <c r="X1860" s="3280"/>
      <c r="AA1860" s="3041"/>
      <c r="AF1860" s="3041"/>
      <c r="AN1860" s="3280"/>
      <c r="AZ1860" s="3041"/>
      <c r="BD1860" s="3281"/>
      <c r="BH1860" s="3282"/>
      <c r="BJ1860" s="2589"/>
      <c r="BK1860" s="2126"/>
      <c r="BL1860" s="2126"/>
      <c r="BM1860" s="2126"/>
      <c r="BN1860" s="2126"/>
      <c r="BO1860" s="2126"/>
      <c r="BP1860" s="2126"/>
      <c r="BQ1860" s="2126"/>
      <c r="BR1860" s="2126"/>
      <c r="BS1860" s="2126"/>
    </row>
    <row r="1861" spans="1:71" s="3030" customFormat="1">
      <c r="A1861" s="2126"/>
      <c r="B1861" s="2126"/>
      <c r="C1861" s="2149"/>
      <c r="D1861" s="3248"/>
      <c r="E1861" s="525"/>
      <c r="F1861" s="525"/>
      <c r="G1861" s="526"/>
      <c r="K1861" s="3280"/>
      <c r="P1861" s="3041"/>
      <c r="X1861" s="3280"/>
      <c r="AA1861" s="3041"/>
      <c r="AF1861" s="3041"/>
      <c r="AN1861" s="3280"/>
      <c r="AZ1861" s="3041"/>
      <c r="BD1861" s="3281"/>
      <c r="BH1861" s="3282"/>
      <c r="BJ1861" s="2589"/>
      <c r="BK1861" s="2126"/>
      <c r="BL1861" s="2126"/>
      <c r="BM1861" s="2126"/>
      <c r="BN1861" s="2126"/>
      <c r="BO1861" s="2126"/>
      <c r="BP1861" s="2126"/>
      <c r="BQ1861" s="2126"/>
      <c r="BR1861" s="2126"/>
      <c r="BS1861" s="2126"/>
    </row>
    <row r="1862" spans="1:71" s="3030" customFormat="1">
      <c r="A1862" s="2126"/>
      <c r="B1862" s="2126"/>
      <c r="C1862" s="2149"/>
      <c r="D1862" s="3248"/>
      <c r="E1862" s="525"/>
      <c r="F1862" s="525"/>
      <c r="G1862" s="526"/>
      <c r="K1862" s="3280"/>
      <c r="P1862" s="3041"/>
      <c r="X1862" s="3280"/>
      <c r="AA1862" s="3041"/>
      <c r="AF1862" s="3041"/>
      <c r="AN1862" s="3280"/>
      <c r="AZ1862" s="3041"/>
      <c r="BD1862" s="3281"/>
      <c r="BH1862" s="3282"/>
      <c r="BJ1862" s="2589"/>
      <c r="BK1862" s="2126"/>
      <c r="BL1862" s="2126"/>
      <c r="BM1862" s="2126"/>
      <c r="BN1862" s="2126"/>
      <c r="BO1862" s="2126"/>
      <c r="BP1862" s="2126"/>
      <c r="BQ1862" s="2126"/>
      <c r="BR1862" s="2126"/>
      <c r="BS1862" s="2126"/>
    </row>
    <row r="1863" spans="1:71" s="3030" customFormat="1">
      <c r="A1863" s="2126"/>
      <c r="B1863" s="2126"/>
      <c r="C1863" s="2149"/>
      <c r="D1863" s="3248"/>
      <c r="E1863" s="525"/>
      <c r="F1863" s="525"/>
      <c r="G1863" s="526"/>
      <c r="K1863" s="3280"/>
      <c r="P1863" s="3041"/>
      <c r="X1863" s="3280"/>
      <c r="AA1863" s="3041"/>
      <c r="AF1863" s="3041"/>
      <c r="AN1863" s="3280"/>
      <c r="AZ1863" s="3041"/>
      <c r="BD1863" s="3281"/>
      <c r="BH1863" s="3282"/>
      <c r="BJ1863" s="2589"/>
      <c r="BK1863" s="2126"/>
      <c r="BL1863" s="2126"/>
      <c r="BM1863" s="2126"/>
      <c r="BN1863" s="2126"/>
      <c r="BO1863" s="2126"/>
      <c r="BP1863" s="2126"/>
      <c r="BQ1863" s="2126"/>
      <c r="BR1863" s="2126"/>
      <c r="BS1863" s="2126"/>
    </row>
    <row r="1864" spans="1:71" s="3030" customFormat="1">
      <c r="A1864" s="2126"/>
      <c r="B1864" s="2126"/>
      <c r="C1864" s="2149"/>
      <c r="D1864" s="3248"/>
      <c r="E1864" s="525"/>
      <c r="F1864" s="525"/>
      <c r="G1864" s="526"/>
      <c r="K1864" s="3280"/>
      <c r="P1864" s="3041"/>
      <c r="X1864" s="3280"/>
      <c r="AA1864" s="3041"/>
      <c r="AF1864" s="3041"/>
      <c r="AN1864" s="3280"/>
      <c r="AZ1864" s="3041"/>
      <c r="BD1864" s="3281"/>
      <c r="BH1864" s="3282"/>
      <c r="BJ1864" s="2589"/>
      <c r="BK1864" s="2126"/>
      <c r="BL1864" s="2126"/>
      <c r="BM1864" s="2126"/>
      <c r="BN1864" s="2126"/>
      <c r="BO1864" s="2126"/>
      <c r="BP1864" s="2126"/>
      <c r="BQ1864" s="2126"/>
      <c r="BR1864" s="2126"/>
      <c r="BS1864" s="2126"/>
    </row>
    <row r="1865" spans="1:71" s="3030" customFormat="1">
      <c r="A1865" s="2126"/>
      <c r="B1865" s="2126"/>
      <c r="C1865" s="2149"/>
      <c r="D1865" s="3248"/>
      <c r="E1865" s="525"/>
      <c r="F1865" s="525"/>
      <c r="G1865" s="526"/>
      <c r="K1865" s="3280"/>
      <c r="P1865" s="3041"/>
      <c r="X1865" s="3280"/>
      <c r="AA1865" s="3041"/>
      <c r="AF1865" s="3041"/>
      <c r="AN1865" s="3280"/>
      <c r="AZ1865" s="3041"/>
      <c r="BD1865" s="3281"/>
      <c r="BH1865" s="3282"/>
      <c r="BJ1865" s="2589"/>
      <c r="BK1865" s="2126"/>
      <c r="BL1865" s="2126"/>
      <c r="BM1865" s="2126"/>
      <c r="BN1865" s="2126"/>
      <c r="BO1865" s="2126"/>
      <c r="BP1865" s="2126"/>
      <c r="BQ1865" s="2126"/>
      <c r="BR1865" s="2126"/>
      <c r="BS1865" s="2126"/>
    </row>
    <row r="1866" spans="1:71" s="3030" customFormat="1">
      <c r="A1866" s="2126"/>
      <c r="B1866" s="2126"/>
      <c r="C1866" s="2149"/>
      <c r="D1866" s="3248"/>
      <c r="E1866" s="525"/>
      <c r="F1866" s="525"/>
      <c r="G1866" s="526"/>
      <c r="K1866" s="3280"/>
      <c r="P1866" s="3041"/>
      <c r="X1866" s="3280"/>
      <c r="AA1866" s="3041"/>
      <c r="AF1866" s="3041"/>
      <c r="AN1866" s="3280"/>
      <c r="AZ1866" s="3041"/>
      <c r="BD1866" s="3281"/>
      <c r="BH1866" s="3282"/>
      <c r="BJ1866" s="2589"/>
      <c r="BK1866" s="2126"/>
      <c r="BL1866" s="2126"/>
      <c r="BM1866" s="2126"/>
      <c r="BN1866" s="2126"/>
      <c r="BO1866" s="2126"/>
      <c r="BP1866" s="2126"/>
      <c r="BQ1866" s="2126"/>
      <c r="BR1866" s="2126"/>
      <c r="BS1866" s="2126"/>
    </row>
    <row r="1867" spans="1:71" s="3030" customFormat="1">
      <c r="A1867" s="2126"/>
      <c r="B1867" s="2126"/>
      <c r="C1867" s="2149"/>
      <c r="D1867" s="3248"/>
      <c r="E1867" s="525"/>
      <c r="F1867" s="525"/>
      <c r="G1867" s="526"/>
      <c r="K1867" s="3280"/>
      <c r="P1867" s="3041"/>
      <c r="X1867" s="3280"/>
      <c r="AA1867" s="3041"/>
      <c r="AF1867" s="3041"/>
      <c r="AN1867" s="3280"/>
      <c r="AZ1867" s="3041"/>
      <c r="BD1867" s="3281"/>
      <c r="BH1867" s="3282"/>
      <c r="BJ1867" s="2589"/>
      <c r="BK1867" s="2126"/>
      <c r="BL1867" s="2126"/>
      <c r="BM1867" s="2126"/>
      <c r="BN1867" s="2126"/>
      <c r="BO1867" s="2126"/>
      <c r="BP1867" s="2126"/>
      <c r="BQ1867" s="2126"/>
      <c r="BR1867" s="2126"/>
      <c r="BS1867" s="2126"/>
    </row>
    <row r="1868" spans="1:71" s="3030" customFormat="1">
      <c r="A1868" s="2126"/>
      <c r="B1868" s="2126"/>
      <c r="C1868" s="2149"/>
      <c r="D1868" s="3248"/>
      <c r="E1868" s="525"/>
      <c r="F1868" s="525"/>
      <c r="G1868" s="526"/>
      <c r="K1868" s="3280"/>
      <c r="P1868" s="3041"/>
      <c r="X1868" s="3280"/>
      <c r="AA1868" s="3041"/>
      <c r="AF1868" s="3041"/>
      <c r="AN1868" s="3280"/>
      <c r="AZ1868" s="3041"/>
      <c r="BD1868" s="3281"/>
      <c r="BH1868" s="3282"/>
      <c r="BJ1868" s="2589"/>
      <c r="BK1868" s="2126"/>
      <c r="BL1868" s="2126"/>
      <c r="BM1868" s="2126"/>
      <c r="BN1868" s="2126"/>
      <c r="BO1868" s="2126"/>
      <c r="BP1868" s="2126"/>
      <c r="BQ1868" s="2126"/>
      <c r="BR1868" s="2126"/>
      <c r="BS1868" s="2126"/>
    </row>
    <row r="1869" spans="1:71" s="3030" customFormat="1">
      <c r="A1869" s="2126"/>
      <c r="B1869" s="2126"/>
      <c r="C1869" s="2149"/>
      <c r="D1869" s="3248"/>
      <c r="E1869" s="525"/>
      <c r="F1869" s="525"/>
      <c r="G1869" s="526"/>
      <c r="K1869" s="3280"/>
      <c r="P1869" s="3041"/>
      <c r="X1869" s="3280"/>
      <c r="AA1869" s="3041"/>
      <c r="AF1869" s="3041"/>
      <c r="AN1869" s="3280"/>
      <c r="AZ1869" s="3041"/>
      <c r="BD1869" s="3281"/>
      <c r="BH1869" s="3282"/>
      <c r="BJ1869" s="2589"/>
      <c r="BK1869" s="2126"/>
      <c r="BL1869" s="2126"/>
      <c r="BM1869" s="2126"/>
      <c r="BN1869" s="2126"/>
      <c r="BO1869" s="2126"/>
      <c r="BP1869" s="2126"/>
      <c r="BQ1869" s="2126"/>
      <c r="BR1869" s="2126"/>
      <c r="BS1869" s="2126"/>
    </row>
    <row r="1870" spans="1:71" s="3030" customFormat="1">
      <c r="A1870" s="2126"/>
      <c r="B1870" s="2126"/>
      <c r="C1870" s="2149"/>
      <c r="D1870" s="3248"/>
      <c r="E1870" s="525"/>
      <c r="F1870" s="525"/>
      <c r="G1870" s="526"/>
      <c r="K1870" s="3280"/>
      <c r="P1870" s="3041"/>
      <c r="X1870" s="3280"/>
      <c r="AA1870" s="3041"/>
      <c r="AF1870" s="3041"/>
      <c r="AN1870" s="3280"/>
      <c r="AZ1870" s="3041"/>
      <c r="BD1870" s="3281"/>
      <c r="BH1870" s="3282"/>
      <c r="BJ1870" s="2589"/>
      <c r="BK1870" s="2126"/>
      <c r="BL1870" s="2126"/>
      <c r="BM1870" s="2126"/>
      <c r="BN1870" s="2126"/>
      <c r="BO1870" s="2126"/>
      <c r="BP1870" s="2126"/>
      <c r="BQ1870" s="2126"/>
      <c r="BR1870" s="2126"/>
      <c r="BS1870" s="2126"/>
    </row>
    <row r="1871" spans="1:71" s="3030" customFormat="1">
      <c r="A1871" s="2126"/>
      <c r="B1871" s="2126"/>
      <c r="C1871" s="2149"/>
      <c r="D1871" s="3248"/>
      <c r="E1871" s="525"/>
      <c r="F1871" s="525"/>
      <c r="G1871" s="526"/>
      <c r="K1871" s="3280"/>
      <c r="P1871" s="3041"/>
      <c r="X1871" s="3280"/>
      <c r="AA1871" s="3041"/>
      <c r="AF1871" s="3041"/>
      <c r="AN1871" s="3280"/>
      <c r="AZ1871" s="3041"/>
      <c r="BD1871" s="3281"/>
      <c r="BH1871" s="3282"/>
      <c r="BJ1871" s="2589"/>
      <c r="BK1871" s="2126"/>
      <c r="BL1871" s="2126"/>
      <c r="BM1871" s="2126"/>
      <c r="BN1871" s="2126"/>
      <c r="BO1871" s="2126"/>
      <c r="BP1871" s="2126"/>
      <c r="BQ1871" s="2126"/>
      <c r="BR1871" s="2126"/>
      <c r="BS1871" s="2126"/>
    </row>
    <row r="1872" spans="1:71" s="3030" customFormat="1">
      <c r="A1872" s="2126"/>
      <c r="B1872" s="2126"/>
      <c r="C1872" s="2149"/>
      <c r="D1872" s="3248"/>
      <c r="E1872" s="525"/>
      <c r="F1872" s="525"/>
      <c r="G1872" s="526"/>
      <c r="K1872" s="3280"/>
      <c r="P1872" s="3041"/>
      <c r="X1872" s="3280"/>
      <c r="AA1872" s="3041"/>
      <c r="AF1872" s="3041"/>
      <c r="AN1872" s="3280"/>
      <c r="AZ1872" s="3041"/>
      <c r="BD1872" s="3281"/>
      <c r="BH1872" s="3282"/>
      <c r="BJ1872" s="2589"/>
      <c r="BK1872" s="2126"/>
      <c r="BL1872" s="2126"/>
      <c r="BM1872" s="2126"/>
      <c r="BN1872" s="2126"/>
      <c r="BO1872" s="2126"/>
      <c r="BP1872" s="2126"/>
      <c r="BQ1872" s="2126"/>
      <c r="BR1872" s="2126"/>
      <c r="BS1872" s="2126"/>
    </row>
    <row r="1873" spans="1:71" s="3030" customFormat="1">
      <c r="A1873" s="2126"/>
      <c r="B1873" s="2126"/>
      <c r="C1873" s="2149"/>
      <c r="D1873" s="3248"/>
      <c r="E1873" s="525"/>
      <c r="F1873" s="525"/>
      <c r="G1873" s="526"/>
      <c r="K1873" s="3280"/>
      <c r="P1873" s="3041"/>
      <c r="X1873" s="3280"/>
      <c r="AA1873" s="3041"/>
      <c r="AF1873" s="3041"/>
      <c r="AN1873" s="3280"/>
      <c r="AZ1873" s="3041"/>
      <c r="BD1873" s="3281"/>
      <c r="BH1873" s="3282"/>
      <c r="BJ1873" s="2589"/>
      <c r="BK1873" s="2126"/>
      <c r="BL1873" s="2126"/>
      <c r="BM1873" s="2126"/>
      <c r="BN1873" s="2126"/>
      <c r="BO1873" s="2126"/>
      <c r="BP1873" s="2126"/>
      <c r="BQ1873" s="2126"/>
      <c r="BR1873" s="2126"/>
      <c r="BS1873" s="2126"/>
    </row>
    <row r="1874" spans="1:71" s="3030" customFormat="1">
      <c r="A1874" s="2126"/>
      <c r="B1874" s="2126"/>
      <c r="C1874" s="2149"/>
      <c r="D1874" s="3248"/>
      <c r="E1874" s="525"/>
      <c r="F1874" s="525"/>
      <c r="G1874" s="526"/>
      <c r="K1874" s="3280"/>
      <c r="P1874" s="3041"/>
      <c r="X1874" s="3280"/>
      <c r="AA1874" s="3041"/>
      <c r="AF1874" s="3041"/>
      <c r="AN1874" s="3280"/>
      <c r="AZ1874" s="3041"/>
      <c r="BD1874" s="3281"/>
      <c r="BH1874" s="3282"/>
      <c r="BJ1874" s="2589"/>
      <c r="BK1874" s="2126"/>
      <c r="BL1874" s="2126"/>
      <c r="BM1874" s="2126"/>
      <c r="BN1874" s="2126"/>
      <c r="BO1874" s="2126"/>
      <c r="BP1874" s="2126"/>
      <c r="BQ1874" s="2126"/>
      <c r="BR1874" s="2126"/>
      <c r="BS1874" s="2126"/>
    </row>
    <row r="1875" spans="1:71" s="3030" customFormat="1">
      <c r="A1875" s="2126"/>
      <c r="B1875" s="2126"/>
      <c r="C1875" s="2149"/>
      <c r="D1875" s="3248"/>
      <c r="E1875" s="525"/>
      <c r="F1875" s="525"/>
      <c r="G1875" s="526"/>
      <c r="K1875" s="3280"/>
      <c r="P1875" s="3041"/>
      <c r="X1875" s="3280"/>
      <c r="AA1875" s="3041"/>
      <c r="AF1875" s="3041"/>
      <c r="AN1875" s="3280"/>
      <c r="AZ1875" s="3041"/>
      <c r="BD1875" s="3281"/>
      <c r="BH1875" s="3282"/>
      <c r="BJ1875" s="2589"/>
      <c r="BK1875" s="2126"/>
      <c r="BL1875" s="2126"/>
      <c r="BM1875" s="2126"/>
      <c r="BN1875" s="2126"/>
      <c r="BO1875" s="2126"/>
      <c r="BP1875" s="2126"/>
      <c r="BQ1875" s="2126"/>
      <c r="BR1875" s="2126"/>
      <c r="BS1875" s="2126"/>
    </row>
    <row r="1876" spans="1:71" s="3030" customFormat="1">
      <c r="A1876" s="2126"/>
      <c r="B1876" s="2126"/>
      <c r="C1876" s="2149"/>
      <c r="D1876" s="3248"/>
      <c r="E1876" s="525"/>
      <c r="F1876" s="525"/>
      <c r="G1876" s="526"/>
      <c r="K1876" s="3280"/>
      <c r="P1876" s="3041"/>
      <c r="X1876" s="3280"/>
      <c r="AA1876" s="3041"/>
      <c r="AF1876" s="3041"/>
      <c r="AN1876" s="3280"/>
      <c r="AZ1876" s="3041"/>
      <c r="BD1876" s="3281"/>
      <c r="BH1876" s="3282"/>
      <c r="BJ1876" s="2589"/>
      <c r="BK1876" s="2126"/>
      <c r="BL1876" s="2126"/>
      <c r="BM1876" s="2126"/>
      <c r="BN1876" s="2126"/>
      <c r="BO1876" s="2126"/>
      <c r="BP1876" s="2126"/>
      <c r="BQ1876" s="2126"/>
      <c r="BR1876" s="2126"/>
      <c r="BS1876" s="2126"/>
    </row>
    <row r="1877" spans="1:71" s="3030" customFormat="1">
      <c r="A1877" s="2126"/>
      <c r="B1877" s="2126"/>
      <c r="C1877" s="2149"/>
      <c r="D1877" s="3248"/>
      <c r="E1877" s="525"/>
      <c r="F1877" s="525"/>
      <c r="G1877" s="526"/>
      <c r="K1877" s="3280"/>
      <c r="P1877" s="3041"/>
      <c r="X1877" s="3280"/>
      <c r="AA1877" s="3041"/>
      <c r="AF1877" s="3041"/>
      <c r="AN1877" s="3280"/>
      <c r="AZ1877" s="3041"/>
      <c r="BD1877" s="3281"/>
      <c r="BH1877" s="3282"/>
      <c r="BJ1877" s="2589"/>
      <c r="BK1877" s="2126"/>
      <c r="BL1877" s="2126"/>
      <c r="BM1877" s="2126"/>
      <c r="BN1877" s="2126"/>
      <c r="BO1877" s="2126"/>
      <c r="BP1877" s="2126"/>
      <c r="BQ1877" s="2126"/>
      <c r="BR1877" s="2126"/>
      <c r="BS1877" s="2126"/>
    </row>
    <row r="1878" spans="1:71" s="3030" customFormat="1">
      <c r="A1878" s="2126"/>
      <c r="B1878" s="2126"/>
      <c r="C1878" s="2149"/>
      <c r="D1878" s="3248"/>
      <c r="E1878" s="525"/>
      <c r="F1878" s="525"/>
      <c r="G1878" s="526"/>
      <c r="K1878" s="3280"/>
      <c r="P1878" s="3041"/>
      <c r="X1878" s="3280"/>
      <c r="AA1878" s="3041"/>
      <c r="AF1878" s="3041"/>
      <c r="AN1878" s="3280"/>
      <c r="AZ1878" s="3041"/>
      <c r="BD1878" s="3281"/>
      <c r="BH1878" s="3282"/>
      <c r="BJ1878" s="2589"/>
      <c r="BK1878" s="2126"/>
      <c r="BL1878" s="2126"/>
      <c r="BM1878" s="2126"/>
      <c r="BN1878" s="2126"/>
      <c r="BO1878" s="2126"/>
      <c r="BP1878" s="2126"/>
      <c r="BQ1878" s="2126"/>
      <c r="BR1878" s="2126"/>
      <c r="BS1878" s="2126"/>
    </row>
    <row r="1879" spans="1:71" s="3030" customFormat="1">
      <c r="A1879" s="2126"/>
      <c r="B1879" s="2126"/>
      <c r="C1879" s="2149"/>
      <c r="D1879" s="3248"/>
      <c r="E1879" s="525"/>
      <c r="F1879" s="525"/>
      <c r="G1879" s="526"/>
      <c r="K1879" s="3280"/>
      <c r="P1879" s="3041"/>
      <c r="X1879" s="3280"/>
      <c r="AA1879" s="3041"/>
      <c r="AF1879" s="3041"/>
      <c r="AN1879" s="3280"/>
      <c r="AZ1879" s="3041"/>
      <c r="BD1879" s="3281"/>
      <c r="BH1879" s="3282"/>
      <c r="BJ1879" s="2589"/>
      <c r="BK1879" s="2126"/>
      <c r="BL1879" s="2126"/>
      <c r="BM1879" s="2126"/>
      <c r="BN1879" s="2126"/>
      <c r="BO1879" s="2126"/>
      <c r="BP1879" s="2126"/>
      <c r="BQ1879" s="2126"/>
      <c r="BR1879" s="2126"/>
      <c r="BS1879" s="2126"/>
    </row>
    <row r="1880" spans="1:71" s="3030" customFormat="1">
      <c r="A1880" s="2126"/>
      <c r="B1880" s="2126"/>
      <c r="C1880" s="2149"/>
      <c r="D1880" s="3248"/>
      <c r="E1880" s="525"/>
      <c r="F1880" s="525"/>
      <c r="G1880" s="526"/>
      <c r="K1880" s="3280"/>
      <c r="P1880" s="3041"/>
      <c r="X1880" s="3280"/>
      <c r="AA1880" s="3041"/>
      <c r="AF1880" s="3041"/>
      <c r="AN1880" s="3280"/>
      <c r="AZ1880" s="3041"/>
      <c r="BD1880" s="3281"/>
      <c r="BH1880" s="3282"/>
      <c r="BJ1880" s="2589"/>
      <c r="BK1880" s="2126"/>
      <c r="BL1880" s="2126"/>
      <c r="BM1880" s="2126"/>
      <c r="BN1880" s="2126"/>
      <c r="BO1880" s="2126"/>
      <c r="BP1880" s="2126"/>
      <c r="BQ1880" s="2126"/>
      <c r="BR1880" s="2126"/>
      <c r="BS1880" s="2126"/>
    </row>
    <row r="1881" spans="1:71" s="3030" customFormat="1">
      <c r="A1881" s="2126"/>
      <c r="B1881" s="2126"/>
      <c r="C1881" s="2149"/>
      <c r="D1881" s="3248"/>
      <c r="E1881" s="525"/>
      <c r="F1881" s="525"/>
      <c r="G1881" s="526"/>
      <c r="K1881" s="3280"/>
      <c r="P1881" s="3041"/>
      <c r="X1881" s="3280"/>
      <c r="AA1881" s="3041"/>
      <c r="AF1881" s="3041"/>
      <c r="AN1881" s="3280"/>
      <c r="AZ1881" s="3041"/>
      <c r="BD1881" s="3281"/>
      <c r="BH1881" s="3282"/>
      <c r="BJ1881" s="2589"/>
      <c r="BK1881" s="2126"/>
      <c r="BL1881" s="2126"/>
      <c r="BM1881" s="2126"/>
      <c r="BN1881" s="2126"/>
      <c r="BO1881" s="2126"/>
      <c r="BP1881" s="2126"/>
      <c r="BQ1881" s="2126"/>
      <c r="BR1881" s="2126"/>
      <c r="BS1881" s="2126"/>
    </row>
    <row r="1882" spans="1:71" s="3030" customFormat="1">
      <c r="A1882" s="2126"/>
      <c r="B1882" s="2126"/>
      <c r="C1882" s="2149"/>
      <c r="D1882" s="3248"/>
      <c r="E1882" s="525"/>
      <c r="F1882" s="525"/>
      <c r="G1882" s="526"/>
      <c r="K1882" s="3280"/>
      <c r="P1882" s="3041"/>
      <c r="X1882" s="3280"/>
      <c r="AA1882" s="3041"/>
      <c r="AF1882" s="3041"/>
      <c r="AN1882" s="3280"/>
      <c r="AZ1882" s="3041"/>
      <c r="BD1882" s="3281"/>
      <c r="BH1882" s="3282"/>
      <c r="BJ1882" s="2589"/>
      <c r="BK1882" s="2126"/>
      <c r="BL1882" s="2126"/>
      <c r="BM1882" s="2126"/>
      <c r="BN1882" s="2126"/>
      <c r="BO1882" s="2126"/>
      <c r="BP1882" s="2126"/>
      <c r="BQ1882" s="2126"/>
      <c r="BR1882" s="2126"/>
      <c r="BS1882" s="2126"/>
    </row>
    <row r="1883" spans="1:71" s="3030" customFormat="1">
      <c r="A1883" s="2126"/>
      <c r="B1883" s="2126"/>
      <c r="C1883" s="2149"/>
      <c r="D1883" s="3248"/>
      <c r="E1883" s="525"/>
      <c r="F1883" s="525"/>
      <c r="G1883" s="526"/>
      <c r="K1883" s="3280"/>
      <c r="P1883" s="3041"/>
      <c r="X1883" s="3280"/>
      <c r="AA1883" s="3041"/>
      <c r="AF1883" s="3041"/>
      <c r="AN1883" s="3280"/>
      <c r="AZ1883" s="3041"/>
      <c r="BD1883" s="3281"/>
      <c r="BH1883" s="3282"/>
      <c r="BJ1883" s="2589"/>
      <c r="BK1883" s="2126"/>
      <c r="BL1883" s="2126"/>
      <c r="BM1883" s="2126"/>
      <c r="BN1883" s="2126"/>
      <c r="BO1883" s="2126"/>
      <c r="BP1883" s="2126"/>
      <c r="BQ1883" s="2126"/>
      <c r="BR1883" s="2126"/>
      <c r="BS1883" s="2126"/>
    </row>
    <row r="1884" spans="1:71" s="3030" customFormat="1">
      <c r="A1884" s="2126"/>
      <c r="B1884" s="2126"/>
      <c r="C1884" s="2149"/>
      <c r="D1884" s="3248"/>
      <c r="E1884" s="525"/>
      <c r="F1884" s="525"/>
      <c r="G1884" s="526"/>
      <c r="K1884" s="3280"/>
      <c r="P1884" s="3041"/>
      <c r="X1884" s="3280"/>
      <c r="AA1884" s="3041"/>
      <c r="AF1884" s="3041"/>
      <c r="AN1884" s="3280"/>
      <c r="AZ1884" s="3041"/>
      <c r="BD1884" s="3281"/>
      <c r="BH1884" s="3282"/>
      <c r="BJ1884" s="2589"/>
      <c r="BK1884" s="2126"/>
      <c r="BL1884" s="2126"/>
      <c r="BM1884" s="2126"/>
      <c r="BN1884" s="2126"/>
      <c r="BO1884" s="2126"/>
      <c r="BP1884" s="2126"/>
      <c r="BQ1884" s="2126"/>
      <c r="BR1884" s="2126"/>
      <c r="BS1884" s="2126"/>
    </row>
    <row r="1885" spans="1:71" s="3030" customFormat="1">
      <c r="A1885" s="2126"/>
      <c r="B1885" s="2126"/>
      <c r="C1885" s="2149"/>
      <c r="D1885" s="3248"/>
      <c r="E1885" s="525"/>
      <c r="F1885" s="525"/>
      <c r="G1885" s="526"/>
      <c r="K1885" s="3280"/>
      <c r="P1885" s="3041"/>
      <c r="X1885" s="3280"/>
      <c r="AA1885" s="3041"/>
      <c r="AF1885" s="3041"/>
      <c r="AN1885" s="3280"/>
      <c r="AZ1885" s="3041"/>
      <c r="BD1885" s="3281"/>
      <c r="BH1885" s="3282"/>
      <c r="BJ1885" s="2589"/>
      <c r="BK1885" s="2126"/>
      <c r="BL1885" s="2126"/>
      <c r="BM1885" s="2126"/>
      <c r="BN1885" s="2126"/>
      <c r="BO1885" s="2126"/>
      <c r="BP1885" s="2126"/>
      <c r="BQ1885" s="2126"/>
      <c r="BR1885" s="2126"/>
      <c r="BS1885" s="2126"/>
    </row>
    <row r="1886" spans="1:71" s="3030" customFormat="1">
      <c r="A1886" s="2126"/>
      <c r="B1886" s="2126"/>
      <c r="C1886" s="2149"/>
      <c r="D1886" s="3248"/>
      <c r="E1886" s="525"/>
      <c r="F1886" s="525"/>
      <c r="G1886" s="526"/>
      <c r="K1886" s="3280"/>
      <c r="P1886" s="3041"/>
      <c r="X1886" s="3280"/>
      <c r="AA1886" s="3041"/>
      <c r="AF1886" s="3041"/>
      <c r="AN1886" s="3280"/>
      <c r="AZ1886" s="3041"/>
      <c r="BD1886" s="3281"/>
      <c r="BH1886" s="3282"/>
      <c r="BJ1886" s="2589"/>
      <c r="BK1886" s="2126"/>
      <c r="BL1886" s="2126"/>
      <c r="BM1886" s="2126"/>
      <c r="BN1886" s="2126"/>
      <c r="BO1886" s="2126"/>
      <c r="BP1886" s="2126"/>
      <c r="BQ1886" s="2126"/>
      <c r="BR1886" s="2126"/>
      <c r="BS1886" s="2126"/>
    </row>
    <row r="1887" spans="1:71" s="3030" customFormat="1">
      <c r="A1887" s="2126"/>
      <c r="B1887" s="2126"/>
      <c r="C1887" s="2149"/>
      <c r="D1887" s="3248"/>
      <c r="E1887" s="525"/>
      <c r="F1887" s="525"/>
      <c r="G1887" s="526"/>
      <c r="K1887" s="3280"/>
      <c r="P1887" s="3041"/>
      <c r="X1887" s="3280"/>
      <c r="AA1887" s="3041"/>
      <c r="AF1887" s="3041"/>
      <c r="AN1887" s="3280"/>
      <c r="AZ1887" s="3041"/>
      <c r="BD1887" s="3281"/>
      <c r="BH1887" s="3282"/>
      <c r="BJ1887" s="2589"/>
      <c r="BK1887" s="2126"/>
      <c r="BL1887" s="2126"/>
      <c r="BM1887" s="2126"/>
      <c r="BN1887" s="2126"/>
      <c r="BO1887" s="2126"/>
      <c r="BP1887" s="2126"/>
      <c r="BQ1887" s="2126"/>
      <c r="BR1887" s="2126"/>
      <c r="BS1887" s="2126"/>
    </row>
    <row r="1888" spans="1:71" s="3030" customFormat="1">
      <c r="A1888" s="2126"/>
      <c r="B1888" s="2126"/>
      <c r="C1888" s="2149"/>
      <c r="D1888" s="3248"/>
      <c r="E1888" s="525"/>
      <c r="F1888" s="525"/>
      <c r="G1888" s="526"/>
      <c r="K1888" s="3280"/>
      <c r="P1888" s="3041"/>
      <c r="X1888" s="3280"/>
      <c r="AA1888" s="3041"/>
      <c r="AF1888" s="3041"/>
      <c r="AN1888" s="3280"/>
      <c r="AZ1888" s="3041"/>
      <c r="BD1888" s="3281"/>
      <c r="BH1888" s="3282"/>
      <c r="BJ1888" s="2589"/>
      <c r="BK1888" s="2126"/>
      <c r="BL1888" s="2126"/>
      <c r="BM1888" s="2126"/>
      <c r="BN1888" s="2126"/>
      <c r="BO1888" s="2126"/>
      <c r="BP1888" s="2126"/>
      <c r="BQ1888" s="2126"/>
      <c r="BR1888" s="2126"/>
      <c r="BS1888" s="2126"/>
    </row>
    <row r="1889" spans="1:71" s="3030" customFormat="1">
      <c r="A1889" s="2126"/>
      <c r="B1889" s="2126"/>
      <c r="C1889" s="2149"/>
      <c r="D1889" s="3248"/>
      <c r="E1889" s="525"/>
      <c r="F1889" s="525"/>
      <c r="G1889" s="526"/>
      <c r="K1889" s="3280"/>
      <c r="P1889" s="3041"/>
      <c r="X1889" s="3280"/>
      <c r="AA1889" s="3041"/>
      <c r="AF1889" s="3041"/>
      <c r="AN1889" s="3280"/>
      <c r="AZ1889" s="3041"/>
      <c r="BD1889" s="3281"/>
      <c r="BH1889" s="3282"/>
      <c r="BJ1889" s="2589"/>
      <c r="BK1889" s="2126"/>
      <c r="BL1889" s="2126"/>
      <c r="BM1889" s="2126"/>
      <c r="BN1889" s="2126"/>
      <c r="BO1889" s="2126"/>
      <c r="BP1889" s="2126"/>
      <c r="BQ1889" s="2126"/>
      <c r="BR1889" s="2126"/>
      <c r="BS1889" s="2126"/>
    </row>
    <row r="1890" spans="1:71" s="3030" customFormat="1">
      <c r="A1890" s="2126"/>
      <c r="B1890" s="2126"/>
      <c r="C1890" s="2149"/>
      <c r="D1890" s="3248"/>
      <c r="E1890" s="525"/>
      <c r="F1890" s="525"/>
      <c r="G1890" s="526"/>
      <c r="K1890" s="3280"/>
      <c r="P1890" s="3041"/>
      <c r="X1890" s="3280"/>
      <c r="AA1890" s="3041"/>
      <c r="AF1890" s="3041"/>
      <c r="AN1890" s="3280"/>
      <c r="AZ1890" s="3041"/>
      <c r="BD1890" s="3281"/>
      <c r="BH1890" s="3282"/>
      <c r="BJ1890" s="2589"/>
      <c r="BK1890" s="2126"/>
      <c r="BL1890" s="2126"/>
      <c r="BM1890" s="2126"/>
      <c r="BN1890" s="2126"/>
      <c r="BO1890" s="2126"/>
      <c r="BP1890" s="2126"/>
      <c r="BQ1890" s="2126"/>
      <c r="BR1890" s="2126"/>
      <c r="BS1890" s="2126"/>
    </row>
    <row r="1891" spans="1:71" s="3030" customFormat="1">
      <c r="A1891" s="2126"/>
      <c r="B1891" s="2126"/>
      <c r="C1891" s="2149"/>
      <c r="D1891" s="3248"/>
      <c r="E1891" s="525"/>
      <c r="F1891" s="525"/>
      <c r="G1891" s="526"/>
      <c r="K1891" s="3280"/>
      <c r="P1891" s="3041"/>
      <c r="X1891" s="3280"/>
      <c r="AA1891" s="3041"/>
      <c r="AF1891" s="3041"/>
      <c r="AN1891" s="3280"/>
      <c r="AZ1891" s="3041"/>
      <c r="BD1891" s="3281"/>
      <c r="BH1891" s="3282"/>
      <c r="BJ1891" s="2589"/>
      <c r="BK1891" s="2126"/>
      <c r="BL1891" s="2126"/>
      <c r="BM1891" s="2126"/>
      <c r="BN1891" s="2126"/>
      <c r="BO1891" s="2126"/>
      <c r="BP1891" s="2126"/>
      <c r="BQ1891" s="2126"/>
      <c r="BR1891" s="2126"/>
      <c r="BS1891" s="2126"/>
    </row>
    <row r="1892" spans="1:71" s="3030" customFormat="1">
      <c r="A1892" s="2126"/>
      <c r="B1892" s="2126"/>
      <c r="C1892" s="2149"/>
      <c r="D1892" s="3248"/>
      <c r="E1892" s="525"/>
      <c r="F1892" s="525"/>
      <c r="G1892" s="526"/>
      <c r="K1892" s="3280"/>
      <c r="P1892" s="3041"/>
      <c r="X1892" s="3280"/>
      <c r="AA1892" s="3041"/>
      <c r="AF1892" s="3041"/>
      <c r="AN1892" s="3280"/>
      <c r="AZ1892" s="3041"/>
      <c r="BD1892" s="3281"/>
      <c r="BH1892" s="3282"/>
      <c r="BJ1892" s="2589"/>
      <c r="BK1892" s="2126"/>
      <c r="BL1892" s="2126"/>
      <c r="BM1892" s="2126"/>
      <c r="BN1892" s="2126"/>
      <c r="BO1892" s="2126"/>
      <c r="BP1892" s="2126"/>
      <c r="BQ1892" s="2126"/>
      <c r="BR1892" s="2126"/>
      <c r="BS1892" s="2126"/>
    </row>
    <row r="1893" spans="1:71" s="3030" customFormat="1">
      <c r="A1893" s="2126"/>
      <c r="B1893" s="2126"/>
      <c r="C1893" s="2149"/>
      <c r="D1893" s="3248"/>
      <c r="E1893" s="525"/>
      <c r="F1893" s="525"/>
      <c r="G1893" s="526"/>
      <c r="K1893" s="3280"/>
      <c r="P1893" s="3041"/>
      <c r="X1893" s="3280"/>
      <c r="AA1893" s="3041"/>
      <c r="AF1893" s="3041"/>
      <c r="AN1893" s="3280"/>
      <c r="AZ1893" s="3041"/>
      <c r="BD1893" s="3281"/>
      <c r="BH1893" s="3282"/>
      <c r="BJ1893" s="2589"/>
      <c r="BK1893" s="2126"/>
      <c r="BL1893" s="2126"/>
      <c r="BM1893" s="2126"/>
      <c r="BN1893" s="2126"/>
      <c r="BO1893" s="2126"/>
      <c r="BP1893" s="2126"/>
      <c r="BQ1893" s="2126"/>
      <c r="BR1893" s="2126"/>
      <c r="BS1893" s="2126"/>
    </row>
    <row r="1894" spans="1:71" s="3030" customFormat="1">
      <c r="A1894" s="2126"/>
      <c r="B1894" s="2126"/>
      <c r="C1894" s="2149"/>
      <c r="D1894" s="3248"/>
      <c r="E1894" s="525"/>
      <c r="F1894" s="525"/>
      <c r="G1894" s="526"/>
      <c r="K1894" s="3280"/>
      <c r="P1894" s="3041"/>
      <c r="X1894" s="3280"/>
      <c r="AA1894" s="3041"/>
      <c r="AF1894" s="3041"/>
      <c r="AN1894" s="3280"/>
      <c r="AZ1894" s="3041"/>
      <c r="BD1894" s="3281"/>
      <c r="BH1894" s="3282"/>
      <c r="BJ1894" s="2589"/>
      <c r="BK1894" s="2126"/>
      <c r="BL1894" s="2126"/>
      <c r="BM1894" s="2126"/>
      <c r="BN1894" s="2126"/>
      <c r="BO1894" s="2126"/>
      <c r="BP1894" s="2126"/>
      <c r="BQ1894" s="2126"/>
      <c r="BR1894" s="2126"/>
      <c r="BS1894" s="2126"/>
    </row>
    <row r="1895" spans="1:71" s="3030" customFormat="1">
      <c r="A1895" s="2126"/>
      <c r="B1895" s="2126"/>
      <c r="C1895" s="2149"/>
      <c r="D1895" s="3248"/>
      <c r="E1895" s="525"/>
      <c r="F1895" s="525"/>
      <c r="G1895" s="526"/>
      <c r="K1895" s="3280"/>
      <c r="P1895" s="3041"/>
      <c r="X1895" s="3280"/>
      <c r="AA1895" s="3041"/>
      <c r="AF1895" s="3041"/>
      <c r="AN1895" s="3280"/>
      <c r="AZ1895" s="3041"/>
      <c r="BD1895" s="3281"/>
      <c r="BH1895" s="3282"/>
      <c r="BJ1895" s="2589"/>
      <c r="BK1895" s="2126"/>
      <c r="BL1895" s="2126"/>
      <c r="BM1895" s="2126"/>
      <c r="BN1895" s="2126"/>
      <c r="BO1895" s="2126"/>
      <c r="BP1895" s="2126"/>
      <c r="BQ1895" s="2126"/>
      <c r="BR1895" s="2126"/>
      <c r="BS1895" s="2126"/>
    </row>
    <row r="1896" spans="1:71" s="3030" customFormat="1">
      <c r="A1896" s="2126"/>
      <c r="B1896" s="2126"/>
      <c r="C1896" s="2149"/>
      <c r="D1896" s="3248"/>
      <c r="E1896" s="525"/>
      <c r="F1896" s="525"/>
      <c r="G1896" s="526"/>
      <c r="K1896" s="3280"/>
      <c r="P1896" s="3041"/>
      <c r="X1896" s="3280"/>
      <c r="AA1896" s="3041"/>
      <c r="AF1896" s="3041"/>
      <c r="AN1896" s="3280"/>
      <c r="AZ1896" s="3041"/>
      <c r="BD1896" s="3281"/>
      <c r="BH1896" s="3282"/>
      <c r="BJ1896" s="2589"/>
      <c r="BK1896" s="2126"/>
      <c r="BL1896" s="2126"/>
      <c r="BM1896" s="2126"/>
      <c r="BN1896" s="2126"/>
      <c r="BO1896" s="2126"/>
      <c r="BP1896" s="2126"/>
      <c r="BQ1896" s="2126"/>
      <c r="BR1896" s="2126"/>
      <c r="BS1896" s="2126"/>
    </row>
    <row r="1897" spans="1:71" s="3030" customFormat="1">
      <c r="A1897" s="2126"/>
      <c r="B1897" s="2126"/>
      <c r="C1897" s="2149"/>
      <c r="D1897" s="3248"/>
      <c r="E1897" s="525"/>
      <c r="F1897" s="525"/>
      <c r="G1897" s="526"/>
      <c r="K1897" s="3280"/>
      <c r="P1897" s="3041"/>
      <c r="X1897" s="3280"/>
      <c r="AA1897" s="3041"/>
      <c r="AF1897" s="3041"/>
      <c r="AN1897" s="3280"/>
      <c r="AZ1897" s="3041"/>
      <c r="BD1897" s="3281"/>
      <c r="BH1897" s="3282"/>
      <c r="BJ1897" s="2589"/>
      <c r="BK1897" s="2126"/>
      <c r="BL1897" s="2126"/>
      <c r="BM1897" s="2126"/>
      <c r="BN1897" s="2126"/>
      <c r="BO1897" s="2126"/>
      <c r="BP1897" s="2126"/>
      <c r="BQ1897" s="2126"/>
      <c r="BR1897" s="2126"/>
      <c r="BS1897" s="2126"/>
    </row>
    <row r="1898" spans="1:71" s="3030" customFormat="1">
      <c r="A1898" s="2126"/>
      <c r="B1898" s="2126"/>
      <c r="C1898" s="2149"/>
      <c r="D1898" s="3248"/>
      <c r="E1898" s="525"/>
      <c r="F1898" s="525"/>
      <c r="G1898" s="526"/>
      <c r="K1898" s="3280"/>
      <c r="P1898" s="3041"/>
      <c r="X1898" s="3280"/>
      <c r="AA1898" s="3041"/>
      <c r="AF1898" s="3041"/>
      <c r="AN1898" s="3280"/>
      <c r="AZ1898" s="3041"/>
      <c r="BD1898" s="3281"/>
      <c r="BH1898" s="3282"/>
      <c r="BJ1898" s="2589"/>
      <c r="BK1898" s="2126"/>
      <c r="BL1898" s="2126"/>
      <c r="BM1898" s="2126"/>
      <c r="BN1898" s="2126"/>
      <c r="BO1898" s="2126"/>
      <c r="BP1898" s="2126"/>
      <c r="BQ1898" s="2126"/>
      <c r="BR1898" s="2126"/>
      <c r="BS1898" s="2126"/>
    </row>
    <row r="1899" spans="1:71" s="3030" customFormat="1">
      <c r="A1899" s="2126"/>
      <c r="B1899" s="2126"/>
      <c r="C1899" s="2149"/>
      <c r="D1899" s="3248"/>
      <c r="E1899" s="525"/>
      <c r="F1899" s="525"/>
      <c r="G1899" s="526"/>
      <c r="K1899" s="3280"/>
      <c r="P1899" s="3041"/>
      <c r="X1899" s="3280"/>
      <c r="AA1899" s="3041"/>
      <c r="AF1899" s="3041"/>
      <c r="AN1899" s="3280"/>
      <c r="AZ1899" s="3041"/>
      <c r="BD1899" s="3281"/>
      <c r="BH1899" s="3282"/>
      <c r="BJ1899" s="2589"/>
      <c r="BK1899" s="2126"/>
      <c r="BL1899" s="2126"/>
      <c r="BM1899" s="2126"/>
      <c r="BN1899" s="2126"/>
      <c r="BO1899" s="2126"/>
      <c r="BP1899" s="2126"/>
      <c r="BQ1899" s="2126"/>
      <c r="BR1899" s="2126"/>
      <c r="BS1899" s="2126"/>
    </row>
    <row r="1900" spans="1:71" s="3030" customFormat="1">
      <c r="A1900" s="2126"/>
      <c r="B1900" s="2126"/>
      <c r="C1900" s="2149"/>
      <c r="D1900" s="3248"/>
      <c r="E1900" s="525"/>
      <c r="F1900" s="525"/>
      <c r="G1900" s="526"/>
      <c r="K1900" s="3280"/>
      <c r="P1900" s="3041"/>
      <c r="X1900" s="3280"/>
      <c r="AA1900" s="3041"/>
      <c r="AF1900" s="3041"/>
      <c r="AN1900" s="3280"/>
      <c r="AZ1900" s="3041"/>
      <c r="BD1900" s="3281"/>
      <c r="BH1900" s="3282"/>
      <c r="BJ1900" s="2589"/>
      <c r="BK1900" s="2126"/>
      <c r="BL1900" s="2126"/>
      <c r="BM1900" s="2126"/>
      <c r="BN1900" s="2126"/>
      <c r="BO1900" s="2126"/>
      <c r="BP1900" s="2126"/>
      <c r="BQ1900" s="2126"/>
      <c r="BR1900" s="2126"/>
      <c r="BS1900" s="2126"/>
    </row>
    <row r="1901" spans="1:71" s="3030" customFormat="1">
      <c r="A1901" s="2126"/>
      <c r="B1901" s="2126"/>
      <c r="C1901" s="2149"/>
      <c r="D1901" s="3248"/>
      <c r="E1901" s="525"/>
      <c r="F1901" s="525"/>
      <c r="G1901" s="526"/>
      <c r="K1901" s="3280"/>
      <c r="P1901" s="3041"/>
      <c r="X1901" s="3280"/>
      <c r="AA1901" s="3041"/>
      <c r="AF1901" s="3041"/>
      <c r="AN1901" s="3280"/>
      <c r="AZ1901" s="3041"/>
      <c r="BD1901" s="3281"/>
      <c r="BH1901" s="3282"/>
      <c r="BJ1901" s="2589"/>
      <c r="BK1901" s="2126"/>
      <c r="BL1901" s="2126"/>
      <c r="BM1901" s="2126"/>
      <c r="BN1901" s="2126"/>
      <c r="BO1901" s="2126"/>
      <c r="BP1901" s="2126"/>
      <c r="BQ1901" s="2126"/>
      <c r="BR1901" s="2126"/>
      <c r="BS1901" s="2126"/>
    </row>
    <row r="1902" spans="1:71" s="3030" customFormat="1">
      <c r="A1902" s="2126"/>
      <c r="B1902" s="2126"/>
      <c r="C1902" s="2149"/>
      <c r="D1902" s="3248"/>
      <c r="E1902" s="525"/>
      <c r="F1902" s="525"/>
      <c r="G1902" s="526"/>
      <c r="K1902" s="3280"/>
      <c r="P1902" s="3041"/>
      <c r="X1902" s="3280"/>
      <c r="AA1902" s="3041"/>
      <c r="AF1902" s="3041"/>
      <c r="AN1902" s="3280"/>
      <c r="AZ1902" s="3041"/>
      <c r="BD1902" s="3281"/>
      <c r="BH1902" s="3282"/>
      <c r="BJ1902" s="2589"/>
      <c r="BK1902" s="2126"/>
      <c r="BL1902" s="2126"/>
      <c r="BM1902" s="2126"/>
      <c r="BN1902" s="2126"/>
      <c r="BO1902" s="2126"/>
      <c r="BP1902" s="2126"/>
      <c r="BQ1902" s="2126"/>
      <c r="BR1902" s="2126"/>
      <c r="BS1902" s="2126"/>
    </row>
    <row r="1903" spans="1:71" s="3030" customFormat="1">
      <c r="A1903" s="2126"/>
      <c r="B1903" s="2126"/>
      <c r="C1903" s="2149"/>
      <c r="D1903" s="3248"/>
      <c r="E1903" s="525"/>
      <c r="F1903" s="525"/>
      <c r="G1903" s="526"/>
      <c r="K1903" s="3280"/>
      <c r="P1903" s="3041"/>
      <c r="X1903" s="3280"/>
      <c r="AA1903" s="3041"/>
      <c r="AF1903" s="3041"/>
      <c r="AN1903" s="3280"/>
      <c r="AZ1903" s="3041"/>
      <c r="BD1903" s="3281"/>
      <c r="BH1903" s="3282"/>
      <c r="BJ1903" s="2589"/>
      <c r="BK1903" s="2126"/>
      <c r="BL1903" s="2126"/>
      <c r="BM1903" s="2126"/>
      <c r="BN1903" s="2126"/>
      <c r="BO1903" s="2126"/>
      <c r="BP1903" s="2126"/>
      <c r="BQ1903" s="2126"/>
      <c r="BR1903" s="2126"/>
      <c r="BS1903" s="2126"/>
    </row>
    <row r="1904" spans="1:71" s="3030" customFormat="1">
      <c r="A1904" s="2126"/>
      <c r="B1904" s="2126"/>
      <c r="C1904" s="2149"/>
      <c r="D1904" s="3248"/>
      <c r="E1904" s="525"/>
      <c r="F1904" s="525"/>
      <c r="G1904" s="526"/>
      <c r="K1904" s="3280"/>
      <c r="P1904" s="3041"/>
      <c r="X1904" s="3280"/>
      <c r="AA1904" s="3041"/>
      <c r="AF1904" s="3041"/>
      <c r="AN1904" s="3280"/>
      <c r="AZ1904" s="3041"/>
      <c r="BD1904" s="3281"/>
      <c r="BH1904" s="3282"/>
      <c r="BJ1904" s="2589"/>
      <c r="BK1904" s="2126"/>
      <c r="BL1904" s="2126"/>
      <c r="BM1904" s="2126"/>
      <c r="BN1904" s="2126"/>
      <c r="BO1904" s="2126"/>
      <c r="BP1904" s="2126"/>
      <c r="BQ1904" s="2126"/>
      <c r="BR1904" s="2126"/>
      <c r="BS1904" s="2126"/>
    </row>
    <row r="1905" spans="1:71" s="3030" customFormat="1">
      <c r="A1905" s="2126"/>
      <c r="B1905" s="2126"/>
      <c r="C1905" s="2149"/>
      <c r="D1905" s="3248"/>
      <c r="E1905" s="525"/>
      <c r="F1905" s="525"/>
      <c r="G1905" s="526"/>
      <c r="K1905" s="3280"/>
      <c r="P1905" s="3041"/>
      <c r="X1905" s="3280"/>
      <c r="AA1905" s="3041"/>
      <c r="AF1905" s="3041"/>
      <c r="AN1905" s="3280"/>
      <c r="AZ1905" s="3041"/>
      <c r="BD1905" s="3281"/>
      <c r="BH1905" s="3282"/>
      <c r="BJ1905" s="2589"/>
      <c r="BK1905" s="2126"/>
      <c r="BL1905" s="2126"/>
      <c r="BM1905" s="2126"/>
      <c r="BN1905" s="2126"/>
      <c r="BO1905" s="2126"/>
      <c r="BP1905" s="2126"/>
      <c r="BQ1905" s="2126"/>
      <c r="BR1905" s="2126"/>
      <c r="BS1905" s="2126"/>
    </row>
    <row r="1906" spans="1:71" s="3030" customFormat="1">
      <c r="A1906" s="2126"/>
      <c r="B1906" s="2126"/>
      <c r="C1906" s="2149"/>
      <c r="D1906" s="3248"/>
      <c r="E1906" s="525"/>
      <c r="F1906" s="525"/>
      <c r="G1906" s="526"/>
      <c r="K1906" s="3280"/>
      <c r="P1906" s="3041"/>
      <c r="X1906" s="3280"/>
      <c r="AA1906" s="3041"/>
      <c r="AF1906" s="3041"/>
      <c r="AN1906" s="3280"/>
      <c r="AZ1906" s="3041"/>
      <c r="BD1906" s="3281"/>
      <c r="BH1906" s="3282"/>
      <c r="BJ1906" s="2589"/>
      <c r="BK1906" s="2126"/>
      <c r="BL1906" s="2126"/>
      <c r="BM1906" s="2126"/>
      <c r="BN1906" s="2126"/>
      <c r="BO1906" s="2126"/>
      <c r="BP1906" s="2126"/>
      <c r="BQ1906" s="2126"/>
      <c r="BR1906" s="2126"/>
      <c r="BS1906" s="2126"/>
    </row>
    <row r="1907" spans="1:71" s="3030" customFormat="1">
      <c r="A1907" s="2126"/>
      <c r="B1907" s="2126"/>
      <c r="C1907" s="2149"/>
      <c r="D1907" s="3248"/>
      <c r="E1907" s="525"/>
      <c r="F1907" s="525"/>
      <c r="G1907" s="526"/>
      <c r="K1907" s="3280"/>
      <c r="P1907" s="3041"/>
      <c r="X1907" s="3280"/>
      <c r="AA1907" s="3041"/>
      <c r="AF1907" s="3041"/>
      <c r="AN1907" s="3280"/>
      <c r="AZ1907" s="3041"/>
      <c r="BD1907" s="3281"/>
      <c r="BH1907" s="3282"/>
      <c r="BJ1907" s="2589"/>
      <c r="BK1907" s="2126"/>
      <c r="BL1907" s="2126"/>
      <c r="BM1907" s="2126"/>
      <c r="BN1907" s="2126"/>
      <c r="BO1907" s="2126"/>
      <c r="BP1907" s="2126"/>
      <c r="BQ1907" s="2126"/>
      <c r="BR1907" s="2126"/>
      <c r="BS1907" s="2126"/>
    </row>
    <row r="1908" spans="1:71" s="3030" customFormat="1">
      <c r="A1908" s="2126"/>
      <c r="B1908" s="2126"/>
      <c r="C1908" s="2149"/>
      <c r="D1908" s="3248"/>
      <c r="E1908" s="525"/>
      <c r="F1908" s="525"/>
      <c r="G1908" s="526"/>
      <c r="K1908" s="3280"/>
      <c r="P1908" s="3041"/>
      <c r="X1908" s="3280"/>
      <c r="AA1908" s="3041"/>
      <c r="AF1908" s="3041"/>
      <c r="AN1908" s="3280"/>
      <c r="AZ1908" s="3041"/>
      <c r="BD1908" s="3281"/>
      <c r="BH1908" s="3282"/>
      <c r="BJ1908" s="2589"/>
      <c r="BK1908" s="2126"/>
      <c r="BL1908" s="2126"/>
      <c r="BM1908" s="2126"/>
      <c r="BN1908" s="2126"/>
      <c r="BO1908" s="2126"/>
      <c r="BP1908" s="2126"/>
      <c r="BQ1908" s="2126"/>
      <c r="BR1908" s="2126"/>
      <c r="BS1908" s="2126"/>
    </row>
    <row r="1909" spans="1:71" s="3030" customFormat="1">
      <c r="A1909" s="2126"/>
      <c r="B1909" s="2126"/>
      <c r="C1909" s="2149"/>
      <c r="D1909" s="3248"/>
      <c r="E1909" s="525"/>
      <c r="F1909" s="525"/>
      <c r="G1909" s="526"/>
      <c r="K1909" s="3280"/>
      <c r="P1909" s="3041"/>
      <c r="X1909" s="3280"/>
      <c r="AA1909" s="3041"/>
      <c r="AF1909" s="3041"/>
      <c r="AN1909" s="3280"/>
      <c r="AZ1909" s="3041"/>
      <c r="BD1909" s="3281"/>
      <c r="BH1909" s="3282"/>
      <c r="BJ1909" s="2589"/>
      <c r="BK1909" s="2126"/>
      <c r="BL1909" s="2126"/>
      <c r="BM1909" s="2126"/>
      <c r="BN1909" s="2126"/>
      <c r="BO1909" s="2126"/>
      <c r="BP1909" s="2126"/>
      <c r="BQ1909" s="2126"/>
      <c r="BR1909" s="2126"/>
      <c r="BS1909" s="2126"/>
    </row>
    <row r="1910" spans="1:71" s="3030" customFormat="1">
      <c r="A1910" s="2126"/>
      <c r="B1910" s="2126"/>
      <c r="C1910" s="2149"/>
      <c r="D1910" s="3248"/>
      <c r="E1910" s="525"/>
      <c r="F1910" s="525"/>
      <c r="G1910" s="526"/>
      <c r="K1910" s="3280"/>
      <c r="P1910" s="3041"/>
      <c r="X1910" s="3280"/>
      <c r="AA1910" s="3041"/>
      <c r="AF1910" s="3041"/>
      <c r="AN1910" s="3280"/>
      <c r="AZ1910" s="3041"/>
      <c r="BD1910" s="3281"/>
      <c r="BH1910" s="3282"/>
      <c r="BJ1910" s="2589"/>
      <c r="BK1910" s="2126"/>
      <c r="BL1910" s="2126"/>
      <c r="BM1910" s="2126"/>
      <c r="BN1910" s="2126"/>
      <c r="BO1910" s="2126"/>
      <c r="BP1910" s="2126"/>
      <c r="BQ1910" s="2126"/>
      <c r="BR1910" s="2126"/>
      <c r="BS1910" s="2126"/>
    </row>
    <row r="1911" spans="1:71" s="3030" customFormat="1">
      <c r="A1911" s="2126"/>
      <c r="B1911" s="2126"/>
      <c r="C1911" s="2149"/>
      <c r="D1911" s="3248"/>
      <c r="E1911" s="525"/>
      <c r="F1911" s="525"/>
      <c r="G1911" s="526"/>
      <c r="K1911" s="3280"/>
      <c r="P1911" s="3041"/>
      <c r="X1911" s="3280"/>
      <c r="AA1911" s="3041"/>
      <c r="AF1911" s="3041"/>
      <c r="AN1911" s="3280"/>
      <c r="AZ1911" s="3041"/>
      <c r="BD1911" s="3281"/>
      <c r="BH1911" s="3282"/>
      <c r="BJ1911" s="2589"/>
      <c r="BK1911" s="2126"/>
      <c r="BL1911" s="2126"/>
      <c r="BM1911" s="2126"/>
      <c r="BN1911" s="2126"/>
      <c r="BO1911" s="2126"/>
      <c r="BP1911" s="2126"/>
      <c r="BQ1911" s="2126"/>
      <c r="BR1911" s="2126"/>
      <c r="BS1911" s="2126"/>
    </row>
    <row r="1912" spans="1:71" s="3030" customFormat="1">
      <c r="A1912" s="2126"/>
      <c r="B1912" s="2126"/>
      <c r="C1912" s="2149"/>
      <c r="D1912" s="3248"/>
      <c r="E1912" s="525"/>
      <c r="F1912" s="525"/>
      <c r="G1912" s="526"/>
      <c r="K1912" s="3280"/>
      <c r="P1912" s="3041"/>
      <c r="X1912" s="3280"/>
      <c r="AA1912" s="3041"/>
      <c r="AF1912" s="3041"/>
      <c r="AN1912" s="3280"/>
      <c r="AZ1912" s="3041"/>
      <c r="BD1912" s="3281"/>
      <c r="BH1912" s="3282"/>
      <c r="BJ1912" s="2589"/>
      <c r="BK1912" s="2126"/>
      <c r="BL1912" s="2126"/>
      <c r="BM1912" s="2126"/>
      <c r="BN1912" s="2126"/>
      <c r="BO1912" s="2126"/>
      <c r="BP1912" s="2126"/>
      <c r="BQ1912" s="2126"/>
      <c r="BR1912" s="2126"/>
      <c r="BS1912" s="2126"/>
    </row>
    <row r="1913" spans="1:71" s="3030" customFormat="1">
      <c r="A1913" s="2126"/>
      <c r="B1913" s="2126"/>
      <c r="C1913" s="2149"/>
      <c r="D1913" s="3248"/>
      <c r="E1913" s="525"/>
      <c r="F1913" s="525"/>
      <c r="G1913" s="526"/>
      <c r="K1913" s="3280"/>
      <c r="P1913" s="3041"/>
      <c r="X1913" s="3280"/>
      <c r="AA1913" s="3041"/>
      <c r="AF1913" s="3041"/>
      <c r="AN1913" s="3280"/>
      <c r="AZ1913" s="3041"/>
      <c r="BD1913" s="3281"/>
      <c r="BH1913" s="3282"/>
      <c r="BJ1913" s="2589"/>
      <c r="BK1913" s="2126"/>
      <c r="BL1913" s="2126"/>
      <c r="BM1913" s="2126"/>
      <c r="BN1913" s="2126"/>
      <c r="BO1913" s="2126"/>
      <c r="BP1913" s="2126"/>
      <c r="BQ1913" s="2126"/>
      <c r="BR1913" s="2126"/>
      <c r="BS1913" s="2126"/>
    </row>
    <row r="1914" spans="1:71" s="3030" customFormat="1">
      <c r="A1914" s="2126"/>
      <c r="B1914" s="2126"/>
      <c r="C1914" s="2149"/>
      <c r="D1914" s="3248"/>
      <c r="E1914" s="525"/>
      <c r="F1914" s="525"/>
      <c r="G1914" s="526"/>
      <c r="K1914" s="3280"/>
      <c r="P1914" s="3041"/>
      <c r="X1914" s="3280"/>
      <c r="AA1914" s="3041"/>
      <c r="AF1914" s="3041"/>
      <c r="AN1914" s="3280"/>
      <c r="AZ1914" s="3041"/>
      <c r="BD1914" s="3281"/>
      <c r="BH1914" s="3282"/>
      <c r="BJ1914" s="2589"/>
      <c r="BK1914" s="2126"/>
      <c r="BL1914" s="2126"/>
      <c r="BM1914" s="2126"/>
      <c r="BN1914" s="2126"/>
      <c r="BO1914" s="2126"/>
      <c r="BP1914" s="2126"/>
      <c r="BQ1914" s="2126"/>
      <c r="BR1914" s="2126"/>
      <c r="BS1914" s="2126"/>
    </row>
    <row r="1915" spans="1:71" s="3030" customFormat="1">
      <c r="A1915" s="2126"/>
      <c r="B1915" s="2126"/>
      <c r="C1915" s="2149"/>
      <c r="D1915" s="3248"/>
      <c r="E1915" s="525"/>
      <c r="F1915" s="525"/>
      <c r="G1915" s="526"/>
      <c r="K1915" s="3280"/>
      <c r="P1915" s="3041"/>
      <c r="X1915" s="3280"/>
      <c r="AA1915" s="3041"/>
      <c r="AF1915" s="3041"/>
      <c r="AN1915" s="3280"/>
      <c r="AZ1915" s="3041"/>
      <c r="BD1915" s="3281"/>
      <c r="BH1915" s="3282"/>
      <c r="BJ1915" s="2589"/>
      <c r="BK1915" s="2126"/>
      <c r="BL1915" s="2126"/>
      <c r="BM1915" s="2126"/>
      <c r="BN1915" s="2126"/>
      <c r="BO1915" s="2126"/>
      <c r="BP1915" s="2126"/>
      <c r="BQ1915" s="2126"/>
      <c r="BR1915" s="2126"/>
      <c r="BS1915" s="2126"/>
    </row>
    <row r="1916" spans="1:71" s="3030" customFormat="1">
      <c r="A1916" s="2126"/>
      <c r="B1916" s="2126"/>
      <c r="C1916" s="2149"/>
      <c r="D1916" s="3248"/>
      <c r="E1916" s="525"/>
      <c r="F1916" s="525"/>
      <c r="G1916" s="526"/>
      <c r="K1916" s="3280"/>
      <c r="P1916" s="3041"/>
      <c r="X1916" s="3280"/>
      <c r="AA1916" s="3041"/>
      <c r="AF1916" s="3041"/>
      <c r="AN1916" s="3280"/>
      <c r="AZ1916" s="3041"/>
      <c r="BD1916" s="3281"/>
      <c r="BH1916" s="3282"/>
      <c r="BJ1916" s="2589"/>
      <c r="BK1916" s="2126"/>
      <c r="BL1916" s="2126"/>
      <c r="BM1916" s="2126"/>
      <c r="BN1916" s="2126"/>
      <c r="BO1916" s="2126"/>
      <c r="BP1916" s="2126"/>
      <c r="BQ1916" s="2126"/>
      <c r="BR1916" s="2126"/>
      <c r="BS1916" s="2126"/>
    </row>
    <row r="1917" spans="1:71" s="3030" customFormat="1">
      <c r="A1917" s="2126"/>
      <c r="B1917" s="2126"/>
      <c r="C1917" s="2149"/>
      <c r="D1917" s="3248"/>
      <c r="E1917" s="525"/>
      <c r="F1917" s="525"/>
      <c r="G1917" s="526"/>
      <c r="K1917" s="3280"/>
      <c r="P1917" s="3041"/>
      <c r="X1917" s="3280"/>
      <c r="AA1917" s="3041"/>
      <c r="AF1917" s="3041"/>
      <c r="AN1917" s="3280"/>
      <c r="AZ1917" s="3041"/>
      <c r="BD1917" s="3281"/>
      <c r="BH1917" s="3282"/>
      <c r="BJ1917" s="2589"/>
      <c r="BK1917" s="2126"/>
      <c r="BL1917" s="2126"/>
      <c r="BM1917" s="2126"/>
      <c r="BN1917" s="2126"/>
      <c r="BO1917" s="2126"/>
      <c r="BP1917" s="2126"/>
      <c r="BQ1917" s="2126"/>
      <c r="BR1917" s="2126"/>
      <c r="BS1917" s="2126"/>
    </row>
    <row r="1918" spans="1:71" s="3030" customFormat="1">
      <c r="A1918" s="2126"/>
      <c r="B1918" s="2126"/>
      <c r="C1918" s="2149"/>
      <c r="D1918" s="3248"/>
      <c r="E1918" s="525"/>
      <c r="F1918" s="525"/>
      <c r="G1918" s="526"/>
      <c r="K1918" s="3280"/>
      <c r="P1918" s="3041"/>
      <c r="X1918" s="3280"/>
      <c r="AA1918" s="3041"/>
      <c r="AF1918" s="3041"/>
      <c r="AN1918" s="3280"/>
      <c r="AZ1918" s="3041"/>
      <c r="BD1918" s="3281"/>
      <c r="BH1918" s="3282"/>
      <c r="BJ1918" s="2589"/>
      <c r="BK1918" s="2126"/>
      <c r="BL1918" s="2126"/>
      <c r="BM1918" s="2126"/>
      <c r="BN1918" s="2126"/>
      <c r="BO1918" s="2126"/>
      <c r="BP1918" s="2126"/>
      <c r="BQ1918" s="2126"/>
      <c r="BR1918" s="2126"/>
      <c r="BS1918" s="2126"/>
    </row>
    <row r="1919" spans="1:71" s="3030" customFormat="1">
      <c r="A1919" s="2126"/>
      <c r="B1919" s="2126"/>
      <c r="C1919" s="2149"/>
      <c r="D1919" s="3248"/>
      <c r="E1919" s="525"/>
      <c r="F1919" s="525"/>
      <c r="G1919" s="526"/>
      <c r="K1919" s="3280"/>
      <c r="P1919" s="3041"/>
      <c r="X1919" s="3280"/>
      <c r="AA1919" s="3041"/>
      <c r="AF1919" s="3041"/>
      <c r="AN1919" s="3280"/>
      <c r="AZ1919" s="3041"/>
      <c r="BD1919" s="3281"/>
      <c r="BH1919" s="3282"/>
      <c r="BJ1919" s="2589"/>
      <c r="BK1919" s="2126"/>
      <c r="BL1919" s="2126"/>
      <c r="BM1919" s="2126"/>
      <c r="BN1919" s="2126"/>
      <c r="BO1919" s="2126"/>
      <c r="BP1919" s="2126"/>
      <c r="BQ1919" s="2126"/>
      <c r="BR1919" s="2126"/>
      <c r="BS1919" s="2126"/>
    </row>
    <row r="1920" spans="1:71" s="3030" customFormat="1">
      <c r="A1920" s="2126"/>
      <c r="B1920" s="2126"/>
      <c r="C1920" s="2149"/>
      <c r="D1920" s="3248"/>
      <c r="E1920" s="525"/>
      <c r="F1920" s="525"/>
      <c r="G1920" s="526"/>
      <c r="K1920" s="3280"/>
      <c r="P1920" s="3041"/>
      <c r="X1920" s="3280"/>
      <c r="AA1920" s="3041"/>
      <c r="AF1920" s="3041"/>
      <c r="AN1920" s="3280"/>
      <c r="AZ1920" s="3041"/>
      <c r="BD1920" s="3281"/>
      <c r="BH1920" s="3282"/>
      <c r="BJ1920" s="2589"/>
      <c r="BK1920" s="2126"/>
      <c r="BL1920" s="2126"/>
      <c r="BM1920" s="2126"/>
      <c r="BN1920" s="2126"/>
      <c r="BO1920" s="2126"/>
      <c r="BP1920" s="2126"/>
      <c r="BQ1920" s="2126"/>
      <c r="BR1920" s="2126"/>
      <c r="BS1920" s="2126"/>
    </row>
    <row r="1921" spans="1:71" s="3030" customFormat="1">
      <c r="A1921" s="2126"/>
      <c r="B1921" s="2126"/>
      <c r="C1921" s="2149"/>
      <c r="D1921" s="3248"/>
      <c r="E1921" s="525"/>
      <c r="F1921" s="525"/>
      <c r="G1921" s="526"/>
      <c r="K1921" s="3280"/>
      <c r="P1921" s="3041"/>
      <c r="X1921" s="3280"/>
      <c r="AA1921" s="3041"/>
      <c r="AF1921" s="3041"/>
      <c r="AN1921" s="3280"/>
      <c r="AZ1921" s="3041"/>
      <c r="BD1921" s="3281"/>
      <c r="BH1921" s="3282"/>
      <c r="BJ1921" s="2589"/>
      <c r="BK1921" s="2126"/>
      <c r="BL1921" s="2126"/>
      <c r="BM1921" s="2126"/>
      <c r="BN1921" s="2126"/>
      <c r="BO1921" s="2126"/>
      <c r="BP1921" s="2126"/>
      <c r="BQ1921" s="2126"/>
      <c r="BR1921" s="2126"/>
      <c r="BS1921" s="2126"/>
    </row>
    <row r="1922" spans="1:71" s="3030" customFormat="1">
      <c r="A1922" s="2126"/>
      <c r="B1922" s="2126"/>
      <c r="C1922" s="2149"/>
      <c r="D1922" s="3248"/>
      <c r="E1922" s="525"/>
      <c r="F1922" s="525"/>
      <c r="G1922" s="526"/>
      <c r="K1922" s="3280"/>
      <c r="P1922" s="3041"/>
      <c r="X1922" s="3280"/>
      <c r="AA1922" s="3041"/>
      <c r="AF1922" s="3041"/>
      <c r="AN1922" s="3280"/>
      <c r="AZ1922" s="3041"/>
      <c r="BD1922" s="3281"/>
      <c r="BH1922" s="3282"/>
      <c r="BJ1922" s="2589"/>
      <c r="BK1922" s="2126"/>
      <c r="BL1922" s="2126"/>
      <c r="BM1922" s="2126"/>
      <c r="BN1922" s="2126"/>
      <c r="BO1922" s="2126"/>
      <c r="BP1922" s="2126"/>
      <c r="BQ1922" s="2126"/>
      <c r="BR1922" s="2126"/>
      <c r="BS1922" s="2126"/>
    </row>
    <row r="1923" spans="1:71" s="3030" customFormat="1">
      <c r="A1923" s="2126"/>
      <c r="B1923" s="2126"/>
      <c r="C1923" s="2149"/>
      <c r="D1923" s="3248"/>
      <c r="E1923" s="525"/>
      <c r="F1923" s="525"/>
      <c r="G1923" s="526"/>
      <c r="K1923" s="3280"/>
      <c r="P1923" s="3041"/>
      <c r="X1923" s="3280"/>
      <c r="AA1923" s="3041"/>
      <c r="AF1923" s="3041"/>
      <c r="AN1923" s="3280"/>
      <c r="AZ1923" s="3041"/>
      <c r="BD1923" s="3281"/>
      <c r="BH1923" s="3282"/>
      <c r="BJ1923" s="2589"/>
      <c r="BK1923" s="2126"/>
      <c r="BL1923" s="2126"/>
      <c r="BM1923" s="2126"/>
      <c r="BN1923" s="2126"/>
      <c r="BO1923" s="2126"/>
      <c r="BP1923" s="2126"/>
      <c r="BQ1923" s="2126"/>
      <c r="BR1923" s="2126"/>
      <c r="BS1923" s="2126"/>
    </row>
    <row r="1924" spans="1:71" s="3030" customFormat="1">
      <c r="A1924" s="2126"/>
      <c r="B1924" s="2126"/>
      <c r="C1924" s="2149"/>
      <c r="D1924" s="3248"/>
      <c r="E1924" s="525"/>
      <c r="F1924" s="525"/>
      <c r="G1924" s="526"/>
      <c r="K1924" s="3280"/>
      <c r="P1924" s="3041"/>
      <c r="X1924" s="3280"/>
      <c r="AA1924" s="3041"/>
      <c r="AF1924" s="3041"/>
      <c r="AN1924" s="3280"/>
      <c r="AZ1924" s="3041"/>
      <c r="BD1924" s="3281"/>
      <c r="BH1924" s="3282"/>
      <c r="BJ1924" s="2589"/>
      <c r="BK1924" s="2126"/>
      <c r="BL1924" s="2126"/>
      <c r="BM1924" s="2126"/>
      <c r="BN1924" s="2126"/>
      <c r="BO1924" s="2126"/>
      <c r="BP1924" s="2126"/>
      <c r="BQ1924" s="2126"/>
      <c r="BR1924" s="2126"/>
      <c r="BS1924" s="2126"/>
    </row>
    <row r="1925" spans="1:71" s="3030" customFormat="1">
      <c r="A1925" s="2126"/>
      <c r="B1925" s="2126"/>
      <c r="C1925" s="2149"/>
      <c r="D1925" s="3248"/>
      <c r="E1925" s="525"/>
      <c r="F1925" s="525"/>
      <c r="G1925" s="526"/>
      <c r="K1925" s="3280"/>
      <c r="P1925" s="3041"/>
      <c r="X1925" s="3280"/>
      <c r="AA1925" s="3041"/>
      <c r="AF1925" s="3041"/>
      <c r="AN1925" s="3280"/>
      <c r="AZ1925" s="3041"/>
      <c r="BD1925" s="3281"/>
      <c r="BH1925" s="3282"/>
      <c r="BJ1925" s="2589"/>
      <c r="BK1925" s="2126"/>
      <c r="BL1925" s="2126"/>
      <c r="BM1925" s="2126"/>
      <c r="BN1925" s="2126"/>
      <c r="BO1925" s="2126"/>
      <c r="BP1925" s="2126"/>
      <c r="BQ1925" s="2126"/>
      <c r="BR1925" s="2126"/>
      <c r="BS1925" s="2126"/>
    </row>
    <row r="1926" spans="1:71" s="3030" customFormat="1">
      <c r="A1926" s="2126"/>
      <c r="B1926" s="2126"/>
      <c r="C1926" s="2149"/>
      <c r="D1926" s="3248"/>
      <c r="E1926" s="525"/>
      <c r="F1926" s="525"/>
      <c r="G1926" s="526"/>
      <c r="K1926" s="3280"/>
      <c r="P1926" s="3041"/>
      <c r="X1926" s="3280"/>
      <c r="AA1926" s="3041"/>
      <c r="AF1926" s="3041"/>
      <c r="AN1926" s="3280"/>
      <c r="AZ1926" s="3041"/>
      <c r="BD1926" s="3281"/>
      <c r="BH1926" s="3282"/>
      <c r="BJ1926" s="2589"/>
      <c r="BK1926" s="2126"/>
      <c r="BL1926" s="2126"/>
      <c r="BM1926" s="2126"/>
      <c r="BN1926" s="2126"/>
      <c r="BO1926" s="2126"/>
      <c r="BP1926" s="2126"/>
      <c r="BQ1926" s="2126"/>
      <c r="BR1926" s="2126"/>
      <c r="BS1926" s="2126"/>
    </row>
    <row r="1927" spans="1:71" s="3030" customFormat="1">
      <c r="A1927" s="2126"/>
      <c r="B1927" s="2126"/>
      <c r="C1927" s="2149"/>
      <c r="D1927" s="3248"/>
      <c r="E1927" s="525"/>
      <c r="F1927" s="525"/>
      <c r="G1927" s="526"/>
      <c r="K1927" s="3280"/>
      <c r="P1927" s="3041"/>
      <c r="X1927" s="3280"/>
      <c r="AA1927" s="3041"/>
      <c r="AF1927" s="3041"/>
      <c r="AN1927" s="3280"/>
      <c r="AZ1927" s="3041"/>
      <c r="BD1927" s="3281"/>
      <c r="BH1927" s="3282"/>
      <c r="BJ1927" s="2589"/>
      <c r="BK1927" s="2126"/>
      <c r="BL1927" s="2126"/>
      <c r="BM1927" s="2126"/>
      <c r="BN1927" s="2126"/>
      <c r="BO1927" s="2126"/>
      <c r="BP1927" s="2126"/>
      <c r="BQ1927" s="2126"/>
      <c r="BR1927" s="2126"/>
      <c r="BS1927" s="2126"/>
    </row>
    <row r="1928" spans="1:71" s="3030" customFormat="1">
      <c r="A1928" s="2126"/>
      <c r="B1928" s="2126"/>
      <c r="C1928" s="2149"/>
      <c r="D1928" s="3248"/>
      <c r="E1928" s="525"/>
      <c r="F1928" s="525"/>
      <c r="G1928" s="526"/>
      <c r="K1928" s="3280"/>
      <c r="P1928" s="3041"/>
      <c r="X1928" s="3280"/>
      <c r="AA1928" s="3041"/>
      <c r="AF1928" s="3041"/>
      <c r="AN1928" s="3280"/>
      <c r="AZ1928" s="3041"/>
      <c r="BD1928" s="3281"/>
      <c r="BH1928" s="3282"/>
      <c r="BJ1928" s="2589"/>
      <c r="BK1928" s="2126"/>
      <c r="BL1928" s="2126"/>
      <c r="BM1928" s="2126"/>
      <c r="BN1928" s="2126"/>
      <c r="BO1928" s="2126"/>
      <c r="BP1928" s="2126"/>
      <c r="BQ1928" s="2126"/>
      <c r="BR1928" s="2126"/>
      <c r="BS1928" s="2126"/>
    </row>
    <row r="1929" spans="1:71" s="3030" customFormat="1">
      <c r="A1929" s="2126"/>
      <c r="B1929" s="2126"/>
      <c r="C1929" s="2149"/>
      <c r="D1929" s="3248"/>
      <c r="E1929" s="525"/>
      <c r="F1929" s="525"/>
      <c r="G1929" s="526"/>
      <c r="K1929" s="3280"/>
      <c r="P1929" s="3041"/>
      <c r="X1929" s="3280"/>
      <c r="AA1929" s="3041"/>
      <c r="AF1929" s="3041"/>
      <c r="AN1929" s="3280"/>
      <c r="AZ1929" s="3041"/>
      <c r="BD1929" s="3281"/>
      <c r="BH1929" s="3282"/>
      <c r="BJ1929" s="2589"/>
      <c r="BK1929" s="2126"/>
      <c r="BL1929" s="2126"/>
      <c r="BM1929" s="2126"/>
      <c r="BN1929" s="2126"/>
      <c r="BO1929" s="2126"/>
      <c r="BP1929" s="2126"/>
      <c r="BQ1929" s="2126"/>
      <c r="BR1929" s="2126"/>
      <c r="BS1929" s="2126"/>
    </row>
    <row r="1930" spans="1:71" s="3030" customFormat="1">
      <c r="A1930" s="2126"/>
      <c r="B1930" s="2126"/>
      <c r="C1930" s="2149"/>
      <c r="D1930" s="3248"/>
      <c r="E1930" s="525"/>
      <c r="F1930" s="525"/>
      <c r="G1930" s="526"/>
      <c r="K1930" s="3280"/>
      <c r="P1930" s="3041"/>
      <c r="X1930" s="3280"/>
      <c r="AA1930" s="3041"/>
      <c r="AF1930" s="3041"/>
      <c r="AN1930" s="3280"/>
      <c r="AZ1930" s="3041"/>
      <c r="BD1930" s="3281"/>
      <c r="BH1930" s="3282"/>
      <c r="BJ1930" s="2589"/>
      <c r="BK1930" s="2126"/>
      <c r="BL1930" s="2126"/>
      <c r="BM1930" s="2126"/>
      <c r="BN1930" s="2126"/>
      <c r="BO1930" s="2126"/>
      <c r="BP1930" s="2126"/>
      <c r="BQ1930" s="2126"/>
      <c r="BR1930" s="2126"/>
      <c r="BS1930" s="2126"/>
    </row>
    <row r="1931" spans="1:71" s="3030" customFormat="1">
      <c r="A1931" s="2126"/>
      <c r="B1931" s="2126"/>
      <c r="C1931" s="2149"/>
      <c r="D1931" s="3248"/>
      <c r="E1931" s="525"/>
      <c r="F1931" s="525"/>
      <c r="G1931" s="526"/>
      <c r="K1931" s="3280"/>
      <c r="P1931" s="3041"/>
      <c r="X1931" s="3280"/>
      <c r="AA1931" s="3041"/>
      <c r="AF1931" s="3041"/>
      <c r="AN1931" s="3280"/>
      <c r="AZ1931" s="3041"/>
      <c r="BD1931" s="3281"/>
      <c r="BH1931" s="3282"/>
      <c r="BJ1931" s="2589"/>
      <c r="BK1931" s="2126"/>
      <c r="BL1931" s="2126"/>
      <c r="BM1931" s="2126"/>
      <c r="BN1931" s="2126"/>
      <c r="BO1931" s="2126"/>
      <c r="BP1931" s="2126"/>
      <c r="BQ1931" s="2126"/>
      <c r="BR1931" s="2126"/>
      <c r="BS1931" s="2126"/>
    </row>
    <row r="1932" spans="1:71" s="3030" customFormat="1">
      <c r="A1932" s="2126"/>
      <c r="B1932" s="2126"/>
      <c r="C1932" s="2149"/>
      <c r="D1932" s="3248"/>
      <c r="E1932" s="525"/>
      <c r="F1932" s="525"/>
      <c r="G1932" s="526"/>
      <c r="K1932" s="3280"/>
      <c r="P1932" s="3041"/>
      <c r="X1932" s="3280"/>
      <c r="AA1932" s="3041"/>
      <c r="AF1932" s="3041"/>
      <c r="AN1932" s="3280"/>
      <c r="AZ1932" s="3041"/>
      <c r="BD1932" s="3281"/>
      <c r="BH1932" s="3282"/>
      <c r="BJ1932" s="2589"/>
      <c r="BK1932" s="2126"/>
      <c r="BL1932" s="2126"/>
      <c r="BM1932" s="2126"/>
      <c r="BN1932" s="2126"/>
      <c r="BO1932" s="2126"/>
      <c r="BP1932" s="2126"/>
      <c r="BQ1932" s="2126"/>
      <c r="BR1932" s="2126"/>
      <c r="BS1932" s="2126"/>
    </row>
    <row r="1933" spans="1:71" s="3030" customFormat="1">
      <c r="A1933" s="2126"/>
      <c r="B1933" s="2126"/>
      <c r="C1933" s="2149"/>
      <c r="D1933" s="3248"/>
      <c r="E1933" s="525"/>
      <c r="F1933" s="525"/>
      <c r="G1933" s="526"/>
      <c r="K1933" s="3280"/>
      <c r="P1933" s="3041"/>
      <c r="X1933" s="3280"/>
      <c r="AA1933" s="3041"/>
      <c r="AF1933" s="3041"/>
      <c r="AN1933" s="3280"/>
      <c r="AZ1933" s="3041"/>
      <c r="BD1933" s="3281"/>
      <c r="BH1933" s="3282"/>
      <c r="BJ1933" s="2589"/>
      <c r="BK1933" s="2126"/>
      <c r="BL1933" s="2126"/>
      <c r="BM1933" s="2126"/>
      <c r="BN1933" s="2126"/>
      <c r="BO1933" s="2126"/>
      <c r="BP1933" s="2126"/>
      <c r="BQ1933" s="2126"/>
      <c r="BR1933" s="2126"/>
      <c r="BS1933" s="2126"/>
    </row>
    <row r="1934" spans="1:71" s="3030" customFormat="1">
      <c r="A1934" s="2126"/>
      <c r="B1934" s="2126"/>
      <c r="C1934" s="2149"/>
      <c r="D1934" s="3248"/>
      <c r="E1934" s="525"/>
      <c r="F1934" s="525"/>
      <c r="G1934" s="526"/>
      <c r="K1934" s="3280"/>
      <c r="P1934" s="3041"/>
      <c r="X1934" s="3280"/>
      <c r="AA1934" s="3041"/>
      <c r="AF1934" s="3041"/>
      <c r="AN1934" s="3280"/>
      <c r="AZ1934" s="3041"/>
      <c r="BD1934" s="3281"/>
      <c r="BH1934" s="3282"/>
      <c r="BJ1934" s="2589"/>
      <c r="BK1934" s="2126"/>
      <c r="BL1934" s="2126"/>
      <c r="BM1934" s="2126"/>
      <c r="BN1934" s="2126"/>
      <c r="BO1934" s="2126"/>
      <c r="BP1934" s="2126"/>
      <c r="BQ1934" s="2126"/>
      <c r="BR1934" s="2126"/>
      <c r="BS1934" s="2126"/>
    </row>
    <row r="1935" spans="1:71" s="3030" customFormat="1">
      <c r="A1935" s="2126"/>
      <c r="B1935" s="2126"/>
      <c r="C1935" s="2149"/>
      <c r="D1935" s="3248"/>
      <c r="E1935" s="525"/>
      <c r="F1935" s="525"/>
      <c r="G1935" s="526"/>
      <c r="K1935" s="3280"/>
      <c r="P1935" s="3041"/>
      <c r="X1935" s="3280"/>
      <c r="AA1935" s="3041"/>
      <c r="AF1935" s="3041"/>
      <c r="AN1935" s="3280"/>
      <c r="AZ1935" s="3041"/>
      <c r="BD1935" s="3281"/>
      <c r="BH1935" s="3282"/>
      <c r="BJ1935" s="2589"/>
      <c r="BK1935" s="2126"/>
      <c r="BL1935" s="2126"/>
      <c r="BM1935" s="2126"/>
      <c r="BN1935" s="2126"/>
      <c r="BO1935" s="2126"/>
      <c r="BP1935" s="2126"/>
      <c r="BQ1935" s="2126"/>
      <c r="BR1935" s="2126"/>
      <c r="BS1935" s="2126"/>
    </row>
    <row r="1936" spans="1:71" s="3030" customFormat="1">
      <c r="A1936" s="2126"/>
      <c r="B1936" s="2126"/>
      <c r="C1936" s="2149"/>
      <c r="D1936" s="3248"/>
      <c r="E1936" s="525"/>
      <c r="F1936" s="525"/>
      <c r="G1936" s="526"/>
      <c r="K1936" s="3280"/>
      <c r="P1936" s="3041"/>
      <c r="X1936" s="3280"/>
      <c r="AA1936" s="3041"/>
      <c r="AF1936" s="3041"/>
      <c r="AN1936" s="3280"/>
      <c r="AZ1936" s="3041"/>
      <c r="BD1936" s="3281"/>
      <c r="BH1936" s="3282"/>
      <c r="BJ1936" s="2589"/>
      <c r="BK1936" s="2126"/>
      <c r="BL1936" s="2126"/>
      <c r="BM1936" s="2126"/>
      <c r="BN1936" s="2126"/>
      <c r="BO1936" s="2126"/>
      <c r="BP1936" s="2126"/>
      <c r="BQ1936" s="2126"/>
      <c r="BR1936" s="2126"/>
      <c r="BS1936" s="2126"/>
    </row>
    <row r="1937" spans="1:71" s="3030" customFormat="1">
      <c r="A1937" s="2126"/>
      <c r="B1937" s="2126"/>
      <c r="C1937" s="2149"/>
      <c r="D1937" s="3248"/>
      <c r="E1937" s="525"/>
      <c r="F1937" s="525"/>
      <c r="G1937" s="526"/>
      <c r="K1937" s="3280"/>
      <c r="P1937" s="3041"/>
      <c r="X1937" s="3280"/>
      <c r="AA1937" s="3041"/>
      <c r="AF1937" s="3041"/>
      <c r="AN1937" s="3280"/>
      <c r="AZ1937" s="3041"/>
      <c r="BD1937" s="3281"/>
      <c r="BH1937" s="3282"/>
      <c r="BJ1937" s="2589"/>
      <c r="BK1937" s="2126"/>
      <c r="BL1937" s="2126"/>
      <c r="BM1937" s="2126"/>
      <c r="BN1937" s="2126"/>
      <c r="BO1937" s="2126"/>
      <c r="BP1937" s="2126"/>
      <c r="BQ1937" s="2126"/>
      <c r="BR1937" s="2126"/>
      <c r="BS1937" s="2126"/>
    </row>
    <row r="1938" spans="1:71" s="3030" customFormat="1">
      <c r="A1938" s="2126"/>
      <c r="B1938" s="2126"/>
      <c r="C1938" s="2149"/>
      <c r="D1938" s="3248"/>
      <c r="E1938" s="525"/>
      <c r="F1938" s="525"/>
      <c r="G1938" s="526"/>
      <c r="K1938" s="3280"/>
      <c r="P1938" s="3041"/>
      <c r="X1938" s="3280"/>
      <c r="AA1938" s="3041"/>
      <c r="AF1938" s="3041"/>
      <c r="AN1938" s="3280"/>
      <c r="AZ1938" s="3041"/>
      <c r="BD1938" s="3281"/>
      <c r="BH1938" s="3282"/>
      <c r="BJ1938" s="2589"/>
      <c r="BK1938" s="2126"/>
      <c r="BL1938" s="2126"/>
      <c r="BM1938" s="2126"/>
      <c r="BN1938" s="2126"/>
      <c r="BO1938" s="2126"/>
      <c r="BP1938" s="2126"/>
      <c r="BQ1938" s="2126"/>
      <c r="BR1938" s="2126"/>
      <c r="BS1938" s="2126"/>
    </row>
    <row r="1939" spans="1:71" s="3030" customFormat="1">
      <c r="A1939" s="2126"/>
      <c r="B1939" s="2126"/>
      <c r="C1939" s="2149"/>
      <c r="D1939" s="3248"/>
      <c r="E1939" s="525"/>
      <c r="F1939" s="525"/>
      <c r="G1939" s="526"/>
      <c r="K1939" s="3280"/>
      <c r="P1939" s="3041"/>
      <c r="X1939" s="3280"/>
      <c r="AA1939" s="3041"/>
      <c r="AF1939" s="3041"/>
      <c r="AN1939" s="3280"/>
      <c r="AZ1939" s="3041"/>
      <c r="BD1939" s="3281"/>
      <c r="BH1939" s="3282"/>
      <c r="BJ1939" s="2589"/>
      <c r="BK1939" s="2126"/>
      <c r="BL1939" s="2126"/>
      <c r="BM1939" s="2126"/>
      <c r="BN1939" s="2126"/>
      <c r="BO1939" s="2126"/>
      <c r="BP1939" s="2126"/>
      <c r="BQ1939" s="2126"/>
      <c r="BR1939" s="2126"/>
      <c r="BS1939" s="2126"/>
    </row>
    <row r="1940" spans="1:71" s="3030" customFormat="1">
      <c r="A1940" s="2126"/>
      <c r="B1940" s="2126"/>
      <c r="C1940" s="2149"/>
      <c r="D1940" s="3248"/>
      <c r="E1940" s="525"/>
      <c r="F1940" s="525"/>
      <c r="G1940" s="526"/>
      <c r="K1940" s="3280"/>
      <c r="P1940" s="3041"/>
      <c r="X1940" s="3280"/>
      <c r="AA1940" s="3041"/>
      <c r="AF1940" s="3041"/>
      <c r="AN1940" s="3280"/>
      <c r="AZ1940" s="3041"/>
      <c r="BD1940" s="3281"/>
      <c r="BH1940" s="3282"/>
      <c r="BJ1940" s="2589"/>
      <c r="BK1940" s="2126"/>
      <c r="BL1940" s="2126"/>
      <c r="BM1940" s="2126"/>
      <c r="BN1940" s="2126"/>
      <c r="BO1940" s="2126"/>
      <c r="BP1940" s="2126"/>
      <c r="BQ1940" s="2126"/>
      <c r="BR1940" s="2126"/>
      <c r="BS1940" s="2126"/>
    </row>
    <row r="1941" spans="1:71" s="3030" customFormat="1">
      <c r="A1941" s="2126"/>
      <c r="B1941" s="2126"/>
      <c r="C1941" s="2149"/>
      <c r="D1941" s="3248"/>
      <c r="E1941" s="525"/>
      <c r="F1941" s="525"/>
      <c r="G1941" s="526"/>
      <c r="K1941" s="3280"/>
      <c r="P1941" s="3041"/>
      <c r="X1941" s="3280"/>
      <c r="AA1941" s="3041"/>
      <c r="AF1941" s="3041"/>
      <c r="AN1941" s="3280"/>
      <c r="AZ1941" s="3041"/>
      <c r="BD1941" s="3281"/>
      <c r="BH1941" s="3282"/>
      <c r="BJ1941" s="2589"/>
      <c r="BK1941" s="2126"/>
      <c r="BL1941" s="2126"/>
      <c r="BM1941" s="2126"/>
      <c r="BN1941" s="2126"/>
      <c r="BO1941" s="2126"/>
      <c r="BP1941" s="2126"/>
      <c r="BQ1941" s="2126"/>
      <c r="BR1941" s="2126"/>
      <c r="BS1941" s="2126"/>
    </row>
    <row r="1942" spans="1:71" s="3030" customFormat="1">
      <c r="A1942" s="2126"/>
      <c r="B1942" s="2126"/>
      <c r="C1942" s="2149"/>
      <c r="D1942" s="3248"/>
      <c r="E1942" s="525"/>
      <c r="F1942" s="525"/>
      <c r="G1942" s="526"/>
      <c r="K1942" s="3280"/>
      <c r="P1942" s="3041"/>
      <c r="X1942" s="3280"/>
      <c r="AA1942" s="3041"/>
      <c r="AF1942" s="3041"/>
      <c r="AN1942" s="3280"/>
      <c r="AZ1942" s="3041"/>
      <c r="BD1942" s="3281"/>
      <c r="BH1942" s="3282"/>
      <c r="BJ1942" s="2589"/>
      <c r="BK1942" s="2126"/>
      <c r="BL1942" s="2126"/>
      <c r="BM1942" s="2126"/>
      <c r="BN1942" s="2126"/>
      <c r="BO1942" s="2126"/>
      <c r="BP1942" s="2126"/>
      <c r="BQ1942" s="2126"/>
      <c r="BR1942" s="2126"/>
      <c r="BS1942" s="2126"/>
    </row>
    <row r="1943" spans="1:71" s="3030" customFormat="1">
      <c r="A1943" s="2126"/>
      <c r="B1943" s="2126"/>
      <c r="C1943" s="2149"/>
      <c r="D1943" s="3248"/>
      <c r="E1943" s="525"/>
      <c r="F1943" s="525"/>
      <c r="G1943" s="526"/>
      <c r="K1943" s="3280"/>
      <c r="P1943" s="3041"/>
      <c r="X1943" s="3280"/>
      <c r="AA1943" s="3041"/>
      <c r="AF1943" s="3041"/>
      <c r="AN1943" s="3280"/>
      <c r="AZ1943" s="3041"/>
      <c r="BD1943" s="3281"/>
      <c r="BH1943" s="3282"/>
      <c r="BJ1943" s="2589"/>
      <c r="BK1943" s="2126"/>
      <c r="BL1943" s="2126"/>
      <c r="BM1943" s="2126"/>
      <c r="BN1943" s="2126"/>
      <c r="BO1943" s="2126"/>
      <c r="BP1943" s="2126"/>
      <c r="BQ1943" s="2126"/>
      <c r="BR1943" s="2126"/>
      <c r="BS1943" s="2126"/>
    </row>
    <row r="1944" spans="1:71" s="3030" customFormat="1">
      <c r="A1944" s="2126"/>
      <c r="B1944" s="2126"/>
      <c r="C1944" s="2149"/>
      <c r="D1944" s="3248"/>
      <c r="E1944" s="525"/>
      <c r="F1944" s="525"/>
      <c r="G1944" s="526"/>
      <c r="K1944" s="3280"/>
      <c r="P1944" s="3041"/>
      <c r="X1944" s="3280"/>
      <c r="AA1944" s="3041"/>
      <c r="AF1944" s="3041"/>
      <c r="AN1944" s="3280"/>
      <c r="AZ1944" s="3041"/>
      <c r="BD1944" s="3281"/>
      <c r="BH1944" s="3282"/>
      <c r="BJ1944" s="2589"/>
      <c r="BK1944" s="2126"/>
      <c r="BL1944" s="2126"/>
      <c r="BM1944" s="2126"/>
      <c r="BN1944" s="2126"/>
      <c r="BO1944" s="2126"/>
      <c r="BP1944" s="2126"/>
      <c r="BQ1944" s="2126"/>
      <c r="BR1944" s="2126"/>
      <c r="BS1944" s="2126"/>
    </row>
    <row r="1945" spans="1:71" s="3030" customFormat="1">
      <c r="A1945" s="2126"/>
      <c r="B1945" s="2126"/>
      <c r="C1945" s="2149"/>
      <c r="D1945" s="3248"/>
      <c r="E1945" s="525"/>
      <c r="F1945" s="525"/>
      <c r="G1945" s="526"/>
      <c r="K1945" s="3280"/>
      <c r="P1945" s="3041"/>
      <c r="X1945" s="3280"/>
      <c r="AA1945" s="3041"/>
      <c r="AF1945" s="3041"/>
      <c r="AN1945" s="3280"/>
      <c r="AZ1945" s="3041"/>
      <c r="BD1945" s="3281"/>
      <c r="BH1945" s="3282"/>
      <c r="BJ1945" s="2589"/>
      <c r="BK1945" s="2126"/>
      <c r="BL1945" s="2126"/>
      <c r="BM1945" s="2126"/>
      <c r="BN1945" s="2126"/>
      <c r="BO1945" s="2126"/>
      <c r="BP1945" s="2126"/>
      <c r="BQ1945" s="2126"/>
      <c r="BR1945" s="2126"/>
      <c r="BS1945" s="2126"/>
    </row>
    <row r="1946" spans="1:71" s="3030" customFormat="1">
      <c r="A1946" s="2126"/>
      <c r="B1946" s="2126"/>
      <c r="C1946" s="2149"/>
      <c r="D1946" s="3248"/>
      <c r="E1946" s="525"/>
      <c r="F1946" s="525"/>
      <c r="G1946" s="526"/>
      <c r="K1946" s="3280"/>
      <c r="P1946" s="3041"/>
      <c r="X1946" s="3280"/>
      <c r="AA1946" s="3041"/>
      <c r="AF1946" s="3041"/>
      <c r="AN1946" s="3280"/>
      <c r="AZ1946" s="3041"/>
      <c r="BD1946" s="3281"/>
      <c r="BH1946" s="3282"/>
      <c r="BJ1946" s="2589"/>
      <c r="BK1946" s="2126"/>
      <c r="BL1946" s="2126"/>
      <c r="BM1946" s="2126"/>
      <c r="BN1946" s="2126"/>
      <c r="BO1946" s="2126"/>
      <c r="BP1946" s="2126"/>
      <c r="BQ1946" s="2126"/>
      <c r="BR1946" s="2126"/>
      <c r="BS1946" s="2126"/>
    </row>
    <row r="1947" spans="1:71" s="3030" customFormat="1">
      <c r="A1947" s="2126"/>
      <c r="B1947" s="2126"/>
      <c r="C1947" s="2149"/>
      <c r="D1947" s="3248"/>
      <c r="E1947" s="525"/>
      <c r="F1947" s="525"/>
      <c r="G1947" s="526"/>
      <c r="K1947" s="3280"/>
      <c r="P1947" s="3041"/>
      <c r="X1947" s="3280"/>
      <c r="AA1947" s="3041"/>
      <c r="AF1947" s="3041"/>
      <c r="AN1947" s="3280"/>
      <c r="AZ1947" s="3041"/>
      <c r="BD1947" s="3281"/>
      <c r="BH1947" s="3282"/>
      <c r="BJ1947" s="2589"/>
      <c r="BK1947" s="2126"/>
      <c r="BL1947" s="2126"/>
      <c r="BM1947" s="2126"/>
      <c r="BN1947" s="2126"/>
      <c r="BO1947" s="2126"/>
      <c r="BP1947" s="2126"/>
      <c r="BQ1947" s="2126"/>
      <c r="BR1947" s="2126"/>
      <c r="BS1947" s="2126"/>
    </row>
    <row r="1948" spans="1:71" s="3030" customFormat="1">
      <c r="A1948" s="2126"/>
      <c r="B1948" s="2126"/>
      <c r="C1948" s="2149"/>
      <c r="D1948" s="3248"/>
      <c r="E1948" s="525"/>
      <c r="F1948" s="525"/>
      <c r="G1948" s="526"/>
      <c r="K1948" s="3280"/>
      <c r="P1948" s="3041"/>
      <c r="X1948" s="3280"/>
      <c r="AA1948" s="3041"/>
      <c r="AF1948" s="3041"/>
      <c r="AN1948" s="3280"/>
      <c r="AZ1948" s="3041"/>
      <c r="BD1948" s="3281"/>
      <c r="BH1948" s="3282"/>
      <c r="BJ1948" s="2589"/>
      <c r="BK1948" s="2126"/>
      <c r="BL1948" s="2126"/>
      <c r="BM1948" s="2126"/>
      <c r="BN1948" s="2126"/>
      <c r="BO1948" s="2126"/>
      <c r="BP1948" s="2126"/>
      <c r="BQ1948" s="2126"/>
      <c r="BR1948" s="2126"/>
      <c r="BS1948" s="2126"/>
    </row>
    <row r="1949" spans="1:71" s="3030" customFormat="1">
      <c r="A1949" s="2126"/>
      <c r="B1949" s="2126"/>
      <c r="C1949" s="2149"/>
      <c r="D1949" s="3248"/>
      <c r="E1949" s="525"/>
      <c r="F1949" s="525"/>
      <c r="G1949" s="526"/>
      <c r="K1949" s="3280"/>
      <c r="P1949" s="3041"/>
      <c r="X1949" s="3280"/>
      <c r="AA1949" s="3041"/>
      <c r="AF1949" s="3041"/>
      <c r="AN1949" s="3280"/>
      <c r="AZ1949" s="3041"/>
      <c r="BD1949" s="3281"/>
      <c r="BH1949" s="3282"/>
      <c r="BJ1949" s="2589"/>
      <c r="BK1949" s="2126"/>
      <c r="BL1949" s="2126"/>
      <c r="BM1949" s="2126"/>
      <c r="BN1949" s="2126"/>
      <c r="BO1949" s="2126"/>
      <c r="BP1949" s="2126"/>
      <c r="BQ1949" s="2126"/>
      <c r="BR1949" s="2126"/>
      <c r="BS1949" s="2126"/>
    </row>
    <row r="1950" spans="1:71" s="3030" customFormat="1">
      <c r="A1950" s="2126"/>
      <c r="B1950" s="2126"/>
      <c r="C1950" s="2149"/>
      <c r="D1950" s="3248"/>
      <c r="E1950" s="525"/>
      <c r="F1950" s="525"/>
      <c r="G1950" s="526"/>
      <c r="K1950" s="3280"/>
      <c r="P1950" s="3041"/>
      <c r="X1950" s="3280"/>
      <c r="AA1950" s="3041"/>
      <c r="AF1950" s="3041"/>
      <c r="AN1950" s="3280"/>
      <c r="AZ1950" s="3041"/>
      <c r="BD1950" s="3281"/>
      <c r="BH1950" s="3282"/>
      <c r="BJ1950" s="2589"/>
      <c r="BK1950" s="2126"/>
      <c r="BL1950" s="2126"/>
      <c r="BM1950" s="2126"/>
      <c r="BN1950" s="2126"/>
      <c r="BO1950" s="2126"/>
      <c r="BP1950" s="2126"/>
      <c r="BQ1950" s="2126"/>
      <c r="BR1950" s="2126"/>
      <c r="BS1950" s="2126"/>
    </row>
    <row r="1951" spans="1:71" s="3030" customFormat="1">
      <c r="A1951" s="2126"/>
      <c r="B1951" s="2126"/>
      <c r="C1951" s="2149"/>
      <c r="D1951" s="3248"/>
      <c r="E1951" s="525"/>
      <c r="F1951" s="525"/>
      <c r="G1951" s="526"/>
      <c r="K1951" s="3280"/>
      <c r="P1951" s="3041"/>
      <c r="X1951" s="3280"/>
      <c r="AA1951" s="3041"/>
      <c r="AF1951" s="3041"/>
      <c r="AN1951" s="3280"/>
      <c r="AZ1951" s="3041"/>
      <c r="BD1951" s="3281"/>
      <c r="BH1951" s="3282"/>
      <c r="BJ1951" s="2589"/>
      <c r="BK1951" s="2126"/>
      <c r="BL1951" s="2126"/>
      <c r="BM1951" s="2126"/>
      <c r="BN1951" s="2126"/>
      <c r="BO1951" s="2126"/>
      <c r="BP1951" s="2126"/>
      <c r="BQ1951" s="2126"/>
      <c r="BR1951" s="2126"/>
      <c r="BS1951" s="2126"/>
    </row>
    <row r="1952" spans="1:71" s="3030" customFormat="1">
      <c r="A1952" s="2126"/>
      <c r="B1952" s="2126"/>
      <c r="C1952" s="2149"/>
      <c r="D1952" s="3248"/>
      <c r="E1952" s="525"/>
      <c r="F1952" s="525"/>
      <c r="G1952" s="526"/>
      <c r="K1952" s="3280"/>
      <c r="P1952" s="3041"/>
      <c r="X1952" s="3280"/>
      <c r="AA1952" s="3041"/>
      <c r="AF1952" s="3041"/>
      <c r="AN1952" s="3280"/>
      <c r="AZ1952" s="3041"/>
      <c r="BD1952" s="3281"/>
      <c r="BH1952" s="3282"/>
      <c r="BJ1952" s="2589"/>
      <c r="BK1952" s="2126"/>
      <c r="BL1952" s="2126"/>
      <c r="BM1952" s="2126"/>
      <c r="BN1952" s="2126"/>
      <c r="BO1952" s="2126"/>
      <c r="BP1952" s="2126"/>
      <c r="BQ1952" s="2126"/>
      <c r="BR1952" s="2126"/>
      <c r="BS1952" s="2126"/>
    </row>
    <row r="1953" spans="1:71" s="3030" customFormat="1">
      <c r="A1953" s="2126"/>
      <c r="B1953" s="2126"/>
      <c r="C1953" s="2149"/>
      <c r="D1953" s="3248"/>
      <c r="E1953" s="525"/>
      <c r="F1953" s="525"/>
      <c r="G1953" s="526"/>
      <c r="K1953" s="3280"/>
      <c r="P1953" s="3041"/>
      <c r="X1953" s="3280"/>
      <c r="AA1953" s="3041"/>
      <c r="AF1953" s="3041"/>
      <c r="AN1953" s="3280"/>
      <c r="AZ1953" s="3041"/>
      <c r="BD1953" s="3281"/>
      <c r="BH1953" s="3282"/>
      <c r="BJ1953" s="2589"/>
      <c r="BK1953" s="2126"/>
      <c r="BL1953" s="2126"/>
      <c r="BM1953" s="2126"/>
      <c r="BN1953" s="2126"/>
      <c r="BO1953" s="2126"/>
      <c r="BP1953" s="2126"/>
      <c r="BQ1953" s="2126"/>
      <c r="BR1953" s="2126"/>
      <c r="BS1953" s="2126"/>
    </row>
    <row r="1954" spans="1:71" s="3030" customFormat="1">
      <c r="A1954" s="2126"/>
      <c r="B1954" s="2126"/>
      <c r="C1954" s="2149"/>
      <c r="D1954" s="3248"/>
      <c r="E1954" s="525"/>
      <c r="F1954" s="525"/>
      <c r="G1954" s="526"/>
      <c r="K1954" s="3280"/>
      <c r="P1954" s="3041"/>
      <c r="X1954" s="3280"/>
      <c r="AA1954" s="3041"/>
      <c r="AF1954" s="3041"/>
      <c r="AN1954" s="3280"/>
      <c r="AZ1954" s="3041"/>
      <c r="BD1954" s="3281"/>
      <c r="BH1954" s="3282"/>
      <c r="BJ1954" s="2589"/>
      <c r="BK1954" s="2126"/>
      <c r="BL1954" s="2126"/>
      <c r="BM1954" s="2126"/>
      <c r="BN1954" s="2126"/>
      <c r="BO1954" s="2126"/>
      <c r="BP1954" s="2126"/>
      <c r="BQ1954" s="2126"/>
      <c r="BR1954" s="2126"/>
      <c r="BS1954" s="2126"/>
    </row>
    <row r="1955" spans="1:71" s="3030" customFormat="1">
      <c r="A1955" s="2126"/>
      <c r="B1955" s="2126"/>
      <c r="C1955" s="2149"/>
      <c r="D1955" s="3248"/>
      <c r="E1955" s="525"/>
      <c r="F1955" s="525"/>
      <c r="G1955" s="526"/>
      <c r="K1955" s="3280"/>
      <c r="P1955" s="3041"/>
      <c r="X1955" s="3280"/>
      <c r="AA1955" s="3041"/>
      <c r="AF1955" s="3041"/>
      <c r="AN1955" s="3280"/>
      <c r="AZ1955" s="3041"/>
      <c r="BD1955" s="3281"/>
      <c r="BH1955" s="3282"/>
      <c r="BJ1955" s="2589"/>
      <c r="BK1955" s="2126"/>
      <c r="BL1955" s="2126"/>
      <c r="BM1955" s="2126"/>
      <c r="BN1955" s="2126"/>
      <c r="BO1955" s="2126"/>
      <c r="BP1955" s="2126"/>
      <c r="BQ1955" s="2126"/>
      <c r="BR1955" s="2126"/>
      <c r="BS1955" s="2126"/>
    </row>
    <row r="1956" spans="1:71" s="3030" customFormat="1">
      <c r="A1956" s="2126"/>
      <c r="B1956" s="2126"/>
      <c r="C1956" s="2149"/>
      <c r="D1956" s="3248"/>
      <c r="E1956" s="525"/>
      <c r="F1956" s="525"/>
      <c r="G1956" s="526"/>
      <c r="K1956" s="3280"/>
      <c r="P1956" s="3041"/>
      <c r="X1956" s="3280"/>
      <c r="AA1956" s="3041"/>
      <c r="AF1956" s="3041"/>
      <c r="AN1956" s="3280"/>
      <c r="AZ1956" s="3041"/>
      <c r="BD1956" s="3281"/>
      <c r="BH1956" s="3282"/>
      <c r="BJ1956" s="2589"/>
      <c r="BK1956" s="2126"/>
      <c r="BL1956" s="2126"/>
      <c r="BM1956" s="2126"/>
      <c r="BN1956" s="2126"/>
      <c r="BO1956" s="2126"/>
      <c r="BP1956" s="2126"/>
      <c r="BQ1956" s="2126"/>
      <c r="BR1956" s="2126"/>
      <c r="BS1956" s="2126"/>
    </row>
    <row r="1957" spans="1:71" s="3030" customFormat="1">
      <c r="A1957" s="2126"/>
      <c r="B1957" s="2126"/>
      <c r="C1957" s="2149"/>
      <c r="D1957" s="3248"/>
      <c r="E1957" s="525"/>
      <c r="F1957" s="525"/>
      <c r="G1957" s="526"/>
      <c r="K1957" s="3280"/>
      <c r="P1957" s="3041"/>
      <c r="X1957" s="3280"/>
      <c r="AA1957" s="3041"/>
      <c r="AF1957" s="3041"/>
      <c r="AN1957" s="3280"/>
      <c r="AZ1957" s="3041"/>
      <c r="BD1957" s="3281"/>
      <c r="BH1957" s="3282"/>
      <c r="BJ1957" s="2589"/>
      <c r="BK1957" s="2126"/>
      <c r="BL1957" s="2126"/>
      <c r="BM1957" s="2126"/>
      <c r="BN1957" s="2126"/>
      <c r="BO1957" s="2126"/>
      <c r="BP1957" s="2126"/>
      <c r="BQ1957" s="2126"/>
      <c r="BR1957" s="2126"/>
      <c r="BS1957" s="2126"/>
    </row>
    <row r="1958" spans="1:71" s="3030" customFormat="1">
      <c r="A1958" s="2126"/>
      <c r="B1958" s="2126"/>
      <c r="C1958" s="2149"/>
      <c r="D1958" s="3248"/>
      <c r="E1958" s="525"/>
      <c r="F1958" s="525"/>
      <c r="G1958" s="526"/>
      <c r="K1958" s="3280"/>
      <c r="P1958" s="3041"/>
      <c r="X1958" s="3280"/>
      <c r="AA1958" s="3041"/>
      <c r="AF1958" s="3041"/>
      <c r="AN1958" s="3280"/>
      <c r="AZ1958" s="3041"/>
      <c r="BD1958" s="3281"/>
      <c r="BH1958" s="3282"/>
      <c r="BJ1958" s="2589"/>
      <c r="BK1958" s="2126"/>
      <c r="BL1958" s="2126"/>
      <c r="BM1958" s="2126"/>
      <c r="BN1958" s="2126"/>
      <c r="BO1958" s="2126"/>
      <c r="BP1958" s="2126"/>
      <c r="BQ1958" s="2126"/>
      <c r="BR1958" s="2126"/>
      <c r="BS1958" s="2126"/>
    </row>
    <row r="1959" spans="1:71" s="3030" customFormat="1">
      <c r="A1959" s="2126"/>
      <c r="B1959" s="2126"/>
      <c r="C1959" s="2149"/>
      <c r="D1959" s="3248"/>
      <c r="E1959" s="525"/>
      <c r="F1959" s="525"/>
      <c r="G1959" s="526"/>
      <c r="K1959" s="3280"/>
      <c r="P1959" s="3041"/>
      <c r="X1959" s="3280"/>
      <c r="AA1959" s="3041"/>
      <c r="AF1959" s="3041"/>
      <c r="AN1959" s="3280"/>
      <c r="AZ1959" s="3041"/>
      <c r="BD1959" s="3281"/>
      <c r="BH1959" s="3282"/>
      <c r="BJ1959" s="2589"/>
      <c r="BK1959" s="2126"/>
      <c r="BL1959" s="2126"/>
      <c r="BM1959" s="2126"/>
      <c r="BN1959" s="2126"/>
      <c r="BO1959" s="2126"/>
      <c r="BP1959" s="2126"/>
      <c r="BQ1959" s="2126"/>
      <c r="BR1959" s="2126"/>
      <c r="BS1959" s="2126"/>
    </row>
    <row r="1960" spans="1:71" s="3030" customFormat="1">
      <c r="A1960" s="2126"/>
      <c r="B1960" s="2126"/>
      <c r="C1960" s="2149"/>
      <c r="D1960" s="3248"/>
      <c r="E1960" s="525"/>
      <c r="F1960" s="525"/>
      <c r="G1960" s="526"/>
      <c r="K1960" s="3280"/>
      <c r="P1960" s="3041"/>
      <c r="X1960" s="3280"/>
      <c r="AA1960" s="3041"/>
      <c r="AF1960" s="3041"/>
      <c r="AN1960" s="3280"/>
      <c r="AZ1960" s="3041"/>
      <c r="BD1960" s="3281"/>
      <c r="BH1960" s="3282"/>
      <c r="BJ1960" s="2589"/>
      <c r="BK1960" s="2126"/>
      <c r="BL1960" s="2126"/>
      <c r="BM1960" s="2126"/>
      <c r="BN1960" s="2126"/>
      <c r="BO1960" s="2126"/>
      <c r="BP1960" s="2126"/>
      <c r="BQ1960" s="2126"/>
      <c r="BR1960" s="2126"/>
      <c r="BS1960" s="2126"/>
    </row>
    <row r="1961" spans="1:71" s="3030" customFormat="1">
      <c r="A1961" s="2126"/>
      <c r="B1961" s="2126"/>
      <c r="C1961" s="2149"/>
      <c r="D1961" s="3248"/>
      <c r="E1961" s="525"/>
      <c r="F1961" s="525"/>
      <c r="G1961" s="526"/>
      <c r="K1961" s="3280"/>
      <c r="P1961" s="3041"/>
      <c r="X1961" s="3280"/>
      <c r="AA1961" s="3041"/>
      <c r="AF1961" s="3041"/>
      <c r="AN1961" s="3280"/>
      <c r="AZ1961" s="3041"/>
      <c r="BD1961" s="3281"/>
      <c r="BH1961" s="3282"/>
      <c r="BJ1961" s="2589"/>
      <c r="BK1961" s="2126"/>
      <c r="BL1961" s="2126"/>
      <c r="BM1961" s="2126"/>
      <c r="BN1961" s="2126"/>
      <c r="BO1961" s="2126"/>
      <c r="BP1961" s="2126"/>
      <c r="BQ1961" s="2126"/>
      <c r="BR1961" s="2126"/>
      <c r="BS1961" s="2126"/>
    </row>
    <row r="1962" spans="1:71" s="3030" customFormat="1">
      <c r="A1962" s="2126"/>
      <c r="B1962" s="2126"/>
      <c r="C1962" s="2149"/>
      <c r="D1962" s="3248"/>
      <c r="E1962" s="525"/>
      <c r="F1962" s="525"/>
      <c r="G1962" s="526"/>
      <c r="K1962" s="3280"/>
      <c r="P1962" s="3041"/>
      <c r="X1962" s="3280"/>
      <c r="AA1962" s="3041"/>
      <c r="AF1962" s="3041"/>
      <c r="AN1962" s="3280"/>
      <c r="AZ1962" s="3041"/>
      <c r="BD1962" s="3281"/>
      <c r="BH1962" s="3282"/>
      <c r="BJ1962" s="2589"/>
      <c r="BK1962" s="2126"/>
      <c r="BL1962" s="2126"/>
      <c r="BM1962" s="2126"/>
      <c r="BN1962" s="2126"/>
      <c r="BO1962" s="2126"/>
      <c r="BP1962" s="2126"/>
      <c r="BQ1962" s="2126"/>
      <c r="BR1962" s="2126"/>
      <c r="BS1962" s="2126"/>
    </row>
    <row r="1963" spans="1:71" s="3030" customFormat="1">
      <c r="A1963" s="2126"/>
      <c r="B1963" s="2126"/>
      <c r="C1963" s="2149"/>
      <c r="D1963" s="3248"/>
      <c r="E1963" s="525"/>
      <c r="F1963" s="525"/>
      <c r="G1963" s="526"/>
      <c r="K1963" s="3280"/>
      <c r="P1963" s="3041"/>
      <c r="X1963" s="3280"/>
      <c r="AA1963" s="3041"/>
      <c r="AF1963" s="3041"/>
      <c r="AN1963" s="3280"/>
      <c r="AZ1963" s="3041"/>
      <c r="BD1963" s="3281"/>
      <c r="BH1963" s="3282"/>
      <c r="BJ1963" s="2589"/>
      <c r="BK1963" s="2126"/>
      <c r="BL1963" s="2126"/>
      <c r="BM1963" s="2126"/>
      <c r="BN1963" s="2126"/>
      <c r="BO1963" s="2126"/>
      <c r="BP1963" s="2126"/>
      <c r="BQ1963" s="2126"/>
      <c r="BR1963" s="2126"/>
      <c r="BS1963" s="2126"/>
    </row>
    <row r="1964" spans="1:71" s="3030" customFormat="1">
      <c r="A1964" s="2126"/>
      <c r="B1964" s="2126"/>
      <c r="C1964" s="2149"/>
      <c r="D1964" s="3248"/>
      <c r="E1964" s="525"/>
      <c r="F1964" s="525"/>
      <c r="G1964" s="526"/>
      <c r="K1964" s="3280"/>
      <c r="P1964" s="3041"/>
      <c r="X1964" s="3280"/>
      <c r="AA1964" s="3041"/>
      <c r="AF1964" s="3041"/>
      <c r="AN1964" s="3280"/>
      <c r="AZ1964" s="3041"/>
      <c r="BD1964" s="3281"/>
      <c r="BH1964" s="3282"/>
      <c r="BJ1964" s="2589"/>
      <c r="BK1964" s="2126"/>
      <c r="BL1964" s="2126"/>
      <c r="BM1964" s="2126"/>
      <c r="BN1964" s="2126"/>
      <c r="BO1964" s="2126"/>
      <c r="BP1964" s="2126"/>
      <c r="BQ1964" s="2126"/>
      <c r="BR1964" s="2126"/>
      <c r="BS1964" s="2126"/>
    </row>
    <row r="1965" spans="1:71" s="3030" customFormat="1">
      <c r="A1965" s="2126"/>
      <c r="B1965" s="2126"/>
      <c r="C1965" s="2149"/>
      <c r="D1965" s="3248"/>
      <c r="E1965" s="525"/>
      <c r="F1965" s="525"/>
      <c r="G1965" s="526"/>
      <c r="K1965" s="3280"/>
      <c r="P1965" s="3041"/>
      <c r="X1965" s="3280"/>
      <c r="AA1965" s="3041"/>
      <c r="AF1965" s="3041"/>
      <c r="AN1965" s="3280"/>
      <c r="AZ1965" s="3041"/>
      <c r="BD1965" s="3281"/>
      <c r="BH1965" s="3282"/>
      <c r="BJ1965" s="2589"/>
      <c r="BK1965" s="2126"/>
      <c r="BL1965" s="2126"/>
      <c r="BM1965" s="2126"/>
      <c r="BN1965" s="2126"/>
      <c r="BO1965" s="2126"/>
      <c r="BP1965" s="2126"/>
      <c r="BQ1965" s="2126"/>
      <c r="BR1965" s="2126"/>
      <c r="BS1965" s="2126"/>
    </row>
    <row r="1966" spans="1:71" s="3030" customFormat="1">
      <c r="A1966" s="2126"/>
      <c r="B1966" s="2126"/>
      <c r="C1966" s="2149"/>
      <c r="D1966" s="3248"/>
      <c r="E1966" s="525"/>
      <c r="F1966" s="525"/>
      <c r="G1966" s="526"/>
      <c r="K1966" s="3280"/>
      <c r="P1966" s="3041"/>
      <c r="X1966" s="3280"/>
      <c r="AA1966" s="3041"/>
      <c r="AF1966" s="3041"/>
      <c r="AN1966" s="3280"/>
      <c r="AZ1966" s="3041"/>
      <c r="BD1966" s="3281"/>
      <c r="BH1966" s="3282"/>
      <c r="BJ1966" s="2589"/>
      <c r="BK1966" s="2126"/>
      <c r="BL1966" s="2126"/>
      <c r="BM1966" s="2126"/>
      <c r="BN1966" s="2126"/>
      <c r="BO1966" s="2126"/>
      <c r="BP1966" s="2126"/>
      <c r="BQ1966" s="2126"/>
      <c r="BR1966" s="2126"/>
      <c r="BS1966" s="2126"/>
    </row>
    <row r="1967" spans="1:71" s="3030" customFormat="1">
      <c r="A1967" s="2126"/>
      <c r="B1967" s="2126"/>
      <c r="C1967" s="2149"/>
      <c r="D1967" s="3248"/>
      <c r="E1967" s="525"/>
      <c r="F1967" s="525"/>
      <c r="G1967" s="526"/>
      <c r="K1967" s="3280"/>
      <c r="P1967" s="3041"/>
      <c r="X1967" s="3280"/>
      <c r="AA1967" s="3041"/>
      <c r="AF1967" s="3041"/>
      <c r="AN1967" s="3280"/>
      <c r="AZ1967" s="3041"/>
      <c r="BD1967" s="3281"/>
      <c r="BH1967" s="3282"/>
      <c r="BJ1967" s="2589"/>
      <c r="BK1967" s="2126"/>
      <c r="BL1967" s="2126"/>
      <c r="BM1967" s="2126"/>
      <c r="BN1967" s="2126"/>
      <c r="BO1967" s="2126"/>
      <c r="BP1967" s="2126"/>
      <c r="BQ1967" s="2126"/>
      <c r="BR1967" s="2126"/>
      <c r="BS1967" s="2126"/>
    </row>
    <row r="1968" spans="1:71" s="3030" customFormat="1">
      <c r="A1968" s="2126"/>
      <c r="B1968" s="2126"/>
      <c r="C1968" s="2149"/>
      <c r="D1968" s="3248"/>
      <c r="E1968" s="525"/>
      <c r="F1968" s="525"/>
      <c r="G1968" s="526"/>
      <c r="K1968" s="3280"/>
      <c r="P1968" s="3041"/>
      <c r="X1968" s="3280"/>
      <c r="AA1968" s="3041"/>
      <c r="AF1968" s="3041"/>
      <c r="AN1968" s="3280"/>
      <c r="AZ1968" s="3041"/>
      <c r="BD1968" s="3281"/>
      <c r="BH1968" s="3282"/>
      <c r="BJ1968" s="2589"/>
      <c r="BK1968" s="2126"/>
      <c r="BL1968" s="2126"/>
      <c r="BM1968" s="2126"/>
      <c r="BN1968" s="2126"/>
      <c r="BO1968" s="2126"/>
      <c r="BP1968" s="2126"/>
      <c r="BQ1968" s="2126"/>
      <c r="BR1968" s="2126"/>
      <c r="BS1968" s="2126"/>
    </row>
    <row r="1969" spans="1:71" s="3030" customFormat="1">
      <c r="A1969" s="2126"/>
      <c r="B1969" s="2126"/>
      <c r="C1969" s="2149"/>
      <c r="D1969" s="3248"/>
      <c r="E1969" s="525"/>
      <c r="F1969" s="525"/>
      <c r="G1969" s="526"/>
      <c r="K1969" s="3280"/>
      <c r="P1969" s="3041"/>
      <c r="X1969" s="3280"/>
      <c r="AA1969" s="3041"/>
      <c r="AF1969" s="3041"/>
      <c r="AN1969" s="3280"/>
      <c r="AZ1969" s="3041"/>
      <c r="BD1969" s="3281"/>
      <c r="BH1969" s="3282"/>
      <c r="BJ1969" s="2589"/>
      <c r="BK1969" s="2126"/>
      <c r="BL1969" s="2126"/>
      <c r="BM1969" s="2126"/>
      <c r="BN1969" s="2126"/>
      <c r="BO1969" s="2126"/>
      <c r="BP1969" s="2126"/>
      <c r="BQ1969" s="2126"/>
      <c r="BR1969" s="2126"/>
      <c r="BS1969" s="2126"/>
    </row>
    <row r="1970" spans="1:71" s="3030" customFormat="1">
      <c r="A1970" s="2126"/>
      <c r="B1970" s="2126"/>
      <c r="C1970" s="2149"/>
      <c r="D1970" s="3248"/>
      <c r="E1970" s="525"/>
      <c r="F1970" s="525"/>
      <c r="G1970" s="526"/>
      <c r="K1970" s="3280"/>
      <c r="P1970" s="3041"/>
      <c r="X1970" s="3280"/>
      <c r="AA1970" s="3041"/>
      <c r="AF1970" s="3041"/>
      <c r="AN1970" s="3280"/>
      <c r="AZ1970" s="3041"/>
      <c r="BD1970" s="3281"/>
      <c r="BH1970" s="3282"/>
      <c r="BJ1970" s="2589"/>
      <c r="BK1970" s="2126"/>
      <c r="BL1970" s="2126"/>
      <c r="BM1970" s="2126"/>
      <c r="BN1970" s="2126"/>
      <c r="BO1970" s="2126"/>
      <c r="BP1970" s="2126"/>
      <c r="BQ1970" s="2126"/>
      <c r="BR1970" s="2126"/>
      <c r="BS1970" s="2126"/>
    </row>
    <row r="1971" spans="1:71" s="3030" customFormat="1">
      <c r="A1971" s="2126"/>
      <c r="B1971" s="2126"/>
      <c r="C1971" s="2149"/>
      <c r="D1971" s="3248"/>
      <c r="E1971" s="525"/>
      <c r="F1971" s="525"/>
      <c r="G1971" s="526"/>
      <c r="K1971" s="3280"/>
      <c r="P1971" s="3041"/>
      <c r="X1971" s="3280"/>
      <c r="AA1971" s="3041"/>
      <c r="AF1971" s="3041"/>
      <c r="AN1971" s="3280"/>
      <c r="AZ1971" s="3041"/>
      <c r="BD1971" s="3281"/>
      <c r="BH1971" s="3282"/>
      <c r="BJ1971" s="2589"/>
      <c r="BK1971" s="2126"/>
      <c r="BL1971" s="2126"/>
      <c r="BM1971" s="2126"/>
      <c r="BN1971" s="2126"/>
      <c r="BO1971" s="2126"/>
      <c r="BP1971" s="2126"/>
      <c r="BQ1971" s="2126"/>
      <c r="BR1971" s="2126"/>
      <c r="BS1971" s="2126"/>
    </row>
    <row r="1972" spans="1:71" s="3030" customFormat="1">
      <c r="A1972" s="2126"/>
      <c r="B1972" s="2126"/>
      <c r="C1972" s="2149"/>
      <c r="D1972" s="3248"/>
      <c r="E1972" s="525"/>
      <c r="F1972" s="525"/>
      <c r="G1972" s="526"/>
      <c r="K1972" s="3280"/>
      <c r="P1972" s="3041"/>
      <c r="X1972" s="3280"/>
      <c r="AA1972" s="3041"/>
      <c r="AF1972" s="3041"/>
      <c r="AN1972" s="3280"/>
      <c r="AZ1972" s="3041"/>
      <c r="BD1972" s="3281"/>
      <c r="BH1972" s="3282"/>
      <c r="BJ1972" s="2589"/>
      <c r="BK1972" s="2126"/>
      <c r="BL1972" s="2126"/>
      <c r="BM1972" s="2126"/>
      <c r="BN1972" s="2126"/>
      <c r="BO1972" s="2126"/>
      <c r="BP1972" s="2126"/>
      <c r="BQ1972" s="2126"/>
      <c r="BR1972" s="2126"/>
      <c r="BS1972" s="2126"/>
    </row>
    <row r="1973" spans="1:71" s="3030" customFormat="1">
      <c r="A1973" s="2126"/>
      <c r="B1973" s="2126"/>
      <c r="C1973" s="2149"/>
      <c r="D1973" s="3248"/>
      <c r="E1973" s="525"/>
      <c r="F1973" s="525"/>
      <c r="G1973" s="526"/>
      <c r="K1973" s="3280"/>
      <c r="P1973" s="3041"/>
      <c r="X1973" s="3280"/>
      <c r="AA1973" s="3041"/>
      <c r="AF1973" s="3041"/>
      <c r="AN1973" s="3280"/>
      <c r="AZ1973" s="3041"/>
      <c r="BD1973" s="3281"/>
      <c r="BH1973" s="3282"/>
      <c r="BJ1973" s="2589"/>
      <c r="BK1973" s="2126"/>
      <c r="BL1973" s="2126"/>
      <c r="BM1973" s="2126"/>
      <c r="BN1973" s="2126"/>
      <c r="BO1973" s="2126"/>
      <c r="BP1973" s="2126"/>
      <c r="BQ1973" s="2126"/>
      <c r="BR1973" s="2126"/>
      <c r="BS1973" s="2126"/>
    </row>
    <row r="1974" spans="1:71" s="3030" customFormat="1">
      <c r="A1974" s="2126"/>
      <c r="B1974" s="2126"/>
      <c r="C1974" s="2149"/>
      <c r="D1974" s="3248"/>
      <c r="E1974" s="525"/>
      <c r="F1974" s="525"/>
      <c r="G1974" s="526"/>
      <c r="K1974" s="3280"/>
      <c r="P1974" s="3041"/>
      <c r="X1974" s="3280"/>
      <c r="AA1974" s="3041"/>
      <c r="AF1974" s="3041"/>
      <c r="AN1974" s="3280"/>
      <c r="AZ1974" s="3041"/>
      <c r="BD1974" s="3281"/>
      <c r="BH1974" s="3282"/>
      <c r="BJ1974" s="2589"/>
      <c r="BK1974" s="2126"/>
      <c r="BL1974" s="2126"/>
      <c r="BM1974" s="2126"/>
      <c r="BN1974" s="2126"/>
      <c r="BO1974" s="2126"/>
      <c r="BP1974" s="2126"/>
      <c r="BQ1974" s="2126"/>
      <c r="BR1974" s="2126"/>
      <c r="BS1974" s="2126"/>
    </row>
    <row r="1975" spans="1:71" s="3030" customFormat="1">
      <c r="A1975" s="2126"/>
      <c r="B1975" s="2126"/>
      <c r="C1975" s="2149"/>
      <c r="D1975" s="3248"/>
      <c r="E1975" s="525"/>
      <c r="F1975" s="525"/>
      <c r="G1975" s="526"/>
      <c r="K1975" s="3280"/>
      <c r="P1975" s="3041"/>
      <c r="X1975" s="3280"/>
      <c r="AA1975" s="3041"/>
      <c r="AF1975" s="3041"/>
      <c r="AN1975" s="3280"/>
      <c r="AZ1975" s="3041"/>
      <c r="BD1975" s="3281"/>
      <c r="BH1975" s="3282"/>
      <c r="BJ1975" s="2589"/>
      <c r="BK1975" s="2126"/>
      <c r="BL1975" s="2126"/>
      <c r="BM1975" s="2126"/>
      <c r="BN1975" s="2126"/>
      <c r="BO1975" s="2126"/>
      <c r="BP1975" s="2126"/>
      <c r="BQ1975" s="2126"/>
      <c r="BR1975" s="2126"/>
      <c r="BS1975" s="2126"/>
    </row>
    <row r="1976" spans="1:71" s="3030" customFormat="1">
      <c r="A1976" s="2126"/>
      <c r="B1976" s="2126"/>
      <c r="C1976" s="2149"/>
      <c r="D1976" s="3248"/>
      <c r="E1976" s="525"/>
      <c r="F1976" s="525"/>
      <c r="G1976" s="526"/>
      <c r="K1976" s="3280"/>
      <c r="P1976" s="3041"/>
      <c r="X1976" s="3280"/>
      <c r="AA1976" s="3041"/>
      <c r="AF1976" s="3041"/>
      <c r="AN1976" s="3280"/>
      <c r="AZ1976" s="3041"/>
      <c r="BD1976" s="3281"/>
      <c r="BH1976" s="3282"/>
      <c r="BJ1976" s="2589"/>
      <c r="BK1976" s="2126"/>
      <c r="BL1976" s="2126"/>
      <c r="BM1976" s="2126"/>
      <c r="BN1976" s="2126"/>
      <c r="BO1976" s="2126"/>
      <c r="BP1976" s="2126"/>
      <c r="BQ1976" s="2126"/>
      <c r="BR1976" s="2126"/>
      <c r="BS1976" s="2126"/>
    </row>
    <row r="1977" spans="1:71" s="3030" customFormat="1">
      <c r="A1977" s="2126"/>
      <c r="B1977" s="2126"/>
      <c r="C1977" s="2149"/>
      <c r="D1977" s="3248"/>
      <c r="E1977" s="525"/>
      <c r="F1977" s="525"/>
      <c r="G1977" s="526"/>
      <c r="K1977" s="3280"/>
      <c r="P1977" s="3041"/>
      <c r="X1977" s="3280"/>
      <c r="AA1977" s="3041"/>
      <c r="AF1977" s="3041"/>
      <c r="AN1977" s="3280"/>
      <c r="AZ1977" s="3041"/>
      <c r="BD1977" s="3281"/>
      <c r="BH1977" s="3282"/>
      <c r="BJ1977" s="2589"/>
      <c r="BK1977" s="2126"/>
      <c r="BL1977" s="2126"/>
      <c r="BM1977" s="2126"/>
      <c r="BN1977" s="2126"/>
      <c r="BO1977" s="2126"/>
      <c r="BP1977" s="2126"/>
      <c r="BQ1977" s="2126"/>
      <c r="BR1977" s="2126"/>
      <c r="BS1977" s="2126"/>
    </row>
    <row r="1978" spans="1:71" s="3030" customFormat="1">
      <c r="A1978" s="2126"/>
      <c r="B1978" s="2126"/>
      <c r="C1978" s="2149"/>
      <c r="D1978" s="3248"/>
      <c r="E1978" s="525"/>
      <c r="F1978" s="525"/>
      <c r="G1978" s="526"/>
      <c r="K1978" s="3280"/>
      <c r="P1978" s="3041"/>
      <c r="X1978" s="3280"/>
      <c r="AA1978" s="3041"/>
      <c r="AF1978" s="3041"/>
      <c r="AN1978" s="3280"/>
      <c r="AZ1978" s="3041"/>
      <c r="BD1978" s="3281"/>
      <c r="BH1978" s="3282"/>
      <c r="BJ1978" s="2589"/>
      <c r="BK1978" s="2126"/>
      <c r="BL1978" s="2126"/>
      <c r="BM1978" s="2126"/>
      <c r="BN1978" s="2126"/>
      <c r="BO1978" s="2126"/>
      <c r="BP1978" s="2126"/>
      <c r="BQ1978" s="2126"/>
      <c r="BR1978" s="2126"/>
      <c r="BS1978" s="2126"/>
    </row>
    <row r="1979" spans="1:71" s="3030" customFormat="1">
      <c r="A1979" s="2126"/>
      <c r="B1979" s="2126"/>
      <c r="C1979" s="2149"/>
      <c r="D1979" s="3248"/>
      <c r="E1979" s="525"/>
      <c r="F1979" s="525"/>
      <c r="G1979" s="526"/>
      <c r="K1979" s="3280"/>
      <c r="P1979" s="3041"/>
      <c r="X1979" s="3280"/>
      <c r="AA1979" s="3041"/>
      <c r="AF1979" s="3041"/>
      <c r="AN1979" s="3280"/>
      <c r="AZ1979" s="3041"/>
      <c r="BD1979" s="3281"/>
      <c r="BH1979" s="3282"/>
      <c r="BJ1979" s="2589"/>
      <c r="BK1979" s="2126"/>
      <c r="BL1979" s="2126"/>
      <c r="BM1979" s="2126"/>
      <c r="BN1979" s="2126"/>
      <c r="BO1979" s="2126"/>
      <c r="BP1979" s="2126"/>
      <c r="BQ1979" s="2126"/>
      <c r="BR1979" s="2126"/>
      <c r="BS1979" s="2126"/>
    </row>
    <row r="1980" spans="1:71" s="3030" customFormat="1">
      <c r="A1980" s="2126"/>
      <c r="B1980" s="2126"/>
      <c r="C1980" s="2149"/>
      <c r="D1980" s="3248"/>
      <c r="E1980" s="525"/>
      <c r="F1980" s="525"/>
      <c r="G1980" s="526"/>
      <c r="K1980" s="3280"/>
      <c r="P1980" s="3041"/>
      <c r="X1980" s="3280"/>
      <c r="AA1980" s="3041"/>
      <c r="AF1980" s="3041"/>
      <c r="AN1980" s="3280"/>
      <c r="AZ1980" s="3041"/>
      <c r="BD1980" s="3281"/>
      <c r="BH1980" s="3282"/>
      <c r="BJ1980" s="2589"/>
      <c r="BK1980" s="2126"/>
      <c r="BL1980" s="2126"/>
      <c r="BM1980" s="2126"/>
      <c r="BN1980" s="2126"/>
      <c r="BO1980" s="2126"/>
      <c r="BP1980" s="2126"/>
      <c r="BQ1980" s="2126"/>
      <c r="BR1980" s="2126"/>
      <c r="BS1980" s="2126"/>
    </row>
    <row r="1981" spans="1:71" s="3030" customFormat="1">
      <c r="A1981" s="2126"/>
      <c r="B1981" s="2126"/>
      <c r="C1981" s="2149"/>
      <c r="D1981" s="3248"/>
      <c r="E1981" s="525"/>
      <c r="F1981" s="525"/>
      <c r="G1981" s="526"/>
      <c r="K1981" s="3280"/>
      <c r="P1981" s="3041"/>
      <c r="X1981" s="3280"/>
      <c r="AA1981" s="3041"/>
      <c r="AF1981" s="3041"/>
      <c r="AN1981" s="3280"/>
      <c r="AZ1981" s="3041"/>
      <c r="BD1981" s="3281"/>
      <c r="BH1981" s="3282"/>
      <c r="BJ1981" s="2589"/>
      <c r="BK1981" s="2126"/>
      <c r="BL1981" s="2126"/>
      <c r="BM1981" s="2126"/>
      <c r="BN1981" s="2126"/>
      <c r="BO1981" s="2126"/>
      <c r="BP1981" s="2126"/>
      <c r="BQ1981" s="2126"/>
      <c r="BR1981" s="2126"/>
      <c r="BS1981" s="2126"/>
    </row>
    <row r="1982" spans="1:71" s="3030" customFormat="1">
      <c r="A1982" s="2126"/>
      <c r="B1982" s="2126"/>
      <c r="C1982" s="2149"/>
      <c r="D1982" s="3248"/>
      <c r="E1982" s="525"/>
      <c r="F1982" s="525"/>
      <c r="G1982" s="526"/>
      <c r="K1982" s="3280"/>
      <c r="P1982" s="3041"/>
      <c r="X1982" s="3280"/>
      <c r="AA1982" s="3041"/>
      <c r="AF1982" s="3041"/>
      <c r="AN1982" s="3280"/>
      <c r="AZ1982" s="3041"/>
      <c r="BD1982" s="3281"/>
      <c r="BH1982" s="3282"/>
      <c r="BJ1982" s="2589"/>
      <c r="BK1982" s="2126"/>
      <c r="BL1982" s="2126"/>
      <c r="BM1982" s="2126"/>
      <c r="BN1982" s="2126"/>
      <c r="BO1982" s="2126"/>
      <c r="BP1982" s="2126"/>
      <c r="BQ1982" s="2126"/>
      <c r="BR1982" s="2126"/>
      <c r="BS1982" s="2126"/>
    </row>
    <row r="1983" spans="1:71" s="3030" customFormat="1">
      <c r="A1983" s="2126"/>
      <c r="B1983" s="2126"/>
      <c r="C1983" s="2149"/>
      <c r="D1983" s="3248"/>
      <c r="E1983" s="525"/>
      <c r="F1983" s="525"/>
      <c r="G1983" s="526"/>
      <c r="K1983" s="3280"/>
      <c r="P1983" s="3041"/>
      <c r="X1983" s="3280"/>
      <c r="AA1983" s="3041"/>
      <c r="AF1983" s="3041"/>
      <c r="AN1983" s="3280"/>
      <c r="AZ1983" s="3041"/>
      <c r="BD1983" s="3281"/>
      <c r="BH1983" s="3282"/>
      <c r="BJ1983" s="2589"/>
      <c r="BK1983" s="2126"/>
      <c r="BL1983" s="2126"/>
      <c r="BM1983" s="2126"/>
      <c r="BN1983" s="2126"/>
      <c r="BO1983" s="2126"/>
      <c r="BP1983" s="2126"/>
      <c r="BQ1983" s="2126"/>
      <c r="BR1983" s="2126"/>
      <c r="BS1983" s="2126"/>
    </row>
    <row r="1984" spans="1:71" s="3030" customFormat="1">
      <c r="A1984" s="2126"/>
      <c r="B1984" s="2126"/>
      <c r="C1984" s="2149"/>
      <c r="D1984" s="3248"/>
      <c r="E1984" s="525"/>
      <c r="F1984" s="525"/>
      <c r="G1984" s="526"/>
      <c r="K1984" s="3280"/>
      <c r="P1984" s="3041"/>
      <c r="X1984" s="3280"/>
      <c r="AA1984" s="3041"/>
      <c r="AF1984" s="3041"/>
      <c r="AN1984" s="3280"/>
      <c r="AZ1984" s="3041"/>
      <c r="BD1984" s="3281"/>
      <c r="BH1984" s="3282"/>
      <c r="BJ1984" s="2589"/>
      <c r="BK1984" s="2126"/>
      <c r="BL1984" s="2126"/>
      <c r="BM1984" s="2126"/>
      <c r="BN1984" s="2126"/>
      <c r="BO1984" s="2126"/>
      <c r="BP1984" s="2126"/>
      <c r="BQ1984" s="2126"/>
      <c r="BR1984" s="2126"/>
      <c r="BS1984" s="2126"/>
    </row>
    <row r="1985" spans="1:71" s="3030" customFormat="1">
      <c r="A1985" s="2126"/>
      <c r="B1985" s="2126"/>
      <c r="C1985" s="2149"/>
      <c r="D1985" s="3248"/>
      <c r="E1985" s="525"/>
      <c r="F1985" s="525"/>
      <c r="G1985" s="526"/>
      <c r="K1985" s="3280"/>
      <c r="P1985" s="3041"/>
      <c r="X1985" s="3280"/>
      <c r="AA1985" s="3041"/>
      <c r="AF1985" s="3041"/>
      <c r="AN1985" s="3280"/>
      <c r="AZ1985" s="3041"/>
      <c r="BD1985" s="3281"/>
      <c r="BH1985" s="3282"/>
      <c r="BJ1985" s="2589"/>
      <c r="BK1985" s="2126"/>
      <c r="BL1985" s="2126"/>
      <c r="BM1985" s="2126"/>
      <c r="BN1985" s="2126"/>
      <c r="BO1985" s="2126"/>
      <c r="BP1985" s="2126"/>
      <c r="BQ1985" s="2126"/>
      <c r="BR1985" s="2126"/>
      <c r="BS1985" s="2126"/>
    </row>
    <row r="1986" spans="1:71" s="3030" customFormat="1">
      <c r="A1986" s="2126"/>
      <c r="B1986" s="2126"/>
      <c r="C1986" s="2149"/>
      <c r="D1986" s="3248"/>
      <c r="E1986" s="525"/>
      <c r="F1986" s="525"/>
      <c r="G1986" s="526"/>
      <c r="K1986" s="3280"/>
      <c r="P1986" s="3041"/>
      <c r="X1986" s="3280"/>
      <c r="AA1986" s="3041"/>
      <c r="AF1986" s="3041"/>
      <c r="AN1986" s="3280"/>
      <c r="AZ1986" s="3041"/>
      <c r="BD1986" s="3281"/>
      <c r="BH1986" s="3282"/>
      <c r="BJ1986" s="2589"/>
      <c r="BK1986" s="2126"/>
      <c r="BL1986" s="2126"/>
      <c r="BM1986" s="2126"/>
      <c r="BN1986" s="2126"/>
      <c r="BO1986" s="2126"/>
      <c r="BP1986" s="2126"/>
      <c r="BQ1986" s="2126"/>
      <c r="BR1986" s="2126"/>
      <c r="BS1986" s="2126"/>
    </row>
    <row r="1987" spans="1:71" s="3030" customFormat="1">
      <c r="A1987" s="2126"/>
      <c r="B1987" s="2126"/>
      <c r="C1987" s="2149"/>
      <c r="D1987" s="3248"/>
      <c r="E1987" s="525"/>
      <c r="F1987" s="525"/>
      <c r="G1987" s="526"/>
      <c r="K1987" s="3280"/>
      <c r="P1987" s="3041"/>
      <c r="X1987" s="3280"/>
      <c r="AA1987" s="3041"/>
      <c r="AF1987" s="3041"/>
      <c r="AN1987" s="3280"/>
      <c r="AZ1987" s="3041"/>
      <c r="BD1987" s="3281"/>
      <c r="BH1987" s="3282"/>
      <c r="BJ1987" s="2589"/>
      <c r="BK1987" s="2126"/>
      <c r="BL1987" s="2126"/>
      <c r="BM1987" s="2126"/>
      <c r="BN1987" s="2126"/>
      <c r="BO1987" s="2126"/>
      <c r="BP1987" s="2126"/>
      <c r="BQ1987" s="2126"/>
      <c r="BR1987" s="2126"/>
      <c r="BS1987" s="2126"/>
    </row>
    <row r="1988" spans="1:71" s="3030" customFormat="1">
      <c r="A1988" s="2126"/>
      <c r="B1988" s="2126"/>
      <c r="C1988" s="2149"/>
      <c r="D1988" s="3248"/>
      <c r="E1988" s="525"/>
      <c r="F1988" s="525"/>
      <c r="G1988" s="526"/>
      <c r="K1988" s="3280"/>
      <c r="P1988" s="3041"/>
      <c r="X1988" s="3280"/>
      <c r="AA1988" s="3041"/>
      <c r="AF1988" s="3041"/>
      <c r="AN1988" s="3280"/>
      <c r="AZ1988" s="3041"/>
      <c r="BD1988" s="3281"/>
      <c r="BH1988" s="3282"/>
      <c r="BJ1988" s="2589"/>
      <c r="BK1988" s="2126"/>
      <c r="BL1988" s="2126"/>
      <c r="BM1988" s="2126"/>
      <c r="BN1988" s="2126"/>
      <c r="BO1988" s="2126"/>
      <c r="BP1988" s="2126"/>
      <c r="BQ1988" s="2126"/>
      <c r="BR1988" s="2126"/>
      <c r="BS1988" s="2126"/>
    </row>
    <row r="1989" spans="1:71" s="3030" customFormat="1">
      <c r="A1989" s="2126"/>
      <c r="B1989" s="2126"/>
      <c r="C1989" s="2149"/>
      <c r="D1989" s="3248"/>
      <c r="E1989" s="525"/>
      <c r="F1989" s="525"/>
      <c r="G1989" s="526"/>
      <c r="K1989" s="3280"/>
      <c r="P1989" s="3041"/>
      <c r="X1989" s="3280"/>
      <c r="AA1989" s="3041"/>
      <c r="AF1989" s="3041"/>
      <c r="AN1989" s="3280"/>
      <c r="AZ1989" s="3041"/>
      <c r="BD1989" s="3281"/>
      <c r="BH1989" s="3282"/>
      <c r="BJ1989" s="2589"/>
      <c r="BK1989" s="2126"/>
      <c r="BL1989" s="2126"/>
      <c r="BM1989" s="2126"/>
      <c r="BN1989" s="2126"/>
      <c r="BO1989" s="2126"/>
      <c r="BP1989" s="2126"/>
      <c r="BQ1989" s="2126"/>
      <c r="BR1989" s="2126"/>
      <c r="BS1989" s="2126"/>
    </row>
    <row r="1990" spans="1:71" s="3030" customFormat="1">
      <c r="A1990" s="2126"/>
      <c r="B1990" s="2126"/>
      <c r="C1990" s="2149"/>
      <c r="D1990" s="3248"/>
      <c r="E1990" s="525"/>
      <c r="F1990" s="525"/>
      <c r="G1990" s="526"/>
      <c r="K1990" s="3280"/>
      <c r="P1990" s="3041"/>
      <c r="X1990" s="3280"/>
      <c r="AA1990" s="3041"/>
      <c r="AF1990" s="3041"/>
      <c r="AN1990" s="3280"/>
      <c r="AZ1990" s="3041"/>
      <c r="BD1990" s="3281"/>
      <c r="BH1990" s="3282"/>
      <c r="BJ1990" s="2589"/>
      <c r="BK1990" s="2126"/>
      <c r="BL1990" s="2126"/>
      <c r="BM1990" s="2126"/>
      <c r="BN1990" s="2126"/>
      <c r="BO1990" s="2126"/>
      <c r="BP1990" s="2126"/>
      <c r="BQ1990" s="2126"/>
      <c r="BR1990" s="2126"/>
      <c r="BS1990" s="2126"/>
    </row>
    <row r="1991" spans="1:71" s="3030" customFormat="1">
      <c r="A1991" s="2126"/>
      <c r="B1991" s="2126"/>
      <c r="C1991" s="2149"/>
      <c r="D1991" s="3248"/>
      <c r="E1991" s="525"/>
      <c r="F1991" s="525"/>
      <c r="G1991" s="526"/>
      <c r="K1991" s="3280"/>
      <c r="P1991" s="3041"/>
      <c r="X1991" s="3280"/>
      <c r="AA1991" s="3041"/>
      <c r="AF1991" s="3041"/>
      <c r="AN1991" s="3280"/>
      <c r="AZ1991" s="3041"/>
      <c r="BD1991" s="3281"/>
      <c r="BH1991" s="3282"/>
      <c r="BJ1991" s="2589"/>
      <c r="BK1991" s="2126"/>
      <c r="BL1991" s="2126"/>
      <c r="BM1991" s="2126"/>
      <c r="BN1991" s="2126"/>
      <c r="BO1991" s="2126"/>
      <c r="BP1991" s="2126"/>
      <c r="BQ1991" s="2126"/>
      <c r="BR1991" s="2126"/>
      <c r="BS1991" s="2126"/>
    </row>
    <row r="1992" spans="1:71" s="3030" customFormat="1">
      <c r="A1992" s="2126"/>
      <c r="B1992" s="2126"/>
      <c r="C1992" s="2149"/>
      <c r="D1992" s="3248"/>
      <c r="E1992" s="525"/>
      <c r="F1992" s="525"/>
      <c r="G1992" s="526"/>
      <c r="K1992" s="3280"/>
      <c r="P1992" s="3041"/>
      <c r="X1992" s="3280"/>
      <c r="AA1992" s="3041"/>
      <c r="AF1992" s="3041"/>
      <c r="AN1992" s="3280"/>
      <c r="AZ1992" s="3041"/>
      <c r="BD1992" s="3281"/>
      <c r="BH1992" s="3282"/>
      <c r="BJ1992" s="2589"/>
      <c r="BK1992" s="2126"/>
      <c r="BL1992" s="2126"/>
      <c r="BM1992" s="2126"/>
      <c r="BN1992" s="2126"/>
      <c r="BO1992" s="2126"/>
      <c r="BP1992" s="2126"/>
      <c r="BQ1992" s="2126"/>
      <c r="BR1992" s="2126"/>
      <c r="BS1992" s="2126"/>
    </row>
    <row r="1993" spans="1:71" s="3030" customFormat="1">
      <c r="A1993" s="2126"/>
      <c r="B1993" s="2126"/>
      <c r="C1993" s="2149"/>
      <c r="D1993" s="3248"/>
      <c r="E1993" s="525"/>
      <c r="F1993" s="525"/>
      <c r="G1993" s="526"/>
      <c r="K1993" s="3280"/>
      <c r="P1993" s="3041"/>
      <c r="X1993" s="3280"/>
      <c r="AA1993" s="3041"/>
      <c r="AF1993" s="3041"/>
      <c r="AN1993" s="3280"/>
      <c r="AZ1993" s="3041"/>
      <c r="BD1993" s="3281"/>
      <c r="BH1993" s="3282"/>
      <c r="BJ1993" s="2589"/>
      <c r="BK1993" s="2126"/>
      <c r="BL1993" s="2126"/>
      <c r="BM1993" s="2126"/>
      <c r="BN1993" s="2126"/>
      <c r="BO1993" s="2126"/>
      <c r="BP1993" s="2126"/>
      <c r="BQ1993" s="2126"/>
      <c r="BR1993" s="2126"/>
      <c r="BS1993" s="2126"/>
    </row>
    <row r="1994" spans="1:71" s="3030" customFormat="1">
      <c r="A1994" s="2126"/>
      <c r="B1994" s="2126"/>
      <c r="C1994" s="2149"/>
      <c r="D1994" s="3248"/>
      <c r="E1994" s="525"/>
      <c r="F1994" s="525"/>
      <c r="G1994" s="526"/>
      <c r="K1994" s="3280"/>
      <c r="P1994" s="3041"/>
      <c r="X1994" s="3280"/>
      <c r="AA1994" s="3041"/>
      <c r="AF1994" s="3041"/>
      <c r="AN1994" s="3280"/>
      <c r="AZ1994" s="3041"/>
      <c r="BD1994" s="3281"/>
      <c r="BH1994" s="3282"/>
      <c r="BJ1994" s="2589"/>
      <c r="BK1994" s="2126"/>
      <c r="BL1994" s="2126"/>
      <c r="BM1994" s="2126"/>
      <c r="BN1994" s="2126"/>
      <c r="BO1994" s="2126"/>
      <c r="BP1994" s="2126"/>
      <c r="BQ1994" s="2126"/>
      <c r="BR1994" s="2126"/>
      <c r="BS1994" s="2126"/>
    </row>
    <row r="1995" spans="1:71" s="3030" customFormat="1">
      <c r="A1995" s="2126"/>
      <c r="B1995" s="2126"/>
      <c r="C1995" s="2149"/>
      <c r="D1995" s="3248"/>
      <c r="E1995" s="525"/>
      <c r="F1995" s="525"/>
      <c r="G1995" s="526"/>
      <c r="K1995" s="3280"/>
      <c r="P1995" s="3041"/>
      <c r="X1995" s="3280"/>
      <c r="AA1995" s="3041"/>
      <c r="AF1995" s="3041"/>
      <c r="AN1995" s="3280"/>
      <c r="AZ1995" s="3041"/>
      <c r="BD1995" s="3281"/>
      <c r="BH1995" s="3282"/>
      <c r="BJ1995" s="2589"/>
      <c r="BK1995" s="2126"/>
      <c r="BL1995" s="2126"/>
      <c r="BM1995" s="2126"/>
      <c r="BN1995" s="2126"/>
      <c r="BO1995" s="2126"/>
      <c r="BP1995" s="2126"/>
      <c r="BQ1995" s="2126"/>
      <c r="BR1995" s="2126"/>
      <c r="BS1995" s="2126"/>
    </row>
    <row r="1996" spans="1:71" s="3030" customFormat="1">
      <c r="A1996" s="2126"/>
      <c r="B1996" s="2126"/>
      <c r="C1996" s="2149"/>
      <c r="D1996" s="3248"/>
      <c r="E1996" s="525"/>
      <c r="F1996" s="525"/>
      <c r="G1996" s="526"/>
      <c r="K1996" s="3280"/>
      <c r="P1996" s="3041"/>
      <c r="X1996" s="3280"/>
      <c r="AA1996" s="3041"/>
      <c r="AF1996" s="3041"/>
      <c r="AN1996" s="3280"/>
      <c r="AZ1996" s="3041"/>
      <c r="BD1996" s="3281"/>
      <c r="BH1996" s="3282"/>
      <c r="BJ1996" s="2589"/>
      <c r="BK1996" s="2126"/>
      <c r="BL1996" s="2126"/>
      <c r="BM1996" s="2126"/>
      <c r="BN1996" s="2126"/>
      <c r="BO1996" s="2126"/>
      <c r="BP1996" s="2126"/>
      <c r="BQ1996" s="2126"/>
      <c r="BR1996" s="2126"/>
      <c r="BS1996" s="2126"/>
    </row>
    <row r="1997" spans="1:71" s="3030" customFormat="1">
      <c r="A1997" s="2126"/>
      <c r="B1997" s="2126"/>
      <c r="C1997" s="2149"/>
      <c r="D1997" s="3248"/>
      <c r="E1997" s="525"/>
      <c r="F1997" s="525"/>
      <c r="G1997" s="526"/>
      <c r="K1997" s="3280"/>
      <c r="P1997" s="3041"/>
      <c r="X1997" s="3280"/>
      <c r="AA1997" s="3041"/>
      <c r="AF1997" s="3041"/>
      <c r="AN1997" s="3280"/>
      <c r="AZ1997" s="3041"/>
      <c r="BD1997" s="3281"/>
      <c r="BH1997" s="3282"/>
      <c r="BJ1997" s="2589"/>
      <c r="BK1997" s="2126"/>
      <c r="BL1997" s="2126"/>
      <c r="BM1997" s="2126"/>
      <c r="BN1997" s="2126"/>
      <c r="BO1997" s="2126"/>
      <c r="BP1997" s="2126"/>
      <c r="BQ1997" s="2126"/>
      <c r="BR1997" s="2126"/>
      <c r="BS1997" s="2126"/>
    </row>
    <row r="1998" spans="1:71" s="3030" customFormat="1">
      <c r="A1998" s="2126"/>
      <c r="B1998" s="2126"/>
      <c r="C1998" s="2149"/>
      <c r="D1998" s="3248"/>
      <c r="E1998" s="525"/>
      <c r="F1998" s="525"/>
      <c r="G1998" s="526"/>
      <c r="K1998" s="3280"/>
      <c r="P1998" s="3041"/>
      <c r="X1998" s="3280"/>
      <c r="AA1998" s="3041"/>
      <c r="AF1998" s="3041"/>
      <c r="AN1998" s="3280"/>
      <c r="AZ1998" s="3041"/>
      <c r="BD1998" s="3281"/>
      <c r="BH1998" s="3282"/>
      <c r="BJ1998" s="2589"/>
      <c r="BK1998" s="2126"/>
      <c r="BL1998" s="2126"/>
      <c r="BM1998" s="2126"/>
      <c r="BN1998" s="2126"/>
      <c r="BO1998" s="2126"/>
      <c r="BP1998" s="2126"/>
      <c r="BQ1998" s="2126"/>
      <c r="BR1998" s="2126"/>
      <c r="BS1998" s="2126"/>
    </row>
    <row r="1999" spans="1:71" s="3030" customFormat="1">
      <c r="A1999" s="2126"/>
      <c r="B1999" s="2126"/>
      <c r="C1999" s="2149"/>
      <c r="D1999" s="3248"/>
      <c r="E1999" s="525"/>
      <c r="F1999" s="525"/>
      <c r="G1999" s="526"/>
      <c r="K1999" s="3280"/>
      <c r="P1999" s="3041"/>
      <c r="X1999" s="3280"/>
      <c r="AA1999" s="3041"/>
      <c r="AF1999" s="3041"/>
      <c r="AN1999" s="3280"/>
      <c r="AZ1999" s="3041"/>
      <c r="BD1999" s="3281"/>
      <c r="BH1999" s="3282"/>
      <c r="BJ1999" s="2589"/>
      <c r="BK1999" s="2126"/>
      <c r="BL1999" s="2126"/>
      <c r="BM1999" s="2126"/>
      <c r="BN1999" s="2126"/>
      <c r="BO1999" s="2126"/>
      <c r="BP1999" s="2126"/>
      <c r="BQ1999" s="2126"/>
      <c r="BR1999" s="2126"/>
      <c r="BS1999" s="2126"/>
    </row>
    <row r="2000" spans="1:71" s="3030" customFormat="1">
      <c r="A2000" s="2126"/>
      <c r="B2000" s="2126"/>
      <c r="C2000" s="2149"/>
      <c r="D2000" s="3248"/>
      <c r="E2000" s="525"/>
      <c r="F2000" s="525"/>
      <c r="G2000" s="526"/>
      <c r="K2000" s="3280"/>
      <c r="P2000" s="3041"/>
      <c r="X2000" s="3280"/>
      <c r="AA2000" s="3041"/>
      <c r="AF2000" s="3041"/>
      <c r="AN2000" s="3280"/>
      <c r="AZ2000" s="3041"/>
      <c r="BD2000" s="3281"/>
      <c r="BH2000" s="3282"/>
      <c r="BJ2000" s="2589"/>
      <c r="BK2000" s="2126"/>
      <c r="BL2000" s="2126"/>
      <c r="BM2000" s="2126"/>
      <c r="BN2000" s="2126"/>
      <c r="BO2000" s="2126"/>
      <c r="BP2000" s="2126"/>
      <c r="BQ2000" s="2126"/>
      <c r="BR2000" s="2126"/>
      <c r="BS2000" s="2126"/>
    </row>
    <row r="2001" spans="1:71" s="3030" customFormat="1">
      <c r="A2001" s="2126"/>
      <c r="B2001" s="2126"/>
      <c r="C2001" s="2149"/>
      <c r="D2001" s="3248"/>
      <c r="E2001" s="525"/>
      <c r="F2001" s="525"/>
      <c r="G2001" s="526"/>
      <c r="K2001" s="3280"/>
      <c r="P2001" s="3041"/>
      <c r="X2001" s="3280"/>
      <c r="AA2001" s="3041"/>
      <c r="AF2001" s="3041"/>
      <c r="AN2001" s="3280"/>
      <c r="AZ2001" s="3041"/>
      <c r="BD2001" s="3281"/>
      <c r="BH2001" s="3282"/>
      <c r="BJ2001" s="2589"/>
      <c r="BK2001" s="2126"/>
      <c r="BL2001" s="2126"/>
      <c r="BM2001" s="2126"/>
      <c r="BN2001" s="2126"/>
      <c r="BO2001" s="2126"/>
      <c r="BP2001" s="2126"/>
      <c r="BQ2001" s="2126"/>
      <c r="BR2001" s="2126"/>
      <c r="BS2001" s="2126"/>
    </row>
    <row r="2002" spans="1:71" s="3030" customFormat="1">
      <c r="A2002" s="2126"/>
      <c r="B2002" s="2126"/>
      <c r="C2002" s="2149"/>
      <c r="D2002" s="3248"/>
      <c r="E2002" s="525"/>
      <c r="F2002" s="525"/>
      <c r="G2002" s="526"/>
      <c r="K2002" s="3280"/>
      <c r="P2002" s="3041"/>
      <c r="X2002" s="3280"/>
      <c r="AA2002" s="3041"/>
      <c r="AF2002" s="3041"/>
      <c r="AN2002" s="3280"/>
      <c r="AZ2002" s="3041"/>
      <c r="BD2002" s="3281"/>
      <c r="BH2002" s="3282"/>
      <c r="BJ2002" s="2589"/>
      <c r="BK2002" s="2126"/>
      <c r="BL2002" s="2126"/>
      <c r="BM2002" s="2126"/>
      <c r="BN2002" s="2126"/>
      <c r="BO2002" s="2126"/>
      <c r="BP2002" s="2126"/>
      <c r="BQ2002" s="2126"/>
      <c r="BR2002" s="2126"/>
      <c r="BS2002" s="2126"/>
    </row>
    <row r="2003" spans="1:71" s="3030" customFormat="1">
      <c r="A2003" s="2126"/>
      <c r="B2003" s="2126"/>
      <c r="C2003" s="2149"/>
      <c r="D2003" s="3248"/>
      <c r="E2003" s="525"/>
      <c r="F2003" s="525"/>
      <c r="G2003" s="526"/>
      <c r="K2003" s="3280"/>
      <c r="P2003" s="3041"/>
      <c r="X2003" s="3280"/>
      <c r="AA2003" s="3041"/>
      <c r="AF2003" s="3041"/>
      <c r="AN2003" s="3280"/>
      <c r="AZ2003" s="3041"/>
      <c r="BD2003" s="3281"/>
      <c r="BH2003" s="3282"/>
      <c r="BJ2003" s="2589"/>
      <c r="BK2003" s="2126"/>
      <c r="BL2003" s="2126"/>
      <c r="BM2003" s="2126"/>
      <c r="BN2003" s="2126"/>
      <c r="BO2003" s="2126"/>
      <c r="BP2003" s="2126"/>
      <c r="BQ2003" s="2126"/>
      <c r="BR2003" s="2126"/>
      <c r="BS2003" s="2126"/>
    </row>
    <row r="2004" spans="1:71" s="3030" customFormat="1">
      <c r="A2004" s="2126"/>
      <c r="B2004" s="2126"/>
      <c r="C2004" s="2149"/>
      <c r="D2004" s="3248"/>
      <c r="E2004" s="525"/>
      <c r="F2004" s="525"/>
      <c r="G2004" s="526"/>
      <c r="K2004" s="3280"/>
      <c r="P2004" s="3041"/>
      <c r="X2004" s="3280"/>
      <c r="AA2004" s="3041"/>
      <c r="AF2004" s="3041"/>
      <c r="AN2004" s="3280"/>
      <c r="AZ2004" s="3041"/>
      <c r="BD2004" s="3281"/>
      <c r="BH2004" s="3282"/>
      <c r="BJ2004" s="2589"/>
      <c r="BK2004" s="2126"/>
      <c r="BL2004" s="2126"/>
      <c r="BM2004" s="2126"/>
      <c r="BN2004" s="2126"/>
      <c r="BO2004" s="2126"/>
      <c r="BP2004" s="2126"/>
      <c r="BQ2004" s="2126"/>
      <c r="BR2004" s="2126"/>
      <c r="BS2004" s="2126"/>
    </row>
    <row r="2005" spans="1:71" s="3030" customFormat="1">
      <c r="A2005" s="2126"/>
      <c r="B2005" s="2126"/>
      <c r="C2005" s="2149"/>
      <c r="D2005" s="3248"/>
      <c r="E2005" s="525"/>
      <c r="F2005" s="525"/>
      <c r="G2005" s="526"/>
      <c r="K2005" s="3280"/>
      <c r="P2005" s="3041"/>
      <c r="X2005" s="3280"/>
      <c r="AA2005" s="3041"/>
      <c r="AF2005" s="3041"/>
      <c r="AN2005" s="3280"/>
      <c r="AZ2005" s="3041"/>
      <c r="BD2005" s="3281"/>
      <c r="BH2005" s="3282"/>
      <c r="BJ2005" s="2589"/>
      <c r="BK2005" s="2126"/>
      <c r="BL2005" s="2126"/>
      <c r="BM2005" s="2126"/>
      <c r="BN2005" s="2126"/>
      <c r="BO2005" s="2126"/>
      <c r="BP2005" s="2126"/>
      <c r="BQ2005" s="2126"/>
      <c r="BR2005" s="2126"/>
      <c r="BS2005" s="2126"/>
    </row>
    <row r="2006" spans="1:71" s="3030" customFormat="1">
      <c r="A2006" s="2126"/>
      <c r="B2006" s="2126"/>
      <c r="C2006" s="2149"/>
      <c r="D2006" s="3248"/>
      <c r="E2006" s="525"/>
      <c r="F2006" s="525"/>
      <c r="G2006" s="526"/>
      <c r="K2006" s="3280"/>
      <c r="P2006" s="3041"/>
      <c r="X2006" s="3280"/>
      <c r="AA2006" s="3041"/>
      <c r="AF2006" s="3041"/>
      <c r="AN2006" s="3280"/>
      <c r="AZ2006" s="3041"/>
      <c r="BD2006" s="3281"/>
      <c r="BH2006" s="3282"/>
      <c r="BJ2006" s="2589"/>
      <c r="BK2006" s="2126"/>
      <c r="BL2006" s="2126"/>
      <c r="BM2006" s="2126"/>
      <c r="BN2006" s="2126"/>
      <c r="BO2006" s="2126"/>
      <c r="BP2006" s="2126"/>
      <c r="BQ2006" s="2126"/>
      <c r="BR2006" s="2126"/>
      <c r="BS2006" s="2126"/>
    </row>
    <row r="2007" spans="1:71" s="3030" customFormat="1">
      <c r="A2007" s="2126"/>
      <c r="B2007" s="2126"/>
      <c r="C2007" s="2149"/>
      <c r="D2007" s="3248"/>
      <c r="E2007" s="525"/>
      <c r="F2007" s="525"/>
      <c r="G2007" s="526"/>
      <c r="K2007" s="3280"/>
      <c r="P2007" s="3041"/>
      <c r="X2007" s="3280"/>
      <c r="AA2007" s="3041"/>
      <c r="AF2007" s="3041"/>
      <c r="AN2007" s="3280"/>
      <c r="AZ2007" s="3041"/>
      <c r="BD2007" s="3281"/>
      <c r="BH2007" s="3282"/>
      <c r="BJ2007" s="2589"/>
      <c r="BK2007" s="2126"/>
      <c r="BL2007" s="2126"/>
      <c r="BM2007" s="2126"/>
      <c r="BN2007" s="2126"/>
      <c r="BO2007" s="2126"/>
      <c r="BP2007" s="2126"/>
      <c r="BQ2007" s="2126"/>
      <c r="BR2007" s="2126"/>
      <c r="BS2007" s="2126"/>
    </row>
    <row r="2008" spans="1:71" s="3030" customFormat="1">
      <c r="A2008" s="2126"/>
      <c r="B2008" s="2126"/>
      <c r="C2008" s="2149"/>
      <c r="D2008" s="3248"/>
      <c r="E2008" s="525"/>
      <c r="F2008" s="525"/>
      <c r="G2008" s="526"/>
      <c r="K2008" s="3280"/>
      <c r="P2008" s="3041"/>
      <c r="X2008" s="3280"/>
      <c r="AA2008" s="3041"/>
      <c r="AF2008" s="3041"/>
      <c r="AN2008" s="3280"/>
      <c r="AZ2008" s="3041"/>
      <c r="BD2008" s="3281"/>
      <c r="BH2008" s="3282"/>
      <c r="BJ2008" s="2589"/>
      <c r="BK2008" s="2126"/>
      <c r="BL2008" s="2126"/>
      <c r="BM2008" s="2126"/>
      <c r="BN2008" s="2126"/>
      <c r="BO2008" s="2126"/>
      <c r="BP2008" s="2126"/>
      <c r="BQ2008" s="2126"/>
      <c r="BR2008" s="2126"/>
      <c r="BS2008" s="2126"/>
    </row>
    <row r="2009" spans="1:71" s="3030" customFormat="1">
      <c r="A2009" s="2126"/>
      <c r="B2009" s="2126"/>
      <c r="C2009" s="2149"/>
      <c r="D2009" s="3248"/>
      <c r="E2009" s="525"/>
      <c r="F2009" s="525"/>
      <c r="G2009" s="526"/>
      <c r="K2009" s="3280"/>
      <c r="P2009" s="3041"/>
      <c r="X2009" s="3280"/>
      <c r="AA2009" s="3041"/>
      <c r="AF2009" s="3041"/>
      <c r="AN2009" s="3280"/>
      <c r="AZ2009" s="3041"/>
      <c r="BD2009" s="3281"/>
      <c r="BH2009" s="3282"/>
      <c r="BJ2009" s="2589"/>
      <c r="BK2009" s="2126"/>
      <c r="BL2009" s="2126"/>
      <c r="BM2009" s="2126"/>
      <c r="BN2009" s="2126"/>
      <c r="BO2009" s="2126"/>
      <c r="BP2009" s="2126"/>
      <c r="BQ2009" s="2126"/>
      <c r="BR2009" s="2126"/>
      <c r="BS2009" s="2126"/>
    </row>
    <row r="2010" spans="1:71" s="3030" customFormat="1">
      <c r="A2010" s="2126"/>
      <c r="B2010" s="2126"/>
      <c r="C2010" s="2149"/>
      <c r="D2010" s="3248"/>
      <c r="E2010" s="525"/>
      <c r="F2010" s="525"/>
      <c r="G2010" s="526"/>
      <c r="K2010" s="3280"/>
      <c r="P2010" s="3041"/>
      <c r="X2010" s="3280"/>
      <c r="AA2010" s="3041"/>
      <c r="AF2010" s="3041"/>
      <c r="AN2010" s="3280"/>
      <c r="AZ2010" s="3041"/>
      <c r="BD2010" s="3281"/>
      <c r="BH2010" s="3282"/>
      <c r="BJ2010" s="2589"/>
      <c r="BK2010" s="2126"/>
      <c r="BL2010" s="2126"/>
      <c r="BM2010" s="2126"/>
      <c r="BN2010" s="2126"/>
      <c r="BO2010" s="2126"/>
      <c r="BP2010" s="2126"/>
      <c r="BQ2010" s="2126"/>
      <c r="BR2010" s="2126"/>
      <c r="BS2010" s="2126"/>
    </row>
    <row r="2011" spans="1:71" s="3030" customFormat="1">
      <c r="A2011" s="2126"/>
      <c r="B2011" s="2126"/>
      <c r="C2011" s="2149"/>
      <c r="D2011" s="3248"/>
      <c r="E2011" s="525"/>
      <c r="F2011" s="525"/>
      <c r="G2011" s="526"/>
      <c r="K2011" s="3280"/>
      <c r="P2011" s="3041"/>
      <c r="X2011" s="3280"/>
      <c r="AA2011" s="3041"/>
      <c r="AF2011" s="3041"/>
      <c r="AN2011" s="3280"/>
      <c r="AZ2011" s="3041"/>
      <c r="BD2011" s="3281"/>
      <c r="BH2011" s="3282"/>
      <c r="BJ2011" s="2589"/>
      <c r="BK2011" s="2126"/>
      <c r="BL2011" s="2126"/>
      <c r="BM2011" s="2126"/>
      <c r="BN2011" s="2126"/>
      <c r="BO2011" s="2126"/>
      <c r="BP2011" s="2126"/>
      <c r="BQ2011" s="2126"/>
      <c r="BR2011" s="2126"/>
      <c r="BS2011" s="2126"/>
    </row>
    <row r="2012" spans="1:71" s="3030" customFormat="1">
      <c r="A2012" s="2126"/>
      <c r="B2012" s="2126"/>
      <c r="C2012" s="2149"/>
      <c r="D2012" s="3248"/>
      <c r="E2012" s="525"/>
      <c r="F2012" s="525"/>
      <c r="G2012" s="526"/>
      <c r="K2012" s="3280"/>
      <c r="P2012" s="3041"/>
      <c r="X2012" s="3280"/>
      <c r="AA2012" s="3041"/>
      <c r="AF2012" s="3041"/>
      <c r="AN2012" s="3280"/>
      <c r="AZ2012" s="3041"/>
      <c r="BD2012" s="3281"/>
      <c r="BH2012" s="3282"/>
      <c r="BJ2012" s="2589"/>
      <c r="BK2012" s="2126"/>
      <c r="BL2012" s="2126"/>
      <c r="BM2012" s="2126"/>
      <c r="BN2012" s="2126"/>
      <c r="BO2012" s="2126"/>
      <c r="BP2012" s="2126"/>
      <c r="BQ2012" s="2126"/>
      <c r="BR2012" s="2126"/>
      <c r="BS2012" s="2126"/>
    </row>
    <row r="2013" spans="1:71" s="3030" customFormat="1">
      <c r="A2013" s="2126"/>
      <c r="B2013" s="2126"/>
      <c r="C2013" s="2149"/>
      <c r="D2013" s="3248"/>
      <c r="E2013" s="525"/>
      <c r="F2013" s="525"/>
      <c r="G2013" s="526"/>
      <c r="K2013" s="3280"/>
      <c r="P2013" s="3041"/>
      <c r="X2013" s="3280"/>
      <c r="AA2013" s="3041"/>
      <c r="AF2013" s="3041"/>
      <c r="AN2013" s="3280"/>
      <c r="AZ2013" s="3041"/>
      <c r="BD2013" s="3281"/>
      <c r="BH2013" s="3282"/>
      <c r="BJ2013" s="2589"/>
      <c r="BK2013" s="2126"/>
      <c r="BL2013" s="2126"/>
      <c r="BM2013" s="2126"/>
      <c r="BN2013" s="2126"/>
      <c r="BO2013" s="2126"/>
      <c r="BP2013" s="2126"/>
      <c r="BQ2013" s="2126"/>
      <c r="BR2013" s="2126"/>
      <c r="BS2013" s="2126"/>
    </row>
    <row r="2014" spans="1:71" s="3030" customFormat="1">
      <c r="A2014" s="2126"/>
      <c r="B2014" s="2126"/>
      <c r="C2014" s="2149"/>
      <c r="D2014" s="3248"/>
      <c r="E2014" s="525"/>
      <c r="F2014" s="525"/>
      <c r="G2014" s="526"/>
      <c r="K2014" s="3280"/>
      <c r="P2014" s="3041"/>
      <c r="X2014" s="3280"/>
      <c r="AA2014" s="3041"/>
      <c r="AF2014" s="3041"/>
      <c r="AN2014" s="3280"/>
      <c r="AZ2014" s="3041"/>
      <c r="BD2014" s="3281"/>
      <c r="BH2014" s="3282"/>
      <c r="BJ2014" s="2589"/>
      <c r="BK2014" s="2126"/>
      <c r="BL2014" s="2126"/>
      <c r="BM2014" s="2126"/>
      <c r="BN2014" s="2126"/>
      <c r="BO2014" s="2126"/>
      <c r="BP2014" s="2126"/>
      <c r="BQ2014" s="2126"/>
      <c r="BR2014" s="2126"/>
      <c r="BS2014" s="2126"/>
    </row>
    <row r="2015" spans="1:71" s="3030" customFormat="1">
      <c r="A2015" s="2126"/>
      <c r="B2015" s="2126"/>
      <c r="C2015" s="2149"/>
      <c r="D2015" s="3248"/>
      <c r="E2015" s="525"/>
      <c r="F2015" s="525"/>
      <c r="G2015" s="526"/>
      <c r="K2015" s="3280"/>
      <c r="P2015" s="3041"/>
      <c r="X2015" s="3280"/>
      <c r="AA2015" s="3041"/>
      <c r="AF2015" s="3041"/>
      <c r="AN2015" s="3280"/>
      <c r="AZ2015" s="3041"/>
      <c r="BD2015" s="3281"/>
      <c r="BH2015" s="3282"/>
      <c r="BJ2015" s="2589"/>
      <c r="BK2015" s="2126"/>
      <c r="BL2015" s="2126"/>
      <c r="BM2015" s="2126"/>
      <c r="BN2015" s="2126"/>
      <c r="BO2015" s="2126"/>
      <c r="BP2015" s="2126"/>
      <c r="BQ2015" s="2126"/>
      <c r="BR2015" s="2126"/>
      <c r="BS2015" s="2126"/>
    </row>
    <row r="2016" spans="1:71" s="3030" customFormat="1">
      <c r="A2016" s="2126"/>
      <c r="B2016" s="2126"/>
      <c r="C2016" s="2149"/>
      <c r="D2016" s="3248"/>
      <c r="E2016" s="525"/>
      <c r="F2016" s="525"/>
      <c r="G2016" s="526"/>
      <c r="K2016" s="3280"/>
      <c r="P2016" s="3041"/>
      <c r="X2016" s="3280"/>
      <c r="AA2016" s="3041"/>
      <c r="AF2016" s="3041"/>
      <c r="AN2016" s="3280"/>
      <c r="AZ2016" s="3041"/>
      <c r="BD2016" s="3281"/>
      <c r="BH2016" s="3282"/>
      <c r="BJ2016" s="2589"/>
      <c r="BK2016" s="2126"/>
      <c r="BL2016" s="2126"/>
      <c r="BM2016" s="2126"/>
      <c r="BN2016" s="2126"/>
      <c r="BO2016" s="2126"/>
      <c r="BP2016" s="2126"/>
      <c r="BQ2016" s="2126"/>
      <c r="BR2016" s="2126"/>
      <c r="BS2016" s="2126"/>
    </row>
    <row r="2017" spans="1:71" s="3030" customFormat="1">
      <c r="A2017" s="2126"/>
      <c r="B2017" s="2126"/>
      <c r="C2017" s="2149"/>
      <c r="D2017" s="3248"/>
      <c r="E2017" s="525"/>
      <c r="F2017" s="525"/>
      <c r="G2017" s="526"/>
      <c r="K2017" s="3280"/>
      <c r="P2017" s="3041"/>
      <c r="X2017" s="3280"/>
      <c r="AA2017" s="3041"/>
      <c r="AF2017" s="3041"/>
      <c r="AN2017" s="3280"/>
      <c r="AZ2017" s="3041"/>
      <c r="BD2017" s="3281"/>
      <c r="BH2017" s="3282"/>
      <c r="BJ2017" s="2589"/>
      <c r="BK2017" s="2126"/>
      <c r="BL2017" s="2126"/>
      <c r="BM2017" s="2126"/>
      <c r="BN2017" s="2126"/>
      <c r="BO2017" s="2126"/>
      <c r="BP2017" s="2126"/>
      <c r="BQ2017" s="2126"/>
      <c r="BR2017" s="2126"/>
      <c r="BS2017" s="2126"/>
    </row>
    <row r="2018" spans="1:71" s="3030" customFormat="1">
      <c r="A2018" s="2126"/>
      <c r="B2018" s="2126"/>
      <c r="C2018" s="2149"/>
      <c r="D2018" s="3248"/>
      <c r="E2018" s="525"/>
      <c r="F2018" s="525"/>
      <c r="G2018" s="526"/>
      <c r="K2018" s="3280"/>
      <c r="P2018" s="3041"/>
      <c r="X2018" s="3280"/>
      <c r="AA2018" s="3041"/>
      <c r="AF2018" s="3041"/>
      <c r="AN2018" s="3280"/>
      <c r="AZ2018" s="3041"/>
      <c r="BD2018" s="3281"/>
      <c r="BH2018" s="3282"/>
      <c r="BJ2018" s="2589"/>
      <c r="BK2018" s="2126"/>
      <c r="BL2018" s="2126"/>
      <c r="BM2018" s="2126"/>
      <c r="BN2018" s="2126"/>
      <c r="BO2018" s="2126"/>
      <c r="BP2018" s="2126"/>
      <c r="BQ2018" s="2126"/>
      <c r="BR2018" s="2126"/>
      <c r="BS2018" s="2126"/>
    </row>
    <row r="2019" spans="1:71" s="3030" customFormat="1">
      <c r="A2019" s="2126"/>
      <c r="B2019" s="2126"/>
      <c r="C2019" s="2149"/>
      <c r="D2019" s="3248"/>
      <c r="E2019" s="525"/>
      <c r="F2019" s="525"/>
      <c r="G2019" s="526"/>
      <c r="K2019" s="3280"/>
      <c r="P2019" s="3041"/>
      <c r="X2019" s="3280"/>
      <c r="AA2019" s="3041"/>
      <c r="AF2019" s="3041"/>
      <c r="AN2019" s="3280"/>
      <c r="AZ2019" s="3041"/>
      <c r="BD2019" s="3281"/>
      <c r="BH2019" s="3282"/>
      <c r="BJ2019" s="2589"/>
      <c r="BK2019" s="2126"/>
      <c r="BL2019" s="2126"/>
      <c r="BM2019" s="2126"/>
      <c r="BN2019" s="2126"/>
      <c r="BO2019" s="2126"/>
      <c r="BP2019" s="2126"/>
      <c r="BQ2019" s="2126"/>
      <c r="BR2019" s="2126"/>
      <c r="BS2019" s="2126"/>
    </row>
    <row r="2020" spans="1:71" s="3030" customFormat="1">
      <c r="A2020" s="2126"/>
      <c r="B2020" s="2126"/>
      <c r="C2020" s="2149"/>
      <c r="D2020" s="3248"/>
      <c r="E2020" s="525"/>
      <c r="F2020" s="525"/>
      <c r="G2020" s="526"/>
      <c r="K2020" s="3280"/>
      <c r="P2020" s="3041"/>
      <c r="X2020" s="3280"/>
      <c r="AA2020" s="3041"/>
      <c r="AF2020" s="3041"/>
      <c r="AN2020" s="3280"/>
      <c r="AZ2020" s="3041"/>
      <c r="BD2020" s="3281"/>
      <c r="BH2020" s="3282"/>
      <c r="BJ2020" s="2589"/>
      <c r="BK2020" s="2126"/>
      <c r="BL2020" s="2126"/>
      <c r="BM2020" s="2126"/>
      <c r="BN2020" s="2126"/>
      <c r="BO2020" s="2126"/>
      <c r="BP2020" s="2126"/>
      <c r="BQ2020" s="2126"/>
      <c r="BR2020" s="2126"/>
      <c r="BS2020" s="2126"/>
    </row>
    <row r="2021" spans="1:71" s="3030" customFormat="1">
      <c r="A2021" s="2126"/>
      <c r="B2021" s="2126"/>
      <c r="C2021" s="2149"/>
      <c r="D2021" s="3248"/>
      <c r="E2021" s="525"/>
      <c r="F2021" s="525"/>
      <c r="G2021" s="526"/>
      <c r="K2021" s="3280"/>
      <c r="P2021" s="3041"/>
      <c r="X2021" s="3280"/>
      <c r="AA2021" s="3041"/>
      <c r="AF2021" s="3041"/>
      <c r="AN2021" s="3280"/>
      <c r="AZ2021" s="3041"/>
      <c r="BD2021" s="3281"/>
      <c r="BH2021" s="3282"/>
      <c r="BJ2021" s="2589"/>
      <c r="BK2021" s="2126"/>
      <c r="BL2021" s="2126"/>
      <c r="BM2021" s="2126"/>
      <c r="BN2021" s="2126"/>
      <c r="BO2021" s="2126"/>
      <c r="BP2021" s="2126"/>
      <c r="BQ2021" s="2126"/>
      <c r="BR2021" s="2126"/>
      <c r="BS2021" s="2126"/>
    </row>
    <row r="2022" spans="1:71" s="3030" customFormat="1">
      <c r="A2022" s="2126"/>
      <c r="B2022" s="2126"/>
      <c r="C2022" s="2149"/>
      <c r="D2022" s="3248"/>
      <c r="E2022" s="525"/>
      <c r="F2022" s="525"/>
      <c r="G2022" s="526"/>
      <c r="K2022" s="3280"/>
      <c r="P2022" s="3041"/>
      <c r="X2022" s="3280"/>
      <c r="AA2022" s="3041"/>
      <c r="AF2022" s="3041"/>
      <c r="AN2022" s="3280"/>
      <c r="AZ2022" s="3041"/>
      <c r="BD2022" s="3281"/>
      <c r="BH2022" s="3282"/>
      <c r="BJ2022" s="2589"/>
      <c r="BK2022" s="2126"/>
      <c r="BL2022" s="2126"/>
      <c r="BM2022" s="2126"/>
      <c r="BN2022" s="2126"/>
      <c r="BO2022" s="2126"/>
      <c r="BP2022" s="2126"/>
      <c r="BQ2022" s="2126"/>
      <c r="BR2022" s="2126"/>
      <c r="BS2022" s="2126"/>
    </row>
    <row r="2023" spans="1:71" s="3030" customFormat="1">
      <c r="A2023" s="2126"/>
      <c r="B2023" s="2126"/>
      <c r="C2023" s="2149"/>
      <c r="D2023" s="3248"/>
      <c r="E2023" s="525"/>
      <c r="F2023" s="525"/>
      <c r="G2023" s="526"/>
      <c r="K2023" s="3280"/>
      <c r="P2023" s="3041"/>
      <c r="X2023" s="3280"/>
      <c r="AA2023" s="3041"/>
      <c r="AF2023" s="3041"/>
      <c r="AN2023" s="3280"/>
      <c r="AZ2023" s="3041"/>
      <c r="BD2023" s="3281"/>
      <c r="BH2023" s="3282"/>
      <c r="BJ2023" s="2589"/>
      <c r="BK2023" s="2126"/>
      <c r="BL2023" s="2126"/>
      <c r="BM2023" s="2126"/>
      <c r="BN2023" s="2126"/>
      <c r="BO2023" s="2126"/>
      <c r="BP2023" s="2126"/>
      <c r="BQ2023" s="2126"/>
      <c r="BR2023" s="2126"/>
      <c r="BS2023" s="2126"/>
    </row>
    <row r="2024" spans="1:71" s="3030" customFormat="1">
      <c r="A2024" s="2126"/>
      <c r="B2024" s="2126"/>
      <c r="C2024" s="2149"/>
      <c r="D2024" s="3248"/>
      <c r="E2024" s="525"/>
      <c r="F2024" s="525"/>
      <c r="G2024" s="526"/>
      <c r="K2024" s="3280"/>
      <c r="P2024" s="3041"/>
      <c r="X2024" s="3280"/>
      <c r="AA2024" s="3041"/>
      <c r="AF2024" s="3041"/>
      <c r="AN2024" s="3280"/>
      <c r="AZ2024" s="3041"/>
      <c r="BD2024" s="3281"/>
      <c r="BH2024" s="3282"/>
      <c r="BJ2024" s="2589"/>
      <c r="BK2024" s="2126"/>
      <c r="BL2024" s="2126"/>
      <c r="BM2024" s="2126"/>
      <c r="BN2024" s="2126"/>
      <c r="BO2024" s="2126"/>
      <c r="BP2024" s="2126"/>
      <c r="BQ2024" s="2126"/>
      <c r="BR2024" s="2126"/>
      <c r="BS2024" s="2126"/>
    </row>
    <row r="2025" spans="1:71" s="3030" customFormat="1">
      <c r="A2025" s="2126"/>
      <c r="B2025" s="2126"/>
      <c r="C2025" s="2149"/>
      <c r="D2025" s="3248"/>
      <c r="E2025" s="525"/>
      <c r="F2025" s="525"/>
      <c r="G2025" s="526"/>
      <c r="K2025" s="3280"/>
      <c r="P2025" s="3041"/>
      <c r="X2025" s="3280"/>
      <c r="AA2025" s="3041"/>
      <c r="AF2025" s="3041"/>
      <c r="AN2025" s="3280"/>
      <c r="AZ2025" s="3041"/>
      <c r="BD2025" s="3281"/>
      <c r="BH2025" s="3282"/>
      <c r="BJ2025" s="2589"/>
      <c r="BK2025" s="2126"/>
      <c r="BL2025" s="2126"/>
      <c r="BM2025" s="2126"/>
      <c r="BN2025" s="2126"/>
      <c r="BO2025" s="2126"/>
      <c r="BP2025" s="2126"/>
      <c r="BQ2025" s="2126"/>
      <c r="BR2025" s="2126"/>
      <c r="BS2025" s="2126"/>
    </row>
    <row r="2026" spans="1:71" s="3030" customFormat="1">
      <c r="A2026" s="2126"/>
      <c r="B2026" s="2126"/>
      <c r="C2026" s="2149"/>
      <c r="D2026" s="3248"/>
      <c r="E2026" s="525"/>
      <c r="F2026" s="525"/>
      <c r="G2026" s="526"/>
      <c r="K2026" s="3280"/>
      <c r="P2026" s="3041"/>
      <c r="X2026" s="3280"/>
      <c r="AA2026" s="3041"/>
      <c r="AF2026" s="3041"/>
      <c r="AN2026" s="3280"/>
      <c r="AZ2026" s="3041"/>
      <c r="BD2026" s="3281"/>
      <c r="BH2026" s="3282"/>
      <c r="BJ2026" s="2589"/>
      <c r="BK2026" s="2126"/>
      <c r="BL2026" s="2126"/>
      <c r="BM2026" s="2126"/>
      <c r="BN2026" s="2126"/>
      <c r="BO2026" s="2126"/>
      <c r="BP2026" s="2126"/>
      <c r="BQ2026" s="2126"/>
      <c r="BR2026" s="2126"/>
      <c r="BS2026" s="2126"/>
    </row>
    <row r="2027" spans="1:71" s="3030" customFormat="1">
      <c r="A2027" s="2126"/>
      <c r="B2027" s="2126"/>
      <c r="C2027" s="2149"/>
      <c r="D2027" s="3248"/>
      <c r="E2027" s="525"/>
      <c r="F2027" s="525"/>
      <c r="G2027" s="526"/>
      <c r="K2027" s="3280"/>
      <c r="P2027" s="3041"/>
      <c r="X2027" s="3280"/>
      <c r="AA2027" s="3041"/>
      <c r="AF2027" s="3041"/>
      <c r="AN2027" s="3280"/>
      <c r="AZ2027" s="3041"/>
      <c r="BD2027" s="3281"/>
      <c r="BH2027" s="3282"/>
      <c r="BJ2027" s="2589"/>
      <c r="BK2027" s="2126"/>
      <c r="BL2027" s="2126"/>
      <c r="BM2027" s="2126"/>
      <c r="BN2027" s="2126"/>
      <c r="BO2027" s="2126"/>
      <c r="BP2027" s="2126"/>
      <c r="BQ2027" s="2126"/>
      <c r="BR2027" s="2126"/>
      <c r="BS2027" s="2126"/>
    </row>
    <row r="2028" spans="1:71" s="3030" customFormat="1">
      <c r="A2028" s="2126"/>
      <c r="B2028" s="2126"/>
      <c r="C2028" s="2149"/>
      <c r="D2028" s="3248"/>
      <c r="E2028" s="525"/>
      <c r="F2028" s="525"/>
      <c r="G2028" s="526"/>
      <c r="K2028" s="3280"/>
      <c r="P2028" s="3041"/>
      <c r="X2028" s="3280"/>
      <c r="AA2028" s="3041"/>
      <c r="AF2028" s="3041"/>
      <c r="AN2028" s="3280"/>
      <c r="AZ2028" s="3041"/>
      <c r="BD2028" s="3281"/>
      <c r="BH2028" s="3282"/>
      <c r="BJ2028" s="2589"/>
      <c r="BK2028" s="2126"/>
      <c r="BL2028" s="2126"/>
      <c r="BM2028" s="2126"/>
      <c r="BN2028" s="2126"/>
      <c r="BO2028" s="2126"/>
      <c r="BP2028" s="2126"/>
      <c r="BQ2028" s="2126"/>
      <c r="BR2028" s="2126"/>
      <c r="BS2028" s="2126"/>
    </row>
    <row r="2029" spans="1:71" s="3030" customFormat="1">
      <c r="A2029" s="2126"/>
      <c r="B2029" s="2126"/>
      <c r="C2029" s="2149"/>
      <c r="D2029" s="3248"/>
      <c r="E2029" s="525"/>
      <c r="F2029" s="525"/>
      <c r="G2029" s="526"/>
      <c r="K2029" s="3280"/>
      <c r="P2029" s="3041"/>
      <c r="X2029" s="3280"/>
      <c r="AA2029" s="3041"/>
      <c r="AF2029" s="3041"/>
      <c r="AN2029" s="3280"/>
      <c r="AZ2029" s="3041"/>
      <c r="BD2029" s="3281"/>
      <c r="BH2029" s="3282"/>
      <c r="BJ2029" s="2589"/>
      <c r="BK2029" s="2126"/>
      <c r="BL2029" s="2126"/>
      <c r="BM2029" s="2126"/>
      <c r="BN2029" s="2126"/>
      <c r="BO2029" s="2126"/>
      <c r="BP2029" s="2126"/>
      <c r="BQ2029" s="2126"/>
      <c r="BR2029" s="2126"/>
      <c r="BS2029" s="2126"/>
    </row>
    <row r="2030" spans="1:71" s="3030" customFormat="1">
      <c r="A2030" s="2126"/>
      <c r="B2030" s="2126"/>
      <c r="C2030" s="2149"/>
      <c r="D2030" s="3248"/>
      <c r="E2030" s="525"/>
      <c r="F2030" s="525"/>
      <c r="G2030" s="526"/>
      <c r="K2030" s="3280"/>
      <c r="P2030" s="3041"/>
      <c r="X2030" s="3280"/>
      <c r="AA2030" s="3041"/>
      <c r="AF2030" s="3041"/>
      <c r="AN2030" s="3280"/>
      <c r="AZ2030" s="3041"/>
      <c r="BD2030" s="3281"/>
      <c r="BH2030" s="3282"/>
      <c r="BJ2030" s="2589"/>
      <c r="BK2030" s="2126"/>
      <c r="BL2030" s="2126"/>
      <c r="BM2030" s="2126"/>
      <c r="BN2030" s="2126"/>
      <c r="BO2030" s="2126"/>
      <c r="BP2030" s="2126"/>
      <c r="BQ2030" s="2126"/>
      <c r="BR2030" s="2126"/>
      <c r="BS2030" s="2126"/>
    </row>
    <row r="2031" spans="1:71" s="3030" customFormat="1">
      <c r="A2031" s="2126"/>
      <c r="B2031" s="2126"/>
      <c r="C2031" s="2149"/>
      <c r="D2031" s="3248"/>
      <c r="E2031" s="525"/>
      <c r="F2031" s="525"/>
      <c r="G2031" s="526"/>
      <c r="K2031" s="3280"/>
      <c r="P2031" s="3041"/>
      <c r="X2031" s="3280"/>
      <c r="AA2031" s="3041"/>
      <c r="AF2031" s="3041"/>
      <c r="AN2031" s="3280"/>
      <c r="AZ2031" s="3041"/>
      <c r="BD2031" s="3281"/>
      <c r="BH2031" s="3282"/>
      <c r="BJ2031" s="2589"/>
      <c r="BK2031" s="2126"/>
      <c r="BL2031" s="2126"/>
      <c r="BM2031" s="2126"/>
      <c r="BN2031" s="2126"/>
      <c r="BO2031" s="2126"/>
      <c r="BP2031" s="2126"/>
      <c r="BQ2031" s="2126"/>
      <c r="BR2031" s="2126"/>
      <c r="BS2031" s="2126"/>
    </row>
    <row r="2032" spans="1:71" s="3030" customFormat="1">
      <c r="A2032" s="2126"/>
      <c r="B2032" s="2126"/>
      <c r="C2032" s="2149"/>
      <c r="D2032" s="3248"/>
      <c r="E2032" s="525"/>
      <c r="F2032" s="525"/>
      <c r="G2032" s="526"/>
      <c r="K2032" s="3280"/>
      <c r="P2032" s="3041"/>
      <c r="X2032" s="3280"/>
      <c r="AA2032" s="3041"/>
      <c r="AF2032" s="3041"/>
      <c r="AN2032" s="3280"/>
      <c r="AZ2032" s="3041"/>
      <c r="BD2032" s="3281"/>
      <c r="BH2032" s="3282"/>
      <c r="BJ2032" s="2589"/>
      <c r="BK2032" s="2126"/>
      <c r="BL2032" s="2126"/>
      <c r="BM2032" s="2126"/>
      <c r="BN2032" s="2126"/>
      <c r="BO2032" s="2126"/>
      <c r="BP2032" s="2126"/>
      <c r="BQ2032" s="2126"/>
      <c r="BR2032" s="2126"/>
      <c r="BS2032" s="2126"/>
    </row>
    <row r="2033" spans="1:71" s="3030" customFormat="1">
      <c r="A2033" s="2126"/>
      <c r="B2033" s="2126"/>
      <c r="C2033" s="2149"/>
      <c r="D2033" s="3248"/>
      <c r="E2033" s="525"/>
      <c r="F2033" s="525"/>
      <c r="G2033" s="526"/>
      <c r="K2033" s="3280"/>
      <c r="P2033" s="3041"/>
      <c r="X2033" s="3280"/>
      <c r="AA2033" s="3041"/>
      <c r="AF2033" s="3041"/>
      <c r="AN2033" s="3280"/>
      <c r="AZ2033" s="3041"/>
      <c r="BD2033" s="3281"/>
      <c r="BH2033" s="3282"/>
      <c r="BJ2033" s="2589"/>
      <c r="BK2033" s="2126"/>
      <c r="BL2033" s="2126"/>
      <c r="BM2033" s="2126"/>
      <c r="BN2033" s="2126"/>
      <c r="BO2033" s="2126"/>
      <c r="BP2033" s="2126"/>
      <c r="BQ2033" s="2126"/>
      <c r="BR2033" s="2126"/>
      <c r="BS2033" s="2126"/>
    </row>
    <row r="2034" spans="1:71" s="3030" customFormat="1">
      <c r="A2034" s="2126"/>
      <c r="B2034" s="2126"/>
      <c r="C2034" s="2149"/>
      <c r="D2034" s="3248"/>
      <c r="E2034" s="525"/>
      <c r="F2034" s="525"/>
      <c r="G2034" s="526"/>
      <c r="K2034" s="3280"/>
      <c r="P2034" s="3041"/>
      <c r="X2034" s="3280"/>
      <c r="AA2034" s="3041"/>
      <c r="AF2034" s="3041"/>
      <c r="AN2034" s="3280"/>
      <c r="AZ2034" s="3041"/>
      <c r="BD2034" s="3281"/>
      <c r="BH2034" s="3282"/>
      <c r="BJ2034" s="2589"/>
      <c r="BK2034" s="2126"/>
      <c r="BL2034" s="2126"/>
      <c r="BM2034" s="2126"/>
      <c r="BN2034" s="2126"/>
      <c r="BO2034" s="2126"/>
      <c r="BP2034" s="2126"/>
      <c r="BQ2034" s="2126"/>
      <c r="BR2034" s="2126"/>
      <c r="BS2034" s="2126"/>
    </row>
    <row r="2035" spans="1:71" s="3030" customFormat="1">
      <c r="A2035" s="2126"/>
      <c r="B2035" s="2126"/>
      <c r="C2035" s="2149"/>
      <c r="D2035" s="3248"/>
      <c r="E2035" s="525"/>
      <c r="F2035" s="525"/>
      <c r="G2035" s="526"/>
      <c r="K2035" s="3280"/>
      <c r="P2035" s="3041"/>
      <c r="X2035" s="3280"/>
      <c r="AA2035" s="3041"/>
      <c r="AF2035" s="3041"/>
      <c r="AN2035" s="3280"/>
      <c r="AZ2035" s="3041"/>
      <c r="BD2035" s="3281"/>
      <c r="BH2035" s="3282"/>
      <c r="BJ2035" s="2589"/>
      <c r="BK2035" s="2126"/>
      <c r="BL2035" s="2126"/>
      <c r="BM2035" s="2126"/>
      <c r="BN2035" s="2126"/>
      <c r="BO2035" s="2126"/>
      <c r="BP2035" s="2126"/>
      <c r="BQ2035" s="2126"/>
      <c r="BR2035" s="2126"/>
      <c r="BS2035" s="2126"/>
    </row>
    <row r="2036" spans="1:71" s="3030" customFormat="1">
      <c r="A2036" s="2126"/>
      <c r="B2036" s="2126"/>
      <c r="C2036" s="2149"/>
      <c r="D2036" s="3248"/>
      <c r="E2036" s="525"/>
      <c r="F2036" s="525"/>
      <c r="G2036" s="526"/>
      <c r="K2036" s="3280"/>
      <c r="P2036" s="3041"/>
      <c r="X2036" s="3280"/>
      <c r="AA2036" s="3041"/>
      <c r="AF2036" s="3041"/>
      <c r="AN2036" s="3280"/>
      <c r="AZ2036" s="3041"/>
      <c r="BD2036" s="3281"/>
      <c r="BH2036" s="3282"/>
      <c r="BJ2036" s="2589"/>
      <c r="BK2036" s="2126"/>
      <c r="BL2036" s="2126"/>
      <c r="BM2036" s="2126"/>
      <c r="BN2036" s="2126"/>
      <c r="BO2036" s="2126"/>
      <c r="BP2036" s="2126"/>
      <c r="BQ2036" s="2126"/>
      <c r="BR2036" s="2126"/>
      <c r="BS2036" s="2126"/>
    </row>
    <row r="2037" spans="1:71" s="3030" customFormat="1">
      <c r="A2037" s="2126"/>
      <c r="B2037" s="2126"/>
      <c r="C2037" s="2149"/>
      <c r="D2037" s="3248"/>
      <c r="E2037" s="525"/>
      <c r="F2037" s="525"/>
      <c r="G2037" s="526"/>
      <c r="K2037" s="3280"/>
      <c r="P2037" s="3041"/>
      <c r="X2037" s="3280"/>
      <c r="AA2037" s="3041"/>
      <c r="AF2037" s="3041"/>
      <c r="AN2037" s="3280"/>
      <c r="AZ2037" s="3041"/>
      <c r="BD2037" s="3281"/>
      <c r="BH2037" s="3282"/>
      <c r="BJ2037" s="2589"/>
      <c r="BK2037" s="2126"/>
      <c r="BL2037" s="2126"/>
      <c r="BM2037" s="2126"/>
      <c r="BN2037" s="2126"/>
      <c r="BO2037" s="2126"/>
      <c r="BP2037" s="2126"/>
      <c r="BQ2037" s="2126"/>
      <c r="BR2037" s="2126"/>
      <c r="BS2037" s="2126"/>
    </row>
    <row r="2038" spans="1:71" s="3030" customFormat="1">
      <c r="A2038" s="2126"/>
      <c r="B2038" s="2126"/>
      <c r="C2038" s="2149"/>
      <c r="D2038" s="3248"/>
      <c r="E2038" s="525"/>
      <c r="F2038" s="525"/>
      <c r="G2038" s="526"/>
      <c r="K2038" s="3280"/>
      <c r="P2038" s="3041"/>
      <c r="X2038" s="3280"/>
      <c r="AA2038" s="3041"/>
      <c r="AF2038" s="3041"/>
      <c r="AN2038" s="3280"/>
      <c r="AZ2038" s="3041"/>
      <c r="BD2038" s="3281"/>
      <c r="BH2038" s="3282"/>
      <c r="BJ2038" s="2589"/>
      <c r="BK2038" s="2126"/>
      <c r="BL2038" s="2126"/>
      <c r="BM2038" s="2126"/>
      <c r="BN2038" s="2126"/>
      <c r="BO2038" s="2126"/>
      <c r="BP2038" s="2126"/>
      <c r="BQ2038" s="2126"/>
      <c r="BR2038" s="2126"/>
      <c r="BS2038" s="2126"/>
    </row>
    <row r="2039" spans="1:71" s="3030" customFormat="1">
      <c r="A2039" s="2126"/>
      <c r="B2039" s="2126"/>
      <c r="C2039" s="2149"/>
      <c r="D2039" s="3248"/>
      <c r="E2039" s="525"/>
      <c r="F2039" s="525"/>
      <c r="G2039" s="526"/>
      <c r="K2039" s="3280"/>
      <c r="P2039" s="3041"/>
      <c r="X2039" s="3280"/>
      <c r="AA2039" s="3041"/>
      <c r="AF2039" s="3041"/>
      <c r="AN2039" s="3280"/>
      <c r="AZ2039" s="3041"/>
      <c r="BD2039" s="3281"/>
      <c r="BH2039" s="3282"/>
      <c r="BJ2039" s="2589"/>
      <c r="BK2039" s="2126"/>
      <c r="BL2039" s="2126"/>
      <c r="BM2039" s="2126"/>
      <c r="BN2039" s="2126"/>
      <c r="BO2039" s="2126"/>
      <c r="BP2039" s="2126"/>
      <c r="BQ2039" s="2126"/>
      <c r="BR2039" s="2126"/>
      <c r="BS2039" s="2126"/>
    </row>
    <row r="2040" spans="1:71" s="3030" customFormat="1">
      <c r="A2040" s="2126"/>
      <c r="B2040" s="2126"/>
      <c r="C2040" s="2149"/>
      <c r="D2040" s="3248"/>
      <c r="E2040" s="525"/>
      <c r="F2040" s="525"/>
      <c r="G2040" s="526"/>
      <c r="K2040" s="3280"/>
      <c r="P2040" s="3041"/>
      <c r="X2040" s="3280"/>
      <c r="AA2040" s="3041"/>
      <c r="AF2040" s="3041"/>
      <c r="AN2040" s="3280"/>
      <c r="AZ2040" s="3041"/>
      <c r="BD2040" s="3281"/>
      <c r="BH2040" s="3282"/>
      <c r="BJ2040" s="2589"/>
      <c r="BK2040" s="2126"/>
      <c r="BL2040" s="2126"/>
      <c r="BM2040" s="2126"/>
      <c r="BN2040" s="2126"/>
      <c r="BO2040" s="2126"/>
      <c r="BP2040" s="2126"/>
      <c r="BQ2040" s="2126"/>
      <c r="BR2040" s="2126"/>
      <c r="BS2040" s="2126"/>
    </row>
    <row r="2041" spans="1:71" s="3030" customFormat="1">
      <c r="A2041" s="2126"/>
      <c r="B2041" s="2126"/>
      <c r="C2041" s="2149"/>
      <c r="D2041" s="3248"/>
      <c r="E2041" s="525"/>
      <c r="F2041" s="525"/>
      <c r="G2041" s="526"/>
      <c r="K2041" s="3280"/>
      <c r="P2041" s="3041"/>
      <c r="X2041" s="3280"/>
      <c r="AA2041" s="3041"/>
      <c r="AF2041" s="3041"/>
      <c r="AN2041" s="3280"/>
      <c r="AZ2041" s="3041"/>
      <c r="BD2041" s="3281"/>
      <c r="BH2041" s="3282"/>
      <c r="BJ2041" s="2589"/>
      <c r="BK2041" s="2126"/>
      <c r="BL2041" s="2126"/>
      <c r="BM2041" s="2126"/>
      <c r="BN2041" s="2126"/>
      <c r="BO2041" s="2126"/>
      <c r="BP2041" s="2126"/>
      <c r="BQ2041" s="2126"/>
      <c r="BR2041" s="2126"/>
      <c r="BS2041" s="2126"/>
    </row>
    <row r="2042" spans="1:71" s="3030" customFormat="1">
      <c r="A2042" s="2126"/>
      <c r="B2042" s="2126"/>
      <c r="C2042" s="2149"/>
      <c r="D2042" s="3248"/>
      <c r="E2042" s="525"/>
      <c r="F2042" s="525"/>
      <c r="G2042" s="526"/>
      <c r="K2042" s="3280"/>
      <c r="P2042" s="3041"/>
      <c r="X2042" s="3280"/>
      <c r="AA2042" s="3041"/>
      <c r="AF2042" s="3041"/>
      <c r="AN2042" s="3280"/>
      <c r="AZ2042" s="3041"/>
      <c r="BD2042" s="3281"/>
      <c r="BH2042" s="3282"/>
      <c r="BJ2042" s="2589"/>
      <c r="BK2042" s="2126"/>
      <c r="BL2042" s="2126"/>
      <c r="BM2042" s="2126"/>
      <c r="BN2042" s="2126"/>
      <c r="BO2042" s="2126"/>
      <c r="BP2042" s="2126"/>
      <c r="BQ2042" s="2126"/>
      <c r="BR2042" s="2126"/>
      <c r="BS2042" s="2126"/>
    </row>
    <row r="2043" spans="1:71" s="3030" customFormat="1">
      <c r="A2043" s="2126"/>
      <c r="B2043" s="2126"/>
      <c r="C2043" s="2149"/>
      <c r="D2043" s="3248"/>
      <c r="E2043" s="525"/>
      <c r="F2043" s="525"/>
      <c r="G2043" s="526"/>
      <c r="K2043" s="3280"/>
      <c r="P2043" s="3041"/>
      <c r="X2043" s="3280"/>
      <c r="AA2043" s="3041"/>
      <c r="AF2043" s="3041"/>
      <c r="AN2043" s="3280"/>
      <c r="AZ2043" s="3041"/>
      <c r="BD2043" s="3281"/>
      <c r="BH2043" s="3282"/>
      <c r="BJ2043" s="2589"/>
      <c r="BK2043" s="2126"/>
      <c r="BL2043" s="2126"/>
      <c r="BM2043" s="2126"/>
      <c r="BN2043" s="2126"/>
      <c r="BO2043" s="2126"/>
      <c r="BP2043" s="2126"/>
      <c r="BQ2043" s="2126"/>
      <c r="BR2043" s="2126"/>
      <c r="BS2043" s="2126"/>
    </row>
    <row r="2044" spans="1:71" s="3030" customFormat="1">
      <c r="A2044" s="2126"/>
      <c r="B2044" s="2126"/>
      <c r="C2044" s="2149"/>
      <c r="D2044" s="3248"/>
      <c r="E2044" s="525"/>
      <c r="F2044" s="525"/>
      <c r="G2044" s="526"/>
      <c r="K2044" s="3280"/>
      <c r="P2044" s="3041"/>
      <c r="X2044" s="3280"/>
      <c r="AA2044" s="3041"/>
      <c r="AF2044" s="3041"/>
      <c r="AN2044" s="3280"/>
      <c r="AZ2044" s="3041"/>
      <c r="BD2044" s="3281"/>
      <c r="BH2044" s="3282"/>
      <c r="BJ2044" s="2589"/>
      <c r="BK2044" s="2126"/>
      <c r="BL2044" s="2126"/>
      <c r="BM2044" s="2126"/>
      <c r="BN2044" s="2126"/>
      <c r="BO2044" s="2126"/>
      <c r="BP2044" s="2126"/>
      <c r="BQ2044" s="2126"/>
      <c r="BR2044" s="2126"/>
      <c r="BS2044" s="2126"/>
    </row>
    <row r="2045" spans="1:71" s="3030" customFormat="1">
      <c r="A2045" s="2126"/>
      <c r="B2045" s="2126"/>
      <c r="C2045" s="2149"/>
      <c r="D2045" s="3248"/>
      <c r="E2045" s="525"/>
      <c r="F2045" s="525"/>
      <c r="G2045" s="526"/>
      <c r="K2045" s="3280"/>
      <c r="P2045" s="3041"/>
      <c r="X2045" s="3280"/>
      <c r="AA2045" s="3041"/>
      <c r="AF2045" s="3041"/>
      <c r="AN2045" s="3280"/>
      <c r="AZ2045" s="3041"/>
      <c r="BD2045" s="3281"/>
      <c r="BH2045" s="3282"/>
      <c r="BJ2045" s="2589"/>
      <c r="BK2045" s="2126"/>
      <c r="BL2045" s="2126"/>
      <c r="BM2045" s="2126"/>
      <c r="BN2045" s="2126"/>
      <c r="BO2045" s="2126"/>
      <c r="BP2045" s="2126"/>
      <c r="BQ2045" s="2126"/>
      <c r="BR2045" s="2126"/>
      <c r="BS2045" s="2126"/>
    </row>
    <row r="2046" spans="1:71" s="3030" customFormat="1">
      <c r="A2046" s="2126"/>
      <c r="B2046" s="2126"/>
      <c r="C2046" s="2149"/>
      <c r="D2046" s="3248"/>
      <c r="E2046" s="525"/>
      <c r="F2046" s="525"/>
      <c r="G2046" s="526"/>
      <c r="K2046" s="3280"/>
      <c r="P2046" s="3041"/>
      <c r="X2046" s="3280"/>
      <c r="AA2046" s="3041"/>
      <c r="AF2046" s="3041"/>
      <c r="AN2046" s="3280"/>
      <c r="AZ2046" s="3041"/>
      <c r="BD2046" s="3281"/>
      <c r="BH2046" s="3282"/>
      <c r="BJ2046" s="2589"/>
      <c r="BK2046" s="2126"/>
      <c r="BL2046" s="2126"/>
      <c r="BM2046" s="2126"/>
      <c r="BN2046" s="2126"/>
      <c r="BO2046" s="2126"/>
      <c r="BP2046" s="2126"/>
      <c r="BQ2046" s="2126"/>
      <c r="BR2046" s="2126"/>
      <c r="BS2046" s="2126"/>
    </row>
    <row r="2047" spans="1:71" s="3030" customFormat="1">
      <c r="A2047" s="2126"/>
      <c r="B2047" s="2126"/>
      <c r="C2047" s="2149"/>
      <c r="D2047" s="3248"/>
      <c r="E2047" s="525"/>
      <c r="F2047" s="525"/>
      <c r="G2047" s="526"/>
      <c r="K2047" s="3280"/>
      <c r="P2047" s="3041"/>
      <c r="X2047" s="3280"/>
      <c r="AA2047" s="3041"/>
      <c r="AF2047" s="3041"/>
      <c r="AN2047" s="3280"/>
      <c r="AZ2047" s="3041"/>
      <c r="BD2047" s="3281"/>
      <c r="BH2047" s="3282"/>
      <c r="BJ2047" s="2589"/>
      <c r="BK2047" s="2126"/>
      <c r="BL2047" s="2126"/>
      <c r="BM2047" s="2126"/>
      <c r="BN2047" s="2126"/>
      <c r="BO2047" s="2126"/>
      <c r="BP2047" s="2126"/>
      <c r="BQ2047" s="2126"/>
      <c r="BR2047" s="2126"/>
      <c r="BS2047" s="2126"/>
    </row>
    <row r="2048" spans="1:71" s="3030" customFormat="1">
      <c r="A2048" s="2126"/>
      <c r="B2048" s="2126"/>
      <c r="C2048" s="2149"/>
      <c r="D2048" s="3248"/>
      <c r="E2048" s="525"/>
      <c r="F2048" s="525"/>
      <c r="G2048" s="526"/>
      <c r="K2048" s="3280"/>
      <c r="P2048" s="3041"/>
      <c r="X2048" s="3280"/>
      <c r="AA2048" s="3041"/>
      <c r="AF2048" s="3041"/>
      <c r="AN2048" s="3280"/>
      <c r="AZ2048" s="3041"/>
      <c r="BD2048" s="3281"/>
      <c r="BH2048" s="3282"/>
      <c r="BJ2048" s="2589"/>
      <c r="BK2048" s="2126"/>
      <c r="BL2048" s="2126"/>
      <c r="BM2048" s="2126"/>
      <c r="BN2048" s="2126"/>
      <c r="BO2048" s="2126"/>
      <c r="BP2048" s="2126"/>
      <c r="BQ2048" s="2126"/>
      <c r="BR2048" s="2126"/>
      <c r="BS2048" s="2126"/>
    </row>
    <row r="2049" spans="1:71" s="3030" customFormat="1">
      <c r="A2049" s="2126"/>
      <c r="B2049" s="2126"/>
      <c r="C2049" s="2149"/>
      <c r="D2049" s="3248"/>
      <c r="E2049" s="525"/>
      <c r="F2049" s="525"/>
      <c r="G2049" s="526"/>
      <c r="K2049" s="3280"/>
      <c r="P2049" s="3041"/>
      <c r="X2049" s="3280"/>
      <c r="AA2049" s="3041"/>
      <c r="AF2049" s="3041"/>
      <c r="AN2049" s="3280"/>
      <c r="AZ2049" s="3041"/>
      <c r="BD2049" s="3281"/>
      <c r="BH2049" s="3282"/>
      <c r="BJ2049" s="2589"/>
      <c r="BK2049" s="2126"/>
      <c r="BL2049" s="2126"/>
      <c r="BM2049" s="2126"/>
      <c r="BN2049" s="2126"/>
      <c r="BO2049" s="2126"/>
      <c r="BP2049" s="2126"/>
      <c r="BQ2049" s="2126"/>
      <c r="BR2049" s="2126"/>
      <c r="BS2049" s="2126"/>
    </row>
    <row r="2050" spans="1:71" s="3030" customFormat="1">
      <c r="A2050" s="2126"/>
      <c r="B2050" s="2126"/>
      <c r="C2050" s="2149"/>
      <c r="D2050" s="3248"/>
      <c r="E2050" s="525"/>
      <c r="F2050" s="525"/>
      <c r="G2050" s="526"/>
      <c r="K2050" s="3280"/>
      <c r="P2050" s="3041"/>
      <c r="X2050" s="3280"/>
      <c r="AA2050" s="3041"/>
      <c r="AF2050" s="3041"/>
      <c r="AN2050" s="3280"/>
      <c r="AZ2050" s="3041"/>
      <c r="BD2050" s="3281"/>
      <c r="BH2050" s="3282"/>
      <c r="BJ2050" s="2589"/>
      <c r="BK2050" s="2126"/>
      <c r="BL2050" s="2126"/>
      <c r="BM2050" s="2126"/>
      <c r="BN2050" s="2126"/>
      <c r="BO2050" s="2126"/>
      <c r="BP2050" s="2126"/>
      <c r="BQ2050" s="2126"/>
      <c r="BR2050" s="2126"/>
      <c r="BS2050" s="2126"/>
    </row>
    <row r="2051" spans="1:71" s="3030" customFormat="1">
      <c r="A2051" s="2126"/>
      <c r="B2051" s="2126"/>
      <c r="C2051" s="2149"/>
      <c r="D2051" s="3248"/>
      <c r="E2051" s="525"/>
      <c r="F2051" s="525"/>
      <c r="G2051" s="526"/>
      <c r="K2051" s="3280"/>
      <c r="P2051" s="3041"/>
      <c r="X2051" s="3280"/>
      <c r="AA2051" s="3041"/>
      <c r="AF2051" s="3041"/>
      <c r="AN2051" s="3280"/>
      <c r="AZ2051" s="3041"/>
      <c r="BD2051" s="3281"/>
      <c r="BH2051" s="3282"/>
      <c r="BJ2051" s="2589"/>
      <c r="BK2051" s="2126"/>
      <c r="BL2051" s="2126"/>
      <c r="BM2051" s="2126"/>
      <c r="BN2051" s="2126"/>
      <c r="BO2051" s="2126"/>
      <c r="BP2051" s="2126"/>
      <c r="BQ2051" s="2126"/>
      <c r="BR2051" s="2126"/>
      <c r="BS2051" s="2126"/>
    </row>
    <row r="2052" spans="1:71" s="3030" customFormat="1">
      <c r="A2052" s="2126"/>
      <c r="B2052" s="2126"/>
      <c r="C2052" s="2149"/>
      <c r="D2052" s="3248"/>
      <c r="E2052" s="525"/>
      <c r="F2052" s="525"/>
      <c r="G2052" s="526"/>
      <c r="K2052" s="3280"/>
      <c r="P2052" s="3041"/>
      <c r="X2052" s="3280"/>
      <c r="AA2052" s="3041"/>
      <c r="AF2052" s="3041"/>
      <c r="AN2052" s="3280"/>
      <c r="AZ2052" s="3041"/>
      <c r="BD2052" s="3281"/>
      <c r="BH2052" s="3282"/>
      <c r="BJ2052" s="2589"/>
      <c r="BK2052" s="2126"/>
      <c r="BL2052" s="2126"/>
      <c r="BM2052" s="2126"/>
      <c r="BN2052" s="2126"/>
      <c r="BO2052" s="2126"/>
      <c r="BP2052" s="2126"/>
      <c r="BQ2052" s="2126"/>
      <c r="BR2052" s="2126"/>
      <c r="BS2052" s="2126"/>
    </row>
    <row r="2053" spans="1:71" s="3030" customFormat="1">
      <c r="A2053" s="2126"/>
      <c r="B2053" s="2126"/>
      <c r="C2053" s="2149"/>
      <c r="D2053" s="3248"/>
      <c r="E2053" s="525"/>
      <c r="F2053" s="525"/>
      <c r="G2053" s="526"/>
      <c r="K2053" s="3280"/>
      <c r="P2053" s="3041"/>
      <c r="X2053" s="3280"/>
      <c r="AA2053" s="3041"/>
      <c r="AF2053" s="3041"/>
      <c r="AN2053" s="3280"/>
      <c r="AZ2053" s="3041"/>
      <c r="BD2053" s="3281"/>
      <c r="BH2053" s="3282"/>
      <c r="BJ2053" s="2589"/>
      <c r="BK2053" s="2126"/>
      <c r="BL2053" s="2126"/>
      <c r="BM2053" s="2126"/>
      <c r="BN2053" s="2126"/>
      <c r="BO2053" s="2126"/>
      <c r="BP2053" s="2126"/>
      <c r="BQ2053" s="2126"/>
      <c r="BR2053" s="2126"/>
      <c r="BS2053" s="2126"/>
    </row>
    <row r="2054" spans="1:71" s="3030" customFormat="1">
      <c r="A2054" s="2126"/>
      <c r="B2054" s="2126"/>
      <c r="C2054" s="2149"/>
      <c r="D2054" s="3248"/>
      <c r="E2054" s="525"/>
      <c r="F2054" s="525"/>
      <c r="G2054" s="526"/>
      <c r="K2054" s="3280"/>
      <c r="P2054" s="3041"/>
      <c r="X2054" s="3280"/>
      <c r="AA2054" s="3041"/>
      <c r="AF2054" s="3041"/>
      <c r="AN2054" s="3280"/>
      <c r="AZ2054" s="3041"/>
      <c r="BD2054" s="3281"/>
      <c r="BH2054" s="3282"/>
      <c r="BJ2054" s="2589"/>
      <c r="BK2054" s="2126"/>
      <c r="BL2054" s="2126"/>
      <c r="BM2054" s="2126"/>
      <c r="BN2054" s="2126"/>
      <c r="BO2054" s="2126"/>
      <c r="BP2054" s="2126"/>
      <c r="BQ2054" s="2126"/>
      <c r="BR2054" s="2126"/>
      <c r="BS2054" s="2126"/>
    </row>
    <row r="2055" spans="1:71" s="3030" customFormat="1">
      <c r="A2055" s="2126"/>
      <c r="B2055" s="2126"/>
      <c r="C2055" s="2149"/>
      <c r="D2055" s="3248"/>
      <c r="E2055" s="525"/>
      <c r="F2055" s="525"/>
      <c r="G2055" s="526"/>
      <c r="K2055" s="3280"/>
      <c r="P2055" s="3041"/>
      <c r="X2055" s="3280"/>
      <c r="AA2055" s="3041"/>
      <c r="AF2055" s="3041"/>
      <c r="AN2055" s="3280"/>
      <c r="AZ2055" s="3041"/>
      <c r="BD2055" s="3281"/>
      <c r="BH2055" s="3282"/>
      <c r="BJ2055" s="2589"/>
      <c r="BK2055" s="2126"/>
      <c r="BL2055" s="2126"/>
      <c r="BM2055" s="2126"/>
      <c r="BN2055" s="2126"/>
      <c r="BO2055" s="2126"/>
      <c r="BP2055" s="2126"/>
      <c r="BQ2055" s="2126"/>
      <c r="BR2055" s="2126"/>
      <c r="BS2055" s="2126"/>
    </row>
    <row r="2056" spans="1:71" s="3030" customFormat="1">
      <c r="A2056" s="2126"/>
      <c r="B2056" s="2126"/>
      <c r="C2056" s="2149"/>
      <c r="D2056" s="3248"/>
      <c r="E2056" s="525"/>
      <c r="F2056" s="525"/>
      <c r="G2056" s="526"/>
      <c r="K2056" s="3280"/>
      <c r="P2056" s="3041"/>
      <c r="X2056" s="3280"/>
      <c r="AA2056" s="3041"/>
      <c r="AF2056" s="3041"/>
      <c r="AN2056" s="3280"/>
      <c r="AZ2056" s="3041"/>
      <c r="BD2056" s="3281"/>
      <c r="BH2056" s="3282"/>
      <c r="BJ2056" s="2589"/>
      <c r="BK2056" s="2126"/>
      <c r="BL2056" s="2126"/>
      <c r="BM2056" s="2126"/>
      <c r="BN2056" s="2126"/>
      <c r="BO2056" s="2126"/>
      <c r="BP2056" s="2126"/>
      <c r="BQ2056" s="2126"/>
      <c r="BR2056" s="2126"/>
      <c r="BS2056" s="2126"/>
    </row>
    <row r="2057" spans="1:71" s="3030" customFormat="1">
      <c r="A2057" s="2126"/>
      <c r="B2057" s="2126"/>
      <c r="C2057" s="2149"/>
      <c r="D2057" s="3248"/>
      <c r="E2057" s="525"/>
      <c r="F2057" s="525"/>
      <c r="G2057" s="526"/>
      <c r="K2057" s="3280"/>
      <c r="P2057" s="3041"/>
      <c r="X2057" s="3280"/>
      <c r="AA2057" s="3041"/>
      <c r="AF2057" s="3041"/>
      <c r="AN2057" s="3280"/>
      <c r="AZ2057" s="3041"/>
      <c r="BD2057" s="3281"/>
      <c r="BH2057" s="3282"/>
      <c r="BJ2057" s="2589"/>
      <c r="BK2057" s="2126"/>
      <c r="BL2057" s="2126"/>
      <c r="BM2057" s="2126"/>
      <c r="BN2057" s="2126"/>
      <c r="BO2057" s="2126"/>
      <c r="BP2057" s="2126"/>
      <c r="BQ2057" s="2126"/>
      <c r="BR2057" s="2126"/>
      <c r="BS2057" s="2126"/>
    </row>
    <row r="2058" spans="1:71" s="3030" customFormat="1">
      <c r="A2058" s="2126"/>
      <c r="B2058" s="2126"/>
      <c r="C2058" s="2149"/>
      <c r="D2058" s="3248"/>
      <c r="E2058" s="525"/>
      <c r="F2058" s="525"/>
      <c r="G2058" s="526"/>
      <c r="K2058" s="3280"/>
      <c r="P2058" s="3041"/>
      <c r="X2058" s="3280"/>
      <c r="AA2058" s="3041"/>
      <c r="AF2058" s="3041"/>
      <c r="AN2058" s="3280"/>
      <c r="AZ2058" s="3041"/>
      <c r="BD2058" s="3281"/>
      <c r="BH2058" s="3282"/>
      <c r="BJ2058" s="2589"/>
      <c r="BK2058" s="2126"/>
      <c r="BL2058" s="2126"/>
      <c r="BM2058" s="2126"/>
      <c r="BN2058" s="2126"/>
      <c r="BO2058" s="2126"/>
      <c r="BP2058" s="2126"/>
      <c r="BQ2058" s="2126"/>
      <c r="BR2058" s="2126"/>
      <c r="BS2058" s="2126"/>
    </row>
    <row r="2059" spans="1:71" s="3030" customFormat="1">
      <c r="A2059" s="2126"/>
      <c r="B2059" s="2126"/>
      <c r="C2059" s="2149"/>
      <c r="D2059" s="3248"/>
      <c r="E2059" s="525"/>
      <c r="F2059" s="525"/>
      <c r="G2059" s="526"/>
      <c r="K2059" s="3280"/>
      <c r="P2059" s="3041"/>
      <c r="X2059" s="3280"/>
      <c r="AA2059" s="3041"/>
      <c r="AF2059" s="3041"/>
      <c r="AN2059" s="3280"/>
      <c r="AZ2059" s="3041"/>
      <c r="BD2059" s="3281"/>
      <c r="BH2059" s="3282"/>
      <c r="BJ2059" s="2589"/>
      <c r="BK2059" s="2126"/>
      <c r="BL2059" s="2126"/>
      <c r="BM2059" s="2126"/>
      <c r="BN2059" s="2126"/>
      <c r="BO2059" s="2126"/>
      <c r="BP2059" s="2126"/>
      <c r="BQ2059" s="2126"/>
      <c r="BR2059" s="2126"/>
      <c r="BS2059" s="2126"/>
    </row>
    <row r="2060" spans="1:71" s="3030" customFormat="1">
      <c r="A2060" s="2126"/>
      <c r="B2060" s="2126"/>
      <c r="C2060" s="2149"/>
      <c r="D2060" s="3248"/>
      <c r="E2060" s="525"/>
      <c r="F2060" s="525"/>
      <c r="G2060" s="526"/>
      <c r="K2060" s="3280"/>
      <c r="P2060" s="3041"/>
      <c r="X2060" s="3280"/>
      <c r="AA2060" s="3041"/>
      <c r="AF2060" s="3041"/>
      <c r="AN2060" s="3280"/>
      <c r="AZ2060" s="3041"/>
      <c r="BD2060" s="3281"/>
      <c r="BH2060" s="3282"/>
      <c r="BJ2060" s="2589"/>
      <c r="BK2060" s="2126"/>
      <c r="BL2060" s="2126"/>
      <c r="BM2060" s="2126"/>
      <c r="BN2060" s="2126"/>
      <c r="BO2060" s="2126"/>
      <c r="BP2060" s="2126"/>
      <c r="BQ2060" s="2126"/>
      <c r="BR2060" s="2126"/>
      <c r="BS2060" s="2126"/>
    </row>
    <row r="2061" spans="1:71" s="3030" customFormat="1">
      <c r="A2061" s="2126"/>
      <c r="B2061" s="2126"/>
      <c r="C2061" s="2149"/>
      <c r="D2061" s="3248"/>
      <c r="E2061" s="525"/>
      <c r="F2061" s="525"/>
      <c r="G2061" s="526"/>
      <c r="K2061" s="3280"/>
      <c r="P2061" s="3041"/>
      <c r="X2061" s="3280"/>
      <c r="AA2061" s="3041"/>
      <c r="AF2061" s="3041"/>
      <c r="AN2061" s="3280"/>
      <c r="AZ2061" s="3041"/>
      <c r="BD2061" s="3281"/>
      <c r="BH2061" s="3282"/>
      <c r="BJ2061" s="2589"/>
      <c r="BK2061" s="2126"/>
      <c r="BL2061" s="2126"/>
      <c r="BM2061" s="2126"/>
      <c r="BN2061" s="2126"/>
      <c r="BO2061" s="2126"/>
      <c r="BP2061" s="2126"/>
      <c r="BQ2061" s="2126"/>
      <c r="BR2061" s="2126"/>
      <c r="BS2061" s="2126"/>
    </row>
    <row r="2062" spans="1:71" s="3030" customFormat="1">
      <c r="A2062" s="2126"/>
      <c r="B2062" s="2126"/>
      <c r="C2062" s="2149"/>
      <c r="D2062" s="3248"/>
      <c r="E2062" s="525"/>
      <c r="F2062" s="525"/>
      <c r="G2062" s="526"/>
      <c r="K2062" s="3280"/>
      <c r="P2062" s="3041"/>
      <c r="X2062" s="3280"/>
      <c r="AA2062" s="3041"/>
      <c r="AF2062" s="3041"/>
      <c r="AN2062" s="3280"/>
      <c r="AZ2062" s="3041"/>
      <c r="BD2062" s="3281"/>
      <c r="BH2062" s="3282"/>
      <c r="BJ2062" s="2589"/>
      <c r="BK2062" s="2126"/>
      <c r="BL2062" s="2126"/>
      <c r="BM2062" s="2126"/>
      <c r="BN2062" s="2126"/>
      <c r="BO2062" s="2126"/>
      <c r="BP2062" s="2126"/>
      <c r="BQ2062" s="2126"/>
      <c r="BR2062" s="2126"/>
      <c r="BS2062" s="2126"/>
    </row>
    <row r="2063" spans="1:71" s="3030" customFormat="1">
      <c r="A2063" s="2126"/>
      <c r="B2063" s="2126"/>
      <c r="C2063" s="2149"/>
      <c r="D2063" s="3248"/>
      <c r="E2063" s="525"/>
      <c r="F2063" s="525"/>
      <c r="G2063" s="526"/>
      <c r="K2063" s="3280"/>
      <c r="P2063" s="3041"/>
      <c r="X2063" s="3280"/>
      <c r="AA2063" s="3041"/>
      <c r="AF2063" s="3041"/>
      <c r="AN2063" s="3280"/>
      <c r="AZ2063" s="3041"/>
      <c r="BD2063" s="3281"/>
      <c r="BH2063" s="3282"/>
      <c r="BJ2063" s="2589"/>
      <c r="BK2063" s="2126"/>
      <c r="BL2063" s="2126"/>
      <c r="BM2063" s="2126"/>
      <c r="BN2063" s="2126"/>
      <c r="BO2063" s="2126"/>
      <c r="BP2063" s="2126"/>
      <c r="BQ2063" s="2126"/>
      <c r="BR2063" s="2126"/>
      <c r="BS2063" s="2126"/>
    </row>
    <row r="2064" spans="1:71" s="3030" customFormat="1">
      <c r="A2064" s="2126"/>
      <c r="B2064" s="2126"/>
      <c r="C2064" s="2149"/>
      <c r="D2064" s="3248"/>
      <c r="E2064" s="525"/>
      <c r="F2064" s="525"/>
      <c r="G2064" s="526"/>
      <c r="K2064" s="3280"/>
      <c r="P2064" s="3041"/>
      <c r="X2064" s="3280"/>
      <c r="AA2064" s="3041"/>
      <c r="AF2064" s="3041"/>
      <c r="AN2064" s="3280"/>
      <c r="AZ2064" s="3041"/>
      <c r="BD2064" s="3281"/>
      <c r="BH2064" s="3282"/>
      <c r="BJ2064" s="2589"/>
      <c r="BK2064" s="2126"/>
      <c r="BL2064" s="2126"/>
      <c r="BM2064" s="2126"/>
      <c r="BN2064" s="2126"/>
      <c r="BO2064" s="2126"/>
      <c r="BP2064" s="2126"/>
      <c r="BQ2064" s="2126"/>
      <c r="BR2064" s="2126"/>
      <c r="BS2064" s="2126"/>
    </row>
    <row r="2065" spans="1:71" s="3030" customFormat="1">
      <c r="A2065" s="2126"/>
      <c r="B2065" s="2126"/>
      <c r="C2065" s="2149"/>
      <c r="D2065" s="3248"/>
      <c r="E2065" s="525"/>
      <c r="F2065" s="525"/>
      <c r="G2065" s="526"/>
      <c r="K2065" s="3280"/>
      <c r="P2065" s="3041"/>
      <c r="X2065" s="3280"/>
      <c r="AA2065" s="3041"/>
      <c r="AF2065" s="3041"/>
      <c r="AN2065" s="3280"/>
      <c r="AZ2065" s="3041"/>
      <c r="BD2065" s="3281"/>
      <c r="BH2065" s="3282"/>
      <c r="BJ2065" s="2589"/>
      <c r="BK2065" s="2126"/>
      <c r="BL2065" s="2126"/>
      <c r="BM2065" s="2126"/>
      <c r="BN2065" s="2126"/>
      <c r="BO2065" s="2126"/>
      <c r="BP2065" s="2126"/>
      <c r="BQ2065" s="2126"/>
      <c r="BR2065" s="2126"/>
      <c r="BS2065" s="2126"/>
    </row>
    <row r="2066" spans="1:71" s="3030" customFormat="1">
      <c r="A2066" s="2126"/>
      <c r="B2066" s="2126"/>
      <c r="C2066" s="2149"/>
      <c r="D2066" s="3248"/>
      <c r="E2066" s="525"/>
      <c r="F2066" s="525"/>
      <c r="G2066" s="526"/>
      <c r="K2066" s="3280"/>
      <c r="P2066" s="3041"/>
      <c r="X2066" s="3280"/>
      <c r="AA2066" s="3041"/>
      <c r="AF2066" s="3041"/>
      <c r="AN2066" s="3280"/>
      <c r="AZ2066" s="3041"/>
      <c r="BD2066" s="3281"/>
      <c r="BH2066" s="3282"/>
      <c r="BJ2066" s="2589"/>
      <c r="BK2066" s="2126"/>
      <c r="BL2066" s="2126"/>
      <c r="BM2066" s="2126"/>
      <c r="BN2066" s="2126"/>
      <c r="BO2066" s="2126"/>
      <c r="BP2066" s="2126"/>
      <c r="BQ2066" s="2126"/>
      <c r="BR2066" s="2126"/>
      <c r="BS2066" s="2126"/>
    </row>
    <row r="2067" spans="1:71" s="3030" customFormat="1">
      <c r="A2067" s="2126"/>
      <c r="B2067" s="2126"/>
      <c r="C2067" s="2149"/>
      <c r="D2067" s="3248"/>
      <c r="E2067" s="525"/>
      <c r="F2067" s="525"/>
      <c r="G2067" s="526"/>
      <c r="K2067" s="3280"/>
      <c r="P2067" s="3041"/>
      <c r="X2067" s="3280"/>
      <c r="AA2067" s="3041"/>
      <c r="AF2067" s="3041"/>
      <c r="AN2067" s="3280"/>
      <c r="AZ2067" s="3041"/>
      <c r="BD2067" s="3281"/>
      <c r="BH2067" s="3282"/>
      <c r="BJ2067" s="2589"/>
      <c r="BK2067" s="2126"/>
      <c r="BL2067" s="2126"/>
      <c r="BM2067" s="2126"/>
      <c r="BN2067" s="2126"/>
      <c r="BO2067" s="2126"/>
      <c r="BP2067" s="2126"/>
      <c r="BQ2067" s="2126"/>
      <c r="BR2067" s="2126"/>
      <c r="BS2067" s="2126"/>
    </row>
    <row r="2068" spans="1:71" s="3030" customFormat="1">
      <c r="A2068" s="2126"/>
      <c r="B2068" s="2126"/>
      <c r="C2068" s="2149"/>
      <c r="D2068" s="3248"/>
      <c r="E2068" s="525"/>
      <c r="F2068" s="525"/>
      <c r="G2068" s="526"/>
      <c r="K2068" s="3280"/>
      <c r="P2068" s="3041"/>
      <c r="X2068" s="3280"/>
      <c r="AA2068" s="3041"/>
      <c r="AF2068" s="3041"/>
      <c r="AN2068" s="3280"/>
      <c r="AZ2068" s="3041"/>
      <c r="BD2068" s="3281"/>
      <c r="BH2068" s="3282"/>
      <c r="BJ2068" s="2589"/>
      <c r="BK2068" s="2126"/>
      <c r="BL2068" s="2126"/>
      <c r="BM2068" s="2126"/>
      <c r="BN2068" s="2126"/>
      <c r="BO2068" s="2126"/>
      <c r="BP2068" s="2126"/>
      <c r="BQ2068" s="2126"/>
      <c r="BR2068" s="2126"/>
      <c r="BS2068" s="2126"/>
    </row>
    <row r="2069" spans="1:71" s="3030" customFormat="1">
      <c r="A2069" s="2126"/>
      <c r="B2069" s="2126"/>
      <c r="C2069" s="2149"/>
      <c r="D2069" s="3248"/>
      <c r="E2069" s="525"/>
      <c r="F2069" s="525"/>
      <c r="G2069" s="526"/>
      <c r="K2069" s="3280"/>
      <c r="P2069" s="3041"/>
      <c r="X2069" s="3280"/>
      <c r="AA2069" s="3041"/>
      <c r="AF2069" s="3041"/>
      <c r="AN2069" s="3280"/>
      <c r="AZ2069" s="3041"/>
      <c r="BD2069" s="3281"/>
      <c r="BH2069" s="3282"/>
      <c r="BJ2069" s="2589"/>
      <c r="BK2069" s="2126"/>
      <c r="BL2069" s="2126"/>
      <c r="BM2069" s="2126"/>
      <c r="BN2069" s="2126"/>
      <c r="BO2069" s="2126"/>
      <c r="BP2069" s="2126"/>
      <c r="BQ2069" s="2126"/>
      <c r="BR2069" s="2126"/>
      <c r="BS2069" s="2126"/>
    </row>
    <row r="2070" spans="1:71" s="3030" customFormat="1">
      <c r="A2070" s="2126"/>
      <c r="B2070" s="2126"/>
      <c r="C2070" s="2149"/>
      <c r="D2070" s="3248"/>
      <c r="E2070" s="525"/>
      <c r="F2070" s="525"/>
      <c r="G2070" s="526"/>
      <c r="K2070" s="3280"/>
      <c r="P2070" s="3041"/>
      <c r="X2070" s="3280"/>
      <c r="AA2070" s="3041"/>
      <c r="AF2070" s="3041"/>
      <c r="AN2070" s="3280"/>
      <c r="AZ2070" s="3041"/>
      <c r="BD2070" s="3281"/>
      <c r="BH2070" s="3282"/>
      <c r="BJ2070" s="2589"/>
      <c r="BK2070" s="2126"/>
      <c r="BL2070" s="2126"/>
      <c r="BM2070" s="2126"/>
      <c r="BN2070" s="2126"/>
      <c r="BO2070" s="2126"/>
      <c r="BP2070" s="2126"/>
      <c r="BQ2070" s="2126"/>
      <c r="BR2070" s="2126"/>
      <c r="BS2070" s="2126"/>
    </row>
    <row r="2071" spans="1:71" s="3030" customFormat="1">
      <c r="A2071" s="2126"/>
      <c r="B2071" s="2126"/>
      <c r="C2071" s="2149"/>
      <c r="D2071" s="3248"/>
      <c r="E2071" s="525"/>
      <c r="F2071" s="525"/>
      <c r="G2071" s="526"/>
      <c r="K2071" s="3280"/>
      <c r="P2071" s="3041"/>
      <c r="X2071" s="3280"/>
      <c r="AA2071" s="3041"/>
      <c r="AF2071" s="3041"/>
      <c r="AN2071" s="3280"/>
      <c r="AZ2071" s="3041"/>
      <c r="BD2071" s="3281"/>
      <c r="BH2071" s="3282"/>
      <c r="BJ2071" s="2589"/>
      <c r="BK2071" s="2126"/>
      <c r="BL2071" s="2126"/>
      <c r="BM2071" s="2126"/>
      <c r="BN2071" s="2126"/>
      <c r="BO2071" s="2126"/>
      <c r="BP2071" s="2126"/>
      <c r="BQ2071" s="2126"/>
      <c r="BR2071" s="2126"/>
      <c r="BS2071" s="2126"/>
    </row>
    <row r="2072" spans="1:71" s="3030" customFormat="1">
      <c r="A2072" s="2126"/>
      <c r="B2072" s="2126"/>
      <c r="C2072" s="2149"/>
      <c r="D2072" s="3248"/>
      <c r="E2072" s="525"/>
      <c r="F2072" s="525"/>
      <c r="G2072" s="526"/>
      <c r="K2072" s="3280"/>
      <c r="P2072" s="3041"/>
      <c r="X2072" s="3280"/>
      <c r="AA2072" s="3041"/>
      <c r="AF2072" s="3041"/>
      <c r="AN2072" s="3280"/>
      <c r="AZ2072" s="3041"/>
      <c r="BD2072" s="3281"/>
      <c r="BH2072" s="3282"/>
      <c r="BJ2072" s="2589"/>
      <c r="BK2072" s="2126"/>
      <c r="BL2072" s="2126"/>
      <c r="BM2072" s="2126"/>
      <c r="BN2072" s="2126"/>
      <c r="BO2072" s="2126"/>
      <c r="BP2072" s="2126"/>
      <c r="BQ2072" s="2126"/>
      <c r="BR2072" s="2126"/>
      <c r="BS2072" s="2126"/>
    </row>
    <row r="2073" spans="1:71" s="3030" customFormat="1">
      <c r="A2073" s="2126"/>
      <c r="B2073" s="2126"/>
      <c r="C2073" s="2149"/>
      <c r="D2073" s="3248"/>
      <c r="E2073" s="525"/>
      <c r="F2073" s="525"/>
      <c r="G2073" s="526"/>
      <c r="K2073" s="3280"/>
      <c r="P2073" s="3041"/>
      <c r="X2073" s="3280"/>
      <c r="AA2073" s="3041"/>
      <c r="AF2073" s="3041"/>
      <c r="AN2073" s="3280"/>
      <c r="AZ2073" s="3041"/>
      <c r="BD2073" s="3281"/>
      <c r="BH2073" s="3282"/>
      <c r="BJ2073" s="2589"/>
      <c r="BK2073" s="2126"/>
      <c r="BL2073" s="2126"/>
      <c r="BM2073" s="2126"/>
      <c r="BN2073" s="2126"/>
      <c r="BO2073" s="2126"/>
      <c r="BP2073" s="2126"/>
      <c r="BQ2073" s="2126"/>
      <c r="BR2073" s="2126"/>
      <c r="BS2073" s="2126"/>
    </row>
    <row r="2074" spans="1:71" s="3030" customFormat="1">
      <c r="A2074" s="2126"/>
      <c r="B2074" s="2126"/>
      <c r="C2074" s="2149"/>
      <c r="D2074" s="3248"/>
      <c r="E2074" s="525"/>
      <c r="F2074" s="525"/>
      <c r="G2074" s="526"/>
      <c r="K2074" s="3280"/>
      <c r="P2074" s="3041"/>
      <c r="X2074" s="3280"/>
      <c r="AA2074" s="3041"/>
      <c r="AF2074" s="3041"/>
      <c r="AN2074" s="3280"/>
      <c r="AZ2074" s="3041"/>
      <c r="BD2074" s="3281"/>
      <c r="BH2074" s="3282"/>
      <c r="BJ2074" s="2589"/>
      <c r="BK2074" s="2126"/>
      <c r="BL2074" s="2126"/>
      <c r="BM2074" s="2126"/>
      <c r="BN2074" s="2126"/>
      <c r="BO2074" s="2126"/>
      <c r="BP2074" s="2126"/>
      <c r="BQ2074" s="2126"/>
      <c r="BR2074" s="2126"/>
      <c r="BS2074" s="2126"/>
    </row>
    <row r="2075" spans="1:71" s="3030" customFormat="1">
      <c r="A2075" s="2126"/>
      <c r="B2075" s="2126"/>
      <c r="C2075" s="2149"/>
      <c r="D2075" s="3248"/>
      <c r="E2075" s="525"/>
      <c r="F2075" s="525"/>
      <c r="G2075" s="526"/>
      <c r="K2075" s="3280"/>
      <c r="P2075" s="3041"/>
      <c r="X2075" s="3280"/>
      <c r="AA2075" s="3041"/>
      <c r="AF2075" s="3041"/>
      <c r="AN2075" s="3280"/>
      <c r="AZ2075" s="3041"/>
      <c r="BD2075" s="3281"/>
      <c r="BH2075" s="3282"/>
      <c r="BJ2075" s="2589"/>
      <c r="BK2075" s="2126"/>
      <c r="BL2075" s="2126"/>
      <c r="BM2075" s="2126"/>
      <c r="BN2075" s="2126"/>
      <c r="BO2075" s="2126"/>
      <c r="BP2075" s="2126"/>
      <c r="BQ2075" s="2126"/>
      <c r="BR2075" s="2126"/>
      <c r="BS2075" s="2126"/>
    </row>
    <row r="2076" spans="1:71" s="3030" customFormat="1">
      <c r="A2076" s="2126"/>
      <c r="B2076" s="2126"/>
      <c r="C2076" s="2149"/>
      <c r="D2076" s="3248"/>
      <c r="E2076" s="525"/>
      <c r="F2076" s="525"/>
      <c r="G2076" s="526"/>
      <c r="K2076" s="3280"/>
      <c r="P2076" s="3041"/>
      <c r="X2076" s="3280"/>
      <c r="AA2076" s="3041"/>
      <c r="AF2076" s="3041"/>
      <c r="AN2076" s="3280"/>
      <c r="AZ2076" s="3041"/>
      <c r="BD2076" s="3281"/>
      <c r="BH2076" s="3282"/>
      <c r="BJ2076" s="2589"/>
      <c r="BK2076" s="2126"/>
      <c r="BL2076" s="2126"/>
      <c r="BM2076" s="2126"/>
      <c r="BN2076" s="2126"/>
      <c r="BO2076" s="2126"/>
      <c r="BP2076" s="2126"/>
      <c r="BQ2076" s="2126"/>
      <c r="BR2076" s="2126"/>
      <c r="BS2076" s="2126"/>
    </row>
    <row r="2077" spans="1:71" s="3030" customFormat="1">
      <c r="A2077" s="2126"/>
      <c r="B2077" s="2126"/>
      <c r="C2077" s="2149"/>
      <c r="D2077" s="3248"/>
      <c r="E2077" s="525"/>
      <c r="F2077" s="525"/>
      <c r="G2077" s="526"/>
      <c r="K2077" s="3280"/>
      <c r="P2077" s="3041"/>
      <c r="X2077" s="3280"/>
      <c r="AA2077" s="3041"/>
      <c r="AF2077" s="3041"/>
      <c r="AN2077" s="3280"/>
      <c r="AZ2077" s="3041"/>
      <c r="BD2077" s="3281"/>
      <c r="BH2077" s="3282"/>
      <c r="BJ2077" s="2589"/>
      <c r="BK2077" s="2126"/>
      <c r="BL2077" s="2126"/>
      <c r="BM2077" s="2126"/>
      <c r="BN2077" s="2126"/>
      <c r="BO2077" s="2126"/>
      <c r="BP2077" s="2126"/>
      <c r="BQ2077" s="2126"/>
      <c r="BR2077" s="2126"/>
      <c r="BS2077" s="2126"/>
    </row>
    <row r="2078" spans="1:71" s="3030" customFormat="1">
      <c r="A2078" s="2126"/>
      <c r="B2078" s="2126"/>
      <c r="C2078" s="2149"/>
      <c r="D2078" s="3248"/>
      <c r="E2078" s="525"/>
      <c r="F2078" s="525"/>
      <c r="G2078" s="526"/>
      <c r="K2078" s="3280"/>
      <c r="P2078" s="3041"/>
      <c r="X2078" s="3280"/>
      <c r="AA2078" s="3041"/>
      <c r="AF2078" s="3041"/>
      <c r="AN2078" s="3280"/>
      <c r="AZ2078" s="3041"/>
      <c r="BD2078" s="3281"/>
      <c r="BH2078" s="3282"/>
      <c r="BJ2078" s="2589"/>
      <c r="BK2078" s="2126"/>
      <c r="BL2078" s="2126"/>
      <c r="BM2078" s="2126"/>
      <c r="BN2078" s="2126"/>
      <c r="BO2078" s="2126"/>
      <c r="BP2078" s="2126"/>
      <c r="BQ2078" s="2126"/>
      <c r="BR2078" s="2126"/>
      <c r="BS2078" s="2126"/>
    </row>
    <row r="2079" spans="1:71" s="3030" customFormat="1">
      <c r="A2079" s="2126"/>
      <c r="B2079" s="2126"/>
      <c r="C2079" s="2149"/>
      <c r="D2079" s="3248"/>
      <c r="E2079" s="525"/>
      <c r="F2079" s="525"/>
      <c r="G2079" s="526"/>
      <c r="K2079" s="3280"/>
      <c r="P2079" s="3041"/>
      <c r="X2079" s="3280"/>
      <c r="AA2079" s="3041"/>
      <c r="AF2079" s="3041"/>
      <c r="AN2079" s="3280"/>
      <c r="AZ2079" s="3041"/>
      <c r="BD2079" s="3281"/>
      <c r="BH2079" s="3282"/>
      <c r="BJ2079" s="2589"/>
      <c r="BK2079" s="2126"/>
      <c r="BL2079" s="2126"/>
      <c r="BM2079" s="2126"/>
      <c r="BN2079" s="2126"/>
      <c r="BO2079" s="2126"/>
      <c r="BP2079" s="2126"/>
      <c r="BQ2079" s="2126"/>
      <c r="BR2079" s="2126"/>
      <c r="BS2079" s="2126"/>
    </row>
    <row r="2080" spans="1:71" s="3030" customFormat="1">
      <c r="A2080" s="2126"/>
      <c r="B2080" s="2126"/>
      <c r="C2080" s="2149"/>
      <c r="D2080" s="3248"/>
      <c r="E2080" s="525"/>
      <c r="F2080" s="525"/>
      <c r="G2080" s="526"/>
      <c r="K2080" s="3280"/>
      <c r="P2080" s="3041"/>
      <c r="X2080" s="3280"/>
      <c r="AA2080" s="3041"/>
      <c r="AF2080" s="3041"/>
      <c r="AN2080" s="3280"/>
      <c r="AZ2080" s="3041"/>
      <c r="BD2080" s="3281"/>
      <c r="BH2080" s="3282"/>
      <c r="BJ2080" s="2589"/>
      <c r="BK2080" s="2126"/>
      <c r="BL2080" s="2126"/>
      <c r="BM2080" s="2126"/>
      <c r="BN2080" s="2126"/>
      <c r="BO2080" s="2126"/>
      <c r="BP2080" s="2126"/>
      <c r="BQ2080" s="2126"/>
      <c r="BR2080" s="2126"/>
      <c r="BS2080" s="2126"/>
    </row>
    <row r="2081" spans="1:71" s="3030" customFormat="1">
      <c r="A2081" s="2126"/>
      <c r="B2081" s="2126"/>
      <c r="C2081" s="2149"/>
      <c r="D2081" s="3248"/>
      <c r="E2081" s="525"/>
      <c r="F2081" s="525"/>
      <c r="G2081" s="526"/>
      <c r="K2081" s="3280"/>
      <c r="P2081" s="3041"/>
      <c r="X2081" s="3280"/>
      <c r="AA2081" s="3041"/>
      <c r="AF2081" s="3041"/>
      <c r="AN2081" s="3280"/>
      <c r="AZ2081" s="3041"/>
      <c r="BD2081" s="3281"/>
      <c r="BH2081" s="3282"/>
      <c r="BJ2081" s="2589"/>
      <c r="BK2081" s="2126"/>
      <c r="BL2081" s="2126"/>
      <c r="BM2081" s="2126"/>
      <c r="BN2081" s="2126"/>
      <c r="BO2081" s="2126"/>
      <c r="BP2081" s="2126"/>
      <c r="BQ2081" s="2126"/>
      <c r="BR2081" s="2126"/>
      <c r="BS2081" s="2126"/>
    </row>
    <row r="2082" spans="1:71" s="3030" customFormat="1">
      <c r="A2082" s="2126"/>
      <c r="B2082" s="2126"/>
      <c r="C2082" s="2149"/>
      <c r="D2082" s="3248"/>
      <c r="E2082" s="525"/>
      <c r="F2082" s="525"/>
      <c r="G2082" s="526"/>
      <c r="K2082" s="3280"/>
      <c r="P2082" s="3041"/>
      <c r="X2082" s="3280"/>
      <c r="AA2082" s="3041"/>
      <c r="AF2082" s="3041"/>
      <c r="AN2082" s="3280"/>
      <c r="AZ2082" s="3041"/>
      <c r="BD2082" s="3281"/>
      <c r="BH2082" s="3282"/>
      <c r="BJ2082" s="2589"/>
      <c r="BK2082" s="2126"/>
      <c r="BL2082" s="2126"/>
      <c r="BM2082" s="2126"/>
      <c r="BN2082" s="2126"/>
      <c r="BO2082" s="2126"/>
      <c r="BP2082" s="2126"/>
      <c r="BQ2082" s="2126"/>
      <c r="BR2082" s="2126"/>
      <c r="BS2082" s="2126"/>
    </row>
    <row r="2083" spans="1:71" s="3030" customFormat="1">
      <c r="A2083" s="2126"/>
      <c r="B2083" s="2126"/>
      <c r="C2083" s="2149"/>
      <c r="D2083" s="3248"/>
      <c r="E2083" s="525"/>
      <c r="F2083" s="525"/>
      <c r="G2083" s="526"/>
      <c r="K2083" s="3280"/>
      <c r="P2083" s="3041"/>
      <c r="X2083" s="3280"/>
      <c r="AA2083" s="3041"/>
      <c r="AF2083" s="3041"/>
      <c r="AN2083" s="3280"/>
      <c r="AZ2083" s="3041"/>
      <c r="BD2083" s="3281"/>
      <c r="BH2083" s="3282"/>
      <c r="BJ2083" s="2589"/>
      <c r="BK2083" s="2126"/>
      <c r="BL2083" s="2126"/>
      <c r="BM2083" s="2126"/>
      <c r="BN2083" s="2126"/>
      <c r="BO2083" s="2126"/>
      <c r="BP2083" s="2126"/>
      <c r="BQ2083" s="2126"/>
      <c r="BR2083" s="2126"/>
      <c r="BS2083" s="2126"/>
    </row>
    <row r="2084" spans="1:71" s="3030" customFormat="1">
      <c r="A2084" s="2126"/>
      <c r="B2084" s="2126"/>
      <c r="C2084" s="2149"/>
      <c r="D2084" s="3248"/>
      <c r="E2084" s="525"/>
      <c r="F2084" s="525"/>
      <c r="G2084" s="526"/>
      <c r="K2084" s="3280"/>
      <c r="P2084" s="3041"/>
      <c r="X2084" s="3280"/>
      <c r="AA2084" s="3041"/>
      <c r="AF2084" s="3041"/>
      <c r="AN2084" s="3280"/>
      <c r="AZ2084" s="3041"/>
      <c r="BD2084" s="3281"/>
      <c r="BH2084" s="3282"/>
      <c r="BJ2084" s="2589"/>
      <c r="BK2084" s="2126"/>
      <c r="BL2084" s="2126"/>
      <c r="BM2084" s="2126"/>
      <c r="BN2084" s="2126"/>
      <c r="BO2084" s="2126"/>
      <c r="BP2084" s="2126"/>
      <c r="BQ2084" s="2126"/>
      <c r="BR2084" s="2126"/>
      <c r="BS2084" s="2126"/>
    </row>
    <row r="2085" spans="1:71" s="3030" customFormat="1">
      <c r="A2085" s="2126"/>
      <c r="B2085" s="2126"/>
      <c r="C2085" s="2149"/>
      <c r="D2085" s="3248"/>
      <c r="E2085" s="525"/>
      <c r="F2085" s="525"/>
      <c r="G2085" s="526"/>
      <c r="K2085" s="3280"/>
      <c r="P2085" s="3041"/>
      <c r="X2085" s="3280"/>
      <c r="AA2085" s="3041"/>
      <c r="AF2085" s="3041"/>
      <c r="AN2085" s="3280"/>
      <c r="AZ2085" s="3041"/>
      <c r="BD2085" s="3281"/>
      <c r="BH2085" s="3282"/>
      <c r="BJ2085" s="2589"/>
      <c r="BK2085" s="2126"/>
      <c r="BL2085" s="2126"/>
      <c r="BM2085" s="2126"/>
      <c r="BN2085" s="2126"/>
      <c r="BO2085" s="2126"/>
      <c r="BP2085" s="2126"/>
      <c r="BQ2085" s="2126"/>
      <c r="BR2085" s="2126"/>
      <c r="BS2085" s="2126"/>
    </row>
    <row r="2086" spans="1:71" s="3030" customFormat="1">
      <c r="A2086" s="2126"/>
      <c r="B2086" s="2126"/>
      <c r="C2086" s="2149"/>
      <c r="D2086" s="3248"/>
      <c r="E2086" s="525"/>
      <c r="F2086" s="525"/>
      <c r="G2086" s="526"/>
      <c r="K2086" s="3280"/>
      <c r="P2086" s="3041"/>
      <c r="X2086" s="3280"/>
      <c r="AA2086" s="3041"/>
      <c r="AF2086" s="3041"/>
      <c r="AN2086" s="3280"/>
      <c r="AZ2086" s="3041"/>
      <c r="BD2086" s="3281"/>
      <c r="BH2086" s="3282"/>
      <c r="BJ2086" s="2589"/>
      <c r="BK2086" s="2126"/>
      <c r="BL2086" s="2126"/>
      <c r="BM2086" s="2126"/>
      <c r="BN2086" s="2126"/>
      <c r="BO2086" s="2126"/>
      <c r="BP2086" s="2126"/>
      <c r="BQ2086" s="2126"/>
      <c r="BR2086" s="2126"/>
      <c r="BS2086" s="2126"/>
    </row>
    <row r="2087" spans="1:71" s="3030" customFormat="1">
      <c r="A2087" s="2126"/>
      <c r="B2087" s="2126"/>
      <c r="C2087" s="2149"/>
      <c r="D2087" s="3248"/>
      <c r="E2087" s="525"/>
      <c r="F2087" s="525"/>
      <c r="G2087" s="526"/>
      <c r="K2087" s="3280"/>
      <c r="P2087" s="3041"/>
      <c r="X2087" s="3280"/>
      <c r="AA2087" s="3041"/>
      <c r="AF2087" s="3041"/>
      <c r="AN2087" s="3280"/>
      <c r="AZ2087" s="3041"/>
      <c r="BD2087" s="3281"/>
      <c r="BH2087" s="3282"/>
      <c r="BJ2087" s="2589"/>
      <c r="BK2087" s="2126"/>
      <c r="BL2087" s="2126"/>
      <c r="BM2087" s="2126"/>
      <c r="BN2087" s="2126"/>
      <c r="BO2087" s="2126"/>
      <c r="BP2087" s="2126"/>
      <c r="BQ2087" s="2126"/>
      <c r="BR2087" s="2126"/>
      <c r="BS2087" s="2126"/>
    </row>
    <row r="2088" spans="1:71" s="3030" customFormat="1">
      <c r="A2088" s="2126"/>
      <c r="B2088" s="2126"/>
      <c r="C2088" s="2149"/>
      <c r="D2088" s="3248"/>
      <c r="E2088" s="525"/>
      <c r="F2088" s="525"/>
      <c r="G2088" s="526"/>
      <c r="K2088" s="3280"/>
      <c r="P2088" s="3041"/>
      <c r="X2088" s="3280"/>
      <c r="AA2088" s="3041"/>
      <c r="AF2088" s="3041"/>
      <c r="AN2088" s="3280"/>
      <c r="AZ2088" s="3041"/>
      <c r="BD2088" s="3281"/>
      <c r="BH2088" s="3282"/>
      <c r="BJ2088" s="2589"/>
      <c r="BK2088" s="2126"/>
      <c r="BL2088" s="2126"/>
      <c r="BM2088" s="2126"/>
      <c r="BN2088" s="2126"/>
      <c r="BO2088" s="2126"/>
      <c r="BP2088" s="2126"/>
      <c r="BQ2088" s="2126"/>
      <c r="BR2088" s="2126"/>
      <c r="BS2088" s="2126"/>
    </row>
    <row r="2089" spans="1:71" s="3030" customFormat="1">
      <c r="A2089" s="2126"/>
      <c r="B2089" s="2126"/>
      <c r="C2089" s="2149"/>
      <c r="D2089" s="3248"/>
      <c r="E2089" s="525"/>
      <c r="F2089" s="525"/>
      <c r="G2089" s="526"/>
      <c r="K2089" s="3280"/>
      <c r="P2089" s="3041"/>
      <c r="X2089" s="3280"/>
      <c r="AA2089" s="3041"/>
      <c r="AF2089" s="3041"/>
      <c r="AN2089" s="3280"/>
      <c r="AZ2089" s="3041"/>
      <c r="BD2089" s="3281"/>
      <c r="BH2089" s="3282"/>
      <c r="BJ2089" s="2589"/>
      <c r="BK2089" s="2126"/>
      <c r="BL2089" s="2126"/>
      <c r="BM2089" s="2126"/>
      <c r="BN2089" s="2126"/>
      <c r="BO2089" s="2126"/>
      <c r="BP2089" s="2126"/>
      <c r="BQ2089" s="2126"/>
      <c r="BR2089" s="2126"/>
      <c r="BS2089" s="2126"/>
    </row>
    <row r="2090" spans="1:71" s="3030" customFormat="1">
      <c r="A2090" s="2126"/>
      <c r="B2090" s="2126"/>
      <c r="C2090" s="2149"/>
      <c r="D2090" s="3248"/>
      <c r="E2090" s="525"/>
      <c r="F2090" s="525"/>
      <c r="G2090" s="526"/>
      <c r="K2090" s="3280"/>
      <c r="P2090" s="3041"/>
      <c r="X2090" s="3280"/>
      <c r="AA2090" s="3041"/>
      <c r="AF2090" s="3041"/>
      <c r="AN2090" s="3280"/>
      <c r="AZ2090" s="3041"/>
      <c r="BD2090" s="3281"/>
      <c r="BH2090" s="3282"/>
      <c r="BJ2090" s="2589"/>
      <c r="BK2090" s="2126"/>
      <c r="BL2090" s="2126"/>
      <c r="BM2090" s="2126"/>
      <c r="BN2090" s="2126"/>
      <c r="BO2090" s="2126"/>
      <c r="BP2090" s="2126"/>
      <c r="BQ2090" s="2126"/>
      <c r="BR2090" s="2126"/>
      <c r="BS2090" s="2126"/>
    </row>
    <row r="2091" spans="1:71" s="3030" customFormat="1">
      <c r="A2091" s="2126"/>
      <c r="B2091" s="2126"/>
      <c r="C2091" s="2149"/>
      <c r="D2091" s="3248"/>
      <c r="E2091" s="525"/>
      <c r="F2091" s="525"/>
      <c r="G2091" s="526"/>
      <c r="K2091" s="3280"/>
      <c r="P2091" s="3041"/>
      <c r="X2091" s="3280"/>
      <c r="AA2091" s="3041"/>
      <c r="AF2091" s="3041"/>
      <c r="AN2091" s="3280"/>
      <c r="AZ2091" s="3041"/>
      <c r="BD2091" s="3281"/>
      <c r="BH2091" s="3282"/>
      <c r="BJ2091" s="2589"/>
      <c r="BK2091" s="2126"/>
      <c r="BL2091" s="2126"/>
      <c r="BM2091" s="2126"/>
      <c r="BN2091" s="2126"/>
      <c r="BO2091" s="2126"/>
      <c r="BP2091" s="2126"/>
      <c r="BQ2091" s="2126"/>
      <c r="BR2091" s="2126"/>
      <c r="BS2091" s="2126"/>
    </row>
    <row r="2092" spans="1:71" s="3030" customFormat="1">
      <c r="A2092" s="2126"/>
      <c r="B2092" s="2126"/>
      <c r="C2092" s="2149"/>
      <c r="D2092" s="3248"/>
      <c r="E2092" s="525"/>
      <c r="F2092" s="525"/>
      <c r="G2092" s="526"/>
      <c r="K2092" s="3280"/>
      <c r="P2092" s="3041"/>
      <c r="X2092" s="3280"/>
      <c r="AA2092" s="3041"/>
      <c r="AF2092" s="3041"/>
      <c r="AN2092" s="3280"/>
      <c r="AZ2092" s="3041"/>
      <c r="BD2092" s="3281"/>
      <c r="BH2092" s="3282"/>
      <c r="BJ2092" s="2589"/>
      <c r="BK2092" s="2126"/>
      <c r="BL2092" s="2126"/>
      <c r="BM2092" s="2126"/>
      <c r="BN2092" s="2126"/>
      <c r="BO2092" s="2126"/>
      <c r="BP2092" s="2126"/>
      <c r="BQ2092" s="2126"/>
      <c r="BR2092" s="2126"/>
      <c r="BS2092" s="2126"/>
    </row>
    <row r="2093" spans="1:71" s="3030" customFormat="1">
      <c r="A2093" s="2126"/>
      <c r="B2093" s="2126"/>
      <c r="C2093" s="2149"/>
      <c r="D2093" s="3248"/>
      <c r="E2093" s="525"/>
      <c r="F2093" s="525"/>
      <c r="G2093" s="526"/>
      <c r="K2093" s="3280"/>
      <c r="P2093" s="3041"/>
      <c r="X2093" s="3280"/>
      <c r="AA2093" s="3041"/>
      <c r="AF2093" s="3041"/>
      <c r="AN2093" s="3280"/>
      <c r="AZ2093" s="3041"/>
      <c r="BD2093" s="3281"/>
      <c r="BH2093" s="3282"/>
      <c r="BJ2093" s="2589"/>
      <c r="BK2093" s="2126"/>
      <c r="BL2093" s="2126"/>
      <c r="BM2093" s="2126"/>
      <c r="BN2093" s="2126"/>
      <c r="BO2093" s="2126"/>
      <c r="BP2093" s="2126"/>
      <c r="BQ2093" s="2126"/>
      <c r="BR2093" s="2126"/>
      <c r="BS2093" s="2126"/>
    </row>
    <row r="2094" spans="1:71" s="3030" customFormat="1">
      <c r="A2094" s="2126"/>
      <c r="B2094" s="2126"/>
      <c r="C2094" s="2149"/>
      <c r="D2094" s="3248"/>
      <c r="E2094" s="525"/>
      <c r="F2094" s="525"/>
      <c r="G2094" s="526"/>
      <c r="K2094" s="3280"/>
      <c r="P2094" s="3041"/>
      <c r="X2094" s="3280"/>
      <c r="AA2094" s="3041"/>
      <c r="AF2094" s="3041"/>
      <c r="AN2094" s="3280"/>
      <c r="AZ2094" s="3041"/>
      <c r="BD2094" s="3281"/>
      <c r="BH2094" s="3282"/>
      <c r="BJ2094" s="2589"/>
      <c r="BK2094" s="2126"/>
      <c r="BL2094" s="2126"/>
      <c r="BM2094" s="2126"/>
      <c r="BN2094" s="2126"/>
      <c r="BO2094" s="2126"/>
      <c r="BP2094" s="2126"/>
      <c r="BQ2094" s="2126"/>
      <c r="BR2094" s="2126"/>
      <c r="BS2094" s="2126"/>
    </row>
    <row r="2095" spans="1:71" s="3030" customFormat="1">
      <c r="A2095" s="2126"/>
      <c r="B2095" s="2126"/>
      <c r="C2095" s="2149"/>
      <c r="D2095" s="3248"/>
      <c r="E2095" s="525"/>
      <c r="F2095" s="525"/>
      <c r="G2095" s="526"/>
      <c r="K2095" s="3280"/>
      <c r="P2095" s="3041"/>
      <c r="X2095" s="3280"/>
      <c r="AA2095" s="3041"/>
      <c r="AF2095" s="3041"/>
      <c r="AN2095" s="3280"/>
      <c r="AZ2095" s="3041"/>
      <c r="BD2095" s="3281"/>
      <c r="BH2095" s="3282"/>
      <c r="BJ2095" s="2589"/>
      <c r="BK2095" s="2126"/>
      <c r="BL2095" s="2126"/>
      <c r="BM2095" s="2126"/>
      <c r="BN2095" s="2126"/>
      <c r="BO2095" s="2126"/>
      <c r="BP2095" s="2126"/>
      <c r="BQ2095" s="2126"/>
      <c r="BR2095" s="2126"/>
      <c r="BS2095" s="2126"/>
    </row>
    <row r="2096" spans="1:71" s="3030" customFormat="1">
      <c r="A2096" s="2126"/>
      <c r="B2096" s="2126"/>
      <c r="C2096" s="2149"/>
      <c r="D2096" s="3248"/>
      <c r="E2096" s="525"/>
      <c r="F2096" s="525"/>
      <c r="G2096" s="526"/>
      <c r="K2096" s="3280"/>
      <c r="P2096" s="3041"/>
      <c r="X2096" s="3280"/>
      <c r="AA2096" s="3041"/>
      <c r="AF2096" s="3041"/>
      <c r="AN2096" s="3280"/>
      <c r="AZ2096" s="3041"/>
      <c r="BD2096" s="3281"/>
      <c r="BH2096" s="3282"/>
      <c r="BJ2096" s="2589"/>
      <c r="BK2096" s="2126"/>
      <c r="BL2096" s="2126"/>
      <c r="BM2096" s="2126"/>
      <c r="BN2096" s="2126"/>
      <c r="BO2096" s="2126"/>
      <c r="BP2096" s="2126"/>
      <c r="BQ2096" s="2126"/>
      <c r="BR2096" s="2126"/>
      <c r="BS2096" s="2126"/>
    </row>
    <row r="2097" spans="1:71" s="3030" customFormat="1">
      <c r="A2097" s="2126"/>
      <c r="B2097" s="2126"/>
      <c r="C2097" s="2149"/>
      <c r="D2097" s="3248"/>
      <c r="E2097" s="525"/>
      <c r="F2097" s="525"/>
      <c r="G2097" s="526"/>
      <c r="K2097" s="3280"/>
      <c r="P2097" s="3041"/>
      <c r="X2097" s="3280"/>
      <c r="AA2097" s="3041"/>
      <c r="AF2097" s="3041"/>
      <c r="AN2097" s="3280"/>
      <c r="AZ2097" s="3041"/>
      <c r="BD2097" s="3281"/>
      <c r="BH2097" s="3282"/>
      <c r="BJ2097" s="2589"/>
      <c r="BK2097" s="2126"/>
      <c r="BL2097" s="2126"/>
      <c r="BM2097" s="2126"/>
      <c r="BN2097" s="2126"/>
      <c r="BO2097" s="2126"/>
      <c r="BP2097" s="2126"/>
      <c r="BQ2097" s="2126"/>
      <c r="BR2097" s="2126"/>
      <c r="BS2097" s="2126"/>
    </row>
    <row r="2098" spans="1:71" s="3030" customFormat="1">
      <c r="A2098" s="2126"/>
      <c r="B2098" s="2126"/>
      <c r="C2098" s="2149"/>
      <c r="D2098" s="3248"/>
      <c r="E2098" s="525"/>
      <c r="F2098" s="525"/>
      <c r="G2098" s="526"/>
      <c r="K2098" s="3280"/>
      <c r="P2098" s="3041"/>
      <c r="X2098" s="3280"/>
      <c r="AA2098" s="3041"/>
      <c r="AF2098" s="3041"/>
      <c r="AN2098" s="3280"/>
      <c r="AZ2098" s="3041"/>
      <c r="BD2098" s="3281"/>
      <c r="BH2098" s="3282"/>
      <c r="BJ2098" s="2589"/>
      <c r="BK2098" s="2126"/>
      <c r="BL2098" s="2126"/>
      <c r="BM2098" s="2126"/>
      <c r="BN2098" s="2126"/>
      <c r="BO2098" s="2126"/>
      <c r="BP2098" s="2126"/>
      <c r="BQ2098" s="2126"/>
      <c r="BR2098" s="2126"/>
      <c r="BS2098" s="2126"/>
    </row>
    <row r="2099" spans="1:71" s="3030" customFormat="1">
      <c r="A2099" s="2126"/>
      <c r="B2099" s="2126"/>
      <c r="C2099" s="2149"/>
      <c r="D2099" s="3248"/>
      <c r="E2099" s="525"/>
      <c r="F2099" s="525"/>
      <c r="G2099" s="526"/>
      <c r="K2099" s="3280"/>
      <c r="P2099" s="3041"/>
      <c r="X2099" s="3280"/>
      <c r="AA2099" s="3041"/>
      <c r="AF2099" s="3041"/>
      <c r="AN2099" s="3280"/>
      <c r="AZ2099" s="3041"/>
      <c r="BD2099" s="3281"/>
      <c r="BH2099" s="3282"/>
      <c r="BJ2099" s="2589"/>
      <c r="BK2099" s="2126"/>
      <c r="BL2099" s="2126"/>
      <c r="BM2099" s="2126"/>
      <c r="BN2099" s="2126"/>
      <c r="BO2099" s="2126"/>
      <c r="BP2099" s="2126"/>
      <c r="BQ2099" s="2126"/>
      <c r="BR2099" s="2126"/>
      <c r="BS2099" s="2126"/>
    </row>
    <row r="2100" spans="1:71" s="3030" customFormat="1">
      <c r="A2100" s="2126"/>
      <c r="B2100" s="2126"/>
      <c r="C2100" s="2149"/>
      <c r="D2100" s="3248"/>
      <c r="E2100" s="525"/>
      <c r="F2100" s="525"/>
      <c r="G2100" s="526"/>
      <c r="K2100" s="3280"/>
      <c r="P2100" s="3041"/>
      <c r="X2100" s="3280"/>
      <c r="AA2100" s="3041"/>
      <c r="AF2100" s="3041"/>
      <c r="AN2100" s="3280"/>
      <c r="AZ2100" s="3041"/>
      <c r="BD2100" s="3281"/>
      <c r="BH2100" s="3282"/>
      <c r="BJ2100" s="2589"/>
      <c r="BK2100" s="2126"/>
      <c r="BL2100" s="2126"/>
      <c r="BM2100" s="2126"/>
      <c r="BN2100" s="2126"/>
      <c r="BO2100" s="2126"/>
      <c r="BP2100" s="2126"/>
      <c r="BQ2100" s="2126"/>
      <c r="BR2100" s="2126"/>
      <c r="BS2100" s="2126"/>
    </row>
    <row r="2101" spans="1:71" s="3030" customFormat="1">
      <c r="A2101" s="2126"/>
      <c r="B2101" s="2126"/>
      <c r="C2101" s="2149"/>
      <c r="D2101" s="3248"/>
      <c r="E2101" s="525"/>
      <c r="F2101" s="525"/>
      <c r="G2101" s="526"/>
      <c r="K2101" s="3280"/>
      <c r="P2101" s="3041"/>
      <c r="X2101" s="3280"/>
      <c r="AA2101" s="3041"/>
      <c r="AF2101" s="3041"/>
      <c r="AN2101" s="3280"/>
      <c r="AZ2101" s="3041"/>
      <c r="BD2101" s="3281"/>
      <c r="BH2101" s="3282"/>
      <c r="BJ2101" s="2589"/>
      <c r="BK2101" s="2126"/>
      <c r="BL2101" s="2126"/>
      <c r="BM2101" s="2126"/>
      <c r="BN2101" s="2126"/>
      <c r="BO2101" s="2126"/>
      <c r="BP2101" s="2126"/>
      <c r="BQ2101" s="2126"/>
      <c r="BR2101" s="2126"/>
      <c r="BS2101" s="2126"/>
    </row>
    <row r="2102" spans="1:71" s="3030" customFormat="1">
      <c r="A2102" s="2126"/>
      <c r="B2102" s="2126"/>
      <c r="C2102" s="2149"/>
      <c r="D2102" s="3248"/>
      <c r="E2102" s="525"/>
      <c r="F2102" s="525"/>
      <c r="G2102" s="526"/>
      <c r="K2102" s="3280"/>
      <c r="P2102" s="3041"/>
      <c r="X2102" s="3280"/>
      <c r="AA2102" s="3041"/>
      <c r="AF2102" s="3041"/>
      <c r="AN2102" s="3280"/>
      <c r="AZ2102" s="3041"/>
      <c r="BD2102" s="3281"/>
      <c r="BH2102" s="3282"/>
      <c r="BJ2102" s="2589"/>
      <c r="BK2102" s="2126"/>
      <c r="BL2102" s="2126"/>
      <c r="BM2102" s="2126"/>
      <c r="BN2102" s="2126"/>
      <c r="BO2102" s="2126"/>
      <c r="BP2102" s="2126"/>
      <c r="BQ2102" s="2126"/>
      <c r="BR2102" s="2126"/>
      <c r="BS2102" s="2126"/>
    </row>
    <row r="2103" spans="1:71" s="3030" customFormat="1">
      <c r="A2103" s="2126"/>
      <c r="B2103" s="2126"/>
      <c r="C2103" s="2149"/>
      <c r="D2103" s="3248"/>
      <c r="E2103" s="525"/>
      <c r="F2103" s="525"/>
      <c r="G2103" s="526"/>
      <c r="K2103" s="3280"/>
      <c r="P2103" s="3041"/>
      <c r="X2103" s="3280"/>
      <c r="AA2103" s="3041"/>
      <c r="AF2103" s="3041"/>
      <c r="AN2103" s="3280"/>
      <c r="AZ2103" s="3041"/>
      <c r="BD2103" s="3281"/>
      <c r="BH2103" s="3282"/>
      <c r="BJ2103" s="2589"/>
      <c r="BK2103" s="2126"/>
      <c r="BL2103" s="2126"/>
      <c r="BM2103" s="2126"/>
      <c r="BN2103" s="2126"/>
      <c r="BO2103" s="2126"/>
      <c r="BP2103" s="2126"/>
      <c r="BQ2103" s="2126"/>
      <c r="BR2103" s="2126"/>
      <c r="BS2103" s="2126"/>
    </row>
    <row r="2104" spans="1:71" s="3030" customFormat="1">
      <c r="A2104" s="2126"/>
      <c r="B2104" s="2126"/>
      <c r="C2104" s="2149"/>
      <c r="D2104" s="3248"/>
      <c r="E2104" s="525"/>
      <c r="F2104" s="525"/>
      <c r="G2104" s="526"/>
      <c r="K2104" s="3280"/>
      <c r="P2104" s="3041"/>
      <c r="X2104" s="3280"/>
      <c r="AA2104" s="3041"/>
      <c r="AF2104" s="3041"/>
      <c r="AN2104" s="3280"/>
      <c r="AZ2104" s="3041"/>
      <c r="BD2104" s="3281"/>
      <c r="BH2104" s="3282"/>
      <c r="BJ2104" s="2589"/>
      <c r="BK2104" s="2126"/>
      <c r="BL2104" s="2126"/>
      <c r="BM2104" s="2126"/>
      <c r="BN2104" s="2126"/>
      <c r="BO2104" s="2126"/>
      <c r="BP2104" s="2126"/>
      <c r="BQ2104" s="2126"/>
      <c r="BR2104" s="2126"/>
      <c r="BS2104" s="2126"/>
    </row>
    <row r="2105" spans="1:71" s="3030" customFormat="1">
      <c r="A2105" s="2126"/>
      <c r="B2105" s="2126"/>
      <c r="C2105" s="2149"/>
      <c r="D2105" s="3248"/>
      <c r="E2105" s="525"/>
      <c r="F2105" s="525"/>
      <c r="G2105" s="526"/>
      <c r="K2105" s="3280"/>
      <c r="P2105" s="3041"/>
      <c r="X2105" s="3280"/>
      <c r="AA2105" s="3041"/>
      <c r="AF2105" s="3041"/>
      <c r="AN2105" s="3280"/>
      <c r="AZ2105" s="3041"/>
      <c r="BD2105" s="3281"/>
      <c r="BH2105" s="3282"/>
      <c r="BJ2105" s="2589"/>
      <c r="BK2105" s="2126"/>
      <c r="BL2105" s="2126"/>
      <c r="BM2105" s="2126"/>
      <c r="BN2105" s="2126"/>
      <c r="BO2105" s="2126"/>
      <c r="BP2105" s="2126"/>
      <c r="BQ2105" s="2126"/>
      <c r="BR2105" s="2126"/>
      <c r="BS2105" s="2126"/>
    </row>
    <row r="2106" spans="1:71" s="3030" customFormat="1">
      <c r="A2106" s="2126"/>
      <c r="B2106" s="2126"/>
      <c r="C2106" s="2149"/>
      <c r="D2106" s="3248"/>
      <c r="E2106" s="525"/>
      <c r="F2106" s="525"/>
      <c r="G2106" s="526"/>
      <c r="K2106" s="3280"/>
      <c r="P2106" s="3041"/>
      <c r="X2106" s="3280"/>
      <c r="AA2106" s="3041"/>
      <c r="AF2106" s="3041"/>
      <c r="AN2106" s="3280"/>
      <c r="AZ2106" s="3041"/>
      <c r="BD2106" s="3281"/>
      <c r="BH2106" s="3282"/>
      <c r="BJ2106" s="2589"/>
      <c r="BK2106" s="2126"/>
      <c r="BL2106" s="2126"/>
      <c r="BM2106" s="2126"/>
      <c r="BN2106" s="2126"/>
      <c r="BO2106" s="2126"/>
      <c r="BP2106" s="2126"/>
      <c r="BQ2106" s="2126"/>
      <c r="BR2106" s="2126"/>
      <c r="BS2106" s="2126"/>
    </row>
    <row r="2107" spans="1:71" s="3030" customFormat="1">
      <c r="A2107" s="2126"/>
      <c r="B2107" s="2126"/>
      <c r="C2107" s="2149"/>
      <c r="D2107" s="3248"/>
      <c r="E2107" s="525"/>
      <c r="F2107" s="525"/>
      <c r="G2107" s="526"/>
      <c r="K2107" s="3280"/>
      <c r="P2107" s="3041"/>
      <c r="X2107" s="3280"/>
      <c r="AA2107" s="3041"/>
      <c r="AF2107" s="3041"/>
      <c r="AN2107" s="3280"/>
      <c r="AZ2107" s="3041"/>
      <c r="BD2107" s="3281"/>
      <c r="BH2107" s="3282"/>
      <c r="BJ2107" s="2589"/>
      <c r="BK2107" s="2126"/>
      <c r="BL2107" s="2126"/>
      <c r="BM2107" s="2126"/>
      <c r="BN2107" s="2126"/>
      <c r="BO2107" s="2126"/>
      <c r="BP2107" s="2126"/>
      <c r="BQ2107" s="2126"/>
      <c r="BR2107" s="2126"/>
      <c r="BS2107" s="2126"/>
    </row>
    <row r="2108" spans="1:71" s="3030" customFormat="1">
      <c r="A2108" s="2126"/>
      <c r="B2108" s="2126"/>
      <c r="C2108" s="2149"/>
      <c r="D2108" s="3248"/>
      <c r="E2108" s="525"/>
      <c r="F2108" s="525"/>
      <c r="G2108" s="526"/>
      <c r="K2108" s="3280"/>
      <c r="P2108" s="3041"/>
      <c r="X2108" s="3280"/>
      <c r="AA2108" s="3041"/>
      <c r="AF2108" s="3041"/>
      <c r="AN2108" s="3280"/>
      <c r="AZ2108" s="3041"/>
      <c r="BD2108" s="3281"/>
      <c r="BH2108" s="3282"/>
      <c r="BJ2108" s="2589"/>
      <c r="BK2108" s="2126"/>
      <c r="BL2108" s="2126"/>
      <c r="BM2108" s="2126"/>
      <c r="BN2108" s="2126"/>
      <c r="BO2108" s="2126"/>
      <c r="BP2108" s="2126"/>
      <c r="BQ2108" s="2126"/>
      <c r="BR2108" s="2126"/>
      <c r="BS2108" s="2126"/>
    </row>
    <row r="2109" spans="1:71" s="3030" customFormat="1">
      <c r="A2109" s="2126"/>
      <c r="B2109" s="2126"/>
      <c r="C2109" s="2149"/>
      <c r="D2109" s="3248"/>
      <c r="E2109" s="525"/>
      <c r="F2109" s="525"/>
      <c r="G2109" s="526"/>
      <c r="K2109" s="3280"/>
      <c r="P2109" s="3041"/>
      <c r="X2109" s="3280"/>
      <c r="AA2109" s="3041"/>
      <c r="AF2109" s="3041"/>
      <c r="AN2109" s="3280"/>
      <c r="AZ2109" s="3041"/>
      <c r="BD2109" s="3281"/>
      <c r="BH2109" s="3282"/>
      <c r="BJ2109" s="2589"/>
      <c r="BK2109" s="2126"/>
      <c r="BL2109" s="2126"/>
      <c r="BM2109" s="2126"/>
      <c r="BN2109" s="2126"/>
      <c r="BO2109" s="2126"/>
      <c r="BP2109" s="2126"/>
      <c r="BQ2109" s="2126"/>
      <c r="BR2109" s="2126"/>
      <c r="BS2109" s="2126"/>
    </row>
    <row r="2110" spans="1:71" s="3030" customFormat="1">
      <c r="A2110" s="2126"/>
      <c r="B2110" s="2126"/>
      <c r="C2110" s="2149"/>
      <c r="D2110" s="3248"/>
      <c r="E2110" s="525"/>
      <c r="F2110" s="525"/>
      <c r="G2110" s="526"/>
      <c r="K2110" s="3280"/>
      <c r="P2110" s="3041"/>
      <c r="X2110" s="3280"/>
      <c r="AA2110" s="3041"/>
      <c r="AF2110" s="3041"/>
      <c r="AN2110" s="3280"/>
      <c r="AZ2110" s="3041"/>
      <c r="BD2110" s="3281"/>
      <c r="BH2110" s="3282"/>
      <c r="BJ2110" s="2589"/>
      <c r="BK2110" s="2126"/>
      <c r="BL2110" s="2126"/>
      <c r="BM2110" s="2126"/>
      <c r="BN2110" s="2126"/>
      <c r="BO2110" s="2126"/>
      <c r="BP2110" s="2126"/>
      <c r="BQ2110" s="2126"/>
      <c r="BR2110" s="2126"/>
      <c r="BS2110" s="2126"/>
    </row>
    <row r="2111" spans="1:71" s="3030" customFormat="1">
      <c r="A2111" s="2126"/>
      <c r="B2111" s="2126"/>
      <c r="C2111" s="2149"/>
      <c r="D2111" s="3248"/>
      <c r="E2111" s="525"/>
      <c r="F2111" s="525"/>
      <c r="G2111" s="526"/>
      <c r="K2111" s="3280"/>
      <c r="P2111" s="3041"/>
      <c r="X2111" s="3280"/>
      <c r="AA2111" s="3041"/>
      <c r="AF2111" s="3041"/>
      <c r="AN2111" s="3280"/>
      <c r="AZ2111" s="3041"/>
      <c r="BD2111" s="3281"/>
      <c r="BH2111" s="3282"/>
      <c r="BJ2111" s="2589"/>
      <c r="BK2111" s="2126"/>
      <c r="BL2111" s="2126"/>
      <c r="BM2111" s="2126"/>
      <c r="BN2111" s="2126"/>
      <c r="BO2111" s="2126"/>
      <c r="BP2111" s="2126"/>
      <c r="BQ2111" s="2126"/>
      <c r="BR2111" s="2126"/>
      <c r="BS2111" s="2126"/>
    </row>
    <row r="2112" spans="1:71" s="3030" customFormat="1">
      <c r="A2112" s="2126"/>
      <c r="B2112" s="2126"/>
      <c r="C2112" s="2149"/>
      <c r="D2112" s="3248"/>
      <c r="E2112" s="525"/>
      <c r="F2112" s="525"/>
      <c r="G2112" s="526"/>
      <c r="K2112" s="3280"/>
      <c r="P2112" s="3041"/>
      <c r="X2112" s="3280"/>
      <c r="AA2112" s="3041"/>
      <c r="AF2112" s="3041"/>
      <c r="AN2112" s="3280"/>
      <c r="AZ2112" s="3041"/>
      <c r="BD2112" s="3281"/>
      <c r="BH2112" s="3282"/>
      <c r="BJ2112" s="2589"/>
      <c r="BK2112" s="2126"/>
      <c r="BL2112" s="2126"/>
      <c r="BM2112" s="2126"/>
      <c r="BN2112" s="2126"/>
      <c r="BO2112" s="2126"/>
      <c r="BP2112" s="2126"/>
      <c r="BQ2112" s="2126"/>
      <c r="BR2112" s="2126"/>
      <c r="BS2112" s="2126"/>
    </row>
    <row r="2113" spans="1:71" s="3030" customFormat="1">
      <c r="A2113" s="2126"/>
      <c r="B2113" s="2126"/>
      <c r="C2113" s="2149"/>
      <c r="D2113" s="3248"/>
      <c r="E2113" s="525"/>
      <c r="F2113" s="525"/>
      <c r="G2113" s="526"/>
      <c r="K2113" s="3280"/>
      <c r="P2113" s="3041"/>
      <c r="X2113" s="3280"/>
      <c r="AA2113" s="3041"/>
      <c r="AF2113" s="3041"/>
      <c r="AN2113" s="3280"/>
      <c r="AZ2113" s="3041"/>
      <c r="BD2113" s="3281"/>
      <c r="BH2113" s="3282"/>
      <c r="BJ2113" s="2589"/>
      <c r="BK2113" s="2126"/>
      <c r="BL2113" s="2126"/>
      <c r="BM2113" s="2126"/>
      <c r="BN2113" s="2126"/>
      <c r="BO2113" s="2126"/>
      <c r="BP2113" s="2126"/>
      <c r="BQ2113" s="2126"/>
      <c r="BR2113" s="2126"/>
      <c r="BS2113" s="2126"/>
    </row>
    <row r="2114" spans="1:71" s="3030" customFormat="1">
      <c r="A2114" s="2126"/>
      <c r="B2114" s="2126"/>
      <c r="C2114" s="2149"/>
      <c r="D2114" s="3248"/>
      <c r="E2114" s="525"/>
      <c r="F2114" s="525"/>
      <c r="G2114" s="526"/>
      <c r="K2114" s="3280"/>
      <c r="P2114" s="3041"/>
      <c r="X2114" s="3280"/>
      <c r="AA2114" s="3041"/>
      <c r="AF2114" s="3041"/>
      <c r="AN2114" s="3280"/>
      <c r="AZ2114" s="3041"/>
      <c r="BD2114" s="3281"/>
      <c r="BH2114" s="3282"/>
      <c r="BJ2114" s="2589"/>
      <c r="BK2114" s="2126"/>
      <c r="BL2114" s="2126"/>
      <c r="BM2114" s="2126"/>
      <c r="BN2114" s="2126"/>
      <c r="BO2114" s="2126"/>
      <c r="BP2114" s="2126"/>
      <c r="BQ2114" s="2126"/>
      <c r="BR2114" s="2126"/>
      <c r="BS2114" s="2126"/>
    </row>
    <row r="2115" spans="1:71" s="3030" customFormat="1">
      <c r="A2115" s="2126"/>
      <c r="B2115" s="2126"/>
      <c r="C2115" s="2149"/>
      <c r="D2115" s="3248"/>
      <c r="E2115" s="525"/>
      <c r="F2115" s="525"/>
      <c r="G2115" s="526"/>
      <c r="K2115" s="3280"/>
      <c r="P2115" s="3041"/>
      <c r="X2115" s="3280"/>
      <c r="AA2115" s="3041"/>
      <c r="AF2115" s="3041"/>
      <c r="AN2115" s="3280"/>
      <c r="AZ2115" s="3041"/>
      <c r="BD2115" s="3281"/>
      <c r="BH2115" s="3282"/>
      <c r="BJ2115" s="2589"/>
      <c r="BK2115" s="2126"/>
      <c r="BL2115" s="2126"/>
      <c r="BM2115" s="2126"/>
      <c r="BN2115" s="2126"/>
      <c r="BO2115" s="2126"/>
      <c r="BP2115" s="2126"/>
      <c r="BQ2115" s="2126"/>
      <c r="BR2115" s="2126"/>
      <c r="BS2115" s="2126"/>
    </row>
    <row r="2116" spans="1:71" s="3030" customFormat="1">
      <c r="A2116" s="2126"/>
      <c r="B2116" s="2126"/>
      <c r="C2116" s="2149"/>
      <c r="D2116" s="3248"/>
      <c r="E2116" s="525"/>
      <c r="F2116" s="525"/>
      <c r="G2116" s="526"/>
      <c r="K2116" s="3280"/>
      <c r="P2116" s="3041"/>
      <c r="X2116" s="3280"/>
      <c r="AA2116" s="3041"/>
      <c r="AF2116" s="3041"/>
      <c r="AN2116" s="3280"/>
      <c r="AZ2116" s="3041"/>
      <c r="BD2116" s="3281"/>
      <c r="BH2116" s="3282"/>
      <c r="BJ2116" s="2589"/>
      <c r="BK2116" s="2126"/>
      <c r="BL2116" s="2126"/>
      <c r="BM2116" s="2126"/>
      <c r="BN2116" s="2126"/>
      <c r="BO2116" s="2126"/>
      <c r="BP2116" s="2126"/>
      <c r="BQ2116" s="2126"/>
      <c r="BR2116" s="2126"/>
      <c r="BS2116" s="2126"/>
    </row>
    <row r="2117" spans="1:71" s="3030" customFormat="1">
      <c r="A2117" s="2126"/>
      <c r="B2117" s="2126"/>
      <c r="C2117" s="2149"/>
      <c r="D2117" s="3248"/>
      <c r="E2117" s="525"/>
      <c r="F2117" s="525"/>
      <c r="G2117" s="526"/>
      <c r="K2117" s="3280"/>
      <c r="P2117" s="3041"/>
      <c r="X2117" s="3280"/>
      <c r="AA2117" s="3041"/>
      <c r="AF2117" s="3041"/>
      <c r="AN2117" s="3280"/>
      <c r="AZ2117" s="3041"/>
      <c r="BD2117" s="3281"/>
      <c r="BH2117" s="3282"/>
      <c r="BJ2117" s="2589"/>
      <c r="BK2117" s="2126"/>
      <c r="BL2117" s="2126"/>
      <c r="BM2117" s="2126"/>
      <c r="BN2117" s="2126"/>
      <c r="BO2117" s="2126"/>
      <c r="BP2117" s="2126"/>
      <c r="BQ2117" s="2126"/>
      <c r="BR2117" s="2126"/>
      <c r="BS2117" s="2126"/>
    </row>
    <row r="2118" spans="1:71" s="3030" customFormat="1">
      <c r="A2118" s="2126"/>
      <c r="B2118" s="2126"/>
      <c r="C2118" s="2149"/>
      <c r="D2118" s="3248"/>
      <c r="E2118" s="525"/>
      <c r="F2118" s="525"/>
      <c r="G2118" s="526"/>
      <c r="K2118" s="3280"/>
      <c r="P2118" s="3041"/>
      <c r="X2118" s="3280"/>
      <c r="AA2118" s="3041"/>
      <c r="AF2118" s="3041"/>
      <c r="AN2118" s="3280"/>
      <c r="AZ2118" s="3041"/>
      <c r="BD2118" s="3281"/>
      <c r="BH2118" s="3282"/>
      <c r="BJ2118" s="2589"/>
      <c r="BK2118" s="2126"/>
      <c r="BL2118" s="2126"/>
      <c r="BM2118" s="2126"/>
      <c r="BN2118" s="2126"/>
      <c r="BO2118" s="2126"/>
      <c r="BP2118" s="2126"/>
      <c r="BQ2118" s="2126"/>
      <c r="BR2118" s="2126"/>
      <c r="BS2118" s="2126"/>
    </row>
    <row r="2119" spans="1:71" s="3030" customFormat="1">
      <c r="A2119" s="2126"/>
      <c r="B2119" s="2126"/>
      <c r="C2119" s="2149"/>
      <c r="D2119" s="3248"/>
      <c r="E2119" s="525"/>
      <c r="F2119" s="525"/>
      <c r="G2119" s="526"/>
      <c r="K2119" s="3280"/>
      <c r="P2119" s="3041"/>
      <c r="X2119" s="3280"/>
      <c r="AA2119" s="3041"/>
      <c r="AF2119" s="3041"/>
      <c r="AN2119" s="3280"/>
      <c r="AZ2119" s="3041"/>
      <c r="BD2119" s="3281"/>
      <c r="BH2119" s="3282"/>
      <c r="BJ2119" s="2589"/>
      <c r="BK2119" s="2126"/>
      <c r="BL2119" s="2126"/>
      <c r="BM2119" s="2126"/>
      <c r="BN2119" s="2126"/>
      <c r="BO2119" s="2126"/>
      <c r="BP2119" s="2126"/>
      <c r="BQ2119" s="2126"/>
      <c r="BR2119" s="2126"/>
      <c r="BS2119" s="2126"/>
    </row>
    <row r="2120" spans="1:71" s="3030" customFormat="1">
      <c r="A2120" s="2126"/>
      <c r="B2120" s="2126"/>
      <c r="C2120" s="2149"/>
      <c r="D2120" s="3248"/>
      <c r="E2120" s="525"/>
      <c r="F2120" s="525"/>
      <c r="G2120" s="526"/>
      <c r="K2120" s="3280"/>
      <c r="P2120" s="3041"/>
      <c r="X2120" s="3280"/>
      <c r="AA2120" s="3041"/>
      <c r="AF2120" s="3041"/>
      <c r="AN2120" s="3280"/>
      <c r="AZ2120" s="3041"/>
      <c r="BD2120" s="3281"/>
      <c r="BH2120" s="3282"/>
      <c r="BJ2120" s="2589"/>
      <c r="BK2120" s="2126"/>
      <c r="BL2120" s="2126"/>
      <c r="BM2120" s="2126"/>
      <c r="BN2120" s="2126"/>
      <c r="BO2120" s="2126"/>
      <c r="BP2120" s="2126"/>
      <c r="BQ2120" s="2126"/>
      <c r="BR2120" s="2126"/>
      <c r="BS2120" s="2126"/>
    </row>
    <row r="2121" spans="1:71" s="3030" customFormat="1">
      <c r="A2121" s="2126"/>
      <c r="B2121" s="2126"/>
      <c r="C2121" s="2149"/>
      <c r="D2121" s="3248"/>
      <c r="E2121" s="525"/>
      <c r="F2121" s="525"/>
      <c r="G2121" s="526"/>
      <c r="K2121" s="3280"/>
      <c r="P2121" s="3041"/>
      <c r="X2121" s="3280"/>
      <c r="AA2121" s="3041"/>
      <c r="AF2121" s="3041"/>
      <c r="AN2121" s="3280"/>
      <c r="AZ2121" s="3041"/>
      <c r="BD2121" s="3281"/>
      <c r="BH2121" s="3282"/>
      <c r="BJ2121" s="2589"/>
      <c r="BK2121" s="2126"/>
      <c r="BL2121" s="2126"/>
      <c r="BM2121" s="2126"/>
      <c r="BN2121" s="2126"/>
      <c r="BO2121" s="2126"/>
      <c r="BP2121" s="2126"/>
      <c r="BQ2121" s="2126"/>
      <c r="BR2121" s="2126"/>
      <c r="BS2121" s="2126"/>
    </row>
    <row r="2122" spans="1:71" s="3030" customFormat="1">
      <c r="A2122" s="2126"/>
      <c r="B2122" s="2126"/>
      <c r="C2122" s="2149"/>
      <c r="D2122" s="3248"/>
      <c r="E2122" s="525"/>
      <c r="F2122" s="525"/>
      <c r="G2122" s="526"/>
      <c r="K2122" s="3280"/>
      <c r="P2122" s="3041"/>
      <c r="X2122" s="3280"/>
      <c r="AA2122" s="3041"/>
      <c r="AF2122" s="3041"/>
      <c r="AN2122" s="3280"/>
      <c r="AZ2122" s="3041"/>
      <c r="BD2122" s="3281"/>
      <c r="BH2122" s="3282"/>
      <c r="BJ2122" s="2589"/>
      <c r="BK2122" s="2126"/>
      <c r="BL2122" s="2126"/>
      <c r="BM2122" s="2126"/>
      <c r="BN2122" s="2126"/>
      <c r="BO2122" s="2126"/>
      <c r="BP2122" s="2126"/>
      <c r="BQ2122" s="2126"/>
      <c r="BR2122" s="2126"/>
      <c r="BS2122" s="2126"/>
    </row>
    <row r="2123" spans="1:71" s="3030" customFormat="1">
      <c r="A2123" s="2126"/>
      <c r="B2123" s="2126"/>
      <c r="C2123" s="2149"/>
      <c r="D2123" s="3248"/>
      <c r="E2123" s="525"/>
      <c r="F2123" s="525"/>
      <c r="G2123" s="526"/>
      <c r="K2123" s="3280"/>
      <c r="P2123" s="3041"/>
      <c r="X2123" s="3280"/>
      <c r="AA2123" s="3041"/>
      <c r="AF2123" s="3041"/>
      <c r="AN2123" s="3280"/>
      <c r="AZ2123" s="3041"/>
      <c r="BD2123" s="3281"/>
      <c r="BH2123" s="3282"/>
      <c r="BJ2123" s="2589"/>
      <c r="BK2123" s="2126"/>
      <c r="BL2123" s="2126"/>
      <c r="BM2123" s="2126"/>
      <c r="BN2123" s="2126"/>
      <c r="BO2123" s="2126"/>
      <c r="BP2123" s="2126"/>
      <c r="BQ2123" s="2126"/>
      <c r="BR2123" s="2126"/>
      <c r="BS2123" s="2126"/>
    </row>
    <row r="2124" spans="1:71" s="3030" customFormat="1">
      <c r="A2124" s="2126"/>
      <c r="B2124" s="2126"/>
      <c r="C2124" s="2149"/>
      <c r="D2124" s="3248"/>
      <c r="E2124" s="525"/>
      <c r="F2124" s="525"/>
      <c r="G2124" s="526"/>
      <c r="K2124" s="3280"/>
      <c r="P2124" s="3041"/>
      <c r="X2124" s="3280"/>
      <c r="AA2124" s="3041"/>
      <c r="AF2124" s="3041"/>
      <c r="AN2124" s="3280"/>
      <c r="AZ2124" s="3041"/>
      <c r="BD2124" s="3281"/>
      <c r="BH2124" s="3282"/>
      <c r="BJ2124" s="2589"/>
      <c r="BK2124" s="2126"/>
      <c r="BL2124" s="2126"/>
      <c r="BM2124" s="2126"/>
      <c r="BN2124" s="2126"/>
      <c r="BO2124" s="2126"/>
      <c r="BP2124" s="2126"/>
      <c r="BQ2124" s="2126"/>
      <c r="BR2124" s="2126"/>
      <c r="BS2124" s="2126"/>
    </row>
    <row r="2125" spans="1:71" s="3030" customFormat="1">
      <c r="A2125" s="2126"/>
      <c r="B2125" s="2126"/>
      <c r="C2125" s="2149"/>
      <c r="D2125" s="3248"/>
      <c r="E2125" s="525"/>
      <c r="F2125" s="525"/>
      <c r="G2125" s="526"/>
      <c r="K2125" s="3280"/>
      <c r="P2125" s="3041"/>
      <c r="X2125" s="3280"/>
      <c r="AA2125" s="3041"/>
      <c r="AF2125" s="3041"/>
      <c r="AN2125" s="3280"/>
      <c r="AZ2125" s="3041"/>
      <c r="BD2125" s="3281"/>
      <c r="BH2125" s="3282"/>
      <c r="BJ2125" s="2589"/>
      <c r="BK2125" s="2126"/>
      <c r="BL2125" s="2126"/>
      <c r="BM2125" s="2126"/>
      <c r="BN2125" s="2126"/>
      <c r="BO2125" s="2126"/>
      <c r="BP2125" s="2126"/>
      <c r="BQ2125" s="2126"/>
      <c r="BR2125" s="2126"/>
      <c r="BS2125" s="2126"/>
    </row>
    <row r="2126" spans="1:71" s="3030" customFormat="1">
      <c r="A2126" s="2126"/>
      <c r="B2126" s="2126"/>
      <c r="C2126" s="2149"/>
      <c r="D2126" s="3248"/>
      <c r="E2126" s="525"/>
      <c r="F2126" s="525"/>
      <c r="G2126" s="526"/>
      <c r="K2126" s="3280"/>
      <c r="P2126" s="3041"/>
      <c r="X2126" s="3280"/>
      <c r="AA2126" s="3041"/>
      <c r="AF2126" s="3041"/>
      <c r="AN2126" s="3280"/>
      <c r="AZ2126" s="3041"/>
      <c r="BD2126" s="3281"/>
      <c r="BH2126" s="3282"/>
      <c r="BJ2126" s="2589"/>
      <c r="BK2126" s="2126"/>
      <c r="BL2126" s="2126"/>
      <c r="BM2126" s="2126"/>
      <c r="BN2126" s="2126"/>
      <c r="BO2126" s="2126"/>
      <c r="BP2126" s="2126"/>
      <c r="BQ2126" s="2126"/>
      <c r="BR2126" s="2126"/>
      <c r="BS2126" s="2126"/>
    </row>
    <row r="2127" spans="1:71" s="3030" customFormat="1">
      <c r="A2127" s="2126"/>
      <c r="B2127" s="2126"/>
      <c r="C2127" s="2149"/>
      <c r="D2127" s="3248"/>
      <c r="E2127" s="525"/>
      <c r="F2127" s="525"/>
      <c r="G2127" s="526"/>
      <c r="K2127" s="3280"/>
      <c r="P2127" s="3041"/>
      <c r="X2127" s="3280"/>
      <c r="AA2127" s="3041"/>
      <c r="AF2127" s="3041"/>
      <c r="AN2127" s="3280"/>
      <c r="AZ2127" s="3041"/>
      <c r="BD2127" s="3281"/>
      <c r="BH2127" s="3282"/>
      <c r="BJ2127" s="2589"/>
      <c r="BK2127" s="2126"/>
      <c r="BL2127" s="2126"/>
      <c r="BM2127" s="2126"/>
      <c r="BN2127" s="2126"/>
      <c r="BO2127" s="2126"/>
      <c r="BP2127" s="2126"/>
      <c r="BQ2127" s="2126"/>
      <c r="BR2127" s="2126"/>
      <c r="BS2127" s="2126"/>
    </row>
    <row r="2128" spans="1:71" s="3030" customFormat="1">
      <c r="A2128" s="2126"/>
      <c r="B2128" s="2126"/>
      <c r="C2128" s="2149"/>
      <c r="D2128" s="3248"/>
      <c r="E2128" s="525"/>
      <c r="F2128" s="525"/>
      <c r="G2128" s="526"/>
      <c r="K2128" s="3280"/>
      <c r="P2128" s="3041"/>
      <c r="X2128" s="3280"/>
      <c r="AA2128" s="3041"/>
      <c r="AF2128" s="3041"/>
      <c r="AN2128" s="3280"/>
      <c r="AZ2128" s="3041"/>
      <c r="BD2128" s="3281"/>
      <c r="BH2128" s="3282"/>
      <c r="BJ2128" s="2589"/>
      <c r="BK2128" s="2126"/>
      <c r="BL2128" s="2126"/>
      <c r="BM2128" s="2126"/>
      <c r="BN2128" s="2126"/>
      <c r="BO2128" s="2126"/>
      <c r="BP2128" s="2126"/>
      <c r="BQ2128" s="2126"/>
      <c r="BR2128" s="2126"/>
      <c r="BS2128" s="2126"/>
    </row>
    <row r="2129" spans="1:71" s="3030" customFormat="1">
      <c r="A2129" s="2126"/>
      <c r="B2129" s="2126"/>
      <c r="C2129" s="2149"/>
      <c r="D2129" s="3248"/>
      <c r="E2129" s="525"/>
      <c r="F2129" s="525"/>
      <c r="G2129" s="526"/>
      <c r="K2129" s="3280"/>
      <c r="P2129" s="3041"/>
      <c r="X2129" s="3280"/>
      <c r="AA2129" s="3041"/>
      <c r="AF2129" s="3041"/>
      <c r="AN2129" s="3280"/>
      <c r="AZ2129" s="3041"/>
      <c r="BD2129" s="3281"/>
      <c r="BH2129" s="3282"/>
      <c r="BJ2129" s="2589"/>
      <c r="BK2129" s="2126"/>
      <c r="BL2129" s="2126"/>
      <c r="BM2129" s="2126"/>
      <c r="BN2129" s="2126"/>
      <c r="BO2129" s="2126"/>
      <c r="BP2129" s="2126"/>
      <c r="BQ2129" s="2126"/>
      <c r="BR2129" s="2126"/>
      <c r="BS2129" s="2126"/>
    </row>
    <row r="2130" spans="1:71" s="3030" customFormat="1">
      <c r="A2130" s="2126"/>
      <c r="B2130" s="2126"/>
      <c r="C2130" s="2149"/>
      <c r="D2130" s="3248"/>
      <c r="E2130" s="525"/>
      <c r="F2130" s="525"/>
      <c r="G2130" s="526"/>
      <c r="K2130" s="3280"/>
      <c r="P2130" s="3041"/>
      <c r="X2130" s="3280"/>
      <c r="AA2130" s="3041"/>
      <c r="AF2130" s="3041"/>
      <c r="AN2130" s="3280"/>
      <c r="AZ2130" s="3041"/>
      <c r="BD2130" s="3281"/>
      <c r="BH2130" s="3282"/>
      <c r="BJ2130" s="2589"/>
      <c r="BK2130" s="2126"/>
      <c r="BL2130" s="2126"/>
      <c r="BM2130" s="2126"/>
      <c r="BN2130" s="2126"/>
      <c r="BO2130" s="2126"/>
      <c r="BP2130" s="2126"/>
      <c r="BQ2130" s="2126"/>
      <c r="BR2130" s="2126"/>
      <c r="BS2130" s="2126"/>
    </row>
    <row r="2131" spans="1:71" s="3030" customFormat="1">
      <c r="A2131" s="2126"/>
      <c r="B2131" s="2126"/>
      <c r="C2131" s="2149"/>
      <c r="D2131" s="3248"/>
      <c r="E2131" s="525"/>
      <c r="F2131" s="525"/>
      <c r="G2131" s="526"/>
      <c r="K2131" s="3280"/>
      <c r="P2131" s="3041"/>
      <c r="X2131" s="3280"/>
      <c r="AA2131" s="3041"/>
      <c r="AF2131" s="3041"/>
      <c r="AN2131" s="3280"/>
      <c r="AZ2131" s="3041"/>
      <c r="BD2131" s="3281"/>
      <c r="BH2131" s="3282"/>
      <c r="BJ2131" s="2589"/>
      <c r="BK2131" s="2126"/>
      <c r="BL2131" s="2126"/>
      <c r="BM2131" s="2126"/>
      <c r="BN2131" s="2126"/>
      <c r="BO2131" s="2126"/>
      <c r="BP2131" s="2126"/>
      <c r="BQ2131" s="2126"/>
      <c r="BR2131" s="2126"/>
      <c r="BS2131" s="2126"/>
    </row>
    <row r="2132" spans="1:71" s="3030" customFormat="1">
      <c r="A2132" s="2126"/>
      <c r="B2132" s="2126"/>
      <c r="C2132" s="2149"/>
      <c r="D2132" s="3248"/>
      <c r="E2132" s="525"/>
      <c r="F2132" s="525"/>
      <c r="G2132" s="526"/>
      <c r="K2132" s="3280"/>
      <c r="P2132" s="3041"/>
      <c r="X2132" s="3280"/>
      <c r="AA2132" s="3041"/>
      <c r="AF2132" s="3041"/>
      <c r="AN2132" s="3280"/>
      <c r="AZ2132" s="3041"/>
      <c r="BD2132" s="3281"/>
      <c r="BH2132" s="3282"/>
      <c r="BJ2132" s="2589"/>
      <c r="BK2132" s="2126"/>
      <c r="BL2132" s="2126"/>
      <c r="BM2132" s="2126"/>
      <c r="BN2132" s="2126"/>
      <c r="BO2132" s="2126"/>
      <c r="BP2132" s="2126"/>
      <c r="BQ2132" s="2126"/>
      <c r="BR2132" s="2126"/>
      <c r="BS2132" s="2126"/>
    </row>
    <row r="2133" spans="1:71" s="3030" customFormat="1">
      <c r="A2133" s="2126"/>
      <c r="B2133" s="2126"/>
      <c r="C2133" s="2149"/>
      <c r="D2133" s="3248"/>
      <c r="E2133" s="525"/>
      <c r="F2133" s="525"/>
      <c r="G2133" s="526"/>
      <c r="K2133" s="3280"/>
      <c r="P2133" s="3041"/>
      <c r="X2133" s="3280"/>
      <c r="AA2133" s="3041"/>
      <c r="AF2133" s="3041"/>
      <c r="AN2133" s="3280"/>
      <c r="AZ2133" s="3041"/>
      <c r="BD2133" s="3281"/>
      <c r="BH2133" s="3282"/>
      <c r="BJ2133" s="2589"/>
      <c r="BK2133" s="2126"/>
      <c r="BL2133" s="2126"/>
      <c r="BM2133" s="2126"/>
      <c r="BN2133" s="2126"/>
      <c r="BO2133" s="2126"/>
      <c r="BP2133" s="2126"/>
      <c r="BQ2133" s="2126"/>
      <c r="BR2133" s="2126"/>
      <c r="BS2133" s="2126"/>
    </row>
    <row r="2134" spans="1:71" s="3030" customFormat="1">
      <c r="A2134" s="2126"/>
      <c r="B2134" s="2126"/>
      <c r="C2134" s="2149"/>
      <c r="D2134" s="3248"/>
      <c r="E2134" s="525"/>
      <c r="F2134" s="525"/>
      <c r="G2134" s="526"/>
      <c r="K2134" s="3280"/>
      <c r="P2134" s="3041"/>
      <c r="X2134" s="3280"/>
      <c r="AA2134" s="3041"/>
      <c r="AF2134" s="3041"/>
      <c r="AN2134" s="3280"/>
      <c r="AZ2134" s="3041"/>
      <c r="BD2134" s="3281"/>
      <c r="BH2134" s="3282"/>
      <c r="BJ2134" s="2589"/>
      <c r="BK2134" s="2126"/>
      <c r="BL2134" s="2126"/>
      <c r="BM2134" s="2126"/>
      <c r="BN2134" s="2126"/>
      <c r="BO2134" s="2126"/>
      <c r="BP2134" s="2126"/>
      <c r="BQ2134" s="2126"/>
      <c r="BR2134" s="2126"/>
      <c r="BS2134" s="2126"/>
    </row>
    <row r="2135" spans="1:71" s="3030" customFormat="1">
      <c r="A2135" s="2126"/>
      <c r="B2135" s="2126"/>
      <c r="C2135" s="2149"/>
      <c r="D2135" s="3248"/>
      <c r="E2135" s="525"/>
      <c r="F2135" s="525"/>
      <c r="G2135" s="526"/>
      <c r="K2135" s="3280"/>
      <c r="P2135" s="3041"/>
      <c r="X2135" s="3280"/>
      <c r="AA2135" s="3041"/>
      <c r="AF2135" s="3041"/>
      <c r="AN2135" s="3280"/>
      <c r="AZ2135" s="3041"/>
      <c r="BD2135" s="3281"/>
      <c r="BH2135" s="3282"/>
      <c r="BJ2135" s="2589"/>
      <c r="BK2135" s="2126"/>
      <c r="BL2135" s="2126"/>
      <c r="BM2135" s="2126"/>
      <c r="BN2135" s="2126"/>
      <c r="BO2135" s="2126"/>
      <c r="BP2135" s="2126"/>
      <c r="BQ2135" s="2126"/>
      <c r="BR2135" s="2126"/>
      <c r="BS2135" s="2126"/>
    </row>
    <row r="2136" spans="1:71" s="3030" customFormat="1">
      <c r="A2136" s="2126"/>
      <c r="B2136" s="2126"/>
      <c r="C2136" s="2149"/>
      <c r="D2136" s="3248"/>
      <c r="E2136" s="525"/>
      <c r="F2136" s="525"/>
      <c r="G2136" s="526"/>
      <c r="K2136" s="3280"/>
      <c r="P2136" s="3041"/>
      <c r="X2136" s="3280"/>
      <c r="AA2136" s="3041"/>
      <c r="AF2136" s="3041"/>
      <c r="AN2136" s="3280"/>
      <c r="AZ2136" s="3041"/>
      <c r="BD2136" s="3281"/>
      <c r="BH2136" s="3282"/>
      <c r="BJ2136" s="2589"/>
      <c r="BK2136" s="2126"/>
      <c r="BL2136" s="2126"/>
      <c r="BM2136" s="2126"/>
      <c r="BN2136" s="2126"/>
      <c r="BO2136" s="2126"/>
      <c r="BP2136" s="2126"/>
      <c r="BQ2136" s="2126"/>
      <c r="BR2136" s="2126"/>
      <c r="BS2136" s="2126"/>
    </row>
    <row r="2137" spans="1:71" s="3030" customFormat="1">
      <c r="A2137" s="2126"/>
      <c r="B2137" s="2126"/>
      <c r="C2137" s="2149"/>
      <c r="D2137" s="3248"/>
      <c r="E2137" s="525"/>
      <c r="F2137" s="525"/>
      <c r="G2137" s="526"/>
      <c r="K2137" s="3280"/>
      <c r="P2137" s="3041"/>
      <c r="X2137" s="3280"/>
      <c r="AA2137" s="3041"/>
      <c r="AF2137" s="3041"/>
      <c r="AN2137" s="3280"/>
      <c r="AZ2137" s="3041"/>
      <c r="BD2137" s="3281"/>
      <c r="BH2137" s="3282"/>
      <c r="BJ2137" s="2589"/>
      <c r="BK2137" s="2126"/>
      <c r="BL2137" s="2126"/>
      <c r="BM2137" s="2126"/>
      <c r="BN2137" s="2126"/>
      <c r="BO2137" s="2126"/>
      <c r="BP2137" s="2126"/>
      <c r="BQ2137" s="2126"/>
      <c r="BR2137" s="2126"/>
      <c r="BS2137" s="2126"/>
    </row>
    <row r="2138" spans="1:71" s="3030" customFormat="1">
      <c r="A2138" s="2126"/>
      <c r="B2138" s="2126"/>
      <c r="C2138" s="2149"/>
      <c r="D2138" s="3248"/>
      <c r="E2138" s="525"/>
      <c r="F2138" s="525"/>
      <c r="G2138" s="526"/>
      <c r="K2138" s="3280"/>
      <c r="P2138" s="3041"/>
      <c r="X2138" s="3280"/>
      <c r="AA2138" s="3041"/>
      <c r="AF2138" s="3041"/>
      <c r="AN2138" s="3280"/>
      <c r="AZ2138" s="3041"/>
      <c r="BD2138" s="3281"/>
      <c r="BH2138" s="3282"/>
      <c r="BJ2138" s="2589"/>
      <c r="BK2138" s="2126"/>
      <c r="BL2138" s="2126"/>
      <c r="BM2138" s="2126"/>
      <c r="BN2138" s="2126"/>
      <c r="BO2138" s="2126"/>
      <c r="BP2138" s="2126"/>
      <c r="BQ2138" s="2126"/>
      <c r="BR2138" s="2126"/>
      <c r="BS2138" s="2126"/>
    </row>
    <row r="2139" spans="1:71" s="3030" customFormat="1">
      <c r="A2139" s="2126"/>
      <c r="B2139" s="2126"/>
      <c r="C2139" s="2149"/>
      <c r="D2139" s="3248"/>
      <c r="E2139" s="525"/>
      <c r="F2139" s="525"/>
      <c r="G2139" s="526"/>
      <c r="K2139" s="3280"/>
      <c r="P2139" s="3041"/>
      <c r="X2139" s="3280"/>
      <c r="AA2139" s="3041"/>
      <c r="AF2139" s="3041"/>
      <c r="AN2139" s="3280"/>
      <c r="AZ2139" s="3041"/>
      <c r="BD2139" s="3281"/>
      <c r="BH2139" s="3282"/>
      <c r="BJ2139" s="2589"/>
      <c r="BK2139" s="2126"/>
      <c r="BL2139" s="2126"/>
      <c r="BM2139" s="2126"/>
      <c r="BN2139" s="2126"/>
      <c r="BO2139" s="2126"/>
      <c r="BP2139" s="2126"/>
      <c r="BQ2139" s="2126"/>
      <c r="BR2139" s="2126"/>
      <c r="BS2139" s="2126"/>
    </row>
    <row r="2140" spans="1:71" s="3030" customFormat="1">
      <c r="A2140" s="2126"/>
      <c r="B2140" s="2126"/>
      <c r="C2140" s="2149"/>
      <c r="D2140" s="3248"/>
      <c r="E2140" s="525"/>
      <c r="F2140" s="525"/>
      <c r="G2140" s="526"/>
      <c r="K2140" s="3280"/>
      <c r="P2140" s="3041"/>
      <c r="X2140" s="3280"/>
      <c r="AA2140" s="3041"/>
      <c r="AF2140" s="3041"/>
      <c r="AN2140" s="3280"/>
      <c r="AZ2140" s="3041"/>
      <c r="BD2140" s="3281"/>
      <c r="BH2140" s="3282"/>
      <c r="BJ2140" s="2589"/>
      <c r="BK2140" s="2126"/>
      <c r="BL2140" s="2126"/>
      <c r="BM2140" s="2126"/>
      <c r="BN2140" s="2126"/>
      <c r="BO2140" s="2126"/>
      <c r="BP2140" s="2126"/>
      <c r="BQ2140" s="2126"/>
      <c r="BR2140" s="2126"/>
      <c r="BS2140" s="2126"/>
    </row>
    <row r="2141" spans="1:71" s="3030" customFormat="1">
      <c r="A2141" s="2126"/>
      <c r="B2141" s="2126"/>
      <c r="C2141" s="2149"/>
      <c r="D2141" s="3248"/>
      <c r="E2141" s="525"/>
      <c r="F2141" s="525"/>
      <c r="G2141" s="526"/>
      <c r="K2141" s="3280"/>
      <c r="P2141" s="3041"/>
      <c r="X2141" s="3280"/>
      <c r="AA2141" s="3041"/>
      <c r="AF2141" s="3041"/>
      <c r="AN2141" s="3280"/>
      <c r="AZ2141" s="3041"/>
      <c r="BD2141" s="3281"/>
      <c r="BH2141" s="3282"/>
      <c r="BJ2141" s="2589"/>
      <c r="BK2141" s="2126"/>
      <c r="BL2141" s="2126"/>
      <c r="BM2141" s="2126"/>
      <c r="BN2141" s="2126"/>
      <c r="BO2141" s="2126"/>
      <c r="BP2141" s="2126"/>
      <c r="BQ2141" s="2126"/>
      <c r="BR2141" s="2126"/>
      <c r="BS2141" s="2126"/>
    </row>
    <row r="2142" spans="1:71" s="3030" customFormat="1">
      <c r="A2142" s="2126"/>
      <c r="B2142" s="2126"/>
      <c r="C2142" s="2149"/>
      <c r="D2142" s="3248"/>
      <c r="E2142" s="525"/>
      <c r="F2142" s="525"/>
      <c r="G2142" s="526"/>
      <c r="K2142" s="3280"/>
      <c r="P2142" s="3041"/>
      <c r="X2142" s="3280"/>
      <c r="AA2142" s="3041"/>
      <c r="AF2142" s="3041"/>
      <c r="AN2142" s="3280"/>
      <c r="AZ2142" s="3041"/>
      <c r="BD2142" s="3281"/>
      <c r="BH2142" s="3282"/>
      <c r="BJ2142" s="2589"/>
      <c r="BK2142" s="2126"/>
      <c r="BL2142" s="2126"/>
      <c r="BM2142" s="2126"/>
      <c r="BN2142" s="2126"/>
      <c r="BO2142" s="2126"/>
      <c r="BP2142" s="2126"/>
      <c r="BQ2142" s="2126"/>
      <c r="BR2142" s="2126"/>
      <c r="BS2142" s="2126"/>
    </row>
    <row r="2143" spans="1:71" s="3030" customFormat="1">
      <c r="A2143" s="2126"/>
      <c r="B2143" s="2126"/>
      <c r="C2143" s="2149"/>
      <c r="D2143" s="3248"/>
      <c r="E2143" s="525"/>
      <c r="F2143" s="525"/>
      <c r="G2143" s="526"/>
      <c r="K2143" s="3280"/>
      <c r="P2143" s="3041"/>
      <c r="X2143" s="3280"/>
      <c r="AA2143" s="3041"/>
      <c r="AF2143" s="3041"/>
      <c r="AN2143" s="3280"/>
      <c r="AZ2143" s="3041"/>
      <c r="BD2143" s="3281"/>
      <c r="BH2143" s="3282"/>
      <c r="BJ2143" s="2589"/>
      <c r="BK2143" s="2126"/>
      <c r="BL2143" s="2126"/>
      <c r="BM2143" s="2126"/>
      <c r="BN2143" s="2126"/>
      <c r="BO2143" s="2126"/>
      <c r="BP2143" s="2126"/>
      <c r="BQ2143" s="2126"/>
      <c r="BR2143" s="2126"/>
      <c r="BS2143" s="2126"/>
    </row>
    <row r="2144" spans="1:71" s="3030" customFormat="1">
      <c r="A2144" s="2126"/>
      <c r="B2144" s="2126"/>
      <c r="C2144" s="2149"/>
      <c r="D2144" s="3248"/>
      <c r="E2144" s="525"/>
      <c r="F2144" s="525"/>
      <c r="G2144" s="526"/>
      <c r="K2144" s="3280"/>
      <c r="P2144" s="3041"/>
      <c r="X2144" s="3280"/>
      <c r="AA2144" s="3041"/>
      <c r="AF2144" s="3041"/>
      <c r="AN2144" s="3280"/>
      <c r="AZ2144" s="3041"/>
      <c r="BD2144" s="3281"/>
      <c r="BH2144" s="3282"/>
      <c r="BJ2144" s="2589"/>
      <c r="BK2144" s="2126"/>
      <c r="BL2144" s="2126"/>
      <c r="BM2144" s="2126"/>
      <c r="BN2144" s="2126"/>
      <c r="BO2144" s="2126"/>
      <c r="BP2144" s="2126"/>
      <c r="BQ2144" s="2126"/>
      <c r="BR2144" s="2126"/>
      <c r="BS2144" s="2126"/>
    </row>
    <row r="2145" spans="1:71" s="3030" customFormat="1">
      <c r="A2145" s="2126"/>
      <c r="B2145" s="2126"/>
      <c r="C2145" s="2149"/>
      <c r="D2145" s="3248"/>
      <c r="E2145" s="525"/>
      <c r="F2145" s="525"/>
      <c r="G2145" s="526"/>
      <c r="K2145" s="3280"/>
      <c r="P2145" s="3041"/>
      <c r="X2145" s="3280"/>
      <c r="AA2145" s="3041"/>
      <c r="AF2145" s="3041"/>
      <c r="AN2145" s="3280"/>
      <c r="AZ2145" s="3041"/>
      <c r="BD2145" s="3281"/>
      <c r="BH2145" s="3282"/>
      <c r="BJ2145" s="2589"/>
      <c r="BK2145" s="2126"/>
      <c r="BL2145" s="2126"/>
      <c r="BM2145" s="2126"/>
      <c r="BN2145" s="2126"/>
      <c r="BO2145" s="2126"/>
      <c r="BP2145" s="2126"/>
      <c r="BQ2145" s="2126"/>
      <c r="BR2145" s="2126"/>
      <c r="BS2145" s="2126"/>
    </row>
    <row r="2146" spans="1:71" s="3030" customFormat="1">
      <c r="A2146" s="2126"/>
      <c r="B2146" s="2126"/>
      <c r="C2146" s="2149"/>
      <c r="D2146" s="3248"/>
      <c r="E2146" s="525"/>
      <c r="F2146" s="525"/>
      <c r="G2146" s="526"/>
      <c r="K2146" s="3280"/>
      <c r="P2146" s="3041"/>
      <c r="X2146" s="3280"/>
      <c r="AA2146" s="3041"/>
      <c r="AF2146" s="3041"/>
      <c r="AN2146" s="3280"/>
      <c r="AZ2146" s="3041"/>
      <c r="BD2146" s="3281"/>
      <c r="BH2146" s="3282"/>
      <c r="BJ2146" s="2589"/>
      <c r="BK2146" s="2126"/>
      <c r="BL2146" s="2126"/>
      <c r="BM2146" s="2126"/>
      <c r="BN2146" s="2126"/>
      <c r="BO2146" s="2126"/>
      <c r="BP2146" s="2126"/>
      <c r="BQ2146" s="2126"/>
      <c r="BR2146" s="2126"/>
      <c r="BS2146" s="2126"/>
    </row>
    <row r="2147" spans="1:71" s="3030" customFormat="1">
      <c r="A2147" s="2126"/>
      <c r="B2147" s="2126"/>
      <c r="C2147" s="2149"/>
      <c r="D2147" s="3248"/>
      <c r="E2147" s="525"/>
      <c r="F2147" s="525"/>
      <c r="G2147" s="526"/>
      <c r="K2147" s="3280"/>
      <c r="P2147" s="3041"/>
      <c r="X2147" s="3280"/>
      <c r="AA2147" s="3041"/>
      <c r="AF2147" s="3041"/>
      <c r="AN2147" s="3280"/>
      <c r="AZ2147" s="3041"/>
      <c r="BD2147" s="3281"/>
      <c r="BH2147" s="3282"/>
      <c r="BJ2147" s="2589"/>
      <c r="BK2147" s="2126"/>
      <c r="BL2147" s="2126"/>
      <c r="BM2147" s="2126"/>
      <c r="BN2147" s="2126"/>
      <c r="BO2147" s="2126"/>
      <c r="BP2147" s="2126"/>
      <c r="BQ2147" s="2126"/>
      <c r="BR2147" s="2126"/>
      <c r="BS2147" s="2126"/>
    </row>
    <row r="2148" spans="1:71" s="3030" customFormat="1">
      <c r="A2148" s="2126"/>
      <c r="B2148" s="2126"/>
      <c r="C2148" s="2149"/>
      <c r="D2148" s="3248"/>
      <c r="E2148" s="525"/>
      <c r="F2148" s="525"/>
      <c r="G2148" s="526"/>
      <c r="K2148" s="3280"/>
      <c r="P2148" s="3041"/>
      <c r="X2148" s="3280"/>
      <c r="AA2148" s="3041"/>
      <c r="AF2148" s="3041"/>
      <c r="AN2148" s="3280"/>
      <c r="AZ2148" s="3041"/>
      <c r="BD2148" s="3281"/>
      <c r="BH2148" s="3282"/>
      <c r="BJ2148" s="2589"/>
      <c r="BK2148" s="2126"/>
      <c r="BL2148" s="2126"/>
      <c r="BM2148" s="2126"/>
      <c r="BN2148" s="2126"/>
      <c r="BO2148" s="2126"/>
      <c r="BP2148" s="2126"/>
      <c r="BQ2148" s="2126"/>
      <c r="BR2148" s="2126"/>
      <c r="BS2148" s="2126"/>
    </row>
    <row r="2149" spans="1:71" s="3030" customFormat="1">
      <c r="A2149" s="2126"/>
      <c r="B2149" s="2126"/>
      <c r="C2149" s="2149"/>
      <c r="D2149" s="3248"/>
      <c r="E2149" s="525"/>
      <c r="F2149" s="525"/>
      <c r="G2149" s="526"/>
      <c r="K2149" s="3280"/>
      <c r="P2149" s="3041"/>
      <c r="X2149" s="3280"/>
      <c r="AA2149" s="3041"/>
      <c r="AF2149" s="3041"/>
      <c r="AN2149" s="3280"/>
      <c r="AZ2149" s="3041"/>
      <c r="BD2149" s="3281"/>
      <c r="BH2149" s="3282"/>
      <c r="BJ2149" s="2589"/>
      <c r="BK2149" s="2126"/>
      <c r="BL2149" s="2126"/>
      <c r="BM2149" s="2126"/>
      <c r="BN2149" s="2126"/>
      <c r="BO2149" s="2126"/>
      <c r="BP2149" s="2126"/>
      <c r="BQ2149" s="2126"/>
      <c r="BR2149" s="2126"/>
      <c r="BS2149" s="2126"/>
    </row>
    <row r="2150" spans="1:71" s="3030" customFormat="1">
      <c r="A2150" s="2126"/>
      <c r="B2150" s="2126"/>
      <c r="C2150" s="2149"/>
      <c r="D2150" s="3248"/>
      <c r="E2150" s="525"/>
      <c r="F2150" s="525"/>
      <c r="G2150" s="526"/>
      <c r="K2150" s="3280"/>
      <c r="P2150" s="3041"/>
      <c r="X2150" s="3280"/>
      <c r="AA2150" s="3041"/>
      <c r="AF2150" s="3041"/>
      <c r="AN2150" s="3280"/>
      <c r="AZ2150" s="3041"/>
      <c r="BD2150" s="3281"/>
      <c r="BH2150" s="3282"/>
      <c r="BJ2150" s="2589"/>
      <c r="BK2150" s="2126"/>
      <c r="BL2150" s="2126"/>
      <c r="BM2150" s="2126"/>
      <c r="BN2150" s="2126"/>
      <c r="BO2150" s="2126"/>
      <c r="BP2150" s="2126"/>
      <c r="BQ2150" s="2126"/>
      <c r="BR2150" s="2126"/>
      <c r="BS2150" s="2126"/>
    </row>
    <row r="2151" spans="1:71" s="3030" customFormat="1">
      <c r="A2151" s="2126"/>
      <c r="B2151" s="2126"/>
      <c r="C2151" s="2149"/>
      <c r="D2151" s="3248"/>
      <c r="E2151" s="525"/>
      <c r="F2151" s="525"/>
      <c r="G2151" s="526"/>
      <c r="K2151" s="3280"/>
      <c r="P2151" s="3041"/>
      <c r="X2151" s="3280"/>
      <c r="AA2151" s="3041"/>
      <c r="AF2151" s="3041"/>
      <c r="AN2151" s="3280"/>
      <c r="AZ2151" s="3041"/>
      <c r="BD2151" s="3281"/>
      <c r="BH2151" s="3282"/>
      <c r="BJ2151" s="2589"/>
      <c r="BK2151" s="2126"/>
      <c r="BL2151" s="2126"/>
      <c r="BM2151" s="2126"/>
      <c r="BN2151" s="2126"/>
      <c r="BO2151" s="2126"/>
      <c r="BP2151" s="2126"/>
      <c r="BQ2151" s="2126"/>
      <c r="BR2151" s="2126"/>
      <c r="BS2151" s="2126"/>
    </row>
    <row r="2152" spans="1:71" s="3030" customFormat="1">
      <c r="A2152" s="2126"/>
      <c r="B2152" s="2126"/>
      <c r="C2152" s="2149"/>
      <c r="D2152" s="3248"/>
      <c r="E2152" s="525"/>
      <c r="F2152" s="525"/>
      <c r="G2152" s="526"/>
      <c r="K2152" s="3280"/>
      <c r="P2152" s="3041"/>
      <c r="X2152" s="3280"/>
      <c r="AA2152" s="3041"/>
      <c r="AF2152" s="3041"/>
      <c r="AN2152" s="3280"/>
      <c r="AZ2152" s="3041"/>
      <c r="BD2152" s="3281"/>
      <c r="BH2152" s="3282"/>
      <c r="BJ2152" s="2589"/>
      <c r="BK2152" s="2126"/>
      <c r="BL2152" s="2126"/>
      <c r="BM2152" s="2126"/>
      <c r="BN2152" s="2126"/>
      <c r="BO2152" s="2126"/>
      <c r="BP2152" s="2126"/>
      <c r="BQ2152" s="2126"/>
      <c r="BR2152" s="2126"/>
      <c r="BS2152" s="2126"/>
    </row>
    <row r="2153" spans="1:71" s="3030" customFormat="1">
      <c r="A2153" s="2126"/>
      <c r="B2153" s="2126"/>
      <c r="C2153" s="2149"/>
      <c r="D2153" s="3248"/>
      <c r="E2153" s="525"/>
      <c r="F2153" s="525"/>
      <c r="G2153" s="526"/>
      <c r="K2153" s="3280"/>
      <c r="P2153" s="3041"/>
      <c r="X2153" s="3280"/>
      <c r="AA2153" s="3041"/>
      <c r="AF2153" s="3041"/>
      <c r="AN2153" s="3280"/>
      <c r="AZ2153" s="3041"/>
      <c r="BD2153" s="3281"/>
      <c r="BH2153" s="3282"/>
      <c r="BJ2153" s="2589"/>
      <c r="BK2153" s="2126"/>
      <c r="BL2153" s="2126"/>
      <c r="BM2153" s="2126"/>
      <c r="BN2153" s="2126"/>
      <c r="BO2153" s="2126"/>
      <c r="BP2153" s="2126"/>
      <c r="BQ2153" s="2126"/>
      <c r="BR2153" s="2126"/>
      <c r="BS2153" s="2126"/>
    </row>
    <row r="2154" spans="1:71" s="3030" customFormat="1">
      <c r="A2154" s="2126"/>
      <c r="B2154" s="2126"/>
      <c r="C2154" s="2149"/>
      <c r="D2154" s="3248"/>
      <c r="E2154" s="525"/>
      <c r="F2154" s="525"/>
      <c r="G2154" s="526"/>
      <c r="K2154" s="3280"/>
      <c r="P2154" s="3041"/>
      <c r="X2154" s="3280"/>
      <c r="AA2154" s="3041"/>
      <c r="AF2154" s="3041"/>
      <c r="AN2154" s="3280"/>
      <c r="AZ2154" s="3041"/>
      <c r="BD2154" s="3281"/>
      <c r="BH2154" s="3282"/>
      <c r="BJ2154" s="2589"/>
      <c r="BK2154" s="2126"/>
      <c r="BL2154" s="2126"/>
      <c r="BM2154" s="2126"/>
      <c r="BN2154" s="2126"/>
      <c r="BO2154" s="2126"/>
      <c r="BP2154" s="2126"/>
      <c r="BQ2154" s="2126"/>
      <c r="BR2154" s="2126"/>
      <c r="BS2154" s="2126"/>
    </row>
    <row r="2155" spans="1:71" s="3030" customFormat="1">
      <c r="A2155" s="2126"/>
      <c r="B2155" s="2126"/>
      <c r="C2155" s="2149"/>
      <c r="D2155" s="3248"/>
      <c r="E2155" s="525"/>
      <c r="F2155" s="525"/>
      <c r="G2155" s="526"/>
      <c r="K2155" s="3280"/>
      <c r="P2155" s="3041"/>
      <c r="X2155" s="3280"/>
      <c r="AA2155" s="3041"/>
      <c r="AF2155" s="3041"/>
      <c r="AN2155" s="3280"/>
      <c r="AZ2155" s="3041"/>
      <c r="BD2155" s="3281"/>
      <c r="BH2155" s="3282"/>
      <c r="BJ2155" s="2589"/>
      <c r="BK2155" s="2126"/>
      <c r="BL2155" s="2126"/>
      <c r="BM2155" s="2126"/>
      <c r="BN2155" s="2126"/>
      <c r="BO2155" s="2126"/>
      <c r="BP2155" s="2126"/>
      <c r="BQ2155" s="2126"/>
      <c r="BR2155" s="2126"/>
      <c r="BS2155" s="2126"/>
    </row>
    <row r="2156" spans="1:71" s="3030" customFormat="1">
      <c r="A2156" s="2126"/>
      <c r="B2156" s="2126"/>
      <c r="C2156" s="2149"/>
      <c r="D2156" s="3248"/>
      <c r="E2156" s="525"/>
      <c r="F2156" s="525"/>
      <c r="G2156" s="526"/>
      <c r="K2156" s="3280"/>
      <c r="P2156" s="3041"/>
      <c r="X2156" s="3280"/>
      <c r="AA2156" s="3041"/>
      <c r="AF2156" s="3041"/>
      <c r="AN2156" s="3280"/>
      <c r="AZ2156" s="3041"/>
      <c r="BD2156" s="3281"/>
      <c r="BH2156" s="3282"/>
      <c r="BJ2156" s="2589"/>
      <c r="BK2156" s="2126"/>
      <c r="BL2156" s="2126"/>
      <c r="BM2156" s="2126"/>
      <c r="BN2156" s="2126"/>
      <c r="BO2156" s="2126"/>
      <c r="BP2156" s="2126"/>
      <c r="BQ2156" s="2126"/>
      <c r="BR2156" s="2126"/>
      <c r="BS2156" s="2126"/>
    </row>
    <row r="2157" spans="1:71" s="3030" customFormat="1">
      <c r="A2157" s="2126"/>
      <c r="B2157" s="2126"/>
      <c r="C2157" s="2149"/>
      <c r="D2157" s="3248"/>
      <c r="E2157" s="525"/>
      <c r="F2157" s="525"/>
      <c r="G2157" s="526"/>
      <c r="K2157" s="3280"/>
      <c r="P2157" s="3041"/>
      <c r="X2157" s="3280"/>
      <c r="AA2157" s="3041"/>
      <c r="AF2157" s="3041"/>
      <c r="AN2157" s="3280"/>
      <c r="AZ2157" s="3041"/>
      <c r="BD2157" s="3281"/>
      <c r="BH2157" s="3282"/>
      <c r="BJ2157" s="2589"/>
      <c r="BK2157" s="2126"/>
      <c r="BL2157" s="2126"/>
      <c r="BM2157" s="2126"/>
      <c r="BN2157" s="2126"/>
      <c r="BO2157" s="2126"/>
      <c r="BP2157" s="2126"/>
      <c r="BQ2157" s="2126"/>
      <c r="BR2157" s="2126"/>
      <c r="BS2157" s="2126"/>
    </row>
    <row r="2158" spans="1:71" s="3030" customFormat="1">
      <c r="A2158" s="2126"/>
      <c r="B2158" s="2126"/>
      <c r="C2158" s="2149"/>
      <c r="D2158" s="3248"/>
      <c r="E2158" s="525"/>
      <c r="F2158" s="525"/>
      <c r="G2158" s="526"/>
      <c r="K2158" s="3280"/>
      <c r="P2158" s="3041"/>
      <c r="X2158" s="3280"/>
      <c r="AA2158" s="3041"/>
      <c r="AF2158" s="3041"/>
      <c r="AN2158" s="3280"/>
      <c r="AZ2158" s="3041"/>
      <c r="BD2158" s="3281"/>
      <c r="BH2158" s="3282"/>
      <c r="BJ2158" s="2589"/>
      <c r="BK2158" s="2126"/>
      <c r="BL2158" s="2126"/>
      <c r="BM2158" s="2126"/>
      <c r="BN2158" s="2126"/>
      <c r="BO2158" s="2126"/>
      <c r="BP2158" s="2126"/>
      <c r="BQ2158" s="2126"/>
      <c r="BR2158" s="2126"/>
      <c r="BS2158" s="2126"/>
    </row>
    <row r="2159" spans="1:71" s="3030" customFormat="1">
      <c r="A2159" s="2126"/>
      <c r="B2159" s="2126"/>
      <c r="C2159" s="2149"/>
      <c r="D2159" s="3248"/>
      <c r="E2159" s="525"/>
      <c r="F2159" s="525"/>
      <c r="G2159" s="526"/>
      <c r="K2159" s="3280"/>
      <c r="P2159" s="3041"/>
      <c r="X2159" s="3280"/>
      <c r="AA2159" s="3041"/>
      <c r="AF2159" s="3041"/>
      <c r="AN2159" s="3280"/>
      <c r="AZ2159" s="3041"/>
      <c r="BD2159" s="3281"/>
      <c r="BH2159" s="3282"/>
      <c r="BJ2159" s="2589"/>
      <c r="BK2159" s="2126"/>
      <c r="BL2159" s="2126"/>
      <c r="BM2159" s="2126"/>
      <c r="BN2159" s="2126"/>
      <c r="BO2159" s="2126"/>
      <c r="BP2159" s="2126"/>
      <c r="BQ2159" s="2126"/>
      <c r="BR2159" s="2126"/>
      <c r="BS2159" s="2126"/>
    </row>
    <row r="2160" spans="1:71" s="3030" customFormat="1">
      <c r="A2160" s="2126"/>
      <c r="B2160" s="2126"/>
      <c r="C2160" s="2149"/>
      <c r="D2160" s="3248"/>
      <c r="E2160" s="525"/>
      <c r="F2160" s="525"/>
      <c r="G2160" s="526"/>
      <c r="K2160" s="3280"/>
      <c r="P2160" s="3041"/>
      <c r="X2160" s="3280"/>
      <c r="AA2160" s="3041"/>
      <c r="AF2160" s="3041"/>
      <c r="AN2160" s="3280"/>
      <c r="AZ2160" s="3041"/>
      <c r="BD2160" s="3281"/>
      <c r="BH2160" s="3282"/>
      <c r="BJ2160" s="2589"/>
      <c r="BK2160" s="2126"/>
      <c r="BL2160" s="2126"/>
      <c r="BM2160" s="2126"/>
      <c r="BN2160" s="2126"/>
      <c r="BO2160" s="2126"/>
      <c r="BP2160" s="2126"/>
      <c r="BQ2160" s="2126"/>
      <c r="BR2160" s="2126"/>
      <c r="BS2160" s="2126"/>
    </row>
    <row r="2161" spans="1:71" s="3030" customFormat="1">
      <c r="A2161" s="2126"/>
      <c r="B2161" s="2126"/>
      <c r="C2161" s="2149"/>
      <c r="D2161" s="3248"/>
      <c r="E2161" s="525"/>
      <c r="F2161" s="525"/>
      <c r="G2161" s="526"/>
      <c r="K2161" s="3280"/>
      <c r="P2161" s="3041"/>
      <c r="X2161" s="3280"/>
      <c r="AA2161" s="3041"/>
      <c r="AF2161" s="3041"/>
      <c r="AN2161" s="3280"/>
      <c r="AZ2161" s="3041"/>
      <c r="BD2161" s="3281"/>
      <c r="BH2161" s="3282"/>
      <c r="BJ2161" s="2589"/>
      <c r="BK2161" s="2126"/>
      <c r="BL2161" s="2126"/>
      <c r="BM2161" s="2126"/>
      <c r="BN2161" s="2126"/>
      <c r="BO2161" s="2126"/>
      <c r="BP2161" s="2126"/>
      <c r="BQ2161" s="2126"/>
      <c r="BR2161" s="2126"/>
      <c r="BS2161" s="2126"/>
    </row>
    <row r="2162" spans="1:71" s="3030" customFormat="1">
      <c r="A2162" s="2126"/>
      <c r="B2162" s="2126"/>
      <c r="C2162" s="2149"/>
      <c r="D2162" s="3248"/>
      <c r="E2162" s="525"/>
      <c r="F2162" s="525"/>
      <c r="G2162" s="526"/>
      <c r="K2162" s="3280"/>
      <c r="P2162" s="3041"/>
      <c r="X2162" s="3280"/>
      <c r="AA2162" s="3041"/>
      <c r="AF2162" s="3041"/>
      <c r="AN2162" s="3280"/>
      <c r="AZ2162" s="3041"/>
      <c r="BD2162" s="3281"/>
      <c r="BH2162" s="3282"/>
      <c r="BJ2162" s="2589"/>
      <c r="BK2162" s="2126"/>
      <c r="BL2162" s="2126"/>
      <c r="BM2162" s="2126"/>
      <c r="BN2162" s="2126"/>
      <c r="BO2162" s="2126"/>
      <c r="BP2162" s="2126"/>
      <c r="BQ2162" s="2126"/>
      <c r="BR2162" s="2126"/>
      <c r="BS2162" s="2126"/>
    </row>
    <row r="2163" spans="1:71" s="3030" customFormat="1">
      <c r="A2163" s="2126"/>
      <c r="B2163" s="2126"/>
      <c r="C2163" s="2149"/>
      <c r="D2163" s="3248"/>
      <c r="E2163" s="525"/>
      <c r="F2163" s="525"/>
      <c r="G2163" s="526"/>
      <c r="K2163" s="3280"/>
      <c r="P2163" s="3041"/>
      <c r="X2163" s="3280"/>
      <c r="AA2163" s="3041"/>
      <c r="AF2163" s="3041"/>
      <c r="AN2163" s="3280"/>
      <c r="AZ2163" s="3041"/>
      <c r="BD2163" s="3281"/>
      <c r="BH2163" s="3282"/>
      <c r="BJ2163" s="2589"/>
      <c r="BK2163" s="2126"/>
      <c r="BL2163" s="2126"/>
      <c r="BM2163" s="2126"/>
      <c r="BN2163" s="2126"/>
      <c r="BO2163" s="2126"/>
      <c r="BP2163" s="2126"/>
      <c r="BQ2163" s="2126"/>
      <c r="BR2163" s="2126"/>
      <c r="BS2163" s="2126"/>
    </row>
    <row r="2164" spans="1:71" s="3030" customFormat="1">
      <c r="A2164" s="2126"/>
      <c r="B2164" s="2126"/>
      <c r="C2164" s="2149"/>
      <c r="D2164" s="3248"/>
      <c r="E2164" s="525"/>
      <c r="F2164" s="525"/>
      <c r="G2164" s="526"/>
      <c r="K2164" s="3280"/>
      <c r="P2164" s="3041"/>
      <c r="X2164" s="3280"/>
      <c r="AA2164" s="3041"/>
      <c r="AF2164" s="3041"/>
      <c r="AN2164" s="3280"/>
      <c r="AZ2164" s="3041"/>
      <c r="BD2164" s="3281"/>
      <c r="BH2164" s="3282"/>
      <c r="BJ2164" s="2589"/>
      <c r="BK2164" s="2126"/>
      <c r="BL2164" s="2126"/>
      <c r="BM2164" s="2126"/>
      <c r="BN2164" s="2126"/>
      <c r="BO2164" s="2126"/>
      <c r="BP2164" s="2126"/>
      <c r="BQ2164" s="2126"/>
      <c r="BR2164" s="2126"/>
      <c r="BS2164" s="2126"/>
    </row>
    <row r="2165" spans="1:71" s="3030" customFormat="1">
      <c r="A2165" s="2126"/>
      <c r="B2165" s="2126"/>
      <c r="C2165" s="2149"/>
      <c r="D2165" s="3248"/>
      <c r="E2165" s="525"/>
      <c r="F2165" s="525"/>
      <c r="G2165" s="526"/>
      <c r="K2165" s="3280"/>
      <c r="P2165" s="3041"/>
      <c r="X2165" s="3280"/>
      <c r="AA2165" s="3041"/>
      <c r="AF2165" s="3041"/>
      <c r="AN2165" s="3280"/>
      <c r="AZ2165" s="3041"/>
      <c r="BD2165" s="3281"/>
      <c r="BH2165" s="3282"/>
      <c r="BJ2165" s="2589"/>
      <c r="BK2165" s="2126"/>
      <c r="BL2165" s="2126"/>
      <c r="BM2165" s="2126"/>
      <c r="BN2165" s="2126"/>
      <c r="BO2165" s="2126"/>
      <c r="BP2165" s="2126"/>
      <c r="BQ2165" s="2126"/>
      <c r="BR2165" s="2126"/>
      <c r="BS2165" s="2126"/>
    </row>
    <row r="2166" spans="1:71" s="3030" customFormat="1">
      <c r="A2166" s="2126"/>
      <c r="B2166" s="2126"/>
      <c r="C2166" s="2149"/>
      <c r="D2166" s="3248"/>
      <c r="E2166" s="525"/>
      <c r="F2166" s="525"/>
      <c r="G2166" s="526"/>
      <c r="K2166" s="3280"/>
      <c r="P2166" s="3041"/>
      <c r="X2166" s="3280"/>
      <c r="AA2166" s="3041"/>
      <c r="AF2166" s="3041"/>
      <c r="AN2166" s="3280"/>
      <c r="AZ2166" s="3041"/>
      <c r="BD2166" s="3281"/>
      <c r="BH2166" s="3282"/>
      <c r="BJ2166" s="2589"/>
      <c r="BK2166" s="2126"/>
      <c r="BL2166" s="2126"/>
      <c r="BM2166" s="2126"/>
      <c r="BN2166" s="2126"/>
      <c r="BO2166" s="2126"/>
      <c r="BP2166" s="2126"/>
      <c r="BQ2166" s="2126"/>
      <c r="BR2166" s="2126"/>
      <c r="BS2166" s="2126"/>
    </row>
    <row r="2167" spans="1:71" s="3030" customFormat="1">
      <c r="A2167" s="2126"/>
      <c r="B2167" s="2126"/>
      <c r="C2167" s="2149"/>
      <c r="D2167" s="3248"/>
      <c r="E2167" s="525"/>
      <c r="F2167" s="525"/>
      <c r="G2167" s="526"/>
      <c r="K2167" s="3280"/>
      <c r="P2167" s="3041"/>
      <c r="X2167" s="3280"/>
      <c r="AA2167" s="3041"/>
      <c r="AF2167" s="3041"/>
      <c r="AN2167" s="3280"/>
      <c r="AZ2167" s="3041"/>
      <c r="BD2167" s="3281"/>
      <c r="BH2167" s="3282"/>
      <c r="BJ2167" s="2589"/>
      <c r="BK2167" s="2126"/>
      <c r="BL2167" s="2126"/>
      <c r="BM2167" s="2126"/>
      <c r="BN2167" s="2126"/>
      <c r="BO2167" s="2126"/>
      <c r="BP2167" s="2126"/>
      <c r="BQ2167" s="2126"/>
      <c r="BR2167" s="2126"/>
      <c r="BS2167" s="2126"/>
    </row>
    <row r="2168" spans="1:71" s="3030" customFormat="1">
      <c r="A2168" s="2126"/>
      <c r="B2168" s="2126"/>
      <c r="C2168" s="2149"/>
      <c r="D2168" s="3248"/>
      <c r="E2168" s="525"/>
      <c r="F2168" s="525"/>
      <c r="G2168" s="526"/>
      <c r="K2168" s="3280"/>
      <c r="P2168" s="3041"/>
      <c r="X2168" s="3280"/>
      <c r="AA2168" s="3041"/>
      <c r="AF2168" s="3041"/>
      <c r="AN2168" s="3280"/>
      <c r="AZ2168" s="3041"/>
      <c r="BD2168" s="3281"/>
      <c r="BH2168" s="3282"/>
      <c r="BJ2168" s="2589"/>
      <c r="BK2168" s="2126"/>
      <c r="BL2168" s="2126"/>
      <c r="BM2168" s="2126"/>
      <c r="BN2168" s="2126"/>
      <c r="BO2168" s="2126"/>
      <c r="BP2168" s="2126"/>
      <c r="BQ2168" s="2126"/>
      <c r="BR2168" s="2126"/>
      <c r="BS2168" s="2126"/>
    </row>
    <row r="2169" spans="1:71" s="3030" customFormat="1">
      <c r="A2169" s="2126"/>
      <c r="B2169" s="2126"/>
      <c r="C2169" s="2149"/>
      <c r="D2169" s="3248"/>
      <c r="E2169" s="525"/>
      <c r="F2169" s="525"/>
      <c r="G2169" s="526"/>
      <c r="K2169" s="3280"/>
      <c r="P2169" s="3041"/>
      <c r="X2169" s="3280"/>
      <c r="AA2169" s="3041"/>
      <c r="AF2169" s="3041"/>
      <c r="AN2169" s="3280"/>
      <c r="AZ2169" s="3041"/>
      <c r="BD2169" s="3281"/>
      <c r="BH2169" s="3282"/>
      <c r="BJ2169" s="2589"/>
      <c r="BK2169" s="2126"/>
      <c r="BL2169" s="2126"/>
      <c r="BM2169" s="2126"/>
      <c r="BN2169" s="2126"/>
      <c r="BO2169" s="2126"/>
      <c r="BP2169" s="2126"/>
      <c r="BQ2169" s="2126"/>
      <c r="BR2169" s="2126"/>
      <c r="BS2169" s="2126"/>
    </row>
    <row r="2170" spans="1:71" s="3030" customFormat="1">
      <c r="A2170" s="2126"/>
      <c r="B2170" s="2126"/>
      <c r="C2170" s="2149"/>
      <c r="D2170" s="3248"/>
      <c r="E2170" s="525"/>
      <c r="F2170" s="525"/>
      <c r="G2170" s="526"/>
      <c r="K2170" s="3280"/>
      <c r="P2170" s="3041"/>
      <c r="X2170" s="3280"/>
      <c r="AA2170" s="3041"/>
      <c r="AF2170" s="3041"/>
      <c r="AN2170" s="3280"/>
      <c r="AZ2170" s="3041"/>
      <c r="BD2170" s="3281"/>
      <c r="BH2170" s="3282"/>
      <c r="BJ2170" s="2589"/>
      <c r="BK2170" s="2126"/>
      <c r="BL2170" s="2126"/>
      <c r="BM2170" s="2126"/>
      <c r="BN2170" s="2126"/>
      <c r="BO2170" s="2126"/>
      <c r="BP2170" s="2126"/>
      <c r="BQ2170" s="2126"/>
      <c r="BR2170" s="2126"/>
      <c r="BS2170" s="2126"/>
    </row>
    <row r="2171" spans="1:71" s="3030" customFormat="1">
      <c r="A2171" s="2126"/>
      <c r="B2171" s="2126"/>
      <c r="C2171" s="2149"/>
      <c r="D2171" s="3248"/>
      <c r="E2171" s="525"/>
      <c r="F2171" s="525"/>
      <c r="G2171" s="526"/>
      <c r="K2171" s="3280"/>
      <c r="P2171" s="3041"/>
      <c r="X2171" s="3280"/>
      <c r="AA2171" s="3041"/>
      <c r="AF2171" s="3041"/>
      <c r="AN2171" s="3280"/>
      <c r="AZ2171" s="3041"/>
      <c r="BD2171" s="3281"/>
      <c r="BH2171" s="3282"/>
      <c r="BJ2171" s="2589"/>
      <c r="BK2171" s="2126"/>
      <c r="BL2171" s="2126"/>
      <c r="BM2171" s="2126"/>
      <c r="BN2171" s="2126"/>
      <c r="BO2171" s="2126"/>
      <c r="BP2171" s="2126"/>
      <c r="BQ2171" s="2126"/>
      <c r="BR2171" s="2126"/>
      <c r="BS2171" s="2126"/>
    </row>
    <row r="2172" spans="1:71" s="3030" customFormat="1">
      <c r="A2172" s="2126"/>
      <c r="B2172" s="2126"/>
      <c r="C2172" s="2149"/>
      <c r="D2172" s="3248"/>
      <c r="E2172" s="525"/>
      <c r="F2172" s="525"/>
      <c r="G2172" s="526"/>
      <c r="K2172" s="3280"/>
      <c r="P2172" s="3041"/>
      <c r="X2172" s="3280"/>
      <c r="AA2172" s="3041"/>
      <c r="AF2172" s="3041"/>
      <c r="AN2172" s="3280"/>
      <c r="AZ2172" s="3041"/>
      <c r="BD2172" s="3281"/>
      <c r="BH2172" s="3282"/>
      <c r="BJ2172" s="2589"/>
      <c r="BK2172" s="2126"/>
      <c r="BL2172" s="2126"/>
      <c r="BM2172" s="2126"/>
      <c r="BN2172" s="2126"/>
      <c r="BO2172" s="2126"/>
      <c r="BP2172" s="2126"/>
      <c r="BQ2172" s="2126"/>
      <c r="BR2172" s="2126"/>
      <c r="BS2172" s="2126"/>
    </row>
    <row r="2173" spans="1:71" s="3030" customFormat="1">
      <c r="A2173" s="2126"/>
      <c r="B2173" s="2126"/>
      <c r="C2173" s="2149"/>
      <c r="D2173" s="3248"/>
      <c r="E2173" s="525"/>
      <c r="F2173" s="525"/>
      <c r="G2173" s="526"/>
      <c r="K2173" s="3280"/>
      <c r="P2173" s="3041"/>
      <c r="X2173" s="3280"/>
      <c r="AA2173" s="3041"/>
      <c r="AF2173" s="3041"/>
      <c r="AN2173" s="3280"/>
      <c r="AZ2173" s="3041"/>
      <c r="BD2173" s="3281"/>
      <c r="BH2173" s="3282"/>
      <c r="BJ2173" s="2589"/>
      <c r="BK2173" s="2126"/>
      <c r="BL2173" s="2126"/>
      <c r="BM2173" s="2126"/>
      <c r="BN2173" s="2126"/>
      <c r="BO2173" s="2126"/>
      <c r="BP2173" s="2126"/>
      <c r="BQ2173" s="2126"/>
      <c r="BR2173" s="2126"/>
      <c r="BS2173" s="2126"/>
    </row>
    <row r="2174" spans="1:71" s="3030" customFormat="1">
      <c r="A2174" s="2126"/>
      <c r="B2174" s="2126"/>
      <c r="C2174" s="2149"/>
      <c r="D2174" s="3248"/>
      <c r="E2174" s="525"/>
      <c r="F2174" s="525"/>
      <c r="G2174" s="526"/>
      <c r="K2174" s="3280"/>
      <c r="P2174" s="3041"/>
      <c r="X2174" s="3280"/>
      <c r="AA2174" s="3041"/>
      <c r="AF2174" s="3041"/>
      <c r="AN2174" s="3280"/>
      <c r="AZ2174" s="3041"/>
      <c r="BD2174" s="3281"/>
      <c r="BH2174" s="3282"/>
      <c r="BJ2174" s="2589"/>
      <c r="BK2174" s="2126"/>
      <c r="BL2174" s="2126"/>
      <c r="BM2174" s="2126"/>
      <c r="BN2174" s="2126"/>
      <c r="BO2174" s="2126"/>
      <c r="BP2174" s="2126"/>
      <c r="BQ2174" s="2126"/>
      <c r="BR2174" s="2126"/>
      <c r="BS2174" s="2126"/>
    </row>
    <row r="2175" spans="1:71" s="3030" customFormat="1">
      <c r="A2175" s="2126"/>
      <c r="B2175" s="2126"/>
      <c r="C2175" s="2149"/>
      <c r="D2175" s="3248"/>
      <c r="E2175" s="525"/>
      <c r="F2175" s="525"/>
      <c r="G2175" s="526"/>
      <c r="K2175" s="3280"/>
      <c r="P2175" s="3041"/>
      <c r="X2175" s="3280"/>
      <c r="AA2175" s="3041"/>
      <c r="AF2175" s="3041"/>
      <c r="AN2175" s="3280"/>
      <c r="AZ2175" s="3041"/>
      <c r="BD2175" s="3281"/>
      <c r="BH2175" s="3282"/>
      <c r="BJ2175" s="2589"/>
      <c r="BK2175" s="2126"/>
      <c r="BL2175" s="2126"/>
      <c r="BM2175" s="2126"/>
      <c r="BN2175" s="2126"/>
      <c r="BO2175" s="2126"/>
      <c r="BP2175" s="2126"/>
      <c r="BQ2175" s="2126"/>
      <c r="BR2175" s="2126"/>
      <c r="BS2175" s="2126"/>
    </row>
    <row r="2176" spans="1:71" s="3030" customFormat="1">
      <c r="A2176" s="2126"/>
      <c r="B2176" s="2126"/>
      <c r="C2176" s="2149"/>
      <c r="D2176" s="3248"/>
      <c r="E2176" s="525"/>
      <c r="F2176" s="525"/>
      <c r="G2176" s="526"/>
      <c r="K2176" s="3280"/>
      <c r="P2176" s="3041"/>
      <c r="X2176" s="3280"/>
      <c r="AA2176" s="3041"/>
      <c r="AF2176" s="3041"/>
      <c r="AN2176" s="3280"/>
      <c r="AZ2176" s="3041"/>
      <c r="BD2176" s="3281"/>
      <c r="BH2176" s="3282"/>
      <c r="BJ2176" s="2589"/>
      <c r="BK2176" s="2126"/>
      <c r="BL2176" s="2126"/>
      <c r="BM2176" s="2126"/>
      <c r="BN2176" s="2126"/>
      <c r="BO2176" s="2126"/>
      <c r="BP2176" s="2126"/>
      <c r="BQ2176" s="2126"/>
      <c r="BR2176" s="2126"/>
      <c r="BS2176" s="2126"/>
    </row>
    <row r="2177" spans="1:71" s="3030" customFormat="1">
      <c r="A2177" s="2126"/>
      <c r="B2177" s="2126"/>
      <c r="C2177" s="2149"/>
      <c r="D2177" s="3248"/>
      <c r="E2177" s="525"/>
      <c r="F2177" s="525"/>
      <c r="G2177" s="526"/>
      <c r="K2177" s="3280"/>
      <c r="P2177" s="3041"/>
      <c r="X2177" s="3280"/>
      <c r="AA2177" s="3041"/>
      <c r="AF2177" s="3041"/>
      <c r="AN2177" s="3280"/>
      <c r="AZ2177" s="3041"/>
      <c r="BD2177" s="3281"/>
      <c r="BH2177" s="3282"/>
      <c r="BJ2177" s="2589"/>
      <c r="BK2177" s="2126"/>
      <c r="BL2177" s="2126"/>
      <c r="BM2177" s="2126"/>
      <c r="BN2177" s="2126"/>
      <c r="BO2177" s="2126"/>
      <c r="BP2177" s="2126"/>
      <c r="BQ2177" s="2126"/>
      <c r="BR2177" s="2126"/>
      <c r="BS2177" s="2126"/>
    </row>
    <row r="2178" spans="1:71" s="3030" customFormat="1">
      <c r="A2178" s="2126"/>
      <c r="B2178" s="2126"/>
      <c r="C2178" s="2149"/>
      <c r="D2178" s="3248"/>
      <c r="E2178" s="525"/>
      <c r="F2178" s="525"/>
      <c r="G2178" s="526"/>
      <c r="K2178" s="3280"/>
      <c r="P2178" s="3041"/>
      <c r="X2178" s="3280"/>
      <c r="AA2178" s="3041"/>
      <c r="AF2178" s="3041"/>
      <c r="AN2178" s="3280"/>
      <c r="AZ2178" s="3041"/>
      <c r="BD2178" s="3281"/>
      <c r="BH2178" s="3282"/>
      <c r="BJ2178" s="2589"/>
      <c r="BK2178" s="2126"/>
      <c r="BL2178" s="2126"/>
      <c r="BM2178" s="2126"/>
      <c r="BN2178" s="2126"/>
      <c r="BO2178" s="2126"/>
      <c r="BP2178" s="2126"/>
      <c r="BQ2178" s="2126"/>
      <c r="BR2178" s="2126"/>
      <c r="BS2178" s="2126"/>
    </row>
    <row r="2179" spans="1:71" s="3030" customFormat="1">
      <c r="A2179" s="2126"/>
      <c r="B2179" s="2126"/>
      <c r="C2179" s="2149"/>
      <c r="D2179" s="3248"/>
      <c r="E2179" s="525"/>
      <c r="F2179" s="525"/>
      <c r="G2179" s="526"/>
      <c r="K2179" s="3280"/>
      <c r="P2179" s="3041"/>
      <c r="X2179" s="3280"/>
      <c r="AA2179" s="3041"/>
      <c r="AF2179" s="3041"/>
      <c r="AN2179" s="3280"/>
      <c r="AZ2179" s="3041"/>
      <c r="BD2179" s="3281"/>
      <c r="BH2179" s="3282"/>
      <c r="BJ2179" s="2589"/>
      <c r="BK2179" s="2126"/>
      <c r="BL2179" s="2126"/>
      <c r="BM2179" s="2126"/>
      <c r="BN2179" s="2126"/>
      <c r="BO2179" s="2126"/>
      <c r="BP2179" s="2126"/>
      <c r="BQ2179" s="2126"/>
      <c r="BR2179" s="2126"/>
      <c r="BS2179" s="2126"/>
    </row>
    <row r="2180" spans="1:71" s="3030" customFormat="1">
      <c r="A2180" s="2126"/>
      <c r="B2180" s="2126"/>
      <c r="C2180" s="2149"/>
      <c r="D2180" s="3248"/>
      <c r="E2180" s="525"/>
      <c r="F2180" s="525"/>
      <c r="G2180" s="526"/>
      <c r="K2180" s="3280"/>
      <c r="P2180" s="3041"/>
      <c r="X2180" s="3280"/>
      <c r="AA2180" s="3041"/>
      <c r="AF2180" s="3041"/>
      <c r="AN2180" s="3280"/>
      <c r="AZ2180" s="3041"/>
      <c r="BD2180" s="3281"/>
      <c r="BH2180" s="3282"/>
      <c r="BJ2180" s="2589"/>
      <c r="BK2180" s="2126"/>
      <c r="BL2180" s="2126"/>
      <c r="BM2180" s="2126"/>
      <c r="BN2180" s="2126"/>
      <c r="BO2180" s="2126"/>
      <c r="BP2180" s="2126"/>
      <c r="BQ2180" s="2126"/>
      <c r="BR2180" s="2126"/>
      <c r="BS2180" s="2126"/>
    </row>
    <row r="2181" spans="1:71" s="3030" customFormat="1">
      <c r="A2181" s="2126"/>
      <c r="B2181" s="2126"/>
      <c r="C2181" s="2149"/>
      <c r="D2181" s="3248"/>
      <c r="E2181" s="525"/>
      <c r="F2181" s="525"/>
      <c r="G2181" s="526"/>
      <c r="K2181" s="3280"/>
      <c r="P2181" s="3041"/>
      <c r="X2181" s="3280"/>
      <c r="AA2181" s="3041"/>
      <c r="AF2181" s="3041"/>
      <c r="AN2181" s="3280"/>
      <c r="AZ2181" s="3041"/>
      <c r="BD2181" s="3281"/>
      <c r="BH2181" s="3282"/>
      <c r="BJ2181" s="2589"/>
      <c r="BK2181" s="2126"/>
      <c r="BL2181" s="2126"/>
      <c r="BM2181" s="2126"/>
      <c r="BN2181" s="2126"/>
      <c r="BO2181" s="2126"/>
      <c r="BP2181" s="2126"/>
      <c r="BQ2181" s="2126"/>
      <c r="BR2181" s="2126"/>
      <c r="BS2181" s="2126"/>
    </row>
    <row r="2182" spans="1:71" s="3030" customFormat="1">
      <c r="A2182" s="2126"/>
      <c r="B2182" s="2126"/>
      <c r="C2182" s="2149"/>
      <c r="D2182" s="3248"/>
      <c r="E2182" s="525"/>
      <c r="F2182" s="525"/>
      <c r="G2182" s="526"/>
      <c r="K2182" s="3280"/>
      <c r="P2182" s="3041"/>
      <c r="X2182" s="3280"/>
      <c r="AA2182" s="3041"/>
      <c r="AF2182" s="3041"/>
      <c r="AN2182" s="3280"/>
      <c r="AZ2182" s="3041"/>
      <c r="BD2182" s="3281"/>
      <c r="BH2182" s="3282"/>
      <c r="BJ2182" s="2589"/>
      <c r="BK2182" s="2126"/>
      <c r="BL2182" s="2126"/>
      <c r="BM2182" s="2126"/>
      <c r="BN2182" s="2126"/>
      <c r="BO2182" s="2126"/>
      <c r="BP2182" s="2126"/>
      <c r="BQ2182" s="2126"/>
      <c r="BR2182" s="2126"/>
      <c r="BS2182" s="2126"/>
    </row>
    <row r="2183" spans="1:71" s="3030" customFormat="1">
      <c r="A2183" s="2126"/>
      <c r="B2183" s="2126"/>
      <c r="C2183" s="2149"/>
      <c r="D2183" s="3248"/>
      <c r="E2183" s="525"/>
      <c r="F2183" s="525"/>
      <c r="G2183" s="526"/>
      <c r="K2183" s="3280"/>
      <c r="P2183" s="3041"/>
      <c r="X2183" s="3280"/>
      <c r="AA2183" s="3041"/>
      <c r="AF2183" s="3041"/>
      <c r="AN2183" s="3280"/>
      <c r="AZ2183" s="3041"/>
      <c r="BD2183" s="3281"/>
      <c r="BH2183" s="3282"/>
      <c r="BJ2183" s="2589"/>
      <c r="BK2183" s="2126"/>
      <c r="BL2183" s="2126"/>
      <c r="BM2183" s="2126"/>
      <c r="BN2183" s="2126"/>
      <c r="BO2183" s="2126"/>
      <c r="BP2183" s="2126"/>
      <c r="BQ2183" s="2126"/>
      <c r="BR2183" s="2126"/>
      <c r="BS2183" s="2126"/>
    </row>
    <row r="2184" spans="1:71" s="3030" customFormat="1">
      <c r="A2184" s="2126"/>
      <c r="B2184" s="2126"/>
      <c r="C2184" s="2149"/>
      <c r="D2184" s="3248"/>
      <c r="E2184" s="525"/>
      <c r="F2184" s="525"/>
      <c r="G2184" s="526"/>
      <c r="K2184" s="3280"/>
      <c r="P2184" s="3041"/>
      <c r="X2184" s="3280"/>
      <c r="AA2184" s="3041"/>
      <c r="AF2184" s="3041"/>
      <c r="AN2184" s="3280"/>
      <c r="AZ2184" s="3041"/>
      <c r="BD2184" s="3281"/>
      <c r="BH2184" s="3282"/>
      <c r="BJ2184" s="2589"/>
      <c r="BK2184" s="2126"/>
      <c r="BL2184" s="2126"/>
      <c r="BM2184" s="2126"/>
      <c r="BN2184" s="2126"/>
      <c r="BO2184" s="2126"/>
      <c r="BP2184" s="2126"/>
      <c r="BQ2184" s="2126"/>
      <c r="BR2184" s="2126"/>
      <c r="BS2184" s="2126"/>
    </row>
    <row r="2185" spans="1:71" s="3030" customFormat="1">
      <c r="A2185" s="2126"/>
      <c r="B2185" s="2126"/>
      <c r="C2185" s="2149"/>
      <c r="D2185" s="3248"/>
      <c r="E2185" s="525"/>
      <c r="F2185" s="525"/>
      <c r="G2185" s="526"/>
      <c r="K2185" s="3280"/>
      <c r="P2185" s="3041"/>
      <c r="X2185" s="3280"/>
      <c r="AA2185" s="3041"/>
      <c r="AF2185" s="3041"/>
      <c r="AN2185" s="3280"/>
      <c r="AZ2185" s="3041"/>
      <c r="BD2185" s="3281"/>
      <c r="BH2185" s="3282"/>
      <c r="BJ2185" s="2589"/>
      <c r="BK2185" s="2126"/>
      <c r="BL2185" s="2126"/>
      <c r="BM2185" s="2126"/>
      <c r="BN2185" s="2126"/>
      <c r="BO2185" s="2126"/>
      <c r="BP2185" s="2126"/>
      <c r="BQ2185" s="2126"/>
      <c r="BR2185" s="2126"/>
      <c r="BS2185" s="2126"/>
    </row>
    <row r="2186" spans="1:71" s="3030" customFormat="1">
      <c r="A2186" s="2126"/>
      <c r="B2186" s="2126"/>
      <c r="C2186" s="2149"/>
      <c r="D2186" s="3248"/>
      <c r="E2186" s="525"/>
      <c r="F2186" s="525"/>
      <c r="G2186" s="526"/>
      <c r="K2186" s="3280"/>
      <c r="P2186" s="3041"/>
      <c r="X2186" s="3280"/>
      <c r="AA2186" s="3041"/>
      <c r="AF2186" s="3041"/>
      <c r="AN2186" s="3280"/>
      <c r="AZ2186" s="3041"/>
      <c r="BD2186" s="3281"/>
      <c r="BH2186" s="3282"/>
      <c r="BJ2186" s="2589"/>
      <c r="BK2186" s="2126"/>
      <c r="BL2186" s="2126"/>
      <c r="BM2186" s="2126"/>
      <c r="BN2186" s="2126"/>
      <c r="BO2186" s="2126"/>
      <c r="BP2186" s="2126"/>
      <c r="BQ2186" s="2126"/>
      <c r="BR2186" s="2126"/>
      <c r="BS2186" s="2126"/>
    </row>
    <row r="2187" spans="1:71" s="3030" customFormat="1">
      <c r="A2187" s="2126"/>
      <c r="B2187" s="2126"/>
      <c r="C2187" s="2149"/>
      <c r="D2187" s="3248"/>
      <c r="E2187" s="525"/>
      <c r="F2187" s="525"/>
      <c r="G2187" s="526"/>
      <c r="K2187" s="3280"/>
      <c r="P2187" s="3041"/>
      <c r="X2187" s="3280"/>
      <c r="AA2187" s="3041"/>
      <c r="AF2187" s="3041"/>
      <c r="AN2187" s="3280"/>
      <c r="AZ2187" s="3041"/>
      <c r="BD2187" s="3281"/>
      <c r="BH2187" s="3282"/>
      <c r="BJ2187" s="2589"/>
      <c r="BK2187" s="2126"/>
      <c r="BL2187" s="2126"/>
      <c r="BM2187" s="2126"/>
      <c r="BN2187" s="2126"/>
      <c r="BO2187" s="2126"/>
      <c r="BP2187" s="2126"/>
      <c r="BQ2187" s="2126"/>
      <c r="BR2187" s="2126"/>
      <c r="BS2187" s="2126"/>
    </row>
    <row r="2188" spans="1:71" s="3030" customFormat="1">
      <c r="A2188" s="2126"/>
      <c r="B2188" s="2126"/>
      <c r="C2188" s="2149"/>
      <c r="D2188" s="3248"/>
      <c r="E2188" s="525"/>
      <c r="F2188" s="525"/>
      <c r="G2188" s="526"/>
      <c r="K2188" s="3280"/>
      <c r="P2188" s="3041"/>
      <c r="X2188" s="3280"/>
      <c r="AA2188" s="3041"/>
      <c r="AF2188" s="3041"/>
      <c r="AN2188" s="3280"/>
      <c r="AZ2188" s="3041"/>
      <c r="BD2188" s="3281"/>
      <c r="BH2188" s="3282"/>
      <c r="BJ2188" s="2589"/>
      <c r="BK2188" s="2126"/>
      <c r="BL2188" s="2126"/>
      <c r="BM2188" s="2126"/>
      <c r="BN2188" s="2126"/>
      <c r="BO2188" s="2126"/>
      <c r="BP2188" s="2126"/>
      <c r="BQ2188" s="2126"/>
      <c r="BR2188" s="2126"/>
      <c r="BS2188" s="2126"/>
    </row>
    <row r="2189" spans="1:71" s="3030" customFormat="1">
      <c r="A2189" s="2126"/>
      <c r="B2189" s="2126"/>
      <c r="C2189" s="2149"/>
      <c r="D2189" s="3248"/>
      <c r="E2189" s="525"/>
      <c r="F2189" s="525"/>
      <c r="G2189" s="526"/>
      <c r="K2189" s="3280"/>
      <c r="P2189" s="3041"/>
      <c r="X2189" s="3280"/>
      <c r="AA2189" s="3041"/>
      <c r="AF2189" s="3041"/>
      <c r="AN2189" s="3280"/>
      <c r="AZ2189" s="3041"/>
      <c r="BD2189" s="3281"/>
      <c r="BH2189" s="3282"/>
      <c r="BJ2189" s="2589"/>
      <c r="BK2189" s="2126"/>
      <c r="BL2189" s="2126"/>
      <c r="BM2189" s="2126"/>
      <c r="BN2189" s="2126"/>
      <c r="BO2189" s="2126"/>
      <c r="BP2189" s="2126"/>
      <c r="BQ2189" s="2126"/>
      <c r="BR2189" s="2126"/>
      <c r="BS2189" s="2126"/>
    </row>
    <row r="2190" spans="1:71" s="3030" customFormat="1">
      <c r="A2190" s="2126"/>
      <c r="B2190" s="2126"/>
      <c r="C2190" s="2149"/>
      <c r="D2190" s="3248"/>
      <c r="E2190" s="525"/>
      <c r="F2190" s="525"/>
      <c r="G2190" s="526"/>
      <c r="K2190" s="3280"/>
      <c r="P2190" s="3041"/>
      <c r="X2190" s="3280"/>
      <c r="AA2190" s="3041"/>
      <c r="AF2190" s="3041"/>
      <c r="AN2190" s="3280"/>
      <c r="AZ2190" s="3041"/>
      <c r="BD2190" s="3281"/>
      <c r="BH2190" s="3282"/>
      <c r="BJ2190" s="2589"/>
      <c r="BK2190" s="2126"/>
      <c r="BL2190" s="2126"/>
      <c r="BM2190" s="2126"/>
      <c r="BN2190" s="2126"/>
      <c r="BO2190" s="2126"/>
      <c r="BP2190" s="2126"/>
      <c r="BQ2190" s="2126"/>
      <c r="BR2190" s="2126"/>
      <c r="BS2190" s="2126"/>
    </row>
    <row r="2191" spans="1:71" s="3030" customFormat="1">
      <c r="A2191" s="2126"/>
      <c r="B2191" s="2126"/>
      <c r="C2191" s="2149"/>
      <c r="D2191" s="3248"/>
      <c r="E2191" s="525"/>
      <c r="F2191" s="525"/>
      <c r="G2191" s="526"/>
      <c r="K2191" s="3280"/>
      <c r="P2191" s="3041"/>
      <c r="X2191" s="3280"/>
      <c r="AA2191" s="3041"/>
      <c r="AF2191" s="3041"/>
      <c r="AN2191" s="3280"/>
      <c r="AZ2191" s="3041"/>
      <c r="BD2191" s="3281"/>
      <c r="BH2191" s="3282"/>
      <c r="BJ2191" s="2589"/>
      <c r="BK2191" s="2126"/>
      <c r="BL2191" s="2126"/>
      <c r="BM2191" s="2126"/>
      <c r="BN2191" s="2126"/>
      <c r="BO2191" s="2126"/>
      <c r="BP2191" s="2126"/>
      <c r="BQ2191" s="2126"/>
      <c r="BR2191" s="2126"/>
      <c r="BS2191" s="2126"/>
    </row>
    <row r="2192" spans="1:71" s="3030" customFormat="1">
      <c r="A2192" s="2126"/>
      <c r="B2192" s="2126"/>
      <c r="C2192" s="2149"/>
      <c r="D2192" s="3248"/>
      <c r="E2192" s="525"/>
      <c r="F2192" s="525"/>
      <c r="G2192" s="526"/>
      <c r="K2192" s="3280"/>
      <c r="P2192" s="3041"/>
      <c r="X2192" s="3280"/>
      <c r="AA2192" s="3041"/>
      <c r="AF2192" s="3041"/>
      <c r="AN2192" s="3280"/>
      <c r="AZ2192" s="3041"/>
      <c r="BD2192" s="3281"/>
      <c r="BH2192" s="3282"/>
      <c r="BJ2192" s="2589"/>
      <c r="BK2192" s="2126"/>
      <c r="BL2192" s="2126"/>
      <c r="BM2192" s="2126"/>
      <c r="BN2192" s="2126"/>
      <c r="BO2192" s="2126"/>
      <c r="BP2192" s="2126"/>
      <c r="BQ2192" s="2126"/>
      <c r="BR2192" s="2126"/>
      <c r="BS2192" s="2126"/>
    </row>
    <row r="2193" spans="1:71" s="3030" customFormat="1">
      <c r="A2193" s="2126"/>
      <c r="B2193" s="2126"/>
      <c r="C2193" s="2149"/>
      <c r="D2193" s="3248"/>
      <c r="E2193" s="525"/>
      <c r="F2193" s="525"/>
      <c r="G2193" s="526"/>
      <c r="K2193" s="3280"/>
      <c r="P2193" s="3041"/>
      <c r="X2193" s="3280"/>
      <c r="AA2193" s="3041"/>
      <c r="AF2193" s="3041"/>
      <c r="AN2193" s="3280"/>
      <c r="AZ2193" s="3041"/>
      <c r="BD2193" s="3281"/>
      <c r="BH2193" s="3282"/>
      <c r="BJ2193" s="2589"/>
      <c r="BK2193" s="2126"/>
      <c r="BL2193" s="2126"/>
      <c r="BM2193" s="2126"/>
      <c r="BN2193" s="2126"/>
      <c r="BO2193" s="2126"/>
      <c r="BP2193" s="2126"/>
      <c r="BQ2193" s="2126"/>
      <c r="BR2193" s="2126"/>
      <c r="BS2193" s="2126"/>
    </row>
    <row r="2194" spans="1:71" s="3030" customFormat="1">
      <c r="A2194" s="2126"/>
      <c r="B2194" s="2126"/>
      <c r="C2194" s="2149"/>
      <c r="D2194" s="3248"/>
      <c r="E2194" s="525"/>
      <c r="F2194" s="525"/>
      <c r="G2194" s="526"/>
      <c r="K2194" s="3280"/>
      <c r="P2194" s="3041"/>
      <c r="X2194" s="3280"/>
      <c r="AA2194" s="3041"/>
      <c r="AF2194" s="3041"/>
      <c r="AN2194" s="3280"/>
      <c r="AZ2194" s="3041"/>
      <c r="BD2194" s="3281"/>
      <c r="BH2194" s="3282"/>
      <c r="BJ2194" s="2589"/>
      <c r="BK2194" s="2126"/>
      <c r="BL2194" s="2126"/>
      <c r="BM2194" s="2126"/>
      <c r="BN2194" s="2126"/>
      <c r="BO2194" s="2126"/>
      <c r="BP2194" s="2126"/>
      <c r="BQ2194" s="2126"/>
      <c r="BR2194" s="2126"/>
      <c r="BS2194" s="2126"/>
    </row>
    <row r="2195" spans="1:71" s="3030" customFormat="1">
      <c r="A2195" s="2126"/>
      <c r="B2195" s="2126"/>
      <c r="C2195" s="2149"/>
      <c r="D2195" s="3248"/>
      <c r="E2195" s="525"/>
      <c r="F2195" s="525"/>
      <c r="G2195" s="526"/>
      <c r="K2195" s="3280"/>
      <c r="P2195" s="3041"/>
      <c r="X2195" s="3280"/>
      <c r="AA2195" s="3041"/>
      <c r="AF2195" s="3041"/>
      <c r="AN2195" s="3280"/>
      <c r="AZ2195" s="3041"/>
      <c r="BD2195" s="3281"/>
      <c r="BH2195" s="3282"/>
      <c r="BJ2195" s="2589"/>
      <c r="BK2195" s="2126"/>
      <c r="BL2195" s="2126"/>
      <c r="BM2195" s="2126"/>
      <c r="BN2195" s="2126"/>
      <c r="BO2195" s="2126"/>
      <c r="BP2195" s="2126"/>
      <c r="BQ2195" s="2126"/>
      <c r="BR2195" s="2126"/>
      <c r="BS2195" s="2126"/>
    </row>
    <row r="2196" spans="1:71" s="3030" customFormat="1">
      <c r="A2196" s="2126"/>
      <c r="B2196" s="2126"/>
      <c r="C2196" s="2149"/>
      <c r="D2196" s="3248"/>
      <c r="E2196" s="525"/>
      <c r="F2196" s="525"/>
      <c r="G2196" s="526"/>
      <c r="K2196" s="3280"/>
      <c r="P2196" s="3041"/>
      <c r="X2196" s="3280"/>
      <c r="AA2196" s="3041"/>
      <c r="AF2196" s="3041"/>
      <c r="AN2196" s="3280"/>
      <c r="AZ2196" s="3041"/>
      <c r="BD2196" s="3281"/>
      <c r="BH2196" s="3282"/>
      <c r="BJ2196" s="2589"/>
      <c r="BK2196" s="2126"/>
      <c r="BL2196" s="2126"/>
      <c r="BM2196" s="2126"/>
      <c r="BN2196" s="2126"/>
      <c r="BO2196" s="2126"/>
      <c r="BP2196" s="2126"/>
      <c r="BQ2196" s="2126"/>
      <c r="BR2196" s="2126"/>
      <c r="BS2196" s="2126"/>
    </row>
    <row r="2197" spans="1:71" s="3030" customFormat="1">
      <c r="A2197" s="2126"/>
      <c r="B2197" s="2126"/>
      <c r="C2197" s="2149"/>
      <c r="D2197" s="3248"/>
      <c r="E2197" s="525"/>
      <c r="F2197" s="525"/>
      <c r="G2197" s="526"/>
      <c r="K2197" s="3280"/>
      <c r="P2197" s="3041"/>
      <c r="X2197" s="3280"/>
      <c r="AA2197" s="3041"/>
      <c r="AF2197" s="3041"/>
      <c r="AN2197" s="3280"/>
      <c r="AZ2197" s="3041"/>
      <c r="BD2197" s="3281"/>
      <c r="BH2197" s="3282"/>
      <c r="BJ2197" s="2589"/>
      <c r="BK2197" s="2126"/>
      <c r="BL2197" s="2126"/>
      <c r="BM2197" s="2126"/>
      <c r="BN2197" s="2126"/>
      <c r="BO2197" s="2126"/>
      <c r="BP2197" s="2126"/>
      <c r="BQ2197" s="2126"/>
      <c r="BR2197" s="2126"/>
      <c r="BS2197" s="2126"/>
    </row>
    <row r="2198" spans="1:71" s="3030" customFormat="1">
      <c r="A2198" s="2126"/>
      <c r="B2198" s="2126"/>
      <c r="C2198" s="2149"/>
      <c r="D2198" s="3248"/>
      <c r="E2198" s="525"/>
      <c r="F2198" s="525"/>
      <c r="G2198" s="526"/>
      <c r="K2198" s="3280"/>
      <c r="P2198" s="3041"/>
      <c r="X2198" s="3280"/>
      <c r="AA2198" s="3041"/>
      <c r="AF2198" s="3041"/>
      <c r="AN2198" s="3280"/>
      <c r="AZ2198" s="3041"/>
      <c r="BD2198" s="3281"/>
      <c r="BH2198" s="3282"/>
      <c r="BJ2198" s="2589"/>
      <c r="BK2198" s="2126"/>
      <c r="BL2198" s="2126"/>
      <c r="BM2198" s="2126"/>
      <c r="BN2198" s="2126"/>
      <c r="BO2198" s="2126"/>
      <c r="BP2198" s="2126"/>
      <c r="BQ2198" s="2126"/>
      <c r="BR2198" s="2126"/>
      <c r="BS2198" s="2126"/>
    </row>
    <row r="2199" spans="1:71" s="3030" customFormat="1">
      <c r="A2199" s="2126"/>
      <c r="B2199" s="2126"/>
      <c r="C2199" s="2149"/>
      <c r="D2199" s="3248"/>
      <c r="E2199" s="525"/>
      <c r="F2199" s="525"/>
      <c r="G2199" s="526"/>
      <c r="K2199" s="3280"/>
      <c r="P2199" s="3041"/>
      <c r="X2199" s="3280"/>
      <c r="AA2199" s="3041"/>
      <c r="AF2199" s="3041"/>
      <c r="AN2199" s="3280"/>
      <c r="AZ2199" s="3041"/>
      <c r="BD2199" s="3281"/>
      <c r="BH2199" s="3282"/>
      <c r="BJ2199" s="2589"/>
      <c r="BK2199" s="2126"/>
      <c r="BL2199" s="2126"/>
      <c r="BM2199" s="2126"/>
      <c r="BN2199" s="2126"/>
      <c r="BO2199" s="2126"/>
      <c r="BP2199" s="2126"/>
      <c r="BQ2199" s="2126"/>
      <c r="BR2199" s="2126"/>
      <c r="BS2199" s="2126"/>
    </row>
    <row r="2200" spans="1:71" s="3030" customFormat="1">
      <c r="A2200" s="2126"/>
      <c r="B2200" s="2126"/>
      <c r="C2200" s="2149"/>
      <c r="D2200" s="3248"/>
      <c r="E2200" s="525"/>
      <c r="F2200" s="525"/>
      <c r="G2200" s="526"/>
      <c r="K2200" s="3280"/>
      <c r="P2200" s="3041"/>
      <c r="X2200" s="3280"/>
      <c r="AA2200" s="3041"/>
      <c r="AF2200" s="3041"/>
      <c r="AN2200" s="3280"/>
      <c r="AZ2200" s="3041"/>
      <c r="BD2200" s="3281"/>
      <c r="BH2200" s="3282"/>
      <c r="BJ2200" s="2589"/>
      <c r="BK2200" s="2126"/>
      <c r="BL2200" s="2126"/>
      <c r="BM2200" s="2126"/>
      <c r="BN2200" s="2126"/>
      <c r="BO2200" s="2126"/>
      <c r="BP2200" s="2126"/>
      <c r="BQ2200" s="2126"/>
      <c r="BR2200" s="2126"/>
      <c r="BS2200" s="2126"/>
    </row>
    <row r="2201" spans="1:71" s="3030" customFormat="1">
      <c r="A2201" s="2126"/>
      <c r="B2201" s="2126"/>
      <c r="C2201" s="2149"/>
      <c r="D2201" s="3248"/>
      <c r="E2201" s="525"/>
      <c r="F2201" s="525"/>
      <c r="G2201" s="526"/>
      <c r="K2201" s="3280"/>
      <c r="P2201" s="3041"/>
      <c r="X2201" s="3280"/>
      <c r="AA2201" s="3041"/>
      <c r="AF2201" s="3041"/>
      <c r="AN2201" s="3280"/>
      <c r="AZ2201" s="3041"/>
      <c r="BD2201" s="3281"/>
      <c r="BH2201" s="3282"/>
      <c r="BJ2201" s="2589"/>
      <c r="BK2201" s="2126"/>
      <c r="BL2201" s="2126"/>
      <c r="BM2201" s="2126"/>
      <c r="BN2201" s="2126"/>
      <c r="BO2201" s="2126"/>
      <c r="BP2201" s="2126"/>
      <c r="BQ2201" s="2126"/>
      <c r="BR2201" s="2126"/>
      <c r="BS2201" s="2126"/>
    </row>
    <row r="2202" spans="1:71" s="3030" customFormat="1">
      <c r="A2202" s="2126"/>
      <c r="B2202" s="2126"/>
      <c r="C2202" s="2149"/>
      <c r="D2202" s="3248"/>
      <c r="E2202" s="525"/>
      <c r="F2202" s="525"/>
      <c r="G2202" s="526"/>
      <c r="K2202" s="3280"/>
      <c r="P2202" s="3041"/>
      <c r="X2202" s="3280"/>
      <c r="AA2202" s="3041"/>
      <c r="AF2202" s="3041"/>
      <c r="AN2202" s="3280"/>
      <c r="AZ2202" s="3041"/>
      <c r="BD2202" s="3281"/>
      <c r="BH2202" s="3282"/>
      <c r="BJ2202" s="2589"/>
      <c r="BK2202" s="2126"/>
      <c r="BL2202" s="2126"/>
      <c r="BM2202" s="2126"/>
      <c r="BN2202" s="2126"/>
      <c r="BO2202" s="2126"/>
      <c r="BP2202" s="2126"/>
      <c r="BQ2202" s="2126"/>
      <c r="BR2202" s="2126"/>
      <c r="BS2202" s="2126"/>
    </row>
    <row r="2203" spans="1:71" s="3030" customFormat="1">
      <c r="A2203" s="2126"/>
      <c r="B2203" s="2126"/>
      <c r="C2203" s="2149"/>
      <c r="D2203" s="3248"/>
      <c r="E2203" s="525"/>
      <c r="F2203" s="525"/>
      <c r="G2203" s="526"/>
      <c r="K2203" s="3280"/>
      <c r="P2203" s="3041"/>
      <c r="X2203" s="3280"/>
      <c r="AA2203" s="3041"/>
      <c r="AF2203" s="3041"/>
      <c r="AN2203" s="3280"/>
      <c r="AZ2203" s="3041"/>
      <c r="BD2203" s="3281"/>
      <c r="BH2203" s="3282"/>
      <c r="BJ2203" s="2589"/>
      <c r="BK2203" s="2126"/>
      <c r="BL2203" s="2126"/>
      <c r="BM2203" s="2126"/>
      <c r="BN2203" s="2126"/>
      <c r="BO2203" s="2126"/>
      <c r="BP2203" s="2126"/>
      <c r="BQ2203" s="2126"/>
      <c r="BR2203" s="2126"/>
      <c r="BS2203" s="2126"/>
    </row>
    <row r="2204" spans="1:71" s="3030" customFormat="1">
      <c r="A2204" s="2126"/>
      <c r="B2204" s="2126"/>
      <c r="C2204" s="2149"/>
      <c r="D2204" s="3248"/>
      <c r="E2204" s="525"/>
      <c r="F2204" s="525"/>
      <c r="G2204" s="526"/>
      <c r="K2204" s="3280"/>
      <c r="P2204" s="3041"/>
      <c r="X2204" s="3280"/>
      <c r="AA2204" s="3041"/>
      <c r="AF2204" s="3041"/>
      <c r="AN2204" s="3280"/>
      <c r="AZ2204" s="3041"/>
      <c r="BD2204" s="3281"/>
      <c r="BH2204" s="3282"/>
      <c r="BJ2204" s="2589"/>
      <c r="BK2204" s="2126"/>
      <c r="BL2204" s="2126"/>
      <c r="BM2204" s="2126"/>
      <c r="BN2204" s="2126"/>
      <c r="BO2204" s="2126"/>
      <c r="BP2204" s="2126"/>
      <c r="BQ2204" s="2126"/>
      <c r="BR2204" s="2126"/>
      <c r="BS2204" s="2126"/>
    </row>
    <row r="2205" spans="1:71" s="3030" customFormat="1">
      <c r="A2205" s="2126"/>
      <c r="B2205" s="2126"/>
      <c r="C2205" s="2149"/>
      <c r="D2205" s="3248"/>
      <c r="E2205" s="525"/>
      <c r="F2205" s="525"/>
      <c r="G2205" s="526"/>
      <c r="K2205" s="3280"/>
      <c r="P2205" s="3041"/>
      <c r="X2205" s="3280"/>
      <c r="AA2205" s="3041"/>
      <c r="AF2205" s="3041"/>
      <c r="AN2205" s="3280"/>
      <c r="AZ2205" s="3041"/>
      <c r="BD2205" s="3281"/>
      <c r="BH2205" s="3282"/>
      <c r="BJ2205" s="2589"/>
      <c r="BK2205" s="2126"/>
      <c r="BL2205" s="2126"/>
      <c r="BM2205" s="2126"/>
      <c r="BN2205" s="2126"/>
      <c r="BO2205" s="2126"/>
      <c r="BP2205" s="2126"/>
      <c r="BQ2205" s="2126"/>
      <c r="BR2205" s="2126"/>
      <c r="BS2205" s="2126"/>
    </row>
    <row r="2206" spans="1:71" s="3030" customFormat="1">
      <c r="A2206" s="2126"/>
      <c r="B2206" s="2126"/>
      <c r="C2206" s="2149"/>
      <c r="D2206" s="3248"/>
      <c r="E2206" s="525"/>
      <c r="F2206" s="525"/>
      <c r="G2206" s="526"/>
      <c r="K2206" s="3280"/>
      <c r="P2206" s="3041"/>
      <c r="X2206" s="3280"/>
      <c r="AA2206" s="3041"/>
      <c r="AF2206" s="3041"/>
      <c r="AN2206" s="3280"/>
      <c r="AZ2206" s="3041"/>
      <c r="BD2206" s="3281"/>
      <c r="BH2206" s="3282"/>
      <c r="BJ2206" s="2589"/>
      <c r="BK2206" s="2126"/>
      <c r="BL2206" s="2126"/>
      <c r="BM2206" s="2126"/>
      <c r="BN2206" s="2126"/>
      <c r="BO2206" s="2126"/>
      <c r="BP2206" s="2126"/>
      <c r="BQ2206" s="2126"/>
      <c r="BR2206" s="2126"/>
      <c r="BS2206" s="2126"/>
    </row>
    <row r="2207" spans="1:71" s="3030" customFormat="1">
      <c r="A2207" s="2126"/>
      <c r="B2207" s="2126"/>
      <c r="C2207" s="2149"/>
      <c r="D2207" s="3248"/>
      <c r="E2207" s="525"/>
      <c r="F2207" s="525"/>
      <c r="G2207" s="526"/>
      <c r="K2207" s="3280"/>
      <c r="P2207" s="3041"/>
      <c r="X2207" s="3280"/>
      <c r="AA2207" s="3041"/>
      <c r="AF2207" s="3041"/>
      <c r="AN2207" s="3280"/>
      <c r="AZ2207" s="3041"/>
      <c r="BD2207" s="3281"/>
      <c r="BH2207" s="3282"/>
      <c r="BJ2207" s="2589"/>
      <c r="BK2207" s="2126"/>
      <c r="BL2207" s="2126"/>
      <c r="BM2207" s="2126"/>
      <c r="BN2207" s="2126"/>
      <c r="BO2207" s="2126"/>
      <c r="BP2207" s="2126"/>
      <c r="BQ2207" s="2126"/>
      <c r="BR2207" s="2126"/>
      <c r="BS2207" s="2126"/>
    </row>
    <row r="2208" spans="1:71" s="3030" customFormat="1">
      <c r="A2208" s="2126"/>
      <c r="B2208" s="2126"/>
      <c r="C2208" s="2149"/>
      <c r="D2208" s="3248"/>
      <c r="E2208" s="525"/>
      <c r="F2208" s="525"/>
      <c r="G2208" s="526"/>
      <c r="K2208" s="3280"/>
      <c r="P2208" s="3041"/>
      <c r="X2208" s="3280"/>
      <c r="AA2208" s="3041"/>
      <c r="AF2208" s="3041"/>
      <c r="AN2208" s="3280"/>
      <c r="AZ2208" s="3041"/>
      <c r="BD2208" s="3281"/>
      <c r="BH2208" s="3282"/>
      <c r="BJ2208" s="2589"/>
      <c r="BK2208" s="2126"/>
      <c r="BL2208" s="2126"/>
      <c r="BM2208" s="2126"/>
      <c r="BN2208" s="2126"/>
      <c r="BO2208" s="2126"/>
      <c r="BP2208" s="2126"/>
      <c r="BQ2208" s="2126"/>
      <c r="BR2208" s="2126"/>
      <c r="BS2208" s="2126"/>
    </row>
    <row r="2209" spans="1:71" s="3030" customFormat="1">
      <c r="A2209" s="2126"/>
      <c r="B2209" s="2126"/>
      <c r="C2209" s="2149"/>
      <c r="D2209" s="3248"/>
      <c r="E2209" s="525"/>
      <c r="F2209" s="525"/>
      <c r="G2209" s="526"/>
      <c r="K2209" s="3280"/>
      <c r="P2209" s="3041"/>
      <c r="X2209" s="3280"/>
      <c r="AA2209" s="3041"/>
      <c r="AF2209" s="3041"/>
      <c r="AN2209" s="3280"/>
      <c r="AZ2209" s="3041"/>
      <c r="BD2209" s="3281"/>
      <c r="BH2209" s="3282"/>
      <c r="BJ2209" s="2589"/>
      <c r="BK2209" s="2126"/>
      <c r="BL2209" s="2126"/>
      <c r="BM2209" s="2126"/>
      <c r="BN2209" s="2126"/>
      <c r="BO2209" s="2126"/>
      <c r="BP2209" s="2126"/>
      <c r="BQ2209" s="2126"/>
      <c r="BR2209" s="2126"/>
      <c r="BS2209" s="2126"/>
    </row>
    <row r="2210" spans="1:71" s="3030" customFormat="1">
      <c r="A2210" s="2126"/>
      <c r="B2210" s="2126"/>
      <c r="C2210" s="2149"/>
      <c r="D2210" s="3248"/>
      <c r="E2210" s="525"/>
      <c r="F2210" s="525"/>
      <c r="G2210" s="526"/>
      <c r="K2210" s="3280"/>
      <c r="P2210" s="3041"/>
      <c r="X2210" s="3280"/>
      <c r="AA2210" s="3041"/>
      <c r="AF2210" s="3041"/>
      <c r="AN2210" s="3280"/>
      <c r="AZ2210" s="3041"/>
      <c r="BD2210" s="3281"/>
      <c r="BH2210" s="3282"/>
      <c r="BJ2210" s="2589"/>
      <c r="BK2210" s="2126"/>
      <c r="BL2210" s="2126"/>
      <c r="BM2210" s="2126"/>
      <c r="BN2210" s="2126"/>
      <c r="BO2210" s="2126"/>
      <c r="BP2210" s="2126"/>
      <c r="BQ2210" s="2126"/>
      <c r="BR2210" s="2126"/>
      <c r="BS2210" s="2126"/>
    </row>
    <row r="2211" spans="1:71" s="3030" customFormat="1">
      <c r="A2211" s="2126"/>
      <c r="B2211" s="2126"/>
      <c r="C2211" s="2149"/>
      <c r="D2211" s="3248"/>
      <c r="E2211" s="525"/>
      <c r="F2211" s="525"/>
      <c r="G2211" s="526"/>
      <c r="K2211" s="3280"/>
      <c r="P2211" s="3041"/>
      <c r="X2211" s="3280"/>
      <c r="AA2211" s="3041"/>
      <c r="AF2211" s="3041"/>
      <c r="AN2211" s="3280"/>
      <c r="AZ2211" s="3041"/>
      <c r="BD2211" s="3281"/>
      <c r="BH2211" s="3282"/>
      <c r="BJ2211" s="2589"/>
      <c r="BK2211" s="2126"/>
      <c r="BL2211" s="2126"/>
      <c r="BM2211" s="2126"/>
      <c r="BN2211" s="2126"/>
      <c r="BO2211" s="2126"/>
      <c r="BP2211" s="2126"/>
      <c r="BQ2211" s="2126"/>
      <c r="BR2211" s="2126"/>
      <c r="BS2211" s="2126"/>
    </row>
    <row r="2212" spans="1:71" s="3030" customFormat="1">
      <c r="A2212" s="2126"/>
      <c r="B2212" s="2126"/>
      <c r="C2212" s="2149"/>
      <c r="D2212" s="3248"/>
      <c r="E2212" s="525"/>
      <c r="F2212" s="525"/>
      <c r="G2212" s="526"/>
      <c r="K2212" s="3280"/>
      <c r="P2212" s="3041"/>
      <c r="X2212" s="3280"/>
      <c r="AA2212" s="3041"/>
      <c r="AF2212" s="3041"/>
      <c r="AN2212" s="3280"/>
      <c r="AZ2212" s="3041"/>
      <c r="BD2212" s="3281"/>
      <c r="BH2212" s="3282"/>
      <c r="BJ2212" s="2589"/>
      <c r="BK2212" s="2126"/>
      <c r="BL2212" s="2126"/>
      <c r="BM2212" s="2126"/>
      <c r="BN2212" s="2126"/>
      <c r="BO2212" s="2126"/>
      <c r="BP2212" s="2126"/>
      <c r="BQ2212" s="2126"/>
      <c r="BR2212" s="2126"/>
      <c r="BS2212" s="2126"/>
    </row>
    <row r="2213" spans="1:71" s="3030" customFormat="1">
      <c r="A2213" s="2126"/>
      <c r="B2213" s="2126"/>
      <c r="C2213" s="2149"/>
      <c r="D2213" s="3248"/>
      <c r="E2213" s="525"/>
      <c r="F2213" s="525"/>
      <c r="G2213" s="526"/>
      <c r="K2213" s="3280"/>
      <c r="P2213" s="3041"/>
      <c r="X2213" s="3280"/>
      <c r="AA2213" s="3041"/>
      <c r="AF2213" s="3041"/>
      <c r="AN2213" s="3280"/>
      <c r="AZ2213" s="3041"/>
      <c r="BD2213" s="3281"/>
      <c r="BH2213" s="3282"/>
      <c r="BJ2213" s="2589"/>
      <c r="BK2213" s="2126"/>
      <c r="BL2213" s="2126"/>
      <c r="BM2213" s="2126"/>
      <c r="BN2213" s="2126"/>
      <c r="BO2213" s="2126"/>
      <c r="BP2213" s="2126"/>
      <c r="BQ2213" s="2126"/>
      <c r="BR2213" s="2126"/>
      <c r="BS2213" s="2126"/>
    </row>
    <row r="2214" spans="1:71" s="3030" customFormat="1">
      <c r="A2214" s="2126"/>
      <c r="B2214" s="2126"/>
      <c r="C2214" s="2149"/>
      <c r="D2214" s="3248"/>
      <c r="E2214" s="525"/>
      <c r="F2214" s="525"/>
      <c r="G2214" s="526"/>
      <c r="K2214" s="3280"/>
      <c r="P2214" s="3041"/>
      <c r="X2214" s="3280"/>
      <c r="AA2214" s="3041"/>
      <c r="AF2214" s="3041"/>
      <c r="AN2214" s="3280"/>
      <c r="AZ2214" s="3041"/>
      <c r="BD2214" s="3281"/>
      <c r="BH2214" s="3282"/>
      <c r="BJ2214" s="2589"/>
      <c r="BK2214" s="2126"/>
      <c r="BL2214" s="2126"/>
      <c r="BM2214" s="2126"/>
      <c r="BN2214" s="2126"/>
      <c r="BO2214" s="2126"/>
      <c r="BP2214" s="2126"/>
      <c r="BQ2214" s="2126"/>
      <c r="BR2214" s="2126"/>
      <c r="BS2214" s="2126"/>
    </row>
    <row r="2215" spans="1:71" s="3030" customFormat="1">
      <c r="A2215" s="2126"/>
      <c r="B2215" s="2126"/>
      <c r="C2215" s="2149"/>
      <c r="D2215" s="3248"/>
      <c r="E2215" s="525"/>
      <c r="F2215" s="525"/>
      <c r="G2215" s="526"/>
      <c r="K2215" s="3280"/>
      <c r="P2215" s="3041"/>
      <c r="X2215" s="3280"/>
      <c r="AA2215" s="3041"/>
      <c r="AF2215" s="3041"/>
      <c r="AN2215" s="3280"/>
      <c r="AZ2215" s="3041"/>
      <c r="BD2215" s="3281"/>
      <c r="BH2215" s="3282"/>
      <c r="BJ2215" s="2589"/>
      <c r="BK2215" s="2126"/>
      <c r="BL2215" s="2126"/>
      <c r="BM2215" s="2126"/>
      <c r="BN2215" s="2126"/>
      <c r="BO2215" s="2126"/>
      <c r="BP2215" s="2126"/>
      <c r="BQ2215" s="2126"/>
      <c r="BR2215" s="2126"/>
      <c r="BS2215" s="2126"/>
    </row>
    <row r="2216" spans="1:71" s="3030" customFormat="1">
      <c r="A2216" s="2126"/>
      <c r="B2216" s="2126"/>
      <c r="C2216" s="2149"/>
      <c r="D2216" s="3248"/>
      <c r="E2216" s="525"/>
      <c r="F2216" s="525"/>
      <c r="G2216" s="526"/>
      <c r="K2216" s="3280"/>
      <c r="P2216" s="3041"/>
      <c r="X2216" s="3280"/>
      <c r="AA2216" s="3041"/>
      <c r="AF2216" s="3041"/>
      <c r="AN2216" s="3280"/>
      <c r="AZ2216" s="3041"/>
      <c r="BD2216" s="3281"/>
      <c r="BH2216" s="3282"/>
      <c r="BJ2216" s="2589"/>
      <c r="BK2216" s="2126"/>
      <c r="BL2216" s="2126"/>
      <c r="BM2216" s="2126"/>
      <c r="BN2216" s="2126"/>
      <c r="BO2216" s="2126"/>
      <c r="BP2216" s="2126"/>
      <c r="BQ2216" s="2126"/>
      <c r="BR2216" s="2126"/>
      <c r="BS2216" s="2126"/>
    </row>
    <row r="2217" spans="1:71" s="3030" customFormat="1">
      <c r="A2217" s="2126"/>
      <c r="B2217" s="2126"/>
      <c r="C2217" s="2149"/>
      <c r="D2217" s="3248"/>
      <c r="E2217" s="525"/>
      <c r="F2217" s="525"/>
      <c r="G2217" s="526"/>
      <c r="K2217" s="3280"/>
      <c r="P2217" s="3041"/>
      <c r="X2217" s="3280"/>
      <c r="AA2217" s="3041"/>
      <c r="AF2217" s="3041"/>
      <c r="AN2217" s="3280"/>
      <c r="AZ2217" s="3041"/>
      <c r="BD2217" s="3281"/>
      <c r="BH2217" s="3282"/>
      <c r="BJ2217" s="2589"/>
      <c r="BK2217" s="2126"/>
      <c r="BL2217" s="2126"/>
      <c r="BM2217" s="2126"/>
      <c r="BN2217" s="2126"/>
      <c r="BO2217" s="2126"/>
      <c r="BP2217" s="2126"/>
      <c r="BQ2217" s="2126"/>
      <c r="BR2217" s="2126"/>
      <c r="BS2217" s="2126"/>
    </row>
    <row r="2218" spans="1:71" s="3030" customFormat="1">
      <c r="A2218" s="2126"/>
      <c r="B2218" s="2126"/>
      <c r="C2218" s="2149"/>
      <c r="D2218" s="3248"/>
      <c r="E2218" s="525"/>
      <c r="F2218" s="525"/>
      <c r="G2218" s="526"/>
      <c r="K2218" s="3280"/>
      <c r="P2218" s="3041"/>
      <c r="X2218" s="3280"/>
      <c r="AA2218" s="3041"/>
      <c r="AF2218" s="3041"/>
      <c r="AN2218" s="3280"/>
      <c r="AZ2218" s="3041"/>
      <c r="BD2218" s="3281"/>
      <c r="BH2218" s="3282"/>
      <c r="BJ2218" s="2589"/>
      <c r="BK2218" s="2126"/>
      <c r="BL2218" s="2126"/>
      <c r="BM2218" s="2126"/>
      <c r="BN2218" s="2126"/>
      <c r="BO2218" s="2126"/>
      <c r="BP2218" s="2126"/>
      <c r="BQ2218" s="2126"/>
      <c r="BR2218" s="2126"/>
      <c r="BS2218" s="2126"/>
    </row>
    <row r="2219" spans="1:71" s="3030" customFormat="1">
      <c r="A2219" s="2126"/>
      <c r="B2219" s="2126"/>
      <c r="C2219" s="2149"/>
      <c r="D2219" s="3248"/>
      <c r="E2219" s="525"/>
      <c r="F2219" s="525"/>
      <c r="G2219" s="526"/>
      <c r="K2219" s="3280"/>
      <c r="P2219" s="3041"/>
      <c r="X2219" s="3280"/>
      <c r="AA2219" s="3041"/>
      <c r="AF2219" s="3041"/>
      <c r="AN2219" s="3280"/>
      <c r="AZ2219" s="3041"/>
      <c r="BD2219" s="3281"/>
      <c r="BH2219" s="3282"/>
      <c r="BJ2219" s="2589"/>
      <c r="BK2219" s="2126"/>
      <c r="BL2219" s="2126"/>
      <c r="BM2219" s="2126"/>
      <c r="BN2219" s="2126"/>
      <c r="BO2219" s="2126"/>
      <c r="BP2219" s="2126"/>
      <c r="BQ2219" s="2126"/>
      <c r="BR2219" s="2126"/>
      <c r="BS2219" s="2126"/>
    </row>
    <row r="2220" spans="1:71" s="3030" customFormat="1">
      <c r="A2220" s="2126"/>
      <c r="B2220" s="2126"/>
      <c r="C2220" s="2149"/>
      <c r="D2220" s="3248"/>
      <c r="E2220" s="525"/>
      <c r="F2220" s="525"/>
      <c r="G2220" s="526"/>
      <c r="K2220" s="3280"/>
      <c r="P2220" s="3041"/>
      <c r="X2220" s="3280"/>
      <c r="AA2220" s="3041"/>
      <c r="AF2220" s="3041"/>
      <c r="AN2220" s="3280"/>
      <c r="AZ2220" s="3041"/>
      <c r="BD2220" s="3281"/>
      <c r="BH2220" s="3282"/>
      <c r="BJ2220" s="2589"/>
      <c r="BK2220" s="2126"/>
      <c r="BL2220" s="2126"/>
      <c r="BM2220" s="2126"/>
      <c r="BN2220" s="2126"/>
      <c r="BO2220" s="2126"/>
      <c r="BP2220" s="2126"/>
      <c r="BQ2220" s="2126"/>
      <c r="BR2220" s="2126"/>
      <c r="BS2220" s="2126"/>
    </row>
    <row r="2221" spans="1:71" s="3030" customFormat="1">
      <c r="A2221" s="2126"/>
      <c r="B2221" s="2126"/>
      <c r="C2221" s="2149"/>
      <c r="D2221" s="3248"/>
      <c r="E2221" s="525"/>
      <c r="F2221" s="525"/>
      <c r="G2221" s="526"/>
      <c r="K2221" s="3280"/>
      <c r="P2221" s="3041"/>
      <c r="X2221" s="3280"/>
      <c r="AA2221" s="3041"/>
      <c r="AF2221" s="3041"/>
      <c r="AN2221" s="3280"/>
      <c r="AZ2221" s="3041"/>
      <c r="BD2221" s="3281"/>
      <c r="BH2221" s="3282"/>
      <c r="BJ2221" s="2589"/>
      <c r="BK2221" s="2126"/>
      <c r="BL2221" s="2126"/>
      <c r="BM2221" s="2126"/>
      <c r="BN2221" s="2126"/>
      <c r="BO2221" s="2126"/>
      <c r="BP2221" s="2126"/>
      <c r="BQ2221" s="2126"/>
      <c r="BR2221" s="2126"/>
      <c r="BS2221" s="2126"/>
    </row>
    <row r="2222" spans="1:71" s="3030" customFormat="1">
      <c r="A2222" s="2126"/>
      <c r="B2222" s="2126"/>
      <c r="C2222" s="2149"/>
      <c r="D2222" s="3248"/>
      <c r="E2222" s="525"/>
      <c r="F2222" s="525"/>
      <c r="G2222" s="526"/>
      <c r="K2222" s="3280"/>
      <c r="P2222" s="3041"/>
      <c r="X2222" s="3280"/>
      <c r="AA2222" s="3041"/>
      <c r="AF2222" s="3041"/>
      <c r="AN2222" s="3280"/>
      <c r="AZ2222" s="3041"/>
      <c r="BD2222" s="3281"/>
      <c r="BH2222" s="3282"/>
      <c r="BJ2222" s="2589"/>
      <c r="BK2222" s="2126"/>
      <c r="BL2222" s="2126"/>
      <c r="BM2222" s="2126"/>
      <c r="BN2222" s="2126"/>
      <c r="BO2222" s="2126"/>
      <c r="BP2222" s="2126"/>
      <c r="BQ2222" s="2126"/>
      <c r="BR2222" s="2126"/>
      <c r="BS2222" s="2126"/>
    </row>
    <row r="2223" spans="1:71" s="3030" customFormat="1">
      <c r="A2223" s="2126"/>
      <c r="B2223" s="2126"/>
      <c r="C2223" s="2149"/>
      <c r="D2223" s="3248"/>
      <c r="E2223" s="525"/>
      <c r="F2223" s="525"/>
      <c r="G2223" s="526"/>
      <c r="K2223" s="3280"/>
      <c r="P2223" s="3041"/>
      <c r="X2223" s="3280"/>
      <c r="AA2223" s="3041"/>
      <c r="AF2223" s="3041"/>
      <c r="AN2223" s="3280"/>
      <c r="AZ2223" s="3041"/>
      <c r="BD2223" s="3281"/>
      <c r="BH2223" s="3282"/>
      <c r="BJ2223" s="2589"/>
      <c r="BK2223" s="2126"/>
      <c r="BL2223" s="2126"/>
      <c r="BM2223" s="2126"/>
      <c r="BN2223" s="2126"/>
      <c r="BO2223" s="2126"/>
      <c r="BP2223" s="2126"/>
      <c r="BQ2223" s="2126"/>
      <c r="BR2223" s="2126"/>
      <c r="BS2223" s="2126"/>
    </row>
    <row r="2224" spans="1:71" s="3030" customFormat="1">
      <c r="A2224" s="2126"/>
      <c r="B2224" s="2126"/>
      <c r="C2224" s="2149"/>
      <c r="D2224" s="3248"/>
      <c r="E2224" s="525"/>
      <c r="F2224" s="525"/>
      <c r="G2224" s="526"/>
      <c r="K2224" s="3280"/>
      <c r="P2224" s="3041"/>
      <c r="X2224" s="3280"/>
      <c r="AA2224" s="3041"/>
      <c r="AF2224" s="3041"/>
      <c r="AN2224" s="3280"/>
      <c r="AZ2224" s="3041"/>
      <c r="BD2224" s="3281"/>
      <c r="BH2224" s="3282"/>
      <c r="BJ2224" s="2589"/>
      <c r="BK2224" s="2126"/>
      <c r="BL2224" s="2126"/>
      <c r="BM2224" s="2126"/>
      <c r="BN2224" s="2126"/>
      <c r="BO2224" s="2126"/>
      <c r="BP2224" s="2126"/>
      <c r="BQ2224" s="2126"/>
      <c r="BR2224" s="2126"/>
      <c r="BS2224" s="2126"/>
    </row>
    <row r="2225" spans="1:71" s="3030" customFormat="1">
      <c r="A2225" s="2126"/>
      <c r="B2225" s="2126"/>
      <c r="C2225" s="2149"/>
      <c r="D2225" s="3248"/>
      <c r="E2225" s="525"/>
      <c r="F2225" s="525"/>
      <c r="G2225" s="526"/>
      <c r="K2225" s="3280"/>
      <c r="P2225" s="3041"/>
      <c r="X2225" s="3280"/>
      <c r="AA2225" s="3041"/>
      <c r="AF2225" s="3041"/>
      <c r="AN2225" s="3280"/>
      <c r="AZ2225" s="3041"/>
      <c r="BD2225" s="3281"/>
      <c r="BH2225" s="3282"/>
      <c r="BJ2225" s="2589"/>
      <c r="BK2225" s="2126"/>
      <c r="BL2225" s="2126"/>
      <c r="BM2225" s="2126"/>
      <c r="BN2225" s="2126"/>
      <c r="BO2225" s="2126"/>
      <c r="BP2225" s="2126"/>
      <c r="BQ2225" s="2126"/>
      <c r="BR2225" s="2126"/>
      <c r="BS2225" s="2126"/>
    </row>
    <row r="2226" spans="1:71" s="3030" customFormat="1">
      <c r="A2226" s="2126"/>
      <c r="B2226" s="2126"/>
      <c r="C2226" s="2149"/>
      <c r="D2226" s="3248"/>
      <c r="E2226" s="525"/>
      <c r="F2226" s="525"/>
      <c r="G2226" s="526"/>
      <c r="K2226" s="3280"/>
      <c r="P2226" s="3041"/>
      <c r="X2226" s="3280"/>
      <c r="AA2226" s="3041"/>
      <c r="AF2226" s="3041"/>
      <c r="AN2226" s="3280"/>
      <c r="AZ2226" s="3041"/>
      <c r="BD2226" s="3281"/>
      <c r="BH2226" s="3282"/>
      <c r="BJ2226" s="2589"/>
      <c r="BK2226" s="2126"/>
      <c r="BL2226" s="2126"/>
      <c r="BM2226" s="2126"/>
      <c r="BN2226" s="2126"/>
      <c r="BO2226" s="2126"/>
      <c r="BP2226" s="2126"/>
      <c r="BQ2226" s="2126"/>
      <c r="BR2226" s="2126"/>
      <c r="BS2226" s="2126"/>
    </row>
    <row r="2227" spans="1:71" s="3030" customFormat="1">
      <c r="A2227" s="2126"/>
      <c r="B2227" s="2126"/>
      <c r="C2227" s="2149"/>
      <c r="D2227" s="3248"/>
      <c r="E2227" s="525"/>
      <c r="F2227" s="525"/>
      <c r="G2227" s="526"/>
      <c r="K2227" s="3280"/>
      <c r="P2227" s="3041"/>
      <c r="X2227" s="3280"/>
      <c r="AA2227" s="3041"/>
      <c r="AF2227" s="3041"/>
      <c r="AN2227" s="3280"/>
      <c r="AZ2227" s="3041"/>
      <c r="BD2227" s="3281"/>
      <c r="BH2227" s="3282"/>
      <c r="BJ2227" s="2589"/>
      <c r="BK2227" s="2126"/>
      <c r="BL2227" s="2126"/>
      <c r="BM2227" s="2126"/>
      <c r="BN2227" s="2126"/>
      <c r="BO2227" s="2126"/>
      <c r="BP2227" s="2126"/>
      <c r="BQ2227" s="2126"/>
      <c r="BR2227" s="2126"/>
      <c r="BS2227" s="2126"/>
    </row>
    <row r="2228" spans="1:71" s="3030" customFormat="1">
      <c r="A2228" s="2126"/>
      <c r="B2228" s="2126"/>
      <c r="C2228" s="2149"/>
      <c r="D2228" s="3248"/>
      <c r="E2228" s="525"/>
      <c r="F2228" s="525"/>
      <c r="G2228" s="526"/>
      <c r="K2228" s="3280"/>
      <c r="P2228" s="3041"/>
      <c r="X2228" s="3280"/>
      <c r="AA2228" s="3041"/>
      <c r="AF2228" s="3041"/>
      <c r="AN2228" s="3280"/>
      <c r="AZ2228" s="3041"/>
      <c r="BD2228" s="3281"/>
      <c r="BH2228" s="3282"/>
      <c r="BJ2228" s="2589"/>
      <c r="BK2228" s="2126"/>
      <c r="BL2228" s="2126"/>
      <c r="BM2228" s="2126"/>
      <c r="BN2228" s="2126"/>
      <c r="BO2228" s="2126"/>
      <c r="BP2228" s="2126"/>
      <c r="BQ2228" s="2126"/>
      <c r="BR2228" s="2126"/>
      <c r="BS2228" s="2126"/>
    </row>
    <row r="2229" spans="1:71" s="3030" customFormat="1">
      <c r="A2229" s="2126"/>
      <c r="B2229" s="2126"/>
      <c r="C2229" s="2149"/>
      <c r="D2229" s="3248"/>
      <c r="E2229" s="525"/>
      <c r="F2229" s="525"/>
      <c r="G2229" s="526"/>
      <c r="K2229" s="3280"/>
      <c r="P2229" s="3041"/>
      <c r="X2229" s="3280"/>
      <c r="AA2229" s="3041"/>
      <c r="AF2229" s="3041"/>
      <c r="AN2229" s="3280"/>
      <c r="AZ2229" s="3041"/>
      <c r="BD2229" s="3281"/>
      <c r="BH2229" s="3282"/>
      <c r="BJ2229" s="2589"/>
      <c r="BK2229" s="2126"/>
      <c r="BL2229" s="2126"/>
      <c r="BM2229" s="2126"/>
      <c r="BN2229" s="2126"/>
      <c r="BO2229" s="2126"/>
      <c r="BP2229" s="2126"/>
      <c r="BQ2229" s="2126"/>
      <c r="BR2229" s="2126"/>
      <c r="BS2229" s="2126"/>
    </row>
    <row r="2230" spans="1:71" s="3030" customFormat="1">
      <c r="A2230" s="2126"/>
      <c r="B2230" s="2126"/>
      <c r="C2230" s="2149"/>
      <c r="D2230" s="3248"/>
      <c r="E2230" s="525"/>
      <c r="F2230" s="525"/>
      <c r="G2230" s="526"/>
      <c r="K2230" s="3280"/>
      <c r="P2230" s="3041"/>
      <c r="X2230" s="3280"/>
      <c r="AA2230" s="3041"/>
      <c r="AF2230" s="3041"/>
      <c r="AN2230" s="3280"/>
      <c r="AZ2230" s="3041"/>
      <c r="BD2230" s="3281"/>
      <c r="BH2230" s="3282"/>
      <c r="BJ2230" s="2589"/>
      <c r="BK2230" s="2126"/>
      <c r="BL2230" s="2126"/>
      <c r="BM2230" s="2126"/>
      <c r="BN2230" s="2126"/>
      <c r="BO2230" s="2126"/>
      <c r="BP2230" s="2126"/>
      <c r="BQ2230" s="2126"/>
      <c r="BR2230" s="2126"/>
      <c r="BS2230" s="2126"/>
    </row>
    <row r="2231" spans="1:71" s="3030" customFormat="1">
      <c r="A2231" s="2126"/>
      <c r="B2231" s="2126"/>
      <c r="C2231" s="2149"/>
      <c r="D2231" s="3248"/>
      <c r="E2231" s="525"/>
      <c r="F2231" s="525"/>
      <c r="G2231" s="526"/>
      <c r="K2231" s="3280"/>
      <c r="P2231" s="3041"/>
      <c r="X2231" s="3280"/>
      <c r="AA2231" s="3041"/>
      <c r="AF2231" s="3041"/>
      <c r="AN2231" s="3280"/>
      <c r="AZ2231" s="3041"/>
      <c r="BD2231" s="3281"/>
      <c r="BH2231" s="3282"/>
      <c r="BJ2231" s="2589"/>
      <c r="BK2231" s="2126"/>
      <c r="BL2231" s="2126"/>
      <c r="BM2231" s="2126"/>
      <c r="BN2231" s="2126"/>
      <c r="BO2231" s="2126"/>
      <c r="BP2231" s="2126"/>
      <c r="BQ2231" s="2126"/>
      <c r="BR2231" s="2126"/>
      <c r="BS2231" s="2126"/>
    </row>
    <row r="2232" spans="1:71" s="3030" customFormat="1">
      <c r="A2232" s="2126"/>
      <c r="B2232" s="2126"/>
      <c r="C2232" s="2149"/>
      <c r="D2232" s="3248"/>
      <c r="E2232" s="525"/>
      <c r="F2232" s="525"/>
      <c r="G2232" s="526"/>
      <c r="K2232" s="3280"/>
      <c r="P2232" s="3041"/>
      <c r="X2232" s="3280"/>
      <c r="AA2232" s="3041"/>
      <c r="AF2232" s="3041"/>
      <c r="AN2232" s="3280"/>
      <c r="AZ2232" s="3041"/>
      <c r="BD2232" s="3281"/>
      <c r="BH2232" s="3282"/>
      <c r="BJ2232" s="2589"/>
      <c r="BK2232" s="2126"/>
      <c r="BL2232" s="2126"/>
      <c r="BM2232" s="2126"/>
      <c r="BN2232" s="2126"/>
      <c r="BO2232" s="2126"/>
      <c r="BP2232" s="2126"/>
      <c r="BQ2232" s="2126"/>
      <c r="BR2232" s="2126"/>
      <c r="BS2232" s="2126"/>
    </row>
    <row r="2233" spans="1:71" s="3030" customFormat="1">
      <c r="A2233" s="2126"/>
      <c r="B2233" s="2126"/>
      <c r="C2233" s="2149"/>
      <c r="D2233" s="3248"/>
      <c r="E2233" s="525"/>
      <c r="F2233" s="525"/>
      <c r="G2233" s="526"/>
      <c r="K2233" s="3280"/>
      <c r="P2233" s="3041"/>
      <c r="X2233" s="3280"/>
      <c r="AA2233" s="3041"/>
      <c r="AF2233" s="3041"/>
      <c r="AN2233" s="3280"/>
      <c r="AZ2233" s="3041"/>
      <c r="BD2233" s="3281"/>
      <c r="BH2233" s="3282"/>
      <c r="BJ2233" s="2589"/>
      <c r="BK2233" s="2126"/>
      <c r="BL2233" s="2126"/>
      <c r="BM2233" s="2126"/>
      <c r="BN2233" s="2126"/>
      <c r="BO2233" s="2126"/>
      <c r="BP2233" s="2126"/>
      <c r="BQ2233" s="2126"/>
      <c r="BR2233" s="2126"/>
      <c r="BS2233" s="2126"/>
    </row>
    <row r="2234" spans="1:71" s="3030" customFormat="1">
      <c r="A2234" s="2126"/>
      <c r="B2234" s="2126"/>
      <c r="C2234" s="2149"/>
      <c r="D2234" s="3248"/>
      <c r="E2234" s="525"/>
      <c r="F2234" s="525"/>
      <c r="G2234" s="526"/>
      <c r="K2234" s="3280"/>
      <c r="P2234" s="3041"/>
      <c r="X2234" s="3280"/>
      <c r="AA2234" s="3041"/>
      <c r="AF2234" s="3041"/>
      <c r="AN2234" s="3280"/>
      <c r="AZ2234" s="3041"/>
      <c r="BD2234" s="3281"/>
      <c r="BH2234" s="3282"/>
      <c r="BJ2234" s="2589"/>
      <c r="BK2234" s="2126"/>
      <c r="BL2234" s="2126"/>
      <c r="BM2234" s="2126"/>
      <c r="BN2234" s="2126"/>
      <c r="BO2234" s="2126"/>
      <c r="BP2234" s="2126"/>
      <c r="BQ2234" s="2126"/>
      <c r="BR2234" s="2126"/>
      <c r="BS2234" s="2126"/>
    </row>
    <row r="2235" spans="1:71" s="3030" customFormat="1">
      <c r="A2235" s="2126"/>
      <c r="B2235" s="2126"/>
      <c r="C2235" s="2149"/>
      <c r="D2235" s="3248"/>
      <c r="E2235" s="525"/>
      <c r="F2235" s="525"/>
      <c r="G2235" s="526"/>
      <c r="K2235" s="3280"/>
      <c r="P2235" s="3041"/>
      <c r="X2235" s="3280"/>
      <c r="AA2235" s="3041"/>
      <c r="AF2235" s="3041"/>
      <c r="AN2235" s="3280"/>
      <c r="AZ2235" s="3041"/>
      <c r="BD2235" s="3281"/>
      <c r="BH2235" s="3282"/>
      <c r="BJ2235" s="2589"/>
      <c r="BK2235" s="2126"/>
      <c r="BL2235" s="2126"/>
      <c r="BM2235" s="2126"/>
      <c r="BN2235" s="2126"/>
      <c r="BO2235" s="2126"/>
      <c r="BP2235" s="2126"/>
      <c r="BQ2235" s="2126"/>
      <c r="BR2235" s="2126"/>
      <c r="BS2235" s="2126"/>
    </row>
    <row r="2236" spans="1:71" s="3030" customFormat="1">
      <c r="A2236" s="2126"/>
      <c r="B2236" s="2126"/>
      <c r="C2236" s="2149"/>
      <c r="D2236" s="3248"/>
      <c r="E2236" s="525"/>
      <c r="F2236" s="525"/>
      <c r="G2236" s="526"/>
      <c r="K2236" s="3280"/>
      <c r="P2236" s="3041"/>
      <c r="X2236" s="3280"/>
      <c r="AA2236" s="3041"/>
      <c r="AF2236" s="3041"/>
      <c r="AN2236" s="3280"/>
      <c r="AZ2236" s="3041"/>
      <c r="BD2236" s="3281"/>
      <c r="BH2236" s="3282"/>
      <c r="BJ2236" s="2589"/>
      <c r="BK2236" s="2126"/>
      <c r="BL2236" s="2126"/>
      <c r="BM2236" s="2126"/>
      <c r="BN2236" s="2126"/>
      <c r="BO2236" s="2126"/>
      <c r="BP2236" s="2126"/>
      <c r="BQ2236" s="2126"/>
      <c r="BR2236" s="2126"/>
      <c r="BS2236" s="2126"/>
    </row>
    <row r="2237" spans="1:71" s="3030" customFormat="1">
      <c r="A2237" s="2126"/>
      <c r="B2237" s="2126"/>
      <c r="C2237" s="2149"/>
      <c r="D2237" s="3248"/>
      <c r="E2237" s="525"/>
      <c r="F2237" s="525"/>
      <c r="G2237" s="526"/>
      <c r="K2237" s="3280"/>
      <c r="P2237" s="3041"/>
      <c r="X2237" s="3280"/>
      <c r="AA2237" s="3041"/>
      <c r="AF2237" s="3041"/>
      <c r="AN2237" s="3280"/>
      <c r="AZ2237" s="3041"/>
      <c r="BD2237" s="3281"/>
      <c r="BH2237" s="3282"/>
      <c r="BJ2237" s="2589"/>
      <c r="BK2237" s="2126"/>
      <c r="BL2237" s="2126"/>
      <c r="BM2237" s="2126"/>
      <c r="BN2237" s="2126"/>
      <c r="BO2237" s="2126"/>
      <c r="BP2237" s="2126"/>
      <c r="BQ2237" s="2126"/>
      <c r="BR2237" s="2126"/>
      <c r="BS2237" s="2126"/>
    </row>
    <row r="2238" spans="1:71" s="3030" customFormat="1">
      <c r="A2238" s="2126"/>
      <c r="B2238" s="2126"/>
      <c r="C2238" s="2149"/>
      <c r="D2238" s="3248"/>
      <c r="E2238" s="525"/>
      <c r="F2238" s="525"/>
      <c r="G2238" s="526"/>
      <c r="K2238" s="3280"/>
      <c r="P2238" s="3041"/>
      <c r="X2238" s="3280"/>
      <c r="AA2238" s="3041"/>
      <c r="AF2238" s="3041"/>
      <c r="AN2238" s="3280"/>
      <c r="AZ2238" s="3041"/>
      <c r="BD2238" s="3281"/>
      <c r="BH2238" s="3282"/>
      <c r="BJ2238" s="2589"/>
      <c r="BK2238" s="2126"/>
      <c r="BL2238" s="2126"/>
      <c r="BM2238" s="2126"/>
      <c r="BN2238" s="2126"/>
      <c r="BO2238" s="2126"/>
      <c r="BP2238" s="2126"/>
      <c r="BQ2238" s="2126"/>
      <c r="BR2238" s="2126"/>
      <c r="BS2238" s="2126"/>
    </row>
    <row r="2239" spans="1:71" s="3030" customFormat="1">
      <c r="A2239" s="2126"/>
      <c r="B2239" s="2126"/>
      <c r="C2239" s="2149"/>
      <c r="D2239" s="3248"/>
      <c r="E2239" s="525"/>
      <c r="F2239" s="525"/>
      <c r="G2239" s="526"/>
      <c r="K2239" s="3280"/>
      <c r="P2239" s="3041"/>
      <c r="X2239" s="3280"/>
      <c r="AA2239" s="3041"/>
      <c r="AF2239" s="3041"/>
      <c r="AN2239" s="3280"/>
      <c r="AZ2239" s="3041"/>
      <c r="BD2239" s="3281"/>
      <c r="BH2239" s="3282"/>
      <c r="BJ2239" s="2589"/>
      <c r="BK2239" s="2126"/>
      <c r="BL2239" s="2126"/>
      <c r="BM2239" s="2126"/>
      <c r="BN2239" s="2126"/>
      <c r="BO2239" s="2126"/>
      <c r="BP2239" s="2126"/>
      <c r="BQ2239" s="2126"/>
      <c r="BR2239" s="2126"/>
      <c r="BS2239" s="2126"/>
    </row>
    <row r="2240" spans="1:71" s="3030" customFormat="1">
      <c r="A2240" s="2126"/>
      <c r="B2240" s="2126"/>
      <c r="C2240" s="2149"/>
      <c r="D2240" s="3248"/>
      <c r="E2240" s="525"/>
      <c r="F2240" s="525"/>
      <c r="G2240" s="526"/>
      <c r="K2240" s="3280"/>
      <c r="P2240" s="3041"/>
      <c r="X2240" s="3280"/>
      <c r="AA2240" s="3041"/>
      <c r="AF2240" s="3041"/>
      <c r="AN2240" s="3280"/>
      <c r="AZ2240" s="3041"/>
      <c r="BD2240" s="3281"/>
      <c r="BH2240" s="3282"/>
      <c r="BJ2240" s="2589"/>
      <c r="BK2240" s="2126"/>
      <c r="BL2240" s="2126"/>
      <c r="BM2240" s="2126"/>
      <c r="BN2240" s="2126"/>
      <c r="BO2240" s="2126"/>
      <c r="BP2240" s="2126"/>
      <c r="BQ2240" s="2126"/>
      <c r="BR2240" s="2126"/>
      <c r="BS2240" s="2126"/>
    </row>
    <row r="2241" spans="1:71" s="3030" customFormat="1">
      <c r="A2241" s="2126"/>
      <c r="B2241" s="2126"/>
      <c r="C2241" s="2149"/>
      <c r="D2241" s="3248"/>
      <c r="E2241" s="525"/>
      <c r="F2241" s="525"/>
      <c r="G2241" s="526"/>
      <c r="K2241" s="3280"/>
      <c r="P2241" s="3041"/>
      <c r="X2241" s="3280"/>
      <c r="AA2241" s="3041"/>
      <c r="AF2241" s="3041"/>
      <c r="AN2241" s="3280"/>
      <c r="AZ2241" s="3041"/>
      <c r="BD2241" s="3281"/>
      <c r="BH2241" s="3282"/>
      <c r="BJ2241" s="2589"/>
      <c r="BK2241" s="2126"/>
      <c r="BL2241" s="2126"/>
      <c r="BM2241" s="2126"/>
      <c r="BN2241" s="2126"/>
      <c r="BO2241" s="2126"/>
      <c r="BP2241" s="2126"/>
      <c r="BQ2241" s="2126"/>
      <c r="BR2241" s="2126"/>
      <c r="BS2241" s="2126"/>
    </row>
    <row r="2242" spans="1:71" s="3030" customFormat="1">
      <c r="A2242" s="2126"/>
      <c r="B2242" s="2126"/>
      <c r="C2242" s="2149"/>
      <c r="D2242" s="3248"/>
      <c r="E2242" s="525"/>
      <c r="F2242" s="525"/>
      <c r="G2242" s="526"/>
      <c r="K2242" s="3280"/>
      <c r="P2242" s="3041"/>
      <c r="X2242" s="3280"/>
      <c r="AA2242" s="3041"/>
      <c r="AF2242" s="3041"/>
      <c r="AN2242" s="3280"/>
      <c r="AZ2242" s="3041"/>
      <c r="BD2242" s="3281"/>
      <c r="BH2242" s="3282"/>
      <c r="BJ2242" s="2589"/>
      <c r="BK2242" s="2126"/>
      <c r="BL2242" s="2126"/>
      <c r="BM2242" s="2126"/>
      <c r="BN2242" s="2126"/>
      <c r="BO2242" s="2126"/>
      <c r="BP2242" s="2126"/>
      <c r="BQ2242" s="2126"/>
      <c r="BR2242" s="2126"/>
      <c r="BS2242" s="2126"/>
    </row>
    <row r="2243" spans="1:71" s="3030" customFormat="1">
      <c r="A2243" s="2126"/>
      <c r="B2243" s="2126"/>
      <c r="C2243" s="2149"/>
      <c r="D2243" s="3248"/>
      <c r="E2243" s="525"/>
      <c r="F2243" s="525"/>
      <c r="G2243" s="526"/>
      <c r="K2243" s="3280"/>
      <c r="P2243" s="3041"/>
      <c r="X2243" s="3280"/>
      <c r="AA2243" s="3041"/>
      <c r="AF2243" s="3041"/>
      <c r="AN2243" s="3280"/>
      <c r="AZ2243" s="3041"/>
      <c r="BD2243" s="3281"/>
      <c r="BH2243" s="3282"/>
      <c r="BJ2243" s="2589"/>
      <c r="BK2243" s="2126"/>
      <c r="BL2243" s="2126"/>
      <c r="BM2243" s="2126"/>
      <c r="BN2243" s="2126"/>
      <c r="BO2243" s="2126"/>
      <c r="BP2243" s="2126"/>
      <c r="BQ2243" s="2126"/>
      <c r="BR2243" s="2126"/>
      <c r="BS2243" s="2126"/>
    </row>
    <row r="2244" spans="1:71" s="3030" customFormat="1">
      <c r="A2244" s="2126"/>
      <c r="B2244" s="2126"/>
      <c r="C2244" s="2149"/>
      <c r="D2244" s="3248"/>
      <c r="E2244" s="525"/>
      <c r="F2244" s="525"/>
      <c r="G2244" s="526"/>
      <c r="K2244" s="3280"/>
      <c r="P2244" s="3041"/>
      <c r="X2244" s="3280"/>
      <c r="AA2244" s="3041"/>
      <c r="AF2244" s="3041"/>
      <c r="AN2244" s="3280"/>
      <c r="AZ2244" s="3041"/>
      <c r="BD2244" s="3281"/>
      <c r="BH2244" s="3282"/>
      <c r="BJ2244" s="2589"/>
      <c r="BK2244" s="2126"/>
      <c r="BL2244" s="2126"/>
      <c r="BM2244" s="2126"/>
      <c r="BN2244" s="2126"/>
      <c r="BO2244" s="2126"/>
      <c r="BP2244" s="2126"/>
      <c r="BQ2244" s="2126"/>
      <c r="BR2244" s="2126"/>
      <c r="BS2244" s="2126"/>
    </row>
    <row r="2245" spans="1:71" s="3030" customFormat="1">
      <c r="A2245" s="2126"/>
      <c r="B2245" s="2126"/>
      <c r="C2245" s="2149"/>
      <c r="D2245" s="3248"/>
      <c r="E2245" s="525"/>
      <c r="F2245" s="525"/>
      <c r="G2245" s="526"/>
      <c r="K2245" s="3280"/>
      <c r="P2245" s="3041"/>
      <c r="X2245" s="3280"/>
      <c r="AA2245" s="3041"/>
      <c r="AF2245" s="3041"/>
      <c r="AN2245" s="3280"/>
      <c r="AZ2245" s="3041"/>
      <c r="BD2245" s="3281"/>
      <c r="BH2245" s="3282"/>
      <c r="BJ2245" s="2589"/>
      <c r="BK2245" s="2126"/>
      <c r="BL2245" s="2126"/>
      <c r="BM2245" s="2126"/>
      <c r="BN2245" s="2126"/>
      <c r="BO2245" s="2126"/>
      <c r="BP2245" s="2126"/>
      <c r="BQ2245" s="2126"/>
      <c r="BR2245" s="2126"/>
      <c r="BS2245" s="2126"/>
    </row>
    <row r="2246" spans="1:71" s="3030" customFormat="1">
      <c r="A2246" s="2126"/>
      <c r="B2246" s="2126"/>
      <c r="C2246" s="2149"/>
      <c r="D2246" s="3248"/>
      <c r="E2246" s="525"/>
      <c r="F2246" s="525"/>
      <c r="G2246" s="526"/>
      <c r="K2246" s="3280"/>
      <c r="P2246" s="3041"/>
      <c r="X2246" s="3280"/>
      <c r="AA2246" s="3041"/>
      <c r="AF2246" s="3041"/>
      <c r="AN2246" s="3280"/>
      <c r="AZ2246" s="3041"/>
      <c r="BD2246" s="3281"/>
      <c r="BH2246" s="3282"/>
      <c r="BJ2246" s="2589"/>
      <c r="BK2246" s="2126"/>
      <c r="BL2246" s="2126"/>
      <c r="BM2246" s="2126"/>
      <c r="BN2246" s="2126"/>
      <c r="BO2246" s="2126"/>
      <c r="BP2246" s="2126"/>
      <c r="BQ2246" s="2126"/>
      <c r="BR2246" s="2126"/>
      <c r="BS2246" s="2126"/>
    </row>
    <row r="2247" spans="1:71" s="3030" customFormat="1">
      <c r="A2247" s="2126"/>
      <c r="B2247" s="2126"/>
      <c r="C2247" s="2149"/>
      <c r="D2247" s="3248"/>
      <c r="E2247" s="525"/>
      <c r="F2247" s="525"/>
      <c r="G2247" s="526"/>
      <c r="K2247" s="3280"/>
      <c r="P2247" s="3041"/>
      <c r="X2247" s="3280"/>
      <c r="AA2247" s="3041"/>
      <c r="AF2247" s="3041"/>
      <c r="AN2247" s="3280"/>
      <c r="AZ2247" s="3041"/>
      <c r="BD2247" s="3281"/>
      <c r="BH2247" s="3282"/>
      <c r="BJ2247" s="2589"/>
      <c r="BK2247" s="2126"/>
      <c r="BL2247" s="2126"/>
      <c r="BM2247" s="2126"/>
      <c r="BN2247" s="2126"/>
      <c r="BO2247" s="2126"/>
      <c r="BP2247" s="2126"/>
      <c r="BQ2247" s="2126"/>
      <c r="BR2247" s="2126"/>
      <c r="BS2247" s="2126"/>
    </row>
    <row r="2248" spans="1:71" s="3030" customFormat="1">
      <c r="A2248" s="2126"/>
      <c r="B2248" s="2126"/>
      <c r="C2248" s="2149"/>
      <c r="D2248" s="3248"/>
      <c r="E2248" s="525"/>
      <c r="F2248" s="525"/>
      <c r="G2248" s="526"/>
      <c r="K2248" s="3280"/>
      <c r="P2248" s="3041"/>
      <c r="X2248" s="3280"/>
      <c r="AA2248" s="3041"/>
      <c r="AF2248" s="3041"/>
      <c r="AN2248" s="3280"/>
      <c r="AZ2248" s="3041"/>
      <c r="BD2248" s="3281"/>
      <c r="BH2248" s="3282"/>
      <c r="BJ2248" s="2589"/>
      <c r="BK2248" s="2126"/>
      <c r="BL2248" s="2126"/>
      <c r="BM2248" s="2126"/>
      <c r="BN2248" s="2126"/>
      <c r="BO2248" s="2126"/>
      <c r="BP2248" s="2126"/>
      <c r="BQ2248" s="2126"/>
      <c r="BR2248" s="2126"/>
      <c r="BS2248" s="2126"/>
    </row>
    <row r="2249" spans="1:71" s="3030" customFormat="1">
      <c r="A2249" s="2126"/>
      <c r="B2249" s="2126"/>
      <c r="C2249" s="2149"/>
      <c r="D2249" s="3248"/>
      <c r="E2249" s="525"/>
      <c r="F2249" s="525"/>
      <c r="G2249" s="526"/>
      <c r="K2249" s="3280"/>
      <c r="P2249" s="3041"/>
      <c r="X2249" s="3280"/>
      <c r="AA2249" s="3041"/>
      <c r="AF2249" s="3041"/>
      <c r="AN2249" s="3280"/>
      <c r="AZ2249" s="3041"/>
      <c r="BD2249" s="3281"/>
      <c r="BH2249" s="3282"/>
      <c r="BJ2249" s="2589"/>
      <c r="BK2249" s="2126"/>
      <c r="BL2249" s="2126"/>
      <c r="BM2249" s="2126"/>
      <c r="BN2249" s="2126"/>
      <c r="BO2249" s="2126"/>
      <c r="BP2249" s="2126"/>
      <c r="BQ2249" s="2126"/>
      <c r="BR2249" s="2126"/>
      <c r="BS2249" s="2126"/>
    </row>
    <row r="2250" spans="1:71" s="3030" customFormat="1">
      <c r="A2250" s="2126"/>
      <c r="B2250" s="2126"/>
      <c r="C2250" s="2149"/>
      <c r="D2250" s="3248"/>
      <c r="E2250" s="525"/>
      <c r="F2250" s="525"/>
      <c r="G2250" s="526"/>
      <c r="K2250" s="3280"/>
      <c r="P2250" s="3041"/>
      <c r="X2250" s="3280"/>
      <c r="AA2250" s="3041"/>
      <c r="AF2250" s="3041"/>
      <c r="AN2250" s="3280"/>
      <c r="AZ2250" s="3041"/>
      <c r="BD2250" s="3281"/>
      <c r="BH2250" s="3282"/>
      <c r="BJ2250" s="2589"/>
      <c r="BK2250" s="2126"/>
      <c r="BL2250" s="2126"/>
      <c r="BM2250" s="2126"/>
      <c r="BN2250" s="2126"/>
      <c r="BO2250" s="2126"/>
      <c r="BP2250" s="2126"/>
      <c r="BQ2250" s="2126"/>
      <c r="BR2250" s="2126"/>
      <c r="BS2250" s="2126"/>
    </row>
    <row r="2251" spans="1:71" s="3030" customFormat="1">
      <c r="A2251" s="2126"/>
      <c r="B2251" s="2126"/>
      <c r="C2251" s="2149"/>
      <c r="D2251" s="3248"/>
      <c r="E2251" s="525"/>
      <c r="F2251" s="525"/>
      <c r="G2251" s="526"/>
      <c r="K2251" s="3280"/>
      <c r="P2251" s="3041"/>
      <c r="X2251" s="3280"/>
      <c r="AA2251" s="3041"/>
      <c r="AF2251" s="3041"/>
      <c r="AN2251" s="3280"/>
      <c r="AZ2251" s="3041"/>
      <c r="BD2251" s="3281"/>
      <c r="BH2251" s="3282"/>
      <c r="BJ2251" s="2589"/>
      <c r="BK2251" s="2126"/>
      <c r="BL2251" s="2126"/>
      <c r="BM2251" s="2126"/>
      <c r="BN2251" s="2126"/>
      <c r="BO2251" s="2126"/>
      <c r="BP2251" s="2126"/>
      <c r="BQ2251" s="2126"/>
      <c r="BR2251" s="2126"/>
      <c r="BS2251" s="2126"/>
    </row>
    <row r="2252" spans="1:71" s="3030" customFormat="1">
      <c r="A2252" s="2126"/>
      <c r="B2252" s="2126"/>
      <c r="C2252" s="2149"/>
      <c r="D2252" s="3248"/>
      <c r="E2252" s="525"/>
      <c r="F2252" s="525"/>
      <c r="G2252" s="526"/>
      <c r="K2252" s="3280"/>
      <c r="P2252" s="3041"/>
      <c r="X2252" s="3280"/>
      <c r="AA2252" s="3041"/>
      <c r="AF2252" s="3041"/>
      <c r="AN2252" s="3280"/>
      <c r="AZ2252" s="3041"/>
      <c r="BD2252" s="3281"/>
      <c r="BH2252" s="3282"/>
      <c r="BJ2252" s="2589"/>
      <c r="BK2252" s="2126"/>
      <c r="BL2252" s="2126"/>
      <c r="BM2252" s="2126"/>
      <c r="BN2252" s="2126"/>
      <c r="BO2252" s="2126"/>
      <c r="BP2252" s="2126"/>
      <c r="BQ2252" s="2126"/>
      <c r="BR2252" s="2126"/>
      <c r="BS2252" s="2126"/>
    </row>
    <row r="2253" spans="1:71" s="3030" customFormat="1">
      <c r="A2253" s="2126"/>
      <c r="B2253" s="2126"/>
      <c r="C2253" s="2149"/>
      <c r="D2253" s="3248"/>
      <c r="E2253" s="525"/>
      <c r="F2253" s="525"/>
      <c r="G2253" s="526"/>
      <c r="K2253" s="3280"/>
      <c r="P2253" s="3041"/>
      <c r="X2253" s="3280"/>
      <c r="AA2253" s="3041"/>
      <c r="AF2253" s="3041"/>
      <c r="AN2253" s="3280"/>
      <c r="AZ2253" s="3041"/>
      <c r="BD2253" s="3281"/>
      <c r="BH2253" s="3282"/>
      <c r="BJ2253" s="2589"/>
      <c r="BK2253" s="2126"/>
      <c r="BL2253" s="2126"/>
      <c r="BM2253" s="2126"/>
      <c r="BN2253" s="2126"/>
      <c r="BO2253" s="2126"/>
      <c r="BP2253" s="2126"/>
      <c r="BQ2253" s="2126"/>
      <c r="BR2253" s="2126"/>
      <c r="BS2253" s="2126"/>
    </row>
    <row r="2254" spans="1:71" s="3030" customFormat="1">
      <c r="A2254" s="2126"/>
      <c r="B2254" s="2126"/>
      <c r="C2254" s="2149"/>
      <c r="D2254" s="3248"/>
      <c r="E2254" s="525"/>
      <c r="F2254" s="525"/>
      <c r="G2254" s="526"/>
      <c r="K2254" s="3280"/>
      <c r="P2254" s="3041"/>
      <c r="X2254" s="3280"/>
      <c r="AA2254" s="3041"/>
      <c r="AF2254" s="3041"/>
      <c r="AN2254" s="3280"/>
      <c r="AZ2254" s="3041"/>
      <c r="BD2254" s="3281"/>
      <c r="BH2254" s="3282"/>
      <c r="BJ2254" s="2589"/>
      <c r="BK2254" s="2126"/>
      <c r="BL2254" s="2126"/>
      <c r="BM2254" s="2126"/>
      <c r="BN2254" s="2126"/>
      <c r="BO2254" s="2126"/>
      <c r="BP2254" s="2126"/>
      <c r="BQ2254" s="2126"/>
      <c r="BR2254" s="2126"/>
      <c r="BS2254" s="2126"/>
    </row>
    <row r="2255" spans="1:71" s="3030" customFormat="1">
      <c r="A2255" s="2126"/>
      <c r="B2255" s="2126"/>
      <c r="C2255" s="2149"/>
      <c r="D2255" s="3248"/>
      <c r="E2255" s="525"/>
      <c r="F2255" s="525"/>
      <c r="G2255" s="526"/>
      <c r="K2255" s="3280"/>
      <c r="P2255" s="3041"/>
      <c r="X2255" s="3280"/>
      <c r="AA2255" s="3041"/>
      <c r="AF2255" s="3041"/>
      <c r="AN2255" s="3280"/>
      <c r="AZ2255" s="3041"/>
      <c r="BD2255" s="3281"/>
      <c r="BH2255" s="3282"/>
      <c r="BJ2255" s="2589"/>
      <c r="BK2255" s="2126"/>
      <c r="BL2255" s="2126"/>
      <c r="BM2255" s="2126"/>
      <c r="BN2255" s="2126"/>
      <c r="BO2255" s="2126"/>
      <c r="BP2255" s="2126"/>
      <c r="BQ2255" s="2126"/>
      <c r="BR2255" s="2126"/>
      <c r="BS2255" s="2126"/>
    </row>
    <row r="2256" spans="1:71" s="3030" customFormat="1">
      <c r="A2256" s="2126"/>
      <c r="B2256" s="2126"/>
      <c r="C2256" s="2149"/>
      <c r="D2256" s="3248"/>
      <c r="E2256" s="525"/>
      <c r="F2256" s="525"/>
      <c r="G2256" s="526"/>
      <c r="K2256" s="3280"/>
      <c r="P2256" s="3041"/>
      <c r="X2256" s="3280"/>
      <c r="AA2256" s="3041"/>
      <c r="AF2256" s="3041"/>
      <c r="AN2256" s="3280"/>
      <c r="AZ2256" s="3041"/>
      <c r="BD2256" s="3281"/>
      <c r="BH2256" s="3282"/>
      <c r="BJ2256" s="2589"/>
      <c r="BK2256" s="2126"/>
      <c r="BL2256" s="2126"/>
      <c r="BM2256" s="2126"/>
      <c r="BN2256" s="2126"/>
      <c r="BO2256" s="2126"/>
      <c r="BP2256" s="2126"/>
      <c r="BQ2256" s="2126"/>
      <c r="BR2256" s="2126"/>
      <c r="BS2256" s="2126"/>
    </row>
    <row r="2257" spans="1:71" s="3030" customFormat="1">
      <c r="A2257" s="2126"/>
      <c r="B2257" s="2126"/>
      <c r="C2257" s="2149"/>
      <c r="D2257" s="3248"/>
      <c r="E2257" s="525"/>
      <c r="F2257" s="525"/>
      <c r="G2257" s="526"/>
      <c r="K2257" s="3280"/>
      <c r="P2257" s="3041"/>
      <c r="X2257" s="3280"/>
      <c r="AA2257" s="3041"/>
      <c r="AF2257" s="3041"/>
      <c r="AN2257" s="3280"/>
      <c r="AZ2257" s="3041"/>
      <c r="BD2257" s="3281"/>
      <c r="BH2257" s="3282"/>
      <c r="BJ2257" s="2589"/>
      <c r="BK2257" s="2126"/>
      <c r="BL2257" s="2126"/>
      <c r="BM2257" s="2126"/>
      <c r="BN2257" s="2126"/>
      <c r="BO2257" s="2126"/>
      <c r="BP2257" s="2126"/>
      <c r="BQ2257" s="2126"/>
      <c r="BR2257" s="2126"/>
      <c r="BS2257" s="2126"/>
    </row>
    <row r="2258" spans="1:71" s="3030" customFormat="1">
      <c r="A2258" s="2126"/>
      <c r="B2258" s="2126"/>
      <c r="C2258" s="2149"/>
      <c r="D2258" s="3248"/>
      <c r="E2258" s="525"/>
      <c r="F2258" s="525"/>
      <c r="G2258" s="526"/>
      <c r="K2258" s="3280"/>
      <c r="P2258" s="3041"/>
      <c r="X2258" s="3280"/>
      <c r="AA2258" s="3041"/>
      <c r="AF2258" s="3041"/>
      <c r="AN2258" s="3280"/>
      <c r="AZ2258" s="3041"/>
      <c r="BD2258" s="3281"/>
      <c r="BH2258" s="3282"/>
      <c r="BJ2258" s="2589"/>
      <c r="BK2258" s="2126"/>
      <c r="BL2258" s="2126"/>
      <c r="BM2258" s="2126"/>
      <c r="BN2258" s="2126"/>
      <c r="BO2258" s="2126"/>
      <c r="BP2258" s="2126"/>
      <c r="BQ2258" s="2126"/>
      <c r="BR2258" s="2126"/>
      <c r="BS2258" s="2126"/>
    </row>
    <row r="2259" spans="1:71" s="3030" customFormat="1">
      <c r="A2259" s="2126"/>
      <c r="B2259" s="2126"/>
      <c r="C2259" s="2149"/>
      <c r="D2259" s="3248"/>
      <c r="E2259" s="525"/>
      <c r="F2259" s="525"/>
      <c r="G2259" s="526"/>
      <c r="K2259" s="3280"/>
      <c r="P2259" s="3041"/>
      <c r="X2259" s="3280"/>
      <c r="AA2259" s="3041"/>
      <c r="AF2259" s="3041"/>
      <c r="AN2259" s="3280"/>
      <c r="AZ2259" s="3041"/>
      <c r="BD2259" s="3281"/>
      <c r="BH2259" s="3282"/>
      <c r="BJ2259" s="2589"/>
      <c r="BK2259" s="2126"/>
      <c r="BL2259" s="2126"/>
      <c r="BM2259" s="2126"/>
      <c r="BN2259" s="2126"/>
      <c r="BO2259" s="2126"/>
      <c r="BP2259" s="2126"/>
      <c r="BQ2259" s="2126"/>
      <c r="BR2259" s="2126"/>
      <c r="BS2259" s="2126"/>
    </row>
    <row r="2260" spans="1:71" s="3030" customFormat="1">
      <c r="A2260" s="2126"/>
      <c r="B2260" s="2126"/>
      <c r="C2260" s="2149"/>
      <c r="D2260" s="3248"/>
      <c r="E2260" s="525"/>
      <c r="F2260" s="525"/>
      <c r="G2260" s="526"/>
      <c r="K2260" s="3280"/>
      <c r="P2260" s="3041"/>
      <c r="X2260" s="3280"/>
      <c r="AA2260" s="3041"/>
      <c r="AF2260" s="3041"/>
      <c r="AN2260" s="3280"/>
      <c r="AZ2260" s="3041"/>
      <c r="BD2260" s="3281"/>
      <c r="BH2260" s="3282"/>
      <c r="BJ2260" s="2589"/>
      <c r="BK2260" s="2126"/>
      <c r="BL2260" s="2126"/>
      <c r="BM2260" s="2126"/>
      <c r="BN2260" s="2126"/>
      <c r="BO2260" s="2126"/>
      <c r="BP2260" s="2126"/>
      <c r="BQ2260" s="2126"/>
      <c r="BR2260" s="2126"/>
      <c r="BS2260" s="2126"/>
    </row>
    <row r="2261" spans="1:71" s="3030" customFormat="1">
      <c r="A2261" s="2126"/>
      <c r="B2261" s="2126"/>
      <c r="C2261" s="2149"/>
      <c r="D2261" s="3248"/>
      <c r="E2261" s="525"/>
      <c r="F2261" s="525"/>
      <c r="G2261" s="526"/>
      <c r="K2261" s="3280"/>
      <c r="P2261" s="3041"/>
      <c r="X2261" s="3280"/>
      <c r="AA2261" s="3041"/>
      <c r="AF2261" s="3041"/>
      <c r="AN2261" s="3280"/>
      <c r="AZ2261" s="3041"/>
      <c r="BD2261" s="3281"/>
      <c r="BH2261" s="3282"/>
      <c r="BJ2261" s="2589"/>
      <c r="BK2261" s="2126"/>
      <c r="BL2261" s="2126"/>
      <c r="BM2261" s="2126"/>
      <c r="BN2261" s="2126"/>
      <c r="BO2261" s="2126"/>
      <c r="BP2261" s="2126"/>
      <c r="BQ2261" s="2126"/>
      <c r="BR2261" s="2126"/>
      <c r="BS2261" s="2126"/>
    </row>
    <row r="2262" spans="1:71" s="3030" customFormat="1">
      <c r="A2262" s="2126"/>
      <c r="B2262" s="2126"/>
      <c r="C2262" s="2149"/>
      <c r="D2262" s="3248"/>
      <c r="E2262" s="525"/>
      <c r="F2262" s="525"/>
      <c r="G2262" s="526"/>
      <c r="K2262" s="3280"/>
      <c r="P2262" s="3041"/>
      <c r="X2262" s="3280"/>
      <c r="AA2262" s="3041"/>
      <c r="AF2262" s="3041"/>
      <c r="AN2262" s="3280"/>
      <c r="AZ2262" s="3041"/>
      <c r="BD2262" s="3281"/>
      <c r="BH2262" s="3282"/>
      <c r="BJ2262" s="2589"/>
      <c r="BK2262" s="2126"/>
      <c r="BL2262" s="2126"/>
      <c r="BM2262" s="2126"/>
      <c r="BN2262" s="2126"/>
      <c r="BO2262" s="2126"/>
      <c r="BP2262" s="2126"/>
      <c r="BQ2262" s="2126"/>
      <c r="BR2262" s="2126"/>
      <c r="BS2262" s="2126"/>
    </row>
    <row r="2263" spans="1:71" s="3030" customFormat="1">
      <c r="A2263" s="2126"/>
      <c r="B2263" s="2126"/>
      <c r="C2263" s="2149"/>
      <c r="D2263" s="3248"/>
      <c r="E2263" s="525"/>
      <c r="F2263" s="525"/>
      <c r="G2263" s="526"/>
      <c r="K2263" s="3280"/>
      <c r="P2263" s="3041"/>
      <c r="X2263" s="3280"/>
      <c r="AA2263" s="3041"/>
      <c r="AF2263" s="3041"/>
      <c r="AN2263" s="3280"/>
      <c r="AZ2263" s="3041"/>
      <c r="BD2263" s="3281"/>
      <c r="BH2263" s="3282"/>
      <c r="BJ2263" s="2589"/>
      <c r="BK2263" s="2126"/>
      <c r="BL2263" s="2126"/>
      <c r="BM2263" s="2126"/>
      <c r="BN2263" s="2126"/>
      <c r="BO2263" s="2126"/>
      <c r="BP2263" s="2126"/>
      <c r="BQ2263" s="2126"/>
      <c r="BR2263" s="2126"/>
      <c r="BS2263" s="2126"/>
    </row>
    <row r="2264" spans="1:71" s="3030" customFormat="1">
      <c r="A2264" s="2126"/>
      <c r="B2264" s="2126"/>
      <c r="C2264" s="2149"/>
      <c r="D2264" s="3248"/>
      <c r="E2264" s="525"/>
      <c r="F2264" s="525"/>
      <c r="G2264" s="526"/>
      <c r="K2264" s="3280"/>
      <c r="P2264" s="3041"/>
      <c r="X2264" s="3280"/>
      <c r="AA2264" s="3041"/>
      <c r="AF2264" s="3041"/>
      <c r="AN2264" s="3280"/>
      <c r="AZ2264" s="3041"/>
      <c r="BD2264" s="3281"/>
      <c r="BH2264" s="3282"/>
      <c r="BJ2264" s="2589"/>
      <c r="BK2264" s="2126"/>
      <c r="BL2264" s="2126"/>
      <c r="BM2264" s="2126"/>
      <c r="BN2264" s="2126"/>
      <c r="BO2264" s="2126"/>
      <c r="BP2264" s="2126"/>
      <c r="BQ2264" s="2126"/>
      <c r="BR2264" s="2126"/>
      <c r="BS2264" s="2126"/>
    </row>
    <row r="2265" spans="1:71" s="3030" customFormat="1">
      <c r="A2265" s="2126"/>
      <c r="B2265" s="2126"/>
      <c r="C2265" s="2149"/>
      <c r="D2265" s="3248"/>
      <c r="E2265" s="525"/>
      <c r="F2265" s="525"/>
      <c r="G2265" s="526"/>
      <c r="K2265" s="3280"/>
      <c r="P2265" s="3041"/>
      <c r="X2265" s="3280"/>
      <c r="AA2265" s="3041"/>
      <c r="AF2265" s="3041"/>
      <c r="AN2265" s="3280"/>
      <c r="AZ2265" s="3041"/>
      <c r="BD2265" s="3281"/>
      <c r="BH2265" s="3282"/>
      <c r="BJ2265" s="2589"/>
      <c r="BK2265" s="2126"/>
      <c r="BL2265" s="2126"/>
      <c r="BM2265" s="2126"/>
      <c r="BN2265" s="2126"/>
      <c r="BO2265" s="2126"/>
      <c r="BP2265" s="2126"/>
      <c r="BQ2265" s="2126"/>
      <c r="BR2265" s="2126"/>
      <c r="BS2265" s="2126"/>
    </row>
    <row r="2266" spans="1:71" s="3030" customFormat="1">
      <c r="A2266" s="2126"/>
      <c r="B2266" s="2126"/>
      <c r="C2266" s="2149"/>
      <c r="D2266" s="3248"/>
      <c r="E2266" s="525"/>
      <c r="F2266" s="525"/>
      <c r="G2266" s="526"/>
      <c r="K2266" s="3280"/>
      <c r="P2266" s="3041"/>
      <c r="X2266" s="3280"/>
      <c r="AA2266" s="3041"/>
      <c r="AF2266" s="3041"/>
      <c r="AN2266" s="3280"/>
      <c r="AZ2266" s="3041"/>
      <c r="BD2266" s="3281"/>
      <c r="BH2266" s="3282"/>
      <c r="BJ2266" s="2589"/>
      <c r="BK2266" s="2126"/>
      <c r="BL2266" s="2126"/>
      <c r="BM2266" s="2126"/>
      <c r="BN2266" s="2126"/>
      <c r="BO2266" s="2126"/>
      <c r="BP2266" s="2126"/>
      <c r="BQ2266" s="2126"/>
      <c r="BR2266" s="2126"/>
      <c r="BS2266" s="2126"/>
    </row>
    <row r="2267" spans="1:71" s="3030" customFormat="1">
      <c r="A2267" s="2126"/>
      <c r="B2267" s="2126"/>
      <c r="C2267" s="2149"/>
      <c r="D2267" s="3248"/>
      <c r="E2267" s="525"/>
      <c r="F2267" s="525"/>
      <c r="G2267" s="526"/>
      <c r="K2267" s="3280"/>
      <c r="P2267" s="3041"/>
      <c r="X2267" s="3280"/>
      <c r="AA2267" s="3041"/>
      <c r="AF2267" s="3041"/>
      <c r="AN2267" s="3280"/>
      <c r="AZ2267" s="3041"/>
      <c r="BD2267" s="3281"/>
      <c r="BH2267" s="3282"/>
      <c r="BJ2267" s="2589"/>
      <c r="BK2267" s="2126"/>
      <c r="BL2267" s="2126"/>
      <c r="BM2267" s="2126"/>
      <c r="BN2267" s="2126"/>
      <c r="BO2267" s="2126"/>
      <c r="BP2267" s="2126"/>
      <c r="BQ2267" s="2126"/>
      <c r="BR2267" s="2126"/>
      <c r="BS2267" s="2126"/>
    </row>
    <row r="2268" spans="1:71" s="3030" customFormat="1">
      <c r="A2268" s="2126"/>
      <c r="B2268" s="2126"/>
      <c r="C2268" s="2149"/>
      <c r="D2268" s="3248"/>
      <c r="E2268" s="525"/>
      <c r="F2268" s="525"/>
      <c r="G2268" s="526"/>
      <c r="K2268" s="3280"/>
      <c r="P2268" s="3041"/>
      <c r="X2268" s="3280"/>
      <c r="AA2268" s="3041"/>
      <c r="AF2268" s="3041"/>
      <c r="AN2268" s="3280"/>
      <c r="AZ2268" s="3041"/>
      <c r="BD2268" s="3281"/>
      <c r="BH2268" s="3282"/>
      <c r="BJ2268" s="2589"/>
      <c r="BK2268" s="2126"/>
      <c r="BL2268" s="2126"/>
      <c r="BM2268" s="2126"/>
      <c r="BN2268" s="2126"/>
      <c r="BO2268" s="2126"/>
      <c r="BP2268" s="2126"/>
      <c r="BQ2268" s="2126"/>
      <c r="BR2268" s="2126"/>
      <c r="BS2268" s="2126"/>
    </row>
    <row r="2269" spans="1:71" s="3030" customFormat="1">
      <c r="A2269" s="2126"/>
      <c r="B2269" s="2126"/>
      <c r="C2269" s="2149"/>
      <c r="D2269" s="3248"/>
      <c r="E2269" s="525"/>
      <c r="F2269" s="525"/>
      <c r="G2269" s="526"/>
      <c r="K2269" s="3280"/>
      <c r="P2269" s="3041"/>
      <c r="X2269" s="3280"/>
      <c r="AA2269" s="3041"/>
      <c r="AF2269" s="3041"/>
      <c r="AN2269" s="3280"/>
      <c r="AZ2269" s="3041"/>
      <c r="BD2269" s="3281"/>
      <c r="BH2269" s="3282"/>
      <c r="BJ2269" s="2589"/>
      <c r="BK2269" s="2126"/>
      <c r="BL2269" s="2126"/>
      <c r="BM2269" s="2126"/>
      <c r="BN2269" s="2126"/>
      <c r="BO2269" s="2126"/>
      <c r="BP2269" s="2126"/>
      <c r="BQ2269" s="2126"/>
      <c r="BR2269" s="2126"/>
      <c r="BS2269" s="2126"/>
    </row>
    <row r="2270" spans="1:71" s="3030" customFormat="1">
      <c r="A2270" s="2126"/>
      <c r="B2270" s="2126"/>
      <c r="C2270" s="2149"/>
      <c r="D2270" s="3248"/>
      <c r="E2270" s="525"/>
      <c r="F2270" s="525"/>
      <c r="G2270" s="526"/>
      <c r="K2270" s="3280"/>
      <c r="P2270" s="3041"/>
      <c r="X2270" s="3280"/>
      <c r="AA2270" s="3041"/>
      <c r="AF2270" s="3041"/>
      <c r="AN2270" s="3280"/>
      <c r="AZ2270" s="3041"/>
      <c r="BD2270" s="3281"/>
      <c r="BH2270" s="3282"/>
      <c r="BJ2270" s="2589"/>
      <c r="BK2270" s="2126"/>
      <c r="BL2270" s="2126"/>
      <c r="BM2270" s="2126"/>
      <c r="BN2270" s="2126"/>
      <c r="BO2270" s="2126"/>
      <c r="BP2270" s="2126"/>
      <c r="BQ2270" s="2126"/>
      <c r="BR2270" s="2126"/>
      <c r="BS2270" s="2126"/>
    </row>
    <row r="2271" spans="1:71" s="3030" customFormat="1">
      <c r="A2271" s="2126"/>
      <c r="B2271" s="2126"/>
      <c r="C2271" s="2149"/>
      <c r="D2271" s="3248"/>
      <c r="E2271" s="525"/>
      <c r="F2271" s="525"/>
      <c r="G2271" s="526"/>
      <c r="K2271" s="3280"/>
      <c r="P2271" s="3041"/>
      <c r="X2271" s="3280"/>
      <c r="AA2271" s="3041"/>
      <c r="AF2271" s="3041"/>
      <c r="AN2271" s="3280"/>
      <c r="AZ2271" s="3041"/>
      <c r="BD2271" s="3281"/>
      <c r="BH2271" s="3282"/>
      <c r="BJ2271" s="2589"/>
      <c r="BK2271" s="2126"/>
      <c r="BL2271" s="2126"/>
      <c r="BM2271" s="2126"/>
      <c r="BN2271" s="2126"/>
      <c r="BO2271" s="2126"/>
      <c r="BP2271" s="2126"/>
      <c r="BQ2271" s="2126"/>
      <c r="BR2271" s="2126"/>
      <c r="BS2271" s="2126"/>
    </row>
    <row r="2272" spans="1:71" s="3030" customFormat="1">
      <c r="A2272" s="2126"/>
      <c r="B2272" s="2126"/>
      <c r="C2272" s="2149"/>
      <c r="D2272" s="3248"/>
      <c r="E2272" s="525"/>
      <c r="F2272" s="525"/>
      <c r="G2272" s="526"/>
      <c r="K2272" s="3280"/>
      <c r="P2272" s="3041"/>
      <c r="X2272" s="3280"/>
      <c r="AA2272" s="3041"/>
      <c r="AF2272" s="3041"/>
      <c r="AN2272" s="3280"/>
      <c r="AZ2272" s="3041"/>
      <c r="BD2272" s="3281"/>
      <c r="BH2272" s="3282"/>
      <c r="BJ2272" s="2589"/>
      <c r="BK2272" s="2126"/>
      <c r="BL2272" s="2126"/>
      <c r="BM2272" s="2126"/>
      <c r="BN2272" s="2126"/>
      <c r="BO2272" s="2126"/>
      <c r="BP2272" s="2126"/>
      <c r="BQ2272" s="2126"/>
      <c r="BR2272" s="2126"/>
      <c r="BS2272" s="2126"/>
    </row>
    <row r="2273" spans="1:71" s="3030" customFormat="1">
      <c r="A2273" s="2126"/>
      <c r="B2273" s="2126"/>
      <c r="C2273" s="2149"/>
      <c r="D2273" s="3248"/>
      <c r="E2273" s="525"/>
      <c r="F2273" s="525"/>
      <c r="G2273" s="526"/>
      <c r="K2273" s="3280"/>
      <c r="P2273" s="3041"/>
      <c r="X2273" s="3280"/>
      <c r="AA2273" s="3041"/>
      <c r="AF2273" s="3041"/>
      <c r="AN2273" s="3280"/>
      <c r="AZ2273" s="3041"/>
      <c r="BD2273" s="3281"/>
      <c r="BH2273" s="3282"/>
      <c r="BJ2273" s="2589"/>
      <c r="BK2273" s="2126"/>
      <c r="BL2273" s="2126"/>
      <c r="BM2273" s="2126"/>
      <c r="BN2273" s="2126"/>
      <c r="BO2273" s="2126"/>
      <c r="BP2273" s="2126"/>
      <c r="BQ2273" s="2126"/>
      <c r="BR2273" s="2126"/>
      <c r="BS2273" s="2126"/>
    </row>
    <row r="2274" spans="1:71" s="3030" customFormat="1">
      <c r="A2274" s="2126"/>
      <c r="B2274" s="2126"/>
      <c r="C2274" s="2149"/>
      <c r="D2274" s="3248"/>
      <c r="E2274" s="525"/>
      <c r="F2274" s="525"/>
      <c r="G2274" s="526"/>
      <c r="K2274" s="3280"/>
      <c r="P2274" s="3041"/>
      <c r="X2274" s="3280"/>
      <c r="AA2274" s="3041"/>
      <c r="AF2274" s="3041"/>
      <c r="AN2274" s="3280"/>
      <c r="AZ2274" s="3041"/>
      <c r="BD2274" s="3281"/>
      <c r="BH2274" s="3282"/>
      <c r="BJ2274" s="2589"/>
      <c r="BK2274" s="2126"/>
      <c r="BL2274" s="2126"/>
      <c r="BM2274" s="2126"/>
      <c r="BN2274" s="2126"/>
      <c r="BO2274" s="2126"/>
      <c r="BP2274" s="2126"/>
      <c r="BQ2274" s="2126"/>
      <c r="BR2274" s="2126"/>
      <c r="BS2274" s="2126"/>
    </row>
    <row r="2275" spans="1:71" s="3030" customFormat="1">
      <c r="A2275" s="2126"/>
      <c r="B2275" s="2126"/>
      <c r="C2275" s="2149"/>
      <c r="D2275" s="3248"/>
      <c r="E2275" s="525"/>
      <c r="F2275" s="525"/>
      <c r="G2275" s="526"/>
      <c r="K2275" s="3280"/>
      <c r="P2275" s="3041"/>
      <c r="X2275" s="3280"/>
      <c r="AA2275" s="3041"/>
      <c r="AF2275" s="3041"/>
      <c r="AN2275" s="3280"/>
      <c r="AZ2275" s="3041"/>
      <c r="BD2275" s="3281"/>
      <c r="BH2275" s="3282"/>
      <c r="BJ2275" s="2589"/>
      <c r="BK2275" s="2126"/>
      <c r="BL2275" s="2126"/>
      <c r="BM2275" s="2126"/>
      <c r="BN2275" s="2126"/>
      <c r="BO2275" s="2126"/>
      <c r="BP2275" s="2126"/>
      <c r="BQ2275" s="2126"/>
      <c r="BR2275" s="2126"/>
      <c r="BS2275" s="2126"/>
    </row>
    <row r="2276" spans="1:71" s="3030" customFormat="1">
      <c r="A2276" s="2126"/>
      <c r="B2276" s="2126"/>
      <c r="C2276" s="2149"/>
      <c r="D2276" s="3248"/>
      <c r="E2276" s="525"/>
      <c r="F2276" s="525"/>
      <c r="G2276" s="526"/>
      <c r="K2276" s="3280"/>
      <c r="P2276" s="3041"/>
      <c r="X2276" s="3280"/>
      <c r="AA2276" s="3041"/>
      <c r="AF2276" s="3041"/>
      <c r="AN2276" s="3280"/>
      <c r="AZ2276" s="3041"/>
      <c r="BD2276" s="3281"/>
      <c r="BH2276" s="3282"/>
      <c r="BJ2276" s="2589"/>
      <c r="BK2276" s="2126"/>
      <c r="BL2276" s="2126"/>
      <c r="BM2276" s="2126"/>
      <c r="BN2276" s="2126"/>
      <c r="BO2276" s="2126"/>
      <c r="BP2276" s="2126"/>
      <c r="BQ2276" s="2126"/>
      <c r="BR2276" s="2126"/>
      <c r="BS2276" s="2126"/>
    </row>
    <row r="2277" spans="1:71" s="3030" customFormat="1">
      <c r="A2277" s="2126"/>
      <c r="B2277" s="2126"/>
      <c r="C2277" s="2149"/>
      <c r="D2277" s="3248"/>
      <c r="E2277" s="525"/>
      <c r="F2277" s="525"/>
      <c r="G2277" s="526"/>
      <c r="K2277" s="3280"/>
      <c r="P2277" s="3041"/>
      <c r="X2277" s="3280"/>
      <c r="AA2277" s="3041"/>
      <c r="AF2277" s="3041"/>
      <c r="AN2277" s="3280"/>
      <c r="AZ2277" s="3041"/>
      <c r="BD2277" s="3281"/>
      <c r="BH2277" s="3282"/>
      <c r="BJ2277" s="2589"/>
      <c r="BK2277" s="2126"/>
      <c r="BL2277" s="2126"/>
      <c r="BM2277" s="2126"/>
      <c r="BN2277" s="2126"/>
      <c r="BO2277" s="2126"/>
      <c r="BP2277" s="2126"/>
      <c r="BQ2277" s="2126"/>
      <c r="BR2277" s="2126"/>
      <c r="BS2277" s="2126"/>
    </row>
    <row r="2278" spans="1:71" s="3030" customFormat="1">
      <c r="A2278" s="2126"/>
      <c r="B2278" s="2126"/>
      <c r="C2278" s="2149"/>
      <c r="D2278" s="3248"/>
      <c r="E2278" s="525"/>
      <c r="F2278" s="525"/>
      <c r="G2278" s="526"/>
      <c r="K2278" s="3280"/>
      <c r="P2278" s="3041"/>
      <c r="X2278" s="3280"/>
      <c r="AA2278" s="3041"/>
      <c r="AF2278" s="3041"/>
      <c r="AN2278" s="3280"/>
      <c r="AZ2278" s="3041"/>
      <c r="BD2278" s="3281"/>
      <c r="BH2278" s="3282"/>
      <c r="BJ2278" s="2589"/>
      <c r="BK2278" s="2126"/>
      <c r="BL2278" s="2126"/>
      <c r="BM2278" s="2126"/>
      <c r="BN2278" s="2126"/>
      <c r="BO2278" s="2126"/>
      <c r="BP2278" s="2126"/>
      <c r="BQ2278" s="2126"/>
      <c r="BR2278" s="2126"/>
      <c r="BS2278" s="2126"/>
    </row>
    <row r="2279" spans="1:71" s="3030" customFormat="1">
      <c r="A2279" s="2126"/>
      <c r="B2279" s="2126"/>
      <c r="C2279" s="2149"/>
      <c r="D2279" s="3248"/>
      <c r="E2279" s="525"/>
      <c r="F2279" s="525"/>
      <c r="G2279" s="526"/>
      <c r="K2279" s="3280"/>
      <c r="P2279" s="3041"/>
      <c r="X2279" s="3280"/>
      <c r="AA2279" s="3041"/>
      <c r="AF2279" s="3041"/>
      <c r="AN2279" s="3280"/>
      <c r="AZ2279" s="3041"/>
      <c r="BD2279" s="3281"/>
      <c r="BH2279" s="3282"/>
      <c r="BJ2279" s="2589"/>
      <c r="BK2279" s="2126"/>
      <c r="BL2279" s="2126"/>
      <c r="BM2279" s="2126"/>
      <c r="BN2279" s="2126"/>
      <c r="BO2279" s="2126"/>
      <c r="BP2279" s="2126"/>
      <c r="BQ2279" s="2126"/>
      <c r="BR2279" s="2126"/>
      <c r="BS2279" s="2126"/>
    </row>
    <row r="2280" spans="1:71" s="3030" customFormat="1">
      <c r="A2280" s="2126"/>
      <c r="B2280" s="2126"/>
      <c r="C2280" s="2149"/>
      <c r="D2280" s="3248"/>
      <c r="E2280" s="525"/>
      <c r="F2280" s="525"/>
      <c r="G2280" s="526"/>
      <c r="K2280" s="3280"/>
      <c r="P2280" s="3041"/>
      <c r="X2280" s="3280"/>
      <c r="AA2280" s="3041"/>
      <c r="AF2280" s="3041"/>
      <c r="AN2280" s="3280"/>
      <c r="AZ2280" s="3041"/>
      <c r="BD2280" s="3281"/>
      <c r="BH2280" s="3282"/>
      <c r="BJ2280" s="2589"/>
      <c r="BK2280" s="2126"/>
      <c r="BL2280" s="2126"/>
      <c r="BM2280" s="2126"/>
      <c r="BN2280" s="2126"/>
      <c r="BO2280" s="2126"/>
      <c r="BP2280" s="2126"/>
      <c r="BQ2280" s="2126"/>
      <c r="BR2280" s="2126"/>
      <c r="BS2280" s="2126"/>
    </row>
    <row r="2281" spans="1:71" s="3030" customFormat="1">
      <c r="A2281" s="2126"/>
      <c r="B2281" s="2126"/>
      <c r="C2281" s="2149"/>
      <c r="D2281" s="3248"/>
      <c r="E2281" s="525"/>
      <c r="F2281" s="525"/>
      <c r="G2281" s="526"/>
      <c r="K2281" s="3280"/>
      <c r="P2281" s="3041"/>
      <c r="X2281" s="3280"/>
      <c r="AA2281" s="3041"/>
      <c r="AF2281" s="3041"/>
      <c r="AN2281" s="3280"/>
      <c r="AZ2281" s="3041"/>
      <c r="BD2281" s="3281"/>
      <c r="BH2281" s="3282"/>
      <c r="BJ2281" s="2589"/>
      <c r="BK2281" s="2126"/>
      <c r="BL2281" s="2126"/>
      <c r="BM2281" s="2126"/>
      <c r="BN2281" s="2126"/>
      <c r="BO2281" s="2126"/>
      <c r="BP2281" s="2126"/>
      <c r="BQ2281" s="2126"/>
      <c r="BR2281" s="2126"/>
      <c r="BS2281" s="2126"/>
    </row>
    <row r="2282" spans="1:71" s="3030" customFormat="1">
      <c r="A2282" s="2126"/>
      <c r="B2282" s="2126"/>
      <c r="C2282" s="2149"/>
      <c r="D2282" s="3248"/>
      <c r="E2282" s="525"/>
      <c r="F2282" s="525"/>
      <c r="G2282" s="526"/>
      <c r="K2282" s="3280"/>
      <c r="P2282" s="3041"/>
      <c r="X2282" s="3280"/>
      <c r="AA2282" s="3041"/>
      <c r="AF2282" s="3041"/>
      <c r="AN2282" s="3280"/>
      <c r="AZ2282" s="3041"/>
      <c r="BD2282" s="3281"/>
      <c r="BH2282" s="3282"/>
      <c r="BJ2282" s="2589"/>
      <c r="BK2282" s="2126"/>
      <c r="BL2282" s="2126"/>
      <c r="BM2282" s="2126"/>
      <c r="BN2282" s="2126"/>
      <c r="BO2282" s="2126"/>
      <c r="BP2282" s="2126"/>
      <c r="BQ2282" s="2126"/>
      <c r="BR2282" s="2126"/>
      <c r="BS2282" s="2126"/>
    </row>
    <row r="2283" spans="1:71" s="3030" customFormat="1">
      <c r="A2283" s="2126"/>
      <c r="B2283" s="2126"/>
      <c r="C2283" s="2149"/>
      <c r="D2283" s="3248"/>
      <c r="E2283" s="525"/>
      <c r="F2283" s="525"/>
      <c r="G2283" s="526"/>
      <c r="K2283" s="3280"/>
      <c r="P2283" s="3041"/>
      <c r="X2283" s="3280"/>
      <c r="AA2283" s="3041"/>
      <c r="AF2283" s="3041"/>
      <c r="AN2283" s="3280"/>
      <c r="AZ2283" s="3041"/>
      <c r="BD2283" s="3281"/>
      <c r="BH2283" s="3282"/>
      <c r="BJ2283" s="2589"/>
      <c r="BK2283" s="2126"/>
      <c r="BL2283" s="2126"/>
      <c r="BM2283" s="2126"/>
      <c r="BN2283" s="2126"/>
      <c r="BO2283" s="2126"/>
      <c r="BP2283" s="2126"/>
      <c r="BQ2283" s="2126"/>
      <c r="BR2283" s="2126"/>
      <c r="BS2283" s="2126"/>
    </row>
    <row r="2284" spans="1:71" s="3030" customFormat="1">
      <c r="A2284" s="2126"/>
      <c r="B2284" s="2126"/>
      <c r="C2284" s="2149"/>
      <c r="D2284" s="3248"/>
      <c r="E2284" s="525"/>
      <c r="F2284" s="525"/>
      <c r="G2284" s="526"/>
      <c r="K2284" s="3280"/>
      <c r="P2284" s="3041"/>
      <c r="X2284" s="3280"/>
      <c r="AA2284" s="3041"/>
      <c r="AF2284" s="3041"/>
      <c r="AN2284" s="3280"/>
      <c r="AZ2284" s="3041"/>
      <c r="BD2284" s="3281"/>
      <c r="BH2284" s="3282"/>
      <c r="BJ2284" s="2589"/>
      <c r="BK2284" s="2126"/>
      <c r="BL2284" s="2126"/>
      <c r="BM2284" s="2126"/>
      <c r="BN2284" s="2126"/>
      <c r="BO2284" s="2126"/>
      <c r="BP2284" s="2126"/>
      <c r="BQ2284" s="2126"/>
      <c r="BR2284" s="2126"/>
      <c r="BS2284" s="2126"/>
    </row>
    <row r="2285" spans="1:71" s="3030" customFormat="1">
      <c r="A2285" s="2126"/>
      <c r="B2285" s="2126"/>
      <c r="C2285" s="2149"/>
      <c r="D2285" s="3248"/>
      <c r="E2285" s="525"/>
      <c r="F2285" s="525"/>
      <c r="G2285" s="526"/>
      <c r="K2285" s="3280"/>
      <c r="P2285" s="3041"/>
      <c r="X2285" s="3280"/>
      <c r="AA2285" s="3041"/>
      <c r="AF2285" s="3041"/>
      <c r="AN2285" s="3280"/>
      <c r="AZ2285" s="3041"/>
      <c r="BD2285" s="3281"/>
      <c r="BH2285" s="3282"/>
      <c r="BJ2285" s="2589"/>
      <c r="BK2285" s="2126"/>
      <c r="BL2285" s="2126"/>
      <c r="BM2285" s="2126"/>
      <c r="BN2285" s="2126"/>
      <c r="BO2285" s="2126"/>
      <c r="BP2285" s="2126"/>
      <c r="BQ2285" s="2126"/>
      <c r="BR2285" s="2126"/>
      <c r="BS2285" s="2126"/>
    </row>
    <row r="2286" spans="1:71" s="3030" customFormat="1">
      <c r="A2286" s="2126"/>
      <c r="B2286" s="2126"/>
      <c r="C2286" s="2149"/>
      <c r="D2286" s="3248"/>
      <c r="E2286" s="525"/>
      <c r="F2286" s="525"/>
      <c r="G2286" s="526"/>
      <c r="K2286" s="3280"/>
      <c r="P2286" s="3041"/>
      <c r="X2286" s="3280"/>
      <c r="AA2286" s="3041"/>
      <c r="AF2286" s="3041"/>
      <c r="AN2286" s="3280"/>
      <c r="AZ2286" s="3041"/>
      <c r="BD2286" s="3281"/>
      <c r="BH2286" s="3282"/>
      <c r="BJ2286" s="2589"/>
      <c r="BK2286" s="2126"/>
      <c r="BL2286" s="2126"/>
      <c r="BM2286" s="2126"/>
      <c r="BN2286" s="2126"/>
      <c r="BO2286" s="2126"/>
      <c r="BP2286" s="2126"/>
      <c r="BQ2286" s="2126"/>
      <c r="BR2286" s="2126"/>
      <c r="BS2286" s="2126"/>
    </row>
    <row r="2287" spans="1:71" s="3030" customFormat="1">
      <c r="A2287" s="2126"/>
      <c r="B2287" s="2126"/>
      <c r="C2287" s="2149"/>
      <c r="D2287" s="3248"/>
      <c r="E2287" s="525"/>
      <c r="F2287" s="525"/>
      <c r="G2287" s="526"/>
      <c r="K2287" s="3280"/>
      <c r="P2287" s="3041"/>
      <c r="X2287" s="3280"/>
      <c r="AA2287" s="3041"/>
      <c r="AF2287" s="3041"/>
      <c r="AN2287" s="3280"/>
      <c r="AZ2287" s="3041"/>
      <c r="BD2287" s="3281"/>
      <c r="BH2287" s="3282"/>
      <c r="BJ2287" s="2589"/>
      <c r="BK2287" s="2126"/>
      <c r="BL2287" s="2126"/>
      <c r="BM2287" s="2126"/>
      <c r="BN2287" s="2126"/>
      <c r="BO2287" s="2126"/>
      <c r="BP2287" s="2126"/>
      <c r="BQ2287" s="2126"/>
      <c r="BR2287" s="2126"/>
      <c r="BS2287" s="2126"/>
    </row>
    <row r="2288" spans="1:71" s="3030" customFormat="1">
      <c r="A2288" s="2126"/>
      <c r="B2288" s="2126"/>
      <c r="C2288" s="2149"/>
      <c r="D2288" s="3248"/>
      <c r="E2288" s="525"/>
      <c r="F2288" s="525"/>
      <c r="G2288" s="526"/>
      <c r="K2288" s="3280"/>
      <c r="P2288" s="3041"/>
      <c r="X2288" s="3280"/>
      <c r="AA2288" s="3041"/>
      <c r="AF2288" s="3041"/>
      <c r="AN2288" s="3280"/>
      <c r="AZ2288" s="3041"/>
      <c r="BD2288" s="3281"/>
      <c r="BH2288" s="3282"/>
      <c r="BJ2288" s="2589"/>
      <c r="BK2288" s="2126"/>
      <c r="BL2288" s="2126"/>
      <c r="BM2288" s="2126"/>
      <c r="BN2288" s="2126"/>
      <c r="BO2288" s="2126"/>
      <c r="BP2288" s="2126"/>
      <c r="BQ2288" s="2126"/>
      <c r="BR2288" s="2126"/>
      <c r="BS2288" s="2126"/>
    </row>
    <row r="2289" spans="1:71" s="3030" customFormat="1">
      <c r="A2289" s="2126"/>
      <c r="B2289" s="2126"/>
      <c r="C2289" s="2149"/>
      <c r="D2289" s="3248"/>
      <c r="E2289" s="525"/>
      <c r="F2289" s="525"/>
      <c r="G2289" s="526"/>
      <c r="K2289" s="3280"/>
      <c r="P2289" s="3041"/>
      <c r="X2289" s="3280"/>
      <c r="AA2289" s="3041"/>
      <c r="AF2289" s="3041"/>
      <c r="AN2289" s="3280"/>
      <c r="AZ2289" s="3041"/>
      <c r="BD2289" s="3281"/>
      <c r="BH2289" s="3282"/>
      <c r="BJ2289" s="2589"/>
      <c r="BK2289" s="2126"/>
      <c r="BL2289" s="2126"/>
      <c r="BM2289" s="2126"/>
      <c r="BN2289" s="2126"/>
      <c r="BO2289" s="2126"/>
      <c r="BP2289" s="2126"/>
      <c r="BQ2289" s="2126"/>
      <c r="BR2289" s="2126"/>
      <c r="BS2289" s="2126"/>
    </row>
    <row r="2290" spans="1:71" s="3030" customFormat="1">
      <c r="A2290" s="2126"/>
      <c r="B2290" s="2126"/>
      <c r="C2290" s="2149"/>
      <c r="D2290" s="3248"/>
      <c r="E2290" s="525"/>
      <c r="F2290" s="525"/>
      <c r="G2290" s="526"/>
      <c r="K2290" s="3280"/>
      <c r="P2290" s="3041"/>
      <c r="X2290" s="3280"/>
      <c r="AA2290" s="3041"/>
      <c r="AF2290" s="3041"/>
      <c r="AN2290" s="3280"/>
      <c r="AZ2290" s="3041"/>
      <c r="BD2290" s="3281"/>
      <c r="BH2290" s="3282"/>
      <c r="BJ2290" s="2589"/>
      <c r="BK2290" s="2126"/>
      <c r="BL2290" s="2126"/>
      <c r="BM2290" s="2126"/>
      <c r="BN2290" s="2126"/>
      <c r="BO2290" s="2126"/>
      <c r="BP2290" s="2126"/>
      <c r="BQ2290" s="2126"/>
      <c r="BR2290" s="2126"/>
      <c r="BS2290" s="2126"/>
    </row>
    <row r="2291" spans="1:71" s="3030" customFormat="1">
      <c r="A2291" s="2126"/>
      <c r="B2291" s="2126"/>
      <c r="C2291" s="2149"/>
      <c r="D2291" s="3248"/>
      <c r="E2291" s="525"/>
      <c r="F2291" s="525"/>
      <c r="G2291" s="526"/>
      <c r="K2291" s="3280"/>
      <c r="P2291" s="3041"/>
      <c r="X2291" s="3280"/>
      <c r="AA2291" s="3041"/>
      <c r="AF2291" s="3041"/>
      <c r="AN2291" s="3280"/>
      <c r="AZ2291" s="3041"/>
      <c r="BD2291" s="3281"/>
      <c r="BH2291" s="3282"/>
      <c r="BJ2291" s="2589"/>
      <c r="BK2291" s="2126"/>
      <c r="BL2291" s="2126"/>
      <c r="BM2291" s="2126"/>
      <c r="BN2291" s="2126"/>
      <c r="BO2291" s="2126"/>
      <c r="BP2291" s="2126"/>
      <c r="BQ2291" s="2126"/>
      <c r="BR2291" s="2126"/>
      <c r="BS2291" s="2126"/>
    </row>
    <row r="2292" spans="1:71" s="3030" customFormat="1">
      <c r="A2292" s="2126"/>
      <c r="B2292" s="2126"/>
      <c r="C2292" s="2149"/>
      <c r="D2292" s="3248"/>
      <c r="E2292" s="525"/>
      <c r="F2292" s="525"/>
      <c r="G2292" s="526"/>
      <c r="K2292" s="3280"/>
      <c r="P2292" s="3041"/>
      <c r="X2292" s="3280"/>
      <c r="AA2292" s="3041"/>
      <c r="AF2292" s="3041"/>
      <c r="AN2292" s="3280"/>
      <c r="AZ2292" s="3041"/>
      <c r="BD2292" s="3281"/>
      <c r="BH2292" s="3282"/>
      <c r="BJ2292" s="2589"/>
      <c r="BK2292" s="2126"/>
      <c r="BL2292" s="2126"/>
      <c r="BM2292" s="2126"/>
      <c r="BN2292" s="2126"/>
      <c r="BO2292" s="2126"/>
      <c r="BP2292" s="2126"/>
      <c r="BQ2292" s="2126"/>
      <c r="BR2292" s="2126"/>
      <c r="BS2292" s="2126"/>
    </row>
    <row r="2293" spans="1:71" s="3030" customFormat="1">
      <c r="A2293" s="2126"/>
      <c r="B2293" s="2126"/>
      <c r="C2293" s="2149"/>
      <c r="D2293" s="3248"/>
      <c r="E2293" s="525"/>
      <c r="F2293" s="525"/>
      <c r="G2293" s="526"/>
      <c r="K2293" s="3280"/>
      <c r="P2293" s="3041"/>
      <c r="X2293" s="3280"/>
      <c r="AA2293" s="3041"/>
      <c r="AF2293" s="3041"/>
      <c r="AN2293" s="3280"/>
      <c r="AZ2293" s="3041"/>
      <c r="BD2293" s="3281"/>
      <c r="BH2293" s="3282"/>
      <c r="BJ2293" s="2589"/>
      <c r="BK2293" s="2126"/>
      <c r="BL2293" s="2126"/>
      <c r="BM2293" s="2126"/>
      <c r="BN2293" s="2126"/>
      <c r="BO2293" s="2126"/>
      <c r="BP2293" s="2126"/>
      <c r="BQ2293" s="2126"/>
      <c r="BR2293" s="2126"/>
      <c r="BS2293" s="2126"/>
    </row>
    <row r="2294" spans="1:71" s="3030" customFormat="1">
      <c r="A2294" s="2126"/>
      <c r="B2294" s="2126"/>
      <c r="C2294" s="2149"/>
      <c r="D2294" s="3248"/>
      <c r="E2294" s="525"/>
      <c r="F2294" s="525"/>
      <c r="G2294" s="526"/>
      <c r="K2294" s="3280"/>
      <c r="P2294" s="3041"/>
      <c r="X2294" s="3280"/>
      <c r="AA2294" s="3041"/>
      <c r="AF2294" s="3041"/>
      <c r="AN2294" s="3280"/>
      <c r="AZ2294" s="3041"/>
      <c r="BD2294" s="3281"/>
      <c r="BH2294" s="3282"/>
      <c r="BJ2294" s="2589"/>
      <c r="BK2294" s="2126"/>
      <c r="BL2294" s="2126"/>
      <c r="BM2294" s="2126"/>
      <c r="BN2294" s="2126"/>
      <c r="BO2294" s="2126"/>
      <c r="BP2294" s="2126"/>
      <c r="BQ2294" s="2126"/>
      <c r="BR2294" s="2126"/>
      <c r="BS2294" s="2126"/>
    </row>
    <row r="2295" spans="1:71" s="3030" customFormat="1">
      <c r="A2295" s="2126"/>
      <c r="B2295" s="2126"/>
      <c r="C2295" s="2149"/>
      <c r="D2295" s="3248"/>
      <c r="E2295" s="525"/>
      <c r="F2295" s="525"/>
      <c r="G2295" s="526"/>
      <c r="K2295" s="3280"/>
      <c r="P2295" s="3041"/>
      <c r="X2295" s="3280"/>
      <c r="AA2295" s="3041"/>
      <c r="AF2295" s="3041"/>
      <c r="AN2295" s="3280"/>
      <c r="AZ2295" s="3041"/>
      <c r="BD2295" s="3281"/>
      <c r="BH2295" s="3282"/>
      <c r="BJ2295" s="2589"/>
      <c r="BK2295" s="2126"/>
      <c r="BL2295" s="2126"/>
      <c r="BM2295" s="2126"/>
      <c r="BN2295" s="2126"/>
      <c r="BO2295" s="2126"/>
      <c r="BP2295" s="2126"/>
      <c r="BQ2295" s="2126"/>
      <c r="BR2295" s="2126"/>
      <c r="BS2295" s="2126"/>
    </row>
    <row r="2296" spans="1:71" s="3030" customFormat="1">
      <c r="A2296" s="2126"/>
      <c r="B2296" s="2126"/>
      <c r="C2296" s="2149"/>
      <c r="D2296" s="3248"/>
      <c r="E2296" s="525"/>
      <c r="F2296" s="525"/>
      <c r="G2296" s="526"/>
      <c r="K2296" s="3280"/>
      <c r="P2296" s="3041"/>
      <c r="X2296" s="3280"/>
      <c r="AA2296" s="3041"/>
      <c r="AF2296" s="3041"/>
      <c r="AN2296" s="3280"/>
      <c r="AZ2296" s="3041"/>
      <c r="BD2296" s="3281"/>
      <c r="BH2296" s="3282"/>
      <c r="BJ2296" s="2589"/>
      <c r="BK2296" s="2126"/>
      <c r="BL2296" s="2126"/>
      <c r="BM2296" s="2126"/>
      <c r="BN2296" s="2126"/>
      <c r="BO2296" s="2126"/>
      <c r="BP2296" s="2126"/>
      <c r="BQ2296" s="2126"/>
      <c r="BR2296" s="2126"/>
      <c r="BS2296" s="2126"/>
    </row>
    <row r="2297" spans="1:71" s="3030" customFormat="1">
      <c r="A2297" s="2126"/>
      <c r="B2297" s="2126"/>
      <c r="C2297" s="2149"/>
      <c r="D2297" s="3248"/>
      <c r="E2297" s="525"/>
      <c r="F2297" s="525"/>
      <c r="G2297" s="526"/>
      <c r="K2297" s="3280"/>
      <c r="P2297" s="3041"/>
      <c r="X2297" s="3280"/>
      <c r="AA2297" s="3041"/>
      <c r="AF2297" s="3041"/>
      <c r="AN2297" s="3280"/>
      <c r="AZ2297" s="3041"/>
      <c r="BD2297" s="3281"/>
      <c r="BH2297" s="3282"/>
      <c r="BJ2297" s="2589"/>
      <c r="BK2297" s="2126"/>
      <c r="BL2297" s="2126"/>
      <c r="BM2297" s="2126"/>
      <c r="BN2297" s="2126"/>
      <c r="BO2297" s="2126"/>
      <c r="BP2297" s="2126"/>
      <c r="BQ2297" s="2126"/>
      <c r="BR2297" s="2126"/>
      <c r="BS2297" s="2126"/>
    </row>
    <row r="2298" spans="1:71" s="3030" customFormat="1">
      <c r="A2298" s="2126"/>
      <c r="B2298" s="2126"/>
      <c r="C2298" s="2149"/>
      <c r="D2298" s="3248"/>
      <c r="E2298" s="525"/>
      <c r="F2298" s="525"/>
      <c r="G2298" s="526"/>
      <c r="K2298" s="3280"/>
      <c r="P2298" s="3041"/>
      <c r="X2298" s="3280"/>
      <c r="AA2298" s="3041"/>
      <c r="AF2298" s="3041"/>
      <c r="AN2298" s="3280"/>
      <c r="AZ2298" s="3041"/>
      <c r="BD2298" s="3281"/>
      <c r="BH2298" s="3282"/>
      <c r="BJ2298" s="2589"/>
      <c r="BK2298" s="2126"/>
      <c r="BL2298" s="2126"/>
      <c r="BM2298" s="2126"/>
      <c r="BN2298" s="2126"/>
      <c r="BO2298" s="2126"/>
      <c r="BP2298" s="2126"/>
      <c r="BQ2298" s="2126"/>
      <c r="BR2298" s="2126"/>
      <c r="BS2298" s="2126"/>
    </row>
    <row r="2299" spans="1:71" s="3030" customFormat="1">
      <c r="A2299" s="2126"/>
      <c r="B2299" s="2126"/>
      <c r="C2299" s="2149"/>
      <c r="D2299" s="3248"/>
      <c r="E2299" s="525"/>
      <c r="F2299" s="525"/>
      <c r="G2299" s="526"/>
      <c r="K2299" s="3280"/>
      <c r="P2299" s="3041"/>
      <c r="X2299" s="3280"/>
      <c r="AA2299" s="3041"/>
      <c r="AF2299" s="3041"/>
      <c r="AN2299" s="3280"/>
      <c r="AZ2299" s="3041"/>
      <c r="BD2299" s="3281"/>
      <c r="BH2299" s="3282"/>
      <c r="BJ2299" s="2589"/>
      <c r="BK2299" s="2126"/>
      <c r="BL2299" s="2126"/>
      <c r="BM2299" s="2126"/>
      <c r="BN2299" s="2126"/>
      <c r="BO2299" s="2126"/>
      <c r="BP2299" s="2126"/>
      <c r="BQ2299" s="2126"/>
      <c r="BR2299" s="2126"/>
      <c r="BS2299" s="2126"/>
    </row>
    <row r="2300" spans="1:71" s="3030" customFormat="1">
      <c r="A2300" s="2126"/>
      <c r="B2300" s="2126"/>
      <c r="C2300" s="2149"/>
      <c r="D2300" s="3248"/>
      <c r="E2300" s="525"/>
      <c r="F2300" s="525"/>
      <c r="G2300" s="526"/>
      <c r="K2300" s="3280"/>
      <c r="P2300" s="3041"/>
      <c r="X2300" s="3280"/>
      <c r="AA2300" s="3041"/>
      <c r="AF2300" s="3041"/>
      <c r="AN2300" s="3280"/>
      <c r="AZ2300" s="3041"/>
      <c r="BD2300" s="3281"/>
      <c r="BH2300" s="3282"/>
      <c r="BJ2300" s="2589"/>
      <c r="BK2300" s="2126"/>
      <c r="BL2300" s="2126"/>
      <c r="BM2300" s="2126"/>
      <c r="BN2300" s="2126"/>
      <c r="BO2300" s="2126"/>
      <c r="BP2300" s="2126"/>
      <c r="BQ2300" s="2126"/>
      <c r="BR2300" s="2126"/>
      <c r="BS2300" s="2126"/>
    </row>
    <row r="2301" spans="1:71" s="3030" customFormat="1">
      <c r="A2301" s="2126"/>
      <c r="B2301" s="2126"/>
      <c r="C2301" s="2149"/>
      <c r="D2301" s="3248"/>
      <c r="E2301" s="525"/>
      <c r="F2301" s="525"/>
      <c r="G2301" s="526"/>
      <c r="K2301" s="3280"/>
      <c r="P2301" s="3041"/>
      <c r="X2301" s="3280"/>
      <c r="AA2301" s="3041"/>
      <c r="AF2301" s="3041"/>
      <c r="AN2301" s="3280"/>
      <c r="AZ2301" s="3041"/>
      <c r="BD2301" s="3281"/>
      <c r="BH2301" s="3282"/>
      <c r="BJ2301" s="2589"/>
      <c r="BK2301" s="2126"/>
      <c r="BL2301" s="2126"/>
      <c r="BM2301" s="2126"/>
      <c r="BN2301" s="2126"/>
      <c r="BO2301" s="2126"/>
      <c r="BP2301" s="2126"/>
      <c r="BQ2301" s="2126"/>
      <c r="BR2301" s="2126"/>
      <c r="BS2301" s="2126"/>
    </row>
    <row r="2302" spans="1:71" s="3030" customFormat="1">
      <c r="A2302" s="2126"/>
      <c r="B2302" s="2126"/>
      <c r="C2302" s="2149"/>
      <c r="D2302" s="3248"/>
      <c r="E2302" s="525"/>
      <c r="F2302" s="525"/>
      <c r="G2302" s="526"/>
      <c r="K2302" s="3280"/>
      <c r="P2302" s="3041"/>
      <c r="X2302" s="3280"/>
      <c r="AA2302" s="3041"/>
      <c r="AF2302" s="3041"/>
      <c r="AN2302" s="3280"/>
      <c r="AZ2302" s="3041"/>
      <c r="BD2302" s="3281"/>
      <c r="BH2302" s="3282"/>
      <c r="BJ2302" s="2589"/>
      <c r="BK2302" s="2126"/>
      <c r="BL2302" s="2126"/>
      <c r="BM2302" s="2126"/>
      <c r="BN2302" s="2126"/>
      <c r="BO2302" s="2126"/>
      <c r="BP2302" s="2126"/>
      <c r="BQ2302" s="2126"/>
      <c r="BR2302" s="2126"/>
      <c r="BS2302" s="2126"/>
    </row>
    <row r="2303" spans="1:71" s="3030" customFormat="1">
      <c r="A2303" s="2126"/>
      <c r="B2303" s="2126"/>
      <c r="C2303" s="2149"/>
      <c r="D2303" s="3248"/>
      <c r="E2303" s="525"/>
      <c r="F2303" s="525"/>
      <c r="G2303" s="526"/>
      <c r="K2303" s="3280"/>
      <c r="P2303" s="3041"/>
      <c r="X2303" s="3280"/>
      <c r="AA2303" s="3041"/>
      <c r="AF2303" s="3041"/>
      <c r="AN2303" s="3280"/>
      <c r="AZ2303" s="3041"/>
      <c r="BD2303" s="3281"/>
      <c r="BH2303" s="3282"/>
      <c r="BJ2303" s="2589"/>
      <c r="BK2303" s="2126"/>
      <c r="BL2303" s="2126"/>
      <c r="BM2303" s="2126"/>
      <c r="BN2303" s="2126"/>
      <c r="BO2303" s="2126"/>
      <c r="BP2303" s="2126"/>
      <c r="BQ2303" s="2126"/>
      <c r="BR2303" s="2126"/>
      <c r="BS2303" s="2126"/>
    </row>
    <row r="2304" spans="1:71" s="3030" customFormat="1">
      <c r="A2304" s="2126"/>
      <c r="B2304" s="2126"/>
      <c r="C2304" s="2149"/>
      <c r="D2304" s="3248"/>
      <c r="E2304" s="525"/>
      <c r="F2304" s="525"/>
      <c r="G2304" s="526"/>
      <c r="K2304" s="3280"/>
      <c r="P2304" s="3041"/>
      <c r="X2304" s="3280"/>
      <c r="AA2304" s="3041"/>
      <c r="AF2304" s="3041"/>
      <c r="AN2304" s="3280"/>
      <c r="AZ2304" s="3041"/>
      <c r="BD2304" s="3281"/>
      <c r="BH2304" s="3282"/>
      <c r="BJ2304" s="2589"/>
      <c r="BK2304" s="2126"/>
      <c r="BL2304" s="2126"/>
      <c r="BM2304" s="2126"/>
      <c r="BN2304" s="2126"/>
      <c r="BO2304" s="2126"/>
      <c r="BP2304" s="2126"/>
      <c r="BQ2304" s="2126"/>
      <c r="BR2304" s="2126"/>
      <c r="BS2304" s="2126"/>
    </row>
    <row r="2305" spans="1:71" s="3030" customFormat="1">
      <c r="A2305" s="2126"/>
      <c r="B2305" s="2126"/>
      <c r="C2305" s="2149"/>
      <c r="D2305" s="3248"/>
      <c r="E2305" s="525"/>
      <c r="F2305" s="525"/>
      <c r="G2305" s="526"/>
      <c r="K2305" s="3280"/>
      <c r="P2305" s="3041"/>
      <c r="X2305" s="3280"/>
      <c r="AA2305" s="3041"/>
      <c r="AF2305" s="3041"/>
      <c r="AN2305" s="3280"/>
      <c r="AZ2305" s="3041"/>
      <c r="BD2305" s="3281"/>
      <c r="BH2305" s="3282"/>
      <c r="BJ2305" s="2589"/>
      <c r="BK2305" s="2126"/>
      <c r="BL2305" s="2126"/>
      <c r="BM2305" s="2126"/>
      <c r="BN2305" s="2126"/>
      <c r="BO2305" s="2126"/>
      <c r="BP2305" s="2126"/>
      <c r="BQ2305" s="2126"/>
      <c r="BR2305" s="2126"/>
      <c r="BS2305" s="2126"/>
    </row>
    <row r="2306" spans="1:71" s="3030" customFormat="1">
      <c r="A2306" s="2126"/>
      <c r="B2306" s="2126"/>
      <c r="C2306" s="2149"/>
      <c r="D2306" s="3248"/>
      <c r="E2306" s="525"/>
      <c r="F2306" s="525"/>
      <c r="G2306" s="526"/>
      <c r="K2306" s="3280"/>
      <c r="P2306" s="3041"/>
      <c r="X2306" s="3280"/>
      <c r="AA2306" s="3041"/>
      <c r="AF2306" s="3041"/>
      <c r="AN2306" s="3280"/>
      <c r="AZ2306" s="3041"/>
      <c r="BD2306" s="3281"/>
      <c r="BH2306" s="3282"/>
      <c r="BJ2306" s="2589"/>
      <c r="BK2306" s="2126"/>
      <c r="BL2306" s="2126"/>
      <c r="BM2306" s="2126"/>
      <c r="BN2306" s="2126"/>
      <c r="BO2306" s="2126"/>
      <c r="BP2306" s="2126"/>
      <c r="BQ2306" s="2126"/>
      <c r="BR2306" s="2126"/>
      <c r="BS2306" s="2126"/>
    </row>
    <row r="2307" spans="1:71" s="3030" customFormat="1">
      <c r="A2307" s="2126"/>
      <c r="B2307" s="2126"/>
      <c r="C2307" s="2149"/>
      <c r="D2307" s="3248"/>
      <c r="E2307" s="525"/>
      <c r="F2307" s="525"/>
      <c r="G2307" s="526"/>
      <c r="K2307" s="3280"/>
      <c r="P2307" s="3041"/>
      <c r="X2307" s="3280"/>
      <c r="AA2307" s="3041"/>
      <c r="AF2307" s="3041"/>
      <c r="AN2307" s="3280"/>
      <c r="AZ2307" s="3041"/>
      <c r="BD2307" s="3281"/>
      <c r="BH2307" s="3282"/>
      <c r="BJ2307" s="2589"/>
      <c r="BK2307" s="2126"/>
      <c r="BL2307" s="2126"/>
      <c r="BM2307" s="2126"/>
      <c r="BN2307" s="2126"/>
      <c r="BO2307" s="2126"/>
      <c r="BP2307" s="2126"/>
      <c r="BQ2307" s="2126"/>
      <c r="BR2307" s="2126"/>
      <c r="BS2307" s="2126"/>
    </row>
    <row r="2308" spans="1:71" s="3030" customFormat="1">
      <c r="A2308" s="2126"/>
      <c r="B2308" s="2126"/>
      <c r="C2308" s="2149"/>
      <c r="D2308" s="3248"/>
      <c r="E2308" s="525"/>
      <c r="F2308" s="525"/>
      <c r="G2308" s="526"/>
      <c r="K2308" s="3280"/>
      <c r="P2308" s="3041"/>
      <c r="X2308" s="3280"/>
      <c r="AA2308" s="3041"/>
      <c r="AF2308" s="3041"/>
      <c r="AN2308" s="3280"/>
      <c r="AZ2308" s="3041"/>
      <c r="BD2308" s="3281"/>
      <c r="BH2308" s="3282"/>
      <c r="BJ2308" s="2589"/>
      <c r="BK2308" s="2126"/>
      <c r="BL2308" s="2126"/>
      <c r="BM2308" s="2126"/>
      <c r="BN2308" s="2126"/>
      <c r="BO2308" s="2126"/>
      <c r="BP2308" s="2126"/>
      <c r="BQ2308" s="2126"/>
      <c r="BR2308" s="2126"/>
      <c r="BS2308" s="2126"/>
    </row>
    <row r="2309" spans="1:71" s="3030" customFormat="1">
      <c r="A2309" s="2126"/>
      <c r="B2309" s="2126"/>
      <c r="C2309" s="2149"/>
      <c r="D2309" s="3248"/>
      <c r="E2309" s="525"/>
      <c r="F2309" s="525"/>
      <c r="G2309" s="526"/>
      <c r="K2309" s="3280"/>
      <c r="P2309" s="3041"/>
      <c r="X2309" s="3280"/>
      <c r="AA2309" s="3041"/>
      <c r="AF2309" s="3041"/>
      <c r="AN2309" s="3280"/>
      <c r="AZ2309" s="3041"/>
      <c r="BD2309" s="3281"/>
      <c r="BH2309" s="3282"/>
      <c r="BJ2309" s="2589"/>
      <c r="BK2309" s="2126"/>
      <c r="BL2309" s="2126"/>
      <c r="BM2309" s="2126"/>
      <c r="BN2309" s="2126"/>
      <c r="BO2309" s="2126"/>
      <c r="BP2309" s="2126"/>
      <c r="BQ2309" s="2126"/>
      <c r="BR2309" s="2126"/>
      <c r="BS2309" s="2126"/>
    </row>
    <row r="2310" spans="1:71" s="3030" customFormat="1">
      <c r="A2310" s="2126"/>
      <c r="B2310" s="2126"/>
      <c r="C2310" s="2149"/>
      <c r="D2310" s="3248"/>
      <c r="E2310" s="525"/>
      <c r="F2310" s="525"/>
      <c r="G2310" s="526"/>
      <c r="K2310" s="3280"/>
      <c r="P2310" s="3041"/>
      <c r="X2310" s="3280"/>
      <c r="AA2310" s="3041"/>
      <c r="AF2310" s="3041"/>
      <c r="AN2310" s="3280"/>
      <c r="AZ2310" s="3041"/>
      <c r="BD2310" s="3281"/>
      <c r="BH2310" s="3282"/>
      <c r="BJ2310" s="2589"/>
      <c r="BK2310" s="2126"/>
      <c r="BL2310" s="2126"/>
      <c r="BM2310" s="2126"/>
      <c r="BN2310" s="2126"/>
      <c r="BO2310" s="2126"/>
      <c r="BP2310" s="2126"/>
      <c r="BQ2310" s="2126"/>
      <c r="BR2310" s="2126"/>
      <c r="BS2310" s="2126"/>
    </row>
    <row r="2311" spans="1:71" s="3030" customFormat="1">
      <c r="A2311" s="2126"/>
      <c r="B2311" s="2126"/>
      <c r="C2311" s="2149"/>
      <c r="D2311" s="3248"/>
      <c r="E2311" s="525"/>
      <c r="F2311" s="525"/>
      <c r="G2311" s="526"/>
      <c r="K2311" s="3280"/>
      <c r="P2311" s="3041"/>
      <c r="X2311" s="3280"/>
      <c r="AA2311" s="3041"/>
      <c r="AF2311" s="3041"/>
      <c r="AN2311" s="3280"/>
      <c r="AZ2311" s="3041"/>
      <c r="BD2311" s="3281"/>
      <c r="BH2311" s="3282"/>
      <c r="BJ2311" s="2589"/>
      <c r="BK2311" s="2126"/>
      <c r="BL2311" s="2126"/>
      <c r="BM2311" s="2126"/>
      <c r="BN2311" s="2126"/>
      <c r="BO2311" s="2126"/>
      <c r="BP2311" s="2126"/>
      <c r="BQ2311" s="2126"/>
      <c r="BR2311" s="2126"/>
      <c r="BS2311" s="2126"/>
    </row>
    <row r="2312" spans="1:71" s="3030" customFormat="1">
      <c r="A2312" s="2126"/>
      <c r="B2312" s="2126"/>
      <c r="C2312" s="2149"/>
      <c r="D2312" s="3248"/>
      <c r="E2312" s="525"/>
      <c r="F2312" s="525"/>
      <c r="G2312" s="526"/>
      <c r="K2312" s="3280"/>
      <c r="P2312" s="3041"/>
      <c r="X2312" s="3280"/>
      <c r="AA2312" s="3041"/>
      <c r="AF2312" s="3041"/>
      <c r="AN2312" s="3280"/>
      <c r="AZ2312" s="3041"/>
      <c r="BD2312" s="3281"/>
      <c r="BH2312" s="3282"/>
      <c r="BJ2312" s="2589"/>
      <c r="BK2312" s="2126"/>
      <c r="BL2312" s="2126"/>
      <c r="BM2312" s="2126"/>
      <c r="BN2312" s="2126"/>
      <c r="BO2312" s="2126"/>
      <c r="BP2312" s="2126"/>
      <c r="BQ2312" s="2126"/>
      <c r="BR2312" s="2126"/>
      <c r="BS2312" s="2126"/>
    </row>
    <row r="2313" spans="1:71" s="3030" customFormat="1">
      <c r="A2313" s="2126"/>
      <c r="B2313" s="2126"/>
      <c r="C2313" s="2149"/>
      <c r="D2313" s="3248"/>
      <c r="E2313" s="525"/>
      <c r="F2313" s="525"/>
      <c r="G2313" s="526"/>
      <c r="K2313" s="3280"/>
      <c r="P2313" s="3041"/>
      <c r="X2313" s="3280"/>
      <c r="AA2313" s="3041"/>
      <c r="AF2313" s="3041"/>
      <c r="AN2313" s="3280"/>
      <c r="AZ2313" s="3041"/>
      <c r="BD2313" s="3281"/>
      <c r="BH2313" s="3282"/>
      <c r="BJ2313" s="2589"/>
      <c r="BK2313" s="2126"/>
      <c r="BL2313" s="2126"/>
      <c r="BM2313" s="2126"/>
      <c r="BN2313" s="2126"/>
      <c r="BO2313" s="2126"/>
      <c r="BP2313" s="2126"/>
      <c r="BQ2313" s="2126"/>
      <c r="BR2313" s="2126"/>
      <c r="BS2313" s="2126"/>
    </row>
    <row r="2314" spans="1:71" s="3030" customFormat="1">
      <c r="A2314" s="2126"/>
      <c r="B2314" s="2126"/>
      <c r="C2314" s="2149"/>
      <c r="D2314" s="3248"/>
      <c r="E2314" s="525"/>
      <c r="F2314" s="525"/>
      <c r="G2314" s="526"/>
      <c r="K2314" s="3280"/>
      <c r="P2314" s="3041"/>
      <c r="X2314" s="3280"/>
      <c r="AA2314" s="3041"/>
      <c r="AF2314" s="3041"/>
      <c r="AN2314" s="3280"/>
      <c r="AZ2314" s="3041"/>
      <c r="BD2314" s="3281"/>
      <c r="BH2314" s="3282"/>
      <c r="BJ2314" s="2589"/>
      <c r="BK2314" s="2126"/>
      <c r="BL2314" s="2126"/>
      <c r="BM2314" s="2126"/>
      <c r="BN2314" s="2126"/>
      <c r="BO2314" s="2126"/>
      <c r="BP2314" s="2126"/>
      <c r="BQ2314" s="2126"/>
      <c r="BR2314" s="2126"/>
      <c r="BS2314" s="2126"/>
    </row>
    <row r="2315" spans="1:71" s="3030" customFormat="1">
      <c r="A2315" s="2126"/>
      <c r="B2315" s="2126"/>
      <c r="C2315" s="2149"/>
      <c r="D2315" s="3248"/>
      <c r="E2315" s="525"/>
      <c r="F2315" s="525"/>
      <c r="G2315" s="526"/>
      <c r="K2315" s="3280"/>
      <c r="P2315" s="3041"/>
      <c r="X2315" s="3280"/>
      <c r="AA2315" s="3041"/>
      <c r="AF2315" s="3041"/>
      <c r="AN2315" s="3280"/>
      <c r="AZ2315" s="3041"/>
      <c r="BD2315" s="3281"/>
      <c r="BH2315" s="3282"/>
      <c r="BJ2315" s="2589"/>
      <c r="BK2315" s="2126"/>
      <c r="BL2315" s="2126"/>
      <c r="BM2315" s="2126"/>
      <c r="BN2315" s="2126"/>
      <c r="BO2315" s="2126"/>
      <c r="BP2315" s="2126"/>
      <c r="BQ2315" s="2126"/>
      <c r="BR2315" s="2126"/>
      <c r="BS2315" s="2126"/>
    </row>
    <row r="2316" spans="1:71" s="3030" customFormat="1">
      <c r="A2316" s="2126"/>
      <c r="B2316" s="2126"/>
      <c r="C2316" s="2149"/>
      <c r="D2316" s="3248"/>
      <c r="E2316" s="525"/>
      <c r="F2316" s="525"/>
      <c r="G2316" s="526"/>
      <c r="K2316" s="3280"/>
      <c r="P2316" s="3041"/>
      <c r="X2316" s="3280"/>
      <c r="AA2316" s="3041"/>
      <c r="AF2316" s="3041"/>
      <c r="AN2316" s="3280"/>
      <c r="AZ2316" s="3041"/>
      <c r="BD2316" s="3281"/>
      <c r="BH2316" s="3282"/>
      <c r="BJ2316" s="2589"/>
      <c r="BK2316" s="2126"/>
      <c r="BL2316" s="2126"/>
      <c r="BM2316" s="2126"/>
      <c r="BN2316" s="2126"/>
      <c r="BO2316" s="2126"/>
      <c r="BP2316" s="2126"/>
      <c r="BQ2316" s="2126"/>
      <c r="BR2316" s="2126"/>
      <c r="BS2316" s="2126"/>
    </row>
    <row r="2317" spans="1:71" s="3030" customFormat="1">
      <c r="A2317" s="2126"/>
      <c r="B2317" s="2126"/>
      <c r="C2317" s="2149"/>
      <c r="D2317" s="3248"/>
      <c r="E2317" s="525"/>
      <c r="F2317" s="525"/>
      <c r="G2317" s="526"/>
      <c r="K2317" s="3280"/>
      <c r="P2317" s="3041"/>
      <c r="X2317" s="3280"/>
      <c r="AA2317" s="3041"/>
      <c r="AF2317" s="3041"/>
      <c r="AN2317" s="3280"/>
      <c r="AZ2317" s="3041"/>
      <c r="BD2317" s="3281"/>
      <c r="BH2317" s="3282"/>
      <c r="BJ2317" s="2589"/>
      <c r="BK2317" s="2126"/>
      <c r="BL2317" s="2126"/>
      <c r="BM2317" s="2126"/>
      <c r="BN2317" s="2126"/>
      <c r="BO2317" s="2126"/>
      <c r="BP2317" s="2126"/>
      <c r="BQ2317" s="2126"/>
      <c r="BR2317" s="2126"/>
      <c r="BS2317" s="2126"/>
    </row>
    <row r="2318" spans="1:71" s="3030" customFormat="1">
      <c r="A2318" s="2126"/>
      <c r="B2318" s="2126"/>
      <c r="C2318" s="2149"/>
      <c r="D2318" s="3248"/>
      <c r="E2318" s="525"/>
      <c r="F2318" s="525"/>
      <c r="G2318" s="526"/>
      <c r="K2318" s="3280"/>
      <c r="P2318" s="3041"/>
      <c r="X2318" s="3280"/>
      <c r="AA2318" s="3041"/>
      <c r="AF2318" s="3041"/>
      <c r="AN2318" s="3280"/>
      <c r="AZ2318" s="3041"/>
      <c r="BD2318" s="3281"/>
      <c r="BH2318" s="3282"/>
      <c r="BJ2318" s="2589"/>
      <c r="BK2318" s="2126"/>
      <c r="BL2318" s="2126"/>
      <c r="BM2318" s="2126"/>
      <c r="BN2318" s="2126"/>
      <c r="BO2318" s="2126"/>
      <c r="BP2318" s="2126"/>
      <c r="BQ2318" s="2126"/>
      <c r="BR2318" s="2126"/>
      <c r="BS2318" s="2126"/>
    </row>
    <row r="2319" spans="1:71" s="3030" customFormat="1">
      <c r="A2319" s="2126"/>
      <c r="B2319" s="2126"/>
      <c r="C2319" s="2149"/>
      <c r="D2319" s="3248"/>
      <c r="E2319" s="525"/>
      <c r="F2319" s="525"/>
      <c r="G2319" s="526"/>
      <c r="K2319" s="3280"/>
      <c r="P2319" s="3041"/>
      <c r="X2319" s="3280"/>
      <c r="AA2319" s="3041"/>
      <c r="AF2319" s="3041"/>
      <c r="AN2319" s="3280"/>
      <c r="AZ2319" s="3041"/>
      <c r="BD2319" s="3281"/>
      <c r="BH2319" s="3282"/>
      <c r="BJ2319" s="2589"/>
      <c r="BK2319" s="2126"/>
      <c r="BL2319" s="2126"/>
      <c r="BM2319" s="2126"/>
      <c r="BN2319" s="2126"/>
      <c r="BO2319" s="2126"/>
      <c r="BP2319" s="2126"/>
      <c r="BQ2319" s="2126"/>
      <c r="BR2319" s="2126"/>
      <c r="BS2319" s="2126"/>
    </row>
    <row r="2320" spans="1:71" s="3030" customFormat="1">
      <c r="A2320" s="2126"/>
      <c r="B2320" s="2126"/>
      <c r="C2320" s="2149"/>
      <c r="D2320" s="3248"/>
      <c r="E2320" s="525"/>
      <c r="F2320" s="525"/>
      <c r="G2320" s="526"/>
      <c r="K2320" s="3280"/>
      <c r="P2320" s="3041"/>
      <c r="X2320" s="3280"/>
      <c r="AA2320" s="3041"/>
      <c r="AF2320" s="3041"/>
      <c r="AN2320" s="3280"/>
      <c r="AZ2320" s="3041"/>
      <c r="BD2320" s="3281"/>
      <c r="BH2320" s="3282"/>
      <c r="BJ2320" s="2589"/>
      <c r="BK2320" s="2126"/>
      <c r="BL2320" s="2126"/>
      <c r="BM2320" s="2126"/>
      <c r="BN2320" s="2126"/>
      <c r="BO2320" s="2126"/>
      <c r="BP2320" s="2126"/>
      <c r="BQ2320" s="2126"/>
      <c r="BR2320" s="2126"/>
      <c r="BS2320" s="2126"/>
    </row>
    <row r="2321" spans="1:71" s="3030" customFormat="1">
      <c r="A2321" s="2126"/>
      <c r="B2321" s="2126"/>
      <c r="C2321" s="2149"/>
      <c r="D2321" s="3248"/>
      <c r="E2321" s="525"/>
      <c r="F2321" s="525"/>
      <c r="G2321" s="526"/>
      <c r="K2321" s="3280"/>
      <c r="P2321" s="3041"/>
      <c r="X2321" s="3280"/>
      <c r="AA2321" s="3041"/>
      <c r="AF2321" s="3041"/>
      <c r="AN2321" s="3280"/>
      <c r="AZ2321" s="3041"/>
      <c r="BD2321" s="3281"/>
      <c r="BH2321" s="3282"/>
      <c r="BJ2321" s="2589"/>
      <c r="BK2321" s="2126"/>
      <c r="BL2321" s="2126"/>
      <c r="BM2321" s="2126"/>
      <c r="BN2321" s="2126"/>
      <c r="BO2321" s="2126"/>
      <c r="BP2321" s="2126"/>
      <c r="BQ2321" s="2126"/>
      <c r="BR2321" s="2126"/>
      <c r="BS2321" s="2126"/>
    </row>
    <row r="2322" spans="1:71" s="3030" customFormat="1">
      <c r="A2322" s="2126"/>
      <c r="B2322" s="2126"/>
      <c r="C2322" s="2149"/>
      <c r="D2322" s="3248"/>
      <c r="E2322" s="525"/>
      <c r="F2322" s="525"/>
      <c r="G2322" s="526"/>
      <c r="K2322" s="3280"/>
      <c r="P2322" s="3041"/>
      <c r="X2322" s="3280"/>
      <c r="AA2322" s="3041"/>
      <c r="AF2322" s="3041"/>
      <c r="AN2322" s="3280"/>
      <c r="AZ2322" s="3041"/>
      <c r="BD2322" s="3281"/>
      <c r="BH2322" s="3282"/>
      <c r="BJ2322" s="2589"/>
      <c r="BK2322" s="2126"/>
      <c r="BL2322" s="2126"/>
      <c r="BM2322" s="2126"/>
      <c r="BN2322" s="2126"/>
      <c r="BO2322" s="2126"/>
      <c r="BP2322" s="2126"/>
      <c r="BQ2322" s="2126"/>
      <c r="BR2322" s="2126"/>
      <c r="BS2322" s="2126"/>
    </row>
    <row r="2323" spans="1:71" s="3030" customFormat="1">
      <c r="A2323" s="2126"/>
      <c r="B2323" s="2126"/>
      <c r="C2323" s="2149"/>
      <c r="D2323" s="3248"/>
      <c r="E2323" s="525"/>
      <c r="F2323" s="525"/>
      <c r="G2323" s="526"/>
      <c r="K2323" s="3280"/>
      <c r="P2323" s="3041"/>
      <c r="X2323" s="3280"/>
      <c r="AA2323" s="3041"/>
      <c r="AF2323" s="3041"/>
      <c r="AN2323" s="3280"/>
      <c r="AZ2323" s="3041"/>
      <c r="BD2323" s="3281"/>
      <c r="BH2323" s="3282"/>
      <c r="BJ2323" s="2589"/>
      <c r="BK2323" s="2126"/>
      <c r="BL2323" s="2126"/>
      <c r="BM2323" s="2126"/>
      <c r="BN2323" s="2126"/>
      <c r="BO2323" s="2126"/>
      <c r="BP2323" s="2126"/>
      <c r="BQ2323" s="2126"/>
      <c r="BR2323" s="2126"/>
      <c r="BS2323" s="2126"/>
    </row>
    <row r="2324" spans="1:71" s="3030" customFormat="1">
      <c r="A2324" s="2126"/>
      <c r="B2324" s="2126"/>
      <c r="C2324" s="2149"/>
      <c r="D2324" s="3248"/>
      <c r="E2324" s="525"/>
      <c r="F2324" s="525"/>
      <c r="G2324" s="526"/>
      <c r="K2324" s="3280"/>
      <c r="P2324" s="3041"/>
      <c r="X2324" s="3280"/>
      <c r="AA2324" s="3041"/>
      <c r="AF2324" s="3041"/>
      <c r="AN2324" s="3280"/>
      <c r="AZ2324" s="3041"/>
      <c r="BD2324" s="3281"/>
      <c r="BH2324" s="3282"/>
      <c r="BJ2324" s="2589"/>
      <c r="BK2324" s="2126"/>
      <c r="BL2324" s="2126"/>
      <c r="BM2324" s="2126"/>
      <c r="BN2324" s="2126"/>
      <c r="BO2324" s="2126"/>
      <c r="BP2324" s="2126"/>
      <c r="BQ2324" s="2126"/>
      <c r="BR2324" s="2126"/>
      <c r="BS2324" s="2126"/>
    </row>
    <row r="2325" spans="1:71" s="3030" customFormat="1">
      <c r="A2325" s="2126"/>
      <c r="B2325" s="2126"/>
      <c r="C2325" s="2149"/>
      <c r="D2325" s="3248"/>
      <c r="E2325" s="525"/>
      <c r="F2325" s="525"/>
      <c r="G2325" s="526"/>
      <c r="K2325" s="3280"/>
      <c r="P2325" s="3041"/>
      <c r="X2325" s="3280"/>
      <c r="AA2325" s="3041"/>
      <c r="AF2325" s="3041"/>
      <c r="AN2325" s="3280"/>
      <c r="AZ2325" s="3041"/>
      <c r="BD2325" s="3281"/>
      <c r="BH2325" s="3282"/>
      <c r="BJ2325" s="2589"/>
      <c r="BK2325" s="2126"/>
      <c r="BL2325" s="2126"/>
      <c r="BM2325" s="2126"/>
      <c r="BN2325" s="2126"/>
      <c r="BO2325" s="2126"/>
      <c r="BP2325" s="2126"/>
      <c r="BQ2325" s="2126"/>
      <c r="BR2325" s="2126"/>
      <c r="BS2325" s="2126"/>
    </row>
    <row r="2326" spans="1:71" s="3030" customFormat="1">
      <c r="A2326" s="2126"/>
      <c r="B2326" s="2126"/>
      <c r="C2326" s="2149"/>
      <c r="D2326" s="3248"/>
      <c r="E2326" s="525"/>
      <c r="F2326" s="525"/>
      <c r="G2326" s="526"/>
      <c r="K2326" s="3280"/>
      <c r="P2326" s="3041"/>
      <c r="X2326" s="3280"/>
      <c r="AA2326" s="3041"/>
      <c r="AF2326" s="3041"/>
      <c r="AN2326" s="3280"/>
      <c r="AZ2326" s="3041"/>
      <c r="BD2326" s="3281"/>
      <c r="BH2326" s="3282"/>
      <c r="BJ2326" s="2589"/>
      <c r="BK2326" s="2126"/>
      <c r="BL2326" s="2126"/>
      <c r="BM2326" s="2126"/>
      <c r="BN2326" s="2126"/>
      <c r="BO2326" s="2126"/>
      <c r="BP2326" s="2126"/>
      <c r="BQ2326" s="2126"/>
      <c r="BR2326" s="2126"/>
      <c r="BS2326" s="2126"/>
    </row>
    <row r="2327" spans="1:71" s="3030" customFormat="1">
      <c r="A2327" s="2126"/>
      <c r="B2327" s="2126"/>
      <c r="C2327" s="2149"/>
      <c r="D2327" s="3248"/>
      <c r="E2327" s="525"/>
      <c r="F2327" s="525"/>
      <c r="G2327" s="526"/>
      <c r="K2327" s="3280"/>
      <c r="P2327" s="3041"/>
      <c r="X2327" s="3280"/>
      <c r="AA2327" s="3041"/>
      <c r="AF2327" s="3041"/>
      <c r="AN2327" s="3280"/>
      <c r="AZ2327" s="3041"/>
      <c r="BD2327" s="3281"/>
      <c r="BH2327" s="3282"/>
      <c r="BJ2327" s="2589"/>
      <c r="BK2327" s="2126"/>
      <c r="BL2327" s="2126"/>
      <c r="BM2327" s="2126"/>
      <c r="BN2327" s="2126"/>
      <c r="BO2327" s="2126"/>
      <c r="BP2327" s="2126"/>
      <c r="BQ2327" s="2126"/>
      <c r="BR2327" s="2126"/>
      <c r="BS2327" s="2126"/>
    </row>
    <row r="2328" spans="1:71" s="3030" customFormat="1">
      <c r="A2328" s="2126"/>
      <c r="B2328" s="2126"/>
      <c r="C2328" s="2149"/>
      <c r="D2328" s="3248"/>
      <c r="E2328" s="525"/>
      <c r="F2328" s="525"/>
      <c r="G2328" s="526"/>
      <c r="K2328" s="3280"/>
      <c r="P2328" s="3041"/>
      <c r="X2328" s="3280"/>
      <c r="AA2328" s="3041"/>
      <c r="AF2328" s="3041"/>
      <c r="AN2328" s="3280"/>
      <c r="AZ2328" s="3041"/>
      <c r="BD2328" s="3281"/>
      <c r="BH2328" s="3282"/>
      <c r="BJ2328" s="2589"/>
      <c r="BK2328" s="2126"/>
      <c r="BL2328" s="2126"/>
      <c r="BM2328" s="2126"/>
      <c r="BN2328" s="2126"/>
      <c r="BO2328" s="2126"/>
      <c r="BP2328" s="2126"/>
      <c r="BQ2328" s="2126"/>
      <c r="BR2328" s="2126"/>
      <c r="BS2328" s="2126"/>
    </row>
    <row r="2329" spans="1:71" s="3030" customFormat="1">
      <c r="A2329" s="2126"/>
      <c r="B2329" s="2126"/>
      <c r="C2329" s="2149"/>
      <c r="D2329" s="3248"/>
      <c r="E2329" s="525"/>
      <c r="F2329" s="525"/>
      <c r="G2329" s="526"/>
      <c r="K2329" s="3280"/>
      <c r="P2329" s="3041"/>
      <c r="X2329" s="3280"/>
      <c r="AA2329" s="3041"/>
      <c r="AF2329" s="3041"/>
      <c r="AN2329" s="3280"/>
      <c r="AZ2329" s="3041"/>
      <c r="BD2329" s="3281"/>
      <c r="BH2329" s="3282"/>
      <c r="BJ2329" s="2589"/>
      <c r="BK2329" s="2126"/>
      <c r="BL2329" s="2126"/>
      <c r="BM2329" s="2126"/>
      <c r="BN2329" s="2126"/>
      <c r="BO2329" s="2126"/>
      <c r="BP2329" s="2126"/>
      <c r="BQ2329" s="2126"/>
      <c r="BR2329" s="2126"/>
      <c r="BS2329" s="2126"/>
    </row>
    <row r="2330" spans="1:71" s="3030" customFormat="1">
      <c r="A2330" s="2126"/>
      <c r="B2330" s="2126"/>
      <c r="C2330" s="2149"/>
      <c r="D2330" s="3248"/>
      <c r="E2330" s="525"/>
      <c r="F2330" s="525"/>
      <c r="G2330" s="526"/>
      <c r="K2330" s="3280"/>
      <c r="P2330" s="3041"/>
      <c r="X2330" s="3280"/>
      <c r="AA2330" s="3041"/>
      <c r="AF2330" s="3041"/>
      <c r="AN2330" s="3280"/>
      <c r="AZ2330" s="3041"/>
      <c r="BD2330" s="3281"/>
      <c r="BH2330" s="3282"/>
      <c r="BJ2330" s="2589"/>
      <c r="BK2330" s="2126"/>
      <c r="BL2330" s="2126"/>
      <c r="BM2330" s="2126"/>
      <c r="BN2330" s="2126"/>
      <c r="BO2330" s="2126"/>
      <c r="BP2330" s="2126"/>
      <c r="BQ2330" s="2126"/>
      <c r="BR2330" s="2126"/>
      <c r="BS2330" s="2126"/>
    </row>
    <row r="2331" spans="1:71" s="3030" customFormat="1">
      <c r="A2331" s="2126"/>
      <c r="B2331" s="2126"/>
      <c r="C2331" s="2149"/>
      <c r="D2331" s="3248"/>
      <c r="E2331" s="525"/>
      <c r="F2331" s="525"/>
      <c r="G2331" s="526"/>
      <c r="K2331" s="3280"/>
      <c r="P2331" s="3041"/>
      <c r="X2331" s="3280"/>
      <c r="AA2331" s="3041"/>
      <c r="AF2331" s="3041"/>
      <c r="AN2331" s="3280"/>
      <c r="AZ2331" s="3041"/>
      <c r="BD2331" s="3281"/>
      <c r="BH2331" s="3282"/>
      <c r="BJ2331" s="2589"/>
      <c r="BK2331" s="2126"/>
      <c r="BL2331" s="2126"/>
      <c r="BM2331" s="2126"/>
      <c r="BN2331" s="2126"/>
      <c r="BO2331" s="2126"/>
      <c r="BP2331" s="2126"/>
      <c r="BQ2331" s="2126"/>
      <c r="BR2331" s="2126"/>
      <c r="BS2331" s="2126"/>
    </row>
    <row r="2332" spans="1:71" s="3030" customFormat="1">
      <c r="A2332" s="2126"/>
      <c r="B2332" s="2126"/>
      <c r="C2332" s="2149"/>
      <c r="D2332" s="3248"/>
      <c r="E2332" s="525"/>
      <c r="F2332" s="525"/>
      <c r="G2332" s="526"/>
      <c r="K2332" s="3280"/>
      <c r="P2332" s="3041"/>
      <c r="X2332" s="3280"/>
      <c r="AA2332" s="3041"/>
      <c r="AF2332" s="3041"/>
      <c r="AN2332" s="3280"/>
      <c r="AZ2332" s="3041"/>
      <c r="BD2332" s="3281"/>
      <c r="BH2332" s="3282"/>
      <c r="BJ2332" s="2589"/>
      <c r="BK2332" s="2126"/>
      <c r="BL2332" s="2126"/>
      <c r="BM2332" s="2126"/>
      <c r="BN2332" s="2126"/>
      <c r="BO2332" s="2126"/>
      <c r="BP2332" s="2126"/>
      <c r="BQ2332" s="2126"/>
      <c r="BR2332" s="2126"/>
      <c r="BS2332" s="2126"/>
    </row>
    <row r="2333" spans="1:71" s="3030" customFormat="1">
      <c r="A2333" s="2126"/>
      <c r="B2333" s="2126"/>
      <c r="C2333" s="2149"/>
      <c r="D2333" s="3248"/>
      <c r="E2333" s="525"/>
      <c r="F2333" s="525"/>
      <c r="G2333" s="526"/>
      <c r="K2333" s="3280"/>
      <c r="P2333" s="3041"/>
      <c r="X2333" s="3280"/>
      <c r="AA2333" s="3041"/>
      <c r="AF2333" s="3041"/>
      <c r="AN2333" s="3280"/>
      <c r="AZ2333" s="3041"/>
      <c r="BD2333" s="3281"/>
      <c r="BH2333" s="3282"/>
      <c r="BJ2333" s="2589"/>
      <c r="BK2333" s="2126"/>
      <c r="BL2333" s="2126"/>
      <c r="BM2333" s="2126"/>
      <c r="BN2333" s="2126"/>
      <c r="BO2333" s="2126"/>
      <c r="BP2333" s="2126"/>
      <c r="BQ2333" s="2126"/>
      <c r="BR2333" s="2126"/>
      <c r="BS2333" s="2126"/>
    </row>
    <row r="2334" spans="1:71" s="3030" customFormat="1">
      <c r="A2334" s="2126"/>
      <c r="B2334" s="2126"/>
      <c r="C2334" s="2149"/>
      <c r="D2334" s="3248"/>
      <c r="E2334" s="525"/>
      <c r="F2334" s="525"/>
      <c r="G2334" s="526"/>
      <c r="K2334" s="3280"/>
      <c r="P2334" s="3041"/>
      <c r="X2334" s="3280"/>
      <c r="AA2334" s="3041"/>
      <c r="AF2334" s="3041"/>
      <c r="AN2334" s="3280"/>
      <c r="AZ2334" s="3041"/>
      <c r="BD2334" s="3281"/>
      <c r="BH2334" s="3282"/>
      <c r="BJ2334" s="2589"/>
      <c r="BK2334" s="2126"/>
      <c r="BL2334" s="2126"/>
      <c r="BM2334" s="2126"/>
      <c r="BN2334" s="2126"/>
      <c r="BO2334" s="2126"/>
      <c r="BP2334" s="2126"/>
      <c r="BQ2334" s="2126"/>
      <c r="BR2334" s="2126"/>
      <c r="BS2334" s="2126"/>
    </row>
    <row r="2335" spans="1:71" s="3030" customFormat="1">
      <c r="A2335" s="2126"/>
      <c r="B2335" s="2126"/>
      <c r="C2335" s="2149"/>
      <c r="D2335" s="3248"/>
      <c r="E2335" s="525"/>
      <c r="F2335" s="525"/>
      <c r="G2335" s="526"/>
      <c r="K2335" s="3280"/>
      <c r="P2335" s="3041"/>
      <c r="X2335" s="3280"/>
      <c r="AA2335" s="3041"/>
      <c r="AF2335" s="3041"/>
      <c r="AN2335" s="3280"/>
      <c r="AZ2335" s="3041"/>
      <c r="BD2335" s="3281"/>
      <c r="BH2335" s="3282"/>
      <c r="BJ2335" s="2589"/>
      <c r="BK2335" s="2126"/>
      <c r="BL2335" s="2126"/>
      <c r="BM2335" s="2126"/>
      <c r="BN2335" s="2126"/>
      <c r="BO2335" s="2126"/>
      <c r="BP2335" s="2126"/>
      <c r="BQ2335" s="2126"/>
      <c r="BR2335" s="2126"/>
      <c r="BS2335" s="2126"/>
    </row>
    <row r="2336" spans="1:71" s="3030" customFormat="1">
      <c r="A2336" s="2126"/>
      <c r="B2336" s="2126"/>
      <c r="C2336" s="2149"/>
      <c r="D2336" s="3248"/>
      <c r="E2336" s="525"/>
      <c r="F2336" s="525"/>
      <c r="G2336" s="526"/>
      <c r="K2336" s="3280"/>
      <c r="P2336" s="3041"/>
      <c r="X2336" s="3280"/>
      <c r="AA2336" s="3041"/>
      <c r="AF2336" s="3041"/>
      <c r="AN2336" s="3280"/>
      <c r="AZ2336" s="3041"/>
      <c r="BD2336" s="3281"/>
      <c r="BH2336" s="3282"/>
      <c r="BJ2336" s="2589"/>
      <c r="BK2336" s="2126"/>
      <c r="BL2336" s="2126"/>
      <c r="BM2336" s="2126"/>
      <c r="BN2336" s="2126"/>
      <c r="BO2336" s="2126"/>
      <c r="BP2336" s="2126"/>
      <c r="BQ2336" s="2126"/>
      <c r="BR2336" s="2126"/>
      <c r="BS2336" s="2126"/>
    </row>
    <row r="2337" spans="1:71" s="3030" customFormat="1">
      <c r="A2337" s="2126"/>
      <c r="B2337" s="2126"/>
      <c r="C2337" s="2149"/>
      <c r="D2337" s="3248"/>
      <c r="E2337" s="525"/>
      <c r="F2337" s="525"/>
      <c r="G2337" s="526"/>
      <c r="K2337" s="3280"/>
      <c r="P2337" s="3041"/>
      <c r="X2337" s="3280"/>
      <c r="AA2337" s="3041"/>
      <c r="AF2337" s="3041"/>
      <c r="AN2337" s="3280"/>
      <c r="AZ2337" s="3041"/>
      <c r="BD2337" s="3281"/>
      <c r="BH2337" s="3282"/>
      <c r="BJ2337" s="2589"/>
      <c r="BK2337" s="2126"/>
      <c r="BL2337" s="2126"/>
      <c r="BM2337" s="2126"/>
      <c r="BN2337" s="2126"/>
      <c r="BO2337" s="2126"/>
      <c r="BP2337" s="2126"/>
      <c r="BQ2337" s="2126"/>
      <c r="BR2337" s="2126"/>
      <c r="BS2337" s="2126"/>
    </row>
    <row r="2338" spans="1:71" s="3030" customFormat="1">
      <c r="A2338" s="2126"/>
      <c r="B2338" s="2126"/>
      <c r="C2338" s="2149"/>
      <c r="D2338" s="3248"/>
      <c r="E2338" s="525"/>
      <c r="F2338" s="525"/>
      <c r="G2338" s="526"/>
      <c r="K2338" s="3280"/>
      <c r="P2338" s="3041"/>
      <c r="X2338" s="3280"/>
      <c r="AA2338" s="3041"/>
      <c r="AF2338" s="3041"/>
      <c r="AN2338" s="3280"/>
      <c r="AZ2338" s="3041"/>
      <c r="BD2338" s="3281"/>
      <c r="BH2338" s="3282"/>
      <c r="BJ2338" s="2589"/>
      <c r="BK2338" s="2126"/>
      <c r="BL2338" s="2126"/>
      <c r="BM2338" s="2126"/>
      <c r="BN2338" s="2126"/>
      <c r="BO2338" s="2126"/>
      <c r="BP2338" s="2126"/>
      <c r="BQ2338" s="2126"/>
      <c r="BR2338" s="2126"/>
      <c r="BS2338" s="2126"/>
    </row>
    <row r="2339" spans="1:71" s="3030" customFormat="1">
      <c r="A2339" s="2126"/>
      <c r="B2339" s="2126"/>
      <c r="C2339" s="2149"/>
      <c r="D2339" s="3248"/>
      <c r="E2339" s="525"/>
      <c r="F2339" s="525"/>
      <c r="G2339" s="526"/>
      <c r="K2339" s="3280"/>
      <c r="P2339" s="3041"/>
      <c r="X2339" s="3280"/>
      <c r="AA2339" s="3041"/>
      <c r="AF2339" s="3041"/>
      <c r="AN2339" s="3280"/>
      <c r="AZ2339" s="3041"/>
      <c r="BD2339" s="3281"/>
      <c r="BH2339" s="3282"/>
      <c r="BJ2339" s="2589"/>
      <c r="BK2339" s="2126"/>
      <c r="BL2339" s="2126"/>
      <c r="BM2339" s="2126"/>
      <c r="BN2339" s="2126"/>
      <c r="BO2339" s="2126"/>
      <c r="BP2339" s="2126"/>
      <c r="BQ2339" s="2126"/>
      <c r="BR2339" s="2126"/>
      <c r="BS2339" s="2126"/>
    </row>
    <row r="2340" spans="1:71" s="3030" customFormat="1">
      <c r="A2340" s="2126"/>
      <c r="B2340" s="2126"/>
      <c r="C2340" s="2149"/>
      <c r="D2340" s="3248"/>
      <c r="E2340" s="525"/>
      <c r="F2340" s="525"/>
      <c r="G2340" s="526"/>
      <c r="K2340" s="3280"/>
      <c r="P2340" s="3041"/>
      <c r="X2340" s="3280"/>
      <c r="AA2340" s="3041"/>
      <c r="AF2340" s="3041"/>
      <c r="AN2340" s="3280"/>
      <c r="AZ2340" s="3041"/>
      <c r="BD2340" s="3281"/>
      <c r="BH2340" s="3282"/>
      <c r="BJ2340" s="2589"/>
      <c r="BK2340" s="2126"/>
      <c r="BL2340" s="2126"/>
      <c r="BM2340" s="2126"/>
      <c r="BN2340" s="2126"/>
      <c r="BO2340" s="2126"/>
      <c r="BP2340" s="2126"/>
      <c r="BQ2340" s="2126"/>
      <c r="BR2340" s="2126"/>
      <c r="BS2340" s="2126"/>
    </row>
    <row r="2341" spans="1:71" s="3030" customFormat="1">
      <c r="A2341" s="2126"/>
      <c r="B2341" s="2126"/>
      <c r="C2341" s="2149"/>
      <c r="D2341" s="3248"/>
      <c r="E2341" s="525"/>
      <c r="F2341" s="525"/>
      <c r="G2341" s="526"/>
      <c r="K2341" s="3280"/>
      <c r="P2341" s="3041"/>
      <c r="X2341" s="3280"/>
      <c r="AA2341" s="3041"/>
      <c r="AF2341" s="3041"/>
      <c r="AN2341" s="3280"/>
      <c r="AZ2341" s="3041"/>
      <c r="BD2341" s="3281"/>
      <c r="BH2341" s="3282"/>
      <c r="BJ2341" s="2589"/>
      <c r="BK2341" s="2126"/>
      <c r="BL2341" s="2126"/>
      <c r="BM2341" s="2126"/>
      <c r="BN2341" s="2126"/>
      <c r="BO2341" s="2126"/>
      <c r="BP2341" s="2126"/>
      <c r="BQ2341" s="2126"/>
      <c r="BR2341" s="2126"/>
      <c r="BS2341" s="2126"/>
    </row>
    <row r="2342" spans="1:71" s="3030" customFormat="1">
      <c r="A2342" s="2126"/>
      <c r="B2342" s="2126"/>
      <c r="C2342" s="2149"/>
      <c r="D2342" s="3248"/>
      <c r="E2342" s="525"/>
      <c r="F2342" s="525"/>
      <c r="G2342" s="526"/>
      <c r="K2342" s="3280"/>
      <c r="P2342" s="3041"/>
      <c r="X2342" s="3280"/>
      <c r="AA2342" s="3041"/>
      <c r="AF2342" s="3041"/>
      <c r="AN2342" s="3280"/>
      <c r="AZ2342" s="3041"/>
      <c r="BD2342" s="3281"/>
      <c r="BH2342" s="3282"/>
      <c r="BJ2342" s="2589"/>
      <c r="BK2342" s="2126"/>
      <c r="BL2342" s="2126"/>
      <c r="BM2342" s="2126"/>
      <c r="BN2342" s="2126"/>
      <c r="BO2342" s="2126"/>
      <c r="BP2342" s="2126"/>
      <c r="BQ2342" s="2126"/>
      <c r="BR2342" s="2126"/>
      <c r="BS2342" s="2126"/>
    </row>
    <row r="2343" spans="1:71" s="3030" customFormat="1">
      <c r="A2343" s="2126"/>
      <c r="B2343" s="2126"/>
      <c r="C2343" s="2149"/>
      <c r="D2343" s="3248"/>
      <c r="E2343" s="525"/>
      <c r="F2343" s="525"/>
      <c r="G2343" s="526"/>
      <c r="K2343" s="3280"/>
      <c r="P2343" s="3041"/>
      <c r="X2343" s="3280"/>
      <c r="AA2343" s="3041"/>
      <c r="AF2343" s="3041"/>
      <c r="AN2343" s="3280"/>
      <c r="AZ2343" s="3041"/>
      <c r="BD2343" s="3281"/>
      <c r="BH2343" s="3282"/>
      <c r="BJ2343" s="2589"/>
      <c r="BK2343" s="2126"/>
      <c r="BL2343" s="2126"/>
      <c r="BM2343" s="2126"/>
      <c r="BN2343" s="2126"/>
      <c r="BO2343" s="2126"/>
      <c r="BP2343" s="2126"/>
      <c r="BQ2343" s="2126"/>
      <c r="BR2343" s="2126"/>
      <c r="BS2343" s="2126"/>
    </row>
    <row r="2344" spans="1:71" s="3030" customFormat="1">
      <c r="A2344" s="2126"/>
      <c r="B2344" s="2126"/>
      <c r="C2344" s="2149"/>
      <c r="D2344" s="3248"/>
      <c r="E2344" s="525"/>
      <c r="F2344" s="525"/>
      <c r="G2344" s="526"/>
      <c r="K2344" s="3280"/>
      <c r="P2344" s="3041"/>
      <c r="X2344" s="3280"/>
      <c r="AA2344" s="3041"/>
      <c r="AF2344" s="3041"/>
      <c r="AN2344" s="3280"/>
      <c r="AZ2344" s="3041"/>
      <c r="BD2344" s="3281"/>
      <c r="BH2344" s="3282"/>
      <c r="BJ2344" s="2589"/>
      <c r="BK2344" s="2126"/>
      <c r="BL2344" s="2126"/>
      <c r="BM2344" s="2126"/>
      <c r="BN2344" s="2126"/>
      <c r="BO2344" s="2126"/>
      <c r="BP2344" s="2126"/>
      <c r="BQ2344" s="2126"/>
      <c r="BR2344" s="2126"/>
      <c r="BS2344" s="2126"/>
    </row>
    <row r="2345" spans="1:71" s="3030" customFormat="1">
      <c r="A2345" s="2126"/>
      <c r="B2345" s="2126"/>
      <c r="C2345" s="2149"/>
      <c r="D2345" s="3248"/>
      <c r="E2345" s="525"/>
      <c r="F2345" s="525"/>
      <c r="G2345" s="526"/>
      <c r="K2345" s="3280"/>
      <c r="P2345" s="3041"/>
      <c r="X2345" s="3280"/>
      <c r="AA2345" s="3041"/>
      <c r="AF2345" s="3041"/>
      <c r="AN2345" s="3280"/>
      <c r="AZ2345" s="3041"/>
      <c r="BD2345" s="3281"/>
      <c r="BH2345" s="3282"/>
      <c r="BJ2345" s="2589"/>
      <c r="BK2345" s="2126"/>
      <c r="BL2345" s="2126"/>
      <c r="BM2345" s="2126"/>
      <c r="BN2345" s="2126"/>
      <c r="BO2345" s="2126"/>
      <c r="BP2345" s="2126"/>
      <c r="BQ2345" s="2126"/>
      <c r="BR2345" s="2126"/>
      <c r="BS2345" s="2126"/>
    </row>
    <row r="2346" spans="1:71" s="3030" customFormat="1">
      <c r="A2346" s="2126"/>
      <c r="B2346" s="2126"/>
      <c r="C2346" s="2149"/>
      <c r="D2346" s="3248"/>
      <c r="E2346" s="525"/>
      <c r="F2346" s="525"/>
      <c r="G2346" s="526"/>
      <c r="K2346" s="3280"/>
      <c r="P2346" s="3041"/>
      <c r="X2346" s="3280"/>
      <c r="AA2346" s="3041"/>
      <c r="AF2346" s="3041"/>
      <c r="AN2346" s="3280"/>
      <c r="AZ2346" s="3041"/>
      <c r="BD2346" s="3281"/>
      <c r="BH2346" s="3282"/>
      <c r="BJ2346" s="2589"/>
      <c r="BK2346" s="2126"/>
      <c r="BL2346" s="2126"/>
      <c r="BM2346" s="2126"/>
      <c r="BN2346" s="2126"/>
      <c r="BO2346" s="2126"/>
      <c r="BP2346" s="2126"/>
      <c r="BQ2346" s="2126"/>
      <c r="BR2346" s="2126"/>
      <c r="BS2346" s="2126"/>
    </row>
    <row r="2347" spans="1:71" s="3030" customFormat="1">
      <c r="A2347" s="2126"/>
      <c r="B2347" s="2126"/>
      <c r="C2347" s="2149"/>
      <c r="D2347" s="3248"/>
      <c r="E2347" s="525"/>
      <c r="F2347" s="525"/>
      <c r="G2347" s="526"/>
      <c r="K2347" s="3280"/>
      <c r="P2347" s="3041"/>
      <c r="X2347" s="3280"/>
      <c r="AA2347" s="3041"/>
      <c r="AF2347" s="3041"/>
      <c r="AN2347" s="3280"/>
      <c r="AZ2347" s="3041"/>
      <c r="BD2347" s="3281"/>
      <c r="BH2347" s="3282"/>
      <c r="BJ2347" s="2589"/>
      <c r="BK2347" s="2126"/>
      <c r="BL2347" s="2126"/>
      <c r="BM2347" s="2126"/>
      <c r="BN2347" s="2126"/>
      <c r="BO2347" s="2126"/>
      <c r="BP2347" s="2126"/>
      <c r="BQ2347" s="2126"/>
      <c r="BR2347" s="2126"/>
      <c r="BS2347" s="2126"/>
    </row>
    <row r="2348" spans="1:71" s="3030" customFormat="1">
      <c r="A2348" s="2126"/>
      <c r="B2348" s="2126"/>
      <c r="C2348" s="2149"/>
      <c r="D2348" s="3248"/>
      <c r="E2348" s="525"/>
      <c r="F2348" s="525"/>
      <c r="G2348" s="526"/>
      <c r="K2348" s="3280"/>
      <c r="P2348" s="3041"/>
      <c r="X2348" s="3280"/>
      <c r="AA2348" s="3041"/>
      <c r="AF2348" s="3041"/>
      <c r="AN2348" s="3280"/>
      <c r="AZ2348" s="3041"/>
      <c r="BD2348" s="3281"/>
      <c r="BH2348" s="3282"/>
      <c r="BJ2348" s="2589"/>
      <c r="BK2348" s="2126"/>
      <c r="BL2348" s="2126"/>
      <c r="BM2348" s="2126"/>
      <c r="BN2348" s="2126"/>
      <c r="BO2348" s="2126"/>
      <c r="BP2348" s="2126"/>
      <c r="BQ2348" s="2126"/>
      <c r="BR2348" s="2126"/>
      <c r="BS2348" s="2126"/>
    </row>
    <row r="2349" spans="1:71" s="3030" customFormat="1">
      <c r="A2349" s="2126"/>
      <c r="B2349" s="2126"/>
      <c r="C2349" s="2149"/>
      <c r="D2349" s="3248"/>
      <c r="E2349" s="525"/>
      <c r="F2349" s="525"/>
      <c r="G2349" s="526"/>
      <c r="K2349" s="3280"/>
      <c r="P2349" s="3041"/>
      <c r="X2349" s="3280"/>
      <c r="AA2349" s="3041"/>
      <c r="AF2349" s="3041"/>
      <c r="AN2349" s="3280"/>
      <c r="AZ2349" s="3041"/>
      <c r="BD2349" s="3281"/>
      <c r="BH2349" s="3282"/>
      <c r="BJ2349" s="2589"/>
      <c r="BK2349" s="2126"/>
      <c r="BL2349" s="2126"/>
      <c r="BM2349" s="2126"/>
      <c r="BN2349" s="2126"/>
      <c r="BO2349" s="2126"/>
      <c r="BP2349" s="2126"/>
      <c r="BQ2349" s="2126"/>
      <c r="BR2349" s="2126"/>
      <c r="BS2349" s="2126"/>
    </row>
    <row r="2350" spans="1:71" s="3030" customFormat="1">
      <c r="A2350" s="2126"/>
      <c r="B2350" s="2126"/>
      <c r="C2350" s="2149"/>
      <c r="D2350" s="3248"/>
      <c r="E2350" s="525"/>
      <c r="F2350" s="525"/>
      <c r="G2350" s="526"/>
      <c r="K2350" s="3280"/>
      <c r="P2350" s="3041"/>
      <c r="X2350" s="3280"/>
      <c r="AA2350" s="3041"/>
      <c r="AF2350" s="3041"/>
      <c r="AN2350" s="3280"/>
      <c r="AZ2350" s="3041"/>
      <c r="BD2350" s="3281"/>
      <c r="BH2350" s="3282"/>
      <c r="BJ2350" s="2589"/>
      <c r="BK2350" s="2126"/>
      <c r="BL2350" s="2126"/>
      <c r="BM2350" s="2126"/>
      <c r="BN2350" s="2126"/>
      <c r="BO2350" s="2126"/>
      <c r="BP2350" s="2126"/>
      <c r="BQ2350" s="2126"/>
      <c r="BR2350" s="2126"/>
      <c r="BS2350" s="2126"/>
    </row>
    <row r="2351" spans="1:71" s="3030" customFormat="1">
      <c r="A2351" s="2126"/>
      <c r="B2351" s="2126"/>
      <c r="C2351" s="2149"/>
      <c r="D2351" s="3248"/>
      <c r="E2351" s="525"/>
      <c r="F2351" s="525"/>
      <c r="G2351" s="526"/>
      <c r="K2351" s="3280"/>
      <c r="P2351" s="3041"/>
      <c r="X2351" s="3280"/>
      <c r="AA2351" s="3041"/>
      <c r="AF2351" s="3041"/>
      <c r="AN2351" s="3280"/>
      <c r="AZ2351" s="3041"/>
      <c r="BD2351" s="3281"/>
      <c r="BH2351" s="3282"/>
      <c r="BJ2351" s="2589"/>
      <c r="BK2351" s="2126"/>
      <c r="BL2351" s="2126"/>
      <c r="BM2351" s="2126"/>
      <c r="BN2351" s="2126"/>
      <c r="BO2351" s="2126"/>
      <c r="BP2351" s="2126"/>
      <c r="BQ2351" s="2126"/>
      <c r="BR2351" s="2126"/>
      <c r="BS2351" s="2126"/>
    </row>
    <row r="2352" spans="1:71" s="3030" customFormat="1">
      <c r="A2352" s="2126"/>
      <c r="B2352" s="2126"/>
      <c r="C2352" s="2149"/>
      <c r="D2352" s="3248"/>
      <c r="E2352" s="525"/>
      <c r="F2352" s="525"/>
      <c r="G2352" s="526"/>
      <c r="K2352" s="3280"/>
      <c r="P2352" s="3041"/>
      <c r="X2352" s="3280"/>
      <c r="AA2352" s="3041"/>
      <c r="AF2352" s="3041"/>
      <c r="AN2352" s="3280"/>
      <c r="AZ2352" s="3041"/>
      <c r="BD2352" s="3281"/>
      <c r="BH2352" s="3282"/>
      <c r="BJ2352" s="2589"/>
      <c r="BK2352" s="2126"/>
      <c r="BL2352" s="2126"/>
      <c r="BM2352" s="2126"/>
      <c r="BN2352" s="2126"/>
      <c r="BO2352" s="2126"/>
      <c r="BP2352" s="2126"/>
      <c r="BQ2352" s="2126"/>
      <c r="BR2352" s="2126"/>
      <c r="BS2352" s="2126"/>
    </row>
    <row r="2353" spans="1:71" s="3030" customFormat="1">
      <c r="A2353" s="2126"/>
      <c r="B2353" s="2126"/>
      <c r="C2353" s="2149"/>
      <c r="D2353" s="3248"/>
      <c r="E2353" s="525"/>
      <c r="F2353" s="525"/>
      <c r="G2353" s="526"/>
      <c r="K2353" s="3280"/>
      <c r="P2353" s="3041"/>
      <c r="X2353" s="3280"/>
      <c r="AA2353" s="3041"/>
      <c r="AF2353" s="3041"/>
      <c r="AN2353" s="3280"/>
      <c r="AZ2353" s="3041"/>
      <c r="BD2353" s="3281"/>
      <c r="BH2353" s="3282"/>
      <c r="BJ2353" s="2589"/>
      <c r="BK2353" s="2126"/>
      <c r="BL2353" s="2126"/>
      <c r="BM2353" s="2126"/>
      <c r="BN2353" s="2126"/>
      <c r="BO2353" s="2126"/>
      <c r="BP2353" s="2126"/>
      <c r="BQ2353" s="2126"/>
      <c r="BR2353" s="2126"/>
      <c r="BS2353" s="2126"/>
    </row>
    <row r="2354" spans="1:71" s="3030" customFormat="1">
      <c r="A2354" s="2126"/>
      <c r="B2354" s="2126"/>
      <c r="C2354" s="2149"/>
      <c r="D2354" s="3248"/>
      <c r="E2354" s="525"/>
      <c r="F2354" s="525"/>
      <c r="G2354" s="526"/>
      <c r="K2354" s="3280"/>
      <c r="P2354" s="3041"/>
      <c r="X2354" s="3280"/>
      <c r="AA2354" s="3041"/>
      <c r="AF2354" s="3041"/>
      <c r="AN2354" s="3280"/>
      <c r="AZ2354" s="3041"/>
      <c r="BD2354" s="3281"/>
      <c r="BH2354" s="3282"/>
      <c r="BJ2354" s="2589"/>
      <c r="BK2354" s="2126"/>
      <c r="BL2354" s="2126"/>
      <c r="BM2354" s="2126"/>
      <c r="BN2354" s="2126"/>
      <c r="BO2354" s="2126"/>
      <c r="BP2354" s="2126"/>
      <c r="BQ2354" s="2126"/>
      <c r="BR2354" s="2126"/>
      <c r="BS2354" s="2126"/>
    </row>
    <row r="2355" spans="1:71" s="3030" customFormat="1">
      <c r="A2355" s="2126"/>
      <c r="B2355" s="2126"/>
      <c r="C2355" s="2149"/>
      <c r="D2355" s="3248"/>
      <c r="E2355" s="525"/>
      <c r="F2355" s="525"/>
      <c r="G2355" s="526"/>
      <c r="K2355" s="3280"/>
      <c r="P2355" s="3041"/>
      <c r="X2355" s="3280"/>
      <c r="AA2355" s="3041"/>
      <c r="AF2355" s="3041"/>
      <c r="AN2355" s="3280"/>
      <c r="AZ2355" s="3041"/>
      <c r="BD2355" s="3281"/>
      <c r="BH2355" s="3282"/>
      <c r="BJ2355" s="2589"/>
      <c r="BK2355" s="2126"/>
      <c r="BL2355" s="2126"/>
      <c r="BM2355" s="2126"/>
      <c r="BN2355" s="2126"/>
      <c r="BO2355" s="2126"/>
      <c r="BP2355" s="2126"/>
      <c r="BQ2355" s="2126"/>
      <c r="BR2355" s="2126"/>
      <c r="BS2355" s="2126"/>
    </row>
    <row r="2356" spans="1:71" s="3030" customFormat="1">
      <c r="A2356" s="2126"/>
      <c r="B2356" s="2126"/>
      <c r="C2356" s="2149"/>
      <c r="D2356" s="3248"/>
      <c r="E2356" s="525"/>
      <c r="F2356" s="525"/>
      <c r="G2356" s="526"/>
      <c r="K2356" s="3280"/>
      <c r="P2356" s="3041"/>
      <c r="X2356" s="3280"/>
      <c r="AA2356" s="3041"/>
      <c r="AF2356" s="3041"/>
      <c r="AN2356" s="3280"/>
      <c r="AZ2356" s="3041"/>
      <c r="BD2356" s="3281"/>
      <c r="BH2356" s="3282"/>
      <c r="BJ2356" s="2589"/>
      <c r="BK2356" s="2126"/>
      <c r="BL2356" s="2126"/>
      <c r="BM2356" s="2126"/>
      <c r="BN2356" s="2126"/>
      <c r="BO2356" s="2126"/>
      <c r="BP2356" s="2126"/>
      <c r="BQ2356" s="2126"/>
      <c r="BR2356" s="2126"/>
      <c r="BS2356" s="2126"/>
    </row>
    <row r="2357" spans="1:71" s="3030" customFormat="1">
      <c r="A2357" s="2126"/>
      <c r="B2357" s="2126"/>
      <c r="C2357" s="2149"/>
      <c r="D2357" s="3248"/>
      <c r="E2357" s="525"/>
      <c r="F2357" s="525"/>
      <c r="G2357" s="526"/>
      <c r="K2357" s="3280"/>
      <c r="P2357" s="3041"/>
      <c r="X2357" s="3280"/>
      <c r="AA2357" s="3041"/>
      <c r="AF2357" s="3041"/>
      <c r="AN2357" s="3280"/>
      <c r="AZ2357" s="3041"/>
      <c r="BD2357" s="3281"/>
      <c r="BH2357" s="3282"/>
      <c r="BJ2357" s="2589"/>
      <c r="BK2357" s="2126"/>
      <c r="BL2357" s="2126"/>
      <c r="BM2357" s="2126"/>
      <c r="BN2357" s="2126"/>
      <c r="BO2357" s="2126"/>
      <c r="BP2357" s="2126"/>
      <c r="BQ2357" s="2126"/>
      <c r="BR2357" s="2126"/>
      <c r="BS2357" s="2126"/>
    </row>
    <row r="2358" spans="1:71" s="3030" customFormat="1">
      <c r="A2358" s="2126"/>
      <c r="B2358" s="2126"/>
      <c r="C2358" s="2149"/>
      <c r="D2358" s="3248"/>
      <c r="E2358" s="525"/>
      <c r="F2358" s="525"/>
      <c r="G2358" s="526"/>
      <c r="K2358" s="3280"/>
      <c r="P2358" s="3041"/>
      <c r="X2358" s="3280"/>
      <c r="AA2358" s="3041"/>
      <c r="AF2358" s="3041"/>
      <c r="AN2358" s="3280"/>
      <c r="AZ2358" s="3041"/>
      <c r="BD2358" s="3281"/>
      <c r="BH2358" s="3282"/>
      <c r="BJ2358" s="2589"/>
      <c r="BK2358" s="2126"/>
      <c r="BL2358" s="2126"/>
      <c r="BM2358" s="2126"/>
      <c r="BN2358" s="2126"/>
      <c r="BO2358" s="2126"/>
      <c r="BP2358" s="2126"/>
      <c r="BQ2358" s="2126"/>
      <c r="BR2358" s="2126"/>
      <c r="BS2358" s="2126"/>
    </row>
    <row r="2359" spans="1:71" s="3030" customFormat="1">
      <c r="A2359" s="2126"/>
      <c r="B2359" s="2126"/>
      <c r="C2359" s="2149"/>
      <c r="D2359" s="3248"/>
      <c r="E2359" s="525"/>
      <c r="F2359" s="525"/>
      <c r="G2359" s="526"/>
      <c r="K2359" s="3280"/>
      <c r="P2359" s="3041"/>
      <c r="X2359" s="3280"/>
      <c r="AA2359" s="3041"/>
      <c r="AF2359" s="3041"/>
      <c r="AN2359" s="3280"/>
      <c r="AZ2359" s="3041"/>
      <c r="BD2359" s="3281"/>
      <c r="BH2359" s="3282"/>
      <c r="BJ2359" s="2589"/>
      <c r="BK2359" s="2126"/>
      <c r="BL2359" s="2126"/>
      <c r="BM2359" s="2126"/>
      <c r="BN2359" s="2126"/>
      <c r="BO2359" s="2126"/>
      <c r="BP2359" s="2126"/>
      <c r="BQ2359" s="2126"/>
      <c r="BR2359" s="2126"/>
      <c r="BS2359" s="2126"/>
    </row>
    <row r="2360" spans="1:71" s="3030" customFormat="1">
      <c r="A2360" s="2126"/>
      <c r="B2360" s="2126"/>
      <c r="C2360" s="2149"/>
      <c r="D2360" s="3248"/>
      <c r="E2360" s="525"/>
      <c r="F2360" s="525"/>
      <c r="G2360" s="526"/>
      <c r="K2360" s="3280"/>
      <c r="P2360" s="3041"/>
      <c r="X2360" s="3280"/>
      <c r="AA2360" s="3041"/>
      <c r="AF2360" s="3041"/>
      <c r="AN2360" s="3280"/>
      <c r="AZ2360" s="3041"/>
      <c r="BD2360" s="3281"/>
      <c r="BH2360" s="3282"/>
      <c r="BJ2360" s="2589"/>
      <c r="BK2360" s="2126"/>
      <c r="BL2360" s="2126"/>
      <c r="BM2360" s="2126"/>
      <c r="BN2360" s="2126"/>
      <c r="BO2360" s="2126"/>
      <c r="BP2360" s="2126"/>
      <c r="BQ2360" s="2126"/>
      <c r="BR2360" s="2126"/>
      <c r="BS2360" s="2126"/>
    </row>
    <row r="2361" spans="1:71" s="3030" customFormat="1">
      <c r="A2361" s="2126"/>
      <c r="B2361" s="2126"/>
      <c r="C2361" s="2149"/>
      <c r="D2361" s="3248"/>
      <c r="E2361" s="525"/>
      <c r="F2361" s="525"/>
      <c r="G2361" s="526"/>
      <c r="K2361" s="3280"/>
      <c r="P2361" s="3041"/>
      <c r="X2361" s="3280"/>
      <c r="AA2361" s="3041"/>
      <c r="AF2361" s="3041"/>
      <c r="AN2361" s="3280"/>
      <c r="AZ2361" s="3041"/>
      <c r="BD2361" s="3281"/>
      <c r="BH2361" s="3282"/>
      <c r="BJ2361" s="2589"/>
      <c r="BK2361" s="2126"/>
      <c r="BL2361" s="2126"/>
      <c r="BM2361" s="2126"/>
      <c r="BN2361" s="2126"/>
      <c r="BO2361" s="2126"/>
      <c r="BP2361" s="2126"/>
      <c r="BQ2361" s="2126"/>
      <c r="BR2361" s="2126"/>
      <c r="BS2361" s="2126"/>
    </row>
    <row r="2362" spans="1:71" s="3030" customFormat="1">
      <c r="A2362" s="2126"/>
      <c r="B2362" s="2126"/>
      <c r="C2362" s="2149"/>
      <c r="D2362" s="3248"/>
      <c r="E2362" s="525"/>
      <c r="F2362" s="525"/>
      <c r="G2362" s="526"/>
      <c r="K2362" s="3280"/>
      <c r="P2362" s="3041"/>
      <c r="X2362" s="3280"/>
      <c r="AA2362" s="3041"/>
      <c r="AF2362" s="3041"/>
      <c r="AN2362" s="3280"/>
      <c r="AZ2362" s="3041"/>
      <c r="BD2362" s="3281"/>
      <c r="BH2362" s="3282"/>
      <c r="BJ2362" s="2589"/>
      <c r="BK2362" s="2126"/>
      <c r="BL2362" s="2126"/>
      <c r="BM2362" s="2126"/>
      <c r="BN2362" s="2126"/>
      <c r="BO2362" s="2126"/>
      <c r="BP2362" s="2126"/>
      <c r="BQ2362" s="2126"/>
      <c r="BR2362" s="2126"/>
      <c r="BS2362" s="2126"/>
    </row>
    <row r="2363" spans="1:71" s="3030" customFormat="1">
      <c r="A2363" s="2126"/>
      <c r="B2363" s="2126"/>
      <c r="C2363" s="2149"/>
      <c r="D2363" s="3248"/>
      <c r="E2363" s="525"/>
      <c r="F2363" s="525"/>
      <c r="G2363" s="526"/>
      <c r="K2363" s="3280"/>
      <c r="P2363" s="3041"/>
      <c r="X2363" s="3280"/>
      <c r="AA2363" s="3041"/>
      <c r="AF2363" s="3041"/>
      <c r="AN2363" s="3280"/>
      <c r="AZ2363" s="3041"/>
      <c r="BD2363" s="3281"/>
      <c r="BH2363" s="3282"/>
      <c r="BJ2363" s="2589"/>
      <c r="BK2363" s="2126"/>
      <c r="BL2363" s="2126"/>
      <c r="BM2363" s="2126"/>
      <c r="BN2363" s="2126"/>
      <c r="BO2363" s="2126"/>
      <c r="BP2363" s="2126"/>
      <c r="BQ2363" s="2126"/>
      <c r="BR2363" s="2126"/>
      <c r="BS2363" s="2126"/>
    </row>
    <row r="2364" spans="1:71" s="3030" customFormat="1">
      <c r="A2364" s="2126"/>
      <c r="B2364" s="2126"/>
      <c r="C2364" s="2149"/>
      <c r="D2364" s="3248"/>
      <c r="E2364" s="525"/>
      <c r="F2364" s="525"/>
      <c r="G2364" s="526"/>
      <c r="K2364" s="3280"/>
      <c r="P2364" s="3041"/>
      <c r="X2364" s="3280"/>
      <c r="AA2364" s="3041"/>
      <c r="AF2364" s="3041"/>
      <c r="AN2364" s="3280"/>
      <c r="AZ2364" s="3041"/>
      <c r="BD2364" s="3281"/>
      <c r="BH2364" s="3282"/>
      <c r="BJ2364" s="2589"/>
      <c r="BK2364" s="2126"/>
      <c r="BL2364" s="2126"/>
      <c r="BM2364" s="2126"/>
      <c r="BN2364" s="2126"/>
      <c r="BO2364" s="2126"/>
      <c r="BP2364" s="2126"/>
      <c r="BQ2364" s="2126"/>
      <c r="BR2364" s="2126"/>
      <c r="BS2364" s="2126"/>
    </row>
    <row r="2365" spans="1:71" s="3030" customFormat="1">
      <c r="A2365" s="2126"/>
      <c r="B2365" s="2126"/>
      <c r="C2365" s="2149"/>
      <c r="D2365" s="3248"/>
      <c r="E2365" s="525"/>
      <c r="F2365" s="525"/>
      <c r="G2365" s="526"/>
      <c r="K2365" s="3280"/>
      <c r="P2365" s="3041"/>
      <c r="X2365" s="3280"/>
      <c r="AA2365" s="3041"/>
      <c r="AF2365" s="3041"/>
      <c r="AN2365" s="3280"/>
      <c r="AZ2365" s="3041"/>
      <c r="BD2365" s="3281"/>
      <c r="BH2365" s="3282"/>
      <c r="BJ2365" s="2589"/>
      <c r="BK2365" s="2126"/>
      <c r="BL2365" s="2126"/>
      <c r="BM2365" s="2126"/>
      <c r="BN2365" s="2126"/>
      <c r="BO2365" s="2126"/>
      <c r="BP2365" s="2126"/>
      <c r="BQ2365" s="2126"/>
      <c r="BR2365" s="2126"/>
      <c r="BS2365" s="2126"/>
    </row>
    <row r="2366" spans="1:71" s="3030" customFormat="1">
      <c r="A2366" s="2126"/>
      <c r="B2366" s="2126"/>
      <c r="C2366" s="2149"/>
      <c r="D2366" s="3248"/>
      <c r="E2366" s="525"/>
      <c r="F2366" s="525"/>
      <c r="G2366" s="526"/>
      <c r="K2366" s="3280"/>
      <c r="P2366" s="3041"/>
      <c r="X2366" s="3280"/>
      <c r="AA2366" s="3041"/>
      <c r="AF2366" s="3041"/>
      <c r="AN2366" s="3280"/>
      <c r="AZ2366" s="3041"/>
      <c r="BD2366" s="3281"/>
      <c r="BH2366" s="3282"/>
      <c r="BJ2366" s="2589"/>
      <c r="BK2366" s="2126"/>
      <c r="BL2366" s="2126"/>
      <c r="BM2366" s="2126"/>
      <c r="BN2366" s="2126"/>
      <c r="BO2366" s="2126"/>
      <c r="BP2366" s="2126"/>
      <c r="BQ2366" s="2126"/>
      <c r="BR2366" s="2126"/>
      <c r="BS2366" s="2126"/>
    </row>
    <row r="2367" spans="1:71" s="3030" customFormat="1">
      <c r="A2367" s="2126"/>
      <c r="B2367" s="2126"/>
      <c r="C2367" s="2149"/>
      <c r="D2367" s="3248"/>
      <c r="E2367" s="525"/>
      <c r="F2367" s="525"/>
      <c r="G2367" s="526"/>
      <c r="K2367" s="3280"/>
      <c r="P2367" s="3041"/>
      <c r="X2367" s="3280"/>
      <c r="AA2367" s="3041"/>
      <c r="AF2367" s="3041"/>
      <c r="AN2367" s="3280"/>
      <c r="AZ2367" s="3041"/>
      <c r="BD2367" s="3281"/>
      <c r="BH2367" s="3282"/>
      <c r="BJ2367" s="2589"/>
      <c r="BK2367" s="2126"/>
      <c r="BL2367" s="2126"/>
      <c r="BM2367" s="2126"/>
      <c r="BN2367" s="2126"/>
      <c r="BO2367" s="2126"/>
      <c r="BP2367" s="2126"/>
      <c r="BQ2367" s="2126"/>
      <c r="BR2367" s="2126"/>
      <c r="BS2367" s="2126"/>
    </row>
    <row r="2368" spans="1:71" s="3030" customFormat="1">
      <c r="A2368" s="2126"/>
      <c r="B2368" s="2126"/>
      <c r="C2368" s="2149"/>
      <c r="D2368" s="3248"/>
      <c r="E2368" s="525"/>
      <c r="F2368" s="525"/>
      <c r="G2368" s="526"/>
      <c r="K2368" s="3280"/>
      <c r="P2368" s="3041"/>
      <c r="X2368" s="3280"/>
      <c r="AA2368" s="3041"/>
      <c r="AF2368" s="3041"/>
      <c r="AN2368" s="3280"/>
      <c r="AZ2368" s="3041"/>
      <c r="BD2368" s="3281"/>
      <c r="BH2368" s="3282"/>
      <c r="BJ2368" s="2589"/>
      <c r="BK2368" s="2126"/>
      <c r="BL2368" s="2126"/>
      <c r="BM2368" s="2126"/>
      <c r="BN2368" s="2126"/>
      <c r="BO2368" s="2126"/>
      <c r="BP2368" s="2126"/>
      <c r="BQ2368" s="2126"/>
      <c r="BR2368" s="2126"/>
      <c r="BS2368" s="2126"/>
    </row>
    <row r="2369" spans="1:71" s="3030" customFormat="1">
      <c r="A2369" s="2126"/>
      <c r="B2369" s="2126"/>
      <c r="C2369" s="2149"/>
      <c r="D2369" s="3248"/>
      <c r="E2369" s="525"/>
      <c r="F2369" s="525"/>
      <c r="G2369" s="526"/>
      <c r="K2369" s="3280"/>
      <c r="P2369" s="3041"/>
      <c r="X2369" s="3280"/>
      <c r="AA2369" s="3041"/>
      <c r="AF2369" s="3041"/>
      <c r="AN2369" s="3280"/>
      <c r="AZ2369" s="3041"/>
      <c r="BD2369" s="3281"/>
      <c r="BH2369" s="3282"/>
      <c r="BJ2369" s="2589"/>
      <c r="BK2369" s="2126"/>
      <c r="BL2369" s="2126"/>
      <c r="BM2369" s="2126"/>
      <c r="BN2369" s="2126"/>
      <c r="BO2369" s="2126"/>
      <c r="BP2369" s="2126"/>
      <c r="BQ2369" s="2126"/>
      <c r="BR2369" s="2126"/>
      <c r="BS2369" s="2126"/>
    </row>
    <row r="2370" spans="1:71" s="3030" customFormat="1">
      <c r="A2370" s="2126"/>
      <c r="B2370" s="2126"/>
      <c r="C2370" s="2149"/>
      <c r="D2370" s="3248"/>
      <c r="E2370" s="525"/>
      <c r="F2370" s="525"/>
      <c r="G2370" s="526"/>
      <c r="K2370" s="3280"/>
      <c r="P2370" s="3041"/>
      <c r="X2370" s="3280"/>
      <c r="AA2370" s="3041"/>
      <c r="AF2370" s="3041"/>
      <c r="AN2370" s="3280"/>
      <c r="AZ2370" s="3041"/>
      <c r="BD2370" s="3281"/>
      <c r="BH2370" s="3282"/>
      <c r="BJ2370" s="2589"/>
      <c r="BK2370" s="2126"/>
      <c r="BL2370" s="2126"/>
      <c r="BM2370" s="2126"/>
      <c r="BN2370" s="2126"/>
      <c r="BO2370" s="2126"/>
      <c r="BP2370" s="2126"/>
      <c r="BQ2370" s="2126"/>
      <c r="BR2370" s="2126"/>
      <c r="BS2370" s="2126"/>
    </row>
    <row r="2371" spans="1:71" s="3030" customFormat="1">
      <c r="A2371" s="2126"/>
      <c r="B2371" s="2126"/>
      <c r="C2371" s="2149"/>
      <c r="D2371" s="3248"/>
      <c r="E2371" s="525"/>
      <c r="F2371" s="525"/>
      <c r="G2371" s="526"/>
      <c r="K2371" s="3280"/>
      <c r="P2371" s="3041"/>
      <c r="X2371" s="3280"/>
      <c r="AA2371" s="3041"/>
      <c r="AF2371" s="3041"/>
      <c r="AN2371" s="3280"/>
      <c r="AZ2371" s="3041"/>
      <c r="BD2371" s="3281"/>
      <c r="BH2371" s="3282"/>
      <c r="BJ2371" s="2589"/>
      <c r="BK2371" s="2126"/>
      <c r="BL2371" s="2126"/>
      <c r="BM2371" s="2126"/>
      <c r="BN2371" s="2126"/>
      <c r="BO2371" s="2126"/>
      <c r="BP2371" s="2126"/>
      <c r="BQ2371" s="2126"/>
      <c r="BR2371" s="2126"/>
      <c r="BS2371" s="2126"/>
    </row>
    <row r="2372" spans="1:71" s="3030" customFormat="1">
      <c r="A2372" s="2126"/>
      <c r="B2372" s="2126"/>
      <c r="C2372" s="2149"/>
      <c r="D2372" s="3248"/>
      <c r="E2372" s="525"/>
      <c r="F2372" s="525"/>
      <c r="G2372" s="526"/>
      <c r="K2372" s="3280"/>
      <c r="P2372" s="3041"/>
      <c r="X2372" s="3280"/>
      <c r="AA2372" s="3041"/>
      <c r="AF2372" s="3041"/>
      <c r="AN2372" s="3280"/>
      <c r="AZ2372" s="3041"/>
      <c r="BD2372" s="3281"/>
      <c r="BH2372" s="3282"/>
      <c r="BJ2372" s="2589"/>
      <c r="BK2372" s="2126"/>
      <c r="BL2372" s="2126"/>
      <c r="BM2372" s="2126"/>
      <c r="BN2372" s="2126"/>
      <c r="BO2372" s="2126"/>
      <c r="BP2372" s="2126"/>
      <c r="BQ2372" s="2126"/>
      <c r="BR2372" s="2126"/>
      <c r="BS2372" s="2126"/>
    </row>
    <row r="2373" spans="1:71" s="3030" customFormat="1">
      <c r="A2373" s="2126"/>
      <c r="B2373" s="2126"/>
      <c r="C2373" s="2149"/>
      <c r="D2373" s="3248"/>
      <c r="E2373" s="525"/>
      <c r="F2373" s="525"/>
      <c r="G2373" s="526"/>
      <c r="K2373" s="3280"/>
      <c r="P2373" s="3041"/>
      <c r="X2373" s="3280"/>
      <c r="AA2373" s="3041"/>
      <c r="AF2373" s="3041"/>
      <c r="AN2373" s="3280"/>
      <c r="AZ2373" s="3041"/>
      <c r="BD2373" s="3281"/>
      <c r="BH2373" s="3282"/>
      <c r="BJ2373" s="2589"/>
      <c r="BK2373" s="2126"/>
      <c r="BL2373" s="2126"/>
      <c r="BM2373" s="2126"/>
      <c r="BN2373" s="2126"/>
      <c r="BO2373" s="2126"/>
      <c r="BP2373" s="2126"/>
      <c r="BQ2373" s="2126"/>
      <c r="BR2373" s="2126"/>
      <c r="BS2373" s="2126"/>
    </row>
    <row r="2374" spans="1:71" s="3030" customFormat="1">
      <c r="A2374" s="2126"/>
      <c r="B2374" s="2126"/>
      <c r="C2374" s="2149"/>
      <c r="D2374" s="3248"/>
      <c r="E2374" s="525"/>
      <c r="F2374" s="525"/>
      <c r="G2374" s="526"/>
      <c r="K2374" s="3280"/>
      <c r="P2374" s="3041"/>
      <c r="X2374" s="3280"/>
      <c r="AA2374" s="3041"/>
      <c r="AF2374" s="3041"/>
      <c r="AN2374" s="3280"/>
      <c r="AZ2374" s="3041"/>
      <c r="BD2374" s="3281"/>
      <c r="BH2374" s="3282"/>
      <c r="BJ2374" s="2589"/>
      <c r="BK2374" s="2126"/>
      <c r="BL2374" s="2126"/>
      <c r="BM2374" s="2126"/>
      <c r="BN2374" s="2126"/>
      <c r="BO2374" s="2126"/>
      <c r="BP2374" s="2126"/>
      <c r="BQ2374" s="2126"/>
      <c r="BR2374" s="2126"/>
      <c r="BS2374" s="2126"/>
    </row>
    <row r="2375" spans="1:71" s="3030" customFormat="1">
      <c r="A2375" s="2126"/>
      <c r="B2375" s="2126"/>
      <c r="C2375" s="2149"/>
      <c r="D2375" s="3248"/>
      <c r="E2375" s="525"/>
      <c r="F2375" s="525"/>
      <c r="G2375" s="526"/>
      <c r="K2375" s="3280"/>
      <c r="P2375" s="3041"/>
      <c r="X2375" s="3280"/>
      <c r="AA2375" s="3041"/>
      <c r="AF2375" s="3041"/>
      <c r="AN2375" s="3280"/>
      <c r="AZ2375" s="3041"/>
      <c r="BD2375" s="3281"/>
      <c r="BH2375" s="3282"/>
      <c r="BJ2375" s="2589"/>
      <c r="BK2375" s="2126"/>
      <c r="BL2375" s="2126"/>
      <c r="BM2375" s="2126"/>
      <c r="BN2375" s="2126"/>
      <c r="BO2375" s="2126"/>
      <c r="BP2375" s="2126"/>
      <c r="BQ2375" s="2126"/>
      <c r="BR2375" s="2126"/>
      <c r="BS2375" s="2126"/>
    </row>
    <row r="2376" spans="1:71" s="3030" customFormat="1">
      <c r="A2376" s="2126"/>
      <c r="B2376" s="2126"/>
      <c r="C2376" s="2149"/>
      <c r="D2376" s="3248"/>
      <c r="E2376" s="525"/>
      <c r="F2376" s="525"/>
      <c r="G2376" s="526"/>
      <c r="K2376" s="3280"/>
      <c r="P2376" s="3041"/>
      <c r="X2376" s="3280"/>
      <c r="AA2376" s="3041"/>
      <c r="AF2376" s="3041"/>
      <c r="AN2376" s="3280"/>
      <c r="AZ2376" s="3041"/>
      <c r="BD2376" s="3281"/>
      <c r="BH2376" s="3282"/>
      <c r="BJ2376" s="2589"/>
      <c r="BK2376" s="2126"/>
      <c r="BL2376" s="2126"/>
      <c r="BM2376" s="2126"/>
      <c r="BN2376" s="2126"/>
      <c r="BO2376" s="2126"/>
      <c r="BP2376" s="2126"/>
      <c r="BQ2376" s="2126"/>
      <c r="BR2376" s="2126"/>
      <c r="BS2376" s="2126"/>
    </row>
    <row r="2377" spans="1:71" s="3030" customFormat="1">
      <c r="A2377" s="2126"/>
      <c r="B2377" s="2126"/>
      <c r="C2377" s="2149"/>
      <c r="D2377" s="3248"/>
      <c r="E2377" s="525"/>
      <c r="F2377" s="525"/>
      <c r="G2377" s="526"/>
      <c r="K2377" s="3280"/>
      <c r="P2377" s="3041"/>
      <c r="X2377" s="3280"/>
      <c r="AA2377" s="3041"/>
      <c r="AF2377" s="3041"/>
      <c r="AN2377" s="3280"/>
      <c r="AZ2377" s="3041"/>
      <c r="BD2377" s="3281"/>
      <c r="BH2377" s="3282"/>
      <c r="BJ2377" s="2589"/>
      <c r="BK2377" s="2126"/>
      <c r="BL2377" s="2126"/>
      <c r="BM2377" s="2126"/>
      <c r="BN2377" s="2126"/>
      <c r="BO2377" s="2126"/>
      <c r="BP2377" s="2126"/>
      <c r="BQ2377" s="2126"/>
      <c r="BR2377" s="2126"/>
      <c r="BS2377" s="2126"/>
    </row>
    <row r="2378" spans="1:71" s="3030" customFormat="1">
      <c r="A2378" s="2126"/>
      <c r="B2378" s="2126"/>
      <c r="C2378" s="2149"/>
      <c r="D2378" s="3248"/>
      <c r="E2378" s="525"/>
      <c r="F2378" s="525"/>
      <c r="G2378" s="526"/>
      <c r="K2378" s="3280"/>
      <c r="P2378" s="3041"/>
      <c r="X2378" s="3280"/>
      <c r="AA2378" s="3041"/>
      <c r="AF2378" s="3041"/>
      <c r="AN2378" s="3280"/>
      <c r="AZ2378" s="3041"/>
      <c r="BD2378" s="3281"/>
      <c r="BH2378" s="3282"/>
      <c r="BJ2378" s="2589"/>
      <c r="BK2378" s="2126"/>
      <c r="BL2378" s="2126"/>
      <c r="BM2378" s="2126"/>
      <c r="BN2378" s="2126"/>
      <c r="BO2378" s="2126"/>
      <c r="BP2378" s="2126"/>
      <c r="BQ2378" s="2126"/>
      <c r="BR2378" s="2126"/>
      <c r="BS2378" s="2126"/>
    </row>
    <row r="2379" spans="1:71" s="3030" customFormat="1">
      <c r="A2379" s="2126"/>
      <c r="B2379" s="2126"/>
      <c r="C2379" s="2149"/>
      <c r="D2379" s="3248"/>
      <c r="E2379" s="525"/>
      <c r="F2379" s="525"/>
      <c r="G2379" s="526"/>
      <c r="K2379" s="3280"/>
      <c r="P2379" s="3041"/>
      <c r="X2379" s="3280"/>
      <c r="AA2379" s="3041"/>
      <c r="AF2379" s="3041"/>
      <c r="AN2379" s="3280"/>
      <c r="AZ2379" s="3041"/>
      <c r="BD2379" s="3281"/>
      <c r="BH2379" s="3282"/>
      <c r="BJ2379" s="2589"/>
      <c r="BK2379" s="2126"/>
      <c r="BL2379" s="2126"/>
      <c r="BM2379" s="2126"/>
      <c r="BN2379" s="2126"/>
      <c r="BO2379" s="2126"/>
      <c r="BP2379" s="2126"/>
      <c r="BQ2379" s="2126"/>
      <c r="BR2379" s="2126"/>
      <c r="BS2379" s="2126"/>
    </row>
    <row r="2380" spans="1:71" s="3030" customFormat="1">
      <c r="A2380" s="2126"/>
      <c r="B2380" s="2126"/>
      <c r="C2380" s="2149"/>
      <c r="D2380" s="3248"/>
      <c r="E2380" s="525"/>
      <c r="F2380" s="525"/>
      <c r="G2380" s="526"/>
      <c r="K2380" s="3280"/>
      <c r="P2380" s="3041"/>
      <c r="X2380" s="3280"/>
      <c r="AA2380" s="3041"/>
      <c r="AF2380" s="3041"/>
      <c r="AN2380" s="3280"/>
      <c r="AZ2380" s="3041"/>
      <c r="BD2380" s="3281"/>
      <c r="BH2380" s="3282"/>
      <c r="BJ2380" s="2589"/>
      <c r="BK2380" s="2126"/>
      <c r="BL2380" s="2126"/>
      <c r="BM2380" s="2126"/>
      <c r="BN2380" s="2126"/>
      <c r="BO2380" s="2126"/>
      <c r="BP2380" s="2126"/>
      <c r="BQ2380" s="2126"/>
      <c r="BR2380" s="2126"/>
      <c r="BS2380" s="2126"/>
    </row>
    <row r="2381" spans="1:71" s="3030" customFormat="1">
      <c r="A2381" s="2126"/>
      <c r="B2381" s="2126"/>
      <c r="C2381" s="2149"/>
      <c r="D2381" s="3248"/>
      <c r="E2381" s="525"/>
      <c r="F2381" s="525"/>
      <c r="G2381" s="526"/>
      <c r="K2381" s="3280"/>
      <c r="P2381" s="3041"/>
      <c r="X2381" s="3280"/>
      <c r="AA2381" s="3041"/>
      <c r="AF2381" s="3041"/>
      <c r="AN2381" s="3280"/>
      <c r="AZ2381" s="3041"/>
      <c r="BD2381" s="3281"/>
      <c r="BH2381" s="3282"/>
      <c r="BJ2381" s="2589"/>
      <c r="BK2381" s="2126"/>
      <c r="BL2381" s="2126"/>
      <c r="BM2381" s="2126"/>
      <c r="BN2381" s="2126"/>
      <c r="BO2381" s="2126"/>
      <c r="BP2381" s="2126"/>
      <c r="BQ2381" s="2126"/>
      <c r="BR2381" s="2126"/>
      <c r="BS2381" s="2126"/>
    </row>
    <row r="2382" spans="1:71" s="3030" customFormat="1">
      <c r="A2382" s="2126"/>
      <c r="B2382" s="2126"/>
      <c r="C2382" s="2149"/>
      <c r="D2382" s="3248"/>
      <c r="E2382" s="525"/>
      <c r="F2382" s="525"/>
      <c r="G2382" s="526"/>
      <c r="K2382" s="3280"/>
      <c r="P2382" s="3041"/>
      <c r="X2382" s="3280"/>
      <c r="AA2382" s="3041"/>
      <c r="AF2382" s="3041"/>
      <c r="AN2382" s="3280"/>
      <c r="AZ2382" s="3041"/>
      <c r="BD2382" s="3281"/>
      <c r="BH2382" s="3282"/>
      <c r="BJ2382" s="2589"/>
      <c r="BK2382" s="2126"/>
      <c r="BL2382" s="2126"/>
      <c r="BM2382" s="2126"/>
      <c r="BN2382" s="2126"/>
      <c r="BO2382" s="2126"/>
      <c r="BP2382" s="2126"/>
      <c r="BQ2382" s="2126"/>
      <c r="BR2382" s="2126"/>
      <c r="BS2382" s="2126"/>
    </row>
    <row r="2383" spans="1:71" s="3030" customFormat="1">
      <c r="A2383" s="2126"/>
      <c r="B2383" s="2126"/>
      <c r="C2383" s="2149"/>
      <c r="D2383" s="3248"/>
      <c r="E2383" s="525"/>
      <c r="F2383" s="525"/>
      <c r="G2383" s="526"/>
      <c r="K2383" s="3280"/>
      <c r="P2383" s="3041"/>
      <c r="X2383" s="3280"/>
      <c r="AA2383" s="3041"/>
      <c r="AF2383" s="3041"/>
      <c r="AN2383" s="3280"/>
      <c r="AZ2383" s="3041"/>
      <c r="BD2383" s="3281"/>
      <c r="BH2383" s="3282"/>
      <c r="BJ2383" s="2589"/>
      <c r="BK2383" s="2126"/>
      <c r="BL2383" s="2126"/>
      <c r="BM2383" s="2126"/>
      <c r="BN2383" s="2126"/>
      <c r="BO2383" s="2126"/>
      <c r="BP2383" s="2126"/>
      <c r="BQ2383" s="2126"/>
      <c r="BR2383" s="2126"/>
      <c r="BS2383" s="2126"/>
    </row>
    <row r="2384" spans="1:71" s="3030" customFormat="1">
      <c r="A2384" s="2126"/>
      <c r="B2384" s="2126"/>
      <c r="C2384" s="2149"/>
      <c r="D2384" s="3248"/>
      <c r="E2384" s="525"/>
      <c r="F2384" s="525"/>
      <c r="G2384" s="526"/>
      <c r="K2384" s="3280"/>
      <c r="P2384" s="3041"/>
      <c r="X2384" s="3280"/>
      <c r="AA2384" s="3041"/>
      <c r="AF2384" s="3041"/>
      <c r="AN2384" s="3280"/>
      <c r="AZ2384" s="3041"/>
      <c r="BD2384" s="3281"/>
      <c r="BH2384" s="3282"/>
      <c r="BJ2384" s="2589"/>
      <c r="BK2384" s="2126"/>
      <c r="BL2384" s="2126"/>
      <c r="BM2384" s="2126"/>
      <c r="BN2384" s="2126"/>
      <c r="BO2384" s="2126"/>
      <c r="BP2384" s="2126"/>
      <c r="BQ2384" s="2126"/>
      <c r="BR2384" s="2126"/>
      <c r="BS2384" s="2126"/>
    </row>
    <row r="2385" spans="1:71" s="3030" customFormat="1">
      <c r="A2385" s="2126"/>
      <c r="B2385" s="2126"/>
      <c r="C2385" s="2149"/>
      <c r="D2385" s="3248"/>
      <c r="E2385" s="525"/>
      <c r="F2385" s="525"/>
      <c r="G2385" s="526"/>
      <c r="K2385" s="3280"/>
      <c r="P2385" s="3041"/>
      <c r="X2385" s="3280"/>
      <c r="AA2385" s="3041"/>
      <c r="AF2385" s="3041"/>
      <c r="AN2385" s="3280"/>
      <c r="AZ2385" s="3041"/>
      <c r="BD2385" s="3281"/>
      <c r="BH2385" s="3282"/>
      <c r="BJ2385" s="2589"/>
      <c r="BK2385" s="2126"/>
      <c r="BL2385" s="2126"/>
      <c r="BM2385" s="2126"/>
      <c r="BN2385" s="2126"/>
      <c r="BO2385" s="2126"/>
      <c r="BP2385" s="2126"/>
      <c r="BQ2385" s="2126"/>
      <c r="BR2385" s="2126"/>
      <c r="BS2385" s="2126"/>
    </row>
    <row r="2386" spans="1:71" s="3030" customFormat="1">
      <c r="A2386" s="2126"/>
      <c r="B2386" s="2126"/>
      <c r="C2386" s="2149"/>
      <c r="D2386" s="3248"/>
      <c r="E2386" s="525"/>
      <c r="F2386" s="525"/>
      <c r="G2386" s="526"/>
      <c r="K2386" s="3280"/>
      <c r="P2386" s="3041"/>
      <c r="X2386" s="3280"/>
      <c r="AA2386" s="3041"/>
      <c r="AF2386" s="3041"/>
      <c r="AN2386" s="3280"/>
      <c r="AZ2386" s="3041"/>
      <c r="BD2386" s="3281"/>
      <c r="BH2386" s="3282"/>
      <c r="BJ2386" s="2589"/>
      <c r="BK2386" s="2126"/>
      <c r="BL2386" s="2126"/>
      <c r="BM2386" s="2126"/>
      <c r="BN2386" s="2126"/>
      <c r="BO2386" s="2126"/>
      <c r="BP2386" s="2126"/>
      <c r="BQ2386" s="2126"/>
      <c r="BR2386" s="2126"/>
      <c r="BS2386" s="2126"/>
    </row>
    <row r="2387" spans="1:71" s="3030" customFormat="1">
      <c r="A2387" s="2126"/>
      <c r="B2387" s="2126"/>
      <c r="C2387" s="2149"/>
      <c r="D2387" s="3248"/>
      <c r="E2387" s="525"/>
      <c r="F2387" s="525"/>
      <c r="G2387" s="526"/>
      <c r="K2387" s="3280"/>
      <c r="P2387" s="3041"/>
      <c r="X2387" s="3280"/>
      <c r="AA2387" s="3041"/>
      <c r="AF2387" s="3041"/>
      <c r="AN2387" s="3280"/>
      <c r="AZ2387" s="3041"/>
      <c r="BD2387" s="3281"/>
      <c r="BH2387" s="3282"/>
      <c r="BJ2387" s="2589"/>
      <c r="BK2387" s="2126"/>
      <c r="BL2387" s="2126"/>
      <c r="BM2387" s="2126"/>
      <c r="BN2387" s="2126"/>
      <c r="BO2387" s="2126"/>
      <c r="BP2387" s="2126"/>
      <c r="BQ2387" s="2126"/>
      <c r="BR2387" s="2126"/>
      <c r="BS2387" s="2126"/>
    </row>
    <row r="2388" spans="1:71" s="3030" customFormat="1">
      <c r="A2388" s="2126"/>
      <c r="B2388" s="2126"/>
      <c r="C2388" s="2149"/>
      <c r="D2388" s="3248"/>
      <c r="E2388" s="525"/>
      <c r="F2388" s="525"/>
      <c r="G2388" s="526"/>
      <c r="K2388" s="3280"/>
      <c r="P2388" s="3041"/>
      <c r="X2388" s="3280"/>
      <c r="AA2388" s="3041"/>
      <c r="AF2388" s="3041"/>
      <c r="AN2388" s="3280"/>
      <c r="AZ2388" s="3041"/>
      <c r="BD2388" s="3281"/>
      <c r="BH2388" s="3282"/>
      <c r="BJ2388" s="2589"/>
      <c r="BK2388" s="2126"/>
      <c r="BL2388" s="2126"/>
      <c r="BM2388" s="2126"/>
      <c r="BN2388" s="2126"/>
      <c r="BO2388" s="2126"/>
      <c r="BP2388" s="2126"/>
      <c r="BQ2388" s="2126"/>
      <c r="BR2388" s="2126"/>
      <c r="BS2388" s="2126"/>
    </row>
    <row r="2389" spans="1:71" s="3030" customFormat="1">
      <c r="A2389" s="2126"/>
      <c r="B2389" s="2126"/>
      <c r="C2389" s="2149"/>
      <c r="D2389" s="3248"/>
      <c r="E2389" s="525"/>
      <c r="F2389" s="525"/>
      <c r="G2389" s="526"/>
      <c r="K2389" s="3280"/>
      <c r="P2389" s="3041"/>
      <c r="X2389" s="3280"/>
      <c r="AA2389" s="3041"/>
      <c r="AF2389" s="3041"/>
      <c r="AN2389" s="3280"/>
      <c r="AZ2389" s="3041"/>
      <c r="BD2389" s="3281"/>
      <c r="BH2389" s="3282"/>
      <c r="BJ2389" s="2589"/>
      <c r="BK2389" s="2126"/>
      <c r="BL2389" s="2126"/>
      <c r="BM2389" s="2126"/>
      <c r="BN2389" s="2126"/>
      <c r="BO2389" s="2126"/>
      <c r="BP2389" s="2126"/>
      <c r="BQ2389" s="2126"/>
      <c r="BR2389" s="2126"/>
      <c r="BS2389" s="2126"/>
    </row>
    <row r="2390" spans="1:71" s="3030" customFormat="1">
      <c r="A2390" s="2126"/>
      <c r="B2390" s="2126"/>
      <c r="C2390" s="2149"/>
      <c r="D2390" s="3248"/>
      <c r="E2390" s="525"/>
      <c r="F2390" s="525"/>
      <c r="G2390" s="526"/>
      <c r="K2390" s="3280"/>
      <c r="P2390" s="3041"/>
      <c r="X2390" s="3280"/>
      <c r="AA2390" s="3041"/>
      <c r="AF2390" s="3041"/>
      <c r="AN2390" s="3280"/>
      <c r="AZ2390" s="3041"/>
      <c r="BD2390" s="3281"/>
      <c r="BH2390" s="3282"/>
      <c r="BJ2390" s="2589"/>
      <c r="BK2390" s="2126"/>
      <c r="BL2390" s="2126"/>
      <c r="BM2390" s="2126"/>
      <c r="BN2390" s="2126"/>
      <c r="BO2390" s="2126"/>
      <c r="BP2390" s="2126"/>
      <c r="BQ2390" s="2126"/>
      <c r="BR2390" s="2126"/>
      <c r="BS2390" s="2126"/>
    </row>
    <row r="2391" spans="1:71" s="3030" customFormat="1">
      <c r="A2391" s="2126"/>
      <c r="B2391" s="2126"/>
      <c r="C2391" s="2149"/>
      <c r="D2391" s="3248"/>
      <c r="E2391" s="525"/>
      <c r="F2391" s="525"/>
      <c r="G2391" s="526"/>
      <c r="K2391" s="3280"/>
      <c r="P2391" s="3041"/>
      <c r="X2391" s="3280"/>
      <c r="AA2391" s="3041"/>
      <c r="AF2391" s="3041"/>
      <c r="AN2391" s="3280"/>
      <c r="AZ2391" s="3041"/>
      <c r="BD2391" s="3281"/>
      <c r="BH2391" s="3282"/>
      <c r="BJ2391" s="2589"/>
      <c r="BK2391" s="2126"/>
      <c r="BL2391" s="2126"/>
      <c r="BM2391" s="2126"/>
      <c r="BN2391" s="2126"/>
      <c r="BO2391" s="2126"/>
      <c r="BP2391" s="2126"/>
      <c r="BQ2391" s="2126"/>
      <c r="BR2391" s="2126"/>
      <c r="BS2391" s="2126"/>
    </row>
    <row r="2392" spans="1:71" s="3030" customFormat="1">
      <c r="A2392" s="2126"/>
      <c r="B2392" s="2126"/>
      <c r="C2392" s="2149"/>
      <c r="D2392" s="3248"/>
      <c r="E2392" s="525"/>
      <c r="F2392" s="525"/>
      <c r="G2392" s="526"/>
      <c r="K2392" s="3280"/>
      <c r="P2392" s="3041"/>
      <c r="X2392" s="3280"/>
      <c r="AA2392" s="3041"/>
      <c r="AF2392" s="3041"/>
      <c r="AN2392" s="3280"/>
      <c r="AZ2392" s="3041"/>
      <c r="BD2392" s="3281"/>
      <c r="BH2392" s="3282"/>
      <c r="BJ2392" s="2589"/>
      <c r="BK2392" s="2126"/>
      <c r="BL2392" s="2126"/>
      <c r="BM2392" s="2126"/>
      <c r="BN2392" s="2126"/>
      <c r="BO2392" s="2126"/>
      <c r="BP2392" s="2126"/>
      <c r="BQ2392" s="2126"/>
      <c r="BR2392" s="2126"/>
      <c r="BS2392" s="2126"/>
    </row>
    <row r="2393" spans="1:71" s="3030" customFormat="1">
      <c r="A2393" s="2126"/>
      <c r="B2393" s="2126"/>
      <c r="C2393" s="2149"/>
      <c r="D2393" s="3248"/>
      <c r="E2393" s="525"/>
      <c r="F2393" s="525"/>
      <c r="G2393" s="526"/>
      <c r="K2393" s="3280"/>
      <c r="P2393" s="3041"/>
      <c r="X2393" s="3280"/>
      <c r="AA2393" s="3041"/>
      <c r="AF2393" s="3041"/>
      <c r="AN2393" s="3280"/>
      <c r="AZ2393" s="3041"/>
      <c r="BD2393" s="3281"/>
      <c r="BH2393" s="3282"/>
      <c r="BJ2393" s="2589"/>
      <c r="BK2393" s="2126"/>
      <c r="BL2393" s="2126"/>
      <c r="BM2393" s="2126"/>
      <c r="BN2393" s="2126"/>
      <c r="BO2393" s="2126"/>
      <c r="BP2393" s="2126"/>
      <c r="BQ2393" s="2126"/>
      <c r="BR2393" s="2126"/>
      <c r="BS2393" s="2126"/>
    </row>
    <row r="2394" spans="1:71" s="3030" customFormat="1">
      <c r="A2394" s="2126"/>
      <c r="B2394" s="2126"/>
      <c r="C2394" s="2149"/>
      <c r="D2394" s="3248"/>
      <c r="E2394" s="525"/>
      <c r="F2394" s="525"/>
      <c r="G2394" s="526"/>
      <c r="K2394" s="3280"/>
      <c r="P2394" s="3041"/>
      <c r="X2394" s="3280"/>
      <c r="AA2394" s="3041"/>
      <c r="AF2394" s="3041"/>
      <c r="AN2394" s="3280"/>
      <c r="AZ2394" s="3041"/>
      <c r="BD2394" s="3281"/>
      <c r="BH2394" s="3282"/>
      <c r="BJ2394" s="2589"/>
      <c r="BK2394" s="2126"/>
      <c r="BL2394" s="2126"/>
      <c r="BM2394" s="2126"/>
      <c r="BN2394" s="2126"/>
      <c r="BO2394" s="2126"/>
      <c r="BP2394" s="2126"/>
      <c r="BQ2394" s="2126"/>
      <c r="BR2394" s="2126"/>
      <c r="BS2394" s="2126"/>
    </row>
    <row r="2395" spans="1:71" s="3030" customFormat="1">
      <c r="A2395" s="2126"/>
      <c r="B2395" s="2126"/>
      <c r="C2395" s="2149"/>
      <c r="D2395" s="3248"/>
      <c r="E2395" s="525"/>
      <c r="F2395" s="525"/>
      <c r="G2395" s="526"/>
      <c r="K2395" s="3280"/>
      <c r="P2395" s="3041"/>
      <c r="X2395" s="3280"/>
      <c r="AA2395" s="3041"/>
      <c r="AF2395" s="3041"/>
      <c r="AN2395" s="3280"/>
      <c r="AZ2395" s="3041"/>
      <c r="BD2395" s="3281"/>
      <c r="BH2395" s="3282"/>
      <c r="BJ2395" s="2589"/>
      <c r="BK2395" s="2126"/>
      <c r="BL2395" s="2126"/>
      <c r="BM2395" s="2126"/>
      <c r="BN2395" s="2126"/>
      <c r="BO2395" s="2126"/>
      <c r="BP2395" s="2126"/>
      <c r="BQ2395" s="2126"/>
      <c r="BR2395" s="2126"/>
      <c r="BS2395" s="2126"/>
    </row>
    <row r="2396" spans="1:71" s="3030" customFormat="1">
      <c r="A2396" s="2126"/>
      <c r="B2396" s="2126"/>
      <c r="C2396" s="2149"/>
      <c r="D2396" s="3248"/>
      <c r="E2396" s="525"/>
      <c r="F2396" s="525"/>
      <c r="G2396" s="526"/>
      <c r="K2396" s="3280"/>
      <c r="P2396" s="3041"/>
      <c r="X2396" s="3280"/>
      <c r="AA2396" s="3041"/>
      <c r="AF2396" s="3041"/>
      <c r="AN2396" s="3280"/>
      <c r="AZ2396" s="3041"/>
      <c r="BD2396" s="3281"/>
      <c r="BH2396" s="3282"/>
      <c r="BJ2396" s="2589"/>
      <c r="BK2396" s="2126"/>
      <c r="BL2396" s="2126"/>
      <c r="BM2396" s="2126"/>
      <c r="BN2396" s="2126"/>
      <c r="BO2396" s="2126"/>
      <c r="BP2396" s="2126"/>
      <c r="BQ2396" s="2126"/>
      <c r="BR2396" s="2126"/>
      <c r="BS2396" s="2126"/>
    </row>
    <row r="2397" spans="1:71" s="3030" customFormat="1">
      <c r="A2397" s="2126"/>
      <c r="B2397" s="2126"/>
      <c r="C2397" s="2149"/>
      <c r="D2397" s="3248"/>
      <c r="E2397" s="525"/>
      <c r="F2397" s="525"/>
      <c r="G2397" s="526"/>
      <c r="K2397" s="3280"/>
      <c r="P2397" s="3041"/>
      <c r="X2397" s="3280"/>
      <c r="AA2397" s="3041"/>
      <c r="AF2397" s="3041"/>
      <c r="AN2397" s="3280"/>
      <c r="AZ2397" s="3041"/>
      <c r="BD2397" s="3281"/>
      <c r="BH2397" s="3282"/>
      <c r="BJ2397" s="2589"/>
      <c r="BK2397" s="2126"/>
      <c r="BL2397" s="2126"/>
      <c r="BM2397" s="2126"/>
      <c r="BN2397" s="2126"/>
      <c r="BO2397" s="2126"/>
      <c r="BP2397" s="2126"/>
      <c r="BQ2397" s="2126"/>
      <c r="BR2397" s="2126"/>
      <c r="BS2397" s="2126"/>
    </row>
    <row r="2398" spans="1:71" s="3030" customFormat="1">
      <c r="A2398" s="2126"/>
      <c r="B2398" s="2126"/>
      <c r="C2398" s="2149"/>
      <c r="D2398" s="3248"/>
      <c r="E2398" s="525"/>
      <c r="F2398" s="525"/>
      <c r="G2398" s="526"/>
      <c r="K2398" s="3280"/>
      <c r="P2398" s="3041"/>
      <c r="X2398" s="3280"/>
      <c r="AA2398" s="3041"/>
      <c r="AF2398" s="3041"/>
      <c r="AN2398" s="3280"/>
      <c r="AZ2398" s="3041"/>
      <c r="BD2398" s="3281"/>
      <c r="BH2398" s="3282"/>
      <c r="BJ2398" s="2589"/>
      <c r="BK2398" s="2126"/>
      <c r="BL2398" s="2126"/>
      <c r="BM2398" s="2126"/>
      <c r="BN2398" s="2126"/>
      <c r="BO2398" s="2126"/>
      <c r="BP2398" s="2126"/>
      <c r="BQ2398" s="2126"/>
      <c r="BR2398" s="2126"/>
      <c r="BS2398" s="2126"/>
    </row>
    <row r="2399" spans="1:71" s="3030" customFormat="1">
      <c r="A2399" s="2126"/>
      <c r="B2399" s="2126"/>
      <c r="C2399" s="2149"/>
      <c r="D2399" s="3248"/>
      <c r="E2399" s="525"/>
      <c r="F2399" s="525"/>
      <c r="G2399" s="526"/>
      <c r="K2399" s="3280"/>
      <c r="P2399" s="3041"/>
      <c r="X2399" s="3280"/>
      <c r="AA2399" s="3041"/>
      <c r="AF2399" s="3041"/>
      <c r="AN2399" s="3280"/>
      <c r="AZ2399" s="3041"/>
      <c r="BD2399" s="3281"/>
      <c r="BH2399" s="3282"/>
      <c r="BJ2399" s="2589"/>
      <c r="BK2399" s="2126"/>
      <c r="BL2399" s="2126"/>
      <c r="BM2399" s="2126"/>
      <c r="BN2399" s="2126"/>
      <c r="BO2399" s="2126"/>
      <c r="BP2399" s="2126"/>
      <c r="BQ2399" s="2126"/>
      <c r="BR2399" s="2126"/>
      <c r="BS2399" s="2126"/>
    </row>
    <row r="2400" spans="1:71" s="3030" customFormat="1">
      <c r="A2400" s="2126"/>
      <c r="B2400" s="2126"/>
      <c r="C2400" s="2149"/>
      <c r="D2400" s="3248"/>
      <c r="E2400" s="525"/>
      <c r="F2400" s="525"/>
      <c r="G2400" s="526"/>
      <c r="K2400" s="3280"/>
      <c r="P2400" s="3041"/>
      <c r="X2400" s="3280"/>
      <c r="AA2400" s="3041"/>
      <c r="AF2400" s="3041"/>
      <c r="AN2400" s="3280"/>
      <c r="AZ2400" s="3041"/>
      <c r="BD2400" s="3281"/>
      <c r="BH2400" s="3282"/>
      <c r="BJ2400" s="2589"/>
      <c r="BK2400" s="2126"/>
      <c r="BL2400" s="2126"/>
      <c r="BM2400" s="2126"/>
      <c r="BN2400" s="2126"/>
      <c r="BO2400" s="2126"/>
      <c r="BP2400" s="2126"/>
      <c r="BQ2400" s="2126"/>
      <c r="BR2400" s="2126"/>
      <c r="BS2400" s="2126"/>
    </row>
    <row r="2401" spans="1:71" s="3030" customFormat="1">
      <c r="A2401" s="2126"/>
      <c r="B2401" s="2126"/>
      <c r="C2401" s="2149"/>
      <c r="D2401" s="3248"/>
      <c r="E2401" s="525"/>
      <c r="F2401" s="525"/>
      <c r="G2401" s="526"/>
      <c r="K2401" s="3280"/>
      <c r="P2401" s="3041"/>
      <c r="X2401" s="3280"/>
      <c r="AA2401" s="3041"/>
      <c r="AF2401" s="3041"/>
      <c r="AN2401" s="3280"/>
      <c r="AZ2401" s="3041"/>
      <c r="BD2401" s="3281"/>
      <c r="BH2401" s="3282"/>
      <c r="BJ2401" s="2589"/>
      <c r="BK2401" s="2126"/>
      <c r="BL2401" s="2126"/>
      <c r="BM2401" s="2126"/>
      <c r="BN2401" s="2126"/>
      <c r="BO2401" s="2126"/>
      <c r="BP2401" s="2126"/>
      <c r="BQ2401" s="2126"/>
      <c r="BR2401" s="2126"/>
      <c r="BS2401" s="2126"/>
    </row>
    <row r="2402" spans="1:71" s="3030" customFormat="1">
      <c r="A2402" s="2126"/>
      <c r="B2402" s="2126"/>
      <c r="C2402" s="2149"/>
      <c r="D2402" s="3248"/>
      <c r="E2402" s="525"/>
      <c r="F2402" s="525"/>
      <c r="G2402" s="526"/>
      <c r="K2402" s="3280"/>
      <c r="P2402" s="3041"/>
      <c r="X2402" s="3280"/>
      <c r="AA2402" s="3041"/>
      <c r="AF2402" s="3041"/>
      <c r="AN2402" s="3280"/>
      <c r="AZ2402" s="3041"/>
      <c r="BD2402" s="3281"/>
      <c r="BH2402" s="3282"/>
      <c r="BJ2402" s="2589"/>
      <c r="BK2402" s="2126"/>
      <c r="BL2402" s="2126"/>
      <c r="BM2402" s="2126"/>
      <c r="BN2402" s="2126"/>
      <c r="BO2402" s="2126"/>
      <c r="BP2402" s="2126"/>
      <c r="BQ2402" s="2126"/>
      <c r="BR2402" s="2126"/>
      <c r="BS2402" s="2126"/>
    </row>
    <row r="2403" spans="1:71" s="3030" customFormat="1">
      <c r="A2403" s="2126"/>
      <c r="B2403" s="2126"/>
      <c r="C2403" s="2149"/>
      <c r="D2403" s="3248"/>
      <c r="E2403" s="525"/>
      <c r="F2403" s="525"/>
      <c r="G2403" s="526"/>
      <c r="K2403" s="3280"/>
      <c r="P2403" s="3041"/>
      <c r="X2403" s="3280"/>
      <c r="AA2403" s="3041"/>
      <c r="AF2403" s="3041"/>
      <c r="AN2403" s="3280"/>
      <c r="AZ2403" s="3041"/>
      <c r="BD2403" s="3281"/>
      <c r="BH2403" s="3282"/>
      <c r="BJ2403" s="2589"/>
      <c r="BK2403" s="2126"/>
      <c r="BL2403" s="2126"/>
      <c r="BM2403" s="2126"/>
      <c r="BN2403" s="2126"/>
      <c r="BO2403" s="2126"/>
      <c r="BP2403" s="2126"/>
      <c r="BQ2403" s="2126"/>
      <c r="BR2403" s="2126"/>
      <c r="BS2403" s="2126"/>
    </row>
    <row r="2404" spans="1:71" s="3030" customFormat="1">
      <c r="A2404" s="2126"/>
      <c r="B2404" s="2126"/>
      <c r="C2404" s="2149"/>
      <c r="D2404" s="3248"/>
      <c r="E2404" s="525"/>
      <c r="F2404" s="525"/>
      <c r="G2404" s="526"/>
      <c r="K2404" s="3280"/>
      <c r="P2404" s="3041"/>
      <c r="X2404" s="3280"/>
      <c r="AA2404" s="3041"/>
      <c r="AF2404" s="3041"/>
      <c r="AN2404" s="3280"/>
      <c r="AZ2404" s="3041"/>
      <c r="BD2404" s="3281"/>
      <c r="BH2404" s="3282"/>
      <c r="BJ2404" s="2589"/>
      <c r="BK2404" s="2126"/>
      <c r="BL2404" s="2126"/>
      <c r="BM2404" s="2126"/>
      <c r="BN2404" s="2126"/>
      <c r="BO2404" s="2126"/>
      <c r="BP2404" s="2126"/>
      <c r="BQ2404" s="2126"/>
      <c r="BR2404" s="2126"/>
      <c r="BS2404" s="2126"/>
    </row>
    <row r="2405" spans="1:71" s="3030" customFormat="1">
      <c r="A2405" s="2126"/>
      <c r="B2405" s="2126"/>
      <c r="C2405" s="2149"/>
      <c r="D2405" s="3248"/>
      <c r="E2405" s="525"/>
      <c r="F2405" s="525"/>
      <c r="G2405" s="526"/>
      <c r="K2405" s="3280"/>
      <c r="P2405" s="3041"/>
      <c r="X2405" s="3280"/>
      <c r="AA2405" s="3041"/>
      <c r="AF2405" s="3041"/>
      <c r="AN2405" s="3280"/>
      <c r="AZ2405" s="3041"/>
      <c r="BD2405" s="3281"/>
      <c r="BH2405" s="3282"/>
      <c r="BJ2405" s="2589"/>
      <c r="BK2405" s="2126"/>
      <c r="BL2405" s="2126"/>
      <c r="BM2405" s="2126"/>
      <c r="BN2405" s="2126"/>
      <c r="BO2405" s="2126"/>
      <c r="BP2405" s="2126"/>
      <c r="BQ2405" s="2126"/>
      <c r="BR2405" s="2126"/>
      <c r="BS2405" s="2126"/>
    </row>
    <row r="2406" spans="1:71" s="3030" customFormat="1">
      <c r="A2406" s="2126"/>
      <c r="B2406" s="2126"/>
      <c r="C2406" s="2149"/>
      <c r="D2406" s="3248"/>
      <c r="E2406" s="525"/>
      <c r="F2406" s="525"/>
      <c r="G2406" s="526"/>
      <c r="K2406" s="3280"/>
      <c r="P2406" s="3041"/>
      <c r="X2406" s="3280"/>
      <c r="AA2406" s="3041"/>
      <c r="AF2406" s="3041"/>
      <c r="AN2406" s="3280"/>
      <c r="AZ2406" s="3041"/>
      <c r="BD2406" s="3281"/>
      <c r="BH2406" s="3282"/>
      <c r="BJ2406" s="2589"/>
      <c r="BK2406" s="2126"/>
      <c r="BL2406" s="2126"/>
      <c r="BM2406" s="2126"/>
      <c r="BN2406" s="2126"/>
      <c r="BO2406" s="2126"/>
      <c r="BP2406" s="2126"/>
      <c r="BQ2406" s="2126"/>
      <c r="BR2406" s="2126"/>
      <c r="BS2406" s="2126"/>
    </row>
    <row r="2407" spans="1:71" s="3030" customFormat="1">
      <c r="A2407" s="2126"/>
      <c r="B2407" s="2126"/>
      <c r="C2407" s="2149"/>
      <c r="D2407" s="3248"/>
      <c r="E2407" s="525"/>
      <c r="F2407" s="525"/>
      <c r="G2407" s="526"/>
      <c r="K2407" s="3280"/>
      <c r="P2407" s="3041"/>
      <c r="X2407" s="3280"/>
      <c r="AA2407" s="3041"/>
      <c r="AF2407" s="3041"/>
      <c r="AN2407" s="3280"/>
      <c r="AZ2407" s="3041"/>
      <c r="BD2407" s="3281"/>
      <c r="BH2407" s="3282"/>
      <c r="BJ2407" s="2589"/>
      <c r="BK2407" s="2126"/>
      <c r="BL2407" s="2126"/>
      <c r="BM2407" s="2126"/>
      <c r="BN2407" s="2126"/>
      <c r="BO2407" s="2126"/>
      <c r="BP2407" s="2126"/>
      <c r="BQ2407" s="2126"/>
      <c r="BR2407" s="2126"/>
      <c r="BS2407" s="2126"/>
    </row>
    <row r="2408" spans="1:71" s="3030" customFormat="1">
      <c r="A2408" s="2126"/>
      <c r="B2408" s="2126"/>
      <c r="C2408" s="2149"/>
      <c r="D2408" s="3248"/>
      <c r="E2408" s="525"/>
      <c r="F2408" s="525"/>
      <c r="G2408" s="526"/>
      <c r="K2408" s="3280"/>
      <c r="P2408" s="3041"/>
      <c r="X2408" s="3280"/>
      <c r="AA2408" s="3041"/>
      <c r="AF2408" s="3041"/>
      <c r="AN2408" s="3280"/>
      <c r="AZ2408" s="3041"/>
      <c r="BD2408" s="3281"/>
      <c r="BH2408" s="3282"/>
      <c r="BJ2408" s="2589"/>
      <c r="BK2408" s="2126"/>
      <c r="BL2408" s="2126"/>
      <c r="BM2408" s="2126"/>
      <c r="BN2408" s="2126"/>
      <c r="BO2408" s="2126"/>
      <c r="BP2408" s="2126"/>
      <c r="BQ2408" s="2126"/>
      <c r="BR2408" s="2126"/>
      <c r="BS2408" s="2126"/>
    </row>
    <row r="2409" spans="1:71" s="3030" customFormat="1">
      <c r="A2409" s="2126"/>
      <c r="B2409" s="2126"/>
      <c r="C2409" s="2149"/>
      <c r="D2409" s="3248"/>
      <c r="E2409" s="525"/>
      <c r="F2409" s="525"/>
      <c r="G2409" s="526"/>
      <c r="K2409" s="3280"/>
      <c r="P2409" s="3041"/>
      <c r="X2409" s="3280"/>
      <c r="AA2409" s="3041"/>
      <c r="AF2409" s="3041"/>
      <c r="AN2409" s="3280"/>
      <c r="AZ2409" s="3041"/>
      <c r="BD2409" s="3281"/>
      <c r="BH2409" s="3282"/>
      <c r="BJ2409" s="2589"/>
      <c r="BK2409" s="2126"/>
      <c r="BL2409" s="2126"/>
      <c r="BM2409" s="2126"/>
      <c r="BN2409" s="2126"/>
      <c r="BO2409" s="2126"/>
      <c r="BP2409" s="2126"/>
      <c r="BQ2409" s="2126"/>
      <c r="BR2409" s="2126"/>
      <c r="BS2409" s="2126"/>
    </row>
    <row r="2410" spans="1:71" s="3030" customFormat="1">
      <c r="A2410" s="2126"/>
      <c r="B2410" s="2126"/>
      <c r="C2410" s="2149"/>
      <c r="D2410" s="3248"/>
      <c r="E2410" s="525"/>
      <c r="F2410" s="525"/>
      <c r="G2410" s="526"/>
      <c r="K2410" s="3280"/>
      <c r="P2410" s="3041"/>
      <c r="X2410" s="3280"/>
      <c r="AA2410" s="3041"/>
      <c r="AF2410" s="3041"/>
      <c r="AN2410" s="3280"/>
      <c r="AZ2410" s="3041"/>
      <c r="BD2410" s="3281"/>
      <c r="BH2410" s="3282"/>
      <c r="BJ2410" s="2589"/>
      <c r="BK2410" s="2126"/>
      <c r="BL2410" s="2126"/>
      <c r="BM2410" s="2126"/>
      <c r="BN2410" s="2126"/>
      <c r="BO2410" s="2126"/>
      <c r="BP2410" s="2126"/>
      <c r="BQ2410" s="2126"/>
      <c r="BR2410" s="2126"/>
      <c r="BS2410" s="2126"/>
    </row>
    <row r="2411" spans="1:71" s="3030" customFormat="1">
      <c r="A2411" s="2126"/>
      <c r="B2411" s="2126"/>
      <c r="C2411" s="2149"/>
      <c r="D2411" s="3248"/>
      <c r="E2411" s="525"/>
      <c r="F2411" s="525"/>
      <c r="G2411" s="526"/>
      <c r="K2411" s="3280"/>
      <c r="P2411" s="3041"/>
      <c r="X2411" s="3280"/>
      <c r="AA2411" s="3041"/>
      <c r="AF2411" s="3041"/>
      <c r="AN2411" s="3280"/>
      <c r="AZ2411" s="3041"/>
      <c r="BD2411" s="3281"/>
      <c r="BH2411" s="3282"/>
      <c r="BJ2411" s="2589"/>
      <c r="BK2411" s="2126"/>
      <c r="BL2411" s="2126"/>
      <c r="BM2411" s="2126"/>
      <c r="BN2411" s="2126"/>
      <c r="BO2411" s="2126"/>
      <c r="BP2411" s="2126"/>
      <c r="BQ2411" s="2126"/>
      <c r="BR2411" s="2126"/>
      <c r="BS2411" s="2126"/>
    </row>
    <row r="2412" spans="1:71" s="3030" customFormat="1">
      <c r="A2412" s="2126"/>
      <c r="B2412" s="2126"/>
      <c r="C2412" s="2149"/>
      <c r="D2412" s="3248"/>
      <c r="E2412" s="525"/>
      <c r="F2412" s="525"/>
      <c r="G2412" s="526"/>
      <c r="K2412" s="3280"/>
      <c r="P2412" s="3041"/>
      <c r="X2412" s="3280"/>
      <c r="AA2412" s="3041"/>
      <c r="AF2412" s="3041"/>
      <c r="AN2412" s="3280"/>
      <c r="AZ2412" s="3041"/>
      <c r="BD2412" s="3281"/>
      <c r="BH2412" s="3282"/>
      <c r="BJ2412" s="2589"/>
      <c r="BK2412" s="2126"/>
      <c r="BL2412" s="2126"/>
      <c r="BM2412" s="2126"/>
      <c r="BN2412" s="2126"/>
      <c r="BO2412" s="2126"/>
      <c r="BP2412" s="2126"/>
      <c r="BQ2412" s="2126"/>
      <c r="BR2412" s="2126"/>
      <c r="BS2412" s="2126"/>
    </row>
    <row r="2413" spans="1:71" s="3030" customFormat="1">
      <c r="A2413" s="2126"/>
      <c r="B2413" s="2126"/>
      <c r="C2413" s="2149"/>
      <c r="D2413" s="3248"/>
      <c r="E2413" s="525"/>
      <c r="F2413" s="525"/>
      <c r="G2413" s="526"/>
      <c r="K2413" s="3280"/>
      <c r="P2413" s="3041"/>
      <c r="X2413" s="3280"/>
      <c r="AA2413" s="3041"/>
      <c r="AF2413" s="3041"/>
      <c r="AN2413" s="3280"/>
      <c r="AZ2413" s="3041"/>
      <c r="BD2413" s="3281"/>
      <c r="BH2413" s="3282"/>
      <c r="BJ2413" s="2589"/>
      <c r="BK2413" s="2126"/>
      <c r="BL2413" s="2126"/>
      <c r="BM2413" s="2126"/>
      <c r="BN2413" s="2126"/>
      <c r="BO2413" s="2126"/>
      <c r="BP2413" s="2126"/>
      <c r="BQ2413" s="2126"/>
      <c r="BR2413" s="2126"/>
      <c r="BS2413" s="2126"/>
    </row>
    <row r="2414" spans="1:71" s="3030" customFormat="1">
      <c r="A2414" s="2126"/>
      <c r="B2414" s="2126"/>
      <c r="C2414" s="2149"/>
      <c r="D2414" s="3248"/>
      <c r="E2414" s="525"/>
      <c r="F2414" s="525"/>
      <c r="G2414" s="526"/>
      <c r="K2414" s="3280"/>
      <c r="P2414" s="3041"/>
      <c r="X2414" s="3280"/>
      <c r="AA2414" s="3041"/>
      <c r="AF2414" s="3041"/>
      <c r="AN2414" s="3280"/>
      <c r="AZ2414" s="3041"/>
      <c r="BD2414" s="3281"/>
      <c r="BH2414" s="3282"/>
      <c r="BJ2414" s="2589"/>
      <c r="BK2414" s="2126"/>
      <c r="BL2414" s="2126"/>
      <c r="BM2414" s="2126"/>
      <c r="BN2414" s="2126"/>
      <c r="BO2414" s="2126"/>
      <c r="BP2414" s="2126"/>
      <c r="BQ2414" s="2126"/>
      <c r="BR2414" s="2126"/>
      <c r="BS2414" s="2126"/>
    </row>
    <row r="2415" spans="1:71" s="3030" customFormat="1">
      <c r="A2415" s="2126"/>
      <c r="B2415" s="2126"/>
      <c r="C2415" s="2149"/>
      <c r="D2415" s="3248"/>
      <c r="E2415" s="525"/>
      <c r="F2415" s="525"/>
      <c r="G2415" s="526"/>
      <c r="K2415" s="3280"/>
      <c r="P2415" s="3041"/>
      <c r="X2415" s="3280"/>
      <c r="AA2415" s="3041"/>
      <c r="AF2415" s="3041"/>
      <c r="AN2415" s="3280"/>
      <c r="AZ2415" s="3041"/>
      <c r="BD2415" s="3281"/>
      <c r="BH2415" s="3282"/>
      <c r="BJ2415" s="2589"/>
      <c r="BK2415" s="2126"/>
      <c r="BL2415" s="2126"/>
      <c r="BM2415" s="2126"/>
      <c r="BN2415" s="2126"/>
      <c r="BO2415" s="2126"/>
      <c r="BP2415" s="2126"/>
      <c r="BQ2415" s="2126"/>
      <c r="BR2415" s="2126"/>
      <c r="BS2415" s="2126"/>
    </row>
    <row r="2416" spans="1:71" s="3030" customFormat="1">
      <c r="A2416" s="2126"/>
      <c r="B2416" s="2126"/>
      <c r="C2416" s="2149"/>
      <c r="D2416" s="3248"/>
      <c r="E2416" s="525"/>
      <c r="F2416" s="525"/>
      <c r="G2416" s="526"/>
      <c r="K2416" s="3280"/>
      <c r="P2416" s="3041"/>
      <c r="X2416" s="3280"/>
      <c r="AA2416" s="3041"/>
      <c r="AF2416" s="3041"/>
      <c r="AN2416" s="3280"/>
      <c r="AZ2416" s="3041"/>
      <c r="BD2416" s="3281"/>
      <c r="BH2416" s="3282"/>
      <c r="BJ2416" s="2589"/>
      <c r="BK2416" s="2126"/>
      <c r="BL2416" s="2126"/>
      <c r="BM2416" s="2126"/>
      <c r="BN2416" s="2126"/>
      <c r="BO2416" s="2126"/>
      <c r="BP2416" s="2126"/>
      <c r="BQ2416" s="2126"/>
      <c r="BR2416" s="2126"/>
      <c r="BS2416" s="2126"/>
    </row>
    <row r="2417" spans="1:71" s="3030" customFormat="1">
      <c r="A2417" s="2126"/>
      <c r="B2417" s="2126"/>
      <c r="C2417" s="2149"/>
      <c r="D2417" s="3248"/>
      <c r="E2417" s="525"/>
      <c r="F2417" s="525"/>
      <c r="G2417" s="526"/>
      <c r="K2417" s="3280"/>
      <c r="P2417" s="3041"/>
      <c r="X2417" s="3280"/>
      <c r="AA2417" s="3041"/>
      <c r="AF2417" s="3041"/>
      <c r="AN2417" s="3280"/>
      <c r="AZ2417" s="3041"/>
      <c r="BD2417" s="3281"/>
      <c r="BH2417" s="3282"/>
      <c r="BJ2417" s="2589"/>
      <c r="BK2417" s="2126"/>
      <c r="BL2417" s="2126"/>
      <c r="BM2417" s="2126"/>
      <c r="BN2417" s="2126"/>
      <c r="BO2417" s="2126"/>
      <c r="BP2417" s="2126"/>
      <c r="BQ2417" s="2126"/>
      <c r="BR2417" s="2126"/>
      <c r="BS2417" s="2126"/>
    </row>
    <row r="2418" spans="1:71" s="3030" customFormat="1">
      <c r="A2418" s="2126"/>
      <c r="B2418" s="2126"/>
      <c r="C2418" s="2149"/>
      <c r="D2418" s="3248"/>
      <c r="E2418" s="525"/>
      <c r="F2418" s="525"/>
      <c r="G2418" s="526"/>
      <c r="K2418" s="3280"/>
      <c r="P2418" s="3041"/>
      <c r="X2418" s="3280"/>
      <c r="AA2418" s="3041"/>
      <c r="AF2418" s="3041"/>
      <c r="AN2418" s="3280"/>
      <c r="AZ2418" s="3041"/>
      <c r="BD2418" s="3281"/>
      <c r="BH2418" s="3282"/>
      <c r="BJ2418" s="2589"/>
      <c r="BK2418" s="2126"/>
      <c r="BL2418" s="2126"/>
      <c r="BM2418" s="2126"/>
      <c r="BN2418" s="2126"/>
      <c r="BO2418" s="2126"/>
      <c r="BP2418" s="2126"/>
      <c r="BQ2418" s="2126"/>
      <c r="BR2418" s="2126"/>
      <c r="BS2418" s="2126"/>
    </row>
    <row r="2419" spans="1:71" s="3030" customFormat="1">
      <c r="A2419" s="2126"/>
      <c r="B2419" s="2126"/>
      <c r="C2419" s="2149"/>
      <c r="D2419" s="3248"/>
      <c r="E2419" s="525"/>
      <c r="F2419" s="525"/>
      <c r="G2419" s="526"/>
      <c r="K2419" s="3280"/>
      <c r="P2419" s="3041"/>
      <c r="X2419" s="3280"/>
      <c r="AA2419" s="3041"/>
      <c r="AF2419" s="3041"/>
      <c r="AN2419" s="3280"/>
      <c r="AZ2419" s="3041"/>
      <c r="BD2419" s="3281"/>
      <c r="BH2419" s="3282"/>
      <c r="BJ2419" s="2589"/>
      <c r="BK2419" s="2126"/>
      <c r="BL2419" s="2126"/>
      <c r="BM2419" s="2126"/>
      <c r="BN2419" s="2126"/>
      <c r="BO2419" s="2126"/>
      <c r="BP2419" s="2126"/>
      <c r="BQ2419" s="2126"/>
      <c r="BR2419" s="2126"/>
      <c r="BS2419" s="2126"/>
    </row>
    <row r="2420" spans="1:71" s="3030" customFormat="1">
      <c r="A2420" s="2126"/>
      <c r="B2420" s="2126"/>
      <c r="C2420" s="2149"/>
      <c r="D2420" s="3248"/>
      <c r="E2420" s="525"/>
      <c r="F2420" s="525"/>
      <c r="G2420" s="526"/>
      <c r="K2420" s="3280"/>
      <c r="P2420" s="3041"/>
      <c r="X2420" s="3280"/>
      <c r="AA2420" s="3041"/>
      <c r="AF2420" s="3041"/>
      <c r="AN2420" s="3280"/>
      <c r="AZ2420" s="3041"/>
      <c r="BD2420" s="3281"/>
      <c r="BH2420" s="3282"/>
      <c r="BJ2420" s="2589"/>
      <c r="BK2420" s="2126"/>
      <c r="BL2420" s="2126"/>
      <c r="BM2420" s="2126"/>
      <c r="BN2420" s="2126"/>
      <c r="BO2420" s="2126"/>
      <c r="BP2420" s="2126"/>
      <c r="BQ2420" s="2126"/>
      <c r="BR2420" s="2126"/>
      <c r="BS2420" s="2126"/>
    </row>
    <row r="2421" spans="1:71" s="3030" customFormat="1">
      <c r="A2421" s="2126"/>
      <c r="B2421" s="2126"/>
      <c r="C2421" s="2149"/>
      <c r="D2421" s="3248"/>
      <c r="E2421" s="525"/>
      <c r="F2421" s="525"/>
      <c r="G2421" s="526"/>
      <c r="K2421" s="3280"/>
      <c r="P2421" s="3041"/>
      <c r="X2421" s="3280"/>
      <c r="AA2421" s="3041"/>
      <c r="AF2421" s="3041"/>
      <c r="AN2421" s="3280"/>
      <c r="AZ2421" s="3041"/>
      <c r="BD2421" s="3281"/>
      <c r="BH2421" s="3282"/>
      <c r="BJ2421" s="2589"/>
      <c r="BK2421" s="2126"/>
      <c r="BL2421" s="2126"/>
      <c r="BM2421" s="2126"/>
      <c r="BN2421" s="2126"/>
      <c r="BO2421" s="2126"/>
      <c r="BP2421" s="2126"/>
      <c r="BQ2421" s="2126"/>
      <c r="BR2421" s="2126"/>
      <c r="BS2421" s="2126"/>
    </row>
    <row r="2422" spans="1:71" s="3030" customFormat="1">
      <c r="A2422" s="2126"/>
      <c r="B2422" s="2126"/>
      <c r="C2422" s="2149"/>
      <c r="D2422" s="3248"/>
      <c r="E2422" s="525"/>
      <c r="F2422" s="525"/>
      <c r="G2422" s="526"/>
      <c r="K2422" s="3280"/>
      <c r="P2422" s="3041"/>
      <c r="X2422" s="3280"/>
      <c r="AA2422" s="3041"/>
      <c r="AF2422" s="3041"/>
      <c r="AN2422" s="3280"/>
      <c r="AZ2422" s="3041"/>
      <c r="BD2422" s="3281"/>
      <c r="BH2422" s="3282"/>
      <c r="BJ2422" s="2589"/>
      <c r="BK2422" s="2126"/>
      <c r="BL2422" s="2126"/>
      <c r="BM2422" s="2126"/>
      <c r="BN2422" s="2126"/>
      <c r="BO2422" s="2126"/>
      <c r="BP2422" s="2126"/>
      <c r="BQ2422" s="2126"/>
      <c r="BR2422" s="2126"/>
      <c r="BS2422" s="2126"/>
    </row>
    <row r="2423" spans="1:71" s="3030" customFormat="1">
      <c r="A2423" s="2126"/>
      <c r="B2423" s="2126"/>
      <c r="C2423" s="2149"/>
      <c r="D2423" s="3248"/>
      <c r="E2423" s="525"/>
      <c r="F2423" s="525"/>
      <c r="G2423" s="526"/>
      <c r="K2423" s="3280"/>
      <c r="P2423" s="3041"/>
      <c r="X2423" s="3280"/>
      <c r="AA2423" s="3041"/>
      <c r="AF2423" s="3041"/>
      <c r="AN2423" s="3280"/>
      <c r="AZ2423" s="3041"/>
      <c r="BD2423" s="3281"/>
      <c r="BH2423" s="3282"/>
      <c r="BJ2423" s="2589"/>
      <c r="BK2423" s="2126"/>
      <c r="BL2423" s="2126"/>
      <c r="BM2423" s="2126"/>
      <c r="BN2423" s="2126"/>
      <c r="BO2423" s="2126"/>
      <c r="BP2423" s="2126"/>
      <c r="BQ2423" s="2126"/>
      <c r="BR2423" s="2126"/>
      <c r="BS2423" s="2126"/>
    </row>
    <row r="2424" spans="1:71" s="3030" customFormat="1">
      <c r="A2424" s="2126"/>
      <c r="B2424" s="2126"/>
      <c r="C2424" s="2149"/>
      <c r="D2424" s="3248"/>
      <c r="E2424" s="525"/>
      <c r="F2424" s="525"/>
      <c r="G2424" s="526"/>
      <c r="K2424" s="3280"/>
      <c r="P2424" s="3041"/>
      <c r="X2424" s="3280"/>
      <c r="AA2424" s="3041"/>
      <c r="AF2424" s="3041"/>
      <c r="AN2424" s="3280"/>
      <c r="AZ2424" s="3041"/>
      <c r="BD2424" s="3281"/>
      <c r="BH2424" s="3282"/>
      <c r="BJ2424" s="2589"/>
      <c r="BK2424" s="2126"/>
      <c r="BL2424" s="2126"/>
      <c r="BM2424" s="2126"/>
      <c r="BN2424" s="2126"/>
      <c r="BO2424" s="2126"/>
      <c r="BP2424" s="2126"/>
      <c r="BQ2424" s="2126"/>
      <c r="BR2424" s="2126"/>
      <c r="BS2424" s="2126"/>
    </row>
    <row r="2425" spans="1:71" s="3030" customFormat="1">
      <c r="A2425" s="2126"/>
      <c r="B2425" s="2126"/>
      <c r="C2425" s="2149"/>
      <c r="D2425" s="3248"/>
      <c r="E2425" s="525"/>
      <c r="F2425" s="525"/>
      <c r="G2425" s="526"/>
      <c r="K2425" s="3280"/>
      <c r="P2425" s="3041"/>
      <c r="X2425" s="3280"/>
      <c r="AA2425" s="3041"/>
      <c r="AF2425" s="3041"/>
      <c r="AN2425" s="3280"/>
      <c r="AZ2425" s="3041"/>
      <c r="BD2425" s="3281"/>
      <c r="BH2425" s="3282"/>
      <c r="BJ2425" s="2589"/>
      <c r="BK2425" s="2126"/>
      <c r="BL2425" s="2126"/>
      <c r="BM2425" s="2126"/>
      <c r="BN2425" s="2126"/>
      <c r="BO2425" s="2126"/>
      <c r="BP2425" s="2126"/>
      <c r="BQ2425" s="2126"/>
      <c r="BR2425" s="2126"/>
      <c r="BS2425" s="2126"/>
    </row>
    <row r="2426" spans="1:71" s="3030" customFormat="1">
      <c r="A2426" s="2126"/>
      <c r="B2426" s="2126"/>
      <c r="C2426" s="2149"/>
      <c r="D2426" s="3248"/>
      <c r="E2426" s="525"/>
      <c r="F2426" s="525"/>
      <c r="G2426" s="526"/>
      <c r="K2426" s="3280"/>
      <c r="P2426" s="3041"/>
      <c r="X2426" s="3280"/>
      <c r="AA2426" s="3041"/>
      <c r="AF2426" s="3041"/>
      <c r="AN2426" s="3280"/>
      <c r="AZ2426" s="3041"/>
      <c r="BD2426" s="3281"/>
      <c r="BH2426" s="3282"/>
      <c r="BJ2426" s="2589"/>
      <c r="BK2426" s="2126"/>
      <c r="BL2426" s="2126"/>
      <c r="BM2426" s="2126"/>
      <c r="BN2426" s="2126"/>
      <c r="BO2426" s="2126"/>
      <c r="BP2426" s="2126"/>
      <c r="BQ2426" s="2126"/>
      <c r="BR2426" s="2126"/>
      <c r="BS2426" s="2126"/>
    </row>
    <row r="2427" spans="1:71" s="3030" customFormat="1">
      <c r="A2427" s="2126"/>
      <c r="B2427" s="2126"/>
      <c r="C2427" s="2149"/>
      <c r="D2427" s="3248"/>
      <c r="E2427" s="525"/>
      <c r="F2427" s="525"/>
      <c r="G2427" s="526"/>
      <c r="K2427" s="3280"/>
      <c r="P2427" s="3041"/>
      <c r="X2427" s="3280"/>
      <c r="AA2427" s="3041"/>
      <c r="AF2427" s="3041"/>
      <c r="AN2427" s="3280"/>
      <c r="AZ2427" s="3041"/>
      <c r="BD2427" s="3281"/>
      <c r="BH2427" s="3282"/>
      <c r="BJ2427" s="2589"/>
      <c r="BK2427" s="2126"/>
      <c r="BL2427" s="2126"/>
      <c r="BM2427" s="2126"/>
      <c r="BN2427" s="2126"/>
      <c r="BO2427" s="2126"/>
      <c r="BP2427" s="2126"/>
      <c r="BQ2427" s="2126"/>
      <c r="BR2427" s="2126"/>
      <c r="BS2427" s="2126"/>
    </row>
    <row r="2428" spans="1:71" s="3030" customFormat="1">
      <c r="A2428" s="2126"/>
      <c r="B2428" s="2126"/>
      <c r="C2428" s="2149"/>
      <c r="D2428" s="3248"/>
      <c r="E2428" s="525"/>
      <c r="F2428" s="525"/>
      <c r="G2428" s="526"/>
      <c r="K2428" s="3280"/>
      <c r="P2428" s="3041"/>
      <c r="X2428" s="3280"/>
      <c r="AA2428" s="3041"/>
      <c r="AF2428" s="3041"/>
      <c r="AN2428" s="3280"/>
      <c r="AZ2428" s="3041"/>
      <c r="BD2428" s="3281"/>
      <c r="BH2428" s="3282"/>
      <c r="BJ2428" s="2589"/>
      <c r="BK2428" s="2126"/>
      <c r="BL2428" s="2126"/>
      <c r="BM2428" s="2126"/>
      <c r="BN2428" s="2126"/>
      <c r="BO2428" s="2126"/>
      <c r="BP2428" s="2126"/>
      <c r="BQ2428" s="2126"/>
      <c r="BR2428" s="2126"/>
      <c r="BS2428" s="2126"/>
    </row>
    <row r="2429" spans="1:71" s="3030" customFormat="1">
      <c r="A2429" s="2126"/>
      <c r="B2429" s="2126"/>
      <c r="C2429" s="2149"/>
      <c r="D2429" s="3248"/>
      <c r="E2429" s="525"/>
      <c r="F2429" s="525"/>
      <c r="G2429" s="526"/>
      <c r="K2429" s="3280"/>
      <c r="P2429" s="3041"/>
      <c r="X2429" s="3280"/>
      <c r="AA2429" s="3041"/>
      <c r="AF2429" s="3041"/>
      <c r="AN2429" s="3280"/>
      <c r="AZ2429" s="3041"/>
      <c r="BD2429" s="3281"/>
      <c r="BH2429" s="3282"/>
      <c r="BJ2429" s="2589"/>
      <c r="BK2429" s="2126"/>
      <c r="BL2429" s="2126"/>
      <c r="BM2429" s="2126"/>
      <c r="BN2429" s="2126"/>
      <c r="BO2429" s="2126"/>
      <c r="BP2429" s="2126"/>
      <c r="BQ2429" s="2126"/>
      <c r="BR2429" s="2126"/>
      <c r="BS2429" s="2126"/>
    </row>
    <row r="2430" spans="1:71" s="3030" customFormat="1">
      <c r="A2430" s="2126"/>
      <c r="B2430" s="2126"/>
      <c r="C2430" s="2149"/>
      <c r="D2430" s="3248"/>
      <c r="E2430" s="525"/>
      <c r="F2430" s="525"/>
      <c r="G2430" s="526"/>
      <c r="K2430" s="3280"/>
      <c r="P2430" s="3041"/>
      <c r="X2430" s="3280"/>
      <c r="AA2430" s="3041"/>
      <c r="AF2430" s="3041"/>
      <c r="AN2430" s="3280"/>
      <c r="AZ2430" s="3041"/>
      <c r="BD2430" s="3281"/>
      <c r="BH2430" s="3282"/>
      <c r="BJ2430" s="2589"/>
      <c r="BK2430" s="2126"/>
      <c r="BL2430" s="2126"/>
      <c r="BM2430" s="2126"/>
      <c r="BN2430" s="2126"/>
      <c r="BO2430" s="2126"/>
      <c r="BP2430" s="2126"/>
      <c r="BQ2430" s="2126"/>
      <c r="BR2430" s="2126"/>
      <c r="BS2430" s="2126"/>
    </row>
    <row r="2431" spans="1:71" s="3030" customFormat="1">
      <c r="A2431" s="2126"/>
      <c r="B2431" s="2126"/>
      <c r="C2431" s="2149"/>
      <c r="D2431" s="3248"/>
      <c r="E2431" s="525"/>
      <c r="F2431" s="525"/>
      <c r="G2431" s="526"/>
      <c r="K2431" s="3280"/>
      <c r="P2431" s="3041"/>
      <c r="X2431" s="3280"/>
      <c r="AA2431" s="3041"/>
      <c r="AF2431" s="3041"/>
      <c r="AN2431" s="3280"/>
      <c r="AZ2431" s="3041"/>
      <c r="BD2431" s="3281"/>
      <c r="BH2431" s="3282"/>
      <c r="BJ2431" s="2589"/>
      <c r="BK2431" s="2126"/>
      <c r="BL2431" s="2126"/>
      <c r="BM2431" s="2126"/>
      <c r="BN2431" s="2126"/>
      <c r="BO2431" s="2126"/>
      <c r="BP2431" s="2126"/>
      <c r="BQ2431" s="2126"/>
      <c r="BR2431" s="2126"/>
      <c r="BS2431" s="2126"/>
    </row>
    <row r="2432" spans="1:71" s="3030" customFormat="1">
      <c r="A2432" s="2126"/>
      <c r="B2432" s="2126"/>
      <c r="C2432" s="2149"/>
      <c r="D2432" s="3248"/>
      <c r="E2432" s="525"/>
      <c r="F2432" s="525"/>
      <c r="G2432" s="526"/>
      <c r="K2432" s="3280"/>
      <c r="P2432" s="3041"/>
      <c r="X2432" s="3280"/>
      <c r="AA2432" s="3041"/>
      <c r="AF2432" s="3041"/>
      <c r="AN2432" s="3280"/>
      <c r="AZ2432" s="3041"/>
      <c r="BD2432" s="3281"/>
      <c r="BH2432" s="3282"/>
      <c r="BJ2432" s="2589"/>
      <c r="BK2432" s="2126"/>
      <c r="BL2432" s="2126"/>
      <c r="BM2432" s="2126"/>
      <c r="BN2432" s="2126"/>
      <c r="BO2432" s="2126"/>
      <c r="BP2432" s="2126"/>
      <c r="BQ2432" s="2126"/>
      <c r="BR2432" s="2126"/>
      <c r="BS2432" s="2126"/>
    </row>
    <row r="2433" spans="1:71" s="3030" customFormat="1">
      <c r="A2433" s="2126"/>
      <c r="B2433" s="2126"/>
      <c r="C2433" s="2149"/>
      <c r="D2433" s="3248"/>
      <c r="E2433" s="525"/>
      <c r="F2433" s="525"/>
      <c r="G2433" s="526"/>
      <c r="K2433" s="3280"/>
      <c r="P2433" s="3041"/>
      <c r="X2433" s="3280"/>
      <c r="AA2433" s="3041"/>
      <c r="AF2433" s="3041"/>
      <c r="AN2433" s="3280"/>
      <c r="AZ2433" s="3041"/>
      <c r="BD2433" s="3281"/>
      <c r="BH2433" s="3282"/>
      <c r="BJ2433" s="2589"/>
      <c r="BK2433" s="2126"/>
      <c r="BL2433" s="2126"/>
      <c r="BM2433" s="2126"/>
      <c r="BN2433" s="2126"/>
      <c r="BO2433" s="2126"/>
      <c r="BP2433" s="2126"/>
      <c r="BQ2433" s="2126"/>
      <c r="BR2433" s="2126"/>
      <c r="BS2433" s="2126"/>
    </row>
    <row r="2434" spans="1:71" s="3030" customFormat="1">
      <c r="A2434" s="2126"/>
      <c r="B2434" s="2126"/>
      <c r="C2434" s="2149"/>
      <c r="D2434" s="3248"/>
      <c r="E2434" s="525"/>
      <c r="F2434" s="525"/>
      <c r="G2434" s="526"/>
      <c r="K2434" s="3280"/>
      <c r="P2434" s="3041"/>
      <c r="X2434" s="3280"/>
      <c r="AA2434" s="3041"/>
      <c r="AF2434" s="3041"/>
      <c r="AN2434" s="3280"/>
      <c r="AZ2434" s="3041"/>
      <c r="BD2434" s="3281"/>
      <c r="BH2434" s="3282"/>
      <c r="BJ2434" s="2589"/>
      <c r="BK2434" s="2126"/>
      <c r="BL2434" s="2126"/>
      <c r="BM2434" s="2126"/>
      <c r="BN2434" s="2126"/>
      <c r="BO2434" s="2126"/>
      <c r="BP2434" s="2126"/>
      <c r="BQ2434" s="2126"/>
      <c r="BR2434" s="2126"/>
      <c r="BS2434" s="2126"/>
    </row>
    <row r="2435" spans="1:71" s="3030" customFormat="1">
      <c r="A2435" s="2126"/>
      <c r="B2435" s="2126"/>
      <c r="C2435" s="2149"/>
      <c r="D2435" s="3248"/>
      <c r="E2435" s="525"/>
      <c r="F2435" s="525"/>
      <c r="G2435" s="526"/>
      <c r="K2435" s="3280"/>
      <c r="P2435" s="3041"/>
      <c r="X2435" s="3280"/>
      <c r="AA2435" s="3041"/>
      <c r="AF2435" s="3041"/>
      <c r="AN2435" s="3280"/>
      <c r="AZ2435" s="3041"/>
      <c r="BD2435" s="3281"/>
      <c r="BH2435" s="3282"/>
      <c r="BJ2435" s="2589"/>
      <c r="BK2435" s="2126"/>
      <c r="BL2435" s="2126"/>
      <c r="BM2435" s="2126"/>
      <c r="BN2435" s="2126"/>
      <c r="BO2435" s="2126"/>
      <c r="BP2435" s="2126"/>
      <c r="BQ2435" s="2126"/>
      <c r="BR2435" s="2126"/>
      <c r="BS2435" s="2126"/>
    </row>
    <row r="2436" spans="1:71" s="3030" customFormat="1">
      <c r="A2436" s="2126"/>
      <c r="B2436" s="2126"/>
      <c r="C2436" s="2149"/>
      <c r="D2436" s="3248"/>
      <c r="E2436" s="525"/>
      <c r="F2436" s="525"/>
      <c r="G2436" s="526"/>
      <c r="K2436" s="3280"/>
      <c r="P2436" s="3041"/>
      <c r="X2436" s="3280"/>
      <c r="AA2436" s="3041"/>
      <c r="AF2436" s="3041"/>
      <c r="AN2436" s="3280"/>
      <c r="AZ2436" s="3041"/>
      <c r="BD2436" s="3281"/>
      <c r="BH2436" s="3282"/>
      <c r="BJ2436" s="2589"/>
      <c r="BK2436" s="2126"/>
      <c r="BL2436" s="2126"/>
      <c r="BM2436" s="2126"/>
      <c r="BN2436" s="2126"/>
      <c r="BO2436" s="2126"/>
      <c r="BP2436" s="2126"/>
      <c r="BQ2436" s="2126"/>
      <c r="BR2436" s="2126"/>
      <c r="BS2436" s="2126"/>
    </row>
    <row r="2437" spans="1:71" s="3030" customFormat="1">
      <c r="A2437" s="2126"/>
      <c r="B2437" s="2126"/>
      <c r="C2437" s="2149"/>
      <c r="D2437" s="3248"/>
      <c r="E2437" s="525"/>
      <c r="F2437" s="525"/>
      <c r="G2437" s="526"/>
      <c r="K2437" s="3280"/>
      <c r="P2437" s="3041"/>
      <c r="X2437" s="3280"/>
      <c r="AA2437" s="3041"/>
      <c r="AF2437" s="3041"/>
      <c r="AN2437" s="3280"/>
      <c r="AZ2437" s="3041"/>
      <c r="BD2437" s="3281"/>
      <c r="BH2437" s="3282"/>
      <c r="BJ2437" s="2589"/>
      <c r="BK2437" s="2126"/>
      <c r="BL2437" s="2126"/>
      <c r="BM2437" s="2126"/>
      <c r="BN2437" s="2126"/>
      <c r="BO2437" s="2126"/>
      <c r="BP2437" s="2126"/>
      <c r="BQ2437" s="2126"/>
      <c r="BR2437" s="2126"/>
      <c r="BS2437" s="2126"/>
    </row>
    <row r="2438" spans="1:71" s="3030" customFormat="1">
      <c r="A2438" s="2126"/>
      <c r="B2438" s="2126"/>
      <c r="C2438" s="2149"/>
      <c r="D2438" s="3248"/>
      <c r="E2438" s="525"/>
      <c r="F2438" s="525"/>
      <c r="G2438" s="526"/>
      <c r="K2438" s="3280"/>
      <c r="P2438" s="3041"/>
      <c r="X2438" s="3280"/>
      <c r="AA2438" s="3041"/>
      <c r="AF2438" s="3041"/>
      <c r="AN2438" s="3280"/>
      <c r="AZ2438" s="3041"/>
      <c r="BD2438" s="3281"/>
      <c r="BH2438" s="3282"/>
      <c r="BJ2438" s="2589"/>
      <c r="BK2438" s="2126"/>
      <c r="BL2438" s="2126"/>
      <c r="BM2438" s="2126"/>
      <c r="BN2438" s="2126"/>
      <c r="BO2438" s="2126"/>
      <c r="BP2438" s="2126"/>
      <c r="BQ2438" s="2126"/>
      <c r="BR2438" s="2126"/>
      <c r="BS2438" s="2126"/>
    </row>
    <row r="2439" spans="1:71" s="3030" customFormat="1">
      <c r="A2439" s="2126"/>
      <c r="B2439" s="2126"/>
      <c r="C2439" s="2149"/>
      <c r="D2439" s="3248"/>
      <c r="E2439" s="525"/>
      <c r="F2439" s="525"/>
      <c r="G2439" s="526"/>
      <c r="K2439" s="3280"/>
      <c r="P2439" s="3041"/>
      <c r="X2439" s="3280"/>
      <c r="AA2439" s="3041"/>
      <c r="AF2439" s="3041"/>
      <c r="AN2439" s="3280"/>
      <c r="AZ2439" s="3041"/>
      <c r="BD2439" s="3281"/>
      <c r="BH2439" s="3282"/>
      <c r="BJ2439" s="2589"/>
      <c r="BK2439" s="2126"/>
      <c r="BL2439" s="2126"/>
      <c r="BM2439" s="2126"/>
      <c r="BN2439" s="2126"/>
      <c r="BO2439" s="2126"/>
      <c r="BP2439" s="2126"/>
      <c r="BQ2439" s="2126"/>
      <c r="BR2439" s="2126"/>
      <c r="BS2439" s="2126"/>
    </row>
    <row r="2440" spans="1:71" s="3030" customFormat="1">
      <c r="A2440" s="2126"/>
      <c r="B2440" s="2126"/>
      <c r="C2440" s="2149"/>
      <c r="D2440" s="3248"/>
      <c r="E2440" s="525"/>
      <c r="F2440" s="525"/>
      <c r="G2440" s="526"/>
      <c r="K2440" s="3280"/>
      <c r="P2440" s="3041"/>
      <c r="X2440" s="3280"/>
      <c r="AA2440" s="3041"/>
      <c r="AF2440" s="3041"/>
      <c r="AN2440" s="3280"/>
      <c r="AZ2440" s="3041"/>
      <c r="BD2440" s="3281"/>
      <c r="BH2440" s="3282"/>
      <c r="BJ2440" s="2589"/>
      <c r="BK2440" s="2126"/>
      <c r="BL2440" s="2126"/>
      <c r="BM2440" s="2126"/>
      <c r="BN2440" s="2126"/>
      <c r="BO2440" s="2126"/>
      <c r="BP2440" s="2126"/>
      <c r="BQ2440" s="2126"/>
      <c r="BR2440" s="2126"/>
      <c r="BS2440" s="2126"/>
    </row>
    <row r="2441" spans="1:71" s="3030" customFormat="1">
      <c r="A2441" s="2126"/>
      <c r="B2441" s="2126"/>
      <c r="C2441" s="2149"/>
      <c r="D2441" s="3248"/>
      <c r="E2441" s="525"/>
      <c r="F2441" s="525"/>
      <c r="G2441" s="526"/>
      <c r="K2441" s="3280"/>
      <c r="P2441" s="3041"/>
      <c r="X2441" s="3280"/>
      <c r="AA2441" s="3041"/>
      <c r="AF2441" s="3041"/>
      <c r="AN2441" s="3280"/>
      <c r="AZ2441" s="3041"/>
      <c r="BD2441" s="3281"/>
      <c r="BH2441" s="3282"/>
      <c r="BJ2441" s="2589"/>
      <c r="BK2441" s="2126"/>
      <c r="BL2441" s="2126"/>
      <c r="BM2441" s="2126"/>
      <c r="BN2441" s="2126"/>
      <c r="BO2441" s="2126"/>
      <c r="BP2441" s="2126"/>
      <c r="BQ2441" s="2126"/>
      <c r="BR2441" s="2126"/>
      <c r="BS2441" s="2126"/>
    </row>
    <row r="2442" spans="1:71" s="3030" customFormat="1">
      <c r="A2442" s="2126"/>
      <c r="B2442" s="2126"/>
      <c r="C2442" s="2149"/>
      <c r="D2442" s="3248"/>
      <c r="E2442" s="525"/>
      <c r="F2442" s="525"/>
      <c r="G2442" s="526"/>
      <c r="K2442" s="3280"/>
      <c r="P2442" s="3041"/>
      <c r="X2442" s="3280"/>
      <c r="AA2442" s="3041"/>
      <c r="AF2442" s="3041"/>
      <c r="AN2442" s="3280"/>
      <c r="AZ2442" s="3041"/>
      <c r="BD2442" s="3281"/>
      <c r="BH2442" s="3282"/>
      <c r="BJ2442" s="2589"/>
      <c r="BK2442" s="2126"/>
      <c r="BL2442" s="2126"/>
      <c r="BM2442" s="2126"/>
      <c r="BN2442" s="2126"/>
      <c r="BO2442" s="2126"/>
      <c r="BP2442" s="2126"/>
      <c r="BQ2442" s="2126"/>
      <c r="BR2442" s="2126"/>
      <c r="BS2442" s="2126"/>
    </row>
    <row r="2443" spans="1:71" s="3030" customFormat="1">
      <c r="A2443" s="2126"/>
      <c r="B2443" s="2126"/>
      <c r="C2443" s="2149"/>
      <c r="D2443" s="3248"/>
      <c r="E2443" s="525"/>
      <c r="F2443" s="525"/>
      <c r="G2443" s="526"/>
      <c r="K2443" s="3280"/>
      <c r="P2443" s="3041"/>
      <c r="X2443" s="3280"/>
      <c r="AA2443" s="3041"/>
      <c r="AF2443" s="3041"/>
      <c r="AN2443" s="3280"/>
      <c r="AZ2443" s="3041"/>
      <c r="BD2443" s="3281"/>
      <c r="BH2443" s="3282"/>
      <c r="BJ2443" s="2589"/>
      <c r="BK2443" s="2126"/>
      <c r="BL2443" s="2126"/>
      <c r="BM2443" s="2126"/>
      <c r="BN2443" s="2126"/>
      <c r="BO2443" s="2126"/>
      <c r="BP2443" s="2126"/>
      <c r="BQ2443" s="2126"/>
      <c r="BR2443" s="2126"/>
      <c r="BS2443" s="2126"/>
    </row>
    <row r="2444" spans="1:71" s="3030" customFormat="1">
      <c r="A2444" s="2126"/>
      <c r="B2444" s="2126"/>
      <c r="C2444" s="2149"/>
      <c r="D2444" s="3248"/>
      <c r="E2444" s="525"/>
      <c r="F2444" s="525"/>
      <c r="G2444" s="526"/>
      <c r="K2444" s="3280"/>
      <c r="P2444" s="3041"/>
      <c r="X2444" s="3280"/>
      <c r="AA2444" s="3041"/>
      <c r="AF2444" s="3041"/>
      <c r="AN2444" s="3280"/>
      <c r="AZ2444" s="3041"/>
      <c r="BD2444" s="3281"/>
      <c r="BH2444" s="3282"/>
      <c r="BJ2444" s="2589"/>
      <c r="BK2444" s="2126"/>
      <c r="BL2444" s="2126"/>
      <c r="BM2444" s="2126"/>
      <c r="BN2444" s="2126"/>
      <c r="BO2444" s="2126"/>
      <c r="BP2444" s="2126"/>
      <c r="BQ2444" s="2126"/>
      <c r="BR2444" s="2126"/>
      <c r="BS2444" s="2126"/>
    </row>
    <row r="2445" spans="1:71" s="3030" customFormat="1">
      <c r="A2445" s="2126"/>
      <c r="B2445" s="2126"/>
      <c r="C2445" s="2149"/>
      <c r="D2445" s="3248"/>
      <c r="E2445" s="525"/>
      <c r="F2445" s="525"/>
      <c r="G2445" s="526"/>
      <c r="K2445" s="3280"/>
      <c r="P2445" s="3041"/>
      <c r="X2445" s="3280"/>
      <c r="AA2445" s="3041"/>
      <c r="AF2445" s="3041"/>
      <c r="AN2445" s="3280"/>
      <c r="AZ2445" s="3041"/>
      <c r="BD2445" s="3281"/>
      <c r="BH2445" s="3282"/>
      <c r="BJ2445" s="2589"/>
      <c r="BK2445" s="2126"/>
      <c r="BL2445" s="2126"/>
      <c r="BM2445" s="2126"/>
      <c r="BN2445" s="2126"/>
      <c r="BO2445" s="2126"/>
      <c r="BP2445" s="2126"/>
      <c r="BQ2445" s="2126"/>
      <c r="BR2445" s="2126"/>
      <c r="BS2445" s="2126"/>
    </row>
    <row r="2446" spans="1:71" s="3030" customFormat="1">
      <c r="A2446" s="2126"/>
      <c r="B2446" s="2126"/>
      <c r="C2446" s="2149"/>
      <c r="D2446" s="3248"/>
      <c r="E2446" s="525"/>
      <c r="F2446" s="525"/>
      <c r="G2446" s="526"/>
      <c r="K2446" s="3280"/>
      <c r="P2446" s="3041"/>
      <c r="X2446" s="3280"/>
      <c r="AA2446" s="3041"/>
      <c r="AF2446" s="3041"/>
      <c r="AN2446" s="3280"/>
      <c r="AZ2446" s="3041"/>
      <c r="BD2446" s="3281"/>
      <c r="BH2446" s="3282"/>
      <c r="BJ2446" s="2589"/>
      <c r="BK2446" s="2126"/>
      <c r="BL2446" s="2126"/>
      <c r="BM2446" s="2126"/>
      <c r="BN2446" s="2126"/>
      <c r="BO2446" s="2126"/>
      <c r="BP2446" s="2126"/>
      <c r="BQ2446" s="2126"/>
      <c r="BR2446" s="2126"/>
      <c r="BS2446" s="2126"/>
    </row>
    <row r="2447" spans="1:71" s="3030" customFormat="1">
      <c r="A2447" s="2126"/>
      <c r="B2447" s="2126"/>
      <c r="C2447" s="2149"/>
      <c r="D2447" s="3248"/>
      <c r="E2447" s="525"/>
      <c r="F2447" s="525"/>
      <c r="G2447" s="526"/>
      <c r="K2447" s="3280"/>
      <c r="P2447" s="3041"/>
      <c r="X2447" s="3280"/>
      <c r="AA2447" s="3041"/>
      <c r="AF2447" s="3041"/>
      <c r="AN2447" s="3280"/>
      <c r="AZ2447" s="3041"/>
      <c r="BD2447" s="3281"/>
      <c r="BH2447" s="3282"/>
      <c r="BJ2447" s="2589"/>
      <c r="BK2447" s="2126"/>
      <c r="BL2447" s="2126"/>
      <c r="BM2447" s="2126"/>
      <c r="BN2447" s="2126"/>
      <c r="BO2447" s="2126"/>
      <c r="BP2447" s="2126"/>
      <c r="BQ2447" s="2126"/>
      <c r="BR2447" s="2126"/>
      <c r="BS2447" s="2126"/>
    </row>
    <row r="2448" spans="1:71" s="3030" customFormat="1">
      <c r="A2448" s="2126"/>
      <c r="B2448" s="2126"/>
      <c r="C2448" s="2149"/>
      <c r="D2448" s="3248"/>
      <c r="E2448" s="525"/>
      <c r="F2448" s="525"/>
      <c r="G2448" s="526"/>
      <c r="K2448" s="3280"/>
      <c r="P2448" s="3041"/>
      <c r="X2448" s="3280"/>
      <c r="AA2448" s="3041"/>
      <c r="AF2448" s="3041"/>
      <c r="AN2448" s="3280"/>
      <c r="AZ2448" s="3041"/>
      <c r="BD2448" s="3281"/>
      <c r="BH2448" s="3282"/>
      <c r="BJ2448" s="2589"/>
      <c r="BK2448" s="2126"/>
      <c r="BL2448" s="2126"/>
      <c r="BM2448" s="2126"/>
      <c r="BN2448" s="2126"/>
      <c r="BO2448" s="2126"/>
      <c r="BP2448" s="2126"/>
      <c r="BQ2448" s="2126"/>
      <c r="BR2448" s="2126"/>
      <c r="BS2448" s="2126"/>
    </row>
    <row r="2449" spans="1:71" s="3030" customFormat="1">
      <c r="A2449" s="2126"/>
      <c r="B2449" s="2126"/>
      <c r="C2449" s="2149"/>
      <c r="D2449" s="3248"/>
      <c r="E2449" s="525"/>
      <c r="F2449" s="525"/>
      <c r="G2449" s="526"/>
      <c r="K2449" s="3280"/>
      <c r="P2449" s="3041"/>
      <c r="X2449" s="3280"/>
      <c r="AA2449" s="3041"/>
      <c r="AF2449" s="3041"/>
      <c r="AN2449" s="3280"/>
      <c r="AZ2449" s="3041"/>
      <c r="BD2449" s="3281"/>
      <c r="BH2449" s="3282"/>
      <c r="BJ2449" s="2589"/>
      <c r="BK2449" s="2126"/>
      <c r="BL2449" s="2126"/>
      <c r="BM2449" s="2126"/>
      <c r="BN2449" s="2126"/>
      <c r="BO2449" s="2126"/>
      <c r="BP2449" s="2126"/>
      <c r="BQ2449" s="2126"/>
      <c r="BR2449" s="2126"/>
      <c r="BS2449" s="2126"/>
    </row>
    <row r="2450" spans="1:71" s="3030" customFormat="1">
      <c r="A2450" s="2126"/>
      <c r="B2450" s="2126"/>
      <c r="C2450" s="2149"/>
      <c r="D2450" s="3248"/>
      <c r="E2450" s="525"/>
      <c r="F2450" s="525"/>
      <c r="G2450" s="526"/>
      <c r="K2450" s="3280"/>
      <c r="P2450" s="3041"/>
      <c r="X2450" s="3280"/>
      <c r="AA2450" s="3041"/>
      <c r="AF2450" s="3041"/>
      <c r="AN2450" s="3280"/>
      <c r="AZ2450" s="3041"/>
      <c r="BD2450" s="3281"/>
      <c r="BH2450" s="3282"/>
      <c r="BJ2450" s="2589"/>
      <c r="BK2450" s="2126"/>
      <c r="BL2450" s="2126"/>
      <c r="BM2450" s="2126"/>
      <c r="BN2450" s="2126"/>
      <c r="BO2450" s="2126"/>
      <c r="BP2450" s="2126"/>
      <c r="BQ2450" s="2126"/>
      <c r="BR2450" s="2126"/>
      <c r="BS2450" s="2126"/>
    </row>
    <row r="2451" spans="1:71" s="3030" customFormat="1">
      <c r="A2451" s="2126"/>
      <c r="B2451" s="2126"/>
      <c r="C2451" s="2149"/>
      <c r="D2451" s="3248"/>
      <c r="E2451" s="525"/>
      <c r="F2451" s="525"/>
      <c r="G2451" s="526"/>
      <c r="K2451" s="3280"/>
      <c r="P2451" s="3041"/>
      <c r="X2451" s="3280"/>
      <c r="AA2451" s="3041"/>
      <c r="AF2451" s="3041"/>
      <c r="AN2451" s="3280"/>
      <c r="AZ2451" s="3041"/>
      <c r="BD2451" s="3281"/>
      <c r="BH2451" s="3282"/>
      <c r="BJ2451" s="2589"/>
      <c r="BK2451" s="2126"/>
      <c r="BL2451" s="2126"/>
      <c r="BM2451" s="2126"/>
      <c r="BN2451" s="2126"/>
      <c r="BO2451" s="2126"/>
      <c r="BP2451" s="2126"/>
      <c r="BQ2451" s="2126"/>
      <c r="BR2451" s="2126"/>
      <c r="BS2451" s="2126"/>
    </row>
    <row r="2452" spans="1:71" s="3030" customFormat="1">
      <c r="A2452" s="2126"/>
      <c r="B2452" s="2126"/>
      <c r="C2452" s="2149"/>
      <c r="D2452" s="3248"/>
      <c r="E2452" s="525"/>
      <c r="F2452" s="525"/>
      <c r="G2452" s="526"/>
      <c r="K2452" s="3280"/>
      <c r="P2452" s="3041"/>
      <c r="X2452" s="3280"/>
      <c r="AA2452" s="3041"/>
      <c r="AF2452" s="3041"/>
      <c r="AN2452" s="3280"/>
      <c r="AZ2452" s="3041"/>
      <c r="BD2452" s="3281"/>
      <c r="BH2452" s="3282"/>
      <c r="BJ2452" s="2589"/>
      <c r="BK2452" s="2126"/>
      <c r="BL2452" s="2126"/>
      <c r="BM2452" s="2126"/>
      <c r="BN2452" s="2126"/>
      <c r="BO2452" s="2126"/>
      <c r="BP2452" s="2126"/>
      <c r="BQ2452" s="2126"/>
      <c r="BR2452" s="2126"/>
      <c r="BS2452" s="2126"/>
    </row>
    <row r="2453" spans="1:71" s="3030" customFormat="1">
      <c r="A2453" s="2126"/>
      <c r="B2453" s="2126"/>
      <c r="C2453" s="2149"/>
      <c r="D2453" s="3248"/>
      <c r="E2453" s="525"/>
      <c r="F2453" s="525"/>
      <c r="G2453" s="526"/>
      <c r="K2453" s="3280"/>
      <c r="P2453" s="3041"/>
      <c r="X2453" s="3280"/>
      <c r="AA2453" s="3041"/>
      <c r="AF2453" s="3041"/>
      <c r="AN2453" s="3280"/>
      <c r="AZ2453" s="3041"/>
      <c r="BD2453" s="3281"/>
      <c r="BH2453" s="3282"/>
      <c r="BJ2453" s="2589"/>
      <c r="BK2453" s="2126"/>
      <c r="BL2453" s="2126"/>
      <c r="BM2453" s="2126"/>
      <c r="BN2453" s="2126"/>
      <c r="BO2453" s="2126"/>
      <c r="BP2453" s="2126"/>
      <c r="BQ2453" s="2126"/>
      <c r="BR2453" s="2126"/>
      <c r="BS2453" s="2126"/>
    </row>
    <row r="2454" spans="1:71" s="3030" customFormat="1">
      <c r="A2454" s="2126"/>
      <c r="B2454" s="2126"/>
      <c r="C2454" s="2149"/>
      <c r="D2454" s="3248"/>
      <c r="E2454" s="525"/>
      <c r="F2454" s="525"/>
      <c r="G2454" s="526"/>
      <c r="K2454" s="3280"/>
      <c r="P2454" s="3041"/>
      <c r="X2454" s="3280"/>
      <c r="AA2454" s="3041"/>
      <c r="AF2454" s="3041"/>
      <c r="AN2454" s="3280"/>
      <c r="AZ2454" s="3041"/>
      <c r="BD2454" s="3281"/>
      <c r="BH2454" s="3282"/>
      <c r="BJ2454" s="2589"/>
      <c r="BK2454" s="2126"/>
      <c r="BL2454" s="2126"/>
      <c r="BM2454" s="2126"/>
      <c r="BN2454" s="2126"/>
      <c r="BO2454" s="2126"/>
      <c r="BP2454" s="2126"/>
      <c r="BQ2454" s="2126"/>
      <c r="BR2454" s="2126"/>
      <c r="BS2454" s="2126"/>
    </row>
    <row r="2455" spans="1:71" s="3030" customFormat="1">
      <c r="A2455" s="2126"/>
      <c r="B2455" s="2126"/>
      <c r="C2455" s="2149"/>
      <c r="D2455" s="3248"/>
      <c r="E2455" s="525"/>
      <c r="F2455" s="525"/>
      <c r="G2455" s="526"/>
      <c r="K2455" s="3280"/>
      <c r="P2455" s="3041"/>
      <c r="X2455" s="3280"/>
      <c r="AA2455" s="3041"/>
      <c r="AF2455" s="3041"/>
      <c r="AN2455" s="3280"/>
      <c r="AZ2455" s="3041"/>
      <c r="BD2455" s="3281"/>
      <c r="BH2455" s="3282"/>
      <c r="BJ2455" s="2589"/>
      <c r="BK2455" s="2126"/>
      <c r="BL2455" s="2126"/>
      <c r="BM2455" s="2126"/>
      <c r="BN2455" s="2126"/>
      <c r="BO2455" s="2126"/>
      <c r="BP2455" s="2126"/>
      <c r="BQ2455" s="2126"/>
      <c r="BR2455" s="2126"/>
      <c r="BS2455" s="2126"/>
    </row>
    <row r="2456" spans="1:71" s="3030" customFormat="1">
      <c r="A2456" s="2126"/>
      <c r="B2456" s="2126"/>
      <c r="C2456" s="2149"/>
      <c r="D2456" s="3248"/>
      <c r="E2456" s="525"/>
      <c r="F2456" s="525"/>
      <c r="G2456" s="526"/>
      <c r="K2456" s="3280"/>
      <c r="P2456" s="3041"/>
      <c r="X2456" s="3280"/>
      <c r="AA2456" s="3041"/>
      <c r="AF2456" s="3041"/>
      <c r="AN2456" s="3280"/>
      <c r="AZ2456" s="3041"/>
      <c r="BD2456" s="3281"/>
      <c r="BH2456" s="3282"/>
      <c r="BJ2456" s="2589"/>
      <c r="BK2456" s="2126"/>
      <c r="BL2456" s="2126"/>
      <c r="BM2456" s="2126"/>
      <c r="BN2456" s="2126"/>
      <c r="BO2456" s="2126"/>
      <c r="BP2456" s="2126"/>
      <c r="BQ2456" s="2126"/>
      <c r="BR2456" s="2126"/>
      <c r="BS2456" s="2126"/>
    </row>
    <row r="2457" spans="1:71" s="3030" customFormat="1">
      <c r="A2457" s="2126"/>
      <c r="B2457" s="2126"/>
      <c r="C2457" s="2149"/>
      <c r="D2457" s="3248"/>
      <c r="E2457" s="525"/>
      <c r="F2457" s="525"/>
      <c r="G2457" s="526"/>
      <c r="K2457" s="3280"/>
      <c r="P2457" s="3041"/>
      <c r="X2457" s="3280"/>
      <c r="AA2457" s="3041"/>
      <c r="AF2457" s="3041"/>
      <c r="AN2457" s="3280"/>
      <c r="AZ2457" s="3041"/>
      <c r="BD2457" s="3281"/>
      <c r="BH2457" s="3282"/>
      <c r="BJ2457" s="2589"/>
      <c r="BK2457" s="2126"/>
      <c r="BL2457" s="2126"/>
      <c r="BM2457" s="2126"/>
      <c r="BN2457" s="2126"/>
      <c r="BO2457" s="2126"/>
      <c r="BP2457" s="2126"/>
      <c r="BQ2457" s="2126"/>
      <c r="BR2457" s="2126"/>
      <c r="BS2457" s="2126"/>
    </row>
    <row r="2458" spans="1:71" s="3030" customFormat="1">
      <c r="A2458" s="2126"/>
      <c r="B2458" s="2126"/>
      <c r="C2458" s="2149"/>
      <c r="D2458" s="3248"/>
      <c r="E2458" s="525"/>
      <c r="F2458" s="525"/>
      <c r="G2458" s="526"/>
      <c r="K2458" s="3280"/>
      <c r="P2458" s="3041"/>
      <c r="X2458" s="3280"/>
      <c r="AA2458" s="3041"/>
      <c r="AF2458" s="3041"/>
      <c r="AN2458" s="3280"/>
      <c r="AZ2458" s="3041"/>
      <c r="BD2458" s="3281"/>
      <c r="BH2458" s="3282"/>
      <c r="BJ2458" s="2589"/>
      <c r="BK2458" s="2126"/>
      <c r="BL2458" s="2126"/>
      <c r="BM2458" s="2126"/>
      <c r="BN2458" s="2126"/>
      <c r="BO2458" s="2126"/>
      <c r="BP2458" s="2126"/>
      <c r="BQ2458" s="2126"/>
      <c r="BR2458" s="2126"/>
      <c r="BS2458" s="2126"/>
    </row>
    <row r="2459" spans="1:71" s="3030" customFormat="1">
      <c r="A2459" s="2126"/>
      <c r="B2459" s="2126"/>
      <c r="C2459" s="2149"/>
      <c r="D2459" s="3248"/>
      <c r="E2459" s="525"/>
      <c r="F2459" s="525"/>
      <c r="G2459" s="526"/>
      <c r="K2459" s="3280"/>
      <c r="P2459" s="3041"/>
      <c r="X2459" s="3280"/>
      <c r="AA2459" s="3041"/>
      <c r="AF2459" s="3041"/>
      <c r="AN2459" s="3280"/>
      <c r="AZ2459" s="3041"/>
      <c r="BD2459" s="3281"/>
      <c r="BH2459" s="3282"/>
      <c r="BJ2459" s="2589"/>
      <c r="BK2459" s="2126"/>
      <c r="BL2459" s="2126"/>
      <c r="BM2459" s="2126"/>
      <c r="BN2459" s="2126"/>
      <c r="BO2459" s="2126"/>
      <c r="BP2459" s="2126"/>
      <c r="BQ2459" s="2126"/>
      <c r="BR2459" s="2126"/>
      <c r="BS2459" s="2126"/>
    </row>
    <row r="2460" spans="1:71" s="3030" customFormat="1">
      <c r="A2460" s="2126"/>
      <c r="B2460" s="2126"/>
      <c r="C2460" s="2149"/>
      <c r="D2460" s="3248"/>
      <c r="E2460" s="525"/>
      <c r="F2460" s="525"/>
      <c r="G2460" s="526"/>
      <c r="K2460" s="3280"/>
      <c r="P2460" s="3041"/>
      <c r="X2460" s="3280"/>
      <c r="AA2460" s="3041"/>
      <c r="AF2460" s="3041"/>
      <c r="AN2460" s="3280"/>
      <c r="AZ2460" s="3041"/>
      <c r="BD2460" s="3281"/>
      <c r="BH2460" s="3282"/>
      <c r="BJ2460" s="2589"/>
      <c r="BK2460" s="2126"/>
      <c r="BL2460" s="2126"/>
      <c r="BM2460" s="2126"/>
      <c r="BN2460" s="2126"/>
      <c r="BO2460" s="2126"/>
      <c r="BP2460" s="2126"/>
      <c r="BQ2460" s="2126"/>
      <c r="BR2460" s="2126"/>
      <c r="BS2460" s="2126"/>
    </row>
    <row r="2461" spans="1:71" s="3030" customFormat="1">
      <c r="A2461" s="2126"/>
      <c r="B2461" s="2126"/>
      <c r="C2461" s="2149"/>
      <c r="D2461" s="3248"/>
      <c r="E2461" s="525"/>
      <c r="F2461" s="525"/>
      <c r="G2461" s="526"/>
      <c r="K2461" s="3280"/>
      <c r="P2461" s="3041"/>
      <c r="X2461" s="3280"/>
      <c r="AA2461" s="3041"/>
      <c r="AF2461" s="3041"/>
      <c r="AN2461" s="3280"/>
      <c r="AZ2461" s="3041"/>
      <c r="BD2461" s="3281"/>
      <c r="BH2461" s="3282"/>
      <c r="BJ2461" s="2589"/>
      <c r="BK2461" s="2126"/>
      <c r="BL2461" s="2126"/>
      <c r="BM2461" s="2126"/>
      <c r="BN2461" s="2126"/>
      <c r="BO2461" s="2126"/>
      <c r="BP2461" s="2126"/>
      <c r="BQ2461" s="2126"/>
      <c r="BR2461" s="2126"/>
      <c r="BS2461" s="2126"/>
    </row>
    <row r="2462" spans="1:71" s="3030" customFormat="1">
      <c r="A2462" s="2126"/>
      <c r="B2462" s="2126"/>
      <c r="C2462" s="2149"/>
      <c r="D2462" s="3248"/>
      <c r="E2462" s="525"/>
      <c r="F2462" s="525"/>
      <c r="G2462" s="526"/>
      <c r="K2462" s="3280"/>
      <c r="P2462" s="3041"/>
      <c r="X2462" s="3280"/>
      <c r="AA2462" s="3041"/>
      <c r="AF2462" s="3041"/>
      <c r="AN2462" s="3280"/>
      <c r="AZ2462" s="3041"/>
      <c r="BD2462" s="3281"/>
      <c r="BH2462" s="3282"/>
      <c r="BJ2462" s="2589"/>
      <c r="BK2462" s="2126"/>
      <c r="BL2462" s="2126"/>
      <c r="BM2462" s="2126"/>
      <c r="BN2462" s="2126"/>
      <c r="BO2462" s="2126"/>
      <c r="BP2462" s="2126"/>
      <c r="BQ2462" s="2126"/>
      <c r="BR2462" s="2126"/>
      <c r="BS2462" s="2126"/>
    </row>
    <row r="2463" spans="1:71" s="3030" customFormat="1">
      <c r="A2463" s="2126"/>
      <c r="B2463" s="2126"/>
      <c r="C2463" s="2149"/>
      <c r="D2463" s="3248"/>
      <c r="E2463" s="525"/>
      <c r="F2463" s="525"/>
      <c r="G2463" s="526"/>
      <c r="K2463" s="3280"/>
      <c r="P2463" s="3041"/>
      <c r="X2463" s="3280"/>
      <c r="AA2463" s="3041"/>
      <c r="AF2463" s="3041"/>
      <c r="AN2463" s="3280"/>
      <c r="AZ2463" s="3041"/>
      <c r="BD2463" s="3281"/>
      <c r="BH2463" s="3282"/>
      <c r="BJ2463" s="2589"/>
      <c r="BK2463" s="2126"/>
      <c r="BL2463" s="2126"/>
      <c r="BM2463" s="2126"/>
      <c r="BN2463" s="2126"/>
      <c r="BO2463" s="2126"/>
      <c r="BP2463" s="2126"/>
      <c r="BQ2463" s="2126"/>
      <c r="BR2463" s="2126"/>
      <c r="BS2463" s="2126"/>
    </row>
    <row r="2464" spans="1:71" s="3030" customFormat="1">
      <c r="A2464" s="2126"/>
      <c r="B2464" s="2126"/>
      <c r="C2464" s="2149"/>
      <c r="D2464" s="3248"/>
      <c r="E2464" s="525"/>
      <c r="F2464" s="525"/>
      <c r="G2464" s="526"/>
      <c r="K2464" s="3280"/>
      <c r="P2464" s="3041"/>
      <c r="X2464" s="3280"/>
      <c r="AA2464" s="3041"/>
      <c r="AF2464" s="3041"/>
      <c r="AN2464" s="3280"/>
      <c r="AZ2464" s="3041"/>
      <c r="BD2464" s="3281"/>
      <c r="BH2464" s="3282"/>
      <c r="BJ2464" s="2589"/>
      <c r="BK2464" s="2126"/>
      <c r="BL2464" s="2126"/>
      <c r="BM2464" s="2126"/>
      <c r="BN2464" s="2126"/>
      <c r="BO2464" s="2126"/>
      <c r="BP2464" s="2126"/>
      <c r="BQ2464" s="2126"/>
      <c r="BR2464" s="2126"/>
      <c r="BS2464" s="2126"/>
    </row>
    <row r="2465" spans="1:71" s="3030" customFormat="1">
      <c r="A2465" s="2126"/>
      <c r="B2465" s="2126"/>
      <c r="C2465" s="2149"/>
      <c r="D2465" s="3248"/>
      <c r="E2465" s="525"/>
      <c r="F2465" s="525"/>
      <c r="G2465" s="526"/>
      <c r="K2465" s="3280"/>
      <c r="P2465" s="3041"/>
      <c r="X2465" s="3280"/>
      <c r="AA2465" s="3041"/>
      <c r="AF2465" s="3041"/>
      <c r="AN2465" s="3280"/>
      <c r="AZ2465" s="3041"/>
      <c r="BD2465" s="3281"/>
      <c r="BH2465" s="3282"/>
      <c r="BJ2465" s="2589"/>
      <c r="BK2465" s="2126"/>
      <c r="BL2465" s="2126"/>
      <c r="BM2465" s="2126"/>
      <c r="BN2465" s="2126"/>
      <c r="BO2465" s="2126"/>
      <c r="BP2465" s="2126"/>
      <c r="BQ2465" s="2126"/>
      <c r="BR2465" s="2126"/>
      <c r="BS2465" s="2126"/>
    </row>
    <row r="2466" spans="1:71" s="3030" customFormat="1">
      <c r="A2466" s="2126"/>
      <c r="B2466" s="2126"/>
      <c r="C2466" s="2149"/>
      <c r="D2466" s="3248"/>
      <c r="E2466" s="525"/>
      <c r="F2466" s="525"/>
      <c r="G2466" s="526"/>
      <c r="K2466" s="3280"/>
      <c r="P2466" s="3041"/>
      <c r="X2466" s="3280"/>
      <c r="AA2466" s="3041"/>
      <c r="AF2466" s="3041"/>
      <c r="AN2466" s="3280"/>
      <c r="AZ2466" s="3041"/>
      <c r="BD2466" s="3281"/>
      <c r="BH2466" s="3282"/>
      <c r="BJ2466" s="2589"/>
      <c r="BK2466" s="2126"/>
      <c r="BL2466" s="2126"/>
      <c r="BM2466" s="2126"/>
      <c r="BN2466" s="2126"/>
      <c r="BO2466" s="2126"/>
      <c r="BP2466" s="2126"/>
      <c r="BQ2466" s="2126"/>
      <c r="BR2466" s="2126"/>
      <c r="BS2466" s="2126"/>
    </row>
    <row r="2467" spans="1:71" s="3030" customFormat="1">
      <c r="A2467" s="2126"/>
      <c r="B2467" s="2126"/>
      <c r="C2467" s="2149"/>
      <c r="D2467" s="3248"/>
      <c r="E2467" s="525"/>
      <c r="F2467" s="525"/>
      <c r="G2467" s="526"/>
      <c r="K2467" s="3280"/>
      <c r="P2467" s="3041"/>
      <c r="X2467" s="3280"/>
      <c r="AA2467" s="3041"/>
      <c r="AF2467" s="3041"/>
      <c r="AN2467" s="3280"/>
      <c r="AZ2467" s="3041"/>
      <c r="BD2467" s="3281"/>
      <c r="BH2467" s="3282"/>
      <c r="BJ2467" s="2589"/>
      <c r="BK2467" s="2126"/>
      <c r="BL2467" s="2126"/>
      <c r="BM2467" s="2126"/>
      <c r="BN2467" s="2126"/>
      <c r="BO2467" s="2126"/>
      <c r="BP2467" s="2126"/>
      <c r="BQ2467" s="2126"/>
      <c r="BR2467" s="2126"/>
      <c r="BS2467" s="2126"/>
    </row>
    <row r="2468" spans="1:71" s="3030" customFormat="1">
      <c r="A2468" s="2126"/>
      <c r="B2468" s="2126"/>
      <c r="C2468" s="2149"/>
      <c r="D2468" s="3248"/>
      <c r="E2468" s="525"/>
      <c r="F2468" s="525"/>
      <c r="G2468" s="526"/>
      <c r="K2468" s="3280"/>
      <c r="P2468" s="3041"/>
      <c r="X2468" s="3280"/>
      <c r="AA2468" s="3041"/>
      <c r="AF2468" s="3041"/>
      <c r="AN2468" s="3280"/>
      <c r="AZ2468" s="3041"/>
      <c r="BD2468" s="3281"/>
      <c r="BH2468" s="3282"/>
      <c r="BJ2468" s="2589"/>
      <c r="BK2468" s="2126"/>
      <c r="BL2468" s="2126"/>
      <c r="BM2468" s="2126"/>
      <c r="BN2468" s="2126"/>
      <c r="BO2468" s="2126"/>
      <c r="BP2468" s="2126"/>
      <c r="BQ2468" s="2126"/>
      <c r="BR2468" s="2126"/>
      <c r="BS2468" s="2126"/>
    </row>
    <row r="2469" spans="1:71" s="3030" customFormat="1">
      <c r="A2469" s="2126"/>
      <c r="B2469" s="2126"/>
      <c r="C2469" s="2149"/>
      <c r="D2469" s="3248"/>
      <c r="E2469" s="525"/>
      <c r="F2469" s="525"/>
      <c r="G2469" s="526"/>
      <c r="K2469" s="3280"/>
      <c r="P2469" s="3041"/>
      <c r="X2469" s="3280"/>
      <c r="AA2469" s="3041"/>
      <c r="AF2469" s="3041"/>
      <c r="AN2469" s="3280"/>
      <c r="AZ2469" s="3041"/>
      <c r="BD2469" s="3281"/>
      <c r="BH2469" s="3282"/>
      <c r="BJ2469" s="2589"/>
      <c r="BK2469" s="2126"/>
      <c r="BL2469" s="2126"/>
      <c r="BM2469" s="2126"/>
      <c r="BN2469" s="2126"/>
      <c r="BO2469" s="2126"/>
      <c r="BP2469" s="2126"/>
      <c r="BQ2469" s="2126"/>
      <c r="BR2469" s="2126"/>
      <c r="BS2469" s="2126"/>
    </row>
    <row r="2470" spans="1:71" s="3030" customFormat="1">
      <c r="A2470" s="2126"/>
      <c r="B2470" s="2126"/>
      <c r="C2470" s="2149"/>
      <c r="D2470" s="3248"/>
      <c r="E2470" s="525"/>
      <c r="F2470" s="525"/>
      <c r="G2470" s="526"/>
      <c r="K2470" s="3280"/>
      <c r="P2470" s="3041"/>
      <c r="X2470" s="3280"/>
      <c r="AA2470" s="3041"/>
      <c r="AF2470" s="3041"/>
      <c r="AN2470" s="3280"/>
      <c r="AZ2470" s="3041"/>
      <c r="BD2470" s="3281"/>
      <c r="BH2470" s="3282"/>
      <c r="BJ2470" s="2589"/>
      <c r="BK2470" s="2126"/>
      <c r="BL2470" s="2126"/>
      <c r="BM2470" s="2126"/>
      <c r="BN2470" s="2126"/>
      <c r="BO2470" s="2126"/>
      <c r="BP2470" s="2126"/>
      <c r="BQ2470" s="2126"/>
      <c r="BR2470" s="2126"/>
      <c r="BS2470" s="2126"/>
    </row>
    <row r="2471" spans="1:71" s="3030" customFormat="1">
      <c r="A2471" s="2126"/>
      <c r="B2471" s="2126"/>
      <c r="C2471" s="2149"/>
      <c r="D2471" s="3248"/>
      <c r="E2471" s="525"/>
      <c r="F2471" s="525"/>
      <c r="G2471" s="526"/>
      <c r="K2471" s="3280"/>
      <c r="P2471" s="3041"/>
      <c r="X2471" s="3280"/>
      <c r="AA2471" s="3041"/>
      <c r="AF2471" s="3041"/>
      <c r="AN2471" s="3280"/>
      <c r="AZ2471" s="3041"/>
      <c r="BD2471" s="3281"/>
      <c r="BH2471" s="3282"/>
      <c r="BJ2471" s="2589"/>
      <c r="BK2471" s="2126"/>
      <c r="BL2471" s="2126"/>
      <c r="BM2471" s="2126"/>
      <c r="BN2471" s="2126"/>
      <c r="BO2471" s="2126"/>
      <c r="BP2471" s="2126"/>
      <c r="BQ2471" s="2126"/>
      <c r="BR2471" s="2126"/>
      <c r="BS2471" s="2126"/>
    </row>
    <row r="2472" spans="1:71" s="3030" customFormat="1">
      <c r="A2472" s="2126"/>
      <c r="B2472" s="2126"/>
      <c r="C2472" s="2149"/>
      <c r="D2472" s="3248"/>
      <c r="E2472" s="525"/>
      <c r="F2472" s="525"/>
      <c r="G2472" s="526"/>
      <c r="K2472" s="3280"/>
      <c r="P2472" s="3041"/>
      <c r="X2472" s="3280"/>
      <c r="AA2472" s="3041"/>
      <c r="AF2472" s="3041"/>
      <c r="AN2472" s="3280"/>
      <c r="AZ2472" s="3041"/>
      <c r="BD2472" s="3281"/>
      <c r="BH2472" s="3282"/>
      <c r="BJ2472" s="2589"/>
      <c r="BK2472" s="2126"/>
      <c r="BL2472" s="2126"/>
      <c r="BM2472" s="2126"/>
      <c r="BN2472" s="2126"/>
      <c r="BO2472" s="2126"/>
      <c r="BP2472" s="2126"/>
      <c r="BQ2472" s="2126"/>
      <c r="BR2472" s="2126"/>
      <c r="BS2472" s="2126"/>
    </row>
    <row r="2473" spans="1:71" s="3030" customFormat="1">
      <c r="A2473" s="2126"/>
      <c r="B2473" s="2126"/>
      <c r="C2473" s="2149"/>
      <c r="D2473" s="3248"/>
      <c r="E2473" s="525"/>
      <c r="F2473" s="525"/>
      <c r="G2473" s="526"/>
      <c r="K2473" s="3280"/>
      <c r="P2473" s="3041"/>
      <c r="X2473" s="3280"/>
      <c r="AA2473" s="3041"/>
      <c r="AF2473" s="3041"/>
      <c r="AN2473" s="3280"/>
      <c r="AZ2473" s="3041"/>
      <c r="BD2473" s="3281"/>
      <c r="BH2473" s="3282"/>
      <c r="BJ2473" s="2589"/>
      <c r="BK2473" s="2126"/>
      <c r="BL2473" s="2126"/>
      <c r="BM2473" s="2126"/>
      <c r="BN2473" s="2126"/>
      <c r="BO2473" s="2126"/>
      <c r="BP2473" s="2126"/>
      <c r="BQ2473" s="2126"/>
      <c r="BR2473" s="2126"/>
      <c r="BS2473" s="2126"/>
    </row>
    <row r="2474" spans="1:71" s="3030" customFormat="1">
      <c r="A2474" s="2126"/>
      <c r="B2474" s="2126"/>
      <c r="C2474" s="2149"/>
      <c r="D2474" s="3248"/>
      <c r="E2474" s="525"/>
      <c r="F2474" s="525"/>
      <c r="G2474" s="526"/>
      <c r="K2474" s="3280"/>
      <c r="P2474" s="3041"/>
      <c r="X2474" s="3280"/>
      <c r="AA2474" s="3041"/>
      <c r="AF2474" s="3041"/>
      <c r="AN2474" s="3280"/>
      <c r="AZ2474" s="3041"/>
      <c r="BD2474" s="3281"/>
      <c r="BH2474" s="3282"/>
      <c r="BJ2474" s="2589"/>
      <c r="BK2474" s="2126"/>
      <c r="BL2474" s="2126"/>
      <c r="BM2474" s="2126"/>
      <c r="BN2474" s="2126"/>
      <c r="BO2474" s="2126"/>
      <c r="BP2474" s="2126"/>
      <c r="BQ2474" s="2126"/>
      <c r="BR2474" s="2126"/>
      <c r="BS2474" s="2126"/>
    </row>
    <row r="2475" spans="1:71" s="3030" customFormat="1">
      <c r="A2475" s="2126"/>
      <c r="B2475" s="2126"/>
      <c r="C2475" s="2149"/>
      <c r="D2475" s="3248"/>
      <c r="E2475" s="525"/>
      <c r="F2475" s="525"/>
      <c r="G2475" s="526"/>
      <c r="K2475" s="3280"/>
      <c r="P2475" s="3041"/>
      <c r="X2475" s="3280"/>
      <c r="AA2475" s="3041"/>
      <c r="AF2475" s="3041"/>
      <c r="AN2475" s="3280"/>
      <c r="AZ2475" s="3041"/>
      <c r="BD2475" s="3281"/>
      <c r="BH2475" s="3282"/>
      <c r="BJ2475" s="2589"/>
      <c r="BK2475" s="2126"/>
      <c r="BL2475" s="2126"/>
      <c r="BM2475" s="2126"/>
      <c r="BN2475" s="2126"/>
      <c r="BO2475" s="2126"/>
      <c r="BP2475" s="2126"/>
      <c r="BQ2475" s="2126"/>
      <c r="BR2475" s="2126"/>
      <c r="BS2475" s="2126"/>
    </row>
    <row r="2476" spans="1:71" s="3030" customFormat="1">
      <c r="A2476" s="2126"/>
      <c r="B2476" s="2126"/>
      <c r="C2476" s="2149"/>
      <c r="D2476" s="3248"/>
      <c r="E2476" s="525"/>
      <c r="F2476" s="525"/>
      <c r="G2476" s="526"/>
      <c r="K2476" s="3280"/>
      <c r="P2476" s="3041"/>
      <c r="X2476" s="3280"/>
      <c r="AA2476" s="3041"/>
      <c r="AF2476" s="3041"/>
      <c r="AN2476" s="3280"/>
      <c r="AZ2476" s="3041"/>
      <c r="BD2476" s="3281"/>
      <c r="BH2476" s="3282"/>
      <c r="BJ2476" s="2589"/>
      <c r="BK2476" s="2126"/>
      <c r="BL2476" s="2126"/>
      <c r="BM2476" s="2126"/>
      <c r="BN2476" s="2126"/>
      <c r="BO2476" s="2126"/>
      <c r="BP2476" s="2126"/>
      <c r="BQ2476" s="2126"/>
      <c r="BR2476" s="2126"/>
      <c r="BS2476" s="2126"/>
    </row>
    <row r="2477" spans="1:71" s="3030" customFormat="1">
      <c r="A2477" s="2126"/>
      <c r="B2477" s="2126"/>
      <c r="C2477" s="2149"/>
      <c r="D2477" s="3248"/>
      <c r="E2477" s="525"/>
      <c r="F2477" s="525"/>
      <c r="G2477" s="526"/>
      <c r="K2477" s="3280"/>
      <c r="P2477" s="3041"/>
      <c r="X2477" s="3280"/>
      <c r="AA2477" s="3041"/>
      <c r="AF2477" s="3041"/>
      <c r="AN2477" s="3280"/>
      <c r="AZ2477" s="3041"/>
      <c r="BD2477" s="3281"/>
      <c r="BH2477" s="3282"/>
      <c r="BJ2477" s="2589"/>
      <c r="BK2477" s="2126"/>
      <c r="BL2477" s="2126"/>
      <c r="BM2477" s="2126"/>
      <c r="BN2477" s="2126"/>
      <c r="BO2477" s="2126"/>
      <c r="BP2477" s="2126"/>
      <c r="BQ2477" s="2126"/>
      <c r="BR2477" s="2126"/>
      <c r="BS2477" s="2126"/>
    </row>
    <row r="2478" spans="1:71" s="3030" customFormat="1">
      <c r="A2478" s="2126"/>
      <c r="B2478" s="2126"/>
      <c r="C2478" s="2149"/>
      <c r="D2478" s="3248"/>
      <c r="E2478" s="525"/>
      <c r="F2478" s="525"/>
      <c r="G2478" s="526"/>
      <c r="K2478" s="3280"/>
      <c r="P2478" s="3041"/>
      <c r="X2478" s="3280"/>
      <c r="AA2478" s="3041"/>
      <c r="AF2478" s="3041"/>
      <c r="AN2478" s="3280"/>
      <c r="AZ2478" s="3041"/>
      <c r="BD2478" s="3281"/>
      <c r="BH2478" s="3282"/>
      <c r="BJ2478" s="2589"/>
      <c r="BK2478" s="2126"/>
      <c r="BL2478" s="2126"/>
      <c r="BM2478" s="2126"/>
      <c r="BN2478" s="2126"/>
      <c r="BO2478" s="2126"/>
      <c r="BP2478" s="2126"/>
      <c r="BQ2478" s="2126"/>
      <c r="BR2478" s="2126"/>
      <c r="BS2478" s="2126"/>
    </row>
    <row r="2479" spans="1:71" s="3030" customFormat="1">
      <c r="A2479" s="2126"/>
      <c r="B2479" s="2126"/>
      <c r="C2479" s="2149"/>
      <c r="D2479" s="3248"/>
      <c r="E2479" s="525"/>
      <c r="F2479" s="525"/>
      <c r="G2479" s="526"/>
      <c r="K2479" s="3280"/>
      <c r="P2479" s="3041"/>
      <c r="X2479" s="3280"/>
      <c r="AA2479" s="3041"/>
      <c r="AF2479" s="3041"/>
      <c r="AN2479" s="3280"/>
      <c r="AZ2479" s="3041"/>
      <c r="BD2479" s="3281"/>
      <c r="BH2479" s="3282"/>
      <c r="BJ2479" s="2589"/>
      <c r="BK2479" s="2126"/>
      <c r="BL2479" s="2126"/>
      <c r="BM2479" s="2126"/>
      <c r="BN2479" s="2126"/>
      <c r="BO2479" s="2126"/>
      <c r="BP2479" s="2126"/>
      <c r="BQ2479" s="2126"/>
      <c r="BR2479" s="2126"/>
      <c r="BS2479" s="2126"/>
    </row>
    <row r="2480" spans="1:71" s="3030" customFormat="1">
      <c r="A2480" s="2126"/>
      <c r="B2480" s="2126"/>
      <c r="C2480" s="2149"/>
      <c r="D2480" s="3248"/>
      <c r="E2480" s="525"/>
      <c r="F2480" s="525"/>
      <c r="G2480" s="526"/>
      <c r="K2480" s="3280"/>
      <c r="P2480" s="3041"/>
      <c r="X2480" s="3280"/>
      <c r="AA2480" s="3041"/>
      <c r="AF2480" s="3041"/>
      <c r="AN2480" s="3280"/>
      <c r="AZ2480" s="3041"/>
      <c r="BD2480" s="3281"/>
      <c r="BH2480" s="3282"/>
      <c r="BJ2480" s="2589"/>
      <c r="BK2480" s="2126"/>
      <c r="BL2480" s="2126"/>
      <c r="BM2480" s="2126"/>
      <c r="BN2480" s="2126"/>
      <c r="BO2480" s="2126"/>
      <c r="BP2480" s="2126"/>
      <c r="BQ2480" s="2126"/>
      <c r="BR2480" s="2126"/>
      <c r="BS2480" s="2126"/>
    </row>
    <row r="2481" spans="1:71" s="3030" customFormat="1">
      <c r="A2481" s="2126"/>
      <c r="B2481" s="2126"/>
      <c r="C2481" s="2149"/>
      <c r="D2481" s="3248"/>
      <c r="E2481" s="525"/>
      <c r="F2481" s="525"/>
      <c r="G2481" s="526"/>
      <c r="K2481" s="3280"/>
      <c r="P2481" s="3041"/>
      <c r="X2481" s="3280"/>
      <c r="AA2481" s="3041"/>
      <c r="AF2481" s="3041"/>
      <c r="AN2481" s="3280"/>
      <c r="AZ2481" s="3041"/>
      <c r="BD2481" s="3281"/>
      <c r="BH2481" s="3282"/>
      <c r="BJ2481" s="2589"/>
      <c r="BK2481" s="2126"/>
      <c r="BL2481" s="2126"/>
      <c r="BM2481" s="2126"/>
      <c r="BN2481" s="2126"/>
      <c r="BO2481" s="2126"/>
      <c r="BP2481" s="2126"/>
      <c r="BQ2481" s="2126"/>
      <c r="BR2481" s="2126"/>
      <c r="BS2481" s="2126"/>
    </row>
    <row r="2482" spans="1:71" s="3030" customFormat="1">
      <c r="A2482" s="2126"/>
      <c r="B2482" s="2126"/>
      <c r="C2482" s="2149"/>
      <c r="D2482" s="3248"/>
      <c r="E2482" s="525"/>
      <c r="F2482" s="525"/>
      <c r="G2482" s="526"/>
      <c r="K2482" s="3280"/>
      <c r="P2482" s="3041"/>
      <c r="X2482" s="3280"/>
      <c r="AA2482" s="3041"/>
      <c r="AF2482" s="3041"/>
      <c r="AN2482" s="3280"/>
      <c r="AZ2482" s="3041"/>
      <c r="BD2482" s="3281"/>
      <c r="BH2482" s="3282"/>
      <c r="BJ2482" s="2589"/>
      <c r="BK2482" s="2126"/>
      <c r="BL2482" s="2126"/>
      <c r="BM2482" s="2126"/>
      <c r="BN2482" s="2126"/>
      <c r="BO2482" s="2126"/>
      <c r="BP2482" s="2126"/>
      <c r="BQ2482" s="2126"/>
      <c r="BR2482" s="2126"/>
      <c r="BS2482" s="2126"/>
    </row>
    <row r="2483" spans="1:71" s="3030" customFormat="1">
      <c r="A2483" s="2126"/>
      <c r="B2483" s="2126"/>
      <c r="C2483" s="2149"/>
      <c r="D2483" s="3248"/>
      <c r="E2483" s="525"/>
      <c r="F2483" s="525"/>
      <c r="G2483" s="526"/>
      <c r="K2483" s="3280"/>
      <c r="P2483" s="3041"/>
      <c r="X2483" s="3280"/>
      <c r="AA2483" s="3041"/>
      <c r="AF2483" s="3041"/>
      <c r="AN2483" s="3280"/>
      <c r="AZ2483" s="3041"/>
      <c r="BD2483" s="3281"/>
      <c r="BH2483" s="3282"/>
      <c r="BJ2483" s="2589"/>
      <c r="BK2483" s="2126"/>
      <c r="BL2483" s="2126"/>
      <c r="BM2483" s="2126"/>
      <c r="BN2483" s="2126"/>
      <c r="BO2483" s="2126"/>
      <c r="BP2483" s="2126"/>
      <c r="BQ2483" s="2126"/>
      <c r="BR2483" s="2126"/>
      <c r="BS2483" s="2126"/>
    </row>
    <row r="2484" spans="1:71" s="3030" customFormat="1">
      <c r="A2484" s="2126"/>
      <c r="B2484" s="2126"/>
      <c r="C2484" s="2149"/>
      <c r="D2484" s="3248"/>
      <c r="E2484" s="525"/>
      <c r="F2484" s="525"/>
      <c r="G2484" s="526"/>
      <c r="K2484" s="3280"/>
      <c r="P2484" s="3041"/>
      <c r="X2484" s="3280"/>
      <c r="AA2484" s="3041"/>
      <c r="AF2484" s="3041"/>
      <c r="AN2484" s="3280"/>
      <c r="AZ2484" s="3041"/>
      <c r="BD2484" s="3281"/>
      <c r="BH2484" s="3282"/>
      <c r="BJ2484" s="2589"/>
      <c r="BK2484" s="2126"/>
      <c r="BL2484" s="2126"/>
      <c r="BM2484" s="2126"/>
      <c r="BN2484" s="2126"/>
      <c r="BO2484" s="2126"/>
      <c r="BP2484" s="2126"/>
      <c r="BQ2484" s="2126"/>
      <c r="BR2484" s="2126"/>
      <c r="BS2484" s="2126"/>
    </row>
    <row r="2485" spans="1:71" s="3030" customFormat="1">
      <c r="A2485" s="2126"/>
      <c r="B2485" s="2126"/>
      <c r="C2485" s="2149"/>
      <c r="D2485" s="3248"/>
      <c r="E2485" s="525"/>
      <c r="F2485" s="525"/>
      <c r="G2485" s="526"/>
      <c r="K2485" s="3280"/>
      <c r="P2485" s="3041"/>
      <c r="X2485" s="3280"/>
      <c r="AA2485" s="3041"/>
      <c r="AF2485" s="3041"/>
      <c r="AN2485" s="3280"/>
      <c r="AZ2485" s="3041"/>
      <c r="BD2485" s="3281"/>
      <c r="BH2485" s="3282"/>
      <c r="BJ2485" s="2589"/>
      <c r="BK2485" s="2126"/>
      <c r="BL2485" s="2126"/>
      <c r="BM2485" s="2126"/>
      <c r="BN2485" s="2126"/>
      <c r="BO2485" s="2126"/>
      <c r="BP2485" s="2126"/>
      <c r="BQ2485" s="2126"/>
      <c r="BR2485" s="2126"/>
      <c r="BS2485" s="2126"/>
    </row>
    <row r="2486" spans="1:71" s="3030" customFormat="1">
      <c r="A2486" s="2126"/>
      <c r="B2486" s="2126"/>
      <c r="C2486" s="2149"/>
      <c r="D2486" s="3248"/>
      <c r="E2486" s="525"/>
      <c r="F2486" s="525"/>
      <c r="G2486" s="526"/>
      <c r="K2486" s="3280"/>
      <c r="P2486" s="3041"/>
      <c r="X2486" s="3280"/>
      <c r="AA2486" s="3041"/>
      <c r="AF2486" s="3041"/>
      <c r="AN2486" s="3280"/>
      <c r="AZ2486" s="3041"/>
      <c r="BD2486" s="3281"/>
      <c r="BH2486" s="3282"/>
      <c r="BJ2486" s="2589"/>
      <c r="BK2486" s="2126"/>
      <c r="BL2486" s="2126"/>
      <c r="BM2486" s="2126"/>
      <c r="BN2486" s="2126"/>
      <c r="BO2486" s="2126"/>
      <c r="BP2486" s="2126"/>
      <c r="BQ2486" s="2126"/>
      <c r="BR2486" s="2126"/>
      <c r="BS2486" s="2126"/>
    </row>
    <row r="2487" spans="1:71" s="3030" customFormat="1">
      <c r="A2487" s="2126"/>
      <c r="B2487" s="2126"/>
      <c r="C2487" s="2149"/>
      <c r="D2487" s="3248"/>
      <c r="E2487" s="525"/>
      <c r="F2487" s="525"/>
      <c r="G2487" s="526"/>
      <c r="K2487" s="3280"/>
      <c r="P2487" s="3041"/>
      <c r="X2487" s="3280"/>
      <c r="AA2487" s="3041"/>
      <c r="AF2487" s="3041"/>
      <c r="AN2487" s="3280"/>
      <c r="AZ2487" s="3041"/>
      <c r="BD2487" s="3281"/>
      <c r="BH2487" s="3282"/>
      <c r="BJ2487" s="2589"/>
      <c r="BK2487" s="2126"/>
      <c r="BL2487" s="2126"/>
      <c r="BM2487" s="2126"/>
      <c r="BN2487" s="2126"/>
      <c r="BO2487" s="2126"/>
      <c r="BP2487" s="2126"/>
      <c r="BQ2487" s="2126"/>
      <c r="BR2487" s="2126"/>
      <c r="BS2487" s="2126"/>
    </row>
    <row r="2488" spans="1:71" s="3030" customFormat="1">
      <c r="A2488" s="2126"/>
      <c r="B2488" s="2126"/>
      <c r="C2488" s="2149"/>
      <c r="D2488" s="3248"/>
      <c r="E2488" s="525"/>
      <c r="F2488" s="525"/>
      <c r="G2488" s="526"/>
      <c r="K2488" s="3280"/>
      <c r="P2488" s="3041"/>
      <c r="X2488" s="3280"/>
      <c r="AA2488" s="3041"/>
      <c r="AF2488" s="3041"/>
      <c r="AN2488" s="3280"/>
      <c r="AZ2488" s="3041"/>
      <c r="BD2488" s="3281"/>
      <c r="BH2488" s="3282"/>
      <c r="BJ2488" s="2589"/>
      <c r="BK2488" s="2126"/>
      <c r="BL2488" s="2126"/>
      <c r="BM2488" s="2126"/>
      <c r="BN2488" s="2126"/>
      <c r="BO2488" s="2126"/>
      <c r="BP2488" s="2126"/>
      <c r="BQ2488" s="2126"/>
      <c r="BR2488" s="2126"/>
      <c r="BS2488" s="2126"/>
    </row>
    <row r="2489" spans="1:71" s="3030" customFormat="1">
      <c r="A2489" s="2126"/>
      <c r="B2489" s="2126"/>
      <c r="C2489" s="2149"/>
      <c r="D2489" s="3248"/>
      <c r="E2489" s="525"/>
      <c r="F2489" s="525"/>
      <c r="G2489" s="526"/>
      <c r="K2489" s="3280"/>
      <c r="P2489" s="3041"/>
      <c r="X2489" s="3280"/>
      <c r="AA2489" s="3041"/>
      <c r="AF2489" s="3041"/>
      <c r="AN2489" s="3280"/>
      <c r="AZ2489" s="3041"/>
      <c r="BD2489" s="3281"/>
      <c r="BH2489" s="3282"/>
      <c r="BJ2489" s="2589"/>
      <c r="BK2489" s="2126"/>
      <c r="BL2489" s="2126"/>
      <c r="BM2489" s="2126"/>
      <c r="BN2489" s="2126"/>
      <c r="BO2489" s="2126"/>
      <c r="BP2489" s="2126"/>
      <c r="BQ2489" s="2126"/>
      <c r="BR2489" s="2126"/>
      <c r="BS2489" s="2126"/>
    </row>
    <row r="2490" spans="1:71" s="3030" customFormat="1">
      <c r="A2490" s="2126"/>
      <c r="B2490" s="2126"/>
      <c r="C2490" s="2149"/>
      <c r="D2490" s="3248"/>
      <c r="E2490" s="525"/>
      <c r="F2490" s="525"/>
      <c r="G2490" s="526"/>
      <c r="K2490" s="3280"/>
      <c r="P2490" s="3041"/>
      <c r="X2490" s="3280"/>
      <c r="AA2490" s="3041"/>
      <c r="AF2490" s="3041"/>
      <c r="AN2490" s="3280"/>
      <c r="AZ2490" s="3041"/>
      <c r="BD2490" s="3281"/>
      <c r="BH2490" s="3282"/>
      <c r="BJ2490" s="2589"/>
      <c r="BK2490" s="2126"/>
      <c r="BL2490" s="2126"/>
      <c r="BM2490" s="2126"/>
      <c r="BN2490" s="2126"/>
      <c r="BO2490" s="2126"/>
      <c r="BP2490" s="2126"/>
      <c r="BQ2490" s="2126"/>
      <c r="BR2490" s="2126"/>
      <c r="BS2490" s="2126"/>
    </row>
    <row r="2491" spans="1:71" s="3030" customFormat="1">
      <c r="A2491" s="2126"/>
      <c r="B2491" s="2126"/>
      <c r="C2491" s="2149"/>
      <c r="D2491" s="3248"/>
      <c r="E2491" s="525"/>
      <c r="F2491" s="525"/>
      <c r="G2491" s="526"/>
      <c r="K2491" s="3280"/>
      <c r="P2491" s="3041"/>
      <c r="X2491" s="3280"/>
      <c r="AA2491" s="3041"/>
      <c r="AF2491" s="3041"/>
      <c r="AN2491" s="3280"/>
      <c r="AZ2491" s="3041"/>
      <c r="BD2491" s="3281"/>
      <c r="BH2491" s="3282"/>
      <c r="BJ2491" s="2589"/>
      <c r="BK2491" s="2126"/>
      <c r="BL2491" s="2126"/>
      <c r="BM2491" s="2126"/>
      <c r="BN2491" s="2126"/>
      <c r="BO2491" s="2126"/>
      <c r="BP2491" s="2126"/>
      <c r="BQ2491" s="2126"/>
      <c r="BR2491" s="2126"/>
      <c r="BS2491" s="2126"/>
    </row>
    <row r="2492" spans="1:71" s="3030" customFormat="1">
      <c r="A2492" s="2126"/>
      <c r="B2492" s="2126"/>
      <c r="C2492" s="2149"/>
      <c r="D2492" s="3248"/>
      <c r="E2492" s="525"/>
      <c r="F2492" s="525"/>
      <c r="G2492" s="526"/>
      <c r="K2492" s="3280"/>
      <c r="P2492" s="3041"/>
      <c r="X2492" s="3280"/>
      <c r="AA2492" s="3041"/>
      <c r="AF2492" s="3041"/>
      <c r="AN2492" s="3280"/>
      <c r="AZ2492" s="3041"/>
      <c r="BD2492" s="3281"/>
      <c r="BH2492" s="3282"/>
      <c r="BJ2492" s="2589"/>
      <c r="BK2492" s="2126"/>
      <c r="BL2492" s="2126"/>
      <c r="BM2492" s="2126"/>
      <c r="BN2492" s="2126"/>
      <c r="BO2492" s="2126"/>
      <c r="BP2492" s="2126"/>
      <c r="BQ2492" s="2126"/>
      <c r="BR2492" s="2126"/>
      <c r="BS2492" s="2126"/>
    </row>
    <row r="2493" spans="1:71" s="3030" customFormat="1">
      <c r="A2493" s="2126"/>
      <c r="B2493" s="2126"/>
      <c r="C2493" s="2149"/>
      <c r="D2493" s="3248"/>
      <c r="E2493" s="525"/>
      <c r="F2493" s="525"/>
      <c r="G2493" s="526"/>
      <c r="K2493" s="3280"/>
      <c r="P2493" s="3041"/>
      <c r="X2493" s="3280"/>
      <c r="AA2493" s="3041"/>
      <c r="AF2493" s="3041"/>
      <c r="AN2493" s="3280"/>
      <c r="AZ2493" s="3041"/>
      <c r="BD2493" s="3281"/>
      <c r="BH2493" s="3282"/>
      <c r="BJ2493" s="2589"/>
      <c r="BK2493" s="2126"/>
      <c r="BL2493" s="2126"/>
      <c r="BM2493" s="2126"/>
      <c r="BN2493" s="2126"/>
      <c r="BO2493" s="2126"/>
      <c r="BP2493" s="2126"/>
      <c r="BQ2493" s="2126"/>
      <c r="BR2493" s="2126"/>
      <c r="BS2493" s="2126"/>
    </row>
    <row r="2494" spans="1:71" s="3030" customFormat="1">
      <c r="A2494" s="2126"/>
      <c r="B2494" s="2126"/>
      <c r="C2494" s="2149"/>
      <c r="D2494" s="3248"/>
      <c r="E2494" s="525"/>
      <c r="F2494" s="525"/>
      <c r="G2494" s="526"/>
      <c r="K2494" s="3280"/>
      <c r="P2494" s="3041"/>
      <c r="X2494" s="3280"/>
      <c r="AA2494" s="3041"/>
      <c r="AF2494" s="3041"/>
      <c r="AN2494" s="3280"/>
      <c r="AZ2494" s="3041"/>
      <c r="BD2494" s="3281"/>
      <c r="BH2494" s="3282"/>
      <c r="BJ2494" s="2589"/>
      <c r="BK2494" s="2126"/>
      <c r="BL2494" s="2126"/>
      <c r="BM2494" s="2126"/>
      <c r="BN2494" s="2126"/>
      <c r="BO2494" s="2126"/>
      <c r="BP2494" s="2126"/>
      <c r="BQ2494" s="2126"/>
      <c r="BR2494" s="2126"/>
      <c r="BS2494" s="2126"/>
    </row>
    <row r="2495" spans="1:71" s="3030" customFormat="1">
      <c r="A2495" s="2126"/>
      <c r="B2495" s="2126"/>
      <c r="C2495" s="2149"/>
      <c r="D2495" s="3248"/>
      <c r="E2495" s="525"/>
      <c r="F2495" s="525"/>
      <c r="G2495" s="526"/>
      <c r="K2495" s="3280"/>
      <c r="P2495" s="3041"/>
      <c r="X2495" s="3280"/>
      <c r="AA2495" s="3041"/>
      <c r="AF2495" s="3041"/>
      <c r="AN2495" s="3280"/>
      <c r="AZ2495" s="3041"/>
      <c r="BD2495" s="3281"/>
      <c r="BH2495" s="3282"/>
      <c r="BJ2495" s="2589"/>
      <c r="BK2495" s="2126"/>
      <c r="BL2495" s="2126"/>
      <c r="BM2495" s="2126"/>
      <c r="BN2495" s="2126"/>
      <c r="BO2495" s="2126"/>
      <c r="BP2495" s="2126"/>
      <c r="BQ2495" s="2126"/>
      <c r="BR2495" s="2126"/>
      <c r="BS2495" s="2126"/>
    </row>
    <row r="2496" spans="1:71" s="3030" customFormat="1">
      <c r="A2496" s="2126"/>
      <c r="B2496" s="2126"/>
      <c r="C2496" s="2149"/>
      <c r="D2496" s="3248"/>
      <c r="E2496" s="525"/>
      <c r="F2496" s="525"/>
      <c r="G2496" s="526"/>
      <c r="K2496" s="3280"/>
      <c r="P2496" s="3041"/>
      <c r="X2496" s="3280"/>
      <c r="AA2496" s="3041"/>
      <c r="AF2496" s="3041"/>
      <c r="AN2496" s="3280"/>
      <c r="AZ2496" s="3041"/>
      <c r="BD2496" s="3281"/>
      <c r="BH2496" s="3282"/>
      <c r="BJ2496" s="2589"/>
      <c r="BK2496" s="2126"/>
      <c r="BL2496" s="2126"/>
      <c r="BM2496" s="2126"/>
      <c r="BN2496" s="2126"/>
      <c r="BO2496" s="2126"/>
      <c r="BP2496" s="2126"/>
      <c r="BQ2496" s="2126"/>
      <c r="BR2496" s="2126"/>
      <c r="BS2496" s="2126"/>
    </row>
    <row r="2497" spans="1:71" s="3030" customFormat="1">
      <c r="A2497" s="2126"/>
      <c r="B2497" s="2126"/>
      <c r="C2497" s="2149"/>
      <c r="D2497" s="3248"/>
      <c r="E2497" s="525"/>
      <c r="F2497" s="525"/>
      <c r="G2497" s="526"/>
      <c r="K2497" s="3280"/>
      <c r="P2497" s="3041"/>
      <c r="X2497" s="3280"/>
      <c r="AA2497" s="3041"/>
      <c r="AF2497" s="3041"/>
      <c r="AN2497" s="3280"/>
      <c r="AZ2497" s="3041"/>
      <c r="BD2497" s="3281"/>
      <c r="BH2497" s="3282"/>
      <c r="BJ2497" s="2589"/>
      <c r="BK2497" s="2126"/>
      <c r="BL2497" s="2126"/>
      <c r="BM2497" s="2126"/>
      <c r="BN2497" s="2126"/>
      <c r="BO2497" s="2126"/>
      <c r="BP2497" s="2126"/>
      <c r="BQ2497" s="2126"/>
      <c r="BR2497" s="2126"/>
      <c r="BS2497" s="2126"/>
    </row>
    <row r="2498" spans="1:71" s="3030" customFormat="1">
      <c r="A2498" s="2126"/>
      <c r="B2498" s="2126"/>
      <c r="C2498" s="2149"/>
      <c r="D2498" s="3248"/>
      <c r="E2498" s="525"/>
      <c r="F2498" s="525"/>
      <c r="G2498" s="526"/>
      <c r="K2498" s="3280"/>
      <c r="P2498" s="3041"/>
      <c r="X2498" s="3280"/>
      <c r="AA2498" s="3041"/>
      <c r="AF2498" s="3041"/>
      <c r="AN2498" s="3280"/>
      <c r="AZ2498" s="3041"/>
      <c r="BD2498" s="3281"/>
      <c r="BH2498" s="3282"/>
      <c r="BJ2498" s="2589"/>
      <c r="BK2498" s="2126"/>
      <c r="BL2498" s="2126"/>
      <c r="BM2498" s="2126"/>
      <c r="BN2498" s="2126"/>
      <c r="BO2498" s="2126"/>
      <c r="BP2498" s="2126"/>
      <c r="BQ2498" s="2126"/>
      <c r="BR2498" s="2126"/>
      <c r="BS2498" s="2126"/>
    </row>
    <row r="2499" spans="1:71" s="3030" customFormat="1">
      <c r="A2499" s="2126"/>
      <c r="B2499" s="2126"/>
      <c r="C2499" s="2149"/>
      <c r="D2499" s="3248"/>
      <c r="E2499" s="525"/>
      <c r="F2499" s="525"/>
      <c r="G2499" s="526"/>
      <c r="K2499" s="3280"/>
      <c r="P2499" s="3041"/>
      <c r="X2499" s="3280"/>
      <c r="AA2499" s="3041"/>
      <c r="AF2499" s="3041"/>
      <c r="AN2499" s="3280"/>
      <c r="AZ2499" s="3041"/>
      <c r="BD2499" s="3281"/>
      <c r="BH2499" s="3282"/>
      <c r="BJ2499" s="2589"/>
      <c r="BK2499" s="2126"/>
      <c r="BL2499" s="2126"/>
      <c r="BM2499" s="2126"/>
      <c r="BN2499" s="2126"/>
      <c r="BO2499" s="2126"/>
      <c r="BP2499" s="2126"/>
      <c r="BQ2499" s="2126"/>
      <c r="BR2499" s="2126"/>
      <c r="BS2499" s="2126"/>
    </row>
    <row r="2500" spans="1:71" s="3030" customFormat="1">
      <c r="A2500" s="2126"/>
      <c r="B2500" s="2126"/>
      <c r="C2500" s="2149"/>
      <c r="D2500" s="3248"/>
      <c r="E2500" s="525"/>
      <c r="F2500" s="525"/>
      <c r="G2500" s="526"/>
      <c r="K2500" s="3280"/>
      <c r="P2500" s="3041"/>
      <c r="X2500" s="3280"/>
      <c r="AA2500" s="3041"/>
      <c r="AF2500" s="3041"/>
      <c r="AN2500" s="3280"/>
      <c r="AZ2500" s="3041"/>
      <c r="BD2500" s="3281"/>
      <c r="BH2500" s="3282"/>
      <c r="BJ2500" s="2589"/>
      <c r="BK2500" s="2126"/>
      <c r="BL2500" s="2126"/>
      <c r="BM2500" s="2126"/>
      <c r="BN2500" s="2126"/>
      <c r="BO2500" s="2126"/>
      <c r="BP2500" s="2126"/>
      <c r="BQ2500" s="2126"/>
      <c r="BR2500" s="2126"/>
      <c r="BS2500" s="2126"/>
    </row>
    <row r="2501" spans="1:71" s="3030" customFormat="1">
      <c r="A2501" s="2126"/>
      <c r="B2501" s="2126"/>
      <c r="C2501" s="2149"/>
      <c r="D2501" s="3248"/>
      <c r="E2501" s="525"/>
      <c r="F2501" s="525"/>
      <c r="G2501" s="526"/>
      <c r="K2501" s="3280"/>
      <c r="P2501" s="3041"/>
      <c r="X2501" s="3280"/>
      <c r="AA2501" s="3041"/>
      <c r="AF2501" s="3041"/>
      <c r="AN2501" s="3280"/>
      <c r="AZ2501" s="3041"/>
      <c r="BD2501" s="3281"/>
      <c r="BH2501" s="3282"/>
      <c r="BJ2501" s="2589"/>
      <c r="BK2501" s="2126"/>
      <c r="BL2501" s="2126"/>
      <c r="BM2501" s="2126"/>
      <c r="BN2501" s="2126"/>
      <c r="BO2501" s="2126"/>
      <c r="BP2501" s="2126"/>
      <c r="BQ2501" s="2126"/>
      <c r="BR2501" s="2126"/>
      <c r="BS2501" s="2126"/>
    </row>
    <row r="2502" spans="1:71" s="3030" customFormat="1">
      <c r="A2502" s="2126"/>
      <c r="B2502" s="2126"/>
      <c r="C2502" s="2149"/>
      <c r="D2502" s="3248"/>
      <c r="E2502" s="525"/>
      <c r="F2502" s="525"/>
      <c r="G2502" s="526"/>
      <c r="K2502" s="3280"/>
      <c r="P2502" s="3041"/>
      <c r="X2502" s="3280"/>
      <c r="AA2502" s="3041"/>
      <c r="AF2502" s="3041"/>
      <c r="AN2502" s="3280"/>
      <c r="AZ2502" s="3041"/>
      <c r="BD2502" s="3281"/>
      <c r="BH2502" s="3282"/>
      <c r="BJ2502" s="2589"/>
      <c r="BK2502" s="2126"/>
      <c r="BL2502" s="2126"/>
      <c r="BM2502" s="2126"/>
      <c r="BN2502" s="2126"/>
      <c r="BO2502" s="2126"/>
      <c r="BP2502" s="2126"/>
      <c r="BQ2502" s="2126"/>
      <c r="BR2502" s="2126"/>
      <c r="BS2502" s="2126"/>
    </row>
    <row r="2503" spans="1:71" s="3030" customFormat="1">
      <c r="A2503" s="2126"/>
      <c r="B2503" s="2126"/>
      <c r="C2503" s="2149"/>
      <c r="D2503" s="3248"/>
      <c r="E2503" s="525"/>
      <c r="F2503" s="525"/>
      <c r="G2503" s="526"/>
      <c r="K2503" s="3280"/>
      <c r="P2503" s="3041"/>
      <c r="X2503" s="3280"/>
      <c r="AA2503" s="3041"/>
      <c r="AF2503" s="3041"/>
      <c r="AN2503" s="3280"/>
      <c r="AZ2503" s="3041"/>
      <c r="BD2503" s="3281"/>
      <c r="BH2503" s="3282"/>
      <c r="BJ2503" s="2589"/>
      <c r="BK2503" s="2126"/>
      <c r="BL2503" s="2126"/>
      <c r="BM2503" s="2126"/>
      <c r="BN2503" s="2126"/>
      <c r="BO2503" s="2126"/>
      <c r="BP2503" s="2126"/>
      <c r="BQ2503" s="2126"/>
      <c r="BR2503" s="2126"/>
      <c r="BS2503" s="2126"/>
    </row>
    <row r="2504" spans="1:71" s="3030" customFormat="1">
      <c r="A2504" s="2126"/>
      <c r="B2504" s="2126"/>
      <c r="C2504" s="2149"/>
      <c r="D2504" s="3248"/>
      <c r="E2504" s="525"/>
      <c r="F2504" s="525"/>
      <c r="G2504" s="526"/>
      <c r="K2504" s="3280"/>
      <c r="P2504" s="3041"/>
      <c r="X2504" s="3280"/>
      <c r="AA2504" s="3041"/>
      <c r="AF2504" s="3041"/>
      <c r="AN2504" s="3280"/>
      <c r="AZ2504" s="3041"/>
      <c r="BD2504" s="3281"/>
      <c r="BH2504" s="3282"/>
      <c r="BJ2504" s="2589"/>
      <c r="BK2504" s="2126"/>
      <c r="BL2504" s="2126"/>
      <c r="BM2504" s="2126"/>
      <c r="BN2504" s="2126"/>
      <c r="BO2504" s="2126"/>
      <c r="BP2504" s="2126"/>
      <c r="BQ2504" s="2126"/>
      <c r="BR2504" s="2126"/>
      <c r="BS2504" s="2126"/>
    </row>
    <row r="2505" spans="1:71" s="3030" customFormat="1">
      <c r="A2505" s="2126"/>
      <c r="B2505" s="2126"/>
      <c r="C2505" s="2149"/>
      <c r="D2505" s="3248"/>
      <c r="E2505" s="525"/>
      <c r="F2505" s="525"/>
      <c r="G2505" s="526"/>
      <c r="K2505" s="3280"/>
      <c r="P2505" s="3041"/>
      <c r="X2505" s="3280"/>
      <c r="AA2505" s="3041"/>
      <c r="AF2505" s="3041"/>
      <c r="AN2505" s="3280"/>
      <c r="AZ2505" s="3041"/>
      <c r="BD2505" s="3281"/>
      <c r="BH2505" s="3282"/>
      <c r="BJ2505" s="2589"/>
      <c r="BK2505" s="2126"/>
      <c r="BL2505" s="2126"/>
      <c r="BM2505" s="2126"/>
      <c r="BN2505" s="2126"/>
      <c r="BO2505" s="2126"/>
      <c r="BP2505" s="2126"/>
      <c r="BQ2505" s="2126"/>
      <c r="BR2505" s="2126"/>
      <c r="BS2505" s="2126"/>
    </row>
    <row r="2506" spans="1:71" s="3030" customFormat="1">
      <c r="A2506" s="2126"/>
      <c r="B2506" s="2126"/>
      <c r="C2506" s="2149"/>
      <c r="D2506" s="3248"/>
      <c r="E2506" s="525"/>
      <c r="F2506" s="525"/>
      <c r="G2506" s="526"/>
      <c r="K2506" s="3280"/>
      <c r="P2506" s="3041"/>
      <c r="X2506" s="3280"/>
      <c r="AA2506" s="3041"/>
      <c r="AF2506" s="3041"/>
      <c r="AN2506" s="3280"/>
      <c r="AZ2506" s="3041"/>
      <c r="BD2506" s="3281"/>
      <c r="BH2506" s="3282"/>
      <c r="BJ2506" s="2589"/>
      <c r="BK2506" s="2126"/>
      <c r="BL2506" s="2126"/>
      <c r="BM2506" s="2126"/>
      <c r="BN2506" s="2126"/>
      <c r="BO2506" s="2126"/>
      <c r="BP2506" s="2126"/>
      <c r="BQ2506" s="2126"/>
      <c r="BR2506" s="2126"/>
      <c r="BS2506" s="2126"/>
    </row>
    <row r="2507" spans="1:71" s="3030" customFormat="1">
      <c r="A2507" s="2126"/>
      <c r="B2507" s="2126"/>
      <c r="C2507" s="2149"/>
      <c r="D2507" s="3248"/>
      <c r="E2507" s="525"/>
      <c r="F2507" s="525"/>
      <c r="G2507" s="526"/>
      <c r="K2507" s="3280"/>
      <c r="P2507" s="3041"/>
      <c r="X2507" s="3280"/>
      <c r="AA2507" s="3041"/>
      <c r="AF2507" s="3041"/>
      <c r="AN2507" s="3280"/>
      <c r="AZ2507" s="3041"/>
      <c r="BD2507" s="3281"/>
      <c r="BH2507" s="3282"/>
      <c r="BJ2507" s="2589"/>
      <c r="BK2507" s="2126"/>
      <c r="BL2507" s="2126"/>
      <c r="BM2507" s="2126"/>
      <c r="BN2507" s="2126"/>
      <c r="BO2507" s="2126"/>
      <c r="BP2507" s="2126"/>
      <c r="BQ2507" s="2126"/>
      <c r="BR2507" s="2126"/>
      <c r="BS2507" s="2126"/>
    </row>
    <row r="2508" spans="1:71" s="3030" customFormat="1">
      <c r="A2508" s="2126"/>
      <c r="B2508" s="2126"/>
      <c r="C2508" s="2149"/>
      <c r="D2508" s="3248"/>
      <c r="E2508" s="525"/>
      <c r="F2508" s="525"/>
      <c r="G2508" s="526"/>
      <c r="K2508" s="3280"/>
      <c r="P2508" s="3041"/>
      <c r="X2508" s="3280"/>
      <c r="AA2508" s="3041"/>
      <c r="AF2508" s="3041"/>
      <c r="AN2508" s="3280"/>
      <c r="AZ2508" s="3041"/>
      <c r="BD2508" s="3281"/>
      <c r="BH2508" s="3282"/>
      <c r="BJ2508" s="2589"/>
      <c r="BK2508" s="2126"/>
      <c r="BL2508" s="2126"/>
      <c r="BM2508" s="2126"/>
      <c r="BN2508" s="2126"/>
      <c r="BO2508" s="2126"/>
      <c r="BP2508" s="2126"/>
      <c r="BQ2508" s="2126"/>
      <c r="BR2508" s="2126"/>
      <c r="BS2508" s="2126"/>
    </row>
    <row r="2509" spans="1:71" s="3030" customFormat="1">
      <c r="A2509" s="2126"/>
      <c r="B2509" s="2126"/>
      <c r="C2509" s="2149"/>
      <c r="D2509" s="3248"/>
      <c r="E2509" s="525"/>
      <c r="F2509" s="525"/>
      <c r="G2509" s="526"/>
      <c r="K2509" s="3280"/>
      <c r="P2509" s="3041"/>
      <c r="X2509" s="3280"/>
      <c r="AA2509" s="3041"/>
      <c r="AF2509" s="3041"/>
      <c r="AN2509" s="3280"/>
      <c r="AZ2509" s="3041"/>
      <c r="BD2509" s="3281"/>
      <c r="BH2509" s="3282"/>
      <c r="BJ2509" s="2589"/>
      <c r="BK2509" s="2126"/>
      <c r="BL2509" s="2126"/>
      <c r="BM2509" s="2126"/>
      <c r="BN2509" s="2126"/>
      <c r="BO2509" s="2126"/>
      <c r="BP2509" s="2126"/>
      <c r="BQ2509" s="2126"/>
      <c r="BR2509" s="2126"/>
      <c r="BS2509" s="2126"/>
    </row>
    <row r="2510" spans="1:71" s="3030" customFormat="1">
      <c r="A2510" s="2126"/>
      <c r="B2510" s="2126"/>
      <c r="C2510" s="2149"/>
      <c r="D2510" s="3248"/>
      <c r="E2510" s="525"/>
      <c r="F2510" s="525"/>
      <c r="G2510" s="526"/>
      <c r="K2510" s="3280"/>
      <c r="P2510" s="3041"/>
      <c r="X2510" s="3280"/>
      <c r="AA2510" s="3041"/>
      <c r="AF2510" s="3041"/>
      <c r="AN2510" s="3280"/>
      <c r="AZ2510" s="3041"/>
      <c r="BD2510" s="3281"/>
      <c r="BH2510" s="3282"/>
      <c r="BJ2510" s="2589"/>
      <c r="BK2510" s="2126"/>
      <c r="BL2510" s="2126"/>
      <c r="BM2510" s="2126"/>
      <c r="BN2510" s="2126"/>
      <c r="BO2510" s="2126"/>
      <c r="BP2510" s="2126"/>
      <c r="BQ2510" s="2126"/>
      <c r="BR2510" s="2126"/>
      <c r="BS2510" s="2126"/>
    </row>
    <row r="2511" spans="1:71" s="3030" customFormat="1">
      <c r="A2511" s="2126"/>
      <c r="B2511" s="2126"/>
      <c r="C2511" s="2149"/>
      <c r="D2511" s="3248"/>
      <c r="E2511" s="525"/>
      <c r="F2511" s="525"/>
      <c r="G2511" s="526"/>
      <c r="K2511" s="3280"/>
      <c r="P2511" s="3041"/>
      <c r="X2511" s="3280"/>
      <c r="AA2511" s="3041"/>
      <c r="AF2511" s="3041"/>
      <c r="AN2511" s="3280"/>
      <c r="AZ2511" s="3041"/>
      <c r="BD2511" s="3281"/>
      <c r="BH2511" s="3282"/>
      <c r="BJ2511" s="2589"/>
      <c r="BK2511" s="2126"/>
      <c r="BL2511" s="2126"/>
      <c r="BM2511" s="2126"/>
      <c r="BN2511" s="2126"/>
      <c r="BO2511" s="2126"/>
      <c r="BP2511" s="2126"/>
      <c r="BQ2511" s="2126"/>
      <c r="BR2511" s="2126"/>
      <c r="BS2511" s="2126"/>
    </row>
    <row r="2512" spans="1:71" s="3030" customFormat="1">
      <c r="A2512" s="2126"/>
      <c r="B2512" s="2126"/>
      <c r="C2512" s="2149"/>
      <c r="D2512" s="3248"/>
      <c r="E2512" s="525"/>
      <c r="F2512" s="525"/>
      <c r="G2512" s="526"/>
      <c r="K2512" s="3280"/>
      <c r="P2512" s="3041"/>
      <c r="X2512" s="3280"/>
      <c r="AA2512" s="3041"/>
      <c r="AF2512" s="3041"/>
      <c r="AN2512" s="3280"/>
      <c r="AZ2512" s="3041"/>
      <c r="BD2512" s="3281"/>
      <c r="BH2512" s="3282"/>
      <c r="BJ2512" s="2589"/>
      <c r="BK2512" s="2126"/>
      <c r="BL2512" s="2126"/>
      <c r="BM2512" s="2126"/>
      <c r="BN2512" s="2126"/>
      <c r="BO2512" s="2126"/>
      <c r="BP2512" s="2126"/>
      <c r="BQ2512" s="2126"/>
      <c r="BR2512" s="2126"/>
      <c r="BS2512" s="2126"/>
    </row>
    <row r="2513" spans="1:71" s="3030" customFormat="1">
      <c r="A2513" s="2126"/>
      <c r="B2513" s="2126"/>
      <c r="C2513" s="2149"/>
      <c r="D2513" s="3248"/>
      <c r="E2513" s="525"/>
      <c r="F2513" s="525"/>
      <c r="G2513" s="526"/>
      <c r="K2513" s="3280"/>
      <c r="P2513" s="3041"/>
      <c r="X2513" s="3280"/>
      <c r="AA2513" s="3041"/>
      <c r="AF2513" s="3041"/>
      <c r="AN2513" s="3280"/>
      <c r="AZ2513" s="3041"/>
      <c r="BD2513" s="3281"/>
      <c r="BH2513" s="3282"/>
      <c r="BJ2513" s="2589"/>
      <c r="BK2513" s="2126"/>
      <c r="BL2513" s="2126"/>
      <c r="BM2513" s="2126"/>
      <c r="BN2513" s="2126"/>
      <c r="BO2513" s="2126"/>
      <c r="BP2513" s="2126"/>
      <c r="BQ2513" s="2126"/>
      <c r="BR2513" s="2126"/>
      <c r="BS2513" s="2126"/>
    </row>
    <row r="2514" spans="1:71" s="3030" customFormat="1">
      <c r="A2514" s="2126"/>
      <c r="B2514" s="2126"/>
      <c r="C2514" s="2149"/>
      <c r="D2514" s="3248"/>
      <c r="E2514" s="525"/>
      <c r="F2514" s="525"/>
      <c r="G2514" s="526"/>
      <c r="K2514" s="3280"/>
      <c r="P2514" s="3041"/>
      <c r="X2514" s="3280"/>
      <c r="AA2514" s="3041"/>
      <c r="AF2514" s="3041"/>
      <c r="AN2514" s="3280"/>
      <c r="AZ2514" s="3041"/>
      <c r="BD2514" s="3281"/>
      <c r="BH2514" s="3282"/>
      <c r="BJ2514" s="2589"/>
      <c r="BK2514" s="2126"/>
      <c r="BL2514" s="2126"/>
      <c r="BM2514" s="2126"/>
      <c r="BN2514" s="2126"/>
      <c r="BO2514" s="2126"/>
      <c r="BP2514" s="2126"/>
      <c r="BQ2514" s="2126"/>
      <c r="BR2514" s="2126"/>
      <c r="BS2514" s="2126"/>
    </row>
    <row r="2515" spans="1:71" s="3030" customFormat="1">
      <c r="A2515" s="2126"/>
      <c r="B2515" s="2126"/>
      <c r="C2515" s="2149"/>
      <c r="D2515" s="3248"/>
      <c r="E2515" s="525"/>
      <c r="F2515" s="525"/>
      <c r="G2515" s="526"/>
      <c r="K2515" s="3280"/>
      <c r="P2515" s="3041"/>
      <c r="X2515" s="3280"/>
      <c r="AA2515" s="3041"/>
      <c r="AF2515" s="3041"/>
      <c r="AN2515" s="3280"/>
      <c r="AZ2515" s="3041"/>
      <c r="BD2515" s="3281"/>
      <c r="BH2515" s="3282"/>
      <c r="BJ2515" s="2589"/>
      <c r="BK2515" s="2126"/>
      <c r="BL2515" s="2126"/>
      <c r="BM2515" s="2126"/>
      <c r="BN2515" s="2126"/>
      <c r="BO2515" s="2126"/>
      <c r="BP2515" s="2126"/>
      <c r="BQ2515" s="2126"/>
      <c r="BR2515" s="2126"/>
      <c r="BS2515" s="2126"/>
    </row>
    <row r="2516" spans="1:71" s="3030" customFormat="1">
      <c r="A2516" s="2126"/>
      <c r="B2516" s="2126"/>
      <c r="C2516" s="2149"/>
      <c r="D2516" s="3248"/>
      <c r="E2516" s="525"/>
      <c r="F2516" s="525"/>
      <c r="G2516" s="526"/>
      <c r="K2516" s="3280"/>
      <c r="P2516" s="3041"/>
      <c r="X2516" s="3280"/>
      <c r="AA2516" s="3041"/>
      <c r="AF2516" s="3041"/>
      <c r="AN2516" s="3280"/>
      <c r="AZ2516" s="3041"/>
      <c r="BD2516" s="3281"/>
      <c r="BH2516" s="3282"/>
      <c r="BJ2516" s="2589"/>
      <c r="BK2516" s="2126"/>
      <c r="BL2516" s="2126"/>
      <c r="BM2516" s="2126"/>
      <c r="BN2516" s="2126"/>
      <c r="BO2516" s="2126"/>
      <c r="BP2516" s="2126"/>
      <c r="BQ2516" s="2126"/>
      <c r="BR2516" s="2126"/>
      <c r="BS2516" s="2126"/>
    </row>
    <row r="2517" spans="1:71" s="3030" customFormat="1">
      <c r="A2517" s="2126"/>
      <c r="B2517" s="2126"/>
      <c r="C2517" s="2149"/>
      <c r="D2517" s="3248"/>
      <c r="E2517" s="525"/>
      <c r="F2517" s="525"/>
      <c r="G2517" s="526"/>
      <c r="K2517" s="3280"/>
      <c r="P2517" s="3041"/>
      <c r="X2517" s="3280"/>
      <c r="AA2517" s="3041"/>
      <c r="AF2517" s="3041"/>
      <c r="AN2517" s="3280"/>
      <c r="AZ2517" s="3041"/>
      <c r="BD2517" s="3281"/>
      <c r="BH2517" s="3282"/>
      <c r="BJ2517" s="2589"/>
      <c r="BK2517" s="2126"/>
      <c r="BL2517" s="2126"/>
      <c r="BM2517" s="2126"/>
      <c r="BN2517" s="2126"/>
      <c r="BO2517" s="2126"/>
      <c r="BP2517" s="2126"/>
      <c r="BQ2517" s="2126"/>
      <c r="BR2517" s="2126"/>
      <c r="BS2517" s="2126"/>
    </row>
    <row r="2518" spans="1:71" s="3030" customFormat="1">
      <c r="A2518" s="2126"/>
      <c r="B2518" s="2126"/>
      <c r="C2518" s="2149"/>
      <c r="D2518" s="3248"/>
      <c r="E2518" s="525"/>
      <c r="F2518" s="525"/>
      <c r="G2518" s="526"/>
      <c r="K2518" s="3280"/>
      <c r="P2518" s="3041"/>
      <c r="X2518" s="3280"/>
      <c r="AA2518" s="3041"/>
      <c r="AF2518" s="3041"/>
      <c r="AN2518" s="3280"/>
      <c r="AZ2518" s="3041"/>
      <c r="BD2518" s="3281"/>
      <c r="BH2518" s="3282"/>
      <c r="BJ2518" s="2589"/>
      <c r="BK2518" s="2126"/>
      <c r="BL2518" s="2126"/>
      <c r="BM2518" s="2126"/>
      <c r="BN2518" s="2126"/>
      <c r="BO2518" s="2126"/>
      <c r="BP2518" s="2126"/>
      <c r="BQ2518" s="2126"/>
      <c r="BR2518" s="2126"/>
      <c r="BS2518" s="2126"/>
    </row>
    <row r="2519" spans="1:71" s="3030" customFormat="1">
      <c r="A2519" s="2126"/>
      <c r="B2519" s="2126"/>
      <c r="C2519" s="2149"/>
      <c r="D2519" s="3248"/>
      <c r="E2519" s="525"/>
      <c r="F2519" s="525"/>
      <c r="G2519" s="526"/>
      <c r="K2519" s="3280"/>
      <c r="P2519" s="3041"/>
      <c r="X2519" s="3280"/>
      <c r="AA2519" s="3041"/>
      <c r="AF2519" s="3041"/>
      <c r="AN2519" s="3280"/>
      <c r="AZ2519" s="3041"/>
      <c r="BD2519" s="3281"/>
      <c r="BH2519" s="3282"/>
      <c r="BJ2519" s="2589"/>
      <c r="BK2519" s="2126"/>
      <c r="BL2519" s="2126"/>
      <c r="BM2519" s="2126"/>
      <c r="BN2519" s="2126"/>
      <c r="BO2519" s="2126"/>
      <c r="BP2519" s="2126"/>
      <c r="BQ2519" s="2126"/>
      <c r="BR2519" s="2126"/>
      <c r="BS2519" s="2126"/>
    </row>
    <row r="2520" spans="1:71" s="3030" customFormat="1">
      <c r="A2520" s="2126"/>
      <c r="B2520" s="2126"/>
      <c r="C2520" s="2149"/>
      <c r="D2520" s="3248"/>
      <c r="E2520" s="525"/>
      <c r="F2520" s="525"/>
      <c r="G2520" s="526"/>
      <c r="K2520" s="3280"/>
      <c r="P2520" s="3041"/>
      <c r="X2520" s="3280"/>
      <c r="AA2520" s="3041"/>
      <c r="AF2520" s="3041"/>
      <c r="AN2520" s="3280"/>
      <c r="AZ2520" s="3041"/>
      <c r="BD2520" s="3281"/>
      <c r="BH2520" s="3282"/>
      <c r="BJ2520" s="2589"/>
      <c r="BK2520" s="2126"/>
      <c r="BL2520" s="2126"/>
      <c r="BM2520" s="2126"/>
      <c r="BN2520" s="2126"/>
      <c r="BO2520" s="2126"/>
      <c r="BP2520" s="2126"/>
      <c r="BQ2520" s="2126"/>
      <c r="BR2520" s="2126"/>
      <c r="BS2520" s="2126"/>
    </row>
    <row r="2521" spans="1:71" s="3030" customFormat="1">
      <c r="A2521" s="2126"/>
      <c r="B2521" s="2126"/>
      <c r="C2521" s="2149"/>
      <c r="D2521" s="3248"/>
      <c r="E2521" s="525"/>
      <c r="F2521" s="525"/>
      <c r="G2521" s="526"/>
      <c r="K2521" s="3280"/>
      <c r="P2521" s="3041"/>
      <c r="X2521" s="3280"/>
      <c r="AA2521" s="3041"/>
      <c r="AF2521" s="3041"/>
      <c r="AN2521" s="3280"/>
      <c r="AZ2521" s="3041"/>
      <c r="BD2521" s="3281"/>
      <c r="BH2521" s="3282"/>
      <c r="BJ2521" s="2589"/>
      <c r="BK2521" s="2126"/>
      <c r="BL2521" s="2126"/>
      <c r="BM2521" s="2126"/>
      <c r="BN2521" s="2126"/>
      <c r="BO2521" s="2126"/>
      <c r="BP2521" s="2126"/>
      <c r="BQ2521" s="2126"/>
      <c r="BR2521" s="2126"/>
      <c r="BS2521" s="2126"/>
    </row>
    <row r="2522" spans="1:71" s="3030" customFormat="1">
      <c r="A2522" s="2126"/>
      <c r="B2522" s="2126"/>
      <c r="C2522" s="2149"/>
      <c r="D2522" s="3248"/>
      <c r="E2522" s="525"/>
      <c r="F2522" s="525"/>
      <c r="G2522" s="526"/>
      <c r="K2522" s="3280"/>
      <c r="P2522" s="3041"/>
      <c r="X2522" s="3280"/>
      <c r="AA2522" s="3041"/>
      <c r="AF2522" s="3041"/>
      <c r="AN2522" s="3280"/>
      <c r="AZ2522" s="3041"/>
      <c r="BD2522" s="3281"/>
      <c r="BH2522" s="3282"/>
      <c r="BJ2522" s="2589"/>
      <c r="BK2522" s="2126"/>
      <c r="BL2522" s="2126"/>
      <c r="BM2522" s="2126"/>
      <c r="BN2522" s="2126"/>
      <c r="BO2522" s="2126"/>
      <c r="BP2522" s="2126"/>
      <c r="BQ2522" s="2126"/>
      <c r="BR2522" s="2126"/>
      <c r="BS2522" s="2126"/>
    </row>
    <row r="2523" spans="1:71" s="3030" customFormat="1">
      <c r="A2523" s="2126"/>
      <c r="B2523" s="2126"/>
      <c r="C2523" s="2149"/>
      <c r="D2523" s="3248"/>
      <c r="E2523" s="525"/>
      <c r="F2523" s="525"/>
      <c r="G2523" s="526"/>
      <c r="K2523" s="3280"/>
      <c r="P2523" s="3041"/>
      <c r="X2523" s="3280"/>
      <c r="AA2523" s="3041"/>
      <c r="AF2523" s="3041"/>
      <c r="AN2523" s="3280"/>
      <c r="AZ2523" s="3041"/>
      <c r="BD2523" s="3281"/>
      <c r="BH2523" s="3282"/>
      <c r="BJ2523" s="2589"/>
      <c r="BK2523" s="2126"/>
      <c r="BL2523" s="2126"/>
      <c r="BM2523" s="2126"/>
      <c r="BN2523" s="2126"/>
      <c r="BO2523" s="2126"/>
      <c r="BP2523" s="2126"/>
      <c r="BQ2523" s="2126"/>
      <c r="BR2523" s="2126"/>
      <c r="BS2523" s="2126"/>
    </row>
    <row r="2524" spans="1:71" s="3030" customFormat="1">
      <c r="A2524" s="2126"/>
      <c r="B2524" s="2126"/>
      <c r="C2524" s="2149"/>
      <c r="D2524" s="3248"/>
      <c r="E2524" s="525"/>
      <c r="F2524" s="525"/>
      <c r="G2524" s="526"/>
      <c r="K2524" s="3280"/>
      <c r="P2524" s="3041"/>
      <c r="X2524" s="3280"/>
      <c r="AA2524" s="3041"/>
      <c r="AF2524" s="3041"/>
      <c r="AN2524" s="3280"/>
      <c r="AZ2524" s="3041"/>
      <c r="BD2524" s="3281"/>
      <c r="BH2524" s="3282"/>
      <c r="BJ2524" s="2589"/>
      <c r="BK2524" s="2126"/>
      <c r="BL2524" s="2126"/>
      <c r="BM2524" s="2126"/>
      <c r="BN2524" s="2126"/>
      <c r="BO2524" s="2126"/>
      <c r="BP2524" s="2126"/>
      <c r="BQ2524" s="2126"/>
      <c r="BR2524" s="2126"/>
      <c r="BS2524" s="2126"/>
    </row>
    <row r="2525" spans="1:71" s="3030" customFormat="1">
      <c r="A2525" s="2126"/>
      <c r="B2525" s="2126"/>
      <c r="C2525" s="2149"/>
      <c r="D2525" s="3248"/>
      <c r="E2525" s="525"/>
      <c r="F2525" s="525"/>
      <c r="G2525" s="526"/>
      <c r="K2525" s="3280"/>
      <c r="P2525" s="3041"/>
      <c r="X2525" s="3280"/>
      <c r="AA2525" s="3041"/>
      <c r="AF2525" s="3041"/>
      <c r="AN2525" s="3280"/>
      <c r="AZ2525" s="3041"/>
      <c r="BD2525" s="3281"/>
      <c r="BH2525" s="3282"/>
      <c r="BJ2525" s="2589"/>
      <c r="BK2525" s="2126"/>
      <c r="BL2525" s="2126"/>
      <c r="BM2525" s="2126"/>
      <c r="BN2525" s="2126"/>
      <c r="BO2525" s="2126"/>
      <c r="BP2525" s="2126"/>
      <c r="BQ2525" s="2126"/>
      <c r="BR2525" s="2126"/>
      <c r="BS2525" s="2126"/>
    </row>
    <row r="2526" spans="1:71" s="3030" customFormat="1">
      <c r="A2526" s="2126"/>
      <c r="B2526" s="2126"/>
      <c r="C2526" s="2149"/>
      <c r="D2526" s="3248"/>
      <c r="E2526" s="525"/>
      <c r="F2526" s="525"/>
      <c r="G2526" s="526"/>
      <c r="K2526" s="3280"/>
      <c r="P2526" s="3041"/>
      <c r="X2526" s="3280"/>
      <c r="AA2526" s="3041"/>
      <c r="AF2526" s="3041"/>
      <c r="AN2526" s="3280"/>
      <c r="AZ2526" s="3041"/>
      <c r="BD2526" s="3281"/>
      <c r="BH2526" s="3282"/>
      <c r="BJ2526" s="2589"/>
      <c r="BK2526" s="2126"/>
      <c r="BL2526" s="2126"/>
      <c r="BM2526" s="2126"/>
      <c r="BN2526" s="2126"/>
      <c r="BO2526" s="2126"/>
      <c r="BP2526" s="2126"/>
      <c r="BQ2526" s="2126"/>
      <c r="BR2526" s="2126"/>
      <c r="BS2526" s="2126"/>
    </row>
    <row r="2527" spans="1:71" s="3030" customFormat="1">
      <c r="A2527" s="2126"/>
      <c r="B2527" s="2126"/>
      <c r="C2527" s="2149"/>
      <c r="D2527" s="3248"/>
      <c r="E2527" s="525"/>
      <c r="F2527" s="525"/>
      <c r="G2527" s="526"/>
      <c r="K2527" s="3280"/>
      <c r="P2527" s="3041"/>
      <c r="X2527" s="3280"/>
      <c r="AA2527" s="3041"/>
      <c r="AF2527" s="3041"/>
      <c r="AN2527" s="3280"/>
      <c r="AZ2527" s="3041"/>
      <c r="BD2527" s="3281"/>
      <c r="BH2527" s="3282"/>
      <c r="BJ2527" s="2589"/>
      <c r="BK2527" s="2126"/>
      <c r="BL2527" s="2126"/>
      <c r="BM2527" s="2126"/>
      <c r="BN2527" s="2126"/>
      <c r="BO2527" s="2126"/>
      <c r="BP2527" s="2126"/>
      <c r="BQ2527" s="2126"/>
      <c r="BR2527" s="2126"/>
      <c r="BS2527" s="2126"/>
    </row>
    <row r="2528" spans="1:71" s="3030" customFormat="1">
      <c r="A2528" s="2126"/>
      <c r="B2528" s="2126"/>
      <c r="C2528" s="2149"/>
      <c r="D2528" s="3248"/>
      <c r="E2528" s="525"/>
      <c r="F2528" s="525"/>
      <c r="G2528" s="526"/>
      <c r="K2528" s="3280"/>
      <c r="P2528" s="3041"/>
      <c r="X2528" s="3280"/>
      <c r="AA2528" s="3041"/>
      <c r="AF2528" s="3041"/>
      <c r="AN2528" s="3280"/>
      <c r="AZ2528" s="3041"/>
      <c r="BD2528" s="3281"/>
      <c r="BH2528" s="3282"/>
      <c r="BJ2528" s="2589"/>
      <c r="BK2528" s="2126"/>
      <c r="BL2528" s="2126"/>
      <c r="BM2528" s="2126"/>
      <c r="BN2528" s="2126"/>
      <c r="BO2528" s="2126"/>
      <c r="BP2528" s="2126"/>
      <c r="BQ2528" s="2126"/>
      <c r="BR2528" s="2126"/>
      <c r="BS2528" s="2126"/>
    </row>
    <row r="2529" spans="1:71" s="3030" customFormat="1">
      <c r="A2529" s="2126"/>
      <c r="B2529" s="2126"/>
      <c r="C2529" s="2149"/>
      <c r="D2529" s="3248"/>
      <c r="E2529" s="525"/>
      <c r="F2529" s="525"/>
      <c r="G2529" s="526"/>
      <c r="K2529" s="3280"/>
      <c r="P2529" s="3041"/>
      <c r="X2529" s="3280"/>
      <c r="AA2529" s="3041"/>
      <c r="AF2529" s="3041"/>
      <c r="AN2529" s="3280"/>
      <c r="AZ2529" s="3041"/>
      <c r="BD2529" s="3281"/>
      <c r="BH2529" s="3282"/>
      <c r="BJ2529" s="2589"/>
      <c r="BK2529" s="2126"/>
      <c r="BL2529" s="2126"/>
      <c r="BM2529" s="2126"/>
      <c r="BN2529" s="2126"/>
      <c r="BO2529" s="2126"/>
      <c r="BP2529" s="2126"/>
      <c r="BQ2529" s="2126"/>
      <c r="BR2529" s="2126"/>
      <c r="BS2529" s="2126"/>
    </row>
    <row r="2530" spans="1:71" s="3030" customFormat="1">
      <c r="A2530" s="2126"/>
      <c r="B2530" s="2126"/>
      <c r="C2530" s="2149"/>
      <c r="D2530" s="3248"/>
      <c r="E2530" s="525"/>
      <c r="F2530" s="525"/>
      <c r="G2530" s="526"/>
      <c r="K2530" s="3280"/>
      <c r="P2530" s="3041"/>
      <c r="X2530" s="3280"/>
      <c r="AA2530" s="3041"/>
      <c r="AF2530" s="3041"/>
      <c r="AN2530" s="3280"/>
      <c r="AZ2530" s="3041"/>
      <c r="BD2530" s="3281"/>
      <c r="BH2530" s="3282"/>
      <c r="BJ2530" s="2589"/>
      <c r="BK2530" s="2126"/>
      <c r="BL2530" s="2126"/>
      <c r="BM2530" s="2126"/>
      <c r="BN2530" s="2126"/>
      <c r="BO2530" s="2126"/>
      <c r="BP2530" s="2126"/>
      <c r="BQ2530" s="2126"/>
      <c r="BR2530" s="2126"/>
      <c r="BS2530" s="2126"/>
    </row>
    <row r="2531" spans="1:71" s="3030" customFormat="1">
      <c r="A2531" s="2126"/>
      <c r="B2531" s="2126"/>
      <c r="C2531" s="2149"/>
      <c r="D2531" s="3248"/>
      <c r="E2531" s="525"/>
      <c r="F2531" s="525"/>
      <c r="G2531" s="526"/>
      <c r="K2531" s="3280"/>
      <c r="P2531" s="3041"/>
      <c r="X2531" s="3280"/>
      <c r="AA2531" s="3041"/>
      <c r="AF2531" s="3041"/>
      <c r="AN2531" s="3280"/>
      <c r="AZ2531" s="3041"/>
      <c r="BD2531" s="3281"/>
      <c r="BH2531" s="3282"/>
      <c r="BJ2531" s="2589"/>
      <c r="BK2531" s="2126"/>
      <c r="BL2531" s="2126"/>
      <c r="BM2531" s="2126"/>
      <c r="BN2531" s="2126"/>
      <c r="BO2531" s="2126"/>
      <c r="BP2531" s="2126"/>
      <c r="BQ2531" s="2126"/>
      <c r="BR2531" s="2126"/>
      <c r="BS2531" s="2126"/>
    </row>
    <row r="2532" spans="1:71" s="3030" customFormat="1">
      <c r="A2532" s="2126"/>
      <c r="B2532" s="2126"/>
      <c r="C2532" s="2149"/>
      <c r="D2532" s="3248"/>
      <c r="E2532" s="525"/>
      <c r="F2532" s="525"/>
      <c r="G2532" s="526"/>
      <c r="K2532" s="3280"/>
      <c r="P2532" s="3041"/>
      <c r="X2532" s="3280"/>
      <c r="AA2532" s="3041"/>
      <c r="AF2532" s="3041"/>
      <c r="AN2532" s="3280"/>
      <c r="AZ2532" s="3041"/>
      <c r="BD2532" s="3281"/>
      <c r="BH2532" s="3282"/>
      <c r="BJ2532" s="2589"/>
      <c r="BK2532" s="2126"/>
      <c r="BL2532" s="2126"/>
      <c r="BM2532" s="2126"/>
      <c r="BN2532" s="2126"/>
      <c r="BO2532" s="2126"/>
      <c r="BP2532" s="2126"/>
      <c r="BQ2532" s="2126"/>
      <c r="BR2532" s="2126"/>
      <c r="BS2532" s="2126"/>
    </row>
    <row r="2533" spans="1:71" s="3030" customFormat="1">
      <c r="A2533" s="2126"/>
      <c r="B2533" s="2126"/>
      <c r="C2533" s="2149"/>
      <c r="D2533" s="3248"/>
      <c r="E2533" s="525"/>
      <c r="F2533" s="525"/>
      <c r="G2533" s="526"/>
      <c r="K2533" s="3280"/>
      <c r="P2533" s="3041"/>
      <c r="X2533" s="3280"/>
      <c r="AA2533" s="3041"/>
      <c r="AF2533" s="3041"/>
      <c r="AN2533" s="3280"/>
      <c r="AZ2533" s="3041"/>
      <c r="BD2533" s="3281"/>
      <c r="BH2533" s="3282"/>
      <c r="BJ2533" s="2589"/>
      <c r="BK2533" s="2126"/>
      <c r="BL2533" s="2126"/>
      <c r="BM2533" s="2126"/>
      <c r="BN2533" s="2126"/>
      <c r="BO2533" s="2126"/>
      <c r="BP2533" s="2126"/>
      <c r="BQ2533" s="2126"/>
      <c r="BR2533" s="2126"/>
      <c r="BS2533" s="2126"/>
    </row>
    <row r="2534" spans="1:71" s="3030" customFormat="1">
      <c r="A2534" s="2126"/>
      <c r="B2534" s="2126"/>
      <c r="C2534" s="2149"/>
      <c r="D2534" s="3248"/>
      <c r="E2534" s="525"/>
      <c r="F2534" s="525"/>
      <c r="G2534" s="526"/>
      <c r="K2534" s="3280"/>
      <c r="P2534" s="3041"/>
      <c r="X2534" s="3280"/>
      <c r="AA2534" s="3041"/>
      <c r="AF2534" s="3041"/>
      <c r="AN2534" s="3280"/>
      <c r="AZ2534" s="3041"/>
      <c r="BD2534" s="3281"/>
      <c r="BH2534" s="3282"/>
      <c r="BJ2534" s="2589"/>
      <c r="BK2534" s="2126"/>
      <c r="BL2534" s="2126"/>
      <c r="BM2534" s="2126"/>
      <c r="BN2534" s="2126"/>
      <c r="BO2534" s="2126"/>
      <c r="BP2534" s="2126"/>
      <c r="BQ2534" s="2126"/>
      <c r="BR2534" s="2126"/>
      <c r="BS2534" s="2126"/>
    </row>
    <row r="2535" spans="1:71" s="3030" customFormat="1">
      <c r="A2535" s="2126"/>
      <c r="B2535" s="2126"/>
      <c r="C2535" s="2149"/>
      <c r="D2535" s="3248"/>
      <c r="E2535" s="525"/>
      <c r="F2535" s="525"/>
      <c r="G2535" s="526"/>
      <c r="K2535" s="3280"/>
      <c r="P2535" s="3041"/>
      <c r="X2535" s="3280"/>
      <c r="AA2535" s="3041"/>
      <c r="AF2535" s="3041"/>
      <c r="AN2535" s="3280"/>
      <c r="AZ2535" s="3041"/>
      <c r="BD2535" s="3281"/>
      <c r="BH2535" s="3282"/>
      <c r="BJ2535" s="2589"/>
      <c r="BK2535" s="2126"/>
      <c r="BL2535" s="2126"/>
      <c r="BM2535" s="2126"/>
      <c r="BN2535" s="2126"/>
      <c r="BO2535" s="2126"/>
      <c r="BP2535" s="2126"/>
      <c r="BQ2535" s="2126"/>
      <c r="BR2535" s="2126"/>
      <c r="BS2535" s="2126"/>
    </row>
    <row r="2536" spans="1:71" s="3030" customFormat="1">
      <c r="A2536" s="2126"/>
      <c r="B2536" s="2126"/>
      <c r="C2536" s="2149"/>
      <c r="D2536" s="3248"/>
      <c r="E2536" s="525"/>
      <c r="F2536" s="525"/>
      <c r="G2536" s="526"/>
      <c r="K2536" s="3280"/>
      <c r="P2536" s="3041"/>
      <c r="X2536" s="3280"/>
      <c r="AA2536" s="3041"/>
      <c r="AF2536" s="3041"/>
      <c r="AN2536" s="3280"/>
      <c r="AZ2536" s="3041"/>
      <c r="BD2536" s="3281"/>
      <c r="BH2536" s="3282"/>
      <c r="BJ2536" s="2589"/>
      <c r="BK2536" s="2126"/>
      <c r="BL2536" s="2126"/>
      <c r="BM2536" s="2126"/>
      <c r="BN2536" s="2126"/>
      <c r="BO2536" s="2126"/>
      <c r="BP2536" s="2126"/>
      <c r="BQ2536" s="2126"/>
      <c r="BR2536" s="2126"/>
      <c r="BS2536" s="2126"/>
    </row>
    <row r="2537" spans="1:71" s="3030" customFormat="1">
      <c r="A2537" s="2126"/>
      <c r="B2537" s="2126"/>
      <c r="C2537" s="2149"/>
      <c r="D2537" s="3248"/>
      <c r="E2537" s="525"/>
      <c r="F2537" s="525"/>
      <c r="G2537" s="526"/>
      <c r="K2537" s="3280"/>
      <c r="P2537" s="3041"/>
      <c r="X2537" s="3280"/>
      <c r="AA2537" s="3041"/>
      <c r="AF2537" s="3041"/>
      <c r="AN2537" s="3280"/>
      <c r="AZ2537" s="3041"/>
      <c r="BD2537" s="3281"/>
      <c r="BH2537" s="3282"/>
      <c r="BJ2537" s="2589"/>
      <c r="BK2537" s="2126"/>
      <c r="BL2537" s="2126"/>
      <c r="BM2537" s="2126"/>
      <c r="BN2537" s="2126"/>
      <c r="BO2537" s="2126"/>
      <c r="BP2537" s="2126"/>
      <c r="BQ2537" s="2126"/>
      <c r="BR2537" s="2126"/>
      <c r="BS2537" s="2126"/>
    </row>
    <row r="2538" spans="1:71" s="3030" customFormat="1">
      <c r="A2538" s="2126"/>
      <c r="B2538" s="2126"/>
      <c r="C2538" s="2149"/>
      <c r="D2538" s="3248"/>
      <c r="E2538" s="525"/>
      <c r="F2538" s="525"/>
      <c r="G2538" s="526"/>
      <c r="K2538" s="3280"/>
      <c r="P2538" s="3041"/>
      <c r="X2538" s="3280"/>
      <c r="AA2538" s="3041"/>
      <c r="AF2538" s="3041"/>
      <c r="AN2538" s="3280"/>
      <c r="AZ2538" s="3041"/>
      <c r="BD2538" s="3281"/>
      <c r="BH2538" s="3282"/>
      <c r="BJ2538" s="2589"/>
      <c r="BK2538" s="2126"/>
      <c r="BL2538" s="2126"/>
      <c r="BM2538" s="2126"/>
      <c r="BN2538" s="2126"/>
      <c r="BO2538" s="2126"/>
      <c r="BP2538" s="2126"/>
      <c r="BQ2538" s="2126"/>
      <c r="BR2538" s="2126"/>
      <c r="BS2538" s="2126"/>
    </row>
    <row r="2539" spans="1:71" s="3030" customFormat="1">
      <c r="A2539" s="2126"/>
      <c r="B2539" s="2126"/>
      <c r="C2539" s="2149"/>
      <c r="D2539" s="3248"/>
      <c r="E2539" s="525"/>
      <c r="F2539" s="525"/>
      <c r="G2539" s="526"/>
      <c r="K2539" s="3280"/>
      <c r="P2539" s="3041"/>
      <c r="X2539" s="3280"/>
      <c r="AA2539" s="3041"/>
      <c r="AF2539" s="3041"/>
      <c r="AN2539" s="3280"/>
      <c r="AZ2539" s="3041"/>
      <c r="BD2539" s="3281"/>
      <c r="BH2539" s="3282"/>
      <c r="BJ2539" s="2589"/>
      <c r="BK2539" s="2126"/>
      <c r="BL2539" s="2126"/>
      <c r="BM2539" s="2126"/>
      <c r="BN2539" s="2126"/>
      <c r="BO2539" s="2126"/>
      <c r="BP2539" s="2126"/>
      <c r="BQ2539" s="2126"/>
      <c r="BR2539" s="2126"/>
      <c r="BS2539" s="2126"/>
    </row>
    <row r="2540" spans="1:71" s="3030" customFormat="1">
      <c r="A2540" s="2126"/>
      <c r="B2540" s="2126"/>
      <c r="C2540" s="2149"/>
      <c r="D2540" s="3248"/>
      <c r="E2540" s="525"/>
      <c r="F2540" s="525"/>
      <c r="G2540" s="526"/>
      <c r="K2540" s="3280"/>
      <c r="P2540" s="3041"/>
      <c r="X2540" s="3280"/>
      <c r="AA2540" s="3041"/>
      <c r="AF2540" s="3041"/>
      <c r="AN2540" s="3280"/>
      <c r="AZ2540" s="3041"/>
      <c r="BD2540" s="3281"/>
      <c r="BH2540" s="3282"/>
      <c r="BJ2540" s="2589"/>
      <c r="BK2540" s="2126"/>
      <c r="BL2540" s="2126"/>
      <c r="BM2540" s="2126"/>
      <c r="BN2540" s="2126"/>
      <c r="BO2540" s="2126"/>
      <c r="BP2540" s="2126"/>
      <c r="BQ2540" s="2126"/>
      <c r="BR2540" s="2126"/>
      <c r="BS2540" s="2126"/>
    </row>
    <row r="2541" spans="1:71" s="3030" customFormat="1">
      <c r="A2541" s="2126"/>
      <c r="B2541" s="2126"/>
      <c r="C2541" s="2149"/>
      <c r="D2541" s="3248"/>
      <c r="E2541" s="525"/>
      <c r="F2541" s="525"/>
      <c r="G2541" s="526"/>
      <c r="K2541" s="3280"/>
      <c r="P2541" s="3041"/>
      <c r="X2541" s="3280"/>
      <c r="AA2541" s="3041"/>
      <c r="AF2541" s="3041"/>
      <c r="AN2541" s="3280"/>
      <c r="AZ2541" s="3041"/>
      <c r="BD2541" s="3281"/>
      <c r="BH2541" s="3282"/>
      <c r="BJ2541" s="2589"/>
      <c r="BK2541" s="2126"/>
      <c r="BL2541" s="2126"/>
      <c r="BM2541" s="2126"/>
      <c r="BN2541" s="2126"/>
      <c r="BO2541" s="2126"/>
      <c r="BP2541" s="2126"/>
      <c r="BQ2541" s="2126"/>
      <c r="BR2541" s="2126"/>
      <c r="BS2541" s="2126"/>
    </row>
    <row r="2542" spans="1:71" s="3030" customFormat="1">
      <c r="A2542" s="2126"/>
      <c r="B2542" s="2126"/>
      <c r="C2542" s="2149"/>
      <c r="D2542" s="3248"/>
      <c r="E2542" s="525"/>
      <c r="F2542" s="525"/>
      <c r="G2542" s="526"/>
      <c r="K2542" s="3280"/>
      <c r="P2542" s="3041"/>
      <c r="X2542" s="3280"/>
      <c r="AA2542" s="3041"/>
      <c r="AF2542" s="3041"/>
      <c r="AN2542" s="3280"/>
      <c r="AZ2542" s="3041"/>
      <c r="BD2542" s="3281"/>
      <c r="BH2542" s="3282"/>
      <c r="BJ2542" s="2589"/>
      <c r="BK2542" s="2126"/>
      <c r="BL2542" s="2126"/>
      <c r="BM2542" s="2126"/>
      <c r="BN2542" s="2126"/>
      <c r="BO2542" s="2126"/>
      <c r="BP2542" s="2126"/>
      <c r="BQ2542" s="2126"/>
      <c r="BR2542" s="2126"/>
      <c r="BS2542" s="2126"/>
    </row>
    <row r="2543" spans="1:71" s="3030" customFormat="1">
      <c r="A2543" s="2126"/>
      <c r="B2543" s="2126"/>
      <c r="C2543" s="2149"/>
      <c r="D2543" s="3248"/>
      <c r="E2543" s="525"/>
      <c r="F2543" s="525"/>
      <c r="G2543" s="526"/>
      <c r="K2543" s="3280"/>
      <c r="P2543" s="3041"/>
      <c r="X2543" s="3280"/>
      <c r="AA2543" s="3041"/>
      <c r="AF2543" s="3041"/>
      <c r="AN2543" s="3280"/>
      <c r="AZ2543" s="3041"/>
      <c r="BD2543" s="3281"/>
      <c r="BH2543" s="3282"/>
      <c r="BJ2543" s="2589"/>
      <c r="BK2543" s="2126"/>
      <c r="BL2543" s="2126"/>
      <c r="BM2543" s="2126"/>
      <c r="BN2543" s="2126"/>
      <c r="BO2543" s="2126"/>
      <c r="BP2543" s="2126"/>
      <c r="BQ2543" s="2126"/>
      <c r="BR2543" s="2126"/>
      <c r="BS2543" s="2126"/>
    </row>
    <row r="2544" spans="1:71" s="3030" customFormat="1">
      <c r="A2544" s="2126"/>
      <c r="B2544" s="2126"/>
      <c r="C2544" s="2149"/>
      <c r="D2544" s="3248"/>
      <c r="E2544" s="525"/>
      <c r="F2544" s="525"/>
      <c r="G2544" s="526"/>
      <c r="K2544" s="3280"/>
      <c r="P2544" s="3041"/>
      <c r="X2544" s="3280"/>
      <c r="AA2544" s="3041"/>
      <c r="AF2544" s="3041"/>
      <c r="AN2544" s="3280"/>
      <c r="AZ2544" s="3041"/>
      <c r="BD2544" s="3281"/>
      <c r="BH2544" s="3282"/>
      <c r="BJ2544" s="2589"/>
      <c r="BK2544" s="2126"/>
      <c r="BL2544" s="2126"/>
      <c r="BM2544" s="2126"/>
      <c r="BN2544" s="2126"/>
      <c r="BO2544" s="2126"/>
      <c r="BP2544" s="2126"/>
      <c r="BQ2544" s="2126"/>
      <c r="BR2544" s="2126"/>
      <c r="BS2544" s="2126"/>
    </row>
    <row r="2545" spans="1:71" s="3030" customFormat="1">
      <c r="A2545" s="2126"/>
      <c r="B2545" s="2126"/>
      <c r="C2545" s="2149"/>
      <c r="D2545" s="3248"/>
      <c r="E2545" s="525"/>
      <c r="F2545" s="525"/>
      <c r="G2545" s="526"/>
      <c r="K2545" s="3280"/>
      <c r="P2545" s="3041"/>
      <c r="X2545" s="3280"/>
      <c r="AA2545" s="3041"/>
      <c r="AF2545" s="3041"/>
      <c r="AN2545" s="3280"/>
      <c r="AZ2545" s="3041"/>
      <c r="BD2545" s="3281"/>
      <c r="BH2545" s="3282"/>
      <c r="BJ2545" s="2589"/>
      <c r="BK2545" s="2126"/>
      <c r="BL2545" s="2126"/>
      <c r="BM2545" s="2126"/>
      <c r="BN2545" s="2126"/>
      <c r="BO2545" s="2126"/>
      <c r="BP2545" s="2126"/>
      <c r="BQ2545" s="2126"/>
      <c r="BR2545" s="2126"/>
      <c r="BS2545" s="2126"/>
    </row>
    <row r="2546" spans="1:71" s="3030" customFormat="1">
      <c r="A2546" s="2126"/>
      <c r="B2546" s="2126"/>
      <c r="C2546" s="2149"/>
      <c r="D2546" s="3248"/>
      <c r="E2546" s="525"/>
      <c r="F2546" s="525"/>
      <c r="G2546" s="526"/>
      <c r="K2546" s="3280"/>
      <c r="P2546" s="3041"/>
      <c r="X2546" s="3280"/>
      <c r="AA2546" s="3041"/>
      <c r="AF2546" s="3041"/>
      <c r="AN2546" s="3280"/>
      <c r="AZ2546" s="3041"/>
      <c r="BD2546" s="3281"/>
      <c r="BH2546" s="3282"/>
      <c r="BJ2546" s="2589"/>
      <c r="BK2546" s="2126"/>
      <c r="BL2546" s="2126"/>
      <c r="BM2546" s="2126"/>
      <c r="BN2546" s="2126"/>
      <c r="BO2546" s="2126"/>
      <c r="BP2546" s="2126"/>
      <c r="BQ2546" s="2126"/>
      <c r="BR2546" s="2126"/>
      <c r="BS2546" s="2126"/>
    </row>
    <row r="2547" spans="1:71" s="3030" customFormat="1">
      <c r="A2547" s="2126"/>
      <c r="B2547" s="2126"/>
      <c r="C2547" s="2149"/>
      <c r="D2547" s="3248"/>
      <c r="E2547" s="525"/>
      <c r="F2547" s="525"/>
      <c r="G2547" s="526"/>
      <c r="K2547" s="3280"/>
      <c r="P2547" s="3041"/>
      <c r="X2547" s="3280"/>
      <c r="AA2547" s="3041"/>
      <c r="AF2547" s="3041"/>
      <c r="AN2547" s="3280"/>
      <c r="AZ2547" s="3041"/>
      <c r="BD2547" s="3281"/>
      <c r="BH2547" s="3282"/>
      <c r="BJ2547" s="2589"/>
      <c r="BK2547" s="2126"/>
      <c r="BL2547" s="2126"/>
      <c r="BM2547" s="2126"/>
      <c r="BN2547" s="2126"/>
      <c r="BO2547" s="2126"/>
      <c r="BP2547" s="2126"/>
      <c r="BQ2547" s="2126"/>
      <c r="BR2547" s="2126"/>
      <c r="BS2547" s="2126"/>
    </row>
    <row r="2548" spans="1:71" s="3030" customFormat="1">
      <c r="A2548" s="2126"/>
      <c r="B2548" s="2126"/>
      <c r="C2548" s="2149"/>
      <c r="D2548" s="3248"/>
      <c r="E2548" s="525"/>
      <c r="F2548" s="525"/>
      <c r="G2548" s="526"/>
      <c r="K2548" s="3280"/>
      <c r="P2548" s="3041"/>
      <c r="X2548" s="3280"/>
      <c r="AA2548" s="3041"/>
      <c r="AF2548" s="3041"/>
      <c r="AN2548" s="3280"/>
      <c r="AZ2548" s="3041"/>
      <c r="BD2548" s="3281"/>
      <c r="BH2548" s="3282"/>
      <c r="BJ2548" s="2589"/>
      <c r="BK2548" s="2126"/>
      <c r="BL2548" s="2126"/>
      <c r="BM2548" s="2126"/>
      <c r="BN2548" s="2126"/>
      <c r="BO2548" s="2126"/>
      <c r="BP2548" s="2126"/>
      <c r="BQ2548" s="2126"/>
      <c r="BR2548" s="2126"/>
      <c r="BS2548" s="2126"/>
    </row>
    <row r="2549" spans="1:71" s="3030" customFormat="1">
      <c r="A2549" s="2126"/>
      <c r="B2549" s="2126"/>
      <c r="C2549" s="2149"/>
      <c r="D2549" s="3248"/>
      <c r="E2549" s="525"/>
      <c r="F2549" s="525"/>
      <c r="G2549" s="526"/>
      <c r="K2549" s="3280"/>
      <c r="P2549" s="3041"/>
      <c r="X2549" s="3280"/>
      <c r="AA2549" s="3041"/>
      <c r="AF2549" s="3041"/>
      <c r="AN2549" s="3280"/>
      <c r="AZ2549" s="3041"/>
      <c r="BD2549" s="3281"/>
      <c r="BH2549" s="3282"/>
      <c r="BJ2549" s="2589"/>
      <c r="BK2549" s="2126"/>
      <c r="BL2549" s="2126"/>
      <c r="BM2549" s="2126"/>
      <c r="BN2549" s="2126"/>
      <c r="BO2549" s="2126"/>
      <c r="BP2549" s="2126"/>
      <c r="BQ2549" s="2126"/>
      <c r="BR2549" s="2126"/>
      <c r="BS2549" s="2126"/>
    </row>
    <row r="2550" spans="1:71" s="3030" customFormat="1">
      <c r="A2550" s="2126"/>
      <c r="B2550" s="2126"/>
      <c r="C2550" s="2149"/>
      <c r="D2550" s="3248"/>
      <c r="E2550" s="525"/>
      <c r="F2550" s="525"/>
      <c r="G2550" s="526"/>
      <c r="K2550" s="3280"/>
      <c r="P2550" s="3041"/>
      <c r="X2550" s="3280"/>
      <c r="AA2550" s="3041"/>
      <c r="AF2550" s="3041"/>
      <c r="AN2550" s="3280"/>
      <c r="AZ2550" s="3041"/>
      <c r="BD2550" s="3281"/>
      <c r="BH2550" s="3282"/>
      <c r="BJ2550" s="2589"/>
      <c r="BK2550" s="2126"/>
      <c r="BL2550" s="2126"/>
      <c r="BM2550" s="2126"/>
      <c r="BN2550" s="2126"/>
      <c r="BO2550" s="2126"/>
      <c r="BP2550" s="2126"/>
      <c r="BQ2550" s="2126"/>
      <c r="BR2550" s="2126"/>
      <c r="BS2550" s="2126"/>
    </row>
    <row r="2551" spans="1:71" s="3030" customFormat="1">
      <c r="A2551" s="2126"/>
      <c r="B2551" s="2126"/>
      <c r="C2551" s="2149"/>
      <c r="D2551" s="3248"/>
      <c r="E2551" s="525"/>
      <c r="F2551" s="525"/>
      <c r="G2551" s="526"/>
      <c r="K2551" s="3280"/>
      <c r="P2551" s="3041"/>
      <c r="X2551" s="3280"/>
      <c r="AA2551" s="3041"/>
      <c r="AF2551" s="3041"/>
      <c r="AN2551" s="3280"/>
      <c r="AZ2551" s="3041"/>
      <c r="BD2551" s="3281"/>
      <c r="BH2551" s="3282"/>
      <c r="BJ2551" s="2589"/>
      <c r="BK2551" s="2126"/>
      <c r="BL2551" s="2126"/>
      <c r="BM2551" s="2126"/>
      <c r="BN2551" s="2126"/>
      <c r="BO2551" s="2126"/>
      <c r="BP2551" s="2126"/>
      <c r="BQ2551" s="2126"/>
      <c r="BR2551" s="2126"/>
      <c r="BS2551" s="2126"/>
    </row>
    <row r="2552" spans="1:71" s="3030" customFormat="1">
      <c r="A2552" s="2126"/>
      <c r="B2552" s="2126"/>
      <c r="C2552" s="2149"/>
      <c r="D2552" s="3248"/>
      <c r="E2552" s="525"/>
      <c r="F2552" s="525"/>
      <c r="G2552" s="526"/>
      <c r="K2552" s="3280"/>
      <c r="P2552" s="3041"/>
      <c r="X2552" s="3280"/>
      <c r="AA2552" s="3041"/>
      <c r="AF2552" s="3041"/>
      <c r="AN2552" s="3280"/>
      <c r="AZ2552" s="3041"/>
      <c r="BD2552" s="3281"/>
      <c r="BH2552" s="3282"/>
      <c r="BJ2552" s="2589"/>
      <c r="BK2552" s="2126"/>
      <c r="BL2552" s="2126"/>
      <c r="BM2552" s="2126"/>
      <c r="BN2552" s="2126"/>
      <c r="BO2552" s="2126"/>
      <c r="BP2552" s="2126"/>
      <c r="BQ2552" s="2126"/>
      <c r="BR2552" s="2126"/>
      <c r="BS2552" s="2126"/>
    </row>
    <row r="2553" spans="1:71" s="3030" customFormat="1">
      <c r="A2553" s="2126"/>
      <c r="B2553" s="2126"/>
      <c r="C2553" s="2149"/>
      <c r="D2553" s="3248"/>
      <c r="E2553" s="525"/>
      <c r="F2553" s="525"/>
      <c r="G2553" s="526"/>
      <c r="K2553" s="3280"/>
      <c r="P2553" s="3041"/>
      <c r="X2553" s="3280"/>
      <c r="AA2553" s="3041"/>
      <c r="AF2553" s="3041"/>
      <c r="AN2553" s="3280"/>
      <c r="AZ2553" s="3041"/>
      <c r="BD2553" s="3281"/>
      <c r="BH2553" s="3282"/>
      <c r="BJ2553" s="2589"/>
      <c r="BK2553" s="2126"/>
      <c r="BL2553" s="2126"/>
      <c r="BM2553" s="2126"/>
      <c r="BN2553" s="2126"/>
      <c r="BO2553" s="2126"/>
      <c r="BP2553" s="2126"/>
      <c r="BQ2553" s="2126"/>
      <c r="BR2553" s="2126"/>
      <c r="BS2553" s="2126"/>
    </row>
    <row r="2554" spans="1:71" s="3030" customFormat="1">
      <c r="A2554" s="2126"/>
      <c r="B2554" s="2126"/>
      <c r="C2554" s="2149"/>
      <c r="D2554" s="3248"/>
      <c r="E2554" s="525"/>
      <c r="F2554" s="525"/>
      <c r="G2554" s="526"/>
      <c r="K2554" s="3280"/>
      <c r="P2554" s="3041"/>
      <c r="X2554" s="3280"/>
      <c r="AA2554" s="3041"/>
      <c r="AF2554" s="3041"/>
      <c r="AN2554" s="3280"/>
      <c r="AZ2554" s="3041"/>
      <c r="BD2554" s="3281"/>
      <c r="BH2554" s="3282"/>
      <c r="BJ2554" s="2589"/>
      <c r="BK2554" s="2126"/>
      <c r="BL2554" s="2126"/>
      <c r="BM2554" s="2126"/>
      <c r="BN2554" s="2126"/>
      <c r="BO2554" s="2126"/>
      <c r="BP2554" s="2126"/>
      <c r="BQ2554" s="2126"/>
      <c r="BR2554" s="2126"/>
      <c r="BS2554" s="2126"/>
    </row>
    <row r="2555" spans="1:71" s="3030" customFormat="1">
      <c r="A2555" s="2126"/>
      <c r="B2555" s="2126"/>
      <c r="C2555" s="2149"/>
      <c r="D2555" s="3248"/>
      <c r="E2555" s="525"/>
      <c r="F2555" s="525"/>
      <c r="G2555" s="526"/>
      <c r="K2555" s="3280"/>
      <c r="P2555" s="3041"/>
      <c r="X2555" s="3280"/>
      <c r="AA2555" s="3041"/>
      <c r="AF2555" s="3041"/>
      <c r="AN2555" s="3280"/>
      <c r="AZ2555" s="3041"/>
      <c r="BD2555" s="3281"/>
      <c r="BH2555" s="3282"/>
      <c r="BJ2555" s="2589"/>
      <c r="BK2555" s="2126"/>
      <c r="BL2555" s="2126"/>
      <c r="BM2555" s="2126"/>
      <c r="BN2555" s="2126"/>
      <c r="BO2555" s="2126"/>
      <c r="BP2555" s="2126"/>
      <c r="BQ2555" s="2126"/>
      <c r="BR2555" s="2126"/>
      <c r="BS2555" s="2126"/>
    </row>
    <row r="2556" spans="1:71" s="3030" customFormat="1">
      <c r="A2556" s="2126"/>
      <c r="B2556" s="2126"/>
      <c r="C2556" s="2149"/>
      <c r="D2556" s="3248"/>
      <c r="E2556" s="525"/>
      <c r="F2556" s="525"/>
      <c r="G2556" s="526"/>
      <c r="K2556" s="3280"/>
      <c r="P2556" s="3041"/>
      <c r="X2556" s="3280"/>
      <c r="AA2556" s="3041"/>
      <c r="AF2556" s="3041"/>
      <c r="AN2556" s="3280"/>
      <c r="AZ2556" s="3041"/>
      <c r="BD2556" s="3281"/>
      <c r="BH2556" s="3282"/>
      <c r="BJ2556" s="2589"/>
      <c r="BK2556" s="2126"/>
      <c r="BL2556" s="2126"/>
      <c r="BM2556" s="2126"/>
      <c r="BN2556" s="2126"/>
      <c r="BO2556" s="2126"/>
      <c r="BP2556" s="2126"/>
      <c r="BQ2556" s="2126"/>
      <c r="BR2556" s="2126"/>
      <c r="BS2556" s="2126"/>
    </row>
    <row r="2557" spans="1:71" s="3030" customFormat="1">
      <c r="A2557" s="2126"/>
      <c r="B2557" s="2126"/>
      <c r="C2557" s="2149"/>
      <c r="D2557" s="3248"/>
      <c r="E2557" s="525"/>
      <c r="F2557" s="525"/>
      <c r="G2557" s="526"/>
      <c r="K2557" s="3280"/>
      <c r="P2557" s="3041"/>
      <c r="X2557" s="3280"/>
      <c r="AA2557" s="3041"/>
      <c r="AF2557" s="3041"/>
      <c r="AN2557" s="3280"/>
      <c r="AZ2557" s="3041"/>
      <c r="BD2557" s="3281"/>
      <c r="BH2557" s="3282"/>
      <c r="BJ2557" s="2589"/>
      <c r="BK2557" s="2126"/>
      <c r="BL2557" s="2126"/>
      <c r="BM2557" s="2126"/>
      <c r="BN2557" s="2126"/>
      <c r="BO2557" s="2126"/>
      <c r="BP2557" s="2126"/>
      <c r="BQ2557" s="2126"/>
      <c r="BR2557" s="2126"/>
      <c r="BS2557" s="2126"/>
    </row>
    <row r="2558" spans="1:71" s="3030" customFormat="1">
      <c r="A2558" s="2126"/>
      <c r="B2558" s="2126"/>
      <c r="C2558" s="2149"/>
      <c r="D2558" s="3248"/>
      <c r="E2558" s="525"/>
      <c r="F2558" s="525"/>
      <c r="G2558" s="526"/>
      <c r="K2558" s="3280"/>
      <c r="P2558" s="3041"/>
      <c r="X2558" s="3280"/>
      <c r="AA2558" s="3041"/>
      <c r="AF2558" s="3041"/>
      <c r="AN2558" s="3280"/>
      <c r="AZ2558" s="3041"/>
      <c r="BD2558" s="3281"/>
      <c r="BH2558" s="3282"/>
      <c r="BJ2558" s="2589"/>
      <c r="BK2558" s="2126"/>
      <c r="BL2558" s="2126"/>
      <c r="BM2558" s="2126"/>
      <c r="BN2558" s="2126"/>
      <c r="BO2558" s="2126"/>
      <c r="BP2558" s="2126"/>
      <c r="BQ2558" s="2126"/>
      <c r="BR2558" s="2126"/>
      <c r="BS2558" s="2126"/>
    </row>
    <row r="2559" spans="1:71" s="3030" customFormat="1">
      <c r="A2559" s="2126"/>
      <c r="B2559" s="2126"/>
      <c r="C2559" s="2149"/>
      <c r="D2559" s="3248"/>
      <c r="E2559" s="525"/>
      <c r="F2559" s="525"/>
      <c r="G2559" s="526"/>
      <c r="K2559" s="3280"/>
      <c r="P2559" s="3041"/>
      <c r="X2559" s="3280"/>
      <c r="AA2559" s="3041"/>
      <c r="AF2559" s="3041"/>
      <c r="AN2559" s="3280"/>
      <c r="AZ2559" s="3041"/>
      <c r="BD2559" s="3281"/>
      <c r="BH2559" s="3282"/>
      <c r="BJ2559" s="2589"/>
      <c r="BK2559" s="2126"/>
      <c r="BL2559" s="2126"/>
      <c r="BM2559" s="2126"/>
      <c r="BN2559" s="2126"/>
      <c r="BO2559" s="2126"/>
      <c r="BP2559" s="2126"/>
      <c r="BQ2559" s="2126"/>
      <c r="BR2559" s="2126"/>
      <c r="BS2559" s="2126"/>
    </row>
    <row r="2560" spans="1:71" s="3030" customFormat="1">
      <c r="A2560" s="2126"/>
      <c r="B2560" s="2126"/>
      <c r="C2560" s="2149"/>
      <c r="D2560" s="3248"/>
      <c r="E2560" s="525"/>
      <c r="F2560" s="525"/>
      <c r="G2560" s="526"/>
      <c r="K2560" s="3280"/>
      <c r="P2560" s="3041"/>
      <c r="X2560" s="3280"/>
      <c r="AA2560" s="3041"/>
      <c r="AF2560" s="3041"/>
      <c r="AN2560" s="3280"/>
      <c r="AZ2560" s="3041"/>
      <c r="BD2560" s="3281"/>
      <c r="BH2560" s="3282"/>
      <c r="BJ2560" s="2589"/>
      <c r="BK2560" s="2126"/>
      <c r="BL2560" s="2126"/>
      <c r="BM2560" s="2126"/>
      <c r="BN2560" s="2126"/>
      <c r="BO2560" s="2126"/>
      <c r="BP2560" s="2126"/>
      <c r="BQ2560" s="2126"/>
      <c r="BR2560" s="2126"/>
      <c r="BS2560" s="2126"/>
    </row>
    <row r="2561" spans="1:71" s="3030" customFormat="1">
      <c r="A2561" s="2126"/>
      <c r="B2561" s="2126"/>
      <c r="C2561" s="2149"/>
      <c r="D2561" s="3248"/>
      <c r="E2561" s="525"/>
      <c r="F2561" s="525"/>
      <c r="G2561" s="526"/>
      <c r="K2561" s="3280"/>
      <c r="P2561" s="3041"/>
      <c r="X2561" s="3280"/>
      <c r="AA2561" s="3041"/>
      <c r="AF2561" s="3041"/>
      <c r="AN2561" s="3280"/>
      <c r="AZ2561" s="3041"/>
      <c r="BD2561" s="3281"/>
      <c r="BH2561" s="3282"/>
      <c r="BJ2561" s="2589"/>
      <c r="BK2561" s="2126"/>
      <c r="BL2561" s="2126"/>
      <c r="BM2561" s="2126"/>
      <c r="BN2561" s="2126"/>
      <c r="BO2561" s="2126"/>
      <c r="BP2561" s="2126"/>
      <c r="BQ2561" s="2126"/>
      <c r="BR2561" s="2126"/>
      <c r="BS2561" s="2126"/>
    </row>
    <row r="2562" spans="1:71" s="3030" customFormat="1">
      <c r="A2562" s="2126"/>
      <c r="B2562" s="2126"/>
      <c r="C2562" s="2149"/>
      <c r="D2562" s="3248"/>
      <c r="E2562" s="525"/>
      <c r="F2562" s="525"/>
      <c r="G2562" s="526"/>
      <c r="K2562" s="3280"/>
      <c r="P2562" s="3041"/>
      <c r="X2562" s="3280"/>
      <c r="AA2562" s="3041"/>
      <c r="AF2562" s="3041"/>
      <c r="AN2562" s="3280"/>
      <c r="AZ2562" s="3041"/>
      <c r="BD2562" s="3281"/>
      <c r="BH2562" s="3282"/>
      <c r="BJ2562" s="2589"/>
      <c r="BK2562" s="2126"/>
      <c r="BL2562" s="2126"/>
      <c r="BM2562" s="2126"/>
      <c r="BN2562" s="2126"/>
      <c r="BO2562" s="2126"/>
      <c r="BP2562" s="2126"/>
      <c r="BQ2562" s="2126"/>
      <c r="BR2562" s="2126"/>
      <c r="BS2562" s="2126"/>
    </row>
    <row r="2563" spans="1:71" s="3030" customFormat="1">
      <c r="A2563" s="2126"/>
      <c r="B2563" s="2126"/>
      <c r="C2563" s="2149"/>
      <c r="D2563" s="3248"/>
      <c r="E2563" s="525"/>
      <c r="F2563" s="525"/>
      <c r="G2563" s="526"/>
      <c r="K2563" s="3280"/>
      <c r="P2563" s="3041"/>
      <c r="X2563" s="3280"/>
      <c r="AA2563" s="3041"/>
      <c r="AF2563" s="3041"/>
      <c r="AN2563" s="3280"/>
      <c r="AZ2563" s="3041"/>
      <c r="BD2563" s="3281"/>
      <c r="BH2563" s="3282"/>
      <c r="BJ2563" s="2589"/>
      <c r="BK2563" s="2126"/>
      <c r="BL2563" s="2126"/>
      <c r="BM2563" s="2126"/>
      <c r="BN2563" s="2126"/>
      <c r="BO2563" s="2126"/>
      <c r="BP2563" s="2126"/>
      <c r="BQ2563" s="2126"/>
      <c r="BR2563" s="2126"/>
      <c r="BS2563" s="2126"/>
    </row>
    <row r="2564" spans="1:71" s="3030" customFormat="1">
      <c r="A2564" s="2126"/>
      <c r="B2564" s="2126"/>
      <c r="C2564" s="2149"/>
      <c r="D2564" s="3248"/>
      <c r="E2564" s="525"/>
      <c r="F2564" s="525"/>
      <c r="G2564" s="526"/>
      <c r="K2564" s="3280"/>
      <c r="P2564" s="3041"/>
      <c r="X2564" s="3280"/>
      <c r="AA2564" s="3041"/>
      <c r="AF2564" s="3041"/>
      <c r="AN2564" s="3280"/>
      <c r="AZ2564" s="3041"/>
      <c r="BD2564" s="3281"/>
      <c r="BH2564" s="3282"/>
      <c r="BJ2564" s="2589"/>
      <c r="BK2564" s="2126"/>
      <c r="BL2564" s="2126"/>
      <c r="BM2564" s="2126"/>
      <c r="BN2564" s="2126"/>
      <c r="BO2564" s="2126"/>
      <c r="BP2564" s="2126"/>
      <c r="BQ2564" s="2126"/>
      <c r="BR2564" s="2126"/>
      <c r="BS2564" s="2126"/>
    </row>
    <row r="2565" spans="1:71" s="3030" customFormat="1">
      <c r="A2565" s="2126"/>
      <c r="B2565" s="2126"/>
      <c r="C2565" s="2149"/>
      <c r="D2565" s="3248"/>
      <c r="E2565" s="525"/>
      <c r="F2565" s="525"/>
      <c r="G2565" s="526"/>
      <c r="K2565" s="3280"/>
      <c r="P2565" s="3041"/>
      <c r="X2565" s="3280"/>
      <c r="AA2565" s="3041"/>
      <c r="AF2565" s="3041"/>
      <c r="AN2565" s="3280"/>
      <c r="AZ2565" s="3041"/>
      <c r="BD2565" s="3281"/>
      <c r="BH2565" s="3282"/>
      <c r="BJ2565" s="2589"/>
      <c r="BK2565" s="2126"/>
      <c r="BL2565" s="2126"/>
      <c r="BM2565" s="2126"/>
      <c r="BN2565" s="2126"/>
      <c r="BO2565" s="2126"/>
      <c r="BP2565" s="2126"/>
      <c r="BQ2565" s="2126"/>
      <c r="BR2565" s="2126"/>
      <c r="BS2565" s="2126"/>
    </row>
    <row r="2566" spans="1:71" s="3030" customFormat="1">
      <c r="A2566" s="2126"/>
      <c r="B2566" s="2126"/>
      <c r="C2566" s="2149"/>
      <c r="D2566" s="3248"/>
      <c r="E2566" s="525"/>
      <c r="F2566" s="525"/>
      <c r="G2566" s="526"/>
      <c r="K2566" s="3280"/>
      <c r="P2566" s="3041"/>
      <c r="X2566" s="3280"/>
      <c r="AA2566" s="3041"/>
      <c r="AF2566" s="3041"/>
      <c r="AN2566" s="3280"/>
      <c r="AZ2566" s="3041"/>
      <c r="BD2566" s="3281"/>
      <c r="BH2566" s="3282"/>
      <c r="BJ2566" s="2589"/>
      <c r="BK2566" s="2126"/>
      <c r="BL2566" s="2126"/>
      <c r="BM2566" s="2126"/>
      <c r="BN2566" s="2126"/>
      <c r="BO2566" s="2126"/>
      <c r="BP2566" s="2126"/>
      <c r="BQ2566" s="2126"/>
      <c r="BR2566" s="2126"/>
      <c r="BS2566" s="2126"/>
    </row>
    <row r="2567" spans="1:71" s="3030" customFormat="1">
      <c r="A2567" s="2126"/>
      <c r="B2567" s="2126"/>
      <c r="C2567" s="2149"/>
      <c r="D2567" s="3248"/>
      <c r="E2567" s="525"/>
      <c r="F2567" s="525"/>
      <c r="G2567" s="526"/>
      <c r="K2567" s="3280"/>
      <c r="P2567" s="3041"/>
      <c r="X2567" s="3280"/>
      <c r="AA2567" s="3041"/>
      <c r="AF2567" s="3041"/>
      <c r="AN2567" s="3280"/>
      <c r="AZ2567" s="3041"/>
      <c r="BD2567" s="3281"/>
      <c r="BH2567" s="3282"/>
      <c r="BJ2567" s="2589"/>
      <c r="BK2567" s="2126"/>
      <c r="BL2567" s="2126"/>
      <c r="BM2567" s="2126"/>
      <c r="BN2567" s="2126"/>
      <c r="BO2567" s="2126"/>
      <c r="BP2567" s="2126"/>
      <c r="BQ2567" s="2126"/>
      <c r="BR2567" s="2126"/>
      <c r="BS2567" s="2126"/>
    </row>
    <row r="2568" spans="1:71" s="3030" customFormat="1">
      <c r="A2568" s="2126"/>
      <c r="B2568" s="2126"/>
      <c r="C2568" s="2149"/>
      <c r="D2568" s="3248"/>
      <c r="E2568" s="525"/>
      <c r="F2568" s="525"/>
      <c r="G2568" s="526"/>
      <c r="K2568" s="3280"/>
      <c r="P2568" s="3041"/>
      <c r="X2568" s="3280"/>
      <c r="AA2568" s="3041"/>
      <c r="AF2568" s="3041"/>
      <c r="AN2568" s="3280"/>
      <c r="AZ2568" s="3041"/>
      <c r="BD2568" s="3281"/>
      <c r="BH2568" s="3282"/>
      <c r="BJ2568" s="2589"/>
      <c r="BK2568" s="2126"/>
      <c r="BL2568" s="2126"/>
      <c r="BM2568" s="2126"/>
      <c r="BN2568" s="2126"/>
      <c r="BO2568" s="2126"/>
      <c r="BP2568" s="2126"/>
      <c r="BQ2568" s="2126"/>
      <c r="BR2568" s="2126"/>
      <c r="BS2568" s="2126"/>
    </row>
    <row r="2569" spans="1:71" s="3030" customFormat="1">
      <c r="A2569" s="2126"/>
      <c r="B2569" s="2126"/>
      <c r="C2569" s="2149"/>
      <c r="D2569" s="3248"/>
      <c r="E2569" s="525"/>
      <c r="F2569" s="525"/>
      <c r="G2569" s="526"/>
      <c r="K2569" s="3280"/>
      <c r="P2569" s="3041"/>
      <c r="X2569" s="3280"/>
      <c r="AA2569" s="3041"/>
      <c r="AF2569" s="3041"/>
      <c r="AN2569" s="3280"/>
      <c r="AZ2569" s="3041"/>
      <c r="BD2569" s="3281"/>
      <c r="BH2569" s="3282"/>
      <c r="BJ2569" s="2589"/>
      <c r="BK2569" s="2126"/>
      <c r="BL2569" s="2126"/>
      <c r="BM2569" s="2126"/>
      <c r="BN2569" s="2126"/>
      <c r="BO2569" s="2126"/>
      <c r="BP2569" s="2126"/>
      <c r="BQ2569" s="2126"/>
      <c r="BR2569" s="2126"/>
      <c r="BS2569" s="2126"/>
    </row>
    <row r="2570" spans="1:71" s="3030" customFormat="1">
      <c r="A2570" s="2126"/>
      <c r="B2570" s="2126"/>
      <c r="C2570" s="2149"/>
      <c r="D2570" s="3248"/>
      <c r="E2570" s="525"/>
      <c r="F2570" s="525"/>
      <c r="G2570" s="526"/>
      <c r="K2570" s="3280"/>
      <c r="P2570" s="3041"/>
      <c r="X2570" s="3280"/>
      <c r="AA2570" s="3041"/>
      <c r="AF2570" s="3041"/>
      <c r="AN2570" s="3280"/>
      <c r="AZ2570" s="3041"/>
      <c r="BD2570" s="3281"/>
      <c r="BH2570" s="3282"/>
      <c r="BJ2570" s="2589"/>
      <c r="BK2570" s="2126"/>
      <c r="BL2570" s="2126"/>
      <c r="BM2570" s="2126"/>
      <c r="BN2570" s="2126"/>
      <c r="BO2570" s="2126"/>
      <c r="BP2570" s="2126"/>
      <c r="BQ2570" s="2126"/>
      <c r="BR2570" s="2126"/>
      <c r="BS2570" s="2126"/>
    </row>
    <row r="2571" spans="1:71" s="3030" customFormat="1">
      <c r="A2571" s="2126"/>
      <c r="B2571" s="2126"/>
      <c r="C2571" s="2149"/>
      <c r="D2571" s="3248"/>
      <c r="E2571" s="525"/>
      <c r="F2571" s="525"/>
      <c r="G2571" s="526"/>
      <c r="K2571" s="3280"/>
      <c r="P2571" s="3041"/>
      <c r="X2571" s="3280"/>
      <c r="AA2571" s="3041"/>
      <c r="AF2571" s="3041"/>
      <c r="AN2571" s="3280"/>
      <c r="AZ2571" s="3041"/>
      <c r="BD2571" s="3281"/>
      <c r="BH2571" s="3282"/>
      <c r="BJ2571" s="2589"/>
      <c r="BK2571" s="2126"/>
      <c r="BL2571" s="2126"/>
      <c r="BM2571" s="2126"/>
      <c r="BN2571" s="2126"/>
      <c r="BO2571" s="2126"/>
      <c r="BP2571" s="2126"/>
      <c r="BQ2571" s="2126"/>
      <c r="BR2571" s="2126"/>
      <c r="BS2571" s="2126"/>
    </row>
    <row r="2572" spans="1:71" s="3030" customFormat="1">
      <c r="A2572" s="2126"/>
      <c r="B2572" s="2126"/>
      <c r="C2572" s="2149"/>
      <c r="D2572" s="3248"/>
      <c r="E2572" s="525"/>
      <c r="F2572" s="525"/>
      <c r="G2572" s="526"/>
      <c r="K2572" s="3280"/>
      <c r="P2572" s="3041"/>
      <c r="X2572" s="3280"/>
      <c r="AA2572" s="3041"/>
      <c r="AF2572" s="3041"/>
      <c r="AN2572" s="3280"/>
      <c r="AZ2572" s="3041"/>
      <c r="BD2572" s="3281"/>
      <c r="BH2572" s="3282"/>
      <c r="BJ2572" s="2589"/>
      <c r="BK2572" s="2126"/>
      <c r="BL2572" s="2126"/>
      <c r="BM2572" s="2126"/>
      <c r="BN2572" s="2126"/>
      <c r="BO2572" s="2126"/>
      <c r="BP2572" s="2126"/>
      <c r="BQ2572" s="2126"/>
      <c r="BR2572" s="2126"/>
      <c r="BS2572" s="2126"/>
    </row>
    <row r="2573" spans="1:71" s="3030" customFormat="1">
      <c r="A2573" s="2126"/>
      <c r="B2573" s="2126"/>
      <c r="C2573" s="2149"/>
      <c r="D2573" s="3248"/>
      <c r="E2573" s="525"/>
      <c r="F2573" s="525"/>
      <c r="G2573" s="526"/>
      <c r="K2573" s="3280"/>
      <c r="P2573" s="3041"/>
      <c r="X2573" s="3280"/>
      <c r="AA2573" s="3041"/>
      <c r="AF2573" s="3041"/>
      <c r="AN2573" s="3280"/>
      <c r="AZ2573" s="3041"/>
      <c r="BD2573" s="3281"/>
      <c r="BH2573" s="3282"/>
      <c r="BJ2573" s="2589"/>
      <c r="BK2573" s="2126"/>
      <c r="BL2573" s="2126"/>
      <c r="BM2573" s="2126"/>
      <c r="BN2573" s="2126"/>
      <c r="BO2573" s="2126"/>
      <c r="BP2573" s="2126"/>
      <c r="BQ2573" s="2126"/>
      <c r="BR2573" s="2126"/>
      <c r="BS2573" s="2126"/>
    </row>
    <row r="2574" spans="1:71" s="3030" customFormat="1">
      <c r="A2574" s="2126"/>
      <c r="B2574" s="2126"/>
      <c r="C2574" s="2149"/>
      <c r="D2574" s="3248"/>
      <c r="E2574" s="525"/>
      <c r="F2574" s="525"/>
      <c r="G2574" s="526"/>
      <c r="K2574" s="3280"/>
      <c r="P2574" s="3041"/>
      <c r="X2574" s="3280"/>
      <c r="AA2574" s="3041"/>
      <c r="AF2574" s="3041"/>
      <c r="AN2574" s="3280"/>
      <c r="AZ2574" s="3041"/>
      <c r="BD2574" s="3281"/>
      <c r="BH2574" s="3282"/>
      <c r="BJ2574" s="2589"/>
      <c r="BK2574" s="2126"/>
      <c r="BL2574" s="2126"/>
      <c r="BM2574" s="2126"/>
      <c r="BN2574" s="2126"/>
      <c r="BO2574" s="2126"/>
      <c r="BP2574" s="2126"/>
      <c r="BQ2574" s="2126"/>
      <c r="BR2574" s="2126"/>
      <c r="BS2574" s="2126"/>
    </row>
    <row r="2575" spans="1:71" s="3030" customFormat="1">
      <c r="A2575" s="2126"/>
      <c r="B2575" s="2126"/>
      <c r="C2575" s="2149"/>
      <c r="D2575" s="3248"/>
      <c r="E2575" s="525"/>
      <c r="F2575" s="525"/>
      <c r="G2575" s="526"/>
      <c r="K2575" s="3280"/>
      <c r="P2575" s="3041"/>
      <c r="X2575" s="3280"/>
      <c r="AA2575" s="3041"/>
      <c r="AF2575" s="3041"/>
      <c r="AN2575" s="3280"/>
      <c r="AZ2575" s="3041"/>
      <c r="BD2575" s="3281"/>
      <c r="BH2575" s="3282"/>
      <c r="BJ2575" s="2589"/>
      <c r="BK2575" s="2126"/>
      <c r="BL2575" s="2126"/>
      <c r="BM2575" s="2126"/>
      <c r="BN2575" s="2126"/>
      <c r="BO2575" s="2126"/>
      <c r="BP2575" s="2126"/>
      <c r="BQ2575" s="2126"/>
      <c r="BR2575" s="2126"/>
      <c r="BS2575" s="2126"/>
    </row>
    <row r="2576" spans="1:71" s="3030" customFormat="1">
      <c r="A2576" s="2126"/>
      <c r="B2576" s="2126"/>
      <c r="C2576" s="2149"/>
      <c r="D2576" s="3248"/>
      <c r="E2576" s="525"/>
      <c r="F2576" s="525"/>
      <c r="G2576" s="526"/>
      <c r="K2576" s="3280"/>
      <c r="P2576" s="3041"/>
      <c r="X2576" s="3280"/>
      <c r="AA2576" s="3041"/>
      <c r="AF2576" s="3041"/>
      <c r="AN2576" s="3280"/>
      <c r="AZ2576" s="3041"/>
      <c r="BD2576" s="3281"/>
      <c r="BH2576" s="3282"/>
      <c r="BJ2576" s="2589"/>
      <c r="BK2576" s="2126"/>
      <c r="BL2576" s="2126"/>
      <c r="BM2576" s="2126"/>
      <c r="BN2576" s="2126"/>
      <c r="BO2576" s="2126"/>
      <c r="BP2576" s="2126"/>
      <c r="BQ2576" s="2126"/>
      <c r="BR2576" s="2126"/>
      <c r="BS2576" s="2126"/>
    </row>
    <row r="2577" spans="1:71" s="3030" customFormat="1">
      <c r="A2577" s="2126"/>
      <c r="B2577" s="2126"/>
      <c r="C2577" s="2149"/>
      <c r="D2577" s="3248"/>
      <c r="E2577" s="525"/>
      <c r="F2577" s="525"/>
      <c r="G2577" s="526"/>
      <c r="K2577" s="3280"/>
      <c r="P2577" s="3041"/>
      <c r="X2577" s="3280"/>
      <c r="AA2577" s="3041"/>
      <c r="AF2577" s="3041"/>
      <c r="AN2577" s="3280"/>
      <c r="AZ2577" s="3041"/>
      <c r="BD2577" s="3281"/>
      <c r="BH2577" s="3282"/>
      <c r="BJ2577" s="2589"/>
      <c r="BK2577" s="2126"/>
      <c r="BL2577" s="2126"/>
      <c r="BM2577" s="2126"/>
      <c r="BN2577" s="2126"/>
      <c r="BO2577" s="2126"/>
      <c r="BP2577" s="2126"/>
      <c r="BQ2577" s="2126"/>
      <c r="BR2577" s="2126"/>
      <c r="BS2577" s="2126"/>
    </row>
    <row r="2578" spans="1:71" s="3030" customFormat="1">
      <c r="A2578" s="2126"/>
      <c r="B2578" s="2126"/>
      <c r="C2578" s="2149"/>
      <c r="D2578" s="3248"/>
      <c r="E2578" s="525"/>
      <c r="F2578" s="525"/>
      <c r="G2578" s="526"/>
      <c r="K2578" s="3280"/>
      <c r="P2578" s="3041"/>
      <c r="X2578" s="3280"/>
      <c r="AA2578" s="3041"/>
      <c r="AF2578" s="3041"/>
      <c r="AN2578" s="3280"/>
      <c r="AZ2578" s="3041"/>
      <c r="BD2578" s="3281"/>
      <c r="BH2578" s="3282"/>
      <c r="BJ2578" s="2589"/>
      <c r="BK2578" s="2126"/>
      <c r="BL2578" s="2126"/>
      <c r="BM2578" s="2126"/>
      <c r="BN2578" s="2126"/>
      <c r="BO2578" s="2126"/>
      <c r="BP2578" s="2126"/>
      <c r="BQ2578" s="2126"/>
      <c r="BR2578" s="2126"/>
      <c r="BS2578" s="2126"/>
    </row>
    <row r="2579" spans="1:71" s="3030" customFormat="1">
      <c r="A2579" s="2126"/>
      <c r="B2579" s="2126"/>
      <c r="C2579" s="2149"/>
      <c r="D2579" s="3248"/>
      <c r="E2579" s="525"/>
      <c r="F2579" s="525"/>
      <c r="G2579" s="526"/>
      <c r="K2579" s="3280"/>
      <c r="P2579" s="3041"/>
      <c r="X2579" s="3280"/>
      <c r="AA2579" s="3041"/>
      <c r="AF2579" s="3041"/>
      <c r="AN2579" s="3280"/>
      <c r="AZ2579" s="3041"/>
      <c r="BD2579" s="3281"/>
      <c r="BH2579" s="3282"/>
      <c r="BJ2579" s="2589"/>
      <c r="BK2579" s="2126"/>
      <c r="BL2579" s="2126"/>
      <c r="BM2579" s="2126"/>
      <c r="BN2579" s="2126"/>
      <c r="BO2579" s="2126"/>
      <c r="BP2579" s="2126"/>
      <c r="BQ2579" s="2126"/>
      <c r="BR2579" s="2126"/>
      <c r="BS2579" s="2126"/>
    </row>
    <row r="2580" spans="1:71" s="3030" customFormat="1">
      <c r="A2580" s="2126"/>
      <c r="B2580" s="2126"/>
      <c r="C2580" s="2149"/>
      <c r="D2580" s="3248"/>
      <c r="E2580" s="525"/>
      <c r="F2580" s="525"/>
      <c r="G2580" s="526"/>
      <c r="K2580" s="3280"/>
      <c r="P2580" s="3041"/>
      <c r="X2580" s="3280"/>
      <c r="AA2580" s="3041"/>
      <c r="AF2580" s="3041"/>
      <c r="AN2580" s="3280"/>
      <c r="AZ2580" s="3041"/>
      <c r="BD2580" s="3281"/>
      <c r="BH2580" s="3282"/>
      <c r="BJ2580" s="2589"/>
      <c r="BK2580" s="2126"/>
      <c r="BL2580" s="2126"/>
      <c r="BM2580" s="2126"/>
      <c r="BN2580" s="2126"/>
      <c r="BO2580" s="2126"/>
      <c r="BP2580" s="2126"/>
      <c r="BQ2580" s="2126"/>
      <c r="BR2580" s="2126"/>
      <c r="BS2580" s="2126"/>
    </row>
    <row r="2581" spans="1:71" s="3030" customFormat="1">
      <c r="A2581" s="2126"/>
      <c r="B2581" s="2126"/>
      <c r="C2581" s="2149"/>
      <c r="D2581" s="3248"/>
      <c r="E2581" s="525"/>
      <c r="F2581" s="525"/>
      <c r="G2581" s="526"/>
      <c r="K2581" s="3280"/>
      <c r="P2581" s="3041"/>
      <c r="X2581" s="3280"/>
      <c r="AA2581" s="3041"/>
      <c r="AF2581" s="3041"/>
      <c r="AN2581" s="3280"/>
      <c r="AZ2581" s="3041"/>
      <c r="BD2581" s="3281"/>
      <c r="BH2581" s="3282"/>
      <c r="BJ2581" s="2589"/>
      <c r="BK2581" s="2126"/>
      <c r="BL2581" s="2126"/>
      <c r="BM2581" s="2126"/>
      <c r="BN2581" s="2126"/>
      <c r="BO2581" s="2126"/>
      <c r="BP2581" s="2126"/>
      <c r="BQ2581" s="2126"/>
      <c r="BR2581" s="2126"/>
      <c r="BS2581" s="2126"/>
    </row>
    <row r="2582" spans="1:71" s="3030" customFormat="1">
      <c r="A2582" s="2126"/>
      <c r="B2582" s="2126"/>
      <c r="C2582" s="2149"/>
      <c r="D2582" s="3248"/>
      <c r="E2582" s="525"/>
      <c r="F2582" s="525"/>
      <c r="G2582" s="526"/>
      <c r="K2582" s="3280"/>
      <c r="P2582" s="3041"/>
      <c r="X2582" s="3280"/>
      <c r="AA2582" s="3041"/>
      <c r="AF2582" s="3041"/>
      <c r="AN2582" s="3280"/>
      <c r="AZ2582" s="3041"/>
      <c r="BD2582" s="3281"/>
      <c r="BH2582" s="3282"/>
      <c r="BJ2582" s="2589"/>
      <c r="BK2582" s="2126"/>
      <c r="BL2582" s="2126"/>
      <c r="BM2582" s="2126"/>
      <c r="BN2582" s="2126"/>
      <c r="BO2582" s="2126"/>
      <c r="BP2582" s="2126"/>
      <c r="BQ2582" s="2126"/>
      <c r="BR2582" s="2126"/>
      <c r="BS2582" s="2126"/>
    </row>
    <row r="2583" spans="1:71" s="3030" customFormat="1">
      <c r="A2583" s="2126"/>
      <c r="B2583" s="2126"/>
      <c r="C2583" s="2149"/>
      <c r="D2583" s="3248"/>
      <c r="E2583" s="525"/>
      <c r="F2583" s="525"/>
      <c r="G2583" s="526"/>
      <c r="K2583" s="3280"/>
      <c r="P2583" s="3041"/>
      <c r="X2583" s="3280"/>
      <c r="AA2583" s="3041"/>
      <c r="AF2583" s="3041"/>
      <c r="AN2583" s="3280"/>
      <c r="AZ2583" s="3041"/>
      <c r="BD2583" s="3281"/>
      <c r="BH2583" s="3282"/>
      <c r="BJ2583" s="2589"/>
      <c r="BK2583" s="2126"/>
      <c r="BL2583" s="2126"/>
      <c r="BM2583" s="2126"/>
      <c r="BN2583" s="2126"/>
      <c r="BO2583" s="2126"/>
      <c r="BP2583" s="2126"/>
      <c r="BQ2583" s="2126"/>
      <c r="BR2583" s="2126"/>
      <c r="BS2583" s="2126"/>
    </row>
    <row r="2584" spans="1:71" s="3030" customFormat="1">
      <c r="A2584" s="2126"/>
      <c r="B2584" s="2126"/>
      <c r="C2584" s="2149"/>
      <c r="D2584" s="3248"/>
      <c r="E2584" s="525"/>
      <c r="F2584" s="525"/>
      <c r="G2584" s="526"/>
      <c r="K2584" s="3280"/>
      <c r="P2584" s="3041"/>
      <c r="X2584" s="3280"/>
      <c r="AA2584" s="3041"/>
      <c r="AF2584" s="3041"/>
      <c r="AN2584" s="3280"/>
      <c r="AZ2584" s="3041"/>
      <c r="BD2584" s="3281"/>
      <c r="BH2584" s="3282"/>
      <c r="BJ2584" s="2589"/>
      <c r="BK2584" s="2126"/>
      <c r="BL2584" s="2126"/>
      <c r="BM2584" s="2126"/>
      <c r="BN2584" s="2126"/>
      <c r="BO2584" s="2126"/>
      <c r="BP2584" s="2126"/>
      <c r="BQ2584" s="2126"/>
      <c r="BR2584" s="2126"/>
      <c r="BS2584" s="2126"/>
    </row>
    <row r="2585" spans="1:71" s="3030" customFormat="1">
      <c r="A2585" s="2126"/>
      <c r="B2585" s="2126"/>
      <c r="C2585" s="2149"/>
      <c r="D2585" s="3248"/>
      <c r="E2585" s="525"/>
      <c r="F2585" s="525"/>
      <c r="G2585" s="526"/>
      <c r="K2585" s="3280"/>
      <c r="P2585" s="3041"/>
      <c r="X2585" s="3280"/>
      <c r="AA2585" s="3041"/>
      <c r="AF2585" s="3041"/>
      <c r="AN2585" s="3280"/>
      <c r="AZ2585" s="3041"/>
      <c r="BD2585" s="3281"/>
      <c r="BH2585" s="3282"/>
      <c r="BJ2585" s="2589"/>
      <c r="BK2585" s="2126"/>
      <c r="BL2585" s="2126"/>
      <c r="BM2585" s="2126"/>
      <c r="BN2585" s="2126"/>
      <c r="BO2585" s="2126"/>
      <c r="BP2585" s="2126"/>
      <c r="BQ2585" s="2126"/>
      <c r="BR2585" s="2126"/>
      <c r="BS2585" s="2126"/>
    </row>
    <row r="2586" spans="1:71" s="3030" customFormat="1">
      <c r="A2586" s="2126"/>
      <c r="B2586" s="2126"/>
      <c r="C2586" s="2149"/>
      <c r="D2586" s="3248"/>
      <c r="E2586" s="525"/>
      <c r="F2586" s="525"/>
      <c r="G2586" s="526"/>
      <c r="K2586" s="3280"/>
      <c r="P2586" s="3041"/>
      <c r="X2586" s="3280"/>
      <c r="AA2586" s="3041"/>
      <c r="AF2586" s="3041"/>
      <c r="AN2586" s="3280"/>
      <c r="AZ2586" s="3041"/>
      <c r="BD2586" s="3281"/>
      <c r="BH2586" s="3282"/>
      <c r="BJ2586" s="2589"/>
      <c r="BK2586" s="2126"/>
      <c r="BL2586" s="2126"/>
      <c r="BM2586" s="2126"/>
      <c r="BN2586" s="2126"/>
      <c r="BO2586" s="2126"/>
      <c r="BP2586" s="2126"/>
      <c r="BQ2586" s="2126"/>
      <c r="BR2586" s="2126"/>
      <c r="BS2586" s="2126"/>
    </row>
    <row r="2587" spans="1:71" s="3030" customFormat="1">
      <c r="A2587" s="2126"/>
      <c r="B2587" s="2126"/>
      <c r="C2587" s="2149"/>
      <c r="D2587" s="3248"/>
      <c r="E2587" s="525"/>
      <c r="F2587" s="525"/>
      <c r="G2587" s="526"/>
      <c r="K2587" s="3280"/>
      <c r="P2587" s="3041"/>
      <c r="X2587" s="3280"/>
      <c r="AA2587" s="3041"/>
      <c r="AF2587" s="3041"/>
      <c r="AN2587" s="3280"/>
      <c r="AZ2587" s="3041"/>
      <c r="BD2587" s="3281"/>
      <c r="BH2587" s="3282"/>
      <c r="BJ2587" s="2589"/>
      <c r="BK2587" s="2126"/>
      <c r="BL2587" s="2126"/>
      <c r="BM2587" s="2126"/>
      <c r="BN2587" s="2126"/>
      <c r="BO2587" s="2126"/>
      <c r="BP2587" s="2126"/>
      <c r="BQ2587" s="2126"/>
      <c r="BR2587" s="2126"/>
      <c r="BS2587" s="2126"/>
    </row>
    <row r="2588" spans="1:71" s="3030" customFormat="1">
      <c r="A2588" s="2126"/>
      <c r="B2588" s="2126"/>
      <c r="C2588" s="2149"/>
      <c r="D2588" s="3248"/>
      <c r="E2588" s="525"/>
      <c r="F2588" s="525"/>
      <c r="G2588" s="526"/>
      <c r="K2588" s="3280"/>
      <c r="P2588" s="3041"/>
      <c r="X2588" s="3280"/>
      <c r="AA2588" s="3041"/>
      <c r="AF2588" s="3041"/>
      <c r="AN2588" s="3280"/>
      <c r="AZ2588" s="3041"/>
      <c r="BD2588" s="3281"/>
      <c r="BH2588" s="3282"/>
      <c r="BJ2588" s="2589"/>
      <c r="BK2588" s="2126"/>
      <c r="BL2588" s="2126"/>
      <c r="BM2588" s="2126"/>
      <c r="BN2588" s="2126"/>
      <c r="BO2588" s="2126"/>
      <c r="BP2588" s="2126"/>
      <c r="BQ2588" s="2126"/>
      <c r="BR2588" s="2126"/>
      <c r="BS2588" s="2126"/>
    </row>
    <row r="2589" spans="1:71" s="3030" customFormat="1">
      <c r="A2589" s="2126"/>
      <c r="B2589" s="2126"/>
      <c r="C2589" s="2149"/>
      <c r="D2589" s="3248"/>
      <c r="E2589" s="525"/>
      <c r="F2589" s="525"/>
      <c r="G2589" s="526"/>
      <c r="K2589" s="3280"/>
      <c r="P2589" s="3041"/>
      <c r="X2589" s="3280"/>
      <c r="AA2589" s="3041"/>
      <c r="AF2589" s="3041"/>
      <c r="AN2589" s="3280"/>
      <c r="AZ2589" s="3041"/>
      <c r="BD2589" s="3281"/>
      <c r="BH2589" s="3282"/>
      <c r="BJ2589" s="2589"/>
      <c r="BK2589" s="2126"/>
      <c r="BL2589" s="2126"/>
      <c r="BM2589" s="2126"/>
      <c r="BN2589" s="2126"/>
      <c r="BO2589" s="2126"/>
      <c r="BP2589" s="2126"/>
      <c r="BQ2589" s="2126"/>
      <c r="BR2589" s="2126"/>
      <c r="BS2589" s="2126"/>
    </row>
    <row r="2590" spans="1:71" s="3030" customFormat="1">
      <c r="A2590" s="2126"/>
      <c r="B2590" s="2126"/>
      <c r="C2590" s="2149"/>
      <c r="D2590" s="3248"/>
      <c r="E2590" s="525"/>
      <c r="F2590" s="525"/>
      <c r="G2590" s="526"/>
      <c r="K2590" s="3280"/>
      <c r="P2590" s="3041"/>
      <c r="X2590" s="3280"/>
      <c r="AA2590" s="3041"/>
      <c r="AF2590" s="3041"/>
      <c r="AN2590" s="3280"/>
      <c r="AZ2590" s="3041"/>
      <c r="BD2590" s="3281"/>
      <c r="BH2590" s="3282"/>
      <c r="BJ2590" s="2589"/>
      <c r="BK2590" s="2126"/>
      <c r="BL2590" s="2126"/>
      <c r="BM2590" s="2126"/>
      <c r="BN2590" s="2126"/>
      <c r="BO2590" s="2126"/>
      <c r="BP2590" s="2126"/>
      <c r="BQ2590" s="2126"/>
      <c r="BR2590" s="2126"/>
      <c r="BS2590" s="2126"/>
    </row>
    <row r="2591" spans="1:71" s="3030" customFormat="1">
      <c r="A2591" s="2126"/>
      <c r="B2591" s="2126"/>
      <c r="C2591" s="2149"/>
      <c r="D2591" s="3248"/>
      <c r="E2591" s="525"/>
      <c r="F2591" s="525"/>
      <c r="G2591" s="526"/>
      <c r="K2591" s="3280"/>
      <c r="P2591" s="3041"/>
      <c r="X2591" s="3280"/>
      <c r="AA2591" s="3041"/>
      <c r="AF2591" s="3041"/>
      <c r="AN2591" s="3280"/>
      <c r="AZ2591" s="3041"/>
      <c r="BD2591" s="3281"/>
      <c r="BH2591" s="3282"/>
      <c r="BJ2591" s="2589"/>
      <c r="BK2591" s="2126"/>
      <c r="BL2591" s="2126"/>
      <c r="BM2591" s="2126"/>
      <c r="BN2591" s="2126"/>
      <c r="BO2591" s="2126"/>
      <c r="BP2591" s="2126"/>
      <c r="BQ2591" s="2126"/>
      <c r="BR2591" s="2126"/>
      <c r="BS2591" s="2126"/>
    </row>
    <row r="2592" spans="1:71" s="3030" customFormat="1">
      <c r="A2592" s="2126"/>
      <c r="B2592" s="2126"/>
      <c r="C2592" s="2149"/>
      <c r="D2592" s="3248"/>
      <c r="E2592" s="525"/>
      <c r="F2592" s="525"/>
      <c r="G2592" s="526"/>
      <c r="K2592" s="3280"/>
      <c r="P2592" s="3041"/>
      <c r="X2592" s="3280"/>
      <c r="AA2592" s="3041"/>
      <c r="AF2592" s="3041"/>
      <c r="AN2592" s="3280"/>
      <c r="AZ2592" s="3041"/>
      <c r="BD2592" s="3281"/>
      <c r="BH2592" s="3282"/>
      <c r="BJ2592" s="2589"/>
      <c r="BK2592" s="2126"/>
      <c r="BL2592" s="2126"/>
      <c r="BM2592" s="2126"/>
      <c r="BN2592" s="2126"/>
      <c r="BO2592" s="2126"/>
      <c r="BP2592" s="2126"/>
      <c r="BQ2592" s="2126"/>
      <c r="BR2592" s="2126"/>
      <c r="BS2592" s="2126"/>
    </row>
    <row r="2593" spans="1:71" s="3030" customFormat="1">
      <c r="A2593" s="2126"/>
      <c r="B2593" s="2126"/>
      <c r="C2593" s="2149"/>
      <c r="D2593" s="3248"/>
      <c r="E2593" s="525"/>
      <c r="F2593" s="525"/>
      <c r="G2593" s="526"/>
      <c r="K2593" s="3280"/>
      <c r="P2593" s="3041"/>
      <c r="X2593" s="3280"/>
      <c r="AA2593" s="3041"/>
      <c r="AF2593" s="3041"/>
      <c r="AN2593" s="3280"/>
      <c r="AZ2593" s="3041"/>
      <c r="BD2593" s="3281"/>
      <c r="BH2593" s="3282"/>
      <c r="BJ2593" s="2589"/>
      <c r="BK2593" s="2126"/>
      <c r="BL2593" s="2126"/>
      <c r="BM2593" s="2126"/>
      <c r="BN2593" s="2126"/>
      <c r="BO2593" s="2126"/>
      <c r="BP2593" s="2126"/>
      <c r="BQ2593" s="2126"/>
      <c r="BR2593" s="2126"/>
      <c r="BS2593" s="2126"/>
    </row>
    <row r="2594" spans="1:71" s="3030" customFormat="1">
      <c r="A2594" s="2126"/>
      <c r="B2594" s="2126"/>
      <c r="C2594" s="2149"/>
      <c r="D2594" s="3248"/>
      <c r="E2594" s="525"/>
      <c r="F2594" s="525"/>
      <c r="G2594" s="526"/>
      <c r="K2594" s="3280"/>
      <c r="P2594" s="3041"/>
      <c r="X2594" s="3280"/>
      <c r="AA2594" s="3041"/>
      <c r="AF2594" s="3041"/>
      <c r="AN2594" s="3280"/>
      <c r="AZ2594" s="3041"/>
      <c r="BD2594" s="3281"/>
      <c r="BH2594" s="3282"/>
      <c r="BJ2594" s="2589"/>
      <c r="BK2594" s="2126"/>
      <c r="BL2594" s="2126"/>
      <c r="BM2594" s="2126"/>
      <c r="BN2594" s="2126"/>
      <c r="BO2594" s="2126"/>
      <c r="BP2594" s="2126"/>
      <c r="BQ2594" s="2126"/>
      <c r="BR2594" s="2126"/>
      <c r="BS2594" s="2126"/>
    </row>
    <row r="2595" spans="1:71" s="3030" customFormat="1">
      <c r="A2595" s="2126"/>
      <c r="B2595" s="2126"/>
      <c r="C2595" s="2149"/>
      <c r="D2595" s="3248"/>
      <c r="E2595" s="525"/>
      <c r="F2595" s="525"/>
      <c r="G2595" s="526"/>
      <c r="K2595" s="3280"/>
      <c r="P2595" s="3041"/>
      <c r="X2595" s="3280"/>
      <c r="AA2595" s="3041"/>
      <c r="AF2595" s="3041"/>
      <c r="AN2595" s="3280"/>
      <c r="AZ2595" s="3041"/>
      <c r="BD2595" s="3281"/>
      <c r="BH2595" s="3282"/>
      <c r="BJ2595" s="2589"/>
      <c r="BK2595" s="2126"/>
      <c r="BL2595" s="2126"/>
      <c r="BM2595" s="2126"/>
      <c r="BN2595" s="2126"/>
      <c r="BO2595" s="2126"/>
      <c r="BP2595" s="2126"/>
      <c r="BQ2595" s="2126"/>
      <c r="BR2595" s="2126"/>
      <c r="BS2595" s="2126"/>
    </row>
    <row r="2596" spans="1:71" s="3030" customFormat="1">
      <c r="A2596" s="2126"/>
      <c r="B2596" s="2126"/>
      <c r="C2596" s="2149"/>
      <c r="D2596" s="3248"/>
      <c r="E2596" s="525"/>
      <c r="F2596" s="525"/>
      <c r="G2596" s="526"/>
      <c r="K2596" s="3280"/>
      <c r="P2596" s="3041"/>
      <c r="X2596" s="3280"/>
      <c r="AA2596" s="3041"/>
      <c r="AF2596" s="3041"/>
      <c r="AN2596" s="3280"/>
      <c r="AZ2596" s="3041"/>
      <c r="BD2596" s="3281"/>
      <c r="BH2596" s="3282"/>
      <c r="BJ2596" s="2589"/>
      <c r="BK2596" s="2126"/>
      <c r="BL2596" s="2126"/>
      <c r="BM2596" s="2126"/>
      <c r="BN2596" s="2126"/>
      <c r="BO2596" s="2126"/>
      <c r="BP2596" s="2126"/>
      <c r="BQ2596" s="2126"/>
      <c r="BR2596" s="2126"/>
      <c r="BS2596" s="2126"/>
    </row>
    <row r="2597" spans="1:71" s="3030" customFormat="1">
      <c r="A2597" s="2126"/>
      <c r="B2597" s="2126"/>
      <c r="C2597" s="2149"/>
      <c r="D2597" s="3248"/>
      <c r="E2597" s="525"/>
      <c r="F2597" s="525"/>
      <c r="G2597" s="526"/>
      <c r="K2597" s="3280"/>
      <c r="P2597" s="3041"/>
      <c r="X2597" s="3280"/>
      <c r="AA2597" s="3041"/>
      <c r="AF2597" s="3041"/>
      <c r="AN2597" s="3280"/>
      <c r="AZ2597" s="3041"/>
      <c r="BD2597" s="3281"/>
      <c r="BH2597" s="3282"/>
      <c r="BJ2597" s="2589"/>
      <c r="BK2597" s="2126"/>
      <c r="BL2597" s="2126"/>
      <c r="BM2597" s="2126"/>
      <c r="BN2597" s="2126"/>
      <c r="BO2597" s="2126"/>
      <c r="BP2597" s="2126"/>
      <c r="BQ2597" s="2126"/>
      <c r="BR2597" s="2126"/>
      <c r="BS2597" s="2126"/>
    </row>
    <row r="2598" spans="1:71" s="3030" customFormat="1">
      <c r="A2598" s="2126"/>
      <c r="B2598" s="2126"/>
      <c r="C2598" s="2149"/>
      <c r="D2598" s="3248"/>
      <c r="E2598" s="525"/>
      <c r="F2598" s="525"/>
      <c r="G2598" s="526"/>
      <c r="K2598" s="3280"/>
      <c r="P2598" s="3041"/>
      <c r="X2598" s="3280"/>
      <c r="AA2598" s="3041"/>
      <c r="AF2598" s="3041"/>
      <c r="AN2598" s="3280"/>
      <c r="AZ2598" s="3041"/>
      <c r="BD2598" s="3281"/>
      <c r="BH2598" s="3282"/>
      <c r="BJ2598" s="2589"/>
      <c r="BK2598" s="2126"/>
      <c r="BL2598" s="2126"/>
      <c r="BM2598" s="2126"/>
      <c r="BN2598" s="2126"/>
      <c r="BO2598" s="2126"/>
      <c r="BP2598" s="2126"/>
      <c r="BQ2598" s="2126"/>
      <c r="BR2598" s="2126"/>
      <c r="BS2598" s="2126"/>
    </row>
    <row r="2599" spans="1:71" s="3030" customFormat="1">
      <c r="A2599" s="2126"/>
      <c r="B2599" s="2126"/>
      <c r="C2599" s="2149"/>
      <c r="D2599" s="3248"/>
      <c r="E2599" s="525"/>
      <c r="F2599" s="525"/>
      <c r="G2599" s="526"/>
      <c r="K2599" s="3280"/>
      <c r="P2599" s="3041"/>
      <c r="X2599" s="3280"/>
      <c r="AA2599" s="3041"/>
      <c r="AF2599" s="3041"/>
      <c r="AN2599" s="3280"/>
      <c r="AZ2599" s="3041"/>
      <c r="BD2599" s="3281"/>
      <c r="BH2599" s="3282"/>
      <c r="BJ2599" s="2589"/>
      <c r="BK2599" s="2126"/>
      <c r="BL2599" s="2126"/>
      <c r="BM2599" s="2126"/>
      <c r="BN2599" s="2126"/>
      <c r="BO2599" s="2126"/>
      <c r="BP2599" s="2126"/>
      <c r="BQ2599" s="2126"/>
      <c r="BR2599" s="2126"/>
      <c r="BS2599" s="2126"/>
    </row>
    <row r="2600" spans="1:71" s="3030" customFormat="1">
      <c r="A2600" s="2126"/>
      <c r="B2600" s="2126"/>
      <c r="C2600" s="2149"/>
      <c r="D2600" s="3248"/>
      <c r="E2600" s="525"/>
      <c r="F2600" s="525"/>
      <c r="G2600" s="526"/>
      <c r="K2600" s="3280"/>
      <c r="P2600" s="3041"/>
      <c r="X2600" s="3280"/>
      <c r="AA2600" s="3041"/>
      <c r="AF2600" s="3041"/>
      <c r="AN2600" s="3280"/>
      <c r="AZ2600" s="3041"/>
      <c r="BD2600" s="3281"/>
      <c r="BH2600" s="3282"/>
      <c r="BJ2600" s="2589"/>
      <c r="BK2600" s="2126"/>
      <c r="BL2600" s="2126"/>
      <c r="BM2600" s="2126"/>
      <c r="BN2600" s="2126"/>
      <c r="BO2600" s="2126"/>
      <c r="BP2600" s="2126"/>
      <c r="BQ2600" s="2126"/>
      <c r="BR2600" s="2126"/>
      <c r="BS2600" s="2126"/>
    </row>
    <row r="2601" spans="1:71" s="3030" customFormat="1">
      <c r="A2601" s="2126"/>
      <c r="B2601" s="2126"/>
      <c r="C2601" s="2149"/>
      <c r="D2601" s="3248"/>
      <c r="E2601" s="525"/>
      <c r="F2601" s="525"/>
      <c r="G2601" s="526"/>
      <c r="K2601" s="3280"/>
      <c r="P2601" s="3041"/>
      <c r="X2601" s="3280"/>
      <c r="AA2601" s="3041"/>
      <c r="AF2601" s="3041"/>
      <c r="AN2601" s="3280"/>
      <c r="AZ2601" s="3041"/>
      <c r="BD2601" s="3281"/>
      <c r="BH2601" s="3282"/>
      <c r="BJ2601" s="2589"/>
      <c r="BK2601" s="2126"/>
      <c r="BL2601" s="2126"/>
      <c r="BM2601" s="2126"/>
      <c r="BN2601" s="2126"/>
      <c r="BO2601" s="2126"/>
      <c r="BP2601" s="2126"/>
      <c r="BQ2601" s="2126"/>
      <c r="BR2601" s="2126"/>
      <c r="BS2601" s="2126"/>
    </row>
    <row r="2602" spans="1:71" s="3030" customFormat="1">
      <c r="A2602" s="2126"/>
      <c r="B2602" s="2126"/>
      <c r="C2602" s="2149"/>
      <c r="D2602" s="3248"/>
      <c r="E2602" s="525"/>
      <c r="F2602" s="525"/>
      <c r="G2602" s="526"/>
      <c r="K2602" s="3280"/>
      <c r="P2602" s="3041"/>
      <c r="X2602" s="3280"/>
      <c r="AA2602" s="3041"/>
      <c r="AF2602" s="3041"/>
      <c r="AN2602" s="3280"/>
      <c r="AZ2602" s="3041"/>
      <c r="BD2602" s="3281"/>
      <c r="BH2602" s="3282"/>
      <c r="BJ2602" s="2589"/>
      <c r="BK2602" s="2126"/>
      <c r="BL2602" s="2126"/>
      <c r="BM2602" s="2126"/>
      <c r="BN2602" s="2126"/>
      <c r="BO2602" s="2126"/>
      <c r="BP2602" s="2126"/>
      <c r="BQ2602" s="2126"/>
      <c r="BR2602" s="2126"/>
      <c r="BS2602" s="2126"/>
    </row>
    <row r="2603" spans="1:71" s="3030" customFormat="1">
      <c r="A2603" s="2126"/>
      <c r="B2603" s="2126"/>
      <c r="C2603" s="2149"/>
      <c r="D2603" s="3248"/>
      <c r="E2603" s="525"/>
      <c r="F2603" s="525"/>
      <c r="G2603" s="526"/>
      <c r="K2603" s="3280"/>
      <c r="P2603" s="3041"/>
      <c r="X2603" s="3280"/>
      <c r="AA2603" s="3041"/>
      <c r="AF2603" s="3041"/>
      <c r="AN2603" s="3280"/>
      <c r="AZ2603" s="3041"/>
      <c r="BD2603" s="3281"/>
      <c r="BH2603" s="3282"/>
      <c r="BJ2603" s="2589"/>
      <c r="BK2603" s="2126"/>
      <c r="BL2603" s="2126"/>
      <c r="BM2603" s="2126"/>
      <c r="BN2603" s="2126"/>
      <c r="BO2603" s="2126"/>
      <c r="BP2603" s="2126"/>
      <c r="BQ2603" s="2126"/>
      <c r="BR2603" s="2126"/>
      <c r="BS2603" s="2126"/>
    </row>
    <row r="2604" spans="1:71" s="3030" customFormat="1">
      <c r="A2604" s="2126"/>
      <c r="B2604" s="2126"/>
      <c r="C2604" s="2149"/>
      <c r="D2604" s="3248"/>
      <c r="E2604" s="525"/>
      <c r="F2604" s="525"/>
      <c r="G2604" s="526"/>
      <c r="K2604" s="3280"/>
      <c r="P2604" s="3041"/>
      <c r="X2604" s="3280"/>
      <c r="AA2604" s="3041"/>
      <c r="AF2604" s="3041"/>
      <c r="AN2604" s="3280"/>
      <c r="AZ2604" s="3041"/>
      <c r="BD2604" s="3281"/>
      <c r="BH2604" s="3282"/>
      <c r="BJ2604" s="2589"/>
      <c r="BK2604" s="2126"/>
      <c r="BL2604" s="2126"/>
      <c r="BM2604" s="2126"/>
      <c r="BN2604" s="2126"/>
      <c r="BO2604" s="2126"/>
      <c r="BP2604" s="2126"/>
      <c r="BQ2604" s="2126"/>
      <c r="BR2604" s="2126"/>
      <c r="BS2604" s="2126"/>
    </row>
    <row r="2605" spans="1:71" s="3030" customFormat="1">
      <c r="A2605" s="2126"/>
      <c r="B2605" s="2126"/>
      <c r="C2605" s="2149"/>
      <c r="D2605" s="3248"/>
      <c r="E2605" s="525"/>
      <c r="F2605" s="525"/>
      <c r="G2605" s="526"/>
      <c r="K2605" s="3280"/>
      <c r="P2605" s="3041"/>
      <c r="X2605" s="3280"/>
      <c r="AA2605" s="3041"/>
      <c r="AF2605" s="3041"/>
      <c r="AN2605" s="3280"/>
      <c r="AZ2605" s="3041"/>
      <c r="BD2605" s="3281"/>
      <c r="BH2605" s="3282"/>
      <c r="BJ2605" s="2589"/>
      <c r="BK2605" s="2126"/>
      <c r="BL2605" s="2126"/>
      <c r="BM2605" s="2126"/>
      <c r="BN2605" s="2126"/>
      <c r="BO2605" s="2126"/>
      <c r="BP2605" s="2126"/>
      <c r="BQ2605" s="2126"/>
      <c r="BR2605" s="2126"/>
      <c r="BS2605" s="2126"/>
    </row>
    <row r="2606" spans="1:71" s="3030" customFormat="1">
      <c r="A2606" s="2126"/>
      <c r="B2606" s="2126"/>
      <c r="C2606" s="2149"/>
      <c r="D2606" s="3248"/>
      <c r="E2606" s="525"/>
      <c r="F2606" s="525"/>
      <c r="G2606" s="526"/>
      <c r="K2606" s="3280"/>
      <c r="P2606" s="3041"/>
      <c r="X2606" s="3280"/>
      <c r="AA2606" s="3041"/>
      <c r="AF2606" s="3041"/>
      <c r="AN2606" s="3280"/>
      <c r="AZ2606" s="3041"/>
      <c r="BD2606" s="3281"/>
      <c r="BH2606" s="3282"/>
      <c r="BJ2606" s="2589"/>
      <c r="BK2606" s="2126"/>
      <c r="BL2606" s="2126"/>
      <c r="BM2606" s="2126"/>
      <c r="BN2606" s="2126"/>
      <c r="BO2606" s="2126"/>
      <c r="BP2606" s="2126"/>
      <c r="BQ2606" s="2126"/>
      <c r="BR2606" s="2126"/>
      <c r="BS2606" s="2126"/>
    </row>
    <row r="2607" spans="1:71" s="3030" customFormat="1">
      <c r="A2607" s="2126"/>
      <c r="B2607" s="2126"/>
      <c r="C2607" s="2149"/>
      <c r="D2607" s="3248"/>
      <c r="E2607" s="525"/>
      <c r="F2607" s="525"/>
      <c r="G2607" s="526"/>
      <c r="K2607" s="3280"/>
      <c r="P2607" s="3041"/>
      <c r="X2607" s="3280"/>
      <c r="AA2607" s="3041"/>
      <c r="AF2607" s="3041"/>
      <c r="AN2607" s="3280"/>
      <c r="AZ2607" s="3041"/>
      <c r="BD2607" s="3281"/>
      <c r="BH2607" s="3282"/>
      <c r="BJ2607" s="2589"/>
      <c r="BK2607" s="2126"/>
      <c r="BL2607" s="2126"/>
      <c r="BM2607" s="2126"/>
      <c r="BN2607" s="2126"/>
      <c r="BO2607" s="2126"/>
      <c r="BP2607" s="2126"/>
      <c r="BQ2607" s="2126"/>
      <c r="BR2607" s="2126"/>
      <c r="BS2607" s="2126"/>
    </row>
    <row r="2608" spans="1:71" s="3030" customFormat="1">
      <c r="A2608" s="2126"/>
      <c r="B2608" s="2126"/>
      <c r="C2608" s="2149"/>
      <c r="D2608" s="3248"/>
      <c r="E2608" s="525"/>
      <c r="F2608" s="525"/>
      <c r="G2608" s="526"/>
      <c r="K2608" s="3280"/>
      <c r="P2608" s="3041"/>
      <c r="X2608" s="3280"/>
      <c r="AA2608" s="3041"/>
      <c r="AF2608" s="3041"/>
      <c r="AN2608" s="3280"/>
      <c r="AZ2608" s="3041"/>
      <c r="BD2608" s="3281"/>
      <c r="BH2608" s="3282"/>
      <c r="BJ2608" s="2589"/>
      <c r="BK2608" s="2126"/>
      <c r="BL2608" s="2126"/>
      <c r="BM2608" s="2126"/>
      <c r="BN2608" s="2126"/>
      <c r="BO2608" s="2126"/>
      <c r="BP2608" s="2126"/>
      <c r="BQ2608" s="2126"/>
      <c r="BR2608" s="2126"/>
      <c r="BS2608" s="2126"/>
    </row>
    <row r="2609" spans="1:71" s="3030" customFormat="1">
      <c r="A2609" s="2126"/>
      <c r="B2609" s="2126"/>
      <c r="C2609" s="2149"/>
      <c r="D2609" s="3248"/>
      <c r="E2609" s="525"/>
      <c r="F2609" s="525"/>
      <c r="G2609" s="526"/>
      <c r="K2609" s="3280"/>
      <c r="P2609" s="3041"/>
      <c r="X2609" s="3280"/>
      <c r="AA2609" s="3041"/>
      <c r="AF2609" s="3041"/>
      <c r="AN2609" s="3280"/>
      <c r="AZ2609" s="3041"/>
      <c r="BD2609" s="3281"/>
      <c r="BH2609" s="3282"/>
      <c r="BJ2609" s="2589"/>
      <c r="BK2609" s="2126"/>
      <c r="BL2609" s="2126"/>
      <c r="BM2609" s="2126"/>
      <c r="BN2609" s="2126"/>
      <c r="BO2609" s="2126"/>
      <c r="BP2609" s="2126"/>
      <c r="BQ2609" s="2126"/>
      <c r="BR2609" s="2126"/>
      <c r="BS2609" s="2126"/>
    </row>
    <row r="2610" spans="1:71" s="3030" customFormat="1">
      <c r="A2610" s="2126"/>
      <c r="B2610" s="2126"/>
      <c r="C2610" s="2149"/>
      <c r="D2610" s="3248"/>
      <c r="E2610" s="525"/>
      <c r="F2610" s="525"/>
      <c r="G2610" s="526"/>
      <c r="K2610" s="3280"/>
      <c r="P2610" s="3041"/>
      <c r="X2610" s="3280"/>
      <c r="AA2610" s="3041"/>
      <c r="AF2610" s="3041"/>
      <c r="AN2610" s="3280"/>
      <c r="AZ2610" s="3041"/>
      <c r="BD2610" s="3281"/>
      <c r="BH2610" s="3282"/>
      <c r="BJ2610" s="2589"/>
      <c r="BK2610" s="2126"/>
      <c r="BL2610" s="2126"/>
      <c r="BM2610" s="2126"/>
      <c r="BN2610" s="2126"/>
      <c r="BO2610" s="2126"/>
      <c r="BP2610" s="2126"/>
      <c r="BQ2610" s="2126"/>
      <c r="BR2610" s="2126"/>
      <c r="BS2610" s="2126"/>
    </row>
    <row r="2611" spans="1:71" s="3030" customFormat="1">
      <c r="A2611" s="2126"/>
      <c r="B2611" s="2126"/>
      <c r="C2611" s="2149"/>
      <c r="D2611" s="3248"/>
      <c r="E2611" s="525"/>
      <c r="F2611" s="525"/>
      <c r="G2611" s="526"/>
      <c r="K2611" s="3280"/>
      <c r="P2611" s="3041"/>
      <c r="X2611" s="3280"/>
      <c r="AA2611" s="3041"/>
      <c r="AF2611" s="3041"/>
      <c r="AN2611" s="3280"/>
      <c r="AZ2611" s="3041"/>
      <c r="BD2611" s="3281"/>
      <c r="BH2611" s="3282"/>
      <c r="BJ2611" s="2589"/>
      <c r="BK2611" s="2126"/>
      <c r="BL2611" s="2126"/>
      <c r="BM2611" s="2126"/>
      <c r="BN2611" s="2126"/>
      <c r="BO2611" s="2126"/>
      <c r="BP2611" s="2126"/>
      <c r="BQ2611" s="2126"/>
      <c r="BR2611" s="2126"/>
      <c r="BS2611" s="2126"/>
    </row>
    <row r="2612" spans="1:71" s="3030" customFormat="1">
      <c r="A2612" s="2126"/>
      <c r="B2612" s="2126"/>
      <c r="C2612" s="2149"/>
      <c r="D2612" s="3248"/>
      <c r="E2612" s="525"/>
      <c r="F2612" s="525"/>
      <c r="G2612" s="526"/>
      <c r="K2612" s="3280"/>
      <c r="P2612" s="3041"/>
      <c r="X2612" s="3280"/>
      <c r="AA2612" s="3041"/>
      <c r="AF2612" s="3041"/>
      <c r="AN2612" s="3280"/>
      <c r="AZ2612" s="3041"/>
      <c r="BD2612" s="3281"/>
      <c r="BH2612" s="3282"/>
      <c r="BJ2612" s="2589"/>
      <c r="BK2612" s="2126"/>
      <c r="BL2612" s="2126"/>
      <c r="BM2612" s="2126"/>
      <c r="BN2612" s="2126"/>
      <c r="BO2612" s="2126"/>
      <c r="BP2612" s="2126"/>
      <c r="BQ2612" s="2126"/>
      <c r="BR2612" s="2126"/>
      <c r="BS2612" s="2126"/>
    </row>
    <row r="2613" spans="1:71" s="3030" customFormat="1">
      <c r="A2613" s="2126"/>
      <c r="B2613" s="2126"/>
      <c r="C2613" s="2149"/>
      <c r="D2613" s="3248"/>
      <c r="E2613" s="525"/>
      <c r="F2613" s="525"/>
      <c r="G2613" s="526"/>
      <c r="K2613" s="3280"/>
      <c r="P2613" s="3041"/>
      <c r="X2613" s="3280"/>
      <c r="AA2613" s="3041"/>
      <c r="AF2613" s="3041"/>
      <c r="AN2613" s="3280"/>
      <c r="AZ2613" s="3041"/>
      <c r="BD2613" s="3281"/>
      <c r="BH2613" s="3282"/>
      <c r="BJ2613" s="2589"/>
      <c r="BK2613" s="2126"/>
      <c r="BL2613" s="2126"/>
      <c r="BM2613" s="2126"/>
      <c r="BN2613" s="2126"/>
      <c r="BO2613" s="2126"/>
      <c r="BP2613" s="2126"/>
      <c r="BQ2613" s="2126"/>
      <c r="BR2613" s="2126"/>
      <c r="BS2613" s="2126"/>
    </row>
    <row r="2614" spans="1:71" s="3030" customFormat="1">
      <c r="A2614" s="2126"/>
      <c r="B2614" s="2126"/>
      <c r="C2614" s="2149"/>
      <c r="D2614" s="3248"/>
      <c r="E2614" s="525"/>
      <c r="F2614" s="525"/>
      <c r="G2614" s="526"/>
      <c r="K2614" s="3280"/>
      <c r="P2614" s="3041"/>
      <c r="X2614" s="3280"/>
      <c r="AA2614" s="3041"/>
      <c r="AF2614" s="3041"/>
      <c r="AN2614" s="3280"/>
      <c r="AZ2614" s="3041"/>
      <c r="BD2614" s="3281"/>
      <c r="BH2614" s="3282"/>
      <c r="BJ2614" s="2589"/>
      <c r="BK2614" s="2126"/>
      <c r="BL2614" s="2126"/>
      <c r="BM2614" s="2126"/>
      <c r="BN2614" s="2126"/>
      <c r="BO2614" s="2126"/>
      <c r="BP2614" s="2126"/>
      <c r="BQ2614" s="2126"/>
      <c r="BR2614" s="2126"/>
      <c r="BS2614" s="2126"/>
    </row>
    <row r="2615" spans="1:71" s="3030" customFormat="1">
      <c r="A2615" s="2126"/>
      <c r="B2615" s="2126"/>
      <c r="C2615" s="2149"/>
      <c r="D2615" s="3248"/>
      <c r="E2615" s="525"/>
      <c r="F2615" s="525"/>
      <c r="G2615" s="526"/>
      <c r="K2615" s="3280"/>
      <c r="P2615" s="3041"/>
      <c r="X2615" s="3280"/>
      <c r="AA2615" s="3041"/>
      <c r="AF2615" s="3041"/>
      <c r="AN2615" s="3280"/>
      <c r="AZ2615" s="3041"/>
      <c r="BD2615" s="3281"/>
      <c r="BH2615" s="3282"/>
      <c r="BJ2615" s="2589"/>
      <c r="BK2615" s="2126"/>
      <c r="BL2615" s="2126"/>
      <c r="BM2615" s="2126"/>
      <c r="BN2615" s="2126"/>
      <c r="BO2615" s="2126"/>
      <c r="BP2615" s="2126"/>
      <c r="BQ2615" s="2126"/>
      <c r="BR2615" s="2126"/>
      <c r="BS2615" s="2126"/>
    </row>
    <row r="2616" spans="1:71" s="3030" customFormat="1">
      <c r="A2616" s="2126"/>
      <c r="B2616" s="2126"/>
      <c r="C2616" s="2149"/>
      <c r="D2616" s="3248"/>
      <c r="E2616" s="525"/>
      <c r="F2616" s="525"/>
      <c r="G2616" s="526"/>
      <c r="K2616" s="3280"/>
      <c r="P2616" s="3041"/>
      <c r="X2616" s="3280"/>
      <c r="AA2616" s="3041"/>
      <c r="AF2616" s="3041"/>
      <c r="AN2616" s="3280"/>
      <c r="AZ2616" s="3041"/>
      <c r="BD2616" s="3281"/>
      <c r="BH2616" s="3282"/>
      <c r="BJ2616" s="2589"/>
      <c r="BK2616" s="2126"/>
      <c r="BL2616" s="2126"/>
      <c r="BM2616" s="2126"/>
      <c r="BN2616" s="2126"/>
      <c r="BO2616" s="2126"/>
      <c r="BP2616" s="2126"/>
      <c r="BQ2616" s="2126"/>
      <c r="BR2616" s="2126"/>
      <c r="BS2616" s="2126"/>
    </row>
    <row r="2617" spans="1:71" s="3030" customFormat="1">
      <c r="A2617" s="2126"/>
      <c r="B2617" s="2126"/>
      <c r="C2617" s="2149"/>
      <c r="D2617" s="3248"/>
      <c r="E2617" s="525"/>
      <c r="F2617" s="525"/>
      <c r="G2617" s="526"/>
      <c r="K2617" s="3280"/>
      <c r="P2617" s="3041"/>
      <c r="X2617" s="3280"/>
      <c r="AA2617" s="3041"/>
      <c r="AF2617" s="3041"/>
      <c r="AN2617" s="3280"/>
      <c r="AZ2617" s="3041"/>
      <c r="BD2617" s="3281"/>
      <c r="BH2617" s="3282"/>
      <c r="BJ2617" s="2589"/>
      <c r="BK2617" s="2126"/>
      <c r="BL2617" s="2126"/>
      <c r="BM2617" s="2126"/>
      <c r="BN2617" s="2126"/>
      <c r="BO2617" s="2126"/>
      <c r="BP2617" s="2126"/>
      <c r="BQ2617" s="2126"/>
      <c r="BR2617" s="2126"/>
      <c r="BS2617" s="2126"/>
    </row>
    <row r="2618" spans="1:71" s="3030" customFormat="1">
      <c r="A2618" s="2126"/>
      <c r="B2618" s="2126"/>
      <c r="C2618" s="2149"/>
      <c r="D2618" s="3248"/>
      <c r="E2618" s="525"/>
      <c r="F2618" s="525"/>
      <c r="G2618" s="526"/>
      <c r="K2618" s="3280"/>
      <c r="P2618" s="3041"/>
      <c r="X2618" s="3280"/>
      <c r="AA2618" s="3041"/>
      <c r="AF2618" s="3041"/>
      <c r="AN2618" s="3280"/>
      <c r="AZ2618" s="3041"/>
      <c r="BD2618" s="3281"/>
      <c r="BH2618" s="3282"/>
      <c r="BJ2618" s="2589"/>
      <c r="BK2618" s="2126"/>
      <c r="BL2618" s="2126"/>
      <c r="BM2618" s="2126"/>
      <c r="BN2618" s="2126"/>
      <c r="BO2618" s="2126"/>
      <c r="BP2618" s="2126"/>
      <c r="BQ2618" s="2126"/>
      <c r="BR2618" s="2126"/>
      <c r="BS2618" s="2126"/>
    </row>
    <row r="2619" spans="1:71" s="3030" customFormat="1">
      <c r="A2619" s="2126"/>
      <c r="B2619" s="2126"/>
      <c r="C2619" s="2149"/>
      <c r="D2619" s="3248"/>
      <c r="E2619" s="525"/>
      <c r="F2619" s="525"/>
      <c r="G2619" s="526"/>
      <c r="K2619" s="3280"/>
      <c r="P2619" s="3041"/>
      <c r="X2619" s="3280"/>
      <c r="AA2619" s="3041"/>
      <c r="AF2619" s="3041"/>
      <c r="AN2619" s="3280"/>
      <c r="AZ2619" s="3041"/>
      <c r="BD2619" s="3281"/>
      <c r="BH2619" s="3282"/>
      <c r="BJ2619" s="2589"/>
      <c r="BK2619" s="2126"/>
      <c r="BL2619" s="2126"/>
      <c r="BM2619" s="2126"/>
      <c r="BN2619" s="2126"/>
      <c r="BO2619" s="2126"/>
      <c r="BP2619" s="2126"/>
      <c r="BQ2619" s="2126"/>
      <c r="BR2619" s="2126"/>
      <c r="BS2619" s="2126"/>
    </row>
    <row r="2620" spans="1:71" s="3030" customFormat="1">
      <c r="A2620" s="2126"/>
      <c r="B2620" s="2126"/>
      <c r="C2620" s="2149"/>
      <c r="D2620" s="3248"/>
      <c r="E2620" s="525"/>
      <c r="F2620" s="525"/>
      <c r="G2620" s="526"/>
      <c r="K2620" s="3280"/>
      <c r="P2620" s="3041"/>
      <c r="X2620" s="3280"/>
      <c r="AA2620" s="3041"/>
      <c r="AF2620" s="3041"/>
      <c r="AN2620" s="3280"/>
      <c r="AZ2620" s="3041"/>
      <c r="BD2620" s="3281"/>
      <c r="BH2620" s="3282"/>
      <c r="BJ2620" s="2589"/>
      <c r="BK2620" s="2126"/>
      <c r="BL2620" s="2126"/>
      <c r="BM2620" s="2126"/>
      <c r="BN2620" s="2126"/>
      <c r="BO2620" s="2126"/>
      <c r="BP2620" s="2126"/>
      <c r="BQ2620" s="2126"/>
      <c r="BR2620" s="2126"/>
      <c r="BS2620" s="2126"/>
    </row>
    <row r="2621" spans="1:71" s="3030" customFormat="1">
      <c r="A2621" s="2126"/>
      <c r="B2621" s="2126"/>
      <c r="C2621" s="2149"/>
      <c r="D2621" s="3248"/>
      <c r="E2621" s="525"/>
      <c r="F2621" s="525"/>
      <c r="G2621" s="526"/>
      <c r="K2621" s="3280"/>
      <c r="P2621" s="3041"/>
      <c r="X2621" s="3280"/>
      <c r="AA2621" s="3041"/>
      <c r="AF2621" s="3041"/>
      <c r="AN2621" s="3280"/>
      <c r="AZ2621" s="3041"/>
      <c r="BD2621" s="3281"/>
      <c r="BH2621" s="3282"/>
      <c r="BJ2621" s="2589"/>
      <c r="BK2621" s="2126"/>
      <c r="BL2621" s="2126"/>
      <c r="BM2621" s="2126"/>
      <c r="BN2621" s="2126"/>
      <c r="BO2621" s="2126"/>
      <c r="BP2621" s="2126"/>
      <c r="BQ2621" s="2126"/>
      <c r="BR2621" s="2126"/>
      <c r="BS2621" s="2126"/>
    </row>
    <row r="2622" spans="1:71" s="3030" customFormat="1">
      <c r="A2622" s="2126"/>
      <c r="B2622" s="2126"/>
      <c r="C2622" s="2149"/>
      <c r="D2622" s="3248"/>
      <c r="E2622" s="525"/>
      <c r="F2622" s="525"/>
      <c r="G2622" s="526"/>
      <c r="K2622" s="3280"/>
      <c r="P2622" s="3041"/>
      <c r="X2622" s="3280"/>
      <c r="AA2622" s="3041"/>
      <c r="AF2622" s="3041"/>
      <c r="AN2622" s="3280"/>
      <c r="AZ2622" s="3041"/>
      <c r="BD2622" s="3281"/>
      <c r="BH2622" s="3282"/>
      <c r="BJ2622" s="2589"/>
      <c r="BK2622" s="2126"/>
      <c r="BL2622" s="2126"/>
      <c r="BM2622" s="2126"/>
      <c r="BN2622" s="2126"/>
      <c r="BO2622" s="2126"/>
      <c r="BP2622" s="2126"/>
      <c r="BQ2622" s="2126"/>
      <c r="BR2622" s="2126"/>
      <c r="BS2622" s="2126"/>
    </row>
    <row r="2623" spans="1:71" s="3030" customFormat="1">
      <c r="A2623" s="2126"/>
      <c r="B2623" s="2126"/>
      <c r="C2623" s="2149"/>
      <c r="D2623" s="3248"/>
      <c r="E2623" s="525"/>
      <c r="F2623" s="525"/>
      <c r="G2623" s="526"/>
      <c r="K2623" s="3280"/>
      <c r="P2623" s="3041"/>
      <c r="X2623" s="3280"/>
      <c r="AA2623" s="3041"/>
      <c r="AF2623" s="3041"/>
      <c r="AN2623" s="3280"/>
      <c r="AZ2623" s="3041"/>
      <c r="BD2623" s="3281"/>
      <c r="BH2623" s="3282"/>
      <c r="BJ2623" s="2589"/>
      <c r="BK2623" s="2126"/>
      <c r="BL2623" s="2126"/>
      <c r="BM2623" s="2126"/>
      <c r="BN2623" s="2126"/>
      <c r="BO2623" s="2126"/>
      <c r="BP2623" s="2126"/>
      <c r="BQ2623" s="2126"/>
      <c r="BR2623" s="2126"/>
      <c r="BS2623" s="2126"/>
    </row>
    <row r="2624" spans="1:71" s="3030" customFormat="1">
      <c r="A2624" s="2126"/>
      <c r="B2624" s="2126"/>
      <c r="C2624" s="2149"/>
      <c r="D2624" s="3248"/>
      <c r="E2624" s="525"/>
      <c r="F2624" s="525"/>
      <c r="G2624" s="526"/>
      <c r="K2624" s="3280"/>
      <c r="P2624" s="3041"/>
      <c r="X2624" s="3280"/>
      <c r="AA2624" s="3041"/>
      <c r="AF2624" s="3041"/>
      <c r="AN2624" s="3280"/>
      <c r="AZ2624" s="3041"/>
      <c r="BD2624" s="3281"/>
      <c r="BH2624" s="3282"/>
      <c r="BJ2624" s="2589"/>
      <c r="BK2624" s="2126"/>
      <c r="BL2624" s="2126"/>
      <c r="BM2624" s="2126"/>
      <c r="BN2624" s="2126"/>
      <c r="BO2624" s="2126"/>
      <c r="BP2624" s="2126"/>
      <c r="BQ2624" s="2126"/>
      <c r="BR2624" s="2126"/>
      <c r="BS2624" s="2126"/>
    </row>
    <row r="2625" spans="1:71" s="3030" customFormat="1">
      <c r="A2625" s="2126"/>
      <c r="B2625" s="2126"/>
      <c r="C2625" s="2149"/>
      <c r="D2625" s="3248"/>
      <c r="E2625" s="525"/>
      <c r="F2625" s="525"/>
      <c r="G2625" s="526"/>
      <c r="K2625" s="3280"/>
      <c r="P2625" s="3041"/>
      <c r="X2625" s="3280"/>
      <c r="AA2625" s="3041"/>
      <c r="AF2625" s="3041"/>
      <c r="AN2625" s="3280"/>
      <c r="AZ2625" s="3041"/>
      <c r="BD2625" s="3281"/>
      <c r="BH2625" s="3282"/>
      <c r="BJ2625" s="2589"/>
      <c r="BK2625" s="2126"/>
      <c r="BL2625" s="2126"/>
      <c r="BM2625" s="2126"/>
      <c r="BN2625" s="2126"/>
      <c r="BO2625" s="2126"/>
      <c r="BP2625" s="2126"/>
      <c r="BQ2625" s="2126"/>
      <c r="BR2625" s="2126"/>
      <c r="BS2625" s="2126"/>
    </row>
    <row r="2626" spans="1:71" s="3030" customFormat="1">
      <c r="A2626" s="2126"/>
      <c r="B2626" s="2126"/>
      <c r="C2626" s="2149"/>
      <c r="D2626" s="3248"/>
      <c r="E2626" s="525"/>
      <c r="F2626" s="525"/>
      <c r="G2626" s="526"/>
      <c r="K2626" s="3280"/>
      <c r="P2626" s="3041"/>
      <c r="X2626" s="3280"/>
      <c r="AA2626" s="3041"/>
      <c r="AF2626" s="3041"/>
      <c r="AN2626" s="3280"/>
      <c r="AZ2626" s="3041"/>
      <c r="BD2626" s="3281"/>
      <c r="BH2626" s="3282"/>
      <c r="BJ2626" s="2589"/>
      <c r="BK2626" s="2126"/>
      <c r="BL2626" s="2126"/>
      <c r="BM2626" s="2126"/>
      <c r="BN2626" s="2126"/>
      <c r="BO2626" s="2126"/>
      <c r="BP2626" s="2126"/>
      <c r="BQ2626" s="2126"/>
      <c r="BR2626" s="2126"/>
      <c r="BS2626" s="2126"/>
    </row>
    <row r="2627" spans="1:71" s="3030" customFormat="1">
      <c r="A2627" s="2126"/>
      <c r="B2627" s="2126"/>
      <c r="C2627" s="2149"/>
      <c r="D2627" s="3248"/>
      <c r="E2627" s="525"/>
      <c r="F2627" s="525"/>
      <c r="G2627" s="526"/>
      <c r="K2627" s="3280"/>
      <c r="P2627" s="3041"/>
      <c r="X2627" s="3280"/>
      <c r="AA2627" s="3041"/>
      <c r="AF2627" s="3041"/>
      <c r="AN2627" s="3280"/>
      <c r="AZ2627" s="3041"/>
      <c r="BD2627" s="3281"/>
      <c r="BH2627" s="3282"/>
      <c r="BJ2627" s="2589"/>
      <c r="BK2627" s="2126"/>
      <c r="BL2627" s="2126"/>
      <c r="BM2627" s="2126"/>
      <c r="BN2627" s="2126"/>
      <c r="BO2627" s="2126"/>
      <c r="BP2627" s="2126"/>
      <c r="BQ2627" s="2126"/>
      <c r="BR2627" s="2126"/>
      <c r="BS2627" s="2126"/>
    </row>
    <row r="2628" spans="1:71" s="3030" customFormat="1">
      <c r="A2628" s="2126"/>
      <c r="B2628" s="2126"/>
      <c r="C2628" s="2149"/>
      <c r="D2628" s="3248"/>
      <c r="E2628" s="525"/>
      <c r="F2628" s="525"/>
      <c r="G2628" s="526"/>
      <c r="K2628" s="3280"/>
      <c r="P2628" s="3041"/>
      <c r="X2628" s="3280"/>
      <c r="AA2628" s="3041"/>
      <c r="AF2628" s="3041"/>
      <c r="AN2628" s="3280"/>
      <c r="AZ2628" s="3041"/>
      <c r="BD2628" s="3281"/>
      <c r="BH2628" s="3282"/>
      <c r="BJ2628" s="2589"/>
      <c r="BK2628" s="2126"/>
      <c r="BL2628" s="2126"/>
      <c r="BM2628" s="2126"/>
      <c r="BN2628" s="2126"/>
      <c r="BO2628" s="2126"/>
      <c r="BP2628" s="2126"/>
      <c r="BQ2628" s="2126"/>
      <c r="BR2628" s="2126"/>
      <c r="BS2628" s="2126"/>
    </row>
    <row r="2629" spans="1:71" s="3030" customFormat="1">
      <c r="A2629" s="2126"/>
      <c r="B2629" s="2126"/>
      <c r="C2629" s="2149"/>
      <c r="D2629" s="3248"/>
      <c r="E2629" s="525"/>
      <c r="F2629" s="525"/>
      <c r="G2629" s="526"/>
      <c r="K2629" s="3280"/>
      <c r="P2629" s="3041"/>
      <c r="X2629" s="3280"/>
      <c r="AA2629" s="3041"/>
      <c r="AF2629" s="3041"/>
      <c r="AN2629" s="3280"/>
      <c r="AZ2629" s="3041"/>
      <c r="BD2629" s="3281"/>
      <c r="BH2629" s="3282"/>
      <c r="BJ2629" s="2589"/>
      <c r="BK2629" s="2126"/>
      <c r="BL2629" s="2126"/>
      <c r="BM2629" s="2126"/>
      <c r="BN2629" s="2126"/>
      <c r="BO2629" s="2126"/>
      <c r="BP2629" s="2126"/>
      <c r="BQ2629" s="2126"/>
      <c r="BR2629" s="2126"/>
      <c r="BS2629" s="2126"/>
    </row>
    <row r="2630" spans="1:71" s="3030" customFormat="1">
      <c r="A2630" s="2126"/>
      <c r="B2630" s="2126"/>
      <c r="C2630" s="2149"/>
      <c r="D2630" s="3248"/>
      <c r="E2630" s="525"/>
      <c r="F2630" s="525"/>
      <c r="G2630" s="526"/>
      <c r="K2630" s="3280"/>
      <c r="P2630" s="3041"/>
      <c r="X2630" s="3280"/>
      <c r="AA2630" s="3041"/>
      <c r="AF2630" s="3041"/>
      <c r="AN2630" s="3280"/>
      <c r="AZ2630" s="3041"/>
      <c r="BD2630" s="3281"/>
      <c r="BH2630" s="3282"/>
      <c r="BJ2630" s="2589"/>
      <c r="BK2630" s="2126"/>
      <c r="BL2630" s="2126"/>
      <c r="BM2630" s="2126"/>
      <c r="BN2630" s="2126"/>
      <c r="BO2630" s="2126"/>
      <c r="BP2630" s="2126"/>
      <c r="BQ2630" s="2126"/>
      <c r="BR2630" s="2126"/>
      <c r="BS2630" s="2126"/>
    </row>
    <row r="2631" spans="1:71" s="3030" customFormat="1">
      <c r="A2631" s="2126"/>
      <c r="B2631" s="2126"/>
      <c r="C2631" s="2149"/>
      <c r="D2631" s="3248"/>
      <c r="E2631" s="525"/>
      <c r="F2631" s="525"/>
      <c r="G2631" s="526"/>
      <c r="K2631" s="3280"/>
      <c r="P2631" s="3041"/>
      <c r="X2631" s="3280"/>
      <c r="AA2631" s="3041"/>
      <c r="AF2631" s="3041"/>
      <c r="AN2631" s="3280"/>
      <c r="AZ2631" s="3041"/>
      <c r="BD2631" s="3281"/>
      <c r="BH2631" s="3282"/>
      <c r="BJ2631" s="2589"/>
      <c r="BK2631" s="2126"/>
      <c r="BL2631" s="2126"/>
      <c r="BM2631" s="2126"/>
      <c r="BN2631" s="2126"/>
      <c r="BO2631" s="2126"/>
      <c r="BP2631" s="2126"/>
      <c r="BQ2631" s="2126"/>
      <c r="BR2631" s="2126"/>
      <c r="BS2631" s="2126"/>
    </row>
    <row r="2632" spans="1:71" s="3030" customFormat="1">
      <c r="A2632" s="2126"/>
      <c r="B2632" s="2126"/>
      <c r="C2632" s="2149"/>
      <c r="D2632" s="3248"/>
      <c r="E2632" s="525"/>
      <c r="F2632" s="525"/>
      <c r="G2632" s="526"/>
      <c r="K2632" s="3280"/>
      <c r="P2632" s="3041"/>
      <c r="X2632" s="3280"/>
      <c r="AA2632" s="3041"/>
      <c r="AF2632" s="3041"/>
      <c r="AN2632" s="3280"/>
      <c r="AZ2632" s="3041"/>
      <c r="BD2632" s="3281"/>
      <c r="BH2632" s="3282"/>
      <c r="BJ2632" s="2589"/>
      <c r="BK2632" s="2126"/>
      <c r="BL2632" s="2126"/>
      <c r="BM2632" s="2126"/>
      <c r="BN2632" s="2126"/>
      <c r="BO2632" s="2126"/>
      <c r="BP2632" s="2126"/>
      <c r="BQ2632" s="2126"/>
      <c r="BR2632" s="2126"/>
      <c r="BS2632" s="2126"/>
    </row>
    <row r="2633" spans="1:71" s="3030" customFormat="1">
      <c r="A2633" s="2126"/>
      <c r="B2633" s="2126"/>
      <c r="C2633" s="2149"/>
      <c r="D2633" s="3248"/>
      <c r="E2633" s="525"/>
      <c r="F2633" s="525"/>
      <c r="G2633" s="526"/>
      <c r="K2633" s="3280"/>
      <c r="P2633" s="3041"/>
      <c r="X2633" s="3280"/>
      <c r="AA2633" s="3041"/>
      <c r="AF2633" s="3041"/>
      <c r="AN2633" s="3280"/>
      <c r="AZ2633" s="3041"/>
      <c r="BD2633" s="3281"/>
      <c r="BH2633" s="3282"/>
      <c r="BJ2633" s="2589"/>
      <c r="BK2633" s="2126"/>
      <c r="BL2633" s="2126"/>
      <c r="BM2633" s="2126"/>
      <c r="BN2633" s="2126"/>
      <c r="BO2633" s="2126"/>
      <c r="BP2633" s="2126"/>
      <c r="BQ2633" s="2126"/>
      <c r="BR2633" s="2126"/>
      <c r="BS2633" s="2126"/>
    </row>
    <row r="2634" spans="1:71" s="3030" customFormat="1">
      <c r="A2634" s="2126"/>
      <c r="B2634" s="2126"/>
      <c r="C2634" s="2149"/>
      <c r="D2634" s="3248"/>
      <c r="E2634" s="525"/>
      <c r="F2634" s="525"/>
      <c r="G2634" s="526"/>
      <c r="K2634" s="3280"/>
      <c r="P2634" s="3041"/>
      <c r="X2634" s="3280"/>
      <c r="AA2634" s="3041"/>
      <c r="AF2634" s="3041"/>
      <c r="AN2634" s="3280"/>
      <c r="AZ2634" s="3041"/>
      <c r="BD2634" s="3281"/>
      <c r="BH2634" s="3282"/>
      <c r="BJ2634" s="2589"/>
      <c r="BK2634" s="2126"/>
      <c r="BL2634" s="2126"/>
      <c r="BM2634" s="2126"/>
      <c r="BN2634" s="2126"/>
      <c r="BO2634" s="2126"/>
      <c r="BP2634" s="2126"/>
      <c r="BQ2634" s="2126"/>
      <c r="BR2634" s="2126"/>
      <c r="BS2634" s="2126"/>
    </row>
    <row r="2635" spans="1:71" s="3030" customFormat="1">
      <c r="A2635" s="2126"/>
      <c r="B2635" s="2126"/>
      <c r="C2635" s="2149"/>
      <c r="D2635" s="3248"/>
      <c r="E2635" s="525"/>
      <c r="F2635" s="525"/>
      <c r="G2635" s="526"/>
      <c r="K2635" s="3280"/>
      <c r="P2635" s="3041"/>
      <c r="X2635" s="3280"/>
      <c r="AA2635" s="3041"/>
      <c r="AF2635" s="3041"/>
      <c r="AN2635" s="3280"/>
      <c r="AZ2635" s="3041"/>
      <c r="BD2635" s="3281"/>
      <c r="BH2635" s="3282"/>
      <c r="BJ2635" s="2589"/>
      <c r="BK2635" s="2126"/>
      <c r="BL2635" s="2126"/>
      <c r="BM2635" s="2126"/>
      <c r="BN2635" s="2126"/>
      <c r="BO2635" s="2126"/>
      <c r="BP2635" s="2126"/>
      <c r="BQ2635" s="2126"/>
      <c r="BR2635" s="2126"/>
      <c r="BS2635" s="2126"/>
    </row>
    <row r="2636" spans="1:71" s="3030" customFormat="1">
      <c r="A2636" s="2126"/>
      <c r="B2636" s="2126"/>
      <c r="C2636" s="2149"/>
      <c r="D2636" s="3248"/>
      <c r="E2636" s="525"/>
      <c r="F2636" s="525"/>
      <c r="G2636" s="526"/>
      <c r="K2636" s="3280"/>
      <c r="P2636" s="3041"/>
      <c r="X2636" s="3280"/>
      <c r="AA2636" s="3041"/>
      <c r="AF2636" s="3041"/>
      <c r="AN2636" s="3280"/>
      <c r="AZ2636" s="3041"/>
      <c r="BD2636" s="3281"/>
      <c r="BH2636" s="3282"/>
      <c r="BJ2636" s="2589"/>
      <c r="BK2636" s="2126"/>
      <c r="BL2636" s="2126"/>
      <c r="BM2636" s="2126"/>
      <c r="BN2636" s="2126"/>
      <c r="BO2636" s="2126"/>
      <c r="BP2636" s="2126"/>
      <c r="BQ2636" s="2126"/>
      <c r="BR2636" s="2126"/>
      <c r="BS2636" s="2126"/>
    </row>
    <row r="2637" spans="1:71" s="3030" customFormat="1">
      <c r="A2637" s="2126"/>
      <c r="B2637" s="2126"/>
      <c r="C2637" s="2149"/>
      <c r="D2637" s="3248"/>
      <c r="E2637" s="525"/>
      <c r="F2637" s="525"/>
      <c r="G2637" s="526"/>
      <c r="K2637" s="3280"/>
      <c r="P2637" s="3041"/>
      <c r="X2637" s="3280"/>
      <c r="AA2637" s="3041"/>
      <c r="AF2637" s="3041"/>
      <c r="AN2637" s="3280"/>
      <c r="AZ2637" s="3041"/>
      <c r="BD2637" s="3281"/>
      <c r="BH2637" s="3282"/>
      <c r="BJ2637" s="2589"/>
      <c r="BK2637" s="2126"/>
      <c r="BL2637" s="2126"/>
      <c r="BM2637" s="2126"/>
      <c r="BN2637" s="2126"/>
      <c r="BO2637" s="2126"/>
      <c r="BP2637" s="2126"/>
      <c r="BQ2637" s="2126"/>
      <c r="BR2637" s="2126"/>
      <c r="BS2637" s="2126"/>
    </row>
    <row r="2638" spans="1:71" s="3030" customFormat="1">
      <c r="A2638" s="2126"/>
      <c r="B2638" s="2126"/>
      <c r="C2638" s="2149"/>
      <c r="D2638" s="3248"/>
      <c r="E2638" s="525"/>
      <c r="F2638" s="525"/>
      <c r="G2638" s="526"/>
      <c r="K2638" s="3280"/>
      <c r="P2638" s="3041"/>
      <c r="X2638" s="3280"/>
      <c r="AA2638" s="3041"/>
      <c r="AF2638" s="3041"/>
      <c r="AN2638" s="3280"/>
      <c r="AZ2638" s="3041"/>
      <c r="BD2638" s="3281"/>
      <c r="BH2638" s="3282"/>
      <c r="BJ2638" s="2589"/>
      <c r="BK2638" s="2126"/>
      <c r="BL2638" s="2126"/>
      <c r="BM2638" s="2126"/>
      <c r="BN2638" s="2126"/>
      <c r="BO2638" s="2126"/>
      <c r="BP2638" s="2126"/>
      <c r="BQ2638" s="2126"/>
      <c r="BR2638" s="2126"/>
      <c r="BS2638" s="2126"/>
    </row>
    <row r="2639" spans="1:71" s="3030" customFormat="1">
      <c r="A2639" s="2126"/>
      <c r="B2639" s="2126"/>
      <c r="C2639" s="2149"/>
      <c r="D2639" s="3248"/>
      <c r="E2639" s="525"/>
      <c r="F2639" s="525"/>
      <c r="G2639" s="526"/>
      <c r="K2639" s="3280"/>
      <c r="P2639" s="3041"/>
      <c r="X2639" s="3280"/>
      <c r="AA2639" s="3041"/>
      <c r="AF2639" s="3041"/>
      <c r="AN2639" s="3280"/>
      <c r="AZ2639" s="3041"/>
      <c r="BD2639" s="3281"/>
      <c r="BH2639" s="3282"/>
      <c r="BJ2639" s="2589"/>
      <c r="BK2639" s="2126"/>
      <c r="BL2639" s="2126"/>
      <c r="BM2639" s="2126"/>
      <c r="BN2639" s="2126"/>
      <c r="BO2639" s="2126"/>
      <c r="BP2639" s="2126"/>
      <c r="BQ2639" s="2126"/>
      <c r="BR2639" s="2126"/>
      <c r="BS2639" s="2126"/>
    </row>
    <row r="2640" spans="1:71" s="3030" customFormat="1">
      <c r="A2640" s="2126"/>
      <c r="B2640" s="2126"/>
      <c r="C2640" s="2149"/>
      <c r="D2640" s="3248"/>
      <c r="E2640" s="525"/>
      <c r="F2640" s="525"/>
      <c r="G2640" s="526"/>
      <c r="K2640" s="3280"/>
      <c r="P2640" s="3041"/>
      <c r="X2640" s="3280"/>
      <c r="AA2640" s="3041"/>
      <c r="AF2640" s="3041"/>
      <c r="AN2640" s="3280"/>
      <c r="AZ2640" s="3041"/>
      <c r="BD2640" s="3281"/>
      <c r="BH2640" s="3282"/>
      <c r="BJ2640" s="2589"/>
      <c r="BK2640" s="2126"/>
      <c r="BL2640" s="2126"/>
      <c r="BM2640" s="2126"/>
      <c r="BN2640" s="2126"/>
      <c r="BO2640" s="2126"/>
      <c r="BP2640" s="2126"/>
      <c r="BQ2640" s="2126"/>
      <c r="BR2640" s="2126"/>
      <c r="BS2640" s="2126"/>
    </row>
    <row r="2641" spans="1:71" s="3030" customFormat="1">
      <c r="A2641" s="2126"/>
      <c r="B2641" s="2126"/>
      <c r="C2641" s="2149"/>
      <c r="D2641" s="3248"/>
      <c r="E2641" s="525"/>
      <c r="F2641" s="525"/>
      <c r="G2641" s="526"/>
      <c r="K2641" s="3280"/>
      <c r="P2641" s="3041"/>
      <c r="X2641" s="3280"/>
      <c r="AA2641" s="3041"/>
      <c r="AF2641" s="3041"/>
      <c r="AN2641" s="3280"/>
      <c r="AZ2641" s="3041"/>
      <c r="BD2641" s="3281"/>
      <c r="BH2641" s="3282"/>
      <c r="BJ2641" s="2589"/>
      <c r="BK2641" s="2126"/>
      <c r="BL2641" s="2126"/>
      <c r="BM2641" s="2126"/>
      <c r="BN2641" s="2126"/>
      <c r="BO2641" s="2126"/>
      <c r="BP2641" s="2126"/>
      <c r="BQ2641" s="2126"/>
      <c r="BR2641" s="2126"/>
      <c r="BS2641" s="2126"/>
    </row>
    <row r="2642" spans="1:71" s="3030" customFormat="1">
      <c r="A2642" s="2126"/>
      <c r="B2642" s="2126"/>
      <c r="C2642" s="2149"/>
      <c r="D2642" s="3248"/>
      <c r="E2642" s="525"/>
      <c r="F2642" s="525"/>
      <c r="G2642" s="526"/>
      <c r="K2642" s="3280"/>
      <c r="P2642" s="3041"/>
      <c r="X2642" s="3280"/>
      <c r="AA2642" s="3041"/>
      <c r="AF2642" s="3041"/>
      <c r="AN2642" s="3280"/>
      <c r="AZ2642" s="3041"/>
      <c r="BD2642" s="3281"/>
      <c r="BH2642" s="3282"/>
      <c r="BJ2642" s="2589"/>
      <c r="BK2642" s="2126"/>
      <c r="BL2642" s="2126"/>
      <c r="BM2642" s="2126"/>
      <c r="BN2642" s="2126"/>
      <c r="BO2642" s="2126"/>
      <c r="BP2642" s="2126"/>
      <c r="BQ2642" s="2126"/>
      <c r="BR2642" s="2126"/>
      <c r="BS2642" s="2126"/>
    </row>
    <row r="2643" spans="1:71" s="3030" customFormat="1">
      <c r="A2643" s="2126"/>
      <c r="B2643" s="2126"/>
      <c r="C2643" s="2149"/>
      <c r="D2643" s="3248"/>
      <c r="E2643" s="525"/>
      <c r="F2643" s="525"/>
      <c r="G2643" s="526"/>
      <c r="K2643" s="3280"/>
      <c r="P2643" s="3041"/>
      <c r="X2643" s="3280"/>
      <c r="AA2643" s="3041"/>
      <c r="AF2643" s="3041"/>
      <c r="AN2643" s="3280"/>
      <c r="AZ2643" s="3041"/>
      <c r="BD2643" s="3281"/>
      <c r="BH2643" s="3282"/>
      <c r="BJ2643" s="2589"/>
      <c r="BK2643" s="2126"/>
      <c r="BL2643" s="2126"/>
      <c r="BM2643" s="2126"/>
      <c r="BN2643" s="2126"/>
      <c r="BO2643" s="2126"/>
      <c r="BP2643" s="2126"/>
      <c r="BQ2643" s="2126"/>
      <c r="BR2643" s="2126"/>
      <c r="BS2643" s="2126"/>
    </row>
    <row r="2644" spans="1:71" s="3030" customFormat="1">
      <c r="A2644" s="2126"/>
      <c r="B2644" s="2126"/>
      <c r="C2644" s="2149"/>
      <c r="D2644" s="3248"/>
      <c r="E2644" s="525"/>
      <c r="F2644" s="525"/>
      <c r="G2644" s="526"/>
      <c r="K2644" s="3280"/>
      <c r="P2644" s="3041"/>
      <c r="X2644" s="3280"/>
      <c r="AA2644" s="3041"/>
      <c r="AF2644" s="3041"/>
      <c r="AN2644" s="3280"/>
      <c r="AZ2644" s="3041"/>
      <c r="BD2644" s="3281"/>
      <c r="BH2644" s="3282"/>
      <c r="BJ2644" s="2589"/>
      <c r="BK2644" s="2126"/>
      <c r="BL2644" s="2126"/>
      <c r="BM2644" s="2126"/>
      <c r="BN2644" s="2126"/>
      <c r="BO2644" s="2126"/>
      <c r="BP2644" s="2126"/>
      <c r="BQ2644" s="2126"/>
      <c r="BR2644" s="2126"/>
      <c r="BS2644" s="2126"/>
    </row>
    <row r="2645" spans="1:71" s="3030" customFormat="1">
      <c r="A2645" s="2126"/>
      <c r="B2645" s="2126"/>
      <c r="C2645" s="2149"/>
      <c r="D2645" s="3248"/>
      <c r="E2645" s="525"/>
      <c r="F2645" s="525"/>
      <c r="G2645" s="526"/>
      <c r="K2645" s="3280"/>
      <c r="P2645" s="3041"/>
      <c r="X2645" s="3280"/>
      <c r="AA2645" s="3041"/>
      <c r="AF2645" s="3041"/>
      <c r="AN2645" s="3280"/>
      <c r="AZ2645" s="3041"/>
      <c r="BD2645" s="3281"/>
      <c r="BH2645" s="3282"/>
      <c r="BJ2645" s="2589"/>
      <c r="BK2645" s="2126"/>
      <c r="BL2645" s="2126"/>
      <c r="BM2645" s="2126"/>
      <c r="BN2645" s="2126"/>
      <c r="BO2645" s="2126"/>
      <c r="BP2645" s="2126"/>
      <c r="BQ2645" s="2126"/>
      <c r="BR2645" s="2126"/>
      <c r="BS2645" s="2126"/>
    </row>
    <row r="2646" spans="1:71" s="3030" customFormat="1">
      <c r="A2646" s="2126"/>
      <c r="B2646" s="2126"/>
      <c r="C2646" s="2149"/>
      <c r="D2646" s="3248"/>
      <c r="E2646" s="525"/>
      <c r="F2646" s="525"/>
      <c r="G2646" s="526"/>
      <c r="K2646" s="3280"/>
      <c r="P2646" s="3041"/>
      <c r="X2646" s="3280"/>
      <c r="AA2646" s="3041"/>
      <c r="AF2646" s="3041"/>
      <c r="AN2646" s="3280"/>
      <c r="AZ2646" s="3041"/>
      <c r="BD2646" s="3281"/>
      <c r="BH2646" s="3282"/>
      <c r="BJ2646" s="2589"/>
      <c r="BK2646" s="2126"/>
      <c r="BL2646" s="2126"/>
      <c r="BM2646" s="2126"/>
      <c r="BN2646" s="2126"/>
      <c r="BO2646" s="2126"/>
      <c r="BP2646" s="2126"/>
      <c r="BQ2646" s="2126"/>
      <c r="BR2646" s="2126"/>
      <c r="BS2646" s="2126"/>
    </row>
    <row r="2647" spans="1:71" s="3030" customFormat="1">
      <c r="A2647" s="2126"/>
      <c r="B2647" s="2126"/>
      <c r="C2647" s="2149"/>
      <c r="D2647" s="3248"/>
      <c r="E2647" s="525"/>
      <c r="F2647" s="525"/>
      <c r="G2647" s="526"/>
      <c r="K2647" s="3280"/>
      <c r="P2647" s="3041"/>
      <c r="X2647" s="3280"/>
      <c r="AA2647" s="3041"/>
      <c r="AF2647" s="3041"/>
      <c r="AN2647" s="3280"/>
      <c r="AZ2647" s="3041"/>
      <c r="BD2647" s="3281"/>
      <c r="BH2647" s="3282"/>
      <c r="BJ2647" s="2589"/>
      <c r="BK2647" s="2126"/>
      <c r="BL2647" s="2126"/>
      <c r="BM2647" s="2126"/>
      <c r="BN2647" s="2126"/>
      <c r="BO2647" s="2126"/>
      <c r="BP2647" s="2126"/>
      <c r="BQ2647" s="2126"/>
      <c r="BR2647" s="2126"/>
      <c r="BS2647" s="2126"/>
    </row>
    <row r="2648" spans="1:71" s="3030" customFormat="1">
      <c r="A2648" s="2126"/>
      <c r="B2648" s="2126"/>
      <c r="C2648" s="2149"/>
      <c r="D2648" s="3248"/>
      <c r="E2648" s="525"/>
      <c r="F2648" s="525"/>
      <c r="G2648" s="526"/>
      <c r="K2648" s="3280"/>
      <c r="P2648" s="3041"/>
      <c r="X2648" s="3280"/>
      <c r="AA2648" s="3041"/>
      <c r="AF2648" s="3041"/>
      <c r="AN2648" s="3280"/>
      <c r="AZ2648" s="3041"/>
      <c r="BD2648" s="3281"/>
      <c r="BH2648" s="3282"/>
      <c r="BJ2648" s="2589"/>
      <c r="BK2648" s="2126"/>
      <c r="BL2648" s="2126"/>
      <c r="BM2648" s="2126"/>
      <c r="BN2648" s="2126"/>
      <c r="BO2648" s="2126"/>
      <c r="BP2648" s="2126"/>
      <c r="BQ2648" s="2126"/>
      <c r="BR2648" s="2126"/>
      <c r="BS2648" s="2126"/>
    </row>
    <row r="2649" spans="1:71" s="3030" customFormat="1">
      <c r="A2649" s="2126"/>
      <c r="B2649" s="2126"/>
      <c r="C2649" s="2149"/>
      <c r="D2649" s="3248"/>
      <c r="E2649" s="525"/>
      <c r="F2649" s="525"/>
      <c r="G2649" s="526"/>
      <c r="K2649" s="3280"/>
      <c r="P2649" s="3041"/>
      <c r="X2649" s="3280"/>
      <c r="AA2649" s="3041"/>
      <c r="AF2649" s="3041"/>
      <c r="AN2649" s="3280"/>
      <c r="AZ2649" s="3041"/>
      <c r="BD2649" s="3281"/>
      <c r="BH2649" s="3282"/>
      <c r="BJ2649" s="2589"/>
      <c r="BK2649" s="2126"/>
      <c r="BL2649" s="2126"/>
      <c r="BM2649" s="2126"/>
      <c r="BN2649" s="2126"/>
      <c r="BO2649" s="2126"/>
      <c r="BP2649" s="2126"/>
      <c r="BQ2649" s="2126"/>
      <c r="BR2649" s="2126"/>
      <c r="BS2649" s="2126"/>
    </row>
    <row r="2650" spans="1:71" s="3030" customFormat="1">
      <c r="A2650" s="2126"/>
      <c r="B2650" s="2126"/>
      <c r="C2650" s="2149"/>
      <c r="D2650" s="3248"/>
      <c r="E2650" s="525"/>
      <c r="F2650" s="525"/>
      <c r="G2650" s="526"/>
      <c r="K2650" s="3280"/>
      <c r="P2650" s="3041"/>
      <c r="X2650" s="3280"/>
      <c r="AA2650" s="3041"/>
      <c r="AF2650" s="3041"/>
      <c r="AN2650" s="3280"/>
      <c r="AZ2650" s="3041"/>
      <c r="BD2650" s="3281"/>
      <c r="BH2650" s="3282"/>
      <c r="BJ2650" s="2589"/>
      <c r="BK2650" s="2126"/>
      <c r="BL2650" s="2126"/>
      <c r="BM2650" s="2126"/>
      <c r="BN2650" s="2126"/>
      <c r="BO2650" s="2126"/>
      <c r="BP2650" s="2126"/>
      <c r="BQ2650" s="2126"/>
      <c r="BR2650" s="2126"/>
      <c r="BS2650" s="2126"/>
    </row>
    <row r="2651" spans="1:71" s="3030" customFormat="1">
      <c r="A2651" s="2126"/>
      <c r="B2651" s="2126"/>
      <c r="C2651" s="2149"/>
      <c r="D2651" s="3248"/>
      <c r="E2651" s="525"/>
      <c r="F2651" s="525"/>
      <c r="G2651" s="526"/>
      <c r="K2651" s="3280"/>
      <c r="P2651" s="3041"/>
      <c r="X2651" s="3280"/>
      <c r="AA2651" s="3041"/>
      <c r="AF2651" s="3041"/>
      <c r="AN2651" s="3280"/>
      <c r="AZ2651" s="3041"/>
      <c r="BD2651" s="3281"/>
      <c r="BH2651" s="3282"/>
      <c r="BJ2651" s="2589"/>
      <c r="BK2651" s="2126"/>
      <c r="BL2651" s="2126"/>
      <c r="BM2651" s="2126"/>
      <c r="BN2651" s="2126"/>
      <c r="BO2651" s="2126"/>
      <c r="BP2651" s="2126"/>
      <c r="BQ2651" s="2126"/>
      <c r="BR2651" s="2126"/>
      <c r="BS2651" s="2126"/>
    </row>
    <row r="2652" spans="1:71" s="3030" customFormat="1">
      <c r="A2652" s="2126"/>
      <c r="B2652" s="2126"/>
      <c r="C2652" s="2149"/>
      <c r="D2652" s="3248"/>
      <c r="E2652" s="525"/>
      <c r="F2652" s="525"/>
      <c r="G2652" s="526"/>
      <c r="K2652" s="3280"/>
      <c r="P2652" s="3041"/>
      <c r="X2652" s="3280"/>
      <c r="AA2652" s="3041"/>
      <c r="AF2652" s="3041"/>
      <c r="AN2652" s="3280"/>
      <c r="AZ2652" s="3041"/>
      <c r="BD2652" s="3281"/>
      <c r="BH2652" s="3282"/>
      <c r="BJ2652" s="2589"/>
      <c r="BK2652" s="2126"/>
      <c r="BL2652" s="2126"/>
      <c r="BM2652" s="2126"/>
      <c r="BN2652" s="2126"/>
      <c r="BO2652" s="2126"/>
      <c r="BP2652" s="2126"/>
      <c r="BQ2652" s="2126"/>
      <c r="BR2652" s="2126"/>
      <c r="BS2652" s="2126"/>
    </row>
    <row r="2653" spans="1:71" s="3030" customFormat="1">
      <c r="A2653" s="2126"/>
      <c r="B2653" s="2126"/>
      <c r="C2653" s="2149"/>
      <c r="D2653" s="3248"/>
      <c r="E2653" s="525"/>
      <c r="F2653" s="525"/>
      <c r="G2653" s="526"/>
      <c r="K2653" s="3280"/>
      <c r="P2653" s="3041"/>
      <c r="X2653" s="3280"/>
      <c r="AA2653" s="3041"/>
      <c r="AF2653" s="3041"/>
      <c r="AN2653" s="3280"/>
      <c r="AZ2653" s="3041"/>
      <c r="BD2653" s="3281"/>
      <c r="BH2653" s="3282"/>
      <c r="BJ2653" s="2589"/>
      <c r="BK2653" s="2126"/>
      <c r="BL2653" s="2126"/>
      <c r="BM2653" s="2126"/>
      <c r="BN2653" s="2126"/>
      <c r="BO2653" s="2126"/>
      <c r="BP2653" s="2126"/>
      <c r="BQ2653" s="2126"/>
      <c r="BR2653" s="2126"/>
      <c r="BS2653" s="2126"/>
    </row>
    <row r="2654" spans="1:71" s="3030" customFormat="1">
      <c r="A2654" s="2126"/>
      <c r="B2654" s="2126"/>
      <c r="C2654" s="2149"/>
      <c r="D2654" s="3248"/>
      <c r="E2654" s="525"/>
      <c r="F2654" s="525"/>
      <c r="G2654" s="526"/>
      <c r="K2654" s="3280"/>
      <c r="P2654" s="3041"/>
      <c r="X2654" s="3280"/>
      <c r="AA2654" s="3041"/>
      <c r="AF2654" s="3041"/>
      <c r="AN2654" s="3280"/>
      <c r="AZ2654" s="3041"/>
      <c r="BD2654" s="3281"/>
      <c r="BH2654" s="3282"/>
      <c r="BJ2654" s="2589"/>
      <c r="BK2654" s="2126"/>
      <c r="BL2654" s="2126"/>
      <c r="BM2654" s="2126"/>
      <c r="BN2654" s="2126"/>
      <c r="BO2654" s="2126"/>
      <c r="BP2654" s="2126"/>
      <c r="BQ2654" s="2126"/>
      <c r="BR2654" s="2126"/>
      <c r="BS2654" s="2126"/>
    </row>
    <row r="2655" spans="1:71" s="3030" customFormat="1">
      <c r="A2655" s="2126"/>
      <c r="B2655" s="2126"/>
      <c r="C2655" s="2149"/>
      <c r="D2655" s="3248"/>
      <c r="E2655" s="525"/>
      <c r="F2655" s="525"/>
      <c r="G2655" s="526"/>
      <c r="K2655" s="3280"/>
      <c r="P2655" s="3041"/>
      <c r="X2655" s="3280"/>
      <c r="AA2655" s="3041"/>
      <c r="AF2655" s="3041"/>
      <c r="AN2655" s="3280"/>
      <c r="AZ2655" s="3041"/>
      <c r="BD2655" s="3281"/>
      <c r="BH2655" s="3282"/>
      <c r="BJ2655" s="2589"/>
      <c r="BK2655" s="2126"/>
      <c r="BL2655" s="2126"/>
      <c r="BM2655" s="2126"/>
      <c r="BN2655" s="2126"/>
      <c r="BO2655" s="2126"/>
      <c r="BP2655" s="2126"/>
      <c r="BQ2655" s="2126"/>
      <c r="BR2655" s="2126"/>
      <c r="BS2655" s="2126"/>
    </row>
    <row r="2656" spans="1:71" s="3030" customFormat="1">
      <c r="A2656" s="2126"/>
      <c r="B2656" s="2126"/>
      <c r="C2656" s="2149"/>
      <c r="D2656" s="3248"/>
      <c r="E2656" s="525"/>
      <c r="F2656" s="525"/>
      <c r="G2656" s="526"/>
      <c r="K2656" s="3280"/>
      <c r="P2656" s="3041"/>
      <c r="X2656" s="3280"/>
      <c r="AA2656" s="3041"/>
      <c r="AF2656" s="3041"/>
      <c r="AN2656" s="3280"/>
      <c r="AZ2656" s="3041"/>
      <c r="BD2656" s="3281"/>
      <c r="BH2656" s="3282"/>
      <c r="BJ2656" s="2589"/>
      <c r="BK2656" s="2126"/>
      <c r="BL2656" s="2126"/>
      <c r="BM2656" s="2126"/>
      <c r="BN2656" s="2126"/>
      <c r="BO2656" s="2126"/>
      <c r="BP2656" s="2126"/>
      <c r="BQ2656" s="2126"/>
      <c r="BR2656" s="2126"/>
      <c r="BS2656" s="2126"/>
    </row>
    <row r="2657" spans="1:71" s="3030" customFormat="1">
      <c r="A2657" s="2126"/>
      <c r="B2657" s="2126"/>
      <c r="C2657" s="2149"/>
      <c r="D2657" s="3248"/>
      <c r="E2657" s="525"/>
      <c r="F2657" s="525"/>
      <c r="G2657" s="526"/>
      <c r="K2657" s="3280"/>
      <c r="P2657" s="3041"/>
      <c r="X2657" s="3280"/>
      <c r="AA2657" s="3041"/>
      <c r="AF2657" s="3041"/>
      <c r="AN2657" s="3280"/>
      <c r="AZ2657" s="3041"/>
      <c r="BD2657" s="3281"/>
      <c r="BH2657" s="3282"/>
      <c r="BJ2657" s="2589"/>
      <c r="BK2657" s="2126"/>
      <c r="BL2657" s="2126"/>
      <c r="BM2657" s="2126"/>
      <c r="BN2657" s="2126"/>
      <c r="BO2657" s="2126"/>
      <c r="BP2657" s="2126"/>
      <c r="BQ2657" s="2126"/>
      <c r="BR2657" s="2126"/>
      <c r="BS2657" s="2126"/>
    </row>
    <row r="2658" spans="1:71" s="3030" customFormat="1">
      <c r="A2658" s="2126"/>
      <c r="B2658" s="2126"/>
      <c r="C2658" s="2149"/>
      <c r="D2658" s="3248"/>
      <c r="E2658" s="525"/>
      <c r="F2658" s="525"/>
      <c r="G2658" s="526"/>
      <c r="K2658" s="3280"/>
      <c r="P2658" s="3041"/>
      <c r="X2658" s="3280"/>
      <c r="AA2658" s="3041"/>
      <c r="AF2658" s="3041"/>
      <c r="AN2658" s="3280"/>
      <c r="AZ2658" s="3041"/>
      <c r="BD2658" s="3281"/>
      <c r="BH2658" s="3282"/>
      <c r="BJ2658" s="2589"/>
      <c r="BK2658" s="2126"/>
      <c r="BL2658" s="2126"/>
      <c r="BM2658" s="2126"/>
      <c r="BN2658" s="2126"/>
      <c r="BO2658" s="2126"/>
      <c r="BP2658" s="2126"/>
      <c r="BQ2658" s="2126"/>
      <c r="BR2658" s="2126"/>
      <c r="BS2658" s="2126"/>
    </row>
    <row r="2659" spans="1:71" s="3030" customFormat="1">
      <c r="A2659" s="2126"/>
      <c r="B2659" s="2126"/>
      <c r="C2659" s="2149"/>
      <c r="D2659" s="3248"/>
      <c r="E2659" s="525"/>
      <c r="F2659" s="525"/>
      <c r="G2659" s="526"/>
      <c r="K2659" s="3280"/>
      <c r="P2659" s="3041"/>
      <c r="X2659" s="3280"/>
      <c r="AA2659" s="3041"/>
      <c r="AF2659" s="3041"/>
      <c r="AN2659" s="3280"/>
      <c r="AZ2659" s="3041"/>
      <c r="BD2659" s="3281"/>
      <c r="BH2659" s="3282"/>
      <c r="BJ2659" s="2589"/>
      <c r="BK2659" s="2126"/>
      <c r="BL2659" s="2126"/>
      <c r="BM2659" s="2126"/>
      <c r="BN2659" s="2126"/>
      <c r="BO2659" s="2126"/>
      <c r="BP2659" s="2126"/>
      <c r="BQ2659" s="2126"/>
      <c r="BR2659" s="2126"/>
      <c r="BS2659" s="2126"/>
    </row>
    <row r="2660" spans="1:71" s="3030" customFormat="1">
      <c r="A2660" s="2126"/>
      <c r="B2660" s="2126"/>
      <c r="C2660" s="2149"/>
      <c r="D2660" s="3248"/>
      <c r="E2660" s="525"/>
      <c r="F2660" s="525"/>
      <c r="G2660" s="526"/>
      <c r="K2660" s="3280"/>
      <c r="P2660" s="3041"/>
      <c r="X2660" s="3280"/>
      <c r="AA2660" s="3041"/>
      <c r="AF2660" s="3041"/>
      <c r="AN2660" s="3280"/>
      <c r="AZ2660" s="3041"/>
      <c r="BD2660" s="3281"/>
      <c r="BH2660" s="3282"/>
      <c r="BJ2660" s="2589"/>
      <c r="BK2660" s="2126"/>
      <c r="BL2660" s="2126"/>
      <c r="BM2660" s="2126"/>
      <c r="BN2660" s="2126"/>
      <c r="BO2660" s="2126"/>
      <c r="BP2660" s="2126"/>
      <c r="BQ2660" s="2126"/>
      <c r="BR2660" s="2126"/>
      <c r="BS2660" s="2126"/>
    </row>
    <row r="2661" spans="1:71" s="3030" customFormat="1">
      <c r="A2661" s="2126"/>
      <c r="B2661" s="2126"/>
      <c r="C2661" s="2149"/>
      <c r="D2661" s="3248"/>
      <c r="E2661" s="525"/>
      <c r="F2661" s="525"/>
      <c r="G2661" s="526"/>
      <c r="K2661" s="3280"/>
      <c r="P2661" s="3041"/>
      <c r="X2661" s="3280"/>
      <c r="AA2661" s="3041"/>
      <c r="AF2661" s="3041"/>
      <c r="AN2661" s="3280"/>
      <c r="AZ2661" s="3041"/>
      <c r="BD2661" s="3281"/>
      <c r="BH2661" s="3282"/>
      <c r="BJ2661" s="2589"/>
      <c r="BK2661" s="2126"/>
      <c r="BL2661" s="2126"/>
      <c r="BM2661" s="2126"/>
      <c r="BN2661" s="2126"/>
      <c r="BO2661" s="2126"/>
      <c r="BP2661" s="2126"/>
      <c r="BQ2661" s="2126"/>
      <c r="BR2661" s="2126"/>
      <c r="BS2661" s="2126"/>
    </row>
    <row r="2662" spans="1:71" s="3030" customFormat="1">
      <c r="A2662" s="2126"/>
      <c r="B2662" s="2126"/>
      <c r="C2662" s="2149"/>
      <c r="D2662" s="3248"/>
      <c r="E2662" s="525"/>
      <c r="F2662" s="525"/>
      <c r="G2662" s="526"/>
      <c r="K2662" s="3280"/>
      <c r="P2662" s="3041"/>
      <c r="X2662" s="3280"/>
      <c r="AA2662" s="3041"/>
      <c r="AF2662" s="3041"/>
      <c r="AN2662" s="3280"/>
      <c r="AZ2662" s="3041"/>
      <c r="BD2662" s="3281"/>
      <c r="BH2662" s="3282"/>
      <c r="BJ2662" s="2589"/>
      <c r="BK2662" s="2126"/>
      <c r="BL2662" s="2126"/>
      <c r="BM2662" s="2126"/>
      <c r="BN2662" s="2126"/>
      <c r="BO2662" s="2126"/>
      <c r="BP2662" s="2126"/>
      <c r="BQ2662" s="2126"/>
      <c r="BR2662" s="2126"/>
      <c r="BS2662" s="2126"/>
    </row>
    <row r="2663" spans="1:71" s="3030" customFormat="1">
      <c r="A2663" s="2126"/>
      <c r="B2663" s="2126"/>
      <c r="C2663" s="2149"/>
      <c r="D2663" s="3248"/>
      <c r="E2663" s="525"/>
      <c r="F2663" s="525"/>
      <c r="G2663" s="526"/>
      <c r="K2663" s="3280"/>
      <c r="P2663" s="3041"/>
      <c r="X2663" s="3280"/>
      <c r="AA2663" s="3041"/>
      <c r="AF2663" s="3041"/>
      <c r="AN2663" s="3280"/>
      <c r="AZ2663" s="3041"/>
      <c r="BD2663" s="3281"/>
      <c r="BH2663" s="3282"/>
      <c r="BJ2663" s="2589"/>
      <c r="BK2663" s="2126"/>
      <c r="BL2663" s="2126"/>
      <c r="BM2663" s="2126"/>
      <c r="BN2663" s="2126"/>
      <c r="BO2663" s="2126"/>
      <c r="BP2663" s="2126"/>
      <c r="BQ2663" s="2126"/>
      <c r="BR2663" s="2126"/>
      <c r="BS2663" s="2126"/>
    </row>
    <row r="2664" spans="1:71" s="3030" customFormat="1">
      <c r="A2664" s="2126"/>
      <c r="B2664" s="2126"/>
      <c r="C2664" s="2149"/>
      <c r="D2664" s="3248"/>
      <c r="E2664" s="525"/>
      <c r="F2664" s="525"/>
      <c r="G2664" s="526"/>
      <c r="K2664" s="3280"/>
      <c r="P2664" s="3041"/>
      <c r="X2664" s="3280"/>
      <c r="AA2664" s="3041"/>
      <c r="AF2664" s="3041"/>
      <c r="AN2664" s="3280"/>
      <c r="AZ2664" s="3041"/>
      <c r="BD2664" s="3281"/>
      <c r="BH2664" s="3282"/>
      <c r="BJ2664" s="2589"/>
      <c r="BK2664" s="2126"/>
      <c r="BL2664" s="2126"/>
      <c r="BM2664" s="2126"/>
      <c r="BN2664" s="2126"/>
      <c r="BO2664" s="2126"/>
      <c r="BP2664" s="2126"/>
      <c r="BQ2664" s="2126"/>
      <c r="BR2664" s="2126"/>
      <c r="BS2664" s="2126"/>
    </row>
    <row r="2665" spans="1:71" s="3030" customFormat="1">
      <c r="A2665" s="2126"/>
      <c r="B2665" s="2126"/>
      <c r="C2665" s="2149"/>
      <c r="D2665" s="3248"/>
      <c r="E2665" s="525"/>
      <c r="F2665" s="525"/>
      <c r="G2665" s="526"/>
      <c r="K2665" s="3280"/>
      <c r="P2665" s="3041"/>
      <c r="X2665" s="3280"/>
      <c r="AA2665" s="3041"/>
      <c r="AF2665" s="3041"/>
      <c r="AN2665" s="3280"/>
      <c r="AZ2665" s="3041"/>
      <c r="BD2665" s="3281"/>
      <c r="BH2665" s="3282"/>
      <c r="BJ2665" s="2589"/>
      <c r="BK2665" s="2126"/>
      <c r="BL2665" s="2126"/>
      <c r="BM2665" s="2126"/>
      <c r="BN2665" s="2126"/>
      <c r="BO2665" s="2126"/>
      <c r="BP2665" s="2126"/>
      <c r="BQ2665" s="2126"/>
      <c r="BR2665" s="2126"/>
      <c r="BS2665" s="2126"/>
    </row>
    <row r="2666" spans="1:71" s="3030" customFormat="1">
      <c r="A2666" s="2126"/>
      <c r="B2666" s="2126"/>
      <c r="C2666" s="2149"/>
      <c r="D2666" s="3248"/>
      <c r="E2666" s="525"/>
      <c r="F2666" s="525"/>
      <c r="G2666" s="526"/>
      <c r="K2666" s="3280"/>
      <c r="P2666" s="3041"/>
      <c r="X2666" s="3280"/>
      <c r="AA2666" s="3041"/>
      <c r="AF2666" s="3041"/>
      <c r="AN2666" s="3280"/>
      <c r="AZ2666" s="3041"/>
      <c r="BD2666" s="3281"/>
      <c r="BH2666" s="3282"/>
      <c r="BJ2666" s="2589"/>
      <c r="BK2666" s="2126"/>
      <c r="BL2666" s="2126"/>
      <c r="BM2666" s="2126"/>
      <c r="BN2666" s="2126"/>
      <c r="BO2666" s="2126"/>
      <c r="BP2666" s="2126"/>
      <c r="BQ2666" s="2126"/>
      <c r="BR2666" s="2126"/>
      <c r="BS2666" s="2126"/>
    </row>
    <row r="2667" spans="1:71" s="3030" customFormat="1">
      <c r="A2667" s="2126"/>
      <c r="B2667" s="2126"/>
      <c r="C2667" s="2149"/>
      <c r="D2667" s="3248"/>
      <c r="E2667" s="525"/>
      <c r="F2667" s="525"/>
      <c r="G2667" s="526"/>
      <c r="K2667" s="3280"/>
      <c r="P2667" s="3041"/>
      <c r="X2667" s="3280"/>
      <c r="AA2667" s="3041"/>
      <c r="AF2667" s="3041"/>
      <c r="AN2667" s="3280"/>
      <c r="AZ2667" s="3041"/>
      <c r="BD2667" s="3281"/>
      <c r="BH2667" s="3282"/>
      <c r="BJ2667" s="2589"/>
      <c r="BK2667" s="2126"/>
      <c r="BL2667" s="2126"/>
      <c r="BM2667" s="2126"/>
      <c r="BN2667" s="2126"/>
      <c r="BO2667" s="2126"/>
      <c r="BP2667" s="2126"/>
      <c r="BQ2667" s="2126"/>
      <c r="BR2667" s="2126"/>
      <c r="BS2667" s="2126"/>
    </row>
    <row r="2668" spans="1:71" s="3030" customFormat="1">
      <c r="A2668" s="2126"/>
      <c r="B2668" s="2126"/>
      <c r="C2668" s="2149"/>
      <c r="D2668" s="3248"/>
      <c r="E2668" s="525"/>
      <c r="F2668" s="525"/>
      <c r="G2668" s="526"/>
      <c r="K2668" s="3280"/>
      <c r="P2668" s="3041"/>
      <c r="X2668" s="3280"/>
      <c r="AA2668" s="3041"/>
      <c r="AF2668" s="3041"/>
      <c r="AN2668" s="3280"/>
      <c r="AZ2668" s="3041"/>
      <c r="BD2668" s="3281"/>
      <c r="BH2668" s="3282"/>
      <c r="BJ2668" s="2589"/>
      <c r="BK2668" s="2126"/>
      <c r="BL2668" s="2126"/>
      <c r="BM2668" s="2126"/>
      <c r="BN2668" s="2126"/>
      <c r="BO2668" s="2126"/>
      <c r="BP2668" s="2126"/>
      <c r="BQ2668" s="2126"/>
      <c r="BR2668" s="2126"/>
      <c r="BS2668" s="2126"/>
    </row>
    <row r="2669" spans="1:71" s="3030" customFormat="1">
      <c r="A2669" s="2126"/>
      <c r="B2669" s="2126"/>
      <c r="C2669" s="2149"/>
      <c r="D2669" s="3248"/>
      <c r="E2669" s="525"/>
      <c r="F2669" s="525"/>
      <c r="G2669" s="526"/>
      <c r="K2669" s="3280"/>
      <c r="P2669" s="3041"/>
      <c r="X2669" s="3280"/>
      <c r="AA2669" s="3041"/>
      <c r="AF2669" s="3041"/>
      <c r="AN2669" s="3280"/>
      <c r="AZ2669" s="3041"/>
      <c r="BD2669" s="3281"/>
      <c r="BH2669" s="3282"/>
      <c r="BJ2669" s="2589"/>
      <c r="BK2669" s="2126"/>
      <c r="BL2669" s="2126"/>
      <c r="BM2669" s="2126"/>
      <c r="BN2669" s="2126"/>
      <c r="BO2669" s="2126"/>
      <c r="BP2669" s="2126"/>
      <c r="BQ2669" s="2126"/>
      <c r="BR2669" s="2126"/>
      <c r="BS2669" s="2126"/>
    </row>
    <row r="2670" spans="1:71" s="3030" customFormat="1">
      <c r="A2670" s="2126"/>
      <c r="B2670" s="2126"/>
      <c r="C2670" s="2149"/>
      <c r="D2670" s="3248"/>
      <c r="E2670" s="525"/>
      <c r="F2670" s="525"/>
      <c r="G2670" s="526"/>
      <c r="K2670" s="3280"/>
      <c r="P2670" s="3041"/>
      <c r="X2670" s="3280"/>
      <c r="AA2670" s="3041"/>
      <c r="AF2670" s="3041"/>
      <c r="AN2670" s="3280"/>
      <c r="AZ2670" s="3041"/>
      <c r="BD2670" s="3281"/>
      <c r="BH2670" s="3282"/>
      <c r="BJ2670" s="2589"/>
      <c r="BK2670" s="2126"/>
      <c r="BL2670" s="2126"/>
      <c r="BM2670" s="2126"/>
      <c r="BN2670" s="2126"/>
      <c r="BO2670" s="2126"/>
      <c r="BP2670" s="2126"/>
      <c r="BQ2670" s="2126"/>
      <c r="BR2670" s="2126"/>
      <c r="BS2670" s="2126"/>
    </row>
    <row r="2671" spans="1:71" s="3030" customFormat="1">
      <c r="A2671" s="2126"/>
      <c r="B2671" s="2126"/>
      <c r="C2671" s="2149"/>
      <c r="D2671" s="3248"/>
      <c r="E2671" s="525"/>
      <c r="F2671" s="525"/>
      <c r="G2671" s="526"/>
      <c r="K2671" s="3280"/>
      <c r="P2671" s="3041"/>
      <c r="X2671" s="3280"/>
      <c r="AA2671" s="3041"/>
      <c r="AF2671" s="3041"/>
      <c r="AN2671" s="3280"/>
      <c r="AZ2671" s="3041"/>
      <c r="BD2671" s="3281"/>
      <c r="BH2671" s="3282"/>
      <c r="BJ2671" s="2589"/>
      <c r="BK2671" s="2126"/>
      <c r="BL2671" s="2126"/>
      <c r="BM2671" s="2126"/>
      <c r="BN2671" s="2126"/>
      <c r="BO2671" s="2126"/>
      <c r="BP2671" s="2126"/>
      <c r="BQ2671" s="2126"/>
      <c r="BR2671" s="2126"/>
      <c r="BS2671" s="2126"/>
    </row>
    <row r="2672" spans="1:71" s="3030" customFormat="1">
      <c r="A2672" s="2126"/>
      <c r="B2672" s="2126"/>
      <c r="C2672" s="2149"/>
      <c r="D2672" s="3248"/>
      <c r="E2672" s="525"/>
      <c r="F2672" s="525"/>
      <c r="G2672" s="526"/>
      <c r="K2672" s="3280"/>
      <c r="P2672" s="3041"/>
      <c r="X2672" s="3280"/>
      <c r="AA2672" s="3041"/>
      <c r="AF2672" s="3041"/>
      <c r="AN2672" s="3280"/>
      <c r="AZ2672" s="3041"/>
      <c r="BD2672" s="3281"/>
      <c r="BH2672" s="3282"/>
      <c r="BJ2672" s="2589"/>
      <c r="BK2672" s="2126"/>
      <c r="BL2672" s="2126"/>
      <c r="BM2672" s="2126"/>
      <c r="BN2672" s="2126"/>
      <c r="BO2672" s="2126"/>
      <c r="BP2672" s="2126"/>
      <c r="BQ2672" s="2126"/>
      <c r="BR2672" s="2126"/>
      <c r="BS2672" s="2126"/>
    </row>
    <row r="2673" spans="1:71" s="3030" customFormat="1">
      <c r="A2673" s="2126"/>
      <c r="B2673" s="2126"/>
      <c r="C2673" s="2149"/>
      <c r="D2673" s="3248"/>
      <c r="E2673" s="525"/>
      <c r="F2673" s="525"/>
      <c r="G2673" s="526"/>
      <c r="K2673" s="3280"/>
      <c r="P2673" s="3041"/>
      <c r="X2673" s="3280"/>
      <c r="AA2673" s="3041"/>
      <c r="AF2673" s="3041"/>
      <c r="AN2673" s="3280"/>
      <c r="AZ2673" s="3041"/>
      <c r="BD2673" s="3281"/>
      <c r="BH2673" s="3282"/>
      <c r="BJ2673" s="2589"/>
      <c r="BK2673" s="2126"/>
      <c r="BL2673" s="2126"/>
      <c r="BM2673" s="2126"/>
      <c r="BN2673" s="2126"/>
      <c r="BO2673" s="2126"/>
      <c r="BP2673" s="2126"/>
      <c r="BQ2673" s="2126"/>
      <c r="BR2673" s="2126"/>
      <c r="BS2673" s="2126"/>
    </row>
    <row r="2674" spans="1:71" s="3030" customFormat="1">
      <c r="A2674" s="2126"/>
      <c r="B2674" s="2126"/>
      <c r="C2674" s="2149"/>
      <c r="D2674" s="3248"/>
      <c r="E2674" s="525"/>
      <c r="F2674" s="525"/>
      <c r="G2674" s="526"/>
      <c r="K2674" s="3280"/>
      <c r="P2674" s="3041"/>
      <c r="X2674" s="3280"/>
      <c r="AA2674" s="3041"/>
      <c r="AF2674" s="3041"/>
      <c r="AN2674" s="3280"/>
      <c r="AZ2674" s="3041"/>
      <c r="BD2674" s="3281"/>
      <c r="BH2674" s="3282"/>
      <c r="BJ2674" s="2589"/>
      <c r="BK2674" s="2126"/>
      <c r="BL2674" s="2126"/>
      <c r="BM2674" s="2126"/>
      <c r="BN2674" s="2126"/>
      <c r="BO2674" s="2126"/>
      <c r="BP2674" s="2126"/>
      <c r="BQ2674" s="2126"/>
      <c r="BR2674" s="2126"/>
      <c r="BS2674" s="2126"/>
    </row>
    <row r="2675" spans="1:71" s="3030" customFormat="1">
      <c r="A2675" s="2126"/>
      <c r="B2675" s="2126"/>
      <c r="C2675" s="2149"/>
      <c r="D2675" s="3248"/>
      <c r="E2675" s="525"/>
      <c r="F2675" s="525"/>
      <c r="G2675" s="526"/>
      <c r="K2675" s="3280"/>
      <c r="P2675" s="3041"/>
      <c r="X2675" s="3280"/>
      <c r="AA2675" s="3041"/>
      <c r="AF2675" s="3041"/>
      <c r="AN2675" s="3280"/>
      <c r="AZ2675" s="3041"/>
      <c r="BD2675" s="3281"/>
      <c r="BH2675" s="3282"/>
      <c r="BJ2675" s="2589"/>
      <c r="BK2675" s="2126"/>
      <c r="BL2675" s="2126"/>
      <c r="BM2675" s="2126"/>
      <c r="BN2675" s="2126"/>
      <c r="BO2675" s="2126"/>
      <c r="BP2675" s="2126"/>
      <c r="BQ2675" s="2126"/>
      <c r="BR2675" s="2126"/>
      <c r="BS2675" s="2126"/>
    </row>
    <row r="2676" spans="1:71" s="3030" customFormat="1">
      <c r="A2676" s="2126"/>
      <c r="B2676" s="2126"/>
      <c r="C2676" s="2149"/>
      <c r="D2676" s="3248"/>
      <c r="E2676" s="525"/>
      <c r="F2676" s="525"/>
      <c r="G2676" s="526"/>
      <c r="K2676" s="3280"/>
      <c r="P2676" s="3041"/>
      <c r="X2676" s="3280"/>
      <c r="AA2676" s="3041"/>
      <c r="AF2676" s="3041"/>
      <c r="AN2676" s="3280"/>
      <c r="AZ2676" s="3041"/>
      <c r="BD2676" s="3281"/>
      <c r="BH2676" s="3282"/>
      <c r="BJ2676" s="2589"/>
      <c r="BK2676" s="2126"/>
      <c r="BL2676" s="2126"/>
      <c r="BM2676" s="2126"/>
      <c r="BN2676" s="2126"/>
      <c r="BO2676" s="2126"/>
      <c r="BP2676" s="2126"/>
      <c r="BQ2676" s="2126"/>
      <c r="BR2676" s="2126"/>
      <c r="BS2676" s="2126"/>
    </row>
    <row r="2677" spans="1:71" s="3030" customFormat="1">
      <c r="A2677" s="2126"/>
      <c r="B2677" s="2126"/>
      <c r="C2677" s="2149"/>
      <c r="D2677" s="3248"/>
      <c r="E2677" s="525"/>
      <c r="F2677" s="525"/>
      <c r="G2677" s="526"/>
      <c r="K2677" s="3280"/>
      <c r="P2677" s="3041"/>
      <c r="X2677" s="3280"/>
      <c r="AA2677" s="3041"/>
      <c r="AF2677" s="3041"/>
      <c r="AN2677" s="3280"/>
      <c r="AZ2677" s="3041"/>
      <c r="BD2677" s="3281"/>
      <c r="BH2677" s="3282"/>
      <c r="BJ2677" s="2589"/>
      <c r="BK2677" s="2126"/>
      <c r="BL2677" s="2126"/>
      <c r="BM2677" s="2126"/>
      <c r="BN2677" s="2126"/>
      <c r="BO2677" s="2126"/>
      <c r="BP2677" s="2126"/>
      <c r="BQ2677" s="2126"/>
      <c r="BR2677" s="2126"/>
      <c r="BS2677" s="2126"/>
    </row>
    <row r="2678" spans="1:71" s="3030" customFormat="1">
      <c r="A2678" s="2126"/>
      <c r="B2678" s="2126"/>
      <c r="C2678" s="2149"/>
      <c r="D2678" s="3248"/>
      <c r="E2678" s="525"/>
      <c r="F2678" s="525"/>
      <c r="G2678" s="526"/>
      <c r="K2678" s="3280"/>
      <c r="P2678" s="3041"/>
      <c r="X2678" s="3280"/>
      <c r="AA2678" s="3041"/>
      <c r="AF2678" s="3041"/>
      <c r="AN2678" s="3280"/>
      <c r="AZ2678" s="3041"/>
      <c r="BD2678" s="3281"/>
      <c r="BH2678" s="3282"/>
      <c r="BJ2678" s="2589"/>
      <c r="BK2678" s="2126"/>
      <c r="BL2678" s="2126"/>
      <c r="BM2678" s="2126"/>
      <c r="BN2678" s="2126"/>
      <c r="BO2678" s="2126"/>
      <c r="BP2678" s="2126"/>
      <c r="BQ2678" s="2126"/>
      <c r="BR2678" s="2126"/>
      <c r="BS2678" s="2126"/>
    </row>
    <row r="2679" spans="1:71" s="3030" customFormat="1">
      <c r="A2679" s="2126"/>
      <c r="B2679" s="2126"/>
      <c r="C2679" s="2149"/>
      <c r="D2679" s="3248"/>
      <c r="E2679" s="525"/>
      <c r="F2679" s="525"/>
      <c r="G2679" s="526"/>
      <c r="K2679" s="3280"/>
      <c r="P2679" s="3041"/>
      <c r="X2679" s="3280"/>
      <c r="AA2679" s="3041"/>
      <c r="AF2679" s="3041"/>
      <c r="AN2679" s="3280"/>
      <c r="AZ2679" s="3041"/>
      <c r="BD2679" s="3281"/>
      <c r="BH2679" s="3282"/>
      <c r="BJ2679" s="2589"/>
      <c r="BK2679" s="2126"/>
      <c r="BL2679" s="2126"/>
      <c r="BM2679" s="2126"/>
      <c r="BN2679" s="2126"/>
      <c r="BO2679" s="2126"/>
      <c r="BP2679" s="2126"/>
      <c r="BQ2679" s="2126"/>
      <c r="BR2679" s="2126"/>
      <c r="BS2679" s="2126"/>
    </row>
    <row r="2680" spans="1:71" s="3030" customFormat="1">
      <c r="A2680" s="2126"/>
      <c r="B2680" s="2126"/>
      <c r="C2680" s="2149"/>
      <c r="D2680" s="3248"/>
      <c r="E2680" s="525"/>
      <c r="F2680" s="525"/>
      <c r="G2680" s="526"/>
      <c r="K2680" s="3280"/>
      <c r="P2680" s="3041"/>
      <c r="X2680" s="3280"/>
      <c r="AA2680" s="3041"/>
      <c r="AF2680" s="3041"/>
      <c r="AN2680" s="3280"/>
      <c r="AZ2680" s="3041"/>
      <c r="BD2680" s="3281"/>
      <c r="BH2680" s="3282"/>
      <c r="BJ2680" s="2589"/>
      <c r="BK2680" s="2126"/>
      <c r="BL2680" s="2126"/>
      <c r="BM2680" s="2126"/>
      <c r="BN2680" s="2126"/>
      <c r="BO2680" s="2126"/>
      <c r="BP2680" s="2126"/>
      <c r="BQ2680" s="2126"/>
      <c r="BR2680" s="2126"/>
      <c r="BS2680" s="2126"/>
    </row>
    <row r="2681" spans="1:71" s="3030" customFormat="1">
      <c r="A2681" s="2126"/>
      <c r="B2681" s="2126"/>
      <c r="C2681" s="2149"/>
      <c r="D2681" s="3248"/>
      <c r="E2681" s="525"/>
      <c r="F2681" s="525"/>
      <c r="G2681" s="526"/>
      <c r="K2681" s="3280"/>
      <c r="P2681" s="3041"/>
      <c r="X2681" s="3280"/>
      <c r="AA2681" s="3041"/>
      <c r="AF2681" s="3041"/>
      <c r="AN2681" s="3280"/>
      <c r="AZ2681" s="3041"/>
      <c r="BD2681" s="3281"/>
      <c r="BH2681" s="3282"/>
      <c r="BJ2681" s="2589"/>
      <c r="BK2681" s="2126"/>
      <c r="BL2681" s="2126"/>
      <c r="BM2681" s="2126"/>
      <c r="BN2681" s="2126"/>
      <c r="BO2681" s="2126"/>
      <c r="BP2681" s="2126"/>
      <c r="BQ2681" s="2126"/>
      <c r="BR2681" s="2126"/>
      <c r="BS2681" s="2126"/>
    </row>
    <row r="2682" spans="1:71" s="3030" customFormat="1">
      <c r="A2682" s="2126"/>
      <c r="B2682" s="2126"/>
      <c r="C2682" s="2149"/>
      <c r="D2682" s="3248"/>
      <c r="E2682" s="525"/>
      <c r="F2682" s="525"/>
      <c r="G2682" s="526"/>
      <c r="K2682" s="3280"/>
      <c r="P2682" s="3041"/>
      <c r="X2682" s="3280"/>
      <c r="AA2682" s="3041"/>
      <c r="AF2682" s="3041"/>
      <c r="AN2682" s="3280"/>
      <c r="AZ2682" s="3041"/>
      <c r="BD2682" s="3281"/>
      <c r="BH2682" s="3282"/>
      <c r="BJ2682" s="2589"/>
      <c r="BK2682" s="2126"/>
      <c r="BL2682" s="2126"/>
      <c r="BM2682" s="2126"/>
      <c r="BN2682" s="2126"/>
      <c r="BO2682" s="2126"/>
      <c r="BP2682" s="2126"/>
      <c r="BQ2682" s="2126"/>
      <c r="BR2682" s="2126"/>
      <c r="BS2682" s="2126"/>
    </row>
    <row r="2683" spans="1:71" s="3030" customFormat="1">
      <c r="A2683" s="2126"/>
      <c r="B2683" s="2126"/>
      <c r="C2683" s="2149"/>
      <c r="D2683" s="3248"/>
      <c r="E2683" s="525"/>
      <c r="F2683" s="525"/>
      <c r="G2683" s="526"/>
      <c r="K2683" s="3280"/>
      <c r="P2683" s="3041"/>
      <c r="X2683" s="3280"/>
      <c r="AA2683" s="3041"/>
      <c r="AF2683" s="3041"/>
      <c r="AN2683" s="3280"/>
      <c r="AZ2683" s="3041"/>
      <c r="BD2683" s="3281"/>
      <c r="BH2683" s="3282"/>
      <c r="BJ2683" s="2589"/>
      <c r="BK2683" s="2126"/>
      <c r="BL2683" s="2126"/>
      <c r="BM2683" s="2126"/>
      <c r="BN2683" s="2126"/>
      <c r="BO2683" s="2126"/>
      <c r="BP2683" s="2126"/>
      <c r="BQ2683" s="2126"/>
      <c r="BR2683" s="2126"/>
      <c r="BS2683" s="2126"/>
    </row>
    <row r="2684" spans="1:71" s="3030" customFormat="1">
      <c r="A2684" s="2126"/>
      <c r="B2684" s="2126"/>
      <c r="C2684" s="2149"/>
      <c r="D2684" s="3248"/>
      <c r="E2684" s="525"/>
      <c r="F2684" s="525"/>
      <c r="G2684" s="526"/>
      <c r="K2684" s="3280"/>
      <c r="P2684" s="3041"/>
      <c r="X2684" s="3280"/>
      <c r="AA2684" s="3041"/>
      <c r="AF2684" s="3041"/>
      <c r="AN2684" s="3280"/>
      <c r="AZ2684" s="3041"/>
      <c r="BD2684" s="3281"/>
      <c r="BH2684" s="3282"/>
      <c r="BJ2684" s="2589"/>
      <c r="BK2684" s="2126"/>
      <c r="BL2684" s="2126"/>
      <c r="BM2684" s="2126"/>
      <c r="BN2684" s="2126"/>
      <c r="BO2684" s="2126"/>
      <c r="BP2684" s="2126"/>
      <c r="BQ2684" s="2126"/>
      <c r="BR2684" s="2126"/>
      <c r="BS2684" s="2126"/>
    </row>
    <row r="2685" spans="1:71" s="3030" customFormat="1">
      <c r="A2685" s="2126"/>
      <c r="B2685" s="2126"/>
      <c r="C2685" s="2149"/>
      <c r="D2685" s="3248"/>
      <c r="E2685" s="525"/>
      <c r="F2685" s="525"/>
      <c r="G2685" s="526"/>
      <c r="K2685" s="3280"/>
      <c r="P2685" s="3041"/>
      <c r="X2685" s="3280"/>
      <c r="AA2685" s="3041"/>
      <c r="AF2685" s="3041"/>
      <c r="AN2685" s="3280"/>
      <c r="AZ2685" s="3041"/>
      <c r="BD2685" s="3281"/>
      <c r="BH2685" s="3282"/>
      <c r="BJ2685" s="2589"/>
      <c r="BK2685" s="2126"/>
      <c r="BL2685" s="2126"/>
      <c r="BM2685" s="2126"/>
      <c r="BN2685" s="2126"/>
      <c r="BO2685" s="2126"/>
      <c r="BP2685" s="2126"/>
      <c r="BQ2685" s="2126"/>
      <c r="BR2685" s="2126"/>
      <c r="BS2685" s="2126"/>
    </row>
    <row r="2686" spans="1:71" s="3030" customFormat="1">
      <c r="A2686" s="2126"/>
      <c r="B2686" s="2126"/>
      <c r="C2686" s="2149"/>
      <c r="D2686" s="3248"/>
      <c r="E2686" s="525"/>
      <c r="F2686" s="525"/>
      <c r="G2686" s="526"/>
      <c r="K2686" s="3280"/>
      <c r="P2686" s="3041"/>
      <c r="X2686" s="3280"/>
      <c r="AA2686" s="3041"/>
      <c r="AF2686" s="3041"/>
      <c r="AN2686" s="3280"/>
      <c r="AZ2686" s="3041"/>
      <c r="BD2686" s="3281"/>
      <c r="BH2686" s="3282"/>
      <c r="BJ2686" s="2589"/>
      <c r="BK2686" s="2126"/>
      <c r="BL2686" s="2126"/>
      <c r="BM2686" s="2126"/>
      <c r="BN2686" s="2126"/>
      <c r="BO2686" s="2126"/>
      <c r="BP2686" s="2126"/>
      <c r="BQ2686" s="2126"/>
      <c r="BR2686" s="2126"/>
      <c r="BS2686" s="2126"/>
    </row>
    <row r="2687" spans="1:71" s="3030" customFormat="1">
      <c r="A2687" s="2126"/>
      <c r="B2687" s="2126"/>
      <c r="C2687" s="2149"/>
      <c r="D2687" s="3248"/>
      <c r="E2687" s="525"/>
      <c r="F2687" s="525"/>
      <c r="G2687" s="526"/>
      <c r="K2687" s="3280"/>
      <c r="P2687" s="3041"/>
      <c r="X2687" s="3280"/>
      <c r="AA2687" s="3041"/>
      <c r="AF2687" s="3041"/>
      <c r="AN2687" s="3280"/>
      <c r="AZ2687" s="3041"/>
      <c r="BD2687" s="3281"/>
      <c r="BH2687" s="3282"/>
      <c r="BJ2687" s="2589"/>
      <c r="BK2687" s="2126"/>
      <c r="BL2687" s="2126"/>
      <c r="BM2687" s="2126"/>
      <c r="BN2687" s="2126"/>
      <c r="BO2687" s="2126"/>
      <c r="BP2687" s="2126"/>
      <c r="BQ2687" s="2126"/>
      <c r="BR2687" s="2126"/>
      <c r="BS2687" s="2126"/>
    </row>
    <row r="2688" spans="1:71" s="3030" customFormat="1">
      <c r="A2688" s="2126"/>
      <c r="B2688" s="2126"/>
      <c r="C2688" s="2149"/>
      <c r="D2688" s="3248"/>
      <c r="E2688" s="525"/>
      <c r="F2688" s="525"/>
      <c r="G2688" s="526"/>
      <c r="K2688" s="3280"/>
      <c r="P2688" s="3041"/>
      <c r="X2688" s="3280"/>
      <c r="AA2688" s="3041"/>
      <c r="AF2688" s="3041"/>
      <c r="AN2688" s="3280"/>
      <c r="AZ2688" s="3041"/>
      <c r="BD2688" s="3281"/>
      <c r="BH2688" s="3282"/>
      <c r="BJ2688" s="2589"/>
      <c r="BK2688" s="2126"/>
      <c r="BL2688" s="2126"/>
      <c r="BM2688" s="2126"/>
      <c r="BN2688" s="2126"/>
      <c r="BO2688" s="2126"/>
      <c r="BP2688" s="2126"/>
      <c r="BQ2688" s="2126"/>
      <c r="BR2688" s="2126"/>
      <c r="BS2688" s="2126"/>
    </row>
    <row r="2689" spans="1:71" s="3030" customFormat="1">
      <c r="A2689" s="2126"/>
      <c r="B2689" s="2126"/>
      <c r="C2689" s="2149"/>
      <c r="D2689" s="3248"/>
      <c r="E2689" s="525"/>
      <c r="F2689" s="525"/>
      <c r="G2689" s="526"/>
      <c r="K2689" s="3280"/>
      <c r="P2689" s="3041"/>
      <c r="X2689" s="3280"/>
      <c r="AA2689" s="3041"/>
      <c r="AF2689" s="3041"/>
      <c r="AN2689" s="3280"/>
      <c r="AZ2689" s="3041"/>
      <c r="BD2689" s="3281"/>
      <c r="BH2689" s="3282"/>
      <c r="BJ2689" s="2589"/>
      <c r="BK2689" s="2126"/>
      <c r="BL2689" s="2126"/>
      <c r="BM2689" s="2126"/>
      <c r="BN2689" s="2126"/>
      <c r="BO2689" s="2126"/>
      <c r="BP2689" s="2126"/>
      <c r="BQ2689" s="2126"/>
      <c r="BR2689" s="2126"/>
      <c r="BS2689" s="2126"/>
    </row>
    <row r="2690" spans="1:71" s="3030" customFormat="1">
      <c r="A2690" s="2126"/>
      <c r="B2690" s="2126"/>
      <c r="C2690" s="2149"/>
      <c r="D2690" s="3248"/>
      <c r="E2690" s="525"/>
      <c r="F2690" s="525"/>
      <c r="G2690" s="526"/>
      <c r="K2690" s="3280"/>
      <c r="P2690" s="3041"/>
      <c r="X2690" s="3280"/>
      <c r="AA2690" s="3041"/>
      <c r="AF2690" s="3041"/>
      <c r="AN2690" s="3280"/>
      <c r="AZ2690" s="3041"/>
      <c r="BD2690" s="3281"/>
      <c r="BH2690" s="3282"/>
      <c r="BJ2690" s="2589"/>
      <c r="BK2690" s="2126"/>
      <c r="BL2690" s="2126"/>
      <c r="BM2690" s="2126"/>
      <c r="BN2690" s="2126"/>
      <c r="BO2690" s="2126"/>
      <c r="BP2690" s="2126"/>
      <c r="BQ2690" s="2126"/>
      <c r="BR2690" s="2126"/>
      <c r="BS2690" s="2126"/>
    </row>
    <row r="2691" spans="1:71" s="3030" customFormat="1">
      <c r="A2691" s="2126"/>
      <c r="B2691" s="2126"/>
      <c r="C2691" s="2149"/>
      <c r="D2691" s="3248"/>
      <c r="E2691" s="525"/>
      <c r="F2691" s="525"/>
      <c r="G2691" s="526"/>
      <c r="K2691" s="3280"/>
      <c r="P2691" s="3041"/>
      <c r="X2691" s="3280"/>
      <c r="AA2691" s="3041"/>
      <c r="AF2691" s="3041"/>
      <c r="AN2691" s="3280"/>
      <c r="AZ2691" s="3041"/>
      <c r="BD2691" s="3281"/>
      <c r="BH2691" s="3282"/>
      <c r="BJ2691" s="2589"/>
      <c r="BK2691" s="2126"/>
      <c r="BL2691" s="2126"/>
      <c r="BM2691" s="2126"/>
      <c r="BN2691" s="2126"/>
      <c r="BO2691" s="2126"/>
      <c r="BP2691" s="2126"/>
      <c r="BQ2691" s="2126"/>
      <c r="BR2691" s="2126"/>
      <c r="BS2691" s="2126"/>
    </row>
    <row r="2692" spans="1:71" s="3030" customFormat="1">
      <c r="A2692" s="2126"/>
      <c r="B2692" s="2126"/>
      <c r="C2692" s="2149"/>
      <c r="D2692" s="3248"/>
      <c r="E2692" s="525"/>
      <c r="F2692" s="525"/>
      <c r="G2692" s="526"/>
      <c r="K2692" s="3280"/>
      <c r="P2692" s="3041"/>
      <c r="X2692" s="3280"/>
      <c r="AA2692" s="3041"/>
      <c r="AF2692" s="3041"/>
      <c r="AN2692" s="3280"/>
      <c r="AZ2692" s="3041"/>
      <c r="BD2692" s="3281"/>
      <c r="BH2692" s="3282"/>
      <c r="BJ2692" s="2589"/>
      <c r="BK2692" s="2126"/>
      <c r="BL2692" s="2126"/>
      <c r="BM2692" s="2126"/>
      <c r="BN2692" s="2126"/>
      <c r="BO2692" s="2126"/>
      <c r="BP2692" s="2126"/>
      <c r="BQ2692" s="2126"/>
      <c r="BR2692" s="2126"/>
      <c r="BS2692" s="2126"/>
    </row>
    <row r="2693" spans="1:71" s="3030" customFormat="1">
      <c r="A2693" s="2126"/>
      <c r="B2693" s="2126"/>
      <c r="C2693" s="2149"/>
      <c r="D2693" s="3248"/>
      <c r="E2693" s="525"/>
      <c r="F2693" s="525"/>
      <c r="G2693" s="526"/>
      <c r="K2693" s="3280"/>
      <c r="P2693" s="3041"/>
      <c r="X2693" s="3280"/>
      <c r="AA2693" s="3041"/>
      <c r="AF2693" s="3041"/>
      <c r="AN2693" s="3280"/>
      <c r="AZ2693" s="3041"/>
      <c r="BD2693" s="3281"/>
      <c r="BH2693" s="3282"/>
      <c r="BJ2693" s="2589"/>
      <c r="BK2693" s="2126"/>
      <c r="BL2693" s="2126"/>
      <c r="BM2693" s="2126"/>
      <c r="BN2693" s="2126"/>
      <c r="BO2693" s="2126"/>
      <c r="BP2693" s="2126"/>
      <c r="BQ2693" s="2126"/>
      <c r="BR2693" s="2126"/>
      <c r="BS2693" s="2126"/>
    </row>
    <row r="2694" spans="1:71" s="3030" customFormat="1">
      <c r="A2694" s="2126"/>
      <c r="B2694" s="2126"/>
      <c r="C2694" s="2149"/>
      <c r="D2694" s="3248"/>
      <c r="E2694" s="525"/>
      <c r="F2694" s="525"/>
      <c r="G2694" s="526"/>
      <c r="K2694" s="3280"/>
      <c r="P2694" s="3041"/>
      <c r="X2694" s="3280"/>
      <c r="AA2694" s="3041"/>
      <c r="AF2694" s="3041"/>
      <c r="AN2694" s="3280"/>
      <c r="AZ2694" s="3041"/>
      <c r="BD2694" s="3281"/>
      <c r="BH2694" s="3282"/>
      <c r="BJ2694" s="2589"/>
      <c r="BK2694" s="2126"/>
      <c r="BL2694" s="2126"/>
      <c r="BM2694" s="2126"/>
      <c r="BN2694" s="2126"/>
      <c r="BO2694" s="2126"/>
      <c r="BP2694" s="2126"/>
      <c r="BQ2694" s="2126"/>
      <c r="BR2694" s="2126"/>
      <c r="BS2694" s="2126"/>
    </row>
    <row r="2695" spans="1:71" s="3030" customFormat="1">
      <c r="A2695" s="2126"/>
      <c r="B2695" s="2126"/>
      <c r="C2695" s="2149"/>
      <c r="D2695" s="3248"/>
      <c r="E2695" s="525"/>
      <c r="F2695" s="525"/>
      <c r="G2695" s="526"/>
      <c r="K2695" s="3280"/>
      <c r="P2695" s="3041"/>
      <c r="X2695" s="3280"/>
      <c r="AA2695" s="3041"/>
      <c r="AF2695" s="3041"/>
      <c r="AN2695" s="3280"/>
      <c r="AZ2695" s="3041"/>
      <c r="BD2695" s="3281"/>
      <c r="BH2695" s="3282"/>
      <c r="BJ2695" s="2589"/>
      <c r="BK2695" s="2126"/>
      <c r="BL2695" s="2126"/>
      <c r="BM2695" s="2126"/>
      <c r="BN2695" s="2126"/>
      <c r="BO2695" s="2126"/>
      <c r="BP2695" s="2126"/>
      <c r="BQ2695" s="2126"/>
      <c r="BR2695" s="2126"/>
      <c r="BS2695" s="2126"/>
    </row>
    <row r="2696" spans="1:71" s="3030" customFormat="1">
      <c r="A2696" s="2126"/>
      <c r="B2696" s="2126"/>
      <c r="C2696" s="2149"/>
      <c r="D2696" s="3248"/>
      <c r="E2696" s="525"/>
      <c r="F2696" s="525"/>
      <c r="G2696" s="526"/>
      <c r="K2696" s="3280"/>
      <c r="P2696" s="3041"/>
      <c r="X2696" s="3280"/>
      <c r="AA2696" s="3041"/>
      <c r="AF2696" s="3041"/>
      <c r="AN2696" s="3280"/>
      <c r="AZ2696" s="3041"/>
      <c r="BD2696" s="3281"/>
      <c r="BH2696" s="3282"/>
      <c r="BJ2696" s="2589"/>
      <c r="BK2696" s="2126"/>
      <c r="BL2696" s="2126"/>
      <c r="BM2696" s="2126"/>
      <c r="BN2696" s="2126"/>
      <c r="BO2696" s="2126"/>
      <c r="BP2696" s="2126"/>
      <c r="BQ2696" s="2126"/>
      <c r="BR2696" s="2126"/>
      <c r="BS2696" s="2126"/>
    </row>
    <row r="2697" spans="1:71" s="3030" customFormat="1">
      <c r="A2697" s="2126"/>
      <c r="B2697" s="2126"/>
      <c r="C2697" s="2149"/>
      <c r="D2697" s="3248"/>
      <c r="E2697" s="525"/>
      <c r="F2697" s="525"/>
      <c r="G2697" s="526"/>
      <c r="K2697" s="3280"/>
      <c r="P2697" s="3041"/>
      <c r="X2697" s="3280"/>
      <c r="AA2697" s="3041"/>
      <c r="AF2697" s="3041"/>
      <c r="AN2697" s="3280"/>
      <c r="AZ2697" s="3041"/>
      <c r="BD2697" s="3281"/>
      <c r="BH2697" s="3282"/>
      <c r="BJ2697" s="2589"/>
      <c r="BK2697" s="2126"/>
      <c r="BL2697" s="2126"/>
      <c r="BM2697" s="2126"/>
      <c r="BN2697" s="2126"/>
      <c r="BO2697" s="2126"/>
      <c r="BP2697" s="2126"/>
      <c r="BQ2697" s="2126"/>
      <c r="BR2697" s="2126"/>
      <c r="BS2697" s="2126"/>
    </row>
    <row r="2698" spans="1:71" s="3030" customFormat="1">
      <c r="A2698" s="2126"/>
      <c r="B2698" s="2126"/>
      <c r="C2698" s="2149"/>
      <c r="D2698" s="3248"/>
      <c r="E2698" s="525"/>
      <c r="F2698" s="525"/>
      <c r="G2698" s="526"/>
      <c r="K2698" s="3280"/>
      <c r="P2698" s="3041"/>
      <c r="X2698" s="3280"/>
      <c r="AA2698" s="3041"/>
      <c r="AF2698" s="3041"/>
      <c r="AN2698" s="3280"/>
      <c r="AZ2698" s="3041"/>
      <c r="BD2698" s="3281"/>
      <c r="BH2698" s="3282"/>
      <c r="BJ2698" s="2589"/>
      <c r="BK2698" s="2126"/>
      <c r="BL2698" s="2126"/>
      <c r="BM2698" s="2126"/>
      <c r="BN2698" s="2126"/>
      <c r="BO2698" s="2126"/>
      <c r="BP2698" s="2126"/>
      <c r="BQ2698" s="2126"/>
      <c r="BR2698" s="2126"/>
      <c r="BS2698" s="2126"/>
    </row>
    <row r="2699" spans="1:71" s="3030" customFormat="1">
      <c r="A2699" s="2126"/>
      <c r="B2699" s="2126"/>
      <c r="C2699" s="2149"/>
      <c r="D2699" s="3248"/>
      <c r="E2699" s="525"/>
      <c r="F2699" s="525"/>
      <c r="G2699" s="526"/>
      <c r="K2699" s="3280"/>
      <c r="P2699" s="3041"/>
      <c r="X2699" s="3280"/>
      <c r="AA2699" s="3041"/>
      <c r="AF2699" s="3041"/>
      <c r="AN2699" s="3280"/>
      <c r="AZ2699" s="3041"/>
      <c r="BD2699" s="3281"/>
      <c r="BH2699" s="3282"/>
      <c r="BJ2699" s="2589"/>
      <c r="BK2699" s="2126"/>
      <c r="BL2699" s="2126"/>
      <c r="BM2699" s="2126"/>
      <c r="BN2699" s="2126"/>
      <c r="BO2699" s="2126"/>
      <c r="BP2699" s="2126"/>
      <c r="BQ2699" s="2126"/>
      <c r="BR2699" s="2126"/>
      <c r="BS2699" s="2126"/>
    </row>
    <row r="2700" spans="1:71" s="3030" customFormat="1">
      <c r="A2700" s="2126"/>
      <c r="B2700" s="2126"/>
      <c r="C2700" s="2149"/>
      <c r="D2700" s="3248"/>
      <c r="E2700" s="525"/>
      <c r="F2700" s="525"/>
      <c r="G2700" s="526"/>
      <c r="K2700" s="3280"/>
      <c r="P2700" s="3041"/>
      <c r="X2700" s="3280"/>
      <c r="AA2700" s="3041"/>
      <c r="AF2700" s="3041"/>
      <c r="AN2700" s="3280"/>
      <c r="AZ2700" s="3041"/>
      <c r="BD2700" s="3281"/>
      <c r="BH2700" s="3282"/>
      <c r="BJ2700" s="2589"/>
      <c r="BK2700" s="2126"/>
      <c r="BL2700" s="2126"/>
      <c r="BM2700" s="2126"/>
      <c r="BN2700" s="2126"/>
      <c r="BO2700" s="2126"/>
      <c r="BP2700" s="2126"/>
      <c r="BQ2700" s="2126"/>
      <c r="BR2700" s="2126"/>
      <c r="BS2700" s="2126"/>
    </row>
    <row r="2701" spans="1:71" s="3030" customFormat="1">
      <c r="A2701" s="2126"/>
      <c r="B2701" s="2126"/>
      <c r="C2701" s="2149"/>
      <c r="D2701" s="3248"/>
      <c r="E2701" s="525"/>
      <c r="F2701" s="525"/>
      <c r="G2701" s="526"/>
      <c r="K2701" s="3280"/>
      <c r="P2701" s="3041"/>
      <c r="X2701" s="3280"/>
      <c r="AA2701" s="3041"/>
      <c r="AF2701" s="3041"/>
      <c r="AN2701" s="3280"/>
      <c r="AZ2701" s="3041"/>
      <c r="BD2701" s="3281"/>
      <c r="BH2701" s="3282"/>
      <c r="BJ2701" s="2589"/>
      <c r="BK2701" s="2126"/>
      <c r="BL2701" s="2126"/>
      <c r="BM2701" s="2126"/>
      <c r="BN2701" s="2126"/>
      <c r="BO2701" s="2126"/>
      <c r="BP2701" s="2126"/>
      <c r="BQ2701" s="2126"/>
      <c r="BR2701" s="2126"/>
      <c r="BS2701" s="2126"/>
    </row>
    <row r="2702" spans="1:71" s="3030" customFormat="1">
      <c r="A2702" s="2126"/>
      <c r="B2702" s="2126"/>
      <c r="C2702" s="2149"/>
      <c r="D2702" s="3248"/>
      <c r="E2702" s="525"/>
      <c r="F2702" s="525"/>
      <c r="G2702" s="526"/>
      <c r="K2702" s="3280"/>
      <c r="P2702" s="3041"/>
      <c r="X2702" s="3280"/>
      <c r="AA2702" s="3041"/>
      <c r="AF2702" s="3041"/>
      <c r="AN2702" s="3280"/>
      <c r="AZ2702" s="3041"/>
      <c r="BD2702" s="3281"/>
      <c r="BH2702" s="3282"/>
      <c r="BJ2702" s="2589"/>
      <c r="BK2702" s="2126"/>
      <c r="BL2702" s="2126"/>
      <c r="BM2702" s="2126"/>
      <c r="BN2702" s="2126"/>
      <c r="BO2702" s="2126"/>
      <c r="BP2702" s="2126"/>
      <c r="BQ2702" s="2126"/>
      <c r="BR2702" s="2126"/>
      <c r="BS2702" s="2126"/>
    </row>
    <row r="2703" spans="1:71" s="3030" customFormat="1">
      <c r="A2703" s="2126"/>
      <c r="B2703" s="2126"/>
      <c r="C2703" s="2149"/>
      <c r="D2703" s="3248"/>
      <c r="E2703" s="525"/>
      <c r="F2703" s="525"/>
      <c r="G2703" s="526"/>
      <c r="K2703" s="3280"/>
      <c r="P2703" s="3041"/>
      <c r="X2703" s="3280"/>
      <c r="AA2703" s="3041"/>
      <c r="AF2703" s="3041"/>
      <c r="AN2703" s="3280"/>
      <c r="AZ2703" s="3041"/>
      <c r="BD2703" s="3281"/>
      <c r="BH2703" s="3282"/>
      <c r="BJ2703" s="2589"/>
      <c r="BK2703" s="2126"/>
      <c r="BL2703" s="2126"/>
      <c r="BM2703" s="2126"/>
      <c r="BN2703" s="2126"/>
      <c r="BO2703" s="2126"/>
      <c r="BP2703" s="2126"/>
      <c r="BQ2703" s="2126"/>
      <c r="BR2703" s="2126"/>
      <c r="BS2703" s="2126"/>
    </row>
    <row r="2704" spans="1:71" s="3030" customFormat="1">
      <c r="A2704" s="2126"/>
      <c r="B2704" s="2126"/>
      <c r="C2704" s="2149"/>
      <c r="D2704" s="3248"/>
      <c r="E2704" s="525"/>
      <c r="F2704" s="525"/>
      <c r="G2704" s="526"/>
      <c r="K2704" s="3280"/>
      <c r="P2704" s="3041"/>
      <c r="X2704" s="3280"/>
      <c r="AA2704" s="3041"/>
      <c r="AF2704" s="3041"/>
      <c r="AN2704" s="3280"/>
      <c r="AZ2704" s="3041"/>
      <c r="BD2704" s="3281"/>
      <c r="BH2704" s="3282"/>
      <c r="BJ2704" s="2589"/>
      <c r="BK2704" s="2126"/>
      <c r="BL2704" s="2126"/>
      <c r="BM2704" s="2126"/>
      <c r="BN2704" s="2126"/>
      <c r="BO2704" s="2126"/>
      <c r="BP2704" s="2126"/>
      <c r="BQ2704" s="2126"/>
      <c r="BR2704" s="2126"/>
      <c r="BS2704" s="2126"/>
    </row>
    <row r="2705" spans="1:71" s="3030" customFormat="1">
      <c r="A2705" s="2126"/>
      <c r="B2705" s="2126"/>
      <c r="C2705" s="2149"/>
      <c r="D2705" s="3248"/>
      <c r="E2705" s="525"/>
      <c r="F2705" s="525"/>
      <c r="G2705" s="526"/>
      <c r="K2705" s="3280"/>
      <c r="P2705" s="3041"/>
      <c r="X2705" s="3280"/>
      <c r="AA2705" s="3041"/>
      <c r="AF2705" s="3041"/>
      <c r="AN2705" s="3280"/>
      <c r="AZ2705" s="3041"/>
      <c r="BD2705" s="3281"/>
      <c r="BH2705" s="3282"/>
      <c r="BJ2705" s="2589"/>
      <c r="BK2705" s="2126"/>
      <c r="BL2705" s="2126"/>
      <c r="BM2705" s="2126"/>
      <c r="BN2705" s="2126"/>
      <c r="BO2705" s="2126"/>
      <c r="BP2705" s="2126"/>
      <c r="BQ2705" s="2126"/>
      <c r="BR2705" s="2126"/>
      <c r="BS2705" s="2126"/>
    </row>
    <row r="2706" spans="1:71" s="3030" customFormat="1">
      <c r="A2706" s="2126"/>
      <c r="B2706" s="2126"/>
      <c r="C2706" s="2149"/>
      <c r="D2706" s="3248"/>
      <c r="E2706" s="525"/>
      <c r="F2706" s="525"/>
      <c r="G2706" s="526"/>
      <c r="K2706" s="3280"/>
      <c r="P2706" s="3041"/>
      <c r="X2706" s="3280"/>
      <c r="AA2706" s="3041"/>
      <c r="AF2706" s="3041"/>
      <c r="AN2706" s="3280"/>
      <c r="AZ2706" s="3041"/>
      <c r="BD2706" s="3281"/>
      <c r="BH2706" s="3282"/>
      <c r="BJ2706" s="2589"/>
      <c r="BK2706" s="2126"/>
      <c r="BL2706" s="2126"/>
      <c r="BM2706" s="2126"/>
      <c r="BN2706" s="2126"/>
      <c r="BO2706" s="2126"/>
      <c r="BP2706" s="2126"/>
      <c r="BQ2706" s="2126"/>
      <c r="BR2706" s="2126"/>
      <c r="BS2706" s="2126"/>
    </row>
    <row r="2707" spans="1:71" s="3030" customFormat="1">
      <c r="A2707" s="2126"/>
      <c r="B2707" s="2126"/>
      <c r="C2707" s="2149"/>
      <c r="D2707" s="3248"/>
      <c r="E2707" s="525"/>
      <c r="F2707" s="525"/>
      <c r="G2707" s="526"/>
      <c r="K2707" s="3280"/>
      <c r="P2707" s="3041"/>
      <c r="X2707" s="3280"/>
      <c r="AA2707" s="3041"/>
      <c r="AF2707" s="3041"/>
      <c r="AN2707" s="3280"/>
      <c r="AZ2707" s="3041"/>
      <c r="BD2707" s="3281"/>
      <c r="BH2707" s="3282"/>
      <c r="BJ2707" s="2589"/>
      <c r="BK2707" s="2126"/>
      <c r="BL2707" s="2126"/>
      <c r="BM2707" s="2126"/>
      <c r="BN2707" s="2126"/>
      <c r="BO2707" s="2126"/>
      <c r="BP2707" s="2126"/>
      <c r="BQ2707" s="2126"/>
      <c r="BR2707" s="2126"/>
      <c r="BS2707" s="2126"/>
    </row>
    <row r="2708" spans="1:71" s="3030" customFormat="1">
      <c r="A2708" s="2126"/>
      <c r="B2708" s="2126"/>
      <c r="C2708" s="2149"/>
      <c r="D2708" s="3248"/>
      <c r="E2708" s="525"/>
      <c r="F2708" s="525"/>
      <c r="G2708" s="526"/>
      <c r="K2708" s="3280"/>
      <c r="P2708" s="3041"/>
      <c r="X2708" s="3280"/>
      <c r="AA2708" s="3041"/>
      <c r="AF2708" s="3041"/>
      <c r="AN2708" s="3280"/>
      <c r="AZ2708" s="3041"/>
      <c r="BD2708" s="3281"/>
      <c r="BH2708" s="3282"/>
      <c r="BJ2708" s="2589"/>
      <c r="BK2708" s="2126"/>
      <c r="BL2708" s="2126"/>
      <c r="BM2708" s="2126"/>
      <c r="BN2708" s="2126"/>
      <c r="BO2708" s="2126"/>
      <c r="BP2708" s="2126"/>
      <c r="BQ2708" s="2126"/>
      <c r="BR2708" s="2126"/>
      <c r="BS2708" s="2126"/>
    </row>
    <row r="2709" spans="1:71" s="3030" customFormat="1">
      <c r="A2709" s="2126"/>
      <c r="B2709" s="2126"/>
      <c r="C2709" s="2149"/>
      <c r="D2709" s="3248"/>
      <c r="E2709" s="525"/>
      <c r="F2709" s="525"/>
      <c r="G2709" s="526"/>
      <c r="K2709" s="3280"/>
      <c r="P2709" s="3041"/>
      <c r="X2709" s="3280"/>
      <c r="AA2709" s="3041"/>
      <c r="AF2709" s="3041"/>
      <c r="AN2709" s="3280"/>
      <c r="AZ2709" s="3041"/>
      <c r="BD2709" s="3281"/>
      <c r="BH2709" s="3282"/>
      <c r="BJ2709" s="2589"/>
      <c r="BK2709" s="2126"/>
      <c r="BL2709" s="2126"/>
      <c r="BM2709" s="2126"/>
      <c r="BN2709" s="2126"/>
      <c r="BO2709" s="2126"/>
      <c r="BP2709" s="2126"/>
      <c r="BQ2709" s="2126"/>
      <c r="BR2709" s="2126"/>
      <c r="BS2709" s="2126"/>
    </row>
    <row r="2710" spans="1:71" s="3030" customFormat="1">
      <c r="A2710" s="2126"/>
      <c r="B2710" s="2126"/>
      <c r="C2710" s="2149"/>
      <c r="D2710" s="3248"/>
      <c r="E2710" s="525"/>
      <c r="F2710" s="525"/>
      <c r="G2710" s="526"/>
      <c r="K2710" s="3280"/>
      <c r="P2710" s="3041"/>
      <c r="X2710" s="3280"/>
      <c r="AA2710" s="3041"/>
      <c r="AF2710" s="3041"/>
      <c r="AN2710" s="3280"/>
      <c r="AZ2710" s="3041"/>
      <c r="BD2710" s="3281"/>
      <c r="BH2710" s="3282"/>
      <c r="BJ2710" s="2589"/>
      <c r="BK2710" s="2126"/>
      <c r="BL2710" s="2126"/>
      <c r="BM2710" s="2126"/>
      <c r="BN2710" s="2126"/>
      <c r="BO2710" s="2126"/>
      <c r="BP2710" s="2126"/>
      <c r="BQ2710" s="2126"/>
      <c r="BR2710" s="2126"/>
      <c r="BS2710" s="2126"/>
    </row>
    <row r="2711" spans="1:71" s="3030" customFormat="1">
      <c r="A2711" s="2126"/>
      <c r="B2711" s="2126"/>
      <c r="C2711" s="2149"/>
      <c r="D2711" s="3248"/>
      <c r="E2711" s="525"/>
      <c r="F2711" s="525"/>
      <c r="G2711" s="526"/>
      <c r="K2711" s="3280"/>
      <c r="P2711" s="3041"/>
      <c r="X2711" s="3280"/>
      <c r="AA2711" s="3041"/>
      <c r="AF2711" s="3041"/>
      <c r="AN2711" s="3280"/>
      <c r="AZ2711" s="3041"/>
      <c r="BD2711" s="3281"/>
      <c r="BH2711" s="3282"/>
      <c r="BJ2711" s="2589"/>
      <c r="BK2711" s="2126"/>
      <c r="BL2711" s="2126"/>
      <c r="BM2711" s="2126"/>
      <c r="BN2711" s="2126"/>
      <c r="BO2711" s="2126"/>
      <c r="BP2711" s="2126"/>
      <c r="BQ2711" s="2126"/>
      <c r="BR2711" s="2126"/>
      <c r="BS2711" s="2126"/>
    </row>
    <row r="2712" spans="1:71" s="3030" customFormat="1">
      <c r="A2712" s="2126"/>
      <c r="B2712" s="2126"/>
      <c r="C2712" s="2149"/>
      <c r="D2712" s="3248"/>
      <c r="E2712" s="525"/>
      <c r="F2712" s="525"/>
      <c r="G2712" s="526"/>
      <c r="K2712" s="3280"/>
      <c r="P2712" s="3041"/>
      <c r="X2712" s="3280"/>
      <c r="AA2712" s="3041"/>
      <c r="AF2712" s="3041"/>
      <c r="AN2712" s="3280"/>
      <c r="AZ2712" s="3041"/>
      <c r="BD2712" s="3281"/>
      <c r="BH2712" s="3282"/>
      <c r="BJ2712" s="2589"/>
      <c r="BK2712" s="2126"/>
      <c r="BL2712" s="2126"/>
      <c r="BM2712" s="2126"/>
      <c r="BN2712" s="2126"/>
      <c r="BO2712" s="2126"/>
      <c r="BP2712" s="2126"/>
      <c r="BQ2712" s="2126"/>
      <c r="BR2712" s="2126"/>
      <c r="BS2712" s="2126"/>
    </row>
    <row r="2713" spans="1:71" s="3030" customFormat="1">
      <c r="A2713" s="2126"/>
      <c r="B2713" s="2126"/>
      <c r="C2713" s="2149"/>
      <c r="D2713" s="3248"/>
      <c r="E2713" s="525"/>
      <c r="F2713" s="525"/>
      <c r="G2713" s="526"/>
      <c r="K2713" s="3280"/>
      <c r="P2713" s="3041"/>
      <c r="X2713" s="3280"/>
      <c r="AA2713" s="3041"/>
      <c r="AF2713" s="3041"/>
      <c r="AN2713" s="3280"/>
      <c r="AZ2713" s="3041"/>
      <c r="BD2713" s="3281"/>
      <c r="BH2713" s="3282"/>
      <c r="BJ2713" s="2589"/>
      <c r="BK2713" s="2126"/>
      <c r="BL2713" s="2126"/>
      <c r="BM2713" s="2126"/>
      <c r="BN2713" s="2126"/>
      <c r="BO2713" s="2126"/>
      <c r="BP2713" s="2126"/>
      <c r="BQ2713" s="2126"/>
      <c r="BR2713" s="2126"/>
      <c r="BS2713" s="2126"/>
    </row>
    <row r="2714" spans="1:71" s="3030" customFormat="1">
      <c r="A2714" s="2126"/>
      <c r="B2714" s="2126"/>
      <c r="C2714" s="2149"/>
      <c r="D2714" s="3248"/>
      <c r="E2714" s="525"/>
      <c r="F2714" s="525"/>
      <c r="G2714" s="526"/>
      <c r="K2714" s="3280"/>
      <c r="P2714" s="3041"/>
      <c r="X2714" s="3280"/>
      <c r="AA2714" s="3041"/>
      <c r="AF2714" s="3041"/>
      <c r="AN2714" s="3280"/>
      <c r="AZ2714" s="3041"/>
      <c r="BD2714" s="3281"/>
      <c r="BH2714" s="3282"/>
      <c r="BJ2714" s="2589"/>
      <c r="BK2714" s="2126"/>
      <c r="BL2714" s="2126"/>
      <c r="BM2714" s="2126"/>
      <c r="BN2714" s="2126"/>
      <c r="BO2714" s="2126"/>
      <c r="BP2714" s="2126"/>
      <c r="BQ2714" s="2126"/>
      <c r="BR2714" s="2126"/>
      <c r="BS2714" s="2126"/>
    </row>
    <row r="2715" spans="1:71" s="3030" customFormat="1">
      <c r="A2715" s="2126"/>
      <c r="B2715" s="2126"/>
      <c r="C2715" s="2149"/>
      <c r="D2715" s="3248"/>
      <c r="E2715" s="525"/>
      <c r="F2715" s="525"/>
      <c r="G2715" s="526"/>
      <c r="K2715" s="3280"/>
      <c r="P2715" s="3041"/>
      <c r="X2715" s="3280"/>
      <c r="AA2715" s="3041"/>
      <c r="AF2715" s="3041"/>
      <c r="AN2715" s="3280"/>
      <c r="AZ2715" s="3041"/>
      <c r="BD2715" s="3281"/>
      <c r="BH2715" s="3282"/>
      <c r="BJ2715" s="2589"/>
      <c r="BK2715" s="2126"/>
      <c r="BL2715" s="2126"/>
      <c r="BM2715" s="2126"/>
      <c r="BN2715" s="2126"/>
      <c r="BO2715" s="2126"/>
      <c r="BP2715" s="2126"/>
      <c r="BQ2715" s="2126"/>
      <c r="BR2715" s="2126"/>
      <c r="BS2715" s="2126"/>
    </row>
    <row r="2716" spans="1:71" s="3030" customFormat="1">
      <c r="A2716" s="2126"/>
      <c r="B2716" s="2126"/>
      <c r="C2716" s="2149"/>
      <c r="D2716" s="3248"/>
      <c r="E2716" s="525"/>
      <c r="F2716" s="525"/>
      <c r="G2716" s="526"/>
      <c r="K2716" s="3280"/>
      <c r="P2716" s="3041"/>
      <c r="X2716" s="3280"/>
      <c r="AA2716" s="3041"/>
      <c r="AF2716" s="3041"/>
      <c r="AN2716" s="3280"/>
      <c r="AZ2716" s="3041"/>
      <c r="BD2716" s="3281"/>
      <c r="BH2716" s="3282"/>
      <c r="BJ2716" s="2589"/>
      <c r="BK2716" s="2126"/>
      <c r="BL2716" s="2126"/>
      <c r="BM2716" s="2126"/>
      <c r="BN2716" s="2126"/>
      <c r="BO2716" s="2126"/>
      <c r="BP2716" s="2126"/>
      <c r="BQ2716" s="2126"/>
      <c r="BR2716" s="2126"/>
      <c r="BS2716" s="2126"/>
    </row>
    <row r="2717" spans="1:71" s="3030" customFormat="1">
      <c r="A2717" s="2126"/>
      <c r="B2717" s="2126"/>
      <c r="C2717" s="2149"/>
      <c r="D2717" s="3248"/>
      <c r="E2717" s="525"/>
      <c r="F2717" s="525"/>
      <c r="G2717" s="526"/>
      <c r="K2717" s="3280"/>
      <c r="P2717" s="3041"/>
      <c r="X2717" s="3280"/>
      <c r="AA2717" s="3041"/>
      <c r="AF2717" s="3041"/>
      <c r="AN2717" s="3280"/>
      <c r="AZ2717" s="3041"/>
      <c r="BD2717" s="3281"/>
      <c r="BH2717" s="3282"/>
      <c r="BJ2717" s="2589"/>
      <c r="BK2717" s="2126"/>
      <c r="BL2717" s="2126"/>
      <c r="BM2717" s="2126"/>
      <c r="BN2717" s="2126"/>
      <c r="BO2717" s="2126"/>
      <c r="BP2717" s="2126"/>
      <c r="BQ2717" s="2126"/>
      <c r="BR2717" s="2126"/>
      <c r="BS2717" s="2126"/>
    </row>
    <row r="2718" spans="1:71" s="3030" customFormat="1">
      <c r="A2718" s="2126"/>
      <c r="B2718" s="2126"/>
      <c r="C2718" s="2149"/>
      <c r="D2718" s="3248"/>
      <c r="E2718" s="525"/>
      <c r="F2718" s="525"/>
      <c r="G2718" s="526"/>
      <c r="K2718" s="3280"/>
      <c r="P2718" s="3041"/>
      <c r="X2718" s="3280"/>
      <c r="AA2718" s="3041"/>
      <c r="AF2718" s="3041"/>
      <c r="AN2718" s="3280"/>
      <c r="AZ2718" s="3041"/>
      <c r="BD2718" s="3281"/>
      <c r="BH2718" s="3282"/>
      <c r="BJ2718" s="2589"/>
      <c r="BK2718" s="2126"/>
      <c r="BL2718" s="2126"/>
      <c r="BM2718" s="2126"/>
      <c r="BN2718" s="2126"/>
      <c r="BO2718" s="2126"/>
      <c r="BP2718" s="2126"/>
      <c r="BQ2718" s="2126"/>
      <c r="BR2718" s="2126"/>
      <c r="BS2718" s="2126"/>
    </row>
    <row r="2719" spans="1:71" s="3030" customFormat="1">
      <c r="A2719" s="2126"/>
      <c r="B2719" s="2126"/>
      <c r="C2719" s="2149"/>
      <c r="D2719" s="3248"/>
      <c r="E2719" s="525"/>
      <c r="F2719" s="525"/>
      <c r="G2719" s="526"/>
      <c r="K2719" s="3280"/>
      <c r="P2719" s="3041"/>
      <c r="X2719" s="3280"/>
      <c r="AA2719" s="3041"/>
      <c r="AF2719" s="3041"/>
      <c r="AN2719" s="3280"/>
      <c r="AZ2719" s="3041"/>
      <c r="BD2719" s="3281"/>
      <c r="BH2719" s="3282"/>
      <c r="BJ2719" s="2589"/>
      <c r="BK2719" s="2126"/>
      <c r="BL2719" s="2126"/>
      <c r="BM2719" s="2126"/>
      <c r="BN2719" s="2126"/>
      <c r="BO2719" s="2126"/>
      <c r="BP2719" s="2126"/>
      <c r="BQ2719" s="2126"/>
      <c r="BR2719" s="2126"/>
      <c r="BS2719" s="2126"/>
    </row>
    <row r="2720" spans="1:71" s="3030" customFormat="1">
      <c r="A2720" s="2126"/>
      <c r="B2720" s="2126"/>
      <c r="C2720" s="2149"/>
      <c r="D2720" s="3248"/>
      <c r="E2720" s="525"/>
      <c r="F2720" s="525"/>
      <c r="G2720" s="526"/>
      <c r="K2720" s="3280"/>
      <c r="P2720" s="3041"/>
      <c r="X2720" s="3280"/>
      <c r="AA2720" s="3041"/>
      <c r="AF2720" s="3041"/>
      <c r="AN2720" s="3280"/>
      <c r="AZ2720" s="3041"/>
      <c r="BD2720" s="3281"/>
      <c r="BH2720" s="3282"/>
      <c r="BJ2720" s="2589"/>
      <c r="BK2720" s="2126"/>
      <c r="BL2720" s="2126"/>
      <c r="BM2720" s="2126"/>
      <c r="BN2720" s="2126"/>
      <c r="BO2720" s="2126"/>
      <c r="BP2720" s="2126"/>
      <c r="BQ2720" s="2126"/>
      <c r="BR2720" s="2126"/>
      <c r="BS2720" s="2126"/>
    </row>
    <row r="2721" spans="1:71" s="3030" customFormat="1">
      <c r="A2721" s="2126"/>
      <c r="B2721" s="2126"/>
      <c r="C2721" s="2149"/>
      <c r="D2721" s="3248"/>
      <c r="E2721" s="525"/>
      <c r="F2721" s="525"/>
      <c r="G2721" s="526"/>
      <c r="K2721" s="3280"/>
      <c r="P2721" s="3041"/>
      <c r="X2721" s="3280"/>
      <c r="AA2721" s="3041"/>
      <c r="AF2721" s="3041"/>
      <c r="AN2721" s="3280"/>
      <c r="AZ2721" s="3041"/>
      <c r="BD2721" s="3281"/>
      <c r="BH2721" s="3282"/>
      <c r="BJ2721" s="2589"/>
      <c r="BK2721" s="2126"/>
      <c r="BL2721" s="2126"/>
      <c r="BM2721" s="2126"/>
      <c r="BN2721" s="2126"/>
      <c r="BO2721" s="2126"/>
      <c r="BP2721" s="2126"/>
      <c r="BQ2721" s="2126"/>
      <c r="BR2721" s="2126"/>
      <c r="BS2721" s="2126"/>
    </row>
    <row r="2722" spans="1:71" s="3030" customFormat="1">
      <c r="A2722" s="2126"/>
      <c r="B2722" s="2126"/>
      <c r="C2722" s="2149"/>
      <c r="D2722" s="3248"/>
      <c r="E2722" s="525"/>
      <c r="F2722" s="525"/>
      <c r="G2722" s="526"/>
      <c r="K2722" s="3280"/>
      <c r="P2722" s="3041"/>
      <c r="X2722" s="3280"/>
      <c r="AA2722" s="3041"/>
      <c r="AF2722" s="3041"/>
      <c r="AN2722" s="3280"/>
      <c r="AZ2722" s="3041"/>
      <c r="BD2722" s="3281"/>
      <c r="BH2722" s="3282"/>
      <c r="BJ2722" s="2589"/>
      <c r="BK2722" s="2126"/>
      <c r="BL2722" s="2126"/>
      <c r="BM2722" s="2126"/>
      <c r="BN2722" s="2126"/>
      <c r="BO2722" s="2126"/>
      <c r="BP2722" s="2126"/>
      <c r="BQ2722" s="2126"/>
      <c r="BR2722" s="2126"/>
      <c r="BS2722" s="2126"/>
    </row>
    <row r="2723" spans="1:71" s="3030" customFormat="1">
      <c r="A2723" s="2126"/>
      <c r="B2723" s="2126"/>
      <c r="C2723" s="2149"/>
      <c r="D2723" s="3248"/>
      <c r="E2723" s="525"/>
      <c r="F2723" s="525"/>
      <c r="G2723" s="526"/>
      <c r="K2723" s="3280"/>
      <c r="P2723" s="3041"/>
      <c r="X2723" s="3280"/>
      <c r="AA2723" s="3041"/>
      <c r="AF2723" s="3041"/>
      <c r="AN2723" s="3280"/>
      <c r="AZ2723" s="3041"/>
      <c r="BD2723" s="3281"/>
      <c r="BH2723" s="3282"/>
      <c r="BJ2723" s="2589"/>
      <c r="BK2723" s="2126"/>
      <c r="BL2723" s="2126"/>
      <c r="BM2723" s="2126"/>
      <c r="BN2723" s="2126"/>
      <c r="BO2723" s="2126"/>
      <c r="BP2723" s="2126"/>
      <c r="BQ2723" s="2126"/>
      <c r="BR2723" s="2126"/>
      <c r="BS2723" s="2126"/>
    </row>
    <row r="2724" spans="1:71" s="3030" customFormat="1">
      <c r="A2724" s="2126"/>
      <c r="B2724" s="2126"/>
      <c r="C2724" s="2149"/>
      <c r="D2724" s="3248"/>
      <c r="E2724" s="525"/>
      <c r="F2724" s="525"/>
      <c r="G2724" s="526"/>
      <c r="K2724" s="3280"/>
      <c r="P2724" s="3041"/>
      <c r="X2724" s="3280"/>
      <c r="AA2724" s="3041"/>
      <c r="AF2724" s="3041"/>
      <c r="AN2724" s="3280"/>
      <c r="AZ2724" s="3041"/>
      <c r="BD2724" s="3281"/>
      <c r="BH2724" s="3282"/>
      <c r="BJ2724" s="2589"/>
      <c r="BK2724" s="2126"/>
      <c r="BL2724" s="2126"/>
      <c r="BM2724" s="2126"/>
      <c r="BN2724" s="2126"/>
      <c r="BO2724" s="2126"/>
      <c r="BP2724" s="2126"/>
      <c r="BQ2724" s="2126"/>
      <c r="BR2724" s="2126"/>
      <c r="BS2724" s="2126"/>
    </row>
    <row r="2725" spans="1:71" s="3030" customFormat="1">
      <c r="A2725" s="2126"/>
      <c r="B2725" s="2126"/>
      <c r="C2725" s="2149"/>
      <c r="D2725" s="3248"/>
      <c r="E2725" s="525"/>
      <c r="F2725" s="525"/>
      <c r="G2725" s="526"/>
      <c r="K2725" s="3280"/>
      <c r="P2725" s="3041"/>
      <c r="X2725" s="3280"/>
      <c r="AA2725" s="3041"/>
      <c r="AF2725" s="3041"/>
      <c r="AN2725" s="3280"/>
      <c r="AZ2725" s="3041"/>
      <c r="BD2725" s="3281"/>
      <c r="BH2725" s="3282"/>
      <c r="BJ2725" s="2589"/>
      <c r="BK2725" s="2126"/>
      <c r="BL2725" s="2126"/>
      <c r="BM2725" s="2126"/>
      <c r="BN2725" s="2126"/>
      <c r="BO2725" s="2126"/>
      <c r="BP2725" s="2126"/>
      <c r="BQ2725" s="2126"/>
      <c r="BR2725" s="2126"/>
      <c r="BS2725" s="2126"/>
    </row>
    <row r="2726" spans="1:71" s="3030" customFormat="1">
      <c r="A2726" s="2126"/>
      <c r="B2726" s="2126"/>
      <c r="C2726" s="2149"/>
      <c r="D2726" s="3248"/>
      <c r="E2726" s="525"/>
      <c r="F2726" s="525"/>
      <c r="G2726" s="526"/>
      <c r="K2726" s="3280"/>
      <c r="P2726" s="3041"/>
      <c r="X2726" s="3280"/>
      <c r="AA2726" s="3041"/>
      <c r="AF2726" s="3041"/>
      <c r="AN2726" s="3280"/>
      <c r="AZ2726" s="3041"/>
      <c r="BD2726" s="3281"/>
      <c r="BH2726" s="3282"/>
      <c r="BJ2726" s="2589"/>
      <c r="BK2726" s="2126"/>
      <c r="BL2726" s="2126"/>
      <c r="BM2726" s="2126"/>
      <c r="BN2726" s="2126"/>
      <c r="BO2726" s="2126"/>
      <c r="BP2726" s="2126"/>
      <c r="BQ2726" s="2126"/>
      <c r="BR2726" s="2126"/>
      <c r="BS2726" s="2126"/>
    </row>
    <row r="2727" spans="1:71" s="3030" customFormat="1">
      <c r="A2727" s="2126"/>
      <c r="B2727" s="2126"/>
      <c r="C2727" s="2149"/>
      <c r="D2727" s="3248"/>
      <c r="E2727" s="525"/>
      <c r="F2727" s="525"/>
      <c r="G2727" s="526"/>
      <c r="K2727" s="3280"/>
      <c r="P2727" s="3041"/>
      <c r="X2727" s="3280"/>
      <c r="AA2727" s="3041"/>
      <c r="AF2727" s="3041"/>
      <c r="AN2727" s="3280"/>
      <c r="AZ2727" s="3041"/>
      <c r="BD2727" s="3281"/>
      <c r="BH2727" s="3282"/>
      <c r="BJ2727" s="2589"/>
      <c r="BK2727" s="2126"/>
      <c r="BL2727" s="2126"/>
      <c r="BM2727" s="2126"/>
      <c r="BN2727" s="2126"/>
      <c r="BO2727" s="2126"/>
      <c r="BP2727" s="2126"/>
      <c r="BQ2727" s="2126"/>
      <c r="BR2727" s="2126"/>
      <c r="BS2727" s="2126"/>
    </row>
    <row r="2728" spans="1:71" s="3030" customFormat="1">
      <c r="A2728" s="2126"/>
      <c r="B2728" s="2126"/>
      <c r="C2728" s="2149"/>
      <c r="D2728" s="3248"/>
      <c r="E2728" s="525"/>
      <c r="F2728" s="525"/>
      <c r="G2728" s="526"/>
      <c r="K2728" s="3280"/>
      <c r="P2728" s="3041"/>
      <c r="X2728" s="3280"/>
      <c r="AA2728" s="3041"/>
      <c r="AF2728" s="3041"/>
      <c r="AN2728" s="3280"/>
      <c r="AZ2728" s="3041"/>
      <c r="BD2728" s="3281"/>
      <c r="BH2728" s="3282"/>
      <c r="BJ2728" s="2589"/>
      <c r="BK2728" s="2126"/>
      <c r="BL2728" s="2126"/>
      <c r="BM2728" s="2126"/>
      <c r="BN2728" s="2126"/>
      <c r="BO2728" s="2126"/>
      <c r="BP2728" s="2126"/>
      <c r="BQ2728" s="2126"/>
      <c r="BR2728" s="2126"/>
      <c r="BS2728" s="2126"/>
    </row>
    <row r="2729" spans="1:71" s="3030" customFormat="1">
      <c r="A2729" s="2126"/>
      <c r="B2729" s="2126"/>
      <c r="C2729" s="2149"/>
      <c r="D2729" s="3248"/>
      <c r="E2729" s="525"/>
      <c r="F2729" s="525"/>
      <c r="G2729" s="526"/>
      <c r="K2729" s="3280"/>
      <c r="P2729" s="3041"/>
      <c r="X2729" s="3280"/>
      <c r="AA2729" s="3041"/>
      <c r="AF2729" s="3041"/>
      <c r="AN2729" s="3280"/>
      <c r="AZ2729" s="3041"/>
      <c r="BD2729" s="3281"/>
      <c r="BH2729" s="3282"/>
      <c r="BJ2729" s="2589"/>
      <c r="BK2729" s="2126"/>
      <c r="BL2729" s="2126"/>
      <c r="BM2729" s="2126"/>
      <c r="BN2729" s="2126"/>
      <c r="BO2729" s="2126"/>
      <c r="BP2729" s="2126"/>
      <c r="BQ2729" s="2126"/>
      <c r="BR2729" s="2126"/>
      <c r="BS2729" s="2126"/>
    </row>
    <row r="2730" spans="1:71" s="3030" customFormat="1">
      <c r="A2730" s="2126"/>
      <c r="B2730" s="2126"/>
      <c r="C2730" s="2149"/>
      <c r="D2730" s="3248"/>
      <c r="E2730" s="525"/>
      <c r="F2730" s="525"/>
      <c r="G2730" s="526"/>
      <c r="K2730" s="3280"/>
      <c r="P2730" s="3041"/>
      <c r="X2730" s="3280"/>
      <c r="AA2730" s="3041"/>
      <c r="AF2730" s="3041"/>
      <c r="AN2730" s="3280"/>
      <c r="AZ2730" s="3041"/>
      <c r="BD2730" s="3281"/>
      <c r="BH2730" s="3282"/>
      <c r="BJ2730" s="2589"/>
      <c r="BK2730" s="2126"/>
      <c r="BL2730" s="2126"/>
      <c r="BM2730" s="2126"/>
      <c r="BN2730" s="2126"/>
      <c r="BO2730" s="2126"/>
      <c r="BP2730" s="2126"/>
      <c r="BQ2730" s="2126"/>
      <c r="BR2730" s="2126"/>
      <c r="BS2730" s="2126"/>
    </row>
    <row r="2731" spans="1:71" s="3030" customFormat="1">
      <c r="A2731" s="2126"/>
      <c r="B2731" s="2126"/>
      <c r="C2731" s="2149"/>
      <c r="D2731" s="3248"/>
      <c r="E2731" s="525"/>
      <c r="F2731" s="525"/>
      <c r="G2731" s="526"/>
      <c r="K2731" s="3280"/>
      <c r="P2731" s="3041"/>
      <c r="X2731" s="3280"/>
      <c r="AA2731" s="3041"/>
      <c r="AF2731" s="3041"/>
      <c r="AN2731" s="3280"/>
      <c r="AZ2731" s="3041"/>
      <c r="BD2731" s="3281"/>
      <c r="BH2731" s="3282"/>
      <c r="BJ2731" s="2589"/>
      <c r="BK2731" s="2126"/>
      <c r="BL2731" s="2126"/>
      <c r="BM2731" s="2126"/>
      <c r="BN2731" s="2126"/>
      <c r="BO2731" s="2126"/>
      <c r="BP2731" s="2126"/>
      <c r="BQ2731" s="2126"/>
      <c r="BR2731" s="2126"/>
      <c r="BS2731" s="2126"/>
    </row>
    <row r="2732" spans="1:71" s="3030" customFormat="1">
      <c r="A2732" s="2126"/>
      <c r="B2732" s="2126"/>
      <c r="C2732" s="2149"/>
      <c r="D2732" s="3248"/>
      <c r="E2732" s="525"/>
      <c r="F2732" s="525"/>
      <c r="G2732" s="526"/>
      <c r="K2732" s="3280"/>
      <c r="P2732" s="3041"/>
      <c r="X2732" s="3280"/>
      <c r="AA2732" s="3041"/>
      <c r="AF2732" s="3041"/>
      <c r="AN2732" s="3280"/>
      <c r="AZ2732" s="3041"/>
      <c r="BD2732" s="3281"/>
      <c r="BH2732" s="3282"/>
      <c r="BJ2732" s="2589"/>
      <c r="BK2732" s="2126"/>
      <c r="BL2732" s="2126"/>
      <c r="BM2732" s="2126"/>
      <c r="BN2732" s="2126"/>
      <c r="BO2732" s="2126"/>
      <c r="BP2732" s="2126"/>
      <c r="BQ2732" s="2126"/>
      <c r="BR2732" s="2126"/>
      <c r="BS2732" s="2126"/>
    </row>
    <row r="2733" spans="1:71" s="3030" customFormat="1">
      <c r="A2733" s="2126"/>
      <c r="B2733" s="2126"/>
      <c r="C2733" s="2149"/>
      <c r="D2733" s="3248"/>
      <c r="E2733" s="525"/>
      <c r="F2733" s="525"/>
      <c r="G2733" s="526"/>
      <c r="K2733" s="3280"/>
      <c r="P2733" s="3041"/>
      <c r="X2733" s="3280"/>
      <c r="AA2733" s="3041"/>
      <c r="AF2733" s="3041"/>
      <c r="AN2733" s="3280"/>
      <c r="AZ2733" s="3041"/>
      <c r="BD2733" s="3281"/>
      <c r="BH2733" s="3282"/>
      <c r="BJ2733" s="2589"/>
      <c r="BK2733" s="2126"/>
      <c r="BL2733" s="2126"/>
      <c r="BM2733" s="2126"/>
      <c r="BN2733" s="2126"/>
      <c r="BO2733" s="2126"/>
      <c r="BP2733" s="2126"/>
      <c r="BQ2733" s="2126"/>
      <c r="BR2733" s="2126"/>
      <c r="BS2733" s="2126"/>
    </row>
    <row r="2734" spans="1:71" s="3030" customFormat="1">
      <c r="A2734" s="2126"/>
      <c r="B2734" s="2126"/>
      <c r="C2734" s="2149"/>
      <c r="D2734" s="3248"/>
      <c r="E2734" s="525"/>
      <c r="F2734" s="525"/>
      <c r="G2734" s="526"/>
      <c r="K2734" s="3280"/>
      <c r="P2734" s="3041"/>
      <c r="X2734" s="3280"/>
      <c r="AA2734" s="3041"/>
      <c r="AF2734" s="3041"/>
      <c r="AN2734" s="3280"/>
      <c r="AZ2734" s="3041"/>
      <c r="BD2734" s="3281"/>
      <c r="BH2734" s="3282"/>
      <c r="BJ2734" s="2589"/>
      <c r="BK2734" s="2126"/>
      <c r="BL2734" s="2126"/>
      <c r="BM2734" s="2126"/>
      <c r="BN2734" s="2126"/>
      <c r="BO2734" s="2126"/>
      <c r="BP2734" s="2126"/>
      <c r="BQ2734" s="2126"/>
      <c r="BR2734" s="2126"/>
      <c r="BS2734" s="2126"/>
    </row>
    <row r="2735" spans="1:71" s="3030" customFormat="1">
      <c r="A2735" s="2126"/>
      <c r="B2735" s="2126"/>
      <c r="C2735" s="2149"/>
      <c r="D2735" s="3248"/>
      <c r="E2735" s="525"/>
      <c r="F2735" s="525"/>
      <c r="G2735" s="526"/>
      <c r="K2735" s="3280"/>
      <c r="P2735" s="3041"/>
      <c r="X2735" s="3280"/>
      <c r="AA2735" s="3041"/>
      <c r="AF2735" s="3041"/>
      <c r="AN2735" s="3280"/>
      <c r="AZ2735" s="3041"/>
      <c r="BD2735" s="3281"/>
      <c r="BH2735" s="3282"/>
      <c r="BJ2735" s="2589"/>
      <c r="BK2735" s="2126"/>
      <c r="BL2735" s="2126"/>
      <c r="BM2735" s="2126"/>
      <c r="BN2735" s="2126"/>
      <c r="BO2735" s="2126"/>
      <c r="BP2735" s="2126"/>
      <c r="BQ2735" s="2126"/>
      <c r="BR2735" s="2126"/>
      <c r="BS2735" s="2126"/>
    </row>
    <row r="2736" spans="1:71" s="3030" customFormat="1">
      <c r="A2736" s="2126"/>
      <c r="B2736" s="2126"/>
      <c r="C2736" s="2149"/>
      <c r="D2736" s="3248"/>
      <c r="E2736" s="525"/>
      <c r="F2736" s="525"/>
      <c r="G2736" s="526"/>
      <c r="K2736" s="3280"/>
      <c r="P2736" s="3041"/>
      <c r="X2736" s="3280"/>
      <c r="AA2736" s="3041"/>
      <c r="AF2736" s="3041"/>
      <c r="AN2736" s="3280"/>
      <c r="AZ2736" s="3041"/>
      <c r="BD2736" s="3281"/>
      <c r="BH2736" s="3282"/>
      <c r="BJ2736" s="2589"/>
      <c r="BK2736" s="2126"/>
      <c r="BL2736" s="2126"/>
      <c r="BM2736" s="2126"/>
      <c r="BN2736" s="2126"/>
      <c r="BO2736" s="2126"/>
      <c r="BP2736" s="2126"/>
      <c r="BQ2736" s="2126"/>
      <c r="BR2736" s="2126"/>
      <c r="BS2736" s="2126"/>
    </row>
    <row r="2737" spans="1:71" s="3030" customFormat="1">
      <c r="A2737" s="2126"/>
      <c r="B2737" s="2126"/>
      <c r="C2737" s="2149"/>
      <c r="D2737" s="3248"/>
      <c r="E2737" s="525"/>
      <c r="F2737" s="525"/>
      <c r="G2737" s="526"/>
      <c r="K2737" s="3280"/>
      <c r="P2737" s="3041"/>
      <c r="X2737" s="3280"/>
      <c r="AA2737" s="3041"/>
      <c r="AF2737" s="3041"/>
      <c r="AN2737" s="3280"/>
      <c r="AZ2737" s="3041"/>
      <c r="BD2737" s="3281"/>
      <c r="BH2737" s="3282"/>
      <c r="BJ2737" s="2589"/>
      <c r="BK2737" s="2126"/>
      <c r="BL2737" s="2126"/>
      <c r="BM2737" s="2126"/>
      <c r="BN2737" s="2126"/>
      <c r="BO2737" s="2126"/>
      <c r="BP2737" s="2126"/>
      <c r="BQ2737" s="2126"/>
      <c r="BR2737" s="2126"/>
      <c r="BS2737" s="2126"/>
    </row>
    <row r="2738" spans="1:71" s="3030" customFormat="1">
      <c r="A2738" s="2126"/>
      <c r="B2738" s="2126"/>
      <c r="C2738" s="2149"/>
      <c r="D2738" s="3248"/>
      <c r="E2738" s="525"/>
      <c r="F2738" s="525"/>
      <c r="G2738" s="526"/>
      <c r="K2738" s="3280"/>
      <c r="P2738" s="3041"/>
      <c r="X2738" s="3280"/>
      <c r="AA2738" s="3041"/>
      <c r="AF2738" s="3041"/>
      <c r="AN2738" s="3280"/>
      <c r="AZ2738" s="3041"/>
      <c r="BD2738" s="3281"/>
      <c r="BH2738" s="3282"/>
      <c r="BJ2738" s="2589"/>
      <c r="BK2738" s="2126"/>
      <c r="BL2738" s="2126"/>
      <c r="BM2738" s="2126"/>
      <c r="BN2738" s="2126"/>
      <c r="BO2738" s="2126"/>
      <c r="BP2738" s="2126"/>
      <c r="BQ2738" s="2126"/>
      <c r="BR2738" s="2126"/>
      <c r="BS2738" s="2126"/>
    </row>
    <row r="2739" spans="1:71" s="3030" customFormat="1">
      <c r="A2739" s="2126"/>
      <c r="B2739" s="2126"/>
      <c r="C2739" s="2149"/>
      <c r="D2739" s="3248"/>
      <c r="E2739" s="525"/>
      <c r="F2739" s="525"/>
      <c r="G2739" s="526"/>
      <c r="K2739" s="3280"/>
      <c r="P2739" s="3041"/>
      <c r="X2739" s="3280"/>
      <c r="AA2739" s="3041"/>
      <c r="AF2739" s="3041"/>
      <c r="AN2739" s="3280"/>
      <c r="AZ2739" s="3041"/>
      <c r="BD2739" s="3281"/>
      <c r="BH2739" s="3282"/>
      <c r="BJ2739" s="2589"/>
      <c r="BK2739" s="2126"/>
      <c r="BL2739" s="2126"/>
      <c r="BM2739" s="2126"/>
      <c r="BN2739" s="2126"/>
      <c r="BO2739" s="2126"/>
      <c r="BP2739" s="2126"/>
      <c r="BQ2739" s="2126"/>
      <c r="BR2739" s="2126"/>
      <c r="BS2739" s="2126"/>
    </row>
    <row r="2740" spans="1:71" s="3030" customFormat="1">
      <c r="A2740" s="2126"/>
      <c r="B2740" s="2126"/>
      <c r="C2740" s="2149"/>
      <c r="D2740" s="3248"/>
      <c r="E2740" s="525"/>
      <c r="F2740" s="525"/>
      <c r="G2740" s="526"/>
      <c r="K2740" s="3280"/>
      <c r="P2740" s="3041"/>
      <c r="X2740" s="3280"/>
      <c r="AA2740" s="3041"/>
      <c r="AF2740" s="3041"/>
      <c r="AN2740" s="3280"/>
      <c r="AZ2740" s="3041"/>
      <c r="BD2740" s="3281"/>
      <c r="BH2740" s="3282"/>
      <c r="BJ2740" s="2589"/>
      <c r="BK2740" s="2126"/>
      <c r="BL2740" s="2126"/>
      <c r="BM2740" s="2126"/>
      <c r="BN2740" s="2126"/>
      <c r="BO2740" s="2126"/>
      <c r="BP2740" s="2126"/>
      <c r="BQ2740" s="2126"/>
      <c r="BR2740" s="2126"/>
      <c r="BS2740" s="2126"/>
    </row>
    <row r="2741" spans="1:71" s="3030" customFormat="1">
      <c r="A2741" s="2126"/>
      <c r="B2741" s="2126"/>
      <c r="C2741" s="2149"/>
      <c r="D2741" s="3248"/>
      <c r="E2741" s="525"/>
      <c r="F2741" s="525"/>
      <c r="G2741" s="526"/>
      <c r="K2741" s="3280"/>
      <c r="P2741" s="3041"/>
      <c r="X2741" s="3280"/>
      <c r="AA2741" s="3041"/>
      <c r="AF2741" s="3041"/>
      <c r="AN2741" s="3280"/>
      <c r="AZ2741" s="3041"/>
      <c r="BD2741" s="3281"/>
      <c r="BH2741" s="3282"/>
      <c r="BJ2741" s="2589"/>
      <c r="BK2741" s="2126"/>
      <c r="BL2741" s="2126"/>
      <c r="BM2741" s="2126"/>
      <c r="BN2741" s="2126"/>
      <c r="BO2741" s="2126"/>
      <c r="BP2741" s="2126"/>
      <c r="BQ2741" s="2126"/>
      <c r="BR2741" s="2126"/>
      <c r="BS2741" s="2126"/>
    </row>
    <row r="2742" spans="1:71" s="3030" customFormat="1">
      <c r="A2742" s="2126"/>
      <c r="B2742" s="2126"/>
      <c r="C2742" s="2149"/>
      <c r="D2742" s="3248"/>
      <c r="E2742" s="525"/>
      <c r="F2742" s="525"/>
      <c r="G2742" s="526"/>
      <c r="K2742" s="3280"/>
      <c r="P2742" s="3041"/>
      <c r="X2742" s="3280"/>
      <c r="AA2742" s="3041"/>
      <c r="AF2742" s="3041"/>
      <c r="AN2742" s="3280"/>
      <c r="AZ2742" s="3041"/>
      <c r="BD2742" s="3281"/>
      <c r="BH2742" s="3282"/>
      <c r="BJ2742" s="2589"/>
      <c r="BK2742" s="2126"/>
      <c r="BL2742" s="2126"/>
      <c r="BM2742" s="2126"/>
      <c r="BN2742" s="2126"/>
      <c r="BO2742" s="2126"/>
      <c r="BP2742" s="2126"/>
      <c r="BQ2742" s="2126"/>
      <c r="BR2742" s="2126"/>
      <c r="BS2742" s="2126"/>
    </row>
    <row r="2743" spans="1:71" s="3030" customFormat="1">
      <c r="A2743" s="2126"/>
      <c r="B2743" s="2126"/>
      <c r="C2743" s="2149"/>
      <c r="D2743" s="3248"/>
      <c r="E2743" s="525"/>
      <c r="F2743" s="525"/>
      <c r="G2743" s="526"/>
      <c r="K2743" s="3280"/>
      <c r="P2743" s="3041"/>
      <c r="X2743" s="3280"/>
      <c r="AA2743" s="3041"/>
      <c r="AF2743" s="3041"/>
      <c r="AN2743" s="3280"/>
      <c r="AZ2743" s="3041"/>
      <c r="BD2743" s="3281"/>
      <c r="BH2743" s="3282"/>
      <c r="BJ2743" s="2589"/>
      <c r="BK2743" s="2126"/>
      <c r="BL2743" s="2126"/>
      <c r="BM2743" s="2126"/>
      <c r="BN2743" s="2126"/>
      <c r="BO2743" s="2126"/>
      <c r="BP2743" s="2126"/>
      <c r="BQ2743" s="2126"/>
      <c r="BR2743" s="2126"/>
      <c r="BS2743" s="2126"/>
    </row>
    <row r="2744" spans="1:71" s="3030" customFormat="1">
      <c r="A2744" s="2126"/>
      <c r="B2744" s="2126"/>
      <c r="C2744" s="2149"/>
      <c r="D2744" s="3248"/>
      <c r="E2744" s="525"/>
      <c r="F2744" s="525"/>
      <c r="G2744" s="526"/>
      <c r="K2744" s="3280"/>
      <c r="P2744" s="3041"/>
      <c r="X2744" s="3280"/>
      <c r="AA2744" s="3041"/>
      <c r="AF2744" s="3041"/>
      <c r="AN2744" s="3280"/>
      <c r="AZ2744" s="3041"/>
      <c r="BD2744" s="3281"/>
      <c r="BH2744" s="3282"/>
      <c r="BJ2744" s="2589"/>
      <c r="BK2744" s="2126"/>
      <c r="BL2744" s="2126"/>
      <c r="BM2744" s="2126"/>
      <c r="BN2744" s="2126"/>
      <c r="BO2744" s="2126"/>
      <c r="BP2744" s="2126"/>
      <c r="BQ2744" s="2126"/>
      <c r="BR2744" s="2126"/>
      <c r="BS2744" s="2126"/>
    </row>
    <row r="2745" spans="1:71" s="3030" customFormat="1">
      <c r="A2745" s="2126"/>
      <c r="B2745" s="2126"/>
      <c r="C2745" s="2149"/>
      <c r="D2745" s="3248"/>
      <c r="E2745" s="525"/>
      <c r="F2745" s="525"/>
      <c r="G2745" s="526"/>
      <c r="K2745" s="3280"/>
      <c r="P2745" s="3041"/>
      <c r="X2745" s="3280"/>
      <c r="AA2745" s="3041"/>
      <c r="AF2745" s="3041"/>
      <c r="AN2745" s="3280"/>
      <c r="AZ2745" s="3041"/>
      <c r="BD2745" s="3281"/>
      <c r="BH2745" s="3282"/>
      <c r="BJ2745" s="2589"/>
      <c r="BK2745" s="2126"/>
      <c r="BL2745" s="2126"/>
      <c r="BM2745" s="2126"/>
      <c r="BN2745" s="2126"/>
      <c r="BO2745" s="2126"/>
      <c r="BP2745" s="2126"/>
      <c r="BQ2745" s="2126"/>
      <c r="BR2745" s="2126"/>
      <c r="BS2745" s="2126"/>
    </row>
    <row r="2746" spans="1:71" s="3030" customFormat="1">
      <c r="A2746" s="2126"/>
      <c r="B2746" s="2126"/>
      <c r="C2746" s="2149"/>
      <c r="D2746" s="3248"/>
      <c r="E2746" s="525"/>
      <c r="F2746" s="525"/>
      <c r="G2746" s="526"/>
      <c r="K2746" s="3280"/>
      <c r="P2746" s="3041"/>
      <c r="X2746" s="3280"/>
      <c r="AA2746" s="3041"/>
      <c r="AF2746" s="3041"/>
      <c r="AN2746" s="3280"/>
      <c r="AZ2746" s="3041"/>
      <c r="BD2746" s="3281"/>
      <c r="BH2746" s="3282"/>
      <c r="BJ2746" s="2589"/>
      <c r="BK2746" s="2126"/>
      <c r="BL2746" s="2126"/>
      <c r="BM2746" s="2126"/>
      <c r="BN2746" s="2126"/>
      <c r="BO2746" s="2126"/>
      <c r="BP2746" s="2126"/>
      <c r="BQ2746" s="2126"/>
      <c r="BR2746" s="2126"/>
      <c r="BS2746" s="2126"/>
    </row>
    <row r="2747" spans="1:71" s="3030" customFormat="1">
      <c r="A2747" s="2126"/>
      <c r="B2747" s="2126"/>
      <c r="C2747" s="2149"/>
      <c r="D2747" s="3248"/>
      <c r="E2747" s="525"/>
      <c r="F2747" s="525"/>
      <c r="G2747" s="526"/>
      <c r="K2747" s="3280"/>
      <c r="P2747" s="3041"/>
      <c r="X2747" s="3280"/>
      <c r="AA2747" s="3041"/>
      <c r="AF2747" s="3041"/>
      <c r="AN2747" s="3280"/>
      <c r="AZ2747" s="3041"/>
      <c r="BD2747" s="3281"/>
      <c r="BH2747" s="3282"/>
      <c r="BJ2747" s="2589"/>
      <c r="BK2747" s="2126"/>
      <c r="BL2747" s="2126"/>
      <c r="BM2747" s="2126"/>
      <c r="BN2747" s="2126"/>
      <c r="BO2747" s="2126"/>
      <c r="BP2747" s="2126"/>
      <c r="BQ2747" s="2126"/>
      <c r="BR2747" s="2126"/>
      <c r="BS2747" s="2126"/>
    </row>
    <row r="2748" spans="1:71" s="3030" customFormat="1">
      <c r="A2748" s="2126"/>
      <c r="B2748" s="2126"/>
      <c r="C2748" s="2149"/>
      <c r="D2748" s="3248"/>
      <c r="E2748" s="525"/>
      <c r="F2748" s="525"/>
      <c r="G2748" s="526"/>
      <c r="K2748" s="3280"/>
      <c r="P2748" s="3041"/>
      <c r="X2748" s="3280"/>
      <c r="AA2748" s="3041"/>
      <c r="AF2748" s="3041"/>
      <c r="AN2748" s="3280"/>
      <c r="AZ2748" s="3041"/>
      <c r="BD2748" s="3281"/>
      <c r="BH2748" s="3282"/>
      <c r="BJ2748" s="2589"/>
      <c r="BK2748" s="2126"/>
      <c r="BL2748" s="2126"/>
      <c r="BM2748" s="2126"/>
      <c r="BN2748" s="2126"/>
      <c r="BO2748" s="2126"/>
      <c r="BP2748" s="2126"/>
      <c r="BQ2748" s="2126"/>
      <c r="BR2748" s="2126"/>
      <c r="BS2748" s="2126"/>
    </row>
    <row r="2749" spans="1:71" s="3030" customFormat="1">
      <c r="A2749" s="2126"/>
      <c r="B2749" s="2126"/>
      <c r="C2749" s="2149"/>
      <c r="D2749" s="3248"/>
      <c r="E2749" s="525"/>
      <c r="F2749" s="525"/>
      <c r="G2749" s="526"/>
      <c r="K2749" s="3280"/>
      <c r="P2749" s="3041"/>
      <c r="X2749" s="3280"/>
      <c r="AA2749" s="3041"/>
      <c r="AF2749" s="3041"/>
      <c r="AN2749" s="3280"/>
      <c r="AZ2749" s="3041"/>
      <c r="BD2749" s="3281"/>
      <c r="BH2749" s="3282"/>
      <c r="BJ2749" s="2589"/>
      <c r="BK2749" s="2126"/>
      <c r="BL2749" s="2126"/>
      <c r="BM2749" s="2126"/>
      <c r="BN2749" s="2126"/>
      <c r="BO2749" s="2126"/>
      <c r="BP2749" s="2126"/>
      <c r="BQ2749" s="2126"/>
      <c r="BR2749" s="2126"/>
      <c r="BS2749" s="2126"/>
    </row>
    <row r="2750" spans="1:71" s="3030" customFormat="1">
      <c r="A2750" s="2126"/>
      <c r="B2750" s="2126"/>
      <c r="C2750" s="2149"/>
      <c r="D2750" s="3248"/>
      <c r="E2750" s="525"/>
      <c r="F2750" s="525"/>
      <c r="G2750" s="526"/>
      <c r="K2750" s="3280"/>
      <c r="P2750" s="3041"/>
      <c r="X2750" s="3280"/>
      <c r="AA2750" s="3041"/>
      <c r="AF2750" s="3041"/>
      <c r="AN2750" s="3280"/>
      <c r="AZ2750" s="3041"/>
      <c r="BD2750" s="3281"/>
      <c r="BH2750" s="3282"/>
      <c r="BJ2750" s="2589"/>
      <c r="BK2750" s="2126"/>
      <c r="BL2750" s="2126"/>
      <c r="BM2750" s="2126"/>
      <c r="BN2750" s="2126"/>
      <c r="BO2750" s="2126"/>
      <c r="BP2750" s="2126"/>
      <c r="BQ2750" s="2126"/>
      <c r="BR2750" s="2126"/>
      <c r="BS2750" s="2126"/>
    </row>
    <row r="2751" spans="1:71" s="3030" customFormat="1">
      <c r="A2751" s="2126"/>
      <c r="B2751" s="2126"/>
      <c r="C2751" s="2149"/>
      <c r="D2751" s="3248"/>
      <c r="E2751" s="525"/>
      <c r="F2751" s="525"/>
      <c r="G2751" s="526"/>
      <c r="K2751" s="3280"/>
      <c r="P2751" s="3041"/>
      <c r="X2751" s="3280"/>
      <c r="AA2751" s="3041"/>
      <c r="AF2751" s="3041"/>
      <c r="AN2751" s="3280"/>
      <c r="AZ2751" s="3041"/>
      <c r="BD2751" s="3281"/>
      <c r="BH2751" s="3282"/>
      <c r="BJ2751" s="2589"/>
      <c r="BK2751" s="2126"/>
      <c r="BL2751" s="2126"/>
      <c r="BM2751" s="2126"/>
      <c r="BN2751" s="2126"/>
      <c r="BO2751" s="2126"/>
      <c r="BP2751" s="2126"/>
      <c r="BQ2751" s="2126"/>
      <c r="BR2751" s="2126"/>
      <c r="BS2751" s="2126"/>
    </row>
    <row r="2752" spans="1:71" s="3030" customFormat="1">
      <c r="A2752" s="2126"/>
      <c r="B2752" s="2126"/>
      <c r="C2752" s="2149"/>
      <c r="D2752" s="3248"/>
      <c r="E2752" s="525"/>
      <c r="F2752" s="525"/>
      <c r="G2752" s="526"/>
      <c r="K2752" s="3280"/>
      <c r="P2752" s="3041"/>
      <c r="X2752" s="3280"/>
      <c r="AA2752" s="3041"/>
      <c r="AF2752" s="3041"/>
      <c r="AN2752" s="3280"/>
      <c r="AZ2752" s="3041"/>
      <c r="BD2752" s="3281"/>
      <c r="BH2752" s="3282"/>
      <c r="BJ2752" s="2589"/>
      <c r="BK2752" s="2126"/>
      <c r="BL2752" s="2126"/>
      <c r="BM2752" s="2126"/>
      <c r="BN2752" s="2126"/>
      <c r="BO2752" s="2126"/>
      <c r="BP2752" s="2126"/>
      <c r="BQ2752" s="2126"/>
      <c r="BR2752" s="2126"/>
      <c r="BS2752" s="2126"/>
    </row>
    <row r="2753" spans="1:71" s="3030" customFormat="1">
      <c r="A2753" s="2126"/>
      <c r="B2753" s="2126"/>
      <c r="C2753" s="2149"/>
      <c r="D2753" s="3248"/>
      <c r="E2753" s="525"/>
      <c r="F2753" s="525"/>
      <c r="G2753" s="526"/>
      <c r="K2753" s="3280"/>
      <c r="P2753" s="3041"/>
      <c r="X2753" s="3280"/>
      <c r="AA2753" s="3041"/>
      <c r="AF2753" s="3041"/>
      <c r="AN2753" s="3280"/>
      <c r="AZ2753" s="3041"/>
      <c r="BD2753" s="3281"/>
      <c r="BH2753" s="3282"/>
      <c r="BJ2753" s="2589"/>
      <c r="BK2753" s="2126"/>
      <c r="BL2753" s="2126"/>
      <c r="BM2753" s="2126"/>
      <c r="BN2753" s="2126"/>
      <c r="BO2753" s="2126"/>
      <c r="BP2753" s="2126"/>
      <c r="BQ2753" s="2126"/>
      <c r="BR2753" s="2126"/>
      <c r="BS2753" s="2126"/>
    </row>
    <row r="2754" spans="1:71" s="3030" customFormat="1">
      <c r="A2754" s="2126"/>
      <c r="B2754" s="2126"/>
      <c r="C2754" s="2149"/>
      <c r="D2754" s="3248"/>
      <c r="E2754" s="525"/>
      <c r="F2754" s="525"/>
      <c r="G2754" s="526"/>
      <c r="K2754" s="3280"/>
      <c r="P2754" s="3041"/>
      <c r="X2754" s="3280"/>
      <c r="AA2754" s="3041"/>
      <c r="AF2754" s="3041"/>
      <c r="AN2754" s="3280"/>
      <c r="AZ2754" s="3041"/>
      <c r="BD2754" s="3281"/>
      <c r="BH2754" s="3282"/>
      <c r="BJ2754" s="2589"/>
      <c r="BK2754" s="2126"/>
      <c r="BL2754" s="2126"/>
      <c r="BM2754" s="2126"/>
      <c r="BN2754" s="2126"/>
      <c r="BO2754" s="2126"/>
      <c r="BP2754" s="2126"/>
      <c r="BQ2754" s="2126"/>
      <c r="BR2754" s="2126"/>
      <c r="BS2754" s="2126"/>
    </row>
    <row r="2755" spans="1:71" s="3030" customFormat="1">
      <c r="A2755" s="2126"/>
      <c r="B2755" s="2126"/>
      <c r="C2755" s="2149"/>
      <c r="D2755" s="3248"/>
      <c r="E2755" s="525"/>
      <c r="F2755" s="525"/>
      <c r="G2755" s="526"/>
      <c r="K2755" s="3280"/>
      <c r="P2755" s="3041"/>
      <c r="X2755" s="3280"/>
      <c r="AA2755" s="3041"/>
      <c r="AF2755" s="3041"/>
      <c r="AN2755" s="3280"/>
      <c r="AZ2755" s="3041"/>
      <c r="BD2755" s="3281"/>
      <c r="BH2755" s="3282"/>
      <c r="BJ2755" s="2589"/>
      <c r="BK2755" s="2126"/>
      <c r="BL2755" s="2126"/>
      <c r="BM2755" s="2126"/>
      <c r="BN2755" s="2126"/>
      <c r="BO2755" s="2126"/>
      <c r="BP2755" s="2126"/>
      <c r="BQ2755" s="2126"/>
      <c r="BR2755" s="2126"/>
      <c r="BS2755" s="2126"/>
    </row>
    <row r="2756" spans="1:71" s="3030" customFormat="1">
      <c r="A2756" s="2126"/>
      <c r="B2756" s="2126"/>
      <c r="C2756" s="2149"/>
      <c r="D2756" s="3248"/>
      <c r="E2756" s="525"/>
      <c r="F2756" s="525"/>
      <c r="G2756" s="526"/>
      <c r="K2756" s="3280"/>
      <c r="P2756" s="3041"/>
      <c r="X2756" s="3280"/>
      <c r="AA2756" s="3041"/>
      <c r="AF2756" s="3041"/>
      <c r="AN2756" s="3280"/>
      <c r="AZ2756" s="3041"/>
      <c r="BD2756" s="3281"/>
      <c r="BH2756" s="3282"/>
      <c r="BJ2756" s="2589"/>
      <c r="BK2756" s="2126"/>
      <c r="BL2756" s="2126"/>
      <c r="BM2756" s="2126"/>
      <c r="BN2756" s="2126"/>
      <c r="BO2756" s="2126"/>
      <c r="BP2756" s="2126"/>
      <c r="BQ2756" s="2126"/>
      <c r="BR2756" s="2126"/>
      <c r="BS2756" s="2126"/>
    </row>
    <row r="2757" spans="1:71" s="3030" customFormat="1">
      <c r="A2757" s="2126"/>
      <c r="B2757" s="2126"/>
      <c r="C2757" s="2149"/>
      <c r="D2757" s="3248"/>
      <c r="E2757" s="525"/>
      <c r="F2757" s="525"/>
      <c r="G2757" s="526"/>
      <c r="K2757" s="3280"/>
      <c r="P2757" s="3041"/>
      <c r="X2757" s="3280"/>
      <c r="AA2757" s="3041"/>
      <c r="AF2757" s="3041"/>
      <c r="AN2757" s="3280"/>
      <c r="AZ2757" s="3041"/>
      <c r="BD2757" s="3281"/>
      <c r="BH2757" s="3282"/>
      <c r="BJ2757" s="2589"/>
      <c r="BK2757" s="2126"/>
      <c r="BL2757" s="2126"/>
      <c r="BM2757" s="2126"/>
      <c r="BN2757" s="2126"/>
      <c r="BO2757" s="2126"/>
      <c r="BP2757" s="2126"/>
      <c r="BQ2757" s="2126"/>
      <c r="BR2757" s="2126"/>
      <c r="BS2757" s="2126"/>
    </row>
    <row r="2758" spans="1:71" s="3030" customFormat="1">
      <c r="A2758" s="2126"/>
      <c r="B2758" s="2126"/>
      <c r="C2758" s="2149"/>
      <c r="D2758" s="3248"/>
      <c r="E2758" s="525"/>
      <c r="F2758" s="525"/>
      <c r="G2758" s="526"/>
      <c r="K2758" s="3280"/>
      <c r="P2758" s="3041"/>
      <c r="X2758" s="3280"/>
      <c r="AA2758" s="3041"/>
      <c r="AF2758" s="3041"/>
      <c r="AN2758" s="3280"/>
      <c r="AZ2758" s="3041"/>
      <c r="BD2758" s="3281"/>
      <c r="BH2758" s="3282"/>
      <c r="BJ2758" s="2589"/>
      <c r="BK2758" s="2126"/>
      <c r="BL2758" s="2126"/>
      <c r="BM2758" s="2126"/>
      <c r="BN2758" s="2126"/>
      <c r="BO2758" s="2126"/>
      <c r="BP2758" s="2126"/>
      <c r="BQ2758" s="2126"/>
      <c r="BR2758" s="2126"/>
      <c r="BS2758" s="2126"/>
    </row>
    <row r="2759" spans="1:71" s="3030" customFormat="1">
      <c r="A2759" s="2126"/>
      <c r="B2759" s="2126"/>
      <c r="C2759" s="2149"/>
      <c r="D2759" s="3248"/>
      <c r="E2759" s="525"/>
      <c r="F2759" s="525"/>
      <c r="G2759" s="526"/>
      <c r="K2759" s="3280"/>
      <c r="P2759" s="3041"/>
      <c r="X2759" s="3280"/>
      <c r="AA2759" s="3041"/>
      <c r="AF2759" s="3041"/>
      <c r="AN2759" s="3280"/>
      <c r="AZ2759" s="3041"/>
      <c r="BD2759" s="3281"/>
      <c r="BH2759" s="3282"/>
      <c r="BJ2759" s="2589"/>
      <c r="BK2759" s="2126"/>
      <c r="BL2759" s="2126"/>
      <c r="BM2759" s="2126"/>
      <c r="BN2759" s="2126"/>
      <c r="BO2759" s="2126"/>
      <c r="BP2759" s="2126"/>
      <c r="BQ2759" s="2126"/>
      <c r="BR2759" s="2126"/>
      <c r="BS2759" s="2126"/>
    </row>
    <row r="2760" spans="1:71" s="3030" customFormat="1">
      <c r="A2760" s="2126"/>
      <c r="B2760" s="2126"/>
      <c r="C2760" s="2149"/>
      <c r="D2760" s="3248"/>
      <c r="E2760" s="525"/>
      <c r="F2760" s="525"/>
      <c r="G2760" s="526"/>
      <c r="K2760" s="3280"/>
      <c r="P2760" s="3041"/>
      <c r="X2760" s="3280"/>
      <c r="AA2760" s="3041"/>
      <c r="AF2760" s="3041"/>
      <c r="AN2760" s="3280"/>
      <c r="AZ2760" s="3041"/>
      <c r="BD2760" s="3281"/>
      <c r="BH2760" s="3282"/>
      <c r="BJ2760" s="2589"/>
      <c r="BK2760" s="2126"/>
      <c r="BL2760" s="2126"/>
      <c r="BM2760" s="2126"/>
      <c r="BN2760" s="2126"/>
      <c r="BO2760" s="2126"/>
      <c r="BP2760" s="2126"/>
      <c r="BQ2760" s="2126"/>
      <c r="BR2760" s="2126"/>
      <c r="BS2760" s="2126"/>
    </row>
    <row r="2761" spans="1:71" s="3030" customFormat="1">
      <c r="A2761" s="2126"/>
      <c r="B2761" s="2126"/>
      <c r="C2761" s="2149"/>
      <c r="D2761" s="3248"/>
      <c r="E2761" s="525"/>
      <c r="F2761" s="525"/>
      <c r="G2761" s="526"/>
      <c r="K2761" s="3280"/>
      <c r="P2761" s="3041"/>
      <c r="X2761" s="3280"/>
      <c r="AA2761" s="3041"/>
      <c r="AF2761" s="3041"/>
      <c r="AN2761" s="3280"/>
      <c r="AZ2761" s="3041"/>
      <c r="BD2761" s="3281"/>
      <c r="BH2761" s="3282"/>
      <c r="BJ2761" s="2589"/>
      <c r="BK2761" s="2126"/>
      <c r="BL2761" s="2126"/>
      <c r="BM2761" s="2126"/>
      <c r="BN2761" s="2126"/>
      <c r="BO2761" s="2126"/>
      <c r="BP2761" s="2126"/>
      <c r="BQ2761" s="2126"/>
      <c r="BR2761" s="2126"/>
      <c r="BS2761" s="2126"/>
    </row>
    <row r="2762" spans="1:71" s="3030" customFormat="1">
      <c r="A2762" s="2126"/>
      <c r="B2762" s="2126"/>
      <c r="C2762" s="2149"/>
      <c r="D2762" s="3248"/>
      <c r="E2762" s="525"/>
      <c r="F2762" s="525"/>
      <c r="G2762" s="526"/>
      <c r="K2762" s="3280"/>
      <c r="P2762" s="3041"/>
      <c r="X2762" s="3280"/>
      <c r="AA2762" s="3041"/>
      <c r="AF2762" s="3041"/>
      <c r="AN2762" s="3280"/>
      <c r="AZ2762" s="3041"/>
      <c r="BD2762" s="3281"/>
      <c r="BH2762" s="3282"/>
      <c r="BJ2762" s="2589"/>
      <c r="BK2762" s="2126"/>
      <c r="BL2762" s="2126"/>
      <c r="BM2762" s="2126"/>
      <c r="BN2762" s="2126"/>
      <c r="BO2762" s="2126"/>
      <c r="BP2762" s="2126"/>
      <c r="BQ2762" s="2126"/>
      <c r="BR2762" s="2126"/>
      <c r="BS2762" s="2126"/>
    </row>
    <row r="2763" spans="1:71" s="3030" customFormat="1">
      <c r="A2763" s="2126"/>
      <c r="B2763" s="2126"/>
      <c r="C2763" s="2149"/>
      <c r="D2763" s="3248"/>
      <c r="E2763" s="525"/>
      <c r="F2763" s="525"/>
      <c r="G2763" s="526"/>
      <c r="K2763" s="3280"/>
      <c r="P2763" s="3041"/>
      <c r="X2763" s="3280"/>
      <c r="AA2763" s="3041"/>
      <c r="AF2763" s="3041"/>
      <c r="AN2763" s="3280"/>
      <c r="AZ2763" s="3041"/>
      <c r="BD2763" s="3281"/>
      <c r="BH2763" s="3282"/>
      <c r="BJ2763" s="2589"/>
      <c r="BK2763" s="2126"/>
      <c r="BL2763" s="2126"/>
      <c r="BM2763" s="2126"/>
      <c r="BN2763" s="2126"/>
      <c r="BO2763" s="2126"/>
      <c r="BP2763" s="2126"/>
      <c r="BQ2763" s="2126"/>
      <c r="BR2763" s="2126"/>
      <c r="BS2763" s="2126"/>
    </row>
    <row r="2764" spans="1:71" s="3030" customFormat="1">
      <c r="A2764" s="2126"/>
      <c r="B2764" s="2126"/>
      <c r="C2764" s="2149"/>
      <c r="D2764" s="3248"/>
      <c r="E2764" s="525"/>
      <c r="F2764" s="525"/>
      <c r="G2764" s="526"/>
      <c r="K2764" s="3280"/>
      <c r="P2764" s="3041"/>
      <c r="X2764" s="3280"/>
      <c r="AA2764" s="3041"/>
      <c r="AF2764" s="3041"/>
      <c r="AN2764" s="3280"/>
      <c r="AZ2764" s="3041"/>
      <c r="BD2764" s="3281"/>
      <c r="BH2764" s="3282"/>
      <c r="BJ2764" s="2589"/>
      <c r="BK2764" s="2126"/>
      <c r="BL2764" s="2126"/>
      <c r="BM2764" s="2126"/>
      <c r="BN2764" s="2126"/>
      <c r="BO2764" s="2126"/>
      <c r="BP2764" s="2126"/>
      <c r="BQ2764" s="2126"/>
      <c r="BR2764" s="2126"/>
      <c r="BS2764" s="2126"/>
    </row>
    <row r="2765" spans="1:71" s="3030" customFormat="1">
      <c r="A2765" s="2126"/>
      <c r="B2765" s="2126"/>
      <c r="C2765" s="2149"/>
      <c r="D2765" s="3248"/>
      <c r="E2765" s="525"/>
      <c r="F2765" s="525"/>
      <c r="G2765" s="526"/>
      <c r="K2765" s="3280"/>
      <c r="P2765" s="3041"/>
      <c r="X2765" s="3280"/>
      <c r="AA2765" s="3041"/>
      <c r="AF2765" s="3041"/>
      <c r="AN2765" s="3280"/>
      <c r="AZ2765" s="3041"/>
      <c r="BD2765" s="3281"/>
      <c r="BH2765" s="3282"/>
      <c r="BJ2765" s="2589"/>
      <c r="BK2765" s="2126"/>
      <c r="BL2765" s="2126"/>
      <c r="BM2765" s="2126"/>
      <c r="BN2765" s="2126"/>
      <c r="BO2765" s="2126"/>
      <c r="BP2765" s="2126"/>
      <c r="BQ2765" s="2126"/>
      <c r="BR2765" s="2126"/>
      <c r="BS2765" s="2126"/>
    </row>
    <row r="2766" spans="1:71" s="3030" customFormat="1">
      <c r="A2766" s="2126"/>
      <c r="B2766" s="2126"/>
      <c r="C2766" s="2149"/>
      <c r="D2766" s="3248"/>
      <c r="E2766" s="525"/>
      <c r="F2766" s="525"/>
      <c r="G2766" s="526"/>
      <c r="K2766" s="3280"/>
      <c r="P2766" s="3041"/>
      <c r="X2766" s="3280"/>
      <c r="AA2766" s="3041"/>
      <c r="AF2766" s="3041"/>
      <c r="AN2766" s="3280"/>
      <c r="AZ2766" s="3041"/>
      <c r="BD2766" s="3281"/>
      <c r="BH2766" s="3282"/>
      <c r="BJ2766" s="2589"/>
      <c r="BK2766" s="2126"/>
      <c r="BL2766" s="2126"/>
      <c r="BM2766" s="2126"/>
      <c r="BN2766" s="2126"/>
      <c r="BO2766" s="2126"/>
      <c r="BP2766" s="2126"/>
      <c r="BQ2766" s="2126"/>
      <c r="BR2766" s="2126"/>
      <c r="BS2766" s="2126"/>
    </row>
    <row r="2767" spans="1:71" s="3030" customFormat="1">
      <c r="A2767" s="2126"/>
      <c r="B2767" s="2126"/>
      <c r="C2767" s="2149"/>
      <c r="D2767" s="3248"/>
      <c r="E2767" s="525"/>
      <c r="F2767" s="525"/>
      <c r="G2767" s="526"/>
      <c r="K2767" s="3280"/>
      <c r="P2767" s="3041"/>
      <c r="X2767" s="3280"/>
      <c r="AA2767" s="3041"/>
      <c r="AF2767" s="3041"/>
      <c r="AN2767" s="3280"/>
      <c r="AZ2767" s="3041"/>
      <c r="BD2767" s="3281"/>
      <c r="BH2767" s="3282"/>
      <c r="BJ2767" s="2589"/>
      <c r="BK2767" s="2126"/>
      <c r="BL2767" s="2126"/>
      <c r="BM2767" s="2126"/>
      <c r="BN2767" s="2126"/>
      <c r="BO2767" s="2126"/>
      <c r="BP2767" s="2126"/>
      <c r="BQ2767" s="2126"/>
      <c r="BR2767" s="2126"/>
      <c r="BS2767" s="2126"/>
    </row>
    <row r="2768" spans="1:71" s="3030" customFormat="1">
      <c r="A2768" s="2126"/>
      <c r="B2768" s="2126"/>
      <c r="C2768" s="2149"/>
      <c r="D2768" s="3248"/>
      <c r="E2768" s="525"/>
      <c r="F2768" s="525"/>
      <c r="G2768" s="526"/>
      <c r="K2768" s="3280"/>
      <c r="P2768" s="3041"/>
      <c r="X2768" s="3280"/>
      <c r="AA2768" s="3041"/>
      <c r="AF2768" s="3041"/>
      <c r="AN2768" s="3280"/>
      <c r="AZ2768" s="3041"/>
      <c r="BD2768" s="3281"/>
      <c r="BH2768" s="3282"/>
      <c r="BJ2768" s="2589"/>
      <c r="BK2768" s="2126"/>
      <c r="BL2768" s="2126"/>
      <c r="BM2768" s="2126"/>
      <c r="BN2768" s="2126"/>
      <c r="BO2768" s="2126"/>
      <c r="BP2768" s="2126"/>
      <c r="BQ2768" s="2126"/>
      <c r="BR2768" s="2126"/>
      <c r="BS2768" s="2126"/>
    </row>
    <row r="2769" spans="1:71" s="3030" customFormat="1">
      <c r="A2769" s="2126"/>
      <c r="B2769" s="2126"/>
      <c r="C2769" s="2149"/>
      <c r="D2769" s="3248"/>
      <c r="E2769" s="525"/>
      <c r="F2769" s="525"/>
      <c r="G2769" s="526"/>
      <c r="K2769" s="3280"/>
      <c r="P2769" s="3041"/>
      <c r="X2769" s="3280"/>
      <c r="AA2769" s="3041"/>
      <c r="AF2769" s="3041"/>
      <c r="AN2769" s="3280"/>
      <c r="AZ2769" s="3041"/>
      <c r="BD2769" s="3281"/>
      <c r="BH2769" s="3282"/>
      <c r="BJ2769" s="2589"/>
      <c r="BK2769" s="2126"/>
      <c r="BL2769" s="2126"/>
      <c r="BM2769" s="2126"/>
      <c r="BN2769" s="2126"/>
      <c r="BO2769" s="2126"/>
      <c r="BP2769" s="2126"/>
      <c r="BQ2769" s="2126"/>
      <c r="BR2769" s="2126"/>
      <c r="BS2769" s="2126"/>
    </row>
    <row r="2770" spans="1:71" s="3030" customFormat="1">
      <c r="A2770" s="2126"/>
      <c r="B2770" s="2126"/>
      <c r="C2770" s="2149"/>
      <c r="D2770" s="3248"/>
      <c r="E2770" s="525"/>
      <c r="F2770" s="525"/>
      <c r="G2770" s="526"/>
      <c r="K2770" s="3280"/>
      <c r="P2770" s="3041"/>
      <c r="X2770" s="3280"/>
      <c r="AA2770" s="3041"/>
      <c r="AF2770" s="3041"/>
      <c r="AN2770" s="3280"/>
      <c r="AZ2770" s="3041"/>
      <c r="BD2770" s="3281"/>
      <c r="BH2770" s="3282"/>
      <c r="BJ2770" s="2589"/>
      <c r="BK2770" s="2126"/>
      <c r="BL2770" s="2126"/>
      <c r="BM2770" s="2126"/>
      <c r="BN2770" s="2126"/>
      <c r="BO2770" s="2126"/>
      <c r="BP2770" s="2126"/>
      <c r="BQ2770" s="2126"/>
      <c r="BR2770" s="2126"/>
      <c r="BS2770" s="2126"/>
    </row>
    <row r="2771" spans="1:71" s="3030" customFormat="1">
      <c r="A2771" s="2126"/>
      <c r="B2771" s="2126"/>
      <c r="C2771" s="2149"/>
      <c r="D2771" s="3248"/>
      <c r="E2771" s="525"/>
      <c r="F2771" s="525"/>
      <c r="G2771" s="526"/>
      <c r="K2771" s="3280"/>
      <c r="P2771" s="3041"/>
      <c r="X2771" s="3280"/>
      <c r="AA2771" s="3041"/>
      <c r="AF2771" s="3041"/>
      <c r="AN2771" s="3280"/>
      <c r="AZ2771" s="3041"/>
      <c r="BD2771" s="3281"/>
      <c r="BH2771" s="3282"/>
      <c r="BJ2771" s="2589"/>
      <c r="BK2771" s="2126"/>
      <c r="BL2771" s="2126"/>
      <c r="BM2771" s="2126"/>
      <c r="BN2771" s="2126"/>
      <c r="BO2771" s="2126"/>
      <c r="BP2771" s="2126"/>
      <c r="BQ2771" s="2126"/>
      <c r="BR2771" s="2126"/>
      <c r="BS2771" s="2126"/>
    </row>
    <row r="2772" spans="1:71" s="3030" customFormat="1">
      <c r="A2772" s="2126"/>
      <c r="B2772" s="2126"/>
      <c r="C2772" s="2149"/>
      <c r="D2772" s="3248"/>
      <c r="E2772" s="525"/>
      <c r="F2772" s="525"/>
      <c r="G2772" s="526"/>
      <c r="K2772" s="3280"/>
      <c r="P2772" s="3041"/>
      <c r="X2772" s="3280"/>
      <c r="AA2772" s="3041"/>
      <c r="AF2772" s="3041"/>
      <c r="AN2772" s="3280"/>
      <c r="AZ2772" s="3041"/>
      <c r="BD2772" s="3281"/>
      <c r="BH2772" s="3282"/>
      <c r="BJ2772" s="2589"/>
      <c r="BK2772" s="2126"/>
      <c r="BL2772" s="2126"/>
      <c r="BM2772" s="2126"/>
      <c r="BN2772" s="2126"/>
      <c r="BO2772" s="2126"/>
      <c r="BP2772" s="2126"/>
      <c r="BQ2772" s="2126"/>
      <c r="BR2772" s="2126"/>
      <c r="BS2772" s="2126"/>
    </row>
    <row r="2773" spans="1:71" s="3030" customFormat="1">
      <c r="A2773" s="2126"/>
      <c r="B2773" s="2126"/>
      <c r="C2773" s="2149"/>
      <c r="D2773" s="3248"/>
      <c r="E2773" s="525"/>
      <c r="F2773" s="525"/>
      <c r="G2773" s="526"/>
      <c r="K2773" s="3280"/>
      <c r="P2773" s="3041"/>
      <c r="X2773" s="3280"/>
      <c r="AA2773" s="3041"/>
      <c r="AF2773" s="3041"/>
      <c r="AN2773" s="3280"/>
      <c r="AZ2773" s="3041"/>
      <c r="BD2773" s="3281"/>
      <c r="BH2773" s="3282"/>
      <c r="BJ2773" s="2589"/>
      <c r="BK2773" s="2126"/>
      <c r="BL2773" s="2126"/>
      <c r="BM2773" s="2126"/>
      <c r="BN2773" s="2126"/>
      <c r="BO2773" s="2126"/>
      <c r="BP2773" s="2126"/>
      <c r="BQ2773" s="2126"/>
      <c r="BR2773" s="2126"/>
      <c r="BS2773" s="2126"/>
    </row>
    <row r="2774" spans="1:71" s="3030" customFormat="1">
      <c r="A2774" s="2126"/>
      <c r="B2774" s="2126"/>
      <c r="C2774" s="2149"/>
      <c r="D2774" s="3248"/>
      <c r="E2774" s="525"/>
      <c r="F2774" s="525"/>
      <c r="G2774" s="526"/>
      <c r="K2774" s="3280"/>
      <c r="P2774" s="3041"/>
      <c r="X2774" s="3280"/>
      <c r="AA2774" s="3041"/>
      <c r="AF2774" s="3041"/>
      <c r="AN2774" s="3280"/>
      <c r="AZ2774" s="3041"/>
      <c r="BD2774" s="3281"/>
      <c r="BH2774" s="3282"/>
      <c r="BJ2774" s="2589"/>
      <c r="BK2774" s="2126"/>
      <c r="BL2774" s="2126"/>
      <c r="BM2774" s="2126"/>
      <c r="BN2774" s="2126"/>
      <c r="BO2774" s="2126"/>
      <c r="BP2774" s="2126"/>
      <c r="BQ2774" s="2126"/>
      <c r="BR2774" s="2126"/>
      <c r="BS2774" s="2126"/>
    </row>
    <row r="2775" spans="1:71" s="3030" customFormat="1">
      <c r="A2775" s="2126"/>
      <c r="B2775" s="2126"/>
      <c r="C2775" s="2149"/>
      <c r="D2775" s="3248"/>
      <c r="E2775" s="525"/>
      <c r="F2775" s="525"/>
      <c r="G2775" s="526"/>
      <c r="K2775" s="3280"/>
      <c r="P2775" s="3041"/>
      <c r="X2775" s="3280"/>
      <c r="AA2775" s="3041"/>
      <c r="AF2775" s="3041"/>
      <c r="AN2775" s="3280"/>
      <c r="AZ2775" s="3041"/>
      <c r="BD2775" s="3281"/>
      <c r="BH2775" s="3282"/>
      <c r="BJ2775" s="2589"/>
      <c r="BK2775" s="2126"/>
      <c r="BL2775" s="2126"/>
      <c r="BM2775" s="2126"/>
      <c r="BN2775" s="2126"/>
      <c r="BO2775" s="2126"/>
      <c r="BP2775" s="2126"/>
      <c r="BQ2775" s="2126"/>
      <c r="BR2775" s="2126"/>
      <c r="BS2775" s="2126"/>
    </row>
    <row r="2776" spans="1:71" s="3030" customFormat="1">
      <c r="A2776" s="2126"/>
      <c r="B2776" s="2126"/>
      <c r="C2776" s="2149"/>
      <c r="D2776" s="3248"/>
      <c r="E2776" s="525"/>
      <c r="F2776" s="525"/>
      <c r="G2776" s="526"/>
      <c r="K2776" s="3280"/>
      <c r="P2776" s="3041"/>
      <c r="X2776" s="3280"/>
      <c r="AA2776" s="3041"/>
      <c r="AF2776" s="3041"/>
      <c r="AN2776" s="3280"/>
      <c r="AZ2776" s="3041"/>
      <c r="BD2776" s="3281"/>
      <c r="BH2776" s="3282"/>
      <c r="BJ2776" s="2589"/>
      <c r="BK2776" s="2126"/>
      <c r="BL2776" s="2126"/>
      <c r="BM2776" s="2126"/>
      <c r="BN2776" s="2126"/>
      <c r="BO2776" s="2126"/>
      <c r="BP2776" s="2126"/>
      <c r="BQ2776" s="2126"/>
      <c r="BR2776" s="2126"/>
      <c r="BS2776" s="2126"/>
    </row>
    <row r="2777" spans="1:71" s="3030" customFormat="1">
      <c r="A2777" s="2126"/>
      <c r="B2777" s="2126"/>
      <c r="C2777" s="2149"/>
      <c r="D2777" s="3248"/>
      <c r="E2777" s="525"/>
      <c r="F2777" s="525"/>
      <c r="G2777" s="526"/>
      <c r="K2777" s="3280"/>
      <c r="P2777" s="3041"/>
      <c r="X2777" s="3280"/>
      <c r="AA2777" s="3041"/>
      <c r="AF2777" s="3041"/>
      <c r="AN2777" s="3280"/>
      <c r="AZ2777" s="3041"/>
      <c r="BD2777" s="3281"/>
      <c r="BH2777" s="3282"/>
      <c r="BJ2777" s="2589"/>
      <c r="BK2777" s="2126"/>
      <c r="BL2777" s="2126"/>
      <c r="BM2777" s="2126"/>
      <c r="BN2777" s="2126"/>
      <c r="BO2777" s="2126"/>
      <c r="BP2777" s="2126"/>
      <c r="BQ2777" s="2126"/>
      <c r="BR2777" s="2126"/>
      <c r="BS2777" s="2126"/>
    </row>
    <row r="2778" spans="1:71" s="3030" customFormat="1">
      <c r="A2778" s="2126"/>
      <c r="B2778" s="2126"/>
      <c r="C2778" s="2149"/>
      <c r="D2778" s="3248"/>
      <c r="E2778" s="525"/>
      <c r="F2778" s="525"/>
      <c r="G2778" s="526"/>
      <c r="K2778" s="3280"/>
      <c r="P2778" s="3041"/>
      <c r="X2778" s="3280"/>
      <c r="AA2778" s="3041"/>
      <c r="AF2778" s="3041"/>
      <c r="AN2778" s="3280"/>
      <c r="AZ2778" s="3041"/>
      <c r="BD2778" s="3281"/>
      <c r="BH2778" s="3282"/>
      <c r="BJ2778" s="2589"/>
      <c r="BK2778" s="2126"/>
      <c r="BL2778" s="2126"/>
      <c r="BM2778" s="2126"/>
      <c r="BN2778" s="2126"/>
      <c r="BO2778" s="2126"/>
      <c r="BP2778" s="2126"/>
      <c r="BQ2778" s="2126"/>
      <c r="BR2778" s="2126"/>
      <c r="BS2778" s="2126"/>
    </row>
    <row r="2779" spans="1:71" s="3030" customFormat="1">
      <c r="A2779" s="2126"/>
      <c r="B2779" s="2126"/>
      <c r="C2779" s="2149"/>
      <c r="D2779" s="3248"/>
      <c r="E2779" s="525"/>
      <c r="F2779" s="525"/>
      <c r="G2779" s="526"/>
      <c r="K2779" s="3280"/>
      <c r="P2779" s="3041"/>
      <c r="X2779" s="3280"/>
      <c r="AA2779" s="3041"/>
      <c r="AF2779" s="3041"/>
      <c r="AN2779" s="3280"/>
      <c r="AZ2779" s="3041"/>
      <c r="BD2779" s="3281"/>
      <c r="BH2779" s="3282"/>
      <c r="BJ2779" s="2589"/>
      <c r="BK2779" s="2126"/>
      <c r="BL2779" s="2126"/>
      <c r="BM2779" s="2126"/>
      <c r="BN2779" s="2126"/>
      <c r="BO2779" s="2126"/>
      <c r="BP2779" s="2126"/>
      <c r="BQ2779" s="2126"/>
      <c r="BR2779" s="2126"/>
      <c r="BS2779" s="2126"/>
    </row>
    <row r="2780" spans="1:71" s="3030" customFormat="1">
      <c r="A2780" s="2126"/>
      <c r="B2780" s="2126"/>
      <c r="C2780" s="2149"/>
      <c r="D2780" s="3248"/>
      <c r="E2780" s="525"/>
      <c r="F2780" s="525"/>
      <c r="G2780" s="526"/>
      <c r="K2780" s="3280"/>
      <c r="P2780" s="3041"/>
      <c r="X2780" s="3280"/>
      <c r="AA2780" s="3041"/>
      <c r="AF2780" s="3041"/>
      <c r="AN2780" s="3280"/>
      <c r="AZ2780" s="3041"/>
      <c r="BD2780" s="3281"/>
      <c r="BH2780" s="3282"/>
      <c r="BJ2780" s="2589"/>
      <c r="BK2780" s="2126"/>
      <c r="BL2780" s="2126"/>
      <c r="BM2780" s="2126"/>
      <c r="BN2780" s="2126"/>
      <c r="BO2780" s="2126"/>
      <c r="BP2780" s="2126"/>
      <c r="BQ2780" s="2126"/>
      <c r="BR2780" s="2126"/>
      <c r="BS2780" s="2126"/>
    </row>
    <row r="2781" spans="1:71" s="3030" customFormat="1">
      <c r="A2781" s="2126"/>
      <c r="B2781" s="2126"/>
      <c r="C2781" s="2149"/>
      <c r="D2781" s="3248"/>
      <c r="E2781" s="525"/>
      <c r="F2781" s="525"/>
      <c r="G2781" s="526"/>
      <c r="K2781" s="3280"/>
      <c r="P2781" s="3041"/>
      <c r="X2781" s="3280"/>
      <c r="AA2781" s="3041"/>
      <c r="AF2781" s="3041"/>
      <c r="AN2781" s="3280"/>
      <c r="AZ2781" s="3041"/>
      <c r="BD2781" s="3281"/>
      <c r="BH2781" s="3282"/>
      <c r="BJ2781" s="2589"/>
      <c r="BK2781" s="2126"/>
      <c r="BL2781" s="2126"/>
      <c r="BM2781" s="2126"/>
      <c r="BN2781" s="2126"/>
      <c r="BO2781" s="2126"/>
      <c r="BP2781" s="2126"/>
      <c r="BQ2781" s="2126"/>
      <c r="BR2781" s="2126"/>
      <c r="BS2781" s="2126"/>
    </row>
    <row r="2782" spans="1:71" s="3030" customFormat="1">
      <c r="A2782" s="2126"/>
      <c r="B2782" s="2126"/>
      <c r="C2782" s="2149"/>
      <c r="D2782" s="3248"/>
      <c r="E2782" s="525"/>
      <c r="F2782" s="525"/>
      <c r="G2782" s="526"/>
      <c r="K2782" s="3280"/>
      <c r="P2782" s="3041"/>
      <c r="X2782" s="3280"/>
      <c r="AA2782" s="3041"/>
      <c r="AF2782" s="3041"/>
      <c r="AN2782" s="3280"/>
      <c r="AZ2782" s="3041"/>
      <c r="BD2782" s="3281"/>
      <c r="BH2782" s="3282"/>
      <c r="BJ2782" s="2589"/>
      <c r="BK2782" s="2126"/>
      <c r="BL2782" s="2126"/>
      <c r="BM2782" s="2126"/>
      <c r="BN2782" s="2126"/>
      <c r="BO2782" s="2126"/>
      <c r="BP2782" s="2126"/>
      <c r="BQ2782" s="2126"/>
      <c r="BR2782" s="2126"/>
      <c r="BS2782" s="2126"/>
    </row>
    <row r="2783" spans="1:71" s="3030" customFormat="1">
      <c r="A2783" s="2126"/>
      <c r="B2783" s="2126"/>
      <c r="C2783" s="2149"/>
      <c r="D2783" s="3248"/>
      <c r="E2783" s="525"/>
      <c r="F2783" s="525"/>
      <c r="G2783" s="526"/>
      <c r="K2783" s="3280"/>
      <c r="P2783" s="3041"/>
      <c r="X2783" s="3280"/>
      <c r="AA2783" s="3041"/>
      <c r="AF2783" s="3041"/>
      <c r="AN2783" s="3280"/>
      <c r="AZ2783" s="3041"/>
      <c r="BD2783" s="3281"/>
      <c r="BH2783" s="3282"/>
      <c r="BJ2783" s="2589"/>
      <c r="BK2783" s="2126"/>
      <c r="BL2783" s="2126"/>
      <c r="BM2783" s="2126"/>
      <c r="BN2783" s="2126"/>
      <c r="BO2783" s="2126"/>
      <c r="BP2783" s="2126"/>
      <c r="BQ2783" s="2126"/>
      <c r="BR2783" s="2126"/>
      <c r="BS2783" s="2126"/>
    </row>
    <row r="2784" spans="1:71" s="3030" customFormat="1">
      <c r="A2784" s="2126"/>
      <c r="B2784" s="2126"/>
      <c r="C2784" s="2149"/>
      <c r="D2784" s="3248"/>
      <c r="E2784" s="525"/>
      <c r="F2784" s="525"/>
      <c r="G2784" s="526"/>
      <c r="K2784" s="3280"/>
      <c r="P2784" s="3041"/>
      <c r="X2784" s="3280"/>
      <c r="AA2784" s="3041"/>
      <c r="AF2784" s="3041"/>
      <c r="AN2784" s="3280"/>
      <c r="AZ2784" s="3041"/>
      <c r="BD2784" s="3281"/>
      <c r="BH2784" s="3282"/>
      <c r="BJ2784" s="2589"/>
      <c r="BK2784" s="2126"/>
      <c r="BL2784" s="2126"/>
      <c r="BM2784" s="2126"/>
      <c r="BN2784" s="2126"/>
      <c r="BO2784" s="2126"/>
      <c r="BP2784" s="2126"/>
      <c r="BQ2784" s="2126"/>
      <c r="BR2784" s="2126"/>
      <c r="BS2784" s="2126"/>
    </row>
    <row r="2785" spans="1:71" s="3030" customFormat="1">
      <c r="A2785" s="2126"/>
      <c r="B2785" s="2126"/>
      <c r="C2785" s="2149"/>
      <c r="D2785" s="3248"/>
      <c r="E2785" s="525"/>
      <c r="F2785" s="525"/>
      <c r="G2785" s="526"/>
      <c r="K2785" s="3280"/>
      <c r="P2785" s="3041"/>
      <c r="X2785" s="3280"/>
      <c r="AA2785" s="3041"/>
      <c r="AF2785" s="3041"/>
      <c r="AN2785" s="3280"/>
      <c r="AZ2785" s="3041"/>
      <c r="BD2785" s="3281"/>
      <c r="BH2785" s="3282"/>
      <c r="BJ2785" s="2589"/>
      <c r="BK2785" s="2126"/>
      <c r="BL2785" s="2126"/>
      <c r="BM2785" s="2126"/>
      <c r="BN2785" s="2126"/>
      <c r="BO2785" s="2126"/>
      <c r="BP2785" s="2126"/>
      <c r="BQ2785" s="2126"/>
      <c r="BR2785" s="2126"/>
      <c r="BS2785" s="2126"/>
    </row>
    <row r="2786" spans="1:71" s="3030" customFormat="1">
      <c r="A2786" s="2126"/>
      <c r="B2786" s="2126"/>
      <c r="C2786" s="2149"/>
      <c r="D2786" s="3248"/>
      <c r="E2786" s="525"/>
      <c r="F2786" s="525"/>
      <c r="G2786" s="526"/>
      <c r="K2786" s="3280"/>
      <c r="P2786" s="3041"/>
      <c r="X2786" s="3280"/>
      <c r="AA2786" s="3041"/>
      <c r="AF2786" s="3041"/>
      <c r="AN2786" s="3280"/>
      <c r="AZ2786" s="3041"/>
      <c r="BD2786" s="3281"/>
      <c r="BH2786" s="3282"/>
      <c r="BJ2786" s="2589"/>
      <c r="BK2786" s="2126"/>
      <c r="BL2786" s="2126"/>
      <c r="BM2786" s="2126"/>
      <c r="BN2786" s="2126"/>
      <c r="BO2786" s="2126"/>
      <c r="BP2786" s="2126"/>
      <c r="BQ2786" s="2126"/>
      <c r="BR2786" s="2126"/>
      <c r="BS2786" s="2126"/>
    </row>
    <row r="2787" spans="1:71" s="3030" customFormat="1">
      <c r="A2787" s="2126"/>
      <c r="B2787" s="2126"/>
      <c r="C2787" s="2149"/>
      <c r="D2787" s="3248"/>
      <c r="E2787" s="525"/>
      <c r="F2787" s="525"/>
      <c r="G2787" s="526"/>
      <c r="K2787" s="3280"/>
      <c r="P2787" s="3041"/>
      <c r="X2787" s="3280"/>
      <c r="AA2787" s="3041"/>
      <c r="AF2787" s="3041"/>
      <c r="AN2787" s="3280"/>
      <c r="AZ2787" s="3041"/>
      <c r="BD2787" s="3281"/>
      <c r="BH2787" s="3282"/>
      <c r="BJ2787" s="2589"/>
      <c r="BK2787" s="2126"/>
      <c r="BL2787" s="2126"/>
      <c r="BM2787" s="2126"/>
      <c r="BN2787" s="2126"/>
      <c r="BO2787" s="2126"/>
      <c r="BP2787" s="2126"/>
      <c r="BQ2787" s="2126"/>
      <c r="BR2787" s="2126"/>
      <c r="BS2787" s="2126"/>
    </row>
    <row r="2788" spans="1:71" s="3030" customFormat="1">
      <c r="A2788" s="2126"/>
      <c r="B2788" s="2126"/>
      <c r="C2788" s="2149"/>
      <c r="D2788" s="3248"/>
      <c r="E2788" s="525"/>
      <c r="F2788" s="525"/>
      <c r="G2788" s="526"/>
      <c r="K2788" s="3280"/>
      <c r="P2788" s="3041"/>
      <c r="X2788" s="3280"/>
      <c r="AA2788" s="3041"/>
      <c r="AF2788" s="3041"/>
      <c r="AN2788" s="3280"/>
      <c r="AZ2788" s="3041"/>
      <c r="BD2788" s="3281"/>
      <c r="BH2788" s="3282"/>
      <c r="BJ2788" s="2589"/>
      <c r="BK2788" s="2126"/>
      <c r="BL2788" s="2126"/>
      <c r="BM2788" s="2126"/>
      <c r="BN2788" s="2126"/>
      <c r="BO2788" s="2126"/>
      <c r="BP2788" s="2126"/>
      <c r="BQ2788" s="2126"/>
      <c r="BR2788" s="2126"/>
      <c r="BS2788" s="2126"/>
    </row>
    <row r="2789" spans="1:71" s="3030" customFormat="1">
      <c r="A2789" s="2126"/>
      <c r="B2789" s="2126"/>
      <c r="C2789" s="2149"/>
      <c r="D2789" s="3248"/>
      <c r="E2789" s="525"/>
      <c r="F2789" s="525"/>
      <c r="G2789" s="526"/>
      <c r="K2789" s="3280"/>
      <c r="P2789" s="3041"/>
      <c r="X2789" s="3280"/>
      <c r="AA2789" s="3041"/>
      <c r="AF2789" s="3041"/>
      <c r="AN2789" s="3280"/>
      <c r="AZ2789" s="3041"/>
      <c r="BD2789" s="3281"/>
      <c r="BH2789" s="3282"/>
      <c r="BJ2789" s="2589"/>
      <c r="BK2789" s="2126"/>
      <c r="BL2789" s="2126"/>
      <c r="BM2789" s="2126"/>
      <c r="BN2789" s="2126"/>
      <c r="BO2789" s="2126"/>
      <c r="BP2789" s="2126"/>
      <c r="BQ2789" s="2126"/>
      <c r="BR2789" s="2126"/>
      <c r="BS2789" s="2126"/>
    </row>
    <row r="2790" spans="1:71" s="3030" customFormat="1">
      <c r="A2790" s="2126"/>
      <c r="B2790" s="2126"/>
      <c r="C2790" s="2149"/>
      <c r="D2790" s="3248"/>
      <c r="E2790" s="525"/>
      <c r="F2790" s="525"/>
      <c r="G2790" s="526"/>
      <c r="K2790" s="3280"/>
      <c r="P2790" s="3041"/>
      <c r="X2790" s="3280"/>
      <c r="AA2790" s="3041"/>
      <c r="AF2790" s="3041"/>
      <c r="AN2790" s="3280"/>
      <c r="AZ2790" s="3041"/>
      <c r="BD2790" s="3281"/>
      <c r="BH2790" s="3282"/>
      <c r="BJ2790" s="2589"/>
      <c r="BK2790" s="2126"/>
      <c r="BL2790" s="2126"/>
      <c r="BM2790" s="2126"/>
      <c r="BN2790" s="2126"/>
      <c r="BO2790" s="2126"/>
      <c r="BP2790" s="2126"/>
      <c r="BQ2790" s="2126"/>
      <c r="BR2790" s="2126"/>
      <c r="BS2790" s="2126"/>
    </row>
    <row r="2791" spans="1:71" s="3030" customFormat="1">
      <c r="A2791" s="2126"/>
      <c r="B2791" s="2126"/>
      <c r="C2791" s="2149"/>
      <c r="D2791" s="3248"/>
      <c r="E2791" s="525"/>
      <c r="F2791" s="525"/>
      <c r="G2791" s="526"/>
      <c r="K2791" s="3280"/>
      <c r="P2791" s="3041"/>
      <c r="X2791" s="3280"/>
      <c r="AA2791" s="3041"/>
      <c r="AF2791" s="3041"/>
      <c r="AN2791" s="3280"/>
      <c r="AZ2791" s="3041"/>
      <c r="BD2791" s="3281"/>
      <c r="BH2791" s="3282"/>
      <c r="BJ2791" s="2589"/>
      <c r="BK2791" s="2126"/>
      <c r="BL2791" s="2126"/>
      <c r="BM2791" s="2126"/>
      <c r="BN2791" s="2126"/>
      <c r="BO2791" s="2126"/>
      <c r="BP2791" s="2126"/>
      <c r="BQ2791" s="2126"/>
      <c r="BR2791" s="2126"/>
      <c r="BS2791" s="2126"/>
    </row>
    <row r="2792" spans="1:71" s="3030" customFormat="1">
      <c r="A2792" s="2126"/>
      <c r="B2792" s="2126"/>
      <c r="C2792" s="2149"/>
      <c r="D2792" s="3248"/>
      <c r="E2792" s="525"/>
      <c r="F2792" s="525"/>
      <c r="G2792" s="526"/>
      <c r="K2792" s="3280"/>
      <c r="P2792" s="3041"/>
      <c r="X2792" s="3280"/>
      <c r="AA2792" s="3041"/>
      <c r="AF2792" s="3041"/>
      <c r="AN2792" s="3280"/>
      <c r="AZ2792" s="3041"/>
      <c r="BD2792" s="3281"/>
      <c r="BH2792" s="3282"/>
      <c r="BJ2792" s="2589"/>
      <c r="BK2792" s="2126"/>
      <c r="BL2792" s="2126"/>
      <c r="BM2792" s="2126"/>
      <c r="BN2792" s="2126"/>
      <c r="BO2792" s="2126"/>
      <c r="BP2792" s="2126"/>
      <c r="BQ2792" s="2126"/>
      <c r="BR2792" s="2126"/>
      <c r="BS2792" s="2126"/>
    </row>
    <row r="2793" spans="1:71" s="3030" customFormat="1">
      <c r="A2793" s="2126"/>
      <c r="B2793" s="2126"/>
      <c r="C2793" s="2149"/>
      <c r="D2793" s="3248"/>
      <c r="E2793" s="525"/>
      <c r="F2793" s="525"/>
      <c r="G2793" s="526"/>
      <c r="K2793" s="3280"/>
      <c r="P2793" s="3041"/>
      <c r="X2793" s="3280"/>
      <c r="AA2793" s="3041"/>
      <c r="AF2793" s="3041"/>
      <c r="AN2793" s="3280"/>
      <c r="AZ2793" s="3041"/>
      <c r="BD2793" s="3281"/>
      <c r="BH2793" s="3282"/>
      <c r="BJ2793" s="2589"/>
      <c r="BK2793" s="2126"/>
      <c r="BL2793" s="2126"/>
      <c r="BM2793" s="2126"/>
      <c r="BN2793" s="2126"/>
      <c r="BO2793" s="2126"/>
      <c r="BP2793" s="2126"/>
      <c r="BQ2793" s="2126"/>
      <c r="BR2793" s="2126"/>
      <c r="BS2793" s="2126"/>
    </row>
    <row r="2794" spans="1:71" s="3030" customFormat="1">
      <c r="A2794" s="2126"/>
      <c r="B2794" s="2126"/>
      <c r="C2794" s="2149"/>
      <c r="D2794" s="3248"/>
      <c r="E2794" s="525"/>
      <c r="F2794" s="525"/>
      <c r="G2794" s="526"/>
      <c r="K2794" s="3280"/>
      <c r="P2794" s="3041"/>
      <c r="X2794" s="3280"/>
      <c r="AA2794" s="3041"/>
      <c r="AF2794" s="3041"/>
      <c r="AN2794" s="3280"/>
      <c r="AZ2794" s="3041"/>
      <c r="BD2794" s="3281"/>
      <c r="BH2794" s="3282"/>
      <c r="BJ2794" s="2589"/>
      <c r="BK2794" s="2126"/>
      <c r="BL2794" s="2126"/>
      <c r="BM2794" s="2126"/>
      <c r="BN2794" s="2126"/>
      <c r="BO2794" s="2126"/>
      <c r="BP2794" s="2126"/>
      <c r="BQ2794" s="2126"/>
      <c r="BR2794" s="2126"/>
      <c r="BS2794" s="2126"/>
    </row>
    <row r="2795" spans="1:71" s="3030" customFormat="1">
      <c r="A2795" s="2126"/>
      <c r="B2795" s="2126"/>
      <c r="C2795" s="2149"/>
      <c r="D2795" s="3248"/>
      <c r="E2795" s="525"/>
      <c r="F2795" s="525"/>
      <c r="G2795" s="526"/>
      <c r="K2795" s="3280"/>
      <c r="P2795" s="3041"/>
      <c r="X2795" s="3280"/>
      <c r="AA2795" s="3041"/>
      <c r="AF2795" s="3041"/>
      <c r="AN2795" s="3280"/>
      <c r="AZ2795" s="3041"/>
      <c r="BD2795" s="3281"/>
      <c r="BH2795" s="3282"/>
      <c r="BJ2795" s="2589"/>
      <c r="BK2795" s="2126"/>
      <c r="BL2795" s="2126"/>
      <c r="BM2795" s="2126"/>
      <c r="BN2795" s="2126"/>
      <c r="BO2795" s="2126"/>
      <c r="BP2795" s="2126"/>
      <c r="BQ2795" s="2126"/>
      <c r="BR2795" s="2126"/>
      <c r="BS2795" s="2126"/>
    </row>
    <row r="2796" spans="1:71" s="3030" customFormat="1">
      <c r="A2796" s="2126"/>
      <c r="B2796" s="2126"/>
      <c r="C2796" s="2149"/>
      <c r="D2796" s="3248"/>
      <c r="E2796" s="525"/>
      <c r="F2796" s="525"/>
      <c r="G2796" s="526"/>
      <c r="K2796" s="3280"/>
      <c r="P2796" s="3041"/>
      <c r="X2796" s="3280"/>
      <c r="AA2796" s="3041"/>
      <c r="AF2796" s="3041"/>
      <c r="AN2796" s="3280"/>
      <c r="AZ2796" s="3041"/>
      <c r="BD2796" s="3281"/>
      <c r="BH2796" s="3282"/>
      <c r="BJ2796" s="2589"/>
      <c r="BK2796" s="2126"/>
      <c r="BL2796" s="2126"/>
      <c r="BM2796" s="2126"/>
      <c r="BN2796" s="2126"/>
      <c r="BO2796" s="2126"/>
      <c r="BP2796" s="2126"/>
      <c r="BQ2796" s="2126"/>
      <c r="BR2796" s="2126"/>
      <c r="BS2796" s="2126"/>
    </row>
    <row r="2797" spans="1:71" s="3030" customFormat="1">
      <c r="A2797" s="2126"/>
      <c r="B2797" s="2126"/>
      <c r="C2797" s="2149"/>
      <c r="D2797" s="3248"/>
      <c r="E2797" s="525"/>
      <c r="F2797" s="525"/>
      <c r="G2797" s="526"/>
      <c r="K2797" s="3280"/>
      <c r="P2797" s="3041"/>
      <c r="X2797" s="3280"/>
      <c r="AA2797" s="3041"/>
      <c r="AF2797" s="3041"/>
      <c r="AN2797" s="3280"/>
      <c r="AZ2797" s="3041"/>
      <c r="BD2797" s="3281"/>
      <c r="BH2797" s="3282"/>
      <c r="BJ2797" s="2589"/>
      <c r="BK2797" s="2126"/>
      <c r="BL2797" s="2126"/>
      <c r="BM2797" s="2126"/>
      <c r="BN2797" s="2126"/>
      <c r="BO2797" s="2126"/>
      <c r="BP2797" s="2126"/>
      <c r="BQ2797" s="2126"/>
      <c r="BR2797" s="2126"/>
      <c r="BS2797" s="2126"/>
    </row>
    <row r="2798" spans="1:71" s="3030" customFormat="1">
      <c r="A2798" s="2126"/>
      <c r="B2798" s="2126"/>
      <c r="C2798" s="2149"/>
      <c r="D2798" s="3248"/>
      <c r="E2798" s="525"/>
      <c r="F2798" s="525"/>
      <c r="G2798" s="526"/>
      <c r="K2798" s="3280"/>
      <c r="P2798" s="3041"/>
      <c r="X2798" s="3280"/>
      <c r="AA2798" s="3041"/>
      <c r="AF2798" s="3041"/>
      <c r="AN2798" s="3280"/>
      <c r="AZ2798" s="3041"/>
      <c r="BD2798" s="3281"/>
      <c r="BH2798" s="3282"/>
      <c r="BJ2798" s="2589"/>
      <c r="BK2798" s="2126"/>
      <c r="BL2798" s="2126"/>
      <c r="BM2798" s="2126"/>
      <c r="BN2798" s="2126"/>
      <c r="BO2798" s="2126"/>
      <c r="BP2798" s="2126"/>
      <c r="BQ2798" s="2126"/>
      <c r="BR2798" s="2126"/>
      <c r="BS2798" s="2126"/>
    </row>
    <row r="2799" spans="1:71" s="3030" customFormat="1">
      <c r="A2799" s="2126"/>
      <c r="B2799" s="2126"/>
      <c r="C2799" s="2149"/>
      <c r="D2799" s="3248"/>
      <c r="E2799" s="525"/>
      <c r="F2799" s="525"/>
      <c r="G2799" s="526"/>
      <c r="K2799" s="3280"/>
      <c r="P2799" s="3041"/>
      <c r="X2799" s="3280"/>
      <c r="AA2799" s="3041"/>
      <c r="AF2799" s="3041"/>
      <c r="AN2799" s="3280"/>
      <c r="AZ2799" s="3041"/>
      <c r="BD2799" s="3281"/>
      <c r="BH2799" s="3282"/>
      <c r="BJ2799" s="2589"/>
      <c r="BK2799" s="2126"/>
      <c r="BL2799" s="2126"/>
      <c r="BM2799" s="2126"/>
      <c r="BN2799" s="2126"/>
      <c r="BO2799" s="2126"/>
      <c r="BP2799" s="2126"/>
      <c r="BQ2799" s="2126"/>
      <c r="BR2799" s="2126"/>
      <c r="BS2799" s="2126"/>
    </row>
    <row r="2800" spans="1:71" s="3030" customFormat="1">
      <c r="A2800" s="2126"/>
      <c r="B2800" s="2126"/>
      <c r="C2800" s="2149"/>
      <c r="D2800" s="3248"/>
      <c r="E2800" s="525"/>
      <c r="F2800" s="525"/>
      <c r="G2800" s="526"/>
      <c r="K2800" s="3280"/>
      <c r="P2800" s="3041"/>
      <c r="X2800" s="3280"/>
      <c r="AA2800" s="3041"/>
      <c r="AF2800" s="3041"/>
      <c r="AN2800" s="3280"/>
      <c r="AZ2800" s="3041"/>
      <c r="BD2800" s="3281"/>
      <c r="BH2800" s="3282"/>
      <c r="BJ2800" s="2589"/>
      <c r="BK2800" s="2126"/>
      <c r="BL2800" s="2126"/>
      <c r="BM2800" s="2126"/>
      <c r="BN2800" s="2126"/>
      <c r="BO2800" s="2126"/>
      <c r="BP2800" s="2126"/>
      <c r="BQ2800" s="2126"/>
      <c r="BR2800" s="2126"/>
      <c r="BS2800" s="2126"/>
    </row>
    <row r="2801" spans="1:71" s="3030" customFormat="1">
      <c r="A2801" s="2126"/>
      <c r="B2801" s="2126"/>
      <c r="C2801" s="2149"/>
      <c r="D2801" s="3248"/>
      <c r="E2801" s="525"/>
      <c r="F2801" s="525"/>
      <c r="G2801" s="526"/>
      <c r="K2801" s="3280"/>
      <c r="P2801" s="3041"/>
      <c r="X2801" s="3280"/>
      <c r="AA2801" s="3041"/>
      <c r="AF2801" s="3041"/>
      <c r="AN2801" s="3280"/>
      <c r="AZ2801" s="3041"/>
      <c r="BD2801" s="3281"/>
      <c r="BH2801" s="3282"/>
      <c r="BJ2801" s="2589"/>
      <c r="BK2801" s="2126"/>
      <c r="BL2801" s="2126"/>
      <c r="BM2801" s="2126"/>
      <c r="BN2801" s="2126"/>
      <c r="BO2801" s="2126"/>
      <c r="BP2801" s="2126"/>
      <c r="BQ2801" s="2126"/>
      <c r="BR2801" s="2126"/>
      <c r="BS2801" s="2126"/>
    </row>
    <row r="2802" spans="1:71" s="3030" customFormat="1">
      <c r="A2802" s="2126"/>
      <c r="B2802" s="2126"/>
      <c r="C2802" s="2149"/>
      <c r="D2802" s="3248"/>
      <c r="E2802" s="525"/>
      <c r="F2802" s="525"/>
      <c r="G2802" s="526"/>
      <c r="K2802" s="3280"/>
      <c r="P2802" s="3041"/>
      <c r="X2802" s="3280"/>
      <c r="AA2802" s="3041"/>
      <c r="AF2802" s="3041"/>
      <c r="AN2802" s="3280"/>
      <c r="AZ2802" s="3041"/>
      <c r="BD2802" s="3281"/>
      <c r="BH2802" s="3282"/>
      <c r="BJ2802" s="2589"/>
      <c r="BK2802" s="2126"/>
      <c r="BL2802" s="2126"/>
      <c r="BM2802" s="2126"/>
      <c r="BN2802" s="2126"/>
      <c r="BO2802" s="2126"/>
      <c r="BP2802" s="2126"/>
      <c r="BQ2802" s="2126"/>
      <c r="BR2802" s="2126"/>
      <c r="BS2802" s="2126"/>
    </row>
    <row r="2803" spans="1:71" s="3030" customFormat="1">
      <c r="A2803" s="2126"/>
      <c r="B2803" s="2126"/>
      <c r="C2803" s="2149"/>
      <c r="D2803" s="3248"/>
      <c r="E2803" s="525"/>
      <c r="F2803" s="525"/>
      <c r="G2803" s="526"/>
      <c r="K2803" s="3280"/>
      <c r="P2803" s="3041"/>
      <c r="X2803" s="3280"/>
      <c r="AA2803" s="3041"/>
      <c r="AF2803" s="3041"/>
      <c r="AN2803" s="3280"/>
      <c r="AZ2803" s="3041"/>
      <c r="BD2803" s="3281"/>
      <c r="BH2803" s="3282"/>
      <c r="BJ2803" s="2589"/>
      <c r="BK2803" s="2126"/>
      <c r="BL2803" s="2126"/>
      <c r="BM2803" s="2126"/>
      <c r="BN2803" s="2126"/>
      <c r="BO2803" s="2126"/>
      <c r="BP2803" s="2126"/>
      <c r="BQ2803" s="2126"/>
      <c r="BR2803" s="2126"/>
      <c r="BS2803" s="2126"/>
    </row>
    <row r="2804" spans="1:71" s="3030" customFormat="1">
      <c r="A2804" s="2126"/>
      <c r="B2804" s="2126"/>
      <c r="C2804" s="2149"/>
      <c r="D2804" s="3248"/>
      <c r="E2804" s="525"/>
      <c r="F2804" s="525"/>
      <c r="G2804" s="526"/>
      <c r="K2804" s="3280"/>
      <c r="P2804" s="3041"/>
      <c r="X2804" s="3280"/>
      <c r="AA2804" s="3041"/>
      <c r="AF2804" s="3041"/>
      <c r="AN2804" s="3280"/>
      <c r="AZ2804" s="3041"/>
      <c r="BD2804" s="3281"/>
      <c r="BH2804" s="3282"/>
      <c r="BJ2804" s="2589"/>
      <c r="BK2804" s="2126"/>
      <c r="BL2804" s="2126"/>
      <c r="BM2804" s="2126"/>
      <c r="BN2804" s="2126"/>
      <c r="BO2804" s="2126"/>
      <c r="BP2804" s="2126"/>
      <c r="BQ2804" s="2126"/>
      <c r="BR2804" s="2126"/>
      <c r="BS2804" s="2126"/>
    </row>
    <row r="2805" spans="1:71" s="3030" customFormat="1">
      <c r="A2805" s="2126"/>
      <c r="B2805" s="2126"/>
      <c r="C2805" s="2149"/>
      <c r="D2805" s="3248"/>
      <c r="E2805" s="525"/>
      <c r="F2805" s="525"/>
      <c r="G2805" s="526"/>
      <c r="K2805" s="3280"/>
      <c r="P2805" s="3041"/>
      <c r="X2805" s="3280"/>
      <c r="AA2805" s="3041"/>
      <c r="AF2805" s="3041"/>
      <c r="AN2805" s="3280"/>
      <c r="AZ2805" s="3041"/>
      <c r="BD2805" s="3281"/>
      <c r="BH2805" s="3282"/>
      <c r="BJ2805" s="2589"/>
      <c r="BK2805" s="2126"/>
      <c r="BL2805" s="2126"/>
      <c r="BM2805" s="2126"/>
      <c r="BN2805" s="2126"/>
      <c r="BO2805" s="2126"/>
      <c r="BP2805" s="2126"/>
      <c r="BQ2805" s="2126"/>
      <c r="BR2805" s="2126"/>
      <c r="BS2805" s="2126"/>
    </row>
    <row r="2806" spans="1:71" s="3030" customFormat="1">
      <c r="A2806" s="2126"/>
      <c r="B2806" s="2126"/>
      <c r="C2806" s="2149"/>
      <c r="D2806" s="3248"/>
      <c r="E2806" s="525"/>
      <c r="F2806" s="525"/>
      <c r="G2806" s="526"/>
      <c r="K2806" s="3280"/>
      <c r="P2806" s="3041"/>
      <c r="X2806" s="3280"/>
      <c r="AA2806" s="3041"/>
      <c r="AF2806" s="3041"/>
      <c r="AN2806" s="3280"/>
      <c r="AZ2806" s="3041"/>
      <c r="BD2806" s="3281"/>
      <c r="BH2806" s="3282"/>
      <c r="BJ2806" s="2589"/>
      <c r="BK2806" s="2126"/>
      <c r="BL2806" s="2126"/>
      <c r="BM2806" s="2126"/>
      <c r="BN2806" s="2126"/>
      <c r="BO2806" s="2126"/>
      <c r="BP2806" s="2126"/>
      <c r="BQ2806" s="2126"/>
      <c r="BR2806" s="2126"/>
      <c r="BS2806" s="2126"/>
    </row>
    <row r="2807" spans="1:71" s="3030" customFormat="1">
      <c r="A2807" s="2126"/>
      <c r="B2807" s="2126"/>
      <c r="C2807" s="2149"/>
      <c r="D2807" s="3248"/>
      <c r="E2807" s="525"/>
      <c r="F2807" s="525"/>
      <c r="G2807" s="526"/>
      <c r="K2807" s="3280"/>
      <c r="P2807" s="3041"/>
      <c r="X2807" s="3280"/>
      <c r="AA2807" s="3041"/>
      <c r="AF2807" s="3041"/>
      <c r="AN2807" s="3280"/>
      <c r="AZ2807" s="3041"/>
      <c r="BD2807" s="3281"/>
      <c r="BH2807" s="3282"/>
      <c r="BJ2807" s="2589"/>
      <c r="BK2807" s="2126"/>
      <c r="BL2807" s="2126"/>
      <c r="BM2807" s="2126"/>
      <c r="BN2807" s="2126"/>
      <c r="BO2807" s="2126"/>
      <c r="BP2807" s="2126"/>
      <c r="BQ2807" s="2126"/>
      <c r="BR2807" s="2126"/>
      <c r="BS2807" s="2126"/>
    </row>
  </sheetData>
  <mergeCells count="12">
    <mergeCell ref="E112:AL112"/>
    <mergeCell ref="E93:G93"/>
    <mergeCell ref="E91:G91"/>
    <mergeCell ref="E105:AA105"/>
    <mergeCell ref="C97:D98"/>
    <mergeCell ref="C99:D104"/>
    <mergeCell ref="E110:E111"/>
    <mergeCell ref="C108:D109"/>
    <mergeCell ref="C106:D107"/>
    <mergeCell ref="C110:D110"/>
    <mergeCell ref="C111:D111"/>
    <mergeCell ref="G110:G111"/>
  </mergeCells>
  <printOptions horizontalCentered="1"/>
  <pageMargins left="0.59055118110236227" right="0.59055118110236227" top="1.1811023622047245" bottom="0.98425196850393704" header="0" footer="0.47244094488188981"/>
  <pageSetup paperSize="9" scale="60" fitToHeight="3" orientation="landscape" r:id="rId1"/>
  <headerFooter alignWithMargins="0">
    <oddFooter>&amp;C&amp;"Times New Roman,Normal"&amp;12&amp;F   -   &amp;A&amp;R&amp;"Times New Roman,Normal"&amp;12&amp;P/&amp;N</oddFooter>
  </headerFooter>
  <legacyDrawing r:id="rId2"/>
</worksheet>
</file>

<file path=xl/worksheets/sheet12.xml><?xml version="1.0" encoding="utf-8"?>
<worksheet xmlns="http://schemas.openxmlformats.org/spreadsheetml/2006/main" xmlns:r="http://schemas.openxmlformats.org/officeDocument/2006/relationships">
  <dimension ref="A1:CR320"/>
  <sheetViews>
    <sheetView showGridLines="0" zoomScale="80" zoomScaleNormal="80" workbookViewId="0">
      <pane xSplit="1" ySplit="3" topLeftCell="B4" activePane="bottomRight" state="frozen"/>
      <selection pane="topRight" activeCell="B1" sqref="B1"/>
      <selection pane="bottomLeft" activeCell="A3" sqref="A3"/>
      <selection pane="bottomRight" activeCell="R27" sqref="R27"/>
    </sheetView>
  </sheetViews>
  <sheetFormatPr baseColWidth="10" defaultRowHeight="12.75"/>
  <cols>
    <col min="1" max="1" width="17.7109375" style="1766" customWidth="1"/>
    <col min="2" max="2" width="9.85546875" style="3" customWidth="1"/>
    <col min="3" max="3" width="5.85546875" style="3" customWidth="1"/>
    <col min="4" max="4" width="7.5703125" style="3" customWidth="1"/>
    <col min="5" max="5" width="5.42578125" style="80" customWidth="1"/>
    <col min="6" max="6" width="8.140625" style="3" customWidth="1"/>
    <col min="7" max="7" width="5.140625" style="3" customWidth="1"/>
    <col min="8" max="8" width="4.85546875" style="3" customWidth="1"/>
    <col min="9" max="9" width="1.28515625" style="50" customWidth="1"/>
    <col min="10" max="10" width="5.42578125" style="3" customWidth="1"/>
    <col min="11" max="11" width="7.7109375" style="3" customWidth="1"/>
    <col min="12" max="12" width="6.7109375" style="3" customWidth="1"/>
    <col min="13" max="13" width="7.28515625" style="3" customWidth="1"/>
    <col min="14" max="14" width="8.42578125" style="3" customWidth="1"/>
    <col min="15" max="15" width="8.42578125" style="51" customWidth="1"/>
    <col min="16" max="16" width="4.42578125" style="825" customWidth="1"/>
    <col min="17" max="17" width="2.85546875" customWidth="1"/>
    <col min="18" max="18" width="6.7109375" style="831" customWidth="1"/>
    <col min="19" max="21" width="6.7109375" style="80" customWidth="1"/>
    <col min="22" max="22" width="8.7109375" style="931" customWidth="1"/>
    <col min="23" max="23" width="7.42578125" style="80" customWidth="1"/>
    <col min="24" max="25" width="8.7109375" style="80" customWidth="1"/>
    <col min="26" max="26" width="8.7109375" style="831" customWidth="1"/>
    <col min="27" max="28" width="8.7109375" style="80" customWidth="1"/>
    <col min="29" max="29" width="8.7109375" style="825" customWidth="1"/>
    <col min="30" max="32" width="8.7109375" style="80" customWidth="1"/>
    <col min="33" max="33" width="7.140625" style="825" customWidth="1"/>
    <col min="34" max="34" width="7.42578125" style="80" hidden="1" customWidth="1"/>
    <col min="35" max="35" width="7.42578125" style="825" customWidth="1"/>
    <col min="36" max="36" width="7.7109375" style="828" customWidth="1"/>
    <col min="37" max="37" width="2.85546875" customWidth="1"/>
    <col min="38" max="38" width="6.7109375" style="831" customWidth="1"/>
    <col min="39" max="41" width="6.7109375" style="80" customWidth="1"/>
    <col min="42" max="42" width="8.7109375" style="931" customWidth="1"/>
    <col min="43" max="43" width="7.42578125" style="80" customWidth="1"/>
    <col min="44" max="44" width="8.7109375" style="80" customWidth="1"/>
    <col min="45" max="45" width="8.7109375" style="825" customWidth="1"/>
    <col min="46" max="48" width="8.7109375" style="80" customWidth="1"/>
    <col min="49" max="49" width="8.7109375" style="825" customWidth="1"/>
    <col min="50" max="52" width="8.7109375" style="44" customWidth="1"/>
    <col min="53" max="53" width="7.140625" style="44" customWidth="1"/>
    <col min="54" max="54" width="7.42578125" style="831" hidden="1" customWidth="1"/>
    <col min="55" max="55" width="7.42578125" style="931" customWidth="1"/>
    <col min="56" max="56" width="7.7109375" style="828" customWidth="1"/>
    <col min="57" max="57" width="2.85546875" style="51" customWidth="1"/>
    <col min="58" max="61" width="6.7109375" style="80" customWidth="1"/>
    <col min="62" max="62" width="8.7109375" style="931" customWidth="1"/>
    <col min="63" max="63" width="7.42578125" style="831" customWidth="1"/>
    <col min="64" max="64" width="8.7109375" style="80" customWidth="1"/>
    <col min="65" max="65" width="8.7109375" style="825" customWidth="1"/>
    <col min="66" max="69" width="8.7109375" style="80" customWidth="1"/>
    <col min="70" max="70" width="8.7109375" style="831" customWidth="1"/>
    <col min="71" max="72" width="8.7109375" style="44" customWidth="1"/>
    <col min="73" max="73" width="7.140625" style="825" customWidth="1"/>
    <col min="74" max="74" width="7.42578125" style="80" hidden="1" customWidth="1"/>
    <col min="75" max="75" width="7.42578125" style="825" customWidth="1"/>
    <col min="76" max="76" width="7.7109375" style="3462" customWidth="1"/>
    <col min="77" max="77" width="2.140625" customWidth="1"/>
    <col min="78" max="78" width="6.7109375" style="831" customWidth="1"/>
    <col min="79" max="80" width="6.7109375" style="80" customWidth="1"/>
    <col min="81" max="81" width="6.7109375" style="825" customWidth="1"/>
    <col min="82" max="82" width="8.7109375" style="80" customWidth="1"/>
    <col min="83" max="83" width="7.42578125" style="831" customWidth="1"/>
    <col min="84" max="85" width="8.7109375" style="80" customWidth="1"/>
    <col min="86" max="86" width="8.7109375" style="831" customWidth="1"/>
    <col min="87" max="88" width="8.7109375" style="80" customWidth="1"/>
    <col min="89" max="89" width="8.7109375" style="825" customWidth="1"/>
    <col min="90" max="90" width="8.7109375" style="831" customWidth="1"/>
    <col min="91" max="92" width="8.7109375" style="80" customWidth="1"/>
    <col min="93" max="93" width="7.140625" style="825" customWidth="1"/>
    <col min="94" max="94" width="7.42578125" style="80" hidden="1" customWidth="1"/>
    <col min="95" max="95" width="7.42578125" style="825" customWidth="1"/>
    <col min="96" max="96" width="7.7109375" style="828" customWidth="1"/>
  </cols>
  <sheetData>
    <row r="1" spans="1:96" s="53" customFormat="1">
      <c r="A1" s="1851" t="s">
        <v>943</v>
      </c>
      <c r="B1" s="4162" t="s">
        <v>920</v>
      </c>
      <c r="C1" s="4162"/>
      <c r="D1" s="4162"/>
      <c r="E1" s="4162"/>
      <c r="F1" s="4162"/>
      <c r="G1" s="4162"/>
      <c r="H1" s="4163"/>
      <c r="I1" s="1852"/>
      <c r="J1" s="4162" t="s">
        <v>944</v>
      </c>
      <c r="K1" s="4162"/>
      <c r="L1" s="4162"/>
      <c r="M1" s="4162"/>
      <c r="N1" s="4162"/>
      <c r="O1" s="4162"/>
      <c r="P1" s="4163"/>
      <c r="R1" s="4169" t="s">
        <v>941</v>
      </c>
      <c r="S1" s="4170"/>
      <c r="T1" s="4170"/>
      <c r="U1" s="4170"/>
      <c r="V1" s="4170"/>
      <c r="W1" s="4170"/>
      <c r="X1" s="4170"/>
      <c r="Y1" s="4170"/>
      <c r="Z1" s="4170"/>
      <c r="AA1" s="4170"/>
      <c r="AB1" s="4170"/>
      <c r="AC1" s="4170"/>
      <c r="AD1" s="4170"/>
      <c r="AE1" s="4170"/>
      <c r="AF1" s="4170"/>
      <c r="AG1" s="4170"/>
      <c r="AH1" s="4170"/>
      <c r="AI1" s="4170"/>
      <c r="AJ1" s="4171"/>
      <c r="AL1" s="4166" t="s">
        <v>945</v>
      </c>
      <c r="AM1" s="4167"/>
      <c r="AN1" s="4167"/>
      <c r="AO1" s="4167"/>
      <c r="AP1" s="4167"/>
      <c r="AQ1" s="4167"/>
      <c r="AR1" s="4167"/>
      <c r="AS1" s="4167"/>
      <c r="AT1" s="4167"/>
      <c r="AU1" s="4167"/>
      <c r="AV1" s="4167"/>
      <c r="AW1" s="4167"/>
      <c r="AX1" s="4167"/>
      <c r="AY1" s="4167"/>
      <c r="AZ1" s="4167"/>
      <c r="BA1" s="4167"/>
      <c r="BB1" s="4167"/>
      <c r="BC1" s="4167"/>
      <c r="BD1" s="4168"/>
      <c r="BE1" s="3431"/>
      <c r="BF1" s="4177" t="s">
        <v>948</v>
      </c>
      <c r="BG1" s="4178"/>
      <c r="BH1" s="4178"/>
      <c r="BI1" s="4178"/>
      <c r="BJ1" s="4178"/>
      <c r="BK1" s="4178"/>
      <c r="BL1" s="4178"/>
      <c r="BM1" s="4178"/>
      <c r="BN1" s="4178"/>
      <c r="BO1" s="4178"/>
      <c r="BP1" s="4178"/>
      <c r="BQ1" s="4178"/>
      <c r="BR1" s="4178"/>
      <c r="BS1" s="4178"/>
      <c r="BT1" s="4178"/>
      <c r="BU1" s="4178"/>
      <c r="BV1" s="4178"/>
      <c r="BW1" s="4178"/>
      <c r="BX1" s="4179"/>
      <c r="BZ1" s="4159" t="s">
        <v>949</v>
      </c>
      <c r="CA1" s="4160"/>
      <c r="CB1" s="4160"/>
      <c r="CC1" s="4160"/>
      <c r="CD1" s="4160"/>
      <c r="CE1" s="4160"/>
      <c r="CF1" s="4160"/>
      <c r="CG1" s="4160"/>
      <c r="CH1" s="4160"/>
      <c r="CI1" s="4160"/>
      <c r="CJ1" s="4160"/>
      <c r="CK1" s="4160"/>
      <c r="CL1" s="4160"/>
      <c r="CM1" s="4160"/>
      <c r="CN1" s="4160"/>
      <c r="CO1" s="4160"/>
      <c r="CP1" s="4160"/>
      <c r="CQ1" s="4160"/>
      <c r="CR1" s="4161"/>
    </row>
    <row r="2" spans="1:96" s="53" customFormat="1" ht="12.75" customHeight="1">
      <c r="A2" s="1851" t="s">
        <v>1255</v>
      </c>
      <c r="B2" s="3402"/>
      <c r="C2" s="3402"/>
      <c r="D2" s="3402"/>
      <c r="E2" s="3402"/>
      <c r="F2" s="3402"/>
      <c r="G2" s="3402"/>
      <c r="H2" s="3403"/>
      <c r="I2" s="1852"/>
      <c r="J2" s="3402"/>
      <c r="K2" s="3402"/>
      <c r="L2" s="3402"/>
      <c r="M2" s="3402"/>
      <c r="N2" s="3402"/>
      <c r="O2" s="3402"/>
      <c r="P2" s="3403"/>
      <c r="R2" s="4172" t="s">
        <v>957</v>
      </c>
      <c r="S2" s="4172"/>
      <c r="T2" s="4172"/>
      <c r="U2" s="4172"/>
      <c r="V2" s="4172"/>
      <c r="W2" s="4172"/>
      <c r="X2" s="4172"/>
      <c r="Y2" s="4172"/>
      <c r="Z2" s="4172" t="s">
        <v>974</v>
      </c>
      <c r="AA2" s="4172"/>
      <c r="AB2" s="4172"/>
      <c r="AC2" s="4172"/>
      <c r="AD2" s="4172"/>
      <c r="AE2" s="4172"/>
      <c r="AF2" s="4172"/>
      <c r="AG2" s="4172"/>
      <c r="AH2" s="4173" t="s">
        <v>1256</v>
      </c>
      <c r="AI2" s="4174"/>
      <c r="AJ2" s="4175" t="s">
        <v>942</v>
      </c>
      <c r="AL2" s="4172" t="s">
        <v>957</v>
      </c>
      <c r="AM2" s="4172"/>
      <c r="AN2" s="4172"/>
      <c r="AO2" s="4172"/>
      <c r="AP2" s="4172"/>
      <c r="AQ2" s="4172"/>
      <c r="AR2" s="4172"/>
      <c r="AS2" s="4172"/>
      <c r="AT2" s="4172" t="s">
        <v>974</v>
      </c>
      <c r="AU2" s="4172"/>
      <c r="AV2" s="4172"/>
      <c r="AW2" s="4172"/>
      <c r="AX2" s="4172"/>
      <c r="AY2" s="4172"/>
      <c r="AZ2" s="4172"/>
      <c r="BA2" s="4172"/>
      <c r="BB2" s="4173" t="s">
        <v>1256</v>
      </c>
      <c r="BC2" s="4174"/>
      <c r="BD2" s="4175" t="s">
        <v>942</v>
      </c>
      <c r="BE2" s="3431"/>
      <c r="BF2" s="4172" t="s">
        <v>957</v>
      </c>
      <c r="BG2" s="4172"/>
      <c r="BH2" s="4172"/>
      <c r="BI2" s="4172"/>
      <c r="BJ2" s="4172"/>
      <c r="BK2" s="4172"/>
      <c r="BL2" s="4172"/>
      <c r="BM2" s="4172"/>
      <c r="BN2" s="4172" t="s">
        <v>974</v>
      </c>
      <c r="BO2" s="4172"/>
      <c r="BP2" s="4172"/>
      <c r="BQ2" s="4172"/>
      <c r="BR2" s="4172"/>
      <c r="BS2" s="4172"/>
      <c r="BT2" s="4172"/>
      <c r="BU2" s="4172"/>
      <c r="BV2" s="4173" t="s">
        <v>1256</v>
      </c>
      <c r="BW2" s="4174"/>
      <c r="BX2" s="4175" t="s">
        <v>942</v>
      </c>
      <c r="BZ2" s="4172" t="s">
        <v>957</v>
      </c>
      <c r="CA2" s="4172"/>
      <c r="CB2" s="4172"/>
      <c r="CC2" s="4172"/>
      <c r="CD2" s="4172"/>
      <c r="CE2" s="4172"/>
      <c r="CF2" s="4172"/>
      <c r="CG2" s="4172"/>
      <c r="CH2" s="4172" t="s">
        <v>974</v>
      </c>
      <c r="CI2" s="4172"/>
      <c r="CJ2" s="4172"/>
      <c r="CK2" s="4172"/>
      <c r="CL2" s="4172"/>
      <c r="CM2" s="4172"/>
      <c r="CN2" s="4172"/>
      <c r="CO2" s="4172"/>
      <c r="CP2" s="4173" t="s">
        <v>1256</v>
      </c>
      <c r="CQ2" s="4174"/>
      <c r="CR2" s="4175" t="s">
        <v>942</v>
      </c>
    </row>
    <row r="3" spans="1:96" s="53" customFormat="1" ht="38.25">
      <c r="A3" s="3430" t="s">
        <v>1259</v>
      </c>
      <c r="B3" s="1858" t="s">
        <v>686</v>
      </c>
      <c r="C3" s="1858" t="s">
        <v>687</v>
      </c>
      <c r="D3" s="1858" t="s">
        <v>688</v>
      </c>
      <c r="E3" s="1858"/>
      <c r="F3" s="1858" t="s">
        <v>689</v>
      </c>
      <c r="G3" s="4164" t="s">
        <v>120</v>
      </c>
      <c r="H3" s="4165"/>
      <c r="I3" s="1852"/>
      <c r="J3" s="1858" t="s">
        <v>687</v>
      </c>
      <c r="K3" s="1858" t="s">
        <v>688</v>
      </c>
      <c r="L3" s="1858"/>
      <c r="M3" s="1858" t="s">
        <v>689</v>
      </c>
      <c r="N3" s="1858" t="s">
        <v>946</v>
      </c>
      <c r="O3" s="1859" t="s">
        <v>947</v>
      </c>
      <c r="P3" s="1859" t="s">
        <v>1086</v>
      </c>
      <c r="R3" s="1860" t="str">
        <f>Substances!X6</f>
        <v>B</v>
      </c>
      <c r="S3" s="1861" t="str">
        <f>Substances!Y6</f>
        <v>T</v>
      </c>
      <c r="T3" s="1861" t="str">
        <f>Substances!Z6</f>
        <v>E</v>
      </c>
      <c r="U3" s="1861" t="str">
        <f>Substances!AA6</f>
        <v>X</v>
      </c>
      <c r="V3" s="1863" t="str">
        <f>Substances!AB6</f>
        <v>Ar 
&gt;EC8-EC10</v>
      </c>
      <c r="W3" s="1861" t="str">
        <f>Substances!AG6</f>
        <v>Al 
EC5-EC6</v>
      </c>
      <c r="X3" s="1861" t="str">
        <f>Substances!AH6</f>
        <v>Al
&gt;EC6-EC8</v>
      </c>
      <c r="Y3" s="1861" t="str">
        <f>Substances!AI6</f>
        <v>Al 
&gt;EC8-EC10</v>
      </c>
      <c r="Z3" s="1860" t="str">
        <f>Substances!AC6</f>
        <v>Ar
&gt;EC10-EC12</v>
      </c>
      <c r="AA3" s="1861" t="str">
        <f>Substances!AD6</f>
        <v>Ar
 &gt;EC12 - EC16</v>
      </c>
      <c r="AB3" s="1861" t="str">
        <f>Substances!AE6</f>
        <v>Ar
 &gt;EC16 - EC21</v>
      </c>
      <c r="AC3" s="1862" t="str">
        <f>Substances!AF6</f>
        <v>Ar
 &gt;EC21 - EC35</v>
      </c>
      <c r="AD3" s="1861" t="str">
        <f>Substances!AJ6</f>
        <v>Al &gt;
EC10-EC12</v>
      </c>
      <c r="AE3" s="1861" t="str">
        <f>Substances!AK6</f>
        <v>Al 
&gt;EC12-EC16</v>
      </c>
      <c r="AF3" s="1861" t="str">
        <f>Substances!AL6</f>
        <v>Al 
&gt;EC16- EC21</v>
      </c>
      <c r="AG3" s="1862" t="str">
        <f>Substances!AM6</f>
        <v>Al  &gt;EC21</v>
      </c>
      <c r="AH3" s="1861" t="s">
        <v>939</v>
      </c>
      <c r="AI3" s="1862" t="s">
        <v>940</v>
      </c>
      <c r="AJ3" s="4176"/>
      <c r="AL3" s="1860" t="str">
        <f>Substances!X6</f>
        <v>B</v>
      </c>
      <c r="AM3" s="1861" t="str">
        <f>Substances!Y6</f>
        <v>T</v>
      </c>
      <c r="AN3" s="1861" t="str">
        <f>Substances!Z6</f>
        <v>E</v>
      </c>
      <c r="AO3" s="1861" t="str">
        <f>Substances!AA6</f>
        <v>X</v>
      </c>
      <c r="AP3" s="1863" t="str">
        <f>Substances!AB6</f>
        <v>Ar 
&gt;EC8-EC10</v>
      </c>
      <c r="AQ3" s="1861" t="str">
        <f>Substances!AG6</f>
        <v>Al 
EC5-EC6</v>
      </c>
      <c r="AR3" s="1861" t="str">
        <f>Substances!AH6</f>
        <v>Al
&gt;EC6-EC8</v>
      </c>
      <c r="AS3" s="1862" t="str">
        <f>Substances!AI6</f>
        <v>Al 
&gt;EC8-EC10</v>
      </c>
      <c r="AT3" s="1861" t="str">
        <f>Substances!AC6</f>
        <v>Ar
&gt;EC10-EC12</v>
      </c>
      <c r="AU3" s="1861" t="str">
        <f>Substances!AD6</f>
        <v>Ar
 &gt;EC12 - EC16</v>
      </c>
      <c r="AV3" s="1861" t="str">
        <f>Substances!AE6</f>
        <v>Ar
 &gt;EC16 - EC21</v>
      </c>
      <c r="AW3" s="1862" t="str">
        <f>Substances!AF6</f>
        <v>Ar
 &gt;EC21 - EC35</v>
      </c>
      <c r="AX3" s="1861" t="str">
        <f>Substances!AJ6</f>
        <v>Al &gt;
EC10-EC12</v>
      </c>
      <c r="AY3" s="1861" t="str">
        <f>Substances!AK6</f>
        <v>Al 
&gt;EC12-EC16</v>
      </c>
      <c r="AZ3" s="1861" t="str">
        <f>Substances!AL6</f>
        <v>Al 
&gt;EC16- EC21</v>
      </c>
      <c r="BA3" s="1861" t="str">
        <f>Substances!AM6</f>
        <v>Al  &gt;EC21</v>
      </c>
      <c r="BB3" s="1860" t="s">
        <v>939</v>
      </c>
      <c r="BC3" s="1863" t="s">
        <v>940</v>
      </c>
      <c r="BD3" s="4176"/>
      <c r="BE3" s="3431"/>
      <c r="BF3" s="1861" t="str">
        <f>Substances!X6</f>
        <v>B</v>
      </c>
      <c r="BG3" s="1861" t="str">
        <f>Substances!Y6</f>
        <v>T</v>
      </c>
      <c r="BH3" s="1861" t="str">
        <f>Substances!Z6</f>
        <v>E</v>
      </c>
      <c r="BI3" s="1861" t="str">
        <f>Substances!AA6</f>
        <v>X</v>
      </c>
      <c r="BJ3" s="1863" t="str">
        <f>Substances!AB6</f>
        <v>Ar 
&gt;EC8-EC10</v>
      </c>
      <c r="BK3" s="1860" t="str">
        <f>Substances!AG6</f>
        <v>Al 
EC5-EC6</v>
      </c>
      <c r="BL3" s="1861" t="str">
        <f>Substances!AH6</f>
        <v>Al
&gt;EC6-EC8</v>
      </c>
      <c r="BM3" s="1862" t="str">
        <f>Substances!AI6</f>
        <v>Al 
&gt;EC8-EC10</v>
      </c>
      <c r="BN3" s="1861" t="str">
        <f>Substances!AC6</f>
        <v>Ar
&gt;EC10-EC12</v>
      </c>
      <c r="BO3" s="1861" t="str">
        <f>Substances!AD6</f>
        <v>Ar
 &gt;EC12 - EC16</v>
      </c>
      <c r="BP3" s="1861" t="str">
        <f>Substances!AE6</f>
        <v>Ar
 &gt;EC16 - EC21</v>
      </c>
      <c r="BQ3" s="1861" t="str">
        <f>Substances!AF6</f>
        <v>Ar
 &gt;EC21 - EC35</v>
      </c>
      <c r="BR3" s="1860" t="str">
        <f>Substances!AJ6</f>
        <v>Al &gt;
EC10-EC12</v>
      </c>
      <c r="BS3" s="1861" t="str">
        <f>Substances!AK6</f>
        <v>Al 
&gt;EC12-EC16</v>
      </c>
      <c r="BT3" s="1861" t="str">
        <f>Substances!AL6</f>
        <v>Al 
&gt;EC16- EC21</v>
      </c>
      <c r="BU3" s="1862" t="str">
        <f>Substances!AM6</f>
        <v>Al  &gt;EC21</v>
      </c>
      <c r="BV3" s="1861" t="s">
        <v>939</v>
      </c>
      <c r="BW3" s="1861" t="s">
        <v>940</v>
      </c>
      <c r="BX3" s="4176"/>
      <c r="BZ3" s="1860" t="str">
        <f>Substances!X6</f>
        <v>B</v>
      </c>
      <c r="CA3" s="1861" t="str">
        <f>Substances!Y6</f>
        <v>T</v>
      </c>
      <c r="CB3" s="1861" t="str">
        <f>Substances!Z6</f>
        <v>E</v>
      </c>
      <c r="CC3" s="1862" t="str">
        <f>Substances!AA6</f>
        <v>X</v>
      </c>
      <c r="CD3" s="1861" t="str">
        <f>Substances!AB6</f>
        <v>Ar 
&gt;EC8-EC10</v>
      </c>
      <c r="CE3" s="1860" t="str">
        <f>Substances!AG6</f>
        <v>Al 
EC5-EC6</v>
      </c>
      <c r="CF3" s="1861" t="str">
        <f>Substances!AH6</f>
        <v>Al
&gt;EC6-EC8</v>
      </c>
      <c r="CG3" s="1861" t="str">
        <f>Substances!AI6</f>
        <v>Al 
&gt;EC8-EC10</v>
      </c>
      <c r="CH3" s="1860" t="str">
        <f>Substances!AC6</f>
        <v>Ar
&gt;EC10-EC12</v>
      </c>
      <c r="CI3" s="1861" t="str">
        <f>Substances!AD6</f>
        <v>Ar
 &gt;EC12 - EC16</v>
      </c>
      <c r="CJ3" s="1861" t="str">
        <f>Substances!AE6</f>
        <v>Ar
 &gt;EC16 - EC21</v>
      </c>
      <c r="CK3" s="1862" t="str">
        <f>Substances!AF6</f>
        <v>Ar
 &gt;EC21 - EC35</v>
      </c>
      <c r="CL3" s="1860" t="str">
        <f>Substances!AJ6</f>
        <v>Al &gt;
EC10-EC12</v>
      </c>
      <c r="CM3" s="1861" t="str">
        <f>Substances!AK6</f>
        <v>Al 
&gt;EC12-EC16</v>
      </c>
      <c r="CN3" s="1861" t="str">
        <f>Substances!AL6</f>
        <v>Al 
&gt;EC16- EC21</v>
      </c>
      <c r="CO3" s="1862" t="str">
        <f>Substances!AM6</f>
        <v>Al  &gt;EC21</v>
      </c>
      <c r="CP3" s="1861" t="s">
        <v>939</v>
      </c>
      <c r="CQ3" s="1862" t="s">
        <v>940</v>
      </c>
      <c r="CR3" s="4176"/>
    </row>
    <row r="4" spans="1:96" s="716" customFormat="1">
      <c r="A4" s="1834" t="s">
        <v>936</v>
      </c>
      <c r="B4" s="1777"/>
      <c r="C4" s="1777"/>
      <c r="D4" s="1777"/>
      <c r="E4" s="1795"/>
      <c r="F4" s="1777"/>
      <c r="G4" s="1777"/>
      <c r="H4" s="1777"/>
      <c r="I4" s="1806"/>
      <c r="J4" s="1777"/>
      <c r="K4" s="1777"/>
      <c r="L4" s="1777"/>
      <c r="M4" s="1777"/>
      <c r="N4" s="1777"/>
      <c r="O4" s="1778"/>
      <c r="P4" s="1779"/>
      <c r="R4" s="834">
        <v>6.49</v>
      </c>
      <c r="S4" s="835">
        <v>7.58</v>
      </c>
      <c r="T4" s="835"/>
      <c r="U4" s="835"/>
      <c r="V4" s="928">
        <v>8</v>
      </c>
      <c r="W4" s="835">
        <v>4.99</v>
      </c>
      <c r="X4" s="835">
        <v>6</v>
      </c>
      <c r="Y4" s="835">
        <v>8</v>
      </c>
      <c r="Z4" s="834">
        <v>10</v>
      </c>
      <c r="AA4" s="835">
        <v>12</v>
      </c>
      <c r="AB4" s="835">
        <v>16</v>
      </c>
      <c r="AC4" s="836">
        <v>21</v>
      </c>
      <c r="AD4" s="835">
        <v>10</v>
      </c>
      <c r="AE4" s="835">
        <v>12</v>
      </c>
      <c r="AF4" s="835">
        <v>16</v>
      </c>
      <c r="AG4" s="836">
        <v>21</v>
      </c>
      <c r="AH4" s="835">
        <v>0</v>
      </c>
      <c r="AI4" s="836">
        <v>0</v>
      </c>
      <c r="AJ4" s="3461"/>
      <c r="AL4" s="834">
        <v>6.49</v>
      </c>
      <c r="AM4" s="835">
        <v>7.58</v>
      </c>
      <c r="AN4" s="835"/>
      <c r="AO4" s="835"/>
      <c r="AP4" s="928">
        <v>8</v>
      </c>
      <c r="AQ4" s="835">
        <v>4.99</v>
      </c>
      <c r="AR4" s="835">
        <v>6</v>
      </c>
      <c r="AS4" s="836">
        <v>8</v>
      </c>
      <c r="AT4" s="835">
        <v>10</v>
      </c>
      <c r="AU4" s="835">
        <v>12</v>
      </c>
      <c r="AV4" s="835">
        <v>16</v>
      </c>
      <c r="AW4" s="836">
        <v>21</v>
      </c>
      <c r="AX4" s="835">
        <v>10</v>
      </c>
      <c r="AY4" s="835">
        <v>12</v>
      </c>
      <c r="AZ4" s="835">
        <v>16</v>
      </c>
      <c r="BA4" s="835">
        <v>21</v>
      </c>
      <c r="BB4" s="834">
        <v>0</v>
      </c>
      <c r="BC4" s="928">
        <v>0</v>
      </c>
      <c r="BD4" s="3461"/>
      <c r="BE4" s="1722"/>
      <c r="BF4" s="835">
        <v>6.49</v>
      </c>
      <c r="BG4" s="835">
        <v>7.58</v>
      </c>
      <c r="BH4" s="835"/>
      <c r="BI4" s="835"/>
      <c r="BJ4" s="928">
        <v>8</v>
      </c>
      <c r="BK4" s="834">
        <v>4.99</v>
      </c>
      <c r="BL4" s="835">
        <v>6</v>
      </c>
      <c r="BM4" s="836">
        <v>8</v>
      </c>
      <c r="BN4" s="835">
        <v>10</v>
      </c>
      <c r="BO4" s="835">
        <v>12</v>
      </c>
      <c r="BP4" s="835">
        <v>16</v>
      </c>
      <c r="BQ4" s="835">
        <v>21</v>
      </c>
      <c r="BR4" s="834">
        <v>10</v>
      </c>
      <c r="BS4" s="835">
        <v>12</v>
      </c>
      <c r="BT4" s="835">
        <v>16</v>
      </c>
      <c r="BU4" s="836">
        <v>21</v>
      </c>
      <c r="BV4" s="835">
        <v>0</v>
      </c>
      <c r="BW4" s="836">
        <v>0</v>
      </c>
      <c r="BX4" s="3461"/>
      <c r="BZ4" s="834">
        <v>6.49</v>
      </c>
      <c r="CA4" s="835">
        <v>7.58</v>
      </c>
      <c r="CB4" s="835"/>
      <c r="CC4" s="836"/>
      <c r="CD4" s="835">
        <v>8</v>
      </c>
      <c r="CE4" s="834">
        <v>4.99</v>
      </c>
      <c r="CF4" s="835">
        <v>6</v>
      </c>
      <c r="CG4" s="835">
        <v>8</v>
      </c>
      <c r="CH4" s="834">
        <v>10</v>
      </c>
      <c r="CI4" s="835">
        <v>12</v>
      </c>
      <c r="CJ4" s="835">
        <v>16</v>
      </c>
      <c r="CK4" s="836">
        <v>21</v>
      </c>
      <c r="CL4" s="834">
        <v>10</v>
      </c>
      <c r="CM4" s="835">
        <v>12</v>
      </c>
      <c r="CN4" s="835">
        <v>16</v>
      </c>
      <c r="CO4" s="836">
        <v>21</v>
      </c>
      <c r="CP4" s="835">
        <v>0</v>
      </c>
      <c r="CQ4" s="836">
        <v>0</v>
      </c>
      <c r="CR4" s="3461"/>
    </row>
    <row r="5" spans="1:96" s="3" customFormat="1">
      <c r="A5" s="1835" t="s">
        <v>1082</v>
      </c>
      <c r="B5" s="1775"/>
      <c r="C5" s="1775"/>
      <c r="D5" s="1775"/>
      <c r="E5" s="1796"/>
      <c r="F5" s="1775"/>
      <c r="G5" s="1775"/>
      <c r="H5" s="1775"/>
      <c r="I5" s="1807"/>
      <c r="J5" s="1775"/>
      <c r="K5" s="1775"/>
      <c r="L5" s="1775"/>
      <c r="M5" s="1775"/>
      <c r="N5" s="1775"/>
      <c r="O5" s="1780"/>
      <c r="P5" s="1776"/>
      <c r="Q5" s="78"/>
      <c r="R5" s="829">
        <v>6.5</v>
      </c>
      <c r="S5" s="530">
        <v>7.5810000000000004</v>
      </c>
      <c r="T5" s="530"/>
      <c r="U5" s="530"/>
      <c r="V5" s="808">
        <v>10</v>
      </c>
      <c r="W5" s="530">
        <v>6</v>
      </c>
      <c r="X5" s="530">
        <v>8</v>
      </c>
      <c r="Y5" s="530">
        <v>10</v>
      </c>
      <c r="Z5" s="829">
        <v>12</v>
      </c>
      <c r="AA5" s="530">
        <v>16</v>
      </c>
      <c r="AB5" s="530">
        <v>21</v>
      </c>
      <c r="AC5" s="830">
        <v>35.1</v>
      </c>
      <c r="AD5" s="530">
        <v>12</v>
      </c>
      <c r="AE5" s="530">
        <v>16</v>
      </c>
      <c r="AF5" s="530">
        <v>21</v>
      </c>
      <c r="AG5" s="830">
        <v>35.1</v>
      </c>
      <c r="AH5" s="530">
        <v>4.99</v>
      </c>
      <c r="AI5" s="830">
        <v>4.99</v>
      </c>
      <c r="AJ5" s="3462"/>
      <c r="AK5" s="78"/>
      <c r="AL5" s="829">
        <v>6.5</v>
      </c>
      <c r="AM5" s="530">
        <v>7.5810000000000004</v>
      </c>
      <c r="AN5" s="530"/>
      <c r="AO5" s="530"/>
      <c r="AP5" s="808">
        <v>10</v>
      </c>
      <c r="AQ5" s="530">
        <v>6</v>
      </c>
      <c r="AR5" s="530">
        <v>8</v>
      </c>
      <c r="AS5" s="830">
        <v>10</v>
      </c>
      <c r="AT5" s="530">
        <v>12</v>
      </c>
      <c r="AU5" s="530">
        <v>16</v>
      </c>
      <c r="AV5" s="530">
        <v>21</v>
      </c>
      <c r="AW5" s="830">
        <v>35.1</v>
      </c>
      <c r="AX5" s="530">
        <v>12</v>
      </c>
      <c r="AY5" s="530">
        <v>16</v>
      </c>
      <c r="AZ5" s="530">
        <v>21</v>
      </c>
      <c r="BA5" s="530">
        <v>35.1</v>
      </c>
      <c r="BB5" s="829">
        <v>4.99</v>
      </c>
      <c r="BC5" s="808">
        <v>4.99</v>
      </c>
      <c r="BD5" s="3462"/>
      <c r="BE5" s="3432"/>
      <c r="BF5" s="530">
        <v>6.5</v>
      </c>
      <c r="BG5" s="530">
        <v>7.5810000000000004</v>
      </c>
      <c r="BH5" s="530"/>
      <c r="BI5" s="530"/>
      <c r="BJ5" s="808">
        <v>10</v>
      </c>
      <c r="BK5" s="829">
        <v>6</v>
      </c>
      <c r="BL5" s="530">
        <v>8</v>
      </c>
      <c r="BM5" s="830">
        <v>10</v>
      </c>
      <c r="BN5" s="530">
        <v>12</v>
      </c>
      <c r="BO5" s="530">
        <v>16</v>
      </c>
      <c r="BP5" s="530">
        <v>21</v>
      </c>
      <c r="BQ5" s="530">
        <v>35.1</v>
      </c>
      <c r="BR5" s="829">
        <v>12</v>
      </c>
      <c r="BS5" s="530">
        <v>16</v>
      </c>
      <c r="BT5" s="530">
        <v>21</v>
      </c>
      <c r="BU5" s="830">
        <v>35.1</v>
      </c>
      <c r="BV5" s="530">
        <v>4.99</v>
      </c>
      <c r="BW5" s="830">
        <v>4.99</v>
      </c>
      <c r="BX5" s="3462"/>
      <c r="BY5" s="78"/>
      <c r="BZ5" s="829">
        <v>6.5</v>
      </c>
      <c r="CA5" s="530">
        <v>7.5810000000000004</v>
      </c>
      <c r="CB5" s="530"/>
      <c r="CC5" s="830"/>
      <c r="CD5" s="530">
        <v>10</v>
      </c>
      <c r="CE5" s="829">
        <v>6</v>
      </c>
      <c r="CF5" s="530">
        <v>8</v>
      </c>
      <c r="CG5" s="530">
        <v>10</v>
      </c>
      <c r="CH5" s="829">
        <v>12</v>
      </c>
      <c r="CI5" s="530">
        <v>16</v>
      </c>
      <c r="CJ5" s="530">
        <v>21</v>
      </c>
      <c r="CK5" s="830">
        <v>35.1</v>
      </c>
      <c r="CL5" s="829">
        <v>12</v>
      </c>
      <c r="CM5" s="530">
        <v>16</v>
      </c>
      <c r="CN5" s="530">
        <v>21</v>
      </c>
      <c r="CO5" s="830">
        <v>35.1</v>
      </c>
      <c r="CP5" s="530">
        <v>4.99</v>
      </c>
      <c r="CQ5" s="830">
        <v>4.99</v>
      </c>
      <c r="CR5" s="3462"/>
    </row>
    <row r="6" spans="1:96" s="812" customFormat="1" ht="13.5" thickBot="1">
      <c r="A6" s="1836" t="s">
        <v>1089</v>
      </c>
      <c r="B6" s="1781"/>
      <c r="C6" s="1781"/>
      <c r="D6" s="1781"/>
      <c r="E6" s="1797"/>
      <c r="F6" s="1781"/>
      <c r="G6" s="1781"/>
      <c r="H6" s="1781"/>
      <c r="I6" s="1808"/>
      <c r="J6" s="1781"/>
      <c r="K6" s="1781"/>
      <c r="L6" s="1781"/>
      <c r="M6" s="1781"/>
      <c r="N6" s="1781"/>
      <c r="O6" s="1782"/>
      <c r="P6" s="1783"/>
      <c r="R6" s="101" t="s">
        <v>1088</v>
      </c>
      <c r="S6" s="813" t="s">
        <v>1088</v>
      </c>
      <c r="T6" s="813" t="s">
        <v>1088</v>
      </c>
      <c r="U6" s="813" t="s">
        <v>1088</v>
      </c>
      <c r="V6" s="929" t="s">
        <v>1088</v>
      </c>
      <c r="W6" s="813" t="s">
        <v>1087</v>
      </c>
      <c r="X6" s="813" t="s">
        <v>1087</v>
      </c>
      <c r="Y6" s="813" t="s">
        <v>1087</v>
      </c>
      <c r="Z6" s="101" t="s">
        <v>1088</v>
      </c>
      <c r="AA6" s="813" t="s">
        <v>1088</v>
      </c>
      <c r="AB6" s="813" t="s">
        <v>1088</v>
      </c>
      <c r="AC6" s="827" t="s">
        <v>1088</v>
      </c>
      <c r="AD6" s="813" t="s">
        <v>1087</v>
      </c>
      <c r="AE6" s="813" t="s">
        <v>1087</v>
      </c>
      <c r="AF6" s="813" t="s">
        <v>1087</v>
      </c>
      <c r="AG6" s="827" t="s">
        <v>1087</v>
      </c>
      <c r="AH6" s="813" t="s">
        <v>1088</v>
      </c>
      <c r="AI6" s="827" t="s">
        <v>1087</v>
      </c>
      <c r="AJ6" s="3463"/>
      <c r="AL6" s="101" t="s">
        <v>1088</v>
      </c>
      <c r="AM6" s="813" t="s">
        <v>1088</v>
      </c>
      <c r="AN6" s="813" t="s">
        <v>1088</v>
      </c>
      <c r="AO6" s="813" t="s">
        <v>1088</v>
      </c>
      <c r="AP6" s="929" t="s">
        <v>1088</v>
      </c>
      <c r="AQ6" s="813" t="s">
        <v>1087</v>
      </c>
      <c r="AR6" s="813" t="s">
        <v>1087</v>
      </c>
      <c r="AS6" s="827" t="s">
        <v>1087</v>
      </c>
      <c r="AT6" s="813" t="s">
        <v>1088</v>
      </c>
      <c r="AU6" s="813" t="s">
        <v>1088</v>
      </c>
      <c r="AV6" s="813" t="s">
        <v>1088</v>
      </c>
      <c r="AW6" s="827" t="s">
        <v>1088</v>
      </c>
      <c r="AX6" s="813" t="s">
        <v>1087</v>
      </c>
      <c r="AY6" s="813" t="s">
        <v>1087</v>
      </c>
      <c r="AZ6" s="813" t="s">
        <v>1087</v>
      </c>
      <c r="BA6" s="813" t="s">
        <v>1087</v>
      </c>
      <c r="BB6" s="101" t="s">
        <v>1088</v>
      </c>
      <c r="BC6" s="929" t="s">
        <v>1087</v>
      </c>
      <c r="BD6" s="3463"/>
      <c r="BE6" s="3433"/>
      <c r="BF6" s="813" t="s">
        <v>1088</v>
      </c>
      <c r="BG6" s="813" t="s">
        <v>1088</v>
      </c>
      <c r="BH6" s="813" t="s">
        <v>1088</v>
      </c>
      <c r="BI6" s="813" t="s">
        <v>1088</v>
      </c>
      <c r="BJ6" s="929" t="s">
        <v>1088</v>
      </c>
      <c r="BK6" s="101" t="s">
        <v>1087</v>
      </c>
      <c r="BL6" s="813" t="s">
        <v>1087</v>
      </c>
      <c r="BM6" s="827" t="s">
        <v>1087</v>
      </c>
      <c r="BN6" s="813" t="s">
        <v>1088</v>
      </c>
      <c r="BO6" s="813" t="s">
        <v>1088</v>
      </c>
      <c r="BP6" s="813" t="s">
        <v>1088</v>
      </c>
      <c r="BQ6" s="813" t="s">
        <v>1088</v>
      </c>
      <c r="BR6" s="101" t="s">
        <v>1087</v>
      </c>
      <c r="BS6" s="813" t="s">
        <v>1087</v>
      </c>
      <c r="BT6" s="813" t="s">
        <v>1087</v>
      </c>
      <c r="BU6" s="827" t="s">
        <v>1087</v>
      </c>
      <c r="BV6" s="813" t="s">
        <v>1088</v>
      </c>
      <c r="BW6" s="827" t="s">
        <v>1087</v>
      </c>
      <c r="BX6" s="3463"/>
      <c r="BZ6" s="101" t="s">
        <v>1088</v>
      </c>
      <c r="CA6" s="813" t="s">
        <v>1088</v>
      </c>
      <c r="CB6" s="813" t="s">
        <v>1088</v>
      </c>
      <c r="CC6" s="827" t="s">
        <v>1088</v>
      </c>
      <c r="CD6" s="813" t="s">
        <v>1088</v>
      </c>
      <c r="CE6" s="101" t="s">
        <v>1087</v>
      </c>
      <c r="CF6" s="813" t="s">
        <v>1087</v>
      </c>
      <c r="CG6" s="813" t="s">
        <v>1087</v>
      </c>
      <c r="CH6" s="101" t="s">
        <v>1088</v>
      </c>
      <c r="CI6" s="813" t="s">
        <v>1088</v>
      </c>
      <c r="CJ6" s="813" t="s">
        <v>1088</v>
      </c>
      <c r="CK6" s="827" t="s">
        <v>1088</v>
      </c>
      <c r="CL6" s="101" t="s">
        <v>1087</v>
      </c>
      <c r="CM6" s="813" t="s">
        <v>1087</v>
      </c>
      <c r="CN6" s="813" t="s">
        <v>1087</v>
      </c>
      <c r="CO6" s="827" t="s">
        <v>1087</v>
      </c>
      <c r="CP6" s="813" t="s">
        <v>1088</v>
      </c>
      <c r="CQ6" s="827" t="s">
        <v>1087</v>
      </c>
      <c r="CR6" s="3463"/>
    </row>
    <row r="7" spans="1:96" s="811" customFormat="1">
      <c r="A7" s="3460" t="s">
        <v>690</v>
      </c>
      <c r="B7" s="1784"/>
      <c r="C7" s="1784"/>
      <c r="D7" s="1784"/>
      <c r="E7" s="1798"/>
      <c r="F7" s="1784"/>
      <c r="G7" s="1784"/>
      <c r="H7" s="1784"/>
      <c r="I7" s="1809"/>
      <c r="J7" s="1784"/>
      <c r="K7" s="1784"/>
      <c r="L7" s="1784"/>
      <c r="M7" s="1784"/>
      <c r="N7" s="1784"/>
      <c r="O7" s="1785"/>
      <c r="P7" s="1786"/>
      <c r="R7" s="852"/>
      <c r="S7" s="474"/>
      <c r="T7" s="474"/>
      <c r="U7" s="474"/>
      <c r="V7" s="930"/>
      <c r="W7" s="474"/>
      <c r="X7" s="474"/>
      <c r="Y7" s="474"/>
      <c r="Z7" s="852"/>
      <c r="AA7" s="474"/>
      <c r="AB7" s="474"/>
      <c r="AC7" s="826"/>
      <c r="AD7" s="474"/>
      <c r="AE7" s="474"/>
      <c r="AF7" s="474"/>
      <c r="AG7" s="826"/>
      <c r="AH7" s="474"/>
      <c r="AI7" s="826"/>
      <c r="AJ7" s="3464"/>
      <c r="AL7" s="852"/>
      <c r="AM7" s="474"/>
      <c r="AN7" s="474"/>
      <c r="AO7" s="474"/>
      <c r="AP7" s="930"/>
      <c r="AQ7" s="474"/>
      <c r="AR7" s="474"/>
      <c r="AS7" s="826"/>
      <c r="AT7" s="474"/>
      <c r="AU7" s="474"/>
      <c r="AV7" s="474"/>
      <c r="AW7" s="826"/>
      <c r="AX7" s="474"/>
      <c r="AY7" s="474"/>
      <c r="AZ7" s="474"/>
      <c r="BA7" s="474"/>
      <c r="BB7" s="852"/>
      <c r="BC7" s="930"/>
      <c r="BD7" s="3464"/>
      <c r="BE7" s="3434"/>
      <c r="BF7" s="474"/>
      <c r="BG7" s="474"/>
      <c r="BH7" s="474"/>
      <c r="BI7" s="474"/>
      <c r="BJ7" s="930"/>
      <c r="BK7" s="852"/>
      <c r="BL7" s="474"/>
      <c r="BM7" s="826"/>
      <c r="BN7" s="474"/>
      <c r="BO7" s="474"/>
      <c r="BP7" s="474"/>
      <c r="BQ7" s="474"/>
      <c r="BR7" s="852"/>
      <c r="BS7" s="474"/>
      <c r="BT7" s="474"/>
      <c r="BU7" s="826"/>
      <c r="BV7" s="474"/>
      <c r="BW7" s="826"/>
      <c r="BX7" s="3464"/>
      <c r="BZ7" s="852"/>
      <c r="CA7" s="474"/>
      <c r="CB7" s="474"/>
      <c r="CC7" s="826"/>
      <c r="CD7" s="474"/>
      <c r="CE7" s="852"/>
      <c r="CF7" s="474"/>
      <c r="CG7" s="474"/>
      <c r="CH7" s="852"/>
      <c r="CI7" s="474"/>
      <c r="CJ7" s="474"/>
      <c r="CK7" s="826"/>
      <c r="CL7" s="852"/>
      <c r="CM7" s="474"/>
      <c r="CN7" s="474"/>
      <c r="CO7" s="826"/>
      <c r="CP7" s="474"/>
      <c r="CQ7" s="826"/>
      <c r="CR7" s="3464"/>
    </row>
    <row r="8" spans="1:96" s="3" customFormat="1">
      <c r="A8" s="1837" t="s">
        <v>691</v>
      </c>
      <c r="B8" s="1793" t="s">
        <v>692</v>
      </c>
      <c r="C8" s="1787" t="s">
        <v>693</v>
      </c>
      <c r="D8" s="1775"/>
      <c r="E8" s="1796"/>
      <c r="F8" s="1775"/>
      <c r="G8" s="1775"/>
      <c r="H8" s="1775"/>
      <c r="I8" s="1807"/>
      <c r="J8" s="1775"/>
      <c r="K8" s="1775"/>
      <c r="L8" s="1775"/>
      <c r="M8" s="1775"/>
      <c r="N8" s="1775"/>
      <c r="O8" s="1780"/>
      <c r="P8" s="1776"/>
      <c r="R8" s="3437"/>
      <c r="S8" s="1670"/>
      <c r="T8" s="1670"/>
      <c r="U8" s="1670"/>
      <c r="V8" s="3441"/>
      <c r="W8" s="1670"/>
      <c r="X8" s="1670"/>
      <c r="Y8" s="1670"/>
      <c r="Z8" s="3438"/>
      <c r="AA8" s="1670"/>
      <c r="AB8" s="1670"/>
      <c r="AC8" s="1708"/>
      <c r="AD8" s="1670"/>
      <c r="AE8" s="1670"/>
      <c r="AF8" s="1670"/>
      <c r="AG8" s="1708"/>
      <c r="AH8" s="1670"/>
      <c r="AI8" s="1708"/>
      <c r="AJ8" s="3462"/>
      <c r="AK8" s="3439"/>
      <c r="AL8" s="3437"/>
      <c r="AM8" s="1670"/>
      <c r="AN8" s="1670"/>
      <c r="AO8" s="1670"/>
      <c r="AP8" s="3441"/>
      <c r="AQ8" s="1670"/>
      <c r="AR8" s="1670"/>
      <c r="AS8" s="1708"/>
      <c r="AT8" s="1670"/>
      <c r="AU8" s="1670"/>
      <c r="AV8" s="1670"/>
      <c r="AW8" s="1708"/>
      <c r="AX8" s="1670"/>
      <c r="AY8" s="1670"/>
      <c r="AZ8" s="1670"/>
      <c r="BA8" s="1670"/>
      <c r="BB8" s="3438"/>
      <c r="BC8" s="3441"/>
      <c r="BD8" s="3462"/>
      <c r="BE8" s="3440"/>
      <c r="BF8" s="1771"/>
      <c r="BG8" s="1670"/>
      <c r="BH8" s="1670"/>
      <c r="BI8" s="1670"/>
      <c r="BJ8" s="3441"/>
      <c r="BK8" s="3438"/>
      <c r="BL8" s="1670"/>
      <c r="BM8" s="1708"/>
      <c r="BN8" s="1670"/>
      <c r="BO8" s="1670"/>
      <c r="BP8" s="1670"/>
      <c r="BQ8" s="1670"/>
      <c r="BR8" s="3438"/>
      <c r="BS8" s="1670"/>
      <c r="BT8" s="1670"/>
      <c r="BU8" s="1708"/>
      <c r="BV8" s="1670"/>
      <c r="BW8" s="1708"/>
      <c r="BX8" s="3462"/>
      <c r="BY8" s="3439"/>
      <c r="BZ8" s="3437"/>
      <c r="CA8" s="1670"/>
      <c r="CB8" s="1670"/>
      <c r="CC8" s="1708"/>
      <c r="CD8" s="1670"/>
      <c r="CE8" s="3438"/>
      <c r="CF8" s="1670"/>
      <c r="CG8" s="1670"/>
      <c r="CH8" s="3438"/>
      <c r="CI8" s="1670"/>
      <c r="CJ8" s="1670"/>
      <c r="CK8" s="1708"/>
      <c r="CL8" s="3438"/>
      <c r="CM8" s="1670"/>
      <c r="CN8" s="1670"/>
      <c r="CO8" s="1708"/>
      <c r="CP8" s="1670"/>
      <c r="CQ8" s="1708"/>
      <c r="CR8" s="3462"/>
    </row>
    <row r="9" spans="1:96" s="3" customFormat="1">
      <c r="A9" s="1838" t="s">
        <v>694</v>
      </c>
      <c r="B9" s="1775">
        <v>8</v>
      </c>
      <c r="C9" s="1775">
        <v>8</v>
      </c>
      <c r="D9" s="1775">
        <v>0.1</v>
      </c>
      <c r="E9" s="1799" t="s">
        <v>1083</v>
      </c>
      <c r="F9" s="1775">
        <v>0.1</v>
      </c>
      <c r="G9" s="1775" t="s">
        <v>695</v>
      </c>
      <c r="H9" s="1775">
        <v>1996</v>
      </c>
      <c r="I9" s="1810"/>
      <c r="J9" s="1775">
        <f t="shared" ref="J9:J70" si="0">IF(ISBLANK(C9),B9+0.5,C9)</f>
        <v>8</v>
      </c>
      <c r="K9" s="1775">
        <v>0.1</v>
      </c>
      <c r="L9" s="1775"/>
      <c r="M9" s="1775">
        <v>0.1</v>
      </c>
      <c r="N9" s="1775">
        <f>(K9*M9)^0.5</f>
        <v>0.1</v>
      </c>
      <c r="O9" s="1780">
        <f>(K9+M9)*0.5</f>
        <v>0.1</v>
      </c>
      <c r="P9" s="1776" t="s">
        <v>1087</v>
      </c>
      <c r="Q9" s="3" t="str">
        <f>IF(J9=J319,"stop","")</f>
        <v/>
      </c>
      <c r="R9" s="3437" t="str">
        <f t="shared" ref="R9:R25" si="1">IF(AND($J9&gt;R$4,$J9&lt;=R$5,$P9=R$6),$K9,"")</f>
        <v/>
      </c>
      <c r="S9" s="1771" t="str">
        <f t="shared" ref="S9:AH24" si="2">IF(AND($J9&gt;S$4,$J9&lt;=S$5,$P9=S$6),$K9,"")</f>
        <v/>
      </c>
      <c r="T9" s="1771" t="str">
        <f t="shared" si="2"/>
        <v/>
      </c>
      <c r="U9" s="1771" t="str">
        <f t="shared" si="2"/>
        <v/>
      </c>
      <c r="V9" s="3443" t="str">
        <f t="shared" si="2"/>
        <v/>
      </c>
      <c r="W9" s="1771" t="str">
        <f t="shared" ref="W9:Y28" si="3">IF(AND($J9&gt;W$4,$J9&lt;=W$5,$P9=W$6),$K9,"")</f>
        <v/>
      </c>
      <c r="X9" s="1771">
        <f t="shared" si="3"/>
        <v>0.1</v>
      </c>
      <c r="Y9" s="1771" t="str">
        <f t="shared" si="3"/>
        <v/>
      </c>
      <c r="Z9" s="3437" t="str">
        <f t="shared" si="2"/>
        <v/>
      </c>
      <c r="AA9" s="1771" t="str">
        <f t="shared" si="2"/>
        <v/>
      </c>
      <c r="AB9" s="1771" t="str">
        <f t="shared" si="2"/>
        <v/>
      </c>
      <c r="AC9" s="3442" t="str">
        <f t="shared" si="2"/>
        <v/>
      </c>
      <c r="AD9" s="1771" t="str">
        <f t="shared" si="2"/>
        <v/>
      </c>
      <c r="AE9" s="1771" t="str">
        <f t="shared" si="2"/>
        <v/>
      </c>
      <c r="AF9" s="1771" t="str">
        <f t="shared" si="2"/>
        <v/>
      </c>
      <c r="AG9" s="3442" t="str">
        <f t="shared" si="2"/>
        <v/>
      </c>
      <c r="AH9" s="1771" t="str">
        <f t="shared" si="2"/>
        <v/>
      </c>
      <c r="AI9" s="3442" t="str">
        <f t="shared" ref="AI9:AI72" si="4">IF(AND($J9&gt;AI$4,$J9&lt;=AI$5,$P9=AI$6),$K9,"")</f>
        <v/>
      </c>
      <c r="AJ9" s="3462"/>
      <c r="AK9" s="3439" t="str">
        <f>IF(J9=J319,"stop","")</f>
        <v/>
      </c>
      <c r="AL9" s="3437" t="str">
        <f t="shared" ref="AL9:AW18" si="5">IF(AND($J9&gt;AL$4,$J9&lt;=AL$5,$P9=AL$6),$M9,"")</f>
        <v/>
      </c>
      <c r="AM9" s="1771" t="str">
        <f t="shared" si="5"/>
        <v/>
      </c>
      <c r="AN9" s="1771" t="str">
        <f t="shared" si="5"/>
        <v/>
      </c>
      <c r="AO9" s="1771" t="str">
        <f t="shared" si="5"/>
        <v/>
      </c>
      <c r="AP9" s="3443" t="str">
        <f t="shared" si="5"/>
        <v/>
      </c>
      <c r="AQ9" s="1771" t="str">
        <f t="shared" ref="AQ9:AS28" si="6">IF(AND($J9&gt;AQ$4,$J9&lt;=AQ$5,$P9=AQ$6),$M9,"")</f>
        <v/>
      </c>
      <c r="AR9" s="1771">
        <f t="shared" si="6"/>
        <v>0.1</v>
      </c>
      <c r="AS9" s="3442" t="str">
        <f t="shared" si="6"/>
        <v/>
      </c>
      <c r="AT9" s="1771" t="str">
        <f t="shared" si="5"/>
        <v/>
      </c>
      <c r="AU9" s="1771" t="str">
        <f t="shared" si="5"/>
        <v/>
      </c>
      <c r="AV9" s="1771" t="str">
        <f t="shared" si="5"/>
        <v/>
      </c>
      <c r="AW9" s="3442" t="str">
        <f t="shared" si="5"/>
        <v/>
      </c>
      <c r="AX9" s="1771" t="str">
        <f t="shared" ref="AX9:BC18" si="7">IF(AND($J9&gt;AX$4,$J9&lt;=AX$5,$P9=AX$6),$M9,"")</f>
        <v/>
      </c>
      <c r="AY9" s="1771" t="str">
        <f t="shared" si="7"/>
        <v/>
      </c>
      <c r="AZ9" s="1771" t="str">
        <f t="shared" si="7"/>
        <v/>
      </c>
      <c r="BA9" s="1771" t="str">
        <f t="shared" si="7"/>
        <v/>
      </c>
      <c r="BB9" s="3437" t="str">
        <f t="shared" si="7"/>
        <v/>
      </c>
      <c r="BC9" s="3443" t="str">
        <f t="shared" si="7"/>
        <v/>
      </c>
      <c r="BD9" s="3462"/>
      <c r="BE9" s="3440" t="str">
        <f>IF(J9=J319,"stop","")</f>
        <v/>
      </c>
      <c r="BF9" s="1771" t="str">
        <f t="shared" ref="BF9:BQ18" si="8">IF(AND($J9&gt;BF$4,$J9&lt;=BF$5,$P9=BF$6),$N9,"")</f>
        <v/>
      </c>
      <c r="BG9" s="1771" t="str">
        <f t="shared" si="8"/>
        <v/>
      </c>
      <c r="BH9" s="1771" t="str">
        <f t="shared" si="8"/>
        <v/>
      </c>
      <c r="BI9" s="1771" t="str">
        <f t="shared" si="8"/>
        <v/>
      </c>
      <c r="BJ9" s="3443" t="str">
        <f t="shared" si="8"/>
        <v/>
      </c>
      <c r="BK9" s="3437" t="str">
        <f t="shared" ref="BK9:BM28" si="9">IF(AND($J9&gt;BK$4,$J9&lt;=BK$5,$P9=BK$6),$N9,"")</f>
        <v/>
      </c>
      <c r="BL9" s="1771">
        <f t="shared" si="9"/>
        <v>0.1</v>
      </c>
      <c r="BM9" s="3442" t="str">
        <f t="shared" si="9"/>
        <v/>
      </c>
      <c r="BN9" s="1771" t="str">
        <f t="shared" si="8"/>
        <v/>
      </c>
      <c r="BO9" s="1771" t="str">
        <f t="shared" si="8"/>
        <v/>
      </c>
      <c r="BP9" s="1771" t="str">
        <f t="shared" si="8"/>
        <v/>
      </c>
      <c r="BQ9" s="1771" t="str">
        <f t="shared" si="8"/>
        <v/>
      </c>
      <c r="BR9" s="3437" t="str">
        <f t="shared" ref="BR9:BW18" si="10">IF(AND($J9&gt;BR$4,$J9&lt;=BR$5,$P9=BR$6),$N9,"")</f>
        <v/>
      </c>
      <c r="BS9" s="1771" t="str">
        <f t="shared" si="10"/>
        <v/>
      </c>
      <c r="BT9" s="1771" t="str">
        <f t="shared" si="10"/>
        <v/>
      </c>
      <c r="BU9" s="3442" t="str">
        <f t="shared" si="10"/>
        <v/>
      </c>
      <c r="BV9" s="1771" t="str">
        <f t="shared" si="10"/>
        <v/>
      </c>
      <c r="BW9" s="3442" t="str">
        <f t="shared" si="10"/>
        <v/>
      </c>
      <c r="BX9" s="3462"/>
      <c r="BY9" s="3439" t="str">
        <f>IF(L9=L319,"stop","")</f>
        <v>stop</v>
      </c>
      <c r="BZ9" s="3437" t="str">
        <f t="shared" ref="BZ9:CK18" si="11">IF(AND($J9&gt;BZ$4,$J9&lt;=BZ$5,$P9=BZ$6),$O9,"")</f>
        <v/>
      </c>
      <c r="CA9" s="1771" t="str">
        <f t="shared" si="11"/>
        <v/>
      </c>
      <c r="CB9" s="1771" t="str">
        <f t="shared" si="11"/>
        <v/>
      </c>
      <c r="CC9" s="3442" t="str">
        <f t="shared" si="11"/>
        <v/>
      </c>
      <c r="CD9" s="1771" t="str">
        <f t="shared" si="11"/>
        <v/>
      </c>
      <c r="CE9" s="3437" t="str">
        <f t="shared" ref="CE9:CG28" si="12">IF(AND($J9&gt;CE$4,$J9&lt;=CE$5,$P9=CE$6),$O9,"")</f>
        <v/>
      </c>
      <c r="CF9" s="1771">
        <f t="shared" si="12"/>
        <v>0.1</v>
      </c>
      <c r="CG9" s="1771" t="str">
        <f t="shared" si="12"/>
        <v/>
      </c>
      <c r="CH9" s="3437" t="str">
        <f t="shared" si="11"/>
        <v/>
      </c>
      <c r="CI9" s="1771" t="str">
        <f t="shared" si="11"/>
        <v/>
      </c>
      <c r="CJ9" s="1771" t="str">
        <f t="shared" si="11"/>
        <v/>
      </c>
      <c r="CK9" s="3442" t="str">
        <f t="shared" si="11"/>
        <v/>
      </c>
      <c r="CL9" s="3437" t="str">
        <f t="shared" ref="CL9:CQ18" si="13">IF(AND($J9&gt;CL$4,$J9&lt;=CL$5,$P9=CL$6),$O9,"")</f>
        <v/>
      </c>
      <c r="CM9" s="1771" t="str">
        <f t="shared" si="13"/>
        <v/>
      </c>
      <c r="CN9" s="1771" t="str">
        <f t="shared" si="13"/>
        <v/>
      </c>
      <c r="CO9" s="3442" t="str">
        <f t="shared" si="13"/>
        <v/>
      </c>
      <c r="CP9" s="1771" t="str">
        <f t="shared" si="13"/>
        <v/>
      </c>
      <c r="CQ9" s="3442" t="str">
        <f t="shared" si="13"/>
        <v/>
      </c>
      <c r="CR9" s="3462"/>
    </row>
    <row r="10" spans="1:96" s="3" customFormat="1">
      <c r="A10" s="1838" t="s">
        <v>696</v>
      </c>
      <c r="B10" s="1775">
        <v>9</v>
      </c>
      <c r="C10" s="1775">
        <v>9</v>
      </c>
      <c r="D10" s="1775">
        <v>0.19</v>
      </c>
      <c r="E10" s="1796" t="s">
        <v>35</v>
      </c>
      <c r="F10" s="1775">
        <v>0.49</v>
      </c>
      <c r="G10" s="1775" t="s">
        <v>695</v>
      </c>
      <c r="H10" s="1775">
        <v>1996</v>
      </c>
      <c r="I10" s="1807"/>
      <c r="J10" s="1775">
        <f t="shared" si="0"/>
        <v>9</v>
      </c>
      <c r="K10" s="1775">
        <v>0.19</v>
      </c>
      <c r="L10" s="1775" t="s">
        <v>35</v>
      </c>
      <c r="M10" s="1775">
        <v>0.49</v>
      </c>
      <c r="N10" s="1788">
        <f t="shared" ref="N10:N73" si="14">(K10*M10)^0.5</f>
        <v>0.30512292604784713</v>
      </c>
      <c r="O10" s="1829">
        <f t="shared" ref="O10:O73" si="15">(K10+M10)*0.5</f>
        <v>0.33999999999999997</v>
      </c>
      <c r="P10" s="1776" t="s">
        <v>1087</v>
      </c>
      <c r="Q10" s="3" t="str">
        <f>IF(J10=J319,"stop","")</f>
        <v/>
      </c>
      <c r="R10" s="3437" t="str">
        <f t="shared" si="1"/>
        <v/>
      </c>
      <c r="S10" s="1771" t="str">
        <f t="shared" si="2"/>
        <v/>
      </c>
      <c r="T10" s="1771" t="str">
        <f t="shared" si="2"/>
        <v/>
      </c>
      <c r="U10" s="1771" t="str">
        <f t="shared" si="2"/>
        <v/>
      </c>
      <c r="V10" s="3443" t="str">
        <f t="shared" si="2"/>
        <v/>
      </c>
      <c r="W10" s="1771" t="str">
        <f t="shared" si="3"/>
        <v/>
      </c>
      <c r="X10" s="1771" t="str">
        <f t="shared" si="3"/>
        <v/>
      </c>
      <c r="Y10" s="1771">
        <f t="shared" si="3"/>
        <v>0.19</v>
      </c>
      <c r="Z10" s="3437" t="str">
        <f t="shared" si="2"/>
        <v/>
      </c>
      <c r="AA10" s="1771" t="str">
        <f t="shared" si="2"/>
        <v/>
      </c>
      <c r="AB10" s="1771" t="str">
        <f t="shared" si="2"/>
        <v/>
      </c>
      <c r="AC10" s="3442" t="str">
        <f t="shared" si="2"/>
        <v/>
      </c>
      <c r="AD10" s="1771" t="str">
        <f t="shared" si="2"/>
        <v/>
      </c>
      <c r="AE10" s="1771" t="str">
        <f t="shared" si="2"/>
        <v/>
      </c>
      <c r="AF10" s="1771" t="str">
        <f t="shared" si="2"/>
        <v/>
      </c>
      <c r="AG10" s="3442" t="str">
        <f t="shared" si="2"/>
        <v/>
      </c>
      <c r="AH10" s="1771" t="str">
        <f t="shared" si="2"/>
        <v/>
      </c>
      <c r="AI10" s="3442" t="str">
        <f t="shared" si="4"/>
        <v/>
      </c>
      <c r="AJ10" s="3462"/>
      <c r="AK10" s="3439" t="str">
        <f>IF(J10=J319,"stop","")</f>
        <v/>
      </c>
      <c r="AL10" s="3437" t="str">
        <f t="shared" si="5"/>
        <v/>
      </c>
      <c r="AM10" s="1771" t="str">
        <f t="shared" si="5"/>
        <v/>
      </c>
      <c r="AN10" s="1771" t="str">
        <f t="shared" si="5"/>
        <v/>
      </c>
      <c r="AO10" s="1771" t="str">
        <f t="shared" si="5"/>
        <v/>
      </c>
      <c r="AP10" s="3443" t="str">
        <f t="shared" si="5"/>
        <v/>
      </c>
      <c r="AQ10" s="1771" t="str">
        <f t="shared" si="6"/>
        <v/>
      </c>
      <c r="AR10" s="1771" t="str">
        <f t="shared" si="6"/>
        <v/>
      </c>
      <c r="AS10" s="3442">
        <f t="shared" si="6"/>
        <v>0.49</v>
      </c>
      <c r="AT10" s="1771" t="str">
        <f t="shared" si="5"/>
        <v/>
      </c>
      <c r="AU10" s="1771" t="str">
        <f t="shared" si="5"/>
        <v/>
      </c>
      <c r="AV10" s="1771" t="str">
        <f t="shared" si="5"/>
        <v/>
      </c>
      <c r="AW10" s="3442" t="str">
        <f t="shared" si="5"/>
        <v/>
      </c>
      <c r="AX10" s="1771" t="str">
        <f t="shared" si="7"/>
        <v/>
      </c>
      <c r="AY10" s="1771" t="str">
        <f t="shared" si="7"/>
        <v/>
      </c>
      <c r="AZ10" s="1771" t="str">
        <f t="shared" si="7"/>
        <v/>
      </c>
      <c r="BA10" s="1771" t="str">
        <f t="shared" si="7"/>
        <v/>
      </c>
      <c r="BB10" s="3437" t="str">
        <f t="shared" si="7"/>
        <v/>
      </c>
      <c r="BC10" s="3443" t="str">
        <f t="shared" si="7"/>
        <v/>
      </c>
      <c r="BD10" s="3462"/>
      <c r="BE10" s="3440" t="str">
        <f>IF(J10=J319,"stop","")</f>
        <v/>
      </c>
      <c r="BF10" s="1771" t="str">
        <f t="shared" si="8"/>
        <v/>
      </c>
      <c r="BG10" s="1771" t="str">
        <f t="shared" si="8"/>
        <v/>
      </c>
      <c r="BH10" s="1771" t="str">
        <f t="shared" si="8"/>
        <v/>
      </c>
      <c r="BI10" s="1771" t="str">
        <f t="shared" si="8"/>
        <v/>
      </c>
      <c r="BJ10" s="3443" t="str">
        <f t="shared" si="8"/>
        <v/>
      </c>
      <c r="BK10" s="3437" t="str">
        <f t="shared" si="9"/>
        <v/>
      </c>
      <c r="BL10" s="1771" t="str">
        <f t="shared" si="9"/>
        <v/>
      </c>
      <c r="BM10" s="3442">
        <f t="shared" si="9"/>
        <v>0.30512292604784713</v>
      </c>
      <c r="BN10" s="1771" t="str">
        <f t="shared" si="8"/>
        <v/>
      </c>
      <c r="BO10" s="1771" t="str">
        <f t="shared" si="8"/>
        <v/>
      </c>
      <c r="BP10" s="1771" t="str">
        <f t="shared" si="8"/>
        <v/>
      </c>
      <c r="BQ10" s="1771" t="str">
        <f t="shared" si="8"/>
        <v/>
      </c>
      <c r="BR10" s="3437" t="str">
        <f t="shared" si="10"/>
        <v/>
      </c>
      <c r="BS10" s="1771" t="str">
        <f t="shared" si="10"/>
        <v/>
      </c>
      <c r="BT10" s="1771" t="str">
        <f t="shared" si="10"/>
        <v/>
      </c>
      <c r="BU10" s="3442" t="str">
        <f t="shared" si="10"/>
        <v/>
      </c>
      <c r="BV10" s="1771" t="str">
        <f t="shared" si="10"/>
        <v/>
      </c>
      <c r="BW10" s="3442" t="str">
        <f t="shared" si="10"/>
        <v/>
      </c>
      <c r="BX10" s="3462"/>
      <c r="BY10" s="3439" t="str">
        <f>IF(L10=L319,"stop","")</f>
        <v/>
      </c>
      <c r="BZ10" s="3437" t="str">
        <f t="shared" si="11"/>
        <v/>
      </c>
      <c r="CA10" s="1771" t="str">
        <f t="shared" si="11"/>
        <v/>
      </c>
      <c r="CB10" s="1771" t="str">
        <f t="shared" si="11"/>
        <v/>
      </c>
      <c r="CC10" s="3442" t="str">
        <f t="shared" si="11"/>
        <v/>
      </c>
      <c r="CD10" s="1771" t="str">
        <f t="shared" si="11"/>
        <v/>
      </c>
      <c r="CE10" s="3437" t="str">
        <f t="shared" si="12"/>
        <v/>
      </c>
      <c r="CF10" s="1771" t="str">
        <f t="shared" si="12"/>
        <v/>
      </c>
      <c r="CG10" s="1771">
        <f t="shared" si="12"/>
        <v>0.33999999999999997</v>
      </c>
      <c r="CH10" s="3437" t="str">
        <f t="shared" si="11"/>
        <v/>
      </c>
      <c r="CI10" s="1771" t="str">
        <f t="shared" si="11"/>
        <v/>
      </c>
      <c r="CJ10" s="1771" t="str">
        <f t="shared" si="11"/>
        <v/>
      </c>
      <c r="CK10" s="3442" t="str">
        <f t="shared" si="11"/>
        <v/>
      </c>
      <c r="CL10" s="3437" t="str">
        <f t="shared" si="13"/>
        <v/>
      </c>
      <c r="CM10" s="1771" t="str">
        <f t="shared" si="13"/>
        <v/>
      </c>
      <c r="CN10" s="1771" t="str">
        <f t="shared" si="13"/>
        <v/>
      </c>
      <c r="CO10" s="3442" t="str">
        <f t="shared" si="13"/>
        <v/>
      </c>
      <c r="CP10" s="1771" t="str">
        <f t="shared" si="13"/>
        <v/>
      </c>
      <c r="CQ10" s="3442" t="str">
        <f t="shared" si="13"/>
        <v/>
      </c>
      <c r="CR10" s="3462"/>
    </row>
    <row r="11" spans="1:96" s="3" customFormat="1">
      <c r="A11" s="1838" t="s">
        <v>697</v>
      </c>
      <c r="B11" s="1775">
        <v>10</v>
      </c>
      <c r="C11" s="1775">
        <v>10</v>
      </c>
      <c r="D11" s="1775">
        <v>0.28000000000000003</v>
      </c>
      <c r="E11" s="1796" t="s">
        <v>35</v>
      </c>
      <c r="F11" s="1775">
        <v>1.2</v>
      </c>
      <c r="G11" s="1775" t="s">
        <v>695</v>
      </c>
      <c r="H11" s="1775">
        <v>1996</v>
      </c>
      <c r="I11" s="1807"/>
      <c r="J11" s="1775">
        <f t="shared" si="0"/>
        <v>10</v>
      </c>
      <c r="K11" s="1775">
        <v>0.28000000000000003</v>
      </c>
      <c r="L11" s="1775" t="s">
        <v>35</v>
      </c>
      <c r="M11" s="1775">
        <v>1.2</v>
      </c>
      <c r="N11" s="1788">
        <f t="shared" si="14"/>
        <v>0.57965506984757753</v>
      </c>
      <c r="O11" s="1829">
        <f t="shared" si="15"/>
        <v>0.74</v>
      </c>
      <c r="P11" s="1776" t="s">
        <v>1087</v>
      </c>
      <c r="Q11" s="3" t="str">
        <f>IF(J11=J319,"stop","")</f>
        <v/>
      </c>
      <c r="R11" s="3437" t="str">
        <f t="shared" si="1"/>
        <v/>
      </c>
      <c r="S11" s="1771" t="str">
        <f t="shared" si="2"/>
        <v/>
      </c>
      <c r="T11" s="1771" t="str">
        <f t="shared" si="2"/>
        <v/>
      </c>
      <c r="U11" s="1771" t="str">
        <f t="shared" si="2"/>
        <v/>
      </c>
      <c r="V11" s="3443" t="str">
        <f t="shared" si="2"/>
        <v/>
      </c>
      <c r="W11" s="1771" t="str">
        <f t="shared" si="3"/>
        <v/>
      </c>
      <c r="X11" s="1771" t="str">
        <f t="shared" si="3"/>
        <v/>
      </c>
      <c r="Y11" s="1771">
        <f t="shared" si="3"/>
        <v>0.28000000000000003</v>
      </c>
      <c r="Z11" s="3437" t="str">
        <f t="shared" si="2"/>
        <v/>
      </c>
      <c r="AA11" s="1771" t="str">
        <f t="shared" si="2"/>
        <v/>
      </c>
      <c r="AB11" s="1771" t="str">
        <f t="shared" si="2"/>
        <v/>
      </c>
      <c r="AC11" s="3442" t="str">
        <f t="shared" si="2"/>
        <v/>
      </c>
      <c r="AD11" s="1771" t="str">
        <f t="shared" si="2"/>
        <v/>
      </c>
      <c r="AE11" s="1771" t="str">
        <f t="shared" si="2"/>
        <v/>
      </c>
      <c r="AF11" s="1771" t="str">
        <f t="shared" si="2"/>
        <v/>
      </c>
      <c r="AG11" s="3442" t="str">
        <f t="shared" si="2"/>
        <v/>
      </c>
      <c r="AH11" s="1771" t="str">
        <f t="shared" si="2"/>
        <v/>
      </c>
      <c r="AI11" s="3442" t="str">
        <f t="shared" si="4"/>
        <v/>
      </c>
      <c r="AJ11" s="3462"/>
      <c r="AK11" s="3439" t="str">
        <f>IF(J11=J319,"stop","")</f>
        <v/>
      </c>
      <c r="AL11" s="3437" t="str">
        <f t="shared" si="5"/>
        <v/>
      </c>
      <c r="AM11" s="1771" t="str">
        <f t="shared" si="5"/>
        <v/>
      </c>
      <c r="AN11" s="1771" t="str">
        <f t="shared" si="5"/>
        <v/>
      </c>
      <c r="AO11" s="1771" t="str">
        <f t="shared" si="5"/>
        <v/>
      </c>
      <c r="AP11" s="3443" t="str">
        <f t="shared" si="5"/>
        <v/>
      </c>
      <c r="AQ11" s="1771" t="str">
        <f t="shared" si="6"/>
        <v/>
      </c>
      <c r="AR11" s="1771" t="str">
        <f t="shared" si="6"/>
        <v/>
      </c>
      <c r="AS11" s="3442">
        <f t="shared" si="6"/>
        <v>1.2</v>
      </c>
      <c r="AT11" s="1771" t="str">
        <f t="shared" si="5"/>
        <v/>
      </c>
      <c r="AU11" s="1771" t="str">
        <f t="shared" si="5"/>
        <v/>
      </c>
      <c r="AV11" s="1771" t="str">
        <f t="shared" si="5"/>
        <v/>
      </c>
      <c r="AW11" s="3442" t="str">
        <f t="shared" si="5"/>
        <v/>
      </c>
      <c r="AX11" s="1771" t="str">
        <f t="shared" si="7"/>
        <v/>
      </c>
      <c r="AY11" s="1771" t="str">
        <f t="shared" si="7"/>
        <v/>
      </c>
      <c r="AZ11" s="1771" t="str">
        <f t="shared" si="7"/>
        <v/>
      </c>
      <c r="BA11" s="1771" t="str">
        <f t="shared" si="7"/>
        <v/>
      </c>
      <c r="BB11" s="3437" t="str">
        <f t="shared" si="7"/>
        <v/>
      </c>
      <c r="BC11" s="3443" t="str">
        <f t="shared" si="7"/>
        <v/>
      </c>
      <c r="BD11" s="3462"/>
      <c r="BE11" s="3440" t="str">
        <f>IF(J11=J319,"stop","")</f>
        <v/>
      </c>
      <c r="BF11" s="1771" t="str">
        <f t="shared" si="8"/>
        <v/>
      </c>
      <c r="BG11" s="1771" t="str">
        <f t="shared" si="8"/>
        <v/>
      </c>
      <c r="BH11" s="1771" t="str">
        <f t="shared" si="8"/>
        <v/>
      </c>
      <c r="BI11" s="1771" t="str">
        <f t="shared" si="8"/>
        <v/>
      </c>
      <c r="BJ11" s="3443" t="str">
        <f t="shared" si="8"/>
        <v/>
      </c>
      <c r="BK11" s="3437" t="str">
        <f t="shared" si="9"/>
        <v/>
      </c>
      <c r="BL11" s="1771" t="str">
        <f t="shared" si="9"/>
        <v/>
      </c>
      <c r="BM11" s="3442">
        <f t="shared" si="9"/>
        <v>0.57965506984757753</v>
      </c>
      <c r="BN11" s="1771" t="str">
        <f t="shared" si="8"/>
        <v/>
      </c>
      <c r="BO11" s="1771" t="str">
        <f t="shared" si="8"/>
        <v/>
      </c>
      <c r="BP11" s="1771" t="str">
        <f t="shared" si="8"/>
        <v/>
      </c>
      <c r="BQ11" s="1771" t="str">
        <f t="shared" si="8"/>
        <v/>
      </c>
      <c r="BR11" s="3437" t="str">
        <f t="shared" si="10"/>
        <v/>
      </c>
      <c r="BS11" s="1771" t="str">
        <f t="shared" si="10"/>
        <v/>
      </c>
      <c r="BT11" s="1771" t="str">
        <f t="shared" si="10"/>
        <v/>
      </c>
      <c r="BU11" s="3442" t="str">
        <f t="shared" si="10"/>
        <v/>
      </c>
      <c r="BV11" s="1771" t="str">
        <f t="shared" si="10"/>
        <v/>
      </c>
      <c r="BW11" s="3442" t="str">
        <f t="shared" si="10"/>
        <v/>
      </c>
      <c r="BX11" s="3462"/>
      <c r="BY11" s="3439" t="str">
        <f>IF(L11=L319,"stop","")</f>
        <v/>
      </c>
      <c r="BZ11" s="3437" t="str">
        <f t="shared" si="11"/>
        <v/>
      </c>
      <c r="CA11" s="1771" t="str">
        <f t="shared" si="11"/>
        <v/>
      </c>
      <c r="CB11" s="1771" t="str">
        <f t="shared" si="11"/>
        <v/>
      </c>
      <c r="CC11" s="3442" t="str">
        <f t="shared" si="11"/>
        <v/>
      </c>
      <c r="CD11" s="1771" t="str">
        <f t="shared" si="11"/>
        <v/>
      </c>
      <c r="CE11" s="3437" t="str">
        <f t="shared" si="12"/>
        <v/>
      </c>
      <c r="CF11" s="1771" t="str">
        <f t="shared" si="12"/>
        <v/>
      </c>
      <c r="CG11" s="1771">
        <f t="shared" si="12"/>
        <v>0.74</v>
      </c>
      <c r="CH11" s="3437" t="str">
        <f t="shared" si="11"/>
        <v/>
      </c>
      <c r="CI11" s="1771" t="str">
        <f t="shared" si="11"/>
        <v/>
      </c>
      <c r="CJ11" s="1771" t="str">
        <f t="shared" si="11"/>
        <v/>
      </c>
      <c r="CK11" s="3442" t="str">
        <f t="shared" si="11"/>
        <v/>
      </c>
      <c r="CL11" s="3437" t="str">
        <f t="shared" si="13"/>
        <v/>
      </c>
      <c r="CM11" s="1771" t="str">
        <f t="shared" si="13"/>
        <v/>
      </c>
      <c r="CN11" s="1771" t="str">
        <f t="shared" si="13"/>
        <v/>
      </c>
      <c r="CO11" s="3442" t="str">
        <f t="shared" si="13"/>
        <v/>
      </c>
      <c r="CP11" s="1771" t="str">
        <f t="shared" si="13"/>
        <v/>
      </c>
      <c r="CQ11" s="3442" t="str">
        <f t="shared" si="13"/>
        <v/>
      </c>
      <c r="CR11" s="3462"/>
    </row>
    <row r="12" spans="1:96" s="3" customFormat="1">
      <c r="A12" s="1838" t="s">
        <v>698</v>
      </c>
      <c r="B12" s="1775">
        <v>11</v>
      </c>
      <c r="C12" s="1775">
        <v>11</v>
      </c>
      <c r="D12" s="1775">
        <v>0.56999999999999995</v>
      </c>
      <c r="E12" s="1796" t="s">
        <v>35</v>
      </c>
      <c r="F12" s="1775">
        <v>2.2999999999999998</v>
      </c>
      <c r="G12" s="1775" t="s">
        <v>695</v>
      </c>
      <c r="H12" s="1775">
        <v>1996</v>
      </c>
      <c r="I12" s="1807"/>
      <c r="J12" s="1775">
        <f t="shared" si="0"/>
        <v>11</v>
      </c>
      <c r="K12" s="1775">
        <v>0.56999999999999995</v>
      </c>
      <c r="L12" s="1775" t="s">
        <v>35</v>
      </c>
      <c r="M12" s="1775">
        <v>2.2999999999999998</v>
      </c>
      <c r="N12" s="1788">
        <f t="shared" si="14"/>
        <v>1.1449890829173874</v>
      </c>
      <c r="O12" s="1829">
        <f t="shared" si="15"/>
        <v>1.4349999999999998</v>
      </c>
      <c r="P12" s="1776" t="s">
        <v>1087</v>
      </c>
      <c r="Q12" s="3" t="str">
        <f>IF(J12=J319,"stop","")</f>
        <v/>
      </c>
      <c r="R12" s="3437" t="str">
        <f t="shared" si="1"/>
        <v/>
      </c>
      <c r="S12" s="1771" t="str">
        <f t="shared" si="2"/>
        <v/>
      </c>
      <c r="T12" s="1771" t="str">
        <f t="shared" si="2"/>
        <v/>
      </c>
      <c r="U12" s="1771" t="str">
        <f t="shared" si="2"/>
        <v/>
      </c>
      <c r="V12" s="3443" t="str">
        <f t="shared" si="2"/>
        <v/>
      </c>
      <c r="W12" s="1771" t="str">
        <f t="shared" si="3"/>
        <v/>
      </c>
      <c r="X12" s="1771" t="str">
        <f t="shared" si="3"/>
        <v/>
      </c>
      <c r="Y12" s="1771" t="str">
        <f t="shared" si="3"/>
        <v/>
      </c>
      <c r="Z12" s="3437" t="str">
        <f t="shared" si="2"/>
        <v/>
      </c>
      <c r="AA12" s="1771" t="str">
        <f t="shared" si="2"/>
        <v/>
      </c>
      <c r="AB12" s="1771" t="str">
        <f t="shared" si="2"/>
        <v/>
      </c>
      <c r="AC12" s="3442" t="str">
        <f t="shared" si="2"/>
        <v/>
      </c>
      <c r="AD12" s="1771">
        <f t="shared" si="2"/>
        <v>0.56999999999999995</v>
      </c>
      <c r="AE12" s="1771" t="str">
        <f t="shared" si="2"/>
        <v/>
      </c>
      <c r="AF12" s="1771" t="str">
        <f t="shared" si="2"/>
        <v/>
      </c>
      <c r="AG12" s="3442" t="str">
        <f t="shared" si="2"/>
        <v/>
      </c>
      <c r="AH12" s="1771" t="str">
        <f t="shared" si="2"/>
        <v/>
      </c>
      <c r="AI12" s="3442" t="str">
        <f t="shared" si="4"/>
        <v/>
      </c>
      <c r="AJ12" s="3462"/>
      <c r="AK12" s="3439" t="str">
        <f>IF(J12=J319,"stop","")</f>
        <v/>
      </c>
      <c r="AL12" s="3437" t="str">
        <f t="shared" si="5"/>
        <v/>
      </c>
      <c r="AM12" s="1771" t="str">
        <f t="shared" si="5"/>
        <v/>
      </c>
      <c r="AN12" s="1771" t="str">
        <f t="shared" si="5"/>
        <v/>
      </c>
      <c r="AO12" s="1771" t="str">
        <f t="shared" si="5"/>
        <v/>
      </c>
      <c r="AP12" s="3443" t="str">
        <f t="shared" si="5"/>
        <v/>
      </c>
      <c r="AQ12" s="1771" t="str">
        <f t="shared" si="6"/>
        <v/>
      </c>
      <c r="AR12" s="1771" t="str">
        <f t="shared" si="6"/>
        <v/>
      </c>
      <c r="AS12" s="3442" t="str">
        <f t="shared" si="6"/>
        <v/>
      </c>
      <c r="AT12" s="1771" t="str">
        <f t="shared" si="5"/>
        <v/>
      </c>
      <c r="AU12" s="1771" t="str">
        <f t="shared" si="5"/>
        <v/>
      </c>
      <c r="AV12" s="1771" t="str">
        <f t="shared" si="5"/>
        <v/>
      </c>
      <c r="AW12" s="3442" t="str">
        <f t="shared" si="5"/>
        <v/>
      </c>
      <c r="AX12" s="1771">
        <f t="shared" si="7"/>
        <v>2.2999999999999998</v>
      </c>
      <c r="AY12" s="1771" t="str">
        <f t="shared" si="7"/>
        <v/>
      </c>
      <c r="AZ12" s="1771" t="str">
        <f t="shared" si="7"/>
        <v/>
      </c>
      <c r="BA12" s="1771" t="str">
        <f t="shared" si="7"/>
        <v/>
      </c>
      <c r="BB12" s="3437" t="str">
        <f t="shared" si="7"/>
        <v/>
      </c>
      <c r="BC12" s="3443" t="str">
        <f t="shared" si="7"/>
        <v/>
      </c>
      <c r="BD12" s="3462"/>
      <c r="BE12" s="3440" t="str">
        <f>IF(J12=J319,"stop","")</f>
        <v/>
      </c>
      <c r="BF12" s="1771" t="str">
        <f t="shared" si="8"/>
        <v/>
      </c>
      <c r="BG12" s="1771" t="str">
        <f t="shared" si="8"/>
        <v/>
      </c>
      <c r="BH12" s="1771" t="str">
        <f t="shared" si="8"/>
        <v/>
      </c>
      <c r="BI12" s="1771" t="str">
        <f t="shared" si="8"/>
        <v/>
      </c>
      <c r="BJ12" s="3443" t="str">
        <f t="shared" si="8"/>
        <v/>
      </c>
      <c r="BK12" s="3437" t="str">
        <f t="shared" si="9"/>
        <v/>
      </c>
      <c r="BL12" s="1771" t="str">
        <f t="shared" si="9"/>
        <v/>
      </c>
      <c r="BM12" s="3442" t="str">
        <f t="shared" si="9"/>
        <v/>
      </c>
      <c r="BN12" s="1771" t="str">
        <f t="shared" si="8"/>
        <v/>
      </c>
      <c r="BO12" s="1771" t="str">
        <f t="shared" si="8"/>
        <v/>
      </c>
      <c r="BP12" s="1771" t="str">
        <f t="shared" si="8"/>
        <v/>
      </c>
      <c r="BQ12" s="1771" t="str">
        <f t="shared" si="8"/>
        <v/>
      </c>
      <c r="BR12" s="3437">
        <f t="shared" si="10"/>
        <v>1.1449890829173874</v>
      </c>
      <c r="BS12" s="1771" t="str">
        <f t="shared" si="10"/>
        <v/>
      </c>
      <c r="BT12" s="1771" t="str">
        <f t="shared" si="10"/>
        <v/>
      </c>
      <c r="BU12" s="3442" t="str">
        <f t="shared" si="10"/>
        <v/>
      </c>
      <c r="BV12" s="1771" t="str">
        <f t="shared" si="10"/>
        <v/>
      </c>
      <c r="BW12" s="3442" t="str">
        <f t="shared" si="10"/>
        <v/>
      </c>
      <c r="BX12" s="3462"/>
      <c r="BY12" s="3439" t="str">
        <f>IF(L12=L319,"stop","")</f>
        <v/>
      </c>
      <c r="BZ12" s="3437" t="str">
        <f t="shared" si="11"/>
        <v/>
      </c>
      <c r="CA12" s="1771" t="str">
        <f t="shared" si="11"/>
        <v/>
      </c>
      <c r="CB12" s="1771" t="str">
        <f t="shared" si="11"/>
        <v/>
      </c>
      <c r="CC12" s="3442" t="str">
        <f t="shared" si="11"/>
        <v/>
      </c>
      <c r="CD12" s="1771" t="str">
        <f t="shared" si="11"/>
        <v/>
      </c>
      <c r="CE12" s="3437" t="str">
        <f t="shared" si="12"/>
        <v/>
      </c>
      <c r="CF12" s="1771" t="str">
        <f t="shared" si="12"/>
        <v/>
      </c>
      <c r="CG12" s="1771" t="str">
        <f t="shared" si="12"/>
        <v/>
      </c>
      <c r="CH12" s="3437" t="str">
        <f t="shared" si="11"/>
        <v/>
      </c>
      <c r="CI12" s="1771" t="str">
        <f t="shared" si="11"/>
        <v/>
      </c>
      <c r="CJ12" s="1771" t="str">
        <f t="shared" si="11"/>
        <v/>
      </c>
      <c r="CK12" s="3442" t="str">
        <f t="shared" si="11"/>
        <v/>
      </c>
      <c r="CL12" s="3437">
        <f t="shared" si="13"/>
        <v>1.4349999999999998</v>
      </c>
      <c r="CM12" s="1771" t="str">
        <f t="shared" si="13"/>
        <v/>
      </c>
      <c r="CN12" s="1771" t="str">
        <f t="shared" si="13"/>
        <v/>
      </c>
      <c r="CO12" s="3442" t="str">
        <f t="shared" si="13"/>
        <v/>
      </c>
      <c r="CP12" s="1771" t="str">
        <f t="shared" si="13"/>
        <v/>
      </c>
      <c r="CQ12" s="3442" t="str">
        <f t="shared" si="13"/>
        <v/>
      </c>
      <c r="CR12" s="3462"/>
    </row>
    <row r="13" spans="1:96" s="3" customFormat="1">
      <c r="A13" s="1838" t="s">
        <v>699</v>
      </c>
      <c r="B13" s="1775">
        <v>12</v>
      </c>
      <c r="C13" s="1775">
        <v>12</v>
      </c>
      <c r="D13" s="1775">
        <v>1</v>
      </c>
      <c r="E13" s="1796" t="s">
        <v>35</v>
      </c>
      <c r="F13" s="1775">
        <v>2.5</v>
      </c>
      <c r="G13" s="1775" t="s">
        <v>695</v>
      </c>
      <c r="H13" s="1775">
        <v>1996</v>
      </c>
      <c r="I13" s="1807"/>
      <c r="J13" s="1775">
        <f t="shared" si="0"/>
        <v>12</v>
      </c>
      <c r="K13" s="1775">
        <v>1</v>
      </c>
      <c r="L13" s="1775" t="s">
        <v>35</v>
      </c>
      <c r="M13" s="1775">
        <v>2.5</v>
      </c>
      <c r="N13" s="1788">
        <f t="shared" si="14"/>
        <v>1.5811388300841898</v>
      </c>
      <c r="O13" s="1829">
        <f t="shared" si="15"/>
        <v>1.75</v>
      </c>
      <c r="P13" s="1776" t="s">
        <v>1087</v>
      </c>
      <c r="Q13" s="3" t="str">
        <f>IF(J13=J319,"stop","")</f>
        <v/>
      </c>
      <c r="R13" s="3437" t="str">
        <f t="shared" si="1"/>
        <v/>
      </c>
      <c r="S13" s="1771" t="str">
        <f t="shared" si="2"/>
        <v/>
      </c>
      <c r="T13" s="1771" t="str">
        <f t="shared" si="2"/>
        <v/>
      </c>
      <c r="U13" s="1771" t="str">
        <f t="shared" si="2"/>
        <v/>
      </c>
      <c r="V13" s="3443" t="str">
        <f t="shared" si="2"/>
        <v/>
      </c>
      <c r="W13" s="1771" t="str">
        <f t="shared" si="3"/>
        <v/>
      </c>
      <c r="X13" s="1771" t="str">
        <f t="shared" si="3"/>
        <v/>
      </c>
      <c r="Y13" s="1771" t="str">
        <f t="shared" si="3"/>
        <v/>
      </c>
      <c r="Z13" s="3437" t="str">
        <f t="shared" si="2"/>
        <v/>
      </c>
      <c r="AA13" s="1771" t="str">
        <f t="shared" si="2"/>
        <v/>
      </c>
      <c r="AB13" s="1771" t="str">
        <f t="shared" si="2"/>
        <v/>
      </c>
      <c r="AC13" s="3442" t="str">
        <f t="shared" si="2"/>
        <v/>
      </c>
      <c r="AD13" s="1771">
        <f t="shared" si="2"/>
        <v>1</v>
      </c>
      <c r="AE13" s="1771" t="str">
        <f t="shared" si="2"/>
        <v/>
      </c>
      <c r="AF13" s="1771" t="str">
        <f t="shared" si="2"/>
        <v/>
      </c>
      <c r="AG13" s="3442" t="str">
        <f t="shared" si="2"/>
        <v/>
      </c>
      <c r="AH13" s="1771" t="str">
        <f t="shared" si="2"/>
        <v/>
      </c>
      <c r="AI13" s="3442" t="str">
        <f t="shared" si="4"/>
        <v/>
      </c>
      <c r="AJ13" s="3462"/>
      <c r="AK13" s="3439" t="str">
        <f>IF(J13=J319,"stop","")</f>
        <v/>
      </c>
      <c r="AL13" s="3437" t="str">
        <f t="shared" si="5"/>
        <v/>
      </c>
      <c r="AM13" s="1771" t="str">
        <f t="shared" si="5"/>
        <v/>
      </c>
      <c r="AN13" s="1771" t="str">
        <f t="shared" si="5"/>
        <v/>
      </c>
      <c r="AO13" s="1771" t="str">
        <f t="shared" si="5"/>
        <v/>
      </c>
      <c r="AP13" s="3443" t="str">
        <f t="shared" si="5"/>
        <v/>
      </c>
      <c r="AQ13" s="1771" t="str">
        <f t="shared" si="6"/>
        <v/>
      </c>
      <c r="AR13" s="1771" t="str">
        <f t="shared" si="6"/>
        <v/>
      </c>
      <c r="AS13" s="3442" t="str">
        <f t="shared" si="6"/>
        <v/>
      </c>
      <c r="AT13" s="1771" t="str">
        <f t="shared" si="5"/>
        <v/>
      </c>
      <c r="AU13" s="1771" t="str">
        <f t="shared" si="5"/>
        <v/>
      </c>
      <c r="AV13" s="1771" t="str">
        <f t="shared" si="5"/>
        <v/>
      </c>
      <c r="AW13" s="3442" t="str">
        <f t="shared" si="5"/>
        <v/>
      </c>
      <c r="AX13" s="1771">
        <f t="shared" si="7"/>
        <v>2.5</v>
      </c>
      <c r="AY13" s="1771" t="str">
        <f t="shared" si="7"/>
        <v/>
      </c>
      <c r="AZ13" s="1771" t="str">
        <f t="shared" si="7"/>
        <v/>
      </c>
      <c r="BA13" s="1771" t="str">
        <f t="shared" si="7"/>
        <v/>
      </c>
      <c r="BB13" s="3437" t="str">
        <f t="shared" si="7"/>
        <v/>
      </c>
      <c r="BC13" s="3443" t="str">
        <f t="shared" si="7"/>
        <v/>
      </c>
      <c r="BD13" s="3462"/>
      <c r="BE13" s="3440" t="str">
        <f>IF(J13=J319,"stop","")</f>
        <v/>
      </c>
      <c r="BF13" s="1771" t="str">
        <f t="shared" si="8"/>
        <v/>
      </c>
      <c r="BG13" s="1771" t="str">
        <f t="shared" si="8"/>
        <v/>
      </c>
      <c r="BH13" s="1771" t="str">
        <f t="shared" si="8"/>
        <v/>
      </c>
      <c r="BI13" s="1771" t="str">
        <f t="shared" si="8"/>
        <v/>
      </c>
      <c r="BJ13" s="3443" t="str">
        <f t="shared" si="8"/>
        <v/>
      </c>
      <c r="BK13" s="3437" t="str">
        <f t="shared" si="9"/>
        <v/>
      </c>
      <c r="BL13" s="1771" t="str">
        <f t="shared" si="9"/>
        <v/>
      </c>
      <c r="BM13" s="3442" t="str">
        <f t="shared" si="9"/>
        <v/>
      </c>
      <c r="BN13" s="1771" t="str">
        <f t="shared" si="8"/>
        <v/>
      </c>
      <c r="BO13" s="1771" t="str">
        <f t="shared" si="8"/>
        <v/>
      </c>
      <c r="BP13" s="1771" t="str">
        <f t="shared" si="8"/>
        <v/>
      </c>
      <c r="BQ13" s="1771" t="str">
        <f t="shared" si="8"/>
        <v/>
      </c>
      <c r="BR13" s="3437">
        <f t="shared" si="10"/>
        <v>1.5811388300841898</v>
      </c>
      <c r="BS13" s="1771" t="str">
        <f t="shared" si="10"/>
        <v/>
      </c>
      <c r="BT13" s="1771" t="str">
        <f t="shared" si="10"/>
        <v/>
      </c>
      <c r="BU13" s="3442" t="str">
        <f t="shared" si="10"/>
        <v/>
      </c>
      <c r="BV13" s="1771" t="str">
        <f t="shared" si="10"/>
        <v/>
      </c>
      <c r="BW13" s="3442" t="str">
        <f t="shared" si="10"/>
        <v/>
      </c>
      <c r="BX13" s="3462"/>
      <c r="BY13" s="3439" t="str">
        <f>IF(L13=L319,"stop","")</f>
        <v/>
      </c>
      <c r="BZ13" s="3437" t="str">
        <f t="shared" si="11"/>
        <v/>
      </c>
      <c r="CA13" s="1771" t="str">
        <f t="shared" si="11"/>
        <v/>
      </c>
      <c r="CB13" s="1771" t="str">
        <f t="shared" si="11"/>
        <v/>
      </c>
      <c r="CC13" s="3442" t="str">
        <f t="shared" si="11"/>
        <v/>
      </c>
      <c r="CD13" s="1771" t="str">
        <f t="shared" si="11"/>
        <v/>
      </c>
      <c r="CE13" s="3437" t="str">
        <f t="shared" si="12"/>
        <v/>
      </c>
      <c r="CF13" s="1771" t="str">
        <f t="shared" si="12"/>
        <v/>
      </c>
      <c r="CG13" s="1771" t="str">
        <f t="shared" si="12"/>
        <v/>
      </c>
      <c r="CH13" s="3437" t="str">
        <f t="shared" si="11"/>
        <v/>
      </c>
      <c r="CI13" s="1771" t="str">
        <f t="shared" si="11"/>
        <v/>
      </c>
      <c r="CJ13" s="1771" t="str">
        <f t="shared" si="11"/>
        <v/>
      </c>
      <c r="CK13" s="3442" t="str">
        <f t="shared" si="11"/>
        <v/>
      </c>
      <c r="CL13" s="3437">
        <f t="shared" si="13"/>
        <v>1.75</v>
      </c>
      <c r="CM13" s="1771" t="str">
        <f t="shared" si="13"/>
        <v/>
      </c>
      <c r="CN13" s="1771" t="str">
        <f t="shared" si="13"/>
        <v/>
      </c>
      <c r="CO13" s="3442" t="str">
        <f t="shared" si="13"/>
        <v/>
      </c>
      <c r="CP13" s="1771" t="str">
        <f t="shared" si="13"/>
        <v/>
      </c>
      <c r="CQ13" s="3442" t="str">
        <f t="shared" si="13"/>
        <v/>
      </c>
      <c r="CR13" s="3462"/>
    </row>
    <row r="14" spans="1:96" s="3" customFormat="1">
      <c r="A14" s="1838" t="s">
        <v>700</v>
      </c>
      <c r="B14" s="1775">
        <v>13</v>
      </c>
      <c r="C14" s="1775">
        <v>13</v>
      </c>
      <c r="D14" s="1775">
        <v>1.5</v>
      </c>
      <c r="E14" s="1796" t="s">
        <v>35</v>
      </c>
      <c r="F14" s="1775">
        <v>2.8</v>
      </c>
      <c r="G14" s="1775" t="s">
        <v>695</v>
      </c>
      <c r="H14" s="1775">
        <v>1996</v>
      </c>
      <c r="I14" s="1807"/>
      <c r="J14" s="1775">
        <f t="shared" si="0"/>
        <v>13</v>
      </c>
      <c r="K14" s="1775">
        <v>1.5</v>
      </c>
      <c r="L14" s="1775" t="s">
        <v>35</v>
      </c>
      <c r="M14" s="1775">
        <v>2.8</v>
      </c>
      <c r="N14" s="1788">
        <f t="shared" si="14"/>
        <v>2.0493901531919194</v>
      </c>
      <c r="O14" s="1829">
        <f t="shared" si="15"/>
        <v>2.15</v>
      </c>
      <c r="P14" s="1776" t="s">
        <v>1087</v>
      </c>
      <c r="Q14" s="3" t="str">
        <f>IF(J14=J319,"stop","")</f>
        <v/>
      </c>
      <c r="R14" s="3437" t="str">
        <f t="shared" si="1"/>
        <v/>
      </c>
      <c r="S14" s="1771" t="str">
        <f t="shared" si="2"/>
        <v/>
      </c>
      <c r="T14" s="1771" t="str">
        <f t="shared" si="2"/>
        <v/>
      </c>
      <c r="U14" s="1771" t="str">
        <f t="shared" si="2"/>
        <v/>
      </c>
      <c r="V14" s="3443" t="str">
        <f t="shared" si="2"/>
        <v/>
      </c>
      <c r="W14" s="1771" t="str">
        <f t="shared" si="3"/>
        <v/>
      </c>
      <c r="X14" s="1771" t="str">
        <f t="shared" si="3"/>
        <v/>
      </c>
      <c r="Y14" s="1771" t="str">
        <f t="shared" si="3"/>
        <v/>
      </c>
      <c r="Z14" s="3437" t="str">
        <f t="shared" si="2"/>
        <v/>
      </c>
      <c r="AA14" s="1771" t="str">
        <f t="shared" si="2"/>
        <v/>
      </c>
      <c r="AB14" s="1771" t="str">
        <f t="shared" si="2"/>
        <v/>
      </c>
      <c r="AC14" s="3442" t="str">
        <f t="shared" si="2"/>
        <v/>
      </c>
      <c r="AD14" s="1771" t="str">
        <f t="shared" si="2"/>
        <v/>
      </c>
      <c r="AE14" s="1771">
        <f t="shared" si="2"/>
        <v>1.5</v>
      </c>
      <c r="AF14" s="1771" t="str">
        <f t="shared" si="2"/>
        <v/>
      </c>
      <c r="AG14" s="3442" t="str">
        <f t="shared" si="2"/>
        <v/>
      </c>
      <c r="AH14" s="1771" t="str">
        <f t="shared" si="2"/>
        <v/>
      </c>
      <c r="AI14" s="3442" t="str">
        <f t="shared" si="4"/>
        <v/>
      </c>
      <c r="AJ14" s="3462"/>
      <c r="AK14" s="3439" t="str">
        <f>IF(J14=J319,"stop","")</f>
        <v/>
      </c>
      <c r="AL14" s="3437" t="str">
        <f t="shared" si="5"/>
        <v/>
      </c>
      <c r="AM14" s="1771" t="str">
        <f t="shared" si="5"/>
        <v/>
      </c>
      <c r="AN14" s="1771" t="str">
        <f t="shared" si="5"/>
        <v/>
      </c>
      <c r="AO14" s="1771" t="str">
        <f t="shared" si="5"/>
        <v/>
      </c>
      <c r="AP14" s="3443" t="str">
        <f t="shared" si="5"/>
        <v/>
      </c>
      <c r="AQ14" s="1771" t="str">
        <f t="shared" si="6"/>
        <v/>
      </c>
      <c r="AR14" s="1771" t="str">
        <f t="shared" si="6"/>
        <v/>
      </c>
      <c r="AS14" s="3442" t="str">
        <f t="shared" si="6"/>
        <v/>
      </c>
      <c r="AT14" s="1771" t="str">
        <f t="shared" si="5"/>
        <v/>
      </c>
      <c r="AU14" s="1771" t="str">
        <f t="shared" si="5"/>
        <v/>
      </c>
      <c r="AV14" s="1771" t="str">
        <f t="shared" si="5"/>
        <v/>
      </c>
      <c r="AW14" s="3442" t="str">
        <f t="shared" si="5"/>
        <v/>
      </c>
      <c r="AX14" s="1771" t="str">
        <f t="shared" si="7"/>
        <v/>
      </c>
      <c r="AY14" s="1771">
        <f t="shared" si="7"/>
        <v>2.8</v>
      </c>
      <c r="AZ14" s="1771" t="str">
        <f t="shared" si="7"/>
        <v/>
      </c>
      <c r="BA14" s="1771" t="str">
        <f t="shared" si="7"/>
        <v/>
      </c>
      <c r="BB14" s="3437" t="str">
        <f t="shared" si="7"/>
        <v/>
      </c>
      <c r="BC14" s="3443" t="str">
        <f t="shared" si="7"/>
        <v/>
      </c>
      <c r="BD14" s="3462"/>
      <c r="BE14" s="3440" t="str">
        <f>IF(J14=J319,"stop","")</f>
        <v/>
      </c>
      <c r="BF14" s="1771" t="str">
        <f t="shared" si="8"/>
        <v/>
      </c>
      <c r="BG14" s="1771" t="str">
        <f t="shared" si="8"/>
        <v/>
      </c>
      <c r="BH14" s="1771" t="str">
        <f t="shared" si="8"/>
        <v/>
      </c>
      <c r="BI14" s="1771" t="str">
        <f t="shared" si="8"/>
        <v/>
      </c>
      <c r="BJ14" s="3443" t="str">
        <f t="shared" si="8"/>
        <v/>
      </c>
      <c r="BK14" s="3437" t="str">
        <f t="shared" si="9"/>
        <v/>
      </c>
      <c r="BL14" s="1771" t="str">
        <f t="shared" si="9"/>
        <v/>
      </c>
      <c r="BM14" s="3442" t="str">
        <f t="shared" si="9"/>
        <v/>
      </c>
      <c r="BN14" s="1771" t="str">
        <f t="shared" si="8"/>
        <v/>
      </c>
      <c r="BO14" s="1771" t="str">
        <f t="shared" si="8"/>
        <v/>
      </c>
      <c r="BP14" s="1771" t="str">
        <f t="shared" si="8"/>
        <v/>
      </c>
      <c r="BQ14" s="1771" t="str">
        <f t="shared" si="8"/>
        <v/>
      </c>
      <c r="BR14" s="3437" t="str">
        <f t="shared" si="10"/>
        <v/>
      </c>
      <c r="BS14" s="1771">
        <f t="shared" si="10"/>
        <v>2.0493901531919194</v>
      </c>
      <c r="BT14" s="1771" t="str">
        <f t="shared" si="10"/>
        <v/>
      </c>
      <c r="BU14" s="3442" t="str">
        <f t="shared" si="10"/>
        <v/>
      </c>
      <c r="BV14" s="1771" t="str">
        <f t="shared" si="10"/>
        <v/>
      </c>
      <c r="BW14" s="3442" t="str">
        <f t="shared" si="10"/>
        <v/>
      </c>
      <c r="BX14" s="3462"/>
      <c r="BY14" s="3439" t="str">
        <f>IF(L14=L319,"stop","")</f>
        <v/>
      </c>
      <c r="BZ14" s="3437" t="str">
        <f t="shared" si="11"/>
        <v/>
      </c>
      <c r="CA14" s="1771" t="str">
        <f t="shared" si="11"/>
        <v/>
      </c>
      <c r="CB14" s="1771" t="str">
        <f t="shared" si="11"/>
        <v/>
      </c>
      <c r="CC14" s="3442" t="str">
        <f t="shared" si="11"/>
        <v/>
      </c>
      <c r="CD14" s="1771" t="str">
        <f t="shared" si="11"/>
        <v/>
      </c>
      <c r="CE14" s="3437" t="str">
        <f t="shared" si="12"/>
        <v/>
      </c>
      <c r="CF14" s="1771" t="str">
        <f t="shared" si="12"/>
        <v/>
      </c>
      <c r="CG14" s="1771" t="str">
        <f t="shared" si="12"/>
        <v/>
      </c>
      <c r="CH14" s="3437" t="str">
        <f t="shared" si="11"/>
        <v/>
      </c>
      <c r="CI14" s="1771" t="str">
        <f t="shared" si="11"/>
        <v/>
      </c>
      <c r="CJ14" s="1771" t="str">
        <f t="shared" si="11"/>
        <v/>
      </c>
      <c r="CK14" s="3442" t="str">
        <f t="shared" si="11"/>
        <v/>
      </c>
      <c r="CL14" s="3437" t="str">
        <f t="shared" si="13"/>
        <v/>
      </c>
      <c r="CM14" s="1771">
        <f t="shared" si="13"/>
        <v>2.15</v>
      </c>
      <c r="CN14" s="1771" t="str">
        <f t="shared" si="13"/>
        <v/>
      </c>
      <c r="CO14" s="3442" t="str">
        <f t="shared" si="13"/>
        <v/>
      </c>
      <c r="CP14" s="1771" t="str">
        <f t="shared" si="13"/>
        <v/>
      </c>
      <c r="CQ14" s="3442" t="str">
        <f t="shared" si="13"/>
        <v/>
      </c>
      <c r="CR14" s="3462"/>
    </row>
    <row r="15" spans="1:96" s="3" customFormat="1">
      <c r="A15" s="1838" t="s">
        <v>701</v>
      </c>
      <c r="B15" s="1775">
        <v>14</v>
      </c>
      <c r="C15" s="1775">
        <v>14</v>
      </c>
      <c r="D15" s="1775">
        <v>0.61</v>
      </c>
      <c r="E15" s="1796" t="s">
        <v>35</v>
      </c>
      <c r="F15" s="1775">
        <v>2.7</v>
      </c>
      <c r="G15" s="1775" t="s">
        <v>695</v>
      </c>
      <c r="H15" s="1775">
        <v>1996</v>
      </c>
      <c r="I15" s="1807"/>
      <c r="J15" s="1775">
        <f t="shared" si="0"/>
        <v>14</v>
      </c>
      <c r="K15" s="1775">
        <v>0.61</v>
      </c>
      <c r="L15" s="1775" t="s">
        <v>35</v>
      </c>
      <c r="M15" s="1775">
        <v>2.7</v>
      </c>
      <c r="N15" s="1788">
        <f t="shared" si="14"/>
        <v>1.2833549781724463</v>
      </c>
      <c r="O15" s="1829">
        <f t="shared" si="15"/>
        <v>1.655</v>
      </c>
      <c r="P15" s="1776" t="s">
        <v>1087</v>
      </c>
      <c r="Q15" s="3" t="str">
        <f>IF(J15=J319,"stop","")</f>
        <v/>
      </c>
      <c r="R15" s="3437" t="str">
        <f t="shared" si="1"/>
        <v/>
      </c>
      <c r="S15" s="1771" t="str">
        <f t="shared" si="2"/>
        <v/>
      </c>
      <c r="T15" s="1771" t="str">
        <f t="shared" si="2"/>
        <v/>
      </c>
      <c r="U15" s="1771" t="str">
        <f t="shared" si="2"/>
        <v/>
      </c>
      <c r="V15" s="3443" t="str">
        <f t="shared" si="2"/>
        <v/>
      </c>
      <c r="W15" s="1771" t="str">
        <f t="shared" si="3"/>
        <v/>
      </c>
      <c r="X15" s="1771" t="str">
        <f t="shared" si="3"/>
        <v/>
      </c>
      <c r="Y15" s="1771" t="str">
        <f t="shared" si="3"/>
        <v/>
      </c>
      <c r="Z15" s="3437" t="str">
        <f t="shared" si="2"/>
        <v/>
      </c>
      <c r="AA15" s="1771" t="str">
        <f t="shared" si="2"/>
        <v/>
      </c>
      <c r="AB15" s="1771" t="str">
        <f t="shared" si="2"/>
        <v/>
      </c>
      <c r="AC15" s="3442" t="str">
        <f t="shared" si="2"/>
        <v/>
      </c>
      <c r="AD15" s="1771" t="str">
        <f t="shared" si="2"/>
        <v/>
      </c>
      <c r="AE15" s="1771">
        <f t="shared" si="2"/>
        <v>0.61</v>
      </c>
      <c r="AF15" s="1771" t="str">
        <f t="shared" si="2"/>
        <v/>
      </c>
      <c r="AG15" s="3442" t="str">
        <f t="shared" si="2"/>
        <v/>
      </c>
      <c r="AH15" s="1771" t="str">
        <f t="shared" si="2"/>
        <v/>
      </c>
      <c r="AI15" s="3442" t="str">
        <f t="shared" si="4"/>
        <v/>
      </c>
      <c r="AJ15" s="3462"/>
      <c r="AK15" s="3439" t="str">
        <f>IF(J15=J319,"stop","")</f>
        <v/>
      </c>
      <c r="AL15" s="3437" t="str">
        <f t="shared" si="5"/>
        <v/>
      </c>
      <c r="AM15" s="1771" t="str">
        <f t="shared" si="5"/>
        <v/>
      </c>
      <c r="AN15" s="1771" t="str">
        <f t="shared" si="5"/>
        <v/>
      </c>
      <c r="AO15" s="1771" t="str">
        <f t="shared" si="5"/>
        <v/>
      </c>
      <c r="AP15" s="3443" t="str">
        <f t="shared" si="5"/>
        <v/>
      </c>
      <c r="AQ15" s="1771" t="str">
        <f t="shared" si="6"/>
        <v/>
      </c>
      <c r="AR15" s="1771" t="str">
        <f t="shared" si="6"/>
        <v/>
      </c>
      <c r="AS15" s="3442" t="str">
        <f t="shared" si="6"/>
        <v/>
      </c>
      <c r="AT15" s="1771" t="str">
        <f t="shared" si="5"/>
        <v/>
      </c>
      <c r="AU15" s="1771" t="str">
        <f t="shared" si="5"/>
        <v/>
      </c>
      <c r="AV15" s="1771" t="str">
        <f t="shared" si="5"/>
        <v/>
      </c>
      <c r="AW15" s="3442" t="str">
        <f t="shared" si="5"/>
        <v/>
      </c>
      <c r="AX15" s="1771" t="str">
        <f t="shared" si="7"/>
        <v/>
      </c>
      <c r="AY15" s="1771">
        <f t="shared" si="7"/>
        <v>2.7</v>
      </c>
      <c r="AZ15" s="1771" t="str">
        <f t="shared" si="7"/>
        <v/>
      </c>
      <c r="BA15" s="1771" t="str">
        <f t="shared" si="7"/>
        <v/>
      </c>
      <c r="BB15" s="3437" t="str">
        <f t="shared" si="7"/>
        <v/>
      </c>
      <c r="BC15" s="3443" t="str">
        <f t="shared" si="7"/>
        <v/>
      </c>
      <c r="BD15" s="3462"/>
      <c r="BE15" s="3440" t="str">
        <f>IF(J15=J319,"stop","")</f>
        <v/>
      </c>
      <c r="BF15" s="1771" t="str">
        <f t="shared" si="8"/>
        <v/>
      </c>
      <c r="BG15" s="1771" t="str">
        <f t="shared" si="8"/>
        <v/>
      </c>
      <c r="BH15" s="1771" t="str">
        <f t="shared" si="8"/>
        <v/>
      </c>
      <c r="BI15" s="1771" t="str">
        <f t="shared" si="8"/>
        <v/>
      </c>
      <c r="BJ15" s="3443" t="str">
        <f t="shared" si="8"/>
        <v/>
      </c>
      <c r="BK15" s="3437" t="str">
        <f t="shared" si="9"/>
        <v/>
      </c>
      <c r="BL15" s="1771" t="str">
        <f t="shared" si="9"/>
        <v/>
      </c>
      <c r="BM15" s="3442" t="str">
        <f t="shared" si="9"/>
        <v/>
      </c>
      <c r="BN15" s="1771" t="str">
        <f t="shared" si="8"/>
        <v/>
      </c>
      <c r="BO15" s="1771" t="str">
        <f t="shared" si="8"/>
        <v/>
      </c>
      <c r="BP15" s="1771" t="str">
        <f t="shared" si="8"/>
        <v/>
      </c>
      <c r="BQ15" s="1771" t="str">
        <f t="shared" si="8"/>
        <v/>
      </c>
      <c r="BR15" s="3437" t="str">
        <f t="shared" si="10"/>
        <v/>
      </c>
      <c r="BS15" s="1771">
        <f t="shared" si="10"/>
        <v>1.2833549781724463</v>
      </c>
      <c r="BT15" s="1771" t="str">
        <f t="shared" si="10"/>
        <v/>
      </c>
      <c r="BU15" s="3442" t="str">
        <f t="shared" si="10"/>
        <v/>
      </c>
      <c r="BV15" s="1771" t="str">
        <f t="shared" si="10"/>
        <v/>
      </c>
      <c r="BW15" s="3442" t="str">
        <f t="shared" si="10"/>
        <v/>
      </c>
      <c r="BX15" s="3462"/>
      <c r="BY15" s="3439" t="str">
        <f>IF(L15=L319,"stop","")</f>
        <v/>
      </c>
      <c r="BZ15" s="3437" t="str">
        <f t="shared" si="11"/>
        <v/>
      </c>
      <c r="CA15" s="1771" t="str">
        <f t="shared" si="11"/>
        <v/>
      </c>
      <c r="CB15" s="1771" t="str">
        <f t="shared" si="11"/>
        <v/>
      </c>
      <c r="CC15" s="3442" t="str">
        <f t="shared" si="11"/>
        <v/>
      </c>
      <c r="CD15" s="1771" t="str">
        <f t="shared" si="11"/>
        <v/>
      </c>
      <c r="CE15" s="3437" t="str">
        <f t="shared" si="12"/>
        <v/>
      </c>
      <c r="CF15" s="1771" t="str">
        <f t="shared" si="12"/>
        <v/>
      </c>
      <c r="CG15" s="1771" t="str">
        <f t="shared" si="12"/>
        <v/>
      </c>
      <c r="CH15" s="3437" t="str">
        <f t="shared" si="11"/>
        <v/>
      </c>
      <c r="CI15" s="1771" t="str">
        <f t="shared" si="11"/>
        <v/>
      </c>
      <c r="CJ15" s="1771" t="str">
        <f t="shared" si="11"/>
        <v/>
      </c>
      <c r="CK15" s="3442" t="str">
        <f t="shared" si="11"/>
        <v/>
      </c>
      <c r="CL15" s="3437" t="str">
        <f t="shared" si="13"/>
        <v/>
      </c>
      <c r="CM15" s="1771">
        <f t="shared" si="13"/>
        <v>1.655</v>
      </c>
      <c r="CN15" s="1771" t="str">
        <f t="shared" si="13"/>
        <v/>
      </c>
      <c r="CO15" s="3442" t="str">
        <f t="shared" si="13"/>
        <v/>
      </c>
      <c r="CP15" s="1771" t="str">
        <f t="shared" si="13"/>
        <v/>
      </c>
      <c r="CQ15" s="3442" t="str">
        <f t="shared" si="13"/>
        <v/>
      </c>
      <c r="CR15" s="3462"/>
    </row>
    <row r="16" spans="1:96" s="3" customFormat="1">
      <c r="A16" s="1838" t="s">
        <v>702</v>
      </c>
      <c r="B16" s="1775">
        <v>15</v>
      </c>
      <c r="C16" s="1775">
        <v>15</v>
      </c>
      <c r="D16" s="1775">
        <v>1.9</v>
      </c>
      <c r="E16" s="1796" t="s">
        <v>35</v>
      </c>
      <c r="F16" s="1775">
        <v>3.1</v>
      </c>
      <c r="G16" s="1775" t="s">
        <v>695</v>
      </c>
      <c r="H16" s="1775">
        <v>1996</v>
      </c>
      <c r="I16" s="1807"/>
      <c r="J16" s="1775">
        <f t="shared" si="0"/>
        <v>15</v>
      </c>
      <c r="K16" s="1775">
        <v>1.9</v>
      </c>
      <c r="L16" s="1775" t="s">
        <v>35</v>
      </c>
      <c r="M16" s="1775">
        <v>3.1</v>
      </c>
      <c r="N16" s="1788">
        <f t="shared" si="14"/>
        <v>2.4269322199023193</v>
      </c>
      <c r="O16" s="1829">
        <f t="shared" si="15"/>
        <v>2.5</v>
      </c>
      <c r="P16" s="1776" t="s">
        <v>1087</v>
      </c>
      <c r="Q16" s="3" t="str">
        <f>IF(J16=J319,"stop","")</f>
        <v/>
      </c>
      <c r="R16" s="3437" t="str">
        <f t="shared" si="1"/>
        <v/>
      </c>
      <c r="S16" s="1771" t="str">
        <f t="shared" si="2"/>
        <v/>
      </c>
      <c r="T16" s="1771" t="str">
        <f t="shared" si="2"/>
        <v/>
      </c>
      <c r="U16" s="1771" t="str">
        <f t="shared" si="2"/>
        <v/>
      </c>
      <c r="V16" s="3443" t="str">
        <f t="shared" si="2"/>
        <v/>
      </c>
      <c r="W16" s="1771" t="str">
        <f t="shared" si="3"/>
        <v/>
      </c>
      <c r="X16" s="1771" t="str">
        <f t="shared" si="3"/>
        <v/>
      </c>
      <c r="Y16" s="1771" t="str">
        <f t="shared" si="3"/>
        <v/>
      </c>
      <c r="Z16" s="3437" t="str">
        <f t="shared" si="2"/>
        <v/>
      </c>
      <c r="AA16" s="1771" t="str">
        <f t="shared" si="2"/>
        <v/>
      </c>
      <c r="AB16" s="1771" t="str">
        <f t="shared" si="2"/>
        <v/>
      </c>
      <c r="AC16" s="3442" t="str">
        <f t="shared" si="2"/>
        <v/>
      </c>
      <c r="AD16" s="1771" t="str">
        <f t="shared" si="2"/>
        <v/>
      </c>
      <c r="AE16" s="1771">
        <f t="shared" si="2"/>
        <v>1.9</v>
      </c>
      <c r="AF16" s="1771" t="str">
        <f t="shared" si="2"/>
        <v/>
      </c>
      <c r="AG16" s="3442" t="str">
        <f t="shared" si="2"/>
        <v/>
      </c>
      <c r="AH16" s="1771" t="str">
        <f t="shared" si="2"/>
        <v/>
      </c>
      <c r="AI16" s="3442" t="str">
        <f t="shared" si="4"/>
        <v/>
      </c>
      <c r="AJ16" s="3462"/>
      <c r="AK16" s="3439" t="str">
        <f>IF(J16=J319,"stop","")</f>
        <v/>
      </c>
      <c r="AL16" s="3437" t="str">
        <f t="shared" si="5"/>
        <v/>
      </c>
      <c r="AM16" s="1771" t="str">
        <f t="shared" si="5"/>
        <v/>
      </c>
      <c r="AN16" s="1771" t="str">
        <f t="shared" si="5"/>
        <v/>
      </c>
      <c r="AO16" s="1771" t="str">
        <f t="shared" si="5"/>
        <v/>
      </c>
      <c r="AP16" s="3443" t="str">
        <f t="shared" si="5"/>
        <v/>
      </c>
      <c r="AQ16" s="1771" t="str">
        <f t="shared" si="6"/>
        <v/>
      </c>
      <c r="AR16" s="1771" t="str">
        <f t="shared" si="6"/>
        <v/>
      </c>
      <c r="AS16" s="3442" t="str">
        <f t="shared" si="6"/>
        <v/>
      </c>
      <c r="AT16" s="1771" t="str">
        <f t="shared" si="5"/>
        <v/>
      </c>
      <c r="AU16" s="1771" t="str">
        <f t="shared" si="5"/>
        <v/>
      </c>
      <c r="AV16" s="1771" t="str">
        <f t="shared" si="5"/>
        <v/>
      </c>
      <c r="AW16" s="3442" t="str">
        <f t="shared" si="5"/>
        <v/>
      </c>
      <c r="AX16" s="1771" t="str">
        <f t="shared" si="7"/>
        <v/>
      </c>
      <c r="AY16" s="1771">
        <f t="shared" si="7"/>
        <v>3.1</v>
      </c>
      <c r="AZ16" s="1771" t="str">
        <f t="shared" si="7"/>
        <v/>
      </c>
      <c r="BA16" s="1771" t="str">
        <f t="shared" si="7"/>
        <v/>
      </c>
      <c r="BB16" s="3437" t="str">
        <f t="shared" si="7"/>
        <v/>
      </c>
      <c r="BC16" s="3443" t="str">
        <f t="shared" si="7"/>
        <v/>
      </c>
      <c r="BD16" s="3462"/>
      <c r="BE16" s="3440" t="str">
        <f>IF(J16=J319,"stop","")</f>
        <v/>
      </c>
      <c r="BF16" s="1771" t="str">
        <f t="shared" si="8"/>
        <v/>
      </c>
      <c r="BG16" s="1771" t="str">
        <f t="shared" si="8"/>
        <v/>
      </c>
      <c r="BH16" s="1771" t="str">
        <f t="shared" si="8"/>
        <v/>
      </c>
      <c r="BI16" s="1771" t="str">
        <f t="shared" si="8"/>
        <v/>
      </c>
      <c r="BJ16" s="3443" t="str">
        <f t="shared" si="8"/>
        <v/>
      </c>
      <c r="BK16" s="3437" t="str">
        <f t="shared" si="9"/>
        <v/>
      </c>
      <c r="BL16" s="1771" t="str">
        <f t="shared" si="9"/>
        <v/>
      </c>
      <c r="BM16" s="3442" t="str">
        <f t="shared" si="9"/>
        <v/>
      </c>
      <c r="BN16" s="1771" t="str">
        <f t="shared" si="8"/>
        <v/>
      </c>
      <c r="BO16" s="1771" t="str">
        <f t="shared" si="8"/>
        <v/>
      </c>
      <c r="BP16" s="1771" t="str">
        <f t="shared" si="8"/>
        <v/>
      </c>
      <c r="BQ16" s="1771" t="str">
        <f t="shared" si="8"/>
        <v/>
      </c>
      <c r="BR16" s="3437" t="str">
        <f t="shared" si="10"/>
        <v/>
      </c>
      <c r="BS16" s="1771">
        <f t="shared" si="10"/>
        <v>2.4269322199023193</v>
      </c>
      <c r="BT16" s="1771" t="str">
        <f t="shared" si="10"/>
        <v/>
      </c>
      <c r="BU16" s="3442" t="str">
        <f t="shared" si="10"/>
        <v/>
      </c>
      <c r="BV16" s="1771" t="str">
        <f t="shared" si="10"/>
        <v/>
      </c>
      <c r="BW16" s="3442" t="str">
        <f t="shared" si="10"/>
        <v/>
      </c>
      <c r="BX16" s="3462"/>
      <c r="BY16" s="3439" t="str">
        <f>IF(L16=L319,"stop","")</f>
        <v/>
      </c>
      <c r="BZ16" s="3437" t="str">
        <f t="shared" si="11"/>
        <v/>
      </c>
      <c r="CA16" s="1771" t="str">
        <f t="shared" si="11"/>
        <v/>
      </c>
      <c r="CB16" s="1771" t="str">
        <f t="shared" si="11"/>
        <v/>
      </c>
      <c r="CC16" s="3442" t="str">
        <f t="shared" si="11"/>
        <v/>
      </c>
      <c r="CD16" s="1771" t="str">
        <f t="shared" si="11"/>
        <v/>
      </c>
      <c r="CE16" s="3437" t="str">
        <f t="shared" si="12"/>
        <v/>
      </c>
      <c r="CF16" s="1771" t="str">
        <f t="shared" si="12"/>
        <v/>
      </c>
      <c r="CG16" s="1771" t="str">
        <f t="shared" si="12"/>
        <v/>
      </c>
      <c r="CH16" s="3437" t="str">
        <f t="shared" si="11"/>
        <v/>
      </c>
      <c r="CI16" s="1771" t="str">
        <f t="shared" si="11"/>
        <v/>
      </c>
      <c r="CJ16" s="1771" t="str">
        <f t="shared" si="11"/>
        <v/>
      </c>
      <c r="CK16" s="3442" t="str">
        <f t="shared" si="11"/>
        <v/>
      </c>
      <c r="CL16" s="3437" t="str">
        <f t="shared" si="13"/>
        <v/>
      </c>
      <c r="CM16" s="1771">
        <f t="shared" si="13"/>
        <v>2.5</v>
      </c>
      <c r="CN16" s="1771" t="str">
        <f t="shared" si="13"/>
        <v/>
      </c>
      <c r="CO16" s="3442" t="str">
        <f t="shared" si="13"/>
        <v/>
      </c>
      <c r="CP16" s="1771" t="str">
        <f t="shared" si="13"/>
        <v/>
      </c>
      <c r="CQ16" s="3442" t="str">
        <f t="shared" si="13"/>
        <v/>
      </c>
      <c r="CR16" s="3462"/>
    </row>
    <row r="17" spans="1:96" s="3" customFormat="1">
      <c r="A17" s="1838" t="s">
        <v>703</v>
      </c>
      <c r="B17" s="1775">
        <v>16</v>
      </c>
      <c r="C17" s="1775">
        <v>16</v>
      </c>
      <c r="D17" s="1775">
        <v>1.5</v>
      </c>
      <c r="E17" s="1796" t="s">
        <v>35</v>
      </c>
      <c r="F17" s="1775">
        <v>2.8</v>
      </c>
      <c r="G17" s="1775" t="s">
        <v>695</v>
      </c>
      <c r="H17" s="1775">
        <v>1996</v>
      </c>
      <c r="I17" s="1807"/>
      <c r="J17" s="1775">
        <f t="shared" si="0"/>
        <v>16</v>
      </c>
      <c r="K17" s="1775">
        <v>1.5</v>
      </c>
      <c r="L17" s="1775" t="s">
        <v>35</v>
      </c>
      <c r="M17" s="1775">
        <v>2.8</v>
      </c>
      <c r="N17" s="1788">
        <f t="shared" si="14"/>
        <v>2.0493901531919194</v>
      </c>
      <c r="O17" s="1829">
        <f t="shared" si="15"/>
        <v>2.15</v>
      </c>
      <c r="P17" s="1776" t="s">
        <v>1087</v>
      </c>
      <c r="Q17" s="3" t="str">
        <f>IF(J17=J319,"stop","")</f>
        <v/>
      </c>
      <c r="R17" s="3437" t="str">
        <f t="shared" si="1"/>
        <v/>
      </c>
      <c r="S17" s="1771" t="str">
        <f t="shared" si="2"/>
        <v/>
      </c>
      <c r="T17" s="1771" t="str">
        <f t="shared" si="2"/>
        <v/>
      </c>
      <c r="U17" s="1771" t="str">
        <f t="shared" si="2"/>
        <v/>
      </c>
      <c r="V17" s="3443" t="str">
        <f t="shared" si="2"/>
        <v/>
      </c>
      <c r="W17" s="1771" t="str">
        <f t="shared" si="3"/>
        <v/>
      </c>
      <c r="X17" s="1771" t="str">
        <f t="shared" si="3"/>
        <v/>
      </c>
      <c r="Y17" s="1771" t="str">
        <f t="shared" si="3"/>
        <v/>
      </c>
      <c r="Z17" s="3437" t="str">
        <f t="shared" si="2"/>
        <v/>
      </c>
      <c r="AA17" s="1771" t="str">
        <f t="shared" si="2"/>
        <v/>
      </c>
      <c r="AB17" s="1771" t="str">
        <f t="shared" si="2"/>
        <v/>
      </c>
      <c r="AC17" s="3442" t="str">
        <f t="shared" si="2"/>
        <v/>
      </c>
      <c r="AD17" s="1771" t="str">
        <f t="shared" si="2"/>
        <v/>
      </c>
      <c r="AE17" s="1771">
        <f t="shared" si="2"/>
        <v>1.5</v>
      </c>
      <c r="AF17" s="1771" t="str">
        <f t="shared" si="2"/>
        <v/>
      </c>
      <c r="AG17" s="3442" t="str">
        <f t="shared" si="2"/>
        <v/>
      </c>
      <c r="AH17" s="1771" t="str">
        <f t="shared" si="2"/>
        <v/>
      </c>
      <c r="AI17" s="3442" t="str">
        <f t="shared" si="4"/>
        <v/>
      </c>
      <c r="AJ17" s="3462"/>
      <c r="AK17" s="3439" t="str">
        <f>IF(J17=J319,"stop","")</f>
        <v/>
      </c>
      <c r="AL17" s="3437" t="str">
        <f t="shared" si="5"/>
        <v/>
      </c>
      <c r="AM17" s="1771" t="str">
        <f t="shared" si="5"/>
        <v/>
      </c>
      <c r="AN17" s="1771" t="str">
        <f t="shared" si="5"/>
        <v/>
      </c>
      <c r="AO17" s="1771" t="str">
        <f t="shared" si="5"/>
        <v/>
      </c>
      <c r="AP17" s="3443" t="str">
        <f t="shared" si="5"/>
        <v/>
      </c>
      <c r="AQ17" s="1771" t="str">
        <f t="shared" si="6"/>
        <v/>
      </c>
      <c r="AR17" s="1771" t="str">
        <f t="shared" si="6"/>
        <v/>
      </c>
      <c r="AS17" s="3442" t="str">
        <f t="shared" si="6"/>
        <v/>
      </c>
      <c r="AT17" s="1771" t="str">
        <f t="shared" si="5"/>
        <v/>
      </c>
      <c r="AU17" s="1771" t="str">
        <f t="shared" si="5"/>
        <v/>
      </c>
      <c r="AV17" s="1771" t="str">
        <f t="shared" si="5"/>
        <v/>
      </c>
      <c r="AW17" s="3442" t="str">
        <f t="shared" si="5"/>
        <v/>
      </c>
      <c r="AX17" s="1771" t="str">
        <f t="shared" si="7"/>
        <v/>
      </c>
      <c r="AY17" s="1771">
        <f t="shared" si="7"/>
        <v>2.8</v>
      </c>
      <c r="AZ17" s="1771" t="str">
        <f t="shared" si="7"/>
        <v/>
      </c>
      <c r="BA17" s="1771" t="str">
        <f t="shared" si="7"/>
        <v/>
      </c>
      <c r="BB17" s="3437" t="str">
        <f t="shared" si="7"/>
        <v/>
      </c>
      <c r="BC17" s="3443" t="str">
        <f t="shared" si="7"/>
        <v/>
      </c>
      <c r="BD17" s="3462"/>
      <c r="BE17" s="3440" t="str">
        <f>IF(J17=J319,"stop","")</f>
        <v/>
      </c>
      <c r="BF17" s="1771" t="str">
        <f t="shared" si="8"/>
        <v/>
      </c>
      <c r="BG17" s="1771" t="str">
        <f t="shared" si="8"/>
        <v/>
      </c>
      <c r="BH17" s="1771" t="str">
        <f t="shared" si="8"/>
        <v/>
      </c>
      <c r="BI17" s="1771" t="str">
        <f t="shared" si="8"/>
        <v/>
      </c>
      <c r="BJ17" s="3443" t="str">
        <f t="shared" si="8"/>
        <v/>
      </c>
      <c r="BK17" s="3437" t="str">
        <f t="shared" si="9"/>
        <v/>
      </c>
      <c r="BL17" s="1771" t="str">
        <f t="shared" si="9"/>
        <v/>
      </c>
      <c r="BM17" s="3442" t="str">
        <f t="shared" si="9"/>
        <v/>
      </c>
      <c r="BN17" s="1771" t="str">
        <f t="shared" si="8"/>
        <v/>
      </c>
      <c r="BO17" s="1771" t="str">
        <f t="shared" si="8"/>
        <v/>
      </c>
      <c r="BP17" s="1771" t="str">
        <f t="shared" si="8"/>
        <v/>
      </c>
      <c r="BQ17" s="1771" t="str">
        <f t="shared" si="8"/>
        <v/>
      </c>
      <c r="BR17" s="3437" t="str">
        <f t="shared" si="10"/>
        <v/>
      </c>
      <c r="BS17" s="1771">
        <f t="shared" si="10"/>
        <v>2.0493901531919194</v>
      </c>
      <c r="BT17" s="1771" t="str">
        <f t="shared" si="10"/>
        <v/>
      </c>
      <c r="BU17" s="3442" t="str">
        <f t="shared" si="10"/>
        <v/>
      </c>
      <c r="BV17" s="1771" t="str">
        <f t="shared" si="10"/>
        <v/>
      </c>
      <c r="BW17" s="3442" t="str">
        <f t="shared" si="10"/>
        <v/>
      </c>
      <c r="BX17" s="3462"/>
      <c r="BY17" s="3439" t="str">
        <f>IF(L17=L319,"stop","")</f>
        <v/>
      </c>
      <c r="BZ17" s="3437" t="str">
        <f t="shared" si="11"/>
        <v/>
      </c>
      <c r="CA17" s="1771" t="str">
        <f t="shared" si="11"/>
        <v/>
      </c>
      <c r="CB17" s="1771" t="str">
        <f t="shared" si="11"/>
        <v/>
      </c>
      <c r="CC17" s="3442" t="str">
        <f t="shared" si="11"/>
        <v/>
      </c>
      <c r="CD17" s="1771" t="str">
        <f t="shared" si="11"/>
        <v/>
      </c>
      <c r="CE17" s="3437" t="str">
        <f t="shared" si="12"/>
        <v/>
      </c>
      <c r="CF17" s="1771" t="str">
        <f t="shared" si="12"/>
        <v/>
      </c>
      <c r="CG17" s="1771" t="str">
        <f t="shared" si="12"/>
        <v/>
      </c>
      <c r="CH17" s="3437" t="str">
        <f t="shared" si="11"/>
        <v/>
      </c>
      <c r="CI17" s="1771" t="str">
        <f t="shared" si="11"/>
        <v/>
      </c>
      <c r="CJ17" s="1771" t="str">
        <f t="shared" si="11"/>
        <v/>
      </c>
      <c r="CK17" s="3442" t="str">
        <f t="shared" si="11"/>
        <v/>
      </c>
      <c r="CL17" s="3437" t="str">
        <f t="shared" si="13"/>
        <v/>
      </c>
      <c r="CM17" s="1771">
        <f t="shared" si="13"/>
        <v>2.15</v>
      </c>
      <c r="CN17" s="1771" t="str">
        <f t="shared" si="13"/>
        <v/>
      </c>
      <c r="CO17" s="3442" t="str">
        <f t="shared" si="13"/>
        <v/>
      </c>
      <c r="CP17" s="1771" t="str">
        <f t="shared" si="13"/>
        <v/>
      </c>
      <c r="CQ17" s="3442" t="str">
        <f t="shared" si="13"/>
        <v/>
      </c>
      <c r="CR17" s="3462"/>
    </row>
    <row r="18" spans="1:96" s="3" customFormat="1">
      <c r="A18" s="1839" t="s">
        <v>704</v>
      </c>
      <c r="B18" s="1789">
        <v>17</v>
      </c>
      <c r="C18" s="1789">
        <v>17</v>
      </c>
      <c r="D18" s="1789">
        <v>1.4</v>
      </c>
      <c r="E18" s="1796" t="s">
        <v>35</v>
      </c>
      <c r="F18" s="1789">
        <v>2.9</v>
      </c>
      <c r="G18" s="1789" t="s">
        <v>695</v>
      </c>
      <c r="H18" s="1789">
        <v>1996</v>
      </c>
      <c r="I18" s="1807"/>
      <c r="J18" s="1775">
        <f t="shared" si="0"/>
        <v>17</v>
      </c>
      <c r="K18" s="1789">
        <v>1.4</v>
      </c>
      <c r="L18" s="1789" t="s">
        <v>35</v>
      </c>
      <c r="M18" s="1789">
        <v>2.9</v>
      </c>
      <c r="N18" s="1790">
        <f t="shared" si="14"/>
        <v>2.0149441679609885</v>
      </c>
      <c r="O18" s="1830">
        <f t="shared" si="15"/>
        <v>2.15</v>
      </c>
      <c r="P18" s="1776" t="s">
        <v>1087</v>
      </c>
      <c r="Q18" s="3" t="str">
        <f>IF(J18=J319,"stop","")</f>
        <v/>
      </c>
      <c r="R18" s="3437" t="str">
        <f t="shared" si="1"/>
        <v/>
      </c>
      <c r="S18" s="1771" t="str">
        <f t="shared" si="2"/>
        <v/>
      </c>
      <c r="T18" s="1771" t="str">
        <f t="shared" si="2"/>
        <v/>
      </c>
      <c r="U18" s="1771" t="str">
        <f t="shared" si="2"/>
        <v/>
      </c>
      <c r="V18" s="3443" t="str">
        <f t="shared" si="2"/>
        <v/>
      </c>
      <c r="W18" s="1771" t="str">
        <f t="shared" si="3"/>
        <v/>
      </c>
      <c r="X18" s="1771" t="str">
        <f t="shared" si="3"/>
        <v/>
      </c>
      <c r="Y18" s="1771" t="str">
        <f t="shared" si="3"/>
        <v/>
      </c>
      <c r="Z18" s="3437" t="str">
        <f t="shared" si="2"/>
        <v/>
      </c>
      <c r="AA18" s="1771" t="str">
        <f t="shared" si="2"/>
        <v/>
      </c>
      <c r="AB18" s="1771" t="str">
        <f t="shared" si="2"/>
        <v/>
      </c>
      <c r="AC18" s="3442" t="str">
        <f t="shared" si="2"/>
        <v/>
      </c>
      <c r="AD18" s="1771" t="str">
        <f t="shared" si="2"/>
        <v/>
      </c>
      <c r="AE18" s="1771" t="str">
        <f t="shared" si="2"/>
        <v/>
      </c>
      <c r="AF18" s="1771">
        <f t="shared" si="2"/>
        <v>1.4</v>
      </c>
      <c r="AG18" s="3442" t="str">
        <f t="shared" si="2"/>
        <v/>
      </c>
      <c r="AH18" s="1771" t="str">
        <f t="shared" si="2"/>
        <v/>
      </c>
      <c r="AI18" s="3442" t="str">
        <f t="shared" si="4"/>
        <v/>
      </c>
      <c r="AJ18" s="3462"/>
      <c r="AK18" s="3439" t="str">
        <f>IF(J18=J319,"stop","")</f>
        <v/>
      </c>
      <c r="AL18" s="3437" t="str">
        <f t="shared" si="5"/>
        <v/>
      </c>
      <c r="AM18" s="1771" t="str">
        <f t="shared" si="5"/>
        <v/>
      </c>
      <c r="AN18" s="1771" t="str">
        <f t="shared" si="5"/>
        <v/>
      </c>
      <c r="AO18" s="1771" t="str">
        <f t="shared" si="5"/>
        <v/>
      </c>
      <c r="AP18" s="3443" t="str">
        <f t="shared" si="5"/>
        <v/>
      </c>
      <c r="AQ18" s="1771" t="str">
        <f t="shared" si="6"/>
        <v/>
      </c>
      <c r="AR18" s="1771" t="str">
        <f t="shared" si="6"/>
        <v/>
      </c>
      <c r="AS18" s="3442" t="str">
        <f t="shared" si="6"/>
        <v/>
      </c>
      <c r="AT18" s="1771" t="str">
        <f t="shared" si="5"/>
        <v/>
      </c>
      <c r="AU18" s="1771" t="str">
        <f t="shared" si="5"/>
        <v/>
      </c>
      <c r="AV18" s="1771" t="str">
        <f t="shared" si="5"/>
        <v/>
      </c>
      <c r="AW18" s="3442" t="str">
        <f t="shared" si="5"/>
        <v/>
      </c>
      <c r="AX18" s="1771" t="str">
        <f t="shared" si="7"/>
        <v/>
      </c>
      <c r="AY18" s="1771" t="str">
        <f t="shared" si="7"/>
        <v/>
      </c>
      <c r="AZ18" s="1771">
        <f t="shared" si="7"/>
        <v>2.9</v>
      </c>
      <c r="BA18" s="1771" t="str">
        <f t="shared" si="7"/>
        <v/>
      </c>
      <c r="BB18" s="3437" t="str">
        <f t="shared" si="7"/>
        <v/>
      </c>
      <c r="BC18" s="3443" t="str">
        <f t="shared" si="7"/>
        <v/>
      </c>
      <c r="BD18" s="3462"/>
      <c r="BE18" s="3440" t="str">
        <f>IF(J18=J319,"stop","")</f>
        <v/>
      </c>
      <c r="BF18" s="1771" t="str">
        <f t="shared" si="8"/>
        <v/>
      </c>
      <c r="BG18" s="1771" t="str">
        <f t="shared" si="8"/>
        <v/>
      </c>
      <c r="BH18" s="1771" t="str">
        <f t="shared" si="8"/>
        <v/>
      </c>
      <c r="BI18" s="1771" t="str">
        <f t="shared" si="8"/>
        <v/>
      </c>
      <c r="BJ18" s="3443" t="str">
        <f t="shared" si="8"/>
        <v/>
      </c>
      <c r="BK18" s="3437" t="str">
        <f t="shared" si="9"/>
        <v/>
      </c>
      <c r="BL18" s="1771" t="str">
        <f t="shared" si="9"/>
        <v/>
      </c>
      <c r="BM18" s="3442" t="str">
        <f t="shared" si="9"/>
        <v/>
      </c>
      <c r="BN18" s="1771" t="str">
        <f t="shared" si="8"/>
        <v/>
      </c>
      <c r="BO18" s="1771" t="str">
        <f t="shared" si="8"/>
        <v/>
      </c>
      <c r="BP18" s="1771" t="str">
        <f t="shared" si="8"/>
        <v/>
      </c>
      <c r="BQ18" s="1771" t="str">
        <f t="shared" si="8"/>
        <v/>
      </c>
      <c r="BR18" s="3437" t="str">
        <f t="shared" si="10"/>
        <v/>
      </c>
      <c r="BS18" s="1771" t="str">
        <f t="shared" si="10"/>
        <v/>
      </c>
      <c r="BT18" s="1771">
        <f t="shared" si="10"/>
        <v>2.0149441679609885</v>
      </c>
      <c r="BU18" s="3442" t="str">
        <f t="shared" si="10"/>
        <v/>
      </c>
      <c r="BV18" s="1771" t="str">
        <f t="shared" si="10"/>
        <v/>
      </c>
      <c r="BW18" s="3442" t="str">
        <f t="shared" si="10"/>
        <v/>
      </c>
      <c r="BX18" s="3462"/>
      <c r="BY18" s="3439" t="str">
        <f>IF(L18=L319,"stop","")</f>
        <v/>
      </c>
      <c r="BZ18" s="3437" t="str">
        <f t="shared" si="11"/>
        <v/>
      </c>
      <c r="CA18" s="1771" t="str">
        <f t="shared" si="11"/>
        <v/>
      </c>
      <c r="CB18" s="1771" t="str">
        <f t="shared" si="11"/>
        <v/>
      </c>
      <c r="CC18" s="3442" t="str">
        <f t="shared" si="11"/>
        <v/>
      </c>
      <c r="CD18" s="1771" t="str">
        <f t="shared" si="11"/>
        <v/>
      </c>
      <c r="CE18" s="3437" t="str">
        <f t="shared" si="12"/>
        <v/>
      </c>
      <c r="CF18" s="1771" t="str">
        <f t="shared" si="12"/>
        <v/>
      </c>
      <c r="CG18" s="1771" t="str">
        <f t="shared" si="12"/>
        <v/>
      </c>
      <c r="CH18" s="3437" t="str">
        <f t="shared" si="11"/>
        <v/>
      </c>
      <c r="CI18" s="1771" t="str">
        <f t="shared" si="11"/>
        <v/>
      </c>
      <c r="CJ18" s="1771" t="str">
        <f t="shared" si="11"/>
        <v/>
      </c>
      <c r="CK18" s="3442" t="str">
        <f t="shared" si="11"/>
        <v/>
      </c>
      <c r="CL18" s="3437" t="str">
        <f t="shared" si="13"/>
        <v/>
      </c>
      <c r="CM18" s="1771" t="str">
        <f t="shared" si="13"/>
        <v/>
      </c>
      <c r="CN18" s="1771">
        <f t="shared" si="13"/>
        <v>2.15</v>
      </c>
      <c r="CO18" s="3442" t="str">
        <f t="shared" si="13"/>
        <v/>
      </c>
      <c r="CP18" s="1771" t="str">
        <f t="shared" si="13"/>
        <v/>
      </c>
      <c r="CQ18" s="3442" t="str">
        <f t="shared" si="13"/>
        <v/>
      </c>
      <c r="CR18" s="3462"/>
    </row>
    <row r="19" spans="1:96" s="3" customFormat="1">
      <c r="A19" s="1838" t="s">
        <v>705</v>
      </c>
      <c r="B19" s="1775">
        <v>18</v>
      </c>
      <c r="C19" s="1775">
        <v>18</v>
      </c>
      <c r="D19" s="1775">
        <v>1.2</v>
      </c>
      <c r="E19" s="1796" t="s">
        <v>35</v>
      </c>
      <c r="F19" s="1775">
        <v>2</v>
      </c>
      <c r="G19" s="1775" t="s">
        <v>695</v>
      </c>
      <c r="H19" s="1775">
        <v>1996</v>
      </c>
      <c r="I19" s="1807"/>
      <c r="J19" s="1775">
        <f t="shared" si="0"/>
        <v>18</v>
      </c>
      <c r="K19" s="1775">
        <v>1.2</v>
      </c>
      <c r="L19" s="1775" t="s">
        <v>35</v>
      </c>
      <c r="M19" s="1775">
        <v>2</v>
      </c>
      <c r="N19" s="1788">
        <f t="shared" si="14"/>
        <v>1.5491933384829668</v>
      </c>
      <c r="O19" s="1829">
        <f t="shared" si="15"/>
        <v>1.6</v>
      </c>
      <c r="P19" s="1776" t="s">
        <v>1087</v>
      </c>
      <c r="Q19" s="3" t="str">
        <f>IF(J19=J319,"stop","")</f>
        <v/>
      </c>
      <c r="R19" s="3437" t="str">
        <f t="shared" si="1"/>
        <v/>
      </c>
      <c r="S19" s="1771" t="str">
        <f t="shared" si="2"/>
        <v/>
      </c>
      <c r="T19" s="1771" t="str">
        <f t="shared" si="2"/>
        <v/>
      </c>
      <c r="U19" s="1771" t="str">
        <f t="shared" si="2"/>
        <v/>
      </c>
      <c r="V19" s="3443" t="str">
        <f t="shared" si="2"/>
        <v/>
      </c>
      <c r="W19" s="1771" t="str">
        <f t="shared" si="3"/>
        <v/>
      </c>
      <c r="X19" s="1771" t="str">
        <f t="shared" si="3"/>
        <v/>
      </c>
      <c r="Y19" s="1771" t="str">
        <f t="shared" si="3"/>
        <v/>
      </c>
      <c r="Z19" s="3437" t="str">
        <f t="shared" si="2"/>
        <v/>
      </c>
      <c r="AA19" s="1771" t="str">
        <f t="shared" si="2"/>
        <v/>
      </c>
      <c r="AB19" s="1771" t="str">
        <f t="shared" si="2"/>
        <v/>
      </c>
      <c r="AC19" s="3442" t="str">
        <f t="shared" si="2"/>
        <v/>
      </c>
      <c r="AD19" s="1771" t="str">
        <f t="shared" si="2"/>
        <v/>
      </c>
      <c r="AE19" s="1771" t="str">
        <f t="shared" si="2"/>
        <v/>
      </c>
      <c r="AF19" s="1771">
        <f t="shared" si="2"/>
        <v>1.2</v>
      </c>
      <c r="AG19" s="3442" t="str">
        <f t="shared" si="2"/>
        <v/>
      </c>
      <c r="AH19" s="1771" t="str">
        <f t="shared" si="2"/>
        <v/>
      </c>
      <c r="AI19" s="3442" t="str">
        <f t="shared" si="4"/>
        <v/>
      </c>
      <c r="AJ19" s="3462"/>
      <c r="AK19" s="3439" t="str">
        <f>IF(J19=J319,"stop","")</f>
        <v/>
      </c>
      <c r="AL19" s="3437" t="str">
        <f t="shared" ref="AL19:AW28" si="16">IF(AND($J19&gt;AL$4,$J19&lt;=AL$5,$P19=AL$6),$M19,"")</f>
        <v/>
      </c>
      <c r="AM19" s="1771" t="str">
        <f t="shared" si="16"/>
        <v/>
      </c>
      <c r="AN19" s="1771" t="str">
        <f t="shared" si="16"/>
        <v/>
      </c>
      <c r="AO19" s="1771" t="str">
        <f t="shared" si="16"/>
        <v/>
      </c>
      <c r="AP19" s="3443" t="str">
        <f t="shared" si="16"/>
        <v/>
      </c>
      <c r="AQ19" s="1771" t="str">
        <f t="shared" si="6"/>
        <v/>
      </c>
      <c r="AR19" s="1771" t="str">
        <f t="shared" si="6"/>
        <v/>
      </c>
      <c r="AS19" s="3442" t="str">
        <f t="shared" si="6"/>
        <v/>
      </c>
      <c r="AT19" s="1771" t="str">
        <f t="shared" si="16"/>
        <v/>
      </c>
      <c r="AU19" s="1771" t="str">
        <f t="shared" si="16"/>
        <v/>
      </c>
      <c r="AV19" s="1771" t="str">
        <f t="shared" si="16"/>
        <v/>
      </c>
      <c r="AW19" s="3442" t="str">
        <f t="shared" si="16"/>
        <v/>
      </c>
      <c r="AX19" s="1771" t="str">
        <f t="shared" ref="AX19:BC28" si="17">IF(AND($J19&gt;AX$4,$J19&lt;=AX$5,$P19=AX$6),$M19,"")</f>
        <v/>
      </c>
      <c r="AY19" s="1771" t="str">
        <f t="shared" si="17"/>
        <v/>
      </c>
      <c r="AZ19" s="1771">
        <f t="shared" si="17"/>
        <v>2</v>
      </c>
      <c r="BA19" s="1771" t="str">
        <f t="shared" si="17"/>
        <v/>
      </c>
      <c r="BB19" s="3437" t="str">
        <f t="shared" si="17"/>
        <v/>
      </c>
      <c r="BC19" s="3443" t="str">
        <f t="shared" si="17"/>
        <v/>
      </c>
      <c r="BD19" s="3462"/>
      <c r="BE19" s="3440" t="str">
        <f>IF(J19=J319,"stop","")</f>
        <v/>
      </c>
      <c r="BF19" s="1771" t="str">
        <f t="shared" ref="BF19:BQ28" si="18">IF(AND($J19&gt;BF$4,$J19&lt;=BF$5,$P19=BF$6),$N19,"")</f>
        <v/>
      </c>
      <c r="BG19" s="1771" t="str">
        <f t="shared" si="18"/>
        <v/>
      </c>
      <c r="BH19" s="1771" t="str">
        <f t="shared" si="18"/>
        <v/>
      </c>
      <c r="BI19" s="1771" t="str">
        <f t="shared" si="18"/>
        <v/>
      </c>
      <c r="BJ19" s="3443" t="str">
        <f t="shared" si="18"/>
        <v/>
      </c>
      <c r="BK19" s="3437" t="str">
        <f t="shared" si="9"/>
        <v/>
      </c>
      <c r="BL19" s="1771" t="str">
        <f t="shared" si="9"/>
        <v/>
      </c>
      <c r="BM19" s="3442" t="str">
        <f t="shared" si="9"/>
        <v/>
      </c>
      <c r="BN19" s="1771" t="str">
        <f t="shared" si="18"/>
        <v/>
      </c>
      <c r="BO19" s="1771" t="str">
        <f t="shared" si="18"/>
        <v/>
      </c>
      <c r="BP19" s="1771" t="str">
        <f t="shared" si="18"/>
        <v/>
      </c>
      <c r="BQ19" s="1771" t="str">
        <f t="shared" si="18"/>
        <v/>
      </c>
      <c r="BR19" s="3437" t="str">
        <f t="shared" ref="BR19:BW28" si="19">IF(AND($J19&gt;BR$4,$J19&lt;=BR$5,$P19=BR$6),$N19,"")</f>
        <v/>
      </c>
      <c r="BS19" s="1771" t="str">
        <f t="shared" si="19"/>
        <v/>
      </c>
      <c r="BT19" s="1771">
        <f t="shared" si="19"/>
        <v>1.5491933384829668</v>
      </c>
      <c r="BU19" s="3442" t="str">
        <f t="shared" si="19"/>
        <v/>
      </c>
      <c r="BV19" s="1771" t="str">
        <f t="shared" si="19"/>
        <v/>
      </c>
      <c r="BW19" s="3442" t="str">
        <f t="shared" si="19"/>
        <v/>
      </c>
      <c r="BX19" s="3462"/>
      <c r="BY19" s="3439" t="str">
        <f>IF(L19=L319,"stop","")</f>
        <v/>
      </c>
      <c r="BZ19" s="3437" t="str">
        <f t="shared" ref="BZ19:CK28" si="20">IF(AND($J19&gt;BZ$4,$J19&lt;=BZ$5,$P19=BZ$6),$O19,"")</f>
        <v/>
      </c>
      <c r="CA19" s="1771" t="str">
        <f t="shared" si="20"/>
        <v/>
      </c>
      <c r="CB19" s="1771" t="str">
        <f t="shared" si="20"/>
        <v/>
      </c>
      <c r="CC19" s="3442" t="str">
        <f t="shared" si="20"/>
        <v/>
      </c>
      <c r="CD19" s="1771" t="str">
        <f t="shared" si="20"/>
        <v/>
      </c>
      <c r="CE19" s="3437" t="str">
        <f t="shared" si="12"/>
        <v/>
      </c>
      <c r="CF19" s="1771" t="str">
        <f t="shared" si="12"/>
        <v/>
      </c>
      <c r="CG19" s="1771" t="str">
        <f t="shared" si="12"/>
        <v/>
      </c>
      <c r="CH19" s="3437" t="str">
        <f t="shared" si="20"/>
        <v/>
      </c>
      <c r="CI19" s="1771" t="str">
        <f t="shared" si="20"/>
        <v/>
      </c>
      <c r="CJ19" s="1771" t="str">
        <f t="shared" si="20"/>
        <v/>
      </c>
      <c r="CK19" s="3442" t="str">
        <f t="shared" si="20"/>
        <v/>
      </c>
      <c r="CL19" s="3437" t="str">
        <f t="shared" ref="CL19:CQ28" si="21">IF(AND($J19&gt;CL$4,$J19&lt;=CL$5,$P19=CL$6),$O19,"")</f>
        <v/>
      </c>
      <c r="CM19" s="1771" t="str">
        <f t="shared" si="21"/>
        <v/>
      </c>
      <c r="CN19" s="1771">
        <f t="shared" si="21"/>
        <v>1.6</v>
      </c>
      <c r="CO19" s="3442" t="str">
        <f t="shared" si="21"/>
        <v/>
      </c>
      <c r="CP19" s="1771" t="str">
        <f t="shared" si="21"/>
        <v/>
      </c>
      <c r="CQ19" s="3442" t="str">
        <f t="shared" si="21"/>
        <v/>
      </c>
      <c r="CR19" s="3462"/>
    </row>
    <row r="20" spans="1:96" s="3" customFormat="1">
      <c r="A20" s="1838" t="s">
        <v>706</v>
      </c>
      <c r="B20" s="1775">
        <v>19</v>
      </c>
      <c r="C20" s="1775">
        <v>19</v>
      </c>
      <c r="D20" s="1775">
        <v>0.7</v>
      </c>
      <c r="E20" s="1796" t="s">
        <v>35</v>
      </c>
      <c r="F20" s="1775">
        <v>1.5</v>
      </c>
      <c r="G20" s="1775" t="s">
        <v>695</v>
      </c>
      <c r="H20" s="1775">
        <v>1996</v>
      </c>
      <c r="I20" s="1807"/>
      <c r="J20" s="1775">
        <f t="shared" si="0"/>
        <v>19</v>
      </c>
      <c r="K20" s="1775">
        <v>0.7</v>
      </c>
      <c r="L20" s="1775" t="s">
        <v>35</v>
      </c>
      <c r="M20" s="1775">
        <v>1.5</v>
      </c>
      <c r="N20" s="1788">
        <f t="shared" si="14"/>
        <v>1.0246950765959597</v>
      </c>
      <c r="O20" s="1829">
        <f t="shared" si="15"/>
        <v>1.1000000000000001</v>
      </c>
      <c r="P20" s="1776" t="s">
        <v>1087</v>
      </c>
      <c r="Q20" s="3" t="str">
        <f>IF(J20=J319,"stop","")</f>
        <v/>
      </c>
      <c r="R20" s="3437" t="str">
        <f t="shared" si="1"/>
        <v/>
      </c>
      <c r="S20" s="1771" t="str">
        <f t="shared" si="2"/>
        <v/>
      </c>
      <c r="T20" s="1771" t="str">
        <f t="shared" si="2"/>
        <v/>
      </c>
      <c r="U20" s="1771" t="str">
        <f t="shared" si="2"/>
        <v/>
      </c>
      <c r="V20" s="3443" t="str">
        <f t="shared" si="2"/>
        <v/>
      </c>
      <c r="W20" s="1771" t="str">
        <f t="shared" si="3"/>
        <v/>
      </c>
      <c r="X20" s="1771" t="str">
        <f t="shared" si="3"/>
        <v/>
      </c>
      <c r="Y20" s="1771" t="str">
        <f t="shared" si="3"/>
        <v/>
      </c>
      <c r="Z20" s="3437" t="str">
        <f t="shared" si="2"/>
        <v/>
      </c>
      <c r="AA20" s="1771" t="str">
        <f t="shared" si="2"/>
        <v/>
      </c>
      <c r="AB20" s="1771" t="str">
        <f t="shared" si="2"/>
        <v/>
      </c>
      <c r="AC20" s="3442" t="str">
        <f t="shared" si="2"/>
        <v/>
      </c>
      <c r="AD20" s="1771" t="str">
        <f t="shared" si="2"/>
        <v/>
      </c>
      <c r="AE20" s="1771" t="str">
        <f t="shared" si="2"/>
        <v/>
      </c>
      <c r="AF20" s="1771">
        <f t="shared" si="2"/>
        <v>0.7</v>
      </c>
      <c r="AG20" s="3442" t="str">
        <f t="shared" si="2"/>
        <v/>
      </c>
      <c r="AH20" s="1771" t="str">
        <f t="shared" si="2"/>
        <v/>
      </c>
      <c r="AI20" s="3442" t="str">
        <f t="shared" si="4"/>
        <v/>
      </c>
      <c r="AJ20" s="3462"/>
      <c r="AK20" s="3439" t="str">
        <f>IF(J20=J319,"stop","")</f>
        <v/>
      </c>
      <c r="AL20" s="3437" t="str">
        <f t="shared" si="16"/>
        <v/>
      </c>
      <c r="AM20" s="1771" t="str">
        <f t="shared" si="16"/>
        <v/>
      </c>
      <c r="AN20" s="1771" t="str">
        <f t="shared" si="16"/>
        <v/>
      </c>
      <c r="AO20" s="1771" t="str">
        <f t="shared" si="16"/>
        <v/>
      </c>
      <c r="AP20" s="3443" t="str">
        <f t="shared" si="16"/>
        <v/>
      </c>
      <c r="AQ20" s="1771" t="str">
        <f t="shared" si="6"/>
        <v/>
      </c>
      <c r="AR20" s="1771" t="str">
        <f t="shared" si="6"/>
        <v/>
      </c>
      <c r="AS20" s="3442" t="str">
        <f t="shared" si="6"/>
        <v/>
      </c>
      <c r="AT20" s="1771" t="str">
        <f t="shared" si="16"/>
        <v/>
      </c>
      <c r="AU20" s="1771" t="str">
        <f t="shared" si="16"/>
        <v/>
      </c>
      <c r="AV20" s="1771" t="str">
        <f t="shared" si="16"/>
        <v/>
      </c>
      <c r="AW20" s="3442" t="str">
        <f t="shared" si="16"/>
        <v/>
      </c>
      <c r="AX20" s="1771" t="str">
        <f t="shared" si="17"/>
        <v/>
      </c>
      <c r="AY20" s="1771" t="str">
        <f t="shared" si="17"/>
        <v/>
      </c>
      <c r="AZ20" s="1771">
        <f t="shared" si="17"/>
        <v>1.5</v>
      </c>
      <c r="BA20" s="1771" t="str">
        <f t="shared" si="17"/>
        <v/>
      </c>
      <c r="BB20" s="3437" t="str">
        <f t="shared" si="17"/>
        <v/>
      </c>
      <c r="BC20" s="3443" t="str">
        <f t="shared" si="17"/>
        <v/>
      </c>
      <c r="BD20" s="3462"/>
      <c r="BE20" s="3440" t="str">
        <f>IF(J20=J319,"stop","")</f>
        <v/>
      </c>
      <c r="BF20" s="1771" t="str">
        <f t="shared" si="18"/>
        <v/>
      </c>
      <c r="BG20" s="1771" t="str">
        <f t="shared" si="18"/>
        <v/>
      </c>
      <c r="BH20" s="1771" t="str">
        <f t="shared" si="18"/>
        <v/>
      </c>
      <c r="BI20" s="1771" t="str">
        <f t="shared" si="18"/>
        <v/>
      </c>
      <c r="BJ20" s="3443" t="str">
        <f t="shared" si="18"/>
        <v/>
      </c>
      <c r="BK20" s="3437" t="str">
        <f t="shared" si="9"/>
        <v/>
      </c>
      <c r="BL20" s="1771" t="str">
        <f t="shared" si="9"/>
        <v/>
      </c>
      <c r="BM20" s="3442" t="str">
        <f t="shared" si="9"/>
        <v/>
      </c>
      <c r="BN20" s="1771" t="str">
        <f t="shared" si="18"/>
        <v/>
      </c>
      <c r="BO20" s="1771" t="str">
        <f t="shared" si="18"/>
        <v/>
      </c>
      <c r="BP20" s="1771" t="str">
        <f t="shared" si="18"/>
        <v/>
      </c>
      <c r="BQ20" s="1771" t="str">
        <f t="shared" si="18"/>
        <v/>
      </c>
      <c r="BR20" s="3437" t="str">
        <f t="shared" si="19"/>
        <v/>
      </c>
      <c r="BS20" s="1771" t="str">
        <f t="shared" si="19"/>
        <v/>
      </c>
      <c r="BT20" s="1771">
        <f t="shared" si="19"/>
        <v>1.0246950765959597</v>
      </c>
      <c r="BU20" s="3442" t="str">
        <f t="shared" si="19"/>
        <v/>
      </c>
      <c r="BV20" s="1771" t="str">
        <f t="shared" si="19"/>
        <v/>
      </c>
      <c r="BW20" s="3442" t="str">
        <f t="shared" si="19"/>
        <v/>
      </c>
      <c r="BX20" s="3462"/>
      <c r="BY20" s="3439" t="str">
        <f>IF(L20=L319,"stop","")</f>
        <v/>
      </c>
      <c r="BZ20" s="3437" t="str">
        <f t="shared" si="20"/>
        <v/>
      </c>
      <c r="CA20" s="1771" t="str">
        <f t="shared" si="20"/>
        <v/>
      </c>
      <c r="CB20" s="1771" t="str">
        <f t="shared" si="20"/>
        <v/>
      </c>
      <c r="CC20" s="3442" t="str">
        <f t="shared" si="20"/>
        <v/>
      </c>
      <c r="CD20" s="1771" t="str">
        <f t="shared" si="20"/>
        <v/>
      </c>
      <c r="CE20" s="3437" t="str">
        <f t="shared" si="12"/>
        <v/>
      </c>
      <c r="CF20" s="1771" t="str">
        <f t="shared" si="12"/>
        <v/>
      </c>
      <c r="CG20" s="1771" t="str">
        <f t="shared" si="12"/>
        <v/>
      </c>
      <c r="CH20" s="3437" t="str">
        <f t="shared" si="20"/>
        <v/>
      </c>
      <c r="CI20" s="1771" t="str">
        <f t="shared" si="20"/>
        <v/>
      </c>
      <c r="CJ20" s="1771" t="str">
        <f t="shared" si="20"/>
        <v/>
      </c>
      <c r="CK20" s="3442" t="str">
        <f t="shared" si="20"/>
        <v/>
      </c>
      <c r="CL20" s="3437" t="str">
        <f t="shared" si="21"/>
        <v/>
      </c>
      <c r="CM20" s="1771" t="str">
        <f t="shared" si="21"/>
        <v/>
      </c>
      <c r="CN20" s="1771">
        <f t="shared" si="21"/>
        <v>1.1000000000000001</v>
      </c>
      <c r="CO20" s="3442" t="str">
        <f t="shared" si="21"/>
        <v/>
      </c>
      <c r="CP20" s="1771" t="str">
        <f t="shared" si="21"/>
        <v/>
      </c>
      <c r="CQ20" s="3442" t="str">
        <f t="shared" si="21"/>
        <v/>
      </c>
      <c r="CR20" s="3462"/>
    </row>
    <row r="21" spans="1:96" s="3" customFormat="1">
      <c r="A21" s="1838" t="s">
        <v>707</v>
      </c>
      <c r="B21" s="1775">
        <v>20</v>
      </c>
      <c r="C21" s="1775">
        <v>20</v>
      </c>
      <c r="D21" s="1775">
        <v>0.4</v>
      </c>
      <c r="E21" s="1796" t="s">
        <v>35</v>
      </c>
      <c r="F21" s="1775">
        <v>1</v>
      </c>
      <c r="G21" s="1775" t="s">
        <v>695</v>
      </c>
      <c r="H21" s="1775">
        <v>1996</v>
      </c>
      <c r="I21" s="1807"/>
      <c r="J21" s="1775">
        <f t="shared" si="0"/>
        <v>20</v>
      </c>
      <c r="K21" s="1775">
        <v>0.4</v>
      </c>
      <c r="L21" s="1775" t="s">
        <v>35</v>
      </c>
      <c r="M21" s="1775">
        <v>1</v>
      </c>
      <c r="N21" s="1788">
        <f t="shared" si="14"/>
        <v>0.63245553203367588</v>
      </c>
      <c r="O21" s="1829">
        <f t="shared" si="15"/>
        <v>0.7</v>
      </c>
      <c r="P21" s="1776" t="s">
        <v>1087</v>
      </c>
      <c r="Q21" s="3" t="str">
        <f>IF(J21=J319,"stop","")</f>
        <v/>
      </c>
      <c r="R21" s="3437" t="str">
        <f t="shared" si="1"/>
        <v/>
      </c>
      <c r="S21" s="1771" t="str">
        <f t="shared" si="2"/>
        <v/>
      </c>
      <c r="T21" s="1771" t="str">
        <f t="shared" si="2"/>
        <v/>
      </c>
      <c r="U21" s="1771" t="str">
        <f t="shared" si="2"/>
        <v/>
      </c>
      <c r="V21" s="3443" t="str">
        <f t="shared" si="2"/>
        <v/>
      </c>
      <c r="W21" s="1771" t="str">
        <f t="shared" si="3"/>
        <v/>
      </c>
      <c r="X21" s="1771" t="str">
        <f t="shared" si="3"/>
        <v/>
      </c>
      <c r="Y21" s="1771" t="str">
        <f t="shared" si="3"/>
        <v/>
      </c>
      <c r="Z21" s="3437" t="str">
        <f t="shared" si="2"/>
        <v/>
      </c>
      <c r="AA21" s="1771" t="str">
        <f t="shared" si="2"/>
        <v/>
      </c>
      <c r="AB21" s="1771" t="str">
        <f t="shared" si="2"/>
        <v/>
      </c>
      <c r="AC21" s="3442" t="str">
        <f t="shared" si="2"/>
        <v/>
      </c>
      <c r="AD21" s="1771" t="str">
        <f t="shared" si="2"/>
        <v/>
      </c>
      <c r="AE21" s="1771" t="str">
        <f t="shared" si="2"/>
        <v/>
      </c>
      <c r="AF21" s="1771">
        <f t="shared" si="2"/>
        <v>0.4</v>
      </c>
      <c r="AG21" s="3442" t="str">
        <f t="shared" si="2"/>
        <v/>
      </c>
      <c r="AH21" s="1771" t="str">
        <f t="shared" si="2"/>
        <v/>
      </c>
      <c r="AI21" s="3442" t="str">
        <f t="shared" si="4"/>
        <v/>
      </c>
      <c r="AJ21" s="3462"/>
      <c r="AK21" s="3439" t="str">
        <f>IF(J21=J319,"stop","")</f>
        <v/>
      </c>
      <c r="AL21" s="3437" t="str">
        <f t="shared" si="16"/>
        <v/>
      </c>
      <c r="AM21" s="1771" t="str">
        <f t="shared" si="16"/>
        <v/>
      </c>
      <c r="AN21" s="1771" t="str">
        <f t="shared" si="16"/>
        <v/>
      </c>
      <c r="AO21" s="1771" t="str">
        <f t="shared" si="16"/>
        <v/>
      </c>
      <c r="AP21" s="3443" t="str">
        <f t="shared" si="16"/>
        <v/>
      </c>
      <c r="AQ21" s="1771" t="str">
        <f t="shared" si="6"/>
        <v/>
      </c>
      <c r="AR21" s="1771" t="str">
        <f t="shared" si="6"/>
        <v/>
      </c>
      <c r="AS21" s="3442" t="str">
        <f t="shared" si="6"/>
        <v/>
      </c>
      <c r="AT21" s="1771" t="str">
        <f t="shared" si="16"/>
        <v/>
      </c>
      <c r="AU21" s="1771" t="str">
        <f t="shared" si="16"/>
        <v/>
      </c>
      <c r="AV21" s="1771" t="str">
        <f t="shared" si="16"/>
        <v/>
      </c>
      <c r="AW21" s="3442" t="str">
        <f t="shared" si="16"/>
        <v/>
      </c>
      <c r="AX21" s="1771" t="str">
        <f t="shared" si="17"/>
        <v/>
      </c>
      <c r="AY21" s="1771" t="str">
        <f t="shared" si="17"/>
        <v/>
      </c>
      <c r="AZ21" s="1771">
        <f t="shared" si="17"/>
        <v>1</v>
      </c>
      <c r="BA21" s="1771" t="str">
        <f t="shared" si="17"/>
        <v/>
      </c>
      <c r="BB21" s="3437" t="str">
        <f t="shared" si="17"/>
        <v/>
      </c>
      <c r="BC21" s="3443" t="str">
        <f t="shared" si="17"/>
        <v/>
      </c>
      <c r="BD21" s="3462"/>
      <c r="BE21" s="3440" t="str">
        <f>IF(J21=J319,"stop","")</f>
        <v/>
      </c>
      <c r="BF21" s="1771" t="str">
        <f t="shared" si="18"/>
        <v/>
      </c>
      <c r="BG21" s="1771" t="str">
        <f t="shared" si="18"/>
        <v/>
      </c>
      <c r="BH21" s="1771" t="str">
        <f t="shared" si="18"/>
        <v/>
      </c>
      <c r="BI21" s="1771" t="str">
        <f t="shared" si="18"/>
        <v/>
      </c>
      <c r="BJ21" s="3443" t="str">
        <f t="shared" si="18"/>
        <v/>
      </c>
      <c r="BK21" s="3437" t="str">
        <f t="shared" si="9"/>
        <v/>
      </c>
      <c r="BL21" s="1771" t="str">
        <f t="shared" si="9"/>
        <v/>
      </c>
      <c r="BM21" s="3442" t="str">
        <f t="shared" si="9"/>
        <v/>
      </c>
      <c r="BN21" s="1771" t="str">
        <f t="shared" si="18"/>
        <v/>
      </c>
      <c r="BO21" s="1771" t="str">
        <f t="shared" si="18"/>
        <v/>
      </c>
      <c r="BP21" s="1771" t="str">
        <f t="shared" si="18"/>
        <v/>
      </c>
      <c r="BQ21" s="1771" t="str">
        <f t="shared" si="18"/>
        <v/>
      </c>
      <c r="BR21" s="3437" t="str">
        <f t="shared" si="19"/>
        <v/>
      </c>
      <c r="BS21" s="1771" t="str">
        <f t="shared" si="19"/>
        <v/>
      </c>
      <c r="BT21" s="1771">
        <f t="shared" si="19"/>
        <v>0.63245553203367588</v>
      </c>
      <c r="BU21" s="3442" t="str">
        <f t="shared" si="19"/>
        <v/>
      </c>
      <c r="BV21" s="1771" t="str">
        <f t="shared" si="19"/>
        <v/>
      </c>
      <c r="BW21" s="3442" t="str">
        <f t="shared" si="19"/>
        <v/>
      </c>
      <c r="BX21" s="3462"/>
      <c r="BY21" s="3439" t="str">
        <f>IF(L21=L319,"stop","")</f>
        <v/>
      </c>
      <c r="BZ21" s="3437" t="str">
        <f t="shared" si="20"/>
        <v/>
      </c>
      <c r="CA21" s="1771" t="str">
        <f t="shared" si="20"/>
        <v/>
      </c>
      <c r="CB21" s="1771" t="str">
        <f t="shared" si="20"/>
        <v/>
      </c>
      <c r="CC21" s="3442" t="str">
        <f t="shared" si="20"/>
        <v/>
      </c>
      <c r="CD21" s="1771" t="str">
        <f t="shared" si="20"/>
        <v/>
      </c>
      <c r="CE21" s="3437" t="str">
        <f t="shared" si="12"/>
        <v/>
      </c>
      <c r="CF21" s="1771" t="str">
        <f t="shared" si="12"/>
        <v/>
      </c>
      <c r="CG21" s="1771" t="str">
        <f t="shared" si="12"/>
        <v/>
      </c>
      <c r="CH21" s="3437" t="str">
        <f t="shared" si="20"/>
        <v/>
      </c>
      <c r="CI21" s="1771" t="str">
        <f t="shared" si="20"/>
        <v/>
      </c>
      <c r="CJ21" s="1771" t="str">
        <f t="shared" si="20"/>
        <v/>
      </c>
      <c r="CK21" s="3442" t="str">
        <f t="shared" si="20"/>
        <v/>
      </c>
      <c r="CL21" s="3437" t="str">
        <f t="shared" si="21"/>
        <v/>
      </c>
      <c r="CM21" s="1771" t="str">
        <f t="shared" si="21"/>
        <v/>
      </c>
      <c r="CN21" s="1771">
        <f t="shared" si="21"/>
        <v>0.7</v>
      </c>
      <c r="CO21" s="3442" t="str">
        <f t="shared" si="21"/>
        <v/>
      </c>
      <c r="CP21" s="1771" t="str">
        <f t="shared" si="21"/>
        <v/>
      </c>
      <c r="CQ21" s="3442" t="str">
        <f t="shared" si="21"/>
        <v/>
      </c>
      <c r="CR21" s="3462"/>
    </row>
    <row r="22" spans="1:96" s="3" customFormat="1">
      <c r="A22" s="1838" t="s">
        <v>708</v>
      </c>
      <c r="B22" s="1775">
        <v>21</v>
      </c>
      <c r="C22" s="1775">
        <v>21</v>
      </c>
      <c r="D22" s="1775">
        <v>0.26</v>
      </c>
      <c r="E22" s="1796" t="s">
        <v>35</v>
      </c>
      <c r="F22" s="1775">
        <v>0.83</v>
      </c>
      <c r="G22" s="1775" t="s">
        <v>695</v>
      </c>
      <c r="H22" s="1775">
        <v>1996</v>
      </c>
      <c r="I22" s="1807"/>
      <c r="J22" s="1775">
        <f t="shared" si="0"/>
        <v>21</v>
      </c>
      <c r="K22" s="1775">
        <v>0.26</v>
      </c>
      <c r="L22" s="1775" t="s">
        <v>35</v>
      </c>
      <c r="M22" s="1775">
        <v>0.83</v>
      </c>
      <c r="N22" s="1788">
        <f t="shared" si="14"/>
        <v>0.46454278597347737</v>
      </c>
      <c r="O22" s="1829">
        <f t="shared" si="15"/>
        <v>0.54499999999999993</v>
      </c>
      <c r="P22" s="1776" t="s">
        <v>1087</v>
      </c>
      <c r="Q22" s="3" t="str">
        <f>IF(J22=J319,"stop","")</f>
        <v/>
      </c>
      <c r="R22" s="3437" t="str">
        <f t="shared" si="1"/>
        <v/>
      </c>
      <c r="S22" s="1771" t="str">
        <f t="shared" si="2"/>
        <v/>
      </c>
      <c r="T22" s="1771" t="str">
        <f t="shared" si="2"/>
        <v/>
      </c>
      <c r="U22" s="1771" t="str">
        <f t="shared" si="2"/>
        <v/>
      </c>
      <c r="V22" s="3443" t="str">
        <f t="shared" si="2"/>
        <v/>
      </c>
      <c r="W22" s="1771" t="str">
        <f t="shared" si="3"/>
        <v/>
      </c>
      <c r="X22" s="1771" t="str">
        <f t="shared" si="3"/>
        <v/>
      </c>
      <c r="Y22" s="1771" t="str">
        <f t="shared" si="3"/>
        <v/>
      </c>
      <c r="Z22" s="3437" t="str">
        <f t="shared" si="2"/>
        <v/>
      </c>
      <c r="AA22" s="1771" t="str">
        <f t="shared" si="2"/>
        <v/>
      </c>
      <c r="AB22" s="1771" t="str">
        <f t="shared" si="2"/>
        <v/>
      </c>
      <c r="AC22" s="3442" t="str">
        <f t="shared" si="2"/>
        <v/>
      </c>
      <c r="AD22" s="1771" t="str">
        <f t="shared" si="2"/>
        <v/>
      </c>
      <c r="AE22" s="1771" t="str">
        <f t="shared" si="2"/>
        <v/>
      </c>
      <c r="AF22" s="1771">
        <f t="shared" si="2"/>
        <v>0.26</v>
      </c>
      <c r="AG22" s="3442" t="str">
        <f t="shared" si="2"/>
        <v/>
      </c>
      <c r="AH22" s="1771" t="str">
        <f t="shared" si="2"/>
        <v/>
      </c>
      <c r="AI22" s="3442" t="str">
        <f t="shared" si="4"/>
        <v/>
      </c>
      <c r="AJ22" s="3462"/>
      <c r="AK22" s="3439" t="str">
        <f>IF(J22=J319,"stop","")</f>
        <v/>
      </c>
      <c r="AL22" s="3437" t="str">
        <f t="shared" si="16"/>
        <v/>
      </c>
      <c r="AM22" s="1771" t="str">
        <f t="shared" si="16"/>
        <v/>
      </c>
      <c r="AN22" s="1771" t="str">
        <f t="shared" si="16"/>
        <v/>
      </c>
      <c r="AO22" s="1771" t="str">
        <f t="shared" si="16"/>
        <v/>
      </c>
      <c r="AP22" s="3443" t="str">
        <f t="shared" si="16"/>
        <v/>
      </c>
      <c r="AQ22" s="1771" t="str">
        <f t="shared" si="6"/>
        <v/>
      </c>
      <c r="AR22" s="1771" t="str">
        <f t="shared" si="6"/>
        <v/>
      </c>
      <c r="AS22" s="3442" t="str">
        <f t="shared" si="6"/>
        <v/>
      </c>
      <c r="AT22" s="1771" t="str">
        <f t="shared" si="16"/>
        <v/>
      </c>
      <c r="AU22" s="1771" t="str">
        <f t="shared" si="16"/>
        <v/>
      </c>
      <c r="AV22" s="1771" t="str">
        <f t="shared" si="16"/>
        <v/>
      </c>
      <c r="AW22" s="3442" t="str">
        <f t="shared" si="16"/>
        <v/>
      </c>
      <c r="AX22" s="1771" t="str">
        <f t="shared" si="17"/>
        <v/>
      </c>
      <c r="AY22" s="1771" t="str">
        <f t="shared" si="17"/>
        <v/>
      </c>
      <c r="AZ22" s="1771">
        <f t="shared" si="17"/>
        <v>0.83</v>
      </c>
      <c r="BA22" s="1771" t="str">
        <f t="shared" si="17"/>
        <v/>
      </c>
      <c r="BB22" s="3437" t="str">
        <f t="shared" si="17"/>
        <v/>
      </c>
      <c r="BC22" s="3443" t="str">
        <f t="shared" si="17"/>
        <v/>
      </c>
      <c r="BD22" s="3462"/>
      <c r="BE22" s="3440" t="str">
        <f>IF(J22=J319,"stop","")</f>
        <v/>
      </c>
      <c r="BF22" s="1771" t="str">
        <f t="shared" si="18"/>
        <v/>
      </c>
      <c r="BG22" s="1771" t="str">
        <f t="shared" si="18"/>
        <v/>
      </c>
      <c r="BH22" s="1771" t="str">
        <f t="shared" si="18"/>
        <v/>
      </c>
      <c r="BI22" s="1771" t="str">
        <f t="shared" si="18"/>
        <v/>
      </c>
      <c r="BJ22" s="3443" t="str">
        <f t="shared" si="18"/>
        <v/>
      </c>
      <c r="BK22" s="3437" t="str">
        <f t="shared" si="9"/>
        <v/>
      </c>
      <c r="BL22" s="1771" t="str">
        <f t="shared" si="9"/>
        <v/>
      </c>
      <c r="BM22" s="3442" t="str">
        <f t="shared" si="9"/>
        <v/>
      </c>
      <c r="BN22" s="1771" t="str">
        <f t="shared" si="18"/>
        <v/>
      </c>
      <c r="BO22" s="1771" t="str">
        <f t="shared" si="18"/>
        <v/>
      </c>
      <c r="BP22" s="1771" t="str">
        <f t="shared" si="18"/>
        <v/>
      </c>
      <c r="BQ22" s="1771" t="str">
        <f t="shared" si="18"/>
        <v/>
      </c>
      <c r="BR22" s="3437" t="str">
        <f t="shared" si="19"/>
        <v/>
      </c>
      <c r="BS22" s="1771" t="str">
        <f t="shared" si="19"/>
        <v/>
      </c>
      <c r="BT22" s="1771">
        <f t="shared" si="19"/>
        <v>0.46454278597347737</v>
      </c>
      <c r="BU22" s="3442" t="str">
        <f t="shared" si="19"/>
        <v/>
      </c>
      <c r="BV22" s="1771" t="str">
        <f t="shared" si="19"/>
        <v/>
      </c>
      <c r="BW22" s="3442" t="str">
        <f t="shared" si="19"/>
        <v/>
      </c>
      <c r="BX22" s="3462"/>
      <c r="BY22" s="3439" t="str">
        <f>IF(L22=L319,"stop","")</f>
        <v/>
      </c>
      <c r="BZ22" s="3437" t="str">
        <f t="shared" si="20"/>
        <v/>
      </c>
      <c r="CA22" s="1771" t="str">
        <f t="shared" si="20"/>
        <v/>
      </c>
      <c r="CB22" s="1771" t="str">
        <f t="shared" si="20"/>
        <v/>
      </c>
      <c r="CC22" s="3442" t="str">
        <f t="shared" si="20"/>
        <v/>
      </c>
      <c r="CD22" s="1771" t="str">
        <f t="shared" si="20"/>
        <v/>
      </c>
      <c r="CE22" s="3437" t="str">
        <f t="shared" si="12"/>
        <v/>
      </c>
      <c r="CF22" s="1771" t="str">
        <f t="shared" si="12"/>
        <v/>
      </c>
      <c r="CG22" s="1771" t="str">
        <f t="shared" si="12"/>
        <v/>
      </c>
      <c r="CH22" s="3437" t="str">
        <f t="shared" si="20"/>
        <v/>
      </c>
      <c r="CI22" s="1771" t="str">
        <f t="shared" si="20"/>
        <v/>
      </c>
      <c r="CJ22" s="1771" t="str">
        <f t="shared" si="20"/>
        <v/>
      </c>
      <c r="CK22" s="3442" t="str">
        <f t="shared" si="20"/>
        <v/>
      </c>
      <c r="CL22" s="3437" t="str">
        <f t="shared" si="21"/>
        <v/>
      </c>
      <c r="CM22" s="1771" t="str">
        <f t="shared" si="21"/>
        <v/>
      </c>
      <c r="CN22" s="1771">
        <f t="shared" si="21"/>
        <v>0.54499999999999993</v>
      </c>
      <c r="CO22" s="3442" t="str">
        <f t="shared" si="21"/>
        <v/>
      </c>
      <c r="CP22" s="1771" t="str">
        <f t="shared" si="21"/>
        <v/>
      </c>
      <c r="CQ22" s="3442" t="str">
        <f t="shared" si="21"/>
        <v/>
      </c>
      <c r="CR22" s="3462"/>
    </row>
    <row r="23" spans="1:96" s="3" customFormat="1">
      <c r="A23" s="1838" t="s">
        <v>709</v>
      </c>
      <c r="B23" s="1775">
        <v>22</v>
      </c>
      <c r="C23" s="1775">
        <v>22</v>
      </c>
      <c r="D23" s="1775">
        <v>0.14000000000000001</v>
      </c>
      <c r="E23" s="1796" t="s">
        <v>35</v>
      </c>
      <c r="F23" s="1775">
        <v>0.44</v>
      </c>
      <c r="G23" s="1775" t="s">
        <v>695</v>
      </c>
      <c r="H23" s="1775">
        <v>1996</v>
      </c>
      <c r="I23" s="1807"/>
      <c r="J23" s="1775">
        <f t="shared" si="0"/>
        <v>22</v>
      </c>
      <c r="K23" s="1775">
        <v>0.14000000000000001</v>
      </c>
      <c r="L23" s="1775" t="s">
        <v>35</v>
      </c>
      <c r="M23" s="1775">
        <v>0.44</v>
      </c>
      <c r="N23" s="1788">
        <f t="shared" si="14"/>
        <v>0.24819347291981714</v>
      </c>
      <c r="O23" s="1829">
        <f t="shared" si="15"/>
        <v>0.29000000000000004</v>
      </c>
      <c r="P23" s="1776" t="s">
        <v>1087</v>
      </c>
      <c r="Q23" s="3" t="str">
        <f>IF(J23=J319,"stop","")</f>
        <v/>
      </c>
      <c r="R23" s="3437" t="str">
        <f t="shared" si="1"/>
        <v/>
      </c>
      <c r="S23" s="1771" t="str">
        <f t="shared" si="2"/>
        <v/>
      </c>
      <c r="T23" s="1771" t="str">
        <f t="shared" si="2"/>
        <v/>
      </c>
      <c r="U23" s="1771" t="str">
        <f t="shared" si="2"/>
        <v/>
      </c>
      <c r="V23" s="3443" t="str">
        <f t="shared" si="2"/>
        <v/>
      </c>
      <c r="W23" s="1771" t="str">
        <f t="shared" si="3"/>
        <v/>
      </c>
      <c r="X23" s="1771" t="str">
        <f t="shared" si="3"/>
        <v/>
      </c>
      <c r="Y23" s="1771" t="str">
        <f t="shared" si="3"/>
        <v/>
      </c>
      <c r="Z23" s="3437" t="str">
        <f t="shared" si="2"/>
        <v/>
      </c>
      <c r="AA23" s="1771" t="str">
        <f t="shared" si="2"/>
        <v/>
      </c>
      <c r="AB23" s="1771" t="str">
        <f t="shared" si="2"/>
        <v/>
      </c>
      <c r="AC23" s="3442" t="str">
        <f t="shared" si="2"/>
        <v/>
      </c>
      <c r="AD23" s="1771" t="str">
        <f t="shared" si="2"/>
        <v/>
      </c>
      <c r="AE23" s="1771" t="str">
        <f t="shared" si="2"/>
        <v/>
      </c>
      <c r="AF23" s="1771" t="str">
        <f t="shared" si="2"/>
        <v/>
      </c>
      <c r="AG23" s="3442">
        <f t="shared" si="2"/>
        <v>0.14000000000000001</v>
      </c>
      <c r="AH23" s="1771" t="str">
        <f t="shared" si="2"/>
        <v/>
      </c>
      <c r="AI23" s="3442" t="str">
        <f t="shared" si="4"/>
        <v/>
      </c>
      <c r="AJ23" s="3462"/>
      <c r="AK23" s="3439" t="str">
        <f>IF(J23=J319,"stop","")</f>
        <v/>
      </c>
      <c r="AL23" s="3437" t="str">
        <f t="shared" si="16"/>
        <v/>
      </c>
      <c r="AM23" s="1771" t="str">
        <f t="shared" si="16"/>
        <v/>
      </c>
      <c r="AN23" s="1771" t="str">
        <f t="shared" si="16"/>
        <v/>
      </c>
      <c r="AO23" s="1771" t="str">
        <f t="shared" si="16"/>
        <v/>
      </c>
      <c r="AP23" s="3443" t="str">
        <f t="shared" si="16"/>
        <v/>
      </c>
      <c r="AQ23" s="1771" t="str">
        <f t="shared" si="6"/>
        <v/>
      </c>
      <c r="AR23" s="1771" t="str">
        <f t="shared" si="6"/>
        <v/>
      </c>
      <c r="AS23" s="3442" t="str">
        <f t="shared" si="6"/>
        <v/>
      </c>
      <c r="AT23" s="1771" t="str">
        <f t="shared" si="16"/>
        <v/>
      </c>
      <c r="AU23" s="1771" t="str">
        <f t="shared" si="16"/>
        <v/>
      </c>
      <c r="AV23" s="1771" t="str">
        <f t="shared" si="16"/>
        <v/>
      </c>
      <c r="AW23" s="3442" t="str">
        <f t="shared" si="16"/>
        <v/>
      </c>
      <c r="AX23" s="1771" t="str">
        <f t="shared" si="17"/>
        <v/>
      </c>
      <c r="AY23" s="1771" t="str">
        <f t="shared" si="17"/>
        <v/>
      </c>
      <c r="AZ23" s="1771" t="str">
        <f t="shared" si="17"/>
        <v/>
      </c>
      <c r="BA23" s="1771">
        <f t="shared" si="17"/>
        <v>0.44</v>
      </c>
      <c r="BB23" s="3437" t="str">
        <f t="shared" si="17"/>
        <v/>
      </c>
      <c r="BC23" s="3443" t="str">
        <f t="shared" si="17"/>
        <v/>
      </c>
      <c r="BD23" s="3462"/>
      <c r="BE23" s="3440" t="str">
        <f>IF(J23=J319,"stop","")</f>
        <v/>
      </c>
      <c r="BF23" s="1771" t="str">
        <f t="shared" si="18"/>
        <v/>
      </c>
      <c r="BG23" s="1771" t="str">
        <f t="shared" si="18"/>
        <v/>
      </c>
      <c r="BH23" s="1771" t="str">
        <f t="shared" si="18"/>
        <v/>
      </c>
      <c r="BI23" s="1771" t="str">
        <f t="shared" si="18"/>
        <v/>
      </c>
      <c r="BJ23" s="3443" t="str">
        <f t="shared" si="18"/>
        <v/>
      </c>
      <c r="BK23" s="3437" t="str">
        <f t="shared" si="9"/>
        <v/>
      </c>
      <c r="BL23" s="1771" t="str">
        <f t="shared" si="9"/>
        <v/>
      </c>
      <c r="BM23" s="3442" t="str">
        <f t="shared" si="9"/>
        <v/>
      </c>
      <c r="BN23" s="1771" t="str">
        <f t="shared" si="18"/>
        <v/>
      </c>
      <c r="BO23" s="1771" t="str">
        <f t="shared" si="18"/>
        <v/>
      </c>
      <c r="BP23" s="1771" t="str">
        <f t="shared" si="18"/>
        <v/>
      </c>
      <c r="BQ23" s="1771" t="str">
        <f t="shared" si="18"/>
        <v/>
      </c>
      <c r="BR23" s="3437" t="str">
        <f t="shared" si="19"/>
        <v/>
      </c>
      <c r="BS23" s="1771" t="str">
        <f t="shared" si="19"/>
        <v/>
      </c>
      <c r="BT23" s="1771" t="str">
        <f t="shared" si="19"/>
        <v/>
      </c>
      <c r="BU23" s="3442">
        <f t="shared" si="19"/>
        <v>0.24819347291981714</v>
      </c>
      <c r="BV23" s="1771" t="str">
        <f t="shared" si="19"/>
        <v/>
      </c>
      <c r="BW23" s="3442" t="str">
        <f t="shared" si="19"/>
        <v/>
      </c>
      <c r="BX23" s="3462"/>
      <c r="BY23" s="3439" t="str">
        <f>IF(L23=L319,"stop","")</f>
        <v/>
      </c>
      <c r="BZ23" s="3437" t="str">
        <f t="shared" si="20"/>
        <v/>
      </c>
      <c r="CA23" s="1771" t="str">
        <f t="shared" si="20"/>
        <v/>
      </c>
      <c r="CB23" s="1771" t="str">
        <f t="shared" si="20"/>
        <v/>
      </c>
      <c r="CC23" s="3442" t="str">
        <f t="shared" si="20"/>
        <v/>
      </c>
      <c r="CD23" s="1771" t="str">
        <f t="shared" si="20"/>
        <v/>
      </c>
      <c r="CE23" s="3437" t="str">
        <f t="shared" si="12"/>
        <v/>
      </c>
      <c r="CF23" s="1771" t="str">
        <f t="shared" si="12"/>
        <v/>
      </c>
      <c r="CG23" s="1771" t="str">
        <f t="shared" si="12"/>
        <v/>
      </c>
      <c r="CH23" s="3437" t="str">
        <f t="shared" si="20"/>
        <v/>
      </c>
      <c r="CI23" s="1771" t="str">
        <f t="shared" si="20"/>
        <v/>
      </c>
      <c r="CJ23" s="1771" t="str">
        <f t="shared" si="20"/>
        <v/>
      </c>
      <c r="CK23" s="3442" t="str">
        <f t="shared" si="20"/>
        <v/>
      </c>
      <c r="CL23" s="3437" t="str">
        <f t="shared" si="21"/>
        <v/>
      </c>
      <c r="CM23" s="1771" t="str">
        <f t="shared" si="21"/>
        <v/>
      </c>
      <c r="CN23" s="1771" t="str">
        <f t="shared" si="21"/>
        <v/>
      </c>
      <c r="CO23" s="3442">
        <f t="shared" si="21"/>
        <v>0.29000000000000004</v>
      </c>
      <c r="CP23" s="1771" t="str">
        <f t="shared" si="21"/>
        <v/>
      </c>
      <c r="CQ23" s="3442" t="str">
        <f t="shared" si="21"/>
        <v/>
      </c>
      <c r="CR23" s="3462"/>
    </row>
    <row r="24" spans="1:96" s="3" customFormat="1">
      <c r="A24" s="1838" t="s">
        <v>710</v>
      </c>
      <c r="B24" s="1775">
        <v>24</v>
      </c>
      <c r="C24" s="1775">
        <v>24</v>
      </c>
      <c r="D24" s="1775">
        <v>0.35</v>
      </c>
      <c r="E24" s="1799" t="s">
        <v>1083</v>
      </c>
      <c r="F24" s="1775">
        <v>0.35</v>
      </c>
      <c r="G24" s="1775" t="s">
        <v>695</v>
      </c>
      <c r="H24" s="1775">
        <v>1996</v>
      </c>
      <c r="I24" s="1807"/>
      <c r="J24" s="1775">
        <f t="shared" si="0"/>
        <v>24</v>
      </c>
      <c r="K24" s="1775">
        <v>0.35</v>
      </c>
      <c r="L24" s="1775"/>
      <c r="M24" s="1775">
        <v>0.35</v>
      </c>
      <c r="N24" s="1788">
        <f t="shared" si="14"/>
        <v>0.35</v>
      </c>
      <c r="O24" s="1829">
        <f t="shared" si="15"/>
        <v>0.35</v>
      </c>
      <c r="P24" s="1776" t="s">
        <v>1087</v>
      </c>
      <c r="Q24" s="3" t="str">
        <f>IF(J24=J319,"stop","")</f>
        <v/>
      </c>
      <c r="R24" s="3437" t="str">
        <f t="shared" si="1"/>
        <v/>
      </c>
      <c r="S24" s="1771" t="str">
        <f t="shared" si="2"/>
        <v/>
      </c>
      <c r="T24" s="1771" t="str">
        <f t="shared" si="2"/>
        <v/>
      </c>
      <c r="U24" s="1771" t="str">
        <f t="shared" si="2"/>
        <v/>
      </c>
      <c r="V24" s="3443" t="str">
        <f t="shared" si="2"/>
        <v/>
      </c>
      <c r="W24" s="1771" t="str">
        <f t="shared" si="3"/>
        <v/>
      </c>
      <c r="X24" s="1771" t="str">
        <f t="shared" si="3"/>
        <v/>
      </c>
      <c r="Y24" s="1771" t="str">
        <f t="shared" si="3"/>
        <v/>
      </c>
      <c r="Z24" s="3437" t="str">
        <f t="shared" si="2"/>
        <v/>
      </c>
      <c r="AA24" s="1771" t="str">
        <f t="shared" si="2"/>
        <v/>
      </c>
      <c r="AB24" s="1771" t="str">
        <f t="shared" si="2"/>
        <v/>
      </c>
      <c r="AC24" s="3442" t="str">
        <f t="shared" si="2"/>
        <v/>
      </c>
      <c r="AD24" s="1771" t="str">
        <f t="shared" si="2"/>
        <v/>
      </c>
      <c r="AE24" s="1771" t="str">
        <f t="shared" si="2"/>
        <v/>
      </c>
      <c r="AF24" s="1771" t="str">
        <f t="shared" si="2"/>
        <v/>
      </c>
      <c r="AG24" s="3442">
        <f t="shared" si="2"/>
        <v>0.35</v>
      </c>
      <c r="AH24" s="1771" t="str">
        <f t="shared" ref="AH24:AH43" si="22">IF(AND($J24&gt;AH$4,$J24&lt;=AH$5,$P24=AH$6),$K24,"")</f>
        <v/>
      </c>
      <c r="AI24" s="3442" t="str">
        <f t="shared" si="4"/>
        <v/>
      </c>
      <c r="AJ24" s="3462"/>
      <c r="AK24" s="3439" t="str">
        <f>IF(J24=J319,"stop","")</f>
        <v/>
      </c>
      <c r="AL24" s="3437" t="str">
        <f t="shared" si="16"/>
        <v/>
      </c>
      <c r="AM24" s="1771" t="str">
        <f t="shared" si="16"/>
        <v/>
      </c>
      <c r="AN24" s="1771" t="str">
        <f t="shared" si="16"/>
        <v/>
      </c>
      <c r="AO24" s="1771" t="str">
        <f t="shared" si="16"/>
        <v/>
      </c>
      <c r="AP24" s="3443" t="str">
        <f t="shared" si="16"/>
        <v/>
      </c>
      <c r="AQ24" s="1771" t="str">
        <f t="shared" si="6"/>
        <v/>
      </c>
      <c r="AR24" s="1771" t="str">
        <f t="shared" si="6"/>
        <v/>
      </c>
      <c r="AS24" s="3442" t="str">
        <f t="shared" si="6"/>
        <v/>
      </c>
      <c r="AT24" s="1771" t="str">
        <f t="shared" si="16"/>
        <v/>
      </c>
      <c r="AU24" s="1771" t="str">
        <f t="shared" si="16"/>
        <v/>
      </c>
      <c r="AV24" s="1771" t="str">
        <f t="shared" si="16"/>
        <v/>
      </c>
      <c r="AW24" s="3442" t="str">
        <f t="shared" si="16"/>
        <v/>
      </c>
      <c r="AX24" s="1771" t="str">
        <f t="shared" si="17"/>
        <v/>
      </c>
      <c r="AY24" s="1771" t="str">
        <f t="shared" si="17"/>
        <v/>
      </c>
      <c r="AZ24" s="1771" t="str">
        <f t="shared" si="17"/>
        <v/>
      </c>
      <c r="BA24" s="1771">
        <f t="shared" si="17"/>
        <v>0.35</v>
      </c>
      <c r="BB24" s="3437" t="str">
        <f t="shared" si="17"/>
        <v/>
      </c>
      <c r="BC24" s="3443" t="str">
        <f t="shared" si="17"/>
        <v/>
      </c>
      <c r="BD24" s="3462"/>
      <c r="BE24" s="3440" t="str">
        <f>IF(J24=J319,"stop","")</f>
        <v/>
      </c>
      <c r="BF24" s="1771" t="str">
        <f t="shared" si="18"/>
        <v/>
      </c>
      <c r="BG24" s="1771" t="str">
        <f t="shared" si="18"/>
        <v/>
      </c>
      <c r="BH24" s="1771" t="str">
        <f t="shared" si="18"/>
        <v/>
      </c>
      <c r="BI24" s="1771" t="str">
        <f t="shared" si="18"/>
        <v/>
      </c>
      <c r="BJ24" s="3443" t="str">
        <f t="shared" si="18"/>
        <v/>
      </c>
      <c r="BK24" s="3437" t="str">
        <f t="shared" si="9"/>
        <v/>
      </c>
      <c r="BL24" s="1771" t="str">
        <f t="shared" si="9"/>
        <v/>
      </c>
      <c r="BM24" s="3442" t="str">
        <f t="shared" si="9"/>
        <v/>
      </c>
      <c r="BN24" s="1771" t="str">
        <f t="shared" si="18"/>
        <v/>
      </c>
      <c r="BO24" s="1771" t="str">
        <f t="shared" si="18"/>
        <v/>
      </c>
      <c r="BP24" s="1771" t="str">
        <f t="shared" si="18"/>
        <v/>
      </c>
      <c r="BQ24" s="1771" t="str">
        <f t="shared" si="18"/>
        <v/>
      </c>
      <c r="BR24" s="3437" t="str">
        <f t="shared" si="19"/>
        <v/>
      </c>
      <c r="BS24" s="1771" t="str">
        <f t="shared" si="19"/>
        <v/>
      </c>
      <c r="BT24" s="1771" t="str">
        <f t="shared" si="19"/>
        <v/>
      </c>
      <c r="BU24" s="3442">
        <f t="shared" si="19"/>
        <v>0.35</v>
      </c>
      <c r="BV24" s="1771" t="str">
        <f t="shared" si="19"/>
        <v/>
      </c>
      <c r="BW24" s="3442" t="str">
        <f t="shared" si="19"/>
        <v/>
      </c>
      <c r="BX24" s="3462"/>
      <c r="BY24" s="3439" t="str">
        <f>IF(L24=L319,"stop","")</f>
        <v>stop</v>
      </c>
      <c r="BZ24" s="3437" t="str">
        <f t="shared" si="20"/>
        <v/>
      </c>
      <c r="CA24" s="1771" t="str">
        <f t="shared" si="20"/>
        <v/>
      </c>
      <c r="CB24" s="1771" t="str">
        <f t="shared" si="20"/>
        <v/>
      </c>
      <c r="CC24" s="3442" t="str">
        <f t="shared" si="20"/>
        <v/>
      </c>
      <c r="CD24" s="1771" t="str">
        <f t="shared" si="20"/>
        <v/>
      </c>
      <c r="CE24" s="3437" t="str">
        <f t="shared" si="12"/>
        <v/>
      </c>
      <c r="CF24" s="1771" t="str">
        <f t="shared" si="12"/>
        <v/>
      </c>
      <c r="CG24" s="1771" t="str">
        <f t="shared" si="12"/>
        <v/>
      </c>
      <c r="CH24" s="3437" t="str">
        <f t="shared" si="20"/>
        <v/>
      </c>
      <c r="CI24" s="1771" t="str">
        <f t="shared" si="20"/>
        <v/>
      </c>
      <c r="CJ24" s="1771" t="str">
        <f t="shared" si="20"/>
        <v/>
      </c>
      <c r="CK24" s="3442" t="str">
        <f t="shared" si="20"/>
        <v/>
      </c>
      <c r="CL24" s="3437" t="str">
        <f t="shared" si="21"/>
        <v/>
      </c>
      <c r="CM24" s="1771" t="str">
        <f t="shared" si="21"/>
        <v/>
      </c>
      <c r="CN24" s="1771" t="str">
        <f t="shared" si="21"/>
        <v/>
      </c>
      <c r="CO24" s="3442">
        <f t="shared" si="21"/>
        <v>0.35</v>
      </c>
      <c r="CP24" s="1771" t="str">
        <f t="shared" si="21"/>
        <v/>
      </c>
      <c r="CQ24" s="3442" t="str">
        <f t="shared" si="21"/>
        <v/>
      </c>
      <c r="CR24" s="3462"/>
    </row>
    <row r="25" spans="1:96" s="3" customFormat="1">
      <c r="A25" s="1837" t="s">
        <v>711</v>
      </c>
      <c r="B25" s="1793" t="s">
        <v>692</v>
      </c>
      <c r="C25" s="1791" t="s">
        <v>693</v>
      </c>
      <c r="D25" s="1775"/>
      <c r="E25" s="1796"/>
      <c r="F25" s="1775"/>
      <c r="G25" s="1775"/>
      <c r="H25" s="1775"/>
      <c r="I25" s="1807"/>
      <c r="J25" s="1775"/>
      <c r="K25" s="1775"/>
      <c r="L25" s="1775"/>
      <c r="M25" s="1775"/>
      <c r="N25" s="1788">
        <f t="shared" si="14"/>
        <v>0</v>
      </c>
      <c r="O25" s="1829">
        <f t="shared" si="15"/>
        <v>0</v>
      </c>
      <c r="P25" s="1776"/>
      <c r="Q25" s="3" t="str">
        <f>IF(J25=J319,"stop","")</f>
        <v/>
      </c>
      <c r="R25" s="3437" t="str">
        <f t="shared" si="1"/>
        <v/>
      </c>
      <c r="S25" s="1771" t="str">
        <f t="shared" ref="S25:AG25" si="23">IF(AND($J25&gt;S$4,$J25&lt;=S$5,$P25=S$6),$K25,"")</f>
        <v/>
      </c>
      <c r="T25" s="1771" t="str">
        <f t="shared" si="23"/>
        <v/>
      </c>
      <c r="U25" s="1771" t="str">
        <f t="shared" si="23"/>
        <v/>
      </c>
      <c r="V25" s="3443" t="str">
        <f t="shared" si="23"/>
        <v/>
      </c>
      <c r="W25" s="1771" t="str">
        <f t="shared" si="3"/>
        <v/>
      </c>
      <c r="X25" s="1771" t="str">
        <f t="shared" si="3"/>
        <v/>
      </c>
      <c r="Y25" s="1771" t="str">
        <f t="shared" si="3"/>
        <v/>
      </c>
      <c r="Z25" s="3437" t="str">
        <f t="shared" si="23"/>
        <v/>
      </c>
      <c r="AA25" s="1771" t="str">
        <f t="shared" si="23"/>
        <v/>
      </c>
      <c r="AB25" s="1771" t="str">
        <f t="shared" si="23"/>
        <v/>
      </c>
      <c r="AC25" s="3442" t="str">
        <f t="shared" si="23"/>
        <v/>
      </c>
      <c r="AD25" s="1771" t="str">
        <f t="shared" si="23"/>
        <v/>
      </c>
      <c r="AE25" s="1771" t="str">
        <f t="shared" si="23"/>
        <v/>
      </c>
      <c r="AF25" s="1771" t="str">
        <f t="shared" si="23"/>
        <v/>
      </c>
      <c r="AG25" s="3442" t="str">
        <f t="shared" si="23"/>
        <v/>
      </c>
      <c r="AH25" s="1771" t="str">
        <f t="shared" si="22"/>
        <v/>
      </c>
      <c r="AI25" s="3442" t="str">
        <f t="shared" si="4"/>
        <v/>
      </c>
      <c r="AJ25" s="3462"/>
      <c r="AK25" s="3439" t="str">
        <f>IF(J25=J319,"stop","")</f>
        <v/>
      </c>
      <c r="AL25" s="3437" t="str">
        <f t="shared" si="16"/>
        <v/>
      </c>
      <c r="AM25" s="1771" t="str">
        <f t="shared" si="16"/>
        <v/>
      </c>
      <c r="AN25" s="1771" t="str">
        <f t="shared" si="16"/>
        <v/>
      </c>
      <c r="AO25" s="1771" t="str">
        <f t="shared" si="16"/>
        <v/>
      </c>
      <c r="AP25" s="3443" t="str">
        <f t="shared" si="16"/>
        <v/>
      </c>
      <c r="AQ25" s="1771" t="str">
        <f t="shared" si="6"/>
        <v/>
      </c>
      <c r="AR25" s="1771" t="str">
        <f t="shared" si="6"/>
        <v/>
      </c>
      <c r="AS25" s="3442" t="str">
        <f t="shared" si="6"/>
        <v/>
      </c>
      <c r="AT25" s="1771" t="str">
        <f t="shared" si="16"/>
        <v/>
      </c>
      <c r="AU25" s="1771" t="str">
        <f t="shared" si="16"/>
        <v/>
      </c>
      <c r="AV25" s="1771" t="str">
        <f t="shared" si="16"/>
        <v/>
      </c>
      <c r="AW25" s="3442" t="str">
        <f t="shared" si="16"/>
        <v/>
      </c>
      <c r="AX25" s="1771" t="str">
        <f t="shared" si="17"/>
        <v/>
      </c>
      <c r="AY25" s="1771" t="str">
        <f t="shared" si="17"/>
        <v/>
      </c>
      <c r="AZ25" s="1771" t="str">
        <f t="shared" si="17"/>
        <v/>
      </c>
      <c r="BA25" s="1771" t="str">
        <f t="shared" si="17"/>
        <v/>
      </c>
      <c r="BB25" s="3437" t="str">
        <f t="shared" si="17"/>
        <v/>
      </c>
      <c r="BC25" s="3443" t="str">
        <f t="shared" si="17"/>
        <v/>
      </c>
      <c r="BD25" s="3462"/>
      <c r="BE25" s="3440" t="str">
        <f>IF(J25=J319,"stop","")</f>
        <v/>
      </c>
      <c r="BF25" s="1771" t="str">
        <f t="shared" si="18"/>
        <v/>
      </c>
      <c r="BG25" s="1771" t="str">
        <f t="shared" si="18"/>
        <v/>
      </c>
      <c r="BH25" s="1771" t="str">
        <f t="shared" si="18"/>
        <v/>
      </c>
      <c r="BI25" s="1771" t="str">
        <f t="shared" si="18"/>
        <v/>
      </c>
      <c r="BJ25" s="3443" t="str">
        <f t="shared" si="18"/>
        <v/>
      </c>
      <c r="BK25" s="3437" t="str">
        <f t="shared" si="9"/>
        <v/>
      </c>
      <c r="BL25" s="1771" t="str">
        <f t="shared" si="9"/>
        <v/>
      </c>
      <c r="BM25" s="3442" t="str">
        <f t="shared" si="9"/>
        <v/>
      </c>
      <c r="BN25" s="1771" t="str">
        <f t="shared" si="18"/>
        <v/>
      </c>
      <c r="BO25" s="1771" t="str">
        <f t="shared" si="18"/>
        <v/>
      </c>
      <c r="BP25" s="1771" t="str">
        <f t="shared" si="18"/>
        <v/>
      </c>
      <c r="BQ25" s="1771" t="str">
        <f t="shared" si="18"/>
        <v/>
      </c>
      <c r="BR25" s="3437" t="str">
        <f t="shared" si="19"/>
        <v/>
      </c>
      <c r="BS25" s="1771" t="str">
        <f t="shared" si="19"/>
        <v/>
      </c>
      <c r="BT25" s="1771" t="str">
        <f t="shared" si="19"/>
        <v/>
      </c>
      <c r="BU25" s="3442" t="str">
        <f t="shared" si="19"/>
        <v/>
      </c>
      <c r="BV25" s="1771" t="str">
        <f t="shared" si="19"/>
        <v/>
      </c>
      <c r="BW25" s="3442" t="str">
        <f t="shared" si="19"/>
        <v/>
      </c>
      <c r="BX25" s="3462"/>
      <c r="BY25" s="3439" t="str">
        <f>IF(L25=L319,"stop","")</f>
        <v>stop</v>
      </c>
      <c r="BZ25" s="3437" t="str">
        <f t="shared" si="20"/>
        <v/>
      </c>
      <c r="CA25" s="1771" t="str">
        <f t="shared" si="20"/>
        <v/>
      </c>
      <c r="CB25" s="1771" t="str">
        <f t="shared" si="20"/>
        <v/>
      </c>
      <c r="CC25" s="3442" t="str">
        <f t="shared" si="20"/>
        <v/>
      </c>
      <c r="CD25" s="1771" t="str">
        <f t="shared" si="20"/>
        <v/>
      </c>
      <c r="CE25" s="3437" t="str">
        <f t="shared" si="12"/>
        <v/>
      </c>
      <c r="CF25" s="1771" t="str">
        <f t="shared" si="12"/>
        <v/>
      </c>
      <c r="CG25" s="1771" t="str">
        <f t="shared" si="12"/>
        <v/>
      </c>
      <c r="CH25" s="3437" t="str">
        <f t="shared" si="20"/>
        <v/>
      </c>
      <c r="CI25" s="1771" t="str">
        <f t="shared" si="20"/>
        <v/>
      </c>
      <c r="CJ25" s="1771" t="str">
        <f t="shared" si="20"/>
        <v/>
      </c>
      <c r="CK25" s="3442" t="str">
        <f t="shared" si="20"/>
        <v/>
      </c>
      <c r="CL25" s="3437" t="str">
        <f t="shared" si="21"/>
        <v/>
      </c>
      <c r="CM25" s="1771" t="str">
        <f t="shared" si="21"/>
        <v/>
      </c>
      <c r="CN25" s="1771" t="str">
        <f t="shared" si="21"/>
        <v/>
      </c>
      <c r="CO25" s="3442" t="str">
        <f t="shared" si="21"/>
        <v/>
      </c>
      <c r="CP25" s="1771" t="str">
        <f t="shared" si="21"/>
        <v/>
      </c>
      <c r="CQ25" s="3442" t="str">
        <f t="shared" si="21"/>
        <v/>
      </c>
      <c r="CR25" s="3462"/>
    </row>
    <row r="26" spans="1:96" s="3" customFormat="1">
      <c r="A26" s="1838" t="s">
        <v>712</v>
      </c>
      <c r="B26" s="1775">
        <v>12</v>
      </c>
      <c r="C26" s="1775"/>
      <c r="D26" s="1775">
        <v>0.09</v>
      </c>
      <c r="E26" s="1796" t="s">
        <v>35</v>
      </c>
      <c r="F26" s="1775">
        <v>0.28000000000000003</v>
      </c>
      <c r="G26" s="1775" t="s">
        <v>695</v>
      </c>
      <c r="H26" s="1775">
        <v>1996</v>
      </c>
      <c r="I26" s="1807"/>
      <c r="J26" s="1792">
        <f>IF(ISBLANK(C26),B26+0.1,C26)</f>
        <v>12.1</v>
      </c>
      <c r="K26" s="1775">
        <v>0.09</v>
      </c>
      <c r="L26" s="1775" t="s">
        <v>35</v>
      </c>
      <c r="M26" s="1775">
        <v>0.28000000000000003</v>
      </c>
      <c r="N26" s="1788">
        <f t="shared" si="14"/>
        <v>0.15874507866387544</v>
      </c>
      <c r="O26" s="1829">
        <f t="shared" si="15"/>
        <v>0.185</v>
      </c>
      <c r="P26" s="1776" t="s">
        <v>1087</v>
      </c>
      <c r="Q26" s="3" t="str">
        <f>IF(J26=J319,"stop","")</f>
        <v/>
      </c>
      <c r="R26" s="3437" t="str">
        <f t="shared" ref="R26:AG41" si="24">IF(AND($J26&gt;R$4,$J26&lt;=R$5,$P26=R$6),$K26,"")</f>
        <v/>
      </c>
      <c r="S26" s="1771" t="str">
        <f t="shared" si="24"/>
        <v/>
      </c>
      <c r="T26" s="1771" t="str">
        <f t="shared" si="24"/>
        <v/>
      </c>
      <c r="U26" s="1771" t="str">
        <f t="shared" si="24"/>
        <v/>
      </c>
      <c r="V26" s="3443" t="str">
        <f t="shared" si="24"/>
        <v/>
      </c>
      <c r="W26" s="1771" t="str">
        <f t="shared" si="3"/>
        <v/>
      </c>
      <c r="X26" s="1771" t="str">
        <f t="shared" si="3"/>
        <v/>
      </c>
      <c r="Y26" s="1771" t="str">
        <f t="shared" si="3"/>
        <v/>
      </c>
      <c r="Z26" s="3437" t="str">
        <f t="shared" si="24"/>
        <v/>
      </c>
      <c r="AA26" s="1771" t="str">
        <f t="shared" si="24"/>
        <v/>
      </c>
      <c r="AB26" s="1771" t="str">
        <f t="shared" si="24"/>
        <v/>
      </c>
      <c r="AC26" s="3442" t="str">
        <f t="shared" si="24"/>
        <v/>
      </c>
      <c r="AD26" s="1771" t="str">
        <f t="shared" si="24"/>
        <v/>
      </c>
      <c r="AE26" s="1771">
        <f t="shared" si="24"/>
        <v>0.09</v>
      </c>
      <c r="AF26" s="1771" t="str">
        <f t="shared" si="24"/>
        <v/>
      </c>
      <c r="AG26" s="3442" t="str">
        <f t="shared" si="24"/>
        <v/>
      </c>
      <c r="AH26" s="1771" t="str">
        <f t="shared" si="22"/>
        <v/>
      </c>
      <c r="AI26" s="3442" t="str">
        <f t="shared" si="4"/>
        <v/>
      </c>
      <c r="AJ26" s="3462"/>
      <c r="AK26" s="3439" t="str">
        <f>IF(J26=J319,"stop","")</f>
        <v/>
      </c>
      <c r="AL26" s="3437" t="str">
        <f t="shared" si="16"/>
        <v/>
      </c>
      <c r="AM26" s="1771" t="str">
        <f t="shared" si="16"/>
        <v/>
      </c>
      <c r="AN26" s="1771" t="str">
        <f t="shared" si="16"/>
        <v/>
      </c>
      <c r="AO26" s="1771" t="str">
        <f t="shared" si="16"/>
        <v/>
      </c>
      <c r="AP26" s="3443" t="str">
        <f t="shared" si="16"/>
        <v/>
      </c>
      <c r="AQ26" s="1771" t="str">
        <f t="shared" si="6"/>
        <v/>
      </c>
      <c r="AR26" s="1771" t="str">
        <f t="shared" si="6"/>
        <v/>
      </c>
      <c r="AS26" s="3442" t="str">
        <f t="shared" si="6"/>
        <v/>
      </c>
      <c r="AT26" s="1771" t="str">
        <f t="shared" si="16"/>
        <v/>
      </c>
      <c r="AU26" s="1771" t="str">
        <f t="shared" si="16"/>
        <v/>
      </c>
      <c r="AV26" s="1771" t="str">
        <f t="shared" si="16"/>
        <v/>
      </c>
      <c r="AW26" s="3442" t="str">
        <f t="shared" si="16"/>
        <v/>
      </c>
      <c r="AX26" s="1771" t="str">
        <f t="shared" si="17"/>
        <v/>
      </c>
      <c r="AY26" s="1771">
        <f t="shared" si="17"/>
        <v>0.28000000000000003</v>
      </c>
      <c r="AZ26" s="1771" t="str">
        <f t="shared" si="17"/>
        <v/>
      </c>
      <c r="BA26" s="1771" t="str">
        <f t="shared" si="17"/>
        <v/>
      </c>
      <c r="BB26" s="3437" t="str">
        <f t="shared" si="17"/>
        <v/>
      </c>
      <c r="BC26" s="3443" t="str">
        <f t="shared" si="17"/>
        <v/>
      </c>
      <c r="BD26" s="3462"/>
      <c r="BE26" s="3440" t="str">
        <f>IF(J26=J319,"stop","")</f>
        <v/>
      </c>
      <c r="BF26" s="1771" t="str">
        <f t="shared" si="18"/>
        <v/>
      </c>
      <c r="BG26" s="1771" t="str">
        <f t="shared" si="18"/>
        <v/>
      </c>
      <c r="BH26" s="1771" t="str">
        <f t="shared" si="18"/>
        <v/>
      </c>
      <c r="BI26" s="1771" t="str">
        <f t="shared" si="18"/>
        <v/>
      </c>
      <c r="BJ26" s="3443" t="str">
        <f t="shared" si="18"/>
        <v/>
      </c>
      <c r="BK26" s="3437" t="str">
        <f t="shared" si="9"/>
        <v/>
      </c>
      <c r="BL26" s="1771" t="str">
        <f t="shared" si="9"/>
        <v/>
      </c>
      <c r="BM26" s="3442" t="str">
        <f t="shared" si="9"/>
        <v/>
      </c>
      <c r="BN26" s="1771" t="str">
        <f t="shared" si="18"/>
        <v/>
      </c>
      <c r="BO26" s="1771" t="str">
        <f t="shared" si="18"/>
        <v/>
      </c>
      <c r="BP26" s="1771" t="str">
        <f t="shared" si="18"/>
        <v/>
      </c>
      <c r="BQ26" s="1771" t="str">
        <f t="shared" si="18"/>
        <v/>
      </c>
      <c r="BR26" s="3437" t="str">
        <f t="shared" si="19"/>
        <v/>
      </c>
      <c r="BS26" s="1771">
        <f t="shared" si="19"/>
        <v>0.15874507866387544</v>
      </c>
      <c r="BT26" s="1771" t="str">
        <f t="shared" si="19"/>
        <v/>
      </c>
      <c r="BU26" s="3442" t="str">
        <f t="shared" si="19"/>
        <v/>
      </c>
      <c r="BV26" s="1771" t="str">
        <f t="shared" si="19"/>
        <v/>
      </c>
      <c r="BW26" s="3442" t="str">
        <f t="shared" si="19"/>
        <v/>
      </c>
      <c r="BX26" s="3462"/>
      <c r="BY26" s="3439" t="str">
        <f>IF(L26=L319,"stop","")</f>
        <v/>
      </c>
      <c r="BZ26" s="3437" t="str">
        <f t="shared" si="20"/>
        <v/>
      </c>
      <c r="CA26" s="1771" t="str">
        <f t="shared" si="20"/>
        <v/>
      </c>
      <c r="CB26" s="1771" t="str">
        <f t="shared" si="20"/>
        <v/>
      </c>
      <c r="CC26" s="3442" t="str">
        <f t="shared" si="20"/>
        <v/>
      </c>
      <c r="CD26" s="1771" t="str">
        <f t="shared" si="20"/>
        <v/>
      </c>
      <c r="CE26" s="3437" t="str">
        <f t="shared" si="12"/>
        <v/>
      </c>
      <c r="CF26" s="1771" t="str">
        <f t="shared" si="12"/>
        <v/>
      </c>
      <c r="CG26" s="1771" t="str">
        <f t="shared" si="12"/>
        <v/>
      </c>
      <c r="CH26" s="3437" t="str">
        <f t="shared" si="20"/>
        <v/>
      </c>
      <c r="CI26" s="1771" t="str">
        <f t="shared" si="20"/>
        <v/>
      </c>
      <c r="CJ26" s="1771" t="str">
        <f t="shared" si="20"/>
        <v/>
      </c>
      <c r="CK26" s="3442" t="str">
        <f t="shared" si="20"/>
        <v/>
      </c>
      <c r="CL26" s="3437" t="str">
        <f t="shared" si="21"/>
        <v/>
      </c>
      <c r="CM26" s="1771">
        <f t="shared" si="21"/>
        <v>0.185</v>
      </c>
      <c r="CN26" s="1771" t="str">
        <f t="shared" si="21"/>
        <v/>
      </c>
      <c r="CO26" s="3442" t="str">
        <f t="shared" si="21"/>
        <v/>
      </c>
      <c r="CP26" s="1771" t="str">
        <f t="shared" si="21"/>
        <v/>
      </c>
      <c r="CQ26" s="3442" t="str">
        <f t="shared" si="21"/>
        <v/>
      </c>
      <c r="CR26" s="3462"/>
    </row>
    <row r="27" spans="1:96" s="3" customFormat="1">
      <c r="A27" s="1838" t="s">
        <v>713</v>
      </c>
      <c r="B27" s="1775">
        <v>13</v>
      </c>
      <c r="C27" s="1775"/>
      <c r="D27" s="1775">
        <v>0.15</v>
      </c>
      <c r="E27" s="1796" t="s">
        <v>35</v>
      </c>
      <c r="F27" s="1775">
        <v>0.52</v>
      </c>
      <c r="G27" s="1775" t="s">
        <v>695</v>
      </c>
      <c r="H27" s="1775">
        <v>1996</v>
      </c>
      <c r="I27" s="1807"/>
      <c r="J27" s="1792">
        <f>IF(ISBLANK(C27),B27+0.1,C27)</f>
        <v>13.1</v>
      </c>
      <c r="K27" s="1775">
        <v>0.15</v>
      </c>
      <c r="L27" s="1775" t="s">
        <v>35</v>
      </c>
      <c r="M27" s="1775">
        <v>0.52</v>
      </c>
      <c r="N27" s="1788">
        <f t="shared" si="14"/>
        <v>0.27928480087537882</v>
      </c>
      <c r="O27" s="1829">
        <f t="shared" si="15"/>
        <v>0.33500000000000002</v>
      </c>
      <c r="P27" s="1776" t="s">
        <v>1087</v>
      </c>
      <c r="Q27" s="3" t="str">
        <f>IF(J27=J319,"stop","")</f>
        <v/>
      </c>
      <c r="R27" s="3437" t="str">
        <f t="shared" si="24"/>
        <v/>
      </c>
      <c r="S27" s="1771" t="str">
        <f t="shared" si="24"/>
        <v/>
      </c>
      <c r="T27" s="1771" t="str">
        <f t="shared" si="24"/>
        <v/>
      </c>
      <c r="U27" s="1771" t="str">
        <f t="shared" si="24"/>
        <v/>
      </c>
      <c r="V27" s="3443" t="str">
        <f t="shared" si="24"/>
        <v/>
      </c>
      <c r="W27" s="1771" t="str">
        <f t="shared" si="3"/>
        <v/>
      </c>
      <c r="X27" s="1771" t="str">
        <f t="shared" si="3"/>
        <v/>
      </c>
      <c r="Y27" s="1771" t="str">
        <f t="shared" si="3"/>
        <v/>
      </c>
      <c r="Z27" s="3437" t="str">
        <f t="shared" si="24"/>
        <v/>
      </c>
      <c r="AA27" s="1771" t="str">
        <f t="shared" si="24"/>
        <v/>
      </c>
      <c r="AB27" s="1771" t="str">
        <f t="shared" si="24"/>
        <v/>
      </c>
      <c r="AC27" s="3442" t="str">
        <f t="shared" si="24"/>
        <v/>
      </c>
      <c r="AD27" s="1771" t="str">
        <f t="shared" si="24"/>
        <v/>
      </c>
      <c r="AE27" s="1771">
        <f t="shared" si="24"/>
        <v>0.15</v>
      </c>
      <c r="AF27" s="1771" t="str">
        <f t="shared" si="24"/>
        <v/>
      </c>
      <c r="AG27" s="3442" t="str">
        <f t="shared" si="24"/>
        <v/>
      </c>
      <c r="AH27" s="1771" t="str">
        <f t="shared" si="22"/>
        <v/>
      </c>
      <c r="AI27" s="3442" t="str">
        <f t="shared" si="4"/>
        <v/>
      </c>
      <c r="AJ27" s="3462"/>
      <c r="AK27" s="3439" t="str">
        <f>IF(J27=J319,"stop","")</f>
        <v/>
      </c>
      <c r="AL27" s="3437" t="str">
        <f t="shared" si="16"/>
        <v/>
      </c>
      <c r="AM27" s="1771" t="str">
        <f t="shared" si="16"/>
        <v/>
      </c>
      <c r="AN27" s="1771" t="str">
        <f t="shared" si="16"/>
        <v/>
      </c>
      <c r="AO27" s="1771" t="str">
        <f t="shared" si="16"/>
        <v/>
      </c>
      <c r="AP27" s="3443" t="str">
        <f t="shared" si="16"/>
        <v/>
      </c>
      <c r="AQ27" s="1771" t="str">
        <f t="shared" si="6"/>
        <v/>
      </c>
      <c r="AR27" s="1771" t="str">
        <f t="shared" si="6"/>
        <v/>
      </c>
      <c r="AS27" s="3442" t="str">
        <f t="shared" si="6"/>
        <v/>
      </c>
      <c r="AT27" s="1771" t="str">
        <f t="shared" si="16"/>
        <v/>
      </c>
      <c r="AU27" s="1771" t="str">
        <f t="shared" si="16"/>
        <v/>
      </c>
      <c r="AV27" s="1771" t="str">
        <f t="shared" si="16"/>
        <v/>
      </c>
      <c r="AW27" s="3442" t="str">
        <f t="shared" si="16"/>
        <v/>
      </c>
      <c r="AX27" s="1771" t="str">
        <f t="shared" si="17"/>
        <v/>
      </c>
      <c r="AY27" s="1771">
        <f t="shared" si="17"/>
        <v>0.52</v>
      </c>
      <c r="AZ27" s="1771" t="str">
        <f t="shared" si="17"/>
        <v/>
      </c>
      <c r="BA27" s="1771" t="str">
        <f t="shared" si="17"/>
        <v/>
      </c>
      <c r="BB27" s="3437" t="str">
        <f t="shared" si="17"/>
        <v/>
      </c>
      <c r="BC27" s="3443" t="str">
        <f t="shared" si="17"/>
        <v/>
      </c>
      <c r="BD27" s="3462"/>
      <c r="BE27" s="3440" t="str">
        <f>IF(J27=J319,"stop","")</f>
        <v/>
      </c>
      <c r="BF27" s="1771" t="str">
        <f t="shared" si="18"/>
        <v/>
      </c>
      <c r="BG27" s="1771" t="str">
        <f t="shared" si="18"/>
        <v/>
      </c>
      <c r="BH27" s="1771" t="str">
        <f t="shared" si="18"/>
        <v/>
      </c>
      <c r="BI27" s="1771" t="str">
        <f t="shared" si="18"/>
        <v/>
      </c>
      <c r="BJ27" s="3443" t="str">
        <f t="shared" si="18"/>
        <v/>
      </c>
      <c r="BK27" s="3437" t="str">
        <f t="shared" si="9"/>
        <v/>
      </c>
      <c r="BL27" s="1771" t="str">
        <f t="shared" si="9"/>
        <v/>
      </c>
      <c r="BM27" s="3442" t="str">
        <f t="shared" si="9"/>
        <v/>
      </c>
      <c r="BN27" s="1771" t="str">
        <f t="shared" si="18"/>
        <v/>
      </c>
      <c r="BO27" s="1771" t="str">
        <f t="shared" si="18"/>
        <v/>
      </c>
      <c r="BP27" s="1771" t="str">
        <f t="shared" si="18"/>
        <v/>
      </c>
      <c r="BQ27" s="1771" t="str">
        <f t="shared" si="18"/>
        <v/>
      </c>
      <c r="BR27" s="3437" t="str">
        <f t="shared" si="19"/>
        <v/>
      </c>
      <c r="BS27" s="1771">
        <f t="shared" si="19"/>
        <v>0.27928480087537882</v>
      </c>
      <c r="BT27" s="1771" t="str">
        <f t="shared" si="19"/>
        <v/>
      </c>
      <c r="BU27" s="3442" t="str">
        <f t="shared" si="19"/>
        <v/>
      </c>
      <c r="BV27" s="1771" t="str">
        <f t="shared" si="19"/>
        <v/>
      </c>
      <c r="BW27" s="3442" t="str">
        <f t="shared" si="19"/>
        <v/>
      </c>
      <c r="BX27" s="3462"/>
      <c r="BY27" s="3439" t="str">
        <f>IF(L27=L319,"stop","")</f>
        <v/>
      </c>
      <c r="BZ27" s="3437" t="str">
        <f t="shared" si="20"/>
        <v/>
      </c>
      <c r="CA27" s="1771" t="str">
        <f t="shared" si="20"/>
        <v/>
      </c>
      <c r="CB27" s="1771" t="str">
        <f t="shared" si="20"/>
        <v/>
      </c>
      <c r="CC27" s="3442" t="str">
        <f t="shared" si="20"/>
        <v/>
      </c>
      <c r="CD27" s="1771" t="str">
        <f t="shared" si="20"/>
        <v/>
      </c>
      <c r="CE27" s="3437" t="str">
        <f t="shared" si="12"/>
        <v/>
      </c>
      <c r="CF27" s="1771" t="str">
        <f t="shared" si="12"/>
        <v/>
      </c>
      <c r="CG27" s="1771" t="str">
        <f t="shared" si="12"/>
        <v/>
      </c>
      <c r="CH27" s="3437" t="str">
        <f t="shared" si="20"/>
        <v/>
      </c>
      <c r="CI27" s="1771" t="str">
        <f t="shared" si="20"/>
        <v/>
      </c>
      <c r="CJ27" s="1771" t="str">
        <f t="shared" si="20"/>
        <v/>
      </c>
      <c r="CK27" s="3442" t="str">
        <f t="shared" si="20"/>
        <v/>
      </c>
      <c r="CL27" s="3437" t="str">
        <f t="shared" si="21"/>
        <v/>
      </c>
      <c r="CM27" s="1771">
        <f t="shared" si="21"/>
        <v>0.33500000000000002</v>
      </c>
      <c r="CN27" s="1771" t="str">
        <f t="shared" si="21"/>
        <v/>
      </c>
      <c r="CO27" s="3442" t="str">
        <f t="shared" si="21"/>
        <v/>
      </c>
      <c r="CP27" s="1771" t="str">
        <f t="shared" si="21"/>
        <v/>
      </c>
      <c r="CQ27" s="3442" t="str">
        <f t="shared" si="21"/>
        <v/>
      </c>
      <c r="CR27" s="3462"/>
    </row>
    <row r="28" spans="1:96" s="3" customFormat="1">
      <c r="A28" s="1838" t="s">
        <v>714</v>
      </c>
      <c r="B28" s="1775">
        <v>14</v>
      </c>
      <c r="C28" s="1775"/>
      <c r="D28" s="1775">
        <v>0.13</v>
      </c>
      <c r="E28" s="1796" t="s">
        <v>35</v>
      </c>
      <c r="F28" s="1775">
        <v>0.3</v>
      </c>
      <c r="G28" s="1775" t="s">
        <v>695</v>
      </c>
      <c r="H28" s="1775">
        <v>1996</v>
      </c>
      <c r="I28" s="1807"/>
      <c r="J28" s="1792">
        <f>IF(ISBLANK(C28),B28+0.1,C28)</f>
        <v>14.1</v>
      </c>
      <c r="K28" s="1775">
        <v>0.13</v>
      </c>
      <c r="L28" s="1775" t="s">
        <v>35</v>
      </c>
      <c r="M28" s="1775">
        <v>0.3</v>
      </c>
      <c r="N28" s="1788">
        <f t="shared" si="14"/>
        <v>0.19748417658131498</v>
      </c>
      <c r="O28" s="1829">
        <f t="shared" si="15"/>
        <v>0.215</v>
      </c>
      <c r="P28" s="1776" t="s">
        <v>1087</v>
      </c>
      <c r="Q28" s="3" t="str">
        <f>IF(J28=J319,"stop","")</f>
        <v/>
      </c>
      <c r="R28" s="3437" t="str">
        <f t="shared" si="24"/>
        <v/>
      </c>
      <c r="S28" s="1771" t="str">
        <f t="shared" si="24"/>
        <v/>
      </c>
      <c r="T28" s="1771" t="str">
        <f t="shared" si="24"/>
        <v/>
      </c>
      <c r="U28" s="1771" t="str">
        <f t="shared" si="24"/>
        <v/>
      </c>
      <c r="V28" s="3443" t="str">
        <f t="shared" si="24"/>
        <v/>
      </c>
      <c r="W28" s="1771" t="str">
        <f t="shared" si="3"/>
        <v/>
      </c>
      <c r="X28" s="1771" t="str">
        <f t="shared" si="3"/>
        <v/>
      </c>
      <c r="Y28" s="1771" t="str">
        <f t="shared" si="3"/>
        <v/>
      </c>
      <c r="Z28" s="3437" t="str">
        <f t="shared" si="24"/>
        <v/>
      </c>
      <c r="AA28" s="1771" t="str">
        <f t="shared" si="24"/>
        <v/>
      </c>
      <c r="AB28" s="1771" t="str">
        <f t="shared" si="24"/>
        <v/>
      </c>
      <c r="AC28" s="3442" t="str">
        <f t="shared" si="24"/>
        <v/>
      </c>
      <c r="AD28" s="1771" t="str">
        <f t="shared" si="24"/>
        <v/>
      </c>
      <c r="AE28" s="1771">
        <f t="shared" si="24"/>
        <v>0.13</v>
      </c>
      <c r="AF28" s="1771" t="str">
        <f t="shared" si="24"/>
        <v/>
      </c>
      <c r="AG28" s="3442" t="str">
        <f t="shared" si="24"/>
        <v/>
      </c>
      <c r="AH28" s="1771" t="str">
        <f t="shared" si="22"/>
        <v/>
      </c>
      <c r="AI28" s="3442" t="str">
        <f t="shared" si="4"/>
        <v/>
      </c>
      <c r="AJ28" s="3462"/>
      <c r="AK28" s="3439" t="str">
        <f>IF(J28=J319,"stop","")</f>
        <v/>
      </c>
      <c r="AL28" s="3437" t="str">
        <f t="shared" si="16"/>
        <v/>
      </c>
      <c r="AM28" s="1771" t="str">
        <f t="shared" si="16"/>
        <v/>
      </c>
      <c r="AN28" s="1771" t="str">
        <f t="shared" si="16"/>
        <v/>
      </c>
      <c r="AO28" s="1771" t="str">
        <f t="shared" si="16"/>
        <v/>
      </c>
      <c r="AP28" s="3443" t="str">
        <f t="shared" si="16"/>
        <v/>
      </c>
      <c r="AQ28" s="1771" t="str">
        <f t="shared" si="6"/>
        <v/>
      </c>
      <c r="AR28" s="1771" t="str">
        <f t="shared" si="6"/>
        <v/>
      </c>
      <c r="AS28" s="3442" t="str">
        <f t="shared" si="6"/>
        <v/>
      </c>
      <c r="AT28" s="1771" t="str">
        <f t="shared" si="16"/>
        <v/>
      </c>
      <c r="AU28" s="1771" t="str">
        <f t="shared" si="16"/>
        <v/>
      </c>
      <c r="AV28" s="1771" t="str">
        <f t="shared" si="16"/>
        <v/>
      </c>
      <c r="AW28" s="3442" t="str">
        <f t="shared" si="16"/>
        <v/>
      </c>
      <c r="AX28" s="1771" t="str">
        <f t="shared" si="17"/>
        <v/>
      </c>
      <c r="AY28" s="1771">
        <f t="shared" si="17"/>
        <v>0.3</v>
      </c>
      <c r="AZ28" s="1771" t="str">
        <f t="shared" si="17"/>
        <v/>
      </c>
      <c r="BA28" s="1771" t="str">
        <f t="shared" si="17"/>
        <v/>
      </c>
      <c r="BB28" s="3437" t="str">
        <f t="shared" si="17"/>
        <v/>
      </c>
      <c r="BC28" s="3443" t="str">
        <f t="shared" si="17"/>
        <v/>
      </c>
      <c r="BD28" s="3462"/>
      <c r="BE28" s="3440" t="str">
        <f>IF(J28=J319,"stop","")</f>
        <v/>
      </c>
      <c r="BF28" s="1771" t="str">
        <f t="shared" si="18"/>
        <v/>
      </c>
      <c r="BG28" s="1771" t="str">
        <f t="shared" si="18"/>
        <v/>
      </c>
      <c r="BH28" s="1771" t="str">
        <f t="shared" si="18"/>
        <v/>
      </c>
      <c r="BI28" s="1771" t="str">
        <f t="shared" si="18"/>
        <v/>
      </c>
      <c r="BJ28" s="3443" t="str">
        <f t="shared" si="18"/>
        <v/>
      </c>
      <c r="BK28" s="3437" t="str">
        <f t="shared" si="9"/>
        <v/>
      </c>
      <c r="BL28" s="1771" t="str">
        <f t="shared" si="9"/>
        <v/>
      </c>
      <c r="BM28" s="3442" t="str">
        <f t="shared" si="9"/>
        <v/>
      </c>
      <c r="BN28" s="1771" t="str">
        <f t="shared" si="18"/>
        <v/>
      </c>
      <c r="BO28" s="1771" t="str">
        <f t="shared" si="18"/>
        <v/>
      </c>
      <c r="BP28" s="1771" t="str">
        <f t="shared" si="18"/>
        <v/>
      </c>
      <c r="BQ28" s="1771" t="str">
        <f t="shared" si="18"/>
        <v/>
      </c>
      <c r="BR28" s="3437" t="str">
        <f t="shared" si="19"/>
        <v/>
      </c>
      <c r="BS28" s="1771">
        <f t="shared" si="19"/>
        <v>0.19748417658131498</v>
      </c>
      <c r="BT28" s="1771" t="str">
        <f t="shared" si="19"/>
        <v/>
      </c>
      <c r="BU28" s="3442" t="str">
        <f t="shared" si="19"/>
        <v/>
      </c>
      <c r="BV28" s="1771" t="str">
        <f t="shared" si="19"/>
        <v/>
      </c>
      <c r="BW28" s="3442" t="str">
        <f t="shared" si="19"/>
        <v/>
      </c>
      <c r="BX28" s="3462"/>
      <c r="BY28" s="3439" t="str">
        <f>IF(L28=L319,"stop","")</f>
        <v/>
      </c>
      <c r="BZ28" s="3437" t="str">
        <f t="shared" si="20"/>
        <v/>
      </c>
      <c r="CA28" s="1771" t="str">
        <f t="shared" si="20"/>
        <v/>
      </c>
      <c r="CB28" s="1771" t="str">
        <f t="shared" si="20"/>
        <v/>
      </c>
      <c r="CC28" s="3442" t="str">
        <f t="shared" si="20"/>
        <v/>
      </c>
      <c r="CD28" s="1771" t="str">
        <f t="shared" si="20"/>
        <v/>
      </c>
      <c r="CE28" s="3437" t="str">
        <f t="shared" si="12"/>
        <v/>
      </c>
      <c r="CF28" s="1771" t="str">
        <f t="shared" si="12"/>
        <v/>
      </c>
      <c r="CG28" s="1771" t="str">
        <f t="shared" si="12"/>
        <v/>
      </c>
      <c r="CH28" s="3437" t="str">
        <f t="shared" si="20"/>
        <v/>
      </c>
      <c r="CI28" s="1771" t="str">
        <f t="shared" si="20"/>
        <v/>
      </c>
      <c r="CJ28" s="1771" t="str">
        <f t="shared" si="20"/>
        <v/>
      </c>
      <c r="CK28" s="3442" t="str">
        <f t="shared" si="20"/>
        <v/>
      </c>
      <c r="CL28" s="3437" t="str">
        <f t="shared" si="21"/>
        <v/>
      </c>
      <c r="CM28" s="1771">
        <f t="shared" si="21"/>
        <v>0.215</v>
      </c>
      <c r="CN28" s="1771" t="str">
        <f t="shared" si="21"/>
        <v/>
      </c>
      <c r="CO28" s="3442" t="str">
        <f t="shared" si="21"/>
        <v/>
      </c>
      <c r="CP28" s="1771" t="str">
        <f t="shared" si="21"/>
        <v/>
      </c>
      <c r="CQ28" s="3442" t="str">
        <f t="shared" si="21"/>
        <v/>
      </c>
      <c r="CR28" s="3462"/>
    </row>
    <row r="29" spans="1:96" s="3" customFormat="1">
      <c r="A29" s="1838" t="s">
        <v>715</v>
      </c>
      <c r="B29" s="1775">
        <v>15</v>
      </c>
      <c r="C29" s="1775"/>
      <c r="D29" s="1775">
        <v>0.34</v>
      </c>
      <c r="E29" s="1796" t="s">
        <v>35</v>
      </c>
      <c r="F29" s="1775">
        <v>0.63</v>
      </c>
      <c r="G29" s="1775" t="s">
        <v>695</v>
      </c>
      <c r="H29" s="1775">
        <v>1996</v>
      </c>
      <c r="I29" s="1807"/>
      <c r="J29" s="1792">
        <f>IF(ISBLANK(C29),B29+0.1,C29)</f>
        <v>15.1</v>
      </c>
      <c r="K29" s="1775">
        <v>0.34</v>
      </c>
      <c r="L29" s="1775" t="s">
        <v>35</v>
      </c>
      <c r="M29" s="1775">
        <v>0.63</v>
      </c>
      <c r="N29" s="1788">
        <f t="shared" si="14"/>
        <v>0.4628174586162454</v>
      </c>
      <c r="O29" s="1829">
        <f t="shared" si="15"/>
        <v>0.48499999999999999</v>
      </c>
      <c r="P29" s="1776" t="s">
        <v>1087</v>
      </c>
      <c r="Q29" s="3" t="str">
        <f>IF(J29=J319,"stop","")</f>
        <v/>
      </c>
      <c r="R29" s="3437" t="str">
        <f t="shared" si="24"/>
        <v/>
      </c>
      <c r="S29" s="1771" t="str">
        <f t="shared" si="24"/>
        <v/>
      </c>
      <c r="T29" s="1771" t="str">
        <f t="shared" si="24"/>
        <v/>
      </c>
      <c r="U29" s="1771" t="str">
        <f t="shared" si="24"/>
        <v/>
      </c>
      <c r="V29" s="3443" t="str">
        <f t="shared" si="24"/>
        <v/>
      </c>
      <c r="W29" s="1771" t="str">
        <f t="shared" si="24"/>
        <v/>
      </c>
      <c r="X29" s="1771" t="str">
        <f t="shared" si="24"/>
        <v/>
      </c>
      <c r="Y29" s="1771" t="str">
        <f t="shared" si="24"/>
        <v/>
      </c>
      <c r="Z29" s="3437" t="str">
        <f t="shared" si="24"/>
        <v/>
      </c>
      <c r="AA29" s="1771" t="str">
        <f t="shared" si="24"/>
        <v/>
      </c>
      <c r="AB29" s="1771" t="str">
        <f t="shared" si="24"/>
        <v/>
      </c>
      <c r="AC29" s="3442" t="str">
        <f t="shared" si="24"/>
        <v/>
      </c>
      <c r="AD29" s="1771" t="str">
        <f t="shared" si="24"/>
        <v/>
      </c>
      <c r="AE29" s="1771">
        <f t="shared" si="24"/>
        <v>0.34</v>
      </c>
      <c r="AF29" s="1771" t="str">
        <f t="shared" si="24"/>
        <v/>
      </c>
      <c r="AG29" s="3442" t="str">
        <f t="shared" si="24"/>
        <v/>
      </c>
      <c r="AH29" s="1771" t="str">
        <f t="shared" si="22"/>
        <v/>
      </c>
      <c r="AI29" s="3442" t="str">
        <f t="shared" si="4"/>
        <v/>
      </c>
      <c r="AJ29" s="3462"/>
      <c r="AK29" s="3439" t="str">
        <f>IF(J29=J319,"stop","")</f>
        <v/>
      </c>
      <c r="AL29" s="3437" t="str">
        <f t="shared" ref="AL29:AW38" si="25">IF(AND($J29&gt;AL$4,$J29&lt;=AL$5,$P29=AL$6),$M29,"")</f>
        <v/>
      </c>
      <c r="AM29" s="1771" t="str">
        <f t="shared" si="25"/>
        <v/>
      </c>
      <c r="AN29" s="1771" t="str">
        <f t="shared" si="25"/>
        <v/>
      </c>
      <c r="AO29" s="1771" t="str">
        <f t="shared" si="25"/>
        <v/>
      </c>
      <c r="AP29" s="3443" t="str">
        <f t="shared" si="25"/>
        <v/>
      </c>
      <c r="AQ29" s="1771" t="str">
        <f t="shared" si="25"/>
        <v/>
      </c>
      <c r="AR29" s="1771" t="str">
        <f t="shared" si="25"/>
        <v/>
      </c>
      <c r="AS29" s="3442" t="str">
        <f t="shared" si="25"/>
        <v/>
      </c>
      <c r="AT29" s="1771" t="str">
        <f t="shared" si="25"/>
        <v/>
      </c>
      <c r="AU29" s="1771" t="str">
        <f t="shared" si="25"/>
        <v/>
      </c>
      <c r="AV29" s="1771" t="str">
        <f t="shared" si="25"/>
        <v/>
      </c>
      <c r="AW29" s="3442" t="str">
        <f t="shared" si="25"/>
        <v/>
      </c>
      <c r="AX29" s="1771" t="str">
        <f t="shared" ref="AX29:BC38" si="26">IF(AND($J29&gt;AX$4,$J29&lt;=AX$5,$P29=AX$6),$M29,"")</f>
        <v/>
      </c>
      <c r="AY29" s="1771">
        <f t="shared" si="26"/>
        <v>0.63</v>
      </c>
      <c r="AZ29" s="1771" t="str">
        <f t="shared" si="26"/>
        <v/>
      </c>
      <c r="BA29" s="1771" t="str">
        <f t="shared" si="26"/>
        <v/>
      </c>
      <c r="BB29" s="3437" t="str">
        <f t="shared" si="26"/>
        <v/>
      </c>
      <c r="BC29" s="3443" t="str">
        <f t="shared" si="26"/>
        <v/>
      </c>
      <c r="BD29" s="3462"/>
      <c r="BE29" s="3440" t="str">
        <f>IF(J29=J319,"stop","")</f>
        <v/>
      </c>
      <c r="BF29" s="1771" t="str">
        <f t="shared" ref="BF29:BQ38" si="27">IF(AND($J29&gt;BF$4,$J29&lt;=BF$5,$P29=BF$6),$N29,"")</f>
        <v/>
      </c>
      <c r="BG29" s="1771" t="str">
        <f t="shared" si="27"/>
        <v/>
      </c>
      <c r="BH29" s="1771" t="str">
        <f t="shared" si="27"/>
        <v/>
      </c>
      <c r="BI29" s="1771" t="str">
        <f t="shared" si="27"/>
        <v/>
      </c>
      <c r="BJ29" s="3443" t="str">
        <f t="shared" si="27"/>
        <v/>
      </c>
      <c r="BK29" s="3437" t="str">
        <f t="shared" si="27"/>
        <v/>
      </c>
      <c r="BL29" s="1771" t="str">
        <f t="shared" si="27"/>
        <v/>
      </c>
      <c r="BM29" s="3442" t="str">
        <f t="shared" si="27"/>
        <v/>
      </c>
      <c r="BN29" s="1771" t="str">
        <f t="shared" si="27"/>
        <v/>
      </c>
      <c r="BO29" s="1771" t="str">
        <f t="shared" si="27"/>
        <v/>
      </c>
      <c r="BP29" s="1771" t="str">
        <f t="shared" si="27"/>
        <v/>
      </c>
      <c r="BQ29" s="1771" t="str">
        <f t="shared" si="27"/>
        <v/>
      </c>
      <c r="BR29" s="3437" t="str">
        <f t="shared" ref="BR29:BW38" si="28">IF(AND($J29&gt;BR$4,$J29&lt;=BR$5,$P29=BR$6),$N29,"")</f>
        <v/>
      </c>
      <c r="BS29" s="1771">
        <f t="shared" si="28"/>
        <v>0.4628174586162454</v>
      </c>
      <c r="BT29" s="1771" t="str">
        <f t="shared" si="28"/>
        <v/>
      </c>
      <c r="BU29" s="3442" t="str">
        <f t="shared" si="28"/>
        <v/>
      </c>
      <c r="BV29" s="1771" t="str">
        <f t="shared" si="28"/>
        <v/>
      </c>
      <c r="BW29" s="3442" t="str">
        <f t="shared" si="28"/>
        <v/>
      </c>
      <c r="BX29" s="3462"/>
      <c r="BY29" s="3439" t="str">
        <f>IF(L29=L319,"stop","")</f>
        <v/>
      </c>
      <c r="BZ29" s="3437" t="str">
        <f t="shared" ref="BZ29:CK38" si="29">IF(AND($J29&gt;BZ$4,$J29&lt;=BZ$5,$P29=BZ$6),$O29,"")</f>
        <v/>
      </c>
      <c r="CA29" s="1771" t="str">
        <f t="shared" si="29"/>
        <v/>
      </c>
      <c r="CB29" s="1771" t="str">
        <f t="shared" si="29"/>
        <v/>
      </c>
      <c r="CC29" s="3442" t="str">
        <f t="shared" si="29"/>
        <v/>
      </c>
      <c r="CD29" s="1771" t="str">
        <f t="shared" si="29"/>
        <v/>
      </c>
      <c r="CE29" s="3437" t="str">
        <f t="shared" si="29"/>
        <v/>
      </c>
      <c r="CF29" s="1771" t="str">
        <f t="shared" si="29"/>
        <v/>
      </c>
      <c r="CG29" s="1771" t="str">
        <f t="shared" si="29"/>
        <v/>
      </c>
      <c r="CH29" s="3437" t="str">
        <f t="shared" si="29"/>
        <v/>
      </c>
      <c r="CI29" s="1771" t="str">
        <f t="shared" si="29"/>
        <v/>
      </c>
      <c r="CJ29" s="1771" t="str">
        <f t="shared" si="29"/>
        <v/>
      </c>
      <c r="CK29" s="3442" t="str">
        <f t="shared" si="29"/>
        <v/>
      </c>
      <c r="CL29" s="3437" t="str">
        <f t="shared" ref="CL29:CQ38" si="30">IF(AND($J29&gt;CL$4,$J29&lt;=CL$5,$P29=CL$6),$O29,"")</f>
        <v/>
      </c>
      <c r="CM29" s="1771">
        <f t="shared" si="30"/>
        <v>0.48499999999999999</v>
      </c>
      <c r="CN29" s="1771" t="str">
        <f t="shared" si="30"/>
        <v/>
      </c>
      <c r="CO29" s="3442" t="str">
        <f t="shared" si="30"/>
        <v/>
      </c>
      <c r="CP29" s="1771" t="str">
        <f t="shared" si="30"/>
        <v/>
      </c>
      <c r="CQ29" s="3442" t="str">
        <f t="shared" si="30"/>
        <v/>
      </c>
      <c r="CR29" s="3462"/>
    </row>
    <row r="30" spans="1:96" s="3" customFormat="1">
      <c r="A30" s="1837" t="s">
        <v>716</v>
      </c>
      <c r="B30" s="1793" t="s">
        <v>717</v>
      </c>
      <c r="C30" s="1775"/>
      <c r="D30" s="1775"/>
      <c r="E30" s="1796"/>
      <c r="F30" s="1775"/>
      <c r="G30" s="1775"/>
      <c r="H30" s="1775"/>
      <c r="I30" s="1807"/>
      <c r="J30" s="1775"/>
      <c r="K30" s="1775"/>
      <c r="L30" s="1775"/>
      <c r="M30" s="1775"/>
      <c r="N30" s="1788">
        <f t="shared" si="14"/>
        <v>0</v>
      </c>
      <c r="O30" s="1829">
        <f t="shared" si="15"/>
        <v>0</v>
      </c>
      <c r="P30" s="1776"/>
      <c r="Q30" s="3" t="str">
        <f>IF(J30=J319,"stop","")</f>
        <v/>
      </c>
      <c r="R30" s="3437" t="str">
        <f t="shared" si="24"/>
        <v/>
      </c>
      <c r="S30" s="1771" t="str">
        <f t="shared" si="24"/>
        <v/>
      </c>
      <c r="T30" s="1771" t="str">
        <f t="shared" si="24"/>
        <v/>
      </c>
      <c r="U30" s="1771" t="str">
        <f t="shared" si="24"/>
        <v/>
      </c>
      <c r="V30" s="3443" t="str">
        <f t="shared" si="24"/>
        <v/>
      </c>
      <c r="W30" s="1771" t="str">
        <f t="shared" si="24"/>
        <v/>
      </c>
      <c r="X30" s="1771" t="str">
        <f t="shared" si="24"/>
        <v/>
      </c>
      <c r="Y30" s="1771" t="str">
        <f t="shared" si="24"/>
        <v/>
      </c>
      <c r="Z30" s="3437" t="str">
        <f t="shared" si="24"/>
        <v/>
      </c>
      <c r="AA30" s="1771" t="str">
        <f t="shared" si="24"/>
        <v/>
      </c>
      <c r="AB30" s="1771" t="str">
        <f t="shared" si="24"/>
        <v/>
      </c>
      <c r="AC30" s="3442" t="str">
        <f t="shared" si="24"/>
        <v/>
      </c>
      <c r="AD30" s="1771" t="str">
        <f t="shared" si="24"/>
        <v/>
      </c>
      <c r="AE30" s="1771" t="str">
        <f t="shared" si="24"/>
        <v/>
      </c>
      <c r="AF30" s="1771" t="str">
        <f t="shared" si="24"/>
        <v/>
      </c>
      <c r="AG30" s="3442" t="str">
        <f t="shared" si="24"/>
        <v/>
      </c>
      <c r="AH30" s="1771" t="str">
        <f t="shared" si="22"/>
        <v/>
      </c>
      <c r="AI30" s="3442" t="str">
        <f t="shared" si="4"/>
        <v/>
      </c>
      <c r="AJ30" s="3462"/>
      <c r="AK30" s="3439" t="str">
        <f>IF(J30=J319,"stop","")</f>
        <v/>
      </c>
      <c r="AL30" s="3437" t="str">
        <f t="shared" si="25"/>
        <v/>
      </c>
      <c r="AM30" s="1771" t="str">
        <f t="shared" si="25"/>
        <v/>
      </c>
      <c r="AN30" s="1771" t="str">
        <f t="shared" si="25"/>
        <v/>
      </c>
      <c r="AO30" s="1771" t="str">
        <f t="shared" si="25"/>
        <v/>
      </c>
      <c r="AP30" s="3443" t="str">
        <f t="shared" si="25"/>
        <v/>
      </c>
      <c r="AQ30" s="1771" t="str">
        <f t="shared" si="25"/>
        <v/>
      </c>
      <c r="AR30" s="1771" t="str">
        <f t="shared" si="25"/>
        <v/>
      </c>
      <c r="AS30" s="3442" t="str">
        <f t="shared" si="25"/>
        <v/>
      </c>
      <c r="AT30" s="1771" t="str">
        <f t="shared" si="25"/>
        <v/>
      </c>
      <c r="AU30" s="1771" t="str">
        <f t="shared" si="25"/>
        <v/>
      </c>
      <c r="AV30" s="1771" t="str">
        <f t="shared" si="25"/>
        <v/>
      </c>
      <c r="AW30" s="3442" t="str">
        <f t="shared" si="25"/>
        <v/>
      </c>
      <c r="AX30" s="1771" t="str">
        <f t="shared" si="26"/>
        <v/>
      </c>
      <c r="AY30" s="1771" t="str">
        <f t="shared" si="26"/>
        <v/>
      </c>
      <c r="AZ30" s="1771" t="str">
        <f t="shared" si="26"/>
        <v/>
      </c>
      <c r="BA30" s="1771" t="str">
        <f t="shared" si="26"/>
        <v/>
      </c>
      <c r="BB30" s="3437" t="str">
        <f t="shared" si="26"/>
        <v/>
      </c>
      <c r="BC30" s="3443" t="str">
        <f t="shared" si="26"/>
        <v/>
      </c>
      <c r="BD30" s="3462"/>
      <c r="BE30" s="3440" t="str">
        <f>IF(J30=J319,"stop","")</f>
        <v/>
      </c>
      <c r="BF30" s="1771" t="str">
        <f t="shared" si="27"/>
        <v/>
      </c>
      <c r="BG30" s="1771" t="str">
        <f t="shared" si="27"/>
        <v/>
      </c>
      <c r="BH30" s="1771" t="str">
        <f t="shared" si="27"/>
        <v/>
      </c>
      <c r="BI30" s="1771" t="str">
        <f t="shared" si="27"/>
        <v/>
      </c>
      <c r="BJ30" s="3443" t="str">
        <f t="shared" si="27"/>
        <v/>
      </c>
      <c r="BK30" s="3437" t="str">
        <f t="shared" si="27"/>
        <v/>
      </c>
      <c r="BL30" s="1771" t="str">
        <f t="shared" si="27"/>
        <v/>
      </c>
      <c r="BM30" s="3442" t="str">
        <f t="shared" si="27"/>
        <v/>
      </c>
      <c r="BN30" s="1771" t="str">
        <f t="shared" si="27"/>
        <v/>
      </c>
      <c r="BO30" s="1771" t="str">
        <f t="shared" si="27"/>
        <v/>
      </c>
      <c r="BP30" s="1771" t="str">
        <f t="shared" si="27"/>
        <v/>
      </c>
      <c r="BQ30" s="1771" t="str">
        <f t="shared" si="27"/>
        <v/>
      </c>
      <c r="BR30" s="3437" t="str">
        <f t="shared" si="28"/>
        <v/>
      </c>
      <c r="BS30" s="1771" t="str">
        <f t="shared" si="28"/>
        <v/>
      </c>
      <c r="BT30" s="1771" t="str">
        <f t="shared" si="28"/>
        <v/>
      </c>
      <c r="BU30" s="3442" t="str">
        <f t="shared" si="28"/>
        <v/>
      </c>
      <c r="BV30" s="1771" t="str">
        <f t="shared" si="28"/>
        <v/>
      </c>
      <c r="BW30" s="3442" t="str">
        <f t="shared" si="28"/>
        <v/>
      </c>
      <c r="BX30" s="3462"/>
      <c r="BY30" s="3439" t="str">
        <f>IF(L30=L319,"stop","")</f>
        <v>stop</v>
      </c>
      <c r="BZ30" s="3437" t="str">
        <f t="shared" si="29"/>
        <v/>
      </c>
      <c r="CA30" s="1771" t="str">
        <f t="shared" si="29"/>
        <v/>
      </c>
      <c r="CB30" s="1771" t="str">
        <f t="shared" si="29"/>
        <v/>
      </c>
      <c r="CC30" s="3442" t="str">
        <f t="shared" si="29"/>
        <v/>
      </c>
      <c r="CD30" s="1771" t="str">
        <f t="shared" si="29"/>
        <v/>
      </c>
      <c r="CE30" s="3437" t="str">
        <f t="shared" si="29"/>
        <v/>
      </c>
      <c r="CF30" s="1771" t="str">
        <f t="shared" si="29"/>
        <v/>
      </c>
      <c r="CG30" s="1771" t="str">
        <f t="shared" si="29"/>
        <v/>
      </c>
      <c r="CH30" s="3437" t="str">
        <f t="shared" si="29"/>
        <v/>
      </c>
      <c r="CI30" s="1771" t="str">
        <f t="shared" si="29"/>
        <v/>
      </c>
      <c r="CJ30" s="1771" t="str">
        <f t="shared" si="29"/>
        <v/>
      </c>
      <c r="CK30" s="3442" t="str">
        <f t="shared" si="29"/>
        <v/>
      </c>
      <c r="CL30" s="3437" t="str">
        <f t="shared" si="30"/>
        <v/>
      </c>
      <c r="CM30" s="1771" t="str">
        <f t="shared" si="30"/>
        <v/>
      </c>
      <c r="CN30" s="1771" t="str">
        <f t="shared" si="30"/>
        <v/>
      </c>
      <c r="CO30" s="3442" t="str">
        <f t="shared" si="30"/>
        <v/>
      </c>
      <c r="CP30" s="1771" t="str">
        <f t="shared" si="30"/>
        <v/>
      </c>
      <c r="CQ30" s="3442" t="str">
        <f t="shared" si="30"/>
        <v/>
      </c>
      <c r="CR30" s="3462"/>
    </row>
    <row r="31" spans="1:96" s="3" customFormat="1">
      <c r="A31" s="1838" t="s">
        <v>718</v>
      </c>
      <c r="B31" s="1775">
        <v>6</v>
      </c>
      <c r="C31" s="1775">
        <v>6.5</v>
      </c>
      <c r="D31" s="1775">
        <v>3.0000000000000001E-3</v>
      </c>
      <c r="E31" s="1796" t="s">
        <v>35</v>
      </c>
      <c r="F31" s="1775">
        <v>0.1</v>
      </c>
      <c r="G31" s="1775" t="s">
        <v>695</v>
      </c>
      <c r="H31" s="1775">
        <v>1996</v>
      </c>
      <c r="I31" s="1807"/>
      <c r="J31" s="1775">
        <f t="shared" si="0"/>
        <v>6.5</v>
      </c>
      <c r="K31" s="1775">
        <v>3.0000000000000001E-3</v>
      </c>
      <c r="L31" s="1775" t="s">
        <v>35</v>
      </c>
      <c r="M31" s="1775">
        <v>0.1</v>
      </c>
      <c r="N31" s="1788">
        <f t="shared" si="14"/>
        <v>1.7320508075688773E-2</v>
      </c>
      <c r="O31" s="1829">
        <f t="shared" si="15"/>
        <v>5.1500000000000004E-2</v>
      </c>
      <c r="P31" s="1776" t="s">
        <v>1088</v>
      </c>
      <c r="Q31" s="3" t="str">
        <f>IF(J31=J319,"stop","")</f>
        <v/>
      </c>
      <c r="R31" s="3437">
        <f t="shared" si="24"/>
        <v>3.0000000000000001E-3</v>
      </c>
      <c r="S31" s="1771" t="str">
        <f t="shared" si="24"/>
        <v/>
      </c>
      <c r="T31" s="1771" t="str">
        <f t="shared" si="24"/>
        <v/>
      </c>
      <c r="U31" s="1771" t="str">
        <f t="shared" si="24"/>
        <v/>
      </c>
      <c r="V31" s="3443" t="str">
        <f t="shared" si="24"/>
        <v/>
      </c>
      <c r="W31" s="1771" t="str">
        <f t="shared" si="24"/>
        <v/>
      </c>
      <c r="X31" s="1771" t="str">
        <f t="shared" si="24"/>
        <v/>
      </c>
      <c r="Y31" s="1771" t="str">
        <f t="shared" si="24"/>
        <v/>
      </c>
      <c r="Z31" s="3437" t="str">
        <f t="shared" si="24"/>
        <v/>
      </c>
      <c r="AA31" s="1771" t="str">
        <f t="shared" si="24"/>
        <v/>
      </c>
      <c r="AB31" s="1771" t="str">
        <f t="shared" si="24"/>
        <v/>
      </c>
      <c r="AC31" s="3442" t="str">
        <f t="shared" si="24"/>
        <v/>
      </c>
      <c r="AD31" s="1771" t="str">
        <f t="shared" si="24"/>
        <v/>
      </c>
      <c r="AE31" s="1771" t="str">
        <f t="shared" si="24"/>
        <v/>
      </c>
      <c r="AF31" s="1771" t="str">
        <f t="shared" si="24"/>
        <v/>
      </c>
      <c r="AG31" s="3442" t="str">
        <f t="shared" si="24"/>
        <v/>
      </c>
      <c r="AH31" s="1771" t="str">
        <f t="shared" si="22"/>
        <v/>
      </c>
      <c r="AI31" s="3442" t="str">
        <f t="shared" si="4"/>
        <v/>
      </c>
      <c r="AJ31" s="3462"/>
      <c r="AK31" s="3439" t="str">
        <f>IF(J31=J319,"stop","")</f>
        <v/>
      </c>
      <c r="AL31" s="3437">
        <f t="shared" si="25"/>
        <v>0.1</v>
      </c>
      <c r="AM31" s="1771" t="str">
        <f t="shared" si="25"/>
        <v/>
      </c>
      <c r="AN31" s="1771" t="str">
        <f t="shared" si="25"/>
        <v/>
      </c>
      <c r="AO31" s="1771" t="str">
        <f t="shared" si="25"/>
        <v/>
      </c>
      <c r="AP31" s="3443" t="str">
        <f t="shared" si="25"/>
        <v/>
      </c>
      <c r="AQ31" s="1771" t="str">
        <f t="shared" si="25"/>
        <v/>
      </c>
      <c r="AR31" s="1771" t="str">
        <f t="shared" si="25"/>
        <v/>
      </c>
      <c r="AS31" s="3442" t="str">
        <f t="shared" si="25"/>
        <v/>
      </c>
      <c r="AT31" s="1771" t="str">
        <f t="shared" si="25"/>
        <v/>
      </c>
      <c r="AU31" s="1771" t="str">
        <f t="shared" si="25"/>
        <v/>
      </c>
      <c r="AV31" s="1771" t="str">
        <f t="shared" si="25"/>
        <v/>
      </c>
      <c r="AW31" s="3442" t="str">
        <f t="shared" si="25"/>
        <v/>
      </c>
      <c r="AX31" s="1771" t="str">
        <f t="shared" si="26"/>
        <v/>
      </c>
      <c r="AY31" s="1771" t="str">
        <f t="shared" si="26"/>
        <v/>
      </c>
      <c r="AZ31" s="1771" t="str">
        <f t="shared" si="26"/>
        <v/>
      </c>
      <c r="BA31" s="1771" t="str">
        <f t="shared" si="26"/>
        <v/>
      </c>
      <c r="BB31" s="3437" t="str">
        <f t="shared" si="26"/>
        <v/>
      </c>
      <c r="BC31" s="3443" t="str">
        <f t="shared" si="26"/>
        <v/>
      </c>
      <c r="BD31" s="3462"/>
      <c r="BE31" s="3440" t="str">
        <f>IF(J31=J319,"stop","")</f>
        <v/>
      </c>
      <c r="BF31" s="1771">
        <f t="shared" si="27"/>
        <v>1.7320508075688773E-2</v>
      </c>
      <c r="BG31" s="1771" t="str">
        <f t="shared" si="27"/>
        <v/>
      </c>
      <c r="BH31" s="1771" t="str">
        <f t="shared" si="27"/>
        <v/>
      </c>
      <c r="BI31" s="1771" t="str">
        <f t="shared" si="27"/>
        <v/>
      </c>
      <c r="BJ31" s="3443" t="str">
        <f t="shared" si="27"/>
        <v/>
      </c>
      <c r="BK31" s="3437" t="str">
        <f t="shared" si="27"/>
        <v/>
      </c>
      <c r="BL31" s="1771" t="str">
        <f t="shared" si="27"/>
        <v/>
      </c>
      <c r="BM31" s="3442" t="str">
        <f t="shared" si="27"/>
        <v/>
      </c>
      <c r="BN31" s="1771" t="str">
        <f t="shared" si="27"/>
        <v/>
      </c>
      <c r="BO31" s="1771" t="str">
        <f t="shared" si="27"/>
        <v/>
      </c>
      <c r="BP31" s="1771" t="str">
        <f t="shared" si="27"/>
        <v/>
      </c>
      <c r="BQ31" s="1771" t="str">
        <f t="shared" si="27"/>
        <v/>
      </c>
      <c r="BR31" s="3437" t="str">
        <f t="shared" si="28"/>
        <v/>
      </c>
      <c r="BS31" s="1771" t="str">
        <f t="shared" si="28"/>
        <v/>
      </c>
      <c r="BT31" s="1771" t="str">
        <f t="shared" si="28"/>
        <v/>
      </c>
      <c r="BU31" s="3442" t="str">
        <f t="shared" si="28"/>
        <v/>
      </c>
      <c r="BV31" s="1771" t="str">
        <f t="shared" si="28"/>
        <v/>
      </c>
      <c r="BW31" s="3442" t="str">
        <f t="shared" si="28"/>
        <v/>
      </c>
      <c r="BX31" s="3462"/>
      <c r="BY31" s="3439" t="str">
        <f>IF(L31=L319,"stop","")</f>
        <v/>
      </c>
      <c r="BZ31" s="3437">
        <f t="shared" si="29"/>
        <v>5.1500000000000004E-2</v>
      </c>
      <c r="CA31" s="1771" t="str">
        <f t="shared" si="29"/>
        <v/>
      </c>
      <c r="CB31" s="1771" t="str">
        <f t="shared" si="29"/>
        <v/>
      </c>
      <c r="CC31" s="3442" t="str">
        <f t="shared" si="29"/>
        <v/>
      </c>
      <c r="CD31" s="1771" t="str">
        <f t="shared" si="29"/>
        <v/>
      </c>
      <c r="CE31" s="3437" t="str">
        <f t="shared" si="29"/>
        <v/>
      </c>
      <c r="CF31" s="1771" t="str">
        <f t="shared" si="29"/>
        <v/>
      </c>
      <c r="CG31" s="1771" t="str">
        <f t="shared" si="29"/>
        <v/>
      </c>
      <c r="CH31" s="3437" t="str">
        <f t="shared" si="29"/>
        <v/>
      </c>
      <c r="CI31" s="1771" t="str">
        <f t="shared" si="29"/>
        <v/>
      </c>
      <c r="CJ31" s="1771" t="str">
        <f t="shared" si="29"/>
        <v/>
      </c>
      <c r="CK31" s="3442" t="str">
        <f t="shared" si="29"/>
        <v/>
      </c>
      <c r="CL31" s="3437" t="str">
        <f t="shared" si="30"/>
        <v/>
      </c>
      <c r="CM31" s="1771" t="str">
        <f t="shared" si="30"/>
        <v/>
      </c>
      <c r="CN31" s="1771" t="str">
        <f t="shared" si="30"/>
        <v/>
      </c>
      <c r="CO31" s="3442" t="str">
        <f t="shared" si="30"/>
        <v/>
      </c>
      <c r="CP31" s="1771" t="str">
        <f t="shared" si="30"/>
        <v/>
      </c>
      <c r="CQ31" s="3442" t="str">
        <f t="shared" si="30"/>
        <v/>
      </c>
      <c r="CR31" s="3462"/>
    </row>
    <row r="32" spans="1:96" s="3" customFormat="1">
      <c r="A32" s="1838" t="s">
        <v>719</v>
      </c>
      <c r="B32" s="1775">
        <v>7</v>
      </c>
      <c r="C32" s="1775">
        <v>7.5810000000000004</v>
      </c>
      <c r="D32" s="1775">
        <v>7.0000000000000001E-3</v>
      </c>
      <c r="E32" s="1796" t="s">
        <v>35</v>
      </c>
      <c r="F32" s="1775">
        <v>0.7</v>
      </c>
      <c r="G32" s="1775" t="s">
        <v>695</v>
      </c>
      <c r="H32" s="1775">
        <v>1996</v>
      </c>
      <c r="I32" s="1807"/>
      <c r="J32" s="1775">
        <f t="shared" si="0"/>
        <v>7.5810000000000004</v>
      </c>
      <c r="K32" s="1775">
        <v>7.0000000000000001E-3</v>
      </c>
      <c r="L32" s="1775" t="s">
        <v>35</v>
      </c>
      <c r="M32" s="1775">
        <v>0.7</v>
      </c>
      <c r="N32" s="1788">
        <f t="shared" si="14"/>
        <v>6.9999999999999993E-2</v>
      </c>
      <c r="O32" s="1829">
        <f t="shared" si="15"/>
        <v>0.35349999999999998</v>
      </c>
      <c r="P32" s="1776" t="s">
        <v>1088</v>
      </c>
      <c r="Q32" s="3" t="str">
        <f>IF(J32=J319,"stop","")</f>
        <v/>
      </c>
      <c r="R32" s="3437" t="str">
        <f t="shared" si="24"/>
        <v/>
      </c>
      <c r="S32" s="1771">
        <f t="shared" si="24"/>
        <v>7.0000000000000001E-3</v>
      </c>
      <c r="T32" s="1771" t="str">
        <f t="shared" si="24"/>
        <v/>
      </c>
      <c r="U32" s="1771" t="str">
        <f t="shared" si="24"/>
        <v/>
      </c>
      <c r="V32" s="3443" t="str">
        <f t="shared" si="24"/>
        <v/>
      </c>
      <c r="W32" s="1771" t="str">
        <f t="shared" si="24"/>
        <v/>
      </c>
      <c r="X32" s="1771" t="str">
        <f t="shared" si="24"/>
        <v/>
      </c>
      <c r="Y32" s="1771" t="str">
        <f t="shared" si="24"/>
        <v/>
      </c>
      <c r="Z32" s="3437" t="str">
        <f t="shared" si="24"/>
        <v/>
      </c>
      <c r="AA32" s="1771" t="str">
        <f t="shared" si="24"/>
        <v/>
      </c>
      <c r="AB32" s="1771" t="str">
        <f t="shared" si="24"/>
        <v/>
      </c>
      <c r="AC32" s="3442" t="str">
        <f t="shared" si="24"/>
        <v/>
      </c>
      <c r="AD32" s="1771" t="str">
        <f t="shared" si="24"/>
        <v/>
      </c>
      <c r="AE32" s="1771" t="str">
        <f t="shared" si="24"/>
        <v/>
      </c>
      <c r="AF32" s="1771" t="str">
        <f t="shared" si="24"/>
        <v/>
      </c>
      <c r="AG32" s="3442" t="str">
        <f t="shared" si="24"/>
        <v/>
      </c>
      <c r="AH32" s="1771" t="str">
        <f t="shared" si="22"/>
        <v/>
      </c>
      <c r="AI32" s="3442" t="str">
        <f t="shared" si="4"/>
        <v/>
      </c>
      <c r="AJ32" s="3462"/>
      <c r="AK32" s="3439" t="str">
        <f>IF(J32=J319,"stop","")</f>
        <v/>
      </c>
      <c r="AL32" s="3437" t="str">
        <f t="shared" si="25"/>
        <v/>
      </c>
      <c r="AM32" s="1771">
        <f t="shared" si="25"/>
        <v>0.7</v>
      </c>
      <c r="AN32" s="1771" t="str">
        <f t="shared" si="25"/>
        <v/>
      </c>
      <c r="AO32" s="1771" t="str">
        <f t="shared" si="25"/>
        <v/>
      </c>
      <c r="AP32" s="3443" t="str">
        <f t="shared" si="25"/>
        <v/>
      </c>
      <c r="AQ32" s="1771" t="str">
        <f t="shared" si="25"/>
        <v/>
      </c>
      <c r="AR32" s="1771" t="str">
        <f t="shared" si="25"/>
        <v/>
      </c>
      <c r="AS32" s="3442" t="str">
        <f t="shared" si="25"/>
        <v/>
      </c>
      <c r="AT32" s="1771" t="str">
        <f t="shared" si="25"/>
        <v/>
      </c>
      <c r="AU32" s="1771" t="str">
        <f t="shared" si="25"/>
        <v/>
      </c>
      <c r="AV32" s="1771" t="str">
        <f t="shared" si="25"/>
        <v/>
      </c>
      <c r="AW32" s="3442" t="str">
        <f t="shared" si="25"/>
        <v/>
      </c>
      <c r="AX32" s="1771" t="str">
        <f t="shared" si="26"/>
        <v/>
      </c>
      <c r="AY32" s="1771" t="str">
        <f t="shared" si="26"/>
        <v/>
      </c>
      <c r="AZ32" s="1771" t="str">
        <f t="shared" si="26"/>
        <v/>
      </c>
      <c r="BA32" s="1771" t="str">
        <f t="shared" si="26"/>
        <v/>
      </c>
      <c r="BB32" s="3437" t="str">
        <f t="shared" si="26"/>
        <v/>
      </c>
      <c r="BC32" s="3443" t="str">
        <f t="shared" si="26"/>
        <v/>
      </c>
      <c r="BD32" s="3462"/>
      <c r="BE32" s="3440" t="str">
        <f>IF(J32=J319,"stop","")</f>
        <v/>
      </c>
      <c r="BF32" s="1771" t="str">
        <f t="shared" si="27"/>
        <v/>
      </c>
      <c r="BG32" s="1771">
        <f t="shared" si="27"/>
        <v>6.9999999999999993E-2</v>
      </c>
      <c r="BH32" s="1771" t="str">
        <f t="shared" si="27"/>
        <v/>
      </c>
      <c r="BI32" s="1771" t="str">
        <f t="shared" si="27"/>
        <v/>
      </c>
      <c r="BJ32" s="3443" t="str">
        <f t="shared" si="27"/>
        <v/>
      </c>
      <c r="BK32" s="3437" t="str">
        <f t="shared" si="27"/>
        <v/>
      </c>
      <c r="BL32" s="1771" t="str">
        <f t="shared" si="27"/>
        <v/>
      </c>
      <c r="BM32" s="3442" t="str">
        <f t="shared" si="27"/>
        <v/>
      </c>
      <c r="BN32" s="1771" t="str">
        <f t="shared" si="27"/>
        <v/>
      </c>
      <c r="BO32" s="1771" t="str">
        <f t="shared" si="27"/>
        <v/>
      </c>
      <c r="BP32" s="1771" t="str">
        <f t="shared" si="27"/>
        <v/>
      </c>
      <c r="BQ32" s="1771" t="str">
        <f t="shared" si="27"/>
        <v/>
      </c>
      <c r="BR32" s="3437" t="str">
        <f t="shared" si="28"/>
        <v/>
      </c>
      <c r="BS32" s="1771" t="str">
        <f t="shared" si="28"/>
        <v/>
      </c>
      <c r="BT32" s="1771" t="str">
        <f t="shared" si="28"/>
        <v/>
      </c>
      <c r="BU32" s="3442" t="str">
        <f t="shared" si="28"/>
        <v/>
      </c>
      <c r="BV32" s="1771" t="str">
        <f t="shared" si="28"/>
        <v/>
      </c>
      <c r="BW32" s="3442" t="str">
        <f t="shared" si="28"/>
        <v/>
      </c>
      <c r="BX32" s="3462"/>
      <c r="BY32" s="3439" t="str">
        <f>IF(L32=L319,"stop","")</f>
        <v/>
      </c>
      <c r="BZ32" s="3437" t="str">
        <f t="shared" si="29"/>
        <v/>
      </c>
      <c r="CA32" s="1771">
        <f t="shared" si="29"/>
        <v>0.35349999999999998</v>
      </c>
      <c r="CB32" s="1771" t="str">
        <f t="shared" si="29"/>
        <v/>
      </c>
      <c r="CC32" s="3442" t="str">
        <f t="shared" si="29"/>
        <v/>
      </c>
      <c r="CD32" s="1771" t="str">
        <f t="shared" si="29"/>
        <v/>
      </c>
      <c r="CE32" s="3437" t="str">
        <f t="shared" si="29"/>
        <v/>
      </c>
      <c r="CF32" s="1771" t="str">
        <f t="shared" si="29"/>
        <v/>
      </c>
      <c r="CG32" s="1771" t="str">
        <f t="shared" si="29"/>
        <v/>
      </c>
      <c r="CH32" s="3437" t="str">
        <f t="shared" si="29"/>
        <v/>
      </c>
      <c r="CI32" s="1771" t="str">
        <f t="shared" si="29"/>
        <v/>
      </c>
      <c r="CJ32" s="1771" t="str">
        <f t="shared" si="29"/>
        <v/>
      </c>
      <c r="CK32" s="3442" t="str">
        <f t="shared" si="29"/>
        <v/>
      </c>
      <c r="CL32" s="3437" t="str">
        <f t="shared" si="30"/>
        <v/>
      </c>
      <c r="CM32" s="1771" t="str">
        <f t="shared" si="30"/>
        <v/>
      </c>
      <c r="CN32" s="1771" t="str">
        <f t="shared" si="30"/>
        <v/>
      </c>
      <c r="CO32" s="3442" t="str">
        <f t="shared" si="30"/>
        <v/>
      </c>
      <c r="CP32" s="1771" t="str">
        <f t="shared" si="30"/>
        <v/>
      </c>
      <c r="CQ32" s="3442" t="str">
        <f t="shared" si="30"/>
        <v/>
      </c>
      <c r="CR32" s="3462"/>
    </row>
    <row r="33" spans="1:96" s="3" customFormat="1">
      <c r="A33" s="1838" t="s">
        <v>720</v>
      </c>
      <c r="B33" s="1775">
        <v>8</v>
      </c>
      <c r="C33" s="1775">
        <v>8.5</v>
      </c>
      <c r="D33" s="1775">
        <v>7.0000000000000001E-3</v>
      </c>
      <c r="E33" s="1796" t="s">
        <v>35</v>
      </c>
      <c r="F33" s="1775">
        <v>0.2</v>
      </c>
      <c r="G33" s="1775" t="s">
        <v>695</v>
      </c>
      <c r="H33" s="1775">
        <v>1996</v>
      </c>
      <c r="I33" s="1807"/>
      <c r="J33" s="1775">
        <f t="shared" si="0"/>
        <v>8.5</v>
      </c>
      <c r="K33" s="1775">
        <v>7.0000000000000001E-3</v>
      </c>
      <c r="L33" s="1775" t="s">
        <v>35</v>
      </c>
      <c r="M33" s="1775">
        <v>0.2</v>
      </c>
      <c r="N33" s="1788">
        <f t="shared" si="14"/>
        <v>3.7416573867739417E-2</v>
      </c>
      <c r="O33" s="1829">
        <f t="shared" si="15"/>
        <v>0.10350000000000001</v>
      </c>
      <c r="P33" s="1776" t="s">
        <v>1088</v>
      </c>
      <c r="Q33" s="3" t="str">
        <f>IF(J33=J319,"stop","")</f>
        <v/>
      </c>
      <c r="R33" s="3437" t="str">
        <f t="shared" si="24"/>
        <v/>
      </c>
      <c r="S33" s="1771" t="str">
        <f t="shared" si="24"/>
        <v/>
      </c>
      <c r="T33" s="1771" t="str">
        <f t="shared" si="24"/>
        <v/>
      </c>
      <c r="U33" s="1771" t="str">
        <f t="shared" si="24"/>
        <v/>
      </c>
      <c r="V33" s="3443">
        <f t="shared" si="24"/>
        <v>7.0000000000000001E-3</v>
      </c>
      <c r="W33" s="1771" t="str">
        <f t="shared" si="24"/>
        <v/>
      </c>
      <c r="X33" s="1771" t="str">
        <f t="shared" si="24"/>
        <v/>
      </c>
      <c r="Y33" s="1771" t="str">
        <f t="shared" si="24"/>
        <v/>
      </c>
      <c r="Z33" s="3437" t="str">
        <f t="shared" si="24"/>
        <v/>
      </c>
      <c r="AA33" s="1771" t="str">
        <f t="shared" si="24"/>
        <v/>
      </c>
      <c r="AB33" s="1771" t="str">
        <f t="shared" si="24"/>
        <v/>
      </c>
      <c r="AC33" s="3442" t="str">
        <f t="shared" si="24"/>
        <v/>
      </c>
      <c r="AD33" s="1771" t="str">
        <f t="shared" si="24"/>
        <v/>
      </c>
      <c r="AE33" s="1771" t="str">
        <f t="shared" si="24"/>
        <v/>
      </c>
      <c r="AF33" s="1771" t="str">
        <f t="shared" si="24"/>
        <v/>
      </c>
      <c r="AG33" s="3442" t="str">
        <f t="shared" si="24"/>
        <v/>
      </c>
      <c r="AH33" s="1771" t="str">
        <f t="shared" si="22"/>
        <v/>
      </c>
      <c r="AI33" s="3442" t="str">
        <f t="shared" si="4"/>
        <v/>
      </c>
      <c r="AJ33" s="3462"/>
      <c r="AK33" s="3439" t="str">
        <f>IF(J33=J319,"stop","")</f>
        <v/>
      </c>
      <c r="AL33" s="3437" t="str">
        <f t="shared" si="25"/>
        <v/>
      </c>
      <c r="AM33" s="1771" t="str">
        <f t="shared" si="25"/>
        <v/>
      </c>
      <c r="AN33" s="1771" t="str">
        <f t="shared" si="25"/>
        <v/>
      </c>
      <c r="AO33" s="1771" t="str">
        <f t="shared" si="25"/>
        <v/>
      </c>
      <c r="AP33" s="3443">
        <f t="shared" si="25"/>
        <v>0.2</v>
      </c>
      <c r="AQ33" s="1771" t="str">
        <f t="shared" si="25"/>
        <v/>
      </c>
      <c r="AR33" s="1771" t="str">
        <f t="shared" si="25"/>
        <v/>
      </c>
      <c r="AS33" s="3442" t="str">
        <f t="shared" si="25"/>
        <v/>
      </c>
      <c r="AT33" s="1771" t="str">
        <f t="shared" si="25"/>
        <v/>
      </c>
      <c r="AU33" s="1771" t="str">
        <f t="shared" si="25"/>
        <v/>
      </c>
      <c r="AV33" s="1771" t="str">
        <f t="shared" si="25"/>
        <v/>
      </c>
      <c r="AW33" s="3442" t="str">
        <f t="shared" si="25"/>
        <v/>
      </c>
      <c r="AX33" s="1771" t="str">
        <f t="shared" si="26"/>
        <v/>
      </c>
      <c r="AY33" s="1771" t="str">
        <f t="shared" si="26"/>
        <v/>
      </c>
      <c r="AZ33" s="1771" t="str">
        <f t="shared" si="26"/>
        <v/>
      </c>
      <c r="BA33" s="1771" t="str">
        <f t="shared" si="26"/>
        <v/>
      </c>
      <c r="BB33" s="3437" t="str">
        <f t="shared" si="26"/>
        <v/>
      </c>
      <c r="BC33" s="3443" t="str">
        <f t="shared" si="26"/>
        <v/>
      </c>
      <c r="BD33" s="3462"/>
      <c r="BE33" s="3440" t="str">
        <f>IF(J33=J319,"stop","")</f>
        <v/>
      </c>
      <c r="BF33" s="1771" t="str">
        <f t="shared" si="27"/>
        <v/>
      </c>
      <c r="BG33" s="1771" t="str">
        <f t="shared" si="27"/>
        <v/>
      </c>
      <c r="BH33" s="1771" t="str">
        <f t="shared" si="27"/>
        <v/>
      </c>
      <c r="BI33" s="1771" t="str">
        <f t="shared" si="27"/>
        <v/>
      </c>
      <c r="BJ33" s="3443">
        <f t="shared" si="27"/>
        <v>3.7416573867739417E-2</v>
      </c>
      <c r="BK33" s="3437" t="str">
        <f t="shared" si="27"/>
        <v/>
      </c>
      <c r="BL33" s="1771" t="str">
        <f t="shared" si="27"/>
        <v/>
      </c>
      <c r="BM33" s="3442" t="str">
        <f t="shared" si="27"/>
        <v/>
      </c>
      <c r="BN33" s="1771" t="str">
        <f t="shared" si="27"/>
        <v/>
      </c>
      <c r="BO33" s="1771" t="str">
        <f t="shared" si="27"/>
        <v/>
      </c>
      <c r="BP33" s="1771" t="str">
        <f t="shared" si="27"/>
        <v/>
      </c>
      <c r="BQ33" s="1771" t="str">
        <f t="shared" si="27"/>
        <v/>
      </c>
      <c r="BR33" s="3437" t="str">
        <f t="shared" si="28"/>
        <v/>
      </c>
      <c r="BS33" s="1771" t="str">
        <f t="shared" si="28"/>
        <v/>
      </c>
      <c r="BT33" s="1771" t="str">
        <f t="shared" si="28"/>
        <v/>
      </c>
      <c r="BU33" s="3442" t="str">
        <f t="shared" si="28"/>
        <v/>
      </c>
      <c r="BV33" s="1771" t="str">
        <f t="shared" si="28"/>
        <v/>
      </c>
      <c r="BW33" s="3442" t="str">
        <f t="shared" si="28"/>
        <v/>
      </c>
      <c r="BX33" s="3462"/>
      <c r="BY33" s="3439" t="str">
        <f>IF(L33=L319,"stop","")</f>
        <v/>
      </c>
      <c r="BZ33" s="3437" t="str">
        <f t="shared" si="29"/>
        <v/>
      </c>
      <c r="CA33" s="1771" t="str">
        <f t="shared" si="29"/>
        <v/>
      </c>
      <c r="CB33" s="1771" t="str">
        <f t="shared" si="29"/>
        <v/>
      </c>
      <c r="CC33" s="3442" t="str">
        <f t="shared" si="29"/>
        <v/>
      </c>
      <c r="CD33" s="1771">
        <f t="shared" si="29"/>
        <v>0.10350000000000001</v>
      </c>
      <c r="CE33" s="3437" t="str">
        <f t="shared" si="29"/>
        <v/>
      </c>
      <c r="CF33" s="1771" t="str">
        <f t="shared" si="29"/>
        <v/>
      </c>
      <c r="CG33" s="1771" t="str">
        <f t="shared" si="29"/>
        <v/>
      </c>
      <c r="CH33" s="3437" t="str">
        <f t="shared" si="29"/>
        <v/>
      </c>
      <c r="CI33" s="1771" t="str">
        <f t="shared" si="29"/>
        <v/>
      </c>
      <c r="CJ33" s="1771" t="str">
        <f t="shared" si="29"/>
        <v/>
      </c>
      <c r="CK33" s="3442" t="str">
        <f t="shared" si="29"/>
        <v/>
      </c>
      <c r="CL33" s="3437" t="str">
        <f t="shared" si="30"/>
        <v/>
      </c>
      <c r="CM33" s="1771" t="str">
        <f t="shared" si="30"/>
        <v/>
      </c>
      <c r="CN33" s="1771" t="str">
        <f t="shared" si="30"/>
        <v/>
      </c>
      <c r="CO33" s="3442" t="str">
        <f t="shared" si="30"/>
        <v/>
      </c>
      <c r="CP33" s="1771" t="str">
        <f t="shared" si="30"/>
        <v/>
      </c>
      <c r="CQ33" s="3442" t="str">
        <f t="shared" si="30"/>
        <v/>
      </c>
      <c r="CR33" s="3462"/>
    </row>
    <row r="34" spans="1:96" s="3" customFormat="1">
      <c r="A34" s="1838" t="s">
        <v>721</v>
      </c>
      <c r="B34" s="1775">
        <v>8</v>
      </c>
      <c r="C34" s="1775">
        <v>8.81</v>
      </c>
      <c r="D34" s="1775">
        <v>1E-3</v>
      </c>
      <c r="E34" s="1796" t="s">
        <v>35</v>
      </c>
      <c r="F34" s="1775">
        <v>8.5000000000000006E-2</v>
      </c>
      <c r="G34" s="1775" t="s">
        <v>695</v>
      </c>
      <c r="H34" s="1775">
        <v>1996</v>
      </c>
      <c r="I34" s="1807"/>
      <c r="J34" s="1775">
        <f t="shared" si="0"/>
        <v>8.81</v>
      </c>
      <c r="K34" s="1775">
        <v>1E-3</v>
      </c>
      <c r="L34" s="1775" t="s">
        <v>35</v>
      </c>
      <c r="M34" s="1775">
        <v>8.5000000000000006E-2</v>
      </c>
      <c r="N34" s="1788">
        <f t="shared" si="14"/>
        <v>9.2195444572928872E-3</v>
      </c>
      <c r="O34" s="1829">
        <f t="shared" si="15"/>
        <v>4.3000000000000003E-2</v>
      </c>
      <c r="P34" s="1776" t="s">
        <v>1088</v>
      </c>
      <c r="Q34" s="3" t="str">
        <f>IF(J34=J319,"stop","")</f>
        <v/>
      </c>
      <c r="R34" s="3437" t="str">
        <f t="shared" si="24"/>
        <v/>
      </c>
      <c r="S34" s="1771" t="str">
        <f t="shared" si="24"/>
        <v/>
      </c>
      <c r="T34" s="1771" t="str">
        <f t="shared" si="24"/>
        <v/>
      </c>
      <c r="U34" s="1771" t="str">
        <f t="shared" si="24"/>
        <v/>
      </c>
      <c r="V34" s="3443">
        <f t="shared" si="24"/>
        <v>1E-3</v>
      </c>
      <c r="W34" s="1771" t="str">
        <f t="shared" si="24"/>
        <v/>
      </c>
      <c r="X34" s="1771" t="str">
        <f t="shared" si="24"/>
        <v/>
      </c>
      <c r="Y34" s="1771" t="str">
        <f t="shared" si="24"/>
        <v/>
      </c>
      <c r="Z34" s="3437" t="str">
        <f t="shared" si="24"/>
        <v/>
      </c>
      <c r="AA34" s="1771" t="str">
        <f t="shared" si="24"/>
        <v/>
      </c>
      <c r="AB34" s="1771" t="str">
        <f t="shared" si="24"/>
        <v/>
      </c>
      <c r="AC34" s="3442" t="str">
        <f t="shared" si="24"/>
        <v/>
      </c>
      <c r="AD34" s="1771" t="str">
        <f t="shared" si="24"/>
        <v/>
      </c>
      <c r="AE34" s="1771" t="str">
        <f t="shared" si="24"/>
        <v/>
      </c>
      <c r="AF34" s="1771" t="str">
        <f t="shared" si="24"/>
        <v/>
      </c>
      <c r="AG34" s="3442" t="str">
        <f t="shared" si="24"/>
        <v/>
      </c>
      <c r="AH34" s="1771" t="str">
        <f t="shared" si="22"/>
        <v/>
      </c>
      <c r="AI34" s="3442" t="str">
        <f t="shared" si="4"/>
        <v/>
      </c>
      <c r="AJ34" s="3462"/>
      <c r="AK34" s="3439" t="str">
        <f>IF(J34=J319,"stop","")</f>
        <v/>
      </c>
      <c r="AL34" s="3437" t="str">
        <f t="shared" si="25"/>
        <v/>
      </c>
      <c r="AM34" s="1771" t="str">
        <f t="shared" si="25"/>
        <v/>
      </c>
      <c r="AN34" s="1771" t="str">
        <f t="shared" si="25"/>
        <v/>
      </c>
      <c r="AO34" s="1771" t="str">
        <f t="shared" si="25"/>
        <v/>
      </c>
      <c r="AP34" s="3443">
        <f t="shared" si="25"/>
        <v>8.5000000000000006E-2</v>
      </c>
      <c r="AQ34" s="1771" t="str">
        <f t="shared" si="25"/>
        <v/>
      </c>
      <c r="AR34" s="1771" t="str">
        <f t="shared" si="25"/>
        <v/>
      </c>
      <c r="AS34" s="3442" t="str">
        <f t="shared" si="25"/>
        <v/>
      </c>
      <c r="AT34" s="1771" t="str">
        <f t="shared" si="25"/>
        <v/>
      </c>
      <c r="AU34" s="1771" t="str">
        <f t="shared" si="25"/>
        <v/>
      </c>
      <c r="AV34" s="1771" t="str">
        <f t="shared" si="25"/>
        <v/>
      </c>
      <c r="AW34" s="3442" t="str">
        <f t="shared" si="25"/>
        <v/>
      </c>
      <c r="AX34" s="1771" t="str">
        <f t="shared" si="26"/>
        <v/>
      </c>
      <c r="AY34" s="1771" t="str">
        <f t="shared" si="26"/>
        <v/>
      </c>
      <c r="AZ34" s="1771" t="str">
        <f t="shared" si="26"/>
        <v/>
      </c>
      <c r="BA34" s="1771" t="str">
        <f t="shared" si="26"/>
        <v/>
      </c>
      <c r="BB34" s="3437" t="str">
        <f t="shared" si="26"/>
        <v/>
      </c>
      <c r="BC34" s="3443" t="str">
        <f t="shared" si="26"/>
        <v/>
      </c>
      <c r="BD34" s="3462"/>
      <c r="BE34" s="3440" t="str">
        <f>IF(J34=J319,"stop","")</f>
        <v/>
      </c>
      <c r="BF34" s="1771" t="str">
        <f t="shared" si="27"/>
        <v/>
      </c>
      <c r="BG34" s="1771" t="str">
        <f t="shared" si="27"/>
        <v/>
      </c>
      <c r="BH34" s="1771" t="str">
        <f t="shared" si="27"/>
        <v/>
      </c>
      <c r="BI34" s="1771" t="str">
        <f t="shared" si="27"/>
        <v/>
      </c>
      <c r="BJ34" s="3443">
        <f t="shared" si="27"/>
        <v>9.2195444572928872E-3</v>
      </c>
      <c r="BK34" s="3437" t="str">
        <f t="shared" si="27"/>
        <v/>
      </c>
      <c r="BL34" s="1771" t="str">
        <f t="shared" si="27"/>
        <v/>
      </c>
      <c r="BM34" s="3442" t="str">
        <f t="shared" si="27"/>
        <v/>
      </c>
      <c r="BN34" s="1771" t="str">
        <f t="shared" si="27"/>
        <v/>
      </c>
      <c r="BO34" s="1771" t="str">
        <f t="shared" si="27"/>
        <v/>
      </c>
      <c r="BP34" s="1771" t="str">
        <f t="shared" si="27"/>
        <v/>
      </c>
      <c r="BQ34" s="1771" t="str">
        <f t="shared" si="27"/>
        <v/>
      </c>
      <c r="BR34" s="3437" t="str">
        <f t="shared" si="28"/>
        <v/>
      </c>
      <c r="BS34" s="1771" t="str">
        <f t="shared" si="28"/>
        <v/>
      </c>
      <c r="BT34" s="1771" t="str">
        <f t="shared" si="28"/>
        <v/>
      </c>
      <c r="BU34" s="3442" t="str">
        <f t="shared" si="28"/>
        <v/>
      </c>
      <c r="BV34" s="1771" t="str">
        <f t="shared" si="28"/>
        <v/>
      </c>
      <c r="BW34" s="3442" t="str">
        <f t="shared" si="28"/>
        <v/>
      </c>
      <c r="BX34" s="3462"/>
      <c r="BY34" s="3439" t="str">
        <f>IF(L34=L319,"stop","")</f>
        <v/>
      </c>
      <c r="BZ34" s="3437" t="str">
        <f t="shared" si="29"/>
        <v/>
      </c>
      <c r="CA34" s="1771" t="str">
        <f t="shared" si="29"/>
        <v/>
      </c>
      <c r="CB34" s="1771" t="str">
        <f t="shared" si="29"/>
        <v/>
      </c>
      <c r="CC34" s="3442" t="str">
        <f t="shared" si="29"/>
        <v/>
      </c>
      <c r="CD34" s="1771">
        <f t="shared" si="29"/>
        <v>4.3000000000000003E-2</v>
      </c>
      <c r="CE34" s="3437" t="str">
        <f t="shared" si="29"/>
        <v/>
      </c>
      <c r="CF34" s="1771" t="str">
        <f t="shared" si="29"/>
        <v/>
      </c>
      <c r="CG34" s="1771" t="str">
        <f t="shared" si="29"/>
        <v/>
      </c>
      <c r="CH34" s="3437" t="str">
        <f t="shared" si="29"/>
        <v/>
      </c>
      <c r="CI34" s="1771" t="str">
        <f t="shared" si="29"/>
        <v/>
      </c>
      <c r="CJ34" s="1771" t="str">
        <f t="shared" si="29"/>
        <v/>
      </c>
      <c r="CK34" s="3442" t="str">
        <f t="shared" si="29"/>
        <v/>
      </c>
      <c r="CL34" s="3437" t="str">
        <f t="shared" si="30"/>
        <v/>
      </c>
      <c r="CM34" s="1771" t="str">
        <f t="shared" si="30"/>
        <v/>
      </c>
      <c r="CN34" s="1771" t="str">
        <f t="shared" si="30"/>
        <v/>
      </c>
      <c r="CO34" s="3442" t="str">
        <f t="shared" si="30"/>
        <v/>
      </c>
      <c r="CP34" s="1771" t="str">
        <f t="shared" si="30"/>
        <v/>
      </c>
      <c r="CQ34" s="3442" t="str">
        <f t="shared" si="30"/>
        <v/>
      </c>
      <c r="CR34" s="3462"/>
    </row>
    <row r="35" spans="1:96" s="3" customFormat="1">
      <c r="A35" s="1838" t="s">
        <v>722</v>
      </c>
      <c r="B35" s="1775">
        <v>8</v>
      </c>
      <c r="C35" s="1775">
        <v>8.6</v>
      </c>
      <c r="D35" s="1775">
        <v>1.7999999999999999E-2</v>
      </c>
      <c r="E35" s="1796" t="s">
        <v>35</v>
      </c>
      <c r="F35" s="1775">
        <v>0.51200000000000001</v>
      </c>
      <c r="G35" s="1775" t="s">
        <v>695</v>
      </c>
      <c r="H35" s="1775">
        <v>1996</v>
      </c>
      <c r="I35" s="1807"/>
      <c r="J35" s="1775">
        <f t="shared" si="0"/>
        <v>8.6</v>
      </c>
      <c r="K35" s="1775">
        <v>1.7999999999999999E-2</v>
      </c>
      <c r="L35" s="1775" t="s">
        <v>35</v>
      </c>
      <c r="M35" s="1775">
        <v>0.51200000000000001</v>
      </c>
      <c r="N35" s="1788">
        <f t="shared" si="14"/>
        <v>9.6000000000000002E-2</v>
      </c>
      <c r="O35" s="1829">
        <f t="shared" si="15"/>
        <v>0.26500000000000001</v>
      </c>
      <c r="P35" s="1776" t="s">
        <v>1088</v>
      </c>
      <c r="Q35" s="3" t="str">
        <f>IF(J35=J319,"stop","")</f>
        <v/>
      </c>
      <c r="R35" s="3437" t="str">
        <f t="shared" si="24"/>
        <v/>
      </c>
      <c r="S35" s="1771" t="str">
        <f t="shared" si="24"/>
        <v/>
      </c>
      <c r="T35" s="1771" t="str">
        <f t="shared" si="24"/>
        <v/>
      </c>
      <c r="U35" s="1771" t="str">
        <f t="shared" si="24"/>
        <v/>
      </c>
      <c r="V35" s="3443">
        <f t="shared" si="24"/>
        <v>1.7999999999999999E-2</v>
      </c>
      <c r="W35" s="1771" t="str">
        <f t="shared" si="24"/>
        <v/>
      </c>
      <c r="X35" s="1771" t="str">
        <f t="shared" si="24"/>
        <v/>
      </c>
      <c r="Y35" s="1771" t="str">
        <f t="shared" si="24"/>
        <v/>
      </c>
      <c r="Z35" s="3437" t="str">
        <f t="shared" si="24"/>
        <v/>
      </c>
      <c r="AA35" s="1771" t="str">
        <f t="shared" si="24"/>
        <v/>
      </c>
      <c r="AB35" s="1771" t="str">
        <f t="shared" si="24"/>
        <v/>
      </c>
      <c r="AC35" s="3442" t="str">
        <f t="shared" si="24"/>
        <v/>
      </c>
      <c r="AD35" s="1771" t="str">
        <f t="shared" si="24"/>
        <v/>
      </c>
      <c r="AE35" s="1771" t="str">
        <f t="shared" si="24"/>
        <v/>
      </c>
      <c r="AF35" s="1771" t="str">
        <f t="shared" si="24"/>
        <v/>
      </c>
      <c r="AG35" s="3442" t="str">
        <f t="shared" si="24"/>
        <v/>
      </c>
      <c r="AH35" s="1771" t="str">
        <f t="shared" si="22"/>
        <v/>
      </c>
      <c r="AI35" s="3442" t="str">
        <f t="shared" si="4"/>
        <v/>
      </c>
      <c r="AJ35" s="3462"/>
      <c r="AK35" s="3439" t="str">
        <f>IF(J35=J319,"stop","")</f>
        <v/>
      </c>
      <c r="AL35" s="3437" t="str">
        <f t="shared" si="25"/>
        <v/>
      </c>
      <c r="AM35" s="1771" t="str">
        <f t="shared" si="25"/>
        <v/>
      </c>
      <c r="AN35" s="1771" t="str">
        <f t="shared" si="25"/>
        <v/>
      </c>
      <c r="AO35" s="1771" t="str">
        <f t="shared" si="25"/>
        <v/>
      </c>
      <c r="AP35" s="3443">
        <f t="shared" si="25"/>
        <v>0.51200000000000001</v>
      </c>
      <c r="AQ35" s="1771" t="str">
        <f t="shared" si="25"/>
        <v/>
      </c>
      <c r="AR35" s="1771" t="str">
        <f t="shared" si="25"/>
        <v/>
      </c>
      <c r="AS35" s="3442" t="str">
        <f t="shared" si="25"/>
        <v/>
      </c>
      <c r="AT35" s="1771" t="str">
        <f t="shared" si="25"/>
        <v/>
      </c>
      <c r="AU35" s="1771" t="str">
        <f t="shared" si="25"/>
        <v/>
      </c>
      <c r="AV35" s="1771" t="str">
        <f t="shared" si="25"/>
        <v/>
      </c>
      <c r="AW35" s="3442" t="str">
        <f t="shared" si="25"/>
        <v/>
      </c>
      <c r="AX35" s="1771" t="str">
        <f t="shared" si="26"/>
        <v/>
      </c>
      <c r="AY35" s="1771" t="str">
        <f t="shared" si="26"/>
        <v/>
      </c>
      <c r="AZ35" s="1771" t="str">
        <f t="shared" si="26"/>
        <v/>
      </c>
      <c r="BA35" s="1771" t="str">
        <f t="shared" si="26"/>
        <v/>
      </c>
      <c r="BB35" s="3437" t="str">
        <f t="shared" si="26"/>
        <v/>
      </c>
      <c r="BC35" s="3443" t="str">
        <f t="shared" si="26"/>
        <v/>
      </c>
      <c r="BD35" s="3462"/>
      <c r="BE35" s="3440" t="str">
        <f>IF(J35=J319,"stop","")</f>
        <v/>
      </c>
      <c r="BF35" s="1771" t="str">
        <f t="shared" si="27"/>
        <v/>
      </c>
      <c r="BG35" s="1771" t="str">
        <f t="shared" si="27"/>
        <v/>
      </c>
      <c r="BH35" s="1771" t="str">
        <f t="shared" si="27"/>
        <v/>
      </c>
      <c r="BI35" s="1771" t="str">
        <f t="shared" si="27"/>
        <v/>
      </c>
      <c r="BJ35" s="3443">
        <f t="shared" si="27"/>
        <v>9.6000000000000002E-2</v>
      </c>
      <c r="BK35" s="3437" t="str">
        <f t="shared" si="27"/>
        <v/>
      </c>
      <c r="BL35" s="1771" t="str">
        <f t="shared" si="27"/>
        <v/>
      </c>
      <c r="BM35" s="3442" t="str">
        <f t="shared" si="27"/>
        <v/>
      </c>
      <c r="BN35" s="1771" t="str">
        <f t="shared" si="27"/>
        <v/>
      </c>
      <c r="BO35" s="1771" t="str">
        <f t="shared" si="27"/>
        <v/>
      </c>
      <c r="BP35" s="1771" t="str">
        <f t="shared" si="27"/>
        <v/>
      </c>
      <c r="BQ35" s="1771" t="str">
        <f t="shared" si="27"/>
        <v/>
      </c>
      <c r="BR35" s="3437" t="str">
        <f t="shared" si="28"/>
        <v/>
      </c>
      <c r="BS35" s="1771" t="str">
        <f t="shared" si="28"/>
        <v/>
      </c>
      <c r="BT35" s="1771" t="str">
        <f t="shared" si="28"/>
        <v/>
      </c>
      <c r="BU35" s="3442" t="str">
        <f t="shared" si="28"/>
        <v/>
      </c>
      <c r="BV35" s="1771" t="str">
        <f t="shared" si="28"/>
        <v/>
      </c>
      <c r="BW35" s="3442" t="str">
        <f t="shared" si="28"/>
        <v/>
      </c>
      <c r="BX35" s="3462"/>
      <c r="BY35" s="3439" t="str">
        <f>IF(L35=L319,"stop","")</f>
        <v/>
      </c>
      <c r="BZ35" s="3437" t="str">
        <f t="shared" si="29"/>
        <v/>
      </c>
      <c r="CA35" s="1771" t="str">
        <f t="shared" si="29"/>
        <v/>
      </c>
      <c r="CB35" s="1771" t="str">
        <f t="shared" si="29"/>
        <v/>
      </c>
      <c r="CC35" s="3442" t="str">
        <f t="shared" si="29"/>
        <v/>
      </c>
      <c r="CD35" s="1771">
        <f t="shared" si="29"/>
        <v>0.26500000000000001</v>
      </c>
      <c r="CE35" s="3437" t="str">
        <f t="shared" si="29"/>
        <v/>
      </c>
      <c r="CF35" s="1771" t="str">
        <f t="shared" si="29"/>
        <v/>
      </c>
      <c r="CG35" s="1771" t="str">
        <f t="shared" si="29"/>
        <v/>
      </c>
      <c r="CH35" s="3437" t="str">
        <f t="shared" si="29"/>
        <v/>
      </c>
      <c r="CI35" s="1771" t="str">
        <f t="shared" si="29"/>
        <v/>
      </c>
      <c r="CJ35" s="1771" t="str">
        <f t="shared" si="29"/>
        <v/>
      </c>
      <c r="CK35" s="3442" t="str">
        <f t="shared" si="29"/>
        <v/>
      </c>
      <c r="CL35" s="3437" t="str">
        <f t="shared" si="30"/>
        <v/>
      </c>
      <c r="CM35" s="1771" t="str">
        <f t="shared" si="30"/>
        <v/>
      </c>
      <c r="CN35" s="1771" t="str">
        <f t="shared" si="30"/>
        <v/>
      </c>
      <c r="CO35" s="3442" t="str">
        <f t="shared" si="30"/>
        <v/>
      </c>
      <c r="CP35" s="1771" t="str">
        <f t="shared" si="30"/>
        <v/>
      </c>
      <c r="CQ35" s="3442" t="str">
        <f t="shared" si="30"/>
        <v/>
      </c>
      <c r="CR35" s="3462"/>
    </row>
    <row r="36" spans="1:96" s="3" customFormat="1">
      <c r="A36" s="1838" t="s">
        <v>723</v>
      </c>
      <c r="B36" s="1775">
        <v>8</v>
      </c>
      <c r="C36" s="1775">
        <v>8.61</v>
      </c>
      <c r="D36" s="1775">
        <v>1.7999999999999999E-2</v>
      </c>
      <c r="E36" s="1796" t="s">
        <v>35</v>
      </c>
      <c r="F36" s="1775">
        <v>0.51200000000000001</v>
      </c>
      <c r="G36" s="1775" t="s">
        <v>695</v>
      </c>
      <c r="H36" s="1775">
        <v>1996</v>
      </c>
      <c r="I36" s="1807"/>
      <c r="J36" s="1775">
        <f t="shared" si="0"/>
        <v>8.61</v>
      </c>
      <c r="K36" s="1775">
        <v>1.7999999999999999E-2</v>
      </c>
      <c r="L36" s="1775" t="s">
        <v>35</v>
      </c>
      <c r="M36" s="1775">
        <v>0.51200000000000001</v>
      </c>
      <c r="N36" s="1788">
        <f t="shared" si="14"/>
        <v>9.6000000000000002E-2</v>
      </c>
      <c r="O36" s="1829">
        <f t="shared" si="15"/>
        <v>0.26500000000000001</v>
      </c>
      <c r="P36" s="1776" t="s">
        <v>1088</v>
      </c>
      <c r="Q36" s="3" t="str">
        <f>IF(J36=J319,"stop","")</f>
        <v/>
      </c>
      <c r="R36" s="3437" t="str">
        <f t="shared" si="24"/>
        <v/>
      </c>
      <c r="S36" s="1771" t="str">
        <f t="shared" si="24"/>
        <v/>
      </c>
      <c r="T36" s="1771" t="str">
        <f t="shared" si="24"/>
        <v/>
      </c>
      <c r="U36" s="1771" t="str">
        <f t="shared" si="24"/>
        <v/>
      </c>
      <c r="V36" s="3443">
        <f t="shared" si="24"/>
        <v>1.7999999999999999E-2</v>
      </c>
      <c r="W36" s="1771" t="str">
        <f t="shared" si="24"/>
        <v/>
      </c>
      <c r="X36" s="1771" t="str">
        <f t="shared" si="24"/>
        <v/>
      </c>
      <c r="Y36" s="1771" t="str">
        <f t="shared" si="24"/>
        <v/>
      </c>
      <c r="Z36" s="3437" t="str">
        <f t="shared" si="24"/>
        <v/>
      </c>
      <c r="AA36" s="1771" t="str">
        <f t="shared" si="24"/>
        <v/>
      </c>
      <c r="AB36" s="1771" t="str">
        <f t="shared" si="24"/>
        <v/>
      </c>
      <c r="AC36" s="3442" t="str">
        <f t="shared" si="24"/>
        <v/>
      </c>
      <c r="AD36" s="1771" t="str">
        <f t="shared" si="24"/>
        <v/>
      </c>
      <c r="AE36" s="1771" t="str">
        <f t="shared" si="24"/>
        <v/>
      </c>
      <c r="AF36" s="1771" t="str">
        <f t="shared" si="24"/>
        <v/>
      </c>
      <c r="AG36" s="3442" t="str">
        <f t="shared" si="24"/>
        <v/>
      </c>
      <c r="AH36" s="1771" t="str">
        <f t="shared" si="22"/>
        <v/>
      </c>
      <c r="AI36" s="3442" t="str">
        <f t="shared" si="4"/>
        <v/>
      </c>
      <c r="AJ36" s="3462"/>
      <c r="AK36" s="3439" t="str">
        <f>IF(J36=J319,"stop","")</f>
        <v/>
      </c>
      <c r="AL36" s="3437" t="str">
        <f t="shared" si="25"/>
        <v/>
      </c>
      <c r="AM36" s="1771" t="str">
        <f t="shared" si="25"/>
        <v/>
      </c>
      <c r="AN36" s="1771" t="str">
        <f t="shared" si="25"/>
        <v/>
      </c>
      <c r="AO36" s="1771" t="str">
        <f t="shared" si="25"/>
        <v/>
      </c>
      <c r="AP36" s="3443">
        <f t="shared" si="25"/>
        <v>0.51200000000000001</v>
      </c>
      <c r="AQ36" s="1771" t="str">
        <f t="shared" si="25"/>
        <v/>
      </c>
      <c r="AR36" s="1771" t="str">
        <f t="shared" si="25"/>
        <v/>
      </c>
      <c r="AS36" s="3442" t="str">
        <f t="shared" si="25"/>
        <v/>
      </c>
      <c r="AT36" s="1771" t="str">
        <f t="shared" si="25"/>
        <v/>
      </c>
      <c r="AU36" s="1771" t="str">
        <f t="shared" si="25"/>
        <v/>
      </c>
      <c r="AV36" s="1771" t="str">
        <f t="shared" si="25"/>
        <v/>
      </c>
      <c r="AW36" s="3442" t="str">
        <f t="shared" si="25"/>
        <v/>
      </c>
      <c r="AX36" s="1771" t="str">
        <f t="shared" si="26"/>
        <v/>
      </c>
      <c r="AY36" s="1771" t="str">
        <f t="shared" si="26"/>
        <v/>
      </c>
      <c r="AZ36" s="1771" t="str">
        <f t="shared" si="26"/>
        <v/>
      </c>
      <c r="BA36" s="1771" t="str">
        <f t="shared" si="26"/>
        <v/>
      </c>
      <c r="BB36" s="3437" t="str">
        <f t="shared" si="26"/>
        <v/>
      </c>
      <c r="BC36" s="3443" t="str">
        <f t="shared" si="26"/>
        <v/>
      </c>
      <c r="BD36" s="3462"/>
      <c r="BE36" s="3440" t="str">
        <f>IF(J36=J319,"stop","")</f>
        <v/>
      </c>
      <c r="BF36" s="1771" t="str">
        <f t="shared" si="27"/>
        <v/>
      </c>
      <c r="BG36" s="1771" t="str">
        <f t="shared" si="27"/>
        <v/>
      </c>
      <c r="BH36" s="1771" t="str">
        <f t="shared" si="27"/>
        <v/>
      </c>
      <c r="BI36" s="1771" t="str">
        <f t="shared" si="27"/>
        <v/>
      </c>
      <c r="BJ36" s="3443">
        <f t="shared" si="27"/>
        <v>9.6000000000000002E-2</v>
      </c>
      <c r="BK36" s="3437" t="str">
        <f t="shared" si="27"/>
        <v/>
      </c>
      <c r="BL36" s="1771" t="str">
        <f t="shared" si="27"/>
        <v/>
      </c>
      <c r="BM36" s="3442" t="str">
        <f t="shared" si="27"/>
        <v/>
      </c>
      <c r="BN36" s="1771" t="str">
        <f t="shared" si="27"/>
        <v/>
      </c>
      <c r="BO36" s="1771" t="str">
        <f t="shared" si="27"/>
        <v/>
      </c>
      <c r="BP36" s="1771" t="str">
        <f t="shared" si="27"/>
        <v/>
      </c>
      <c r="BQ36" s="1771" t="str">
        <f t="shared" si="27"/>
        <v/>
      </c>
      <c r="BR36" s="3437" t="str">
        <f t="shared" si="28"/>
        <v/>
      </c>
      <c r="BS36" s="1771" t="str">
        <f t="shared" si="28"/>
        <v/>
      </c>
      <c r="BT36" s="1771" t="str">
        <f t="shared" si="28"/>
        <v/>
      </c>
      <c r="BU36" s="3442" t="str">
        <f t="shared" si="28"/>
        <v/>
      </c>
      <c r="BV36" s="1771" t="str">
        <f t="shared" si="28"/>
        <v/>
      </c>
      <c r="BW36" s="3442" t="str">
        <f t="shared" si="28"/>
        <v/>
      </c>
      <c r="BX36" s="3462"/>
      <c r="BY36" s="3439" t="str">
        <f>IF(L36=L319,"stop","")</f>
        <v/>
      </c>
      <c r="BZ36" s="3437" t="str">
        <f t="shared" si="29"/>
        <v/>
      </c>
      <c r="CA36" s="1771" t="str">
        <f t="shared" si="29"/>
        <v/>
      </c>
      <c r="CB36" s="1771" t="str">
        <f t="shared" si="29"/>
        <v/>
      </c>
      <c r="CC36" s="3442" t="str">
        <f t="shared" si="29"/>
        <v/>
      </c>
      <c r="CD36" s="1771">
        <f t="shared" si="29"/>
        <v>0.26500000000000001</v>
      </c>
      <c r="CE36" s="3437" t="str">
        <f t="shared" si="29"/>
        <v/>
      </c>
      <c r="CF36" s="1771" t="str">
        <f t="shared" si="29"/>
        <v/>
      </c>
      <c r="CG36" s="1771" t="str">
        <f t="shared" si="29"/>
        <v/>
      </c>
      <c r="CH36" s="3437" t="str">
        <f t="shared" si="29"/>
        <v/>
      </c>
      <c r="CI36" s="1771" t="str">
        <f t="shared" si="29"/>
        <v/>
      </c>
      <c r="CJ36" s="1771" t="str">
        <f t="shared" si="29"/>
        <v/>
      </c>
      <c r="CK36" s="3442" t="str">
        <f t="shared" si="29"/>
        <v/>
      </c>
      <c r="CL36" s="3437" t="str">
        <f t="shared" si="30"/>
        <v/>
      </c>
      <c r="CM36" s="1771" t="str">
        <f t="shared" si="30"/>
        <v/>
      </c>
      <c r="CN36" s="1771" t="str">
        <f t="shared" si="30"/>
        <v/>
      </c>
      <c r="CO36" s="3442" t="str">
        <f t="shared" si="30"/>
        <v/>
      </c>
      <c r="CP36" s="1771" t="str">
        <f t="shared" si="30"/>
        <v/>
      </c>
      <c r="CQ36" s="3442" t="str">
        <f t="shared" si="30"/>
        <v/>
      </c>
      <c r="CR36" s="3462"/>
    </row>
    <row r="37" spans="1:96" s="3" customFormat="1">
      <c r="A37" s="1838" t="s">
        <v>724</v>
      </c>
      <c r="B37" s="1775">
        <v>9</v>
      </c>
      <c r="C37" s="1775">
        <v>8.83</v>
      </c>
      <c r="D37" s="1775" t="s">
        <v>921</v>
      </c>
      <c r="E37" s="1799" t="s">
        <v>1083</v>
      </c>
      <c r="F37" s="1775" t="s">
        <v>921</v>
      </c>
      <c r="G37" s="1775" t="s">
        <v>695</v>
      </c>
      <c r="H37" s="1775">
        <v>1996</v>
      </c>
      <c r="I37" s="1807"/>
      <c r="J37" s="1775">
        <f t="shared" si="0"/>
        <v>8.83</v>
      </c>
      <c r="K37" s="1775">
        <v>0</v>
      </c>
      <c r="L37" s="1775"/>
      <c r="M37" s="1775">
        <v>0</v>
      </c>
      <c r="N37" s="1788">
        <f t="shared" si="14"/>
        <v>0</v>
      </c>
      <c r="O37" s="1829">
        <f t="shared" si="15"/>
        <v>0</v>
      </c>
      <c r="P37" s="1776" t="s">
        <v>1088</v>
      </c>
      <c r="Q37" s="3" t="str">
        <f>IF(J37=J319,"stop","")</f>
        <v/>
      </c>
      <c r="R37" s="3437" t="str">
        <f t="shared" si="24"/>
        <v/>
      </c>
      <c r="S37" s="1771" t="str">
        <f t="shared" si="24"/>
        <v/>
      </c>
      <c r="T37" s="1771" t="str">
        <f t="shared" si="24"/>
        <v/>
      </c>
      <c r="U37" s="1771" t="str">
        <f t="shared" si="24"/>
        <v/>
      </c>
      <c r="V37" s="3443">
        <f t="shared" si="24"/>
        <v>0</v>
      </c>
      <c r="W37" s="1771" t="str">
        <f t="shared" si="24"/>
        <v/>
      </c>
      <c r="X37" s="1771" t="str">
        <f t="shared" si="24"/>
        <v/>
      </c>
      <c r="Y37" s="1771" t="str">
        <f t="shared" si="24"/>
        <v/>
      </c>
      <c r="Z37" s="3437" t="str">
        <f t="shared" si="24"/>
        <v/>
      </c>
      <c r="AA37" s="1771" t="str">
        <f t="shared" si="24"/>
        <v/>
      </c>
      <c r="AB37" s="1771" t="str">
        <f t="shared" si="24"/>
        <v/>
      </c>
      <c r="AC37" s="3442" t="str">
        <f t="shared" si="24"/>
        <v/>
      </c>
      <c r="AD37" s="1771" t="str">
        <f t="shared" si="24"/>
        <v/>
      </c>
      <c r="AE37" s="1771" t="str">
        <f t="shared" si="24"/>
        <v/>
      </c>
      <c r="AF37" s="1771" t="str">
        <f t="shared" si="24"/>
        <v/>
      </c>
      <c r="AG37" s="3442" t="str">
        <f t="shared" si="24"/>
        <v/>
      </c>
      <c r="AH37" s="1771" t="str">
        <f t="shared" si="22"/>
        <v/>
      </c>
      <c r="AI37" s="3442" t="str">
        <f t="shared" si="4"/>
        <v/>
      </c>
      <c r="AJ37" s="3462"/>
      <c r="AK37" s="3439" t="str">
        <f>IF(J37=J319,"stop","")</f>
        <v/>
      </c>
      <c r="AL37" s="3437" t="str">
        <f t="shared" si="25"/>
        <v/>
      </c>
      <c r="AM37" s="1771" t="str">
        <f t="shared" si="25"/>
        <v/>
      </c>
      <c r="AN37" s="1771" t="str">
        <f t="shared" si="25"/>
        <v/>
      </c>
      <c r="AO37" s="1771" t="str">
        <f t="shared" si="25"/>
        <v/>
      </c>
      <c r="AP37" s="3443">
        <f t="shared" si="25"/>
        <v>0</v>
      </c>
      <c r="AQ37" s="1771" t="str">
        <f t="shared" si="25"/>
        <v/>
      </c>
      <c r="AR37" s="1771" t="str">
        <f t="shared" si="25"/>
        <v/>
      </c>
      <c r="AS37" s="3442" t="str">
        <f t="shared" si="25"/>
        <v/>
      </c>
      <c r="AT37" s="1771" t="str">
        <f t="shared" si="25"/>
        <v/>
      </c>
      <c r="AU37" s="1771" t="str">
        <f t="shared" si="25"/>
        <v/>
      </c>
      <c r="AV37" s="1771" t="str">
        <f t="shared" si="25"/>
        <v/>
      </c>
      <c r="AW37" s="3442" t="str">
        <f t="shared" si="25"/>
        <v/>
      </c>
      <c r="AX37" s="1771" t="str">
        <f t="shared" si="26"/>
        <v/>
      </c>
      <c r="AY37" s="1771" t="str">
        <f t="shared" si="26"/>
        <v/>
      </c>
      <c r="AZ37" s="1771" t="str">
        <f t="shared" si="26"/>
        <v/>
      </c>
      <c r="BA37" s="1771" t="str">
        <f t="shared" si="26"/>
        <v/>
      </c>
      <c r="BB37" s="3437" t="str">
        <f t="shared" si="26"/>
        <v/>
      </c>
      <c r="BC37" s="3443" t="str">
        <f t="shared" si="26"/>
        <v/>
      </c>
      <c r="BD37" s="3462"/>
      <c r="BE37" s="3440" t="str">
        <f>IF(J37=J319,"stop","")</f>
        <v/>
      </c>
      <c r="BF37" s="1771" t="str">
        <f t="shared" si="27"/>
        <v/>
      </c>
      <c r="BG37" s="1771" t="str">
        <f t="shared" si="27"/>
        <v/>
      </c>
      <c r="BH37" s="1771" t="str">
        <f t="shared" si="27"/>
        <v/>
      </c>
      <c r="BI37" s="1771" t="str">
        <f t="shared" si="27"/>
        <v/>
      </c>
      <c r="BJ37" s="3443">
        <f t="shared" si="27"/>
        <v>0</v>
      </c>
      <c r="BK37" s="3437" t="str">
        <f t="shared" si="27"/>
        <v/>
      </c>
      <c r="BL37" s="1771" t="str">
        <f t="shared" si="27"/>
        <v/>
      </c>
      <c r="BM37" s="3442" t="str">
        <f t="shared" si="27"/>
        <v/>
      </c>
      <c r="BN37" s="1771" t="str">
        <f t="shared" si="27"/>
        <v/>
      </c>
      <c r="BO37" s="1771" t="str">
        <f t="shared" si="27"/>
        <v/>
      </c>
      <c r="BP37" s="1771" t="str">
        <f t="shared" si="27"/>
        <v/>
      </c>
      <c r="BQ37" s="1771" t="str">
        <f t="shared" si="27"/>
        <v/>
      </c>
      <c r="BR37" s="3437" t="str">
        <f t="shared" si="28"/>
        <v/>
      </c>
      <c r="BS37" s="1771" t="str">
        <f t="shared" si="28"/>
        <v/>
      </c>
      <c r="BT37" s="1771" t="str">
        <f t="shared" si="28"/>
        <v/>
      </c>
      <c r="BU37" s="3442" t="str">
        <f t="shared" si="28"/>
        <v/>
      </c>
      <c r="BV37" s="1771" t="str">
        <f t="shared" si="28"/>
        <v/>
      </c>
      <c r="BW37" s="3442" t="str">
        <f t="shared" si="28"/>
        <v/>
      </c>
      <c r="BX37" s="3462"/>
      <c r="BY37" s="3439" t="str">
        <f>IF(L37=L319,"stop","")</f>
        <v>stop</v>
      </c>
      <c r="BZ37" s="3437" t="str">
        <f t="shared" si="29"/>
        <v/>
      </c>
      <c r="CA37" s="1771" t="str">
        <f t="shared" si="29"/>
        <v/>
      </c>
      <c r="CB37" s="1771" t="str">
        <f t="shared" si="29"/>
        <v/>
      </c>
      <c r="CC37" s="3442" t="str">
        <f t="shared" si="29"/>
        <v/>
      </c>
      <c r="CD37" s="1771">
        <f t="shared" si="29"/>
        <v>0</v>
      </c>
      <c r="CE37" s="3437" t="str">
        <f t="shared" si="29"/>
        <v/>
      </c>
      <c r="CF37" s="1771" t="str">
        <f t="shared" si="29"/>
        <v/>
      </c>
      <c r="CG37" s="1771" t="str">
        <f t="shared" si="29"/>
        <v/>
      </c>
      <c r="CH37" s="3437" t="str">
        <f t="shared" si="29"/>
        <v/>
      </c>
      <c r="CI37" s="1771" t="str">
        <f t="shared" si="29"/>
        <v/>
      </c>
      <c r="CJ37" s="1771" t="str">
        <f t="shared" si="29"/>
        <v/>
      </c>
      <c r="CK37" s="3442" t="str">
        <f t="shared" si="29"/>
        <v/>
      </c>
      <c r="CL37" s="3437" t="str">
        <f t="shared" si="30"/>
        <v/>
      </c>
      <c r="CM37" s="1771" t="str">
        <f t="shared" si="30"/>
        <v/>
      </c>
      <c r="CN37" s="1771" t="str">
        <f t="shared" si="30"/>
        <v/>
      </c>
      <c r="CO37" s="3442" t="str">
        <f t="shared" si="30"/>
        <v/>
      </c>
      <c r="CP37" s="1771" t="str">
        <f t="shared" si="30"/>
        <v/>
      </c>
      <c r="CQ37" s="3442" t="str">
        <f t="shared" si="30"/>
        <v/>
      </c>
      <c r="CR37" s="3462"/>
    </row>
    <row r="38" spans="1:96" s="3" customFormat="1" ht="22.5">
      <c r="A38" s="1838" t="s">
        <v>725</v>
      </c>
      <c r="B38" s="1775">
        <v>10</v>
      </c>
      <c r="C38" s="1775">
        <v>10.130000000000001</v>
      </c>
      <c r="D38" s="1775">
        <v>3.0000000000000001E-3</v>
      </c>
      <c r="E38" s="1796" t="s">
        <v>35</v>
      </c>
      <c r="F38" s="1775">
        <v>2.5999999999999999E-2</v>
      </c>
      <c r="G38" s="1775" t="s">
        <v>695</v>
      </c>
      <c r="H38" s="1775">
        <v>1996</v>
      </c>
      <c r="I38" s="1807"/>
      <c r="J38" s="1775">
        <f t="shared" si="0"/>
        <v>10.130000000000001</v>
      </c>
      <c r="K38" s="1775">
        <v>3.0000000000000001E-3</v>
      </c>
      <c r="L38" s="1775" t="s">
        <v>35</v>
      </c>
      <c r="M38" s="1775">
        <v>2.5999999999999999E-2</v>
      </c>
      <c r="N38" s="1788">
        <f t="shared" si="14"/>
        <v>8.8317608663278473E-3</v>
      </c>
      <c r="O38" s="1829">
        <f t="shared" si="15"/>
        <v>1.4499999999999999E-2</v>
      </c>
      <c r="P38" s="1776" t="s">
        <v>1088</v>
      </c>
      <c r="Q38" s="3" t="str">
        <f>IF(J38=J319,"stop","")</f>
        <v/>
      </c>
      <c r="R38" s="3437" t="str">
        <f t="shared" si="24"/>
        <v/>
      </c>
      <c r="S38" s="1771" t="str">
        <f t="shared" si="24"/>
        <v/>
      </c>
      <c r="T38" s="1771" t="str">
        <f t="shared" si="24"/>
        <v/>
      </c>
      <c r="U38" s="1771" t="str">
        <f t="shared" si="24"/>
        <v/>
      </c>
      <c r="V38" s="3443" t="str">
        <f t="shared" si="24"/>
        <v/>
      </c>
      <c r="W38" s="1771" t="str">
        <f t="shared" si="24"/>
        <v/>
      </c>
      <c r="X38" s="1771" t="str">
        <f t="shared" si="24"/>
        <v/>
      </c>
      <c r="Y38" s="1771" t="str">
        <f t="shared" si="24"/>
        <v/>
      </c>
      <c r="Z38" s="3437">
        <f t="shared" si="24"/>
        <v>3.0000000000000001E-3</v>
      </c>
      <c r="AA38" s="1771" t="str">
        <f t="shared" si="24"/>
        <v/>
      </c>
      <c r="AB38" s="1771" t="str">
        <f t="shared" si="24"/>
        <v/>
      </c>
      <c r="AC38" s="3442" t="str">
        <f t="shared" si="24"/>
        <v/>
      </c>
      <c r="AD38" s="1771" t="str">
        <f t="shared" si="24"/>
        <v/>
      </c>
      <c r="AE38" s="1771" t="str">
        <f t="shared" si="24"/>
        <v/>
      </c>
      <c r="AF38" s="1771" t="str">
        <f t="shared" si="24"/>
        <v/>
      </c>
      <c r="AG38" s="3442" t="str">
        <f t="shared" si="24"/>
        <v/>
      </c>
      <c r="AH38" s="1771" t="str">
        <f t="shared" si="22"/>
        <v/>
      </c>
      <c r="AI38" s="3442" t="str">
        <f t="shared" si="4"/>
        <v/>
      </c>
      <c r="AJ38" s="3462"/>
      <c r="AK38" s="3439" t="str">
        <f>IF(J38=J319,"stop","")</f>
        <v/>
      </c>
      <c r="AL38" s="3437" t="str">
        <f t="shared" si="25"/>
        <v/>
      </c>
      <c r="AM38" s="1771" t="str">
        <f t="shared" si="25"/>
        <v/>
      </c>
      <c r="AN38" s="1771" t="str">
        <f t="shared" si="25"/>
        <v/>
      </c>
      <c r="AO38" s="1771" t="str">
        <f t="shared" si="25"/>
        <v/>
      </c>
      <c r="AP38" s="3443" t="str">
        <f t="shared" si="25"/>
        <v/>
      </c>
      <c r="AQ38" s="1771" t="str">
        <f t="shared" si="25"/>
        <v/>
      </c>
      <c r="AR38" s="1771" t="str">
        <f t="shared" si="25"/>
        <v/>
      </c>
      <c r="AS38" s="3442" t="str">
        <f t="shared" si="25"/>
        <v/>
      </c>
      <c r="AT38" s="1771">
        <f t="shared" si="25"/>
        <v>2.5999999999999999E-2</v>
      </c>
      <c r="AU38" s="1771" t="str">
        <f t="shared" si="25"/>
        <v/>
      </c>
      <c r="AV38" s="1771" t="str">
        <f t="shared" si="25"/>
        <v/>
      </c>
      <c r="AW38" s="3442" t="str">
        <f t="shared" si="25"/>
        <v/>
      </c>
      <c r="AX38" s="1771" t="str">
        <f t="shared" si="26"/>
        <v/>
      </c>
      <c r="AY38" s="1771" t="str">
        <f t="shared" si="26"/>
        <v/>
      </c>
      <c r="AZ38" s="1771" t="str">
        <f t="shared" si="26"/>
        <v/>
      </c>
      <c r="BA38" s="1771" t="str">
        <f t="shared" si="26"/>
        <v/>
      </c>
      <c r="BB38" s="3437" t="str">
        <f t="shared" si="26"/>
        <v/>
      </c>
      <c r="BC38" s="3443" t="str">
        <f t="shared" si="26"/>
        <v/>
      </c>
      <c r="BD38" s="3462"/>
      <c r="BE38" s="3440" t="str">
        <f>IF(J38=J319,"stop","")</f>
        <v/>
      </c>
      <c r="BF38" s="1771" t="str">
        <f t="shared" si="27"/>
        <v/>
      </c>
      <c r="BG38" s="1771" t="str">
        <f t="shared" si="27"/>
        <v/>
      </c>
      <c r="BH38" s="1771" t="str">
        <f t="shared" si="27"/>
        <v/>
      </c>
      <c r="BI38" s="1771" t="str">
        <f t="shared" si="27"/>
        <v/>
      </c>
      <c r="BJ38" s="3443" t="str">
        <f t="shared" si="27"/>
        <v/>
      </c>
      <c r="BK38" s="3437" t="str">
        <f t="shared" si="27"/>
        <v/>
      </c>
      <c r="BL38" s="1771" t="str">
        <f t="shared" si="27"/>
        <v/>
      </c>
      <c r="BM38" s="3442" t="str">
        <f t="shared" si="27"/>
        <v/>
      </c>
      <c r="BN38" s="1771">
        <f t="shared" si="27"/>
        <v>8.8317608663278473E-3</v>
      </c>
      <c r="BO38" s="1771" t="str">
        <f t="shared" si="27"/>
        <v/>
      </c>
      <c r="BP38" s="1771" t="str">
        <f t="shared" si="27"/>
        <v/>
      </c>
      <c r="BQ38" s="1771" t="str">
        <f t="shared" si="27"/>
        <v/>
      </c>
      <c r="BR38" s="3437" t="str">
        <f t="shared" si="28"/>
        <v/>
      </c>
      <c r="BS38" s="1771" t="str">
        <f t="shared" si="28"/>
        <v/>
      </c>
      <c r="BT38" s="1771" t="str">
        <f t="shared" si="28"/>
        <v/>
      </c>
      <c r="BU38" s="3442" t="str">
        <f t="shared" si="28"/>
        <v/>
      </c>
      <c r="BV38" s="1771" t="str">
        <f t="shared" si="28"/>
        <v/>
      </c>
      <c r="BW38" s="3442" t="str">
        <f t="shared" si="28"/>
        <v/>
      </c>
      <c r="BX38" s="3462"/>
      <c r="BY38" s="3439" t="str">
        <f>IF(L38=L319,"stop","")</f>
        <v/>
      </c>
      <c r="BZ38" s="3437" t="str">
        <f t="shared" si="29"/>
        <v/>
      </c>
      <c r="CA38" s="1771" t="str">
        <f t="shared" si="29"/>
        <v/>
      </c>
      <c r="CB38" s="1771" t="str">
        <f t="shared" si="29"/>
        <v/>
      </c>
      <c r="CC38" s="3442" t="str">
        <f t="shared" si="29"/>
        <v/>
      </c>
      <c r="CD38" s="1771" t="str">
        <f t="shared" si="29"/>
        <v/>
      </c>
      <c r="CE38" s="3437" t="str">
        <f t="shared" si="29"/>
        <v/>
      </c>
      <c r="CF38" s="1771" t="str">
        <f t="shared" si="29"/>
        <v/>
      </c>
      <c r="CG38" s="1771" t="str">
        <f t="shared" si="29"/>
        <v/>
      </c>
      <c r="CH38" s="3437">
        <f t="shared" si="29"/>
        <v>1.4499999999999999E-2</v>
      </c>
      <c r="CI38" s="1771" t="str">
        <f t="shared" si="29"/>
        <v/>
      </c>
      <c r="CJ38" s="1771" t="str">
        <f t="shared" si="29"/>
        <v/>
      </c>
      <c r="CK38" s="3442" t="str">
        <f t="shared" si="29"/>
        <v/>
      </c>
      <c r="CL38" s="3437" t="str">
        <f t="shared" si="30"/>
        <v/>
      </c>
      <c r="CM38" s="1771" t="str">
        <f t="shared" si="30"/>
        <v/>
      </c>
      <c r="CN38" s="1771" t="str">
        <f t="shared" si="30"/>
        <v/>
      </c>
      <c r="CO38" s="3442" t="str">
        <f t="shared" si="30"/>
        <v/>
      </c>
      <c r="CP38" s="1771" t="str">
        <f t="shared" si="30"/>
        <v/>
      </c>
      <c r="CQ38" s="3442" t="str">
        <f t="shared" si="30"/>
        <v/>
      </c>
      <c r="CR38" s="3462"/>
    </row>
    <row r="39" spans="1:96" s="3" customFormat="1">
      <c r="A39" s="1838" t="s">
        <v>726</v>
      </c>
      <c r="B39" s="1775">
        <v>9</v>
      </c>
      <c r="C39" s="1775">
        <v>9.6199999999999992</v>
      </c>
      <c r="D39" s="1775">
        <v>0.09</v>
      </c>
      <c r="E39" s="1796" t="s">
        <v>35</v>
      </c>
      <c r="F39" s="1775">
        <v>0.24</v>
      </c>
      <c r="G39" s="1775" t="s">
        <v>695</v>
      </c>
      <c r="H39" s="1775">
        <v>1996</v>
      </c>
      <c r="I39" s="1807"/>
      <c r="J39" s="1775">
        <f t="shared" si="0"/>
        <v>9.6199999999999992</v>
      </c>
      <c r="K39" s="1775">
        <v>0.09</v>
      </c>
      <c r="L39" s="1775" t="s">
        <v>35</v>
      </c>
      <c r="M39" s="1775">
        <v>0.24</v>
      </c>
      <c r="N39" s="1788">
        <f t="shared" si="14"/>
        <v>0.14696938456699069</v>
      </c>
      <c r="O39" s="1829">
        <f t="shared" si="15"/>
        <v>0.16499999999999998</v>
      </c>
      <c r="P39" s="1776" t="s">
        <v>1088</v>
      </c>
      <c r="Q39" s="3" t="str">
        <f>IF(J39=J319,"stop","")</f>
        <v/>
      </c>
      <c r="R39" s="3437" t="str">
        <f t="shared" si="24"/>
        <v/>
      </c>
      <c r="S39" s="1771" t="str">
        <f t="shared" si="24"/>
        <v/>
      </c>
      <c r="T39" s="1771" t="str">
        <f t="shared" si="24"/>
        <v/>
      </c>
      <c r="U39" s="1771" t="str">
        <f t="shared" si="24"/>
        <v/>
      </c>
      <c r="V39" s="3443">
        <f t="shared" si="24"/>
        <v>0.09</v>
      </c>
      <c r="W39" s="1771" t="str">
        <f t="shared" si="24"/>
        <v/>
      </c>
      <c r="X39" s="1771" t="str">
        <f t="shared" si="24"/>
        <v/>
      </c>
      <c r="Y39" s="1771" t="str">
        <f t="shared" si="24"/>
        <v/>
      </c>
      <c r="Z39" s="3437" t="str">
        <f t="shared" si="24"/>
        <v/>
      </c>
      <c r="AA39" s="1771" t="str">
        <f t="shared" si="24"/>
        <v/>
      </c>
      <c r="AB39" s="1771" t="str">
        <f t="shared" si="24"/>
        <v/>
      </c>
      <c r="AC39" s="3442" t="str">
        <f t="shared" si="24"/>
        <v/>
      </c>
      <c r="AD39" s="1771" t="str">
        <f t="shared" si="24"/>
        <v/>
      </c>
      <c r="AE39" s="1771" t="str">
        <f t="shared" si="24"/>
        <v/>
      </c>
      <c r="AF39" s="1771" t="str">
        <f t="shared" si="24"/>
        <v/>
      </c>
      <c r="AG39" s="3442" t="str">
        <f t="shared" si="24"/>
        <v/>
      </c>
      <c r="AH39" s="1771" t="str">
        <f t="shared" si="22"/>
        <v/>
      </c>
      <c r="AI39" s="3442" t="str">
        <f t="shared" si="4"/>
        <v/>
      </c>
      <c r="AJ39" s="3462"/>
      <c r="AK39" s="3439" t="str">
        <f>IF(J39=J319,"stop","")</f>
        <v/>
      </c>
      <c r="AL39" s="3437" t="str">
        <f t="shared" ref="AL39:AW48" si="31">IF(AND($J39&gt;AL$4,$J39&lt;=AL$5,$P39=AL$6),$M39,"")</f>
        <v/>
      </c>
      <c r="AM39" s="1771" t="str">
        <f t="shared" si="31"/>
        <v/>
      </c>
      <c r="AN39" s="1771" t="str">
        <f t="shared" si="31"/>
        <v/>
      </c>
      <c r="AO39" s="1771" t="str">
        <f t="shared" si="31"/>
        <v/>
      </c>
      <c r="AP39" s="3443">
        <f t="shared" si="31"/>
        <v>0.24</v>
      </c>
      <c r="AQ39" s="1771" t="str">
        <f t="shared" si="31"/>
        <v/>
      </c>
      <c r="AR39" s="1771" t="str">
        <f t="shared" si="31"/>
        <v/>
      </c>
      <c r="AS39" s="3442" t="str">
        <f t="shared" si="31"/>
        <v/>
      </c>
      <c r="AT39" s="1771" t="str">
        <f t="shared" si="31"/>
        <v/>
      </c>
      <c r="AU39" s="1771" t="str">
        <f t="shared" si="31"/>
        <v/>
      </c>
      <c r="AV39" s="1771" t="str">
        <f t="shared" si="31"/>
        <v/>
      </c>
      <c r="AW39" s="3442" t="str">
        <f t="shared" si="31"/>
        <v/>
      </c>
      <c r="AX39" s="1771" t="str">
        <f t="shared" ref="AX39:BC48" si="32">IF(AND($J39&gt;AX$4,$J39&lt;=AX$5,$P39=AX$6),$M39,"")</f>
        <v/>
      </c>
      <c r="AY39" s="1771" t="str">
        <f t="shared" si="32"/>
        <v/>
      </c>
      <c r="AZ39" s="1771" t="str">
        <f t="shared" si="32"/>
        <v/>
      </c>
      <c r="BA39" s="1771" t="str">
        <f t="shared" si="32"/>
        <v/>
      </c>
      <c r="BB39" s="3437" t="str">
        <f t="shared" si="32"/>
        <v/>
      </c>
      <c r="BC39" s="3443" t="str">
        <f t="shared" si="32"/>
        <v/>
      </c>
      <c r="BD39" s="3462"/>
      <c r="BE39" s="3440" t="str">
        <f>IF(J39=J319,"stop","")</f>
        <v/>
      </c>
      <c r="BF39" s="1771" t="str">
        <f t="shared" ref="BF39:BQ48" si="33">IF(AND($J39&gt;BF$4,$J39&lt;=BF$5,$P39=BF$6),$N39,"")</f>
        <v/>
      </c>
      <c r="BG39" s="1771" t="str">
        <f t="shared" si="33"/>
        <v/>
      </c>
      <c r="BH39" s="1771" t="str">
        <f t="shared" si="33"/>
        <v/>
      </c>
      <c r="BI39" s="1771" t="str">
        <f t="shared" si="33"/>
        <v/>
      </c>
      <c r="BJ39" s="3443">
        <f t="shared" si="33"/>
        <v>0.14696938456699069</v>
      </c>
      <c r="BK39" s="3437" t="str">
        <f t="shared" si="33"/>
        <v/>
      </c>
      <c r="BL39" s="1771" t="str">
        <f t="shared" si="33"/>
        <v/>
      </c>
      <c r="BM39" s="3442" t="str">
        <f t="shared" si="33"/>
        <v/>
      </c>
      <c r="BN39" s="1771" t="str">
        <f t="shared" si="33"/>
        <v/>
      </c>
      <c r="BO39" s="1771" t="str">
        <f t="shared" si="33"/>
        <v/>
      </c>
      <c r="BP39" s="1771" t="str">
        <f t="shared" si="33"/>
        <v/>
      </c>
      <c r="BQ39" s="1771" t="str">
        <f t="shared" si="33"/>
        <v/>
      </c>
      <c r="BR39" s="3437" t="str">
        <f t="shared" ref="BR39:BW48" si="34">IF(AND($J39&gt;BR$4,$J39&lt;=BR$5,$P39=BR$6),$N39,"")</f>
        <v/>
      </c>
      <c r="BS39" s="1771" t="str">
        <f t="shared" si="34"/>
        <v/>
      </c>
      <c r="BT39" s="1771" t="str">
        <f t="shared" si="34"/>
        <v/>
      </c>
      <c r="BU39" s="3442" t="str">
        <f t="shared" si="34"/>
        <v/>
      </c>
      <c r="BV39" s="1771" t="str">
        <f t="shared" si="34"/>
        <v/>
      </c>
      <c r="BW39" s="3442" t="str">
        <f t="shared" si="34"/>
        <v/>
      </c>
      <c r="BX39" s="3462"/>
      <c r="BY39" s="3439" t="str">
        <f>IF(L39=L319,"stop","")</f>
        <v/>
      </c>
      <c r="BZ39" s="3437" t="str">
        <f t="shared" ref="BZ39:CK48" si="35">IF(AND($J39&gt;BZ$4,$J39&lt;=BZ$5,$P39=BZ$6),$O39,"")</f>
        <v/>
      </c>
      <c r="CA39" s="1771" t="str">
        <f t="shared" si="35"/>
        <v/>
      </c>
      <c r="CB39" s="1771" t="str">
        <f t="shared" si="35"/>
        <v/>
      </c>
      <c r="CC39" s="3442" t="str">
        <f t="shared" si="35"/>
        <v/>
      </c>
      <c r="CD39" s="1771">
        <f t="shared" si="35"/>
        <v>0.16499999999999998</v>
      </c>
      <c r="CE39" s="3437" t="str">
        <f t="shared" si="35"/>
        <v/>
      </c>
      <c r="CF39" s="1771" t="str">
        <f t="shared" si="35"/>
        <v/>
      </c>
      <c r="CG39" s="1771" t="str">
        <f t="shared" si="35"/>
        <v/>
      </c>
      <c r="CH39" s="3437" t="str">
        <f t="shared" si="35"/>
        <v/>
      </c>
      <c r="CI39" s="1771" t="str">
        <f t="shared" si="35"/>
        <v/>
      </c>
      <c r="CJ39" s="1771" t="str">
        <f t="shared" si="35"/>
        <v/>
      </c>
      <c r="CK39" s="3442" t="str">
        <f t="shared" si="35"/>
        <v/>
      </c>
      <c r="CL39" s="3437" t="str">
        <f t="shared" ref="CL39:CQ48" si="36">IF(AND($J39&gt;CL$4,$J39&lt;=CL$5,$P39=CL$6),$O39,"")</f>
        <v/>
      </c>
      <c r="CM39" s="1771" t="str">
        <f t="shared" si="36"/>
        <v/>
      </c>
      <c r="CN39" s="1771" t="str">
        <f t="shared" si="36"/>
        <v/>
      </c>
      <c r="CO39" s="3442" t="str">
        <f t="shared" si="36"/>
        <v/>
      </c>
      <c r="CP39" s="1771" t="str">
        <f t="shared" si="36"/>
        <v/>
      </c>
      <c r="CQ39" s="3442" t="str">
        <f t="shared" si="36"/>
        <v/>
      </c>
      <c r="CR39" s="3462"/>
    </row>
    <row r="40" spans="1:96" s="3" customFormat="1">
      <c r="A40" s="1838" t="s">
        <v>727</v>
      </c>
      <c r="B40" s="1775">
        <v>9</v>
      </c>
      <c r="C40" s="1775">
        <v>9.4700000000000006</v>
      </c>
      <c r="D40" s="1775">
        <v>0.03</v>
      </c>
      <c r="E40" s="1796" t="s">
        <v>35</v>
      </c>
      <c r="F40" s="1775">
        <v>4.8000000000000001E-2</v>
      </c>
      <c r="G40" s="1775" t="s">
        <v>695</v>
      </c>
      <c r="H40" s="1775">
        <v>1996</v>
      </c>
      <c r="I40" s="1807"/>
      <c r="J40" s="1775">
        <f t="shared" si="0"/>
        <v>9.4700000000000006</v>
      </c>
      <c r="K40" s="1775">
        <v>0.03</v>
      </c>
      <c r="L40" s="1775" t="s">
        <v>35</v>
      </c>
      <c r="M40" s="1775">
        <v>4.8000000000000001E-2</v>
      </c>
      <c r="N40" s="1788">
        <f t="shared" si="14"/>
        <v>3.7947331922020551E-2</v>
      </c>
      <c r="O40" s="1829">
        <f t="shared" si="15"/>
        <v>3.9E-2</v>
      </c>
      <c r="P40" s="1776" t="s">
        <v>1088</v>
      </c>
      <c r="Q40" s="3" t="str">
        <f>IF(J40=J319,"stop","")</f>
        <v/>
      </c>
      <c r="R40" s="3437" t="str">
        <f t="shared" si="24"/>
        <v/>
      </c>
      <c r="S40" s="1771" t="str">
        <f t="shared" si="24"/>
        <v/>
      </c>
      <c r="T40" s="1771" t="str">
        <f t="shared" si="24"/>
        <v/>
      </c>
      <c r="U40" s="1771" t="str">
        <f t="shared" si="24"/>
        <v/>
      </c>
      <c r="V40" s="3443">
        <f t="shared" si="24"/>
        <v>0.03</v>
      </c>
      <c r="W40" s="1771" t="str">
        <f t="shared" si="24"/>
        <v/>
      </c>
      <c r="X40" s="1771" t="str">
        <f t="shared" si="24"/>
        <v/>
      </c>
      <c r="Y40" s="1771" t="str">
        <f t="shared" si="24"/>
        <v/>
      </c>
      <c r="Z40" s="3437" t="str">
        <f t="shared" si="24"/>
        <v/>
      </c>
      <c r="AA40" s="1771" t="str">
        <f t="shared" si="24"/>
        <v/>
      </c>
      <c r="AB40" s="1771" t="str">
        <f t="shared" si="24"/>
        <v/>
      </c>
      <c r="AC40" s="3442" t="str">
        <f t="shared" si="24"/>
        <v/>
      </c>
      <c r="AD40" s="1771" t="str">
        <f t="shared" si="24"/>
        <v/>
      </c>
      <c r="AE40" s="1771" t="str">
        <f t="shared" si="24"/>
        <v/>
      </c>
      <c r="AF40" s="1771" t="str">
        <f t="shared" si="24"/>
        <v/>
      </c>
      <c r="AG40" s="3442" t="str">
        <f t="shared" si="24"/>
        <v/>
      </c>
      <c r="AH40" s="1771" t="str">
        <f t="shared" si="22"/>
        <v/>
      </c>
      <c r="AI40" s="3442" t="str">
        <f t="shared" si="4"/>
        <v/>
      </c>
      <c r="AJ40" s="3462"/>
      <c r="AK40" s="3439" t="str">
        <f>IF(J40=J319,"stop","")</f>
        <v/>
      </c>
      <c r="AL40" s="3437" t="str">
        <f t="shared" si="31"/>
        <v/>
      </c>
      <c r="AM40" s="1771" t="str">
        <f t="shared" si="31"/>
        <v/>
      </c>
      <c r="AN40" s="1771" t="str">
        <f t="shared" si="31"/>
        <v/>
      </c>
      <c r="AO40" s="1771" t="str">
        <f t="shared" si="31"/>
        <v/>
      </c>
      <c r="AP40" s="3443">
        <f t="shared" si="31"/>
        <v>4.8000000000000001E-2</v>
      </c>
      <c r="AQ40" s="1771" t="str">
        <f t="shared" si="31"/>
        <v/>
      </c>
      <c r="AR40" s="1771" t="str">
        <f t="shared" si="31"/>
        <v/>
      </c>
      <c r="AS40" s="3442" t="str">
        <f t="shared" si="31"/>
        <v/>
      </c>
      <c r="AT40" s="1771" t="str">
        <f t="shared" si="31"/>
        <v/>
      </c>
      <c r="AU40" s="1771" t="str">
        <f t="shared" si="31"/>
        <v/>
      </c>
      <c r="AV40" s="1771" t="str">
        <f t="shared" si="31"/>
        <v/>
      </c>
      <c r="AW40" s="3442" t="str">
        <f t="shared" si="31"/>
        <v/>
      </c>
      <c r="AX40" s="1771" t="str">
        <f t="shared" si="32"/>
        <v/>
      </c>
      <c r="AY40" s="1771" t="str">
        <f t="shared" si="32"/>
        <v/>
      </c>
      <c r="AZ40" s="1771" t="str">
        <f t="shared" si="32"/>
        <v/>
      </c>
      <c r="BA40" s="1771" t="str">
        <f t="shared" si="32"/>
        <v/>
      </c>
      <c r="BB40" s="3437" t="str">
        <f t="shared" si="32"/>
        <v/>
      </c>
      <c r="BC40" s="3443" t="str">
        <f t="shared" si="32"/>
        <v/>
      </c>
      <c r="BD40" s="3462"/>
      <c r="BE40" s="3440" t="str">
        <f>IF(J40=J319,"stop","")</f>
        <v/>
      </c>
      <c r="BF40" s="1771" t="str">
        <f t="shared" si="33"/>
        <v/>
      </c>
      <c r="BG40" s="1771" t="str">
        <f t="shared" si="33"/>
        <v/>
      </c>
      <c r="BH40" s="1771" t="str">
        <f t="shared" si="33"/>
        <v/>
      </c>
      <c r="BI40" s="1771" t="str">
        <f t="shared" si="33"/>
        <v/>
      </c>
      <c r="BJ40" s="3443">
        <f t="shared" si="33"/>
        <v>3.7947331922020551E-2</v>
      </c>
      <c r="BK40" s="3437" t="str">
        <f t="shared" si="33"/>
        <v/>
      </c>
      <c r="BL40" s="1771" t="str">
        <f t="shared" si="33"/>
        <v/>
      </c>
      <c r="BM40" s="3442" t="str">
        <f t="shared" si="33"/>
        <v/>
      </c>
      <c r="BN40" s="1771" t="str">
        <f t="shared" si="33"/>
        <v/>
      </c>
      <c r="BO40" s="1771" t="str">
        <f t="shared" si="33"/>
        <v/>
      </c>
      <c r="BP40" s="1771" t="str">
        <f t="shared" si="33"/>
        <v/>
      </c>
      <c r="BQ40" s="1771" t="str">
        <f t="shared" si="33"/>
        <v/>
      </c>
      <c r="BR40" s="3437" t="str">
        <f t="shared" si="34"/>
        <v/>
      </c>
      <c r="BS40" s="1771" t="str">
        <f t="shared" si="34"/>
        <v/>
      </c>
      <c r="BT40" s="1771" t="str">
        <f t="shared" si="34"/>
        <v/>
      </c>
      <c r="BU40" s="3442" t="str">
        <f t="shared" si="34"/>
        <v/>
      </c>
      <c r="BV40" s="1771" t="str">
        <f t="shared" si="34"/>
        <v/>
      </c>
      <c r="BW40" s="3442" t="str">
        <f t="shared" si="34"/>
        <v/>
      </c>
      <c r="BX40" s="3462"/>
      <c r="BY40" s="3439" t="str">
        <f>IF(L40=L319,"stop","")</f>
        <v/>
      </c>
      <c r="BZ40" s="3437" t="str">
        <f t="shared" si="35"/>
        <v/>
      </c>
      <c r="CA40" s="1771" t="str">
        <f t="shared" si="35"/>
        <v/>
      </c>
      <c r="CB40" s="1771" t="str">
        <f t="shared" si="35"/>
        <v/>
      </c>
      <c r="CC40" s="3442" t="str">
        <f t="shared" si="35"/>
        <v/>
      </c>
      <c r="CD40" s="1771">
        <f t="shared" si="35"/>
        <v>3.9E-2</v>
      </c>
      <c r="CE40" s="3437" t="str">
        <f t="shared" si="35"/>
        <v/>
      </c>
      <c r="CF40" s="1771" t="str">
        <f t="shared" si="35"/>
        <v/>
      </c>
      <c r="CG40" s="1771" t="str">
        <f t="shared" si="35"/>
        <v/>
      </c>
      <c r="CH40" s="3437" t="str">
        <f t="shared" si="35"/>
        <v/>
      </c>
      <c r="CI40" s="1771" t="str">
        <f t="shared" si="35"/>
        <v/>
      </c>
      <c r="CJ40" s="1771" t="str">
        <f t="shared" si="35"/>
        <v/>
      </c>
      <c r="CK40" s="3442" t="str">
        <f t="shared" si="35"/>
        <v/>
      </c>
      <c r="CL40" s="3437" t="str">
        <f t="shared" si="36"/>
        <v/>
      </c>
      <c r="CM40" s="1771" t="str">
        <f t="shared" si="36"/>
        <v/>
      </c>
      <c r="CN40" s="1771" t="str">
        <f t="shared" si="36"/>
        <v/>
      </c>
      <c r="CO40" s="3442" t="str">
        <f t="shared" si="36"/>
        <v/>
      </c>
      <c r="CP40" s="1771" t="str">
        <f t="shared" si="36"/>
        <v/>
      </c>
      <c r="CQ40" s="3442" t="str">
        <f t="shared" si="36"/>
        <v/>
      </c>
      <c r="CR40" s="3462"/>
    </row>
    <row r="41" spans="1:96" s="3" customFormat="1">
      <c r="A41" s="1838" t="s">
        <v>728</v>
      </c>
      <c r="B41" s="1775">
        <v>9</v>
      </c>
      <c r="C41" s="1775">
        <v>9.1300000000000008</v>
      </c>
      <c r="D41" s="1775" t="s">
        <v>922</v>
      </c>
      <c r="E41" s="1799" t="s">
        <v>1083</v>
      </c>
      <c r="F41" s="1775" t="s">
        <v>922</v>
      </c>
      <c r="G41" s="1775" t="s">
        <v>695</v>
      </c>
      <c r="H41" s="1775">
        <v>1996</v>
      </c>
      <c r="I41" s="1807"/>
      <c r="J41" s="1775">
        <f t="shared" si="0"/>
        <v>9.1300000000000008</v>
      </c>
      <c r="K41" s="1775">
        <v>0</v>
      </c>
      <c r="L41" s="1775"/>
      <c r="M41" s="1775">
        <v>0</v>
      </c>
      <c r="N41" s="1788">
        <f t="shared" si="14"/>
        <v>0</v>
      </c>
      <c r="O41" s="1829">
        <f t="shared" si="15"/>
        <v>0</v>
      </c>
      <c r="P41" s="1776" t="s">
        <v>1088</v>
      </c>
      <c r="Q41" s="3" t="str">
        <f>IF(J41=J319,"stop","")</f>
        <v/>
      </c>
      <c r="R41" s="3437" t="str">
        <f t="shared" si="24"/>
        <v/>
      </c>
      <c r="S41" s="1771" t="str">
        <f t="shared" si="24"/>
        <v/>
      </c>
      <c r="T41" s="1771" t="str">
        <f t="shared" si="24"/>
        <v/>
      </c>
      <c r="U41" s="1771" t="str">
        <f t="shared" si="24"/>
        <v/>
      </c>
      <c r="V41" s="3443">
        <f t="shared" si="24"/>
        <v>0</v>
      </c>
      <c r="W41" s="1771" t="str">
        <f t="shared" si="24"/>
        <v/>
      </c>
      <c r="X41" s="1771" t="str">
        <f t="shared" si="24"/>
        <v/>
      </c>
      <c r="Y41" s="1771" t="str">
        <f t="shared" si="24"/>
        <v/>
      </c>
      <c r="Z41" s="3437" t="str">
        <f t="shared" si="24"/>
        <v/>
      </c>
      <c r="AA41" s="1771" t="str">
        <f t="shared" si="24"/>
        <v/>
      </c>
      <c r="AB41" s="1771" t="str">
        <f t="shared" si="24"/>
        <v/>
      </c>
      <c r="AC41" s="3442" t="str">
        <f t="shared" si="24"/>
        <v/>
      </c>
      <c r="AD41" s="1771" t="str">
        <f t="shared" si="24"/>
        <v/>
      </c>
      <c r="AE41" s="1771" t="str">
        <f t="shared" si="24"/>
        <v/>
      </c>
      <c r="AF41" s="1771" t="str">
        <f t="shared" si="24"/>
        <v/>
      </c>
      <c r="AG41" s="3442" t="str">
        <f t="shared" ref="AG41:AH60" si="37">IF(AND($J41&gt;AG$4,$J41&lt;=AG$5,$P41=AG$6),$K41,"")</f>
        <v/>
      </c>
      <c r="AH41" s="1771" t="str">
        <f t="shared" si="22"/>
        <v/>
      </c>
      <c r="AI41" s="3442" t="str">
        <f t="shared" si="4"/>
        <v/>
      </c>
      <c r="AJ41" s="3462"/>
      <c r="AK41" s="3439" t="str">
        <f>IF(J41=J319,"stop","")</f>
        <v/>
      </c>
      <c r="AL41" s="3437" t="str">
        <f t="shared" si="31"/>
        <v/>
      </c>
      <c r="AM41" s="1771" t="str">
        <f t="shared" si="31"/>
        <v/>
      </c>
      <c r="AN41" s="1771" t="str">
        <f t="shared" si="31"/>
        <v/>
      </c>
      <c r="AO41" s="1771" t="str">
        <f t="shared" si="31"/>
        <v/>
      </c>
      <c r="AP41" s="3443">
        <f t="shared" si="31"/>
        <v>0</v>
      </c>
      <c r="AQ41" s="1771" t="str">
        <f t="shared" si="31"/>
        <v/>
      </c>
      <c r="AR41" s="1771" t="str">
        <f t="shared" si="31"/>
        <v/>
      </c>
      <c r="AS41" s="3442" t="str">
        <f t="shared" si="31"/>
        <v/>
      </c>
      <c r="AT41" s="1771" t="str">
        <f t="shared" si="31"/>
        <v/>
      </c>
      <c r="AU41" s="1771" t="str">
        <f t="shared" si="31"/>
        <v/>
      </c>
      <c r="AV41" s="1771" t="str">
        <f t="shared" si="31"/>
        <v/>
      </c>
      <c r="AW41" s="3442" t="str">
        <f t="shared" si="31"/>
        <v/>
      </c>
      <c r="AX41" s="1771" t="str">
        <f t="shared" si="32"/>
        <v/>
      </c>
      <c r="AY41" s="1771" t="str">
        <f t="shared" si="32"/>
        <v/>
      </c>
      <c r="AZ41" s="1771" t="str">
        <f t="shared" si="32"/>
        <v/>
      </c>
      <c r="BA41" s="1771" t="str">
        <f t="shared" si="32"/>
        <v/>
      </c>
      <c r="BB41" s="3437" t="str">
        <f t="shared" si="32"/>
        <v/>
      </c>
      <c r="BC41" s="3443" t="str">
        <f t="shared" si="32"/>
        <v/>
      </c>
      <c r="BD41" s="3462"/>
      <c r="BE41" s="3440" t="str">
        <f>IF(J41=J319,"stop","")</f>
        <v/>
      </c>
      <c r="BF41" s="1771" t="str">
        <f t="shared" si="33"/>
        <v/>
      </c>
      <c r="BG41" s="1771" t="str">
        <f t="shared" si="33"/>
        <v/>
      </c>
      <c r="BH41" s="1771" t="str">
        <f t="shared" si="33"/>
        <v/>
      </c>
      <c r="BI41" s="1771" t="str">
        <f t="shared" si="33"/>
        <v/>
      </c>
      <c r="BJ41" s="3443">
        <f t="shared" si="33"/>
        <v>0</v>
      </c>
      <c r="BK41" s="3437" t="str">
        <f t="shared" si="33"/>
        <v/>
      </c>
      <c r="BL41" s="1771" t="str">
        <f t="shared" si="33"/>
        <v/>
      </c>
      <c r="BM41" s="3442" t="str">
        <f t="shared" si="33"/>
        <v/>
      </c>
      <c r="BN41" s="1771" t="str">
        <f t="shared" si="33"/>
        <v/>
      </c>
      <c r="BO41" s="1771" t="str">
        <f t="shared" si="33"/>
        <v/>
      </c>
      <c r="BP41" s="1771" t="str">
        <f t="shared" si="33"/>
        <v/>
      </c>
      <c r="BQ41" s="1771" t="str">
        <f t="shared" si="33"/>
        <v/>
      </c>
      <c r="BR41" s="3437" t="str">
        <f t="shared" si="34"/>
        <v/>
      </c>
      <c r="BS41" s="1771" t="str">
        <f t="shared" si="34"/>
        <v/>
      </c>
      <c r="BT41" s="1771" t="str">
        <f t="shared" si="34"/>
        <v/>
      </c>
      <c r="BU41" s="3442" t="str">
        <f t="shared" si="34"/>
        <v/>
      </c>
      <c r="BV41" s="1771" t="str">
        <f t="shared" si="34"/>
        <v/>
      </c>
      <c r="BW41" s="3442" t="str">
        <f t="shared" si="34"/>
        <v/>
      </c>
      <c r="BX41" s="3462"/>
      <c r="BY41" s="3439" t="str">
        <f>IF(L41=L319,"stop","")</f>
        <v>stop</v>
      </c>
      <c r="BZ41" s="3437" t="str">
        <f t="shared" si="35"/>
        <v/>
      </c>
      <c r="CA41" s="1771" t="str">
        <f t="shared" si="35"/>
        <v/>
      </c>
      <c r="CB41" s="1771" t="str">
        <f t="shared" si="35"/>
        <v/>
      </c>
      <c r="CC41" s="3442" t="str">
        <f t="shared" si="35"/>
        <v/>
      </c>
      <c r="CD41" s="1771">
        <f t="shared" si="35"/>
        <v>0</v>
      </c>
      <c r="CE41" s="3437" t="str">
        <f t="shared" si="35"/>
        <v/>
      </c>
      <c r="CF41" s="1771" t="str">
        <f t="shared" si="35"/>
        <v/>
      </c>
      <c r="CG41" s="1771" t="str">
        <f t="shared" si="35"/>
        <v/>
      </c>
      <c r="CH41" s="3437" t="str">
        <f t="shared" si="35"/>
        <v/>
      </c>
      <c r="CI41" s="1771" t="str">
        <f t="shared" si="35"/>
        <v/>
      </c>
      <c r="CJ41" s="1771" t="str">
        <f t="shared" si="35"/>
        <v/>
      </c>
      <c r="CK41" s="3442" t="str">
        <f t="shared" si="35"/>
        <v/>
      </c>
      <c r="CL41" s="3437" t="str">
        <f t="shared" si="36"/>
        <v/>
      </c>
      <c r="CM41" s="1771" t="str">
        <f t="shared" si="36"/>
        <v/>
      </c>
      <c r="CN41" s="1771" t="str">
        <f t="shared" si="36"/>
        <v/>
      </c>
      <c r="CO41" s="3442" t="str">
        <f t="shared" si="36"/>
        <v/>
      </c>
      <c r="CP41" s="1771" t="str">
        <f t="shared" si="36"/>
        <v/>
      </c>
      <c r="CQ41" s="3442" t="str">
        <f t="shared" si="36"/>
        <v/>
      </c>
      <c r="CR41" s="3462"/>
    </row>
    <row r="42" spans="1:96" s="3" customFormat="1">
      <c r="A42" s="1838" t="s">
        <v>729</v>
      </c>
      <c r="B42" s="1775">
        <v>10</v>
      </c>
      <c r="C42" s="1775">
        <v>10.5</v>
      </c>
      <c r="D42" s="1775">
        <v>3.1E-2</v>
      </c>
      <c r="E42" s="1796" t="s">
        <v>35</v>
      </c>
      <c r="F42" s="1775">
        <v>4.5999999999999999E-2</v>
      </c>
      <c r="G42" s="1775" t="s">
        <v>695</v>
      </c>
      <c r="H42" s="1775">
        <v>1996</v>
      </c>
      <c r="I42" s="1807"/>
      <c r="J42" s="1775">
        <f t="shared" si="0"/>
        <v>10.5</v>
      </c>
      <c r="K42" s="1775">
        <v>3.1E-2</v>
      </c>
      <c r="L42" s="1775" t="s">
        <v>35</v>
      </c>
      <c r="M42" s="1775">
        <v>4.5999999999999999E-2</v>
      </c>
      <c r="N42" s="1788">
        <f t="shared" si="14"/>
        <v>3.776241517699841E-2</v>
      </c>
      <c r="O42" s="1829">
        <f t="shared" si="15"/>
        <v>3.85E-2</v>
      </c>
      <c r="P42" s="1776" t="s">
        <v>1088</v>
      </c>
      <c r="Q42" s="3" t="str">
        <f>IF(J42=J319,"stop","")</f>
        <v/>
      </c>
      <c r="R42" s="3437" t="str">
        <f t="shared" ref="R42:AF57" si="38">IF(AND($J42&gt;R$4,$J42&lt;=R$5,$P42=R$6),$K42,"")</f>
        <v/>
      </c>
      <c r="S42" s="1771" t="str">
        <f t="shared" si="38"/>
        <v/>
      </c>
      <c r="T42" s="1771" t="str">
        <f t="shared" si="38"/>
        <v/>
      </c>
      <c r="U42" s="1771" t="str">
        <f t="shared" si="38"/>
        <v/>
      </c>
      <c r="V42" s="3443" t="str">
        <f t="shared" si="38"/>
        <v/>
      </c>
      <c r="W42" s="1771" t="str">
        <f t="shared" si="38"/>
        <v/>
      </c>
      <c r="X42" s="1771" t="str">
        <f t="shared" si="38"/>
        <v/>
      </c>
      <c r="Y42" s="1771" t="str">
        <f t="shared" si="38"/>
        <v/>
      </c>
      <c r="Z42" s="3437">
        <f t="shared" si="38"/>
        <v>3.1E-2</v>
      </c>
      <c r="AA42" s="1771" t="str">
        <f t="shared" si="38"/>
        <v/>
      </c>
      <c r="AB42" s="1771" t="str">
        <f t="shared" si="38"/>
        <v/>
      </c>
      <c r="AC42" s="3442" t="str">
        <f t="shared" si="38"/>
        <v/>
      </c>
      <c r="AD42" s="1771" t="str">
        <f t="shared" si="38"/>
        <v/>
      </c>
      <c r="AE42" s="1771" t="str">
        <f t="shared" si="38"/>
        <v/>
      </c>
      <c r="AF42" s="1771" t="str">
        <f t="shared" si="38"/>
        <v/>
      </c>
      <c r="AG42" s="3442" t="str">
        <f t="shared" si="37"/>
        <v/>
      </c>
      <c r="AH42" s="1771" t="str">
        <f t="shared" si="22"/>
        <v/>
      </c>
      <c r="AI42" s="3442" t="str">
        <f t="shared" si="4"/>
        <v/>
      </c>
      <c r="AJ42" s="3462"/>
      <c r="AK42" s="3439" t="str">
        <f>IF(J42=J319,"stop","")</f>
        <v/>
      </c>
      <c r="AL42" s="3437" t="str">
        <f t="shared" si="31"/>
        <v/>
      </c>
      <c r="AM42" s="1771" t="str">
        <f t="shared" si="31"/>
        <v/>
      </c>
      <c r="AN42" s="1771" t="str">
        <f t="shared" si="31"/>
        <v/>
      </c>
      <c r="AO42" s="1771" t="str">
        <f t="shared" si="31"/>
        <v/>
      </c>
      <c r="AP42" s="3443" t="str">
        <f t="shared" si="31"/>
        <v/>
      </c>
      <c r="AQ42" s="1771" t="str">
        <f t="shared" si="31"/>
        <v/>
      </c>
      <c r="AR42" s="1771" t="str">
        <f t="shared" si="31"/>
        <v/>
      </c>
      <c r="AS42" s="3442" t="str">
        <f t="shared" si="31"/>
        <v/>
      </c>
      <c r="AT42" s="1771">
        <f t="shared" si="31"/>
        <v>4.5999999999999999E-2</v>
      </c>
      <c r="AU42" s="1771" t="str">
        <f t="shared" si="31"/>
        <v/>
      </c>
      <c r="AV42" s="1771" t="str">
        <f t="shared" si="31"/>
        <v/>
      </c>
      <c r="AW42" s="3442" t="str">
        <f t="shared" si="31"/>
        <v/>
      </c>
      <c r="AX42" s="1771" t="str">
        <f t="shared" si="32"/>
        <v/>
      </c>
      <c r="AY42" s="1771" t="str">
        <f t="shared" si="32"/>
        <v/>
      </c>
      <c r="AZ42" s="1771" t="str">
        <f t="shared" si="32"/>
        <v/>
      </c>
      <c r="BA42" s="1771" t="str">
        <f t="shared" si="32"/>
        <v/>
      </c>
      <c r="BB42" s="3437" t="str">
        <f t="shared" si="32"/>
        <v/>
      </c>
      <c r="BC42" s="3443" t="str">
        <f t="shared" si="32"/>
        <v/>
      </c>
      <c r="BD42" s="3462"/>
      <c r="BE42" s="3440" t="str">
        <f>IF(J42=J319,"stop","")</f>
        <v/>
      </c>
      <c r="BF42" s="1771" t="str">
        <f t="shared" si="33"/>
        <v/>
      </c>
      <c r="BG42" s="1771" t="str">
        <f t="shared" si="33"/>
        <v/>
      </c>
      <c r="BH42" s="1771" t="str">
        <f t="shared" si="33"/>
        <v/>
      </c>
      <c r="BI42" s="1771" t="str">
        <f t="shared" si="33"/>
        <v/>
      </c>
      <c r="BJ42" s="3443" t="str">
        <f t="shared" si="33"/>
        <v/>
      </c>
      <c r="BK42" s="3437" t="str">
        <f t="shared" si="33"/>
        <v/>
      </c>
      <c r="BL42" s="1771" t="str">
        <f t="shared" si="33"/>
        <v/>
      </c>
      <c r="BM42" s="3442" t="str">
        <f t="shared" si="33"/>
        <v/>
      </c>
      <c r="BN42" s="1771">
        <f t="shared" si="33"/>
        <v>3.776241517699841E-2</v>
      </c>
      <c r="BO42" s="1771" t="str">
        <f t="shared" si="33"/>
        <v/>
      </c>
      <c r="BP42" s="1771" t="str">
        <f t="shared" si="33"/>
        <v/>
      </c>
      <c r="BQ42" s="1771" t="str">
        <f t="shared" si="33"/>
        <v/>
      </c>
      <c r="BR42" s="3437" t="str">
        <f t="shared" si="34"/>
        <v/>
      </c>
      <c r="BS42" s="1771" t="str">
        <f t="shared" si="34"/>
        <v/>
      </c>
      <c r="BT42" s="1771" t="str">
        <f t="shared" si="34"/>
        <v/>
      </c>
      <c r="BU42" s="3442" t="str">
        <f t="shared" si="34"/>
        <v/>
      </c>
      <c r="BV42" s="1771" t="str">
        <f t="shared" si="34"/>
        <v/>
      </c>
      <c r="BW42" s="3442" t="str">
        <f t="shared" si="34"/>
        <v/>
      </c>
      <c r="BX42" s="3462"/>
      <c r="BY42" s="3439" t="str">
        <f>IF(L42=L319,"stop","")</f>
        <v/>
      </c>
      <c r="BZ42" s="3437" t="str">
        <f t="shared" si="35"/>
        <v/>
      </c>
      <c r="CA42" s="1771" t="str">
        <f t="shared" si="35"/>
        <v/>
      </c>
      <c r="CB42" s="1771" t="str">
        <f t="shared" si="35"/>
        <v/>
      </c>
      <c r="CC42" s="3442" t="str">
        <f t="shared" si="35"/>
        <v/>
      </c>
      <c r="CD42" s="1771" t="str">
        <f t="shared" si="35"/>
        <v/>
      </c>
      <c r="CE42" s="3437" t="str">
        <f t="shared" si="35"/>
        <v/>
      </c>
      <c r="CF42" s="1771" t="str">
        <f t="shared" si="35"/>
        <v/>
      </c>
      <c r="CG42" s="1771" t="str">
        <f t="shared" si="35"/>
        <v/>
      </c>
      <c r="CH42" s="3437">
        <f t="shared" si="35"/>
        <v>3.85E-2</v>
      </c>
      <c r="CI42" s="1771" t="str">
        <f t="shared" si="35"/>
        <v/>
      </c>
      <c r="CJ42" s="1771" t="str">
        <f t="shared" si="35"/>
        <v/>
      </c>
      <c r="CK42" s="3442" t="str">
        <f t="shared" si="35"/>
        <v/>
      </c>
      <c r="CL42" s="3437" t="str">
        <f t="shared" si="36"/>
        <v/>
      </c>
      <c r="CM42" s="1771" t="str">
        <f t="shared" si="36"/>
        <v/>
      </c>
      <c r="CN42" s="1771" t="str">
        <f t="shared" si="36"/>
        <v/>
      </c>
      <c r="CO42" s="3442" t="str">
        <f t="shared" si="36"/>
        <v/>
      </c>
      <c r="CP42" s="1771" t="str">
        <f t="shared" si="36"/>
        <v/>
      </c>
      <c r="CQ42" s="3442" t="str">
        <f t="shared" si="36"/>
        <v/>
      </c>
      <c r="CR42" s="3462"/>
    </row>
    <row r="43" spans="1:96" s="3" customFormat="1">
      <c r="A43" s="1838" t="s">
        <v>730</v>
      </c>
      <c r="B43" s="1775">
        <v>12</v>
      </c>
      <c r="C43" s="1775"/>
      <c r="D43" s="1775">
        <v>0.01</v>
      </c>
      <c r="E43" s="1796" t="s">
        <v>35</v>
      </c>
      <c r="F43" s="1775">
        <v>0.12</v>
      </c>
      <c r="G43" s="1775" t="s">
        <v>695</v>
      </c>
      <c r="H43" s="1775">
        <v>1996</v>
      </c>
      <c r="I43" s="1807"/>
      <c r="J43" s="1775">
        <f t="shared" si="0"/>
        <v>12.5</v>
      </c>
      <c r="K43" s="1775">
        <v>0.01</v>
      </c>
      <c r="L43" s="1775" t="s">
        <v>35</v>
      </c>
      <c r="M43" s="1775">
        <v>0.12</v>
      </c>
      <c r="N43" s="1788">
        <f t="shared" si="14"/>
        <v>3.4641016151377546E-2</v>
      </c>
      <c r="O43" s="1829">
        <f t="shared" si="15"/>
        <v>6.5000000000000002E-2</v>
      </c>
      <c r="P43" s="1776" t="s">
        <v>1088</v>
      </c>
      <c r="Q43" s="3" t="str">
        <f>IF(J43=J319,"stop","")</f>
        <v/>
      </c>
      <c r="R43" s="3437" t="str">
        <f t="shared" si="38"/>
        <v/>
      </c>
      <c r="S43" s="1771" t="str">
        <f t="shared" si="38"/>
        <v/>
      </c>
      <c r="T43" s="1771" t="str">
        <f t="shared" si="38"/>
        <v/>
      </c>
      <c r="U43" s="1771" t="str">
        <f t="shared" si="38"/>
        <v/>
      </c>
      <c r="V43" s="3443" t="str">
        <f t="shared" si="38"/>
        <v/>
      </c>
      <c r="W43" s="1771" t="str">
        <f t="shared" si="38"/>
        <v/>
      </c>
      <c r="X43" s="1771" t="str">
        <f t="shared" si="38"/>
        <v/>
      </c>
      <c r="Y43" s="1771" t="str">
        <f t="shared" si="38"/>
        <v/>
      </c>
      <c r="Z43" s="3437" t="str">
        <f t="shared" si="38"/>
        <v/>
      </c>
      <c r="AA43" s="1771">
        <f t="shared" si="38"/>
        <v>0.01</v>
      </c>
      <c r="AB43" s="1771" t="str">
        <f t="shared" si="38"/>
        <v/>
      </c>
      <c r="AC43" s="3442" t="str">
        <f t="shared" si="38"/>
        <v/>
      </c>
      <c r="AD43" s="1771" t="str">
        <f t="shared" si="38"/>
        <v/>
      </c>
      <c r="AE43" s="1771" t="str">
        <f t="shared" si="38"/>
        <v/>
      </c>
      <c r="AF43" s="1771" t="str">
        <f t="shared" si="38"/>
        <v/>
      </c>
      <c r="AG43" s="3442" t="str">
        <f t="shared" si="37"/>
        <v/>
      </c>
      <c r="AH43" s="1771" t="str">
        <f t="shared" si="22"/>
        <v/>
      </c>
      <c r="AI43" s="3442" t="str">
        <f t="shared" si="4"/>
        <v/>
      </c>
      <c r="AJ43" s="3462"/>
      <c r="AK43" s="3439" t="str">
        <f>IF(J43=J319,"stop","")</f>
        <v/>
      </c>
      <c r="AL43" s="3437" t="str">
        <f t="shared" si="31"/>
        <v/>
      </c>
      <c r="AM43" s="1771" t="str">
        <f t="shared" si="31"/>
        <v/>
      </c>
      <c r="AN43" s="1771" t="str">
        <f t="shared" si="31"/>
        <v/>
      </c>
      <c r="AO43" s="1771" t="str">
        <f t="shared" si="31"/>
        <v/>
      </c>
      <c r="AP43" s="3443" t="str">
        <f t="shared" si="31"/>
        <v/>
      </c>
      <c r="AQ43" s="1771" t="str">
        <f t="shared" si="31"/>
        <v/>
      </c>
      <c r="AR43" s="1771" t="str">
        <f t="shared" si="31"/>
        <v/>
      </c>
      <c r="AS43" s="3442" t="str">
        <f t="shared" si="31"/>
        <v/>
      </c>
      <c r="AT43" s="1771" t="str">
        <f t="shared" si="31"/>
        <v/>
      </c>
      <c r="AU43" s="1771">
        <f t="shared" si="31"/>
        <v>0.12</v>
      </c>
      <c r="AV43" s="1771" t="str">
        <f t="shared" si="31"/>
        <v/>
      </c>
      <c r="AW43" s="3442" t="str">
        <f t="shared" si="31"/>
        <v/>
      </c>
      <c r="AX43" s="1771" t="str">
        <f t="shared" si="32"/>
        <v/>
      </c>
      <c r="AY43" s="1771" t="str">
        <f t="shared" si="32"/>
        <v/>
      </c>
      <c r="AZ43" s="1771" t="str">
        <f t="shared" si="32"/>
        <v/>
      </c>
      <c r="BA43" s="1771" t="str">
        <f t="shared" si="32"/>
        <v/>
      </c>
      <c r="BB43" s="3437" t="str">
        <f t="shared" si="32"/>
        <v/>
      </c>
      <c r="BC43" s="3443" t="str">
        <f t="shared" si="32"/>
        <v/>
      </c>
      <c r="BD43" s="3462"/>
      <c r="BE43" s="3440" t="str">
        <f>IF(J43=J319,"stop","")</f>
        <v/>
      </c>
      <c r="BF43" s="1771" t="str">
        <f t="shared" si="33"/>
        <v/>
      </c>
      <c r="BG43" s="1771" t="str">
        <f t="shared" si="33"/>
        <v/>
      </c>
      <c r="BH43" s="1771" t="str">
        <f t="shared" si="33"/>
        <v/>
      </c>
      <c r="BI43" s="1771" t="str">
        <f t="shared" si="33"/>
        <v/>
      </c>
      <c r="BJ43" s="3443" t="str">
        <f t="shared" si="33"/>
        <v/>
      </c>
      <c r="BK43" s="3437" t="str">
        <f t="shared" si="33"/>
        <v/>
      </c>
      <c r="BL43" s="1771" t="str">
        <f t="shared" si="33"/>
        <v/>
      </c>
      <c r="BM43" s="3442" t="str">
        <f t="shared" si="33"/>
        <v/>
      </c>
      <c r="BN43" s="1771" t="str">
        <f t="shared" si="33"/>
        <v/>
      </c>
      <c r="BO43" s="1771">
        <f t="shared" si="33"/>
        <v>3.4641016151377546E-2</v>
      </c>
      <c r="BP43" s="1771" t="str">
        <f t="shared" si="33"/>
        <v/>
      </c>
      <c r="BQ43" s="1771" t="str">
        <f t="shared" si="33"/>
        <v/>
      </c>
      <c r="BR43" s="3437" t="str">
        <f t="shared" si="34"/>
        <v/>
      </c>
      <c r="BS43" s="1771" t="str">
        <f t="shared" si="34"/>
        <v/>
      </c>
      <c r="BT43" s="1771" t="str">
        <f t="shared" si="34"/>
        <v/>
      </c>
      <c r="BU43" s="3442" t="str">
        <f t="shared" si="34"/>
        <v/>
      </c>
      <c r="BV43" s="1771" t="str">
        <f t="shared" si="34"/>
        <v/>
      </c>
      <c r="BW43" s="3442" t="str">
        <f t="shared" si="34"/>
        <v/>
      </c>
      <c r="BX43" s="3462"/>
      <c r="BY43" s="3439" t="str">
        <f>IF(L43=L319,"stop","")</f>
        <v/>
      </c>
      <c r="BZ43" s="3437" t="str">
        <f t="shared" si="35"/>
        <v/>
      </c>
      <c r="CA43" s="1771" t="str">
        <f t="shared" si="35"/>
        <v/>
      </c>
      <c r="CB43" s="1771" t="str">
        <f t="shared" si="35"/>
        <v/>
      </c>
      <c r="CC43" s="3442" t="str">
        <f t="shared" si="35"/>
        <v/>
      </c>
      <c r="CD43" s="1771" t="str">
        <f t="shared" si="35"/>
        <v/>
      </c>
      <c r="CE43" s="3437" t="str">
        <f t="shared" si="35"/>
        <v/>
      </c>
      <c r="CF43" s="1771" t="str">
        <f t="shared" si="35"/>
        <v/>
      </c>
      <c r="CG43" s="1771" t="str">
        <f t="shared" si="35"/>
        <v/>
      </c>
      <c r="CH43" s="3437" t="str">
        <f t="shared" si="35"/>
        <v/>
      </c>
      <c r="CI43" s="1771">
        <f t="shared" si="35"/>
        <v>6.5000000000000002E-2</v>
      </c>
      <c r="CJ43" s="1771" t="str">
        <f t="shared" si="35"/>
        <v/>
      </c>
      <c r="CK43" s="3442" t="str">
        <f t="shared" si="35"/>
        <v/>
      </c>
      <c r="CL43" s="3437" t="str">
        <f t="shared" si="36"/>
        <v/>
      </c>
      <c r="CM43" s="1771" t="str">
        <f t="shared" si="36"/>
        <v/>
      </c>
      <c r="CN43" s="1771" t="str">
        <f t="shared" si="36"/>
        <v/>
      </c>
      <c r="CO43" s="3442" t="str">
        <f t="shared" si="36"/>
        <v/>
      </c>
      <c r="CP43" s="1771" t="str">
        <f t="shared" si="36"/>
        <v/>
      </c>
      <c r="CQ43" s="3442" t="str">
        <f t="shared" si="36"/>
        <v/>
      </c>
      <c r="CR43" s="3462"/>
    </row>
    <row r="44" spans="1:96" s="3" customFormat="1">
      <c r="A44" s="1840" t="s">
        <v>731</v>
      </c>
      <c r="B44" s="1775"/>
      <c r="C44" s="1775"/>
      <c r="D44" s="1775"/>
      <c r="E44" s="1796"/>
      <c r="F44" s="1775"/>
      <c r="G44" s="1775"/>
      <c r="H44" s="1775"/>
      <c r="I44" s="1807"/>
      <c r="J44" s="1775"/>
      <c r="K44" s="1775"/>
      <c r="L44" s="1775"/>
      <c r="M44" s="1775"/>
      <c r="N44" s="1788">
        <f t="shared" si="14"/>
        <v>0</v>
      </c>
      <c r="O44" s="1829">
        <f t="shared" si="15"/>
        <v>0</v>
      </c>
      <c r="P44" s="1776" t="s">
        <v>1088</v>
      </c>
      <c r="Q44" s="3" t="str">
        <f>IF(J44=J319,"stop","")</f>
        <v/>
      </c>
      <c r="R44" s="3437" t="str">
        <f t="shared" si="38"/>
        <v/>
      </c>
      <c r="S44" s="1771" t="str">
        <f t="shared" si="38"/>
        <v/>
      </c>
      <c r="T44" s="1771" t="str">
        <f t="shared" si="38"/>
        <v/>
      </c>
      <c r="U44" s="1771" t="str">
        <f t="shared" si="38"/>
        <v/>
      </c>
      <c r="V44" s="3443" t="str">
        <f t="shared" si="38"/>
        <v/>
      </c>
      <c r="W44" s="1771" t="str">
        <f t="shared" si="38"/>
        <v/>
      </c>
      <c r="X44" s="1771" t="str">
        <f t="shared" si="38"/>
        <v/>
      </c>
      <c r="Y44" s="1771" t="str">
        <f t="shared" si="38"/>
        <v/>
      </c>
      <c r="Z44" s="3437" t="str">
        <f t="shared" si="38"/>
        <v/>
      </c>
      <c r="AA44" s="1771" t="str">
        <f t="shared" si="38"/>
        <v/>
      </c>
      <c r="AB44" s="1771" t="str">
        <f t="shared" si="38"/>
        <v/>
      </c>
      <c r="AC44" s="3442" t="str">
        <f t="shared" si="38"/>
        <v/>
      </c>
      <c r="AD44" s="1771" t="str">
        <f t="shared" si="38"/>
        <v/>
      </c>
      <c r="AE44" s="1771" t="str">
        <f t="shared" si="38"/>
        <v/>
      </c>
      <c r="AF44" s="1771" t="str">
        <f t="shared" si="38"/>
        <v/>
      </c>
      <c r="AG44" s="3442" t="str">
        <f t="shared" si="37"/>
        <v/>
      </c>
      <c r="AH44" s="1771" t="str">
        <f t="shared" si="37"/>
        <v/>
      </c>
      <c r="AI44" s="3442" t="str">
        <f t="shared" si="4"/>
        <v/>
      </c>
      <c r="AJ44" s="3462"/>
      <c r="AK44" s="3439" t="str">
        <f>IF(J44=J319,"stop","")</f>
        <v/>
      </c>
      <c r="AL44" s="3437" t="str">
        <f t="shared" si="31"/>
        <v/>
      </c>
      <c r="AM44" s="1771" t="str">
        <f t="shared" si="31"/>
        <v/>
      </c>
      <c r="AN44" s="1771" t="str">
        <f t="shared" si="31"/>
        <v/>
      </c>
      <c r="AO44" s="1771" t="str">
        <f t="shared" si="31"/>
        <v/>
      </c>
      <c r="AP44" s="3443" t="str">
        <f t="shared" si="31"/>
        <v/>
      </c>
      <c r="AQ44" s="1771" t="str">
        <f t="shared" si="31"/>
        <v/>
      </c>
      <c r="AR44" s="1771" t="str">
        <f t="shared" si="31"/>
        <v/>
      </c>
      <c r="AS44" s="3442" t="str">
        <f t="shared" si="31"/>
        <v/>
      </c>
      <c r="AT44" s="1771" t="str">
        <f t="shared" si="31"/>
        <v/>
      </c>
      <c r="AU44" s="1771" t="str">
        <f t="shared" si="31"/>
        <v/>
      </c>
      <c r="AV44" s="1771" t="str">
        <f t="shared" si="31"/>
        <v/>
      </c>
      <c r="AW44" s="3442" t="str">
        <f t="shared" si="31"/>
        <v/>
      </c>
      <c r="AX44" s="1771" t="str">
        <f t="shared" si="32"/>
        <v/>
      </c>
      <c r="AY44" s="1771" t="str">
        <f t="shared" si="32"/>
        <v/>
      </c>
      <c r="AZ44" s="1771" t="str">
        <f t="shared" si="32"/>
        <v/>
      </c>
      <c r="BA44" s="1771" t="str">
        <f t="shared" si="32"/>
        <v/>
      </c>
      <c r="BB44" s="3437" t="str">
        <f t="shared" si="32"/>
        <v/>
      </c>
      <c r="BC44" s="3443" t="str">
        <f t="shared" si="32"/>
        <v/>
      </c>
      <c r="BD44" s="3462"/>
      <c r="BE44" s="3440" t="str">
        <f>IF(J44=J319,"stop","")</f>
        <v/>
      </c>
      <c r="BF44" s="1771" t="str">
        <f t="shared" si="33"/>
        <v/>
      </c>
      <c r="BG44" s="1771" t="str">
        <f t="shared" si="33"/>
        <v/>
      </c>
      <c r="BH44" s="1771" t="str">
        <f t="shared" si="33"/>
        <v/>
      </c>
      <c r="BI44" s="1771" t="str">
        <f t="shared" si="33"/>
        <v/>
      </c>
      <c r="BJ44" s="3443" t="str">
        <f t="shared" si="33"/>
        <v/>
      </c>
      <c r="BK44" s="3437" t="str">
        <f t="shared" si="33"/>
        <v/>
      </c>
      <c r="BL44" s="1771" t="str">
        <f t="shared" si="33"/>
        <v/>
      </c>
      <c r="BM44" s="3442" t="str">
        <f t="shared" si="33"/>
        <v/>
      </c>
      <c r="BN44" s="1771" t="str">
        <f t="shared" si="33"/>
        <v/>
      </c>
      <c r="BO44" s="1771" t="str">
        <f t="shared" si="33"/>
        <v/>
      </c>
      <c r="BP44" s="1771" t="str">
        <f t="shared" si="33"/>
        <v/>
      </c>
      <c r="BQ44" s="1771" t="str">
        <f t="shared" si="33"/>
        <v/>
      </c>
      <c r="BR44" s="3437" t="str">
        <f t="shared" si="34"/>
        <v/>
      </c>
      <c r="BS44" s="1771" t="str">
        <f t="shared" si="34"/>
        <v/>
      </c>
      <c r="BT44" s="1771" t="str">
        <f t="shared" si="34"/>
        <v/>
      </c>
      <c r="BU44" s="3442" t="str">
        <f t="shared" si="34"/>
        <v/>
      </c>
      <c r="BV44" s="1771" t="str">
        <f t="shared" si="34"/>
        <v/>
      </c>
      <c r="BW44" s="3442" t="str">
        <f t="shared" si="34"/>
        <v/>
      </c>
      <c r="BX44" s="3462"/>
      <c r="BY44" s="3439" t="str">
        <f>IF(L44=L319,"stop","")</f>
        <v>stop</v>
      </c>
      <c r="BZ44" s="3437" t="str">
        <f t="shared" si="35"/>
        <v/>
      </c>
      <c r="CA44" s="1771" t="str">
        <f t="shared" si="35"/>
        <v/>
      </c>
      <c r="CB44" s="1771" t="str">
        <f t="shared" si="35"/>
        <v/>
      </c>
      <c r="CC44" s="3442" t="str">
        <f t="shared" si="35"/>
        <v/>
      </c>
      <c r="CD44" s="1771" t="str">
        <f t="shared" si="35"/>
        <v/>
      </c>
      <c r="CE44" s="3437" t="str">
        <f t="shared" si="35"/>
        <v/>
      </c>
      <c r="CF44" s="1771" t="str">
        <f t="shared" si="35"/>
        <v/>
      </c>
      <c r="CG44" s="1771" t="str">
        <f t="shared" si="35"/>
        <v/>
      </c>
      <c r="CH44" s="3437" t="str">
        <f t="shared" si="35"/>
        <v/>
      </c>
      <c r="CI44" s="1771" t="str">
        <f t="shared" si="35"/>
        <v/>
      </c>
      <c r="CJ44" s="1771" t="str">
        <f t="shared" si="35"/>
        <v/>
      </c>
      <c r="CK44" s="3442" t="str">
        <f t="shared" si="35"/>
        <v/>
      </c>
      <c r="CL44" s="3437" t="str">
        <f t="shared" si="36"/>
        <v/>
      </c>
      <c r="CM44" s="1771" t="str">
        <f t="shared" si="36"/>
        <v/>
      </c>
      <c r="CN44" s="1771" t="str">
        <f t="shared" si="36"/>
        <v/>
      </c>
      <c r="CO44" s="3442" t="str">
        <f t="shared" si="36"/>
        <v/>
      </c>
      <c r="CP44" s="1771" t="str">
        <f t="shared" si="36"/>
        <v/>
      </c>
      <c r="CQ44" s="3442" t="str">
        <f t="shared" si="36"/>
        <v/>
      </c>
      <c r="CR44" s="3462"/>
    </row>
    <row r="45" spans="1:96" s="3" customFormat="1">
      <c r="A45" s="1838" t="s">
        <v>732</v>
      </c>
      <c r="B45" s="1775">
        <v>13</v>
      </c>
      <c r="C45" s="1775">
        <v>16.55</v>
      </c>
      <c r="D45" s="1775">
        <v>3.4000000000000002E-2</v>
      </c>
      <c r="E45" s="1796" t="s">
        <v>35</v>
      </c>
      <c r="F45" s="1775">
        <v>0.15</v>
      </c>
      <c r="G45" s="1775" t="s">
        <v>695</v>
      </c>
      <c r="H45" s="1775">
        <v>1996</v>
      </c>
      <c r="I45" s="1807"/>
      <c r="J45" s="1775">
        <f t="shared" si="0"/>
        <v>16.55</v>
      </c>
      <c r="K45" s="1775">
        <v>3.4000000000000002E-2</v>
      </c>
      <c r="L45" s="1775" t="s">
        <v>35</v>
      </c>
      <c r="M45" s="1775">
        <v>0.15</v>
      </c>
      <c r="N45" s="1788">
        <f t="shared" si="14"/>
        <v>7.1414284285428509E-2</v>
      </c>
      <c r="O45" s="1829">
        <f t="shared" si="15"/>
        <v>9.1999999999999998E-2</v>
      </c>
      <c r="P45" s="1776" t="s">
        <v>1088</v>
      </c>
      <c r="Q45" s="3" t="str">
        <f>IF(J45=J319,"stop","")</f>
        <v/>
      </c>
      <c r="R45" s="3437" t="str">
        <f t="shared" si="38"/>
        <v/>
      </c>
      <c r="S45" s="1771" t="str">
        <f t="shared" si="38"/>
        <v/>
      </c>
      <c r="T45" s="1771" t="str">
        <f t="shared" si="38"/>
        <v/>
      </c>
      <c r="U45" s="1771" t="str">
        <f t="shared" si="38"/>
        <v/>
      </c>
      <c r="V45" s="3443" t="str">
        <f t="shared" si="38"/>
        <v/>
      </c>
      <c r="W45" s="1771" t="str">
        <f t="shared" si="38"/>
        <v/>
      </c>
      <c r="X45" s="1771" t="str">
        <f t="shared" si="38"/>
        <v/>
      </c>
      <c r="Y45" s="1771" t="str">
        <f t="shared" si="38"/>
        <v/>
      </c>
      <c r="Z45" s="3437" t="str">
        <f t="shared" si="38"/>
        <v/>
      </c>
      <c r="AA45" s="1771" t="str">
        <f t="shared" si="38"/>
        <v/>
      </c>
      <c r="AB45" s="1771">
        <f t="shared" si="38"/>
        <v>3.4000000000000002E-2</v>
      </c>
      <c r="AC45" s="3442" t="str">
        <f t="shared" si="38"/>
        <v/>
      </c>
      <c r="AD45" s="1771" t="str">
        <f t="shared" si="38"/>
        <v/>
      </c>
      <c r="AE45" s="1771" t="str">
        <f t="shared" si="38"/>
        <v/>
      </c>
      <c r="AF45" s="1771" t="str">
        <f t="shared" si="38"/>
        <v/>
      </c>
      <c r="AG45" s="3442" t="str">
        <f t="shared" si="37"/>
        <v/>
      </c>
      <c r="AH45" s="1771" t="str">
        <f t="shared" si="37"/>
        <v/>
      </c>
      <c r="AI45" s="3442" t="str">
        <f t="shared" si="4"/>
        <v/>
      </c>
      <c r="AJ45" s="3462"/>
      <c r="AK45" s="3439" t="str">
        <f>IF(J45=J319,"stop","")</f>
        <v/>
      </c>
      <c r="AL45" s="3437" t="str">
        <f t="shared" si="31"/>
        <v/>
      </c>
      <c r="AM45" s="1771" t="str">
        <f t="shared" si="31"/>
        <v/>
      </c>
      <c r="AN45" s="1771" t="str">
        <f t="shared" si="31"/>
        <v/>
      </c>
      <c r="AO45" s="1771" t="str">
        <f t="shared" si="31"/>
        <v/>
      </c>
      <c r="AP45" s="3443" t="str">
        <f t="shared" si="31"/>
        <v/>
      </c>
      <c r="AQ45" s="1771" t="str">
        <f t="shared" si="31"/>
        <v/>
      </c>
      <c r="AR45" s="1771" t="str">
        <f t="shared" si="31"/>
        <v/>
      </c>
      <c r="AS45" s="3442" t="str">
        <f t="shared" si="31"/>
        <v/>
      </c>
      <c r="AT45" s="1771" t="str">
        <f t="shared" si="31"/>
        <v/>
      </c>
      <c r="AU45" s="1771" t="str">
        <f t="shared" si="31"/>
        <v/>
      </c>
      <c r="AV45" s="1771">
        <f t="shared" si="31"/>
        <v>0.15</v>
      </c>
      <c r="AW45" s="3442" t="str">
        <f t="shared" si="31"/>
        <v/>
      </c>
      <c r="AX45" s="1771" t="str">
        <f t="shared" si="32"/>
        <v/>
      </c>
      <c r="AY45" s="1771" t="str">
        <f t="shared" si="32"/>
        <v/>
      </c>
      <c r="AZ45" s="1771" t="str">
        <f t="shared" si="32"/>
        <v/>
      </c>
      <c r="BA45" s="1771" t="str">
        <f t="shared" si="32"/>
        <v/>
      </c>
      <c r="BB45" s="3437" t="str">
        <f t="shared" si="32"/>
        <v/>
      </c>
      <c r="BC45" s="3443" t="str">
        <f t="shared" si="32"/>
        <v/>
      </c>
      <c r="BD45" s="3462"/>
      <c r="BE45" s="3440" t="str">
        <f>IF(J45=J319,"stop","")</f>
        <v/>
      </c>
      <c r="BF45" s="1771" t="str">
        <f t="shared" si="33"/>
        <v/>
      </c>
      <c r="BG45" s="1771" t="str">
        <f t="shared" si="33"/>
        <v/>
      </c>
      <c r="BH45" s="1771" t="str">
        <f t="shared" si="33"/>
        <v/>
      </c>
      <c r="BI45" s="1771" t="str">
        <f t="shared" si="33"/>
        <v/>
      </c>
      <c r="BJ45" s="3443" t="str">
        <f t="shared" si="33"/>
        <v/>
      </c>
      <c r="BK45" s="3437" t="str">
        <f t="shared" si="33"/>
        <v/>
      </c>
      <c r="BL45" s="1771" t="str">
        <f t="shared" si="33"/>
        <v/>
      </c>
      <c r="BM45" s="3442" t="str">
        <f t="shared" si="33"/>
        <v/>
      </c>
      <c r="BN45" s="1771" t="str">
        <f t="shared" si="33"/>
        <v/>
      </c>
      <c r="BO45" s="1771" t="str">
        <f t="shared" si="33"/>
        <v/>
      </c>
      <c r="BP45" s="1771">
        <f t="shared" si="33"/>
        <v>7.1414284285428509E-2</v>
      </c>
      <c r="BQ45" s="1771" t="str">
        <f t="shared" si="33"/>
        <v/>
      </c>
      <c r="BR45" s="3437" t="str">
        <f t="shared" si="34"/>
        <v/>
      </c>
      <c r="BS45" s="1771" t="str">
        <f t="shared" si="34"/>
        <v/>
      </c>
      <c r="BT45" s="1771" t="str">
        <f t="shared" si="34"/>
        <v/>
      </c>
      <c r="BU45" s="3442" t="str">
        <f t="shared" si="34"/>
        <v/>
      </c>
      <c r="BV45" s="1771" t="str">
        <f t="shared" si="34"/>
        <v/>
      </c>
      <c r="BW45" s="3442" t="str">
        <f t="shared" si="34"/>
        <v/>
      </c>
      <c r="BX45" s="3462"/>
      <c r="BY45" s="3439" t="str">
        <f>IF(L45=L319,"stop","")</f>
        <v/>
      </c>
      <c r="BZ45" s="3437" t="str">
        <f t="shared" si="35"/>
        <v/>
      </c>
      <c r="CA45" s="1771" t="str">
        <f t="shared" si="35"/>
        <v/>
      </c>
      <c r="CB45" s="1771" t="str">
        <f t="shared" si="35"/>
        <v/>
      </c>
      <c r="CC45" s="3442" t="str">
        <f t="shared" si="35"/>
        <v/>
      </c>
      <c r="CD45" s="1771" t="str">
        <f t="shared" si="35"/>
        <v/>
      </c>
      <c r="CE45" s="3437" t="str">
        <f t="shared" si="35"/>
        <v/>
      </c>
      <c r="CF45" s="1771" t="str">
        <f t="shared" si="35"/>
        <v/>
      </c>
      <c r="CG45" s="1771" t="str">
        <f t="shared" si="35"/>
        <v/>
      </c>
      <c r="CH45" s="3437" t="str">
        <f t="shared" si="35"/>
        <v/>
      </c>
      <c r="CI45" s="1771" t="str">
        <f t="shared" si="35"/>
        <v/>
      </c>
      <c r="CJ45" s="1771">
        <f t="shared" si="35"/>
        <v>9.1999999999999998E-2</v>
      </c>
      <c r="CK45" s="3442" t="str">
        <f t="shared" si="35"/>
        <v/>
      </c>
      <c r="CL45" s="3437" t="str">
        <f t="shared" si="36"/>
        <v/>
      </c>
      <c r="CM45" s="1771" t="str">
        <f t="shared" si="36"/>
        <v/>
      </c>
      <c r="CN45" s="1771" t="str">
        <f t="shared" si="36"/>
        <v/>
      </c>
      <c r="CO45" s="3442" t="str">
        <f t="shared" si="36"/>
        <v/>
      </c>
      <c r="CP45" s="1771" t="str">
        <f t="shared" si="36"/>
        <v/>
      </c>
      <c r="CQ45" s="3442" t="str">
        <f t="shared" si="36"/>
        <v/>
      </c>
      <c r="CR45" s="3462"/>
    </row>
    <row r="46" spans="1:96" s="3" customFormat="1">
      <c r="A46" s="1838" t="s">
        <v>733</v>
      </c>
      <c r="B46" s="1775">
        <v>16</v>
      </c>
      <c r="C46" s="1775">
        <v>21.85</v>
      </c>
      <c r="D46" s="1775">
        <v>6.9999999999999997E-7</v>
      </c>
      <c r="E46" s="1796" t="s">
        <v>35</v>
      </c>
      <c r="F46" s="1775">
        <v>0.02</v>
      </c>
      <c r="G46" s="1775" t="s">
        <v>695</v>
      </c>
      <c r="H46" s="1775">
        <v>1996</v>
      </c>
      <c r="I46" s="1807"/>
      <c r="J46" s="1775">
        <f t="shared" si="0"/>
        <v>21.85</v>
      </c>
      <c r="K46" s="1775">
        <v>6.9999999999999997E-7</v>
      </c>
      <c r="L46" s="1775" t="s">
        <v>35</v>
      </c>
      <c r="M46" s="1775">
        <v>0.02</v>
      </c>
      <c r="N46" s="1788">
        <f t="shared" si="14"/>
        <v>1.1832159566199231E-4</v>
      </c>
      <c r="O46" s="1829">
        <f t="shared" si="15"/>
        <v>1.000035E-2</v>
      </c>
      <c r="P46" s="1776" t="s">
        <v>1088</v>
      </c>
      <c r="Q46" s="3" t="str">
        <f>IF(J46=J319,"stop","")</f>
        <v/>
      </c>
      <c r="R46" s="3437" t="str">
        <f t="shared" si="38"/>
        <v/>
      </c>
      <c r="S46" s="1771" t="str">
        <f t="shared" si="38"/>
        <v/>
      </c>
      <c r="T46" s="1771" t="str">
        <f t="shared" si="38"/>
        <v/>
      </c>
      <c r="U46" s="1771" t="str">
        <f t="shared" si="38"/>
        <v/>
      </c>
      <c r="V46" s="3443" t="str">
        <f t="shared" si="38"/>
        <v/>
      </c>
      <c r="W46" s="1771" t="str">
        <f t="shared" si="38"/>
        <v/>
      </c>
      <c r="X46" s="1771" t="str">
        <f t="shared" si="38"/>
        <v/>
      </c>
      <c r="Y46" s="1771" t="str">
        <f t="shared" si="38"/>
        <v/>
      </c>
      <c r="Z46" s="3437" t="str">
        <f t="shared" si="38"/>
        <v/>
      </c>
      <c r="AA46" s="1771" t="str">
        <f t="shared" si="38"/>
        <v/>
      </c>
      <c r="AB46" s="1771" t="str">
        <f t="shared" si="38"/>
        <v/>
      </c>
      <c r="AC46" s="3442">
        <f t="shared" si="38"/>
        <v>6.9999999999999997E-7</v>
      </c>
      <c r="AD46" s="1771" t="str">
        <f t="shared" si="38"/>
        <v/>
      </c>
      <c r="AE46" s="1771" t="str">
        <f t="shared" si="38"/>
        <v/>
      </c>
      <c r="AF46" s="1771" t="str">
        <f t="shared" si="38"/>
        <v/>
      </c>
      <c r="AG46" s="3442" t="str">
        <f t="shared" si="37"/>
        <v/>
      </c>
      <c r="AH46" s="1771" t="str">
        <f t="shared" si="37"/>
        <v/>
      </c>
      <c r="AI46" s="3442" t="str">
        <f t="shared" si="4"/>
        <v/>
      </c>
      <c r="AJ46" s="3462"/>
      <c r="AK46" s="3439" t="str">
        <f>IF(J46=J319,"stop","")</f>
        <v/>
      </c>
      <c r="AL46" s="3437" t="str">
        <f t="shared" si="31"/>
        <v/>
      </c>
      <c r="AM46" s="1771" t="str">
        <f t="shared" si="31"/>
        <v/>
      </c>
      <c r="AN46" s="1771" t="str">
        <f t="shared" si="31"/>
        <v/>
      </c>
      <c r="AO46" s="1771" t="str">
        <f t="shared" si="31"/>
        <v/>
      </c>
      <c r="AP46" s="3443" t="str">
        <f t="shared" si="31"/>
        <v/>
      </c>
      <c r="AQ46" s="1771" t="str">
        <f t="shared" si="31"/>
        <v/>
      </c>
      <c r="AR46" s="1771" t="str">
        <f t="shared" si="31"/>
        <v/>
      </c>
      <c r="AS46" s="3442" t="str">
        <f t="shared" si="31"/>
        <v/>
      </c>
      <c r="AT46" s="1771" t="str">
        <f t="shared" si="31"/>
        <v/>
      </c>
      <c r="AU46" s="1771" t="str">
        <f t="shared" si="31"/>
        <v/>
      </c>
      <c r="AV46" s="1771" t="str">
        <f t="shared" si="31"/>
        <v/>
      </c>
      <c r="AW46" s="3442">
        <f t="shared" si="31"/>
        <v>0.02</v>
      </c>
      <c r="AX46" s="1771" t="str">
        <f t="shared" si="32"/>
        <v/>
      </c>
      <c r="AY46" s="1771" t="str">
        <f t="shared" si="32"/>
        <v/>
      </c>
      <c r="AZ46" s="1771" t="str">
        <f t="shared" si="32"/>
        <v/>
      </c>
      <c r="BA46" s="1771" t="str">
        <f t="shared" si="32"/>
        <v/>
      </c>
      <c r="BB46" s="3437" t="str">
        <f t="shared" si="32"/>
        <v/>
      </c>
      <c r="BC46" s="3443" t="str">
        <f t="shared" si="32"/>
        <v/>
      </c>
      <c r="BD46" s="3462"/>
      <c r="BE46" s="3440" t="str">
        <f>IF(J46=J319,"stop","")</f>
        <v/>
      </c>
      <c r="BF46" s="1771" t="str">
        <f t="shared" si="33"/>
        <v/>
      </c>
      <c r="BG46" s="1771" t="str">
        <f t="shared" si="33"/>
        <v/>
      </c>
      <c r="BH46" s="1771" t="str">
        <f t="shared" si="33"/>
        <v/>
      </c>
      <c r="BI46" s="1771" t="str">
        <f t="shared" si="33"/>
        <v/>
      </c>
      <c r="BJ46" s="3443" t="str">
        <f t="shared" si="33"/>
        <v/>
      </c>
      <c r="BK46" s="3437" t="str">
        <f t="shared" si="33"/>
        <v/>
      </c>
      <c r="BL46" s="1771" t="str">
        <f t="shared" si="33"/>
        <v/>
      </c>
      <c r="BM46" s="3442" t="str">
        <f t="shared" si="33"/>
        <v/>
      </c>
      <c r="BN46" s="1771" t="str">
        <f t="shared" si="33"/>
        <v/>
      </c>
      <c r="BO46" s="1771" t="str">
        <f t="shared" si="33"/>
        <v/>
      </c>
      <c r="BP46" s="1771" t="str">
        <f t="shared" si="33"/>
        <v/>
      </c>
      <c r="BQ46" s="1771">
        <f t="shared" si="33"/>
        <v>1.1832159566199231E-4</v>
      </c>
      <c r="BR46" s="3437" t="str">
        <f t="shared" si="34"/>
        <v/>
      </c>
      <c r="BS46" s="1771" t="str">
        <f t="shared" si="34"/>
        <v/>
      </c>
      <c r="BT46" s="1771" t="str">
        <f t="shared" si="34"/>
        <v/>
      </c>
      <c r="BU46" s="3442" t="str">
        <f t="shared" si="34"/>
        <v/>
      </c>
      <c r="BV46" s="1771" t="str">
        <f t="shared" si="34"/>
        <v/>
      </c>
      <c r="BW46" s="3442" t="str">
        <f t="shared" si="34"/>
        <v/>
      </c>
      <c r="BX46" s="3462"/>
      <c r="BY46" s="3439" t="str">
        <f>IF(L46=L319,"stop","")</f>
        <v/>
      </c>
      <c r="BZ46" s="3437" t="str">
        <f t="shared" si="35"/>
        <v/>
      </c>
      <c r="CA46" s="1771" t="str">
        <f t="shared" si="35"/>
        <v/>
      </c>
      <c r="CB46" s="1771" t="str">
        <f t="shared" si="35"/>
        <v/>
      </c>
      <c r="CC46" s="3442" t="str">
        <f t="shared" si="35"/>
        <v/>
      </c>
      <c r="CD46" s="1771" t="str">
        <f t="shared" si="35"/>
        <v/>
      </c>
      <c r="CE46" s="3437" t="str">
        <f t="shared" si="35"/>
        <v/>
      </c>
      <c r="CF46" s="1771" t="str">
        <f t="shared" si="35"/>
        <v/>
      </c>
      <c r="CG46" s="1771" t="str">
        <f t="shared" si="35"/>
        <v/>
      </c>
      <c r="CH46" s="3437" t="str">
        <f t="shared" si="35"/>
        <v/>
      </c>
      <c r="CI46" s="1771" t="str">
        <f t="shared" si="35"/>
        <v/>
      </c>
      <c r="CJ46" s="1771" t="str">
        <f t="shared" si="35"/>
        <v/>
      </c>
      <c r="CK46" s="3442">
        <f t="shared" si="35"/>
        <v>1.000035E-2</v>
      </c>
      <c r="CL46" s="3437" t="str">
        <f t="shared" si="36"/>
        <v/>
      </c>
      <c r="CM46" s="1771" t="str">
        <f t="shared" si="36"/>
        <v/>
      </c>
      <c r="CN46" s="1771" t="str">
        <f t="shared" si="36"/>
        <v/>
      </c>
      <c r="CO46" s="3442" t="str">
        <f t="shared" si="36"/>
        <v/>
      </c>
      <c r="CP46" s="1771" t="str">
        <f t="shared" si="36"/>
        <v/>
      </c>
      <c r="CQ46" s="3442" t="str">
        <f t="shared" si="36"/>
        <v/>
      </c>
      <c r="CR46" s="3462"/>
    </row>
    <row r="47" spans="1:96" s="3" customFormat="1">
      <c r="A47" s="1838" t="s">
        <v>734</v>
      </c>
      <c r="B47" s="1775">
        <v>20</v>
      </c>
      <c r="C47" s="1775">
        <v>30.14</v>
      </c>
      <c r="D47" s="1775">
        <v>2.9999999999999999E-7</v>
      </c>
      <c r="E47" s="1796" t="s">
        <v>35</v>
      </c>
      <c r="F47" s="1775">
        <v>1.94E-4</v>
      </c>
      <c r="G47" s="1775" t="s">
        <v>695</v>
      </c>
      <c r="H47" s="1775">
        <v>1996</v>
      </c>
      <c r="I47" s="1807"/>
      <c r="J47" s="1775">
        <f t="shared" si="0"/>
        <v>30.14</v>
      </c>
      <c r="K47" s="1775">
        <v>2.9999999999999999E-7</v>
      </c>
      <c r="L47" s="1775" t="s">
        <v>35</v>
      </c>
      <c r="M47" s="1775">
        <v>1.94E-4</v>
      </c>
      <c r="N47" s="1788">
        <f t="shared" si="14"/>
        <v>7.6288924491042604E-6</v>
      </c>
      <c r="O47" s="1829">
        <f t="shared" si="15"/>
        <v>9.7150000000000003E-5</v>
      </c>
      <c r="P47" s="1776" t="s">
        <v>1088</v>
      </c>
      <c r="Q47" s="3" t="str">
        <f>IF(J47=J319,"stop","")</f>
        <v/>
      </c>
      <c r="R47" s="3437" t="str">
        <f t="shared" si="38"/>
        <v/>
      </c>
      <c r="S47" s="1771" t="str">
        <f t="shared" si="38"/>
        <v/>
      </c>
      <c r="T47" s="1771" t="str">
        <f t="shared" si="38"/>
        <v/>
      </c>
      <c r="U47" s="1771" t="str">
        <f t="shared" si="38"/>
        <v/>
      </c>
      <c r="V47" s="3443" t="str">
        <f t="shared" si="38"/>
        <v/>
      </c>
      <c r="W47" s="1771" t="str">
        <f t="shared" si="38"/>
        <v/>
      </c>
      <c r="X47" s="1771" t="str">
        <f t="shared" si="38"/>
        <v/>
      </c>
      <c r="Y47" s="1771" t="str">
        <f t="shared" si="38"/>
        <v/>
      </c>
      <c r="Z47" s="3437" t="str">
        <f t="shared" si="38"/>
        <v/>
      </c>
      <c r="AA47" s="1771" t="str">
        <f t="shared" si="38"/>
        <v/>
      </c>
      <c r="AB47" s="1771" t="str">
        <f t="shared" si="38"/>
        <v/>
      </c>
      <c r="AC47" s="3442">
        <f t="shared" si="38"/>
        <v>2.9999999999999999E-7</v>
      </c>
      <c r="AD47" s="1771" t="str">
        <f t="shared" si="38"/>
        <v/>
      </c>
      <c r="AE47" s="1771" t="str">
        <f t="shared" si="38"/>
        <v/>
      </c>
      <c r="AF47" s="1771" t="str">
        <f t="shared" si="38"/>
        <v/>
      </c>
      <c r="AG47" s="3442" t="str">
        <f t="shared" si="37"/>
        <v/>
      </c>
      <c r="AH47" s="1771" t="str">
        <f t="shared" si="37"/>
        <v/>
      </c>
      <c r="AI47" s="3442" t="str">
        <f t="shared" si="4"/>
        <v/>
      </c>
      <c r="AJ47" s="3462"/>
      <c r="AK47" s="3439" t="str">
        <f>IF(J47=J319,"stop","")</f>
        <v/>
      </c>
      <c r="AL47" s="3437" t="str">
        <f t="shared" si="31"/>
        <v/>
      </c>
      <c r="AM47" s="1771" t="str">
        <f t="shared" si="31"/>
        <v/>
      </c>
      <c r="AN47" s="1771" t="str">
        <f t="shared" si="31"/>
        <v/>
      </c>
      <c r="AO47" s="1771" t="str">
        <f t="shared" si="31"/>
        <v/>
      </c>
      <c r="AP47" s="3443" t="str">
        <f t="shared" si="31"/>
        <v/>
      </c>
      <c r="AQ47" s="1771" t="str">
        <f t="shared" si="31"/>
        <v/>
      </c>
      <c r="AR47" s="1771" t="str">
        <f t="shared" si="31"/>
        <v/>
      </c>
      <c r="AS47" s="3442" t="str">
        <f t="shared" si="31"/>
        <v/>
      </c>
      <c r="AT47" s="1771" t="str">
        <f t="shared" si="31"/>
        <v/>
      </c>
      <c r="AU47" s="1771" t="str">
        <f t="shared" si="31"/>
        <v/>
      </c>
      <c r="AV47" s="1771" t="str">
        <f t="shared" si="31"/>
        <v/>
      </c>
      <c r="AW47" s="3442">
        <f t="shared" si="31"/>
        <v>1.94E-4</v>
      </c>
      <c r="AX47" s="1771" t="str">
        <f t="shared" si="32"/>
        <v/>
      </c>
      <c r="AY47" s="1771" t="str">
        <f t="shared" si="32"/>
        <v/>
      </c>
      <c r="AZ47" s="1771" t="str">
        <f t="shared" si="32"/>
        <v/>
      </c>
      <c r="BA47" s="1771" t="str">
        <f t="shared" si="32"/>
        <v/>
      </c>
      <c r="BB47" s="3437" t="str">
        <f t="shared" si="32"/>
        <v/>
      </c>
      <c r="BC47" s="3443" t="str">
        <f t="shared" si="32"/>
        <v/>
      </c>
      <c r="BD47" s="3462"/>
      <c r="BE47" s="3440" t="str">
        <f>IF(J47=J319,"stop","")</f>
        <v/>
      </c>
      <c r="BF47" s="1771" t="str">
        <f t="shared" si="33"/>
        <v/>
      </c>
      <c r="BG47" s="1771" t="str">
        <f t="shared" si="33"/>
        <v/>
      </c>
      <c r="BH47" s="1771" t="str">
        <f t="shared" si="33"/>
        <v/>
      </c>
      <c r="BI47" s="1771" t="str">
        <f t="shared" si="33"/>
        <v/>
      </c>
      <c r="BJ47" s="3443" t="str">
        <f t="shared" si="33"/>
        <v/>
      </c>
      <c r="BK47" s="3437" t="str">
        <f t="shared" si="33"/>
        <v/>
      </c>
      <c r="BL47" s="1771" t="str">
        <f t="shared" si="33"/>
        <v/>
      </c>
      <c r="BM47" s="3442" t="str">
        <f t="shared" si="33"/>
        <v/>
      </c>
      <c r="BN47" s="1771" t="str">
        <f t="shared" si="33"/>
        <v/>
      </c>
      <c r="BO47" s="1771" t="str">
        <f t="shared" si="33"/>
        <v/>
      </c>
      <c r="BP47" s="1771" t="str">
        <f t="shared" si="33"/>
        <v/>
      </c>
      <c r="BQ47" s="1771">
        <f t="shared" si="33"/>
        <v>7.6288924491042604E-6</v>
      </c>
      <c r="BR47" s="3437" t="str">
        <f t="shared" si="34"/>
        <v/>
      </c>
      <c r="BS47" s="1771" t="str">
        <f t="shared" si="34"/>
        <v/>
      </c>
      <c r="BT47" s="1771" t="str">
        <f t="shared" si="34"/>
        <v/>
      </c>
      <c r="BU47" s="3442" t="str">
        <f t="shared" si="34"/>
        <v/>
      </c>
      <c r="BV47" s="1771" t="str">
        <f t="shared" si="34"/>
        <v/>
      </c>
      <c r="BW47" s="3442" t="str">
        <f t="shared" si="34"/>
        <v/>
      </c>
      <c r="BX47" s="3462"/>
      <c r="BY47" s="3439" t="str">
        <f>IF(L47=L319,"stop","")</f>
        <v/>
      </c>
      <c r="BZ47" s="3437" t="str">
        <f t="shared" si="35"/>
        <v/>
      </c>
      <c r="CA47" s="1771" t="str">
        <f t="shared" si="35"/>
        <v/>
      </c>
      <c r="CB47" s="1771" t="str">
        <f t="shared" si="35"/>
        <v/>
      </c>
      <c r="CC47" s="3442" t="str">
        <f t="shared" si="35"/>
        <v/>
      </c>
      <c r="CD47" s="1771" t="str">
        <f t="shared" si="35"/>
        <v/>
      </c>
      <c r="CE47" s="3437" t="str">
        <f t="shared" si="35"/>
        <v/>
      </c>
      <c r="CF47" s="1771" t="str">
        <f t="shared" si="35"/>
        <v/>
      </c>
      <c r="CG47" s="1771" t="str">
        <f t="shared" si="35"/>
        <v/>
      </c>
      <c r="CH47" s="3437" t="str">
        <f t="shared" si="35"/>
        <v/>
      </c>
      <c r="CI47" s="1771" t="str">
        <f t="shared" si="35"/>
        <v/>
      </c>
      <c r="CJ47" s="1771" t="str">
        <f t="shared" si="35"/>
        <v/>
      </c>
      <c r="CK47" s="3442">
        <f t="shared" si="35"/>
        <v>9.7150000000000003E-5</v>
      </c>
      <c r="CL47" s="3437" t="str">
        <f t="shared" si="36"/>
        <v/>
      </c>
      <c r="CM47" s="1771" t="str">
        <f t="shared" si="36"/>
        <v/>
      </c>
      <c r="CN47" s="1771" t="str">
        <f t="shared" si="36"/>
        <v/>
      </c>
      <c r="CO47" s="3442" t="str">
        <f t="shared" si="36"/>
        <v/>
      </c>
      <c r="CP47" s="1771" t="str">
        <f t="shared" si="36"/>
        <v/>
      </c>
      <c r="CQ47" s="3442" t="str">
        <f t="shared" si="36"/>
        <v/>
      </c>
      <c r="CR47" s="3462"/>
    </row>
    <row r="48" spans="1:96" s="3" customFormat="1">
      <c r="A48" s="1838" t="s">
        <v>735</v>
      </c>
      <c r="B48" s="1775">
        <v>20</v>
      </c>
      <c r="C48" s="1775">
        <v>30.14</v>
      </c>
      <c r="D48" s="1775">
        <v>2.9999999999999999E-7</v>
      </c>
      <c r="E48" s="1796" t="s">
        <v>35</v>
      </c>
      <c r="F48" s="1775">
        <v>1.95E-4</v>
      </c>
      <c r="G48" s="1775" t="s">
        <v>695</v>
      </c>
      <c r="H48" s="1775">
        <v>1996</v>
      </c>
      <c r="I48" s="1807"/>
      <c r="J48" s="1775">
        <f t="shared" si="0"/>
        <v>30.14</v>
      </c>
      <c r="K48" s="1775">
        <v>2.9999999999999999E-7</v>
      </c>
      <c r="L48" s="1775" t="s">
        <v>35</v>
      </c>
      <c r="M48" s="1775">
        <v>1.95E-4</v>
      </c>
      <c r="N48" s="1788">
        <f t="shared" si="14"/>
        <v>7.6485292703891771E-6</v>
      </c>
      <c r="O48" s="1829">
        <f t="shared" si="15"/>
        <v>9.7650000000000002E-5</v>
      </c>
      <c r="P48" s="1776" t="s">
        <v>1088</v>
      </c>
      <c r="Q48" s="3" t="str">
        <f>IF(J48=J319,"stop","")</f>
        <v/>
      </c>
      <c r="R48" s="3437" t="str">
        <f t="shared" si="38"/>
        <v/>
      </c>
      <c r="S48" s="1771" t="str">
        <f t="shared" si="38"/>
        <v/>
      </c>
      <c r="T48" s="1771" t="str">
        <f t="shared" si="38"/>
        <v/>
      </c>
      <c r="U48" s="1771" t="str">
        <f t="shared" si="38"/>
        <v/>
      </c>
      <c r="V48" s="3443" t="str">
        <f t="shared" si="38"/>
        <v/>
      </c>
      <c r="W48" s="1771" t="str">
        <f t="shared" si="38"/>
        <v/>
      </c>
      <c r="X48" s="1771" t="str">
        <f t="shared" si="38"/>
        <v/>
      </c>
      <c r="Y48" s="1771" t="str">
        <f t="shared" si="38"/>
        <v/>
      </c>
      <c r="Z48" s="3437" t="str">
        <f t="shared" si="38"/>
        <v/>
      </c>
      <c r="AA48" s="1771" t="str">
        <f t="shared" si="38"/>
        <v/>
      </c>
      <c r="AB48" s="1771" t="str">
        <f t="shared" si="38"/>
        <v/>
      </c>
      <c r="AC48" s="3442">
        <f t="shared" si="38"/>
        <v>2.9999999999999999E-7</v>
      </c>
      <c r="AD48" s="1771" t="str">
        <f t="shared" si="38"/>
        <v/>
      </c>
      <c r="AE48" s="1771" t="str">
        <f t="shared" si="38"/>
        <v/>
      </c>
      <c r="AF48" s="1771" t="str">
        <f t="shared" si="38"/>
        <v/>
      </c>
      <c r="AG48" s="3442" t="str">
        <f t="shared" si="37"/>
        <v/>
      </c>
      <c r="AH48" s="1771" t="str">
        <f t="shared" si="37"/>
        <v/>
      </c>
      <c r="AI48" s="3442" t="str">
        <f t="shared" si="4"/>
        <v/>
      </c>
      <c r="AJ48" s="3462"/>
      <c r="AK48" s="3439" t="str">
        <f>IF(J48=J319,"stop","")</f>
        <v/>
      </c>
      <c r="AL48" s="3437" t="str">
        <f t="shared" si="31"/>
        <v/>
      </c>
      <c r="AM48" s="1771" t="str">
        <f t="shared" si="31"/>
        <v/>
      </c>
      <c r="AN48" s="1771" t="str">
        <f t="shared" si="31"/>
        <v/>
      </c>
      <c r="AO48" s="1771" t="str">
        <f t="shared" si="31"/>
        <v/>
      </c>
      <c r="AP48" s="3443" t="str">
        <f t="shared" si="31"/>
        <v/>
      </c>
      <c r="AQ48" s="1771" t="str">
        <f t="shared" si="31"/>
        <v/>
      </c>
      <c r="AR48" s="1771" t="str">
        <f t="shared" si="31"/>
        <v/>
      </c>
      <c r="AS48" s="3442" t="str">
        <f t="shared" si="31"/>
        <v/>
      </c>
      <c r="AT48" s="1771" t="str">
        <f t="shared" si="31"/>
        <v/>
      </c>
      <c r="AU48" s="1771" t="str">
        <f t="shared" si="31"/>
        <v/>
      </c>
      <c r="AV48" s="1771" t="str">
        <f t="shared" si="31"/>
        <v/>
      </c>
      <c r="AW48" s="3442">
        <f t="shared" si="31"/>
        <v>1.95E-4</v>
      </c>
      <c r="AX48" s="1771" t="str">
        <f t="shared" si="32"/>
        <v/>
      </c>
      <c r="AY48" s="1771" t="str">
        <f t="shared" si="32"/>
        <v/>
      </c>
      <c r="AZ48" s="1771" t="str">
        <f t="shared" si="32"/>
        <v/>
      </c>
      <c r="BA48" s="1771" t="str">
        <f t="shared" si="32"/>
        <v/>
      </c>
      <c r="BB48" s="3437" t="str">
        <f t="shared" si="32"/>
        <v/>
      </c>
      <c r="BC48" s="3443" t="str">
        <f t="shared" si="32"/>
        <v/>
      </c>
      <c r="BD48" s="3462"/>
      <c r="BE48" s="3440" t="str">
        <f>IF(J48=J319,"stop","")</f>
        <v/>
      </c>
      <c r="BF48" s="1771" t="str">
        <f t="shared" si="33"/>
        <v/>
      </c>
      <c r="BG48" s="1771" t="str">
        <f t="shared" si="33"/>
        <v/>
      </c>
      <c r="BH48" s="1771" t="str">
        <f t="shared" si="33"/>
        <v/>
      </c>
      <c r="BI48" s="1771" t="str">
        <f t="shared" si="33"/>
        <v/>
      </c>
      <c r="BJ48" s="3443" t="str">
        <f t="shared" si="33"/>
        <v/>
      </c>
      <c r="BK48" s="3437" t="str">
        <f t="shared" si="33"/>
        <v/>
      </c>
      <c r="BL48" s="1771" t="str">
        <f t="shared" si="33"/>
        <v/>
      </c>
      <c r="BM48" s="3442" t="str">
        <f t="shared" si="33"/>
        <v/>
      </c>
      <c r="BN48" s="1771" t="str">
        <f t="shared" si="33"/>
        <v/>
      </c>
      <c r="BO48" s="1771" t="str">
        <f t="shared" si="33"/>
        <v/>
      </c>
      <c r="BP48" s="1771" t="str">
        <f t="shared" si="33"/>
        <v/>
      </c>
      <c r="BQ48" s="1771">
        <f t="shared" si="33"/>
        <v>7.6485292703891771E-6</v>
      </c>
      <c r="BR48" s="3437" t="str">
        <f t="shared" si="34"/>
        <v/>
      </c>
      <c r="BS48" s="1771" t="str">
        <f t="shared" si="34"/>
        <v/>
      </c>
      <c r="BT48" s="1771" t="str">
        <f t="shared" si="34"/>
        <v/>
      </c>
      <c r="BU48" s="3442" t="str">
        <f t="shared" si="34"/>
        <v/>
      </c>
      <c r="BV48" s="1771" t="str">
        <f t="shared" si="34"/>
        <v/>
      </c>
      <c r="BW48" s="3442" t="str">
        <f t="shared" si="34"/>
        <v/>
      </c>
      <c r="BX48" s="3462"/>
      <c r="BY48" s="3439" t="str">
        <f>IF(L48=L319,"stop","")</f>
        <v/>
      </c>
      <c r="BZ48" s="3437" t="str">
        <f t="shared" si="35"/>
        <v/>
      </c>
      <c r="CA48" s="1771" t="str">
        <f t="shared" si="35"/>
        <v/>
      </c>
      <c r="CB48" s="1771" t="str">
        <f t="shared" si="35"/>
        <v/>
      </c>
      <c r="CC48" s="3442" t="str">
        <f t="shared" si="35"/>
        <v/>
      </c>
      <c r="CD48" s="1771" t="str">
        <f t="shared" si="35"/>
        <v/>
      </c>
      <c r="CE48" s="3437" t="str">
        <f t="shared" si="35"/>
        <v/>
      </c>
      <c r="CF48" s="1771" t="str">
        <f t="shared" si="35"/>
        <v/>
      </c>
      <c r="CG48" s="1771" t="str">
        <f t="shared" si="35"/>
        <v/>
      </c>
      <c r="CH48" s="3437" t="str">
        <f t="shared" si="35"/>
        <v/>
      </c>
      <c r="CI48" s="1771" t="str">
        <f t="shared" si="35"/>
        <v/>
      </c>
      <c r="CJ48" s="1771" t="str">
        <f t="shared" si="35"/>
        <v/>
      </c>
      <c r="CK48" s="3442">
        <f t="shared" si="35"/>
        <v>9.7650000000000002E-5</v>
      </c>
      <c r="CL48" s="3437" t="str">
        <f t="shared" si="36"/>
        <v/>
      </c>
      <c r="CM48" s="1771" t="str">
        <f t="shared" si="36"/>
        <v/>
      </c>
      <c r="CN48" s="1771" t="str">
        <f t="shared" si="36"/>
        <v/>
      </c>
      <c r="CO48" s="3442" t="str">
        <f t="shared" si="36"/>
        <v/>
      </c>
      <c r="CP48" s="1771" t="str">
        <f t="shared" si="36"/>
        <v/>
      </c>
      <c r="CQ48" s="3442" t="str">
        <f t="shared" si="36"/>
        <v/>
      </c>
      <c r="CR48" s="3462"/>
    </row>
    <row r="49" spans="1:96" s="3" customFormat="1" ht="22.5">
      <c r="A49" s="1838" t="s">
        <v>736</v>
      </c>
      <c r="B49" s="1775">
        <v>22</v>
      </c>
      <c r="C49" s="1775">
        <v>35.01</v>
      </c>
      <c r="D49" s="1775">
        <v>9.9999999999999995E-7</v>
      </c>
      <c r="E49" s="1796" t="s">
        <v>35</v>
      </c>
      <c r="F49" s="1775">
        <v>9.7E-5</v>
      </c>
      <c r="G49" s="1775" t="s">
        <v>695</v>
      </c>
      <c r="H49" s="1775">
        <v>1996</v>
      </c>
      <c r="I49" s="1807"/>
      <c r="J49" s="1775">
        <f t="shared" si="0"/>
        <v>35.01</v>
      </c>
      <c r="K49" s="1775">
        <v>9.9999999999999995E-7</v>
      </c>
      <c r="L49" s="1775" t="s">
        <v>35</v>
      </c>
      <c r="M49" s="1775">
        <v>9.7E-5</v>
      </c>
      <c r="N49" s="1788">
        <f t="shared" si="14"/>
        <v>9.8488578017961046E-6</v>
      </c>
      <c r="O49" s="1829">
        <f t="shared" si="15"/>
        <v>4.8999999999999998E-5</v>
      </c>
      <c r="P49" s="1776" t="s">
        <v>1088</v>
      </c>
      <c r="Q49" s="3" t="str">
        <f>IF(J49=J319,"stop","")</f>
        <v/>
      </c>
      <c r="R49" s="3437" t="str">
        <f t="shared" si="38"/>
        <v/>
      </c>
      <c r="S49" s="1771" t="str">
        <f t="shared" si="38"/>
        <v/>
      </c>
      <c r="T49" s="1771" t="str">
        <f t="shared" si="38"/>
        <v/>
      </c>
      <c r="U49" s="1771" t="str">
        <f t="shared" si="38"/>
        <v/>
      </c>
      <c r="V49" s="3443" t="str">
        <f t="shared" si="38"/>
        <v/>
      </c>
      <c r="W49" s="1771" t="str">
        <f t="shared" si="38"/>
        <v/>
      </c>
      <c r="X49" s="1771" t="str">
        <f t="shared" si="38"/>
        <v/>
      </c>
      <c r="Y49" s="1771" t="str">
        <f t="shared" si="38"/>
        <v/>
      </c>
      <c r="Z49" s="3437" t="str">
        <f t="shared" si="38"/>
        <v/>
      </c>
      <c r="AA49" s="1771" t="str">
        <f t="shared" si="38"/>
        <v/>
      </c>
      <c r="AB49" s="1771" t="str">
        <f t="shared" si="38"/>
        <v/>
      </c>
      <c r="AC49" s="3442">
        <f t="shared" si="38"/>
        <v>9.9999999999999995E-7</v>
      </c>
      <c r="AD49" s="1771" t="str">
        <f t="shared" si="38"/>
        <v/>
      </c>
      <c r="AE49" s="1771" t="str">
        <f t="shared" si="38"/>
        <v/>
      </c>
      <c r="AF49" s="1771" t="str">
        <f t="shared" si="38"/>
        <v/>
      </c>
      <c r="AG49" s="3442" t="str">
        <f t="shared" si="37"/>
        <v/>
      </c>
      <c r="AH49" s="1771" t="str">
        <f t="shared" si="37"/>
        <v/>
      </c>
      <c r="AI49" s="3442" t="str">
        <f t="shared" si="4"/>
        <v/>
      </c>
      <c r="AJ49" s="3462"/>
      <c r="AK49" s="3439" t="str">
        <f>IF(J49=J319,"stop","")</f>
        <v/>
      </c>
      <c r="AL49" s="3437" t="str">
        <f t="shared" ref="AL49:AW58" si="39">IF(AND($J49&gt;AL$4,$J49&lt;=AL$5,$P49=AL$6),$M49,"")</f>
        <v/>
      </c>
      <c r="AM49" s="1771" t="str">
        <f t="shared" si="39"/>
        <v/>
      </c>
      <c r="AN49" s="1771" t="str">
        <f t="shared" si="39"/>
        <v/>
      </c>
      <c r="AO49" s="1771" t="str">
        <f t="shared" si="39"/>
        <v/>
      </c>
      <c r="AP49" s="3443" t="str">
        <f t="shared" si="39"/>
        <v/>
      </c>
      <c r="AQ49" s="1771" t="str">
        <f t="shared" si="39"/>
        <v/>
      </c>
      <c r="AR49" s="1771" t="str">
        <f t="shared" si="39"/>
        <v/>
      </c>
      <c r="AS49" s="3442" t="str">
        <f t="shared" si="39"/>
        <v/>
      </c>
      <c r="AT49" s="1771" t="str">
        <f t="shared" si="39"/>
        <v/>
      </c>
      <c r="AU49" s="1771" t="str">
        <f t="shared" si="39"/>
        <v/>
      </c>
      <c r="AV49" s="1771" t="str">
        <f t="shared" si="39"/>
        <v/>
      </c>
      <c r="AW49" s="3442">
        <f t="shared" si="39"/>
        <v>9.7E-5</v>
      </c>
      <c r="AX49" s="1771" t="str">
        <f t="shared" ref="AX49:BC58" si="40">IF(AND($J49&gt;AX$4,$J49&lt;=AX$5,$P49=AX$6),$M49,"")</f>
        <v/>
      </c>
      <c r="AY49" s="1771" t="str">
        <f t="shared" si="40"/>
        <v/>
      </c>
      <c r="AZ49" s="1771" t="str">
        <f t="shared" si="40"/>
        <v/>
      </c>
      <c r="BA49" s="1771" t="str">
        <f t="shared" si="40"/>
        <v/>
      </c>
      <c r="BB49" s="3437" t="str">
        <f t="shared" si="40"/>
        <v/>
      </c>
      <c r="BC49" s="3443" t="str">
        <f t="shared" si="40"/>
        <v/>
      </c>
      <c r="BD49" s="3462"/>
      <c r="BE49" s="3440" t="str">
        <f>IF(J49=J319,"stop","")</f>
        <v/>
      </c>
      <c r="BF49" s="1771" t="str">
        <f t="shared" ref="BF49:BQ58" si="41">IF(AND($J49&gt;BF$4,$J49&lt;=BF$5,$P49=BF$6),$N49,"")</f>
        <v/>
      </c>
      <c r="BG49" s="1771" t="str">
        <f t="shared" si="41"/>
        <v/>
      </c>
      <c r="BH49" s="1771" t="str">
        <f t="shared" si="41"/>
        <v/>
      </c>
      <c r="BI49" s="1771" t="str">
        <f t="shared" si="41"/>
        <v/>
      </c>
      <c r="BJ49" s="3443" t="str">
        <f t="shared" si="41"/>
        <v/>
      </c>
      <c r="BK49" s="3437" t="str">
        <f t="shared" si="41"/>
        <v/>
      </c>
      <c r="BL49" s="1771" t="str">
        <f t="shared" si="41"/>
        <v/>
      </c>
      <c r="BM49" s="3442" t="str">
        <f t="shared" si="41"/>
        <v/>
      </c>
      <c r="BN49" s="1771" t="str">
        <f t="shared" si="41"/>
        <v/>
      </c>
      <c r="BO49" s="1771" t="str">
        <f t="shared" si="41"/>
        <v/>
      </c>
      <c r="BP49" s="1771" t="str">
        <f t="shared" si="41"/>
        <v/>
      </c>
      <c r="BQ49" s="1771">
        <f t="shared" si="41"/>
        <v>9.8488578017961046E-6</v>
      </c>
      <c r="BR49" s="3437" t="str">
        <f t="shared" ref="BR49:BW58" si="42">IF(AND($J49&gt;BR$4,$J49&lt;=BR$5,$P49=BR$6),$N49,"")</f>
        <v/>
      </c>
      <c r="BS49" s="1771" t="str">
        <f t="shared" si="42"/>
        <v/>
      </c>
      <c r="BT49" s="1771" t="str">
        <f t="shared" si="42"/>
        <v/>
      </c>
      <c r="BU49" s="3442" t="str">
        <f t="shared" si="42"/>
        <v/>
      </c>
      <c r="BV49" s="1771" t="str">
        <f t="shared" si="42"/>
        <v/>
      </c>
      <c r="BW49" s="3442" t="str">
        <f t="shared" si="42"/>
        <v/>
      </c>
      <c r="BX49" s="3462"/>
      <c r="BY49" s="3439" t="str">
        <f>IF(L49=L319,"stop","")</f>
        <v/>
      </c>
      <c r="BZ49" s="3437" t="str">
        <f t="shared" ref="BZ49:CK58" si="43">IF(AND($J49&gt;BZ$4,$J49&lt;=BZ$5,$P49=BZ$6),$O49,"")</f>
        <v/>
      </c>
      <c r="CA49" s="1771" t="str">
        <f t="shared" si="43"/>
        <v/>
      </c>
      <c r="CB49" s="1771" t="str">
        <f t="shared" si="43"/>
        <v/>
      </c>
      <c r="CC49" s="3442" t="str">
        <f t="shared" si="43"/>
        <v/>
      </c>
      <c r="CD49" s="1771" t="str">
        <f t="shared" si="43"/>
        <v/>
      </c>
      <c r="CE49" s="3437" t="str">
        <f t="shared" si="43"/>
        <v/>
      </c>
      <c r="CF49" s="1771" t="str">
        <f t="shared" si="43"/>
        <v/>
      </c>
      <c r="CG49" s="1771" t="str">
        <f t="shared" si="43"/>
        <v/>
      </c>
      <c r="CH49" s="3437" t="str">
        <f t="shared" si="43"/>
        <v/>
      </c>
      <c r="CI49" s="1771" t="str">
        <f t="shared" si="43"/>
        <v/>
      </c>
      <c r="CJ49" s="1771" t="str">
        <f t="shared" si="43"/>
        <v/>
      </c>
      <c r="CK49" s="3442">
        <f t="shared" si="43"/>
        <v>4.8999999999999998E-5</v>
      </c>
      <c r="CL49" s="3437" t="str">
        <f t="shared" ref="CL49:CQ58" si="44">IF(AND($J49&gt;CL$4,$J49&lt;=CL$5,$P49=CL$6),$O49,"")</f>
        <v/>
      </c>
      <c r="CM49" s="1771" t="str">
        <f t="shared" si="44"/>
        <v/>
      </c>
      <c r="CN49" s="1771" t="str">
        <f t="shared" si="44"/>
        <v/>
      </c>
      <c r="CO49" s="3442" t="str">
        <f t="shared" si="44"/>
        <v/>
      </c>
      <c r="CP49" s="1771" t="str">
        <f t="shared" si="44"/>
        <v/>
      </c>
      <c r="CQ49" s="3442" t="str">
        <f t="shared" si="44"/>
        <v/>
      </c>
      <c r="CR49" s="3462"/>
    </row>
    <row r="50" spans="1:96" s="3" customFormat="1">
      <c r="A50" s="1840" t="s">
        <v>716</v>
      </c>
      <c r="B50" s="1787" t="s">
        <v>737</v>
      </c>
      <c r="C50" s="1775"/>
      <c r="D50" s="1775"/>
      <c r="E50" s="1796"/>
      <c r="F50" s="1775"/>
      <c r="G50" s="1775"/>
      <c r="H50" s="1775"/>
      <c r="I50" s="1807"/>
      <c r="J50" s="1775"/>
      <c r="K50" s="1775"/>
      <c r="L50" s="1775"/>
      <c r="M50" s="1775"/>
      <c r="N50" s="1788">
        <f t="shared" si="14"/>
        <v>0</v>
      </c>
      <c r="O50" s="1829">
        <f t="shared" si="15"/>
        <v>0</v>
      </c>
      <c r="P50" s="1776" t="s">
        <v>1088</v>
      </c>
      <c r="Q50" s="3" t="str">
        <f>IF(J50=J319,"stop","")</f>
        <v/>
      </c>
      <c r="R50" s="3437" t="str">
        <f t="shared" si="38"/>
        <v/>
      </c>
      <c r="S50" s="1771" t="str">
        <f t="shared" si="38"/>
        <v/>
      </c>
      <c r="T50" s="1771" t="str">
        <f t="shared" si="38"/>
        <v/>
      </c>
      <c r="U50" s="1771" t="str">
        <f t="shared" si="38"/>
        <v/>
      </c>
      <c r="V50" s="3443" t="str">
        <f t="shared" si="38"/>
        <v/>
      </c>
      <c r="W50" s="1771" t="str">
        <f t="shared" si="38"/>
        <v/>
      </c>
      <c r="X50" s="1771" t="str">
        <f t="shared" si="38"/>
        <v/>
      </c>
      <c r="Y50" s="1771" t="str">
        <f t="shared" si="38"/>
        <v/>
      </c>
      <c r="Z50" s="3437" t="str">
        <f t="shared" si="38"/>
        <v/>
      </c>
      <c r="AA50" s="1771" t="str">
        <f t="shared" si="38"/>
        <v/>
      </c>
      <c r="AB50" s="1771" t="str">
        <f t="shared" si="38"/>
        <v/>
      </c>
      <c r="AC50" s="3442" t="str">
        <f t="shared" si="38"/>
        <v/>
      </c>
      <c r="AD50" s="1771" t="str">
        <f t="shared" si="38"/>
        <v/>
      </c>
      <c r="AE50" s="1771" t="str">
        <f t="shared" si="38"/>
        <v/>
      </c>
      <c r="AF50" s="1771" t="str">
        <f t="shared" si="38"/>
        <v/>
      </c>
      <c r="AG50" s="3442" t="str">
        <f t="shared" si="37"/>
        <v/>
      </c>
      <c r="AH50" s="1771" t="str">
        <f t="shared" si="37"/>
        <v/>
      </c>
      <c r="AI50" s="3442" t="str">
        <f t="shared" si="4"/>
        <v/>
      </c>
      <c r="AJ50" s="3462"/>
      <c r="AK50" s="3439" t="str">
        <f>IF(J50=J319,"stop","")</f>
        <v/>
      </c>
      <c r="AL50" s="3437" t="str">
        <f t="shared" si="39"/>
        <v/>
      </c>
      <c r="AM50" s="1771" t="str">
        <f t="shared" si="39"/>
        <v/>
      </c>
      <c r="AN50" s="1771" t="str">
        <f t="shared" si="39"/>
        <v/>
      </c>
      <c r="AO50" s="1771" t="str">
        <f t="shared" si="39"/>
        <v/>
      </c>
      <c r="AP50" s="3443" t="str">
        <f t="shared" si="39"/>
        <v/>
      </c>
      <c r="AQ50" s="1771" t="str">
        <f t="shared" si="39"/>
        <v/>
      </c>
      <c r="AR50" s="1771" t="str">
        <f t="shared" si="39"/>
        <v/>
      </c>
      <c r="AS50" s="3442" t="str">
        <f t="shared" si="39"/>
        <v/>
      </c>
      <c r="AT50" s="1771" t="str">
        <f t="shared" si="39"/>
        <v/>
      </c>
      <c r="AU50" s="1771" t="str">
        <f t="shared" si="39"/>
        <v/>
      </c>
      <c r="AV50" s="1771" t="str">
        <f t="shared" si="39"/>
        <v/>
      </c>
      <c r="AW50" s="3442" t="str">
        <f t="shared" si="39"/>
        <v/>
      </c>
      <c r="AX50" s="1771" t="str">
        <f t="shared" si="40"/>
        <v/>
      </c>
      <c r="AY50" s="1771" t="str">
        <f t="shared" si="40"/>
        <v/>
      </c>
      <c r="AZ50" s="1771" t="str">
        <f t="shared" si="40"/>
        <v/>
      </c>
      <c r="BA50" s="1771" t="str">
        <f t="shared" si="40"/>
        <v/>
      </c>
      <c r="BB50" s="3437" t="str">
        <f t="shared" si="40"/>
        <v/>
      </c>
      <c r="BC50" s="3443" t="str">
        <f t="shared" si="40"/>
        <v/>
      </c>
      <c r="BD50" s="3462"/>
      <c r="BE50" s="3440" t="str">
        <f>IF(J50=J319,"stop","")</f>
        <v/>
      </c>
      <c r="BF50" s="1771" t="str">
        <f t="shared" si="41"/>
        <v/>
      </c>
      <c r="BG50" s="1771" t="str">
        <f t="shared" si="41"/>
        <v/>
      </c>
      <c r="BH50" s="1771" t="str">
        <f t="shared" si="41"/>
        <v/>
      </c>
      <c r="BI50" s="1771" t="str">
        <f t="shared" si="41"/>
        <v/>
      </c>
      <c r="BJ50" s="3443" t="str">
        <f t="shared" si="41"/>
        <v/>
      </c>
      <c r="BK50" s="3437" t="str">
        <f t="shared" si="41"/>
        <v/>
      </c>
      <c r="BL50" s="1771" t="str">
        <f t="shared" si="41"/>
        <v/>
      </c>
      <c r="BM50" s="3442" t="str">
        <f t="shared" si="41"/>
        <v/>
      </c>
      <c r="BN50" s="1771" t="str">
        <f t="shared" si="41"/>
        <v/>
      </c>
      <c r="BO50" s="1771" t="str">
        <f t="shared" si="41"/>
        <v/>
      </c>
      <c r="BP50" s="1771" t="str">
        <f t="shared" si="41"/>
        <v/>
      </c>
      <c r="BQ50" s="1771" t="str">
        <f t="shared" si="41"/>
        <v/>
      </c>
      <c r="BR50" s="3437" t="str">
        <f t="shared" si="42"/>
        <v/>
      </c>
      <c r="BS50" s="1771" t="str">
        <f t="shared" si="42"/>
        <v/>
      </c>
      <c r="BT50" s="1771" t="str">
        <f t="shared" si="42"/>
        <v/>
      </c>
      <c r="BU50" s="3442" t="str">
        <f t="shared" si="42"/>
        <v/>
      </c>
      <c r="BV50" s="1771" t="str">
        <f t="shared" si="42"/>
        <v/>
      </c>
      <c r="BW50" s="3442" t="str">
        <f t="shared" si="42"/>
        <v/>
      </c>
      <c r="BX50" s="3462"/>
      <c r="BY50" s="3439" t="str">
        <f>IF(L50=L319,"stop","")</f>
        <v>stop</v>
      </c>
      <c r="BZ50" s="3437" t="str">
        <f t="shared" si="43"/>
        <v/>
      </c>
      <c r="CA50" s="1771" t="str">
        <f t="shared" si="43"/>
        <v/>
      </c>
      <c r="CB50" s="1771" t="str">
        <f t="shared" si="43"/>
        <v/>
      </c>
      <c r="CC50" s="3442" t="str">
        <f t="shared" si="43"/>
        <v/>
      </c>
      <c r="CD50" s="1771" t="str">
        <f t="shared" si="43"/>
        <v/>
      </c>
      <c r="CE50" s="3437" t="str">
        <f t="shared" si="43"/>
        <v/>
      </c>
      <c r="CF50" s="1771" t="str">
        <f t="shared" si="43"/>
        <v/>
      </c>
      <c r="CG50" s="1771" t="str">
        <f t="shared" si="43"/>
        <v/>
      </c>
      <c r="CH50" s="3437" t="str">
        <f t="shared" si="43"/>
        <v/>
      </c>
      <c r="CI50" s="1771" t="str">
        <f t="shared" si="43"/>
        <v/>
      </c>
      <c r="CJ50" s="1771" t="str">
        <f t="shared" si="43"/>
        <v/>
      </c>
      <c r="CK50" s="3442" t="str">
        <f t="shared" si="43"/>
        <v/>
      </c>
      <c r="CL50" s="3437" t="str">
        <f t="shared" si="44"/>
        <v/>
      </c>
      <c r="CM50" s="1771" t="str">
        <f t="shared" si="44"/>
        <v/>
      </c>
      <c r="CN50" s="1771" t="str">
        <f t="shared" si="44"/>
        <v/>
      </c>
      <c r="CO50" s="3442" t="str">
        <f t="shared" si="44"/>
        <v/>
      </c>
      <c r="CP50" s="1771" t="str">
        <f t="shared" si="44"/>
        <v/>
      </c>
      <c r="CQ50" s="3442" t="str">
        <f t="shared" si="44"/>
        <v/>
      </c>
      <c r="CR50" s="3462"/>
    </row>
    <row r="51" spans="1:96" s="3" customFormat="1">
      <c r="A51" s="1838" t="s">
        <v>738</v>
      </c>
      <c r="B51" s="1775">
        <v>10</v>
      </c>
      <c r="C51" s="1775">
        <v>11.69</v>
      </c>
      <c r="D51" s="1775">
        <v>0.01</v>
      </c>
      <c r="E51" s="1796" t="s">
        <v>35</v>
      </c>
      <c r="F51" s="1775">
        <v>0.8</v>
      </c>
      <c r="G51" s="1775" t="s">
        <v>695</v>
      </c>
      <c r="H51" s="1775">
        <v>1996</v>
      </c>
      <c r="I51" s="1807"/>
      <c r="J51" s="1775">
        <f t="shared" si="0"/>
        <v>11.69</v>
      </c>
      <c r="K51" s="1775">
        <v>0.01</v>
      </c>
      <c r="L51" s="1775" t="s">
        <v>35</v>
      </c>
      <c r="M51" s="1775">
        <v>0.8</v>
      </c>
      <c r="N51" s="1788">
        <f t="shared" si="14"/>
        <v>8.9442719099991588E-2</v>
      </c>
      <c r="O51" s="1829">
        <f t="shared" si="15"/>
        <v>0.40500000000000003</v>
      </c>
      <c r="P51" s="1776" t="s">
        <v>1088</v>
      </c>
      <c r="Q51" s="3" t="str">
        <f>IF(J51=J319,"stop","")</f>
        <v/>
      </c>
      <c r="R51" s="3437" t="str">
        <f t="shared" si="38"/>
        <v/>
      </c>
      <c r="S51" s="1771" t="str">
        <f t="shared" si="38"/>
        <v/>
      </c>
      <c r="T51" s="1771" t="str">
        <f t="shared" si="38"/>
        <v/>
      </c>
      <c r="U51" s="1771" t="str">
        <f t="shared" si="38"/>
        <v/>
      </c>
      <c r="V51" s="3443" t="str">
        <f t="shared" si="38"/>
        <v/>
      </c>
      <c r="W51" s="1771" t="str">
        <f t="shared" si="38"/>
        <v/>
      </c>
      <c r="X51" s="1771" t="str">
        <f t="shared" si="38"/>
        <v/>
      </c>
      <c r="Y51" s="1771" t="str">
        <f t="shared" si="38"/>
        <v/>
      </c>
      <c r="Z51" s="3437">
        <f t="shared" si="38"/>
        <v>0.01</v>
      </c>
      <c r="AA51" s="1771" t="str">
        <f t="shared" si="38"/>
        <v/>
      </c>
      <c r="AB51" s="1771" t="str">
        <f t="shared" si="38"/>
        <v/>
      </c>
      <c r="AC51" s="3442" t="str">
        <f t="shared" si="38"/>
        <v/>
      </c>
      <c r="AD51" s="1771" t="str">
        <f t="shared" si="38"/>
        <v/>
      </c>
      <c r="AE51" s="1771" t="str">
        <f t="shared" si="38"/>
        <v/>
      </c>
      <c r="AF51" s="1771" t="str">
        <f t="shared" si="38"/>
        <v/>
      </c>
      <c r="AG51" s="3442" t="str">
        <f t="shared" si="37"/>
        <v/>
      </c>
      <c r="AH51" s="1771" t="str">
        <f t="shared" si="37"/>
        <v/>
      </c>
      <c r="AI51" s="3442" t="str">
        <f t="shared" si="4"/>
        <v/>
      </c>
      <c r="AJ51" s="3462"/>
      <c r="AK51" s="3439" t="str">
        <f>IF(J51=J319,"stop","")</f>
        <v/>
      </c>
      <c r="AL51" s="3437" t="str">
        <f t="shared" si="39"/>
        <v/>
      </c>
      <c r="AM51" s="1771" t="str">
        <f t="shared" si="39"/>
        <v/>
      </c>
      <c r="AN51" s="1771" t="str">
        <f t="shared" si="39"/>
        <v/>
      </c>
      <c r="AO51" s="1771" t="str">
        <f t="shared" si="39"/>
        <v/>
      </c>
      <c r="AP51" s="3443" t="str">
        <f t="shared" si="39"/>
        <v/>
      </c>
      <c r="AQ51" s="1771" t="str">
        <f t="shared" si="39"/>
        <v/>
      </c>
      <c r="AR51" s="1771" t="str">
        <f t="shared" si="39"/>
        <v/>
      </c>
      <c r="AS51" s="3442" t="str">
        <f t="shared" si="39"/>
        <v/>
      </c>
      <c r="AT51" s="1771">
        <f t="shared" si="39"/>
        <v>0.8</v>
      </c>
      <c r="AU51" s="1771" t="str">
        <f t="shared" si="39"/>
        <v/>
      </c>
      <c r="AV51" s="1771" t="str">
        <f t="shared" si="39"/>
        <v/>
      </c>
      <c r="AW51" s="3442" t="str">
        <f t="shared" si="39"/>
        <v/>
      </c>
      <c r="AX51" s="1771" t="str">
        <f t="shared" si="40"/>
        <v/>
      </c>
      <c r="AY51" s="1771" t="str">
        <f t="shared" si="40"/>
        <v/>
      </c>
      <c r="AZ51" s="1771" t="str">
        <f t="shared" si="40"/>
        <v/>
      </c>
      <c r="BA51" s="1771" t="str">
        <f t="shared" si="40"/>
        <v/>
      </c>
      <c r="BB51" s="3437" t="str">
        <f t="shared" si="40"/>
        <v/>
      </c>
      <c r="BC51" s="3443" t="str">
        <f t="shared" si="40"/>
        <v/>
      </c>
      <c r="BD51" s="3462"/>
      <c r="BE51" s="3440" t="str">
        <f>IF(J51=J319,"stop","")</f>
        <v/>
      </c>
      <c r="BF51" s="1771" t="str">
        <f t="shared" si="41"/>
        <v/>
      </c>
      <c r="BG51" s="1771" t="str">
        <f t="shared" si="41"/>
        <v/>
      </c>
      <c r="BH51" s="1771" t="str">
        <f t="shared" si="41"/>
        <v/>
      </c>
      <c r="BI51" s="1771" t="str">
        <f t="shared" si="41"/>
        <v/>
      </c>
      <c r="BJ51" s="3443" t="str">
        <f t="shared" si="41"/>
        <v/>
      </c>
      <c r="BK51" s="3437" t="str">
        <f t="shared" si="41"/>
        <v/>
      </c>
      <c r="BL51" s="1771" t="str">
        <f t="shared" si="41"/>
        <v/>
      </c>
      <c r="BM51" s="3442" t="str">
        <f t="shared" si="41"/>
        <v/>
      </c>
      <c r="BN51" s="1771">
        <f t="shared" si="41"/>
        <v>8.9442719099991588E-2</v>
      </c>
      <c r="BO51" s="1771" t="str">
        <f t="shared" si="41"/>
        <v/>
      </c>
      <c r="BP51" s="1771" t="str">
        <f t="shared" si="41"/>
        <v/>
      </c>
      <c r="BQ51" s="1771" t="str">
        <f t="shared" si="41"/>
        <v/>
      </c>
      <c r="BR51" s="3437" t="str">
        <f t="shared" si="42"/>
        <v/>
      </c>
      <c r="BS51" s="1771" t="str">
        <f t="shared" si="42"/>
        <v/>
      </c>
      <c r="BT51" s="1771" t="str">
        <f t="shared" si="42"/>
        <v/>
      </c>
      <c r="BU51" s="3442" t="str">
        <f t="shared" si="42"/>
        <v/>
      </c>
      <c r="BV51" s="1771" t="str">
        <f t="shared" si="42"/>
        <v/>
      </c>
      <c r="BW51" s="3442" t="str">
        <f t="shared" si="42"/>
        <v/>
      </c>
      <c r="BX51" s="3462"/>
      <c r="BY51" s="3439" t="str">
        <f>IF(L51=L319,"stop","")</f>
        <v/>
      </c>
      <c r="BZ51" s="3437" t="str">
        <f t="shared" si="43"/>
        <v/>
      </c>
      <c r="CA51" s="1771" t="str">
        <f t="shared" si="43"/>
        <v/>
      </c>
      <c r="CB51" s="1771" t="str">
        <f t="shared" si="43"/>
        <v/>
      </c>
      <c r="CC51" s="3442" t="str">
        <f t="shared" si="43"/>
        <v/>
      </c>
      <c r="CD51" s="1771" t="str">
        <f t="shared" si="43"/>
        <v/>
      </c>
      <c r="CE51" s="3437" t="str">
        <f t="shared" si="43"/>
        <v/>
      </c>
      <c r="CF51" s="1771" t="str">
        <f t="shared" si="43"/>
        <v/>
      </c>
      <c r="CG51" s="1771" t="str">
        <f t="shared" si="43"/>
        <v/>
      </c>
      <c r="CH51" s="3437">
        <f t="shared" si="43"/>
        <v>0.40500000000000003</v>
      </c>
      <c r="CI51" s="1771" t="str">
        <f t="shared" si="43"/>
        <v/>
      </c>
      <c r="CJ51" s="1771" t="str">
        <f t="shared" si="43"/>
        <v/>
      </c>
      <c r="CK51" s="3442" t="str">
        <f t="shared" si="43"/>
        <v/>
      </c>
      <c r="CL51" s="3437" t="str">
        <f t="shared" si="44"/>
        <v/>
      </c>
      <c r="CM51" s="1771" t="str">
        <f t="shared" si="44"/>
        <v/>
      </c>
      <c r="CN51" s="1771" t="str">
        <f t="shared" si="44"/>
        <v/>
      </c>
      <c r="CO51" s="3442" t="str">
        <f t="shared" si="44"/>
        <v/>
      </c>
      <c r="CP51" s="1771" t="str">
        <f t="shared" si="44"/>
        <v/>
      </c>
      <c r="CQ51" s="3442" t="str">
        <f t="shared" si="44"/>
        <v/>
      </c>
      <c r="CR51" s="3462"/>
    </row>
    <row r="52" spans="1:96" s="3" customFormat="1">
      <c r="A52" s="1838" t="s">
        <v>739</v>
      </c>
      <c r="B52" s="1775">
        <v>11</v>
      </c>
      <c r="C52" s="1775">
        <v>12.99</v>
      </c>
      <c r="D52" s="1775">
        <v>1E-3</v>
      </c>
      <c r="E52" s="1796" t="s">
        <v>35</v>
      </c>
      <c r="F52" s="1775">
        <v>0.81</v>
      </c>
      <c r="G52" s="1775" t="s">
        <v>695</v>
      </c>
      <c r="H52" s="1775">
        <v>1996</v>
      </c>
      <c r="I52" s="1807"/>
      <c r="J52" s="1775">
        <f t="shared" si="0"/>
        <v>12.99</v>
      </c>
      <c r="K52" s="1775">
        <v>1E-3</v>
      </c>
      <c r="L52" s="1775" t="s">
        <v>35</v>
      </c>
      <c r="M52" s="1775">
        <v>0.81</v>
      </c>
      <c r="N52" s="1788">
        <f t="shared" si="14"/>
        <v>2.8460498941515415E-2</v>
      </c>
      <c r="O52" s="1829">
        <f t="shared" si="15"/>
        <v>0.40550000000000003</v>
      </c>
      <c r="P52" s="1776" t="s">
        <v>1088</v>
      </c>
      <c r="Q52" s="3" t="str">
        <f>IF(J52=J319,"stop","")</f>
        <v/>
      </c>
      <c r="R52" s="3437" t="str">
        <f t="shared" si="38"/>
        <v/>
      </c>
      <c r="S52" s="1771" t="str">
        <f t="shared" si="38"/>
        <v/>
      </c>
      <c r="T52" s="1771" t="str">
        <f t="shared" si="38"/>
        <v/>
      </c>
      <c r="U52" s="1771" t="str">
        <f t="shared" si="38"/>
        <v/>
      </c>
      <c r="V52" s="3443" t="str">
        <f t="shared" si="38"/>
        <v/>
      </c>
      <c r="W52" s="1771" t="str">
        <f t="shared" si="38"/>
        <v/>
      </c>
      <c r="X52" s="1771" t="str">
        <f t="shared" si="38"/>
        <v/>
      </c>
      <c r="Y52" s="1771" t="str">
        <f t="shared" si="38"/>
        <v/>
      </c>
      <c r="Z52" s="3437" t="str">
        <f t="shared" si="38"/>
        <v/>
      </c>
      <c r="AA52" s="1771">
        <f t="shared" si="38"/>
        <v>1E-3</v>
      </c>
      <c r="AB52" s="1771" t="str">
        <f t="shared" si="38"/>
        <v/>
      </c>
      <c r="AC52" s="3442" t="str">
        <f t="shared" si="38"/>
        <v/>
      </c>
      <c r="AD52" s="1771" t="str">
        <f t="shared" si="38"/>
        <v/>
      </c>
      <c r="AE52" s="1771" t="str">
        <f t="shared" si="38"/>
        <v/>
      </c>
      <c r="AF52" s="1771" t="str">
        <f t="shared" si="38"/>
        <v/>
      </c>
      <c r="AG52" s="3442" t="str">
        <f t="shared" si="37"/>
        <v/>
      </c>
      <c r="AH52" s="1771" t="str">
        <f t="shared" si="37"/>
        <v/>
      </c>
      <c r="AI52" s="3442" t="str">
        <f t="shared" si="4"/>
        <v/>
      </c>
      <c r="AJ52" s="3462"/>
      <c r="AK52" s="3439" t="str">
        <f>IF(J52=J319,"stop","")</f>
        <v/>
      </c>
      <c r="AL52" s="3437" t="str">
        <f t="shared" si="39"/>
        <v/>
      </c>
      <c r="AM52" s="1771" t="str">
        <f t="shared" si="39"/>
        <v/>
      </c>
      <c r="AN52" s="1771" t="str">
        <f t="shared" si="39"/>
        <v/>
      </c>
      <c r="AO52" s="1771" t="str">
        <f t="shared" si="39"/>
        <v/>
      </c>
      <c r="AP52" s="3443" t="str">
        <f t="shared" si="39"/>
        <v/>
      </c>
      <c r="AQ52" s="1771" t="str">
        <f t="shared" si="39"/>
        <v/>
      </c>
      <c r="AR52" s="1771" t="str">
        <f t="shared" si="39"/>
        <v/>
      </c>
      <c r="AS52" s="3442" t="str">
        <f t="shared" si="39"/>
        <v/>
      </c>
      <c r="AT52" s="1771" t="str">
        <f t="shared" si="39"/>
        <v/>
      </c>
      <c r="AU52" s="1771">
        <f t="shared" si="39"/>
        <v>0.81</v>
      </c>
      <c r="AV52" s="1771" t="str">
        <f t="shared" si="39"/>
        <v/>
      </c>
      <c r="AW52" s="3442" t="str">
        <f t="shared" si="39"/>
        <v/>
      </c>
      <c r="AX52" s="1771" t="str">
        <f t="shared" si="40"/>
        <v/>
      </c>
      <c r="AY52" s="1771" t="str">
        <f t="shared" si="40"/>
        <v/>
      </c>
      <c r="AZ52" s="1771" t="str">
        <f t="shared" si="40"/>
        <v/>
      </c>
      <c r="BA52" s="1771" t="str">
        <f t="shared" si="40"/>
        <v/>
      </c>
      <c r="BB52" s="3437" t="str">
        <f t="shared" si="40"/>
        <v/>
      </c>
      <c r="BC52" s="3443" t="str">
        <f t="shared" si="40"/>
        <v/>
      </c>
      <c r="BD52" s="3462"/>
      <c r="BE52" s="3440" t="str">
        <f>IF(J52=J319,"stop","")</f>
        <v/>
      </c>
      <c r="BF52" s="1771" t="str">
        <f t="shared" si="41"/>
        <v/>
      </c>
      <c r="BG52" s="1771" t="str">
        <f t="shared" si="41"/>
        <v/>
      </c>
      <c r="BH52" s="1771" t="str">
        <f t="shared" si="41"/>
        <v/>
      </c>
      <c r="BI52" s="1771" t="str">
        <f t="shared" si="41"/>
        <v/>
      </c>
      <c r="BJ52" s="3443" t="str">
        <f t="shared" si="41"/>
        <v/>
      </c>
      <c r="BK52" s="3437" t="str">
        <f t="shared" si="41"/>
        <v/>
      </c>
      <c r="BL52" s="1771" t="str">
        <f t="shared" si="41"/>
        <v/>
      </c>
      <c r="BM52" s="3442" t="str">
        <f t="shared" si="41"/>
        <v/>
      </c>
      <c r="BN52" s="1771" t="str">
        <f t="shared" si="41"/>
        <v/>
      </c>
      <c r="BO52" s="1771">
        <f t="shared" si="41"/>
        <v>2.8460498941515415E-2</v>
      </c>
      <c r="BP52" s="1771" t="str">
        <f t="shared" si="41"/>
        <v/>
      </c>
      <c r="BQ52" s="1771" t="str">
        <f t="shared" si="41"/>
        <v/>
      </c>
      <c r="BR52" s="3437" t="str">
        <f t="shared" si="42"/>
        <v/>
      </c>
      <c r="BS52" s="1771" t="str">
        <f t="shared" si="42"/>
        <v/>
      </c>
      <c r="BT52" s="1771" t="str">
        <f t="shared" si="42"/>
        <v/>
      </c>
      <c r="BU52" s="3442" t="str">
        <f t="shared" si="42"/>
        <v/>
      </c>
      <c r="BV52" s="1771" t="str">
        <f t="shared" si="42"/>
        <v/>
      </c>
      <c r="BW52" s="3442" t="str">
        <f t="shared" si="42"/>
        <v/>
      </c>
      <c r="BX52" s="3462"/>
      <c r="BY52" s="3439" t="str">
        <f>IF(L52=L319,"stop","")</f>
        <v/>
      </c>
      <c r="BZ52" s="3437" t="str">
        <f t="shared" si="43"/>
        <v/>
      </c>
      <c r="CA52" s="1771" t="str">
        <f t="shared" si="43"/>
        <v/>
      </c>
      <c r="CB52" s="1771" t="str">
        <f t="shared" si="43"/>
        <v/>
      </c>
      <c r="CC52" s="3442" t="str">
        <f t="shared" si="43"/>
        <v/>
      </c>
      <c r="CD52" s="1771" t="str">
        <f t="shared" si="43"/>
        <v/>
      </c>
      <c r="CE52" s="3437" t="str">
        <f t="shared" si="43"/>
        <v/>
      </c>
      <c r="CF52" s="1771" t="str">
        <f t="shared" si="43"/>
        <v/>
      </c>
      <c r="CG52" s="1771" t="str">
        <f t="shared" si="43"/>
        <v/>
      </c>
      <c r="CH52" s="3437" t="str">
        <f t="shared" si="43"/>
        <v/>
      </c>
      <c r="CI52" s="1771">
        <f t="shared" si="43"/>
        <v>0.40550000000000003</v>
      </c>
      <c r="CJ52" s="1771" t="str">
        <f t="shared" si="43"/>
        <v/>
      </c>
      <c r="CK52" s="3442" t="str">
        <f t="shared" si="43"/>
        <v/>
      </c>
      <c r="CL52" s="3437" t="str">
        <f t="shared" si="44"/>
        <v/>
      </c>
      <c r="CM52" s="1771" t="str">
        <f t="shared" si="44"/>
        <v/>
      </c>
      <c r="CN52" s="1771" t="str">
        <f t="shared" si="44"/>
        <v/>
      </c>
      <c r="CO52" s="3442" t="str">
        <f t="shared" si="44"/>
        <v/>
      </c>
      <c r="CP52" s="1771" t="str">
        <f t="shared" si="44"/>
        <v/>
      </c>
      <c r="CQ52" s="3442" t="str">
        <f t="shared" si="44"/>
        <v/>
      </c>
      <c r="CR52" s="3462"/>
    </row>
    <row r="53" spans="1:96" s="3" customFormat="1">
      <c r="A53" s="1838" t="s">
        <v>740</v>
      </c>
      <c r="B53" s="1775">
        <v>11</v>
      </c>
      <c r="C53" s="1775">
        <v>12.84</v>
      </c>
      <c r="D53" s="1775">
        <v>1E-3</v>
      </c>
      <c r="E53" s="1796" t="s">
        <v>35</v>
      </c>
      <c r="F53" s="1775">
        <v>1.49</v>
      </c>
      <c r="G53" s="1775" t="s">
        <v>695</v>
      </c>
      <c r="H53" s="1775">
        <v>1996</v>
      </c>
      <c r="I53" s="1807"/>
      <c r="J53" s="1775">
        <f t="shared" si="0"/>
        <v>12.84</v>
      </c>
      <c r="K53" s="1775">
        <v>1E-3</v>
      </c>
      <c r="L53" s="1775" t="s">
        <v>35</v>
      </c>
      <c r="M53" s="1775">
        <v>1.49</v>
      </c>
      <c r="N53" s="1788">
        <f t="shared" si="14"/>
        <v>3.8600518131237563E-2</v>
      </c>
      <c r="O53" s="1829">
        <f t="shared" si="15"/>
        <v>0.74549999999999994</v>
      </c>
      <c r="P53" s="1776" t="s">
        <v>1088</v>
      </c>
      <c r="Q53" s="3" t="str">
        <f>IF(J53=J319,"stop","")</f>
        <v/>
      </c>
      <c r="R53" s="3437" t="str">
        <f t="shared" si="38"/>
        <v/>
      </c>
      <c r="S53" s="1771" t="str">
        <f t="shared" si="38"/>
        <v/>
      </c>
      <c r="T53" s="1771" t="str">
        <f t="shared" si="38"/>
        <v/>
      </c>
      <c r="U53" s="1771" t="str">
        <f t="shared" si="38"/>
        <v/>
      </c>
      <c r="V53" s="3443" t="str">
        <f t="shared" si="38"/>
        <v/>
      </c>
      <c r="W53" s="1771" t="str">
        <f t="shared" si="38"/>
        <v/>
      </c>
      <c r="X53" s="1771" t="str">
        <f t="shared" si="38"/>
        <v/>
      </c>
      <c r="Y53" s="1771" t="str">
        <f t="shared" si="38"/>
        <v/>
      </c>
      <c r="Z53" s="3437" t="str">
        <f t="shared" si="38"/>
        <v/>
      </c>
      <c r="AA53" s="1771">
        <f t="shared" si="38"/>
        <v>1E-3</v>
      </c>
      <c r="AB53" s="1771" t="str">
        <f t="shared" si="38"/>
        <v/>
      </c>
      <c r="AC53" s="3442" t="str">
        <f t="shared" si="38"/>
        <v/>
      </c>
      <c r="AD53" s="1771" t="str">
        <f t="shared" si="38"/>
        <v/>
      </c>
      <c r="AE53" s="1771" t="str">
        <f t="shared" si="38"/>
        <v/>
      </c>
      <c r="AF53" s="1771" t="str">
        <f t="shared" si="38"/>
        <v/>
      </c>
      <c r="AG53" s="3442" t="str">
        <f t="shared" si="37"/>
        <v/>
      </c>
      <c r="AH53" s="1771" t="str">
        <f t="shared" si="37"/>
        <v/>
      </c>
      <c r="AI53" s="3442" t="str">
        <f t="shared" si="4"/>
        <v/>
      </c>
      <c r="AJ53" s="3462"/>
      <c r="AK53" s="3439" t="str">
        <f>IF(J53=J319,"stop","")</f>
        <v/>
      </c>
      <c r="AL53" s="3437" t="str">
        <f t="shared" si="39"/>
        <v/>
      </c>
      <c r="AM53" s="1771" t="str">
        <f t="shared" si="39"/>
        <v/>
      </c>
      <c r="AN53" s="1771" t="str">
        <f t="shared" si="39"/>
        <v/>
      </c>
      <c r="AO53" s="1771" t="str">
        <f t="shared" si="39"/>
        <v/>
      </c>
      <c r="AP53" s="3443" t="str">
        <f t="shared" si="39"/>
        <v/>
      </c>
      <c r="AQ53" s="1771" t="str">
        <f t="shared" si="39"/>
        <v/>
      </c>
      <c r="AR53" s="1771" t="str">
        <f t="shared" si="39"/>
        <v/>
      </c>
      <c r="AS53" s="3442" t="str">
        <f t="shared" si="39"/>
        <v/>
      </c>
      <c r="AT53" s="1771" t="str">
        <f t="shared" si="39"/>
        <v/>
      </c>
      <c r="AU53" s="1771">
        <f t="shared" si="39"/>
        <v>1.49</v>
      </c>
      <c r="AV53" s="1771" t="str">
        <f t="shared" si="39"/>
        <v/>
      </c>
      <c r="AW53" s="3442" t="str">
        <f t="shared" si="39"/>
        <v/>
      </c>
      <c r="AX53" s="1771" t="str">
        <f t="shared" si="40"/>
        <v/>
      </c>
      <c r="AY53" s="1771" t="str">
        <f t="shared" si="40"/>
        <v/>
      </c>
      <c r="AZ53" s="1771" t="str">
        <f t="shared" si="40"/>
        <v/>
      </c>
      <c r="BA53" s="1771" t="str">
        <f t="shared" si="40"/>
        <v/>
      </c>
      <c r="BB53" s="3437" t="str">
        <f t="shared" si="40"/>
        <v/>
      </c>
      <c r="BC53" s="3443" t="str">
        <f t="shared" si="40"/>
        <v/>
      </c>
      <c r="BD53" s="3462"/>
      <c r="BE53" s="3440" t="str">
        <f>IF(J53=J319,"stop","")</f>
        <v/>
      </c>
      <c r="BF53" s="1771" t="str">
        <f t="shared" si="41"/>
        <v/>
      </c>
      <c r="BG53" s="1771" t="str">
        <f t="shared" si="41"/>
        <v/>
      </c>
      <c r="BH53" s="1771" t="str">
        <f t="shared" si="41"/>
        <v/>
      </c>
      <c r="BI53" s="1771" t="str">
        <f t="shared" si="41"/>
        <v/>
      </c>
      <c r="BJ53" s="3443" t="str">
        <f t="shared" si="41"/>
        <v/>
      </c>
      <c r="BK53" s="3437" t="str">
        <f t="shared" si="41"/>
        <v/>
      </c>
      <c r="BL53" s="1771" t="str">
        <f t="shared" si="41"/>
        <v/>
      </c>
      <c r="BM53" s="3442" t="str">
        <f t="shared" si="41"/>
        <v/>
      </c>
      <c r="BN53" s="1771" t="str">
        <f t="shared" si="41"/>
        <v/>
      </c>
      <c r="BO53" s="1771">
        <f t="shared" si="41"/>
        <v>3.8600518131237563E-2</v>
      </c>
      <c r="BP53" s="1771" t="str">
        <f t="shared" si="41"/>
        <v/>
      </c>
      <c r="BQ53" s="1771" t="str">
        <f t="shared" si="41"/>
        <v/>
      </c>
      <c r="BR53" s="3437" t="str">
        <f t="shared" si="42"/>
        <v/>
      </c>
      <c r="BS53" s="1771" t="str">
        <f t="shared" si="42"/>
        <v/>
      </c>
      <c r="BT53" s="1771" t="str">
        <f t="shared" si="42"/>
        <v/>
      </c>
      <c r="BU53" s="3442" t="str">
        <f t="shared" si="42"/>
        <v/>
      </c>
      <c r="BV53" s="1771" t="str">
        <f t="shared" si="42"/>
        <v/>
      </c>
      <c r="BW53" s="3442" t="str">
        <f t="shared" si="42"/>
        <v/>
      </c>
      <c r="BX53" s="3462"/>
      <c r="BY53" s="3439" t="str">
        <f>IF(L53=L319,"stop","")</f>
        <v/>
      </c>
      <c r="BZ53" s="3437" t="str">
        <f t="shared" si="43"/>
        <v/>
      </c>
      <c r="CA53" s="1771" t="str">
        <f t="shared" si="43"/>
        <v/>
      </c>
      <c r="CB53" s="1771" t="str">
        <f t="shared" si="43"/>
        <v/>
      </c>
      <c r="CC53" s="3442" t="str">
        <f t="shared" si="43"/>
        <v/>
      </c>
      <c r="CD53" s="1771" t="str">
        <f t="shared" si="43"/>
        <v/>
      </c>
      <c r="CE53" s="3437" t="str">
        <f t="shared" si="43"/>
        <v/>
      </c>
      <c r="CF53" s="1771" t="str">
        <f t="shared" si="43"/>
        <v/>
      </c>
      <c r="CG53" s="1771" t="str">
        <f t="shared" si="43"/>
        <v/>
      </c>
      <c r="CH53" s="3437" t="str">
        <f t="shared" si="43"/>
        <v/>
      </c>
      <c r="CI53" s="1771">
        <f t="shared" si="43"/>
        <v>0.74549999999999994</v>
      </c>
      <c r="CJ53" s="1771" t="str">
        <f t="shared" si="43"/>
        <v/>
      </c>
      <c r="CK53" s="3442" t="str">
        <f t="shared" si="43"/>
        <v/>
      </c>
      <c r="CL53" s="3437" t="str">
        <f t="shared" si="44"/>
        <v/>
      </c>
      <c r="CM53" s="1771" t="str">
        <f t="shared" si="44"/>
        <v/>
      </c>
      <c r="CN53" s="1771" t="str">
        <f t="shared" si="44"/>
        <v/>
      </c>
      <c r="CO53" s="3442" t="str">
        <f t="shared" si="44"/>
        <v/>
      </c>
      <c r="CP53" s="1771" t="str">
        <f t="shared" si="44"/>
        <v/>
      </c>
      <c r="CQ53" s="3442" t="str">
        <f t="shared" si="44"/>
        <v/>
      </c>
      <c r="CR53" s="3462"/>
    </row>
    <row r="54" spans="1:96" s="3" customFormat="1" ht="22.5">
      <c r="A54" s="1838" t="s">
        <v>741</v>
      </c>
      <c r="B54" s="1775">
        <v>12</v>
      </c>
      <c r="C54" s="1775">
        <v>14.77</v>
      </c>
      <c r="D54" s="1775">
        <v>0.55000000000000004</v>
      </c>
      <c r="E54" s="1796" t="s">
        <v>35</v>
      </c>
      <c r="F54" s="1775">
        <v>1.28</v>
      </c>
      <c r="G54" s="1775" t="s">
        <v>695</v>
      </c>
      <c r="H54" s="1775">
        <v>1996</v>
      </c>
      <c r="I54" s="1807"/>
      <c r="J54" s="1775">
        <f t="shared" si="0"/>
        <v>14.77</v>
      </c>
      <c r="K54" s="1775">
        <v>0.55000000000000004</v>
      </c>
      <c r="L54" s="1775" t="s">
        <v>35</v>
      </c>
      <c r="M54" s="1775">
        <v>1.28</v>
      </c>
      <c r="N54" s="1788">
        <f t="shared" si="14"/>
        <v>0.83904707853612126</v>
      </c>
      <c r="O54" s="1829">
        <f t="shared" si="15"/>
        <v>0.91500000000000004</v>
      </c>
      <c r="P54" s="1776" t="s">
        <v>1088</v>
      </c>
      <c r="Q54" s="3" t="str">
        <f>IF(J54=J319,"stop","")</f>
        <v/>
      </c>
      <c r="R54" s="3437" t="str">
        <f t="shared" si="38"/>
        <v/>
      </c>
      <c r="S54" s="1771" t="str">
        <f t="shared" si="38"/>
        <v/>
      </c>
      <c r="T54" s="1771" t="str">
        <f t="shared" si="38"/>
        <v/>
      </c>
      <c r="U54" s="1771" t="str">
        <f t="shared" si="38"/>
        <v/>
      </c>
      <c r="V54" s="3443" t="str">
        <f t="shared" si="38"/>
        <v/>
      </c>
      <c r="W54" s="1771" t="str">
        <f t="shared" si="38"/>
        <v/>
      </c>
      <c r="X54" s="1771" t="str">
        <f t="shared" si="38"/>
        <v/>
      </c>
      <c r="Y54" s="1771" t="str">
        <f t="shared" si="38"/>
        <v/>
      </c>
      <c r="Z54" s="3437" t="str">
        <f t="shared" si="38"/>
        <v/>
      </c>
      <c r="AA54" s="1771">
        <f t="shared" si="38"/>
        <v>0.55000000000000004</v>
      </c>
      <c r="AB54" s="1771" t="str">
        <f t="shared" si="38"/>
        <v/>
      </c>
      <c r="AC54" s="3442" t="str">
        <f t="shared" si="38"/>
        <v/>
      </c>
      <c r="AD54" s="1771" t="str">
        <f t="shared" si="38"/>
        <v/>
      </c>
      <c r="AE54" s="1771" t="str">
        <f t="shared" si="38"/>
        <v/>
      </c>
      <c r="AF54" s="1771" t="str">
        <f t="shared" si="38"/>
        <v/>
      </c>
      <c r="AG54" s="3442" t="str">
        <f t="shared" si="37"/>
        <v/>
      </c>
      <c r="AH54" s="1771" t="str">
        <f t="shared" si="37"/>
        <v/>
      </c>
      <c r="AI54" s="3442" t="str">
        <f t="shared" si="4"/>
        <v/>
      </c>
      <c r="AJ54" s="3462"/>
      <c r="AK54" s="3439" t="str">
        <f>IF(J54=J319,"stop","")</f>
        <v/>
      </c>
      <c r="AL54" s="3437" t="str">
        <f t="shared" si="39"/>
        <v/>
      </c>
      <c r="AM54" s="1771" t="str">
        <f t="shared" si="39"/>
        <v/>
      </c>
      <c r="AN54" s="1771" t="str">
        <f t="shared" si="39"/>
        <v/>
      </c>
      <c r="AO54" s="1771" t="str">
        <f t="shared" si="39"/>
        <v/>
      </c>
      <c r="AP54" s="3443" t="str">
        <f t="shared" si="39"/>
        <v/>
      </c>
      <c r="AQ54" s="1771" t="str">
        <f t="shared" si="39"/>
        <v/>
      </c>
      <c r="AR54" s="1771" t="str">
        <f t="shared" si="39"/>
        <v/>
      </c>
      <c r="AS54" s="3442" t="str">
        <f t="shared" si="39"/>
        <v/>
      </c>
      <c r="AT54" s="1771" t="str">
        <f t="shared" si="39"/>
        <v/>
      </c>
      <c r="AU54" s="1771">
        <f t="shared" si="39"/>
        <v>1.28</v>
      </c>
      <c r="AV54" s="1771" t="str">
        <f t="shared" si="39"/>
        <v/>
      </c>
      <c r="AW54" s="3442" t="str">
        <f t="shared" si="39"/>
        <v/>
      </c>
      <c r="AX54" s="1771" t="str">
        <f t="shared" si="40"/>
        <v/>
      </c>
      <c r="AY54" s="1771" t="str">
        <f t="shared" si="40"/>
        <v/>
      </c>
      <c r="AZ54" s="1771" t="str">
        <f t="shared" si="40"/>
        <v/>
      </c>
      <c r="BA54" s="1771" t="str">
        <f t="shared" si="40"/>
        <v/>
      </c>
      <c r="BB54" s="3437" t="str">
        <f t="shared" si="40"/>
        <v/>
      </c>
      <c r="BC54" s="3443" t="str">
        <f t="shared" si="40"/>
        <v/>
      </c>
      <c r="BD54" s="3462"/>
      <c r="BE54" s="3440" t="str">
        <f>IF(J54=J319,"stop","")</f>
        <v/>
      </c>
      <c r="BF54" s="1771" t="str">
        <f t="shared" si="41"/>
        <v/>
      </c>
      <c r="BG54" s="1771" t="str">
        <f t="shared" si="41"/>
        <v/>
      </c>
      <c r="BH54" s="1771" t="str">
        <f t="shared" si="41"/>
        <v/>
      </c>
      <c r="BI54" s="1771" t="str">
        <f t="shared" si="41"/>
        <v/>
      </c>
      <c r="BJ54" s="3443" t="str">
        <f t="shared" si="41"/>
        <v/>
      </c>
      <c r="BK54" s="3437" t="str">
        <f t="shared" si="41"/>
        <v/>
      </c>
      <c r="BL54" s="1771" t="str">
        <f t="shared" si="41"/>
        <v/>
      </c>
      <c r="BM54" s="3442" t="str">
        <f t="shared" si="41"/>
        <v/>
      </c>
      <c r="BN54" s="1771" t="str">
        <f t="shared" si="41"/>
        <v/>
      </c>
      <c r="BO54" s="1771">
        <f t="shared" si="41"/>
        <v>0.83904707853612126</v>
      </c>
      <c r="BP54" s="1771" t="str">
        <f t="shared" si="41"/>
        <v/>
      </c>
      <c r="BQ54" s="1771" t="str">
        <f t="shared" si="41"/>
        <v/>
      </c>
      <c r="BR54" s="3437" t="str">
        <f t="shared" si="42"/>
        <v/>
      </c>
      <c r="BS54" s="1771" t="str">
        <f t="shared" si="42"/>
        <v/>
      </c>
      <c r="BT54" s="1771" t="str">
        <f t="shared" si="42"/>
        <v/>
      </c>
      <c r="BU54" s="3442" t="str">
        <f t="shared" si="42"/>
        <v/>
      </c>
      <c r="BV54" s="1771" t="str">
        <f t="shared" si="42"/>
        <v/>
      </c>
      <c r="BW54" s="3442" t="str">
        <f t="shared" si="42"/>
        <v/>
      </c>
      <c r="BX54" s="3462"/>
      <c r="BY54" s="3439" t="str">
        <f>IF(L54=L319,"stop","")</f>
        <v/>
      </c>
      <c r="BZ54" s="3437" t="str">
        <f t="shared" si="43"/>
        <v/>
      </c>
      <c r="CA54" s="1771" t="str">
        <f t="shared" si="43"/>
        <v/>
      </c>
      <c r="CB54" s="1771" t="str">
        <f t="shared" si="43"/>
        <v/>
      </c>
      <c r="CC54" s="3442" t="str">
        <f t="shared" si="43"/>
        <v/>
      </c>
      <c r="CD54" s="1771" t="str">
        <f t="shared" si="43"/>
        <v/>
      </c>
      <c r="CE54" s="3437" t="str">
        <f t="shared" si="43"/>
        <v/>
      </c>
      <c r="CF54" s="1771" t="str">
        <f t="shared" si="43"/>
        <v/>
      </c>
      <c r="CG54" s="1771" t="str">
        <f t="shared" si="43"/>
        <v/>
      </c>
      <c r="CH54" s="3437" t="str">
        <f t="shared" si="43"/>
        <v/>
      </c>
      <c r="CI54" s="1771">
        <f t="shared" si="43"/>
        <v>0.91500000000000004</v>
      </c>
      <c r="CJ54" s="1771" t="str">
        <f t="shared" si="43"/>
        <v/>
      </c>
      <c r="CK54" s="3442" t="str">
        <f t="shared" si="43"/>
        <v/>
      </c>
      <c r="CL54" s="3437" t="str">
        <f t="shared" si="44"/>
        <v/>
      </c>
      <c r="CM54" s="1771" t="str">
        <f t="shared" si="44"/>
        <v/>
      </c>
      <c r="CN54" s="1771" t="str">
        <f t="shared" si="44"/>
        <v/>
      </c>
      <c r="CO54" s="3442" t="str">
        <f t="shared" si="44"/>
        <v/>
      </c>
      <c r="CP54" s="1771" t="str">
        <f t="shared" si="44"/>
        <v/>
      </c>
      <c r="CQ54" s="3442" t="str">
        <f t="shared" si="44"/>
        <v/>
      </c>
      <c r="CR54" s="3462"/>
    </row>
    <row r="55" spans="1:96" s="3" customFormat="1" ht="22.5">
      <c r="A55" s="1838" t="s">
        <v>742</v>
      </c>
      <c r="B55" s="1775">
        <v>12</v>
      </c>
      <c r="C55" s="1775">
        <v>14.6</v>
      </c>
      <c r="D55" s="1775">
        <v>0.11</v>
      </c>
      <c r="E55" s="1796" t="s">
        <v>35</v>
      </c>
      <c r="F55" s="1775">
        <v>0.23</v>
      </c>
      <c r="G55" s="1775" t="s">
        <v>695</v>
      </c>
      <c r="H55" s="1775">
        <v>1996</v>
      </c>
      <c r="I55" s="1807"/>
      <c r="J55" s="1775">
        <f t="shared" si="0"/>
        <v>14.6</v>
      </c>
      <c r="K55" s="1775">
        <v>0.11</v>
      </c>
      <c r="L55" s="1775" t="s">
        <v>35</v>
      </c>
      <c r="M55" s="1775">
        <v>0.23</v>
      </c>
      <c r="N55" s="1788">
        <f t="shared" si="14"/>
        <v>0.15905973720586866</v>
      </c>
      <c r="O55" s="1829">
        <f t="shared" si="15"/>
        <v>0.17</v>
      </c>
      <c r="P55" s="1776" t="s">
        <v>1088</v>
      </c>
      <c r="Q55" s="3" t="str">
        <f>IF(J55=J319,"stop","")</f>
        <v/>
      </c>
      <c r="R55" s="3437" t="str">
        <f t="shared" si="38"/>
        <v/>
      </c>
      <c r="S55" s="1771" t="str">
        <f t="shared" si="38"/>
        <v/>
      </c>
      <c r="T55" s="1771" t="str">
        <f t="shared" si="38"/>
        <v/>
      </c>
      <c r="U55" s="1771" t="str">
        <f t="shared" si="38"/>
        <v/>
      </c>
      <c r="V55" s="3443" t="str">
        <f t="shared" si="38"/>
        <v/>
      </c>
      <c r="W55" s="1771" t="str">
        <f t="shared" si="38"/>
        <v/>
      </c>
      <c r="X55" s="1771" t="str">
        <f t="shared" si="38"/>
        <v/>
      </c>
      <c r="Y55" s="1771" t="str">
        <f t="shared" si="38"/>
        <v/>
      </c>
      <c r="Z55" s="3437" t="str">
        <f t="shared" si="38"/>
        <v/>
      </c>
      <c r="AA55" s="1771">
        <f t="shared" si="38"/>
        <v>0.11</v>
      </c>
      <c r="AB55" s="1771" t="str">
        <f t="shared" si="38"/>
        <v/>
      </c>
      <c r="AC55" s="3442" t="str">
        <f t="shared" si="38"/>
        <v/>
      </c>
      <c r="AD55" s="1771" t="str">
        <f t="shared" si="38"/>
        <v/>
      </c>
      <c r="AE55" s="1771" t="str">
        <f t="shared" si="38"/>
        <v/>
      </c>
      <c r="AF55" s="1771" t="str">
        <f t="shared" si="38"/>
        <v/>
      </c>
      <c r="AG55" s="3442" t="str">
        <f t="shared" si="37"/>
        <v/>
      </c>
      <c r="AH55" s="1771" t="str">
        <f t="shared" si="37"/>
        <v/>
      </c>
      <c r="AI55" s="3442" t="str">
        <f t="shared" si="4"/>
        <v/>
      </c>
      <c r="AJ55" s="3462"/>
      <c r="AK55" s="3439" t="str">
        <f>IF(J55=J319,"stop","")</f>
        <v/>
      </c>
      <c r="AL55" s="3437" t="str">
        <f t="shared" si="39"/>
        <v/>
      </c>
      <c r="AM55" s="1771" t="str">
        <f t="shared" si="39"/>
        <v/>
      </c>
      <c r="AN55" s="1771" t="str">
        <f t="shared" si="39"/>
        <v/>
      </c>
      <c r="AO55" s="1771" t="str">
        <f t="shared" si="39"/>
        <v/>
      </c>
      <c r="AP55" s="3443" t="str">
        <f t="shared" si="39"/>
        <v/>
      </c>
      <c r="AQ55" s="1771" t="str">
        <f t="shared" si="39"/>
        <v/>
      </c>
      <c r="AR55" s="1771" t="str">
        <f t="shared" si="39"/>
        <v/>
      </c>
      <c r="AS55" s="3442" t="str">
        <f t="shared" si="39"/>
        <v/>
      </c>
      <c r="AT55" s="1771" t="str">
        <f t="shared" si="39"/>
        <v/>
      </c>
      <c r="AU55" s="1771">
        <f t="shared" si="39"/>
        <v>0.23</v>
      </c>
      <c r="AV55" s="1771" t="str">
        <f t="shared" si="39"/>
        <v/>
      </c>
      <c r="AW55" s="3442" t="str">
        <f t="shared" si="39"/>
        <v/>
      </c>
      <c r="AX55" s="1771" t="str">
        <f t="shared" si="40"/>
        <v/>
      </c>
      <c r="AY55" s="1771" t="str">
        <f t="shared" si="40"/>
        <v/>
      </c>
      <c r="AZ55" s="1771" t="str">
        <f t="shared" si="40"/>
        <v/>
      </c>
      <c r="BA55" s="1771" t="str">
        <f t="shared" si="40"/>
        <v/>
      </c>
      <c r="BB55" s="3437" t="str">
        <f t="shared" si="40"/>
        <v/>
      </c>
      <c r="BC55" s="3443" t="str">
        <f t="shared" si="40"/>
        <v/>
      </c>
      <c r="BD55" s="3462"/>
      <c r="BE55" s="3440" t="str">
        <f>IF(J55=J319,"stop","")</f>
        <v/>
      </c>
      <c r="BF55" s="1771" t="str">
        <f t="shared" si="41"/>
        <v/>
      </c>
      <c r="BG55" s="1771" t="str">
        <f t="shared" si="41"/>
        <v/>
      </c>
      <c r="BH55" s="1771" t="str">
        <f t="shared" si="41"/>
        <v/>
      </c>
      <c r="BI55" s="1771" t="str">
        <f t="shared" si="41"/>
        <v/>
      </c>
      <c r="BJ55" s="3443" t="str">
        <f t="shared" si="41"/>
        <v/>
      </c>
      <c r="BK55" s="3437" t="str">
        <f t="shared" si="41"/>
        <v/>
      </c>
      <c r="BL55" s="1771" t="str">
        <f t="shared" si="41"/>
        <v/>
      </c>
      <c r="BM55" s="3442" t="str">
        <f t="shared" si="41"/>
        <v/>
      </c>
      <c r="BN55" s="1771" t="str">
        <f t="shared" si="41"/>
        <v/>
      </c>
      <c r="BO55" s="1771">
        <f t="shared" si="41"/>
        <v>0.15905973720586866</v>
      </c>
      <c r="BP55" s="1771" t="str">
        <f t="shared" si="41"/>
        <v/>
      </c>
      <c r="BQ55" s="1771" t="str">
        <f t="shared" si="41"/>
        <v/>
      </c>
      <c r="BR55" s="3437" t="str">
        <f t="shared" si="42"/>
        <v/>
      </c>
      <c r="BS55" s="1771" t="str">
        <f t="shared" si="42"/>
        <v/>
      </c>
      <c r="BT55" s="1771" t="str">
        <f t="shared" si="42"/>
        <v/>
      </c>
      <c r="BU55" s="3442" t="str">
        <f t="shared" si="42"/>
        <v/>
      </c>
      <c r="BV55" s="1771" t="str">
        <f t="shared" si="42"/>
        <v/>
      </c>
      <c r="BW55" s="3442" t="str">
        <f t="shared" si="42"/>
        <v/>
      </c>
      <c r="BX55" s="3462"/>
      <c r="BY55" s="3439" t="str">
        <f>IF(L55=L319,"stop","")</f>
        <v/>
      </c>
      <c r="BZ55" s="3437" t="str">
        <f t="shared" si="43"/>
        <v/>
      </c>
      <c r="CA55" s="1771" t="str">
        <f t="shared" si="43"/>
        <v/>
      </c>
      <c r="CB55" s="1771" t="str">
        <f t="shared" si="43"/>
        <v/>
      </c>
      <c r="CC55" s="3442" t="str">
        <f t="shared" si="43"/>
        <v/>
      </c>
      <c r="CD55" s="1771" t="str">
        <f t="shared" si="43"/>
        <v/>
      </c>
      <c r="CE55" s="3437" t="str">
        <f t="shared" si="43"/>
        <v/>
      </c>
      <c r="CF55" s="1771" t="str">
        <f t="shared" si="43"/>
        <v/>
      </c>
      <c r="CG55" s="1771" t="str">
        <f t="shared" si="43"/>
        <v/>
      </c>
      <c r="CH55" s="3437" t="str">
        <f t="shared" si="43"/>
        <v/>
      </c>
      <c r="CI55" s="1771">
        <f t="shared" si="43"/>
        <v>0.17</v>
      </c>
      <c r="CJ55" s="1771" t="str">
        <f t="shared" si="43"/>
        <v/>
      </c>
      <c r="CK55" s="3442" t="str">
        <f t="shared" si="43"/>
        <v/>
      </c>
      <c r="CL55" s="3437" t="str">
        <f t="shared" si="44"/>
        <v/>
      </c>
      <c r="CM55" s="1771" t="str">
        <f t="shared" si="44"/>
        <v/>
      </c>
      <c r="CN55" s="1771" t="str">
        <f t="shared" si="44"/>
        <v/>
      </c>
      <c r="CO55" s="3442" t="str">
        <f t="shared" si="44"/>
        <v/>
      </c>
      <c r="CP55" s="1771" t="str">
        <f t="shared" si="44"/>
        <v/>
      </c>
      <c r="CQ55" s="3442" t="str">
        <f t="shared" si="44"/>
        <v/>
      </c>
      <c r="CR55" s="3462"/>
    </row>
    <row r="56" spans="1:96" s="3" customFormat="1" ht="22.5">
      <c r="A56" s="1838" t="s">
        <v>743</v>
      </c>
      <c r="B56" s="1775">
        <v>12</v>
      </c>
      <c r="C56" s="1775">
        <v>13.87</v>
      </c>
      <c r="D56" s="1775">
        <v>0.16</v>
      </c>
      <c r="E56" s="1796" t="s">
        <v>35</v>
      </c>
      <c r="F56" s="1775">
        <v>0.36</v>
      </c>
      <c r="G56" s="1775" t="s">
        <v>695</v>
      </c>
      <c r="H56" s="1775">
        <v>1996</v>
      </c>
      <c r="I56" s="1807"/>
      <c r="J56" s="1775">
        <f t="shared" si="0"/>
        <v>13.87</v>
      </c>
      <c r="K56" s="1775">
        <v>0.16</v>
      </c>
      <c r="L56" s="1775" t="s">
        <v>35</v>
      </c>
      <c r="M56" s="1775">
        <v>0.36</v>
      </c>
      <c r="N56" s="1788">
        <f t="shared" si="14"/>
        <v>0.24</v>
      </c>
      <c r="O56" s="1829">
        <f t="shared" si="15"/>
        <v>0.26</v>
      </c>
      <c r="P56" s="1776" t="s">
        <v>1088</v>
      </c>
      <c r="Q56" s="3" t="str">
        <f>IF(J56=J319,"stop","")</f>
        <v/>
      </c>
      <c r="R56" s="3437" t="str">
        <f t="shared" si="38"/>
        <v/>
      </c>
      <c r="S56" s="1771" t="str">
        <f t="shared" si="38"/>
        <v/>
      </c>
      <c r="T56" s="1771" t="str">
        <f t="shared" si="38"/>
        <v/>
      </c>
      <c r="U56" s="1771" t="str">
        <f t="shared" si="38"/>
        <v/>
      </c>
      <c r="V56" s="3443" t="str">
        <f t="shared" si="38"/>
        <v/>
      </c>
      <c r="W56" s="1771" t="str">
        <f t="shared" si="38"/>
        <v/>
      </c>
      <c r="X56" s="1771" t="str">
        <f t="shared" si="38"/>
        <v/>
      </c>
      <c r="Y56" s="1771" t="str">
        <f t="shared" si="38"/>
        <v/>
      </c>
      <c r="Z56" s="3437" t="str">
        <f t="shared" si="38"/>
        <v/>
      </c>
      <c r="AA56" s="1771">
        <f t="shared" si="38"/>
        <v>0.16</v>
      </c>
      <c r="AB56" s="1771" t="str">
        <f t="shared" si="38"/>
        <v/>
      </c>
      <c r="AC56" s="3442" t="str">
        <f t="shared" si="38"/>
        <v/>
      </c>
      <c r="AD56" s="1771" t="str">
        <f t="shared" si="38"/>
        <v/>
      </c>
      <c r="AE56" s="1771" t="str">
        <f t="shared" si="38"/>
        <v/>
      </c>
      <c r="AF56" s="1771" t="str">
        <f t="shared" si="38"/>
        <v/>
      </c>
      <c r="AG56" s="3442" t="str">
        <f t="shared" si="37"/>
        <v/>
      </c>
      <c r="AH56" s="1771" t="str">
        <f t="shared" si="37"/>
        <v/>
      </c>
      <c r="AI56" s="3442" t="str">
        <f t="shared" si="4"/>
        <v/>
      </c>
      <c r="AJ56" s="3462"/>
      <c r="AK56" s="3439" t="str">
        <f>IF(J56=J319,"stop","")</f>
        <v/>
      </c>
      <c r="AL56" s="3437" t="str">
        <f t="shared" si="39"/>
        <v/>
      </c>
      <c r="AM56" s="1771" t="str">
        <f t="shared" si="39"/>
        <v/>
      </c>
      <c r="AN56" s="1771" t="str">
        <f t="shared" si="39"/>
        <v/>
      </c>
      <c r="AO56" s="1771" t="str">
        <f t="shared" si="39"/>
        <v/>
      </c>
      <c r="AP56" s="3443" t="str">
        <f t="shared" si="39"/>
        <v/>
      </c>
      <c r="AQ56" s="1771" t="str">
        <f t="shared" si="39"/>
        <v/>
      </c>
      <c r="AR56" s="1771" t="str">
        <f t="shared" si="39"/>
        <v/>
      </c>
      <c r="AS56" s="3442" t="str">
        <f t="shared" si="39"/>
        <v/>
      </c>
      <c r="AT56" s="1771" t="str">
        <f t="shared" si="39"/>
        <v/>
      </c>
      <c r="AU56" s="1771">
        <f t="shared" si="39"/>
        <v>0.36</v>
      </c>
      <c r="AV56" s="1771" t="str">
        <f t="shared" si="39"/>
        <v/>
      </c>
      <c r="AW56" s="3442" t="str">
        <f t="shared" si="39"/>
        <v/>
      </c>
      <c r="AX56" s="1771" t="str">
        <f t="shared" si="40"/>
        <v/>
      </c>
      <c r="AY56" s="1771" t="str">
        <f t="shared" si="40"/>
        <v/>
      </c>
      <c r="AZ56" s="1771" t="str">
        <f t="shared" si="40"/>
        <v/>
      </c>
      <c r="BA56" s="1771" t="str">
        <f t="shared" si="40"/>
        <v/>
      </c>
      <c r="BB56" s="3437" t="str">
        <f t="shared" si="40"/>
        <v/>
      </c>
      <c r="BC56" s="3443" t="str">
        <f t="shared" si="40"/>
        <v/>
      </c>
      <c r="BD56" s="3462"/>
      <c r="BE56" s="3440" t="str">
        <f>IF(J56=J319,"stop","")</f>
        <v/>
      </c>
      <c r="BF56" s="1771" t="str">
        <f t="shared" si="41"/>
        <v/>
      </c>
      <c r="BG56" s="1771" t="str">
        <f t="shared" si="41"/>
        <v/>
      </c>
      <c r="BH56" s="1771" t="str">
        <f t="shared" si="41"/>
        <v/>
      </c>
      <c r="BI56" s="1771" t="str">
        <f t="shared" si="41"/>
        <v/>
      </c>
      <c r="BJ56" s="3443" t="str">
        <f t="shared" si="41"/>
        <v/>
      </c>
      <c r="BK56" s="3437" t="str">
        <f t="shared" si="41"/>
        <v/>
      </c>
      <c r="BL56" s="1771" t="str">
        <f t="shared" si="41"/>
        <v/>
      </c>
      <c r="BM56" s="3442" t="str">
        <f t="shared" si="41"/>
        <v/>
      </c>
      <c r="BN56" s="1771" t="str">
        <f t="shared" si="41"/>
        <v/>
      </c>
      <c r="BO56" s="1771">
        <f t="shared" si="41"/>
        <v>0.24</v>
      </c>
      <c r="BP56" s="1771" t="str">
        <f t="shared" si="41"/>
        <v/>
      </c>
      <c r="BQ56" s="1771" t="str">
        <f t="shared" si="41"/>
        <v/>
      </c>
      <c r="BR56" s="3437" t="str">
        <f t="shared" si="42"/>
        <v/>
      </c>
      <c r="BS56" s="1771" t="str">
        <f t="shared" si="42"/>
        <v/>
      </c>
      <c r="BT56" s="1771" t="str">
        <f t="shared" si="42"/>
        <v/>
      </c>
      <c r="BU56" s="3442" t="str">
        <f t="shared" si="42"/>
        <v/>
      </c>
      <c r="BV56" s="1771" t="str">
        <f t="shared" si="42"/>
        <v/>
      </c>
      <c r="BW56" s="3442" t="str">
        <f t="shared" si="42"/>
        <v/>
      </c>
      <c r="BX56" s="3462"/>
      <c r="BY56" s="3439" t="str">
        <f>IF(L56=L319,"stop","")</f>
        <v/>
      </c>
      <c r="BZ56" s="3437" t="str">
        <f t="shared" si="43"/>
        <v/>
      </c>
      <c r="CA56" s="1771" t="str">
        <f t="shared" si="43"/>
        <v/>
      </c>
      <c r="CB56" s="1771" t="str">
        <f t="shared" si="43"/>
        <v/>
      </c>
      <c r="CC56" s="3442" t="str">
        <f t="shared" si="43"/>
        <v/>
      </c>
      <c r="CD56" s="1771" t="str">
        <f t="shared" si="43"/>
        <v/>
      </c>
      <c r="CE56" s="3437" t="str">
        <f t="shared" si="43"/>
        <v/>
      </c>
      <c r="CF56" s="1771" t="str">
        <f t="shared" si="43"/>
        <v/>
      </c>
      <c r="CG56" s="1771" t="str">
        <f t="shared" si="43"/>
        <v/>
      </c>
      <c r="CH56" s="3437" t="str">
        <f t="shared" si="43"/>
        <v/>
      </c>
      <c r="CI56" s="1771">
        <f t="shared" si="43"/>
        <v>0.26</v>
      </c>
      <c r="CJ56" s="1771" t="str">
        <f t="shared" si="43"/>
        <v/>
      </c>
      <c r="CK56" s="3442" t="str">
        <f t="shared" si="43"/>
        <v/>
      </c>
      <c r="CL56" s="3437" t="str">
        <f t="shared" si="44"/>
        <v/>
      </c>
      <c r="CM56" s="1771" t="str">
        <f t="shared" si="44"/>
        <v/>
      </c>
      <c r="CN56" s="1771" t="str">
        <f t="shared" si="44"/>
        <v/>
      </c>
      <c r="CO56" s="3442" t="str">
        <f t="shared" si="44"/>
        <v/>
      </c>
      <c r="CP56" s="1771" t="str">
        <f t="shared" si="44"/>
        <v/>
      </c>
      <c r="CQ56" s="3442" t="str">
        <f t="shared" si="44"/>
        <v/>
      </c>
      <c r="CR56" s="3462"/>
    </row>
    <row r="57" spans="1:96" s="3" customFormat="1">
      <c r="A57" s="1837" t="s">
        <v>744</v>
      </c>
      <c r="B57" s="1793" t="s">
        <v>745</v>
      </c>
      <c r="C57" s="1775"/>
      <c r="D57" s="1775"/>
      <c r="E57" s="1796"/>
      <c r="F57" s="1775"/>
      <c r="G57" s="1775"/>
      <c r="H57" s="1775"/>
      <c r="I57" s="1807"/>
      <c r="J57" s="1775"/>
      <c r="K57" s="1775"/>
      <c r="L57" s="1775"/>
      <c r="M57" s="1775"/>
      <c r="N57" s="1788">
        <f t="shared" si="14"/>
        <v>0</v>
      </c>
      <c r="O57" s="1829">
        <f t="shared" si="15"/>
        <v>0</v>
      </c>
      <c r="P57" s="1776" t="s">
        <v>1088</v>
      </c>
      <c r="Q57" s="3" t="str">
        <f>IF(J57=J319,"stop","")</f>
        <v/>
      </c>
      <c r="R57" s="3437" t="str">
        <f t="shared" si="38"/>
        <v/>
      </c>
      <c r="S57" s="1771" t="str">
        <f t="shared" si="38"/>
        <v/>
      </c>
      <c r="T57" s="1771" t="str">
        <f t="shared" si="38"/>
        <v/>
      </c>
      <c r="U57" s="1771" t="str">
        <f t="shared" si="38"/>
        <v/>
      </c>
      <c r="V57" s="3443" t="str">
        <f t="shared" si="38"/>
        <v/>
      </c>
      <c r="W57" s="1771" t="str">
        <f t="shared" si="38"/>
        <v/>
      </c>
      <c r="X57" s="1771" t="str">
        <f t="shared" si="38"/>
        <v/>
      </c>
      <c r="Y57" s="1771" t="str">
        <f t="shared" si="38"/>
        <v/>
      </c>
      <c r="Z57" s="3437" t="str">
        <f t="shared" si="38"/>
        <v/>
      </c>
      <c r="AA57" s="1771" t="str">
        <f t="shared" si="38"/>
        <v/>
      </c>
      <c r="AB57" s="1771" t="str">
        <f t="shared" si="38"/>
        <v/>
      </c>
      <c r="AC57" s="3442" t="str">
        <f t="shared" si="38"/>
        <v/>
      </c>
      <c r="AD57" s="1771" t="str">
        <f t="shared" si="38"/>
        <v/>
      </c>
      <c r="AE57" s="1771" t="str">
        <f t="shared" si="38"/>
        <v/>
      </c>
      <c r="AF57" s="1771" t="str">
        <f t="shared" si="38"/>
        <v/>
      </c>
      <c r="AG57" s="3442" t="str">
        <f t="shared" si="37"/>
        <v/>
      </c>
      <c r="AH57" s="1771" t="str">
        <f t="shared" si="37"/>
        <v/>
      </c>
      <c r="AI57" s="3442" t="str">
        <f t="shared" si="4"/>
        <v/>
      </c>
      <c r="AJ57" s="3462"/>
      <c r="AK57" s="3439" t="str">
        <f>IF(J57=J319,"stop","")</f>
        <v/>
      </c>
      <c r="AL57" s="3437" t="str">
        <f t="shared" si="39"/>
        <v/>
      </c>
      <c r="AM57" s="1771" t="str">
        <f t="shared" si="39"/>
        <v/>
      </c>
      <c r="AN57" s="1771" t="str">
        <f t="shared" si="39"/>
        <v/>
      </c>
      <c r="AO57" s="1771" t="str">
        <f t="shared" si="39"/>
        <v/>
      </c>
      <c r="AP57" s="3443" t="str">
        <f t="shared" si="39"/>
        <v/>
      </c>
      <c r="AQ57" s="1771" t="str">
        <f t="shared" si="39"/>
        <v/>
      </c>
      <c r="AR57" s="1771" t="str">
        <f t="shared" si="39"/>
        <v/>
      </c>
      <c r="AS57" s="3442" t="str">
        <f t="shared" si="39"/>
        <v/>
      </c>
      <c r="AT57" s="1771" t="str">
        <f t="shared" si="39"/>
        <v/>
      </c>
      <c r="AU57" s="1771" t="str">
        <f t="shared" si="39"/>
        <v/>
      </c>
      <c r="AV57" s="1771" t="str">
        <f t="shared" si="39"/>
        <v/>
      </c>
      <c r="AW57" s="3442" t="str">
        <f t="shared" si="39"/>
        <v/>
      </c>
      <c r="AX57" s="1771" t="str">
        <f t="shared" si="40"/>
        <v/>
      </c>
      <c r="AY57" s="1771" t="str">
        <f t="shared" si="40"/>
        <v/>
      </c>
      <c r="AZ57" s="1771" t="str">
        <f t="shared" si="40"/>
        <v/>
      </c>
      <c r="BA57" s="1771" t="str">
        <f t="shared" si="40"/>
        <v/>
      </c>
      <c r="BB57" s="3437" t="str">
        <f t="shared" si="40"/>
        <v/>
      </c>
      <c r="BC57" s="3443" t="str">
        <f t="shared" si="40"/>
        <v/>
      </c>
      <c r="BD57" s="3462"/>
      <c r="BE57" s="3440" t="str">
        <f>IF(J57=J319,"stop","")</f>
        <v/>
      </c>
      <c r="BF57" s="1771" t="str">
        <f t="shared" si="41"/>
        <v/>
      </c>
      <c r="BG57" s="1771" t="str">
        <f t="shared" si="41"/>
        <v/>
      </c>
      <c r="BH57" s="1771" t="str">
        <f t="shared" si="41"/>
        <v/>
      </c>
      <c r="BI57" s="1771" t="str">
        <f t="shared" si="41"/>
        <v/>
      </c>
      <c r="BJ57" s="3443" t="str">
        <f t="shared" si="41"/>
        <v/>
      </c>
      <c r="BK57" s="3437" t="str">
        <f t="shared" si="41"/>
        <v/>
      </c>
      <c r="BL57" s="1771" t="str">
        <f t="shared" si="41"/>
        <v/>
      </c>
      <c r="BM57" s="3442" t="str">
        <f t="shared" si="41"/>
        <v/>
      </c>
      <c r="BN57" s="1771" t="str">
        <f t="shared" si="41"/>
        <v/>
      </c>
      <c r="BO57" s="1771" t="str">
        <f t="shared" si="41"/>
        <v/>
      </c>
      <c r="BP57" s="1771" t="str">
        <f t="shared" si="41"/>
        <v/>
      </c>
      <c r="BQ57" s="1771" t="str">
        <f t="shared" si="41"/>
        <v/>
      </c>
      <c r="BR57" s="3437" t="str">
        <f t="shared" si="42"/>
        <v/>
      </c>
      <c r="BS57" s="1771" t="str">
        <f t="shared" si="42"/>
        <v/>
      </c>
      <c r="BT57" s="1771" t="str">
        <f t="shared" si="42"/>
        <v/>
      </c>
      <c r="BU57" s="3442" t="str">
        <f t="shared" si="42"/>
        <v/>
      </c>
      <c r="BV57" s="1771" t="str">
        <f t="shared" si="42"/>
        <v/>
      </c>
      <c r="BW57" s="3442" t="str">
        <f t="shared" si="42"/>
        <v/>
      </c>
      <c r="BX57" s="3462"/>
      <c r="BY57" s="3439" t="str">
        <f>IF(L57=L319,"stop","")</f>
        <v>stop</v>
      </c>
      <c r="BZ57" s="3437" t="str">
        <f t="shared" si="43"/>
        <v/>
      </c>
      <c r="CA57" s="1771" t="str">
        <f t="shared" si="43"/>
        <v/>
      </c>
      <c r="CB57" s="1771" t="str">
        <f t="shared" si="43"/>
        <v/>
      </c>
      <c r="CC57" s="3442" t="str">
        <f t="shared" si="43"/>
        <v/>
      </c>
      <c r="CD57" s="1771" t="str">
        <f t="shared" si="43"/>
        <v/>
      </c>
      <c r="CE57" s="3437" t="str">
        <f t="shared" si="43"/>
        <v/>
      </c>
      <c r="CF57" s="1771" t="str">
        <f t="shared" si="43"/>
        <v/>
      </c>
      <c r="CG57" s="1771" t="str">
        <f t="shared" si="43"/>
        <v/>
      </c>
      <c r="CH57" s="3437" t="str">
        <f t="shared" si="43"/>
        <v/>
      </c>
      <c r="CI57" s="1771" t="str">
        <f t="shared" si="43"/>
        <v/>
      </c>
      <c r="CJ57" s="1771" t="str">
        <f t="shared" si="43"/>
        <v/>
      </c>
      <c r="CK57" s="3442" t="str">
        <f t="shared" si="43"/>
        <v/>
      </c>
      <c r="CL57" s="3437" t="str">
        <f t="shared" si="44"/>
        <v/>
      </c>
      <c r="CM57" s="1771" t="str">
        <f t="shared" si="44"/>
        <v/>
      </c>
      <c r="CN57" s="1771" t="str">
        <f t="shared" si="44"/>
        <v/>
      </c>
      <c r="CO57" s="3442" t="str">
        <f t="shared" si="44"/>
        <v/>
      </c>
      <c r="CP57" s="1771" t="str">
        <f t="shared" si="44"/>
        <v/>
      </c>
      <c r="CQ57" s="3442" t="str">
        <f t="shared" si="44"/>
        <v/>
      </c>
      <c r="CR57" s="3462"/>
    </row>
    <row r="58" spans="1:96" s="3" customFormat="1">
      <c r="A58" s="1838" t="s">
        <v>746</v>
      </c>
      <c r="B58" s="1775">
        <v>14</v>
      </c>
      <c r="C58" s="1775">
        <v>19.43</v>
      </c>
      <c r="D58" s="1775">
        <v>3.0000000000000001E-6</v>
      </c>
      <c r="E58" s="1796" t="s">
        <v>747</v>
      </c>
      <c r="F58" s="1775">
        <v>0.02</v>
      </c>
      <c r="G58" s="1775" t="s">
        <v>695</v>
      </c>
      <c r="H58" s="1775">
        <v>1996</v>
      </c>
      <c r="I58" s="1807"/>
      <c r="J58" s="1775">
        <f t="shared" si="0"/>
        <v>19.43</v>
      </c>
      <c r="K58" s="1775">
        <v>3.0000000000000001E-6</v>
      </c>
      <c r="L58" s="1775" t="s">
        <v>747</v>
      </c>
      <c r="M58" s="1775">
        <v>0.02</v>
      </c>
      <c r="N58" s="1788">
        <f t="shared" si="14"/>
        <v>2.4494897427831784E-4</v>
      </c>
      <c r="O58" s="1829">
        <f t="shared" si="15"/>
        <v>1.00015E-2</v>
      </c>
      <c r="P58" s="1776" t="s">
        <v>1088</v>
      </c>
      <c r="Q58" s="3" t="str">
        <f>IF(J58=J319,"stop","")</f>
        <v/>
      </c>
      <c r="R58" s="3437" t="str">
        <f t="shared" ref="R58:AG73" si="45">IF(AND($J58&gt;R$4,$J58&lt;=R$5,$P58=R$6),$K58,"")</f>
        <v/>
      </c>
      <c r="S58" s="1771" t="str">
        <f t="shared" si="45"/>
        <v/>
      </c>
      <c r="T58" s="1771" t="str">
        <f t="shared" si="45"/>
        <v/>
      </c>
      <c r="U58" s="1771" t="str">
        <f t="shared" si="45"/>
        <v/>
      </c>
      <c r="V58" s="3443" t="str">
        <f t="shared" si="45"/>
        <v/>
      </c>
      <c r="W58" s="1771" t="str">
        <f t="shared" si="45"/>
        <v/>
      </c>
      <c r="X58" s="1771" t="str">
        <f t="shared" si="45"/>
        <v/>
      </c>
      <c r="Y58" s="1771" t="str">
        <f t="shared" si="45"/>
        <v/>
      </c>
      <c r="Z58" s="3437" t="str">
        <f t="shared" si="45"/>
        <v/>
      </c>
      <c r="AA58" s="1771" t="str">
        <f t="shared" si="45"/>
        <v/>
      </c>
      <c r="AB58" s="1771">
        <f t="shared" si="45"/>
        <v>3.0000000000000001E-6</v>
      </c>
      <c r="AC58" s="3442" t="str">
        <f t="shared" si="45"/>
        <v/>
      </c>
      <c r="AD58" s="1771" t="str">
        <f t="shared" si="45"/>
        <v/>
      </c>
      <c r="AE58" s="1771" t="str">
        <f t="shared" si="45"/>
        <v/>
      </c>
      <c r="AF58" s="1771" t="str">
        <f t="shared" si="45"/>
        <v/>
      </c>
      <c r="AG58" s="3442" t="str">
        <f t="shared" si="37"/>
        <v/>
      </c>
      <c r="AH58" s="1771" t="str">
        <f t="shared" si="37"/>
        <v/>
      </c>
      <c r="AI58" s="3442" t="str">
        <f t="shared" si="4"/>
        <v/>
      </c>
      <c r="AJ58" s="3462"/>
      <c r="AK58" s="3439" t="str">
        <f>IF(J58=J319,"stop","")</f>
        <v/>
      </c>
      <c r="AL58" s="3437" t="str">
        <f t="shared" si="39"/>
        <v/>
      </c>
      <c r="AM58" s="1771" t="str">
        <f t="shared" si="39"/>
        <v/>
      </c>
      <c r="AN58" s="1771" t="str">
        <f t="shared" si="39"/>
        <v/>
      </c>
      <c r="AO58" s="1771" t="str">
        <f t="shared" si="39"/>
        <v/>
      </c>
      <c r="AP58" s="3443" t="str">
        <f t="shared" si="39"/>
        <v/>
      </c>
      <c r="AQ58" s="1771" t="str">
        <f t="shared" si="39"/>
        <v/>
      </c>
      <c r="AR58" s="1771" t="str">
        <f t="shared" si="39"/>
        <v/>
      </c>
      <c r="AS58" s="3442" t="str">
        <f t="shared" si="39"/>
        <v/>
      </c>
      <c r="AT58" s="1771" t="str">
        <f t="shared" si="39"/>
        <v/>
      </c>
      <c r="AU58" s="1771" t="str">
        <f t="shared" si="39"/>
        <v/>
      </c>
      <c r="AV58" s="1771">
        <f t="shared" si="39"/>
        <v>0.02</v>
      </c>
      <c r="AW58" s="3442" t="str">
        <f t="shared" si="39"/>
        <v/>
      </c>
      <c r="AX58" s="1771" t="str">
        <f t="shared" si="40"/>
        <v/>
      </c>
      <c r="AY58" s="1771" t="str">
        <f t="shared" si="40"/>
        <v/>
      </c>
      <c r="AZ58" s="1771" t="str">
        <f t="shared" si="40"/>
        <v/>
      </c>
      <c r="BA58" s="1771" t="str">
        <f t="shared" si="40"/>
        <v/>
      </c>
      <c r="BB58" s="3437" t="str">
        <f t="shared" si="40"/>
        <v/>
      </c>
      <c r="BC58" s="3443" t="str">
        <f t="shared" si="40"/>
        <v/>
      </c>
      <c r="BD58" s="3462"/>
      <c r="BE58" s="3440" t="str">
        <f>IF(J58=J319,"stop","")</f>
        <v/>
      </c>
      <c r="BF58" s="1771" t="str">
        <f t="shared" si="41"/>
        <v/>
      </c>
      <c r="BG58" s="1771" t="str">
        <f t="shared" si="41"/>
        <v/>
      </c>
      <c r="BH58" s="1771" t="str">
        <f t="shared" si="41"/>
        <v/>
      </c>
      <c r="BI58" s="1771" t="str">
        <f t="shared" si="41"/>
        <v/>
      </c>
      <c r="BJ58" s="3443" t="str">
        <f t="shared" si="41"/>
        <v/>
      </c>
      <c r="BK58" s="3437" t="str">
        <f t="shared" si="41"/>
        <v/>
      </c>
      <c r="BL58" s="1771" t="str">
        <f t="shared" si="41"/>
        <v/>
      </c>
      <c r="BM58" s="3442" t="str">
        <f t="shared" si="41"/>
        <v/>
      </c>
      <c r="BN58" s="1771" t="str">
        <f t="shared" si="41"/>
        <v/>
      </c>
      <c r="BO58" s="1771" t="str">
        <f t="shared" si="41"/>
        <v/>
      </c>
      <c r="BP58" s="1771">
        <f t="shared" si="41"/>
        <v>2.4494897427831784E-4</v>
      </c>
      <c r="BQ58" s="1771" t="str">
        <f t="shared" si="41"/>
        <v/>
      </c>
      <c r="BR58" s="3437" t="str">
        <f t="shared" si="42"/>
        <v/>
      </c>
      <c r="BS58" s="1771" t="str">
        <f t="shared" si="42"/>
        <v/>
      </c>
      <c r="BT58" s="1771" t="str">
        <f t="shared" si="42"/>
        <v/>
      </c>
      <c r="BU58" s="3442" t="str">
        <f t="shared" si="42"/>
        <v/>
      </c>
      <c r="BV58" s="1771" t="str">
        <f t="shared" si="42"/>
        <v/>
      </c>
      <c r="BW58" s="3442" t="str">
        <f t="shared" si="42"/>
        <v/>
      </c>
      <c r="BX58" s="3462"/>
      <c r="BY58" s="3439" t="str">
        <f>IF(L58=L319,"stop","")</f>
        <v/>
      </c>
      <c r="BZ58" s="3437" t="str">
        <f t="shared" si="43"/>
        <v/>
      </c>
      <c r="CA58" s="1771" t="str">
        <f t="shared" si="43"/>
        <v/>
      </c>
      <c r="CB58" s="1771" t="str">
        <f t="shared" si="43"/>
        <v/>
      </c>
      <c r="CC58" s="3442" t="str">
        <f t="shared" si="43"/>
        <v/>
      </c>
      <c r="CD58" s="1771" t="str">
        <f t="shared" si="43"/>
        <v/>
      </c>
      <c r="CE58" s="3437" t="str">
        <f t="shared" si="43"/>
        <v/>
      </c>
      <c r="CF58" s="1771" t="str">
        <f t="shared" si="43"/>
        <v/>
      </c>
      <c r="CG58" s="1771" t="str">
        <f t="shared" si="43"/>
        <v/>
      </c>
      <c r="CH58" s="3437" t="str">
        <f t="shared" si="43"/>
        <v/>
      </c>
      <c r="CI58" s="1771" t="str">
        <f t="shared" si="43"/>
        <v/>
      </c>
      <c r="CJ58" s="1771">
        <f t="shared" si="43"/>
        <v>1.00015E-2</v>
      </c>
      <c r="CK58" s="3442" t="str">
        <f t="shared" si="43"/>
        <v/>
      </c>
      <c r="CL58" s="3437" t="str">
        <f t="shared" si="44"/>
        <v/>
      </c>
      <c r="CM58" s="1771" t="str">
        <f t="shared" si="44"/>
        <v/>
      </c>
      <c r="CN58" s="1771" t="str">
        <f t="shared" si="44"/>
        <v/>
      </c>
      <c r="CO58" s="3442" t="str">
        <f t="shared" si="44"/>
        <v/>
      </c>
      <c r="CP58" s="1771" t="str">
        <f t="shared" si="44"/>
        <v/>
      </c>
      <c r="CQ58" s="3442" t="str">
        <f t="shared" si="44"/>
        <v/>
      </c>
      <c r="CR58" s="3462"/>
    </row>
    <row r="59" spans="1:96" s="3" customFormat="1">
      <c r="A59" s="1838" t="s">
        <v>748</v>
      </c>
      <c r="B59" s="1775">
        <v>15</v>
      </c>
      <c r="C59" s="1775">
        <v>20.73</v>
      </c>
      <c r="D59" s="1775">
        <v>1.5E-5</v>
      </c>
      <c r="E59" s="1796" t="s">
        <v>35</v>
      </c>
      <c r="F59" s="1775">
        <v>1.7999999999999999E-2</v>
      </c>
      <c r="G59" s="1775" t="s">
        <v>695</v>
      </c>
      <c r="H59" s="1775">
        <v>1996</v>
      </c>
      <c r="I59" s="1807"/>
      <c r="J59" s="1775">
        <f t="shared" si="0"/>
        <v>20.73</v>
      </c>
      <c r="K59" s="1775">
        <v>1.5E-5</v>
      </c>
      <c r="L59" s="1775" t="s">
        <v>35</v>
      </c>
      <c r="M59" s="1775">
        <v>1.7999999999999999E-2</v>
      </c>
      <c r="N59" s="1788">
        <f t="shared" si="14"/>
        <v>5.1961524227066324E-4</v>
      </c>
      <c r="O59" s="1829">
        <f t="shared" si="15"/>
        <v>9.0074999999999999E-3</v>
      </c>
      <c r="P59" s="1776" t="s">
        <v>1088</v>
      </c>
      <c r="Q59" s="3" t="str">
        <f>IF(J59=J319,"stop","")</f>
        <v/>
      </c>
      <c r="R59" s="3437" t="str">
        <f t="shared" si="45"/>
        <v/>
      </c>
      <c r="S59" s="1771" t="str">
        <f t="shared" si="45"/>
        <v/>
      </c>
      <c r="T59" s="1771" t="str">
        <f t="shared" si="45"/>
        <v/>
      </c>
      <c r="U59" s="1771" t="str">
        <f t="shared" si="45"/>
        <v/>
      </c>
      <c r="V59" s="3443" t="str">
        <f t="shared" si="45"/>
        <v/>
      </c>
      <c r="W59" s="1771" t="str">
        <f t="shared" si="45"/>
        <v/>
      </c>
      <c r="X59" s="1771" t="str">
        <f t="shared" si="45"/>
        <v/>
      </c>
      <c r="Y59" s="1771" t="str">
        <f t="shared" si="45"/>
        <v/>
      </c>
      <c r="Z59" s="3437" t="str">
        <f t="shared" si="45"/>
        <v/>
      </c>
      <c r="AA59" s="1771" t="str">
        <f t="shared" si="45"/>
        <v/>
      </c>
      <c r="AB59" s="1771">
        <f t="shared" si="45"/>
        <v>1.5E-5</v>
      </c>
      <c r="AC59" s="3442" t="str">
        <f t="shared" si="45"/>
        <v/>
      </c>
      <c r="AD59" s="1771" t="str">
        <f t="shared" si="45"/>
        <v/>
      </c>
      <c r="AE59" s="1771" t="str">
        <f t="shared" si="45"/>
        <v/>
      </c>
      <c r="AF59" s="1771" t="str">
        <f t="shared" si="45"/>
        <v/>
      </c>
      <c r="AG59" s="3442" t="str">
        <f t="shared" si="37"/>
        <v/>
      </c>
      <c r="AH59" s="1771" t="str">
        <f t="shared" si="37"/>
        <v/>
      </c>
      <c r="AI59" s="3442" t="str">
        <f t="shared" si="4"/>
        <v/>
      </c>
      <c r="AJ59" s="3462"/>
      <c r="AK59" s="3439" t="str">
        <f>IF(J59=J319,"stop","")</f>
        <v/>
      </c>
      <c r="AL59" s="3437" t="str">
        <f t="shared" ref="AL59:AW68" si="46">IF(AND($J59&gt;AL$4,$J59&lt;=AL$5,$P59=AL$6),$M59,"")</f>
        <v/>
      </c>
      <c r="AM59" s="1771" t="str">
        <f t="shared" si="46"/>
        <v/>
      </c>
      <c r="AN59" s="1771" t="str">
        <f t="shared" si="46"/>
        <v/>
      </c>
      <c r="AO59" s="1771" t="str">
        <f t="shared" si="46"/>
        <v/>
      </c>
      <c r="AP59" s="3443" t="str">
        <f t="shared" si="46"/>
        <v/>
      </c>
      <c r="AQ59" s="1771" t="str">
        <f t="shared" si="46"/>
        <v/>
      </c>
      <c r="AR59" s="1771" t="str">
        <f t="shared" si="46"/>
        <v/>
      </c>
      <c r="AS59" s="3442" t="str">
        <f t="shared" si="46"/>
        <v/>
      </c>
      <c r="AT59" s="1771" t="str">
        <f t="shared" si="46"/>
        <v/>
      </c>
      <c r="AU59" s="1771" t="str">
        <f t="shared" si="46"/>
        <v/>
      </c>
      <c r="AV59" s="1771">
        <f t="shared" si="46"/>
        <v>1.7999999999999999E-2</v>
      </c>
      <c r="AW59" s="3442" t="str">
        <f t="shared" si="46"/>
        <v/>
      </c>
      <c r="AX59" s="1771" t="str">
        <f t="shared" ref="AX59:BC68" si="47">IF(AND($J59&gt;AX$4,$J59&lt;=AX$5,$P59=AX$6),$M59,"")</f>
        <v/>
      </c>
      <c r="AY59" s="1771" t="str">
        <f t="shared" si="47"/>
        <v/>
      </c>
      <c r="AZ59" s="1771" t="str">
        <f t="shared" si="47"/>
        <v/>
      </c>
      <c r="BA59" s="1771" t="str">
        <f t="shared" si="47"/>
        <v/>
      </c>
      <c r="BB59" s="3437" t="str">
        <f t="shared" si="47"/>
        <v/>
      </c>
      <c r="BC59" s="3443" t="str">
        <f t="shared" si="47"/>
        <v/>
      </c>
      <c r="BD59" s="3462"/>
      <c r="BE59" s="3440" t="str">
        <f>IF(J59=J319,"stop","")</f>
        <v/>
      </c>
      <c r="BF59" s="1771" t="str">
        <f t="shared" ref="BF59:BQ68" si="48">IF(AND($J59&gt;BF$4,$J59&lt;=BF$5,$P59=BF$6),$N59,"")</f>
        <v/>
      </c>
      <c r="BG59" s="1771" t="str">
        <f t="shared" si="48"/>
        <v/>
      </c>
      <c r="BH59" s="1771" t="str">
        <f t="shared" si="48"/>
        <v/>
      </c>
      <c r="BI59" s="1771" t="str">
        <f t="shared" si="48"/>
        <v/>
      </c>
      <c r="BJ59" s="3443" t="str">
        <f t="shared" si="48"/>
        <v/>
      </c>
      <c r="BK59" s="3437" t="str">
        <f t="shared" si="48"/>
        <v/>
      </c>
      <c r="BL59" s="1771" t="str">
        <f t="shared" si="48"/>
        <v/>
      </c>
      <c r="BM59" s="3442" t="str">
        <f t="shared" si="48"/>
        <v/>
      </c>
      <c r="BN59" s="1771" t="str">
        <f t="shared" si="48"/>
        <v/>
      </c>
      <c r="BO59" s="1771" t="str">
        <f t="shared" si="48"/>
        <v/>
      </c>
      <c r="BP59" s="1771">
        <f t="shared" si="48"/>
        <v>5.1961524227066324E-4</v>
      </c>
      <c r="BQ59" s="1771" t="str">
        <f t="shared" si="48"/>
        <v/>
      </c>
      <c r="BR59" s="3437" t="str">
        <f t="shared" ref="BR59:BW68" si="49">IF(AND($J59&gt;BR$4,$J59&lt;=BR$5,$P59=BR$6),$N59,"")</f>
        <v/>
      </c>
      <c r="BS59" s="1771" t="str">
        <f t="shared" si="49"/>
        <v/>
      </c>
      <c r="BT59" s="1771" t="str">
        <f t="shared" si="49"/>
        <v/>
      </c>
      <c r="BU59" s="3442" t="str">
        <f t="shared" si="49"/>
        <v/>
      </c>
      <c r="BV59" s="1771" t="str">
        <f t="shared" si="49"/>
        <v/>
      </c>
      <c r="BW59" s="3442" t="str">
        <f t="shared" si="49"/>
        <v/>
      </c>
      <c r="BX59" s="3462"/>
      <c r="BY59" s="3439" t="str">
        <f>IF(L59=L319,"stop","")</f>
        <v/>
      </c>
      <c r="BZ59" s="3437" t="str">
        <f t="shared" ref="BZ59:CK68" si="50">IF(AND($J59&gt;BZ$4,$J59&lt;=BZ$5,$P59=BZ$6),$O59,"")</f>
        <v/>
      </c>
      <c r="CA59" s="1771" t="str">
        <f t="shared" si="50"/>
        <v/>
      </c>
      <c r="CB59" s="1771" t="str">
        <f t="shared" si="50"/>
        <v/>
      </c>
      <c r="CC59" s="3442" t="str">
        <f t="shared" si="50"/>
        <v/>
      </c>
      <c r="CD59" s="1771" t="str">
        <f t="shared" si="50"/>
        <v/>
      </c>
      <c r="CE59" s="3437" t="str">
        <f t="shared" si="50"/>
        <v/>
      </c>
      <c r="CF59" s="1771" t="str">
        <f t="shared" si="50"/>
        <v/>
      </c>
      <c r="CG59" s="1771" t="str">
        <f t="shared" si="50"/>
        <v/>
      </c>
      <c r="CH59" s="3437" t="str">
        <f t="shared" si="50"/>
        <v/>
      </c>
      <c r="CI59" s="1771" t="str">
        <f t="shared" si="50"/>
        <v/>
      </c>
      <c r="CJ59" s="1771">
        <f t="shared" si="50"/>
        <v>9.0074999999999999E-3</v>
      </c>
      <c r="CK59" s="3442" t="str">
        <f t="shared" si="50"/>
        <v/>
      </c>
      <c r="CL59" s="3437" t="str">
        <f t="shared" ref="CL59:CQ68" si="51">IF(AND($J59&gt;CL$4,$J59&lt;=CL$5,$P59=CL$6),$O59,"")</f>
        <v/>
      </c>
      <c r="CM59" s="1771" t="str">
        <f t="shared" si="51"/>
        <v/>
      </c>
      <c r="CN59" s="1771" t="str">
        <f t="shared" si="51"/>
        <v/>
      </c>
      <c r="CO59" s="3442" t="str">
        <f t="shared" si="51"/>
        <v/>
      </c>
      <c r="CP59" s="1771" t="str">
        <f t="shared" si="51"/>
        <v/>
      </c>
      <c r="CQ59" s="3442" t="str">
        <f t="shared" si="51"/>
        <v/>
      </c>
      <c r="CR59" s="3462"/>
    </row>
    <row r="60" spans="1:96" s="3" customFormat="1">
      <c r="A60" s="1838" t="s">
        <v>749</v>
      </c>
      <c r="B60" s="1775">
        <v>14</v>
      </c>
      <c r="C60" s="1775">
        <v>19.36</v>
      </c>
      <c r="D60" s="1775">
        <v>2.6999999999999999E-5</v>
      </c>
      <c r="E60" s="1796" t="s">
        <v>35</v>
      </c>
      <c r="F60" s="1775">
        <v>0.3</v>
      </c>
      <c r="G60" s="1775" t="s">
        <v>695</v>
      </c>
      <c r="H60" s="1775">
        <v>1996</v>
      </c>
      <c r="I60" s="1807"/>
      <c r="J60" s="1775">
        <f t="shared" si="0"/>
        <v>19.36</v>
      </c>
      <c r="K60" s="1775">
        <v>2.6999999999999999E-5</v>
      </c>
      <c r="L60" s="1775" t="s">
        <v>35</v>
      </c>
      <c r="M60" s="1775">
        <v>0.3</v>
      </c>
      <c r="N60" s="1788">
        <f t="shared" si="14"/>
        <v>2.8460498941515412E-3</v>
      </c>
      <c r="O60" s="1829">
        <f t="shared" si="15"/>
        <v>0.15001349999999999</v>
      </c>
      <c r="P60" s="1776" t="s">
        <v>1088</v>
      </c>
      <c r="Q60" s="3" t="str">
        <f>IF(J60=J319,"stop","")</f>
        <v/>
      </c>
      <c r="R60" s="3437" t="str">
        <f t="shared" si="45"/>
        <v/>
      </c>
      <c r="S60" s="1771" t="str">
        <f t="shared" si="45"/>
        <v/>
      </c>
      <c r="T60" s="1771" t="str">
        <f t="shared" si="45"/>
        <v/>
      </c>
      <c r="U60" s="1771" t="str">
        <f t="shared" si="45"/>
        <v/>
      </c>
      <c r="V60" s="3443" t="str">
        <f t="shared" si="45"/>
        <v/>
      </c>
      <c r="W60" s="1771" t="str">
        <f t="shared" si="45"/>
        <v/>
      </c>
      <c r="X60" s="1771" t="str">
        <f t="shared" si="45"/>
        <v/>
      </c>
      <c r="Y60" s="1771" t="str">
        <f t="shared" si="45"/>
        <v/>
      </c>
      <c r="Z60" s="3437" t="str">
        <f t="shared" si="45"/>
        <v/>
      </c>
      <c r="AA60" s="1771" t="str">
        <f t="shared" si="45"/>
        <v/>
      </c>
      <c r="AB60" s="1771">
        <f t="shared" si="45"/>
        <v>2.6999999999999999E-5</v>
      </c>
      <c r="AC60" s="3442" t="str">
        <f t="shared" si="45"/>
        <v/>
      </c>
      <c r="AD60" s="1771" t="str">
        <f t="shared" si="45"/>
        <v/>
      </c>
      <c r="AE60" s="1771" t="str">
        <f t="shared" si="45"/>
        <v/>
      </c>
      <c r="AF60" s="1771" t="str">
        <f t="shared" si="45"/>
        <v/>
      </c>
      <c r="AG60" s="3442" t="str">
        <f t="shared" si="37"/>
        <v/>
      </c>
      <c r="AH60" s="1771" t="str">
        <f t="shared" si="37"/>
        <v/>
      </c>
      <c r="AI60" s="3442" t="str">
        <f t="shared" si="4"/>
        <v/>
      </c>
      <c r="AJ60" s="3462"/>
      <c r="AK60" s="3439" t="str">
        <f>IF(J60=J319,"stop","")</f>
        <v/>
      </c>
      <c r="AL60" s="3437" t="str">
        <f t="shared" si="46"/>
        <v/>
      </c>
      <c r="AM60" s="1771" t="str">
        <f t="shared" si="46"/>
        <v/>
      </c>
      <c r="AN60" s="1771" t="str">
        <f t="shared" si="46"/>
        <v/>
      </c>
      <c r="AO60" s="1771" t="str">
        <f t="shared" si="46"/>
        <v/>
      </c>
      <c r="AP60" s="3443" t="str">
        <f t="shared" si="46"/>
        <v/>
      </c>
      <c r="AQ60" s="1771" t="str">
        <f t="shared" si="46"/>
        <v/>
      </c>
      <c r="AR60" s="1771" t="str">
        <f t="shared" si="46"/>
        <v/>
      </c>
      <c r="AS60" s="3442" t="str">
        <f t="shared" si="46"/>
        <v/>
      </c>
      <c r="AT60" s="1771" t="str">
        <f t="shared" si="46"/>
        <v/>
      </c>
      <c r="AU60" s="1771" t="str">
        <f t="shared" si="46"/>
        <v/>
      </c>
      <c r="AV60" s="1771">
        <f t="shared" si="46"/>
        <v>0.3</v>
      </c>
      <c r="AW60" s="3442" t="str">
        <f t="shared" si="46"/>
        <v/>
      </c>
      <c r="AX60" s="1771" t="str">
        <f t="shared" si="47"/>
        <v/>
      </c>
      <c r="AY60" s="1771" t="str">
        <f t="shared" si="47"/>
        <v/>
      </c>
      <c r="AZ60" s="1771" t="str">
        <f t="shared" si="47"/>
        <v/>
      </c>
      <c r="BA60" s="1771" t="str">
        <f t="shared" si="47"/>
        <v/>
      </c>
      <c r="BB60" s="3437" t="str">
        <f t="shared" si="47"/>
        <v/>
      </c>
      <c r="BC60" s="3443" t="str">
        <f t="shared" si="47"/>
        <v/>
      </c>
      <c r="BD60" s="3462"/>
      <c r="BE60" s="3440" t="str">
        <f>IF(J60=J319,"stop","")</f>
        <v/>
      </c>
      <c r="BF60" s="1771" t="str">
        <f t="shared" si="48"/>
        <v/>
      </c>
      <c r="BG60" s="1771" t="str">
        <f t="shared" si="48"/>
        <v/>
      </c>
      <c r="BH60" s="1771" t="str">
        <f t="shared" si="48"/>
        <v/>
      </c>
      <c r="BI60" s="1771" t="str">
        <f t="shared" si="48"/>
        <v/>
      </c>
      <c r="BJ60" s="3443" t="str">
        <f t="shared" si="48"/>
        <v/>
      </c>
      <c r="BK60" s="3437" t="str">
        <f t="shared" si="48"/>
        <v/>
      </c>
      <c r="BL60" s="1771" t="str">
        <f t="shared" si="48"/>
        <v/>
      </c>
      <c r="BM60" s="3442" t="str">
        <f t="shared" si="48"/>
        <v/>
      </c>
      <c r="BN60" s="1771" t="str">
        <f t="shared" si="48"/>
        <v/>
      </c>
      <c r="BO60" s="1771" t="str">
        <f t="shared" si="48"/>
        <v/>
      </c>
      <c r="BP60" s="1771">
        <f t="shared" si="48"/>
        <v>2.8460498941515412E-3</v>
      </c>
      <c r="BQ60" s="1771" t="str">
        <f t="shared" si="48"/>
        <v/>
      </c>
      <c r="BR60" s="3437" t="str">
        <f t="shared" si="49"/>
        <v/>
      </c>
      <c r="BS60" s="1771" t="str">
        <f t="shared" si="49"/>
        <v/>
      </c>
      <c r="BT60" s="1771" t="str">
        <f t="shared" si="49"/>
        <v/>
      </c>
      <c r="BU60" s="3442" t="str">
        <f t="shared" si="49"/>
        <v/>
      </c>
      <c r="BV60" s="1771" t="str">
        <f t="shared" si="49"/>
        <v/>
      </c>
      <c r="BW60" s="3442" t="str">
        <f t="shared" si="49"/>
        <v/>
      </c>
      <c r="BX60" s="3462"/>
      <c r="BY60" s="3439" t="str">
        <f>IF(L60=L319,"stop","")</f>
        <v/>
      </c>
      <c r="BZ60" s="3437" t="str">
        <f t="shared" si="50"/>
        <v/>
      </c>
      <c r="CA60" s="1771" t="str">
        <f t="shared" si="50"/>
        <v/>
      </c>
      <c r="CB60" s="1771" t="str">
        <f t="shared" si="50"/>
        <v/>
      </c>
      <c r="CC60" s="3442" t="str">
        <f t="shared" si="50"/>
        <v/>
      </c>
      <c r="CD60" s="1771" t="str">
        <f t="shared" si="50"/>
        <v/>
      </c>
      <c r="CE60" s="3437" t="str">
        <f t="shared" si="50"/>
        <v/>
      </c>
      <c r="CF60" s="1771" t="str">
        <f t="shared" si="50"/>
        <v/>
      </c>
      <c r="CG60" s="1771" t="str">
        <f t="shared" si="50"/>
        <v/>
      </c>
      <c r="CH60" s="3437" t="str">
        <f t="shared" si="50"/>
        <v/>
      </c>
      <c r="CI60" s="1771" t="str">
        <f t="shared" si="50"/>
        <v/>
      </c>
      <c r="CJ60" s="1771">
        <f t="shared" si="50"/>
        <v>0.15001349999999999</v>
      </c>
      <c r="CK60" s="3442" t="str">
        <f t="shared" si="50"/>
        <v/>
      </c>
      <c r="CL60" s="3437" t="str">
        <f t="shared" si="51"/>
        <v/>
      </c>
      <c r="CM60" s="1771" t="str">
        <f t="shared" si="51"/>
        <v/>
      </c>
      <c r="CN60" s="1771" t="str">
        <f t="shared" si="51"/>
        <v/>
      </c>
      <c r="CO60" s="3442" t="str">
        <f t="shared" si="51"/>
        <v/>
      </c>
      <c r="CP60" s="1771" t="str">
        <f t="shared" si="51"/>
        <v/>
      </c>
      <c r="CQ60" s="3442" t="str">
        <f t="shared" si="51"/>
        <v/>
      </c>
      <c r="CR60" s="3462"/>
    </row>
    <row r="61" spans="1:96" s="3" customFormat="1">
      <c r="A61" s="1838" t="s">
        <v>750</v>
      </c>
      <c r="B61" s="1775">
        <v>15</v>
      </c>
      <c r="C61" s="1775">
        <v>20.73</v>
      </c>
      <c r="D61" s="1775">
        <v>1.1E-5</v>
      </c>
      <c r="E61" s="1796" t="s">
        <v>35</v>
      </c>
      <c r="F61" s="1775">
        <v>2.4E-2</v>
      </c>
      <c r="G61" s="1775" t="s">
        <v>695</v>
      </c>
      <c r="H61" s="1775">
        <v>1996</v>
      </c>
      <c r="I61" s="1807"/>
      <c r="J61" s="1775">
        <f t="shared" si="0"/>
        <v>20.73</v>
      </c>
      <c r="K61" s="1775">
        <v>1.1E-5</v>
      </c>
      <c r="L61" s="1775" t="s">
        <v>35</v>
      </c>
      <c r="M61" s="1775">
        <v>2.4E-2</v>
      </c>
      <c r="N61" s="1788">
        <f t="shared" si="14"/>
        <v>5.1380930314660509E-4</v>
      </c>
      <c r="O61" s="1829">
        <f t="shared" si="15"/>
        <v>1.2005500000000001E-2</v>
      </c>
      <c r="P61" s="1776" t="s">
        <v>1088</v>
      </c>
      <c r="Q61" s="3" t="str">
        <f>IF(J61=J319,"stop","")</f>
        <v/>
      </c>
      <c r="R61" s="3437" t="str">
        <f t="shared" si="45"/>
        <v/>
      </c>
      <c r="S61" s="1771" t="str">
        <f t="shared" si="45"/>
        <v/>
      </c>
      <c r="T61" s="1771" t="str">
        <f t="shared" si="45"/>
        <v/>
      </c>
      <c r="U61" s="1771" t="str">
        <f t="shared" si="45"/>
        <v/>
      </c>
      <c r="V61" s="3443" t="str">
        <f t="shared" si="45"/>
        <v/>
      </c>
      <c r="W61" s="1771" t="str">
        <f t="shared" si="45"/>
        <v/>
      </c>
      <c r="X61" s="1771" t="str">
        <f t="shared" si="45"/>
        <v/>
      </c>
      <c r="Y61" s="1771" t="str">
        <f t="shared" si="45"/>
        <v/>
      </c>
      <c r="Z61" s="3437" t="str">
        <f t="shared" si="45"/>
        <v/>
      </c>
      <c r="AA61" s="1771" t="str">
        <f t="shared" si="45"/>
        <v/>
      </c>
      <c r="AB61" s="1771">
        <f t="shared" si="45"/>
        <v>1.1E-5</v>
      </c>
      <c r="AC61" s="3442" t="str">
        <f t="shared" si="45"/>
        <v/>
      </c>
      <c r="AD61" s="1771" t="str">
        <f t="shared" si="45"/>
        <v/>
      </c>
      <c r="AE61" s="1771" t="str">
        <f t="shared" si="45"/>
        <v/>
      </c>
      <c r="AF61" s="1771" t="str">
        <f t="shared" si="45"/>
        <v/>
      </c>
      <c r="AG61" s="3442" t="str">
        <f t="shared" si="45"/>
        <v/>
      </c>
      <c r="AH61" s="1771" t="str">
        <f t="shared" ref="AH61:AI87" si="52">IF(AND($J61&gt;AH$4,$J61&lt;=AH$5,$P61=AH$6),$K61,"")</f>
        <v/>
      </c>
      <c r="AI61" s="3442" t="str">
        <f t="shared" si="4"/>
        <v/>
      </c>
      <c r="AJ61" s="3462"/>
      <c r="AK61" s="3439" t="str">
        <f>IF(J61=J319,"stop","")</f>
        <v/>
      </c>
      <c r="AL61" s="3437" t="str">
        <f t="shared" si="46"/>
        <v/>
      </c>
      <c r="AM61" s="1771" t="str">
        <f t="shared" si="46"/>
        <v/>
      </c>
      <c r="AN61" s="1771" t="str">
        <f t="shared" si="46"/>
        <v/>
      </c>
      <c r="AO61" s="1771" t="str">
        <f t="shared" si="46"/>
        <v/>
      </c>
      <c r="AP61" s="3443" t="str">
        <f t="shared" si="46"/>
        <v/>
      </c>
      <c r="AQ61" s="1771" t="str">
        <f t="shared" si="46"/>
        <v/>
      </c>
      <c r="AR61" s="1771" t="str">
        <f t="shared" si="46"/>
        <v/>
      </c>
      <c r="AS61" s="3442" t="str">
        <f t="shared" si="46"/>
        <v/>
      </c>
      <c r="AT61" s="1771" t="str">
        <f t="shared" si="46"/>
        <v/>
      </c>
      <c r="AU61" s="1771" t="str">
        <f t="shared" si="46"/>
        <v/>
      </c>
      <c r="AV61" s="1771">
        <f t="shared" si="46"/>
        <v>2.4E-2</v>
      </c>
      <c r="AW61" s="3442" t="str">
        <f t="shared" si="46"/>
        <v/>
      </c>
      <c r="AX61" s="1771" t="str">
        <f t="shared" si="47"/>
        <v/>
      </c>
      <c r="AY61" s="1771" t="str">
        <f t="shared" si="47"/>
        <v/>
      </c>
      <c r="AZ61" s="1771" t="str">
        <f t="shared" si="47"/>
        <v/>
      </c>
      <c r="BA61" s="1771" t="str">
        <f t="shared" si="47"/>
        <v/>
      </c>
      <c r="BB61" s="3437" t="str">
        <f t="shared" si="47"/>
        <v/>
      </c>
      <c r="BC61" s="3443" t="str">
        <f t="shared" si="47"/>
        <v/>
      </c>
      <c r="BD61" s="3462"/>
      <c r="BE61" s="3440" t="str">
        <f>IF(J61=J319,"stop","")</f>
        <v/>
      </c>
      <c r="BF61" s="1771" t="str">
        <f t="shared" si="48"/>
        <v/>
      </c>
      <c r="BG61" s="1771" t="str">
        <f t="shared" si="48"/>
        <v/>
      </c>
      <c r="BH61" s="1771" t="str">
        <f t="shared" si="48"/>
        <v/>
      </c>
      <c r="BI61" s="1771" t="str">
        <f t="shared" si="48"/>
        <v/>
      </c>
      <c r="BJ61" s="3443" t="str">
        <f t="shared" si="48"/>
        <v/>
      </c>
      <c r="BK61" s="3437" t="str">
        <f t="shared" si="48"/>
        <v/>
      </c>
      <c r="BL61" s="1771" t="str">
        <f t="shared" si="48"/>
        <v/>
      </c>
      <c r="BM61" s="3442" t="str">
        <f t="shared" si="48"/>
        <v/>
      </c>
      <c r="BN61" s="1771" t="str">
        <f t="shared" si="48"/>
        <v/>
      </c>
      <c r="BO61" s="1771" t="str">
        <f t="shared" si="48"/>
        <v/>
      </c>
      <c r="BP61" s="1771">
        <f t="shared" si="48"/>
        <v>5.1380930314660509E-4</v>
      </c>
      <c r="BQ61" s="1771" t="str">
        <f t="shared" si="48"/>
        <v/>
      </c>
      <c r="BR61" s="3437" t="str">
        <f t="shared" si="49"/>
        <v/>
      </c>
      <c r="BS61" s="1771" t="str">
        <f t="shared" si="49"/>
        <v/>
      </c>
      <c r="BT61" s="1771" t="str">
        <f t="shared" si="49"/>
        <v/>
      </c>
      <c r="BU61" s="3442" t="str">
        <f t="shared" si="49"/>
        <v/>
      </c>
      <c r="BV61" s="1771" t="str">
        <f t="shared" si="49"/>
        <v/>
      </c>
      <c r="BW61" s="3442" t="str">
        <f t="shared" si="49"/>
        <v/>
      </c>
      <c r="BX61" s="3462"/>
      <c r="BY61" s="3439" t="str">
        <f>IF(L61=L319,"stop","")</f>
        <v/>
      </c>
      <c r="BZ61" s="3437" t="str">
        <f t="shared" si="50"/>
        <v/>
      </c>
      <c r="CA61" s="1771" t="str">
        <f t="shared" si="50"/>
        <v/>
      </c>
      <c r="CB61" s="1771" t="str">
        <f t="shared" si="50"/>
        <v/>
      </c>
      <c r="CC61" s="3442" t="str">
        <f t="shared" si="50"/>
        <v/>
      </c>
      <c r="CD61" s="1771" t="str">
        <f t="shared" si="50"/>
        <v/>
      </c>
      <c r="CE61" s="3437" t="str">
        <f t="shared" si="50"/>
        <v/>
      </c>
      <c r="CF61" s="1771" t="str">
        <f t="shared" si="50"/>
        <v/>
      </c>
      <c r="CG61" s="1771" t="str">
        <f t="shared" si="50"/>
        <v/>
      </c>
      <c r="CH61" s="3437" t="str">
        <f t="shared" si="50"/>
        <v/>
      </c>
      <c r="CI61" s="1771" t="str">
        <f t="shared" si="50"/>
        <v/>
      </c>
      <c r="CJ61" s="1771">
        <f t="shared" si="50"/>
        <v>1.2005500000000001E-2</v>
      </c>
      <c r="CK61" s="3442" t="str">
        <f t="shared" si="50"/>
        <v/>
      </c>
      <c r="CL61" s="3437" t="str">
        <f t="shared" si="51"/>
        <v/>
      </c>
      <c r="CM61" s="1771" t="str">
        <f t="shared" si="51"/>
        <v/>
      </c>
      <c r="CN61" s="1771" t="str">
        <f t="shared" si="51"/>
        <v/>
      </c>
      <c r="CO61" s="3442" t="str">
        <f t="shared" si="51"/>
        <v/>
      </c>
      <c r="CP61" s="1771" t="str">
        <f t="shared" si="51"/>
        <v/>
      </c>
      <c r="CQ61" s="3442" t="str">
        <f t="shared" si="51"/>
        <v/>
      </c>
      <c r="CR61" s="3462"/>
    </row>
    <row r="62" spans="1:96" s="3" customFormat="1">
      <c r="A62" s="1839" t="s">
        <v>751</v>
      </c>
      <c r="B62" s="1789">
        <v>15</v>
      </c>
      <c r="C62" s="1789"/>
      <c r="D62" s="1789">
        <v>1.4E-2</v>
      </c>
      <c r="E62" s="1796" t="s">
        <v>35</v>
      </c>
      <c r="F62" s="1789">
        <v>0.18</v>
      </c>
      <c r="G62" s="1789" t="s">
        <v>695</v>
      </c>
      <c r="H62" s="1789">
        <v>1996</v>
      </c>
      <c r="I62" s="1807"/>
      <c r="J62" s="1792">
        <f>J61</f>
        <v>20.73</v>
      </c>
      <c r="K62" s="1789">
        <v>1.4E-2</v>
      </c>
      <c r="L62" s="1789" t="s">
        <v>35</v>
      </c>
      <c r="M62" s="1789">
        <v>0.18</v>
      </c>
      <c r="N62" s="1790">
        <f t="shared" si="14"/>
        <v>5.0199601592044535E-2</v>
      </c>
      <c r="O62" s="1830">
        <f t="shared" si="15"/>
        <v>9.7000000000000003E-2</v>
      </c>
      <c r="P62" s="1776" t="s">
        <v>1088</v>
      </c>
      <c r="Q62" s="3" t="str">
        <f>IF(J62=J319,"stop","")</f>
        <v/>
      </c>
      <c r="R62" s="3437" t="str">
        <f t="shared" si="45"/>
        <v/>
      </c>
      <c r="S62" s="1771" t="str">
        <f t="shared" si="45"/>
        <v/>
      </c>
      <c r="T62" s="1771" t="str">
        <f t="shared" si="45"/>
        <v/>
      </c>
      <c r="U62" s="1771" t="str">
        <f t="shared" si="45"/>
        <v/>
      </c>
      <c r="V62" s="3443" t="str">
        <f t="shared" si="45"/>
        <v/>
      </c>
      <c r="W62" s="1771" t="str">
        <f t="shared" si="45"/>
        <v/>
      </c>
      <c r="X62" s="1771" t="str">
        <f t="shared" si="45"/>
        <v/>
      </c>
      <c r="Y62" s="1771" t="str">
        <f t="shared" si="45"/>
        <v/>
      </c>
      <c r="Z62" s="3437" t="str">
        <f t="shared" si="45"/>
        <v/>
      </c>
      <c r="AA62" s="1771" t="str">
        <f t="shared" si="45"/>
        <v/>
      </c>
      <c r="AB62" s="1771">
        <f t="shared" si="45"/>
        <v>1.4E-2</v>
      </c>
      <c r="AC62" s="3442" t="str">
        <f t="shared" si="45"/>
        <v/>
      </c>
      <c r="AD62" s="1771" t="str">
        <f t="shared" si="45"/>
        <v/>
      </c>
      <c r="AE62" s="1771" t="str">
        <f t="shared" si="45"/>
        <v/>
      </c>
      <c r="AF62" s="1771" t="str">
        <f t="shared" si="45"/>
        <v/>
      </c>
      <c r="AG62" s="3442" t="str">
        <f t="shared" si="45"/>
        <v/>
      </c>
      <c r="AH62" s="1771" t="str">
        <f t="shared" si="52"/>
        <v/>
      </c>
      <c r="AI62" s="3442" t="str">
        <f t="shared" si="4"/>
        <v/>
      </c>
      <c r="AJ62" s="3462"/>
      <c r="AK62" s="3439" t="str">
        <f>IF(J62=J319,"stop","")</f>
        <v/>
      </c>
      <c r="AL62" s="3437" t="str">
        <f t="shared" si="46"/>
        <v/>
      </c>
      <c r="AM62" s="1771" t="str">
        <f t="shared" si="46"/>
        <v/>
      </c>
      <c r="AN62" s="1771" t="str">
        <f t="shared" si="46"/>
        <v/>
      </c>
      <c r="AO62" s="1771" t="str">
        <f t="shared" si="46"/>
        <v/>
      </c>
      <c r="AP62" s="3443" t="str">
        <f t="shared" si="46"/>
        <v/>
      </c>
      <c r="AQ62" s="1771" t="str">
        <f t="shared" si="46"/>
        <v/>
      </c>
      <c r="AR62" s="1771" t="str">
        <f t="shared" si="46"/>
        <v/>
      </c>
      <c r="AS62" s="3442" t="str">
        <f t="shared" si="46"/>
        <v/>
      </c>
      <c r="AT62" s="1771" t="str">
        <f t="shared" si="46"/>
        <v/>
      </c>
      <c r="AU62" s="1771" t="str">
        <f t="shared" si="46"/>
        <v/>
      </c>
      <c r="AV62" s="1771">
        <f t="shared" si="46"/>
        <v>0.18</v>
      </c>
      <c r="AW62" s="3442" t="str">
        <f t="shared" si="46"/>
        <v/>
      </c>
      <c r="AX62" s="1771" t="str">
        <f t="shared" si="47"/>
        <v/>
      </c>
      <c r="AY62" s="1771" t="str">
        <f t="shared" si="47"/>
        <v/>
      </c>
      <c r="AZ62" s="1771" t="str">
        <f t="shared" si="47"/>
        <v/>
      </c>
      <c r="BA62" s="1771" t="str">
        <f t="shared" si="47"/>
        <v/>
      </c>
      <c r="BB62" s="3437" t="str">
        <f t="shared" si="47"/>
        <v/>
      </c>
      <c r="BC62" s="3443" t="str">
        <f t="shared" si="47"/>
        <v/>
      </c>
      <c r="BD62" s="3462"/>
      <c r="BE62" s="3440" t="str">
        <f>IF(J62=J319,"stop","")</f>
        <v/>
      </c>
      <c r="BF62" s="1771" t="str">
        <f t="shared" si="48"/>
        <v/>
      </c>
      <c r="BG62" s="1771" t="str">
        <f t="shared" si="48"/>
        <v/>
      </c>
      <c r="BH62" s="1771" t="str">
        <f t="shared" si="48"/>
        <v/>
      </c>
      <c r="BI62" s="1771" t="str">
        <f t="shared" si="48"/>
        <v/>
      </c>
      <c r="BJ62" s="3443" t="str">
        <f t="shared" si="48"/>
        <v/>
      </c>
      <c r="BK62" s="3437" t="str">
        <f t="shared" si="48"/>
        <v/>
      </c>
      <c r="BL62" s="1771" t="str">
        <f t="shared" si="48"/>
        <v/>
      </c>
      <c r="BM62" s="3442" t="str">
        <f t="shared" si="48"/>
        <v/>
      </c>
      <c r="BN62" s="1771" t="str">
        <f t="shared" si="48"/>
        <v/>
      </c>
      <c r="BO62" s="1771" t="str">
        <f t="shared" si="48"/>
        <v/>
      </c>
      <c r="BP62" s="1771">
        <f t="shared" si="48"/>
        <v>5.0199601592044535E-2</v>
      </c>
      <c r="BQ62" s="1771" t="str">
        <f t="shared" si="48"/>
        <v/>
      </c>
      <c r="BR62" s="3437" t="str">
        <f t="shared" si="49"/>
        <v/>
      </c>
      <c r="BS62" s="1771" t="str">
        <f t="shared" si="49"/>
        <v/>
      </c>
      <c r="BT62" s="1771" t="str">
        <f t="shared" si="49"/>
        <v/>
      </c>
      <c r="BU62" s="3442" t="str">
        <f t="shared" si="49"/>
        <v/>
      </c>
      <c r="BV62" s="1771" t="str">
        <f t="shared" si="49"/>
        <v/>
      </c>
      <c r="BW62" s="3442" t="str">
        <f t="shared" si="49"/>
        <v/>
      </c>
      <c r="BX62" s="3462"/>
      <c r="BY62" s="3439" t="str">
        <f>IF(L62=L319,"stop","")</f>
        <v/>
      </c>
      <c r="BZ62" s="3437" t="str">
        <f t="shared" si="50"/>
        <v/>
      </c>
      <c r="CA62" s="1771" t="str">
        <f t="shared" si="50"/>
        <v/>
      </c>
      <c r="CB62" s="1771" t="str">
        <f t="shared" si="50"/>
        <v/>
      </c>
      <c r="CC62" s="3442" t="str">
        <f t="shared" si="50"/>
        <v/>
      </c>
      <c r="CD62" s="1771" t="str">
        <f t="shared" si="50"/>
        <v/>
      </c>
      <c r="CE62" s="3437" t="str">
        <f t="shared" si="50"/>
        <v/>
      </c>
      <c r="CF62" s="1771" t="str">
        <f t="shared" si="50"/>
        <v/>
      </c>
      <c r="CG62" s="1771" t="str">
        <f t="shared" si="50"/>
        <v/>
      </c>
      <c r="CH62" s="3437" t="str">
        <f t="shared" si="50"/>
        <v/>
      </c>
      <c r="CI62" s="1771" t="str">
        <f t="shared" si="50"/>
        <v/>
      </c>
      <c r="CJ62" s="1771">
        <f t="shared" si="50"/>
        <v>9.7000000000000003E-2</v>
      </c>
      <c r="CK62" s="3442" t="str">
        <f t="shared" si="50"/>
        <v/>
      </c>
      <c r="CL62" s="3437" t="str">
        <f t="shared" si="51"/>
        <v/>
      </c>
      <c r="CM62" s="1771" t="str">
        <f t="shared" si="51"/>
        <v/>
      </c>
      <c r="CN62" s="1771" t="str">
        <f t="shared" si="51"/>
        <v/>
      </c>
      <c r="CO62" s="3442" t="str">
        <f t="shared" si="51"/>
        <v/>
      </c>
      <c r="CP62" s="1771" t="str">
        <f t="shared" si="51"/>
        <v/>
      </c>
      <c r="CQ62" s="3442" t="str">
        <f t="shared" si="51"/>
        <v/>
      </c>
      <c r="CR62" s="3462"/>
    </row>
    <row r="63" spans="1:96" s="3" customFormat="1">
      <c r="A63" s="1838" t="s">
        <v>752</v>
      </c>
      <c r="B63" s="1775">
        <v>15</v>
      </c>
      <c r="C63" s="1775"/>
      <c r="D63" s="1775">
        <v>1.2999999999999999E-5</v>
      </c>
      <c r="E63" s="1796" t="s">
        <v>35</v>
      </c>
      <c r="F63" s="1775">
        <v>1.0999999999999999E-2</v>
      </c>
      <c r="G63" s="1775" t="s">
        <v>695</v>
      </c>
      <c r="H63" s="1775">
        <v>1996</v>
      </c>
      <c r="I63" s="1807"/>
      <c r="J63" s="1792">
        <f>J62</f>
        <v>20.73</v>
      </c>
      <c r="K63" s="1775">
        <v>1.2999999999999999E-5</v>
      </c>
      <c r="L63" s="1775" t="s">
        <v>35</v>
      </c>
      <c r="M63" s="1775">
        <v>1.0999999999999999E-2</v>
      </c>
      <c r="N63" s="1788">
        <f t="shared" si="14"/>
        <v>3.7815340802378072E-4</v>
      </c>
      <c r="O63" s="1829">
        <f t="shared" si="15"/>
        <v>5.5065000000000001E-3</v>
      </c>
      <c r="P63" s="1776" t="s">
        <v>1088</v>
      </c>
      <c r="Q63" s="3" t="str">
        <f>IF(J63=J319,"stop","")</f>
        <v/>
      </c>
      <c r="R63" s="3437" t="str">
        <f t="shared" si="45"/>
        <v/>
      </c>
      <c r="S63" s="1771" t="str">
        <f t="shared" si="45"/>
        <v/>
      </c>
      <c r="T63" s="1771" t="str">
        <f t="shared" si="45"/>
        <v/>
      </c>
      <c r="U63" s="1771" t="str">
        <f t="shared" si="45"/>
        <v/>
      </c>
      <c r="V63" s="3443" t="str">
        <f t="shared" si="45"/>
        <v/>
      </c>
      <c r="W63" s="1771" t="str">
        <f t="shared" si="45"/>
        <v/>
      </c>
      <c r="X63" s="1771" t="str">
        <f t="shared" si="45"/>
        <v/>
      </c>
      <c r="Y63" s="1771" t="str">
        <f t="shared" si="45"/>
        <v/>
      </c>
      <c r="Z63" s="3437" t="str">
        <f t="shared" si="45"/>
        <v/>
      </c>
      <c r="AA63" s="1771" t="str">
        <f t="shared" si="45"/>
        <v/>
      </c>
      <c r="AB63" s="1771">
        <f t="shared" si="45"/>
        <v>1.2999999999999999E-5</v>
      </c>
      <c r="AC63" s="3442" t="str">
        <f t="shared" si="45"/>
        <v/>
      </c>
      <c r="AD63" s="1771" t="str">
        <f t="shared" si="45"/>
        <v/>
      </c>
      <c r="AE63" s="1771" t="str">
        <f t="shared" si="45"/>
        <v/>
      </c>
      <c r="AF63" s="1771" t="str">
        <f t="shared" si="45"/>
        <v/>
      </c>
      <c r="AG63" s="3442" t="str">
        <f t="shared" si="45"/>
        <v/>
      </c>
      <c r="AH63" s="1771" t="str">
        <f t="shared" si="52"/>
        <v/>
      </c>
      <c r="AI63" s="3442" t="str">
        <f t="shared" si="4"/>
        <v/>
      </c>
      <c r="AJ63" s="3462"/>
      <c r="AK63" s="3439" t="str">
        <f>IF(J63=J319,"stop","")</f>
        <v/>
      </c>
      <c r="AL63" s="3437" t="str">
        <f t="shared" si="46"/>
        <v/>
      </c>
      <c r="AM63" s="1771" t="str">
        <f t="shared" si="46"/>
        <v/>
      </c>
      <c r="AN63" s="1771" t="str">
        <f t="shared" si="46"/>
        <v/>
      </c>
      <c r="AO63" s="1771" t="str">
        <f t="shared" si="46"/>
        <v/>
      </c>
      <c r="AP63" s="3443" t="str">
        <f t="shared" si="46"/>
        <v/>
      </c>
      <c r="AQ63" s="1771" t="str">
        <f t="shared" si="46"/>
        <v/>
      </c>
      <c r="AR63" s="1771" t="str">
        <f t="shared" si="46"/>
        <v/>
      </c>
      <c r="AS63" s="3442" t="str">
        <f t="shared" si="46"/>
        <v/>
      </c>
      <c r="AT63" s="1771" t="str">
        <f t="shared" si="46"/>
        <v/>
      </c>
      <c r="AU63" s="1771" t="str">
        <f t="shared" si="46"/>
        <v/>
      </c>
      <c r="AV63" s="1771">
        <f t="shared" si="46"/>
        <v>1.0999999999999999E-2</v>
      </c>
      <c r="AW63" s="3442" t="str">
        <f t="shared" si="46"/>
        <v/>
      </c>
      <c r="AX63" s="1771" t="str">
        <f t="shared" si="47"/>
        <v/>
      </c>
      <c r="AY63" s="1771" t="str">
        <f t="shared" si="47"/>
        <v/>
      </c>
      <c r="AZ63" s="1771" t="str">
        <f t="shared" si="47"/>
        <v/>
      </c>
      <c r="BA63" s="1771" t="str">
        <f t="shared" si="47"/>
        <v/>
      </c>
      <c r="BB63" s="3437" t="str">
        <f t="shared" si="47"/>
        <v/>
      </c>
      <c r="BC63" s="3443" t="str">
        <f t="shared" si="47"/>
        <v/>
      </c>
      <c r="BD63" s="3462"/>
      <c r="BE63" s="3440" t="str">
        <f>IF(J63=J319,"stop","")</f>
        <v/>
      </c>
      <c r="BF63" s="1771" t="str">
        <f t="shared" si="48"/>
        <v/>
      </c>
      <c r="BG63" s="1771" t="str">
        <f t="shared" si="48"/>
        <v/>
      </c>
      <c r="BH63" s="1771" t="str">
        <f t="shared" si="48"/>
        <v/>
      </c>
      <c r="BI63" s="1771" t="str">
        <f t="shared" si="48"/>
        <v/>
      </c>
      <c r="BJ63" s="3443" t="str">
        <f t="shared" si="48"/>
        <v/>
      </c>
      <c r="BK63" s="3437" t="str">
        <f t="shared" si="48"/>
        <v/>
      </c>
      <c r="BL63" s="1771" t="str">
        <f t="shared" si="48"/>
        <v/>
      </c>
      <c r="BM63" s="3442" t="str">
        <f t="shared" si="48"/>
        <v/>
      </c>
      <c r="BN63" s="1771" t="str">
        <f t="shared" si="48"/>
        <v/>
      </c>
      <c r="BO63" s="1771" t="str">
        <f t="shared" si="48"/>
        <v/>
      </c>
      <c r="BP63" s="1771">
        <f t="shared" si="48"/>
        <v>3.7815340802378072E-4</v>
      </c>
      <c r="BQ63" s="1771" t="str">
        <f t="shared" si="48"/>
        <v/>
      </c>
      <c r="BR63" s="3437" t="str">
        <f t="shared" si="49"/>
        <v/>
      </c>
      <c r="BS63" s="1771" t="str">
        <f t="shared" si="49"/>
        <v/>
      </c>
      <c r="BT63" s="1771" t="str">
        <f t="shared" si="49"/>
        <v/>
      </c>
      <c r="BU63" s="3442" t="str">
        <f t="shared" si="49"/>
        <v/>
      </c>
      <c r="BV63" s="1771" t="str">
        <f t="shared" si="49"/>
        <v/>
      </c>
      <c r="BW63" s="3442" t="str">
        <f t="shared" si="49"/>
        <v/>
      </c>
      <c r="BX63" s="3462"/>
      <c r="BY63" s="3439" t="str">
        <f>IF(L63=L319,"stop","")</f>
        <v/>
      </c>
      <c r="BZ63" s="3437" t="str">
        <f t="shared" si="50"/>
        <v/>
      </c>
      <c r="CA63" s="1771" t="str">
        <f t="shared" si="50"/>
        <v/>
      </c>
      <c r="CB63" s="1771" t="str">
        <f t="shared" si="50"/>
        <v/>
      </c>
      <c r="CC63" s="3442" t="str">
        <f t="shared" si="50"/>
        <v/>
      </c>
      <c r="CD63" s="1771" t="str">
        <f t="shared" si="50"/>
        <v/>
      </c>
      <c r="CE63" s="3437" t="str">
        <f t="shared" si="50"/>
        <v/>
      </c>
      <c r="CF63" s="1771" t="str">
        <f t="shared" si="50"/>
        <v/>
      </c>
      <c r="CG63" s="1771" t="str">
        <f t="shared" si="50"/>
        <v/>
      </c>
      <c r="CH63" s="3437" t="str">
        <f t="shared" si="50"/>
        <v/>
      </c>
      <c r="CI63" s="1771" t="str">
        <f t="shared" si="50"/>
        <v/>
      </c>
      <c r="CJ63" s="1771">
        <f t="shared" si="50"/>
        <v>5.5065000000000001E-3</v>
      </c>
      <c r="CK63" s="3442" t="str">
        <f t="shared" si="50"/>
        <v/>
      </c>
      <c r="CL63" s="3437" t="str">
        <f t="shared" si="51"/>
        <v/>
      </c>
      <c r="CM63" s="1771" t="str">
        <f t="shared" si="51"/>
        <v/>
      </c>
      <c r="CN63" s="1771" t="str">
        <f t="shared" si="51"/>
        <v/>
      </c>
      <c r="CO63" s="3442" t="str">
        <f t="shared" si="51"/>
        <v/>
      </c>
      <c r="CP63" s="1771" t="str">
        <f t="shared" si="51"/>
        <v/>
      </c>
      <c r="CQ63" s="3442" t="str">
        <f t="shared" si="51"/>
        <v/>
      </c>
      <c r="CR63" s="3462"/>
    </row>
    <row r="64" spans="1:96" s="3" customFormat="1" ht="22.5">
      <c r="A64" s="1838" t="s">
        <v>753</v>
      </c>
      <c r="B64" s="1775">
        <v>15</v>
      </c>
      <c r="C64" s="1775"/>
      <c r="D64" s="1775">
        <v>1.0000000000000001E-5</v>
      </c>
      <c r="E64" s="1796" t="s">
        <v>35</v>
      </c>
      <c r="F64" s="1775">
        <v>3.4000000000000002E-2</v>
      </c>
      <c r="G64" s="1775" t="s">
        <v>695</v>
      </c>
      <c r="H64" s="1775">
        <v>1996</v>
      </c>
      <c r="I64" s="1807"/>
      <c r="J64" s="1792">
        <f>J63</f>
        <v>20.73</v>
      </c>
      <c r="K64" s="1775">
        <v>1.0000000000000001E-5</v>
      </c>
      <c r="L64" s="1775" t="s">
        <v>35</v>
      </c>
      <c r="M64" s="1775">
        <v>3.4000000000000002E-2</v>
      </c>
      <c r="N64" s="1788">
        <f t="shared" si="14"/>
        <v>5.8309518948453012E-4</v>
      </c>
      <c r="O64" s="1829">
        <f t="shared" si="15"/>
        <v>1.7005000000000003E-2</v>
      </c>
      <c r="P64" s="1776" t="s">
        <v>1088</v>
      </c>
      <c r="Q64" s="3" t="str">
        <f>IF(J64=J319,"stop","")</f>
        <v/>
      </c>
      <c r="R64" s="3437" t="str">
        <f t="shared" si="45"/>
        <v/>
      </c>
      <c r="S64" s="1771" t="str">
        <f t="shared" si="45"/>
        <v/>
      </c>
      <c r="T64" s="1771" t="str">
        <f t="shared" si="45"/>
        <v/>
      </c>
      <c r="U64" s="1771" t="str">
        <f t="shared" si="45"/>
        <v/>
      </c>
      <c r="V64" s="3443" t="str">
        <f t="shared" si="45"/>
        <v/>
      </c>
      <c r="W64" s="1771" t="str">
        <f t="shared" si="45"/>
        <v/>
      </c>
      <c r="X64" s="1771" t="str">
        <f t="shared" si="45"/>
        <v/>
      </c>
      <c r="Y64" s="1771" t="str">
        <f t="shared" si="45"/>
        <v/>
      </c>
      <c r="Z64" s="3437" t="str">
        <f t="shared" si="45"/>
        <v/>
      </c>
      <c r="AA64" s="1771" t="str">
        <f t="shared" si="45"/>
        <v/>
      </c>
      <c r="AB64" s="1771">
        <f t="shared" si="45"/>
        <v>1.0000000000000001E-5</v>
      </c>
      <c r="AC64" s="3442" t="str">
        <f t="shared" si="45"/>
        <v/>
      </c>
      <c r="AD64" s="1771" t="str">
        <f t="shared" si="45"/>
        <v/>
      </c>
      <c r="AE64" s="1771" t="str">
        <f t="shared" si="45"/>
        <v/>
      </c>
      <c r="AF64" s="1771" t="str">
        <f t="shared" si="45"/>
        <v/>
      </c>
      <c r="AG64" s="3442" t="str">
        <f t="shared" si="45"/>
        <v/>
      </c>
      <c r="AH64" s="1771" t="str">
        <f t="shared" si="52"/>
        <v/>
      </c>
      <c r="AI64" s="3442" t="str">
        <f t="shared" si="4"/>
        <v/>
      </c>
      <c r="AJ64" s="3462"/>
      <c r="AK64" s="3439" t="str">
        <f>IF(J64=J319,"stop","")</f>
        <v/>
      </c>
      <c r="AL64" s="3437" t="str">
        <f t="shared" si="46"/>
        <v/>
      </c>
      <c r="AM64" s="1771" t="str">
        <f t="shared" si="46"/>
        <v/>
      </c>
      <c r="AN64" s="1771" t="str">
        <f t="shared" si="46"/>
        <v/>
      </c>
      <c r="AO64" s="1771" t="str">
        <f t="shared" si="46"/>
        <v/>
      </c>
      <c r="AP64" s="3443" t="str">
        <f t="shared" si="46"/>
        <v/>
      </c>
      <c r="AQ64" s="1771" t="str">
        <f t="shared" si="46"/>
        <v/>
      </c>
      <c r="AR64" s="1771" t="str">
        <f t="shared" si="46"/>
        <v/>
      </c>
      <c r="AS64" s="3442" t="str">
        <f t="shared" si="46"/>
        <v/>
      </c>
      <c r="AT64" s="1771" t="str">
        <f t="shared" si="46"/>
        <v/>
      </c>
      <c r="AU64" s="1771" t="str">
        <f t="shared" si="46"/>
        <v/>
      </c>
      <c r="AV64" s="1771">
        <f t="shared" si="46"/>
        <v>3.4000000000000002E-2</v>
      </c>
      <c r="AW64" s="3442" t="str">
        <f t="shared" si="46"/>
        <v/>
      </c>
      <c r="AX64" s="1771" t="str">
        <f t="shared" si="47"/>
        <v/>
      </c>
      <c r="AY64" s="1771" t="str">
        <f t="shared" si="47"/>
        <v/>
      </c>
      <c r="AZ64" s="1771" t="str">
        <f t="shared" si="47"/>
        <v/>
      </c>
      <c r="BA64" s="1771" t="str">
        <f t="shared" si="47"/>
        <v/>
      </c>
      <c r="BB64" s="3437" t="str">
        <f t="shared" si="47"/>
        <v/>
      </c>
      <c r="BC64" s="3443" t="str">
        <f t="shared" si="47"/>
        <v/>
      </c>
      <c r="BD64" s="3462"/>
      <c r="BE64" s="3440" t="str">
        <f>IF(J64=J319,"stop","")</f>
        <v/>
      </c>
      <c r="BF64" s="1771" t="str">
        <f t="shared" si="48"/>
        <v/>
      </c>
      <c r="BG64" s="1771" t="str">
        <f t="shared" si="48"/>
        <v/>
      </c>
      <c r="BH64" s="1771" t="str">
        <f t="shared" si="48"/>
        <v/>
      </c>
      <c r="BI64" s="1771" t="str">
        <f t="shared" si="48"/>
        <v/>
      </c>
      <c r="BJ64" s="3443" t="str">
        <f t="shared" si="48"/>
        <v/>
      </c>
      <c r="BK64" s="3437" t="str">
        <f t="shared" si="48"/>
        <v/>
      </c>
      <c r="BL64" s="1771" t="str">
        <f t="shared" si="48"/>
        <v/>
      </c>
      <c r="BM64" s="3442" t="str">
        <f t="shared" si="48"/>
        <v/>
      </c>
      <c r="BN64" s="1771" t="str">
        <f t="shared" si="48"/>
        <v/>
      </c>
      <c r="BO64" s="1771" t="str">
        <f t="shared" si="48"/>
        <v/>
      </c>
      <c r="BP64" s="1771">
        <f t="shared" si="48"/>
        <v>5.8309518948453012E-4</v>
      </c>
      <c r="BQ64" s="1771" t="str">
        <f t="shared" si="48"/>
        <v/>
      </c>
      <c r="BR64" s="3437" t="str">
        <f t="shared" si="49"/>
        <v/>
      </c>
      <c r="BS64" s="1771" t="str">
        <f t="shared" si="49"/>
        <v/>
      </c>
      <c r="BT64" s="1771" t="str">
        <f t="shared" si="49"/>
        <v/>
      </c>
      <c r="BU64" s="3442" t="str">
        <f t="shared" si="49"/>
        <v/>
      </c>
      <c r="BV64" s="1771" t="str">
        <f t="shared" si="49"/>
        <v/>
      </c>
      <c r="BW64" s="3442" t="str">
        <f t="shared" si="49"/>
        <v/>
      </c>
      <c r="BX64" s="3462"/>
      <c r="BY64" s="3439" t="str">
        <f>IF(L64=L319,"stop","")</f>
        <v/>
      </c>
      <c r="BZ64" s="3437" t="str">
        <f t="shared" si="50"/>
        <v/>
      </c>
      <c r="CA64" s="1771" t="str">
        <f t="shared" si="50"/>
        <v/>
      </c>
      <c r="CB64" s="1771" t="str">
        <f t="shared" si="50"/>
        <v/>
      </c>
      <c r="CC64" s="3442" t="str">
        <f t="shared" si="50"/>
        <v/>
      </c>
      <c r="CD64" s="1771" t="str">
        <f t="shared" si="50"/>
        <v/>
      </c>
      <c r="CE64" s="3437" t="str">
        <f t="shared" si="50"/>
        <v/>
      </c>
      <c r="CF64" s="1771" t="str">
        <f t="shared" si="50"/>
        <v/>
      </c>
      <c r="CG64" s="1771" t="str">
        <f t="shared" si="50"/>
        <v/>
      </c>
      <c r="CH64" s="3437" t="str">
        <f t="shared" si="50"/>
        <v/>
      </c>
      <c r="CI64" s="1771" t="str">
        <f t="shared" si="50"/>
        <v/>
      </c>
      <c r="CJ64" s="1771">
        <f t="shared" si="50"/>
        <v>1.7005000000000003E-2</v>
      </c>
      <c r="CK64" s="3442" t="str">
        <f t="shared" si="50"/>
        <v/>
      </c>
      <c r="CL64" s="3437" t="str">
        <f t="shared" si="51"/>
        <v/>
      </c>
      <c r="CM64" s="1771" t="str">
        <f t="shared" si="51"/>
        <v/>
      </c>
      <c r="CN64" s="1771" t="str">
        <f t="shared" si="51"/>
        <v/>
      </c>
      <c r="CO64" s="3442" t="str">
        <f t="shared" si="51"/>
        <v/>
      </c>
      <c r="CP64" s="1771" t="str">
        <f t="shared" si="51"/>
        <v/>
      </c>
      <c r="CQ64" s="3442" t="str">
        <f t="shared" si="51"/>
        <v/>
      </c>
      <c r="CR64" s="3462"/>
    </row>
    <row r="65" spans="1:96" s="3" customFormat="1">
      <c r="A65" s="1838" t="s">
        <v>754</v>
      </c>
      <c r="B65" s="1775">
        <v>16</v>
      </c>
      <c r="C65" s="1775">
        <v>20.8</v>
      </c>
      <c r="D65" s="1775">
        <v>1.8E-5</v>
      </c>
      <c r="E65" s="1796" t="s">
        <v>35</v>
      </c>
      <c r="F65" s="1775">
        <v>1.4999999999999999E-2</v>
      </c>
      <c r="G65" s="1775" t="s">
        <v>695</v>
      </c>
      <c r="H65" s="1775">
        <v>1996</v>
      </c>
      <c r="I65" s="1807"/>
      <c r="J65" s="1775">
        <f t="shared" si="0"/>
        <v>20.8</v>
      </c>
      <c r="K65" s="1775">
        <v>1.8E-5</v>
      </c>
      <c r="L65" s="1775" t="s">
        <v>35</v>
      </c>
      <c r="M65" s="1775">
        <v>1.4999999999999999E-2</v>
      </c>
      <c r="N65" s="1788">
        <f t="shared" si="14"/>
        <v>5.1961524227066324E-4</v>
      </c>
      <c r="O65" s="1829">
        <f t="shared" si="15"/>
        <v>7.509E-3</v>
      </c>
      <c r="P65" s="1776" t="s">
        <v>1088</v>
      </c>
      <c r="Q65" s="3" t="str">
        <f>IF(J65=J319,"stop","")</f>
        <v/>
      </c>
      <c r="R65" s="3437" t="str">
        <f t="shared" si="45"/>
        <v/>
      </c>
      <c r="S65" s="1771" t="str">
        <f t="shared" si="45"/>
        <v/>
      </c>
      <c r="T65" s="1771" t="str">
        <f t="shared" si="45"/>
        <v/>
      </c>
      <c r="U65" s="1771" t="str">
        <f t="shared" si="45"/>
        <v/>
      </c>
      <c r="V65" s="3443" t="str">
        <f t="shared" si="45"/>
        <v/>
      </c>
      <c r="W65" s="1771" t="str">
        <f t="shared" si="45"/>
        <v/>
      </c>
      <c r="X65" s="1771" t="str">
        <f t="shared" si="45"/>
        <v/>
      </c>
      <c r="Y65" s="1771" t="str">
        <f t="shared" si="45"/>
        <v/>
      </c>
      <c r="Z65" s="3437" t="str">
        <f t="shared" si="45"/>
        <v/>
      </c>
      <c r="AA65" s="1771" t="str">
        <f t="shared" si="45"/>
        <v/>
      </c>
      <c r="AB65" s="1771">
        <f t="shared" si="45"/>
        <v>1.8E-5</v>
      </c>
      <c r="AC65" s="3442" t="str">
        <f t="shared" si="45"/>
        <v/>
      </c>
      <c r="AD65" s="1771" t="str">
        <f t="shared" si="45"/>
        <v/>
      </c>
      <c r="AE65" s="1771" t="str">
        <f t="shared" si="45"/>
        <v/>
      </c>
      <c r="AF65" s="1771" t="str">
        <f t="shared" si="45"/>
        <v/>
      </c>
      <c r="AG65" s="3442" t="str">
        <f t="shared" si="45"/>
        <v/>
      </c>
      <c r="AH65" s="1771" t="str">
        <f t="shared" si="52"/>
        <v/>
      </c>
      <c r="AI65" s="3442" t="str">
        <f t="shared" si="4"/>
        <v/>
      </c>
      <c r="AJ65" s="3462"/>
      <c r="AK65" s="3439" t="str">
        <f>IF(J65=J319,"stop","")</f>
        <v/>
      </c>
      <c r="AL65" s="3437" t="str">
        <f t="shared" si="46"/>
        <v/>
      </c>
      <c r="AM65" s="1771" t="str">
        <f t="shared" si="46"/>
        <v/>
      </c>
      <c r="AN65" s="1771" t="str">
        <f t="shared" si="46"/>
        <v/>
      </c>
      <c r="AO65" s="1771" t="str">
        <f t="shared" si="46"/>
        <v/>
      </c>
      <c r="AP65" s="3443" t="str">
        <f t="shared" si="46"/>
        <v/>
      </c>
      <c r="AQ65" s="1771" t="str">
        <f t="shared" si="46"/>
        <v/>
      </c>
      <c r="AR65" s="1771" t="str">
        <f t="shared" si="46"/>
        <v/>
      </c>
      <c r="AS65" s="3442" t="str">
        <f t="shared" si="46"/>
        <v/>
      </c>
      <c r="AT65" s="1771" t="str">
        <f t="shared" si="46"/>
        <v/>
      </c>
      <c r="AU65" s="1771" t="str">
        <f t="shared" si="46"/>
        <v/>
      </c>
      <c r="AV65" s="1771">
        <f t="shared" si="46"/>
        <v>1.4999999999999999E-2</v>
      </c>
      <c r="AW65" s="3442" t="str">
        <f t="shared" si="46"/>
        <v/>
      </c>
      <c r="AX65" s="1771" t="str">
        <f t="shared" si="47"/>
        <v/>
      </c>
      <c r="AY65" s="1771" t="str">
        <f t="shared" si="47"/>
        <v/>
      </c>
      <c r="AZ65" s="1771" t="str">
        <f t="shared" si="47"/>
        <v/>
      </c>
      <c r="BA65" s="1771" t="str">
        <f t="shared" si="47"/>
        <v/>
      </c>
      <c r="BB65" s="3437" t="str">
        <f t="shared" si="47"/>
        <v/>
      </c>
      <c r="BC65" s="3443" t="str">
        <f t="shared" si="47"/>
        <v/>
      </c>
      <c r="BD65" s="3462"/>
      <c r="BE65" s="3440" t="str">
        <f>IF(J65=J319,"stop","")</f>
        <v/>
      </c>
      <c r="BF65" s="1771" t="str">
        <f t="shared" si="48"/>
        <v/>
      </c>
      <c r="BG65" s="1771" t="str">
        <f t="shared" si="48"/>
        <v/>
      </c>
      <c r="BH65" s="1771" t="str">
        <f t="shared" si="48"/>
        <v/>
      </c>
      <c r="BI65" s="1771" t="str">
        <f t="shared" si="48"/>
        <v/>
      </c>
      <c r="BJ65" s="3443" t="str">
        <f t="shared" si="48"/>
        <v/>
      </c>
      <c r="BK65" s="3437" t="str">
        <f t="shared" si="48"/>
        <v/>
      </c>
      <c r="BL65" s="1771" t="str">
        <f t="shared" si="48"/>
        <v/>
      </c>
      <c r="BM65" s="3442" t="str">
        <f t="shared" si="48"/>
        <v/>
      </c>
      <c r="BN65" s="1771" t="str">
        <f t="shared" si="48"/>
        <v/>
      </c>
      <c r="BO65" s="1771" t="str">
        <f t="shared" si="48"/>
        <v/>
      </c>
      <c r="BP65" s="1771">
        <f t="shared" si="48"/>
        <v>5.1961524227066324E-4</v>
      </c>
      <c r="BQ65" s="1771" t="str">
        <f t="shared" si="48"/>
        <v/>
      </c>
      <c r="BR65" s="3437" t="str">
        <f t="shared" si="49"/>
        <v/>
      </c>
      <c r="BS65" s="1771" t="str">
        <f t="shared" si="49"/>
        <v/>
      </c>
      <c r="BT65" s="1771" t="str">
        <f t="shared" si="49"/>
        <v/>
      </c>
      <c r="BU65" s="3442" t="str">
        <f t="shared" si="49"/>
        <v/>
      </c>
      <c r="BV65" s="1771" t="str">
        <f t="shared" si="49"/>
        <v/>
      </c>
      <c r="BW65" s="3442" t="str">
        <f t="shared" si="49"/>
        <v/>
      </c>
      <c r="BX65" s="3462"/>
      <c r="BY65" s="3439" t="str">
        <f>IF(L65=L319,"stop","")</f>
        <v/>
      </c>
      <c r="BZ65" s="3437" t="str">
        <f t="shared" si="50"/>
        <v/>
      </c>
      <c r="CA65" s="1771" t="str">
        <f t="shared" si="50"/>
        <v/>
      </c>
      <c r="CB65" s="1771" t="str">
        <f t="shared" si="50"/>
        <v/>
      </c>
      <c r="CC65" s="3442" t="str">
        <f t="shared" si="50"/>
        <v/>
      </c>
      <c r="CD65" s="1771" t="str">
        <f t="shared" si="50"/>
        <v/>
      </c>
      <c r="CE65" s="3437" t="str">
        <f t="shared" si="50"/>
        <v/>
      </c>
      <c r="CF65" s="1771" t="str">
        <f t="shared" si="50"/>
        <v/>
      </c>
      <c r="CG65" s="1771" t="str">
        <f t="shared" si="50"/>
        <v/>
      </c>
      <c r="CH65" s="3437" t="str">
        <f t="shared" si="50"/>
        <v/>
      </c>
      <c r="CI65" s="1771" t="str">
        <f t="shared" si="50"/>
        <v/>
      </c>
      <c r="CJ65" s="1771">
        <f t="shared" si="50"/>
        <v>7.509E-3</v>
      </c>
      <c r="CK65" s="3442" t="str">
        <f t="shared" si="50"/>
        <v/>
      </c>
      <c r="CL65" s="3437" t="str">
        <f t="shared" si="51"/>
        <v/>
      </c>
      <c r="CM65" s="1771" t="str">
        <f t="shared" si="51"/>
        <v/>
      </c>
      <c r="CN65" s="1771" t="str">
        <f t="shared" si="51"/>
        <v/>
      </c>
      <c r="CO65" s="3442" t="str">
        <f t="shared" si="51"/>
        <v/>
      </c>
      <c r="CP65" s="1771" t="str">
        <f t="shared" si="51"/>
        <v/>
      </c>
      <c r="CQ65" s="3442" t="str">
        <f t="shared" si="51"/>
        <v/>
      </c>
      <c r="CR65" s="3462"/>
    </row>
    <row r="66" spans="1:96" s="3" customFormat="1">
      <c r="A66" s="1838" t="s">
        <v>755</v>
      </c>
      <c r="B66" s="1775">
        <v>17</v>
      </c>
      <c r="C66" s="1775"/>
      <c r="D66" s="1775">
        <v>2.3999999999999999E-6</v>
      </c>
      <c r="E66" s="1796" t="s">
        <v>35</v>
      </c>
      <c r="F66" s="1775">
        <v>1.3699999999999999E-3</v>
      </c>
      <c r="G66" s="1775" t="s">
        <v>695</v>
      </c>
      <c r="H66" s="1775">
        <v>1996</v>
      </c>
      <c r="I66" s="1807"/>
      <c r="J66" s="1792">
        <f>J65+1</f>
        <v>21.8</v>
      </c>
      <c r="K66" s="1775">
        <v>2.3999999999999999E-6</v>
      </c>
      <c r="L66" s="1775" t="s">
        <v>35</v>
      </c>
      <c r="M66" s="1775">
        <v>1.3699999999999999E-3</v>
      </c>
      <c r="N66" s="1788">
        <f t="shared" si="14"/>
        <v>5.7341084747325801E-5</v>
      </c>
      <c r="O66" s="1829">
        <f t="shared" si="15"/>
        <v>6.8619999999999998E-4</v>
      </c>
      <c r="P66" s="1776" t="s">
        <v>1088</v>
      </c>
      <c r="Q66" s="3" t="str">
        <f>IF(J66=J319,"stop","")</f>
        <v/>
      </c>
      <c r="R66" s="3437" t="str">
        <f t="shared" si="45"/>
        <v/>
      </c>
      <c r="S66" s="1771" t="str">
        <f t="shared" si="45"/>
        <v/>
      </c>
      <c r="T66" s="1771" t="str">
        <f t="shared" si="45"/>
        <v/>
      </c>
      <c r="U66" s="1771" t="str">
        <f t="shared" si="45"/>
        <v/>
      </c>
      <c r="V66" s="3443" t="str">
        <f t="shared" si="45"/>
        <v/>
      </c>
      <c r="W66" s="1771" t="str">
        <f t="shared" si="45"/>
        <v/>
      </c>
      <c r="X66" s="1771" t="str">
        <f t="shared" si="45"/>
        <v/>
      </c>
      <c r="Y66" s="1771" t="str">
        <f t="shared" si="45"/>
        <v/>
      </c>
      <c r="Z66" s="3437" t="str">
        <f t="shared" si="45"/>
        <v/>
      </c>
      <c r="AA66" s="1771" t="str">
        <f t="shared" si="45"/>
        <v/>
      </c>
      <c r="AB66" s="1771" t="str">
        <f t="shared" si="45"/>
        <v/>
      </c>
      <c r="AC66" s="3442">
        <f t="shared" si="45"/>
        <v>2.3999999999999999E-6</v>
      </c>
      <c r="AD66" s="1771" t="str">
        <f t="shared" si="45"/>
        <v/>
      </c>
      <c r="AE66" s="1771" t="str">
        <f t="shared" si="45"/>
        <v/>
      </c>
      <c r="AF66" s="1771" t="str">
        <f t="shared" si="45"/>
        <v/>
      </c>
      <c r="AG66" s="3442" t="str">
        <f t="shared" si="45"/>
        <v/>
      </c>
      <c r="AH66" s="1771" t="str">
        <f t="shared" si="52"/>
        <v/>
      </c>
      <c r="AI66" s="3442" t="str">
        <f t="shared" si="4"/>
        <v/>
      </c>
      <c r="AJ66" s="3462"/>
      <c r="AK66" s="3439" t="str">
        <f>IF(J66=J319,"stop","")</f>
        <v/>
      </c>
      <c r="AL66" s="3437" t="str">
        <f t="shared" si="46"/>
        <v/>
      </c>
      <c r="AM66" s="1771" t="str">
        <f t="shared" si="46"/>
        <v/>
      </c>
      <c r="AN66" s="1771" t="str">
        <f t="shared" si="46"/>
        <v/>
      </c>
      <c r="AO66" s="1771" t="str">
        <f t="shared" si="46"/>
        <v/>
      </c>
      <c r="AP66" s="3443" t="str">
        <f t="shared" si="46"/>
        <v/>
      </c>
      <c r="AQ66" s="1771" t="str">
        <f t="shared" si="46"/>
        <v/>
      </c>
      <c r="AR66" s="1771" t="str">
        <f t="shared" si="46"/>
        <v/>
      </c>
      <c r="AS66" s="3442" t="str">
        <f t="shared" si="46"/>
        <v/>
      </c>
      <c r="AT66" s="1771" t="str">
        <f t="shared" si="46"/>
        <v/>
      </c>
      <c r="AU66" s="1771" t="str">
        <f t="shared" si="46"/>
        <v/>
      </c>
      <c r="AV66" s="1771" t="str">
        <f t="shared" si="46"/>
        <v/>
      </c>
      <c r="AW66" s="3442">
        <f t="shared" si="46"/>
        <v>1.3699999999999999E-3</v>
      </c>
      <c r="AX66" s="1771" t="str">
        <f t="shared" si="47"/>
        <v/>
      </c>
      <c r="AY66" s="1771" t="str">
        <f t="shared" si="47"/>
        <v/>
      </c>
      <c r="AZ66" s="1771" t="str">
        <f t="shared" si="47"/>
        <v/>
      </c>
      <c r="BA66" s="1771" t="str">
        <f t="shared" si="47"/>
        <v/>
      </c>
      <c r="BB66" s="3437" t="str">
        <f t="shared" si="47"/>
        <v/>
      </c>
      <c r="BC66" s="3443" t="str">
        <f t="shared" si="47"/>
        <v/>
      </c>
      <c r="BD66" s="3462"/>
      <c r="BE66" s="3440" t="str">
        <f>IF(J66=J319,"stop","")</f>
        <v/>
      </c>
      <c r="BF66" s="1771" t="str">
        <f t="shared" si="48"/>
        <v/>
      </c>
      <c r="BG66" s="1771" t="str">
        <f t="shared" si="48"/>
        <v/>
      </c>
      <c r="BH66" s="1771" t="str">
        <f t="shared" si="48"/>
        <v/>
      </c>
      <c r="BI66" s="1771" t="str">
        <f t="shared" si="48"/>
        <v/>
      </c>
      <c r="BJ66" s="3443" t="str">
        <f t="shared" si="48"/>
        <v/>
      </c>
      <c r="BK66" s="3437" t="str">
        <f t="shared" si="48"/>
        <v/>
      </c>
      <c r="BL66" s="1771" t="str">
        <f t="shared" si="48"/>
        <v/>
      </c>
      <c r="BM66" s="3442" t="str">
        <f t="shared" si="48"/>
        <v/>
      </c>
      <c r="BN66" s="1771" t="str">
        <f t="shared" si="48"/>
        <v/>
      </c>
      <c r="BO66" s="1771" t="str">
        <f t="shared" si="48"/>
        <v/>
      </c>
      <c r="BP66" s="1771" t="str">
        <f t="shared" si="48"/>
        <v/>
      </c>
      <c r="BQ66" s="1771">
        <f t="shared" si="48"/>
        <v>5.7341084747325801E-5</v>
      </c>
      <c r="BR66" s="3437" t="str">
        <f t="shared" si="49"/>
        <v/>
      </c>
      <c r="BS66" s="1771" t="str">
        <f t="shared" si="49"/>
        <v/>
      </c>
      <c r="BT66" s="1771" t="str">
        <f t="shared" si="49"/>
        <v/>
      </c>
      <c r="BU66" s="3442" t="str">
        <f t="shared" si="49"/>
        <v/>
      </c>
      <c r="BV66" s="1771" t="str">
        <f t="shared" si="49"/>
        <v/>
      </c>
      <c r="BW66" s="3442" t="str">
        <f t="shared" si="49"/>
        <v/>
      </c>
      <c r="BX66" s="3462"/>
      <c r="BY66" s="3439" t="str">
        <f>IF(L66=L319,"stop","")</f>
        <v/>
      </c>
      <c r="BZ66" s="3437" t="str">
        <f t="shared" si="50"/>
        <v/>
      </c>
      <c r="CA66" s="1771" t="str">
        <f t="shared" si="50"/>
        <v/>
      </c>
      <c r="CB66" s="1771" t="str">
        <f t="shared" si="50"/>
        <v/>
      </c>
      <c r="CC66" s="3442" t="str">
        <f t="shared" si="50"/>
        <v/>
      </c>
      <c r="CD66" s="1771" t="str">
        <f t="shared" si="50"/>
        <v/>
      </c>
      <c r="CE66" s="3437" t="str">
        <f t="shared" si="50"/>
        <v/>
      </c>
      <c r="CF66" s="1771" t="str">
        <f t="shared" si="50"/>
        <v/>
      </c>
      <c r="CG66" s="1771" t="str">
        <f t="shared" si="50"/>
        <v/>
      </c>
      <c r="CH66" s="3437" t="str">
        <f t="shared" si="50"/>
        <v/>
      </c>
      <c r="CI66" s="1771" t="str">
        <f t="shared" si="50"/>
        <v/>
      </c>
      <c r="CJ66" s="1771" t="str">
        <f t="shared" si="50"/>
        <v/>
      </c>
      <c r="CK66" s="3442">
        <f t="shared" si="50"/>
        <v>6.8619999999999998E-4</v>
      </c>
      <c r="CL66" s="3437" t="str">
        <f t="shared" si="51"/>
        <v/>
      </c>
      <c r="CM66" s="1771" t="str">
        <f t="shared" si="51"/>
        <v/>
      </c>
      <c r="CN66" s="1771" t="str">
        <f t="shared" si="51"/>
        <v/>
      </c>
      <c r="CO66" s="3442" t="str">
        <f t="shared" si="51"/>
        <v/>
      </c>
      <c r="CP66" s="1771" t="str">
        <f t="shared" si="51"/>
        <v/>
      </c>
      <c r="CQ66" s="3442" t="str">
        <f t="shared" si="51"/>
        <v/>
      </c>
      <c r="CR66" s="3462"/>
    </row>
    <row r="67" spans="1:96" s="3" customFormat="1">
      <c r="A67" s="1838" t="s">
        <v>756</v>
      </c>
      <c r="B67" s="1775">
        <v>17</v>
      </c>
      <c r="C67" s="1775"/>
      <c r="D67" s="1775">
        <v>3.7000000000000002E-6</v>
      </c>
      <c r="E67" s="1796" t="s">
        <v>35</v>
      </c>
      <c r="F67" s="1775">
        <v>1.06E-3</v>
      </c>
      <c r="G67" s="1775" t="s">
        <v>695</v>
      </c>
      <c r="H67" s="1775">
        <v>1996</v>
      </c>
      <c r="I67" s="1807"/>
      <c r="J67" s="1792">
        <f>J66</f>
        <v>21.8</v>
      </c>
      <c r="K67" s="1775">
        <v>3.7000000000000002E-6</v>
      </c>
      <c r="L67" s="1775" t="s">
        <v>35</v>
      </c>
      <c r="M67" s="1775">
        <v>1.06E-3</v>
      </c>
      <c r="N67" s="1788">
        <f t="shared" si="14"/>
        <v>6.2625873247404703E-5</v>
      </c>
      <c r="O67" s="1829">
        <f t="shared" si="15"/>
        <v>5.3184999999999994E-4</v>
      </c>
      <c r="P67" s="1776" t="s">
        <v>1088</v>
      </c>
      <c r="Q67" s="3" t="str">
        <f>IF(J67=J319,"stop","")</f>
        <v/>
      </c>
      <c r="R67" s="3437" t="str">
        <f t="shared" si="45"/>
        <v/>
      </c>
      <c r="S67" s="1771" t="str">
        <f t="shared" si="45"/>
        <v/>
      </c>
      <c r="T67" s="1771" t="str">
        <f t="shared" si="45"/>
        <v/>
      </c>
      <c r="U67" s="1771" t="str">
        <f t="shared" si="45"/>
        <v/>
      </c>
      <c r="V67" s="3443" t="str">
        <f t="shared" si="45"/>
        <v/>
      </c>
      <c r="W67" s="1771" t="str">
        <f t="shared" si="45"/>
        <v/>
      </c>
      <c r="X67" s="1771" t="str">
        <f t="shared" si="45"/>
        <v/>
      </c>
      <c r="Y67" s="1771" t="str">
        <f t="shared" si="45"/>
        <v/>
      </c>
      <c r="Z67" s="3437" t="str">
        <f t="shared" si="45"/>
        <v/>
      </c>
      <c r="AA67" s="1771" t="str">
        <f t="shared" si="45"/>
        <v/>
      </c>
      <c r="AB67" s="1771" t="str">
        <f t="shared" si="45"/>
        <v/>
      </c>
      <c r="AC67" s="3442">
        <f t="shared" si="45"/>
        <v>3.7000000000000002E-6</v>
      </c>
      <c r="AD67" s="1771" t="str">
        <f t="shared" si="45"/>
        <v/>
      </c>
      <c r="AE67" s="1771" t="str">
        <f t="shared" si="45"/>
        <v/>
      </c>
      <c r="AF67" s="1771" t="str">
        <f t="shared" si="45"/>
        <v/>
      </c>
      <c r="AG67" s="3442" t="str">
        <f t="shared" si="45"/>
        <v/>
      </c>
      <c r="AH67" s="1771" t="str">
        <f t="shared" si="52"/>
        <v/>
      </c>
      <c r="AI67" s="3442" t="str">
        <f t="shared" si="4"/>
        <v/>
      </c>
      <c r="AJ67" s="3462"/>
      <c r="AK67" s="3439" t="str">
        <f>IF(J67=J319,"stop","")</f>
        <v/>
      </c>
      <c r="AL67" s="3437" t="str">
        <f t="shared" si="46"/>
        <v/>
      </c>
      <c r="AM67" s="1771" t="str">
        <f t="shared" si="46"/>
        <v/>
      </c>
      <c r="AN67" s="1771" t="str">
        <f t="shared" si="46"/>
        <v/>
      </c>
      <c r="AO67" s="1771" t="str">
        <f t="shared" si="46"/>
        <v/>
      </c>
      <c r="AP67" s="3443" t="str">
        <f t="shared" si="46"/>
        <v/>
      </c>
      <c r="AQ67" s="1771" t="str">
        <f t="shared" si="46"/>
        <v/>
      </c>
      <c r="AR67" s="1771" t="str">
        <f t="shared" si="46"/>
        <v/>
      </c>
      <c r="AS67" s="3442" t="str">
        <f t="shared" si="46"/>
        <v/>
      </c>
      <c r="AT67" s="1771" t="str">
        <f t="shared" si="46"/>
        <v/>
      </c>
      <c r="AU67" s="1771" t="str">
        <f t="shared" si="46"/>
        <v/>
      </c>
      <c r="AV67" s="1771" t="str">
        <f t="shared" si="46"/>
        <v/>
      </c>
      <c r="AW67" s="3442">
        <f t="shared" si="46"/>
        <v>1.06E-3</v>
      </c>
      <c r="AX67" s="1771" t="str">
        <f t="shared" si="47"/>
        <v/>
      </c>
      <c r="AY67" s="1771" t="str">
        <f t="shared" si="47"/>
        <v/>
      </c>
      <c r="AZ67" s="1771" t="str">
        <f t="shared" si="47"/>
        <v/>
      </c>
      <c r="BA67" s="1771" t="str">
        <f t="shared" si="47"/>
        <v/>
      </c>
      <c r="BB67" s="3437" t="str">
        <f t="shared" si="47"/>
        <v/>
      </c>
      <c r="BC67" s="3443" t="str">
        <f t="shared" si="47"/>
        <v/>
      </c>
      <c r="BD67" s="3462"/>
      <c r="BE67" s="3440" t="str">
        <f>IF(J67=J319,"stop","")</f>
        <v/>
      </c>
      <c r="BF67" s="1771" t="str">
        <f t="shared" si="48"/>
        <v/>
      </c>
      <c r="BG67" s="1771" t="str">
        <f t="shared" si="48"/>
        <v/>
      </c>
      <c r="BH67" s="1771" t="str">
        <f t="shared" si="48"/>
        <v/>
      </c>
      <c r="BI67" s="1771" t="str">
        <f t="shared" si="48"/>
        <v/>
      </c>
      <c r="BJ67" s="3443" t="str">
        <f t="shared" si="48"/>
        <v/>
      </c>
      <c r="BK67" s="3437" t="str">
        <f t="shared" si="48"/>
        <v/>
      </c>
      <c r="BL67" s="1771" t="str">
        <f t="shared" si="48"/>
        <v/>
      </c>
      <c r="BM67" s="3442" t="str">
        <f t="shared" si="48"/>
        <v/>
      </c>
      <c r="BN67" s="1771" t="str">
        <f t="shared" si="48"/>
        <v/>
      </c>
      <c r="BO67" s="1771" t="str">
        <f t="shared" si="48"/>
        <v/>
      </c>
      <c r="BP67" s="1771" t="str">
        <f t="shared" si="48"/>
        <v/>
      </c>
      <c r="BQ67" s="1771">
        <f t="shared" si="48"/>
        <v>6.2625873247404703E-5</v>
      </c>
      <c r="BR67" s="3437" t="str">
        <f t="shared" si="49"/>
        <v/>
      </c>
      <c r="BS67" s="1771" t="str">
        <f t="shared" si="49"/>
        <v/>
      </c>
      <c r="BT67" s="1771" t="str">
        <f t="shared" si="49"/>
        <v/>
      </c>
      <c r="BU67" s="3442" t="str">
        <f t="shared" si="49"/>
        <v/>
      </c>
      <c r="BV67" s="1771" t="str">
        <f t="shared" si="49"/>
        <v/>
      </c>
      <c r="BW67" s="3442" t="str">
        <f t="shared" si="49"/>
        <v/>
      </c>
      <c r="BX67" s="3462"/>
      <c r="BY67" s="3439" t="str">
        <f>IF(L67=L319,"stop","")</f>
        <v/>
      </c>
      <c r="BZ67" s="3437" t="str">
        <f t="shared" si="50"/>
        <v/>
      </c>
      <c r="CA67" s="1771" t="str">
        <f t="shared" si="50"/>
        <v/>
      </c>
      <c r="CB67" s="1771" t="str">
        <f t="shared" si="50"/>
        <v/>
      </c>
      <c r="CC67" s="3442" t="str">
        <f t="shared" si="50"/>
        <v/>
      </c>
      <c r="CD67" s="1771" t="str">
        <f t="shared" si="50"/>
        <v/>
      </c>
      <c r="CE67" s="3437" t="str">
        <f t="shared" si="50"/>
        <v/>
      </c>
      <c r="CF67" s="1771" t="str">
        <f t="shared" si="50"/>
        <v/>
      </c>
      <c r="CG67" s="1771" t="str">
        <f t="shared" si="50"/>
        <v/>
      </c>
      <c r="CH67" s="3437" t="str">
        <f t="shared" si="50"/>
        <v/>
      </c>
      <c r="CI67" s="1771" t="str">
        <f t="shared" si="50"/>
        <v/>
      </c>
      <c r="CJ67" s="1771" t="str">
        <f t="shared" si="50"/>
        <v/>
      </c>
      <c r="CK67" s="3442">
        <f t="shared" si="50"/>
        <v>5.3184999999999994E-4</v>
      </c>
      <c r="CL67" s="3437" t="str">
        <f t="shared" si="51"/>
        <v/>
      </c>
      <c r="CM67" s="1771" t="str">
        <f t="shared" si="51"/>
        <v/>
      </c>
      <c r="CN67" s="1771" t="str">
        <f t="shared" si="51"/>
        <v/>
      </c>
      <c r="CO67" s="3442" t="str">
        <f t="shared" si="51"/>
        <v/>
      </c>
      <c r="CP67" s="1771" t="str">
        <f t="shared" si="51"/>
        <v/>
      </c>
      <c r="CQ67" s="3442" t="str">
        <f t="shared" si="51"/>
        <v/>
      </c>
      <c r="CR67" s="3462"/>
    </row>
    <row r="68" spans="1:96" s="3" customFormat="1">
      <c r="A68" s="1838" t="s">
        <v>757</v>
      </c>
      <c r="B68" s="1775">
        <v>18</v>
      </c>
      <c r="C68" s="1775">
        <v>26.37</v>
      </c>
      <c r="D68" s="1775">
        <v>2.0999999999999998E-6</v>
      </c>
      <c r="E68" s="1796" t="s">
        <v>35</v>
      </c>
      <c r="F68" s="1775">
        <v>6.7000000000000002E-4</v>
      </c>
      <c r="G68" s="1775" t="s">
        <v>695</v>
      </c>
      <c r="H68" s="1775">
        <v>1996</v>
      </c>
      <c r="I68" s="1807"/>
      <c r="J68" s="1775">
        <f t="shared" si="0"/>
        <v>26.37</v>
      </c>
      <c r="K68" s="1775">
        <v>2.0999999999999998E-6</v>
      </c>
      <c r="L68" s="1775" t="s">
        <v>35</v>
      </c>
      <c r="M68" s="1775">
        <v>6.7000000000000002E-4</v>
      </c>
      <c r="N68" s="1788">
        <f t="shared" si="14"/>
        <v>3.7509998667022101E-5</v>
      </c>
      <c r="O68" s="1829">
        <f t="shared" si="15"/>
        <v>3.3605000000000001E-4</v>
      </c>
      <c r="P68" s="1776" t="s">
        <v>1088</v>
      </c>
      <c r="Q68" s="3" t="str">
        <f>IF(J68=J319,"stop","")</f>
        <v/>
      </c>
      <c r="R68" s="3437" t="str">
        <f t="shared" si="45"/>
        <v/>
      </c>
      <c r="S68" s="1771" t="str">
        <f t="shared" si="45"/>
        <v/>
      </c>
      <c r="T68" s="1771" t="str">
        <f t="shared" si="45"/>
        <v/>
      </c>
      <c r="U68" s="1771" t="str">
        <f t="shared" si="45"/>
        <v/>
      </c>
      <c r="V68" s="3443" t="str">
        <f t="shared" si="45"/>
        <v/>
      </c>
      <c r="W68" s="1771" t="str">
        <f t="shared" si="45"/>
        <v/>
      </c>
      <c r="X68" s="1771" t="str">
        <f t="shared" si="45"/>
        <v/>
      </c>
      <c r="Y68" s="1771" t="str">
        <f t="shared" si="45"/>
        <v/>
      </c>
      <c r="Z68" s="3437" t="str">
        <f t="shared" si="45"/>
        <v/>
      </c>
      <c r="AA68" s="1771" t="str">
        <f t="shared" si="45"/>
        <v/>
      </c>
      <c r="AB68" s="1771" t="str">
        <f t="shared" si="45"/>
        <v/>
      </c>
      <c r="AC68" s="3442">
        <f t="shared" si="45"/>
        <v>2.0999999999999998E-6</v>
      </c>
      <c r="AD68" s="1771" t="str">
        <f t="shared" si="45"/>
        <v/>
      </c>
      <c r="AE68" s="1771" t="str">
        <f t="shared" si="45"/>
        <v/>
      </c>
      <c r="AF68" s="1771" t="str">
        <f t="shared" si="45"/>
        <v/>
      </c>
      <c r="AG68" s="3442" t="str">
        <f t="shared" si="45"/>
        <v/>
      </c>
      <c r="AH68" s="1771" t="str">
        <f t="shared" si="52"/>
        <v/>
      </c>
      <c r="AI68" s="3442" t="str">
        <f t="shared" si="4"/>
        <v/>
      </c>
      <c r="AJ68" s="3462"/>
      <c r="AK68" s="3439" t="str">
        <f>IF(J68=J319,"stop","")</f>
        <v/>
      </c>
      <c r="AL68" s="3437" t="str">
        <f t="shared" si="46"/>
        <v/>
      </c>
      <c r="AM68" s="1771" t="str">
        <f t="shared" si="46"/>
        <v/>
      </c>
      <c r="AN68" s="1771" t="str">
        <f t="shared" si="46"/>
        <v/>
      </c>
      <c r="AO68" s="1771" t="str">
        <f t="shared" si="46"/>
        <v/>
      </c>
      <c r="AP68" s="3443" t="str">
        <f t="shared" si="46"/>
        <v/>
      </c>
      <c r="AQ68" s="1771" t="str">
        <f t="shared" si="46"/>
        <v/>
      </c>
      <c r="AR68" s="1771" t="str">
        <f t="shared" si="46"/>
        <v/>
      </c>
      <c r="AS68" s="3442" t="str">
        <f t="shared" si="46"/>
        <v/>
      </c>
      <c r="AT68" s="1771" t="str">
        <f t="shared" si="46"/>
        <v/>
      </c>
      <c r="AU68" s="1771" t="str">
        <f t="shared" si="46"/>
        <v/>
      </c>
      <c r="AV68" s="1771" t="str">
        <f t="shared" si="46"/>
        <v/>
      </c>
      <c r="AW68" s="3442">
        <f t="shared" si="46"/>
        <v>6.7000000000000002E-4</v>
      </c>
      <c r="AX68" s="1771" t="str">
        <f t="shared" si="47"/>
        <v/>
      </c>
      <c r="AY68" s="1771" t="str">
        <f t="shared" si="47"/>
        <v/>
      </c>
      <c r="AZ68" s="1771" t="str">
        <f t="shared" si="47"/>
        <v/>
      </c>
      <c r="BA68" s="1771" t="str">
        <f t="shared" si="47"/>
        <v/>
      </c>
      <c r="BB68" s="3437" t="str">
        <f t="shared" si="47"/>
        <v/>
      </c>
      <c r="BC68" s="3443" t="str">
        <f t="shared" si="47"/>
        <v/>
      </c>
      <c r="BD68" s="3462"/>
      <c r="BE68" s="3440" t="str">
        <f>IF(J68=J319,"stop","")</f>
        <v/>
      </c>
      <c r="BF68" s="1771" t="str">
        <f t="shared" si="48"/>
        <v/>
      </c>
      <c r="BG68" s="1771" t="str">
        <f t="shared" si="48"/>
        <v/>
      </c>
      <c r="BH68" s="1771" t="str">
        <f t="shared" si="48"/>
        <v/>
      </c>
      <c r="BI68" s="1771" t="str">
        <f t="shared" si="48"/>
        <v/>
      </c>
      <c r="BJ68" s="3443" t="str">
        <f t="shared" si="48"/>
        <v/>
      </c>
      <c r="BK68" s="3437" t="str">
        <f t="shared" si="48"/>
        <v/>
      </c>
      <c r="BL68" s="1771" t="str">
        <f t="shared" si="48"/>
        <v/>
      </c>
      <c r="BM68" s="3442" t="str">
        <f t="shared" si="48"/>
        <v/>
      </c>
      <c r="BN68" s="1771" t="str">
        <f t="shared" si="48"/>
        <v/>
      </c>
      <c r="BO68" s="1771" t="str">
        <f t="shared" si="48"/>
        <v/>
      </c>
      <c r="BP68" s="1771" t="str">
        <f t="shared" si="48"/>
        <v/>
      </c>
      <c r="BQ68" s="1771">
        <f t="shared" si="48"/>
        <v>3.7509998667022101E-5</v>
      </c>
      <c r="BR68" s="3437" t="str">
        <f t="shared" si="49"/>
        <v/>
      </c>
      <c r="BS68" s="1771" t="str">
        <f t="shared" si="49"/>
        <v/>
      </c>
      <c r="BT68" s="1771" t="str">
        <f t="shared" si="49"/>
        <v/>
      </c>
      <c r="BU68" s="3442" t="str">
        <f t="shared" si="49"/>
        <v/>
      </c>
      <c r="BV68" s="1771" t="str">
        <f t="shared" si="49"/>
        <v/>
      </c>
      <c r="BW68" s="3442" t="str">
        <f t="shared" si="49"/>
        <v/>
      </c>
      <c r="BX68" s="3462"/>
      <c r="BY68" s="3439" t="str">
        <f>IF(L68=L319,"stop","")</f>
        <v/>
      </c>
      <c r="BZ68" s="3437" t="str">
        <f t="shared" si="50"/>
        <v/>
      </c>
      <c r="CA68" s="1771" t="str">
        <f t="shared" si="50"/>
        <v/>
      </c>
      <c r="CB68" s="1771" t="str">
        <f t="shared" si="50"/>
        <v/>
      </c>
      <c r="CC68" s="3442" t="str">
        <f t="shared" si="50"/>
        <v/>
      </c>
      <c r="CD68" s="1771" t="str">
        <f t="shared" si="50"/>
        <v/>
      </c>
      <c r="CE68" s="3437" t="str">
        <f t="shared" si="50"/>
        <v/>
      </c>
      <c r="CF68" s="1771" t="str">
        <f t="shared" si="50"/>
        <v/>
      </c>
      <c r="CG68" s="1771" t="str">
        <f t="shared" si="50"/>
        <v/>
      </c>
      <c r="CH68" s="3437" t="str">
        <f t="shared" si="50"/>
        <v/>
      </c>
      <c r="CI68" s="1771" t="str">
        <f t="shared" si="50"/>
        <v/>
      </c>
      <c r="CJ68" s="1771" t="str">
        <f t="shared" si="50"/>
        <v/>
      </c>
      <c r="CK68" s="3442">
        <f t="shared" si="50"/>
        <v>3.3605000000000001E-4</v>
      </c>
      <c r="CL68" s="3437" t="str">
        <f t="shared" si="51"/>
        <v/>
      </c>
      <c r="CM68" s="1771" t="str">
        <f t="shared" si="51"/>
        <v/>
      </c>
      <c r="CN68" s="1771" t="str">
        <f t="shared" si="51"/>
        <v/>
      </c>
      <c r="CO68" s="3442" t="str">
        <f t="shared" si="51"/>
        <v/>
      </c>
      <c r="CP68" s="1771" t="str">
        <f t="shared" si="51"/>
        <v/>
      </c>
      <c r="CQ68" s="3442" t="str">
        <f t="shared" si="51"/>
        <v/>
      </c>
      <c r="CR68" s="3462"/>
    </row>
    <row r="69" spans="1:96" s="3" customFormat="1">
      <c r="A69" s="1838" t="s">
        <v>758</v>
      </c>
      <c r="B69" s="1775">
        <v>18</v>
      </c>
      <c r="C69" s="1775">
        <v>27.41</v>
      </c>
      <c r="D69" s="1775">
        <v>4.5000000000000003E-5</v>
      </c>
      <c r="E69" s="1799" t="s">
        <v>1083</v>
      </c>
      <c r="F69" s="1775">
        <v>4.5000000000000003E-5</v>
      </c>
      <c r="G69" s="1775" t="s">
        <v>695</v>
      </c>
      <c r="H69" s="1775">
        <v>1996</v>
      </c>
      <c r="I69" s="1807"/>
      <c r="J69" s="1775">
        <f t="shared" si="0"/>
        <v>27.41</v>
      </c>
      <c r="K69" s="1775">
        <v>4.5000000000000003E-5</v>
      </c>
      <c r="L69" s="1775"/>
      <c r="M69" s="1775">
        <v>4.5000000000000003E-5</v>
      </c>
      <c r="N69" s="1788">
        <f t="shared" si="14"/>
        <v>4.5000000000000003E-5</v>
      </c>
      <c r="O69" s="1829">
        <f t="shared" si="15"/>
        <v>4.5000000000000003E-5</v>
      </c>
      <c r="P69" s="1776" t="s">
        <v>1088</v>
      </c>
      <c r="Q69" s="3" t="str">
        <f>IF(J69=J319,"stop","")</f>
        <v/>
      </c>
      <c r="R69" s="3437" t="str">
        <f t="shared" si="45"/>
        <v/>
      </c>
      <c r="S69" s="1771" t="str">
        <f t="shared" si="45"/>
        <v/>
      </c>
      <c r="T69" s="1771" t="str">
        <f t="shared" si="45"/>
        <v/>
      </c>
      <c r="U69" s="1771" t="str">
        <f t="shared" si="45"/>
        <v/>
      </c>
      <c r="V69" s="3443" t="str">
        <f t="shared" si="45"/>
        <v/>
      </c>
      <c r="W69" s="1771" t="str">
        <f t="shared" si="45"/>
        <v/>
      </c>
      <c r="X69" s="1771" t="str">
        <f t="shared" si="45"/>
        <v/>
      </c>
      <c r="Y69" s="1771" t="str">
        <f t="shared" si="45"/>
        <v/>
      </c>
      <c r="Z69" s="3437" t="str">
        <f t="shared" si="45"/>
        <v/>
      </c>
      <c r="AA69" s="1771" t="str">
        <f t="shared" si="45"/>
        <v/>
      </c>
      <c r="AB69" s="1771" t="str">
        <f t="shared" si="45"/>
        <v/>
      </c>
      <c r="AC69" s="3442">
        <f t="shared" si="45"/>
        <v>4.5000000000000003E-5</v>
      </c>
      <c r="AD69" s="1771" t="str">
        <f t="shared" si="45"/>
        <v/>
      </c>
      <c r="AE69" s="1771" t="str">
        <f t="shared" si="45"/>
        <v/>
      </c>
      <c r="AF69" s="1771" t="str">
        <f t="shared" si="45"/>
        <v/>
      </c>
      <c r="AG69" s="3442" t="str">
        <f t="shared" si="45"/>
        <v/>
      </c>
      <c r="AH69" s="1771" t="str">
        <f t="shared" si="52"/>
        <v/>
      </c>
      <c r="AI69" s="3442" t="str">
        <f t="shared" si="4"/>
        <v/>
      </c>
      <c r="AJ69" s="3462"/>
      <c r="AK69" s="3439" t="str">
        <f>IF(J69=J319,"stop","")</f>
        <v/>
      </c>
      <c r="AL69" s="3437" t="str">
        <f t="shared" ref="AL69:AW79" si="53">IF(AND($J69&gt;AL$4,$J69&lt;=AL$5,$P69=AL$6),$M69,"")</f>
        <v/>
      </c>
      <c r="AM69" s="1771" t="str">
        <f t="shared" si="53"/>
        <v/>
      </c>
      <c r="AN69" s="1771" t="str">
        <f t="shared" si="53"/>
        <v/>
      </c>
      <c r="AO69" s="1771" t="str">
        <f t="shared" si="53"/>
        <v/>
      </c>
      <c r="AP69" s="3443" t="str">
        <f t="shared" si="53"/>
        <v/>
      </c>
      <c r="AQ69" s="1771" t="str">
        <f t="shared" si="53"/>
        <v/>
      </c>
      <c r="AR69" s="1771" t="str">
        <f t="shared" si="53"/>
        <v/>
      </c>
      <c r="AS69" s="3442" t="str">
        <f t="shared" si="53"/>
        <v/>
      </c>
      <c r="AT69" s="1771" t="str">
        <f t="shared" si="53"/>
        <v/>
      </c>
      <c r="AU69" s="1771" t="str">
        <f t="shared" si="53"/>
        <v/>
      </c>
      <c r="AV69" s="1771" t="str">
        <f t="shared" si="53"/>
        <v/>
      </c>
      <c r="AW69" s="3442">
        <f t="shared" si="53"/>
        <v>4.5000000000000003E-5</v>
      </c>
      <c r="AX69" s="1771" t="str">
        <f t="shared" ref="AX69:BC79" si="54">IF(AND($J69&gt;AX$4,$J69&lt;=AX$5,$P69=AX$6),$M69,"")</f>
        <v/>
      </c>
      <c r="AY69" s="1771" t="str">
        <f t="shared" si="54"/>
        <v/>
      </c>
      <c r="AZ69" s="1771" t="str">
        <f t="shared" si="54"/>
        <v/>
      </c>
      <c r="BA69" s="1771" t="str">
        <f t="shared" si="54"/>
        <v/>
      </c>
      <c r="BB69" s="3437" t="str">
        <f t="shared" si="54"/>
        <v/>
      </c>
      <c r="BC69" s="3443" t="str">
        <f t="shared" si="54"/>
        <v/>
      </c>
      <c r="BD69" s="3462"/>
      <c r="BE69" s="3440" t="str">
        <f>IF(J69=J319,"stop","")</f>
        <v/>
      </c>
      <c r="BF69" s="1771" t="str">
        <f t="shared" ref="BF69:BQ79" si="55">IF(AND($J69&gt;BF$4,$J69&lt;=BF$5,$P69=BF$6),$N69,"")</f>
        <v/>
      </c>
      <c r="BG69" s="1771" t="str">
        <f t="shared" si="55"/>
        <v/>
      </c>
      <c r="BH69" s="1771" t="str">
        <f t="shared" si="55"/>
        <v/>
      </c>
      <c r="BI69" s="1771" t="str">
        <f t="shared" si="55"/>
        <v/>
      </c>
      <c r="BJ69" s="3443" t="str">
        <f t="shared" si="55"/>
        <v/>
      </c>
      <c r="BK69" s="3437" t="str">
        <f t="shared" si="55"/>
        <v/>
      </c>
      <c r="BL69" s="1771" t="str">
        <f t="shared" si="55"/>
        <v/>
      </c>
      <c r="BM69" s="3442" t="str">
        <f t="shared" si="55"/>
        <v/>
      </c>
      <c r="BN69" s="1771" t="str">
        <f t="shared" si="55"/>
        <v/>
      </c>
      <c r="BO69" s="1771" t="str">
        <f t="shared" si="55"/>
        <v/>
      </c>
      <c r="BP69" s="1771" t="str">
        <f t="shared" si="55"/>
        <v/>
      </c>
      <c r="BQ69" s="1771">
        <f t="shared" si="55"/>
        <v>4.5000000000000003E-5</v>
      </c>
      <c r="BR69" s="3437" t="str">
        <f t="shared" ref="BR69:BW79" si="56">IF(AND($J69&gt;BR$4,$J69&lt;=BR$5,$P69=BR$6),$N69,"")</f>
        <v/>
      </c>
      <c r="BS69" s="1771" t="str">
        <f t="shared" si="56"/>
        <v/>
      </c>
      <c r="BT69" s="1771" t="str">
        <f t="shared" si="56"/>
        <v/>
      </c>
      <c r="BU69" s="3442" t="str">
        <f t="shared" si="56"/>
        <v/>
      </c>
      <c r="BV69" s="1771" t="str">
        <f t="shared" si="56"/>
        <v/>
      </c>
      <c r="BW69" s="3442" t="str">
        <f t="shared" si="56"/>
        <v/>
      </c>
      <c r="BX69" s="3462"/>
      <c r="BY69" s="3439" t="str">
        <f>IF(L69=L319,"stop","")</f>
        <v>stop</v>
      </c>
      <c r="BZ69" s="3437" t="str">
        <f t="shared" ref="BZ69:CK79" si="57">IF(AND($J69&gt;BZ$4,$J69&lt;=BZ$5,$P69=BZ$6),$O69,"")</f>
        <v/>
      </c>
      <c r="CA69" s="1771" t="str">
        <f t="shared" si="57"/>
        <v/>
      </c>
      <c r="CB69" s="1771" t="str">
        <f t="shared" si="57"/>
        <v/>
      </c>
      <c r="CC69" s="3442" t="str">
        <f t="shared" si="57"/>
        <v/>
      </c>
      <c r="CD69" s="1771" t="str">
        <f t="shared" si="57"/>
        <v/>
      </c>
      <c r="CE69" s="3437" t="str">
        <f t="shared" si="57"/>
        <v/>
      </c>
      <c r="CF69" s="1771" t="str">
        <f t="shared" si="57"/>
        <v/>
      </c>
      <c r="CG69" s="1771" t="str">
        <f t="shared" si="57"/>
        <v/>
      </c>
      <c r="CH69" s="3437" t="str">
        <f t="shared" si="57"/>
        <v/>
      </c>
      <c r="CI69" s="1771" t="str">
        <f t="shared" si="57"/>
        <v/>
      </c>
      <c r="CJ69" s="1771" t="str">
        <f t="shared" si="57"/>
        <v/>
      </c>
      <c r="CK69" s="3442">
        <f t="shared" si="57"/>
        <v>4.5000000000000003E-5</v>
      </c>
      <c r="CL69" s="3437" t="str">
        <f t="shared" ref="CL69:CQ79" si="58">IF(AND($J69&gt;CL$4,$J69&lt;=CL$5,$P69=CL$6),$O69,"")</f>
        <v/>
      </c>
      <c r="CM69" s="1771" t="str">
        <f t="shared" si="58"/>
        <v/>
      </c>
      <c r="CN69" s="1771" t="str">
        <f t="shared" si="58"/>
        <v/>
      </c>
      <c r="CO69" s="3442" t="str">
        <f t="shared" si="58"/>
        <v/>
      </c>
      <c r="CP69" s="1771" t="str">
        <f t="shared" si="58"/>
        <v/>
      </c>
      <c r="CQ69" s="3442" t="str">
        <f t="shared" si="58"/>
        <v/>
      </c>
      <c r="CR69" s="3462"/>
    </row>
    <row r="70" spans="1:96" s="3" customFormat="1">
      <c r="A70" s="1838" t="s">
        <v>759</v>
      </c>
      <c r="B70" s="1775">
        <v>18</v>
      </c>
      <c r="C70" s="1775">
        <v>26.61</v>
      </c>
      <c r="D70" s="1775">
        <v>3.3E-4</v>
      </c>
      <c r="E70" s="1799" t="s">
        <v>1083</v>
      </c>
      <c r="F70" s="1775">
        <v>3.3E-4</v>
      </c>
      <c r="G70" s="1775" t="s">
        <v>695</v>
      </c>
      <c r="H70" s="1775">
        <v>1996</v>
      </c>
      <c r="I70" s="1807"/>
      <c r="J70" s="1775">
        <f t="shared" si="0"/>
        <v>26.61</v>
      </c>
      <c r="K70" s="1775">
        <v>3.3E-4</v>
      </c>
      <c r="L70" s="1775"/>
      <c r="M70" s="1775">
        <v>3.3E-4</v>
      </c>
      <c r="N70" s="1788">
        <f t="shared" si="14"/>
        <v>3.3E-4</v>
      </c>
      <c r="O70" s="1829">
        <f t="shared" si="15"/>
        <v>3.3E-4</v>
      </c>
      <c r="P70" s="1776" t="s">
        <v>1088</v>
      </c>
      <c r="Q70" s="3" t="str">
        <f>IF(J70=J319,"stop","")</f>
        <v/>
      </c>
      <c r="R70" s="3437" t="str">
        <f t="shared" si="45"/>
        <v/>
      </c>
      <c r="S70" s="1771" t="str">
        <f t="shared" si="45"/>
        <v/>
      </c>
      <c r="T70" s="1771" t="str">
        <f t="shared" si="45"/>
        <v/>
      </c>
      <c r="U70" s="1771" t="str">
        <f t="shared" si="45"/>
        <v/>
      </c>
      <c r="V70" s="3443" t="str">
        <f t="shared" si="45"/>
        <v/>
      </c>
      <c r="W70" s="1771" t="str">
        <f t="shared" si="45"/>
        <v/>
      </c>
      <c r="X70" s="1771" t="str">
        <f t="shared" si="45"/>
        <v/>
      </c>
      <c r="Y70" s="1771" t="str">
        <f t="shared" si="45"/>
        <v/>
      </c>
      <c r="Z70" s="3437" t="str">
        <f t="shared" si="45"/>
        <v/>
      </c>
      <c r="AA70" s="1771" t="str">
        <f t="shared" si="45"/>
        <v/>
      </c>
      <c r="AB70" s="1771" t="str">
        <f t="shared" si="45"/>
        <v/>
      </c>
      <c r="AC70" s="3442">
        <f t="shared" si="45"/>
        <v>3.3E-4</v>
      </c>
      <c r="AD70" s="1771" t="str">
        <f t="shared" si="45"/>
        <v/>
      </c>
      <c r="AE70" s="1771" t="str">
        <f t="shared" si="45"/>
        <v/>
      </c>
      <c r="AF70" s="1771" t="str">
        <f t="shared" si="45"/>
        <v/>
      </c>
      <c r="AG70" s="3442" t="str">
        <f t="shared" si="45"/>
        <v/>
      </c>
      <c r="AH70" s="1771" t="str">
        <f t="shared" si="52"/>
        <v/>
      </c>
      <c r="AI70" s="3442" t="str">
        <f t="shared" si="4"/>
        <v/>
      </c>
      <c r="AJ70" s="3462"/>
      <c r="AK70" s="3439" t="str">
        <f>IF(J70=J319,"stop","")</f>
        <v/>
      </c>
      <c r="AL70" s="3437" t="str">
        <f t="shared" si="53"/>
        <v/>
      </c>
      <c r="AM70" s="1771" t="str">
        <f t="shared" si="53"/>
        <v/>
      </c>
      <c r="AN70" s="1771" t="str">
        <f t="shared" si="53"/>
        <v/>
      </c>
      <c r="AO70" s="1771" t="str">
        <f t="shared" si="53"/>
        <v/>
      </c>
      <c r="AP70" s="3443" t="str">
        <f t="shared" si="53"/>
        <v/>
      </c>
      <c r="AQ70" s="1771" t="str">
        <f t="shared" si="53"/>
        <v/>
      </c>
      <c r="AR70" s="1771" t="str">
        <f t="shared" si="53"/>
        <v/>
      </c>
      <c r="AS70" s="3442" t="str">
        <f t="shared" si="53"/>
        <v/>
      </c>
      <c r="AT70" s="1771" t="str">
        <f t="shared" si="53"/>
        <v/>
      </c>
      <c r="AU70" s="1771" t="str">
        <f t="shared" si="53"/>
        <v/>
      </c>
      <c r="AV70" s="1771" t="str">
        <f t="shared" si="53"/>
        <v/>
      </c>
      <c r="AW70" s="3442">
        <f t="shared" si="53"/>
        <v>3.3E-4</v>
      </c>
      <c r="AX70" s="1771" t="str">
        <f t="shared" si="54"/>
        <v/>
      </c>
      <c r="AY70" s="1771" t="str">
        <f t="shared" si="54"/>
        <v/>
      </c>
      <c r="AZ70" s="1771" t="str">
        <f t="shared" si="54"/>
        <v/>
      </c>
      <c r="BA70" s="1771" t="str">
        <f t="shared" si="54"/>
        <v/>
      </c>
      <c r="BB70" s="3437" t="str">
        <f t="shared" si="54"/>
        <v/>
      </c>
      <c r="BC70" s="3443" t="str">
        <f t="shared" si="54"/>
        <v/>
      </c>
      <c r="BD70" s="3462"/>
      <c r="BE70" s="3440" t="str">
        <f>IF(J70=J319,"stop","")</f>
        <v/>
      </c>
      <c r="BF70" s="1771" t="str">
        <f t="shared" si="55"/>
        <v/>
      </c>
      <c r="BG70" s="1771" t="str">
        <f t="shared" si="55"/>
        <v/>
      </c>
      <c r="BH70" s="1771" t="str">
        <f t="shared" si="55"/>
        <v/>
      </c>
      <c r="BI70" s="1771" t="str">
        <f t="shared" si="55"/>
        <v/>
      </c>
      <c r="BJ70" s="3443" t="str">
        <f t="shared" si="55"/>
        <v/>
      </c>
      <c r="BK70" s="3437" t="str">
        <f t="shared" si="55"/>
        <v/>
      </c>
      <c r="BL70" s="1771" t="str">
        <f t="shared" si="55"/>
        <v/>
      </c>
      <c r="BM70" s="3442" t="str">
        <f t="shared" si="55"/>
        <v/>
      </c>
      <c r="BN70" s="1771" t="str">
        <f t="shared" si="55"/>
        <v/>
      </c>
      <c r="BO70" s="1771" t="str">
        <f t="shared" si="55"/>
        <v/>
      </c>
      <c r="BP70" s="1771" t="str">
        <f t="shared" si="55"/>
        <v/>
      </c>
      <c r="BQ70" s="1771">
        <f t="shared" si="55"/>
        <v>3.3E-4</v>
      </c>
      <c r="BR70" s="3437" t="str">
        <f t="shared" si="56"/>
        <v/>
      </c>
      <c r="BS70" s="1771" t="str">
        <f t="shared" si="56"/>
        <v/>
      </c>
      <c r="BT70" s="1771" t="str">
        <f t="shared" si="56"/>
        <v/>
      </c>
      <c r="BU70" s="3442" t="str">
        <f t="shared" si="56"/>
        <v/>
      </c>
      <c r="BV70" s="1771" t="str">
        <f t="shared" si="56"/>
        <v/>
      </c>
      <c r="BW70" s="3442" t="str">
        <f t="shared" si="56"/>
        <v/>
      </c>
      <c r="BX70" s="3462"/>
      <c r="BY70" s="3439" t="str">
        <f>IF(L70=L319,"stop","")</f>
        <v>stop</v>
      </c>
      <c r="BZ70" s="3437" t="str">
        <f t="shared" si="57"/>
        <v/>
      </c>
      <c r="CA70" s="1771" t="str">
        <f t="shared" si="57"/>
        <v/>
      </c>
      <c r="CB70" s="1771" t="str">
        <f t="shared" si="57"/>
        <v/>
      </c>
      <c r="CC70" s="3442" t="str">
        <f t="shared" si="57"/>
        <v/>
      </c>
      <c r="CD70" s="1771" t="str">
        <f t="shared" si="57"/>
        <v/>
      </c>
      <c r="CE70" s="3437" t="str">
        <f t="shared" si="57"/>
        <v/>
      </c>
      <c r="CF70" s="1771" t="str">
        <f t="shared" si="57"/>
        <v/>
      </c>
      <c r="CG70" s="1771" t="str">
        <f t="shared" si="57"/>
        <v/>
      </c>
      <c r="CH70" s="3437" t="str">
        <f t="shared" si="57"/>
        <v/>
      </c>
      <c r="CI70" s="1771" t="str">
        <f t="shared" si="57"/>
        <v/>
      </c>
      <c r="CJ70" s="1771" t="str">
        <f t="shared" si="57"/>
        <v/>
      </c>
      <c r="CK70" s="3442">
        <f t="shared" si="57"/>
        <v>3.3E-4</v>
      </c>
      <c r="CL70" s="3437" t="str">
        <f t="shared" si="58"/>
        <v/>
      </c>
      <c r="CM70" s="1771" t="str">
        <f t="shared" si="58"/>
        <v/>
      </c>
      <c r="CN70" s="1771" t="str">
        <f t="shared" si="58"/>
        <v/>
      </c>
      <c r="CO70" s="3442" t="str">
        <f t="shared" si="58"/>
        <v/>
      </c>
      <c r="CP70" s="1771" t="str">
        <f t="shared" si="58"/>
        <v/>
      </c>
      <c r="CQ70" s="3442" t="str">
        <f t="shared" si="58"/>
        <v/>
      </c>
      <c r="CR70" s="3462"/>
    </row>
    <row r="71" spans="1:96" s="3" customFormat="1">
      <c r="A71" s="1838" t="s">
        <v>760</v>
      </c>
      <c r="B71" s="1775">
        <v>18</v>
      </c>
      <c r="C71" s="1775"/>
      <c r="D71" s="1775">
        <v>1.9999999999999999E-6</v>
      </c>
      <c r="E71" s="1796" t="s">
        <v>35</v>
      </c>
      <c r="F71" s="1775">
        <v>3.65E-5</v>
      </c>
      <c r="G71" s="1775" t="s">
        <v>695</v>
      </c>
      <c r="H71" s="1775">
        <v>1996</v>
      </c>
      <c r="I71" s="1807"/>
      <c r="J71" s="1792">
        <v>28</v>
      </c>
      <c r="K71" s="1775">
        <v>1.9999999999999999E-6</v>
      </c>
      <c r="L71" s="1775" t="s">
        <v>35</v>
      </c>
      <c r="M71" s="1775">
        <v>3.65E-5</v>
      </c>
      <c r="N71" s="1788">
        <f t="shared" si="14"/>
        <v>8.5440037453175308E-6</v>
      </c>
      <c r="O71" s="1829">
        <f t="shared" si="15"/>
        <v>1.925E-5</v>
      </c>
      <c r="P71" s="1776" t="s">
        <v>1088</v>
      </c>
      <c r="Q71" s="3" t="str">
        <f>IF(J71=J319,"stop","")</f>
        <v/>
      </c>
      <c r="R71" s="3437" t="str">
        <f t="shared" si="45"/>
        <v/>
      </c>
      <c r="S71" s="1771" t="str">
        <f t="shared" si="45"/>
        <v/>
      </c>
      <c r="T71" s="1771" t="str">
        <f t="shared" si="45"/>
        <v/>
      </c>
      <c r="U71" s="1771" t="str">
        <f t="shared" si="45"/>
        <v/>
      </c>
      <c r="V71" s="3443" t="str">
        <f t="shared" si="45"/>
        <v/>
      </c>
      <c r="W71" s="1771" t="str">
        <f t="shared" si="45"/>
        <v/>
      </c>
      <c r="X71" s="1771" t="str">
        <f t="shared" si="45"/>
        <v/>
      </c>
      <c r="Y71" s="1771" t="str">
        <f t="shared" si="45"/>
        <v/>
      </c>
      <c r="Z71" s="3437" t="str">
        <f t="shared" si="45"/>
        <v/>
      </c>
      <c r="AA71" s="1771" t="str">
        <f t="shared" si="45"/>
        <v/>
      </c>
      <c r="AB71" s="1771" t="str">
        <f t="shared" si="45"/>
        <v/>
      </c>
      <c r="AC71" s="3442">
        <f t="shared" si="45"/>
        <v>1.9999999999999999E-6</v>
      </c>
      <c r="AD71" s="1771" t="str">
        <f t="shared" si="45"/>
        <v/>
      </c>
      <c r="AE71" s="1771" t="str">
        <f t="shared" si="45"/>
        <v/>
      </c>
      <c r="AF71" s="1771" t="str">
        <f t="shared" si="45"/>
        <v/>
      </c>
      <c r="AG71" s="3442" t="str">
        <f t="shared" si="45"/>
        <v/>
      </c>
      <c r="AH71" s="1771" t="str">
        <f t="shared" si="52"/>
        <v/>
      </c>
      <c r="AI71" s="3442" t="str">
        <f t="shared" si="4"/>
        <v/>
      </c>
      <c r="AJ71" s="3462"/>
      <c r="AK71" s="3439" t="str">
        <f>IF(J71=J319,"stop","")</f>
        <v/>
      </c>
      <c r="AL71" s="3437" t="str">
        <f t="shared" si="53"/>
        <v/>
      </c>
      <c r="AM71" s="1771" t="str">
        <f t="shared" si="53"/>
        <v/>
      </c>
      <c r="AN71" s="1771" t="str">
        <f t="shared" si="53"/>
        <v/>
      </c>
      <c r="AO71" s="1771" t="str">
        <f t="shared" si="53"/>
        <v/>
      </c>
      <c r="AP71" s="3443" t="str">
        <f t="shared" si="53"/>
        <v/>
      </c>
      <c r="AQ71" s="1771" t="str">
        <f t="shared" si="53"/>
        <v/>
      </c>
      <c r="AR71" s="1771" t="str">
        <f t="shared" si="53"/>
        <v/>
      </c>
      <c r="AS71" s="3442" t="str">
        <f t="shared" si="53"/>
        <v/>
      </c>
      <c r="AT71" s="1771" t="str">
        <f t="shared" si="53"/>
        <v/>
      </c>
      <c r="AU71" s="1771" t="str">
        <f t="shared" si="53"/>
        <v/>
      </c>
      <c r="AV71" s="1771" t="str">
        <f t="shared" si="53"/>
        <v/>
      </c>
      <c r="AW71" s="3442">
        <f t="shared" si="53"/>
        <v>3.65E-5</v>
      </c>
      <c r="AX71" s="1771" t="str">
        <f t="shared" si="54"/>
        <v/>
      </c>
      <c r="AY71" s="1771" t="str">
        <f t="shared" si="54"/>
        <v/>
      </c>
      <c r="AZ71" s="1771" t="str">
        <f t="shared" si="54"/>
        <v/>
      </c>
      <c r="BA71" s="1771" t="str">
        <f t="shared" si="54"/>
        <v/>
      </c>
      <c r="BB71" s="3437" t="str">
        <f t="shared" si="54"/>
        <v/>
      </c>
      <c r="BC71" s="3443" t="str">
        <f t="shared" si="54"/>
        <v/>
      </c>
      <c r="BD71" s="3462"/>
      <c r="BE71" s="3440" t="str">
        <f>IF(J71=J319,"stop","")</f>
        <v/>
      </c>
      <c r="BF71" s="1771" t="str">
        <f t="shared" si="55"/>
        <v/>
      </c>
      <c r="BG71" s="1771" t="str">
        <f t="shared" si="55"/>
        <v/>
      </c>
      <c r="BH71" s="1771" t="str">
        <f t="shared" si="55"/>
        <v/>
      </c>
      <c r="BI71" s="1771" t="str">
        <f t="shared" si="55"/>
        <v/>
      </c>
      <c r="BJ71" s="3443" t="str">
        <f t="shared" si="55"/>
        <v/>
      </c>
      <c r="BK71" s="3437" t="str">
        <f t="shared" si="55"/>
        <v/>
      </c>
      <c r="BL71" s="1771" t="str">
        <f t="shared" si="55"/>
        <v/>
      </c>
      <c r="BM71" s="3442" t="str">
        <f t="shared" si="55"/>
        <v/>
      </c>
      <c r="BN71" s="1771" t="str">
        <f t="shared" si="55"/>
        <v/>
      </c>
      <c r="BO71" s="1771" t="str">
        <f t="shared" si="55"/>
        <v/>
      </c>
      <c r="BP71" s="1771" t="str">
        <f t="shared" si="55"/>
        <v/>
      </c>
      <c r="BQ71" s="1771">
        <f t="shared" si="55"/>
        <v>8.5440037453175308E-6</v>
      </c>
      <c r="BR71" s="3437" t="str">
        <f t="shared" si="56"/>
        <v/>
      </c>
      <c r="BS71" s="1771" t="str">
        <f t="shared" si="56"/>
        <v/>
      </c>
      <c r="BT71" s="1771" t="str">
        <f t="shared" si="56"/>
        <v/>
      </c>
      <c r="BU71" s="3442" t="str">
        <f t="shared" si="56"/>
        <v/>
      </c>
      <c r="BV71" s="1771" t="str">
        <f t="shared" si="56"/>
        <v/>
      </c>
      <c r="BW71" s="3442" t="str">
        <f t="shared" si="56"/>
        <v/>
      </c>
      <c r="BX71" s="3462"/>
      <c r="BY71" s="3439" t="str">
        <f>IF(L71=L319,"stop","")</f>
        <v/>
      </c>
      <c r="BZ71" s="3437" t="str">
        <f t="shared" si="57"/>
        <v/>
      </c>
      <c r="CA71" s="1771" t="str">
        <f t="shared" si="57"/>
        <v/>
      </c>
      <c r="CB71" s="1771" t="str">
        <f t="shared" si="57"/>
        <v/>
      </c>
      <c r="CC71" s="3442" t="str">
        <f t="shared" si="57"/>
        <v/>
      </c>
      <c r="CD71" s="1771" t="str">
        <f t="shared" si="57"/>
        <v/>
      </c>
      <c r="CE71" s="3437" t="str">
        <f t="shared" si="57"/>
        <v/>
      </c>
      <c r="CF71" s="1771" t="str">
        <f t="shared" si="57"/>
        <v/>
      </c>
      <c r="CG71" s="1771" t="str">
        <f t="shared" si="57"/>
        <v/>
      </c>
      <c r="CH71" s="3437" t="str">
        <f t="shared" si="57"/>
        <v/>
      </c>
      <c r="CI71" s="1771" t="str">
        <f t="shared" si="57"/>
        <v/>
      </c>
      <c r="CJ71" s="1771" t="str">
        <f t="shared" si="57"/>
        <v/>
      </c>
      <c r="CK71" s="3442">
        <f t="shared" si="57"/>
        <v>1.925E-5</v>
      </c>
      <c r="CL71" s="3437" t="str">
        <f t="shared" si="58"/>
        <v/>
      </c>
      <c r="CM71" s="1771" t="str">
        <f t="shared" si="58"/>
        <v/>
      </c>
      <c r="CN71" s="1771" t="str">
        <f t="shared" si="58"/>
        <v/>
      </c>
      <c r="CO71" s="3442" t="str">
        <f t="shared" si="58"/>
        <v/>
      </c>
      <c r="CP71" s="1771" t="str">
        <f t="shared" si="58"/>
        <v/>
      </c>
      <c r="CQ71" s="3442" t="str">
        <f t="shared" si="58"/>
        <v/>
      </c>
      <c r="CR71" s="3462"/>
    </row>
    <row r="72" spans="1:96" s="3" customFormat="1" ht="22.5">
      <c r="A72" s="1838" t="s">
        <v>761</v>
      </c>
      <c r="B72" s="1775">
        <v>18</v>
      </c>
      <c r="C72" s="1775"/>
      <c r="D72" s="1775">
        <v>1.5E-6</v>
      </c>
      <c r="E72" s="1796" t="s">
        <v>35</v>
      </c>
      <c r="F72" s="1775">
        <v>3.9899999999999996E-3</v>
      </c>
      <c r="G72" s="1775" t="s">
        <v>695</v>
      </c>
      <c r="H72" s="1775">
        <v>1996</v>
      </c>
      <c r="I72" s="1807"/>
      <c r="J72" s="1792">
        <v>28</v>
      </c>
      <c r="K72" s="1775">
        <v>1.5E-6</v>
      </c>
      <c r="L72" s="1775" t="s">
        <v>35</v>
      </c>
      <c r="M72" s="1775">
        <v>3.9899999999999996E-3</v>
      </c>
      <c r="N72" s="1788">
        <f t="shared" si="14"/>
        <v>7.7362781749365758E-5</v>
      </c>
      <c r="O72" s="1829">
        <f t="shared" si="15"/>
        <v>1.9957499999999997E-3</v>
      </c>
      <c r="P72" s="1776" t="s">
        <v>1088</v>
      </c>
      <c r="Q72" s="3" t="str">
        <f>IF(J72=J319,"stop","")</f>
        <v/>
      </c>
      <c r="R72" s="3437" t="str">
        <f t="shared" si="45"/>
        <v/>
      </c>
      <c r="S72" s="1771" t="str">
        <f t="shared" si="45"/>
        <v/>
      </c>
      <c r="T72" s="1771" t="str">
        <f t="shared" si="45"/>
        <v/>
      </c>
      <c r="U72" s="1771" t="str">
        <f t="shared" si="45"/>
        <v/>
      </c>
      <c r="V72" s="3443" t="str">
        <f t="shared" si="45"/>
        <v/>
      </c>
      <c r="W72" s="1771" t="str">
        <f t="shared" si="45"/>
        <v/>
      </c>
      <c r="X72" s="1771" t="str">
        <f t="shared" si="45"/>
        <v/>
      </c>
      <c r="Y72" s="1771" t="str">
        <f t="shared" si="45"/>
        <v/>
      </c>
      <c r="Z72" s="3437" t="str">
        <f t="shared" si="45"/>
        <v/>
      </c>
      <c r="AA72" s="1771" t="str">
        <f t="shared" si="45"/>
        <v/>
      </c>
      <c r="AB72" s="1771" t="str">
        <f t="shared" si="45"/>
        <v/>
      </c>
      <c r="AC72" s="3442">
        <f t="shared" si="45"/>
        <v>1.5E-6</v>
      </c>
      <c r="AD72" s="1771" t="str">
        <f t="shared" si="45"/>
        <v/>
      </c>
      <c r="AE72" s="1771" t="str">
        <f t="shared" si="45"/>
        <v/>
      </c>
      <c r="AF72" s="1771" t="str">
        <f t="shared" si="45"/>
        <v/>
      </c>
      <c r="AG72" s="3442" t="str">
        <f t="shared" si="45"/>
        <v/>
      </c>
      <c r="AH72" s="1771" t="str">
        <f t="shared" si="52"/>
        <v/>
      </c>
      <c r="AI72" s="3442" t="str">
        <f t="shared" si="4"/>
        <v/>
      </c>
      <c r="AJ72" s="3462"/>
      <c r="AK72" s="3439" t="str">
        <f>IF(J72=J319,"stop","")</f>
        <v/>
      </c>
      <c r="AL72" s="3437" t="str">
        <f t="shared" si="53"/>
        <v/>
      </c>
      <c r="AM72" s="1771" t="str">
        <f t="shared" si="53"/>
        <v/>
      </c>
      <c r="AN72" s="1771" t="str">
        <f t="shared" si="53"/>
        <v/>
      </c>
      <c r="AO72" s="1771" t="str">
        <f t="shared" si="53"/>
        <v/>
      </c>
      <c r="AP72" s="3443" t="str">
        <f t="shared" si="53"/>
        <v/>
      </c>
      <c r="AQ72" s="1771" t="str">
        <f t="shared" si="53"/>
        <v/>
      </c>
      <c r="AR72" s="1771" t="str">
        <f t="shared" si="53"/>
        <v/>
      </c>
      <c r="AS72" s="3442" t="str">
        <f t="shared" si="53"/>
        <v/>
      </c>
      <c r="AT72" s="1771" t="str">
        <f t="shared" si="53"/>
        <v/>
      </c>
      <c r="AU72" s="1771" t="str">
        <f t="shared" si="53"/>
        <v/>
      </c>
      <c r="AV72" s="1771" t="str">
        <f t="shared" si="53"/>
        <v/>
      </c>
      <c r="AW72" s="3442">
        <f t="shared" si="53"/>
        <v>3.9899999999999996E-3</v>
      </c>
      <c r="AX72" s="1771" t="str">
        <f t="shared" si="54"/>
        <v/>
      </c>
      <c r="AY72" s="1771" t="str">
        <f t="shared" si="54"/>
        <v/>
      </c>
      <c r="AZ72" s="1771" t="str">
        <f t="shared" si="54"/>
        <v/>
      </c>
      <c r="BA72" s="1771" t="str">
        <f t="shared" si="54"/>
        <v/>
      </c>
      <c r="BB72" s="3437" t="str">
        <f t="shared" si="54"/>
        <v/>
      </c>
      <c r="BC72" s="3443" t="str">
        <f t="shared" si="54"/>
        <v/>
      </c>
      <c r="BD72" s="3462"/>
      <c r="BE72" s="3440" t="str">
        <f>IF(J72=J319,"stop","")</f>
        <v/>
      </c>
      <c r="BF72" s="1771" t="str">
        <f t="shared" si="55"/>
        <v/>
      </c>
      <c r="BG72" s="1771" t="str">
        <f t="shared" si="55"/>
        <v/>
      </c>
      <c r="BH72" s="1771" t="str">
        <f t="shared" si="55"/>
        <v/>
      </c>
      <c r="BI72" s="1771" t="str">
        <f t="shared" si="55"/>
        <v/>
      </c>
      <c r="BJ72" s="3443" t="str">
        <f t="shared" si="55"/>
        <v/>
      </c>
      <c r="BK72" s="3437" t="str">
        <f t="shared" si="55"/>
        <v/>
      </c>
      <c r="BL72" s="1771" t="str">
        <f t="shared" si="55"/>
        <v/>
      </c>
      <c r="BM72" s="3442" t="str">
        <f t="shared" si="55"/>
        <v/>
      </c>
      <c r="BN72" s="1771" t="str">
        <f t="shared" si="55"/>
        <v/>
      </c>
      <c r="BO72" s="1771" t="str">
        <f t="shared" si="55"/>
        <v/>
      </c>
      <c r="BP72" s="1771" t="str">
        <f t="shared" si="55"/>
        <v/>
      </c>
      <c r="BQ72" s="1771">
        <f t="shared" si="55"/>
        <v>7.7362781749365758E-5</v>
      </c>
      <c r="BR72" s="3437" t="str">
        <f t="shared" si="56"/>
        <v/>
      </c>
      <c r="BS72" s="1771" t="str">
        <f t="shared" si="56"/>
        <v/>
      </c>
      <c r="BT72" s="1771" t="str">
        <f t="shared" si="56"/>
        <v/>
      </c>
      <c r="BU72" s="3442" t="str">
        <f t="shared" si="56"/>
        <v/>
      </c>
      <c r="BV72" s="1771" t="str">
        <f t="shared" si="56"/>
        <v/>
      </c>
      <c r="BW72" s="3442" t="str">
        <f t="shared" si="56"/>
        <v/>
      </c>
      <c r="BX72" s="3462"/>
      <c r="BY72" s="3439" t="str">
        <f>IF(L72=L319,"stop","")</f>
        <v/>
      </c>
      <c r="BZ72" s="3437" t="str">
        <f t="shared" si="57"/>
        <v/>
      </c>
      <c r="CA72" s="1771" t="str">
        <f t="shared" si="57"/>
        <v/>
      </c>
      <c r="CB72" s="1771" t="str">
        <f t="shared" si="57"/>
        <v/>
      </c>
      <c r="CC72" s="3442" t="str">
        <f t="shared" si="57"/>
        <v/>
      </c>
      <c r="CD72" s="1771" t="str">
        <f t="shared" si="57"/>
        <v/>
      </c>
      <c r="CE72" s="3437" t="str">
        <f t="shared" si="57"/>
        <v/>
      </c>
      <c r="CF72" s="1771" t="str">
        <f t="shared" si="57"/>
        <v/>
      </c>
      <c r="CG72" s="1771" t="str">
        <f t="shared" si="57"/>
        <v/>
      </c>
      <c r="CH72" s="3437" t="str">
        <f t="shared" si="57"/>
        <v/>
      </c>
      <c r="CI72" s="1771" t="str">
        <f t="shared" si="57"/>
        <v/>
      </c>
      <c r="CJ72" s="1771" t="str">
        <f t="shared" si="57"/>
        <v/>
      </c>
      <c r="CK72" s="3442">
        <f t="shared" si="57"/>
        <v>1.9957499999999997E-3</v>
      </c>
      <c r="CL72" s="3437" t="str">
        <f t="shared" si="58"/>
        <v/>
      </c>
      <c r="CM72" s="1771" t="str">
        <f t="shared" si="58"/>
        <v/>
      </c>
      <c r="CN72" s="1771" t="str">
        <f t="shared" si="58"/>
        <v/>
      </c>
      <c r="CO72" s="3442" t="str">
        <f t="shared" si="58"/>
        <v/>
      </c>
      <c r="CP72" s="1771" t="str">
        <f t="shared" si="58"/>
        <v/>
      </c>
      <c r="CQ72" s="3442" t="str">
        <f t="shared" si="58"/>
        <v/>
      </c>
      <c r="CR72" s="3462"/>
    </row>
    <row r="73" spans="1:96" s="3" customFormat="1">
      <c r="A73" s="1838" t="s">
        <v>762</v>
      </c>
      <c r="B73" s="1775">
        <v>19</v>
      </c>
      <c r="C73" s="1775"/>
      <c r="D73" s="1775" t="s">
        <v>923</v>
      </c>
      <c r="E73" s="1799" t="s">
        <v>1083</v>
      </c>
      <c r="F73" s="1775" t="s">
        <v>923</v>
      </c>
      <c r="G73" s="1775" t="s">
        <v>695</v>
      </c>
      <c r="H73" s="1775">
        <v>1996</v>
      </c>
      <c r="I73" s="1807"/>
      <c r="J73" s="1792">
        <v>28</v>
      </c>
      <c r="K73" s="1775">
        <v>0</v>
      </c>
      <c r="L73" s="1775"/>
      <c r="M73" s="1775">
        <v>0</v>
      </c>
      <c r="N73" s="1788">
        <f t="shared" si="14"/>
        <v>0</v>
      </c>
      <c r="O73" s="1829">
        <f t="shared" si="15"/>
        <v>0</v>
      </c>
      <c r="P73" s="1776" t="s">
        <v>1088</v>
      </c>
      <c r="Q73" s="3" t="str">
        <f>IF(J73=J319,"stop","")</f>
        <v/>
      </c>
      <c r="R73" s="3437" t="str">
        <f t="shared" si="45"/>
        <v/>
      </c>
      <c r="S73" s="1771" t="str">
        <f t="shared" si="45"/>
        <v/>
      </c>
      <c r="T73" s="1771" t="str">
        <f t="shared" si="45"/>
        <v/>
      </c>
      <c r="U73" s="1771" t="str">
        <f t="shared" si="45"/>
        <v/>
      </c>
      <c r="V73" s="3443" t="str">
        <f t="shared" si="45"/>
        <v/>
      </c>
      <c r="W73" s="1771" t="str">
        <f t="shared" si="45"/>
        <v/>
      </c>
      <c r="X73" s="1771" t="str">
        <f t="shared" si="45"/>
        <v/>
      </c>
      <c r="Y73" s="1771" t="str">
        <f t="shared" si="45"/>
        <v/>
      </c>
      <c r="Z73" s="3437" t="str">
        <f t="shared" si="45"/>
        <v/>
      </c>
      <c r="AA73" s="1771" t="str">
        <f t="shared" si="45"/>
        <v/>
      </c>
      <c r="AB73" s="1771" t="str">
        <f t="shared" si="45"/>
        <v/>
      </c>
      <c r="AC73" s="3442">
        <f t="shared" si="45"/>
        <v>0</v>
      </c>
      <c r="AD73" s="1771" t="str">
        <f t="shared" si="45"/>
        <v/>
      </c>
      <c r="AE73" s="1771" t="str">
        <f t="shared" si="45"/>
        <v/>
      </c>
      <c r="AF73" s="1771" t="str">
        <f t="shared" si="45"/>
        <v/>
      </c>
      <c r="AG73" s="3442" t="str">
        <f t="shared" si="45"/>
        <v/>
      </c>
      <c r="AH73" s="1771" t="str">
        <f t="shared" si="52"/>
        <v/>
      </c>
      <c r="AI73" s="3442" t="str">
        <f t="shared" si="52"/>
        <v/>
      </c>
      <c r="AJ73" s="3462"/>
      <c r="AK73" s="3439" t="str">
        <f>IF(J73=J319,"stop","")</f>
        <v/>
      </c>
      <c r="AL73" s="3437" t="str">
        <f t="shared" si="53"/>
        <v/>
      </c>
      <c r="AM73" s="1771" t="str">
        <f t="shared" si="53"/>
        <v/>
      </c>
      <c r="AN73" s="1771" t="str">
        <f t="shared" si="53"/>
        <v/>
      </c>
      <c r="AO73" s="1771" t="str">
        <f t="shared" si="53"/>
        <v/>
      </c>
      <c r="AP73" s="3443" t="str">
        <f t="shared" si="53"/>
        <v/>
      </c>
      <c r="AQ73" s="1771" t="str">
        <f t="shared" si="53"/>
        <v/>
      </c>
      <c r="AR73" s="1771" t="str">
        <f t="shared" si="53"/>
        <v/>
      </c>
      <c r="AS73" s="3442" t="str">
        <f t="shared" si="53"/>
        <v/>
      </c>
      <c r="AT73" s="1771" t="str">
        <f t="shared" si="53"/>
        <v/>
      </c>
      <c r="AU73" s="1771" t="str">
        <f t="shared" si="53"/>
        <v/>
      </c>
      <c r="AV73" s="1771" t="str">
        <f t="shared" si="53"/>
        <v/>
      </c>
      <c r="AW73" s="3442">
        <f t="shared" si="53"/>
        <v>0</v>
      </c>
      <c r="AX73" s="1771" t="str">
        <f t="shared" si="54"/>
        <v/>
      </c>
      <c r="AY73" s="1771" t="str">
        <f t="shared" si="54"/>
        <v/>
      </c>
      <c r="AZ73" s="1771" t="str">
        <f t="shared" si="54"/>
        <v/>
      </c>
      <c r="BA73" s="1771" t="str">
        <f t="shared" si="54"/>
        <v/>
      </c>
      <c r="BB73" s="3437" t="str">
        <f t="shared" si="54"/>
        <v/>
      </c>
      <c r="BC73" s="3443" t="str">
        <f t="shared" si="54"/>
        <v/>
      </c>
      <c r="BD73" s="3462"/>
      <c r="BE73" s="3440" t="str">
        <f>IF(J73=J319,"stop","")</f>
        <v/>
      </c>
      <c r="BF73" s="1771" t="str">
        <f t="shared" si="55"/>
        <v/>
      </c>
      <c r="BG73" s="1771" t="str">
        <f t="shared" si="55"/>
        <v/>
      </c>
      <c r="BH73" s="1771" t="str">
        <f t="shared" si="55"/>
        <v/>
      </c>
      <c r="BI73" s="1771" t="str">
        <f t="shared" si="55"/>
        <v/>
      </c>
      <c r="BJ73" s="3443" t="str">
        <f t="shared" si="55"/>
        <v/>
      </c>
      <c r="BK73" s="3437" t="str">
        <f t="shared" si="55"/>
        <v/>
      </c>
      <c r="BL73" s="1771" t="str">
        <f t="shared" si="55"/>
        <v/>
      </c>
      <c r="BM73" s="3442" t="str">
        <f t="shared" si="55"/>
        <v/>
      </c>
      <c r="BN73" s="1771" t="str">
        <f t="shared" si="55"/>
        <v/>
      </c>
      <c r="BO73" s="1771" t="str">
        <f t="shared" si="55"/>
        <v/>
      </c>
      <c r="BP73" s="1771" t="str">
        <f t="shared" si="55"/>
        <v/>
      </c>
      <c r="BQ73" s="1771">
        <f t="shared" si="55"/>
        <v>0</v>
      </c>
      <c r="BR73" s="3437" t="str">
        <f t="shared" si="56"/>
        <v/>
      </c>
      <c r="BS73" s="1771" t="str">
        <f t="shared" si="56"/>
        <v/>
      </c>
      <c r="BT73" s="1771" t="str">
        <f t="shared" si="56"/>
        <v/>
      </c>
      <c r="BU73" s="3442" t="str">
        <f t="shared" si="56"/>
        <v/>
      </c>
      <c r="BV73" s="1771" t="str">
        <f t="shared" si="56"/>
        <v/>
      </c>
      <c r="BW73" s="3442" t="str">
        <f t="shared" si="56"/>
        <v/>
      </c>
      <c r="BX73" s="3462"/>
      <c r="BY73" s="3439" t="str">
        <f>IF(L73=L319,"stop","")</f>
        <v>stop</v>
      </c>
      <c r="BZ73" s="3437" t="str">
        <f t="shared" si="57"/>
        <v/>
      </c>
      <c r="CA73" s="1771" t="str">
        <f t="shared" si="57"/>
        <v/>
      </c>
      <c r="CB73" s="1771" t="str">
        <f t="shared" si="57"/>
        <v/>
      </c>
      <c r="CC73" s="3442" t="str">
        <f t="shared" si="57"/>
        <v/>
      </c>
      <c r="CD73" s="1771" t="str">
        <f t="shared" si="57"/>
        <v/>
      </c>
      <c r="CE73" s="3437" t="str">
        <f t="shared" si="57"/>
        <v/>
      </c>
      <c r="CF73" s="1771" t="str">
        <f t="shared" si="57"/>
        <v/>
      </c>
      <c r="CG73" s="1771" t="str">
        <f t="shared" si="57"/>
        <v/>
      </c>
      <c r="CH73" s="3437" t="str">
        <f t="shared" si="57"/>
        <v/>
      </c>
      <c r="CI73" s="1771" t="str">
        <f t="shared" si="57"/>
        <v/>
      </c>
      <c r="CJ73" s="1771" t="str">
        <f t="shared" si="57"/>
        <v/>
      </c>
      <c r="CK73" s="3442">
        <f t="shared" si="57"/>
        <v>0</v>
      </c>
      <c r="CL73" s="3437" t="str">
        <f t="shared" si="58"/>
        <v/>
      </c>
      <c r="CM73" s="1771" t="str">
        <f t="shared" si="58"/>
        <v/>
      </c>
      <c r="CN73" s="1771" t="str">
        <f t="shared" si="58"/>
        <v/>
      </c>
      <c r="CO73" s="3442" t="str">
        <f t="shared" si="58"/>
        <v/>
      </c>
      <c r="CP73" s="1771" t="str">
        <f t="shared" si="58"/>
        <v/>
      </c>
      <c r="CQ73" s="3442" t="str">
        <f t="shared" si="58"/>
        <v/>
      </c>
      <c r="CR73" s="3462"/>
    </row>
    <row r="74" spans="1:96" s="3" customFormat="1">
      <c r="A74" s="1838" t="s">
        <v>763</v>
      </c>
      <c r="B74" s="1775">
        <v>19</v>
      </c>
      <c r="C74" s="1775"/>
      <c r="D74" s="1775" t="s">
        <v>924</v>
      </c>
      <c r="E74" s="1799" t="s">
        <v>1083</v>
      </c>
      <c r="F74" s="1775" t="s">
        <v>924</v>
      </c>
      <c r="G74" s="1775" t="s">
        <v>695</v>
      </c>
      <c r="H74" s="1775">
        <v>1996</v>
      </c>
      <c r="I74" s="1807"/>
      <c r="J74" s="1792">
        <v>28</v>
      </c>
      <c r="K74" s="1775">
        <v>0</v>
      </c>
      <c r="L74" s="1775"/>
      <c r="M74" s="1775">
        <v>0</v>
      </c>
      <c r="N74" s="1788">
        <f t="shared" ref="N74:N79" si="59">(K74*M74)^0.5</f>
        <v>0</v>
      </c>
      <c r="O74" s="1829">
        <f t="shared" ref="O74:O79" si="60">(K74+M74)*0.5</f>
        <v>0</v>
      </c>
      <c r="P74" s="1776" t="s">
        <v>1088</v>
      </c>
      <c r="Q74" s="3" t="str">
        <f>IF(J74=J319,"stop","")</f>
        <v/>
      </c>
      <c r="R74" s="3437" t="str">
        <f t="shared" ref="R74:AG96" si="61">IF(AND($J74&gt;R$4,$J74&lt;=R$5,$P74=R$6),$K74,"")</f>
        <v/>
      </c>
      <c r="S74" s="1771" t="str">
        <f t="shared" si="61"/>
        <v/>
      </c>
      <c r="T74" s="1771" t="str">
        <f t="shared" si="61"/>
        <v/>
      </c>
      <c r="U74" s="1771" t="str">
        <f t="shared" si="61"/>
        <v/>
      </c>
      <c r="V74" s="3443" t="str">
        <f t="shared" si="61"/>
        <v/>
      </c>
      <c r="W74" s="1771" t="str">
        <f t="shared" si="61"/>
        <v/>
      </c>
      <c r="X74" s="1771" t="str">
        <f t="shared" si="61"/>
        <v/>
      </c>
      <c r="Y74" s="1771" t="str">
        <f t="shared" si="61"/>
        <v/>
      </c>
      <c r="Z74" s="3437" t="str">
        <f t="shared" si="61"/>
        <v/>
      </c>
      <c r="AA74" s="1771" t="str">
        <f t="shared" si="61"/>
        <v/>
      </c>
      <c r="AB74" s="1771" t="str">
        <f t="shared" si="61"/>
        <v/>
      </c>
      <c r="AC74" s="3442">
        <f t="shared" si="61"/>
        <v>0</v>
      </c>
      <c r="AD74" s="1771" t="str">
        <f t="shared" si="61"/>
        <v/>
      </c>
      <c r="AE74" s="1771" t="str">
        <f t="shared" si="61"/>
        <v/>
      </c>
      <c r="AF74" s="1771" t="str">
        <f t="shared" si="61"/>
        <v/>
      </c>
      <c r="AG74" s="3442" t="str">
        <f t="shared" si="61"/>
        <v/>
      </c>
      <c r="AH74" s="1771" t="str">
        <f t="shared" si="52"/>
        <v/>
      </c>
      <c r="AI74" s="3442" t="str">
        <f t="shared" si="52"/>
        <v/>
      </c>
      <c r="AJ74" s="3462"/>
      <c r="AK74" s="3439" t="str">
        <f>IF(J74=J319,"stop","")</f>
        <v/>
      </c>
      <c r="AL74" s="3437" t="str">
        <f t="shared" si="53"/>
        <v/>
      </c>
      <c r="AM74" s="1771" t="str">
        <f t="shared" si="53"/>
        <v/>
      </c>
      <c r="AN74" s="1771" t="str">
        <f t="shared" si="53"/>
        <v/>
      </c>
      <c r="AO74" s="1771" t="str">
        <f t="shared" si="53"/>
        <v/>
      </c>
      <c r="AP74" s="3443" t="str">
        <f t="shared" si="53"/>
        <v/>
      </c>
      <c r="AQ74" s="1771" t="str">
        <f t="shared" si="53"/>
        <v/>
      </c>
      <c r="AR74" s="1771" t="str">
        <f t="shared" si="53"/>
        <v/>
      </c>
      <c r="AS74" s="3442" t="str">
        <f t="shared" si="53"/>
        <v/>
      </c>
      <c r="AT74" s="1771" t="str">
        <f t="shared" si="53"/>
        <v/>
      </c>
      <c r="AU74" s="1771" t="str">
        <f t="shared" si="53"/>
        <v/>
      </c>
      <c r="AV74" s="1771" t="str">
        <f t="shared" si="53"/>
        <v/>
      </c>
      <c r="AW74" s="3442">
        <f t="shared" si="53"/>
        <v>0</v>
      </c>
      <c r="AX74" s="1771" t="str">
        <f t="shared" si="54"/>
        <v/>
      </c>
      <c r="AY74" s="1771" t="str">
        <f t="shared" si="54"/>
        <v/>
      </c>
      <c r="AZ74" s="1771" t="str">
        <f t="shared" si="54"/>
        <v/>
      </c>
      <c r="BA74" s="1771" t="str">
        <f t="shared" si="54"/>
        <v/>
      </c>
      <c r="BB74" s="3437" t="str">
        <f t="shared" si="54"/>
        <v/>
      </c>
      <c r="BC74" s="3443" t="str">
        <f t="shared" si="54"/>
        <v/>
      </c>
      <c r="BD74" s="3462"/>
      <c r="BE74" s="3440" t="str">
        <f>IF(J74=J319,"stop","")</f>
        <v/>
      </c>
      <c r="BF74" s="1771" t="str">
        <f t="shared" si="55"/>
        <v/>
      </c>
      <c r="BG74" s="1771" t="str">
        <f t="shared" si="55"/>
        <v/>
      </c>
      <c r="BH74" s="1771" t="str">
        <f t="shared" si="55"/>
        <v/>
      </c>
      <c r="BI74" s="1771" t="str">
        <f t="shared" si="55"/>
        <v/>
      </c>
      <c r="BJ74" s="3443" t="str">
        <f t="shared" si="55"/>
        <v/>
      </c>
      <c r="BK74" s="3437" t="str">
        <f t="shared" si="55"/>
        <v/>
      </c>
      <c r="BL74" s="1771" t="str">
        <f t="shared" si="55"/>
        <v/>
      </c>
      <c r="BM74" s="3442" t="str">
        <f t="shared" si="55"/>
        <v/>
      </c>
      <c r="BN74" s="1771" t="str">
        <f t="shared" si="55"/>
        <v/>
      </c>
      <c r="BO74" s="1771" t="str">
        <f t="shared" si="55"/>
        <v/>
      </c>
      <c r="BP74" s="1771" t="str">
        <f t="shared" si="55"/>
        <v/>
      </c>
      <c r="BQ74" s="1771">
        <f t="shared" si="55"/>
        <v>0</v>
      </c>
      <c r="BR74" s="3437" t="str">
        <f t="shared" si="56"/>
        <v/>
      </c>
      <c r="BS74" s="1771" t="str">
        <f t="shared" si="56"/>
        <v/>
      </c>
      <c r="BT74" s="1771" t="str">
        <f t="shared" si="56"/>
        <v/>
      </c>
      <c r="BU74" s="3442" t="str">
        <f t="shared" si="56"/>
        <v/>
      </c>
      <c r="BV74" s="1771" t="str">
        <f t="shared" si="56"/>
        <v/>
      </c>
      <c r="BW74" s="3442" t="str">
        <f t="shared" si="56"/>
        <v/>
      </c>
      <c r="BX74" s="3462"/>
      <c r="BY74" s="3439" t="str">
        <f>IF(L74=L319,"stop","")</f>
        <v>stop</v>
      </c>
      <c r="BZ74" s="3437" t="str">
        <f t="shared" si="57"/>
        <v/>
      </c>
      <c r="CA74" s="1771" t="str">
        <f t="shared" si="57"/>
        <v/>
      </c>
      <c r="CB74" s="1771" t="str">
        <f t="shared" si="57"/>
        <v/>
      </c>
      <c r="CC74" s="3442" t="str">
        <f t="shared" si="57"/>
        <v/>
      </c>
      <c r="CD74" s="1771" t="str">
        <f t="shared" si="57"/>
        <v/>
      </c>
      <c r="CE74" s="3437" t="str">
        <f t="shared" si="57"/>
        <v/>
      </c>
      <c r="CF74" s="1771" t="str">
        <f t="shared" si="57"/>
        <v/>
      </c>
      <c r="CG74" s="1771" t="str">
        <f t="shared" si="57"/>
        <v/>
      </c>
      <c r="CH74" s="3437" t="str">
        <f t="shared" si="57"/>
        <v/>
      </c>
      <c r="CI74" s="1771" t="str">
        <f t="shared" si="57"/>
        <v/>
      </c>
      <c r="CJ74" s="1771" t="str">
        <f t="shared" si="57"/>
        <v/>
      </c>
      <c r="CK74" s="3442">
        <f t="shared" si="57"/>
        <v>0</v>
      </c>
      <c r="CL74" s="3437" t="str">
        <f t="shared" si="58"/>
        <v/>
      </c>
      <c r="CM74" s="1771" t="str">
        <f t="shared" si="58"/>
        <v/>
      </c>
      <c r="CN74" s="1771" t="str">
        <f t="shared" si="58"/>
        <v/>
      </c>
      <c r="CO74" s="3442" t="str">
        <f t="shared" si="58"/>
        <v/>
      </c>
      <c r="CP74" s="1771" t="str">
        <f t="shared" si="58"/>
        <v/>
      </c>
      <c r="CQ74" s="3442" t="str">
        <f t="shared" si="58"/>
        <v/>
      </c>
      <c r="CR74" s="3462"/>
    </row>
    <row r="75" spans="1:96" s="3" customFormat="1">
      <c r="A75" s="1838" t="s">
        <v>764</v>
      </c>
      <c r="B75" s="1775">
        <v>20</v>
      </c>
      <c r="C75" s="1775">
        <v>31.34</v>
      </c>
      <c r="D75" s="1775">
        <v>5.0000000000000004E-6</v>
      </c>
      <c r="E75" s="1796" t="s">
        <v>35</v>
      </c>
      <c r="F75" s="1775">
        <v>8.4000000000000003E-4</v>
      </c>
      <c r="G75" s="1775" t="s">
        <v>695</v>
      </c>
      <c r="H75" s="1775">
        <v>1996</v>
      </c>
      <c r="I75" s="1807"/>
      <c r="J75" s="1775">
        <f t="shared" ref="J75:J142" si="62">IF(ISBLANK(C75),B75+0.5,C75)</f>
        <v>31.34</v>
      </c>
      <c r="K75" s="1775">
        <v>5.0000000000000004E-6</v>
      </c>
      <c r="L75" s="1775" t="s">
        <v>35</v>
      </c>
      <c r="M75" s="1775">
        <v>8.4000000000000003E-4</v>
      </c>
      <c r="N75" s="1788">
        <f t="shared" si="59"/>
        <v>6.4807406984078604E-5</v>
      </c>
      <c r="O75" s="1829">
        <f t="shared" si="60"/>
        <v>4.2250000000000002E-4</v>
      </c>
      <c r="P75" s="1776" t="s">
        <v>1088</v>
      </c>
      <c r="Q75" s="3" t="str">
        <f>IF(J75=J319,"stop","")</f>
        <v/>
      </c>
      <c r="R75" s="3437" t="str">
        <f t="shared" si="61"/>
        <v/>
      </c>
      <c r="S75" s="1771" t="str">
        <f t="shared" si="61"/>
        <v/>
      </c>
      <c r="T75" s="1771" t="str">
        <f t="shared" si="61"/>
        <v/>
      </c>
      <c r="U75" s="1771" t="str">
        <f t="shared" si="61"/>
        <v/>
      </c>
      <c r="V75" s="3443" t="str">
        <f t="shared" si="61"/>
        <v/>
      </c>
      <c r="W75" s="1771" t="str">
        <f t="shared" si="61"/>
        <v/>
      </c>
      <c r="X75" s="1771" t="str">
        <f t="shared" si="61"/>
        <v/>
      </c>
      <c r="Y75" s="1771" t="str">
        <f t="shared" si="61"/>
        <v/>
      </c>
      <c r="Z75" s="3437" t="str">
        <f t="shared" si="61"/>
        <v/>
      </c>
      <c r="AA75" s="1771" t="str">
        <f t="shared" si="61"/>
        <v/>
      </c>
      <c r="AB75" s="1771" t="str">
        <f t="shared" si="61"/>
        <v/>
      </c>
      <c r="AC75" s="3442">
        <f t="shared" si="61"/>
        <v>5.0000000000000004E-6</v>
      </c>
      <c r="AD75" s="1771" t="str">
        <f t="shared" si="61"/>
        <v/>
      </c>
      <c r="AE75" s="1771" t="str">
        <f t="shared" si="61"/>
        <v/>
      </c>
      <c r="AF75" s="1771" t="str">
        <f t="shared" si="61"/>
        <v/>
      </c>
      <c r="AG75" s="3442" t="str">
        <f t="shared" si="61"/>
        <v/>
      </c>
      <c r="AH75" s="1771" t="str">
        <f t="shared" si="52"/>
        <v/>
      </c>
      <c r="AI75" s="3442" t="str">
        <f t="shared" si="52"/>
        <v/>
      </c>
      <c r="AJ75" s="3462"/>
      <c r="AK75" s="3439" t="str">
        <f>IF(J75=J319,"stop","")</f>
        <v/>
      </c>
      <c r="AL75" s="3437" t="str">
        <f t="shared" si="53"/>
        <v/>
      </c>
      <c r="AM75" s="1771" t="str">
        <f t="shared" si="53"/>
        <v/>
      </c>
      <c r="AN75" s="1771" t="str">
        <f t="shared" si="53"/>
        <v/>
      </c>
      <c r="AO75" s="1771" t="str">
        <f t="shared" si="53"/>
        <v/>
      </c>
      <c r="AP75" s="3443" t="str">
        <f t="shared" si="53"/>
        <v/>
      </c>
      <c r="AQ75" s="1771" t="str">
        <f t="shared" si="53"/>
        <v/>
      </c>
      <c r="AR75" s="1771" t="str">
        <f t="shared" si="53"/>
        <v/>
      </c>
      <c r="AS75" s="3442" t="str">
        <f t="shared" si="53"/>
        <v/>
      </c>
      <c r="AT75" s="1771" t="str">
        <f t="shared" si="53"/>
        <v/>
      </c>
      <c r="AU75" s="1771" t="str">
        <f t="shared" si="53"/>
        <v/>
      </c>
      <c r="AV75" s="1771" t="str">
        <f t="shared" si="53"/>
        <v/>
      </c>
      <c r="AW75" s="3442">
        <f t="shared" si="53"/>
        <v>8.4000000000000003E-4</v>
      </c>
      <c r="AX75" s="1771" t="str">
        <f t="shared" si="54"/>
        <v/>
      </c>
      <c r="AY75" s="1771" t="str">
        <f t="shared" si="54"/>
        <v/>
      </c>
      <c r="AZ75" s="1771" t="str">
        <f t="shared" si="54"/>
        <v/>
      </c>
      <c r="BA75" s="1771" t="str">
        <f t="shared" si="54"/>
        <v/>
      </c>
      <c r="BB75" s="3437" t="str">
        <f t="shared" si="54"/>
        <v/>
      </c>
      <c r="BC75" s="3443" t="str">
        <f t="shared" si="54"/>
        <v/>
      </c>
      <c r="BD75" s="3462"/>
      <c r="BE75" s="3440" t="str">
        <f>IF(J75=J319,"stop","")</f>
        <v/>
      </c>
      <c r="BF75" s="1771" t="str">
        <f t="shared" si="55"/>
        <v/>
      </c>
      <c r="BG75" s="1771" t="str">
        <f t="shared" si="55"/>
        <v/>
      </c>
      <c r="BH75" s="1771" t="str">
        <f t="shared" si="55"/>
        <v/>
      </c>
      <c r="BI75" s="1771" t="str">
        <f t="shared" si="55"/>
        <v/>
      </c>
      <c r="BJ75" s="3443" t="str">
        <f t="shared" si="55"/>
        <v/>
      </c>
      <c r="BK75" s="3437" t="str">
        <f t="shared" si="55"/>
        <v/>
      </c>
      <c r="BL75" s="1771" t="str">
        <f t="shared" si="55"/>
        <v/>
      </c>
      <c r="BM75" s="3442" t="str">
        <f t="shared" si="55"/>
        <v/>
      </c>
      <c r="BN75" s="1771" t="str">
        <f t="shared" si="55"/>
        <v/>
      </c>
      <c r="BO75" s="1771" t="str">
        <f t="shared" si="55"/>
        <v/>
      </c>
      <c r="BP75" s="1771" t="str">
        <f t="shared" si="55"/>
        <v/>
      </c>
      <c r="BQ75" s="1771">
        <f t="shared" si="55"/>
        <v>6.4807406984078604E-5</v>
      </c>
      <c r="BR75" s="3437" t="str">
        <f t="shared" si="56"/>
        <v/>
      </c>
      <c r="BS75" s="1771" t="str">
        <f t="shared" si="56"/>
        <v/>
      </c>
      <c r="BT75" s="1771" t="str">
        <f t="shared" si="56"/>
        <v/>
      </c>
      <c r="BU75" s="3442" t="str">
        <f t="shared" si="56"/>
        <v/>
      </c>
      <c r="BV75" s="1771" t="str">
        <f t="shared" si="56"/>
        <v/>
      </c>
      <c r="BW75" s="3442" t="str">
        <f t="shared" si="56"/>
        <v/>
      </c>
      <c r="BX75" s="3462"/>
      <c r="BY75" s="3439" t="str">
        <f>IF(L75=L319,"stop","")</f>
        <v/>
      </c>
      <c r="BZ75" s="3437" t="str">
        <f t="shared" si="57"/>
        <v/>
      </c>
      <c r="CA75" s="1771" t="str">
        <f t="shared" si="57"/>
        <v/>
      </c>
      <c r="CB75" s="1771" t="str">
        <f t="shared" si="57"/>
        <v/>
      </c>
      <c r="CC75" s="3442" t="str">
        <f t="shared" si="57"/>
        <v/>
      </c>
      <c r="CD75" s="1771" t="str">
        <f t="shared" si="57"/>
        <v/>
      </c>
      <c r="CE75" s="3437" t="str">
        <f t="shared" si="57"/>
        <v/>
      </c>
      <c r="CF75" s="1771" t="str">
        <f t="shared" si="57"/>
        <v/>
      </c>
      <c r="CG75" s="1771" t="str">
        <f t="shared" si="57"/>
        <v/>
      </c>
      <c r="CH75" s="3437" t="str">
        <f t="shared" si="57"/>
        <v/>
      </c>
      <c r="CI75" s="1771" t="str">
        <f t="shared" si="57"/>
        <v/>
      </c>
      <c r="CJ75" s="1771" t="str">
        <f t="shared" si="57"/>
        <v/>
      </c>
      <c r="CK75" s="3442">
        <f t="shared" si="57"/>
        <v>4.2250000000000002E-4</v>
      </c>
      <c r="CL75" s="3437" t="str">
        <f t="shared" si="58"/>
        <v/>
      </c>
      <c r="CM75" s="1771" t="str">
        <f t="shared" si="58"/>
        <v/>
      </c>
      <c r="CN75" s="1771" t="str">
        <f t="shared" si="58"/>
        <v/>
      </c>
      <c r="CO75" s="3442" t="str">
        <f t="shared" si="58"/>
        <v/>
      </c>
      <c r="CP75" s="1771" t="str">
        <f t="shared" si="58"/>
        <v/>
      </c>
      <c r="CQ75" s="3442" t="str">
        <f t="shared" si="58"/>
        <v/>
      </c>
      <c r="CR75" s="3462"/>
    </row>
    <row r="76" spans="1:96" s="3" customFormat="1">
      <c r="A76" s="1838" t="s">
        <v>765</v>
      </c>
      <c r="B76" s="1775">
        <v>20</v>
      </c>
      <c r="C76" s="1775">
        <v>31.17</v>
      </c>
      <c r="D76" s="1775">
        <v>5.4E-6</v>
      </c>
      <c r="E76" s="1796" t="s">
        <v>35</v>
      </c>
      <c r="F76" s="1775">
        <v>2.4000000000000001E-4</v>
      </c>
      <c r="G76" s="1775" t="s">
        <v>695</v>
      </c>
      <c r="H76" s="1775">
        <v>1996</v>
      </c>
      <c r="I76" s="1807"/>
      <c r="J76" s="1775">
        <f t="shared" si="62"/>
        <v>31.17</v>
      </c>
      <c r="K76" s="1775">
        <v>5.4E-6</v>
      </c>
      <c r="L76" s="1775" t="s">
        <v>35</v>
      </c>
      <c r="M76" s="1775">
        <v>2.4000000000000001E-4</v>
      </c>
      <c r="N76" s="1788">
        <f t="shared" si="59"/>
        <v>3.6000000000000001E-5</v>
      </c>
      <c r="O76" s="1829">
        <f t="shared" si="60"/>
        <v>1.227E-4</v>
      </c>
      <c r="P76" s="1776" t="s">
        <v>1088</v>
      </c>
      <c r="Q76" s="3" t="str">
        <f>IF(J76=J319,"stop","")</f>
        <v/>
      </c>
      <c r="R76" s="3437" t="str">
        <f t="shared" si="61"/>
        <v/>
      </c>
      <c r="S76" s="1771" t="str">
        <f t="shared" si="61"/>
        <v/>
      </c>
      <c r="T76" s="1771" t="str">
        <f t="shared" si="61"/>
        <v/>
      </c>
      <c r="U76" s="1771" t="str">
        <f t="shared" si="61"/>
        <v/>
      </c>
      <c r="V76" s="3443" t="str">
        <f t="shared" si="61"/>
        <v/>
      </c>
      <c r="W76" s="1771" t="str">
        <f t="shared" si="61"/>
        <v/>
      </c>
      <c r="X76" s="1771" t="str">
        <f t="shared" si="61"/>
        <v/>
      </c>
      <c r="Y76" s="1771" t="str">
        <f t="shared" si="61"/>
        <v/>
      </c>
      <c r="Z76" s="3437" t="str">
        <f t="shared" si="61"/>
        <v/>
      </c>
      <c r="AA76" s="1771" t="str">
        <f t="shared" si="61"/>
        <v/>
      </c>
      <c r="AB76" s="1771" t="str">
        <f t="shared" si="61"/>
        <v/>
      </c>
      <c r="AC76" s="3442">
        <f t="shared" si="61"/>
        <v>5.4E-6</v>
      </c>
      <c r="AD76" s="1771" t="str">
        <f t="shared" si="61"/>
        <v/>
      </c>
      <c r="AE76" s="1771" t="str">
        <f t="shared" si="61"/>
        <v/>
      </c>
      <c r="AF76" s="1771" t="str">
        <f t="shared" si="61"/>
        <v/>
      </c>
      <c r="AG76" s="3442" t="str">
        <f t="shared" si="61"/>
        <v/>
      </c>
      <c r="AH76" s="1771" t="str">
        <f t="shared" si="52"/>
        <v/>
      </c>
      <c r="AI76" s="3442" t="str">
        <f t="shared" si="52"/>
        <v/>
      </c>
      <c r="AJ76" s="3462"/>
      <c r="AK76" s="3439" t="str">
        <f>IF(J76=J319,"stop","")</f>
        <v/>
      </c>
      <c r="AL76" s="3437" t="str">
        <f t="shared" si="53"/>
        <v/>
      </c>
      <c r="AM76" s="1771" t="str">
        <f t="shared" si="53"/>
        <v/>
      </c>
      <c r="AN76" s="1771" t="str">
        <f t="shared" si="53"/>
        <v/>
      </c>
      <c r="AO76" s="1771" t="str">
        <f t="shared" si="53"/>
        <v/>
      </c>
      <c r="AP76" s="3443" t="str">
        <f t="shared" si="53"/>
        <v/>
      </c>
      <c r="AQ76" s="1771" t="str">
        <f t="shared" si="53"/>
        <v/>
      </c>
      <c r="AR76" s="1771" t="str">
        <f t="shared" si="53"/>
        <v/>
      </c>
      <c r="AS76" s="3442" t="str">
        <f t="shared" si="53"/>
        <v/>
      </c>
      <c r="AT76" s="1771" t="str">
        <f t="shared" si="53"/>
        <v/>
      </c>
      <c r="AU76" s="1771" t="str">
        <f t="shared" si="53"/>
        <v/>
      </c>
      <c r="AV76" s="1771" t="str">
        <f t="shared" si="53"/>
        <v/>
      </c>
      <c r="AW76" s="3442">
        <f t="shared" si="53"/>
        <v>2.4000000000000001E-4</v>
      </c>
      <c r="AX76" s="1771" t="str">
        <f t="shared" si="54"/>
        <v/>
      </c>
      <c r="AY76" s="1771" t="str">
        <f t="shared" si="54"/>
        <v/>
      </c>
      <c r="AZ76" s="1771" t="str">
        <f t="shared" si="54"/>
        <v/>
      </c>
      <c r="BA76" s="1771" t="str">
        <f t="shared" si="54"/>
        <v/>
      </c>
      <c r="BB76" s="3437" t="str">
        <f t="shared" si="54"/>
        <v/>
      </c>
      <c r="BC76" s="3443" t="str">
        <f t="shared" si="54"/>
        <v/>
      </c>
      <c r="BD76" s="3462"/>
      <c r="BE76" s="3440" t="str">
        <f>IF(J76=J319,"stop","")</f>
        <v/>
      </c>
      <c r="BF76" s="1771" t="str">
        <f t="shared" si="55"/>
        <v/>
      </c>
      <c r="BG76" s="1771" t="str">
        <f t="shared" si="55"/>
        <v/>
      </c>
      <c r="BH76" s="1771" t="str">
        <f t="shared" si="55"/>
        <v/>
      </c>
      <c r="BI76" s="1771" t="str">
        <f t="shared" si="55"/>
        <v/>
      </c>
      <c r="BJ76" s="3443" t="str">
        <f t="shared" si="55"/>
        <v/>
      </c>
      <c r="BK76" s="3437" t="str">
        <f t="shared" si="55"/>
        <v/>
      </c>
      <c r="BL76" s="1771" t="str">
        <f t="shared" si="55"/>
        <v/>
      </c>
      <c r="BM76" s="3442" t="str">
        <f t="shared" si="55"/>
        <v/>
      </c>
      <c r="BN76" s="1771" t="str">
        <f t="shared" si="55"/>
        <v/>
      </c>
      <c r="BO76" s="1771" t="str">
        <f t="shared" si="55"/>
        <v/>
      </c>
      <c r="BP76" s="1771" t="str">
        <f t="shared" si="55"/>
        <v/>
      </c>
      <c r="BQ76" s="1771">
        <f t="shared" si="55"/>
        <v>3.6000000000000001E-5</v>
      </c>
      <c r="BR76" s="3437" t="str">
        <f t="shared" si="56"/>
        <v/>
      </c>
      <c r="BS76" s="1771" t="str">
        <f t="shared" si="56"/>
        <v/>
      </c>
      <c r="BT76" s="1771" t="str">
        <f t="shared" si="56"/>
        <v/>
      </c>
      <c r="BU76" s="3442" t="str">
        <f t="shared" si="56"/>
        <v/>
      </c>
      <c r="BV76" s="1771" t="str">
        <f t="shared" si="56"/>
        <v/>
      </c>
      <c r="BW76" s="3442" t="str">
        <f t="shared" si="56"/>
        <v/>
      </c>
      <c r="BX76" s="3462"/>
      <c r="BY76" s="3439" t="str">
        <f>IF(L76=L319,"stop","")</f>
        <v/>
      </c>
      <c r="BZ76" s="3437" t="str">
        <f t="shared" si="57"/>
        <v/>
      </c>
      <c r="CA76" s="1771" t="str">
        <f t="shared" si="57"/>
        <v/>
      </c>
      <c r="CB76" s="1771" t="str">
        <f t="shared" si="57"/>
        <v/>
      </c>
      <c r="CC76" s="3442" t="str">
        <f t="shared" si="57"/>
        <v/>
      </c>
      <c r="CD76" s="1771" t="str">
        <f t="shared" si="57"/>
        <v/>
      </c>
      <c r="CE76" s="3437" t="str">
        <f t="shared" si="57"/>
        <v/>
      </c>
      <c r="CF76" s="1771" t="str">
        <f t="shared" si="57"/>
        <v/>
      </c>
      <c r="CG76" s="1771" t="str">
        <f t="shared" si="57"/>
        <v/>
      </c>
      <c r="CH76" s="3437" t="str">
        <f t="shared" si="57"/>
        <v/>
      </c>
      <c r="CI76" s="1771" t="str">
        <f t="shared" si="57"/>
        <v/>
      </c>
      <c r="CJ76" s="1771" t="str">
        <f t="shared" si="57"/>
        <v/>
      </c>
      <c r="CK76" s="3442">
        <f t="shared" si="57"/>
        <v>1.227E-4</v>
      </c>
      <c r="CL76" s="3437" t="str">
        <f t="shared" si="58"/>
        <v/>
      </c>
      <c r="CM76" s="1771" t="str">
        <f t="shared" si="58"/>
        <v/>
      </c>
      <c r="CN76" s="1771" t="str">
        <f t="shared" si="58"/>
        <v/>
      </c>
      <c r="CO76" s="3442" t="str">
        <f t="shared" si="58"/>
        <v/>
      </c>
      <c r="CP76" s="1771" t="str">
        <f t="shared" si="58"/>
        <v/>
      </c>
      <c r="CQ76" s="3442" t="str">
        <f t="shared" si="58"/>
        <v/>
      </c>
      <c r="CR76" s="3462"/>
    </row>
    <row r="77" spans="1:96" s="3" customFormat="1">
      <c r="A77" s="1838" t="s">
        <v>766</v>
      </c>
      <c r="B77" s="1775">
        <v>20</v>
      </c>
      <c r="C77" s="1775">
        <v>31.34</v>
      </c>
      <c r="D77" s="1775" t="s">
        <v>925</v>
      </c>
      <c r="E77" s="1799" t="s">
        <v>1083</v>
      </c>
      <c r="F77" s="1775" t="s">
        <v>925</v>
      </c>
      <c r="G77" s="1775" t="s">
        <v>695</v>
      </c>
      <c r="H77" s="1775">
        <v>1996</v>
      </c>
      <c r="I77" s="1807"/>
      <c r="J77" s="1775">
        <f t="shared" si="62"/>
        <v>31.34</v>
      </c>
      <c r="K77" s="1775">
        <v>0</v>
      </c>
      <c r="L77" s="1775"/>
      <c r="M77" s="1775">
        <v>0</v>
      </c>
      <c r="N77" s="1788">
        <f t="shared" si="59"/>
        <v>0</v>
      </c>
      <c r="O77" s="1829">
        <f t="shared" si="60"/>
        <v>0</v>
      </c>
      <c r="P77" s="1776" t="s">
        <v>1088</v>
      </c>
      <c r="Q77" s="3" t="str">
        <f>IF(J77=J319,"stop","")</f>
        <v/>
      </c>
      <c r="R77" s="3437" t="str">
        <f t="shared" si="61"/>
        <v/>
      </c>
      <c r="S77" s="1771" t="str">
        <f t="shared" si="61"/>
        <v/>
      </c>
      <c r="T77" s="1771" t="str">
        <f t="shared" si="61"/>
        <v/>
      </c>
      <c r="U77" s="1771" t="str">
        <f t="shared" si="61"/>
        <v/>
      </c>
      <c r="V77" s="3443" t="str">
        <f t="shared" si="61"/>
        <v/>
      </c>
      <c r="W77" s="1771" t="str">
        <f t="shared" si="61"/>
        <v/>
      </c>
      <c r="X77" s="1771" t="str">
        <f t="shared" si="61"/>
        <v/>
      </c>
      <c r="Y77" s="1771" t="str">
        <f t="shared" si="61"/>
        <v/>
      </c>
      <c r="Z77" s="3437" t="str">
        <f t="shared" si="61"/>
        <v/>
      </c>
      <c r="AA77" s="1771" t="str">
        <f t="shared" si="61"/>
        <v/>
      </c>
      <c r="AB77" s="1771" t="str">
        <f t="shared" si="61"/>
        <v/>
      </c>
      <c r="AC77" s="3442">
        <f t="shared" si="61"/>
        <v>0</v>
      </c>
      <c r="AD77" s="1771" t="str">
        <f t="shared" si="61"/>
        <v/>
      </c>
      <c r="AE77" s="1771" t="str">
        <f t="shared" si="61"/>
        <v/>
      </c>
      <c r="AF77" s="1771" t="str">
        <f t="shared" si="61"/>
        <v/>
      </c>
      <c r="AG77" s="3442" t="str">
        <f t="shared" si="61"/>
        <v/>
      </c>
      <c r="AH77" s="1771" t="str">
        <f t="shared" si="52"/>
        <v/>
      </c>
      <c r="AI77" s="3442" t="str">
        <f t="shared" si="52"/>
        <v/>
      </c>
      <c r="AJ77" s="3462"/>
      <c r="AK77" s="3439" t="str">
        <f>IF(J77=J319,"stop","")</f>
        <v/>
      </c>
      <c r="AL77" s="3437" t="str">
        <f t="shared" si="53"/>
        <v/>
      </c>
      <c r="AM77" s="1771" t="str">
        <f t="shared" si="53"/>
        <v/>
      </c>
      <c r="AN77" s="1771" t="str">
        <f t="shared" si="53"/>
        <v/>
      </c>
      <c r="AO77" s="1771" t="str">
        <f t="shared" si="53"/>
        <v/>
      </c>
      <c r="AP77" s="3443" t="str">
        <f t="shared" si="53"/>
        <v/>
      </c>
      <c r="AQ77" s="1771" t="str">
        <f t="shared" si="53"/>
        <v/>
      </c>
      <c r="AR77" s="1771" t="str">
        <f t="shared" si="53"/>
        <v/>
      </c>
      <c r="AS77" s="3442" t="str">
        <f t="shared" si="53"/>
        <v/>
      </c>
      <c r="AT77" s="1771" t="str">
        <f t="shared" si="53"/>
        <v/>
      </c>
      <c r="AU77" s="1771" t="str">
        <f t="shared" si="53"/>
        <v/>
      </c>
      <c r="AV77" s="1771" t="str">
        <f t="shared" si="53"/>
        <v/>
      </c>
      <c r="AW77" s="3442">
        <f t="shared" si="53"/>
        <v>0</v>
      </c>
      <c r="AX77" s="1771" t="str">
        <f t="shared" si="54"/>
        <v/>
      </c>
      <c r="AY77" s="1771" t="str">
        <f t="shared" si="54"/>
        <v/>
      </c>
      <c r="AZ77" s="1771" t="str">
        <f t="shared" si="54"/>
        <v/>
      </c>
      <c r="BA77" s="1771" t="str">
        <f t="shared" si="54"/>
        <v/>
      </c>
      <c r="BB77" s="3437" t="str">
        <f t="shared" si="54"/>
        <v/>
      </c>
      <c r="BC77" s="3443" t="str">
        <f t="shared" si="54"/>
        <v/>
      </c>
      <c r="BD77" s="3462"/>
      <c r="BE77" s="3440" t="str">
        <f>IF(J77=J319,"stop","")</f>
        <v/>
      </c>
      <c r="BF77" s="1771" t="str">
        <f t="shared" si="55"/>
        <v/>
      </c>
      <c r="BG77" s="1771" t="str">
        <f t="shared" si="55"/>
        <v/>
      </c>
      <c r="BH77" s="1771" t="str">
        <f t="shared" si="55"/>
        <v/>
      </c>
      <c r="BI77" s="1771" t="str">
        <f t="shared" si="55"/>
        <v/>
      </c>
      <c r="BJ77" s="3443" t="str">
        <f t="shared" si="55"/>
        <v/>
      </c>
      <c r="BK77" s="3437" t="str">
        <f t="shared" si="55"/>
        <v/>
      </c>
      <c r="BL77" s="1771" t="str">
        <f t="shared" si="55"/>
        <v/>
      </c>
      <c r="BM77" s="3442" t="str">
        <f t="shared" si="55"/>
        <v/>
      </c>
      <c r="BN77" s="1771" t="str">
        <f t="shared" si="55"/>
        <v/>
      </c>
      <c r="BO77" s="1771" t="str">
        <f t="shared" si="55"/>
        <v/>
      </c>
      <c r="BP77" s="1771" t="str">
        <f t="shared" si="55"/>
        <v/>
      </c>
      <c r="BQ77" s="1771">
        <f t="shared" si="55"/>
        <v>0</v>
      </c>
      <c r="BR77" s="3437" t="str">
        <f t="shared" si="56"/>
        <v/>
      </c>
      <c r="BS77" s="1771" t="str">
        <f t="shared" si="56"/>
        <v/>
      </c>
      <c r="BT77" s="1771" t="str">
        <f t="shared" si="56"/>
        <v/>
      </c>
      <c r="BU77" s="3442" t="str">
        <f t="shared" si="56"/>
        <v/>
      </c>
      <c r="BV77" s="1771" t="str">
        <f t="shared" si="56"/>
        <v/>
      </c>
      <c r="BW77" s="3442" t="str">
        <f t="shared" si="56"/>
        <v/>
      </c>
      <c r="BX77" s="3462"/>
      <c r="BY77" s="3439" t="str">
        <f>IF(L77=L319,"stop","")</f>
        <v>stop</v>
      </c>
      <c r="BZ77" s="3437" t="str">
        <f t="shared" si="57"/>
        <v/>
      </c>
      <c r="CA77" s="1771" t="str">
        <f t="shared" si="57"/>
        <v/>
      </c>
      <c r="CB77" s="1771" t="str">
        <f t="shared" si="57"/>
        <v/>
      </c>
      <c r="CC77" s="3442" t="str">
        <f t="shared" si="57"/>
        <v/>
      </c>
      <c r="CD77" s="1771" t="str">
        <f t="shared" si="57"/>
        <v/>
      </c>
      <c r="CE77" s="3437" t="str">
        <f t="shared" si="57"/>
        <v/>
      </c>
      <c r="CF77" s="1771" t="str">
        <f t="shared" si="57"/>
        <v/>
      </c>
      <c r="CG77" s="1771" t="str">
        <f t="shared" si="57"/>
        <v/>
      </c>
      <c r="CH77" s="3437" t="str">
        <f t="shared" si="57"/>
        <v/>
      </c>
      <c r="CI77" s="1771" t="str">
        <f t="shared" si="57"/>
        <v/>
      </c>
      <c r="CJ77" s="1771" t="str">
        <f t="shared" si="57"/>
        <v/>
      </c>
      <c r="CK77" s="3442">
        <f t="shared" si="57"/>
        <v>0</v>
      </c>
      <c r="CL77" s="3437" t="str">
        <f t="shared" si="58"/>
        <v/>
      </c>
      <c r="CM77" s="1771" t="str">
        <f t="shared" si="58"/>
        <v/>
      </c>
      <c r="CN77" s="1771" t="str">
        <f t="shared" si="58"/>
        <v/>
      </c>
      <c r="CO77" s="3442" t="str">
        <f t="shared" si="58"/>
        <v/>
      </c>
      <c r="CP77" s="1771" t="str">
        <f t="shared" si="58"/>
        <v/>
      </c>
      <c r="CQ77" s="3442" t="str">
        <f t="shared" si="58"/>
        <v/>
      </c>
      <c r="CR77" s="3462"/>
    </row>
    <row r="78" spans="1:96" s="3" customFormat="1">
      <c r="A78" s="1838" t="s">
        <v>767</v>
      </c>
      <c r="B78" s="1775">
        <v>22</v>
      </c>
      <c r="C78" s="1775">
        <v>34.01</v>
      </c>
      <c r="D78" s="1775">
        <v>8.9999999999999996E-7</v>
      </c>
      <c r="E78" s="1796" t="s">
        <v>35</v>
      </c>
      <c r="F78" s="1775">
        <v>4.0000000000000003E-5</v>
      </c>
      <c r="G78" s="1775" t="s">
        <v>695</v>
      </c>
      <c r="H78" s="1775">
        <v>1996</v>
      </c>
      <c r="I78" s="1807"/>
      <c r="J78" s="1775">
        <f t="shared" si="62"/>
        <v>34.01</v>
      </c>
      <c r="K78" s="1775">
        <v>8.9999999999999996E-7</v>
      </c>
      <c r="L78" s="1775" t="s">
        <v>35</v>
      </c>
      <c r="M78" s="1775">
        <v>4.0000000000000003E-5</v>
      </c>
      <c r="N78" s="1788">
        <f t="shared" si="59"/>
        <v>6.0000000000000002E-6</v>
      </c>
      <c r="O78" s="1829">
        <f t="shared" si="60"/>
        <v>2.0450000000000002E-5</v>
      </c>
      <c r="P78" s="1776" t="s">
        <v>1088</v>
      </c>
      <c r="Q78" s="3" t="str">
        <f>IF(J78=J319,"stop","")</f>
        <v/>
      </c>
      <c r="R78" s="3437" t="str">
        <f t="shared" si="61"/>
        <v/>
      </c>
      <c r="S78" s="1771" t="str">
        <f t="shared" si="61"/>
        <v/>
      </c>
      <c r="T78" s="1771" t="str">
        <f t="shared" si="61"/>
        <v/>
      </c>
      <c r="U78" s="1771" t="str">
        <f t="shared" si="61"/>
        <v/>
      </c>
      <c r="V78" s="3443" t="str">
        <f t="shared" si="61"/>
        <v/>
      </c>
      <c r="W78" s="1771" t="str">
        <f t="shared" si="61"/>
        <v/>
      </c>
      <c r="X78" s="1771" t="str">
        <f t="shared" si="61"/>
        <v/>
      </c>
      <c r="Y78" s="1771" t="str">
        <f t="shared" si="61"/>
        <v/>
      </c>
      <c r="Z78" s="3437" t="str">
        <f t="shared" si="61"/>
        <v/>
      </c>
      <c r="AA78" s="1771" t="str">
        <f t="shared" si="61"/>
        <v/>
      </c>
      <c r="AB78" s="1771" t="str">
        <f t="shared" si="61"/>
        <v/>
      </c>
      <c r="AC78" s="3442">
        <f t="shared" si="61"/>
        <v>8.9999999999999996E-7</v>
      </c>
      <c r="AD78" s="1771" t="str">
        <f t="shared" si="61"/>
        <v/>
      </c>
      <c r="AE78" s="1771" t="str">
        <f t="shared" si="61"/>
        <v/>
      </c>
      <c r="AF78" s="1771" t="str">
        <f t="shared" si="61"/>
        <v/>
      </c>
      <c r="AG78" s="3442" t="str">
        <f t="shared" si="61"/>
        <v/>
      </c>
      <c r="AH78" s="1771" t="str">
        <f t="shared" si="52"/>
        <v/>
      </c>
      <c r="AI78" s="3442" t="str">
        <f t="shared" si="52"/>
        <v/>
      </c>
      <c r="AJ78" s="3462"/>
      <c r="AK78" s="3439" t="str">
        <f>IF(J78=J319,"stop","")</f>
        <v/>
      </c>
      <c r="AL78" s="3437" t="str">
        <f t="shared" si="53"/>
        <v/>
      </c>
      <c r="AM78" s="1771" t="str">
        <f t="shared" si="53"/>
        <v/>
      </c>
      <c r="AN78" s="1771" t="str">
        <f t="shared" si="53"/>
        <v/>
      </c>
      <c r="AO78" s="1771" t="str">
        <f t="shared" si="53"/>
        <v/>
      </c>
      <c r="AP78" s="3443" t="str">
        <f t="shared" si="53"/>
        <v/>
      </c>
      <c r="AQ78" s="1771" t="str">
        <f t="shared" si="53"/>
        <v/>
      </c>
      <c r="AR78" s="1771" t="str">
        <f t="shared" si="53"/>
        <v/>
      </c>
      <c r="AS78" s="3442" t="str">
        <f t="shared" si="53"/>
        <v/>
      </c>
      <c r="AT78" s="1771" t="str">
        <f t="shared" si="53"/>
        <v/>
      </c>
      <c r="AU78" s="1771" t="str">
        <f t="shared" si="53"/>
        <v/>
      </c>
      <c r="AV78" s="1771" t="str">
        <f t="shared" si="53"/>
        <v/>
      </c>
      <c r="AW78" s="3442">
        <f t="shared" si="53"/>
        <v>4.0000000000000003E-5</v>
      </c>
      <c r="AX78" s="1771" t="str">
        <f t="shared" si="54"/>
        <v/>
      </c>
      <c r="AY78" s="1771" t="str">
        <f t="shared" si="54"/>
        <v/>
      </c>
      <c r="AZ78" s="1771" t="str">
        <f t="shared" si="54"/>
        <v/>
      </c>
      <c r="BA78" s="1771" t="str">
        <f t="shared" si="54"/>
        <v/>
      </c>
      <c r="BB78" s="3437" t="str">
        <f t="shared" si="54"/>
        <v/>
      </c>
      <c r="BC78" s="3443" t="str">
        <f t="shared" si="54"/>
        <v/>
      </c>
      <c r="BD78" s="3462"/>
      <c r="BE78" s="3440" t="str">
        <f>IF(J78=J319,"stop","")</f>
        <v/>
      </c>
      <c r="BF78" s="1771" t="str">
        <f t="shared" si="55"/>
        <v/>
      </c>
      <c r="BG78" s="1771" t="str">
        <f t="shared" si="55"/>
        <v/>
      </c>
      <c r="BH78" s="1771" t="str">
        <f t="shared" si="55"/>
        <v/>
      </c>
      <c r="BI78" s="1771" t="str">
        <f t="shared" si="55"/>
        <v/>
      </c>
      <c r="BJ78" s="3443" t="str">
        <f t="shared" si="55"/>
        <v/>
      </c>
      <c r="BK78" s="3437" t="str">
        <f t="shared" si="55"/>
        <v/>
      </c>
      <c r="BL78" s="1771" t="str">
        <f t="shared" si="55"/>
        <v/>
      </c>
      <c r="BM78" s="3442" t="str">
        <f t="shared" si="55"/>
        <v/>
      </c>
      <c r="BN78" s="1771" t="str">
        <f t="shared" si="55"/>
        <v/>
      </c>
      <c r="BO78" s="1771" t="str">
        <f t="shared" si="55"/>
        <v/>
      </c>
      <c r="BP78" s="1771" t="str">
        <f t="shared" si="55"/>
        <v/>
      </c>
      <c r="BQ78" s="1771">
        <f t="shared" si="55"/>
        <v>6.0000000000000002E-6</v>
      </c>
      <c r="BR78" s="3437" t="str">
        <f t="shared" si="56"/>
        <v/>
      </c>
      <c r="BS78" s="1771" t="str">
        <f t="shared" si="56"/>
        <v/>
      </c>
      <c r="BT78" s="1771" t="str">
        <f t="shared" si="56"/>
        <v/>
      </c>
      <c r="BU78" s="3442" t="str">
        <f t="shared" si="56"/>
        <v/>
      </c>
      <c r="BV78" s="1771" t="str">
        <f t="shared" si="56"/>
        <v/>
      </c>
      <c r="BW78" s="3442" t="str">
        <f t="shared" si="56"/>
        <v/>
      </c>
      <c r="BX78" s="3462"/>
      <c r="BY78" s="3439" t="str">
        <f>IF(L78=L319,"stop","")</f>
        <v/>
      </c>
      <c r="BZ78" s="3437" t="str">
        <f t="shared" si="57"/>
        <v/>
      </c>
      <c r="CA78" s="1771" t="str">
        <f t="shared" si="57"/>
        <v/>
      </c>
      <c r="CB78" s="1771" t="str">
        <f t="shared" si="57"/>
        <v/>
      </c>
      <c r="CC78" s="3442" t="str">
        <f t="shared" si="57"/>
        <v/>
      </c>
      <c r="CD78" s="1771" t="str">
        <f t="shared" si="57"/>
        <v/>
      </c>
      <c r="CE78" s="3437" t="str">
        <f t="shared" si="57"/>
        <v/>
      </c>
      <c r="CF78" s="1771" t="str">
        <f t="shared" si="57"/>
        <v/>
      </c>
      <c r="CG78" s="1771" t="str">
        <f t="shared" si="57"/>
        <v/>
      </c>
      <c r="CH78" s="3437" t="str">
        <f t="shared" si="57"/>
        <v/>
      </c>
      <c r="CI78" s="1771" t="str">
        <f t="shared" si="57"/>
        <v/>
      </c>
      <c r="CJ78" s="1771" t="str">
        <f t="shared" si="57"/>
        <v/>
      </c>
      <c r="CK78" s="3442">
        <f t="shared" si="57"/>
        <v>2.0450000000000002E-5</v>
      </c>
      <c r="CL78" s="3437" t="str">
        <f t="shared" si="58"/>
        <v/>
      </c>
      <c r="CM78" s="1771" t="str">
        <f t="shared" si="58"/>
        <v/>
      </c>
      <c r="CN78" s="1771" t="str">
        <f t="shared" si="58"/>
        <v/>
      </c>
      <c r="CO78" s="3442" t="str">
        <f t="shared" si="58"/>
        <v/>
      </c>
      <c r="CP78" s="1771" t="str">
        <f t="shared" si="58"/>
        <v/>
      </c>
      <c r="CQ78" s="3442" t="str">
        <f t="shared" si="58"/>
        <v/>
      </c>
      <c r="CR78" s="3462"/>
    </row>
    <row r="79" spans="1:96" s="3" customFormat="1">
      <c r="A79" s="1839" t="s">
        <v>768</v>
      </c>
      <c r="B79" s="1789">
        <v>22</v>
      </c>
      <c r="C79" s="1789"/>
      <c r="D79" s="1789">
        <v>3.9999999999999998E-7</v>
      </c>
      <c r="E79" s="1796" t="s">
        <v>35</v>
      </c>
      <c r="F79" s="1789">
        <v>8.2999999999999998E-5</v>
      </c>
      <c r="G79" s="1789" t="s">
        <v>695</v>
      </c>
      <c r="H79" s="1789">
        <v>1996</v>
      </c>
      <c r="I79" s="1807"/>
      <c r="J79" s="1792">
        <v>35</v>
      </c>
      <c r="K79" s="1789">
        <v>3.9999999999999998E-7</v>
      </c>
      <c r="L79" s="1789" t="s">
        <v>35</v>
      </c>
      <c r="M79" s="1789">
        <v>8.2999999999999998E-5</v>
      </c>
      <c r="N79" s="1790">
        <f t="shared" si="59"/>
        <v>5.761944116355173E-6</v>
      </c>
      <c r="O79" s="1830">
        <f t="shared" si="60"/>
        <v>4.1699999999999997E-5</v>
      </c>
      <c r="P79" s="1776" t="s">
        <v>1088</v>
      </c>
      <c r="Q79" s="3" t="str">
        <f>IF(J79=J319,"stop","")</f>
        <v/>
      </c>
      <c r="R79" s="3437" t="str">
        <f t="shared" si="61"/>
        <v/>
      </c>
      <c r="S79" s="1771" t="str">
        <f t="shared" si="61"/>
        <v/>
      </c>
      <c r="T79" s="1771" t="str">
        <f t="shared" si="61"/>
        <v/>
      </c>
      <c r="U79" s="1771" t="str">
        <f t="shared" si="61"/>
        <v/>
      </c>
      <c r="V79" s="3443" t="str">
        <f t="shared" si="61"/>
        <v/>
      </c>
      <c r="W79" s="1771" t="str">
        <f t="shared" si="61"/>
        <v/>
      </c>
      <c r="X79" s="1771" t="str">
        <f t="shared" si="61"/>
        <v/>
      </c>
      <c r="Y79" s="1771" t="str">
        <f t="shared" si="61"/>
        <v/>
      </c>
      <c r="Z79" s="3437" t="str">
        <f t="shared" si="61"/>
        <v/>
      </c>
      <c r="AA79" s="1771" t="str">
        <f t="shared" si="61"/>
        <v/>
      </c>
      <c r="AB79" s="1771" t="str">
        <f t="shared" si="61"/>
        <v/>
      </c>
      <c r="AC79" s="3442">
        <f t="shared" si="61"/>
        <v>3.9999999999999998E-7</v>
      </c>
      <c r="AD79" s="1771" t="str">
        <f t="shared" si="61"/>
        <v/>
      </c>
      <c r="AE79" s="1771" t="str">
        <f t="shared" si="61"/>
        <v/>
      </c>
      <c r="AF79" s="1771" t="str">
        <f t="shared" si="61"/>
        <v/>
      </c>
      <c r="AG79" s="3442" t="str">
        <f t="shared" si="61"/>
        <v/>
      </c>
      <c r="AH79" s="1771" t="str">
        <f t="shared" si="52"/>
        <v/>
      </c>
      <c r="AI79" s="3442" t="str">
        <f t="shared" si="52"/>
        <v/>
      </c>
      <c r="AJ79" s="3462"/>
      <c r="AK79" s="3439" t="str">
        <f>IF(J79=J319,"stop","")</f>
        <v/>
      </c>
      <c r="AL79" s="3437" t="str">
        <f t="shared" si="53"/>
        <v/>
      </c>
      <c r="AM79" s="1771" t="str">
        <f t="shared" si="53"/>
        <v/>
      </c>
      <c r="AN79" s="1771" t="str">
        <f t="shared" si="53"/>
        <v/>
      </c>
      <c r="AO79" s="1771" t="str">
        <f t="shared" si="53"/>
        <v/>
      </c>
      <c r="AP79" s="3443" t="str">
        <f t="shared" si="53"/>
        <v/>
      </c>
      <c r="AQ79" s="1771" t="str">
        <f t="shared" si="53"/>
        <v/>
      </c>
      <c r="AR79" s="1771" t="str">
        <f t="shared" si="53"/>
        <v/>
      </c>
      <c r="AS79" s="3442" t="str">
        <f t="shared" si="53"/>
        <v/>
      </c>
      <c r="AT79" s="1771" t="str">
        <f t="shared" si="53"/>
        <v/>
      </c>
      <c r="AU79" s="1771" t="str">
        <f t="shared" si="53"/>
        <v/>
      </c>
      <c r="AV79" s="1771" t="str">
        <f t="shared" si="53"/>
        <v/>
      </c>
      <c r="AW79" s="3442">
        <f t="shared" si="53"/>
        <v>8.2999999999999998E-5</v>
      </c>
      <c r="AX79" s="1771" t="str">
        <f t="shared" si="54"/>
        <v/>
      </c>
      <c r="AY79" s="1771" t="str">
        <f t="shared" si="54"/>
        <v/>
      </c>
      <c r="AZ79" s="1771" t="str">
        <f t="shared" si="54"/>
        <v/>
      </c>
      <c r="BA79" s="1771" t="str">
        <f t="shared" si="54"/>
        <v/>
      </c>
      <c r="BB79" s="3437" t="str">
        <f t="shared" si="54"/>
        <v/>
      </c>
      <c r="BC79" s="3443" t="str">
        <f t="shared" si="54"/>
        <v/>
      </c>
      <c r="BD79" s="3462"/>
      <c r="BE79" s="3440" t="str">
        <f>IF(J79=J319,"stop","")</f>
        <v/>
      </c>
      <c r="BF79" s="1771" t="str">
        <f t="shared" si="55"/>
        <v/>
      </c>
      <c r="BG79" s="1771" t="str">
        <f t="shared" si="55"/>
        <v/>
      </c>
      <c r="BH79" s="1771" t="str">
        <f t="shared" si="55"/>
        <v/>
      </c>
      <c r="BI79" s="1771" t="str">
        <f t="shared" si="55"/>
        <v/>
      </c>
      <c r="BJ79" s="3443" t="str">
        <f t="shared" si="55"/>
        <v/>
      </c>
      <c r="BK79" s="3437" t="str">
        <f t="shared" si="55"/>
        <v/>
      </c>
      <c r="BL79" s="1771" t="str">
        <f t="shared" si="55"/>
        <v/>
      </c>
      <c r="BM79" s="3442" t="str">
        <f t="shared" si="55"/>
        <v/>
      </c>
      <c r="BN79" s="1771" t="str">
        <f t="shared" si="55"/>
        <v/>
      </c>
      <c r="BO79" s="1771" t="str">
        <f t="shared" si="55"/>
        <v/>
      </c>
      <c r="BP79" s="1771" t="str">
        <f t="shared" si="55"/>
        <v/>
      </c>
      <c r="BQ79" s="1771">
        <f t="shared" si="55"/>
        <v>5.761944116355173E-6</v>
      </c>
      <c r="BR79" s="3437" t="str">
        <f t="shared" si="56"/>
        <v/>
      </c>
      <c r="BS79" s="1771" t="str">
        <f t="shared" si="56"/>
        <v/>
      </c>
      <c r="BT79" s="1771" t="str">
        <f t="shared" si="56"/>
        <v/>
      </c>
      <c r="BU79" s="3442" t="str">
        <f t="shared" si="56"/>
        <v/>
      </c>
      <c r="BV79" s="1771" t="str">
        <f t="shared" si="56"/>
        <v/>
      </c>
      <c r="BW79" s="3442" t="str">
        <f t="shared" si="56"/>
        <v/>
      </c>
      <c r="BX79" s="3462"/>
      <c r="BY79" s="3439" t="str">
        <f>IF(L79=L319,"stop","")</f>
        <v/>
      </c>
      <c r="BZ79" s="3437" t="str">
        <f t="shared" si="57"/>
        <v/>
      </c>
      <c r="CA79" s="1771" t="str">
        <f t="shared" si="57"/>
        <v/>
      </c>
      <c r="CB79" s="1771" t="str">
        <f t="shared" si="57"/>
        <v/>
      </c>
      <c r="CC79" s="3442" t="str">
        <f t="shared" si="57"/>
        <v/>
      </c>
      <c r="CD79" s="1771" t="str">
        <f t="shared" si="57"/>
        <v/>
      </c>
      <c r="CE79" s="3437" t="str">
        <f t="shared" si="57"/>
        <v/>
      </c>
      <c r="CF79" s="1771" t="str">
        <f t="shared" si="57"/>
        <v/>
      </c>
      <c r="CG79" s="1771" t="str">
        <f t="shared" si="57"/>
        <v/>
      </c>
      <c r="CH79" s="3437" t="str">
        <f t="shared" si="57"/>
        <v/>
      </c>
      <c r="CI79" s="1771" t="str">
        <f t="shared" si="57"/>
        <v/>
      </c>
      <c r="CJ79" s="1771" t="str">
        <f t="shared" si="57"/>
        <v/>
      </c>
      <c r="CK79" s="3442">
        <f t="shared" si="57"/>
        <v>4.1699999999999997E-5</v>
      </c>
      <c r="CL79" s="3437" t="str">
        <f t="shared" si="58"/>
        <v/>
      </c>
      <c r="CM79" s="1771" t="str">
        <f t="shared" si="58"/>
        <v/>
      </c>
      <c r="CN79" s="1771" t="str">
        <f t="shared" si="58"/>
        <v/>
      </c>
      <c r="CO79" s="3442" t="str">
        <f t="shared" si="58"/>
        <v/>
      </c>
      <c r="CP79" s="1771" t="str">
        <f t="shared" si="58"/>
        <v/>
      </c>
      <c r="CQ79" s="3442" t="str">
        <f t="shared" si="58"/>
        <v/>
      </c>
      <c r="CR79" s="3462"/>
    </row>
    <row r="80" spans="1:96" s="1774" customFormat="1">
      <c r="A80" s="1841"/>
      <c r="B80" s="1857" t="s">
        <v>1081</v>
      </c>
      <c r="C80" s="1853"/>
      <c r="D80" s="1854"/>
      <c r="E80" s="1855"/>
      <c r="F80" s="1856"/>
      <c r="G80" s="1824"/>
      <c r="H80" s="1824"/>
      <c r="I80" s="1828"/>
      <c r="J80" s="1825" t="s">
        <v>1085</v>
      </c>
      <c r="K80" s="1820"/>
      <c r="L80" s="1820"/>
      <c r="M80" s="1820"/>
      <c r="N80" s="1826"/>
      <c r="O80" s="1827"/>
      <c r="P80" s="1832"/>
      <c r="R80" s="3444"/>
      <c r="S80" s="3445"/>
      <c r="T80" s="3445"/>
      <c r="U80" s="3445"/>
      <c r="V80" s="3449"/>
      <c r="W80" s="3445"/>
      <c r="X80" s="3445"/>
      <c r="Y80" s="3445"/>
      <c r="Z80" s="3444"/>
      <c r="AA80" s="3445"/>
      <c r="AB80" s="3445"/>
      <c r="AC80" s="3446"/>
      <c r="AD80" s="3445"/>
      <c r="AE80" s="3445"/>
      <c r="AF80" s="3445"/>
      <c r="AG80" s="3446"/>
      <c r="AH80" s="3445"/>
      <c r="AI80" s="3446"/>
      <c r="AJ80" s="3465"/>
      <c r="AK80" s="3447"/>
      <c r="AL80" s="3444"/>
      <c r="AM80" s="3445"/>
      <c r="AN80" s="3445"/>
      <c r="AO80" s="3445"/>
      <c r="AP80" s="3449"/>
      <c r="AQ80" s="3445"/>
      <c r="AR80" s="3445"/>
      <c r="AS80" s="3446"/>
      <c r="AT80" s="3445"/>
      <c r="AU80" s="3445"/>
      <c r="AV80" s="3445"/>
      <c r="AW80" s="3446"/>
      <c r="AX80" s="3445"/>
      <c r="AY80" s="3445"/>
      <c r="AZ80" s="3445"/>
      <c r="BA80" s="3445"/>
      <c r="BB80" s="3444"/>
      <c r="BC80" s="3449"/>
      <c r="BD80" s="3465"/>
      <c r="BE80" s="3448"/>
      <c r="BF80" s="3445"/>
      <c r="BG80" s="3445"/>
      <c r="BH80" s="3445"/>
      <c r="BI80" s="3445"/>
      <c r="BJ80" s="3449"/>
      <c r="BK80" s="3444"/>
      <c r="BL80" s="3445"/>
      <c r="BM80" s="3446"/>
      <c r="BN80" s="3445"/>
      <c r="BO80" s="3445"/>
      <c r="BP80" s="3445"/>
      <c r="BQ80" s="3445"/>
      <c r="BR80" s="3444"/>
      <c r="BS80" s="3445"/>
      <c r="BT80" s="3445"/>
      <c r="BU80" s="3446"/>
      <c r="BV80" s="3445"/>
      <c r="BW80" s="3446"/>
      <c r="BX80" s="3465"/>
      <c r="BY80" s="3447"/>
      <c r="BZ80" s="3444"/>
      <c r="CA80" s="3445"/>
      <c r="CB80" s="3445"/>
      <c r="CC80" s="3446"/>
      <c r="CD80" s="3445"/>
      <c r="CE80" s="3444"/>
      <c r="CF80" s="3445"/>
      <c r="CG80" s="3445"/>
      <c r="CH80" s="3444"/>
      <c r="CI80" s="3445"/>
      <c r="CJ80" s="3445"/>
      <c r="CK80" s="3446"/>
      <c r="CL80" s="3444"/>
      <c r="CM80" s="3445"/>
      <c r="CN80" s="3445"/>
      <c r="CO80" s="3446"/>
      <c r="CP80" s="3445"/>
      <c r="CQ80" s="3446"/>
      <c r="CR80" s="3465"/>
    </row>
    <row r="81" spans="1:96" s="839" customFormat="1">
      <c r="A81" s="1842" t="s">
        <v>979</v>
      </c>
      <c r="B81" s="1814"/>
      <c r="C81" s="1814"/>
      <c r="D81" s="1814"/>
      <c r="E81" s="1814"/>
      <c r="F81" s="1814"/>
      <c r="G81" s="1815"/>
      <c r="H81" s="1814"/>
      <c r="I81" s="1817"/>
      <c r="J81" s="1818"/>
      <c r="K81" s="1814"/>
      <c r="L81" s="1814"/>
      <c r="M81" s="1814"/>
      <c r="N81" s="1814"/>
      <c r="O81" s="1816"/>
      <c r="P81" s="841"/>
      <c r="R81" s="842">
        <f t="shared" ref="R81:AI81" si="63">SUM(R9:R80)</f>
        <v>3.0000000000000001E-3</v>
      </c>
      <c r="S81" s="843">
        <f t="shared" si="63"/>
        <v>7.0000000000000001E-3</v>
      </c>
      <c r="T81" s="843">
        <f t="shared" si="63"/>
        <v>0</v>
      </c>
      <c r="U81" s="843">
        <f t="shared" si="63"/>
        <v>0</v>
      </c>
      <c r="V81" s="933">
        <f t="shared" si="63"/>
        <v>0.16400000000000001</v>
      </c>
      <c r="W81" s="843">
        <f>SUM(W9:W80)</f>
        <v>0</v>
      </c>
      <c r="X81" s="843">
        <f>SUM(X9:X80)</f>
        <v>0.1</v>
      </c>
      <c r="Y81" s="843">
        <f>SUM(Y9:Y80)</f>
        <v>0.47000000000000003</v>
      </c>
      <c r="Z81" s="842">
        <f t="shared" si="63"/>
        <v>4.4000000000000004E-2</v>
      </c>
      <c r="AA81" s="843">
        <f t="shared" si="63"/>
        <v>0.83200000000000007</v>
      </c>
      <c r="AB81" s="843">
        <f t="shared" si="63"/>
        <v>4.8097000000000001E-2</v>
      </c>
      <c r="AC81" s="844">
        <f t="shared" si="63"/>
        <v>4.0070000000000004E-4</v>
      </c>
      <c r="AD81" s="843">
        <f t="shared" si="63"/>
        <v>1.5699999999999998</v>
      </c>
      <c r="AE81" s="843">
        <f t="shared" si="63"/>
        <v>6.22</v>
      </c>
      <c r="AF81" s="843">
        <f t="shared" si="63"/>
        <v>3.96</v>
      </c>
      <c r="AG81" s="844">
        <f t="shared" si="63"/>
        <v>0.49</v>
      </c>
      <c r="AH81" s="843">
        <f t="shared" si="63"/>
        <v>0</v>
      </c>
      <c r="AI81" s="844">
        <f t="shared" si="63"/>
        <v>0</v>
      </c>
      <c r="AJ81" s="3466">
        <f>SUM(R81:AI81)</f>
        <v>13.9084977</v>
      </c>
      <c r="AL81" s="842">
        <f t="shared" ref="AL81:BC81" si="64">SUM(AL9:AL80)</f>
        <v>0.1</v>
      </c>
      <c r="AM81" s="843">
        <f t="shared" si="64"/>
        <v>0.7</v>
      </c>
      <c r="AN81" s="843">
        <f t="shared" si="64"/>
        <v>0</v>
      </c>
      <c r="AO81" s="843">
        <f t="shared" si="64"/>
        <v>0</v>
      </c>
      <c r="AP81" s="933">
        <f t="shared" si="64"/>
        <v>1.5970000000000002</v>
      </c>
      <c r="AQ81" s="843">
        <f>SUM(AQ9:AQ80)</f>
        <v>0</v>
      </c>
      <c r="AR81" s="843">
        <f>SUM(AR9:AR80)</f>
        <v>0.1</v>
      </c>
      <c r="AS81" s="844">
        <f>SUM(AS9:AS80)</f>
        <v>1.69</v>
      </c>
      <c r="AT81" s="843">
        <f t="shared" si="64"/>
        <v>0.872</v>
      </c>
      <c r="AU81" s="843">
        <f t="shared" si="64"/>
        <v>4.29</v>
      </c>
      <c r="AV81" s="843">
        <f t="shared" si="64"/>
        <v>0.752</v>
      </c>
      <c r="AW81" s="844">
        <f t="shared" si="64"/>
        <v>2.9190499999999998E-2</v>
      </c>
      <c r="AX81" s="843">
        <f t="shared" si="64"/>
        <v>4.8</v>
      </c>
      <c r="AY81" s="843">
        <f t="shared" si="64"/>
        <v>13.129999999999999</v>
      </c>
      <c r="AZ81" s="843">
        <f t="shared" si="64"/>
        <v>8.23</v>
      </c>
      <c r="BA81" s="843">
        <f t="shared" si="64"/>
        <v>0.79</v>
      </c>
      <c r="BB81" s="842">
        <f t="shared" si="64"/>
        <v>0</v>
      </c>
      <c r="BC81" s="933">
        <f t="shared" si="64"/>
        <v>0</v>
      </c>
      <c r="BD81" s="3466">
        <f>SUM(AL81:BC81)</f>
        <v>37.0801905</v>
      </c>
      <c r="BE81" s="3435"/>
      <c r="BF81" s="843">
        <f t="shared" ref="BF81:BW81" si="65">SUM(BF9:BF80)</f>
        <v>1.7320508075688773E-2</v>
      </c>
      <c r="BG81" s="843">
        <f t="shared" si="65"/>
        <v>6.9999999999999993E-2</v>
      </c>
      <c r="BH81" s="843">
        <f t="shared" si="65"/>
        <v>0</v>
      </c>
      <c r="BI81" s="843">
        <f t="shared" si="65"/>
        <v>0</v>
      </c>
      <c r="BJ81" s="933">
        <f t="shared" si="65"/>
        <v>0.42355283481404354</v>
      </c>
      <c r="BK81" s="842">
        <f>SUM(BK9:BK80)</f>
        <v>0</v>
      </c>
      <c r="BL81" s="843">
        <f>SUM(BL9:BL80)</f>
        <v>0.1</v>
      </c>
      <c r="BM81" s="844">
        <f>SUM(BM9:BM80)</f>
        <v>0.88477799589542472</v>
      </c>
      <c r="BN81" s="843">
        <f t="shared" si="65"/>
        <v>0.13603689514331785</v>
      </c>
      <c r="BO81" s="843">
        <f t="shared" si="65"/>
        <v>1.3398088489661204</v>
      </c>
      <c r="BP81" s="843">
        <f t="shared" si="65"/>
        <v>0.12721917313109915</v>
      </c>
      <c r="BQ81" s="843">
        <f t="shared" si="65"/>
        <v>8.7440096844015153E-4</v>
      </c>
      <c r="BR81" s="842">
        <f t="shared" si="65"/>
        <v>2.7261279130015774</v>
      </c>
      <c r="BS81" s="843">
        <f t="shared" si="65"/>
        <v>8.9073990191954167</v>
      </c>
      <c r="BT81" s="843">
        <f t="shared" si="65"/>
        <v>5.6858309010470682</v>
      </c>
      <c r="BU81" s="844">
        <f t="shared" si="65"/>
        <v>0.59819347291981706</v>
      </c>
      <c r="BV81" s="843">
        <f t="shared" si="65"/>
        <v>0</v>
      </c>
      <c r="BW81" s="844">
        <f t="shared" si="65"/>
        <v>0</v>
      </c>
      <c r="BX81" s="3466">
        <f>SUM(BF81:BW81)</f>
        <v>21.017141963158014</v>
      </c>
      <c r="BZ81" s="842">
        <f t="shared" ref="BZ81:CQ81" si="66">SUM(BZ9:BZ80)</f>
        <v>5.1500000000000004E-2</v>
      </c>
      <c r="CA81" s="843">
        <f t="shared" si="66"/>
        <v>0.35349999999999998</v>
      </c>
      <c r="CB81" s="843">
        <f t="shared" si="66"/>
        <v>0</v>
      </c>
      <c r="CC81" s="844">
        <f t="shared" si="66"/>
        <v>0</v>
      </c>
      <c r="CD81" s="843">
        <f t="shared" si="66"/>
        <v>0.88050000000000017</v>
      </c>
      <c r="CE81" s="842">
        <f>SUM(CE9:CE80)</f>
        <v>0</v>
      </c>
      <c r="CF81" s="843">
        <f>SUM(CF9:CF80)</f>
        <v>0.1</v>
      </c>
      <c r="CG81" s="843">
        <f>SUM(CG9:CG80)</f>
        <v>1.08</v>
      </c>
      <c r="CH81" s="842">
        <f t="shared" si="66"/>
        <v>0.45800000000000002</v>
      </c>
      <c r="CI81" s="843">
        <f t="shared" si="66"/>
        <v>2.5609999999999999</v>
      </c>
      <c r="CJ81" s="843">
        <f t="shared" si="66"/>
        <v>0.40004850000000003</v>
      </c>
      <c r="CK81" s="844">
        <f t="shared" si="66"/>
        <v>1.4795599999999999E-2</v>
      </c>
      <c r="CL81" s="842">
        <f t="shared" si="66"/>
        <v>3.1849999999999996</v>
      </c>
      <c r="CM81" s="843">
        <f t="shared" si="66"/>
        <v>9.6750000000000007</v>
      </c>
      <c r="CN81" s="843">
        <f t="shared" si="66"/>
        <v>6.0949999999999998</v>
      </c>
      <c r="CO81" s="844">
        <f t="shared" si="66"/>
        <v>0.64</v>
      </c>
      <c r="CP81" s="843">
        <f t="shared" si="66"/>
        <v>0</v>
      </c>
      <c r="CQ81" s="844">
        <f t="shared" si="66"/>
        <v>0</v>
      </c>
      <c r="CR81" s="3466">
        <f>SUM(BZ81:CQ81)</f>
        <v>25.494344099999999</v>
      </c>
    </row>
    <row r="82" spans="1:96" s="839" customFormat="1">
      <c r="A82" s="1843" t="s">
        <v>980</v>
      </c>
      <c r="B82" s="837"/>
      <c r="C82" s="837"/>
      <c r="D82" s="837"/>
      <c r="E82" s="1800"/>
      <c r="F82" s="837"/>
      <c r="G82" s="837"/>
      <c r="H82" s="837"/>
      <c r="I82" s="1811"/>
      <c r="J82" s="840"/>
      <c r="K82" s="837"/>
      <c r="L82" s="837"/>
      <c r="M82" s="837"/>
      <c r="N82" s="837"/>
      <c r="O82" s="838"/>
      <c r="P82" s="841"/>
      <c r="R82" s="842">
        <f t="shared" ref="R82:AI82" si="67">SUM(R9:R80)</f>
        <v>3.0000000000000001E-3</v>
      </c>
      <c r="S82" s="843">
        <f t="shared" si="67"/>
        <v>7.0000000000000001E-3</v>
      </c>
      <c r="T82" s="843">
        <f t="shared" si="67"/>
        <v>0</v>
      </c>
      <c r="U82" s="843">
        <f t="shared" si="67"/>
        <v>0</v>
      </c>
      <c r="V82" s="933">
        <f t="shared" si="67"/>
        <v>0.16400000000000001</v>
      </c>
      <c r="W82" s="843">
        <f>SUM(W9:W80)</f>
        <v>0</v>
      </c>
      <c r="X82" s="843">
        <f>SUM(X9:X80)</f>
        <v>0.1</v>
      </c>
      <c r="Y82" s="843">
        <f>SUM(Y9:Y80)</f>
        <v>0.47000000000000003</v>
      </c>
      <c r="Z82" s="842">
        <f t="shared" si="67"/>
        <v>4.4000000000000004E-2</v>
      </c>
      <c r="AA82" s="843">
        <f t="shared" si="67"/>
        <v>0.83200000000000007</v>
      </c>
      <c r="AB82" s="843">
        <f t="shared" si="67"/>
        <v>4.8097000000000001E-2</v>
      </c>
      <c r="AC82" s="844">
        <f t="shared" si="67"/>
        <v>4.0070000000000004E-4</v>
      </c>
      <c r="AD82" s="843">
        <f t="shared" si="67"/>
        <v>1.5699999999999998</v>
      </c>
      <c r="AE82" s="843">
        <f t="shared" si="67"/>
        <v>6.22</v>
      </c>
      <c r="AF82" s="843">
        <f t="shared" si="67"/>
        <v>3.96</v>
      </c>
      <c r="AG82" s="844">
        <f t="shared" si="67"/>
        <v>0.49</v>
      </c>
      <c r="AH82" s="843">
        <f t="shared" si="67"/>
        <v>0</v>
      </c>
      <c r="AI82" s="844">
        <f t="shared" si="67"/>
        <v>0</v>
      </c>
      <c r="AJ82" s="3466">
        <f>SUM(R82:AI82)</f>
        <v>13.9084977</v>
      </c>
      <c r="AL82" s="842">
        <f t="shared" ref="AL82:BC82" si="68">SUM(AL9:AL80)</f>
        <v>0.1</v>
      </c>
      <c r="AM82" s="843">
        <f t="shared" si="68"/>
        <v>0.7</v>
      </c>
      <c r="AN82" s="843">
        <f t="shared" si="68"/>
        <v>0</v>
      </c>
      <c r="AO82" s="843">
        <f t="shared" si="68"/>
        <v>0</v>
      </c>
      <c r="AP82" s="933">
        <f t="shared" si="68"/>
        <v>1.5970000000000002</v>
      </c>
      <c r="AQ82" s="843">
        <f>SUM(AQ9:AQ80)</f>
        <v>0</v>
      </c>
      <c r="AR82" s="843">
        <f>SUM(AR9:AR80)</f>
        <v>0.1</v>
      </c>
      <c r="AS82" s="844">
        <f>SUM(AS9:AS80)</f>
        <v>1.69</v>
      </c>
      <c r="AT82" s="843">
        <f t="shared" si="68"/>
        <v>0.872</v>
      </c>
      <c r="AU82" s="843">
        <f t="shared" si="68"/>
        <v>4.29</v>
      </c>
      <c r="AV82" s="843">
        <f t="shared" si="68"/>
        <v>0.752</v>
      </c>
      <c r="AW82" s="844">
        <f t="shared" si="68"/>
        <v>2.9190499999999998E-2</v>
      </c>
      <c r="AX82" s="843">
        <f t="shared" si="68"/>
        <v>4.8</v>
      </c>
      <c r="AY82" s="843">
        <f t="shared" si="68"/>
        <v>13.129999999999999</v>
      </c>
      <c r="AZ82" s="843">
        <f t="shared" si="68"/>
        <v>8.23</v>
      </c>
      <c r="BA82" s="843">
        <f t="shared" si="68"/>
        <v>0.79</v>
      </c>
      <c r="BB82" s="842">
        <f t="shared" si="68"/>
        <v>0</v>
      </c>
      <c r="BC82" s="933">
        <f t="shared" si="68"/>
        <v>0</v>
      </c>
      <c r="BD82" s="3466">
        <f>SUM(AL82:BC82)</f>
        <v>37.0801905</v>
      </c>
      <c r="BE82" s="3435"/>
      <c r="BF82" s="843">
        <f t="shared" ref="BF82:BM82" si="69">SUM(BF9:BF80)</f>
        <v>1.7320508075688773E-2</v>
      </c>
      <c r="BG82" s="843">
        <f t="shared" si="69"/>
        <v>6.9999999999999993E-2</v>
      </c>
      <c r="BH82" s="843">
        <f t="shared" si="69"/>
        <v>0</v>
      </c>
      <c r="BI82" s="843">
        <f t="shared" si="69"/>
        <v>0</v>
      </c>
      <c r="BJ82" s="933">
        <f t="shared" si="69"/>
        <v>0.42355283481404354</v>
      </c>
      <c r="BK82" s="842">
        <f t="shared" si="69"/>
        <v>0</v>
      </c>
      <c r="BL82" s="843">
        <f t="shared" si="69"/>
        <v>0.1</v>
      </c>
      <c r="BM82" s="844">
        <f t="shared" si="69"/>
        <v>0.88477799589542472</v>
      </c>
      <c r="BN82" s="1164">
        <f>(BJ82*BO82)^0.5</f>
        <v>0.7533125752889972</v>
      </c>
      <c r="BO82" s="843">
        <f t="shared" ref="BO82:BW82" si="70">SUM(BO9:BO80)</f>
        <v>1.3398088489661204</v>
      </c>
      <c r="BP82" s="843">
        <f t="shared" si="70"/>
        <v>0.12721917313109915</v>
      </c>
      <c r="BQ82" s="843">
        <f t="shared" si="70"/>
        <v>8.7440096844015153E-4</v>
      </c>
      <c r="BR82" s="842">
        <f t="shared" si="70"/>
        <v>2.7261279130015774</v>
      </c>
      <c r="BS82" s="843">
        <f t="shared" si="70"/>
        <v>8.9073990191954167</v>
      </c>
      <c r="BT82" s="843">
        <f t="shared" si="70"/>
        <v>5.6858309010470682</v>
      </c>
      <c r="BU82" s="844">
        <f t="shared" si="70"/>
        <v>0.59819347291981706</v>
      </c>
      <c r="BV82" s="843">
        <f t="shared" si="70"/>
        <v>0</v>
      </c>
      <c r="BW82" s="844">
        <f t="shared" si="70"/>
        <v>0</v>
      </c>
      <c r="BX82" s="3466">
        <f>SUM(BF82:BW82)</f>
        <v>21.634417643303692</v>
      </c>
      <c r="BZ82" s="842">
        <f t="shared" ref="BZ82:CG82" si="71">SUM(BZ9:BZ80)</f>
        <v>5.1500000000000004E-2</v>
      </c>
      <c r="CA82" s="843">
        <f t="shared" si="71"/>
        <v>0.35349999999999998</v>
      </c>
      <c r="CB82" s="843">
        <f t="shared" si="71"/>
        <v>0</v>
      </c>
      <c r="CC82" s="844">
        <f t="shared" si="71"/>
        <v>0</v>
      </c>
      <c r="CD82" s="843">
        <f t="shared" si="71"/>
        <v>0.88050000000000017</v>
      </c>
      <c r="CE82" s="842">
        <f t="shared" si="71"/>
        <v>0</v>
      </c>
      <c r="CF82" s="843">
        <f t="shared" si="71"/>
        <v>0.1</v>
      </c>
      <c r="CG82" s="843">
        <f t="shared" si="71"/>
        <v>1.08</v>
      </c>
      <c r="CH82" s="1164">
        <f>(CD82*CI82)^0.5</f>
        <v>1.5016525896491506</v>
      </c>
      <c r="CI82" s="843">
        <f t="shared" ref="CI82:CQ82" si="72">SUM(CI9:CI80)</f>
        <v>2.5609999999999999</v>
      </c>
      <c r="CJ82" s="843">
        <f t="shared" si="72"/>
        <v>0.40004850000000003</v>
      </c>
      <c r="CK82" s="844">
        <f t="shared" si="72"/>
        <v>1.4795599999999999E-2</v>
      </c>
      <c r="CL82" s="842">
        <f t="shared" si="72"/>
        <v>3.1849999999999996</v>
      </c>
      <c r="CM82" s="843">
        <f t="shared" si="72"/>
        <v>9.6750000000000007</v>
      </c>
      <c r="CN82" s="843">
        <f t="shared" si="72"/>
        <v>6.0949999999999998</v>
      </c>
      <c r="CO82" s="844">
        <f t="shared" si="72"/>
        <v>0.64</v>
      </c>
      <c r="CP82" s="843">
        <f t="shared" si="72"/>
        <v>0</v>
      </c>
      <c r="CQ82" s="844">
        <f t="shared" si="72"/>
        <v>0</v>
      </c>
      <c r="CR82" s="3466">
        <f>SUM(BZ82:CQ82)</f>
        <v>26.537996689649152</v>
      </c>
    </row>
    <row r="83" spans="1:96" s="1160" customFormat="1">
      <c r="A83" s="1844" t="s">
        <v>956</v>
      </c>
      <c r="B83" s="1158"/>
      <c r="C83" s="1158"/>
      <c r="D83" s="1158"/>
      <c r="E83" s="1801"/>
      <c r="F83" s="1158"/>
      <c r="G83" s="1158"/>
      <c r="H83" s="1158"/>
      <c r="I83" s="1812"/>
      <c r="J83" s="1161"/>
      <c r="K83" s="1158"/>
      <c r="L83" s="1158"/>
      <c r="M83" s="1158"/>
      <c r="N83" s="1158"/>
      <c r="O83" s="1159"/>
      <c r="P83" s="1162"/>
      <c r="R83" s="1163">
        <f t="shared" ref="R83:AG83" si="73">R82/$AJ82*100</f>
        <v>2.1569547371029153E-2</v>
      </c>
      <c r="S83" s="1164">
        <f t="shared" si="73"/>
        <v>5.0328943865734686E-2</v>
      </c>
      <c r="T83" s="1164">
        <f t="shared" si="73"/>
        <v>0</v>
      </c>
      <c r="U83" s="1164">
        <f t="shared" si="73"/>
        <v>0</v>
      </c>
      <c r="V83" s="1166">
        <f t="shared" si="73"/>
        <v>1.1791352562829271</v>
      </c>
      <c r="W83" s="1164">
        <f t="shared" si="73"/>
        <v>0</v>
      </c>
      <c r="X83" s="1164">
        <f t="shared" si="73"/>
        <v>0.7189849123676384</v>
      </c>
      <c r="Y83" s="1164">
        <f t="shared" si="73"/>
        <v>3.3792290881279006</v>
      </c>
      <c r="Z83" s="1163">
        <f t="shared" si="73"/>
        <v>0.31635336144176091</v>
      </c>
      <c r="AA83" s="1164">
        <f t="shared" si="73"/>
        <v>5.981954470898752</v>
      </c>
      <c r="AB83" s="1164">
        <f t="shared" si="73"/>
        <v>0.34581017330146302</v>
      </c>
      <c r="AC83" s="1162">
        <f t="shared" si="73"/>
        <v>2.8809725438571272E-3</v>
      </c>
      <c r="AD83" s="1164">
        <f t="shared" si="73"/>
        <v>11.28806312417192</v>
      </c>
      <c r="AE83" s="1164">
        <f t="shared" si="73"/>
        <v>44.720861549267106</v>
      </c>
      <c r="AF83" s="1164">
        <f t="shared" si="73"/>
        <v>28.471802529758477</v>
      </c>
      <c r="AG83" s="1162">
        <f t="shared" si="73"/>
        <v>3.523026070601428</v>
      </c>
      <c r="AH83" s="1164">
        <f t="shared" ref="AH83" si="74">AH82/$AJ82*100</f>
        <v>0</v>
      </c>
      <c r="AI83" s="1162">
        <f>AI82/$AJ82*100</f>
        <v>0</v>
      </c>
      <c r="AJ83" s="3467">
        <f>SUM(R83:AI83)</f>
        <v>100</v>
      </c>
      <c r="AL83" s="1163">
        <f t="shared" ref="AL83:BA83" si="75">AL82/$BD82*100</f>
        <v>0.26968577736945554</v>
      </c>
      <c r="AM83" s="1164">
        <f t="shared" si="75"/>
        <v>1.8878004415861886</v>
      </c>
      <c r="AN83" s="1164">
        <f t="shared" si="75"/>
        <v>0</v>
      </c>
      <c r="AO83" s="1164">
        <f t="shared" si="75"/>
        <v>0</v>
      </c>
      <c r="AP83" s="1166">
        <f t="shared" si="75"/>
        <v>4.3068818645902054</v>
      </c>
      <c r="AQ83" s="1164">
        <f t="shared" si="75"/>
        <v>0</v>
      </c>
      <c r="AR83" s="1164">
        <f t="shared" si="75"/>
        <v>0.26968577736945554</v>
      </c>
      <c r="AS83" s="1162">
        <f t="shared" si="75"/>
        <v>4.5576896375437981</v>
      </c>
      <c r="AT83" s="1164">
        <f t="shared" si="75"/>
        <v>2.3516599786616519</v>
      </c>
      <c r="AU83" s="1164">
        <f t="shared" si="75"/>
        <v>11.569519849149643</v>
      </c>
      <c r="AV83" s="1164">
        <f t="shared" si="75"/>
        <v>2.0280370458183055</v>
      </c>
      <c r="AW83" s="1162">
        <f t="shared" si="75"/>
        <v>7.8722626843030913E-2</v>
      </c>
      <c r="AX83" s="1164">
        <f t="shared" si="75"/>
        <v>12.944917313733864</v>
      </c>
      <c r="AY83" s="1164">
        <f t="shared" si="75"/>
        <v>35.409742568609509</v>
      </c>
      <c r="AZ83" s="1164">
        <f t="shared" si="75"/>
        <v>22.195139477506189</v>
      </c>
      <c r="BA83" s="1164">
        <f t="shared" si="75"/>
        <v>2.1305176412186988</v>
      </c>
      <c r="BB83" s="1163">
        <f t="shared" ref="BB83" si="76">BB82/$BD82*100</f>
        <v>0</v>
      </c>
      <c r="BC83" s="1166">
        <f>BC82/$BD82*100</f>
        <v>0</v>
      </c>
      <c r="BD83" s="3467">
        <f>SUM(AL83:BC83)</f>
        <v>100</v>
      </c>
      <c r="BE83" s="1165"/>
      <c r="BF83" s="1164">
        <f t="shared" ref="BF83:BW83" si="77">BF82/$BX82*100</f>
        <v>8.0059969079176188E-2</v>
      </c>
      <c r="BG83" s="1164">
        <f t="shared" si="77"/>
        <v>0.32355851289422838</v>
      </c>
      <c r="BH83" s="1164">
        <f t="shared" si="77"/>
        <v>0</v>
      </c>
      <c r="BI83" s="1164">
        <f t="shared" si="77"/>
        <v>0</v>
      </c>
      <c r="BJ83" s="1166">
        <f t="shared" si="77"/>
        <v>1.95777321949381</v>
      </c>
      <c r="BK83" s="1163">
        <f t="shared" si="77"/>
        <v>0</v>
      </c>
      <c r="BL83" s="1164">
        <f t="shared" si="77"/>
        <v>0.46222644699175486</v>
      </c>
      <c r="BM83" s="1162">
        <f t="shared" si="77"/>
        <v>4.0896778941922767</v>
      </c>
      <c r="BN83" s="1164">
        <f t="shared" si="77"/>
        <v>3.4820099515004199</v>
      </c>
      <c r="BO83" s="1164">
        <f t="shared" si="77"/>
        <v>6.1929508390572252</v>
      </c>
      <c r="BP83" s="1164">
        <f t="shared" si="77"/>
        <v>0.58804066385616882</v>
      </c>
      <c r="BQ83" s="1164">
        <f t="shared" si="77"/>
        <v>4.0417125288824086E-3</v>
      </c>
      <c r="BR83" s="1163">
        <f t="shared" si="77"/>
        <v>12.600884192717668</v>
      </c>
      <c r="BS83" s="1164">
        <f t="shared" si="77"/>
        <v>41.172354005805396</v>
      </c>
      <c r="BT83" s="1164">
        <f t="shared" si="77"/>
        <v>26.281414155869143</v>
      </c>
      <c r="BU83" s="1162">
        <f t="shared" si="77"/>
        <v>2.7650084360138556</v>
      </c>
      <c r="BV83" s="1164">
        <f t="shared" si="77"/>
        <v>0</v>
      </c>
      <c r="BW83" s="1162">
        <f t="shared" si="77"/>
        <v>0</v>
      </c>
      <c r="BX83" s="3467">
        <f>SUM(BF83:BW83)</f>
        <v>100.00000000000001</v>
      </c>
      <c r="BZ83" s="1163">
        <f t="shared" ref="BZ83:CQ83" si="78">BZ82/$CR82*100</f>
        <v>0.19406137020164374</v>
      </c>
      <c r="CA83" s="1164">
        <f t="shared" si="78"/>
        <v>1.3320523177918651</v>
      </c>
      <c r="CB83" s="1164">
        <f t="shared" si="78"/>
        <v>0</v>
      </c>
      <c r="CC83" s="1162">
        <f t="shared" si="78"/>
        <v>0</v>
      </c>
      <c r="CD83" s="1164">
        <f t="shared" si="78"/>
        <v>3.3178842031562592</v>
      </c>
      <c r="CE83" s="1163">
        <f t="shared" si="78"/>
        <v>0</v>
      </c>
      <c r="CF83" s="1164">
        <f t="shared" si="78"/>
        <v>0.3768181945662985</v>
      </c>
      <c r="CG83" s="1164">
        <f t="shared" si="78"/>
        <v>4.0696365013160243</v>
      </c>
      <c r="CH83" s="1163">
        <f t="shared" si="78"/>
        <v>5.6585001769739973</v>
      </c>
      <c r="CI83" s="1164">
        <f t="shared" si="78"/>
        <v>9.6503139628429047</v>
      </c>
      <c r="CJ83" s="1164">
        <f t="shared" si="78"/>
        <v>1.5074555350895589</v>
      </c>
      <c r="CK83" s="1162">
        <f t="shared" si="78"/>
        <v>5.5752512795251265E-2</v>
      </c>
      <c r="CL83" s="1163">
        <f t="shared" si="78"/>
        <v>12.001659496936606</v>
      </c>
      <c r="CM83" s="1164">
        <f t="shared" si="78"/>
        <v>36.457160324289383</v>
      </c>
      <c r="CN83" s="1164">
        <f t="shared" si="78"/>
        <v>22.967068958815894</v>
      </c>
      <c r="CO83" s="1162">
        <f t="shared" si="78"/>
        <v>2.4116364452243104</v>
      </c>
      <c r="CP83" s="1164">
        <f t="shared" si="78"/>
        <v>0</v>
      </c>
      <c r="CQ83" s="1162">
        <f t="shared" si="78"/>
        <v>0</v>
      </c>
      <c r="CR83" s="3467">
        <f>SUM(BZ83:CQ83)</f>
        <v>100</v>
      </c>
    </row>
    <row r="84" spans="1:96" s="3476" customFormat="1">
      <c r="A84" s="3469" t="s">
        <v>1257</v>
      </c>
      <c r="B84" s="3470"/>
      <c r="C84" s="3470"/>
      <c r="D84" s="3470"/>
      <c r="E84" s="3471"/>
      <c r="F84" s="3470"/>
      <c r="G84" s="3470"/>
      <c r="H84" s="3470"/>
      <c r="I84" s="3472"/>
      <c r="J84" s="3473"/>
      <c r="K84" s="3470"/>
      <c r="L84" s="3470"/>
      <c r="M84" s="3470"/>
      <c r="N84" s="3470"/>
      <c r="O84" s="3474"/>
      <c r="P84" s="3475"/>
      <c r="R84" s="4156">
        <f>SUM(R83:V83)+SUM(W83:Y83)</f>
        <v>5.3492477480152303</v>
      </c>
      <c r="S84" s="4158"/>
      <c r="T84" s="4158"/>
      <c r="U84" s="4158"/>
      <c r="V84" s="4158"/>
      <c r="W84" s="4158"/>
      <c r="X84" s="4158"/>
      <c r="Y84" s="4157"/>
      <c r="Z84" s="4156">
        <f>SUM(Z83:AC83)+SUM(AD83:AG83)</f>
        <v>94.65075225198477</v>
      </c>
      <c r="AA84" s="4158"/>
      <c r="AB84" s="4158"/>
      <c r="AC84" s="4158"/>
      <c r="AD84" s="4158"/>
      <c r="AE84" s="4158"/>
      <c r="AF84" s="4158"/>
      <c r="AG84" s="4157"/>
      <c r="AH84" s="4156">
        <f>SUM(AH83:AI83)</f>
        <v>0</v>
      </c>
      <c r="AI84" s="4157"/>
      <c r="AJ84" s="3479">
        <f>SUM(R84:AI84)</f>
        <v>100</v>
      </c>
      <c r="AL84" s="4156">
        <f>SUM(AL83:AP83)+SUM(AQ83:AS83)</f>
        <v>11.291743498459104</v>
      </c>
      <c r="AM84" s="4158"/>
      <c r="AN84" s="4158"/>
      <c r="AO84" s="4158"/>
      <c r="AP84" s="4158"/>
      <c r="AQ84" s="4158"/>
      <c r="AR84" s="4158"/>
      <c r="AS84" s="4157"/>
      <c r="AT84" s="4156">
        <f>SUM(AT83:AW83)+SUM(AX83:BA83)</f>
        <v>88.708256501540887</v>
      </c>
      <c r="AU84" s="4158"/>
      <c r="AV84" s="4158"/>
      <c r="AW84" s="4158"/>
      <c r="AX84" s="4158"/>
      <c r="AY84" s="4158"/>
      <c r="AZ84" s="4158"/>
      <c r="BA84" s="4157"/>
      <c r="BB84" s="4156">
        <f>SUM(BB83:BC83)</f>
        <v>0</v>
      </c>
      <c r="BC84" s="4157"/>
      <c r="BD84" s="3479">
        <f>SUM(AL84:BC84)</f>
        <v>99.999999999999986</v>
      </c>
      <c r="BE84" s="3480"/>
      <c r="BF84" s="4156">
        <f>SUM(BF83:BJ83)+SUM(BK83:BM83)</f>
        <v>6.913296042651246</v>
      </c>
      <c r="BG84" s="4158"/>
      <c r="BH84" s="4158"/>
      <c r="BI84" s="4158"/>
      <c r="BJ84" s="4158"/>
      <c r="BK84" s="4158"/>
      <c r="BL84" s="4158"/>
      <c r="BM84" s="4157"/>
      <c r="BN84" s="4156">
        <f>SUM(BN83:BQ83)+SUM(BR83:BU83)</f>
        <v>93.08670395734876</v>
      </c>
      <c r="BO84" s="4158"/>
      <c r="BP84" s="4158"/>
      <c r="BQ84" s="4158"/>
      <c r="BR84" s="4158"/>
      <c r="BS84" s="4158"/>
      <c r="BT84" s="4158"/>
      <c r="BU84" s="4157"/>
      <c r="BV84" s="4156">
        <f>SUM(BV83:BW83)</f>
        <v>0</v>
      </c>
      <c r="BW84" s="4180"/>
      <c r="BX84" s="3479">
        <f>SUM(BF84:BW84)</f>
        <v>100</v>
      </c>
      <c r="BZ84" s="4156">
        <f>SUM(BZ83:CD83)+SUM(CE83:CG83)</f>
        <v>9.2904525870320906</v>
      </c>
      <c r="CA84" s="4158"/>
      <c r="CB84" s="4158"/>
      <c r="CC84" s="4158"/>
      <c r="CD84" s="4158"/>
      <c r="CE84" s="4158"/>
      <c r="CF84" s="4158"/>
      <c r="CG84" s="4157"/>
      <c r="CH84" s="4156">
        <f>SUM(CH83:CK83)+SUM(CL83:CO83)</f>
        <v>90.709547412967893</v>
      </c>
      <c r="CI84" s="4158"/>
      <c r="CJ84" s="4158"/>
      <c r="CK84" s="4158"/>
      <c r="CL84" s="4158"/>
      <c r="CM84" s="4158"/>
      <c r="CN84" s="4158"/>
      <c r="CO84" s="4157"/>
      <c r="CP84" s="4156">
        <f>SUM(CP83:CQ83)</f>
        <v>0</v>
      </c>
      <c r="CQ84" s="4180"/>
      <c r="CR84" s="3479">
        <f>SUM(BZ84:CQ84)</f>
        <v>99.999999999999986</v>
      </c>
    </row>
    <row r="85" spans="1:96" s="1871" customFormat="1" ht="26.25" thickBot="1">
      <c r="A85" s="3436" t="s">
        <v>1258</v>
      </c>
      <c r="B85" s="1865"/>
      <c r="C85" s="1865"/>
      <c r="D85" s="1865"/>
      <c r="E85" s="1866"/>
      <c r="F85" s="1865"/>
      <c r="G85" s="1865"/>
      <c r="H85" s="1865"/>
      <c r="I85" s="1867"/>
      <c r="J85" s="1868"/>
      <c r="K85" s="1865"/>
      <c r="L85" s="1865"/>
      <c r="M85" s="1865"/>
      <c r="N85" s="1865"/>
      <c r="O85" s="1869"/>
      <c r="P85" s="1870"/>
      <c r="R85" s="1872">
        <f>R83/R84</f>
        <v>4.0322580645161289E-3</v>
      </c>
      <c r="S85" s="1873">
        <f>S83/R84</f>
        <v>9.408602150537633E-3</v>
      </c>
      <c r="T85" s="1873">
        <f>T83/R84</f>
        <v>0</v>
      </c>
      <c r="U85" s="1873">
        <f>U83/R84</f>
        <v>0</v>
      </c>
      <c r="V85" s="1876">
        <f>V83/R84</f>
        <v>0.22043010752688172</v>
      </c>
      <c r="W85" s="1873">
        <f>W83/R84</f>
        <v>0</v>
      </c>
      <c r="X85" s="1873">
        <f>X83/R84</f>
        <v>0.13440860215053763</v>
      </c>
      <c r="Y85" s="1873">
        <f>Y83/R84</f>
        <v>0.63172043010752688</v>
      </c>
      <c r="Z85" s="1872">
        <f>Z83/Z84</f>
        <v>3.3423227382234268E-3</v>
      </c>
      <c r="AA85" s="1873">
        <f>AA83/Z84</f>
        <v>6.3200284504588436E-2</v>
      </c>
      <c r="AB85" s="1873">
        <f>AB83/Z84</f>
        <v>3.6535385622802757E-3</v>
      </c>
      <c r="AC85" s="1874">
        <f>AC83/Z84</f>
        <v>3.0437925481957434E-5</v>
      </c>
      <c r="AD85" s="1873">
        <f>AD83/Z84</f>
        <v>0.11926015225024496</v>
      </c>
      <c r="AE85" s="1873">
        <f>AE83/Z84</f>
        <v>0.47248289617612982</v>
      </c>
      <c r="AF85" s="1873">
        <f>AF83/Z84</f>
        <v>0.30080904644010836</v>
      </c>
      <c r="AG85" s="1874">
        <f>AG83/Z84</f>
        <v>3.7221321402942702E-2</v>
      </c>
      <c r="AH85" s="1873" t="e">
        <f>AH83/AH84</f>
        <v>#DIV/0!</v>
      </c>
      <c r="AI85" s="1874" t="e">
        <f>AI83/AH84</f>
        <v>#DIV/0!</v>
      </c>
      <c r="AJ85" s="3468"/>
      <c r="AL85" s="1872">
        <f>AL83/AL84</f>
        <v>2.3883448770002386E-2</v>
      </c>
      <c r="AM85" s="1873">
        <f>AM83/AL84</f>
        <v>0.16718414139001669</v>
      </c>
      <c r="AN85" s="1873">
        <f>AN83/AL84</f>
        <v>0</v>
      </c>
      <c r="AO85" s="1873">
        <f>AO83/AL84</f>
        <v>0</v>
      </c>
      <c r="AP85" s="1876">
        <f>AP83/AL84</f>
        <v>0.3814186768569382</v>
      </c>
      <c r="AQ85" s="1873">
        <f>AQ83/AL84</f>
        <v>0</v>
      </c>
      <c r="AR85" s="1873">
        <f>AR83/AL84</f>
        <v>2.3883448770002386E-2</v>
      </c>
      <c r="AS85" s="1874">
        <f>AS83/AL84</f>
        <v>0.40363028421304031</v>
      </c>
      <c r="AT85" s="1873">
        <f>AT83/AT84</f>
        <v>2.6510046205460061E-2</v>
      </c>
      <c r="AU85" s="1873">
        <f>AU83/AT84</f>
        <v>0.1304221309878712</v>
      </c>
      <c r="AV85" s="1873">
        <f>AV83/AT84</f>
        <v>2.2861874709295835E-2</v>
      </c>
      <c r="AW85" s="1874">
        <f>AW83/AT84</f>
        <v>8.8743291715651605E-4</v>
      </c>
      <c r="AX85" s="1873">
        <f>AX83/AT84</f>
        <v>0.14592685984656914</v>
      </c>
      <c r="AY85" s="1873">
        <f>AY83/AT84</f>
        <v>0.39917076453863604</v>
      </c>
      <c r="AZ85" s="1873">
        <f>AZ83/AT84</f>
        <v>0.25020376177859671</v>
      </c>
      <c r="BA85" s="1873">
        <f>BA83/AT84</f>
        <v>2.401712901641451E-2</v>
      </c>
      <c r="BB85" s="1872" t="e">
        <f>BB83/BB84</f>
        <v>#DIV/0!</v>
      </c>
      <c r="BC85" s="1876" t="e">
        <f>BC83/BB84</f>
        <v>#DIV/0!</v>
      </c>
      <c r="BD85" s="3468"/>
      <c r="BE85" s="1875"/>
      <c r="BF85" s="1873">
        <f>BF83/BF84</f>
        <v>1.1580578726160442E-2</v>
      </c>
      <c r="BG85" s="1873">
        <f>BG83/BF84</f>
        <v>4.6802351714442685E-2</v>
      </c>
      <c r="BH85" s="1873">
        <f>BH83/BF84</f>
        <v>0</v>
      </c>
      <c r="BI85" s="1873">
        <f>BI83/BF84</f>
        <v>0</v>
      </c>
      <c r="BJ85" s="1876">
        <f>BJ83/BF84</f>
        <v>0.28318955349451591</v>
      </c>
      <c r="BK85" s="1872">
        <f>BK83/BF84</f>
        <v>0</v>
      </c>
      <c r="BL85" s="1873">
        <f>BL83/BF84</f>
        <v>6.6860502449203843E-2</v>
      </c>
      <c r="BM85" s="1874">
        <f>BM83/BF84</f>
        <v>0.59156701361567721</v>
      </c>
      <c r="BN85" s="1873">
        <f>BN83/BN84</f>
        <v>3.7406093496401338E-2</v>
      </c>
      <c r="BO85" s="1873">
        <f>BO83/BN84</f>
        <v>6.652884435455747E-2</v>
      </c>
      <c r="BP85" s="1873">
        <f>BP83/BN84</f>
        <v>6.3171284281974592E-3</v>
      </c>
      <c r="BQ85" s="1873">
        <f>BQ83/BN84</f>
        <v>4.3418795134633554E-5</v>
      </c>
      <c r="BR85" s="1872">
        <f>BR83/BN84</f>
        <v>0.13536717551511165</v>
      </c>
      <c r="BS85" s="1873">
        <f>BS83/BN84</f>
        <v>0.44230112632057622</v>
      </c>
      <c r="BT85" s="1873">
        <f>BT83/BN84</f>
        <v>0.28233263225122868</v>
      </c>
      <c r="BU85" s="1874">
        <f>BU83/BN84</f>
        <v>2.9703580838792511E-2</v>
      </c>
      <c r="BV85" s="1873" t="e">
        <f>BV83/BV84</f>
        <v>#DIV/0!</v>
      </c>
      <c r="BW85" s="1874" t="e">
        <f>BW83/BV84</f>
        <v>#DIV/0!</v>
      </c>
      <c r="BX85" s="3468"/>
      <c r="BZ85" s="1872">
        <f>BZ83/BZ84</f>
        <v>2.0888257959845873E-2</v>
      </c>
      <c r="CA85" s="1873">
        <f>CA83/BZ84</f>
        <v>0.14337862502534979</v>
      </c>
      <c r="CB85" s="1873">
        <f>CB83/BZ84</f>
        <v>0</v>
      </c>
      <c r="CC85" s="1874">
        <f>CC83/BZ84</f>
        <v>0</v>
      </c>
      <c r="CD85" s="1873">
        <f>CD83/BZ84</f>
        <v>0.35712837152707366</v>
      </c>
      <c r="CE85" s="1872">
        <f>CE83/BZ84</f>
        <v>0</v>
      </c>
      <c r="CF85" s="1873">
        <f>CF83/BZ84</f>
        <v>4.0559724193875477E-2</v>
      </c>
      <c r="CG85" s="1873">
        <f>CG83/BZ84</f>
        <v>0.4380450212938552</v>
      </c>
      <c r="CH85" s="1872">
        <f>CH83/CH84</f>
        <v>6.2380425637148032E-2</v>
      </c>
      <c r="CI85" s="1873">
        <f>CI83/CH84</f>
        <v>0.10638697070010174</v>
      </c>
      <c r="CJ85" s="1873">
        <f>CJ83/CH84</f>
        <v>1.6618488109379013E-2</v>
      </c>
      <c r="CK85" s="1874">
        <f>CK83/CH84</f>
        <v>6.1462673318642147E-4</v>
      </c>
      <c r="CL85" s="1872">
        <f>CL83/CH84</f>
        <v>0.13230866914479655</v>
      </c>
      <c r="CM85" s="1873">
        <f>CM83/CH84</f>
        <v>0.40191094944298494</v>
      </c>
      <c r="CN85" s="1873">
        <f>CN83/CH84</f>
        <v>0.25319351285322922</v>
      </c>
      <c r="CO85" s="1874">
        <f>CO83/CH84</f>
        <v>2.6586357379174193E-2</v>
      </c>
      <c r="CP85" s="1873" t="e">
        <f>CP83/CP84</f>
        <v>#DIV/0!</v>
      </c>
      <c r="CQ85" s="1874" t="e">
        <f>CQ83/CP84</f>
        <v>#DIV/0!</v>
      </c>
      <c r="CR85" s="3468"/>
    </row>
    <row r="86" spans="1:96" ht="13.5" thickBot="1">
      <c r="A86" s="1845"/>
      <c r="B86" s="817"/>
      <c r="C86" s="817"/>
      <c r="D86" s="817"/>
      <c r="E86" s="1802"/>
      <c r="F86" s="817"/>
      <c r="G86" s="817"/>
      <c r="H86" s="817"/>
      <c r="J86" s="810"/>
      <c r="K86" s="817"/>
      <c r="L86" s="817"/>
      <c r="M86" s="817"/>
      <c r="N86" s="817"/>
      <c r="O86" s="824"/>
      <c r="R86" s="832"/>
      <c r="S86" s="1769"/>
      <c r="T86" s="1769"/>
      <c r="U86" s="1769"/>
      <c r="V86" s="932"/>
      <c r="W86" s="1769"/>
      <c r="X86" s="1769"/>
      <c r="Y86" s="1769"/>
      <c r="Z86" s="832"/>
      <c r="AA86" s="1769"/>
      <c r="AB86" s="1769"/>
      <c r="AC86" s="1770"/>
      <c r="AD86" s="1769"/>
      <c r="AE86" s="1769"/>
      <c r="AF86" s="1769"/>
      <c r="AG86" s="1770"/>
      <c r="AH86" s="1769"/>
      <c r="AI86" s="1770"/>
      <c r="AJ86" s="3462"/>
      <c r="AL86" s="832"/>
      <c r="AM86" s="1769"/>
      <c r="AN86" s="1769"/>
      <c r="AO86" s="1769"/>
      <c r="AP86" s="932"/>
      <c r="AQ86" s="1769"/>
      <c r="AR86" s="1769"/>
      <c r="AS86" s="1770"/>
      <c r="AT86" s="804"/>
      <c r="AU86" s="804"/>
      <c r="AV86" s="804"/>
      <c r="AW86" s="833"/>
      <c r="AX86" s="814"/>
      <c r="AY86" s="814"/>
      <c r="AZ86" s="814"/>
      <c r="BA86" s="814"/>
      <c r="BB86" s="832"/>
      <c r="BC86" s="932"/>
      <c r="BD86" s="3462"/>
      <c r="BF86" s="1769"/>
      <c r="BG86" s="804"/>
      <c r="BH86" s="804"/>
      <c r="BI86" s="804"/>
      <c r="BJ86" s="932"/>
      <c r="BK86" s="832"/>
      <c r="BL86" s="804"/>
      <c r="BM86" s="833"/>
      <c r="BN86" s="804"/>
      <c r="BO86" s="804"/>
      <c r="BP86" s="804"/>
      <c r="BQ86" s="804"/>
      <c r="BR86" s="832"/>
      <c r="BS86" s="814"/>
      <c r="BT86" s="814"/>
      <c r="BU86" s="1770"/>
      <c r="BV86" s="1769"/>
      <c r="BW86" s="833"/>
      <c r="BZ86" s="832"/>
      <c r="CA86" s="1769"/>
      <c r="CB86" s="1769"/>
      <c r="CC86" s="1770"/>
      <c r="CD86" s="1769"/>
      <c r="CE86" s="832"/>
      <c r="CF86" s="1769"/>
      <c r="CG86" s="1769"/>
      <c r="CH86" s="832"/>
      <c r="CI86" s="1769"/>
      <c r="CJ86" s="1769"/>
      <c r="CK86" s="1770"/>
      <c r="CL86" s="832"/>
      <c r="CM86" s="1769"/>
      <c r="CN86" s="1769"/>
      <c r="CO86" s="1770"/>
      <c r="CP86" s="1769"/>
      <c r="CQ86" s="1770"/>
      <c r="CR86" s="3462"/>
    </row>
    <row r="87" spans="1:96" s="848" customFormat="1">
      <c r="A87" s="1846" t="s">
        <v>769</v>
      </c>
      <c r="B87" s="846" t="s">
        <v>770</v>
      </c>
      <c r="C87" s="846" t="s">
        <v>771</v>
      </c>
      <c r="D87" s="846"/>
      <c r="E87" s="1803"/>
      <c r="F87" s="846"/>
      <c r="G87" s="846"/>
      <c r="H87" s="846"/>
      <c r="I87" s="1813"/>
      <c r="J87" s="849"/>
      <c r="K87" s="846"/>
      <c r="L87" s="846"/>
      <c r="M87" s="846"/>
      <c r="N87" s="846"/>
      <c r="O87" s="847"/>
      <c r="P87" s="850"/>
      <c r="Q87" s="811" t="str">
        <f>IF(J87=J319,"stop","")</f>
        <v/>
      </c>
      <c r="R87" s="3450" t="str">
        <f t="shared" si="61"/>
        <v/>
      </c>
      <c r="S87" s="3451" t="str">
        <f t="shared" si="61"/>
        <v/>
      </c>
      <c r="T87" s="3451" t="str">
        <f t="shared" si="61"/>
        <v/>
      </c>
      <c r="U87" s="3451" t="str">
        <f t="shared" si="61"/>
        <v/>
      </c>
      <c r="V87" s="3455" t="str">
        <f t="shared" si="61"/>
        <v/>
      </c>
      <c r="W87" s="3451" t="str">
        <f t="shared" ref="W87:Y106" si="79">IF(AND($J87&gt;W$4,$J87&lt;=W$5,$P87=W$6),$K87,"")</f>
        <v/>
      </c>
      <c r="X87" s="3451" t="str">
        <f t="shared" si="79"/>
        <v/>
      </c>
      <c r="Y87" s="3451" t="str">
        <f t="shared" si="79"/>
        <v/>
      </c>
      <c r="Z87" s="3450" t="str">
        <f t="shared" si="61"/>
        <v/>
      </c>
      <c r="AA87" s="3451" t="str">
        <f t="shared" si="61"/>
        <v/>
      </c>
      <c r="AB87" s="3451" t="str">
        <f t="shared" si="61"/>
        <v/>
      </c>
      <c r="AC87" s="3452" t="str">
        <f t="shared" si="61"/>
        <v/>
      </c>
      <c r="AD87" s="3451" t="str">
        <f t="shared" si="61"/>
        <v/>
      </c>
      <c r="AE87" s="3451" t="str">
        <f t="shared" si="61"/>
        <v/>
      </c>
      <c r="AF87" s="3451" t="str">
        <f t="shared" si="61"/>
        <v/>
      </c>
      <c r="AG87" s="3452" t="str">
        <f t="shared" si="61"/>
        <v/>
      </c>
      <c r="AH87" s="3451" t="str">
        <f t="shared" si="52"/>
        <v/>
      </c>
      <c r="AI87" s="3452" t="str">
        <f t="shared" si="52"/>
        <v/>
      </c>
      <c r="AJ87" s="3464"/>
      <c r="AK87" s="3453" t="str">
        <f>IF(J87=J319,"stop","")</f>
        <v/>
      </c>
      <c r="AL87" s="3450" t="str">
        <f t="shared" ref="AL87:AW96" si="80">IF(AND($J87&gt;AL$4,$J87&lt;=AL$5,$P87=AL$6),$M87,"")</f>
        <v/>
      </c>
      <c r="AM87" s="3451" t="str">
        <f t="shared" si="80"/>
        <v/>
      </c>
      <c r="AN87" s="3451" t="str">
        <f t="shared" si="80"/>
        <v/>
      </c>
      <c r="AO87" s="3451" t="str">
        <f t="shared" si="80"/>
        <v/>
      </c>
      <c r="AP87" s="3455" t="str">
        <f t="shared" si="80"/>
        <v/>
      </c>
      <c r="AQ87" s="3451" t="str">
        <f t="shared" ref="AQ87:AS106" si="81">IF(AND($J87&gt;AQ$4,$J87&lt;=AQ$5,$P87=AQ$6),$M87,"")</f>
        <v/>
      </c>
      <c r="AR87" s="3451" t="str">
        <f t="shared" si="81"/>
        <v/>
      </c>
      <c r="AS87" s="3452" t="str">
        <f t="shared" si="81"/>
        <v/>
      </c>
      <c r="AT87" s="3451" t="str">
        <f t="shared" si="80"/>
        <v/>
      </c>
      <c r="AU87" s="3451" t="str">
        <f t="shared" si="80"/>
        <v/>
      </c>
      <c r="AV87" s="3451" t="str">
        <f t="shared" si="80"/>
        <v/>
      </c>
      <c r="AW87" s="3452" t="str">
        <f t="shared" si="80"/>
        <v/>
      </c>
      <c r="AX87" s="3451" t="str">
        <f t="shared" ref="AX87:BC96" si="82">IF(AND($J87&gt;AX$4,$J87&lt;=AX$5,$P87=AX$6),$M87,"")</f>
        <v/>
      </c>
      <c r="AY87" s="3451" t="str">
        <f t="shared" si="82"/>
        <v/>
      </c>
      <c r="AZ87" s="3451" t="str">
        <f t="shared" si="82"/>
        <v/>
      </c>
      <c r="BA87" s="3451" t="str">
        <f t="shared" si="82"/>
        <v/>
      </c>
      <c r="BB87" s="3450" t="str">
        <f t="shared" si="82"/>
        <v/>
      </c>
      <c r="BC87" s="3455" t="str">
        <f t="shared" si="82"/>
        <v/>
      </c>
      <c r="BD87" s="3464"/>
      <c r="BE87" s="3454" t="str">
        <f>IF(J87=J319,"stop","")</f>
        <v/>
      </c>
      <c r="BF87" s="3451" t="str">
        <f t="shared" ref="BF87:BQ96" si="83">IF(AND($J87&gt;BF$4,$J87&lt;=BF$5,$P87=BF$6),$N87,"")</f>
        <v/>
      </c>
      <c r="BG87" s="3451" t="str">
        <f t="shared" si="83"/>
        <v/>
      </c>
      <c r="BH87" s="3451" t="str">
        <f t="shared" si="83"/>
        <v/>
      </c>
      <c r="BI87" s="3451" t="str">
        <f t="shared" si="83"/>
        <v/>
      </c>
      <c r="BJ87" s="3455" t="str">
        <f t="shared" si="83"/>
        <v/>
      </c>
      <c r="BK87" s="3450" t="str">
        <f t="shared" ref="BK87:BM106" si="84">IF(AND($J87&gt;BK$4,$J87&lt;=BK$5,$P87=BK$6),$N87,"")</f>
        <v/>
      </c>
      <c r="BL87" s="3451" t="str">
        <f t="shared" si="84"/>
        <v/>
      </c>
      <c r="BM87" s="3452" t="str">
        <f t="shared" si="84"/>
        <v/>
      </c>
      <c r="BN87" s="3451" t="str">
        <f t="shared" si="83"/>
        <v/>
      </c>
      <c r="BO87" s="3451" t="str">
        <f t="shared" si="83"/>
        <v/>
      </c>
      <c r="BP87" s="3451" t="str">
        <f t="shared" si="83"/>
        <v/>
      </c>
      <c r="BQ87" s="3451" t="str">
        <f t="shared" si="83"/>
        <v/>
      </c>
      <c r="BR87" s="3450" t="str">
        <f t="shared" ref="BR87:BW96" si="85">IF(AND($J87&gt;BR$4,$J87&lt;=BR$5,$P87=BR$6),$N87,"")</f>
        <v/>
      </c>
      <c r="BS87" s="3451" t="str">
        <f t="shared" si="85"/>
        <v/>
      </c>
      <c r="BT87" s="3451" t="str">
        <f t="shared" si="85"/>
        <v/>
      </c>
      <c r="BU87" s="3452" t="str">
        <f t="shared" si="85"/>
        <v/>
      </c>
      <c r="BV87" s="3451" t="str">
        <f t="shared" si="85"/>
        <v/>
      </c>
      <c r="BW87" s="3452" t="str">
        <f t="shared" si="85"/>
        <v/>
      </c>
      <c r="BX87" s="3464"/>
      <c r="BY87" s="3453" t="str">
        <f>IF(L87=L319,"stop","")</f>
        <v>stop</v>
      </c>
      <c r="BZ87" s="3450" t="str">
        <f t="shared" ref="BZ87:CK96" si="86">IF(AND($J87&gt;BZ$4,$J87&lt;=BZ$5,$P87=BZ$6),$O87,"")</f>
        <v/>
      </c>
      <c r="CA87" s="3451" t="str">
        <f t="shared" si="86"/>
        <v/>
      </c>
      <c r="CB87" s="3451" t="str">
        <f t="shared" si="86"/>
        <v/>
      </c>
      <c r="CC87" s="3452" t="str">
        <f t="shared" si="86"/>
        <v/>
      </c>
      <c r="CD87" s="3451" t="str">
        <f t="shared" si="86"/>
        <v/>
      </c>
      <c r="CE87" s="3450" t="str">
        <f t="shared" ref="CE87:CG106" si="87">IF(AND($J87&gt;CE$4,$J87&lt;=CE$5,$P87=CE$6),$O87,"")</f>
        <v/>
      </c>
      <c r="CF87" s="3451" t="str">
        <f t="shared" si="87"/>
        <v/>
      </c>
      <c r="CG87" s="3451" t="str">
        <f t="shared" si="87"/>
        <v/>
      </c>
      <c r="CH87" s="3450" t="str">
        <f t="shared" si="86"/>
        <v/>
      </c>
      <c r="CI87" s="3451" t="str">
        <f t="shared" si="86"/>
        <v/>
      </c>
      <c r="CJ87" s="3451" t="str">
        <f t="shared" si="86"/>
        <v/>
      </c>
      <c r="CK87" s="3452" t="str">
        <f t="shared" si="86"/>
        <v/>
      </c>
      <c r="CL87" s="3450" t="str">
        <f t="shared" ref="CL87:CQ96" si="88">IF(AND($J87&gt;CL$4,$J87&lt;=CL$5,$P87=CL$6),$O87,"")</f>
        <v/>
      </c>
      <c r="CM87" s="3451" t="str">
        <f t="shared" si="88"/>
        <v/>
      </c>
      <c r="CN87" s="3451" t="str">
        <f t="shared" si="88"/>
        <v/>
      </c>
      <c r="CO87" s="3452" t="str">
        <f t="shared" si="88"/>
        <v/>
      </c>
      <c r="CP87" s="3451" t="str">
        <f t="shared" si="88"/>
        <v/>
      </c>
      <c r="CQ87" s="3452" t="str">
        <f t="shared" si="88"/>
        <v/>
      </c>
      <c r="CR87" s="3464"/>
    </row>
    <row r="88" spans="1:96" s="3" customFormat="1" ht="18">
      <c r="A88" s="1847" t="s">
        <v>691</v>
      </c>
      <c r="B88" s="815" t="s">
        <v>692</v>
      </c>
      <c r="C88" s="815" t="s">
        <v>693</v>
      </c>
      <c r="D88" s="816"/>
      <c r="E88" s="1802"/>
      <c r="F88" s="816"/>
      <c r="G88" s="816"/>
      <c r="H88" s="816"/>
      <c r="I88" s="50"/>
      <c r="J88" s="816" t="str">
        <f t="shared" si="62"/>
        <v>Alkanes</v>
      </c>
      <c r="K88" s="816"/>
      <c r="L88" s="816"/>
      <c r="M88" s="816"/>
      <c r="N88" s="816"/>
      <c r="O88" s="823"/>
      <c r="P88" s="825" t="s">
        <v>1087</v>
      </c>
      <c r="Q88" s="3" t="str">
        <f>IF(J88=J319,"stop","")</f>
        <v/>
      </c>
      <c r="R88" s="3437" t="str">
        <f t="shared" si="61"/>
        <v/>
      </c>
      <c r="S88" s="1771" t="str">
        <f t="shared" si="61"/>
        <v/>
      </c>
      <c r="T88" s="1771" t="str">
        <f t="shared" si="61"/>
        <v/>
      </c>
      <c r="U88" s="1771" t="str">
        <f t="shared" si="61"/>
        <v/>
      </c>
      <c r="V88" s="3443" t="str">
        <f t="shared" si="61"/>
        <v/>
      </c>
      <c r="W88" s="1771" t="str">
        <f t="shared" si="79"/>
        <v/>
      </c>
      <c r="X88" s="1771" t="str">
        <f t="shared" si="79"/>
        <v/>
      </c>
      <c r="Y88" s="1771" t="str">
        <f t="shared" si="79"/>
        <v/>
      </c>
      <c r="Z88" s="3437" t="str">
        <f t="shared" si="61"/>
        <v/>
      </c>
      <c r="AA88" s="1771" t="str">
        <f t="shared" si="61"/>
        <v/>
      </c>
      <c r="AB88" s="1771" t="str">
        <f t="shared" si="61"/>
        <v/>
      </c>
      <c r="AC88" s="3442" t="str">
        <f t="shared" si="61"/>
        <v/>
      </c>
      <c r="AD88" s="1771" t="str">
        <f t="shared" si="61"/>
        <v/>
      </c>
      <c r="AE88" s="1771" t="str">
        <f t="shared" si="61"/>
        <v/>
      </c>
      <c r="AF88" s="1771" t="str">
        <f t="shared" si="61"/>
        <v/>
      </c>
      <c r="AG88" s="3442" t="str">
        <f t="shared" si="61"/>
        <v/>
      </c>
      <c r="AH88" s="1771" t="str">
        <f t="shared" ref="AH88:AI107" si="89">IF(AND($J88&gt;AH$4,$J88&lt;=AH$5,$P88=AH$6),$K88,"")</f>
        <v/>
      </c>
      <c r="AI88" s="3442" t="str">
        <f t="shared" si="89"/>
        <v/>
      </c>
      <c r="AJ88" s="3462"/>
      <c r="AK88" s="3439" t="str">
        <f>IF(J88=J319,"stop","")</f>
        <v/>
      </c>
      <c r="AL88" s="3437" t="str">
        <f t="shared" si="80"/>
        <v/>
      </c>
      <c r="AM88" s="1771" t="str">
        <f t="shared" si="80"/>
        <v/>
      </c>
      <c r="AN88" s="1771" t="str">
        <f t="shared" si="80"/>
        <v/>
      </c>
      <c r="AO88" s="1771" t="str">
        <f t="shared" si="80"/>
        <v/>
      </c>
      <c r="AP88" s="3443" t="str">
        <f t="shared" si="80"/>
        <v/>
      </c>
      <c r="AQ88" s="1771" t="str">
        <f t="shared" si="81"/>
        <v/>
      </c>
      <c r="AR88" s="1771" t="str">
        <f t="shared" si="81"/>
        <v/>
      </c>
      <c r="AS88" s="3442" t="str">
        <f t="shared" si="81"/>
        <v/>
      </c>
      <c r="AT88" s="1771" t="str">
        <f t="shared" si="80"/>
        <v/>
      </c>
      <c r="AU88" s="1771" t="str">
        <f t="shared" si="80"/>
        <v/>
      </c>
      <c r="AV88" s="1771" t="str">
        <f t="shared" si="80"/>
        <v/>
      </c>
      <c r="AW88" s="3442" t="str">
        <f t="shared" si="80"/>
        <v/>
      </c>
      <c r="AX88" s="1771" t="str">
        <f t="shared" si="82"/>
        <v/>
      </c>
      <c r="AY88" s="1771" t="str">
        <f t="shared" si="82"/>
        <v/>
      </c>
      <c r="AZ88" s="1771" t="str">
        <f t="shared" si="82"/>
        <v/>
      </c>
      <c r="BA88" s="1771" t="str">
        <f t="shared" si="82"/>
        <v/>
      </c>
      <c r="BB88" s="3437" t="str">
        <f t="shared" si="82"/>
        <v/>
      </c>
      <c r="BC88" s="3443" t="str">
        <f t="shared" si="82"/>
        <v/>
      </c>
      <c r="BD88" s="3462"/>
      <c r="BE88" s="3440" t="str">
        <f>IF(J88=J319,"stop","")</f>
        <v/>
      </c>
      <c r="BF88" s="1771" t="str">
        <f t="shared" si="83"/>
        <v/>
      </c>
      <c r="BG88" s="1771" t="str">
        <f t="shared" si="83"/>
        <v/>
      </c>
      <c r="BH88" s="1771" t="str">
        <f t="shared" si="83"/>
        <v/>
      </c>
      <c r="BI88" s="1771" t="str">
        <f t="shared" si="83"/>
        <v/>
      </c>
      <c r="BJ88" s="3443" t="str">
        <f t="shared" si="83"/>
        <v/>
      </c>
      <c r="BK88" s="3437" t="str">
        <f t="shared" si="84"/>
        <v/>
      </c>
      <c r="BL88" s="1771" t="str">
        <f t="shared" si="84"/>
        <v/>
      </c>
      <c r="BM88" s="3442" t="str">
        <f t="shared" si="84"/>
        <v/>
      </c>
      <c r="BN88" s="1771" t="str">
        <f t="shared" si="83"/>
        <v/>
      </c>
      <c r="BO88" s="1771" t="str">
        <f t="shared" si="83"/>
        <v/>
      </c>
      <c r="BP88" s="1771" t="str">
        <f t="shared" si="83"/>
        <v/>
      </c>
      <c r="BQ88" s="1771" t="str">
        <f t="shared" si="83"/>
        <v/>
      </c>
      <c r="BR88" s="3437" t="str">
        <f t="shared" si="85"/>
        <v/>
      </c>
      <c r="BS88" s="1771" t="str">
        <f t="shared" si="85"/>
        <v/>
      </c>
      <c r="BT88" s="1771" t="str">
        <f t="shared" si="85"/>
        <v/>
      </c>
      <c r="BU88" s="3442" t="str">
        <f t="shared" si="85"/>
        <v/>
      </c>
      <c r="BV88" s="1771" t="str">
        <f t="shared" si="85"/>
        <v/>
      </c>
      <c r="BW88" s="3442" t="str">
        <f t="shared" si="85"/>
        <v/>
      </c>
      <c r="BX88" s="3462"/>
      <c r="BY88" s="3439" t="str">
        <f>IF(L88=L319,"stop","")</f>
        <v>stop</v>
      </c>
      <c r="BZ88" s="3437" t="str">
        <f t="shared" si="86"/>
        <v/>
      </c>
      <c r="CA88" s="1771" t="str">
        <f t="shared" si="86"/>
        <v/>
      </c>
      <c r="CB88" s="1771" t="str">
        <f t="shared" si="86"/>
        <v/>
      </c>
      <c r="CC88" s="3442" t="str">
        <f t="shared" si="86"/>
        <v/>
      </c>
      <c r="CD88" s="1771" t="str">
        <f t="shared" si="86"/>
        <v/>
      </c>
      <c r="CE88" s="3437" t="str">
        <f t="shared" si="87"/>
        <v/>
      </c>
      <c r="CF88" s="1771" t="str">
        <f t="shared" si="87"/>
        <v/>
      </c>
      <c r="CG88" s="1771" t="str">
        <f t="shared" si="87"/>
        <v/>
      </c>
      <c r="CH88" s="3437" t="str">
        <f t="shared" si="86"/>
        <v/>
      </c>
      <c r="CI88" s="1771" t="str">
        <f t="shared" si="86"/>
        <v/>
      </c>
      <c r="CJ88" s="1771" t="str">
        <f t="shared" si="86"/>
        <v/>
      </c>
      <c r="CK88" s="3442" t="str">
        <f t="shared" si="86"/>
        <v/>
      </c>
      <c r="CL88" s="3437" t="str">
        <f t="shared" si="88"/>
        <v/>
      </c>
      <c r="CM88" s="1771" t="str">
        <f t="shared" si="88"/>
        <v/>
      </c>
      <c r="CN88" s="1771" t="str">
        <f t="shared" si="88"/>
        <v/>
      </c>
      <c r="CO88" s="3442" t="str">
        <f t="shared" si="88"/>
        <v/>
      </c>
      <c r="CP88" s="1771" t="str">
        <f t="shared" si="88"/>
        <v/>
      </c>
      <c r="CQ88" s="3442" t="str">
        <f t="shared" si="88"/>
        <v/>
      </c>
      <c r="CR88" s="3462"/>
    </row>
    <row r="89" spans="1:96" s="3" customFormat="1">
      <c r="A89" s="1848" t="s">
        <v>694</v>
      </c>
      <c r="B89" s="816">
        <v>8</v>
      </c>
      <c r="C89" s="816">
        <v>8</v>
      </c>
      <c r="D89" s="816">
        <v>0.1</v>
      </c>
      <c r="E89" s="1804" t="s">
        <v>1083</v>
      </c>
      <c r="F89" s="816">
        <v>0.1</v>
      </c>
      <c r="G89" s="816" t="s">
        <v>695</v>
      </c>
      <c r="H89" s="816">
        <v>1996</v>
      </c>
      <c r="I89" s="50"/>
      <c r="J89" s="816">
        <f t="shared" si="62"/>
        <v>8</v>
      </c>
      <c r="K89" s="816">
        <v>0.1</v>
      </c>
      <c r="L89" s="816"/>
      <c r="M89" s="816">
        <v>0.1</v>
      </c>
      <c r="N89" s="845">
        <f t="shared" ref="N89:N144" si="90">(K89*M89)^0.5</f>
        <v>0.1</v>
      </c>
      <c r="O89" s="1831">
        <f t="shared" ref="O89:O144" si="91">(K89+M89)*0.5</f>
        <v>0.1</v>
      </c>
      <c r="P89" s="825" t="s">
        <v>1087</v>
      </c>
      <c r="Q89" s="3" t="str">
        <f>IF(J89=J319,"stop","")</f>
        <v/>
      </c>
      <c r="R89" s="3437" t="str">
        <f t="shared" si="61"/>
        <v/>
      </c>
      <c r="S89" s="1771" t="str">
        <f t="shared" si="61"/>
        <v/>
      </c>
      <c r="T89" s="1771" t="str">
        <f t="shared" si="61"/>
        <v/>
      </c>
      <c r="U89" s="1771" t="str">
        <f t="shared" si="61"/>
        <v/>
      </c>
      <c r="V89" s="3443" t="str">
        <f t="shared" si="61"/>
        <v/>
      </c>
      <c r="W89" s="1771" t="str">
        <f t="shared" si="79"/>
        <v/>
      </c>
      <c r="X89" s="1771">
        <f t="shared" si="79"/>
        <v>0.1</v>
      </c>
      <c r="Y89" s="1771" t="str">
        <f t="shared" si="79"/>
        <v/>
      </c>
      <c r="Z89" s="3437" t="str">
        <f t="shared" si="61"/>
        <v/>
      </c>
      <c r="AA89" s="1771" t="str">
        <f t="shared" si="61"/>
        <v/>
      </c>
      <c r="AB89" s="1771" t="str">
        <f t="shared" si="61"/>
        <v/>
      </c>
      <c r="AC89" s="3442" t="str">
        <f t="shared" si="61"/>
        <v/>
      </c>
      <c r="AD89" s="1771" t="str">
        <f t="shared" si="61"/>
        <v/>
      </c>
      <c r="AE89" s="1771" t="str">
        <f t="shared" si="61"/>
        <v/>
      </c>
      <c r="AF89" s="1771" t="str">
        <f t="shared" si="61"/>
        <v/>
      </c>
      <c r="AG89" s="3442" t="str">
        <f t="shared" si="61"/>
        <v/>
      </c>
      <c r="AH89" s="1771" t="str">
        <f t="shared" si="89"/>
        <v/>
      </c>
      <c r="AI89" s="3442" t="str">
        <f t="shared" si="89"/>
        <v/>
      </c>
      <c r="AJ89" s="3462"/>
      <c r="AK89" s="3439" t="str">
        <f>IF(J89=J319,"stop","")</f>
        <v/>
      </c>
      <c r="AL89" s="3437" t="str">
        <f t="shared" si="80"/>
        <v/>
      </c>
      <c r="AM89" s="1771" t="str">
        <f t="shared" si="80"/>
        <v/>
      </c>
      <c r="AN89" s="1771" t="str">
        <f t="shared" si="80"/>
        <v/>
      </c>
      <c r="AO89" s="1771" t="str">
        <f t="shared" si="80"/>
        <v/>
      </c>
      <c r="AP89" s="3443" t="str">
        <f t="shared" si="80"/>
        <v/>
      </c>
      <c r="AQ89" s="1771" t="str">
        <f t="shared" si="81"/>
        <v/>
      </c>
      <c r="AR89" s="1771">
        <f t="shared" si="81"/>
        <v>0.1</v>
      </c>
      <c r="AS89" s="3442" t="str">
        <f t="shared" si="81"/>
        <v/>
      </c>
      <c r="AT89" s="1771" t="str">
        <f t="shared" si="80"/>
        <v/>
      </c>
      <c r="AU89" s="1771" t="str">
        <f t="shared" si="80"/>
        <v/>
      </c>
      <c r="AV89" s="1771" t="str">
        <f t="shared" si="80"/>
        <v/>
      </c>
      <c r="AW89" s="3442" t="str">
        <f t="shared" si="80"/>
        <v/>
      </c>
      <c r="AX89" s="1771" t="str">
        <f t="shared" si="82"/>
        <v/>
      </c>
      <c r="AY89" s="1771" t="str">
        <f t="shared" si="82"/>
        <v/>
      </c>
      <c r="AZ89" s="1771" t="str">
        <f t="shared" si="82"/>
        <v/>
      </c>
      <c r="BA89" s="1771" t="str">
        <f t="shared" si="82"/>
        <v/>
      </c>
      <c r="BB89" s="3437" t="str">
        <f t="shared" si="82"/>
        <v/>
      </c>
      <c r="BC89" s="3443" t="str">
        <f t="shared" si="82"/>
        <v/>
      </c>
      <c r="BD89" s="3462"/>
      <c r="BE89" s="3440" t="str">
        <f>IF(J89=J319,"stop","")</f>
        <v/>
      </c>
      <c r="BF89" s="1771" t="str">
        <f t="shared" si="83"/>
        <v/>
      </c>
      <c r="BG89" s="1771" t="str">
        <f t="shared" si="83"/>
        <v/>
      </c>
      <c r="BH89" s="1771" t="str">
        <f t="shared" si="83"/>
        <v/>
      </c>
      <c r="BI89" s="1771" t="str">
        <f t="shared" si="83"/>
        <v/>
      </c>
      <c r="BJ89" s="3443" t="str">
        <f t="shared" si="83"/>
        <v/>
      </c>
      <c r="BK89" s="3437" t="str">
        <f t="shared" si="84"/>
        <v/>
      </c>
      <c r="BL89" s="1771">
        <f t="shared" si="84"/>
        <v>0.1</v>
      </c>
      <c r="BM89" s="3442" t="str">
        <f t="shared" si="84"/>
        <v/>
      </c>
      <c r="BN89" s="1771" t="str">
        <f t="shared" si="83"/>
        <v/>
      </c>
      <c r="BO89" s="1771" t="str">
        <f t="shared" si="83"/>
        <v/>
      </c>
      <c r="BP89" s="1771" t="str">
        <f t="shared" si="83"/>
        <v/>
      </c>
      <c r="BQ89" s="1771" t="str">
        <f t="shared" si="83"/>
        <v/>
      </c>
      <c r="BR89" s="3437" t="str">
        <f t="shared" si="85"/>
        <v/>
      </c>
      <c r="BS89" s="1771" t="str">
        <f t="shared" si="85"/>
        <v/>
      </c>
      <c r="BT89" s="1771" t="str">
        <f t="shared" si="85"/>
        <v/>
      </c>
      <c r="BU89" s="3442" t="str">
        <f t="shared" si="85"/>
        <v/>
      </c>
      <c r="BV89" s="1771" t="str">
        <f t="shared" si="85"/>
        <v/>
      </c>
      <c r="BW89" s="3442" t="str">
        <f t="shared" si="85"/>
        <v/>
      </c>
      <c r="BX89" s="3462"/>
      <c r="BY89" s="3439" t="str">
        <f>IF(L89=L319,"stop","")</f>
        <v>stop</v>
      </c>
      <c r="BZ89" s="3437" t="str">
        <f t="shared" si="86"/>
        <v/>
      </c>
      <c r="CA89" s="1771" t="str">
        <f t="shared" si="86"/>
        <v/>
      </c>
      <c r="CB89" s="1771" t="str">
        <f t="shared" si="86"/>
        <v/>
      </c>
      <c r="CC89" s="3442" t="str">
        <f t="shared" si="86"/>
        <v/>
      </c>
      <c r="CD89" s="1771" t="str">
        <f t="shared" si="86"/>
        <v/>
      </c>
      <c r="CE89" s="3437" t="str">
        <f t="shared" si="87"/>
        <v/>
      </c>
      <c r="CF89" s="1771">
        <f t="shared" si="87"/>
        <v>0.1</v>
      </c>
      <c r="CG89" s="1771" t="str">
        <f t="shared" si="87"/>
        <v/>
      </c>
      <c r="CH89" s="3437" t="str">
        <f t="shared" si="86"/>
        <v/>
      </c>
      <c r="CI89" s="1771" t="str">
        <f t="shared" si="86"/>
        <v/>
      </c>
      <c r="CJ89" s="1771" t="str">
        <f t="shared" si="86"/>
        <v/>
      </c>
      <c r="CK89" s="3442" t="str">
        <f t="shared" si="86"/>
        <v/>
      </c>
      <c r="CL89" s="3437" t="str">
        <f t="shared" si="88"/>
        <v/>
      </c>
      <c r="CM89" s="1771" t="str">
        <f t="shared" si="88"/>
        <v/>
      </c>
      <c r="CN89" s="1771" t="str">
        <f t="shared" si="88"/>
        <v/>
      </c>
      <c r="CO89" s="3442" t="str">
        <f t="shared" si="88"/>
        <v/>
      </c>
      <c r="CP89" s="1771" t="str">
        <f t="shared" si="88"/>
        <v/>
      </c>
      <c r="CQ89" s="3442" t="str">
        <f t="shared" si="88"/>
        <v/>
      </c>
      <c r="CR89" s="3462"/>
    </row>
    <row r="90" spans="1:96" s="3" customFormat="1">
      <c r="A90" s="1848" t="s">
        <v>696</v>
      </c>
      <c r="B90" s="816">
        <v>9</v>
      </c>
      <c r="C90" s="816">
        <v>9</v>
      </c>
      <c r="D90" s="816">
        <v>0.2</v>
      </c>
      <c r="E90" s="1802" t="s">
        <v>35</v>
      </c>
      <c r="F90" s="816">
        <v>0.3</v>
      </c>
      <c r="G90" s="816" t="s">
        <v>695</v>
      </c>
      <c r="H90" s="816">
        <v>1996</v>
      </c>
      <c r="I90" s="50"/>
      <c r="J90" s="816">
        <f t="shared" si="62"/>
        <v>9</v>
      </c>
      <c r="K90" s="816">
        <v>0.2</v>
      </c>
      <c r="L90" s="816" t="s">
        <v>35</v>
      </c>
      <c r="M90" s="816">
        <v>0.3</v>
      </c>
      <c r="N90" s="845">
        <f t="shared" si="90"/>
        <v>0.2449489742783178</v>
      </c>
      <c r="O90" s="1831">
        <f t="shared" si="91"/>
        <v>0.25</v>
      </c>
      <c r="P90" s="825" t="s">
        <v>1087</v>
      </c>
      <c r="Q90" s="3" t="str">
        <f>IF(J90=J319,"stop","")</f>
        <v/>
      </c>
      <c r="R90" s="3437" t="str">
        <f t="shared" si="61"/>
        <v/>
      </c>
      <c r="S90" s="1771" t="str">
        <f t="shared" si="61"/>
        <v/>
      </c>
      <c r="T90" s="1771" t="str">
        <f t="shared" si="61"/>
        <v/>
      </c>
      <c r="U90" s="1771" t="str">
        <f t="shared" si="61"/>
        <v/>
      </c>
      <c r="V90" s="3443" t="str">
        <f t="shared" si="61"/>
        <v/>
      </c>
      <c r="W90" s="1771" t="str">
        <f t="shared" si="79"/>
        <v/>
      </c>
      <c r="X90" s="1771" t="str">
        <f t="shared" si="79"/>
        <v/>
      </c>
      <c r="Y90" s="1771">
        <f t="shared" si="79"/>
        <v>0.2</v>
      </c>
      <c r="Z90" s="3437" t="str">
        <f t="shared" si="61"/>
        <v/>
      </c>
      <c r="AA90" s="1771" t="str">
        <f t="shared" si="61"/>
        <v/>
      </c>
      <c r="AB90" s="1771" t="str">
        <f t="shared" si="61"/>
        <v/>
      </c>
      <c r="AC90" s="3442" t="str">
        <f t="shared" si="61"/>
        <v/>
      </c>
      <c r="AD90" s="1771" t="str">
        <f t="shared" si="61"/>
        <v/>
      </c>
      <c r="AE90" s="1771" t="str">
        <f t="shared" si="61"/>
        <v/>
      </c>
      <c r="AF90" s="1771" t="str">
        <f t="shared" si="61"/>
        <v/>
      </c>
      <c r="AG90" s="3442" t="str">
        <f t="shared" si="61"/>
        <v/>
      </c>
      <c r="AH90" s="1771" t="str">
        <f t="shared" si="89"/>
        <v/>
      </c>
      <c r="AI90" s="3442" t="str">
        <f t="shared" si="89"/>
        <v/>
      </c>
      <c r="AJ90" s="3462"/>
      <c r="AK90" s="3439" t="str">
        <f>IF(J90=J319,"stop","")</f>
        <v/>
      </c>
      <c r="AL90" s="3437" t="str">
        <f t="shared" si="80"/>
        <v/>
      </c>
      <c r="AM90" s="1771" t="str">
        <f t="shared" si="80"/>
        <v/>
      </c>
      <c r="AN90" s="1771" t="str">
        <f t="shared" si="80"/>
        <v/>
      </c>
      <c r="AO90" s="1771" t="str">
        <f t="shared" si="80"/>
        <v/>
      </c>
      <c r="AP90" s="3443" t="str">
        <f t="shared" si="80"/>
        <v/>
      </c>
      <c r="AQ90" s="1771" t="str">
        <f t="shared" si="81"/>
        <v/>
      </c>
      <c r="AR90" s="1771" t="str">
        <f t="shared" si="81"/>
        <v/>
      </c>
      <c r="AS90" s="3442">
        <f t="shared" si="81"/>
        <v>0.3</v>
      </c>
      <c r="AT90" s="1771" t="str">
        <f t="shared" si="80"/>
        <v/>
      </c>
      <c r="AU90" s="1771" t="str">
        <f t="shared" si="80"/>
        <v/>
      </c>
      <c r="AV90" s="1771" t="str">
        <f t="shared" si="80"/>
        <v/>
      </c>
      <c r="AW90" s="3442" t="str">
        <f t="shared" si="80"/>
        <v/>
      </c>
      <c r="AX90" s="1771" t="str">
        <f t="shared" si="82"/>
        <v/>
      </c>
      <c r="AY90" s="1771" t="str">
        <f t="shared" si="82"/>
        <v/>
      </c>
      <c r="AZ90" s="1771" t="str">
        <f t="shared" si="82"/>
        <v/>
      </c>
      <c r="BA90" s="1771" t="str">
        <f t="shared" si="82"/>
        <v/>
      </c>
      <c r="BB90" s="3437" t="str">
        <f t="shared" si="82"/>
        <v/>
      </c>
      <c r="BC90" s="3443" t="str">
        <f t="shared" si="82"/>
        <v/>
      </c>
      <c r="BD90" s="3462"/>
      <c r="BE90" s="3440" t="str">
        <f>IF(J90=J319,"stop","")</f>
        <v/>
      </c>
      <c r="BF90" s="1771" t="str">
        <f t="shared" si="83"/>
        <v/>
      </c>
      <c r="BG90" s="1771" t="str">
        <f t="shared" si="83"/>
        <v/>
      </c>
      <c r="BH90" s="1771" t="str">
        <f t="shared" si="83"/>
        <v/>
      </c>
      <c r="BI90" s="1771" t="str">
        <f t="shared" si="83"/>
        <v/>
      </c>
      <c r="BJ90" s="3443" t="str">
        <f t="shared" si="83"/>
        <v/>
      </c>
      <c r="BK90" s="3437" t="str">
        <f t="shared" si="84"/>
        <v/>
      </c>
      <c r="BL90" s="1771" t="str">
        <f t="shared" si="84"/>
        <v/>
      </c>
      <c r="BM90" s="3442">
        <f t="shared" si="84"/>
        <v>0.2449489742783178</v>
      </c>
      <c r="BN90" s="1771" t="str">
        <f t="shared" si="83"/>
        <v/>
      </c>
      <c r="BO90" s="1771" t="str">
        <f t="shared" si="83"/>
        <v/>
      </c>
      <c r="BP90" s="1771" t="str">
        <f t="shared" si="83"/>
        <v/>
      </c>
      <c r="BQ90" s="1771" t="str">
        <f t="shared" si="83"/>
        <v/>
      </c>
      <c r="BR90" s="3437" t="str">
        <f t="shared" si="85"/>
        <v/>
      </c>
      <c r="BS90" s="1771" t="str">
        <f t="shared" si="85"/>
        <v/>
      </c>
      <c r="BT90" s="1771" t="str">
        <f t="shared" si="85"/>
        <v/>
      </c>
      <c r="BU90" s="3442" t="str">
        <f t="shared" si="85"/>
        <v/>
      </c>
      <c r="BV90" s="1771" t="str">
        <f t="shared" si="85"/>
        <v/>
      </c>
      <c r="BW90" s="3442" t="str">
        <f t="shared" si="85"/>
        <v/>
      </c>
      <c r="BX90" s="3462"/>
      <c r="BY90" s="3439" t="str">
        <f>IF(L90=L319,"stop","")</f>
        <v/>
      </c>
      <c r="BZ90" s="3437" t="str">
        <f t="shared" si="86"/>
        <v/>
      </c>
      <c r="CA90" s="1771" t="str">
        <f t="shared" si="86"/>
        <v/>
      </c>
      <c r="CB90" s="1771" t="str">
        <f t="shared" si="86"/>
        <v/>
      </c>
      <c r="CC90" s="3442" t="str">
        <f t="shared" si="86"/>
        <v/>
      </c>
      <c r="CD90" s="1771" t="str">
        <f t="shared" si="86"/>
        <v/>
      </c>
      <c r="CE90" s="3437" t="str">
        <f t="shared" si="87"/>
        <v/>
      </c>
      <c r="CF90" s="1771" t="str">
        <f t="shared" si="87"/>
        <v/>
      </c>
      <c r="CG90" s="1771">
        <f t="shared" si="87"/>
        <v>0.25</v>
      </c>
      <c r="CH90" s="3437" t="str">
        <f t="shared" si="86"/>
        <v/>
      </c>
      <c r="CI90" s="1771" t="str">
        <f t="shared" si="86"/>
        <v/>
      </c>
      <c r="CJ90" s="1771" t="str">
        <f t="shared" si="86"/>
        <v/>
      </c>
      <c r="CK90" s="3442" t="str">
        <f t="shared" si="86"/>
        <v/>
      </c>
      <c r="CL90" s="3437" t="str">
        <f t="shared" si="88"/>
        <v/>
      </c>
      <c r="CM90" s="1771" t="str">
        <f t="shared" si="88"/>
        <v/>
      </c>
      <c r="CN90" s="1771" t="str">
        <f t="shared" si="88"/>
        <v/>
      </c>
      <c r="CO90" s="3442" t="str">
        <f t="shared" si="88"/>
        <v/>
      </c>
      <c r="CP90" s="1771" t="str">
        <f t="shared" si="88"/>
        <v/>
      </c>
      <c r="CQ90" s="3442" t="str">
        <f t="shared" si="88"/>
        <v/>
      </c>
      <c r="CR90" s="3462"/>
    </row>
    <row r="91" spans="1:96" s="3" customFormat="1">
      <c r="A91" s="1848" t="s">
        <v>697</v>
      </c>
      <c r="B91" s="816">
        <v>10</v>
      </c>
      <c r="C91" s="816">
        <v>10</v>
      </c>
      <c r="D91" s="816">
        <v>0.5</v>
      </c>
      <c r="E91" s="1804" t="s">
        <v>1083</v>
      </c>
      <c r="F91" s="816">
        <v>0.5</v>
      </c>
      <c r="G91" s="816" t="s">
        <v>695</v>
      </c>
      <c r="H91" s="816">
        <v>1996</v>
      </c>
      <c r="I91" s="50"/>
      <c r="J91" s="816">
        <f t="shared" si="62"/>
        <v>10</v>
      </c>
      <c r="K91" s="816">
        <v>0.5</v>
      </c>
      <c r="L91" s="816"/>
      <c r="M91" s="816">
        <v>0.5</v>
      </c>
      <c r="N91" s="845">
        <f t="shared" si="90"/>
        <v>0.5</v>
      </c>
      <c r="O91" s="1831">
        <f t="shared" si="91"/>
        <v>0.5</v>
      </c>
      <c r="P91" s="825" t="s">
        <v>1087</v>
      </c>
      <c r="Q91" s="3" t="str">
        <f>IF(J91=J319,"stop","")</f>
        <v/>
      </c>
      <c r="R91" s="3437" t="str">
        <f t="shared" si="61"/>
        <v/>
      </c>
      <c r="S91" s="1771" t="str">
        <f t="shared" si="61"/>
        <v/>
      </c>
      <c r="T91" s="1771" t="str">
        <f t="shared" si="61"/>
        <v/>
      </c>
      <c r="U91" s="1771" t="str">
        <f t="shared" si="61"/>
        <v/>
      </c>
      <c r="V91" s="3443" t="str">
        <f t="shared" si="61"/>
        <v/>
      </c>
      <c r="W91" s="1771" t="str">
        <f t="shared" si="79"/>
        <v/>
      </c>
      <c r="X91" s="1771" t="str">
        <f t="shared" si="79"/>
        <v/>
      </c>
      <c r="Y91" s="1771">
        <f t="shared" si="79"/>
        <v>0.5</v>
      </c>
      <c r="Z91" s="3437" t="str">
        <f t="shared" si="61"/>
        <v/>
      </c>
      <c r="AA91" s="1771" t="str">
        <f t="shared" si="61"/>
        <v/>
      </c>
      <c r="AB91" s="1771" t="str">
        <f t="shared" si="61"/>
        <v/>
      </c>
      <c r="AC91" s="3442" t="str">
        <f t="shared" si="61"/>
        <v/>
      </c>
      <c r="AD91" s="1771" t="str">
        <f t="shared" si="61"/>
        <v/>
      </c>
      <c r="AE91" s="1771" t="str">
        <f t="shared" si="61"/>
        <v/>
      </c>
      <c r="AF91" s="1771" t="str">
        <f t="shared" si="61"/>
        <v/>
      </c>
      <c r="AG91" s="3442" t="str">
        <f t="shared" si="61"/>
        <v/>
      </c>
      <c r="AH91" s="1771" t="str">
        <f t="shared" si="89"/>
        <v/>
      </c>
      <c r="AI91" s="3442" t="str">
        <f t="shared" si="89"/>
        <v/>
      </c>
      <c r="AJ91" s="3462"/>
      <c r="AK91" s="3439" t="str">
        <f>IF(J91=J319,"stop","")</f>
        <v/>
      </c>
      <c r="AL91" s="3437" t="str">
        <f t="shared" si="80"/>
        <v/>
      </c>
      <c r="AM91" s="1771" t="str">
        <f t="shared" si="80"/>
        <v/>
      </c>
      <c r="AN91" s="1771" t="str">
        <f t="shared" si="80"/>
        <v/>
      </c>
      <c r="AO91" s="1771" t="str">
        <f t="shared" si="80"/>
        <v/>
      </c>
      <c r="AP91" s="3443" t="str">
        <f t="shared" si="80"/>
        <v/>
      </c>
      <c r="AQ91" s="1771" t="str">
        <f t="shared" si="81"/>
        <v/>
      </c>
      <c r="AR91" s="1771" t="str">
        <f t="shared" si="81"/>
        <v/>
      </c>
      <c r="AS91" s="3442">
        <f t="shared" si="81"/>
        <v>0.5</v>
      </c>
      <c r="AT91" s="1771" t="str">
        <f t="shared" si="80"/>
        <v/>
      </c>
      <c r="AU91" s="1771" t="str">
        <f t="shared" si="80"/>
        <v/>
      </c>
      <c r="AV91" s="1771" t="str">
        <f t="shared" si="80"/>
        <v/>
      </c>
      <c r="AW91" s="3442" t="str">
        <f t="shared" si="80"/>
        <v/>
      </c>
      <c r="AX91" s="1771" t="str">
        <f t="shared" si="82"/>
        <v/>
      </c>
      <c r="AY91" s="1771" t="str">
        <f t="shared" si="82"/>
        <v/>
      </c>
      <c r="AZ91" s="1771" t="str">
        <f t="shared" si="82"/>
        <v/>
      </c>
      <c r="BA91" s="1771" t="str">
        <f t="shared" si="82"/>
        <v/>
      </c>
      <c r="BB91" s="3437" t="str">
        <f t="shared" si="82"/>
        <v/>
      </c>
      <c r="BC91" s="3443" t="str">
        <f t="shared" si="82"/>
        <v/>
      </c>
      <c r="BD91" s="3462"/>
      <c r="BE91" s="3440" t="str">
        <f>IF(J91=J319,"stop","")</f>
        <v/>
      </c>
      <c r="BF91" s="1771" t="str">
        <f t="shared" si="83"/>
        <v/>
      </c>
      <c r="BG91" s="1771" t="str">
        <f t="shared" si="83"/>
        <v/>
      </c>
      <c r="BH91" s="1771" t="str">
        <f t="shared" si="83"/>
        <v/>
      </c>
      <c r="BI91" s="1771" t="str">
        <f t="shared" si="83"/>
        <v/>
      </c>
      <c r="BJ91" s="3443" t="str">
        <f t="shared" si="83"/>
        <v/>
      </c>
      <c r="BK91" s="3437" t="str">
        <f t="shared" si="84"/>
        <v/>
      </c>
      <c r="BL91" s="1771" t="str">
        <f t="shared" si="84"/>
        <v/>
      </c>
      <c r="BM91" s="3442">
        <f t="shared" si="84"/>
        <v>0.5</v>
      </c>
      <c r="BN91" s="1771" t="str">
        <f t="shared" si="83"/>
        <v/>
      </c>
      <c r="BO91" s="1771" t="str">
        <f t="shared" si="83"/>
        <v/>
      </c>
      <c r="BP91" s="1771" t="str">
        <f t="shared" si="83"/>
        <v/>
      </c>
      <c r="BQ91" s="1771" t="str">
        <f t="shared" si="83"/>
        <v/>
      </c>
      <c r="BR91" s="3437" t="str">
        <f t="shared" si="85"/>
        <v/>
      </c>
      <c r="BS91" s="1771" t="str">
        <f t="shared" si="85"/>
        <v/>
      </c>
      <c r="BT91" s="1771" t="str">
        <f t="shared" si="85"/>
        <v/>
      </c>
      <c r="BU91" s="3442" t="str">
        <f t="shared" si="85"/>
        <v/>
      </c>
      <c r="BV91" s="1771" t="str">
        <f t="shared" si="85"/>
        <v/>
      </c>
      <c r="BW91" s="3442" t="str">
        <f t="shared" si="85"/>
        <v/>
      </c>
      <c r="BX91" s="3462"/>
      <c r="BY91" s="3439" t="str">
        <f>IF(L91=L319,"stop","")</f>
        <v>stop</v>
      </c>
      <c r="BZ91" s="3437" t="str">
        <f t="shared" si="86"/>
        <v/>
      </c>
      <c r="CA91" s="1771" t="str">
        <f t="shared" si="86"/>
        <v/>
      </c>
      <c r="CB91" s="1771" t="str">
        <f t="shared" si="86"/>
        <v/>
      </c>
      <c r="CC91" s="3442" t="str">
        <f t="shared" si="86"/>
        <v/>
      </c>
      <c r="CD91" s="1771" t="str">
        <f t="shared" si="86"/>
        <v/>
      </c>
      <c r="CE91" s="3437" t="str">
        <f t="shared" si="87"/>
        <v/>
      </c>
      <c r="CF91" s="1771" t="str">
        <f t="shared" si="87"/>
        <v/>
      </c>
      <c r="CG91" s="1771">
        <f t="shared" si="87"/>
        <v>0.5</v>
      </c>
      <c r="CH91" s="3437" t="str">
        <f t="shared" si="86"/>
        <v/>
      </c>
      <c r="CI91" s="1771" t="str">
        <f t="shared" si="86"/>
        <v/>
      </c>
      <c r="CJ91" s="1771" t="str">
        <f t="shared" si="86"/>
        <v/>
      </c>
      <c r="CK91" s="3442" t="str">
        <f t="shared" si="86"/>
        <v/>
      </c>
      <c r="CL91" s="3437" t="str">
        <f t="shared" si="88"/>
        <v/>
      </c>
      <c r="CM91" s="1771" t="str">
        <f t="shared" si="88"/>
        <v/>
      </c>
      <c r="CN91" s="1771" t="str">
        <f t="shared" si="88"/>
        <v/>
      </c>
      <c r="CO91" s="3442" t="str">
        <f t="shared" si="88"/>
        <v/>
      </c>
      <c r="CP91" s="1771" t="str">
        <f t="shared" si="88"/>
        <v/>
      </c>
      <c r="CQ91" s="3442" t="str">
        <f t="shared" si="88"/>
        <v/>
      </c>
      <c r="CR91" s="3462"/>
    </row>
    <row r="92" spans="1:96" s="3" customFormat="1">
      <c r="A92" s="1848" t="s">
        <v>698</v>
      </c>
      <c r="B92" s="816">
        <v>11</v>
      </c>
      <c r="C92" s="816">
        <v>11</v>
      </c>
      <c r="D92" s="816">
        <v>0.8</v>
      </c>
      <c r="E92" s="1802" t="s">
        <v>35</v>
      </c>
      <c r="F92" s="816">
        <v>0.9</v>
      </c>
      <c r="G92" s="816" t="s">
        <v>695</v>
      </c>
      <c r="H92" s="816">
        <v>1996</v>
      </c>
      <c r="I92" s="50"/>
      <c r="J92" s="816">
        <f t="shared" si="62"/>
        <v>11</v>
      </c>
      <c r="K92" s="816">
        <v>0.8</v>
      </c>
      <c r="L92" s="816" t="s">
        <v>35</v>
      </c>
      <c r="M92" s="816">
        <v>0.9</v>
      </c>
      <c r="N92" s="845">
        <f t="shared" si="90"/>
        <v>0.84852813742385713</v>
      </c>
      <c r="O92" s="1831">
        <f t="shared" si="91"/>
        <v>0.85000000000000009</v>
      </c>
      <c r="P92" s="825" t="s">
        <v>1087</v>
      </c>
      <c r="Q92" s="3" t="str">
        <f>IF(J92=J319,"stop","")</f>
        <v/>
      </c>
      <c r="R92" s="3437" t="str">
        <f t="shared" si="61"/>
        <v/>
      </c>
      <c r="S92" s="1771" t="str">
        <f t="shared" si="61"/>
        <v/>
      </c>
      <c r="T92" s="1771" t="str">
        <f t="shared" si="61"/>
        <v/>
      </c>
      <c r="U92" s="1771" t="str">
        <f t="shared" si="61"/>
        <v/>
      </c>
      <c r="V92" s="3443" t="str">
        <f t="shared" si="61"/>
        <v/>
      </c>
      <c r="W92" s="1771" t="str">
        <f t="shared" si="79"/>
        <v/>
      </c>
      <c r="X92" s="1771" t="str">
        <f t="shared" si="79"/>
        <v/>
      </c>
      <c r="Y92" s="1771" t="str">
        <f t="shared" si="79"/>
        <v/>
      </c>
      <c r="Z92" s="3437" t="str">
        <f t="shared" si="61"/>
        <v/>
      </c>
      <c r="AA92" s="1771" t="str">
        <f t="shared" si="61"/>
        <v/>
      </c>
      <c r="AB92" s="1771" t="str">
        <f t="shared" si="61"/>
        <v/>
      </c>
      <c r="AC92" s="3442" t="str">
        <f t="shared" si="61"/>
        <v/>
      </c>
      <c r="AD92" s="1771">
        <f t="shared" si="61"/>
        <v>0.8</v>
      </c>
      <c r="AE92" s="1771" t="str">
        <f t="shared" si="61"/>
        <v/>
      </c>
      <c r="AF92" s="1771" t="str">
        <f t="shared" si="61"/>
        <v/>
      </c>
      <c r="AG92" s="3442" t="str">
        <f t="shared" si="61"/>
        <v/>
      </c>
      <c r="AH92" s="1771" t="str">
        <f t="shared" si="89"/>
        <v/>
      </c>
      <c r="AI92" s="3442" t="str">
        <f t="shared" si="89"/>
        <v/>
      </c>
      <c r="AJ92" s="3462"/>
      <c r="AK92" s="3439" t="str">
        <f>IF(J92=J319,"stop","")</f>
        <v/>
      </c>
      <c r="AL92" s="3437" t="str">
        <f t="shared" si="80"/>
        <v/>
      </c>
      <c r="AM92" s="1771" t="str">
        <f t="shared" si="80"/>
        <v/>
      </c>
      <c r="AN92" s="1771" t="str">
        <f t="shared" si="80"/>
        <v/>
      </c>
      <c r="AO92" s="1771" t="str">
        <f t="shared" si="80"/>
        <v/>
      </c>
      <c r="AP92" s="3443" t="str">
        <f t="shared" si="80"/>
        <v/>
      </c>
      <c r="AQ92" s="1771" t="str">
        <f t="shared" si="81"/>
        <v/>
      </c>
      <c r="AR92" s="1771" t="str">
        <f t="shared" si="81"/>
        <v/>
      </c>
      <c r="AS92" s="3442" t="str">
        <f t="shared" si="81"/>
        <v/>
      </c>
      <c r="AT92" s="1771" t="str">
        <f t="shared" si="80"/>
        <v/>
      </c>
      <c r="AU92" s="1771" t="str">
        <f t="shared" si="80"/>
        <v/>
      </c>
      <c r="AV92" s="1771" t="str">
        <f t="shared" si="80"/>
        <v/>
      </c>
      <c r="AW92" s="3442" t="str">
        <f t="shared" si="80"/>
        <v/>
      </c>
      <c r="AX92" s="1771">
        <f t="shared" si="82"/>
        <v>0.9</v>
      </c>
      <c r="AY92" s="1771" t="str">
        <f t="shared" si="82"/>
        <v/>
      </c>
      <c r="AZ92" s="1771" t="str">
        <f t="shared" si="82"/>
        <v/>
      </c>
      <c r="BA92" s="1771" t="str">
        <f t="shared" si="82"/>
        <v/>
      </c>
      <c r="BB92" s="3437" t="str">
        <f t="shared" si="82"/>
        <v/>
      </c>
      <c r="BC92" s="3443" t="str">
        <f t="shared" si="82"/>
        <v/>
      </c>
      <c r="BD92" s="3462"/>
      <c r="BE92" s="3440" t="str">
        <f>IF(J92=J319,"stop","")</f>
        <v/>
      </c>
      <c r="BF92" s="1771" t="str">
        <f t="shared" si="83"/>
        <v/>
      </c>
      <c r="BG92" s="1771" t="str">
        <f t="shared" si="83"/>
        <v/>
      </c>
      <c r="BH92" s="1771" t="str">
        <f t="shared" si="83"/>
        <v/>
      </c>
      <c r="BI92" s="1771" t="str">
        <f t="shared" si="83"/>
        <v/>
      </c>
      <c r="BJ92" s="3443" t="str">
        <f t="shared" si="83"/>
        <v/>
      </c>
      <c r="BK92" s="3437" t="str">
        <f t="shared" si="84"/>
        <v/>
      </c>
      <c r="BL92" s="1771" t="str">
        <f t="shared" si="84"/>
        <v/>
      </c>
      <c r="BM92" s="3442" t="str">
        <f t="shared" si="84"/>
        <v/>
      </c>
      <c r="BN92" s="1771" t="str">
        <f t="shared" si="83"/>
        <v/>
      </c>
      <c r="BO92" s="1771" t="str">
        <f t="shared" si="83"/>
        <v/>
      </c>
      <c r="BP92" s="1771" t="str">
        <f t="shared" si="83"/>
        <v/>
      </c>
      <c r="BQ92" s="1771" t="str">
        <f t="shared" si="83"/>
        <v/>
      </c>
      <c r="BR92" s="3437">
        <f t="shared" si="85"/>
        <v>0.84852813742385713</v>
      </c>
      <c r="BS92" s="1771" t="str">
        <f t="shared" si="85"/>
        <v/>
      </c>
      <c r="BT92" s="1771" t="str">
        <f t="shared" si="85"/>
        <v/>
      </c>
      <c r="BU92" s="3442" t="str">
        <f t="shared" si="85"/>
        <v/>
      </c>
      <c r="BV92" s="1771" t="str">
        <f t="shared" si="85"/>
        <v/>
      </c>
      <c r="BW92" s="3442" t="str">
        <f t="shared" si="85"/>
        <v/>
      </c>
      <c r="BX92" s="3462"/>
      <c r="BY92" s="3439" t="str">
        <f>IF(L92=L319,"stop","")</f>
        <v/>
      </c>
      <c r="BZ92" s="3437" t="str">
        <f t="shared" si="86"/>
        <v/>
      </c>
      <c r="CA92" s="1771" t="str">
        <f t="shared" si="86"/>
        <v/>
      </c>
      <c r="CB92" s="1771" t="str">
        <f t="shared" si="86"/>
        <v/>
      </c>
      <c r="CC92" s="3442" t="str">
        <f t="shared" si="86"/>
        <v/>
      </c>
      <c r="CD92" s="1771" t="str">
        <f t="shared" si="86"/>
        <v/>
      </c>
      <c r="CE92" s="3437" t="str">
        <f t="shared" si="87"/>
        <v/>
      </c>
      <c r="CF92" s="1771" t="str">
        <f t="shared" si="87"/>
        <v/>
      </c>
      <c r="CG92" s="1771" t="str">
        <f t="shared" si="87"/>
        <v/>
      </c>
      <c r="CH92" s="3437" t="str">
        <f t="shared" si="86"/>
        <v/>
      </c>
      <c r="CI92" s="1771" t="str">
        <f t="shared" si="86"/>
        <v/>
      </c>
      <c r="CJ92" s="1771" t="str">
        <f t="shared" si="86"/>
        <v/>
      </c>
      <c r="CK92" s="3442" t="str">
        <f t="shared" si="86"/>
        <v/>
      </c>
      <c r="CL92" s="3437">
        <f t="shared" si="88"/>
        <v>0.85000000000000009</v>
      </c>
      <c r="CM92" s="1771" t="str">
        <f t="shared" si="88"/>
        <v/>
      </c>
      <c r="CN92" s="1771" t="str">
        <f t="shared" si="88"/>
        <v/>
      </c>
      <c r="CO92" s="3442" t="str">
        <f t="shared" si="88"/>
        <v/>
      </c>
      <c r="CP92" s="1771" t="str">
        <f t="shared" si="88"/>
        <v/>
      </c>
      <c r="CQ92" s="3442" t="str">
        <f t="shared" si="88"/>
        <v/>
      </c>
      <c r="CR92" s="3462"/>
    </row>
    <row r="93" spans="1:96" s="3" customFormat="1">
      <c r="A93" s="1848" t="s">
        <v>699</v>
      </c>
      <c r="B93" s="816">
        <v>12</v>
      </c>
      <c r="C93" s="816">
        <v>12</v>
      </c>
      <c r="D93" s="816">
        <v>0.84</v>
      </c>
      <c r="E93" s="1802" t="s">
        <v>35</v>
      </c>
      <c r="F93" s="816">
        <v>1.2</v>
      </c>
      <c r="G93" s="816" t="s">
        <v>695</v>
      </c>
      <c r="H93" s="816">
        <v>1996</v>
      </c>
      <c r="I93" s="50"/>
      <c r="J93" s="816">
        <f t="shared" si="62"/>
        <v>12</v>
      </c>
      <c r="K93" s="816">
        <v>0.84</v>
      </c>
      <c r="L93" s="816" t="s">
        <v>35</v>
      </c>
      <c r="M93" s="816">
        <v>1.2</v>
      </c>
      <c r="N93" s="845">
        <f t="shared" si="90"/>
        <v>1.0039920318408906</v>
      </c>
      <c r="O93" s="1831">
        <f t="shared" si="91"/>
        <v>1.02</v>
      </c>
      <c r="P93" s="825" t="s">
        <v>1087</v>
      </c>
      <c r="Q93" s="3" t="str">
        <f>IF(J93=J319,"stop","")</f>
        <v/>
      </c>
      <c r="R93" s="3437" t="str">
        <f t="shared" si="61"/>
        <v/>
      </c>
      <c r="S93" s="1771" t="str">
        <f t="shared" si="61"/>
        <v/>
      </c>
      <c r="T93" s="1771" t="str">
        <f t="shared" si="61"/>
        <v/>
      </c>
      <c r="U93" s="1771" t="str">
        <f t="shared" si="61"/>
        <v/>
      </c>
      <c r="V93" s="3443" t="str">
        <f t="shared" si="61"/>
        <v/>
      </c>
      <c r="W93" s="1771" t="str">
        <f t="shared" si="79"/>
        <v/>
      </c>
      <c r="X93" s="1771" t="str">
        <f t="shared" si="79"/>
        <v/>
      </c>
      <c r="Y93" s="1771" t="str">
        <f t="shared" si="79"/>
        <v/>
      </c>
      <c r="Z93" s="3437" t="str">
        <f t="shared" si="61"/>
        <v/>
      </c>
      <c r="AA93" s="1771" t="str">
        <f t="shared" si="61"/>
        <v/>
      </c>
      <c r="AB93" s="1771" t="str">
        <f t="shared" si="61"/>
        <v/>
      </c>
      <c r="AC93" s="3442" t="str">
        <f t="shared" si="61"/>
        <v/>
      </c>
      <c r="AD93" s="1771">
        <f t="shared" si="61"/>
        <v>0.84</v>
      </c>
      <c r="AE93" s="1771" t="str">
        <f t="shared" si="61"/>
        <v/>
      </c>
      <c r="AF93" s="1771" t="str">
        <f t="shared" si="61"/>
        <v/>
      </c>
      <c r="AG93" s="3442" t="str">
        <f t="shared" si="61"/>
        <v/>
      </c>
      <c r="AH93" s="1771" t="str">
        <f t="shared" si="89"/>
        <v/>
      </c>
      <c r="AI93" s="3442" t="str">
        <f t="shared" si="89"/>
        <v/>
      </c>
      <c r="AJ93" s="3462"/>
      <c r="AK93" s="3439" t="str">
        <f>IF(J93=J319,"stop","")</f>
        <v/>
      </c>
      <c r="AL93" s="3437" t="str">
        <f t="shared" si="80"/>
        <v/>
      </c>
      <c r="AM93" s="1771" t="str">
        <f t="shared" si="80"/>
        <v/>
      </c>
      <c r="AN93" s="1771" t="str">
        <f t="shared" si="80"/>
        <v/>
      </c>
      <c r="AO93" s="1771" t="str">
        <f t="shared" si="80"/>
        <v/>
      </c>
      <c r="AP93" s="3443" t="str">
        <f t="shared" si="80"/>
        <v/>
      </c>
      <c r="AQ93" s="1771" t="str">
        <f t="shared" si="81"/>
        <v/>
      </c>
      <c r="AR93" s="1771" t="str">
        <f t="shared" si="81"/>
        <v/>
      </c>
      <c r="AS93" s="3442" t="str">
        <f t="shared" si="81"/>
        <v/>
      </c>
      <c r="AT93" s="1771" t="str">
        <f t="shared" si="80"/>
        <v/>
      </c>
      <c r="AU93" s="1771" t="str">
        <f t="shared" si="80"/>
        <v/>
      </c>
      <c r="AV93" s="1771" t="str">
        <f t="shared" si="80"/>
        <v/>
      </c>
      <c r="AW93" s="3442" t="str">
        <f t="shared" si="80"/>
        <v/>
      </c>
      <c r="AX93" s="1771">
        <f t="shared" si="82"/>
        <v>1.2</v>
      </c>
      <c r="AY93" s="1771" t="str">
        <f t="shared" si="82"/>
        <v/>
      </c>
      <c r="AZ93" s="1771" t="str">
        <f t="shared" si="82"/>
        <v/>
      </c>
      <c r="BA93" s="1771" t="str">
        <f t="shared" si="82"/>
        <v/>
      </c>
      <c r="BB93" s="3437" t="str">
        <f t="shared" si="82"/>
        <v/>
      </c>
      <c r="BC93" s="3443" t="str">
        <f t="shared" si="82"/>
        <v/>
      </c>
      <c r="BD93" s="3462"/>
      <c r="BE93" s="3440" t="str">
        <f>IF(J93=J319,"stop","")</f>
        <v/>
      </c>
      <c r="BF93" s="1771" t="str">
        <f t="shared" si="83"/>
        <v/>
      </c>
      <c r="BG93" s="1771" t="str">
        <f t="shared" si="83"/>
        <v/>
      </c>
      <c r="BH93" s="1771" t="str">
        <f t="shared" si="83"/>
        <v/>
      </c>
      <c r="BI93" s="1771" t="str">
        <f t="shared" si="83"/>
        <v/>
      </c>
      <c r="BJ93" s="3443" t="str">
        <f t="shared" si="83"/>
        <v/>
      </c>
      <c r="BK93" s="3437" t="str">
        <f t="shared" si="84"/>
        <v/>
      </c>
      <c r="BL93" s="1771" t="str">
        <f t="shared" si="84"/>
        <v/>
      </c>
      <c r="BM93" s="3442" t="str">
        <f t="shared" si="84"/>
        <v/>
      </c>
      <c r="BN93" s="1771" t="str">
        <f t="shared" si="83"/>
        <v/>
      </c>
      <c r="BO93" s="1771" t="str">
        <f t="shared" si="83"/>
        <v/>
      </c>
      <c r="BP93" s="1771" t="str">
        <f t="shared" si="83"/>
        <v/>
      </c>
      <c r="BQ93" s="1771" t="str">
        <f t="shared" si="83"/>
        <v/>
      </c>
      <c r="BR93" s="3437">
        <f t="shared" si="85"/>
        <v>1.0039920318408906</v>
      </c>
      <c r="BS93" s="1771" t="str">
        <f t="shared" si="85"/>
        <v/>
      </c>
      <c r="BT93" s="1771" t="str">
        <f t="shared" si="85"/>
        <v/>
      </c>
      <c r="BU93" s="3442" t="str">
        <f t="shared" si="85"/>
        <v/>
      </c>
      <c r="BV93" s="1771" t="str">
        <f t="shared" si="85"/>
        <v/>
      </c>
      <c r="BW93" s="3442" t="str">
        <f t="shared" si="85"/>
        <v/>
      </c>
      <c r="BX93" s="3462"/>
      <c r="BY93" s="3439" t="str">
        <f>IF(L93=L319,"stop","")</f>
        <v/>
      </c>
      <c r="BZ93" s="3437" t="str">
        <f t="shared" si="86"/>
        <v/>
      </c>
      <c r="CA93" s="1771" t="str">
        <f t="shared" si="86"/>
        <v/>
      </c>
      <c r="CB93" s="1771" t="str">
        <f t="shared" si="86"/>
        <v/>
      </c>
      <c r="CC93" s="3442" t="str">
        <f t="shared" si="86"/>
        <v/>
      </c>
      <c r="CD93" s="1771" t="str">
        <f t="shared" si="86"/>
        <v/>
      </c>
      <c r="CE93" s="3437" t="str">
        <f t="shared" si="87"/>
        <v/>
      </c>
      <c r="CF93" s="1771" t="str">
        <f t="shared" si="87"/>
        <v/>
      </c>
      <c r="CG93" s="1771" t="str">
        <f t="shared" si="87"/>
        <v/>
      </c>
      <c r="CH93" s="3437" t="str">
        <f t="shared" si="86"/>
        <v/>
      </c>
      <c r="CI93" s="1771" t="str">
        <f t="shared" si="86"/>
        <v/>
      </c>
      <c r="CJ93" s="1771" t="str">
        <f t="shared" si="86"/>
        <v/>
      </c>
      <c r="CK93" s="3442" t="str">
        <f t="shared" si="86"/>
        <v/>
      </c>
      <c r="CL93" s="3437">
        <f t="shared" si="88"/>
        <v>1.02</v>
      </c>
      <c r="CM93" s="1771" t="str">
        <f t="shared" si="88"/>
        <v/>
      </c>
      <c r="CN93" s="1771" t="str">
        <f t="shared" si="88"/>
        <v/>
      </c>
      <c r="CO93" s="3442" t="str">
        <f t="shared" si="88"/>
        <v/>
      </c>
      <c r="CP93" s="1771" t="str">
        <f t="shared" si="88"/>
        <v/>
      </c>
      <c r="CQ93" s="3442" t="str">
        <f t="shared" si="88"/>
        <v/>
      </c>
      <c r="CR93" s="3462"/>
    </row>
    <row r="94" spans="1:96" s="3" customFormat="1">
      <c r="A94" s="1848" t="s">
        <v>700</v>
      </c>
      <c r="B94" s="816">
        <v>13</v>
      </c>
      <c r="C94" s="816">
        <v>13</v>
      </c>
      <c r="D94" s="816">
        <v>0.96</v>
      </c>
      <c r="E94" s="1802" t="s">
        <v>35</v>
      </c>
      <c r="F94" s="816">
        <v>2</v>
      </c>
      <c r="G94" s="816" t="s">
        <v>695</v>
      </c>
      <c r="H94" s="816">
        <v>1996</v>
      </c>
      <c r="I94" s="50"/>
      <c r="J94" s="816">
        <f t="shared" si="62"/>
        <v>13</v>
      </c>
      <c r="K94" s="816">
        <v>0.96</v>
      </c>
      <c r="L94" s="816" t="s">
        <v>35</v>
      </c>
      <c r="M94" s="816">
        <v>2</v>
      </c>
      <c r="N94" s="845">
        <f t="shared" si="90"/>
        <v>1.3856406460551018</v>
      </c>
      <c r="O94" s="1831">
        <f t="shared" si="91"/>
        <v>1.48</v>
      </c>
      <c r="P94" s="825" t="s">
        <v>1087</v>
      </c>
      <c r="Q94" s="3" t="str">
        <f>IF(J94=J319,"stop","")</f>
        <v/>
      </c>
      <c r="R94" s="3437" t="str">
        <f t="shared" si="61"/>
        <v/>
      </c>
      <c r="S94" s="1771" t="str">
        <f t="shared" si="61"/>
        <v/>
      </c>
      <c r="T94" s="1771" t="str">
        <f t="shared" si="61"/>
        <v/>
      </c>
      <c r="U94" s="1771" t="str">
        <f t="shared" si="61"/>
        <v/>
      </c>
      <c r="V94" s="3443" t="str">
        <f t="shared" si="61"/>
        <v/>
      </c>
      <c r="W94" s="1771" t="str">
        <f t="shared" si="79"/>
        <v/>
      </c>
      <c r="X94" s="1771" t="str">
        <f t="shared" si="79"/>
        <v/>
      </c>
      <c r="Y94" s="1771" t="str">
        <f t="shared" si="79"/>
        <v/>
      </c>
      <c r="Z94" s="3437" t="str">
        <f t="shared" si="61"/>
        <v/>
      </c>
      <c r="AA94" s="1771" t="str">
        <f t="shared" si="61"/>
        <v/>
      </c>
      <c r="AB94" s="1771" t="str">
        <f t="shared" si="61"/>
        <v/>
      </c>
      <c r="AC94" s="3442" t="str">
        <f t="shared" si="61"/>
        <v/>
      </c>
      <c r="AD94" s="1771" t="str">
        <f t="shared" si="61"/>
        <v/>
      </c>
      <c r="AE94" s="1771">
        <f t="shared" si="61"/>
        <v>0.96</v>
      </c>
      <c r="AF94" s="1771" t="str">
        <f t="shared" si="61"/>
        <v/>
      </c>
      <c r="AG94" s="3442" t="str">
        <f t="shared" si="61"/>
        <v/>
      </c>
      <c r="AH94" s="1771" t="str">
        <f t="shared" si="89"/>
        <v/>
      </c>
      <c r="AI94" s="3442" t="str">
        <f t="shared" si="89"/>
        <v/>
      </c>
      <c r="AJ94" s="3462"/>
      <c r="AK94" s="3439" t="str">
        <f>IF(J94=J319,"stop","")</f>
        <v/>
      </c>
      <c r="AL94" s="3437" t="str">
        <f t="shared" si="80"/>
        <v/>
      </c>
      <c r="AM94" s="1771" t="str">
        <f t="shared" si="80"/>
        <v/>
      </c>
      <c r="AN94" s="1771" t="str">
        <f t="shared" si="80"/>
        <v/>
      </c>
      <c r="AO94" s="1771" t="str">
        <f t="shared" si="80"/>
        <v/>
      </c>
      <c r="AP94" s="3443" t="str">
        <f t="shared" si="80"/>
        <v/>
      </c>
      <c r="AQ94" s="1771" t="str">
        <f t="shared" si="81"/>
        <v/>
      </c>
      <c r="AR94" s="1771" t="str">
        <f t="shared" si="81"/>
        <v/>
      </c>
      <c r="AS94" s="3442" t="str">
        <f t="shared" si="81"/>
        <v/>
      </c>
      <c r="AT94" s="1771" t="str">
        <f t="shared" si="80"/>
        <v/>
      </c>
      <c r="AU94" s="1771" t="str">
        <f t="shared" si="80"/>
        <v/>
      </c>
      <c r="AV94" s="1771" t="str">
        <f t="shared" si="80"/>
        <v/>
      </c>
      <c r="AW94" s="3442" t="str">
        <f t="shared" si="80"/>
        <v/>
      </c>
      <c r="AX94" s="1771" t="str">
        <f t="shared" si="82"/>
        <v/>
      </c>
      <c r="AY94" s="1771">
        <f t="shared" si="82"/>
        <v>2</v>
      </c>
      <c r="AZ94" s="1771" t="str">
        <f t="shared" si="82"/>
        <v/>
      </c>
      <c r="BA94" s="1771" t="str">
        <f t="shared" si="82"/>
        <v/>
      </c>
      <c r="BB94" s="3437" t="str">
        <f t="shared" si="82"/>
        <v/>
      </c>
      <c r="BC94" s="3443" t="str">
        <f t="shared" si="82"/>
        <v/>
      </c>
      <c r="BD94" s="3462"/>
      <c r="BE94" s="3440" t="str">
        <f>IF(J94=J319,"stop","")</f>
        <v/>
      </c>
      <c r="BF94" s="1771" t="str">
        <f t="shared" si="83"/>
        <v/>
      </c>
      <c r="BG94" s="1771" t="str">
        <f t="shared" si="83"/>
        <v/>
      </c>
      <c r="BH94" s="1771" t="str">
        <f t="shared" si="83"/>
        <v/>
      </c>
      <c r="BI94" s="1771" t="str">
        <f t="shared" si="83"/>
        <v/>
      </c>
      <c r="BJ94" s="3443" t="str">
        <f t="shared" si="83"/>
        <v/>
      </c>
      <c r="BK94" s="3437" t="str">
        <f t="shared" si="84"/>
        <v/>
      </c>
      <c r="BL94" s="1771" t="str">
        <f t="shared" si="84"/>
        <v/>
      </c>
      <c r="BM94" s="3442" t="str">
        <f t="shared" si="84"/>
        <v/>
      </c>
      <c r="BN94" s="1771" t="str">
        <f t="shared" si="83"/>
        <v/>
      </c>
      <c r="BO94" s="1771" t="str">
        <f t="shared" si="83"/>
        <v/>
      </c>
      <c r="BP94" s="1771" t="str">
        <f t="shared" si="83"/>
        <v/>
      </c>
      <c r="BQ94" s="1771" t="str">
        <f t="shared" si="83"/>
        <v/>
      </c>
      <c r="BR94" s="3437" t="str">
        <f t="shared" si="85"/>
        <v/>
      </c>
      <c r="BS94" s="1771">
        <f t="shared" si="85"/>
        <v>1.3856406460551018</v>
      </c>
      <c r="BT94" s="1771" t="str">
        <f t="shared" si="85"/>
        <v/>
      </c>
      <c r="BU94" s="3442" t="str">
        <f t="shared" si="85"/>
        <v/>
      </c>
      <c r="BV94" s="1771" t="str">
        <f t="shared" si="85"/>
        <v/>
      </c>
      <c r="BW94" s="3442" t="str">
        <f t="shared" si="85"/>
        <v/>
      </c>
      <c r="BX94" s="3462"/>
      <c r="BY94" s="3439" t="str">
        <f>IF(L94=L319,"stop","")</f>
        <v/>
      </c>
      <c r="BZ94" s="3437" t="str">
        <f t="shared" si="86"/>
        <v/>
      </c>
      <c r="CA94" s="1771" t="str">
        <f t="shared" si="86"/>
        <v/>
      </c>
      <c r="CB94" s="1771" t="str">
        <f t="shared" si="86"/>
        <v/>
      </c>
      <c r="CC94" s="3442" t="str">
        <f t="shared" si="86"/>
        <v/>
      </c>
      <c r="CD94" s="1771" t="str">
        <f t="shared" si="86"/>
        <v/>
      </c>
      <c r="CE94" s="3437" t="str">
        <f t="shared" si="87"/>
        <v/>
      </c>
      <c r="CF94" s="1771" t="str">
        <f t="shared" si="87"/>
        <v/>
      </c>
      <c r="CG94" s="1771" t="str">
        <f t="shared" si="87"/>
        <v/>
      </c>
      <c r="CH94" s="3437" t="str">
        <f t="shared" si="86"/>
        <v/>
      </c>
      <c r="CI94" s="1771" t="str">
        <f t="shared" si="86"/>
        <v/>
      </c>
      <c r="CJ94" s="1771" t="str">
        <f t="shared" si="86"/>
        <v/>
      </c>
      <c r="CK94" s="3442" t="str">
        <f t="shared" si="86"/>
        <v/>
      </c>
      <c r="CL94" s="3437" t="str">
        <f t="shared" si="88"/>
        <v/>
      </c>
      <c r="CM94" s="1771">
        <f t="shared" si="88"/>
        <v>1.48</v>
      </c>
      <c r="CN94" s="1771" t="str">
        <f t="shared" si="88"/>
        <v/>
      </c>
      <c r="CO94" s="3442" t="str">
        <f t="shared" si="88"/>
        <v/>
      </c>
      <c r="CP94" s="1771" t="str">
        <f t="shared" si="88"/>
        <v/>
      </c>
      <c r="CQ94" s="3442" t="str">
        <f t="shared" si="88"/>
        <v/>
      </c>
      <c r="CR94" s="3462"/>
    </row>
    <row r="95" spans="1:96" s="3" customFormat="1">
      <c r="A95" s="1848" t="s">
        <v>701</v>
      </c>
      <c r="B95" s="816">
        <v>14</v>
      </c>
      <c r="C95" s="816">
        <v>14</v>
      </c>
      <c r="D95" s="816">
        <v>1.03</v>
      </c>
      <c r="E95" s="1802" t="s">
        <v>35</v>
      </c>
      <c r="F95" s="816">
        <v>2.5</v>
      </c>
      <c r="G95" s="816" t="s">
        <v>695</v>
      </c>
      <c r="H95" s="816">
        <v>1996</v>
      </c>
      <c r="I95" s="50"/>
      <c r="J95" s="816">
        <f t="shared" si="62"/>
        <v>14</v>
      </c>
      <c r="K95" s="816">
        <v>1.03</v>
      </c>
      <c r="L95" s="816" t="s">
        <v>35</v>
      </c>
      <c r="M95" s="816">
        <v>2.5</v>
      </c>
      <c r="N95" s="845">
        <f t="shared" si="90"/>
        <v>1.6046806535881213</v>
      </c>
      <c r="O95" s="1831">
        <f t="shared" si="91"/>
        <v>1.7650000000000001</v>
      </c>
      <c r="P95" s="825" t="s">
        <v>1087</v>
      </c>
      <c r="Q95" s="3" t="str">
        <f>IF(J95=J319,"stop","")</f>
        <v/>
      </c>
      <c r="R95" s="3437" t="str">
        <f t="shared" si="61"/>
        <v/>
      </c>
      <c r="S95" s="1771" t="str">
        <f t="shared" si="61"/>
        <v/>
      </c>
      <c r="T95" s="1771" t="str">
        <f t="shared" si="61"/>
        <v/>
      </c>
      <c r="U95" s="1771" t="str">
        <f t="shared" si="61"/>
        <v/>
      </c>
      <c r="V95" s="3443" t="str">
        <f t="shared" si="61"/>
        <v/>
      </c>
      <c r="W95" s="1771" t="str">
        <f t="shared" si="79"/>
        <v/>
      </c>
      <c r="X95" s="1771" t="str">
        <f t="shared" si="79"/>
        <v/>
      </c>
      <c r="Y95" s="1771" t="str">
        <f t="shared" si="79"/>
        <v/>
      </c>
      <c r="Z95" s="3437" t="str">
        <f t="shared" si="61"/>
        <v/>
      </c>
      <c r="AA95" s="1771" t="str">
        <f t="shared" si="61"/>
        <v/>
      </c>
      <c r="AB95" s="1771" t="str">
        <f t="shared" si="61"/>
        <v/>
      </c>
      <c r="AC95" s="3442" t="str">
        <f t="shared" si="61"/>
        <v/>
      </c>
      <c r="AD95" s="1771" t="str">
        <f t="shared" si="61"/>
        <v/>
      </c>
      <c r="AE95" s="1771">
        <f t="shared" si="61"/>
        <v>1.03</v>
      </c>
      <c r="AF95" s="1771" t="str">
        <f t="shared" si="61"/>
        <v/>
      </c>
      <c r="AG95" s="3442" t="str">
        <f t="shared" si="61"/>
        <v/>
      </c>
      <c r="AH95" s="1771" t="str">
        <f t="shared" si="89"/>
        <v/>
      </c>
      <c r="AI95" s="3442" t="str">
        <f t="shared" si="89"/>
        <v/>
      </c>
      <c r="AJ95" s="3462"/>
      <c r="AK95" s="3439" t="str">
        <f>IF(J95=J319,"stop","")</f>
        <v/>
      </c>
      <c r="AL95" s="3437" t="str">
        <f t="shared" si="80"/>
        <v/>
      </c>
      <c r="AM95" s="1771" t="str">
        <f t="shared" si="80"/>
        <v/>
      </c>
      <c r="AN95" s="1771" t="str">
        <f t="shared" si="80"/>
        <v/>
      </c>
      <c r="AO95" s="1771" t="str">
        <f t="shared" si="80"/>
        <v/>
      </c>
      <c r="AP95" s="3443" t="str">
        <f t="shared" si="80"/>
        <v/>
      </c>
      <c r="AQ95" s="1771" t="str">
        <f t="shared" si="81"/>
        <v/>
      </c>
      <c r="AR95" s="1771" t="str">
        <f t="shared" si="81"/>
        <v/>
      </c>
      <c r="AS95" s="3442" t="str">
        <f t="shared" si="81"/>
        <v/>
      </c>
      <c r="AT95" s="1771" t="str">
        <f t="shared" si="80"/>
        <v/>
      </c>
      <c r="AU95" s="1771" t="str">
        <f t="shared" si="80"/>
        <v/>
      </c>
      <c r="AV95" s="1771" t="str">
        <f t="shared" si="80"/>
        <v/>
      </c>
      <c r="AW95" s="3442" t="str">
        <f t="shared" si="80"/>
        <v/>
      </c>
      <c r="AX95" s="1771" t="str">
        <f t="shared" si="82"/>
        <v/>
      </c>
      <c r="AY95" s="1771">
        <f t="shared" si="82"/>
        <v>2.5</v>
      </c>
      <c r="AZ95" s="1771" t="str">
        <f t="shared" si="82"/>
        <v/>
      </c>
      <c r="BA95" s="1771" t="str">
        <f t="shared" si="82"/>
        <v/>
      </c>
      <c r="BB95" s="3437" t="str">
        <f t="shared" si="82"/>
        <v/>
      </c>
      <c r="BC95" s="3443" t="str">
        <f t="shared" si="82"/>
        <v/>
      </c>
      <c r="BD95" s="3462"/>
      <c r="BE95" s="3440" t="str">
        <f>IF(J95=J319,"stop","")</f>
        <v/>
      </c>
      <c r="BF95" s="1771" t="str">
        <f t="shared" si="83"/>
        <v/>
      </c>
      <c r="BG95" s="1771" t="str">
        <f t="shared" si="83"/>
        <v/>
      </c>
      <c r="BH95" s="1771" t="str">
        <f t="shared" si="83"/>
        <v/>
      </c>
      <c r="BI95" s="1771" t="str">
        <f t="shared" si="83"/>
        <v/>
      </c>
      <c r="BJ95" s="3443" t="str">
        <f t="shared" si="83"/>
        <v/>
      </c>
      <c r="BK95" s="3437" t="str">
        <f t="shared" si="84"/>
        <v/>
      </c>
      <c r="BL95" s="1771" t="str">
        <f t="shared" si="84"/>
        <v/>
      </c>
      <c r="BM95" s="3442" t="str">
        <f t="shared" si="84"/>
        <v/>
      </c>
      <c r="BN95" s="1771" t="str">
        <f t="shared" si="83"/>
        <v/>
      </c>
      <c r="BO95" s="1771" t="str">
        <f t="shared" si="83"/>
        <v/>
      </c>
      <c r="BP95" s="1771" t="str">
        <f t="shared" si="83"/>
        <v/>
      </c>
      <c r="BQ95" s="1771" t="str">
        <f t="shared" si="83"/>
        <v/>
      </c>
      <c r="BR95" s="3437" t="str">
        <f t="shared" si="85"/>
        <v/>
      </c>
      <c r="BS95" s="1771">
        <f t="shared" si="85"/>
        <v>1.6046806535881213</v>
      </c>
      <c r="BT95" s="1771" t="str">
        <f t="shared" si="85"/>
        <v/>
      </c>
      <c r="BU95" s="3442" t="str">
        <f t="shared" si="85"/>
        <v/>
      </c>
      <c r="BV95" s="1771" t="str">
        <f t="shared" si="85"/>
        <v/>
      </c>
      <c r="BW95" s="3442" t="str">
        <f t="shared" si="85"/>
        <v/>
      </c>
      <c r="BX95" s="3462"/>
      <c r="BY95" s="3439" t="str">
        <f>IF(L95=L319,"stop","")</f>
        <v/>
      </c>
      <c r="BZ95" s="3437" t="str">
        <f t="shared" si="86"/>
        <v/>
      </c>
      <c r="CA95" s="1771" t="str">
        <f t="shared" si="86"/>
        <v/>
      </c>
      <c r="CB95" s="1771" t="str">
        <f t="shared" si="86"/>
        <v/>
      </c>
      <c r="CC95" s="3442" t="str">
        <f t="shared" si="86"/>
        <v/>
      </c>
      <c r="CD95" s="1771" t="str">
        <f t="shared" si="86"/>
        <v/>
      </c>
      <c r="CE95" s="3437" t="str">
        <f t="shared" si="87"/>
        <v/>
      </c>
      <c r="CF95" s="1771" t="str">
        <f t="shared" si="87"/>
        <v/>
      </c>
      <c r="CG95" s="1771" t="str">
        <f t="shared" si="87"/>
        <v/>
      </c>
      <c r="CH95" s="3437" t="str">
        <f t="shared" si="86"/>
        <v/>
      </c>
      <c r="CI95" s="1771" t="str">
        <f t="shared" si="86"/>
        <v/>
      </c>
      <c r="CJ95" s="1771" t="str">
        <f t="shared" si="86"/>
        <v/>
      </c>
      <c r="CK95" s="3442" t="str">
        <f t="shared" si="86"/>
        <v/>
      </c>
      <c r="CL95" s="3437" t="str">
        <f t="shared" si="88"/>
        <v/>
      </c>
      <c r="CM95" s="1771">
        <f t="shared" si="88"/>
        <v>1.7650000000000001</v>
      </c>
      <c r="CN95" s="1771" t="str">
        <f t="shared" si="88"/>
        <v/>
      </c>
      <c r="CO95" s="3442" t="str">
        <f t="shared" si="88"/>
        <v/>
      </c>
      <c r="CP95" s="1771" t="str">
        <f t="shared" si="88"/>
        <v/>
      </c>
      <c r="CQ95" s="3442" t="str">
        <f t="shared" si="88"/>
        <v/>
      </c>
      <c r="CR95" s="3462"/>
    </row>
    <row r="96" spans="1:96" s="3" customFormat="1">
      <c r="A96" s="1848" t="s">
        <v>702</v>
      </c>
      <c r="B96" s="816">
        <v>15</v>
      </c>
      <c r="C96" s="816">
        <v>15</v>
      </c>
      <c r="D96" s="816">
        <v>1.1299999999999999</v>
      </c>
      <c r="E96" s="1802" t="s">
        <v>35</v>
      </c>
      <c r="F96" s="816">
        <v>3.2</v>
      </c>
      <c r="G96" s="816" t="s">
        <v>695</v>
      </c>
      <c r="H96" s="816">
        <v>1996</v>
      </c>
      <c r="I96" s="50"/>
      <c r="J96" s="816">
        <f t="shared" si="62"/>
        <v>15</v>
      </c>
      <c r="K96" s="816">
        <v>1.1299999999999999</v>
      </c>
      <c r="L96" s="816" t="s">
        <v>35</v>
      </c>
      <c r="M96" s="816">
        <v>3.2</v>
      </c>
      <c r="N96" s="845">
        <f t="shared" si="90"/>
        <v>1.901578291840754</v>
      </c>
      <c r="O96" s="1831">
        <f t="shared" si="91"/>
        <v>2.165</v>
      </c>
      <c r="P96" s="825" t="s">
        <v>1087</v>
      </c>
      <c r="Q96" s="3" t="str">
        <f>IF(J96=J319,"stop","")</f>
        <v/>
      </c>
      <c r="R96" s="3437" t="str">
        <f t="shared" si="61"/>
        <v/>
      </c>
      <c r="S96" s="1771" t="str">
        <f t="shared" si="61"/>
        <v/>
      </c>
      <c r="T96" s="1771" t="str">
        <f t="shared" si="61"/>
        <v/>
      </c>
      <c r="U96" s="1771" t="str">
        <f t="shared" si="61"/>
        <v/>
      </c>
      <c r="V96" s="3443" t="str">
        <f t="shared" si="61"/>
        <v/>
      </c>
      <c r="W96" s="1771" t="str">
        <f t="shared" si="79"/>
        <v/>
      </c>
      <c r="X96" s="1771" t="str">
        <f t="shared" si="79"/>
        <v/>
      </c>
      <c r="Y96" s="1771" t="str">
        <f t="shared" si="79"/>
        <v/>
      </c>
      <c r="Z96" s="3437" t="str">
        <f t="shared" si="61"/>
        <v/>
      </c>
      <c r="AA96" s="1771" t="str">
        <f t="shared" si="61"/>
        <v/>
      </c>
      <c r="AB96" s="1771" t="str">
        <f t="shared" si="61"/>
        <v/>
      </c>
      <c r="AC96" s="3442" t="str">
        <f t="shared" si="61"/>
        <v/>
      </c>
      <c r="AD96" s="1771" t="str">
        <f t="shared" si="61"/>
        <v/>
      </c>
      <c r="AE96" s="1771">
        <f t="shared" si="61"/>
        <v>1.1299999999999999</v>
      </c>
      <c r="AF96" s="1771" t="str">
        <f t="shared" si="61"/>
        <v/>
      </c>
      <c r="AG96" s="3442" t="str">
        <f t="shared" ref="AG96:AI115" si="92">IF(AND($J96&gt;AG$4,$J96&lt;=AG$5,$P96=AG$6),$K96,"")</f>
        <v/>
      </c>
      <c r="AH96" s="1771" t="str">
        <f t="shared" si="89"/>
        <v/>
      </c>
      <c r="AI96" s="3442" t="str">
        <f t="shared" si="89"/>
        <v/>
      </c>
      <c r="AJ96" s="3462"/>
      <c r="AK96" s="3439" t="str">
        <f>IF(J96=J319,"stop","")</f>
        <v/>
      </c>
      <c r="AL96" s="3437" t="str">
        <f t="shared" si="80"/>
        <v/>
      </c>
      <c r="AM96" s="1771" t="str">
        <f t="shared" si="80"/>
        <v/>
      </c>
      <c r="AN96" s="1771" t="str">
        <f t="shared" si="80"/>
        <v/>
      </c>
      <c r="AO96" s="1771" t="str">
        <f t="shared" si="80"/>
        <v/>
      </c>
      <c r="AP96" s="3443" t="str">
        <f t="shared" si="80"/>
        <v/>
      </c>
      <c r="AQ96" s="1771" t="str">
        <f t="shared" si="81"/>
        <v/>
      </c>
      <c r="AR96" s="1771" t="str">
        <f t="shared" si="81"/>
        <v/>
      </c>
      <c r="AS96" s="3442" t="str">
        <f t="shared" si="81"/>
        <v/>
      </c>
      <c r="AT96" s="1771" t="str">
        <f t="shared" si="80"/>
        <v/>
      </c>
      <c r="AU96" s="1771" t="str">
        <f t="shared" si="80"/>
        <v/>
      </c>
      <c r="AV96" s="1771" t="str">
        <f t="shared" si="80"/>
        <v/>
      </c>
      <c r="AW96" s="3442" t="str">
        <f t="shared" si="80"/>
        <v/>
      </c>
      <c r="AX96" s="1771" t="str">
        <f t="shared" si="82"/>
        <v/>
      </c>
      <c r="AY96" s="1771">
        <f t="shared" si="82"/>
        <v>3.2</v>
      </c>
      <c r="AZ96" s="1771" t="str">
        <f t="shared" si="82"/>
        <v/>
      </c>
      <c r="BA96" s="1771" t="str">
        <f t="shared" si="82"/>
        <v/>
      </c>
      <c r="BB96" s="3437" t="str">
        <f t="shared" si="82"/>
        <v/>
      </c>
      <c r="BC96" s="3443" t="str">
        <f t="shared" si="82"/>
        <v/>
      </c>
      <c r="BD96" s="3462"/>
      <c r="BE96" s="3440" t="str">
        <f>IF(J96=J319,"stop","")</f>
        <v/>
      </c>
      <c r="BF96" s="1771" t="str">
        <f t="shared" si="83"/>
        <v/>
      </c>
      <c r="BG96" s="1771" t="str">
        <f t="shared" si="83"/>
        <v/>
      </c>
      <c r="BH96" s="1771" t="str">
        <f t="shared" si="83"/>
        <v/>
      </c>
      <c r="BI96" s="1771" t="str">
        <f t="shared" si="83"/>
        <v/>
      </c>
      <c r="BJ96" s="3443" t="str">
        <f t="shared" si="83"/>
        <v/>
      </c>
      <c r="BK96" s="3437" t="str">
        <f t="shared" si="84"/>
        <v/>
      </c>
      <c r="BL96" s="1771" t="str">
        <f t="shared" si="84"/>
        <v/>
      </c>
      <c r="BM96" s="3442" t="str">
        <f t="shared" si="84"/>
        <v/>
      </c>
      <c r="BN96" s="1771" t="str">
        <f t="shared" si="83"/>
        <v/>
      </c>
      <c r="BO96" s="1771" t="str">
        <f t="shared" si="83"/>
        <v/>
      </c>
      <c r="BP96" s="1771" t="str">
        <f t="shared" si="83"/>
        <v/>
      </c>
      <c r="BQ96" s="1771" t="str">
        <f t="shared" si="83"/>
        <v/>
      </c>
      <c r="BR96" s="3437" t="str">
        <f t="shared" si="85"/>
        <v/>
      </c>
      <c r="BS96" s="1771">
        <f t="shared" si="85"/>
        <v>1.901578291840754</v>
      </c>
      <c r="BT96" s="1771" t="str">
        <f t="shared" si="85"/>
        <v/>
      </c>
      <c r="BU96" s="3442" t="str">
        <f t="shared" si="85"/>
        <v/>
      </c>
      <c r="BV96" s="1771" t="str">
        <f t="shared" si="85"/>
        <v/>
      </c>
      <c r="BW96" s="3442" t="str">
        <f t="shared" si="85"/>
        <v/>
      </c>
      <c r="BX96" s="3462"/>
      <c r="BY96" s="3439" t="str">
        <f>IF(L96=L319,"stop","")</f>
        <v/>
      </c>
      <c r="BZ96" s="3437" t="str">
        <f t="shared" si="86"/>
        <v/>
      </c>
      <c r="CA96" s="1771" t="str">
        <f t="shared" si="86"/>
        <v/>
      </c>
      <c r="CB96" s="1771" t="str">
        <f t="shared" si="86"/>
        <v/>
      </c>
      <c r="CC96" s="3442" t="str">
        <f t="shared" si="86"/>
        <v/>
      </c>
      <c r="CD96" s="1771" t="str">
        <f t="shared" si="86"/>
        <v/>
      </c>
      <c r="CE96" s="3437" t="str">
        <f t="shared" si="87"/>
        <v/>
      </c>
      <c r="CF96" s="1771" t="str">
        <f t="shared" si="87"/>
        <v/>
      </c>
      <c r="CG96" s="1771" t="str">
        <f t="shared" si="87"/>
        <v/>
      </c>
      <c r="CH96" s="3437" t="str">
        <f t="shared" si="86"/>
        <v/>
      </c>
      <c r="CI96" s="1771" t="str">
        <f t="shared" si="86"/>
        <v/>
      </c>
      <c r="CJ96" s="1771" t="str">
        <f t="shared" si="86"/>
        <v/>
      </c>
      <c r="CK96" s="3442" t="str">
        <f t="shared" si="86"/>
        <v/>
      </c>
      <c r="CL96" s="3437" t="str">
        <f t="shared" si="88"/>
        <v/>
      </c>
      <c r="CM96" s="1771">
        <f t="shared" si="88"/>
        <v>2.165</v>
      </c>
      <c r="CN96" s="1771" t="str">
        <f t="shared" si="88"/>
        <v/>
      </c>
      <c r="CO96" s="3442" t="str">
        <f t="shared" si="88"/>
        <v/>
      </c>
      <c r="CP96" s="1771" t="str">
        <f t="shared" si="88"/>
        <v/>
      </c>
      <c r="CQ96" s="3442" t="str">
        <f t="shared" si="88"/>
        <v/>
      </c>
      <c r="CR96" s="3462"/>
    </row>
    <row r="97" spans="1:96" s="3" customFormat="1">
      <c r="A97" s="1848" t="s">
        <v>703</v>
      </c>
      <c r="B97" s="816">
        <v>16</v>
      </c>
      <c r="C97" s="816">
        <v>16</v>
      </c>
      <c r="D97" s="816">
        <v>1.05</v>
      </c>
      <c r="E97" s="1802" t="s">
        <v>35</v>
      </c>
      <c r="F97" s="816">
        <v>3.3</v>
      </c>
      <c r="G97" s="816" t="s">
        <v>695</v>
      </c>
      <c r="H97" s="816">
        <v>1996</v>
      </c>
      <c r="I97" s="50"/>
      <c r="J97" s="816">
        <f t="shared" si="62"/>
        <v>16</v>
      </c>
      <c r="K97" s="816">
        <v>1.05</v>
      </c>
      <c r="L97" s="816" t="s">
        <v>35</v>
      </c>
      <c r="M97" s="816">
        <v>3.3</v>
      </c>
      <c r="N97" s="845">
        <f t="shared" si="90"/>
        <v>1.8614510468986285</v>
      </c>
      <c r="O97" s="1831">
        <f t="shared" si="91"/>
        <v>2.1749999999999998</v>
      </c>
      <c r="P97" s="825" t="s">
        <v>1087</v>
      </c>
      <c r="Q97" s="3" t="str">
        <f>IF(J97=J319,"stop","")</f>
        <v/>
      </c>
      <c r="R97" s="3437" t="str">
        <f t="shared" ref="R97:AF112" si="93">IF(AND($J97&gt;R$4,$J97&lt;=R$5,$P97=R$6),$K97,"")</f>
        <v/>
      </c>
      <c r="S97" s="1771" t="str">
        <f t="shared" si="93"/>
        <v/>
      </c>
      <c r="T97" s="1771" t="str">
        <f t="shared" si="93"/>
        <v/>
      </c>
      <c r="U97" s="1771" t="str">
        <f t="shared" si="93"/>
        <v/>
      </c>
      <c r="V97" s="3443" t="str">
        <f t="shared" si="93"/>
        <v/>
      </c>
      <c r="W97" s="1771" t="str">
        <f t="shared" si="79"/>
        <v/>
      </c>
      <c r="X97" s="1771" t="str">
        <f t="shared" si="79"/>
        <v/>
      </c>
      <c r="Y97" s="1771" t="str">
        <f t="shared" si="79"/>
        <v/>
      </c>
      <c r="Z97" s="3437" t="str">
        <f t="shared" si="93"/>
        <v/>
      </c>
      <c r="AA97" s="1771" t="str">
        <f t="shared" si="93"/>
        <v/>
      </c>
      <c r="AB97" s="1771" t="str">
        <f t="shared" si="93"/>
        <v/>
      </c>
      <c r="AC97" s="3442" t="str">
        <f t="shared" si="93"/>
        <v/>
      </c>
      <c r="AD97" s="1771" t="str">
        <f t="shared" si="93"/>
        <v/>
      </c>
      <c r="AE97" s="1771">
        <f t="shared" si="93"/>
        <v>1.05</v>
      </c>
      <c r="AF97" s="1771" t="str">
        <f t="shared" si="93"/>
        <v/>
      </c>
      <c r="AG97" s="3442" t="str">
        <f t="shared" si="92"/>
        <v/>
      </c>
      <c r="AH97" s="1771" t="str">
        <f t="shared" si="89"/>
        <v/>
      </c>
      <c r="AI97" s="3442" t="str">
        <f t="shared" si="89"/>
        <v/>
      </c>
      <c r="AJ97" s="3462"/>
      <c r="AK97" s="3439" t="str">
        <f>IF(J97=J319,"stop","")</f>
        <v/>
      </c>
      <c r="AL97" s="3437" t="str">
        <f t="shared" ref="AL97:AW106" si="94">IF(AND($J97&gt;AL$4,$J97&lt;=AL$5,$P97=AL$6),$M97,"")</f>
        <v/>
      </c>
      <c r="AM97" s="1771" t="str">
        <f t="shared" si="94"/>
        <v/>
      </c>
      <c r="AN97" s="1771" t="str">
        <f t="shared" si="94"/>
        <v/>
      </c>
      <c r="AO97" s="1771" t="str">
        <f t="shared" si="94"/>
        <v/>
      </c>
      <c r="AP97" s="3443" t="str">
        <f t="shared" si="94"/>
        <v/>
      </c>
      <c r="AQ97" s="1771" t="str">
        <f t="shared" si="81"/>
        <v/>
      </c>
      <c r="AR97" s="1771" t="str">
        <f t="shared" si="81"/>
        <v/>
      </c>
      <c r="AS97" s="3442" t="str">
        <f t="shared" si="81"/>
        <v/>
      </c>
      <c r="AT97" s="1771" t="str">
        <f t="shared" si="94"/>
        <v/>
      </c>
      <c r="AU97" s="1771" t="str">
        <f t="shared" si="94"/>
        <v/>
      </c>
      <c r="AV97" s="1771" t="str">
        <f t="shared" si="94"/>
        <v/>
      </c>
      <c r="AW97" s="3442" t="str">
        <f t="shared" si="94"/>
        <v/>
      </c>
      <c r="AX97" s="1771" t="str">
        <f t="shared" ref="AX97:BC106" si="95">IF(AND($J97&gt;AX$4,$J97&lt;=AX$5,$P97=AX$6),$M97,"")</f>
        <v/>
      </c>
      <c r="AY97" s="1771">
        <f t="shared" si="95"/>
        <v>3.3</v>
      </c>
      <c r="AZ97" s="1771" t="str">
        <f t="shared" si="95"/>
        <v/>
      </c>
      <c r="BA97" s="1771" t="str">
        <f t="shared" si="95"/>
        <v/>
      </c>
      <c r="BB97" s="3437" t="str">
        <f t="shared" si="95"/>
        <v/>
      </c>
      <c r="BC97" s="3443" t="str">
        <f t="shared" si="95"/>
        <v/>
      </c>
      <c r="BD97" s="3462"/>
      <c r="BE97" s="3440" t="str">
        <f>IF(J97=J319,"stop","")</f>
        <v/>
      </c>
      <c r="BF97" s="1771" t="str">
        <f t="shared" ref="BF97:BQ106" si="96">IF(AND($J97&gt;BF$4,$J97&lt;=BF$5,$P97=BF$6),$N97,"")</f>
        <v/>
      </c>
      <c r="BG97" s="1771" t="str">
        <f t="shared" si="96"/>
        <v/>
      </c>
      <c r="BH97" s="1771" t="str">
        <f t="shared" si="96"/>
        <v/>
      </c>
      <c r="BI97" s="1771" t="str">
        <f t="shared" si="96"/>
        <v/>
      </c>
      <c r="BJ97" s="3443" t="str">
        <f t="shared" si="96"/>
        <v/>
      </c>
      <c r="BK97" s="3437" t="str">
        <f t="shared" si="84"/>
        <v/>
      </c>
      <c r="BL97" s="1771" t="str">
        <f t="shared" si="84"/>
        <v/>
      </c>
      <c r="BM97" s="3442" t="str">
        <f t="shared" si="84"/>
        <v/>
      </c>
      <c r="BN97" s="1771" t="str">
        <f t="shared" si="96"/>
        <v/>
      </c>
      <c r="BO97" s="1771" t="str">
        <f t="shared" si="96"/>
        <v/>
      </c>
      <c r="BP97" s="1771" t="str">
        <f t="shared" si="96"/>
        <v/>
      </c>
      <c r="BQ97" s="1771" t="str">
        <f t="shared" si="96"/>
        <v/>
      </c>
      <c r="BR97" s="3437" t="str">
        <f t="shared" ref="BR97:BW106" si="97">IF(AND($J97&gt;BR$4,$J97&lt;=BR$5,$P97=BR$6),$N97,"")</f>
        <v/>
      </c>
      <c r="BS97" s="1771">
        <f t="shared" si="97"/>
        <v>1.8614510468986285</v>
      </c>
      <c r="BT97" s="1771" t="str">
        <f t="shared" si="97"/>
        <v/>
      </c>
      <c r="BU97" s="3442" t="str">
        <f t="shared" si="97"/>
        <v/>
      </c>
      <c r="BV97" s="1771" t="str">
        <f t="shared" si="97"/>
        <v/>
      </c>
      <c r="BW97" s="3442" t="str">
        <f t="shared" si="97"/>
        <v/>
      </c>
      <c r="BX97" s="3462"/>
      <c r="BY97" s="3439" t="str">
        <f>IF(L97=L319,"stop","")</f>
        <v/>
      </c>
      <c r="BZ97" s="3437" t="str">
        <f t="shared" ref="BZ97:CK106" si="98">IF(AND($J97&gt;BZ$4,$J97&lt;=BZ$5,$P97=BZ$6),$O97,"")</f>
        <v/>
      </c>
      <c r="CA97" s="1771" t="str">
        <f t="shared" si="98"/>
        <v/>
      </c>
      <c r="CB97" s="1771" t="str">
        <f t="shared" si="98"/>
        <v/>
      </c>
      <c r="CC97" s="3442" t="str">
        <f t="shared" si="98"/>
        <v/>
      </c>
      <c r="CD97" s="1771" t="str">
        <f t="shared" si="98"/>
        <v/>
      </c>
      <c r="CE97" s="3437" t="str">
        <f t="shared" si="87"/>
        <v/>
      </c>
      <c r="CF97" s="1771" t="str">
        <f t="shared" si="87"/>
        <v/>
      </c>
      <c r="CG97" s="1771" t="str">
        <f t="shared" si="87"/>
        <v/>
      </c>
      <c r="CH97" s="3437" t="str">
        <f t="shared" si="98"/>
        <v/>
      </c>
      <c r="CI97" s="1771" t="str">
        <f t="shared" si="98"/>
        <v/>
      </c>
      <c r="CJ97" s="1771" t="str">
        <f t="shared" si="98"/>
        <v/>
      </c>
      <c r="CK97" s="3442" t="str">
        <f t="shared" si="98"/>
        <v/>
      </c>
      <c r="CL97" s="3437" t="str">
        <f t="shared" ref="CL97:CQ106" si="99">IF(AND($J97&gt;CL$4,$J97&lt;=CL$5,$P97=CL$6),$O97,"")</f>
        <v/>
      </c>
      <c r="CM97" s="1771">
        <f t="shared" si="99"/>
        <v>2.1749999999999998</v>
      </c>
      <c r="CN97" s="1771" t="str">
        <f t="shared" si="99"/>
        <v/>
      </c>
      <c r="CO97" s="3442" t="str">
        <f t="shared" si="99"/>
        <v/>
      </c>
      <c r="CP97" s="1771" t="str">
        <f t="shared" si="99"/>
        <v/>
      </c>
      <c r="CQ97" s="3442" t="str">
        <f t="shared" si="99"/>
        <v/>
      </c>
      <c r="CR97" s="3462"/>
    </row>
    <row r="98" spans="1:96" s="3" customFormat="1">
      <c r="A98" s="1848" t="s">
        <v>704</v>
      </c>
      <c r="B98" s="816">
        <v>17</v>
      </c>
      <c r="C98" s="816">
        <v>17</v>
      </c>
      <c r="D98" s="816">
        <v>0.65</v>
      </c>
      <c r="E98" s="1802" t="s">
        <v>35</v>
      </c>
      <c r="F98" s="816">
        <v>3.6</v>
      </c>
      <c r="G98" s="816" t="s">
        <v>695</v>
      </c>
      <c r="H98" s="816">
        <v>1996</v>
      </c>
      <c r="I98" s="50"/>
      <c r="J98" s="816">
        <f t="shared" si="62"/>
        <v>17</v>
      </c>
      <c r="K98" s="816">
        <v>0.65</v>
      </c>
      <c r="L98" s="816" t="s">
        <v>35</v>
      </c>
      <c r="M98" s="816">
        <v>3.6</v>
      </c>
      <c r="N98" s="845">
        <f t="shared" si="90"/>
        <v>1.5297058540778357</v>
      </c>
      <c r="O98" s="1831">
        <f t="shared" si="91"/>
        <v>2.125</v>
      </c>
      <c r="P98" s="825" t="s">
        <v>1087</v>
      </c>
      <c r="Q98" s="3" t="str">
        <f>IF(J98=J319,"stop","")</f>
        <v/>
      </c>
      <c r="R98" s="3437" t="str">
        <f t="shared" si="93"/>
        <v/>
      </c>
      <c r="S98" s="1771" t="str">
        <f t="shared" si="93"/>
        <v/>
      </c>
      <c r="T98" s="1771" t="str">
        <f t="shared" si="93"/>
        <v/>
      </c>
      <c r="U98" s="1771" t="str">
        <f t="shared" si="93"/>
        <v/>
      </c>
      <c r="V98" s="3443" t="str">
        <f t="shared" si="93"/>
        <v/>
      </c>
      <c r="W98" s="1771" t="str">
        <f t="shared" si="79"/>
        <v/>
      </c>
      <c r="X98" s="1771" t="str">
        <f t="shared" si="79"/>
        <v/>
      </c>
      <c r="Y98" s="1771" t="str">
        <f t="shared" si="79"/>
        <v/>
      </c>
      <c r="Z98" s="3437" t="str">
        <f t="shared" si="93"/>
        <v/>
      </c>
      <c r="AA98" s="1771" t="str">
        <f t="shared" si="93"/>
        <v/>
      </c>
      <c r="AB98" s="1771" t="str">
        <f t="shared" si="93"/>
        <v/>
      </c>
      <c r="AC98" s="3442" t="str">
        <f t="shared" si="93"/>
        <v/>
      </c>
      <c r="AD98" s="1771" t="str">
        <f t="shared" si="93"/>
        <v/>
      </c>
      <c r="AE98" s="1771" t="str">
        <f t="shared" si="93"/>
        <v/>
      </c>
      <c r="AF98" s="1771">
        <f t="shared" si="93"/>
        <v>0.65</v>
      </c>
      <c r="AG98" s="3442" t="str">
        <f t="shared" si="92"/>
        <v/>
      </c>
      <c r="AH98" s="1771" t="str">
        <f t="shared" si="89"/>
        <v/>
      </c>
      <c r="AI98" s="3442" t="str">
        <f t="shared" si="89"/>
        <v/>
      </c>
      <c r="AJ98" s="3462"/>
      <c r="AK98" s="3439" t="str">
        <f>IF(J98=J319,"stop","")</f>
        <v/>
      </c>
      <c r="AL98" s="3437" t="str">
        <f t="shared" si="94"/>
        <v/>
      </c>
      <c r="AM98" s="1771" t="str">
        <f t="shared" si="94"/>
        <v/>
      </c>
      <c r="AN98" s="1771" t="str">
        <f t="shared" si="94"/>
        <v/>
      </c>
      <c r="AO98" s="1771" t="str">
        <f t="shared" si="94"/>
        <v/>
      </c>
      <c r="AP98" s="3443" t="str">
        <f t="shared" si="94"/>
        <v/>
      </c>
      <c r="AQ98" s="1771" t="str">
        <f t="shared" si="81"/>
        <v/>
      </c>
      <c r="AR98" s="1771" t="str">
        <f t="shared" si="81"/>
        <v/>
      </c>
      <c r="AS98" s="3442" t="str">
        <f t="shared" si="81"/>
        <v/>
      </c>
      <c r="AT98" s="1771" t="str">
        <f t="shared" si="94"/>
        <v/>
      </c>
      <c r="AU98" s="1771" t="str">
        <f t="shared" si="94"/>
        <v/>
      </c>
      <c r="AV98" s="1771" t="str">
        <f t="shared" si="94"/>
        <v/>
      </c>
      <c r="AW98" s="3442" t="str">
        <f t="shared" si="94"/>
        <v/>
      </c>
      <c r="AX98" s="1771" t="str">
        <f t="shared" si="95"/>
        <v/>
      </c>
      <c r="AY98" s="1771" t="str">
        <f t="shared" si="95"/>
        <v/>
      </c>
      <c r="AZ98" s="1771">
        <f t="shared" si="95"/>
        <v>3.6</v>
      </c>
      <c r="BA98" s="1771" t="str">
        <f t="shared" si="95"/>
        <v/>
      </c>
      <c r="BB98" s="3437" t="str">
        <f t="shared" si="95"/>
        <v/>
      </c>
      <c r="BC98" s="3443" t="str">
        <f t="shared" si="95"/>
        <v/>
      </c>
      <c r="BD98" s="3462"/>
      <c r="BE98" s="3440" t="str">
        <f>IF(J98=J319,"stop","")</f>
        <v/>
      </c>
      <c r="BF98" s="1771" t="str">
        <f t="shared" si="96"/>
        <v/>
      </c>
      <c r="BG98" s="1771" t="str">
        <f t="shared" si="96"/>
        <v/>
      </c>
      <c r="BH98" s="1771" t="str">
        <f t="shared" si="96"/>
        <v/>
      </c>
      <c r="BI98" s="1771" t="str">
        <f t="shared" si="96"/>
        <v/>
      </c>
      <c r="BJ98" s="3443" t="str">
        <f t="shared" si="96"/>
        <v/>
      </c>
      <c r="BK98" s="3437" t="str">
        <f t="shared" si="84"/>
        <v/>
      </c>
      <c r="BL98" s="1771" t="str">
        <f t="shared" si="84"/>
        <v/>
      </c>
      <c r="BM98" s="3442" t="str">
        <f t="shared" si="84"/>
        <v/>
      </c>
      <c r="BN98" s="1771" t="str">
        <f t="shared" si="96"/>
        <v/>
      </c>
      <c r="BO98" s="1771" t="str">
        <f t="shared" si="96"/>
        <v/>
      </c>
      <c r="BP98" s="1771" t="str">
        <f t="shared" si="96"/>
        <v/>
      </c>
      <c r="BQ98" s="1771" t="str">
        <f t="shared" si="96"/>
        <v/>
      </c>
      <c r="BR98" s="3437" t="str">
        <f t="shared" si="97"/>
        <v/>
      </c>
      <c r="BS98" s="1771" t="str">
        <f t="shared" si="97"/>
        <v/>
      </c>
      <c r="BT98" s="1771">
        <f t="shared" si="97"/>
        <v>1.5297058540778357</v>
      </c>
      <c r="BU98" s="3442" t="str">
        <f t="shared" si="97"/>
        <v/>
      </c>
      <c r="BV98" s="1771" t="str">
        <f t="shared" si="97"/>
        <v/>
      </c>
      <c r="BW98" s="3442" t="str">
        <f t="shared" si="97"/>
        <v/>
      </c>
      <c r="BX98" s="3462"/>
      <c r="BY98" s="3439" t="str">
        <f>IF(L98=L319,"stop","")</f>
        <v/>
      </c>
      <c r="BZ98" s="3437" t="str">
        <f t="shared" si="98"/>
        <v/>
      </c>
      <c r="CA98" s="1771" t="str">
        <f t="shared" si="98"/>
        <v/>
      </c>
      <c r="CB98" s="1771" t="str">
        <f t="shared" si="98"/>
        <v/>
      </c>
      <c r="CC98" s="3442" t="str">
        <f t="shared" si="98"/>
        <v/>
      </c>
      <c r="CD98" s="1771" t="str">
        <f t="shared" si="98"/>
        <v/>
      </c>
      <c r="CE98" s="3437" t="str">
        <f t="shared" si="87"/>
        <v/>
      </c>
      <c r="CF98" s="1771" t="str">
        <f t="shared" si="87"/>
        <v/>
      </c>
      <c r="CG98" s="1771" t="str">
        <f t="shared" si="87"/>
        <v/>
      </c>
      <c r="CH98" s="3437" t="str">
        <f t="shared" si="98"/>
        <v/>
      </c>
      <c r="CI98" s="1771" t="str">
        <f t="shared" si="98"/>
        <v/>
      </c>
      <c r="CJ98" s="1771" t="str">
        <f t="shared" si="98"/>
        <v/>
      </c>
      <c r="CK98" s="3442" t="str">
        <f t="shared" si="98"/>
        <v/>
      </c>
      <c r="CL98" s="3437" t="str">
        <f t="shared" si="99"/>
        <v/>
      </c>
      <c r="CM98" s="1771" t="str">
        <f t="shared" si="99"/>
        <v/>
      </c>
      <c r="CN98" s="1771">
        <f t="shared" si="99"/>
        <v>2.125</v>
      </c>
      <c r="CO98" s="3442" t="str">
        <f t="shared" si="99"/>
        <v/>
      </c>
      <c r="CP98" s="1771" t="str">
        <f t="shared" si="99"/>
        <v/>
      </c>
      <c r="CQ98" s="3442" t="str">
        <f t="shared" si="99"/>
        <v/>
      </c>
      <c r="CR98" s="3462"/>
    </row>
    <row r="99" spans="1:96" s="3" customFormat="1">
      <c r="A99" s="1848" t="s">
        <v>705</v>
      </c>
      <c r="B99" s="816">
        <v>18</v>
      </c>
      <c r="C99" s="816">
        <v>18</v>
      </c>
      <c r="D99" s="816">
        <v>0.55000000000000004</v>
      </c>
      <c r="E99" s="1802" t="s">
        <v>35</v>
      </c>
      <c r="F99" s="816">
        <v>2.5</v>
      </c>
      <c r="G99" s="816" t="s">
        <v>695</v>
      </c>
      <c r="H99" s="816">
        <v>1996</v>
      </c>
      <c r="I99" s="50"/>
      <c r="J99" s="816">
        <f t="shared" si="62"/>
        <v>18</v>
      </c>
      <c r="K99" s="816">
        <v>0.55000000000000004</v>
      </c>
      <c r="L99" s="816" t="s">
        <v>35</v>
      </c>
      <c r="M99" s="816">
        <v>2.5</v>
      </c>
      <c r="N99" s="845">
        <f t="shared" si="90"/>
        <v>1.1726039399558574</v>
      </c>
      <c r="O99" s="1831">
        <f t="shared" si="91"/>
        <v>1.5249999999999999</v>
      </c>
      <c r="P99" s="825" t="s">
        <v>1087</v>
      </c>
      <c r="Q99" s="3" t="str">
        <f>IF(J99=J319,"stop","")</f>
        <v/>
      </c>
      <c r="R99" s="3437" t="str">
        <f t="shared" si="93"/>
        <v/>
      </c>
      <c r="S99" s="1771" t="str">
        <f t="shared" si="93"/>
        <v/>
      </c>
      <c r="T99" s="1771" t="str">
        <f t="shared" si="93"/>
        <v/>
      </c>
      <c r="U99" s="1771" t="str">
        <f t="shared" si="93"/>
        <v/>
      </c>
      <c r="V99" s="3443" t="str">
        <f t="shared" si="93"/>
        <v/>
      </c>
      <c r="W99" s="1771" t="str">
        <f t="shared" si="79"/>
        <v/>
      </c>
      <c r="X99" s="1771" t="str">
        <f t="shared" si="79"/>
        <v/>
      </c>
      <c r="Y99" s="1771" t="str">
        <f t="shared" si="79"/>
        <v/>
      </c>
      <c r="Z99" s="3437" t="str">
        <f t="shared" si="93"/>
        <v/>
      </c>
      <c r="AA99" s="1771" t="str">
        <f t="shared" si="93"/>
        <v/>
      </c>
      <c r="AB99" s="1771" t="str">
        <f t="shared" si="93"/>
        <v/>
      </c>
      <c r="AC99" s="3442" t="str">
        <f t="shared" si="93"/>
        <v/>
      </c>
      <c r="AD99" s="1771" t="str">
        <f t="shared" si="93"/>
        <v/>
      </c>
      <c r="AE99" s="1771" t="str">
        <f t="shared" si="93"/>
        <v/>
      </c>
      <c r="AF99" s="1771">
        <f t="shared" si="93"/>
        <v>0.55000000000000004</v>
      </c>
      <c r="AG99" s="3442" t="str">
        <f t="shared" si="92"/>
        <v/>
      </c>
      <c r="AH99" s="1771" t="str">
        <f t="shared" si="89"/>
        <v/>
      </c>
      <c r="AI99" s="3442" t="str">
        <f t="shared" si="89"/>
        <v/>
      </c>
      <c r="AJ99" s="3462"/>
      <c r="AK99" s="3439" t="str">
        <f>IF(J99=J319,"stop","")</f>
        <v/>
      </c>
      <c r="AL99" s="3437" t="str">
        <f t="shared" si="94"/>
        <v/>
      </c>
      <c r="AM99" s="1771" t="str">
        <f t="shared" si="94"/>
        <v/>
      </c>
      <c r="AN99" s="1771" t="str">
        <f t="shared" si="94"/>
        <v/>
      </c>
      <c r="AO99" s="1771" t="str">
        <f t="shared" si="94"/>
        <v/>
      </c>
      <c r="AP99" s="3443" t="str">
        <f t="shared" si="94"/>
        <v/>
      </c>
      <c r="AQ99" s="1771" t="str">
        <f t="shared" si="81"/>
        <v/>
      </c>
      <c r="AR99" s="1771" t="str">
        <f t="shared" si="81"/>
        <v/>
      </c>
      <c r="AS99" s="3442" t="str">
        <f t="shared" si="81"/>
        <v/>
      </c>
      <c r="AT99" s="1771" t="str">
        <f t="shared" si="94"/>
        <v/>
      </c>
      <c r="AU99" s="1771" t="str">
        <f t="shared" si="94"/>
        <v/>
      </c>
      <c r="AV99" s="1771" t="str">
        <f t="shared" si="94"/>
        <v/>
      </c>
      <c r="AW99" s="3442" t="str">
        <f t="shared" si="94"/>
        <v/>
      </c>
      <c r="AX99" s="1771" t="str">
        <f t="shared" si="95"/>
        <v/>
      </c>
      <c r="AY99" s="1771" t="str">
        <f t="shared" si="95"/>
        <v/>
      </c>
      <c r="AZ99" s="1771">
        <f t="shared" si="95"/>
        <v>2.5</v>
      </c>
      <c r="BA99" s="1771" t="str">
        <f t="shared" si="95"/>
        <v/>
      </c>
      <c r="BB99" s="3437" t="str">
        <f t="shared" si="95"/>
        <v/>
      </c>
      <c r="BC99" s="3443" t="str">
        <f t="shared" si="95"/>
        <v/>
      </c>
      <c r="BD99" s="3462"/>
      <c r="BE99" s="3440" t="str">
        <f>IF(J99=J319,"stop","")</f>
        <v/>
      </c>
      <c r="BF99" s="1771" t="str">
        <f t="shared" si="96"/>
        <v/>
      </c>
      <c r="BG99" s="1771" t="str">
        <f t="shared" si="96"/>
        <v/>
      </c>
      <c r="BH99" s="1771" t="str">
        <f t="shared" si="96"/>
        <v/>
      </c>
      <c r="BI99" s="1771" t="str">
        <f t="shared" si="96"/>
        <v/>
      </c>
      <c r="BJ99" s="3443" t="str">
        <f t="shared" si="96"/>
        <v/>
      </c>
      <c r="BK99" s="3437" t="str">
        <f t="shared" si="84"/>
        <v/>
      </c>
      <c r="BL99" s="1771" t="str">
        <f t="shared" si="84"/>
        <v/>
      </c>
      <c r="BM99" s="3442" t="str">
        <f t="shared" si="84"/>
        <v/>
      </c>
      <c r="BN99" s="1771" t="str">
        <f t="shared" si="96"/>
        <v/>
      </c>
      <c r="BO99" s="1771" t="str">
        <f t="shared" si="96"/>
        <v/>
      </c>
      <c r="BP99" s="1771" t="str">
        <f t="shared" si="96"/>
        <v/>
      </c>
      <c r="BQ99" s="1771" t="str">
        <f t="shared" si="96"/>
        <v/>
      </c>
      <c r="BR99" s="3437" t="str">
        <f t="shared" si="97"/>
        <v/>
      </c>
      <c r="BS99" s="1771" t="str">
        <f t="shared" si="97"/>
        <v/>
      </c>
      <c r="BT99" s="1771">
        <f t="shared" si="97"/>
        <v>1.1726039399558574</v>
      </c>
      <c r="BU99" s="3442" t="str">
        <f t="shared" si="97"/>
        <v/>
      </c>
      <c r="BV99" s="1771" t="str">
        <f t="shared" si="97"/>
        <v/>
      </c>
      <c r="BW99" s="3442" t="str">
        <f t="shared" si="97"/>
        <v/>
      </c>
      <c r="BX99" s="3462"/>
      <c r="BY99" s="3439" t="str">
        <f>IF(L99=L319,"stop","")</f>
        <v/>
      </c>
      <c r="BZ99" s="3437" t="str">
        <f t="shared" si="98"/>
        <v/>
      </c>
      <c r="CA99" s="1771" t="str">
        <f t="shared" si="98"/>
        <v/>
      </c>
      <c r="CB99" s="1771" t="str">
        <f t="shared" si="98"/>
        <v/>
      </c>
      <c r="CC99" s="3442" t="str">
        <f t="shared" si="98"/>
        <v/>
      </c>
      <c r="CD99" s="1771" t="str">
        <f t="shared" si="98"/>
        <v/>
      </c>
      <c r="CE99" s="3437" t="str">
        <f t="shared" si="87"/>
        <v/>
      </c>
      <c r="CF99" s="1771" t="str">
        <f t="shared" si="87"/>
        <v/>
      </c>
      <c r="CG99" s="1771" t="str">
        <f t="shared" si="87"/>
        <v/>
      </c>
      <c r="CH99" s="3437" t="str">
        <f t="shared" si="98"/>
        <v/>
      </c>
      <c r="CI99" s="1771" t="str">
        <f t="shared" si="98"/>
        <v/>
      </c>
      <c r="CJ99" s="1771" t="str">
        <f t="shared" si="98"/>
        <v/>
      </c>
      <c r="CK99" s="3442" t="str">
        <f t="shared" si="98"/>
        <v/>
      </c>
      <c r="CL99" s="3437" t="str">
        <f t="shared" si="99"/>
        <v/>
      </c>
      <c r="CM99" s="1771" t="str">
        <f t="shared" si="99"/>
        <v/>
      </c>
      <c r="CN99" s="1771">
        <f t="shared" si="99"/>
        <v>1.5249999999999999</v>
      </c>
      <c r="CO99" s="3442" t="str">
        <f t="shared" si="99"/>
        <v/>
      </c>
      <c r="CP99" s="1771" t="str">
        <f t="shared" si="99"/>
        <v/>
      </c>
      <c r="CQ99" s="3442" t="str">
        <f t="shared" si="99"/>
        <v/>
      </c>
      <c r="CR99" s="3462"/>
    </row>
    <row r="100" spans="1:96" s="3" customFormat="1">
      <c r="A100" s="1848" t="s">
        <v>706</v>
      </c>
      <c r="B100" s="816">
        <v>19</v>
      </c>
      <c r="C100" s="816">
        <v>19</v>
      </c>
      <c r="D100" s="816">
        <v>0.33</v>
      </c>
      <c r="E100" s="1802" t="s">
        <v>35</v>
      </c>
      <c r="F100" s="816">
        <v>1.3</v>
      </c>
      <c r="G100" s="816" t="s">
        <v>695</v>
      </c>
      <c r="H100" s="816">
        <v>1996</v>
      </c>
      <c r="I100" s="50"/>
      <c r="J100" s="816">
        <f t="shared" si="62"/>
        <v>19</v>
      </c>
      <c r="K100" s="816">
        <v>0.33</v>
      </c>
      <c r="L100" s="816" t="s">
        <v>35</v>
      </c>
      <c r="M100" s="816">
        <v>1.3</v>
      </c>
      <c r="N100" s="845">
        <f t="shared" si="90"/>
        <v>0.6549809157525126</v>
      </c>
      <c r="O100" s="1831">
        <f t="shared" si="91"/>
        <v>0.81500000000000006</v>
      </c>
      <c r="P100" s="825" t="s">
        <v>1087</v>
      </c>
      <c r="Q100" s="3" t="str">
        <f>IF(J100=J319,"stop","")</f>
        <v/>
      </c>
      <c r="R100" s="3437" t="str">
        <f t="shared" si="93"/>
        <v/>
      </c>
      <c r="S100" s="1771" t="str">
        <f t="shared" si="93"/>
        <v/>
      </c>
      <c r="T100" s="1771" t="str">
        <f t="shared" si="93"/>
        <v/>
      </c>
      <c r="U100" s="1771" t="str">
        <f t="shared" si="93"/>
        <v/>
      </c>
      <c r="V100" s="3443" t="str">
        <f t="shared" si="93"/>
        <v/>
      </c>
      <c r="W100" s="1771" t="str">
        <f t="shared" si="79"/>
        <v/>
      </c>
      <c r="X100" s="1771" t="str">
        <f t="shared" si="79"/>
        <v/>
      </c>
      <c r="Y100" s="1771" t="str">
        <f t="shared" si="79"/>
        <v/>
      </c>
      <c r="Z100" s="3437" t="str">
        <f t="shared" si="93"/>
        <v/>
      </c>
      <c r="AA100" s="1771" t="str">
        <f t="shared" si="93"/>
        <v/>
      </c>
      <c r="AB100" s="1771" t="str">
        <f t="shared" si="93"/>
        <v/>
      </c>
      <c r="AC100" s="3442" t="str">
        <f t="shared" si="93"/>
        <v/>
      </c>
      <c r="AD100" s="1771" t="str">
        <f t="shared" si="93"/>
        <v/>
      </c>
      <c r="AE100" s="1771" t="str">
        <f t="shared" si="93"/>
        <v/>
      </c>
      <c r="AF100" s="1771">
        <f t="shared" si="93"/>
        <v>0.33</v>
      </c>
      <c r="AG100" s="3442" t="str">
        <f t="shared" si="92"/>
        <v/>
      </c>
      <c r="AH100" s="1771" t="str">
        <f t="shared" si="89"/>
        <v/>
      </c>
      <c r="AI100" s="3442" t="str">
        <f t="shared" si="89"/>
        <v/>
      </c>
      <c r="AJ100" s="3462"/>
      <c r="AK100" s="3439" t="str">
        <f>IF(J100=J319,"stop","")</f>
        <v/>
      </c>
      <c r="AL100" s="3437" t="str">
        <f t="shared" si="94"/>
        <v/>
      </c>
      <c r="AM100" s="1771" t="str">
        <f t="shared" si="94"/>
        <v/>
      </c>
      <c r="AN100" s="1771" t="str">
        <f t="shared" si="94"/>
        <v/>
      </c>
      <c r="AO100" s="1771" t="str">
        <f t="shared" si="94"/>
        <v/>
      </c>
      <c r="AP100" s="3443" t="str">
        <f t="shared" si="94"/>
        <v/>
      </c>
      <c r="AQ100" s="1771" t="str">
        <f t="shared" si="81"/>
        <v/>
      </c>
      <c r="AR100" s="1771" t="str">
        <f t="shared" si="81"/>
        <v/>
      </c>
      <c r="AS100" s="3442" t="str">
        <f t="shared" si="81"/>
        <v/>
      </c>
      <c r="AT100" s="1771" t="str">
        <f t="shared" si="94"/>
        <v/>
      </c>
      <c r="AU100" s="1771" t="str">
        <f t="shared" si="94"/>
        <v/>
      </c>
      <c r="AV100" s="1771" t="str">
        <f t="shared" si="94"/>
        <v/>
      </c>
      <c r="AW100" s="3442" t="str">
        <f t="shared" si="94"/>
        <v/>
      </c>
      <c r="AX100" s="1771" t="str">
        <f t="shared" si="95"/>
        <v/>
      </c>
      <c r="AY100" s="1771" t="str">
        <f t="shared" si="95"/>
        <v/>
      </c>
      <c r="AZ100" s="1771">
        <f t="shared" si="95"/>
        <v>1.3</v>
      </c>
      <c r="BA100" s="1771" t="str">
        <f t="shared" si="95"/>
        <v/>
      </c>
      <c r="BB100" s="3437" t="str">
        <f t="shared" si="95"/>
        <v/>
      </c>
      <c r="BC100" s="3443" t="str">
        <f t="shared" si="95"/>
        <v/>
      </c>
      <c r="BD100" s="3462"/>
      <c r="BE100" s="3440" t="str">
        <f>IF(J100=J319,"stop","")</f>
        <v/>
      </c>
      <c r="BF100" s="1771" t="str">
        <f t="shared" si="96"/>
        <v/>
      </c>
      <c r="BG100" s="1771" t="str">
        <f t="shared" si="96"/>
        <v/>
      </c>
      <c r="BH100" s="1771" t="str">
        <f t="shared" si="96"/>
        <v/>
      </c>
      <c r="BI100" s="1771" t="str">
        <f t="shared" si="96"/>
        <v/>
      </c>
      <c r="BJ100" s="3443" t="str">
        <f t="shared" si="96"/>
        <v/>
      </c>
      <c r="BK100" s="3437" t="str">
        <f t="shared" si="84"/>
        <v/>
      </c>
      <c r="BL100" s="1771" t="str">
        <f t="shared" si="84"/>
        <v/>
      </c>
      <c r="BM100" s="3442" t="str">
        <f t="shared" si="84"/>
        <v/>
      </c>
      <c r="BN100" s="1771" t="str">
        <f t="shared" si="96"/>
        <v/>
      </c>
      <c r="BO100" s="1771" t="str">
        <f t="shared" si="96"/>
        <v/>
      </c>
      <c r="BP100" s="1771" t="str">
        <f t="shared" si="96"/>
        <v/>
      </c>
      <c r="BQ100" s="1771" t="str">
        <f t="shared" si="96"/>
        <v/>
      </c>
      <c r="BR100" s="3437" t="str">
        <f t="shared" si="97"/>
        <v/>
      </c>
      <c r="BS100" s="1771" t="str">
        <f t="shared" si="97"/>
        <v/>
      </c>
      <c r="BT100" s="1771">
        <f t="shared" si="97"/>
        <v>0.6549809157525126</v>
      </c>
      <c r="BU100" s="3442" t="str">
        <f t="shared" si="97"/>
        <v/>
      </c>
      <c r="BV100" s="1771" t="str">
        <f t="shared" si="97"/>
        <v/>
      </c>
      <c r="BW100" s="3442" t="str">
        <f t="shared" si="97"/>
        <v/>
      </c>
      <c r="BX100" s="3462"/>
      <c r="BY100" s="3439" t="str">
        <f>IF(L100=L319,"stop","")</f>
        <v/>
      </c>
      <c r="BZ100" s="3437" t="str">
        <f t="shared" si="98"/>
        <v/>
      </c>
      <c r="CA100" s="1771" t="str">
        <f t="shared" si="98"/>
        <v/>
      </c>
      <c r="CB100" s="1771" t="str">
        <f t="shared" si="98"/>
        <v/>
      </c>
      <c r="CC100" s="3442" t="str">
        <f t="shared" si="98"/>
        <v/>
      </c>
      <c r="CD100" s="1771" t="str">
        <f t="shared" si="98"/>
        <v/>
      </c>
      <c r="CE100" s="3437" t="str">
        <f t="shared" si="87"/>
        <v/>
      </c>
      <c r="CF100" s="1771" t="str">
        <f t="shared" si="87"/>
        <v/>
      </c>
      <c r="CG100" s="1771" t="str">
        <f t="shared" si="87"/>
        <v/>
      </c>
      <c r="CH100" s="3437" t="str">
        <f t="shared" si="98"/>
        <v/>
      </c>
      <c r="CI100" s="1771" t="str">
        <f t="shared" si="98"/>
        <v/>
      </c>
      <c r="CJ100" s="1771" t="str">
        <f t="shared" si="98"/>
        <v/>
      </c>
      <c r="CK100" s="3442" t="str">
        <f t="shared" si="98"/>
        <v/>
      </c>
      <c r="CL100" s="3437" t="str">
        <f t="shared" si="99"/>
        <v/>
      </c>
      <c r="CM100" s="1771" t="str">
        <f t="shared" si="99"/>
        <v/>
      </c>
      <c r="CN100" s="1771">
        <f t="shared" si="99"/>
        <v>0.81500000000000006</v>
      </c>
      <c r="CO100" s="3442" t="str">
        <f t="shared" si="99"/>
        <v/>
      </c>
      <c r="CP100" s="1771" t="str">
        <f t="shared" si="99"/>
        <v/>
      </c>
      <c r="CQ100" s="3442" t="str">
        <f t="shared" si="99"/>
        <v/>
      </c>
      <c r="CR100" s="3462"/>
    </row>
    <row r="101" spans="1:96" s="3" customFormat="1">
      <c r="A101" s="1848" t="s">
        <v>707</v>
      </c>
      <c r="B101" s="816">
        <v>20</v>
      </c>
      <c r="C101" s="816">
        <v>20</v>
      </c>
      <c r="D101" s="816">
        <v>0.18</v>
      </c>
      <c r="E101" s="1802" t="s">
        <v>35</v>
      </c>
      <c r="F101" s="816">
        <v>0.6</v>
      </c>
      <c r="G101" s="816" t="s">
        <v>695</v>
      </c>
      <c r="H101" s="816">
        <v>1996</v>
      </c>
      <c r="I101" s="50"/>
      <c r="J101" s="816">
        <f t="shared" si="62"/>
        <v>20</v>
      </c>
      <c r="K101" s="816">
        <v>0.18</v>
      </c>
      <c r="L101" s="816" t="s">
        <v>35</v>
      </c>
      <c r="M101" s="816">
        <v>0.6</v>
      </c>
      <c r="N101" s="845">
        <f t="shared" si="90"/>
        <v>0.32863353450309968</v>
      </c>
      <c r="O101" s="1831">
        <f t="shared" si="91"/>
        <v>0.39</v>
      </c>
      <c r="P101" s="825" t="s">
        <v>1087</v>
      </c>
      <c r="Q101" s="3" t="str">
        <f>IF(J101=J319,"stop","")</f>
        <v/>
      </c>
      <c r="R101" s="3437" t="str">
        <f t="shared" si="93"/>
        <v/>
      </c>
      <c r="S101" s="1771" t="str">
        <f t="shared" si="93"/>
        <v/>
      </c>
      <c r="T101" s="1771" t="str">
        <f t="shared" si="93"/>
        <v/>
      </c>
      <c r="U101" s="1771" t="str">
        <f t="shared" si="93"/>
        <v/>
      </c>
      <c r="V101" s="3443" t="str">
        <f t="shared" si="93"/>
        <v/>
      </c>
      <c r="W101" s="1771" t="str">
        <f t="shared" si="79"/>
        <v/>
      </c>
      <c r="X101" s="1771" t="str">
        <f t="shared" si="79"/>
        <v/>
      </c>
      <c r="Y101" s="1771" t="str">
        <f t="shared" si="79"/>
        <v/>
      </c>
      <c r="Z101" s="3437" t="str">
        <f t="shared" si="93"/>
        <v/>
      </c>
      <c r="AA101" s="1771" t="str">
        <f t="shared" si="93"/>
        <v/>
      </c>
      <c r="AB101" s="1771" t="str">
        <f t="shared" si="93"/>
        <v/>
      </c>
      <c r="AC101" s="3442" t="str">
        <f t="shared" si="93"/>
        <v/>
      </c>
      <c r="AD101" s="1771" t="str">
        <f t="shared" si="93"/>
        <v/>
      </c>
      <c r="AE101" s="1771" t="str">
        <f t="shared" si="93"/>
        <v/>
      </c>
      <c r="AF101" s="1771">
        <f t="shared" si="93"/>
        <v>0.18</v>
      </c>
      <c r="AG101" s="3442" t="str">
        <f t="shared" si="92"/>
        <v/>
      </c>
      <c r="AH101" s="1771" t="str">
        <f t="shared" si="89"/>
        <v/>
      </c>
      <c r="AI101" s="3442" t="str">
        <f t="shared" si="89"/>
        <v/>
      </c>
      <c r="AJ101" s="3462"/>
      <c r="AK101" s="3439" t="str">
        <f>IF(J101=J319,"stop","")</f>
        <v/>
      </c>
      <c r="AL101" s="3437" t="str">
        <f t="shared" si="94"/>
        <v/>
      </c>
      <c r="AM101" s="1771" t="str">
        <f t="shared" si="94"/>
        <v/>
      </c>
      <c r="AN101" s="1771" t="str">
        <f t="shared" si="94"/>
        <v/>
      </c>
      <c r="AO101" s="1771" t="str">
        <f t="shared" si="94"/>
        <v/>
      </c>
      <c r="AP101" s="3443" t="str">
        <f t="shared" si="94"/>
        <v/>
      </c>
      <c r="AQ101" s="1771" t="str">
        <f t="shared" si="81"/>
        <v/>
      </c>
      <c r="AR101" s="1771" t="str">
        <f t="shared" si="81"/>
        <v/>
      </c>
      <c r="AS101" s="3442" t="str">
        <f t="shared" si="81"/>
        <v/>
      </c>
      <c r="AT101" s="1771" t="str">
        <f t="shared" si="94"/>
        <v/>
      </c>
      <c r="AU101" s="1771" t="str">
        <f t="shared" si="94"/>
        <v/>
      </c>
      <c r="AV101" s="1771" t="str">
        <f t="shared" si="94"/>
        <v/>
      </c>
      <c r="AW101" s="3442" t="str">
        <f t="shared" si="94"/>
        <v/>
      </c>
      <c r="AX101" s="1771" t="str">
        <f t="shared" si="95"/>
        <v/>
      </c>
      <c r="AY101" s="1771" t="str">
        <f t="shared" si="95"/>
        <v/>
      </c>
      <c r="AZ101" s="1771">
        <f t="shared" si="95"/>
        <v>0.6</v>
      </c>
      <c r="BA101" s="1771" t="str">
        <f t="shared" si="95"/>
        <v/>
      </c>
      <c r="BB101" s="3437" t="str">
        <f t="shared" si="95"/>
        <v/>
      </c>
      <c r="BC101" s="3443" t="str">
        <f t="shared" si="95"/>
        <v/>
      </c>
      <c r="BD101" s="3462"/>
      <c r="BE101" s="3440" t="str">
        <f>IF(J101=J319,"stop","")</f>
        <v/>
      </c>
      <c r="BF101" s="1771" t="str">
        <f t="shared" si="96"/>
        <v/>
      </c>
      <c r="BG101" s="1771" t="str">
        <f t="shared" si="96"/>
        <v/>
      </c>
      <c r="BH101" s="1771" t="str">
        <f t="shared" si="96"/>
        <v/>
      </c>
      <c r="BI101" s="1771" t="str">
        <f t="shared" si="96"/>
        <v/>
      </c>
      <c r="BJ101" s="3443" t="str">
        <f t="shared" si="96"/>
        <v/>
      </c>
      <c r="BK101" s="3437" t="str">
        <f t="shared" si="84"/>
        <v/>
      </c>
      <c r="BL101" s="1771" t="str">
        <f t="shared" si="84"/>
        <v/>
      </c>
      <c r="BM101" s="3442" t="str">
        <f t="shared" si="84"/>
        <v/>
      </c>
      <c r="BN101" s="1771" t="str">
        <f t="shared" si="96"/>
        <v/>
      </c>
      <c r="BO101" s="1771" t="str">
        <f t="shared" si="96"/>
        <v/>
      </c>
      <c r="BP101" s="1771" t="str">
        <f t="shared" si="96"/>
        <v/>
      </c>
      <c r="BQ101" s="1771" t="str">
        <f t="shared" si="96"/>
        <v/>
      </c>
      <c r="BR101" s="3437" t="str">
        <f t="shared" si="97"/>
        <v/>
      </c>
      <c r="BS101" s="1771" t="str">
        <f t="shared" si="97"/>
        <v/>
      </c>
      <c r="BT101" s="1771">
        <f t="shared" si="97"/>
        <v>0.32863353450309968</v>
      </c>
      <c r="BU101" s="3442" t="str">
        <f t="shared" si="97"/>
        <v/>
      </c>
      <c r="BV101" s="1771" t="str">
        <f t="shared" si="97"/>
        <v/>
      </c>
      <c r="BW101" s="3442" t="str">
        <f t="shared" si="97"/>
        <v/>
      </c>
      <c r="BX101" s="3462"/>
      <c r="BY101" s="3439" t="str">
        <f>IF(L101=L319,"stop","")</f>
        <v/>
      </c>
      <c r="BZ101" s="3437" t="str">
        <f t="shared" si="98"/>
        <v/>
      </c>
      <c r="CA101" s="1771" t="str">
        <f t="shared" si="98"/>
        <v/>
      </c>
      <c r="CB101" s="1771" t="str">
        <f t="shared" si="98"/>
        <v/>
      </c>
      <c r="CC101" s="3442" t="str">
        <f t="shared" si="98"/>
        <v/>
      </c>
      <c r="CD101" s="1771" t="str">
        <f t="shared" si="98"/>
        <v/>
      </c>
      <c r="CE101" s="3437" t="str">
        <f t="shared" si="87"/>
        <v/>
      </c>
      <c r="CF101" s="1771" t="str">
        <f t="shared" si="87"/>
        <v/>
      </c>
      <c r="CG101" s="1771" t="str">
        <f t="shared" si="87"/>
        <v/>
      </c>
      <c r="CH101" s="3437" t="str">
        <f t="shared" si="98"/>
        <v/>
      </c>
      <c r="CI101" s="1771" t="str">
        <f t="shared" si="98"/>
        <v/>
      </c>
      <c r="CJ101" s="1771" t="str">
        <f t="shared" si="98"/>
        <v/>
      </c>
      <c r="CK101" s="3442" t="str">
        <f t="shared" si="98"/>
        <v/>
      </c>
      <c r="CL101" s="3437" t="str">
        <f t="shared" si="99"/>
        <v/>
      </c>
      <c r="CM101" s="1771" t="str">
        <f t="shared" si="99"/>
        <v/>
      </c>
      <c r="CN101" s="1771">
        <f t="shared" si="99"/>
        <v>0.39</v>
      </c>
      <c r="CO101" s="3442" t="str">
        <f t="shared" si="99"/>
        <v/>
      </c>
      <c r="CP101" s="1771" t="str">
        <f t="shared" si="99"/>
        <v/>
      </c>
      <c r="CQ101" s="3442" t="str">
        <f t="shared" si="99"/>
        <v/>
      </c>
      <c r="CR101" s="3462"/>
    </row>
    <row r="102" spans="1:96" s="3" customFormat="1">
      <c r="A102" s="1848" t="s">
        <v>708</v>
      </c>
      <c r="B102" s="816">
        <v>21</v>
      </c>
      <c r="C102" s="816">
        <v>21</v>
      </c>
      <c r="D102" s="816">
        <v>0.09</v>
      </c>
      <c r="E102" s="1802" t="s">
        <v>35</v>
      </c>
      <c r="F102" s="816">
        <v>0.4</v>
      </c>
      <c r="G102" s="816" t="s">
        <v>695</v>
      </c>
      <c r="H102" s="816">
        <v>1996</v>
      </c>
      <c r="I102" s="50"/>
      <c r="J102" s="816">
        <f t="shared" si="62"/>
        <v>21</v>
      </c>
      <c r="K102" s="816">
        <v>0.09</v>
      </c>
      <c r="L102" s="816" t="s">
        <v>35</v>
      </c>
      <c r="M102" s="816">
        <v>0.4</v>
      </c>
      <c r="N102" s="845">
        <f t="shared" si="90"/>
        <v>0.18973665961010275</v>
      </c>
      <c r="O102" s="1831">
        <f t="shared" si="91"/>
        <v>0.245</v>
      </c>
      <c r="P102" s="825" t="s">
        <v>1087</v>
      </c>
      <c r="Q102" s="3" t="str">
        <f>IF(J102=J319,"stop","")</f>
        <v/>
      </c>
      <c r="R102" s="3437" t="str">
        <f t="shared" si="93"/>
        <v/>
      </c>
      <c r="S102" s="1771" t="str">
        <f t="shared" si="93"/>
        <v/>
      </c>
      <c r="T102" s="1771" t="str">
        <f t="shared" si="93"/>
        <v/>
      </c>
      <c r="U102" s="1771" t="str">
        <f t="shared" si="93"/>
        <v/>
      </c>
      <c r="V102" s="3443" t="str">
        <f t="shared" si="93"/>
        <v/>
      </c>
      <c r="W102" s="1771" t="str">
        <f t="shared" si="79"/>
        <v/>
      </c>
      <c r="X102" s="1771" t="str">
        <f t="shared" si="79"/>
        <v/>
      </c>
      <c r="Y102" s="1771" t="str">
        <f t="shared" si="79"/>
        <v/>
      </c>
      <c r="Z102" s="3437" t="str">
        <f t="shared" si="93"/>
        <v/>
      </c>
      <c r="AA102" s="1771" t="str">
        <f t="shared" si="93"/>
        <v/>
      </c>
      <c r="AB102" s="1771" t="str">
        <f t="shared" si="93"/>
        <v/>
      </c>
      <c r="AC102" s="3442" t="str">
        <f t="shared" si="93"/>
        <v/>
      </c>
      <c r="AD102" s="1771" t="str">
        <f t="shared" si="93"/>
        <v/>
      </c>
      <c r="AE102" s="1771" t="str">
        <f t="shared" si="93"/>
        <v/>
      </c>
      <c r="AF102" s="1771">
        <f t="shared" si="93"/>
        <v>0.09</v>
      </c>
      <c r="AG102" s="3442" t="str">
        <f t="shared" si="92"/>
        <v/>
      </c>
      <c r="AH102" s="1771" t="str">
        <f t="shared" si="89"/>
        <v/>
      </c>
      <c r="AI102" s="3442" t="str">
        <f t="shared" si="89"/>
        <v/>
      </c>
      <c r="AJ102" s="3462"/>
      <c r="AK102" s="3439" t="str">
        <f>IF(J102=J319,"stop","")</f>
        <v/>
      </c>
      <c r="AL102" s="3437" t="str">
        <f t="shared" si="94"/>
        <v/>
      </c>
      <c r="AM102" s="1771" t="str">
        <f t="shared" si="94"/>
        <v/>
      </c>
      <c r="AN102" s="1771" t="str">
        <f t="shared" si="94"/>
        <v/>
      </c>
      <c r="AO102" s="1771" t="str">
        <f t="shared" si="94"/>
        <v/>
      </c>
      <c r="AP102" s="3443" t="str">
        <f t="shared" si="94"/>
        <v/>
      </c>
      <c r="AQ102" s="1771" t="str">
        <f t="shared" si="81"/>
        <v/>
      </c>
      <c r="AR102" s="1771" t="str">
        <f t="shared" si="81"/>
        <v/>
      </c>
      <c r="AS102" s="3442" t="str">
        <f t="shared" si="81"/>
        <v/>
      </c>
      <c r="AT102" s="1771" t="str">
        <f t="shared" si="94"/>
        <v/>
      </c>
      <c r="AU102" s="1771" t="str">
        <f t="shared" si="94"/>
        <v/>
      </c>
      <c r="AV102" s="1771" t="str">
        <f t="shared" si="94"/>
        <v/>
      </c>
      <c r="AW102" s="3442" t="str">
        <f t="shared" si="94"/>
        <v/>
      </c>
      <c r="AX102" s="1771" t="str">
        <f t="shared" si="95"/>
        <v/>
      </c>
      <c r="AY102" s="1771" t="str">
        <f t="shared" si="95"/>
        <v/>
      </c>
      <c r="AZ102" s="1771">
        <f t="shared" si="95"/>
        <v>0.4</v>
      </c>
      <c r="BA102" s="1771" t="str">
        <f t="shared" si="95"/>
        <v/>
      </c>
      <c r="BB102" s="3437" t="str">
        <f t="shared" si="95"/>
        <v/>
      </c>
      <c r="BC102" s="3443" t="str">
        <f t="shared" si="95"/>
        <v/>
      </c>
      <c r="BD102" s="3462"/>
      <c r="BE102" s="3440" t="str">
        <f>IF(J102=J319,"stop","")</f>
        <v/>
      </c>
      <c r="BF102" s="1771" t="str">
        <f t="shared" si="96"/>
        <v/>
      </c>
      <c r="BG102" s="1771" t="str">
        <f t="shared" si="96"/>
        <v/>
      </c>
      <c r="BH102" s="1771" t="str">
        <f t="shared" si="96"/>
        <v/>
      </c>
      <c r="BI102" s="1771" t="str">
        <f t="shared" si="96"/>
        <v/>
      </c>
      <c r="BJ102" s="3443" t="str">
        <f t="shared" si="96"/>
        <v/>
      </c>
      <c r="BK102" s="3437" t="str">
        <f t="shared" si="84"/>
        <v/>
      </c>
      <c r="BL102" s="1771" t="str">
        <f t="shared" si="84"/>
        <v/>
      </c>
      <c r="BM102" s="3442" t="str">
        <f t="shared" si="84"/>
        <v/>
      </c>
      <c r="BN102" s="1771" t="str">
        <f t="shared" si="96"/>
        <v/>
      </c>
      <c r="BO102" s="1771" t="str">
        <f t="shared" si="96"/>
        <v/>
      </c>
      <c r="BP102" s="1771" t="str">
        <f t="shared" si="96"/>
        <v/>
      </c>
      <c r="BQ102" s="1771" t="str">
        <f t="shared" si="96"/>
        <v/>
      </c>
      <c r="BR102" s="3437" t="str">
        <f t="shared" si="97"/>
        <v/>
      </c>
      <c r="BS102" s="1771" t="str">
        <f t="shared" si="97"/>
        <v/>
      </c>
      <c r="BT102" s="1771">
        <f t="shared" si="97"/>
        <v>0.18973665961010275</v>
      </c>
      <c r="BU102" s="3442" t="str">
        <f t="shared" si="97"/>
        <v/>
      </c>
      <c r="BV102" s="1771" t="str">
        <f t="shared" si="97"/>
        <v/>
      </c>
      <c r="BW102" s="3442" t="str">
        <f t="shared" si="97"/>
        <v/>
      </c>
      <c r="BX102" s="3462"/>
      <c r="BY102" s="3439" t="str">
        <f>IF(L102=L319,"stop","")</f>
        <v/>
      </c>
      <c r="BZ102" s="3437" t="str">
        <f t="shared" si="98"/>
        <v/>
      </c>
      <c r="CA102" s="1771" t="str">
        <f t="shared" si="98"/>
        <v/>
      </c>
      <c r="CB102" s="1771" t="str">
        <f t="shared" si="98"/>
        <v/>
      </c>
      <c r="CC102" s="3442" t="str">
        <f t="shared" si="98"/>
        <v/>
      </c>
      <c r="CD102" s="1771" t="str">
        <f t="shared" si="98"/>
        <v/>
      </c>
      <c r="CE102" s="3437" t="str">
        <f t="shared" si="87"/>
        <v/>
      </c>
      <c r="CF102" s="1771" t="str">
        <f t="shared" si="87"/>
        <v/>
      </c>
      <c r="CG102" s="1771" t="str">
        <f t="shared" si="87"/>
        <v/>
      </c>
      <c r="CH102" s="3437" t="str">
        <f t="shared" si="98"/>
        <v/>
      </c>
      <c r="CI102" s="1771" t="str">
        <f t="shared" si="98"/>
        <v/>
      </c>
      <c r="CJ102" s="1771" t="str">
        <f t="shared" si="98"/>
        <v/>
      </c>
      <c r="CK102" s="3442" t="str">
        <f t="shared" si="98"/>
        <v/>
      </c>
      <c r="CL102" s="3437" t="str">
        <f t="shared" si="99"/>
        <v/>
      </c>
      <c r="CM102" s="1771" t="str">
        <f t="shared" si="99"/>
        <v/>
      </c>
      <c r="CN102" s="1771">
        <f t="shared" si="99"/>
        <v>0.245</v>
      </c>
      <c r="CO102" s="3442" t="str">
        <f t="shared" si="99"/>
        <v/>
      </c>
      <c r="CP102" s="1771" t="str">
        <f t="shared" si="99"/>
        <v/>
      </c>
      <c r="CQ102" s="3442" t="str">
        <f t="shared" si="99"/>
        <v/>
      </c>
      <c r="CR102" s="3462"/>
    </row>
    <row r="103" spans="1:96" s="3" customFormat="1">
      <c r="A103" s="1848" t="s">
        <v>709</v>
      </c>
      <c r="B103" s="816">
        <v>22</v>
      </c>
      <c r="C103" s="816">
        <v>22</v>
      </c>
      <c r="D103" s="816">
        <v>0.1</v>
      </c>
      <c r="E103" s="1804" t="s">
        <v>1083</v>
      </c>
      <c r="F103" s="816">
        <v>0.1</v>
      </c>
      <c r="G103" s="816" t="s">
        <v>695</v>
      </c>
      <c r="H103" s="816">
        <v>1996</v>
      </c>
      <c r="I103" s="50"/>
      <c r="J103" s="816">
        <f t="shared" si="62"/>
        <v>22</v>
      </c>
      <c r="K103" s="816">
        <v>0.1</v>
      </c>
      <c r="L103" s="816"/>
      <c r="M103" s="816">
        <v>0.1</v>
      </c>
      <c r="N103" s="845">
        <f t="shared" si="90"/>
        <v>0.1</v>
      </c>
      <c r="O103" s="1831">
        <f t="shared" si="91"/>
        <v>0.1</v>
      </c>
      <c r="P103" s="825" t="s">
        <v>1087</v>
      </c>
      <c r="Q103" s="3" t="str">
        <f>IF(J103=J319,"stop","")</f>
        <v/>
      </c>
      <c r="R103" s="3437" t="str">
        <f t="shared" si="93"/>
        <v/>
      </c>
      <c r="S103" s="1771" t="str">
        <f t="shared" si="93"/>
        <v/>
      </c>
      <c r="T103" s="1771" t="str">
        <f t="shared" si="93"/>
        <v/>
      </c>
      <c r="U103" s="1771" t="str">
        <f t="shared" si="93"/>
        <v/>
      </c>
      <c r="V103" s="3443" t="str">
        <f t="shared" si="93"/>
        <v/>
      </c>
      <c r="W103" s="1771" t="str">
        <f t="shared" si="79"/>
        <v/>
      </c>
      <c r="X103" s="1771" t="str">
        <f t="shared" si="79"/>
        <v/>
      </c>
      <c r="Y103" s="1771" t="str">
        <f t="shared" si="79"/>
        <v/>
      </c>
      <c r="Z103" s="3437" t="str">
        <f t="shared" si="93"/>
        <v/>
      </c>
      <c r="AA103" s="1771" t="str">
        <f t="shared" si="93"/>
        <v/>
      </c>
      <c r="AB103" s="1771" t="str">
        <f t="shared" si="93"/>
        <v/>
      </c>
      <c r="AC103" s="3442" t="str">
        <f t="shared" si="93"/>
        <v/>
      </c>
      <c r="AD103" s="1771" t="str">
        <f t="shared" si="93"/>
        <v/>
      </c>
      <c r="AE103" s="1771" t="str">
        <f t="shared" si="93"/>
        <v/>
      </c>
      <c r="AF103" s="1771" t="str">
        <f t="shared" si="93"/>
        <v/>
      </c>
      <c r="AG103" s="3442">
        <f t="shared" si="92"/>
        <v>0.1</v>
      </c>
      <c r="AH103" s="1771" t="str">
        <f t="shared" si="89"/>
        <v/>
      </c>
      <c r="AI103" s="3442" t="str">
        <f t="shared" si="89"/>
        <v/>
      </c>
      <c r="AJ103" s="3462"/>
      <c r="AK103" s="3439" t="str">
        <f>IF(J103=J319,"stop","")</f>
        <v/>
      </c>
      <c r="AL103" s="3437" t="str">
        <f t="shared" si="94"/>
        <v/>
      </c>
      <c r="AM103" s="1771" t="str">
        <f t="shared" si="94"/>
        <v/>
      </c>
      <c r="AN103" s="1771" t="str">
        <f t="shared" si="94"/>
        <v/>
      </c>
      <c r="AO103" s="1771" t="str">
        <f t="shared" si="94"/>
        <v/>
      </c>
      <c r="AP103" s="3443" t="str">
        <f t="shared" si="94"/>
        <v/>
      </c>
      <c r="AQ103" s="1771" t="str">
        <f t="shared" si="81"/>
        <v/>
      </c>
      <c r="AR103" s="1771" t="str">
        <f t="shared" si="81"/>
        <v/>
      </c>
      <c r="AS103" s="3442" t="str">
        <f t="shared" si="81"/>
        <v/>
      </c>
      <c r="AT103" s="1771" t="str">
        <f t="shared" si="94"/>
        <v/>
      </c>
      <c r="AU103" s="1771" t="str">
        <f t="shared" si="94"/>
        <v/>
      </c>
      <c r="AV103" s="1771" t="str">
        <f t="shared" si="94"/>
        <v/>
      </c>
      <c r="AW103" s="3442" t="str">
        <f t="shared" si="94"/>
        <v/>
      </c>
      <c r="AX103" s="1771" t="str">
        <f t="shared" si="95"/>
        <v/>
      </c>
      <c r="AY103" s="1771" t="str">
        <f t="shared" si="95"/>
        <v/>
      </c>
      <c r="AZ103" s="1771" t="str">
        <f t="shared" si="95"/>
        <v/>
      </c>
      <c r="BA103" s="1771">
        <f t="shared" si="95"/>
        <v>0.1</v>
      </c>
      <c r="BB103" s="3437" t="str">
        <f t="shared" si="95"/>
        <v/>
      </c>
      <c r="BC103" s="3443" t="str">
        <f t="shared" si="95"/>
        <v/>
      </c>
      <c r="BD103" s="3462"/>
      <c r="BE103" s="3440" t="str">
        <f>IF(J103=J319,"stop","")</f>
        <v/>
      </c>
      <c r="BF103" s="1771" t="str">
        <f t="shared" si="96"/>
        <v/>
      </c>
      <c r="BG103" s="1771" t="str">
        <f t="shared" si="96"/>
        <v/>
      </c>
      <c r="BH103" s="1771" t="str">
        <f t="shared" si="96"/>
        <v/>
      </c>
      <c r="BI103" s="1771" t="str">
        <f t="shared" si="96"/>
        <v/>
      </c>
      <c r="BJ103" s="3443" t="str">
        <f t="shared" si="96"/>
        <v/>
      </c>
      <c r="BK103" s="3437" t="str">
        <f t="shared" si="84"/>
        <v/>
      </c>
      <c r="BL103" s="1771" t="str">
        <f t="shared" si="84"/>
        <v/>
      </c>
      <c r="BM103" s="3442" t="str">
        <f t="shared" si="84"/>
        <v/>
      </c>
      <c r="BN103" s="1771" t="str">
        <f t="shared" si="96"/>
        <v/>
      </c>
      <c r="BO103" s="1771" t="str">
        <f t="shared" si="96"/>
        <v/>
      </c>
      <c r="BP103" s="1771" t="str">
        <f t="shared" si="96"/>
        <v/>
      </c>
      <c r="BQ103" s="1771" t="str">
        <f t="shared" si="96"/>
        <v/>
      </c>
      <c r="BR103" s="3437" t="str">
        <f t="shared" si="97"/>
        <v/>
      </c>
      <c r="BS103" s="1771" t="str">
        <f t="shared" si="97"/>
        <v/>
      </c>
      <c r="BT103" s="1771" t="str">
        <f t="shared" si="97"/>
        <v/>
      </c>
      <c r="BU103" s="3442">
        <f t="shared" si="97"/>
        <v>0.1</v>
      </c>
      <c r="BV103" s="1771" t="str">
        <f t="shared" si="97"/>
        <v/>
      </c>
      <c r="BW103" s="3442" t="str">
        <f t="shared" si="97"/>
        <v/>
      </c>
      <c r="BX103" s="3462"/>
      <c r="BY103" s="3439" t="str">
        <f>IF(L103=L319,"stop","")</f>
        <v>stop</v>
      </c>
      <c r="BZ103" s="3437" t="str">
        <f t="shared" si="98"/>
        <v/>
      </c>
      <c r="CA103" s="1771" t="str">
        <f t="shared" si="98"/>
        <v/>
      </c>
      <c r="CB103" s="1771" t="str">
        <f t="shared" si="98"/>
        <v/>
      </c>
      <c r="CC103" s="3442" t="str">
        <f t="shared" si="98"/>
        <v/>
      </c>
      <c r="CD103" s="1771" t="str">
        <f t="shared" si="98"/>
        <v/>
      </c>
      <c r="CE103" s="3437" t="str">
        <f t="shared" si="87"/>
        <v/>
      </c>
      <c r="CF103" s="1771" t="str">
        <f t="shared" si="87"/>
        <v/>
      </c>
      <c r="CG103" s="1771" t="str">
        <f t="shared" si="87"/>
        <v/>
      </c>
      <c r="CH103" s="3437" t="str">
        <f t="shared" si="98"/>
        <v/>
      </c>
      <c r="CI103" s="1771" t="str">
        <f t="shared" si="98"/>
        <v/>
      </c>
      <c r="CJ103" s="1771" t="str">
        <f t="shared" si="98"/>
        <v/>
      </c>
      <c r="CK103" s="3442" t="str">
        <f t="shared" si="98"/>
        <v/>
      </c>
      <c r="CL103" s="3437" t="str">
        <f t="shared" si="99"/>
        <v/>
      </c>
      <c r="CM103" s="1771" t="str">
        <f t="shared" si="99"/>
        <v/>
      </c>
      <c r="CN103" s="1771" t="str">
        <f t="shared" si="99"/>
        <v/>
      </c>
      <c r="CO103" s="3442">
        <f t="shared" si="99"/>
        <v>0.1</v>
      </c>
      <c r="CP103" s="1771" t="str">
        <f t="shared" si="99"/>
        <v/>
      </c>
      <c r="CQ103" s="3442" t="str">
        <f t="shared" si="99"/>
        <v/>
      </c>
      <c r="CR103" s="3462"/>
    </row>
    <row r="104" spans="1:96" s="3" customFormat="1">
      <c r="A104" s="1847" t="s">
        <v>716</v>
      </c>
      <c r="B104" s="815" t="s">
        <v>717</v>
      </c>
      <c r="C104" s="816"/>
      <c r="D104" s="816"/>
      <c r="E104" s="1802"/>
      <c r="F104" s="816"/>
      <c r="G104" s="816"/>
      <c r="H104" s="816"/>
      <c r="I104" s="50"/>
      <c r="J104" s="816"/>
      <c r="K104" s="816"/>
      <c r="L104" s="816"/>
      <c r="M104" s="816"/>
      <c r="N104" s="845">
        <f t="shared" si="90"/>
        <v>0</v>
      </c>
      <c r="O104" s="1831">
        <f t="shared" si="91"/>
        <v>0</v>
      </c>
      <c r="P104" s="825" t="s">
        <v>1088</v>
      </c>
      <c r="Q104" s="3" t="str">
        <f>IF(J104=J319,"stop","")</f>
        <v/>
      </c>
      <c r="R104" s="3437" t="str">
        <f t="shared" si="93"/>
        <v/>
      </c>
      <c r="S104" s="1771" t="str">
        <f t="shared" si="93"/>
        <v/>
      </c>
      <c r="T104" s="1771" t="str">
        <f t="shared" si="93"/>
        <v/>
      </c>
      <c r="U104" s="1771" t="str">
        <f t="shared" si="93"/>
        <v/>
      </c>
      <c r="V104" s="3443" t="str">
        <f t="shared" si="93"/>
        <v/>
      </c>
      <c r="W104" s="1771" t="str">
        <f t="shared" si="79"/>
        <v/>
      </c>
      <c r="X104" s="1771" t="str">
        <f t="shared" si="79"/>
        <v/>
      </c>
      <c r="Y104" s="1771" t="str">
        <f t="shared" si="79"/>
        <v/>
      </c>
      <c r="Z104" s="3437" t="str">
        <f t="shared" si="93"/>
        <v/>
      </c>
      <c r="AA104" s="1771" t="str">
        <f t="shared" si="93"/>
        <v/>
      </c>
      <c r="AB104" s="1771" t="str">
        <f t="shared" si="93"/>
        <v/>
      </c>
      <c r="AC104" s="3442" t="str">
        <f t="shared" si="93"/>
        <v/>
      </c>
      <c r="AD104" s="1771" t="str">
        <f t="shared" si="93"/>
        <v/>
      </c>
      <c r="AE104" s="1771" t="str">
        <f t="shared" si="93"/>
        <v/>
      </c>
      <c r="AF104" s="1771" t="str">
        <f t="shared" si="93"/>
        <v/>
      </c>
      <c r="AG104" s="3442" t="str">
        <f t="shared" si="92"/>
        <v/>
      </c>
      <c r="AH104" s="1771" t="str">
        <f t="shared" si="89"/>
        <v/>
      </c>
      <c r="AI104" s="3442" t="str">
        <f t="shared" si="89"/>
        <v/>
      </c>
      <c r="AJ104" s="3462"/>
      <c r="AK104" s="3439" t="str">
        <f>IF(J104=J319,"stop","")</f>
        <v/>
      </c>
      <c r="AL104" s="3437" t="str">
        <f t="shared" si="94"/>
        <v/>
      </c>
      <c r="AM104" s="1771" t="str">
        <f t="shared" si="94"/>
        <v/>
      </c>
      <c r="AN104" s="1771" t="str">
        <f t="shared" si="94"/>
        <v/>
      </c>
      <c r="AO104" s="1771" t="str">
        <f t="shared" si="94"/>
        <v/>
      </c>
      <c r="AP104" s="3443" t="str">
        <f t="shared" si="94"/>
        <v/>
      </c>
      <c r="AQ104" s="1771" t="str">
        <f t="shared" si="81"/>
        <v/>
      </c>
      <c r="AR104" s="1771" t="str">
        <f t="shared" si="81"/>
        <v/>
      </c>
      <c r="AS104" s="3442" t="str">
        <f t="shared" si="81"/>
        <v/>
      </c>
      <c r="AT104" s="1771" t="str">
        <f t="shared" si="94"/>
        <v/>
      </c>
      <c r="AU104" s="1771" t="str">
        <f t="shared" si="94"/>
        <v/>
      </c>
      <c r="AV104" s="1771" t="str">
        <f t="shared" si="94"/>
        <v/>
      </c>
      <c r="AW104" s="3442" t="str">
        <f t="shared" si="94"/>
        <v/>
      </c>
      <c r="AX104" s="1771" t="str">
        <f t="shared" si="95"/>
        <v/>
      </c>
      <c r="AY104" s="1771" t="str">
        <f t="shared" si="95"/>
        <v/>
      </c>
      <c r="AZ104" s="1771" t="str">
        <f t="shared" si="95"/>
        <v/>
      </c>
      <c r="BA104" s="1771" t="str">
        <f t="shared" si="95"/>
        <v/>
      </c>
      <c r="BB104" s="3437" t="str">
        <f t="shared" si="95"/>
        <v/>
      </c>
      <c r="BC104" s="3443" t="str">
        <f t="shared" si="95"/>
        <v/>
      </c>
      <c r="BD104" s="3462"/>
      <c r="BE104" s="3440" t="str">
        <f>IF(J104=J319,"stop","")</f>
        <v/>
      </c>
      <c r="BF104" s="1771" t="str">
        <f t="shared" si="96"/>
        <v/>
      </c>
      <c r="BG104" s="1771" t="str">
        <f t="shared" si="96"/>
        <v/>
      </c>
      <c r="BH104" s="1771" t="str">
        <f t="shared" si="96"/>
        <v/>
      </c>
      <c r="BI104" s="1771" t="str">
        <f t="shared" si="96"/>
        <v/>
      </c>
      <c r="BJ104" s="3443" t="str">
        <f t="shared" si="96"/>
        <v/>
      </c>
      <c r="BK104" s="3437" t="str">
        <f t="shared" si="84"/>
        <v/>
      </c>
      <c r="BL104" s="1771" t="str">
        <f t="shared" si="84"/>
        <v/>
      </c>
      <c r="BM104" s="3442" t="str">
        <f t="shared" si="84"/>
        <v/>
      </c>
      <c r="BN104" s="1771" t="str">
        <f t="shared" si="96"/>
        <v/>
      </c>
      <c r="BO104" s="1771" t="str">
        <f t="shared" si="96"/>
        <v/>
      </c>
      <c r="BP104" s="1771" t="str">
        <f t="shared" si="96"/>
        <v/>
      </c>
      <c r="BQ104" s="1771" t="str">
        <f t="shared" si="96"/>
        <v/>
      </c>
      <c r="BR104" s="3437" t="str">
        <f t="shared" si="97"/>
        <v/>
      </c>
      <c r="BS104" s="1771" t="str">
        <f t="shared" si="97"/>
        <v/>
      </c>
      <c r="BT104" s="1771" t="str">
        <f t="shared" si="97"/>
        <v/>
      </c>
      <c r="BU104" s="3442" t="str">
        <f t="shared" si="97"/>
        <v/>
      </c>
      <c r="BV104" s="1771" t="str">
        <f t="shared" si="97"/>
        <v/>
      </c>
      <c r="BW104" s="3442" t="str">
        <f t="shared" si="97"/>
        <v/>
      </c>
      <c r="BX104" s="3462"/>
      <c r="BY104" s="3439" t="str">
        <f>IF(L104=L319,"stop","")</f>
        <v>stop</v>
      </c>
      <c r="BZ104" s="3437" t="str">
        <f t="shared" si="98"/>
        <v/>
      </c>
      <c r="CA104" s="1771" t="str">
        <f t="shared" si="98"/>
        <v/>
      </c>
      <c r="CB104" s="1771" t="str">
        <f t="shared" si="98"/>
        <v/>
      </c>
      <c r="CC104" s="3442" t="str">
        <f t="shared" si="98"/>
        <v/>
      </c>
      <c r="CD104" s="1771" t="str">
        <f t="shared" si="98"/>
        <v/>
      </c>
      <c r="CE104" s="3437" t="str">
        <f t="shared" si="87"/>
        <v/>
      </c>
      <c r="CF104" s="1771" t="str">
        <f t="shared" si="87"/>
        <v/>
      </c>
      <c r="CG104" s="1771" t="str">
        <f t="shared" si="87"/>
        <v/>
      </c>
      <c r="CH104" s="3437" t="str">
        <f t="shared" si="98"/>
        <v/>
      </c>
      <c r="CI104" s="1771" t="str">
        <f t="shared" si="98"/>
        <v/>
      </c>
      <c r="CJ104" s="1771" t="str">
        <f t="shared" si="98"/>
        <v/>
      </c>
      <c r="CK104" s="3442" t="str">
        <f t="shared" si="98"/>
        <v/>
      </c>
      <c r="CL104" s="3437" t="str">
        <f t="shared" si="99"/>
        <v/>
      </c>
      <c r="CM104" s="1771" t="str">
        <f t="shared" si="99"/>
        <v/>
      </c>
      <c r="CN104" s="1771" t="str">
        <f t="shared" si="99"/>
        <v/>
      </c>
      <c r="CO104" s="3442" t="str">
        <f t="shared" si="99"/>
        <v/>
      </c>
      <c r="CP104" s="1771" t="str">
        <f t="shared" si="99"/>
        <v/>
      </c>
      <c r="CQ104" s="3442" t="str">
        <f t="shared" si="99"/>
        <v/>
      </c>
      <c r="CR104" s="3462"/>
    </row>
    <row r="105" spans="1:96" s="3" customFormat="1">
      <c r="A105" s="1848" t="s">
        <v>718</v>
      </c>
      <c r="B105" s="816">
        <v>6</v>
      </c>
      <c r="C105" s="816">
        <v>6.5</v>
      </c>
      <c r="D105" s="816" t="s">
        <v>926</v>
      </c>
      <c r="E105" s="1804" t="s">
        <v>1083</v>
      </c>
      <c r="F105" s="816" t="s">
        <v>926</v>
      </c>
      <c r="G105" s="816" t="s">
        <v>695</v>
      </c>
      <c r="H105" s="816">
        <v>1996</v>
      </c>
      <c r="I105" s="50"/>
      <c r="J105" s="816">
        <f t="shared" si="62"/>
        <v>6.5</v>
      </c>
      <c r="K105" s="816">
        <v>0</v>
      </c>
      <c r="L105" s="816"/>
      <c r="M105" s="816">
        <v>0</v>
      </c>
      <c r="N105" s="845">
        <f t="shared" si="90"/>
        <v>0</v>
      </c>
      <c r="O105" s="1831">
        <f t="shared" si="91"/>
        <v>0</v>
      </c>
      <c r="P105" s="825" t="s">
        <v>1088</v>
      </c>
      <c r="Q105" s="3" t="str">
        <f>IF(J105=J319,"stop","")</f>
        <v/>
      </c>
      <c r="R105" s="3437">
        <f t="shared" si="93"/>
        <v>0</v>
      </c>
      <c r="S105" s="1771" t="str">
        <f t="shared" si="93"/>
        <v/>
      </c>
      <c r="T105" s="1771" t="str">
        <f t="shared" si="93"/>
        <v/>
      </c>
      <c r="U105" s="1771" t="str">
        <f t="shared" si="93"/>
        <v/>
      </c>
      <c r="V105" s="3443" t="str">
        <f t="shared" si="93"/>
        <v/>
      </c>
      <c r="W105" s="1771" t="str">
        <f t="shared" si="79"/>
        <v/>
      </c>
      <c r="X105" s="1771" t="str">
        <f t="shared" si="79"/>
        <v/>
      </c>
      <c r="Y105" s="1771" t="str">
        <f t="shared" si="79"/>
        <v/>
      </c>
      <c r="Z105" s="3437" t="str">
        <f t="shared" si="93"/>
        <v/>
      </c>
      <c r="AA105" s="1771" t="str">
        <f t="shared" si="93"/>
        <v/>
      </c>
      <c r="AB105" s="1771" t="str">
        <f t="shared" si="93"/>
        <v/>
      </c>
      <c r="AC105" s="3442" t="str">
        <f t="shared" si="93"/>
        <v/>
      </c>
      <c r="AD105" s="1771" t="str">
        <f t="shared" si="93"/>
        <v/>
      </c>
      <c r="AE105" s="1771" t="str">
        <f t="shared" si="93"/>
        <v/>
      </c>
      <c r="AF105" s="1771" t="str">
        <f t="shared" si="93"/>
        <v/>
      </c>
      <c r="AG105" s="3442" t="str">
        <f t="shared" si="92"/>
        <v/>
      </c>
      <c r="AH105" s="1771" t="str">
        <f t="shared" si="89"/>
        <v/>
      </c>
      <c r="AI105" s="3442" t="str">
        <f t="shared" si="89"/>
        <v/>
      </c>
      <c r="AJ105" s="3462"/>
      <c r="AK105" s="3439" t="str">
        <f>IF(J105=J319,"stop","")</f>
        <v/>
      </c>
      <c r="AL105" s="3437">
        <f t="shared" si="94"/>
        <v>0</v>
      </c>
      <c r="AM105" s="1771" t="str">
        <f t="shared" si="94"/>
        <v/>
      </c>
      <c r="AN105" s="1771" t="str">
        <f t="shared" si="94"/>
        <v/>
      </c>
      <c r="AO105" s="1771" t="str">
        <f t="shared" si="94"/>
        <v/>
      </c>
      <c r="AP105" s="3443" t="str">
        <f t="shared" si="94"/>
        <v/>
      </c>
      <c r="AQ105" s="1771" t="str">
        <f t="shared" si="81"/>
        <v/>
      </c>
      <c r="AR105" s="1771" t="str">
        <f t="shared" si="81"/>
        <v/>
      </c>
      <c r="AS105" s="3442" t="str">
        <f t="shared" si="81"/>
        <v/>
      </c>
      <c r="AT105" s="1771" t="str">
        <f t="shared" si="94"/>
        <v/>
      </c>
      <c r="AU105" s="1771" t="str">
        <f t="shared" si="94"/>
        <v/>
      </c>
      <c r="AV105" s="1771" t="str">
        <f t="shared" si="94"/>
        <v/>
      </c>
      <c r="AW105" s="3442" t="str">
        <f t="shared" si="94"/>
        <v/>
      </c>
      <c r="AX105" s="1771" t="str">
        <f t="shared" si="95"/>
        <v/>
      </c>
      <c r="AY105" s="1771" t="str">
        <f t="shared" si="95"/>
        <v/>
      </c>
      <c r="AZ105" s="1771" t="str">
        <f t="shared" si="95"/>
        <v/>
      </c>
      <c r="BA105" s="1771" t="str">
        <f t="shared" si="95"/>
        <v/>
      </c>
      <c r="BB105" s="3437" t="str">
        <f t="shared" si="95"/>
        <v/>
      </c>
      <c r="BC105" s="3443" t="str">
        <f t="shared" si="95"/>
        <v/>
      </c>
      <c r="BD105" s="3462"/>
      <c r="BE105" s="3440" t="str">
        <f>IF(J105=J319,"stop","")</f>
        <v/>
      </c>
      <c r="BF105" s="1771">
        <f t="shared" si="96"/>
        <v>0</v>
      </c>
      <c r="BG105" s="1771" t="str">
        <f t="shared" si="96"/>
        <v/>
      </c>
      <c r="BH105" s="1771" t="str">
        <f t="shared" si="96"/>
        <v/>
      </c>
      <c r="BI105" s="1771" t="str">
        <f t="shared" si="96"/>
        <v/>
      </c>
      <c r="BJ105" s="3443" t="str">
        <f t="shared" si="96"/>
        <v/>
      </c>
      <c r="BK105" s="3437" t="str">
        <f t="shared" si="84"/>
        <v/>
      </c>
      <c r="BL105" s="1771" t="str">
        <f t="shared" si="84"/>
        <v/>
      </c>
      <c r="BM105" s="3442" t="str">
        <f t="shared" si="84"/>
        <v/>
      </c>
      <c r="BN105" s="1771" t="str">
        <f t="shared" si="96"/>
        <v/>
      </c>
      <c r="BO105" s="1771" t="str">
        <f t="shared" si="96"/>
        <v/>
      </c>
      <c r="BP105" s="1771" t="str">
        <f t="shared" si="96"/>
        <v/>
      </c>
      <c r="BQ105" s="1771" t="str">
        <f t="shared" si="96"/>
        <v/>
      </c>
      <c r="BR105" s="3437" t="str">
        <f t="shared" si="97"/>
        <v/>
      </c>
      <c r="BS105" s="1771" t="str">
        <f t="shared" si="97"/>
        <v/>
      </c>
      <c r="BT105" s="1771" t="str">
        <f t="shared" si="97"/>
        <v/>
      </c>
      <c r="BU105" s="3442" t="str">
        <f t="shared" si="97"/>
        <v/>
      </c>
      <c r="BV105" s="1771" t="str">
        <f t="shared" si="97"/>
        <v/>
      </c>
      <c r="BW105" s="3442" t="str">
        <f t="shared" si="97"/>
        <v/>
      </c>
      <c r="BX105" s="3462"/>
      <c r="BY105" s="3439" t="str">
        <f>IF(L105=L319,"stop","")</f>
        <v>stop</v>
      </c>
      <c r="BZ105" s="3437">
        <f t="shared" si="98"/>
        <v>0</v>
      </c>
      <c r="CA105" s="1771" t="str">
        <f t="shared" si="98"/>
        <v/>
      </c>
      <c r="CB105" s="1771" t="str">
        <f t="shared" si="98"/>
        <v/>
      </c>
      <c r="CC105" s="3442" t="str">
        <f t="shared" si="98"/>
        <v/>
      </c>
      <c r="CD105" s="1771" t="str">
        <f t="shared" si="98"/>
        <v/>
      </c>
      <c r="CE105" s="3437" t="str">
        <f t="shared" si="87"/>
        <v/>
      </c>
      <c r="CF105" s="1771" t="str">
        <f t="shared" si="87"/>
        <v/>
      </c>
      <c r="CG105" s="1771" t="str">
        <f t="shared" si="87"/>
        <v/>
      </c>
      <c r="CH105" s="3437" t="str">
        <f t="shared" si="98"/>
        <v/>
      </c>
      <c r="CI105" s="1771" t="str">
        <f t="shared" si="98"/>
        <v/>
      </c>
      <c r="CJ105" s="1771" t="str">
        <f t="shared" si="98"/>
        <v/>
      </c>
      <c r="CK105" s="3442" t="str">
        <f t="shared" si="98"/>
        <v/>
      </c>
      <c r="CL105" s="3437" t="str">
        <f t="shared" si="99"/>
        <v/>
      </c>
      <c r="CM105" s="1771" t="str">
        <f t="shared" si="99"/>
        <v/>
      </c>
      <c r="CN105" s="1771" t="str">
        <f t="shared" si="99"/>
        <v/>
      </c>
      <c r="CO105" s="3442" t="str">
        <f t="shared" si="99"/>
        <v/>
      </c>
      <c r="CP105" s="1771" t="str">
        <f t="shared" si="99"/>
        <v/>
      </c>
      <c r="CQ105" s="3442" t="str">
        <f t="shared" si="99"/>
        <v/>
      </c>
      <c r="CR105" s="3462"/>
    </row>
    <row r="106" spans="1:96" s="3" customFormat="1">
      <c r="A106" s="1848" t="s">
        <v>719</v>
      </c>
      <c r="B106" s="816">
        <v>7</v>
      </c>
      <c r="C106" s="816">
        <v>7.5810000000000004</v>
      </c>
      <c r="D106" s="816">
        <v>2.5000000000000001E-2</v>
      </c>
      <c r="E106" s="1802" t="s">
        <v>35</v>
      </c>
      <c r="F106" s="816">
        <v>0.11</v>
      </c>
      <c r="G106" s="816" t="s">
        <v>695</v>
      </c>
      <c r="H106" s="816">
        <v>1996</v>
      </c>
      <c r="I106" s="50"/>
      <c r="J106" s="816">
        <f t="shared" si="62"/>
        <v>7.5810000000000004</v>
      </c>
      <c r="K106" s="816">
        <v>2.5000000000000001E-2</v>
      </c>
      <c r="L106" s="816" t="s">
        <v>35</v>
      </c>
      <c r="M106" s="816">
        <v>0.11</v>
      </c>
      <c r="N106" s="845">
        <f t="shared" si="90"/>
        <v>5.2440442408507579E-2</v>
      </c>
      <c r="O106" s="1831">
        <f t="shared" si="91"/>
        <v>6.7500000000000004E-2</v>
      </c>
      <c r="P106" s="825" t="s">
        <v>1088</v>
      </c>
      <c r="Q106" s="3" t="str">
        <f>IF(J106=J319,"stop","")</f>
        <v/>
      </c>
      <c r="R106" s="3437" t="str">
        <f t="shared" si="93"/>
        <v/>
      </c>
      <c r="S106" s="1771">
        <f t="shared" si="93"/>
        <v>2.5000000000000001E-2</v>
      </c>
      <c r="T106" s="1771" t="str">
        <f t="shared" si="93"/>
        <v/>
      </c>
      <c r="U106" s="1771" t="str">
        <f t="shared" si="93"/>
        <v/>
      </c>
      <c r="V106" s="3443" t="str">
        <f t="shared" si="93"/>
        <v/>
      </c>
      <c r="W106" s="1771" t="str">
        <f t="shared" si="79"/>
        <v/>
      </c>
      <c r="X106" s="1771" t="str">
        <f t="shared" si="79"/>
        <v/>
      </c>
      <c r="Y106" s="1771" t="str">
        <f t="shared" si="79"/>
        <v/>
      </c>
      <c r="Z106" s="3437" t="str">
        <f t="shared" si="93"/>
        <v/>
      </c>
      <c r="AA106" s="1771" t="str">
        <f t="shared" si="93"/>
        <v/>
      </c>
      <c r="AB106" s="1771" t="str">
        <f t="shared" si="93"/>
        <v/>
      </c>
      <c r="AC106" s="3442" t="str">
        <f t="shared" si="93"/>
        <v/>
      </c>
      <c r="AD106" s="1771" t="str">
        <f t="shared" si="93"/>
        <v/>
      </c>
      <c r="AE106" s="1771" t="str">
        <f t="shared" si="93"/>
        <v/>
      </c>
      <c r="AF106" s="1771" t="str">
        <f t="shared" si="93"/>
        <v/>
      </c>
      <c r="AG106" s="3442" t="str">
        <f t="shared" si="92"/>
        <v/>
      </c>
      <c r="AH106" s="1771" t="str">
        <f t="shared" si="89"/>
        <v/>
      </c>
      <c r="AI106" s="3442" t="str">
        <f t="shared" si="89"/>
        <v/>
      </c>
      <c r="AJ106" s="3462"/>
      <c r="AK106" s="3439" t="str">
        <f>IF(J106=J319,"stop","")</f>
        <v/>
      </c>
      <c r="AL106" s="3437" t="str">
        <f t="shared" si="94"/>
        <v/>
      </c>
      <c r="AM106" s="1771">
        <f t="shared" si="94"/>
        <v>0.11</v>
      </c>
      <c r="AN106" s="1771" t="str">
        <f t="shared" si="94"/>
        <v/>
      </c>
      <c r="AO106" s="1771" t="str">
        <f t="shared" si="94"/>
        <v/>
      </c>
      <c r="AP106" s="3443" t="str">
        <f t="shared" si="94"/>
        <v/>
      </c>
      <c r="AQ106" s="1771" t="str">
        <f t="shared" si="81"/>
        <v/>
      </c>
      <c r="AR106" s="1771" t="str">
        <f t="shared" si="81"/>
        <v/>
      </c>
      <c r="AS106" s="3442" t="str">
        <f t="shared" si="81"/>
        <v/>
      </c>
      <c r="AT106" s="1771" t="str">
        <f t="shared" si="94"/>
        <v/>
      </c>
      <c r="AU106" s="1771" t="str">
        <f t="shared" si="94"/>
        <v/>
      </c>
      <c r="AV106" s="1771" t="str">
        <f t="shared" si="94"/>
        <v/>
      </c>
      <c r="AW106" s="3442" t="str">
        <f t="shared" si="94"/>
        <v/>
      </c>
      <c r="AX106" s="1771" t="str">
        <f t="shared" si="95"/>
        <v/>
      </c>
      <c r="AY106" s="1771" t="str">
        <f t="shared" si="95"/>
        <v/>
      </c>
      <c r="AZ106" s="1771" t="str">
        <f t="shared" si="95"/>
        <v/>
      </c>
      <c r="BA106" s="1771" t="str">
        <f t="shared" si="95"/>
        <v/>
      </c>
      <c r="BB106" s="3437" t="str">
        <f t="shared" si="95"/>
        <v/>
      </c>
      <c r="BC106" s="3443" t="str">
        <f t="shared" si="95"/>
        <v/>
      </c>
      <c r="BD106" s="3462"/>
      <c r="BE106" s="3440" t="str">
        <f>IF(J106=J319,"stop","")</f>
        <v/>
      </c>
      <c r="BF106" s="1771" t="str">
        <f t="shared" si="96"/>
        <v/>
      </c>
      <c r="BG106" s="1771">
        <f t="shared" si="96"/>
        <v>5.2440442408507579E-2</v>
      </c>
      <c r="BH106" s="1771" t="str">
        <f t="shared" si="96"/>
        <v/>
      </c>
      <c r="BI106" s="1771" t="str">
        <f t="shared" si="96"/>
        <v/>
      </c>
      <c r="BJ106" s="3443" t="str">
        <f t="shared" si="96"/>
        <v/>
      </c>
      <c r="BK106" s="3437" t="str">
        <f t="shared" si="84"/>
        <v/>
      </c>
      <c r="BL106" s="1771" t="str">
        <f t="shared" si="84"/>
        <v/>
      </c>
      <c r="BM106" s="3442" t="str">
        <f t="shared" si="84"/>
        <v/>
      </c>
      <c r="BN106" s="1771" t="str">
        <f t="shared" si="96"/>
        <v/>
      </c>
      <c r="BO106" s="1771" t="str">
        <f t="shared" si="96"/>
        <v/>
      </c>
      <c r="BP106" s="1771" t="str">
        <f t="shared" si="96"/>
        <v/>
      </c>
      <c r="BQ106" s="1771" t="str">
        <f t="shared" si="96"/>
        <v/>
      </c>
      <c r="BR106" s="3437" t="str">
        <f t="shared" si="97"/>
        <v/>
      </c>
      <c r="BS106" s="1771" t="str">
        <f t="shared" si="97"/>
        <v/>
      </c>
      <c r="BT106" s="1771" t="str">
        <f t="shared" si="97"/>
        <v/>
      </c>
      <c r="BU106" s="3442" t="str">
        <f t="shared" si="97"/>
        <v/>
      </c>
      <c r="BV106" s="1771" t="str">
        <f t="shared" si="97"/>
        <v/>
      </c>
      <c r="BW106" s="3442" t="str">
        <f t="shared" si="97"/>
        <v/>
      </c>
      <c r="BX106" s="3462"/>
      <c r="BY106" s="3439" t="str">
        <f>IF(L106=L319,"stop","")</f>
        <v/>
      </c>
      <c r="BZ106" s="3437" t="str">
        <f t="shared" si="98"/>
        <v/>
      </c>
      <c r="CA106" s="1771">
        <f t="shared" si="98"/>
        <v>6.7500000000000004E-2</v>
      </c>
      <c r="CB106" s="1771" t="str">
        <f t="shared" si="98"/>
        <v/>
      </c>
      <c r="CC106" s="3442" t="str">
        <f t="shared" si="98"/>
        <v/>
      </c>
      <c r="CD106" s="1771" t="str">
        <f t="shared" si="98"/>
        <v/>
      </c>
      <c r="CE106" s="3437" t="str">
        <f t="shared" si="87"/>
        <v/>
      </c>
      <c r="CF106" s="1771" t="str">
        <f t="shared" si="87"/>
        <v/>
      </c>
      <c r="CG106" s="1771" t="str">
        <f t="shared" si="87"/>
        <v/>
      </c>
      <c r="CH106" s="3437" t="str">
        <f t="shared" si="98"/>
        <v/>
      </c>
      <c r="CI106" s="1771" t="str">
        <f t="shared" si="98"/>
        <v/>
      </c>
      <c r="CJ106" s="1771" t="str">
        <f t="shared" si="98"/>
        <v/>
      </c>
      <c r="CK106" s="3442" t="str">
        <f t="shared" si="98"/>
        <v/>
      </c>
      <c r="CL106" s="3437" t="str">
        <f t="shared" si="99"/>
        <v/>
      </c>
      <c r="CM106" s="1771" t="str">
        <f t="shared" si="99"/>
        <v/>
      </c>
      <c r="CN106" s="1771" t="str">
        <f t="shared" si="99"/>
        <v/>
      </c>
      <c r="CO106" s="3442" t="str">
        <f t="shared" si="99"/>
        <v/>
      </c>
      <c r="CP106" s="1771" t="str">
        <f t="shared" si="99"/>
        <v/>
      </c>
      <c r="CQ106" s="3442" t="str">
        <f t="shared" si="99"/>
        <v/>
      </c>
      <c r="CR106" s="3462"/>
    </row>
    <row r="107" spans="1:96" s="3" customFormat="1">
      <c r="A107" s="1848" t="s">
        <v>720</v>
      </c>
      <c r="B107" s="816">
        <v>8</v>
      </c>
      <c r="C107" s="816">
        <v>8.5</v>
      </c>
      <c r="D107" s="816">
        <v>2.8000000000000001E-2</v>
      </c>
      <c r="E107" s="1802" t="s">
        <v>35</v>
      </c>
      <c r="F107" s="816">
        <v>0.04</v>
      </c>
      <c r="G107" s="816" t="s">
        <v>695</v>
      </c>
      <c r="H107" s="816">
        <v>1996</v>
      </c>
      <c r="I107" s="50"/>
      <c r="J107" s="816">
        <f t="shared" si="62"/>
        <v>8.5</v>
      </c>
      <c r="K107" s="816">
        <v>2.8000000000000001E-2</v>
      </c>
      <c r="L107" s="816" t="s">
        <v>35</v>
      </c>
      <c r="M107" s="816">
        <v>0.04</v>
      </c>
      <c r="N107" s="845">
        <f t="shared" si="90"/>
        <v>3.3466401061363026E-2</v>
      </c>
      <c r="O107" s="1831">
        <f t="shared" si="91"/>
        <v>3.4000000000000002E-2</v>
      </c>
      <c r="P107" s="825" t="s">
        <v>1088</v>
      </c>
      <c r="Q107" s="3" t="str">
        <f>IF(J107=J319,"stop","")</f>
        <v/>
      </c>
      <c r="R107" s="3437" t="str">
        <f t="shared" si="93"/>
        <v/>
      </c>
      <c r="S107" s="1771" t="str">
        <f t="shared" si="93"/>
        <v/>
      </c>
      <c r="T107" s="1771" t="str">
        <f t="shared" si="93"/>
        <v/>
      </c>
      <c r="U107" s="1771" t="str">
        <f t="shared" si="93"/>
        <v/>
      </c>
      <c r="V107" s="3443">
        <f t="shared" si="93"/>
        <v>2.8000000000000001E-2</v>
      </c>
      <c r="W107" s="1771" t="str">
        <f t="shared" si="93"/>
        <v/>
      </c>
      <c r="X107" s="1771" t="str">
        <f t="shared" si="93"/>
        <v/>
      </c>
      <c r="Y107" s="1771" t="str">
        <f t="shared" si="93"/>
        <v/>
      </c>
      <c r="Z107" s="3437" t="str">
        <f t="shared" si="93"/>
        <v/>
      </c>
      <c r="AA107" s="1771" t="str">
        <f t="shared" si="93"/>
        <v/>
      </c>
      <c r="AB107" s="1771" t="str">
        <f t="shared" si="93"/>
        <v/>
      </c>
      <c r="AC107" s="3442" t="str">
        <f t="shared" si="93"/>
        <v/>
      </c>
      <c r="AD107" s="1771" t="str">
        <f t="shared" si="93"/>
        <v/>
      </c>
      <c r="AE107" s="1771" t="str">
        <f t="shared" si="93"/>
        <v/>
      </c>
      <c r="AF107" s="1771" t="str">
        <f t="shared" si="93"/>
        <v/>
      </c>
      <c r="AG107" s="3442" t="str">
        <f t="shared" si="92"/>
        <v/>
      </c>
      <c r="AH107" s="1771" t="str">
        <f t="shared" si="89"/>
        <v/>
      </c>
      <c r="AI107" s="3442" t="str">
        <f t="shared" si="89"/>
        <v/>
      </c>
      <c r="AJ107" s="3462"/>
      <c r="AK107" s="3439" t="str">
        <f>IF(J107=J319,"stop","")</f>
        <v/>
      </c>
      <c r="AL107" s="3437" t="str">
        <f t="shared" ref="AL107:AW116" si="100">IF(AND($J107&gt;AL$4,$J107&lt;=AL$5,$P107=AL$6),$M107,"")</f>
        <v/>
      </c>
      <c r="AM107" s="1771" t="str">
        <f t="shared" si="100"/>
        <v/>
      </c>
      <c r="AN107" s="1771" t="str">
        <f t="shared" si="100"/>
        <v/>
      </c>
      <c r="AO107" s="1771" t="str">
        <f t="shared" si="100"/>
        <v/>
      </c>
      <c r="AP107" s="3443">
        <f t="shared" si="100"/>
        <v>0.04</v>
      </c>
      <c r="AQ107" s="1771" t="str">
        <f t="shared" si="100"/>
        <v/>
      </c>
      <c r="AR107" s="1771" t="str">
        <f t="shared" si="100"/>
        <v/>
      </c>
      <c r="AS107" s="3442" t="str">
        <f t="shared" si="100"/>
        <v/>
      </c>
      <c r="AT107" s="1771" t="str">
        <f t="shared" si="100"/>
        <v/>
      </c>
      <c r="AU107" s="1771" t="str">
        <f t="shared" si="100"/>
        <v/>
      </c>
      <c r="AV107" s="1771" t="str">
        <f t="shared" si="100"/>
        <v/>
      </c>
      <c r="AW107" s="3442" t="str">
        <f t="shared" si="100"/>
        <v/>
      </c>
      <c r="AX107" s="1771" t="str">
        <f t="shared" ref="AX107:BC116" si="101">IF(AND($J107&gt;AX$4,$J107&lt;=AX$5,$P107=AX$6),$M107,"")</f>
        <v/>
      </c>
      <c r="AY107" s="1771" t="str">
        <f t="shared" si="101"/>
        <v/>
      </c>
      <c r="AZ107" s="1771" t="str">
        <f t="shared" si="101"/>
        <v/>
      </c>
      <c r="BA107" s="1771" t="str">
        <f t="shared" si="101"/>
        <v/>
      </c>
      <c r="BB107" s="3437" t="str">
        <f t="shared" si="101"/>
        <v/>
      </c>
      <c r="BC107" s="3443" t="str">
        <f t="shared" si="101"/>
        <v/>
      </c>
      <c r="BD107" s="3462"/>
      <c r="BE107" s="3440" t="str">
        <f>IF(J107=J319,"stop","")</f>
        <v/>
      </c>
      <c r="BF107" s="1771" t="str">
        <f t="shared" ref="BF107:BQ116" si="102">IF(AND($J107&gt;BF$4,$J107&lt;=BF$5,$P107=BF$6),$N107,"")</f>
        <v/>
      </c>
      <c r="BG107" s="1771" t="str">
        <f t="shared" si="102"/>
        <v/>
      </c>
      <c r="BH107" s="1771" t="str">
        <f t="shared" si="102"/>
        <v/>
      </c>
      <c r="BI107" s="1771" t="str">
        <f t="shared" si="102"/>
        <v/>
      </c>
      <c r="BJ107" s="3443">
        <f t="shared" si="102"/>
        <v>3.3466401061363026E-2</v>
      </c>
      <c r="BK107" s="3437" t="str">
        <f t="shared" si="102"/>
        <v/>
      </c>
      <c r="BL107" s="1771" t="str">
        <f t="shared" si="102"/>
        <v/>
      </c>
      <c r="BM107" s="3442" t="str">
        <f t="shared" si="102"/>
        <v/>
      </c>
      <c r="BN107" s="1771" t="str">
        <f t="shared" si="102"/>
        <v/>
      </c>
      <c r="BO107" s="1771" t="str">
        <f t="shared" si="102"/>
        <v/>
      </c>
      <c r="BP107" s="1771" t="str">
        <f t="shared" si="102"/>
        <v/>
      </c>
      <c r="BQ107" s="1771" t="str">
        <f t="shared" si="102"/>
        <v/>
      </c>
      <c r="BR107" s="3437" t="str">
        <f t="shared" ref="BR107:BW116" si="103">IF(AND($J107&gt;BR$4,$J107&lt;=BR$5,$P107=BR$6),$N107,"")</f>
        <v/>
      </c>
      <c r="BS107" s="1771" t="str">
        <f t="shared" si="103"/>
        <v/>
      </c>
      <c r="BT107" s="1771" t="str">
        <f t="shared" si="103"/>
        <v/>
      </c>
      <c r="BU107" s="3442" t="str">
        <f t="shared" si="103"/>
        <v/>
      </c>
      <c r="BV107" s="1771" t="str">
        <f t="shared" si="103"/>
        <v/>
      </c>
      <c r="BW107" s="3442" t="str">
        <f t="shared" si="103"/>
        <v/>
      </c>
      <c r="BX107" s="3462"/>
      <c r="BY107" s="3439" t="str">
        <f>IF(L107=L319,"stop","")</f>
        <v/>
      </c>
      <c r="BZ107" s="3437" t="str">
        <f t="shared" ref="BZ107:CK116" si="104">IF(AND($J107&gt;BZ$4,$J107&lt;=BZ$5,$P107=BZ$6),$O107,"")</f>
        <v/>
      </c>
      <c r="CA107" s="1771" t="str">
        <f t="shared" si="104"/>
        <v/>
      </c>
      <c r="CB107" s="1771" t="str">
        <f t="shared" si="104"/>
        <v/>
      </c>
      <c r="CC107" s="3442" t="str">
        <f t="shared" si="104"/>
        <v/>
      </c>
      <c r="CD107" s="1771">
        <f t="shared" si="104"/>
        <v>3.4000000000000002E-2</v>
      </c>
      <c r="CE107" s="3437" t="str">
        <f t="shared" si="104"/>
        <v/>
      </c>
      <c r="CF107" s="1771" t="str">
        <f t="shared" si="104"/>
        <v/>
      </c>
      <c r="CG107" s="1771" t="str">
        <f t="shared" si="104"/>
        <v/>
      </c>
      <c r="CH107" s="3437" t="str">
        <f t="shared" si="104"/>
        <v/>
      </c>
      <c r="CI107" s="1771" t="str">
        <f t="shared" si="104"/>
        <v/>
      </c>
      <c r="CJ107" s="1771" t="str">
        <f t="shared" si="104"/>
        <v/>
      </c>
      <c r="CK107" s="3442" t="str">
        <f t="shared" si="104"/>
        <v/>
      </c>
      <c r="CL107" s="3437" t="str">
        <f t="shared" ref="CL107:CQ116" si="105">IF(AND($J107&gt;CL$4,$J107&lt;=CL$5,$P107=CL$6),$O107,"")</f>
        <v/>
      </c>
      <c r="CM107" s="1771" t="str">
        <f t="shared" si="105"/>
        <v/>
      </c>
      <c r="CN107" s="1771" t="str">
        <f t="shared" si="105"/>
        <v/>
      </c>
      <c r="CO107" s="3442" t="str">
        <f t="shared" si="105"/>
        <v/>
      </c>
      <c r="CP107" s="1771" t="str">
        <f t="shared" si="105"/>
        <v/>
      </c>
      <c r="CQ107" s="3442" t="str">
        <f t="shared" si="105"/>
        <v/>
      </c>
      <c r="CR107" s="3462"/>
    </row>
    <row r="108" spans="1:96" s="3" customFormat="1">
      <c r="A108" s="1848" t="s">
        <v>730</v>
      </c>
      <c r="B108" s="816">
        <v>12</v>
      </c>
      <c r="C108" s="816"/>
      <c r="D108" s="816">
        <v>6.0000000000000001E-3</v>
      </c>
      <c r="E108" s="1802" t="s">
        <v>35</v>
      </c>
      <c r="F108" s="816">
        <v>8.9999999999999993E-3</v>
      </c>
      <c r="G108" s="816" t="s">
        <v>695</v>
      </c>
      <c r="H108" s="816">
        <v>1996</v>
      </c>
      <c r="I108" s="50"/>
      <c r="J108" s="816">
        <f t="shared" si="62"/>
        <v>12.5</v>
      </c>
      <c r="K108" s="816">
        <v>6.0000000000000001E-3</v>
      </c>
      <c r="L108" s="816" t="s">
        <v>35</v>
      </c>
      <c r="M108" s="816">
        <v>8.9999999999999993E-3</v>
      </c>
      <c r="N108" s="845">
        <f t="shared" si="90"/>
        <v>7.3484692283495344E-3</v>
      </c>
      <c r="O108" s="1831">
        <f t="shared" si="91"/>
        <v>7.4999999999999997E-3</v>
      </c>
      <c r="P108" s="825" t="s">
        <v>1088</v>
      </c>
      <c r="Q108" s="3" t="str">
        <f>IF(J108=J319,"stop","")</f>
        <v/>
      </c>
      <c r="R108" s="3437" t="str">
        <f t="shared" si="93"/>
        <v/>
      </c>
      <c r="S108" s="1771" t="str">
        <f t="shared" si="93"/>
        <v/>
      </c>
      <c r="T108" s="1771" t="str">
        <f t="shared" si="93"/>
        <v/>
      </c>
      <c r="U108" s="1771" t="str">
        <f t="shared" si="93"/>
        <v/>
      </c>
      <c r="V108" s="3443" t="str">
        <f t="shared" si="93"/>
        <v/>
      </c>
      <c r="W108" s="1771" t="str">
        <f t="shared" si="93"/>
        <v/>
      </c>
      <c r="X108" s="1771" t="str">
        <f t="shared" si="93"/>
        <v/>
      </c>
      <c r="Y108" s="1771" t="str">
        <f t="shared" si="93"/>
        <v/>
      </c>
      <c r="Z108" s="3437" t="str">
        <f t="shared" si="93"/>
        <v/>
      </c>
      <c r="AA108" s="1771">
        <f t="shared" si="93"/>
        <v>6.0000000000000001E-3</v>
      </c>
      <c r="AB108" s="1771" t="str">
        <f t="shared" si="93"/>
        <v/>
      </c>
      <c r="AC108" s="3442" t="str">
        <f t="shared" si="93"/>
        <v/>
      </c>
      <c r="AD108" s="1771" t="str">
        <f t="shared" si="93"/>
        <v/>
      </c>
      <c r="AE108" s="1771" t="str">
        <f t="shared" si="93"/>
        <v/>
      </c>
      <c r="AF108" s="1771" t="str">
        <f t="shared" si="93"/>
        <v/>
      </c>
      <c r="AG108" s="3442" t="str">
        <f t="shared" si="92"/>
        <v/>
      </c>
      <c r="AH108" s="1771" t="str">
        <f t="shared" si="92"/>
        <v/>
      </c>
      <c r="AI108" s="3442" t="str">
        <f t="shared" si="92"/>
        <v/>
      </c>
      <c r="AJ108" s="3462"/>
      <c r="AK108" s="3439" t="str">
        <f>IF(J108=J319,"stop","")</f>
        <v/>
      </c>
      <c r="AL108" s="3437" t="str">
        <f t="shared" si="100"/>
        <v/>
      </c>
      <c r="AM108" s="1771" t="str">
        <f t="shared" si="100"/>
        <v/>
      </c>
      <c r="AN108" s="1771" t="str">
        <f t="shared" si="100"/>
        <v/>
      </c>
      <c r="AO108" s="1771" t="str">
        <f t="shared" si="100"/>
        <v/>
      </c>
      <c r="AP108" s="3443" t="str">
        <f t="shared" si="100"/>
        <v/>
      </c>
      <c r="AQ108" s="1771" t="str">
        <f t="shared" si="100"/>
        <v/>
      </c>
      <c r="AR108" s="1771" t="str">
        <f t="shared" si="100"/>
        <v/>
      </c>
      <c r="AS108" s="3442" t="str">
        <f t="shared" si="100"/>
        <v/>
      </c>
      <c r="AT108" s="1771" t="str">
        <f t="shared" si="100"/>
        <v/>
      </c>
      <c r="AU108" s="1771">
        <f t="shared" si="100"/>
        <v>8.9999999999999993E-3</v>
      </c>
      <c r="AV108" s="1771" t="str">
        <f t="shared" si="100"/>
        <v/>
      </c>
      <c r="AW108" s="3442" t="str">
        <f t="shared" si="100"/>
        <v/>
      </c>
      <c r="AX108" s="1771" t="str">
        <f t="shared" si="101"/>
        <v/>
      </c>
      <c r="AY108" s="1771" t="str">
        <f t="shared" si="101"/>
        <v/>
      </c>
      <c r="AZ108" s="1771" t="str">
        <f t="shared" si="101"/>
        <v/>
      </c>
      <c r="BA108" s="1771" t="str">
        <f t="shared" si="101"/>
        <v/>
      </c>
      <c r="BB108" s="3437" t="str">
        <f t="shared" si="101"/>
        <v/>
      </c>
      <c r="BC108" s="3443" t="str">
        <f t="shared" si="101"/>
        <v/>
      </c>
      <c r="BD108" s="3462"/>
      <c r="BE108" s="3440" t="str">
        <f>IF(J108=J319,"stop","")</f>
        <v/>
      </c>
      <c r="BF108" s="1771" t="str">
        <f t="shared" si="102"/>
        <v/>
      </c>
      <c r="BG108" s="1771" t="str">
        <f t="shared" si="102"/>
        <v/>
      </c>
      <c r="BH108" s="1771" t="str">
        <f t="shared" si="102"/>
        <v/>
      </c>
      <c r="BI108" s="1771" t="str">
        <f t="shared" si="102"/>
        <v/>
      </c>
      <c r="BJ108" s="3443" t="str">
        <f t="shared" si="102"/>
        <v/>
      </c>
      <c r="BK108" s="3437" t="str">
        <f t="shared" si="102"/>
        <v/>
      </c>
      <c r="BL108" s="1771" t="str">
        <f t="shared" si="102"/>
        <v/>
      </c>
      <c r="BM108" s="3442" t="str">
        <f t="shared" si="102"/>
        <v/>
      </c>
      <c r="BN108" s="1771" t="str">
        <f t="shared" si="102"/>
        <v/>
      </c>
      <c r="BO108" s="1771">
        <f t="shared" si="102"/>
        <v>7.3484692283495344E-3</v>
      </c>
      <c r="BP108" s="1771" t="str">
        <f t="shared" si="102"/>
        <v/>
      </c>
      <c r="BQ108" s="1771" t="str">
        <f t="shared" si="102"/>
        <v/>
      </c>
      <c r="BR108" s="3437" t="str">
        <f t="shared" si="103"/>
        <v/>
      </c>
      <c r="BS108" s="1771" t="str">
        <f t="shared" si="103"/>
        <v/>
      </c>
      <c r="BT108" s="1771" t="str">
        <f t="shared" si="103"/>
        <v/>
      </c>
      <c r="BU108" s="3442" t="str">
        <f t="shared" si="103"/>
        <v/>
      </c>
      <c r="BV108" s="1771" t="str">
        <f t="shared" si="103"/>
        <v/>
      </c>
      <c r="BW108" s="3442" t="str">
        <f t="shared" si="103"/>
        <v/>
      </c>
      <c r="BX108" s="3462"/>
      <c r="BY108" s="3439" t="str">
        <f>IF(L108=L319,"stop","")</f>
        <v/>
      </c>
      <c r="BZ108" s="3437" t="str">
        <f t="shared" si="104"/>
        <v/>
      </c>
      <c r="CA108" s="1771" t="str">
        <f t="shared" si="104"/>
        <v/>
      </c>
      <c r="CB108" s="1771" t="str">
        <f t="shared" si="104"/>
        <v/>
      </c>
      <c r="CC108" s="3442" t="str">
        <f t="shared" si="104"/>
        <v/>
      </c>
      <c r="CD108" s="1771" t="str">
        <f t="shared" si="104"/>
        <v/>
      </c>
      <c r="CE108" s="3437" t="str">
        <f t="shared" si="104"/>
        <v/>
      </c>
      <c r="CF108" s="1771" t="str">
        <f t="shared" si="104"/>
        <v/>
      </c>
      <c r="CG108" s="1771" t="str">
        <f t="shared" si="104"/>
        <v/>
      </c>
      <c r="CH108" s="3437" t="str">
        <f t="shared" si="104"/>
        <v/>
      </c>
      <c r="CI108" s="1771">
        <f t="shared" si="104"/>
        <v>7.4999999999999997E-3</v>
      </c>
      <c r="CJ108" s="1771" t="str">
        <f t="shared" si="104"/>
        <v/>
      </c>
      <c r="CK108" s="3442" t="str">
        <f t="shared" si="104"/>
        <v/>
      </c>
      <c r="CL108" s="3437" t="str">
        <f t="shared" si="105"/>
        <v/>
      </c>
      <c r="CM108" s="1771" t="str">
        <f t="shared" si="105"/>
        <v/>
      </c>
      <c r="CN108" s="1771" t="str">
        <f t="shared" si="105"/>
        <v/>
      </c>
      <c r="CO108" s="3442" t="str">
        <f t="shared" si="105"/>
        <v/>
      </c>
      <c r="CP108" s="1771" t="str">
        <f t="shared" si="105"/>
        <v/>
      </c>
      <c r="CQ108" s="3442" t="str">
        <f t="shared" si="105"/>
        <v/>
      </c>
      <c r="CR108" s="3462"/>
    </row>
    <row r="109" spans="1:96" s="3" customFormat="1">
      <c r="A109" s="1849" t="s">
        <v>731</v>
      </c>
      <c r="B109" s="1833"/>
      <c r="C109" s="816"/>
      <c r="D109" s="816"/>
      <c r="E109" s="1802"/>
      <c r="F109" s="816"/>
      <c r="G109" s="816"/>
      <c r="H109" s="816"/>
      <c r="I109" s="50"/>
      <c r="J109" s="816"/>
      <c r="K109" s="816"/>
      <c r="L109" s="816"/>
      <c r="M109" s="816"/>
      <c r="N109" s="845">
        <f t="shared" si="90"/>
        <v>0</v>
      </c>
      <c r="O109" s="1831">
        <f t="shared" si="91"/>
        <v>0</v>
      </c>
      <c r="P109" s="825" t="s">
        <v>1088</v>
      </c>
      <c r="Q109" s="3" t="str">
        <f>IF(J109=J319,"stop","")</f>
        <v/>
      </c>
      <c r="R109" s="3437" t="str">
        <f t="shared" si="93"/>
        <v/>
      </c>
      <c r="S109" s="1771" t="str">
        <f t="shared" si="93"/>
        <v/>
      </c>
      <c r="T109" s="1771" t="str">
        <f t="shared" si="93"/>
        <v/>
      </c>
      <c r="U109" s="1771" t="str">
        <f t="shared" si="93"/>
        <v/>
      </c>
      <c r="V109" s="3443" t="str">
        <f t="shared" si="93"/>
        <v/>
      </c>
      <c r="W109" s="1771" t="str">
        <f t="shared" si="93"/>
        <v/>
      </c>
      <c r="X109" s="1771" t="str">
        <f t="shared" si="93"/>
        <v/>
      </c>
      <c r="Y109" s="1771" t="str">
        <f t="shared" si="93"/>
        <v/>
      </c>
      <c r="Z109" s="3437" t="str">
        <f t="shared" si="93"/>
        <v/>
      </c>
      <c r="AA109" s="1771" t="str">
        <f t="shared" si="93"/>
        <v/>
      </c>
      <c r="AB109" s="1771" t="str">
        <f t="shared" si="93"/>
        <v/>
      </c>
      <c r="AC109" s="3442" t="str">
        <f t="shared" si="93"/>
        <v/>
      </c>
      <c r="AD109" s="1771" t="str">
        <f t="shared" si="93"/>
        <v/>
      </c>
      <c r="AE109" s="1771" t="str">
        <f t="shared" si="93"/>
        <v/>
      </c>
      <c r="AF109" s="1771" t="str">
        <f t="shared" si="93"/>
        <v/>
      </c>
      <c r="AG109" s="3442" t="str">
        <f t="shared" si="92"/>
        <v/>
      </c>
      <c r="AH109" s="1771" t="str">
        <f t="shared" si="92"/>
        <v/>
      </c>
      <c r="AI109" s="3442" t="str">
        <f t="shared" si="92"/>
        <v/>
      </c>
      <c r="AJ109" s="3462"/>
      <c r="AK109" s="3439" t="str">
        <f>IF(J109=J319,"stop","")</f>
        <v/>
      </c>
      <c r="AL109" s="3437" t="str">
        <f t="shared" si="100"/>
        <v/>
      </c>
      <c r="AM109" s="1771" t="str">
        <f t="shared" si="100"/>
        <v/>
      </c>
      <c r="AN109" s="1771" t="str">
        <f t="shared" si="100"/>
        <v/>
      </c>
      <c r="AO109" s="1771" t="str">
        <f t="shared" si="100"/>
        <v/>
      </c>
      <c r="AP109" s="3443" t="str">
        <f t="shared" si="100"/>
        <v/>
      </c>
      <c r="AQ109" s="1771" t="str">
        <f t="shared" si="100"/>
        <v/>
      </c>
      <c r="AR109" s="1771" t="str">
        <f t="shared" si="100"/>
        <v/>
      </c>
      <c r="AS109" s="3442" t="str">
        <f t="shared" si="100"/>
        <v/>
      </c>
      <c r="AT109" s="1771" t="str">
        <f t="shared" si="100"/>
        <v/>
      </c>
      <c r="AU109" s="1771" t="str">
        <f t="shared" si="100"/>
        <v/>
      </c>
      <c r="AV109" s="1771" t="str">
        <f t="shared" si="100"/>
        <v/>
      </c>
      <c r="AW109" s="3442" t="str">
        <f t="shared" si="100"/>
        <v/>
      </c>
      <c r="AX109" s="1771" t="str">
        <f t="shared" si="101"/>
        <v/>
      </c>
      <c r="AY109" s="1771" t="str">
        <f t="shared" si="101"/>
        <v/>
      </c>
      <c r="AZ109" s="1771" t="str">
        <f t="shared" si="101"/>
        <v/>
      </c>
      <c r="BA109" s="1771" t="str">
        <f t="shared" si="101"/>
        <v/>
      </c>
      <c r="BB109" s="3437" t="str">
        <f t="shared" si="101"/>
        <v/>
      </c>
      <c r="BC109" s="3443" t="str">
        <f t="shared" si="101"/>
        <v/>
      </c>
      <c r="BD109" s="3462"/>
      <c r="BE109" s="3440" t="str">
        <f>IF(J109=J319,"stop","")</f>
        <v/>
      </c>
      <c r="BF109" s="1771" t="str">
        <f t="shared" si="102"/>
        <v/>
      </c>
      <c r="BG109" s="1771" t="str">
        <f t="shared" si="102"/>
        <v/>
      </c>
      <c r="BH109" s="1771" t="str">
        <f t="shared" si="102"/>
        <v/>
      </c>
      <c r="BI109" s="1771" t="str">
        <f t="shared" si="102"/>
        <v/>
      </c>
      <c r="BJ109" s="3443" t="str">
        <f t="shared" si="102"/>
        <v/>
      </c>
      <c r="BK109" s="3437" t="str">
        <f t="shared" si="102"/>
        <v/>
      </c>
      <c r="BL109" s="1771" t="str">
        <f t="shared" si="102"/>
        <v/>
      </c>
      <c r="BM109" s="3442" t="str">
        <f t="shared" si="102"/>
        <v/>
      </c>
      <c r="BN109" s="1771" t="str">
        <f t="shared" si="102"/>
        <v/>
      </c>
      <c r="BO109" s="1771" t="str">
        <f t="shared" si="102"/>
        <v/>
      </c>
      <c r="BP109" s="1771" t="str">
        <f t="shared" si="102"/>
        <v/>
      </c>
      <c r="BQ109" s="1771" t="str">
        <f t="shared" si="102"/>
        <v/>
      </c>
      <c r="BR109" s="3437" t="str">
        <f t="shared" si="103"/>
        <v/>
      </c>
      <c r="BS109" s="1771" t="str">
        <f t="shared" si="103"/>
        <v/>
      </c>
      <c r="BT109" s="1771" t="str">
        <f t="shared" si="103"/>
        <v/>
      </c>
      <c r="BU109" s="3442" t="str">
        <f t="shared" si="103"/>
        <v/>
      </c>
      <c r="BV109" s="1771" t="str">
        <f t="shared" si="103"/>
        <v/>
      </c>
      <c r="BW109" s="3442" t="str">
        <f t="shared" si="103"/>
        <v/>
      </c>
      <c r="BX109" s="3462"/>
      <c r="BY109" s="3439" t="str">
        <f>IF(L109=L319,"stop","")</f>
        <v>stop</v>
      </c>
      <c r="BZ109" s="3437" t="str">
        <f t="shared" si="104"/>
        <v/>
      </c>
      <c r="CA109" s="1771" t="str">
        <f t="shared" si="104"/>
        <v/>
      </c>
      <c r="CB109" s="1771" t="str">
        <f t="shared" si="104"/>
        <v/>
      </c>
      <c r="CC109" s="3442" t="str">
        <f t="shared" si="104"/>
        <v/>
      </c>
      <c r="CD109" s="1771" t="str">
        <f t="shared" si="104"/>
        <v/>
      </c>
      <c r="CE109" s="3437" t="str">
        <f t="shared" si="104"/>
        <v/>
      </c>
      <c r="CF109" s="1771" t="str">
        <f t="shared" si="104"/>
        <v/>
      </c>
      <c r="CG109" s="1771" t="str">
        <f t="shared" si="104"/>
        <v/>
      </c>
      <c r="CH109" s="3437" t="str">
        <f t="shared" si="104"/>
        <v/>
      </c>
      <c r="CI109" s="1771" t="str">
        <f t="shared" si="104"/>
        <v/>
      </c>
      <c r="CJ109" s="1771" t="str">
        <f t="shared" si="104"/>
        <v/>
      </c>
      <c r="CK109" s="3442" t="str">
        <f t="shared" si="104"/>
        <v/>
      </c>
      <c r="CL109" s="3437" t="str">
        <f t="shared" si="105"/>
        <v/>
      </c>
      <c r="CM109" s="1771" t="str">
        <f t="shared" si="105"/>
        <v/>
      </c>
      <c r="CN109" s="1771" t="str">
        <f t="shared" si="105"/>
        <v/>
      </c>
      <c r="CO109" s="3442" t="str">
        <f t="shared" si="105"/>
        <v/>
      </c>
      <c r="CP109" s="1771" t="str">
        <f t="shared" si="105"/>
        <v/>
      </c>
      <c r="CQ109" s="3442" t="str">
        <f t="shared" si="105"/>
        <v/>
      </c>
      <c r="CR109" s="3462"/>
    </row>
    <row r="110" spans="1:96" s="3" customFormat="1">
      <c r="A110" s="1848" t="s">
        <v>772</v>
      </c>
      <c r="B110" s="816">
        <v>12</v>
      </c>
      <c r="C110" s="816">
        <v>15.5</v>
      </c>
      <c r="D110" s="816">
        <v>1.2999999999999999E-2</v>
      </c>
      <c r="E110" s="1802" t="s">
        <v>35</v>
      </c>
      <c r="F110" s="816">
        <v>2.1999999999999999E-2</v>
      </c>
      <c r="G110" s="816" t="s">
        <v>695</v>
      </c>
      <c r="H110" s="816">
        <v>1996</v>
      </c>
      <c r="I110" s="50"/>
      <c r="J110" s="816">
        <f t="shared" si="62"/>
        <v>15.5</v>
      </c>
      <c r="K110" s="816">
        <v>1.2999999999999999E-2</v>
      </c>
      <c r="L110" s="816" t="s">
        <v>35</v>
      </c>
      <c r="M110" s="816">
        <v>2.1999999999999999E-2</v>
      </c>
      <c r="N110" s="845">
        <f t="shared" si="90"/>
        <v>1.691153452528776E-2</v>
      </c>
      <c r="O110" s="1831">
        <f t="shared" si="91"/>
        <v>1.7499999999999998E-2</v>
      </c>
      <c r="P110" s="825" t="s">
        <v>1088</v>
      </c>
      <c r="Q110" s="3" t="str">
        <f>IF(J110=J319,"stop","")</f>
        <v/>
      </c>
      <c r="R110" s="3437" t="str">
        <f t="shared" si="93"/>
        <v/>
      </c>
      <c r="S110" s="1771" t="str">
        <f t="shared" si="93"/>
        <v/>
      </c>
      <c r="T110" s="1771" t="str">
        <f t="shared" si="93"/>
        <v/>
      </c>
      <c r="U110" s="1771" t="str">
        <f t="shared" si="93"/>
        <v/>
      </c>
      <c r="V110" s="3443" t="str">
        <f t="shared" si="93"/>
        <v/>
      </c>
      <c r="W110" s="1771" t="str">
        <f t="shared" si="93"/>
        <v/>
      </c>
      <c r="X110" s="1771" t="str">
        <f t="shared" si="93"/>
        <v/>
      </c>
      <c r="Y110" s="1771" t="str">
        <f t="shared" si="93"/>
        <v/>
      </c>
      <c r="Z110" s="3437" t="str">
        <f t="shared" si="93"/>
        <v/>
      </c>
      <c r="AA110" s="1771">
        <f t="shared" si="93"/>
        <v>1.2999999999999999E-2</v>
      </c>
      <c r="AB110" s="1771" t="str">
        <f t="shared" si="93"/>
        <v/>
      </c>
      <c r="AC110" s="3442" t="str">
        <f t="shared" si="93"/>
        <v/>
      </c>
      <c r="AD110" s="1771" t="str">
        <f t="shared" si="93"/>
        <v/>
      </c>
      <c r="AE110" s="1771" t="str">
        <f t="shared" si="93"/>
        <v/>
      </c>
      <c r="AF110" s="1771" t="str">
        <f t="shared" si="93"/>
        <v/>
      </c>
      <c r="AG110" s="3442" t="str">
        <f t="shared" si="92"/>
        <v/>
      </c>
      <c r="AH110" s="1771" t="str">
        <f t="shared" si="92"/>
        <v/>
      </c>
      <c r="AI110" s="3442" t="str">
        <f t="shared" si="92"/>
        <v/>
      </c>
      <c r="AJ110" s="3462"/>
      <c r="AK110" s="3439" t="str">
        <f>IF(J110=J319,"stop","")</f>
        <v/>
      </c>
      <c r="AL110" s="3437" t="str">
        <f t="shared" si="100"/>
        <v/>
      </c>
      <c r="AM110" s="1771" t="str">
        <f t="shared" si="100"/>
        <v/>
      </c>
      <c r="AN110" s="1771" t="str">
        <f t="shared" si="100"/>
        <v/>
      </c>
      <c r="AO110" s="1771" t="str">
        <f t="shared" si="100"/>
        <v/>
      </c>
      <c r="AP110" s="3443" t="str">
        <f t="shared" si="100"/>
        <v/>
      </c>
      <c r="AQ110" s="1771" t="str">
        <f t="shared" si="100"/>
        <v/>
      </c>
      <c r="AR110" s="1771" t="str">
        <f t="shared" si="100"/>
        <v/>
      </c>
      <c r="AS110" s="3442" t="str">
        <f t="shared" si="100"/>
        <v/>
      </c>
      <c r="AT110" s="1771" t="str">
        <f t="shared" si="100"/>
        <v/>
      </c>
      <c r="AU110" s="1771">
        <f t="shared" si="100"/>
        <v>2.1999999999999999E-2</v>
      </c>
      <c r="AV110" s="1771" t="str">
        <f t="shared" si="100"/>
        <v/>
      </c>
      <c r="AW110" s="3442" t="str">
        <f t="shared" si="100"/>
        <v/>
      </c>
      <c r="AX110" s="1771" t="str">
        <f t="shared" si="101"/>
        <v/>
      </c>
      <c r="AY110" s="1771" t="str">
        <f t="shared" si="101"/>
        <v/>
      </c>
      <c r="AZ110" s="1771" t="str">
        <f t="shared" si="101"/>
        <v/>
      </c>
      <c r="BA110" s="1771" t="str">
        <f t="shared" si="101"/>
        <v/>
      </c>
      <c r="BB110" s="3437" t="str">
        <f t="shared" si="101"/>
        <v/>
      </c>
      <c r="BC110" s="3443" t="str">
        <f t="shared" si="101"/>
        <v/>
      </c>
      <c r="BD110" s="3462"/>
      <c r="BE110" s="3440" t="str">
        <f>IF(J110=J319,"stop","")</f>
        <v/>
      </c>
      <c r="BF110" s="1771" t="str">
        <f t="shared" si="102"/>
        <v/>
      </c>
      <c r="BG110" s="1771" t="str">
        <f t="shared" si="102"/>
        <v/>
      </c>
      <c r="BH110" s="1771" t="str">
        <f t="shared" si="102"/>
        <v/>
      </c>
      <c r="BI110" s="1771" t="str">
        <f t="shared" si="102"/>
        <v/>
      </c>
      <c r="BJ110" s="3443" t="str">
        <f t="shared" si="102"/>
        <v/>
      </c>
      <c r="BK110" s="3437" t="str">
        <f t="shared" si="102"/>
        <v/>
      </c>
      <c r="BL110" s="1771" t="str">
        <f t="shared" si="102"/>
        <v/>
      </c>
      <c r="BM110" s="3442" t="str">
        <f t="shared" si="102"/>
        <v/>
      </c>
      <c r="BN110" s="1771" t="str">
        <f t="shared" si="102"/>
        <v/>
      </c>
      <c r="BO110" s="1771">
        <f t="shared" si="102"/>
        <v>1.691153452528776E-2</v>
      </c>
      <c r="BP110" s="1771" t="str">
        <f t="shared" si="102"/>
        <v/>
      </c>
      <c r="BQ110" s="1771" t="str">
        <f t="shared" si="102"/>
        <v/>
      </c>
      <c r="BR110" s="3437" t="str">
        <f t="shared" si="103"/>
        <v/>
      </c>
      <c r="BS110" s="1771" t="str">
        <f t="shared" si="103"/>
        <v/>
      </c>
      <c r="BT110" s="1771" t="str">
        <f t="shared" si="103"/>
        <v/>
      </c>
      <c r="BU110" s="3442" t="str">
        <f t="shared" si="103"/>
        <v/>
      </c>
      <c r="BV110" s="1771" t="str">
        <f t="shared" si="103"/>
        <v/>
      </c>
      <c r="BW110" s="3442" t="str">
        <f t="shared" si="103"/>
        <v/>
      </c>
      <c r="BX110" s="3462"/>
      <c r="BY110" s="3439" t="str">
        <f>IF(L110=L319,"stop","")</f>
        <v/>
      </c>
      <c r="BZ110" s="3437" t="str">
        <f t="shared" si="104"/>
        <v/>
      </c>
      <c r="CA110" s="1771" t="str">
        <f t="shared" si="104"/>
        <v/>
      </c>
      <c r="CB110" s="1771" t="str">
        <f t="shared" si="104"/>
        <v/>
      </c>
      <c r="CC110" s="3442" t="str">
        <f t="shared" si="104"/>
        <v/>
      </c>
      <c r="CD110" s="1771" t="str">
        <f t="shared" si="104"/>
        <v/>
      </c>
      <c r="CE110" s="3437" t="str">
        <f t="shared" si="104"/>
        <v/>
      </c>
      <c r="CF110" s="1771" t="str">
        <f t="shared" si="104"/>
        <v/>
      </c>
      <c r="CG110" s="1771" t="str">
        <f t="shared" si="104"/>
        <v/>
      </c>
      <c r="CH110" s="3437" t="str">
        <f t="shared" si="104"/>
        <v/>
      </c>
      <c r="CI110" s="1771">
        <f t="shared" si="104"/>
        <v>1.7499999999999998E-2</v>
      </c>
      <c r="CJ110" s="1771" t="str">
        <f t="shared" si="104"/>
        <v/>
      </c>
      <c r="CK110" s="3442" t="str">
        <f t="shared" si="104"/>
        <v/>
      </c>
      <c r="CL110" s="3437" t="str">
        <f t="shared" si="105"/>
        <v/>
      </c>
      <c r="CM110" s="1771" t="str">
        <f t="shared" si="105"/>
        <v/>
      </c>
      <c r="CN110" s="1771" t="str">
        <f t="shared" si="105"/>
        <v/>
      </c>
      <c r="CO110" s="3442" t="str">
        <f t="shared" si="105"/>
        <v/>
      </c>
      <c r="CP110" s="1771" t="str">
        <f t="shared" si="105"/>
        <v/>
      </c>
      <c r="CQ110" s="3442" t="str">
        <f t="shared" si="105"/>
        <v/>
      </c>
      <c r="CR110" s="3462"/>
    </row>
    <row r="111" spans="1:96" s="3" customFormat="1">
      <c r="A111" s="1848" t="s">
        <v>773</v>
      </c>
      <c r="B111" s="816">
        <v>12</v>
      </c>
      <c r="C111" s="816">
        <v>15.06</v>
      </c>
      <c r="D111" s="816">
        <v>6.0000000000000001E-3</v>
      </c>
      <c r="E111" s="1804" t="s">
        <v>1083</v>
      </c>
      <c r="F111" s="816">
        <v>6.0000000000000001E-3</v>
      </c>
      <c r="G111" s="816" t="s">
        <v>695</v>
      </c>
      <c r="H111" s="816">
        <v>1996</v>
      </c>
      <c r="I111" s="50"/>
      <c r="J111" s="816">
        <f t="shared" si="62"/>
        <v>15.06</v>
      </c>
      <c r="K111" s="816">
        <v>6.0000000000000001E-3</v>
      </c>
      <c r="L111" s="816"/>
      <c r="M111" s="816">
        <v>6.0000000000000001E-3</v>
      </c>
      <c r="N111" s="845">
        <f t="shared" si="90"/>
        <v>6.0000000000000001E-3</v>
      </c>
      <c r="O111" s="1831">
        <f t="shared" si="91"/>
        <v>6.0000000000000001E-3</v>
      </c>
      <c r="P111" s="825" t="s">
        <v>1088</v>
      </c>
      <c r="Q111" s="3" t="str">
        <f>IF(J111=J319,"stop","")</f>
        <v/>
      </c>
      <c r="R111" s="3437" t="str">
        <f t="shared" si="93"/>
        <v/>
      </c>
      <c r="S111" s="1771" t="str">
        <f t="shared" si="93"/>
        <v/>
      </c>
      <c r="T111" s="1771" t="str">
        <f t="shared" si="93"/>
        <v/>
      </c>
      <c r="U111" s="1771" t="str">
        <f t="shared" si="93"/>
        <v/>
      </c>
      <c r="V111" s="3443" t="str">
        <f t="shared" si="93"/>
        <v/>
      </c>
      <c r="W111" s="1771" t="str">
        <f t="shared" si="93"/>
        <v/>
      </c>
      <c r="X111" s="1771" t="str">
        <f t="shared" si="93"/>
        <v/>
      </c>
      <c r="Y111" s="1771" t="str">
        <f t="shared" si="93"/>
        <v/>
      </c>
      <c r="Z111" s="3437" t="str">
        <f t="shared" si="93"/>
        <v/>
      </c>
      <c r="AA111" s="1771">
        <f t="shared" si="93"/>
        <v>6.0000000000000001E-3</v>
      </c>
      <c r="AB111" s="1771" t="str">
        <f t="shared" si="93"/>
        <v/>
      </c>
      <c r="AC111" s="3442" t="str">
        <f t="shared" si="93"/>
        <v/>
      </c>
      <c r="AD111" s="1771" t="str">
        <f t="shared" si="93"/>
        <v/>
      </c>
      <c r="AE111" s="1771" t="str">
        <f t="shared" si="93"/>
        <v/>
      </c>
      <c r="AF111" s="1771" t="str">
        <f t="shared" si="93"/>
        <v/>
      </c>
      <c r="AG111" s="3442" t="str">
        <f t="shared" si="92"/>
        <v/>
      </c>
      <c r="AH111" s="1771" t="str">
        <f t="shared" si="92"/>
        <v/>
      </c>
      <c r="AI111" s="3442" t="str">
        <f t="shared" si="92"/>
        <v/>
      </c>
      <c r="AJ111" s="3462"/>
      <c r="AK111" s="3439" t="str">
        <f>IF(J111=J319,"stop","")</f>
        <v/>
      </c>
      <c r="AL111" s="3437" t="str">
        <f t="shared" si="100"/>
        <v/>
      </c>
      <c r="AM111" s="1771" t="str">
        <f t="shared" si="100"/>
        <v/>
      </c>
      <c r="AN111" s="1771" t="str">
        <f t="shared" si="100"/>
        <v/>
      </c>
      <c r="AO111" s="1771" t="str">
        <f t="shared" si="100"/>
        <v/>
      </c>
      <c r="AP111" s="3443" t="str">
        <f t="shared" si="100"/>
        <v/>
      </c>
      <c r="AQ111" s="1771" t="str">
        <f t="shared" si="100"/>
        <v/>
      </c>
      <c r="AR111" s="1771" t="str">
        <f t="shared" si="100"/>
        <v/>
      </c>
      <c r="AS111" s="3442" t="str">
        <f t="shared" si="100"/>
        <v/>
      </c>
      <c r="AT111" s="1771" t="str">
        <f t="shared" si="100"/>
        <v/>
      </c>
      <c r="AU111" s="1771">
        <f t="shared" si="100"/>
        <v>6.0000000000000001E-3</v>
      </c>
      <c r="AV111" s="1771" t="str">
        <f t="shared" si="100"/>
        <v/>
      </c>
      <c r="AW111" s="3442" t="str">
        <f t="shared" si="100"/>
        <v/>
      </c>
      <c r="AX111" s="1771" t="str">
        <f t="shared" si="101"/>
        <v/>
      </c>
      <c r="AY111" s="1771" t="str">
        <f t="shared" si="101"/>
        <v/>
      </c>
      <c r="AZ111" s="1771" t="str">
        <f t="shared" si="101"/>
        <v/>
      </c>
      <c r="BA111" s="1771" t="str">
        <f t="shared" si="101"/>
        <v/>
      </c>
      <c r="BB111" s="3437" t="str">
        <f t="shared" si="101"/>
        <v/>
      </c>
      <c r="BC111" s="3443" t="str">
        <f t="shared" si="101"/>
        <v/>
      </c>
      <c r="BD111" s="3462"/>
      <c r="BE111" s="3440" t="str">
        <f>IF(J111=J319,"stop","")</f>
        <v/>
      </c>
      <c r="BF111" s="1771" t="str">
        <f t="shared" si="102"/>
        <v/>
      </c>
      <c r="BG111" s="1771" t="str">
        <f t="shared" si="102"/>
        <v/>
      </c>
      <c r="BH111" s="1771" t="str">
        <f t="shared" si="102"/>
        <v/>
      </c>
      <c r="BI111" s="1771" t="str">
        <f t="shared" si="102"/>
        <v/>
      </c>
      <c r="BJ111" s="3443" t="str">
        <f t="shared" si="102"/>
        <v/>
      </c>
      <c r="BK111" s="3437" t="str">
        <f t="shared" si="102"/>
        <v/>
      </c>
      <c r="BL111" s="1771" t="str">
        <f t="shared" si="102"/>
        <v/>
      </c>
      <c r="BM111" s="3442" t="str">
        <f t="shared" si="102"/>
        <v/>
      </c>
      <c r="BN111" s="1771" t="str">
        <f t="shared" si="102"/>
        <v/>
      </c>
      <c r="BO111" s="1771">
        <f t="shared" si="102"/>
        <v>6.0000000000000001E-3</v>
      </c>
      <c r="BP111" s="1771" t="str">
        <f t="shared" si="102"/>
        <v/>
      </c>
      <c r="BQ111" s="1771" t="str">
        <f t="shared" si="102"/>
        <v/>
      </c>
      <c r="BR111" s="3437" t="str">
        <f t="shared" si="103"/>
        <v/>
      </c>
      <c r="BS111" s="1771" t="str">
        <f t="shared" si="103"/>
        <v/>
      </c>
      <c r="BT111" s="1771" t="str">
        <f t="shared" si="103"/>
        <v/>
      </c>
      <c r="BU111" s="3442" t="str">
        <f t="shared" si="103"/>
        <v/>
      </c>
      <c r="BV111" s="1771" t="str">
        <f t="shared" si="103"/>
        <v/>
      </c>
      <c r="BW111" s="3442" t="str">
        <f t="shared" si="103"/>
        <v/>
      </c>
      <c r="BX111" s="3462"/>
      <c r="BY111" s="3439" t="str">
        <f>IF(L111=L319,"stop","")</f>
        <v>stop</v>
      </c>
      <c r="BZ111" s="3437" t="str">
        <f t="shared" si="104"/>
        <v/>
      </c>
      <c r="CA111" s="1771" t="str">
        <f t="shared" si="104"/>
        <v/>
      </c>
      <c r="CB111" s="1771" t="str">
        <f t="shared" si="104"/>
        <v/>
      </c>
      <c r="CC111" s="3442" t="str">
        <f t="shared" si="104"/>
        <v/>
      </c>
      <c r="CD111" s="1771" t="str">
        <f t="shared" si="104"/>
        <v/>
      </c>
      <c r="CE111" s="3437" t="str">
        <f t="shared" si="104"/>
        <v/>
      </c>
      <c r="CF111" s="1771" t="str">
        <f t="shared" si="104"/>
        <v/>
      </c>
      <c r="CG111" s="1771" t="str">
        <f t="shared" si="104"/>
        <v/>
      </c>
      <c r="CH111" s="3437" t="str">
        <f t="shared" si="104"/>
        <v/>
      </c>
      <c r="CI111" s="1771">
        <f t="shared" si="104"/>
        <v>6.0000000000000001E-3</v>
      </c>
      <c r="CJ111" s="1771" t="str">
        <f t="shared" si="104"/>
        <v/>
      </c>
      <c r="CK111" s="3442" t="str">
        <f t="shared" si="104"/>
        <v/>
      </c>
      <c r="CL111" s="3437" t="str">
        <f t="shared" si="105"/>
        <v/>
      </c>
      <c r="CM111" s="1771" t="str">
        <f t="shared" si="105"/>
        <v/>
      </c>
      <c r="CN111" s="1771" t="str">
        <f t="shared" si="105"/>
        <v/>
      </c>
      <c r="CO111" s="3442" t="str">
        <f t="shared" si="105"/>
        <v/>
      </c>
      <c r="CP111" s="1771" t="str">
        <f t="shared" si="105"/>
        <v/>
      </c>
      <c r="CQ111" s="3442" t="str">
        <f t="shared" si="105"/>
        <v/>
      </c>
      <c r="CR111" s="3462"/>
    </row>
    <row r="112" spans="1:96" s="3" customFormat="1">
      <c r="A112" s="1845" t="s">
        <v>732</v>
      </c>
      <c r="B112" s="817">
        <v>13</v>
      </c>
      <c r="C112" s="817">
        <v>16.55</v>
      </c>
      <c r="D112" s="817">
        <v>4.0000000000000001E-3</v>
      </c>
      <c r="E112" s="1802" t="s">
        <v>35</v>
      </c>
      <c r="F112" s="817">
        <v>4.4999999999999998E-2</v>
      </c>
      <c r="G112" s="817" t="s">
        <v>695</v>
      </c>
      <c r="H112" s="817">
        <v>1996</v>
      </c>
      <c r="I112" s="50"/>
      <c r="J112" s="816">
        <f t="shared" si="62"/>
        <v>16.55</v>
      </c>
      <c r="K112" s="817">
        <v>4.0000000000000001E-3</v>
      </c>
      <c r="L112" s="817" t="s">
        <v>35</v>
      </c>
      <c r="M112" s="817">
        <v>4.4999999999999998E-2</v>
      </c>
      <c r="N112" s="845">
        <f t="shared" si="90"/>
        <v>1.3416407864998738E-2</v>
      </c>
      <c r="O112" s="1831">
        <f t="shared" si="91"/>
        <v>2.4500000000000001E-2</v>
      </c>
      <c r="P112" s="825" t="s">
        <v>1088</v>
      </c>
      <c r="Q112" s="3" t="str">
        <f>IF(J112=J319,"stop","")</f>
        <v/>
      </c>
      <c r="R112" s="3437" t="str">
        <f t="shared" si="93"/>
        <v/>
      </c>
      <c r="S112" s="1771" t="str">
        <f t="shared" si="93"/>
        <v/>
      </c>
      <c r="T112" s="1771" t="str">
        <f t="shared" si="93"/>
        <v/>
      </c>
      <c r="U112" s="1771" t="str">
        <f t="shared" si="93"/>
        <v/>
      </c>
      <c r="V112" s="3443" t="str">
        <f t="shared" si="93"/>
        <v/>
      </c>
      <c r="W112" s="1771" t="str">
        <f t="shared" si="93"/>
        <v/>
      </c>
      <c r="X112" s="1771" t="str">
        <f t="shared" si="93"/>
        <v/>
      </c>
      <c r="Y112" s="1771" t="str">
        <f t="shared" si="93"/>
        <v/>
      </c>
      <c r="Z112" s="3437" t="str">
        <f t="shared" si="93"/>
        <v/>
      </c>
      <c r="AA112" s="1771" t="str">
        <f t="shared" si="93"/>
        <v/>
      </c>
      <c r="AB112" s="1771">
        <f t="shared" si="93"/>
        <v>4.0000000000000001E-3</v>
      </c>
      <c r="AC112" s="3442" t="str">
        <f t="shared" si="93"/>
        <v/>
      </c>
      <c r="AD112" s="1771" t="str">
        <f t="shared" si="93"/>
        <v/>
      </c>
      <c r="AE112" s="1771" t="str">
        <f t="shared" si="93"/>
        <v/>
      </c>
      <c r="AF112" s="1771" t="str">
        <f t="shared" si="93"/>
        <v/>
      </c>
      <c r="AG112" s="3442" t="str">
        <f t="shared" si="92"/>
        <v/>
      </c>
      <c r="AH112" s="1771" t="str">
        <f t="shared" si="92"/>
        <v/>
      </c>
      <c r="AI112" s="3442" t="str">
        <f t="shared" si="92"/>
        <v/>
      </c>
      <c r="AJ112" s="3462"/>
      <c r="AK112" s="3439" t="str">
        <f>IF(J112=J319,"stop","")</f>
        <v/>
      </c>
      <c r="AL112" s="3437" t="str">
        <f t="shared" si="100"/>
        <v/>
      </c>
      <c r="AM112" s="1771" t="str">
        <f t="shared" si="100"/>
        <v/>
      </c>
      <c r="AN112" s="1771" t="str">
        <f t="shared" si="100"/>
        <v/>
      </c>
      <c r="AO112" s="1771" t="str">
        <f t="shared" si="100"/>
        <v/>
      </c>
      <c r="AP112" s="3443" t="str">
        <f t="shared" si="100"/>
        <v/>
      </c>
      <c r="AQ112" s="1771" t="str">
        <f t="shared" si="100"/>
        <v/>
      </c>
      <c r="AR112" s="1771" t="str">
        <f t="shared" si="100"/>
        <v/>
      </c>
      <c r="AS112" s="3442" t="str">
        <f t="shared" si="100"/>
        <v/>
      </c>
      <c r="AT112" s="1771" t="str">
        <f t="shared" si="100"/>
        <v/>
      </c>
      <c r="AU112" s="1771" t="str">
        <f t="shared" si="100"/>
        <v/>
      </c>
      <c r="AV112" s="1771">
        <f t="shared" si="100"/>
        <v>4.4999999999999998E-2</v>
      </c>
      <c r="AW112" s="3442" t="str">
        <f t="shared" si="100"/>
        <v/>
      </c>
      <c r="AX112" s="1771" t="str">
        <f t="shared" si="101"/>
        <v/>
      </c>
      <c r="AY112" s="1771" t="str">
        <f t="shared" si="101"/>
        <v/>
      </c>
      <c r="AZ112" s="1771" t="str">
        <f t="shared" si="101"/>
        <v/>
      </c>
      <c r="BA112" s="1771" t="str">
        <f t="shared" si="101"/>
        <v/>
      </c>
      <c r="BB112" s="3437" t="str">
        <f t="shared" si="101"/>
        <v/>
      </c>
      <c r="BC112" s="3443" t="str">
        <f t="shared" si="101"/>
        <v/>
      </c>
      <c r="BD112" s="3462"/>
      <c r="BE112" s="3440" t="str">
        <f>IF(J112=J319,"stop","")</f>
        <v/>
      </c>
      <c r="BF112" s="1771" t="str">
        <f t="shared" si="102"/>
        <v/>
      </c>
      <c r="BG112" s="1771" t="str">
        <f t="shared" si="102"/>
        <v/>
      </c>
      <c r="BH112" s="1771" t="str">
        <f t="shared" si="102"/>
        <v/>
      </c>
      <c r="BI112" s="1771" t="str">
        <f t="shared" si="102"/>
        <v/>
      </c>
      <c r="BJ112" s="3443" t="str">
        <f t="shared" si="102"/>
        <v/>
      </c>
      <c r="BK112" s="3437" t="str">
        <f t="shared" si="102"/>
        <v/>
      </c>
      <c r="BL112" s="1771" t="str">
        <f t="shared" si="102"/>
        <v/>
      </c>
      <c r="BM112" s="3442" t="str">
        <f t="shared" si="102"/>
        <v/>
      </c>
      <c r="BN112" s="1771" t="str">
        <f t="shared" si="102"/>
        <v/>
      </c>
      <c r="BO112" s="1771" t="str">
        <f t="shared" si="102"/>
        <v/>
      </c>
      <c r="BP112" s="1771">
        <f t="shared" si="102"/>
        <v>1.3416407864998738E-2</v>
      </c>
      <c r="BQ112" s="1771" t="str">
        <f t="shared" si="102"/>
        <v/>
      </c>
      <c r="BR112" s="3437" t="str">
        <f t="shared" si="103"/>
        <v/>
      </c>
      <c r="BS112" s="1771" t="str">
        <f t="shared" si="103"/>
        <v/>
      </c>
      <c r="BT112" s="1771" t="str">
        <f t="shared" si="103"/>
        <v/>
      </c>
      <c r="BU112" s="3442" t="str">
        <f t="shared" si="103"/>
        <v/>
      </c>
      <c r="BV112" s="1771" t="str">
        <f t="shared" si="103"/>
        <v/>
      </c>
      <c r="BW112" s="3442" t="str">
        <f t="shared" si="103"/>
        <v/>
      </c>
      <c r="BX112" s="3462"/>
      <c r="BY112" s="3439" t="str">
        <f>IF(L112=L319,"stop","")</f>
        <v/>
      </c>
      <c r="BZ112" s="3437" t="str">
        <f t="shared" si="104"/>
        <v/>
      </c>
      <c r="CA112" s="1771" t="str">
        <f t="shared" si="104"/>
        <v/>
      </c>
      <c r="CB112" s="1771" t="str">
        <f t="shared" si="104"/>
        <v/>
      </c>
      <c r="CC112" s="3442" t="str">
        <f t="shared" si="104"/>
        <v/>
      </c>
      <c r="CD112" s="1771" t="str">
        <f t="shared" si="104"/>
        <v/>
      </c>
      <c r="CE112" s="3437" t="str">
        <f t="shared" si="104"/>
        <v/>
      </c>
      <c r="CF112" s="1771" t="str">
        <f t="shared" si="104"/>
        <v/>
      </c>
      <c r="CG112" s="1771" t="str">
        <f t="shared" si="104"/>
        <v/>
      </c>
      <c r="CH112" s="3437" t="str">
        <f t="shared" si="104"/>
        <v/>
      </c>
      <c r="CI112" s="1771" t="str">
        <f t="shared" si="104"/>
        <v/>
      </c>
      <c r="CJ112" s="1771">
        <f t="shared" si="104"/>
        <v>2.4500000000000001E-2</v>
      </c>
      <c r="CK112" s="3442" t="str">
        <f t="shared" si="104"/>
        <v/>
      </c>
      <c r="CL112" s="3437" t="str">
        <f t="shared" si="105"/>
        <v/>
      </c>
      <c r="CM112" s="1771" t="str">
        <f t="shared" si="105"/>
        <v/>
      </c>
      <c r="CN112" s="1771" t="str">
        <f t="shared" si="105"/>
        <v/>
      </c>
      <c r="CO112" s="3442" t="str">
        <f t="shared" si="105"/>
        <v/>
      </c>
      <c r="CP112" s="1771" t="str">
        <f t="shared" si="105"/>
        <v/>
      </c>
      <c r="CQ112" s="3442" t="str">
        <f t="shared" si="105"/>
        <v/>
      </c>
      <c r="CR112" s="3462"/>
    </row>
    <row r="113" spans="1:96" s="3" customFormat="1">
      <c r="A113" s="1848" t="s">
        <v>733</v>
      </c>
      <c r="B113" s="816">
        <v>16</v>
      </c>
      <c r="C113" s="816">
        <v>21.85</v>
      </c>
      <c r="D113" s="816">
        <v>4.6999999999999997E-5</v>
      </c>
      <c r="E113" s="1802" t="s">
        <v>35</v>
      </c>
      <c r="F113" s="816">
        <v>3.6999999999999999E-4</v>
      </c>
      <c r="G113" s="816" t="s">
        <v>695</v>
      </c>
      <c r="H113" s="816">
        <v>1996</v>
      </c>
      <c r="I113" s="50"/>
      <c r="J113" s="816">
        <f t="shared" si="62"/>
        <v>21.85</v>
      </c>
      <c r="K113" s="816">
        <v>4.6999999999999997E-5</v>
      </c>
      <c r="L113" s="816" t="s">
        <v>35</v>
      </c>
      <c r="M113" s="816">
        <v>3.6999999999999999E-4</v>
      </c>
      <c r="N113" s="845">
        <f t="shared" si="90"/>
        <v>1.3187114923287807E-4</v>
      </c>
      <c r="O113" s="1831">
        <f t="shared" si="91"/>
        <v>2.085E-4</v>
      </c>
      <c r="P113" s="825" t="s">
        <v>1088</v>
      </c>
      <c r="Q113" s="3" t="str">
        <f>IF(J113=J319,"stop","")</f>
        <v/>
      </c>
      <c r="R113" s="3437" t="str">
        <f t="shared" ref="R113:AG128" si="106">IF(AND($J113&gt;R$4,$J113&lt;=R$5,$P113=R$6),$K113,"")</f>
        <v/>
      </c>
      <c r="S113" s="1771" t="str">
        <f t="shared" si="106"/>
        <v/>
      </c>
      <c r="T113" s="1771" t="str">
        <f t="shared" si="106"/>
        <v/>
      </c>
      <c r="U113" s="1771" t="str">
        <f t="shared" si="106"/>
        <v/>
      </c>
      <c r="V113" s="3443" t="str">
        <f t="shared" si="106"/>
        <v/>
      </c>
      <c r="W113" s="1771" t="str">
        <f t="shared" si="106"/>
        <v/>
      </c>
      <c r="X113" s="1771" t="str">
        <f t="shared" si="106"/>
        <v/>
      </c>
      <c r="Y113" s="1771" t="str">
        <f t="shared" si="106"/>
        <v/>
      </c>
      <c r="Z113" s="3437" t="str">
        <f t="shared" si="106"/>
        <v/>
      </c>
      <c r="AA113" s="1771" t="str">
        <f t="shared" si="106"/>
        <v/>
      </c>
      <c r="AB113" s="1771" t="str">
        <f t="shared" si="106"/>
        <v/>
      </c>
      <c r="AC113" s="3442">
        <f t="shared" si="106"/>
        <v>4.6999999999999997E-5</v>
      </c>
      <c r="AD113" s="1771" t="str">
        <f t="shared" si="106"/>
        <v/>
      </c>
      <c r="AE113" s="1771" t="str">
        <f t="shared" si="106"/>
        <v/>
      </c>
      <c r="AF113" s="1771" t="str">
        <f t="shared" si="106"/>
        <v/>
      </c>
      <c r="AG113" s="3442" t="str">
        <f t="shared" si="92"/>
        <v/>
      </c>
      <c r="AH113" s="1771" t="str">
        <f t="shared" si="92"/>
        <v/>
      </c>
      <c r="AI113" s="3442" t="str">
        <f t="shared" si="92"/>
        <v/>
      </c>
      <c r="AJ113" s="3462"/>
      <c r="AK113" s="3439" t="str">
        <f>IF(J113=J319,"stop","")</f>
        <v/>
      </c>
      <c r="AL113" s="3437" t="str">
        <f t="shared" si="100"/>
        <v/>
      </c>
      <c r="AM113" s="1771" t="str">
        <f t="shared" si="100"/>
        <v/>
      </c>
      <c r="AN113" s="1771" t="str">
        <f t="shared" si="100"/>
        <v/>
      </c>
      <c r="AO113" s="1771" t="str">
        <f t="shared" si="100"/>
        <v/>
      </c>
      <c r="AP113" s="3443" t="str">
        <f t="shared" si="100"/>
        <v/>
      </c>
      <c r="AQ113" s="1771" t="str">
        <f t="shared" si="100"/>
        <v/>
      </c>
      <c r="AR113" s="1771" t="str">
        <f t="shared" si="100"/>
        <v/>
      </c>
      <c r="AS113" s="3442" t="str">
        <f t="shared" si="100"/>
        <v/>
      </c>
      <c r="AT113" s="1771" t="str">
        <f t="shared" si="100"/>
        <v/>
      </c>
      <c r="AU113" s="1771" t="str">
        <f t="shared" si="100"/>
        <v/>
      </c>
      <c r="AV113" s="1771" t="str">
        <f t="shared" si="100"/>
        <v/>
      </c>
      <c r="AW113" s="3442">
        <f t="shared" si="100"/>
        <v>3.6999999999999999E-4</v>
      </c>
      <c r="AX113" s="1771" t="str">
        <f t="shared" si="101"/>
        <v/>
      </c>
      <c r="AY113" s="1771" t="str">
        <f t="shared" si="101"/>
        <v/>
      </c>
      <c r="AZ113" s="1771" t="str">
        <f t="shared" si="101"/>
        <v/>
      </c>
      <c r="BA113" s="1771" t="str">
        <f t="shared" si="101"/>
        <v/>
      </c>
      <c r="BB113" s="3437" t="str">
        <f t="shared" si="101"/>
        <v/>
      </c>
      <c r="BC113" s="3443" t="str">
        <f t="shared" si="101"/>
        <v/>
      </c>
      <c r="BD113" s="3462"/>
      <c r="BE113" s="3440" t="str">
        <f>IF(J113=J319,"stop","")</f>
        <v/>
      </c>
      <c r="BF113" s="1771" t="str">
        <f t="shared" si="102"/>
        <v/>
      </c>
      <c r="BG113" s="1771" t="str">
        <f t="shared" si="102"/>
        <v/>
      </c>
      <c r="BH113" s="1771" t="str">
        <f t="shared" si="102"/>
        <v/>
      </c>
      <c r="BI113" s="1771" t="str">
        <f t="shared" si="102"/>
        <v/>
      </c>
      <c r="BJ113" s="3443" t="str">
        <f t="shared" si="102"/>
        <v/>
      </c>
      <c r="BK113" s="3437" t="str">
        <f t="shared" si="102"/>
        <v/>
      </c>
      <c r="BL113" s="1771" t="str">
        <f t="shared" si="102"/>
        <v/>
      </c>
      <c r="BM113" s="3442" t="str">
        <f t="shared" si="102"/>
        <v/>
      </c>
      <c r="BN113" s="1771" t="str">
        <f t="shared" si="102"/>
        <v/>
      </c>
      <c r="BO113" s="1771" t="str">
        <f t="shared" si="102"/>
        <v/>
      </c>
      <c r="BP113" s="1771" t="str">
        <f t="shared" si="102"/>
        <v/>
      </c>
      <c r="BQ113" s="1771">
        <f t="shared" si="102"/>
        <v>1.3187114923287807E-4</v>
      </c>
      <c r="BR113" s="3437" t="str">
        <f t="shared" si="103"/>
        <v/>
      </c>
      <c r="BS113" s="1771" t="str">
        <f t="shared" si="103"/>
        <v/>
      </c>
      <c r="BT113" s="1771" t="str">
        <f t="shared" si="103"/>
        <v/>
      </c>
      <c r="BU113" s="3442" t="str">
        <f t="shared" si="103"/>
        <v/>
      </c>
      <c r="BV113" s="1771" t="str">
        <f t="shared" si="103"/>
        <v/>
      </c>
      <c r="BW113" s="3442" t="str">
        <f t="shared" si="103"/>
        <v/>
      </c>
      <c r="BX113" s="3462"/>
      <c r="BY113" s="3439" t="str">
        <f>IF(L113=L319,"stop","")</f>
        <v/>
      </c>
      <c r="BZ113" s="3437" t="str">
        <f t="shared" si="104"/>
        <v/>
      </c>
      <c r="CA113" s="1771" t="str">
        <f t="shared" si="104"/>
        <v/>
      </c>
      <c r="CB113" s="1771" t="str">
        <f t="shared" si="104"/>
        <v/>
      </c>
      <c r="CC113" s="3442" t="str">
        <f t="shared" si="104"/>
        <v/>
      </c>
      <c r="CD113" s="1771" t="str">
        <f t="shared" si="104"/>
        <v/>
      </c>
      <c r="CE113" s="3437" t="str">
        <f t="shared" si="104"/>
        <v/>
      </c>
      <c r="CF113" s="1771" t="str">
        <f t="shared" si="104"/>
        <v/>
      </c>
      <c r="CG113" s="1771" t="str">
        <f t="shared" si="104"/>
        <v/>
      </c>
      <c r="CH113" s="3437" t="str">
        <f t="shared" si="104"/>
        <v/>
      </c>
      <c r="CI113" s="1771" t="str">
        <f t="shared" si="104"/>
        <v/>
      </c>
      <c r="CJ113" s="1771" t="str">
        <f t="shared" si="104"/>
        <v/>
      </c>
      <c r="CK113" s="3442">
        <f t="shared" si="104"/>
        <v>2.085E-4</v>
      </c>
      <c r="CL113" s="3437" t="str">
        <f t="shared" si="105"/>
        <v/>
      </c>
      <c r="CM113" s="1771" t="str">
        <f t="shared" si="105"/>
        <v/>
      </c>
      <c r="CN113" s="1771" t="str">
        <f t="shared" si="105"/>
        <v/>
      </c>
      <c r="CO113" s="3442" t="str">
        <f t="shared" si="105"/>
        <v/>
      </c>
      <c r="CP113" s="1771" t="str">
        <f t="shared" si="105"/>
        <v/>
      </c>
      <c r="CQ113" s="3442" t="str">
        <f t="shared" si="105"/>
        <v/>
      </c>
      <c r="CR113" s="3462"/>
    </row>
    <row r="114" spans="1:96" s="3" customFormat="1">
      <c r="A114" s="1848" t="s">
        <v>774</v>
      </c>
      <c r="B114" s="816">
        <v>17</v>
      </c>
      <c r="C114" s="816">
        <v>23.83</v>
      </c>
      <c r="D114" s="816" t="s">
        <v>927</v>
      </c>
      <c r="E114" s="1804" t="s">
        <v>1083</v>
      </c>
      <c r="F114" s="816" t="s">
        <v>927</v>
      </c>
      <c r="G114" s="816" t="s">
        <v>695</v>
      </c>
      <c r="H114" s="816">
        <v>1996</v>
      </c>
      <c r="I114" s="50"/>
      <c r="J114" s="816">
        <f t="shared" si="62"/>
        <v>23.83</v>
      </c>
      <c r="K114" s="816">
        <v>0</v>
      </c>
      <c r="L114" s="816"/>
      <c r="M114" s="816">
        <v>0</v>
      </c>
      <c r="N114" s="845">
        <f t="shared" si="90"/>
        <v>0</v>
      </c>
      <c r="O114" s="1831">
        <f t="shared" si="91"/>
        <v>0</v>
      </c>
      <c r="P114" s="825" t="s">
        <v>1088</v>
      </c>
      <c r="Q114" s="3" t="str">
        <f>IF(J114=J319,"stop","")</f>
        <v/>
      </c>
      <c r="R114" s="3437" t="str">
        <f t="shared" si="106"/>
        <v/>
      </c>
      <c r="S114" s="1771" t="str">
        <f t="shared" si="106"/>
        <v/>
      </c>
      <c r="T114" s="1771" t="str">
        <f t="shared" si="106"/>
        <v/>
      </c>
      <c r="U114" s="1771" t="str">
        <f t="shared" si="106"/>
        <v/>
      </c>
      <c r="V114" s="3443" t="str">
        <f t="shared" si="106"/>
        <v/>
      </c>
      <c r="W114" s="1771" t="str">
        <f t="shared" si="106"/>
        <v/>
      </c>
      <c r="X114" s="1771" t="str">
        <f t="shared" si="106"/>
        <v/>
      </c>
      <c r="Y114" s="1771" t="str">
        <f t="shared" si="106"/>
        <v/>
      </c>
      <c r="Z114" s="3437" t="str">
        <f t="shared" si="106"/>
        <v/>
      </c>
      <c r="AA114" s="1771" t="str">
        <f t="shared" si="106"/>
        <v/>
      </c>
      <c r="AB114" s="1771" t="str">
        <f t="shared" si="106"/>
        <v/>
      </c>
      <c r="AC114" s="3442">
        <f t="shared" si="106"/>
        <v>0</v>
      </c>
      <c r="AD114" s="1771" t="str">
        <f t="shared" si="106"/>
        <v/>
      </c>
      <c r="AE114" s="1771" t="str">
        <f t="shared" si="106"/>
        <v/>
      </c>
      <c r="AF114" s="1771" t="str">
        <f t="shared" si="106"/>
        <v/>
      </c>
      <c r="AG114" s="3442" t="str">
        <f t="shared" si="92"/>
        <v/>
      </c>
      <c r="AH114" s="1771" t="str">
        <f t="shared" si="92"/>
        <v/>
      </c>
      <c r="AI114" s="3442" t="str">
        <f t="shared" si="92"/>
        <v/>
      </c>
      <c r="AJ114" s="3462"/>
      <c r="AK114" s="3439" t="str">
        <f>IF(J114=J319,"stop","")</f>
        <v/>
      </c>
      <c r="AL114" s="3437" t="str">
        <f t="shared" si="100"/>
        <v/>
      </c>
      <c r="AM114" s="1771" t="str">
        <f t="shared" si="100"/>
        <v/>
      </c>
      <c r="AN114" s="1771" t="str">
        <f t="shared" si="100"/>
        <v/>
      </c>
      <c r="AO114" s="1771" t="str">
        <f t="shared" si="100"/>
        <v/>
      </c>
      <c r="AP114" s="3443" t="str">
        <f t="shared" si="100"/>
        <v/>
      </c>
      <c r="AQ114" s="1771" t="str">
        <f t="shared" si="100"/>
        <v/>
      </c>
      <c r="AR114" s="1771" t="str">
        <f t="shared" si="100"/>
        <v/>
      </c>
      <c r="AS114" s="3442" t="str">
        <f t="shared" si="100"/>
        <v/>
      </c>
      <c r="AT114" s="1771" t="str">
        <f t="shared" si="100"/>
        <v/>
      </c>
      <c r="AU114" s="1771" t="str">
        <f t="shared" si="100"/>
        <v/>
      </c>
      <c r="AV114" s="1771" t="str">
        <f t="shared" si="100"/>
        <v/>
      </c>
      <c r="AW114" s="3442">
        <f t="shared" si="100"/>
        <v>0</v>
      </c>
      <c r="AX114" s="1771" t="str">
        <f t="shared" si="101"/>
        <v/>
      </c>
      <c r="AY114" s="1771" t="str">
        <f t="shared" si="101"/>
        <v/>
      </c>
      <c r="AZ114" s="1771" t="str">
        <f t="shared" si="101"/>
        <v/>
      </c>
      <c r="BA114" s="1771" t="str">
        <f t="shared" si="101"/>
        <v/>
      </c>
      <c r="BB114" s="3437" t="str">
        <f t="shared" si="101"/>
        <v/>
      </c>
      <c r="BC114" s="3443" t="str">
        <f t="shared" si="101"/>
        <v/>
      </c>
      <c r="BD114" s="3462"/>
      <c r="BE114" s="3440" t="str">
        <f>IF(J114=J319,"stop","")</f>
        <v/>
      </c>
      <c r="BF114" s="1771" t="str">
        <f t="shared" si="102"/>
        <v/>
      </c>
      <c r="BG114" s="1771" t="str">
        <f t="shared" si="102"/>
        <v/>
      </c>
      <c r="BH114" s="1771" t="str">
        <f t="shared" si="102"/>
        <v/>
      </c>
      <c r="BI114" s="1771" t="str">
        <f t="shared" si="102"/>
        <v/>
      </c>
      <c r="BJ114" s="3443" t="str">
        <f t="shared" si="102"/>
        <v/>
      </c>
      <c r="BK114" s="3437" t="str">
        <f t="shared" si="102"/>
        <v/>
      </c>
      <c r="BL114" s="1771" t="str">
        <f t="shared" si="102"/>
        <v/>
      </c>
      <c r="BM114" s="3442" t="str">
        <f t="shared" si="102"/>
        <v/>
      </c>
      <c r="BN114" s="1771" t="str">
        <f t="shared" si="102"/>
        <v/>
      </c>
      <c r="BO114" s="1771" t="str">
        <f t="shared" si="102"/>
        <v/>
      </c>
      <c r="BP114" s="1771" t="str">
        <f t="shared" si="102"/>
        <v/>
      </c>
      <c r="BQ114" s="1771">
        <f t="shared" si="102"/>
        <v>0</v>
      </c>
      <c r="BR114" s="3437" t="str">
        <f t="shared" si="103"/>
        <v/>
      </c>
      <c r="BS114" s="1771" t="str">
        <f t="shared" si="103"/>
        <v/>
      </c>
      <c r="BT114" s="1771" t="str">
        <f t="shared" si="103"/>
        <v/>
      </c>
      <c r="BU114" s="3442" t="str">
        <f t="shared" si="103"/>
        <v/>
      </c>
      <c r="BV114" s="1771" t="str">
        <f t="shared" si="103"/>
        <v/>
      </c>
      <c r="BW114" s="3442" t="str">
        <f t="shared" si="103"/>
        <v/>
      </c>
      <c r="BX114" s="3462"/>
      <c r="BY114" s="3439" t="str">
        <f>IF(L114=L319,"stop","")</f>
        <v>stop</v>
      </c>
      <c r="BZ114" s="3437" t="str">
        <f t="shared" si="104"/>
        <v/>
      </c>
      <c r="CA114" s="1771" t="str">
        <f t="shared" si="104"/>
        <v/>
      </c>
      <c r="CB114" s="1771" t="str">
        <f t="shared" si="104"/>
        <v/>
      </c>
      <c r="CC114" s="3442" t="str">
        <f t="shared" si="104"/>
        <v/>
      </c>
      <c r="CD114" s="1771" t="str">
        <f t="shared" si="104"/>
        <v/>
      </c>
      <c r="CE114" s="3437" t="str">
        <f t="shared" si="104"/>
        <v/>
      </c>
      <c r="CF114" s="1771" t="str">
        <f t="shared" si="104"/>
        <v/>
      </c>
      <c r="CG114" s="1771" t="str">
        <f t="shared" si="104"/>
        <v/>
      </c>
      <c r="CH114" s="3437" t="str">
        <f t="shared" si="104"/>
        <v/>
      </c>
      <c r="CI114" s="1771" t="str">
        <f t="shared" si="104"/>
        <v/>
      </c>
      <c r="CJ114" s="1771" t="str">
        <f t="shared" si="104"/>
        <v/>
      </c>
      <c r="CK114" s="3442">
        <f t="shared" si="104"/>
        <v>0</v>
      </c>
      <c r="CL114" s="3437" t="str">
        <f t="shared" si="105"/>
        <v/>
      </c>
      <c r="CM114" s="1771" t="str">
        <f t="shared" si="105"/>
        <v/>
      </c>
      <c r="CN114" s="1771" t="str">
        <f t="shared" si="105"/>
        <v/>
      </c>
      <c r="CO114" s="3442" t="str">
        <f t="shared" si="105"/>
        <v/>
      </c>
      <c r="CP114" s="1771" t="str">
        <f t="shared" si="105"/>
        <v/>
      </c>
      <c r="CQ114" s="3442" t="str">
        <f t="shared" si="105"/>
        <v/>
      </c>
      <c r="CR114" s="3462"/>
    </row>
    <row r="115" spans="1:96" s="3" customFormat="1">
      <c r="A115" s="1848" t="s">
        <v>775</v>
      </c>
      <c r="B115" s="816">
        <v>17</v>
      </c>
      <c r="C115" s="816"/>
      <c r="D115" s="816" t="s">
        <v>928</v>
      </c>
      <c r="E115" s="1804" t="s">
        <v>1083</v>
      </c>
      <c r="F115" s="816" t="s">
        <v>928</v>
      </c>
      <c r="G115" s="816" t="s">
        <v>695</v>
      </c>
      <c r="H115" s="816">
        <v>1996</v>
      </c>
      <c r="I115" s="50"/>
      <c r="J115" s="818">
        <f>J116</f>
        <v>30.14</v>
      </c>
      <c r="K115" s="816">
        <v>0</v>
      </c>
      <c r="L115" s="816"/>
      <c r="M115" s="816">
        <v>0</v>
      </c>
      <c r="N115" s="845">
        <f t="shared" si="90"/>
        <v>0</v>
      </c>
      <c r="O115" s="1831">
        <f t="shared" si="91"/>
        <v>0</v>
      </c>
      <c r="P115" s="825" t="s">
        <v>1088</v>
      </c>
      <c r="Q115" s="3" t="str">
        <f>IF(J115=J319,"stop","")</f>
        <v/>
      </c>
      <c r="R115" s="3437" t="str">
        <f t="shared" si="106"/>
        <v/>
      </c>
      <c r="S115" s="1771" t="str">
        <f t="shared" si="106"/>
        <v/>
      </c>
      <c r="T115" s="1771" t="str">
        <f t="shared" si="106"/>
        <v/>
      </c>
      <c r="U115" s="1771" t="str">
        <f t="shared" si="106"/>
        <v/>
      </c>
      <c r="V115" s="3443" t="str">
        <f t="shared" si="106"/>
        <v/>
      </c>
      <c r="W115" s="1771" t="str">
        <f t="shared" si="106"/>
        <v/>
      </c>
      <c r="X115" s="1771" t="str">
        <f t="shared" si="106"/>
        <v/>
      </c>
      <c r="Y115" s="1771" t="str">
        <f t="shared" si="106"/>
        <v/>
      </c>
      <c r="Z115" s="3437" t="str">
        <f t="shared" si="106"/>
        <v/>
      </c>
      <c r="AA115" s="1771" t="str">
        <f t="shared" si="106"/>
        <v/>
      </c>
      <c r="AB115" s="1771" t="str">
        <f t="shared" si="106"/>
        <v/>
      </c>
      <c r="AC115" s="3442">
        <f t="shared" si="106"/>
        <v>0</v>
      </c>
      <c r="AD115" s="1771" t="str">
        <f t="shared" si="106"/>
        <v/>
      </c>
      <c r="AE115" s="1771" t="str">
        <f t="shared" si="106"/>
        <v/>
      </c>
      <c r="AF115" s="1771" t="str">
        <f t="shared" si="106"/>
        <v/>
      </c>
      <c r="AG115" s="3442" t="str">
        <f t="shared" si="92"/>
        <v/>
      </c>
      <c r="AH115" s="1771" t="str">
        <f t="shared" si="92"/>
        <v/>
      </c>
      <c r="AI115" s="3442" t="str">
        <f t="shared" si="92"/>
        <v/>
      </c>
      <c r="AJ115" s="3462"/>
      <c r="AK115" s="3439" t="str">
        <f>IF(J115=J319,"stop","")</f>
        <v/>
      </c>
      <c r="AL115" s="3437" t="str">
        <f t="shared" si="100"/>
        <v/>
      </c>
      <c r="AM115" s="1771" t="str">
        <f t="shared" si="100"/>
        <v/>
      </c>
      <c r="AN115" s="1771" t="str">
        <f t="shared" si="100"/>
        <v/>
      </c>
      <c r="AO115" s="1771" t="str">
        <f t="shared" si="100"/>
        <v/>
      </c>
      <c r="AP115" s="3443" t="str">
        <f t="shared" si="100"/>
        <v/>
      </c>
      <c r="AQ115" s="1771" t="str">
        <f t="shared" si="100"/>
        <v/>
      </c>
      <c r="AR115" s="1771" t="str">
        <f t="shared" si="100"/>
        <v/>
      </c>
      <c r="AS115" s="3442" t="str">
        <f t="shared" si="100"/>
        <v/>
      </c>
      <c r="AT115" s="1771" t="str">
        <f t="shared" si="100"/>
        <v/>
      </c>
      <c r="AU115" s="1771" t="str">
        <f t="shared" si="100"/>
        <v/>
      </c>
      <c r="AV115" s="1771" t="str">
        <f t="shared" si="100"/>
        <v/>
      </c>
      <c r="AW115" s="3442">
        <f t="shared" si="100"/>
        <v>0</v>
      </c>
      <c r="AX115" s="1771" t="str">
        <f t="shared" si="101"/>
        <v/>
      </c>
      <c r="AY115" s="1771" t="str">
        <f t="shared" si="101"/>
        <v/>
      </c>
      <c r="AZ115" s="1771" t="str">
        <f t="shared" si="101"/>
        <v/>
      </c>
      <c r="BA115" s="1771" t="str">
        <f t="shared" si="101"/>
        <v/>
      </c>
      <c r="BB115" s="3437" t="str">
        <f t="shared" si="101"/>
        <v/>
      </c>
      <c r="BC115" s="3443" t="str">
        <f t="shared" si="101"/>
        <v/>
      </c>
      <c r="BD115" s="3462"/>
      <c r="BE115" s="3440" t="str">
        <f>IF(J115=J319,"stop","")</f>
        <v/>
      </c>
      <c r="BF115" s="1771" t="str">
        <f t="shared" si="102"/>
        <v/>
      </c>
      <c r="BG115" s="1771" t="str">
        <f t="shared" si="102"/>
        <v/>
      </c>
      <c r="BH115" s="1771" t="str">
        <f t="shared" si="102"/>
        <v/>
      </c>
      <c r="BI115" s="1771" t="str">
        <f t="shared" si="102"/>
        <v/>
      </c>
      <c r="BJ115" s="3443" t="str">
        <f t="shared" si="102"/>
        <v/>
      </c>
      <c r="BK115" s="3437" t="str">
        <f t="shared" si="102"/>
        <v/>
      </c>
      <c r="BL115" s="1771" t="str">
        <f t="shared" si="102"/>
        <v/>
      </c>
      <c r="BM115" s="3442" t="str">
        <f t="shared" si="102"/>
        <v/>
      </c>
      <c r="BN115" s="1771" t="str">
        <f t="shared" si="102"/>
        <v/>
      </c>
      <c r="BO115" s="1771" t="str">
        <f t="shared" si="102"/>
        <v/>
      </c>
      <c r="BP115" s="1771" t="str">
        <f t="shared" si="102"/>
        <v/>
      </c>
      <c r="BQ115" s="1771">
        <f t="shared" si="102"/>
        <v>0</v>
      </c>
      <c r="BR115" s="3437" t="str">
        <f t="shared" si="103"/>
        <v/>
      </c>
      <c r="BS115" s="1771" t="str">
        <f t="shared" si="103"/>
        <v/>
      </c>
      <c r="BT115" s="1771" t="str">
        <f t="shared" si="103"/>
        <v/>
      </c>
      <c r="BU115" s="3442" t="str">
        <f t="shared" si="103"/>
        <v/>
      </c>
      <c r="BV115" s="1771" t="str">
        <f t="shared" si="103"/>
        <v/>
      </c>
      <c r="BW115" s="3442" t="str">
        <f t="shared" si="103"/>
        <v/>
      </c>
      <c r="BX115" s="3462"/>
      <c r="BY115" s="3439" t="str">
        <f>IF(L115=L319,"stop","")</f>
        <v>stop</v>
      </c>
      <c r="BZ115" s="3437" t="str">
        <f t="shared" si="104"/>
        <v/>
      </c>
      <c r="CA115" s="1771" t="str">
        <f t="shared" si="104"/>
        <v/>
      </c>
      <c r="CB115" s="1771" t="str">
        <f t="shared" si="104"/>
        <v/>
      </c>
      <c r="CC115" s="3442" t="str">
        <f t="shared" si="104"/>
        <v/>
      </c>
      <c r="CD115" s="1771" t="str">
        <f t="shared" si="104"/>
        <v/>
      </c>
      <c r="CE115" s="3437" t="str">
        <f t="shared" si="104"/>
        <v/>
      </c>
      <c r="CF115" s="1771" t="str">
        <f t="shared" si="104"/>
        <v/>
      </c>
      <c r="CG115" s="1771" t="str">
        <f t="shared" si="104"/>
        <v/>
      </c>
      <c r="CH115" s="3437" t="str">
        <f t="shared" si="104"/>
        <v/>
      </c>
      <c r="CI115" s="1771" t="str">
        <f t="shared" si="104"/>
        <v/>
      </c>
      <c r="CJ115" s="1771" t="str">
        <f t="shared" si="104"/>
        <v/>
      </c>
      <c r="CK115" s="3442">
        <f t="shared" si="104"/>
        <v>0</v>
      </c>
      <c r="CL115" s="3437" t="str">
        <f t="shared" si="105"/>
        <v/>
      </c>
      <c r="CM115" s="1771" t="str">
        <f t="shared" si="105"/>
        <v/>
      </c>
      <c r="CN115" s="1771" t="str">
        <f t="shared" si="105"/>
        <v/>
      </c>
      <c r="CO115" s="3442" t="str">
        <f t="shared" si="105"/>
        <v/>
      </c>
      <c r="CP115" s="1771" t="str">
        <f t="shared" si="105"/>
        <v/>
      </c>
      <c r="CQ115" s="3442" t="str">
        <f t="shared" si="105"/>
        <v/>
      </c>
      <c r="CR115" s="3462"/>
    </row>
    <row r="116" spans="1:96" s="3" customFormat="1">
      <c r="A116" s="1848" t="s">
        <v>776</v>
      </c>
      <c r="B116" s="816">
        <v>18</v>
      </c>
      <c r="C116" s="816"/>
      <c r="D116" s="816" t="s">
        <v>927</v>
      </c>
      <c r="E116" s="1804" t="s">
        <v>1083</v>
      </c>
      <c r="F116" s="816" t="s">
        <v>927</v>
      </c>
      <c r="G116" s="816" t="s">
        <v>695</v>
      </c>
      <c r="H116" s="816">
        <v>1996</v>
      </c>
      <c r="I116" s="50"/>
      <c r="J116" s="818">
        <f>J117</f>
        <v>30.14</v>
      </c>
      <c r="K116" s="816">
        <v>0</v>
      </c>
      <c r="L116" s="816"/>
      <c r="M116" s="816">
        <v>0</v>
      </c>
      <c r="N116" s="845">
        <f t="shared" si="90"/>
        <v>0</v>
      </c>
      <c r="O116" s="1831">
        <f t="shared" si="91"/>
        <v>0</v>
      </c>
      <c r="P116" s="825" t="s">
        <v>1088</v>
      </c>
      <c r="Q116" s="3" t="str">
        <f>IF(J116=J319,"stop","")</f>
        <v/>
      </c>
      <c r="R116" s="3437" t="str">
        <f t="shared" si="106"/>
        <v/>
      </c>
      <c r="S116" s="1771" t="str">
        <f t="shared" si="106"/>
        <v/>
      </c>
      <c r="T116" s="1771" t="str">
        <f t="shared" si="106"/>
        <v/>
      </c>
      <c r="U116" s="1771" t="str">
        <f t="shared" si="106"/>
        <v/>
      </c>
      <c r="V116" s="3443" t="str">
        <f t="shared" si="106"/>
        <v/>
      </c>
      <c r="W116" s="1771" t="str">
        <f t="shared" si="106"/>
        <v/>
      </c>
      <c r="X116" s="1771" t="str">
        <f t="shared" si="106"/>
        <v/>
      </c>
      <c r="Y116" s="1771" t="str">
        <f t="shared" si="106"/>
        <v/>
      </c>
      <c r="Z116" s="3437" t="str">
        <f t="shared" si="106"/>
        <v/>
      </c>
      <c r="AA116" s="1771" t="str">
        <f t="shared" si="106"/>
        <v/>
      </c>
      <c r="AB116" s="1771" t="str">
        <f t="shared" si="106"/>
        <v/>
      </c>
      <c r="AC116" s="3442">
        <f t="shared" si="106"/>
        <v>0</v>
      </c>
      <c r="AD116" s="1771" t="str">
        <f t="shared" si="106"/>
        <v/>
      </c>
      <c r="AE116" s="1771" t="str">
        <f t="shared" si="106"/>
        <v/>
      </c>
      <c r="AF116" s="1771" t="str">
        <f t="shared" si="106"/>
        <v/>
      </c>
      <c r="AG116" s="3442" t="str">
        <f t="shared" si="106"/>
        <v/>
      </c>
      <c r="AH116" s="1771" t="str">
        <f t="shared" ref="AH116:AI135" si="107">IF(AND($J116&gt;AH$4,$J116&lt;=AH$5,$P116=AH$6),$K116,"")</f>
        <v/>
      </c>
      <c r="AI116" s="3442" t="str">
        <f t="shared" si="107"/>
        <v/>
      </c>
      <c r="AJ116" s="3462"/>
      <c r="AK116" s="3439" t="str">
        <f>IF(J116=J319,"stop","")</f>
        <v/>
      </c>
      <c r="AL116" s="3437" t="str">
        <f t="shared" si="100"/>
        <v/>
      </c>
      <c r="AM116" s="1771" t="str">
        <f t="shared" si="100"/>
        <v/>
      </c>
      <c r="AN116" s="1771" t="str">
        <f t="shared" si="100"/>
        <v/>
      </c>
      <c r="AO116" s="1771" t="str">
        <f t="shared" si="100"/>
        <v/>
      </c>
      <c r="AP116" s="3443" t="str">
        <f t="shared" si="100"/>
        <v/>
      </c>
      <c r="AQ116" s="1771" t="str">
        <f t="shared" si="100"/>
        <v/>
      </c>
      <c r="AR116" s="1771" t="str">
        <f t="shared" si="100"/>
        <v/>
      </c>
      <c r="AS116" s="3442" t="str">
        <f t="shared" si="100"/>
        <v/>
      </c>
      <c r="AT116" s="1771" t="str">
        <f t="shared" si="100"/>
        <v/>
      </c>
      <c r="AU116" s="1771" t="str">
        <f t="shared" si="100"/>
        <v/>
      </c>
      <c r="AV116" s="1771" t="str">
        <f t="shared" si="100"/>
        <v/>
      </c>
      <c r="AW116" s="3442">
        <f t="shared" si="100"/>
        <v>0</v>
      </c>
      <c r="AX116" s="1771" t="str">
        <f t="shared" si="101"/>
        <v/>
      </c>
      <c r="AY116" s="1771" t="str">
        <f t="shared" si="101"/>
        <v/>
      </c>
      <c r="AZ116" s="1771" t="str">
        <f t="shared" si="101"/>
        <v/>
      </c>
      <c r="BA116" s="1771" t="str">
        <f t="shared" si="101"/>
        <v/>
      </c>
      <c r="BB116" s="3437" t="str">
        <f t="shared" si="101"/>
        <v/>
      </c>
      <c r="BC116" s="3443" t="str">
        <f t="shared" si="101"/>
        <v/>
      </c>
      <c r="BD116" s="3462"/>
      <c r="BE116" s="3440" t="str">
        <f>IF(J116=J319,"stop","")</f>
        <v/>
      </c>
      <c r="BF116" s="1771" t="str">
        <f t="shared" si="102"/>
        <v/>
      </c>
      <c r="BG116" s="1771" t="str">
        <f t="shared" si="102"/>
        <v/>
      </c>
      <c r="BH116" s="1771" t="str">
        <f t="shared" si="102"/>
        <v/>
      </c>
      <c r="BI116" s="1771" t="str">
        <f t="shared" si="102"/>
        <v/>
      </c>
      <c r="BJ116" s="3443" t="str">
        <f t="shared" si="102"/>
        <v/>
      </c>
      <c r="BK116" s="3437" t="str">
        <f t="shared" si="102"/>
        <v/>
      </c>
      <c r="BL116" s="1771" t="str">
        <f t="shared" si="102"/>
        <v/>
      </c>
      <c r="BM116" s="3442" t="str">
        <f t="shared" si="102"/>
        <v/>
      </c>
      <c r="BN116" s="1771" t="str">
        <f t="shared" si="102"/>
        <v/>
      </c>
      <c r="BO116" s="1771" t="str">
        <f t="shared" si="102"/>
        <v/>
      </c>
      <c r="BP116" s="1771" t="str">
        <f t="shared" si="102"/>
        <v/>
      </c>
      <c r="BQ116" s="1771">
        <f t="shared" si="102"/>
        <v>0</v>
      </c>
      <c r="BR116" s="3437" t="str">
        <f t="shared" si="103"/>
        <v/>
      </c>
      <c r="BS116" s="1771" t="str">
        <f t="shared" si="103"/>
        <v/>
      </c>
      <c r="BT116" s="1771" t="str">
        <f t="shared" si="103"/>
        <v/>
      </c>
      <c r="BU116" s="3442" t="str">
        <f t="shared" si="103"/>
        <v/>
      </c>
      <c r="BV116" s="1771" t="str">
        <f t="shared" si="103"/>
        <v/>
      </c>
      <c r="BW116" s="3442" t="str">
        <f t="shared" si="103"/>
        <v/>
      </c>
      <c r="BX116" s="3462"/>
      <c r="BY116" s="3439" t="str">
        <f>IF(L116=L319,"stop","")</f>
        <v>stop</v>
      </c>
      <c r="BZ116" s="3437" t="str">
        <f t="shared" si="104"/>
        <v/>
      </c>
      <c r="CA116" s="1771" t="str">
        <f t="shared" si="104"/>
        <v/>
      </c>
      <c r="CB116" s="1771" t="str">
        <f t="shared" si="104"/>
        <v/>
      </c>
      <c r="CC116" s="3442" t="str">
        <f t="shared" si="104"/>
        <v/>
      </c>
      <c r="CD116" s="1771" t="str">
        <f t="shared" si="104"/>
        <v/>
      </c>
      <c r="CE116" s="3437" t="str">
        <f t="shared" si="104"/>
        <v/>
      </c>
      <c r="CF116" s="1771" t="str">
        <f t="shared" si="104"/>
        <v/>
      </c>
      <c r="CG116" s="1771" t="str">
        <f t="shared" si="104"/>
        <v/>
      </c>
      <c r="CH116" s="3437" t="str">
        <f t="shared" si="104"/>
        <v/>
      </c>
      <c r="CI116" s="1771" t="str">
        <f t="shared" si="104"/>
        <v/>
      </c>
      <c r="CJ116" s="1771" t="str">
        <f t="shared" si="104"/>
        <v/>
      </c>
      <c r="CK116" s="3442">
        <f t="shared" si="104"/>
        <v>0</v>
      </c>
      <c r="CL116" s="3437" t="str">
        <f t="shared" si="105"/>
        <v/>
      </c>
      <c r="CM116" s="1771" t="str">
        <f t="shared" si="105"/>
        <v/>
      </c>
      <c r="CN116" s="1771" t="str">
        <f t="shared" si="105"/>
        <v/>
      </c>
      <c r="CO116" s="3442" t="str">
        <f t="shared" si="105"/>
        <v/>
      </c>
      <c r="CP116" s="1771" t="str">
        <f t="shared" si="105"/>
        <v/>
      </c>
      <c r="CQ116" s="3442" t="str">
        <f t="shared" si="105"/>
        <v/>
      </c>
      <c r="CR116" s="3462"/>
    </row>
    <row r="117" spans="1:96" s="3" customFormat="1">
      <c r="A117" s="1848" t="s">
        <v>734</v>
      </c>
      <c r="B117" s="816">
        <v>20</v>
      </c>
      <c r="C117" s="816">
        <v>30.14</v>
      </c>
      <c r="D117" s="816" t="s">
        <v>927</v>
      </c>
      <c r="E117" s="1804" t="s">
        <v>1083</v>
      </c>
      <c r="F117" s="816" t="s">
        <v>927</v>
      </c>
      <c r="G117" s="816" t="s">
        <v>695</v>
      </c>
      <c r="H117" s="816">
        <v>1996</v>
      </c>
      <c r="I117" s="50"/>
      <c r="J117" s="816">
        <f t="shared" si="62"/>
        <v>30.14</v>
      </c>
      <c r="K117" s="816">
        <v>0</v>
      </c>
      <c r="L117" s="816"/>
      <c r="M117" s="816">
        <v>0</v>
      </c>
      <c r="N117" s="845">
        <f t="shared" si="90"/>
        <v>0</v>
      </c>
      <c r="O117" s="1831">
        <f t="shared" si="91"/>
        <v>0</v>
      </c>
      <c r="P117" s="825" t="s">
        <v>1088</v>
      </c>
      <c r="Q117" s="3" t="str">
        <f>IF(J117=J319,"stop","")</f>
        <v/>
      </c>
      <c r="R117" s="3437" t="str">
        <f t="shared" si="106"/>
        <v/>
      </c>
      <c r="S117" s="1771" t="str">
        <f t="shared" si="106"/>
        <v/>
      </c>
      <c r="T117" s="1771" t="str">
        <f t="shared" si="106"/>
        <v/>
      </c>
      <c r="U117" s="1771" t="str">
        <f t="shared" si="106"/>
        <v/>
      </c>
      <c r="V117" s="3443" t="str">
        <f t="shared" si="106"/>
        <v/>
      </c>
      <c r="W117" s="1771" t="str">
        <f t="shared" si="106"/>
        <v/>
      </c>
      <c r="X117" s="1771" t="str">
        <f t="shared" si="106"/>
        <v/>
      </c>
      <c r="Y117" s="1771" t="str">
        <f t="shared" si="106"/>
        <v/>
      </c>
      <c r="Z117" s="3437" t="str">
        <f t="shared" si="106"/>
        <v/>
      </c>
      <c r="AA117" s="1771" t="str">
        <f t="shared" si="106"/>
        <v/>
      </c>
      <c r="AB117" s="1771" t="str">
        <f t="shared" si="106"/>
        <v/>
      </c>
      <c r="AC117" s="3442">
        <f t="shared" si="106"/>
        <v>0</v>
      </c>
      <c r="AD117" s="1771" t="str">
        <f t="shared" si="106"/>
        <v/>
      </c>
      <c r="AE117" s="1771" t="str">
        <f t="shared" si="106"/>
        <v/>
      </c>
      <c r="AF117" s="1771" t="str">
        <f t="shared" si="106"/>
        <v/>
      </c>
      <c r="AG117" s="3442" t="str">
        <f t="shared" si="106"/>
        <v/>
      </c>
      <c r="AH117" s="1771" t="str">
        <f t="shared" si="107"/>
        <v/>
      </c>
      <c r="AI117" s="3442" t="str">
        <f t="shared" si="107"/>
        <v/>
      </c>
      <c r="AJ117" s="3462"/>
      <c r="AK117" s="3439" t="str">
        <f>IF(J117=J319,"stop","")</f>
        <v/>
      </c>
      <c r="AL117" s="3437" t="str">
        <f t="shared" ref="AL117:AW126" si="108">IF(AND($J117&gt;AL$4,$J117&lt;=AL$5,$P117=AL$6),$M117,"")</f>
        <v/>
      </c>
      <c r="AM117" s="1771" t="str">
        <f t="shared" si="108"/>
        <v/>
      </c>
      <c r="AN117" s="1771" t="str">
        <f t="shared" si="108"/>
        <v/>
      </c>
      <c r="AO117" s="1771" t="str">
        <f t="shared" si="108"/>
        <v/>
      </c>
      <c r="AP117" s="3443" t="str">
        <f t="shared" si="108"/>
        <v/>
      </c>
      <c r="AQ117" s="1771" t="str">
        <f t="shared" si="108"/>
        <v/>
      </c>
      <c r="AR117" s="1771" t="str">
        <f t="shared" si="108"/>
        <v/>
      </c>
      <c r="AS117" s="3442" t="str">
        <f t="shared" si="108"/>
        <v/>
      </c>
      <c r="AT117" s="1771" t="str">
        <f t="shared" si="108"/>
        <v/>
      </c>
      <c r="AU117" s="1771" t="str">
        <f t="shared" si="108"/>
        <v/>
      </c>
      <c r="AV117" s="1771" t="str">
        <f t="shared" si="108"/>
        <v/>
      </c>
      <c r="AW117" s="3442">
        <f t="shared" si="108"/>
        <v>0</v>
      </c>
      <c r="AX117" s="1771" t="str">
        <f t="shared" ref="AX117:BC126" si="109">IF(AND($J117&gt;AX$4,$J117&lt;=AX$5,$P117=AX$6),$M117,"")</f>
        <v/>
      </c>
      <c r="AY117" s="1771" t="str">
        <f t="shared" si="109"/>
        <v/>
      </c>
      <c r="AZ117" s="1771" t="str">
        <f t="shared" si="109"/>
        <v/>
      </c>
      <c r="BA117" s="1771" t="str">
        <f t="shared" si="109"/>
        <v/>
      </c>
      <c r="BB117" s="3437" t="str">
        <f t="shared" si="109"/>
        <v/>
      </c>
      <c r="BC117" s="3443" t="str">
        <f t="shared" si="109"/>
        <v/>
      </c>
      <c r="BD117" s="3462"/>
      <c r="BE117" s="3440" t="str">
        <f>IF(J117=J319,"stop","")</f>
        <v/>
      </c>
      <c r="BF117" s="1771" t="str">
        <f t="shared" ref="BF117:BQ126" si="110">IF(AND($J117&gt;BF$4,$J117&lt;=BF$5,$P117=BF$6),$N117,"")</f>
        <v/>
      </c>
      <c r="BG117" s="1771" t="str">
        <f t="shared" si="110"/>
        <v/>
      </c>
      <c r="BH117" s="1771" t="str">
        <f t="shared" si="110"/>
        <v/>
      </c>
      <c r="BI117" s="1771" t="str">
        <f t="shared" si="110"/>
        <v/>
      </c>
      <c r="BJ117" s="3443" t="str">
        <f t="shared" si="110"/>
        <v/>
      </c>
      <c r="BK117" s="3437" t="str">
        <f t="shared" si="110"/>
        <v/>
      </c>
      <c r="BL117" s="1771" t="str">
        <f t="shared" si="110"/>
        <v/>
      </c>
      <c r="BM117" s="3442" t="str">
        <f t="shared" si="110"/>
        <v/>
      </c>
      <c r="BN117" s="1771" t="str">
        <f t="shared" si="110"/>
        <v/>
      </c>
      <c r="BO117" s="1771" t="str">
        <f t="shared" si="110"/>
        <v/>
      </c>
      <c r="BP117" s="1771" t="str">
        <f t="shared" si="110"/>
        <v/>
      </c>
      <c r="BQ117" s="1771">
        <f t="shared" si="110"/>
        <v>0</v>
      </c>
      <c r="BR117" s="3437" t="str">
        <f t="shared" ref="BR117:BW126" si="111">IF(AND($J117&gt;BR$4,$J117&lt;=BR$5,$P117=BR$6),$N117,"")</f>
        <v/>
      </c>
      <c r="BS117" s="1771" t="str">
        <f t="shared" si="111"/>
        <v/>
      </c>
      <c r="BT117" s="1771" t="str">
        <f t="shared" si="111"/>
        <v/>
      </c>
      <c r="BU117" s="3442" t="str">
        <f t="shared" si="111"/>
        <v/>
      </c>
      <c r="BV117" s="1771" t="str">
        <f t="shared" si="111"/>
        <v/>
      </c>
      <c r="BW117" s="3442" t="str">
        <f t="shared" si="111"/>
        <v/>
      </c>
      <c r="BX117" s="3462"/>
      <c r="BY117" s="3439" t="str">
        <f>IF(L117=L319,"stop","")</f>
        <v>stop</v>
      </c>
      <c r="BZ117" s="3437" t="str">
        <f t="shared" ref="BZ117:CK126" si="112">IF(AND($J117&gt;BZ$4,$J117&lt;=BZ$5,$P117=BZ$6),$O117,"")</f>
        <v/>
      </c>
      <c r="CA117" s="1771" t="str">
        <f t="shared" si="112"/>
        <v/>
      </c>
      <c r="CB117" s="1771" t="str">
        <f t="shared" si="112"/>
        <v/>
      </c>
      <c r="CC117" s="3442" t="str">
        <f t="shared" si="112"/>
        <v/>
      </c>
      <c r="CD117" s="1771" t="str">
        <f t="shared" si="112"/>
        <v/>
      </c>
      <c r="CE117" s="3437" t="str">
        <f t="shared" si="112"/>
        <v/>
      </c>
      <c r="CF117" s="1771" t="str">
        <f t="shared" si="112"/>
        <v/>
      </c>
      <c r="CG117" s="1771" t="str">
        <f t="shared" si="112"/>
        <v/>
      </c>
      <c r="CH117" s="3437" t="str">
        <f t="shared" si="112"/>
        <v/>
      </c>
      <c r="CI117" s="1771" t="str">
        <f t="shared" si="112"/>
        <v/>
      </c>
      <c r="CJ117" s="1771" t="str">
        <f t="shared" si="112"/>
        <v/>
      </c>
      <c r="CK117" s="3442">
        <f t="shared" si="112"/>
        <v>0</v>
      </c>
      <c r="CL117" s="3437" t="str">
        <f t="shared" ref="CL117:CQ126" si="113">IF(AND($J117&gt;CL$4,$J117&lt;=CL$5,$P117=CL$6),$O117,"")</f>
        <v/>
      </c>
      <c r="CM117" s="1771" t="str">
        <f t="shared" si="113"/>
        <v/>
      </c>
      <c r="CN117" s="1771" t="str">
        <f t="shared" si="113"/>
        <v/>
      </c>
      <c r="CO117" s="3442" t="str">
        <f t="shared" si="113"/>
        <v/>
      </c>
      <c r="CP117" s="1771" t="str">
        <f t="shared" si="113"/>
        <v/>
      </c>
      <c r="CQ117" s="3442" t="str">
        <f t="shared" si="113"/>
        <v/>
      </c>
      <c r="CR117" s="3462"/>
    </row>
    <row r="118" spans="1:96" s="3" customFormat="1">
      <c r="A118" s="1848" t="s">
        <v>735</v>
      </c>
      <c r="B118" s="816">
        <v>20</v>
      </c>
      <c r="C118" s="816">
        <v>30.14</v>
      </c>
      <c r="D118" s="816" t="s">
        <v>929</v>
      </c>
      <c r="E118" s="1804" t="s">
        <v>1083</v>
      </c>
      <c r="F118" s="816" t="s">
        <v>929</v>
      </c>
      <c r="G118" s="816" t="s">
        <v>695</v>
      </c>
      <c r="H118" s="816">
        <v>1996</v>
      </c>
      <c r="I118" s="50"/>
      <c r="J118" s="816">
        <f t="shared" si="62"/>
        <v>30.14</v>
      </c>
      <c r="K118" s="816">
        <v>0</v>
      </c>
      <c r="L118" s="816"/>
      <c r="M118" s="816">
        <v>0</v>
      </c>
      <c r="N118" s="845">
        <f t="shared" si="90"/>
        <v>0</v>
      </c>
      <c r="O118" s="1831">
        <f t="shared" si="91"/>
        <v>0</v>
      </c>
      <c r="P118" s="825" t="s">
        <v>1088</v>
      </c>
      <c r="Q118" s="3" t="str">
        <f>IF(J118=J319,"stop","")</f>
        <v/>
      </c>
      <c r="R118" s="3437" t="str">
        <f t="shared" si="106"/>
        <v/>
      </c>
      <c r="S118" s="1771" t="str">
        <f t="shared" si="106"/>
        <v/>
      </c>
      <c r="T118" s="1771" t="str">
        <f t="shared" si="106"/>
        <v/>
      </c>
      <c r="U118" s="1771" t="str">
        <f t="shared" si="106"/>
        <v/>
      </c>
      <c r="V118" s="3443" t="str">
        <f t="shared" si="106"/>
        <v/>
      </c>
      <c r="W118" s="1771" t="str">
        <f t="shared" si="106"/>
        <v/>
      </c>
      <c r="X118" s="1771" t="str">
        <f t="shared" si="106"/>
        <v/>
      </c>
      <c r="Y118" s="1771" t="str">
        <f t="shared" si="106"/>
        <v/>
      </c>
      <c r="Z118" s="3437" t="str">
        <f t="shared" si="106"/>
        <v/>
      </c>
      <c r="AA118" s="1771" t="str">
        <f t="shared" si="106"/>
        <v/>
      </c>
      <c r="AB118" s="1771" t="str">
        <f t="shared" si="106"/>
        <v/>
      </c>
      <c r="AC118" s="3442">
        <f t="shared" si="106"/>
        <v>0</v>
      </c>
      <c r="AD118" s="1771" t="str">
        <f t="shared" si="106"/>
        <v/>
      </c>
      <c r="AE118" s="1771" t="str">
        <f t="shared" si="106"/>
        <v/>
      </c>
      <c r="AF118" s="1771" t="str">
        <f t="shared" si="106"/>
        <v/>
      </c>
      <c r="AG118" s="3442" t="str">
        <f t="shared" si="106"/>
        <v/>
      </c>
      <c r="AH118" s="1771" t="str">
        <f t="shared" si="107"/>
        <v/>
      </c>
      <c r="AI118" s="3442" t="str">
        <f t="shared" si="107"/>
        <v/>
      </c>
      <c r="AJ118" s="3462"/>
      <c r="AK118" s="3439" t="str">
        <f>IF(J118=J319,"stop","")</f>
        <v/>
      </c>
      <c r="AL118" s="3437" t="str">
        <f t="shared" si="108"/>
        <v/>
      </c>
      <c r="AM118" s="1771" t="str">
        <f t="shared" si="108"/>
        <v/>
      </c>
      <c r="AN118" s="1771" t="str">
        <f t="shared" si="108"/>
        <v/>
      </c>
      <c r="AO118" s="1771" t="str">
        <f t="shared" si="108"/>
        <v/>
      </c>
      <c r="AP118" s="3443" t="str">
        <f t="shared" si="108"/>
        <v/>
      </c>
      <c r="AQ118" s="1771" t="str">
        <f t="shared" si="108"/>
        <v/>
      </c>
      <c r="AR118" s="1771" t="str">
        <f t="shared" si="108"/>
        <v/>
      </c>
      <c r="AS118" s="3442" t="str">
        <f t="shared" si="108"/>
        <v/>
      </c>
      <c r="AT118" s="1771" t="str">
        <f t="shared" si="108"/>
        <v/>
      </c>
      <c r="AU118" s="1771" t="str">
        <f t="shared" si="108"/>
        <v/>
      </c>
      <c r="AV118" s="1771" t="str">
        <f t="shared" si="108"/>
        <v/>
      </c>
      <c r="AW118" s="3442">
        <f t="shared" si="108"/>
        <v>0</v>
      </c>
      <c r="AX118" s="1771" t="str">
        <f t="shared" si="109"/>
        <v/>
      </c>
      <c r="AY118" s="1771" t="str">
        <f t="shared" si="109"/>
        <v/>
      </c>
      <c r="AZ118" s="1771" t="str">
        <f t="shared" si="109"/>
        <v/>
      </c>
      <c r="BA118" s="1771" t="str">
        <f t="shared" si="109"/>
        <v/>
      </c>
      <c r="BB118" s="3437" t="str">
        <f t="shared" si="109"/>
        <v/>
      </c>
      <c r="BC118" s="3443" t="str">
        <f t="shared" si="109"/>
        <v/>
      </c>
      <c r="BD118" s="3462"/>
      <c r="BE118" s="3440" t="str">
        <f>IF(J118=J319,"stop","")</f>
        <v/>
      </c>
      <c r="BF118" s="1771" t="str">
        <f t="shared" si="110"/>
        <v/>
      </c>
      <c r="BG118" s="1771" t="str">
        <f t="shared" si="110"/>
        <v/>
      </c>
      <c r="BH118" s="1771" t="str">
        <f t="shared" si="110"/>
        <v/>
      </c>
      <c r="BI118" s="1771" t="str">
        <f t="shared" si="110"/>
        <v/>
      </c>
      <c r="BJ118" s="3443" t="str">
        <f t="shared" si="110"/>
        <v/>
      </c>
      <c r="BK118" s="3437" t="str">
        <f t="shared" si="110"/>
        <v/>
      </c>
      <c r="BL118" s="1771" t="str">
        <f t="shared" si="110"/>
        <v/>
      </c>
      <c r="BM118" s="3442" t="str">
        <f t="shared" si="110"/>
        <v/>
      </c>
      <c r="BN118" s="1771" t="str">
        <f t="shared" si="110"/>
        <v/>
      </c>
      <c r="BO118" s="1771" t="str">
        <f t="shared" si="110"/>
        <v/>
      </c>
      <c r="BP118" s="1771" t="str">
        <f t="shared" si="110"/>
        <v/>
      </c>
      <c r="BQ118" s="1771">
        <f t="shared" si="110"/>
        <v>0</v>
      </c>
      <c r="BR118" s="3437" t="str">
        <f t="shared" si="111"/>
        <v/>
      </c>
      <c r="BS118" s="1771" t="str">
        <f t="shared" si="111"/>
        <v/>
      </c>
      <c r="BT118" s="1771" t="str">
        <f t="shared" si="111"/>
        <v/>
      </c>
      <c r="BU118" s="3442" t="str">
        <f t="shared" si="111"/>
        <v/>
      </c>
      <c r="BV118" s="1771" t="str">
        <f t="shared" si="111"/>
        <v/>
      </c>
      <c r="BW118" s="3442" t="str">
        <f t="shared" si="111"/>
        <v/>
      </c>
      <c r="BX118" s="3462"/>
      <c r="BY118" s="3439" t="str">
        <f>IF(L118=L319,"stop","")</f>
        <v>stop</v>
      </c>
      <c r="BZ118" s="3437" t="str">
        <f t="shared" si="112"/>
        <v/>
      </c>
      <c r="CA118" s="1771" t="str">
        <f t="shared" si="112"/>
        <v/>
      </c>
      <c r="CB118" s="1771" t="str">
        <f t="shared" si="112"/>
        <v/>
      </c>
      <c r="CC118" s="3442" t="str">
        <f t="shared" si="112"/>
        <v/>
      </c>
      <c r="CD118" s="1771" t="str">
        <f t="shared" si="112"/>
        <v/>
      </c>
      <c r="CE118" s="3437" t="str">
        <f t="shared" si="112"/>
        <v/>
      </c>
      <c r="CF118" s="1771" t="str">
        <f t="shared" si="112"/>
        <v/>
      </c>
      <c r="CG118" s="1771" t="str">
        <f t="shared" si="112"/>
        <v/>
      </c>
      <c r="CH118" s="3437" t="str">
        <f t="shared" si="112"/>
        <v/>
      </c>
      <c r="CI118" s="1771" t="str">
        <f t="shared" si="112"/>
        <v/>
      </c>
      <c r="CJ118" s="1771" t="str">
        <f t="shared" si="112"/>
        <v/>
      </c>
      <c r="CK118" s="3442">
        <f t="shared" si="112"/>
        <v>0</v>
      </c>
      <c r="CL118" s="3437" t="str">
        <f t="shared" si="113"/>
        <v/>
      </c>
      <c r="CM118" s="1771" t="str">
        <f t="shared" si="113"/>
        <v/>
      </c>
      <c r="CN118" s="1771" t="str">
        <f t="shared" si="113"/>
        <v/>
      </c>
      <c r="CO118" s="3442" t="str">
        <f t="shared" si="113"/>
        <v/>
      </c>
      <c r="CP118" s="1771" t="str">
        <f t="shared" si="113"/>
        <v/>
      </c>
      <c r="CQ118" s="3442" t="str">
        <f t="shared" si="113"/>
        <v/>
      </c>
      <c r="CR118" s="3462"/>
    </row>
    <row r="119" spans="1:96" s="3" customFormat="1">
      <c r="A119" s="1848" t="s">
        <v>736</v>
      </c>
      <c r="B119" s="816">
        <v>22</v>
      </c>
      <c r="C119" s="816">
        <v>35.01</v>
      </c>
      <c r="D119" s="816" t="s">
        <v>930</v>
      </c>
      <c r="E119" s="1804" t="s">
        <v>1083</v>
      </c>
      <c r="F119" s="816" t="s">
        <v>930</v>
      </c>
      <c r="G119" s="816" t="s">
        <v>695</v>
      </c>
      <c r="H119" s="816">
        <v>1996</v>
      </c>
      <c r="I119" s="50"/>
      <c r="J119" s="816">
        <f t="shared" si="62"/>
        <v>35.01</v>
      </c>
      <c r="K119" s="816">
        <v>0</v>
      </c>
      <c r="L119" s="816"/>
      <c r="M119" s="816">
        <v>0</v>
      </c>
      <c r="N119" s="845">
        <f t="shared" si="90"/>
        <v>0</v>
      </c>
      <c r="O119" s="1831">
        <f t="shared" si="91"/>
        <v>0</v>
      </c>
      <c r="P119" s="825" t="s">
        <v>1088</v>
      </c>
      <c r="Q119" s="3" t="str">
        <f>IF(J119=J319,"stop","")</f>
        <v/>
      </c>
      <c r="R119" s="3437" t="str">
        <f t="shared" si="106"/>
        <v/>
      </c>
      <c r="S119" s="1771" t="str">
        <f t="shared" si="106"/>
        <v/>
      </c>
      <c r="T119" s="1771" t="str">
        <f t="shared" si="106"/>
        <v/>
      </c>
      <c r="U119" s="1771" t="str">
        <f t="shared" si="106"/>
        <v/>
      </c>
      <c r="V119" s="3443" t="str">
        <f t="shared" si="106"/>
        <v/>
      </c>
      <c r="W119" s="1771" t="str">
        <f t="shared" si="106"/>
        <v/>
      </c>
      <c r="X119" s="1771" t="str">
        <f t="shared" si="106"/>
        <v/>
      </c>
      <c r="Y119" s="1771" t="str">
        <f t="shared" si="106"/>
        <v/>
      </c>
      <c r="Z119" s="3437" t="str">
        <f t="shared" si="106"/>
        <v/>
      </c>
      <c r="AA119" s="1771" t="str">
        <f t="shared" si="106"/>
        <v/>
      </c>
      <c r="AB119" s="1771" t="str">
        <f t="shared" si="106"/>
        <v/>
      </c>
      <c r="AC119" s="3442">
        <f t="shared" si="106"/>
        <v>0</v>
      </c>
      <c r="AD119" s="1771" t="str">
        <f t="shared" si="106"/>
        <v/>
      </c>
      <c r="AE119" s="1771" t="str">
        <f t="shared" si="106"/>
        <v/>
      </c>
      <c r="AF119" s="1771" t="str">
        <f t="shared" si="106"/>
        <v/>
      </c>
      <c r="AG119" s="3442" t="str">
        <f t="shared" si="106"/>
        <v/>
      </c>
      <c r="AH119" s="1771" t="str">
        <f t="shared" si="107"/>
        <v/>
      </c>
      <c r="AI119" s="3442" t="str">
        <f t="shared" si="107"/>
        <v/>
      </c>
      <c r="AJ119" s="3462"/>
      <c r="AK119" s="3439" t="str">
        <f>IF(J119=J319,"stop","")</f>
        <v/>
      </c>
      <c r="AL119" s="3437" t="str">
        <f t="shared" si="108"/>
        <v/>
      </c>
      <c r="AM119" s="1771" t="str">
        <f t="shared" si="108"/>
        <v/>
      </c>
      <c r="AN119" s="1771" t="str">
        <f t="shared" si="108"/>
        <v/>
      </c>
      <c r="AO119" s="1771" t="str">
        <f t="shared" si="108"/>
        <v/>
      </c>
      <c r="AP119" s="3443" t="str">
        <f t="shared" si="108"/>
        <v/>
      </c>
      <c r="AQ119" s="1771" t="str">
        <f t="shared" si="108"/>
        <v/>
      </c>
      <c r="AR119" s="1771" t="str">
        <f t="shared" si="108"/>
        <v/>
      </c>
      <c r="AS119" s="3442" t="str">
        <f t="shared" si="108"/>
        <v/>
      </c>
      <c r="AT119" s="1771" t="str">
        <f t="shared" si="108"/>
        <v/>
      </c>
      <c r="AU119" s="1771" t="str">
        <f t="shared" si="108"/>
        <v/>
      </c>
      <c r="AV119" s="1771" t="str">
        <f t="shared" si="108"/>
        <v/>
      </c>
      <c r="AW119" s="3442">
        <f t="shared" si="108"/>
        <v>0</v>
      </c>
      <c r="AX119" s="1771" t="str">
        <f t="shared" si="109"/>
        <v/>
      </c>
      <c r="AY119" s="1771" t="str">
        <f t="shared" si="109"/>
        <v/>
      </c>
      <c r="AZ119" s="1771" t="str">
        <f t="shared" si="109"/>
        <v/>
      </c>
      <c r="BA119" s="1771" t="str">
        <f t="shared" si="109"/>
        <v/>
      </c>
      <c r="BB119" s="3437" t="str">
        <f t="shared" si="109"/>
        <v/>
      </c>
      <c r="BC119" s="3443" t="str">
        <f t="shared" si="109"/>
        <v/>
      </c>
      <c r="BD119" s="3462"/>
      <c r="BE119" s="3440" t="str">
        <f>IF(J119=J319,"stop","")</f>
        <v/>
      </c>
      <c r="BF119" s="1771" t="str">
        <f t="shared" si="110"/>
        <v/>
      </c>
      <c r="BG119" s="1771" t="str">
        <f t="shared" si="110"/>
        <v/>
      </c>
      <c r="BH119" s="1771" t="str">
        <f t="shared" si="110"/>
        <v/>
      </c>
      <c r="BI119" s="1771" t="str">
        <f t="shared" si="110"/>
        <v/>
      </c>
      <c r="BJ119" s="3443" t="str">
        <f t="shared" si="110"/>
        <v/>
      </c>
      <c r="BK119" s="3437" t="str">
        <f t="shared" si="110"/>
        <v/>
      </c>
      <c r="BL119" s="1771" t="str">
        <f t="shared" si="110"/>
        <v/>
      </c>
      <c r="BM119" s="3442" t="str">
        <f t="shared" si="110"/>
        <v/>
      </c>
      <c r="BN119" s="1771" t="str">
        <f t="shared" si="110"/>
        <v/>
      </c>
      <c r="BO119" s="1771" t="str">
        <f t="shared" si="110"/>
        <v/>
      </c>
      <c r="BP119" s="1771" t="str">
        <f t="shared" si="110"/>
        <v/>
      </c>
      <c r="BQ119" s="1771">
        <f t="shared" si="110"/>
        <v>0</v>
      </c>
      <c r="BR119" s="3437" t="str">
        <f t="shared" si="111"/>
        <v/>
      </c>
      <c r="BS119" s="1771" t="str">
        <f t="shared" si="111"/>
        <v/>
      </c>
      <c r="BT119" s="1771" t="str">
        <f t="shared" si="111"/>
        <v/>
      </c>
      <c r="BU119" s="3442" t="str">
        <f t="shared" si="111"/>
        <v/>
      </c>
      <c r="BV119" s="1771" t="str">
        <f t="shared" si="111"/>
        <v/>
      </c>
      <c r="BW119" s="3442" t="str">
        <f t="shared" si="111"/>
        <v/>
      </c>
      <c r="BX119" s="3462"/>
      <c r="BY119" s="3439" t="str">
        <f>IF(L119=L319,"stop","")</f>
        <v>stop</v>
      </c>
      <c r="BZ119" s="3437" t="str">
        <f t="shared" si="112"/>
        <v/>
      </c>
      <c r="CA119" s="1771" t="str">
        <f t="shared" si="112"/>
        <v/>
      </c>
      <c r="CB119" s="1771" t="str">
        <f t="shared" si="112"/>
        <v/>
      </c>
      <c r="CC119" s="3442" t="str">
        <f t="shared" si="112"/>
        <v/>
      </c>
      <c r="CD119" s="1771" t="str">
        <f t="shared" si="112"/>
        <v/>
      </c>
      <c r="CE119" s="3437" t="str">
        <f t="shared" si="112"/>
        <v/>
      </c>
      <c r="CF119" s="1771" t="str">
        <f t="shared" si="112"/>
        <v/>
      </c>
      <c r="CG119" s="1771" t="str">
        <f t="shared" si="112"/>
        <v/>
      </c>
      <c r="CH119" s="3437" t="str">
        <f t="shared" si="112"/>
        <v/>
      </c>
      <c r="CI119" s="1771" t="str">
        <f t="shared" si="112"/>
        <v/>
      </c>
      <c r="CJ119" s="1771" t="str">
        <f t="shared" si="112"/>
        <v/>
      </c>
      <c r="CK119" s="3442">
        <f t="shared" si="112"/>
        <v>0</v>
      </c>
      <c r="CL119" s="3437" t="str">
        <f t="shared" si="113"/>
        <v/>
      </c>
      <c r="CM119" s="1771" t="str">
        <f t="shared" si="113"/>
        <v/>
      </c>
      <c r="CN119" s="1771" t="str">
        <f t="shared" si="113"/>
        <v/>
      </c>
      <c r="CO119" s="3442" t="str">
        <f t="shared" si="113"/>
        <v/>
      </c>
      <c r="CP119" s="1771" t="str">
        <f t="shared" si="113"/>
        <v/>
      </c>
      <c r="CQ119" s="3442" t="str">
        <f t="shared" si="113"/>
        <v/>
      </c>
      <c r="CR119" s="3462"/>
    </row>
    <row r="120" spans="1:96" s="3" customFormat="1">
      <c r="A120" s="1847" t="s">
        <v>716</v>
      </c>
      <c r="B120" s="819" t="s">
        <v>737</v>
      </c>
      <c r="C120" s="816"/>
      <c r="D120" s="816"/>
      <c r="E120" s="1802"/>
      <c r="F120" s="816"/>
      <c r="G120" s="816"/>
      <c r="H120" s="816"/>
      <c r="I120" s="50"/>
      <c r="J120" s="816"/>
      <c r="K120" s="816"/>
      <c r="L120" s="816"/>
      <c r="M120" s="816"/>
      <c r="N120" s="845">
        <f t="shared" si="90"/>
        <v>0</v>
      </c>
      <c r="O120" s="1831">
        <f t="shared" si="91"/>
        <v>0</v>
      </c>
      <c r="P120" s="825" t="s">
        <v>1088</v>
      </c>
      <c r="Q120" s="3" t="str">
        <f>IF(J120=J319,"stop","")</f>
        <v/>
      </c>
      <c r="R120" s="3437" t="str">
        <f t="shared" si="106"/>
        <v/>
      </c>
      <c r="S120" s="1771" t="str">
        <f t="shared" si="106"/>
        <v/>
      </c>
      <c r="T120" s="1771" t="str">
        <f t="shared" si="106"/>
        <v/>
      </c>
      <c r="U120" s="1771" t="str">
        <f t="shared" si="106"/>
        <v/>
      </c>
      <c r="V120" s="3443" t="str">
        <f t="shared" si="106"/>
        <v/>
      </c>
      <c r="W120" s="1771" t="str">
        <f t="shared" si="106"/>
        <v/>
      </c>
      <c r="X120" s="1771" t="str">
        <f t="shared" si="106"/>
        <v/>
      </c>
      <c r="Y120" s="1771" t="str">
        <f t="shared" si="106"/>
        <v/>
      </c>
      <c r="Z120" s="3437" t="str">
        <f t="shared" si="106"/>
        <v/>
      </c>
      <c r="AA120" s="1771" t="str">
        <f t="shared" si="106"/>
        <v/>
      </c>
      <c r="AB120" s="1771" t="str">
        <f t="shared" si="106"/>
        <v/>
      </c>
      <c r="AC120" s="3442" t="str">
        <f t="shared" si="106"/>
        <v/>
      </c>
      <c r="AD120" s="1771" t="str">
        <f t="shared" si="106"/>
        <v/>
      </c>
      <c r="AE120" s="1771" t="str">
        <f t="shared" si="106"/>
        <v/>
      </c>
      <c r="AF120" s="1771" t="str">
        <f t="shared" si="106"/>
        <v/>
      </c>
      <c r="AG120" s="3442" t="str">
        <f t="shared" si="106"/>
        <v/>
      </c>
      <c r="AH120" s="1771" t="str">
        <f t="shared" si="107"/>
        <v/>
      </c>
      <c r="AI120" s="3442" t="str">
        <f t="shared" si="107"/>
        <v/>
      </c>
      <c r="AJ120" s="3462"/>
      <c r="AK120" s="3439" t="str">
        <f>IF(J120=J319,"stop","")</f>
        <v/>
      </c>
      <c r="AL120" s="3437" t="str">
        <f t="shared" si="108"/>
        <v/>
      </c>
      <c r="AM120" s="1771" t="str">
        <f t="shared" si="108"/>
        <v/>
      </c>
      <c r="AN120" s="1771" t="str">
        <f t="shared" si="108"/>
        <v/>
      </c>
      <c r="AO120" s="1771" t="str">
        <f t="shared" si="108"/>
        <v/>
      </c>
      <c r="AP120" s="3443" t="str">
        <f t="shared" si="108"/>
        <v/>
      </c>
      <c r="AQ120" s="1771" t="str">
        <f t="shared" si="108"/>
        <v/>
      </c>
      <c r="AR120" s="1771" t="str">
        <f t="shared" si="108"/>
        <v/>
      </c>
      <c r="AS120" s="3442" t="str">
        <f t="shared" si="108"/>
        <v/>
      </c>
      <c r="AT120" s="1771" t="str">
        <f t="shared" si="108"/>
        <v/>
      </c>
      <c r="AU120" s="1771" t="str">
        <f t="shared" si="108"/>
        <v/>
      </c>
      <c r="AV120" s="1771" t="str">
        <f t="shared" si="108"/>
        <v/>
      </c>
      <c r="AW120" s="3442" t="str">
        <f t="shared" si="108"/>
        <v/>
      </c>
      <c r="AX120" s="1771" t="str">
        <f t="shared" si="109"/>
        <v/>
      </c>
      <c r="AY120" s="1771" t="str">
        <f t="shared" si="109"/>
        <v/>
      </c>
      <c r="AZ120" s="1771" t="str">
        <f t="shared" si="109"/>
        <v/>
      </c>
      <c r="BA120" s="1771" t="str">
        <f t="shared" si="109"/>
        <v/>
      </c>
      <c r="BB120" s="3437" t="str">
        <f t="shared" si="109"/>
        <v/>
      </c>
      <c r="BC120" s="3443" t="str">
        <f t="shared" si="109"/>
        <v/>
      </c>
      <c r="BD120" s="3462"/>
      <c r="BE120" s="3440" t="str">
        <f>IF(J120=J319,"stop","")</f>
        <v/>
      </c>
      <c r="BF120" s="1771" t="str">
        <f t="shared" si="110"/>
        <v/>
      </c>
      <c r="BG120" s="1771" t="str">
        <f t="shared" si="110"/>
        <v/>
      </c>
      <c r="BH120" s="1771" t="str">
        <f t="shared" si="110"/>
        <v/>
      </c>
      <c r="BI120" s="1771" t="str">
        <f t="shared" si="110"/>
        <v/>
      </c>
      <c r="BJ120" s="3443" t="str">
        <f t="shared" si="110"/>
        <v/>
      </c>
      <c r="BK120" s="3437" t="str">
        <f t="shared" si="110"/>
        <v/>
      </c>
      <c r="BL120" s="1771" t="str">
        <f t="shared" si="110"/>
        <v/>
      </c>
      <c r="BM120" s="3442" t="str">
        <f t="shared" si="110"/>
        <v/>
      </c>
      <c r="BN120" s="1771" t="str">
        <f t="shared" si="110"/>
        <v/>
      </c>
      <c r="BO120" s="1771" t="str">
        <f t="shared" si="110"/>
        <v/>
      </c>
      <c r="BP120" s="1771" t="str">
        <f t="shared" si="110"/>
        <v/>
      </c>
      <c r="BQ120" s="1771" t="str">
        <f t="shared" si="110"/>
        <v/>
      </c>
      <c r="BR120" s="3437" t="str">
        <f t="shared" si="111"/>
        <v/>
      </c>
      <c r="BS120" s="1771" t="str">
        <f t="shared" si="111"/>
        <v/>
      </c>
      <c r="BT120" s="1771" t="str">
        <f t="shared" si="111"/>
        <v/>
      </c>
      <c r="BU120" s="3442" t="str">
        <f t="shared" si="111"/>
        <v/>
      </c>
      <c r="BV120" s="1771" t="str">
        <f t="shared" si="111"/>
        <v/>
      </c>
      <c r="BW120" s="3442" t="str">
        <f t="shared" si="111"/>
        <v/>
      </c>
      <c r="BX120" s="3462"/>
      <c r="BY120" s="3439" t="str">
        <f>IF(L120=L319,"stop","")</f>
        <v>stop</v>
      </c>
      <c r="BZ120" s="3437" t="str">
        <f t="shared" si="112"/>
        <v/>
      </c>
      <c r="CA120" s="1771" t="str">
        <f t="shared" si="112"/>
        <v/>
      </c>
      <c r="CB120" s="1771" t="str">
        <f t="shared" si="112"/>
        <v/>
      </c>
      <c r="CC120" s="3442" t="str">
        <f t="shared" si="112"/>
        <v/>
      </c>
      <c r="CD120" s="1771" t="str">
        <f t="shared" si="112"/>
        <v/>
      </c>
      <c r="CE120" s="3437" t="str">
        <f t="shared" si="112"/>
        <v/>
      </c>
      <c r="CF120" s="1771" t="str">
        <f t="shared" si="112"/>
        <v/>
      </c>
      <c r="CG120" s="1771" t="str">
        <f t="shared" si="112"/>
        <v/>
      </c>
      <c r="CH120" s="3437" t="str">
        <f t="shared" si="112"/>
        <v/>
      </c>
      <c r="CI120" s="1771" t="str">
        <f t="shared" si="112"/>
        <v/>
      </c>
      <c r="CJ120" s="1771" t="str">
        <f t="shared" si="112"/>
        <v/>
      </c>
      <c r="CK120" s="3442" t="str">
        <f t="shared" si="112"/>
        <v/>
      </c>
      <c r="CL120" s="3437" t="str">
        <f t="shared" si="113"/>
        <v/>
      </c>
      <c r="CM120" s="1771" t="str">
        <f t="shared" si="113"/>
        <v/>
      </c>
      <c r="CN120" s="1771" t="str">
        <f t="shared" si="113"/>
        <v/>
      </c>
      <c r="CO120" s="3442" t="str">
        <f t="shared" si="113"/>
        <v/>
      </c>
      <c r="CP120" s="1771" t="str">
        <f t="shared" si="113"/>
        <v/>
      </c>
      <c r="CQ120" s="3442" t="str">
        <f t="shared" si="113"/>
        <v/>
      </c>
      <c r="CR120" s="3462"/>
    </row>
    <row r="121" spans="1:96" s="3" customFormat="1">
      <c r="A121" s="1848" t="s">
        <v>738</v>
      </c>
      <c r="B121" s="816">
        <v>10</v>
      </c>
      <c r="C121" s="816">
        <v>11.69</v>
      </c>
      <c r="D121" s="816">
        <v>8.9999999999999993E-3</v>
      </c>
      <c r="E121" s="1802" t="s">
        <v>35</v>
      </c>
      <c r="F121" s="816">
        <v>0.4</v>
      </c>
      <c r="G121" s="816" t="s">
        <v>695</v>
      </c>
      <c r="H121" s="816">
        <v>1996</v>
      </c>
      <c r="I121" s="50"/>
      <c r="J121" s="816">
        <f t="shared" si="62"/>
        <v>11.69</v>
      </c>
      <c r="K121" s="816">
        <v>8.9999999999999993E-3</v>
      </c>
      <c r="L121" s="816" t="s">
        <v>35</v>
      </c>
      <c r="M121" s="816">
        <v>0.4</v>
      </c>
      <c r="N121" s="845">
        <f t="shared" si="90"/>
        <v>0.06</v>
      </c>
      <c r="O121" s="1831">
        <f t="shared" si="91"/>
        <v>0.20450000000000002</v>
      </c>
      <c r="P121" s="825" t="s">
        <v>1088</v>
      </c>
      <c r="Q121" s="3" t="str">
        <f>IF(J121=J319,"stop","")</f>
        <v/>
      </c>
      <c r="R121" s="3437" t="str">
        <f t="shared" si="106"/>
        <v/>
      </c>
      <c r="S121" s="1771" t="str">
        <f t="shared" si="106"/>
        <v/>
      </c>
      <c r="T121" s="1771" t="str">
        <f t="shared" si="106"/>
        <v/>
      </c>
      <c r="U121" s="1771" t="str">
        <f t="shared" si="106"/>
        <v/>
      </c>
      <c r="V121" s="3443" t="str">
        <f t="shared" si="106"/>
        <v/>
      </c>
      <c r="W121" s="1771" t="str">
        <f t="shared" si="106"/>
        <v/>
      </c>
      <c r="X121" s="1771" t="str">
        <f t="shared" si="106"/>
        <v/>
      </c>
      <c r="Y121" s="1771" t="str">
        <f t="shared" si="106"/>
        <v/>
      </c>
      <c r="Z121" s="3437">
        <f t="shared" si="106"/>
        <v>8.9999999999999993E-3</v>
      </c>
      <c r="AA121" s="1771" t="str">
        <f t="shared" si="106"/>
        <v/>
      </c>
      <c r="AB121" s="1771" t="str">
        <f t="shared" si="106"/>
        <v/>
      </c>
      <c r="AC121" s="3442" t="str">
        <f t="shared" si="106"/>
        <v/>
      </c>
      <c r="AD121" s="1771" t="str">
        <f t="shared" si="106"/>
        <v/>
      </c>
      <c r="AE121" s="1771" t="str">
        <f t="shared" si="106"/>
        <v/>
      </c>
      <c r="AF121" s="1771" t="str">
        <f t="shared" si="106"/>
        <v/>
      </c>
      <c r="AG121" s="3442" t="str">
        <f t="shared" si="106"/>
        <v/>
      </c>
      <c r="AH121" s="1771" t="str">
        <f t="shared" si="107"/>
        <v/>
      </c>
      <c r="AI121" s="3442" t="str">
        <f t="shared" si="107"/>
        <v/>
      </c>
      <c r="AJ121" s="3462"/>
      <c r="AK121" s="3439" t="str">
        <f>IF(J121=J319,"stop","")</f>
        <v/>
      </c>
      <c r="AL121" s="3437" t="str">
        <f t="shared" si="108"/>
        <v/>
      </c>
      <c r="AM121" s="1771" t="str">
        <f t="shared" si="108"/>
        <v/>
      </c>
      <c r="AN121" s="1771" t="str">
        <f t="shared" si="108"/>
        <v/>
      </c>
      <c r="AO121" s="1771" t="str">
        <f t="shared" si="108"/>
        <v/>
      </c>
      <c r="AP121" s="3443" t="str">
        <f t="shared" si="108"/>
        <v/>
      </c>
      <c r="AQ121" s="1771" t="str">
        <f t="shared" si="108"/>
        <v/>
      </c>
      <c r="AR121" s="1771" t="str">
        <f t="shared" si="108"/>
        <v/>
      </c>
      <c r="AS121" s="3442" t="str">
        <f t="shared" si="108"/>
        <v/>
      </c>
      <c r="AT121" s="1771">
        <f t="shared" si="108"/>
        <v>0.4</v>
      </c>
      <c r="AU121" s="1771" t="str">
        <f t="shared" si="108"/>
        <v/>
      </c>
      <c r="AV121" s="1771" t="str">
        <f t="shared" si="108"/>
        <v/>
      </c>
      <c r="AW121" s="3442" t="str">
        <f t="shared" si="108"/>
        <v/>
      </c>
      <c r="AX121" s="1771" t="str">
        <f t="shared" si="109"/>
        <v/>
      </c>
      <c r="AY121" s="1771" t="str">
        <f t="shared" si="109"/>
        <v/>
      </c>
      <c r="AZ121" s="1771" t="str">
        <f t="shared" si="109"/>
        <v/>
      </c>
      <c r="BA121" s="1771" t="str">
        <f t="shared" si="109"/>
        <v/>
      </c>
      <c r="BB121" s="3437" t="str">
        <f t="shared" si="109"/>
        <v/>
      </c>
      <c r="BC121" s="3443" t="str">
        <f t="shared" si="109"/>
        <v/>
      </c>
      <c r="BD121" s="3462"/>
      <c r="BE121" s="3440" t="str">
        <f>IF(J121=J319,"stop","")</f>
        <v/>
      </c>
      <c r="BF121" s="1771" t="str">
        <f t="shared" si="110"/>
        <v/>
      </c>
      <c r="BG121" s="1771" t="str">
        <f t="shared" si="110"/>
        <v/>
      </c>
      <c r="BH121" s="1771" t="str">
        <f t="shared" si="110"/>
        <v/>
      </c>
      <c r="BI121" s="1771" t="str">
        <f t="shared" si="110"/>
        <v/>
      </c>
      <c r="BJ121" s="3443" t="str">
        <f t="shared" si="110"/>
        <v/>
      </c>
      <c r="BK121" s="3437" t="str">
        <f t="shared" si="110"/>
        <v/>
      </c>
      <c r="BL121" s="1771" t="str">
        <f t="shared" si="110"/>
        <v/>
      </c>
      <c r="BM121" s="3442" t="str">
        <f t="shared" si="110"/>
        <v/>
      </c>
      <c r="BN121" s="1771">
        <f t="shared" si="110"/>
        <v>0.06</v>
      </c>
      <c r="BO121" s="1771" t="str">
        <f t="shared" si="110"/>
        <v/>
      </c>
      <c r="BP121" s="1771" t="str">
        <f t="shared" si="110"/>
        <v/>
      </c>
      <c r="BQ121" s="1771" t="str">
        <f t="shared" si="110"/>
        <v/>
      </c>
      <c r="BR121" s="3437" t="str">
        <f t="shared" si="111"/>
        <v/>
      </c>
      <c r="BS121" s="1771" t="str">
        <f t="shared" si="111"/>
        <v/>
      </c>
      <c r="BT121" s="1771" t="str">
        <f t="shared" si="111"/>
        <v/>
      </c>
      <c r="BU121" s="3442" t="str">
        <f t="shared" si="111"/>
        <v/>
      </c>
      <c r="BV121" s="1771" t="str">
        <f t="shared" si="111"/>
        <v/>
      </c>
      <c r="BW121" s="3442" t="str">
        <f t="shared" si="111"/>
        <v/>
      </c>
      <c r="BX121" s="3462"/>
      <c r="BY121" s="3439" t="str">
        <f>IF(L121=L319,"stop","")</f>
        <v/>
      </c>
      <c r="BZ121" s="3437" t="str">
        <f t="shared" si="112"/>
        <v/>
      </c>
      <c r="CA121" s="1771" t="str">
        <f t="shared" si="112"/>
        <v/>
      </c>
      <c r="CB121" s="1771" t="str">
        <f t="shared" si="112"/>
        <v/>
      </c>
      <c r="CC121" s="3442" t="str">
        <f t="shared" si="112"/>
        <v/>
      </c>
      <c r="CD121" s="1771" t="str">
        <f t="shared" si="112"/>
        <v/>
      </c>
      <c r="CE121" s="3437" t="str">
        <f t="shared" si="112"/>
        <v/>
      </c>
      <c r="CF121" s="1771" t="str">
        <f t="shared" si="112"/>
        <v/>
      </c>
      <c r="CG121" s="1771" t="str">
        <f t="shared" si="112"/>
        <v/>
      </c>
      <c r="CH121" s="3437">
        <f t="shared" si="112"/>
        <v>0.20450000000000002</v>
      </c>
      <c r="CI121" s="1771" t="str">
        <f t="shared" si="112"/>
        <v/>
      </c>
      <c r="CJ121" s="1771" t="str">
        <f t="shared" si="112"/>
        <v/>
      </c>
      <c r="CK121" s="3442" t="str">
        <f t="shared" si="112"/>
        <v/>
      </c>
      <c r="CL121" s="3437" t="str">
        <f t="shared" si="113"/>
        <v/>
      </c>
      <c r="CM121" s="1771" t="str">
        <f t="shared" si="113"/>
        <v/>
      </c>
      <c r="CN121" s="1771" t="str">
        <f t="shared" si="113"/>
        <v/>
      </c>
      <c r="CO121" s="3442" t="str">
        <f t="shared" si="113"/>
        <v/>
      </c>
      <c r="CP121" s="1771" t="str">
        <f t="shared" si="113"/>
        <v/>
      </c>
      <c r="CQ121" s="3442" t="str">
        <f t="shared" si="113"/>
        <v/>
      </c>
      <c r="CR121" s="3462"/>
    </row>
    <row r="122" spans="1:96" s="3" customFormat="1">
      <c r="A122" s="1848" t="s">
        <v>739</v>
      </c>
      <c r="B122" s="816">
        <v>11</v>
      </c>
      <c r="C122" s="816">
        <v>12.99</v>
      </c>
      <c r="D122" s="816">
        <v>0.28999999999999998</v>
      </c>
      <c r="E122" s="1802" t="s">
        <v>35</v>
      </c>
      <c r="F122" s="816">
        <v>0.48</v>
      </c>
      <c r="G122" s="816" t="s">
        <v>695</v>
      </c>
      <c r="H122" s="816">
        <v>1996</v>
      </c>
      <c r="I122" s="50"/>
      <c r="J122" s="816">
        <f t="shared" si="62"/>
        <v>12.99</v>
      </c>
      <c r="K122" s="816">
        <v>0.28999999999999998</v>
      </c>
      <c r="L122" s="816" t="s">
        <v>35</v>
      </c>
      <c r="M122" s="816">
        <v>0.48</v>
      </c>
      <c r="N122" s="845">
        <f t="shared" si="90"/>
        <v>0.37309516212355259</v>
      </c>
      <c r="O122" s="1831">
        <f t="shared" si="91"/>
        <v>0.38500000000000001</v>
      </c>
      <c r="P122" s="825" t="s">
        <v>1088</v>
      </c>
      <c r="Q122" s="3" t="str">
        <f>IF(J122=J319,"stop","")</f>
        <v/>
      </c>
      <c r="R122" s="3437" t="str">
        <f t="shared" si="106"/>
        <v/>
      </c>
      <c r="S122" s="1771" t="str">
        <f t="shared" si="106"/>
        <v/>
      </c>
      <c r="T122" s="1771" t="str">
        <f t="shared" si="106"/>
        <v/>
      </c>
      <c r="U122" s="1771" t="str">
        <f t="shared" si="106"/>
        <v/>
      </c>
      <c r="V122" s="3443" t="str">
        <f t="shared" si="106"/>
        <v/>
      </c>
      <c r="W122" s="1771" t="str">
        <f t="shared" si="106"/>
        <v/>
      </c>
      <c r="X122" s="1771" t="str">
        <f t="shared" si="106"/>
        <v/>
      </c>
      <c r="Y122" s="1771" t="str">
        <f t="shared" si="106"/>
        <v/>
      </c>
      <c r="Z122" s="3437" t="str">
        <f t="shared" si="106"/>
        <v/>
      </c>
      <c r="AA122" s="1771">
        <f t="shared" si="106"/>
        <v>0.28999999999999998</v>
      </c>
      <c r="AB122" s="1771" t="str">
        <f t="shared" si="106"/>
        <v/>
      </c>
      <c r="AC122" s="3442" t="str">
        <f t="shared" si="106"/>
        <v/>
      </c>
      <c r="AD122" s="1771" t="str">
        <f t="shared" si="106"/>
        <v/>
      </c>
      <c r="AE122" s="1771" t="str">
        <f t="shared" si="106"/>
        <v/>
      </c>
      <c r="AF122" s="1771" t="str">
        <f t="shared" si="106"/>
        <v/>
      </c>
      <c r="AG122" s="3442" t="str">
        <f t="shared" si="106"/>
        <v/>
      </c>
      <c r="AH122" s="1771" t="str">
        <f t="shared" si="107"/>
        <v/>
      </c>
      <c r="AI122" s="3442" t="str">
        <f t="shared" si="107"/>
        <v/>
      </c>
      <c r="AJ122" s="3462"/>
      <c r="AK122" s="3439" t="str">
        <f>IF(J122=J319,"stop","")</f>
        <v/>
      </c>
      <c r="AL122" s="3437" t="str">
        <f t="shared" si="108"/>
        <v/>
      </c>
      <c r="AM122" s="1771" t="str">
        <f t="shared" si="108"/>
        <v/>
      </c>
      <c r="AN122" s="1771" t="str">
        <f t="shared" si="108"/>
        <v/>
      </c>
      <c r="AO122" s="1771" t="str">
        <f t="shared" si="108"/>
        <v/>
      </c>
      <c r="AP122" s="3443" t="str">
        <f t="shared" si="108"/>
        <v/>
      </c>
      <c r="AQ122" s="1771" t="str">
        <f t="shared" si="108"/>
        <v/>
      </c>
      <c r="AR122" s="1771" t="str">
        <f t="shared" si="108"/>
        <v/>
      </c>
      <c r="AS122" s="3442" t="str">
        <f t="shared" si="108"/>
        <v/>
      </c>
      <c r="AT122" s="1771" t="str">
        <f t="shared" si="108"/>
        <v/>
      </c>
      <c r="AU122" s="1771">
        <f t="shared" si="108"/>
        <v>0.48</v>
      </c>
      <c r="AV122" s="1771" t="str">
        <f t="shared" si="108"/>
        <v/>
      </c>
      <c r="AW122" s="3442" t="str">
        <f t="shared" si="108"/>
        <v/>
      </c>
      <c r="AX122" s="1771" t="str">
        <f t="shared" si="109"/>
        <v/>
      </c>
      <c r="AY122" s="1771" t="str">
        <f t="shared" si="109"/>
        <v/>
      </c>
      <c r="AZ122" s="1771" t="str">
        <f t="shared" si="109"/>
        <v/>
      </c>
      <c r="BA122" s="1771" t="str">
        <f t="shared" si="109"/>
        <v/>
      </c>
      <c r="BB122" s="3437" t="str">
        <f t="shared" si="109"/>
        <v/>
      </c>
      <c r="BC122" s="3443" t="str">
        <f t="shared" si="109"/>
        <v/>
      </c>
      <c r="BD122" s="3462"/>
      <c r="BE122" s="3440" t="str">
        <f>IF(J122=J319,"stop","")</f>
        <v/>
      </c>
      <c r="BF122" s="1771" t="str">
        <f t="shared" si="110"/>
        <v/>
      </c>
      <c r="BG122" s="1771" t="str">
        <f t="shared" si="110"/>
        <v/>
      </c>
      <c r="BH122" s="1771" t="str">
        <f t="shared" si="110"/>
        <v/>
      </c>
      <c r="BI122" s="1771" t="str">
        <f t="shared" si="110"/>
        <v/>
      </c>
      <c r="BJ122" s="3443" t="str">
        <f t="shared" si="110"/>
        <v/>
      </c>
      <c r="BK122" s="3437" t="str">
        <f t="shared" si="110"/>
        <v/>
      </c>
      <c r="BL122" s="1771" t="str">
        <f t="shared" si="110"/>
        <v/>
      </c>
      <c r="BM122" s="3442" t="str">
        <f t="shared" si="110"/>
        <v/>
      </c>
      <c r="BN122" s="1771" t="str">
        <f t="shared" si="110"/>
        <v/>
      </c>
      <c r="BO122" s="1771">
        <f t="shared" si="110"/>
        <v>0.37309516212355259</v>
      </c>
      <c r="BP122" s="1771" t="str">
        <f t="shared" si="110"/>
        <v/>
      </c>
      <c r="BQ122" s="1771" t="str">
        <f t="shared" si="110"/>
        <v/>
      </c>
      <c r="BR122" s="3437" t="str">
        <f t="shared" si="111"/>
        <v/>
      </c>
      <c r="BS122" s="1771" t="str">
        <f t="shared" si="111"/>
        <v/>
      </c>
      <c r="BT122" s="1771" t="str">
        <f t="shared" si="111"/>
        <v/>
      </c>
      <c r="BU122" s="3442" t="str">
        <f t="shared" si="111"/>
        <v/>
      </c>
      <c r="BV122" s="1771" t="str">
        <f t="shared" si="111"/>
        <v/>
      </c>
      <c r="BW122" s="3442" t="str">
        <f t="shared" si="111"/>
        <v/>
      </c>
      <c r="BX122" s="3462"/>
      <c r="BY122" s="3439" t="str">
        <f>IF(L122=L319,"stop","")</f>
        <v/>
      </c>
      <c r="BZ122" s="3437" t="str">
        <f t="shared" si="112"/>
        <v/>
      </c>
      <c r="CA122" s="1771" t="str">
        <f t="shared" si="112"/>
        <v/>
      </c>
      <c r="CB122" s="1771" t="str">
        <f t="shared" si="112"/>
        <v/>
      </c>
      <c r="CC122" s="3442" t="str">
        <f t="shared" si="112"/>
        <v/>
      </c>
      <c r="CD122" s="1771" t="str">
        <f t="shared" si="112"/>
        <v/>
      </c>
      <c r="CE122" s="3437" t="str">
        <f t="shared" si="112"/>
        <v/>
      </c>
      <c r="CF122" s="1771" t="str">
        <f t="shared" si="112"/>
        <v/>
      </c>
      <c r="CG122" s="1771" t="str">
        <f t="shared" si="112"/>
        <v/>
      </c>
      <c r="CH122" s="3437" t="str">
        <f t="shared" si="112"/>
        <v/>
      </c>
      <c r="CI122" s="1771">
        <f t="shared" si="112"/>
        <v>0.38500000000000001</v>
      </c>
      <c r="CJ122" s="1771" t="str">
        <f t="shared" si="112"/>
        <v/>
      </c>
      <c r="CK122" s="3442" t="str">
        <f t="shared" si="112"/>
        <v/>
      </c>
      <c r="CL122" s="3437" t="str">
        <f t="shared" si="113"/>
        <v/>
      </c>
      <c r="CM122" s="1771" t="str">
        <f t="shared" si="113"/>
        <v/>
      </c>
      <c r="CN122" s="1771" t="str">
        <f t="shared" si="113"/>
        <v/>
      </c>
      <c r="CO122" s="3442" t="str">
        <f t="shared" si="113"/>
        <v/>
      </c>
      <c r="CP122" s="1771" t="str">
        <f t="shared" si="113"/>
        <v/>
      </c>
      <c r="CQ122" s="3442" t="str">
        <f t="shared" si="113"/>
        <v/>
      </c>
      <c r="CR122" s="3462"/>
    </row>
    <row r="123" spans="1:96" s="3" customFormat="1">
      <c r="A123" s="1848" t="s">
        <v>740</v>
      </c>
      <c r="B123" s="816">
        <v>11</v>
      </c>
      <c r="C123" s="816">
        <v>12.84</v>
      </c>
      <c r="D123" s="816">
        <v>0.36</v>
      </c>
      <c r="E123" s="1802" t="s">
        <v>35</v>
      </c>
      <c r="F123" s="816">
        <v>1</v>
      </c>
      <c r="G123" s="816" t="s">
        <v>695</v>
      </c>
      <c r="H123" s="816">
        <v>1996</v>
      </c>
      <c r="I123" s="50"/>
      <c r="J123" s="816">
        <f t="shared" si="62"/>
        <v>12.84</v>
      </c>
      <c r="K123" s="816">
        <v>0.36</v>
      </c>
      <c r="L123" s="816" t="s">
        <v>35</v>
      </c>
      <c r="M123" s="816">
        <v>1</v>
      </c>
      <c r="N123" s="845">
        <f t="shared" si="90"/>
        <v>0.6</v>
      </c>
      <c r="O123" s="1831">
        <f t="shared" si="91"/>
        <v>0.67999999999999994</v>
      </c>
      <c r="P123" s="825" t="s">
        <v>1088</v>
      </c>
      <c r="Q123" s="3" t="str">
        <f>IF(J123=J319,"stop","")</f>
        <v/>
      </c>
      <c r="R123" s="3437" t="str">
        <f t="shared" si="106"/>
        <v/>
      </c>
      <c r="S123" s="1771" t="str">
        <f t="shared" si="106"/>
        <v/>
      </c>
      <c r="T123" s="1771" t="str">
        <f t="shared" si="106"/>
        <v/>
      </c>
      <c r="U123" s="1771" t="str">
        <f t="shared" si="106"/>
        <v/>
      </c>
      <c r="V123" s="3443" t="str">
        <f t="shared" si="106"/>
        <v/>
      </c>
      <c r="W123" s="1771" t="str">
        <f t="shared" si="106"/>
        <v/>
      </c>
      <c r="X123" s="1771" t="str">
        <f t="shared" si="106"/>
        <v/>
      </c>
      <c r="Y123" s="1771" t="str">
        <f t="shared" si="106"/>
        <v/>
      </c>
      <c r="Z123" s="3437" t="str">
        <f t="shared" si="106"/>
        <v/>
      </c>
      <c r="AA123" s="1771">
        <f t="shared" si="106"/>
        <v>0.36</v>
      </c>
      <c r="AB123" s="1771" t="str">
        <f t="shared" si="106"/>
        <v/>
      </c>
      <c r="AC123" s="3442" t="str">
        <f t="shared" si="106"/>
        <v/>
      </c>
      <c r="AD123" s="1771" t="str">
        <f t="shared" si="106"/>
        <v/>
      </c>
      <c r="AE123" s="1771" t="str">
        <f t="shared" si="106"/>
        <v/>
      </c>
      <c r="AF123" s="1771" t="str">
        <f t="shared" si="106"/>
        <v/>
      </c>
      <c r="AG123" s="3442" t="str">
        <f t="shared" si="106"/>
        <v/>
      </c>
      <c r="AH123" s="1771" t="str">
        <f t="shared" si="107"/>
        <v/>
      </c>
      <c r="AI123" s="3442" t="str">
        <f t="shared" si="107"/>
        <v/>
      </c>
      <c r="AJ123" s="3462"/>
      <c r="AK123" s="3439" t="str">
        <f>IF(J123=J319,"stop","")</f>
        <v/>
      </c>
      <c r="AL123" s="3437" t="str">
        <f t="shared" si="108"/>
        <v/>
      </c>
      <c r="AM123" s="1771" t="str">
        <f t="shared" si="108"/>
        <v/>
      </c>
      <c r="AN123" s="1771" t="str">
        <f t="shared" si="108"/>
        <v/>
      </c>
      <c r="AO123" s="1771" t="str">
        <f t="shared" si="108"/>
        <v/>
      </c>
      <c r="AP123" s="3443" t="str">
        <f t="shared" si="108"/>
        <v/>
      </c>
      <c r="AQ123" s="1771" t="str">
        <f t="shared" si="108"/>
        <v/>
      </c>
      <c r="AR123" s="1771" t="str">
        <f t="shared" si="108"/>
        <v/>
      </c>
      <c r="AS123" s="3442" t="str">
        <f t="shared" si="108"/>
        <v/>
      </c>
      <c r="AT123" s="1771" t="str">
        <f t="shared" si="108"/>
        <v/>
      </c>
      <c r="AU123" s="1771">
        <f t="shared" si="108"/>
        <v>1</v>
      </c>
      <c r="AV123" s="1771" t="str">
        <f t="shared" si="108"/>
        <v/>
      </c>
      <c r="AW123" s="3442" t="str">
        <f t="shared" si="108"/>
        <v/>
      </c>
      <c r="AX123" s="1771" t="str">
        <f t="shared" si="109"/>
        <v/>
      </c>
      <c r="AY123" s="1771" t="str">
        <f t="shared" si="109"/>
        <v/>
      </c>
      <c r="AZ123" s="1771" t="str">
        <f t="shared" si="109"/>
        <v/>
      </c>
      <c r="BA123" s="1771" t="str">
        <f t="shared" si="109"/>
        <v/>
      </c>
      <c r="BB123" s="3437" t="str">
        <f t="shared" si="109"/>
        <v/>
      </c>
      <c r="BC123" s="3443" t="str">
        <f t="shared" si="109"/>
        <v/>
      </c>
      <c r="BD123" s="3462"/>
      <c r="BE123" s="3440" t="str">
        <f>IF(J123=J319,"stop","")</f>
        <v/>
      </c>
      <c r="BF123" s="1771" t="str">
        <f t="shared" si="110"/>
        <v/>
      </c>
      <c r="BG123" s="1771" t="str">
        <f t="shared" si="110"/>
        <v/>
      </c>
      <c r="BH123" s="1771" t="str">
        <f t="shared" si="110"/>
        <v/>
      </c>
      <c r="BI123" s="1771" t="str">
        <f t="shared" si="110"/>
        <v/>
      </c>
      <c r="BJ123" s="3443" t="str">
        <f t="shared" si="110"/>
        <v/>
      </c>
      <c r="BK123" s="3437" t="str">
        <f t="shared" si="110"/>
        <v/>
      </c>
      <c r="BL123" s="1771" t="str">
        <f t="shared" si="110"/>
        <v/>
      </c>
      <c r="BM123" s="3442" t="str">
        <f t="shared" si="110"/>
        <v/>
      </c>
      <c r="BN123" s="1771" t="str">
        <f t="shared" si="110"/>
        <v/>
      </c>
      <c r="BO123" s="1771">
        <f t="shared" si="110"/>
        <v>0.6</v>
      </c>
      <c r="BP123" s="1771" t="str">
        <f t="shared" si="110"/>
        <v/>
      </c>
      <c r="BQ123" s="1771" t="str">
        <f t="shared" si="110"/>
        <v/>
      </c>
      <c r="BR123" s="3437" t="str">
        <f t="shared" si="111"/>
        <v/>
      </c>
      <c r="BS123" s="1771" t="str">
        <f t="shared" si="111"/>
        <v/>
      </c>
      <c r="BT123" s="1771" t="str">
        <f t="shared" si="111"/>
        <v/>
      </c>
      <c r="BU123" s="3442" t="str">
        <f t="shared" si="111"/>
        <v/>
      </c>
      <c r="BV123" s="1771" t="str">
        <f t="shared" si="111"/>
        <v/>
      </c>
      <c r="BW123" s="3442" t="str">
        <f t="shared" si="111"/>
        <v/>
      </c>
      <c r="BX123" s="3462"/>
      <c r="BY123" s="3439" t="str">
        <f>IF(L123=L319,"stop","")</f>
        <v/>
      </c>
      <c r="BZ123" s="3437" t="str">
        <f t="shared" si="112"/>
        <v/>
      </c>
      <c r="CA123" s="1771" t="str">
        <f t="shared" si="112"/>
        <v/>
      </c>
      <c r="CB123" s="1771" t="str">
        <f t="shared" si="112"/>
        <v/>
      </c>
      <c r="CC123" s="3442" t="str">
        <f t="shared" si="112"/>
        <v/>
      </c>
      <c r="CD123" s="1771" t="str">
        <f t="shared" si="112"/>
        <v/>
      </c>
      <c r="CE123" s="3437" t="str">
        <f t="shared" si="112"/>
        <v/>
      </c>
      <c r="CF123" s="1771" t="str">
        <f t="shared" si="112"/>
        <v/>
      </c>
      <c r="CG123" s="1771" t="str">
        <f t="shared" si="112"/>
        <v/>
      </c>
      <c r="CH123" s="3437" t="str">
        <f t="shared" si="112"/>
        <v/>
      </c>
      <c r="CI123" s="1771">
        <f t="shared" si="112"/>
        <v>0.67999999999999994</v>
      </c>
      <c r="CJ123" s="1771" t="str">
        <f t="shared" si="112"/>
        <v/>
      </c>
      <c r="CK123" s="3442" t="str">
        <f t="shared" si="112"/>
        <v/>
      </c>
      <c r="CL123" s="3437" t="str">
        <f t="shared" si="113"/>
        <v/>
      </c>
      <c r="CM123" s="1771" t="str">
        <f t="shared" si="113"/>
        <v/>
      </c>
      <c r="CN123" s="1771" t="str">
        <f t="shared" si="113"/>
        <v/>
      </c>
      <c r="CO123" s="3442" t="str">
        <f t="shared" si="113"/>
        <v/>
      </c>
      <c r="CP123" s="1771" t="str">
        <f t="shared" si="113"/>
        <v/>
      </c>
      <c r="CQ123" s="3442" t="str">
        <f t="shared" si="113"/>
        <v/>
      </c>
      <c r="CR123" s="3462"/>
    </row>
    <row r="124" spans="1:96" s="3" customFormat="1">
      <c r="A124" s="1848" t="s">
        <v>742</v>
      </c>
      <c r="B124" s="816">
        <v>12</v>
      </c>
      <c r="C124" s="816">
        <v>14.6</v>
      </c>
      <c r="D124" s="816">
        <v>4.2999999999999997E-2</v>
      </c>
      <c r="E124" s="1802" t="s">
        <v>35</v>
      </c>
      <c r="F124" s="816">
        <v>4.4999999999999998E-2</v>
      </c>
      <c r="G124" s="816" t="s">
        <v>695</v>
      </c>
      <c r="H124" s="816">
        <v>1996</v>
      </c>
      <c r="I124" s="50"/>
      <c r="J124" s="816">
        <f t="shared" si="62"/>
        <v>14.6</v>
      </c>
      <c r="K124" s="816">
        <v>4.2999999999999997E-2</v>
      </c>
      <c r="L124" s="816" t="s">
        <v>35</v>
      </c>
      <c r="M124" s="816">
        <v>4.4999999999999998E-2</v>
      </c>
      <c r="N124" s="845">
        <f t="shared" si="90"/>
        <v>4.3988634895845542E-2</v>
      </c>
      <c r="O124" s="1831">
        <f t="shared" si="91"/>
        <v>4.3999999999999997E-2</v>
      </c>
      <c r="P124" s="825" t="s">
        <v>1088</v>
      </c>
      <c r="Q124" s="3" t="str">
        <f>IF(J124=J319,"stop","")</f>
        <v/>
      </c>
      <c r="R124" s="3437" t="str">
        <f t="shared" si="106"/>
        <v/>
      </c>
      <c r="S124" s="1771" t="str">
        <f t="shared" si="106"/>
        <v/>
      </c>
      <c r="T124" s="1771" t="str">
        <f t="shared" si="106"/>
        <v/>
      </c>
      <c r="U124" s="1771" t="str">
        <f t="shared" si="106"/>
        <v/>
      </c>
      <c r="V124" s="3443" t="str">
        <f t="shared" si="106"/>
        <v/>
      </c>
      <c r="W124" s="1771" t="str">
        <f t="shared" si="106"/>
        <v/>
      </c>
      <c r="X124" s="1771" t="str">
        <f t="shared" si="106"/>
        <v/>
      </c>
      <c r="Y124" s="1771" t="str">
        <f t="shared" si="106"/>
        <v/>
      </c>
      <c r="Z124" s="3437" t="str">
        <f t="shared" si="106"/>
        <v/>
      </c>
      <c r="AA124" s="1771">
        <f t="shared" si="106"/>
        <v>4.2999999999999997E-2</v>
      </c>
      <c r="AB124" s="1771" t="str">
        <f t="shared" si="106"/>
        <v/>
      </c>
      <c r="AC124" s="3442" t="str">
        <f t="shared" si="106"/>
        <v/>
      </c>
      <c r="AD124" s="1771" t="str">
        <f t="shared" si="106"/>
        <v/>
      </c>
      <c r="AE124" s="1771" t="str">
        <f t="shared" si="106"/>
        <v/>
      </c>
      <c r="AF124" s="1771" t="str">
        <f t="shared" si="106"/>
        <v/>
      </c>
      <c r="AG124" s="3442" t="str">
        <f t="shared" si="106"/>
        <v/>
      </c>
      <c r="AH124" s="1771" t="str">
        <f t="shared" si="107"/>
        <v/>
      </c>
      <c r="AI124" s="3442" t="str">
        <f t="shared" si="107"/>
        <v/>
      </c>
      <c r="AJ124" s="3462"/>
      <c r="AK124" s="3439" t="str">
        <f>IF(J124=J319,"stop","")</f>
        <v/>
      </c>
      <c r="AL124" s="3437" t="str">
        <f t="shared" si="108"/>
        <v/>
      </c>
      <c r="AM124" s="1771" t="str">
        <f t="shared" si="108"/>
        <v/>
      </c>
      <c r="AN124" s="1771" t="str">
        <f t="shared" si="108"/>
        <v/>
      </c>
      <c r="AO124" s="1771" t="str">
        <f t="shared" si="108"/>
        <v/>
      </c>
      <c r="AP124" s="3443" t="str">
        <f t="shared" si="108"/>
        <v/>
      </c>
      <c r="AQ124" s="1771" t="str">
        <f t="shared" si="108"/>
        <v/>
      </c>
      <c r="AR124" s="1771" t="str">
        <f t="shared" si="108"/>
        <v/>
      </c>
      <c r="AS124" s="3442" t="str">
        <f t="shared" si="108"/>
        <v/>
      </c>
      <c r="AT124" s="1771" t="str">
        <f t="shared" si="108"/>
        <v/>
      </c>
      <c r="AU124" s="1771">
        <f t="shared" si="108"/>
        <v>4.4999999999999998E-2</v>
      </c>
      <c r="AV124" s="1771" t="str">
        <f t="shared" si="108"/>
        <v/>
      </c>
      <c r="AW124" s="3442" t="str">
        <f t="shared" si="108"/>
        <v/>
      </c>
      <c r="AX124" s="1771" t="str">
        <f t="shared" si="109"/>
        <v/>
      </c>
      <c r="AY124" s="1771" t="str">
        <f t="shared" si="109"/>
        <v/>
      </c>
      <c r="AZ124" s="1771" t="str">
        <f t="shared" si="109"/>
        <v/>
      </c>
      <c r="BA124" s="1771" t="str">
        <f t="shared" si="109"/>
        <v/>
      </c>
      <c r="BB124" s="3437" t="str">
        <f t="shared" si="109"/>
        <v/>
      </c>
      <c r="BC124" s="3443" t="str">
        <f t="shared" si="109"/>
        <v/>
      </c>
      <c r="BD124" s="3462"/>
      <c r="BE124" s="3440" t="str">
        <f>IF(J124=J319,"stop","")</f>
        <v/>
      </c>
      <c r="BF124" s="1771" t="str">
        <f t="shared" si="110"/>
        <v/>
      </c>
      <c r="BG124" s="1771" t="str">
        <f t="shared" si="110"/>
        <v/>
      </c>
      <c r="BH124" s="1771" t="str">
        <f t="shared" si="110"/>
        <v/>
      </c>
      <c r="BI124" s="1771" t="str">
        <f t="shared" si="110"/>
        <v/>
      </c>
      <c r="BJ124" s="3443" t="str">
        <f t="shared" si="110"/>
        <v/>
      </c>
      <c r="BK124" s="3437" t="str">
        <f t="shared" si="110"/>
        <v/>
      </c>
      <c r="BL124" s="1771" t="str">
        <f t="shared" si="110"/>
        <v/>
      </c>
      <c r="BM124" s="3442" t="str">
        <f t="shared" si="110"/>
        <v/>
      </c>
      <c r="BN124" s="1771" t="str">
        <f t="shared" si="110"/>
        <v/>
      </c>
      <c r="BO124" s="1771">
        <f t="shared" si="110"/>
        <v>4.3988634895845542E-2</v>
      </c>
      <c r="BP124" s="1771" t="str">
        <f t="shared" si="110"/>
        <v/>
      </c>
      <c r="BQ124" s="1771" t="str">
        <f t="shared" si="110"/>
        <v/>
      </c>
      <c r="BR124" s="3437" t="str">
        <f t="shared" si="111"/>
        <v/>
      </c>
      <c r="BS124" s="1771" t="str">
        <f t="shared" si="111"/>
        <v/>
      </c>
      <c r="BT124" s="1771" t="str">
        <f t="shared" si="111"/>
        <v/>
      </c>
      <c r="BU124" s="3442" t="str">
        <f t="shared" si="111"/>
        <v/>
      </c>
      <c r="BV124" s="1771" t="str">
        <f t="shared" si="111"/>
        <v/>
      </c>
      <c r="BW124" s="3442" t="str">
        <f t="shared" si="111"/>
        <v/>
      </c>
      <c r="BX124" s="3462"/>
      <c r="BY124" s="3439" t="str">
        <f>IF(L124=L319,"stop","")</f>
        <v/>
      </c>
      <c r="BZ124" s="3437" t="str">
        <f t="shared" si="112"/>
        <v/>
      </c>
      <c r="CA124" s="1771" t="str">
        <f t="shared" si="112"/>
        <v/>
      </c>
      <c r="CB124" s="1771" t="str">
        <f t="shared" si="112"/>
        <v/>
      </c>
      <c r="CC124" s="3442" t="str">
        <f t="shared" si="112"/>
        <v/>
      </c>
      <c r="CD124" s="1771" t="str">
        <f t="shared" si="112"/>
        <v/>
      </c>
      <c r="CE124" s="3437" t="str">
        <f t="shared" si="112"/>
        <v/>
      </c>
      <c r="CF124" s="1771" t="str">
        <f t="shared" si="112"/>
        <v/>
      </c>
      <c r="CG124" s="1771" t="str">
        <f t="shared" si="112"/>
        <v/>
      </c>
      <c r="CH124" s="3437" t="str">
        <f t="shared" si="112"/>
        <v/>
      </c>
      <c r="CI124" s="1771">
        <f t="shared" si="112"/>
        <v>4.3999999999999997E-2</v>
      </c>
      <c r="CJ124" s="1771" t="str">
        <f t="shared" si="112"/>
        <v/>
      </c>
      <c r="CK124" s="3442" t="str">
        <f t="shared" si="112"/>
        <v/>
      </c>
      <c r="CL124" s="3437" t="str">
        <f t="shared" si="113"/>
        <v/>
      </c>
      <c r="CM124" s="1771" t="str">
        <f t="shared" si="113"/>
        <v/>
      </c>
      <c r="CN124" s="1771" t="str">
        <f t="shared" si="113"/>
        <v/>
      </c>
      <c r="CO124" s="3442" t="str">
        <f t="shared" si="113"/>
        <v/>
      </c>
      <c r="CP124" s="1771" t="str">
        <f t="shared" si="113"/>
        <v/>
      </c>
      <c r="CQ124" s="3442" t="str">
        <f t="shared" si="113"/>
        <v/>
      </c>
      <c r="CR124" s="3462"/>
    </row>
    <row r="125" spans="1:96" s="3" customFormat="1">
      <c r="A125" s="1847" t="s">
        <v>744</v>
      </c>
      <c r="B125" s="815" t="s">
        <v>745</v>
      </c>
      <c r="C125" s="816"/>
      <c r="D125" s="816"/>
      <c r="E125" s="1802"/>
      <c r="F125" s="816"/>
      <c r="G125" s="816"/>
      <c r="H125" s="816"/>
      <c r="I125" s="50"/>
      <c r="J125" s="816"/>
      <c r="K125" s="816"/>
      <c r="L125" s="816"/>
      <c r="M125" s="816"/>
      <c r="N125" s="845">
        <f t="shared" si="90"/>
        <v>0</v>
      </c>
      <c r="O125" s="1831">
        <f t="shared" si="91"/>
        <v>0</v>
      </c>
      <c r="P125" s="825" t="s">
        <v>1088</v>
      </c>
      <c r="Q125" s="3" t="str">
        <f>IF(J125=J319,"stop","")</f>
        <v/>
      </c>
      <c r="R125" s="3437" t="str">
        <f t="shared" si="106"/>
        <v/>
      </c>
      <c r="S125" s="1771" t="str">
        <f t="shared" si="106"/>
        <v/>
      </c>
      <c r="T125" s="1771" t="str">
        <f t="shared" si="106"/>
        <v/>
      </c>
      <c r="U125" s="1771" t="str">
        <f t="shared" si="106"/>
        <v/>
      </c>
      <c r="V125" s="3443" t="str">
        <f t="shared" si="106"/>
        <v/>
      </c>
      <c r="W125" s="1771" t="str">
        <f t="shared" si="106"/>
        <v/>
      </c>
      <c r="X125" s="1771" t="str">
        <f t="shared" si="106"/>
        <v/>
      </c>
      <c r="Y125" s="1771" t="str">
        <f t="shared" si="106"/>
        <v/>
      </c>
      <c r="Z125" s="3437" t="str">
        <f t="shared" si="106"/>
        <v/>
      </c>
      <c r="AA125" s="1771" t="str">
        <f t="shared" si="106"/>
        <v/>
      </c>
      <c r="AB125" s="1771" t="str">
        <f t="shared" si="106"/>
        <v/>
      </c>
      <c r="AC125" s="3442" t="str">
        <f t="shared" si="106"/>
        <v/>
      </c>
      <c r="AD125" s="1771" t="str">
        <f t="shared" si="106"/>
        <v/>
      </c>
      <c r="AE125" s="1771" t="str">
        <f t="shared" si="106"/>
        <v/>
      </c>
      <c r="AF125" s="1771" t="str">
        <f t="shared" si="106"/>
        <v/>
      </c>
      <c r="AG125" s="3442" t="str">
        <f t="shared" si="106"/>
        <v/>
      </c>
      <c r="AH125" s="1771" t="str">
        <f t="shared" si="107"/>
        <v/>
      </c>
      <c r="AI125" s="3442" t="str">
        <f t="shared" si="107"/>
        <v/>
      </c>
      <c r="AJ125" s="3462"/>
      <c r="AK125" s="3439" t="str">
        <f>IF(J125=J319,"stop","")</f>
        <v/>
      </c>
      <c r="AL125" s="3437" t="str">
        <f t="shared" si="108"/>
        <v/>
      </c>
      <c r="AM125" s="1771" t="str">
        <f t="shared" si="108"/>
        <v/>
      </c>
      <c r="AN125" s="1771" t="str">
        <f t="shared" si="108"/>
        <v/>
      </c>
      <c r="AO125" s="1771" t="str">
        <f t="shared" si="108"/>
        <v/>
      </c>
      <c r="AP125" s="3443" t="str">
        <f t="shared" si="108"/>
        <v/>
      </c>
      <c r="AQ125" s="1771" t="str">
        <f t="shared" si="108"/>
        <v/>
      </c>
      <c r="AR125" s="1771" t="str">
        <f t="shared" si="108"/>
        <v/>
      </c>
      <c r="AS125" s="3442" t="str">
        <f t="shared" si="108"/>
        <v/>
      </c>
      <c r="AT125" s="1771" t="str">
        <f t="shared" si="108"/>
        <v/>
      </c>
      <c r="AU125" s="1771" t="str">
        <f t="shared" si="108"/>
        <v/>
      </c>
      <c r="AV125" s="1771" t="str">
        <f t="shared" si="108"/>
        <v/>
      </c>
      <c r="AW125" s="3442" t="str">
        <f t="shared" si="108"/>
        <v/>
      </c>
      <c r="AX125" s="1771" t="str">
        <f t="shared" si="109"/>
        <v/>
      </c>
      <c r="AY125" s="1771" t="str">
        <f t="shared" si="109"/>
        <v/>
      </c>
      <c r="AZ125" s="1771" t="str">
        <f t="shared" si="109"/>
        <v/>
      </c>
      <c r="BA125" s="1771" t="str">
        <f t="shared" si="109"/>
        <v/>
      </c>
      <c r="BB125" s="3437" t="str">
        <f t="shared" si="109"/>
        <v/>
      </c>
      <c r="BC125" s="3443" t="str">
        <f t="shared" si="109"/>
        <v/>
      </c>
      <c r="BD125" s="3462"/>
      <c r="BE125" s="3440" t="str">
        <f>IF(J125=J319,"stop","")</f>
        <v/>
      </c>
      <c r="BF125" s="1771" t="str">
        <f t="shared" si="110"/>
        <v/>
      </c>
      <c r="BG125" s="1771" t="str">
        <f t="shared" si="110"/>
        <v/>
      </c>
      <c r="BH125" s="1771" t="str">
        <f t="shared" si="110"/>
        <v/>
      </c>
      <c r="BI125" s="1771" t="str">
        <f t="shared" si="110"/>
        <v/>
      </c>
      <c r="BJ125" s="3443" t="str">
        <f t="shared" si="110"/>
        <v/>
      </c>
      <c r="BK125" s="3437" t="str">
        <f t="shared" si="110"/>
        <v/>
      </c>
      <c r="BL125" s="1771" t="str">
        <f t="shared" si="110"/>
        <v/>
      </c>
      <c r="BM125" s="3442" t="str">
        <f t="shared" si="110"/>
        <v/>
      </c>
      <c r="BN125" s="1771" t="str">
        <f t="shared" si="110"/>
        <v/>
      </c>
      <c r="BO125" s="1771" t="str">
        <f t="shared" si="110"/>
        <v/>
      </c>
      <c r="BP125" s="1771" t="str">
        <f t="shared" si="110"/>
        <v/>
      </c>
      <c r="BQ125" s="1771" t="str">
        <f t="shared" si="110"/>
        <v/>
      </c>
      <c r="BR125" s="3437" t="str">
        <f t="shared" si="111"/>
        <v/>
      </c>
      <c r="BS125" s="1771" t="str">
        <f t="shared" si="111"/>
        <v/>
      </c>
      <c r="BT125" s="1771" t="str">
        <f t="shared" si="111"/>
        <v/>
      </c>
      <c r="BU125" s="3442" t="str">
        <f t="shared" si="111"/>
        <v/>
      </c>
      <c r="BV125" s="1771" t="str">
        <f t="shared" si="111"/>
        <v/>
      </c>
      <c r="BW125" s="3442" t="str">
        <f t="shared" si="111"/>
        <v/>
      </c>
      <c r="BX125" s="3462"/>
      <c r="BY125" s="3439" t="str">
        <f>IF(L125=L319,"stop","")</f>
        <v>stop</v>
      </c>
      <c r="BZ125" s="3437" t="str">
        <f t="shared" si="112"/>
        <v/>
      </c>
      <c r="CA125" s="1771" t="str">
        <f t="shared" si="112"/>
        <v/>
      </c>
      <c r="CB125" s="1771" t="str">
        <f t="shared" si="112"/>
        <v/>
      </c>
      <c r="CC125" s="3442" t="str">
        <f t="shared" si="112"/>
        <v/>
      </c>
      <c r="CD125" s="1771" t="str">
        <f t="shared" si="112"/>
        <v/>
      </c>
      <c r="CE125" s="3437" t="str">
        <f t="shared" si="112"/>
        <v/>
      </c>
      <c r="CF125" s="1771" t="str">
        <f t="shared" si="112"/>
        <v/>
      </c>
      <c r="CG125" s="1771" t="str">
        <f t="shared" si="112"/>
        <v/>
      </c>
      <c r="CH125" s="3437" t="str">
        <f t="shared" si="112"/>
        <v/>
      </c>
      <c r="CI125" s="1771" t="str">
        <f t="shared" si="112"/>
        <v/>
      </c>
      <c r="CJ125" s="1771" t="str">
        <f t="shared" si="112"/>
        <v/>
      </c>
      <c r="CK125" s="3442" t="str">
        <f t="shared" si="112"/>
        <v/>
      </c>
      <c r="CL125" s="3437" t="str">
        <f t="shared" si="113"/>
        <v/>
      </c>
      <c r="CM125" s="1771" t="str">
        <f t="shared" si="113"/>
        <v/>
      </c>
      <c r="CN125" s="1771" t="str">
        <f t="shared" si="113"/>
        <v/>
      </c>
      <c r="CO125" s="3442" t="str">
        <f t="shared" si="113"/>
        <v/>
      </c>
      <c r="CP125" s="1771" t="str">
        <f t="shared" si="113"/>
        <v/>
      </c>
      <c r="CQ125" s="3442" t="str">
        <f t="shared" si="113"/>
        <v/>
      </c>
      <c r="CR125" s="3462"/>
    </row>
    <row r="126" spans="1:96" s="3" customFormat="1">
      <c r="A126" s="1848" t="s">
        <v>746</v>
      </c>
      <c r="B126" s="816">
        <v>14</v>
      </c>
      <c r="C126" s="816">
        <v>19.43</v>
      </c>
      <c r="D126" s="816">
        <v>1E-4</v>
      </c>
      <c r="E126" s="1802" t="s">
        <v>35</v>
      </c>
      <c r="F126" s="816">
        <v>1.0999999999999999E-2</v>
      </c>
      <c r="G126" s="816" t="s">
        <v>695</v>
      </c>
      <c r="H126" s="816">
        <v>1996</v>
      </c>
      <c r="I126" s="50"/>
      <c r="J126" s="816">
        <f t="shared" si="62"/>
        <v>19.43</v>
      </c>
      <c r="K126" s="816">
        <v>1E-4</v>
      </c>
      <c r="L126" s="816" t="s">
        <v>35</v>
      </c>
      <c r="M126" s="816">
        <v>1.0999999999999999E-2</v>
      </c>
      <c r="N126" s="845">
        <f t="shared" si="90"/>
        <v>1.0488088481701515E-3</v>
      </c>
      <c r="O126" s="1831">
        <f t="shared" si="91"/>
        <v>5.5499999999999994E-3</v>
      </c>
      <c r="P126" s="825" t="s">
        <v>1088</v>
      </c>
      <c r="Q126" s="3" t="str">
        <f>IF(J126=J319,"stop","")</f>
        <v/>
      </c>
      <c r="R126" s="3437" t="str">
        <f t="shared" si="106"/>
        <v/>
      </c>
      <c r="S126" s="1771" t="str">
        <f t="shared" si="106"/>
        <v/>
      </c>
      <c r="T126" s="1771" t="str">
        <f t="shared" si="106"/>
        <v/>
      </c>
      <c r="U126" s="1771" t="str">
        <f t="shared" si="106"/>
        <v/>
      </c>
      <c r="V126" s="3443" t="str">
        <f t="shared" si="106"/>
        <v/>
      </c>
      <c r="W126" s="1771" t="str">
        <f t="shared" si="106"/>
        <v/>
      </c>
      <c r="X126" s="1771" t="str">
        <f t="shared" si="106"/>
        <v/>
      </c>
      <c r="Y126" s="1771" t="str">
        <f t="shared" si="106"/>
        <v/>
      </c>
      <c r="Z126" s="3437" t="str">
        <f t="shared" si="106"/>
        <v/>
      </c>
      <c r="AA126" s="1771" t="str">
        <f t="shared" si="106"/>
        <v/>
      </c>
      <c r="AB126" s="1771">
        <f t="shared" si="106"/>
        <v>1E-4</v>
      </c>
      <c r="AC126" s="3442" t="str">
        <f t="shared" si="106"/>
        <v/>
      </c>
      <c r="AD126" s="1771" t="str">
        <f t="shared" si="106"/>
        <v/>
      </c>
      <c r="AE126" s="1771" t="str">
        <f t="shared" si="106"/>
        <v/>
      </c>
      <c r="AF126" s="1771" t="str">
        <f t="shared" si="106"/>
        <v/>
      </c>
      <c r="AG126" s="3442" t="str">
        <f t="shared" si="106"/>
        <v/>
      </c>
      <c r="AH126" s="1771" t="str">
        <f t="shared" si="107"/>
        <v/>
      </c>
      <c r="AI126" s="3442" t="str">
        <f t="shared" si="107"/>
        <v/>
      </c>
      <c r="AJ126" s="3462"/>
      <c r="AK126" s="3439" t="str">
        <f>IF(J126=J319,"stop","")</f>
        <v/>
      </c>
      <c r="AL126" s="3437" t="str">
        <f t="shared" si="108"/>
        <v/>
      </c>
      <c r="AM126" s="1771" t="str">
        <f t="shared" si="108"/>
        <v/>
      </c>
      <c r="AN126" s="1771" t="str">
        <f t="shared" si="108"/>
        <v/>
      </c>
      <c r="AO126" s="1771" t="str">
        <f t="shared" si="108"/>
        <v/>
      </c>
      <c r="AP126" s="3443" t="str">
        <f t="shared" si="108"/>
        <v/>
      </c>
      <c r="AQ126" s="1771" t="str">
        <f t="shared" si="108"/>
        <v/>
      </c>
      <c r="AR126" s="1771" t="str">
        <f t="shared" si="108"/>
        <v/>
      </c>
      <c r="AS126" s="3442" t="str">
        <f t="shared" si="108"/>
        <v/>
      </c>
      <c r="AT126" s="1771" t="str">
        <f t="shared" si="108"/>
        <v/>
      </c>
      <c r="AU126" s="1771" t="str">
        <f t="shared" si="108"/>
        <v/>
      </c>
      <c r="AV126" s="1771">
        <f t="shared" si="108"/>
        <v>1.0999999999999999E-2</v>
      </c>
      <c r="AW126" s="3442" t="str">
        <f t="shared" si="108"/>
        <v/>
      </c>
      <c r="AX126" s="1771" t="str">
        <f t="shared" si="109"/>
        <v/>
      </c>
      <c r="AY126" s="1771" t="str">
        <f t="shared" si="109"/>
        <v/>
      </c>
      <c r="AZ126" s="1771" t="str">
        <f t="shared" si="109"/>
        <v/>
      </c>
      <c r="BA126" s="1771" t="str">
        <f t="shared" si="109"/>
        <v/>
      </c>
      <c r="BB126" s="3437" t="str">
        <f t="shared" si="109"/>
        <v/>
      </c>
      <c r="BC126" s="3443" t="str">
        <f t="shared" si="109"/>
        <v/>
      </c>
      <c r="BD126" s="3462"/>
      <c r="BE126" s="3440" t="str">
        <f>IF(J126=J319,"stop","")</f>
        <v/>
      </c>
      <c r="BF126" s="1771" t="str">
        <f t="shared" si="110"/>
        <v/>
      </c>
      <c r="BG126" s="1771" t="str">
        <f t="shared" si="110"/>
        <v/>
      </c>
      <c r="BH126" s="1771" t="str">
        <f t="shared" si="110"/>
        <v/>
      </c>
      <c r="BI126" s="1771" t="str">
        <f t="shared" si="110"/>
        <v/>
      </c>
      <c r="BJ126" s="3443" t="str">
        <f t="shared" si="110"/>
        <v/>
      </c>
      <c r="BK126" s="3437" t="str">
        <f t="shared" si="110"/>
        <v/>
      </c>
      <c r="BL126" s="1771" t="str">
        <f t="shared" si="110"/>
        <v/>
      </c>
      <c r="BM126" s="3442" t="str">
        <f t="shared" si="110"/>
        <v/>
      </c>
      <c r="BN126" s="1771" t="str">
        <f t="shared" si="110"/>
        <v/>
      </c>
      <c r="BO126" s="1771" t="str">
        <f t="shared" si="110"/>
        <v/>
      </c>
      <c r="BP126" s="1771">
        <f t="shared" si="110"/>
        <v>1.0488088481701515E-3</v>
      </c>
      <c r="BQ126" s="1771" t="str">
        <f t="shared" si="110"/>
        <v/>
      </c>
      <c r="BR126" s="3437" t="str">
        <f t="shared" si="111"/>
        <v/>
      </c>
      <c r="BS126" s="1771" t="str">
        <f t="shared" si="111"/>
        <v/>
      </c>
      <c r="BT126" s="1771" t="str">
        <f t="shared" si="111"/>
        <v/>
      </c>
      <c r="BU126" s="3442" t="str">
        <f t="shared" si="111"/>
        <v/>
      </c>
      <c r="BV126" s="1771" t="str">
        <f t="shared" si="111"/>
        <v/>
      </c>
      <c r="BW126" s="3442" t="str">
        <f t="shared" si="111"/>
        <v/>
      </c>
      <c r="BX126" s="3462"/>
      <c r="BY126" s="3439" t="str">
        <f>IF(L126=L319,"stop","")</f>
        <v/>
      </c>
      <c r="BZ126" s="3437" t="str">
        <f t="shared" si="112"/>
        <v/>
      </c>
      <c r="CA126" s="1771" t="str">
        <f t="shared" si="112"/>
        <v/>
      </c>
      <c r="CB126" s="1771" t="str">
        <f t="shared" si="112"/>
        <v/>
      </c>
      <c r="CC126" s="3442" t="str">
        <f t="shared" si="112"/>
        <v/>
      </c>
      <c r="CD126" s="1771" t="str">
        <f t="shared" si="112"/>
        <v/>
      </c>
      <c r="CE126" s="3437" t="str">
        <f t="shared" si="112"/>
        <v/>
      </c>
      <c r="CF126" s="1771" t="str">
        <f t="shared" si="112"/>
        <v/>
      </c>
      <c r="CG126" s="1771" t="str">
        <f t="shared" si="112"/>
        <v/>
      </c>
      <c r="CH126" s="3437" t="str">
        <f t="shared" si="112"/>
        <v/>
      </c>
      <c r="CI126" s="1771" t="str">
        <f t="shared" si="112"/>
        <v/>
      </c>
      <c r="CJ126" s="1771">
        <f t="shared" si="112"/>
        <v>5.5499999999999994E-3</v>
      </c>
      <c r="CK126" s="3442" t="str">
        <f t="shared" si="112"/>
        <v/>
      </c>
      <c r="CL126" s="3437" t="str">
        <f t="shared" si="113"/>
        <v/>
      </c>
      <c r="CM126" s="1771" t="str">
        <f t="shared" si="113"/>
        <v/>
      </c>
      <c r="CN126" s="1771" t="str">
        <f t="shared" si="113"/>
        <v/>
      </c>
      <c r="CO126" s="3442" t="str">
        <f t="shared" si="113"/>
        <v/>
      </c>
      <c r="CP126" s="1771" t="str">
        <f t="shared" si="113"/>
        <v/>
      </c>
      <c r="CQ126" s="3442" t="str">
        <f t="shared" si="113"/>
        <v/>
      </c>
      <c r="CR126" s="3462"/>
    </row>
    <row r="127" spans="1:96" s="3" customFormat="1">
      <c r="A127" s="1848" t="s">
        <v>748</v>
      </c>
      <c r="B127" s="816">
        <v>15</v>
      </c>
      <c r="C127" s="816">
        <v>20.73</v>
      </c>
      <c r="D127" s="816">
        <v>8.9999999999999993E-3</v>
      </c>
      <c r="E127" s="1802" t="s">
        <v>35</v>
      </c>
      <c r="F127" s="816">
        <v>1.7000000000000001E-2</v>
      </c>
      <c r="G127" s="816" t="s">
        <v>695</v>
      </c>
      <c r="H127" s="816">
        <v>1996</v>
      </c>
      <c r="I127" s="50"/>
      <c r="J127" s="816">
        <f t="shared" si="62"/>
        <v>20.73</v>
      </c>
      <c r="K127" s="816">
        <v>8.9999999999999993E-3</v>
      </c>
      <c r="L127" s="816" t="s">
        <v>35</v>
      </c>
      <c r="M127" s="816">
        <v>1.7000000000000001E-2</v>
      </c>
      <c r="N127" s="845">
        <f t="shared" si="90"/>
        <v>1.2369316876852983E-2</v>
      </c>
      <c r="O127" s="1831">
        <f t="shared" si="91"/>
        <v>1.3000000000000001E-2</v>
      </c>
      <c r="P127" s="825" t="s">
        <v>1088</v>
      </c>
      <c r="Q127" s="3" t="str">
        <f>IF(J127=J319,"stop","")</f>
        <v/>
      </c>
      <c r="R127" s="3437" t="str">
        <f t="shared" si="106"/>
        <v/>
      </c>
      <c r="S127" s="1771" t="str">
        <f t="shared" si="106"/>
        <v/>
      </c>
      <c r="T127" s="1771" t="str">
        <f t="shared" si="106"/>
        <v/>
      </c>
      <c r="U127" s="1771" t="str">
        <f t="shared" si="106"/>
        <v/>
      </c>
      <c r="V127" s="3443" t="str">
        <f t="shared" si="106"/>
        <v/>
      </c>
      <c r="W127" s="1771" t="str">
        <f t="shared" si="106"/>
        <v/>
      </c>
      <c r="X127" s="1771" t="str">
        <f t="shared" si="106"/>
        <v/>
      </c>
      <c r="Y127" s="1771" t="str">
        <f t="shared" si="106"/>
        <v/>
      </c>
      <c r="Z127" s="3437" t="str">
        <f t="shared" si="106"/>
        <v/>
      </c>
      <c r="AA127" s="1771" t="str">
        <f t="shared" si="106"/>
        <v/>
      </c>
      <c r="AB127" s="1771">
        <f t="shared" si="106"/>
        <v>8.9999999999999993E-3</v>
      </c>
      <c r="AC127" s="3442" t="str">
        <f t="shared" si="106"/>
        <v/>
      </c>
      <c r="AD127" s="1771" t="str">
        <f t="shared" si="106"/>
        <v/>
      </c>
      <c r="AE127" s="1771" t="str">
        <f t="shared" si="106"/>
        <v/>
      </c>
      <c r="AF127" s="1771" t="str">
        <f t="shared" si="106"/>
        <v/>
      </c>
      <c r="AG127" s="3442" t="str">
        <f t="shared" si="106"/>
        <v/>
      </c>
      <c r="AH127" s="1771" t="str">
        <f t="shared" si="107"/>
        <v/>
      </c>
      <c r="AI127" s="3442" t="str">
        <f t="shared" si="107"/>
        <v/>
      </c>
      <c r="AJ127" s="3462"/>
      <c r="AK127" s="3439" t="str">
        <f>IF(J127=J319,"stop","")</f>
        <v/>
      </c>
      <c r="AL127" s="3437" t="str">
        <f t="shared" ref="AL127:AW136" si="114">IF(AND($J127&gt;AL$4,$J127&lt;=AL$5,$P127=AL$6),$M127,"")</f>
        <v/>
      </c>
      <c r="AM127" s="1771" t="str">
        <f t="shared" si="114"/>
        <v/>
      </c>
      <c r="AN127" s="1771" t="str">
        <f t="shared" si="114"/>
        <v/>
      </c>
      <c r="AO127" s="1771" t="str">
        <f t="shared" si="114"/>
        <v/>
      </c>
      <c r="AP127" s="3443" t="str">
        <f t="shared" si="114"/>
        <v/>
      </c>
      <c r="AQ127" s="1771" t="str">
        <f t="shared" si="114"/>
        <v/>
      </c>
      <c r="AR127" s="1771" t="str">
        <f t="shared" si="114"/>
        <v/>
      </c>
      <c r="AS127" s="3442" t="str">
        <f t="shared" si="114"/>
        <v/>
      </c>
      <c r="AT127" s="1771" t="str">
        <f t="shared" si="114"/>
        <v/>
      </c>
      <c r="AU127" s="1771" t="str">
        <f t="shared" si="114"/>
        <v/>
      </c>
      <c r="AV127" s="1771">
        <f t="shared" si="114"/>
        <v>1.7000000000000001E-2</v>
      </c>
      <c r="AW127" s="3442" t="str">
        <f t="shared" si="114"/>
        <v/>
      </c>
      <c r="AX127" s="1771" t="str">
        <f t="shared" ref="AX127:BC136" si="115">IF(AND($J127&gt;AX$4,$J127&lt;=AX$5,$P127=AX$6),$M127,"")</f>
        <v/>
      </c>
      <c r="AY127" s="1771" t="str">
        <f t="shared" si="115"/>
        <v/>
      </c>
      <c r="AZ127" s="1771" t="str">
        <f t="shared" si="115"/>
        <v/>
      </c>
      <c r="BA127" s="1771" t="str">
        <f t="shared" si="115"/>
        <v/>
      </c>
      <c r="BB127" s="3437" t="str">
        <f t="shared" si="115"/>
        <v/>
      </c>
      <c r="BC127" s="3443" t="str">
        <f t="shared" si="115"/>
        <v/>
      </c>
      <c r="BD127" s="3462"/>
      <c r="BE127" s="3440" t="str">
        <f>IF(J127=J319,"stop","")</f>
        <v/>
      </c>
      <c r="BF127" s="1771" t="str">
        <f t="shared" ref="BF127:BQ136" si="116">IF(AND($J127&gt;BF$4,$J127&lt;=BF$5,$P127=BF$6),$N127,"")</f>
        <v/>
      </c>
      <c r="BG127" s="1771" t="str">
        <f t="shared" si="116"/>
        <v/>
      </c>
      <c r="BH127" s="1771" t="str">
        <f t="shared" si="116"/>
        <v/>
      </c>
      <c r="BI127" s="1771" t="str">
        <f t="shared" si="116"/>
        <v/>
      </c>
      <c r="BJ127" s="3443" t="str">
        <f t="shared" si="116"/>
        <v/>
      </c>
      <c r="BK127" s="3437" t="str">
        <f t="shared" si="116"/>
        <v/>
      </c>
      <c r="BL127" s="1771" t="str">
        <f t="shared" si="116"/>
        <v/>
      </c>
      <c r="BM127" s="3442" t="str">
        <f t="shared" si="116"/>
        <v/>
      </c>
      <c r="BN127" s="1771" t="str">
        <f t="shared" si="116"/>
        <v/>
      </c>
      <c r="BO127" s="1771" t="str">
        <f t="shared" si="116"/>
        <v/>
      </c>
      <c r="BP127" s="1771">
        <f t="shared" si="116"/>
        <v>1.2369316876852983E-2</v>
      </c>
      <c r="BQ127" s="1771" t="str">
        <f t="shared" si="116"/>
        <v/>
      </c>
      <c r="BR127" s="3437" t="str">
        <f t="shared" ref="BR127:BW136" si="117">IF(AND($J127&gt;BR$4,$J127&lt;=BR$5,$P127=BR$6),$N127,"")</f>
        <v/>
      </c>
      <c r="BS127" s="1771" t="str">
        <f t="shared" si="117"/>
        <v/>
      </c>
      <c r="BT127" s="1771" t="str">
        <f t="shared" si="117"/>
        <v/>
      </c>
      <c r="BU127" s="3442" t="str">
        <f t="shared" si="117"/>
        <v/>
      </c>
      <c r="BV127" s="1771" t="str">
        <f t="shared" si="117"/>
        <v/>
      </c>
      <c r="BW127" s="3442" t="str">
        <f t="shared" si="117"/>
        <v/>
      </c>
      <c r="BX127" s="3462"/>
      <c r="BY127" s="3439" t="str">
        <f>IF(L127=L319,"stop","")</f>
        <v/>
      </c>
      <c r="BZ127" s="3437" t="str">
        <f t="shared" ref="BZ127:CK136" si="118">IF(AND($J127&gt;BZ$4,$J127&lt;=BZ$5,$P127=BZ$6),$O127,"")</f>
        <v/>
      </c>
      <c r="CA127" s="1771" t="str">
        <f t="shared" si="118"/>
        <v/>
      </c>
      <c r="CB127" s="1771" t="str">
        <f t="shared" si="118"/>
        <v/>
      </c>
      <c r="CC127" s="3442" t="str">
        <f t="shared" si="118"/>
        <v/>
      </c>
      <c r="CD127" s="1771" t="str">
        <f t="shared" si="118"/>
        <v/>
      </c>
      <c r="CE127" s="3437" t="str">
        <f t="shared" si="118"/>
        <v/>
      </c>
      <c r="CF127" s="1771" t="str">
        <f t="shared" si="118"/>
        <v/>
      </c>
      <c r="CG127" s="1771" t="str">
        <f t="shared" si="118"/>
        <v/>
      </c>
      <c r="CH127" s="3437" t="str">
        <f t="shared" si="118"/>
        <v/>
      </c>
      <c r="CI127" s="1771" t="str">
        <f t="shared" si="118"/>
        <v/>
      </c>
      <c r="CJ127" s="1771">
        <f t="shared" si="118"/>
        <v>1.3000000000000001E-2</v>
      </c>
      <c r="CK127" s="3442" t="str">
        <f t="shared" si="118"/>
        <v/>
      </c>
      <c r="CL127" s="3437" t="str">
        <f t="shared" ref="CL127:CQ136" si="119">IF(AND($J127&gt;CL$4,$J127&lt;=CL$5,$P127=CL$6),$O127,"")</f>
        <v/>
      </c>
      <c r="CM127" s="1771" t="str">
        <f t="shared" si="119"/>
        <v/>
      </c>
      <c r="CN127" s="1771" t="str">
        <f t="shared" si="119"/>
        <v/>
      </c>
      <c r="CO127" s="3442" t="str">
        <f t="shared" si="119"/>
        <v/>
      </c>
      <c r="CP127" s="1771" t="str">
        <f t="shared" si="119"/>
        <v/>
      </c>
      <c r="CQ127" s="3442" t="str">
        <f t="shared" si="119"/>
        <v/>
      </c>
      <c r="CR127" s="3462"/>
    </row>
    <row r="128" spans="1:96" s="3" customFormat="1">
      <c r="A128" s="1848" t="s">
        <v>777</v>
      </c>
      <c r="B128" s="816">
        <v>16</v>
      </c>
      <c r="C128" s="816"/>
      <c r="D128" s="816">
        <v>2E-3</v>
      </c>
      <c r="E128" s="1802" t="s">
        <v>35</v>
      </c>
      <c r="F128" s="816">
        <v>6.0000000000000001E-3</v>
      </c>
      <c r="G128" s="816" t="s">
        <v>695</v>
      </c>
      <c r="H128" s="816">
        <v>1996</v>
      </c>
      <c r="I128" s="50"/>
      <c r="J128" s="818">
        <v>20</v>
      </c>
      <c r="K128" s="816">
        <v>2E-3</v>
      </c>
      <c r="L128" s="816" t="s">
        <v>35</v>
      </c>
      <c r="M128" s="816">
        <v>6.0000000000000001E-3</v>
      </c>
      <c r="N128" s="845">
        <f t="shared" si="90"/>
        <v>3.4641016151377548E-3</v>
      </c>
      <c r="O128" s="1831">
        <f t="shared" si="91"/>
        <v>4.0000000000000001E-3</v>
      </c>
      <c r="P128" s="825" t="s">
        <v>1088</v>
      </c>
      <c r="Q128" s="3" t="str">
        <f>IF(J128=J319,"stop","")</f>
        <v/>
      </c>
      <c r="R128" s="3437" t="str">
        <f t="shared" si="106"/>
        <v/>
      </c>
      <c r="S128" s="1771" t="str">
        <f t="shared" si="106"/>
        <v/>
      </c>
      <c r="T128" s="1771" t="str">
        <f t="shared" si="106"/>
        <v/>
      </c>
      <c r="U128" s="1771" t="str">
        <f t="shared" si="106"/>
        <v/>
      </c>
      <c r="V128" s="3443" t="str">
        <f t="shared" si="106"/>
        <v/>
      </c>
      <c r="W128" s="1771" t="str">
        <f t="shared" si="106"/>
        <v/>
      </c>
      <c r="X128" s="1771" t="str">
        <f t="shared" si="106"/>
        <v/>
      </c>
      <c r="Y128" s="1771" t="str">
        <f t="shared" si="106"/>
        <v/>
      </c>
      <c r="Z128" s="3437" t="str">
        <f t="shared" si="106"/>
        <v/>
      </c>
      <c r="AA128" s="1771" t="str">
        <f t="shared" si="106"/>
        <v/>
      </c>
      <c r="AB128" s="1771">
        <f t="shared" si="106"/>
        <v>2E-3</v>
      </c>
      <c r="AC128" s="3442" t="str">
        <f t="shared" si="106"/>
        <v/>
      </c>
      <c r="AD128" s="1771" t="str">
        <f t="shared" si="106"/>
        <v/>
      </c>
      <c r="AE128" s="1771" t="str">
        <f t="shared" si="106"/>
        <v/>
      </c>
      <c r="AF128" s="1771" t="str">
        <f t="shared" si="106"/>
        <v/>
      </c>
      <c r="AG128" s="3442" t="str">
        <f t="shared" si="106"/>
        <v/>
      </c>
      <c r="AH128" s="1771" t="str">
        <f t="shared" si="107"/>
        <v/>
      </c>
      <c r="AI128" s="3442" t="str">
        <f t="shared" si="107"/>
        <v/>
      </c>
      <c r="AJ128" s="3462"/>
      <c r="AK128" s="3439" t="str">
        <f>IF(J128=J319,"stop","")</f>
        <v/>
      </c>
      <c r="AL128" s="3437" t="str">
        <f t="shared" si="114"/>
        <v/>
      </c>
      <c r="AM128" s="1771" t="str">
        <f t="shared" si="114"/>
        <v/>
      </c>
      <c r="AN128" s="1771" t="str">
        <f t="shared" si="114"/>
        <v/>
      </c>
      <c r="AO128" s="1771" t="str">
        <f t="shared" si="114"/>
        <v/>
      </c>
      <c r="AP128" s="3443" t="str">
        <f t="shared" si="114"/>
        <v/>
      </c>
      <c r="AQ128" s="1771" t="str">
        <f t="shared" si="114"/>
        <v/>
      </c>
      <c r="AR128" s="1771" t="str">
        <f t="shared" si="114"/>
        <v/>
      </c>
      <c r="AS128" s="3442" t="str">
        <f t="shared" si="114"/>
        <v/>
      </c>
      <c r="AT128" s="1771" t="str">
        <f t="shared" si="114"/>
        <v/>
      </c>
      <c r="AU128" s="1771" t="str">
        <f t="shared" si="114"/>
        <v/>
      </c>
      <c r="AV128" s="1771">
        <f t="shared" si="114"/>
        <v>6.0000000000000001E-3</v>
      </c>
      <c r="AW128" s="3442" t="str">
        <f t="shared" si="114"/>
        <v/>
      </c>
      <c r="AX128" s="1771" t="str">
        <f t="shared" si="115"/>
        <v/>
      </c>
      <c r="AY128" s="1771" t="str">
        <f t="shared" si="115"/>
        <v/>
      </c>
      <c r="AZ128" s="1771" t="str">
        <f t="shared" si="115"/>
        <v/>
      </c>
      <c r="BA128" s="1771" t="str">
        <f t="shared" si="115"/>
        <v/>
      </c>
      <c r="BB128" s="3437" t="str">
        <f t="shared" si="115"/>
        <v/>
      </c>
      <c r="BC128" s="3443" t="str">
        <f t="shared" si="115"/>
        <v/>
      </c>
      <c r="BD128" s="3462"/>
      <c r="BE128" s="3440" t="str">
        <f>IF(J128=J319,"stop","")</f>
        <v/>
      </c>
      <c r="BF128" s="1771" t="str">
        <f t="shared" si="116"/>
        <v/>
      </c>
      <c r="BG128" s="1771" t="str">
        <f t="shared" si="116"/>
        <v/>
      </c>
      <c r="BH128" s="1771" t="str">
        <f t="shared" si="116"/>
        <v/>
      </c>
      <c r="BI128" s="1771" t="str">
        <f t="shared" si="116"/>
        <v/>
      </c>
      <c r="BJ128" s="3443" t="str">
        <f t="shared" si="116"/>
        <v/>
      </c>
      <c r="BK128" s="3437" t="str">
        <f t="shared" si="116"/>
        <v/>
      </c>
      <c r="BL128" s="1771" t="str">
        <f t="shared" si="116"/>
        <v/>
      </c>
      <c r="BM128" s="3442" t="str">
        <f t="shared" si="116"/>
        <v/>
      </c>
      <c r="BN128" s="1771" t="str">
        <f t="shared" si="116"/>
        <v/>
      </c>
      <c r="BO128" s="1771" t="str">
        <f t="shared" si="116"/>
        <v/>
      </c>
      <c r="BP128" s="1771">
        <f t="shared" si="116"/>
        <v>3.4641016151377548E-3</v>
      </c>
      <c r="BQ128" s="1771" t="str">
        <f t="shared" si="116"/>
        <v/>
      </c>
      <c r="BR128" s="3437" t="str">
        <f t="shared" si="117"/>
        <v/>
      </c>
      <c r="BS128" s="1771" t="str">
        <f t="shared" si="117"/>
        <v/>
      </c>
      <c r="BT128" s="1771" t="str">
        <f t="shared" si="117"/>
        <v/>
      </c>
      <c r="BU128" s="3442" t="str">
        <f t="shared" si="117"/>
        <v/>
      </c>
      <c r="BV128" s="1771" t="str">
        <f t="shared" si="117"/>
        <v/>
      </c>
      <c r="BW128" s="3442" t="str">
        <f t="shared" si="117"/>
        <v/>
      </c>
      <c r="BX128" s="3462"/>
      <c r="BY128" s="3439" t="str">
        <f>IF(L128=L319,"stop","")</f>
        <v/>
      </c>
      <c r="BZ128" s="3437" t="str">
        <f t="shared" si="118"/>
        <v/>
      </c>
      <c r="CA128" s="1771" t="str">
        <f t="shared" si="118"/>
        <v/>
      </c>
      <c r="CB128" s="1771" t="str">
        <f t="shared" si="118"/>
        <v/>
      </c>
      <c r="CC128" s="3442" t="str">
        <f t="shared" si="118"/>
        <v/>
      </c>
      <c r="CD128" s="1771" t="str">
        <f t="shared" si="118"/>
        <v/>
      </c>
      <c r="CE128" s="3437" t="str">
        <f t="shared" si="118"/>
        <v/>
      </c>
      <c r="CF128" s="1771" t="str">
        <f t="shared" si="118"/>
        <v/>
      </c>
      <c r="CG128" s="1771" t="str">
        <f t="shared" si="118"/>
        <v/>
      </c>
      <c r="CH128" s="3437" t="str">
        <f t="shared" si="118"/>
        <v/>
      </c>
      <c r="CI128" s="1771" t="str">
        <f t="shared" si="118"/>
        <v/>
      </c>
      <c r="CJ128" s="1771">
        <f t="shared" si="118"/>
        <v>4.0000000000000001E-3</v>
      </c>
      <c r="CK128" s="3442" t="str">
        <f t="shared" si="118"/>
        <v/>
      </c>
      <c r="CL128" s="3437" t="str">
        <f t="shared" si="119"/>
        <v/>
      </c>
      <c r="CM128" s="1771" t="str">
        <f t="shared" si="119"/>
        <v/>
      </c>
      <c r="CN128" s="1771" t="str">
        <f t="shared" si="119"/>
        <v/>
      </c>
      <c r="CO128" s="3442" t="str">
        <f t="shared" si="119"/>
        <v/>
      </c>
      <c r="CP128" s="1771" t="str">
        <f t="shared" si="119"/>
        <v/>
      </c>
      <c r="CQ128" s="3442" t="str">
        <f t="shared" si="119"/>
        <v/>
      </c>
      <c r="CR128" s="3462"/>
    </row>
    <row r="129" spans="1:96" s="3" customFormat="1">
      <c r="A129" s="1848" t="s">
        <v>749</v>
      </c>
      <c r="B129" s="816">
        <v>14</v>
      </c>
      <c r="C129" s="816">
        <v>19.36</v>
      </c>
      <c r="D129" s="816">
        <v>8.9999999999999993E-3</v>
      </c>
      <c r="E129" s="1802" t="s">
        <v>35</v>
      </c>
      <c r="F129" s="816">
        <v>0.17</v>
      </c>
      <c r="G129" s="816" t="s">
        <v>695</v>
      </c>
      <c r="H129" s="816">
        <v>1996</v>
      </c>
      <c r="I129" s="50"/>
      <c r="J129" s="816">
        <f t="shared" si="62"/>
        <v>19.36</v>
      </c>
      <c r="K129" s="816">
        <v>8.9999999999999993E-3</v>
      </c>
      <c r="L129" s="816" t="s">
        <v>35</v>
      </c>
      <c r="M129" s="816">
        <v>0.17</v>
      </c>
      <c r="N129" s="845">
        <f t="shared" si="90"/>
        <v>3.9115214431215892E-2</v>
      </c>
      <c r="O129" s="1831">
        <f t="shared" si="91"/>
        <v>8.950000000000001E-2</v>
      </c>
      <c r="P129" s="825" t="s">
        <v>1088</v>
      </c>
      <c r="Q129" s="3" t="str">
        <f>IF(J129=J319,"stop","")</f>
        <v/>
      </c>
      <c r="R129" s="3437" t="str">
        <f t="shared" ref="R129:AG144" si="120">IF(AND($J129&gt;R$4,$J129&lt;=R$5,$P129=R$6),$K129,"")</f>
        <v/>
      </c>
      <c r="S129" s="1771" t="str">
        <f t="shared" si="120"/>
        <v/>
      </c>
      <c r="T129" s="1771" t="str">
        <f t="shared" si="120"/>
        <v/>
      </c>
      <c r="U129" s="1771" t="str">
        <f t="shared" si="120"/>
        <v/>
      </c>
      <c r="V129" s="3443" t="str">
        <f t="shared" si="120"/>
        <v/>
      </c>
      <c r="W129" s="1771" t="str">
        <f t="shared" si="120"/>
        <v/>
      </c>
      <c r="X129" s="1771" t="str">
        <f t="shared" si="120"/>
        <v/>
      </c>
      <c r="Y129" s="1771" t="str">
        <f t="shared" si="120"/>
        <v/>
      </c>
      <c r="Z129" s="3437" t="str">
        <f t="shared" si="120"/>
        <v/>
      </c>
      <c r="AA129" s="1771" t="str">
        <f t="shared" si="120"/>
        <v/>
      </c>
      <c r="AB129" s="1771">
        <f t="shared" si="120"/>
        <v>8.9999999999999993E-3</v>
      </c>
      <c r="AC129" s="3442" t="str">
        <f t="shared" si="120"/>
        <v/>
      </c>
      <c r="AD129" s="1771" t="str">
        <f t="shared" si="120"/>
        <v/>
      </c>
      <c r="AE129" s="1771" t="str">
        <f t="shared" si="120"/>
        <v/>
      </c>
      <c r="AF129" s="1771" t="str">
        <f t="shared" si="120"/>
        <v/>
      </c>
      <c r="AG129" s="3442" t="str">
        <f t="shared" si="120"/>
        <v/>
      </c>
      <c r="AH129" s="1771" t="str">
        <f t="shared" si="107"/>
        <v/>
      </c>
      <c r="AI129" s="3442" t="str">
        <f t="shared" si="107"/>
        <v/>
      </c>
      <c r="AJ129" s="3462"/>
      <c r="AK129" s="3439" t="str">
        <f>IF(J129=J319,"stop","")</f>
        <v/>
      </c>
      <c r="AL129" s="3437" t="str">
        <f t="shared" si="114"/>
        <v/>
      </c>
      <c r="AM129" s="1771" t="str">
        <f t="shared" si="114"/>
        <v/>
      </c>
      <c r="AN129" s="1771" t="str">
        <f t="shared" si="114"/>
        <v/>
      </c>
      <c r="AO129" s="1771" t="str">
        <f t="shared" si="114"/>
        <v/>
      </c>
      <c r="AP129" s="3443" t="str">
        <f t="shared" si="114"/>
        <v/>
      </c>
      <c r="AQ129" s="1771" t="str">
        <f t="shared" si="114"/>
        <v/>
      </c>
      <c r="AR129" s="1771" t="str">
        <f t="shared" si="114"/>
        <v/>
      </c>
      <c r="AS129" s="3442" t="str">
        <f t="shared" si="114"/>
        <v/>
      </c>
      <c r="AT129" s="1771" t="str">
        <f t="shared" si="114"/>
        <v/>
      </c>
      <c r="AU129" s="1771" t="str">
        <f t="shared" si="114"/>
        <v/>
      </c>
      <c r="AV129" s="1771">
        <f t="shared" si="114"/>
        <v>0.17</v>
      </c>
      <c r="AW129" s="3442" t="str">
        <f t="shared" si="114"/>
        <v/>
      </c>
      <c r="AX129" s="1771" t="str">
        <f t="shared" si="115"/>
        <v/>
      </c>
      <c r="AY129" s="1771" t="str">
        <f t="shared" si="115"/>
        <v/>
      </c>
      <c r="AZ129" s="1771" t="str">
        <f t="shared" si="115"/>
        <v/>
      </c>
      <c r="BA129" s="1771" t="str">
        <f t="shared" si="115"/>
        <v/>
      </c>
      <c r="BB129" s="3437" t="str">
        <f t="shared" si="115"/>
        <v/>
      </c>
      <c r="BC129" s="3443" t="str">
        <f t="shared" si="115"/>
        <v/>
      </c>
      <c r="BD129" s="3462"/>
      <c r="BE129" s="3440" t="str">
        <f>IF(J129=J319,"stop","")</f>
        <v/>
      </c>
      <c r="BF129" s="1771" t="str">
        <f t="shared" si="116"/>
        <v/>
      </c>
      <c r="BG129" s="1771" t="str">
        <f t="shared" si="116"/>
        <v/>
      </c>
      <c r="BH129" s="1771" t="str">
        <f t="shared" si="116"/>
        <v/>
      </c>
      <c r="BI129" s="1771" t="str">
        <f t="shared" si="116"/>
        <v/>
      </c>
      <c r="BJ129" s="3443" t="str">
        <f t="shared" si="116"/>
        <v/>
      </c>
      <c r="BK129" s="3437" t="str">
        <f t="shared" si="116"/>
        <v/>
      </c>
      <c r="BL129" s="1771" t="str">
        <f t="shared" si="116"/>
        <v/>
      </c>
      <c r="BM129" s="3442" t="str">
        <f t="shared" si="116"/>
        <v/>
      </c>
      <c r="BN129" s="1771" t="str">
        <f t="shared" si="116"/>
        <v/>
      </c>
      <c r="BO129" s="1771" t="str">
        <f t="shared" si="116"/>
        <v/>
      </c>
      <c r="BP129" s="1771">
        <f t="shared" si="116"/>
        <v>3.9115214431215892E-2</v>
      </c>
      <c r="BQ129" s="1771" t="str">
        <f t="shared" si="116"/>
        <v/>
      </c>
      <c r="BR129" s="3437" t="str">
        <f t="shared" si="117"/>
        <v/>
      </c>
      <c r="BS129" s="1771" t="str">
        <f t="shared" si="117"/>
        <v/>
      </c>
      <c r="BT129" s="1771" t="str">
        <f t="shared" si="117"/>
        <v/>
      </c>
      <c r="BU129" s="3442" t="str">
        <f t="shared" si="117"/>
        <v/>
      </c>
      <c r="BV129" s="1771" t="str">
        <f t="shared" si="117"/>
        <v/>
      </c>
      <c r="BW129" s="3442" t="str">
        <f t="shared" si="117"/>
        <v/>
      </c>
      <c r="BX129" s="3462"/>
      <c r="BY129" s="3439" t="str">
        <f>IF(L129=L319,"stop","")</f>
        <v/>
      </c>
      <c r="BZ129" s="3437" t="str">
        <f t="shared" si="118"/>
        <v/>
      </c>
      <c r="CA129" s="1771" t="str">
        <f t="shared" si="118"/>
        <v/>
      </c>
      <c r="CB129" s="1771" t="str">
        <f t="shared" si="118"/>
        <v/>
      </c>
      <c r="CC129" s="3442" t="str">
        <f t="shared" si="118"/>
        <v/>
      </c>
      <c r="CD129" s="1771" t="str">
        <f t="shared" si="118"/>
        <v/>
      </c>
      <c r="CE129" s="3437" t="str">
        <f t="shared" si="118"/>
        <v/>
      </c>
      <c r="CF129" s="1771" t="str">
        <f t="shared" si="118"/>
        <v/>
      </c>
      <c r="CG129" s="1771" t="str">
        <f t="shared" si="118"/>
        <v/>
      </c>
      <c r="CH129" s="3437" t="str">
        <f t="shared" si="118"/>
        <v/>
      </c>
      <c r="CI129" s="1771" t="str">
        <f t="shared" si="118"/>
        <v/>
      </c>
      <c r="CJ129" s="1771">
        <f t="shared" si="118"/>
        <v>8.950000000000001E-2</v>
      </c>
      <c r="CK129" s="3442" t="str">
        <f t="shared" si="118"/>
        <v/>
      </c>
      <c r="CL129" s="3437" t="str">
        <f t="shared" si="119"/>
        <v/>
      </c>
      <c r="CM129" s="1771" t="str">
        <f t="shared" si="119"/>
        <v/>
      </c>
      <c r="CN129" s="1771" t="str">
        <f t="shared" si="119"/>
        <v/>
      </c>
      <c r="CO129" s="3442" t="str">
        <f t="shared" si="119"/>
        <v/>
      </c>
      <c r="CP129" s="1771" t="str">
        <f t="shared" si="119"/>
        <v/>
      </c>
      <c r="CQ129" s="3442" t="str">
        <f t="shared" si="119"/>
        <v/>
      </c>
      <c r="CR129" s="3462"/>
    </row>
    <row r="130" spans="1:96" s="3" customFormat="1">
      <c r="A130" s="1848" t="s">
        <v>750</v>
      </c>
      <c r="B130" s="816">
        <v>15</v>
      </c>
      <c r="C130" s="816">
        <v>20.73</v>
      </c>
      <c r="D130" s="816">
        <v>1.7000000000000001E-2</v>
      </c>
      <c r="E130" s="1804" t="s">
        <v>1083</v>
      </c>
      <c r="F130" s="816">
        <v>1.7000000000000001E-2</v>
      </c>
      <c r="G130" s="816" t="s">
        <v>695</v>
      </c>
      <c r="H130" s="816">
        <v>1996</v>
      </c>
      <c r="I130" s="50"/>
      <c r="J130" s="810">
        <f t="shared" si="62"/>
        <v>20.73</v>
      </c>
      <c r="K130" s="816">
        <v>1.7000000000000001E-2</v>
      </c>
      <c r="L130" s="816"/>
      <c r="M130" s="816">
        <v>1.7000000000000001E-2</v>
      </c>
      <c r="N130" s="845">
        <f t="shared" si="90"/>
        <v>1.7000000000000001E-2</v>
      </c>
      <c r="O130" s="1831">
        <f t="shared" si="91"/>
        <v>1.7000000000000001E-2</v>
      </c>
      <c r="P130" s="825" t="s">
        <v>1088</v>
      </c>
      <c r="Q130" s="3" t="str">
        <f>IF(J130=J319,"stop","")</f>
        <v/>
      </c>
      <c r="R130" s="3437" t="str">
        <f t="shared" si="120"/>
        <v/>
      </c>
      <c r="S130" s="1771" t="str">
        <f t="shared" si="120"/>
        <v/>
      </c>
      <c r="T130" s="1771" t="str">
        <f t="shared" si="120"/>
        <v/>
      </c>
      <c r="U130" s="1771" t="str">
        <f t="shared" si="120"/>
        <v/>
      </c>
      <c r="V130" s="3443" t="str">
        <f t="shared" si="120"/>
        <v/>
      </c>
      <c r="W130" s="1771" t="str">
        <f t="shared" si="120"/>
        <v/>
      </c>
      <c r="X130" s="1771" t="str">
        <f t="shared" si="120"/>
        <v/>
      </c>
      <c r="Y130" s="1771" t="str">
        <f t="shared" si="120"/>
        <v/>
      </c>
      <c r="Z130" s="3437" t="str">
        <f t="shared" si="120"/>
        <v/>
      </c>
      <c r="AA130" s="1771" t="str">
        <f t="shared" si="120"/>
        <v/>
      </c>
      <c r="AB130" s="1771">
        <f t="shared" si="120"/>
        <v>1.7000000000000001E-2</v>
      </c>
      <c r="AC130" s="3442" t="str">
        <f t="shared" si="120"/>
        <v/>
      </c>
      <c r="AD130" s="1771" t="str">
        <f t="shared" si="120"/>
        <v/>
      </c>
      <c r="AE130" s="1771" t="str">
        <f t="shared" si="120"/>
        <v/>
      </c>
      <c r="AF130" s="1771" t="str">
        <f t="shared" si="120"/>
        <v/>
      </c>
      <c r="AG130" s="3442" t="str">
        <f t="shared" si="120"/>
        <v/>
      </c>
      <c r="AH130" s="1771" t="str">
        <f t="shared" si="107"/>
        <v/>
      </c>
      <c r="AI130" s="3442" t="str">
        <f t="shared" si="107"/>
        <v/>
      </c>
      <c r="AJ130" s="3462"/>
      <c r="AK130" s="3439" t="str">
        <f>IF(J130=J319,"stop","")</f>
        <v/>
      </c>
      <c r="AL130" s="3437" t="str">
        <f t="shared" si="114"/>
        <v/>
      </c>
      <c r="AM130" s="1771" t="str">
        <f t="shared" si="114"/>
        <v/>
      </c>
      <c r="AN130" s="1771" t="str">
        <f t="shared" si="114"/>
        <v/>
      </c>
      <c r="AO130" s="1771" t="str">
        <f t="shared" si="114"/>
        <v/>
      </c>
      <c r="AP130" s="3443" t="str">
        <f t="shared" si="114"/>
        <v/>
      </c>
      <c r="AQ130" s="1771" t="str">
        <f t="shared" si="114"/>
        <v/>
      </c>
      <c r="AR130" s="1771" t="str">
        <f t="shared" si="114"/>
        <v/>
      </c>
      <c r="AS130" s="3442" t="str">
        <f t="shared" si="114"/>
        <v/>
      </c>
      <c r="AT130" s="1771" t="str">
        <f t="shared" si="114"/>
        <v/>
      </c>
      <c r="AU130" s="1771" t="str">
        <f t="shared" si="114"/>
        <v/>
      </c>
      <c r="AV130" s="1771">
        <f t="shared" si="114"/>
        <v>1.7000000000000001E-2</v>
      </c>
      <c r="AW130" s="3442" t="str">
        <f t="shared" si="114"/>
        <v/>
      </c>
      <c r="AX130" s="1771" t="str">
        <f t="shared" si="115"/>
        <v/>
      </c>
      <c r="AY130" s="1771" t="str">
        <f t="shared" si="115"/>
        <v/>
      </c>
      <c r="AZ130" s="1771" t="str">
        <f t="shared" si="115"/>
        <v/>
      </c>
      <c r="BA130" s="1771" t="str">
        <f t="shared" si="115"/>
        <v/>
      </c>
      <c r="BB130" s="3437" t="str">
        <f t="shared" si="115"/>
        <v/>
      </c>
      <c r="BC130" s="3443" t="str">
        <f t="shared" si="115"/>
        <v/>
      </c>
      <c r="BD130" s="3462"/>
      <c r="BE130" s="3440" t="str">
        <f>IF(J130=J319,"stop","")</f>
        <v/>
      </c>
      <c r="BF130" s="1771" t="str">
        <f t="shared" si="116"/>
        <v/>
      </c>
      <c r="BG130" s="1771" t="str">
        <f t="shared" si="116"/>
        <v/>
      </c>
      <c r="BH130" s="1771" t="str">
        <f t="shared" si="116"/>
        <v/>
      </c>
      <c r="BI130" s="1771" t="str">
        <f t="shared" si="116"/>
        <v/>
      </c>
      <c r="BJ130" s="3443" t="str">
        <f t="shared" si="116"/>
        <v/>
      </c>
      <c r="BK130" s="3437" t="str">
        <f t="shared" si="116"/>
        <v/>
      </c>
      <c r="BL130" s="1771" t="str">
        <f t="shared" si="116"/>
        <v/>
      </c>
      <c r="BM130" s="3442" t="str">
        <f t="shared" si="116"/>
        <v/>
      </c>
      <c r="BN130" s="1771" t="str">
        <f t="shared" si="116"/>
        <v/>
      </c>
      <c r="BO130" s="1771" t="str">
        <f t="shared" si="116"/>
        <v/>
      </c>
      <c r="BP130" s="1771">
        <f t="shared" si="116"/>
        <v>1.7000000000000001E-2</v>
      </c>
      <c r="BQ130" s="1771" t="str">
        <f t="shared" si="116"/>
        <v/>
      </c>
      <c r="BR130" s="3437" t="str">
        <f t="shared" si="117"/>
        <v/>
      </c>
      <c r="BS130" s="1771" t="str">
        <f t="shared" si="117"/>
        <v/>
      </c>
      <c r="BT130" s="1771" t="str">
        <f t="shared" si="117"/>
        <v/>
      </c>
      <c r="BU130" s="3442" t="str">
        <f t="shared" si="117"/>
        <v/>
      </c>
      <c r="BV130" s="1771" t="str">
        <f t="shared" si="117"/>
        <v/>
      </c>
      <c r="BW130" s="3442" t="str">
        <f t="shared" si="117"/>
        <v/>
      </c>
      <c r="BX130" s="3462"/>
      <c r="BY130" s="3439" t="str">
        <f>IF(L130=L319,"stop","")</f>
        <v>stop</v>
      </c>
      <c r="BZ130" s="3437" t="str">
        <f t="shared" si="118"/>
        <v/>
      </c>
      <c r="CA130" s="1771" t="str">
        <f t="shared" si="118"/>
        <v/>
      </c>
      <c r="CB130" s="1771" t="str">
        <f t="shared" si="118"/>
        <v/>
      </c>
      <c r="CC130" s="3442" t="str">
        <f t="shared" si="118"/>
        <v/>
      </c>
      <c r="CD130" s="1771" t="str">
        <f t="shared" si="118"/>
        <v/>
      </c>
      <c r="CE130" s="3437" t="str">
        <f t="shared" si="118"/>
        <v/>
      </c>
      <c r="CF130" s="1771" t="str">
        <f t="shared" si="118"/>
        <v/>
      </c>
      <c r="CG130" s="1771" t="str">
        <f t="shared" si="118"/>
        <v/>
      </c>
      <c r="CH130" s="3437" t="str">
        <f t="shared" si="118"/>
        <v/>
      </c>
      <c r="CI130" s="1771" t="str">
        <f t="shared" si="118"/>
        <v/>
      </c>
      <c r="CJ130" s="1771">
        <f t="shared" si="118"/>
        <v>1.7000000000000001E-2</v>
      </c>
      <c r="CK130" s="3442" t="str">
        <f t="shared" si="118"/>
        <v/>
      </c>
      <c r="CL130" s="3437" t="str">
        <f t="shared" si="119"/>
        <v/>
      </c>
      <c r="CM130" s="1771" t="str">
        <f t="shared" si="119"/>
        <v/>
      </c>
      <c r="CN130" s="1771" t="str">
        <f t="shared" si="119"/>
        <v/>
      </c>
      <c r="CO130" s="3442" t="str">
        <f t="shared" si="119"/>
        <v/>
      </c>
      <c r="CP130" s="1771" t="str">
        <f t="shared" si="119"/>
        <v/>
      </c>
      <c r="CQ130" s="3442" t="str">
        <f t="shared" si="119"/>
        <v/>
      </c>
      <c r="CR130" s="3462"/>
    </row>
    <row r="131" spans="1:96" s="3" customFormat="1">
      <c r="A131" s="1848" t="s">
        <v>751</v>
      </c>
      <c r="B131" s="816">
        <v>15</v>
      </c>
      <c r="C131" s="816"/>
      <c r="D131" s="816">
        <v>0.76800000000000002</v>
      </c>
      <c r="E131" s="1804" t="s">
        <v>1083</v>
      </c>
      <c r="F131" s="816">
        <v>0.76800000000000002</v>
      </c>
      <c r="G131" s="816" t="s">
        <v>695</v>
      </c>
      <c r="H131" s="816">
        <v>1996</v>
      </c>
      <c r="I131" s="50"/>
      <c r="J131" s="818">
        <f>J130</f>
        <v>20.73</v>
      </c>
      <c r="K131" s="816">
        <v>0.76800000000000002</v>
      </c>
      <c r="L131" s="816"/>
      <c r="M131" s="816">
        <v>0.76800000000000002</v>
      </c>
      <c r="N131" s="845">
        <f t="shared" si="90"/>
        <v>0.76800000000000002</v>
      </c>
      <c r="O131" s="1831">
        <f t="shared" si="91"/>
        <v>0.76800000000000002</v>
      </c>
      <c r="P131" s="825" t="s">
        <v>1088</v>
      </c>
      <c r="Q131" s="3" t="str">
        <f>IF(J131=J319,"stop","")</f>
        <v/>
      </c>
      <c r="R131" s="3437" t="str">
        <f t="shared" si="120"/>
        <v/>
      </c>
      <c r="S131" s="1771" t="str">
        <f t="shared" si="120"/>
        <v/>
      </c>
      <c r="T131" s="1771" t="str">
        <f t="shared" si="120"/>
        <v/>
      </c>
      <c r="U131" s="1771" t="str">
        <f t="shared" si="120"/>
        <v/>
      </c>
      <c r="V131" s="3443" t="str">
        <f t="shared" si="120"/>
        <v/>
      </c>
      <c r="W131" s="1771" t="str">
        <f t="shared" si="120"/>
        <v/>
      </c>
      <c r="X131" s="1771" t="str">
        <f t="shared" si="120"/>
        <v/>
      </c>
      <c r="Y131" s="1771" t="str">
        <f t="shared" si="120"/>
        <v/>
      </c>
      <c r="Z131" s="3437" t="str">
        <f t="shared" si="120"/>
        <v/>
      </c>
      <c r="AA131" s="1771" t="str">
        <f t="shared" si="120"/>
        <v/>
      </c>
      <c r="AB131" s="1771">
        <f t="shared" si="120"/>
        <v>0.76800000000000002</v>
      </c>
      <c r="AC131" s="3442" t="str">
        <f t="shared" si="120"/>
        <v/>
      </c>
      <c r="AD131" s="1771" t="str">
        <f t="shared" si="120"/>
        <v/>
      </c>
      <c r="AE131" s="1771" t="str">
        <f t="shared" si="120"/>
        <v/>
      </c>
      <c r="AF131" s="1771" t="str">
        <f t="shared" si="120"/>
        <v/>
      </c>
      <c r="AG131" s="3442" t="str">
        <f t="shared" si="120"/>
        <v/>
      </c>
      <c r="AH131" s="1771" t="str">
        <f t="shared" si="107"/>
        <v/>
      </c>
      <c r="AI131" s="3442" t="str">
        <f t="shared" si="107"/>
        <v/>
      </c>
      <c r="AJ131" s="3462"/>
      <c r="AK131" s="3439" t="str">
        <f>IF(J131=J319,"stop","")</f>
        <v/>
      </c>
      <c r="AL131" s="3437" t="str">
        <f t="shared" si="114"/>
        <v/>
      </c>
      <c r="AM131" s="1771" t="str">
        <f t="shared" si="114"/>
        <v/>
      </c>
      <c r="AN131" s="1771" t="str">
        <f t="shared" si="114"/>
        <v/>
      </c>
      <c r="AO131" s="1771" t="str">
        <f t="shared" si="114"/>
        <v/>
      </c>
      <c r="AP131" s="3443" t="str">
        <f t="shared" si="114"/>
        <v/>
      </c>
      <c r="AQ131" s="1771" t="str">
        <f t="shared" si="114"/>
        <v/>
      </c>
      <c r="AR131" s="1771" t="str">
        <f t="shared" si="114"/>
        <v/>
      </c>
      <c r="AS131" s="3442" t="str">
        <f t="shared" si="114"/>
        <v/>
      </c>
      <c r="AT131" s="1771" t="str">
        <f t="shared" si="114"/>
        <v/>
      </c>
      <c r="AU131" s="1771" t="str">
        <f t="shared" si="114"/>
        <v/>
      </c>
      <c r="AV131" s="1771">
        <f t="shared" si="114"/>
        <v>0.76800000000000002</v>
      </c>
      <c r="AW131" s="3442" t="str">
        <f t="shared" si="114"/>
        <v/>
      </c>
      <c r="AX131" s="1771" t="str">
        <f t="shared" si="115"/>
        <v/>
      </c>
      <c r="AY131" s="1771" t="str">
        <f t="shared" si="115"/>
        <v/>
      </c>
      <c r="AZ131" s="1771" t="str">
        <f t="shared" si="115"/>
        <v/>
      </c>
      <c r="BA131" s="1771" t="str">
        <f t="shared" si="115"/>
        <v/>
      </c>
      <c r="BB131" s="3437" t="str">
        <f t="shared" si="115"/>
        <v/>
      </c>
      <c r="BC131" s="3443" t="str">
        <f t="shared" si="115"/>
        <v/>
      </c>
      <c r="BD131" s="3462"/>
      <c r="BE131" s="3440" t="str">
        <f>IF(J131=J319,"stop","")</f>
        <v/>
      </c>
      <c r="BF131" s="1771" t="str">
        <f t="shared" si="116"/>
        <v/>
      </c>
      <c r="BG131" s="1771" t="str">
        <f t="shared" si="116"/>
        <v/>
      </c>
      <c r="BH131" s="1771" t="str">
        <f t="shared" si="116"/>
        <v/>
      </c>
      <c r="BI131" s="1771" t="str">
        <f t="shared" si="116"/>
        <v/>
      </c>
      <c r="BJ131" s="3443" t="str">
        <f t="shared" si="116"/>
        <v/>
      </c>
      <c r="BK131" s="3437" t="str">
        <f t="shared" si="116"/>
        <v/>
      </c>
      <c r="BL131" s="1771" t="str">
        <f t="shared" si="116"/>
        <v/>
      </c>
      <c r="BM131" s="3442" t="str">
        <f t="shared" si="116"/>
        <v/>
      </c>
      <c r="BN131" s="1771" t="str">
        <f t="shared" si="116"/>
        <v/>
      </c>
      <c r="BO131" s="1771" t="str">
        <f t="shared" si="116"/>
        <v/>
      </c>
      <c r="BP131" s="1771">
        <f t="shared" si="116"/>
        <v>0.76800000000000002</v>
      </c>
      <c r="BQ131" s="1771" t="str">
        <f t="shared" si="116"/>
        <v/>
      </c>
      <c r="BR131" s="3437" t="str">
        <f t="shared" si="117"/>
        <v/>
      </c>
      <c r="BS131" s="1771" t="str">
        <f t="shared" si="117"/>
        <v/>
      </c>
      <c r="BT131" s="1771" t="str">
        <f t="shared" si="117"/>
        <v/>
      </c>
      <c r="BU131" s="3442" t="str">
        <f t="shared" si="117"/>
        <v/>
      </c>
      <c r="BV131" s="1771" t="str">
        <f t="shared" si="117"/>
        <v/>
      </c>
      <c r="BW131" s="3442" t="str">
        <f t="shared" si="117"/>
        <v/>
      </c>
      <c r="BX131" s="3462"/>
      <c r="BY131" s="3439" t="str">
        <f>IF(L131=L319,"stop","")</f>
        <v>stop</v>
      </c>
      <c r="BZ131" s="3437" t="str">
        <f t="shared" si="118"/>
        <v/>
      </c>
      <c r="CA131" s="1771" t="str">
        <f t="shared" si="118"/>
        <v/>
      </c>
      <c r="CB131" s="1771" t="str">
        <f t="shared" si="118"/>
        <v/>
      </c>
      <c r="CC131" s="3442" t="str">
        <f t="shared" si="118"/>
        <v/>
      </c>
      <c r="CD131" s="1771" t="str">
        <f t="shared" si="118"/>
        <v/>
      </c>
      <c r="CE131" s="3437" t="str">
        <f t="shared" si="118"/>
        <v/>
      </c>
      <c r="CF131" s="1771" t="str">
        <f t="shared" si="118"/>
        <v/>
      </c>
      <c r="CG131" s="1771" t="str">
        <f t="shared" si="118"/>
        <v/>
      </c>
      <c r="CH131" s="3437" t="str">
        <f t="shared" si="118"/>
        <v/>
      </c>
      <c r="CI131" s="1771" t="str">
        <f t="shared" si="118"/>
        <v/>
      </c>
      <c r="CJ131" s="1771">
        <f t="shared" si="118"/>
        <v>0.76800000000000002</v>
      </c>
      <c r="CK131" s="3442" t="str">
        <f t="shared" si="118"/>
        <v/>
      </c>
      <c r="CL131" s="3437" t="str">
        <f t="shared" si="119"/>
        <v/>
      </c>
      <c r="CM131" s="1771" t="str">
        <f t="shared" si="119"/>
        <v/>
      </c>
      <c r="CN131" s="1771" t="str">
        <f t="shared" si="119"/>
        <v/>
      </c>
      <c r="CO131" s="3442" t="str">
        <f t="shared" si="119"/>
        <v/>
      </c>
      <c r="CP131" s="1771" t="str">
        <f t="shared" si="119"/>
        <v/>
      </c>
      <c r="CQ131" s="3442" t="str">
        <f t="shared" si="119"/>
        <v/>
      </c>
      <c r="CR131" s="3462"/>
    </row>
    <row r="132" spans="1:96" s="3" customFormat="1">
      <c r="A132" s="1848" t="s">
        <v>754</v>
      </c>
      <c r="B132" s="816">
        <v>16</v>
      </c>
      <c r="C132" s="816">
        <v>20.8</v>
      </c>
      <c r="D132" s="816">
        <v>0</v>
      </c>
      <c r="E132" s="1802" t="s">
        <v>35</v>
      </c>
      <c r="F132" s="816">
        <v>1.2E-2</v>
      </c>
      <c r="G132" s="816" t="s">
        <v>695</v>
      </c>
      <c r="H132" s="816">
        <v>1996</v>
      </c>
      <c r="I132" s="50"/>
      <c r="J132" s="816">
        <f t="shared" si="62"/>
        <v>20.8</v>
      </c>
      <c r="K132" s="816">
        <v>0</v>
      </c>
      <c r="L132" s="816" t="s">
        <v>35</v>
      </c>
      <c r="M132" s="816">
        <v>1.2E-2</v>
      </c>
      <c r="N132" s="845">
        <f t="shared" si="90"/>
        <v>0</v>
      </c>
      <c r="O132" s="1831">
        <f t="shared" si="91"/>
        <v>6.0000000000000001E-3</v>
      </c>
      <c r="P132" s="825" t="s">
        <v>1088</v>
      </c>
      <c r="Q132" s="3" t="str">
        <f>IF(J132=J319,"stop","")</f>
        <v/>
      </c>
      <c r="R132" s="3437" t="str">
        <f t="shared" si="120"/>
        <v/>
      </c>
      <c r="S132" s="1771" t="str">
        <f t="shared" si="120"/>
        <v/>
      </c>
      <c r="T132" s="1771" t="str">
        <f t="shared" si="120"/>
        <v/>
      </c>
      <c r="U132" s="1771" t="str">
        <f t="shared" si="120"/>
        <v/>
      </c>
      <c r="V132" s="3443" t="str">
        <f t="shared" si="120"/>
        <v/>
      </c>
      <c r="W132" s="1771" t="str">
        <f t="shared" si="120"/>
        <v/>
      </c>
      <c r="X132" s="1771" t="str">
        <f t="shared" si="120"/>
        <v/>
      </c>
      <c r="Y132" s="1771" t="str">
        <f t="shared" si="120"/>
        <v/>
      </c>
      <c r="Z132" s="3437" t="str">
        <f t="shared" si="120"/>
        <v/>
      </c>
      <c r="AA132" s="1771" t="str">
        <f t="shared" si="120"/>
        <v/>
      </c>
      <c r="AB132" s="1771">
        <f t="shared" si="120"/>
        <v>0</v>
      </c>
      <c r="AC132" s="3442" t="str">
        <f t="shared" si="120"/>
        <v/>
      </c>
      <c r="AD132" s="1771" t="str">
        <f t="shared" si="120"/>
        <v/>
      </c>
      <c r="AE132" s="1771" t="str">
        <f t="shared" si="120"/>
        <v/>
      </c>
      <c r="AF132" s="1771" t="str">
        <f t="shared" si="120"/>
        <v/>
      </c>
      <c r="AG132" s="3442" t="str">
        <f t="shared" si="120"/>
        <v/>
      </c>
      <c r="AH132" s="1771" t="str">
        <f t="shared" si="107"/>
        <v/>
      </c>
      <c r="AI132" s="3442" t="str">
        <f t="shared" si="107"/>
        <v/>
      </c>
      <c r="AJ132" s="3462"/>
      <c r="AK132" s="3439" t="str">
        <f>IF(J132=J319,"stop","")</f>
        <v/>
      </c>
      <c r="AL132" s="3437" t="str">
        <f t="shared" si="114"/>
        <v/>
      </c>
      <c r="AM132" s="1771" t="str">
        <f t="shared" si="114"/>
        <v/>
      </c>
      <c r="AN132" s="1771" t="str">
        <f t="shared" si="114"/>
        <v/>
      </c>
      <c r="AO132" s="1771" t="str">
        <f t="shared" si="114"/>
        <v/>
      </c>
      <c r="AP132" s="3443" t="str">
        <f t="shared" si="114"/>
        <v/>
      </c>
      <c r="AQ132" s="1771" t="str">
        <f t="shared" si="114"/>
        <v/>
      </c>
      <c r="AR132" s="1771" t="str">
        <f t="shared" si="114"/>
        <v/>
      </c>
      <c r="AS132" s="3442" t="str">
        <f t="shared" si="114"/>
        <v/>
      </c>
      <c r="AT132" s="1771" t="str">
        <f t="shared" si="114"/>
        <v/>
      </c>
      <c r="AU132" s="1771" t="str">
        <f t="shared" si="114"/>
        <v/>
      </c>
      <c r="AV132" s="1771">
        <f t="shared" si="114"/>
        <v>1.2E-2</v>
      </c>
      <c r="AW132" s="3442" t="str">
        <f t="shared" si="114"/>
        <v/>
      </c>
      <c r="AX132" s="1771" t="str">
        <f t="shared" si="115"/>
        <v/>
      </c>
      <c r="AY132" s="1771" t="str">
        <f t="shared" si="115"/>
        <v/>
      </c>
      <c r="AZ132" s="1771" t="str">
        <f t="shared" si="115"/>
        <v/>
      </c>
      <c r="BA132" s="1771" t="str">
        <f t="shared" si="115"/>
        <v/>
      </c>
      <c r="BB132" s="3437" t="str">
        <f t="shared" si="115"/>
        <v/>
      </c>
      <c r="BC132" s="3443" t="str">
        <f t="shared" si="115"/>
        <v/>
      </c>
      <c r="BD132" s="3462"/>
      <c r="BE132" s="3440" t="str">
        <f>IF(J132=J319,"stop","")</f>
        <v/>
      </c>
      <c r="BF132" s="1771" t="str">
        <f t="shared" si="116"/>
        <v/>
      </c>
      <c r="BG132" s="1771" t="str">
        <f t="shared" si="116"/>
        <v/>
      </c>
      <c r="BH132" s="1771" t="str">
        <f t="shared" si="116"/>
        <v/>
      </c>
      <c r="BI132" s="1771" t="str">
        <f t="shared" si="116"/>
        <v/>
      </c>
      <c r="BJ132" s="3443" t="str">
        <f t="shared" si="116"/>
        <v/>
      </c>
      <c r="BK132" s="3437" t="str">
        <f t="shared" si="116"/>
        <v/>
      </c>
      <c r="BL132" s="1771" t="str">
        <f t="shared" si="116"/>
        <v/>
      </c>
      <c r="BM132" s="3442" t="str">
        <f t="shared" si="116"/>
        <v/>
      </c>
      <c r="BN132" s="1771" t="str">
        <f t="shared" si="116"/>
        <v/>
      </c>
      <c r="BO132" s="1771" t="str">
        <f t="shared" si="116"/>
        <v/>
      </c>
      <c r="BP132" s="1771">
        <f t="shared" si="116"/>
        <v>0</v>
      </c>
      <c r="BQ132" s="1771" t="str">
        <f t="shared" si="116"/>
        <v/>
      </c>
      <c r="BR132" s="3437" t="str">
        <f t="shared" si="117"/>
        <v/>
      </c>
      <c r="BS132" s="1771" t="str">
        <f t="shared" si="117"/>
        <v/>
      </c>
      <c r="BT132" s="1771" t="str">
        <f t="shared" si="117"/>
        <v/>
      </c>
      <c r="BU132" s="3442" t="str">
        <f t="shared" si="117"/>
        <v/>
      </c>
      <c r="BV132" s="1771" t="str">
        <f t="shared" si="117"/>
        <v/>
      </c>
      <c r="BW132" s="3442" t="str">
        <f t="shared" si="117"/>
        <v/>
      </c>
      <c r="BX132" s="3462"/>
      <c r="BY132" s="3439" t="str">
        <f>IF(L132=L319,"stop","")</f>
        <v/>
      </c>
      <c r="BZ132" s="3437" t="str">
        <f t="shared" si="118"/>
        <v/>
      </c>
      <c r="CA132" s="1771" t="str">
        <f t="shared" si="118"/>
        <v/>
      </c>
      <c r="CB132" s="1771" t="str">
        <f t="shared" si="118"/>
        <v/>
      </c>
      <c r="CC132" s="3442" t="str">
        <f t="shared" si="118"/>
        <v/>
      </c>
      <c r="CD132" s="1771" t="str">
        <f t="shared" si="118"/>
        <v/>
      </c>
      <c r="CE132" s="3437" t="str">
        <f t="shared" si="118"/>
        <v/>
      </c>
      <c r="CF132" s="1771" t="str">
        <f t="shared" si="118"/>
        <v/>
      </c>
      <c r="CG132" s="1771" t="str">
        <f t="shared" si="118"/>
        <v/>
      </c>
      <c r="CH132" s="3437" t="str">
        <f t="shared" si="118"/>
        <v/>
      </c>
      <c r="CI132" s="1771" t="str">
        <f t="shared" si="118"/>
        <v/>
      </c>
      <c r="CJ132" s="1771">
        <f t="shared" si="118"/>
        <v>6.0000000000000001E-3</v>
      </c>
      <c r="CK132" s="3442" t="str">
        <f t="shared" si="118"/>
        <v/>
      </c>
      <c r="CL132" s="3437" t="str">
        <f t="shared" si="119"/>
        <v/>
      </c>
      <c r="CM132" s="1771" t="str">
        <f t="shared" si="119"/>
        <v/>
      </c>
      <c r="CN132" s="1771" t="str">
        <f t="shared" si="119"/>
        <v/>
      </c>
      <c r="CO132" s="3442" t="str">
        <f t="shared" si="119"/>
        <v/>
      </c>
      <c r="CP132" s="1771" t="str">
        <f t="shared" si="119"/>
        <v/>
      </c>
      <c r="CQ132" s="3442" t="str">
        <f t="shared" si="119"/>
        <v/>
      </c>
      <c r="CR132" s="3462"/>
    </row>
    <row r="133" spans="1:96" s="3" customFormat="1">
      <c r="A133" s="1848" t="s">
        <v>757</v>
      </c>
      <c r="B133" s="816">
        <v>18</v>
      </c>
      <c r="C133" s="816">
        <v>26.37</v>
      </c>
      <c r="D133" s="816">
        <v>1.9999999999999999E-6</v>
      </c>
      <c r="E133" s="1802" t="s">
        <v>35</v>
      </c>
      <c r="F133" s="816">
        <v>1.2E-4</v>
      </c>
      <c r="G133" s="816" t="s">
        <v>695</v>
      </c>
      <c r="H133" s="816">
        <v>1996</v>
      </c>
      <c r="I133" s="50"/>
      <c r="J133" s="816">
        <f t="shared" si="62"/>
        <v>26.37</v>
      </c>
      <c r="K133" s="816">
        <v>1.9999999999999999E-6</v>
      </c>
      <c r="L133" s="816" t="s">
        <v>35</v>
      </c>
      <c r="M133" s="816">
        <v>1.2E-4</v>
      </c>
      <c r="N133" s="845">
        <f t="shared" si="90"/>
        <v>1.5491933384829667E-5</v>
      </c>
      <c r="O133" s="1831">
        <f t="shared" si="91"/>
        <v>6.0999999999999999E-5</v>
      </c>
      <c r="P133" s="825" t="s">
        <v>1088</v>
      </c>
      <c r="Q133" s="3" t="str">
        <f>IF(J133=J319,"stop","")</f>
        <v/>
      </c>
      <c r="R133" s="3437" t="str">
        <f t="shared" si="120"/>
        <v/>
      </c>
      <c r="S133" s="1771" t="str">
        <f t="shared" si="120"/>
        <v/>
      </c>
      <c r="T133" s="1771" t="str">
        <f t="shared" si="120"/>
        <v/>
      </c>
      <c r="U133" s="1771" t="str">
        <f t="shared" si="120"/>
        <v/>
      </c>
      <c r="V133" s="3443" t="str">
        <f t="shared" si="120"/>
        <v/>
      </c>
      <c r="W133" s="1771" t="str">
        <f t="shared" si="120"/>
        <v/>
      </c>
      <c r="X133" s="1771" t="str">
        <f t="shared" si="120"/>
        <v/>
      </c>
      <c r="Y133" s="1771" t="str">
        <f t="shared" si="120"/>
        <v/>
      </c>
      <c r="Z133" s="3437" t="str">
        <f t="shared" si="120"/>
        <v/>
      </c>
      <c r="AA133" s="1771" t="str">
        <f t="shared" si="120"/>
        <v/>
      </c>
      <c r="AB133" s="1771" t="str">
        <f t="shared" si="120"/>
        <v/>
      </c>
      <c r="AC133" s="3442">
        <f t="shared" si="120"/>
        <v>1.9999999999999999E-6</v>
      </c>
      <c r="AD133" s="1771" t="str">
        <f t="shared" si="120"/>
        <v/>
      </c>
      <c r="AE133" s="1771" t="str">
        <f t="shared" si="120"/>
        <v/>
      </c>
      <c r="AF133" s="1771" t="str">
        <f t="shared" si="120"/>
        <v/>
      </c>
      <c r="AG133" s="3442" t="str">
        <f t="shared" si="120"/>
        <v/>
      </c>
      <c r="AH133" s="1771" t="str">
        <f t="shared" si="107"/>
        <v/>
      </c>
      <c r="AI133" s="3442" t="str">
        <f t="shared" si="107"/>
        <v/>
      </c>
      <c r="AJ133" s="3462"/>
      <c r="AK133" s="3439" t="str">
        <f>IF(J133=J319,"stop","")</f>
        <v/>
      </c>
      <c r="AL133" s="3437" t="str">
        <f t="shared" si="114"/>
        <v/>
      </c>
      <c r="AM133" s="1771" t="str">
        <f t="shared" si="114"/>
        <v/>
      </c>
      <c r="AN133" s="1771" t="str">
        <f t="shared" si="114"/>
        <v/>
      </c>
      <c r="AO133" s="1771" t="str">
        <f t="shared" si="114"/>
        <v/>
      </c>
      <c r="AP133" s="3443" t="str">
        <f t="shared" si="114"/>
        <v/>
      </c>
      <c r="AQ133" s="1771" t="str">
        <f t="shared" si="114"/>
        <v/>
      </c>
      <c r="AR133" s="1771" t="str">
        <f t="shared" si="114"/>
        <v/>
      </c>
      <c r="AS133" s="3442" t="str">
        <f t="shared" si="114"/>
        <v/>
      </c>
      <c r="AT133" s="1771" t="str">
        <f t="shared" si="114"/>
        <v/>
      </c>
      <c r="AU133" s="1771" t="str">
        <f t="shared" si="114"/>
        <v/>
      </c>
      <c r="AV133" s="1771" t="str">
        <f t="shared" si="114"/>
        <v/>
      </c>
      <c r="AW133" s="3442">
        <f t="shared" si="114"/>
        <v>1.2E-4</v>
      </c>
      <c r="AX133" s="1771" t="str">
        <f t="shared" si="115"/>
        <v/>
      </c>
      <c r="AY133" s="1771" t="str">
        <f t="shared" si="115"/>
        <v/>
      </c>
      <c r="AZ133" s="1771" t="str">
        <f t="shared" si="115"/>
        <v/>
      </c>
      <c r="BA133" s="1771" t="str">
        <f t="shared" si="115"/>
        <v/>
      </c>
      <c r="BB133" s="3437" t="str">
        <f t="shared" si="115"/>
        <v/>
      </c>
      <c r="BC133" s="3443" t="str">
        <f t="shared" si="115"/>
        <v/>
      </c>
      <c r="BD133" s="3462"/>
      <c r="BE133" s="3440" t="str">
        <f>IF(J133=J319,"stop","")</f>
        <v/>
      </c>
      <c r="BF133" s="1771" t="str">
        <f t="shared" si="116"/>
        <v/>
      </c>
      <c r="BG133" s="1771" t="str">
        <f t="shared" si="116"/>
        <v/>
      </c>
      <c r="BH133" s="1771" t="str">
        <f t="shared" si="116"/>
        <v/>
      </c>
      <c r="BI133" s="1771" t="str">
        <f t="shared" si="116"/>
        <v/>
      </c>
      <c r="BJ133" s="3443" t="str">
        <f t="shared" si="116"/>
        <v/>
      </c>
      <c r="BK133" s="3437" t="str">
        <f t="shared" si="116"/>
        <v/>
      </c>
      <c r="BL133" s="1771" t="str">
        <f t="shared" si="116"/>
        <v/>
      </c>
      <c r="BM133" s="3442" t="str">
        <f t="shared" si="116"/>
        <v/>
      </c>
      <c r="BN133" s="1771" t="str">
        <f t="shared" si="116"/>
        <v/>
      </c>
      <c r="BO133" s="1771" t="str">
        <f t="shared" si="116"/>
        <v/>
      </c>
      <c r="BP133" s="1771" t="str">
        <f t="shared" si="116"/>
        <v/>
      </c>
      <c r="BQ133" s="1771">
        <f t="shared" si="116"/>
        <v>1.5491933384829667E-5</v>
      </c>
      <c r="BR133" s="3437" t="str">
        <f t="shared" si="117"/>
        <v/>
      </c>
      <c r="BS133" s="1771" t="str">
        <f t="shared" si="117"/>
        <v/>
      </c>
      <c r="BT133" s="1771" t="str">
        <f t="shared" si="117"/>
        <v/>
      </c>
      <c r="BU133" s="3442" t="str">
        <f t="shared" si="117"/>
        <v/>
      </c>
      <c r="BV133" s="1771" t="str">
        <f t="shared" si="117"/>
        <v/>
      </c>
      <c r="BW133" s="3442" t="str">
        <f t="shared" si="117"/>
        <v/>
      </c>
      <c r="BX133" s="3462"/>
      <c r="BY133" s="3439" t="str">
        <f>IF(L133=L319,"stop","")</f>
        <v/>
      </c>
      <c r="BZ133" s="3437" t="str">
        <f t="shared" si="118"/>
        <v/>
      </c>
      <c r="CA133" s="1771" t="str">
        <f t="shared" si="118"/>
        <v/>
      </c>
      <c r="CB133" s="1771" t="str">
        <f t="shared" si="118"/>
        <v/>
      </c>
      <c r="CC133" s="3442" t="str">
        <f t="shared" si="118"/>
        <v/>
      </c>
      <c r="CD133" s="1771" t="str">
        <f t="shared" si="118"/>
        <v/>
      </c>
      <c r="CE133" s="3437" t="str">
        <f t="shared" si="118"/>
        <v/>
      </c>
      <c r="CF133" s="1771" t="str">
        <f t="shared" si="118"/>
        <v/>
      </c>
      <c r="CG133" s="1771" t="str">
        <f t="shared" si="118"/>
        <v/>
      </c>
      <c r="CH133" s="3437" t="str">
        <f t="shared" si="118"/>
        <v/>
      </c>
      <c r="CI133" s="1771" t="str">
        <f t="shared" si="118"/>
        <v/>
      </c>
      <c r="CJ133" s="1771" t="str">
        <f t="shared" si="118"/>
        <v/>
      </c>
      <c r="CK133" s="3442">
        <f t="shared" si="118"/>
        <v>6.0999999999999999E-5</v>
      </c>
      <c r="CL133" s="3437" t="str">
        <f t="shared" si="119"/>
        <v/>
      </c>
      <c r="CM133" s="1771" t="str">
        <f t="shared" si="119"/>
        <v/>
      </c>
      <c r="CN133" s="1771" t="str">
        <f t="shared" si="119"/>
        <v/>
      </c>
      <c r="CO133" s="3442" t="str">
        <f t="shared" si="119"/>
        <v/>
      </c>
      <c r="CP133" s="1771" t="str">
        <f t="shared" si="119"/>
        <v/>
      </c>
      <c r="CQ133" s="3442" t="str">
        <f t="shared" si="119"/>
        <v/>
      </c>
      <c r="CR133" s="3462"/>
    </row>
    <row r="134" spans="1:96" s="3" customFormat="1">
      <c r="A134" s="1848" t="s">
        <v>758</v>
      </c>
      <c r="B134" s="816">
        <v>18</v>
      </c>
      <c r="C134" s="816">
        <v>27.41</v>
      </c>
      <c r="D134" s="816">
        <v>3.6999999999999998E-5</v>
      </c>
      <c r="E134" s="1802" t="s">
        <v>35</v>
      </c>
      <c r="F134" s="816">
        <v>3.8999999999999999E-4</v>
      </c>
      <c r="G134" s="816" t="s">
        <v>695</v>
      </c>
      <c r="H134" s="816">
        <v>1996</v>
      </c>
      <c r="I134" s="50"/>
      <c r="J134" s="816">
        <f t="shared" si="62"/>
        <v>27.41</v>
      </c>
      <c r="K134" s="816">
        <v>3.6999999999999998E-5</v>
      </c>
      <c r="L134" s="816" t="s">
        <v>35</v>
      </c>
      <c r="M134" s="816">
        <v>3.8999999999999999E-4</v>
      </c>
      <c r="N134" s="845">
        <f t="shared" si="90"/>
        <v>1.2012493496356199E-4</v>
      </c>
      <c r="O134" s="1831">
        <f t="shared" si="91"/>
        <v>2.1349999999999999E-4</v>
      </c>
      <c r="P134" s="825" t="s">
        <v>1088</v>
      </c>
      <c r="Q134" s="3" t="str">
        <f>IF(J134=J319,"stop","")</f>
        <v/>
      </c>
      <c r="R134" s="3437" t="str">
        <f t="shared" si="120"/>
        <v/>
      </c>
      <c r="S134" s="1771" t="str">
        <f t="shared" si="120"/>
        <v/>
      </c>
      <c r="T134" s="1771" t="str">
        <f t="shared" si="120"/>
        <v/>
      </c>
      <c r="U134" s="1771" t="str">
        <f t="shared" si="120"/>
        <v/>
      </c>
      <c r="V134" s="3443" t="str">
        <f t="shared" si="120"/>
        <v/>
      </c>
      <c r="W134" s="1771" t="str">
        <f t="shared" si="120"/>
        <v/>
      </c>
      <c r="X134" s="1771" t="str">
        <f t="shared" si="120"/>
        <v/>
      </c>
      <c r="Y134" s="1771" t="str">
        <f t="shared" si="120"/>
        <v/>
      </c>
      <c r="Z134" s="3437" t="str">
        <f t="shared" si="120"/>
        <v/>
      </c>
      <c r="AA134" s="1771" t="str">
        <f t="shared" si="120"/>
        <v/>
      </c>
      <c r="AB134" s="1771" t="str">
        <f t="shared" si="120"/>
        <v/>
      </c>
      <c r="AC134" s="3442">
        <f t="shared" si="120"/>
        <v>3.6999999999999998E-5</v>
      </c>
      <c r="AD134" s="1771" t="str">
        <f t="shared" si="120"/>
        <v/>
      </c>
      <c r="AE134" s="1771" t="str">
        <f t="shared" si="120"/>
        <v/>
      </c>
      <c r="AF134" s="1771" t="str">
        <f t="shared" si="120"/>
        <v/>
      </c>
      <c r="AG134" s="3442" t="str">
        <f t="shared" si="120"/>
        <v/>
      </c>
      <c r="AH134" s="1771" t="str">
        <f t="shared" si="107"/>
        <v/>
      </c>
      <c r="AI134" s="3442" t="str">
        <f t="shared" si="107"/>
        <v/>
      </c>
      <c r="AJ134" s="3462"/>
      <c r="AK134" s="3439" t="str">
        <f>IF(J134=J319,"stop","")</f>
        <v/>
      </c>
      <c r="AL134" s="3437" t="str">
        <f t="shared" si="114"/>
        <v/>
      </c>
      <c r="AM134" s="1771" t="str">
        <f t="shared" si="114"/>
        <v/>
      </c>
      <c r="AN134" s="1771" t="str">
        <f t="shared" si="114"/>
        <v/>
      </c>
      <c r="AO134" s="1771" t="str">
        <f t="shared" si="114"/>
        <v/>
      </c>
      <c r="AP134" s="3443" t="str">
        <f t="shared" si="114"/>
        <v/>
      </c>
      <c r="AQ134" s="1771" t="str">
        <f t="shared" si="114"/>
        <v/>
      </c>
      <c r="AR134" s="1771" t="str">
        <f t="shared" si="114"/>
        <v/>
      </c>
      <c r="AS134" s="3442" t="str">
        <f t="shared" si="114"/>
        <v/>
      </c>
      <c r="AT134" s="1771" t="str">
        <f t="shared" si="114"/>
        <v/>
      </c>
      <c r="AU134" s="1771" t="str">
        <f t="shared" si="114"/>
        <v/>
      </c>
      <c r="AV134" s="1771" t="str">
        <f t="shared" si="114"/>
        <v/>
      </c>
      <c r="AW134" s="3442">
        <f t="shared" si="114"/>
        <v>3.8999999999999999E-4</v>
      </c>
      <c r="AX134" s="1771" t="str">
        <f t="shared" si="115"/>
        <v/>
      </c>
      <c r="AY134" s="1771" t="str">
        <f t="shared" si="115"/>
        <v/>
      </c>
      <c r="AZ134" s="1771" t="str">
        <f t="shared" si="115"/>
        <v/>
      </c>
      <c r="BA134" s="1771" t="str">
        <f t="shared" si="115"/>
        <v/>
      </c>
      <c r="BB134" s="3437" t="str">
        <f t="shared" si="115"/>
        <v/>
      </c>
      <c r="BC134" s="3443" t="str">
        <f t="shared" si="115"/>
        <v/>
      </c>
      <c r="BD134" s="3462"/>
      <c r="BE134" s="3440" t="str">
        <f>IF(J134=J319,"stop","")</f>
        <v/>
      </c>
      <c r="BF134" s="1771" t="str">
        <f t="shared" si="116"/>
        <v/>
      </c>
      <c r="BG134" s="1771" t="str">
        <f t="shared" si="116"/>
        <v/>
      </c>
      <c r="BH134" s="1771" t="str">
        <f t="shared" si="116"/>
        <v/>
      </c>
      <c r="BI134" s="1771" t="str">
        <f t="shared" si="116"/>
        <v/>
      </c>
      <c r="BJ134" s="3443" t="str">
        <f t="shared" si="116"/>
        <v/>
      </c>
      <c r="BK134" s="3437" t="str">
        <f t="shared" si="116"/>
        <v/>
      </c>
      <c r="BL134" s="1771" t="str">
        <f t="shared" si="116"/>
        <v/>
      </c>
      <c r="BM134" s="3442" t="str">
        <f t="shared" si="116"/>
        <v/>
      </c>
      <c r="BN134" s="1771" t="str">
        <f t="shared" si="116"/>
        <v/>
      </c>
      <c r="BO134" s="1771" t="str">
        <f t="shared" si="116"/>
        <v/>
      </c>
      <c r="BP134" s="1771" t="str">
        <f t="shared" si="116"/>
        <v/>
      </c>
      <c r="BQ134" s="1771">
        <f t="shared" si="116"/>
        <v>1.2012493496356199E-4</v>
      </c>
      <c r="BR134" s="3437" t="str">
        <f t="shared" si="117"/>
        <v/>
      </c>
      <c r="BS134" s="1771" t="str">
        <f t="shared" si="117"/>
        <v/>
      </c>
      <c r="BT134" s="1771" t="str">
        <f t="shared" si="117"/>
        <v/>
      </c>
      <c r="BU134" s="3442" t="str">
        <f t="shared" si="117"/>
        <v/>
      </c>
      <c r="BV134" s="1771" t="str">
        <f t="shared" si="117"/>
        <v/>
      </c>
      <c r="BW134" s="3442" t="str">
        <f t="shared" si="117"/>
        <v/>
      </c>
      <c r="BX134" s="3462"/>
      <c r="BY134" s="3439" t="str">
        <f>IF(L134=L319,"stop","")</f>
        <v/>
      </c>
      <c r="BZ134" s="3437" t="str">
        <f t="shared" si="118"/>
        <v/>
      </c>
      <c r="CA134" s="1771" t="str">
        <f t="shared" si="118"/>
        <v/>
      </c>
      <c r="CB134" s="1771" t="str">
        <f t="shared" si="118"/>
        <v/>
      </c>
      <c r="CC134" s="3442" t="str">
        <f t="shared" si="118"/>
        <v/>
      </c>
      <c r="CD134" s="1771" t="str">
        <f t="shared" si="118"/>
        <v/>
      </c>
      <c r="CE134" s="3437" t="str">
        <f t="shared" si="118"/>
        <v/>
      </c>
      <c r="CF134" s="1771" t="str">
        <f t="shared" si="118"/>
        <v/>
      </c>
      <c r="CG134" s="1771" t="str">
        <f t="shared" si="118"/>
        <v/>
      </c>
      <c r="CH134" s="3437" t="str">
        <f t="shared" si="118"/>
        <v/>
      </c>
      <c r="CI134" s="1771" t="str">
        <f t="shared" si="118"/>
        <v/>
      </c>
      <c r="CJ134" s="1771" t="str">
        <f t="shared" si="118"/>
        <v/>
      </c>
      <c r="CK134" s="3442">
        <f t="shared" si="118"/>
        <v>2.1349999999999999E-4</v>
      </c>
      <c r="CL134" s="3437" t="str">
        <f t="shared" si="119"/>
        <v/>
      </c>
      <c r="CM134" s="1771" t="str">
        <f t="shared" si="119"/>
        <v/>
      </c>
      <c r="CN134" s="1771" t="str">
        <f t="shared" si="119"/>
        <v/>
      </c>
      <c r="CO134" s="3442" t="str">
        <f t="shared" si="119"/>
        <v/>
      </c>
      <c r="CP134" s="1771" t="str">
        <f t="shared" si="119"/>
        <v/>
      </c>
      <c r="CQ134" s="3442" t="str">
        <f t="shared" si="119"/>
        <v/>
      </c>
      <c r="CR134" s="3462"/>
    </row>
    <row r="135" spans="1:96" s="3" customFormat="1">
      <c r="A135" s="1848" t="s">
        <v>759</v>
      </c>
      <c r="B135" s="816">
        <v>18</v>
      </c>
      <c r="C135" s="816">
        <v>26.61</v>
      </c>
      <c r="D135" s="816">
        <v>2.0000000000000002E-5</v>
      </c>
      <c r="E135" s="1802" t="s">
        <v>35</v>
      </c>
      <c r="F135" s="816">
        <v>1.3999999999999999E-4</v>
      </c>
      <c r="G135" s="816" t="s">
        <v>695</v>
      </c>
      <c r="H135" s="816">
        <v>1996</v>
      </c>
      <c r="I135" s="50"/>
      <c r="J135" s="816">
        <f t="shared" si="62"/>
        <v>26.61</v>
      </c>
      <c r="K135" s="816">
        <v>2.0000000000000002E-5</v>
      </c>
      <c r="L135" s="816" t="s">
        <v>35</v>
      </c>
      <c r="M135" s="816">
        <v>1.3999999999999999E-4</v>
      </c>
      <c r="N135" s="845">
        <f t="shared" si="90"/>
        <v>5.2915026221291811E-5</v>
      </c>
      <c r="O135" s="1831">
        <f t="shared" si="91"/>
        <v>7.9999999999999993E-5</v>
      </c>
      <c r="P135" s="825" t="s">
        <v>1088</v>
      </c>
      <c r="Q135" s="3" t="str">
        <f>IF(J135=J319,"stop","")</f>
        <v/>
      </c>
      <c r="R135" s="3437" t="str">
        <f t="shared" si="120"/>
        <v/>
      </c>
      <c r="S135" s="1771" t="str">
        <f t="shared" si="120"/>
        <v/>
      </c>
      <c r="T135" s="1771" t="str">
        <f t="shared" si="120"/>
        <v/>
      </c>
      <c r="U135" s="1771" t="str">
        <f t="shared" si="120"/>
        <v/>
      </c>
      <c r="V135" s="3443" t="str">
        <f t="shared" si="120"/>
        <v/>
      </c>
      <c r="W135" s="1771" t="str">
        <f t="shared" si="120"/>
        <v/>
      </c>
      <c r="X135" s="1771" t="str">
        <f t="shared" si="120"/>
        <v/>
      </c>
      <c r="Y135" s="1771" t="str">
        <f t="shared" si="120"/>
        <v/>
      </c>
      <c r="Z135" s="3437" t="str">
        <f t="shared" si="120"/>
        <v/>
      </c>
      <c r="AA135" s="1771" t="str">
        <f t="shared" si="120"/>
        <v/>
      </c>
      <c r="AB135" s="1771" t="str">
        <f t="shared" si="120"/>
        <v/>
      </c>
      <c r="AC135" s="3442">
        <f t="shared" si="120"/>
        <v>2.0000000000000002E-5</v>
      </c>
      <c r="AD135" s="1771" t="str">
        <f t="shared" si="120"/>
        <v/>
      </c>
      <c r="AE135" s="1771" t="str">
        <f t="shared" si="120"/>
        <v/>
      </c>
      <c r="AF135" s="1771" t="str">
        <f t="shared" si="120"/>
        <v/>
      </c>
      <c r="AG135" s="3442" t="str">
        <f t="shared" si="120"/>
        <v/>
      </c>
      <c r="AH135" s="1771" t="str">
        <f t="shared" si="107"/>
        <v/>
      </c>
      <c r="AI135" s="3442" t="str">
        <f t="shared" si="107"/>
        <v/>
      </c>
      <c r="AJ135" s="3462"/>
      <c r="AK135" s="3439" t="str">
        <f>IF(J135=J319,"stop","")</f>
        <v/>
      </c>
      <c r="AL135" s="3437" t="str">
        <f t="shared" si="114"/>
        <v/>
      </c>
      <c r="AM135" s="1771" t="str">
        <f t="shared" si="114"/>
        <v/>
      </c>
      <c r="AN135" s="1771" t="str">
        <f t="shared" si="114"/>
        <v/>
      </c>
      <c r="AO135" s="1771" t="str">
        <f t="shared" si="114"/>
        <v/>
      </c>
      <c r="AP135" s="3443" t="str">
        <f t="shared" si="114"/>
        <v/>
      </c>
      <c r="AQ135" s="1771" t="str">
        <f t="shared" si="114"/>
        <v/>
      </c>
      <c r="AR135" s="1771" t="str">
        <f t="shared" si="114"/>
        <v/>
      </c>
      <c r="AS135" s="3442" t="str">
        <f t="shared" si="114"/>
        <v/>
      </c>
      <c r="AT135" s="1771" t="str">
        <f t="shared" si="114"/>
        <v/>
      </c>
      <c r="AU135" s="1771" t="str">
        <f t="shared" si="114"/>
        <v/>
      </c>
      <c r="AV135" s="1771" t="str">
        <f t="shared" si="114"/>
        <v/>
      </c>
      <c r="AW135" s="3442">
        <f t="shared" si="114"/>
        <v>1.3999999999999999E-4</v>
      </c>
      <c r="AX135" s="1771" t="str">
        <f t="shared" si="115"/>
        <v/>
      </c>
      <c r="AY135" s="1771" t="str">
        <f t="shared" si="115"/>
        <v/>
      </c>
      <c r="AZ135" s="1771" t="str">
        <f t="shared" si="115"/>
        <v/>
      </c>
      <c r="BA135" s="1771" t="str">
        <f t="shared" si="115"/>
        <v/>
      </c>
      <c r="BB135" s="3437" t="str">
        <f t="shared" si="115"/>
        <v/>
      </c>
      <c r="BC135" s="3443" t="str">
        <f t="shared" si="115"/>
        <v/>
      </c>
      <c r="BD135" s="3462"/>
      <c r="BE135" s="3440" t="str">
        <f>IF(J135=J319,"stop","")</f>
        <v/>
      </c>
      <c r="BF135" s="1771" t="str">
        <f t="shared" si="116"/>
        <v/>
      </c>
      <c r="BG135" s="1771" t="str">
        <f t="shared" si="116"/>
        <v/>
      </c>
      <c r="BH135" s="1771" t="str">
        <f t="shared" si="116"/>
        <v/>
      </c>
      <c r="BI135" s="1771" t="str">
        <f t="shared" si="116"/>
        <v/>
      </c>
      <c r="BJ135" s="3443" t="str">
        <f t="shared" si="116"/>
        <v/>
      </c>
      <c r="BK135" s="3437" t="str">
        <f t="shared" si="116"/>
        <v/>
      </c>
      <c r="BL135" s="1771" t="str">
        <f t="shared" si="116"/>
        <v/>
      </c>
      <c r="BM135" s="3442" t="str">
        <f t="shared" si="116"/>
        <v/>
      </c>
      <c r="BN135" s="1771" t="str">
        <f t="shared" si="116"/>
        <v/>
      </c>
      <c r="BO135" s="1771" t="str">
        <f t="shared" si="116"/>
        <v/>
      </c>
      <c r="BP135" s="1771" t="str">
        <f t="shared" si="116"/>
        <v/>
      </c>
      <c r="BQ135" s="1771">
        <f t="shared" si="116"/>
        <v>5.2915026221291811E-5</v>
      </c>
      <c r="BR135" s="3437" t="str">
        <f t="shared" si="117"/>
        <v/>
      </c>
      <c r="BS135" s="1771" t="str">
        <f t="shared" si="117"/>
        <v/>
      </c>
      <c r="BT135" s="1771" t="str">
        <f t="shared" si="117"/>
        <v/>
      </c>
      <c r="BU135" s="3442" t="str">
        <f t="shared" si="117"/>
        <v/>
      </c>
      <c r="BV135" s="1771" t="str">
        <f t="shared" si="117"/>
        <v/>
      </c>
      <c r="BW135" s="3442" t="str">
        <f t="shared" si="117"/>
        <v/>
      </c>
      <c r="BX135" s="3462"/>
      <c r="BY135" s="3439" t="str">
        <f>IF(L135=L319,"stop","")</f>
        <v/>
      </c>
      <c r="BZ135" s="3437" t="str">
        <f t="shared" si="118"/>
        <v/>
      </c>
      <c r="CA135" s="1771" t="str">
        <f t="shared" si="118"/>
        <v/>
      </c>
      <c r="CB135" s="1771" t="str">
        <f t="shared" si="118"/>
        <v/>
      </c>
      <c r="CC135" s="3442" t="str">
        <f t="shared" si="118"/>
        <v/>
      </c>
      <c r="CD135" s="1771" t="str">
        <f t="shared" si="118"/>
        <v/>
      </c>
      <c r="CE135" s="3437" t="str">
        <f t="shared" si="118"/>
        <v/>
      </c>
      <c r="CF135" s="1771" t="str">
        <f t="shared" si="118"/>
        <v/>
      </c>
      <c r="CG135" s="1771" t="str">
        <f t="shared" si="118"/>
        <v/>
      </c>
      <c r="CH135" s="3437" t="str">
        <f t="shared" si="118"/>
        <v/>
      </c>
      <c r="CI135" s="1771" t="str">
        <f t="shared" si="118"/>
        <v/>
      </c>
      <c r="CJ135" s="1771" t="str">
        <f t="shared" si="118"/>
        <v/>
      </c>
      <c r="CK135" s="3442">
        <f t="shared" si="118"/>
        <v>7.9999999999999993E-5</v>
      </c>
      <c r="CL135" s="3437" t="str">
        <f t="shared" si="119"/>
        <v/>
      </c>
      <c r="CM135" s="1771" t="str">
        <f t="shared" si="119"/>
        <v/>
      </c>
      <c r="CN135" s="1771" t="str">
        <f t="shared" si="119"/>
        <v/>
      </c>
      <c r="CO135" s="3442" t="str">
        <f t="shared" si="119"/>
        <v/>
      </c>
      <c r="CP135" s="1771" t="str">
        <f t="shared" si="119"/>
        <v/>
      </c>
      <c r="CQ135" s="3442" t="str">
        <f t="shared" si="119"/>
        <v/>
      </c>
      <c r="CR135" s="3462"/>
    </row>
    <row r="136" spans="1:96" s="3" customFormat="1">
      <c r="A136" s="1848" t="s">
        <v>778</v>
      </c>
      <c r="B136" s="816">
        <v>19</v>
      </c>
      <c r="C136" s="816"/>
      <c r="D136" s="816" t="s">
        <v>931</v>
      </c>
      <c r="E136" s="1804" t="s">
        <v>1083</v>
      </c>
      <c r="F136" s="816" t="s">
        <v>931</v>
      </c>
      <c r="G136" s="816" t="s">
        <v>695</v>
      </c>
      <c r="H136" s="816">
        <v>1996</v>
      </c>
      <c r="I136" s="50"/>
      <c r="J136" s="818">
        <f>J137</f>
        <v>31.34</v>
      </c>
      <c r="K136" s="816">
        <v>0</v>
      </c>
      <c r="L136" s="816"/>
      <c r="M136" s="816">
        <v>0</v>
      </c>
      <c r="N136" s="845">
        <f t="shared" si="90"/>
        <v>0</v>
      </c>
      <c r="O136" s="1831">
        <f t="shared" si="91"/>
        <v>0</v>
      </c>
      <c r="P136" s="825" t="s">
        <v>1088</v>
      </c>
      <c r="Q136" s="3" t="str">
        <f>IF(J136=J319,"stop","")</f>
        <v/>
      </c>
      <c r="R136" s="3437" t="str">
        <f t="shared" si="120"/>
        <v/>
      </c>
      <c r="S136" s="1771" t="str">
        <f t="shared" si="120"/>
        <v/>
      </c>
      <c r="T136" s="1771" t="str">
        <f t="shared" si="120"/>
        <v/>
      </c>
      <c r="U136" s="1771" t="str">
        <f t="shared" si="120"/>
        <v/>
      </c>
      <c r="V136" s="3443" t="str">
        <f t="shared" si="120"/>
        <v/>
      </c>
      <c r="W136" s="1771" t="str">
        <f t="shared" si="120"/>
        <v/>
      </c>
      <c r="X136" s="1771" t="str">
        <f t="shared" si="120"/>
        <v/>
      </c>
      <c r="Y136" s="1771" t="str">
        <f t="shared" si="120"/>
        <v/>
      </c>
      <c r="Z136" s="3437" t="str">
        <f t="shared" si="120"/>
        <v/>
      </c>
      <c r="AA136" s="1771" t="str">
        <f t="shared" si="120"/>
        <v/>
      </c>
      <c r="AB136" s="1771" t="str">
        <f t="shared" si="120"/>
        <v/>
      </c>
      <c r="AC136" s="3442">
        <f t="shared" si="120"/>
        <v>0</v>
      </c>
      <c r="AD136" s="1771" t="str">
        <f t="shared" si="120"/>
        <v/>
      </c>
      <c r="AE136" s="1771" t="str">
        <f t="shared" si="120"/>
        <v/>
      </c>
      <c r="AF136" s="1771" t="str">
        <f t="shared" si="120"/>
        <v/>
      </c>
      <c r="AG136" s="3442" t="str">
        <f t="shared" si="120"/>
        <v/>
      </c>
      <c r="AH136" s="1771" t="str">
        <f t="shared" ref="AH136:AI161" si="121">IF(AND($J136&gt;AH$4,$J136&lt;=AH$5,$P136=AH$6),$K136,"")</f>
        <v/>
      </c>
      <c r="AI136" s="3442" t="str">
        <f t="shared" si="121"/>
        <v/>
      </c>
      <c r="AJ136" s="3462"/>
      <c r="AK136" s="3439" t="str">
        <f>IF(J136=J319,"stop","")</f>
        <v/>
      </c>
      <c r="AL136" s="3437" t="str">
        <f t="shared" si="114"/>
        <v/>
      </c>
      <c r="AM136" s="1771" t="str">
        <f t="shared" si="114"/>
        <v/>
      </c>
      <c r="AN136" s="1771" t="str">
        <f t="shared" si="114"/>
        <v/>
      </c>
      <c r="AO136" s="1771" t="str">
        <f t="shared" si="114"/>
        <v/>
      </c>
      <c r="AP136" s="3443" t="str">
        <f t="shared" si="114"/>
        <v/>
      </c>
      <c r="AQ136" s="1771" t="str">
        <f t="shared" si="114"/>
        <v/>
      </c>
      <c r="AR136" s="1771" t="str">
        <f t="shared" si="114"/>
        <v/>
      </c>
      <c r="AS136" s="3442" t="str">
        <f t="shared" si="114"/>
        <v/>
      </c>
      <c r="AT136" s="1771" t="str">
        <f t="shared" si="114"/>
        <v/>
      </c>
      <c r="AU136" s="1771" t="str">
        <f t="shared" si="114"/>
        <v/>
      </c>
      <c r="AV136" s="1771" t="str">
        <f t="shared" si="114"/>
        <v/>
      </c>
      <c r="AW136" s="3442">
        <f t="shared" si="114"/>
        <v>0</v>
      </c>
      <c r="AX136" s="1771" t="str">
        <f t="shared" si="115"/>
        <v/>
      </c>
      <c r="AY136" s="1771" t="str">
        <f t="shared" si="115"/>
        <v/>
      </c>
      <c r="AZ136" s="1771" t="str">
        <f t="shared" si="115"/>
        <v/>
      </c>
      <c r="BA136" s="1771" t="str">
        <f t="shared" si="115"/>
        <v/>
      </c>
      <c r="BB136" s="3437" t="str">
        <f t="shared" si="115"/>
        <v/>
      </c>
      <c r="BC136" s="3443" t="str">
        <f t="shared" si="115"/>
        <v/>
      </c>
      <c r="BD136" s="3462"/>
      <c r="BE136" s="3440" t="str">
        <f>IF(J136=J319,"stop","")</f>
        <v/>
      </c>
      <c r="BF136" s="1771" t="str">
        <f t="shared" si="116"/>
        <v/>
      </c>
      <c r="BG136" s="1771" t="str">
        <f t="shared" si="116"/>
        <v/>
      </c>
      <c r="BH136" s="1771" t="str">
        <f t="shared" si="116"/>
        <v/>
      </c>
      <c r="BI136" s="1771" t="str">
        <f t="shared" si="116"/>
        <v/>
      </c>
      <c r="BJ136" s="3443" t="str">
        <f t="shared" si="116"/>
        <v/>
      </c>
      <c r="BK136" s="3437" t="str">
        <f t="shared" si="116"/>
        <v/>
      </c>
      <c r="BL136" s="1771" t="str">
        <f t="shared" si="116"/>
        <v/>
      </c>
      <c r="BM136" s="3442" t="str">
        <f t="shared" si="116"/>
        <v/>
      </c>
      <c r="BN136" s="1771" t="str">
        <f t="shared" si="116"/>
        <v/>
      </c>
      <c r="BO136" s="1771" t="str">
        <f t="shared" si="116"/>
        <v/>
      </c>
      <c r="BP136" s="1771" t="str">
        <f t="shared" si="116"/>
        <v/>
      </c>
      <c r="BQ136" s="1771">
        <f t="shared" si="116"/>
        <v>0</v>
      </c>
      <c r="BR136" s="3437" t="str">
        <f t="shared" si="117"/>
        <v/>
      </c>
      <c r="BS136" s="1771" t="str">
        <f t="shared" si="117"/>
        <v/>
      </c>
      <c r="BT136" s="1771" t="str">
        <f t="shared" si="117"/>
        <v/>
      </c>
      <c r="BU136" s="3442" t="str">
        <f t="shared" si="117"/>
        <v/>
      </c>
      <c r="BV136" s="1771" t="str">
        <f t="shared" si="117"/>
        <v/>
      </c>
      <c r="BW136" s="3442" t="str">
        <f t="shared" si="117"/>
        <v/>
      </c>
      <c r="BX136" s="3462"/>
      <c r="BY136" s="3439" t="str">
        <f>IF(L136=L319,"stop","")</f>
        <v>stop</v>
      </c>
      <c r="BZ136" s="3437" t="str">
        <f t="shared" si="118"/>
        <v/>
      </c>
      <c r="CA136" s="1771" t="str">
        <f t="shared" si="118"/>
        <v/>
      </c>
      <c r="CB136" s="1771" t="str">
        <f t="shared" si="118"/>
        <v/>
      </c>
      <c r="CC136" s="3442" t="str">
        <f t="shared" si="118"/>
        <v/>
      </c>
      <c r="CD136" s="1771" t="str">
        <f t="shared" si="118"/>
        <v/>
      </c>
      <c r="CE136" s="3437" t="str">
        <f t="shared" si="118"/>
        <v/>
      </c>
      <c r="CF136" s="1771" t="str">
        <f t="shared" si="118"/>
        <v/>
      </c>
      <c r="CG136" s="1771" t="str">
        <f t="shared" si="118"/>
        <v/>
      </c>
      <c r="CH136" s="3437" t="str">
        <f t="shared" si="118"/>
        <v/>
      </c>
      <c r="CI136" s="1771" t="str">
        <f t="shared" si="118"/>
        <v/>
      </c>
      <c r="CJ136" s="1771" t="str">
        <f t="shared" si="118"/>
        <v/>
      </c>
      <c r="CK136" s="3442">
        <f t="shared" si="118"/>
        <v>0</v>
      </c>
      <c r="CL136" s="3437" t="str">
        <f t="shared" si="119"/>
        <v/>
      </c>
      <c r="CM136" s="1771" t="str">
        <f t="shared" si="119"/>
        <v/>
      </c>
      <c r="CN136" s="1771" t="str">
        <f t="shared" si="119"/>
        <v/>
      </c>
      <c r="CO136" s="3442" t="str">
        <f t="shared" si="119"/>
        <v/>
      </c>
      <c r="CP136" s="1771" t="str">
        <f t="shared" si="119"/>
        <v/>
      </c>
      <c r="CQ136" s="3442" t="str">
        <f t="shared" si="119"/>
        <v/>
      </c>
      <c r="CR136" s="3462"/>
    </row>
    <row r="137" spans="1:96" s="3" customFormat="1">
      <c r="A137" s="1848" t="s">
        <v>764</v>
      </c>
      <c r="B137" s="816">
        <v>20</v>
      </c>
      <c r="C137" s="816">
        <v>31.34</v>
      </c>
      <c r="D137" s="816">
        <v>9.9999999999999995E-7</v>
      </c>
      <c r="E137" s="1802" t="s">
        <v>35</v>
      </c>
      <c r="F137" s="816">
        <v>6.0000000000000002E-5</v>
      </c>
      <c r="G137" s="816" t="s">
        <v>695</v>
      </c>
      <c r="H137" s="816">
        <v>1996</v>
      </c>
      <c r="I137" s="50"/>
      <c r="J137" s="816">
        <f t="shared" si="62"/>
        <v>31.34</v>
      </c>
      <c r="K137" s="816">
        <v>9.9999999999999995E-7</v>
      </c>
      <c r="L137" s="816" t="s">
        <v>35</v>
      </c>
      <c r="M137" s="816">
        <v>6.0000000000000002E-5</v>
      </c>
      <c r="N137" s="845">
        <f t="shared" si="90"/>
        <v>7.7459666924148335E-6</v>
      </c>
      <c r="O137" s="1831">
        <f t="shared" si="91"/>
        <v>3.0499999999999999E-5</v>
      </c>
      <c r="P137" s="825" t="s">
        <v>1088</v>
      </c>
      <c r="Q137" s="3" t="str">
        <f>IF(J137=J319,"stop","")</f>
        <v/>
      </c>
      <c r="R137" s="3437" t="str">
        <f t="shared" si="120"/>
        <v/>
      </c>
      <c r="S137" s="1771" t="str">
        <f t="shared" si="120"/>
        <v/>
      </c>
      <c r="T137" s="1771" t="str">
        <f t="shared" si="120"/>
        <v/>
      </c>
      <c r="U137" s="1771" t="str">
        <f t="shared" si="120"/>
        <v/>
      </c>
      <c r="V137" s="3443" t="str">
        <f t="shared" si="120"/>
        <v/>
      </c>
      <c r="W137" s="1771" t="str">
        <f t="shared" si="120"/>
        <v/>
      </c>
      <c r="X137" s="1771" t="str">
        <f t="shared" si="120"/>
        <v/>
      </c>
      <c r="Y137" s="1771" t="str">
        <f t="shared" si="120"/>
        <v/>
      </c>
      <c r="Z137" s="3437" t="str">
        <f t="shared" si="120"/>
        <v/>
      </c>
      <c r="AA137" s="1771" t="str">
        <f t="shared" si="120"/>
        <v/>
      </c>
      <c r="AB137" s="1771" t="str">
        <f t="shared" si="120"/>
        <v/>
      </c>
      <c r="AC137" s="3442">
        <f t="shared" si="120"/>
        <v>9.9999999999999995E-7</v>
      </c>
      <c r="AD137" s="1771" t="str">
        <f t="shared" si="120"/>
        <v/>
      </c>
      <c r="AE137" s="1771" t="str">
        <f t="shared" si="120"/>
        <v/>
      </c>
      <c r="AF137" s="1771" t="str">
        <f t="shared" si="120"/>
        <v/>
      </c>
      <c r="AG137" s="3442" t="str">
        <f t="shared" si="120"/>
        <v/>
      </c>
      <c r="AH137" s="1771" t="str">
        <f t="shared" si="121"/>
        <v/>
      </c>
      <c r="AI137" s="3442" t="str">
        <f t="shared" si="121"/>
        <v/>
      </c>
      <c r="AJ137" s="3462"/>
      <c r="AK137" s="3439" t="str">
        <f>IF(J137=J319,"stop","")</f>
        <v/>
      </c>
      <c r="AL137" s="3437" t="str">
        <f t="shared" ref="AL137:AW144" si="122">IF(AND($J137&gt;AL$4,$J137&lt;=AL$5,$P137=AL$6),$M137,"")</f>
        <v/>
      </c>
      <c r="AM137" s="1771" t="str">
        <f t="shared" si="122"/>
        <v/>
      </c>
      <c r="AN137" s="1771" t="str">
        <f t="shared" si="122"/>
        <v/>
      </c>
      <c r="AO137" s="1771" t="str">
        <f t="shared" si="122"/>
        <v/>
      </c>
      <c r="AP137" s="3443" t="str">
        <f t="shared" si="122"/>
        <v/>
      </c>
      <c r="AQ137" s="1771" t="str">
        <f t="shared" si="122"/>
        <v/>
      </c>
      <c r="AR137" s="1771" t="str">
        <f t="shared" si="122"/>
        <v/>
      </c>
      <c r="AS137" s="3442" t="str">
        <f t="shared" si="122"/>
        <v/>
      </c>
      <c r="AT137" s="1771" t="str">
        <f t="shared" si="122"/>
        <v/>
      </c>
      <c r="AU137" s="1771" t="str">
        <f t="shared" si="122"/>
        <v/>
      </c>
      <c r="AV137" s="1771" t="str">
        <f t="shared" si="122"/>
        <v/>
      </c>
      <c r="AW137" s="3442">
        <f t="shared" si="122"/>
        <v>6.0000000000000002E-5</v>
      </c>
      <c r="AX137" s="1771" t="str">
        <f t="shared" ref="AX137:BC144" si="123">IF(AND($J137&gt;AX$4,$J137&lt;=AX$5,$P137=AX$6),$M137,"")</f>
        <v/>
      </c>
      <c r="AY137" s="1771" t="str">
        <f t="shared" si="123"/>
        <v/>
      </c>
      <c r="AZ137" s="1771" t="str">
        <f t="shared" si="123"/>
        <v/>
      </c>
      <c r="BA137" s="1771" t="str">
        <f t="shared" si="123"/>
        <v/>
      </c>
      <c r="BB137" s="3437" t="str">
        <f t="shared" si="123"/>
        <v/>
      </c>
      <c r="BC137" s="3443" t="str">
        <f t="shared" si="123"/>
        <v/>
      </c>
      <c r="BD137" s="3462"/>
      <c r="BE137" s="3440" t="str">
        <f>IF(J137=J319,"stop","")</f>
        <v/>
      </c>
      <c r="BF137" s="1771" t="str">
        <f t="shared" ref="BF137:BQ144" si="124">IF(AND($J137&gt;BF$4,$J137&lt;=BF$5,$P137=BF$6),$N137,"")</f>
        <v/>
      </c>
      <c r="BG137" s="1771" t="str">
        <f t="shared" si="124"/>
        <v/>
      </c>
      <c r="BH137" s="1771" t="str">
        <f t="shared" si="124"/>
        <v/>
      </c>
      <c r="BI137" s="1771" t="str">
        <f t="shared" si="124"/>
        <v/>
      </c>
      <c r="BJ137" s="3443" t="str">
        <f t="shared" si="124"/>
        <v/>
      </c>
      <c r="BK137" s="3437" t="str">
        <f t="shared" si="124"/>
        <v/>
      </c>
      <c r="BL137" s="1771" t="str">
        <f t="shared" si="124"/>
        <v/>
      </c>
      <c r="BM137" s="3442" t="str">
        <f t="shared" si="124"/>
        <v/>
      </c>
      <c r="BN137" s="1771" t="str">
        <f t="shared" si="124"/>
        <v/>
      </c>
      <c r="BO137" s="1771" t="str">
        <f t="shared" si="124"/>
        <v/>
      </c>
      <c r="BP137" s="1771" t="str">
        <f t="shared" si="124"/>
        <v/>
      </c>
      <c r="BQ137" s="1771">
        <f t="shared" si="124"/>
        <v>7.7459666924148335E-6</v>
      </c>
      <c r="BR137" s="3437" t="str">
        <f t="shared" ref="BR137:BW144" si="125">IF(AND($J137&gt;BR$4,$J137&lt;=BR$5,$P137=BR$6),$N137,"")</f>
        <v/>
      </c>
      <c r="BS137" s="1771" t="str">
        <f t="shared" si="125"/>
        <v/>
      </c>
      <c r="BT137" s="1771" t="str">
        <f t="shared" si="125"/>
        <v/>
      </c>
      <c r="BU137" s="3442" t="str">
        <f t="shared" si="125"/>
        <v/>
      </c>
      <c r="BV137" s="1771" t="str">
        <f t="shared" si="125"/>
        <v/>
      </c>
      <c r="BW137" s="3442" t="str">
        <f t="shared" si="125"/>
        <v/>
      </c>
      <c r="BX137" s="3462"/>
      <c r="BY137" s="3439" t="str">
        <f>IF(L137=L319,"stop","")</f>
        <v/>
      </c>
      <c r="BZ137" s="3437" t="str">
        <f t="shared" ref="BZ137:CK144" si="126">IF(AND($J137&gt;BZ$4,$J137&lt;=BZ$5,$P137=BZ$6),$O137,"")</f>
        <v/>
      </c>
      <c r="CA137" s="1771" t="str">
        <f t="shared" si="126"/>
        <v/>
      </c>
      <c r="CB137" s="1771" t="str">
        <f t="shared" si="126"/>
        <v/>
      </c>
      <c r="CC137" s="3442" t="str">
        <f t="shared" si="126"/>
        <v/>
      </c>
      <c r="CD137" s="1771" t="str">
        <f t="shared" si="126"/>
        <v/>
      </c>
      <c r="CE137" s="3437" t="str">
        <f t="shared" si="126"/>
        <v/>
      </c>
      <c r="CF137" s="1771" t="str">
        <f t="shared" si="126"/>
        <v/>
      </c>
      <c r="CG137" s="1771" t="str">
        <f t="shared" si="126"/>
        <v/>
      </c>
      <c r="CH137" s="3437" t="str">
        <f t="shared" si="126"/>
        <v/>
      </c>
      <c r="CI137" s="1771" t="str">
        <f t="shared" si="126"/>
        <v/>
      </c>
      <c r="CJ137" s="1771" t="str">
        <f t="shared" si="126"/>
        <v/>
      </c>
      <c r="CK137" s="3442">
        <f t="shared" si="126"/>
        <v>3.0499999999999999E-5</v>
      </c>
      <c r="CL137" s="3437" t="str">
        <f t="shared" ref="CL137:CQ144" si="127">IF(AND($J137&gt;CL$4,$J137&lt;=CL$5,$P137=CL$6),$O137,"")</f>
        <v/>
      </c>
      <c r="CM137" s="1771" t="str">
        <f t="shared" si="127"/>
        <v/>
      </c>
      <c r="CN137" s="1771" t="str">
        <f t="shared" si="127"/>
        <v/>
      </c>
      <c r="CO137" s="3442" t="str">
        <f t="shared" si="127"/>
        <v/>
      </c>
      <c r="CP137" s="1771" t="str">
        <f t="shared" si="127"/>
        <v/>
      </c>
      <c r="CQ137" s="3442" t="str">
        <f t="shared" si="127"/>
        <v/>
      </c>
      <c r="CR137" s="3462"/>
    </row>
    <row r="138" spans="1:96" s="3" customFormat="1">
      <c r="A138" s="1848" t="s">
        <v>765</v>
      </c>
      <c r="B138" s="816">
        <v>20</v>
      </c>
      <c r="C138" s="816">
        <v>31.17</v>
      </c>
      <c r="D138" s="816">
        <v>1.9999999999999999E-6</v>
      </c>
      <c r="E138" s="1802" t="s">
        <v>35</v>
      </c>
      <c r="F138" s="816">
        <v>1.0000000000000001E-5</v>
      </c>
      <c r="G138" s="816" t="s">
        <v>695</v>
      </c>
      <c r="H138" s="816">
        <v>1996</v>
      </c>
      <c r="I138" s="50"/>
      <c r="J138" s="816">
        <f t="shared" si="62"/>
        <v>31.17</v>
      </c>
      <c r="K138" s="816">
        <v>1.9999999999999999E-6</v>
      </c>
      <c r="L138" s="816" t="s">
        <v>35</v>
      </c>
      <c r="M138" s="816">
        <v>1.0000000000000001E-5</v>
      </c>
      <c r="N138" s="845">
        <f t="shared" si="90"/>
        <v>4.4721359549995799E-6</v>
      </c>
      <c r="O138" s="1831">
        <f t="shared" si="91"/>
        <v>6.0000000000000002E-6</v>
      </c>
      <c r="P138" s="825" t="s">
        <v>1088</v>
      </c>
      <c r="Q138" s="3" t="str">
        <f>IF(J138=J319,"stop","")</f>
        <v/>
      </c>
      <c r="R138" s="3437" t="str">
        <f t="shared" si="120"/>
        <v/>
      </c>
      <c r="S138" s="1771" t="str">
        <f t="shared" si="120"/>
        <v/>
      </c>
      <c r="T138" s="1771" t="str">
        <f t="shared" si="120"/>
        <v/>
      </c>
      <c r="U138" s="1771" t="str">
        <f t="shared" si="120"/>
        <v/>
      </c>
      <c r="V138" s="3443" t="str">
        <f t="shared" si="120"/>
        <v/>
      </c>
      <c r="W138" s="1771" t="str">
        <f t="shared" si="120"/>
        <v/>
      </c>
      <c r="X138" s="1771" t="str">
        <f t="shared" si="120"/>
        <v/>
      </c>
      <c r="Y138" s="1771" t="str">
        <f t="shared" si="120"/>
        <v/>
      </c>
      <c r="Z138" s="3437" t="str">
        <f t="shared" si="120"/>
        <v/>
      </c>
      <c r="AA138" s="1771" t="str">
        <f t="shared" si="120"/>
        <v/>
      </c>
      <c r="AB138" s="1771" t="str">
        <f t="shared" si="120"/>
        <v/>
      </c>
      <c r="AC138" s="3442">
        <f t="shared" si="120"/>
        <v>1.9999999999999999E-6</v>
      </c>
      <c r="AD138" s="1771" t="str">
        <f t="shared" si="120"/>
        <v/>
      </c>
      <c r="AE138" s="1771" t="str">
        <f t="shared" si="120"/>
        <v/>
      </c>
      <c r="AF138" s="1771" t="str">
        <f t="shared" si="120"/>
        <v/>
      </c>
      <c r="AG138" s="3442" t="str">
        <f t="shared" si="120"/>
        <v/>
      </c>
      <c r="AH138" s="1771" t="str">
        <f t="shared" si="121"/>
        <v/>
      </c>
      <c r="AI138" s="3442" t="str">
        <f t="shared" si="121"/>
        <v/>
      </c>
      <c r="AJ138" s="3462"/>
      <c r="AK138" s="3439" t="str">
        <f>IF(J138=J319,"stop","")</f>
        <v/>
      </c>
      <c r="AL138" s="3437" t="str">
        <f t="shared" si="122"/>
        <v/>
      </c>
      <c r="AM138" s="1771" t="str">
        <f t="shared" si="122"/>
        <v/>
      </c>
      <c r="AN138" s="1771" t="str">
        <f t="shared" si="122"/>
        <v/>
      </c>
      <c r="AO138" s="1771" t="str">
        <f t="shared" si="122"/>
        <v/>
      </c>
      <c r="AP138" s="3443" t="str">
        <f t="shared" si="122"/>
        <v/>
      </c>
      <c r="AQ138" s="1771" t="str">
        <f t="shared" si="122"/>
        <v/>
      </c>
      <c r="AR138" s="1771" t="str">
        <f t="shared" si="122"/>
        <v/>
      </c>
      <c r="AS138" s="3442" t="str">
        <f t="shared" si="122"/>
        <v/>
      </c>
      <c r="AT138" s="1771" t="str">
        <f t="shared" si="122"/>
        <v/>
      </c>
      <c r="AU138" s="1771" t="str">
        <f t="shared" si="122"/>
        <v/>
      </c>
      <c r="AV138" s="1771" t="str">
        <f t="shared" si="122"/>
        <v/>
      </c>
      <c r="AW138" s="3442">
        <f t="shared" si="122"/>
        <v>1.0000000000000001E-5</v>
      </c>
      <c r="AX138" s="1771" t="str">
        <f t="shared" si="123"/>
        <v/>
      </c>
      <c r="AY138" s="1771" t="str">
        <f t="shared" si="123"/>
        <v/>
      </c>
      <c r="AZ138" s="1771" t="str">
        <f t="shared" si="123"/>
        <v/>
      </c>
      <c r="BA138" s="1771" t="str">
        <f t="shared" si="123"/>
        <v/>
      </c>
      <c r="BB138" s="3437" t="str">
        <f t="shared" si="123"/>
        <v/>
      </c>
      <c r="BC138" s="3443" t="str">
        <f t="shared" si="123"/>
        <v/>
      </c>
      <c r="BD138" s="3462"/>
      <c r="BE138" s="3440" t="str">
        <f>IF(J138=J319,"stop","")</f>
        <v/>
      </c>
      <c r="BF138" s="1771" t="str">
        <f t="shared" si="124"/>
        <v/>
      </c>
      <c r="BG138" s="1771" t="str">
        <f t="shared" si="124"/>
        <v/>
      </c>
      <c r="BH138" s="1771" t="str">
        <f t="shared" si="124"/>
        <v/>
      </c>
      <c r="BI138" s="1771" t="str">
        <f t="shared" si="124"/>
        <v/>
      </c>
      <c r="BJ138" s="3443" t="str">
        <f t="shared" si="124"/>
        <v/>
      </c>
      <c r="BK138" s="3437" t="str">
        <f t="shared" si="124"/>
        <v/>
      </c>
      <c r="BL138" s="1771" t="str">
        <f t="shared" si="124"/>
        <v/>
      </c>
      <c r="BM138" s="3442" t="str">
        <f t="shared" si="124"/>
        <v/>
      </c>
      <c r="BN138" s="1771" t="str">
        <f t="shared" si="124"/>
        <v/>
      </c>
      <c r="BO138" s="1771" t="str">
        <f t="shared" si="124"/>
        <v/>
      </c>
      <c r="BP138" s="1771" t="str">
        <f t="shared" si="124"/>
        <v/>
      </c>
      <c r="BQ138" s="1771">
        <f t="shared" si="124"/>
        <v>4.4721359549995799E-6</v>
      </c>
      <c r="BR138" s="3437" t="str">
        <f t="shared" si="125"/>
        <v/>
      </c>
      <c r="BS138" s="1771" t="str">
        <f t="shared" si="125"/>
        <v/>
      </c>
      <c r="BT138" s="1771" t="str">
        <f t="shared" si="125"/>
        <v/>
      </c>
      <c r="BU138" s="3442" t="str">
        <f t="shared" si="125"/>
        <v/>
      </c>
      <c r="BV138" s="1771" t="str">
        <f t="shared" si="125"/>
        <v/>
      </c>
      <c r="BW138" s="3442" t="str">
        <f t="shared" si="125"/>
        <v/>
      </c>
      <c r="BX138" s="3462"/>
      <c r="BY138" s="3439" t="str">
        <f>IF(L138=L319,"stop","")</f>
        <v/>
      </c>
      <c r="BZ138" s="3437" t="str">
        <f t="shared" si="126"/>
        <v/>
      </c>
      <c r="CA138" s="1771" t="str">
        <f t="shared" si="126"/>
        <v/>
      </c>
      <c r="CB138" s="1771" t="str">
        <f t="shared" si="126"/>
        <v/>
      </c>
      <c r="CC138" s="3442" t="str">
        <f t="shared" si="126"/>
        <v/>
      </c>
      <c r="CD138" s="1771" t="str">
        <f t="shared" si="126"/>
        <v/>
      </c>
      <c r="CE138" s="3437" t="str">
        <f t="shared" si="126"/>
        <v/>
      </c>
      <c r="CF138" s="1771" t="str">
        <f t="shared" si="126"/>
        <v/>
      </c>
      <c r="CG138" s="1771" t="str">
        <f t="shared" si="126"/>
        <v/>
      </c>
      <c r="CH138" s="3437" t="str">
        <f t="shared" si="126"/>
        <v/>
      </c>
      <c r="CI138" s="1771" t="str">
        <f t="shared" si="126"/>
        <v/>
      </c>
      <c r="CJ138" s="1771" t="str">
        <f t="shared" si="126"/>
        <v/>
      </c>
      <c r="CK138" s="3442">
        <f t="shared" si="126"/>
        <v>6.0000000000000002E-6</v>
      </c>
      <c r="CL138" s="3437" t="str">
        <f t="shared" si="127"/>
        <v/>
      </c>
      <c r="CM138" s="1771" t="str">
        <f t="shared" si="127"/>
        <v/>
      </c>
      <c r="CN138" s="1771" t="str">
        <f t="shared" si="127"/>
        <v/>
      </c>
      <c r="CO138" s="3442" t="str">
        <f t="shared" si="127"/>
        <v/>
      </c>
      <c r="CP138" s="1771" t="str">
        <f t="shared" si="127"/>
        <v/>
      </c>
      <c r="CQ138" s="3442" t="str">
        <f t="shared" si="127"/>
        <v/>
      </c>
      <c r="CR138" s="3462"/>
    </row>
    <row r="139" spans="1:96" s="3" customFormat="1">
      <c r="A139" s="1848" t="s">
        <v>779</v>
      </c>
      <c r="B139" s="816">
        <v>20</v>
      </c>
      <c r="C139" s="816">
        <v>31.17</v>
      </c>
      <c r="D139" s="816">
        <v>9.9999999999999995E-7</v>
      </c>
      <c r="E139" s="1802" t="s">
        <v>35</v>
      </c>
      <c r="F139" s="816">
        <v>6.9999999999999999E-6</v>
      </c>
      <c r="G139" s="816" t="s">
        <v>695</v>
      </c>
      <c r="H139" s="816">
        <v>1996</v>
      </c>
      <c r="I139" s="50"/>
      <c r="J139" s="816">
        <f t="shared" si="62"/>
        <v>31.17</v>
      </c>
      <c r="K139" s="816">
        <v>9.9999999999999995E-7</v>
      </c>
      <c r="L139" s="816" t="s">
        <v>35</v>
      </c>
      <c r="M139" s="816">
        <v>6.9999999999999999E-6</v>
      </c>
      <c r="N139" s="845">
        <f t="shared" si="90"/>
        <v>2.6457513110645903E-6</v>
      </c>
      <c r="O139" s="1831">
        <f t="shared" si="91"/>
        <v>3.9999999999999998E-6</v>
      </c>
      <c r="P139" s="825" t="s">
        <v>1088</v>
      </c>
      <c r="Q139" s="3" t="str">
        <f>IF(J139=J319,"stop","")</f>
        <v/>
      </c>
      <c r="R139" s="3437" t="str">
        <f t="shared" si="120"/>
        <v/>
      </c>
      <c r="S139" s="1771" t="str">
        <f t="shared" si="120"/>
        <v/>
      </c>
      <c r="T139" s="1771" t="str">
        <f t="shared" si="120"/>
        <v/>
      </c>
      <c r="U139" s="1771" t="str">
        <f t="shared" si="120"/>
        <v/>
      </c>
      <c r="V139" s="3443" t="str">
        <f t="shared" si="120"/>
        <v/>
      </c>
      <c r="W139" s="1771" t="str">
        <f t="shared" si="120"/>
        <v/>
      </c>
      <c r="X139" s="1771" t="str">
        <f t="shared" si="120"/>
        <v/>
      </c>
      <c r="Y139" s="1771" t="str">
        <f t="shared" si="120"/>
        <v/>
      </c>
      <c r="Z139" s="3437" t="str">
        <f t="shared" si="120"/>
        <v/>
      </c>
      <c r="AA139" s="1771" t="str">
        <f t="shared" si="120"/>
        <v/>
      </c>
      <c r="AB139" s="1771" t="str">
        <f t="shared" si="120"/>
        <v/>
      </c>
      <c r="AC139" s="3442">
        <f t="shared" si="120"/>
        <v>9.9999999999999995E-7</v>
      </c>
      <c r="AD139" s="1771" t="str">
        <f t="shared" si="120"/>
        <v/>
      </c>
      <c r="AE139" s="1771" t="str">
        <f t="shared" si="120"/>
        <v/>
      </c>
      <c r="AF139" s="1771" t="str">
        <f t="shared" si="120"/>
        <v/>
      </c>
      <c r="AG139" s="3442" t="str">
        <f t="shared" si="120"/>
        <v/>
      </c>
      <c r="AH139" s="1771" t="str">
        <f t="shared" si="121"/>
        <v/>
      </c>
      <c r="AI139" s="3442" t="str">
        <f t="shared" si="121"/>
        <v/>
      </c>
      <c r="AJ139" s="3462"/>
      <c r="AK139" s="3439" t="str">
        <f>IF(J139=J319,"stop","")</f>
        <v/>
      </c>
      <c r="AL139" s="3437" t="str">
        <f t="shared" si="122"/>
        <v/>
      </c>
      <c r="AM139" s="1771" t="str">
        <f t="shared" si="122"/>
        <v/>
      </c>
      <c r="AN139" s="1771" t="str">
        <f t="shared" si="122"/>
        <v/>
      </c>
      <c r="AO139" s="1771" t="str">
        <f t="shared" si="122"/>
        <v/>
      </c>
      <c r="AP139" s="3443" t="str">
        <f t="shared" si="122"/>
        <v/>
      </c>
      <c r="AQ139" s="1771" t="str">
        <f t="shared" si="122"/>
        <v/>
      </c>
      <c r="AR139" s="1771" t="str">
        <f t="shared" si="122"/>
        <v/>
      </c>
      <c r="AS139" s="3442" t="str">
        <f t="shared" si="122"/>
        <v/>
      </c>
      <c r="AT139" s="1771" t="str">
        <f t="shared" si="122"/>
        <v/>
      </c>
      <c r="AU139" s="1771" t="str">
        <f t="shared" si="122"/>
        <v/>
      </c>
      <c r="AV139" s="1771" t="str">
        <f t="shared" si="122"/>
        <v/>
      </c>
      <c r="AW139" s="3442">
        <f t="shared" si="122"/>
        <v>6.9999999999999999E-6</v>
      </c>
      <c r="AX139" s="1771" t="str">
        <f t="shared" si="123"/>
        <v/>
      </c>
      <c r="AY139" s="1771" t="str">
        <f t="shared" si="123"/>
        <v/>
      </c>
      <c r="AZ139" s="1771" t="str">
        <f t="shared" si="123"/>
        <v/>
      </c>
      <c r="BA139" s="1771" t="str">
        <f t="shared" si="123"/>
        <v/>
      </c>
      <c r="BB139" s="3437" t="str">
        <f t="shared" si="123"/>
        <v/>
      </c>
      <c r="BC139" s="3443" t="str">
        <f t="shared" si="123"/>
        <v/>
      </c>
      <c r="BD139" s="3462"/>
      <c r="BE139" s="3440" t="str">
        <f>IF(J139=J319,"stop","")</f>
        <v/>
      </c>
      <c r="BF139" s="1771" t="str">
        <f t="shared" si="124"/>
        <v/>
      </c>
      <c r="BG139" s="1771" t="str">
        <f t="shared" si="124"/>
        <v/>
      </c>
      <c r="BH139" s="1771" t="str">
        <f t="shared" si="124"/>
        <v/>
      </c>
      <c r="BI139" s="1771" t="str">
        <f t="shared" si="124"/>
        <v/>
      </c>
      <c r="BJ139" s="3443" t="str">
        <f t="shared" si="124"/>
        <v/>
      </c>
      <c r="BK139" s="3437" t="str">
        <f t="shared" si="124"/>
        <v/>
      </c>
      <c r="BL139" s="1771" t="str">
        <f t="shared" si="124"/>
        <v/>
      </c>
      <c r="BM139" s="3442" t="str">
        <f t="shared" si="124"/>
        <v/>
      </c>
      <c r="BN139" s="1771" t="str">
        <f t="shared" si="124"/>
        <v/>
      </c>
      <c r="BO139" s="1771" t="str">
        <f t="shared" si="124"/>
        <v/>
      </c>
      <c r="BP139" s="1771" t="str">
        <f t="shared" si="124"/>
        <v/>
      </c>
      <c r="BQ139" s="1771">
        <f t="shared" si="124"/>
        <v>2.6457513110645903E-6</v>
      </c>
      <c r="BR139" s="3437" t="str">
        <f t="shared" si="125"/>
        <v/>
      </c>
      <c r="BS139" s="1771" t="str">
        <f t="shared" si="125"/>
        <v/>
      </c>
      <c r="BT139" s="1771" t="str">
        <f t="shared" si="125"/>
        <v/>
      </c>
      <c r="BU139" s="3442" t="str">
        <f t="shared" si="125"/>
        <v/>
      </c>
      <c r="BV139" s="1771" t="str">
        <f t="shared" si="125"/>
        <v/>
      </c>
      <c r="BW139" s="3442" t="str">
        <f t="shared" si="125"/>
        <v/>
      </c>
      <c r="BX139" s="3462"/>
      <c r="BY139" s="3439" t="str">
        <f>IF(L139=L319,"stop","")</f>
        <v/>
      </c>
      <c r="BZ139" s="3437" t="str">
        <f t="shared" si="126"/>
        <v/>
      </c>
      <c r="CA139" s="1771" t="str">
        <f t="shared" si="126"/>
        <v/>
      </c>
      <c r="CB139" s="1771" t="str">
        <f t="shared" si="126"/>
        <v/>
      </c>
      <c r="CC139" s="3442" t="str">
        <f t="shared" si="126"/>
        <v/>
      </c>
      <c r="CD139" s="1771" t="str">
        <f t="shared" si="126"/>
        <v/>
      </c>
      <c r="CE139" s="3437" t="str">
        <f t="shared" si="126"/>
        <v/>
      </c>
      <c r="CF139" s="1771" t="str">
        <f t="shared" si="126"/>
        <v/>
      </c>
      <c r="CG139" s="1771" t="str">
        <f t="shared" si="126"/>
        <v/>
      </c>
      <c r="CH139" s="3437" t="str">
        <f t="shared" si="126"/>
        <v/>
      </c>
      <c r="CI139" s="1771" t="str">
        <f t="shared" si="126"/>
        <v/>
      </c>
      <c r="CJ139" s="1771" t="str">
        <f t="shared" si="126"/>
        <v/>
      </c>
      <c r="CK139" s="3442">
        <f t="shared" si="126"/>
        <v>3.9999999999999998E-6</v>
      </c>
      <c r="CL139" s="3437" t="str">
        <f t="shared" si="127"/>
        <v/>
      </c>
      <c r="CM139" s="1771" t="str">
        <f t="shared" si="127"/>
        <v/>
      </c>
      <c r="CN139" s="1771" t="str">
        <f t="shared" si="127"/>
        <v/>
      </c>
      <c r="CO139" s="3442" t="str">
        <f t="shared" si="127"/>
        <v/>
      </c>
      <c r="CP139" s="1771" t="str">
        <f t="shared" si="127"/>
        <v/>
      </c>
      <c r="CQ139" s="3442" t="str">
        <f t="shared" si="127"/>
        <v/>
      </c>
      <c r="CR139" s="3462"/>
    </row>
    <row r="140" spans="1:96" s="3" customFormat="1">
      <c r="A140" s="1848" t="s">
        <v>766</v>
      </c>
      <c r="B140" s="816">
        <v>20</v>
      </c>
      <c r="C140" s="816">
        <v>31.34</v>
      </c>
      <c r="D140" s="816" t="s">
        <v>927</v>
      </c>
      <c r="E140" s="1804" t="s">
        <v>1083</v>
      </c>
      <c r="F140" s="816" t="s">
        <v>927</v>
      </c>
      <c r="G140" s="816" t="s">
        <v>695</v>
      </c>
      <c r="H140" s="816">
        <v>1996</v>
      </c>
      <c r="I140" s="50"/>
      <c r="J140" s="816">
        <f t="shared" si="62"/>
        <v>31.34</v>
      </c>
      <c r="K140" s="816">
        <v>0</v>
      </c>
      <c r="L140" s="816"/>
      <c r="M140" s="816">
        <v>0</v>
      </c>
      <c r="N140" s="845">
        <f t="shared" si="90"/>
        <v>0</v>
      </c>
      <c r="O140" s="1831">
        <f t="shared" si="91"/>
        <v>0</v>
      </c>
      <c r="P140" s="825" t="s">
        <v>1088</v>
      </c>
      <c r="Q140" s="3" t="str">
        <f>IF(J140=J319,"stop","")</f>
        <v/>
      </c>
      <c r="R140" s="3437" t="str">
        <f t="shared" si="120"/>
        <v/>
      </c>
      <c r="S140" s="1771" t="str">
        <f t="shared" si="120"/>
        <v/>
      </c>
      <c r="T140" s="1771" t="str">
        <f t="shared" si="120"/>
        <v/>
      </c>
      <c r="U140" s="1771" t="str">
        <f t="shared" si="120"/>
        <v/>
      </c>
      <c r="V140" s="3443" t="str">
        <f t="shared" si="120"/>
        <v/>
      </c>
      <c r="W140" s="1771" t="str">
        <f t="shared" si="120"/>
        <v/>
      </c>
      <c r="X140" s="1771" t="str">
        <f t="shared" si="120"/>
        <v/>
      </c>
      <c r="Y140" s="1771" t="str">
        <f t="shared" si="120"/>
        <v/>
      </c>
      <c r="Z140" s="3437" t="str">
        <f t="shared" si="120"/>
        <v/>
      </c>
      <c r="AA140" s="1771" t="str">
        <f t="shared" si="120"/>
        <v/>
      </c>
      <c r="AB140" s="1771" t="str">
        <f t="shared" si="120"/>
        <v/>
      </c>
      <c r="AC140" s="3442">
        <f t="shared" si="120"/>
        <v>0</v>
      </c>
      <c r="AD140" s="1771" t="str">
        <f t="shared" si="120"/>
        <v/>
      </c>
      <c r="AE140" s="1771" t="str">
        <f t="shared" si="120"/>
        <v/>
      </c>
      <c r="AF140" s="1771" t="str">
        <f t="shared" si="120"/>
        <v/>
      </c>
      <c r="AG140" s="3442" t="str">
        <f t="shared" si="120"/>
        <v/>
      </c>
      <c r="AH140" s="1771" t="str">
        <f t="shared" si="121"/>
        <v/>
      </c>
      <c r="AI140" s="3442" t="str">
        <f t="shared" si="121"/>
        <v/>
      </c>
      <c r="AJ140" s="3462"/>
      <c r="AK140" s="3439" t="str">
        <f>IF(J140=J319,"stop","")</f>
        <v/>
      </c>
      <c r="AL140" s="3437" t="str">
        <f t="shared" si="122"/>
        <v/>
      </c>
      <c r="AM140" s="1771" t="str">
        <f t="shared" si="122"/>
        <v/>
      </c>
      <c r="AN140" s="1771" t="str">
        <f t="shared" si="122"/>
        <v/>
      </c>
      <c r="AO140" s="1771" t="str">
        <f t="shared" si="122"/>
        <v/>
      </c>
      <c r="AP140" s="3443" t="str">
        <f t="shared" si="122"/>
        <v/>
      </c>
      <c r="AQ140" s="1771" t="str">
        <f t="shared" si="122"/>
        <v/>
      </c>
      <c r="AR140" s="1771" t="str">
        <f t="shared" si="122"/>
        <v/>
      </c>
      <c r="AS140" s="3442" t="str">
        <f t="shared" si="122"/>
        <v/>
      </c>
      <c r="AT140" s="1771" t="str">
        <f t="shared" si="122"/>
        <v/>
      </c>
      <c r="AU140" s="1771" t="str">
        <f t="shared" si="122"/>
        <v/>
      </c>
      <c r="AV140" s="1771" t="str">
        <f t="shared" si="122"/>
        <v/>
      </c>
      <c r="AW140" s="3442">
        <f t="shared" si="122"/>
        <v>0</v>
      </c>
      <c r="AX140" s="1771" t="str">
        <f t="shared" si="123"/>
        <v/>
      </c>
      <c r="AY140" s="1771" t="str">
        <f t="shared" si="123"/>
        <v/>
      </c>
      <c r="AZ140" s="1771" t="str">
        <f t="shared" si="123"/>
        <v/>
      </c>
      <c r="BA140" s="1771" t="str">
        <f t="shared" si="123"/>
        <v/>
      </c>
      <c r="BB140" s="3437" t="str">
        <f t="shared" si="123"/>
        <v/>
      </c>
      <c r="BC140" s="3443" t="str">
        <f t="shared" si="123"/>
        <v/>
      </c>
      <c r="BD140" s="3462"/>
      <c r="BE140" s="3440" t="str">
        <f>IF(J140=J319,"stop","")</f>
        <v/>
      </c>
      <c r="BF140" s="1771" t="str">
        <f t="shared" si="124"/>
        <v/>
      </c>
      <c r="BG140" s="1771" t="str">
        <f t="shared" si="124"/>
        <v/>
      </c>
      <c r="BH140" s="1771" t="str">
        <f t="shared" si="124"/>
        <v/>
      </c>
      <c r="BI140" s="1771" t="str">
        <f t="shared" si="124"/>
        <v/>
      </c>
      <c r="BJ140" s="3443" t="str">
        <f t="shared" si="124"/>
        <v/>
      </c>
      <c r="BK140" s="3437" t="str">
        <f t="shared" si="124"/>
        <v/>
      </c>
      <c r="BL140" s="1771" t="str">
        <f t="shared" si="124"/>
        <v/>
      </c>
      <c r="BM140" s="3442" t="str">
        <f t="shared" si="124"/>
        <v/>
      </c>
      <c r="BN140" s="1771" t="str">
        <f t="shared" si="124"/>
        <v/>
      </c>
      <c r="BO140" s="1771" t="str">
        <f t="shared" si="124"/>
        <v/>
      </c>
      <c r="BP140" s="1771" t="str">
        <f t="shared" si="124"/>
        <v/>
      </c>
      <c r="BQ140" s="1771">
        <f t="shared" si="124"/>
        <v>0</v>
      </c>
      <c r="BR140" s="3437" t="str">
        <f t="shared" si="125"/>
        <v/>
      </c>
      <c r="BS140" s="1771" t="str">
        <f t="shared" si="125"/>
        <v/>
      </c>
      <c r="BT140" s="1771" t="str">
        <f t="shared" si="125"/>
        <v/>
      </c>
      <c r="BU140" s="3442" t="str">
        <f t="shared" si="125"/>
        <v/>
      </c>
      <c r="BV140" s="1771" t="str">
        <f t="shared" si="125"/>
        <v/>
      </c>
      <c r="BW140" s="3442" t="str">
        <f t="shared" si="125"/>
        <v/>
      </c>
      <c r="BX140" s="3462"/>
      <c r="BY140" s="3439" t="str">
        <f>IF(L140=L319,"stop","")</f>
        <v>stop</v>
      </c>
      <c r="BZ140" s="3437" t="str">
        <f t="shared" si="126"/>
        <v/>
      </c>
      <c r="CA140" s="1771" t="str">
        <f t="shared" si="126"/>
        <v/>
      </c>
      <c r="CB140" s="1771" t="str">
        <f t="shared" si="126"/>
        <v/>
      </c>
      <c r="CC140" s="3442" t="str">
        <f t="shared" si="126"/>
        <v/>
      </c>
      <c r="CD140" s="1771" t="str">
        <f t="shared" si="126"/>
        <v/>
      </c>
      <c r="CE140" s="3437" t="str">
        <f t="shared" si="126"/>
        <v/>
      </c>
      <c r="CF140" s="1771" t="str">
        <f t="shared" si="126"/>
        <v/>
      </c>
      <c r="CG140" s="1771" t="str">
        <f t="shared" si="126"/>
        <v/>
      </c>
      <c r="CH140" s="3437" t="str">
        <f t="shared" si="126"/>
        <v/>
      </c>
      <c r="CI140" s="1771" t="str">
        <f t="shared" si="126"/>
        <v/>
      </c>
      <c r="CJ140" s="1771" t="str">
        <f t="shared" si="126"/>
        <v/>
      </c>
      <c r="CK140" s="3442">
        <f t="shared" si="126"/>
        <v>0</v>
      </c>
      <c r="CL140" s="3437" t="str">
        <f t="shared" si="127"/>
        <v/>
      </c>
      <c r="CM140" s="1771" t="str">
        <f t="shared" si="127"/>
        <v/>
      </c>
      <c r="CN140" s="1771" t="str">
        <f t="shared" si="127"/>
        <v/>
      </c>
      <c r="CO140" s="3442" t="str">
        <f t="shared" si="127"/>
        <v/>
      </c>
      <c r="CP140" s="1771" t="str">
        <f t="shared" si="127"/>
        <v/>
      </c>
      <c r="CQ140" s="3442" t="str">
        <f t="shared" si="127"/>
        <v/>
      </c>
      <c r="CR140" s="3462"/>
    </row>
    <row r="141" spans="1:96" s="3" customFormat="1">
      <c r="A141" s="1848" t="s">
        <v>780</v>
      </c>
      <c r="B141" s="816">
        <v>21</v>
      </c>
      <c r="C141" s="816"/>
      <c r="D141" s="816" t="s">
        <v>929</v>
      </c>
      <c r="E141" s="1804" t="s">
        <v>1083</v>
      </c>
      <c r="F141" s="816" t="s">
        <v>929</v>
      </c>
      <c r="G141" s="816" t="s">
        <v>695</v>
      </c>
      <c r="H141" s="816">
        <v>1996</v>
      </c>
      <c r="I141" s="50"/>
      <c r="J141" s="818">
        <v>31</v>
      </c>
      <c r="K141" s="816">
        <v>0</v>
      </c>
      <c r="L141" s="816"/>
      <c r="M141" s="816">
        <v>0</v>
      </c>
      <c r="N141" s="845">
        <f t="shared" si="90"/>
        <v>0</v>
      </c>
      <c r="O141" s="1831">
        <f t="shared" si="91"/>
        <v>0</v>
      </c>
      <c r="P141" s="825" t="s">
        <v>1088</v>
      </c>
      <c r="Q141" s="3" t="str">
        <f>IF(J141=J319,"stop","")</f>
        <v/>
      </c>
      <c r="R141" s="3437" t="str">
        <f t="shared" si="120"/>
        <v/>
      </c>
      <c r="S141" s="1771" t="str">
        <f t="shared" si="120"/>
        <v/>
      </c>
      <c r="T141" s="1771" t="str">
        <f t="shared" si="120"/>
        <v/>
      </c>
      <c r="U141" s="1771" t="str">
        <f t="shared" si="120"/>
        <v/>
      </c>
      <c r="V141" s="3443" t="str">
        <f t="shared" si="120"/>
        <v/>
      </c>
      <c r="W141" s="1771" t="str">
        <f t="shared" si="120"/>
        <v/>
      </c>
      <c r="X141" s="1771" t="str">
        <f t="shared" si="120"/>
        <v/>
      </c>
      <c r="Y141" s="1771" t="str">
        <f t="shared" si="120"/>
        <v/>
      </c>
      <c r="Z141" s="3437" t="str">
        <f t="shared" si="120"/>
        <v/>
      </c>
      <c r="AA141" s="1771" t="str">
        <f t="shared" si="120"/>
        <v/>
      </c>
      <c r="AB141" s="1771" t="str">
        <f t="shared" si="120"/>
        <v/>
      </c>
      <c r="AC141" s="3442">
        <f t="shared" si="120"/>
        <v>0</v>
      </c>
      <c r="AD141" s="1771" t="str">
        <f t="shared" si="120"/>
        <v/>
      </c>
      <c r="AE141" s="1771" t="str">
        <f t="shared" si="120"/>
        <v/>
      </c>
      <c r="AF141" s="1771" t="str">
        <f t="shared" si="120"/>
        <v/>
      </c>
      <c r="AG141" s="3442" t="str">
        <f t="shared" si="120"/>
        <v/>
      </c>
      <c r="AH141" s="1771" t="str">
        <f t="shared" si="121"/>
        <v/>
      </c>
      <c r="AI141" s="3442" t="str">
        <f t="shared" si="121"/>
        <v/>
      </c>
      <c r="AJ141" s="3462"/>
      <c r="AK141" s="3439" t="str">
        <f>IF(J141=J319,"stop","")</f>
        <v/>
      </c>
      <c r="AL141" s="3437" t="str">
        <f t="shared" si="122"/>
        <v/>
      </c>
      <c r="AM141" s="1771" t="str">
        <f t="shared" si="122"/>
        <v/>
      </c>
      <c r="AN141" s="1771" t="str">
        <f t="shared" si="122"/>
        <v/>
      </c>
      <c r="AO141" s="1771" t="str">
        <f t="shared" si="122"/>
        <v/>
      </c>
      <c r="AP141" s="3443" t="str">
        <f t="shared" si="122"/>
        <v/>
      </c>
      <c r="AQ141" s="1771" t="str">
        <f t="shared" si="122"/>
        <v/>
      </c>
      <c r="AR141" s="1771" t="str">
        <f t="shared" si="122"/>
        <v/>
      </c>
      <c r="AS141" s="3442" t="str">
        <f t="shared" si="122"/>
        <v/>
      </c>
      <c r="AT141" s="1771" t="str">
        <f t="shared" si="122"/>
        <v/>
      </c>
      <c r="AU141" s="1771" t="str">
        <f t="shared" si="122"/>
        <v/>
      </c>
      <c r="AV141" s="1771" t="str">
        <f t="shared" si="122"/>
        <v/>
      </c>
      <c r="AW141" s="3442">
        <f t="shared" si="122"/>
        <v>0</v>
      </c>
      <c r="AX141" s="1771" t="str">
        <f t="shared" si="123"/>
        <v/>
      </c>
      <c r="AY141" s="1771" t="str">
        <f t="shared" si="123"/>
        <v/>
      </c>
      <c r="AZ141" s="1771" t="str">
        <f t="shared" si="123"/>
        <v/>
      </c>
      <c r="BA141" s="1771" t="str">
        <f t="shared" si="123"/>
        <v/>
      </c>
      <c r="BB141" s="3437" t="str">
        <f t="shared" si="123"/>
        <v/>
      </c>
      <c r="BC141" s="3443" t="str">
        <f t="shared" si="123"/>
        <v/>
      </c>
      <c r="BD141" s="3462"/>
      <c r="BE141" s="3440" t="str">
        <f>IF(J141=J319,"stop","")</f>
        <v/>
      </c>
      <c r="BF141" s="1771" t="str">
        <f t="shared" si="124"/>
        <v/>
      </c>
      <c r="BG141" s="1771" t="str">
        <f t="shared" si="124"/>
        <v/>
      </c>
      <c r="BH141" s="1771" t="str">
        <f t="shared" si="124"/>
        <v/>
      </c>
      <c r="BI141" s="1771" t="str">
        <f t="shared" si="124"/>
        <v/>
      </c>
      <c r="BJ141" s="3443" t="str">
        <f t="shared" si="124"/>
        <v/>
      </c>
      <c r="BK141" s="3437" t="str">
        <f t="shared" si="124"/>
        <v/>
      </c>
      <c r="BL141" s="1771" t="str">
        <f t="shared" si="124"/>
        <v/>
      </c>
      <c r="BM141" s="3442" t="str">
        <f t="shared" si="124"/>
        <v/>
      </c>
      <c r="BN141" s="1771" t="str">
        <f t="shared" si="124"/>
        <v/>
      </c>
      <c r="BO141" s="1771" t="str">
        <f t="shared" si="124"/>
        <v/>
      </c>
      <c r="BP141" s="1771" t="str">
        <f t="shared" si="124"/>
        <v/>
      </c>
      <c r="BQ141" s="1771">
        <f t="shared" si="124"/>
        <v>0</v>
      </c>
      <c r="BR141" s="3437" t="str">
        <f t="shared" si="125"/>
        <v/>
      </c>
      <c r="BS141" s="1771" t="str">
        <f t="shared" si="125"/>
        <v/>
      </c>
      <c r="BT141" s="1771" t="str">
        <f t="shared" si="125"/>
        <v/>
      </c>
      <c r="BU141" s="3442" t="str">
        <f t="shared" si="125"/>
        <v/>
      </c>
      <c r="BV141" s="1771" t="str">
        <f t="shared" si="125"/>
        <v/>
      </c>
      <c r="BW141" s="3442" t="str">
        <f t="shared" si="125"/>
        <v/>
      </c>
      <c r="BX141" s="3462"/>
      <c r="BY141" s="3439" t="str">
        <f>IF(L141=L319,"stop","")</f>
        <v>stop</v>
      </c>
      <c r="BZ141" s="3437" t="str">
        <f t="shared" si="126"/>
        <v/>
      </c>
      <c r="CA141" s="1771" t="str">
        <f t="shared" si="126"/>
        <v/>
      </c>
      <c r="CB141" s="1771" t="str">
        <f t="shared" si="126"/>
        <v/>
      </c>
      <c r="CC141" s="3442" t="str">
        <f t="shared" si="126"/>
        <v/>
      </c>
      <c r="CD141" s="1771" t="str">
        <f t="shared" si="126"/>
        <v/>
      </c>
      <c r="CE141" s="3437" t="str">
        <f t="shared" si="126"/>
        <v/>
      </c>
      <c r="CF141" s="1771" t="str">
        <f t="shared" si="126"/>
        <v/>
      </c>
      <c r="CG141" s="1771" t="str">
        <f t="shared" si="126"/>
        <v/>
      </c>
      <c r="CH141" s="3437" t="str">
        <f t="shared" si="126"/>
        <v/>
      </c>
      <c r="CI141" s="1771" t="str">
        <f t="shared" si="126"/>
        <v/>
      </c>
      <c r="CJ141" s="1771" t="str">
        <f t="shared" si="126"/>
        <v/>
      </c>
      <c r="CK141" s="3442">
        <f t="shared" si="126"/>
        <v>0</v>
      </c>
      <c r="CL141" s="3437" t="str">
        <f t="shared" si="127"/>
        <v/>
      </c>
      <c r="CM141" s="1771" t="str">
        <f t="shared" si="127"/>
        <v/>
      </c>
      <c r="CN141" s="1771" t="str">
        <f t="shared" si="127"/>
        <v/>
      </c>
      <c r="CO141" s="3442" t="str">
        <f t="shared" si="127"/>
        <v/>
      </c>
      <c r="CP141" s="1771" t="str">
        <f t="shared" si="127"/>
        <v/>
      </c>
      <c r="CQ141" s="3442" t="str">
        <f t="shared" si="127"/>
        <v/>
      </c>
      <c r="CR141" s="3462"/>
    </row>
    <row r="142" spans="1:96" s="3" customFormat="1">
      <c r="A142" s="1848" t="s">
        <v>767</v>
      </c>
      <c r="B142" s="816">
        <v>22</v>
      </c>
      <c r="C142" s="816">
        <v>34.01</v>
      </c>
      <c r="D142" s="816">
        <v>5.6999999999999996E-6</v>
      </c>
      <c r="E142" s="1804" t="s">
        <v>1083</v>
      </c>
      <c r="F142" s="816">
        <v>5.6999999999999996E-6</v>
      </c>
      <c r="G142" s="816" t="s">
        <v>695</v>
      </c>
      <c r="H142" s="816">
        <v>1996</v>
      </c>
      <c r="I142" s="50"/>
      <c r="J142" s="816">
        <f t="shared" si="62"/>
        <v>34.01</v>
      </c>
      <c r="K142" s="816">
        <v>5.6999999999999996E-6</v>
      </c>
      <c r="L142" s="816"/>
      <c r="M142" s="816">
        <v>5.6999999999999996E-6</v>
      </c>
      <c r="N142" s="845">
        <f t="shared" si="90"/>
        <v>5.6999999999999996E-6</v>
      </c>
      <c r="O142" s="1831">
        <f t="shared" si="91"/>
        <v>5.6999999999999996E-6</v>
      </c>
      <c r="P142" s="825" t="s">
        <v>1088</v>
      </c>
      <c r="Q142" s="3" t="str">
        <f>IF(J142=J319,"stop","")</f>
        <v/>
      </c>
      <c r="R142" s="3437" t="str">
        <f t="shared" si="120"/>
        <v/>
      </c>
      <c r="S142" s="1771" t="str">
        <f t="shared" si="120"/>
        <v/>
      </c>
      <c r="T142" s="1771" t="str">
        <f t="shared" si="120"/>
        <v/>
      </c>
      <c r="U142" s="1771" t="str">
        <f t="shared" si="120"/>
        <v/>
      </c>
      <c r="V142" s="3443" t="str">
        <f t="shared" si="120"/>
        <v/>
      </c>
      <c r="W142" s="1771" t="str">
        <f t="shared" si="120"/>
        <v/>
      </c>
      <c r="X142" s="1771" t="str">
        <f t="shared" si="120"/>
        <v/>
      </c>
      <c r="Y142" s="1771" t="str">
        <f t="shared" si="120"/>
        <v/>
      </c>
      <c r="Z142" s="3437" t="str">
        <f t="shared" si="120"/>
        <v/>
      </c>
      <c r="AA142" s="1771" t="str">
        <f t="shared" si="120"/>
        <v/>
      </c>
      <c r="AB142" s="1771" t="str">
        <f t="shared" si="120"/>
        <v/>
      </c>
      <c r="AC142" s="3442">
        <f t="shared" si="120"/>
        <v>5.6999999999999996E-6</v>
      </c>
      <c r="AD142" s="1771" t="str">
        <f t="shared" si="120"/>
        <v/>
      </c>
      <c r="AE142" s="1771" t="str">
        <f t="shared" si="120"/>
        <v/>
      </c>
      <c r="AF142" s="1771" t="str">
        <f t="shared" si="120"/>
        <v/>
      </c>
      <c r="AG142" s="3442" t="str">
        <f t="shared" si="120"/>
        <v/>
      </c>
      <c r="AH142" s="1771" t="str">
        <f t="shared" si="121"/>
        <v/>
      </c>
      <c r="AI142" s="3442" t="str">
        <f t="shared" si="121"/>
        <v/>
      </c>
      <c r="AJ142" s="3462"/>
      <c r="AK142" s="3439" t="str">
        <f>IF(J142=J319,"stop","")</f>
        <v/>
      </c>
      <c r="AL142" s="3437" t="str">
        <f t="shared" si="122"/>
        <v/>
      </c>
      <c r="AM142" s="1771" t="str">
        <f t="shared" si="122"/>
        <v/>
      </c>
      <c r="AN142" s="1771" t="str">
        <f t="shared" si="122"/>
        <v/>
      </c>
      <c r="AO142" s="1771" t="str">
        <f t="shared" si="122"/>
        <v/>
      </c>
      <c r="AP142" s="3443" t="str">
        <f t="shared" si="122"/>
        <v/>
      </c>
      <c r="AQ142" s="1771" t="str">
        <f t="shared" si="122"/>
        <v/>
      </c>
      <c r="AR142" s="1771" t="str">
        <f t="shared" si="122"/>
        <v/>
      </c>
      <c r="AS142" s="3442" t="str">
        <f t="shared" si="122"/>
        <v/>
      </c>
      <c r="AT142" s="1771" t="str">
        <f t="shared" si="122"/>
        <v/>
      </c>
      <c r="AU142" s="1771" t="str">
        <f t="shared" si="122"/>
        <v/>
      </c>
      <c r="AV142" s="1771" t="str">
        <f t="shared" si="122"/>
        <v/>
      </c>
      <c r="AW142" s="3442">
        <f t="shared" si="122"/>
        <v>5.6999999999999996E-6</v>
      </c>
      <c r="AX142" s="1771" t="str">
        <f t="shared" si="123"/>
        <v/>
      </c>
      <c r="AY142" s="1771" t="str">
        <f t="shared" si="123"/>
        <v/>
      </c>
      <c r="AZ142" s="1771" t="str">
        <f t="shared" si="123"/>
        <v/>
      </c>
      <c r="BA142" s="1771" t="str">
        <f t="shared" si="123"/>
        <v/>
      </c>
      <c r="BB142" s="3437" t="str">
        <f t="shared" si="123"/>
        <v/>
      </c>
      <c r="BC142" s="3443" t="str">
        <f t="shared" si="123"/>
        <v/>
      </c>
      <c r="BD142" s="3462"/>
      <c r="BE142" s="3440" t="str">
        <f>IF(J142=J319,"stop","")</f>
        <v/>
      </c>
      <c r="BF142" s="1771" t="str">
        <f t="shared" si="124"/>
        <v/>
      </c>
      <c r="BG142" s="1771" t="str">
        <f t="shared" si="124"/>
        <v/>
      </c>
      <c r="BH142" s="1771" t="str">
        <f t="shared" si="124"/>
        <v/>
      </c>
      <c r="BI142" s="1771" t="str">
        <f t="shared" si="124"/>
        <v/>
      </c>
      <c r="BJ142" s="3443" t="str">
        <f t="shared" si="124"/>
        <v/>
      </c>
      <c r="BK142" s="3437" t="str">
        <f t="shared" si="124"/>
        <v/>
      </c>
      <c r="BL142" s="1771" t="str">
        <f t="shared" si="124"/>
        <v/>
      </c>
      <c r="BM142" s="3442" t="str">
        <f t="shared" si="124"/>
        <v/>
      </c>
      <c r="BN142" s="1771" t="str">
        <f t="shared" si="124"/>
        <v/>
      </c>
      <c r="BO142" s="1771" t="str">
        <f t="shared" si="124"/>
        <v/>
      </c>
      <c r="BP142" s="1771" t="str">
        <f t="shared" si="124"/>
        <v/>
      </c>
      <c r="BQ142" s="1771">
        <f t="shared" si="124"/>
        <v>5.6999999999999996E-6</v>
      </c>
      <c r="BR142" s="3437" t="str">
        <f t="shared" si="125"/>
        <v/>
      </c>
      <c r="BS142" s="1771" t="str">
        <f t="shared" si="125"/>
        <v/>
      </c>
      <c r="BT142" s="1771" t="str">
        <f t="shared" si="125"/>
        <v/>
      </c>
      <c r="BU142" s="3442" t="str">
        <f t="shared" si="125"/>
        <v/>
      </c>
      <c r="BV142" s="1771" t="str">
        <f t="shared" si="125"/>
        <v/>
      </c>
      <c r="BW142" s="3442" t="str">
        <f t="shared" si="125"/>
        <v/>
      </c>
      <c r="BX142" s="3462"/>
      <c r="BY142" s="3439" t="str">
        <f>IF(L142=L319,"stop","")</f>
        <v>stop</v>
      </c>
      <c r="BZ142" s="3437" t="str">
        <f t="shared" si="126"/>
        <v/>
      </c>
      <c r="CA142" s="1771" t="str">
        <f t="shared" si="126"/>
        <v/>
      </c>
      <c r="CB142" s="1771" t="str">
        <f t="shared" si="126"/>
        <v/>
      </c>
      <c r="CC142" s="3442" t="str">
        <f t="shared" si="126"/>
        <v/>
      </c>
      <c r="CD142" s="1771" t="str">
        <f t="shared" si="126"/>
        <v/>
      </c>
      <c r="CE142" s="3437" t="str">
        <f t="shared" si="126"/>
        <v/>
      </c>
      <c r="CF142" s="1771" t="str">
        <f t="shared" si="126"/>
        <v/>
      </c>
      <c r="CG142" s="1771" t="str">
        <f t="shared" si="126"/>
        <v/>
      </c>
      <c r="CH142" s="3437" t="str">
        <f t="shared" si="126"/>
        <v/>
      </c>
      <c r="CI142" s="1771" t="str">
        <f t="shared" si="126"/>
        <v/>
      </c>
      <c r="CJ142" s="1771" t="str">
        <f t="shared" si="126"/>
        <v/>
      </c>
      <c r="CK142" s="3442">
        <f t="shared" si="126"/>
        <v>5.6999999999999996E-6</v>
      </c>
      <c r="CL142" s="3437" t="str">
        <f t="shared" si="127"/>
        <v/>
      </c>
      <c r="CM142" s="1771" t="str">
        <f t="shared" si="127"/>
        <v/>
      </c>
      <c r="CN142" s="1771" t="str">
        <f t="shared" si="127"/>
        <v/>
      </c>
      <c r="CO142" s="3442" t="str">
        <f t="shared" si="127"/>
        <v/>
      </c>
      <c r="CP142" s="1771" t="str">
        <f t="shared" si="127"/>
        <v/>
      </c>
      <c r="CQ142" s="3442" t="str">
        <f t="shared" si="127"/>
        <v/>
      </c>
      <c r="CR142" s="3462"/>
    </row>
    <row r="143" spans="1:96" s="3" customFormat="1">
      <c r="A143" s="1848" t="s">
        <v>768</v>
      </c>
      <c r="B143" s="816">
        <v>22</v>
      </c>
      <c r="C143" s="816"/>
      <c r="D143" s="816" t="s">
        <v>932</v>
      </c>
      <c r="E143" s="1804" t="s">
        <v>1083</v>
      </c>
      <c r="F143" s="816" t="s">
        <v>932</v>
      </c>
      <c r="G143" s="816" t="s">
        <v>695</v>
      </c>
      <c r="H143" s="816">
        <v>1996</v>
      </c>
      <c r="I143" s="50"/>
      <c r="J143" s="818">
        <v>32</v>
      </c>
      <c r="K143" s="816">
        <v>0</v>
      </c>
      <c r="L143" s="816"/>
      <c r="M143" s="816">
        <v>0</v>
      </c>
      <c r="N143" s="845">
        <f t="shared" si="90"/>
        <v>0</v>
      </c>
      <c r="O143" s="1831">
        <f t="shared" si="91"/>
        <v>0</v>
      </c>
      <c r="P143" s="825" t="s">
        <v>1088</v>
      </c>
      <c r="Q143" s="3" t="str">
        <f>IF(J143=J319,"stop","")</f>
        <v/>
      </c>
      <c r="R143" s="3437" t="str">
        <f t="shared" si="120"/>
        <v/>
      </c>
      <c r="S143" s="1771" t="str">
        <f t="shared" si="120"/>
        <v/>
      </c>
      <c r="T143" s="1771" t="str">
        <f t="shared" si="120"/>
        <v/>
      </c>
      <c r="U143" s="1771" t="str">
        <f t="shared" si="120"/>
        <v/>
      </c>
      <c r="V143" s="3443" t="str">
        <f t="shared" si="120"/>
        <v/>
      </c>
      <c r="W143" s="1771" t="str">
        <f t="shared" si="120"/>
        <v/>
      </c>
      <c r="X143" s="1771" t="str">
        <f t="shared" si="120"/>
        <v/>
      </c>
      <c r="Y143" s="1771" t="str">
        <f t="shared" si="120"/>
        <v/>
      </c>
      <c r="Z143" s="3437" t="str">
        <f t="shared" si="120"/>
        <v/>
      </c>
      <c r="AA143" s="1771" t="str">
        <f t="shared" si="120"/>
        <v/>
      </c>
      <c r="AB143" s="1771" t="str">
        <f t="shared" si="120"/>
        <v/>
      </c>
      <c r="AC143" s="3442">
        <f t="shared" si="120"/>
        <v>0</v>
      </c>
      <c r="AD143" s="1771" t="str">
        <f t="shared" si="120"/>
        <v/>
      </c>
      <c r="AE143" s="1771" t="str">
        <f t="shared" si="120"/>
        <v/>
      </c>
      <c r="AF143" s="1771" t="str">
        <f t="shared" si="120"/>
        <v/>
      </c>
      <c r="AG143" s="3442" t="str">
        <f t="shared" si="120"/>
        <v/>
      </c>
      <c r="AH143" s="1771" t="str">
        <f t="shared" si="121"/>
        <v/>
      </c>
      <c r="AI143" s="3442" t="str">
        <f t="shared" si="121"/>
        <v/>
      </c>
      <c r="AJ143" s="3462"/>
      <c r="AK143" s="3439" t="str">
        <f>IF(J143=J319,"stop","")</f>
        <v/>
      </c>
      <c r="AL143" s="3437" t="str">
        <f t="shared" si="122"/>
        <v/>
      </c>
      <c r="AM143" s="1771" t="str">
        <f t="shared" si="122"/>
        <v/>
      </c>
      <c r="AN143" s="1771" t="str">
        <f t="shared" si="122"/>
        <v/>
      </c>
      <c r="AO143" s="1771" t="str">
        <f t="shared" si="122"/>
        <v/>
      </c>
      <c r="AP143" s="3443" t="str">
        <f t="shared" si="122"/>
        <v/>
      </c>
      <c r="AQ143" s="1771" t="str">
        <f t="shared" si="122"/>
        <v/>
      </c>
      <c r="AR143" s="1771" t="str">
        <f t="shared" si="122"/>
        <v/>
      </c>
      <c r="AS143" s="3442" t="str">
        <f t="shared" si="122"/>
        <v/>
      </c>
      <c r="AT143" s="1771" t="str">
        <f t="shared" si="122"/>
        <v/>
      </c>
      <c r="AU143" s="1771" t="str">
        <f t="shared" si="122"/>
        <v/>
      </c>
      <c r="AV143" s="1771" t="str">
        <f t="shared" si="122"/>
        <v/>
      </c>
      <c r="AW143" s="3442">
        <f t="shared" si="122"/>
        <v>0</v>
      </c>
      <c r="AX143" s="1771" t="str">
        <f t="shared" si="123"/>
        <v/>
      </c>
      <c r="AY143" s="1771" t="str">
        <f t="shared" si="123"/>
        <v/>
      </c>
      <c r="AZ143" s="1771" t="str">
        <f t="shared" si="123"/>
        <v/>
      </c>
      <c r="BA143" s="1771" t="str">
        <f t="shared" si="123"/>
        <v/>
      </c>
      <c r="BB143" s="3437" t="str">
        <f t="shared" si="123"/>
        <v/>
      </c>
      <c r="BC143" s="3443" t="str">
        <f t="shared" si="123"/>
        <v/>
      </c>
      <c r="BD143" s="3462"/>
      <c r="BE143" s="3440" t="str">
        <f>IF(J143=J319,"stop","")</f>
        <v/>
      </c>
      <c r="BF143" s="1771" t="str">
        <f t="shared" si="124"/>
        <v/>
      </c>
      <c r="BG143" s="1771" t="str">
        <f t="shared" si="124"/>
        <v/>
      </c>
      <c r="BH143" s="1771" t="str">
        <f t="shared" si="124"/>
        <v/>
      </c>
      <c r="BI143" s="1771" t="str">
        <f t="shared" si="124"/>
        <v/>
      </c>
      <c r="BJ143" s="3443" t="str">
        <f t="shared" si="124"/>
        <v/>
      </c>
      <c r="BK143" s="3437" t="str">
        <f t="shared" si="124"/>
        <v/>
      </c>
      <c r="BL143" s="1771" t="str">
        <f t="shared" si="124"/>
        <v/>
      </c>
      <c r="BM143" s="3442" t="str">
        <f t="shared" si="124"/>
        <v/>
      </c>
      <c r="BN143" s="1771" t="str">
        <f t="shared" si="124"/>
        <v/>
      </c>
      <c r="BO143" s="1771" t="str">
        <f t="shared" si="124"/>
        <v/>
      </c>
      <c r="BP143" s="1771" t="str">
        <f t="shared" si="124"/>
        <v/>
      </c>
      <c r="BQ143" s="1771">
        <f t="shared" si="124"/>
        <v>0</v>
      </c>
      <c r="BR143" s="3437" t="str">
        <f t="shared" si="125"/>
        <v/>
      </c>
      <c r="BS143" s="1771" t="str">
        <f t="shared" si="125"/>
        <v/>
      </c>
      <c r="BT143" s="1771" t="str">
        <f t="shared" si="125"/>
        <v/>
      </c>
      <c r="BU143" s="3442" t="str">
        <f t="shared" si="125"/>
        <v/>
      </c>
      <c r="BV143" s="1771" t="str">
        <f t="shared" si="125"/>
        <v/>
      </c>
      <c r="BW143" s="3442" t="str">
        <f t="shared" si="125"/>
        <v/>
      </c>
      <c r="BX143" s="3462"/>
      <c r="BY143" s="3439" t="str">
        <f>IF(L143=L319,"stop","")</f>
        <v>stop</v>
      </c>
      <c r="BZ143" s="3437" t="str">
        <f t="shared" si="126"/>
        <v/>
      </c>
      <c r="CA143" s="1771" t="str">
        <f t="shared" si="126"/>
        <v/>
      </c>
      <c r="CB143" s="1771" t="str">
        <f t="shared" si="126"/>
        <v/>
      </c>
      <c r="CC143" s="3442" t="str">
        <f t="shared" si="126"/>
        <v/>
      </c>
      <c r="CD143" s="1771" t="str">
        <f t="shared" si="126"/>
        <v/>
      </c>
      <c r="CE143" s="3437" t="str">
        <f t="shared" si="126"/>
        <v/>
      </c>
      <c r="CF143" s="1771" t="str">
        <f t="shared" si="126"/>
        <v/>
      </c>
      <c r="CG143" s="1771" t="str">
        <f t="shared" si="126"/>
        <v/>
      </c>
      <c r="CH143" s="3437" t="str">
        <f t="shared" si="126"/>
        <v/>
      </c>
      <c r="CI143" s="1771" t="str">
        <f t="shared" si="126"/>
        <v/>
      </c>
      <c r="CJ143" s="1771" t="str">
        <f t="shared" si="126"/>
        <v/>
      </c>
      <c r="CK143" s="3442">
        <f t="shared" si="126"/>
        <v>0</v>
      </c>
      <c r="CL143" s="3437" t="str">
        <f t="shared" si="127"/>
        <v/>
      </c>
      <c r="CM143" s="1771" t="str">
        <f t="shared" si="127"/>
        <v/>
      </c>
      <c r="CN143" s="1771" t="str">
        <f t="shared" si="127"/>
        <v/>
      </c>
      <c r="CO143" s="3442" t="str">
        <f t="shared" si="127"/>
        <v/>
      </c>
      <c r="CP143" s="1771" t="str">
        <f t="shared" si="127"/>
        <v/>
      </c>
      <c r="CQ143" s="3442" t="str">
        <f t="shared" si="127"/>
        <v/>
      </c>
      <c r="CR143" s="3462"/>
    </row>
    <row r="144" spans="1:96" s="3" customFormat="1">
      <c r="A144" s="1848" t="s">
        <v>781</v>
      </c>
      <c r="B144" s="816">
        <v>24</v>
      </c>
      <c r="C144" s="816">
        <v>34.01</v>
      </c>
      <c r="D144" s="816" t="s">
        <v>933</v>
      </c>
      <c r="E144" s="1804" t="s">
        <v>1083</v>
      </c>
      <c r="F144" s="816" t="s">
        <v>933</v>
      </c>
      <c r="G144" s="816" t="s">
        <v>695</v>
      </c>
      <c r="H144" s="816">
        <v>1996</v>
      </c>
      <c r="I144" s="50"/>
      <c r="J144" s="816">
        <f t="shared" ref="J144:J214" si="128">IF(ISBLANK(C144),B144+0.5,C144)</f>
        <v>34.01</v>
      </c>
      <c r="K144" s="816">
        <v>0</v>
      </c>
      <c r="L144" s="816"/>
      <c r="M144" s="816">
        <v>0</v>
      </c>
      <c r="N144" s="845">
        <f t="shared" si="90"/>
        <v>0</v>
      </c>
      <c r="O144" s="1831">
        <f t="shared" si="91"/>
        <v>0</v>
      </c>
      <c r="P144" s="825" t="s">
        <v>1088</v>
      </c>
      <c r="Q144" s="3" t="str">
        <f>IF(J144=J319,"stop","")</f>
        <v/>
      </c>
      <c r="R144" s="3437" t="str">
        <f t="shared" si="120"/>
        <v/>
      </c>
      <c r="S144" s="1771" t="str">
        <f t="shared" si="120"/>
        <v/>
      </c>
      <c r="T144" s="1771" t="str">
        <f t="shared" si="120"/>
        <v/>
      </c>
      <c r="U144" s="1771" t="str">
        <f t="shared" si="120"/>
        <v/>
      </c>
      <c r="V144" s="3443" t="str">
        <f t="shared" si="120"/>
        <v/>
      </c>
      <c r="W144" s="1771" t="str">
        <f t="shared" si="120"/>
        <v/>
      </c>
      <c r="X144" s="1771" t="str">
        <f t="shared" si="120"/>
        <v/>
      </c>
      <c r="Y144" s="1771" t="str">
        <f t="shared" si="120"/>
        <v/>
      </c>
      <c r="Z144" s="3437" t="str">
        <f t="shared" si="120"/>
        <v/>
      </c>
      <c r="AA144" s="1771" t="str">
        <f t="shared" si="120"/>
        <v/>
      </c>
      <c r="AB144" s="1771" t="str">
        <f t="shared" si="120"/>
        <v/>
      </c>
      <c r="AC144" s="3442">
        <f t="shared" si="120"/>
        <v>0</v>
      </c>
      <c r="AD144" s="1771" t="str">
        <f t="shared" si="120"/>
        <v/>
      </c>
      <c r="AE144" s="1771" t="str">
        <f t="shared" si="120"/>
        <v/>
      </c>
      <c r="AF144" s="1771" t="str">
        <f t="shared" si="120"/>
        <v/>
      </c>
      <c r="AG144" s="3442" t="str">
        <f>IF(AND($J144&gt;AG$4,$J144&lt;=AG$5,$P144=AG$6),$K144,"")</f>
        <v/>
      </c>
      <c r="AH144" s="1771" t="str">
        <f t="shared" si="121"/>
        <v/>
      </c>
      <c r="AI144" s="3442" t="str">
        <f t="shared" si="121"/>
        <v/>
      </c>
      <c r="AJ144" s="3462"/>
      <c r="AK144" s="3439" t="str">
        <f>IF(J144=J319,"stop","")</f>
        <v/>
      </c>
      <c r="AL144" s="3437" t="str">
        <f t="shared" si="122"/>
        <v/>
      </c>
      <c r="AM144" s="1771" t="str">
        <f t="shared" si="122"/>
        <v/>
      </c>
      <c r="AN144" s="1771" t="str">
        <f t="shared" si="122"/>
        <v/>
      </c>
      <c r="AO144" s="1771" t="str">
        <f t="shared" si="122"/>
        <v/>
      </c>
      <c r="AP144" s="3443" t="str">
        <f t="shared" si="122"/>
        <v/>
      </c>
      <c r="AQ144" s="1771" t="str">
        <f t="shared" si="122"/>
        <v/>
      </c>
      <c r="AR144" s="1771" t="str">
        <f t="shared" si="122"/>
        <v/>
      </c>
      <c r="AS144" s="3442" t="str">
        <f t="shared" si="122"/>
        <v/>
      </c>
      <c r="AT144" s="1771" t="str">
        <f t="shared" si="122"/>
        <v/>
      </c>
      <c r="AU144" s="1771" t="str">
        <f t="shared" si="122"/>
        <v/>
      </c>
      <c r="AV144" s="1771" t="str">
        <f t="shared" si="122"/>
        <v/>
      </c>
      <c r="AW144" s="3442">
        <f t="shared" si="122"/>
        <v>0</v>
      </c>
      <c r="AX144" s="1771" t="str">
        <f t="shared" si="123"/>
        <v/>
      </c>
      <c r="AY144" s="1771" t="str">
        <f t="shared" si="123"/>
        <v/>
      </c>
      <c r="AZ144" s="1771" t="str">
        <f t="shared" si="123"/>
        <v/>
      </c>
      <c r="BA144" s="1771" t="str">
        <f t="shared" si="123"/>
        <v/>
      </c>
      <c r="BB144" s="3437" t="str">
        <f t="shared" si="123"/>
        <v/>
      </c>
      <c r="BC144" s="3443" t="str">
        <f t="shared" si="123"/>
        <v/>
      </c>
      <c r="BD144" s="3462"/>
      <c r="BE144" s="3440" t="str">
        <f>IF(J144=J319,"stop","")</f>
        <v/>
      </c>
      <c r="BF144" s="1771" t="str">
        <f t="shared" si="124"/>
        <v/>
      </c>
      <c r="BG144" s="1771" t="str">
        <f t="shared" si="124"/>
        <v/>
      </c>
      <c r="BH144" s="1771" t="str">
        <f t="shared" si="124"/>
        <v/>
      </c>
      <c r="BI144" s="1771" t="str">
        <f t="shared" si="124"/>
        <v/>
      </c>
      <c r="BJ144" s="3443" t="str">
        <f t="shared" si="124"/>
        <v/>
      </c>
      <c r="BK144" s="3437" t="str">
        <f t="shared" si="124"/>
        <v/>
      </c>
      <c r="BL144" s="1771" t="str">
        <f t="shared" si="124"/>
        <v/>
      </c>
      <c r="BM144" s="3442" t="str">
        <f t="shared" si="124"/>
        <v/>
      </c>
      <c r="BN144" s="1771" t="str">
        <f t="shared" si="124"/>
        <v/>
      </c>
      <c r="BO144" s="1771" t="str">
        <f t="shared" si="124"/>
        <v/>
      </c>
      <c r="BP144" s="1771" t="str">
        <f t="shared" si="124"/>
        <v/>
      </c>
      <c r="BQ144" s="1771">
        <f t="shared" si="124"/>
        <v>0</v>
      </c>
      <c r="BR144" s="3437" t="str">
        <f t="shared" si="125"/>
        <v/>
      </c>
      <c r="BS144" s="1771" t="str">
        <f t="shared" si="125"/>
        <v/>
      </c>
      <c r="BT144" s="1771" t="str">
        <f t="shared" si="125"/>
        <v/>
      </c>
      <c r="BU144" s="3442" t="str">
        <f t="shared" si="125"/>
        <v/>
      </c>
      <c r="BV144" s="1771" t="str">
        <f t="shared" si="125"/>
        <v/>
      </c>
      <c r="BW144" s="3442" t="str">
        <f t="shared" si="125"/>
        <v/>
      </c>
      <c r="BX144" s="3462"/>
      <c r="BY144" s="3439" t="str">
        <f>IF(L144=L319,"stop","")</f>
        <v>stop</v>
      </c>
      <c r="BZ144" s="3437" t="str">
        <f t="shared" si="126"/>
        <v/>
      </c>
      <c r="CA144" s="1771" t="str">
        <f t="shared" si="126"/>
        <v/>
      </c>
      <c r="CB144" s="1771" t="str">
        <f t="shared" si="126"/>
        <v/>
      </c>
      <c r="CC144" s="3442" t="str">
        <f t="shared" si="126"/>
        <v/>
      </c>
      <c r="CD144" s="1771" t="str">
        <f t="shared" si="126"/>
        <v/>
      </c>
      <c r="CE144" s="3437" t="str">
        <f t="shared" si="126"/>
        <v/>
      </c>
      <c r="CF144" s="1771" t="str">
        <f t="shared" si="126"/>
        <v/>
      </c>
      <c r="CG144" s="1771" t="str">
        <f t="shared" si="126"/>
        <v/>
      </c>
      <c r="CH144" s="3437" t="str">
        <f t="shared" si="126"/>
        <v/>
      </c>
      <c r="CI144" s="1771" t="str">
        <f t="shared" si="126"/>
        <v/>
      </c>
      <c r="CJ144" s="1771" t="str">
        <f t="shared" si="126"/>
        <v/>
      </c>
      <c r="CK144" s="3442">
        <f t="shared" si="126"/>
        <v>0</v>
      </c>
      <c r="CL144" s="3437" t="str">
        <f t="shared" si="127"/>
        <v/>
      </c>
      <c r="CM144" s="1771" t="str">
        <f t="shared" si="127"/>
        <v/>
      </c>
      <c r="CN144" s="1771" t="str">
        <f t="shared" si="127"/>
        <v/>
      </c>
      <c r="CO144" s="3442" t="str">
        <f t="shared" si="127"/>
        <v/>
      </c>
      <c r="CP144" s="1771" t="str">
        <f t="shared" si="127"/>
        <v/>
      </c>
      <c r="CQ144" s="3442" t="str">
        <f t="shared" si="127"/>
        <v/>
      </c>
      <c r="CR144" s="3462"/>
    </row>
    <row r="145" spans="1:96" s="3" customFormat="1">
      <c r="A145" s="1841"/>
      <c r="B145" s="1819" t="s">
        <v>1081</v>
      </c>
      <c r="C145" s="1820"/>
      <c r="D145" s="1821"/>
      <c r="E145" s="1822"/>
      <c r="F145" s="1823" t="s">
        <v>1084</v>
      </c>
      <c r="G145" s="1824"/>
      <c r="H145" s="1824"/>
      <c r="I145" s="1828"/>
      <c r="J145" s="1825" t="s">
        <v>1085</v>
      </c>
      <c r="K145" s="1820"/>
      <c r="L145" s="1820"/>
      <c r="M145" s="1820"/>
      <c r="N145" s="1826"/>
      <c r="O145" s="1827"/>
      <c r="P145" s="1832"/>
      <c r="R145" s="3437"/>
      <c r="S145" s="1771"/>
      <c r="T145" s="1771"/>
      <c r="U145" s="1771"/>
      <c r="V145" s="3443"/>
      <c r="W145" s="1771"/>
      <c r="X145" s="1771"/>
      <c r="Y145" s="1771"/>
      <c r="Z145" s="3437"/>
      <c r="AA145" s="1771"/>
      <c r="AB145" s="1771"/>
      <c r="AC145" s="3442"/>
      <c r="AD145" s="1771"/>
      <c r="AE145" s="1771"/>
      <c r="AF145" s="1771"/>
      <c r="AG145" s="3442"/>
      <c r="AH145" s="1771"/>
      <c r="AI145" s="3442"/>
      <c r="AJ145" s="3462"/>
      <c r="AK145" s="3439"/>
      <c r="AL145" s="3437"/>
      <c r="AM145" s="1771"/>
      <c r="AN145" s="1771"/>
      <c r="AO145" s="1771"/>
      <c r="AP145" s="3443"/>
      <c r="AQ145" s="1771"/>
      <c r="AR145" s="1771"/>
      <c r="AS145" s="3442"/>
      <c r="AT145" s="1771"/>
      <c r="AU145" s="1771"/>
      <c r="AV145" s="1771"/>
      <c r="AW145" s="3442"/>
      <c r="AX145" s="1771"/>
      <c r="AY145" s="1771"/>
      <c r="AZ145" s="1771"/>
      <c r="BA145" s="1771"/>
      <c r="BB145" s="3437"/>
      <c r="BC145" s="3443"/>
      <c r="BD145" s="3462"/>
      <c r="BE145" s="3440"/>
      <c r="BF145" s="1771"/>
      <c r="BG145" s="1771"/>
      <c r="BH145" s="1771"/>
      <c r="BI145" s="1771"/>
      <c r="BJ145" s="3443"/>
      <c r="BK145" s="3437"/>
      <c r="BL145" s="1771"/>
      <c r="BM145" s="3442"/>
      <c r="BN145" s="1771"/>
      <c r="BO145" s="1771"/>
      <c r="BP145" s="1771"/>
      <c r="BQ145" s="1771"/>
      <c r="BR145" s="3437"/>
      <c r="BS145" s="1771"/>
      <c r="BT145" s="1771"/>
      <c r="BU145" s="3442"/>
      <c r="BV145" s="1771"/>
      <c r="BW145" s="3442"/>
      <c r="BX145" s="3462"/>
      <c r="BY145" s="3439"/>
      <c r="BZ145" s="3437"/>
      <c r="CA145" s="1771"/>
      <c r="CB145" s="1771"/>
      <c r="CC145" s="3442"/>
      <c r="CD145" s="1771"/>
      <c r="CE145" s="3437"/>
      <c r="CF145" s="1771"/>
      <c r="CG145" s="1771"/>
      <c r="CH145" s="3437"/>
      <c r="CI145" s="1771"/>
      <c r="CJ145" s="1771"/>
      <c r="CK145" s="3442"/>
      <c r="CL145" s="3437"/>
      <c r="CM145" s="1771"/>
      <c r="CN145" s="1771"/>
      <c r="CO145" s="3442"/>
      <c r="CP145" s="1771"/>
      <c r="CQ145" s="3442"/>
      <c r="CR145" s="3462"/>
    </row>
    <row r="146" spans="1:96" s="839" customFormat="1">
      <c r="A146" s="1843" t="s">
        <v>217</v>
      </c>
      <c r="B146" s="837"/>
      <c r="C146" s="837"/>
      <c r="D146" s="837"/>
      <c r="E146" s="1800"/>
      <c r="F146" s="837"/>
      <c r="G146" s="837"/>
      <c r="H146" s="837"/>
      <c r="I146" s="1811"/>
      <c r="J146" s="840"/>
      <c r="K146" s="837"/>
      <c r="L146" s="837"/>
      <c r="M146" s="837"/>
      <c r="N146" s="837"/>
      <c r="O146" s="838"/>
      <c r="P146" s="841"/>
      <c r="R146" s="842">
        <f t="shared" ref="R146:AI146" si="129">SUM(R89:R145)</f>
        <v>0</v>
      </c>
      <c r="S146" s="843">
        <f t="shared" si="129"/>
        <v>2.5000000000000001E-2</v>
      </c>
      <c r="T146" s="843">
        <f t="shared" si="129"/>
        <v>0</v>
      </c>
      <c r="U146" s="843">
        <f t="shared" si="129"/>
        <v>0</v>
      </c>
      <c r="V146" s="933">
        <f t="shared" si="129"/>
        <v>2.8000000000000001E-2</v>
      </c>
      <c r="W146" s="843">
        <f>SUM(W89:W145)</f>
        <v>0</v>
      </c>
      <c r="X146" s="843">
        <f>SUM(X89:X145)</f>
        <v>0.1</v>
      </c>
      <c r="Y146" s="843">
        <f>SUM(Y89:Y145)</f>
        <v>0.7</v>
      </c>
      <c r="Z146" s="842">
        <f t="shared" si="129"/>
        <v>8.9999999999999993E-3</v>
      </c>
      <c r="AA146" s="843">
        <f t="shared" si="129"/>
        <v>0.71800000000000008</v>
      </c>
      <c r="AB146" s="843">
        <f t="shared" si="129"/>
        <v>0.80910000000000004</v>
      </c>
      <c r="AC146" s="844">
        <f t="shared" si="129"/>
        <v>1.1569999999999999E-4</v>
      </c>
      <c r="AD146" s="843">
        <f t="shared" si="129"/>
        <v>1.6400000000000001</v>
      </c>
      <c r="AE146" s="843">
        <f t="shared" si="129"/>
        <v>4.17</v>
      </c>
      <c r="AF146" s="843">
        <f t="shared" si="129"/>
        <v>1.8000000000000003</v>
      </c>
      <c r="AG146" s="844">
        <f t="shared" si="129"/>
        <v>0.1</v>
      </c>
      <c r="AH146" s="843">
        <f t="shared" si="129"/>
        <v>0</v>
      </c>
      <c r="AI146" s="844">
        <f t="shared" si="129"/>
        <v>0</v>
      </c>
      <c r="AJ146" s="3466">
        <f>SUM(R146:AI146)</f>
        <v>10.0992157</v>
      </c>
      <c r="AL146" s="842">
        <f t="shared" ref="AL146:BC146" si="130">SUM(AL89:AL145)</f>
        <v>0</v>
      </c>
      <c r="AM146" s="843">
        <f t="shared" si="130"/>
        <v>0.11</v>
      </c>
      <c r="AN146" s="843">
        <f t="shared" si="130"/>
        <v>0</v>
      </c>
      <c r="AO146" s="843">
        <f t="shared" si="130"/>
        <v>0</v>
      </c>
      <c r="AP146" s="933">
        <f t="shared" si="130"/>
        <v>0.04</v>
      </c>
      <c r="AQ146" s="843">
        <f>SUM(AQ89:AQ145)</f>
        <v>0</v>
      </c>
      <c r="AR146" s="843">
        <f>SUM(AR89:AR145)</f>
        <v>0.1</v>
      </c>
      <c r="AS146" s="844">
        <f>SUM(AS89:AS145)</f>
        <v>0.8</v>
      </c>
      <c r="AT146" s="843">
        <f t="shared" si="130"/>
        <v>0.4</v>
      </c>
      <c r="AU146" s="843">
        <f t="shared" si="130"/>
        <v>1.5619999999999998</v>
      </c>
      <c r="AV146" s="843">
        <f t="shared" si="130"/>
        <v>1.046</v>
      </c>
      <c r="AW146" s="844">
        <f t="shared" si="130"/>
        <v>1.1026999999999999E-3</v>
      </c>
      <c r="AX146" s="843">
        <f t="shared" si="130"/>
        <v>2.1</v>
      </c>
      <c r="AY146" s="843">
        <f t="shared" si="130"/>
        <v>11</v>
      </c>
      <c r="AZ146" s="843">
        <f t="shared" si="130"/>
        <v>8.3999999999999986</v>
      </c>
      <c r="BA146" s="843">
        <f t="shared" si="130"/>
        <v>0.1</v>
      </c>
      <c r="BB146" s="842">
        <f t="shared" si="130"/>
        <v>0</v>
      </c>
      <c r="BC146" s="933">
        <f t="shared" si="130"/>
        <v>0</v>
      </c>
      <c r="BD146" s="3466">
        <f>SUM(AL146:BC146)</f>
        <v>25.659102699999998</v>
      </c>
      <c r="BE146" s="3435"/>
      <c r="BF146" s="843">
        <f t="shared" ref="BF146:BW146" si="131">SUM(BF89:BF145)</f>
        <v>0</v>
      </c>
      <c r="BG146" s="843">
        <f t="shared" si="131"/>
        <v>5.2440442408507579E-2</v>
      </c>
      <c r="BH146" s="843">
        <f t="shared" si="131"/>
        <v>0</v>
      </c>
      <c r="BI146" s="843">
        <f t="shared" si="131"/>
        <v>0</v>
      </c>
      <c r="BJ146" s="933">
        <f t="shared" si="131"/>
        <v>3.3466401061363026E-2</v>
      </c>
      <c r="BK146" s="842">
        <f>SUM(BK89:BK145)</f>
        <v>0</v>
      </c>
      <c r="BL146" s="843">
        <f>SUM(BL89:BL145)</f>
        <v>0.1</v>
      </c>
      <c r="BM146" s="844">
        <f>SUM(BM89:BM145)</f>
        <v>0.74494897427831774</v>
      </c>
      <c r="BN146" s="843">
        <f t="shared" si="131"/>
        <v>0.06</v>
      </c>
      <c r="BO146" s="843">
        <f t="shared" si="131"/>
        <v>1.0473438007730353</v>
      </c>
      <c r="BP146" s="843">
        <f t="shared" si="131"/>
        <v>0.85441384963637557</v>
      </c>
      <c r="BQ146" s="843">
        <f t="shared" si="131"/>
        <v>3.4096689776104053E-4</v>
      </c>
      <c r="BR146" s="842">
        <f t="shared" si="131"/>
        <v>1.8525201692647477</v>
      </c>
      <c r="BS146" s="843">
        <f t="shared" si="131"/>
        <v>6.7533506383826056</v>
      </c>
      <c r="BT146" s="843">
        <f t="shared" si="131"/>
        <v>3.8756609038994081</v>
      </c>
      <c r="BU146" s="844">
        <f t="shared" si="131"/>
        <v>0.1</v>
      </c>
      <c r="BV146" s="843">
        <f t="shared" si="131"/>
        <v>0</v>
      </c>
      <c r="BW146" s="844">
        <f t="shared" si="131"/>
        <v>0</v>
      </c>
      <c r="BX146" s="3466">
        <f>SUM(BF146:BW146)</f>
        <v>15.474486146602123</v>
      </c>
      <c r="BZ146" s="842">
        <f t="shared" ref="BZ146:CQ146" si="132">SUM(BZ89:BZ145)</f>
        <v>0</v>
      </c>
      <c r="CA146" s="843">
        <f t="shared" si="132"/>
        <v>6.7500000000000004E-2</v>
      </c>
      <c r="CB146" s="843">
        <f t="shared" si="132"/>
        <v>0</v>
      </c>
      <c r="CC146" s="844">
        <f t="shared" si="132"/>
        <v>0</v>
      </c>
      <c r="CD146" s="843">
        <f t="shared" si="132"/>
        <v>3.4000000000000002E-2</v>
      </c>
      <c r="CE146" s="842">
        <f>SUM(CE89:CE145)</f>
        <v>0</v>
      </c>
      <c r="CF146" s="843">
        <f>SUM(CF89:CF145)</f>
        <v>0.1</v>
      </c>
      <c r="CG146" s="843">
        <f>SUM(CG89:CG145)</f>
        <v>0.75</v>
      </c>
      <c r="CH146" s="842">
        <f t="shared" si="132"/>
        <v>0.20450000000000002</v>
      </c>
      <c r="CI146" s="843">
        <f t="shared" si="132"/>
        <v>1.1400000000000001</v>
      </c>
      <c r="CJ146" s="843">
        <f t="shared" si="132"/>
        <v>0.9275500000000001</v>
      </c>
      <c r="CK146" s="844">
        <f t="shared" si="132"/>
        <v>6.0919999999999995E-4</v>
      </c>
      <c r="CL146" s="842">
        <f t="shared" si="132"/>
        <v>1.87</v>
      </c>
      <c r="CM146" s="843">
        <f t="shared" si="132"/>
        <v>7.585</v>
      </c>
      <c r="CN146" s="843">
        <f t="shared" si="132"/>
        <v>5.0999999999999996</v>
      </c>
      <c r="CO146" s="844">
        <f t="shared" si="132"/>
        <v>0.1</v>
      </c>
      <c r="CP146" s="843">
        <f t="shared" si="132"/>
        <v>0</v>
      </c>
      <c r="CQ146" s="844">
        <f t="shared" si="132"/>
        <v>0</v>
      </c>
      <c r="CR146" s="3466">
        <f>SUM(BZ146:CQ146)</f>
        <v>17.879159200000004</v>
      </c>
    </row>
    <row r="147" spans="1:96" s="1160" customFormat="1">
      <c r="A147" s="1844" t="s">
        <v>956</v>
      </c>
      <c r="B147" s="1158"/>
      <c r="C147" s="1158"/>
      <c r="D147" s="1158"/>
      <c r="E147" s="1801"/>
      <c r="F147" s="1158"/>
      <c r="G147" s="1158"/>
      <c r="H147" s="1158"/>
      <c r="I147" s="1812"/>
      <c r="J147" s="1161"/>
      <c r="K147" s="1158"/>
      <c r="L147" s="1158"/>
      <c r="M147" s="1158"/>
      <c r="N147" s="1158"/>
      <c r="O147" s="1159"/>
      <c r="P147" s="1162"/>
      <c r="R147" s="1163">
        <f t="shared" ref="R147:AG147" si="133">R146/$AJ146*100</f>
        <v>0</v>
      </c>
      <c r="S147" s="1164">
        <f t="shared" si="133"/>
        <v>0.24754397512274148</v>
      </c>
      <c r="T147" s="1164">
        <f t="shared" si="133"/>
        <v>0</v>
      </c>
      <c r="U147" s="1164">
        <f t="shared" si="133"/>
        <v>0</v>
      </c>
      <c r="V147" s="1166">
        <f t="shared" si="133"/>
        <v>0.27724925213747043</v>
      </c>
      <c r="W147" s="1164">
        <f t="shared" si="133"/>
        <v>0</v>
      </c>
      <c r="X147" s="1164">
        <f t="shared" si="133"/>
        <v>0.99017590049096593</v>
      </c>
      <c r="Y147" s="1164">
        <f t="shared" si="133"/>
        <v>6.9312313034367605</v>
      </c>
      <c r="Z147" s="1163">
        <f t="shared" si="133"/>
        <v>8.9115831044186924E-2</v>
      </c>
      <c r="AA147" s="1164">
        <f t="shared" si="133"/>
        <v>7.109462965525136</v>
      </c>
      <c r="AB147" s="1164">
        <f t="shared" si="133"/>
        <v>8.0115132108724048</v>
      </c>
      <c r="AC147" s="1162">
        <f t="shared" si="133"/>
        <v>1.1456335168680473E-3</v>
      </c>
      <c r="AD147" s="1164">
        <f t="shared" si="133"/>
        <v>16.23888476805184</v>
      </c>
      <c r="AE147" s="1164">
        <f t="shared" si="133"/>
        <v>41.290335050473274</v>
      </c>
      <c r="AF147" s="1164">
        <f t="shared" si="133"/>
        <v>17.823166208837389</v>
      </c>
      <c r="AG147" s="1162">
        <f t="shared" si="133"/>
        <v>0.99017590049096593</v>
      </c>
      <c r="AH147" s="1164">
        <f t="shared" ref="AH147" si="134">AH146/$AJ146*100</f>
        <v>0</v>
      </c>
      <c r="AI147" s="1162">
        <f>AI146/$AJ146*100</f>
        <v>0</v>
      </c>
      <c r="AJ147" s="3467">
        <f>SUM(R147:AI147)</f>
        <v>100.00000000000001</v>
      </c>
      <c r="AL147" s="1163">
        <f t="shared" ref="AL147:BA147" si="135">AL146/$BD146*100</f>
        <v>0</v>
      </c>
      <c r="AM147" s="1164">
        <f t="shared" si="135"/>
        <v>0.42869776580301078</v>
      </c>
      <c r="AN147" s="1164">
        <f t="shared" si="135"/>
        <v>0</v>
      </c>
      <c r="AO147" s="1164">
        <f t="shared" si="135"/>
        <v>0</v>
      </c>
      <c r="AP147" s="1166">
        <f t="shared" si="135"/>
        <v>0.1558900966556403</v>
      </c>
      <c r="AQ147" s="1164">
        <f t="shared" si="135"/>
        <v>0</v>
      </c>
      <c r="AR147" s="1164">
        <f t="shared" si="135"/>
        <v>0.38972524163910072</v>
      </c>
      <c r="AS147" s="1162">
        <f t="shared" si="135"/>
        <v>3.1178019331128057</v>
      </c>
      <c r="AT147" s="1164">
        <f t="shared" si="135"/>
        <v>1.5589009665564029</v>
      </c>
      <c r="AU147" s="1164">
        <f t="shared" si="135"/>
        <v>6.0875082744027518</v>
      </c>
      <c r="AV147" s="1164">
        <f t="shared" si="135"/>
        <v>4.0765260275449933</v>
      </c>
      <c r="AW147" s="1162">
        <f t="shared" si="135"/>
        <v>4.2975002395543626E-3</v>
      </c>
      <c r="AX147" s="1164">
        <f t="shared" si="135"/>
        <v>8.1842300744211141</v>
      </c>
      <c r="AY147" s="1164">
        <f t="shared" si="135"/>
        <v>42.869776580301071</v>
      </c>
      <c r="AZ147" s="1164">
        <f t="shared" si="135"/>
        <v>32.736920297684449</v>
      </c>
      <c r="BA147" s="1164">
        <f t="shared" si="135"/>
        <v>0.38972524163910072</v>
      </c>
      <c r="BB147" s="1163">
        <f t="shared" ref="BB147" si="136">BB146/$BD146*100</f>
        <v>0</v>
      </c>
      <c r="BC147" s="1166">
        <f>BC146/$BD146*100</f>
        <v>0</v>
      </c>
      <c r="BD147" s="3467">
        <f>SUM(AL147:BC147)</f>
        <v>99.999999999999986</v>
      </c>
      <c r="BE147" s="1165"/>
      <c r="BF147" s="1164">
        <f t="shared" ref="BF147:BW147" si="137">BF146/$BX146*100</f>
        <v>0</v>
      </c>
      <c r="BG147" s="1164">
        <f t="shared" si="137"/>
        <v>0.33888325539017927</v>
      </c>
      <c r="BH147" s="1164">
        <f t="shared" si="137"/>
        <v>0</v>
      </c>
      <c r="BI147" s="1164">
        <f t="shared" si="137"/>
        <v>0</v>
      </c>
      <c r="BJ147" s="1166">
        <f t="shared" si="137"/>
        <v>0.21626825436598779</v>
      </c>
      <c r="BK147" s="1163">
        <f t="shared" si="137"/>
        <v>0</v>
      </c>
      <c r="BL147" s="1164">
        <f t="shared" si="137"/>
        <v>0.64622501227259133</v>
      </c>
      <c r="BM147" s="1162">
        <f t="shared" si="137"/>
        <v>4.8140466004546019</v>
      </c>
      <c r="BN147" s="1164">
        <f t="shared" si="137"/>
        <v>0.38773500736355471</v>
      </c>
      <c r="BO147" s="1164">
        <f t="shared" si="137"/>
        <v>6.768197605081772</v>
      </c>
      <c r="BP147" s="1164">
        <f t="shared" si="137"/>
        <v>5.5214360046713873</v>
      </c>
      <c r="BQ147" s="1164">
        <f t="shared" si="137"/>
        <v>2.2034133769017576E-3</v>
      </c>
      <c r="BR147" s="1163">
        <f t="shared" si="137"/>
        <v>11.971448691183344</v>
      </c>
      <c r="BS147" s="1164">
        <f t="shared" si="137"/>
        <v>43.641840991699112</v>
      </c>
      <c r="BT147" s="1164">
        <f t="shared" si="137"/>
        <v>25.045490151867973</v>
      </c>
      <c r="BU147" s="1162">
        <f t="shared" si="137"/>
        <v>0.64622501227259133</v>
      </c>
      <c r="BV147" s="1164">
        <f t="shared" si="137"/>
        <v>0</v>
      </c>
      <c r="BW147" s="1162">
        <f t="shared" si="137"/>
        <v>0</v>
      </c>
      <c r="BX147" s="3467">
        <f>SUM(BF147:BW147)</f>
        <v>100</v>
      </c>
      <c r="BZ147" s="1163">
        <f t="shared" ref="BZ147:CQ147" si="138">BZ146/$CR146*100</f>
        <v>0</v>
      </c>
      <c r="CA147" s="1164">
        <f t="shared" si="138"/>
        <v>0.37753453193704989</v>
      </c>
      <c r="CB147" s="1164">
        <f t="shared" si="138"/>
        <v>0</v>
      </c>
      <c r="CC147" s="1162">
        <f t="shared" si="138"/>
        <v>0</v>
      </c>
      <c r="CD147" s="1164">
        <f t="shared" si="138"/>
        <v>0.19016554201273622</v>
      </c>
      <c r="CE147" s="1163">
        <f t="shared" si="138"/>
        <v>0</v>
      </c>
      <c r="CF147" s="1164">
        <f t="shared" si="138"/>
        <v>0.55931041768451828</v>
      </c>
      <c r="CG147" s="1164">
        <f t="shared" si="138"/>
        <v>4.1948281326338872</v>
      </c>
      <c r="CH147" s="1163">
        <f t="shared" si="138"/>
        <v>1.14378980416484</v>
      </c>
      <c r="CI147" s="1164">
        <f t="shared" si="138"/>
        <v>6.3761387616035083</v>
      </c>
      <c r="CJ147" s="1164">
        <f t="shared" si="138"/>
        <v>5.1878837792327497</v>
      </c>
      <c r="CK147" s="1162">
        <f t="shared" si="138"/>
        <v>3.4073190645340853E-3</v>
      </c>
      <c r="CL147" s="1163">
        <f t="shared" si="138"/>
        <v>10.459104810700492</v>
      </c>
      <c r="CM147" s="1164">
        <f t="shared" si="138"/>
        <v>42.423695181370711</v>
      </c>
      <c r="CN147" s="1164">
        <f t="shared" si="138"/>
        <v>28.524831301910432</v>
      </c>
      <c r="CO147" s="1162">
        <f t="shared" si="138"/>
        <v>0.55931041768451828</v>
      </c>
      <c r="CP147" s="1164">
        <f t="shared" si="138"/>
        <v>0</v>
      </c>
      <c r="CQ147" s="1162">
        <f t="shared" si="138"/>
        <v>0</v>
      </c>
      <c r="CR147" s="3467">
        <f>SUM(BZ147:CQ147)</f>
        <v>99.999999999999972</v>
      </c>
    </row>
    <row r="148" spans="1:96" s="3476" customFormat="1">
      <c r="A148" s="3481" t="s">
        <v>1257</v>
      </c>
      <c r="B148" s="3470"/>
      <c r="C148" s="3470"/>
      <c r="D148" s="3470"/>
      <c r="E148" s="3471"/>
      <c r="F148" s="3470"/>
      <c r="G148" s="3470"/>
      <c r="H148" s="3470"/>
      <c r="I148" s="3472"/>
      <c r="J148" s="3473"/>
      <c r="K148" s="3470"/>
      <c r="L148" s="3470"/>
      <c r="M148" s="3470"/>
      <c r="N148" s="3470"/>
      <c r="O148" s="3474"/>
      <c r="P148" s="3475"/>
      <c r="R148" s="4156">
        <f>SUM(R147:V147)+SUM(W147:Y147)</f>
        <v>8.446200431187938</v>
      </c>
      <c r="S148" s="4158"/>
      <c r="T148" s="4158"/>
      <c r="U148" s="4158"/>
      <c r="V148" s="4158"/>
      <c r="W148" s="4158"/>
      <c r="X148" s="4158"/>
      <c r="Y148" s="4157"/>
      <c r="Z148" s="4156">
        <f>SUM(Z147:AC147)+SUM(AD147:AG147)</f>
        <v>91.553799568812067</v>
      </c>
      <c r="AA148" s="4158"/>
      <c r="AB148" s="4158"/>
      <c r="AC148" s="4158"/>
      <c r="AD148" s="4158"/>
      <c r="AE148" s="4158"/>
      <c r="AF148" s="4158"/>
      <c r="AG148" s="4157"/>
      <c r="AH148" s="4156">
        <f>SUM(AH147:AI147)</f>
        <v>0</v>
      </c>
      <c r="AI148" s="4157"/>
      <c r="AJ148" s="3479">
        <f>SUM(R148:AI148)</f>
        <v>100</v>
      </c>
      <c r="AK148" s="3477"/>
      <c r="AL148" s="4156">
        <f>SUM(AL147:AP147)+SUM(AQ147:AS147)</f>
        <v>4.0921150372105579</v>
      </c>
      <c r="AM148" s="4158"/>
      <c r="AN148" s="4158"/>
      <c r="AO148" s="4158"/>
      <c r="AP148" s="4158"/>
      <c r="AQ148" s="4158"/>
      <c r="AR148" s="4158"/>
      <c r="AS148" s="4157"/>
      <c r="AT148" s="4156">
        <f>SUM(AT147:AW147)+SUM(AX147:BA147)</f>
        <v>95.907884962789439</v>
      </c>
      <c r="AU148" s="4158"/>
      <c r="AV148" s="4158"/>
      <c r="AW148" s="4158"/>
      <c r="AX148" s="4158"/>
      <c r="AY148" s="4158"/>
      <c r="AZ148" s="4158"/>
      <c r="BA148" s="4157"/>
      <c r="BB148" s="4156">
        <f>SUM(BB147:BC147)</f>
        <v>0</v>
      </c>
      <c r="BC148" s="4157"/>
      <c r="BD148" s="3479">
        <f>SUM(AL148:BC148)</f>
        <v>100</v>
      </c>
      <c r="BE148" s="3478"/>
      <c r="BF148" s="4156">
        <f>SUM(BF147:BJ147)+SUM(BK147:BM147)</f>
        <v>6.0154231224833605</v>
      </c>
      <c r="BG148" s="4158"/>
      <c r="BH148" s="4158"/>
      <c r="BI148" s="4158"/>
      <c r="BJ148" s="4158"/>
      <c r="BK148" s="4158"/>
      <c r="BL148" s="4158"/>
      <c r="BM148" s="4157"/>
      <c r="BN148" s="4156">
        <f>SUM(BN147:BQ147)+SUM(BR147:BU147)</f>
        <v>93.984576877516631</v>
      </c>
      <c r="BO148" s="4158"/>
      <c r="BP148" s="4158"/>
      <c r="BQ148" s="4158"/>
      <c r="BR148" s="4158"/>
      <c r="BS148" s="4158"/>
      <c r="BT148" s="4158"/>
      <c r="BU148" s="4157"/>
      <c r="BV148" s="4156">
        <f>SUM(BV147:BW147)</f>
        <v>0</v>
      </c>
      <c r="BW148" s="4157"/>
      <c r="BX148" s="3479">
        <f>SUM(BF148:BW148)</f>
        <v>99.999999999999986</v>
      </c>
      <c r="BY148" s="3477"/>
      <c r="BZ148" s="4156">
        <f>SUM(BZ147:CD147)+SUM(CE147:CG147)</f>
        <v>5.3218386242681914</v>
      </c>
      <c r="CA148" s="4158"/>
      <c r="CB148" s="4158"/>
      <c r="CC148" s="4158"/>
      <c r="CD148" s="4158"/>
      <c r="CE148" s="4158"/>
      <c r="CF148" s="4158"/>
      <c r="CG148" s="4157"/>
      <c r="CH148" s="4156">
        <f>SUM(CH147:CK147)+SUM(CL147:CO147)</f>
        <v>94.67816137573179</v>
      </c>
      <c r="CI148" s="4158"/>
      <c r="CJ148" s="4158"/>
      <c r="CK148" s="4158"/>
      <c r="CL148" s="4158"/>
      <c r="CM148" s="4158"/>
      <c r="CN148" s="4158"/>
      <c r="CO148" s="4157"/>
      <c r="CP148" s="4156">
        <f>SUM(CP147:CQ147)</f>
        <v>0</v>
      </c>
      <c r="CQ148" s="4157"/>
      <c r="CR148" s="3479">
        <f>SUM(BZ148:CQ148)</f>
        <v>99.999999999999986</v>
      </c>
    </row>
    <row r="149" spans="1:96" s="1871" customFormat="1" ht="26.25" thickBot="1">
      <c r="A149" s="1877" t="s">
        <v>1258</v>
      </c>
      <c r="B149" s="1865"/>
      <c r="C149" s="1865"/>
      <c r="D149" s="1865"/>
      <c r="E149" s="1866"/>
      <c r="F149" s="1865"/>
      <c r="G149" s="1865"/>
      <c r="H149" s="1865"/>
      <c r="I149" s="1867"/>
      <c r="J149" s="1868"/>
      <c r="K149" s="1865"/>
      <c r="L149" s="1865"/>
      <c r="M149" s="1865"/>
      <c r="N149" s="1865"/>
      <c r="O149" s="1869"/>
      <c r="P149" s="1870"/>
      <c r="R149" s="1872">
        <f>R147/R148</f>
        <v>0</v>
      </c>
      <c r="S149" s="1873">
        <f>S147/R148</f>
        <v>2.9308323563892149E-2</v>
      </c>
      <c r="T149" s="1873">
        <f>T147/R148</f>
        <v>0</v>
      </c>
      <c r="U149" s="1873">
        <f>U147/R148</f>
        <v>0</v>
      </c>
      <c r="V149" s="1876">
        <f>V147/R148</f>
        <v>3.2825322391559206E-2</v>
      </c>
      <c r="W149" s="1873">
        <f>W147/R148</f>
        <v>0</v>
      </c>
      <c r="X149" s="1873">
        <f>X147/R148</f>
        <v>0.1172332942555686</v>
      </c>
      <c r="Y149" s="1873">
        <f>Y147/R148</f>
        <v>0.82063305978898005</v>
      </c>
      <c r="Z149" s="1872">
        <f>Z147/Z148</f>
        <v>9.7337119228140001E-4</v>
      </c>
      <c r="AA149" s="1873">
        <f>AA147/Z148</f>
        <v>7.7653390673116149E-2</v>
      </c>
      <c r="AB149" s="1873">
        <f>AB147/Z148</f>
        <v>8.7506070186097865E-2</v>
      </c>
      <c r="AC149" s="1874">
        <f>AC147/Z148</f>
        <v>1.2513227438550885E-5</v>
      </c>
      <c r="AD149" s="1873">
        <f>AD147/Z148</f>
        <v>0.17736986170461067</v>
      </c>
      <c r="AE149" s="1873">
        <f>AE147/Z148</f>
        <v>0.45099531909038199</v>
      </c>
      <c r="AF149" s="1873">
        <f>AF147/Z148</f>
        <v>0.19467423845628004</v>
      </c>
      <c r="AG149" s="1874">
        <f>AG147/Z148</f>
        <v>1.0815235469793334E-2</v>
      </c>
      <c r="AH149" s="1873" t="e">
        <f>AH147/AH148</f>
        <v>#DIV/0!</v>
      </c>
      <c r="AI149" s="1874" t="e">
        <f>AI147/AH148</f>
        <v>#DIV/0!</v>
      </c>
      <c r="AJ149" s="3468"/>
      <c r="AK149" s="3457"/>
      <c r="AL149" s="1872">
        <f>AL147/AL148</f>
        <v>0</v>
      </c>
      <c r="AM149" s="1873">
        <f>AM147/AL148</f>
        <v>0.10476190476190475</v>
      </c>
      <c r="AN149" s="1873">
        <f>AN147/AL148</f>
        <v>0</v>
      </c>
      <c r="AO149" s="1873">
        <f>AO147/AL148</f>
        <v>0</v>
      </c>
      <c r="AP149" s="1876">
        <f>AP147/AL148</f>
        <v>3.8095238095238092E-2</v>
      </c>
      <c r="AQ149" s="1873">
        <f>AQ147/AL148</f>
        <v>0</v>
      </c>
      <c r="AR149" s="1873">
        <f>AR147/AL148</f>
        <v>9.5238095238095233E-2</v>
      </c>
      <c r="AS149" s="1874">
        <f>AS147/AL148</f>
        <v>0.76190476190476186</v>
      </c>
      <c r="AT149" s="1873">
        <f>AT147/AT148</f>
        <v>1.6254148104311014E-2</v>
      </c>
      <c r="AU149" s="1873">
        <f>AU147/AT148</f>
        <v>6.3472448347334495E-2</v>
      </c>
      <c r="AV149" s="1873">
        <f>AV147/AT148</f>
        <v>4.2504597292773304E-2</v>
      </c>
      <c r="AW149" s="1874">
        <f>AW147/AT148</f>
        <v>4.4808622786559379E-5</v>
      </c>
      <c r="AX149" s="1873">
        <f>AX147/AT148</f>
        <v>8.5334277547632814E-2</v>
      </c>
      <c r="AY149" s="1873">
        <f>AY147/AT148</f>
        <v>0.44698907286855283</v>
      </c>
      <c r="AZ149" s="1873">
        <f>AZ147/AT148</f>
        <v>0.3413371101905312</v>
      </c>
      <c r="BA149" s="1873">
        <f>BA147/AT148</f>
        <v>4.0635370260777536E-3</v>
      </c>
      <c r="BB149" s="1872" t="e">
        <f>BB147/BB148</f>
        <v>#DIV/0!</v>
      </c>
      <c r="BC149" s="1876" t="e">
        <f>BC147/BB148</f>
        <v>#DIV/0!</v>
      </c>
      <c r="BD149" s="3468"/>
      <c r="BE149" s="3456"/>
      <c r="BF149" s="1873">
        <f>BF147/BF148</f>
        <v>0</v>
      </c>
      <c r="BG149" s="1873">
        <f>BG147/BF148</f>
        <v>5.6335730419953788E-2</v>
      </c>
      <c r="BH149" s="1873">
        <f>BH147/BF148</f>
        <v>0</v>
      </c>
      <c r="BI149" s="1873">
        <f>BI147/BF148</f>
        <v>0</v>
      </c>
      <c r="BJ149" s="1876">
        <f>BJ147/BF148</f>
        <v>3.5952292958023088E-2</v>
      </c>
      <c r="BK149" s="1872">
        <f>BK147/BF148</f>
        <v>0</v>
      </c>
      <c r="BL149" s="1873">
        <f>BL147/BF148</f>
        <v>0.10742802278650164</v>
      </c>
      <c r="BM149" s="1874">
        <f>BM147/BF148</f>
        <v>0.80028395383552142</v>
      </c>
      <c r="BN149" s="1873">
        <f>BN147/BN148</f>
        <v>4.1255174013164093E-3</v>
      </c>
      <c r="BO149" s="1873">
        <f>BO147/BN148</f>
        <v>7.2013917920833753E-2</v>
      </c>
      <c r="BP149" s="1873">
        <f>BP147/BN148</f>
        <v>5.8748320076676831E-2</v>
      </c>
      <c r="BQ149" s="1873">
        <f>BQ147/BN148</f>
        <v>2.344441449976743E-5</v>
      </c>
      <c r="BR149" s="1872">
        <f>BR147/BN148</f>
        <v>0.12737673657652229</v>
      </c>
      <c r="BS149" s="1873">
        <f>BS147/BN148</f>
        <v>0.46435109293064541</v>
      </c>
      <c r="BT149" s="1873">
        <f>BT147/BN148</f>
        <v>0.26648510834397826</v>
      </c>
      <c r="BU149" s="1874">
        <f>BU147/BN148</f>
        <v>6.8758623355273506E-3</v>
      </c>
      <c r="BV149" s="1873" t="e">
        <f>BV147/BV148</f>
        <v>#DIV/0!</v>
      </c>
      <c r="BW149" s="1874" t="e">
        <f>BW147/BV148</f>
        <v>#DIV/0!</v>
      </c>
      <c r="BX149" s="3468"/>
      <c r="BY149" s="3457"/>
      <c r="BZ149" s="1872">
        <f>BZ147/BZ148</f>
        <v>0</v>
      </c>
      <c r="CA149" s="1873">
        <f>CA147/BZ148</f>
        <v>7.0940620073568064E-2</v>
      </c>
      <c r="CB149" s="1873">
        <f>CB147/BZ148</f>
        <v>0</v>
      </c>
      <c r="CC149" s="1874">
        <f>CC147/BZ148</f>
        <v>0</v>
      </c>
      <c r="CD149" s="1873">
        <f>CD147/BZ148</f>
        <v>3.5733053074093538E-2</v>
      </c>
      <c r="CE149" s="1872">
        <f>CE147/BZ148</f>
        <v>0</v>
      </c>
      <c r="CF149" s="1873">
        <f>CF147/BZ148</f>
        <v>0.10509721492380451</v>
      </c>
      <c r="CG149" s="1873">
        <f>CG147/BZ148</f>
        <v>0.78822911192853395</v>
      </c>
      <c r="CH149" s="1872">
        <f>CH147/CH148</f>
        <v>1.2080819774537994E-2</v>
      </c>
      <c r="CI149" s="1873">
        <f>CI147/CH148</f>
        <v>6.7345401188133563E-2</v>
      </c>
      <c r="CJ149" s="1873">
        <f>CJ147/CH148</f>
        <v>5.479493585267832E-2</v>
      </c>
      <c r="CK149" s="1874">
        <f>CK147/CH148</f>
        <v>3.5988437196325409E-5</v>
      </c>
      <c r="CL149" s="1872">
        <f>CL147/CH148</f>
        <v>0.1104700879138682</v>
      </c>
      <c r="CM149" s="1873">
        <f>CM147/CH148</f>
        <v>0.44808321755437985</v>
      </c>
      <c r="CN149" s="1873">
        <f>CN147/CH148</f>
        <v>0.30128205794691326</v>
      </c>
      <c r="CO149" s="1874">
        <f>CO147/CH148</f>
        <v>5.9074913322924175E-3</v>
      </c>
      <c r="CP149" s="1873" t="e">
        <f>CP147/CP148</f>
        <v>#DIV/0!</v>
      </c>
      <c r="CQ149" s="1874" t="e">
        <f>CQ147/CP148</f>
        <v>#DIV/0!</v>
      </c>
      <c r="CR149" s="3468"/>
    </row>
    <row r="150" spans="1:96" ht="13.5" thickBot="1">
      <c r="A150" s="1848"/>
      <c r="B150" s="816"/>
      <c r="C150" s="816"/>
      <c r="D150" s="816"/>
      <c r="E150" s="1802"/>
      <c r="F150" s="816"/>
      <c r="G150" s="816"/>
      <c r="H150" s="816"/>
      <c r="J150" s="816"/>
      <c r="K150" s="816"/>
      <c r="L150" s="816"/>
      <c r="M150" s="816"/>
      <c r="N150" s="816"/>
      <c r="O150" s="823"/>
      <c r="R150" s="3437"/>
      <c r="S150" s="1771"/>
      <c r="T150" s="1771"/>
      <c r="U150" s="1771"/>
      <c r="V150" s="3443"/>
      <c r="W150" s="1771"/>
      <c r="X150" s="1771"/>
      <c r="Y150" s="1771"/>
      <c r="Z150" s="3437"/>
      <c r="AA150" s="1771"/>
      <c r="AB150" s="1771"/>
      <c r="AC150" s="3442"/>
      <c r="AD150" s="1771"/>
      <c r="AE150" s="1771"/>
      <c r="AF150" s="1771"/>
      <c r="AG150" s="3442"/>
      <c r="AH150" s="1771"/>
      <c r="AI150" s="3442"/>
      <c r="AJ150" s="3462"/>
      <c r="AK150" s="3459"/>
      <c r="AL150" s="3437"/>
      <c r="AM150" s="1771"/>
      <c r="AN150" s="1771"/>
      <c r="AO150" s="1771"/>
      <c r="AP150" s="3443"/>
      <c r="AQ150" s="1771"/>
      <c r="AR150" s="1771"/>
      <c r="AS150" s="3442"/>
      <c r="AT150" s="1771"/>
      <c r="AU150" s="1771"/>
      <c r="AV150" s="1771"/>
      <c r="AW150" s="3442"/>
      <c r="AX150" s="3458"/>
      <c r="AY150" s="3458"/>
      <c r="AZ150" s="3458"/>
      <c r="BA150" s="3458"/>
      <c r="BB150" s="3437"/>
      <c r="BC150" s="3443"/>
      <c r="BD150" s="3462"/>
      <c r="BE150" s="3440"/>
      <c r="BF150" s="1771"/>
      <c r="BG150" s="1771"/>
      <c r="BH150" s="1771"/>
      <c r="BI150" s="1771"/>
      <c r="BJ150" s="3443"/>
      <c r="BK150" s="3437"/>
      <c r="BL150" s="1771"/>
      <c r="BM150" s="3442"/>
      <c r="BN150" s="1771"/>
      <c r="BO150" s="1771"/>
      <c r="BP150" s="1771"/>
      <c r="BQ150" s="1771"/>
      <c r="BR150" s="3437"/>
      <c r="BS150" s="3458"/>
      <c r="BT150" s="3458"/>
      <c r="BU150" s="3442"/>
      <c r="BV150" s="1771"/>
      <c r="BW150" s="3442"/>
      <c r="BY150" s="3459"/>
      <c r="BZ150" s="3437"/>
      <c r="CA150" s="1771"/>
      <c r="CB150" s="1771"/>
      <c r="CC150" s="3442"/>
      <c r="CD150" s="1771"/>
      <c r="CE150" s="3437"/>
      <c r="CF150" s="1771"/>
      <c r="CG150" s="1771"/>
      <c r="CH150" s="3437"/>
      <c r="CI150" s="1771"/>
      <c r="CJ150" s="1771"/>
      <c r="CK150" s="3442"/>
      <c r="CL150" s="3437"/>
      <c r="CM150" s="1771"/>
      <c r="CN150" s="1771"/>
      <c r="CO150" s="3442"/>
      <c r="CP150" s="1771"/>
      <c r="CQ150" s="3442"/>
      <c r="CR150" s="3462"/>
    </row>
    <row r="151" spans="1:96" s="848" customFormat="1">
      <c r="A151" s="1846" t="s">
        <v>782</v>
      </c>
      <c r="B151" s="846"/>
      <c r="C151" s="846"/>
      <c r="D151" s="846"/>
      <c r="E151" s="1803"/>
      <c r="F151" s="846"/>
      <c r="G151" s="846"/>
      <c r="H151" s="846"/>
      <c r="I151" s="1813"/>
      <c r="J151" s="849"/>
      <c r="K151" s="846"/>
      <c r="L151" s="846"/>
      <c r="M151" s="846"/>
      <c r="N151" s="846"/>
      <c r="O151" s="847"/>
      <c r="P151" s="850"/>
      <c r="Q151" s="811" t="str">
        <f>IF(J151=J319,"stop","")</f>
        <v/>
      </c>
      <c r="R151" s="3450" t="str">
        <f t="shared" ref="R151:AF166" si="139">IF(AND($J151&gt;R$4,$J151&lt;=R$5,$P151=R$6),$K151,"")</f>
        <v/>
      </c>
      <c r="S151" s="3451" t="str">
        <f t="shared" si="139"/>
        <v/>
      </c>
      <c r="T151" s="3451" t="str">
        <f t="shared" si="139"/>
        <v/>
      </c>
      <c r="U151" s="3451" t="str">
        <f t="shared" si="139"/>
        <v/>
      </c>
      <c r="V151" s="3455" t="str">
        <f t="shared" si="139"/>
        <v/>
      </c>
      <c r="W151" s="3451" t="str">
        <f t="shared" ref="W151:Y170" si="140">IF(AND($J151&gt;W$4,$J151&lt;=W$5,$P151=W$6),$K151,"")</f>
        <v/>
      </c>
      <c r="X151" s="3451" t="str">
        <f t="shared" si="140"/>
        <v/>
      </c>
      <c r="Y151" s="3451" t="str">
        <f t="shared" si="140"/>
        <v/>
      </c>
      <c r="Z151" s="3450" t="str">
        <f t="shared" si="139"/>
        <v/>
      </c>
      <c r="AA151" s="3451" t="str">
        <f t="shared" si="139"/>
        <v/>
      </c>
      <c r="AB151" s="3451" t="str">
        <f t="shared" si="139"/>
        <v/>
      </c>
      <c r="AC151" s="3452" t="str">
        <f t="shared" si="139"/>
        <v/>
      </c>
      <c r="AD151" s="3451" t="str">
        <f t="shared" si="139"/>
        <v/>
      </c>
      <c r="AE151" s="3451" t="str">
        <f t="shared" si="139"/>
        <v/>
      </c>
      <c r="AF151" s="3451" t="str">
        <f t="shared" si="139"/>
        <v/>
      </c>
      <c r="AG151" s="3452" t="str">
        <f t="shared" ref="AG151:AG169" si="141">IF(AND($J151&gt;AG$4,$J151&lt;=AG$5,$P151=AG$6),$K151,"")</f>
        <v/>
      </c>
      <c r="AH151" s="3451" t="str">
        <f t="shared" si="121"/>
        <v/>
      </c>
      <c r="AI151" s="3452" t="str">
        <f t="shared" si="121"/>
        <v/>
      </c>
      <c r="AJ151" s="3464"/>
      <c r="AK151" s="3453" t="str">
        <f>IF(J151=J319,"stop","")</f>
        <v/>
      </c>
      <c r="AL151" s="3450" t="str">
        <f t="shared" ref="AL151:AW160" si="142">IF(AND($J151&gt;AL$4,$J151&lt;=AL$5,$P151=AL$6),$M151,"")</f>
        <v/>
      </c>
      <c r="AM151" s="3451" t="str">
        <f t="shared" si="142"/>
        <v/>
      </c>
      <c r="AN151" s="3451" t="str">
        <f t="shared" si="142"/>
        <v/>
      </c>
      <c r="AO151" s="3451" t="str">
        <f t="shared" si="142"/>
        <v/>
      </c>
      <c r="AP151" s="3455" t="str">
        <f t="shared" si="142"/>
        <v/>
      </c>
      <c r="AQ151" s="3451" t="str">
        <f t="shared" ref="AQ151:AS170" si="143">IF(AND($J151&gt;AQ$4,$J151&lt;=AQ$5,$P151=AQ$6),$M151,"")</f>
        <v/>
      </c>
      <c r="AR151" s="3451" t="str">
        <f t="shared" si="143"/>
        <v/>
      </c>
      <c r="AS151" s="3452" t="str">
        <f t="shared" si="143"/>
        <v/>
      </c>
      <c r="AT151" s="3451" t="str">
        <f t="shared" si="142"/>
        <v/>
      </c>
      <c r="AU151" s="3451" t="str">
        <f t="shared" si="142"/>
        <v/>
      </c>
      <c r="AV151" s="3451" t="str">
        <f t="shared" si="142"/>
        <v/>
      </c>
      <c r="AW151" s="3452" t="str">
        <f t="shared" si="142"/>
        <v/>
      </c>
      <c r="AX151" s="3451" t="str">
        <f t="shared" ref="AX151:BC160" si="144">IF(AND($J151&gt;AX$4,$J151&lt;=AX$5,$P151=AX$6),$M151,"")</f>
        <v/>
      </c>
      <c r="AY151" s="3451" t="str">
        <f t="shared" si="144"/>
        <v/>
      </c>
      <c r="AZ151" s="3451" t="str">
        <f t="shared" si="144"/>
        <v/>
      </c>
      <c r="BA151" s="3451" t="str">
        <f t="shared" si="144"/>
        <v/>
      </c>
      <c r="BB151" s="3450" t="str">
        <f t="shared" si="144"/>
        <v/>
      </c>
      <c r="BC151" s="3455" t="str">
        <f t="shared" si="144"/>
        <v/>
      </c>
      <c r="BD151" s="3464"/>
      <c r="BE151" s="3454" t="str">
        <f>IF(J151=J319,"stop","")</f>
        <v/>
      </c>
      <c r="BF151" s="3451" t="str">
        <f t="shared" ref="BF151:BQ160" si="145">IF(AND($J151&gt;BF$4,$J151&lt;=BF$5,$P151=BF$6),$N151,"")</f>
        <v/>
      </c>
      <c r="BG151" s="3451" t="str">
        <f t="shared" si="145"/>
        <v/>
      </c>
      <c r="BH151" s="3451" t="str">
        <f t="shared" si="145"/>
        <v/>
      </c>
      <c r="BI151" s="3451" t="str">
        <f t="shared" si="145"/>
        <v/>
      </c>
      <c r="BJ151" s="3455" t="str">
        <f t="shared" si="145"/>
        <v/>
      </c>
      <c r="BK151" s="3450" t="str">
        <f t="shared" ref="BK151:BM170" si="146">IF(AND($J151&gt;BK$4,$J151&lt;=BK$5,$P151=BK$6),$N151,"")</f>
        <v/>
      </c>
      <c r="BL151" s="3451" t="str">
        <f t="shared" si="146"/>
        <v/>
      </c>
      <c r="BM151" s="3452" t="str">
        <f t="shared" si="146"/>
        <v/>
      </c>
      <c r="BN151" s="3451" t="str">
        <f t="shared" si="145"/>
        <v/>
      </c>
      <c r="BO151" s="3451" t="str">
        <f t="shared" si="145"/>
        <v/>
      </c>
      <c r="BP151" s="3451" t="str">
        <f t="shared" si="145"/>
        <v/>
      </c>
      <c r="BQ151" s="3451" t="str">
        <f t="shared" si="145"/>
        <v/>
      </c>
      <c r="BR151" s="3450" t="str">
        <f t="shared" ref="BR151:BW160" si="147">IF(AND($J151&gt;BR$4,$J151&lt;=BR$5,$P151=BR$6),$N151,"")</f>
        <v/>
      </c>
      <c r="BS151" s="3451" t="str">
        <f t="shared" si="147"/>
        <v/>
      </c>
      <c r="BT151" s="3451" t="str">
        <f t="shared" si="147"/>
        <v/>
      </c>
      <c r="BU151" s="3452" t="str">
        <f t="shared" si="147"/>
        <v/>
      </c>
      <c r="BV151" s="3451" t="str">
        <f t="shared" si="147"/>
        <v/>
      </c>
      <c r="BW151" s="3452" t="str">
        <f t="shared" si="147"/>
        <v/>
      </c>
      <c r="BX151" s="3464"/>
      <c r="BY151" s="3453" t="str">
        <f>IF(L151=L319,"stop","")</f>
        <v>stop</v>
      </c>
      <c r="BZ151" s="3450" t="str">
        <f t="shared" ref="BZ151:CK160" si="148">IF(AND($J151&gt;BZ$4,$J151&lt;=BZ$5,$P151=BZ$6),$O151,"")</f>
        <v/>
      </c>
      <c r="CA151" s="3451" t="str">
        <f t="shared" si="148"/>
        <v/>
      </c>
      <c r="CB151" s="3451" t="str">
        <f t="shared" si="148"/>
        <v/>
      </c>
      <c r="CC151" s="3452" t="str">
        <f t="shared" si="148"/>
        <v/>
      </c>
      <c r="CD151" s="3451" t="str">
        <f t="shared" si="148"/>
        <v/>
      </c>
      <c r="CE151" s="3450" t="str">
        <f t="shared" ref="CE151:CG170" si="149">IF(AND($J151&gt;CE$4,$J151&lt;=CE$5,$P151=CE$6),$O151,"")</f>
        <v/>
      </c>
      <c r="CF151" s="3451" t="str">
        <f t="shared" si="149"/>
        <v/>
      </c>
      <c r="CG151" s="3451" t="str">
        <f t="shared" si="149"/>
        <v/>
      </c>
      <c r="CH151" s="3450" t="str">
        <f t="shared" si="148"/>
        <v/>
      </c>
      <c r="CI151" s="3451" t="str">
        <f t="shared" si="148"/>
        <v/>
      </c>
      <c r="CJ151" s="3451" t="str">
        <f t="shared" si="148"/>
        <v/>
      </c>
      <c r="CK151" s="3452" t="str">
        <f t="shared" si="148"/>
        <v/>
      </c>
      <c r="CL151" s="3450" t="str">
        <f t="shared" ref="CL151:CQ160" si="150">IF(AND($J151&gt;CL$4,$J151&lt;=CL$5,$P151=CL$6),$O151,"")</f>
        <v/>
      </c>
      <c r="CM151" s="3451" t="str">
        <f t="shared" si="150"/>
        <v/>
      </c>
      <c r="CN151" s="3451" t="str">
        <f t="shared" si="150"/>
        <v/>
      </c>
      <c r="CO151" s="3452" t="str">
        <f t="shared" si="150"/>
        <v/>
      </c>
      <c r="CP151" s="3451" t="str">
        <f t="shared" si="150"/>
        <v/>
      </c>
      <c r="CQ151" s="3452" t="str">
        <f t="shared" si="150"/>
        <v/>
      </c>
      <c r="CR151" s="3464"/>
    </row>
    <row r="152" spans="1:96" s="3" customFormat="1">
      <c r="A152" s="1847" t="s">
        <v>691</v>
      </c>
      <c r="B152" s="815" t="s">
        <v>692</v>
      </c>
      <c r="C152" s="819" t="s">
        <v>693</v>
      </c>
      <c r="D152" s="816"/>
      <c r="E152" s="1802"/>
      <c r="F152" s="816"/>
      <c r="G152" s="816"/>
      <c r="H152" s="816"/>
      <c r="I152" s="50"/>
      <c r="J152" s="816"/>
      <c r="K152" s="816"/>
      <c r="L152" s="816"/>
      <c r="M152" s="816"/>
      <c r="N152" s="816"/>
      <c r="O152" s="823"/>
      <c r="P152" s="825" t="s">
        <v>1087</v>
      </c>
      <c r="Q152" s="3" t="str">
        <f>IF(J152=J319,"stop","")</f>
        <v/>
      </c>
      <c r="R152" s="3437" t="str">
        <f t="shared" si="139"/>
        <v/>
      </c>
      <c r="S152" s="1771" t="str">
        <f t="shared" si="139"/>
        <v/>
      </c>
      <c r="T152" s="1771" t="str">
        <f t="shared" si="139"/>
        <v/>
      </c>
      <c r="U152" s="1771" t="str">
        <f t="shared" si="139"/>
        <v/>
      </c>
      <c r="V152" s="3443" t="str">
        <f t="shared" si="139"/>
        <v/>
      </c>
      <c r="W152" s="1771" t="str">
        <f t="shared" si="140"/>
        <v/>
      </c>
      <c r="X152" s="1771" t="str">
        <f t="shared" si="140"/>
        <v/>
      </c>
      <c r="Y152" s="1771" t="str">
        <f t="shared" si="140"/>
        <v/>
      </c>
      <c r="Z152" s="3437" t="str">
        <f t="shared" si="139"/>
        <v/>
      </c>
      <c r="AA152" s="1771" t="str">
        <f t="shared" si="139"/>
        <v/>
      </c>
      <c r="AB152" s="1771" t="str">
        <f t="shared" si="139"/>
        <v/>
      </c>
      <c r="AC152" s="3442" t="str">
        <f t="shared" si="139"/>
        <v/>
      </c>
      <c r="AD152" s="1771" t="str">
        <f t="shared" si="139"/>
        <v/>
      </c>
      <c r="AE152" s="1771" t="str">
        <f t="shared" si="139"/>
        <v/>
      </c>
      <c r="AF152" s="1771" t="str">
        <f t="shared" si="139"/>
        <v/>
      </c>
      <c r="AG152" s="3442" t="str">
        <f t="shared" si="141"/>
        <v/>
      </c>
      <c r="AH152" s="1771" t="str">
        <f t="shared" si="121"/>
        <v/>
      </c>
      <c r="AI152" s="3442" t="str">
        <f t="shared" si="121"/>
        <v/>
      </c>
      <c r="AJ152" s="3462"/>
      <c r="AK152" s="3439" t="str">
        <f>IF(J152=J319,"stop","")</f>
        <v/>
      </c>
      <c r="AL152" s="3437" t="str">
        <f t="shared" si="142"/>
        <v/>
      </c>
      <c r="AM152" s="1771" t="str">
        <f t="shared" si="142"/>
        <v/>
      </c>
      <c r="AN152" s="1771" t="str">
        <f t="shared" si="142"/>
        <v/>
      </c>
      <c r="AO152" s="1771" t="str">
        <f t="shared" si="142"/>
        <v/>
      </c>
      <c r="AP152" s="3443" t="str">
        <f t="shared" si="142"/>
        <v/>
      </c>
      <c r="AQ152" s="1771" t="str">
        <f t="shared" si="143"/>
        <v/>
      </c>
      <c r="AR152" s="1771" t="str">
        <f t="shared" si="143"/>
        <v/>
      </c>
      <c r="AS152" s="3442" t="str">
        <f t="shared" si="143"/>
        <v/>
      </c>
      <c r="AT152" s="1771" t="str">
        <f t="shared" si="142"/>
        <v/>
      </c>
      <c r="AU152" s="1771" t="str">
        <f t="shared" si="142"/>
        <v/>
      </c>
      <c r="AV152" s="1771" t="str">
        <f t="shared" si="142"/>
        <v/>
      </c>
      <c r="AW152" s="3442" t="str">
        <f t="shared" si="142"/>
        <v/>
      </c>
      <c r="AX152" s="1771" t="str">
        <f t="shared" si="144"/>
        <v/>
      </c>
      <c r="AY152" s="1771" t="str">
        <f t="shared" si="144"/>
        <v/>
      </c>
      <c r="AZ152" s="1771" t="str">
        <f t="shared" si="144"/>
        <v/>
      </c>
      <c r="BA152" s="1771" t="str">
        <f t="shared" si="144"/>
        <v/>
      </c>
      <c r="BB152" s="3437" t="str">
        <f t="shared" si="144"/>
        <v/>
      </c>
      <c r="BC152" s="3443" t="str">
        <f t="shared" si="144"/>
        <v/>
      </c>
      <c r="BD152" s="3462"/>
      <c r="BE152" s="3440" t="str">
        <f>IF(J152=J319,"stop","")</f>
        <v/>
      </c>
      <c r="BF152" s="1771" t="str">
        <f t="shared" si="145"/>
        <v/>
      </c>
      <c r="BG152" s="1771" t="str">
        <f t="shared" si="145"/>
        <v/>
      </c>
      <c r="BH152" s="1771" t="str">
        <f t="shared" si="145"/>
        <v/>
      </c>
      <c r="BI152" s="1771" t="str">
        <f t="shared" si="145"/>
        <v/>
      </c>
      <c r="BJ152" s="3443" t="str">
        <f t="shared" si="145"/>
        <v/>
      </c>
      <c r="BK152" s="3437" t="str">
        <f t="shared" si="146"/>
        <v/>
      </c>
      <c r="BL152" s="1771" t="str">
        <f t="shared" si="146"/>
        <v/>
      </c>
      <c r="BM152" s="3442" t="str">
        <f t="shared" si="146"/>
        <v/>
      </c>
      <c r="BN152" s="1771" t="str">
        <f t="shared" si="145"/>
        <v/>
      </c>
      <c r="BO152" s="1771" t="str">
        <f t="shared" si="145"/>
        <v/>
      </c>
      <c r="BP152" s="1771" t="str">
        <f t="shared" si="145"/>
        <v/>
      </c>
      <c r="BQ152" s="1771" t="str">
        <f t="shared" si="145"/>
        <v/>
      </c>
      <c r="BR152" s="3437" t="str">
        <f t="shared" si="147"/>
        <v/>
      </c>
      <c r="BS152" s="1771" t="str">
        <f t="shared" si="147"/>
        <v/>
      </c>
      <c r="BT152" s="1771" t="str">
        <f t="shared" si="147"/>
        <v/>
      </c>
      <c r="BU152" s="3442" t="str">
        <f t="shared" si="147"/>
        <v/>
      </c>
      <c r="BV152" s="1771" t="str">
        <f t="shared" si="147"/>
        <v/>
      </c>
      <c r="BW152" s="3442" t="str">
        <f t="shared" si="147"/>
        <v/>
      </c>
      <c r="BX152" s="3462"/>
      <c r="BY152" s="3439" t="str">
        <f>IF(L152=L319,"stop","")</f>
        <v>stop</v>
      </c>
      <c r="BZ152" s="3437" t="str">
        <f t="shared" si="148"/>
        <v/>
      </c>
      <c r="CA152" s="1771" t="str">
        <f t="shared" si="148"/>
        <v/>
      </c>
      <c r="CB152" s="1771" t="str">
        <f t="shared" si="148"/>
        <v/>
      </c>
      <c r="CC152" s="3442" t="str">
        <f t="shared" si="148"/>
        <v/>
      </c>
      <c r="CD152" s="1771" t="str">
        <f t="shared" si="148"/>
        <v/>
      </c>
      <c r="CE152" s="3437" t="str">
        <f t="shared" si="149"/>
        <v/>
      </c>
      <c r="CF152" s="1771" t="str">
        <f t="shared" si="149"/>
        <v/>
      </c>
      <c r="CG152" s="1771" t="str">
        <f t="shared" si="149"/>
        <v/>
      </c>
      <c r="CH152" s="3437" t="str">
        <f t="shared" si="148"/>
        <v/>
      </c>
      <c r="CI152" s="1771" t="str">
        <f t="shared" si="148"/>
        <v/>
      </c>
      <c r="CJ152" s="1771" t="str">
        <f t="shared" si="148"/>
        <v/>
      </c>
      <c r="CK152" s="3442" t="str">
        <f t="shared" si="148"/>
        <v/>
      </c>
      <c r="CL152" s="3437" t="str">
        <f t="shared" si="150"/>
        <v/>
      </c>
      <c r="CM152" s="1771" t="str">
        <f t="shared" si="150"/>
        <v/>
      </c>
      <c r="CN152" s="1771" t="str">
        <f t="shared" si="150"/>
        <v/>
      </c>
      <c r="CO152" s="3442" t="str">
        <f t="shared" si="150"/>
        <v/>
      </c>
      <c r="CP152" s="1771" t="str">
        <f t="shared" si="150"/>
        <v/>
      </c>
      <c r="CQ152" s="3442" t="str">
        <f t="shared" si="150"/>
        <v/>
      </c>
      <c r="CR152" s="3462"/>
    </row>
    <row r="153" spans="1:96" s="3" customFormat="1">
      <c r="A153" s="1848" t="s">
        <v>783</v>
      </c>
      <c r="B153" s="816">
        <v>3</v>
      </c>
      <c r="C153" s="816">
        <v>3</v>
      </c>
      <c r="D153" s="816">
        <v>0.01</v>
      </c>
      <c r="E153" s="1802" t="s">
        <v>35</v>
      </c>
      <c r="F153" s="816">
        <v>0.14000000000000001</v>
      </c>
      <c r="G153" s="816" t="s">
        <v>784</v>
      </c>
      <c r="H153" s="816">
        <v>1988</v>
      </c>
      <c r="I153" s="50"/>
      <c r="J153" s="816">
        <f t="shared" si="128"/>
        <v>3</v>
      </c>
      <c r="K153" s="816">
        <v>0.01</v>
      </c>
      <c r="L153" s="816" t="s">
        <v>35</v>
      </c>
      <c r="M153" s="816">
        <v>0.14000000000000001</v>
      </c>
      <c r="N153" s="845">
        <f t="shared" ref="N153:N216" si="151">(K153*M153)^0.5</f>
        <v>3.7416573867739417E-2</v>
      </c>
      <c r="O153" s="1831">
        <f t="shared" ref="O153:O216" si="152">(K153+M153)*0.5</f>
        <v>7.5000000000000011E-2</v>
      </c>
      <c r="P153" s="825" t="s">
        <v>1087</v>
      </c>
      <c r="Q153" s="3" t="str">
        <f>IF(J153=J319,"stop","")</f>
        <v>stop</v>
      </c>
      <c r="R153" s="3437" t="str">
        <f t="shared" si="139"/>
        <v/>
      </c>
      <c r="S153" s="1771" t="str">
        <f t="shared" si="139"/>
        <v/>
      </c>
      <c r="T153" s="1771" t="str">
        <f t="shared" si="139"/>
        <v/>
      </c>
      <c r="U153" s="1771" t="str">
        <f t="shared" si="139"/>
        <v/>
      </c>
      <c r="V153" s="3443" t="str">
        <f t="shared" si="139"/>
        <v/>
      </c>
      <c r="W153" s="1771" t="str">
        <f t="shared" si="140"/>
        <v/>
      </c>
      <c r="X153" s="1771" t="str">
        <f t="shared" si="140"/>
        <v/>
      </c>
      <c r="Y153" s="1771" t="str">
        <f t="shared" si="140"/>
        <v/>
      </c>
      <c r="Z153" s="3437" t="str">
        <f t="shared" si="139"/>
        <v/>
      </c>
      <c r="AA153" s="1771" t="str">
        <f t="shared" si="139"/>
        <v/>
      </c>
      <c r="AB153" s="1771" t="str">
        <f t="shared" si="139"/>
        <v/>
      </c>
      <c r="AC153" s="3442" t="str">
        <f t="shared" si="139"/>
        <v/>
      </c>
      <c r="AD153" s="1771" t="str">
        <f t="shared" si="139"/>
        <v/>
      </c>
      <c r="AE153" s="1771" t="str">
        <f t="shared" si="139"/>
        <v/>
      </c>
      <c r="AF153" s="1771" t="str">
        <f t="shared" si="139"/>
        <v/>
      </c>
      <c r="AG153" s="3442" t="str">
        <f t="shared" si="141"/>
        <v/>
      </c>
      <c r="AH153" s="1771" t="str">
        <f t="shared" si="121"/>
        <v/>
      </c>
      <c r="AI153" s="3442">
        <f t="shared" si="121"/>
        <v>0.01</v>
      </c>
      <c r="AJ153" s="3462"/>
      <c r="AK153" s="3439" t="str">
        <f>IF(J153=J319,"stop","")</f>
        <v>stop</v>
      </c>
      <c r="AL153" s="3437" t="str">
        <f t="shared" si="142"/>
        <v/>
      </c>
      <c r="AM153" s="1771" t="str">
        <f t="shared" si="142"/>
        <v/>
      </c>
      <c r="AN153" s="1771" t="str">
        <f t="shared" si="142"/>
        <v/>
      </c>
      <c r="AO153" s="1771" t="str">
        <f t="shared" si="142"/>
        <v/>
      </c>
      <c r="AP153" s="3443" t="str">
        <f t="shared" si="142"/>
        <v/>
      </c>
      <c r="AQ153" s="1771" t="str">
        <f t="shared" si="143"/>
        <v/>
      </c>
      <c r="AR153" s="1771" t="str">
        <f t="shared" si="143"/>
        <v/>
      </c>
      <c r="AS153" s="3442" t="str">
        <f t="shared" si="143"/>
        <v/>
      </c>
      <c r="AT153" s="1771" t="str">
        <f t="shared" si="142"/>
        <v/>
      </c>
      <c r="AU153" s="1771" t="str">
        <f t="shared" si="142"/>
        <v/>
      </c>
      <c r="AV153" s="1771" t="str">
        <f t="shared" si="142"/>
        <v/>
      </c>
      <c r="AW153" s="3442" t="str">
        <f t="shared" si="142"/>
        <v/>
      </c>
      <c r="AX153" s="1771" t="str">
        <f t="shared" si="144"/>
        <v/>
      </c>
      <c r="AY153" s="1771" t="str">
        <f t="shared" si="144"/>
        <v/>
      </c>
      <c r="AZ153" s="1771" t="str">
        <f t="shared" si="144"/>
        <v/>
      </c>
      <c r="BA153" s="1771" t="str">
        <f t="shared" si="144"/>
        <v/>
      </c>
      <c r="BB153" s="3437" t="str">
        <f t="shared" si="144"/>
        <v/>
      </c>
      <c r="BC153" s="3443">
        <f t="shared" si="144"/>
        <v>0.14000000000000001</v>
      </c>
      <c r="BD153" s="3462"/>
      <c r="BE153" s="3440" t="str">
        <f>IF(J153=J319,"stop","")</f>
        <v>stop</v>
      </c>
      <c r="BF153" s="1771" t="str">
        <f t="shared" si="145"/>
        <v/>
      </c>
      <c r="BG153" s="1771" t="str">
        <f t="shared" si="145"/>
        <v/>
      </c>
      <c r="BH153" s="1771" t="str">
        <f t="shared" si="145"/>
        <v/>
      </c>
      <c r="BI153" s="1771" t="str">
        <f t="shared" si="145"/>
        <v/>
      </c>
      <c r="BJ153" s="3443" t="str">
        <f t="shared" si="145"/>
        <v/>
      </c>
      <c r="BK153" s="3437" t="str">
        <f t="shared" si="146"/>
        <v/>
      </c>
      <c r="BL153" s="1771" t="str">
        <f t="shared" si="146"/>
        <v/>
      </c>
      <c r="BM153" s="3442" t="str">
        <f t="shared" si="146"/>
        <v/>
      </c>
      <c r="BN153" s="1771" t="str">
        <f t="shared" si="145"/>
        <v/>
      </c>
      <c r="BO153" s="1771" t="str">
        <f t="shared" si="145"/>
        <v/>
      </c>
      <c r="BP153" s="1771" t="str">
        <f t="shared" si="145"/>
        <v/>
      </c>
      <c r="BQ153" s="1771" t="str">
        <f t="shared" si="145"/>
        <v/>
      </c>
      <c r="BR153" s="3437" t="str">
        <f t="shared" si="147"/>
        <v/>
      </c>
      <c r="BS153" s="1771" t="str">
        <f t="shared" si="147"/>
        <v/>
      </c>
      <c r="BT153" s="1771" t="str">
        <f t="shared" si="147"/>
        <v/>
      </c>
      <c r="BU153" s="3442" t="str">
        <f t="shared" si="147"/>
        <v/>
      </c>
      <c r="BV153" s="1771" t="str">
        <f t="shared" si="147"/>
        <v/>
      </c>
      <c r="BW153" s="3442">
        <f t="shared" si="147"/>
        <v>3.7416573867739417E-2</v>
      </c>
      <c r="BX153" s="3462"/>
      <c r="BY153" s="3439" t="str">
        <f>IF(L153=L319,"stop","")</f>
        <v/>
      </c>
      <c r="BZ153" s="3437" t="str">
        <f t="shared" si="148"/>
        <v/>
      </c>
      <c r="CA153" s="1771" t="str">
        <f t="shared" si="148"/>
        <v/>
      </c>
      <c r="CB153" s="1771" t="str">
        <f t="shared" si="148"/>
        <v/>
      </c>
      <c r="CC153" s="3442" t="str">
        <f t="shared" si="148"/>
        <v/>
      </c>
      <c r="CD153" s="1771" t="str">
        <f t="shared" si="148"/>
        <v/>
      </c>
      <c r="CE153" s="3437" t="str">
        <f t="shared" si="149"/>
        <v/>
      </c>
      <c r="CF153" s="1771" t="str">
        <f t="shared" si="149"/>
        <v/>
      </c>
      <c r="CG153" s="1771" t="str">
        <f t="shared" si="149"/>
        <v/>
      </c>
      <c r="CH153" s="3437" t="str">
        <f t="shared" si="148"/>
        <v/>
      </c>
      <c r="CI153" s="1771" t="str">
        <f t="shared" si="148"/>
        <v/>
      </c>
      <c r="CJ153" s="1771" t="str">
        <f t="shared" si="148"/>
        <v/>
      </c>
      <c r="CK153" s="3442" t="str">
        <f t="shared" si="148"/>
        <v/>
      </c>
      <c r="CL153" s="3437" t="str">
        <f t="shared" si="150"/>
        <v/>
      </c>
      <c r="CM153" s="1771" t="str">
        <f t="shared" si="150"/>
        <v/>
      </c>
      <c r="CN153" s="1771" t="str">
        <f t="shared" si="150"/>
        <v/>
      </c>
      <c r="CO153" s="3442" t="str">
        <f t="shared" si="150"/>
        <v/>
      </c>
      <c r="CP153" s="1771" t="str">
        <f t="shared" si="150"/>
        <v/>
      </c>
      <c r="CQ153" s="3442">
        <f t="shared" si="150"/>
        <v>7.5000000000000011E-2</v>
      </c>
      <c r="CR153" s="3462"/>
    </row>
    <row r="154" spans="1:96" s="3" customFormat="1">
      <c r="A154" s="1848" t="s">
        <v>785</v>
      </c>
      <c r="B154" s="816">
        <v>4</v>
      </c>
      <c r="C154" s="816">
        <v>4</v>
      </c>
      <c r="D154" s="816">
        <v>3.93</v>
      </c>
      <c r="E154" s="1802" t="s">
        <v>35</v>
      </c>
      <c r="F154" s="816">
        <v>4.7</v>
      </c>
      <c r="G154" s="816" t="s">
        <v>784</v>
      </c>
      <c r="H154" s="816">
        <v>1988</v>
      </c>
      <c r="I154" s="50"/>
      <c r="J154" s="816">
        <f t="shared" si="128"/>
        <v>4</v>
      </c>
      <c r="K154" s="816">
        <v>3.93</v>
      </c>
      <c r="L154" s="816" t="s">
        <v>35</v>
      </c>
      <c r="M154" s="816">
        <v>4.7</v>
      </c>
      <c r="N154" s="845">
        <f t="shared" si="151"/>
        <v>4.2977901298225349</v>
      </c>
      <c r="O154" s="1831">
        <f t="shared" si="152"/>
        <v>4.3150000000000004</v>
      </c>
      <c r="P154" s="825" t="s">
        <v>1087</v>
      </c>
      <c r="Q154" s="3" t="str">
        <f>IF(J154=J319,"stop","")</f>
        <v/>
      </c>
      <c r="R154" s="3437" t="str">
        <f t="shared" si="139"/>
        <v/>
      </c>
      <c r="S154" s="1771" t="str">
        <f t="shared" si="139"/>
        <v/>
      </c>
      <c r="T154" s="1771" t="str">
        <f t="shared" si="139"/>
        <v/>
      </c>
      <c r="U154" s="1771" t="str">
        <f t="shared" si="139"/>
        <v/>
      </c>
      <c r="V154" s="3443" t="str">
        <f t="shared" si="139"/>
        <v/>
      </c>
      <c r="W154" s="1771" t="str">
        <f t="shared" si="140"/>
        <v/>
      </c>
      <c r="X154" s="1771" t="str">
        <f t="shared" si="140"/>
        <v/>
      </c>
      <c r="Y154" s="1771" t="str">
        <f t="shared" si="140"/>
        <v/>
      </c>
      <c r="Z154" s="3437" t="str">
        <f t="shared" si="139"/>
        <v/>
      </c>
      <c r="AA154" s="1771" t="str">
        <f t="shared" si="139"/>
        <v/>
      </c>
      <c r="AB154" s="1771" t="str">
        <f t="shared" si="139"/>
        <v/>
      </c>
      <c r="AC154" s="3442" t="str">
        <f t="shared" si="139"/>
        <v/>
      </c>
      <c r="AD154" s="1771" t="str">
        <f t="shared" si="139"/>
        <v/>
      </c>
      <c r="AE154" s="1771" t="str">
        <f t="shared" si="139"/>
        <v/>
      </c>
      <c r="AF154" s="1771" t="str">
        <f t="shared" si="139"/>
        <v/>
      </c>
      <c r="AG154" s="3442" t="str">
        <f t="shared" si="141"/>
        <v/>
      </c>
      <c r="AH154" s="1771" t="str">
        <f t="shared" si="121"/>
        <v/>
      </c>
      <c r="AI154" s="3442">
        <f t="shared" si="121"/>
        <v>3.93</v>
      </c>
      <c r="AJ154" s="3462"/>
      <c r="AK154" s="3439" t="str">
        <f>IF(J154=J319,"stop","")</f>
        <v/>
      </c>
      <c r="AL154" s="3437" t="str">
        <f t="shared" si="142"/>
        <v/>
      </c>
      <c r="AM154" s="1771" t="str">
        <f t="shared" si="142"/>
        <v/>
      </c>
      <c r="AN154" s="1771" t="str">
        <f t="shared" si="142"/>
        <v/>
      </c>
      <c r="AO154" s="1771" t="str">
        <f t="shared" si="142"/>
        <v/>
      </c>
      <c r="AP154" s="3443" t="str">
        <f t="shared" si="142"/>
        <v/>
      </c>
      <c r="AQ154" s="1771" t="str">
        <f t="shared" si="143"/>
        <v/>
      </c>
      <c r="AR154" s="1771" t="str">
        <f t="shared" si="143"/>
        <v/>
      </c>
      <c r="AS154" s="3442" t="str">
        <f t="shared" si="143"/>
        <v/>
      </c>
      <c r="AT154" s="1771" t="str">
        <f t="shared" si="142"/>
        <v/>
      </c>
      <c r="AU154" s="1771" t="str">
        <f t="shared" si="142"/>
        <v/>
      </c>
      <c r="AV154" s="1771" t="str">
        <f t="shared" si="142"/>
        <v/>
      </c>
      <c r="AW154" s="3442" t="str">
        <f t="shared" si="142"/>
        <v/>
      </c>
      <c r="AX154" s="1771" t="str">
        <f t="shared" si="144"/>
        <v/>
      </c>
      <c r="AY154" s="1771" t="str">
        <f t="shared" si="144"/>
        <v/>
      </c>
      <c r="AZ154" s="1771" t="str">
        <f t="shared" si="144"/>
        <v/>
      </c>
      <c r="BA154" s="1771" t="str">
        <f t="shared" si="144"/>
        <v/>
      </c>
      <c r="BB154" s="3437" t="str">
        <f t="shared" si="144"/>
        <v/>
      </c>
      <c r="BC154" s="3443">
        <f t="shared" si="144"/>
        <v>4.7</v>
      </c>
      <c r="BD154" s="3462"/>
      <c r="BE154" s="3440" t="str">
        <f>IF(J154=J319,"stop","")</f>
        <v/>
      </c>
      <c r="BF154" s="1771" t="str">
        <f t="shared" si="145"/>
        <v/>
      </c>
      <c r="BG154" s="1771" t="str">
        <f t="shared" si="145"/>
        <v/>
      </c>
      <c r="BH154" s="1771" t="str">
        <f t="shared" si="145"/>
        <v/>
      </c>
      <c r="BI154" s="1771" t="str">
        <f t="shared" si="145"/>
        <v/>
      </c>
      <c r="BJ154" s="3443" t="str">
        <f t="shared" si="145"/>
        <v/>
      </c>
      <c r="BK154" s="3437" t="str">
        <f t="shared" si="146"/>
        <v/>
      </c>
      <c r="BL154" s="1771" t="str">
        <f t="shared" si="146"/>
        <v/>
      </c>
      <c r="BM154" s="3442" t="str">
        <f t="shared" si="146"/>
        <v/>
      </c>
      <c r="BN154" s="1771" t="str">
        <f t="shared" si="145"/>
        <v/>
      </c>
      <c r="BO154" s="1771" t="str">
        <f t="shared" si="145"/>
        <v/>
      </c>
      <c r="BP154" s="1771" t="str">
        <f t="shared" si="145"/>
        <v/>
      </c>
      <c r="BQ154" s="1771" t="str">
        <f t="shared" si="145"/>
        <v/>
      </c>
      <c r="BR154" s="3437" t="str">
        <f t="shared" si="147"/>
        <v/>
      </c>
      <c r="BS154" s="1771" t="str">
        <f t="shared" si="147"/>
        <v/>
      </c>
      <c r="BT154" s="1771" t="str">
        <f t="shared" si="147"/>
        <v/>
      </c>
      <c r="BU154" s="3442" t="str">
        <f t="shared" si="147"/>
        <v/>
      </c>
      <c r="BV154" s="1771" t="str">
        <f t="shared" si="147"/>
        <v/>
      </c>
      <c r="BW154" s="3442">
        <f t="shared" si="147"/>
        <v>4.2977901298225349</v>
      </c>
      <c r="BX154" s="3462"/>
      <c r="BY154" s="3439" t="str">
        <f>IF(L154=L319,"stop","")</f>
        <v/>
      </c>
      <c r="BZ154" s="3437" t="str">
        <f t="shared" si="148"/>
        <v/>
      </c>
      <c r="CA154" s="1771" t="str">
        <f t="shared" si="148"/>
        <v/>
      </c>
      <c r="CB154" s="1771" t="str">
        <f t="shared" si="148"/>
        <v/>
      </c>
      <c r="CC154" s="3442" t="str">
        <f t="shared" si="148"/>
        <v/>
      </c>
      <c r="CD154" s="1771" t="str">
        <f t="shared" si="148"/>
        <v/>
      </c>
      <c r="CE154" s="3437" t="str">
        <f t="shared" si="149"/>
        <v/>
      </c>
      <c r="CF154" s="1771" t="str">
        <f t="shared" si="149"/>
        <v/>
      </c>
      <c r="CG154" s="1771" t="str">
        <f t="shared" si="149"/>
        <v/>
      </c>
      <c r="CH154" s="3437" t="str">
        <f t="shared" si="148"/>
        <v/>
      </c>
      <c r="CI154" s="1771" t="str">
        <f t="shared" si="148"/>
        <v/>
      </c>
      <c r="CJ154" s="1771" t="str">
        <f t="shared" si="148"/>
        <v/>
      </c>
      <c r="CK154" s="3442" t="str">
        <f t="shared" si="148"/>
        <v/>
      </c>
      <c r="CL154" s="3437" t="str">
        <f t="shared" si="150"/>
        <v/>
      </c>
      <c r="CM154" s="1771" t="str">
        <f t="shared" si="150"/>
        <v/>
      </c>
      <c r="CN154" s="1771" t="str">
        <f t="shared" si="150"/>
        <v/>
      </c>
      <c r="CO154" s="3442" t="str">
        <f t="shared" si="150"/>
        <v/>
      </c>
      <c r="CP154" s="1771" t="str">
        <f t="shared" si="150"/>
        <v/>
      </c>
      <c r="CQ154" s="3442">
        <f t="shared" si="150"/>
        <v>4.3150000000000004</v>
      </c>
      <c r="CR154" s="3462"/>
    </row>
    <row r="155" spans="1:96" s="3" customFormat="1">
      <c r="A155" s="1848" t="s">
        <v>786</v>
      </c>
      <c r="B155" s="816">
        <v>5</v>
      </c>
      <c r="C155" s="816">
        <v>5</v>
      </c>
      <c r="D155" s="816">
        <v>5.75</v>
      </c>
      <c r="E155" s="1802" t="s">
        <v>35</v>
      </c>
      <c r="F155" s="816">
        <v>10.92</v>
      </c>
      <c r="G155" s="816" t="s">
        <v>784</v>
      </c>
      <c r="H155" s="816">
        <v>1988</v>
      </c>
      <c r="I155" s="50"/>
      <c r="J155" s="816">
        <f t="shared" si="128"/>
        <v>5</v>
      </c>
      <c r="K155" s="816">
        <v>5.75</v>
      </c>
      <c r="L155" s="816" t="s">
        <v>35</v>
      </c>
      <c r="M155" s="816">
        <v>10.92</v>
      </c>
      <c r="N155" s="845">
        <f t="shared" si="151"/>
        <v>7.9240141342630128</v>
      </c>
      <c r="O155" s="1831">
        <f t="shared" si="152"/>
        <v>8.3350000000000009</v>
      </c>
      <c r="P155" s="825" t="s">
        <v>1087</v>
      </c>
      <c r="Q155" s="3" t="str">
        <f>IF(J155=J319,"stop","")</f>
        <v/>
      </c>
      <c r="R155" s="3437" t="str">
        <f t="shared" si="139"/>
        <v/>
      </c>
      <c r="S155" s="1771" t="str">
        <f t="shared" si="139"/>
        <v/>
      </c>
      <c r="T155" s="1771" t="str">
        <f t="shared" si="139"/>
        <v/>
      </c>
      <c r="U155" s="1771" t="str">
        <f t="shared" si="139"/>
        <v/>
      </c>
      <c r="V155" s="3443" t="str">
        <f t="shared" si="139"/>
        <v/>
      </c>
      <c r="W155" s="1771">
        <f t="shared" si="140"/>
        <v>5.75</v>
      </c>
      <c r="X155" s="1771" t="str">
        <f t="shared" si="140"/>
        <v/>
      </c>
      <c r="Y155" s="1771" t="str">
        <f t="shared" si="140"/>
        <v/>
      </c>
      <c r="Z155" s="3437" t="str">
        <f t="shared" si="139"/>
        <v/>
      </c>
      <c r="AA155" s="1771" t="str">
        <f t="shared" si="139"/>
        <v/>
      </c>
      <c r="AB155" s="1771" t="str">
        <f t="shared" si="139"/>
        <v/>
      </c>
      <c r="AC155" s="3442" t="str">
        <f t="shared" si="139"/>
        <v/>
      </c>
      <c r="AD155" s="1771" t="str">
        <f t="shared" si="139"/>
        <v/>
      </c>
      <c r="AE155" s="1771" t="str">
        <f t="shared" si="139"/>
        <v/>
      </c>
      <c r="AF155" s="1771" t="str">
        <f t="shared" si="139"/>
        <v/>
      </c>
      <c r="AG155" s="3442" t="str">
        <f t="shared" si="141"/>
        <v/>
      </c>
      <c r="AH155" s="1771" t="str">
        <f t="shared" si="121"/>
        <v/>
      </c>
      <c r="AI155" s="3442" t="str">
        <f t="shared" si="121"/>
        <v/>
      </c>
      <c r="AJ155" s="3462"/>
      <c r="AK155" s="3439" t="str">
        <f>IF(J155=J319,"stop","")</f>
        <v/>
      </c>
      <c r="AL155" s="3437" t="str">
        <f t="shared" si="142"/>
        <v/>
      </c>
      <c r="AM155" s="1771" t="str">
        <f t="shared" si="142"/>
        <v/>
      </c>
      <c r="AN155" s="1771" t="str">
        <f t="shared" si="142"/>
        <v/>
      </c>
      <c r="AO155" s="1771" t="str">
        <f t="shared" si="142"/>
        <v/>
      </c>
      <c r="AP155" s="3443" t="str">
        <f t="shared" si="142"/>
        <v/>
      </c>
      <c r="AQ155" s="1771">
        <f t="shared" si="143"/>
        <v>10.92</v>
      </c>
      <c r="AR155" s="1771" t="str">
        <f t="shared" si="143"/>
        <v/>
      </c>
      <c r="AS155" s="3442" t="str">
        <f t="shared" si="143"/>
        <v/>
      </c>
      <c r="AT155" s="1771" t="str">
        <f t="shared" si="142"/>
        <v/>
      </c>
      <c r="AU155" s="1771" t="str">
        <f t="shared" si="142"/>
        <v/>
      </c>
      <c r="AV155" s="1771" t="str">
        <f t="shared" si="142"/>
        <v/>
      </c>
      <c r="AW155" s="3442" t="str">
        <f t="shared" si="142"/>
        <v/>
      </c>
      <c r="AX155" s="1771" t="str">
        <f t="shared" si="144"/>
        <v/>
      </c>
      <c r="AY155" s="1771" t="str">
        <f t="shared" si="144"/>
        <v/>
      </c>
      <c r="AZ155" s="1771" t="str">
        <f t="shared" si="144"/>
        <v/>
      </c>
      <c r="BA155" s="1771" t="str">
        <f t="shared" si="144"/>
        <v/>
      </c>
      <c r="BB155" s="3437" t="str">
        <f t="shared" si="144"/>
        <v/>
      </c>
      <c r="BC155" s="3443" t="str">
        <f t="shared" si="144"/>
        <v/>
      </c>
      <c r="BD155" s="3462"/>
      <c r="BE155" s="3440" t="str">
        <f>IF(J155=J319,"stop","")</f>
        <v/>
      </c>
      <c r="BF155" s="1771" t="str">
        <f t="shared" si="145"/>
        <v/>
      </c>
      <c r="BG155" s="1771" t="str">
        <f t="shared" si="145"/>
        <v/>
      </c>
      <c r="BH155" s="1771" t="str">
        <f t="shared" si="145"/>
        <v/>
      </c>
      <c r="BI155" s="1771" t="str">
        <f t="shared" si="145"/>
        <v/>
      </c>
      <c r="BJ155" s="3443" t="str">
        <f t="shared" si="145"/>
        <v/>
      </c>
      <c r="BK155" s="3437">
        <f t="shared" si="146"/>
        <v>7.9240141342630128</v>
      </c>
      <c r="BL155" s="1771" t="str">
        <f t="shared" si="146"/>
        <v/>
      </c>
      <c r="BM155" s="3442" t="str">
        <f t="shared" si="146"/>
        <v/>
      </c>
      <c r="BN155" s="1771" t="str">
        <f t="shared" si="145"/>
        <v/>
      </c>
      <c r="BO155" s="1771" t="str">
        <f t="shared" si="145"/>
        <v/>
      </c>
      <c r="BP155" s="1771" t="str">
        <f t="shared" si="145"/>
        <v/>
      </c>
      <c r="BQ155" s="1771" t="str">
        <f t="shared" si="145"/>
        <v/>
      </c>
      <c r="BR155" s="3437" t="str">
        <f t="shared" si="147"/>
        <v/>
      </c>
      <c r="BS155" s="1771" t="str">
        <f t="shared" si="147"/>
        <v/>
      </c>
      <c r="BT155" s="1771" t="str">
        <f t="shared" si="147"/>
        <v/>
      </c>
      <c r="BU155" s="3442" t="str">
        <f t="shared" si="147"/>
        <v/>
      </c>
      <c r="BV155" s="1771" t="str">
        <f t="shared" si="147"/>
        <v/>
      </c>
      <c r="BW155" s="3442" t="str">
        <f t="shared" si="147"/>
        <v/>
      </c>
      <c r="BX155" s="3462"/>
      <c r="BY155" s="3439" t="str">
        <f>IF(L155=L319,"stop","")</f>
        <v/>
      </c>
      <c r="BZ155" s="3437" t="str">
        <f t="shared" si="148"/>
        <v/>
      </c>
      <c r="CA155" s="1771" t="str">
        <f t="shared" si="148"/>
        <v/>
      </c>
      <c r="CB155" s="1771" t="str">
        <f t="shared" si="148"/>
        <v/>
      </c>
      <c r="CC155" s="3442" t="str">
        <f t="shared" si="148"/>
        <v/>
      </c>
      <c r="CD155" s="1771" t="str">
        <f t="shared" si="148"/>
        <v/>
      </c>
      <c r="CE155" s="3437">
        <f t="shared" si="149"/>
        <v>8.3350000000000009</v>
      </c>
      <c r="CF155" s="1771" t="str">
        <f t="shared" si="149"/>
        <v/>
      </c>
      <c r="CG155" s="1771" t="str">
        <f t="shared" si="149"/>
        <v/>
      </c>
      <c r="CH155" s="3437" t="str">
        <f t="shared" si="148"/>
        <v/>
      </c>
      <c r="CI155" s="1771" t="str">
        <f t="shared" si="148"/>
        <v/>
      </c>
      <c r="CJ155" s="1771" t="str">
        <f t="shared" si="148"/>
        <v/>
      </c>
      <c r="CK155" s="3442" t="str">
        <f t="shared" si="148"/>
        <v/>
      </c>
      <c r="CL155" s="3437" t="str">
        <f t="shared" si="150"/>
        <v/>
      </c>
      <c r="CM155" s="1771" t="str">
        <f t="shared" si="150"/>
        <v/>
      </c>
      <c r="CN155" s="1771" t="str">
        <f t="shared" si="150"/>
        <v/>
      </c>
      <c r="CO155" s="3442" t="str">
        <f t="shared" si="150"/>
        <v/>
      </c>
      <c r="CP155" s="1771" t="str">
        <f t="shared" si="150"/>
        <v/>
      </c>
      <c r="CQ155" s="3442" t="str">
        <f t="shared" si="150"/>
        <v/>
      </c>
      <c r="CR155" s="3462"/>
    </row>
    <row r="156" spans="1:96" s="3" customFormat="1">
      <c r="A156" s="1848" t="s">
        <v>787</v>
      </c>
      <c r="B156" s="816">
        <v>6</v>
      </c>
      <c r="C156" s="816">
        <v>6</v>
      </c>
      <c r="D156" s="816">
        <v>0.24</v>
      </c>
      <c r="E156" s="1802" t="s">
        <v>35</v>
      </c>
      <c r="F156" s="816">
        <v>3.5</v>
      </c>
      <c r="G156" s="816" t="s">
        <v>784</v>
      </c>
      <c r="H156" s="816">
        <v>1988</v>
      </c>
      <c r="I156" s="50"/>
      <c r="J156" s="816">
        <f t="shared" si="128"/>
        <v>6</v>
      </c>
      <c r="K156" s="816">
        <v>0.24</v>
      </c>
      <c r="L156" s="816" t="s">
        <v>35</v>
      </c>
      <c r="M156" s="816">
        <v>3.5</v>
      </c>
      <c r="N156" s="845">
        <f t="shared" si="151"/>
        <v>0.91651513899116799</v>
      </c>
      <c r="O156" s="1831">
        <f t="shared" si="152"/>
        <v>1.87</v>
      </c>
      <c r="P156" s="825" t="s">
        <v>1087</v>
      </c>
      <c r="Q156" s="3" t="str">
        <f>IF(J156=J319,"stop","")</f>
        <v/>
      </c>
      <c r="R156" s="3437" t="str">
        <f t="shared" si="139"/>
        <v/>
      </c>
      <c r="S156" s="1771" t="str">
        <f t="shared" si="139"/>
        <v/>
      </c>
      <c r="T156" s="1771" t="str">
        <f t="shared" si="139"/>
        <v/>
      </c>
      <c r="U156" s="1771" t="str">
        <f t="shared" si="139"/>
        <v/>
      </c>
      <c r="V156" s="3443" t="str">
        <f t="shared" si="139"/>
        <v/>
      </c>
      <c r="W156" s="1771">
        <f t="shared" si="140"/>
        <v>0.24</v>
      </c>
      <c r="X156" s="1771" t="str">
        <f t="shared" si="140"/>
        <v/>
      </c>
      <c r="Y156" s="1771" t="str">
        <f t="shared" si="140"/>
        <v/>
      </c>
      <c r="Z156" s="3437" t="str">
        <f t="shared" si="139"/>
        <v/>
      </c>
      <c r="AA156" s="1771" t="str">
        <f t="shared" si="139"/>
        <v/>
      </c>
      <c r="AB156" s="1771" t="str">
        <f t="shared" si="139"/>
        <v/>
      </c>
      <c r="AC156" s="3442" t="str">
        <f t="shared" si="139"/>
        <v/>
      </c>
      <c r="AD156" s="1771" t="str">
        <f t="shared" si="139"/>
        <v/>
      </c>
      <c r="AE156" s="1771" t="str">
        <f t="shared" si="139"/>
        <v/>
      </c>
      <c r="AF156" s="1771" t="str">
        <f t="shared" si="139"/>
        <v/>
      </c>
      <c r="AG156" s="3442" t="str">
        <f t="shared" si="141"/>
        <v/>
      </c>
      <c r="AH156" s="1771" t="str">
        <f t="shared" si="121"/>
        <v/>
      </c>
      <c r="AI156" s="3442" t="str">
        <f t="shared" si="121"/>
        <v/>
      </c>
      <c r="AJ156" s="3462"/>
      <c r="AK156" s="3439" t="str">
        <f>IF(J156=J319,"stop","")</f>
        <v/>
      </c>
      <c r="AL156" s="3437" t="str">
        <f t="shared" si="142"/>
        <v/>
      </c>
      <c r="AM156" s="1771" t="str">
        <f t="shared" si="142"/>
        <v/>
      </c>
      <c r="AN156" s="1771" t="str">
        <f t="shared" si="142"/>
        <v/>
      </c>
      <c r="AO156" s="1771" t="str">
        <f t="shared" si="142"/>
        <v/>
      </c>
      <c r="AP156" s="3443" t="str">
        <f t="shared" si="142"/>
        <v/>
      </c>
      <c r="AQ156" s="1771">
        <f t="shared" si="143"/>
        <v>3.5</v>
      </c>
      <c r="AR156" s="1771" t="str">
        <f t="shared" si="143"/>
        <v/>
      </c>
      <c r="AS156" s="3442" t="str">
        <f t="shared" si="143"/>
        <v/>
      </c>
      <c r="AT156" s="1771" t="str">
        <f t="shared" si="142"/>
        <v/>
      </c>
      <c r="AU156" s="1771" t="str">
        <f t="shared" si="142"/>
        <v/>
      </c>
      <c r="AV156" s="1771" t="str">
        <f t="shared" si="142"/>
        <v/>
      </c>
      <c r="AW156" s="3442" t="str">
        <f t="shared" si="142"/>
        <v/>
      </c>
      <c r="AX156" s="1771" t="str">
        <f t="shared" si="144"/>
        <v/>
      </c>
      <c r="AY156" s="1771" t="str">
        <f t="shared" si="144"/>
        <v/>
      </c>
      <c r="AZ156" s="1771" t="str">
        <f t="shared" si="144"/>
        <v/>
      </c>
      <c r="BA156" s="1771" t="str">
        <f t="shared" si="144"/>
        <v/>
      </c>
      <c r="BB156" s="3437" t="str">
        <f t="shared" si="144"/>
        <v/>
      </c>
      <c r="BC156" s="3443" t="str">
        <f t="shared" si="144"/>
        <v/>
      </c>
      <c r="BD156" s="3462"/>
      <c r="BE156" s="3440" t="str">
        <f>IF(J156=J319,"stop","")</f>
        <v/>
      </c>
      <c r="BF156" s="1771" t="str">
        <f t="shared" si="145"/>
        <v/>
      </c>
      <c r="BG156" s="1771" t="str">
        <f t="shared" si="145"/>
        <v/>
      </c>
      <c r="BH156" s="1771" t="str">
        <f t="shared" si="145"/>
        <v/>
      </c>
      <c r="BI156" s="1771" t="str">
        <f t="shared" si="145"/>
        <v/>
      </c>
      <c r="BJ156" s="3443" t="str">
        <f t="shared" si="145"/>
        <v/>
      </c>
      <c r="BK156" s="3437">
        <f t="shared" si="146"/>
        <v>0.91651513899116799</v>
      </c>
      <c r="BL156" s="1771" t="str">
        <f t="shared" si="146"/>
        <v/>
      </c>
      <c r="BM156" s="3442" t="str">
        <f t="shared" si="146"/>
        <v/>
      </c>
      <c r="BN156" s="1771" t="str">
        <f t="shared" si="145"/>
        <v/>
      </c>
      <c r="BO156" s="1771" t="str">
        <f t="shared" si="145"/>
        <v/>
      </c>
      <c r="BP156" s="1771" t="str">
        <f t="shared" si="145"/>
        <v/>
      </c>
      <c r="BQ156" s="1771" t="str">
        <f t="shared" si="145"/>
        <v/>
      </c>
      <c r="BR156" s="3437" t="str">
        <f t="shared" si="147"/>
        <v/>
      </c>
      <c r="BS156" s="1771" t="str">
        <f t="shared" si="147"/>
        <v/>
      </c>
      <c r="BT156" s="1771" t="str">
        <f t="shared" si="147"/>
        <v/>
      </c>
      <c r="BU156" s="3442" t="str">
        <f t="shared" si="147"/>
        <v/>
      </c>
      <c r="BV156" s="1771" t="str">
        <f t="shared" si="147"/>
        <v/>
      </c>
      <c r="BW156" s="3442" t="str">
        <f t="shared" si="147"/>
        <v/>
      </c>
      <c r="BX156" s="3462"/>
      <c r="BY156" s="3439" t="str">
        <f>IF(L156=L319,"stop","")</f>
        <v/>
      </c>
      <c r="BZ156" s="3437" t="str">
        <f t="shared" si="148"/>
        <v/>
      </c>
      <c r="CA156" s="1771" t="str">
        <f t="shared" si="148"/>
        <v/>
      </c>
      <c r="CB156" s="1771" t="str">
        <f t="shared" si="148"/>
        <v/>
      </c>
      <c r="CC156" s="3442" t="str">
        <f t="shared" si="148"/>
        <v/>
      </c>
      <c r="CD156" s="1771" t="str">
        <f t="shared" si="148"/>
        <v/>
      </c>
      <c r="CE156" s="3437">
        <f t="shared" si="149"/>
        <v>1.87</v>
      </c>
      <c r="CF156" s="1771" t="str">
        <f t="shared" si="149"/>
        <v/>
      </c>
      <c r="CG156" s="1771" t="str">
        <f t="shared" si="149"/>
        <v/>
      </c>
      <c r="CH156" s="3437" t="str">
        <f t="shared" si="148"/>
        <v/>
      </c>
      <c r="CI156" s="1771" t="str">
        <f t="shared" si="148"/>
        <v/>
      </c>
      <c r="CJ156" s="1771" t="str">
        <f t="shared" si="148"/>
        <v/>
      </c>
      <c r="CK156" s="3442" t="str">
        <f t="shared" si="148"/>
        <v/>
      </c>
      <c r="CL156" s="3437" t="str">
        <f t="shared" si="150"/>
        <v/>
      </c>
      <c r="CM156" s="1771" t="str">
        <f t="shared" si="150"/>
        <v/>
      </c>
      <c r="CN156" s="1771" t="str">
        <f t="shared" si="150"/>
        <v/>
      </c>
      <c r="CO156" s="3442" t="str">
        <f t="shared" si="150"/>
        <v/>
      </c>
      <c r="CP156" s="1771" t="str">
        <f t="shared" si="150"/>
        <v/>
      </c>
      <c r="CQ156" s="3442" t="str">
        <f t="shared" si="150"/>
        <v/>
      </c>
      <c r="CR156" s="3462"/>
    </row>
    <row r="157" spans="1:96" s="3" customFormat="1">
      <c r="A157" s="1848" t="s">
        <v>788</v>
      </c>
      <c r="B157" s="816">
        <v>7</v>
      </c>
      <c r="C157" s="816">
        <v>7</v>
      </c>
      <c r="D157" s="816">
        <v>0.31</v>
      </c>
      <c r="E157" s="1802" t="s">
        <v>35</v>
      </c>
      <c r="F157" s="816">
        <v>1.96</v>
      </c>
      <c r="G157" s="816" t="s">
        <v>784</v>
      </c>
      <c r="H157" s="816">
        <v>1988</v>
      </c>
      <c r="I157" s="50"/>
      <c r="J157" s="816">
        <f t="shared" si="128"/>
        <v>7</v>
      </c>
      <c r="K157" s="816">
        <v>0.31</v>
      </c>
      <c r="L157" s="816" t="s">
        <v>35</v>
      </c>
      <c r="M157" s="816">
        <v>1.96</v>
      </c>
      <c r="N157" s="845">
        <f t="shared" si="151"/>
        <v>0.77948701079620308</v>
      </c>
      <c r="O157" s="1831">
        <f t="shared" si="152"/>
        <v>1.135</v>
      </c>
      <c r="P157" s="825" t="s">
        <v>1087</v>
      </c>
      <c r="Q157" s="3" t="str">
        <f>IF(J157=J319,"stop","")</f>
        <v/>
      </c>
      <c r="R157" s="3437" t="str">
        <f t="shared" si="139"/>
        <v/>
      </c>
      <c r="S157" s="1771" t="str">
        <f t="shared" si="139"/>
        <v/>
      </c>
      <c r="T157" s="1771" t="str">
        <f t="shared" si="139"/>
        <v/>
      </c>
      <c r="U157" s="1771" t="str">
        <f t="shared" si="139"/>
        <v/>
      </c>
      <c r="V157" s="3443" t="str">
        <f t="shared" si="139"/>
        <v/>
      </c>
      <c r="W157" s="1771" t="str">
        <f t="shared" si="140"/>
        <v/>
      </c>
      <c r="X157" s="1771">
        <f t="shared" si="140"/>
        <v>0.31</v>
      </c>
      <c r="Y157" s="1771" t="str">
        <f t="shared" si="140"/>
        <v/>
      </c>
      <c r="Z157" s="3437" t="str">
        <f t="shared" si="139"/>
        <v/>
      </c>
      <c r="AA157" s="1771" t="str">
        <f t="shared" si="139"/>
        <v/>
      </c>
      <c r="AB157" s="1771" t="str">
        <f t="shared" si="139"/>
        <v/>
      </c>
      <c r="AC157" s="3442" t="str">
        <f t="shared" si="139"/>
        <v/>
      </c>
      <c r="AD157" s="1771" t="str">
        <f t="shared" si="139"/>
        <v/>
      </c>
      <c r="AE157" s="1771" t="str">
        <f t="shared" si="139"/>
        <v/>
      </c>
      <c r="AF157" s="1771" t="str">
        <f t="shared" si="139"/>
        <v/>
      </c>
      <c r="AG157" s="3442" t="str">
        <f t="shared" si="141"/>
        <v/>
      </c>
      <c r="AH157" s="1771" t="str">
        <f t="shared" si="121"/>
        <v/>
      </c>
      <c r="AI157" s="3442" t="str">
        <f t="shared" si="121"/>
        <v/>
      </c>
      <c r="AJ157" s="3462"/>
      <c r="AK157" s="3439" t="str">
        <f>IF(J157=J319,"stop","")</f>
        <v/>
      </c>
      <c r="AL157" s="3437" t="str">
        <f t="shared" si="142"/>
        <v/>
      </c>
      <c r="AM157" s="1771" t="str">
        <f t="shared" si="142"/>
        <v/>
      </c>
      <c r="AN157" s="1771" t="str">
        <f t="shared" si="142"/>
        <v/>
      </c>
      <c r="AO157" s="1771" t="str">
        <f t="shared" si="142"/>
        <v/>
      </c>
      <c r="AP157" s="3443" t="str">
        <f t="shared" si="142"/>
        <v/>
      </c>
      <c r="AQ157" s="1771" t="str">
        <f t="shared" si="143"/>
        <v/>
      </c>
      <c r="AR157" s="1771">
        <f t="shared" si="143"/>
        <v>1.96</v>
      </c>
      <c r="AS157" s="3442" t="str">
        <f t="shared" si="143"/>
        <v/>
      </c>
      <c r="AT157" s="1771" t="str">
        <f t="shared" si="142"/>
        <v/>
      </c>
      <c r="AU157" s="1771" t="str">
        <f t="shared" si="142"/>
        <v/>
      </c>
      <c r="AV157" s="1771" t="str">
        <f t="shared" si="142"/>
        <v/>
      </c>
      <c r="AW157" s="3442" t="str">
        <f t="shared" si="142"/>
        <v/>
      </c>
      <c r="AX157" s="1771" t="str">
        <f t="shared" si="144"/>
        <v/>
      </c>
      <c r="AY157" s="1771" t="str">
        <f t="shared" si="144"/>
        <v/>
      </c>
      <c r="AZ157" s="1771" t="str">
        <f t="shared" si="144"/>
        <v/>
      </c>
      <c r="BA157" s="1771" t="str">
        <f t="shared" si="144"/>
        <v/>
      </c>
      <c r="BB157" s="3437" t="str">
        <f t="shared" si="144"/>
        <v/>
      </c>
      <c r="BC157" s="3443" t="str">
        <f t="shared" si="144"/>
        <v/>
      </c>
      <c r="BD157" s="3462"/>
      <c r="BE157" s="3440" t="str">
        <f>IF(J157=J319,"stop","")</f>
        <v/>
      </c>
      <c r="BF157" s="1771" t="str">
        <f t="shared" si="145"/>
        <v/>
      </c>
      <c r="BG157" s="1771" t="str">
        <f t="shared" si="145"/>
        <v/>
      </c>
      <c r="BH157" s="1771" t="str">
        <f t="shared" si="145"/>
        <v/>
      </c>
      <c r="BI157" s="1771" t="str">
        <f t="shared" si="145"/>
        <v/>
      </c>
      <c r="BJ157" s="3443" t="str">
        <f t="shared" si="145"/>
        <v/>
      </c>
      <c r="BK157" s="3437" t="str">
        <f t="shared" si="146"/>
        <v/>
      </c>
      <c r="BL157" s="1771">
        <f t="shared" si="146"/>
        <v>0.77948701079620308</v>
      </c>
      <c r="BM157" s="3442" t="str">
        <f t="shared" si="146"/>
        <v/>
      </c>
      <c r="BN157" s="1771" t="str">
        <f t="shared" si="145"/>
        <v/>
      </c>
      <c r="BO157" s="1771" t="str">
        <f t="shared" si="145"/>
        <v/>
      </c>
      <c r="BP157" s="1771" t="str">
        <f t="shared" si="145"/>
        <v/>
      </c>
      <c r="BQ157" s="1771" t="str">
        <f t="shared" si="145"/>
        <v/>
      </c>
      <c r="BR157" s="3437" t="str">
        <f t="shared" si="147"/>
        <v/>
      </c>
      <c r="BS157" s="1771" t="str">
        <f t="shared" si="147"/>
        <v/>
      </c>
      <c r="BT157" s="1771" t="str">
        <f t="shared" si="147"/>
        <v/>
      </c>
      <c r="BU157" s="3442" t="str">
        <f t="shared" si="147"/>
        <v/>
      </c>
      <c r="BV157" s="1771" t="str">
        <f t="shared" si="147"/>
        <v/>
      </c>
      <c r="BW157" s="3442" t="str">
        <f t="shared" si="147"/>
        <v/>
      </c>
      <c r="BX157" s="3462"/>
      <c r="BY157" s="3439" t="str">
        <f>IF(L157=L319,"stop","")</f>
        <v/>
      </c>
      <c r="BZ157" s="3437" t="str">
        <f t="shared" si="148"/>
        <v/>
      </c>
      <c r="CA157" s="1771" t="str">
        <f t="shared" si="148"/>
        <v/>
      </c>
      <c r="CB157" s="1771" t="str">
        <f t="shared" si="148"/>
        <v/>
      </c>
      <c r="CC157" s="3442" t="str">
        <f t="shared" si="148"/>
        <v/>
      </c>
      <c r="CD157" s="1771" t="str">
        <f t="shared" si="148"/>
        <v/>
      </c>
      <c r="CE157" s="3437" t="str">
        <f t="shared" si="149"/>
        <v/>
      </c>
      <c r="CF157" s="1771">
        <f t="shared" si="149"/>
        <v>1.135</v>
      </c>
      <c r="CG157" s="1771" t="str">
        <f t="shared" si="149"/>
        <v/>
      </c>
      <c r="CH157" s="3437" t="str">
        <f t="shared" si="148"/>
        <v/>
      </c>
      <c r="CI157" s="1771" t="str">
        <f t="shared" si="148"/>
        <v/>
      </c>
      <c r="CJ157" s="1771" t="str">
        <f t="shared" si="148"/>
        <v/>
      </c>
      <c r="CK157" s="3442" t="str">
        <f t="shared" si="148"/>
        <v/>
      </c>
      <c r="CL157" s="3437" t="str">
        <f t="shared" si="150"/>
        <v/>
      </c>
      <c r="CM157" s="1771" t="str">
        <f t="shared" si="150"/>
        <v/>
      </c>
      <c r="CN157" s="1771" t="str">
        <f t="shared" si="150"/>
        <v/>
      </c>
      <c r="CO157" s="3442" t="str">
        <f t="shared" si="150"/>
        <v/>
      </c>
      <c r="CP157" s="1771" t="str">
        <f t="shared" si="150"/>
        <v/>
      </c>
      <c r="CQ157" s="3442" t="str">
        <f t="shared" si="150"/>
        <v/>
      </c>
      <c r="CR157" s="3462"/>
    </row>
    <row r="158" spans="1:96" s="3" customFormat="1">
      <c r="A158" s="1848" t="s">
        <v>694</v>
      </c>
      <c r="B158" s="816">
        <v>8</v>
      </c>
      <c r="C158" s="816">
        <v>8</v>
      </c>
      <c r="D158" s="816">
        <v>0.36</v>
      </c>
      <c r="E158" s="1802" t="s">
        <v>35</v>
      </c>
      <c r="F158" s="816">
        <v>1.43</v>
      </c>
      <c r="G158" s="816" t="s">
        <v>784</v>
      </c>
      <c r="H158" s="816">
        <v>1988</v>
      </c>
      <c r="I158" s="50"/>
      <c r="J158" s="816">
        <f t="shared" si="128"/>
        <v>8</v>
      </c>
      <c r="K158" s="816">
        <v>0.36</v>
      </c>
      <c r="L158" s="816" t="s">
        <v>35</v>
      </c>
      <c r="M158" s="816">
        <v>1.43</v>
      </c>
      <c r="N158" s="845">
        <f t="shared" si="151"/>
        <v>0.71749564458608384</v>
      </c>
      <c r="O158" s="1831">
        <f t="shared" si="152"/>
        <v>0.89500000000000002</v>
      </c>
      <c r="P158" s="825" t="s">
        <v>1087</v>
      </c>
      <c r="Q158" s="3" t="str">
        <f>IF(J158=J319,"stop","")</f>
        <v/>
      </c>
      <c r="R158" s="3437" t="str">
        <f t="shared" si="139"/>
        <v/>
      </c>
      <c r="S158" s="1771" t="str">
        <f t="shared" si="139"/>
        <v/>
      </c>
      <c r="T158" s="1771" t="str">
        <f t="shared" si="139"/>
        <v/>
      </c>
      <c r="U158" s="1771" t="str">
        <f t="shared" si="139"/>
        <v/>
      </c>
      <c r="V158" s="3443" t="str">
        <f t="shared" si="139"/>
        <v/>
      </c>
      <c r="W158" s="1771" t="str">
        <f t="shared" si="140"/>
        <v/>
      </c>
      <c r="X158" s="1771">
        <f t="shared" si="140"/>
        <v>0.36</v>
      </c>
      <c r="Y158" s="1771" t="str">
        <f t="shared" si="140"/>
        <v/>
      </c>
      <c r="Z158" s="3437" t="str">
        <f t="shared" si="139"/>
        <v/>
      </c>
      <c r="AA158" s="1771" t="str">
        <f t="shared" si="139"/>
        <v/>
      </c>
      <c r="AB158" s="1771" t="str">
        <f t="shared" si="139"/>
        <v/>
      </c>
      <c r="AC158" s="3442" t="str">
        <f t="shared" si="139"/>
        <v/>
      </c>
      <c r="AD158" s="1771" t="str">
        <f t="shared" si="139"/>
        <v/>
      </c>
      <c r="AE158" s="1771" t="str">
        <f t="shared" si="139"/>
        <v/>
      </c>
      <c r="AF158" s="1771" t="str">
        <f t="shared" si="139"/>
        <v/>
      </c>
      <c r="AG158" s="3442" t="str">
        <f t="shared" si="141"/>
        <v/>
      </c>
      <c r="AH158" s="1771" t="str">
        <f t="shared" si="121"/>
        <v/>
      </c>
      <c r="AI158" s="3442" t="str">
        <f t="shared" si="121"/>
        <v/>
      </c>
      <c r="AJ158" s="3462"/>
      <c r="AK158" s="3439" t="str">
        <f>IF(J158=J319,"stop","")</f>
        <v/>
      </c>
      <c r="AL158" s="3437" t="str">
        <f t="shared" si="142"/>
        <v/>
      </c>
      <c r="AM158" s="1771" t="str">
        <f t="shared" si="142"/>
        <v/>
      </c>
      <c r="AN158" s="1771" t="str">
        <f t="shared" si="142"/>
        <v/>
      </c>
      <c r="AO158" s="1771" t="str">
        <f t="shared" si="142"/>
        <v/>
      </c>
      <c r="AP158" s="3443" t="str">
        <f t="shared" si="142"/>
        <v/>
      </c>
      <c r="AQ158" s="1771" t="str">
        <f t="shared" si="143"/>
        <v/>
      </c>
      <c r="AR158" s="1771">
        <f t="shared" si="143"/>
        <v>1.43</v>
      </c>
      <c r="AS158" s="3442" t="str">
        <f t="shared" si="143"/>
        <v/>
      </c>
      <c r="AT158" s="1771" t="str">
        <f t="shared" si="142"/>
        <v/>
      </c>
      <c r="AU158" s="1771" t="str">
        <f t="shared" si="142"/>
        <v/>
      </c>
      <c r="AV158" s="1771" t="str">
        <f t="shared" si="142"/>
        <v/>
      </c>
      <c r="AW158" s="3442" t="str">
        <f t="shared" si="142"/>
        <v/>
      </c>
      <c r="AX158" s="1771" t="str">
        <f t="shared" si="144"/>
        <v/>
      </c>
      <c r="AY158" s="1771" t="str">
        <f t="shared" si="144"/>
        <v/>
      </c>
      <c r="AZ158" s="1771" t="str">
        <f t="shared" si="144"/>
        <v/>
      </c>
      <c r="BA158" s="1771" t="str">
        <f t="shared" si="144"/>
        <v/>
      </c>
      <c r="BB158" s="3437" t="str">
        <f t="shared" si="144"/>
        <v/>
      </c>
      <c r="BC158" s="3443" t="str">
        <f t="shared" si="144"/>
        <v/>
      </c>
      <c r="BD158" s="3462"/>
      <c r="BE158" s="3440" t="str">
        <f>IF(J158=J319,"stop","")</f>
        <v/>
      </c>
      <c r="BF158" s="1771" t="str">
        <f t="shared" si="145"/>
        <v/>
      </c>
      <c r="BG158" s="1771" t="str">
        <f t="shared" si="145"/>
        <v/>
      </c>
      <c r="BH158" s="1771" t="str">
        <f t="shared" si="145"/>
        <v/>
      </c>
      <c r="BI158" s="1771" t="str">
        <f t="shared" si="145"/>
        <v/>
      </c>
      <c r="BJ158" s="3443" t="str">
        <f t="shared" si="145"/>
        <v/>
      </c>
      <c r="BK158" s="3437" t="str">
        <f t="shared" si="146"/>
        <v/>
      </c>
      <c r="BL158" s="1771">
        <f t="shared" si="146"/>
        <v>0.71749564458608384</v>
      </c>
      <c r="BM158" s="3442" t="str">
        <f t="shared" si="146"/>
        <v/>
      </c>
      <c r="BN158" s="1771" t="str">
        <f t="shared" si="145"/>
        <v/>
      </c>
      <c r="BO158" s="1771" t="str">
        <f t="shared" si="145"/>
        <v/>
      </c>
      <c r="BP158" s="1771" t="str">
        <f t="shared" si="145"/>
        <v/>
      </c>
      <c r="BQ158" s="1771" t="str">
        <f t="shared" si="145"/>
        <v/>
      </c>
      <c r="BR158" s="3437" t="str">
        <f t="shared" si="147"/>
        <v/>
      </c>
      <c r="BS158" s="1771" t="str">
        <f t="shared" si="147"/>
        <v/>
      </c>
      <c r="BT158" s="1771" t="str">
        <f t="shared" si="147"/>
        <v/>
      </c>
      <c r="BU158" s="3442" t="str">
        <f t="shared" si="147"/>
        <v/>
      </c>
      <c r="BV158" s="1771" t="str">
        <f t="shared" si="147"/>
        <v/>
      </c>
      <c r="BW158" s="3442" t="str">
        <f t="shared" si="147"/>
        <v/>
      </c>
      <c r="BX158" s="3462"/>
      <c r="BY158" s="3439" t="str">
        <f>IF(L158=L319,"stop","")</f>
        <v/>
      </c>
      <c r="BZ158" s="3437" t="str">
        <f t="shared" si="148"/>
        <v/>
      </c>
      <c r="CA158" s="1771" t="str">
        <f t="shared" si="148"/>
        <v/>
      </c>
      <c r="CB158" s="1771" t="str">
        <f t="shared" si="148"/>
        <v/>
      </c>
      <c r="CC158" s="3442" t="str">
        <f t="shared" si="148"/>
        <v/>
      </c>
      <c r="CD158" s="1771" t="str">
        <f t="shared" si="148"/>
        <v/>
      </c>
      <c r="CE158" s="3437" t="str">
        <f t="shared" si="149"/>
        <v/>
      </c>
      <c r="CF158" s="1771">
        <f t="shared" si="149"/>
        <v>0.89500000000000002</v>
      </c>
      <c r="CG158" s="1771" t="str">
        <f t="shared" si="149"/>
        <v/>
      </c>
      <c r="CH158" s="3437" t="str">
        <f t="shared" si="148"/>
        <v/>
      </c>
      <c r="CI158" s="1771" t="str">
        <f t="shared" si="148"/>
        <v/>
      </c>
      <c r="CJ158" s="1771" t="str">
        <f t="shared" si="148"/>
        <v/>
      </c>
      <c r="CK158" s="3442" t="str">
        <f t="shared" si="148"/>
        <v/>
      </c>
      <c r="CL158" s="3437" t="str">
        <f t="shared" si="150"/>
        <v/>
      </c>
      <c r="CM158" s="1771" t="str">
        <f t="shared" si="150"/>
        <v/>
      </c>
      <c r="CN158" s="1771" t="str">
        <f t="shared" si="150"/>
        <v/>
      </c>
      <c r="CO158" s="3442" t="str">
        <f t="shared" si="150"/>
        <v/>
      </c>
      <c r="CP158" s="1771" t="str">
        <f t="shared" si="150"/>
        <v/>
      </c>
      <c r="CQ158" s="3442" t="str">
        <f t="shared" si="150"/>
        <v/>
      </c>
      <c r="CR158" s="3462"/>
    </row>
    <row r="159" spans="1:96" s="3" customFormat="1">
      <c r="A159" s="1848" t="s">
        <v>696</v>
      </c>
      <c r="B159" s="816">
        <v>9</v>
      </c>
      <c r="C159" s="816">
        <v>9</v>
      </c>
      <c r="D159" s="816">
        <v>7.0000000000000007E-2</v>
      </c>
      <c r="E159" s="1802" t="s">
        <v>35</v>
      </c>
      <c r="F159" s="816">
        <v>0.83</v>
      </c>
      <c r="G159" s="816" t="s">
        <v>784</v>
      </c>
      <c r="H159" s="816">
        <v>1988</v>
      </c>
      <c r="I159" s="50"/>
      <c r="J159" s="816">
        <f t="shared" si="128"/>
        <v>9</v>
      </c>
      <c r="K159" s="816">
        <v>7.0000000000000007E-2</v>
      </c>
      <c r="L159" s="816" t="s">
        <v>35</v>
      </c>
      <c r="M159" s="816">
        <v>0.83</v>
      </c>
      <c r="N159" s="845">
        <f t="shared" si="151"/>
        <v>0.241039415863879</v>
      </c>
      <c r="O159" s="1831">
        <f t="shared" si="152"/>
        <v>0.44999999999999996</v>
      </c>
      <c r="P159" s="825" t="s">
        <v>1087</v>
      </c>
      <c r="Q159" s="3" t="str">
        <f>IF(J159=J319,"stop","")</f>
        <v/>
      </c>
      <c r="R159" s="3437" t="str">
        <f t="shared" si="139"/>
        <v/>
      </c>
      <c r="S159" s="1771" t="str">
        <f t="shared" si="139"/>
        <v/>
      </c>
      <c r="T159" s="1771" t="str">
        <f t="shared" si="139"/>
        <v/>
      </c>
      <c r="U159" s="1771" t="str">
        <f t="shared" si="139"/>
        <v/>
      </c>
      <c r="V159" s="3443" t="str">
        <f t="shared" si="139"/>
        <v/>
      </c>
      <c r="W159" s="1771" t="str">
        <f t="shared" si="140"/>
        <v/>
      </c>
      <c r="X159" s="1771" t="str">
        <f t="shared" si="140"/>
        <v/>
      </c>
      <c r="Y159" s="1771">
        <f t="shared" si="140"/>
        <v>7.0000000000000007E-2</v>
      </c>
      <c r="Z159" s="3437" t="str">
        <f t="shared" si="139"/>
        <v/>
      </c>
      <c r="AA159" s="1771" t="str">
        <f t="shared" si="139"/>
        <v/>
      </c>
      <c r="AB159" s="1771" t="str">
        <f t="shared" si="139"/>
        <v/>
      </c>
      <c r="AC159" s="3442" t="str">
        <f t="shared" si="139"/>
        <v/>
      </c>
      <c r="AD159" s="1771" t="str">
        <f t="shared" si="139"/>
        <v/>
      </c>
      <c r="AE159" s="1771" t="str">
        <f t="shared" si="139"/>
        <v/>
      </c>
      <c r="AF159" s="1771" t="str">
        <f t="shared" si="139"/>
        <v/>
      </c>
      <c r="AG159" s="3442" t="str">
        <f t="shared" si="141"/>
        <v/>
      </c>
      <c r="AH159" s="1771" t="str">
        <f t="shared" si="121"/>
        <v/>
      </c>
      <c r="AI159" s="3442" t="str">
        <f t="shared" si="121"/>
        <v/>
      </c>
      <c r="AJ159" s="3462"/>
      <c r="AK159" s="3439" t="str">
        <f>IF(J159=J319,"stop","")</f>
        <v/>
      </c>
      <c r="AL159" s="3437" t="str">
        <f t="shared" si="142"/>
        <v/>
      </c>
      <c r="AM159" s="1771" t="str">
        <f t="shared" si="142"/>
        <v/>
      </c>
      <c r="AN159" s="1771" t="str">
        <f t="shared" si="142"/>
        <v/>
      </c>
      <c r="AO159" s="1771" t="str">
        <f t="shared" si="142"/>
        <v/>
      </c>
      <c r="AP159" s="3443" t="str">
        <f t="shared" si="142"/>
        <v/>
      </c>
      <c r="AQ159" s="1771" t="str">
        <f t="shared" si="143"/>
        <v/>
      </c>
      <c r="AR159" s="1771" t="str">
        <f t="shared" si="143"/>
        <v/>
      </c>
      <c r="AS159" s="3442">
        <f t="shared" si="143"/>
        <v>0.83</v>
      </c>
      <c r="AT159" s="1771" t="str">
        <f t="shared" si="142"/>
        <v/>
      </c>
      <c r="AU159" s="1771" t="str">
        <f t="shared" si="142"/>
        <v/>
      </c>
      <c r="AV159" s="1771" t="str">
        <f t="shared" si="142"/>
        <v/>
      </c>
      <c r="AW159" s="3442" t="str">
        <f t="shared" si="142"/>
        <v/>
      </c>
      <c r="AX159" s="1771" t="str">
        <f t="shared" si="144"/>
        <v/>
      </c>
      <c r="AY159" s="1771" t="str">
        <f t="shared" si="144"/>
        <v/>
      </c>
      <c r="AZ159" s="1771" t="str">
        <f t="shared" si="144"/>
        <v/>
      </c>
      <c r="BA159" s="1771" t="str">
        <f t="shared" si="144"/>
        <v/>
      </c>
      <c r="BB159" s="3437" t="str">
        <f t="shared" si="144"/>
        <v/>
      </c>
      <c r="BC159" s="3443" t="str">
        <f t="shared" si="144"/>
        <v/>
      </c>
      <c r="BD159" s="3462"/>
      <c r="BE159" s="3440" t="str">
        <f>IF(J159=J319,"stop","")</f>
        <v/>
      </c>
      <c r="BF159" s="1771" t="str">
        <f t="shared" si="145"/>
        <v/>
      </c>
      <c r="BG159" s="1771" t="str">
        <f t="shared" si="145"/>
        <v/>
      </c>
      <c r="BH159" s="1771" t="str">
        <f t="shared" si="145"/>
        <v/>
      </c>
      <c r="BI159" s="1771" t="str">
        <f t="shared" si="145"/>
        <v/>
      </c>
      <c r="BJ159" s="3443" t="str">
        <f t="shared" si="145"/>
        <v/>
      </c>
      <c r="BK159" s="3437" t="str">
        <f t="shared" si="146"/>
        <v/>
      </c>
      <c r="BL159" s="1771" t="str">
        <f t="shared" si="146"/>
        <v/>
      </c>
      <c r="BM159" s="3442">
        <f t="shared" si="146"/>
        <v>0.241039415863879</v>
      </c>
      <c r="BN159" s="1771" t="str">
        <f t="shared" si="145"/>
        <v/>
      </c>
      <c r="BO159" s="1771" t="str">
        <f t="shared" si="145"/>
        <v/>
      </c>
      <c r="BP159" s="1771" t="str">
        <f t="shared" si="145"/>
        <v/>
      </c>
      <c r="BQ159" s="1771" t="str">
        <f t="shared" si="145"/>
        <v/>
      </c>
      <c r="BR159" s="3437" t="str">
        <f t="shared" si="147"/>
        <v/>
      </c>
      <c r="BS159" s="1771" t="str">
        <f t="shared" si="147"/>
        <v/>
      </c>
      <c r="BT159" s="1771" t="str">
        <f t="shared" si="147"/>
        <v/>
      </c>
      <c r="BU159" s="3442" t="str">
        <f t="shared" si="147"/>
        <v/>
      </c>
      <c r="BV159" s="1771" t="str">
        <f t="shared" si="147"/>
        <v/>
      </c>
      <c r="BW159" s="3442" t="str">
        <f t="shared" si="147"/>
        <v/>
      </c>
      <c r="BX159" s="3462"/>
      <c r="BY159" s="3439" t="str">
        <f>IF(L159=L319,"stop","")</f>
        <v/>
      </c>
      <c r="BZ159" s="3437" t="str">
        <f t="shared" si="148"/>
        <v/>
      </c>
      <c r="CA159" s="1771" t="str">
        <f t="shared" si="148"/>
        <v/>
      </c>
      <c r="CB159" s="1771" t="str">
        <f t="shared" si="148"/>
        <v/>
      </c>
      <c r="CC159" s="3442" t="str">
        <f t="shared" si="148"/>
        <v/>
      </c>
      <c r="CD159" s="1771" t="str">
        <f t="shared" si="148"/>
        <v/>
      </c>
      <c r="CE159" s="3437" t="str">
        <f t="shared" si="149"/>
        <v/>
      </c>
      <c r="CF159" s="1771" t="str">
        <f t="shared" si="149"/>
        <v/>
      </c>
      <c r="CG159" s="1771">
        <f t="shared" si="149"/>
        <v>0.44999999999999996</v>
      </c>
      <c r="CH159" s="3437" t="str">
        <f t="shared" si="148"/>
        <v/>
      </c>
      <c r="CI159" s="1771" t="str">
        <f t="shared" si="148"/>
        <v/>
      </c>
      <c r="CJ159" s="1771" t="str">
        <f t="shared" si="148"/>
        <v/>
      </c>
      <c r="CK159" s="3442" t="str">
        <f t="shared" si="148"/>
        <v/>
      </c>
      <c r="CL159" s="3437" t="str">
        <f t="shared" si="150"/>
        <v/>
      </c>
      <c r="CM159" s="1771" t="str">
        <f t="shared" si="150"/>
        <v/>
      </c>
      <c r="CN159" s="1771" t="str">
        <f t="shared" si="150"/>
        <v/>
      </c>
      <c r="CO159" s="3442" t="str">
        <f t="shared" si="150"/>
        <v/>
      </c>
      <c r="CP159" s="1771" t="str">
        <f t="shared" si="150"/>
        <v/>
      </c>
      <c r="CQ159" s="3442" t="str">
        <f t="shared" si="150"/>
        <v/>
      </c>
      <c r="CR159" s="3462"/>
    </row>
    <row r="160" spans="1:96" s="3" customFormat="1">
      <c r="A160" s="1848" t="s">
        <v>697</v>
      </c>
      <c r="B160" s="816">
        <v>10</v>
      </c>
      <c r="C160" s="816">
        <v>10</v>
      </c>
      <c r="D160" s="816">
        <v>0.04</v>
      </c>
      <c r="E160" s="1802" t="s">
        <v>35</v>
      </c>
      <c r="F160" s="816">
        <v>0.5</v>
      </c>
      <c r="G160" s="816" t="s">
        <v>784</v>
      </c>
      <c r="H160" s="816">
        <v>1988</v>
      </c>
      <c r="I160" s="50"/>
      <c r="J160" s="816">
        <f t="shared" si="128"/>
        <v>10</v>
      </c>
      <c r="K160" s="816">
        <v>0.04</v>
      </c>
      <c r="L160" s="816" t="s">
        <v>35</v>
      </c>
      <c r="M160" s="816">
        <v>0.5</v>
      </c>
      <c r="N160" s="845">
        <f t="shared" si="151"/>
        <v>0.1414213562373095</v>
      </c>
      <c r="O160" s="1831">
        <f t="shared" si="152"/>
        <v>0.27</v>
      </c>
      <c r="P160" s="825" t="s">
        <v>1087</v>
      </c>
      <c r="Q160" s="3" t="str">
        <f>IF(J160=J319,"stop","")</f>
        <v/>
      </c>
      <c r="R160" s="3437" t="str">
        <f t="shared" si="139"/>
        <v/>
      </c>
      <c r="S160" s="1771" t="str">
        <f t="shared" si="139"/>
        <v/>
      </c>
      <c r="T160" s="1771" t="str">
        <f t="shared" si="139"/>
        <v/>
      </c>
      <c r="U160" s="1771" t="str">
        <f t="shared" si="139"/>
        <v/>
      </c>
      <c r="V160" s="3443" t="str">
        <f t="shared" si="139"/>
        <v/>
      </c>
      <c r="W160" s="1771" t="str">
        <f t="shared" si="140"/>
        <v/>
      </c>
      <c r="X160" s="1771" t="str">
        <f t="shared" si="140"/>
        <v/>
      </c>
      <c r="Y160" s="1771">
        <f t="shared" si="140"/>
        <v>0.04</v>
      </c>
      <c r="Z160" s="3437" t="str">
        <f t="shared" si="139"/>
        <v/>
      </c>
      <c r="AA160" s="1771" t="str">
        <f t="shared" si="139"/>
        <v/>
      </c>
      <c r="AB160" s="1771" t="str">
        <f t="shared" si="139"/>
        <v/>
      </c>
      <c r="AC160" s="3442" t="str">
        <f t="shared" si="139"/>
        <v/>
      </c>
      <c r="AD160" s="1771" t="str">
        <f t="shared" si="139"/>
        <v/>
      </c>
      <c r="AE160" s="1771" t="str">
        <f t="shared" si="139"/>
        <v/>
      </c>
      <c r="AF160" s="1771" t="str">
        <f t="shared" si="139"/>
        <v/>
      </c>
      <c r="AG160" s="3442" t="str">
        <f t="shared" si="141"/>
        <v/>
      </c>
      <c r="AH160" s="1771" t="str">
        <f t="shared" si="121"/>
        <v/>
      </c>
      <c r="AI160" s="3442" t="str">
        <f t="shared" si="121"/>
        <v/>
      </c>
      <c r="AJ160" s="3462"/>
      <c r="AK160" s="3439" t="str">
        <f>IF(J160=J319,"stop","")</f>
        <v/>
      </c>
      <c r="AL160" s="3437" t="str">
        <f t="shared" si="142"/>
        <v/>
      </c>
      <c r="AM160" s="1771" t="str">
        <f t="shared" si="142"/>
        <v/>
      </c>
      <c r="AN160" s="1771" t="str">
        <f t="shared" si="142"/>
        <v/>
      </c>
      <c r="AO160" s="1771" t="str">
        <f t="shared" si="142"/>
        <v/>
      </c>
      <c r="AP160" s="3443" t="str">
        <f t="shared" si="142"/>
        <v/>
      </c>
      <c r="AQ160" s="1771" t="str">
        <f t="shared" si="143"/>
        <v/>
      </c>
      <c r="AR160" s="1771" t="str">
        <f t="shared" si="143"/>
        <v/>
      </c>
      <c r="AS160" s="3442">
        <f t="shared" si="143"/>
        <v>0.5</v>
      </c>
      <c r="AT160" s="1771" t="str">
        <f t="shared" si="142"/>
        <v/>
      </c>
      <c r="AU160" s="1771" t="str">
        <f t="shared" si="142"/>
        <v/>
      </c>
      <c r="AV160" s="1771" t="str">
        <f t="shared" si="142"/>
        <v/>
      </c>
      <c r="AW160" s="3442" t="str">
        <f t="shared" si="142"/>
        <v/>
      </c>
      <c r="AX160" s="1771" t="str">
        <f t="shared" si="144"/>
        <v/>
      </c>
      <c r="AY160" s="1771" t="str">
        <f t="shared" si="144"/>
        <v/>
      </c>
      <c r="AZ160" s="1771" t="str">
        <f t="shared" si="144"/>
        <v/>
      </c>
      <c r="BA160" s="1771" t="str">
        <f t="shared" si="144"/>
        <v/>
      </c>
      <c r="BB160" s="3437" t="str">
        <f t="shared" si="144"/>
        <v/>
      </c>
      <c r="BC160" s="3443" t="str">
        <f t="shared" si="144"/>
        <v/>
      </c>
      <c r="BD160" s="3462"/>
      <c r="BE160" s="3440" t="str">
        <f>IF(J160=J319,"stop","")</f>
        <v/>
      </c>
      <c r="BF160" s="1771" t="str">
        <f t="shared" si="145"/>
        <v/>
      </c>
      <c r="BG160" s="1771" t="str">
        <f t="shared" si="145"/>
        <v/>
      </c>
      <c r="BH160" s="1771" t="str">
        <f t="shared" si="145"/>
        <v/>
      </c>
      <c r="BI160" s="1771" t="str">
        <f t="shared" si="145"/>
        <v/>
      </c>
      <c r="BJ160" s="3443" t="str">
        <f t="shared" si="145"/>
        <v/>
      </c>
      <c r="BK160" s="3437" t="str">
        <f t="shared" si="146"/>
        <v/>
      </c>
      <c r="BL160" s="1771" t="str">
        <f t="shared" si="146"/>
        <v/>
      </c>
      <c r="BM160" s="3442">
        <f t="shared" si="146"/>
        <v>0.1414213562373095</v>
      </c>
      <c r="BN160" s="1771" t="str">
        <f t="shared" si="145"/>
        <v/>
      </c>
      <c r="BO160" s="1771" t="str">
        <f t="shared" si="145"/>
        <v/>
      </c>
      <c r="BP160" s="1771" t="str">
        <f t="shared" si="145"/>
        <v/>
      </c>
      <c r="BQ160" s="1771" t="str">
        <f t="shared" si="145"/>
        <v/>
      </c>
      <c r="BR160" s="3437" t="str">
        <f t="shared" si="147"/>
        <v/>
      </c>
      <c r="BS160" s="1771" t="str">
        <f t="shared" si="147"/>
        <v/>
      </c>
      <c r="BT160" s="1771" t="str">
        <f t="shared" si="147"/>
        <v/>
      </c>
      <c r="BU160" s="3442" t="str">
        <f t="shared" si="147"/>
        <v/>
      </c>
      <c r="BV160" s="1771" t="str">
        <f t="shared" si="147"/>
        <v/>
      </c>
      <c r="BW160" s="3442" t="str">
        <f t="shared" si="147"/>
        <v/>
      </c>
      <c r="BX160" s="3462"/>
      <c r="BY160" s="3439" t="str">
        <f>IF(L160=L319,"stop","")</f>
        <v/>
      </c>
      <c r="BZ160" s="3437" t="str">
        <f t="shared" si="148"/>
        <v/>
      </c>
      <c r="CA160" s="1771" t="str">
        <f t="shared" si="148"/>
        <v/>
      </c>
      <c r="CB160" s="1771" t="str">
        <f t="shared" si="148"/>
        <v/>
      </c>
      <c r="CC160" s="3442" t="str">
        <f t="shared" si="148"/>
        <v/>
      </c>
      <c r="CD160" s="1771" t="str">
        <f t="shared" si="148"/>
        <v/>
      </c>
      <c r="CE160" s="3437" t="str">
        <f t="shared" si="149"/>
        <v/>
      </c>
      <c r="CF160" s="1771" t="str">
        <f t="shared" si="149"/>
        <v/>
      </c>
      <c r="CG160" s="1771">
        <f t="shared" si="149"/>
        <v>0.27</v>
      </c>
      <c r="CH160" s="3437" t="str">
        <f t="shared" si="148"/>
        <v/>
      </c>
      <c r="CI160" s="1771" t="str">
        <f t="shared" si="148"/>
        <v/>
      </c>
      <c r="CJ160" s="1771" t="str">
        <f t="shared" si="148"/>
        <v/>
      </c>
      <c r="CK160" s="3442" t="str">
        <f t="shared" si="148"/>
        <v/>
      </c>
      <c r="CL160" s="3437" t="str">
        <f t="shared" si="150"/>
        <v/>
      </c>
      <c r="CM160" s="1771" t="str">
        <f t="shared" si="150"/>
        <v/>
      </c>
      <c r="CN160" s="1771" t="str">
        <f t="shared" si="150"/>
        <v/>
      </c>
      <c r="CO160" s="3442" t="str">
        <f t="shared" si="150"/>
        <v/>
      </c>
      <c r="CP160" s="1771" t="str">
        <f t="shared" si="150"/>
        <v/>
      </c>
      <c r="CQ160" s="3442" t="str">
        <f t="shared" si="150"/>
        <v/>
      </c>
      <c r="CR160" s="3462"/>
    </row>
    <row r="161" spans="1:96" s="3" customFormat="1">
      <c r="A161" s="1848" t="s">
        <v>698</v>
      </c>
      <c r="B161" s="816">
        <v>11</v>
      </c>
      <c r="C161" s="816">
        <v>11</v>
      </c>
      <c r="D161" s="816">
        <v>0.05</v>
      </c>
      <c r="E161" s="1802" t="s">
        <v>35</v>
      </c>
      <c r="F161" s="816">
        <v>0.22</v>
      </c>
      <c r="G161" s="816" t="s">
        <v>784</v>
      </c>
      <c r="H161" s="816">
        <v>1988</v>
      </c>
      <c r="I161" s="50"/>
      <c r="J161" s="816">
        <f t="shared" si="128"/>
        <v>11</v>
      </c>
      <c r="K161" s="816">
        <v>0.05</v>
      </c>
      <c r="L161" s="816" t="s">
        <v>35</v>
      </c>
      <c r="M161" s="816">
        <v>0.22</v>
      </c>
      <c r="N161" s="845">
        <f t="shared" si="151"/>
        <v>0.10488088481701516</v>
      </c>
      <c r="O161" s="1831">
        <f t="shared" si="152"/>
        <v>0.13500000000000001</v>
      </c>
      <c r="P161" s="825" t="s">
        <v>1087</v>
      </c>
      <c r="Q161" s="3" t="str">
        <f>IF(J161=J319,"stop","")</f>
        <v/>
      </c>
      <c r="R161" s="3437" t="str">
        <f t="shared" si="139"/>
        <v/>
      </c>
      <c r="S161" s="1771" t="str">
        <f t="shared" si="139"/>
        <v/>
      </c>
      <c r="T161" s="1771" t="str">
        <f t="shared" si="139"/>
        <v/>
      </c>
      <c r="U161" s="1771" t="str">
        <f t="shared" si="139"/>
        <v/>
      </c>
      <c r="V161" s="3443" t="str">
        <f t="shared" si="139"/>
        <v/>
      </c>
      <c r="W161" s="1771" t="str">
        <f t="shared" si="140"/>
        <v/>
      </c>
      <c r="X161" s="1771" t="str">
        <f t="shared" si="140"/>
        <v/>
      </c>
      <c r="Y161" s="1771" t="str">
        <f t="shared" si="140"/>
        <v/>
      </c>
      <c r="Z161" s="3437" t="str">
        <f t="shared" si="139"/>
        <v/>
      </c>
      <c r="AA161" s="1771" t="str">
        <f t="shared" si="139"/>
        <v/>
      </c>
      <c r="AB161" s="1771" t="str">
        <f t="shared" si="139"/>
        <v/>
      </c>
      <c r="AC161" s="3442" t="str">
        <f t="shared" si="139"/>
        <v/>
      </c>
      <c r="AD161" s="1771">
        <f t="shared" si="139"/>
        <v>0.05</v>
      </c>
      <c r="AE161" s="1771" t="str">
        <f t="shared" si="139"/>
        <v/>
      </c>
      <c r="AF161" s="1771" t="str">
        <f t="shared" si="139"/>
        <v/>
      </c>
      <c r="AG161" s="3442" t="str">
        <f t="shared" si="141"/>
        <v/>
      </c>
      <c r="AH161" s="1771" t="str">
        <f t="shared" si="121"/>
        <v/>
      </c>
      <c r="AI161" s="3442" t="str">
        <f t="shared" si="121"/>
        <v/>
      </c>
      <c r="AJ161" s="3462"/>
      <c r="AK161" s="3439" t="str">
        <f>IF(J161=J319,"stop","")</f>
        <v/>
      </c>
      <c r="AL161" s="3437" t="str">
        <f t="shared" ref="AL161:AW170" si="153">IF(AND($J161&gt;AL$4,$J161&lt;=AL$5,$P161=AL$6),$M161,"")</f>
        <v/>
      </c>
      <c r="AM161" s="1771" t="str">
        <f t="shared" si="153"/>
        <v/>
      </c>
      <c r="AN161" s="1771" t="str">
        <f t="shared" si="153"/>
        <v/>
      </c>
      <c r="AO161" s="1771" t="str">
        <f t="shared" si="153"/>
        <v/>
      </c>
      <c r="AP161" s="3443" t="str">
        <f t="shared" si="153"/>
        <v/>
      </c>
      <c r="AQ161" s="1771" t="str">
        <f t="shared" si="143"/>
        <v/>
      </c>
      <c r="AR161" s="1771" t="str">
        <f t="shared" si="143"/>
        <v/>
      </c>
      <c r="AS161" s="3442" t="str">
        <f t="shared" si="143"/>
        <v/>
      </c>
      <c r="AT161" s="1771" t="str">
        <f t="shared" si="153"/>
        <v/>
      </c>
      <c r="AU161" s="1771" t="str">
        <f t="shared" si="153"/>
        <v/>
      </c>
      <c r="AV161" s="1771" t="str">
        <f t="shared" si="153"/>
        <v/>
      </c>
      <c r="AW161" s="3442" t="str">
        <f t="shared" si="153"/>
        <v/>
      </c>
      <c r="AX161" s="1771">
        <f t="shared" ref="AX161:BC170" si="154">IF(AND($J161&gt;AX$4,$J161&lt;=AX$5,$P161=AX$6),$M161,"")</f>
        <v>0.22</v>
      </c>
      <c r="AY161" s="1771" t="str">
        <f t="shared" si="154"/>
        <v/>
      </c>
      <c r="AZ161" s="1771" t="str">
        <f t="shared" si="154"/>
        <v/>
      </c>
      <c r="BA161" s="1771" t="str">
        <f t="shared" si="154"/>
        <v/>
      </c>
      <c r="BB161" s="3437" t="str">
        <f t="shared" si="154"/>
        <v/>
      </c>
      <c r="BC161" s="3443" t="str">
        <f t="shared" si="154"/>
        <v/>
      </c>
      <c r="BD161" s="3462"/>
      <c r="BE161" s="3440" t="str">
        <f>IF(J161=J319,"stop","")</f>
        <v/>
      </c>
      <c r="BF161" s="1771" t="str">
        <f t="shared" ref="BF161:BQ170" si="155">IF(AND($J161&gt;BF$4,$J161&lt;=BF$5,$P161=BF$6),$N161,"")</f>
        <v/>
      </c>
      <c r="BG161" s="1771" t="str">
        <f t="shared" si="155"/>
        <v/>
      </c>
      <c r="BH161" s="1771" t="str">
        <f t="shared" si="155"/>
        <v/>
      </c>
      <c r="BI161" s="1771" t="str">
        <f t="shared" si="155"/>
        <v/>
      </c>
      <c r="BJ161" s="3443" t="str">
        <f t="shared" si="155"/>
        <v/>
      </c>
      <c r="BK161" s="3437" t="str">
        <f t="shared" si="146"/>
        <v/>
      </c>
      <c r="BL161" s="1771" t="str">
        <f t="shared" si="146"/>
        <v/>
      </c>
      <c r="BM161" s="3442" t="str">
        <f t="shared" si="146"/>
        <v/>
      </c>
      <c r="BN161" s="1771" t="str">
        <f t="shared" si="155"/>
        <v/>
      </c>
      <c r="BO161" s="1771" t="str">
        <f t="shared" si="155"/>
        <v/>
      </c>
      <c r="BP161" s="1771" t="str">
        <f t="shared" si="155"/>
        <v/>
      </c>
      <c r="BQ161" s="1771" t="str">
        <f t="shared" si="155"/>
        <v/>
      </c>
      <c r="BR161" s="3437">
        <f t="shared" ref="BR161:BW170" si="156">IF(AND($J161&gt;BR$4,$J161&lt;=BR$5,$P161=BR$6),$N161,"")</f>
        <v>0.10488088481701516</v>
      </c>
      <c r="BS161" s="1771" t="str">
        <f t="shared" si="156"/>
        <v/>
      </c>
      <c r="BT161" s="1771" t="str">
        <f t="shared" si="156"/>
        <v/>
      </c>
      <c r="BU161" s="3442" t="str">
        <f t="shared" si="156"/>
        <v/>
      </c>
      <c r="BV161" s="1771" t="str">
        <f t="shared" si="156"/>
        <v/>
      </c>
      <c r="BW161" s="3442" t="str">
        <f t="shared" si="156"/>
        <v/>
      </c>
      <c r="BX161" s="3462"/>
      <c r="BY161" s="3439" t="str">
        <f>IF(L161=L319,"stop","")</f>
        <v/>
      </c>
      <c r="BZ161" s="3437" t="str">
        <f t="shared" ref="BZ161:CK170" si="157">IF(AND($J161&gt;BZ$4,$J161&lt;=BZ$5,$P161=BZ$6),$O161,"")</f>
        <v/>
      </c>
      <c r="CA161" s="1771" t="str">
        <f t="shared" si="157"/>
        <v/>
      </c>
      <c r="CB161" s="1771" t="str">
        <f t="shared" si="157"/>
        <v/>
      </c>
      <c r="CC161" s="3442" t="str">
        <f t="shared" si="157"/>
        <v/>
      </c>
      <c r="CD161" s="1771" t="str">
        <f t="shared" si="157"/>
        <v/>
      </c>
      <c r="CE161" s="3437" t="str">
        <f t="shared" si="149"/>
        <v/>
      </c>
      <c r="CF161" s="1771" t="str">
        <f t="shared" si="149"/>
        <v/>
      </c>
      <c r="CG161" s="1771" t="str">
        <f t="shared" si="149"/>
        <v/>
      </c>
      <c r="CH161" s="3437" t="str">
        <f t="shared" si="157"/>
        <v/>
      </c>
      <c r="CI161" s="1771" t="str">
        <f t="shared" si="157"/>
        <v/>
      </c>
      <c r="CJ161" s="1771" t="str">
        <f t="shared" si="157"/>
        <v/>
      </c>
      <c r="CK161" s="3442" t="str">
        <f t="shared" si="157"/>
        <v/>
      </c>
      <c r="CL161" s="3437">
        <f t="shared" ref="CL161:CQ170" si="158">IF(AND($J161&gt;CL$4,$J161&lt;=CL$5,$P161=CL$6),$O161,"")</f>
        <v>0.13500000000000001</v>
      </c>
      <c r="CM161" s="1771" t="str">
        <f t="shared" si="158"/>
        <v/>
      </c>
      <c r="CN161" s="1771" t="str">
        <f t="shared" si="158"/>
        <v/>
      </c>
      <c r="CO161" s="3442" t="str">
        <f t="shared" si="158"/>
        <v/>
      </c>
      <c r="CP161" s="1771" t="str">
        <f t="shared" si="158"/>
        <v/>
      </c>
      <c r="CQ161" s="3442" t="str">
        <f t="shared" si="158"/>
        <v/>
      </c>
      <c r="CR161" s="3462"/>
    </row>
    <row r="162" spans="1:96" s="3" customFormat="1">
      <c r="A162" s="1845" t="s">
        <v>699</v>
      </c>
      <c r="B162" s="817">
        <v>12</v>
      </c>
      <c r="C162" s="817">
        <v>12</v>
      </c>
      <c r="D162" s="817">
        <v>0.04</v>
      </c>
      <c r="E162" s="1802" t="s">
        <v>35</v>
      </c>
      <c r="F162" s="817">
        <v>0.09</v>
      </c>
      <c r="G162" s="817" t="s">
        <v>784</v>
      </c>
      <c r="H162" s="817">
        <v>1988</v>
      </c>
      <c r="I162" s="50"/>
      <c r="J162" s="816">
        <f t="shared" si="128"/>
        <v>12</v>
      </c>
      <c r="K162" s="817">
        <v>0.04</v>
      </c>
      <c r="L162" s="817" t="s">
        <v>35</v>
      </c>
      <c r="M162" s="817">
        <v>0.09</v>
      </c>
      <c r="N162" s="845">
        <f t="shared" si="151"/>
        <v>0.06</v>
      </c>
      <c r="O162" s="1831">
        <f t="shared" si="152"/>
        <v>6.5000000000000002E-2</v>
      </c>
      <c r="P162" s="825" t="s">
        <v>1087</v>
      </c>
      <c r="Q162" s="3" t="str">
        <f>IF(J162=J319,"stop","")</f>
        <v/>
      </c>
      <c r="R162" s="3437" t="str">
        <f t="shared" si="139"/>
        <v/>
      </c>
      <c r="S162" s="1771" t="str">
        <f t="shared" si="139"/>
        <v/>
      </c>
      <c r="T162" s="1771" t="str">
        <f t="shared" si="139"/>
        <v/>
      </c>
      <c r="U162" s="1771" t="str">
        <f t="shared" si="139"/>
        <v/>
      </c>
      <c r="V162" s="3443" t="str">
        <f t="shared" si="139"/>
        <v/>
      </c>
      <c r="W162" s="1771" t="str">
        <f t="shared" si="140"/>
        <v/>
      </c>
      <c r="X162" s="1771" t="str">
        <f t="shared" si="140"/>
        <v/>
      </c>
      <c r="Y162" s="1771" t="str">
        <f t="shared" si="140"/>
        <v/>
      </c>
      <c r="Z162" s="3437" t="str">
        <f t="shared" si="139"/>
        <v/>
      </c>
      <c r="AA162" s="1771" t="str">
        <f t="shared" si="139"/>
        <v/>
      </c>
      <c r="AB162" s="1771" t="str">
        <f t="shared" si="139"/>
        <v/>
      </c>
      <c r="AC162" s="3442" t="str">
        <f t="shared" si="139"/>
        <v/>
      </c>
      <c r="AD162" s="1771">
        <f t="shared" si="139"/>
        <v>0.04</v>
      </c>
      <c r="AE162" s="1771" t="str">
        <f t="shared" si="139"/>
        <v/>
      </c>
      <c r="AF162" s="1771" t="str">
        <f t="shared" si="139"/>
        <v/>
      </c>
      <c r="AG162" s="3442" t="str">
        <f t="shared" si="141"/>
        <v/>
      </c>
      <c r="AH162" s="1771" t="str">
        <f t="shared" ref="AH162:AI169" si="159">IF(AND($J162&gt;AH$4,$J162&lt;=AH$5,$P162=AH$6),$K162,"")</f>
        <v/>
      </c>
      <c r="AI162" s="3442" t="str">
        <f t="shared" si="159"/>
        <v/>
      </c>
      <c r="AJ162" s="3462"/>
      <c r="AK162" s="3439" t="str">
        <f>IF(J162=J319,"stop","")</f>
        <v/>
      </c>
      <c r="AL162" s="3437" t="str">
        <f t="shared" si="153"/>
        <v/>
      </c>
      <c r="AM162" s="1771" t="str">
        <f t="shared" si="153"/>
        <v/>
      </c>
      <c r="AN162" s="1771" t="str">
        <f t="shared" si="153"/>
        <v/>
      </c>
      <c r="AO162" s="1771" t="str">
        <f t="shared" si="153"/>
        <v/>
      </c>
      <c r="AP162" s="3443" t="str">
        <f t="shared" si="153"/>
        <v/>
      </c>
      <c r="AQ162" s="1771" t="str">
        <f t="shared" si="143"/>
        <v/>
      </c>
      <c r="AR162" s="1771" t="str">
        <f t="shared" si="143"/>
        <v/>
      </c>
      <c r="AS162" s="3442" t="str">
        <f t="shared" si="143"/>
        <v/>
      </c>
      <c r="AT162" s="1771" t="str">
        <f t="shared" si="153"/>
        <v/>
      </c>
      <c r="AU162" s="1771" t="str">
        <f t="shared" si="153"/>
        <v/>
      </c>
      <c r="AV162" s="1771" t="str">
        <f t="shared" si="153"/>
        <v/>
      </c>
      <c r="AW162" s="3442" t="str">
        <f t="shared" si="153"/>
        <v/>
      </c>
      <c r="AX162" s="1771">
        <f t="shared" si="154"/>
        <v>0.09</v>
      </c>
      <c r="AY162" s="1771" t="str">
        <f t="shared" si="154"/>
        <v/>
      </c>
      <c r="AZ162" s="1771" t="str">
        <f t="shared" si="154"/>
        <v/>
      </c>
      <c r="BA162" s="1771" t="str">
        <f t="shared" si="154"/>
        <v/>
      </c>
      <c r="BB162" s="3437" t="str">
        <f t="shared" si="154"/>
        <v/>
      </c>
      <c r="BC162" s="3443" t="str">
        <f t="shared" si="154"/>
        <v/>
      </c>
      <c r="BD162" s="3462"/>
      <c r="BE162" s="3440" t="str">
        <f>IF(J162=J319,"stop","")</f>
        <v/>
      </c>
      <c r="BF162" s="1771" t="str">
        <f t="shared" si="155"/>
        <v/>
      </c>
      <c r="BG162" s="1771" t="str">
        <f t="shared" si="155"/>
        <v/>
      </c>
      <c r="BH162" s="1771" t="str">
        <f t="shared" si="155"/>
        <v/>
      </c>
      <c r="BI162" s="1771" t="str">
        <f t="shared" si="155"/>
        <v/>
      </c>
      <c r="BJ162" s="3443" t="str">
        <f t="shared" si="155"/>
        <v/>
      </c>
      <c r="BK162" s="3437" t="str">
        <f t="shared" si="146"/>
        <v/>
      </c>
      <c r="BL162" s="1771" t="str">
        <f t="shared" si="146"/>
        <v/>
      </c>
      <c r="BM162" s="3442" t="str">
        <f t="shared" si="146"/>
        <v/>
      </c>
      <c r="BN162" s="1771" t="str">
        <f t="shared" si="155"/>
        <v/>
      </c>
      <c r="BO162" s="1771" t="str">
        <f t="shared" si="155"/>
        <v/>
      </c>
      <c r="BP162" s="1771" t="str">
        <f t="shared" si="155"/>
        <v/>
      </c>
      <c r="BQ162" s="1771" t="str">
        <f t="shared" si="155"/>
        <v/>
      </c>
      <c r="BR162" s="3437">
        <f t="shared" si="156"/>
        <v>0.06</v>
      </c>
      <c r="BS162" s="1771" t="str">
        <f t="shared" si="156"/>
        <v/>
      </c>
      <c r="BT162" s="1771" t="str">
        <f t="shared" si="156"/>
        <v/>
      </c>
      <c r="BU162" s="3442" t="str">
        <f t="shared" si="156"/>
        <v/>
      </c>
      <c r="BV162" s="1771" t="str">
        <f t="shared" si="156"/>
        <v/>
      </c>
      <c r="BW162" s="3442" t="str">
        <f t="shared" si="156"/>
        <v/>
      </c>
      <c r="BX162" s="3462"/>
      <c r="BY162" s="3439" t="str">
        <f>IF(L162=L319,"stop","")</f>
        <v/>
      </c>
      <c r="BZ162" s="3437" t="str">
        <f t="shared" si="157"/>
        <v/>
      </c>
      <c r="CA162" s="1771" t="str">
        <f t="shared" si="157"/>
        <v/>
      </c>
      <c r="CB162" s="1771" t="str">
        <f t="shared" si="157"/>
        <v/>
      </c>
      <c r="CC162" s="3442" t="str">
        <f t="shared" si="157"/>
        <v/>
      </c>
      <c r="CD162" s="1771" t="str">
        <f t="shared" si="157"/>
        <v/>
      </c>
      <c r="CE162" s="3437" t="str">
        <f t="shared" si="149"/>
        <v/>
      </c>
      <c r="CF162" s="1771" t="str">
        <f t="shared" si="149"/>
        <v/>
      </c>
      <c r="CG162" s="1771" t="str">
        <f t="shared" si="149"/>
        <v/>
      </c>
      <c r="CH162" s="3437" t="str">
        <f t="shared" si="157"/>
        <v/>
      </c>
      <c r="CI162" s="1771" t="str">
        <f t="shared" si="157"/>
        <v/>
      </c>
      <c r="CJ162" s="1771" t="str">
        <f t="shared" si="157"/>
        <v/>
      </c>
      <c r="CK162" s="3442" t="str">
        <f t="shared" si="157"/>
        <v/>
      </c>
      <c r="CL162" s="3437">
        <f t="shared" si="158"/>
        <v>6.5000000000000002E-2</v>
      </c>
      <c r="CM162" s="1771" t="str">
        <f t="shared" si="158"/>
        <v/>
      </c>
      <c r="CN162" s="1771" t="str">
        <f t="shared" si="158"/>
        <v/>
      </c>
      <c r="CO162" s="3442" t="str">
        <f t="shared" si="158"/>
        <v/>
      </c>
      <c r="CP162" s="1771" t="str">
        <f t="shared" si="158"/>
        <v/>
      </c>
      <c r="CQ162" s="3442" t="str">
        <f t="shared" si="158"/>
        <v/>
      </c>
      <c r="CR162" s="3462"/>
    </row>
    <row r="163" spans="1:96" s="3" customFormat="1">
      <c r="A163" s="1847" t="s">
        <v>711</v>
      </c>
      <c r="B163" s="815" t="s">
        <v>692</v>
      </c>
      <c r="C163" s="819" t="s">
        <v>693</v>
      </c>
      <c r="D163" s="816"/>
      <c r="E163" s="1802"/>
      <c r="F163" s="816"/>
      <c r="G163" s="816"/>
      <c r="H163" s="816"/>
      <c r="I163" s="50"/>
      <c r="J163" s="816"/>
      <c r="K163" s="816"/>
      <c r="L163" s="816"/>
      <c r="M163" s="816"/>
      <c r="N163" s="845">
        <f t="shared" si="151"/>
        <v>0</v>
      </c>
      <c r="O163" s="1831">
        <f t="shared" si="152"/>
        <v>0</v>
      </c>
      <c r="P163" s="825" t="s">
        <v>1087</v>
      </c>
      <c r="Q163" s="3" t="str">
        <f>IF(J163=J319,"stop","")</f>
        <v/>
      </c>
      <c r="R163" s="3437" t="str">
        <f t="shared" si="139"/>
        <v/>
      </c>
      <c r="S163" s="1771" t="str">
        <f t="shared" si="139"/>
        <v/>
      </c>
      <c r="T163" s="1771" t="str">
        <f t="shared" si="139"/>
        <v/>
      </c>
      <c r="U163" s="1771" t="str">
        <f t="shared" si="139"/>
        <v/>
      </c>
      <c r="V163" s="3443" t="str">
        <f t="shared" si="139"/>
        <v/>
      </c>
      <c r="W163" s="1771" t="str">
        <f t="shared" si="140"/>
        <v/>
      </c>
      <c r="X163" s="1771" t="str">
        <f t="shared" si="140"/>
        <v/>
      </c>
      <c r="Y163" s="1771" t="str">
        <f t="shared" si="140"/>
        <v/>
      </c>
      <c r="Z163" s="3437" t="str">
        <f t="shared" si="139"/>
        <v/>
      </c>
      <c r="AA163" s="1771" t="str">
        <f t="shared" si="139"/>
        <v/>
      </c>
      <c r="AB163" s="1771" t="str">
        <f t="shared" si="139"/>
        <v/>
      </c>
      <c r="AC163" s="3442" t="str">
        <f t="shared" si="139"/>
        <v/>
      </c>
      <c r="AD163" s="1771" t="str">
        <f t="shared" si="139"/>
        <v/>
      </c>
      <c r="AE163" s="1771" t="str">
        <f t="shared" si="139"/>
        <v/>
      </c>
      <c r="AF163" s="1771" t="str">
        <f t="shared" si="139"/>
        <v/>
      </c>
      <c r="AG163" s="3442" t="str">
        <f t="shared" si="141"/>
        <v/>
      </c>
      <c r="AH163" s="1771" t="str">
        <f t="shared" si="159"/>
        <v/>
      </c>
      <c r="AI163" s="3442" t="str">
        <f t="shared" si="159"/>
        <v/>
      </c>
      <c r="AJ163" s="3462"/>
      <c r="AK163" s="3439" t="str">
        <f>IF(J163=J319,"stop","")</f>
        <v/>
      </c>
      <c r="AL163" s="3437" t="str">
        <f t="shared" si="153"/>
        <v/>
      </c>
      <c r="AM163" s="1771" t="str">
        <f t="shared" si="153"/>
        <v/>
      </c>
      <c r="AN163" s="1771" t="str">
        <f t="shared" si="153"/>
        <v/>
      </c>
      <c r="AO163" s="1771" t="str">
        <f t="shared" si="153"/>
        <v/>
      </c>
      <c r="AP163" s="3443" t="str">
        <f t="shared" si="153"/>
        <v/>
      </c>
      <c r="AQ163" s="1771" t="str">
        <f t="shared" si="143"/>
        <v/>
      </c>
      <c r="AR163" s="1771" t="str">
        <f t="shared" si="143"/>
        <v/>
      </c>
      <c r="AS163" s="3442" t="str">
        <f t="shared" si="143"/>
        <v/>
      </c>
      <c r="AT163" s="1771" t="str">
        <f t="shared" si="153"/>
        <v/>
      </c>
      <c r="AU163" s="1771" t="str">
        <f t="shared" si="153"/>
        <v/>
      </c>
      <c r="AV163" s="1771" t="str">
        <f t="shared" si="153"/>
        <v/>
      </c>
      <c r="AW163" s="3442" t="str">
        <f t="shared" si="153"/>
        <v/>
      </c>
      <c r="AX163" s="1771" t="str">
        <f t="shared" si="154"/>
        <v/>
      </c>
      <c r="AY163" s="1771" t="str">
        <f t="shared" si="154"/>
        <v/>
      </c>
      <c r="AZ163" s="1771" t="str">
        <f t="shared" si="154"/>
        <v/>
      </c>
      <c r="BA163" s="1771" t="str">
        <f t="shared" si="154"/>
        <v/>
      </c>
      <c r="BB163" s="3437" t="str">
        <f t="shared" si="154"/>
        <v/>
      </c>
      <c r="BC163" s="3443" t="str">
        <f t="shared" si="154"/>
        <v/>
      </c>
      <c r="BD163" s="3462"/>
      <c r="BE163" s="3440" t="str">
        <f>IF(J163=J319,"stop","")</f>
        <v/>
      </c>
      <c r="BF163" s="1771" t="str">
        <f t="shared" si="155"/>
        <v/>
      </c>
      <c r="BG163" s="1771" t="str">
        <f t="shared" si="155"/>
        <v/>
      </c>
      <c r="BH163" s="1771" t="str">
        <f t="shared" si="155"/>
        <v/>
      </c>
      <c r="BI163" s="1771" t="str">
        <f t="shared" si="155"/>
        <v/>
      </c>
      <c r="BJ163" s="3443" t="str">
        <f t="shared" si="155"/>
        <v/>
      </c>
      <c r="BK163" s="3437" t="str">
        <f t="shared" si="146"/>
        <v/>
      </c>
      <c r="BL163" s="1771" t="str">
        <f t="shared" si="146"/>
        <v/>
      </c>
      <c r="BM163" s="3442" t="str">
        <f t="shared" si="146"/>
        <v/>
      </c>
      <c r="BN163" s="1771" t="str">
        <f t="shared" si="155"/>
        <v/>
      </c>
      <c r="BO163" s="1771" t="str">
        <f t="shared" si="155"/>
        <v/>
      </c>
      <c r="BP163" s="1771" t="str">
        <f t="shared" si="155"/>
        <v/>
      </c>
      <c r="BQ163" s="1771" t="str">
        <f t="shared" si="155"/>
        <v/>
      </c>
      <c r="BR163" s="3437" t="str">
        <f t="shared" si="156"/>
        <v/>
      </c>
      <c r="BS163" s="1771" t="str">
        <f t="shared" si="156"/>
        <v/>
      </c>
      <c r="BT163" s="1771" t="str">
        <f t="shared" si="156"/>
        <v/>
      </c>
      <c r="BU163" s="3442" t="str">
        <f t="shared" si="156"/>
        <v/>
      </c>
      <c r="BV163" s="1771" t="str">
        <f t="shared" si="156"/>
        <v/>
      </c>
      <c r="BW163" s="3442" t="str">
        <f t="shared" si="156"/>
        <v/>
      </c>
      <c r="BX163" s="3462"/>
      <c r="BY163" s="3439" t="str">
        <f>IF(L163=L319,"stop","")</f>
        <v>stop</v>
      </c>
      <c r="BZ163" s="3437" t="str">
        <f t="shared" si="157"/>
        <v/>
      </c>
      <c r="CA163" s="1771" t="str">
        <f t="shared" si="157"/>
        <v/>
      </c>
      <c r="CB163" s="1771" t="str">
        <f t="shared" si="157"/>
        <v/>
      </c>
      <c r="CC163" s="3442" t="str">
        <f t="shared" si="157"/>
        <v/>
      </c>
      <c r="CD163" s="1771" t="str">
        <f t="shared" si="157"/>
        <v/>
      </c>
      <c r="CE163" s="3437" t="str">
        <f t="shared" si="149"/>
        <v/>
      </c>
      <c r="CF163" s="1771" t="str">
        <f t="shared" si="149"/>
        <v/>
      </c>
      <c r="CG163" s="1771" t="str">
        <f t="shared" si="149"/>
        <v/>
      </c>
      <c r="CH163" s="3437" t="str">
        <f t="shared" si="157"/>
        <v/>
      </c>
      <c r="CI163" s="1771" t="str">
        <f t="shared" si="157"/>
        <v/>
      </c>
      <c r="CJ163" s="1771" t="str">
        <f t="shared" si="157"/>
        <v/>
      </c>
      <c r="CK163" s="3442" t="str">
        <f t="shared" si="157"/>
        <v/>
      </c>
      <c r="CL163" s="3437" t="str">
        <f t="shared" si="158"/>
        <v/>
      </c>
      <c r="CM163" s="1771" t="str">
        <f t="shared" si="158"/>
        <v/>
      </c>
      <c r="CN163" s="1771" t="str">
        <f t="shared" si="158"/>
        <v/>
      </c>
      <c r="CO163" s="3442" t="str">
        <f t="shared" si="158"/>
        <v/>
      </c>
      <c r="CP163" s="1771" t="str">
        <f t="shared" si="158"/>
        <v/>
      </c>
      <c r="CQ163" s="3442" t="str">
        <f t="shared" si="158"/>
        <v/>
      </c>
      <c r="CR163" s="3462"/>
    </row>
    <row r="164" spans="1:96" s="3" customFormat="1">
      <c r="A164" s="1848" t="s">
        <v>789</v>
      </c>
      <c r="B164" s="816">
        <v>4</v>
      </c>
      <c r="C164" s="816">
        <v>3.67</v>
      </c>
      <c r="D164" s="816">
        <v>0.12</v>
      </c>
      <c r="E164" s="1802" t="s">
        <v>35</v>
      </c>
      <c r="F164" s="816">
        <v>0.37</v>
      </c>
      <c r="G164" s="816" t="s">
        <v>784</v>
      </c>
      <c r="H164" s="816">
        <v>1988</v>
      </c>
      <c r="I164" s="50"/>
      <c r="J164" s="816">
        <f t="shared" si="128"/>
        <v>3.67</v>
      </c>
      <c r="K164" s="816">
        <v>0.12</v>
      </c>
      <c r="L164" s="816" t="s">
        <v>35</v>
      </c>
      <c r="M164" s="816">
        <v>0.37</v>
      </c>
      <c r="N164" s="845">
        <f t="shared" si="151"/>
        <v>0.21071307505705478</v>
      </c>
      <c r="O164" s="1831">
        <f t="shared" si="152"/>
        <v>0.245</v>
      </c>
      <c r="P164" s="825" t="s">
        <v>1087</v>
      </c>
      <c r="Q164" s="3" t="str">
        <f>IF(J164=J319,"stop","")</f>
        <v/>
      </c>
      <c r="R164" s="3437" t="str">
        <f t="shared" si="139"/>
        <v/>
      </c>
      <c r="S164" s="1771" t="str">
        <f t="shared" si="139"/>
        <v/>
      </c>
      <c r="T164" s="1771" t="str">
        <f t="shared" si="139"/>
        <v/>
      </c>
      <c r="U164" s="1771" t="str">
        <f t="shared" si="139"/>
        <v/>
      </c>
      <c r="V164" s="3443" t="str">
        <f t="shared" si="139"/>
        <v/>
      </c>
      <c r="W164" s="1771" t="str">
        <f t="shared" si="140"/>
        <v/>
      </c>
      <c r="X164" s="1771" t="str">
        <f t="shared" si="140"/>
        <v/>
      </c>
      <c r="Y164" s="1771" t="str">
        <f t="shared" si="140"/>
        <v/>
      </c>
      <c r="Z164" s="3437" t="str">
        <f t="shared" si="139"/>
        <v/>
      </c>
      <c r="AA164" s="1771" t="str">
        <f t="shared" si="139"/>
        <v/>
      </c>
      <c r="AB164" s="1771" t="str">
        <f t="shared" si="139"/>
        <v/>
      </c>
      <c r="AC164" s="3442" t="str">
        <f t="shared" si="139"/>
        <v/>
      </c>
      <c r="AD164" s="1771" t="str">
        <f t="shared" si="139"/>
        <v/>
      </c>
      <c r="AE164" s="1771" t="str">
        <f t="shared" si="139"/>
        <v/>
      </c>
      <c r="AF164" s="1771" t="str">
        <f t="shared" si="139"/>
        <v/>
      </c>
      <c r="AG164" s="3442" t="str">
        <f t="shared" si="141"/>
        <v/>
      </c>
      <c r="AH164" s="1771" t="str">
        <f t="shared" si="159"/>
        <v/>
      </c>
      <c r="AI164" s="3442">
        <f t="shared" si="159"/>
        <v>0.12</v>
      </c>
      <c r="AJ164" s="3462"/>
      <c r="AK164" s="3439" t="str">
        <f>IF(J164=J319,"stop","")</f>
        <v/>
      </c>
      <c r="AL164" s="3437" t="str">
        <f t="shared" si="153"/>
        <v/>
      </c>
      <c r="AM164" s="1771" t="str">
        <f t="shared" si="153"/>
        <v/>
      </c>
      <c r="AN164" s="1771" t="str">
        <f t="shared" si="153"/>
        <v/>
      </c>
      <c r="AO164" s="1771" t="str">
        <f t="shared" si="153"/>
        <v/>
      </c>
      <c r="AP164" s="3443" t="str">
        <f t="shared" si="153"/>
        <v/>
      </c>
      <c r="AQ164" s="1771" t="str">
        <f t="shared" si="143"/>
        <v/>
      </c>
      <c r="AR164" s="1771" t="str">
        <f t="shared" si="143"/>
        <v/>
      </c>
      <c r="AS164" s="3442" t="str">
        <f t="shared" si="143"/>
        <v/>
      </c>
      <c r="AT164" s="1771" t="str">
        <f t="shared" si="153"/>
        <v/>
      </c>
      <c r="AU164" s="1771" t="str">
        <f t="shared" si="153"/>
        <v/>
      </c>
      <c r="AV164" s="1771" t="str">
        <f t="shared" si="153"/>
        <v/>
      </c>
      <c r="AW164" s="3442" t="str">
        <f t="shared" si="153"/>
        <v/>
      </c>
      <c r="AX164" s="1771" t="str">
        <f t="shared" si="154"/>
        <v/>
      </c>
      <c r="AY164" s="1771" t="str">
        <f t="shared" si="154"/>
        <v/>
      </c>
      <c r="AZ164" s="1771" t="str">
        <f t="shared" si="154"/>
        <v/>
      </c>
      <c r="BA164" s="1771" t="str">
        <f t="shared" si="154"/>
        <v/>
      </c>
      <c r="BB164" s="3437" t="str">
        <f t="shared" si="154"/>
        <v/>
      </c>
      <c r="BC164" s="3443">
        <f t="shared" si="154"/>
        <v>0.37</v>
      </c>
      <c r="BD164" s="3462"/>
      <c r="BE164" s="3440" t="str">
        <f>IF(J164=J319,"stop","")</f>
        <v/>
      </c>
      <c r="BF164" s="1771" t="str">
        <f t="shared" si="155"/>
        <v/>
      </c>
      <c r="BG164" s="1771" t="str">
        <f t="shared" si="155"/>
        <v/>
      </c>
      <c r="BH164" s="1771" t="str">
        <f t="shared" si="155"/>
        <v/>
      </c>
      <c r="BI164" s="1771" t="str">
        <f t="shared" si="155"/>
        <v/>
      </c>
      <c r="BJ164" s="3443" t="str">
        <f t="shared" si="155"/>
        <v/>
      </c>
      <c r="BK164" s="3437" t="str">
        <f t="shared" si="146"/>
        <v/>
      </c>
      <c r="BL164" s="1771" t="str">
        <f t="shared" si="146"/>
        <v/>
      </c>
      <c r="BM164" s="3442" t="str">
        <f t="shared" si="146"/>
        <v/>
      </c>
      <c r="BN164" s="1771" t="str">
        <f t="shared" si="155"/>
        <v/>
      </c>
      <c r="BO164" s="1771" t="str">
        <f t="shared" si="155"/>
        <v/>
      </c>
      <c r="BP164" s="1771" t="str">
        <f t="shared" si="155"/>
        <v/>
      </c>
      <c r="BQ164" s="1771" t="str">
        <f t="shared" si="155"/>
        <v/>
      </c>
      <c r="BR164" s="3437" t="str">
        <f t="shared" si="156"/>
        <v/>
      </c>
      <c r="BS164" s="1771" t="str">
        <f t="shared" si="156"/>
        <v/>
      </c>
      <c r="BT164" s="1771" t="str">
        <f t="shared" si="156"/>
        <v/>
      </c>
      <c r="BU164" s="3442" t="str">
        <f t="shared" si="156"/>
        <v/>
      </c>
      <c r="BV164" s="1771" t="str">
        <f t="shared" si="156"/>
        <v/>
      </c>
      <c r="BW164" s="3442">
        <f t="shared" si="156"/>
        <v>0.21071307505705478</v>
      </c>
      <c r="BX164" s="3462"/>
      <c r="BY164" s="3439" t="str">
        <f>IF(L164=L319,"stop","")</f>
        <v/>
      </c>
      <c r="BZ164" s="3437" t="str">
        <f t="shared" si="157"/>
        <v/>
      </c>
      <c r="CA164" s="1771" t="str">
        <f t="shared" si="157"/>
        <v/>
      </c>
      <c r="CB164" s="1771" t="str">
        <f t="shared" si="157"/>
        <v/>
      </c>
      <c r="CC164" s="3442" t="str">
        <f t="shared" si="157"/>
        <v/>
      </c>
      <c r="CD164" s="1771" t="str">
        <f t="shared" si="157"/>
        <v/>
      </c>
      <c r="CE164" s="3437" t="str">
        <f t="shared" si="149"/>
        <v/>
      </c>
      <c r="CF164" s="1771" t="str">
        <f t="shared" si="149"/>
        <v/>
      </c>
      <c r="CG164" s="1771" t="str">
        <f t="shared" si="149"/>
        <v/>
      </c>
      <c r="CH164" s="3437" t="str">
        <f t="shared" si="157"/>
        <v/>
      </c>
      <c r="CI164" s="1771" t="str">
        <f t="shared" si="157"/>
        <v/>
      </c>
      <c r="CJ164" s="1771" t="str">
        <f t="shared" si="157"/>
        <v/>
      </c>
      <c r="CK164" s="3442" t="str">
        <f t="shared" si="157"/>
        <v/>
      </c>
      <c r="CL164" s="3437" t="str">
        <f t="shared" si="158"/>
        <v/>
      </c>
      <c r="CM164" s="1771" t="str">
        <f t="shared" si="158"/>
        <v/>
      </c>
      <c r="CN164" s="1771" t="str">
        <f t="shared" si="158"/>
        <v/>
      </c>
      <c r="CO164" s="3442" t="str">
        <f t="shared" si="158"/>
        <v/>
      </c>
      <c r="CP164" s="1771" t="str">
        <f t="shared" si="158"/>
        <v/>
      </c>
      <c r="CQ164" s="3442">
        <f t="shared" si="158"/>
        <v>0.245</v>
      </c>
      <c r="CR164" s="3462"/>
    </row>
    <row r="165" spans="1:96" s="3" customFormat="1">
      <c r="A165" s="1848" t="s">
        <v>790</v>
      </c>
      <c r="B165" s="816">
        <v>6</v>
      </c>
      <c r="C165" s="816">
        <v>5.37</v>
      </c>
      <c r="D165" s="816">
        <v>0.17</v>
      </c>
      <c r="E165" s="1802" t="s">
        <v>35</v>
      </c>
      <c r="F165" s="816">
        <v>0.84</v>
      </c>
      <c r="G165" s="816" t="s">
        <v>784</v>
      </c>
      <c r="H165" s="816">
        <v>1988</v>
      </c>
      <c r="I165" s="50"/>
      <c r="J165" s="816">
        <f t="shared" si="128"/>
        <v>5.37</v>
      </c>
      <c r="K165" s="816">
        <v>0.17</v>
      </c>
      <c r="L165" s="816" t="s">
        <v>35</v>
      </c>
      <c r="M165" s="816">
        <v>0.84</v>
      </c>
      <c r="N165" s="845">
        <f t="shared" si="151"/>
        <v>0.3778888725538237</v>
      </c>
      <c r="O165" s="1831">
        <f t="shared" si="152"/>
        <v>0.505</v>
      </c>
      <c r="P165" s="825" t="s">
        <v>1087</v>
      </c>
      <c r="Q165" s="3" t="str">
        <f>IF(J165=J319,"stop","")</f>
        <v/>
      </c>
      <c r="R165" s="3437" t="str">
        <f t="shared" si="139"/>
        <v/>
      </c>
      <c r="S165" s="1771" t="str">
        <f t="shared" si="139"/>
        <v/>
      </c>
      <c r="T165" s="1771" t="str">
        <f t="shared" si="139"/>
        <v/>
      </c>
      <c r="U165" s="1771" t="str">
        <f t="shared" si="139"/>
        <v/>
      </c>
      <c r="V165" s="3443" t="str">
        <f t="shared" si="139"/>
        <v/>
      </c>
      <c r="W165" s="1771">
        <f t="shared" si="140"/>
        <v>0.17</v>
      </c>
      <c r="X165" s="1771" t="str">
        <f t="shared" si="140"/>
        <v/>
      </c>
      <c r="Y165" s="1771" t="str">
        <f t="shared" si="140"/>
        <v/>
      </c>
      <c r="Z165" s="3437" t="str">
        <f t="shared" si="139"/>
        <v/>
      </c>
      <c r="AA165" s="1771" t="str">
        <f t="shared" si="139"/>
        <v/>
      </c>
      <c r="AB165" s="1771" t="str">
        <f t="shared" si="139"/>
        <v/>
      </c>
      <c r="AC165" s="3442" t="str">
        <f t="shared" si="139"/>
        <v/>
      </c>
      <c r="AD165" s="1771" t="str">
        <f t="shared" si="139"/>
        <v/>
      </c>
      <c r="AE165" s="1771" t="str">
        <f t="shared" si="139"/>
        <v/>
      </c>
      <c r="AF165" s="1771" t="str">
        <f t="shared" si="139"/>
        <v/>
      </c>
      <c r="AG165" s="3442" t="str">
        <f t="shared" si="141"/>
        <v/>
      </c>
      <c r="AH165" s="1771" t="str">
        <f t="shared" si="159"/>
        <v/>
      </c>
      <c r="AI165" s="3442" t="str">
        <f t="shared" si="159"/>
        <v/>
      </c>
      <c r="AJ165" s="3462"/>
      <c r="AK165" s="3439" t="str">
        <f>IF(J165=J319,"stop","")</f>
        <v/>
      </c>
      <c r="AL165" s="3437" t="str">
        <f t="shared" si="153"/>
        <v/>
      </c>
      <c r="AM165" s="1771" t="str">
        <f t="shared" si="153"/>
        <v/>
      </c>
      <c r="AN165" s="1771" t="str">
        <f t="shared" si="153"/>
        <v/>
      </c>
      <c r="AO165" s="1771" t="str">
        <f t="shared" si="153"/>
        <v/>
      </c>
      <c r="AP165" s="3443" t="str">
        <f t="shared" si="153"/>
        <v/>
      </c>
      <c r="AQ165" s="1771">
        <f t="shared" si="143"/>
        <v>0.84</v>
      </c>
      <c r="AR165" s="1771" t="str">
        <f t="shared" si="143"/>
        <v/>
      </c>
      <c r="AS165" s="3442" t="str">
        <f t="shared" si="143"/>
        <v/>
      </c>
      <c r="AT165" s="1771" t="str">
        <f t="shared" si="153"/>
        <v/>
      </c>
      <c r="AU165" s="1771" t="str">
        <f t="shared" si="153"/>
        <v/>
      </c>
      <c r="AV165" s="1771" t="str">
        <f t="shared" si="153"/>
        <v/>
      </c>
      <c r="AW165" s="3442" t="str">
        <f t="shared" si="153"/>
        <v/>
      </c>
      <c r="AX165" s="1771" t="str">
        <f t="shared" si="154"/>
        <v/>
      </c>
      <c r="AY165" s="1771" t="str">
        <f t="shared" si="154"/>
        <v/>
      </c>
      <c r="AZ165" s="1771" t="str">
        <f t="shared" si="154"/>
        <v/>
      </c>
      <c r="BA165" s="1771" t="str">
        <f t="shared" si="154"/>
        <v/>
      </c>
      <c r="BB165" s="3437" t="str">
        <f t="shared" si="154"/>
        <v/>
      </c>
      <c r="BC165" s="3443" t="str">
        <f t="shared" si="154"/>
        <v/>
      </c>
      <c r="BD165" s="3462"/>
      <c r="BE165" s="3440" t="str">
        <f>IF(J165=J319,"stop","")</f>
        <v/>
      </c>
      <c r="BF165" s="1771" t="str">
        <f t="shared" si="155"/>
        <v/>
      </c>
      <c r="BG165" s="1771" t="str">
        <f t="shared" si="155"/>
        <v/>
      </c>
      <c r="BH165" s="1771" t="str">
        <f t="shared" si="155"/>
        <v/>
      </c>
      <c r="BI165" s="1771" t="str">
        <f t="shared" si="155"/>
        <v/>
      </c>
      <c r="BJ165" s="3443" t="str">
        <f t="shared" si="155"/>
        <v/>
      </c>
      <c r="BK165" s="3437">
        <f t="shared" si="146"/>
        <v>0.3778888725538237</v>
      </c>
      <c r="BL165" s="1771" t="str">
        <f t="shared" si="146"/>
        <v/>
      </c>
      <c r="BM165" s="3442" t="str">
        <f t="shared" si="146"/>
        <v/>
      </c>
      <c r="BN165" s="1771" t="str">
        <f t="shared" si="155"/>
        <v/>
      </c>
      <c r="BO165" s="1771" t="str">
        <f t="shared" si="155"/>
        <v/>
      </c>
      <c r="BP165" s="1771" t="str">
        <f t="shared" si="155"/>
        <v/>
      </c>
      <c r="BQ165" s="1771" t="str">
        <f t="shared" si="155"/>
        <v/>
      </c>
      <c r="BR165" s="3437" t="str">
        <f t="shared" si="156"/>
        <v/>
      </c>
      <c r="BS165" s="1771" t="str">
        <f t="shared" si="156"/>
        <v/>
      </c>
      <c r="BT165" s="1771" t="str">
        <f t="shared" si="156"/>
        <v/>
      </c>
      <c r="BU165" s="3442" t="str">
        <f t="shared" si="156"/>
        <v/>
      </c>
      <c r="BV165" s="1771" t="str">
        <f t="shared" si="156"/>
        <v/>
      </c>
      <c r="BW165" s="3442" t="str">
        <f t="shared" si="156"/>
        <v/>
      </c>
      <c r="BX165" s="3462"/>
      <c r="BY165" s="3439" t="str">
        <f>IF(L165=L319,"stop","")</f>
        <v/>
      </c>
      <c r="BZ165" s="3437" t="str">
        <f t="shared" si="157"/>
        <v/>
      </c>
      <c r="CA165" s="1771" t="str">
        <f t="shared" si="157"/>
        <v/>
      </c>
      <c r="CB165" s="1771" t="str">
        <f t="shared" si="157"/>
        <v/>
      </c>
      <c r="CC165" s="3442" t="str">
        <f t="shared" si="157"/>
        <v/>
      </c>
      <c r="CD165" s="1771" t="str">
        <f t="shared" si="157"/>
        <v/>
      </c>
      <c r="CE165" s="3437">
        <f t="shared" si="149"/>
        <v>0.505</v>
      </c>
      <c r="CF165" s="1771" t="str">
        <f t="shared" si="149"/>
        <v/>
      </c>
      <c r="CG165" s="1771" t="str">
        <f t="shared" si="149"/>
        <v/>
      </c>
      <c r="CH165" s="3437" t="str">
        <f t="shared" si="157"/>
        <v/>
      </c>
      <c r="CI165" s="1771" t="str">
        <f t="shared" si="157"/>
        <v/>
      </c>
      <c r="CJ165" s="1771" t="str">
        <f t="shared" si="157"/>
        <v/>
      </c>
      <c r="CK165" s="3442" t="str">
        <f t="shared" si="157"/>
        <v/>
      </c>
      <c r="CL165" s="3437" t="str">
        <f t="shared" si="158"/>
        <v/>
      </c>
      <c r="CM165" s="1771" t="str">
        <f t="shared" si="158"/>
        <v/>
      </c>
      <c r="CN165" s="1771" t="str">
        <f t="shared" si="158"/>
        <v/>
      </c>
      <c r="CO165" s="3442" t="str">
        <f t="shared" si="158"/>
        <v/>
      </c>
      <c r="CP165" s="1771" t="str">
        <f t="shared" si="158"/>
        <v/>
      </c>
      <c r="CQ165" s="3442" t="str">
        <f t="shared" si="158"/>
        <v/>
      </c>
      <c r="CR165" s="3462"/>
    </row>
    <row r="166" spans="1:96" s="3" customFormat="1">
      <c r="A166" s="1848" t="s">
        <v>791</v>
      </c>
      <c r="B166" s="816">
        <v>6</v>
      </c>
      <c r="C166" s="816">
        <v>5.68</v>
      </c>
      <c r="D166" s="816">
        <v>0.59</v>
      </c>
      <c r="E166" s="1802" t="s">
        <v>35</v>
      </c>
      <c r="F166" s="816">
        <v>1.55</v>
      </c>
      <c r="G166" s="816" t="s">
        <v>784</v>
      </c>
      <c r="H166" s="816">
        <v>1988</v>
      </c>
      <c r="I166" s="50"/>
      <c r="J166" s="816">
        <f t="shared" si="128"/>
        <v>5.68</v>
      </c>
      <c r="K166" s="816">
        <v>0.59</v>
      </c>
      <c r="L166" s="816" t="s">
        <v>35</v>
      </c>
      <c r="M166" s="816">
        <v>1.55</v>
      </c>
      <c r="N166" s="845">
        <f t="shared" si="151"/>
        <v>0.95629493358482243</v>
      </c>
      <c r="O166" s="1831">
        <f t="shared" si="152"/>
        <v>1.07</v>
      </c>
      <c r="P166" s="825" t="s">
        <v>1087</v>
      </c>
      <c r="Q166" s="3" t="str">
        <f>IF(J166=J319,"stop","")</f>
        <v/>
      </c>
      <c r="R166" s="3437" t="str">
        <f t="shared" si="139"/>
        <v/>
      </c>
      <c r="S166" s="1771" t="str">
        <f t="shared" si="139"/>
        <v/>
      </c>
      <c r="T166" s="1771" t="str">
        <f t="shared" si="139"/>
        <v/>
      </c>
      <c r="U166" s="1771" t="str">
        <f t="shared" si="139"/>
        <v/>
      </c>
      <c r="V166" s="3443" t="str">
        <f t="shared" si="139"/>
        <v/>
      </c>
      <c r="W166" s="1771">
        <f t="shared" si="140"/>
        <v>0.59</v>
      </c>
      <c r="X166" s="1771" t="str">
        <f t="shared" si="140"/>
        <v/>
      </c>
      <c r="Y166" s="1771" t="str">
        <f t="shared" si="140"/>
        <v/>
      </c>
      <c r="Z166" s="3437" t="str">
        <f t="shared" si="139"/>
        <v/>
      </c>
      <c r="AA166" s="1771" t="str">
        <f t="shared" si="139"/>
        <v/>
      </c>
      <c r="AB166" s="1771" t="str">
        <f t="shared" si="139"/>
        <v/>
      </c>
      <c r="AC166" s="3442" t="str">
        <f t="shared" si="139"/>
        <v/>
      </c>
      <c r="AD166" s="1771" t="str">
        <f t="shared" si="139"/>
        <v/>
      </c>
      <c r="AE166" s="1771" t="str">
        <f t="shared" si="139"/>
        <v/>
      </c>
      <c r="AF166" s="1771" t="str">
        <f t="shared" si="139"/>
        <v/>
      </c>
      <c r="AG166" s="3442" t="str">
        <f t="shared" si="141"/>
        <v/>
      </c>
      <c r="AH166" s="1771" t="str">
        <f t="shared" si="159"/>
        <v/>
      </c>
      <c r="AI166" s="3442" t="str">
        <f t="shared" si="159"/>
        <v/>
      </c>
      <c r="AJ166" s="3462"/>
      <c r="AK166" s="3439" t="str">
        <f>IF(J166=J319,"stop","")</f>
        <v/>
      </c>
      <c r="AL166" s="3437" t="str">
        <f t="shared" si="153"/>
        <v/>
      </c>
      <c r="AM166" s="1771" t="str">
        <f t="shared" si="153"/>
        <v/>
      </c>
      <c r="AN166" s="1771" t="str">
        <f t="shared" si="153"/>
        <v/>
      </c>
      <c r="AO166" s="1771" t="str">
        <f t="shared" si="153"/>
        <v/>
      </c>
      <c r="AP166" s="3443" t="str">
        <f t="shared" si="153"/>
        <v/>
      </c>
      <c r="AQ166" s="1771">
        <f t="shared" si="143"/>
        <v>1.55</v>
      </c>
      <c r="AR166" s="1771" t="str">
        <f t="shared" si="143"/>
        <v/>
      </c>
      <c r="AS166" s="3442" t="str">
        <f t="shared" si="143"/>
        <v/>
      </c>
      <c r="AT166" s="1771" t="str">
        <f t="shared" si="153"/>
        <v/>
      </c>
      <c r="AU166" s="1771" t="str">
        <f t="shared" si="153"/>
        <v/>
      </c>
      <c r="AV166" s="1771" t="str">
        <f t="shared" si="153"/>
        <v/>
      </c>
      <c r="AW166" s="3442" t="str">
        <f t="shared" si="153"/>
        <v/>
      </c>
      <c r="AX166" s="1771" t="str">
        <f t="shared" si="154"/>
        <v/>
      </c>
      <c r="AY166" s="1771" t="str">
        <f t="shared" si="154"/>
        <v/>
      </c>
      <c r="AZ166" s="1771" t="str">
        <f t="shared" si="154"/>
        <v/>
      </c>
      <c r="BA166" s="1771" t="str">
        <f t="shared" si="154"/>
        <v/>
      </c>
      <c r="BB166" s="3437" t="str">
        <f t="shared" si="154"/>
        <v/>
      </c>
      <c r="BC166" s="3443" t="str">
        <f t="shared" si="154"/>
        <v/>
      </c>
      <c r="BD166" s="3462"/>
      <c r="BE166" s="3440" t="str">
        <f>IF(J166=J319,"stop","")</f>
        <v/>
      </c>
      <c r="BF166" s="1771" t="str">
        <f t="shared" si="155"/>
        <v/>
      </c>
      <c r="BG166" s="1771" t="str">
        <f t="shared" si="155"/>
        <v/>
      </c>
      <c r="BH166" s="1771" t="str">
        <f t="shared" si="155"/>
        <v/>
      </c>
      <c r="BI166" s="1771" t="str">
        <f t="shared" si="155"/>
        <v/>
      </c>
      <c r="BJ166" s="3443" t="str">
        <f t="shared" si="155"/>
        <v/>
      </c>
      <c r="BK166" s="3437">
        <f t="shared" si="146"/>
        <v>0.95629493358482243</v>
      </c>
      <c r="BL166" s="1771" t="str">
        <f t="shared" si="146"/>
        <v/>
      </c>
      <c r="BM166" s="3442" t="str">
        <f t="shared" si="146"/>
        <v/>
      </c>
      <c r="BN166" s="1771" t="str">
        <f t="shared" si="155"/>
        <v/>
      </c>
      <c r="BO166" s="1771" t="str">
        <f t="shared" si="155"/>
        <v/>
      </c>
      <c r="BP166" s="1771" t="str">
        <f t="shared" si="155"/>
        <v/>
      </c>
      <c r="BQ166" s="1771" t="str">
        <f t="shared" si="155"/>
        <v/>
      </c>
      <c r="BR166" s="3437" t="str">
        <f t="shared" si="156"/>
        <v/>
      </c>
      <c r="BS166" s="1771" t="str">
        <f t="shared" si="156"/>
        <v/>
      </c>
      <c r="BT166" s="1771" t="str">
        <f t="shared" si="156"/>
        <v/>
      </c>
      <c r="BU166" s="3442" t="str">
        <f t="shared" si="156"/>
        <v/>
      </c>
      <c r="BV166" s="1771" t="str">
        <f t="shared" si="156"/>
        <v/>
      </c>
      <c r="BW166" s="3442" t="str">
        <f t="shared" si="156"/>
        <v/>
      </c>
      <c r="BX166" s="3462"/>
      <c r="BY166" s="3439" t="str">
        <f>IF(L166=L319,"stop","")</f>
        <v/>
      </c>
      <c r="BZ166" s="3437" t="str">
        <f t="shared" si="157"/>
        <v/>
      </c>
      <c r="CA166" s="1771" t="str">
        <f t="shared" si="157"/>
        <v/>
      </c>
      <c r="CB166" s="1771" t="str">
        <f t="shared" si="157"/>
        <v/>
      </c>
      <c r="CC166" s="3442" t="str">
        <f t="shared" si="157"/>
        <v/>
      </c>
      <c r="CD166" s="1771" t="str">
        <f t="shared" si="157"/>
        <v/>
      </c>
      <c r="CE166" s="3437">
        <f t="shared" si="149"/>
        <v>1.07</v>
      </c>
      <c r="CF166" s="1771" t="str">
        <f t="shared" si="149"/>
        <v/>
      </c>
      <c r="CG166" s="1771" t="str">
        <f t="shared" si="149"/>
        <v/>
      </c>
      <c r="CH166" s="3437" t="str">
        <f t="shared" si="157"/>
        <v/>
      </c>
      <c r="CI166" s="1771" t="str">
        <f t="shared" si="157"/>
        <v/>
      </c>
      <c r="CJ166" s="1771" t="str">
        <f t="shared" si="157"/>
        <v/>
      </c>
      <c r="CK166" s="3442" t="str">
        <f t="shared" si="157"/>
        <v/>
      </c>
      <c r="CL166" s="3437" t="str">
        <f t="shared" si="158"/>
        <v/>
      </c>
      <c r="CM166" s="1771" t="str">
        <f t="shared" si="158"/>
        <v/>
      </c>
      <c r="CN166" s="1771" t="str">
        <f t="shared" si="158"/>
        <v/>
      </c>
      <c r="CO166" s="3442" t="str">
        <f t="shared" si="158"/>
        <v/>
      </c>
      <c r="CP166" s="1771" t="str">
        <f t="shared" si="158"/>
        <v/>
      </c>
      <c r="CQ166" s="3442" t="str">
        <f t="shared" si="158"/>
        <v/>
      </c>
      <c r="CR166" s="3462"/>
    </row>
    <row r="167" spans="1:96" s="3" customFormat="1">
      <c r="A167" s="1848" t="s">
        <v>792</v>
      </c>
      <c r="B167" s="816">
        <v>7</v>
      </c>
      <c r="C167" s="816">
        <v>6.36</v>
      </c>
      <c r="D167" s="816">
        <v>0.01</v>
      </c>
      <c r="E167" s="1802" t="s">
        <v>35</v>
      </c>
      <c r="F167" s="816">
        <v>0.04</v>
      </c>
      <c r="G167" s="816" t="s">
        <v>784</v>
      </c>
      <c r="H167" s="816">
        <v>1988</v>
      </c>
      <c r="I167" s="50"/>
      <c r="J167" s="816">
        <f t="shared" si="128"/>
        <v>6.36</v>
      </c>
      <c r="K167" s="816">
        <v>0.01</v>
      </c>
      <c r="L167" s="816" t="s">
        <v>35</v>
      </c>
      <c r="M167" s="816">
        <v>0.04</v>
      </c>
      <c r="N167" s="845">
        <f t="shared" si="151"/>
        <v>0.02</v>
      </c>
      <c r="O167" s="1831">
        <f t="shared" si="152"/>
        <v>2.5000000000000001E-2</v>
      </c>
      <c r="P167" s="825" t="s">
        <v>1087</v>
      </c>
      <c r="Q167" s="3" t="str">
        <f>IF(J167=J319,"stop","")</f>
        <v/>
      </c>
      <c r="R167" s="3437" t="str">
        <f t="shared" ref="R167:AG182" si="160">IF(AND($J167&gt;R$4,$J167&lt;=R$5,$P167=R$6),$K167,"")</f>
        <v/>
      </c>
      <c r="S167" s="1771" t="str">
        <f t="shared" si="160"/>
        <v/>
      </c>
      <c r="T167" s="1771" t="str">
        <f t="shared" si="160"/>
        <v/>
      </c>
      <c r="U167" s="1771" t="str">
        <f t="shared" si="160"/>
        <v/>
      </c>
      <c r="V167" s="3443" t="str">
        <f t="shared" si="160"/>
        <v/>
      </c>
      <c r="W167" s="1771" t="str">
        <f t="shared" si="140"/>
        <v/>
      </c>
      <c r="X167" s="1771">
        <f t="shared" si="140"/>
        <v>0.01</v>
      </c>
      <c r="Y167" s="1771" t="str">
        <f t="shared" si="140"/>
        <v/>
      </c>
      <c r="Z167" s="3437" t="str">
        <f t="shared" si="160"/>
        <v/>
      </c>
      <c r="AA167" s="1771" t="str">
        <f t="shared" si="160"/>
        <v/>
      </c>
      <c r="AB167" s="1771" t="str">
        <f t="shared" si="160"/>
        <v/>
      </c>
      <c r="AC167" s="3442" t="str">
        <f t="shared" si="160"/>
        <v/>
      </c>
      <c r="AD167" s="1771" t="str">
        <f t="shared" si="160"/>
        <v/>
      </c>
      <c r="AE167" s="1771" t="str">
        <f t="shared" si="160"/>
        <v/>
      </c>
      <c r="AF167" s="1771" t="str">
        <f t="shared" si="160"/>
        <v/>
      </c>
      <c r="AG167" s="3442" t="str">
        <f t="shared" si="141"/>
        <v/>
      </c>
      <c r="AH167" s="1771" t="str">
        <f t="shared" si="159"/>
        <v/>
      </c>
      <c r="AI167" s="3442" t="str">
        <f t="shared" si="159"/>
        <v/>
      </c>
      <c r="AJ167" s="3462"/>
      <c r="AK167" s="3439" t="str">
        <f>IF(J167=J319,"stop","")</f>
        <v/>
      </c>
      <c r="AL167" s="3437" t="str">
        <f t="shared" si="153"/>
        <v/>
      </c>
      <c r="AM167" s="1771" t="str">
        <f t="shared" si="153"/>
        <v/>
      </c>
      <c r="AN167" s="1771" t="str">
        <f t="shared" si="153"/>
        <v/>
      </c>
      <c r="AO167" s="1771" t="str">
        <f t="shared" si="153"/>
        <v/>
      </c>
      <c r="AP167" s="3443" t="str">
        <f t="shared" si="153"/>
        <v/>
      </c>
      <c r="AQ167" s="1771" t="str">
        <f t="shared" si="143"/>
        <v/>
      </c>
      <c r="AR167" s="1771">
        <f t="shared" si="143"/>
        <v>0.04</v>
      </c>
      <c r="AS167" s="3442" t="str">
        <f t="shared" si="143"/>
        <v/>
      </c>
      <c r="AT167" s="1771" t="str">
        <f t="shared" si="153"/>
        <v/>
      </c>
      <c r="AU167" s="1771" t="str">
        <f t="shared" si="153"/>
        <v/>
      </c>
      <c r="AV167" s="1771" t="str">
        <f t="shared" si="153"/>
        <v/>
      </c>
      <c r="AW167" s="3442" t="str">
        <f t="shared" si="153"/>
        <v/>
      </c>
      <c r="AX167" s="1771" t="str">
        <f t="shared" si="154"/>
        <v/>
      </c>
      <c r="AY167" s="1771" t="str">
        <f t="shared" si="154"/>
        <v/>
      </c>
      <c r="AZ167" s="1771" t="str">
        <f t="shared" si="154"/>
        <v/>
      </c>
      <c r="BA167" s="1771" t="str">
        <f t="shared" si="154"/>
        <v/>
      </c>
      <c r="BB167" s="3437" t="str">
        <f t="shared" si="154"/>
        <v/>
      </c>
      <c r="BC167" s="3443" t="str">
        <f t="shared" si="154"/>
        <v/>
      </c>
      <c r="BD167" s="3462"/>
      <c r="BE167" s="3440" t="str">
        <f>IF(J167=J319,"stop","")</f>
        <v/>
      </c>
      <c r="BF167" s="1771" t="str">
        <f t="shared" si="155"/>
        <v/>
      </c>
      <c r="BG167" s="1771" t="str">
        <f t="shared" si="155"/>
        <v/>
      </c>
      <c r="BH167" s="1771" t="str">
        <f t="shared" si="155"/>
        <v/>
      </c>
      <c r="BI167" s="1771" t="str">
        <f t="shared" si="155"/>
        <v/>
      </c>
      <c r="BJ167" s="3443" t="str">
        <f t="shared" si="155"/>
        <v/>
      </c>
      <c r="BK167" s="3437" t="str">
        <f t="shared" si="146"/>
        <v/>
      </c>
      <c r="BL167" s="1771">
        <f t="shared" si="146"/>
        <v>0.02</v>
      </c>
      <c r="BM167" s="3442" t="str">
        <f t="shared" si="146"/>
        <v/>
      </c>
      <c r="BN167" s="1771" t="str">
        <f t="shared" si="155"/>
        <v/>
      </c>
      <c r="BO167" s="1771" t="str">
        <f t="shared" si="155"/>
        <v/>
      </c>
      <c r="BP167" s="1771" t="str">
        <f t="shared" si="155"/>
        <v/>
      </c>
      <c r="BQ167" s="1771" t="str">
        <f t="shared" si="155"/>
        <v/>
      </c>
      <c r="BR167" s="3437" t="str">
        <f t="shared" si="156"/>
        <v/>
      </c>
      <c r="BS167" s="1771" t="str">
        <f t="shared" si="156"/>
        <v/>
      </c>
      <c r="BT167" s="1771" t="str">
        <f t="shared" si="156"/>
        <v/>
      </c>
      <c r="BU167" s="3442" t="str">
        <f t="shared" si="156"/>
        <v/>
      </c>
      <c r="BV167" s="1771" t="str">
        <f t="shared" si="156"/>
        <v/>
      </c>
      <c r="BW167" s="3442" t="str">
        <f t="shared" si="156"/>
        <v/>
      </c>
      <c r="BX167" s="3462"/>
      <c r="BY167" s="3439" t="str">
        <f>IF(L167=L319,"stop","")</f>
        <v/>
      </c>
      <c r="BZ167" s="3437" t="str">
        <f t="shared" si="157"/>
        <v/>
      </c>
      <c r="CA167" s="1771" t="str">
        <f t="shared" si="157"/>
        <v/>
      </c>
      <c r="CB167" s="1771" t="str">
        <f t="shared" si="157"/>
        <v/>
      </c>
      <c r="CC167" s="3442" t="str">
        <f t="shared" si="157"/>
        <v/>
      </c>
      <c r="CD167" s="1771" t="str">
        <f t="shared" si="157"/>
        <v/>
      </c>
      <c r="CE167" s="3437" t="str">
        <f t="shared" si="149"/>
        <v/>
      </c>
      <c r="CF167" s="1771">
        <f t="shared" si="149"/>
        <v>2.5000000000000001E-2</v>
      </c>
      <c r="CG167" s="1771" t="str">
        <f t="shared" si="149"/>
        <v/>
      </c>
      <c r="CH167" s="3437" t="str">
        <f t="shared" si="157"/>
        <v/>
      </c>
      <c r="CI167" s="1771" t="str">
        <f t="shared" si="157"/>
        <v/>
      </c>
      <c r="CJ167" s="1771" t="str">
        <f t="shared" si="157"/>
        <v/>
      </c>
      <c r="CK167" s="3442" t="str">
        <f t="shared" si="157"/>
        <v/>
      </c>
      <c r="CL167" s="3437" t="str">
        <f t="shared" si="158"/>
        <v/>
      </c>
      <c r="CM167" s="1771" t="str">
        <f t="shared" si="158"/>
        <v/>
      </c>
      <c r="CN167" s="1771" t="str">
        <f t="shared" si="158"/>
        <v/>
      </c>
      <c r="CO167" s="3442" t="str">
        <f t="shared" si="158"/>
        <v/>
      </c>
      <c r="CP167" s="1771" t="str">
        <f t="shared" si="158"/>
        <v/>
      </c>
      <c r="CQ167" s="3442" t="str">
        <f t="shared" si="158"/>
        <v/>
      </c>
      <c r="CR167" s="3462"/>
    </row>
    <row r="168" spans="1:96" s="3" customFormat="1">
      <c r="A168" s="1848" t="s">
        <v>793</v>
      </c>
      <c r="B168" s="816">
        <v>5</v>
      </c>
      <c r="C168" s="816">
        <v>4.32</v>
      </c>
      <c r="D168" s="816">
        <v>0.02</v>
      </c>
      <c r="E168" s="1802" t="s">
        <v>35</v>
      </c>
      <c r="F168" s="816">
        <v>0.05</v>
      </c>
      <c r="G168" s="816" t="s">
        <v>784</v>
      </c>
      <c r="H168" s="816">
        <v>1988</v>
      </c>
      <c r="I168" s="50"/>
      <c r="J168" s="816">
        <f t="shared" si="128"/>
        <v>4.32</v>
      </c>
      <c r="K168" s="816">
        <v>0.02</v>
      </c>
      <c r="L168" s="816" t="s">
        <v>35</v>
      </c>
      <c r="M168" s="816">
        <v>0.05</v>
      </c>
      <c r="N168" s="845">
        <f t="shared" si="151"/>
        <v>3.1622776601683791E-2</v>
      </c>
      <c r="O168" s="1831">
        <f t="shared" si="152"/>
        <v>3.5000000000000003E-2</v>
      </c>
      <c r="P168" s="825" t="s">
        <v>1087</v>
      </c>
      <c r="Q168" s="3" t="str">
        <f>IF(J168=J319,"stop","")</f>
        <v/>
      </c>
      <c r="R168" s="3437" t="str">
        <f t="shared" si="160"/>
        <v/>
      </c>
      <c r="S168" s="1771" t="str">
        <f t="shared" si="160"/>
        <v/>
      </c>
      <c r="T168" s="1771" t="str">
        <f t="shared" si="160"/>
        <v/>
      </c>
      <c r="U168" s="1771" t="str">
        <f t="shared" si="160"/>
        <v/>
      </c>
      <c r="V168" s="3443" t="str">
        <f t="shared" si="160"/>
        <v/>
      </c>
      <c r="W168" s="1771" t="str">
        <f t="shared" si="140"/>
        <v/>
      </c>
      <c r="X168" s="1771" t="str">
        <f t="shared" si="140"/>
        <v/>
      </c>
      <c r="Y168" s="1771" t="str">
        <f t="shared" si="140"/>
        <v/>
      </c>
      <c r="Z168" s="3437" t="str">
        <f t="shared" si="160"/>
        <v/>
      </c>
      <c r="AA168" s="1771" t="str">
        <f t="shared" si="160"/>
        <v/>
      </c>
      <c r="AB168" s="1771" t="str">
        <f t="shared" si="160"/>
        <v/>
      </c>
      <c r="AC168" s="3442" t="str">
        <f t="shared" si="160"/>
        <v/>
      </c>
      <c r="AD168" s="1771" t="str">
        <f t="shared" si="160"/>
        <v/>
      </c>
      <c r="AE168" s="1771" t="str">
        <f t="shared" si="160"/>
        <v/>
      </c>
      <c r="AF168" s="1771" t="str">
        <f t="shared" si="160"/>
        <v/>
      </c>
      <c r="AG168" s="3442" t="str">
        <f t="shared" si="141"/>
        <v/>
      </c>
      <c r="AH168" s="1771" t="str">
        <f t="shared" si="159"/>
        <v/>
      </c>
      <c r="AI168" s="3442">
        <f t="shared" si="159"/>
        <v>0.02</v>
      </c>
      <c r="AJ168" s="3462"/>
      <c r="AK168" s="3439" t="str">
        <f>IF(J168=J319,"stop","")</f>
        <v/>
      </c>
      <c r="AL168" s="3437" t="str">
        <f t="shared" si="153"/>
        <v/>
      </c>
      <c r="AM168" s="1771" t="str">
        <f t="shared" si="153"/>
        <v/>
      </c>
      <c r="AN168" s="1771" t="str">
        <f t="shared" si="153"/>
        <v/>
      </c>
      <c r="AO168" s="1771" t="str">
        <f t="shared" si="153"/>
        <v/>
      </c>
      <c r="AP168" s="3443" t="str">
        <f t="shared" si="153"/>
        <v/>
      </c>
      <c r="AQ168" s="1771" t="str">
        <f t="shared" si="143"/>
        <v/>
      </c>
      <c r="AR168" s="1771" t="str">
        <f t="shared" si="143"/>
        <v/>
      </c>
      <c r="AS168" s="3442" t="str">
        <f t="shared" si="143"/>
        <v/>
      </c>
      <c r="AT168" s="1771" t="str">
        <f t="shared" si="153"/>
        <v/>
      </c>
      <c r="AU168" s="1771" t="str">
        <f t="shared" si="153"/>
        <v/>
      </c>
      <c r="AV168" s="1771" t="str">
        <f t="shared" si="153"/>
        <v/>
      </c>
      <c r="AW168" s="3442" t="str">
        <f t="shared" si="153"/>
        <v/>
      </c>
      <c r="AX168" s="1771" t="str">
        <f t="shared" si="154"/>
        <v/>
      </c>
      <c r="AY168" s="1771" t="str">
        <f t="shared" si="154"/>
        <v/>
      </c>
      <c r="AZ168" s="1771" t="str">
        <f t="shared" si="154"/>
        <v/>
      </c>
      <c r="BA168" s="1771" t="str">
        <f t="shared" si="154"/>
        <v/>
      </c>
      <c r="BB168" s="3437" t="str">
        <f t="shared" si="154"/>
        <v/>
      </c>
      <c r="BC168" s="3443">
        <f t="shared" si="154"/>
        <v>0.05</v>
      </c>
      <c r="BD168" s="3462"/>
      <c r="BE168" s="3440" t="str">
        <f>IF(J168=J319,"stop","")</f>
        <v/>
      </c>
      <c r="BF168" s="1771" t="str">
        <f t="shared" si="155"/>
        <v/>
      </c>
      <c r="BG168" s="1771" t="str">
        <f t="shared" si="155"/>
        <v/>
      </c>
      <c r="BH168" s="1771" t="str">
        <f t="shared" si="155"/>
        <v/>
      </c>
      <c r="BI168" s="1771" t="str">
        <f t="shared" si="155"/>
        <v/>
      </c>
      <c r="BJ168" s="3443" t="str">
        <f t="shared" si="155"/>
        <v/>
      </c>
      <c r="BK168" s="3437" t="str">
        <f t="shared" si="146"/>
        <v/>
      </c>
      <c r="BL168" s="1771" t="str">
        <f t="shared" si="146"/>
        <v/>
      </c>
      <c r="BM168" s="3442" t="str">
        <f t="shared" si="146"/>
        <v/>
      </c>
      <c r="BN168" s="1771" t="str">
        <f t="shared" si="155"/>
        <v/>
      </c>
      <c r="BO168" s="1771" t="str">
        <f t="shared" si="155"/>
        <v/>
      </c>
      <c r="BP168" s="1771" t="str">
        <f t="shared" si="155"/>
        <v/>
      </c>
      <c r="BQ168" s="1771" t="str">
        <f t="shared" si="155"/>
        <v/>
      </c>
      <c r="BR168" s="3437" t="str">
        <f t="shared" si="156"/>
        <v/>
      </c>
      <c r="BS168" s="1771" t="str">
        <f t="shared" si="156"/>
        <v/>
      </c>
      <c r="BT168" s="1771" t="str">
        <f t="shared" si="156"/>
        <v/>
      </c>
      <c r="BU168" s="3442" t="str">
        <f t="shared" si="156"/>
        <v/>
      </c>
      <c r="BV168" s="1771" t="str">
        <f t="shared" si="156"/>
        <v/>
      </c>
      <c r="BW168" s="3442">
        <f t="shared" si="156"/>
        <v>3.1622776601683791E-2</v>
      </c>
      <c r="BX168" s="3462"/>
      <c r="BY168" s="3439" t="str">
        <f>IF(L168=L319,"stop","")</f>
        <v/>
      </c>
      <c r="BZ168" s="3437" t="str">
        <f t="shared" si="157"/>
        <v/>
      </c>
      <c r="CA168" s="1771" t="str">
        <f t="shared" si="157"/>
        <v/>
      </c>
      <c r="CB168" s="1771" t="str">
        <f t="shared" si="157"/>
        <v/>
      </c>
      <c r="CC168" s="3442" t="str">
        <f t="shared" si="157"/>
        <v/>
      </c>
      <c r="CD168" s="1771" t="str">
        <f t="shared" si="157"/>
        <v/>
      </c>
      <c r="CE168" s="3437" t="str">
        <f t="shared" si="149"/>
        <v/>
      </c>
      <c r="CF168" s="1771" t="str">
        <f t="shared" si="149"/>
        <v/>
      </c>
      <c r="CG168" s="1771" t="str">
        <f t="shared" si="149"/>
        <v/>
      </c>
      <c r="CH168" s="3437" t="str">
        <f t="shared" si="157"/>
        <v/>
      </c>
      <c r="CI168" s="1771" t="str">
        <f t="shared" si="157"/>
        <v/>
      </c>
      <c r="CJ168" s="1771" t="str">
        <f t="shared" si="157"/>
        <v/>
      </c>
      <c r="CK168" s="3442" t="str">
        <f t="shared" si="157"/>
        <v/>
      </c>
      <c r="CL168" s="3437" t="str">
        <f t="shared" si="158"/>
        <v/>
      </c>
      <c r="CM168" s="1771" t="str">
        <f t="shared" si="158"/>
        <v/>
      </c>
      <c r="CN168" s="1771" t="str">
        <f t="shared" si="158"/>
        <v/>
      </c>
      <c r="CO168" s="3442" t="str">
        <f t="shared" si="158"/>
        <v/>
      </c>
      <c r="CP168" s="1771" t="str">
        <f t="shared" si="158"/>
        <v/>
      </c>
      <c r="CQ168" s="3442">
        <f t="shared" si="158"/>
        <v>3.5000000000000003E-2</v>
      </c>
      <c r="CR168" s="3462"/>
    </row>
    <row r="169" spans="1:96" s="3" customFormat="1">
      <c r="A169" s="1848" t="s">
        <v>794</v>
      </c>
      <c r="B169" s="816">
        <v>5</v>
      </c>
      <c r="C169" s="816">
        <v>4.75</v>
      </c>
      <c r="D169" s="816">
        <v>6.07</v>
      </c>
      <c r="E169" s="1802" t="s">
        <v>35</v>
      </c>
      <c r="F169" s="816">
        <v>10.17</v>
      </c>
      <c r="G169" s="816" t="s">
        <v>784</v>
      </c>
      <c r="H169" s="816">
        <v>1988</v>
      </c>
      <c r="I169" s="50"/>
      <c r="J169" s="816">
        <f t="shared" si="128"/>
        <v>4.75</v>
      </c>
      <c r="K169" s="816">
        <v>6.07</v>
      </c>
      <c r="L169" s="816" t="s">
        <v>35</v>
      </c>
      <c r="M169" s="816">
        <v>10.17</v>
      </c>
      <c r="N169" s="845">
        <f t="shared" si="151"/>
        <v>7.8569650629234697</v>
      </c>
      <c r="O169" s="1831">
        <f t="shared" si="152"/>
        <v>8.120000000000001</v>
      </c>
      <c r="P169" s="825" t="s">
        <v>1087</v>
      </c>
      <c r="Q169" s="3" t="str">
        <f>IF(J169=J319,"stop","")</f>
        <v/>
      </c>
      <c r="R169" s="3437" t="str">
        <f t="shared" si="160"/>
        <v/>
      </c>
      <c r="S169" s="1771" t="str">
        <f t="shared" si="160"/>
        <v/>
      </c>
      <c r="T169" s="1771" t="str">
        <f t="shared" si="160"/>
        <v/>
      </c>
      <c r="U169" s="1771" t="str">
        <f t="shared" si="160"/>
        <v/>
      </c>
      <c r="V169" s="3443" t="str">
        <f t="shared" si="160"/>
        <v/>
      </c>
      <c r="W169" s="1771" t="str">
        <f t="shared" si="140"/>
        <v/>
      </c>
      <c r="X169" s="1771" t="str">
        <f t="shared" si="140"/>
        <v/>
      </c>
      <c r="Y169" s="1771" t="str">
        <f t="shared" si="140"/>
        <v/>
      </c>
      <c r="Z169" s="3437" t="str">
        <f t="shared" si="160"/>
        <v/>
      </c>
      <c r="AA169" s="1771" t="str">
        <f t="shared" si="160"/>
        <v/>
      </c>
      <c r="AB169" s="1771" t="str">
        <f t="shared" si="160"/>
        <v/>
      </c>
      <c r="AC169" s="3442" t="str">
        <f t="shared" si="160"/>
        <v/>
      </c>
      <c r="AD169" s="1771" t="str">
        <f t="shared" si="160"/>
        <v/>
      </c>
      <c r="AE169" s="1771" t="str">
        <f t="shared" si="160"/>
        <v/>
      </c>
      <c r="AF169" s="1771" t="str">
        <f t="shared" si="160"/>
        <v/>
      </c>
      <c r="AG169" s="3442" t="str">
        <f t="shared" si="141"/>
        <v/>
      </c>
      <c r="AH169" s="1771" t="str">
        <f t="shared" si="159"/>
        <v/>
      </c>
      <c r="AI169" s="3442">
        <f t="shared" si="159"/>
        <v>6.07</v>
      </c>
      <c r="AJ169" s="3462"/>
      <c r="AK169" s="3439" t="str">
        <f>IF(J169=J319,"stop","")</f>
        <v/>
      </c>
      <c r="AL169" s="3437" t="str">
        <f t="shared" si="153"/>
        <v/>
      </c>
      <c r="AM169" s="1771" t="str">
        <f t="shared" si="153"/>
        <v/>
      </c>
      <c r="AN169" s="1771" t="str">
        <f t="shared" si="153"/>
        <v/>
      </c>
      <c r="AO169" s="1771" t="str">
        <f t="shared" si="153"/>
        <v/>
      </c>
      <c r="AP169" s="3443" t="str">
        <f t="shared" si="153"/>
        <v/>
      </c>
      <c r="AQ169" s="1771" t="str">
        <f t="shared" si="143"/>
        <v/>
      </c>
      <c r="AR169" s="1771" t="str">
        <f t="shared" si="143"/>
        <v/>
      </c>
      <c r="AS169" s="3442" t="str">
        <f t="shared" si="143"/>
        <v/>
      </c>
      <c r="AT169" s="1771" t="str">
        <f t="shared" si="153"/>
        <v/>
      </c>
      <c r="AU169" s="1771" t="str">
        <f t="shared" si="153"/>
        <v/>
      </c>
      <c r="AV169" s="1771" t="str">
        <f t="shared" si="153"/>
        <v/>
      </c>
      <c r="AW169" s="3442" t="str">
        <f t="shared" si="153"/>
        <v/>
      </c>
      <c r="AX169" s="1771" t="str">
        <f t="shared" si="154"/>
        <v/>
      </c>
      <c r="AY169" s="1771" t="str">
        <f t="shared" si="154"/>
        <v/>
      </c>
      <c r="AZ169" s="1771" t="str">
        <f t="shared" si="154"/>
        <v/>
      </c>
      <c r="BA169" s="1771" t="str">
        <f t="shared" si="154"/>
        <v/>
      </c>
      <c r="BB169" s="3437" t="str">
        <f t="shared" si="154"/>
        <v/>
      </c>
      <c r="BC169" s="3443">
        <f t="shared" si="154"/>
        <v>10.17</v>
      </c>
      <c r="BD169" s="3462"/>
      <c r="BE169" s="3440" t="str">
        <f>IF(J169=J319,"stop","")</f>
        <v/>
      </c>
      <c r="BF169" s="1771" t="str">
        <f t="shared" si="155"/>
        <v/>
      </c>
      <c r="BG169" s="1771" t="str">
        <f t="shared" si="155"/>
        <v/>
      </c>
      <c r="BH169" s="1771" t="str">
        <f t="shared" si="155"/>
        <v/>
      </c>
      <c r="BI169" s="1771" t="str">
        <f t="shared" si="155"/>
        <v/>
      </c>
      <c r="BJ169" s="3443" t="str">
        <f t="shared" si="155"/>
        <v/>
      </c>
      <c r="BK169" s="3437" t="str">
        <f t="shared" si="146"/>
        <v/>
      </c>
      <c r="BL169" s="1771" t="str">
        <f t="shared" si="146"/>
        <v/>
      </c>
      <c r="BM169" s="3442" t="str">
        <f t="shared" si="146"/>
        <v/>
      </c>
      <c r="BN169" s="1771" t="str">
        <f t="shared" si="155"/>
        <v/>
      </c>
      <c r="BO169" s="1771" t="str">
        <f t="shared" si="155"/>
        <v/>
      </c>
      <c r="BP169" s="1771" t="str">
        <f t="shared" si="155"/>
        <v/>
      </c>
      <c r="BQ169" s="1771" t="str">
        <f t="shared" si="155"/>
        <v/>
      </c>
      <c r="BR169" s="3437" t="str">
        <f t="shared" si="156"/>
        <v/>
      </c>
      <c r="BS169" s="1771" t="str">
        <f t="shared" si="156"/>
        <v/>
      </c>
      <c r="BT169" s="1771" t="str">
        <f t="shared" si="156"/>
        <v/>
      </c>
      <c r="BU169" s="3442" t="str">
        <f t="shared" si="156"/>
        <v/>
      </c>
      <c r="BV169" s="1771" t="str">
        <f t="shared" si="156"/>
        <v/>
      </c>
      <c r="BW169" s="3442">
        <f t="shared" si="156"/>
        <v>7.8569650629234697</v>
      </c>
      <c r="BX169" s="3462"/>
      <c r="BY169" s="3439" t="str">
        <f>IF(L169=L319,"stop","")</f>
        <v/>
      </c>
      <c r="BZ169" s="3437" t="str">
        <f t="shared" si="157"/>
        <v/>
      </c>
      <c r="CA169" s="1771" t="str">
        <f t="shared" si="157"/>
        <v/>
      </c>
      <c r="CB169" s="1771" t="str">
        <f t="shared" si="157"/>
        <v/>
      </c>
      <c r="CC169" s="3442" t="str">
        <f t="shared" si="157"/>
        <v/>
      </c>
      <c r="CD169" s="1771" t="str">
        <f t="shared" si="157"/>
        <v/>
      </c>
      <c r="CE169" s="3437" t="str">
        <f t="shared" si="149"/>
        <v/>
      </c>
      <c r="CF169" s="1771" t="str">
        <f t="shared" si="149"/>
        <v/>
      </c>
      <c r="CG169" s="1771" t="str">
        <f t="shared" si="149"/>
        <v/>
      </c>
      <c r="CH169" s="3437" t="str">
        <f t="shared" si="157"/>
        <v/>
      </c>
      <c r="CI169" s="1771" t="str">
        <f t="shared" si="157"/>
        <v/>
      </c>
      <c r="CJ169" s="1771" t="str">
        <f t="shared" si="157"/>
        <v/>
      </c>
      <c r="CK169" s="3442" t="str">
        <f t="shared" si="157"/>
        <v/>
      </c>
      <c r="CL169" s="3437" t="str">
        <f t="shared" si="158"/>
        <v/>
      </c>
      <c r="CM169" s="1771" t="str">
        <f t="shared" si="158"/>
        <v/>
      </c>
      <c r="CN169" s="1771" t="str">
        <f t="shared" si="158"/>
        <v/>
      </c>
      <c r="CO169" s="3442" t="str">
        <f t="shared" si="158"/>
        <v/>
      </c>
      <c r="CP169" s="1771" t="str">
        <f t="shared" si="158"/>
        <v/>
      </c>
      <c r="CQ169" s="3442">
        <f t="shared" si="158"/>
        <v>8.120000000000001</v>
      </c>
      <c r="CR169" s="3462"/>
    </row>
    <row r="170" spans="1:96" s="3" customFormat="1">
      <c r="A170" s="1848" t="s">
        <v>795</v>
      </c>
      <c r="B170" s="816">
        <v>6</v>
      </c>
      <c r="C170" s="816">
        <v>5.72</v>
      </c>
      <c r="D170" s="816">
        <v>2.91</v>
      </c>
      <c r="E170" s="1802" t="s">
        <v>35</v>
      </c>
      <c r="F170" s="816">
        <v>3.85</v>
      </c>
      <c r="G170" s="816" t="s">
        <v>784</v>
      </c>
      <c r="H170" s="816">
        <v>1988</v>
      </c>
      <c r="I170" s="50"/>
      <c r="J170" s="816">
        <f t="shared" si="128"/>
        <v>5.72</v>
      </c>
      <c r="K170" s="816">
        <v>2.91</v>
      </c>
      <c r="L170" s="816" t="s">
        <v>35</v>
      </c>
      <c r="M170" s="816">
        <v>3.85</v>
      </c>
      <c r="N170" s="845">
        <f t="shared" si="151"/>
        <v>3.3471629778067276</v>
      </c>
      <c r="O170" s="1831">
        <f t="shared" si="152"/>
        <v>3.38</v>
      </c>
      <c r="P170" s="825" t="s">
        <v>1087</v>
      </c>
      <c r="Q170" s="3" t="str">
        <f>IF(J170=J319,"stop","")</f>
        <v/>
      </c>
      <c r="R170" s="3437" t="str">
        <f t="shared" si="160"/>
        <v/>
      </c>
      <c r="S170" s="1771" t="str">
        <f t="shared" si="160"/>
        <v/>
      </c>
      <c r="T170" s="1771" t="str">
        <f t="shared" si="160"/>
        <v/>
      </c>
      <c r="U170" s="1771" t="str">
        <f t="shared" si="160"/>
        <v/>
      </c>
      <c r="V170" s="3443" t="str">
        <f t="shared" si="160"/>
        <v/>
      </c>
      <c r="W170" s="1771">
        <f t="shared" si="140"/>
        <v>2.91</v>
      </c>
      <c r="X170" s="1771" t="str">
        <f t="shared" si="140"/>
        <v/>
      </c>
      <c r="Y170" s="1771" t="str">
        <f t="shared" si="140"/>
        <v/>
      </c>
      <c r="Z170" s="3437" t="str">
        <f t="shared" si="160"/>
        <v/>
      </c>
      <c r="AA170" s="1771" t="str">
        <f t="shared" si="160"/>
        <v/>
      </c>
      <c r="AB170" s="1771" t="str">
        <f t="shared" si="160"/>
        <v/>
      </c>
      <c r="AC170" s="3442" t="str">
        <f t="shared" si="160"/>
        <v/>
      </c>
      <c r="AD170" s="1771" t="str">
        <f t="shared" si="160"/>
        <v/>
      </c>
      <c r="AE170" s="1771" t="str">
        <f t="shared" si="160"/>
        <v/>
      </c>
      <c r="AF170" s="1771" t="str">
        <f t="shared" si="160"/>
        <v/>
      </c>
      <c r="AG170" s="3442" t="str">
        <f t="shared" si="160"/>
        <v/>
      </c>
      <c r="AH170" s="1771" t="str">
        <f t="shared" ref="AH170:AI189" si="161">IF(AND($J170&gt;AH$4,$J170&lt;=AH$5,$P170=AH$6),$K170,"")</f>
        <v/>
      </c>
      <c r="AI170" s="3442" t="str">
        <f t="shared" si="161"/>
        <v/>
      </c>
      <c r="AJ170" s="3462"/>
      <c r="AK170" s="3439" t="str">
        <f>IF(J170=J319,"stop","")</f>
        <v/>
      </c>
      <c r="AL170" s="3437" t="str">
        <f t="shared" si="153"/>
        <v/>
      </c>
      <c r="AM170" s="1771" t="str">
        <f t="shared" si="153"/>
        <v/>
      </c>
      <c r="AN170" s="1771" t="str">
        <f t="shared" si="153"/>
        <v/>
      </c>
      <c r="AO170" s="1771" t="str">
        <f t="shared" si="153"/>
        <v/>
      </c>
      <c r="AP170" s="3443" t="str">
        <f t="shared" si="153"/>
        <v/>
      </c>
      <c r="AQ170" s="1771">
        <f t="shared" si="143"/>
        <v>3.85</v>
      </c>
      <c r="AR170" s="1771" t="str">
        <f t="shared" si="143"/>
        <v/>
      </c>
      <c r="AS170" s="3442" t="str">
        <f t="shared" si="143"/>
        <v/>
      </c>
      <c r="AT170" s="1771" t="str">
        <f t="shared" si="153"/>
        <v/>
      </c>
      <c r="AU170" s="1771" t="str">
        <f t="shared" si="153"/>
        <v/>
      </c>
      <c r="AV170" s="1771" t="str">
        <f t="shared" si="153"/>
        <v/>
      </c>
      <c r="AW170" s="3442" t="str">
        <f t="shared" si="153"/>
        <v/>
      </c>
      <c r="AX170" s="1771" t="str">
        <f t="shared" si="154"/>
        <v/>
      </c>
      <c r="AY170" s="1771" t="str">
        <f t="shared" si="154"/>
        <v/>
      </c>
      <c r="AZ170" s="1771" t="str">
        <f t="shared" si="154"/>
        <v/>
      </c>
      <c r="BA170" s="1771" t="str">
        <f t="shared" si="154"/>
        <v/>
      </c>
      <c r="BB170" s="3437" t="str">
        <f t="shared" si="154"/>
        <v/>
      </c>
      <c r="BC170" s="3443" t="str">
        <f t="shared" si="154"/>
        <v/>
      </c>
      <c r="BD170" s="3462"/>
      <c r="BE170" s="3440" t="str">
        <f>IF(J170=J319,"stop","")</f>
        <v/>
      </c>
      <c r="BF170" s="1771" t="str">
        <f t="shared" si="155"/>
        <v/>
      </c>
      <c r="BG170" s="1771" t="str">
        <f t="shared" si="155"/>
        <v/>
      </c>
      <c r="BH170" s="1771" t="str">
        <f t="shared" si="155"/>
        <v/>
      </c>
      <c r="BI170" s="1771" t="str">
        <f t="shared" si="155"/>
        <v/>
      </c>
      <c r="BJ170" s="3443" t="str">
        <f t="shared" si="155"/>
        <v/>
      </c>
      <c r="BK170" s="3437">
        <f t="shared" si="146"/>
        <v>3.3471629778067276</v>
      </c>
      <c r="BL170" s="1771" t="str">
        <f t="shared" si="146"/>
        <v/>
      </c>
      <c r="BM170" s="3442" t="str">
        <f t="shared" si="146"/>
        <v/>
      </c>
      <c r="BN170" s="1771" t="str">
        <f t="shared" si="155"/>
        <v/>
      </c>
      <c r="BO170" s="1771" t="str">
        <f t="shared" si="155"/>
        <v/>
      </c>
      <c r="BP170" s="1771" t="str">
        <f t="shared" si="155"/>
        <v/>
      </c>
      <c r="BQ170" s="1771" t="str">
        <f t="shared" si="155"/>
        <v/>
      </c>
      <c r="BR170" s="3437" t="str">
        <f t="shared" si="156"/>
        <v/>
      </c>
      <c r="BS170" s="1771" t="str">
        <f t="shared" si="156"/>
        <v/>
      </c>
      <c r="BT170" s="1771" t="str">
        <f t="shared" si="156"/>
        <v/>
      </c>
      <c r="BU170" s="3442" t="str">
        <f t="shared" si="156"/>
        <v/>
      </c>
      <c r="BV170" s="1771" t="str">
        <f t="shared" si="156"/>
        <v/>
      </c>
      <c r="BW170" s="3442" t="str">
        <f t="shared" si="156"/>
        <v/>
      </c>
      <c r="BX170" s="3462"/>
      <c r="BY170" s="3439" t="str">
        <f>IF(L170=L319,"stop","")</f>
        <v/>
      </c>
      <c r="BZ170" s="3437" t="str">
        <f t="shared" si="157"/>
        <v/>
      </c>
      <c r="CA170" s="1771" t="str">
        <f t="shared" si="157"/>
        <v/>
      </c>
      <c r="CB170" s="1771" t="str">
        <f t="shared" si="157"/>
        <v/>
      </c>
      <c r="CC170" s="3442" t="str">
        <f t="shared" si="157"/>
        <v/>
      </c>
      <c r="CD170" s="1771" t="str">
        <f t="shared" si="157"/>
        <v/>
      </c>
      <c r="CE170" s="3437">
        <f t="shared" si="149"/>
        <v>3.38</v>
      </c>
      <c r="CF170" s="1771" t="str">
        <f t="shared" si="149"/>
        <v/>
      </c>
      <c r="CG170" s="1771" t="str">
        <f t="shared" si="149"/>
        <v/>
      </c>
      <c r="CH170" s="3437" t="str">
        <f t="shared" si="157"/>
        <v/>
      </c>
      <c r="CI170" s="1771" t="str">
        <f t="shared" si="157"/>
        <v/>
      </c>
      <c r="CJ170" s="1771" t="str">
        <f t="shared" si="157"/>
        <v/>
      </c>
      <c r="CK170" s="3442" t="str">
        <f t="shared" si="157"/>
        <v/>
      </c>
      <c r="CL170" s="3437" t="str">
        <f t="shared" si="158"/>
        <v/>
      </c>
      <c r="CM170" s="1771" t="str">
        <f t="shared" si="158"/>
        <v/>
      </c>
      <c r="CN170" s="1771" t="str">
        <f t="shared" si="158"/>
        <v/>
      </c>
      <c r="CO170" s="3442" t="str">
        <f t="shared" si="158"/>
        <v/>
      </c>
      <c r="CP170" s="1771" t="str">
        <f t="shared" si="158"/>
        <v/>
      </c>
      <c r="CQ170" s="3442" t="str">
        <f t="shared" si="158"/>
        <v/>
      </c>
      <c r="CR170" s="3462"/>
    </row>
    <row r="171" spans="1:96" s="3" customFormat="1">
      <c r="A171" s="1848" t="s">
        <v>796</v>
      </c>
      <c r="B171" s="816">
        <v>6</v>
      </c>
      <c r="C171" s="816">
        <v>5.85</v>
      </c>
      <c r="D171" s="1794">
        <v>2.4</v>
      </c>
      <c r="E171" s="1805" t="s">
        <v>797</v>
      </c>
      <c r="F171" s="1794">
        <v>2.4</v>
      </c>
      <c r="G171" s="816" t="s">
        <v>784</v>
      </c>
      <c r="H171" s="816">
        <v>1988</v>
      </c>
      <c r="I171" s="50"/>
      <c r="J171" s="816">
        <f t="shared" si="128"/>
        <v>5.85</v>
      </c>
      <c r="K171" s="816">
        <v>2.4</v>
      </c>
      <c r="L171" s="818" t="s">
        <v>797</v>
      </c>
      <c r="M171" s="816">
        <v>2.4</v>
      </c>
      <c r="N171" s="845">
        <f t="shared" si="151"/>
        <v>2.4</v>
      </c>
      <c r="O171" s="1831">
        <f t="shared" si="152"/>
        <v>2.4</v>
      </c>
      <c r="P171" s="825" t="s">
        <v>1087</v>
      </c>
      <c r="Q171" s="3" t="str">
        <f>IF(J171=J319,"stop","")</f>
        <v/>
      </c>
      <c r="R171" s="3437" t="str">
        <f t="shared" si="160"/>
        <v/>
      </c>
      <c r="S171" s="1771" t="str">
        <f t="shared" si="160"/>
        <v/>
      </c>
      <c r="T171" s="1771" t="str">
        <f t="shared" si="160"/>
        <v/>
      </c>
      <c r="U171" s="1771" t="str">
        <f t="shared" si="160"/>
        <v/>
      </c>
      <c r="V171" s="3443" t="str">
        <f t="shared" si="160"/>
        <v/>
      </c>
      <c r="W171" s="1771">
        <f t="shared" si="160"/>
        <v>2.4</v>
      </c>
      <c r="X171" s="1771" t="str">
        <f t="shared" si="160"/>
        <v/>
      </c>
      <c r="Y171" s="1771" t="str">
        <f t="shared" si="160"/>
        <v/>
      </c>
      <c r="Z171" s="3437" t="str">
        <f t="shared" si="160"/>
        <v/>
      </c>
      <c r="AA171" s="1771" t="str">
        <f t="shared" si="160"/>
        <v/>
      </c>
      <c r="AB171" s="1771" t="str">
        <f t="shared" si="160"/>
        <v/>
      </c>
      <c r="AC171" s="3442" t="str">
        <f t="shared" si="160"/>
        <v/>
      </c>
      <c r="AD171" s="1771" t="str">
        <f t="shared" si="160"/>
        <v/>
      </c>
      <c r="AE171" s="1771" t="str">
        <f t="shared" si="160"/>
        <v/>
      </c>
      <c r="AF171" s="1771" t="str">
        <f t="shared" si="160"/>
        <v/>
      </c>
      <c r="AG171" s="3442" t="str">
        <f t="shared" si="160"/>
        <v/>
      </c>
      <c r="AH171" s="1771" t="str">
        <f t="shared" si="161"/>
        <v/>
      </c>
      <c r="AI171" s="3442" t="str">
        <f t="shared" si="161"/>
        <v/>
      </c>
      <c r="AJ171" s="3462"/>
      <c r="AK171" s="3439" t="str">
        <f>IF(J171=J319,"stop","")</f>
        <v/>
      </c>
      <c r="AL171" s="3437" t="str">
        <f t="shared" ref="AL171:AW180" si="162">IF(AND($J171&gt;AL$4,$J171&lt;=AL$5,$P171=AL$6),$M171,"")</f>
        <v/>
      </c>
      <c r="AM171" s="1771" t="str">
        <f t="shared" si="162"/>
        <v/>
      </c>
      <c r="AN171" s="1771" t="str">
        <f t="shared" si="162"/>
        <v/>
      </c>
      <c r="AO171" s="1771" t="str">
        <f t="shared" si="162"/>
        <v/>
      </c>
      <c r="AP171" s="3443" t="str">
        <f t="shared" si="162"/>
        <v/>
      </c>
      <c r="AQ171" s="1771">
        <f t="shared" si="162"/>
        <v>2.4</v>
      </c>
      <c r="AR171" s="1771" t="str">
        <f t="shared" si="162"/>
        <v/>
      </c>
      <c r="AS171" s="3442" t="str">
        <f t="shared" si="162"/>
        <v/>
      </c>
      <c r="AT171" s="1771" t="str">
        <f t="shared" si="162"/>
        <v/>
      </c>
      <c r="AU171" s="1771" t="str">
        <f t="shared" si="162"/>
        <v/>
      </c>
      <c r="AV171" s="1771" t="str">
        <f t="shared" si="162"/>
        <v/>
      </c>
      <c r="AW171" s="3442" t="str">
        <f t="shared" si="162"/>
        <v/>
      </c>
      <c r="AX171" s="1771" t="str">
        <f t="shared" ref="AX171:BC180" si="163">IF(AND($J171&gt;AX$4,$J171&lt;=AX$5,$P171=AX$6),$M171,"")</f>
        <v/>
      </c>
      <c r="AY171" s="1771" t="str">
        <f t="shared" si="163"/>
        <v/>
      </c>
      <c r="AZ171" s="1771" t="str">
        <f t="shared" si="163"/>
        <v/>
      </c>
      <c r="BA171" s="1771" t="str">
        <f t="shared" si="163"/>
        <v/>
      </c>
      <c r="BB171" s="3437" t="str">
        <f t="shared" si="163"/>
        <v/>
      </c>
      <c r="BC171" s="3443" t="str">
        <f t="shared" si="163"/>
        <v/>
      </c>
      <c r="BD171" s="3462"/>
      <c r="BE171" s="3440" t="str">
        <f>IF(J171=J319,"stop","")</f>
        <v/>
      </c>
      <c r="BF171" s="1771" t="str">
        <f t="shared" ref="BF171:BQ180" si="164">IF(AND($J171&gt;BF$4,$J171&lt;=BF$5,$P171=BF$6),$N171,"")</f>
        <v/>
      </c>
      <c r="BG171" s="1771" t="str">
        <f t="shared" si="164"/>
        <v/>
      </c>
      <c r="BH171" s="1771" t="str">
        <f t="shared" si="164"/>
        <v/>
      </c>
      <c r="BI171" s="1771" t="str">
        <f t="shared" si="164"/>
        <v/>
      </c>
      <c r="BJ171" s="3443" t="str">
        <f t="shared" si="164"/>
        <v/>
      </c>
      <c r="BK171" s="3437">
        <f t="shared" si="164"/>
        <v>2.4</v>
      </c>
      <c r="BL171" s="1771" t="str">
        <f t="shared" si="164"/>
        <v/>
      </c>
      <c r="BM171" s="3442" t="str">
        <f t="shared" si="164"/>
        <v/>
      </c>
      <c r="BN171" s="1771" t="str">
        <f t="shared" si="164"/>
        <v/>
      </c>
      <c r="BO171" s="1771" t="str">
        <f t="shared" si="164"/>
        <v/>
      </c>
      <c r="BP171" s="1771" t="str">
        <f t="shared" si="164"/>
        <v/>
      </c>
      <c r="BQ171" s="1771" t="str">
        <f t="shared" si="164"/>
        <v/>
      </c>
      <c r="BR171" s="3437" t="str">
        <f t="shared" ref="BR171:BW180" si="165">IF(AND($J171&gt;BR$4,$J171&lt;=BR$5,$P171=BR$6),$N171,"")</f>
        <v/>
      </c>
      <c r="BS171" s="1771" t="str">
        <f t="shared" si="165"/>
        <v/>
      </c>
      <c r="BT171" s="1771" t="str">
        <f t="shared" si="165"/>
        <v/>
      </c>
      <c r="BU171" s="3442" t="str">
        <f t="shared" si="165"/>
        <v/>
      </c>
      <c r="BV171" s="1771" t="str">
        <f t="shared" si="165"/>
        <v/>
      </c>
      <c r="BW171" s="3442" t="str">
        <f t="shared" si="165"/>
        <v/>
      </c>
      <c r="BX171" s="3462"/>
      <c r="BY171" s="3439" t="str">
        <f>IF(L171=L319,"stop","")</f>
        <v/>
      </c>
      <c r="BZ171" s="3437" t="str">
        <f t="shared" ref="BZ171:CK180" si="166">IF(AND($J171&gt;BZ$4,$J171&lt;=BZ$5,$P171=BZ$6),$O171,"")</f>
        <v/>
      </c>
      <c r="CA171" s="1771" t="str">
        <f t="shared" si="166"/>
        <v/>
      </c>
      <c r="CB171" s="1771" t="str">
        <f t="shared" si="166"/>
        <v/>
      </c>
      <c r="CC171" s="3442" t="str">
        <f t="shared" si="166"/>
        <v/>
      </c>
      <c r="CD171" s="1771" t="str">
        <f t="shared" si="166"/>
        <v/>
      </c>
      <c r="CE171" s="3437">
        <f t="shared" si="166"/>
        <v>2.4</v>
      </c>
      <c r="CF171" s="1771" t="str">
        <f t="shared" si="166"/>
        <v/>
      </c>
      <c r="CG171" s="1771" t="str">
        <f t="shared" si="166"/>
        <v/>
      </c>
      <c r="CH171" s="3437" t="str">
        <f t="shared" si="166"/>
        <v/>
      </c>
      <c r="CI171" s="1771" t="str">
        <f t="shared" si="166"/>
        <v/>
      </c>
      <c r="CJ171" s="1771" t="str">
        <f t="shared" si="166"/>
        <v/>
      </c>
      <c r="CK171" s="3442" t="str">
        <f t="shared" si="166"/>
        <v/>
      </c>
      <c r="CL171" s="3437" t="str">
        <f t="shared" ref="CL171:CQ180" si="167">IF(AND($J171&gt;CL$4,$J171&lt;=CL$5,$P171=CL$6),$O171,"")</f>
        <v/>
      </c>
      <c r="CM171" s="1771" t="str">
        <f t="shared" si="167"/>
        <v/>
      </c>
      <c r="CN171" s="1771" t="str">
        <f t="shared" si="167"/>
        <v/>
      </c>
      <c r="CO171" s="3442" t="str">
        <f t="shared" si="167"/>
        <v/>
      </c>
      <c r="CP171" s="1771" t="str">
        <f t="shared" si="167"/>
        <v/>
      </c>
      <c r="CQ171" s="3442" t="str">
        <f t="shared" si="167"/>
        <v/>
      </c>
      <c r="CR171" s="3462"/>
    </row>
    <row r="172" spans="1:96" s="3" customFormat="1">
      <c r="A172" s="1848" t="s">
        <v>798</v>
      </c>
      <c r="B172" s="816">
        <v>7</v>
      </c>
      <c r="C172" s="816">
        <v>6.31</v>
      </c>
      <c r="D172" s="816">
        <v>0.23</v>
      </c>
      <c r="E172" s="1802" t="s">
        <v>35</v>
      </c>
      <c r="F172" s="816">
        <v>1.71</v>
      </c>
      <c r="G172" s="816" t="s">
        <v>784</v>
      </c>
      <c r="H172" s="816">
        <v>1988</v>
      </c>
      <c r="I172" s="50"/>
      <c r="J172" s="816">
        <f t="shared" si="128"/>
        <v>6.31</v>
      </c>
      <c r="K172" s="816">
        <v>0.23</v>
      </c>
      <c r="L172" s="816" t="s">
        <v>35</v>
      </c>
      <c r="M172" s="816">
        <v>1.71</v>
      </c>
      <c r="N172" s="845">
        <f t="shared" si="151"/>
        <v>0.62713634881100611</v>
      </c>
      <c r="O172" s="1831">
        <f t="shared" si="152"/>
        <v>0.97</v>
      </c>
      <c r="P172" s="825" t="s">
        <v>1087</v>
      </c>
      <c r="Q172" s="3" t="str">
        <f>IF(J172=J319,"stop","")</f>
        <v/>
      </c>
      <c r="R172" s="3437" t="str">
        <f t="shared" si="160"/>
        <v/>
      </c>
      <c r="S172" s="1771" t="str">
        <f t="shared" si="160"/>
        <v/>
      </c>
      <c r="T172" s="1771" t="str">
        <f t="shared" si="160"/>
        <v/>
      </c>
      <c r="U172" s="1771" t="str">
        <f t="shared" si="160"/>
        <v/>
      </c>
      <c r="V172" s="3443" t="str">
        <f t="shared" si="160"/>
        <v/>
      </c>
      <c r="W172" s="1771" t="str">
        <f t="shared" si="160"/>
        <v/>
      </c>
      <c r="X172" s="1771">
        <f t="shared" si="160"/>
        <v>0.23</v>
      </c>
      <c r="Y172" s="1771" t="str">
        <f t="shared" si="160"/>
        <v/>
      </c>
      <c r="Z172" s="3437" t="str">
        <f t="shared" si="160"/>
        <v/>
      </c>
      <c r="AA172" s="1771" t="str">
        <f t="shared" si="160"/>
        <v/>
      </c>
      <c r="AB172" s="1771" t="str">
        <f t="shared" si="160"/>
        <v/>
      </c>
      <c r="AC172" s="3442" t="str">
        <f t="shared" si="160"/>
        <v/>
      </c>
      <c r="AD172" s="1771" t="str">
        <f t="shared" si="160"/>
        <v/>
      </c>
      <c r="AE172" s="1771" t="str">
        <f t="shared" si="160"/>
        <v/>
      </c>
      <c r="AF172" s="1771" t="str">
        <f t="shared" si="160"/>
        <v/>
      </c>
      <c r="AG172" s="3442" t="str">
        <f t="shared" si="160"/>
        <v/>
      </c>
      <c r="AH172" s="1771" t="str">
        <f t="shared" si="161"/>
        <v/>
      </c>
      <c r="AI172" s="3442" t="str">
        <f t="shared" si="161"/>
        <v/>
      </c>
      <c r="AJ172" s="3462"/>
      <c r="AK172" s="3439" t="str">
        <f>IF(J172=J319,"stop","")</f>
        <v/>
      </c>
      <c r="AL172" s="3437" t="str">
        <f t="shared" si="162"/>
        <v/>
      </c>
      <c r="AM172" s="1771" t="str">
        <f t="shared" si="162"/>
        <v/>
      </c>
      <c r="AN172" s="1771" t="str">
        <f t="shared" si="162"/>
        <v/>
      </c>
      <c r="AO172" s="1771" t="str">
        <f t="shared" si="162"/>
        <v/>
      </c>
      <c r="AP172" s="3443" t="str">
        <f t="shared" si="162"/>
        <v/>
      </c>
      <c r="AQ172" s="1771" t="str">
        <f t="shared" si="162"/>
        <v/>
      </c>
      <c r="AR172" s="1771">
        <f t="shared" si="162"/>
        <v>1.71</v>
      </c>
      <c r="AS172" s="3442" t="str">
        <f t="shared" si="162"/>
        <v/>
      </c>
      <c r="AT172" s="1771" t="str">
        <f t="shared" si="162"/>
        <v/>
      </c>
      <c r="AU172" s="1771" t="str">
        <f t="shared" si="162"/>
        <v/>
      </c>
      <c r="AV172" s="1771" t="str">
        <f t="shared" si="162"/>
        <v/>
      </c>
      <c r="AW172" s="3442" t="str">
        <f t="shared" si="162"/>
        <v/>
      </c>
      <c r="AX172" s="1771" t="str">
        <f t="shared" si="163"/>
        <v/>
      </c>
      <c r="AY172" s="1771" t="str">
        <f t="shared" si="163"/>
        <v/>
      </c>
      <c r="AZ172" s="1771" t="str">
        <f t="shared" si="163"/>
        <v/>
      </c>
      <c r="BA172" s="1771" t="str">
        <f t="shared" si="163"/>
        <v/>
      </c>
      <c r="BB172" s="3437" t="str">
        <f t="shared" si="163"/>
        <v/>
      </c>
      <c r="BC172" s="3443" t="str">
        <f t="shared" si="163"/>
        <v/>
      </c>
      <c r="BD172" s="3462"/>
      <c r="BE172" s="3440" t="str">
        <f>IF(J172=J319,"stop","")</f>
        <v/>
      </c>
      <c r="BF172" s="1771" t="str">
        <f t="shared" si="164"/>
        <v/>
      </c>
      <c r="BG172" s="1771" t="str">
        <f t="shared" si="164"/>
        <v/>
      </c>
      <c r="BH172" s="1771" t="str">
        <f t="shared" si="164"/>
        <v/>
      </c>
      <c r="BI172" s="1771" t="str">
        <f t="shared" si="164"/>
        <v/>
      </c>
      <c r="BJ172" s="3443" t="str">
        <f t="shared" si="164"/>
        <v/>
      </c>
      <c r="BK172" s="3437" t="str">
        <f t="shared" si="164"/>
        <v/>
      </c>
      <c r="BL172" s="1771">
        <f t="shared" si="164"/>
        <v>0.62713634881100611</v>
      </c>
      <c r="BM172" s="3442" t="str">
        <f t="shared" si="164"/>
        <v/>
      </c>
      <c r="BN172" s="1771" t="str">
        <f t="shared" si="164"/>
        <v/>
      </c>
      <c r="BO172" s="1771" t="str">
        <f t="shared" si="164"/>
        <v/>
      </c>
      <c r="BP172" s="1771" t="str">
        <f t="shared" si="164"/>
        <v/>
      </c>
      <c r="BQ172" s="1771" t="str">
        <f t="shared" si="164"/>
        <v/>
      </c>
      <c r="BR172" s="3437" t="str">
        <f t="shared" si="165"/>
        <v/>
      </c>
      <c r="BS172" s="1771" t="str">
        <f t="shared" si="165"/>
        <v/>
      </c>
      <c r="BT172" s="1771" t="str">
        <f t="shared" si="165"/>
        <v/>
      </c>
      <c r="BU172" s="3442" t="str">
        <f t="shared" si="165"/>
        <v/>
      </c>
      <c r="BV172" s="1771" t="str">
        <f t="shared" si="165"/>
        <v/>
      </c>
      <c r="BW172" s="3442" t="str">
        <f t="shared" si="165"/>
        <v/>
      </c>
      <c r="BX172" s="3462"/>
      <c r="BY172" s="3439" t="str">
        <f>IF(L172=L319,"stop","")</f>
        <v/>
      </c>
      <c r="BZ172" s="3437" t="str">
        <f t="shared" si="166"/>
        <v/>
      </c>
      <c r="CA172" s="1771" t="str">
        <f t="shared" si="166"/>
        <v/>
      </c>
      <c r="CB172" s="1771" t="str">
        <f t="shared" si="166"/>
        <v/>
      </c>
      <c r="CC172" s="3442" t="str">
        <f t="shared" si="166"/>
        <v/>
      </c>
      <c r="CD172" s="1771" t="str">
        <f t="shared" si="166"/>
        <v/>
      </c>
      <c r="CE172" s="3437" t="str">
        <f t="shared" si="166"/>
        <v/>
      </c>
      <c r="CF172" s="1771">
        <f t="shared" si="166"/>
        <v>0.97</v>
      </c>
      <c r="CG172" s="1771" t="str">
        <f t="shared" si="166"/>
        <v/>
      </c>
      <c r="CH172" s="3437" t="str">
        <f t="shared" si="166"/>
        <v/>
      </c>
      <c r="CI172" s="1771" t="str">
        <f t="shared" si="166"/>
        <v/>
      </c>
      <c r="CJ172" s="1771" t="str">
        <f t="shared" si="166"/>
        <v/>
      </c>
      <c r="CK172" s="3442" t="str">
        <f t="shared" si="166"/>
        <v/>
      </c>
      <c r="CL172" s="3437" t="str">
        <f t="shared" si="167"/>
        <v/>
      </c>
      <c r="CM172" s="1771" t="str">
        <f t="shared" si="167"/>
        <v/>
      </c>
      <c r="CN172" s="1771" t="str">
        <f t="shared" si="167"/>
        <v/>
      </c>
      <c r="CO172" s="3442" t="str">
        <f t="shared" si="167"/>
        <v/>
      </c>
      <c r="CP172" s="1771" t="str">
        <f t="shared" si="167"/>
        <v/>
      </c>
      <c r="CQ172" s="3442" t="str">
        <f t="shared" si="167"/>
        <v/>
      </c>
      <c r="CR172" s="3462"/>
    </row>
    <row r="173" spans="1:96" s="3" customFormat="1">
      <c r="A173" s="1848" t="s">
        <v>799</v>
      </c>
      <c r="B173" s="816">
        <v>7</v>
      </c>
      <c r="C173" s="816">
        <v>6.69</v>
      </c>
      <c r="D173" s="816">
        <v>0.32</v>
      </c>
      <c r="E173" s="1802" t="s">
        <v>35</v>
      </c>
      <c r="F173" s="816">
        <v>4.17</v>
      </c>
      <c r="G173" s="816" t="s">
        <v>784</v>
      </c>
      <c r="H173" s="816">
        <v>1988</v>
      </c>
      <c r="I173" s="50"/>
      <c r="J173" s="816">
        <f t="shared" si="128"/>
        <v>6.69</v>
      </c>
      <c r="K173" s="816">
        <v>0.32</v>
      </c>
      <c r="L173" s="816" t="s">
        <v>35</v>
      </c>
      <c r="M173" s="816">
        <v>4.17</v>
      </c>
      <c r="N173" s="845">
        <f t="shared" si="151"/>
        <v>1.1551623262554922</v>
      </c>
      <c r="O173" s="1831">
        <f t="shared" si="152"/>
        <v>2.2450000000000001</v>
      </c>
      <c r="P173" s="825" t="s">
        <v>1087</v>
      </c>
      <c r="Q173" s="3" t="str">
        <f>IF(J173=J319,"stop","")</f>
        <v/>
      </c>
      <c r="R173" s="3437" t="str">
        <f t="shared" si="160"/>
        <v/>
      </c>
      <c r="S173" s="1771" t="str">
        <f t="shared" si="160"/>
        <v/>
      </c>
      <c r="T173" s="1771" t="str">
        <f t="shared" si="160"/>
        <v/>
      </c>
      <c r="U173" s="1771" t="str">
        <f t="shared" si="160"/>
        <v/>
      </c>
      <c r="V173" s="3443" t="str">
        <f t="shared" si="160"/>
        <v/>
      </c>
      <c r="W173" s="1771" t="str">
        <f t="shared" si="160"/>
        <v/>
      </c>
      <c r="X173" s="1771">
        <f t="shared" si="160"/>
        <v>0.32</v>
      </c>
      <c r="Y173" s="1771" t="str">
        <f t="shared" si="160"/>
        <v/>
      </c>
      <c r="Z173" s="3437" t="str">
        <f t="shared" si="160"/>
        <v/>
      </c>
      <c r="AA173" s="1771" t="str">
        <f t="shared" si="160"/>
        <v/>
      </c>
      <c r="AB173" s="1771" t="str">
        <f t="shared" si="160"/>
        <v/>
      </c>
      <c r="AC173" s="3442" t="str">
        <f t="shared" si="160"/>
        <v/>
      </c>
      <c r="AD173" s="1771" t="str">
        <f t="shared" si="160"/>
        <v/>
      </c>
      <c r="AE173" s="1771" t="str">
        <f t="shared" si="160"/>
        <v/>
      </c>
      <c r="AF173" s="1771" t="str">
        <f t="shared" si="160"/>
        <v/>
      </c>
      <c r="AG173" s="3442" t="str">
        <f t="shared" si="160"/>
        <v/>
      </c>
      <c r="AH173" s="1771" t="str">
        <f t="shared" si="161"/>
        <v/>
      </c>
      <c r="AI173" s="3442" t="str">
        <f t="shared" si="161"/>
        <v/>
      </c>
      <c r="AJ173" s="3462"/>
      <c r="AK173" s="3439" t="str">
        <f>IF(J173=J319,"stop","")</f>
        <v/>
      </c>
      <c r="AL173" s="3437" t="str">
        <f t="shared" si="162"/>
        <v/>
      </c>
      <c r="AM173" s="1771" t="str">
        <f t="shared" si="162"/>
        <v/>
      </c>
      <c r="AN173" s="1771" t="str">
        <f t="shared" si="162"/>
        <v/>
      </c>
      <c r="AO173" s="1771" t="str">
        <f t="shared" si="162"/>
        <v/>
      </c>
      <c r="AP173" s="3443" t="str">
        <f t="shared" si="162"/>
        <v/>
      </c>
      <c r="AQ173" s="1771" t="str">
        <f t="shared" si="162"/>
        <v/>
      </c>
      <c r="AR173" s="1771">
        <f t="shared" si="162"/>
        <v>4.17</v>
      </c>
      <c r="AS173" s="3442" t="str">
        <f t="shared" si="162"/>
        <v/>
      </c>
      <c r="AT173" s="1771" t="str">
        <f t="shared" si="162"/>
        <v/>
      </c>
      <c r="AU173" s="1771" t="str">
        <f t="shared" si="162"/>
        <v/>
      </c>
      <c r="AV173" s="1771" t="str">
        <f t="shared" si="162"/>
        <v/>
      </c>
      <c r="AW173" s="3442" t="str">
        <f t="shared" si="162"/>
        <v/>
      </c>
      <c r="AX173" s="1771" t="str">
        <f t="shared" si="163"/>
        <v/>
      </c>
      <c r="AY173" s="1771" t="str">
        <f t="shared" si="163"/>
        <v/>
      </c>
      <c r="AZ173" s="1771" t="str">
        <f t="shared" si="163"/>
        <v/>
      </c>
      <c r="BA173" s="1771" t="str">
        <f t="shared" si="163"/>
        <v/>
      </c>
      <c r="BB173" s="3437" t="str">
        <f t="shared" si="163"/>
        <v/>
      </c>
      <c r="BC173" s="3443" t="str">
        <f t="shared" si="163"/>
        <v/>
      </c>
      <c r="BD173" s="3462"/>
      <c r="BE173" s="3440" t="str">
        <f>IF(J173=J319,"stop","")</f>
        <v/>
      </c>
      <c r="BF173" s="1771" t="str">
        <f t="shared" si="164"/>
        <v/>
      </c>
      <c r="BG173" s="1771" t="str">
        <f t="shared" si="164"/>
        <v/>
      </c>
      <c r="BH173" s="1771" t="str">
        <f t="shared" si="164"/>
        <v/>
      </c>
      <c r="BI173" s="1771" t="str">
        <f t="shared" si="164"/>
        <v/>
      </c>
      <c r="BJ173" s="3443" t="str">
        <f t="shared" si="164"/>
        <v/>
      </c>
      <c r="BK173" s="3437" t="str">
        <f t="shared" si="164"/>
        <v/>
      </c>
      <c r="BL173" s="1771">
        <f t="shared" si="164"/>
        <v>1.1551623262554922</v>
      </c>
      <c r="BM173" s="3442" t="str">
        <f t="shared" si="164"/>
        <v/>
      </c>
      <c r="BN173" s="1771" t="str">
        <f t="shared" si="164"/>
        <v/>
      </c>
      <c r="BO173" s="1771" t="str">
        <f t="shared" si="164"/>
        <v/>
      </c>
      <c r="BP173" s="1771" t="str">
        <f t="shared" si="164"/>
        <v/>
      </c>
      <c r="BQ173" s="1771" t="str">
        <f t="shared" si="164"/>
        <v/>
      </c>
      <c r="BR173" s="3437" t="str">
        <f t="shared" si="165"/>
        <v/>
      </c>
      <c r="BS173" s="1771" t="str">
        <f t="shared" si="165"/>
        <v/>
      </c>
      <c r="BT173" s="1771" t="str">
        <f t="shared" si="165"/>
        <v/>
      </c>
      <c r="BU173" s="3442" t="str">
        <f t="shared" si="165"/>
        <v/>
      </c>
      <c r="BV173" s="1771" t="str">
        <f t="shared" si="165"/>
        <v/>
      </c>
      <c r="BW173" s="3442" t="str">
        <f t="shared" si="165"/>
        <v/>
      </c>
      <c r="BX173" s="3462"/>
      <c r="BY173" s="3439" t="str">
        <f>IF(L173=L319,"stop","")</f>
        <v/>
      </c>
      <c r="BZ173" s="3437" t="str">
        <f t="shared" si="166"/>
        <v/>
      </c>
      <c r="CA173" s="1771" t="str">
        <f t="shared" si="166"/>
        <v/>
      </c>
      <c r="CB173" s="1771" t="str">
        <f t="shared" si="166"/>
        <v/>
      </c>
      <c r="CC173" s="3442" t="str">
        <f t="shared" si="166"/>
        <v/>
      </c>
      <c r="CD173" s="1771" t="str">
        <f t="shared" si="166"/>
        <v/>
      </c>
      <c r="CE173" s="3437" t="str">
        <f t="shared" si="166"/>
        <v/>
      </c>
      <c r="CF173" s="1771">
        <f t="shared" si="166"/>
        <v>2.2450000000000001</v>
      </c>
      <c r="CG173" s="1771" t="str">
        <f t="shared" si="166"/>
        <v/>
      </c>
      <c r="CH173" s="3437" t="str">
        <f t="shared" si="166"/>
        <v/>
      </c>
      <c r="CI173" s="1771" t="str">
        <f t="shared" si="166"/>
        <v/>
      </c>
      <c r="CJ173" s="1771" t="str">
        <f t="shared" si="166"/>
        <v/>
      </c>
      <c r="CK173" s="3442" t="str">
        <f t="shared" si="166"/>
        <v/>
      </c>
      <c r="CL173" s="3437" t="str">
        <f t="shared" si="167"/>
        <v/>
      </c>
      <c r="CM173" s="1771" t="str">
        <f t="shared" si="167"/>
        <v/>
      </c>
      <c r="CN173" s="1771" t="str">
        <f t="shared" si="167"/>
        <v/>
      </c>
      <c r="CO173" s="3442" t="str">
        <f t="shared" si="167"/>
        <v/>
      </c>
      <c r="CP173" s="1771" t="str">
        <f t="shared" si="167"/>
        <v/>
      </c>
      <c r="CQ173" s="3442" t="str">
        <f t="shared" si="167"/>
        <v/>
      </c>
      <c r="CR173" s="3462"/>
    </row>
    <row r="174" spans="1:96" s="3" customFormat="1">
      <c r="A174" s="1848" t="s">
        <v>800</v>
      </c>
      <c r="B174" s="816">
        <v>7</v>
      </c>
      <c r="C174" s="816">
        <v>6.55</v>
      </c>
      <c r="D174" s="816">
        <v>0.02</v>
      </c>
      <c r="E174" s="1802" t="s">
        <v>35</v>
      </c>
      <c r="F174" s="816">
        <v>0.03</v>
      </c>
      <c r="G174" s="816" t="s">
        <v>784</v>
      </c>
      <c r="H174" s="816">
        <v>1988</v>
      </c>
      <c r="I174" s="50"/>
      <c r="J174" s="816">
        <f t="shared" si="128"/>
        <v>6.55</v>
      </c>
      <c r="K174" s="816">
        <v>0.02</v>
      </c>
      <c r="L174" s="816" t="s">
        <v>35</v>
      </c>
      <c r="M174" s="816">
        <v>0.03</v>
      </c>
      <c r="N174" s="845">
        <f t="shared" si="151"/>
        <v>2.4494897427831779E-2</v>
      </c>
      <c r="O174" s="1831">
        <f t="shared" si="152"/>
        <v>2.5000000000000001E-2</v>
      </c>
      <c r="P174" s="825" t="s">
        <v>1087</v>
      </c>
      <c r="Q174" s="3" t="str">
        <f>IF(J174=J319,"stop","")</f>
        <v/>
      </c>
      <c r="R174" s="3437" t="str">
        <f t="shared" si="160"/>
        <v/>
      </c>
      <c r="S174" s="1771" t="str">
        <f t="shared" si="160"/>
        <v/>
      </c>
      <c r="T174" s="1771" t="str">
        <f t="shared" si="160"/>
        <v/>
      </c>
      <c r="U174" s="1771" t="str">
        <f t="shared" si="160"/>
        <v/>
      </c>
      <c r="V174" s="3443" t="str">
        <f t="shared" si="160"/>
        <v/>
      </c>
      <c r="W174" s="1771" t="str">
        <f t="shared" si="160"/>
        <v/>
      </c>
      <c r="X174" s="1771">
        <f t="shared" si="160"/>
        <v>0.02</v>
      </c>
      <c r="Y174" s="1771" t="str">
        <f t="shared" si="160"/>
        <v/>
      </c>
      <c r="Z174" s="3437" t="str">
        <f t="shared" si="160"/>
        <v/>
      </c>
      <c r="AA174" s="1771" t="str">
        <f t="shared" si="160"/>
        <v/>
      </c>
      <c r="AB174" s="1771" t="str">
        <f t="shared" si="160"/>
        <v/>
      </c>
      <c r="AC174" s="3442" t="str">
        <f t="shared" si="160"/>
        <v/>
      </c>
      <c r="AD174" s="1771" t="str">
        <f t="shared" si="160"/>
        <v/>
      </c>
      <c r="AE174" s="1771" t="str">
        <f t="shared" si="160"/>
        <v/>
      </c>
      <c r="AF174" s="1771" t="str">
        <f t="shared" si="160"/>
        <v/>
      </c>
      <c r="AG174" s="3442" t="str">
        <f t="shared" si="160"/>
        <v/>
      </c>
      <c r="AH174" s="1771" t="str">
        <f t="shared" si="161"/>
        <v/>
      </c>
      <c r="AI174" s="3442" t="str">
        <f t="shared" si="161"/>
        <v/>
      </c>
      <c r="AJ174" s="3462"/>
      <c r="AK174" s="3439" t="str">
        <f>IF(J174=J319,"stop","")</f>
        <v/>
      </c>
      <c r="AL174" s="3437" t="str">
        <f t="shared" si="162"/>
        <v/>
      </c>
      <c r="AM174" s="1771" t="str">
        <f t="shared" si="162"/>
        <v/>
      </c>
      <c r="AN174" s="1771" t="str">
        <f t="shared" si="162"/>
        <v/>
      </c>
      <c r="AO174" s="1771" t="str">
        <f t="shared" si="162"/>
        <v/>
      </c>
      <c r="AP174" s="3443" t="str">
        <f t="shared" si="162"/>
        <v/>
      </c>
      <c r="AQ174" s="1771" t="str">
        <f t="shared" si="162"/>
        <v/>
      </c>
      <c r="AR174" s="1771">
        <f t="shared" si="162"/>
        <v>0.03</v>
      </c>
      <c r="AS174" s="3442" t="str">
        <f t="shared" si="162"/>
        <v/>
      </c>
      <c r="AT174" s="1771" t="str">
        <f t="shared" si="162"/>
        <v/>
      </c>
      <c r="AU174" s="1771" t="str">
        <f t="shared" si="162"/>
        <v/>
      </c>
      <c r="AV174" s="1771" t="str">
        <f t="shared" si="162"/>
        <v/>
      </c>
      <c r="AW174" s="3442" t="str">
        <f t="shared" si="162"/>
        <v/>
      </c>
      <c r="AX174" s="1771" t="str">
        <f t="shared" si="163"/>
        <v/>
      </c>
      <c r="AY174" s="1771" t="str">
        <f t="shared" si="163"/>
        <v/>
      </c>
      <c r="AZ174" s="1771" t="str">
        <f t="shared" si="163"/>
        <v/>
      </c>
      <c r="BA174" s="1771" t="str">
        <f t="shared" si="163"/>
        <v/>
      </c>
      <c r="BB174" s="3437" t="str">
        <f t="shared" si="163"/>
        <v/>
      </c>
      <c r="BC174" s="3443" t="str">
        <f t="shared" si="163"/>
        <v/>
      </c>
      <c r="BD174" s="3462"/>
      <c r="BE174" s="3440" t="str">
        <f>IF(J174=J319,"stop","")</f>
        <v/>
      </c>
      <c r="BF174" s="1771" t="str">
        <f t="shared" si="164"/>
        <v/>
      </c>
      <c r="BG174" s="1771" t="str">
        <f t="shared" si="164"/>
        <v/>
      </c>
      <c r="BH174" s="1771" t="str">
        <f t="shared" si="164"/>
        <v/>
      </c>
      <c r="BI174" s="1771" t="str">
        <f t="shared" si="164"/>
        <v/>
      </c>
      <c r="BJ174" s="3443" t="str">
        <f t="shared" si="164"/>
        <v/>
      </c>
      <c r="BK174" s="3437" t="str">
        <f t="shared" si="164"/>
        <v/>
      </c>
      <c r="BL174" s="1771">
        <f t="shared" si="164"/>
        <v>2.4494897427831779E-2</v>
      </c>
      <c r="BM174" s="3442" t="str">
        <f t="shared" si="164"/>
        <v/>
      </c>
      <c r="BN174" s="1771" t="str">
        <f t="shared" si="164"/>
        <v/>
      </c>
      <c r="BO174" s="1771" t="str">
        <f t="shared" si="164"/>
        <v/>
      </c>
      <c r="BP174" s="1771" t="str">
        <f t="shared" si="164"/>
        <v/>
      </c>
      <c r="BQ174" s="1771" t="str">
        <f t="shared" si="164"/>
        <v/>
      </c>
      <c r="BR174" s="3437" t="str">
        <f t="shared" si="165"/>
        <v/>
      </c>
      <c r="BS174" s="1771" t="str">
        <f t="shared" si="165"/>
        <v/>
      </c>
      <c r="BT174" s="1771" t="str">
        <f t="shared" si="165"/>
        <v/>
      </c>
      <c r="BU174" s="3442" t="str">
        <f t="shared" si="165"/>
        <v/>
      </c>
      <c r="BV174" s="1771" t="str">
        <f t="shared" si="165"/>
        <v/>
      </c>
      <c r="BW174" s="3442" t="str">
        <f t="shared" si="165"/>
        <v/>
      </c>
      <c r="BX174" s="3462"/>
      <c r="BY174" s="3439" t="str">
        <f>IF(L174=L319,"stop","")</f>
        <v/>
      </c>
      <c r="BZ174" s="3437" t="str">
        <f t="shared" si="166"/>
        <v/>
      </c>
      <c r="CA174" s="1771" t="str">
        <f t="shared" si="166"/>
        <v/>
      </c>
      <c r="CB174" s="1771" t="str">
        <f t="shared" si="166"/>
        <v/>
      </c>
      <c r="CC174" s="3442" t="str">
        <f t="shared" si="166"/>
        <v/>
      </c>
      <c r="CD174" s="1771" t="str">
        <f t="shared" si="166"/>
        <v/>
      </c>
      <c r="CE174" s="3437" t="str">
        <f t="shared" si="166"/>
        <v/>
      </c>
      <c r="CF174" s="1771">
        <f t="shared" si="166"/>
        <v>2.5000000000000001E-2</v>
      </c>
      <c r="CG174" s="1771" t="str">
        <f t="shared" si="166"/>
        <v/>
      </c>
      <c r="CH174" s="3437" t="str">
        <f t="shared" si="166"/>
        <v/>
      </c>
      <c r="CI174" s="1771" t="str">
        <f t="shared" si="166"/>
        <v/>
      </c>
      <c r="CJ174" s="1771" t="str">
        <f t="shared" si="166"/>
        <v/>
      </c>
      <c r="CK174" s="3442" t="str">
        <f t="shared" si="166"/>
        <v/>
      </c>
      <c r="CL174" s="3437" t="str">
        <f t="shared" si="167"/>
        <v/>
      </c>
      <c r="CM174" s="1771" t="str">
        <f t="shared" si="167"/>
        <v/>
      </c>
      <c r="CN174" s="1771" t="str">
        <f t="shared" si="167"/>
        <v/>
      </c>
      <c r="CO174" s="3442" t="str">
        <f t="shared" si="167"/>
        <v/>
      </c>
      <c r="CP174" s="1771" t="str">
        <f t="shared" si="167"/>
        <v/>
      </c>
      <c r="CQ174" s="3442" t="str">
        <f t="shared" si="167"/>
        <v/>
      </c>
      <c r="CR174" s="3462"/>
    </row>
    <row r="175" spans="1:96" s="3" customFormat="1">
      <c r="A175" s="1848" t="s">
        <v>801</v>
      </c>
      <c r="B175" s="816">
        <v>8</v>
      </c>
      <c r="C175" s="816">
        <v>7.37</v>
      </c>
      <c r="D175" s="816">
        <v>0.09</v>
      </c>
      <c r="E175" s="1802" t="s">
        <v>35</v>
      </c>
      <c r="F175" s="816">
        <v>0.23</v>
      </c>
      <c r="G175" s="816" t="s">
        <v>784</v>
      </c>
      <c r="H175" s="816">
        <v>1988</v>
      </c>
      <c r="I175" s="50"/>
      <c r="J175" s="816">
        <f t="shared" si="128"/>
        <v>7.37</v>
      </c>
      <c r="K175" s="816">
        <v>0.09</v>
      </c>
      <c r="L175" s="816" t="s">
        <v>35</v>
      </c>
      <c r="M175" s="816">
        <v>0.23</v>
      </c>
      <c r="N175" s="845">
        <f t="shared" si="151"/>
        <v>0.14387494569938158</v>
      </c>
      <c r="O175" s="1831">
        <f t="shared" si="152"/>
        <v>0.16</v>
      </c>
      <c r="P175" s="825" t="s">
        <v>1087</v>
      </c>
      <c r="Q175" s="3" t="str">
        <f>IF(J175=J319,"stop","")</f>
        <v/>
      </c>
      <c r="R175" s="3437" t="str">
        <f t="shared" si="160"/>
        <v/>
      </c>
      <c r="S175" s="1771" t="str">
        <f t="shared" si="160"/>
        <v/>
      </c>
      <c r="T175" s="1771" t="str">
        <f t="shared" si="160"/>
        <v/>
      </c>
      <c r="U175" s="1771" t="str">
        <f t="shared" si="160"/>
        <v/>
      </c>
      <c r="V175" s="3443" t="str">
        <f t="shared" si="160"/>
        <v/>
      </c>
      <c r="W175" s="1771" t="str">
        <f t="shared" si="160"/>
        <v/>
      </c>
      <c r="X175" s="1771">
        <f t="shared" si="160"/>
        <v>0.09</v>
      </c>
      <c r="Y175" s="1771" t="str">
        <f t="shared" si="160"/>
        <v/>
      </c>
      <c r="Z175" s="3437" t="str">
        <f t="shared" si="160"/>
        <v/>
      </c>
      <c r="AA175" s="1771" t="str">
        <f t="shared" si="160"/>
        <v/>
      </c>
      <c r="AB175" s="1771" t="str">
        <f t="shared" si="160"/>
        <v/>
      </c>
      <c r="AC175" s="3442" t="str">
        <f t="shared" si="160"/>
        <v/>
      </c>
      <c r="AD175" s="1771" t="str">
        <f t="shared" si="160"/>
        <v/>
      </c>
      <c r="AE175" s="1771" t="str">
        <f t="shared" si="160"/>
        <v/>
      </c>
      <c r="AF175" s="1771" t="str">
        <f t="shared" si="160"/>
        <v/>
      </c>
      <c r="AG175" s="3442" t="str">
        <f t="shared" si="160"/>
        <v/>
      </c>
      <c r="AH175" s="1771" t="str">
        <f t="shared" si="161"/>
        <v/>
      </c>
      <c r="AI175" s="3442" t="str">
        <f t="shared" si="161"/>
        <v/>
      </c>
      <c r="AJ175" s="3462"/>
      <c r="AK175" s="3439" t="str">
        <f>IF(J175=J319,"stop","")</f>
        <v/>
      </c>
      <c r="AL175" s="3437" t="str">
        <f t="shared" si="162"/>
        <v/>
      </c>
      <c r="AM175" s="1771" t="str">
        <f t="shared" si="162"/>
        <v/>
      </c>
      <c r="AN175" s="1771" t="str">
        <f t="shared" si="162"/>
        <v/>
      </c>
      <c r="AO175" s="1771" t="str">
        <f t="shared" si="162"/>
        <v/>
      </c>
      <c r="AP175" s="3443" t="str">
        <f t="shared" si="162"/>
        <v/>
      </c>
      <c r="AQ175" s="1771" t="str">
        <f t="shared" si="162"/>
        <v/>
      </c>
      <c r="AR175" s="1771">
        <f t="shared" si="162"/>
        <v>0.23</v>
      </c>
      <c r="AS175" s="3442" t="str">
        <f t="shared" si="162"/>
        <v/>
      </c>
      <c r="AT175" s="1771" t="str">
        <f t="shared" si="162"/>
        <v/>
      </c>
      <c r="AU175" s="1771" t="str">
        <f t="shared" si="162"/>
        <v/>
      </c>
      <c r="AV175" s="1771" t="str">
        <f t="shared" si="162"/>
        <v/>
      </c>
      <c r="AW175" s="3442" t="str">
        <f t="shared" si="162"/>
        <v/>
      </c>
      <c r="AX175" s="1771" t="str">
        <f t="shared" si="163"/>
        <v/>
      </c>
      <c r="AY175" s="1771" t="str">
        <f t="shared" si="163"/>
        <v/>
      </c>
      <c r="AZ175" s="1771" t="str">
        <f t="shared" si="163"/>
        <v/>
      </c>
      <c r="BA175" s="1771" t="str">
        <f t="shared" si="163"/>
        <v/>
      </c>
      <c r="BB175" s="3437" t="str">
        <f t="shared" si="163"/>
        <v/>
      </c>
      <c r="BC175" s="3443" t="str">
        <f t="shared" si="163"/>
        <v/>
      </c>
      <c r="BD175" s="3462"/>
      <c r="BE175" s="3440" t="str">
        <f>IF(J175=J319,"stop","")</f>
        <v/>
      </c>
      <c r="BF175" s="1771" t="str">
        <f t="shared" si="164"/>
        <v/>
      </c>
      <c r="BG175" s="1771" t="str">
        <f t="shared" si="164"/>
        <v/>
      </c>
      <c r="BH175" s="1771" t="str">
        <f t="shared" si="164"/>
        <v/>
      </c>
      <c r="BI175" s="1771" t="str">
        <f t="shared" si="164"/>
        <v/>
      </c>
      <c r="BJ175" s="3443" t="str">
        <f t="shared" si="164"/>
        <v/>
      </c>
      <c r="BK175" s="3437" t="str">
        <f t="shared" si="164"/>
        <v/>
      </c>
      <c r="BL175" s="1771">
        <f t="shared" si="164"/>
        <v>0.14387494569938158</v>
      </c>
      <c r="BM175" s="3442" t="str">
        <f t="shared" si="164"/>
        <v/>
      </c>
      <c r="BN175" s="1771" t="str">
        <f t="shared" si="164"/>
        <v/>
      </c>
      <c r="BO175" s="1771" t="str">
        <f t="shared" si="164"/>
        <v/>
      </c>
      <c r="BP175" s="1771" t="str">
        <f t="shared" si="164"/>
        <v/>
      </c>
      <c r="BQ175" s="1771" t="str">
        <f t="shared" si="164"/>
        <v/>
      </c>
      <c r="BR175" s="3437" t="str">
        <f t="shared" si="165"/>
        <v/>
      </c>
      <c r="BS175" s="1771" t="str">
        <f t="shared" si="165"/>
        <v/>
      </c>
      <c r="BT175" s="1771" t="str">
        <f t="shared" si="165"/>
        <v/>
      </c>
      <c r="BU175" s="3442" t="str">
        <f t="shared" si="165"/>
        <v/>
      </c>
      <c r="BV175" s="1771" t="str">
        <f t="shared" si="165"/>
        <v/>
      </c>
      <c r="BW175" s="3442" t="str">
        <f t="shared" si="165"/>
        <v/>
      </c>
      <c r="BX175" s="3462"/>
      <c r="BY175" s="3439" t="str">
        <f>IF(L175=L319,"stop","")</f>
        <v/>
      </c>
      <c r="BZ175" s="3437" t="str">
        <f t="shared" si="166"/>
        <v/>
      </c>
      <c r="CA175" s="1771" t="str">
        <f t="shared" si="166"/>
        <v/>
      </c>
      <c r="CB175" s="1771" t="str">
        <f t="shared" si="166"/>
        <v/>
      </c>
      <c r="CC175" s="3442" t="str">
        <f t="shared" si="166"/>
        <v/>
      </c>
      <c r="CD175" s="1771" t="str">
        <f t="shared" si="166"/>
        <v/>
      </c>
      <c r="CE175" s="3437" t="str">
        <f t="shared" si="166"/>
        <v/>
      </c>
      <c r="CF175" s="1771">
        <f t="shared" si="166"/>
        <v>0.16</v>
      </c>
      <c r="CG175" s="1771" t="str">
        <f t="shared" si="166"/>
        <v/>
      </c>
      <c r="CH175" s="3437" t="str">
        <f t="shared" si="166"/>
        <v/>
      </c>
      <c r="CI175" s="1771" t="str">
        <f t="shared" si="166"/>
        <v/>
      </c>
      <c r="CJ175" s="1771" t="str">
        <f t="shared" si="166"/>
        <v/>
      </c>
      <c r="CK175" s="3442" t="str">
        <f t="shared" si="166"/>
        <v/>
      </c>
      <c r="CL175" s="3437" t="str">
        <f t="shared" si="167"/>
        <v/>
      </c>
      <c r="CM175" s="1771" t="str">
        <f t="shared" si="167"/>
        <v/>
      </c>
      <c r="CN175" s="1771" t="str">
        <f t="shared" si="167"/>
        <v/>
      </c>
      <c r="CO175" s="3442" t="str">
        <f t="shared" si="167"/>
        <v/>
      </c>
      <c r="CP175" s="1771" t="str">
        <f t="shared" si="167"/>
        <v/>
      </c>
      <c r="CQ175" s="3442" t="str">
        <f t="shared" si="167"/>
        <v/>
      </c>
      <c r="CR175" s="3462"/>
    </row>
    <row r="176" spans="1:96" s="3" customFormat="1">
      <c r="A176" s="1848" t="s">
        <v>802</v>
      </c>
      <c r="B176" s="816">
        <v>8</v>
      </c>
      <c r="C176" s="816">
        <v>6.89</v>
      </c>
      <c r="D176" s="816">
        <v>0.32</v>
      </c>
      <c r="E176" s="1802" t="s">
        <v>35</v>
      </c>
      <c r="F176" s="816">
        <v>4.58</v>
      </c>
      <c r="G176" s="816" t="s">
        <v>784</v>
      </c>
      <c r="H176" s="816">
        <v>1988</v>
      </c>
      <c r="I176" s="50"/>
      <c r="J176" s="816">
        <f t="shared" si="128"/>
        <v>6.89</v>
      </c>
      <c r="K176" s="816">
        <v>0.32</v>
      </c>
      <c r="L176" s="816" t="s">
        <v>35</v>
      </c>
      <c r="M176" s="816">
        <v>4.58</v>
      </c>
      <c r="N176" s="845">
        <f t="shared" si="151"/>
        <v>1.2106196760337244</v>
      </c>
      <c r="O176" s="1831">
        <f t="shared" si="152"/>
        <v>2.4500000000000002</v>
      </c>
      <c r="P176" s="825" t="s">
        <v>1087</v>
      </c>
      <c r="Q176" s="3" t="str">
        <f>IF(J176=J319,"stop","")</f>
        <v/>
      </c>
      <c r="R176" s="3437" t="str">
        <f t="shared" si="160"/>
        <v/>
      </c>
      <c r="S176" s="1771" t="str">
        <f t="shared" si="160"/>
        <v/>
      </c>
      <c r="T176" s="1771" t="str">
        <f t="shared" si="160"/>
        <v/>
      </c>
      <c r="U176" s="1771" t="str">
        <f t="shared" si="160"/>
        <v/>
      </c>
      <c r="V176" s="3443" t="str">
        <f t="shared" si="160"/>
        <v/>
      </c>
      <c r="W176" s="1771" t="str">
        <f t="shared" si="160"/>
        <v/>
      </c>
      <c r="X176" s="1771">
        <f t="shared" si="160"/>
        <v>0.32</v>
      </c>
      <c r="Y176" s="1771" t="str">
        <f t="shared" si="160"/>
        <v/>
      </c>
      <c r="Z176" s="3437" t="str">
        <f t="shared" si="160"/>
        <v/>
      </c>
      <c r="AA176" s="1771" t="str">
        <f t="shared" si="160"/>
        <v/>
      </c>
      <c r="AB176" s="1771" t="str">
        <f t="shared" si="160"/>
        <v/>
      </c>
      <c r="AC176" s="3442" t="str">
        <f t="shared" si="160"/>
        <v/>
      </c>
      <c r="AD176" s="1771" t="str">
        <f t="shared" si="160"/>
        <v/>
      </c>
      <c r="AE176" s="1771" t="str">
        <f t="shared" si="160"/>
        <v/>
      </c>
      <c r="AF176" s="1771" t="str">
        <f t="shared" si="160"/>
        <v/>
      </c>
      <c r="AG176" s="3442" t="str">
        <f t="shared" si="160"/>
        <v/>
      </c>
      <c r="AH176" s="1771" t="str">
        <f t="shared" si="161"/>
        <v/>
      </c>
      <c r="AI176" s="3442" t="str">
        <f t="shared" si="161"/>
        <v/>
      </c>
      <c r="AJ176" s="3462"/>
      <c r="AK176" s="3439" t="str">
        <f>IF(J176=J319,"stop","")</f>
        <v/>
      </c>
      <c r="AL176" s="3437" t="str">
        <f t="shared" si="162"/>
        <v/>
      </c>
      <c r="AM176" s="1771" t="str">
        <f t="shared" si="162"/>
        <v/>
      </c>
      <c r="AN176" s="1771" t="str">
        <f t="shared" si="162"/>
        <v/>
      </c>
      <c r="AO176" s="1771" t="str">
        <f t="shared" si="162"/>
        <v/>
      </c>
      <c r="AP176" s="3443" t="str">
        <f t="shared" si="162"/>
        <v/>
      </c>
      <c r="AQ176" s="1771" t="str">
        <f t="shared" si="162"/>
        <v/>
      </c>
      <c r="AR176" s="1771">
        <f t="shared" si="162"/>
        <v>4.58</v>
      </c>
      <c r="AS176" s="3442" t="str">
        <f t="shared" si="162"/>
        <v/>
      </c>
      <c r="AT176" s="1771" t="str">
        <f t="shared" si="162"/>
        <v/>
      </c>
      <c r="AU176" s="1771" t="str">
        <f t="shared" si="162"/>
        <v/>
      </c>
      <c r="AV176" s="1771" t="str">
        <f t="shared" si="162"/>
        <v/>
      </c>
      <c r="AW176" s="3442" t="str">
        <f t="shared" si="162"/>
        <v/>
      </c>
      <c r="AX176" s="1771" t="str">
        <f t="shared" si="163"/>
        <v/>
      </c>
      <c r="AY176" s="1771" t="str">
        <f t="shared" si="163"/>
        <v/>
      </c>
      <c r="AZ176" s="1771" t="str">
        <f t="shared" si="163"/>
        <v/>
      </c>
      <c r="BA176" s="1771" t="str">
        <f t="shared" si="163"/>
        <v/>
      </c>
      <c r="BB176" s="3437" t="str">
        <f t="shared" si="163"/>
        <v/>
      </c>
      <c r="BC176" s="3443" t="str">
        <f t="shared" si="163"/>
        <v/>
      </c>
      <c r="BD176" s="3462"/>
      <c r="BE176" s="3440" t="str">
        <f>IF(J176=J319,"stop","")</f>
        <v/>
      </c>
      <c r="BF176" s="1771" t="str">
        <f t="shared" si="164"/>
        <v/>
      </c>
      <c r="BG176" s="1771" t="str">
        <f t="shared" si="164"/>
        <v/>
      </c>
      <c r="BH176" s="1771" t="str">
        <f t="shared" si="164"/>
        <v/>
      </c>
      <c r="BI176" s="1771" t="str">
        <f t="shared" si="164"/>
        <v/>
      </c>
      <c r="BJ176" s="3443" t="str">
        <f t="shared" si="164"/>
        <v/>
      </c>
      <c r="BK176" s="3437" t="str">
        <f t="shared" si="164"/>
        <v/>
      </c>
      <c r="BL176" s="1771">
        <f t="shared" si="164"/>
        <v>1.2106196760337244</v>
      </c>
      <c r="BM176" s="3442" t="str">
        <f t="shared" si="164"/>
        <v/>
      </c>
      <c r="BN176" s="1771" t="str">
        <f t="shared" si="164"/>
        <v/>
      </c>
      <c r="BO176" s="1771" t="str">
        <f t="shared" si="164"/>
        <v/>
      </c>
      <c r="BP176" s="1771" t="str">
        <f t="shared" si="164"/>
        <v/>
      </c>
      <c r="BQ176" s="1771" t="str">
        <f t="shared" si="164"/>
        <v/>
      </c>
      <c r="BR176" s="3437" t="str">
        <f t="shared" si="165"/>
        <v/>
      </c>
      <c r="BS176" s="1771" t="str">
        <f t="shared" si="165"/>
        <v/>
      </c>
      <c r="BT176" s="1771" t="str">
        <f t="shared" si="165"/>
        <v/>
      </c>
      <c r="BU176" s="3442" t="str">
        <f t="shared" si="165"/>
        <v/>
      </c>
      <c r="BV176" s="1771" t="str">
        <f t="shared" si="165"/>
        <v/>
      </c>
      <c r="BW176" s="3442" t="str">
        <f t="shared" si="165"/>
        <v/>
      </c>
      <c r="BX176" s="3462"/>
      <c r="BY176" s="3439" t="str">
        <f>IF(L176=L319,"stop","")</f>
        <v/>
      </c>
      <c r="BZ176" s="3437" t="str">
        <f t="shared" si="166"/>
        <v/>
      </c>
      <c r="CA176" s="1771" t="str">
        <f t="shared" si="166"/>
        <v/>
      </c>
      <c r="CB176" s="1771" t="str">
        <f t="shared" si="166"/>
        <v/>
      </c>
      <c r="CC176" s="3442" t="str">
        <f t="shared" si="166"/>
        <v/>
      </c>
      <c r="CD176" s="1771" t="str">
        <f t="shared" si="166"/>
        <v/>
      </c>
      <c r="CE176" s="3437" t="str">
        <f t="shared" si="166"/>
        <v/>
      </c>
      <c r="CF176" s="1771">
        <f t="shared" si="166"/>
        <v>2.4500000000000002</v>
      </c>
      <c r="CG176" s="1771" t="str">
        <f t="shared" si="166"/>
        <v/>
      </c>
      <c r="CH176" s="3437" t="str">
        <f t="shared" si="166"/>
        <v/>
      </c>
      <c r="CI176" s="1771" t="str">
        <f t="shared" si="166"/>
        <v/>
      </c>
      <c r="CJ176" s="1771" t="str">
        <f t="shared" si="166"/>
        <v/>
      </c>
      <c r="CK176" s="3442" t="str">
        <f t="shared" si="166"/>
        <v/>
      </c>
      <c r="CL176" s="3437" t="str">
        <f t="shared" si="167"/>
        <v/>
      </c>
      <c r="CM176" s="1771" t="str">
        <f t="shared" si="167"/>
        <v/>
      </c>
      <c r="CN176" s="1771" t="str">
        <f t="shared" si="167"/>
        <v/>
      </c>
      <c r="CO176" s="3442" t="str">
        <f t="shared" si="167"/>
        <v/>
      </c>
      <c r="CP176" s="1771" t="str">
        <f t="shared" si="167"/>
        <v/>
      </c>
      <c r="CQ176" s="3442" t="str">
        <f t="shared" si="167"/>
        <v/>
      </c>
      <c r="CR176" s="3462"/>
    </row>
    <row r="177" spans="1:96" s="3" customFormat="1">
      <c r="A177" s="1848" t="s">
        <v>803</v>
      </c>
      <c r="B177" s="816">
        <v>8</v>
      </c>
      <c r="C177" s="816">
        <v>7.58</v>
      </c>
      <c r="D177" s="816">
        <v>0.05</v>
      </c>
      <c r="E177" s="1802" t="s">
        <v>35</v>
      </c>
      <c r="F177" s="816">
        <v>2.2799999999999998</v>
      </c>
      <c r="G177" s="816" t="s">
        <v>784</v>
      </c>
      <c r="H177" s="816">
        <v>1988</v>
      </c>
      <c r="I177" s="50"/>
      <c r="J177" s="816">
        <f t="shared" si="128"/>
        <v>7.58</v>
      </c>
      <c r="K177" s="816">
        <v>0.05</v>
      </c>
      <c r="L177" s="816" t="s">
        <v>35</v>
      </c>
      <c r="M177" s="816">
        <v>2.2799999999999998</v>
      </c>
      <c r="N177" s="845">
        <f t="shared" si="151"/>
        <v>0.33763886032268264</v>
      </c>
      <c r="O177" s="1831">
        <f t="shared" si="152"/>
        <v>1.1649999999999998</v>
      </c>
      <c r="P177" s="825" t="s">
        <v>1087</v>
      </c>
      <c r="Q177" s="3" t="str">
        <f>IF(J177=J319,"stop","")</f>
        <v/>
      </c>
      <c r="R177" s="3437" t="str">
        <f t="shared" si="160"/>
        <v/>
      </c>
      <c r="S177" s="1771" t="str">
        <f t="shared" si="160"/>
        <v/>
      </c>
      <c r="T177" s="1771" t="str">
        <f t="shared" si="160"/>
        <v/>
      </c>
      <c r="U177" s="1771" t="str">
        <f t="shared" si="160"/>
        <v/>
      </c>
      <c r="V177" s="3443" t="str">
        <f t="shared" si="160"/>
        <v/>
      </c>
      <c r="W177" s="1771" t="str">
        <f t="shared" si="160"/>
        <v/>
      </c>
      <c r="X177" s="1771">
        <f t="shared" si="160"/>
        <v>0.05</v>
      </c>
      <c r="Y177" s="1771" t="str">
        <f t="shared" si="160"/>
        <v/>
      </c>
      <c r="Z177" s="3437" t="str">
        <f t="shared" si="160"/>
        <v/>
      </c>
      <c r="AA177" s="1771" t="str">
        <f t="shared" si="160"/>
        <v/>
      </c>
      <c r="AB177" s="1771" t="str">
        <f t="shared" si="160"/>
        <v/>
      </c>
      <c r="AC177" s="3442" t="str">
        <f t="shared" si="160"/>
        <v/>
      </c>
      <c r="AD177" s="1771" t="str">
        <f t="shared" si="160"/>
        <v/>
      </c>
      <c r="AE177" s="1771" t="str">
        <f t="shared" si="160"/>
        <v/>
      </c>
      <c r="AF177" s="1771" t="str">
        <f t="shared" si="160"/>
        <v/>
      </c>
      <c r="AG177" s="3442" t="str">
        <f t="shared" si="160"/>
        <v/>
      </c>
      <c r="AH177" s="1771" t="str">
        <f t="shared" si="161"/>
        <v/>
      </c>
      <c r="AI177" s="3442" t="str">
        <f t="shared" si="161"/>
        <v/>
      </c>
      <c r="AJ177" s="3462"/>
      <c r="AK177" s="3439" t="str">
        <f>IF(J177=J319,"stop","")</f>
        <v/>
      </c>
      <c r="AL177" s="3437" t="str">
        <f t="shared" si="162"/>
        <v/>
      </c>
      <c r="AM177" s="1771" t="str">
        <f t="shared" si="162"/>
        <v/>
      </c>
      <c r="AN177" s="1771" t="str">
        <f t="shared" si="162"/>
        <v/>
      </c>
      <c r="AO177" s="1771" t="str">
        <f t="shared" si="162"/>
        <v/>
      </c>
      <c r="AP177" s="3443" t="str">
        <f t="shared" si="162"/>
        <v/>
      </c>
      <c r="AQ177" s="1771" t="str">
        <f t="shared" si="162"/>
        <v/>
      </c>
      <c r="AR177" s="1771">
        <f t="shared" si="162"/>
        <v>2.2799999999999998</v>
      </c>
      <c r="AS177" s="3442" t="str">
        <f t="shared" si="162"/>
        <v/>
      </c>
      <c r="AT177" s="1771" t="str">
        <f t="shared" si="162"/>
        <v/>
      </c>
      <c r="AU177" s="1771" t="str">
        <f t="shared" si="162"/>
        <v/>
      </c>
      <c r="AV177" s="1771" t="str">
        <f t="shared" si="162"/>
        <v/>
      </c>
      <c r="AW177" s="3442" t="str">
        <f t="shared" si="162"/>
        <v/>
      </c>
      <c r="AX177" s="1771" t="str">
        <f t="shared" si="163"/>
        <v/>
      </c>
      <c r="AY177" s="1771" t="str">
        <f t="shared" si="163"/>
        <v/>
      </c>
      <c r="AZ177" s="1771" t="str">
        <f t="shared" si="163"/>
        <v/>
      </c>
      <c r="BA177" s="1771" t="str">
        <f t="shared" si="163"/>
        <v/>
      </c>
      <c r="BB177" s="3437" t="str">
        <f t="shared" si="163"/>
        <v/>
      </c>
      <c r="BC177" s="3443" t="str">
        <f t="shared" si="163"/>
        <v/>
      </c>
      <c r="BD177" s="3462"/>
      <c r="BE177" s="3440" t="str">
        <f>IF(J177=J319,"stop","")</f>
        <v/>
      </c>
      <c r="BF177" s="1771" t="str">
        <f t="shared" si="164"/>
        <v/>
      </c>
      <c r="BG177" s="1771" t="str">
        <f t="shared" si="164"/>
        <v/>
      </c>
      <c r="BH177" s="1771" t="str">
        <f t="shared" si="164"/>
        <v/>
      </c>
      <c r="BI177" s="1771" t="str">
        <f t="shared" si="164"/>
        <v/>
      </c>
      <c r="BJ177" s="3443" t="str">
        <f t="shared" si="164"/>
        <v/>
      </c>
      <c r="BK177" s="3437" t="str">
        <f t="shared" si="164"/>
        <v/>
      </c>
      <c r="BL177" s="1771">
        <f t="shared" si="164"/>
        <v>0.33763886032268264</v>
      </c>
      <c r="BM177" s="3442" t="str">
        <f t="shared" si="164"/>
        <v/>
      </c>
      <c r="BN177" s="1771" t="str">
        <f t="shared" si="164"/>
        <v/>
      </c>
      <c r="BO177" s="1771" t="str">
        <f t="shared" si="164"/>
        <v/>
      </c>
      <c r="BP177" s="1771" t="str">
        <f t="shared" si="164"/>
        <v/>
      </c>
      <c r="BQ177" s="1771" t="str">
        <f t="shared" si="164"/>
        <v/>
      </c>
      <c r="BR177" s="3437" t="str">
        <f t="shared" si="165"/>
        <v/>
      </c>
      <c r="BS177" s="1771" t="str">
        <f t="shared" si="165"/>
        <v/>
      </c>
      <c r="BT177" s="1771" t="str">
        <f t="shared" si="165"/>
        <v/>
      </c>
      <c r="BU177" s="3442" t="str">
        <f t="shared" si="165"/>
        <v/>
      </c>
      <c r="BV177" s="1771" t="str">
        <f t="shared" si="165"/>
        <v/>
      </c>
      <c r="BW177" s="3442" t="str">
        <f t="shared" si="165"/>
        <v/>
      </c>
      <c r="BX177" s="3462"/>
      <c r="BY177" s="3439" t="str">
        <f>IF(L177=L319,"stop","")</f>
        <v/>
      </c>
      <c r="BZ177" s="3437" t="str">
        <f t="shared" si="166"/>
        <v/>
      </c>
      <c r="CA177" s="1771" t="str">
        <f t="shared" si="166"/>
        <v/>
      </c>
      <c r="CB177" s="1771" t="str">
        <f t="shared" si="166"/>
        <v/>
      </c>
      <c r="CC177" s="3442" t="str">
        <f t="shared" si="166"/>
        <v/>
      </c>
      <c r="CD177" s="1771" t="str">
        <f t="shared" si="166"/>
        <v/>
      </c>
      <c r="CE177" s="3437" t="str">
        <f t="shared" si="166"/>
        <v/>
      </c>
      <c r="CF177" s="1771">
        <f t="shared" si="166"/>
        <v>1.1649999999999998</v>
      </c>
      <c r="CG177" s="1771" t="str">
        <f t="shared" si="166"/>
        <v/>
      </c>
      <c r="CH177" s="3437" t="str">
        <f t="shared" si="166"/>
        <v/>
      </c>
      <c r="CI177" s="1771" t="str">
        <f t="shared" si="166"/>
        <v/>
      </c>
      <c r="CJ177" s="1771" t="str">
        <f t="shared" si="166"/>
        <v/>
      </c>
      <c r="CK177" s="3442" t="str">
        <f t="shared" si="166"/>
        <v/>
      </c>
      <c r="CL177" s="3437" t="str">
        <f t="shared" si="167"/>
        <v/>
      </c>
      <c r="CM177" s="1771" t="str">
        <f t="shared" si="167"/>
        <v/>
      </c>
      <c r="CN177" s="1771" t="str">
        <f t="shared" si="167"/>
        <v/>
      </c>
      <c r="CO177" s="3442" t="str">
        <f t="shared" si="167"/>
        <v/>
      </c>
      <c r="CP177" s="1771" t="str">
        <f t="shared" si="167"/>
        <v/>
      </c>
      <c r="CQ177" s="3442" t="str">
        <f t="shared" si="167"/>
        <v/>
      </c>
      <c r="CR177" s="3462"/>
    </row>
    <row r="178" spans="1:96" s="3" customFormat="1">
      <c r="A178" s="1848" t="s">
        <v>804</v>
      </c>
      <c r="B178" s="816">
        <v>8</v>
      </c>
      <c r="C178" s="816">
        <v>7.55</v>
      </c>
      <c r="D178" s="816">
        <v>0.11</v>
      </c>
      <c r="E178" s="1802" t="s">
        <v>35</v>
      </c>
      <c r="F178" s="816">
        <v>2.8</v>
      </c>
      <c r="G178" s="816" t="s">
        <v>784</v>
      </c>
      <c r="H178" s="816">
        <v>1988</v>
      </c>
      <c r="I178" s="50"/>
      <c r="J178" s="816">
        <f t="shared" si="128"/>
        <v>7.55</v>
      </c>
      <c r="K178" s="816">
        <v>0.11</v>
      </c>
      <c r="L178" s="816" t="s">
        <v>35</v>
      </c>
      <c r="M178" s="816">
        <v>2.8</v>
      </c>
      <c r="N178" s="845">
        <f t="shared" si="151"/>
        <v>0.55497747702046429</v>
      </c>
      <c r="O178" s="1831">
        <f t="shared" si="152"/>
        <v>1.4549999999999998</v>
      </c>
      <c r="P178" s="825" t="s">
        <v>1087</v>
      </c>
      <c r="Q178" s="3" t="str">
        <f>IF(J178=J319,"stop","")</f>
        <v/>
      </c>
      <c r="R178" s="3437" t="str">
        <f t="shared" si="160"/>
        <v/>
      </c>
      <c r="S178" s="1771" t="str">
        <f t="shared" si="160"/>
        <v/>
      </c>
      <c r="T178" s="1771" t="str">
        <f t="shared" si="160"/>
        <v/>
      </c>
      <c r="U178" s="1771" t="str">
        <f t="shared" si="160"/>
        <v/>
      </c>
      <c r="V178" s="3443" t="str">
        <f t="shared" si="160"/>
        <v/>
      </c>
      <c r="W178" s="1771" t="str">
        <f t="shared" si="160"/>
        <v/>
      </c>
      <c r="X178" s="1771">
        <f t="shared" si="160"/>
        <v>0.11</v>
      </c>
      <c r="Y178" s="1771" t="str">
        <f t="shared" si="160"/>
        <v/>
      </c>
      <c r="Z178" s="3437" t="str">
        <f t="shared" si="160"/>
        <v/>
      </c>
      <c r="AA178" s="1771" t="str">
        <f t="shared" si="160"/>
        <v/>
      </c>
      <c r="AB178" s="1771" t="str">
        <f t="shared" si="160"/>
        <v/>
      </c>
      <c r="AC178" s="3442" t="str">
        <f t="shared" si="160"/>
        <v/>
      </c>
      <c r="AD178" s="1771" t="str">
        <f t="shared" si="160"/>
        <v/>
      </c>
      <c r="AE178" s="1771" t="str">
        <f t="shared" si="160"/>
        <v/>
      </c>
      <c r="AF178" s="1771" t="str">
        <f t="shared" si="160"/>
        <v/>
      </c>
      <c r="AG178" s="3442" t="str">
        <f t="shared" si="160"/>
        <v/>
      </c>
      <c r="AH178" s="1771" t="str">
        <f t="shared" si="161"/>
        <v/>
      </c>
      <c r="AI178" s="3442" t="str">
        <f t="shared" si="161"/>
        <v/>
      </c>
      <c r="AJ178" s="3462"/>
      <c r="AK178" s="3439" t="str">
        <f>IF(J178=J319,"stop","")</f>
        <v/>
      </c>
      <c r="AL178" s="3437" t="str">
        <f t="shared" si="162"/>
        <v/>
      </c>
      <c r="AM178" s="1771" t="str">
        <f t="shared" si="162"/>
        <v/>
      </c>
      <c r="AN178" s="1771" t="str">
        <f t="shared" si="162"/>
        <v/>
      </c>
      <c r="AO178" s="1771" t="str">
        <f t="shared" si="162"/>
        <v/>
      </c>
      <c r="AP178" s="3443" t="str">
        <f t="shared" si="162"/>
        <v/>
      </c>
      <c r="AQ178" s="1771" t="str">
        <f t="shared" si="162"/>
        <v/>
      </c>
      <c r="AR178" s="1771">
        <f t="shared" si="162"/>
        <v>2.8</v>
      </c>
      <c r="AS178" s="3442" t="str">
        <f t="shared" si="162"/>
        <v/>
      </c>
      <c r="AT178" s="1771" t="str">
        <f t="shared" si="162"/>
        <v/>
      </c>
      <c r="AU178" s="1771" t="str">
        <f t="shared" si="162"/>
        <v/>
      </c>
      <c r="AV178" s="1771" t="str">
        <f t="shared" si="162"/>
        <v/>
      </c>
      <c r="AW178" s="3442" t="str">
        <f t="shared" si="162"/>
        <v/>
      </c>
      <c r="AX178" s="1771" t="str">
        <f t="shared" si="163"/>
        <v/>
      </c>
      <c r="AY178" s="1771" t="str">
        <f t="shared" si="163"/>
        <v/>
      </c>
      <c r="AZ178" s="1771" t="str">
        <f t="shared" si="163"/>
        <v/>
      </c>
      <c r="BA178" s="1771" t="str">
        <f t="shared" si="163"/>
        <v/>
      </c>
      <c r="BB178" s="3437" t="str">
        <f t="shared" si="163"/>
        <v/>
      </c>
      <c r="BC178" s="3443" t="str">
        <f t="shared" si="163"/>
        <v/>
      </c>
      <c r="BD178" s="3462"/>
      <c r="BE178" s="3440" t="str">
        <f>IF(J178=J319,"stop","")</f>
        <v/>
      </c>
      <c r="BF178" s="1771" t="str">
        <f t="shared" si="164"/>
        <v/>
      </c>
      <c r="BG178" s="1771" t="str">
        <f t="shared" si="164"/>
        <v/>
      </c>
      <c r="BH178" s="1771" t="str">
        <f t="shared" si="164"/>
        <v/>
      </c>
      <c r="BI178" s="1771" t="str">
        <f t="shared" si="164"/>
        <v/>
      </c>
      <c r="BJ178" s="3443" t="str">
        <f t="shared" si="164"/>
        <v/>
      </c>
      <c r="BK178" s="3437" t="str">
        <f t="shared" si="164"/>
        <v/>
      </c>
      <c r="BL178" s="1771">
        <f t="shared" si="164"/>
        <v>0.55497747702046429</v>
      </c>
      <c r="BM178" s="3442" t="str">
        <f t="shared" si="164"/>
        <v/>
      </c>
      <c r="BN178" s="1771" t="str">
        <f t="shared" si="164"/>
        <v/>
      </c>
      <c r="BO178" s="1771" t="str">
        <f t="shared" si="164"/>
        <v/>
      </c>
      <c r="BP178" s="1771" t="str">
        <f t="shared" si="164"/>
        <v/>
      </c>
      <c r="BQ178" s="1771" t="str">
        <f t="shared" si="164"/>
        <v/>
      </c>
      <c r="BR178" s="3437" t="str">
        <f t="shared" si="165"/>
        <v/>
      </c>
      <c r="BS178" s="1771" t="str">
        <f t="shared" si="165"/>
        <v/>
      </c>
      <c r="BT178" s="1771" t="str">
        <f t="shared" si="165"/>
        <v/>
      </c>
      <c r="BU178" s="3442" t="str">
        <f t="shared" si="165"/>
        <v/>
      </c>
      <c r="BV178" s="1771" t="str">
        <f t="shared" si="165"/>
        <v/>
      </c>
      <c r="BW178" s="3442" t="str">
        <f t="shared" si="165"/>
        <v/>
      </c>
      <c r="BX178" s="3462"/>
      <c r="BY178" s="3439" t="str">
        <f>IF(L178=L319,"stop","")</f>
        <v/>
      </c>
      <c r="BZ178" s="3437" t="str">
        <f t="shared" si="166"/>
        <v/>
      </c>
      <c r="CA178" s="1771" t="str">
        <f t="shared" si="166"/>
        <v/>
      </c>
      <c r="CB178" s="1771" t="str">
        <f t="shared" si="166"/>
        <v/>
      </c>
      <c r="CC178" s="3442" t="str">
        <f t="shared" si="166"/>
        <v/>
      </c>
      <c r="CD178" s="1771" t="str">
        <f t="shared" si="166"/>
        <v/>
      </c>
      <c r="CE178" s="3437" t="str">
        <f t="shared" si="166"/>
        <v/>
      </c>
      <c r="CF178" s="1771">
        <f t="shared" si="166"/>
        <v>1.4549999999999998</v>
      </c>
      <c r="CG178" s="1771" t="str">
        <f t="shared" si="166"/>
        <v/>
      </c>
      <c r="CH178" s="3437" t="str">
        <f t="shared" si="166"/>
        <v/>
      </c>
      <c r="CI178" s="1771" t="str">
        <f t="shared" si="166"/>
        <v/>
      </c>
      <c r="CJ178" s="1771" t="str">
        <f t="shared" si="166"/>
        <v/>
      </c>
      <c r="CK178" s="3442" t="str">
        <f t="shared" si="166"/>
        <v/>
      </c>
      <c r="CL178" s="3437" t="str">
        <f t="shared" si="167"/>
        <v/>
      </c>
      <c r="CM178" s="1771" t="str">
        <f t="shared" si="167"/>
        <v/>
      </c>
      <c r="CN178" s="1771" t="str">
        <f t="shared" si="167"/>
        <v/>
      </c>
      <c r="CO178" s="3442" t="str">
        <f t="shared" si="167"/>
        <v/>
      </c>
      <c r="CP178" s="1771" t="str">
        <f t="shared" si="167"/>
        <v/>
      </c>
      <c r="CQ178" s="3442" t="str">
        <f t="shared" si="167"/>
        <v/>
      </c>
      <c r="CR178" s="3462"/>
    </row>
    <row r="179" spans="1:96" s="3" customFormat="1">
      <c r="A179" s="1848" t="s">
        <v>805</v>
      </c>
      <c r="B179" s="816">
        <v>9</v>
      </c>
      <c r="C179" s="816"/>
      <c r="D179" s="816">
        <v>0.03</v>
      </c>
      <c r="E179" s="1802" t="s">
        <v>35</v>
      </c>
      <c r="F179" s="816">
        <v>7.0000000000000007E-2</v>
      </c>
      <c r="G179" s="816" t="s">
        <v>784</v>
      </c>
      <c r="H179" s="816">
        <v>1988</v>
      </c>
      <c r="I179" s="50"/>
      <c r="J179" s="818">
        <f>IF(ISBLANK(C179),B179-0.5,C179)</f>
        <v>8.5</v>
      </c>
      <c r="K179" s="816">
        <v>0.03</v>
      </c>
      <c r="L179" s="816" t="s">
        <v>35</v>
      </c>
      <c r="M179" s="816">
        <v>7.0000000000000007E-2</v>
      </c>
      <c r="N179" s="845">
        <f t="shared" si="151"/>
        <v>4.5825756949558406E-2</v>
      </c>
      <c r="O179" s="1831">
        <f t="shared" si="152"/>
        <v>0.05</v>
      </c>
      <c r="P179" s="825" t="s">
        <v>1087</v>
      </c>
      <c r="Q179" s="3" t="str">
        <f>IF(J179=J319,"stop","")</f>
        <v/>
      </c>
      <c r="R179" s="3437" t="str">
        <f t="shared" si="160"/>
        <v/>
      </c>
      <c r="S179" s="1771" t="str">
        <f t="shared" si="160"/>
        <v/>
      </c>
      <c r="T179" s="1771" t="str">
        <f t="shared" si="160"/>
        <v/>
      </c>
      <c r="U179" s="1771" t="str">
        <f t="shared" si="160"/>
        <v/>
      </c>
      <c r="V179" s="3443" t="str">
        <f t="shared" si="160"/>
        <v/>
      </c>
      <c r="W179" s="1771" t="str">
        <f t="shared" si="160"/>
        <v/>
      </c>
      <c r="X179" s="1771" t="str">
        <f t="shared" si="160"/>
        <v/>
      </c>
      <c r="Y179" s="1771">
        <f t="shared" si="160"/>
        <v>0.03</v>
      </c>
      <c r="Z179" s="3437" t="str">
        <f t="shared" si="160"/>
        <v/>
      </c>
      <c r="AA179" s="1771" t="str">
        <f t="shared" si="160"/>
        <v/>
      </c>
      <c r="AB179" s="1771" t="str">
        <f t="shared" si="160"/>
        <v/>
      </c>
      <c r="AC179" s="3442" t="str">
        <f t="shared" si="160"/>
        <v/>
      </c>
      <c r="AD179" s="1771" t="str">
        <f t="shared" si="160"/>
        <v/>
      </c>
      <c r="AE179" s="1771" t="str">
        <f t="shared" si="160"/>
        <v/>
      </c>
      <c r="AF179" s="1771" t="str">
        <f t="shared" si="160"/>
        <v/>
      </c>
      <c r="AG179" s="3442" t="str">
        <f t="shared" si="160"/>
        <v/>
      </c>
      <c r="AH179" s="1771" t="str">
        <f t="shared" si="161"/>
        <v/>
      </c>
      <c r="AI179" s="3442" t="str">
        <f t="shared" si="161"/>
        <v/>
      </c>
      <c r="AJ179" s="3462"/>
      <c r="AK179" s="3439" t="str">
        <f>IF(J179=J319,"stop","")</f>
        <v/>
      </c>
      <c r="AL179" s="3437" t="str">
        <f t="shared" si="162"/>
        <v/>
      </c>
      <c r="AM179" s="1771" t="str">
        <f t="shared" si="162"/>
        <v/>
      </c>
      <c r="AN179" s="1771" t="str">
        <f t="shared" si="162"/>
        <v/>
      </c>
      <c r="AO179" s="1771" t="str">
        <f t="shared" si="162"/>
        <v/>
      </c>
      <c r="AP179" s="3443" t="str">
        <f t="shared" si="162"/>
        <v/>
      </c>
      <c r="AQ179" s="1771" t="str">
        <f t="shared" si="162"/>
        <v/>
      </c>
      <c r="AR179" s="1771" t="str">
        <f t="shared" si="162"/>
        <v/>
      </c>
      <c r="AS179" s="3442">
        <f t="shared" si="162"/>
        <v>7.0000000000000007E-2</v>
      </c>
      <c r="AT179" s="1771" t="str">
        <f t="shared" si="162"/>
        <v/>
      </c>
      <c r="AU179" s="1771" t="str">
        <f t="shared" si="162"/>
        <v/>
      </c>
      <c r="AV179" s="1771" t="str">
        <f t="shared" si="162"/>
        <v/>
      </c>
      <c r="AW179" s="3442" t="str">
        <f t="shared" si="162"/>
        <v/>
      </c>
      <c r="AX179" s="1771" t="str">
        <f t="shared" si="163"/>
        <v/>
      </c>
      <c r="AY179" s="1771" t="str">
        <f t="shared" si="163"/>
        <v/>
      </c>
      <c r="AZ179" s="1771" t="str">
        <f t="shared" si="163"/>
        <v/>
      </c>
      <c r="BA179" s="1771" t="str">
        <f t="shared" si="163"/>
        <v/>
      </c>
      <c r="BB179" s="3437" t="str">
        <f t="shared" si="163"/>
        <v/>
      </c>
      <c r="BC179" s="3443" t="str">
        <f t="shared" si="163"/>
        <v/>
      </c>
      <c r="BD179" s="3462"/>
      <c r="BE179" s="3440" t="str">
        <f>IF(J179=J319,"stop","")</f>
        <v/>
      </c>
      <c r="BF179" s="1771" t="str">
        <f t="shared" si="164"/>
        <v/>
      </c>
      <c r="BG179" s="1771" t="str">
        <f t="shared" si="164"/>
        <v/>
      </c>
      <c r="BH179" s="1771" t="str">
        <f t="shared" si="164"/>
        <v/>
      </c>
      <c r="BI179" s="1771" t="str">
        <f t="shared" si="164"/>
        <v/>
      </c>
      <c r="BJ179" s="3443" t="str">
        <f t="shared" si="164"/>
        <v/>
      </c>
      <c r="BK179" s="3437" t="str">
        <f t="shared" si="164"/>
        <v/>
      </c>
      <c r="BL179" s="1771" t="str">
        <f t="shared" si="164"/>
        <v/>
      </c>
      <c r="BM179" s="3442">
        <f t="shared" si="164"/>
        <v>4.5825756949558406E-2</v>
      </c>
      <c r="BN179" s="1771" t="str">
        <f t="shared" si="164"/>
        <v/>
      </c>
      <c r="BO179" s="1771" t="str">
        <f t="shared" si="164"/>
        <v/>
      </c>
      <c r="BP179" s="1771" t="str">
        <f t="shared" si="164"/>
        <v/>
      </c>
      <c r="BQ179" s="1771" t="str">
        <f t="shared" si="164"/>
        <v/>
      </c>
      <c r="BR179" s="3437" t="str">
        <f t="shared" si="165"/>
        <v/>
      </c>
      <c r="BS179" s="1771" t="str">
        <f t="shared" si="165"/>
        <v/>
      </c>
      <c r="BT179" s="1771" t="str">
        <f t="shared" si="165"/>
        <v/>
      </c>
      <c r="BU179" s="3442" t="str">
        <f t="shared" si="165"/>
        <v/>
      </c>
      <c r="BV179" s="1771" t="str">
        <f t="shared" si="165"/>
        <v/>
      </c>
      <c r="BW179" s="3442" t="str">
        <f t="shared" si="165"/>
        <v/>
      </c>
      <c r="BX179" s="3462"/>
      <c r="BY179" s="3439" t="str">
        <f>IF(L179=L319,"stop","")</f>
        <v/>
      </c>
      <c r="BZ179" s="3437" t="str">
        <f t="shared" si="166"/>
        <v/>
      </c>
      <c r="CA179" s="1771" t="str">
        <f t="shared" si="166"/>
        <v/>
      </c>
      <c r="CB179" s="1771" t="str">
        <f t="shared" si="166"/>
        <v/>
      </c>
      <c r="CC179" s="3442" t="str">
        <f t="shared" si="166"/>
        <v/>
      </c>
      <c r="CD179" s="1771" t="str">
        <f t="shared" si="166"/>
        <v/>
      </c>
      <c r="CE179" s="3437" t="str">
        <f t="shared" si="166"/>
        <v/>
      </c>
      <c r="CF179" s="1771" t="str">
        <f t="shared" si="166"/>
        <v/>
      </c>
      <c r="CG179" s="1771">
        <f t="shared" si="166"/>
        <v>0.05</v>
      </c>
      <c r="CH179" s="3437" t="str">
        <f t="shared" si="166"/>
        <v/>
      </c>
      <c r="CI179" s="1771" t="str">
        <f t="shared" si="166"/>
        <v/>
      </c>
      <c r="CJ179" s="1771" t="str">
        <f t="shared" si="166"/>
        <v/>
      </c>
      <c r="CK179" s="3442" t="str">
        <f t="shared" si="166"/>
        <v/>
      </c>
      <c r="CL179" s="3437" t="str">
        <f t="shared" si="167"/>
        <v/>
      </c>
      <c r="CM179" s="1771" t="str">
        <f t="shared" si="167"/>
        <v/>
      </c>
      <c r="CN179" s="1771" t="str">
        <f t="shared" si="167"/>
        <v/>
      </c>
      <c r="CO179" s="3442" t="str">
        <f t="shared" si="167"/>
        <v/>
      </c>
      <c r="CP179" s="1771" t="str">
        <f t="shared" si="167"/>
        <v/>
      </c>
      <c r="CQ179" s="3442" t="str">
        <f t="shared" si="167"/>
        <v/>
      </c>
      <c r="CR179" s="3462"/>
    </row>
    <row r="180" spans="1:96" s="3" customFormat="1">
      <c r="A180" s="1848" t="s">
        <v>806</v>
      </c>
      <c r="B180" s="816">
        <v>7</v>
      </c>
      <c r="C180" s="816">
        <v>6.68</v>
      </c>
      <c r="D180" s="816">
        <v>0.36</v>
      </c>
      <c r="E180" s="1802" t="s">
        <v>35</v>
      </c>
      <c r="F180" s="816">
        <v>1.48</v>
      </c>
      <c r="G180" s="816" t="s">
        <v>784</v>
      </c>
      <c r="H180" s="816">
        <v>1988</v>
      </c>
      <c r="I180" s="50"/>
      <c r="J180" s="816">
        <f t="shared" si="128"/>
        <v>6.68</v>
      </c>
      <c r="K180" s="816">
        <v>0.36</v>
      </c>
      <c r="L180" s="816" t="s">
        <v>35</v>
      </c>
      <c r="M180" s="816">
        <v>1.48</v>
      </c>
      <c r="N180" s="845">
        <f t="shared" si="151"/>
        <v>0.72993150363578629</v>
      </c>
      <c r="O180" s="1831">
        <f t="shared" si="152"/>
        <v>0.91999999999999993</v>
      </c>
      <c r="P180" s="825" t="s">
        <v>1087</v>
      </c>
      <c r="Q180" s="3" t="str">
        <f>IF(J180=J319,"stop","")</f>
        <v/>
      </c>
      <c r="R180" s="3437" t="str">
        <f t="shared" si="160"/>
        <v/>
      </c>
      <c r="S180" s="1771" t="str">
        <f t="shared" si="160"/>
        <v/>
      </c>
      <c r="T180" s="1771" t="str">
        <f t="shared" si="160"/>
        <v/>
      </c>
      <c r="U180" s="1771" t="str">
        <f t="shared" si="160"/>
        <v/>
      </c>
      <c r="V180" s="3443" t="str">
        <f t="shared" si="160"/>
        <v/>
      </c>
      <c r="W180" s="1771" t="str">
        <f t="shared" si="160"/>
        <v/>
      </c>
      <c r="X180" s="1771">
        <f t="shared" si="160"/>
        <v>0.36</v>
      </c>
      <c r="Y180" s="1771" t="str">
        <f t="shared" si="160"/>
        <v/>
      </c>
      <c r="Z180" s="3437" t="str">
        <f t="shared" si="160"/>
        <v/>
      </c>
      <c r="AA180" s="1771" t="str">
        <f t="shared" si="160"/>
        <v/>
      </c>
      <c r="AB180" s="1771" t="str">
        <f t="shared" si="160"/>
        <v/>
      </c>
      <c r="AC180" s="3442" t="str">
        <f t="shared" si="160"/>
        <v/>
      </c>
      <c r="AD180" s="1771" t="str">
        <f t="shared" si="160"/>
        <v/>
      </c>
      <c r="AE180" s="1771" t="str">
        <f t="shared" si="160"/>
        <v/>
      </c>
      <c r="AF180" s="1771" t="str">
        <f t="shared" si="160"/>
        <v/>
      </c>
      <c r="AG180" s="3442" t="str">
        <f t="shared" si="160"/>
        <v/>
      </c>
      <c r="AH180" s="1771" t="str">
        <f t="shared" si="161"/>
        <v/>
      </c>
      <c r="AI180" s="3442" t="str">
        <f t="shared" si="161"/>
        <v/>
      </c>
      <c r="AJ180" s="3462"/>
      <c r="AK180" s="3439" t="str">
        <f>IF(J180=J319,"stop","")</f>
        <v/>
      </c>
      <c r="AL180" s="3437" t="str">
        <f t="shared" si="162"/>
        <v/>
      </c>
      <c r="AM180" s="1771" t="str">
        <f t="shared" si="162"/>
        <v/>
      </c>
      <c r="AN180" s="1771" t="str">
        <f t="shared" si="162"/>
        <v/>
      </c>
      <c r="AO180" s="1771" t="str">
        <f t="shared" si="162"/>
        <v/>
      </c>
      <c r="AP180" s="3443" t="str">
        <f t="shared" si="162"/>
        <v/>
      </c>
      <c r="AQ180" s="1771" t="str">
        <f t="shared" si="162"/>
        <v/>
      </c>
      <c r="AR180" s="1771">
        <f t="shared" si="162"/>
        <v>1.48</v>
      </c>
      <c r="AS180" s="3442" t="str">
        <f t="shared" si="162"/>
        <v/>
      </c>
      <c r="AT180" s="1771" t="str">
        <f t="shared" si="162"/>
        <v/>
      </c>
      <c r="AU180" s="1771" t="str">
        <f t="shared" si="162"/>
        <v/>
      </c>
      <c r="AV180" s="1771" t="str">
        <f t="shared" si="162"/>
        <v/>
      </c>
      <c r="AW180" s="3442" t="str">
        <f t="shared" si="162"/>
        <v/>
      </c>
      <c r="AX180" s="1771" t="str">
        <f t="shared" si="163"/>
        <v/>
      </c>
      <c r="AY180" s="1771" t="str">
        <f t="shared" si="163"/>
        <v/>
      </c>
      <c r="AZ180" s="1771" t="str">
        <f t="shared" si="163"/>
        <v/>
      </c>
      <c r="BA180" s="1771" t="str">
        <f t="shared" si="163"/>
        <v/>
      </c>
      <c r="BB180" s="3437" t="str">
        <f t="shared" si="163"/>
        <v/>
      </c>
      <c r="BC180" s="3443" t="str">
        <f t="shared" si="163"/>
        <v/>
      </c>
      <c r="BD180" s="3462"/>
      <c r="BE180" s="3440" t="str">
        <f>IF(J180=J319,"stop","")</f>
        <v/>
      </c>
      <c r="BF180" s="1771" t="str">
        <f t="shared" si="164"/>
        <v/>
      </c>
      <c r="BG180" s="1771" t="str">
        <f t="shared" si="164"/>
        <v/>
      </c>
      <c r="BH180" s="1771" t="str">
        <f t="shared" si="164"/>
        <v/>
      </c>
      <c r="BI180" s="1771" t="str">
        <f t="shared" si="164"/>
        <v/>
      </c>
      <c r="BJ180" s="3443" t="str">
        <f t="shared" si="164"/>
        <v/>
      </c>
      <c r="BK180" s="3437" t="str">
        <f t="shared" si="164"/>
        <v/>
      </c>
      <c r="BL180" s="1771">
        <f t="shared" si="164"/>
        <v>0.72993150363578629</v>
      </c>
      <c r="BM180" s="3442" t="str">
        <f t="shared" si="164"/>
        <v/>
      </c>
      <c r="BN180" s="1771" t="str">
        <f t="shared" si="164"/>
        <v/>
      </c>
      <c r="BO180" s="1771" t="str">
        <f t="shared" si="164"/>
        <v/>
      </c>
      <c r="BP180" s="1771" t="str">
        <f t="shared" si="164"/>
        <v/>
      </c>
      <c r="BQ180" s="1771" t="str">
        <f t="shared" si="164"/>
        <v/>
      </c>
      <c r="BR180" s="3437" t="str">
        <f t="shared" si="165"/>
        <v/>
      </c>
      <c r="BS180" s="1771" t="str">
        <f t="shared" si="165"/>
        <v/>
      </c>
      <c r="BT180" s="1771" t="str">
        <f t="shared" si="165"/>
        <v/>
      </c>
      <c r="BU180" s="3442" t="str">
        <f t="shared" si="165"/>
        <v/>
      </c>
      <c r="BV180" s="1771" t="str">
        <f t="shared" si="165"/>
        <v/>
      </c>
      <c r="BW180" s="3442" t="str">
        <f t="shared" si="165"/>
        <v/>
      </c>
      <c r="BX180" s="3462"/>
      <c r="BY180" s="3439" t="str">
        <f>IF(L180=L319,"stop","")</f>
        <v/>
      </c>
      <c r="BZ180" s="3437" t="str">
        <f t="shared" si="166"/>
        <v/>
      </c>
      <c r="CA180" s="1771" t="str">
        <f t="shared" si="166"/>
        <v/>
      </c>
      <c r="CB180" s="1771" t="str">
        <f t="shared" si="166"/>
        <v/>
      </c>
      <c r="CC180" s="3442" t="str">
        <f t="shared" si="166"/>
        <v/>
      </c>
      <c r="CD180" s="1771" t="str">
        <f t="shared" si="166"/>
        <v/>
      </c>
      <c r="CE180" s="3437" t="str">
        <f t="shared" si="166"/>
        <v/>
      </c>
      <c r="CF180" s="1771">
        <f t="shared" si="166"/>
        <v>0.91999999999999993</v>
      </c>
      <c r="CG180" s="1771" t="str">
        <f t="shared" si="166"/>
        <v/>
      </c>
      <c r="CH180" s="3437" t="str">
        <f t="shared" si="166"/>
        <v/>
      </c>
      <c r="CI180" s="1771" t="str">
        <f t="shared" si="166"/>
        <v/>
      </c>
      <c r="CJ180" s="1771" t="str">
        <f t="shared" si="166"/>
        <v/>
      </c>
      <c r="CK180" s="3442" t="str">
        <f t="shared" si="166"/>
        <v/>
      </c>
      <c r="CL180" s="3437" t="str">
        <f t="shared" si="167"/>
        <v/>
      </c>
      <c r="CM180" s="1771" t="str">
        <f t="shared" si="167"/>
        <v/>
      </c>
      <c r="CN180" s="1771" t="str">
        <f t="shared" si="167"/>
        <v/>
      </c>
      <c r="CO180" s="3442" t="str">
        <f t="shared" si="167"/>
        <v/>
      </c>
      <c r="CP180" s="1771" t="str">
        <f t="shared" si="167"/>
        <v/>
      </c>
      <c r="CQ180" s="3442" t="str">
        <f t="shared" si="167"/>
        <v/>
      </c>
      <c r="CR180" s="3462"/>
    </row>
    <row r="181" spans="1:96" s="3" customFormat="1">
      <c r="A181" s="1848" t="s">
        <v>807</v>
      </c>
      <c r="B181" s="816">
        <v>7</v>
      </c>
      <c r="C181" s="816">
        <v>6.76</v>
      </c>
      <c r="D181" s="816">
        <v>0.3</v>
      </c>
      <c r="E181" s="1802" t="s">
        <v>35</v>
      </c>
      <c r="F181" s="816">
        <v>1.77</v>
      </c>
      <c r="G181" s="816" t="s">
        <v>784</v>
      </c>
      <c r="H181" s="816">
        <v>1988</v>
      </c>
      <c r="I181" s="50"/>
      <c r="J181" s="816">
        <f t="shared" si="128"/>
        <v>6.76</v>
      </c>
      <c r="K181" s="816">
        <v>0.3</v>
      </c>
      <c r="L181" s="816" t="s">
        <v>35</v>
      </c>
      <c r="M181" s="816">
        <v>1.77</v>
      </c>
      <c r="N181" s="845">
        <f t="shared" si="151"/>
        <v>0.72869746808946723</v>
      </c>
      <c r="O181" s="1831">
        <f t="shared" si="152"/>
        <v>1.0349999999999999</v>
      </c>
      <c r="P181" s="825" t="s">
        <v>1087</v>
      </c>
      <c r="Q181" s="3" t="str">
        <f>IF(J181=J319,"stop","")</f>
        <v/>
      </c>
      <c r="R181" s="3437" t="str">
        <f t="shared" si="160"/>
        <v/>
      </c>
      <c r="S181" s="1771" t="str">
        <f t="shared" si="160"/>
        <v/>
      </c>
      <c r="T181" s="1771" t="str">
        <f t="shared" si="160"/>
        <v/>
      </c>
      <c r="U181" s="1771" t="str">
        <f t="shared" si="160"/>
        <v/>
      </c>
      <c r="V181" s="3443" t="str">
        <f t="shared" si="160"/>
        <v/>
      </c>
      <c r="W181" s="1771" t="str">
        <f t="shared" si="160"/>
        <v/>
      </c>
      <c r="X181" s="1771">
        <f t="shared" si="160"/>
        <v>0.3</v>
      </c>
      <c r="Y181" s="1771" t="str">
        <f t="shared" si="160"/>
        <v/>
      </c>
      <c r="Z181" s="3437" t="str">
        <f t="shared" si="160"/>
        <v/>
      </c>
      <c r="AA181" s="1771" t="str">
        <f t="shared" si="160"/>
        <v/>
      </c>
      <c r="AB181" s="1771" t="str">
        <f t="shared" si="160"/>
        <v/>
      </c>
      <c r="AC181" s="3442" t="str">
        <f t="shared" si="160"/>
        <v/>
      </c>
      <c r="AD181" s="1771" t="str">
        <f t="shared" si="160"/>
        <v/>
      </c>
      <c r="AE181" s="1771" t="str">
        <f t="shared" si="160"/>
        <v/>
      </c>
      <c r="AF181" s="1771" t="str">
        <f t="shared" si="160"/>
        <v/>
      </c>
      <c r="AG181" s="3442" t="str">
        <f t="shared" si="160"/>
        <v/>
      </c>
      <c r="AH181" s="1771" t="str">
        <f t="shared" si="161"/>
        <v/>
      </c>
      <c r="AI181" s="3442" t="str">
        <f t="shared" si="161"/>
        <v/>
      </c>
      <c r="AJ181" s="3462"/>
      <c r="AK181" s="3439" t="str">
        <f>IF(J181=J319,"stop","")</f>
        <v/>
      </c>
      <c r="AL181" s="3437" t="str">
        <f t="shared" ref="AL181:AW190" si="168">IF(AND($J181&gt;AL$4,$J181&lt;=AL$5,$P181=AL$6),$M181,"")</f>
        <v/>
      </c>
      <c r="AM181" s="1771" t="str">
        <f t="shared" si="168"/>
        <v/>
      </c>
      <c r="AN181" s="1771" t="str">
        <f t="shared" si="168"/>
        <v/>
      </c>
      <c r="AO181" s="1771" t="str">
        <f t="shared" si="168"/>
        <v/>
      </c>
      <c r="AP181" s="3443" t="str">
        <f t="shared" si="168"/>
        <v/>
      </c>
      <c r="AQ181" s="1771" t="str">
        <f t="shared" si="168"/>
        <v/>
      </c>
      <c r="AR181" s="1771">
        <f t="shared" si="168"/>
        <v>1.77</v>
      </c>
      <c r="AS181" s="3442" t="str">
        <f t="shared" si="168"/>
        <v/>
      </c>
      <c r="AT181" s="1771" t="str">
        <f t="shared" si="168"/>
        <v/>
      </c>
      <c r="AU181" s="1771" t="str">
        <f t="shared" si="168"/>
        <v/>
      </c>
      <c r="AV181" s="1771" t="str">
        <f t="shared" si="168"/>
        <v/>
      </c>
      <c r="AW181" s="3442" t="str">
        <f t="shared" si="168"/>
        <v/>
      </c>
      <c r="AX181" s="1771" t="str">
        <f t="shared" ref="AX181:BC190" si="169">IF(AND($J181&gt;AX$4,$J181&lt;=AX$5,$P181=AX$6),$M181,"")</f>
        <v/>
      </c>
      <c r="AY181" s="1771" t="str">
        <f t="shared" si="169"/>
        <v/>
      </c>
      <c r="AZ181" s="1771" t="str">
        <f t="shared" si="169"/>
        <v/>
      </c>
      <c r="BA181" s="1771" t="str">
        <f t="shared" si="169"/>
        <v/>
      </c>
      <c r="BB181" s="3437" t="str">
        <f t="shared" si="169"/>
        <v/>
      </c>
      <c r="BC181" s="3443" t="str">
        <f t="shared" si="169"/>
        <v/>
      </c>
      <c r="BD181" s="3462"/>
      <c r="BE181" s="3440" t="str">
        <f>IF(J181=J319,"stop","")</f>
        <v/>
      </c>
      <c r="BF181" s="1771" t="str">
        <f t="shared" ref="BF181:BQ190" si="170">IF(AND($J181&gt;BF$4,$J181&lt;=BF$5,$P181=BF$6),$N181,"")</f>
        <v/>
      </c>
      <c r="BG181" s="1771" t="str">
        <f t="shared" si="170"/>
        <v/>
      </c>
      <c r="BH181" s="1771" t="str">
        <f t="shared" si="170"/>
        <v/>
      </c>
      <c r="BI181" s="1771" t="str">
        <f t="shared" si="170"/>
        <v/>
      </c>
      <c r="BJ181" s="3443" t="str">
        <f t="shared" si="170"/>
        <v/>
      </c>
      <c r="BK181" s="3437" t="str">
        <f t="shared" si="170"/>
        <v/>
      </c>
      <c r="BL181" s="1771">
        <f t="shared" si="170"/>
        <v>0.72869746808946723</v>
      </c>
      <c r="BM181" s="3442" t="str">
        <f t="shared" si="170"/>
        <v/>
      </c>
      <c r="BN181" s="1771" t="str">
        <f t="shared" si="170"/>
        <v/>
      </c>
      <c r="BO181" s="1771" t="str">
        <f t="shared" si="170"/>
        <v/>
      </c>
      <c r="BP181" s="1771" t="str">
        <f t="shared" si="170"/>
        <v/>
      </c>
      <c r="BQ181" s="1771" t="str">
        <f t="shared" si="170"/>
        <v/>
      </c>
      <c r="BR181" s="3437" t="str">
        <f t="shared" ref="BR181:BW190" si="171">IF(AND($J181&gt;BR$4,$J181&lt;=BR$5,$P181=BR$6),$N181,"")</f>
        <v/>
      </c>
      <c r="BS181" s="1771" t="str">
        <f t="shared" si="171"/>
        <v/>
      </c>
      <c r="BT181" s="1771" t="str">
        <f t="shared" si="171"/>
        <v/>
      </c>
      <c r="BU181" s="3442" t="str">
        <f t="shared" si="171"/>
        <v/>
      </c>
      <c r="BV181" s="1771" t="str">
        <f t="shared" si="171"/>
        <v/>
      </c>
      <c r="BW181" s="3442" t="str">
        <f t="shared" si="171"/>
        <v/>
      </c>
      <c r="BX181" s="3462"/>
      <c r="BY181" s="3439" t="str">
        <f>IF(L181=L319,"stop","")</f>
        <v/>
      </c>
      <c r="BZ181" s="3437" t="str">
        <f t="shared" ref="BZ181:CK190" si="172">IF(AND($J181&gt;BZ$4,$J181&lt;=BZ$5,$P181=BZ$6),$O181,"")</f>
        <v/>
      </c>
      <c r="CA181" s="1771" t="str">
        <f t="shared" si="172"/>
        <v/>
      </c>
      <c r="CB181" s="1771" t="str">
        <f t="shared" si="172"/>
        <v/>
      </c>
      <c r="CC181" s="3442" t="str">
        <f t="shared" si="172"/>
        <v/>
      </c>
      <c r="CD181" s="1771" t="str">
        <f t="shared" si="172"/>
        <v/>
      </c>
      <c r="CE181" s="3437" t="str">
        <f t="shared" si="172"/>
        <v/>
      </c>
      <c r="CF181" s="1771">
        <f t="shared" si="172"/>
        <v>1.0349999999999999</v>
      </c>
      <c r="CG181" s="1771" t="str">
        <f t="shared" si="172"/>
        <v/>
      </c>
      <c r="CH181" s="3437" t="str">
        <f t="shared" si="172"/>
        <v/>
      </c>
      <c r="CI181" s="1771" t="str">
        <f t="shared" si="172"/>
        <v/>
      </c>
      <c r="CJ181" s="1771" t="str">
        <f t="shared" si="172"/>
        <v/>
      </c>
      <c r="CK181" s="3442" t="str">
        <f t="shared" si="172"/>
        <v/>
      </c>
      <c r="CL181" s="3437" t="str">
        <f t="shared" ref="CL181:CQ190" si="173">IF(AND($J181&gt;CL$4,$J181&lt;=CL$5,$P181=CL$6),$O181,"")</f>
        <v/>
      </c>
      <c r="CM181" s="1771" t="str">
        <f t="shared" si="173"/>
        <v/>
      </c>
      <c r="CN181" s="1771" t="str">
        <f t="shared" si="173"/>
        <v/>
      </c>
      <c r="CO181" s="3442" t="str">
        <f t="shared" si="173"/>
        <v/>
      </c>
      <c r="CP181" s="1771" t="str">
        <f t="shared" si="173"/>
        <v/>
      </c>
      <c r="CQ181" s="3442" t="str">
        <f t="shared" si="173"/>
        <v/>
      </c>
      <c r="CR181" s="3462"/>
    </row>
    <row r="182" spans="1:96" s="3" customFormat="1">
      <c r="A182" s="1848" t="s">
        <v>808</v>
      </c>
      <c r="B182" s="816">
        <v>8</v>
      </c>
      <c r="C182" s="816">
        <v>7.38</v>
      </c>
      <c r="D182" s="816">
        <v>0.34</v>
      </c>
      <c r="E182" s="1802" t="s">
        <v>35</v>
      </c>
      <c r="F182" s="816">
        <v>0.82</v>
      </c>
      <c r="G182" s="816" t="s">
        <v>784</v>
      </c>
      <c r="H182" s="816">
        <v>1988</v>
      </c>
      <c r="I182" s="50"/>
      <c r="J182" s="816">
        <f t="shared" si="128"/>
        <v>7.38</v>
      </c>
      <c r="K182" s="816">
        <v>0.34</v>
      </c>
      <c r="L182" s="816" t="s">
        <v>35</v>
      </c>
      <c r="M182" s="816">
        <v>0.82</v>
      </c>
      <c r="N182" s="845">
        <f t="shared" si="151"/>
        <v>0.52801515129776344</v>
      </c>
      <c r="O182" s="1831">
        <f t="shared" si="152"/>
        <v>0.57999999999999996</v>
      </c>
      <c r="P182" s="825" t="s">
        <v>1087</v>
      </c>
      <c r="Q182" s="3" t="str">
        <f>IF(J182=J319,"stop","")</f>
        <v/>
      </c>
      <c r="R182" s="3437" t="str">
        <f t="shared" si="160"/>
        <v/>
      </c>
      <c r="S182" s="1771" t="str">
        <f t="shared" si="160"/>
        <v/>
      </c>
      <c r="T182" s="1771" t="str">
        <f t="shared" si="160"/>
        <v/>
      </c>
      <c r="U182" s="1771" t="str">
        <f t="shared" si="160"/>
        <v/>
      </c>
      <c r="V182" s="3443" t="str">
        <f t="shared" si="160"/>
        <v/>
      </c>
      <c r="W182" s="1771" t="str">
        <f t="shared" si="160"/>
        <v/>
      </c>
      <c r="X182" s="1771">
        <f t="shared" si="160"/>
        <v>0.34</v>
      </c>
      <c r="Y182" s="1771" t="str">
        <f t="shared" si="160"/>
        <v/>
      </c>
      <c r="Z182" s="3437" t="str">
        <f t="shared" si="160"/>
        <v/>
      </c>
      <c r="AA182" s="1771" t="str">
        <f t="shared" si="160"/>
        <v/>
      </c>
      <c r="AB182" s="1771" t="str">
        <f t="shared" si="160"/>
        <v/>
      </c>
      <c r="AC182" s="3442" t="str">
        <f t="shared" si="160"/>
        <v/>
      </c>
      <c r="AD182" s="1771" t="str">
        <f t="shared" si="160"/>
        <v/>
      </c>
      <c r="AE182" s="1771" t="str">
        <f t="shared" si="160"/>
        <v/>
      </c>
      <c r="AF182" s="1771" t="str">
        <f t="shared" si="160"/>
        <v/>
      </c>
      <c r="AG182" s="3442" t="str">
        <f t="shared" si="160"/>
        <v/>
      </c>
      <c r="AH182" s="1771" t="str">
        <f t="shared" si="161"/>
        <v/>
      </c>
      <c r="AI182" s="3442" t="str">
        <f t="shared" si="161"/>
        <v/>
      </c>
      <c r="AJ182" s="3462"/>
      <c r="AK182" s="3439" t="str">
        <f>IF(J182=J319,"stop","")</f>
        <v/>
      </c>
      <c r="AL182" s="3437" t="str">
        <f t="shared" si="168"/>
        <v/>
      </c>
      <c r="AM182" s="1771" t="str">
        <f t="shared" si="168"/>
        <v/>
      </c>
      <c r="AN182" s="1771" t="str">
        <f t="shared" si="168"/>
        <v/>
      </c>
      <c r="AO182" s="1771" t="str">
        <f t="shared" si="168"/>
        <v/>
      </c>
      <c r="AP182" s="3443" t="str">
        <f t="shared" si="168"/>
        <v/>
      </c>
      <c r="AQ182" s="1771" t="str">
        <f t="shared" si="168"/>
        <v/>
      </c>
      <c r="AR182" s="1771">
        <f t="shared" si="168"/>
        <v>0.82</v>
      </c>
      <c r="AS182" s="3442" t="str">
        <f t="shared" si="168"/>
        <v/>
      </c>
      <c r="AT182" s="1771" t="str">
        <f t="shared" si="168"/>
        <v/>
      </c>
      <c r="AU182" s="1771" t="str">
        <f t="shared" si="168"/>
        <v/>
      </c>
      <c r="AV182" s="1771" t="str">
        <f t="shared" si="168"/>
        <v/>
      </c>
      <c r="AW182" s="3442" t="str">
        <f t="shared" si="168"/>
        <v/>
      </c>
      <c r="AX182" s="1771" t="str">
        <f t="shared" si="169"/>
        <v/>
      </c>
      <c r="AY182" s="1771" t="str">
        <f t="shared" si="169"/>
        <v/>
      </c>
      <c r="AZ182" s="1771" t="str">
        <f t="shared" si="169"/>
        <v/>
      </c>
      <c r="BA182" s="1771" t="str">
        <f t="shared" si="169"/>
        <v/>
      </c>
      <c r="BB182" s="3437" t="str">
        <f t="shared" si="169"/>
        <v/>
      </c>
      <c r="BC182" s="3443" t="str">
        <f t="shared" si="169"/>
        <v/>
      </c>
      <c r="BD182" s="3462"/>
      <c r="BE182" s="3440" t="str">
        <f>IF(J182=J319,"stop","")</f>
        <v/>
      </c>
      <c r="BF182" s="1771" t="str">
        <f t="shared" si="170"/>
        <v/>
      </c>
      <c r="BG182" s="1771" t="str">
        <f t="shared" si="170"/>
        <v/>
      </c>
      <c r="BH182" s="1771" t="str">
        <f t="shared" si="170"/>
        <v/>
      </c>
      <c r="BI182" s="1771" t="str">
        <f t="shared" si="170"/>
        <v/>
      </c>
      <c r="BJ182" s="3443" t="str">
        <f t="shared" si="170"/>
        <v/>
      </c>
      <c r="BK182" s="3437" t="str">
        <f t="shared" si="170"/>
        <v/>
      </c>
      <c r="BL182" s="1771">
        <f t="shared" si="170"/>
        <v>0.52801515129776344</v>
      </c>
      <c r="BM182" s="3442" t="str">
        <f t="shared" si="170"/>
        <v/>
      </c>
      <c r="BN182" s="1771" t="str">
        <f t="shared" si="170"/>
        <v/>
      </c>
      <c r="BO182" s="1771" t="str">
        <f t="shared" si="170"/>
        <v/>
      </c>
      <c r="BP182" s="1771" t="str">
        <f t="shared" si="170"/>
        <v/>
      </c>
      <c r="BQ182" s="1771" t="str">
        <f t="shared" si="170"/>
        <v/>
      </c>
      <c r="BR182" s="3437" t="str">
        <f t="shared" si="171"/>
        <v/>
      </c>
      <c r="BS182" s="1771" t="str">
        <f t="shared" si="171"/>
        <v/>
      </c>
      <c r="BT182" s="1771" t="str">
        <f t="shared" si="171"/>
        <v/>
      </c>
      <c r="BU182" s="3442" t="str">
        <f t="shared" si="171"/>
        <v/>
      </c>
      <c r="BV182" s="1771" t="str">
        <f t="shared" si="171"/>
        <v/>
      </c>
      <c r="BW182" s="3442" t="str">
        <f t="shared" si="171"/>
        <v/>
      </c>
      <c r="BX182" s="3462"/>
      <c r="BY182" s="3439" t="str">
        <f>IF(L182=L319,"stop","")</f>
        <v/>
      </c>
      <c r="BZ182" s="3437" t="str">
        <f t="shared" si="172"/>
        <v/>
      </c>
      <c r="CA182" s="1771" t="str">
        <f t="shared" si="172"/>
        <v/>
      </c>
      <c r="CB182" s="1771" t="str">
        <f t="shared" si="172"/>
        <v/>
      </c>
      <c r="CC182" s="3442" t="str">
        <f t="shared" si="172"/>
        <v/>
      </c>
      <c r="CD182" s="1771" t="str">
        <f t="shared" si="172"/>
        <v/>
      </c>
      <c r="CE182" s="3437" t="str">
        <f t="shared" si="172"/>
        <v/>
      </c>
      <c r="CF182" s="1771">
        <f t="shared" si="172"/>
        <v>0.57999999999999996</v>
      </c>
      <c r="CG182" s="1771" t="str">
        <f t="shared" si="172"/>
        <v/>
      </c>
      <c r="CH182" s="3437" t="str">
        <f t="shared" si="172"/>
        <v/>
      </c>
      <c r="CI182" s="1771" t="str">
        <f t="shared" si="172"/>
        <v/>
      </c>
      <c r="CJ182" s="1771" t="str">
        <f t="shared" si="172"/>
        <v/>
      </c>
      <c r="CK182" s="3442" t="str">
        <f t="shared" si="172"/>
        <v/>
      </c>
      <c r="CL182" s="3437" t="str">
        <f t="shared" si="173"/>
        <v/>
      </c>
      <c r="CM182" s="1771" t="str">
        <f t="shared" si="173"/>
        <v/>
      </c>
      <c r="CN182" s="1771" t="str">
        <f t="shared" si="173"/>
        <v/>
      </c>
      <c r="CO182" s="3442" t="str">
        <f t="shared" si="173"/>
        <v/>
      </c>
      <c r="CP182" s="1771" t="str">
        <f t="shared" si="173"/>
        <v/>
      </c>
      <c r="CQ182" s="3442" t="str">
        <f t="shared" si="173"/>
        <v/>
      </c>
      <c r="CR182" s="3462"/>
    </row>
    <row r="183" spans="1:96" s="3" customFormat="1">
      <c r="A183" s="1848" t="s">
        <v>809</v>
      </c>
      <c r="B183" s="816">
        <v>8</v>
      </c>
      <c r="C183" s="816">
        <v>7.36</v>
      </c>
      <c r="D183" s="816">
        <v>0.24</v>
      </c>
      <c r="E183" s="1802" t="s">
        <v>35</v>
      </c>
      <c r="F183" s="816">
        <v>0.52</v>
      </c>
      <c r="G183" s="816" t="s">
        <v>784</v>
      </c>
      <c r="H183" s="816">
        <v>1988</v>
      </c>
      <c r="I183" s="50"/>
      <c r="J183" s="816">
        <f t="shared" si="128"/>
        <v>7.36</v>
      </c>
      <c r="K183" s="816">
        <v>0.24</v>
      </c>
      <c r="L183" s="816" t="s">
        <v>35</v>
      </c>
      <c r="M183" s="816">
        <v>0.52</v>
      </c>
      <c r="N183" s="845">
        <f t="shared" si="151"/>
        <v>0.35327043465311386</v>
      </c>
      <c r="O183" s="1831">
        <f t="shared" si="152"/>
        <v>0.38</v>
      </c>
      <c r="P183" s="825" t="s">
        <v>1087</v>
      </c>
      <c r="Q183" s="3" t="str">
        <f>IF(J183=J319,"stop","")</f>
        <v/>
      </c>
      <c r="R183" s="3437" t="str">
        <f t="shared" ref="R183:AG198" si="174">IF(AND($J183&gt;R$4,$J183&lt;=R$5,$P183=R$6),$K183,"")</f>
        <v/>
      </c>
      <c r="S183" s="1771" t="str">
        <f t="shared" si="174"/>
        <v/>
      </c>
      <c r="T183" s="1771" t="str">
        <f t="shared" si="174"/>
        <v/>
      </c>
      <c r="U183" s="1771" t="str">
        <f t="shared" si="174"/>
        <v/>
      </c>
      <c r="V183" s="3443" t="str">
        <f t="shared" si="174"/>
        <v/>
      </c>
      <c r="W183" s="1771" t="str">
        <f t="shared" si="174"/>
        <v/>
      </c>
      <c r="X183" s="1771">
        <f t="shared" si="174"/>
        <v>0.24</v>
      </c>
      <c r="Y183" s="1771" t="str">
        <f t="shared" si="174"/>
        <v/>
      </c>
      <c r="Z183" s="3437" t="str">
        <f t="shared" si="174"/>
        <v/>
      </c>
      <c r="AA183" s="1771" t="str">
        <f t="shared" si="174"/>
        <v/>
      </c>
      <c r="AB183" s="1771" t="str">
        <f t="shared" si="174"/>
        <v/>
      </c>
      <c r="AC183" s="3442" t="str">
        <f t="shared" si="174"/>
        <v/>
      </c>
      <c r="AD183" s="1771" t="str">
        <f t="shared" si="174"/>
        <v/>
      </c>
      <c r="AE183" s="1771" t="str">
        <f t="shared" si="174"/>
        <v/>
      </c>
      <c r="AF183" s="1771" t="str">
        <f t="shared" si="174"/>
        <v/>
      </c>
      <c r="AG183" s="3442" t="str">
        <f t="shared" si="174"/>
        <v/>
      </c>
      <c r="AH183" s="1771" t="str">
        <f t="shared" si="161"/>
        <v/>
      </c>
      <c r="AI183" s="3442" t="str">
        <f t="shared" si="161"/>
        <v/>
      </c>
      <c r="AJ183" s="3462"/>
      <c r="AK183" s="3439" t="str">
        <f>IF(J183=J319,"stop","")</f>
        <v/>
      </c>
      <c r="AL183" s="3437" t="str">
        <f t="shared" si="168"/>
        <v/>
      </c>
      <c r="AM183" s="1771" t="str">
        <f t="shared" si="168"/>
        <v/>
      </c>
      <c r="AN183" s="1771" t="str">
        <f t="shared" si="168"/>
        <v/>
      </c>
      <c r="AO183" s="1771" t="str">
        <f t="shared" si="168"/>
        <v/>
      </c>
      <c r="AP183" s="3443" t="str">
        <f t="shared" si="168"/>
        <v/>
      </c>
      <c r="AQ183" s="1771" t="str">
        <f t="shared" si="168"/>
        <v/>
      </c>
      <c r="AR183" s="1771">
        <f t="shared" si="168"/>
        <v>0.52</v>
      </c>
      <c r="AS183" s="3442" t="str">
        <f t="shared" si="168"/>
        <v/>
      </c>
      <c r="AT183" s="1771" t="str">
        <f t="shared" si="168"/>
        <v/>
      </c>
      <c r="AU183" s="1771" t="str">
        <f t="shared" si="168"/>
        <v/>
      </c>
      <c r="AV183" s="1771" t="str">
        <f t="shared" si="168"/>
        <v/>
      </c>
      <c r="AW183" s="3442" t="str">
        <f t="shared" si="168"/>
        <v/>
      </c>
      <c r="AX183" s="1771" t="str">
        <f t="shared" si="169"/>
        <v/>
      </c>
      <c r="AY183" s="1771" t="str">
        <f t="shared" si="169"/>
        <v/>
      </c>
      <c r="AZ183" s="1771" t="str">
        <f t="shared" si="169"/>
        <v/>
      </c>
      <c r="BA183" s="1771" t="str">
        <f t="shared" si="169"/>
        <v/>
      </c>
      <c r="BB183" s="3437" t="str">
        <f t="shared" si="169"/>
        <v/>
      </c>
      <c r="BC183" s="3443" t="str">
        <f t="shared" si="169"/>
        <v/>
      </c>
      <c r="BD183" s="3462"/>
      <c r="BE183" s="3440" t="str">
        <f>IF(J183=J319,"stop","")</f>
        <v/>
      </c>
      <c r="BF183" s="1771" t="str">
        <f t="shared" si="170"/>
        <v/>
      </c>
      <c r="BG183" s="1771" t="str">
        <f t="shared" si="170"/>
        <v/>
      </c>
      <c r="BH183" s="1771" t="str">
        <f t="shared" si="170"/>
        <v/>
      </c>
      <c r="BI183" s="1771" t="str">
        <f t="shared" si="170"/>
        <v/>
      </c>
      <c r="BJ183" s="3443" t="str">
        <f t="shared" si="170"/>
        <v/>
      </c>
      <c r="BK183" s="3437" t="str">
        <f t="shared" si="170"/>
        <v/>
      </c>
      <c r="BL183" s="1771">
        <f t="shared" si="170"/>
        <v>0.35327043465311386</v>
      </c>
      <c r="BM183" s="3442" t="str">
        <f t="shared" si="170"/>
        <v/>
      </c>
      <c r="BN183" s="1771" t="str">
        <f t="shared" si="170"/>
        <v/>
      </c>
      <c r="BO183" s="1771" t="str">
        <f t="shared" si="170"/>
        <v/>
      </c>
      <c r="BP183" s="1771" t="str">
        <f t="shared" si="170"/>
        <v/>
      </c>
      <c r="BQ183" s="1771" t="str">
        <f t="shared" si="170"/>
        <v/>
      </c>
      <c r="BR183" s="3437" t="str">
        <f t="shared" si="171"/>
        <v/>
      </c>
      <c r="BS183" s="1771" t="str">
        <f t="shared" si="171"/>
        <v/>
      </c>
      <c r="BT183" s="1771" t="str">
        <f t="shared" si="171"/>
        <v/>
      </c>
      <c r="BU183" s="3442" t="str">
        <f t="shared" si="171"/>
        <v/>
      </c>
      <c r="BV183" s="1771" t="str">
        <f t="shared" si="171"/>
        <v/>
      </c>
      <c r="BW183" s="3442" t="str">
        <f t="shared" si="171"/>
        <v/>
      </c>
      <c r="BX183" s="3462"/>
      <c r="BY183" s="3439" t="str">
        <f>IF(L183=L319,"stop","")</f>
        <v/>
      </c>
      <c r="BZ183" s="3437" t="str">
        <f t="shared" si="172"/>
        <v/>
      </c>
      <c r="CA183" s="1771" t="str">
        <f t="shared" si="172"/>
        <v/>
      </c>
      <c r="CB183" s="1771" t="str">
        <f t="shared" si="172"/>
        <v/>
      </c>
      <c r="CC183" s="3442" t="str">
        <f t="shared" si="172"/>
        <v/>
      </c>
      <c r="CD183" s="1771" t="str">
        <f t="shared" si="172"/>
        <v/>
      </c>
      <c r="CE183" s="3437" t="str">
        <f t="shared" si="172"/>
        <v/>
      </c>
      <c r="CF183" s="1771">
        <f t="shared" si="172"/>
        <v>0.38</v>
      </c>
      <c r="CG183" s="1771" t="str">
        <f t="shared" si="172"/>
        <v/>
      </c>
      <c r="CH183" s="3437" t="str">
        <f t="shared" si="172"/>
        <v/>
      </c>
      <c r="CI183" s="1771" t="str">
        <f t="shared" si="172"/>
        <v/>
      </c>
      <c r="CJ183" s="1771" t="str">
        <f t="shared" si="172"/>
        <v/>
      </c>
      <c r="CK183" s="3442" t="str">
        <f t="shared" si="172"/>
        <v/>
      </c>
      <c r="CL183" s="3437" t="str">
        <f t="shared" si="173"/>
        <v/>
      </c>
      <c r="CM183" s="1771" t="str">
        <f t="shared" si="173"/>
        <v/>
      </c>
      <c r="CN183" s="1771" t="str">
        <f t="shared" si="173"/>
        <v/>
      </c>
      <c r="CO183" s="3442" t="str">
        <f t="shared" si="173"/>
        <v/>
      </c>
      <c r="CP183" s="1771" t="str">
        <f t="shared" si="173"/>
        <v/>
      </c>
      <c r="CQ183" s="3442" t="str">
        <f t="shared" si="173"/>
        <v/>
      </c>
      <c r="CR183" s="3462"/>
    </row>
    <row r="184" spans="1:96" s="3" customFormat="1">
      <c r="A184" s="1848" t="s">
        <v>810</v>
      </c>
      <c r="B184" s="816">
        <v>8</v>
      </c>
      <c r="C184" s="816">
        <v>7.74</v>
      </c>
      <c r="D184" s="816">
        <v>0.16</v>
      </c>
      <c r="E184" s="1802" t="s">
        <v>35</v>
      </c>
      <c r="F184" s="816">
        <v>0.37</v>
      </c>
      <c r="G184" s="816" t="s">
        <v>784</v>
      </c>
      <c r="H184" s="816">
        <v>1988</v>
      </c>
      <c r="I184" s="50"/>
      <c r="J184" s="816">
        <f t="shared" si="128"/>
        <v>7.74</v>
      </c>
      <c r="K184" s="816">
        <v>0.16</v>
      </c>
      <c r="L184" s="816" t="s">
        <v>35</v>
      </c>
      <c r="M184" s="816">
        <v>0.37</v>
      </c>
      <c r="N184" s="845">
        <f t="shared" si="151"/>
        <v>0.24331050121192879</v>
      </c>
      <c r="O184" s="1831">
        <f t="shared" si="152"/>
        <v>0.26500000000000001</v>
      </c>
      <c r="P184" s="825" t="s">
        <v>1087</v>
      </c>
      <c r="Q184" s="3" t="str">
        <f>IF(J184=J319,"stop","")</f>
        <v/>
      </c>
      <c r="R184" s="3437" t="str">
        <f t="shared" si="174"/>
        <v/>
      </c>
      <c r="S184" s="1771" t="str">
        <f t="shared" si="174"/>
        <v/>
      </c>
      <c r="T184" s="1771" t="str">
        <f t="shared" si="174"/>
        <v/>
      </c>
      <c r="U184" s="1771" t="str">
        <f t="shared" si="174"/>
        <v/>
      </c>
      <c r="V184" s="3443" t="str">
        <f t="shared" si="174"/>
        <v/>
      </c>
      <c r="W184" s="1771" t="str">
        <f t="shared" si="174"/>
        <v/>
      </c>
      <c r="X184" s="1771">
        <f t="shared" si="174"/>
        <v>0.16</v>
      </c>
      <c r="Y184" s="1771" t="str">
        <f t="shared" si="174"/>
        <v/>
      </c>
      <c r="Z184" s="3437" t="str">
        <f t="shared" si="174"/>
        <v/>
      </c>
      <c r="AA184" s="1771" t="str">
        <f t="shared" si="174"/>
        <v/>
      </c>
      <c r="AB184" s="1771" t="str">
        <f t="shared" si="174"/>
        <v/>
      </c>
      <c r="AC184" s="3442" t="str">
        <f t="shared" si="174"/>
        <v/>
      </c>
      <c r="AD184" s="1771" t="str">
        <f t="shared" si="174"/>
        <v/>
      </c>
      <c r="AE184" s="1771" t="str">
        <f t="shared" si="174"/>
        <v/>
      </c>
      <c r="AF184" s="1771" t="str">
        <f t="shared" si="174"/>
        <v/>
      </c>
      <c r="AG184" s="3442" t="str">
        <f t="shared" si="174"/>
        <v/>
      </c>
      <c r="AH184" s="1771" t="str">
        <f t="shared" si="161"/>
        <v/>
      </c>
      <c r="AI184" s="3442" t="str">
        <f t="shared" si="161"/>
        <v/>
      </c>
      <c r="AJ184" s="3462"/>
      <c r="AK184" s="3439" t="str">
        <f>IF(J184=J319,"stop","")</f>
        <v/>
      </c>
      <c r="AL184" s="3437" t="str">
        <f t="shared" si="168"/>
        <v/>
      </c>
      <c r="AM184" s="1771" t="str">
        <f t="shared" si="168"/>
        <v/>
      </c>
      <c r="AN184" s="1771" t="str">
        <f t="shared" si="168"/>
        <v/>
      </c>
      <c r="AO184" s="1771" t="str">
        <f t="shared" si="168"/>
        <v/>
      </c>
      <c r="AP184" s="3443" t="str">
        <f t="shared" si="168"/>
        <v/>
      </c>
      <c r="AQ184" s="1771" t="str">
        <f t="shared" si="168"/>
        <v/>
      </c>
      <c r="AR184" s="1771">
        <f t="shared" si="168"/>
        <v>0.37</v>
      </c>
      <c r="AS184" s="3442" t="str">
        <f t="shared" si="168"/>
        <v/>
      </c>
      <c r="AT184" s="1771" t="str">
        <f t="shared" si="168"/>
        <v/>
      </c>
      <c r="AU184" s="1771" t="str">
        <f t="shared" si="168"/>
        <v/>
      </c>
      <c r="AV184" s="1771" t="str">
        <f t="shared" si="168"/>
        <v/>
      </c>
      <c r="AW184" s="3442" t="str">
        <f t="shared" si="168"/>
        <v/>
      </c>
      <c r="AX184" s="1771" t="str">
        <f t="shared" si="169"/>
        <v/>
      </c>
      <c r="AY184" s="1771" t="str">
        <f t="shared" si="169"/>
        <v/>
      </c>
      <c r="AZ184" s="1771" t="str">
        <f t="shared" si="169"/>
        <v/>
      </c>
      <c r="BA184" s="1771" t="str">
        <f t="shared" si="169"/>
        <v/>
      </c>
      <c r="BB184" s="3437" t="str">
        <f t="shared" si="169"/>
        <v/>
      </c>
      <c r="BC184" s="3443" t="str">
        <f t="shared" si="169"/>
        <v/>
      </c>
      <c r="BD184" s="3462"/>
      <c r="BE184" s="3440" t="str">
        <f>IF(J184=J319,"stop","")</f>
        <v/>
      </c>
      <c r="BF184" s="1771" t="str">
        <f t="shared" si="170"/>
        <v/>
      </c>
      <c r="BG184" s="1771" t="str">
        <f t="shared" si="170"/>
        <v/>
      </c>
      <c r="BH184" s="1771" t="str">
        <f t="shared" si="170"/>
        <v/>
      </c>
      <c r="BI184" s="1771" t="str">
        <f t="shared" si="170"/>
        <v/>
      </c>
      <c r="BJ184" s="3443" t="str">
        <f t="shared" si="170"/>
        <v/>
      </c>
      <c r="BK184" s="3437" t="str">
        <f t="shared" si="170"/>
        <v/>
      </c>
      <c r="BL184" s="1771">
        <f t="shared" si="170"/>
        <v>0.24331050121192879</v>
      </c>
      <c r="BM184" s="3442" t="str">
        <f t="shared" si="170"/>
        <v/>
      </c>
      <c r="BN184" s="1771" t="str">
        <f t="shared" si="170"/>
        <v/>
      </c>
      <c r="BO184" s="1771" t="str">
        <f t="shared" si="170"/>
        <v/>
      </c>
      <c r="BP184" s="1771" t="str">
        <f t="shared" si="170"/>
        <v/>
      </c>
      <c r="BQ184" s="1771" t="str">
        <f t="shared" si="170"/>
        <v/>
      </c>
      <c r="BR184" s="3437" t="str">
        <f t="shared" si="171"/>
        <v/>
      </c>
      <c r="BS184" s="1771" t="str">
        <f t="shared" si="171"/>
        <v/>
      </c>
      <c r="BT184" s="1771" t="str">
        <f t="shared" si="171"/>
        <v/>
      </c>
      <c r="BU184" s="3442" t="str">
        <f t="shared" si="171"/>
        <v/>
      </c>
      <c r="BV184" s="1771" t="str">
        <f t="shared" si="171"/>
        <v/>
      </c>
      <c r="BW184" s="3442" t="str">
        <f t="shared" si="171"/>
        <v/>
      </c>
      <c r="BX184" s="3462"/>
      <c r="BY184" s="3439" t="str">
        <f>IF(L184=L319,"stop","")</f>
        <v/>
      </c>
      <c r="BZ184" s="3437" t="str">
        <f t="shared" si="172"/>
        <v/>
      </c>
      <c r="CA184" s="1771" t="str">
        <f t="shared" si="172"/>
        <v/>
      </c>
      <c r="CB184" s="1771" t="str">
        <f t="shared" si="172"/>
        <v/>
      </c>
      <c r="CC184" s="3442" t="str">
        <f t="shared" si="172"/>
        <v/>
      </c>
      <c r="CD184" s="1771" t="str">
        <f t="shared" si="172"/>
        <v/>
      </c>
      <c r="CE184" s="3437" t="str">
        <f t="shared" si="172"/>
        <v/>
      </c>
      <c r="CF184" s="1771">
        <f t="shared" si="172"/>
        <v>0.26500000000000001</v>
      </c>
      <c r="CG184" s="1771" t="str">
        <f t="shared" si="172"/>
        <v/>
      </c>
      <c r="CH184" s="3437" t="str">
        <f t="shared" si="172"/>
        <v/>
      </c>
      <c r="CI184" s="1771" t="str">
        <f t="shared" si="172"/>
        <v/>
      </c>
      <c r="CJ184" s="1771" t="str">
        <f t="shared" si="172"/>
        <v/>
      </c>
      <c r="CK184" s="3442" t="str">
        <f t="shared" si="172"/>
        <v/>
      </c>
      <c r="CL184" s="3437" t="str">
        <f t="shared" si="173"/>
        <v/>
      </c>
      <c r="CM184" s="1771" t="str">
        <f t="shared" si="173"/>
        <v/>
      </c>
      <c r="CN184" s="1771" t="str">
        <f t="shared" si="173"/>
        <v/>
      </c>
      <c r="CO184" s="3442" t="str">
        <f t="shared" si="173"/>
        <v/>
      </c>
      <c r="CP184" s="1771" t="str">
        <f t="shared" si="173"/>
        <v/>
      </c>
      <c r="CQ184" s="3442" t="str">
        <f t="shared" si="173"/>
        <v/>
      </c>
      <c r="CR184" s="3462"/>
    </row>
    <row r="185" spans="1:96" s="3" customFormat="1">
      <c r="A185" s="1848" t="s">
        <v>811</v>
      </c>
      <c r="B185" s="816">
        <v>8</v>
      </c>
      <c r="C185" s="816">
        <v>7.79</v>
      </c>
      <c r="D185" s="816">
        <v>0.01</v>
      </c>
      <c r="E185" s="1802" t="s">
        <v>784</v>
      </c>
      <c r="F185" s="816">
        <v>0.01</v>
      </c>
      <c r="G185" s="816" t="s">
        <v>784</v>
      </c>
      <c r="H185" s="816">
        <v>1988</v>
      </c>
      <c r="I185" s="50"/>
      <c r="J185" s="816">
        <f t="shared" si="128"/>
        <v>7.79</v>
      </c>
      <c r="K185" s="816">
        <v>0.01</v>
      </c>
      <c r="L185" s="816" t="s">
        <v>784</v>
      </c>
      <c r="M185" s="816">
        <v>0.01</v>
      </c>
      <c r="N185" s="845">
        <f t="shared" si="151"/>
        <v>0.01</v>
      </c>
      <c r="O185" s="1831">
        <f t="shared" si="152"/>
        <v>0.01</v>
      </c>
      <c r="P185" s="825" t="s">
        <v>1087</v>
      </c>
      <c r="Q185" s="3" t="str">
        <f>IF(J185=J319,"stop","")</f>
        <v/>
      </c>
      <c r="R185" s="3437" t="str">
        <f t="shared" si="174"/>
        <v/>
      </c>
      <c r="S185" s="1771" t="str">
        <f t="shared" si="174"/>
        <v/>
      </c>
      <c r="T185" s="1771" t="str">
        <f t="shared" si="174"/>
        <v/>
      </c>
      <c r="U185" s="1771" t="str">
        <f t="shared" si="174"/>
        <v/>
      </c>
      <c r="V185" s="3443" t="str">
        <f t="shared" si="174"/>
        <v/>
      </c>
      <c r="W185" s="1771" t="str">
        <f t="shared" si="174"/>
        <v/>
      </c>
      <c r="X185" s="1771">
        <f t="shared" si="174"/>
        <v>0.01</v>
      </c>
      <c r="Y185" s="1771" t="str">
        <f t="shared" si="174"/>
        <v/>
      </c>
      <c r="Z185" s="3437" t="str">
        <f t="shared" si="174"/>
        <v/>
      </c>
      <c r="AA185" s="1771" t="str">
        <f t="shared" si="174"/>
        <v/>
      </c>
      <c r="AB185" s="1771" t="str">
        <f t="shared" si="174"/>
        <v/>
      </c>
      <c r="AC185" s="3442" t="str">
        <f t="shared" si="174"/>
        <v/>
      </c>
      <c r="AD185" s="1771" t="str">
        <f t="shared" si="174"/>
        <v/>
      </c>
      <c r="AE185" s="1771" t="str">
        <f t="shared" si="174"/>
        <v/>
      </c>
      <c r="AF185" s="1771" t="str">
        <f t="shared" si="174"/>
        <v/>
      </c>
      <c r="AG185" s="3442" t="str">
        <f t="shared" si="174"/>
        <v/>
      </c>
      <c r="AH185" s="1771" t="str">
        <f t="shared" si="161"/>
        <v/>
      </c>
      <c r="AI185" s="3442" t="str">
        <f t="shared" si="161"/>
        <v/>
      </c>
      <c r="AJ185" s="3462"/>
      <c r="AK185" s="3439" t="str">
        <f>IF(J185=J319,"stop","")</f>
        <v/>
      </c>
      <c r="AL185" s="3437" t="str">
        <f t="shared" si="168"/>
        <v/>
      </c>
      <c r="AM185" s="1771" t="str">
        <f t="shared" si="168"/>
        <v/>
      </c>
      <c r="AN185" s="1771" t="str">
        <f t="shared" si="168"/>
        <v/>
      </c>
      <c r="AO185" s="1771" t="str">
        <f t="shared" si="168"/>
        <v/>
      </c>
      <c r="AP185" s="3443" t="str">
        <f t="shared" si="168"/>
        <v/>
      </c>
      <c r="AQ185" s="1771" t="str">
        <f t="shared" si="168"/>
        <v/>
      </c>
      <c r="AR185" s="1771">
        <f t="shared" si="168"/>
        <v>0.01</v>
      </c>
      <c r="AS185" s="3442" t="str">
        <f t="shared" si="168"/>
        <v/>
      </c>
      <c r="AT185" s="1771" t="str">
        <f t="shared" si="168"/>
        <v/>
      </c>
      <c r="AU185" s="1771" t="str">
        <f t="shared" si="168"/>
        <v/>
      </c>
      <c r="AV185" s="1771" t="str">
        <f t="shared" si="168"/>
        <v/>
      </c>
      <c r="AW185" s="3442" t="str">
        <f t="shared" si="168"/>
        <v/>
      </c>
      <c r="AX185" s="1771" t="str">
        <f t="shared" si="169"/>
        <v/>
      </c>
      <c r="AY185" s="1771" t="str">
        <f t="shared" si="169"/>
        <v/>
      </c>
      <c r="AZ185" s="1771" t="str">
        <f t="shared" si="169"/>
        <v/>
      </c>
      <c r="BA185" s="1771" t="str">
        <f t="shared" si="169"/>
        <v/>
      </c>
      <c r="BB185" s="3437" t="str">
        <f t="shared" si="169"/>
        <v/>
      </c>
      <c r="BC185" s="3443" t="str">
        <f t="shared" si="169"/>
        <v/>
      </c>
      <c r="BD185" s="3462"/>
      <c r="BE185" s="3440" t="str">
        <f>IF(J185=J319,"stop","")</f>
        <v/>
      </c>
      <c r="BF185" s="1771" t="str">
        <f t="shared" si="170"/>
        <v/>
      </c>
      <c r="BG185" s="1771" t="str">
        <f t="shared" si="170"/>
        <v/>
      </c>
      <c r="BH185" s="1771" t="str">
        <f t="shared" si="170"/>
        <v/>
      </c>
      <c r="BI185" s="1771" t="str">
        <f t="shared" si="170"/>
        <v/>
      </c>
      <c r="BJ185" s="3443" t="str">
        <f t="shared" si="170"/>
        <v/>
      </c>
      <c r="BK185" s="3437" t="str">
        <f t="shared" si="170"/>
        <v/>
      </c>
      <c r="BL185" s="1771">
        <f t="shared" si="170"/>
        <v>0.01</v>
      </c>
      <c r="BM185" s="3442" t="str">
        <f t="shared" si="170"/>
        <v/>
      </c>
      <c r="BN185" s="1771" t="str">
        <f t="shared" si="170"/>
        <v/>
      </c>
      <c r="BO185" s="1771" t="str">
        <f t="shared" si="170"/>
        <v/>
      </c>
      <c r="BP185" s="1771" t="str">
        <f t="shared" si="170"/>
        <v/>
      </c>
      <c r="BQ185" s="1771" t="str">
        <f t="shared" si="170"/>
        <v/>
      </c>
      <c r="BR185" s="3437" t="str">
        <f t="shared" si="171"/>
        <v/>
      </c>
      <c r="BS185" s="1771" t="str">
        <f t="shared" si="171"/>
        <v/>
      </c>
      <c r="BT185" s="1771" t="str">
        <f t="shared" si="171"/>
        <v/>
      </c>
      <c r="BU185" s="3442" t="str">
        <f t="shared" si="171"/>
        <v/>
      </c>
      <c r="BV185" s="1771" t="str">
        <f t="shared" si="171"/>
        <v/>
      </c>
      <c r="BW185" s="3442" t="str">
        <f t="shared" si="171"/>
        <v/>
      </c>
      <c r="BX185" s="3462"/>
      <c r="BY185" s="3439" t="str">
        <f>IF(L185=L319,"stop","")</f>
        <v/>
      </c>
      <c r="BZ185" s="3437" t="str">
        <f t="shared" si="172"/>
        <v/>
      </c>
      <c r="CA185" s="1771" t="str">
        <f t="shared" si="172"/>
        <v/>
      </c>
      <c r="CB185" s="1771" t="str">
        <f t="shared" si="172"/>
        <v/>
      </c>
      <c r="CC185" s="3442" t="str">
        <f t="shared" si="172"/>
        <v/>
      </c>
      <c r="CD185" s="1771" t="str">
        <f t="shared" si="172"/>
        <v/>
      </c>
      <c r="CE185" s="3437" t="str">
        <f t="shared" si="172"/>
        <v/>
      </c>
      <c r="CF185" s="1771">
        <f t="shared" si="172"/>
        <v>0.01</v>
      </c>
      <c r="CG185" s="1771" t="str">
        <f t="shared" si="172"/>
        <v/>
      </c>
      <c r="CH185" s="3437" t="str">
        <f t="shared" si="172"/>
        <v/>
      </c>
      <c r="CI185" s="1771" t="str">
        <f t="shared" si="172"/>
        <v/>
      </c>
      <c r="CJ185" s="1771" t="str">
        <f t="shared" si="172"/>
        <v/>
      </c>
      <c r="CK185" s="3442" t="str">
        <f t="shared" si="172"/>
        <v/>
      </c>
      <c r="CL185" s="3437" t="str">
        <f t="shared" si="173"/>
        <v/>
      </c>
      <c r="CM185" s="1771" t="str">
        <f t="shared" si="173"/>
        <v/>
      </c>
      <c r="CN185" s="1771" t="str">
        <f t="shared" si="173"/>
        <v/>
      </c>
      <c r="CO185" s="3442" t="str">
        <f t="shared" si="173"/>
        <v/>
      </c>
      <c r="CP185" s="1771" t="str">
        <f t="shared" si="173"/>
        <v/>
      </c>
      <c r="CQ185" s="3442" t="str">
        <f t="shared" si="173"/>
        <v/>
      </c>
      <c r="CR185" s="3462"/>
    </row>
    <row r="186" spans="1:96" s="3" customFormat="1">
      <c r="A186" s="1848" t="s">
        <v>812</v>
      </c>
      <c r="B186" s="816">
        <v>9</v>
      </c>
      <c r="C186" s="816"/>
      <c r="D186" s="816">
        <v>0.04</v>
      </c>
      <c r="E186" s="1802" t="s">
        <v>35</v>
      </c>
      <c r="F186" s="816">
        <v>0.13</v>
      </c>
      <c r="G186" s="816" t="s">
        <v>784</v>
      </c>
      <c r="H186" s="816">
        <v>1988</v>
      </c>
      <c r="I186" s="50"/>
      <c r="J186" s="818">
        <f>IF(ISBLANK(C186),B186-0.5,C186)</f>
        <v>8.5</v>
      </c>
      <c r="K186" s="816">
        <v>0.04</v>
      </c>
      <c r="L186" s="816" t="s">
        <v>35</v>
      </c>
      <c r="M186" s="816">
        <v>0.13</v>
      </c>
      <c r="N186" s="845">
        <f t="shared" si="151"/>
        <v>7.2111025509279794E-2</v>
      </c>
      <c r="O186" s="1831">
        <f t="shared" si="152"/>
        <v>8.5000000000000006E-2</v>
      </c>
      <c r="P186" s="825" t="s">
        <v>1087</v>
      </c>
      <c r="Q186" s="3" t="str">
        <f>IF(J186=J319,"stop","")</f>
        <v/>
      </c>
      <c r="R186" s="3437" t="str">
        <f t="shared" si="174"/>
        <v/>
      </c>
      <c r="S186" s="1771" t="str">
        <f t="shared" si="174"/>
        <v/>
      </c>
      <c r="T186" s="1771" t="str">
        <f t="shared" si="174"/>
        <v/>
      </c>
      <c r="U186" s="1771" t="str">
        <f t="shared" si="174"/>
        <v/>
      </c>
      <c r="V186" s="3443" t="str">
        <f t="shared" si="174"/>
        <v/>
      </c>
      <c r="W186" s="1771" t="str">
        <f t="shared" si="174"/>
        <v/>
      </c>
      <c r="X186" s="1771" t="str">
        <f t="shared" si="174"/>
        <v/>
      </c>
      <c r="Y186" s="1771">
        <f t="shared" si="174"/>
        <v>0.04</v>
      </c>
      <c r="Z186" s="3437" t="str">
        <f t="shared" si="174"/>
        <v/>
      </c>
      <c r="AA186" s="1771" t="str">
        <f t="shared" si="174"/>
        <v/>
      </c>
      <c r="AB186" s="1771" t="str">
        <f t="shared" si="174"/>
        <v/>
      </c>
      <c r="AC186" s="3442" t="str">
        <f t="shared" si="174"/>
        <v/>
      </c>
      <c r="AD186" s="1771" t="str">
        <f t="shared" si="174"/>
        <v/>
      </c>
      <c r="AE186" s="1771" t="str">
        <f t="shared" si="174"/>
        <v/>
      </c>
      <c r="AF186" s="1771" t="str">
        <f t="shared" si="174"/>
        <v/>
      </c>
      <c r="AG186" s="3442" t="str">
        <f t="shared" si="174"/>
        <v/>
      </c>
      <c r="AH186" s="1771" t="str">
        <f t="shared" si="161"/>
        <v/>
      </c>
      <c r="AI186" s="3442" t="str">
        <f t="shared" si="161"/>
        <v/>
      </c>
      <c r="AJ186" s="3462"/>
      <c r="AK186" s="3439" t="str">
        <f>IF(J186=J319,"stop","")</f>
        <v/>
      </c>
      <c r="AL186" s="3437" t="str">
        <f t="shared" si="168"/>
        <v/>
      </c>
      <c r="AM186" s="1771" t="str">
        <f t="shared" si="168"/>
        <v/>
      </c>
      <c r="AN186" s="1771" t="str">
        <f t="shared" si="168"/>
        <v/>
      </c>
      <c r="AO186" s="1771" t="str">
        <f t="shared" si="168"/>
        <v/>
      </c>
      <c r="AP186" s="3443" t="str">
        <f t="shared" si="168"/>
        <v/>
      </c>
      <c r="AQ186" s="1771" t="str">
        <f t="shared" si="168"/>
        <v/>
      </c>
      <c r="AR186" s="1771" t="str">
        <f t="shared" si="168"/>
        <v/>
      </c>
      <c r="AS186" s="3442">
        <f t="shared" si="168"/>
        <v>0.13</v>
      </c>
      <c r="AT186" s="1771" t="str">
        <f t="shared" si="168"/>
        <v/>
      </c>
      <c r="AU186" s="1771" t="str">
        <f t="shared" si="168"/>
        <v/>
      </c>
      <c r="AV186" s="1771" t="str">
        <f t="shared" si="168"/>
        <v/>
      </c>
      <c r="AW186" s="3442" t="str">
        <f t="shared" si="168"/>
        <v/>
      </c>
      <c r="AX186" s="1771" t="str">
        <f t="shared" si="169"/>
        <v/>
      </c>
      <c r="AY186" s="1771" t="str">
        <f t="shared" si="169"/>
        <v/>
      </c>
      <c r="AZ186" s="1771" t="str">
        <f t="shared" si="169"/>
        <v/>
      </c>
      <c r="BA186" s="1771" t="str">
        <f t="shared" si="169"/>
        <v/>
      </c>
      <c r="BB186" s="3437" t="str">
        <f t="shared" si="169"/>
        <v/>
      </c>
      <c r="BC186" s="3443" t="str">
        <f t="shared" si="169"/>
        <v/>
      </c>
      <c r="BD186" s="3462"/>
      <c r="BE186" s="3440" t="str">
        <f>IF(J186=J319,"stop","")</f>
        <v/>
      </c>
      <c r="BF186" s="1771" t="str">
        <f t="shared" si="170"/>
        <v/>
      </c>
      <c r="BG186" s="1771" t="str">
        <f t="shared" si="170"/>
        <v/>
      </c>
      <c r="BH186" s="1771" t="str">
        <f t="shared" si="170"/>
        <v/>
      </c>
      <c r="BI186" s="1771" t="str">
        <f t="shared" si="170"/>
        <v/>
      </c>
      <c r="BJ186" s="3443" t="str">
        <f t="shared" si="170"/>
        <v/>
      </c>
      <c r="BK186" s="3437" t="str">
        <f t="shared" si="170"/>
        <v/>
      </c>
      <c r="BL186" s="1771" t="str">
        <f t="shared" si="170"/>
        <v/>
      </c>
      <c r="BM186" s="3442">
        <f t="shared" si="170"/>
        <v>7.2111025509279794E-2</v>
      </c>
      <c r="BN186" s="1771" t="str">
        <f t="shared" si="170"/>
        <v/>
      </c>
      <c r="BO186" s="1771" t="str">
        <f t="shared" si="170"/>
        <v/>
      </c>
      <c r="BP186" s="1771" t="str">
        <f t="shared" si="170"/>
        <v/>
      </c>
      <c r="BQ186" s="1771" t="str">
        <f t="shared" si="170"/>
        <v/>
      </c>
      <c r="BR186" s="3437" t="str">
        <f t="shared" si="171"/>
        <v/>
      </c>
      <c r="BS186" s="1771" t="str">
        <f t="shared" si="171"/>
        <v/>
      </c>
      <c r="BT186" s="1771" t="str">
        <f t="shared" si="171"/>
        <v/>
      </c>
      <c r="BU186" s="3442" t="str">
        <f t="shared" si="171"/>
        <v/>
      </c>
      <c r="BV186" s="1771" t="str">
        <f t="shared" si="171"/>
        <v/>
      </c>
      <c r="BW186" s="3442" t="str">
        <f t="shared" si="171"/>
        <v/>
      </c>
      <c r="BX186" s="3462"/>
      <c r="BY186" s="3439" t="str">
        <f>IF(L186=L319,"stop","")</f>
        <v/>
      </c>
      <c r="BZ186" s="3437" t="str">
        <f t="shared" si="172"/>
        <v/>
      </c>
      <c r="CA186" s="1771" t="str">
        <f t="shared" si="172"/>
        <v/>
      </c>
      <c r="CB186" s="1771" t="str">
        <f t="shared" si="172"/>
        <v/>
      </c>
      <c r="CC186" s="3442" t="str">
        <f t="shared" si="172"/>
        <v/>
      </c>
      <c r="CD186" s="1771" t="str">
        <f t="shared" si="172"/>
        <v/>
      </c>
      <c r="CE186" s="3437" t="str">
        <f t="shared" si="172"/>
        <v/>
      </c>
      <c r="CF186" s="1771" t="str">
        <f t="shared" si="172"/>
        <v/>
      </c>
      <c r="CG186" s="1771">
        <f t="shared" si="172"/>
        <v>8.5000000000000006E-2</v>
      </c>
      <c r="CH186" s="3437" t="str">
        <f t="shared" si="172"/>
        <v/>
      </c>
      <c r="CI186" s="1771" t="str">
        <f t="shared" si="172"/>
        <v/>
      </c>
      <c r="CJ186" s="1771" t="str">
        <f t="shared" si="172"/>
        <v/>
      </c>
      <c r="CK186" s="3442" t="str">
        <f t="shared" si="172"/>
        <v/>
      </c>
      <c r="CL186" s="3437" t="str">
        <f t="shared" si="173"/>
        <v/>
      </c>
      <c r="CM186" s="1771" t="str">
        <f t="shared" si="173"/>
        <v/>
      </c>
      <c r="CN186" s="1771" t="str">
        <f t="shared" si="173"/>
        <v/>
      </c>
      <c r="CO186" s="3442" t="str">
        <f t="shared" si="173"/>
        <v/>
      </c>
      <c r="CP186" s="1771" t="str">
        <f t="shared" si="173"/>
        <v/>
      </c>
      <c r="CQ186" s="3442" t="str">
        <f t="shared" si="173"/>
        <v/>
      </c>
      <c r="CR186" s="3462"/>
    </row>
    <row r="187" spans="1:96" s="3" customFormat="1">
      <c r="A187" s="1848" t="s">
        <v>813</v>
      </c>
      <c r="B187" s="816">
        <v>9</v>
      </c>
      <c r="C187" s="816">
        <v>7.93</v>
      </c>
      <c r="D187" s="816">
        <v>0.11</v>
      </c>
      <c r="E187" s="1802" t="s">
        <v>35</v>
      </c>
      <c r="F187" s="816">
        <v>0.18</v>
      </c>
      <c r="G187" s="816" t="s">
        <v>784</v>
      </c>
      <c r="H187" s="816">
        <v>1988</v>
      </c>
      <c r="I187" s="50"/>
      <c r="J187" s="816">
        <f t="shared" si="128"/>
        <v>7.93</v>
      </c>
      <c r="K187" s="816">
        <v>0.11</v>
      </c>
      <c r="L187" s="816" t="s">
        <v>35</v>
      </c>
      <c r="M187" s="816">
        <v>0.18</v>
      </c>
      <c r="N187" s="845">
        <f t="shared" si="151"/>
        <v>0.14071247279470289</v>
      </c>
      <c r="O187" s="1831">
        <f t="shared" si="152"/>
        <v>0.14499999999999999</v>
      </c>
      <c r="P187" s="825" t="s">
        <v>1087</v>
      </c>
      <c r="Q187" s="3" t="str">
        <f>IF(J187=J319,"stop","")</f>
        <v/>
      </c>
      <c r="R187" s="3437" t="str">
        <f t="shared" si="174"/>
        <v/>
      </c>
      <c r="S187" s="1771" t="str">
        <f t="shared" si="174"/>
        <v/>
      </c>
      <c r="T187" s="1771" t="str">
        <f t="shared" si="174"/>
        <v/>
      </c>
      <c r="U187" s="1771" t="str">
        <f t="shared" si="174"/>
        <v/>
      </c>
      <c r="V187" s="3443" t="str">
        <f t="shared" si="174"/>
        <v/>
      </c>
      <c r="W187" s="1771" t="str">
        <f t="shared" si="174"/>
        <v/>
      </c>
      <c r="X187" s="1771">
        <f t="shared" si="174"/>
        <v>0.11</v>
      </c>
      <c r="Y187" s="1771" t="str">
        <f t="shared" si="174"/>
        <v/>
      </c>
      <c r="Z187" s="3437" t="str">
        <f t="shared" si="174"/>
        <v/>
      </c>
      <c r="AA187" s="1771" t="str">
        <f t="shared" si="174"/>
        <v/>
      </c>
      <c r="AB187" s="1771" t="str">
        <f t="shared" si="174"/>
        <v/>
      </c>
      <c r="AC187" s="3442" t="str">
        <f t="shared" si="174"/>
        <v/>
      </c>
      <c r="AD187" s="1771" t="str">
        <f t="shared" si="174"/>
        <v/>
      </c>
      <c r="AE187" s="1771" t="str">
        <f t="shared" si="174"/>
        <v/>
      </c>
      <c r="AF187" s="1771" t="str">
        <f t="shared" si="174"/>
        <v/>
      </c>
      <c r="AG187" s="3442" t="str">
        <f t="shared" si="174"/>
        <v/>
      </c>
      <c r="AH187" s="1771" t="str">
        <f t="shared" si="161"/>
        <v/>
      </c>
      <c r="AI187" s="3442" t="str">
        <f t="shared" si="161"/>
        <v/>
      </c>
      <c r="AJ187" s="3462"/>
      <c r="AK187" s="3439" t="str">
        <f>IF(J187=J319,"stop","")</f>
        <v/>
      </c>
      <c r="AL187" s="3437" t="str">
        <f t="shared" si="168"/>
        <v/>
      </c>
      <c r="AM187" s="1771" t="str">
        <f t="shared" si="168"/>
        <v/>
      </c>
      <c r="AN187" s="1771" t="str">
        <f t="shared" si="168"/>
        <v/>
      </c>
      <c r="AO187" s="1771" t="str">
        <f t="shared" si="168"/>
        <v/>
      </c>
      <c r="AP187" s="3443" t="str">
        <f t="shared" si="168"/>
        <v/>
      </c>
      <c r="AQ187" s="1771" t="str">
        <f t="shared" si="168"/>
        <v/>
      </c>
      <c r="AR187" s="1771">
        <f t="shared" si="168"/>
        <v>0.18</v>
      </c>
      <c r="AS187" s="3442" t="str">
        <f t="shared" si="168"/>
        <v/>
      </c>
      <c r="AT187" s="1771" t="str">
        <f t="shared" si="168"/>
        <v/>
      </c>
      <c r="AU187" s="1771" t="str">
        <f t="shared" si="168"/>
        <v/>
      </c>
      <c r="AV187" s="1771" t="str">
        <f t="shared" si="168"/>
        <v/>
      </c>
      <c r="AW187" s="3442" t="str">
        <f t="shared" si="168"/>
        <v/>
      </c>
      <c r="AX187" s="1771" t="str">
        <f t="shared" si="169"/>
        <v/>
      </c>
      <c r="AY187" s="1771" t="str">
        <f t="shared" si="169"/>
        <v/>
      </c>
      <c r="AZ187" s="1771" t="str">
        <f t="shared" si="169"/>
        <v/>
      </c>
      <c r="BA187" s="1771" t="str">
        <f t="shared" si="169"/>
        <v/>
      </c>
      <c r="BB187" s="3437" t="str">
        <f t="shared" si="169"/>
        <v/>
      </c>
      <c r="BC187" s="3443" t="str">
        <f t="shared" si="169"/>
        <v/>
      </c>
      <c r="BD187" s="3462"/>
      <c r="BE187" s="3440" t="str">
        <f>IF(J187=J319,"stop","")</f>
        <v/>
      </c>
      <c r="BF187" s="1771" t="str">
        <f t="shared" si="170"/>
        <v/>
      </c>
      <c r="BG187" s="1771" t="str">
        <f t="shared" si="170"/>
        <v/>
      </c>
      <c r="BH187" s="1771" t="str">
        <f t="shared" si="170"/>
        <v/>
      </c>
      <c r="BI187" s="1771" t="str">
        <f t="shared" si="170"/>
        <v/>
      </c>
      <c r="BJ187" s="3443" t="str">
        <f t="shared" si="170"/>
        <v/>
      </c>
      <c r="BK187" s="3437" t="str">
        <f t="shared" si="170"/>
        <v/>
      </c>
      <c r="BL187" s="1771">
        <f t="shared" si="170"/>
        <v>0.14071247279470289</v>
      </c>
      <c r="BM187" s="3442" t="str">
        <f t="shared" si="170"/>
        <v/>
      </c>
      <c r="BN187" s="1771" t="str">
        <f t="shared" si="170"/>
        <v/>
      </c>
      <c r="BO187" s="1771" t="str">
        <f t="shared" si="170"/>
        <v/>
      </c>
      <c r="BP187" s="1771" t="str">
        <f t="shared" si="170"/>
        <v/>
      </c>
      <c r="BQ187" s="1771" t="str">
        <f t="shared" si="170"/>
        <v/>
      </c>
      <c r="BR187" s="3437" t="str">
        <f t="shared" si="171"/>
        <v/>
      </c>
      <c r="BS187" s="1771" t="str">
        <f t="shared" si="171"/>
        <v/>
      </c>
      <c r="BT187" s="1771" t="str">
        <f t="shared" si="171"/>
        <v/>
      </c>
      <c r="BU187" s="3442" t="str">
        <f t="shared" si="171"/>
        <v/>
      </c>
      <c r="BV187" s="1771" t="str">
        <f t="shared" si="171"/>
        <v/>
      </c>
      <c r="BW187" s="3442" t="str">
        <f t="shared" si="171"/>
        <v/>
      </c>
      <c r="BX187" s="3462"/>
      <c r="BY187" s="3439" t="str">
        <f>IF(L187=L319,"stop","")</f>
        <v/>
      </c>
      <c r="BZ187" s="3437" t="str">
        <f t="shared" si="172"/>
        <v/>
      </c>
      <c r="CA187" s="1771" t="str">
        <f t="shared" si="172"/>
        <v/>
      </c>
      <c r="CB187" s="1771" t="str">
        <f t="shared" si="172"/>
        <v/>
      </c>
      <c r="CC187" s="3442" t="str">
        <f t="shared" si="172"/>
        <v/>
      </c>
      <c r="CD187" s="1771" t="str">
        <f t="shared" si="172"/>
        <v/>
      </c>
      <c r="CE187" s="3437" t="str">
        <f t="shared" si="172"/>
        <v/>
      </c>
      <c r="CF187" s="1771">
        <f t="shared" si="172"/>
        <v>0.14499999999999999</v>
      </c>
      <c r="CG187" s="1771" t="str">
        <f t="shared" si="172"/>
        <v/>
      </c>
      <c r="CH187" s="3437" t="str">
        <f t="shared" si="172"/>
        <v/>
      </c>
      <c r="CI187" s="1771" t="str">
        <f t="shared" si="172"/>
        <v/>
      </c>
      <c r="CJ187" s="1771" t="str">
        <f t="shared" si="172"/>
        <v/>
      </c>
      <c r="CK187" s="3442" t="str">
        <f t="shared" si="172"/>
        <v/>
      </c>
      <c r="CL187" s="3437" t="str">
        <f t="shared" si="173"/>
        <v/>
      </c>
      <c r="CM187" s="1771" t="str">
        <f t="shared" si="173"/>
        <v/>
      </c>
      <c r="CN187" s="1771" t="str">
        <f t="shared" si="173"/>
        <v/>
      </c>
      <c r="CO187" s="3442" t="str">
        <f t="shared" si="173"/>
        <v/>
      </c>
      <c r="CP187" s="1771" t="str">
        <f t="shared" si="173"/>
        <v/>
      </c>
      <c r="CQ187" s="3442" t="str">
        <f t="shared" si="173"/>
        <v/>
      </c>
      <c r="CR187" s="3462"/>
    </row>
    <row r="188" spans="1:96" s="3" customFormat="1">
      <c r="A188" s="1848" t="s">
        <v>814</v>
      </c>
      <c r="B188" s="816">
        <v>9</v>
      </c>
      <c r="C188" s="816">
        <v>7.87</v>
      </c>
      <c r="D188" s="816">
        <v>0.17</v>
      </c>
      <c r="E188" s="1802" t="s">
        <v>35</v>
      </c>
      <c r="F188" s="816">
        <v>5.89</v>
      </c>
      <c r="G188" s="816" t="s">
        <v>784</v>
      </c>
      <c r="H188" s="816">
        <v>1988</v>
      </c>
      <c r="I188" s="50"/>
      <c r="J188" s="816">
        <f t="shared" si="128"/>
        <v>7.87</v>
      </c>
      <c r="K188" s="816">
        <v>0.17</v>
      </c>
      <c r="L188" s="816" t="s">
        <v>35</v>
      </c>
      <c r="M188" s="816">
        <v>5.89</v>
      </c>
      <c r="N188" s="845">
        <f t="shared" si="151"/>
        <v>1.000649788887201</v>
      </c>
      <c r="O188" s="1831">
        <f t="shared" si="152"/>
        <v>3.03</v>
      </c>
      <c r="P188" s="825" t="s">
        <v>1087</v>
      </c>
      <c r="Q188" s="3" t="str">
        <f>IF(J188=J319,"stop","")</f>
        <v/>
      </c>
      <c r="R188" s="3437" t="str">
        <f t="shared" si="174"/>
        <v/>
      </c>
      <c r="S188" s="1771" t="str">
        <f t="shared" si="174"/>
        <v/>
      </c>
      <c r="T188" s="1771" t="str">
        <f t="shared" si="174"/>
        <v/>
      </c>
      <c r="U188" s="1771" t="str">
        <f t="shared" si="174"/>
        <v/>
      </c>
      <c r="V188" s="3443" t="str">
        <f t="shared" si="174"/>
        <v/>
      </c>
      <c r="W188" s="1771" t="str">
        <f t="shared" si="174"/>
        <v/>
      </c>
      <c r="X188" s="1771">
        <f t="shared" si="174"/>
        <v>0.17</v>
      </c>
      <c r="Y188" s="1771" t="str">
        <f t="shared" si="174"/>
        <v/>
      </c>
      <c r="Z188" s="3437" t="str">
        <f t="shared" si="174"/>
        <v/>
      </c>
      <c r="AA188" s="1771" t="str">
        <f t="shared" si="174"/>
        <v/>
      </c>
      <c r="AB188" s="1771" t="str">
        <f t="shared" si="174"/>
        <v/>
      </c>
      <c r="AC188" s="3442" t="str">
        <f t="shared" si="174"/>
        <v/>
      </c>
      <c r="AD188" s="1771" t="str">
        <f t="shared" si="174"/>
        <v/>
      </c>
      <c r="AE188" s="1771" t="str">
        <f t="shared" si="174"/>
        <v/>
      </c>
      <c r="AF188" s="1771" t="str">
        <f t="shared" si="174"/>
        <v/>
      </c>
      <c r="AG188" s="3442" t="str">
        <f t="shared" si="174"/>
        <v/>
      </c>
      <c r="AH188" s="1771" t="str">
        <f t="shared" si="161"/>
        <v/>
      </c>
      <c r="AI188" s="3442" t="str">
        <f t="shared" si="161"/>
        <v/>
      </c>
      <c r="AJ188" s="3462"/>
      <c r="AK188" s="3439" t="str">
        <f>IF(J188=J319,"stop","")</f>
        <v/>
      </c>
      <c r="AL188" s="3437" t="str">
        <f t="shared" si="168"/>
        <v/>
      </c>
      <c r="AM188" s="1771" t="str">
        <f t="shared" si="168"/>
        <v/>
      </c>
      <c r="AN188" s="1771" t="str">
        <f t="shared" si="168"/>
        <v/>
      </c>
      <c r="AO188" s="1771" t="str">
        <f t="shared" si="168"/>
        <v/>
      </c>
      <c r="AP188" s="3443" t="str">
        <f t="shared" si="168"/>
        <v/>
      </c>
      <c r="AQ188" s="1771" t="str">
        <f t="shared" si="168"/>
        <v/>
      </c>
      <c r="AR188" s="1771">
        <f t="shared" si="168"/>
        <v>5.89</v>
      </c>
      <c r="AS188" s="3442" t="str">
        <f t="shared" si="168"/>
        <v/>
      </c>
      <c r="AT188" s="1771" t="str">
        <f t="shared" si="168"/>
        <v/>
      </c>
      <c r="AU188" s="1771" t="str">
        <f t="shared" si="168"/>
        <v/>
      </c>
      <c r="AV188" s="1771" t="str">
        <f t="shared" si="168"/>
        <v/>
      </c>
      <c r="AW188" s="3442" t="str">
        <f t="shared" si="168"/>
        <v/>
      </c>
      <c r="AX188" s="1771" t="str">
        <f t="shared" si="169"/>
        <v/>
      </c>
      <c r="AY188" s="1771" t="str">
        <f t="shared" si="169"/>
        <v/>
      </c>
      <c r="AZ188" s="1771" t="str">
        <f t="shared" si="169"/>
        <v/>
      </c>
      <c r="BA188" s="1771" t="str">
        <f t="shared" si="169"/>
        <v/>
      </c>
      <c r="BB188" s="3437" t="str">
        <f t="shared" si="169"/>
        <v/>
      </c>
      <c r="BC188" s="3443" t="str">
        <f t="shared" si="169"/>
        <v/>
      </c>
      <c r="BD188" s="3462"/>
      <c r="BE188" s="3440" t="str">
        <f>IF(J188=J319,"stop","")</f>
        <v/>
      </c>
      <c r="BF188" s="1771" t="str">
        <f t="shared" si="170"/>
        <v/>
      </c>
      <c r="BG188" s="1771" t="str">
        <f t="shared" si="170"/>
        <v/>
      </c>
      <c r="BH188" s="1771" t="str">
        <f t="shared" si="170"/>
        <v/>
      </c>
      <c r="BI188" s="1771" t="str">
        <f t="shared" si="170"/>
        <v/>
      </c>
      <c r="BJ188" s="3443" t="str">
        <f t="shared" si="170"/>
        <v/>
      </c>
      <c r="BK188" s="3437" t="str">
        <f t="shared" si="170"/>
        <v/>
      </c>
      <c r="BL188" s="1771">
        <f t="shared" si="170"/>
        <v>1.000649788887201</v>
      </c>
      <c r="BM188" s="3442" t="str">
        <f t="shared" si="170"/>
        <v/>
      </c>
      <c r="BN188" s="1771" t="str">
        <f t="shared" si="170"/>
        <v/>
      </c>
      <c r="BO188" s="1771" t="str">
        <f t="shared" si="170"/>
        <v/>
      </c>
      <c r="BP188" s="1771" t="str">
        <f t="shared" si="170"/>
        <v/>
      </c>
      <c r="BQ188" s="1771" t="str">
        <f t="shared" si="170"/>
        <v/>
      </c>
      <c r="BR188" s="3437" t="str">
        <f t="shared" si="171"/>
        <v/>
      </c>
      <c r="BS188" s="1771" t="str">
        <f t="shared" si="171"/>
        <v/>
      </c>
      <c r="BT188" s="1771" t="str">
        <f t="shared" si="171"/>
        <v/>
      </c>
      <c r="BU188" s="3442" t="str">
        <f t="shared" si="171"/>
        <v/>
      </c>
      <c r="BV188" s="1771" t="str">
        <f t="shared" si="171"/>
        <v/>
      </c>
      <c r="BW188" s="3442" t="str">
        <f t="shared" si="171"/>
        <v/>
      </c>
      <c r="BX188" s="3462"/>
      <c r="BY188" s="3439" t="str">
        <f>IF(L188=L319,"stop","")</f>
        <v/>
      </c>
      <c r="BZ188" s="3437" t="str">
        <f t="shared" si="172"/>
        <v/>
      </c>
      <c r="CA188" s="1771" t="str">
        <f t="shared" si="172"/>
        <v/>
      </c>
      <c r="CB188" s="1771" t="str">
        <f t="shared" si="172"/>
        <v/>
      </c>
      <c r="CC188" s="3442" t="str">
        <f t="shared" si="172"/>
        <v/>
      </c>
      <c r="CD188" s="1771" t="str">
        <f t="shared" si="172"/>
        <v/>
      </c>
      <c r="CE188" s="3437" t="str">
        <f t="shared" si="172"/>
        <v/>
      </c>
      <c r="CF188" s="1771">
        <f t="shared" si="172"/>
        <v>3.03</v>
      </c>
      <c r="CG188" s="1771" t="str">
        <f t="shared" si="172"/>
        <v/>
      </c>
      <c r="CH188" s="3437" t="str">
        <f t="shared" si="172"/>
        <v/>
      </c>
      <c r="CI188" s="1771" t="str">
        <f t="shared" si="172"/>
        <v/>
      </c>
      <c r="CJ188" s="1771" t="str">
        <f t="shared" si="172"/>
        <v/>
      </c>
      <c r="CK188" s="3442" t="str">
        <f t="shared" si="172"/>
        <v/>
      </c>
      <c r="CL188" s="3437" t="str">
        <f t="shared" si="173"/>
        <v/>
      </c>
      <c r="CM188" s="1771" t="str">
        <f t="shared" si="173"/>
        <v/>
      </c>
      <c r="CN188" s="1771" t="str">
        <f t="shared" si="173"/>
        <v/>
      </c>
      <c r="CO188" s="3442" t="str">
        <f t="shared" si="173"/>
        <v/>
      </c>
      <c r="CP188" s="1771" t="str">
        <f t="shared" si="173"/>
        <v/>
      </c>
      <c r="CQ188" s="3442" t="str">
        <f t="shared" si="173"/>
        <v/>
      </c>
      <c r="CR188" s="3462"/>
    </row>
    <row r="189" spans="1:96" s="3" customFormat="1">
      <c r="A189" s="1848" t="s">
        <v>815</v>
      </c>
      <c r="B189" s="816">
        <v>9</v>
      </c>
      <c r="C189" s="816"/>
      <c r="D189" s="816">
        <v>0.05</v>
      </c>
      <c r="E189" s="1802" t="s">
        <v>35</v>
      </c>
      <c r="F189" s="816">
        <v>0.12</v>
      </c>
      <c r="G189" s="816" t="s">
        <v>784</v>
      </c>
      <c r="H189" s="816">
        <v>1988</v>
      </c>
      <c r="I189" s="50"/>
      <c r="J189" s="818">
        <f>J191</f>
        <v>8.07</v>
      </c>
      <c r="K189" s="816">
        <v>0.05</v>
      </c>
      <c r="L189" s="816" t="s">
        <v>35</v>
      </c>
      <c r="M189" s="816">
        <v>0.12</v>
      </c>
      <c r="N189" s="845">
        <f t="shared" si="151"/>
        <v>7.7459666924148338E-2</v>
      </c>
      <c r="O189" s="1831">
        <f t="shared" si="152"/>
        <v>8.4999999999999992E-2</v>
      </c>
      <c r="P189" s="825" t="s">
        <v>1087</v>
      </c>
      <c r="Q189" s="3" t="str">
        <f>IF(J189=J319,"stop","")</f>
        <v/>
      </c>
      <c r="R189" s="3437" t="str">
        <f t="shared" si="174"/>
        <v/>
      </c>
      <c r="S189" s="1771" t="str">
        <f t="shared" si="174"/>
        <v/>
      </c>
      <c r="T189" s="1771" t="str">
        <f t="shared" si="174"/>
        <v/>
      </c>
      <c r="U189" s="1771" t="str">
        <f t="shared" si="174"/>
        <v/>
      </c>
      <c r="V189" s="3443" t="str">
        <f t="shared" si="174"/>
        <v/>
      </c>
      <c r="W189" s="1771" t="str">
        <f t="shared" si="174"/>
        <v/>
      </c>
      <c r="X189" s="1771" t="str">
        <f t="shared" si="174"/>
        <v/>
      </c>
      <c r="Y189" s="1771">
        <f t="shared" si="174"/>
        <v>0.05</v>
      </c>
      <c r="Z189" s="3437" t="str">
        <f t="shared" si="174"/>
        <v/>
      </c>
      <c r="AA189" s="1771" t="str">
        <f t="shared" si="174"/>
        <v/>
      </c>
      <c r="AB189" s="1771" t="str">
        <f t="shared" si="174"/>
        <v/>
      </c>
      <c r="AC189" s="3442" t="str">
        <f t="shared" si="174"/>
        <v/>
      </c>
      <c r="AD189" s="1771" t="str">
        <f t="shared" si="174"/>
        <v/>
      </c>
      <c r="AE189" s="1771" t="str">
        <f t="shared" si="174"/>
        <v/>
      </c>
      <c r="AF189" s="1771" t="str">
        <f t="shared" si="174"/>
        <v/>
      </c>
      <c r="AG189" s="3442" t="str">
        <f t="shared" si="174"/>
        <v/>
      </c>
      <c r="AH189" s="1771" t="str">
        <f t="shared" si="161"/>
        <v/>
      </c>
      <c r="AI189" s="3442" t="str">
        <f t="shared" si="161"/>
        <v/>
      </c>
      <c r="AJ189" s="3462"/>
      <c r="AK189" s="3439" t="str">
        <f>IF(J189=J319,"stop","")</f>
        <v/>
      </c>
      <c r="AL189" s="3437" t="str">
        <f t="shared" si="168"/>
        <v/>
      </c>
      <c r="AM189" s="1771" t="str">
        <f t="shared" si="168"/>
        <v/>
      </c>
      <c r="AN189" s="1771" t="str">
        <f t="shared" si="168"/>
        <v/>
      </c>
      <c r="AO189" s="1771" t="str">
        <f t="shared" si="168"/>
        <v/>
      </c>
      <c r="AP189" s="3443" t="str">
        <f t="shared" si="168"/>
        <v/>
      </c>
      <c r="AQ189" s="1771" t="str">
        <f t="shared" si="168"/>
        <v/>
      </c>
      <c r="AR189" s="1771" t="str">
        <f t="shared" si="168"/>
        <v/>
      </c>
      <c r="AS189" s="3442">
        <f t="shared" si="168"/>
        <v>0.12</v>
      </c>
      <c r="AT189" s="1771" t="str">
        <f t="shared" si="168"/>
        <v/>
      </c>
      <c r="AU189" s="1771" t="str">
        <f t="shared" si="168"/>
        <v/>
      </c>
      <c r="AV189" s="1771" t="str">
        <f t="shared" si="168"/>
        <v/>
      </c>
      <c r="AW189" s="3442" t="str">
        <f t="shared" si="168"/>
        <v/>
      </c>
      <c r="AX189" s="1771" t="str">
        <f t="shared" si="169"/>
        <v/>
      </c>
      <c r="AY189" s="1771" t="str">
        <f t="shared" si="169"/>
        <v/>
      </c>
      <c r="AZ189" s="1771" t="str">
        <f t="shared" si="169"/>
        <v/>
      </c>
      <c r="BA189" s="1771" t="str">
        <f t="shared" si="169"/>
        <v/>
      </c>
      <c r="BB189" s="3437" t="str">
        <f t="shared" si="169"/>
        <v/>
      </c>
      <c r="BC189" s="3443" t="str">
        <f t="shared" si="169"/>
        <v/>
      </c>
      <c r="BD189" s="3462"/>
      <c r="BE189" s="3440" t="str">
        <f>IF(J189=J319,"stop","")</f>
        <v/>
      </c>
      <c r="BF189" s="1771" t="str">
        <f t="shared" si="170"/>
        <v/>
      </c>
      <c r="BG189" s="1771" t="str">
        <f t="shared" si="170"/>
        <v/>
      </c>
      <c r="BH189" s="1771" t="str">
        <f t="shared" si="170"/>
        <v/>
      </c>
      <c r="BI189" s="1771" t="str">
        <f t="shared" si="170"/>
        <v/>
      </c>
      <c r="BJ189" s="3443" t="str">
        <f t="shared" si="170"/>
        <v/>
      </c>
      <c r="BK189" s="3437" t="str">
        <f t="shared" si="170"/>
        <v/>
      </c>
      <c r="BL189" s="1771" t="str">
        <f t="shared" si="170"/>
        <v/>
      </c>
      <c r="BM189" s="3442">
        <f t="shared" si="170"/>
        <v>7.7459666924148338E-2</v>
      </c>
      <c r="BN189" s="1771" t="str">
        <f t="shared" si="170"/>
        <v/>
      </c>
      <c r="BO189" s="1771" t="str">
        <f t="shared" si="170"/>
        <v/>
      </c>
      <c r="BP189" s="1771" t="str">
        <f t="shared" si="170"/>
        <v/>
      </c>
      <c r="BQ189" s="1771" t="str">
        <f t="shared" si="170"/>
        <v/>
      </c>
      <c r="BR189" s="3437" t="str">
        <f t="shared" si="171"/>
        <v/>
      </c>
      <c r="BS189" s="1771" t="str">
        <f t="shared" si="171"/>
        <v/>
      </c>
      <c r="BT189" s="1771" t="str">
        <f t="shared" si="171"/>
        <v/>
      </c>
      <c r="BU189" s="3442" t="str">
        <f t="shared" si="171"/>
        <v/>
      </c>
      <c r="BV189" s="1771" t="str">
        <f t="shared" si="171"/>
        <v/>
      </c>
      <c r="BW189" s="3442" t="str">
        <f t="shared" si="171"/>
        <v/>
      </c>
      <c r="BX189" s="3462"/>
      <c r="BY189" s="3439" t="str">
        <f>IF(L189=L319,"stop","")</f>
        <v/>
      </c>
      <c r="BZ189" s="3437" t="str">
        <f t="shared" si="172"/>
        <v/>
      </c>
      <c r="CA189" s="1771" t="str">
        <f t="shared" si="172"/>
        <v/>
      </c>
      <c r="CB189" s="1771" t="str">
        <f t="shared" si="172"/>
        <v/>
      </c>
      <c r="CC189" s="3442" t="str">
        <f t="shared" si="172"/>
        <v/>
      </c>
      <c r="CD189" s="1771" t="str">
        <f t="shared" si="172"/>
        <v/>
      </c>
      <c r="CE189" s="3437" t="str">
        <f t="shared" si="172"/>
        <v/>
      </c>
      <c r="CF189" s="1771" t="str">
        <f t="shared" si="172"/>
        <v/>
      </c>
      <c r="CG189" s="1771">
        <f t="shared" si="172"/>
        <v>8.4999999999999992E-2</v>
      </c>
      <c r="CH189" s="3437" t="str">
        <f t="shared" si="172"/>
        <v/>
      </c>
      <c r="CI189" s="1771" t="str">
        <f t="shared" si="172"/>
        <v/>
      </c>
      <c r="CJ189" s="1771" t="str">
        <f t="shared" si="172"/>
        <v/>
      </c>
      <c r="CK189" s="3442" t="str">
        <f t="shared" si="172"/>
        <v/>
      </c>
      <c r="CL189" s="3437" t="str">
        <f t="shared" si="173"/>
        <v/>
      </c>
      <c r="CM189" s="1771" t="str">
        <f t="shared" si="173"/>
        <v/>
      </c>
      <c r="CN189" s="1771" t="str">
        <f t="shared" si="173"/>
        <v/>
      </c>
      <c r="CO189" s="3442" t="str">
        <f t="shared" si="173"/>
        <v/>
      </c>
      <c r="CP189" s="1771" t="str">
        <f t="shared" si="173"/>
        <v/>
      </c>
      <c r="CQ189" s="3442" t="str">
        <f t="shared" si="173"/>
        <v/>
      </c>
      <c r="CR189" s="3462"/>
    </row>
    <row r="190" spans="1:96" s="3" customFormat="1">
      <c r="A190" s="1848" t="s">
        <v>816</v>
      </c>
      <c r="B190" s="816">
        <v>9</v>
      </c>
      <c r="C190" s="816">
        <v>8.24</v>
      </c>
      <c r="D190" s="816">
        <v>0.05</v>
      </c>
      <c r="E190" s="1802" t="s">
        <v>35</v>
      </c>
      <c r="F190" s="816">
        <v>1.0900000000000001</v>
      </c>
      <c r="G190" s="816" t="s">
        <v>784</v>
      </c>
      <c r="H190" s="816">
        <v>1988</v>
      </c>
      <c r="I190" s="50"/>
      <c r="J190" s="816">
        <f t="shared" si="128"/>
        <v>8.24</v>
      </c>
      <c r="K190" s="816">
        <v>0.05</v>
      </c>
      <c r="L190" s="816" t="s">
        <v>35</v>
      </c>
      <c r="M190" s="816">
        <v>1.0900000000000001</v>
      </c>
      <c r="N190" s="845">
        <f t="shared" si="151"/>
        <v>0.23345235059857505</v>
      </c>
      <c r="O190" s="1831">
        <f t="shared" si="152"/>
        <v>0.57000000000000006</v>
      </c>
      <c r="P190" s="825" t="s">
        <v>1087</v>
      </c>
      <c r="Q190" s="3" t="str">
        <f>IF(J190=J319,"stop","")</f>
        <v/>
      </c>
      <c r="R190" s="3437" t="str">
        <f t="shared" si="174"/>
        <v/>
      </c>
      <c r="S190" s="1771" t="str">
        <f t="shared" si="174"/>
        <v/>
      </c>
      <c r="T190" s="1771" t="str">
        <f t="shared" si="174"/>
        <v/>
      </c>
      <c r="U190" s="1771" t="str">
        <f t="shared" si="174"/>
        <v/>
      </c>
      <c r="V190" s="3443" t="str">
        <f t="shared" si="174"/>
        <v/>
      </c>
      <c r="W190" s="1771" t="str">
        <f t="shared" si="174"/>
        <v/>
      </c>
      <c r="X190" s="1771" t="str">
        <f t="shared" si="174"/>
        <v/>
      </c>
      <c r="Y190" s="1771">
        <f t="shared" si="174"/>
        <v>0.05</v>
      </c>
      <c r="Z190" s="3437" t="str">
        <f t="shared" si="174"/>
        <v/>
      </c>
      <c r="AA190" s="1771" t="str">
        <f t="shared" si="174"/>
        <v/>
      </c>
      <c r="AB190" s="1771" t="str">
        <f t="shared" si="174"/>
        <v/>
      </c>
      <c r="AC190" s="3442" t="str">
        <f t="shared" si="174"/>
        <v/>
      </c>
      <c r="AD190" s="1771" t="str">
        <f t="shared" si="174"/>
        <v/>
      </c>
      <c r="AE190" s="1771" t="str">
        <f t="shared" si="174"/>
        <v/>
      </c>
      <c r="AF190" s="1771" t="str">
        <f t="shared" si="174"/>
        <v/>
      </c>
      <c r="AG190" s="3442" t="str">
        <f t="shared" si="174"/>
        <v/>
      </c>
      <c r="AH190" s="1771" t="str">
        <f t="shared" ref="AH190:AI209" si="175">IF(AND($J190&gt;AH$4,$J190&lt;=AH$5,$P190=AH$6),$K190,"")</f>
        <v/>
      </c>
      <c r="AI190" s="3442" t="str">
        <f t="shared" si="175"/>
        <v/>
      </c>
      <c r="AJ190" s="3462"/>
      <c r="AK190" s="3439" t="str">
        <f>IF(J190=J319,"stop","")</f>
        <v/>
      </c>
      <c r="AL190" s="3437" t="str">
        <f t="shared" si="168"/>
        <v/>
      </c>
      <c r="AM190" s="1771" t="str">
        <f t="shared" si="168"/>
        <v/>
      </c>
      <c r="AN190" s="1771" t="str">
        <f t="shared" si="168"/>
        <v/>
      </c>
      <c r="AO190" s="1771" t="str">
        <f t="shared" si="168"/>
        <v/>
      </c>
      <c r="AP190" s="3443" t="str">
        <f t="shared" si="168"/>
        <v/>
      </c>
      <c r="AQ190" s="1771" t="str">
        <f t="shared" si="168"/>
        <v/>
      </c>
      <c r="AR190" s="1771" t="str">
        <f t="shared" si="168"/>
        <v/>
      </c>
      <c r="AS190" s="3442">
        <f t="shared" si="168"/>
        <v>1.0900000000000001</v>
      </c>
      <c r="AT190" s="1771" t="str">
        <f t="shared" si="168"/>
        <v/>
      </c>
      <c r="AU190" s="1771" t="str">
        <f t="shared" si="168"/>
        <v/>
      </c>
      <c r="AV190" s="1771" t="str">
        <f t="shared" si="168"/>
        <v/>
      </c>
      <c r="AW190" s="3442" t="str">
        <f t="shared" si="168"/>
        <v/>
      </c>
      <c r="AX190" s="1771" t="str">
        <f t="shared" si="169"/>
        <v/>
      </c>
      <c r="AY190" s="1771" t="str">
        <f t="shared" si="169"/>
        <v/>
      </c>
      <c r="AZ190" s="1771" t="str">
        <f t="shared" si="169"/>
        <v/>
      </c>
      <c r="BA190" s="1771" t="str">
        <f t="shared" si="169"/>
        <v/>
      </c>
      <c r="BB190" s="3437" t="str">
        <f t="shared" si="169"/>
        <v/>
      </c>
      <c r="BC190" s="3443" t="str">
        <f t="shared" si="169"/>
        <v/>
      </c>
      <c r="BD190" s="3462"/>
      <c r="BE190" s="3440" t="str">
        <f>IF(J190=J319,"stop","")</f>
        <v/>
      </c>
      <c r="BF190" s="1771" t="str">
        <f t="shared" si="170"/>
        <v/>
      </c>
      <c r="BG190" s="1771" t="str">
        <f t="shared" si="170"/>
        <v/>
      </c>
      <c r="BH190" s="1771" t="str">
        <f t="shared" si="170"/>
        <v/>
      </c>
      <c r="BI190" s="1771" t="str">
        <f t="shared" si="170"/>
        <v/>
      </c>
      <c r="BJ190" s="3443" t="str">
        <f t="shared" si="170"/>
        <v/>
      </c>
      <c r="BK190" s="3437" t="str">
        <f t="shared" si="170"/>
        <v/>
      </c>
      <c r="BL190" s="1771" t="str">
        <f t="shared" si="170"/>
        <v/>
      </c>
      <c r="BM190" s="3442">
        <f t="shared" si="170"/>
        <v>0.23345235059857505</v>
      </c>
      <c r="BN190" s="1771" t="str">
        <f t="shared" si="170"/>
        <v/>
      </c>
      <c r="BO190" s="1771" t="str">
        <f t="shared" si="170"/>
        <v/>
      </c>
      <c r="BP190" s="1771" t="str">
        <f t="shared" si="170"/>
        <v/>
      </c>
      <c r="BQ190" s="1771" t="str">
        <f t="shared" si="170"/>
        <v/>
      </c>
      <c r="BR190" s="3437" t="str">
        <f t="shared" si="171"/>
        <v/>
      </c>
      <c r="BS190" s="1771" t="str">
        <f t="shared" si="171"/>
        <v/>
      </c>
      <c r="BT190" s="1771" t="str">
        <f t="shared" si="171"/>
        <v/>
      </c>
      <c r="BU190" s="3442" t="str">
        <f t="shared" si="171"/>
        <v/>
      </c>
      <c r="BV190" s="1771" t="str">
        <f t="shared" si="171"/>
        <v/>
      </c>
      <c r="BW190" s="3442" t="str">
        <f t="shared" si="171"/>
        <v/>
      </c>
      <c r="BX190" s="3462"/>
      <c r="BY190" s="3439" t="str">
        <f>IF(L190=L319,"stop","")</f>
        <v/>
      </c>
      <c r="BZ190" s="3437" t="str">
        <f t="shared" si="172"/>
        <v/>
      </c>
      <c r="CA190" s="1771" t="str">
        <f t="shared" si="172"/>
        <v/>
      </c>
      <c r="CB190" s="1771" t="str">
        <f t="shared" si="172"/>
        <v/>
      </c>
      <c r="CC190" s="3442" t="str">
        <f t="shared" si="172"/>
        <v/>
      </c>
      <c r="CD190" s="1771" t="str">
        <f t="shared" si="172"/>
        <v/>
      </c>
      <c r="CE190" s="3437" t="str">
        <f t="shared" si="172"/>
        <v/>
      </c>
      <c r="CF190" s="1771" t="str">
        <f t="shared" si="172"/>
        <v/>
      </c>
      <c r="CG190" s="1771">
        <f t="shared" si="172"/>
        <v>0.57000000000000006</v>
      </c>
      <c r="CH190" s="3437" t="str">
        <f t="shared" si="172"/>
        <v/>
      </c>
      <c r="CI190" s="1771" t="str">
        <f t="shared" si="172"/>
        <v/>
      </c>
      <c r="CJ190" s="1771" t="str">
        <f t="shared" si="172"/>
        <v/>
      </c>
      <c r="CK190" s="3442" t="str">
        <f t="shared" si="172"/>
        <v/>
      </c>
      <c r="CL190" s="3437" t="str">
        <f t="shared" si="173"/>
        <v/>
      </c>
      <c r="CM190" s="1771" t="str">
        <f t="shared" si="173"/>
        <v/>
      </c>
      <c r="CN190" s="1771" t="str">
        <f t="shared" si="173"/>
        <v/>
      </c>
      <c r="CO190" s="3442" t="str">
        <f t="shared" si="173"/>
        <v/>
      </c>
      <c r="CP190" s="1771" t="str">
        <f t="shared" si="173"/>
        <v/>
      </c>
      <c r="CQ190" s="3442" t="str">
        <f t="shared" si="173"/>
        <v/>
      </c>
      <c r="CR190" s="3462"/>
    </row>
    <row r="191" spans="1:96" s="3" customFormat="1">
      <c r="A191" s="1848" t="s">
        <v>817</v>
      </c>
      <c r="B191" s="816">
        <v>9</v>
      </c>
      <c r="C191" s="816">
        <v>8.07</v>
      </c>
      <c r="D191" s="816">
        <v>0.02</v>
      </c>
      <c r="E191" s="1802" t="s">
        <v>35</v>
      </c>
      <c r="F191" s="816">
        <v>0.16</v>
      </c>
      <c r="G191" s="816" t="s">
        <v>784</v>
      </c>
      <c r="H191" s="816">
        <v>1988</v>
      </c>
      <c r="I191" s="50"/>
      <c r="J191" s="816">
        <f t="shared" si="128"/>
        <v>8.07</v>
      </c>
      <c r="K191" s="816">
        <v>0.02</v>
      </c>
      <c r="L191" s="816" t="s">
        <v>35</v>
      </c>
      <c r="M191" s="816">
        <v>0.16</v>
      </c>
      <c r="N191" s="845">
        <f t="shared" si="151"/>
        <v>5.6568542494923803E-2</v>
      </c>
      <c r="O191" s="1831">
        <f t="shared" si="152"/>
        <v>0.09</v>
      </c>
      <c r="P191" s="825" t="s">
        <v>1087</v>
      </c>
      <c r="Q191" s="3" t="str">
        <f>IF(J191=J319,"stop","")</f>
        <v/>
      </c>
      <c r="R191" s="3437" t="str">
        <f t="shared" si="174"/>
        <v/>
      </c>
      <c r="S191" s="1771" t="str">
        <f t="shared" si="174"/>
        <v/>
      </c>
      <c r="T191" s="1771" t="str">
        <f t="shared" si="174"/>
        <v/>
      </c>
      <c r="U191" s="1771" t="str">
        <f t="shared" si="174"/>
        <v/>
      </c>
      <c r="V191" s="3443" t="str">
        <f t="shared" si="174"/>
        <v/>
      </c>
      <c r="W191" s="1771" t="str">
        <f t="shared" si="174"/>
        <v/>
      </c>
      <c r="X191" s="1771" t="str">
        <f t="shared" si="174"/>
        <v/>
      </c>
      <c r="Y191" s="1771">
        <f t="shared" si="174"/>
        <v>0.02</v>
      </c>
      <c r="Z191" s="3437" t="str">
        <f t="shared" si="174"/>
        <v/>
      </c>
      <c r="AA191" s="1771" t="str">
        <f t="shared" si="174"/>
        <v/>
      </c>
      <c r="AB191" s="1771" t="str">
        <f t="shared" si="174"/>
        <v/>
      </c>
      <c r="AC191" s="3442" t="str">
        <f t="shared" si="174"/>
        <v/>
      </c>
      <c r="AD191" s="1771" t="str">
        <f t="shared" si="174"/>
        <v/>
      </c>
      <c r="AE191" s="1771" t="str">
        <f t="shared" si="174"/>
        <v/>
      </c>
      <c r="AF191" s="1771" t="str">
        <f t="shared" si="174"/>
        <v/>
      </c>
      <c r="AG191" s="3442" t="str">
        <f t="shared" si="174"/>
        <v/>
      </c>
      <c r="AH191" s="1771" t="str">
        <f t="shared" si="175"/>
        <v/>
      </c>
      <c r="AI191" s="3442" t="str">
        <f t="shared" si="175"/>
        <v/>
      </c>
      <c r="AJ191" s="3462"/>
      <c r="AK191" s="3439" t="str">
        <f>IF(J191=J319,"stop","")</f>
        <v/>
      </c>
      <c r="AL191" s="3437" t="str">
        <f t="shared" ref="AL191:AW200" si="176">IF(AND($J191&gt;AL$4,$J191&lt;=AL$5,$P191=AL$6),$M191,"")</f>
        <v/>
      </c>
      <c r="AM191" s="1771" t="str">
        <f t="shared" si="176"/>
        <v/>
      </c>
      <c r="AN191" s="1771" t="str">
        <f t="shared" si="176"/>
        <v/>
      </c>
      <c r="AO191" s="1771" t="str">
        <f t="shared" si="176"/>
        <v/>
      </c>
      <c r="AP191" s="3443" t="str">
        <f t="shared" si="176"/>
        <v/>
      </c>
      <c r="AQ191" s="1771" t="str">
        <f t="shared" si="176"/>
        <v/>
      </c>
      <c r="AR191" s="1771" t="str">
        <f t="shared" si="176"/>
        <v/>
      </c>
      <c r="AS191" s="3442">
        <f t="shared" si="176"/>
        <v>0.16</v>
      </c>
      <c r="AT191" s="1771" t="str">
        <f t="shared" si="176"/>
        <v/>
      </c>
      <c r="AU191" s="1771" t="str">
        <f t="shared" si="176"/>
        <v/>
      </c>
      <c r="AV191" s="1771" t="str">
        <f t="shared" si="176"/>
        <v/>
      </c>
      <c r="AW191" s="3442" t="str">
        <f t="shared" si="176"/>
        <v/>
      </c>
      <c r="AX191" s="1771" t="str">
        <f t="shared" ref="AX191:BC200" si="177">IF(AND($J191&gt;AX$4,$J191&lt;=AX$5,$P191=AX$6),$M191,"")</f>
        <v/>
      </c>
      <c r="AY191" s="1771" t="str">
        <f t="shared" si="177"/>
        <v/>
      </c>
      <c r="AZ191" s="1771" t="str">
        <f t="shared" si="177"/>
        <v/>
      </c>
      <c r="BA191" s="1771" t="str">
        <f t="shared" si="177"/>
        <v/>
      </c>
      <c r="BB191" s="3437" t="str">
        <f t="shared" si="177"/>
        <v/>
      </c>
      <c r="BC191" s="3443" t="str">
        <f t="shared" si="177"/>
        <v/>
      </c>
      <c r="BD191" s="3462"/>
      <c r="BE191" s="3440" t="str">
        <f>IF(J191=J319,"stop","")</f>
        <v/>
      </c>
      <c r="BF191" s="1771" t="str">
        <f t="shared" ref="BF191:BQ200" si="178">IF(AND($J191&gt;BF$4,$J191&lt;=BF$5,$P191=BF$6),$N191,"")</f>
        <v/>
      </c>
      <c r="BG191" s="1771" t="str">
        <f t="shared" si="178"/>
        <v/>
      </c>
      <c r="BH191" s="1771" t="str">
        <f t="shared" si="178"/>
        <v/>
      </c>
      <c r="BI191" s="1771" t="str">
        <f t="shared" si="178"/>
        <v/>
      </c>
      <c r="BJ191" s="3443" t="str">
        <f t="shared" si="178"/>
        <v/>
      </c>
      <c r="BK191" s="3437" t="str">
        <f t="shared" si="178"/>
        <v/>
      </c>
      <c r="BL191" s="1771" t="str">
        <f t="shared" si="178"/>
        <v/>
      </c>
      <c r="BM191" s="3442">
        <f t="shared" si="178"/>
        <v>5.6568542494923803E-2</v>
      </c>
      <c r="BN191" s="1771" t="str">
        <f t="shared" si="178"/>
        <v/>
      </c>
      <c r="BO191" s="1771" t="str">
        <f t="shared" si="178"/>
        <v/>
      </c>
      <c r="BP191" s="1771" t="str">
        <f t="shared" si="178"/>
        <v/>
      </c>
      <c r="BQ191" s="1771" t="str">
        <f t="shared" si="178"/>
        <v/>
      </c>
      <c r="BR191" s="3437" t="str">
        <f t="shared" ref="BR191:BW200" si="179">IF(AND($J191&gt;BR$4,$J191&lt;=BR$5,$P191=BR$6),$N191,"")</f>
        <v/>
      </c>
      <c r="BS191" s="1771" t="str">
        <f t="shared" si="179"/>
        <v/>
      </c>
      <c r="BT191" s="1771" t="str">
        <f t="shared" si="179"/>
        <v/>
      </c>
      <c r="BU191" s="3442" t="str">
        <f t="shared" si="179"/>
        <v/>
      </c>
      <c r="BV191" s="1771" t="str">
        <f t="shared" si="179"/>
        <v/>
      </c>
      <c r="BW191" s="3442" t="str">
        <f t="shared" si="179"/>
        <v/>
      </c>
      <c r="BX191" s="3462"/>
      <c r="BY191" s="3439" t="str">
        <f>IF(L191=L319,"stop","")</f>
        <v/>
      </c>
      <c r="BZ191" s="3437" t="str">
        <f t="shared" ref="BZ191:CK200" si="180">IF(AND($J191&gt;BZ$4,$J191&lt;=BZ$5,$P191=BZ$6),$O191,"")</f>
        <v/>
      </c>
      <c r="CA191" s="1771" t="str">
        <f t="shared" si="180"/>
        <v/>
      </c>
      <c r="CB191" s="1771" t="str">
        <f t="shared" si="180"/>
        <v/>
      </c>
      <c r="CC191" s="3442" t="str">
        <f t="shared" si="180"/>
        <v/>
      </c>
      <c r="CD191" s="1771" t="str">
        <f t="shared" si="180"/>
        <v/>
      </c>
      <c r="CE191" s="3437" t="str">
        <f t="shared" si="180"/>
        <v/>
      </c>
      <c r="CF191" s="1771" t="str">
        <f t="shared" si="180"/>
        <v/>
      </c>
      <c r="CG191" s="1771">
        <f t="shared" si="180"/>
        <v>0.09</v>
      </c>
      <c r="CH191" s="3437" t="str">
        <f t="shared" si="180"/>
        <v/>
      </c>
      <c r="CI191" s="1771" t="str">
        <f t="shared" si="180"/>
        <v/>
      </c>
      <c r="CJ191" s="1771" t="str">
        <f t="shared" si="180"/>
        <v/>
      </c>
      <c r="CK191" s="3442" t="str">
        <f t="shared" si="180"/>
        <v/>
      </c>
      <c r="CL191" s="3437" t="str">
        <f t="shared" ref="CL191:CQ200" si="181">IF(AND($J191&gt;CL$4,$J191&lt;=CL$5,$P191=CL$6),$O191,"")</f>
        <v/>
      </c>
      <c r="CM191" s="1771" t="str">
        <f t="shared" si="181"/>
        <v/>
      </c>
      <c r="CN191" s="1771" t="str">
        <f t="shared" si="181"/>
        <v/>
      </c>
      <c r="CO191" s="3442" t="str">
        <f t="shared" si="181"/>
        <v/>
      </c>
      <c r="CP191" s="1771" t="str">
        <f t="shared" si="181"/>
        <v/>
      </c>
      <c r="CQ191" s="3442" t="str">
        <f t="shared" si="181"/>
        <v/>
      </c>
      <c r="CR191" s="3462"/>
    </row>
    <row r="192" spans="1:96" s="3" customFormat="1">
      <c r="A192" s="1848" t="s">
        <v>818</v>
      </c>
      <c r="B192" s="816">
        <v>8</v>
      </c>
      <c r="C192" s="816">
        <v>7.71</v>
      </c>
      <c r="D192" s="816">
        <v>0.48</v>
      </c>
      <c r="E192" s="1802" t="s">
        <v>35</v>
      </c>
      <c r="F192" s="816">
        <v>1.05</v>
      </c>
      <c r="G192" s="816" t="s">
        <v>784</v>
      </c>
      <c r="H192" s="816">
        <v>1988</v>
      </c>
      <c r="I192" s="50"/>
      <c r="J192" s="816">
        <f t="shared" si="128"/>
        <v>7.71</v>
      </c>
      <c r="K192" s="816">
        <v>0.48</v>
      </c>
      <c r="L192" s="816" t="s">
        <v>35</v>
      </c>
      <c r="M192" s="816">
        <v>1.05</v>
      </c>
      <c r="N192" s="845">
        <f t="shared" si="151"/>
        <v>0.70992957397195389</v>
      </c>
      <c r="O192" s="1831">
        <f t="shared" si="152"/>
        <v>0.76500000000000001</v>
      </c>
      <c r="P192" s="825" t="s">
        <v>1087</v>
      </c>
      <c r="Q192" s="3" t="str">
        <f>IF(J192=J319,"stop","")</f>
        <v/>
      </c>
      <c r="R192" s="3437" t="str">
        <f t="shared" si="174"/>
        <v/>
      </c>
      <c r="S192" s="1771" t="str">
        <f t="shared" si="174"/>
        <v/>
      </c>
      <c r="T192" s="1771" t="str">
        <f t="shared" si="174"/>
        <v/>
      </c>
      <c r="U192" s="1771" t="str">
        <f t="shared" si="174"/>
        <v/>
      </c>
      <c r="V192" s="3443" t="str">
        <f t="shared" si="174"/>
        <v/>
      </c>
      <c r="W192" s="1771" t="str">
        <f t="shared" si="174"/>
        <v/>
      </c>
      <c r="X192" s="1771">
        <f t="shared" si="174"/>
        <v>0.48</v>
      </c>
      <c r="Y192" s="1771" t="str">
        <f t="shared" si="174"/>
        <v/>
      </c>
      <c r="Z192" s="3437" t="str">
        <f t="shared" si="174"/>
        <v/>
      </c>
      <c r="AA192" s="1771" t="str">
        <f t="shared" si="174"/>
        <v/>
      </c>
      <c r="AB192" s="1771" t="str">
        <f t="shared" si="174"/>
        <v/>
      </c>
      <c r="AC192" s="3442" t="str">
        <f t="shared" si="174"/>
        <v/>
      </c>
      <c r="AD192" s="1771" t="str">
        <f t="shared" si="174"/>
        <v/>
      </c>
      <c r="AE192" s="1771" t="str">
        <f t="shared" si="174"/>
        <v/>
      </c>
      <c r="AF192" s="1771" t="str">
        <f t="shared" si="174"/>
        <v/>
      </c>
      <c r="AG192" s="3442" t="str">
        <f t="shared" si="174"/>
        <v/>
      </c>
      <c r="AH192" s="1771" t="str">
        <f t="shared" si="175"/>
        <v/>
      </c>
      <c r="AI192" s="3442" t="str">
        <f t="shared" si="175"/>
        <v/>
      </c>
      <c r="AJ192" s="3462"/>
      <c r="AK192" s="3439" t="str">
        <f>IF(J192=J319,"stop","")</f>
        <v/>
      </c>
      <c r="AL192" s="3437" t="str">
        <f t="shared" si="176"/>
        <v/>
      </c>
      <c r="AM192" s="1771" t="str">
        <f t="shared" si="176"/>
        <v/>
      </c>
      <c r="AN192" s="1771" t="str">
        <f t="shared" si="176"/>
        <v/>
      </c>
      <c r="AO192" s="1771" t="str">
        <f t="shared" si="176"/>
        <v/>
      </c>
      <c r="AP192" s="3443" t="str">
        <f t="shared" si="176"/>
        <v/>
      </c>
      <c r="AQ192" s="1771" t="str">
        <f t="shared" si="176"/>
        <v/>
      </c>
      <c r="AR192" s="1771">
        <f t="shared" si="176"/>
        <v>1.05</v>
      </c>
      <c r="AS192" s="3442" t="str">
        <f t="shared" si="176"/>
        <v/>
      </c>
      <c r="AT192" s="1771" t="str">
        <f t="shared" si="176"/>
        <v/>
      </c>
      <c r="AU192" s="1771" t="str">
        <f t="shared" si="176"/>
        <v/>
      </c>
      <c r="AV192" s="1771" t="str">
        <f t="shared" si="176"/>
        <v/>
      </c>
      <c r="AW192" s="3442" t="str">
        <f t="shared" si="176"/>
        <v/>
      </c>
      <c r="AX192" s="1771" t="str">
        <f t="shared" si="177"/>
        <v/>
      </c>
      <c r="AY192" s="1771" t="str">
        <f t="shared" si="177"/>
        <v/>
      </c>
      <c r="AZ192" s="1771" t="str">
        <f t="shared" si="177"/>
        <v/>
      </c>
      <c r="BA192" s="1771" t="str">
        <f t="shared" si="177"/>
        <v/>
      </c>
      <c r="BB192" s="3437" t="str">
        <f t="shared" si="177"/>
        <v/>
      </c>
      <c r="BC192" s="3443" t="str">
        <f t="shared" si="177"/>
        <v/>
      </c>
      <c r="BD192" s="3462"/>
      <c r="BE192" s="3440" t="str">
        <f>IF(J192=J319,"stop","")</f>
        <v/>
      </c>
      <c r="BF192" s="1771" t="str">
        <f t="shared" si="178"/>
        <v/>
      </c>
      <c r="BG192" s="1771" t="str">
        <f t="shared" si="178"/>
        <v/>
      </c>
      <c r="BH192" s="1771" t="str">
        <f t="shared" si="178"/>
        <v/>
      </c>
      <c r="BI192" s="1771" t="str">
        <f t="shared" si="178"/>
        <v/>
      </c>
      <c r="BJ192" s="3443" t="str">
        <f t="shared" si="178"/>
        <v/>
      </c>
      <c r="BK192" s="3437" t="str">
        <f t="shared" si="178"/>
        <v/>
      </c>
      <c r="BL192" s="1771">
        <f t="shared" si="178"/>
        <v>0.70992957397195389</v>
      </c>
      <c r="BM192" s="3442" t="str">
        <f t="shared" si="178"/>
        <v/>
      </c>
      <c r="BN192" s="1771" t="str">
        <f t="shared" si="178"/>
        <v/>
      </c>
      <c r="BO192" s="1771" t="str">
        <f t="shared" si="178"/>
        <v/>
      </c>
      <c r="BP192" s="1771" t="str">
        <f t="shared" si="178"/>
        <v/>
      </c>
      <c r="BQ192" s="1771" t="str">
        <f t="shared" si="178"/>
        <v/>
      </c>
      <c r="BR192" s="3437" t="str">
        <f t="shared" si="179"/>
        <v/>
      </c>
      <c r="BS192" s="1771" t="str">
        <f t="shared" si="179"/>
        <v/>
      </c>
      <c r="BT192" s="1771" t="str">
        <f t="shared" si="179"/>
        <v/>
      </c>
      <c r="BU192" s="3442" t="str">
        <f t="shared" si="179"/>
        <v/>
      </c>
      <c r="BV192" s="1771" t="str">
        <f t="shared" si="179"/>
        <v/>
      </c>
      <c r="BW192" s="3442" t="str">
        <f t="shared" si="179"/>
        <v/>
      </c>
      <c r="BX192" s="3462"/>
      <c r="BY192" s="3439" t="str">
        <f>IF(L192=L319,"stop","")</f>
        <v/>
      </c>
      <c r="BZ192" s="3437" t="str">
        <f t="shared" si="180"/>
        <v/>
      </c>
      <c r="CA192" s="1771" t="str">
        <f t="shared" si="180"/>
        <v/>
      </c>
      <c r="CB192" s="1771" t="str">
        <f t="shared" si="180"/>
        <v/>
      </c>
      <c r="CC192" s="3442" t="str">
        <f t="shared" si="180"/>
        <v/>
      </c>
      <c r="CD192" s="1771" t="str">
        <f t="shared" si="180"/>
        <v/>
      </c>
      <c r="CE192" s="3437" t="str">
        <f t="shared" si="180"/>
        <v/>
      </c>
      <c r="CF192" s="1771">
        <f t="shared" si="180"/>
        <v>0.76500000000000001</v>
      </c>
      <c r="CG192" s="1771" t="str">
        <f t="shared" si="180"/>
        <v/>
      </c>
      <c r="CH192" s="3437" t="str">
        <f t="shared" si="180"/>
        <v/>
      </c>
      <c r="CI192" s="1771" t="str">
        <f t="shared" si="180"/>
        <v/>
      </c>
      <c r="CJ192" s="1771" t="str">
        <f t="shared" si="180"/>
        <v/>
      </c>
      <c r="CK192" s="3442" t="str">
        <f t="shared" si="180"/>
        <v/>
      </c>
      <c r="CL192" s="3437" t="str">
        <f t="shared" si="181"/>
        <v/>
      </c>
      <c r="CM192" s="1771" t="str">
        <f t="shared" si="181"/>
        <v/>
      </c>
      <c r="CN192" s="1771" t="str">
        <f t="shared" si="181"/>
        <v/>
      </c>
      <c r="CO192" s="3442" t="str">
        <f t="shared" si="181"/>
        <v/>
      </c>
      <c r="CP192" s="1771" t="str">
        <f t="shared" si="181"/>
        <v/>
      </c>
      <c r="CQ192" s="3442" t="str">
        <f t="shared" si="181"/>
        <v/>
      </c>
      <c r="CR192" s="3462"/>
    </row>
    <row r="193" spans="1:96" s="3" customFormat="1">
      <c r="A193" s="1848" t="s">
        <v>819</v>
      </c>
      <c r="B193" s="816">
        <v>8</v>
      </c>
      <c r="C193" s="816">
        <v>7.78</v>
      </c>
      <c r="D193" s="816">
        <v>0.63</v>
      </c>
      <c r="E193" s="1802" t="s">
        <v>35</v>
      </c>
      <c r="F193" s="816">
        <v>1.54</v>
      </c>
      <c r="G193" s="816" t="s">
        <v>784</v>
      </c>
      <c r="H193" s="816">
        <v>1988</v>
      </c>
      <c r="I193" s="50"/>
      <c r="J193" s="816">
        <f t="shared" si="128"/>
        <v>7.78</v>
      </c>
      <c r="K193" s="816">
        <v>0.63</v>
      </c>
      <c r="L193" s="816" t="s">
        <v>35</v>
      </c>
      <c r="M193" s="816">
        <v>1.54</v>
      </c>
      <c r="N193" s="845">
        <f t="shared" si="151"/>
        <v>0.98498730956292024</v>
      </c>
      <c r="O193" s="1831">
        <f t="shared" si="152"/>
        <v>1.085</v>
      </c>
      <c r="P193" s="825" t="s">
        <v>1087</v>
      </c>
      <c r="Q193" s="3" t="str">
        <f>IF(J193=J319,"stop","")</f>
        <v/>
      </c>
      <c r="R193" s="3437" t="str">
        <f t="shared" si="174"/>
        <v/>
      </c>
      <c r="S193" s="1771" t="str">
        <f t="shared" si="174"/>
        <v/>
      </c>
      <c r="T193" s="1771" t="str">
        <f t="shared" si="174"/>
        <v/>
      </c>
      <c r="U193" s="1771" t="str">
        <f t="shared" si="174"/>
        <v/>
      </c>
      <c r="V193" s="3443" t="str">
        <f t="shared" si="174"/>
        <v/>
      </c>
      <c r="W193" s="1771" t="str">
        <f t="shared" si="174"/>
        <v/>
      </c>
      <c r="X193" s="1771">
        <f t="shared" si="174"/>
        <v>0.63</v>
      </c>
      <c r="Y193" s="1771" t="str">
        <f t="shared" si="174"/>
        <v/>
      </c>
      <c r="Z193" s="3437" t="str">
        <f t="shared" si="174"/>
        <v/>
      </c>
      <c r="AA193" s="1771" t="str">
        <f t="shared" si="174"/>
        <v/>
      </c>
      <c r="AB193" s="1771" t="str">
        <f t="shared" si="174"/>
        <v/>
      </c>
      <c r="AC193" s="3442" t="str">
        <f t="shared" si="174"/>
        <v/>
      </c>
      <c r="AD193" s="1771" t="str">
        <f t="shared" si="174"/>
        <v/>
      </c>
      <c r="AE193" s="1771" t="str">
        <f t="shared" si="174"/>
        <v/>
      </c>
      <c r="AF193" s="1771" t="str">
        <f t="shared" si="174"/>
        <v/>
      </c>
      <c r="AG193" s="3442" t="str">
        <f t="shared" si="174"/>
        <v/>
      </c>
      <c r="AH193" s="1771" t="str">
        <f t="shared" si="175"/>
        <v/>
      </c>
      <c r="AI193" s="3442" t="str">
        <f t="shared" si="175"/>
        <v/>
      </c>
      <c r="AJ193" s="3462"/>
      <c r="AK193" s="3439" t="str">
        <f>IF(J193=J319,"stop","")</f>
        <v/>
      </c>
      <c r="AL193" s="3437" t="str">
        <f t="shared" si="176"/>
        <v/>
      </c>
      <c r="AM193" s="1771" t="str">
        <f t="shared" si="176"/>
        <v/>
      </c>
      <c r="AN193" s="1771" t="str">
        <f t="shared" si="176"/>
        <v/>
      </c>
      <c r="AO193" s="1771" t="str">
        <f t="shared" si="176"/>
        <v/>
      </c>
      <c r="AP193" s="3443" t="str">
        <f t="shared" si="176"/>
        <v/>
      </c>
      <c r="AQ193" s="1771" t="str">
        <f t="shared" si="176"/>
        <v/>
      </c>
      <c r="AR193" s="1771">
        <f t="shared" si="176"/>
        <v>1.54</v>
      </c>
      <c r="AS193" s="3442" t="str">
        <f t="shared" si="176"/>
        <v/>
      </c>
      <c r="AT193" s="1771" t="str">
        <f t="shared" si="176"/>
        <v/>
      </c>
      <c r="AU193" s="1771" t="str">
        <f t="shared" si="176"/>
        <v/>
      </c>
      <c r="AV193" s="1771" t="str">
        <f t="shared" si="176"/>
        <v/>
      </c>
      <c r="AW193" s="3442" t="str">
        <f t="shared" si="176"/>
        <v/>
      </c>
      <c r="AX193" s="1771" t="str">
        <f t="shared" si="177"/>
        <v/>
      </c>
      <c r="AY193" s="1771" t="str">
        <f t="shared" si="177"/>
        <v/>
      </c>
      <c r="AZ193" s="1771" t="str">
        <f t="shared" si="177"/>
        <v/>
      </c>
      <c r="BA193" s="1771" t="str">
        <f t="shared" si="177"/>
        <v/>
      </c>
      <c r="BB193" s="3437" t="str">
        <f t="shared" si="177"/>
        <v/>
      </c>
      <c r="BC193" s="3443" t="str">
        <f t="shared" si="177"/>
        <v/>
      </c>
      <c r="BD193" s="3462"/>
      <c r="BE193" s="3440" t="str">
        <f>IF(J193=J319,"stop","")</f>
        <v/>
      </c>
      <c r="BF193" s="1771" t="str">
        <f t="shared" si="178"/>
        <v/>
      </c>
      <c r="BG193" s="1771" t="str">
        <f t="shared" si="178"/>
        <v/>
      </c>
      <c r="BH193" s="1771" t="str">
        <f t="shared" si="178"/>
        <v/>
      </c>
      <c r="BI193" s="1771" t="str">
        <f t="shared" si="178"/>
        <v/>
      </c>
      <c r="BJ193" s="3443" t="str">
        <f t="shared" si="178"/>
        <v/>
      </c>
      <c r="BK193" s="3437" t="str">
        <f t="shared" si="178"/>
        <v/>
      </c>
      <c r="BL193" s="1771">
        <f t="shared" si="178"/>
        <v>0.98498730956292024</v>
      </c>
      <c r="BM193" s="3442" t="str">
        <f t="shared" si="178"/>
        <v/>
      </c>
      <c r="BN193" s="1771" t="str">
        <f t="shared" si="178"/>
        <v/>
      </c>
      <c r="BO193" s="1771" t="str">
        <f t="shared" si="178"/>
        <v/>
      </c>
      <c r="BP193" s="1771" t="str">
        <f t="shared" si="178"/>
        <v/>
      </c>
      <c r="BQ193" s="1771" t="str">
        <f t="shared" si="178"/>
        <v/>
      </c>
      <c r="BR193" s="3437" t="str">
        <f t="shared" si="179"/>
        <v/>
      </c>
      <c r="BS193" s="1771" t="str">
        <f t="shared" si="179"/>
        <v/>
      </c>
      <c r="BT193" s="1771" t="str">
        <f t="shared" si="179"/>
        <v/>
      </c>
      <c r="BU193" s="3442" t="str">
        <f t="shared" si="179"/>
        <v/>
      </c>
      <c r="BV193" s="1771" t="str">
        <f t="shared" si="179"/>
        <v/>
      </c>
      <c r="BW193" s="3442" t="str">
        <f t="shared" si="179"/>
        <v/>
      </c>
      <c r="BX193" s="3462"/>
      <c r="BY193" s="3439" t="str">
        <f>IF(L193=L319,"stop","")</f>
        <v/>
      </c>
      <c r="BZ193" s="3437" t="str">
        <f t="shared" si="180"/>
        <v/>
      </c>
      <c r="CA193" s="1771" t="str">
        <f t="shared" si="180"/>
        <v/>
      </c>
      <c r="CB193" s="1771" t="str">
        <f t="shared" si="180"/>
        <v/>
      </c>
      <c r="CC193" s="3442" t="str">
        <f t="shared" si="180"/>
        <v/>
      </c>
      <c r="CD193" s="1771" t="str">
        <f t="shared" si="180"/>
        <v/>
      </c>
      <c r="CE193" s="3437" t="str">
        <f t="shared" si="180"/>
        <v/>
      </c>
      <c r="CF193" s="1771">
        <f t="shared" si="180"/>
        <v>1.085</v>
      </c>
      <c r="CG193" s="1771" t="str">
        <f t="shared" si="180"/>
        <v/>
      </c>
      <c r="CH193" s="3437" t="str">
        <f t="shared" si="180"/>
        <v/>
      </c>
      <c r="CI193" s="1771" t="str">
        <f t="shared" si="180"/>
        <v/>
      </c>
      <c r="CJ193" s="1771" t="str">
        <f t="shared" si="180"/>
        <v/>
      </c>
      <c r="CK193" s="3442" t="str">
        <f t="shared" si="180"/>
        <v/>
      </c>
      <c r="CL193" s="3437" t="str">
        <f t="shared" si="181"/>
        <v/>
      </c>
      <c r="CM193" s="1771" t="str">
        <f t="shared" si="181"/>
        <v/>
      </c>
      <c r="CN193" s="1771" t="str">
        <f t="shared" si="181"/>
        <v/>
      </c>
      <c r="CO193" s="3442" t="str">
        <f t="shared" si="181"/>
        <v/>
      </c>
      <c r="CP193" s="1771" t="str">
        <f t="shared" si="181"/>
        <v/>
      </c>
      <c r="CQ193" s="3442" t="str">
        <f t="shared" si="181"/>
        <v/>
      </c>
      <c r="CR193" s="3462"/>
    </row>
    <row r="194" spans="1:96" s="3" customFormat="1">
      <c r="A194" s="1848" t="s">
        <v>820</v>
      </c>
      <c r="B194" s="816">
        <v>8</v>
      </c>
      <c r="C194" s="816">
        <v>7.72</v>
      </c>
      <c r="D194" s="816">
        <v>0.22</v>
      </c>
      <c r="E194" s="1802" t="s">
        <v>35</v>
      </c>
      <c r="F194" s="816">
        <v>0.52</v>
      </c>
      <c r="G194" s="816" t="s">
        <v>784</v>
      </c>
      <c r="H194" s="816">
        <v>1988</v>
      </c>
      <c r="I194" s="50"/>
      <c r="J194" s="816">
        <f t="shared" si="128"/>
        <v>7.72</v>
      </c>
      <c r="K194" s="816">
        <v>0.22</v>
      </c>
      <c r="L194" s="816" t="s">
        <v>35</v>
      </c>
      <c r="M194" s="816">
        <v>0.52</v>
      </c>
      <c r="N194" s="845">
        <f t="shared" si="151"/>
        <v>0.33823069050575527</v>
      </c>
      <c r="O194" s="1831">
        <f t="shared" si="152"/>
        <v>0.37</v>
      </c>
      <c r="P194" s="825" t="s">
        <v>1087</v>
      </c>
      <c r="Q194" s="3" t="str">
        <f>IF(J194=J319,"stop","")</f>
        <v/>
      </c>
      <c r="R194" s="3437" t="str">
        <f t="shared" si="174"/>
        <v/>
      </c>
      <c r="S194" s="1771" t="str">
        <f t="shared" si="174"/>
        <v/>
      </c>
      <c r="T194" s="1771" t="str">
        <f t="shared" si="174"/>
        <v/>
      </c>
      <c r="U194" s="1771" t="str">
        <f t="shared" si="174"/>
        <v/>
      </c>
      <c r="V194" s="3443" t="str">
        <f t="shared" si="174"/>
        <v/>
      </c>
      <c r="W194" s="1771" t="str">
        <f t="shared" si="174"/>
        <v/>
      </c>
      <c r="X194" s="1771">
        <f t="shared" si="174"/>
        <v>0.22</v>
      </c>
      <c r="Y194" s="1771" t="str">
        <f t="shared" si="174"/>
        <v/>
      </c>
      <c r="Z194" s="3437" t="str">
        <f t="shared" si="174"/>
        <v/>
      </c>
      <c r="AA194" s="1771" t="str">
        <f t="shared" si="174"/>
        <v/>
      </c>
      <c r="AB194" s="1771" t="str">
        <f t="shared" si="174"/>
        <v/>
      </c>
      <c r="AC194" s="3442" t="str">
        <f t="shared" si="174"/>
        <v/>
      </c>
      <c r="AD194" s="1771" t="str">
        <f t="shared" si="174"/>
        <v/>
      </c>
      <c r="AE194" s="1771" t="str">
        <f t="shared" si="174"/>
        <v/>
      </c>
      <c r="AF194" s="1771" t="str">
        <f t="shared" si="174"/>
        <v/>
      </c>
      <c r="AG194" s="3442" t="str">
        <f t="shared" si="174"/>
        <v/>
      </c>
      <c r="AH194" s="1771" t="str">
        <f t="shared" si="175"/>
        <v/>
      </c>
      <c r="AI194" s="3442" t="str">
        <f t="shared" si="175"/>
        <v/>
      </c>
      <c r="AJ194" s="3462"/>
      <c r="AK194" s="3439" t="str">
        <f>IF(J194=J319,"stop","")</f>
        <v/>
      </c>
      <c r="AL194" s="3437" t="str">
        <f t="shared" si="176"/>
        <v/>
      </c>
      <c r="AM194" s="1771" t="str">
        <f t="shared" si="176"/>
        <v/>
      </c>
      <c r="AN194" s="1771" t="str">
        <f t="shared" si="176"/>
        <v/>
      </c>
      <c r="AO194" s="1771" t="str">
        <f t="shared" si="176"/>
        <v/>
      </c>
      <c r="AP194" s="3443" t="str">
        <f t="shared" si="176"/>
        <v/>
      </c>
      <c r="AQ194" s="1771" t="str">
        <f t="shared" si="176"/>
        <v/>
      </c>
      <c r="AR194" s="1771">
        <f t="shared" si="176"/>
        <v>0.52</v>
      </c>
      <c r="AS194" s="3442" t="str">
        <f t="shared" si="176"/>
        <v/>
      </c>
      <c r="AT194" s="1771" t="str">
        <f t="shared" si="176"/>
        <v/>
      </c>
      <c r="AU194" s="1771" t="str">
        <f t="shared" si="176"/>
        <v/>
      </c>
      <c r="AV194" s="1771" t="str">
        <f t="shared" si="176"/>
        <v/>
      </c>
      <c r="AW194" s="3442" t="str">
        <f t="shared" si="176"/>
        <v/>
      </c>
      <c r="AX194" s="1771" t="str">
        <f t="shared" si="177"/>
        <v/>
      </c>
      <c r="AY194" s="1771" t="str">
        <f t="shared" si="177"/>
        <v/>
      </c>
      <c r="AZ194" s="1771" t="str">
        <f t="shared" si="177"/>
        <v/>
      </c>
      <c r="BA194" s="1771" t="str">
        <f t="shared" si="177"/>
        <v/>
      </c>
      <c r="BB194" s="3437" t="str">
        <f t="shared" si="177"/>
        <v/>
      </c>
      <c r="BC194" s="3443" t="str">
        <f t="shared" si="177"/>
        <v/>
      </c>
      <c r="BD194" s="3462"/>
      <c r="BE194" s="3440" t="str">
        <f>IF(J194=J319,"stop","")</f>
        <v/>
      </c>
      <c r="BF194" s="1771" t="str">
        <f t="shared" si="178"/>
        <v/>
      </c>
      <c r="BG194" s="1771" t="str">
        <f t="shared" si="178"/>
        <v/>
      </c>
      <c r="BH194" s="1771" t="str">
        <f t="shared" si="178"/>
        <v/>
      </c>
      <c r="BI194" s="1771" t="str">
        <f t="shared" si="178"/>
        <v/>
      </c>
      <c r="BJ194" s="3443" t="str">
        <f t="shared" si="178"/>
        <v/>
      </c>
      <c r="BK194" s="3437" t="str">
        <f t="shared" si="178"/>
        <v/>
      </c>
      <c r="BL194" s="1771">
        <f t="shared" si="178"/>
        <v>0.33823069050575527</v>
      </c>
      <c r="BM194" s="3442" t="str">
        <f t="shared" si="178"/>
        <v/>
      </c>
      <c r="BN194" s="1771" t="str">
        <f t="shared" si="178"/>
        <v/>
      </c>
      <c r="BO194" s="1771" t="str">
        <f t="shared" si="178"/>
        <v/>
      </c>
      <c r="BP194" s="1771" t="str">
        <f t="shared" si="178"/>
        <v/>
      </c>
      <c r="BQ194" s="1771" t="str">
        <f t="shared" si="178"/>
        <v/>
      </c>
      <c r="BR194" s="3437" t="str">
        <f t="shared" si="179"/>
        <v/>
      </c>
      <c r="BS194" s="1771" t="str">
        <f t="shared" si="179"/>
        <v/>
      </c>
      <c r="BT194" s="1771" t="str">
        <f t="shared" si="179"/>
        <v/>
      </c>
      <c r="BU194" s="3442" t="str">
        <f t="shared" si="179"/>
        <v/>
      </c>
      <c r="BV194" s="1771" t="str">
        <f t="shared" si="179"/>
        <v/>
      </c>
      <c r="BW194" s="3442" t="str">
        <f t="shared" si="179"/>
        <v/>
      </c>
      <c r="BX194" s="3462"/>
      <c r="BY194" s="3439" t="str">
        <f>IF(L194=L319,"stop","")</f>
        <v/>
      </c>
      <c r="BZ194" s="3437" t="str">
        <f t="shared" si="180"/>
        <v/>
      </c>
      <c r="CA194" s="1771" t="str">
        <f t="shared" si="180"/>
        <v/>
      </c>
      <c r="CB194" s="1771" t="str">
        <f t="shared" si="180"/>
        <v/>
      </c>
      <c r="CC194" s="3442" t="str">
        <f t="shared" si="180"/>
        <v/>
      </c>
      <c r="CD194" s="1771" t="str">
        <f t="shared" si="180"/>
        <v/>
      </c>
      <c r="CE194" s="3437" t="str">
        <f t="shared" si="180"/>
        <v/>
      </c>
      <c r="CF194" s="1771">
        <f t="shared" si="180"/>
        <v>0.37</v>
      </c>
      <c r="CG194" s="1771" t="str">
        <f t="shared" si="180"/>
        <v/>
      </c>
      <c r="CH194" s="3437" t="str">
        <f t="shared" si="180"/>
        <v/>
      </c>
      <c r="CI194" s="1771" t="str">
        <f t="shared" si="180"/>
        <v/>
      </c>
      <c r="CJ194" s="1771" t="str">
        <f t="shared" si="180"/>
        <v/>
      </c>
      <c r="CK194" s="3442" t="str">
        <f t="shared" si="180"/>
        <v/>
      </c>
      <c r="CL194" s="3437" t="str">
        <f t="shared" si="181"/>
        <v/>
      </c>
      <c r="CM194" s="1771" t="str">
        <f t="shared" si="181"/>
        <v/>
      </c>
      <c r="CN194" s="1771" t="str">
        <f t="shared" si="181"/>
        <v/>
      </c>
      <c r="CO194" s="3442" t="str">
        <f t="shared" si="181"/>
        <v/>
      </c>
      <c r="CP194" s="1771" t="str">
        <f t="shared" si="181"/>
        <v/>
      </c>
      <c r="CQ194" s="3442" t="str">
        <f t="shared" si="181"/>
        <v/>
      </c>
      <c r="CR194" s="3462"/>
    </row>
    <row r="195" spans="1:96" s="3" customFormat="1">
      <c r="A195" s="1848" t="s">
        <v>821</v>
      </c>
      <c r="B195" s="816">
        <v>9</v>
      </c>
      <c r="C195" s="816">
        <v>8.2799999999999994</v>
      </c>
      <c r="D195" s="816">
        <v>0.01</v>
      </c>
      <c r="E195" s="1802" t="s">
        <v>35</v>
      </c>
      <c r="F195" s="816">
        <v>0.08</v>
      </c>
      <c r="G195" s="816" t="s">
        <v>784</v>
      </c>
      <c r="H195" s="816">
        <v>1988</v>
      </c>
      <c r="I195" s="50"/>
      <c r="J195" s="816">
        <f t="shared" si="128"/>
        <v>8.2799999999999994</v>
      </c>
      <c r="K195" s="816">
        <v>0.01</v>
      </c>
      <c r="L195" s="816" t="s">
        <v>35</v>
      </c>
      <c r="M195" s="816">
        <v>0.08</v>
      </c>
      <c r="N195" s="845">
        <f t="shared" si="151"/>
        <v>2.8284271247461901E-2</v>
      </c>
      <c r="O195" s="1831">
        <f t="shared" si="152"/>
        <v>4.4999999999999998E-2</v>
      </c>
      <c r="P195" s="825" t="s">
        <v>1087</v>
      </c>
      <c r="Q195" s="3" t="str">
        <f>IF(J195=J319,"stop","")</f>
        <v/>
      </c>
      <c r="R195" s="3437" t="str">
        <f t="shared" si="174"/>
        <v/>
      </c>
      <c r="S195" s="1771" t="str">
        <f t="shared" si="174"/>
        <v/>
      </c>
      <c r="T195" s="1771" t="str">
        <f t="shared" si="174"/>
        <v/>
      </c>
      <c r="U195" s="1771" t="str">
        <f t="shared" si="174"/>
        <v/>
      </c>
      <c r="V195" s="3443" t="str">
        <f t="shared" si="174"/>
        <v/>
      </c>
      <c r="W195" s="1771" t="str">
        <f t="shared" si="174"/>
        <v/>
      </c>
      <c r="X195" s="1771" t="str">
        <f t="shared" si="174"/>
        <v/>
      </c>
      <c r="Y195" s="1771">
        <f t="shared" si="174"/>
        <v>0.01</v>
      </c>
      <c r="Z195" s="3437" t="str">
        <f t="shared" si="174"/>
        <v/>
      </c>
      <c r="AA195" s="1771" t="str">
        <f t="shared" si="174"/>
        <v/>
      </c>
      <c r="AB195" s="1771" t="str">
        <f t="shared" si="174"/>
        <v/>
      </c>
      <c r="AC195" s="3442" t="str">
        <f t="shared" si="174"/>
        <v/>
      </c>
      <c r="AD195" s="1771" t="str">
        <f t="shared" si="174"/>
        <v/>
      </c>
      <c r="AE195" s="1771" t="str">
        <f t="shared" si="174"/>
        <v/>
      </c>
      <c r="AF195" s="1771" t="str">
        <f t="shared" si="174"/>
        <v/>
      </c>
      <c r="AG195" s="3442" t="str">
        <f t="shared" si="174"/>
        <v/>
      </c>
      <c r="AH195" s="1771" t="str">
        <f t="shared" si="175"/>
        <v/>
      </c>
      <c r="AI195" s="3442" t="str">
        <f t="shared" si="175"/>
        <v/>
      </c>
      <c r="AJ195" s="3462"/>
      <c r="AK195" s="3439" t="str">
        <f>IF(J195=J319,"stop","")</f>
        <v/>
      </c>
      <c r="AL195" s="3437" t="str">
        <f t="shared" si="176"/>
        <v/>
      </c>
      <c r="AM195" s="1771" t="str">
        <f t="shared" si="176"/>
        <v/>
      </c>
      <c r="AN195" s="1771" t="str">
        <f t="shared" si="176"/>
        <v/>
      </c>
      <c r="AO195" s="1771" t="str">
        <f t="shared" si="176"/>
        <v/>
      </c>
      <c r="AP195" s="3443" t="str">
        <f t="shared" si="176"/>
        <v/>
      </c>
      <c r="AQ195" s="1771" t="str">
        <f t="shared" si="176"/>
        <v/>
      </c>
      <c r="AR195" s="1771" t="str">
        <f t="shared" si="176"/>
        <v/>
      </c>
      <c r="AS195" s="3442">
        <f t="shared" si="176"/>
        <v>0.08</v>
      </c>
      <c r="AT195" s="1771" t="str">
        <f t="shared" si="176"/>
        <v/>
      </c>
      <c r="AU195" s="1771" t="str">
        <f t="shared" si="176"/>
        <v/>
      </c>
      <c r="AV195" s="1771" t="str">
        <f t="shared" si="176"/>
        <v/>
      </c>
      <c r="AW195" s="3442" t="str">
        <f t="shared" si="176"/>
        <v/>
      </c>
      <c r="AX195" s="1771" t="str">
        <f t="shared" si="177"/>
        <v/>
      </c>
      <c r="AY195" s="1771" t="str">
        <f t="shared" si="177"/>
        <v/>
      </c>
      <c r="AZ195" s="1771" t="str">
        <f t="shared" si="177"/>
        <v/>
      </c>
      <c r="BA195" s="1771" t="str">
        <f t="shared" si="177"/>
        <v/>
      </c>
      <c r="BB195" s="3437" t="str">
        <f t="shared" si="177"/>
        <v/>
      </c>
      <c r="BC195" s="3443" t="str">
        <f t="shared" si="177"/>
        <v/>
      </c>
      <c r="BD195" s="3462"/>
      <c r="BE195" s="3440" t="str">
        <f>IF(J195=J319,"stop","")</f>
        <v/>
      </c>
      <c r="BF195" s="1771" t="str">
        <f t="shared" si="178"/>
        <v/>
      </c>
      <c r="BG195" s="1771" t="str">
        <f t="shared" si="178"/>
        <v/>
      </c>
      <c r="BH195" s="1771" t="str">
        <f t="shared" si="178"/>
        <v/>
      </c>
      <c r="BI195" s="1771" t="str">
        <f t="shared" si="178"/>
        <v/>
      </c>
      <c r="BJ195" s="3443" t="str">
        <f t="shared" si="178"/>
        <v/>
      </c>
      <c r="BK195" s="3437" t="str">
        <f t="shared" si="178"/>
        <v/>
      </c>
      <c r="BL195" s="1771" t="str">
        <f t="shared" si="178"/>
        <v/>
      </c>
      <c r="BM195" s="3442">
        <f t="shared" si="178"/>
        <v>2.8284271247461901E-2</v>
      </c>
      <c r="BN195" s="1771" t="str">
        <f t="shared" si="178"/>
        <v/>
      </c>
      <c r="BO195" s="1771" t="str">
        <f t="shared" si="178"/>
        <v/>
      </c>
      <c r="BP195" s="1771" t="str">
        <f t="shared" si="178"/>
        <v/>
      </c>
      <c r="BQ195" s="1771" t="str">
        <f t="shared" si="178"/>
        <v/>
      </c>
      <c r="BR195" s="3437" t="str">
        <f t="shared" si="179"/>
        <v/>
      </c>
      <c r="BS195" s="1771" t="str">
        <f t="shared" si="179"/>
        <v/>
      </c>
      <c r="BT195" s="1771" t="str">
        <f t="shared" si="179"/>
        <v/>
      </c>
      <c r="BU195" s="3442" t="str">
        <f t="shared" si="179"/>
        <v/>
      </c>
      <c r="BV195" s="1771" t="str">
        <f t="shared" si="179"/>
        <v/>
      </c>
      <c r="BW195" s="3442" t="str">
        <f t="shared" si="179"/>
        <v/>
      </c>
      <c r="BX195" s="3462"/>
      <c r="BY195" s="3439" t="str">
        <f>IF(L195=L319,"stop","")</f>
        <v/>
      </c>
      <c r="BZ195" s="3437" t="str">
        <f t="shared" si="180"/>
        <v/>
      </c>
      <c r="CA195" s="1771" t="str">
        <f t="shared" si="180"/>
        <v/>
      </c>
      <c r="CB195" s="1771" t="str">
        <f t="shared" si="180"/>
        <v/>
      </c>
      <c r="CC195" s="3442" t="str">
        <f t="shared" si="180"/>
        <v/>
      </c>
      <c r="CD195" s="1771" t="str">
        <f t="shared" si="180"/>
        <v/>
      </c>
      <c r="CE195" s="3437" t="str">
        <f t="shared" si="180"/>
        <v/>
      </c>
      <c r="CF195" s="1771" t="str">
        <f t="shared" si="180"/>
        <v/>
      </c>
      <c r="CG195" s="1771">
        <f t="shared" si="180"/>
        <v>4.4999999999999998E-2</v>
      </c>
      <c r="CH195" s="3437" t="str">
        <f t="shared" si="180"/>
        <v/>
      </c>
      <c r="CI195" s="1771" t="str">
        <f t="shared" si="180"/>
        <v/>
      </c>
      <c r="CJ195" s="1771" t="str">
        <f t="shared" si="180"/>
        <v/>
      </c>
      <c r="CK195" s="3442" t="str">
        <f t="shared" si="180"/>
        <v/>
      </c>
      <c r="CL195" s="3437" t="str">
        <f t="shared" si="181"/>
        <v/>
      </c>
      <c r="CM195" s="1771" t="str">
        <f t="shared" si="181"/>
        <v/>
      </c>
      <c r="CN195" s="1771" t="str">
        <f t="shared" si="181"/>
        <v/>
      </c>
      <c r="CO195" s="3442" t="str">
        <f t="shared" si="181"/>
        <v/>
      </c>
      <c r="CP195" s="1771" t="str">
        <f t="shared" si="181"/>
        <v/>
      </c>
      <c r="CQ195" s="3442" t="str">
        <f t="shared" si="181"/>
        <v/>
      </c>
      <c r="CR195" s="3462"/>
    </row>
    <row r="196" spans="1:96" s="3" customFormat="1">
      <c r="A196" s="1848" t="s">
        <v>822</v>
      </c>
      <c r="B196" s="816">
        <v>9</v>
      </c>
      <c r="C196" s="816">
        <v>8.64</v>
      </c>
      <c r="D196" s="816">
        <v>0.13</v>
      </c>
      <c r="E196" s="1802" t="s">
        <v>35</v>
      </c>
      <c r="F196" s="816">
        <v>0.51</v>
      </c>
      <c r="G196" s="816" t="s">
        <v>784</v>
      </c>
      <c r="H196" s="816">
        <v>1988</v>
      </c>
      <c r="I196" s="50"/>
      <c r="J196" s="816">
        <f t="shared" si="128"/>
        <v>8.64</v>
      </c>
      <c r="K196" s="816">
        <v>0.13</v>
      </c>
      <c r="L196" s="816" t="s">
        <v>35</v>
      </c>
      <c r="M196" s="816">
        <v>0.51</v>
      </c>
      <c r="N196" s="845">
        <f t="shared" si="151"/>
        <v>0.25748786379167465</v>
      </c>
      <c r="O196" s="1831">
        <f t="shared" si="152"/>
        <v>0.32</v>
      </c>
      <c r="P196" s="825" t="s">
        <v>1087</v>
      </c>
      <c r="Q196" s="3" t="str">
        <f>IF(J196=J319,"stop","")</f>
        <v/>
      </c>
      <c r="R196" s="3437" t="str">
        <f t="shared" si="174"/>
        <v/>
      </c>
      <c r="S196" s="1771" t="str">
        <f t="shared" si="174"/>
        <v/>
      </c>
      <c r="T196" s="1771" t="str">
        <f t="shared" si="174"/>
        <v/>
      </c>
      <c r="U196" s="1771" t="str">
        <f t="shared" si="174"/>
        <v/>
      </c>
      <c r="V196" s="3443" t="str">
        <f t="shared" si="174"/>
        <v/>
      </c>
      <c r="W196" s="1771" t="str">
        <f t="shared" si="174"/>
        <v/>
      </c>
      <c r="X196" s="1771" t="str">
        <f t="shared" si="174"/>
        <v/>
      </c>
      <c r="Y196" s="1771">
        <f t="shared" si="174"/>
        <v>0.13</v>
      </c>
      <c r="Z196" s="3437" t="str">
        <f t="shared" si="174"/>
        <v/>
      </c>
      <c r="AA196" s="1771" t="str">
        <f t="shared" si="174"/>
        <v/>
      </c>
      <c r="AB196" s="1771" t="str">
        <f t="shared" si="174"/>
        <v/>
      </c>
      <c r="AC196" s="3442" t="str">
        <f t="shared" si="174"/>
        <v/>
      </c>
      <c r="AD196" s="1771" t="str">
        <f t="shared" si="174"/>
        <v/>
      </c>
      <c r="AE196" s="1771" t="str">
        <f t="shared" si="174"/>
        <v/>
      </c>
      <c r="AF196" s="1771" t="str">
        <f t="shared" si="174"/>
        <v/>
      </c>
      <c r="AG196" s="3442" t="str">
        <f t="shared" si="174"/>
        <v/>
      </c>
      <c r="AH196" s="1771" t="str">
        <f t="shared" si="175"/>
        <v/>
      </c>
      <c r="AI196" s="3442" t="str">
        <f t="shared" si="175"/>
        <v/>
      </c>
      <c r="AJ196" s="3462"/>
      <c r="AK196" s="3439" t="str">
        <f>IF(J196=J319,"stop","")</f>
        <v/>
      </c>
      <c r="AL196" s="3437" t="str">
        <f t="shared" si="176"/>
        <v/>
      </c>
      <c r="AM196" s="1771" t="str">
        <f t="shared" si="176"/>
        <v/>
      </c>
      <c r="AN196" s="1771" t="str">
        <f t="shared" si="176"/>
        <v/>
      </c>
      <c r="AO196" s="1771" t="str">
        <f t="shared" si="176"/>
        <v/>
      </c>
      <c r="AP196" s="3443" t="str">
        <f t="shared" si="176"/>
        <v/>
      </c>
      <c r="AQ196" s="1771" t="str">
        <f t="shared" si="176"/>
        <v/>
      </c>
      <c r="AR196" s="1771" t="str">
        <f t="shared" si="176"/>
        <v/>
      </c>
      <c r="AS196" s="3442">
        <f t="shared" si="176"/>
        <v>0.51</v>
      </c>
      <c r="AT196" s="1771" t="str">
        <f t="shared" si="176"/>
        <v/>
      </c>
      <c r="AU196" s="1771" t="str">
        <f t="shared" si="176"/>
        <v/>
      </c>
      <c r="AV196" s="1771" t="str">
        <f t="shared" si="176"/>
        <v/>
      </c>
      <c r="AW196" s="3442" t="str">
        <f t="shared" si="176"/>
        <v/>
      </c>
      <c r="AX196" s="1771" t="str">
        <f t="shared" si="177"/>
        <v/>
      </c>
      <c r="AY196" s="1771" t="str">
        <f t="shared" si="177"/>
        <v/>
      </c>
      <c r="AZ196" s="1771" t="str">
        <f t="shared" si="177"/>
        <v/>
      </c>
      <c r="BA196" s="1771" t="str">
        <f t="shared" si="177"/>
        <v/>
      </c>
      <c r="BB196" s="3437" t="str">
        <f t="shared" si="177"/>
        <v/>
      </c>
      <c r="BC196" s="3443" t="str">
        <f t="shared" si="177"/>
        <v/>
      </c>
      <c r="BD196" s="3462"/>
      <c r="BE196" s="3440" t="str">
        <f>IF(J196=J319,"stop","")</f>
        <v/>
      </c>
      <c r="BF196" s="1771" t="str">
        <f t="shared" si="178"/>
        <v/>
      </c>
      <c r="BG196" s="1771" t="str">
        <f t="shared" si="178"/>
        <v/>
      </c>
      <c r="BH196" s="1771" t="str">
        <f t="shared" si="178"/>
        <v/>
      </c>
      <c r="BI196" s="1771" t="str">
        <f t="shared" si="178"/>
        <v/>
      </c>
      <c r="BJ196" s="3443" t="str">
        <f t="shared" si="178"/>
        <v/>
      </c>
      <c r="BK196" s="3437" t="str">
        <f t="shared" si="178"/>
        <v/>
      </c>
      <c r="BL196" s="1771" t="str">
        <f t="shared" si="178"/>
        <v/>
      </c>
      <c r="BM196" s="3442">
        <f t="shared" si="178"/>
        <v>0.25748786379167465</v>
      </c>
      <c r="BN196" s="1771" t="str">
        <f t="shared" si="178"/>
        <v/>
      </c>
      <c r="BO196" s="1771" t="str">
        <f t="shared" si="178"/>
        <v/>
      </c>
      <c r="BP196" s="1771" t="str">
        <f t="shared" si="178"/>
        <v/>
      </c>
      <c r="BQ196" s="1771" t="str">
        <f t="shared" si="178"/>
        <v/>
      </c>
      <c r="BR196" s="3437" t="str">
        <f t="shared" si="179"/>
        <v/>
      </c>
      <c r="BS196" s="1771" t="str">
        <f t="shared" si="179"/>
        <v/>
      </c>
      <c r="BT196" s="1771" t="str">
        <f t="shared" si="179"/>
        <v/>
      </c>
      <c r="BU196" s="3442" t="str">
        <f t="shared" si="179"/>
        <v/>
      </c>
      <c r="BV196" s="1771" t="str">
        <f t="shared" si="179"/>
        <v/>
      </c>
      <c r="BW196" s="3442" t="str">
        <f t="shared" si="179"/>
        <v/>
      </c>
      <c r="BX196" s="3462"/>
      <c r="BY196" s="3439" t="str">
        <f>IF(L196=L319,"stop","")</f>
        <v/>
      </c>
      <c r="BZ196" s="3437" t="str">
        <f t="shared" si="180"/>
        <v/>
      </c>
      <c r="CA196" s="1771" t="str">
        <f t="shared" si="180"/>
        <v/>
      </c>
      <c r="CB196" s="1771" t="str">
        <f t="shared" si="180"/>
        <v/>
      </c>
      <c r="CC196" s="3442" t="str">
        <f t="shared" si="180"/>
        <v/>
      </c>
      <c r="CD196" s="1771" t="str">
        <f t="shared" si="180"/>
        <v/>
      </c>
      <c r="CE196" s="3437" t="str">
        <f t="shared" si="180"/>
        <v/>
      </c>
      <c r="CF196" s="1771" t="str">
        <f t="shared" si="180"/>
        <v/>
      </c>
      <c r="CG196" s="1771">
        <f t="shared" si="180"/>
        <v>0.32</v>
      </c>
      <c r="CH196" s="3437" t="str">
        <f t="shared" si="180"/>
        <v/>
      </c>
      <c r="CI196" s="1771" t="str">
        <f t="shared" si="180"/>
        <v/>
      </c>
      <c r="CJ196" s="1771" t="str">
        <f t="shared" si="180"/>
        <v/>
      </c>
      <c r="CK196" s="3442" t="str">
        <f t="shared" si="180"/>
        <v/>
      </c>
      <c r="CL196" s="3437" t="str">
        <f t="shared" si="181"/>
        <v/>
      </c>
      <c r="CM196" s="1771" t="str">
        <f t="shared" si="181"/>
        <v/>
      </c>
      <c r="CN196" s="1771" t="str">
        <f t="shared" si="181"/>
        <v/>
      </c>
      <c r="CO196" s="3442" t="str">
        <f t="shared" si="181"/>
        <v/>
      </c>
      <c r="CP196" s="1771" t="str">
        <f t="shared" si="181"/>
        <v/>
      </c>
      <c r="CQ196" s="3442" t="str">
        <f t="shared" si="181"/>
        <v/>
      </c>
      <c r="CR196" s="3462"/>
    </row>
    <row r="197" spans="1:96" s="3" customFormat="1">
      <c r="A197" s="1848" t="s">
        <v>823</v>
      </c>
      <c r="B197" s="816">
        <v>9</v>
      </c>
      <c r="C197" s="816">
        <v>8.4700000000000006</v>
      </c>
      <c r="D197" s="816">
        <v>7.0000000000000007E-2</v>
      </c>
      <c r="E197" s="1802" t="s">
        <v>35</v>
      </c>
      <c r="F197" s="816">
        <v>0.23</v>
      </c>
      <c r="G197" s="816" t="s">
        <v>784</v>
      </c>
      <c r="H197" s="816">
        <v>1988</v>
      </c>
      <c r="I197" s="50"/>
      <c r="J197" s="816">
        <f t="shared" si="128"/>
        <v>8.4700000000000006</v>
      </c>
      <c r="K197" s="816">
        <v>7.0000000000000007E-2</v>
      </c>
      <c r="L197" s="816" t="s">
        <v>35</v>
      </c>
      <c r="M197" s="816">
        <v>0.23</v>
      </c>
      <c r="N197" s="845">
        <f t="shared" si="151"/>
        <v>0.12688577540449522</v>
      </c>
      <c r="O197" s="1831">
        <f t="shared" si="152"/>
        <v>0.15000000000000002</v>
      </c>
      <c r="P197" s="825" t="s">
        <v>1087</v>
      </c>
      <c r="Q197" s="3" t="str">
        <f>IF(J197=J319,"stop","")</f>
        <v/>
      </c>
      <c r="R197" s="3437" t="str">
        <f t="shared" si="174"/>
        <v/>
      </c>
      <c r="S197" s="1771" t="str">
        <f t="shared" si="174"/>
        <v/>
      </c>
      <c r="T197" s="1771" t="str">
        <f t="shared" si="174"/>
        <v/>
      </c>
      <c r="U197" s="1771" t="str">
        <f t="shared" si="174"/>
        <v/>
      </c>
      <c r="V197" s="3443" t="str">
        <f t="shared" si="174"/>
        <v/>
      </c>
      <c r="W197" s="1771" t="str">
        <f t="shared" si="174"/>
        <v/>
      </c>
      <c r="X197" s="1771" t="str">
        <f t="shared" si="174"/>
        <v/>
      </c>
      <c r="Y197" s="1771">
        <f t="shared" si="174"/>
        <v>7.0000000000000007E-2</v>
      </c>
      <c r="Z197" s="3437" t="str">
        <f t="shared" si="174"/>
        <v/>
      </c>
      <c r="AA197" s="1771" t="str">
        <f t="shared" si="174"/>
        <v/>
      </c>
      <c r="AB197" s="1771" t="str">
        <f t="shared" si="174"/>
        <v/>
      </c>
      <c r="AC197" s="3442" t="str">
        <f t="shared" si="174"/>
        <v/>
      </c>
      <c r="AD197" s="1771" t="str">
        <f t="shared" si="174"/>
        <v/>
      </c>
      <c r="AE197" s="1771" t="str">
        <f t="shared" si="174"/>
        <v/>
      </c>
      <c r="AF197" s="1771" t="str">
        <f t="shared" si="174"/>
        <v/>
      </c>
      <c r="AG197" s="3442" t="str">
        <f t="shared" si="174"/>
        <v/>
      </c>
      <c r="AH197" s="1771" t="str">
        <f t="shared" si="175"/>
        <v/>
      </c>
      <c r="AI197" s="3442" t="str">
        <f t="shared" si="175"/>
        <v/>
      </c>
      <c r="AJ197" s="3462"/>
      <c r="AK197" s="3439" t="str">
        <f>IF(J197=J319,"stop","")</f>
        <v/>
      </c>
      <c r="AL197" s="3437" t="str">
        <f t="shared" si="176"/>
        <v/>
      </c>
      <c r="AM197" s="1771" t="str">
        <f t="shared" si="176"/>
        <v/>
      </c>
      <c r="AN197" s="1771" t="str">
        <f t="shared" si="176"/>
        <v/>
      </c>
      <c r="AO197" s="1771" t="str">
        <f t="shared" si="176"/>
        <v/>
      </c>
      <c r="AP197" s="3443" t="str">
        <f t="shared" si="176"/>
        <v/>
      </c>
      <c r="AQ197" s="1771" t="str">
        <f t="shared" si="176"/>
        <v/>
      </c>
      <c r="AR197" s="1771" t="str">
        <f t="shared" si="176"/>
        <v/>
      </c>
      <c r="AS197" s="3442">
        <f t="shared" si="176"/>
        <v>0.23</v>
      </c>
      <c r="AT197" s="1771" t="str">
        <f t="shared" si="176"/>
        <v/>
      </c>
      <c r="AU197" s="1771" t="str">
        <f t="shared" si="176"/>
        <v/>
      </c>
      <c r="AV197" s="1771" t="str">
        <f t="shared" si="176"/>
        <v/>
      </c>
      <c r="AW197" s="3442" t="str">
        <f t="shared" si="176"/>
        <v/>
      </c>
      <c r="AX197" s="1771" t="str">
        <f t="shared" si="177"/>
        <v/>
      </c>
      <c r="AY197" s="1771" t="str">
        <f t="shared" si="177"/>
        <v/>
      </c>
      <c r="AZ197" s="1771" t="str">
        <f t="shared" si="177"/>
        <v/>
      </c>
      <c r="BA197" s="1771" t="str">
        <f t="shared" si="177"/>
        <v/>
      </c>
      <c r="BB197" s="3437" t="str">
        <f t="shared" si="177"/>
        <v/>
      </c>
      <c r="BC197" s="3443" t="str">
        <f t="shared" si="177"/>
        <v/>
      </c>
      <c r="BD197" s="3462"/>
      <c r="BE197" s="3440" t="str">
        <f>IF(J197=J319,"stop","")</f>
        <v/>
      </c>
      <c r="BF197" s="1771" t="str">
        <f t="shared" si="178"/>
        <v/>
      </c>
      <c r="BG197" s="1771" t="str">
        <f t="shared" si="178"/>
        <v/>
      </c>
      <c r="BH197" s="1771" t="str">
        <f t="shared" si="178"/>
        <v/>
      </c>
      <c r="BI197" s="1771" t="str">
        <f t="shared" si="178"/>
        <v/>
      </c>
      <c r="BJ197" s="3443" t="str">
        <f t="shared" si="178"/>
        <v/>
      </c>
      <c r="BK197" s="3437" t="str">
        <f t="shared" si="178"/>
        <v/>
      </c>
      <c r="BL197" s="1771" t="str">
        <f t="shared" si="178"/>
        <v/>
      </c>
      <c r="BM197" s="3442">
        <f t="shared" si="178"/>
        <v>0.12688577540449522</v>
      </c>
      <c r="BN197" s="1771" t="str">
        <f t="shared" si="178"/>
        <v/>
      </c>
      <c r="BO197" s="1771" t="str">
        <f t="shared" si="178"/>
        <v/>
      </c>
      <c r="BP197" s="1771" t="str">
        <f t="shared" si="178"/>
        <v/>
      </c>
      <c r="BQ197" s="1771" t="str">
        <f t="shared" si="178"/>
        <v/>
      </c>
      <c r="BR197" s="3437" t="str">
        <f t="shared" si="179"/>
        <v/>
      </c>
      <c r="BS197" s="1771" t="str">
        <f t="shared" si="179"/>
        <v/>
      </c>
      <c r="BT197" s="1771" t="str">
        <f t="shared" si="179"/>
        <v/>
      </c>
      <c r="BU197" s="3442" t="str">
        <f t="shared" si="179"/>
        <v/>
      </c>
      <c r="BV197" s="1771" t="str">
        <f t="shared" si="179"/>
        <v/>
      </c>
      <c r="BW197" s="3442" t="str">
        <f t="shared" si="179"/>
        <v/>
      </c>
      <c r="BX197" s="3462"/>
      <c r="BY197" s="3439" t="str">
        <f>IF(L197=L319,"stop","")</f>
        <v/>
      </c>
      <c r="BZ197" s="3437" t="str">
        <f t="shared" si="180"/>
        <v/>
      </c>
      <c r="CA197" s="1771" t="str">
        <f t="shared" si="180"/>
        <v/>
      </c>
      <c r="CB197" s="1771" t="str">
        <f t="shared" si="180"/>
        <v/>
      </c>
      <c r="CC197" s="3442" t="str">
        <f t="shared" si="180"/>
        <v/>
      </c>
      <c r="CD197" s="1771" t="str">
        <f t="shared" si="180"/>
        <v/>
      </c>
      <c r="CE197" s="3437" t="str">
        <f t="shared" si="180"/>
        <v/>
      </c>
      <c r="CF197" s="1771" t="str">
        <f t="shared" si="180"/>
        <v/>
      </c>
      <c r="CG197" s="1771">
        <f t="shared" si="180"/>
        <v>0.15000000000000002</v>
      </c>
      <c r="CH197" s="3437" t="str">
        <f t="shared" si="180"/>
        <v/>
      </c>
      <c r="CI197" s="1771" t="str">
        <f t="shared" si="180"/>
        <v/>
      </c>
      <c r="CJ197" s="1771" t="str">
        <f t="shared" si="180"/>
        <v/>
      </c>
      <c r="CK197" s="3442" t="str">
        <f t="shared" si="180"/>
        <v/>
      </c>
      <c r="CL197" s="3437" t="str">
        <f t="shared" si="181"/>
        <v/>
      </c>
      <c r="CM197" s="1771" t="str">
        <f t="shared" si="181"/>
        <v/>
      </c>
      <c r="CN197" s="1771" t="str">
        <f t="shared" si="181"/>
        <v/>
      </c>
      <c r="CO197" s="3442" t="str">
        <f t="shared" si="181"/>
        <v/>
      </c>
      <c r="CP197" s="1771" t="str">
        <f t="shared" si="181"/>
        <v/>
      </c>
      <c r="CQ197" s="3442" t="str">
        <f t="shared" si="181"/>
        <v/>
      </c>
      <c r="CR197" s="3462"/>
    </row>
    <row r="198" spans="1:96" s="3" customFormat="1">
      <c r="A198" s="1848" t="s">
        <v>824</v>
      </c>
      <c r="B198" s="816">
        <v>9</v>
      </c>
      <c r="C198" s="816">
        <v>8.42</v>
      </c>
      <c r="D198" s="816">
        <v>0.01</v>
      </c>
      <c r="E198" s="1802" t="s">
        <v>35</v>
      </c>
      <c r="F198" s="816">
        <v>0.08</v>
      </c>
      <c r="G198" s="816" t="s">
        <v>784</v>
      </c>
      <c r="H198" s="816">
        <v>1988</v>
      </c>
      <c r="I198" s="50"/>
      <c r="J198" s="816">
        <f t="shared" si="128"/>
        <v>8.42</v>
      </c>
      <c r="K198" s="816">
        <v>0.01</v>
      </c>
      <c r="L198" s="816" t="s">
        <v>35</v>
      </c>
      <c r="M198" s="816">
        <v>0.08</v>
      </c>
      <c r="N198" s="845">
        <f t="shared" si="151"/>
        <v>2.8284271247461901E-2</v>
      </c>
      <c r="O198" s="1831">
        <f t="shared" si="152"/>
        <v>4.4999999999999998E-2</v>
      </c>
      <c r="P198" s="825" t="s">
        <v>1087</v>
      </c>
      <c r="Q198" s="3" t="str">
        <f>IF(J198=J319,"stop","")</f>
        <v/>
      </c>
      <c r="R198" s="3437" t="str">
        <f t="shared" si="174"/>
        <v/>
      </c>
      <c r="S198" s="1771" t="str">
        <f t="shared" si="174"/>
        <v/>
      </c>
      <c r="T198" s="1771" t="str">
        <f t="shared" si="174"/>
        <v/>
      </c>
      <c r="U198" s="1771" t="str">
        <f t="shared" si="174"/>
        <v/>
      </c>
      <c r="V198" s="3443" t="str">
        <f t="shared" si="174"/>
        <v/>
      </c>
      <c r="W198" s="1771" t="str">
        <f t="shared" si="174"/>
        <v/>
      </c>
      <c r="X198" s="1771" t="str">
        <f t="shared" si="174"/>
        <v/>
      </c>
      <c r="Y198" s="1771">
        <f t="shared" si="174"/>
        <v>0.01</v>
      </c>
      <c r="Z198" s="3437" t="str">
        <f t="shared" si="174"/>
        <v/>
      </c>
      <c r="AA198" s="1771" t="str">
        <f t="shared" si="174"/>
        <v/>
      </c>
      <c r="AB198" s="1771" t="str">
        <f t="shared" si="174"/>
        <v/>
      </c>
      <c r="AC198" s="3442" t="str">
        <f t="shared" si="174"/>
        <v/>
      </c>
      <c r="AD198" s="1771" t="str">
        <f t="shared" si="174"/>
        <v/>
      </c>
      <c r="AE198" s="1771" t="str">
        <f t="shared" si="174"/>
        <v/>
      </c>
      <c r="AF198" s="1771" t="str">
        <f t="shared" si="174"/>
        <v/>
      </c>
      <c r="AG198" s="3442" t="str">
        <f t="shared" ref="AG198:AI217" si="182">IF(AND($J198&gt;AG$4,$J198&lt;=AG$5,$P198=AG$6),$K198,"")</f>
        <v/>
      </c>
      <c r="AH198" s="1771" t="str">
        <f t="shared" si="175"/>
        <v/>
      </c>
      <c r="AI198" s="3442" t="str">
        <f t="shared" si="175"/>
        <v/>
      </c>
      <c r="AJ198" s="3462"/>
      <c r="AK198" s="3439" t="str">
        <f>IF(J198=J319,"stop","")</f>
        <v/>
      </c>
      <c r="AL198" s="3437" t="str">
        <f t="shared" si="176"/>
        <v/>
      </c>
      <c r="AM198" s="1771" t="str">
        <f t="shared" si="176"/>
        <v/>
      </c>
      <c r="AN198" s="1771" t="str">
        <f t="shared" si="176"/>
        <v/>
      </c>
      <c r="AO198" s="1771" t="str">
        <f t="shared" si="176"/>
        <v/>
      </c>
      <c r="AP198" s="3443" t="str">
        <f t="shared" si="176"/>
        <v/>
      </c>
      <c r="AQ198" s="1771" t="str">
        <f t="shared" si="176"/>
        <v/>
      </c>
      <c r="AR198" s="1771" t="str">
        <f t="shared" si="176"/>
        <v/>
      </c>
      <c r="AS198" s="3442">
        <f t="shared" si="176"/>
        <v>0.08</v>
      </c>
      <c r="AT198" s="1771" t="str">
        <f t="shared" si="176"/>
        <v/>
      </c>
      <c r="AU198" s="1771" t="str">
        <f t="shared" si="176"/>
        <v/>
      </c>
      <c r="AV198" s="1771" t="str">
        <f t="shared" si="176"/>
        <v/>
      </c>
      <c r="AW198" s="3442" t="str">
        <f t="shared" si="176"/>
        <v/>
      </c>
      <c r="AX198" s="1771" t="str">
        <f t="shared" si="177"/>
        <v/>
      </c>
      <c r="AY198" s="1771" t="str">
        <f t="shared" si="177"/>
        <v/>
      </c>
      <c r="AZ198" s="1771" t="str">
        <f t="shared" si="177"/>
        <v/>
      </c>
      <c r="BA198" s="1771" t="str">
        <f t="shared" si="177"/>
        <v/>
      </c>
      <c r="BB198" s="3437" t="str">
        <f t="shared" si="177"/>
        <v/>
      </c>
      <c r="BC198" s="3443" t="str">
        <f t="shared" si="177"/>
        <v/>
      </c>
      <c r="BD198" s="3462"/>
      <c r="BE198" s="3440" t="str">
        <f>IF(J198=J319,"stop","")</f>
        <v/>
      </c>
      <c r="BF198" s="1771" t="str">
        <f t="shared" si="178"/>
        <v/>
      </c>
      <c r="BG198" s="1771" t="str">
        <f t="shared" si="178"/>
        <v/>
      </c>
      <c r="BH198" s="1771" t="str">
        <f t="shared" si="178"/>
        <v/>
      </c>
      <c r="BI198" s="1771" t="str">
        <f t="shared" si="178"/>
        <v/>
      </c>
      <c r="BJ198" s="3443" t="str">
        <f t="shared" si="178"/>
        <v/>
      </c>
      <c r="BK198" s="3437" t="str">
        <f t="shared" si="178"/>
        <v/>
      </c>
      <c r="BL198" s="1771" t="str">
        <f t="shared" si="178"/>
        <v/>
      </c>
      <c r="BM198" s="3442">
        <f t="shared" si="178"/>
        <v>2.8284271247461901E-2</v>
      </c>
      <c r="BN198" s="1771" t="str">
        <f t="shared" si="178"/>
        <v/>
      </c>
      <c r="BO198" s="1771" t="str">
        <f t="shared" si="178"/>
        <v/>
      </c>
      <c r="BP198" s="1771" t="str">
        <f t="shared" si="178"/>
        <v/>
      </c>
      <c r="BQ198" s="1771" t="str">
        <f t="shared" si="178"/>
        <v/>
      </c>
      <c r="BR198" s="3437" t="str">
        <f t="shared" si="179"/>
        <v/>
      </c>
      <c r="BS198" s="1771" t="str">
        <f t="shared" si="179"/>
        <v/>
      </c>
      <c r="BT198" s="1771" t="str">
        <f t="shared" si="179"/>
        <v/>
      </c>
      <c r="BU198" s="3442" t="str">
        <f t="shared" si="179"/>
        <v/>
      </c>
      <c r="BV198" s="1771" t="str">
        <f t="shared" si="179"/>
        <v/>
      </c>
      <c r="BW198" s="3442" t="str">
        <f t="shared" si="179"/>
        <v/>
      </c>
      <c r="BX198" s="3462"/>
      <c r="BY198" s="3439" t="str">
        <f>IF(L198=L319,"stop","")</f>
        <v/>
      </c>
      <c r="BZ198" s="3437" t="str">
        <f t="shared" si="180"/>
        <v/>
      </c>
      <c r="CA198" s="1771" t="str">
        <f t="shared" si="180"/>
        <v/>
      </c>
      <c r="CB198" s="1771" t="str">
        <f t="shared" si="180"/>
        <v/>
      </c>
      <c r="CC198" s="3442" t="str">
        <f t="shared" si="180"/>
        <v/>
      </c>
      <c r="CD198" s="1771" t="str">
        <f t="shared" si="180"/>
        <v/>
      </c>
      <c r="CE198" s="3437" t="str">
        <f t="shared" si="180"/>
        <v/>
      </c>
      <c r="CF198" s="1771" t="str">
        <f t="shared" si="180"/>
        <v/>
      </c>
      <c r="CG198" s="1771">
        <f t="shared" si="180"/>
        <v>4.4999999999999998E-2</v>
      </c>
      <c r="CH198" s="3437" t="str">
        <f t="shared" si="180"/>
        <v/>
      </c>
      <c r="CI198" s="1771" t="str">
        <f t="shared" si="180"/>
        <v/>
      </c>
      <c r="CJ198" s="1771" t="str">
        <f t="shared" si="180"/>
        <v/>
      </c>
      <c r="CK198" s="3442" t="str">
        <f t="shared" si="180"/>
        <v/>
      </c>
      <c r="CL198" s="3437" t="str">
        <f t="shared" si="181"/>
        <v/>
      </c>
      <c r="CM198" s="1771" t="str">
        <f t="shared" si="181"/>
        <v/>
      </c>
      <c r="CN198" s="1771" t="str">
        <f t="shared" si="181"/>
        <v/>
      </c>
      <c r="CO198" s="3442" t="str">
        <f t="shared" si="181"/>
        <v/>
      </c>
      <c r="CP198" s="1771" t="str">
        <f t="shared" si="181"/>
        <v/>
      </c>
      <c r="CQ198" s="3442" t="str">
        <f t="shared" si="181"/>
        <v/>
      </c>
      <c r="CR198" s="3462"/>
    </row>
    <row r="199" spans="1:96" s="3" customFormat="1">
      <c r="A199" s="1848" t="s">
        <v>825</v>
      </c>
      <c r="B199" s="816">
        <v>9</v>
      </c>
      <c r="C199" s="816">
        <v>8.6199999999999992</v>
      </c>
      <c r="D199" s="816">
        <v>7.0000000000000007E-2</v>
      </c>
      <c r="E199" s="1802" t="s">
        <v>35</v>
      </c>
      <c r="F199" s="816">
        <v>0.33</v>
      </c>
      <c r="G199" s="816" t="s">
        <v>784</v>
      </c>
      <c r="H199" s="816">
        <v>1988</v>
      </c>
      <c r="I199" s="50"/>
      <c r="J199" s="816">
        <f t="shared" si="128"/>
        <v>8.6199999999999992</v>
      </c>
      <c r="K199" s="816">
        <v>7.0000000000000007E-2</v>
      </c>
      <c r="L199" s="816" t="s">
        <v>35</v>
      </c>
      <c r="M199" s="816">
        <v>0.33</v>
      </c>
      <c r="N199" s="845">
        <f t="shared" si="151"/>
        <v>0.15198684153570666</v>
      </c>
      <c r="O199" s="1831">
        <f t="shared" si="152"/>
        <v>0.2</v>
      </c>
      <c r="P199" s="825" t="s">
        <v>1087</v>
      </c>
      <c r="Q199" s="3" t="str">
        <f>IF(J199=J319,"stop","")</f>
        <v/>
      </c>
      <c r="R199" s="3437" t="str">
        <f t="shared" ref="R199:AF214" si="183">IF(AND($J199&gt;R$4,$J199&lt;=R$5,$P199=R$6),$K199,"")</f>
        <v/>
      </c>
      <c r="S199" s="1771" t="str">
        <f t="shared" si="183"/>
        <v/>
      </c>
      <c r="T199" s="1771" t="str">
        <f t="shared" si="183"/>
        <v/>
      </c>
      <c r="U199" s="1771" t="str">
        <f t="shared" si="183"/>
        <v/>
      </c>
      <c r="V199" s="3443" t="str">
        <f t="shared" si="183"/>
        <v/>
      </c>
      <c r="W199" s="1771" t="str">
        <f t="shared" si="183"/>
        <v/>
      </c>
      <c r="X199" s="1771" t="str">
        <f t="shared" si="183"/>
        <v/>
      </c>
      <c r="Y199" s="1771">
        <f t="shared" si="183"/>
        <v>7.0000000000000007E-2</v>
      </c>
      <c r="Z199" s="3437" t="str">
        <f t="shared" si="183"/>
        <v/>
      </c>
      <c r="AA199" s="1771" t="str">
        <f t="shared" si="183"/>
        <v/>
      </c>
      <c r="AB199" s="1771" t="str">
        <f t="shared" si="183"/>
        <v/>
      </c>
      <c r="AC199" s="3442" t="str">
        <f t="shared" si="183"/>
        <v/>
      </c>
      <c r="AD199" s="1771" t="str">
        <f t="shared" si="183"/>
        <v/>
      </c>
      <c r="AE199" s="1771" t="str">
        <f t="shared" si="183"/>
        <v/>
      </c>
      <c r="AF199" s="1771" t="str">
        <f t="shared" si="183"/>
        <v/>
      </c>
      <c r="AG199" s="3442" t="str">
        <f t="shared" si="182"/>
        <v/>
      </c>
      <c r="AH199" s="1771" t="str">
        <f t="shared" si="175"/>
        <v/>
      </c>
      <c r="AI199" s="3442" t="str">
        <f t="shared" si="175"/>
        <v/>
      </c>
      <c r="AJ199" s="3462"/>
      <c r="AK199" s="3439" t="str">
        <f>IF(J199=J319,"stop","")</f>
        <v/>
      </c>
      <c r="AL199" s="3437" t="str">
        <f t="shared" si="176"/>
        <v/>
      </c>
      <c r="AM199" s="1771" t="str">
        <f t="shared" si="176"/>
        <v/>
      </c>
      <c r="AN199" s="1771" t="str">
        <f t="shared" si="176"/>
        <v/>
      </c>
      <c r="AO199" s="1771" t="str">
        <f t="shared" si="176"/>
        <v/>
      </c>
      <c r="AP199" s="3443" t="str">
        <f t="shared" si="176"/>
        <v/>
      </c>
      <c r="AQ199" s="1771" t="str">
        <f t="shared" si="176"/>
        <v/>
      </c>
      <c r="AR199" s="1771" t="str">
        <f t="shared" si="176"/>
        <v/>
      </c>
      <c r="AS199" s="3442">
        <f t="shared" si="176"/>
        <v>0.33</v>
      </c>
      <c r="AT199" s="1771" t="str">
        <f t="shared" si="176"/>
        <v/>
      </c>
      <c r="AU199" s="1771" t="str">
        <f t="shared" si="176"/>
        <v/>
      </c>
      <c r="AV199" s="1771" t="str">
        <f t="shared" si="176"/>
        <v/>
      </c>
      <c r="AW199" s="3442" t="str">
        <f t="shared" si="176"/>
        <v/>
      </c>
      <c r="AX199" s="1771" t="str">
        <f t="shared" si="177"/>
        <v/>
      </c>
      <c r="AY199" s="1771" t="str">
        <f t="shared" si="177"/>
        <v/>
      </c>
      <c r="AZ199" s="1771" t="str">
        <f t="shared" si="177"/>
        <v/>
      </c>
      <c r="BA199" s="1771" t="str">
        <f t="shared" si="177"/>
        <v/>
      </c>
      <c r="BB199" s="3437" t="str">
        <f t="shared" si="177"/>
        <v/>
      </c>
      <c r="BC199" s="3443" t="str">
        <f t="shared" si="177"/>
        <v/>
      </c>
      <c r="BD199" s="3462"/>
      <c r="BE199" s="3440" t="str">
        <f>IF(J199=J319,"stop","")</f>
        <v/>
      </c>
      <c r="BF199" s="1771" t="str">
        <f t="shared" si="178"/>
        <v/>
      </c>
      <c r="BG199" s="1771" t="str">
        <f t="shared" si="178"/>
        <v/>
      </c>
      <c r="BH199" s="1771" t="str">
        <f t="shared" si="178"/>
        <v/>
      </c>
      <c r="BI199" s="1771" t="str">
        <f t="shared" si="178"/>
        <v/>
      </c>
      <c r="BJ199" s="3443" t="str">
        <f t="shared" si="178"/>
        <v/>
      </c>
      <c r="BK199" s="3437" t="str">
        <f t="shared" si="178"/>
        <v/>
      </c>
      <c r="BL199" s="1771" t="str">
        <f t="shared" si="178"/>
        <v/>
      </c>
      <c r="BM199" s="3442">
        <f t="shared" si="178"/>
        <v>0.15198684153570666</v>
      </c>
      <c r="BN199" s="1771" t="str">
        <f t="shared" si="178"/>
        <v/>
      </c>
      <c r="BO199" s="1771" t="str">
        <f t="shared" si="178"/>
        <v/>
      </c>
      <c r="BP199" s="1771" t="str">
        <f t="shared" si="178"/>
        <v/>
      </c>
      <c r="BQ199" s="1771" t="str">
        <f t="shared" si="178"/>
        <v/>
      </c>
      <c r="BR199" s="3437" t="str">
        <f t="shared" si="179"/>
        <v/>
      </c>
      <c r="BS199" s="1771" t="str">
        <f t="shared" si="179"/>
        <v/>
      </c>
      <c r="BT199" s="1771" t="str">
        <f t="shared" si="179"/>
        <v/>
      </c>
      <c r="BU199" s="3442" t="str">
        <f t="shared" si="179"/>
        <v/>
      </c>
      <c r="BV199" s="1771" t="str">
        <f t="shared" si="179"/>
        <v/>
      </c>
      <c r="BW199" s="3442" t="str">
        <f t="shared" si="179"/>
        <v/>
      </c>
      <c r="BX199" s="3462"/>
      <c r="BY199" s="3439" t="str">
        <f>IF(L199=L319,"stop","")</f>
        <v/>
      </c>
      <c r="BZ199" s="3437" t="str">
        <f t="shared" si="180"/>
        <v/>
      </c>
      <c r="CA199" s="1771" t="str">
        <f t="shared" si="180"/>
        <v/>
      </c>
      <c r="CB199" s="1771" t="str">
        <f t="shared" si="180"/>
        <v/>
      </c>
      <c r="CC199" s="3442" t="str">
        <f t="shared" si="180"/>
        <v/>
      </c>
      <c r="CD199" s="1771" t="str">
        <f t="shared" si="180"/>
        <v/>
      </c>
      <c r="CE199" s="3437" t="str">
        <f t="shared" si="180"/>
        <v/>
      </c>
      <c r="CF199" s="1771" t="str">
        <f t="shared" si="180"/>
        <v/>
      </c>
      <c r="CG199" s="1771">
        <f t="shared" si="180"/>
        <v>0.2</v>
      </c>
      <c r="CH199" s="3437" t="str">
        <f t="shared" si="180"/>
        <v/>
      </c>
      <c r="CI199" s="1771" t="str">
        <f t="shared" si="180"/>
        <v/>
      </c>
      <c r="CJ199" s="1771" t="str">
        <f t="shared" si="180"/>
        <v/>
      </c>
      <c r="CK199" s="3442" t="str">
        <f t="shared" si="180"/>
        <v/>
      </c>
      <c r="CL199" s="3437" t="str">
        <f t="shared" si="181"/>
        <v/>
      </c>
      <c r="CM199" s="1771" t="str">
        <f t="shared" si="181"/>
        <v/>
      </c>
      <c r="CN199" s="1771" t="str">
        <f t="shared" si="181"/>
        <v/>
      </c>
      <c r="CO199" s="3442" t="str">
        <f t="shared" si="181"/>
        <v/>
      </c>
      <c r="CP199" s="1771" t="str">
        <f t="shared" si="181"/>
        <v/>
      </c>
      <c r="CQ199" s="3442" t="str">
        <f t="shared" si="181"/>
        <v/>
      </c>
      <c r="CR199" s="3462"/>
    </row>
    <row r="200" spans="1:96" s="3" customFormat="1">
      <c r="A200" s="1848" t="s">
        <v>826</v>
      </c>
      <c r="B200" s="816">
        <v>10</v>
      </c>
      <c r="C200" s="816"/>
      <c r="D200" s="816">
        <v>0.12</v>
      </c>
      <c r="E200" s="1802" t="s">
        <v>35</v>
      </c>
      <c r="F200" s="816">
        <v>1.7</v>
      </c>
      <c r="G200" s="816" t="s">
        <v>784</v>
      </c>
      <c r="H200" s="816">
        <v>1988</v>
      </c>
      <c r="I200" s="50"/>
      <c r="J200" s="818">
        <f>IF(ISBLANK(C200),B200-0.5,C200)</f>
        <v>9.5</v>
      </c>
      <c r="K200" s="816">
        <v>0.12</v>
      </c>
      <c r="L200" s="816" t="s">
        <v>35</v>
      </c>
      <c r="M200" s="816">
        <v>1.7</v>
      </c>
      <c r="N200" s="845">
        <f t="shared" si="151"/>
        <v>0.45166359162544856</v>
      </c>
      <c r="O200" s="1831">
        <f t="shared" si="152"/>
        <v>0.90999999999999992</v>
      </c>
      <c r="P200" s="825" t="s">
        <v>1087</v>
      </c>
      <c r="Q200" s="3" t="str">
        <f>IF(J200=J319,"stop","")</f>
        <v/>
      </c>
      <c r="R200" s="3437" t="str">
        <f t="shared" si="183"/>
        <v/>
      </c>
      <c r="S200" s="1771" t="str">
        <f t="shared" si="183"/>
        <v/>
      </c>
      <c r="T200" s="1771" t="str">
        <f t="shared" si="183"/>
        <v/>
      </c>
      <c r="U200" s="1771" t="str">
        <f t="shared" si="183"/>
        <v/>
      </c>
      <c r="V200" s="3443" t="str">
        <f t="shared" si="183"/>
        <v/>
      </c>
      <c r="W200" s="1771" t="str">
        <f t="shared" si="183"/>
        <v/>
      </c>
      <c r="X200" s="1771" t="str">
        <f t="shared" si="183"/>
        <v/>
      </c>
      <c r="Y200" s="1771">
        <f t="shared" si="183"/>
        <v>0.12</v>
      </c>
      <c r="Z200" s="3437" t="str">
        <f t="shared" si="183"/>
        <v/>
      </c>
      <c r="AA200" s="1771" t="str">
        <f t="shared" si="183"/>
        <v/>
      </c>
      <c r="AB200" s="1771" t="str">
        <f t="shared" si="183"/>
        <v/>
      </c>
      <c r="AC200" s="3442" t="str">
        <f t="shared" si="183"/>
        <v/>
      </c>
      <c r="AD200" s="1771" t="str">
        <f t="shared" si="183"/>
        <v/>
      </c>
      <c r="AE200" s="1771" t="str">
        <f t="shared" si="183"/>
        <v/>
      </c>
      <c r="AF200" s="1771" t="str">
        <f t="shared" si="183"/>
        <v/>
      </c>
      <c r="AG200" s="3442" t="str">
        <f t="shared" si="182"/>
        <v/>
      </c>
      <c r="AH200" s="1771" t="str">
        <f t="shared" si="175"/>
        <v/>
      </c>
      <c r="AI200" s="3442" t="str">
        <f t="shared" si="175"/>
        <v/>
      </c>
      <c r="AJ200" s="3462"/>
      <c r="AK200" s="3439" t="str">
        <f>IF(J200=J319,"stop","")</f>
        <v/>
      </c>
      <c r="AL200" s="3437" t="str">
        <f t="shared" si="176"/>
        <v/>
      </c>
      <c r="AM200" s="1771" t="str">
        <f t="shared" si="176"/>
        <v/>
      </c>
      <c r="AN200" s="1771" t="str">
        <f t="shared" si="176"/>
        <v/>
      </c>
      <c r="AO200" s="1771" t="str">
        <f t="shared" si="176"/>
        <v/>
      </c>
      <c r="AP200" s="3443" t="str">
        <f t="shared" si="176"/>
        <v/>
      </c>
      <c r="AQ200" s="1771" t="str">
        <f t="shared" si="176"/>
        <v/>
      </c>
      <c r="AR200" s="1771" t="str">
        <f t="shared" si="176"/>
        <v/>
      </c>
      <c r="AS200" s="3442">
        <f t="shared" si="176"/>
        <v>1.7</v>
      </c>
      <c r="AT200" s="1771" t="str">
        <f t="shared" si="176"/>
        <v/>
      </c>
      <c r="AU200" s="1771" t="str">
        <f t="shared" si="176"/>
        <v/>
      </c>
      <c r="AV200" s="1771" t="str">
        <f t="shared" si="176"/>
        <v/>
      </c>
      <c r="AW200" s="3442" t="str">
        <f t="shared" si="176"/>
        <v/>
      </c>
      <c r="AX200" s="1771" t="str">
        <f t="shared" si="177"/>
        <v/>
      </c>
      <c r="AY200" s="1771" t="str">
        <f t="shared" si="177"/>
        <v/>
      </c>
      <c r="AZ200" s="1771" t="str">
        <f t="shared" si="177"/>
        <v/>
      </c>
      <c r="BA200" s="1771" t="str">
        <f t="shared" si="177"/>
        <v/>
      </c>
      <c r="BB200" s="3437" t="str">
        <f t="shared" si="177"/>
        <v/>
      </c>
      <c r="BC200" s="3443" t="str">
        <f t="shared" si="177"/>
        <v/>
      </c>
      <c r="BD200" s="3462"/>
      <c r="BE200" s="3440" t="str">
        <f>IF(J200=J319,"stop","")</f>
        <v/>
      </c>
      <c r="BF200" s="1771" t="str">
        <f t="shared" si="178"/>
        <v/>
      </c>
      <c r="BG200" s="1771" t="str">
        <f t="shared" si="178"/>
        <v/>
      </c>
      <c r="BH200" s="1771" t="str">
        <f t="shared" si="178"/>
        <v/>
      </c>
      <c r="BI200" s="1771" t="str">
        <f t="shared" si="178"/>
        <v/>
      </c>
      <c r="BJ200" s="3443" t="str">
        <f t="shared" si="178"/>
        <v/>
      </c>
      <c r="BK200" s="3437" t="str">
        <f t="shared" si="178"/>
        <v/>
      </c>
      <c r="BL200" s="1771" t="str">
        <f t="shared" si="178"/>
        <v/>
      </c>
      <c r="BM200" s="3442">
        <f t="shared" si="178"/>
        <v>0.45166359162544856</v>
      </c>
      <c r="BN200" s="1771" t="str">
        <f t="shared" si="178"/>
        <v/>
      </c>
      <c r="BO200" s="1771" t="str">
        <f t="shared" si="178"/>
        <v/>
      </c>
      <c r="BP200" s="1771" t="str">
        <f t="shared" si="178"/>
        <v/>
      </c>
      <c r="BQ200" s="1771" t="str">
        <f t="shared" si="178"/>
        <v/>
      </c>
      <c r="BR200" s="3437" t="str">
        <f t="shared" si="179"/>
        <v/>
      </c>
      <c r="BS200" s="1771" t="str">
        <f t="shared" si="179"/>
        <v/>
      </c>
      <c r="BT200" s="1771" t="str">
        <f t="shared" si="179"/>
        <v/>
      </c>
      <c r="BU200" s="3442" t="str">
        <f t="shared" si="179"/>
        <v/>
      </c>
      <c r="BV200" s="1771" t="str">
        <f t="shared" si="179"/>
        <v/>
      </c>
      <c r="BW200" s="3442" t="str">
        <f t="shared" si="179"/>
        <v/>
      </c>
      <c r="BX200" s="3462"/>
      <c r="BY200" s="3439" t="str">
        <f>IF(L200=L319,"stop","")</f>
        <v/>
      </c>
      <c r="BZ200" s="3437" t="str">
        <f t="shared" si="180"/>
        <v/>
      </c>
      <c r="CA200" s="1771" t="str">
        <f t="shared" si="180"/>
        <v/>
      </c>
      <c r="CB200" s="1771" t="str">
        <f t="shared" si="180"/>
        <v/>
      </c>
      <c r="CC200" s="3442" t="str">
        <f t="shared" si="180"/>
        <v/>
      </c>
      <c r="CD200" s="1771" t="str">
        <f t="shared" si="180"/>
        <v/>
      </c>
      <c r="CE200" s="3437" t="str">
        <f t="shared" si="180"/>
        <v/>
      </c>
      <c r="CF200" s="1771" t="str">
        <f t="shared" si="180"/>
        <v/>
      </c>
      <c r="CG200" s="1771">
        <f t="shared" si="180"/>
        <v>0.90999999999999992</v>
      </c>
      <c r="CH200" s="3437" t="str">
        <f t="shared" si="180"/>
        <v/>
      </c>
      <c r="CI200" s="1771" t="str">
        <f t="shared" si="180"/>
        <v/>
      </c>
      <c r="CJ200" s="1771" t="str">
        <f t="shared" si="180"/>
        <v/>
      </c>
      <c r="CK200" s="3442" t="str">
        <f t="shared" si="180"/>
        <v/>
      </c>
      <c r="CL200" s="3437" t="str">
        <f t="shared" si="181"/>
        <v/>
      </c>
      <c r="CM200" s="1771" t="str">
        <f t="shared" si="181"/>
        <v/>
      </c>
      <c r="CN200" s="1771" t="str">
        <f t="shared" si="181"/>
        <v/>
      </c>
      <c r="CO200" s="3442" t="str">
        <f t="shared" si="181"/>
        <v/>
      </c>
      <c r="CP200" s="1771" t="str">
        <f t="shared" si="181"/>
        <v/>
      </c>
      <c r="CQ200" s="3442" t="str">
        <f t="shared" si="181"/>
        <v/>
      </c>
      <c r="CR200" s="3462"/>
    </row>
    <row r="201" spans="1:96" s="3" customFormat="1">
      <c r="A201" s="1848" t="s">
        <v>827</v>
      </c>
      <c r="B201" s="816">
        <v>10</v>
      </c>
      <c r="C201" s="816"/>
      <c r="D201" s="816">
        <v>0.02</v>
      </c>
      <c r="E201" s="1802" t="s">
        <v>35</v>
      </c>
      <c r="F201" s="816">
        <v>0.06</v>
      </c>
      <c r="G201" s="816" t="s">
        <v>784</v>
      </c>
      <c r="H201" s="816">
        <v>1988</v>
      </c>
      <c r="I201" s="50"/>
      <c r="J201" s="818">
        <f>IF(ISBLANK(C201),B201-0.5,C201)</f>
        <v>9.5</v>
      </c>
      <c r="K201" s="816">
        <v>0.02</v>
      </c>
      <c r="L201" s="816" t="s">
        <v>35</v>
      </c>
      <c r="M201" s="816">
        <v>0.06</v>
      </c>
      <c r="N201" s="845">
        <f t="shared" si="151"/>
        <v>3.4641016151377546E-2</v>
      </c>
      <c r="O201" s="1831">
        <f t="shared" si="152"/>
        <v>0.04</v>
      </c>
      <c r="P201" s="825" t="s">
        <v>1087</v>
      </c>
      <c r="Q201" s="3" t="str">
        <f>IF(J201=J319,"stop","")</f>
        <v/>
      </c>
      <c r="R201" s="3437" t="str">
        <f t="shared" si="183"/>
        <v/>
      </c>
      <c r="S201" s="1771" t="str">
        <f t="shared" si="183"/>
        <v/>
      </c>
      <c r="T201" s="1771" t="str">
        <f t="shared" si="183"/>
        <v/>
      </c>
      <c r="U201" s="1771" t="str">
        <f t="shared" si="183"/>
        <v/>
      </c>
      <c r="V201" s="3443" t="str">
        <f t="shared" si="183"/>
        <v/>
      </c>
      <c r="W201" s="1771" t="str">
        <f t="shared" si="183"/>
        <v/>
      </c>
      <c r="X201" s="1771" t="str">
        <f t="shared" si="183"/>
        <v/>
      </c>
      <c r="Y201" s="1771">
        <f t="shared" si="183"/>
        <v>0.02</v>
      </c>
      <c r="Z201" s="3437" t="str">
        <f t="shared" si="183"/>
        <v/>
      </c>
      <c r="AA201" s="1771" t="str">
        <f t="shared" si="183"/>
        <v/>
      </c>
      <c r="AB201" s="1771" t="str">
        <f t="shared" si="183"/>
        <v/>
      </c>
      <c r="AC201" s="3442" t="str">
        <f t="shared" si="183"/>
        <v/>
      </c>
      <c r="AD201" s="1771" t="str">
        <f t="shared" si="183"/>
        <v/>
      </c>
      <c r="AE201" s="1771" t="str">
        <f t="shared" si="183"/>
        <v/>
      </c>
      <c r="AF201" s="1771" t="str">
        <f t="shared" si="183"/>
        <v/>
      </c>
      <c r="AG201" s="3442" t="str">
        <f t="shared" si="182"/>
        <v/>
      </c>
      <c r="AH201" s="1771" t="str">
        <f t="shared" si="175"/>
        <v/>
      </c>
      <c r="AI201" s="3442" t="str">
        <f t="shared" si="175"/>
        <v/>
      </c>
      <c r="AJ201" s="3462"/>
      <c r="AK201" s="3439" t="str">
        <f>IF(J201=J319,"stop","")</f>
        <v/>
      </c>
      <c r="AL201" s="3437" t="str">
        <f t="shared" ref="AL201:AW210" si="184">IF(AND($J201&gt;AL$4,$J201&lt;=AL$5,$P201=AL$6),$M201,"")</f>
        <v/>
      </c>
      <c r="AM201" s="1771" t="str">
        <f t="shared" si="184"/>
        <v/>
      </c>
      <c r="AN201" s="1771" t="str">
        <f t="shared" si="184"/>
        <v/>
      </c>
      <c r="AO201" s="1771" t="str">
        <f t="shared" si="184"/>
        <v/>
      </c>
      <c r="AP201" s="3443" t="str">
        <f t="shared" si="184"/>
        <v/>
      </c>
      <c r="AQ201" s="1771" t="str">
        <f t="shared" si="184"/>
        <v/>
      </c>
      <c r="AR201" s="1771" t="str">
        <f t="shared" si="184"/>
        <v/>
      </c>
      <c r="AS201" s="3442">
        <f t="shared" si="184"/>
        <v>0.06</v>
      </c>
      <c r="AT201" s="1771" t="str">
        <f t="shared" si="184"/>
        <v/>
      </c>
      <c r="AU201" s="1771" t="str">
        <f t="shared" si="184"/>
        <v/>
      </c>
      <c r="AV201" s="1771" t="str">
        <f t="shared" si="184"/>
        <v/>
      </c>
      <c r="AW201" s="3442" t="str">
        <f t="shared" si="184"/>
        <v/>
      </c>
      <c r="AX201" s="1771" t="str">
        <f t="shared" ref="AX201:BC210" si="185">IF(AND($J201&gt;AX$4,$J201&lt;=AX$5,$P201=AX$6),$M201,"")</f>
        <v/>
      </c>
      <c r="AY201" s="1771" t="str">
        <f t="shared" si="185"/>
        <v/>
      </c>
      <c r="AZ201" s="1771" t="str">
        <f t="shared" si="185"/>
        <v/>
      </c>
      <c r="BA201" s="1771" t="str">
        <f t="shared" si="185"/>
        <v/>
      </c>
      <c r="BB201" s="3437" t="str">
        <f t="shared" si="185"/>
        <v/>
      </c>
      <c r="BC201" s="3443" t="str">
        <f t="shared" si="185"/>
        <v/>
      </c>
      <c r="BD201" s="3462"/>
      <c r="BE201" s="3440" t="str">
        <f>IF(J201=J319,"stop","")</f>
        <v/>
      </c>
      <c r="BF201" s="1771" t="str">
        <f t="shared" ref="BF201:BQ210" si="186">IF(AND($J201&gt;BF$4,$J201&lt;=BF$5,$P201=BF$6),$N201,"")</f>
        <v/>
      </c>
      <c r="BG201" s="1771" t="str">
        <f t="shared" si="186"/>
        <v/>
      </c>
      <c r="BH201" s="1771" t="str">
        <f t="shared" si="186"/>
        <v/>
      </c>
      <c r="BI201" s="1771" t="str">
        <f t="shared" si="186"/>
        <v/>
      </c>
      <c r="BJ201" s="3443" t="str">
        <f t="shared" si="186"/>
        <v/>
      </c>
      <c r="BK201" s="3437" t="str">
        <f t="shared" si="186"/>
        <v/>
      </c>
      <c r="BL201" s="1771" t="str">
        <f t="shared" si="186"/>
        <v/>
      </c>
      <c r="BM201" s="3442">
        <f t="shared" si="186"/>
        <v>3.4641016151377546E-2</v>
      </c>
      <c r="BN201" s="1771" t="str">
        <f t="shared" si="186"/>
        <v/>
      </c>
      <c r="BO201" s="1771" t="str">
        <f t="shared" si="186"/>
        <v/>
      </c>
      <c r="BP201" s="1771" t="str">
        <f t="shared" si="186"/>
        <v/>
      </c>
      <c r="BQ201" s="1771" t="str">
        <f t="shared" si="186"/>
        <v/>
      </c>
      <c r="BR201" s="3437" t="str">
        <f t="shared" ref="BR201:BW210" si="187">IF(AND($J201&gt;BR$4,$J201&lt;=BR$5,$P201=BR$6),$N201,"")</f>
        <v/>
      </c>
      <c r="BS201" s="1771" t="str">
        <f t="shared" si="187"/>
        <v/>
      </c>
      <c r="BT201" s="1771" t="str">
        <f t="shared" si="187"/>
        <v/>
      </c>
      <c r="BU201" s="3442" t="str">
        <f t="shared" si="187"/>
        <v/>
      </c>
      <c r="BV201" s="1771" t="str">
        <f t="shared" si="187"/>
        <v/>
      </c>
      <c r="BW201" s="3442" t="str">
        <f t="shared" si="187"/>
        <v/>
      </c>
      <c r="BX201" s="3462"/>
      <c r="BY201" s="3439" t="str">
        <f>IF(L201=L319,"stop","")</f>
        <v/>
      </c>
      <c r="BZ201" s="3437" t="str">
        <f t="shared" ref="BZ201:CK210" si="188">IF(AND($J201&gt;BZ$4,$J201&lt;=BZ$5,$P201=BZ$6),$O201,"")</f>
        <v/>
      </c>
      <c r="CA201" s="1771" t="str">
        <f t="shared" si="188"/>
        <v/>
      </c>
      <c r="CB201" s="1771" t="str">
        <f t="shared" si="188"/>
        <v/>
      </c>
      <c r="CC201" s="3442" t="str">
        <f t="shared" si="188"/>
        <v/>
      </c>
      <c r="CD201" s="1771" t="str">
        <f t="shared" si="188"/>
        <v/>
      </c>
      <c r="CE201" s="3437" t="str">
        <f t="shared" si="188"/>
        <v/>
      </c>
      <c r="CF201" s="1771" t="str">
        <f t="shared" si="188"/>
        <v/>
      </c>
      <c r="CG201" s="1771">
        <f t="shared" si="188"/>
        <v>0.04</v>
      </c>
      <c r="CH201" s="3437" t="str">
        <f t="shared" si="188"/>
        <v/>
      </c>
      <c r="CI201" s="1771" t="str">
        <f t="shared" si="188"/>
        <v/>
      </c>
      <c r="CJ201" s="1771" t="str">
        <f t="shared" si="188"/>
        <v/>
      </c>
      <c r="CK201" s="3442" t="str">
        <f t="shared" si="188"/>
        <v/>
      </c>
      <c r="CL201" s="3437" t="str">
        <f t="shared" ref="CL201:CQ210" si="189">IF(AND($J201&gt;CL$4,$J201&lt;=CL$5,$P201=CL$6),$O201,"")</f>
        <v/>
      </c>
      <c r="CM201" s="1771" t="str">
        <f t="shared" si="189"/>
        <v/>
      </c>
      <c r="CN201" s="1771" t="str">
        <f t="shared" si="189"/>
        <v/>
      </c>
      <c r="CO201" s="3442" t="str">
        <f t="shared" si="189"/>
        <v/>
      </c>
      <c r="CP201" s="1771" t="str">
        <f t="shared" si="189"/>
        <v/>
      </c>
      <c r="CQ201" s="3442" t="str">
        <f t="shared" si="189"/>
        <v/>
      </c>
      <c r="CR201" s="3462"/>
    </row>
    <row r="202" spans="1:96" s="3" customFormat="1">
      <c r="A202" s="1848" t="s">
        <v>828</v>
      </c>
      <c r="B202" s="816">
        <v>9</v>
      </c>
      <c r="C202" s="816">
        <v>8.77</v>
      </c>
      <c r="D202" s="816">
        <v>0.02</v>
      </c>
      <c r="E202" s="1802" t="s">
        <v>35</v>
      </c>
      <c r="F202" s="816">
        <v>0.16</v>
      </c>
      <c r="G202" s="816" t="s">
        <v>784</v>
      </c>
      <c r="H202" s="816">
        <v>1988</v>
      </c>
      <c r="I202" s="50"/>
      <c r="J202" s="816">
        <f t="shared" si="128"/>
        <v>8.77</v>
      </c>
      <c r="K202" s="816">
        <v>0.02</v>
      </c>
      <c r="L202" s="816" t="s">
        <v>35</v>
      </c>
      <c r="M202" s="816">
        <v>0.16</v>
      </c>
      <c r="N202" s="845">
        <f t="shared" si="151"/>
        <v>5.6568542494923803E-2</v>
      </c>
      <c r="O202" s="1831">
        <f t="shared" si="152"/>
        <v>0.09</v>
      </c>
      <c r="P202" s="825" t="s">
        <v>1087</v>
      </c>
      <c r="Q202" s="3" t="str">
        <f>IF(J202=J319,"stop","")</f>
        <v/>
      </c>
      <c r="R202" s="3437" t="str">
        <f t="shared" si="183"/>
        <v/>
      </c>
      <c r="S202" s="1771" t="str">
        <f t="shared" si="183"/>
        <v/>
      </c>
      <c r="T202" s="1771" t="str">
        <f t="shared" si="183"/>
        <v/>
      </c>
      <c r="U202" s="1771" t="str">
        <f t="shared" si="183"/>
        <v/>
      </c>
      <c r="V202" s="3443" t="str">
        <f t="shared" si="183"/>
        <v/>
      </c>
      <c r="W202" s="1771" t="str">
        <f t="shared" si="183"/>
        <v/>
      </c>
      <c r="X202" s="1771" t="str">
        <f t="shared" si="183"/>
        <v/>
      </c>
      <c r="Y202" s="1771">
        <f t="shared" si="183"/>
        <v>0.02</v>
      </c>
      <c r="Z202" s="3437" t="str">
        <f t="shared" si="183"/>
        <v/>
      </c>
      <c r="AA202" s="1771" t="str">
        <f t="shared" si="183"/>
        <v/>
      </c>
      <c r="AB202" s="1771" t="str">
        <f t="shared" si="183"/>
        <v/>
      </c>
      <c r="AC202" s="3442" t="str">
        <f t="shared" si="183"/>
        <v/>
      </c>
      <c r="AD202" s="1771" t="str">
        <f t="shared" si="183"/>
        <v/>
      </c>
      <c r="AE202" s="1771" t="str">
        <f t="shared" si="183"/>
        <v/>
      </c>
      <c r="AF202" s="1771" t="str">
        <f t="shared" si="183"/>
        <v/>
      </c>
      <c r="AG202" s="3442" t="str">
        <f t="shared" si="182"/>
        <v/>
      </c>
      <c r="AH202" s="1771" t="str">
        <f t="shared" si="175"/>
        <v/>
      </c>
      <c r="AI202" s="3442" t="str">
        <f t="shared" si="175"/>
        <v/>
      </c>
      <c r="AJ202" s="3462"/>
      <c r="AK202" s="3439" t="str">
        <f>IF(J202=J319,"stop","")</f>
        <v/>
      </c>
      <c r="AL202" s="3437" t="str">
        <f t="shared" si="184"/>
        <v/>
      </c>
      <c r="AM202" s="1771" t="str">
        <f t="shared" si="184"/>
        <v/>
      </c>
      <c r="AN202" s="1771" t="str">
        <f t="shared" si="184"/>
        <v/>
      </c>
      <c r="AO202" s="1771" t="str">
        <f t="shared" si="184"/>
        <v/>
      </c>
      <c r="AP202" s="3443" t="str">
        <f t="shared" si="184"/>
        <v/>
      </c>
      <c r="AQ202" s="1771" t="str">
        <f t="shared" si="184"/>
        <v/>
      </c>
      <c r="AR202" s="1771" t="str">
        <f t="shared" si="184"/>
        <v/>
      </c>
      <c r="AS202" s="3442">
        <f t="shared" si="184"/>
        <v>0.16</v>
      </c>
      <c r="AT202" s="1771" t="str">
        <f t="shared" si="184"/>
        <v/>
      </c>
      <c r="AU202" s="1771" t="str">
        <f t="shared" si="184"/>
        <v/>
      </c>
      <c r="AV202" s="1771" t="str">
        <f t="shared" si="184"/>
        <v/>
      </c>
      <c r="AW202" s="3442" t="str">
        <f t="shared" si="184"/>
        <v/>
      </c>
      <c r="AX202" s="1771" t="str">
        <f t="shared" si="185"/>
        <v/>
      </c>
      <c r="AY202" s="1771" t="str">
        <f t="shared" si="185"/>
        <v/>
      </c>
      <c r="AZ202" s="1771" t="str">
        <f t="shared" si="185"/>
        <v/>
      </c>
      <c r="BA202" s="1771" t="str">
        <f t="shared" si="185"/>
        <v/>
      </c>
      <c r="BB202" s="3437" t="str">
        <f t="shared" si="185"/>
        <v/>
      </c>
      <c r="BC202" s="3443" t="str">
        <f t="shared" si="185"/>
        <v/>
      </c>
      <c r="BD202" s="3462"/>
      <c r="BE202" s="3440" t="str">
        <f>IF(J202=J319,"stop","")</f>
        <v/>
      </c>
      <c r="BF202" s="1771" t="str">
        <f t="shared" si="186"/>
        <v/>
      </c>
      <c r="BG202" s="1771" t="str">
        <f t="shared" si="186"/>
        <v/>
      </c>
      <c r="BH202" s="1771" t="str">
        <f t="shared" si="186"/>
        <v/>
      </c>
      <c r="BI202" s="1771" t="str">
        <f t="shared" si="186"/>
        <v/>
      </c>
      <c r="BJ202" s="3443" t="str">
        <f t="shared" si="186"/>
        <v/>
      </c>
      <c r="BK202" s="3437" t="str">
        <f t="shared" si="186"/>
        <v/>
      </c>
      <c r="BL202" s="1771" t="str">
        <f t="shared" si="186"/>
        <v/>
      </c>
      <c r="BM202" s="3442">
        <f t="shared" si="186"/>
        <v>5.6568542494923803E-2</v>
      </c>
      <c r="BN202" s="1771" t="str">
        <f t="shared" si="186"/>
        <v/>
      </c>
      <c r="BO202" s="1771" t="str">
        <f t="shared" si="186"/>
        <v/>
      </c>
      <c r="BP202" s="1771" t="str">
        <f t="shared" si="186"/>
        <v/>
      </c>
      <c r="BQ202" s="1771" t="str">
        <f t="shared" si="186"/>
        <v/>
      </c>
      <c r="BR202" s="3437" t="str">
        <f t="shared" si="187"/>
        <v/>
      </c>
      <c r="BS202" s="1771" t="str">
        <f t="shared" si="187"/>
        <v/>
      </c>
      <c r="BT202" s="1771" t="str">
        <f t="shared" si="187"/>
        <v/>
      </c>
      <c r="BU202" s="3442" t="str">
        <f t="shared" si="187"/>
        <v/>
      </c>
      <c r="BV202" s="1771" t="str">
        <f t="shared" si="187"/>
        <v/>
      </c>
      <c r="BW202" s="3442" t="str">
        <f t="shared" si="187"/>
        <v/>
      </c>
      <c r="BX202" s="3462"/>
      <c r="BY202" s="3439" t="str">
        <f>IF(L202=L319,"stop","")</f>
        <v/>
      </c>
      <c r="BZ202" s="3437" t="str">
        <f t="shared" si="188"/>
        <v/>
      </c>
      <c r="CA202" s="1771" t="str">
        <f t="shared" si="188"/>
        <v/>
      </c>
      <c r="CB202" s="1771" t="str">
        <f t="shared" si="188"/>
        <v/>
      </c>
      <c r="CC202" s="3442" t="str">
        <f t="shared" si="188"/>
        <v/>
      </c>
      <c r="CD202" s="1771" t="str">
        <f t="shared" si="188"/>
        <v/>
      </c>
      <c r="CE202" s="3437" t="str">
        <f t="shared" si="188"/>
        <v/>
      </c>
      <c r="CF202" s="1771" t="str">
        <f t="shared" si="188"/>
        <v/>
      </c>
      <c r="CG202" s="1771">
        <f t="shared" si="188"/>
        <v>0.09</v>
      </c>
      <c r="CH202" s="3437" t="str">
        <f t="shared" si="188"/>
        <v/>
      </c>
      <c r="CI202" s="1771" t="str">
        <f t="shared" si="188"/>
        <v/>
      </c>
      <c r="CJ202" s="1771" t="str">
        <f t="shared" si="188"/>
        <v/>
      </c>
      <c r="CK202" s="3442" t="str">
        <f t="shared" si="188"/>
        <v/>
      </c>
      <c r="CL202" s="3437" t="str">
        <f t="shared" si="189"/>
        <v/>
      </c>
      <c r="CM202" s="1771" t="str">
        <f t="shared" si="189"/>
        <v/>
      </c>
      <c r="CN202" s="1771" t="str">
        <f t="shared" si="189"/>
        <v/>
      </c>
      <c r="CO202" s="3442" t="str">
        <f t="shared" si="189"/>
        <v/>
      </c>
      <c r="CP202" s="1771" t="str">
        <f t="shared" si="189"/>
        <v/>
      </c>
      <c r="CQ202" s="3442" t="str">
        <f t="shared" si="189"/>
        <v/>
      </c>
      <c r="CR202" s="3462"/>
    </row>
    <row r="203" spans="1:96" s="3" customFormat="1">
      <c r="A203" s="1848" t="s">
        <v>829</v>
      </c>
      <c r="B203" s="816">
        <v>9</v>
      </c>
      <c r="C203" s="816"/>
      <c r="D203" s="816">
        <v>0.14000000000000001</v>
      </c>
      <c r="E203" s="1802" t="s">
        <v>35</v>
      </c>
      <c r="F203" s="816">
        <v>0.62</v>
      </c>
      <c r="G203" s="816" t="s">
        <v>784</v>
      </c>
      <c r="H203" s="816">
        <v>1988</v>
      </c>
      <c r="I203" s="50"/>
      <c r="J203" s="818">
        <f>J202</f>
        <v>8.77</v>
      </c>
      <c r="K203" s="816">
        <v>0.14000000000000001</v>
      </c>
      <c r="L203" s="816" t="s">
        <v>35</v>
      </c>
      <c r="M203" s="816">
        <v>0.62</v>
      </c>
      <c r="N203" s="845">
        <f t="shared" si="151"/>
        <v>0.29461839725312472</v>
      </c>
      <c r="O203" s="1831">
        <f t="shared" si="152"/>
        <v>0.38</v>
      </c>
      <c r="P203" s="825" t="s">
        <v>1087</v>
      </c>
      <c r="Q203" s="3" t="str">
        <f>IF(J203=J319,"stop","")</f>
        <v/>
      </c>
      <c r="R203" s="3437" t="str">
        <f t="shared" si="183"/>
        <v/>
      </c>
      <c r="S203" s="1771" t="str">
        <f t="shared" si="183"/>
        <v/>
      </c>
      <c r="T203" s="1771" t="str">
        <f t="shared" si="183"/>
        <v/>
      </c>
      <c r="U203" s="1771" t="str">
        <f t="shared" si="183"/>
        <v/>
      </c>
      <c r="V203" s="3443" t="str">
        <f t="shared" si="183"/>
        <v/>
      </c>
      <c r="W203" s="1771" t="str">
        <f t="shared" si="183"/>
        <v/>
      </c>
      <c r="X203" s="1771" t="str">
        <f t="shared" si="183"/>
        <v/>
      </c>
      <c r="Y203" s="1771">
        <f t="shared" si="183"/>
        <v>0.14000000000000001</v>
      </c>
      <c r="Z203" s="3437" t="str">
        <f t="shared" si="183"/>
        <v/>
      </c>
      <c r="AA203" s="1771" t="str">
        <f t="shared" si="183"/>
        <v/>
      </c>
      <c r="AB203" s="1771" t="str">
        <f t="shared" si="183"/>
        <v/>
      </c>
      <c r="AC203" s="3442" t="str">
        <f t="shared" si="183"/>
        <v/>
      </c>
      <c r="AD203" s="1771" t="str">
        <f t="shared" si="183"/>
        <v/>
      </c>
      <c r="AE203" s="1771" t="str">
        <f t="shared" si="183"/>
        <v/>
      </c>
      <c r="AF203" s="1771" t="str">
        <f t="shared" si="183"/>
        <v/>
      </c>
      <c r="AG203" s="3442" t="str">
        <f t="shared" si="182"/>
        <v/>
      </c>
      <c r="AH203" s="1771" t="str">
        <f t="shared" si="175"/>
        <v/>
      </c>
      <c r="AI203" s="3442" t="str">
        <f t="shared" si="175"/>
        <v/>
      </c>
      <c r="AJ203" s="3462"/>
      <c r="AK203" s="3439" t="str">
        <f>IF(J203=J319,"stop","")</f>
        <v/>
      </c>
      <c r="AL203" s="3437" t="str">
        <f t="shared" si="184"/>
        <v/>
      </c>
      <c r="AM203" s="1771" t="str">
        <f t="shared" si="184"/>
        <v/>
      </c>
      <c r="AN203" s="1771" t="str">
        <f t="shared" si="184"/>
        <v/>
      </c>
      <c r="AO203" s="1771" t="str">
        <f t="shared" si="184"/>
        <v/>
      </c>
      <c r="AP203" s="3443" t="str">
        <f t="shared" si="184"/>
        <v/>
      </c>
      <c r="AQ203" s="1771" t="str">
        <f t="shared" si="184"/>
        <v/>
      </c>
      <c r="AR203" s="1771" t="str">
        <f t="shared" si="184"/>
        <v/>
      </c>
      <c r="AS203" s="3442">
        <f t="shared" si="184"/>
        <v>0.62</v>
      </c>
      <c r="AT203" s="1771" t="str">
        <f t="shared" si="184"/>
        <v/>
      </c>
      <c r="AU203" s="1771" t="str">
        <f t="shared" si="184"/>
        <v/>
      </c>
      <c r="AV203" s="1771" t="str">
        <f t="shared" si="184"/>
        <v/>
      </c>
      <c r="AW203" s="3442" t="str">
        <f t="shared" si="184"/>
        <v/>
      </c>
      <c r="AX203" s="1771" t="str">
        <f t="shared" si="185"/>
        <v/>
      </c>
      <c r="AY203" s="1771" t="str">
        <f t="shared" si="185"/>
        <v/>
      </c>
      <c r="AZ203" s="1771" t="str">
        <f t="shared" si="185"/>
        <v/>
      </c>
      <c r="BA203" s="1771" t="str">
        <f t="shared" si="185"/>
        <v/>
      </c>
      <c r="BB203" s="3437" t="str">
        <f t="shared" si="185"/>
        <v/>
      </c>
      <c r="BC203" s="3443" t="str">
        <f t="shared" si="185"/>
        <v/>
      </c>
      <c r="BD203" s="3462"/>
      <c r="BE203" s="3440" t="str">
        <f>IF(J203=J319,"stop","")</f>
        <v/>
      </c>
      <c r="BF203" s="1771" t="str">
        <f t="shared" si="186"/>
        <v/>
      </c>
      <c r="BG203" s="1771" t="str">
        <f t="shared" si="186"/>
        <v/>
      </c>
      <c r="BH203" s="1771" t="str">
        <f t="shared" si="186"/>
        <v/>
      </c>
      <c r="BI203" s="1771" t="str">
        <f t="shared" si="186"/>
        <v/>
      </c>
      <c r="BJ203" s="3443" t="str">
        <f t="shared" si="186"/>
        <v/>
      </c>
      <c r="BK203" s="3437" t="str">
        <f t="shared" si="186"/>
        <v/>
      </c>
      <c r="BL203" s="1771" t="str">
        <f t="shared" si="186"/>
        <v/>
      </c>
      <c r="BM203" s="3442">
        <f t="shared" si="186"/>
        <v>0.29461839725312472</v>
      </c>
      <c r="BN203" s="1771" t="str">
        <f t="shared" si="186"/>
        <v/>
      </c>
      <c r="BO203" s="1771" t="str">
        <f t="shared" si="186"/>
        <v/>
      </c>
      <c r="BP203" s="1771" t="str">
        <f t="shared" si="186"/>
        <v/>
      </c>
      <c r="BQ203" s="1771" t="str">
        <f t="shared" si="186"/>
        <v/>
      </c>
      <c r="BR203" s="3437" t="str">
        <f t="shared" si="187"/>
        <v/>
      </c>
      <c r="BS203" s="1771" t="str">
        <f t="shared" si="187"/>
        <v/>
      </c>
      <c r="BT203" s="1771" t="str">
        <f t="shared" si="187"/>
        <v/>
      </c>
      <c r="BU203" s="3442" t="str">
        <f t="shared" si="187"/>
        <v/>
      </c>
      <c r="BV203" s="1771" t="str">
        <f t="shared" si="187"/>
        <v/>
      </c>
      <c r="BW203" s="3442" t="str">
        <f t="shared" si="187"/>
        <v/>
      </c>
      <c r="BX203" s="3462"/>
      <c r="BY203" s="3439" t="str">
        <f>IF(L203=L319,"stop","")</f>
        <v/>
      </c>
      <c r="BZ203" s="3437" t="str">
        <f t="shared" si="188"/>
        <v/>
      </c>
      <c r="CA203" s="1771" t="str">
        <f t="shared" si="188"/>
        <v/>
      </c>
      <c r="CB203" s="1771" t="str">
        <f t="shared" si="188"/>
        <v/>
      </c>
      <c r="CC203" s="3442" t="str">
        <f t="shared" si="188"/>
        <v/>
      </c>
      <c r="CD203" s="1771" t="str">
        <f t="shared" si="188"/>
        <v/>
      </c>
      <c r="CE203" s="3437" t="str">
        <f t="shared" si="188"/>
        <v/>
      </c>
      <c r="CF203" s="1771" t="str">
        <f t="shared" si="188"/>
        <v/>
      </c>
      <c r="CG203" s="1771">
        <f t="shared" si="188"/>
        <v>0.38</v>
      </c>
      <c r="CH203" s="3437" t="str">
        <f t="shared" si="188"/>
        <v/>
      </c>
      <c r="CI203" s="1771" t="str">
        <f t="shared" si="188"/>
        <v/>
      </c>
      <c r="CJ203" s="1771" t="str">
        <f t="shared" si="188"/>
        <v/>
      </c>
      <c r="CK203" s="3442" t="str">
        <f t="shared" si="188"/>
        <v/>
      </c>
      <c r="CL203" s="3437" t="str">
        <f t="shared" si="189"/>
        <v/>
      </c>
      <c r="CM203" s="1771" t="str">
        <f t="shared" si="189"/>
        <v/>
      </c>
      <c r="CN203" s="1771" t="str">
        <f t="shared" si="189"/>
        <v/>
      </c>
      <c r="CO203" s="3442" t="str">
        <f t="shared" si="189"/>
        <v/>
      </c>
      <c r="CP203" s="1771" t="str">
        <f t="shared" si="189"/>
        <v/>
      </c>
      <c r="CQ203" s="3442" t="str">
        <f t="shared" si="189"/>
        <v/>
      </c>
      <c r="CR203" s="3462"/>
    </row>
    <row r="204" spans="1:96" s="3" customFormat="1">
      <c r="A204" s="1848" t="s">
        <v>830</v>
      </c>
      <c r="B204" s="816">
        <v>9</v>
      </c>
      <c r="C204" s="816">
        <v>8.7799999999999994</v>
      </c>
      <c r="D204" s="816">
        <v>0.34</v>
      </c>
      <c r="E204" s="1802" t="s">
        <v>35</v>
      </c>
      <c r="F204" s="816">
        <v>0.85</v>
      </c>
      <c r="G204" s="816" t="s">
        <v>784</v>
      </c>
      <c r="H204" s="816">
        <v>1988</v>
      </c>
      <c r="I204" s="50"/>
      <c r="J204" s="816">
        <f t="shared" si="128"/>
        <v>8.7799999999999994</v>
      </c>
      <c r="K204" s="816">
        <v>0.34</v>
      </c>
      <c r="L204" s="816" t="s">
        <v>35</v>
      </c>
      <c r="M204" s="816">
        <v>0.85</v>
      </c>
      <c r="N204" s="845">
        <f t="shared" si="151"/>
        <v>0.53758720222862455</v>
      </c>
      <c r="O204" s="1831">
        <f t="shared" si="152"/>
        <v>0.59499999999999997</v>
      </c>
      <c r="P204" s="825" t="s">
        <v>1087</v>
      </c>
      <c r="Q204" s="3" t="str">
        <f>IF(J204=J319,"stop","")</f>
        <v/>
      </c>
      <c r="R204" s="3437" t="str">
        <f t="shared" si="183"/>
        <v/>
      </c>
      <c r="S204" s="1771" t="str">
        <f t="shared" si="183"/>
        <v/>
      </c>
      <c r="T204" s="1771" t="str">
        <f t="shared" si="183"/>
        <v/>
      </c>
      <c r="U204" s="1771" t="str">
        <f t="shared" si="183"/>
        <v/>
      </c>
      <c r="V204" s="3443" t="str">
        <f t="shared" si="183"/>
        <v/>
      </c>
      <c r="W204" s="1771" t="str">
        <f t="shared" si="183"/>
        <v/>
      </c>
      <c r="X204" s="1771" t="str">
        <f t="shared" si="183"/>
        <v/>
      </c>
      <c r="Y204" s="1771">
        <f t="shared" si="183"/>
        <v>0.34</v>
      </c>
      <c r="Z204" s="3437" t="str">
        <f t="shared" si="183"/>
        <v/>
      </c>
      <c r="AA204" s="1771" t="str">
        <f t="shared" si="183"/>
        <v/>
      </c>
      <c r="AB204" s="1771" t="str">
        <f t="shared" si="183"/>
        <v/>
      </c>
      <c r="AC204" s="3442" t="str">
        <f t="shared" si="183"/>
        <v/>
      </c>
      <c r="AD204" s="1771" t="str">
        <f t="shared" si="183"/>
        <v/>
      </c>
      <c r="AE204" s="1771" t="str">
        <f t="shared" si="183"/>
        <v/>
      </c>
      <c r="AF204" s="1771" t="str">
        <f t="shared" si="183"/>
        <v/>
      </c>
      <c r="AG204" s="3442" t="str">
        <f t="shared" si="182"/>
        <v/>
      </c>
      <c r="AH204" s="1771" t="str">
        <f t="shared" si="175"/>
        <v/>
      </c>
      <c r="AI204" s="3442" t="str">
        <f t="shared" si="175"/>
        <v/>
      </c>
      <c r="AJ204" s="3462"/>
      <c r="AK204" s="3439" t="str">
        <f>IF(J204=J319,"stop","")</f>
        <v/>
      </c>
      <c r="AL204" s="3437" t="str">
        <f t="shared" si="184"/>
        <v/>
      </c>
      <c r="AM204" s="1771" t="str">
        <f t="shared" si="184"/>
        <v/>
      </c>
      <c r="AN204" s="1771" t="str">
        <f t="shared" si="184"/>
        <v/>
      </c>
      <c r="AO204" s="1771" t="str">
        <f t="shared" si="184"/>
        <v/>
      </c>
      <c r="AP204" s="3443" t="str">
        <f t="shared" si="184"/>
        <v/>
      </c>
      <c r="AQ204" s="1771" t="str">
        <f t="shared" si="184"/>
        <v/>
      </c>
      <c r="AR204" s="1771" t="str">
        <f t="shared" si="184"/>
        <v/>
      </c>
      <c r="AS204" s="3442">
        <f t="shared" si="184"/>
        <v>0.85</v>
      </c>
      <c r="AT204" s="1771" t="str">
        <f t="shared" si="184"/>
        <v/>
      </c>
      <c r="AU204" s="1771" t="str">
        <f t="shared" si="184"/>
        <v/>
      </c>
      <c r="AV204" s="1771" t="str">
        <f t="shared" si="184"/>
        <v/>
      </c>
      <c r="AW204" s="3442" t="str">
        <f t="shared" si="184"/>
        <v/>
      </c>
      <c r="AX204" s="1771" t="str">
        <f t="shared" si="185"/>
        <v/>
      </c>
      <c r="AY204" s="1771" t="str">
        <f t="shared" si="185"/>
        <v/>
      </c>
      <c r="AZ204" s="1771" t="str">
        <f t="shared" si="185"/>
        <v/>
      </c>
      <c r="BA204" s="1771" t="str">
        <f t="shared" si="185"/>
        <v/>
      </c>
      <c r="BB204" s="3437" t="str">
        <f t="shared" si="185"/>
        <v/>
      </c>
      <c r="BC204" s="3443" t="str">
        <f t="shared" si="185"/>
        <v/>
      </c>
      <c r="BD204" s="3462"/>
      <c r="BE204" s="3440" t="str">
        <f>IF(J204=J319,"stop","")</f>
        <v/>
      </c>
      <c r="BF204" s="1771" t="str">
        <f t="shared" si="186"/>
        <v/>
      </c>
      <c r="BG204" s="1771" t="str">
        <f t="shared" si="186"/>
        <v/>
      </c>
      <c r="BH204" s="1771" t="str">
        <f t="shared" si="186"/>
        <v/>
      </c>
      <c r="BI204" s="1771" t="str">
        <f t="shared" si="186"/>
        <v/>
      </c>
      <c r="BJ204" s="3443" t="str">
        <f t="shared" si="186"/>
        <v/>
      </c>
      <c r="BK204" s="3437" t="str">
        <f t="shared" si="186"/>
        <v/>
      </c>
      <c r="BL204" s="1771" t="str">
        <f t="shared" si="186"/>
        <v/>
      </c>
      <c r="BM204" s="3442">
        <f t="shared" si="186"/>
        <v>0.53758720222862455</v>
      </c>
      <c r="BN204" s="1771" t="str">
        <f t="shared" si="186"/>
        <v/>
      </c>
      <c r="BO204" s="1771" t="str">
        <f t="shared" si="186"/>
        <v/>
      </c>
      <c r="BP204" s="1771" t="str">
        <f t="shared" si="186"/>
        <v/>
      </c>
      <c r="BQ204" s="1771" t="str">
        <f t="shared" si="186"/>
        <v/>
      </c>
      <c r="BR204" s="3437" t="str">
        <f t="shared" si="187"/>
        <v/>
      </c>
      <c r="BS204" s="1771" t="str">
        <f t="shared" si="187"/>
        <v/>
      </c>
      <c r="BT204" s="1771" t="str">
        <f t="shared" si="187"/>
        <v/>
      </c>
      <c r="BU204" s="3442" t="str">
        <f t="shared" si="187"/>
        <v/>
      </c>
      <c r="BV204" s="1771" t="str">
        <f t="shared" si="187"/>
        <v/>
      </c>
      <c r="BW204" s="3442" t="str">
        <f t="shared" si="187"/>
        <v/>
      </c>
      <c r="BX204" s="3462"/>
      <c r="BY204" s="3439" t="str">
        <f>IF(L204=L319,"stop","")</f>
        <v/>
      </c>
      <c r="BZ204" s="3437" t="str">
        <f t="shared" si="188"/>
        <v/>
      </c>
      <c r="CA204" s="1771" t="str">
        <f t="shared" si="188"/>
        <v/>
      </c>
      <c r="CB204" s="1771" t="str">
        <f t="shared" si="188"/>
        <v/>
      </c>
      <c r="CC204" s="3442" t="str">
        <f t="shared" si="188"/>
        <v/>
      </c>
      <c r="CD204" s="1771" t="str">
        <f t="shared" si="188"/>
        <v/>
      </c>
      <c r="CE204" s="3437" t="str">
        <f t="shared" si="188"/>
        <v/>
      </c>
      <c r="CF204" s="1771" t="str">
        <f t="shared" si="188"/>
        <v/>
      </c>
      <c r="CG204" s="1771">
        <f t="shared" si="188"/>
        <v>0.59499999999999997</v>
      </c>
      <c r="CH204" s="3437" t="str">
        <f t="shared" si="188"/>
        <v/>
      </c>
      <c r="CI204" s="1771" t="str">
        <f t="shared" si="188"/>
        <v/>
      </c>
      <c r="CJ204" s="1771" t="str">
        <f t="shared" si="188"/>
        <v/>
      </c>
      <c r="CK204" s="3442" t="str">
        <f t="shared" si="188"/>
        <v/>
      </c>
      <c r="CL204" s="3437" t="str">
        <f t="shared" si="189"/>
        <v/>
      </c>
      <c r="CM204" s="1771" t="str">
        <f t="shared" si="189"/>
        <v/>
      </c>
      <c r="CN204" s="1771" t="str">
        <f t="shared" si="189"/>
        <v/>
      </c>
      <c r="CO204" s="3442" t="str">
        <f t="shared" si="189"/>
        <v/>
      </c>
      <c r="CP204" s="1771" t="str">
        <f t="shared" si="189"/>
        <v/>
      </c>
      <c r="CQ204" s="3442" t="str">
        <f t="shared" si="189"/>
        <v/>
      </c>
      <c r="CR204" s="3462"/>
    </row>
    <row r="205" spans="1:96" s="3" customFormat="1">
      <c r="A205" s="1848" t="s">
        <v>831</v>
      </c>
      <c r="B205" s="816">
        <v>9</v>
      </c>
      <c r="C205" s="816">
        <v>8.7100000000000009</v>
      </c>
      <c r="D205" s="816">
        <v>0.11</v>
      </c>
      <c r="E205" s="1802" t="s">
        <v>35</v>
      </c>
      <c r="F205" s="816">
        <v>0.55000000000000004</v>
      </c>
      <c r="G205" s="816" t="s">
        <v>784</v>
      </c>
      <c r="H205" s="816">
        <v>1988</v>
      </c>
      <c r="I205" s="50"/>
      <c r="J205" s="816">
        <f t="shared" si="128"/>
        <v>8.7100000000000009</v>
      </c>
      <c r="K205" s="816">
        <v>0.11</v>
      </c>
      <c r="L205" s="816" t="s">
        <v>35</v>
      </c>
      <c r="M205" s="816">
        <v>0.55000000000000004</v>
      </c>
      <c r="N205" s="845">
        <f t="shared" si="151"/>
        <v>0.24596747752497689</v>
      </c>
      <c r="O205" s="1831">
        <f t="shared" si="152"/>
        <v>0.33</v>
      </c>
      <c r="P205" s="825" t="s">
        <v>1087</v>
      </c>
      <c r="Q205" s="3" t="str">
        <f>IF(J205=J319,"stop","")</f>
        <v/>
      </c>
      <c r="R205" s="3437" t="str">
        <f t="shared" si="183"/>
        <v/>
      </c>
      <c r="S205" s="1771" t="str">
        <f t="shared" si="183"/>
        <v/>
      </c>
      <c r="T205" s="1771" t="str">
        <f t="shared" si="183"/>
        <v/>
      </c>
      <c r="U205" s="1771" t="str">
        <f t="shared" si="183"/>
        <v/>
      </c>
      <c r="V205" s="3443" t="str">
        <f t="shared" si="183"/>
        <v/>
      </c>
      <c r="W205" s="1771" t="str">
        <f t="shared" si="183"/>
        <v/>
      </c>
      <c r="X205" s="1771" t="str">
        <f t="shared" si="183"/>
        <v/>
      </c>
      <c r="Y205" s="1771">
        <f t="shared" si="183"/>
        <v>0.11</v>
      </c>
      <c r="Z205" s="3437" t="str">
        <f t="shared" si="183"/>
        <v/>
      </c>
      <c r="AA205" s="1771" t="str">
        <f t="shared" si="183"/>
        <v/>
      </c>
      <c r="AB205" s="1771" t="str">
        <f t="shared" si="183"/>
        <v/>
      </c>
      <c r="AC205" s="3442" t="str">
        <f t="shared" si="183"/>
        <v/>
      </c>
      <c r="AD205" s="1771" t="str">
        <f t="shared" si="183"/>
        <v/>
      </c>
      <c r="AE205" s="1771" t="str">
        <f t="shared" si="183"/>
        <v/>
      </c>
      <c r="AF205" s="1771" t="str">
        <f t="shared" si="183"/>
        <v/>
      </c>
      <c r="AG205" s="3442" t="str">
        <f t="shared" si="182"/>
        <v/>
      </c>
      <c r="AH205" s="1771" t="str">
        <f t="shared" si="175"/>
        <v/>
      </c>
      <c r="AI205" s="3442" t="str">
        <f t="shared" si="175"/>
        <v/>
      </c>
      <c r="AJ205" s="3462"/>
      <c r="AK205" s="3439" t="str">
        <f>IF(J205=J319,"stop","")</f>
        <v/>
      </c>
      <c r="AL205" s="3437" t="str">
        <f t="shared" si="184"/>
        <v/>
      </c>
      <c r="AM205" s="1771" t="str">
        <f t="shared" si="184"/>
        <v/>
      </c>
      <c r="AN205" s="1771" t="str">
        <f t="shared" si="184"/>
        <v/>
      </c>
      <c r="AO205" s="1771" t="str">
        <f t="shared" si="184"/>
        <v/>
      </c>
      <c r="AP205" s="3443" t="str">
        <f t="shared" si="184"/>
        <v/>
      </c>
      <c r="AQ205" s="1771" t="str">
        <f t="shared" si="184"/>
        <v/>
      </c>
      <c r="AR205" s="1771" t="str">
        <f t="shared" si="184"/>
        <v/>
      </c>
      <c r="AS205" s="3442">
        <f t="shared" si="184"/>
        <v>0.55000000000000004</v>
      </c>
      <c r="AT205" s="1771" t="str">
        <f t="shared" si="184"/>
        <v/>
      </c>
      <c r="AU205" s="1771" t="str">
        <f t="shared" si="184"/>
        <v/>
      </c>
      <c r="AV205" s="1771" t="str">
        <f t="shared" si="184"/>
        <v/>
      </c>
      <c r="AW205" s="3442" t="str">
        <f t="shared" si="184"/>
        <v/>
      </c>
      <c r="AX205" s="1771" t="str">
        <f t="shared" si="185"/>
        <v/>
      </c>
      <c r="AY205" s="1771" t="str">
        <f t="shared" si="185"/>
        <v/>
      </c>
      <c r="AZ205" s="1771" t="str">
        <f t="shared" si="185"/>
        <v/>
      </c>
      <c r="BA205" s="1771" t="str">
        <f t="shared" si="185"/>
        <v/>
      </c>
      <c r="BB205" s="3437" t="str">
        <f t="shared" si="185"/>
        <v/>
      </c>
      <c r="BC205" s="3443" t="str">
        <f t="shared" si="185"/>
        <v/>
      </c>
      <c r="BD205" s="3462"/>
      <c r="BE205" s="3440" t="str">
        <f>IF(J205=J319,"stop","")</f>
        <v/>
      </c>
      <c r="BF205" s="1771" t="str">
        <f t="shared" si="186"/>
        <v/>
      </c>
      <c r="BG205" s="1771" t="str">
        <f t="shared" si="186"/>
        <v/>
      </c>
      <c r="BH205" s="1771" t="str">
        <f t="shared" si="186"/>
        <v/>
      </c>
      <c r="BI205" s="1771" t="str">
        <f t="shared" si="186"/>
        <v/>
      </c>
      <c r="BJ205" s="3443" t="str">
        <f t="shared" si="186"/>
        <v/>
      </c>
      <c r="BK205" s="3437" t="str">
        <f t="shared" si="186"/>
        <v/>
      </c>
      <c r="BL205" s="1771" t="str">
        <f t="shared" si="186"/>
        <v/>
      </c>
      <c r="BM205" s="3442">
        <f t="shared" si="186"/>
        <v>0.24596747752497689</v>
      </c>
      <c r="BN205" s="1771" t="str">
        <f t="shared" si="186"/>
        <v/>
      </c>
      <c r="BO205" s="1771" t="str">
        <f t="shared" si="186"/>
        <v/>
      </c>
      <c r="BP205" s="1771" t="str">
        <f t="shared" si="186"/>
        <v/>
      </c>
      <c r="BQ205" s="1771" t="str">
        <f t="shared" si="186"/>
        <v/>
      </c>
      <c r="BR205" s="3437" t="str">
        <f t="shared" si="187"/>
        <v/>
      </c>
      <c r="BS205" s="1771" t="str">
        <f t="shared" si="187"/>
        <v/>
      </c>
      <c r="BT205" s="1771" t="str">
        <f t="shared" si="187"/>
        <v/>
      </c>
      <c r="BU205" s="3442" t="str">
        <f t="shared" si="187"/>
        <v/>
      </c>
      <c r="BV205" s="1771" t="str">
        <f t="shared" si="187"/>
        <v/>
      </c>
      <c r="BW205" s="3442" t="str">
        <f t="shared" si="187"/>
        <v/>
      </c>
      <c r="BX205" s="3462"/>
      <c r="BY205" s="3439" t="str">
        <f>IF(L205=L319,"stop","")</f>
        <v/>
      </c>
      <c r="BZ205" s="3437" t="str">
        <f t="shared" si="188"/>
        <v/>
      </c>
      <c r="CA205" s="1771" t="str">
        <f t="shared" si="188"/>
        <v/>
      </c>
      <c r="CB205" s="1771" t="str">
        <f t="shared" si="188"/>
        <v/>
      </c>
      <c r="CC205" s="3442" t="str">
        <f t="shared" si="188"/>
        <v/>
      </c>
      <c r="CD205" s="1771" t="str">
        <f t="shared" si="188"/>
        <v/>
      </c>
      <c r="CE205" s="3437" t="str">
        <f t="shared" si="188"/>
        <v/>
      </c>
      <c r="CF205" s="1771" t="str">
        <f t="shared" si="188"/>
        <v/>
      </c>
      <c r="CG205" s="1771">
        <f t="shared" si="188"/>
        <v>0.33</v>
      </c>
      <c r="CH205" s="3437" t="str">
        <f t="shared" si="188"/>
        <v/>
      </c>
      <c r="CI205" s="1771" t="str">
        <f t="shared" si="188"/>
        <v/>
      </c>
      <c r="CJ205" s="1771" t="str">
        <f t="shared" si="188"/>
        <v/>
      </c>
      <c r="CK205" s="3442" t="str">
        <f t="shared" si="188"/>
        <v/>
      </c>
      <c r="CL205" s="3437" t="str">
        <f t="shared" si="189"/>
        <v/>
      </c>
      <c r="CM205" s="1771" t="str">
        <f t="shared" si="189"/>
        <v/>
      </c>
      <c r="CN205" s="1771" t="str">
        <f t="shared" si="189"/>
        <v/>
      </c>
      <c r="CO205" s="3442" t="str">
        <f t="shared" si="189"/>
        <v/>
      </c>
      <c r="CP205" s="1771" t="str">
        <f t="shared" si="189"/>
        <v/>
      </c>
      <c r="CQ205" s="3442" t="str">
        <f t="shared" si="189"/>
        <v/>
      </c>
      <c r="CR205" s="3462"/>
    </row>
    <row r="206" spans="1:96" s="3" customFormat="1">
      <c r="A206" s="1848" t="s">
        <v>832</v>
      </c>
      <c r="B206" s="816">
        <v>10</v>
      </c>
      <c r="C206" s="816">
        <v>9.32</v>
      </c>
      <c r="D206" s="816">
        <v>0.06</v>
      </c>
      <c r="E206" s="1802" t="s">
        <v>35</v>
      </c>
      <c r="F206" s="816">
        <v>0.12</v>
      </c>
      <c r="G206" s="816" t="s">
        <v>784</v>
      </c>
      <c r="H206" s="816">
        <v>1988</v>
      </c>
      <c r="I206" s="50"/>
      <c r="J206" s="816">
        <f t="shared" si="128"/>
        <v>9.32</v>
      </c>
      <c r="K206" s="816">
        <v>0.06</v>
      </c>
      <c r="L206" s="816" t="s">
        <v>35</v>
      </c>
      <c r="M206" s="816">
        <v>0.12</v>
      </c>
      <c r="N206" s="845">
        <f t="shared" si="151"/>
        <v>8.4852813742385708E-2</v>
      </c>
      <c r="O206" s="1831">
        <f t="shared" si="152"/>
        <v>0.09</v>
      </c>
      <c r="P206" s="825" t="s">
        <v>1087</v>
      </c>
      <c r="Q206" s="3" t="str">
        <f>IF(J206=J319,"stop","")</f>
        <v/>
      </c>
      <c r="R206" s="3437" t="str">
        <f t="shared" si="183"/>
        <v/>
      </c>
      <c r="S206" s="1771" t="str">
        <f t="shared" si="183"/>
        <v/>
      </c>
      <c r="T206" s="1771" t="str">
        <f t="shared" si="183"/>
        <v/>
      </c>
      <c r="U206" s="1771" t="str">
        <f t="shared" si="183"/>
        <v/>
      </c>
      <c r="V206" s="3443" t="str">
        <f t="shared" si="183"/>
        <v/>
      </c>
      <c r="W206" s="1771" t="str">
        <f t="shared" si="183"/>
        <v/>
      </c>
      <c r="X206" s="1771" t="str">
        <f t="shared" si="183"/>
        <v/>
      </c>
      <c r="Y206" s="1771">
        <f t="shared" si="183"/>
        <v>0.06</v>
      </c>
      <c r="Z206" s="3437" t="str">
        <f t="shared" si="183"/>
        <v/>
      </c>
      <c r="AA206" s="1771" t="str">
        <f t="shared" si="183"/>
        <v/>
      </c>
      <c r="AB206" s="1771" t="str">
        <f t="shared" si="183"/>
        <v/>
      </c>
      <c r="AC206" s="3442" t="str">
        <f t="shared" si="183"/>
        <v/>
      </c>
      <c r="AD206" s="1771" t="str">
        <f t="shared" si="183"/>
        <v/>
      </c>
      <c r="AE206" s="1771" t="str">
        <f t="shared" si="183"/>
        <v/>
      </c>
      <c r="AF206" s="1771" t="str">
        <f t="shared" si="183"/>
        <v/>
      </c>
      <c r="AG206" s="3442" t="str">
        <f t="shared" si="182"/>
        <v/>
      </c>
      <c r="AH206" s="1771" t="str">
        <f t="shared" si="175"/>
        <v/>
      </c>
      <c r="AI206" s="3442" t="str">
        <f t="shared" si="175"/>
        <v/>
      </c>
      <c r="AJ206" s="3462"/>
      <c r="AK206" s="3439" t="str">
        <f>IF(J206=J319,"stop","")</f>
        <v/>
      </c>
      <c r="AL206" s="3437" t="str">
        <f t="shared" si="184"/>
        <v/>
      </c>
      <c r="AM206" s="1771" t="str">
        <f t="shared" si="184"/>
        <v/>
      </c>
      <c r="AN206" s="1771" t="str">
        <f t="shared" si="184"/>
        <v/>
      </c>
      <c r="AO206" s="1771" t="str">
        <f t="shared" si="184"/>
        <v/>
      </c>
      <c r="AP206" s="3443" t="str">
        <f t="shared" si="184"/>
        <v/>
      </c>
      <c r="AQ206" s="1771" t="str">
        <f t="shared" si="184"/>
        <v/>
      </c>
      <c r="AR206" s="1771" t="str">
        <f t="shared" si="184"/>
        <v/>
      </c>
      <c r="AS206" s="3442">
        <f t="shared" si="184"/>
        <v>0.12</v>
      </c>
      <c r="AT206" s="1771" t="str">
        <f t="shared" si="184"/>
        <v/>
      </c>
      <c r="AU206" s="1771" t="str">
        <f t="shared" si="184"/>
        <v/>
      </c>
      <c r="AV206" s="1771" t="str">
        <f t="shared" si="184"/>
        <v/>
      </c>
      <c r="AW206" s="3442" t="str">
        <f t="shared" si="184"/>
        <v/>
      </c>
      <c r="AX206" s="1771" t="str">
        <f t="shared" si="185"/>
        <v/>
      </c>
      <c r="AY206" s="1771" t="str">
        <f t="shared" si="185"/>
        <v/>
      </c>
      <c r="AZ206" s="1771" t="str">
        <f t="shared" si="185"/>
        <v/>
      </c>
      <c r="BA206" s="1771" t="str">
        <f t="shared" si="185"/>
        <v/>
      </c>
      <c r="BB206" s="3437" t="str">
        <f t="shared" si="185"/>
        <v/>
      </c>
      <c r="BC206" s="3443" t="str">
        <f t="shared" si="185"/>
        <v/>
      </c>
      <c r="BD206" s="3462"/>
      <c r="BE206" s="3440" t="str">
        <f>IF(J206=J319,"stop","")</f>
        <v/>
      </c>
      <c r="BF206" s="1771" t="str">
        <f t="shared" si="186"/>
        <v/>
      </c>
      <c r="BG206" s="1771" t="str">
        <f t="shared" si="186"/>
        <v/>
      </c>
      <c r="BH206" s="1771" t="str">
        <f t="shared" si="186"/>
        <v/>
      </c>
      <c r="BI206" s="1771" t="str">
        <f t="shared" si="186"/>
        <v/>
      </c>
      <c r="BJ206" s="3443" t="str">
        <f t="shared" si="186"/>
        <v/>
      </c>
      <c r="BK206" s="3437" t="str">
        <f t="shared" si="186"/>
        <v/>
      </c>
      <c r="BL206" s="1771" t="str">
        <f t="shared" si="186"/>
        <v/>
      </c>
      <c r="BM206" s="3442">
        <f t="shared" si="186"/>
        <v>8.4852813742385708E-2</v>
      </c>
      <c r="BN206" s="1771" t="str">
        <f t="shared" si="186"/>
        <v/>
      </c>
      <c r="BO206" s="1771" t="str">
        <f t="shared" si="186"/>
        <v/>
      </c>
      <c r="BP206" s="1771" t="str">
        <f t="shared" si="186"/>
        <v/>
      </c>
      <c r="BQ206" s="1771" t="str">
        <f t="shared" si="186"/>
        <v/>
      </c>
      <c r="BR206" s="3437" t="str">
        <f t="shared" si="187"/>
        <v/>
      </c>
      <c r="BS206" s="1771" t="str">
        <f t="shared" si="187"/>
        <v/>
      </c>
      <c r="BT206" s="1771" t="str">
        <f t="shared" si="187"/>
        <v/>
      </c>
      <c r="BU206" s="3442" t="str">
        <f t="shared" si="187"/>
        <v/>
      </c>
      <c r="BV206" s="1771" t="str">
        <f t="shared" si="187"/>
        <v/>
      </c>
      <c r="BW206" s="3442" t="str">
        <f t="shared" si="187"/>
        <v/>
      </c>
      <c r="BX206" s="3462"/>
      <c r="BY206" s="3439" t="str">
        <f>IF(L206=L319,"stop","")</f>
        <v/>
      </c>
      <c r="BZ206" s="3437" t="str">
        <f t="shared" si="188"/>
        <v/>
      </c>
      <c r="CA206" s="1771" t="str">
        <f t="shared" si="188"/>
        <v/>
      </c>
      <c r="CB206" s="1771" t="str">
        <f t="shared" si="188"/>
        <v/>
      </c>
      <c r="CC206" s="3442" t="str">
        <f t="shared" si="188"/>
        <v/>
      </c>
      <c r="CD206" s="1771" t="str">
        <f t="shared" si="188"/>
        <v/>
      </c>
      <c r="CE206" s="3437" t="str">
        <f t="shared" si="188"/>
        <v/>
      </c>
      <c r="CF206" s="1771" t="str">
        <f t="shared" si="188"/>
        <v/>
      </c>
      <c r="CG206" s="1771">
        <f t="shared" si="188"/>
        <v>0.09</v>
      </c>
      <c r="CH206" s="3437" t="str">
        <f t="shared" si="188"/>
        <v/>
      </c>
      <c r="CI206" s="1771" t="str">
        <f t="shared" si="188"/>
        <v/>
      </c>
      <c r="CJ206" s="1771" t="str">
        <f t="shared" si="188"/>
        <v/>
      </c>
      <c r="CK206" s="3442" t="str">
        <f t="shared" si="188"/>
        <v/>
      </c>
      <c r="CL206" s="3437" t="str">
        <f t="shared" si="189"/>
        <v/>
      </c>
      <c r="CM206" s="1771" t="str">
        <f t="shared" si="189"/>
        <v/>
      </c>
      <c r="CN206" s="1771" t="str">
        <f t="shared" si="189"/>
        <v/>
      </c>
      <c r="CO206" s="3442" t="str">
        <f t="shared" si="189"/>
        <v/>
      </c>
      <c r="CP206" s="1771" t="str">
        <f t="shared" si="189"/>
        <v/>
      </c>
      <c r="CQ206" s="3442" t="str">
        <f t="shared" si="189"/>
        <v/>
      </c>
      <c r="CR206" s="3462"/>
    </row>
    <row r="207" spans="1:96" s="3" customFormat="1">
      <c r="A207" s="1845" t="s">
        <v>833</v>
      </c>
      <c r="B207" s="817">
        <v>10</v>
      </c>
      <c r="C207" s="817">
        <v>9.7200000000000006</v>
      </c>
      <c r="D207" s="817">
        <v>0.06</v>
      </c>
      <c r="E207" s="1802" t="s">
        <v>35</v>
      </c>
      <c r="F207" s="817">
        <v>0.41</v>
      </c>
      <c r="G207" s="817" t="s">
        <v>784</v>
      </c>
      <c r="H207" s="817">
        <v>1988</v>
      </c>
      <c r="I207" s="50"/>
      <c r="J207" s="816">
        <f t="shared" si="128"/>
        <v>9.7200000000000006</v>
      </c>
      <c r="K207" s="817">
        <v>0.06</v>
      </c>
      <c r="L207" s="817" t="s">
        <v>35</v>
      </c>
      <c r="M207" s="817">
        <v>0.41</v>
      </c>
      <c r="N207" s="845">
        <f t="shared" si="151"/>
        <v>0.15684387141358122</v>
      </c>
      <c r="O207" s="1831">
        <f t="shared" si="152"/>
        <v>0.23499999999999999</v>
      </c>
      <c r="P207" s="825" t="s">
        <v>1087</v>
      </c>
      <c r="Q207" s="3" t="str">
        <f>IF(J207=J319,"stop","")</f>
        <v/>
      </c>
      <c r="R207" s="3437" t="str">
        <f t="shared" si="183"/>
        <v/>
      </c>
      <c r="S207" s="1771" t="str">
        <f t="shared" si="183"/>
        <v/>
      </c>
      <c r="T207" s="1771" t="str">
        <f t="shared" si="183"/>
        <v/>
      </c>
      <c r="U207" s="1771" t="str">
        <f t="shared" si="183"/>
        <v/>
      </c>
      <c r="V207" s="3443" t="str">
        <f t="shared" si="183"/>
        <v/>
      </c>
      <c r="W207" s="1771" t="str">
        <f t="shared" si="183"/>
        <v/>
      </c>
      <c r="X207" s="1771" t="str">
        <f t="shared" si="183"/>
        <v/>
      </c>
      <c r="Y207" s="1771">
        <f t="shared" si="183"/>
        <v>0.06</v>
      </c>
      <c r="Z207" s="3437" t="str">
        <f t="shared" si="183"/>
        <v/>
      </c>
      <c r="AA207" s="1771" t="str">
        <f t="shared" si="183"/>
        <v/>
      </c>
      <c r="AB207" s="1771" t="str">
        <f t="shared" si="183"/>
        <v/>
      </c>
      <c r="AC207" s="3442" t="str">
        <f t="shared" si="183"/>
        <v/>
      </c>
      <c r="AD207" s="1771" t="str">
        <f t="shared" si="183"/>
        <v/>
      </c>
      <c r="AE207" s="1771" t="str">
        <f t="shared" si="183"/>
        <v/>
      </c>
      <c r="AF207" s="1771" t="str">
        <f t="shared" si="183"/>
        <v/>
      </c>
      <c r="AG207" s="3442" t="str">
        <f t="shared" si="182"/>
        <v/>
      </c>
      <c r="AH207" s="1771" t="str">
        <f t="shared" si="175"/>
        <v/>
      </c>
      <c r="AI207" s="3442" t="str">
        <f t="shared" si="175"/>
        <v/>
      </c>
      <c r="AJ207" s="3462"/>
      <c r="AK207" s="3439" t="str">
        <f>IF(J207=J319,"stop","")</f>
        <v/>
      </c>
      <c r="AL207" s="3437" t="str">
        <f t="shared" si="184"/>
        <v/>
      </c>
      <c r="AM207" s="1771" t="str">
        <f t="shared" si="184"/>
        <v/>
      </c>
      <c r="AN207" s="1771" t="str">
        <f t="shared" si="184"/>
        <v/>
      </c>
      <c r="AO207" s="1771" t="str">
        <f t="shared" si="184"/>
        <v/>
      </c>
      <c r="AP207" s="3443" t="str">
        <f t="shared" si="184"/>
        <v/>
      </c>
      <c r="AQ207" s="1771" t="str">
        <f t="shared" si="184"/>
        <v/>
      </c>
      <c r="AR207" s="1771" t="str">
        <f t="shared" si="184"/>
        <v/>
      </c>
      <c r="AS207" s="3442">
        <f t="shared" si="184"/>
        <v>0.41</v>
      </c>
      <c r="AT207" s="1771" t="str">
        <f t="shared" si="184"/>
        <v/>
      </c>
      <c r="AU207" s="1771" t="str">
        <f t="shared" si="184"/>
        <v/>
      </c>
      <c r="AV207" s="1771" t="str">
        <f t="shared" si="184"/>
        <v/>
      </c>
      <c r="AW207" s="3442" t="str">
        <f t="shared" si="184"/>
        <v/>
      </c>
      <c r="AX207" s="1771" t="str">
        <f t="shared" si="185"/>
        <v/>
      </c>
      <c r="AY207" s="1771" t="str">
        <f t="shared" si="185"/>
        <v/>
      </c>
      <c r="AZ207" s="1771" t="str">
        <f t="shared" si="185"/>
        <v/>
      </c>
      <c r="BA207" s="1771" t="str">
        <f t="shared" si="185"/>
        <v/>
      </c>
      <c r="BB207" s="3437" t="str">
        <f t="shared" si="185"/>
        <v/>
      </c>
      <c r="BC207" s="3443" t="str">
        <f t="shared" si="185"/>
        <v/>
      </c>
      <c r="BD207" s="3462"/>
      <c r="BE207" s="3440" t="str">
        <f>IF(J207=J319,"stop","")</f>
        <v/>
      </c>
      <c r="BF207" s="1771" t="str">
        <f t="shared" si="186"/>
        <v/>
      </c>
      <c r="BG207" s="1771" t="str">
        <f t="shared" si="186"/>
        <v/>
      </c>
      <c r="BH207" s="1771" t="str">
        <f t="shared" si="186"/>
        <v/>
      </c>
      <c r="BI207" s="1771" t="str">
        <f t="shared" si="186"/>
        <v/>
      </c>
      <c r="BJ207" s="3443" t="str">
        <f t="shared" si="186"/>
        <v/>
      </c>
      <c r="BK207" s="3437" t="str">
        <f t="shared" si="186"/>
        <v/>
      </c>
      <c r="BL207" s="1771" t="str">
        <f t="shared" si="186"/>
        <v/>
      </c>
      <c r="BM207" s="3442">
        <f t="shared" si="186"/>
        <v>0.15684387141358122</v>
      </c>
      <c r="BN207" s="1771" t="str">
        <f t="shared" si="186"/>
        <v/>
      </c>
      <c r="BO207" s="1771" t="str">
        <f t="shared" si="186"/>
        <v/>
      </c>
      <c r="BP207" s="1771" t="str">
        <f t="shared" si="186"/>
        <v/>
      </c>
      <c r="BQ207" s="1771" t="str">
        <f t="shared" si="186"/>
        <v/>
      </c>
      <c r="BR207" s="3437" t="str">
        <f t="shared" si="187"/>
        <v/>
      </c>
      <c r="BS207" s="1771" t="str">
        <f t="shared" si="187"/>
        <v/>
      </c>
      <c r="BT207" s="1771" t="str">
        <f t="shared" si="187"/>
        <v/>
      </c>
      <c r="BU207" s="3442" t="str">
        <f t="shared" si="187"/>
        <v/>
      </c>
      <c r="BV207" s="1771" t="str">
        <f t="shared" si="187"/>
        <v/>
      </c>
      <c r="BW207" s="3442" t="str">
        <f t="shared" si="187"/>
        <v/>
      </c>
      <c r="BX207" s="3462"/>
      <c r="BY207" s="3439" t="str">
        <f>IF(L207=L319,"stop","")</f>
        <v/>
      </c>
      <c r="BZ207" s="3437" t="str">
        <f t="shared" si="188"/>
        <v/>
      </c>
      <c r="CA207" s="1771" t="str">
        <f t="shared" si="188"/>
        <v/>
      </c>
      <c r="CB207" s="1771" t="str">
        <f t="shared" si="188"/>
        <v/>
      </c>
      <c r="CC207" s="3442" t="str">
        <f t="shared" si="188"/>
        <v/>
      </c>
      <c r="CD207" s="1771" t="str">
        <f t="shared" si="188"/>
        <v/>
      </c>
      <c r="CE207" s="3437" t="str">
        <f t="shared" si="188"/>
        <v/>
      </c>
      <c r="CF207" s="1771" t="str">
        <f t="shared" si="188"/>
        <v/>
      </c>
      <c r="CG207" s="1771">
        <f t="shared" si="188"/>
        <v>0.23499999999999999</v>
      </c>
      <c r="CH207" s="3437" t="str">
        <f t="shared" si="188"/>
        <v/>
      </c>
      <c r="CI207" s="1771" t="str">
        <f t="shared" si="188"/>
        <v/>
      </c>
      <c r="CJ207" s="1771" t="str">
        <f t="shared" si="188"/>
        <v/>
      </c>
      <c r="CK207" s="3442" t="str">
        <f t="shared" si="188"/>
        <v/>
      </c>
      <c r="CL207" s="3437" t="str">
        <f t="shared" si="189"/>
        <v/>
      </c>
      <c r="CM207" s="1771" t="str">
        <f t="shared" si="189"/>
        <v/>
      </c>
      <c r="CN207" s="1771" t="str">
        <f t="shared" si="189"/>
        <v/>
      </c>
      <c r="CO207" s="3442" t="str">
        <f t="shared" si="189"/>
        <v/>
      </c>
      <c r="CP207" s="1771" t="str">
        <f t="shared" si="189"/>
        <v/>
      </c>
      <c r="CQ207" s="3442" t="str">
        <f t="shared" si="189"/>
        <v/>
      </c>
      <c r="CR207" s="3462"/>
    </row>
    <row r="208" spans="1:96" s="3" customFormat="1">
      <c r="A208" s="1848" t="s">
        <v>834</v>
      </c>
      <c r="B208" s="816">
        <v>10</v>
      </c>
      <c r="C208" s="816">
        <v>9.7799999999999994</v>
      </c>
      <c r="D208" s="816">
        <v>0.06</v>
      </c>
      <c r="E208" s="1802" t="s">
        <v>35</v>
      </c>
      <c r="F208" s="816">
        <v>0.32</v>
      </c>
      <c r="G208" s="816" t="s">
        <v>784</v>
      </c>
      <c r="H208" s="816">
        <v>1988</v>
      </c>
      <c r="I208" s="50"/>
      <c r="J208" s="816">
        <f t="shared" si="128"/>
        <v>9.7799999999999994</v>
      </c>
      <c r="K208" s="816">
        <v>0.06</v>
      </c>
      <c r="L208" s="816" t="s">
        <v>35</v>
      </c>
      <c r="M208" s="816">
        <v>0.32</v>
      </c>
      <c r="N208" s="845">
        <f t="shared" si="151"/>
        <v>0.13856406460551018</v>
      </c>
      <c r="O208" s="1831">
        <f t="shared" si="152"/>
        <v>0.19</v>
      </c>
      <c r="P208" s="825" t="s">
        <v>1087</v>
      </c>
      <c r="Q208" s="3" t="str">
        <f>IF(J208=J319,"stop","")</f>
        <v/>
      </c>
      <c r="R208" s="3437" t="str">
        <f t="shared" si="183"/>
        <v/>
      </c>
      <c r="S208" s="1771" t="str">
        <f t="shared" si="183"/>
        <v/>
      </c>
      <c r="T208" s="1771" t="str">
        <f t="shared" si="183"/>
        <v/>
      </c>
      <c r="U208" s="1771" t="str">
        <f t="shared" si="183"/>
        <v/>
      </c>
      <c r="V208" s="3443" t="str">
        <f t="shared" si="183"/>
        <v/>
      </c>
      <c r="W208" s="1771" t="str">
        <f t="shared" si="183"/>
        <v/>
      </c>
      <c r="X208" s="1771" t="str">
        <f t="shared" si="183"/>
        <v/>
      </c>
      <c r="Y208" s="1771">
        <f t="shared" si="183"/>
        <v>0.06</v>
      </c>
      <c r="Z208" s="3437" t="str">
        <f t="shared" si="183"/>
        <v/>
      </c>
      <c r="AA208" s="1771" t="str">
        <f t="shared" si="183"/>
        <v/>
      </c>
      <c r="AB208" s="1771" t="str">
        <f t="shared" si="183"/>
        <v/>
      </c>
      <c r="AC208" s="3442" t="str">
        <f t="shared" si="183"/>
        <v/>
      </c>
      <c r="AD208" s="1771" t="str">
        <f t="shared" si="183"/>
        <v/>
      </c>
      <c r="AE208" s="1771" t="str">
        <f t="shared" si="183"/>
        <v/>
      </c>
      <c r="AF208" s="1771" t="str">
        <f t="shared" si="183"/>
        <v/>
      </c>
      <c r="AG208" s="3442" t="str">
        <f t="shared" si="182"/>
        <v/>
      </c>
      <c r="AH208" s="1771" t="str">
        <f t="shared" si="175"/>
        <v/>
      </c>
      <c r="AI208" s="3442" t="str">
        <f t="shared" si="175"/>
        <v/>
      </c>
      <c r="AJ208" s="3462"/>
      <c r="AK208" s="3439" t="str">
        <f>IF(J208=J319,"stop","")</f>
        <v/>
      </c>
      <c r="AL208" s="3437" t="str">
        <f t="shared" si="184"/>
        <v/>
      </c>
      <c r="AM208" s="1771" t="str">
        <f t="shared" si="184"/>
        <v/>
      </c>
      <c r="AN208" s="1771" t="str">
        <f t="shared" si="184"/>
        <v/>
      </c>
      <c r="AO208" s="1771" t="str">
        <f t="shared" si="184"/>
        <v/>
      </c>
      <c r="AP208" s="3443" t="str">
        <f t="shared" si="184"/>
        <v/>
      </c>
      <c r="AQ208" s="1771" t="str">
        <f t="shared" si="184"/>
        <v/>
      </c>
      <c r="AR208" s="1771" t="str">
        <f t="shared" si="184"/>
        <v/>
      </c>
      <c r="AS208" s="3442">
        <f t="shared" si="184"/>
        <v>0.32</v>
      </c>
      <c r="AT208" s="1771" t="str">
        <f t="shared" si="184"/>
        <v/>
      </c>
      <c r="AU208" s="1771" t="str">
        <f t="shared" si="184"/>
        <v/>
      </c>
      <c r="AV208" s="1771" t="str">
        <f t="shared" si="184"/>
        <v/>
      </c>
      <c r="AW208" s="3442" t="str">
        <f t="shared" si="184"/>
        <v/>
      </c>
      <c r="AX208" s="1771" t="str">
        <f t="shared" si="185"/>
        <v/>
      </c>
      <c r="AY208" s="1771" t="str">
        <f t="shared" si="185"/>
        <v/>
      </c>
      <c r="AZ208" s="1771" t="str">
        <f t="shared" si="185"/>
        <v/>
      </c>
      <c r="BA208" s="1771" t="str">
        <f t="shared" si="185"/>
        <v/>
      </c>
      <c r="BB208" s="3437" t="str">
        <f t="shared" si="185"/>
        <v/>
      </c>
      <c r="BC208" s="3443" t="str">
        <f t="shared" si="185"/>
        <v/>
      </c>
      <c r="BD208" s="3462"/>
      <c r="BE208" s="3440" t="str">
        <f>IF(J208=J319,"stop","")</f>
        <v/>
      </c>
      <c r="BF208" s="1771" t="str">
        <f t="shared" si="186"/>
        <v/>
      </c>
      <c r="BG208" s="1771" t="str">
        <f t="shared" si="186"/>
        <v/>
      </c>
      <c r="BH208" s="1771" t="str">
        <f t="shared" si="186"/>
        <v/>
      </c>
      <c r="BI208" s="1771" t="str">
        <f t="shared" si="186"/>
        <v/>
      </c>
      <c r="BJ208" s="3443" t="str">
        <f t="shared" si="186"/>
        <v/>
      </c>
      <c r="BK208" s="3437" t="str">
        <f t="shared" si="186"/>
        <v/>
      </c>
      <c r="BL208" s="1771" t="str">
        <f t="shared" si="186"/>
        <v/>
      </c>
      <c r="BM208" s="3442">
        <f t="shared" si="186"/>
        <v>0.13856406460551018</v>
      </c>
      <c r="BN208" s="1771" t="str">
        <f t="shared" si="186"/>
        <v/>
      </c>
      <c r="BO208" s="1771" t="str">
        <f t="shared" si="186"/>
        <v/>
      </c>
      <c r="BP208" s="1771" t="str">
        <f t="shared" si="186"/>
        <v/>
      </c>
      <c r="BQ208" s="1771" t="str">
        <f t="shared" si="186"/>
        <v/>
      </c>
      <c r="BR208" s="3437" t="str">
        <f t="shared" si="187"/>
        <v/>
      </c>
      <c r="BS208" s="1771" t="str">
        <f t="shared" si="187"/>
        <v/>
      </c>
      <c r="BT208" s="1771" t="str">
        <f t="shared" si="187"/>
        <v/>
      </c>
      <c r="BU208" s="3442" t="str">
        <f t="shared" si="187"/>
        <v/>
      </c>
      <c r="BV208" s="1771" t="str">
        <f t="shared" si="187"/>
        <v/>
      </c>
      <c r="BW208" s="3442" t="str">
        <f t="shared" si="187"/>
        <v/>
      </c>
      <c r="BX208" s="3462"/>
      <c r="BY208" s="3439" t="str">
        <f>IF(L208=L319,"stop","")</f>
        <v/>
      </c>
      <c r="BZ208" s="3437" t="str">
        <f t="shared" si="188"/>
        <v/>
      </c>
      <c r="CA208" s="1771" t="str">
        <f t="shared" si="188"/>
        <v/>
      </c>
      <c r="CB208" s="1771" t="str">
        <f t="shared" si="188"/>
        <v/>
      </c>
      <c r="CC208" s="3442" t="str">
        <f t="shared" si="188"/>
        <v/>
      </c>
      <c r="CD208" s="1771" t="str">
        <f t="shared" si="188"/>
        <v/>
      </c>
      <c r="CE208" s="3437" t="str">
        <f t="shared" si="188"/>
        <v/>
      </c>
      <c r="CF208" s="1771" t="str">
        <f t="shared" si="188"/>
        <v/>
      </c>
      <c r="CG208" s="1771">
        <f t="shared" si="188"/>
        <v>0.19</v>
      </c>
      <c r="CH208" s="3437" t="str">
        <f t="shared" si="188"/>
        <v/>
      </c>
      <c r="CI208" s="1771" t="str">
        <f t="shared" si="188"/>
        <v/>
      </c>
      <c r="CJ208" s="1771" t="str">
        <f t="shared" si="188"/>
        <v/>
      </c>
      <c r="CK208" s="3442" t="str">
        <f t="shared" si="188"/>
        <v/>
      </c>
      <c r="CL208" s="3437" t="str">
        <f t="shared" si="189"/>
        <v/>
      </c>
      <c r="CM208" s="1771" t="str">
        <f t="shared" si="189"/>
        <v/>
      </c>
      <c r="CN208" s="1771" t="str">
        <f t="shared" si="189"/>
        <v/>
      </c>
      <c r="CO208" s="3442" t="str">
        <f t="shared" si="189"/>
        <v/>
      </c>
      <c r="CP208" s="1771" t="str">
        <f t="shared" si="189"/>
        <v/>
      </c>
      <c r="CQ208" s="3442" t="str">
        <f t="shared" si="189"/>
        <v/>
      </c>
      <c r="CR208" s="3462"/>
    </row>
    <row r="209" spans="1:96" s="3" customFormat="1">
      <c r="A209" s="1848" t="s">
        <v>835</v>
      </c>
      <c r="B209" s="816">
        <v>10</v>
      </c>
      <c r="C209" s="816"/>
      <c r="D209" s="816">
        <v>0.04</v>
      </c>
      <c r="E209" s="1802" t="s">
        <v>35</v>
      </c>
      <c r="F209" s="816">
        <v>0.26</v>
      </c>
      <c r="G209" s="816" t="s">
        <v>784</v>
      </c>
      <c r="H209" s="816">
        <v>1988</v>
      </c>
      <c r="I209" s="50"/>
      <c r="J209" s="818">
        <f>J208</f>
        <v>9.7799999999999994</v>
      </c>
      <c r="K209" s="816">
        <v>0.04</v>
      </c>
      <c r="L209" s="816" t="s">
        <v>35</v>
      </c>
      <c r="M209" s="816">
        <v>0.26</v>
      </c>
      <c r="N209" s="845">
        <f t="shared" si="151"/>
        <v>0.10198039027185571</v>
      </c>
      <c r="O209" s="1831">
        <f t="shared" si="152"/>
        <v>0.15</v>
      </c>
      <c r="P209" s="825" t="s">
        <v>1087</v>
      </c>
      <c r="Q209" s="3" t="str">
        <f>IF(J209=J319,"stop","")</f>
        <v/>
      </c>
      <c r="R209" s="3437" t="str">
        <f t="shared" si="183"/>
        <v/>
      </c>
      <c r="S209" s="1771" t="str">
        <f t="shared" si="183"/>
        <v/>
      </c>
      <c r="T209" s="1771" t="str">
        <f t="shared" si="183"/>
        <v/>
      </c>
      <c r="U209" s="1771" t="str">
        <f t="shared" si="183"/>
        <v/>
      </c>
      <c r="V209" s="3443" t="str">
        <f t="shared" si="183"/>
        <v/>
      </c>
      <c r="W209" s="1771" t="str">
        <f t="shared" si="183"/>
        <v/>
      </c>
      <c r="X209" s="1771" t="str">
        <f t="shared" si="183"/>
        <v/>
      </c>
      <c r="Y209" s="1771">
        <f t="shared" si="183"/>
        <v>0.04</v>
      </c>
      <c r="Z209" s="3437" t="str">
        <f t="shared" si="183"/>
        <v/>
      </c>
      <c r="AA209" s="1771" t="str">
        <f t="shared" si="183"/>
        <v/>
      </c>
      <c r="AB209" s="1771" t="str">
        <f t="shared" si="183"/>
        <v/>
      </c>
      <c r="AC209" s="3442" t="str">
        <f t="shared" si="183"/>
        <v/>
      </c>
      <c r="AD209" s="1771" t="str">
        <f t="shared" si="183"/>
        <v/>
      </c>
      <c r="AE209" s="1771" t="str">
        <f t="shared" si="183"/>
        <v/>
      </c>
      <c r="AF209" s="1771" t="str">
        <f t="shared" si="183"/>
        <v/>
      </c>
      <c r="AG209" s="3442" t="str">
        <f t="shared" si="182"/>
        <v/>
      </c>
      <c r="AH209" s="1771" t="str">
        <f t="shared" si="175"/>
        <v/>
      </c>
      <c r="AI209" s="3442" t="str">
        <f t="shared" si="175"/>
        <v/>
      </c>
      <c r="AJ209" s="3462"/>
      <c r="AK209" s="3439" t="str">
        <f>IF(J209=J319,"stop","")</f>
        <v/>
      </c>
      <c r="AL209" s="3437" t="str">
        <f t="shared" si="184"/>
        <v/>
      </c>
      <c r="AM209" s="1771" t="str">
        <f t="shared" si="184"/>
        <v/>
      </c>
      <c r="AN209" s="1771" t="str">
        <f t="shared" si="184"/>
        <v/>
      </c>
      <c r="AO209" s="1771" t="str">
        <f t="shared" si="184"/>
        <v/>
      </c>
      <c r="AP209" s="3443" t="str">
        <f t="shared" si="184"/>
        <v/>
      </c>
      <c r="AQ209" s="1771" t="str">
        <f t="shared" si="184"/>
        <v/>
      </c>
      <c r="AR209" s="1771" t="str">
        <f t="shared" si="184"/>
        <v/>
      </c>
      <c r="AS209" s="3442">
        <f t="shared" si="184"/>
        <v>0.26</v>
      </c>
      <c r="AT209" s="1771" t="str">
        <f t="shared" si="184"/>
        <v/>
      </c>
      <c r="AU209" s="1771" t="str">
        <f t="shared" si="184"/>
        <v/>
      </c>
      <c r="AV209" s="1771" t="str">
        <f t="shared" si="184"/>
        <v/>
      </c>
      <c r="AW209" s="3442" t="str">
        <f t="shared" si="184"/>
        <v/>
      </c>
      <c r="AX209" s="1771" t="str">
        <f t="shared" si="185"/>
        <v/>
      </c>
      <c r="AY209" s="1771" t="str">
        <f t="shared" si="185"/>
        <v/>
      </c>
      <c r="AZ209" s="1771" t="str">
        <f t="shared" si="185"/>
        <v/>
      </c>
      <c r="BA209" s="1771" t="str">
        <f t="shared" si="185"/>
        <v/>
      </c>
      <c r="BB209" s="3437" t="str">
        <f t="shared" si="185"/>
        <v/>
      </c>
      <c r="BC209" s="3443" t="str">
        <f t="shared" si="185"/>
        <v/>
      </c>
      <c r="BD209" s="3462"/>
      <c r="BE209" s="3440" t="str">
        <f>IF(J209=J319,"stop","")</f>
        <v/>
      </c>
      <c r="BF209" s="1771" t="str">
        <f t="shared" si="186"/>
        <v/>
      </c>
      <c r="BG209" s="1771" t="str">
        <f t="shared" si="186"/>
        <v/>
      </c>
      <c r="BH209" s="1771" t="str">
        <f t="shared" si="186"/>
        <v/>
      </c>
      <c r="BI209" s="1771" t="str">
        <f t="shared" si="186"/>
        <v/>
      </c>
      <c r="BJ209" s="3443" t="str">
        <f t="shared" si="186"/>
        <v/>
      </c>
      <c r="BK209" s="3437" t="str">
        <f t="shared" si="186"/>
        <v/>
      </c>
      <c r="BL209" s="1771" t="str">
        <f t="shared" si="186"/>
        <v/>
      </c>
      <c r="BM209" s="3442">
        <f t="shared" si="186"/>
        <v>0.10198039027185571</v>
      </c>
      <c r="BN209" s="1771" t="str">
        <f t="shared" si="186"/>
        <v/>
      </c>
      <c r="BO209" s="1771" t="str">
        <f t="shared" si="186"/>
        <v/>
      </c>
      <c r="BP209" s="1771" t="str">
        <f t="shared" si="186"/>
        <v/>
      </c>
      <c r="BQ209" s="1771" t="str">
        <f t="shared" si="186"/>
        <v/>
      </c>
      <c r="BR209" s="3437" t="str">
        <f t="shared" si="187"/>
        <v/>
      </c>
      <c r="BS209" s="1771" t="str">
        <f t="shared" si="187"/>
        <v/>
      </c>
      <c r="BT209" s="1771" t="str">
        <f t="shared" si="187"/>
        <v/>
      </c>
      <c r="BU209" s="3442" t="str">
        <f t="shared" si="187"/>
        <v/>
      </c>
      <c r="BV209" s="1771" t="str">
        <f t="shared" si="187"/>
        <v/>
      </c>
      <c r="BW209" s="3442" t="str">
        <f t="shared" si="187"/>
        <v/>
      </c>
      <c r="BX209" s="3462"/>
      <c r="BY209" s="3439" t="str">
        <f>IF(L209=L319,"stop","")</f>
        <v/>
      </c>
      <c r="BZ209" s="3437" t="str">
        <f t="shared" si="188"/>
        <v/>
      </c>
      <c r="CA209" s="1771" t="str">
        <f t="shared" si="188"/>
        <v/>
      </c>
      <c r="CB209" s="1771" t="str">
        <f t="shared" si="188"/>
        <v/>
      </c>
      <c r="CC209" s="3442" t="str">
        <f t="shared" si="188"/>
        <v/>
      </c>
      <c r="CD209" s="1771" t="str">
        <f t="shared" si="188"/>
        <v/>
      </c>
      <c r="CE209" s="3437" t="str">
        <f t="shared" si="188"/>
        <v/>
      </c>
      <c r="CF209" s="1771" t="str">
        <f t="shared" si="188"/>
        <v/>
      </c>
      <c r="CG209" s="1771">
        <f t="shared" si="188"/>
        <v>0.15</v>
      </c>
      <c r="CH209" s="3437" t="str">
        <f t="shared" si="188"/>
        <v/>
      </c>
      <c r="CI209" s="1771" t="str">
        <f t="shared" si="188"/>
        <v/>
      </c>
      <c r="CJ209" s="1771" t="str">
        <f t="shared" si="188"/>
        <v/>
      </c>
      <c r="CK209" s="3442" t="str">
        <f t="shared" si="188"/>
        <v/>
      </c>
      <c r="CL209" s="3437" t="str">
        <f t="shared" si="189"/>
        <v/>
      </c>
      <c r="CM209" s="1771" t="str">
        <f t="shared" si="189"/>
        <v/>
      </c>
      <c r="CN209" s="1771" t="str">
        <f t="shared" si="189"/>
        <v/>
      </c>
      <c r="CO209" s="3442" t="str">
        <f t="shared" si="189"/>
        <v/>
      </c>
      <c r="CP209" s="1771" t="str">
        <f t="shared" si="189"/>
        <v/>
      </c>
      <c r="CQ209" s="3442" t="str">
        <f t="shared" si="189"/>
        <v/>
      </c>
      <c r="CR209" s="3462"/>
    </row>
    <row r="210" spans="1:96" s="3" customFormat="1">
      <c r="A210" s="1847" t="s">
        <v>836</v>
      </c>
      <c r="B210" s="816"/>
      <c r="C210" s="816"/>
      <c r="D210" s="816"/>
      <c r="E210" s="1802"/>
      <c r="F210" s="816"/>
      <c r="G210" s="816"/>
      <c r="H210" s="816"/>
      <c r="I210" s="50"/>
      <c r="J210" s="816"/>
      <c r="K210" s="816"/>
      <c r="L210" s="816"/>
      <c r="M210" s="816"/>
      <c r="N210" s="845">
        <f t="shared" si="151"/>
        <v>0</v>
      </c>
      <c r="O210" s="1831">
        <f t="shared" si="152"/>
        <v>0</v>
      </c>
      <c r="P210" s="825" t="s">
        <v>1087</v>
      </c>
      <c r="Q210" s="3" t="str">
        <f>IF(J210=J319,"stop","")</f>
        <v/>
      </c>
      <c r="R210" s="3437" t="str">
        <f t="shared" si="183"/>
        <v/>
      </c>
      <c r="S210" s="1771" t="str">
        <f t="shared" si="183"/>
        <v/>
      </c>
      <c r="T210" s="1771" t="str">
        <f t="shared" si="183"/>
        <v/>
      </c>
      <c r="U210" s="1771" t="str">
        <f t="shared" si="183"/>
        <v/>
      </c>
      <c r="V210" s="3443" t="str">
        <f t="shared" si="183"/>
        <v/>
      </c>
      <c r="W210" s="1771" t="str">
        <f t="shared" si="183"/>
        <v/>
      </c>
      <c r="X210" s="1771" t="str">
        <f t="shared" si="183"/>
        <v/>
      </c>
      <c r="Y210" s="1771" t="str">
        <f t="shared" si="183"/>
        <v/>
      </c>
      <c r="Z210" s="3437" t="str">
        <f t="shared" si="183"/>
        <v/>
      </c>
      <c r="AA210" s="1771" t="str">
        <f t="shared" si="183"/>
        <v/>
      </c>
      <c r="AB210" s="1771" t="str">
        <f t="shared" si="183"/>
        <v/>
      </c>
      <c r="AC210" s="3442" t="str">
        <f t="shared" si="183"/>
        <v/>
      </c>
      <c r="AD210" s="1771" t="str">
        <f t="shared" si="183"/>
        <v/>
      </c>
      <c r="AE210" s="1771" t="str">
        <f t="shared" si="183"/>
        <v/>
      </c>
      <c r="AF210" s="1771" t="str">
        <f t="shared" si="183"/>
        <v/>
      </c>
      <c r="AG210" s="3442" t="str">
        <f t="shared" si="182"/>
        <v/>
      </c>
      <c r="AH210" s="1771" t="str">
        <f t="shared" si="182"/>
        <v/>
      </c>
      <c r="AI210" s="3442" t="str">
        <f t="shared" si="182"/>
        <v/>
      </c>
      <c r="AJ210" s="3462"/>
      <c r="AK210" s="3439" t="str">
        <f>IF(J210=J319,"stop","")</f>
        <v/>
      </c>
      <c r="AL210" s="3437" t="str">
        <f t="shared" si="184"/>
        <v/>
      </c>
      <c r="AM210" s="1771" t="str">
        <f t="shared" si="184"/>
        <v/>
      </c>
      <c r="AN210" s="1771" t="str">
        <f t="shared" si="184"/>
        <v/>
      </c>
      <c r="AO210" s="1771" t="str">
        <f t="shared" si="184"/>
        <v/>
      </c>
      <c r="AP210" s="3443" t="str">
        <f t="shared" si="184"/>
        <v/>
      </c>
      <c r="AQ210" s="1771" t="str">
        <f t="shared" si="184"/>
        <v/>
      </c>
      <c r="AR210" s="1771" t="str">
        <f t="shared" si="184"/>
        <v/>
      </c>
      <c r="AS210" s="3442" t="str">
        <f t="shared" si="184"/>
        <v/>
      </c>
      <c r="AT210" s="1771" t="str">
        <f t="shared" si="184"/>
        <v/>
      </c>
      <c r="AU210" s="1771" t="str">
        <f t="shared" si="184"/>
        <v/>
      </c>
      <c r="AV210" s="1771" t="str">
        <f t="shared" si="184"/>
        <v/>
      </c>
      <c r="AW210" s="3442" t="str">
        <f t="shared" si="184"/>
        <v/>
      </c>
      <c r="AX210" s="1771" t="str">
        <f t="shared" si="185"/>
        <v/>
      </c>
      <c r="AY210" s="1771" t="str">
        <f t="shared" si="185"/>
        <v/>
      </c>
      <c r="AZ210" s="1771" t="str">
        <f t="shared" si="185"/>
        <v/>
      </c>
      <c r="BA210" s="1771" t="str">
        <f t="shared" si="185"/>
        <v/>
      </c>
      <c r="BB210" s="3437" t="str">
        <f t="shared" si="185"/>
        <v/>
      </c>
      <c r="BC210" s="3443" t="str">
        <f t="shared" si="185"/>
        <v/>
      </c>
      <c r="BD210" s="3462"/>
      <c r="BE210" s="3440" t="str">
        <f>IF(J210=J319,"stop","")</f>
        <v/>
      </c>
      <c r="BF210" s="1771" t="str">
        <f t="shared" si="186"/>
        <v/>
      </c>
      <c r="BG210" s="1771" t="str">
        <f t="shared" si="186"/>
        <v/>
      </c>
      <c r="BH210" s="1771" t="str">
        <f t="shared" si="186"/>
        <v/>
      </c>
      <c r="BI210" s="1771" t="str">
        <f t="shared" si="186"/>
        <v/>
      </c>
      <c r="BJ210" s="3443" t="str">
        <f t="shared" si="186"/>
        <v/>
      </c>
      <c r="BK210" s="3437" t="str">
        <f t="shared" si="186"/>
        <v/>
      </c>
      <c r="BL210" s="1771" t="str">
        <f t="shared" si="186"/>
        <v/>
      </c>
      <c r="BM210" s="3442" t="str">
        <f t="shared" si="186"/>
        <v/>
      </c>
      <c r="BN210" s="1771" t="str">
        <f t="shared" si="186"/>
        <v/>
      </c>
      <c r="BO210" s="1771" t="str">
        <f t="shared" si="186"/>
        <v/>
      </c>
      <c r="BP210" s="1771" t="str">
        <f t="shared" si="186"/>
        <v/>
      </c>
      <c r="BQ210" s="1771" t="str">
        <f t="shared" si="186"/>
        <v/>
      </c>
      <c r="BR210" s="3437" t="str">
        <f t="shared" si="187"/>
        <v/>
      </c>
      <c r="BS210" s="1771" t="str">
        <f t="shared" si="187"/>
        <v/>
      </c>
      <c r="BT210" s="1771" t="str">
        <f t="shared" si="187"/>
        <v/>
      </c>
      <c r="BU210" s="3442" t="str">
        <f t="shared" si="187"/>
        <v/>
      </c>
      <c r="BV210" s="1771" t="str">
        <f t="shared" si="187"/>
        <v/>
      </c>
      <c r="BW210" s="3442" t="str">
        <f t="shared" si="187"/>
        <v/>
      </c>
      <c r="BX210" s="3462"/>
      <c r="BY210" s="3439" t="str">
        <f>IF(L210=L319,"stop","")</f>
        <v>stop</v>
      </c>
      <c r="BZ210" s="3437" t="str">
        <f t="shared" si="188"/>
        <v/>
      </c>
      <c r="CA210" s="1771" t="str">
        <f t="shared" si="188"/>
        <v/>
      </c>
      <c r="CB210" s="1771" t="str">
        <f t="shared" si="188"/>
        <v/>
      </c>
      <c r="CC210" s="3442" t="str">
        <f t="shared" si="188"/>
        <v/>
      </c>
      <c r="CD210" s="1771" t="str">
        <f t="shared" si="188"/>
        <v/>
      </c>
      <c r="CE210" s="3437" t="str">
        <f t="shared" si="188"/>
        <v/>
      </c>
      <c r="CF210" s="1771" t="str">
        <f t="shared" si="188"/>
        <v/>
      </c>
      <c r="CG210" s="1771" t="str">
        <f t="shared" si="188"/>
        <v/>
      </c>
      <c r="CH210" s="3437" t="str">
        <f t="shared" si="188"/>
        <v/>
      </c>
      <c r="CI210" s="1771" t="str">
        <f t="shared" si="188"/>
        <v/>
      </c>
      <c r="CJ210" s="1771" t="str">
        <f t="shared" si="188"/>
        <v/>
      </c>
      <c r="CK210" s="3442" t="str">
        <f t="shared" si="188"/>
        <v/>
      </c>
      <c r="CL210" s="3437" t="str">
        <f t="shared" si="189"/>
        <v/>
      </c>
      <c r="CM210" s="1771" t="str">
        <f t="shared" si="189"/>
        <v/>
      </c>
      <c r="CN210" s="1771" t="str">
        <f t="shared" si="189"/>
        <v/>
      </c>
      <c r="CO210" s="3442" t="str">
        <f t="shared" si="189"/>
        <v/>
      </c>
      <c r="CP210" s="1771" t="str">
        <f t="shared" si="189"/>
        <v/>
      </c>
      <c r="CQ210" s="3442" t="str">
        <f t="shared" si="189"/>
        <v/>
      </c>
      <c r="CR210" s="3462"/>
    </row>
    <row r="211" spans="1:96" s="3" customFormat="1">
      <c r="A211" s="1848" t="s">
        <v>837</v>
      </c>
      <c r="B211" s="816">
        <v>5</v>
      </c>
      <c r="C211" s="816">
        <v>5.66</v>
      </c>
      <c r="D211" s="816">
        <v>0.19</v>
      </c>
      <c r="E211" s="1802" t="s">
        <v>35</v>
      </c>
      <c r="F211" s="816">
        <v>0.57999999999999996</v>
      </c>
      <c r="G211" s="816" t="s">
        <v>784</v>
      </c>
      <c r="H211" s="816">
        <v>1988</v>
      </c>
      <c r="I211" s="50"/>
      <c r="J211" s="816">
        <f t="shared" si="128"/>
        <v>5.66</v>
      </c>
      <c r="K211" s="816">
        <v>0.19</v>
      </c>
      <c r="L211" s="816" t="s">
        <v>35</v>
      </c>
      <c r="M211" s="816">
        <v>0.57999999999999996</v>
      </c>
      <c r="N211" s="845">
        <f t="shared" si="151"/>
        <v>0.33196385345395663</v>
      </c>
      <c r="O211" s="1831">
        <f t="shared" si="152"/>
        <v>0.38500000000000001</v>
      </c>
      <c r="P211" s="825" t="s">
        <v>1087</v>
      </c>
      <c r="Q211" s="3" t="str">
        <f>IF(J211=J319,"stop","")</f>
        <v/>
      </c>
      <c r="R211" s="3437" t="str">
        <f t="shared" si="183"/>
        <v/>
      </c>
      <c r="S211" s="1771" t="str">
        <f t="shared" si="183"/>
        <v/>
      </c>
      <c r="T211" s="1771" t="str">
        <f t="shared" si="183"/>
        <v/>
      </c>
      <c r="U211" s="1771" t="str">
        <f t="shared" si="183"/>
        <v/>
      </c>
      <c r="V211" s="3443" t="str">
        <f t="shared" si="183"/>
        <v/>
      </c>
      <c r="W211" s="1771">
        <f t="shared" si="183"/>
        <v>0.19</v>
      </c>
      <c r="X211" s="1771" t="str">
        <f t="shared" si="183"/>
        <v/>
      </c>
      <c r="Y211" s="1771" t="str">
        <f t="shared" si="183"/>
        <v/>
      </c>
      <c r="Z211" s="3437" t="str">
        <f t="shared" si="183"/>
        <v/>
      </c>
      <c r="AA211" s="1771" t="str">
        <f t="shared" si="183"/>
        <v/>
      </c>
      <c r="AB211" s="1771" t="str">
        <f t="shared" si="183"/>
        <v/>
      </c>
      <c r="AC211" s="3442" t="str">
        <f t="shared" si="183"/>
        <v/>
      </c>
      <c r="AD211" s="1771" t="str">
        <f t="shared" si="183"/>
        <v/>
      </c>
      <c r="AE211" s="1771" t="str">
        <f t="shared" si="183"/>
        <v/>
      </c>
      <c r="AF211" s="1771" t="str">
        <f t="shared" si="183"/>
        <v/>
      </c>
      <c r="AG211" s="3442" t="str">
        <f t="shared" si="182"/>
        <v/>
      </c>
      <c r="AH211" s="1771" t="str">
        <f t="shared" si="182"/>
        <v/>
      </c>
      <c r="AI211" s="3442" t="str">
        <f t="shared" si="182"/>
        <v/>
      </c>
      <c r="AJ211" s="3462"/>
      <c r="AK211" s="3439" t="str">
        <f>IF(J211=J319,"stop","")</f>
        <v/>
      </c>
      <c r="AL211" s="3437" t="str">
        <f t="shared" ref="AL211:AW220" si="190">IF(AND($J211&gt;AL$4,$J211&lt;=AL$5,$P211=AL$6),$M211,"")</f>
        <v/>
      </c>
      <c r="AM211" s="1771" t="str">
        <f t="shared" si="190"/>
        <v/>
      </c>
      <c r="AN211" s="1771" t="str">
        <f t="shared" si="190"/>
        <v/>
      </c>
      <c r="AO211" s="1771" t="str">
        <f t="shared" si="190"/>
        <v/>
      </c>
      <c r="AP211" s="3443" t="str">
        <f t="shared" si="190"/>
        <v/>
      </c>
      <c r="AQ211" s="1771">
        <f t="shared" si="190"/>
        <v>0.57999999999999996</v>
      </c>
      <c r="AR211" s="1771" t="str">
        <f t="shared" si="190"/>
        <v/>
      </c>
      <c r="AS211" s="3442" t="str">
        <f t="shared" si="190"/>
        <v/>
      </c>
      <c r="AT211" s="1771" t="str">
        <f t="shared" si="190"/>
        <v/>
      </c>
      <c r="AU211" s="1771" t="str">
        <f t="shared" si="190"/>
        <v/>
      </c>
      <c r="AV211" s="1771" t="str">
        <f t="shared" si="190"/>
        <v/>
      </c>
      <c r="AW211" s="3442" t="str">
        <f t="shared" si="190"/>
        <v/>
      </c>
      <c r="AX211" s="1771" t="str">
        <f t="shared" ref="AX211:BC220" si="191">IF(AND($J211&gt;AX$4,$J211&lt;=AX$5,$P211=AX$6),$M211,"")</f>
        <v/>
      </c>
      <c r="AY211" s="1771" t="str">
        <f t="shared" si="191"/>
        <v/>
      </c>
      <c r="AZ211" s="1771" t="str">
        <f t="shared" si="191"/>
        <v/>
      </c>
      <c r="BA211" s="1771" t="str">
        <f t="shared" si="191"/>
        <v/>
      </c>
      <c r="BB211" s="3437" t="str">
        <f t="shared" si="191"/>
        <v/>
      </c>
      <c r="BC211" s="3443" t="str">
        <f t="shared" si="191"/>
        <v/>
      </c>
      <c r="BD211" s="3462"/>
      <c r="BE211" s="3440" t="str">
        <f>IF(J211=J319,"stop","")</f>
        <v/>
      </c>
      <c r="BF211" s="1771" t="str">
        <f t="shared" ref="BF211:BQ220" si="192">IF(AND($J211&gt;BF$4,$J211&lt;=BF$5,$P211=BF$6),$N211,"")</f>
        <v/>
      </c>
      <c r="BG211" s="1771" t="str">
        <f t="shared" si="192"/>
        <v/>
      </c>
      <c r="BH211" s="1771" t="str">
        <f t="shared" si="192"/>
        <v/>
      </c>
      <c r="BI211" s="1771" t="str">
        <f t="shared" si="192"/>
        <v/>
      </c>
      <c r="BJ211" s="3443" t="str">
        <f t="shared" si="192"/>
        <v/>
      </c>
      <c r="BK211" s="3437">
        <f t="shared" si="192"/>
        <v>0.33196385345395663</v>
      </c>
      <c r="BL211" s="1771" t="str">
        <f t="shared" si="192"/>
        <v/>
      </c>
      <c r="BM211" s="3442" t="str">
        <f t="shared" si="192"/>
        <v/>
      </c>
      <c r="BN211" s="1771" t="str">
        <f t="shared" si="192"/>
        <v/>
      </c>
      <c r="BO211" s="1771" t="str">
        <f t="shared" si="192"/>
        <v/>
      </c>
      <c r="BP211" s="1771" t="str">
        <f t="shared" si="192"/>
        <v/>
      </c>
      <c r="BQ211" s="1771" t="str">
        <f t="shared" si="192"/>
        <v/>
      </c>
      <c r="BR211" s="3437" t="str">
        <f t="shared" ref="BR211:BW220" si="193">IF(AND($J211&gt;BR$4,$J211&lt;=BR$5,$P211=BR$6),$N211,"")</f>
        <v/>
      </c>
      <c r="BS211" s="1771" t="str">
        <f t="shared" si="193"/>
        <v/>
      </c>
      <c r="BT211" s="1771" t="str">
        <f t="shared" si="193"/>
        <v/>
      </c>
      <c r="BU211" s="3442" t="str">
        <f t="shared" si="193"/>
        <v/>
      </c>
      <c r="BV211" s="1771" t="str">
        <f t="shared" si="193"/>
        <v/>
      </c>
      <c r="BW211" s="3442" t="str">
        <f t="shared" si="193"/>
        <v/>
      </c>
      <c r="BX211" s="3462"/>
      <c r="BY211" s="3439" t="str">
        <f>IF(L211=L319,"stop","")</f>
        <v/>
      </c>
      <c r="BZ211" s="3437" t="str">
        <f t="shared" ref="BZ211:CK220" si="194">IF(AND($J211&gt;BZ$4,$J211&lt;=BZ$5,$P211=BZ$6),$O211,"")</f>
        <v/>
      </c>
      <c r="CA211" s="1771" t="str">
        <f t="shared" si="194"/>
        <v/>
      </c>
      <c r="CB211" s="1771" t="str">
        <f t="shared" si="194"/>
        <v/>
      </c>
      <c r="CC211" s="3442" t="str">
        <f t="shared" si="194"/>
        <v/>
      </c>
      <c r="CD211" s="1771" t="str">
        <f t="shared" si="194"/>
        <v/>
      </c>
      <c r="CE211" s="3437">
        <f t="shared" si="194"/>
        <v>0.38500000000000001</v>
      </c>
      <c r="CF211" s="1771" t="str">
        <f t="shared" si="194"/>
        <v/>
      </c>
      <c r="CG211" s="1771" t="str">
        <f t="shared" si="194"/>
        <v/>
      </c>
      <c r="CH211" s="3437" t="str">
        <f t="shared" si="194"/>
        <v/>
      </c>
      <c r="CI211" s="1771" t="str">
        <f t="shared" si="194"/>
        <v/>
      </c>
      <c r="CJ211" s="1771" t="str">
        <f t="shared" si="194"/>
        <v/>
      </c>
      <c r="CK211" s="3442" t="str">
        <f t="shared" si="194"/>
        <v/>
      </c>
      <c r="CL211" s="3437" t="str">
        <f t="shared" ref="CL211:CQ220" si="195">IF(AND($J211&gt;CL$4,$J211&lt;=CL$5,$P211=CL$6),$O211,"")</f>
        <v/>
      </c>
      <c r="CM211" s="1771" t="str">
        <f t="shared" si="195"/>
        <v/>
      </c>
      <c r="CN211" s="1771" t="str">
        <f t="shared" si="195"/>
        <v/>
      </c>
      <c r="CO211" s="3442" t="str">
        <f t="shared" si="195"/>
        <v/>
      </c>
      <c r="CP211" s="1771" t="str">
        <f t="shared" si="195"/>
        <v/>
      </c>
      <c r="CQ211" s="3442" t="str">
        <f t="shared" si="195"/>
        <v/>
      </c>
      <c r="CR211" s="3462"/>
    </row>
    <row r="212" spans="1:96" s="3" customFormat="1">
      <c r="A212" s="1848" t="s">
        <v>838</v>
      </c>
      <c r="B212" s="816">
        <v>6</v>
      </c>
      <c r="C212" s="816">
        <v>6.27</v>
      </c>
      <c r="D212" s="816" t="s">
        <v>839</v>
      </c>
      <c r="E212" s="1802"/>
      <c r="F212" s="816" t="s">
        <v>839</v>
      </c>
      <c r="G212" s="816" t="s">
        <v>784</v>
      </c>
      <c r="H212" s="816">
        <v>1988</v>
      </c>
      <c r="I212" s="50"/>
      <c r="J212" s="816">
        <f t="shared" si="128"/>
        <v>6.27</v>
      </c>
      <c r="K212" s="816">
        <v>0</v>
      </c>
      <c r="L212" s="816"/>
      <c r="M212" s="816">
        <v>0</v>
      </c>
      <c r="N212" s="845">
        <f t="shared" si="151"/>
        <v>0</v>
      </c>
      <c r="O212" s="1831">
        <f t="shared" si="152"/>
        <v>0</v>
      </c>
      <c r="P212" s="825" t="s">
        <v>1087</v>
      </c>
      <c r="Q212" s="3" t="str">
        <f>IF(J212=J319,"stop","")</f>
        <v/>
      </c>
      <c r="R212" s="3437" t="str">
        <f t="shared" si="183"/>
        <v/>
      </c>
      <c r="S212" s="1771" t="str">
        <f t="shared" si="183"/>
        <v/>
      </c>
      <c r="T212" s="1771" t="str">
        <f t="shared" si="183"/>
        <v/>
      </c>
      <c r="U212" s="1771" t="str">
        <f t="shared" si="183"/>
        <v/>
      </c>
      <c r="V212" s="3443" t="str">
        <f t="shared" si="183"/>
        <v/>
      </c>
      <c r="W212" s="1771" t="str">
        <f t="shared" si="183"/>
        <v/>
      </c>
      <c r="X212" s="1771">
        <f t="shared" si="183"/>
        <v>0</v>
      </c>
      <c r="Y212" s="1771" t="str">
        <f t="shared" si="183"/>
        <v/>
      </c>
      <c r="Z212" s="3437" t="str">
        <f t="shared" si="183"/>
        <v/>
      </c>
      <c r="AA212" s="1771" t="str">
        <f t="shared" si="183"/>
        <v/>
      </c>
      <c r="AB212" s="1771" t="str">
        <f t="shared" si="183"/>
        <v/>
      </c>
      <c r="AC212" s="3442" t="str">
        <f t="shared" si="183"/>
        <v/>
      </c>
      <c r="AD212" s="1771" t="str">
        <f t="shared" si="183"/>
        <v/>
      </c>
      <c r="AE212" s="1771" t="str">
        <f t="shared" si="183"/>
        <v/>
      </c>
      <c r="AF212" s="1771" t="str">
        <f t="shared" si="183"/>
        <v/>
      </c>
      <c r="AG212" s="3442" t="str">
        <f t="shared" si="182"/>
        <v/>
      </c>
      <c r="AH212" s="1771" t="str">
        <f t="shared" si="182"/>
        <v/>
      </c>
      <c r="AI212" s="3442" t="str">
        <f t="shared" si="182"/>
        <v/>
      </c>
      <c r="AJ212" s="3462"/>
      <c r="AK212" s="3439" t="str">
        <f>IF(J212=J319,"stop","")</f>
        <v/>
      </c>
      <c r="AL212" s="3437" t="str">
        <f t="shared" si="190"/>
        <v/>
      </c>
      <c r="AM212" s="1771" t="str">
        <f t="shared" si="190"/>
        <v/>
      </c>
      <c r="AN212" s="1771" t="str">
        <f t="shared" si="190"/>
        <v/>
      </c>
      <c r="AO212" s="1771" t="str">
        <f t="shared" si="190"/>
        <v/>
      </c>
      <c r="AP212" s="3443" t="str">
        <f t="shared" si="190"/>
        <v/>
      </c>
      <c r="AQ212" s="1771" t="str">
        <f t="shared" si="190"/>
        <v/>
      </c>
      <c r="AR212" s="1771">
        <f t="shared" si="190"/>
        <v>0</v>
      </c>
      <c r="AS212" s="3442" t="str">
        <f t="shared" si="190"/>
        <v/>
      </c>
      <c r="AT212" s="1771" t="str">
        <f t="shared" si="190"/>
        <v/>
      </c>
      <c r="AU212" s="1771" t="str">
        <f t="shared" si="190"/>
        <v/>
      </c>
      <c r="AV212" s="1771" t="str">
        <f t="shared" si="190"/>
        <v/>
      </c>
      <c r="AW212" s="3442" t="str">
        <f t="shared" si="190"/>
        <v/>
      </c>
      <c r="AX212" s="1771" t="str">
        <f t="shared" si="191"/>
        <v/>
      </c>
      <c r="AY212" s="1771" t="str">
        <f t="shared" si="191"/>
        <v/>
      </c>
      <c r="AZ212" s="1771" t="str">
        <f t="shared" si="191"/>
        <v/>
      </c>
      <c r="BA212" s="1771" t="str">
        <f t="shared" si="191"/>
        <v/>
      </c>
      <c r="BB212" s="3437" t="str">
        <f t="shared" si="191"/>
        <v/>
      </c>
      <c r="BC212" s="3443" t="str">
        <f t="shared" si="191"/>
        <v/>
      </c>
      <c r="BD212" s="3462"/>
      <c r="BE212" s="3440" t="str">
        <f>IF(J212=J319,"stop","")</f>
        <v/>
      </c>
      <c r="BF212" s="1771" t="str">
        <f t="shared" si="192"/>
        <v/>
      </c>
      <c r="BG212" s="1771" t="str">
        <f t="shared" si="192"/>
        <v/>
      </c>
      <c r="BH212" s="1771" t="str">
        <f t="shared" si="192"/>
        <v/>
      </c>
      <c r="BI212" s="1771" t="str">
        <f t="shared" si="192"/>
        <v/>
      </c>
      <c r="BJ212" s="3443" t="str">
        <f t="shared" si="192"/>
        <v/>
      </c>
      <c r="BK212" s="3437" t="str">
        <f t="shared" si="192"/>
        <v/>
      </c>
      <c r="BL212" s="1771">
        <f t="shared" si="192"/>
        <v>0</v>
      </c>
      <c r="BM212" s="3442" t="str">
        <f t="shared" si="192"/>
        <v/>
      </c>
      <c r="BN212" s="1771" t="str">
        <f t="shared" si="192"/>
        <v/>
      </c>
      <c r="BO212" s="1771" t="str">
        <f t="shared" si="192"/>
        <v/>
      </c>
      <c r="BP212" s="1771" t="str">
        <f t="shared" si="192"/>
        <v/>
      </c>
      <c r="BQ212" s="1771" t="str">
        <f t="shared" si="192"/>
        <v/>
      </c>
      <c r="BR212" s="3437" t="str">
        <f t="shared" si="193"/>
        <v/>
      </c>
      <c r="BS212" s="1771" t="str">
        <f t="shared" si="193"/>
        <v/>
      </c>
      <c r="BT212" s="1771" t="str">
        <f t="shared" si="193"/>
        <v/>
      </c>
      <c r="BU212" s="3442" t="str">
        <f t="shared" si="193"/>
        <v/>
      </c>
      <c r="BV212" s="1771" t="str">
        <f t="shared" si="193"/>
        <v/>
      </c>
      <c r="BW212" s="3442" t="str">
        <f t="shared" si="193"/>
        <v/>
      </c>
      <c r="BX212" s="3462"/>
      <c r="BY212" s="3439" t="str">
        <f>IF(L212=L319,"stop","")</f>
        <v>stop</v>
      </c>
      <c r="BZ212" s="3437" t="str">
        <f t="shared" si="194"/>
        <v/>
      </c>
      <c r="CA212" s="1771" t="str">
        <f t="shared" si="194"/>
        <v/>
      </c>
      <c r="CB212" s="1771" t="str">
        <f t="shared" si="194"/>
        <v/>
      </c>
      <c r="CC212" s="3442" t="str">
        <f t="shared" si="194"/>
        <v/>
      </c>
      <c r="CD212" s="1771" t="str">
        <f t="shared" si="194"/>
        <v/>
      </c>
      <c r="CE212" s="3437" t="str">
        <f t="shared" si="194"/>
        <v/>
      </c>
      <c r="CF212" s="1771">
        <f t="shared" si="194"/>
        <v>0</v>
      </c>
      <c r="CG212" s="1771" t="str">
        <f t="shared" si="194"/>
        <v/>
      </c>
      <c r="CH212" s="3437" t="str">
        <f t="shared" si="194"/>
        <v/>
      </c>
      <c r="CI212" s="1771" t="str">
        <f t="shared" si="194"/>
        <v/>
      </c>
      <c r="CJ212" s="1771" t="str">
        <f t="shared" si="194"/>
        <v/>
      </c>
      <c r="CK212" s="3442" t="str">
        <f t="shared" si="194"/>
        <v/>
      </c>
      <c r="CL212" s="3437" t="str">
        <f t="shared" si="195"/>
        <v/>
      </c>
      <c r="CM212" s="1771" t="str">
        <f t="shared" si="195"/>
        <v/>
      </c>
      <c r="CN212" s="1771" t="str">
        <f t="shared" si="195"/>
        <v/>
      </c>
      <c r="CO212" s="3442" t="str">
        <f t="shared" si="195"/>
        <v/>
      </c>
      <c r="CP212" s="1771" t="str">
        <f t="shared" si="195"/>
        <v/>
      </c>
      <c r="CQ212" s="3442" t="str">
        <f t="shared" si="195"/>
        <v/>
      </c>
      <c r="CR212" s="3462"/>
    </row>
    <row r="213" spans="1:96" s="3" customFormat="1" ht="18">
      <c r="A213" s="1848" t="s">
        <v>840</v>
      </c>
      <c r="B213" s="816">
        <v>8</v>
      </c>
      <c r="C213" s="816"/>
      <c r="D213" s="816">
        <v>0.06</v>
      </c>
      <c r="E213" s="1802" t="s">
        <v>35</v>
      </c>
      <c r="F213" s="816">
        <v>0.11</v>
      </c>
      <c r="G213" s="816" t="s">
        <v>784</v>
      </c>
      <c r="H213" s="816">
        <v>1988</v>
      </c>
      <c r="I213" s="50"/>
      <c r="J213" s="818">
        <f t="shared" si="128"/>
        <v>8.5</v>
      </c>
      <c r="K213" s="816">
        <v>0.06</v>
      </c>
      <c r="L213" s="816" t="s">
        <v>35</v>
      </c>
      <c r="M213" s="816">
        <v>0.11</v>
      </c>
      <c r="N213" s="845">
        <f t="shared" si="151"/>
        <v>8.1240384046359609E-2</v>
      </c>
      <c r="O213" s="1831">
        <f t="shared" si="152"/>
        <v>8.4999999999999992E-2</v>
      </c>
      <c r="P213" s="825" t="s">
        <v>1087</v>
      </c>
      <c r="Q213" s="3" t="str">
        <f>IF(J213=J319,"stop","")</f>
        <v/>
      </c>
      <c r="R213" s="3437" t="str">
        <f t="shared" si="183"/>
        <v/>
      </c>
      <c r="S213" s="1771" t="str">
        <f t="shared" si="183"/>
        <v/>
      </c>
      <c r="T213" s="1771" t="str">
        <f t="shared" si="183"/>
        <v/>
      </c>
      <c r="U213" s="1771" t="str">
        <f t="shared" si="183"/>
        <v/>
      </c>
      <c r="V213" s="3443" t="str">
        <f t="shared" si="183"/>
        <v/>
      </c>
      <c r="W213" s="1771" t="str">
        <f t="shared" si="183"/>
        <v/>
      </c>
      <c r="X213" s="1771" t="str">
        <f t="shared" si="183"/>
        <v/>
      </c>
      <c r="Y213" s="1771">
        <f t="shared" si="183"/>
        <v>0.06</v>
      </c>
      <c r="Z213" s="3437" t="str">
        <f t="shared" si="183"/>
        <v/>
      </c>
      <c r="AA213" s="1771" t="str">
        <f t="shared" si="183"/>
        <v/>
      </c>
      <c r="AB213" s="1771" t="str">
        <f t="shared" si="183"/>
        <v/>
      </c>
      <c r="AC213" s="3442" t="str">
        <f t="shared" si="183"/>
        <v/>
      </c>
      <c r="AD213" s="1771" t="str">
        <f t="shared" si="183"/>
        <v/>
      </c>
      <c r="AE213" s="1771" t="str">
        <f t="shared" si="183"/>
        <v/>
      </c>
      <c r="AF213" s="1771" t="str">
        <f t="shared" si="183"/>
        <v/>
      </c>
      <c r="AG213" s="3442" t="str">
        <f t="shared" si="182"/>
        <v/>
      </c>
      <c r="AH213" s="1771" t="str">
        <f t="shared" si="182"/>
        <v/>
      </c>
      <c r="AI213" s="3442" t="str">
        <f t="shared" si="182"/>
        <v/>
      </c>
      <c r="AJ213" s="3462"/>
      <c r="AK213" s="3439" t="str">
        <f>IF(J213=J319,"stop","")</f>
        <v/>
      </c>
      <c r="AL213" s="3437" t="str">
        <f t="shared" si="190"/>
        <v/>
      </c>
      <c r="AM213" s="1771" t="str">
        <f t="shared" si="190"/>
        <v/>
      </c>
      <c r="AN213" s="1771" t="str">
        <f t="shared" si="190"/>
        <v/>
      </c>
      <c r="AO213" s="1771" t="str">
        <f t="shared" si="190"/>
        <v/>
      </c>
      <c r="AP213" s="3443" t="str">
        <f t="shared" si="190"/>
        <v/>
      </c>
      <c r="AQ213" s="1771" t="str">
        <f t="shared" si="190"/>
        <v/>
      </c>
      <c r="AR213" s="1771" t="str">
        <f t="shared" si="190"/>
        <v/>
      </c>
      <c r="AS213" s="3442">
        <f t="shared" si="190"/>
        <v>0.11</v>
      </c>
      <c r="AT213" s="1771" t="str">
        <f t="shared" si="190"/>
        <v/>
      </c>
      <c r="AU213" s="1771" t="str">
        <f t="shared" si="190"/>
        <v/>
      </c>
      <c r="AV213" s="1771" t="str">
        <f t="shared" si="190"/>
        <v/>
      </c>
      <c r="AW213" s="3442" t="str">
        <f t="shared" si="190"/>
        <v/>
      </c>
      <c r="AX213" s="1771" t="str">
        <f t="shared" si="191"/>
        <v/>
      </c>
      <c r="AY213" s="1771" t="str">
        <f t="shared" si="191"/>
        <v/>
      </c>
      <c r="AZ213" s="1771" t="str">
        <f t="shared" si="191"/>
        <v/>
      </c>
      <c r="BA213" s="1771" t="str">
        <f t="shared" si="191"/>
        <v/>
      </c>
      <c r="BB213" s="3437" t="str">
        <f t="shared" si="191"/>
        <v/>
      </c>
      <c r="BC213" s="3443" t="str">
        <f t="shared" si="191"/>
        <v/>
      </c>
      <c r="BD213" s="3462"/>
      <c r="BE213" s="3440" t="str">
        <f>IF(J213=J319,"stop","")</f>
        <v/>
      </c>
      <c r="BF213" s="1771" t="str">
        <f t="shared" si="192"/>
        <v/>
      </c>
      <c r="BG213" s="1771" t="str">
        <f t="shared" si="192"/>
        <v/>
      </c>
      <c r="BH213" s="1771" t="str">
        <f t="shared" si="192"/>
        <v/>
      </c>
      <c r="BI213" s="1771" t="str">
        <f t="shared" si="192"/>
        <v/>
      </c>
      <c r="BJ213" s="3443" t="str">
        <f t="shared" si="192"/>
        <v/>
      </c>
      <c r="BK213" s="3437" t="str">
        <f t="shared" si="192"/>
        <v/>
      </c>
      <c r="BL213" s="1771" t="str">
        <f t="shared" si="192"/>
        <v/>
      </c>
      <c r="BM213" s="3442">
        <f t="shared" si="192"/>
        <v>8.1240384046359609E-2</v>
      </c>
      <c r="BN213" s="1771" t="str">
        <f t="shared" si="192"/>
        <v/>
      </c>
      <c r="BO213" s="1771" t="str">
        <f t="shared" si="192"/>
        <v/>
      </c>
      <c r="BP213" s="1771" t="str">
        <f t="shared" si="192"/>
        <v/>
      </c>
      <c r="BQ213" s="1771" t="str">
        <f t="shared" si="192"/>
        <v/>
      </c>
      <c r="BR213" s="3437" t="str">
        <f t="shared" si="193"/>
        <v/>
      </c>
      <c r="BS213" s="1771" t="str">
        <f t="shared" si="193"/>
        <v/>
      </c>
      <c r="BT213" s="1771" t="str">
        <f t="shared" si="193"/>
        <v/>
      </c>
      <c r="BU213" s="3442" t="str">
        <f t="shared" si="193"/>
        <v/>
      </c>
      <c r="BV213" s="1771" t="str">
        <f t="shared" si="193"/>
        <v/>
      </c>
      <c r="BW213" s="3442" t="str">
        <f t="shared" si="193"/>
        <v/>
      </c>
      <c r="BX213" s="3462"/>
      <c r="BY213" s="3439" t="str">
        <f>IF(L213=L319,"stop","")</f>
        <v/>
      </c>
      <c r="BZ213" s="3437" t="str">
        <f t="shared" si="194"/>
        <v/>
      </c>
      <c r="CA213" s="1771" t="str">
        <f t="shared" si="194"/>
        <v/>
      </c>
      <c r="CB213" s="1771" t="str">
        <f t="shared" si="194"/>
        <v/>
      </c>
      <c r="CC213" s="3442" t="str">
        <f t="shared" si="194"/>
        <v/>
      </c>
      <c r="CD213" s="1771" t="str">
        <f t="shared" si="194"/>
        <v/>
      </c>
      <c r="CE213" s="3437" t="str">
        <f t="shared" si="194"/>
        <v/>
      </c>
      <c r="CF213" s="1771" t="str">
        <f t="shared" si="194"/>
        <v/>
      </c>
      <c r="CG213" s="1771">
        <f t="shared" si="194"/>
        <v>8.4999999999999992E-2</v>
      </c>
      <c r="CH213" s="3437" t="str">
        <f t="shared" si="194"/>
        <v/>
      </c>
      <c r="CI213" s="1771" t="str">
        <f t="shared" si="194"/>
        <v/>
      </c>
      <c r="CJ213" s="1771" t="str">
        <f t="shared" si="194"/>
        <v/>
      </c>
      <c r="CK213" s="3442" t="str">
        <f t="shared" si="194"/>
        <v/>
      </c>
      <c r="CL213" s="3437" t="str">
        <f t="shared" si="195"/>
        <v/>
      </c>
      <c r="CM213" s="1771" t="str">
        <f t="shared" si="195"/>
        <v/>
      </c>
      <c r="CN213" s="1771" t="str">
        <f t="shared" si="195"/>
        <v/>
      </c>
      <c r="CO213" s="3442" t="str">
        <f t="shared" si="195"/>
        <v/>
      </c>
      <c r="CP213" s="1771" t="str">
        <f t="shared" si="195"/>
        <v/>
      </c>
      <c r="CQ213" s="3442" t="str">
        <f t="shared" si="195"/>
        <v/>
      </c>
      <c r="CR213" s="3462"/>
    </row>
    <row r="214" spans="1:96" s="3" customFormat="1" ht="18">
      <c r="A214" s="1848" t="s">
        <v>841</v>
      </c>
      <c r="B214" s="816">
        <v>8</v>
      </c>
      <c r="C214" s="816"/>
      <c r="D214" s="816">
        <v>0.06</v>
      </c>
      <c r="E214" s="1802" t="s">
        <v>35</v>
      </c>
      <c r="F214" s="816">
        <v>0.12</v>
      </c>
      <c r="G214" s="816" t="s">
        <v>784</v>
      </c>
      <c r="H214" s="816">
        <v>1988</v>
      </c>
      <c r="I214" s="50"/>
      <c r="J214" s="818">
        <f t="shared" si="128"/>
        <v>8.5</v>
      </c>
      <c r="K214" s="816">
        <v>0.06</v>
      </c>
      <c r="L214" s="816" t="s">
        <v>35</v>
      </c>
      <c r="M214" s="816">
        <v>0.12</v>
      </c>
      <c r="N214" s="845">
        <f t="shared" si="151"/>
        <v>8.4852813742385708E-2</v>
      </c>
      <c r="O214" s="1831">
        <f t="shared" si="152"/>
        <v>0.09</v>
      </c>
      <c r="P214" s="825" t="s">
        <v>1087</v>
      </c>
      <c r="Q214" s="3" t="str">
        <f>IF(J214=J319,"stop","")</f>
        <v/>
      </c>
      <c r="R214" s="3437" t="str">
        <f t="shared" si="183"/>
        <v/>
      </c>
      <c r="S214" s="1771" t="str">
        <f t="shared" si="183"/>
        <v/>
      </c>
      <c r="T214" s="1771" t="str">
        <f t="shared" si="183"/>
        <v/>
      </c>
      <c r="U214" s="1771" t="str">
        <f t="shared" si="183"/>
        <v/>
      </c>
      <c r="V214" s="3443" t="str">
        <f t="shared" si="183"/>
        <v/>
      </c>
      <c r="W214" s="1771" t="str">
        <f t="shared" si="183"/>
        <v/>
      </c>
      <c r="X214" s="1771" t="str">
        <f t="shared" si="183"/>
        <v/>
      </c>
      <c r="Y214" s="1771">
        <f t="shared" si="183"/>
        <v>0.06</v>
      </c>
      <c r="Z214" s="3437" t="str">
        <f t="shared" si="183"/>
        <v/>
      </c>
      <c r="AA214" s="1771" t="str">
        <f t="shared" si="183"/>
        <v/>
      </c>
      <c r="AB214" s="1771" t="str">
        <f t="shared" si="183"/>
        <v/>
      </c>
      <c r="AC214" s="3442" t="str">
        <f t="shared" si="183"/>
        <v/>
      </c>
      <c r="AD214" s="1771" t="str">
        <f t="shared" si="183"/>
        <v/>
      </c>
      <c r="AE214" s="1771" t="str">
        <f t="shared" si="183"/>
        <v/>
      </c>
      <c r="AF214" s="1771" t="str">
        <f t="shared" si="183"/>
        <v/>
      </c>
      <c r="AG214" s="3442" t="str">
        <f t="shared" si="182"/>
        <v/>
      </c>
      <c r="AH214" s="1771" t="str">
        <f t="shared" si="182"/>
        <v/>
      </c>
      <c r="AI214" s="3442" t="str">
        <f t="shared" si="182"/>
        <v/>
      </c>
      <c r="AJ214" s="3462"/>
      <c r="AK214" s="3439" t="str">
        <f>IF(J214=J319,"stop","")</f>
        <v/>
      </c>
      <c r="AL214" s="3437" t="str">
        <f t="shared" si="190"/>
        <v/>
      </c>
      <c r="AM214" s="1771" t="str">
        <f t="shared" si="190"/>
        <v/>
      </c>
      <c r="AN214" s="1771" t="str">
        <f t="shared" si="190"/>
        <v/>
      </c>
      <c r="AO214" s="1771" t="str">
        <f t="shared" si="190"/>
        <v/>
      </c>
      <c r="AP214" s="3443" t="str">
        <f t="shared" si="190"/>
        <v/>
      </c>
      <c r="AQ214" s="1771" t="str">
        <f t="shared" si="190"/>
        <v/>
      </c>
      <c r="AR214" s="1771" t="str">
        <f t="shared" si="190"/>
        <v/>
      </c>
      <c r="AS214" s="3442">
        <f t="shared" si="190"/>
        <v>0.12</v>
      </c>
      <c r="AT214" s="1771" t="str">
        <f t="shared" si="190"/>
        <v/>
      </c>
      <c r="AU214" s="1771" t="str">
        <f t="shared" si="190"/>
        <v/>
      </c>
      <c r="AV214" s="1771" t="str">
        <f t="shared" si="190"/>
        <v/>
      </c>
      <c r="AW214" s="3442" t="str">
        <f t="shared" si="190"/>
        <v/>
      </c>
      <c r="AX214" s="1771" t="str">
        <f t="shared" si="191"/>
        <v/>
      </c>
      <c r="AY214" s="1771" t="str">
        <f t="shared" si="191"/>
        <v/>
      </c>
      <c r="AZ214" s="1771" t="str">
        <f t="shared" si="191"/>
        <v/>
      </c>
      <c r="BA214" s="1771" t="str">
        <f t="shared" si="191"/>
        <v/>
      </c>
      <c r="BB214" s="3437" t="str">
        <f t="shared" si="191"/>
        <v/>
      </c>
      <c r="BC214" s="3443" t="str">
        <f t="shared" si="191"/>
        <v/>
      </c>
      <c r="BD214" s="3462"/>
      <c r="BE214" s="3440" t="str">
        <f>IF(J214=J319,"stop","")</f>
        <v/>
      </c>
      <c r="BF214" s="1771" t="str">
        <f t="shared" si="192"/>
        <v/>
      </c>
      <c r="BG214" s="1771" t="str">
        <f t="shared" si="192"/>
        <v/>
      </c>
      <c r="BH214" s="1771" t="str">
        <f t="shared" si="192"/>
        <v/>
      </c>
      <c r="BI214" s="1771" t="str">
        <f t="shared" si="192"/>
        <v/>
      </c>
      <c r="BJ214" s="3443" t="str">
        <f t="shared" si="192"/>
        <v/>
      </c>
      <c r="BK214" s="3437" t="str">
        <f t="shared" si="192"/>
        <v/>
      </c>
      <c r="BL214" s="1771" t="str">
        <f t="shared" si="192"/>
        <v/>
      </c>
      <c r="BM214" s="3442">
        <f t="shared" si="192"/>
        <v>8.4852813742385708E-2</v>
      </c>
      <c r="BN214" s="1771" t="str">
        <f t="shared" si="192"/>
        <v/>
      </c>
      <c r="BO214" s="1771" t="str">
        <f t="shared" si="192"/>
        <v/>
      </c>
      <c r="BP214" s="1771" t="str">
        <f t="shared" si="192"/>
        <v/>
      </c>
      <c r="BQ214" s="1771" t="str">
        <f t="shared" si="192"/>
        <v/>
      </c>
      <c r="BR214" s="3437" t="str">
        <f t="shared" si="193"/>
        <v/>
      </c>
      <c r="BS214" s="1771" t="str">
        <f t="shared" si="193"/>
        <v/>
      </c>
      <c r="BT214" s="1771" t="str">
        <f t="shared" si="193"/>
        <v/>
      </c>
      <c r="BU214" s="3442" t="str">
        <f t="shared" si="193"/>
        <v/>
      </c>
      <c r="BV214" s="1771" t="str">
        <f t="shared" si="193"/>
        <v/>
      </c>
      <c r="BW214" s="3442" t="str">
        <f t="shared" si="193"/>
        <v/>
      </c>
      <c r="BX214" s="3462"/>
      <c r="BY214" s="3439" t="str">
        <f>IF(L214=L319,"stop","")</f>
        <v/>
      </c>
      <c r="BZ214" s="3437" t="str">
        <f t="shared" si="194"/>
        <v/>
      </c>
      <c r="CA214" s="1771" t="str">
        <f t="shared" si="194"/>
        <v/>
      </c>
      <c r="CB214" s="1771" t="str">
        <f t="shared" si="194"/>
        <v/>
      </c>
      <c r="CC214" s="3442" t="str">
        <f t="shared" si="194"/>
        <v/>
      </c>
      <c r="CD214" s="1771" t="str">
        <f t="shared" si="194"/>
        <v/>
      </c>
      <c r="CE214" s="3437" t="str">
        <f t="shared" si="194"/>
        <v/>
      </c>
      <c r="CF214" s="1771" t="str">
        <f t="shared" si="194"/>
        <v/>
      </c>
      <c r="CG214" s="1771">
        <f t="shared" si="194"/>
        <v>0.09</v>
      </c>
      <c r="CH214" s="3437" t="str">
        <f t="shared" si="194"/>
        <v/>
      </c>
      <c r="CI214" s="1771" t="str">
        <f t="shared" si="194"/>
        <v/>
      </c>
      <c r="CJ214" s="1771" t="str">
        <f t="shared" si="194"/>
        <v/>
      </c>
      <c r="CK214" s="3442" t="str">
        <f t="shared" si="194"/>
        <v/>
      </c>
      <c r="CL214" s="3437" t="str">
        <f t="shared" si="195"/>
        <v/>
      </c>
      <c r="CM214" s="1771" t="str">
        <f t="shared" si="195"/>
        <v/>
      </c>
      <c r="CN214" s="1771" t="str">
        <f t="shared" si="195"/>
        <v/>
      </c>
      <c r="CO214" s="3442" t="str">
        <f t="shared" si="195"/>
        <v/>
      </c>
      <c r="CP214" s="1771" t="str">
        <f t="shared" si="195"/>
        <v/>
      </c>
      <c r="CQ214" s="3442" t="str">
        <f t="shared" si="195"/>
        <v/>
      </c>
      <c r="CR214" s="3462"/>
    </row>
    <row r="215" spans="1:96" s="3" customFormat="1" ht="18">
      <c r="A215" s="1848" t="s">
        <v>842</v>
      </c>
      <c r="B215" s="816">
        <v>7</v>
      </c>
      <c r="C215" s="816">
        <v>7.21</v>
      </c>
      <c r="D215" s="816">
        <v>7.0000000000000007E-2</v>
      </c>
      <c r="E215" s="1802" t="s">
        <v>35</v>
      </c>
      <c r="F215" s="816">
        <v>0.13</v>
      </c>
      <c r="G215" s="816" t="s">
        <v>784</v>
      </c>
      <c r="H215" s="816">
        <v>1988</v>
      </c>
      <c r="I215" s="50"/>
      <c r="J215" s="816">
        <f t="shared" ref="J215:J276" si="196">IF(ISBLANK(C215),B215+0.5,C215)</f>
        <v>7.21</v>
      </c>
      <c r="K215" s="816">
        <v>7.0000000000000007E-2</v>
      </c>
      <c r="L215" s="816" t="s">
        <v>35</v>
      </c>
      <c r="M215" s="816">
        <v>0.13</v>
      </c>
      <c r="N215" s="845">
        <f t="shared" si="151"/>
        <v>9.5393920141694566E-2</v>
      </c>
      <c r="O215" s="1831">
        <f t="shared" si="152"/>
        <v>0.1</v>
      </c>
      <c r="P215" s="825" t="s">
        <v>1087</v>
      </c>
      <c r="Q215" s="3" t="str">
        <f>IF(J215=J319,"stop","")</f>
        <v/>
      </c>
      <c r="R215" s="3437" t="str">
        <f t="shared" ref="R215:AG230" si="197">IF(AND($J215&gt;R$4,$J215&lt;=R$5,$P215=R$6),$K215,"")</f>
        <v/>
      </c>
      <c r="S215" s="1771" t="str">
        <f t="shared" si="197"/>
        <v/>
      </c>
      <c r="T215" s="1771" t="str">
        <f t="shared" si="197"/>
        <v/>
      </c>
      <c r="U215" s="1771" t="str">
        <f t="shared" si="197"/>
        <v/>
      </c>
      <c r="V215" s="3443" t="str">
        <f t="shared" si="197"/>
        <v/>
      </c>
      <c r="W215" s="1771" t="str">
        <f t="shared" si="197"/>
        <v/>
      </c>
      <c r="X215" s="1771">
        <f t="shared" si="197"/>
        <v>7.0000000000000007E-2</v>
      </c>
      <c r="Y215" s="1771" t="str">
        <f t="shared" si="197"/>
        <v/>
      </c>
      <c r="Z215" s="3437" t="str">
        <f t="shared" si="197"/>
        <v/>
      </c>
      <c r="AA215" s="1771" t="str">
        <f t="shared" si="197"/>
        <v/>
      </c>
      <c r="AB215" s="1771" t="str">
        <f t="shared" si="197"/>
        <v/>
      </c>
      <c r="AC215" s="3442" t="str">
        <f t="shared" si="197"/>
        <v/>
      </c>
      <c r="AD215" s="1771" t="str">
        <f t="shared" si="197"/>
        <v/>
      </c>
      <c r="AE215" s="1771" t="str">
        <f t="shared" si="197"/>
        <v/>
      </c>
      <c r="AF215" s="1771" t="str">
        <f t="shared" si="197"/>
        <v/>
      </c>
      <c r="AG215" s="3442" t="str">
        <f t="shared" si="182"/>
        <v/>
      </c>
      <c r="AH215" s="1771" t="str">
        <f t="shared" si="182"/>
        <v/>
      </c>
      <c r="AI215" s="3442" t="str">
        <f t="shared" si="182"/>
        <v/>
      </c>
      <c r="AJ215" s="3462"/>
      <c r="AK215" s="3439" t="str">
        <f>IF(J215=J319,"stop","")</f>
        <v/>
      </c>
      <c r="AL215" s="3437" t="str">
        <f t="shared" si="190"/>
        <v/>
      </c>
      <c r="AM215" s="1771" t="str">
        <f t="shared" si="190"/>
        <v/>
      </c>
      <c r="AN215" s="1771" t="str">
        <f t="shared" si="190"/>
        <v/>
      </c>
      <c r="AO215" s="1771" t="str">
        <f t="shared" si="190"/>
        <v/>
      </c>
      <c r="AP215" s="3443" t="str">
        <f t="shared" si="190"/>
        <v/>
      </c>
      <c r="AQ215" s="1771" t="str">
        <f t="shared" si="190"/>
        <v/>
      </c>
      <c r="AR215" s="1771">
        <f t="shared" si="190"/>
        <v>0.13</v>
      </c>
      <c r="AS215" s="3442" t="str">
        <f t="shared" si="190"/>
        <v/>
      </c>
      <c r="AT215" s="1771" t="str">
        <f t="shared" si="190"/>
        <v/>
      </c>
      <c r="AU215" s="1771" t="str">
        <f t="shared" si="190"/>
        <v/>
      </c>
      <c r="AV215" s="1771" t="str">
        <f t="shared" si="190"/>
        <v/>
      </c>
      <c r="AW215" s="3442" t="str">
        <f t="shared" si="190"/>
        <v/>
      </c>
      <c r="AX215" s="1771" t="str">
        <f t="shared" si="191"/>
        <v/>
      </c>
      <c r="AY215" s="1771" t="str">
        <f t="shared" si="191"/>
        <v/>
      </c>
      <c r="AZ215" s="1771" t="str">
        <f t="shared" si="191"/>
        <v/>
      </c>
      <c r="BA215" s="1771" t="str">
        <f t="shared" si="191"/>
        <v/>
      </c>
      <c r="BB215" s="3437" t="str">
        <f t="shared" si="191"/>
        <v/>
      </c>
      <c r="BC215" s="3443" t="str">
        <f t="shared" si="191"/>
        <v/>
      </c>
      <c r="BD215" s="3462"/>
      <c r="BE215" s="3440" t="str">
        <f>IF(J215=J319,"stop","")</f>
        <v/>
      </c>
      <c r="BF215" s="1771" t="str">
        <f t="shared" si="192"/>
        <v/>
      </c>
      <c r="BG215" s="1771" t="str">
        <f t="shared" si="192"/>
        <v/>
      </c>
      <c r="BH215" s="1771" t="str">
        <f t="shared" si="192"/>
        <v/>
      </c>
      <c r="BI215" s="1771" t="str">
        <f t="shared" si="192"/>
        <v/>
      </c>
      <c r="BJ215" s="3443" t="str">
        <f t="shared" si="192"/>
        <v/>
      </c>
      <c r="BK215" s="3437" t="str">
        <f t="shared" si="192"/>
        <v/>
      </c>
      <c r="BL215" s="1771">
        <f t="shared" si="192"/>
        <v>9.5393920141694566E-2</v>
      </c>
      <c r="BM215" s="3442" t="str">
        <f t="shared" si="192"/>
        <v/>
      </c>
      <c r="BN215" s="1771" t="str">
        <f t="shared" si="192"/>
        <v/>
      </c>
      <c r="BO215" s="1771" t="str">
        <f t="shared" si="192"/>
        <v/>
      </c>
      <c r="BP215" s="1771" t="str">
        <f t="shared" si="192"/>
        <v/>
      </c>
      <c r="BQ215" s="1771" t="str">
        <f t="shared" si="192"/>
        <v/>
      </c>
      <c r="BR215" s="3437" t="str">
        <f t="shared" si="193"/>
        <v/>
      </c>
      <c r="BS215" s="1771" t="str">
        <f t="shared" si="193"/>
        <v/>
      </c>
      <c r="BT215" s="1771" t="str">
        <f t="shared" si="193"/>
        <v/>
      </c>
      <c r="BU215" s="3442" t="str">
        <f t="shared" si="193"/>
        <v/>
      </c>
      <c r="BV215" s="1771" t="str">
        <f t="shared" si="193"/>
        <v/>
      </c>
      <c r="BW215" s="3442" t="str">
        <f t="shared" si="193"/>
        <v/>
      </c>
      <c r="BX215" s="3462"/>
      <c r="BY215" s="3439" t="str">
        <f>IF(L215=L319,"stop","")</f>
        <v/>
      </c>
      <c r="BZ215" s="3437" t="str">
        <f t="shared" si="194"/>
        <v/>
      </c>
      <c r="CA215" s="1771" t="str">
        <f t="shared" si="194"/>
        <v/>
      </c>
      <c r="CB215" s="1771" t="str">
        <f t="shared" si="194"/>
        <v/>
      </c>
      <c r="CC215" s="3442" t="str">
        <f t="shared" si="194"/>
        <v/>
      </c>
      <c r="CD215" s="1771" t="str">
        <f t="shared" si="194"/>
        <v/>
      </c>
      <c r="CE215" s="3437" t="str">
        <f t="shared" si="194"/>
        <v/>
      </c>
      <c r="CF215" s="1771">
        <f t="shared" si="194"/>
        <v>0.1</v>
      </c>
      <c r="CG215" s="1771" t="str">
        <f t="shared" si="194"/>
        <v/>
      </c>
      <c r="CH215" s="3437" t="str">
        <f t="shared" si="194"/>
        <v/>
      </c>
      <c r="CI215" s="1771" t="str">
        <f t="shared" si="194"/>
        <v/>
      </c>
      <c r="CJ215" s="1771" t="str">
        <f t="shared" si="194"/>
        <v/>
      </c>
      <c r="CK215" s="3442" t="str">
        <f t="shared" si="194"/>
        <v/>
      </c>
      <c r="CL215" s="3437" t="str">
        <f t="shared" si="195"/>
        <v/>
      </c>
      <c r="CM215" s="1771" t="str">
        <f t="shared" si="195"/>
        <v/>
      </c>
      <c r="CN215" s="1771" t="str">
        <f t="shared" si="195"/>
        <v/>
      </c>
      <c r="CO215" s="3442" t="str">
        <f t="shared" si="195"/>
        <v/>
      </c>
      <c r="CP215" s="1771" t="str">
        <f t="shared" si="195"/>
        <v/>
      </c>
      <c r="CQ215" s="3442" t="str">
        <f t="shared" si="195"/>
        <v/>
      </c>
      <c r="CR215" s="3462"/>
    </row>
    <row r="216" spans="1:96" s="3" customFormat="1" ht="18">
      <c r="A216" s="1848" t="s">
        <v>843</v>
      </c>
      <c r="B216" s="816">
        <v>7</v>
      </c>
      <c r="C216" s="816">
        <v>6.87</v>
      </c>
      <c r="D216" s="816">
        <v>0.06</v>
      </c>
      <c r="E216" s="1802" t="s">
        <v>35</v>
      </c>
      <c r="F216" s="816">
        <v>0.2</v>
      </c>
      <c r="G216" s="816" t="s">
        <v>784</v>
      </c>
      <c r="H216" s="816">
        <v>1988</v>
      </c>
      <c r="I216" s="50"/>
      <c r="J216" s="816">
        <f t="shared" si="196"/>
        <v>6.87</v>
      </c>
      <c r="K216" s="816">
        <v>0.06</v>
      </c>
      <c r="L216" s="816" t="s">
        <v>35</v>
      </c>
      <c r="M216" s="816">
        <v>0.2</v>
      </c>
      <c r="N216" s="845">
        <f t="shared" si="151"/>
        <v>0.10954451150103323</v>
      </c>
      <c r="O216" s="1831">
        <f t="shared" si="152"/>
        <v>0.13</v>
      </c>
      <c r="P216" s="825" t="s">
        <v>1087</v>
      </c>
      <c r="Q216" s="3" t="str">
        <f>IF(J216=J319,"stop","")</f>
        <v/>
      </c>
      <c r="R216" s="3437" t="str">
        <f t="shared" si="197"/>
        <v/>
      </c>
      <c r="S216" s="1771" t="str">
        <f t="shared" si="197"/>
        <v/>
      </c>
      <c r="T216" s="1771" t="str">
        <f t="shared" si="197"/>
        <v/>
      </c>
      <c r="U216" s="1771" t="str">
        <f t="shared" si="197"/>
        <v/>
      </c>
      <c r="V216" s="3443" t="str">
        <f t="shared" si="197"/>
        <v/>
      </c>
      <c r="W216" s="1771" t="str">
        <f t="shared" si="197"/>
        <v/>
      </c>
      <c r="X216" s="1771">
        <f t="shared" si="197"/>
        <v>0.06</v>
      </c>
      <c r="Y216" s="1771" t="str">
        <f t="shared" si="197"/>
        <v/>
      </c>
      <c r="Z216" s="3437" t="str">
        <f t="shared" si="197"/>
        <v/>
      </c>
      <c r="AA216" s="1771" t="str">
        <f t="shared" si="197"/>
        <v/>
      </c>
      <c r="AB216" s="1771" t="str">
        <f t="shared" si="197"/>
        <v/>
      </c>
      <c r="AC216" s="3442" t="str">
        <f t="shared" si="197"/>
        <v/>
      </c>
      <c r="AD216" s="1771" t="str">
        <f t="shared" si="197"/>
        <v/>
      </c>
      <c r="AE216" s="1771" t="str">
        <f t="shared" si="197"/>
        <v/>
      </c>
      <c r="AF216" s="1771" t="str">
        <f t="shared" si="197"/>
        <v/>
      </c>
      <c r="AG216" s="3442" t="str">
        <f t="shared" si="182"/>
        <v/>
      </c>
      <c r="AH216" s="1771" t="str">
        <f t="shared" si="182"/>
        <v/>
      </c>
      <c r="AI216" s="3442" t="str">
        <f t="shared" si="182"/>
        <v/>
      </c>
      <c r="AJ216" s="3462"/>
      <c r="AK216" s="3439" t="str">
        <f>IF(J216=J319,"stop","")</f>
        <v/>
      </c>
      <c r="AL216" s="3437" t="str">
        <f t="shared" si="190"/>
        <v/>
      </c>
      <c r="AM216" s="1771" t="str">
        <f t="shared" si="190"/>
        <v/>
      </c>
      <c r="AN216" s="1771" t="str">
        <f t="shared" si="190"/>
        <v/>
      </c>
      <c r="AO216" s="1771" t="str">
        <f t="shared" si="190"/>
        <v/>
      </c>
      <c r="AP216" s="3443" t="str">
        <f t="shared" si="190"/>
        <v/>
      </c>
      <c r="AQ216" s="1771" t="str">
        <f t="shared" si="190"/>
        <v/>
      </c>
      <c r="AR216" s="1771">
        <f t="shared" si="190"/>
        <v>0.2</v>
      </c>
      <c r="AS216" s="3442" t="str">
        <f t="shared" si="190"/>
        <v/>
      </c>
      <c r="AT216" s="1771" t="str">
        <f t="shared" si="190"/>
        <v/>
      </c>
      <c r="AU216" s="1771" t="str">
        <f t="shared" si="190"/>
        <v/>
      </c>
      <c r="AV216" s="1771" t="str">
        <f t="shared" si="190"/>
        <v/>
      </c>
      <c r="AW216" s="3442" t="str">
        <f t="shared" si="190"/>
        <v/>
      </c>
      <c r="AX216" s="1771" t="str">
        <f t="shared" si="191"/>
        <v/>
      </c>
      <c r="AY216" s="1771" t="str">
        <f t="shared" si="191"/>
        <v/>
      </c>
      <c r="AZ216" s="1771" t="str">
        <f t="shared" si="191"/>
        <v/>
      </c>
      <c r="BA216" s="1771" t="str">
        <f t="shared" si="191"/>
        <v/>
      </c>
      <c r="BB216" s="3437" t="str">
        <f t="shared" si="191"/>
        <v/>
      </c>
      <c r="BC216" s="3443" t="str">
        <f t="shared" si="191"/>
        <v/>
      </c>
      <c r="BD216" s="3462"/>
      <c r="BE216" s="3440" t="str">
        <f>IF(J216=J319,"stop","")</f>
        <v/>
      </c>
      <c r="BF216" s="1771" t="str">
        <f t="shared" si="192"/>
        <v/>
      </c>
      <c r="BG216" s="1771" t="str">
        <f t="shared" si="192"/>
        <v/>
      </c>
      <c r="BH216" s="1771" t="str">
        <f t="shared" si="192"/>
        <v/>
      </c>
      <c r="BI216" s="1771" t="str">
        <f t="shared" si="192"/>
        <v/>
      </c>
      <c r="BJ216" s="3443" t="str">
        <f t="shared" si="192"/>
        <v/>
      </c>
      <c r="BK216" s="3437" t="str">
        <f t="shared" si="192"/>
        <v/>
      </c>
      <c r="BL216" s="1771">
        <f t="shared" si="192"/>
        <v>0.10954451150103323</v>
      </c>
      <c r="BM216" s="3442" t="str">
        <f t="shared" si="192"/>
        <v/>
      </c>
      <c r="BN216" s="1771" t="str">
        <f t="shared" si="192"/>
        <v/>
      </c>
      <c r="BO216" s="1771" t="str">
        <f t="shared" si="192"/>
        <v/>
      </c>
      <c r="BP216" s="1771" t="str">
        <f t="shared" si="192"/>
        <v/>
      </c>
      <c r="BQ216" s="1771" t="str">
        <f t="shared" si="192"/>
        <v/>
      </c>
      <c r="BR216" s="3437" t="str">
        <f t="shared" si="193"/>
        <v/>
      </c>
      <c r="BS216" s="1771" t="str">
        <f t="shared" si="193"/>
        <v/>
      </c>
      <c r="BT216" s="1771" t="str">
        <f t="shared" si="193"/>
        <v/>
      </c>
      <c r="BU216" s="3442" t="str">
        <f t="shared" si="193"/>
        <v/>
      </c>
      <c r="BV216" s="1771" t="str">
        <f t="shared" si="193"/>
        <v/>
      </c>
      <c r="BW216" s="3442" t="str">
        <f t="shared" si="193"/>
        <v/>
      </c>
      <c r="BX216" s="3462"/>
      <c r="BY216" s="3439" t="str">
        <f>IF(L216=L319,"stop","")</f>
        <v/>
      </c>
      <c r="BZ216" s="3437" t="str">
        <f t="shared" si="194"/>
        <v/>
      </c>
      <c r="CA216" s="1771" t="str">
        <f t="shared" si="194"/>
        <v/>
      </c>
      <c r="CB216" s="1771" t="str">
        <f t="shared" si="194"/>
        <v/>
      </c>
      <c r="CC216" s="3442" t="str">
        <f t="shared" si="194"/>
        <v/>
      </c>
      <c r="CD216" s="1771" t="str">
        <f t="shared" si="194"/>
        <v/>
      </c>
      <c r="CE216" s="3437" t="str">
        <f t="shared" si="194"/>
        <v/>
      </c>
      <c r="CF216" s="1771">
        <f t="shared" si="194"/>
        <v>0.13</v>
      </c>
      <c r="CG216" s="1771" t="str">
        <f t="shared" si="194"/>
        <v/>
      </c>
      <c r="CH216" s="3437" t="str">
        <f t="shared" si="194"/>
        <v/>
      </c>
      <c r="CI216" s="1771" t="str">
        <f t="shared" si="194"/>
        <v/>
      </c>
      <c r="CJ216" s="1771" t="str">
        <f t="shared" si="194"/>
        <v/>
      </c>
      <c r="CK216" s="3442" t="str">
        <f t="shared" si="194"/>
        <v/>
      </c>
      <c r="CL216" s="3437" t="str">
        <f t="shared" si="195"/>
        <v/>
      </c>
      <c r="CM216" s="1771" t="str">
        <f t="shared" si="195"/>
        <v/>
      </c>
      <c r="CN216" s="1771" t="str">
        <f t="shared" si="195"/>
        <v/>
      </c>
      <c r="CO216" s="3442" t="str">
        <f t="shared" si="195"/>
        <v/>
      </c>
      <c r="CP216" s="1771" t="str">
        <f t="shared" si="195"/>
        <v/>
      </c>
      <c r="CQ216" s="3442" t="str">
        <f t="shared" si="195"/>
        <v/>
      </c>
      <c r="CR216" s="3462"/>
    </row>
    <row r="217" spans="1:96" s="3" customFormat="1">
      <c r="A217" s="1848" t="s">
        <v>844</v>
      </c>
      <c r="B217" s="816">
        <v>8</v>
      </c>
      <c r="C217" s="816">
        <v>7.67</v>
      </c>
      <c r="D217" s="816">
        <v>0.06</v>
      </c>
      <c r="E217" s="1802" t="s">
        <v>35</v>
      </c>
      <c r="F217" s="816">
        <v>0.11</v>
      </c>
      <c r="G217" s="816" t="s">
        <v>784</v>
      </c>
      <c r="H217" s="816">
        <v>1988</v>
      </c>
      <c r="I217" s="50"/>
      <c r="J217" s="816">
        <f t="shared" si="196"/>
        <v>7.67</v>
      </c>
      <c r="K217" s="816">
        <v>0.06</v>
      </c>
      <c r="L217" s="816" t="s">
        <v>35</v>
      </c>
      <c r="M217" s="816">
        <v>0.11</v>
      </c>
      <c r="N217" s="845">
        <f t="shared" ref="N217:N280" si="198">(K217*M217)^0.5</f>
        <v>8.1240384046359609E-2</v>
      </c>
      <c r="O217" s="1831">
        <f t="shared" ref="O217:O280" si="199">(K217+M217)*0.5</f>
        <v>8.4999999999999992E-2</v>
      </c>
      <c r="P217" s="825" t="s">
        <v>1087</v>
      </c>
      <c r="Q217" s="3" t="str">
        <f>IF(J217=J319,"stop","")</f>
        <v/>
      </c>
      <c r="R217" s="3437" t="str">
        <f t="shared" si="197"/>
        <v/>
      </c>
      <c r="S217" s="1771" t="str">
        <f t="shared" si="197"/>
        <v/>
      </c>
      <c r="T217" s="1771" t="str">
        <f t="shared" si="197"/>
        <v/>
      </c>
      <c r="U217" s="1771" t="str">
        <f t="shared" si="197"/>
        <v/>
      </c>
      <c r="V217" s="3443" t="str">
        <f t="shared" si="197"/>
        <v/>
      </c>
      <c r="W217" s="1771" t="str">
        <f t="shared" si="197"/>
        <v/>
      </c>
      <c r="X217" s="1771">
        <f t="shared" si="197"/>
        <v>0.06</v>
      </c>
      <c r="Y217" s="1771" t="str">
        <f t="shared" si="197"/>
        <v/>
      </c>
      <c r="Z217" s="3437" t="str">
        <f t="shared" si="197"/>
        <v/>
      </c>
      <c r="AA217" s="1771" t="str">
        <f t="shared" si="197"/>
        <v/>
      </c>
      <c r="AB217" s="1771" t="str">
        <f t="shared" si="197"/>
        <v/>
      </c>
      <c r="AC217" s="3442" t="str">
        <f t="shared" si="197"/>
        <v/>
      </c>
      <c r="AD217" s="1771" t="str">
        <f t="shared" si="197"/>
        <v/>
      </c>
      <c r="AE217" s="1771" t="str">
        <f t="shared" si="197"/>
        <v/>
      </c>
      <c r="AF217" s="1771" t="str">
        <f t="shared" si="197"/>
        <v/>
      </c>
      <c r="AG217" s="3442" t="str">
        <f t="shared" si="182"/>
        <v/>
      </c>
      <c r="AH217" s="1771" t="str">
        <f t="shared" si="182"/>
        <v/>
      </c>
      <c r="AI217" s="3442" t="str">
        <f t="shared" si="182"/>
        <v/>
      </c>
      <c r="AJ217" s="3462"/>
      <c r="AK217" s="3439" t="str">
        <f>IF(J217=J319,"stop","")</f>
        <v/>
      </c>
      <c r="AL217" s="3437" t="str">
        <f t="shared" si="190"/>
        <v/>
      </c>
      <c r="AM217" s="1771" t="str">
        <f t="shared" si="190"/>
        <v/>
      </c>
      <c r="AN217" s="1771" t="str">
        <f t="shared" si="190"/>
        <v/>
      </c>
      <c r="AO217" s="1771" t="str">
        <f t="shared" si="190"/>
        <v/>
      </c>
      <c r="AP217" s="3443" t="str">
        <f t="shared" si="190"/>
        <v/>
      </c>
      <c r="AQ217" s="1771" t="str">
        <f t="shared" si="190"/>
        <v/>
      </c>
      <c r="AR217" s="1771">
        <f t="shared" si="190"/>
        <v>0.11</v>
      </c>
      <c r="AS217" s="3442" t="str">
        <f t="shared" si="190"/>
        <v/>
      </c>
      <c r="AT217" s="1771" t="str">
        <f t="shared" si="190"/>
        <v/>
      </c>
      <c r="AU217" s="1771" t="str">
        <f t="shared" si="190"/>
        <v/>
      </c>
      <c r="AV217" s="1771" t="str">
        <f t="shared" si="190"/>
        <v/>
      </c>
      <c r="AW217" s="3442" t="str">
        <f t="shared" si="190"/>
        <v/>
      </c>
      <c r="AX217" s="1771" t="str">
        <f t="shared" si="191"/>
        <v/>
      </c>
      <c r="AY217" s="1771" t="str">
        <f t="shared" si="191"/>
        <v/>
      </c>
      <c r="AZ217" s="1771" t="str">
        <f t="shared" si="191"/>
        <v/>
      </c>
      <c r="BA217" s="1771" t="str">
        <f t="shared" si="191"/>
        <v/>
      </c>
      <c r="BB217" s="3437" t="str">
        <f t="shared" si="191"/>
        <v/>
      </c>
      <c r="BC217" s="3443" t="str">
        <f t="shared" si="191"/>
        <v/>
      </c>
      <c r="BD217" s="3462"/>
      <c r="BE217" s="3440" t="str">
        <f>IF(J217=J319,"stop","")</f>
        <v/>
      </c>
      <c r="BF217" s="1771" t="str">
        <f t="shared" si="192"/>
        <v/>
      </c>
      <c r="BG217" s="1771" t="str">
        <f t="shared" si="192"/>
        <v/>
      </c>
      <c r="BH217" s="1771" t="str">
        <f t="shared" si="192"/>
        <v/>
      </c>
      <c r="BI217" s="1771" t="str">
        <f t="shared" si="192"/>
        <v/>
      </c>
      <c r="BJ217" s="3443" t="str">
        <f t="shared" si="192"/>
        <v/>
      </c>
      <c r="BK217" s="3437" t="str">
        <f t="shared" si="192"/>
        <v/>
      </c>
      <c r="BL217" s="1771">
        <f t="shared" si="192"/>
        <v>8.1240384046359609E-2</v>
      </c>
      <c r="BM217" s="3442" t="str">
        <f t="shared" si="192"/>
        <v/>
      </c>
      <c r="BN217" s="1771" t="str">
        <f t="shared" si="192"/>
        <v/>
      </c>
      <c r="BO217" s="1771" t="str">
        <f t="shared" si="192"/>
        <v/>
      </c>
      <c r="BP217" s="1771" t="str">
        <f t="shared" si="192"/>
        <v/>
      </c>
      <c r="BQ217" s="1771" t="str">
        <f t="shared" si="192"/>
        <v/>
      </c>
      <c r="BR217" s="3437" t="str">
        <f t="shared" si="193"/>
        <v/>
      </c>
      <c r="BS217" s="1771" t="str">
        <f t="shared" si="193"/>
        <v/>
      </c>
      <c r="BT217" s="1771" t="str">
        <f t="shared" si="193"/>
        <v/>
      </c>
      <c r="BU217" s="3442" t="str">
        <f t="shared" si="193"/>
        <v/>
      </c>
      <c r="BV217" s="1771" t="str">
        <f t="shared" si="193"/>
        <v/>
      </c>
      <c r="BW217" s="3442" t="str">
        <f t="shared" si="193"/>
        <v/>
      </c>
      <c r="BX217" s="3462"/>
      <c r="BY217" s="3439" t="str">
        <f>IF(L217=L319,"stop","")</f>
        <v/>
      </c>
      <c r="BZ217" s="3437" t="str">
        <f t="shared" si="194"/>
        <v/>
      </c>
      <c r="CA217" s="1771" t="str">
        <f t="shared" si="194"/>
        <v/>
      </c>
      <c r="CB217" s="1771" t="str">
        <f t="shared" si="194"/>
        <v/>
      </c>
      <c r="CC217" s="3442" t="str">
        <f t="shared" si="194"/>
        <v/>
      </c>
      <c r="CD217" s="1771" t="str">
        <f t="shared" si="194"/>
        <v/>
      </c>
      <c r="CE217" s="3437" t="str">
        <f t="shared" si="194"/>
        <v/>
      </c>
      <c r="CF217" s="1771">
        <f t="shared" si="194"/>
        <v>8.4999999999999992E-2</v>
      </c>
      <c r="CG217" s="1771" t="str">
        <f t="shared" si="194"/>
        <v/>
      </c>
      <c r="CH217" s="3437" t="str">
        <f t="shared" si="194"/>
        <v/>
      </c>
      <c r="CI217" s="1771" t="str">
        <f t="shared" si="194"/>
        <v/>
      </c>
      <c r="CJ217" s="1771" t="str">
        <f t="shared" si="194"/>
        <v/>
      </c>
      <c r="CK217" s="3442" t="str">
        <f t="shared" si="194"/>
        <v/>
      </c>
      <c r="CL217" s="3437" t="str">
        <f t="shared" si="195"/>
        <v/>
      </c>
      <c r="CM217" s="1771" t="str">
        <f t="shared" si="195"/>
        <v/>
      </c>
      <c r="CN217" s="1771" t="str">
        <f t="shared" si="195"/>
        <v/>
      </c>
      <c r="CO217" s="3442" t="str">
        <f t="shared" si="195"/>
        <v/>
      </c>
      <c r="CP217" s="1771" t="str">
        <f t="shared" si="195"/>
        <v/>
      </c>
      <c r="CQ217" s="3442" t="str">
        <f t="shared" si="195"/>
        <v/>
      </c>
      <c r="CR217" s="3462"/>
    </row>
    <row r="218" spans="1:96" s="3" customFormat="1" ht="18">
      <c r="A218" s="1848" t="s">
        <v>935</v>
      </c>
      <c r="B218" s="816">
        <v>8</v>
      </c>
      <c r="C218" s="816">
        <v>7.51</v>
      </c>
      <c r="D218" s="816">
        <v>0.01</v>
      </c>
      <c r="E218" s="1802" t="s">
        <v>35</v>
      </c>
      <c r="F218" s="816">
        <v>0.25</v>
      </c>
      <c r="G218" s="816" t="s">
        <v>784</v>
      </c>
      <c r="H218" s="816">
        <v>1988</v>
      </c>
      <c r="I218" s="50"/>
      <c r="J218" s="816">
        <f t="shared" si="196"/>
        <v>7.51</v>
      </c>
      <c r="K218" s="816">
        <v>0.01</v>
      </c>
      <c r="L218" s="816" t="s">
        <v>35</v>
      </c>
      <c r="M218" s="816">
        <v>0.25</v>
      </c>
      <c r="N218" s="845">
        <f t="shared" si="198"/>
        <v>0.05</v>
      </c>
      <c r="O218" s="1831">
        <f t="shared" si="199"/>
        <v>0.13</v>
      </c>
      <c r="P218" s="825" t="s">
        <v>1087</v>
      </c>
      <c r="Q218" s="3" t="str">
        <f>IF(J218=J319,"stop","")</f>
        <v/>
      </c>
      <c r="R218" s="3437" t="str">
        <f t="shared" si="197"/>
        <v/>
      </c>
      <c r="S218" s="1771" t="str">
        <f t="shared" si="197"/>
        <v/>
      </c>
      <c r="T218" s="1771" t="str">
        <f t="shared" si="197"/>
        <v/>
      </c>
      <c r="U218" s="1771" t="str">
        <f t="shared" si="197"/>
        <v/>
      </c>
      <c r="V218" s="3443" t="str">
        <f t="shared" si="197"/>
        <v/>
      </c>
      <c r="W218" s="1771" t="str">
        <f t="shared" si="197"/>
        <v/>
      </c>
      <c r="X218" s="1771">
        <f t="shared" si="197"/>
        <v>0.01</v>
      </c>
      <c r="Y218" s="1771" t="str">
        <f t="shared" si="197"/>
        <v/>
      </c>
      <c r="Z218" s="3437" t="str">
        <f t="shared" si="197"/>
        <v/>
      </c>
      <c r="AA218" s="1771" t="str">
        <f t="shared" si="197"/>
        <v/>
      </c>
      <c r="AB218" s="1771" t="str">
        <f t="shared" si="197"/>
        <v/>
      </c>
      <c r="AC218" s="3442" t="str">
        <f t="shared" si="197"/>
        <v/>
      </c>
      <c r="AD218" s="1771" t="str">
        <f t="shared" si="197"/>
        <v/>
      </c>
      <c r="AE218" s="1771" t="str">
        <f t="shared" si="197"/>
        <v/>
      </c>
      <c r="AF218" s="1771" t="str">
        <f t="shared" si="197"/>
        <v/>
      </c>
      <c r="AG218" s="3442" t="str">
        <f t="shared" si="197"/>
        <v/>
      </c>
      <c r="AH218" s="1771" t="str">
        <f t="shared" ref="AH218:AI237" si="200">IF(AND($J218&gt;AH$4,$J218&lt;=AH$5,$P218=AH$6),$K218,"")</f>
        <v/>
      </c>
      <c r="AI218" s="3442" t="str">
        <f t="shared" si="200"/>
        <v/>
      </c>
      <c r="AJ218" s="3462"/>
      <c r="AK218" s="3439" t="str">
        <f>IF(J218=J319,"stop","")</f>
        <v/>
      </c>
      <c r="AL218" s="3437" t="str">
        <f t="shared" si="190"/>
        <v/>
      </c>
      <c r="AM218" s="1771" t="str">
        <f t="shared" si="190"/>
        <v/>
      </c>
      <c r="AN218" s="1771" t="str">
        <f t="shared" si="190"/>
        <v/>
      </c>
      <c r="AO218" s="1771" t="str">
        <f t="shared" si="190"/>
        <v/>
      </c>
      <c r="AP218" s="3443" t="str">
        <f t="shared" si="190"/>
        <v/>
      </c>
      <c r="AQ218" s="1771" t="str">
        <f t="shared" si="190"/>
        <v/>
      </c>
      <c r="AR218" s="1771">
        <f t="shared" si="190"/>
        <v>0.25</v>
      </c>
      <c r="AS218" s="3442" t="str">
        <f t="shared" si="190"/>
        <v/>
      </c>
      <c r="AT218" s="1771" t="str">
        <f t="shared" si="190"/>
        <v/>
      </c>
      <c r="AU218" s="1771" t="str">
        <f t="shared" si="190"/>
        <v/>
      </c>
      <c r="AV218" s="1771" t="str">
        <f t="shared" si="190"/>
        <v/>
      </c>
      <c r="AW218" s="3442" t="str">
        <f t="shared" si="190"/>
        <v/>
      </c>
      <c r="AX218" s="1771" t="str">
        <f t="shared" si="191"/>
        <v/>
      </c>
      <c r="AY218" s="1771" t="str">
        <f t="shared" si="191"/>
        <v/>
      </c>
      <c r="AZ218" s="1771" t="str">
        <f t="shared" si="191"/>
        <v/>
      </c>
      <c r="BA218" s="1771" t="str">
        <f t="shared" si="191"/>
        <v/>
      </c>
      <c r="BB218" s="3437" t="str">
        <f t="shared" si="191"/>
        <v/>
      </c>
      <c r="BC218" s="3443" t="str">
        <f t="shared" si="191"/>
        <v/>
      </c>
      <c r="BD218" s="3462"/>
      <c r="BE218" s="3440" t="str">
        <f>IF(J218=J319,"stop","")</f>
        <v/>
      </c>
      <c r="BF218" s="1771" t="str">
        <f t="shared" si="192"/>
        <v/>
      </c>
      <c r="BG218" s="1771" t="str">
        <f t="shared" si="192"/>
        <v/>
      </c>
      <c r="BH218" s="1771" t="str">
        <f t="shared" si="192"/>
        <v/>
      </c>
      <c r="BI218" s="1771" t="str">
        <f t="shared" si="192"/>
        <v/>
      </c>
      <c r="BJ218" s="3443" t="str">
        <f t="shared" si="192"/>
        <v/>
      </c>
      <c r="BK218" s="3437" t="str">
        <f t="shared" si="192"/>
        <v/>
      </c>
      <c r="BL218" s="1771">
        <f t="shared" si="192"/>
        <v>0.05</v>
      </c>
      <c r="BM218" s="3442" t="str">
        <f t="shared" si="192"/>
        <v/>
      </c>
      <c r="BN218" s="1771" t="str">
        <f t="shared" si="192"/>
        <v/>
      </c>
      <c r="BO218" s="1771" t="str">
        <f t="shared" si="192"/>
        <v/>
      </c>
      <c r="BP218" s="1771" t="str">
        <f t="shared" si="192"/>
        <v/>
      </c>
      <c r="BQ218" s="1771" t="str">
        <f t="shared" si="192"/>
        <v/>
      </c>
      <c r="BR218" s="3437" t="str">
        <f t="shared" si="193"/>
        <v/>
      </c>
      <c r="BS218" s="1771" t="str">
        <f t="shared" si="193"/>
        <v/>
      </c>
      <c r="BT218" s="1771" t="str">
        <f t="shared" si="193"/>
        <v/>
      </c>
      <c r="BU218" s="3442" t="str">
        <f t="shared" si="193"/>
        <v/>
      </c>
      <c r="BV218" s="1771" t="str">
        <f t="shared" si="193"/>
        <v/>
      </c>
      <c r="BW218" s="3442" t="str">
        <f t="shared" si="193"/>
        <v/>
      </c>
      <c r="BX218" s="3462"/>
      <c r="BY218" s="3439" t="str">
        <f>IF(L218=L319,"stop","")</f>
        <v/>
      </c>
      <c r="BZ218" s="3437" t="str">
        <f t="shared" si="194"/>
        <v/>
      </c>
      <c r="CA218" s="1771" t="str">
        <f t="shared" si="194"/>
        <v/>
      </c>
      <c r="CB218" s="1771" t="str">
        <f t="shared" si="194"/>
        <v/>
      </c>
      <c r="CC218" s="3442" t="str">
        <f t="shared" si="194"/>
        <v/>
      </c>
      <c r="CD218" s="1771" t="str">
        <f t="shared" si="194"/>
        <v/>
      </c>
      <c r="CE218" s="3437" t="str">
        <f t="shared" si="194"/>
        <v/>
      </c>
      <c r="CF218" s="1771">
        <f t="shared" si="194"/>
        <v>0.13</v>
      </c>
      <c r="CG218" s="1771" t="str">
        <f t="shared" si="194"/>
        <v/>
      </c>
      <c r="CH218" s="3437" t="str">
        <f t="shared" si="194"/>
        <v/>
      </c>
      <c r="CI218" s="1771" t="str">
        <f t="shared" si="194"/>
        <v/>
      </c>
      <c r="CJ218" s="1771" t="str">
        <f t="shared" si="194"/>
        <v/>
      </c>
      <c r="CK218" s="3442" t="str">
        <f t="shared" si="194"/>
        <v/>
      </c>
      <c r="CL218" s="3437" t="str">
        <f t="shared" si="195"/>
        <v/>
      </c>
      <c r="CM218" s="1771" t="str">
        <f t="shared" si="195"/>
        <v/>
      </c>
      <c r="CN218" s="1771" t="str">
        <f t="shared" si="195"/>
        <v/>
      </c>
      <c r="CO218" s="3442" t="str">
        <f t="shared" si="195"/>
        <v/>
      </c>
      <c r="CP218" s="1771" t="str">
        <f t="shared" si="195"/>
        <v/>
      </c>
      <c r="CQ218" s="3442" t="str">
        <f t="shared" si="195"/>
        <v/>
      </c>
      <c r="CR218" s="3462"/>
    </row>
    <row r="219" spans="1:96" s="3" customFormat="1" ht="18">
      <c r="A219" s="1848" t="s">
        <v>845</v>
      </c>
      <c r="B219" s="816">
        <v>8</v>
      </c>
      <c r="C219" s="816"/>
      <c r="D219" s="816">
        <v>0.03</v>
      </c>
      <c r="E219" s="1802" t="s">
        <v>35</v>
      </c>
      <c r="F219" s="816">
        <v>0.16</v>
      </c>
      <c r="G219" s="816" t="s">
        <v>784</v>
      </c>
      <c r="H219" s="816">
        <v>1988</v>
      </c>
      <c r="I219" s="50"/>
      <c r="J219" s="818">
        <f>J218</f>
        <v>7.51</v>
      </c>
      <c r="K219" s="816">
        <v>0.03</v>
      </c>
      <c r="L219" s="816" t="s">
        <v>35</v>
      </c>
      <c r="M219" s="816">
        <v>0.16</v>
      </c>
      <c r="N219" s="845">
        <f t="shared" si="198"/>
        <v>6.9282032302755092E-2</v>
      </c>
      <c r="O219" s="1831">
        <f t="shared" si="199"/>
        <v>9.5000000000000001E-2</v>
      </c>
      <c r="P219" s="825" t="s">
        <v>1087</v>
      </c>
      <c r="Q219" s="3" t="str">
        <f>IF(J219=J319,"stop","")</f>
        <v/>
      </c>
      <c r="R219" s="3437" t="str">
        <f t="shared" si="197"/>
        <v/>
      </c>
      <c r="S219" s="1771" t="str">
        <f t="shared" si="197"/>
        <v/>
      </c>
      <c r="T219" s="1771" t="str">
        <f t="shared" si="197"/>
        <v/>
      </c>
      <c r="U219" s="1771" t="str">
        <f t="shared" si="197"/>
        <v/>
      </c>
      <c r="V219" s="3443" t="str">
        <f t="shared" si="197"/>
        <v/>
      </c>
      <c r="W219" s="1771" t="str">
        <f t="shared" si="197"/>
        <v/>
      </c>
      <c r="X219" s="1771">
        <f t="shared" si="197"/>
        <v>0.03</v>
      </c>
      <c r="Y219" s="1771" t="str">
        <f t="shared" si="197"/>
        <v/>
      </c>
      <c r="Z219" s="3437" t="str">
        <f t="shared" si="197"/>
        <v/>
      </c>
      <c r="AA219" s="1771" t="str">
        <f t="shared" si="197"/>
        <v/>
      </c>
      <c r="AB219" s="1771" t="str">
        <f t="shared" si="197"/>
        <v/>
      </c>
      <c r="AC219" s="3442" t="str">
        <f t="shared" si="197"/>
        <v/>
      </c>
      <c r="AD219" s="1771" t="str">
        <f t="shared" si="197"/>
        <v/>
      </c>
      <c r="AE219" s="1771" t="str">
        <f t="shared" si="197"/>
        <v/>
      </c>
      <c r="AF219" s="1771" t="str">
        <f t="shared" si="197"/>
        <v/>
      </c>
      <c r="AG219" s="3442" t="str">
        <f t="shared" si="197"/>
        <v/>
      </c>
      <c r="AH219" s="1771" t="str">
        <f t="shared" si="200"/>
        <v/>
      </c>
      <c r="AI219" s="3442" t="str">
        <f t="shared" si="200"/>
        <v/>
      </c>
      <c r="AJ219" s="3462"/>
      <c r="AK219" s="3439" t="str">
        <f>IF(J219=J319,"stop","")</f>
        <v/>
      </c>
      <c r="AL219" s="3437" t="str">
        <f t="shared" si="190"/>
        <v/>
      </c>
      <c r="AM219" s="1771" t="str">
        <f t="shared" si="190"/>
        <v/>
      </c>
      <c r="AN219" s="1771" t="str">
        <f t="shared" si="190"/>
        <v/>
      </c>
      <c r="AO219" s="1771" t="str">
        <f t="shared" si="190"/>
        <v/>
      </c>
      <c r="AP219" s="3443" t="str">
        <f t="shared" si="190"/>
        <v/>
      </c>
      <c r="AQ219" s="1771" t="str">
        <f t="shared" si="190"/>
        <v/>
      </c>
      <c r="AR219" s="1771">
        <f t="shared" si="190"/>
        <v>0.16</v>
      </c>
      <c r="AS219" s="3442" t="str">
        <f t="shared" si="190"/>
        <v/>
      </c>
      <c r="AT219" s="1771" t="str">
        <f t="shared" si="190"/>
        <v/>
      </c>
      <c r="AU219" s="1771" t="str">
        <f t="shared" si="190"/>
        <v/>
      </c>
      <c r="AV219" s="1771" t="str">
        <f t="shared" si="190"/>
        <v/>
      </c>
      <c r="AW219" s="3442" t="str">
        <f t="shared" si="190"/>
        <v/>
      </c>
      <c r="AX219" s="1771" t="str">
        <f t="shared" si="191"/>
        <v/>
      </c>
      <c r="AY219" s="1771" t="str">
        <f t="shared" si="191"/>
        <v/>
      </c>
      <c r="AZ219" s="1771" t="str">
        <f t="shared" si="191"/>
        <v/>
      </c>
      <c r="BA219" s="1771" t="str">
        <f t="shared" si="191"/>
        <v/>
      </c>
      <c r="BB219" s="3437" t="str">
        <f t="shared" si="191"/>
        <v/>
      </c>
      <c r="BC219" s="3443" t="str">
        <f t="shared" si="191"/>
        <v/>
      </c>
      <c r="BD219" s="3462"/>
      <c r="BE219" s="3440" t="str">
        <f>IF(J219=J319,"stop","")</f>
        <v/>
      </c>
      <c r="BF219" s="1771" t="str">
        <f t="shared" si="192"/>
        <v/>
      </c>
      <c r="BG219" s="1771" t="str">
        <f t="shared" si="192"/>
        <v/>
      </c>
      <c r="BH219" s="1771" t="str">
        <f t="shared" si="192"/>
        <v/>
      </c>
      <c r="BI219" s="1771" t="str">
        <f t="shared" si="192"/>
        <v/>
      </c>
      <c r="BJ219" s="3443" t="str">
        <f t="shared" si="192"/>
        <v/>
      </c>
      <c r="BK219" s="3437" t="str">
        <f t="shared" si="192"/>
        <v/>
      </c>
      <c r="BL219" s="1771">
        <f t="shared" si="192"/>
        <v>6.9282032302755092E-2</v>
      </c>
      <c r="BM219" s="3442" t="str">
        <f t="shared" si="192"/>
        <v/>
      </c>
      <c r="BN219" s="1771" t="str">
        <f t="shared" si="192"/>
        <v/>
      </c>
      <c r="BO219" s="1771" t="str">
        <f t="shared" si="192"/>
        <v/>
      </c>
      <c r="BP219" s="1771" t="str">
        <f t="shared" si="192"/>
        <v/>
      </c>
      <c r="BQ219" s="1771" t="str">
        <f t="shared" si="192"/>
        <v/>
      </c>
      <c r="BR219" s="3437" t="str">
        <f t="shared" si="193"/>
        <v/>
      </c>
      <c r="BS219" s="1771" t="str">
        <f t="shared" si="193"/>
        <v/>
      </c>
      <c r="BT219" s="1771" t="str">
        <f t="shared" si="193"/>
        <v/>
      </c>
      <c r="BU219" s="3442" t="str">
        <f t="shared" si="193"/>
        <v/>
      </c>
      <c r="BV219" s="1771" t="str">
        <f t="shared" si="193"/>
        <v/>
      </c>
      <c r="BW219" s="3442" t="str">
        <f t="shared" si="193"/>
        <v/>
      </c>
      <c r="BX219" s="3462"/>
      <c r="BY219" s="3439" t="str">
        <f>IF(L219=L319,"stop","")</f>
        <v/>
      </c>
      <c r="BZ219" s="3437" t="str">
        <f t="shared" si="194"/>
        <v/>
      </c>
      <c r="CA219" s="1771" t="str">
        <f t="shared" si="194"/>
        <v/>
      </c>
      <c r="CB219" s="1771" t="str">
        <f t="shared" si="194"/>
        <v/>
      </c>
      <c r="CC219" s="3442" t="str">
        <f t="shared" si="194"/>
        <v/>
      </c>
      <c r="CD219" s="1771" t="str">
        <f t="shared" si="194"/>
        <v/>
      </c>
      <c r="CE219" s="3437" t="str">
        <f t="shared" si="194"/>
        <v/>
      </c>
      <c r="CF219" s="1771">
        <f t="shared" si="194"/>
        <v>9.5000000000000001E-2</v>
      </c>
      <c r="CG219" s="1771" t="str">
        <f t="shared" si="194"/>
        <v/>
      </c>
      <c r="CH219" s="3437" t="str">
        <f t="shared" si="194"/>
        <v/>
      </c>
      <c r="CI219" s="1771" t="str">
        <f t="shared" si="194"/>
        <v/>
      </c>
      <c r="CJ219" s="1771" t="str">
        <f t="shared" si="194"/>
        <v/>
      </c>
      <c r="CK219" s="3442" t="str">
        <f t="shared" si="194"/>
        <v/>
      </c>
      <c r="CL219" s="3437" t="str">
        <f t="shared" si="195"/>
        <v/>
      </c>
      <c r="CM219" s="1771" t="str">
        <f t="shared" si="195"/>
        <v/>
      </c>
      <c r="CN219" s="1771" t="str">
        <f t="shared" si="195"/>
        <v/>
      </c>
      <c r="CO219" s="3442" t="str">
        <f t="shared" si="195"/>
        <v/>
      </c>
      <c r="CP219" s="1771" t="str">
        <f t="shared" si="195"/>
        <v/>
      </c>
      <c r="CQ219" s="3442" t="str">
        <f t="shared" si="195"/>
        <v/>
      </c>
      <c r="CR219" s="3462"/>
    </row>
    <row r="220" spans="1:96" s="3" customFormat="1">
      <c r="A220" s="1848" t="s">
        <v>846</v>
      </c>
      <c r="B220" s="816">
        <v>7</v>
      </c>
      <c r="C220" s="816">
        <v>7.34</v>
      </c>
      <c r="D220" s="816">
        <v>0.14000000000000001</v>
      </c>
      <c r="E220" s="1802" t="s">
        <v>35</v>
      </c>
      <c r="F220" s="816">
        <v>0.21</v>
      </c>
      <c r="G220" s="816" t="s">
        <v>784</v>
      </c>
      <c r="H220" s="816">
        <v>1988</v>
      </c>
      <c r="I220" s="50"/>
      <c r="J220" s="816">
        <f t="shared" si="196"/>
        <v>7.34</v>
      </c>
      <c r="K220" s="816">
        <v>0.14000000000000001</v>
      </c>
      <c r="L220" s="816" t="s">
        <v>35</v>
      </c>
      <c r="M220" s="816">
        <v>0.21</v>
      </c>
      <c r="N220" s="845">
        <f t="shared" si="198"/>
        <v>0.17146428199482247</v>
      </c>
      <c r="O220" s="1831">
        <f t="shared" si="199"/>
        <v>0.17499999999999999</v>
      </c>
      <c r="P220" s="825" t="s">
        <v>1087</v>
      </c>
      <c r="Q220" s="3" t="str">
        <f>IF(J220=J319,"stop","")</f>
        <v/>
      </c>
      <c r="R220" s="3437" t="str">
        <f t="shared" si="197"/>
        <v/>
      </c>
      <c r="S220" s="1771" t="str">
        <f t="shared" si="197"/>
        <v/>
      </c>
      <c r="T220" s="1771" t="str">
        <f t="shared" si="197"/>
        <v/>
      </c>
      <c r="U220" s="1771" t="str">
        <f t="shared" si="197"/>
        <v/>
      </c>
      <c r="V220" s="3443" t="str">
        <f t="shared" si="197"/>
        <v/>
      </c>
      <c r="W220" s="1771" t="str">
        <f t="shared" si="197"/>
        <v/>
      </c>
      <c r="X220" s="1771">
        <f t="shared" si="197"/>
        <v>0.14000000000000001</v>
      </c>
      <c r="Y220" s="1771" t="str">
        <f t="shared" si="197"/>
        <v/>
      </c>
      <c r="Z220" s="3437" t="str">
        <f t="shared" si="197"/>
        <v/>
      </c>
      <c r="AA220" s="1771" t="str">
        <f t="shared" si="197"/>
        <v/>
      </c>
      <c r="AB220" s="1771" t="str">
        <f t="shared" si="197"/>
        <v/>
      </c>
      <c r="AC220" s="3442" t="str">
        <f t="shared" si="197"/>
        <v/>
      </c>
      <c r="AD220" s="1771" t="str">
        <f t="shared" si="197"/>
        <v/>
      </c>
      <c r="AE220" s="1771" t="str">
        <f t="shared" si="197"/>
        <v/>
      </c>
      <c r="AF220" s="1771" t="str">
        <f t="shared" si="197"/>
        <v/>
      </c>
      <c r="AG220" s="3442" t="str">
        <f t="shared" si="197"/>
        <v/>
      </c>
      <c r="AH220" s="1771" t="str">
        <f t="shared" si="200"/>
        <v/>
      </c>
      <c r="AI220" s="3442" t="str">
        <f t="shared" si="200"/>
        <v/>
      </c>
      <c r="AJ220" s="3462"/>
      <c r="AK220" s="3439" t="str">
        <f>IF(J220=J319,"stop","")</f>
        <v/>
      </c>
      <c r="AL220" s="3437" t="str">
        <f t="shared" si="190"/>
        <v/>
      </c>
      <c r="AM220" s="1771" t="str">
        <f t="shared" si="190"/>
        <v/>
      </c>
      <c r="AN220" s="1771" t="str">
        <f t="shared" si="190"/>
        <v/>
      </c>
      <c r="AO220" s="1771" t="str">
        <f t="shared" si="190"/>
        <v/>
      </c>
      <c r="AP220" s="3443" t="str">
        <f t="shared" si="190"/>
        <v/>
      </c>
      <c r="AQ220" s="1771" t="str">
        <f t="shared" si="190"/>
        <v/>
      </c>
      <c r="AR220" s="1771">
        <f t="shared" si="190"/>
        <v>0.21</v>
      </c>
      <c r="AS220" s="3442" t="str">
        <f t="shared" si="190"/>
        <v/>
      </c>
      <c r="AT220" s="1771" t="str">
        <f t="shared" si="190"/>
        <v/>
      </c>
      <c r="AU220" s="1771" t="str">
        <f t="shared" si="190"/>
        <v/>
      </c>
      <c r="AV220" s="1771" t="str">
        <f t="shared" si="190"/>
        <v/>
      </c>
      <c r="AW220" s="3442" t="str">
        <f t="shared" si="190"/>
        <v/>
      </c>
      <c r="AX220" s="1771" t="str">
        <f t="shared" si="191"/>
        <v/>
      </c>
      <c r="AY220" s="1771" t="str">
        <f t="shared" si="191"/>
        <v/>
      </c>
      <c r="AZ220" s="1771" t="str">
        <f t="shared" si="191"/>
        <v/>
      </c>
      <c r="BA220" s="1771" t="str">
        <f t="shared" si="191"/>
        <v/>
      </c>
      <c r="BB220" s="3437" t="str">
        <f t="shared" si="191"/>
        <v/>
      </c>
      <c r="BC220" s="3443" t="str">
        <f t="shared" si="191"/>
        <v/>
      </c>
      <c r="BD220" s="3462"/>
      <c r="BE220" s="3440" t="str">
        <f>IF(J220=J319,"stop","")</f>
        <v/>
      </c>
      <c r="BF220" s="1771" t="str">
        <f t="shared" si="192"/>
        <v/>
      </c>
      <c r="BG220" s="1771" t="str">
        <f t="shared" si="192"/>
        <v/>
      </c>
      <c r="BH220" s="1771" t="str">
        <f t="shared" si="192"/>
        <v/>
      </c>
      <c r="BI220" s="1771" t="str">
        <f t="shared" si="192"/>
        <v/>
      </c>
      <c r="BJ220" s="3443" t="str">
        <f t="shared" si="192"/>
        <v/>
      </c>
      <c r="BK220" s="3437" t="str">
        <f t="shared" si="192"/>
        <v/>
      </c>
      <c r="BL220" s="1771">
        <f t="shared" si="192"/>
        <v>0.17146428199482247</v>
      </c>
      <c r="BM220" s="3442" t="str">
        <f t="shared" si="192"/>
        <v/>
      </c>
      <c r="BN220" s="1771" t="str">
        <f t="shared" si="192"/>
        <v/>
      </c>
      <c r="BO220" s="1771" t="str">
        <f t="shared" si="192"/>
        <v/>
      </c>
      <c r="BP220" s="1771" t="str">
        <f t="shared" si="192"/>
        <v/>
      </c>
      <c r="BQ220" s="1771" t="str">
        <f t="shared" si="192"/>
        <v/>
      </c>
      <c r="BR220" s="3437" t="str">
        <f t="shared" si="193"/>
        <v/>
      </c>
      <c r="BS220" s="1771" t="str">
        <f t="shared" si="193"/>
        <v/>
      </c>
      <c r="BT220" s="1771" t="str">
        <f t="shared" si="193"/>
        <v/>
      </c>
      <c r="BU220" s="3442" t="str">
        <f t="shared" si="193"/>
        <v/>
      </c>
      <c r="BV220" s="1771" t="str">
        <f t="shared" si="193"/>
        <v/>
      </c>
      <c r="BW220" s="3442" t="str">
        <f t="shared" si="193"/>
        <v/>
      </c>
      <c r="BX220" s="3462"/>
      <c r="BY220" s="3439" t="str">
        <f>IF(L220=L319,"stop","")</f>
        <v/>
      </c>
      <c r="BZ220" s="3437" t="str">
        <f t="shared" si="194"/>
        <v/>
      </c>
      <c r="CA220" s="1771" t="str">
        <f t="shared" si="194"/>
        <v/>
      </c>
      <c r="CB220" s="1771" t="str">
        <f t="shared" si="194"/>
        <v/>
      </c>
      <c r="CC220" s="3442" t="str">
        <f t="shared" si="194"/>
        <v/>
      </c>
      <c r="CD220" s="1771" t="str">
        <f t="shared" si="194"/>
        <v/>
      </c>
      <c r="CE220" s="3437" t="str">
        <f t="shared" si="194"/>
        <v/>
      </c>
      <c r="CF220" s="1771">
        <f t="shared" si="194"/>
        <v>0.17499999999999999</v>
      </c>
      <c r="CG220" s="1771" t="str">
        <f t="shared" si="194"/>
        <v/>
      </c>
      <c r="CH220" s="3437" t="str">
        <f t="shared" si="194"/>
        <v/>
      </c>
      <c r="CI220" s="1771" t="str">
        <f t="shared" si="194"/>
        <v/>
      </c>
      <c r="CJ220" s="1771" t="str">
        <f t="shared" si="194"/>
        <v/>
      </c>
      <c r="CK220" s="3442" t="str">
        <f t="shared" si="194"/>
        <v/>
      </c>
      <c r="CL220" s="3437" t="str">
        <f t="shared" si="195"/>
        <v/>
      </c>
      <c r="CM220" s="1771" t="str">
        <f t="shared" si="195"/>
        <v/>
      </c>
      <c r="CN220" s="1771" t="str">
        <f t="shared" si="195"/>
        <v/>
      </c>
      <c r="CO220" s="3442" t="str">
        <f t="shared" si="195"/>
        <v/>
      </c>
      <c r="CP220" s="1771" t="str">
        <f t="shared" si="195"/>
        <v/>
      </c>
      <c r="CQ220" s="3442" t="str">
        <f t="shared" si="195"/>
        <v/>
      </c>
      <c r="CR220" s="3462"/>
    </row>
    <row r="221" spans="1:96" s="3" customFormat="1">
      <c r="A221" s="1848" t="s">
        <v>847</v>
      </c>
      <c r="B221" s="816">
        <v>8</v>
      </c>
      <c r="C221" s="816">
        <v>7.1</v>
      </c>
      <c r="D221" s="816">
        <v>0.01</v>
      </c>
      <c r="E221" s="1802" t="s">
        <v>35</v>
      </c>
      <c r="F221" s="816">
        <v>0.06</v>
      </c>
      <c r="G221" s="816" t="s">
        <v>784</v>
      </c>
      <c r="H221" s="816">
        <v>1988</v>
      </c>
      <c r="I221" s="50"/>
      <c r="J221" s="816">
        <f t="shared" si="196"/>
        <v>7.1</v>
      </c>
      <c r="K221" s="816">
        <v>0.01</v>
      </c>
      <c r="L221" s="816" t="s">
        <v>35</v>
      </c>
      <c r="M221" s="816">
        <v>0.06</v>
      </c>
      <c r="N221" s="845">
        <f t="shared" si="198"/>
        <v>2.4494897427831779E-2</v>
      </c>
      <c r="O221" s="1831">
        <f t="shared" si="199"/>
        <v>3.4999999999999996E-2</v>
      </c>
      <c r="P221" s="825" t="s">
        <v>1087</v>
      </c>
      <c r="Q221" s="3" t="str">
        <f>IF(J221=J319,"stop","")</f>
        <v/>
      </c>
      <c r="R221" s="3437" t="str">
        <f t="shared" si="197"/>
        <v/>
      </c>
      <c r="S221" s="1771" t="str">
        <f t="shared" si="197"/>
        <v/>
      </c>
      <c r="T221" s="1771" t="str">
        <f t="shared" si="197"/>
        <v/>
      </c>
      <c r="U221" s="1771" t="str">
        <f t="shared" si="197"/>
        <v/>
      </c>
      <c r="V221" s="3443" t="str">
        <f t="shared" si="197"/>
        <v/>
      </c>
      <c r="W221" s="1771" t="str">
        <f t="shared" si="197"/>
        <v/>
      </c>
      <c r="X221" s="1771">
        <f t="shared" si="197"/>
        <v>0.01</v>
      </c>
      <c r="Y221" s="1771" t="str">
        <f t="shared" si="197"/>
        <v/>
      </c>
      <c r="Z221" s="3437" t="str">
        <f t="shared" si="197"/>
        <v/>
      </c>
      <c r="AA221" s="1771" t="str">
        <f t="shared" si="197"/>
        <v/>
      </c>
      <c r="AB221" s="1771" t="str">
        <f t="shared" si="197"/>
        <v/>
      </c>
      <c r="AC221" s="3442" t="str">
        <f t="shared" si="197"/>
        <v/>
      </c>
      <c r="AD221" s="1771" t="str">
        <f t="shared" si="197"/>
        <v/>
      </c>
      <c r="AE221" s="1771" t="str">
        <f t="shared" si="197"/>
        <v/>
      </c>
      <c r="AF221" s="1771" t="str">
        <f t="shared" si="197"/>
        <v/>
      </c>
      <c r="AG221" s="3442" t="str">
        <f t="shared" si="197"/>
        <v/>
      </c>
      <c r="AH221" s="1771" t="str">
        <f t="shared" si="200"/>
        <v/>
      </c>
      <c r="AI221" s="3442" t="str">
        <f t="shared" si="200"/>
        <v/>
      </c>
      <c r="AJ221" s="3462"/>
      <c r="AK221" s="3439" t="str">
        <f>IF(J221=J319,"stop","")</f>
        <v/>
      </c>
      <c r="AL221" s="3437" t="str">
        <f t="shared" ref="AL221:AW230" si="201">IF(AND($J221&gt;AL$4,$J221&lt;=AL$5,$P221=AL$6),$M221,"")</f>
        <v/>
      </c>
      <c r="AM221" s="1771" t="str">
        <f t="shared" si="201"/>
        <v/>
      </c>
      <c r="AN221" s="1771" t="str">
        <f t="shared" si="201"/>
        <v/>
      </c>
      <c r="AO221" s="1771" t="str">
        <f t="shared" si="201"/>
        <v/>
      </c>
      <c r="AP221" s="3443" t="str">
        <f t="shared" si="201"/>
        <v/>
      </c>
      <c r="AQ221" s="1771" t="str">
        <f t="shared" si="201"/>
        <v/>
      </c>
      <c r="AR221" s="1771">
        <f t="shared" si="201"/>
        <v>0.06</v>
      </c>
      <c r="AS221" s="3442" t="str">
        <f t="shared" si="201"/>
        <v/>
      </c>
      <c r="AT221" s="1771" t="str">
        <f t="shared" si="201"/>
        <v/>
      </c>
      <c r="AU221" s="1771" t="str">
        <f t="shared" si="201"/>
        <v/>
      </c>
      <c r="AV221" s="1771" t="str">
        <f t="shared" si="201"/>
        <v/>
      </c>
      <c r="AW221" s="3442" t="str">
        <f t="shared" si="201"/>
        <v/>
      </c>
      <c r="AX221" s="1771" t="str">
        <f t="shared" ref="AX221:BC230" si="202">IF(AND($J221&gt;AX$4,$J221&lt;=AX$5,$P221=AX$6),$M221,"")</f>
        <v/>
      </c>
      <c r="AY221" s="1771" t="str">
        <f t="shared" si="202"/>
        <v/>
      </c>
      <c r="AZ221" s="1771" t="str">
        <f t="shared" si="202"/>
        <v/>
      </c>
      <c r="BA221" s="1771" t="str">
        <f t="shared" si="202"/>
        <v/>
      </c>
      <c r="BB221" s="3437" t="str">
        <f t="shared" si="202"/>
        <v/>
      </c>
      <c r="BC221" s="3443" t="str">
        <f t="shared" si="202"/>
        <v/>
      </c>
      <c r="BD221" s="3462"/>
      <c r="BE221" s="3440" t="str">
        <f>IF(J221=J319,"stop","")</f>
        <v/>
      </c>
      <c r="BF221" s="1771" t="str">
        <f t="shared" ref="BF221:BQ230" si="203">IF(AND($J221&gt;BF$4,$J221&lt;=BF$5,$P221=BF$6),$N221,"")</f>
        <v/>
      </c>
      <c r="BG221" s="1771" t="str">
        <f t="shared" si="203"/>
        <v/>
      </c>
      <c r="BH221" s="1771" t="str">
        <f t="shared" si="203"/>
        <v/>
      </c>
      <c r="BI221" s="1771" t="str">
        <f t="shared" si="203"/>
        <v/>
      </c>
      <c r="BJ221" s="3443" t="str">
        <f t="shared" si="203"/>
        <v/>
      </c>
      <c r="BK221" s="3437" t="str">
        <f t="shared" si="203"/>
        <v/>
      </c>
      <c r="BL221" s="1771">
        <f t="shared" si="203"/>
        <v>2.4494897427831779E-2</v>
      </c>
      <c r="BM221" s="3442" t="str">
        <f t="shared" si="203"/>
        <v/>
      </c>
      <c r="BN221" s="1771" t="str">
        <f t="shared" si="203"/>
        <v/>
      </c>
      <c r="BO221" s="1771" t="str">
        <f t="shared" si="203"/>
        <v/>
      </c>
      <c r="BP221" s="1771" t="str">
        <f t="shared" si="203"/>
        <v/>
      </c>
      <c r="BQ221" s="1771" t="str">
        <f t="shared" si="203"/>
        <v/>
      </c>
      <c r="BR221" s="3437" t="str">
        <f t="shared" ref="BR221:BW230" si="204">IF(AND($J221&gt;BR$4,$J221&lt;=BR$5,$P221=BR$6),$N221,"")</f>
        <v/>
      </c>
      <c r="BS221" s="1771" t="str">
        <f t="shared" si="204"/>
        <v/>
      </c>
      <c r="BT221" s="1771" t="str">
        <f t="shared" si="204"/>
        <v/>
      </c>
      <c r="BU221" s="3442" t="str">
        <f t="shared" si="204"/>
        <v/>
      </c>
      <c r="BV221" s="1771" t="str">
        <f t="shared" si="204"/>
        <v/>
      </c>
      <c r="BW221" s="3442" t="str">
        <f t="shared" si="204"/>
        <v/>
      </c>
      <c r="BX221" s="3462"/>
      <c r="BY221" s="3439" t="str">
        <f>IF(L221=L319,"stop","")</f>
        <v/>
      </c>
      <c r="BZ221" s="3437" t="str">
        <f t="shared" ref="BZ221:CK230" si="205">IF(AND($J221&gt;BZ$4,$J221&lt;=BZ$5,$P221=BZ$6),$O221,"")</f>
        <v/>
      </c>
      <c r="CA221" s="1771" t="str">
        <f t="shared" si="205"/>
        <v/>
      </c>
      <c r="CB221" s="1771" t="str">
        <f t="shared" si="205"/>
        <v/>
      </c>
      <c r="CC221" s="3442" t="str">
        <f t="shared" si="205"/>
        <v/>
      </c>
      <c r="CD221" s="1771" t="str">
        <f t="shared" si="205"/>
        <v/>
      </c>
      <c r="CE221" s="3437" t="str">
        <f t="shared" si="205"/>
        <v/>
      </c>
      <c r="CF221" s="1771">
        <f t="shared" si="205"/>
        <v>3.4999999999999996E-2</v>
      </c>
      <c r="CG221" s="1771" t="str">
        <f t="shared" si="205"/>
        <v/>
      </c>
      <c r="CH221" s="3437" t="str">
        <f t="shared" si="205"/>
        <v/>
      </c>
      <c r="CI221" s="1771" t="str">
        <f t="shared" si="205"/>
        <v/>
      </c>
      <c r="CJ221" s="1771" t="str">
        <f t="shared" si="205"/>
        <v/>
      </c>
      <c r="CK221" s="3442" t="str">
        <f t="shared" si="205"/>
        <v/>
      </c>
      <c r="CL221" s="3437" t="str">
        <f t="shared" ref="CL221:CQ230" si="206">IF(AND($J221&gt;CL$4,$J221&lt;=CL$5,$P221=CL$6),$O221,"")</f>
        <v/>
      </c>
      <c r="CM221" s="1771" t="str">
        <f t="shared" si="206"/>
        <v/>
      </c>
      <c r="CN221" s="1771" t="str">
        <f t="shared" si="206"/>
        <v/>
      </c>
      <c r="CO221" s="3442" t="str">
        <f t="shared" si="206"/>
        <v/>
      </c>
      <c r="CP221" s="1771" t="str">
        <f t="shared" si="206"/>
        <v/>
      </c>
      <c r="CQ221" s="3442" t="str">
        <f t="shared" si="206"/>
        <v/>
      </c>
      <c r="CR221" s="3462"/>
    </row>
    <row r="222" spans="1:96" s="3" customFormat="1">
      <c r="A222" s="1848" t="s">
        <v>848</v>
      </c>
      <c r="B222" s="816">
        <v>8</v>
      </c>
      <c r="C222" s="816"/>
      <c r="D222" s="816">
        <v>0.01</v>
      </c>
      <c r="E222" s="1802" t="s">
        <v>35</v>
      </c>
      <c r="F222" s="816">
        <v>0.02</v>
      </c>
      <c r="G222" s="816" t="s">
        <v>784</v>
      </c>
      <c r="H222" s="816">
        <v>1988</v>
      </c>
      <c r="I222" s="50"/>
      <c r="J222" s="816">
        <f t="shared" si="196"/>
        <v>8.5</v>
      </c>
      <c r="K222" s="816">
        <v>0.01</v>
      </c>
      <c r="L222" s="816" t="s">
        <v>35</v>
      </c>
      <c r="M222" s="816">
        <v>0.02</v>
      </c>
      <c r="N222" s="845">
        <f t="shared" si="198"/>
        <v>1.4142135623730951E-2</v>
      </c>
      <c r="O222" s="1831">
        <f t="shared" si="199"/>
        <v>1.4999999999999999E-2</v>
      </c>
      <c r="P222" s="825" t="s">
        <v>1087</v>
      </c>
      <c r="Q222" s="3" t="str">
        <f>IF(J222=J319,"stop","")</f>
        <v/>
      </c>
      <c r="R222" s="3437" t="str">
        <f t="shared" si="197"/>
        <v/>
      </c>
      <c r="S222" s="1771" t="str">
        <f t="shared" si="197"/>
        <v/>
      </c>
      <c r="T222" s="1771" t="str">
        <f t="shared" si="197"/>
        <v/>
      </c>
      <c r="U222" s="1771" t="str">
        <f t="shared" si="197"/>
        <v/>
      </c>
      <c r="V222" s="3443" t="str">
        <f t="shared" si="197"/>
        <v/>
      </c>
      <c r="W222" s="1771" t="str">
        <f t="shared" si="197"/>
        <v/>
      </c>
      <c r="X222" s="1771" t="str">
        <f t="shared" si="197"/>
        <v/>
      </c>
      <c r="Y222" s="1771">
        <f t="shared" si="197"/>
        <v>0.01</v>
      </c>
      <c r="Z222" s="3437" t="str">
        <f t="shared" si="197"/>
        <v/>
      </c>
      <c r="AA222" s="1771" t="str">
        <f t="shared" si="197"/>
        <v/>
      </c>
      <c r="AB222" s="1771" t="str">
        <f t="shared" si="197"/>
        <v/>
      </c>
      <c r="AC222" s="3442" t="str">
        <f t="shared" si="197"/>
        <v/>
      </c>
      <c r="AD222" s="1771" t="str">
        <f t="shared" si="197"/>
        <v/>
      </c>
      <c r="AE222" s="1771" t="str">
        <f t="shared" si="197"/>
        <v/>
      </c>
      <c r="AF222" s="1771" t="str">
        <f t="shared" si="197"/>
        <v/>
      </c>
      <c r="AG222" s="3442" t="str">
        <f t="shared" si="197"/>
        <v/>
      </c>
      <c r="AH222" s="1771" t="str">
        <f t="shared" si="200"/>
        <v/>
      </c>
      <c r="AI222" s="3442" t="str">
        <f t="shared" si="200"/>
        <v/>
      </c>
      <c r="AJ222" s="3462"/>
      <c r="AK222" s="3439" t="str">
        <f>IF(J222=J319,"stop","")</f>
        <v/>
      </c>
      <c r="AL222" s="3437" t="str">
        <f t="shared" si="201"/>
        <v/>
      </c>
      <c r="AM222" s="1771" t="str">
        <f t="shared" si="201"/>
        <v/>
      </c>
      <c r="AN222" s="1771" t="str">
        <f t="shared" si="201"/>
        <v/>
      </c>
      <c r="AO222" s="1771" t="str">
        <f t="shared" si="201"/>
        <v/>
      </c>
      <c r="AP222" s="3443" t="str">
        <f t="shared" si="201"/>
        <v/>
      </c>
      <c r="AQ222" s="1771" t="str">
        <f t="shared" si="201"/>
        <v/>
      </c>
      <c r="AR222" s="1771" t="str">
        <f t="shared" si="201"/>
        <v/>
      </c>
      <c r="AS222" s="3442">
        <f t="shared" si="201"/>
        <v>0.02</v>
      </c>
      <c r="AT222" s="1771" t="str">
        <f t="shared" si="201"/>
        <v/>
      </c>
      <c r="AU222" s="1771" t="str">
        <f t="shared" si="201"/>
        <v/>
      </c>
      <c r="AV222" s="1771" t="str">
        <f t="shared" si="201"/>
        <v/>
      </c>
      <c r="AW222" s="3442" t="str">
        <f t="shared" si="201"/>
        <v/>
      </c>
      <c r="AX222" s="1771" t="str">
        <f t="shared" si="202"/>
        <v/>
      </c>
      <c r="AY222" s="1771" t="str">
        <f t="shared" si="202"/>
        <v/>
      </c>
      <c r="AZ222" s="1771" t="str">
        <f t="shared" si="202"/>
        <v/>
      </c>
      <c r="BA222" s="1771" t="str">
        <f t="shared" si="202"/>
        <v/>
      </c>
      <c r="BB222" s="3437" t="str">
        <f t="shared" si="202"/>
        <v/>
      </c>
      <c r="BC222" s="3443" t="str">
        <f t="shared" si="202"/>
        <v/>
      </c>
      <c r="BD222" s="3462"/>
      <c r="BE222" s="3440" t="str">
        <f>IF(J222=J319,"stop","")</f>
        <v/>
      </c>
      <c r="BF222" s="1771" t="str">
        <f t="shared" si="203"/>
        <v/>
      </c>
      <c r="BG222" s="1771" t="str">
        <f t="shared" si="203"/>
        <v/>
      </c>
      <c r="BH222" s="1771" t="str">
        <f t="shared" si="203"/>
        <v/>
      </c>
      <c r="BI222" s="1771" t="str">
        <f t="shared" si="203"/>
        <v/>
      </c>
      <c r="BJ222" s="3443" t="str">
        <f t="shared" si="203"/>
        <v/>
      </c>
      <c r="BK222" s="3437" t="str">
        <f t="shared" si="203"/>
        <v/>
      </c>
      <c r="BL222" s="1771" t="str">
        <f t="shared" si="203"/>
        <v/>
      </c>
      <c r="BM222" s="3442">
        <f t="shared" si="203"/>
        <v>1.4142135623730951E-2</v>
      </c>
      <c r="BN222" s="1771" t="str">
        <f t="shared" si="203"/>
        <v/>
      </c>
      <c r="BO222" s="1771" t="str">
        <f t="shared" si="203"/>
        <v/>
      </c>
      <c r="BP222" s="1771" t="str">
        <f t="shared" si="203"/>
        <v/>
      </c>
      <c r="BQ222" s="1771" t="str">
        <f t="shared" si="203"/>
        <v/>
      </c>
      <c r="BR222" s="3437" t="str">
        <f t="shared" si="204"/>
        <v/>
      </c>
      <c r="BS222" s="1771" t="str">
        <f t="shared" si="204"/>
        <v/>
      </c>
      <c r="BT222" s="1771" t="str">
        <f t="shared" si="204"/>
        <v/>
      </c>
      <c r="BU222" s="3442" t="str">
        <f t="shared" si="204"/>
        <v/>
      </c>
      <c r="BV222" s="1771" t="str">
        <f t="shared" si="204"/>
        <v/>
      </c>
      <c r="BW222" s="3442" t="str">
        <f t="shared" si="204"/>
        <v/>
      </c>
      <c r="BX222" s="3462"/>
      <c r="BY222" s="3439" t="str">
        <f>IF(L222=L319,"stop","")</f>
        <v/>
      </c>
      <c r="BZ222" s="3437" t="str">
        <f t="shared" si="205"/>
        <v/>
      </c>
      <c r="CA222" s="1771" t="str">
        <f t="shared" si="205"/>
        <v/>
      </c>
      <c r="CB222" s="1771" t="str">
        <f t="shared" si="205"/>
        <v/>
      </c>
      <c r="CC222" s="3442" t="str">
        <f t="shared" si="205"/>
        <v/>
      </c>
      <c r="CD222" s="1771" t="str">
        <f t="shared" si="205"/>
        <v/>
      </c>
      <c r="CE222" s="3437" t="str">
        <f t="shared" si="205"/>
        <v/>
      </c>
      <c r="CF222" s="1771" t="str">
        <f t="shared" si="205"/>
        <v/>
      </c>
      <c r="CG222" s="1771">
        <f t="shared" si="205"/>
        <v>1.4999999999999999E-2</v>
      </c>
      <c r="CH222" s="3437" t="str">
        <f t="shared" si="205"/>
        <v/>
      </c>
      <c r="CI222" s="1771" t="str">
        <f t="shared" si="205"/>
        <v/>
      </c>
      <c r="CJ222" s="1771" t="str">
        <f t="shared" si="205"/>
        <v/>
      </c>
      <c r="CK222" s="3442" t="str">
        <f t="shared" si="205"/>
        <v/>
      </c>
      <c r="CL222" s="3437" t="str">
        <f t="shared" si="206"/>
        <v/>
      </c>
      <c r="CM222" s="1771" t="str">
        <f t="shared" si="206"/>
        <v/>
      </c>
      <c r="CN222" s="1771" t="str">
        <f t="shared" si="206"/>
        <v/>
      </c>
      <c r="CO222" s="3442" t="str">
        <f t="shared" si="206"/>
        <v/>
      </c>
      <c r="CP222" s="1771" t="str">
        <f t="shared" si="206"/>
        <v/>
      </c>
      <c r="CQ222" s="3442" t="str">
        <f t="shared" si="206"/>
        <v/>
      </c>
      <c r="CR222" s="3462"/>
    </row>
    <row r="223" spans="1:96" s="3" customFormat="1" ht="18">
      <c r="A223" s="1848" t="s">
        <v>849</v>
      </c>
      <c r="B223" s="816">
        <v>8</v>
      </c>
      <c r="C223" s="816">
        <v>7.99</v>
      </c>
      <c r="D223" s="816">
        <v>0.05</v>
      </c>
      <c r="E223" s="1802" t="s">
        <v>35</v>
      </c>
      <c r="F223" s="816">
        <v>0.12</v>
      </c>
      <c r="G223" s="816" t="s">
        <v>784</v>
      </c>
      <c r="H223" s="816">
        <v>1988</v>
      </c>
      <c r="I223" s="50"/>
      <c r="J223" s="816">
        <f t="shared" si="196"/>
        <v>7.99</v>
      </c>
      <c r="K223" s="816">
        <v>0.05</v>
      </c>
      <c r="L223" s="816" t="s">
        <v>35</v>
      </c>
      <c r="M223" s="816">
        <v>0.12</v>
      </c>
      <c r="N223" s="845">
        <f t="shared" si="198"/>
        <v>7.7459666924148338E-2</v>
      </c>
      <c r="O223" s="1831">
        <f t="shared" si="199"/>
        <v>8.4999999999999992E-2</v>
      </c>
      <c r="P223" s="825" t="s">
        <v>1087</v>
      </c>
      <c r="Q223" s="3" t="str">
        <f>IF(J223=J319,"stop","")</f>
        <v/>
      </c>
      <c r="R223" s="3437" t="str">
        <f t="shared" si="197"/>
        <v/>
      </c>
      <c r="S223" s="1771" t="str">
        <f t="shared" si="197"/>
        <v/>
      </c>
      <c r="T223" s="1771" t="str">
        <f t="shared" si="197"/>
        <v/>
      </c>
      <c r="U223" s="1771" t="str">
        <f t="shared" si="197"/>
        <v/>
      </c>
      <c r="V223" s="3443" t="str">
        <f t="shared" si="197"/>
        <v/>
      </c>
      <c r="W223" s="1771" t="str">
        <f t="shared" si="197"/>
        <v/>
      </c>
      <c r="X223" s="1771">
        <f t="shared" si="197"/>
        <v>0.05</v>
      </c>
      <c r="Y223" s="1771" t="str">
        <f t="shared" si="197"/>
        <v/>
      </c>
      <c r="Z223" s="3437" t="str">
        <f t="shared" si="197"/>
        <v/>
      </c>
      <c r="AA223" s="1771" t="str">
        <f t="shared" si="197"/>
        <v/>
      </c>
      <c r="AB223" s="1771" t="str">
        <f t="shared" si="197"/>
        <v/>
      </c>
      <c r="AC223" s="3442" t="str">
        <f t="shared" si="197"/>
        <v/>
      </c>
      <c r="AD223" s="1771" t="str">
        <f t="shared" si="197"/>
        <v/>
      </c>
      <c r="AE223" s="1771" t="str">
        <f t="shared" si="197"/>
        <v/>
      </c>
      <c r="AF223" s="1771" t="str">
        <f t="shared" si="197"/>
        <v/>
      </c>
      <c r="AG223" s="3442" t="str">
        <f t="shared" si="197"/>
        <v/>
      </c>
      <c r="AH223" s="1771" t="str">
        <f t="shared" si="200"/>
        <v/>
      </c>
      <c r="AI223" s="3442" t="str">
        <f t="shared" si="200"/>
        <v/>
      </c>
      <c r="AJ223" s="3462"/>
      <c r="AK223" s="3439" t="str">
        <f>IF(J223=J319,"stop","")</f>
        <v/>
      </c>
      <c r="AL223" s="3437" t="str">
        <f t="shared" si="201"/>
        <v/>
      </c>
      <c r="AM223" s="1771" t="str">
        <f t="shared" si="201"/>
        <v/>
      </c>
      <c r="AN223" s="1771" t="str">
        <f t="shared" si="201"/>
        <v/>
      </c>
      <c r="AO223" s="1771" t="str">
        <f t="shared" si="201"/>
        <v/>
      </c>
      <c r="AP223" s="3443" t="str">
        <f t="shared" si="201"/>
        <v/>
      </c>
      <c r="AQ223" s="1771" t="str">
        <f t="shared" si="201"/>
        <v/>
      </c>
      <c r="AR223" s="1771">
        <f t="shared" si="201"/>
        <v>0.12</v>
      </c>
      <c r="AS223" s="3442" t="str">
        <f t="shared" si="201"/>
        <v/>
      </c>
      <c r="AT223" s="1771" t="str">
        <f t="shared" si="201"/>
        <v/>
      </c>
      <c r="AU223" s="1771" t="str">
        <f t="shared" si="201"/>
        <v/>
      </c>
      <c r="AV223" s="1771" t="str">
        <f t="shared" si="201"/>
        <v/>
      </c>
      <c r="AW223" s="3442" t="str">
        <f t="shared" si="201"/>
        <v/>
      </c>
      <c r="AX223" s="1771" t="str">
        <f t="shared" si="202"/>
        <v/>
      </c>
      <c r="AY223" s="1771" t="str">
        <f t="shared" si="202"/>
        <v/>
      </c>
      <c r="AZ223" s="1771" t="str">
        <f t="shared" si="202"/>
        <v/>
      </c>
      <c r="BA223" s="1771" t="str">
        <f t="shared" si="202"/>
        <v/>
      </c>
      <c r="BB223" s="3437" t="str">
        <f t="shared" si="202"/>
        <v/>
      </c>
      <c r="BC223" s="3443" t="str">
        <f t="shared" si="202"/>
        <v/>
      </c>
      <c r="BD223" s="3462"/>
      <c r="BE223" s="3440" t="str">
        <f>IF(J223=J319,"stop","")</f>
        <v/>
      </c>
      <c r="BF223" s="1771" t="str">
        <f t="shared" si="203"/>
        <v/>
      </c>
      <c r="BG223" s="1771" t="str">
        <f t="shared" si="203"/>
        <v/>
      </c>
      <c r="BH223" s="1771" t="str">
        <f t="shared" si="203"/>
        <v/>
      </c>
      <c r="BI223" s="1771" t="str">
        <f t="shared" si="203"/>
        <v/>
      </c>
      <c r="BJ223" s="3443" t="str">
        <f t="shared" si="203"/>
        <v/>
      </c>
      <c r="BK223" s="3437" t="str">
        <f t="shared" si="203"/>
        <v/>
      </c>
      <c r="BL223" s="1771">
        <f t="shared" si="203"/>
        <v>7.7459666924148338E-2</v>
      </c>
      <c r="BM223" s="3442" t="str">
        <f t="shared" si="203"/>
        <v/>
      </c>
      <c r="BN223" s="1771" t="str">
        <f t="shared" si="203"/>
        <v/>
      </c>
      <c r="BO223" s="1771" t="str">
        <f t="shared" si="203"/>
        <v/>
      </c>
      <c r="BP223" s="1771" t="str">
        <f t="shared" si="203"/>
        <v/>
      </c>
      <c r="BQ223" s="1771" t="str">
        <f t="shared" si="203"/>
        <v/>
      </c>
      <c r="BR223" s="3437" t="str">
        <f t="shared" si="204"/>
        <v/>
      </c>
      <c r="BS223" s="1771" t="str">
        <f t="shared" si="204"/>
        <v/>
      </c>
      <c r="BT223" s="1771" t="str">
        <f t="shared" si="204"/>
        <v/>
      </c>
      <c r="BU223" s="3442" t="str">
        <f t="shared" si="204"/>
        <v/>
      </c>
      <c r="BV223" s="1771" t="str">
        <f t="shared" si="204"/>
        <v/>
      </c>
      <c r="BW223" s="3442" t="str">
        <f t="shared" si="204"/>
        <v/>
      </c>
      <c r="BX223" s="3462"/>
      <c r="BY223" s="3439" t="str">
        <f>IF(L223=L319,"stop","")</f>
        <v/>
      </c>
      <c r="BZ223" s="3437" t="str">
        <f t="shared" si="205"/>
        <v/>
      </c>
      <c r="CA223" s="1771" t="str">
        <f t="shared" si="205"/>
        <v/>
      </c>
      <c r="CB223" s="1771" t="str">
        <f t="shared" si="205"/>
        <v/>
      </c>
      <c r="CC223" s="3442" t="str">
        <f t="shared" si="205"/>
        <v/>
      </c>
      <c r="CD223" s="1771" t="str">
        <f t="shared" si="205"/>
        <v/>
      </c>
      <c r="CE223" s="3437" t="str">
        <f t="shared" si="205"/>
        <v/>
      </c>
      <c r="CF223" s="1771">
        <f t="shared" si="205"/>
        <v>8.4999999999999992E-2</v>
      </c>
      <c r="CG223" s="1771" t="str">
        <f t="shared" si="205"/>
        <v/>
      </c>
      <c r="CH223" s="3437" t="str">
        <f t="shared" si="205"/>
        <v/>
      </c>
      <c r="CI223" s="1771" t="str">
        <f t="shared" si="205"/>
        <v/>
      </c>
      <c r="CJ223" s="1771" t="str">
        <f t="shared" si="205"/>
        <v/>
      </c>
      <c r="CK223" s="3442" t="str">
        <f t="shared" si="205"/>
        <v/>
      </c>
      <c r="CL223" s="3437" t="str">
        <f t="shared" si="206"/>
        <v/>
      </c>
      <c r="CM223" s="1771" t="str">
        <f t="shared" si="206"/>
        <v/>
      </c>
      <c r="CN223" s="1771" t="str">
        <f t="shared" si="206"/>
        <v/>
      </c>
      <c r="CO223" s="3442" t="str">
        <f t="shared" si="206"/>
        <v/>
      </c>
      <c r="CP223" s="1771" t="str">
        <f t="shared" si="206"/>
        <v/>
      </c>
      <c r="CQ223" s="3442" t="str">
        <f t="shared" si="206"/>
        <v/>
      </c>
      <c r="CR223" s="3462"/>
    </row>
    <row r="224" spans="1:96" s="3" customFormat="1">
      <c r="A224" s="1848" t="s">
        <v>850</v>
      </c>
      <c r="B224" s="816">
        <v>8</v>
      </c>
      <c r="C224" s="816">
        <v>8.3800000000000008</v>
      </c>
      <c r="D224" s="816">
        <v>0.17</v>
      </c>
      <c r="E224" s="1802" t="s">
        <v>35</v>
      </c>
      <c r="F224" s="816">
        <v>0.42</v>
      </c>
      <c r="G224" s="816" t="s">
        <v>784</v>
      </c>
      <c r="H224" s="816">
        <v>1988</v>
      </c>
      <c r="I224" s="50"/>
      <c r="J224" s="816">
        <f t="shared" si="196"/>
        <v>8.3800000000000008</v>
      </c>
      <c r="K224" s="816">
        <v>0.17</v>
      </c>
      <c r="L224" s="816" t="s">
        <v>35</v>
      </c>
      <c r="M224" s="816">
        <v>0.42</v>
      </c>
      <c r="N224" s="845">
        <f t="shared" si="198"/>
        <v>0.26720778431774778</v>
      </c>
      <c r="O224" s="1831">
        <f t="shared" si="199"/>
        <v>0.29499999999999998</v>
      </c>
      <c r="P224" s="825" t="s">
        <v>1087</v>
      </c>
      <c r="Q224" s="3" t="str">
        <f>IF(J224=J319,"stop","")</f>
        <v/>
      </c>
      <c r="R224" s="3437" t="str">
        <f t="shared" si="197"/>
        <v/>
      </c>
      <c r="S224" s="1771" t="str">
        <f t="shared" si="197"/>
        <v/>
      </c>
      <c r="T224" s="1771" t="str">
        <f t="shared" si="197"/>
        <v/>
      </c>
      <c r="U224" s="1771" t="str">
        <f t="shared" si="197"/>
        <v/>
      </c>
      <c r="V224" s="3443" t="str">
        <f t="shared" si="197"/>
        <v/>
      </c>
      <c r="W224" s="1771" t="str">
        <f t="shared" si="197"/>
        <v/>
      </c>
      <c r="X224" s="1771" t="str">
        <f t="shared" si="197"/>
        <v/>
      </c>
      <c r="Y224" s="1771">
        <f t="shared" si="197"/>
        <v>0.17</v>
      </c>
      <c r="Z224" s="3437" t="str">
        <f t="shared" si="197"/>
        <v/>
      </c>
      <c r="AA224" s="1771" t="str">
        <f t="shared" si="197"/>
        <v/>
      </c>
      <c r="AB224" s="1771" t="str">
        <f t="shared" si="197"/>
        <v/>
      </c>
      <c r="AC224" s="3442" t="str">
        <f t="shared" si="197"/>
        <v/>
      </c>
      <c r="AD224" s="1771" t="str">
        <f t="shared" si="197"/>
        <v/>
      </c>
      <c r="AE224" s="1771" t="str">
        <f t="shared" si="197"/>
        <v/>
      </c>
      <c r="AF224" s="1771" t="str">
        <f t="shared" si="197"/>
        <v/>
      </c>
      <c r="AG224" s="3442" t="str">
        <f t="shared" si="197"/>
        <v/>
      </c>
      <c r="AH224" s="1771" t="str">
        <f t="shared" si="200"/>
        <v/>
      </c>
      <c r="AI224" s="3442" t="str">
        <f t="shared" si="200"/>
        <v/>
      </c>
      <c r="AJ224" s="3462"/>
      <c r="AK224" s="3439" t="str">
        <f>IF(J224=J319,"stop","")</f>
        <v/>
      </c>
      <c r="AL224" s="3437" t="str">
        <f t="shared" si="201"/>
        <v/>
      </c>
      <c r="AM224" s="1771" t="str">
        <f t="shared" si="201"/>
        <v/>
      </c>
      <c r="AN224" s="1771" t="str">
        <f t="shared" si="201"/>
        <v/>
      </c>
      <c r="AO224" s="1771" t="str">
        <f t="shared" si="201"/>
        <v/>
      </c>
      <c r="AP224" s="3443" t="str">
        <f t="shared" si="201"/>
        <v/>
      </c>
      <c r="AQ224" s="1771" t="str">
        <f t="shared" si="201"/>
        <v/>
      </c>
      <c r="AR224" s="1771" t="str">
        <f t="shared" si="201"/>
        <v/>
      </c>
      <c r="AS224" s="3442">
        <f t="shared" si="201"/>
        <v>0.42</v>
      </c>
      <c r="AT224" s="1771" t="str">
        <f t="shared" si="201"/>
        <v/>
      </c>
      <c r="AU224" s="1771" t="str">
        <f t="shared" si="201"/>
        <v/>
      </c>
      <c r="AV224" s="1771" t="str">
        <f t="shared" si="201"/>
        <v/>
      </c>
      <c r="AW224" s="3442" t="str">
        <f t="shared" si="201"/>
        <v/>
      </c>
      <c r="AX224" s="1771" t="str">
        <f t="shared" si="202"/>
        <v/>
      </c>
      <c r="AY224" s="1771" t="str">
        <f t="shared" si="202"/>
        <v/>
      </c>
      <c r="AZ224" s="1771" t="str">
        <f t="shared" si="202"/>
        <v/>
      </c>
      <c r="BA224" s="1771" t="str">
        <f t="shared" si="202"/>
        <v/>
      </c>
      <c r="BB224" s="3437" t="str">
        <f t="shared" si="202"/>
        <v/>
      </c>
      <c r="BC224" s="3443" t="str">
        <f t="shared" si="202"/>
        <v/>
      </c>
      <c r="BD224" s="3462"/>
      <c r="BE224" s="3440" t="str">
        <f>IF(J224=J319,"stop","")</f>
        <v/>
      </c>
      <c r="BF224" s="1771" t="str">
        <f t="shared" si="203"/>
        <v/>
      </c>
      <c r="BG224" s="1771" t="str">
        <f t="shared" si="203"/>
        <v/>
      </c>
      <c r="BH224" s="1771" t="str">
        <f t="shared" si="203"/>
        <v/>
      </c>
      <c r="BI224" s="1771" t="str">
        <f t="shared" si="203"/>
        <v/>
      </c>
      <c r="BJ224" s="3443" t="str">
        <f t="shared" si="203"/>
        <v/>
      </c>
      <c r="BK224" s="3437" t="str">
        <f t="shared" si="203"/>
        <v/>
      </c>
      <c r="BL224" s="1771" t="str">
        <f t="shared" si="203"/>
        <v/>
      </c>
      <c r="BM224" s="3442">
        <f t="shared" si="203"/>
        <v>0.26720778431774778</v>
      </c>
      <c r="BN224" s="1771" t="str">
        <f t="shared" si="203"/>
        <v/>
      </c>
      <c r="BO224" s="1771" t="str">
        <f t="shared" si="203"/>
        <v/>
      </c>
      <c r="BP224" s="1771" t="str">
        <f t="shared" si="203"/>
        <v/>
      </c>
      <c r="BQ224" s="1771" t="str">
        <f t="shared" si="203"/>
        <v/>
      </c>
      <c r="BR224" s="3437" t="str">
        <f t="shared" si="204"/>
        <v/>
      </c>
      <c r="BS224" s="1771" t="str">
        <f t="shared" si="204"/>
        <v/>
      </c>
      <c r="BT224" s="1771" t="str">
        <f t="shared" si="204"/>
        <v/>
      </c>
      <c r="BU224" s="3442" t="str">
        <f t="shared" si="204"/>
        <v/>
      </c>
      <c r="BV224" s="1771" t="str">
        <f t="shared" si="204"/>
        <v/>
      </c>
      <c r="BW224" s="3442" t="str">
        <f t="shared" si="204"/>
        <v/>
      </c>
      <c r="BX224" s="3462"/>
      <c r="BY224" s="3439" t="str">
        <f>IF(L224=L319,"stop","")</f>
        <v/>
      </c>
      <c r="BZ224" s="3437" t="str">
        <f t="shared" si="205"/>
        <v/>
      </c>
      <c r="CA224" s="1771" t="str">
        <f t="shared" si="205"/>
        <v/>
      </c>
      <c r="CB224" s="1771" t="str">
        <f t="shared" si="205"/>
        <v/>
      </c>
      <c r="CC224" s="3442" t="str">
        <f t="shared" si="205"/>
        <v/>
      </c>
      <c r="CD224" s="1771" t="str">
        <f t="shared" si="205"/>
        <v/>
      </c>
      <c r="CE224" s="3437" t="str">
        <f t="shared" si="205"/>
        <v/>
      </c>
      <c r="CF224" s="1771" t="str">
        <f t="shared" si="205"/>
        <v/>
      </c>
      <c r="CG224" s="1771">
        <f t="shared" si="205"/>
        <v>0.29499999999999998</v>
      </c>
      <c r="CH224" s="3437" t="str">
        <f t="shared" si="205"/>
        <v/>
      </c>
      <c r="CI224" s="1771" t="str">
        <f t="shared" si="205"/>
        <v/>
      </c>
      <c r="CJ224" s="1771" t="str">
        <f t="shared" si="205"/>
        <v/>
      </c>
      <c r="CK224" s="3442" t="str">
        <f t="shared" si="205"/>
        <v/>
      </c>
      <c r="CL224" s="3437" t="str">
        <f t="shared" si="206"/>
        <v/>
      </c>
      <c r="CM224" s="1771" t="str">
        <f t="shared" si="206"/>
        <v/>
      </c>
      <c r="CN224" s="1771" t="str">
        <f t="shared" si="206"/>
        <v/>
      </c>
      <c r="CO224" s="3442" t="str">
        <f t="shared" si="206"/>
        <v/>
      </c>
      <c r="CP224" s="1771" t="str">
        <f t="shared" si="206"/>
        <v/>
      </c>
      <c r="CQ224" s="3442" t="str">
        <f t="shared" si="206"/>
        <v/>
      </c>
      <c r="CR224" s="3462"/>
    </row>
    <row r="225" spans="1:96" s="3" customFormat="1">
      <c r="A225" s="1848" t="s">
        <v>851</v>
      </c>
      <c r="B225" s="816">
        <v>6</v>
      </c>
      <c r="C225" s="816">
        <v>6.59</v>
      </c>
      <c r="D225" s="816">
        <v>0.08</v>
      </c>
      <c r="E225" s="1802" t="s">
        <v>852</v>
      </c>
      <c r="F225" s="816">
        <v>0.08</v>
      </c>
      <c r="G225" s="816" t="s">
        <v>852</v>
      </c>
      <c r="H225" s="816">
        <v>1993</v>
      </c>
      <c r="I225" s="50"/>
      <c r="J225" s="816">
        <f t="shared" si="196"/>
        <v>6.59</v>
      </c>
      <c r="K225" s="816">
        <v>0.08</v>
      </c>
      <c r="L225" s="816" t="s">
        <v>852</v>
      </c>
      <c r="M225" s="816">
        <v>0.08</v>
      </c>
      <c r="N225" s="845">
        <f t="shared" si="198"/>
        <v>0.08</v>
      </c>
      <c r="O225" s="1831">
        <f t="shared" si="199"/>
        <v>0.08</v>
      </c>
      <c r="P225" s="825" t="s">
        <v>1087</v>
      </c>
      <c r="Q225" s="3" t="str">
        <f>IF(J225=J319,"stop","")</f>
        <v/>
      </c>
      <c r="R225" s="3437" t="str">
        <f t="shared" si="197"/>
        <v/>
      </c>
      <c r="S225" s="1771" t="str">
        <f t="shared" si="197"/>
        <v/>
      </c>
      <c r="T225" s="1771" t="str">
        <f t="shared" si="197"/>
        <v/>
      </c>
      <c r="U225" s="1771" t="str">
        <f t="shared" si="197"/>
        <v/>
      </c>
      <c r="V225" s="3443" t="str">
        <f t="shared" si="197"/>
        <v/>
      </c>
      <c r="W225" s="1771" t="str">
        <f t="shared" si="197"/>
        <v/>
      </c>
      <c r="X225" s="1771">
        <f t="shared" si="197"/>
        <v>0.08</v>
      </c>
      <c r="Y225" s="1771" t="str">
        <f t="shared" si="197"/>
        <v/>
      </c>
      <c r="Z225" s="3437" t="str">
        <f t="shared" si="197"/>
        <v/>
      </c>
      <c r="AA225" s="1771" t="str">
        <f t="shared" si="197"/>
        <v/>
      </c>
      <c r="AB225" s="1771" t="str">
        <f t="shared" si="197"/>
        <v/>
      </c>
      <c r="AC225" s="3442" t="str">
        <f t="shared" si="197"/>
        <v/>
      </c>
      <c r="AD225" s="1771" t="str">
        <f t="shared" si="197"/>
        <v/>
      </c>
      <c r="AE225" s="1771" t="str">
        <f t="shared" si="197"/>
        <v/>
      </c>
      <c r="AF225" s="1771" t="str">
        <f t="shared" si="197"/>
        <v/>
      </c>
      <c r="AG225" s="3442" t="str">
        <f t="shared" si="197"/>
        <v/>
      </c>
      <c r="AH225" s="1771" t="str">
        <f t="shared" si="200"/>
        <v/>
      </c>
      <c r="AI225" s="3442" t="str">
        <f t="shared" si="200"/>
        <v/>
      </c>
      <c r="AJ225" s="3462"/>
      <c r="AK225" s="3439" t="str">
        <f>IF(J225=J319,"stop","")</f>
        <v/>
      </c>
      <c r="AL225" s="3437" t="str">
        <f t="shared" si="201"/>
        <v/>
      </c>
      <c r="AM225" s="1771" t="str">
        <f t="shared" si="201"/>
        <v/>
      </c>
      <c r="AN225" s="1771" t="str">
        <f t="shared" si="201"/>
        <v/>
      </c>
      <c r="AO225" s="1771" t="str">
        <f t="shared" si="201"/>
        <v/>
      </c>
      <c r="AP225" s="3443" t="str">
        <f t="shared" si="201"/>
        <v/>
      </c>
      <c r="AQ225" s="1771" t="str">
        <f t="shared" si="201"/>
        <v/>
      </c>
      <c r="AR225" s="1771">
        <f t="shared" si="201"/>
        <v>0.08</v>
      </c>
      <c r="AS225" s="3442" t="str">
        <f t="shared" si="201"/>
        <v/>
      </c>
      <c r="AT225" s="1771" t="str">
        <f t="shared" si="201"/>
        <v/>
      </c>
      <c r="AU225" s="1771" t="str">
        <f t="shared" si="201"/>
        <v/>
      </c>
      <c r="AV225" s="1771" t="str">
        <f t="shared" si="201"/>
        <v/>
      </c>
      <c r="AW225" s="3442" t="str">
        <f t="shared" si="201"/>
        <v/>
      </c>
      <c r="AX225" s="1771" t="str">
        <f t="shared" si="202"/>
        <v/>
      </c>
      <c r="AY225" s="1771" t="str">
        <f t="shared" si="202"/>
        <v/>
      </c>
      <c r="AZ225" s="1771" t="str">
        <f t="shared" si="202"/>
        <v/>
      </c>
      <c r="BA225" s="1771" t="str">
        <f t="shared" si="202"/>
        <v/>
      </c>
      <c r="BB225" s="3437" t="str">
        <f t="shared" si="202"/>
        <v/>
      </c>
      <c r="BC225" s="3443" t="str">
        <f t="shared" si="202"/>
        <v/>
      </c>
      <c r="BD225" s="3462"/>
      <c r="BE225" s="3440" t="str">
        <f>IF(J225=J319,"stop","")</f>
        <v/>
      </c>
      <c r="BF225" s="1771" t="str">
        <f t="shared" si="203"/>
        <v/>
      </c>
      <c r="BG225" s="1771" t="str">
        <f t="shared" si="203"/>
        <v/>
      </c>
      <c r="BH225" s="1771" t="str">
        <f t="shared" si="203"/>
        <v/>
      </c>
      <c r="BI225" s="1771" t="str">
        <f t="shared" si="203"/>
        <v/>
      </c>
      <c r="BJ225" s="3443" t="str">
        <f t="shared" si="203"/>
        <v/>
      </c>
      <c r="BK225" s="3437" t="str">
        <f t="shared" si="203"/>
        <v/>
      </c>
      <c r="BL225" s="1771">
        <f t="shared" si="203"/>
        <v>0.08</v>
      </c>
      <c r="BM225" s="3442" t="str">
        <f t="shared" si="203"/>
        <v/>
      </c>
      <c r="BN225" s="1771" t="str">
        <f t="shared" si="203"/>
        <v/>
      </c>
      <c r="BO225" s="1771" t="str">
        <f t="shared" si="203"/>
        <v/>
      </c>
      <c r="BP225" s="1771" t="str">
        <f t="shared" si="203"/>
        <v/>
      </c>
      <c r="BQ225" s="1771" t="str">
        <f t="shared" si="203"/>
        <v/>
      </c>
      <c r="BR225" s="3437" t="str">
        <f t="shared" si="204"/>
        <v/>
      </c>
      <c r="BS225" s="1771" t="str">
        <f t="shared" si="204"/>
        <v/>
      </c>
      <c r="BT225" s="1771" t="str">
        <f t="shared" si="204"/>
        <v/>
      </c>
      <c r="BU225" s="3442" t="str">
        <f t="shared" si="204"/>
        <v/>
      </c>
      <c r="BV225" s="1771" t="str">
        <f t="shared" si="204"/>
        <v/>
      </c>
      <c r="BW225" s="3442" t="str">
        <f t="shared" si="204"/>
        <v/>
      </c>
      <c r="BX225" s="3462"/>
      <c r="BY225" s="3439" t="str">
        <f>IF(L225=L319,"stop","")</f>
        <v/>
      </c>
      <c r="BZ225" s="3437" t="str">
        <f t="shared" si="205"/>
        <v/>
      </c>
      <c r="CA225" s="1771" t="str">
        <f t="shared" si="205"/>
        <v/>
      </c>
      <c r="CB225" s="1771" t="str">
        <f t="shared" si="205"/>
        <v/>
      </c>
      <c r="CC225" s="3442" t="str">
        <f t="shared" si="205"/>
        <v/>
      </c>
      <c r="CD225" s="1771" t="str">
        <f t="shared" si="205"/>
        <v/>
      </c>
      <c r="CE225" s="3437" t="str">
        <f t="shared" si="205"/>
        <v/>
      </c>
      <c r="CF225" s="1771">
        <f t="shared" si="205"/>
        <v>0.08</v>
      </c>
      <c r="CG225" s="1771" t="str">
        <f t="shared" si="205"/>
        <v/>
      </c>
      <c r="CH225" s="3437" t="str">
        <f t="shared" si="205"/>
        <v/>
      </c>
      <c r="CI225" s="1771" t="str">
        <f t="shared" si="205"/>
        <v/>
      </c>
      <c r="CJ225" s="1771" t="str">
        <f t="shared" si="205"/>
        <v/>
      </c>
      <c r="CK225" s="3442" t="str">
        <f t="shared" si="205"/>
        <v/>
      </c>
      <c r="CL225" s="3437" t="str">
        <f t="shared" si="206"/>
        <v/>
      </c>
      <c r="CM225" s="1771" t="str">
        <f t="shared" si="206"/>
        <v/>
      </c>
      <c r="CN225" s="1771" t="str">
        <f t="shared" si="206"/>
        <v/>
      </c>
      <c r="CO225" s="3442" t="str">
        <f t="shared" si="206"/>
        <v/>
      </c>
      <c r="CP225" s="1771" t="str">
        <f t="shared" si="206"/>
        <v/>
      </c>
      <c r="CQ225" s="3442" t="str">
        <f t="shared" si="206"/>
        <v/>
      </c>
      <c r="CR225" s="3462"/>
    </row>
    <row r="226" spans="1:96" s="3" customFormat="1">
      <c r="A226" s="1847" t="s">
        <v>691</v>
      </c>
      <c r="B226" s="815" t="s">
        <v>853</v>
      </c>
      <c r="C226" s="819" t="s">
        <v>854</v>
      </c>
      <c r="D226" s="816"/>
      <c r="E226" s="1802"/>
      <c r="F226" s="816"/>
      <c r="G226" s="816"/>
      <c r="H226" s="816"/>
      <c r="I226" s="50"/>
      <c r="J226" s="816"/>
      <c r="K226" s="816"/>
      <c r="L226" s="816"/>
      <c r="M226" s="816"/>
      <c r="N226" s="845">
        <f t="shared" si="198"/>
        <v>0</v>
      </c>
      <c r="O226" s="1831">
        <f t="shared" si="199"/>
        <v>0</v>
      </c>
      <c r="P226" s="825" t="s">
        <v>1087</v>
      </c>
      <c r="Q226" s="3" t="str">
        <f>IF(J226=J319,"stop","")</f>
        <v/>
      </c>
      <c r="R226" s="3437" t="str">
        <f t="shared" si="197"/>
        <v/>
      </c>
      <c r="S226" s="1771" t="str">
        <f t="shared" si="197"/>
        <v/>
      </c>
      <c r="T226" s="1771" t="str">
        <f t="shared" si="197"/>
        <v/>
      </c>
      <c r="U226" s="1771" t="str">
        <f t="shared" si="197"/>
        <v/>
      </c>
      <c r="V226" s="3443" t="str">
        <f t="shared" si="197"/>
        <v/>
      </c>
      <c r="W226" s="1771" t="str">
        <f t="shared" si="197"/>
        <v/>
      </c>
      <c r="X226" s="1771" t="str">
        <f t="shared" si="197"/>
        <v/>
      </c>
      <c r="Y226" s="1771" t="str">
        <f t="shared" si="197"/>
        <v/>
      </c>
      <c r="Z226" s="3437" t="str">
        <f t="shared" si="197"/>
        <v/>
      </c>
      <c r="AA226" s="1771" t="str">
        <f t="shared" si="197"/>
        <v/>
      </c>
      <c r="AB226" s="1771" t="str">
        <f t="shared" si="197"/>
        <v/>
      </c>
      <c r="AC226" s="3442" t="str">
        <f t="shared" si="197"/>
        <v/>
      </c>
      <c r="AD226" s="1771" t="str">
        <f t="shared" si="197"/>
        <v/>
      </c>
      <c r="AE226" s="1771" t="str">
        <f t="shared" si="197"/>
        <v/>
      </c>
      <c r="AF226" s="1771" t="str">
        <f t="shared" si="197"/>
        <v/>
      </c>
      <c r="AG226" s="3442" t="str">
        <f t="shared" si="197"/>
        <v/>
      </c>
      <c r="AH226" s="1771" t="str">
        <f t="shared" si="200"/>
        <v/>
      </c>
      <c r="AI226" s="3442" t="str">
        <f t="shared" si="200"/>
        <v/>
      </c>
      <c r="AJ226" s="3462"/>
      <c r="AK226" s="3439" t="str">
        <f>IF(J226=J319,"stop","")</f>
        <v/>
      </c>
      <c r="AL226" s="3437" t="str">
        <f t="shared" si="201"/>
        <v/>
      </c>
      <c r="AM226" s="1771" t="str">
        <f t="shared" si="201"/>
        <v/>
      </c>
      <c r="AN226" s="1771" t="str">
        <f t="shared" si="201"/>
        <v/>
      </c>
      <c r="AO226" s="1771" t="str">
        <f t="shared" si="201"/>
        <v/>
      </c>
      <c r="AP226" s="3443" t="str">
        <f t="shared" si="201"/>
        <v/>
      </c>
      <c r="AQ226" s="1771" t="str">
        <f t="shared" si="201"/>
        <v/>
      </c>
      <c r="AR226" s="1771" t="str">
        <f t="shared" si="201"/>
        <v/>
      </c>
      <c r="AS226" s="3442" t="str">
        <f t="shared" si="201"/>
        <v/>
      </c>
      <c r="AT226" s="1771" t="str">
        <f t="shared" si="201"/>
        <v/>
      </c>
      <c r="AU226" s="1771" t="str">
        <f t="shared" si="201"/>
        <v/>
      </c>
      <c r="AV226" s="1771" t="str">
        <f t="shared" si="201"/>
        <v/>
      </c>
      <c r="AW226" s="3442" t="str">
        <f t="shared" si="201"/>
        <v/>
      </c>
      <c r="AX226" s="1771" t="str">
        <f t="shared" si="202"/>
        <v/>
      </c>
      <c r="AY226" s="1771" t="str">
        <f t="shared" si="202"/>
        <v/>
      </c>
      <c r="AZ226" s="1771" t="str">
        <f t="shared" si="202"/>
        <v/>
      </c>
      <c r="BA226" s="1771" t="str">
        <f t="shared" si="202"/>
        <v/>
      </c>
      <c r="BB226" s="3437" t="str">
        <f t="shared" si="202"/>
        <v/>
      </c>
      <c r="BC226" s="3443" t="str">
        <f t="shared" si="202"/>
        <v/>
      </c>
      <c r="BD226" s="3462"/>
      <c r="BE226" s="3440" t="str">
        <f>IF(J226=J319,"stop","")</f>
        <v/>
      </c>
      <c r="BF226" s="1771" t="str">
        <f t="shared" si="203"/>
        <v/>
      </c>
      <c r="BG226" s="1771" t="str">
        <f t="shared" si="203"/>
        <v/>
      </c>
      <c r="BH226" s="1771" t="str">
        <f t="shared" si="203"/>
        <v/>
      </c>
      <c r="BI226" s="1771" t="str">
        <f t="shared" si="203"/>
        <v/>
      </c>
      <c r="BJ226" s="3443" t="str">
        <f t="shared" si="203"/>
        <v/>
      </c>
      <c r="BK226" s="3437" t="str">
        <f t="shared" si="203"/>
        <v/>
      </c>
      <c r="BL226" s="1771" t="str">
        <f t="shared" si="203"/>
        <v/>
      </c>
      <c r="BM226" s="3442" t="str">
        <f t="shared" si="203"/>
        <v/>
      </c>
      <c r="BN226" s="1771" t="str">
        <f t="shared" si="203"/>
        <v/>
      </c>
      <c r="BO226" s="1771" t="str">
        <f t="shared" si="203"/>
        <v/>
      </c>
      <c r="BP226" s="1771" t="str">
        <f t="shared" si="203"/>
        <v/>
      </c>
      <c r="BQ226" s="1771" t="str">
        <f t="shared" si="203"/>
        <v/>
      </c>
      <c r="BR226" s="3437" t="str">
        <f t="shared" si="204"/>
        <v/>
      </c>
      <c r="BS226" s="1771" t="str">
        <f t="shared" si="204"/>
        <v/>
      </c>
      <c r="BT226" s="1771" t="str">
        <f t="shared" si="204"/>
        <v/>
      </c>
      <c r="BU226" s="3442" t="str">
        <f t="shared" si="204"/>
        <v/>
      </c>
      <c r="BV226" s="1771" t="str">
        <f t="shared" si="204"/>
        <v/>
      </c>
      <c r="BW226" s="3442" t="str">
        <f t="shared" si="204"/>
        <v/>
      </c>
      <c r="BX226" s="3462"/>
      <c r="BY226" s="3439" t="str">
        <f>IF(L226=L319,"stop","")</f>
        <v>stop</v>
      </c>
      <c r="BZ226" s="3437" t="str">
        <f t="shared" si="205"/>
        <v/>
      </c>
      <c r="CA226" s="1771" t="str">
        <f t="shared" si="205"/>
        <v/>
      </c>
      <c r="CB226" s="1771" t="str">
        <f t="shared" si="205"/>
        <v/>
      </c>
      <c r="CC226" s="3442" t="str">
        <f t="shared" si="205"/>
        <v/>
      </c>
      <c r="CD226" s="1771" t="str">
        <f t="shared" si="205"/>
        <v/>
      </c>
      <c r="CE226" s="3437" t="str">
        <f t="shared" si="205"/>
        <v/>
      </c>
      <c r="CF226" s="1771" t="str">
        <f t="shared" si="205"/>
        <v/>
      </c>
      <c r="CG226" s="1771" t="str">
        <f t="shared" si="205"/>
        <v/>
      </c>
      <c r="CH226" s="3437" t="str">
        <f t="shared" si="205"/>
        <v/>
      </c>
      <c r="CI226" s="1771" t="str">
        <f t="shared" si="205"/>
        <v/>
      </c>
      <c r="CJ226" s="1771" t="str">
        <f t="shared" si="205"/>
        <v/>
      </c>
      <c r="CK226" s="3442" t="str">
        <f t="shared" si="205"/>
        <v/>
      </c>
      <c r="CL226" s="3437" t="str">
        <f t="shared" si="206"/>
        <v/>
      </c>
      <c r="CM226" s="1771" t="str">
        <f t="shared" si="206"/>
        <v/>
      </c>
      <c r="CN226" s="1771" t="str">
        <f t="shared" si="206"/>
        <v/>
      </c>
      <c r="CO226" s="3442" t="str">
        <f t="shared" si="206"/>
        <v/>
      </c>
      <c r="CP226" s="1771" t="str">
        <f t="shared" si="206"/>
        <v/>
      </c>
      <c r="CQ226" s="3442" t="str">
        <f t="shared" si="206"/>
        <v/>
      </c>
      <c r="CR226" s="3462"/>
    </row>
    <row r="227" spans="1:96" s="3" customFormat="1">
      <c r="A227" s="1848" t="s">
        <v>855</v>
      </c>
      <c r="B227" s="816">
        <v>4</v>
      </c>
      <c r="C227" s="816">
        <v>4.25</v>
      </c>
      <c r="D227" s="816">
        <v>0.13</v>
      </c>
      <c r="E227" s="1802" t="s">
        <v>35</v>
      </c>
      <c r="F227" s="816">
        <v>0.17</v>
      </c>
      <c r="G227" s="816" t="s">
        <v>784</v>
      </c>
      <c r="H227" s="816">
        <v>1988</v>
      </c>
      <c r="I227" s="50"/>
      <c r="J227" s="816">
        <f t="shared" si="196"/>
        <v>4.25</v>
      </c>
      <c r="K227" s="816">
        <v>0.13</v>
      </c>
      <c r="L227" s="816" t="s">
        <v>35</v>
      </c>
      <c r="M227" s="816">
        <v>0.17</v>
      </c>
      <c r="N227" s="845">
        <f t="shared" si="198"/>
        <v>0.14866068747318506</v>
      </c>
      <c r="O227" s="1831">
        <f t="shared" si="199"/>
        <v>0.15000000000000002</v>
      </c>
      <c r="P227" s="825" t="s">
        <v>1087</v>
      </c>
      <c r="Q227" s="3" t="str">
        <f>IF(J227=J319,"stop","")</f>
        <v/>
      </c>
      <c r="R227" s="3437" t="str">
        <f t="shared" si="197"/>
        <v/>
      </c>
      <c r="S227" s="1771" t="str">
        <f t="shared" si="197"/>
        <v/>
      </c>
      <c r="T227" s="1771" t="str">
        <f t="shared" si="197"/>
        <v/>
      </c>
      <c r="U227" s="1771" t="str">
        <f t="shared" si="197"/>
        <v/>
      </c>
      <c r="V227" s="3443" t="str">
        <f t="shared" si="197"/>
        <v/>
      </c>
      <c r="W227" s="1771" t="str">
        <f t="shared" si="197"/>
        <v/>
      </c>
      <c r="X227" s="1771" t="str">
        <f t="shared" si="197"/>
        <v/>
      </c>
      <c r="Y227" s="1771" t="str">
        <f t="shared" si="197"/>
        <v/>
      </c>
      <c r="Z227" s="3437" t="str">
        <f t="shared" si="197"/>
        <v/>
      </c>
      <c r="AA227" s="1771" t="str">
        <f t="shared" si="197"/>
        <v/>
      </c>
      <c r="AB227" s="1771" t="str">
        <f t="shared" si="197"/>
        <v/>
      </c>
      <c r="AC227" s="3442" t="str">
        <f t="shared" si="197"/>
        <v/>
      </c>
      <c r="AD227" s="1771" t="str">
        <f t="shared" si="197"/>
        <v/>
      </c>
      <c r="AE227" s="1771" t="str">
        <f t="shared" si="197"/>
        <v/>
      </c>
      <c r="AF227" s="1771" t="str">
        <f t="shared" si="197"/>
        <v/>
      </c>
      <c r="AG227" s="3442" t="str">
        <f t="shared" si="197"/>
        <v/>
      </c>
      <c r="AH227" s="1771" t="str">
        <f t="shared" si="200"/>
        <v/>
      </c>
      <c r="AI227" s="3442">
        <f t="shared" si="200"/>
        <v>0.13</v>
      </c>
      <c r="AJ227" s="3462"/>
      <c r="AK227" s="3439" t="str">
        <f>IF(J227=J319,"stop","")</f>
        <v/>
      </c>
      <c r="AL227" s="3437" t="str">
        <f t="shared" si="201"/>
        <v/>
      </c>
      <c r="AM227" s="1771" t="str">
        <f t="shared" si="201"/>
        <v/>
      </c>
      <c r="AN227" s="1771" t="str">
        <f t="shared" si="201"/>
        <v/>
      </c>
      <c r="AO227" s="1771" t="str">
        <f t="shared" si="201"/>
        <v/>
      </c>
      <c r="AP227" s="3443" t="str">
        <f t="shared" si="201"/>
        <v/>
      </c>
      <c r="AQ227" s="1771" t="str">
        <f t="shared" si="201"/>
        <v/>
      </c>
      <c r="AR227" s="1771" t="str">
        <f t="shared" si="201"/>
        <v/>
      </c>
      <c r="AS227" s="3442" t="str">
        <f t="shared" si="201"/>
        <v/>
      </c>
      <c r="AT227" s="1771" t="str">
        <f t="shared" si="201"/>
        <v/>
      </c>
      <c r="AU227" s="1771" t="str">
        <f t="shared" si="201"/>
        <v/>
      </c>
      <c r="AV227" s="1771" t="str">
        <f t="shared" si="201"/>
        <v/>
      </c>
      <c r="AW227" s="3442" t="str">
        <f t="shared" si="201"/>
        <v/>
      </c>
      <c r="AX227" s="1771" t="str">
        <f t="shared" si="202"/>
        <v/>
      </c>
      <c r="AY227" s="1771" t="str">
        <f t="shared" si="202"/>
        <v/>
      </c>
      <c r="AZ227" s="1771" t="str">
        <f t="shared" si="202"/>
        <v/>
      </c>
      <c r="BA227" s="1771" t="str">
        <f t="shared" si="202"/>
        <v/>
      </c>
      <c r="BB227" s="3437" t="str">
        <f t="shared" si="202"/>
        <v/>
      </c>
      <c r="BC227" s="3443">
        <f t="shared" si="202"/>
        <v>0.17</v>
      </c>
      <c r="BD227" s="3462"/>
      <c r="BE227" s="3440" t="str">
        <f>IF(J227=J319,"stop","")</f>
        <v/>
      </c>
      <c r="BF227" s="1771" t="str">
        <f t="shared" si="203"/>
        <v/>
      </c>
      <c r="BG227" s="1771" t="str">
        <f t="shared" si="203"/>
        <v/>
      </c>
      <c r="BH227" s="1771" t="str">
        <f t="shared" si="203"/>
        <v/>
      </c>
      <c r="BI227" s="1771" t="str">
        <f t="shared" si="203"/>
        <v/>
      </c>
      <c r="BJ227" s="3443" t="str">
        <f t="shared" si="203"/>
        <v/>
      </c>
      <c r="BK227" s="3437" t="str">
        <f t="shared" si="203"/>
        <v/>
      </c>
      <c r="BL227" s="1771" t="str">
        <f t="shared" si="203"/>
        <v/>
      </c>
      <c r="BM227" s="3442" t="str">
        <f t="shared" si="203"/>
        <v/>
      </c>
      <c r="BN227" s="1771" t="str">
        <f t="shared" si="203"/>
        <v/>
      </c>
      <c r="BO227" s="1771" t="str">
        <f t="shared" si="203"/>
        <v/>
      </c>
      <c r="BP227" s="1771" t="str">
        <f t="shared" si="203"/>
        <v/>
      </c>
      <c r="BQ227" s="1771" t="str">
        <f t="shared" si="203"/>
        <v/>
      </c>
      <c r="BR227" s="3437" t="str">
        <f t="shared" si="204"/>
        <v/>
      </c>
      <c r="BS227" s="1771" t="str">
        <f t="shared" si="204"/>
        <v/>
      </c>
      <c r="BT227" s="1771" t="str">
        <f t="shared" si="204"/>
        <v/>
      </c>
      <c r="BU227" s="3442" t="str">
        <f t="shared" si="204"/>
        <v/>
      </c>
      <c r="BV227" s="1771" t="str">
        <f t="shared" si="204"/>
        <v/>
      </c>
      <c r="BW227" s="3442">
        <f t="shared" si="204"/>
        <v>0.14866068747318506</v>
      </c>
      <c r="BX227" s="3462"/>
      <c r="BY227" s="3439" t="str">
        <f>IF(L227=L319,"stop","")</f>
        <v/>
      </c>
      <c r="BZ227" s="3437" t="str">
        <f t="shared" si="205"/>
        <v/>
      </c>
      <c r="CA227" s="1771" t="str">
        <f t="shared" si="205"/>
        <v/>
      </c>
      <c r="CB227" s="1771" t="str">
        <f t="shared" si="205"/>
        <v/>
      </c>
      <c r="CC227" s="3442" t="str">
        <f t="shared" si="205"/>
        <v/>
      </c>
      <c r="CD227" s="1771" t="str">
        <f t="shared" si="205"/>
        <v/>
      </c>
      <c r="CE227" s="3437" t="str">
        <f t="shared" si="205"/>
        <v/>
      </c>
      <c r="CF227" s="1771" t="str">
        <f t="shared" si="205"/>
        <v/>
      </c>
      <c r="CG227" s="1771" t="str">
        <f t="shared" si="205"/>
        <v/>
      </c>
      <c r="CH227" s="3437" t="str">
        <f t="shared" si="205"/>
        <v/>
      </c>
      <c r="CI227" s="1771" t="str">
        <f t="shared" si="205"/>
        <v/>
      </c>
      <c r="CJ227" s="1771" t="str">
        <f t="shared" si="205"/>
        <v/>
      </c>
      <c r="CK227" s="3442" t="str">
        <f t="shared" si="205"/>
        <v/>
      </c>
      <c r="CL227" s="3437" t="str">
        <f t="shared" si="206"/>
        <v/>
      </c>
      <c r="CM227" s="1771" t="str">
        <f t="shared" si="206"/>
        <v/>
      </c>
      <c r="CN227" s="1771" t="str">
        <f t="shared" si="206"/>
        <v/>
      </c>
      <c r="CO227" s="3442" t="str">
        <f t="shared" si="206"/>
        <v/>
      </c>
      <c r="CP227" s="1771" t="str">
        <f t="shared" si="206"/>
        <v/>
      </c>
      <c r="CQ227" s="3442">
        <f t="shared" si="206"/>
        <v>0.15000000000000002</v>
      </c>
      <c r="CR227" s="3462"/>
    </row>
    <row r="228" spans="1:96" s="3" customFormat="1">
      <c r="A228" s="1848" t="s">
        <v>856</v>
      </c>
      <c r="B228" s="816">
        <v>4</v>
      </c>
      <c r="C228" s="816">
        <v>4.0999999999999996</v>
      </c>
      <c r="D228" s="816">
        <v>0.16</v>
      </c>
      <c r="E228" s="1802" t="s">
        <v>35</v>
      </c>
      <c r="F228" s="816">
        <v>0.2</v>
      </c>
      <c r="G228" s="816" t="s">
        <v>784</v>
      </c>
      <c r="H228" s="816">
        <v>1988</v>
      </c>
      <c r="I228" s="50"/>
      <c r="J228" s="816">
        <f t="shared" si="196"/>
        <v>4.0999999999999996</v>
      </c>
      <c r="K228" s="816">
        <v>0.16</v>
      </c>
      <c r="L228" s="816" t="s">
        <v>35</v>
      </c>
      <c r="M228" s="816">
        <v>0.2</v>
      </c>
      <c r="N228" s="845">
        <f t="shared" si="198"/>
        <v>0.17888543819998318</v>
      </c>
      <c r="O228" s="1831">
        <f t="shared" si="199"/>
        <v>0.18</v>
      </c>
      <c r="P228" s="825" t="s">
        <v>1087</v>
      </c>
      <c r="Q228" s="3" t="str">
        <f>IF(J228=J319,"stop","")</f>
        <v/>
      </c>
      <c r="R228" s="3437" t="str">
        <f t="shared" si="197"/>
        <v/>
      </c>
      <c r="S228" s="1771" t="str">
        <f t="shared" si="197"/>
        <v/>
      </c>
      <c r="T228" s="1771" t="str">
        <f t="shared" si="197"/>
        <v/>
      </c>
      <c r="U228" s="1771" t="str">
        <f t="shared" si="197"/>
        <v/>
      </c>
      <c r="V228" s="3443" t="str">
        <f t="shared" si="197"/>
        <v/>
      </c>
      <c r="W228" s="1771" t="str">
        <f t="shared" si="197"/>
        <v/>
      </c>
      <c r="X228" s="1771" t="str">
        <f t="shared" si="197"/>
        <v/>
      </c>
      <c r="Y228" s="1771" t="str">
        <f t="shared" si="197"/>
        <v/>
      </c>
      <c r="Z228" s="3437" t="str">
        <f t="shared" si="197"/>
        <v/>
      </c>
      <c r="AA228" s="1771" t="str">
        <f t="shared" si="197"/>
        <v/>
      </c>
      <c r="AB228" s="1771" t="str">
        <f t="shared" si="197"/>
        <v/>
      </c>
      <c r="AC228" s="3442" t="str">
        <f t="shared" si="197"/>
        <v/>
      </c>
      <c r="AD228" s="1771" t="str">
        <f t="shared" si="197"/>
        <v/>
      </c>
      <c r="AE228" s="1771" t="str">
        <f t="shared" si="197"/>
        <v/>
      </c>
      <c r="AF228" s="1771" t="str">
        <f t="shared" si="197"/>
        <v/>
      </c>
      <c r="AG228" s="3442" t="str">
        <f t="shared" si="197"/>
        <v/>
      </c>
      <c r="AH228" s="1771" t="str">
        <f t="shared" si="200"/>
        <v/>
      </c>
      <c r="AI228" s="3442">
        <f t="shared" si="200"/>
        <v>0.16</v>
      </c>
      <c r="AJ228" s="3462"/>
      <c r="AK228" s="3439" t="str">
        <f>IF(J228=J319,"stop","")</f>
        <v/>
      </c>
      <c r="AL228" s="3437" t="str">
        <f t="shared" si="201"/>
        <v/>
      </c>
      <c r="AM228" s="1771" t="str">
        <f t="shared" si="201"/>
        <v/>
      </c>
      <c r="AN228" s="1771" t="str">
        <f t="shared" si="201"/>
        <v/>
      </c>
      <c r="AO228" s="1771" t="str">
        <f t="shared" si="201"/>
        <v/>
      </c>
      <c r="AP228" s="3443" t="str">
        <f t="shared" si="201"/>
        <v/>
      </c>
      <c r="AQ228" s="1771" t="str">
        <f t="shared" si="201"/>
        <v/>
      </c>
      <c r="AR228" s="1771" t="str">
        <f t="shared" si="201"/>
        <v/>
      </c>
      <c r="AS228" s="3442" t="str">
        <f t="shared" si="201"/>
        <v/>
      </c>
      <c r="AT228" s="1771" t="str">
        <f t="shared" si="201"/>
        <v/>
      </c>
      <c r="AU228" s="1771" t="str">
        <f t="shared" si="201"/>
        <v/>
      </c>
      <c r="AV228" s="1771" t="str">
        <f t="shared" si="201"/>
        <v/>
      </c>
      <c r="AW228" s="3442" t="str">
        <f t="shared" si="201"/>
        <v/>
      </c>
      <c r="AX228" s="1771" t="str">
        <f t="shared" si="202"/>
        <v/>
      </c>
      <c r="AY228" s="1771" t="str">
        <f t="shared" si="202"/>
        <v/>
      </c>
      <c r="AZ228" s="1771" t="str">
        <f t="shared" si="202"/>
        <v/>
      </c>
      <c r="BA228" s="1771" t="str">
        <f t="shared" si="202"/>
        <v/>
      </c>
      <c r="BB228" s="3437" t="str">
        <f t="shared" si="202"/>
        <v/>
      </c>
      <c r="BC228" s="3443">
        <f t="shared" si="202"/>
        <v>0.2</v>
      </c>
      <c r="BD228" s="3462"/>
      <c r="BE228" s="3440" t="str">
        <f>IF(J228=J319,"stop","")</f>
        <v/>
      </c>
      <c r="BF228" s="1771" t="str">
        <f t="shared" si="203"/>
        <v/>
      </c>
      <c r="BG228" s="1771" t="str">
        <f t="shared" si="203"/>
        <v/>
      </c>
      <c r="BH228" s="1771" t="str">
        <f t="shared" si="203"/>
        <v/>
      </c>
      <c r="BI228" s="1771" t="str">
        <f t="shared" si="203"/>
        <v/>
      </c>
      <c r="BJ228" s="3443" t="str">
        <f t="shared" si="203"/>
        <v/>
      </c>
      <c r="BK228" s="3437" t="str">
        <f t="shared" si="203"/>
        <v/>
      </c>
      <c r="BL228" s="1771" t="str">
        <f t="shared" si="203"/>
        <v/>
      </c>
      <c r="BM228" s="3442" t="str">
        <f t="shared" si="203"/>
        <v/>
      </c>
      <c r="BN228" s="1771" t="str">
        <f t="shared" si="203"/>
        <v/>
      </c>
      <c r="BO228" s="1771" t="str">
        <f t="shared" si="203"/>
        <v/>
      </c>
      <c r="BP228" s="1771" t="str">
        <f t="shared" si="203"/>
        <v/>
      </c>
      <c r="BQ228" s="1771" t="str">
        <f t="shared" si="203"/>
        <v/>
      </c>
      <c r="BR228" s="3437" t="str">
        <f t="shared" si="204"/>
        <v/>
      </c>
      <c r="BS228" s="1771" t="str">
        <f t="shared" si="204"/>
        <v/>
      </c>
      <c r="BT228" s="1771" t="str">
        <f t="shared" si="204"/>
        <v/>
      </c>
      <c r="BU228" s="3442" t="str">
        <f t="shared" si="204"/>
        <v/>
      </c>
      <c r="BV228" s="1771" t="str">
        <f t="shared" si="204"/>
        <v/>
      </c>
      <c r="BW228" s="3442">
        <f t="shared" si="204"/>
        <v>0.17888543819998318</v>
      </c>
      <c r="BX228" s="3462"/>
      <c r="BY228" s="3439" t="str">
        <f>IF(L228=L319,"stop","")</f>
        <v/>
      </c>
      <c r="BZ228" s="3437" t="str">
        <f t="shared" si="205"/>
        <v/>
      </c>
      <c r="CA228" s="1771" t="str">
        <f t="shared" si="205"/>
        <v/>
      </c>
      <c r="CB228" s="1771" t="str">
        <f t="shared" si="205"/>
        <v/>
      </c>
      <c r="CC228" s="3442" t="str">
        <f t="shared" si="205"/>
        <v/>
      </c>
      <c r="CD228" s="1771" t="str">
        <f t="shared" si="205"/>
        <v/>
      </c>
      <c r="CE228" s="3437" t="str">
        <f t="shared" si="205"/>
        <v/>
      </c>
      <c r="CF228" s="1771" t="str">
        <f t="shared" si="205"/>
        <v/>
      </c>
      <c r="CG228" s="1771" t="str">
        <f t="shared" si="205"/>
        <v/>
      </c>
      <c r="CH228" s="3437" t="str">
        <f t="shared" si="205"/>
        <v/>
      </c>
      <c r="CI228" s="1771" t="str">
        <f t="shared" si="205"/>
        <v/>
      </c>
      <c r="CJ228" s="1771" t="str">
        <f t="shared" si="205"/>
        <v/>
      </c>
      <c r="CK228" s="3442" t="str">
        <f t="shared" si="205"/>
        <v/>
      </c>
      <c r="CL228" s="3437" t="str">
        <f t="shared" si="206"/>
        <v/>
      </c>
      <c r="CM228" s="1771" t="str">
        <f t="shared" si="206"/>
        <v/>
      </c>
      <c r="CN228" s="1771" t="str">
        <f t="shared" si="206"/>
        <v/>
      </c>
      <c r="CO228" s="3442" t="str">
        <f t="shared" si="206"/>
        <v/>
      </c>
      <c r="CP228" s="1771" t="str">
        <f t="shared" si="206"/>
        <v/>
      </c>
      <c r="CQ228" s="3442">
        <f t="shared" si="206"/>
        <v>0.18</v>
      </c>
      <c r="CR228" s="3462"/>
    </row>
    <row r="229" spans="1:96" s="3" customFormat="1">
      <c r="A229" s="1848" t="s">
        <v>857</v>
      </c>
      <c r="B229" s="816">
        <v>5</v>
      </c>
      <c r="C229" s="816">
        <v>4.8899999999999997</v>
      </c>
      <c r="D229" s="816">
        <v>0.33</v>
      </c>
      <c r="E229" s="1802" t="s">
        <v>35</v>
      </c>
      <c r="F229" s="816">
        <v>0.45</v>
      </c>
      <c r="G229" s="816" t="s">
        <v>784</v>
      </c>
      <c r="H229" s="816">
        <v>1988</v>
      </c>
      <c r="I229" s="50"/>
      <c r="J229" s="816">
        <f t="shared" si="196"/>
        <v>4.8899999999999997</v>
      </c>
      <c r="K229" s="816">
        <v>0.33</v>
      </c>
      <c r="L229" s="816" t="s">
        <v>35</v>
      </c>
      <c r="M229" s="816">
        <v>0.45</v>
      </c>
      <c r="N229" s="845">
        <f t="shared" si="198"/>
        <v>0.38535697735995389</v>
      </c>
      <c r="O229" s="1831">
        <f t="shared" si="199"/>
        <v>0.39</v>
      </c>
      <c r="P229" s="825" t="s">
        <v>1087</v>
      </c>
      <c r="Q229" s="3" t="str">
        <f>IF(J229=J319,"stop","")</f>
        <v/>
      </c>
      <c r="R229" s="3437" t="str">
        <f t="shared" si="197"/>
        <v/>
      </c>
      <c r="S229" s="1771" t="str">
        <f t="shared" si="197"/>
        <v/>
      </c>
      <c r="T229" s="1771" t="str">
        <f t="shared" si="197"/>
        <v/>
      </c>
      <c r="U229" s="1771" t="str">
        <f t="shared" si="197"/>
        <v/>
      </c>
      <c r="V229" s="3443" t="str">
        <f t="shared" si="197"/>
        <v/>
      </c>
      <c r="W229" s="1771" t="str">
        <f t="shared" si="197"/>
        <v/>
      </c>
      <c r="X229" s="1771" t="str">
        <f t="shared" si="197"/>
        <v/>
      </c>
      <c r="Y229" s="1771" t="str">
        <f t="shared" si="197"/>
        <v/>
      </c>
      <c r="Z229" s="3437" t="str">
        <f t="shared" si="197"/>
        <v/>
      </c>
      <c r="AA229" s="1771" t="str">
        <f t="shared" si="197"/>
        <v/>
      </c>
      <c r="AB229" s="1771" t="str">
        <f t="shared" si="197"/>
        <v/>
      </c>
      <c r="AC229" s="3442" t="str">
        <f t="shared" si="197"/>
        <v/>
      </c>
      <c r="AD229" s="1771" t="str">
        <f t="shared" si="197"/>
        <v/>
      </c>
      <c r="AE229" s="1771" t="str">
        <f t="shared" si="197"/>
        <v/>
      </c>
      <c r="AF229" s="1771" t="str">
        <f t="shared" si="197"/>
        <v/>
      </c>
      <c r="AG229" s="3442" t="str">
        <f t="shared" si="197"/>
        <v/>
      </c>
      <c r="AH229" s="1771" t="str">
        <f t="shared" si="200"/>
        <v/>
      </c>
      <c r="AI229" s="3442">
        <f t="shared" si="200"/>
        <v>0.33</v>
      </c>
      <c r="AJ229" s="3462"/>
      <c r="AK229" s="3439" t="str">
        <f>IF(J229=J319,"stop","")</f>
        <v/>
      </c>
      <c r="AL229" s="3437" t="str">
        <f t="shared" si="201"/>
        <v/>
      </c>
      <c r="AM229" s="1771" t="str">
        <f t="shared" si="201"/>
        <v/>
      </c>
      <c r="AN229" s="1771" t="str">
        <f t="shared" si="201"/>
        <v/>
      </c>
      <c r="AO229" s="1771" t="str">
        <f t="shared" si="201"/>
        <v/>
      </c>
      <c r="AP229" s="3443" t="str">
        <f t="shared" si="201"/>
        <v/>
      </c>
      <c r="AQ229" s="1771" t="str">
        <f t="shared" si="201"/>
        <v/>
      </c>
      <c r="AR229" s="1771" t="str">
        <f t="shared" si="201"/>
        <v/>
      </c>
      <c r="AS229" s="3442" t="str">
        <f t="shared" si="201"/>
        <v/>
      </c>
      <c r="AT229" s="1771" t="str">
        <f t="shared" si="201"/>
        <v/>
      </c>
      <c r="AU229" s="1771" t="str">
        <f t="shared" si="201"/>
        <v/>
      </c>
      <c r="AV229" s="1771" t="str">
        <f t="shared" si="201"/>
        <v/>
      </c>
      <c r="AW229" s="3442" t="str">
        <f t="shared" si="201"/>
        <v/>
      </c>
      <c r="AX229" s="1771" t="str">
        <f t="shared" si="202"/>
        <v/>
      </c>
      <c r="AY229" s="1771" t="str">
        <f t="shared" si="202"/>
        <v/>
      </c>
      <c r="AZ229" s="1771" t="str">
        <f t="shared" si="202"/>
        <v/>
      </c>
      <c r="BA229" s="1771" t="str">
        <f t="shared" si="202"/>
        <v/>
      </c>
      <c r="BB229" s="3437" t="str">
        <f t="shared" si="202"/>
        <v/>
      </c>
      <c r="BC229" s="3443">
        <f t="shared" si="202"/>
        <v>0.45</v>
      </c>
      <c r="BD229" s="3462"/>
      <c r="BE229" s="3440" t="str">
        <f>IF(J229=J319,"stop","")</f>
        <v/>
      </c>
      <c r="BF229" s="1771" t="str">
        <f t="shared" si="203"/>
        <v/>
      </c>
      <c r="BG229" s="1771" t="str">
        <f t="shared" si="203"/>
        <v/>
      </c>
      <c r="BH229" s="1771" t="str">
        <f t="shared" si="203"/>
        <v/>
      </c>
      <c r="BI229" s="1771" t="str">
        <f t="shared" si="203"/>
        <v/>
      </c>
      <c r="BJ229" s="3443" t="str">
        <f t="shared" si="203"/>
        <v/>
      </c>
      <c r="BK229" s="3437" t="str">
        <f t="shared" si="203"/>
        <v/>
      </c>
      <c r="BL229" s="1771" t="str">
        <f t="shared" si="203"/>
        <v/>
      </c>
      <c r="BM229" s="3442" t="str">
        <f t="shared" si="203"/>
        <v/>
      </c>
      <c r="BN229" s="1771" t="str">
        <f t="shared" si="203"/>
        <v/>
      </c>
      <c r="BO229" s="1771" t="str">
        <f t="shared" si="203"/>
        <v/>
      </c>
      <c r="BP229" s="1771" t="str">
        <f t="shared" si="203"/>
        <v/>
      </c>
      <c r="BQ229" s="1771" t="str">
        <f t="shared" si="203"/>
        <v/>
      </c>
      <c r="BR229" s="3437" t="str">
        <f t="shared" si="204"/>
        <v/>
      </c>
      <c r="BS229" s="1771" t="str">
        <f t="shared" si="204"/>
        <v/>
      </c>
      <c r="BT229" s="1771" t="str">
        <f t="shared" si="204"/>
        <v/>
      </c>
      <c r="BU229" s="3442" t="str">
        <f t="shared" si="204"/>
        <v/>
      </c>
      <c r="BV229" s="1771" t="str">
        <f t="shared" si="204"/>
        <v/>
      </c>
      <c r="BW229" s="3442">
        <f t="shared" si="204"/>
        <v>0.38535697735995389</v>
      </c>
      <c r="BX229" s="3462"/>
      <c r="BY229" s="3439" t="str">
        <f>IF(L229=L319,"stop","")</f>
        <v/>
      </c>
      <c r="BZ229" s="3437" t="str">
        <f t="shared" si="205"/>
        <v/>
      </c>
      <c r="CA229" s="1771" t="str">
        <f t="shared" si="205"/>
        <v/>
      </c>
      <c r="CB229" s="1771" t="str">
        <f t="shared" si="205"/>
        <v/>
      </c>
      <c r="CC229" s="3442" t="str">
        <f t="shared" si="205"/>
        <v/>
      </c>
      <c r="CD229" s="1771" t="str">
        <f t="shared" si="205"/>
        <v/>
      </c>
      <c r="CE229" s="3437" t="str">
        <f t="shared" si="205"/>
        <v/>
      </c>
      <c r="CF229" s="1771" t="str">
        <f t="shared" si="205"/>
        <v/>
      </c>
      <c r="CG229" s="1771" t="str">
        <f t="shared" si="205"/>
        <v/>
      </c>
      <c r="CH229" s="3437" t="str">
        <f t="shared" si="205"/>
        <v/>
      </c>
      <c r="CI229" s="1771" t="str">
        <f t="shared" si="205"/>
        <v/>
      </c>
      <c r="CJ229" s="1771" t="str">
        <f t="shared" si="205"/>
        <v/>
      </c>
      <c r="CK229" s="3442" t="str">
        <f t="shared" si="205"/>
        <v/>
      </c>
      <c r="CL229" s="3437" t="str">
        <f t="shared" si="206"/>
        <v/>
      </c>
      <c r="CM229" s="1771" t="str">
        <f t="shared" si="206"/>
        <v/>
      </c>
      <c r="CN229" s="1771" t="str">
        <f t="shared" si="206"/>
        <v/>
      </c>
      <c r="CO229" s="3442" t="str">
        <f t="shared" si="206"/>
        <v/>
      </c>
      <c r="CP229" s="1771" t="str">
        <f t="shared" si="206"/>
        <v/>
      </c>
      <c r="CQ229" s="3442">
        <f t="shared" si="206"/>
        <v>0.39</v>
      </c>
      <c r="CR229" s="3462"/>
    </row>
    <row r="230" spans="1:96" s="3" customFormat="1">
      <c r="A230" s="1848" t="s">
        <v>858</v>
      </c>
      <c r="B230" s="816">
        <v>5</v>
      </c>
      <c r="C230" s="816">
        <v>5.16</v>
      </c>
      <c r="D230" s="816">
        <v>0.43</v>
      </c>
      <c r="E230" s="1802" t="s">
        <v>35</v>
      </c>
      <c r="F230" s="816">
        <v>0.67</v>
      </c>
      <c r="G230" s="816" t="s">
        <v>784</v>
      </c>
      <c r="H230" s="816">
        <v>1988</v>
      </c>
      <c r="I230" s="50"/>
      <c r="J230" s="816">
        <f t="shared" si="196"/>
        <v>5.16</v>
      </c>
      <c r="K230" s="816">
        <v>0.43</v>
      </c>
      <c r="L230" s="816" t="s">
        <v>35</v>
      </c>
      <c r="M230" s="816">
        <v>0.67</v>
      </c>
      <c r="N230" s="845">
        <f t="shared" si="198"/>
        <v>0.53674947601278566</v>
      </c>
      <c r="O230" s="1831">
        <f t="shared" si="199"/>
        <v>0.55000000000000004</v>
      </c>
      <c r="P230" s="825" t="s">
        <v>1087</v>
      </c>
      <c r="Q230" s="3" t="str">
        <f>IF(J230=J319,"stop","")</f>
        <v/>
      </c>
      <c r="R230" s="3437" t="str">
        <f t="shared" si="197"/>
        <v/>
      </c>
      <c r="S230" s="1771" t="str">
        <f t="shared" si="197"/>
        <v/>
      </c>
      <c r="T230" s="1771" t="str">
        <f t="shared" si="197"/>
        <v/>
      </c>
      <c r="U230" s="1771" t="str">
        <f t="shared" si="197"/>
        <v/>
      </c>
      <c r="V230" s="3443" t="str">
        <f t="shared" si="197"/>
        <v/>
      </c>
      <c r="W230" s="1771">
        <f t="shared" si="197"/>
        <v>0.43</v>
      </c>
      <c r="X230" s="1771" t="str">
        <f t="shared" si="197"/>
        <v/>
      </c>
      <c r="Y230" s="1771" t="str">
        <f t="shared" si="197"/>
        <v/>
      </c>
      <c r="Z230" s="3437" t="str">
        <f t="shared" si="197"/>
        <v/>
      </c>
      <c r="AA230" s="1771" t="str">
        <f t="shared" si="197"/>
        <v/>
      </c>
      <c r="AB230" s="1771" t="str">
        <f t="shared" si="197"/>
        <v/>
      </c>
      <c r="AC230" s="3442" t="str">
        <f t="shared" si="197"/>
        <v/>
      </c>
      <c r="AD230" s="1771" t="str">
        <f t="shared" si="197"/>
        <v/>
      </c>
      <c r="AE230" s="1771" t="str">
        <f t="shared" si="197"/>
        <v/>
      </c>
      <c r="AF230" s="1771" t="str">
        <f t="shared" si="197"/>
        <v/>
      </c>
      <c r="AG230" s="3442" t="str">
        <f t="shared" si="197"/>
        <v/>
      </c>
      <c r="AH230" s="1771" t="str">
        <f t="shared" si="200"/>
        <v/>
      </c>
      <c r="AI230" s="3442" t="str">
        <f t="shared" si="200"/>
        <v/>
      </c>
      <c r="AJ230" s="3462"/>
      <c r="AK230" s="3439" t="str">
        <f>IF(J230=J319,"stop","")</f>
        <v/>
      </c>
      <c r="AL230" s="3437" t="str">
        <f t="shared" si="201"/>
        <v/>
      </c>
      <c r="AM230" s="1771" t="str">
        <f t="shared" si="201"/>
        <v/>
      </c>
      <c r="AN230" s="1771" t="str">
        <f t="shared" si="201"/>
        <v/>
      </c>
      <c r="AO230" s="1771" t="str">
        <f t="shared" si="201"/>
        <v/>
      </c>
      <c r="AP230" s="3443" t="str">
        <f t="shared" si="201"/>
        <v/>
      </c>
      <c r="AQ230" s="1771">
        <f t="shared" si="201"/>
        <v>0.67</v>
      </c>
      <c r="AR230" s="1771" t="str">
        <f t="shared" si="201"/>
        <v/>
      </c>
      <c r="AS230" s="3442" t="str">
        <f t="shared" si="201"/>
        <v/>
      </c>
      <c r="AT230" s="1771" t="str">
        <f t="shared" si="201"/>
        <v/>
      </c>
      <c r="AU230" s="1771" t="str">
        <f t="shared" si="201"/>
        <v/>
      </c>
      <c r="AV230" s="1771" t="str">
        <f t="shared" si="201"/>
        <v/>
      </c>
      <c r="AW230" s="3442" t="str">
        <f t="shared" si="201"/>
        <v/>
      </c>
      <c r="AX230" s="1771" t="str">
        <f t="shared" si="202"/>
        <v/>
      </c>
      <c r="AY230" s="1771" t="str">
        <f t="shared" si="202"/>
        <v/>
      </c>
      <c r="AZ230" s="1771" t="str">
        <f t="shared" si="202"/>
        <v/>
      </c>
      <c r="BA230" s="1771" t="str">
        <f t="shared" si="202"/>
        <v/>
      </c>
      <c r="BB230" s="3437" t="str">
        <f t="shared" si="202"/>
        <v/>
      </c>
      <c r="BC230" s="3443" t="str">
        <f t="shared" si="202"/>
        <v/>
      </c>
      <c r="BD230" s="3462"/>
      <c r="BE230" s="3440" t="str">
        <f>IF(J230=J319,"stop","")</f>
        <v/>
      </c>
      <c r="BF230" s="1771" t="str">
        <f t="shared" si="203"/>
        <v/>
      </c>
      <c r="BG230" s="1771" t="str">
        <f t="shared" si="203"/>
        <v/>
      </c>
      <c r="BH230" s="1771" t="str">
        <f t="shared" si="203"/>
        <v/>
      </c>
      <c r="BI230" s="1771" t="str">
        <f t="shared" si="203"/>
        <v/>
      </c>
      <c r="BJ230" s="3443" t="str">
        <f t="shared" si="203"/>
        <v/>
      </c>
      <c r="BK230" s="3437">
        <f t="shared" si="203"/>
        <v>0.53674947601278566</v>
      </c>
      <c r="BL230" s="1771" t="str">
        <f t="shared" si="203"/>
        <v/>
      </c>
      <c r="BM230" s="3442" t="str">
        <f t="shared" si="203"/>
        <v/>
      </c>
      <c r="BN230" s="1771" t="str">
        <f t="shared" si="203"/>
        <v/>
      </c>
      <c r="BO230" s="1771" t="str">
        <f t="shared" si="203"/>
        <v/>
      </c>
      <c r="BP230" s="1771" t="str">
        <f t="shared" si="203"/>
        <v/>
      </c>
      <c r="BQ230" s="1771" t="str">
        <f t="shared" si="203"/>
        <v/>
      </c>
      <c r="BR230" s="3437" t="str">
        <f t="shared" si="204"/>
        <v/>
      </c>
      <c r="BS230" s="1771" t="str">
        <f t="shared" si="204"/>
        <v/>
      </c>
      <c r="BT230" s="1771" t="str">
        <f t="shared" si="204"/>
        <v/>
      </c>
      <c r="BU230" s="3442" t="str">
        <f t="shared" si="204"/>
        <v/>
      </c>
      <c r="BV230" s="1771" t="str">
        <f t="shared" si="204"/>
        <v/>
      </c>
      <c r="BW230" s="3442" t="str">
        <f t="shared" si="204"/>
        <v/>
      </c>
      <c r="BX230" s="3462"/>
      <c r="BY230" s="3439" t="str">
        <f>IF(L230=L319,"stop","")</f>
        <v/>
      </c>
      <c r="BZ230" s="3437" t="str">
        <f t="shared" si="205"/>
        <v/>
      </c>
      <c r="CA230" s="1771" t="str">
        <f t="shared" si="205"/>
        <v/>
      </c>
      <c r="CB230" s="1771" t="str">
        <f t="shared" si="205"/>
        <v/>
      </c>
      <c r="CC230" s="3442" t="str">
        <f t="shared" si="205"/>
        <v/>
      </c>
      <c r="CD230" s="1771" t="str">
        <f t="shared" si="205"/>
        <v/>
      </c>
      <c r="CE230" s="3437">
        <f t="shared" si="205"/>
        <v>0.55000000000000004</v>
      </c>
      <c r="CF230" s="1771" t="str">
        <f t="shared" si="205"/>
        <v/>
      </c>
      <c r="CG230" s="1771" t="str">
        <f t="shared" si="205"/>
        <v/>
      </c>
      <c r="CH230" s="3437" t="str">
        <f t="shared" si="205"/>
        <v/>
      </c>
      <c r="CI230" s="1771" t="str">
        <f t="shared" si="205"/>
        <v/>
      </c>
      <c r="CJ230" s="1771" t="str">
        <f t="shared" si="205"/>
        <v/>
      </c>
      <c r="CK230" s="3442" t="str">
        <f t="shared" si="205"/>
        <v/>
      </c>
      <c r="CL230" s="3437" t="str">
        <f t="shared" si="206"/>
        <v/>
      </c>
      <c r="CM230" s="1771" t="str">
        <f t="shared" si="206"/>
        <v/>
      </c>
      <c r="CN230" s="1771" t="str">
        <f t="shared" si="206"/>
        <v/>
      </c>
      <c r="CO230" s="3442" t="str">
        <f t="shared" si="206"/>
        <v/>
      </c>
      <c r="CP230" s="1771" t="str">
        <f t="shared" si="206"/>
        <v/>
      </c>
      <c r="CQ230" s="3442" t="str">
        <f t="shared" si="206"/>
        <v/>
      </c>
      <c r="CR230" s="3462"/>
    </row>
    <row r="231" spans="1:96" s="3" customFormat="1">
      <c r="A231" s="1848" t="s">
        <v>859</v>
      </c>
      <c r="B231" s="816">
        <v>5</v>
      </c>
      <c r="C231" s="816">
        <v>5.08</v>
      </c>
      <c r="D231" s="816">
        <v>0.52</v>
      </c>
      <c r="E231" s="1802" t="s">
        <v>35</v>
      </c>
      <c r="F231" s="816">
        <v>0.9</v>
      </c>
      <c r="G231" s="816" t="s">
        <v>784</v>
      </c>
      <c r="H231" s="816">
        <v>1988</v>
      </c>
      <c r="I231" s="50"/>
      <c r="J231" s="816">
        <f t="shared" si="196"/>
        <v>5.08</v>
      </c>
      <c r="K231" s="816">
        <v>0.52</v>
      </c>
      <c r="L231" s="816" t="s">
        <v>35</v>
      </c>
      <c r="M231" s="816">
        <v>0.9</v>
      </c>
      <c r="N231" s="845">
        <f t="shared" si="198"/>
        <v>0.68410525505948283</v>
      </c>
      <c r="O231" s="1831">
        <f t="shared" si="199"/>
        <v>0.71</v>
      </c>
      <c r="P231" s="825" t="s">
        <v>1087</v>
      </c>
      <c r="Q231" s="3" t="str">
        <f>IF(J231=J319,"stop","")</f>
        <v/>
      </c>
      <c r="R231" s="3437" t="str">
        <f t="shared" ref="R231:AG246" si="207">IF(AND($J231&gt;R$4,$J231&lt;=R$5,$P231=R$6),$K231,"")</f>
        <v/>
      </c>
      <c r="S231" s="1771" t="str">
        <f t="shared" si="207"/>
        <v/>
      </c>
      <c r="T231" s="1771" t="str">
        <f t="shared" si="207"/>
        <v/>
      </c>
      <c r="U231" s="1771" t="str">
        <f t="shared" si="207"/>
        <v/>
      </c>
      <c r="V231" s="3443" t="str">
        <f t="shared" si="207"/>
        <v/>
      </c>
      <c r="W231" s="1771">
        <f t="shared" si="207"/>
        <v>0.52</v>
      </c>
      <c r="X231" s="1771" t="str">
        <f t="shared" si="207"/>
        <v/>
      </c>
      <c r="Y231" s="1771" t="str">
        <f t="shared" si="207"/>
        <v/>
      </c>
      <c r="Z231" s="3437" t="str">
        <f t="shared" si="207"/>
        <v/>
      </c>
      <c r="AA231" s="1771" t="str">
        <f t="shared" si="207"/>
        <v/>
      </c>
      <c r="AB231" s="1771" t="str">
        <f t="shared" si="207"/>
        <v/>
      </c>
      <c r="AC231" s="3442" t="str">
        <f t="shared" si="207"/>
        <v/>
      </c>
      <c r="AD231" s="1771" t="str">
        <f t="shared" si="207"/>
        <v/>
      </c>
      <c r="AE231" s="1771" t="str">
        <f t="shared" si="207"/>
        <v/>
      </c>
      <c r="AF231" s="1771" t="str">
        <f t="shared" si="207"/>
        <v/>
      </c>
      <c r="AG231" s="3442" t="str">
        <f t="shared" si="207"/>
        <v/>
      </c>
      <c r="AH231" s="1771" t="str">
        <f t="shared" si="200"/>
        <v/>
      </c>
      <c r="AI231" s="3442" t="str">
        <f t="shared" si="200"/>
        <v/>
      </c>
      <c r="AJ231" s="3462"/>
      <c r="AK231" s="3439" t="str">
        <f>IF(J231=J319,"stop","")</f>
        <v/>
      </c>
      <c r="AL231" s="3437" t="str">
        <f t="shared" ref="AL231:AW240" si="208">IF(AND($J231&gt;AL$4,$J231&lt;=AL$5,$P231=AL$6),$M231,"")</f>
        <v/>
      </c>
      <c r="AM231" s="1771" t="str">
        <f t="shared" si="208"/>
        <v/>
      </c>
      <c r="AN231" s="1771" t="str">
        <f t="shared" si="208"/>
        <v/>
      </c>
      <c r="AO231" s="1771" t="str">
        <f t="shared" si="208"/>
        <v/>
      </c>
      <c r="AP231" s="3443" t="str">
        <f t="shared" si="208"/>
        <v/>
      </c>
      <c r="AQ231" s="1771">
        <f t="shared" si="208"/>
        <v>0.9</v>
      </c>
      <c r="AR231" s="1771" t="str">
        <f t="shared" si="208"/>
        <v/>
      </c>
      <c r="AS231" s="3442" t="str">
        <f t="shared" si="208"/>
        <v/>
      </c>
      <c r="AT231" s="1771" t="str">
        <f t="shared" si="208"/>
        <v/>
      </c>
      <c r="AU231" s="1771" t="str">
        <f t="shared" si="208"/>
        <v/>
      </c>
      <c r="AV231" s="1771" t="str">
        <f t="shared" si="208"/>
        <v/>
      </c>
      <c r="AW231" s="3442" t="str">
        <f t="shared" si="208"/>
        <v/>
      </c>
      <c r="AX231" s="1771" t="str">
        <f t="shared" ref="AX231:BC240" si="209">IF(AND($J231&gt;AX$4,$J231&lt;=AX$5,$P231=AX$6),$M231,"")</f>
        <v/>
      </c>
      <c r="AY231" s="1771" t="str">
        <f t="shared" si="209"/>
        <v/>
      </c>
      <c r="AZ231" s="1771" t="str">
        <f t="shared" si="209"/>
        <v/>
      </c>
      <c r="BA231" s="1771" t="str">
        <f t="shared" si="209"/>
        <v/>
      </c>
      <c r="BB231" s="3437" t="str">
        <f t="shared" si="209"/>
        <v/>
      </c>
      <c r="BC231" s="3443" t="str">
        <f t="shared" si="209"/>
        <v/>
      </c>
      <c r="BD231" s="3462"/>
      <c r="BE231" s="3440" t="str">
        <f>IF(J231=J319,"stop","")</f>
        <v/>
      </c>
      <c r="BF231" s="1771" t="str">
        <f t="shared" ref="BF231:BQ240" si="210">IF(AND($J231&gt;BF$4,$J231&lt;=BF$5,$P231=BF$6),$N231,"")</f>
        <v/>
      </c>
      <c r="BG231" s="1771" t="str">
        <f t="shared" si="210"/>
        <v/>
      </c>
      <c r="BH231" s="1771" t="str">
        <f t="shared" si="210"/>
        <v/>
      </c>
      <c r="BI231" s="1771" t="str">
        <f t="shared" si="210"/>
        <v/>
      </c>
      <c r="BJ231" s="3443" t="str">
        <f t="shared" si="210"/>
        <v/>
      </c>
      <c r="BK231" s="3437">
        <f t="shared" si="210"/>
        <v>0.68410525505948283</v>
      </c>
      <c r="BL231" s="1771" t="str">
        <f t="shared" si="210"/>
        <v/>
      </c>
      <c r="BM231" s="3442" t="str">
        <f t="shared" si="210"/>
        <v/>
      </c>
      <c r="BN231" s="1771" t="str">
        <f t="shared" si="210"/>
        <v/>
      </c>
      <c r="BO231" s="1771" t="str">
        <f t="shared" si="210"/>
        <v/>
      </c>
      <c r="BP231" s="1771" t="str">
        <f t="shared" si="210"/>
        <v/>
      </c>
      <c r="BQ231" s="1771" t="str">
        <f t="shared" si="210"/>
        <v/>
      </c>
      <c r="BR231" s="3437" t="str">
        <f t="shared" ref="BR231:BW240" si="211">IF(AND($J231&gt;BR$4,$J231&lt;=BR$5,$P231=BR$6),$N231,"")</f>
        <v/>
      </c>
      <c r="BS231" s="1771" t="str">
        <f t="shared" si="211"/>
        <v/>
      </c>
      <c r="BT231" s="1771" t="str">
        <f t="shared" si="211"/>
        <v/>
      </c>
      <c r="BU231" s="3442" t="str">
        <f t="shared" si="211"/>
        <v/>
      </c>
      <c r="BV231" s="1771" t="str">
        <f t="shared" si="211"/>
        <v/>
      </c>
      <c r="BW231" s="3442" t="str">
        <f t="shared" si="211"/>
        <v/>
      </c>
      <c r="BX231" s="3462"/>
      <c r="BY231" s="3439" t="str">
        <f>IF(L231=L319,"stop","")</f>
        <v/>
      </c>
      <c r="BZ231" s="3437" t="str">
        <f t="shared" ref="BZ231:CK240" si="212">IF(AND($J231&gt;BZ$4,$J231&lt;=BZ$5,$P231=BZ$6),$O231,"")</f>
        <v/>
      </c>
      <c r="CA231" s="1771" t="str">
        <f t="shared" si="212"/>
        <v/>
      </c>
      <c r="CB231" s="1771" t="str">
        <f t="shared" si="212"/>
        <v/>
      </c>
      <c r="CC231" s="3442" t="str">
        <f t="shared" si="212"/>
        <v/>
      </c>
      <c r="CD231" s="1771" t="str">
        <f t="shared" si="212"/>
        <v/>
      </c>
      <c r="CE231" s="3437">
        <f t="shared" si="212"/>
        <v>0.71</v>
      </c>
      <c r="CF231" s="1771" t="str">
        <f t="shared" si="212"/>
        <v/>
      </c>
      <c r="CG231" s="1771" t="str">
        <f t="shared" si="212"/>
        <v/>
      </c>
      <c r="CH231" s="3437" t="str">
        <f t="shared" si="212"/>
        <v/>
      </c>
      <c r="CI231" s="1771" t="str">
        <f t="shared" si="212"/>
        <v/>
      </c>
      <c r="CJ231" s="1771" t="str">
        <f t="shared" si="212"/>
        <v/>
      </c>
      <c r="CK231" s="3442" t="str">
        <f t="shared" si="212"/>
        <v/>
      </c>
      <c r="CL231" s="3437" t="str">
        <f t="shared" ref="CL231:CQ240" si="213">IF(AND($J231&gt;CL$4,$J231&lt;=CL$5,$P231=CL$6),$O231,"")</f>
        <v/>
      </c>
      <c r="CM231" s="1771" t="str">
        <f t="shared" si="213"/>
        <v/>
      </c>
      <c r="CN231" s="1771" t="str">
        <f t="shared" si="213"/>
        <v/>
      </c>
      <c r="CO231" s="3442" t="str">
        <f t="shared" si="213"/>
        <v/>
      </c>
      <c r="CP231" s="1771" t="str">
        <f t="shared" si="213"/>
        <v/>
      </c>
      <c r="CQ231" s="3442" t="str">
        <f t="shared" si="213"/>
        <v/>
      </c>
      <c r="CR231" s="3462"/>
    </row>
    <row r="232" spans="1:96" s="3" customFormat="1">
      <c r="A232" s="1848" t="s">
        <v>860</v>
      </c>
      <c r="B232" s="816">
        <v>6</v>
      </c>
      <c r="C232" s="816">
        <v>6.14</v>
      </c>
      <c r="D232" s="816">
        <v>0.15</v>
      </c>
      <c r="E232" s="1802" t="s">
        <v>35</v>
      </c>
      <c r="F232" s="816">
        <v>0.24</v>
      </c>
      <c r="G232" s="816" t="s">
        <v>784</v>
      </c>
      <c r="H232" s="816">
        <v>1988</v>
      </c>
      <c r="I232" s="50"/>
      <c r="J232" s="816">
        <f t="shared" si="196"/>
        <v>6.14</v>
      </c>
      <c r="K232" s="816">
        <v>0.15</v>
      </c>
      <c r="L232" s="816" t="s">
        <v>35</v>
      </c>
      <c r="M232" s="816">
        <v>0.24</v>
      </c>
      <c r="N232" s="845">
        <f t="shared" si="198"/>
        <v>0.18973665961010275</v>
      </c>
      <c r="O232" s="1831">
        <f t="shared" si="199"/>
        <v>0.19500000000000001</v>
      </c>
      <c r="P232" s="825" t="s">
        <v>1087</v>
      </c>
      <c r="Q232" s="3" t="str">
        <f>IF(J232=J319,"stop","")</f>
        <v/>
      </c>
      <c r="R232" s="3437" t="str">
        <f t="shared" si="207"/>
        <v/>
      </c>
      <c r="S232" s="1771" t="str">
        <f t="shared" si="207"/>
        <v/>
      </c>
      <c r="T232" s="1771" t="str">
        <f t="shared" si="207"/>
        <v/>
      </c>
      <c r="U232" s="1771" t="str">
        <f t="shared" si="207"/>
        <v/>
      </c>
      <c r="V232" s="3443" t="str">
        <f t="shared" si="207"/>
        <v/>
      </c>
      <c r="W232" s="1771" t="str">
        <f t="shared" si="207"/>
        <v/>
      </c>
      <c r="X232" s="1771">
        <f t="shared" si="207"/>
        <v>0.15</v>
      </c>
      <c r="Y232" s="1771" t="str">
        <f t="shared" si="207"/>
        <v/>
      </c>
      <c r="Z232" s="3437" t="str">
        <f t="shared" si="207"/>
        <v/>
      </c>
      <c r="AA232" s="1771" t="str">
        <f t="shared" si="207"/>
        <v/>
      </c>
      <c r="AB232" s="1771" t="str">
        <f t="shared" si="207"/>
        <v/>
      </c>
      <c r="AC232" s="3442" t="str">
        <f t="shared" si="207"/>
        <v/>
      </c>
      <c r="AD232" s="1771" t="str">
        <f t="shared" si="207"/>
        <v/>
      </c>
      <c r="AE232" s="1771" t="str">
        <f t="shared" si="207"/>
        <v/>
      </c>
      <c r="AF232" s="1771" t="str">
        <f t="shared" si="207"/>
        <v/>
      </c>
      <c r="AG232" s="3442" t="str">
        <f t="shared" si="207"/>
        <v/>
      </c>
      <c r="AH232" s="1771" t="str">
        <f t="shared" si="200"/>
        <v/>
      </c>
      <c r="AI232" s="3442" t="str">
        <f t="shared" si="200"/>
        <v/>
      </c>
      <c r="AJ232" s="3462"/>
      <c r="AK232" s="3439" t="str">
        <f>IF(J232=J319,"stop","")</f>
        <v/>
      </c>
      <c r="AL232" s="3437" t="str">
        <f t="shared" si="208"/>
        <v/>
      </c>
      <c r="AM232" s="1771" t="str">
        <f t="shared" si="208"/>
        <v/>
      </c>
      <c r="AN232" s="1771" t="str">
        <f t="shared" si="208"/>
        <v/>
      </c>
      <c r="AO232" s="1771" t="str">
        <f t="shared" si="208"/>
        <v/>
      </c>
      <c r="AP232" s="3443" t="str">
        <f t="shared" si="208"/>
        <v/>
      </c>
      <c r="AQ232" s="1771" t="str">
        <f t="shared" si="208"/>
        <v/>
      </c>
      <c r="AR232" s="1771">
        <f t="shared" si="208"/>
        <v>0.24</v>
      </c>
      <c r="AS232" s="3442" t="str">
        <f t="shared" si="208"/>
        <v/>
      </c>
      <c r="AT232" s="1771" t="str">
        <f t="shared" si="208"/>
        <v/>
      </c>
      <c r="AU232" s="1771" t="str">
        <f t="shared" si="208"/>
        <v/>
      </c>
      <c r="AV232" s="1771" t="str">
        <f t="shared" si="208"/>
        <v/>
      </c>
      <c r="AW232" s="3442" t="str">
        <f t="shared" si="208"/>
        <v/>
      </c>
      <c r="AX232" s="1771" t="str">
        <f t="shared" si="209"/>
        <v/>
      </c>
      <c r="AY232" s="1771" t="str">
        <f t="shared" si="209"/>
        <v/>
      </c>
      <c r="AZ232" s="1771" t="str">
        <f t="shared" si="209"/>
        <v/>
      </c>
      <c r="BA232" s="1771" t="str">
        <f t="shared" si="209"/>
        <v/>
      </c>
      <c r="BB232" s="3437" t="str">
        <f t="shared" si="209"/>
        <v/>
      </c>
      <c r="BC232" s="3443" t="str">
        <f t="shared" si="209"/>
        <v/>
      </c>
      <c r="BD232" s="3462"/>
      <c r="BE232" s="3440" t="str">
        <f>IF(J232=J319,"stop","")</f>
        <v/>
      </c>
      <c r="BF232" s="1771" t="str">
        <f t="shared" si="210"/>
        <v/>
      </c>
      <c r="BG232" s="1771" t="str">
        <f t="shared" si="210"/>
        <v/>
      </c>
      <c r="BH232" s="1771" t="str">
        <f t="shared" si="210"/>
        <v/>
      </c>
      <c r="BI232" s="1771" t="str">
        <f t="shared" si="210"/>
        <v/>
      </c>
      <c r="BJ232" s="3443" t="str">
        <f t="shared" si="210"/>
        <v/>
      </c>
      <c r="BK232" s="3437" t="str">
        <f t="shared" si="210"/>
        <v/>
      </c>
      <c r="BL232" s="1771">
        <f t="shared" si="210"/>
        <v>0.18973665961010275</v>
      </c>
      <c r="BM232" s="3442" t="str">
        <f t="shared" si="210"/>
        <v/>
      </c>
      <c r="BN232" s="1771" t="str">
        <f t="shared" si="210"/>
        <v/>
      </c>
      <c r="BO232" s="1771" t="str">
        <f t="shared" si="210"/>
        <v/>
      </c>
      <c r="BP232" s="1771" t="str">
        <f t="shared" si="210"/>
        <v/>
      </c>
      <c r="BQ232" s="1771" t="str">
        <f t="shared" si="210"/>
        <v/>
      </c>
      <c r="BR232" s="3437" t="str">
        <f t="shared" si="211"/>
        <v/>
      </c>
      <c r="BS232" s="1771" t="str">
        <f t="shared" si="211"/>
        <v/>
      </c>
      <c r="BT232" s="1771" t="str">
        <f t="shared" si="211"/>
        <v/>
      </c>
      <c r="BU232" s="3442" t="str">
        <f t="shared" si="211"/>
        <v/>
      </c>
      <c r="BV232" s="1771" t="str">
        <f t="shared" si="211"/>
        <v/>
      </c>
      <c r="BW232" s="3442" t="str">
        <f t="shared" si="211"/>
        <v/>
      </c>
      <c r="BX232" s="3462"/>
      <c r="BY232" s="3439" t="str">
        <f>IF(L232=L319,"stop","")</f>
        <v/>
      </c>
      <c r="BZ232" s="3437" t="str">
        <f t="shared" si="212"/>
        <v/>
      </c>
      <c r="CA232" s="1771" t="str">
        <f t="shared" si="212"/>
        <v/>
      </c>
      <c r="CB232" s="1771" t="str">
        <f t="shared" si="212"/>
        <v/>
      </c>
      <c r="CC232" s="3442" t="str">
        <f t="shared" si="212"/>
        <v/>
      </c>
      <c r="CD232" s="1771" t="str">
        <f t="shared" si="212"/>
        <v/>
      </c>
      <c r="CE232" s="3437" t="str">
        <f t="shared" si="212"/>
        <v/>
      </c>
      <c r="CF232" s="1771">
        <f t="shared" si="212"/>
        <v>0.19500000000000001</v>
      </c>
      <c r="CG232" s="1771" t="str">
        <f t="shared" si="212"/>
        <v/>
      </c>
      <c r="CH232" s="3437" t="str">
        <f t="shared" si="212"/>
        <v/>
      </c>
      <c r="CI232" s="1771" t="str">
        <f t="shared" si="212"/>
        <v/>
      </c>
      <c r="CJ232" s="1771" t="str">
        <f t="shared" si="212"/>
        <v/>
      </c>
      <c r="CK232" s="3442" t="str">
        <f t="shared" si="212"/>
        <v/>
      </c>
      <c r="CL232" s="3437" t="str">
        <f t="shared" si="213"/>
        <v/>
      </c>
      <c r="CM232" s="1771" t="str">
        <f t="shared" si="213"/>
        <v/>
      </c>
      <c r="CN232" s="1771" t="str">
        <f t="shared" si="213"/>
        <v/>
      </c>
      <c r="CO232" s="3442" t="str">
        <f t="shared" si="213"/>
        <v/>
      </c>
      <c r="CP232" s="1771" t="str">
        <f t="shared" si="213"/>
        <v/>
      </c>
      <c r="CQ232" s="3442" t="str">
        <f t="shared" si="213"/>
        <v/>
      </c>
      <c r="CR232" s="3462"/>
    </row>
    <row r="233" spans="1:96" s="3" customFormat="1">
      <c r="A233" s="1848" t="s">
        <v>861</v>
      </c>
      <c r="B233" s="816">
        <v>6</v>
      </c>
      <c r="C233" s="816">
        <v>6.05</v>
      </c>
      <c r="D233" s="816">
        <v>0.18</v>
      </c>
      <c r="E233" s="1802" t="s">
        <v>35</v>
      </c>
      <c r="F233" s="816">
        <v>0.36</v>
      </c>
      <c r="G233" s="816" t="s">
        <v>784</v>
      </c>
      <c r="H233" s="816">
        <v>1988</v>
      </c>
      <c r="I233" s="50"/>
      <c r="J233" s="816">
        <f t="shared" si="196"/>
        <v>6.05</v>
      </c>
      <c r="K233" s="816">
        <v>0.18</v>
      </c>
      <c r="L233" s="816" t="s">
        <v>35</v>
      </c>
      <c r="M233" s="816">
        <v>0.36</v>
      </c>
      <c r="N233" s="845">
        <f t="shared" si="198"/>
        <v>0.2545584412271571</v>
      </c>
      <c r="O233" s="1831">
        <f t="shared" si="199"/>
        <v>0.27</v>
      </c>
      <c r="P233" s="825" t="s">
        <v>1087</v>
      </c>
      <c r="Q233" s="3" t="str">
        <f>IF(J233=J319,"stop","")</f>
        <v/>
      </c>
      <c r="R233" s="3437" t="str">
        <f t="shared" si="207"/>
        <v/>
      </c>
      <c r="S233" s="1771" t="str">
        <f t="shared" si="207"/>
        <v/>
      </c>
      <c r="T233" s="1771" t="str">
        <f t="shared" si="207"/>
        <v/>
      </c>
      <c r="U233" s="1771" t="str">
        <f t="shared" si="207"/>
        <v/>
      </c>
      <c r="V233" s="3443" t="str">
        <f t="shared" si="207"/>
        <v/>
      </c>
      <c r="W233" s="1771" t="str">
        <f t="shared" si="207"/>
        <v/>
      </c>
      <c r="X233" s="1771">
        <f t="shared" si="207"/>
        <v>0.18</v>
      </c>
      <c r="Y233" s="1771" t="str">
        <f t="shared" si="207"/>
        <v/>
      </c>
      <c r="Z233" s="3437" t="str">
        <f t="shared" si="207"/>
        <v/>
      </c>
      <c r="AA233" s="1771" t="str">
        <f t="shared" si="207"/>
        <v/>
      </c>
      <c r="AB233" s="1771" t="str">
        <f t="shared" si="207"/>
        <v/>
      </c>
      <c r="AC233" s="3442" t="str">
        <f t="shared" si="207"/>
        <v/>
      </c>
      <c r="AD233" s="1771" t="str">
        <f t="shared" si="207"/>
        <v/>
      </c>
      <c r="AE233" s="1771" t="str">
        <f t="shared" si="207"/>
        <v/>
      </c>
      <c r="AF233" s="1771" t="str">
        <f t="shared" si="207"/>
        <v/>
      </c>
      <c r="AG233" s="3442" t="str">
        <f t="shared" si="207"/>
        <v/>
      </c>
      <c r="AH233" s="1771" t="str">
        <f t="shared" si="200"/>
        <v/>
      </c>
      <c r="AI233" s="3442" t="str">
        <f t="shared" si="200"/>
        <v/>
      </c>
      <c r="AJ233" s="3462"/>
      <c r="AK233" s="3439" t="str">
        <f>IF(J233=J319,"stop","")</f>
        <v/>
      </c>
      <c r="AL233" s="3437" t="str">
        <f t="shared" si="208"/>
        <v/>
      </c>
      <c r="AM233" s="1771" t="str">
        <f t="shared" si="208"/>
        <v/>
      </c>
      <c r="AN233" s="1771" t="str">
        <f t="shared" si="208"/>
        <v/>
      </c>
      <c r="AO233" s="1771" t="str">
        <f t="shared" si="208"/>
        <v/>
      </c>
      <c r="AP233" s="3443" t="str">
        <f t="shared" si="208"/>
        <v/>
      </c>
      <c r="AQ233" s="1771" t="str">
        <f t="shared" si="208"/>
        <v/>
      </c>
      <c r="AR233" s="1771">
        <f t="shared" si="208"/>
        <v>0.36</v>
      </c>
      <c r="AS233" s="3442" t="str">
        <f t="shared" si="208"/>
        <v/>
      </c>
      <c r="AT233" s="1771" t="str">
        <f t="shared" si="208"/>
        <v/>
      </c>
      <c r="AU233" s="1771" t="str">
        <f t="shared" si="208"/>
        <v/>
      </c>
      <c r="AV233" s="1771" t="str">
        <f t="shared" si="208"/>
        <v/>
      </c>
      <c r="AW233" s="3442" t="str">
        <f t="shared" si="208"/>
        <v/>
      </c>
      <c r="AX233" s="1771" t="str">
        <f t="shared" si="209"/>
        <v/>
      </c>
      <c r="AY233" s="1771" t="str">
        <f t="shared" si="209"/>
        <v/>
      </c>
      <c r="AZ233" s="1771" t="str">
        <f t="shared" si="209"/>
        <v/>
      </c>
      <c r="BA233" s="1771" t="str">
        <f t="shared" si="209"/>
        <v/>
      </c>
      <c r="BB233" s="3437" t="str">
        <f t="shared" si="209"/>
        <v/>
      </c>
      <c r="BC233" s="3443" t="str">
        <f t="shared" si="209"/>
        <v/>
      </c>
      <c r="BD233" s="3462"/>
      <c r="BE233" s="3440" t="str">
        <f>IF(J233=J319,"stop","")</f>
        <v/>
      </c>
      <c r="BF233" s="1771" t="str">
        <f t="shared" si="210"/>
        <v/>
      </c>
      <c r="BG233" s="1771" t="str">
        <f t="shared" si="210"/>
        <v/>
      </c>
      <c r="BH233" s="1771" t="str">
        <f t="shared" si="210"/>
        <v/>
      </c>
      <c r="BI233" s="1771" t="str">
        <f t="shared" si="210"/>
        <v/>
      </c>
      <c r="BJ233" s="3443" t="str">
        <f t="shared" si="210"/>
        <v/>
      </c>
      <c r="BK233" s="3437" t="str">
        <f t="shared" si="210"/>
        <v/>
      </c>
      <c r="BL233" s="1771">
        <f t="shared" si="210"/>
        <v>0.2545584412271571</v>
      </c>
      <c r="BM233" s="3442" t="str">
        <f t="shared" si="210"/>
        <v/>
      </c>
      <c r="BN233" s="1771" t="str">
        <f t="shared" si="210"/>
        <v/>
      </c>
      <c r="BO233" s="1771" t="str">
        <f t="shared" si="210"/>
        <v/>
      </c>
      <c r="BP233" s="1771" t="str">
        <f t="shared" si="210"/>
        <v/>
      </c>
      <c r="BQ233" s="1771" t="str">
        <f t="shared" si="210"/>
        <v/>
      </c>
      <c r="BR233" s="3437" t="str">
        <f t="shared" si="211"/>
        <v/>
      </c>
      <c r="BS233" s="1771" t="str">
        <f t="shared" si="211"/>
        <v/>
      </c>
      <c r="BT233" s="1771" t="str">
        <f t="shared" si="211"/>
        <v/>
      </c>
      <c r="BU233" s="3442" t="str">
        <f t="shared" si="211"/>
        <v/>
      </c>
      <c r="BV233" s="1771" t="str">
        <f t="shared" si="211"/>
        <v/>
      </c>
      <c r="BW233" s="3442" t="str">
        <f t="shared" si="211"/>
        <v/>
      </c>
      <c r="BX233" s="3462"/>
      <c r="BY233" s="3439" t="str">
        <f>IF(L233=L319,"stop","")</f>
        <v/>
      </c>
      <c r="BZ233" s="3437" t="str">
        <f t="shared" si="212"/>
        <v/>
      </c>
      <c r="CA233" s="1771" t="str">
        <f t="shared" si="212"/>
        <v/>
      </c>
      <c r="CB233" s="1771" t="str">
        <f t="shared" si="212"/>
        <v/>
      </c>
      <c r="CC233" s="3442" t="str">
        <f t="shared" si="212"/>
        <v/>
      </c>
      <c r="CD233" s="1771" t="str">
        <f t="shared" si="212"/>
        <v/>
      </c>
      <c r="CE233" s="3437" t="str">
        <f t="shared" si="212"/>
        <v/>
      </c>
      <c r="CF233" s="1771">
        <f t="shared" si="212"/>
        <v>0.27</v>
      </c>
      <c r="CG233" s="1771" t="str">
        <f t="shared" si="212"/>
        <v/>
      </c>
      <c r="CH233" s="3437" t="str">
        <f t="shared" si="212"/>
        <v/>
      </c>
      <c r="CI233" s="1771" t="str">
        <f t="shared" si="212"/>
        <v/>
      </c>
      <c r="CJ233" s="1771" t="str">
        <f t="shared" si="212"/>
        <v/>
      </c>
      <c r="CK233" s="3442" t="str">
        <f t="shared" si="212"/>
        <v/>
      </c>
      <c r="CL233" s="3437" t="str">
        <f t="shared" si="213"/>
        <v/>
      </c>
      <c r="CM233" s="1771" t="str">
        <f t="shared" si="213"/>
        <v/>
      </c>
      <c r="CN233" s="1771" t="str">
        <f t="shared" si="213"/>
        <v/>
      </c>
      <c r="CO233" s="3442" t="str">
        <f t="shared" si="213"/>
        <v/>
      </c>
      <c r="CP233" s="1771" t="str">
        <f t="shared" si="213"/>
        <v/>
      </c>
      <c r="CQ233" s="3442" t="str">
        <f t="shared" si="213"/>
        <v/>
      </c>
      <c r="CR233" s="3462"/>
    </row>
    <row r="234" spans="1:96" s="3" customFormat="1">
      <c r="A234" s="1848" t="s">
        <v>862</v>
      </c>
      <c r="B234" s="816">
        <v>6</v>
      </c>
      <c r="C234" s="816">
        <v>6.03</v>
      </c>
      <c r="D234" s="816">
        <v>0.11</v>
      </c>
      <c r="E234" s="1802" t="s">
        <v>35</v>
      </c>
      <c r="F234" s="816">
        <v>0.13</v>
      </c>
      <c r="G234" s="816" t="s">
        <v>784</v>
      </c>
      <c r="H234" s="816">
        <v>1988</v>
      </c>
      <c r="I234" s="50"/>
      <c r="J234" s="816">
        <f t="shared" si="196"/>
        <v>6.03</v>
      </c>
      <c r="K234" s="816">
        <v>0.11</v>
      </c>
      <c r="L234" s="816" t="s">
        <v>35</v>
      </c>
      <c r="M234" s="816">
        <v>0.13</v>
      </c>
      <c r="N234" s="845">
        <f t="shared" si="198"/>
        <v>0.11958260743101398</v>
      </c>
      <c r="O234" s="1831">
        <f t="shared" si="199"/>
        <v>0.12</v>
      </c>
      <c r="P234" s="825" t="s">
        <v>1087</v>
      </c>
      <c r="Q234" s="3" t="str">
        <f>IF(J234=J319,"stop","")</f>
        <v/>
      </c>
      <c r="R234" s="3437" t="str">
        <f t="shared" si="207"/>
        <v/>
      </c>
      <c r="S234" s="1771" t="str">
        <f t="shared" si="207"/>
        <v/>
      </c>
      <c r="T234" s="1771" t="str">
        <f t="shared" si="207"/>
        <v/>
      </c>
      <c r="U234" s="1771" t="str">
        <f t="shared" si="207"/>
        <v/>
      </c>
      <c r="V234" s="3443" t="str">
        <f t="shared" si="207"/>
        <v/>
      </c>
      <c r="W234" s="1771" t="str">
        <f t="shared" si="207"/>
        <v/>
      </c>
      <c r="X234" s="1771">
        <f t="shared" si="207"/>
        <v>0.11</v>
      </c>
      <c r="Y234" s="1771" t="str">
        <f t="shared" si="207"/>
        <v/>
      </c>
      <c r="Z234" s="3437" t="str">
        <f t="shared" si="207"/>
        <v/>
      </c>
      <c r="AA234" s="1771" t="str">
        <f t="shared" si="207"/>
        <v/>
      </c>
      <c r="AB234" s="1771" t="str">
        <f t="shared" si="207"/>
        <v/>
      </c>
      <c r="AC234" s="3442" t="str">
        <f t="shared" si="207"/>
        <v/>
      </c>
      <c r="AD234" s="1771" t="str">
        <f t="shared" si="207"/>
        <v/>
      </c>
      <c r="AE234" s="1771" t="str">
        <f t="shared" si="207"/>
        <v/>
      </c>
      <c r="AF234" s="1771" t="str">
        <f t="shared" si="207"/>
        <v/>
      </c>
      <c r="AG234" s="3442" t="str">
        <f t="shared" si="207"/>
        <v/>
      </c>
      <c r="AH234" s="1771" t="str">
        <f t="shared" si="200"/>
        <v/>
      </c>
      <c r="AI234" s="3442" t="str">
        <f t="shared" si="200"/>
        <v/>
      </c>
      <c r="AJ234" s="3462"/>
      <c r="AK234" s="3439" t="str">
        <f>IF(J234=J319,"stop","")</f>
        <v/>
      </c>
      <c r="AL234" s="3437" t="str">
        <f t="shared" si="208"/>
        <v/>
      </c>
      <c r="AM234" s="1771" t="str">
        <f t="shared" si="208"/>
        <v/>
      </c>
      <c r="AN234" s="1771" t="str">
        <f t="shared" si="208"/>
        <v/>
      </c>
      <c r="AO234" s="1771" t="str">
        <f t="shared" si="208"/>
        <v/>
      </c>
      <c r="AP234" s="3443" t="str">
        <f t="shared" si="208"/>
        <v/>
      </c>
      <c r="AQ234" s="1771" t="str">
        <f t="shared" si="208"/>
        <v/>
      </c>
      <c r="AR234" s="1771">
        <f t="shared" si="208"/>
        <v>0.13</v>
      </c>
      <c r="AS234" s="3442" t="str">
        <f t="shared" si="208"/>
        <v/>
      </c>
      <c r="AT234" s="1771" t="str">
        <f t="shared" si="208"/>
        <v/>
      </c>
      <c r="AU234" s="1771" t="str">
        <f t="shared" si="208"/>
        <v/>
      </c>
      <c r="AV234" s="1771" t="str">
        <f t="shared" si="208"/>
        <v/>
      </c>
      <c r="AW234" s="3442" t="str">
        <f t="shared" si="208"/>
        <v/>
      </c>
      <c r="AX234" s="1771" t="str">
        <f t="shared" si="209"/>
        <v/>
      </c>
      <c r="AY234" s="1771" t="str">
        <f t="shared" si="209"/>
        <v/>
      </c>
      <c r="AZ234" s="1771" t="str">
        <f t="shared" si="209"/>
        <v/>
      </c>
      <c r="BA234" s="1771" t="str">
        <f t="shared" si="209"/>
        <v/>
      </c>
      <c r="BB234" s="3437" t="str">
        <f t="shared" si="209"/>
        <v/>
      </c>
      <c r="BC234" s="3443" t="str">
        <f t="shared" si="209"/>
        <v/>
      </c>
      <c r="BD234" s="3462"/>
      <c r="BE234" s="3440" t="str">
        <f>IF(J234=J319,"stop","")</f>
        <v/>
      </c>
      <c r="BF234" s="1771" t="str">
        <f t="shared" si="210"/>
        <v/>
      </c>
      <c r="BG234" s="1771" t="str">
        <f t="shared" si="210"/>
        <v/>
      </c>
      <c r="BH234" s="1771" t="str">
        <f t="shared" si="210"/>
        <v/>
      </c>
      <c r="BI234" s="1771" t="str">
        <f t="shared" si="210"/>
        <v/>
      </c>
      <c r="BJ234" s="3443" t="str">
        <f t="shared" si="210"/>
        <v/>
      </c>
      <c r="BK234" s="3437" t="str">
        <f t="shared" si="210"/>
        <v/>
      </c>
      <c r="BL234" s="1771">
        <f t="shared" si="210"/>
        <v>0.11958260743101398</v>
      </c>
      <c r="BM234" s="3442" t="str">
        <f t="shared" si="210"/>
        <v/>
      </c>
      <c r="BN234" s="1771" t="str">
        <f t="shared" si="210"/>
        <v/>
      </c>
      <c r="BO234" s="1771" t="str">
        <f t="shared" si="210"/>
        <v/>
      </c>
      <c r="BP234" s="1771" t="str">
        <f t="shared" si="210"/>
        <v/>
      </c>
      <c r="BQ234" s="1771" t="str">
        <f t="shared" si="210"/>
        <v/>
      </c>
      <c r="BR234" s="3437" t="str">
        <f t="shared" si="211"/>
        <v/>
      </c>
      <c r="BS234" s="1771" t="str">
        <f t="shared" si="211"/>
        <v/>
      </c>
      <c r="BT234" s="1771" t="str">
        <f t="shared" si="211"/>
        <v/>
      </c>
      <c r="BU234" s="3442" t="str">
        <f t="shared" si="211"/>
        <v/>
      </c>
      <c r="BV234" s="1771" t="str">
        <f t="shared" si="211"/>
        <v/>
      </c>
      <c r="BW234" s="3442" t="str">
        <f t="shared" si="211"/>
        <v/>
      </c>
      <c r="BX234" s="3462"/>
      <c r="BY234" s="3439" t="str">
        <f>IF(L234=L319,"stop","")</f>
        <v/>
      </c>
      <c r="BZ234" s="3437" t="str">
        <f t="shared" si="212"/>
        <v/>
      </c>
      <c r="CA234" s="1771" t="str">
        <f t="shared" si="212"/>
        <v/>
      </c>
      <c r="CB234" s="1771" t="str">
        <f t="shared" si="212"/>
        <v/>
      </c>
      <c r="CC234" s="3442" t="str">
        <f t="shared" si="212"/>
        <v/>
      </c>
      <c r="CD234" s="1771" t="str">
        <f t="shared" si="212"/>
        <v/>
      </c>
      <c r="CE234" s="3437" t="str">
        <f t="shared" si="212"/>
        <v/>
      </c>
      <c r="CF234" s="1771">
        <f t="shared" si="212"/>
        <v>0.12</v>
      </c>
      <c r="CG234" s="1771" t="str">
        <f t="shared" si="212"/>
        <v/>
      </c>
      <c r="CH234" s="3437" t="str">
        <f t="shared" si="212"/>
        <v/>
      </c>
      <c r="CI234" s="1771" t="str">
        <f t="shared" si="212"/>
        <v/>
      </c>
      <c r="CJ234" s="1771" t="str">
        <f t="shared" si="212"/>
        <v/>
      </c>
      <c r="CK234" s="3442" t="str">
        <f t="shared" si="212"/>
        <v/>
      </c>
      <c r="CL234" s="3437" t="str">
        <f t="shared" si="213"/>
        <v/>
      </c>
      <c r="CM234" s="1771" t="str">
        <f t="shared" si="213"/>
        <v/>
      </c>
      <c r="CN234" s="1771" t="str">
        <f t="shared" si="213"/>
        <v/>
      </c>
      <c r="CO234" s="3442" t="str">
        <f t="shared" si="213"/>
        <v/>
      </c>
      <c r="CP234" s="1771" t="str">
        <f t="shared" si="213"/>
        <v/>
      </c>
      <c r="CQ234" s="3442" t="str">
        <f t="shared" si="213"/>
        <v/>
      </c>
      <c r="CR234" s="3462"/>
    </row>
    <row r="235" spans="1:96" s="3" customFormat="1">
      <c r="A235" s="1848" t="s">
        <v>863</v>
      </c>
      <c r="B235" s="816">
        <v>6</v>
      </c>
      <c r="C235" s="816">
        <v>6.02</v>
      </c>
      <c r="D235" s="816">
        <v>0.12</v>
      </c>
      <c r="E235" s="1802" t="s">
        <v>35</v>
      </c>
      <c r="F235" s="816">
        <v>0.15</v>
      </c>
      <c r="G235" s="816" t="s">
        <v>784</v>
      </c>
      <c r="H235" s="816">
        <v>1988</v>
      </c>
      <c r="I235" s="50"/>
      <c r="J235" s="816">
        <f t="shared" si="196"/>
        <v>6.02</v>
      </c>
      <c r="K235" s="816">
        <v>0.12</v>
      </c>
      <c r="L235" s="816" t="s">
        <v>35</v>
      </c>
      <c r="M235" s="816">
        <v>0.15</v>
      </c>
      <c r="N235" s="845">
        <f t="shared" si="198"/>
        <v>0.13416407864998739</v>
      </c>
      <c r="O235" s="1831">
        <f t="shared" si="199"/>
        <v>0.13500000000000001</v>
      </c>
      <c r="P235" s="825" t="s">
        <v>1087</v>
      </c>
      <c r="Q235" s="3" t="str">
        <f>IF(J235=J319,"stop","")</f>
        <v/>
      </c>
      <c r="R235" s="3437" t="str">
        <f t="shared" si="207"/>
        <v/>
      </c>
      <c r="S235" s="1771" t="str">
        <f t="shared" si="207"/>
        <v/>
      </c>
      <c r="T235" s="1771" t="str">
        <f t="shared" si="207"/>
        <v/>
      </c>
      <c r="U235" s="1771" t="str">
        <f t="shared" si="207"/>
        <v/>
      </c>
      <c r="V235" s="3443" t="str">
        <f t="shared" si="207"/>
        <v/>
      </c>
      <c r="W235" s="1771" t="str">
        <f t="shared" si="207"/>
        <v/>
      </c>
      <c r="X235" s="1771">
        <f t="shared" si="207"/>
        <v>0.12</v>
      </c>
      <c r="Y235" s="1771" t="str">
        <f t="shared" si="207"/>
        <v/>
      </c>
      <c r="Z235" s="3437" t="str">
        <f t="shared" si="207"/>
        <v/>
      </c>
      <c r="AA235" s="1771" t="str">
        <f t="shared" si="207"/>
        <v/>
      </c>
      <c r="AB235" s="1771" t="str">
        <f t="shared" si="207"/>
        <v/>
      </c>
      <c r="AC235" s="3442" t="str">
        <f t="shared" si="207"/>
        <v/>
      </c>
      <c r="AD235" s="1771" t="str">
        <f t="shared" si="207"/>
        <v/>
      </c>
      <c r="AE235" s="1771" t="str">
        <f t="shared" si="207"/>
        <v/>
      </c>
      <c r="AF235" s="1771" t="str">
        <f t="shared" si="207"/>
        <v/>
      </c>
      <c r="AG235" s="3442" t="str">
        <f t="shared" si="207"/>
        <v/>
      </c>
      <c r="AH235" s="1771" t="str">
        <f t="shared" si="200"/>
        <v/>
      </c>
      <c r="AI235" s="3442" t="str">
        <f t="shared" si="200"/>
        <v/>
      </c>
      <c r="AJ235" s="3462"/>
      <c r="AK235" s="3439" t="str">
        <f>IF(J235=J319,"stop","")</f>
        <v/>
      </c>
      <c r="AL235" s="3437" t="str">
        <f t="shared" si="208"/>
        <v/>
      </c>
      <c r="AM235" s="1771" t="str">
        <f t="shared" si="208"/>
        <v/>
      </c>
      <c r="AN235" s="1771" t="str">
        <f t="shared" si="208"/>
        <v/>
      </c>
      <c r="AO235" s="1771" t="str">
        <f t="shared" si="208"/>
        <v/>
      </c>
      <c r="AP235" s="3443" t="str">
        <f t="shared" si="208"/>
        <v/>
      </c>
      <c r="AQ235" s="1771" t="str">
        <f t="shared" si="208"/>
        <v/>
      </c>
      <c r="AR235" s="1771">
        <f t="shared" si="208"/>
        <v>0.15</v>
      </c>
      <c r="AS235" s="3442" t="str">
        <f t="shared" si="208"/>
        <v/>
      </c>
      <c r="AT235" s="1771" t="str">
        <f t="shared" si="208"/>
        <v/>
      </c>
      <c r="AU235" s="1771" t="str">
        <f t="shared" si="208"/>
        <v/>
      </c>
      <c r="AV235" s="1771" t="str">
        <f t="shared" si="208"/>
        <v/>
      </c>
      <c r="AW235" s="3442" t="str">
        <f t="shared" si="208"/>
        <v/>
      </c>
      <c r="AX235" s="1771" t="str">
        <f t="shared" si="209"/>
        <v/>
      </c>
      <c r="AY235" s="1771" t="str">
        <f t="shared" si="209"/>
        <v/>
      </c>
      <c r="AZ235" s="1771" t="str">
        <f t="shared" si="209"/>
        <v/>
      </c>
      <c r="BA235" s="1771" t="str">
        <f t="shared" si="209"/>
        <v/>
      </c>
      <c r="BB235" s="3437" t="str">
        <f t="shared" si="209"/>
        <v/>
      </c>
      <c r="BC235" s="3443" t="str">
        <f t="shared" si="209"/>
        <v/>
      </c>
      <c r="BD235" s="3462"/>
      <c r="BE235" s="3440" t="str">
        <f>IF(J235=J319,"stop","")</f>
        <v/>
      </c>
      <c r="BF235" s="1771" t="str">
        <f t="shared" si="210"/>
        <v/>
      </c>
      <c r="BG235" s="1771" t="str">
        <f t="shared" si="210"/>
        <v/>
      </c>
      <c r="BH235" s="1771" t="str">
        <f t="shared" si="210"/>
        <v/>
      </c>
      <c r="BI235" s="1771" t="str">
        <f t="shared" si="210"/>
        <v/>
      </c>
      <c r="BJ235" s="3443" t="str">
        <f t="shared" si="210"/>
        <v/>
      </c>
      <c r="BK235" s="3437" t="str">
        <f t="shared" si="210"/>
        <v/>
      </c>
      <c r="BL235" s="1771">
        <f t="shared" si="210"/>
        <v>0.13416407864998739</v>
      </c>
      <c r="BM235" s="3442" t="str">
        <f t="shared" si="210"/>
        <v/>
      </c>
      <c r="BN235" s="1771" t="str">
        <f t="shared" si="210"/>
        <v/>
      </c>
      <c r="BO235" s="1771" t="str">
        <f t="shared" si="210"/>
        <v/>
      </c>
      <c r="BP235" s="1771" t="str">
        <f t="shared" si="210"/>
        <v/>
      </c>
      <c r="BQ235" s="1771" t="str">
        <f t="shared" si="210"/>
        <v/>
      </c>
      <c r="BR235" s="3437" t="str">
        <f t="shared" si="211"/>
        <v/>
      </c>
      <c r="BS235" s="1771" t="str">
        <f t="shared" si="211"/>
        <v/>
      </c>
      <c r="BT235" s="1771" t="str">
        <f t="shared" si="211"/>
        <v/>
      </c>
      <c r="BU235" s="3442" t="str">
        <f t="shared" si="211"/>
        <v/>
      </c>
      <c r="BV235" s="1771" t="str">
        <f t="shared" si="211"/>
        <v/>
      </c>
      <c r="BW235" s="3442" t="str">
        <f t="shared" si="211"/>
        <v/>
      </c>
      <c r="BX235" s="3462"/>
      <c r="BY235" s="3439" t="str">
        <f>IF(L235=L319,"stop","")</f>
        <v/>
      </c>
      <c r="BZ235" s="3437" t="str">
        <f t="shared" si="212"/>
        <v/>
      </c>
      <c r="CA235" s="1771" t="str">
        <f t="shared" si="212"/>
        <v/>
      </c>
      <c r="CB235" s="1771" t="str">
        <f t="shared" si="212"/>
        <v/>
      </c>
      <c r="CC235" s="3442" t="str">
        <f t="shared" si="212"/>
        <v/>
      </c>
      <c r="CD235" s="1771" t="str">
        <f t="shared" si="212"/>
        <v/>
      </c>
      <c r="CE235" s="3437" t="str">
        <f t="shared" si="212"/>
        <v/>
      </c>
      <c r="CF235" s="1771">
        <f t="shared" si="212"/>
        <v>0.13500000000000001</v>
      </c>
      <c r="CG235" s="1771" t="str">
        <f t="shared" si="212"/>
        <v/>
      </c>
      <c r="CH235" s="3437" t="str">
        <f t="shared" si="212"/>
        <v/>
      </c>
      <c r="CI235" s="1771" t="str">
        <f t="shared" si="212"/>
        <v/>
      </c>
      <c r="CJ235" s="1771" t="str">
        <f t="shared" si="212"/>
        <v/>
      </c>
      <c r="CK235" s="3442" t="str">
        <f t="shared" si="212"/>
        <v/>
      </c>
      <c r="CL235" s="3437" t="str">
        <f t="shared" si="213"/>
        <v/>
      </c>
      <c r="CM235" s="1771" t="str">
        <f t="shared" si="213"/>
        <v/>
      </c>
      <c r="CN235" s="1771" t="str">
        <f t="shared" si="213"/>
        <v/>
      </c>
      <c r="CO235" s="3442" t="str">
        <f t="shared" si="213"/>
        <v/>
      </c>
      <c r="CP235" s="1771" t="str">
        <f t="shared" si="213"/>
        <v/>
      </c>
      <c r="CQ235" s="3442" t="str">
        <f t="shared" si="213"/>
        <v/>
      </c>
      <c r="CR235" s="3462"/>
    </row>
    <row r="236" spans="1:96" s="3" customFormat="1">
      <c r="A236" s="1848" t="s">
        <v>864</v>
      </c>
      <c r="B236" s="816">
        <v>7</v>
      </c>
      <c r="C236" s="816">
        <v>7.01</v>
      </c>
      <c r="D236" s="816">
        <v>0.14000000000000001</v>
      </c>
      <c r="E236" s="1802" t="s">
        <v>35</v>
      </c>
      <c r="F236" s="816">
        <v>0.17</v>
      </c>
      <c r="G236" s="816" t="s">
        <v>784</v>
      </c>
      <c r="H236" s="816">
        <v>1988</v>
      </c>
      <c r="I236" s="50"/>
      <c r="J236" s="816">
        <f t="shared" si="196"/>
        <v>7.01</v>
      </c>
      <c r="K236" s="816">
        <v>0.14000000000000001</v>
      </c>
      <c r="L236" s="816" t="s">
        <v>35</v>
      </c>
      <c r="M236" s="816">
        <v>0.17</v>
      </c>
      <c r="N236" s="845">
        <f t="shared" si="198"/>
        <v>0.15427248620541514</v>
      </c>
      <c r="O236" s="1831">
        <f t="shared" si="199"/>
        <v>0.15500000000000003</v>
      </c>
      <c r="P236" s="825" t="s">
        <v>1087</v>
      </c>
      <c r="Q236" s="3" t="str">
        <f>IF(J236=J319,"stop","")</f>
        <v/>
      </c>
      <c r="R236" s="3437" t="str">
        <f t="shared" si="207"/>
        <v/>
      </c>
      <c r="S236" s="1771" t="str">
        <f t="shared" si="207"/>
        <v/>
      </c>
      <c r="T236" s="1771" t="str">
        <f t="shared" si="207"/>
        <v/>
      </c>
      <c r="U236" s="1771" t="str">
        <f t="shared" si="207"/>
        <v/>
      </c>
      <c r="V236" s="3443" t="str">
        <f t="shared" si="207"/>
        <v/>
      </c>
      <c r="W236" s="1771" t="str">
        <f t="shared" si="207"/>
        <v/>
      </c>
      <c r="X236" s="1771">
        <f t="shared" si="207"/>
        <v>0.14000000000000001</v>
      </c>
      <c r="Y236" s="1771" t="str">
        <f t="shared" si="207"/>
        <v/>
      </c>
      <c r="Z236" s="3437" t="str">
        <f t="shared" si="207"/>
        <v/>
      </c>
      <c r="AA236" s="1771" t="str">
        <f t="shared" si="207"/>
        <v/>
      </c>
      <c r="AB236" s="1771" t="str">
        <f t="shared" si="207"/>
        <v/>
      </c>
      <c r="AC236" s="3442" t="str">
        <f t="shared" si="207"/>
        <v/>
      </c>
      <c r="AD236" s="1771" t="str">
        <f t="shared" si="207"/>
        <v/>
      </c>
      <c r="AE236" s="1771" t="str">
        <f t="shared" si="207"/>
        <v/>
      </c>
      <c r="AF236" s="1771" t="str">
        <f t="shared" si="207"/>
        <v/>
      </c>
      <c r="AG236" s="3442" t="str">
        <f t="shared" si="207"/>
        <v/>
      </c>
      <c r="AH236" s="1771" t="str">
        <f t="shared" si="200"/>
        <v/>
      </c>
      <c r="AI236" s="3442" t="str">
        <f t="shared" si="200"/>
        <v/>
      </c>
      <c r="AJ236" s="3462"/>
      <c r="AK236" s="3439" t="str">
        <f>IF(J236=J319,"stop","")</f>
        <v/>
      </c>
      <c r="AL236" s="3437" t="str">
        <f t="shared" si="208"/>
        <v/>
      </c>
      <c r="AM236" s="1771" t="str">
        <f t="shared" si="208"/>
        <v/>
      </c>
      <c r="AN236" s="1771" t="str">
        <f t="shared" si="208"/>
        <v/>
      </c>
      <c r="AO236" s="1771" t="str">
        <f t="shared" si="208"/>
        <v/>
      </c>
      <c r="AP236" s="3443" t="str">
        <f t="shared" si="208"/>
        <v/>
      </c>
      <c r="AQ236" s="1771" t="str">
        <f t="shared" si="208"/>
        <v/>
      </c>
      <c r="AR236" s="1771">
        <f t="shared" si="208"/>
        <v>0.17</v>
      </c>
      <c r="AS236" s="3442" t="str">
        <f t="shared" si="208"/>
        <v/>
      </c>
      <c r="AT236" s="1771" t="str">
        <f t="shared" si="208"/>
        <v/>
      </c>
      <c r="AU236" s="1771" t="str">
        <f t="shared" si="208"/>
        <v/>
      </c>
      <c r="AV236" s="1771" t="str">
        <f t="shared" si="208"/>
        <v/>
      </c>
      <c r="AW236" s="3442" t="str">
        <f t="shared" si="208"/>
        <v/>
      </c>
      <c r="AX236" s="1771" t="str">
        <f t="shared" si="209"/>
        <v/>
      </c>
      <c r="AY236" s="1771" t="str">
        <f t="shared" si="209"/>
        <v/>
      </c>
      <c r="AZ236" s="1771" t="str">
        <f t="shared" si="209"/>
        <v/>
      </c>
      <c r="BA236" s="1771" t="str">
        <f t="shared" si="209"/>
        <v/>
      </c>
      <c r="BB236" s="3437" t="str">
        <f t="shared" si="209"/>
        <v/>
      </c>
      <c r="BC236" s="3443" t="str">
        <f t="shared" si="209"/>
        <v/>
      </c>
      <c r="BD236" s="3462"/>
      <c r="BE236" s="3440" t="str">
        <f>IF(J236=J319,"stop","")</f>
        <v/>
      </c>
      <c r="BF236" s="1771" t="str">
        <f t="shared" si="210"/>
        <v/>
      </c>
      <c r="BG236" s="1771" t="str">
        <f t="shared" si="210"/>
        <v/>
      </c>
      <c r="BH236" s="1771" t="str">
        <f t="shared" si="210"/>
        <v/>
      </c>
      <c r="BI236" s="1771" t="str">
        <f t="shared" si="210"/>
        <v/>
      </c>
      <c r="BJ236" s="3443" t="str">
        <f t="shared" si="210"/>
        <v/>
      </c>
      <c r="BK236" s="3437" t="str">
        <f t="shared" si="210"/>
        <v/>
      </c>
      <c r="BL236" s="1771">
        <f t="shared" si="210"/>
        <v>0.15427248620541514</v>
      </c>
      <c r="BM236" s="3442" t="str">
        <f t="shared" si="210"/>
        <v/>
      </c>
      <c r="BN236" s="1771" t="str">
        <f t="shared" si="210"/>
        <v/>
      </c>
      <c r="BO236" s="1771" t="str">
        <f t="shared" si="210"/>
        <v/>
      </c>
      <c r="BP236" s="1771" t="str">
        <f t="shared" si="210"/>
        <v/>
      </c>
      <c r="BQ236" s="1771" t="str">
        <f t="shared" si="210"/>
        <v/>
      </c>
      <c r="BR236" s="3437" t="str">
        <f t="shared" si="211"/>
        <v/>
      </c>
      <c r="BS236" s="1771" t="str">
        <f t="shared" si="211"/>
        <v/>
      </c>
      <c r="BT236" s="1771" t="str">
        <f t="shared" si="211"/>
        <v/>
      </c>
      <c r="BU236" s="3442" t="str">
        <f t="shared" si="211"/>
        <v/>
      </c>
      <c r="BV236" s="1771" t="str">
        <f t="shared" si="211"/>
        <v/>
      </c>
      <c r="BW236" s="3442" t="str">
        <f t="shared" si="211"/>
        <v/>
      </c>
      <c r="BX236" s="3462"/>
      <c r="BY236" s="3439" t="str">
        <f>IF(L236=L319,"stop","")</f>
        <v/>
      </c>
      <c r="BZ236" s="3437" t="str">
        <f t="shared" si="212"/>
        <v/>
      </c>
      <c r="CA236" s="1771" t="str">
        <f t="shared" si="212"/>
        <v/>
      </c>
      <c r="CB236" s="1771" t="str">
        <f t="shared" si="212"/>
        <v/>
      </c>
      <c r="CC236" s="3442" t="str">
        <f t="shared" si="212"/>
        <v/>
      </c>
      <c r="CD236" s="1771" t="str">
        <f t="shared" si="212"/>
        <v/>
      </c>
      <c r="CE236" s="3437" t="str">
        <f t="shared" si="212"/>
        <v/>
      </c>
      <c r="CF236" s="1771">
        <f t="shared" si="212"/>
        <v>0.15500000000000003</v>
      </c>
      <c r="CG236" s="1771" t="str">
        <f t="shared" si="212"/>
        <v/>
      </c>
      <c r="CH236" s="3437" t="str">
        <f t="shared" si="212"/>
        <v/>
      </c>
      <c r="CI236" s="1771" t="str">
        <f t="shared" si="212"/>
        <v/>
      </c>
      <c r="CJ236" s="1771" t="str">
        <f t="shared" si="212"/>
        <v/>
      </c>
      <c r="CK236" s="3442" t="str">
        <f t="shared" si="212"/>
        <v/>
      </c>
      <c r="CL236" s="3437" t="str">
        <f t="shared" si="213"/>
        <v/>
      </c>
      <c r="CM236" s="1771" t="str">
        <f t="shared" si="213"/>
        <v/>
      </c>
      <c r="CN236" s="1771" t="str">
        <f t="shared" si="213"/>
        <v/>
      </c>
      <c r="CO236" s="3442" t="str">
        <f t="shared" si="213"/>
        <v/>
      </c>
      <c r="CP236" s="1771" t="str">
        <f t="shared" si="213"/>
        <v/>
      </c>
      <c r="CQ236" s="3442" t="str">
        <f t="shared" si="213"/>
        <v/>
      </c>
      <c r="CR236" s="3462"/>
    </row>
    <row r="237" spans="1:96" s="3" customFormat="1">
      <c r="A237" s="1848" t="s">
        <v>865</v>
      </c>
      <c r="B237" s="816">
        <v>7</v>
      </c>
      <c r="C237" s="816">
        <v>7.05</v>
      </c>
      <c r="D237" s="816">
        <v>0.06</v>
      </c>
      <c r="E237" s="1802" t="s">
        <v>35</v>
      </c>
      <c r="F237" s="816">
        <v>0.1</v>
      </c>
      <c r="G237" s="816" t="s">
        <v>784</v>
      </c>
      <c r="H237" s="816">
        <v>1988</v>
      </c>
      <c r="I237" s="50"/>
      <c r="J237" s="816">
        <f t="shared" si="196"/>
        <v>7.05</v>
      </c>
      <c r="K237" s="816">
        <v>0.06</v>
      </c>
      <c r="L237" s="816" t="s">
        <v>35</v>
      </c>
      <c r="M237" s="816">
        <v>0.1</v>
      </c>
      <c r="N237" s="845">
        <f t="shared" si="198"/>
        <v>7.7459666924148338E-2</v>
      </c>
      <c r="O237" s="1831">
        <f t="shared" si="199"/>
        <v>0.08</v>
      </c>
      <c r="P237" s="825" t="s">
        <v>1087</v>
      </c>
      <c r="Q237" s="3" t="str">
        <f>IF(J237=J319,"stop","")</f>
        <v/>
      </c>
      <c r="R237" s="3437" t="str">
        <f t="shared" si="207"/>
        <v/>
      </c>
      <c r="S237" s="1771" t="str">
        <f t="shared" si="207"/>
        <v/>
      </c>
      <c r="T237" s="1771" t="str">
        <f t="shared" si="207"/>
        <v/>
      </c>
      <c r="U237" s="1771" t="str">
        <f t="shared" si="207"/>
        <v/>
      </c>
      <c r="V237" s="3443" t="str">
        <f t="shared" si="207"/>
        <v/>
      </c>
      <c r="W237" s="1771" t="str">
        <f t="shared" si="207"/>
        <v/>
      </c>
      <c r="X237" s="1771">
        <f t="shared" si="207"/>
        <v>0.06</v>
      </c>
      <c r="Y237" s="1771" t="str">
        <f t="shared" si="207"/>
        <v/>
      </c>
      <c r="Z237" s="3437" t="str">
        <f t="shared" si="207"/>
        <v/>
      </c>
      <c r="AA237" s="1771" t="str">
        <f t="shared" si="207"/>
        <v/>
      </c>
      <c r="AB237" s="1771" t="str">
        <f t="shared" si="207"/>
        <v/>
      </c>
      <c r="AC237" s="3442" t="str">
        <f t="shared" si="207"/>
        <v/>
      </c>
      <c r="AD237" s="1771" t="str">
        <f t="shared" si="207"/>
        <v/>
      </c>
      <c r="AE237" s="1771" t="str">
        <f t="shared" si="207"/>
        <v/>
      </c>
      <c r="AF237" s="1771" t="str">
        <f t="shared" si="207"/>
        <v/>
      </c>
      <c r="AG237" s="3442" t="str">
        <f t="shared" si="207"/>
        <v/>
      </c>
      <c r="AH237" s="1771" t="str">
        <f t="shared" si="200"/>
        <v/>
      </c>
      <c r="AI237" s="3442" t="str">
        <f t="shared" si="200"/>
        <v/>
      </c>
      <c r="AJ237" s="3462"/>
      <c r="AK237" s="3439" t="str">
        <f>IF(J237=J319,"stop","")</f>
        <v/>
      </c>
      <c r="AL237" s="3437" t="str">
        <f t="shared" si="208"/>
        <v/>
      </c>
      <c r="AM237" s="1771" t="str">
        <f t="shared" si="208"/>
        <v/>
      </c>
      <c r="AN237" s="1771" t="str">
        <f t="shared" si="208"/>
        <v/>
      </c>
      <c r="AO237" s="1771" t="str">
        <f t="shared" si="208"/>
        <v/>
      </c>
      <c r="AP237" s="3443" t="str">
        <f t="shared" si="208"/>
        <v/>
      </c>
      <c r="AQ237" s="1771" t="str">
        <f t="shared" si="208"/>
        <v/>
      </c>
      <c r="AR237" s="1771">
        <f t="shared" si="208"/>
        <v>0.1</v>
      </c>
      <c r="AS237" s="3442" t="str">
        <f t="shared" si="208"/>
        <v/>
      </c>
      <c r="AT237" s="1771" t="str">
        <f t="shared" si="208"/>
        <v/>
      </c>
      <c r="AU237" s="1771" t="str">
        <f t="shared" si="208"/>
        <v/>
      </c>
      <c r="AV237" s="1771" t="str">
        <f t="shared" si="208"/>
        <v/>
      </c>
      <c r="AW237" s="3442" t="str">
        <f t="shared" si="208"/>
        <v/>
      </c>
      <c r="AX237" s="1771" t="str">
        <f t="shared" si="209"/>
        <v/>
      </c>
      <c r="AY237" s="1771" t="str">
        <f t="shared" si="209"/>
        <v/>
      </c>
      <c r="AZ237" s="1771" t="str">
        <f t="shared" si="209"/>
        <v/>
      </c>
      <c r="BA237" s="1771" t="str">
        <f t="shared" si="209"/>
        <v/>
      </c>
      <c r="BB237" s="3437" t="str">
        <f t="shared" si="209"/>
        <v/>
      </c>
      <c r="BC237" s="3443" t="str">
        <f t="shared" si="209"/>
        <v/>
      </c>
      <c r="BD237" s="3462"/>
      <c r="BE237" s="3440" t="str">
        <f>IF(J237=J319,"stop","")</f>
        <v/>
      </c>
      <c r="BF237" s="1771" t="str">
        <f t="shared" si="210"/>
        <v/>
      </c>
      <c r="BG237" s="1771" t="str">
        <f t="shared" si="210"/>
        <v/>
      </c>
      <c r="BH237" s="1771" t="str">
        <f t="shared" si="210"/>
        <v/>
      </c>
      <c r="BI237" s="1771" t="str">
        <f t="shared" si="210"/>
        <v/>
      </c>
      <c r="BJ237" s="3443" t="str">
        <f t="shared" si="210"/>
        <v/>
      </c>
      <c r="BK237" s="3437" t="str">
        <f t="shared" si="210"/>
        <v/>
      </c>
      <c r="BL237" s="1771">
        <f t="shared" si="210"/>
        <v>7.7459666924148338E-2</v>
      </c>
      <c r="BM237" s="3442" t="str">
        <f t="shared" si="210"/>
        <v/>
      </c>
      <c r="BN237" s="1771" t="str">
        <f t="shared" si="210"/>
        <v/>
      </c>
      <c r="BO237" s="1771" t="str">
        <f t="shared" si="210"/>
        <v/>
      </c>
      <c r="BP237" s="1771" t="str">
        <f t="shared" si="210"/>
        <v/>
      </c>
      <c r="BQ237" s="1771" t="str">
        <f t="shared" si="210"/>
        <v/>
      </c>
      <c r="BR237" s="3437" t="str">
        <f t="shared" si="211"/>
        <v/>
      </c>
      <c r="BS237" s="1771" t="str">
        <f t="shared" si="211"/>
        <v/>
      </c>
      <c r="BT237" s="1771" t="str">
        <f t="shared" si="211"/>
        <v/>
      </c>
      <c r="BU237" s="3442" t="str">
        <f t="shared" si="211"/>
        <v/>
      </c>
      <c r="BV237" s="1771" t="str">
        <f t="shared" si="211"/>
        <v/>
      </c>
      <c r="BW237" s="3442" t="str">
        <f t="shared" si="211"/>
        <v/>
      </c>
      <c r="BX237" s="3462"/>
      <c r="BY237" s="3439" t="str">
        <f>IF(L237=L319,"stop","")</f>
        <v/>
      </c>
      <c r="BZ237" s="3437" t="str">
        <f t="shared" si="212"/>
        <v/>
      </c>
      <c r="CA237" s="1771" t="str">
        <f t="shared" si="212"/>
        <v/>
      </c>
      <c r="CB237" s="1771" t="str">
        <f t="shared" si="212"/>
        <v/>
      </c>
      <c r="CC237" s="3442" t="str">
        <f t="shared" si="212"/>
        <v/>
      </c>
      <c r="CD237" s="1771" t="str">
        <f t="shared" si="212"/>
        <v/>
      </c>
      <c r="CE237" s="3437" t="str">
        <f t="shared" si="212"/>
        <v/>
      </c>
      <c r="CF237" s="1771">
        <f t="shared" si="212"/>
        <v>0.08</v>
      </c>
      <c r="CG237" s="1771" t="str">
        <f t="shared" si="212"/>
        <v/>
      </c>
      <c r="CH237" s="3437" t="str">
        <f t="shared" si="212"/>
        <v/>
      </c>
      <c r="CI237" s="1771" t="str">
        <f t="shared" si="212"/>
        <v/>
      </c>
      <c r="CJ237" s="1771" t="str">
        <f t="shared" si="212"/>
        <v/>
      </c>
      <c r="CK237" s="3442" t="str">
        <f t="shared" si="212"/>
        <v/>
      </c>
      <c r="CL237" s="3437" t="str">
        <f t="shared" si="213"/>
        <v/>
      </c>
      <c r="CM237" s="1771" t="str">
        <f t="shared" si="213"/>
        <v/>
      </c>
      <c r="CN237" s="1771" t="str">
        <f t="shared" si="213"/>
        <v/>
      </c>
      <c r="CO237" s="3442" t="str">
        <f t="shared" si="213"/>
        <v/>
      </c>
      <c r="CP237" s="1771" t="str">
        <f t="shared" si="213"/>
        <v/>
      </c>
      <c r="CQ237" s="3442" t="str">
        <f t="shared" si="213"/>
        <v/>
      </c>
      <c r="CR237" s="3462"/>
    </row>
    <row r="238" spans="1:96" s="3" customFormat="1">
      <c r="A238" s="1847" t="s">
        <v>711</v>
      </c>
      <c r="B238" s="815" t="s">
        <v>692</v>
      </c>
      <c r="C238" s="819" t="s">
        <v>854</v>
      </c>
      <c r="D238" s="816"/>
      <c r="E238" s="1802"/>
      <c r="F238" s="816"/>
      <c r="G238" s="816"/>
      <c r="H238" s="816"/>
      <c r="I238" s="50"/>
      <c r="J238" s="816"/>
      <c r="K238" s="816"/>
      <c r="L238" s="816"/>
      <c r="M238" s="816"/>
      <c r="N238" s="845">
        <f t="shared" si="198"/>
        <v>0</v>
      </c>
      <c r="O238" s="1831">
        <f t="shared" si="199"/>
        <v>0</v>
      </c>
      <c r="P238" s="825" t="s">
        <v>1087</v>
      </c>
      <c r="Q238" s="3" t="str">
        <f>IF(J238=J319,"stop","")</f>
        <v/>
      </c>
      <c r="R238" s="3437" t="str">
        <f t="shared" si="207"/>
        <v/>
      </c>
      <c r="S238" s="1771" t="str">
        <f t="shared" si="207"/>
        <v/>
      </c>
      <c r="T238" s="1771" t="str">
        <f t="shared" si="207"/>
        <v/>
      </c>
      <c r="U238" s="1771" t="str">
        <f t="shared" si="207"/>
        <v/>
      </c>
      <c r="V238" s="3443" t="str">
        <f t="shared" si="207"/>
        <v/>
      </c>
      <c r="W238" s="1771" t="str">
        <f t="shared" si="207"/>
        <v/>
      </c>
      <c r="X238" s="1771" t="str">
        <f t="shared" si="207"/>
        <v/>
      </c>
      <c r="Y238" s="1771" t="str">
        <f t="shared" si="207"/>
        <v/>
      </c>
      <c r="Z238" s="3437" t="str">
        <f t="shared" si="207"/>
        <v/>
      </c>
      <c r="AA238" s="1771" t="str">
        <f t="shared" si="207"/>
        <v/>
      </c>
      <c r="AB238" s="1771" t="str">
        <f t="shared" si="207"/>
        <v/>
      </c>
      <c r="AC238" s="3442" t="str">
        <f t="shared" si="207"/>
        <v/>
      </c>
      <c r="AD238" s="1771" t="str">
        <f t="shared" si="207"/>
        <v/>
      </c>
      <c r="AE238" s="1771" t="str">
        <f t="shared" si="207"/>
        <v/>
      </c>
      <c r="AF238" s="1771" t="str">
        <f t="shared" si="207"/>
        <v/>
      </c>
      <c r="AG238" s="3442" t="str">
        <f t="shared" si="207"/>
        <v/>
      </c>
      <c r="AH238" s="1771" t="str">
        <f t="shared" ref="AH238:AI257" si="214">IF(AND($J238&gt;AH$4,$J238&lt;=AH$5,$P238=AH$6),$K238,"")</f>
        <v/>
      </c>
      <c r="AI238" s="3442" t="str">
        <f t="shared" si="214"/>
        <v/>
      </c>
      <c r="AJ238" s="3462"/>
      <c r="AK238" s="3439" t="str">
        <f>IF(J238=J319,"stop","")</f>
        <v/>
      </c>
      <c r="AL238" s="3437" t="str">
        <f t="shared" si="208"/>
        <v/>
      </c>
      <c r="AM238" s="1771" t="str">
        <f t="shared" si="208"/>
        <v/>
      </c>
      <c r="AN238" s="1771" t="str">
        <f t="shared" si="208"/>
        <v/>
      </c>
      <c r="AO238" s="1771" t="str">
        <f t="shared" si="208"/>
        <v/>
      </c>
      <c r="AP238" s="3443" t="str">
        <f t="shared" si="208"/>
        <v/>
      </c>
      <c r="AQ238" s="1771" t="str">
        <f t="shared" si="208"/>
        <v/>
      </c>
      <c r="AR238" s="1771" t="str">
        <f t="shared" si="208"/>
        <v/>
      </c>
      <c r="AS238" s="3442" t="str">
        <f t="shared" si="208"/>
        <v/>
      </c>
      <c r="AT238" s="1771" t="str">
        <f t="shared" si="208"/>
        <v/>
      </c>
      <c r="AU238" s="1771" t="str">
        <f t="shared" si="208"/>
        <v/>
      </c>
      <c r="AV238" s="1771" t="str">
        <f t="shared" si="208"/>
        <v/>
      </c>
      <c r="AW238" s="3442" t="str">
        <f t="shared" si="208"/>
        <v/>
      </c>
      <c r="AX238" s="1771" t="str">
        <f t="shared" si="209"/>
        <v/>
      </c>
      <c r="AY238" s="1771" t="str">
        <f t="shared" si="209"/>
        <v/>
      </c>
      <c r="AZ238" s="1771" t="str">
        <f t="shared" si="209"/>
        <v/>
      </c>
      <c r="BA238" s="1771" t="str">
        <f t="shared" si="209"/>
        <v/>
      </c>
      <c r="BB238" s="3437" t="str">
        <f t="shared" si="209"/>
        <v/>
      </c>
      <c r="BC238" s="3443" t="str">
        <f t="shared" si="209"/>
        <v/>
      </c>
      <c r="BD238" s="3462"/>
      <c r="BE238" s="3440" t="str">
        <f>IF(J238=J319,"stop","")</f>
        <v/>
      </c>
      <c r="BF238" s="1771" t="str">
        <f t="shared" si="210"/>
        <v/>
      </c>
      <c r="BG238" s="1771" t="str">
        <f t="shared" si="210"/>
        <v/>
      </c>
      <c r="BH238" s="1771" t="str">
        <f t="shared" si="210"/>
        <v/>
      </c>
      <c r="BI238" s="1771" t="str">
        <f t="shared" si="210"/>
        <v/>
      </c>
      <c r="BJ238" s="3443" t="str">
        <f t="shared" si="210"/>
        <v/>
      </c>
      <c r="BK238" s="3437" t="str">
        <f t="shared" si="210"/>
        <v/>
      </c>
      <c r="BL238" s="1771" t="str">
        <f t="shared" si="210"/>
        <v/>
      </c>
      <c r="BM238" s="3442" t="str">
        <f t="shared" si="210"/>
        <v/>
      </c>
      <c r="BN238" s="1771" t="str">
        <f t="shared" si="210"/>
        <v/>
      </c>
      <c r="BO238" s="1771" t="str">
        <f t="shared" si="210"/>
        <v/>
      </c>
      <c r="BP238" s="1771" t="str">
        <f t="shared" si="210"/>
        <v/>
      </c>
      <c r="BQ238" s="1771" t="str">
        <f t="shared" si="210"/>
        <v/>
      </c>
      <c r="BR238" s="3437" t="str">
        <f t="shared" si="211"/>
        <v/>
      </c>
      <c r="BS238" s="1771" t="str">
        <f t="shared" si="211"/>
        <v/>
      </c>
      <c r="BT238" s="1771" t="str">
        <f t="shared" si="211"/>
        <v/>
      </c>
      <c r="BU238" s="3442" t="str">
        <f t="shared" si="211"/>
        <v/>
      </c>
      <c r="BV238" s="1771" t="str">
        <f t="shared" si="211"/>
        <v/>
      </c>
      <c r="BW238" s="3442" t="str">
        <f t="shared" si="211"/>
        <v/>
      </c>
      <c r="BX238" s="3462"/>
      <c r="BY238" s="3439" t="str">
        <f>IF(L238=L319,"stop","")</f>
        <v>stop</v>
      </c>
      <c r="BZ238" s="3437" t="str">
        <f t="shared" si="212"/>
        <v/>
      </c>
      <c r="CA238" s="1771" t="str">
        <f t="shared" si="212"/>
        <v/>
      </c>
      <c r="CB238" s="1771" t="str">
        <f t="shared" si="212"/>
        <v/>
      </c>
      <c r="CC238" s="3442" t="str">
        <f t="shared" si="212"/>
        <v/>
      </c>
      <c r="CD238" s="1771" t="str">
        <f t="shared" si="212"/>
        <v/>
      </c>
      <c r="CE238" s="3437" t="str">
        <f t="shared" si="212"/>
        <v/>
      </c>
      <c r="CF238" s="1771" t="str">
        <f t="shared" si="212"/>
        <v/>
      </c>
      <c r="CG238" s="1771" t="str">
        <f t="shared" si="212"/>
        <v/>
      </c>
      <c r="CH238" s="3437" t="str">
        <f t="shared" si="212"/>
        <v/>
      </c>
      <c r="CI238" s="1771" t="str">
        <f t="shared" si="212"/>
        <v/>
      </c>
      <c r="CJ238" s="1771" t="str">
        <f t="shared" si="212"/>
        <v/>
      </c>
      <c r="CK238" s="3442" t="str">
        <f t="shared" si="212"/>
        <v/>
      </c>
      <c r="CL238" s="3437" t="str">
        <f t="shared" si="213"/>
        <v/>
      </c>
      <c r="CM238" s="1771" t="str">
        <f t="shared" si="213"/>
        <v/>
      </c>
      <c r="CN238" s="1771" t="str">
        <f t="shared" si="213"/>
        <v/>
      </c>
      <c r="CO238" s="3442" t="str">
        <f t="shared" si="213"/>
        <v/>
      </c>
      <c r="CP238" s="1771" t="str">
        <f t="shared" si="213"/>
        <v/>
      </c>
      <c r="CQ238" s="3442" t="str">
        <f t="shared" si="213"/>
        <v/>
      </c>
      <c r="CR238" s="3462"/>
    </row>
    <row r="239" spans="1:96" s="3" customFormat="1">
      <c r="A239" s="1848" t="s">
        <v>866</v>
      </c>
      <c r="B239" s="816">
        <v>5</v>
      </c>
      <c r="C239" s="816">
        <v>4.96</v>
      </c>
      <c r="D239" s="816">
        <v>0.22</v>
      </c>
      <c r="E239" s="1802" t="s">
        <v>35</v>
      </c>
      <c r="F239" s="816">
        <v>0.66</v>
      </c>
      <c r="G239" s="816" t="s">
        <v>784</v>
      </c>
      <c r="H239" s="816">
        <v>1988</v>
      </c>
      <c r="I239" s="50"/>
      <c r="J239" s="816">
        <f t="shared" si="196"/>
        <v>4.96</v>
      </c>
      <c r="K239" s="816">
        <v>0.22</v>
      </c>
      <c r="L239" s="816" t="s">
        <v>35</v>
      </c>
      <c r="M239" s="816">
        <v>0.66</v>
      </c>
      <c r="N239" s="845">
        <f t="shared" si="198"/>
        <v>0.38105117766515301</v>
      </c>
      <c r="O239" s="1831">
        <f t="shared" si="199"/>
        <v>0.44</v>
      </c>
      <c r="P239" s="825" t="s">
        <v>1087</v>
      </c>
      <c r="Q239" s="3" t="str">
        <f>IF(J239=J319,"stop","")</f>
        <v/>
      </c>
      <c r="R239" s="3437" t="str">
        <f t="shared" si="207"/>
        <v/>
      </c>
      <c r="S239" s="1771" t="str">
        <f t="shared" si="207"/>
        <v/>
      </c>
      <c r="T239" s="1771" t="str">
        <f t="shared" si="207"/>
        <v/>
      </c>
      <c r="U239" s="1771" t="str">
        <f t="shared" si="207"/>
        <v/>
      </c>
      <c r="V239" s="3443" t="str">
        <f t="shared" si="207"/>
        <v/>
      </c>
      <c r="W239" s="1771" t="str">
        <f t="shared" si="207"/>
        <v/>
      </c>
      <c r="X239" s="1771" t="str">
        <f t="shared" si="207"/>
        <v/>
      </c>
      <c r="Y239" s="1771" t="str">
        <f t="shared" si="207"/>
        <v/>
      </c>
      <c r="Z239" s="3437" t="str">
        <f t="shared" si="207"/>
        <v/>
      </c>
      <c r="AA239" s="1771" t="str">
        <f t="shared" si="207"/>
        <v/>
      </c>
      <c r="AB239" s="1771" t="str">
        <f t="shared" si="207"/>
        <v/>
      </c>
      <c r="AC239" s="3442" t="str">
        <f t="shared" si="207"/>
        <v/>
      </c>
      <c r="AD239" s="1771" t="str">
        <f t="shared" si="207"/>
        <v/>
      </c>
      <c r="AE239" s="1771" t="str">
        <f t="shared" si="207"/>
        <v/>
      </c>
      <c r="AF239" s="1771" t="str">
        <f t="shared" si="207"/>
        <v/>
      </c>
      <c r="AG239" s="3442" t="str">
        <f t="shared" si="207"/>
        <v/>
      </c>
      <c r="AH239" s="1771" t="str">
        <f t="shared" si="214"/>
        <v/>
      </c>
      <c r="AI239" s="3442">
        <f t="shared" si="214"/>
        <v>0.22</v>
      </c>
      <c r="AJ239" s="3462"/>
      <c r="AK239" s="3439" t="str">
        <f>IF(J239=J319,"stop","")</f>
        <v/>
      </c>
      <c r="AL239" s="3437" t="str">
        <f t="shared" si="208"/>
        <v/>
      </c>
      <c r="AM239" s="1771" t="str">
        <f t="shared" si="208"/>
        <v/>
      </c>
      <c r="AN239" s="1771" t="str">
        <f t="shared" si="208"/>
        <v/>
      </c>
      <c r="AO239" s="1771" t="str">
        <f t="shared" si="208"/>
        <v/>
      </c>
      <c r="AP239" s="3443" t="str">
        <f t="shared" si="208"/>
        <v/>
      </c>
      <c r="AQ239" s="1771" t="str">
        <f t="shared" si="208"/>
        <v/>
      </c>
      <c r="AR239" s="1771" t="str">
        <f t="shared" si="208"/>
        <v/>
      </c>
      <c r="AS239" s="3442" t="str">
        <f t="shared" si="208"/>
        <v/>
      </c>
      <c r="AT239" s="1771" t="str">
        <f t="shared" si="208"/>
        <v/>
      </c>
      <c r="AU239" s="1771" t="str">
        <f t="shared" si="208"/>
        <v/>
      </c>
      <c r="AV239" s="1771" t="str">
        <f t="shared" si="208"/>
        <v/>
      </c>
      <c r="AW239" s="3442" t="str">
        <f t="shared" si="208"/>
        <v/>
      </c>
      <c r="AX239" s="1771" t="str">
        <f t="shared" si="209"/>
        <v/>
      </c>
      <c r="AY239" s="1771" t="str">
        <f t="shared" si="209"/>
        <v/>
      </c>
      <c r="AZ239" s="1771" t="str">
        <f t="shared" si="209"/>
        <v/>
      </c>
      <c r="BA239" s="1771" t="str">
        <f t="shared" si="209"/>
        <v/>
      </c>
      <c r="BB239" s="3437" t="str">
        <f t="shared" si="209"/>
        <v/>
      </c>
      <c r="BC239" s="3443">
        <f t="shared" si="209"/>
        <v>0.66</v>
      </c>
      <c r="BD239" s="3462"/>
      <c r="BE239" s="3440" t="str">
        <f>IF(J239=J319,"stop","")</f>
        <v/>
      </c>
      <c r="BF239" s="1771" t="str">
        <f t="shared" si="210"/>
        <v/>
      </c>
      <c r="BG239" s="1771" t="str">
        <f t="shared" si="210"/>
        <v/>
      </c>
      <c r="BH239" s="1771" t="str">
        <f t="shared" si="210"/>
        <v/>
      </c>
      <c r="BI239" s="1771" t="str">
        <f t="shared" si="210"/>
        <v/>
      </c>
      <c r="BJ239" s="3443" t="str">
        <f t="shared" si="210"/>
        <v/>
      </c>
      <c r="BK239" s="3437" t="str">
        <f t="shared" si="210"/>
        <v/>
      </c>
      <c r="BL239" s="1771" t="str">
        <f t="shared" si="210"/>
        <v/>
      </c>
      <c r="BM239" s="3442" t="str">
        <f t="shared" si="210"/>
        <v/>
      </c>
      <c r="BN239" s="1771" t="str">
        <f t="shared" si="210"/>
        <v/>
      </c>
      <c r="BO239" s="1771" t="str">
        <f t="shared" si="210"/>
        <v/>
      </c>
      <c r="BP239" s="1771" t="str">
        <f t="shared" si="210"/>
        <v/>
      </c>
      <c r="BQ239" s="1771" t="str">
        <f t="shared" si="210"/>
        <v/>
      </c>
      <c r="BR239" s="3437" t="str">
        <f t="shared" si="211"/>
        <v/>
      </c>
      <c r="BS239" s="1771" t="str">
        <f t="shared" si="211"/>
        <v/>
      </c>
      <c r="BT239" s="1771" t="str">
        <f t="shared" si="211"/>
        <v/>
      </c>
      <c r="BU239" s="3442" t="str">
        <f t="shared" si="211"/>
        <v/>
      </c>
      <c r="BV239" s="1771" t="str">
        <f t="shared" si="211"/>
        <v/>
      </c>
      <c r="BW239" s="3442">
        <f t="shared" si="211"/>
        <v>0.38105117766515301</v>
      </c>
      <c r="BX239" s="3462"/>
      <c r="BY239" s="3439" t="str">
        <f>IF(L239=L319,"stop","")</f>
        <v/>
      </c>
      <c r="BZ239" s="3437" t="str">
        <f t="shared" si="212"/>
        <v/>
      </c>
      <c r="CA239" s="1771" t="str">
        <f t="shared" si="212"/>
        <v/>
      </c>
      <c r="CB239" s="1771" t="str">
        <f t="shared" si="212"/>
        <v/>
      </c>
      <c r="CC239" s="3442" t="str">
        <f t="shared" si="212"/>
        <v/>
      </c>
      <c r="CD239" s="1771" t="str">
        <f t="shared" si="212"/>
        <v/>
      </c>
      <c r="CE239" s="3437" t="str">
        <f t="shared" si="212"/>
        <v/>
      </c>
      <c r="CF239" s="1771" t="str">
        <f t="shared" si="212"/>
        <v/>
      </c>
      <c r="CG239" s="1771" t="str">
        <f t="shared" si="212"/>
        <v/>
      </c>
      <c r="CH239" s="3437" t="str">
        <f t="shared" si="212"/>
        <v/>
      </c>
      <c r="CI239" s="1771" t="str">
        <f t="shared" si="212"/>
        <v/>
      </c>
      <c r="CJ239" s="1771" t="str">
        <f t="shared" si="212"/>
        <v/>
      </c>
      <c r="CK239" s="3442" t="str">
        <f t="shared" si="212"/>
        <v/>
      </c>
      <c r="CL239" s="3437" t="str">
        <f t="shared" si="213"/>
        <v/>
      </c>
      <c r="CM239" s="1771" t="str">
        <f t="shared" si="213"/>
        <v/>
      </c>
      <c r="CN239" s="1771" t="str">
        <f t="shared" si="213"/>
        <v/>
      </c>
      <c r="CO239" s="3442" t="str">
        <f t="shared" si="213"/>
        <v/>
      </c>
      <c r="CP239" s="1771" t="str">
        <f t="shared" si="213"/>
        <v/>
      </c>
      <c r="CQ239" s="3442">
        <f t="shared" si="213"/>
        <v>0.44</v>
      </c>
      <c r="CR239" s="3462"/>
    </row>
    <row r="240" spans="1:96" s="3" customFormat="1">
      <c r="A240" s="1848" t="s">
        <v>867</v>
      </c>
      <c r="B240" s="816">
        <v>5</v>
      </c>
      <c r="C240" s="816">
        <v>4.57</v>
      </c>
      <c r="D240" s="816">
        <v>0.08</v>
      </c>
      <c r="E240" s="1802" t="s">
        <v>35</v>
      </c>
      <c r="F240" s="816">
        <v>0.12</v>
      </c>
      <c r="G240" s="816" t="s">
        <v>784</v>
      </c>
      <c r="H240" s="816">
        <v>1988</v>
      </c>
      <c r="I240" s="50"/>
      <c r="J240" s="816">
        <f t="shared" si="196"/>
        <v>4.57</v>
      </c>
      <c r="K240" s="816">
        <v>0.08</v>
      </c>
      <c r="L240" s="816" t="s">
        <v>35</v>
      </c>
      <c r="M240" s="816">
        <v>0.12</v>
      </c>
      <c r="N240" s="845">
        <f t="shared" si="198"/>
        <v>9.7979589711327114E-2</v>
      </c>
      <c r="O240" s="1831">
        <f t="shared" si="199"/>
        <v>0.1</v>
      </c>
      <c r="P240" s="825" t="s">
        <v>1087</v>
      </c>
      <c r="Q240" s="3" t="str">
        <f>IF(J240=J319,"stop","")</f>
        <v/>
      </c>
      <c r="R240" s="3437" t="str">
        <f t="shared" si="207"/>
        <v/>
      </c>
      <c r="S240" s="1771" t="str">
        <f t="shared" si="207"/>
        <v/>
      </c>
      <c r="T240" s="1771" t="str">
        <f t="shared" si="207"/>
        <v/>
      </c>
      <c r="U240" s="1771" t="str">
        <f t="shared" si="207"/>
        <v/>
      </c>
      <c r="V240" s="3443" t="str">
        <f t="shared" si="207"/>
        <v/>
      </c>
      <c r="W240" s="1771" t="str">
        <f t="shared" si="207"/>
        <v/>
      </c>
      <c r="X240" s="1771" t="str">
        <f t="shared" si="207"/>
        <v/>
      </c>
      <c r="Y240" s="1771" t="str">
        <f t="shared" si="207"/>
        <v/>
      </c>
      <c r="Z240" s="3437" t="str">
        <f t="shared" si="207"/>
        <v/>
      </c>
      <c r="AA240" s="1771" t="str">
        <f t="shared" si="207"/>
        <v/>
      </c>
      <c r="AB240" s="1771" t="str">
        <f t="shared" si="207"/>
        <v/>
      </c>
      <c r="AC240" s="3442" t="str">
        <f t="shared" si="207"/>
        <v/>
      </c>
      <c r="AD240" s="1771" t="str">
        <f t="shared" si="207"/>
        <v/>
      </c>
      <c r="AE240" s="1771" t="str">
        <f t="shared" si="207"/>
        <v/>
      </c>
      <c r="AF240" s="1771" t="str">
        <f t="shared" si="207"/>
        <v/>
      </c>
      <c r="AG240" s="3442" t="str">
        <f t="shared" si="207"/>
        <v/>
      </c>
      <c r="AH240" s="1771" t="str">
        <f t="shared" si="214"/>
        <v/>
      </c>
      <c r="AI240" s="3442">
        <f t="shared" si="214"/>
        <v>0.08</v>
      </c>
      <c r="AJ240" s="3462"/>
      <c r="AK240" s="3439" t="str">
        <f>IF(J240=J319,"stop","")</f>
        <v/>
      </c>
      <c r="AL240" s="3437" t="str">
        <f t="shared" si="208"/>
        <v/>
      </c>
      <c r="AM240" s="1771" t="str">
        <f t="shared" si="208"/>
        <v/>
      </c>
      <c r="AN240" s="1771" t="str">
        <f t="shared" si="208"/>
        <v/>
      </c>
      <c r="AO240" s="1771" t="str">
        <f t="shared" si="208"/>
        <v/>
      </c>
      <c r="AP240" s="3443" t="str">
        <f t="shared" si="208"/>
        <v/>
      </c>
      <c r="AQ240" s="1771" t="str">
        <f t="shared" si="208"/>
        <v/>
      </c>
      <c r="AR240" s="1771" t="str">
        <f t="shared" si="208"/>
        <v/>
      </c>
      <c r="AS240" s="3442" t="str">
        <f t="shared" si="208"/>
        <v/>
      </c>
      <c r="AT240" s="1771" t="str">
        <f t="shared" si="208"/>
        <v/>
      </c>
      <c r="AU240" s="1771" t="str">
        <f t="shared" si="208"/>
        <v/>
      </c>
      <c r="AV240" s="1771" t="str">
        <f t="shared" si="208"/>
        <v/>
      </c>
      <c r="AW240" s="3442" t="str">
        <f t="shared" si="208"/>
        <v/>
      </c>
      <c r="AX240" s="1771" t="str">
        <f t="shared" si="209"/>
        <v/>
      </c>
      <c r="AY240" s="1771" t="str">
        <f t="shared" si="209"/>
        <v/>
      </c>
      <c r="AZ240" s="1771" t="str">
        <f t="shared" si="209"/>
        <v/>
      </c>
      <c r="BA240" s="1771" t="str">
        <f t="shared" si="209"/>
        <v/>
      </c>
      <c r="BB240" s="3437" t="str">
        <f t="shared" si="209"/>
        <v/>
      </c>
      <c r="BC240" s="3443">
        <f t="shared" si="209"/>
        <v>0.12</v>
      </c>
      <c r="BD240" s="3462"/>
      <c r="BE240" s="3440" t="str">
        <f>IF(J240=J319,"stop","")</f>
        <v/>
      </c>
      <c r="BF240" s="1771" t="str">
        <f t="shared" si="210"/>
        <v/>
      </c>
      <c r="BG240" s="1771" t="str">
        <f t="shared" si="210"/>
        <v/>
      </c>
      <c r="BH240" s="1771" t="str">
        <f t="shared" si="210"/>
        <v/>
      </c>
      <c r="BI240" s="1771" t="str">
        <f t="shared" si="210"/>
        <v/>
      </c>
      <c r="BJ240" s="3443" t="str">
        <f t="shared" si="210"/>
        <v/>
      </c>
      <c r="BK240" s="3437" t="str">
        <f t="shared" si="210"/>
        <v/>
      </c>
      <c r="BL240" s="1771" t="str">
        <f t="shared" si="210"/>
        <v/>
      </c>
      <c r="BM240" s="3442" t="str">
        <f t="shared" si="210"/>
        <v/>
      </c>
      <c r="BN240" s="1771" t="str">
        <f t="shared" si="210"/>
        <v/>
      </c>
      <c r="BO240" s="1771" t="str">
        <f t="shared" si="210"/>
        <v/>
      </c>
      <c r="BP240" s="1771" t="str">
        <f t="shared" si="210"/>
        <v/>
      </c>
      <c r="BQ240" s="1771" t="str">
        <f t="shared" si="210"/>
        <v/>
      </c>
      <c r="BR240" s="3437" t="str">
        <f t="shared" si="211"/>
        <v/>
      </c>
      <c r="BS240" s="1771" t="str">
        <f t="shared" si="211"/>
        <v/>
      </c>
      <c r="BT240" s="1771" t="str">
        <f t="shared" si="211"/>
        <v/>
      </c>
      <c r="BU240" s="3442" t="str">
        <f t="shared" si="211"/>
        <v/>
      </c>
      <c r="BV240" s="1771" t="str">
        <f t="shared" si="211"/>
        <v/>
      </c>
      <c r="BW240" s="3442">
        <f t="shared" si="211"/>
        <v>9.7979589711327114E-2</v>
      </c>
      <c r="BX240" s="3462"/>
      <c r="BY240" s="3439" t="str">
        <f>IF(L240=L319,"stop","")</f>
        <v/>
      </c>
      <c r="BZ240" s="3437" t="str">
        <f t="shared" si="212"/>
        <v/>
      </c>
      <c r="CA240" s="1771" t="str">
        <f t="shared" si="212"/>
        <v/>
      </c>
      <c r="CB240" s="1771" t="str">
        <f t="shared" si="212"/>
        <v/>
      </c>
      <c r="CC240" s="3442" t="str">
        <f t="shared" si="212"/>
        <v/>
      </c>
      <c r="CD240" s="1771" t="str">
        <f t="shared" si="212"/>
        <v/>
      </c>
      <c r="CE240" s="3437" t="str">
        <f t="shared" si="212"/>
        <v/>
      </c>
      <c r="CF240" s="1771" t="str">
        <f t="shared" si="212"/>
        <v/>
      </c>
      <c r="CG240" s="1771" t="str">
        <f t="shared" si="212"/>
        <v/>
      </c>
      <c r="CH240" s="3437" t="str">
        <f t="shared" si="212"/>
        <v/>
      </c>
      <c r="CI240" s="1771" t="str">
        <f t="shared" si="212"/>
        <v/>
      </c>
      <c r="CJ240" s="1771" t="str">
        <f t="shared" si="212"/>
        <v/>
      </c>
      <c r="CK240" s="3442" t="str">
        <f t="shared" si="212"/>
        <v/>
      </c>
      <c r="CL240" s="3437" t="str">
        <f t="shared" si="213"/>
        <v/>
      </c>
      <c r="CM240" s="1771" t="str">
        <f t="shared" si="213"/>
        <v/>
      </c>
      <c r="CN240" s="1771" t="str">
        <f t="shared" si="213"/>
        <v/>
      </c>
      <c r="CO240" s="3442" t="str">
        <f t="shared" si="213"/>
        <v/>
      </c>
      <c r="CP240" s="1771" t="str">
        <f t="shared" si="213"/>
        <v/>
      </c>
      <c r="CQ240" s="3442">
        <f t="shared" si="213"/>
        <v>0.1</v>
      </c>
      <c r="CR240" s="3462"/>
    </row>
    <row r="241" spans="1:96" s="3" customFormat="1">
      <c r="A241" s="1848" t="s">
        <v>868</v>
      </c>
      <c r="B241" s="816">
        <v>5</v>
      </c>
      <c r="C241" s="816">
        <v>5.21</v>
      </c>
      <c r="D241" s="816">
        <v>0.96</v>
      </c>
      <c r="E241" s="1802" t="s">
        <v>35</v>
      </c>
      <c r="F241" s="816">
        <v>1.28</v>
      </c>
      <c r="G241" s="816" t="s">
        <v>784</v>
      </c>
      <c r="H241" s="816">
        <v>1988</v>
      </c>
      <c r="I241" s="50"/>
      <c r="J241" s="816">
        <f t="shared" si="196"/>
        <v>5.21</v>
      </c>
      <c r="K241" s="816">
        <v>0.96</v>
      </c>
      <c r="L241" s="816" t="s">
        <v>35</v>
      </c>
      <c r="M241" s="816">
        <v>1.28</v>
      </c>
      <c r="N241" s="845">
        <f t="shared" si="198"/>
        <v>1.1085125168440815</v>
      </c>
      <c r="O241" s="1831">
        <f t="shared" si="199"/>
        <v>1.1200000000000001</v>
      </c>
      <c r="P241" s="825" t="s">
        <v>1087</v>
      </c>
      <c r="Q241" s="3" t="str">
        <f>IF(J241=J319,"stop","")</f>
        <v/>
      </c>
      <c r="R241" s="3437" t="str">
        <f t="shared" si="207"/>
        <v/>
      </c>
      <c r="S241" s="1771" t="str">
        <f t="shared" si="207"/>
        <v/>
      </c>
      <c r="T241" s="1771" t="str">
        <f t="shared" si="207"/>
        <v/>
      </c>
      <c r="U241" s="1771" t="str">
        <f t="shared" si="207"/>
        <v/>
      </c>
      <c r="V241" s="3443" t="str">
        <f t="shared" si="207"/>
        <v/>
      </c>
      <c r="W241" s="1771">
        <f t="shared" si="207"/>
        <v>0.96</v>
      </c>
      <c r="X241" s="1771" t="str">
        <f t="shared" si="207"/>
        <v/>
      </c>
      <c r="Y241" s="1771" t="str">
        <f t="shared" si="207"/>
        <v/>
      </c>
      <c r="Z241" s="3437" t="str">
        <f t="shared" si="207"/>
        <v/>
      </c>
      <c r="AA241" s="1771" t="str">
        <f t="shared" si="207"/>
        <v/>
      </c>
      <c r="AB241" s="1771" t="str">
        <f t="shared" si="207"/>
        <v/>
      </c>
      <c r="AC241" s="3442" t="str">
        <f t="shared" si="207"/>
        <v/>
      </c>
      <c r="AD241" s="1771" t="str">
        <f t="shared" si="207"/>
        <v/>
      </c>
      <c r="AE241" s="1771" t="str">
        <f t="shared" si="207"/>
        <v/>
      </c>
      <c r="AF241" s="1771" t="str">
        <f t="shared" si="207"/>
        <v/>
      </c>
      <c r="AG241" s="3442" t="str">
        <f t="shared" si="207"/>
        <v/>
      </c>
      <c r="AH241" s="1771" t="str">
        <f t="shared" si="214"/>
        <v/>
      </c>
      <c r="AI241" s="3442" t="str">
        <f t="shared" si="214"/>
        <v/>
      </c>
      <c r="AJ241" s="3462"/>
      <c r="AK241" s="3439" t="str">
        <f>IF(J241=J319,"stop","")</f>
        <v/>
      </c>
      <c r="AL241" s="3437" t="str">
        <f t="shared" ref="AL241:AW250" si="215">IF(AND($J241&gt;AL$4,$J241&lt;=AL$5,$P241=AL$6),$M241,"")</f>
        <v/>
      </c>
      <c r="AM241" s="1771" t="str">
        <f t="shared" si="215"/>
        <v/>
      </c>
      <c r="AN241" s="1771" t="str">
        <f t="shared" si="215"/>
        <v/>
      </c>
      <c r="AO241" s="1771" t="str">
        <f t="shared" si="215"/>
        <v/>
      </c>
      <c r="AP241" s="3443" t="str">
        <f t="shared" si="215"/>
        <v/>
      </c>
      <c r="AQ241" s="1771">
        <f t="shared" si="215"/>
        <v>1.28</v>
      </c>
      <c r="AR241" s="1771" t="str">
        <f t="shared" si="215"/>
        <v/>
      </c>
      <c r="AS241" s="3442" t="str">
        <f t="shared" si="215"/>
        <v/>
      </c>
      <c r="AT241" s="1771" t="str">
        <f t="shared" si="215"/>
        <v/>
      </c>
      <c r="AU241" s="1771" t="str">
        <f t="shared" si="215"/>
        <v/>
      </c>
      <c r="AV241" s="1771" t="str">
        <f t="shared" si="215"/>
        <v/>
      </c>
      <c r="AW241" s="3442" t="str">
        <f t="shared" si="215"/>
        <v/>
      </c>
      <c r="AX241" s="1771" t="str">
        <f t="shared" ref="AX241:BC250" si="216">IF(AND($J241&gt;AX$4,$J241&lt;=AX$5,$P241=AX$6),$M241,"")</f>
        <v/>
      </c>
      <c r="AY241" s="1771" t="str">
        <f t="shared" si="216"/>
        <v/>
      </c>
      <c r="AZ241" s="1771" t="str">
        <f t="shared" si="216"/>
        <v/>
      </c>
      <c r="BA241" s="1771" t="str">
        <f t="shared" si="216"/>
        <v/>
      </c>
      <c r="BB241" s="3437" t="str">
        <f t="shared" si="216"/>
        <v/>
      </c>
      <c r="BC241" s="3443" t="str">
        <f t="shared" si="216"/>
        <v/>
      </c>
      <c r="BD241" s="3462"/>
      <c r="BE241" s="3440" t="str">
        <f>IF(J241=J319,"stop","")</f>
        <v/>
      </c>
      <c r="BF241" s="1771" t="str">
        <f t="shared" ref="BF241:BQ250" si="217">IF(AND($J241&gt;BF$4,$J241&lt;=BF$5,$P241=BF$6),$N241,"")</f>
        <v/>
      </c>
      <c r="BG241" s="1771" t="str">
        <f t="shared" si="217"/>
        <v/>
      </c>
      <c r="BH241" s="1771" t="str">
        <f t="shared" si="217"/>
        <v/>
      </c>
      <c r="BI241" s="1771" t="str">
        <f t="shared" si="217"/>
        <v/>
      </c>
      <c r="BJ241" s="3443" t="str">
        <f t="shared" si="217"/>
        <v/>
      </c>
      <c r="BK241" s="3437">
        <f t="shared" si="217"/>
        <v>1.1085125168440815</v>
      </c>
      <c r="BL241" s="1771" t="str">
        <f t="shared" si="217"/>
        <v/>
      </c>
      <c r="BM241" s="3442" t="str">
        <f t="shared" si="217"/>
        <v/>
      </c>
      <c r="BN241" s="1771" t="str">
        <f t="shared" si="217"/>
        <v/>
      </c>
      <c r="BO241" s="1771" t="str">
        <f t="shared" si="217"/>
        <v/>
      </c>
      <c r="BP241" s="1771" t="str">
        <f t="shared" si="217"/>
        <v/>
      </c>
      <c r="BQ241" s="1771" t="str">
        <f t="shared" si="217"/>
        <v/>
      </c>
      <c r="BR241" s="3437" t="str">
        <f t="shared" ref="BR241:BW250" si="218">IF(AND($J241&gt;BR$4,$J241&lt;=BR$5,$P241=BR$6),$N241,"")</f>
        <v/>
      </c>
      <c r="BS241" s="1771" t="str">
        <f t="shared" si="218"/>
        <v/>
      </c>
      <c r="BT241" s="1771" t="str">
        <f t="shared" si="218"/>
        <v/>
      </c>
      <c r="BU241" s="3442" t="str">
        <f t="shared" si="218"/>
        <v/>
      </c>
      <c r="BV241" s="1771" t="str">
        <f t="shared" si="218"/>
        <v/>
      </c>
      <c r="BW241" s="3442" t="str">
        <f t="shared" si="218"/>
        <v/>
      </c>
      <c r="BX241" s="3462"/>
      <c r="BY241" s="3439" t="str">
        <f>IF(L241=L319,"stop","")</f>
        <v/>
      </c>
      <c r="BZ241" s="3437" t="str">
        <f t="shared" ref="BZ241:CK250" si="219">IF(AND($J241&gt;BZ$4,$J241&lt;=BZ$5,$P241=BZ$6),$O241,"")</f>
        <v/>
      </c>
      <c r="CA241" s="1771" t="str">
        <f t="shared" si="219"/>
        <v/>
      </c>
      <c r="CB241" s="1771" t="str">
        <f t="shared" si="219"/>
        <v/>
      </c>
      <c r="CC241" s="3442" t="str">
        <f t="shared" si="219"/>
        <v/>
      </c>
      <c r="CD241" s="1771" t="str">
        <f t="shared" si="219"/>
        <v/>
      </c>
      <c r="CE241" s="3437">
        <f t="shared" si="219"/>
        <v>1.1200000000000001</v>
      </c>
      <c r="CF241" s="1771" t="str">
        <f t="shared" si="219"/>
        <v/>
      </c>
      <c r="CG241" s="1771" t="str">
        <f t="shared" si="219"/>
        <v/>
      </c>
      <c r="CH241" s="3437" t="str">
        <f t="shared" si="219"/>
        <v/>
      </c>
      <c r="CI241" s="1771" t="str">
        <f t="shared" si="219"/>
        <v/>
      </c>
      <c r="CJ241" s="1771" t="str">
        <f t="shared" si="219"/>
        <v/>
      </c>
      <c r="CK241" s="3442" t="str">
        <f t="shared" si="219"/>
        <v/>
      </c>
      <c r="CL241" s="3437" t="str">
        <f t="shared" ref="CL241:CQ250" si="220">IF(AND($J241&gt;CL$4,$J241&lt;=CL$5,$P241=CL$6),$O241,"")</f>
        <v/>
      </c>
      <c r="CM241" s="1771" t="str">
        <f t="shared" si="220"/>
        <v/>
      </c>
      <c r="CN241" s="1771" t="str">
        <f t="shared" si="220"/>
        <v/>
      </c>
      <c r="CO241" s="3442" t="str">
        <f t="shared" si="220"/>
        <v/>
      </c>
      <c r="CP241" s="1771" t="str">
        <f t="shared" si="220"/>
        <v/>
      </c>
      <c r="CQ241" s="3442" t="str">
        <f t="shared" si="220"/>
        <v/>
      </c>
      <c r="CR241" s="3462"/>
    </row>
    <row r="242" spans="1:96" s="3" customFormat="1">
      <c r="A242" s="1848" t="s">
        <v>869</v>
      </c>
      <c r="B242" s="816">
        <v>6</v>
      </c>
      <c r="C242" s="816">
        <v>5.7</v>
      </c>
      <c r="D242" s="816">
        <v>0.08</v>
      </c>
      <c r="E242" s="1802" t="s">
        <v>35</v>
      </c>
      <c r="F242" s="816">
        <v>0.1</v>
      </c>
      <c r="G242" s="816" t="s">
        <v>784</v>
      </c>
      <c r="H242" s="816">
        <v>1988</v>
      </c>
      <c r="I242" s="50"/>
      <c r="J242" s="816">
        <f t="shared" si="196"/>
        <v>5.7</v>
      </c>
      <c r="K242" s="816">
        <v>0.08</v>
      </c>
      <c r="L242" s="816" t="s">
        <v>35</v>
      </c>
      <c r="M242" s="816">
        <v>0.1</v>
      </c>
      <c r="N242" s="845">
        <f t="shared" si="198"/>
        <v>8.9442719099991588E-2</v>
      </c>
      <c r="O242" s="1831">
        <f t="shared" si="199"/>
        <v>0.09</v>
      </c>
      <c r="P242" s="825" t="s">
        <v>1087</v>
      </c>
      <c r="Q242" s="3" t="str">
        <f>IF(J242=J319,"stop","")</f>
        <v/>
      </c>
      <c r="R242" s="3437" t="str">
        <f t="shared" si="207"/>
        <v/>
      </c>
      <c r="S242" s="1771" t="str">
        <f t="shared" si="207"/>
        <v/>
      </c>
      <c r="T242" s="1771" t="str">
        <f t="shared" si="207"/>
        <v/>
      </c>
      <c r="U242" s="1771" t="str">
        <f t="shared" si="207"/>
        <v/>
      </c>
      <c r="V242" s="3443" t="str">
        <f t="shared" si="207"/>
        <v/>
      </c>
      <c r="W242" s="1771">
        <f t="shared" si="207"/>
        <v>0.08</v>
      </c>
      <c r="X242" s="1771" t="str">
        <f t="shared" si="207"/>
        <v/>
      </c>
      <c r="Y242" s="1771" t="str">
        <f t="shared" si="207"/>
        <v/>
      </c>
      <c r="Z242" s="3437" t="str">
        <f t="shared" si="207"/>
        <v/>
      </c>
      <c r="AA242" s="1771" t="str">
        <f t="shared" si="207"/>
        <v/>
      </c>
      <c r="AB242" s="1771" t="str">
        <f t="shared" si="207"/>
        <v/>
      </c>
      <c r="AC242" s="3442" t="str">
        <f t="shared" si="207"/>
        <v/>
      </c>
      <c r="AD242" s="1771" t="str">
        <f t="shared" si="207"/>
        <v/>
      </c>
      <c r="AE242" s="1771" t="str">
        <f t="shared" si="207"/>
        <v/>
      </c>
      <c r="AF242" s="1771" t="str">
        <f t="shared" si="207"/>
        <v/>
      </c>
      <c r="AG242" s="3442" t="str">
        <f t="shared" si="207"/>
        <v/>
      </c>
      <c r="AH242" s="1771" t="str">
        <f t="shared" si="214"/>
        <v/>
      </c>
      <c r="AI242" s="3442" t="str">
        <f t="shared" si="214"/>
        <v/>
      </c>
      <c r="AJ242" s="3462"/>
      <c r="AK242" s="3439" t="str">
        <f>IF(J242=J319,"stop","")</f>
        <v/>
      </c>
      <c r="AL242" s="3437" t="str">
        <f t="shared" si="215"/>
        <v/>
      </c>
      <c r="AM242" s="1771" t="str">
        <f t="shared" si="215"/>
        <v/>
      </c>
      <c r="AN242" s="1771" t="str">
        <f t="shared" si="215"/>
        <v/>
      </c>
      <c r="AO242" s="1771" t="str">
        <f t="shared" si="215"/>
        <v/>
      </c>
      <c r="AP242" s="3443" t="str">
        <f t="shared" si="215"/>
        <v/>
      </c>
      <c r="AQ242" s="1771">
        <f t="shared" si="215"/>
        <v>0.1</v>
      </c>
      <c r="AR242" s="1771" t="str">
        <f t="shared" si="215"/>
        <v/>
      </c>
      <c r="AS242" s="3442" t="str">
        <f t="shared" si="215"/>
        <v/>
      </c>
      <c r="AT242" s="1771" t="str">
        <f t="shared" si="215"/>
        <v/>
      </c>
      <c r="AU242" s="1771" t="str">
        <f t="shared" si="215"/>
        <v/>
      </c>
      <c r="AV242" s="1771" t="str">
        <f t="shared" si="215"/>
        <v/>
      </c>
      <c r="AW242" s="3442" t="str">
        <f t="shared" si="215"/>
        <v/>
      </c>
      <c r="AX242" s="1771" t="str">
        <f t="shared" si="216"/>
        <v/>
      </c>
      <c r="AY242" s="1771" t="str">
        <f t="shared" si="216"/>
        <v/>
      </c>
      <c r="AZ242" s="1771" t="str">
        <f t="shared" si="216"/>
        <v/>
      </c>
      <c r="BA242" s="1771" t="str">
        <f t="shared" si="216"/>
        <v/>
      </c>
      <c r="BB242" s="3437" t="str">
        <f t="shared" si="216"/>
        <v/>
      </c>
      <c r="BC242" s="3443" t="str">
        <f t="shared" si="216"/>
        <v/>
      </c>
      <c r="BD242" s="3462"/>
      <c r="BE242" s="3440" t="str">
        <f>IF(J242=J319,"stop","")</f>
        <v/>
      </c>
      <c r="BF242" s="1771" t="str">
        <f t="shared" si="217"/>
        <v/>
      </c>
      <c r="BG242" s="1771" t="str">
        <f t="shared" si="217"/>
        <v/>
      </c>
      <c r="BH242" s="1771" t="str">
        <f t="shared" si="217"/>
        <v/>
      </c>
      <c r="BI242" s="1771" t="str">
        <f t="shared" si="217"/>
        <v/>
      </c>
      <c r="BJ242" s="3443" t="str">
        <f t="shared" si="217"/>
        <v/>
      </c>
      <c r="BK242" s="3437">
        <f t="shared" si="217"/>
        <v>8.9442719099991588E-2</v>
      </c>
      <c r="BL242" s="1771" t="str">
        <f t="shared" si="217"/>
        <v/>
      </c>
      <c r="BM242" s="3442" t="str">
        <f t="shared" si="217"/>
        <v/>
      </c>
      <c r="BN242" s="1771" t="str">
        <f t="shared" si="217"/>
        <v/>
      </c>
      <c r="BO242" s="1771" t="str">
        <f t="shared" si="217"/>
        <v/>
      </c>
      <c r="BP242" s="1771" t="str">
        <f t="shared" si="217"/>
        <v/>
      </c>
      <c r="BQ242" s="1771" t="str">
        <f t="shared" si="217"/>
        <v/>
      </c>
      <c r="BR242" s="3437" t="str">
        <f t="shared" si="218"/>
        <v/>
      </c>
      <c r="BS242" s="1771" t="str">
        <f t="shared" si="218"/>
        <v/>
      </c>
      <c r="BT242" s="1771" t="str">
        <f t="shared" si="218"/>
        <v/>
      </c>
      <c r="BU242" s="3442" t="str">
        <f t="shared" si="218"/>
        <v/>
      </c>
      <c r="BV242" s="1771" t="str">
        <f t="shared" si="218"/>
        <v/>
      </c>
      <c r="BW242" s="3442" t="str">
        <f t="shared" si="218"/>
        <v/>
      </c>
      <c r="BX242" s="3462"/>
      <c r="BY242" s="3439" t="str">
        <f>IF(L242=L319,"stop","")</f>
        <v/>
      </c>
      <c r="BZ242" s="3437" t="str">
        <f t="shared" si="219"/>
        <v/>
      </c>
      <c r="CA242" s="1771" t="str">
        <f t="shared" si="219"/>
        <v/>
      </c>
      <c r="CB242" s="1771" t="str">
        <f t="shared" si="219"/>
        <v/>
      </c>
      <c r="CC242" s="3442" t="str">
        <f t="shared" si="219"/>
        <v/>
      </c>
      <c r="CD242" s="1771" t="str">
        <f t="shared" si="219"/>
        <v/>
      </c>
      <c r="CE242" s="3437">
        <f t="shared" si="219"/>
        <v>0.09</v>
      </c>
      <c r="CF242" s="1771" t="str">
        <f t="shared" si="219"/>
        <v/>
      </c>
      <c r="CG242" s="1771" t="str">
        <f t="shared" si="219"/>
        <v/>
      </c>
      <c r="CH242" s="3437" t="str">
        <f t="shared" si="219"/>
        <v/>
      </c>
      <c r="CI242" s="1771" t="str">
        <f t="shared" si="219"/>
        <v/>
      </c>
      <c r="CJ242" s="1771" t="str">
        <f t="shared" si="219"/>
        <v/>
      </c>
      <c r="CK242" s="3442" t="str">
        <f t="shared" si="219"/>
        <v/>
      </c>
      <c r="CL242" s="3437" t="str">
        <f t="shared" si="220"/>
        <v/>
      </c>
      <c r="CM242" s="1771" t="str">
        <f t="shared" si="220"/>
        <v/>
      </c>
      <c r="CN242" s="1771" t="str">
        <f t="shared" si="220"/>
        <v/>
      </c>
      <c r="CO242" s="3442" t="str">
        <f t="shared" si="220"/>
        <v/>
      </c>
      <c r="CP242" s="1771" t="str">
        <f t="shared" si="220"/>
        <v/>
      </c>
      <c r="CQ242" s="3442" t="str">
        <f t="shared" si="220"/>
        <v/>
      </c>
      <c r="CR242" s="3462"/>
    </row>
    <row r="243" spans="1:96" s="3" customFormat="1">
      <c r="A243" s="1848" t="s">
        <v>870</v>
      </c>
      <c r="B243" s="816">
        <v>6</v>
      </c>
      <c r="C243" s="816">
        <v>5.89</v>
      </c>
      <c r="D243" s="816">
        <v>0.2</v>
      </c>
      <c r="E243" s="1802" t="s">
        <v>35</v>
      </c>
      <c r="F243" s="816">
        <v>0.22</v>
      </c>
      <c r="G243" s="816" t="s">
        <v>784</v>
      </c>
      <c r="H243" s="816">
        <v>1988</v>
      </c>
      <c r="I243" s="50"/>
      <c r="J243" s="816">
        <f t="shared" si="196"/>
        <v>5.89</v>
      </c>
      <c r="K243" s="816">
        <v>0.2</v>
      </c>
      <c r="L243" s="816" t="s">
        <v>35</v>
      </c>
      <c r="M243" s="816">
        <v>0.22</v>
      </c>
      <c r="N243" s="845">
        <f t="shared" si="198"/>
        <v>0.20976176963403032</v>
      </c>
      <c r="O243" s="1831">
        <f t="shared" si="199"/>
        <v>0.21000000000000002</v>
      </c>
      <c r="P243" s="825" t="s">
        <v>1087</v>
      </c>
      <c r="Q243" s="3" t="str">
        <f>IF(J243=J319,"stop","")</f>
        <v/>
      </c>
      <c r="R243" s="3437" t="str">
        <f t="shared" si="207"/>
        <v/>
      </c>
      <c r="S243" s="1771" t="str">
        <f t="shared" si="207"/>
        <v/>
      </c>
      <c r="T243" s="1771" t="str">
        <f t="shared" si="207"/>
        <v/>
      </c>
      <c r="U243" s="1771" t="str">
        <f t="shared" si="207"/>
        <v/>
      </c>
      <c r="V243" s="3443" t="str">
        <f t="shared" si="207"/>
        <v/>
      </c>
      <c r="W243" s="1771">
        <f t="shared" si="207"/>
        <v>0.2</v>
      </c>
      <c r="X243" s="1771" t="str">
        <f t="shared" si="207"/>
        <v/>
      </c>
      <c r="Y243" s="1771" t="str">
        <f t="shared" si="207"/>
        <v/>
      </c>
      <c r="Z243" s="3437" t="str">
        <f t="shared" si="207"/>
        <v/>
      </c>
      <c r="AA243" s="1771" t="str">
        <f t="shared" si="207"/>
        <v/>
      </c>
      <c r="AB243" s="1771" t="str">
        <f t="shared" si="207"/>
        <v/>
      </c>
      <c r="AC243" s="3442" t="str">
        <f t="shared" si="207"/>
        <v/>
      </c>
      <c r="AD243" s="1771" t="str">
        <f t="shared" si="207"/>
        <v/>
      </c>
      <c r="AE243" s="1771" t="str">
        <f t="shared" si="207"/>
        <v/>
      </c>
      <c r="AF243" s="1771" t="str">
        <f t="shared" si="207"/>
        <v/>
      </c>
      <c r="AG243" s="3442" t="str">
        <f t="shared" si="207"/>
        <v/>
      </c>
      <c r="AH243" s="1771" t="str">
        <f t="shared" si="214"/>
        <v/>
      </c>
      <c r="AI243" s="3442" t="str">
        <f t="shared" si="214"/>
        <v/>
      </c>
      <c r="AJ243" s="3462"/>
      <c r="AK243" s="3439" t="str">
        <f>IF(J243=J319,"stop","")</f>
        <v/>
      </c>
      <c r="AL243" s="3437" t="str">
        <f t="shared" si="215"/>
        <v/>
      </c>
      <c r="AM243" s="1771" t="str">
        <f t="shared" si="215"/>
        <v/>
      </c>
      <c r="AN243" s="1771" t="str">
        <f t="shared" si="215"/>
        <v/>
      </c>
      <c r="AO243" s="1771" t="str">
        <f t="shared" si="215"/>
        <v/>
      </c>
      <c r="AP243" s="3443" t="str">
        <f t="shared" si="215"/>
        <v/>
      </c>
      <c r="AQ243" s="1771">
        <f t="shared" si="215"/>
        <v>0.22</v>
      </c>
      <c r="AR243" s="1771" t="str">
        <f t="shared" si="215"/>
        <v/>
      </c>
      <c r="AS243" s="3442" t="str">
        <f t="shared" si="215"/>
        <v/>
      </c>
      <c r="AT243" s="1771" t="str">
        <f t="shared" si="215"/>
        <v/>
      </c>
      <c r="AU243" s="1771" t="str">
        <f t="shared" si="215"/>
        <v/>
      </c>
      <c r="AV243" s="1771" t="str">
        <f t="shared" si="215"/>
        <v/>
      </c>
      <c r="AW243" s="3442" t="str">
        <f t="shared" si="215"/>
        <v/>
      </c>
      <c r="AX243" s="1771" t="str">
        <f t="shared" si="216"/>
        <v/>
      </c>
      <c r="AY243" s="1771" t="str">
        <f t="shared" si="216"/>
        <v/>
      </c>
      <c r="AZ243" s="1771" t="str">
        <f t="shared" si="216"/>
        <v/>
      </c>
      <c r="BA243" s="1771" t="str">
        <f t="shared" si="216"/>
        <v/>
      </c>
      <c r="BB243" s="3437" t="str">
        <f t="shared" si="216"/>
        <v/>
      </c>
      <c r="BC243" s="3443" t="str">
        <f t="shared" si="216"/>
        <v/>
      </c>
      <c r="BD243" s="3462"/>
      <c r="BE243" s="3440" t="str">
        <f>IF(J243=J319,"stop","")</f>
        <v/>
      </c>
      <c r="BF243" s="1771" t="str">
        <f t="shared" si="217"/>
        <v/>
      </c>
      <c r="BG243" s="1771" t="str">
        <f t="shared" si="217"/>
        <v/>
      </c>
      <c r="BH243" s="1771" t="str">
        <f t="shared" si="217"/>
        <v/>
      </c>
      <c r="BI243" s="1771" t="str">
        <f t="shared" si="217"/>
        <v/>
      </c>
      <c r="BJ243" s="3443" t="str">
        <f t="shared" si="217"/>
        <v/>
      </c>
      <c r="BK243" s="3437">
        <f t="shared" si="217"/>
        <v>0.20976176963403032</v>
      </c>
      <c r="BL243" s="1771" t="str">
        <f t="shared" si="217"/>
        <v/>
      </c>
      <c r="BM243" s="3442" t="str">
        <f t="shared" si="217"/>
        <v/>
      </c>
      <c r="BN243" s="1771" t="str">
        <f t="shared" si="217"/>
        <v/>
      </c>
      <c r="BO243" s="1771" t="str">
        <f t="shared" si="217"/>
        <v/>
      </c>
      <c r="BP243" s="1771" t="str">
        <f t="shared" si="217"/>
        <v/>
      </c>
      <c r="BQ243" s="1771" t="str">
        <f t="shared" si="217"/>
        <v/>
      </c>
      <c r="BR243" s="3437" t="str">
        <f t="shared" si="218"/>
        <v/>
      </c>
      <c r="BS243" s="1771" t="str">
        <f t="shared" si="218"/>
        <v/>
      </c>
      <c r="BT243" s="1771" t="str">
        <f t="shared" si="218"/>
        <v/>
      </c>
      <c r="BU243" s="3442" t="str">
        <f t="shared" si="218"/>
        <v/>
      </c>
      <c r="BV243" s="1771" t="str">
        <f t="shared" si="218"/>
        <v/>
      </c>
      <c r="BW243" s="3442" t="str">
        <f t="shared" si="218"/>
        <v/>
      </c>
      <c r="BX243" s="3462"/>
      <c r="BY243" s="3439" t="str">
        <f>IF(L243=L319,"stop","")</f>
        <v/>
      </c>
      <c r="BZ243" s="3437" t="str">
        <f t="shared" si="219"/>
        <v/>
      </c>
      <c r="CA243" s="1771" t="str">
        <f t="shared" si="219"/>
        <v/>
      </c>
      <c r="CB243" s="1771" t="str">
        <f t="shared" si="219"/>
        <v/>
      </c>
      <c r="CC243" s="3442" t="str">
        <f t="shared" si="219"/>
        <v/>
      </c>
      <c r="CD243" s="1771" t="str">
        <f t="shared" si="219"/>
        <v/>
      </c>
      <c r="CE243" s="3437">
        <f t="shared" si="219"/>
        <v>0.21000000000000002</v>
      </c>
      <c r="CF243" s="1771" t="str">
        <f t="shared" si="219"/>
        <v/>
      </c>
      <c r="CG243" s="1771" t="str">
        <f t="shared" si="219"/>
        <v/>
      </c>
      <c r="CH243" s="3437" t="str">
        <f t="shared" si="219"/>
        <v/>
      </c>
      <c r="CI243" s="1771" t="str">
        <f t="shared" si="219"/>
        <v/>
      </c>
      <c r="CJ243" s="1771" t="str">
        <f t="shared" si="219"/>
        <v/>
      </c>
      <c r="CK243" s="3442" t="str">
        <f t="shared" si="219"/>
        <v/>
      </c>
      <c r="CL243" s="3437" t="str">
        <f t="shared" si="220"/>
        <v/>
      </c>
      <c r="CM243" s="1771" t="str">
        <f t="shared" si="220"/>
        <v/>
      </c>
      <c r="CN243" s="1771" t="str">
        <f t="shared" si="220"/>
        <v/>
      </c>
      <c r="CO243" s="3442" t="str">
        <f t="shared" si="220"/>
        <v/>
      </c>
      <c r="CP243" s="1771" t="str">
        <f t="shared" si="220"/>
        <v/>
      </c>
      <c r="CQ243" s="3442" t="str">
        <f t="shared" si="220"/>
        <v/>
      </c>
      <c r="CR243" s="3462"/>
    </row>
    <row r="244" spans="1:96" s="3" customFormat="1">
      <c r="A244" s="1848" t="s">
        <v>871</v>
      </c>
      <c r="B244" s="816">
        <v>7</v>
      </c>
      <c r="C244" s="816"/>
      <c r="D244" s="816">
        <v>0.01</v>
      </c>
      <c r="E244" s="1802" t="s">
        <v>35</v>
      </c>
      <c r="F244" s="816">
        <v>0.02</v>
      </c>
      <c r="G244" s="816" t="s">
        <v>784</v>
      </c>
      <c r="H244" s="816">
        <v>1988</v>
      </c>
      <c r="I244" s="50"/>
      <c r="J244" s="818">
        <f>J245</f>
        <v>6.48</v>
      </c>
      <c r="K244" s="816">
        <v>0.01</v>
      </c>
      <c r="L244" s="816" t="s">
        <v>35</v>
      </c>
      <c r="M244" s="816">
        <v>0.02</v>
      </c>
      <c r="N244" s="845">
        <f t="shared" si="198"/>
        <v>1.4142135623730951E-2</v>
      </c>
      <c r="O244" s="1831">
        <f t="shared" si="199"/>
        <v>1.4999999999999999E-2</v>
      </c>
      <c r="P244" s="825" t="s">
        <v>1087</v>
      </c>
      <c r="Q244" s="3" t="str">
        <f>IF(J244=J319,"stop","")</f>
        <v/>
      </c>
      <c r="R244" s="3437" t="str">
        <f t="shared" si="207"/>
        <v/>
      </c>
      <c r="S244" s="1771" t="str">
        <f t="shared" si="207"/>
        <v/>
      </c>
      <c r="T244" s="1771" t="str">
        <f t="shared" si="207"/>
        <v/>
      </c>
      <c r="U244" s="1771" t="str">
        <f t="shared" si="207"/>
        <v/>
      </c>
      <c r="V244" s="3443" t="str">
        <f t="shared" si="207"/>
        <v/>
      </c>
      <c r="W244" s="1771" t="str">
        <f t="shared" si="207"/>
        <v/>
      </c>
      <c r="X244" s="1771">
        <f t="shared" si="207"/>
        <v>0.01</v>
      </c>
      <c r="Y244" s="1771" t="str">
        <f t="shared" si="207"/>
        <v/>
      </c>
      <c r="Z244" s="3437" t="str">
        <f t="shared" si="207"/>
        <v/>
      </c>
      <c r="AA244" s="1771" t="str">
        <f t="shared" si="207"/>
        <v/>
      </c>
      <c r="AB244" s="1771" t="str">
        <f t="shared" si="207"/>
        <v/>
      </c>
      <c r="AC244" s="3442" t="str">
        <f t="shared" si="207"/>
        <v/>
      </c>
      <c r="AD244" s="1771" t="str">
        <f t="shared" si="207"/>
        <v/>
      </c>
      <c r="AE244" s="1771" t="str">
        <f t="shared" si="207"/>
        <v/>
      </c>
      <c r="AF244" s="1771" t="str">
        <f t="shared" si="207"/>
        <v/>
      </c>
      <c r="AG244" s="3442" t="str">
        <f t="shared" si="207"/>
        <v/>
      </c>
      <c r="AH244" s="1771" t="str">
        <f t="shared" si="214"/>
        <v/>
      </c>
      <c r="AI244" s="3442" t="str">
        <f t="shared" si="214"/>
        <v/>
      </c>
      <c r="AJ244" s="3462"/>
      <c r="AK244" s="3439" t="str">
        <f>IF(J244=J319,"stop","")</f>
        <v/>
      </c>
      <c r="AL244" s="3437" t="str">
        <f t="shared" si="215"/>
        <v/>
      </c>
      <c r="AM244" s="1771" t="str">
        <f t="shared" si="215"/>
        <v/>
      </c>
      <c r="AN244" s="1771" t="str">
        <f t="shared" si="215"/>
        <v/>
      </c>
      <c r="AO244" s="1771" t="str">
        <f t="shared" si="215"/>
        <v/>
      </c>
      <c r="AP244" s="3443" t="str">
        <f t="shared" si="215"/>
        <v/>
      </c>
      <c r="AQ244" s="1771" t="str">
        <f t="shared" si="215"/>
        <v/>
      </c>
      <c r="AR244" s="1771">
        <f t="shared" si="215"/>
        <v>0.02</v>
      </c>
      <c r="AS244" s="3442" t="str">
        <f t="shared" si="215"/>
        <v/>
      </c>
      <c r="AT244" s="1771" t="str">
        <f t="shared" si="215"/>
        <v/>
      </c>
      <c r="AU244" s="1771" t="str">
        <f t="shared" si="215"/>
        <v/>
      </c>
      <c r="AV244" s="1771" t="str">
        <f t="shared" si="215"/>
        <v/>
      </c>
      <c r="AW244" s="3442" t="str">
        <f t="shared" si="215"/>
        <v/>
      </c>
      <c r="AX244" s="1771" t="str">
        <f t="shared" si="216"/>
        <v/>
      </c>
      <c r="AY244" s="1771" t="str">
        <f t="shared" si="216"/>
        <v/>
      </c>
      <c r="AZ244" s="1771" t="str">
        <f t="shared" si="216"/>
        <v/>
      </c>
      <c r="BA244" s="1771" t="str">
        <f t="shared" si="216"/>
        <v/>
      </c>
      <c r="BB244" s="3437" t="str">
        <f t="shared" si="216"/>
        <v/>
      </c>
      <c r="BC244" s="3443" t="str">
        <f t="shared" si="216"/>
        <v/>
      </c>
      <c r="BD244" s="3462"/>
      <c r="BE244" s="3440" t="str">
        <f>IF(J244=J319,"stop","")</f>
        <v/>
      </c>
      <c r="BF244" s="1771" t="str">
        <f t="shared" si="217"/>
        <v/>
      </c>
      <c r="BG244" s="1771" t="str">
        <f t="shared" si="217"/>
        <v/>
      </c>
      <c r="BH244" s="1771" t="str">
        <f t="shared" si="217"/>
        <v/>
      </c>
      <c r="BI244" s="1771" t="str">
        <f t="shared" si="217"/>
        <v/>
      </c>
      <c r="BJ244" s="3443" t="str">
        <f t="shared" si="217"/>
        <v/>
      </c>
      <c r="BK244" s="3437" t="str">
        <f t="shared" si="217"/>
        <v/>
      </c>
      <c r="BL244" s="1771">
        <f t="shared" si="217"/>
        <v>1.4142135623730951E-2</v>
      </c>
      <c r="BM244" s="3442" t="str">
        <f t="shared" si="217"/>
        <v/>
      </c>
      <c r="BN244" s="1771" t="str">
        <f t="shared" si="217"/>
        <v/>
      </c>
      <c r="BO244" s="1771" t="str">
        <f t="shared" si="217"/>
        <v/>
      </c>
      <c r="BP244" s="1771" t="str">
        <f t="shared" si="217"/>
        <v/>
      </c>
      <c r="BQ244" s="1771" t="str">
        <f t="shared" si="217"/>
        <v/>
      </c>
      <c r="BR244" s="3437" t="str">
        <f t="shared" si="218"/>
        <v/>
      </c>
      <c r="BS244" s="1771" t="str">
        <f t="shared" si="218"/>
        <v/>
      </c>
      <c r="BT244" s="1771" t="str">
        <f t="shared" si="218"/>
        <v/>
      </c>
      <c r="BU244" s="3442" t="str">
        <f t="shared" si="218"/>
        <v/>
      </c>
      <c r="BV244" s="1771" t="str">
        <f t="shared" si="218"/>
        <v/>
      </c>
      <c r="BW244" s="3442" t="str">
        <f t="shared" si="218"/>
        <v/>
      </c>
      <c r="BX244" s="3462"/>
      <c r="BY244" s="3439" t="str">
        <f>IF(L244=L319,"stop","")</f>
        <v/>
      </c>
      <c r="BZ244" s="3437" t="str">
        <f t="shared" si="219"/>
        <v/>
      </c>
      <c r="CA244" s="1771" t="str">
        <f t="shared" si="219"/>
        <v/>
      </c>
      <c r="CB244" s="1771" t="str">
        <f t="shared" si="219"/>
        <v/>
      </c>
      <c r="CC244" s="3442" t="str">
        <f t="shared" si="219"/>
        <v/>
      </c>
      <c r="CD244" s="1771" t="str">
        <f t="shared" si="219"/>
        <v/>
      </c>
      <c r="CE244" s="3437" t="str">
        <f t="shared" si="219"/>
        <v/>
      </c>
      <c r="CF244" s="1771">
        <f t="shared" si="219"/>
        <v>1.4999999999999999E-2</v>
      </c>
      <c r="CG244" s="1771" t="str">
        <f t="shared" si="219"/>
        <v/>
      </c>
      <c r="CH244" s="3437" t="str">
        <f t="shared" si="219"/>
        <v/>
      </c>
      <c r="CI244" s="1771" t="str">
        <f t="shared" si="219"/>
        <v/>
      </c>
      <c r="CJ244" s="1771" t="str">
        <f t="shared" si="219"/>
        <v/>
      </c>
      <c r="CK244" s="3442" t="str">
        <f t="shared" si="219"/>
        <v/>
      </c>
      <c r="CL244" s="3437" t="str">
        <f t="shared" si="220"/>
        <v/>
      </c>
      <c r="CM244" s="1771" t="str">
        <f t="shared" si="220"/>
        <v/>
      </c>
      <c r="CN244" s="1771" t="str">
        <f t="shared" si="220"/>
        <v/>
      </c>
      <c r="CO244" s="3442" t="str">
        <f t="shared" si="220"/>
        <v/>
      </c>
      <c r="CP244" s="1771" t="str">
        <f t="shared" si="220"/>
        <v/>
      </c>
      <c r="CQ244" s="3442" t="str">
        <f t="shared" si="220"/>
        <v/>
      </c>
      <c r="CR244" s="3462"/>
    </row>
    <row r="245" spans="1:96" s="3" customFormat="1">
      <c r="A245" s="1848" t="s">
        <v>872</v>
      </c>
      <c r="B245" s="816">
        <v>7</v>
      </c>
      <c r="C245" s="816">
        <v>6.48</v>
      </c>
      <c r="D245" s="816">
        <v>0.02</v>
      </c>
      <c r="E245" s="1802" t="s">
        <v>35</v>
      </c>
      <c r="F245" s="816">
        <v>0.03</v>
      </c>
      <c r="G245" s="816" t="s">
        <v>784</v>
      </c>
      <c r="H245" s="816">
        <v>1988</v>
      </c>
      <c r="I245" s="50"/>
      <c r="J245" s="816">
        <f t="shared" si="196"/>
        <v>6.48</v>
      </c>
      <c r="K245" s="816">
        <v>0.02</v>
      </c>
      <c r="L245" s="816" t="s">
        <v>35</v>
      </c>
      <c r="M245" s="816">
        <v>0.03</v>
      </c>
      <c r="N245" s="845">
        <f t="shared" si="198"/>
        <v>2.4494897427831779E-2</v>
      </c>
      <c r="O245" s="1831">
        <f t="shared" si="199"/>
        <v>2.5000000000000001E-2</v>
      </c>
      <c r="P245" s="825" t="s">
        <v>1087</v>
      </c>
      <c r="Q245" s="3" t="str">
        <f>IF(J245=J319,"stop","")</f>
        <v/>
      </c>
      <c r="R245" s="3437" t="str">
        <f t="shared" si="207"/>
        <v/>
      </c>
      <c r="S245" s="1771" t="str">
        <f t="shared" si="207"/>
        <v/>
      </c>
      <c r="T245" s="1771" t="str">
        <f t="shared" si="207"/>
        <v/>
      </c>
      <c r="U245" s="1771" t="str">
        <f t="shared" si="207"/>
        <v/>
      </c>
      <c r="V245" s="3443" t="str">
        <f t="shared" si="207"/>
        <v/>
      </c>
      <c r="W245" s="1771" t="str">
        <f t="shared" si="207"/>
        <v/>
      </c>
      <c r="X245" s="1771">
        <f t="shared" si="207"/>
        <v>0.02</v>
      </c>
      <c r="Y245" s="1771" t="str">
        <f t="shared" si="207"/>
        <v/>
      </c>
      <c r="Z245" s="3437" t="str">
        <f t="shared" si="207"/>
        <v/>
      </c>
      <c r="AA245" s="1771" t="str">
        <f t="shared" si="207"/>
        <v/>
      </c>
      <c r="AB245" s="1771" t="str">
        <f t="shared" si="207"/>
        <v/>
      </c>
      <c r="AC245" s="3442" t="str">
        <f t="shared" si="207"/>
        <v/>
      </c>
      <c r="AD245" s="1771" t="str">
        <f t="shared" si="207"/>
        <v/>
      </c>
      <c r="AE245" s="1771" t="str">
        <f t="shared" si="207"/>
        <v/>
      </c>
      <c r="AF245" s="1771" t="str">
        <f t="shared" si="207"/>
        <v/>
      </c>
      <c r="AG245" s="3442" t="str">
        <f t="shared" si="207"/>
        <v/>
      </c>
      <c r="AH245" s="1771" t="str">
        <f t="shared" si="214"/>
        <v/>
      </c>
      <c r="AI245" s="3442" t="str">
        <f t="shared" si="214"/>
        <v/>
      </c>
      <c r="AJ245" s="3462"/>
      <c r="AK245" s="3439" t="str">
        <f>IF(J245=J319,"stop","")</f>
        <v/>
      </c>
      <c r="AL245" s="3437" t="str">
        <f t="shared" si="215"/>
        <v/>
      </c>
      <c r="AM245" s="1771" t="str">
        <f t="shared" si="215"/>
        <v/>
      </c>
      <c r="AN245" s="1771" t="str">
        <f t="shared" si="215"/>
        <v/>
      </c>
      <c r="AO245" s="1771" t="str">
        <f t="shared" si="215"/>
        <v/>
      </c>
      <c r="AP245" s="3443" t="str">
        <f t="shared" si="215"/>
        <v/>
      </c>
      <c r="AQ245" s="1771" t="str">
        <f t="shared" si="215"/>
        <v/>
      </c>
      <c r="AR245" s="1771">
        <f t="shared" si="215"/>
        <v>0.03</v>
      </c>
      <c r="AS245" s="3442" t="str">
        <f t="shared" si="215"/>
        <v/>
      </c>
      <c r="AT245" s="1771" t="str">
        <f t="shared" si="215"/>
        <v/>
      </c>
      <c r="AU245" s="1771" t="str">
        <f t="shared" si="215"/>
        <v/>
      </c>
      <c r="AV245" s="1771" t="str">
        <f t="shared" si="215"/>
        <v/>
      </c>
      <c r="AW245" s="3442" t="str">
        <f t="shared" si="215"/>
        <v/>
      </c>
      <c r="AX245" s="1771" t="str">
        <f t="shared" si="216"/>
        <v/>
      </c>
      <c r="AY245" s="1771" t="str">
        <f t="shared" si="216"/>
        <v/>
      </c>
      <c r="AZ245" s="1771" t="str">
        <f t="shared" si="216"/>
        <v/>
      </c>
      <c r="BA245" s="1771" t="str">
        <f t="shared" si="216"/>
        <v/>
      </c>
      <c r="BB245" s="3437" t="str">
        <f t="shared" si="216"/>
        <v/>
      </c>
      <c r="BC245" s="3443" t="str">
        <f t="shared" si="216"/>
        <v/>
      </c>
      <c r="BD245" s="3462"/>
      <c r="BE245" s="3440" t="str">
        <f>IF(J245=J319,"stop","")</f>
        <v/>
      </c>
      <c r="BF245" s="1771" t="str">
        <f t="shared" si="217"/>
        <v/>
      </c>
      <c r="BG245" s="1771" t="str">
        <f t="shared" si="217"/>
        <v/>
      </c>
      <c r="BH245" s="1771" t="str">
        <f t="shared" si="217"/>
        <v/>
      </c>
      <c r="BI245" s="1771" t="str">
        <f t="shared" si="217"/>
        <v/>
      </c>
      <c r="BJ245" s="3443" t="str">
        <f t="shared" si="217"/>
        <v/>
      </c>
      <c r="BK245" s="3437" t="str">
        <f t="shared" si="217"/>
        <v/>
      </c>
      <c r="BL245" s="1771">
        <f t="shared" si="217"/>
        <v>2.4494897427831779E-2</v>
      </c>
      <c r="BM245" s="3442" t="str">
        <f t="shared" si="217"/>
        <v/>
      </c>
      <c r="BN245" s="1771" t="str">
        <f t="shared" si="217"/>
        <v/>
      </c>
      <c r="BO245" s="1771" t="str">
        <f t="shared" si="217"/>
        <v/>
      </c>
      <c r="BP245" s="1771" t="str">
        <f t="shared" si="217"/>
        <v/>
      </c>
      <c r="BQ245" s="1771" t="str">
        <f t="shared" si="217"/>
        <v/>
      </c>
      <c r="BR245" s="3437" t="str">
        <f t="shared" si="218"/>
        <v/>
      </c>
      <c r="BS245" s="1771" t="str">
        <f t="shared" si="218"/>
        <v/>
      </c>
      <c r="BT245" s="1771" t="str">
        <f t="shared" si="218"/>
        <v/>
      </c>
      <c r="BU245" s="3442" t="str">
        <f t="shared" si="218"/>
        <v/>
      </c>
      <c r="BV245" s="1771" t="str">
        <f t="shared" si="218"/>
        <v/>
      </c>
      <c r="BW245" s="3442" t="str">
        <f t="shared" si="218"/>
        <v/>
      </c>
      <c r="BX245" s="3462"/>
      <c r="BY245" s="3439" t="str">
        <f>IF(L245=L319,"stop","")</f>
        <v/>
      </c>
      <c r="BZ245" s="3437" t="str">
        <f t="shared" si="219"/>
        <v/>
      </c>
      <c r="CA245" s="1771" t="str">
        <f t="shared" si="219"/>
        <v/>
      </c>
      <c r="CB245" s="1771" t="str">
        <f t="shared" si="219"/>
        <v/>
      </c>
      <c r="CC245" s="3442" t="str">
        <f t="shared" si="219"/>
        <v/>
      </c>
      <c r="CD245" s="1771" t="str">
        <f t="shared" si="219"/>
        <v/>
      </c>
      <c r="CE245" s="3437" t="str">
        <f t="shared" si="219"/>
        <v/>
      </c>
      <c r="CF245" s="1771">
        <f t="shared" si="219"/>
        <v>2.5000000000000001E-2</v>
      </c>
      <c r="CG245" s="1771" t="str">
        <f t="shared" si="219"/>
        <v/>
      </c>
      <c r="CH245" s="3437" t="str">
        <f t="shared" si="219"/>
        <v/>
      </c>
      <c r="CI245" s="1771" t="str">
        <f t="shared" si="219"/>
        <v/>
      </c>
      <c r="CJ245" s="1771" t="str">
        <f t="shared" si="219"/>
        <v/>
      </c>
      <c r="CK245" s="3442" t="str">
        <f t="shared" si="219"/>
        <v/>
      </c>
      <c r="CL245" s="3437" t="str">
        <f t="shared" si="220"/>
        <v/>
      </c>
      <c r="CM245" s="1771" t="str">
        <f t="shared" si="220"/>
        <v/>
      </c>
      <c r="CN245" s="1771" t="str">
        <f t="shared" si="220"/>
        <v/>
      </c>
      <c r="CO245" s="3442" t="str">
        <f t="shared" si="220"/>
        <v/>
      </c>
      <c r="CP245" s="1771" t="str">
        <f t="shared" si="220"/>
        <v/>
      </c>
      <c r="CQ245" s="3442" t="str">
        <f t="shared" si="220"/>
        <v/>
      </c>
      <c r="CR245" s="3462"/>
    </row>
    <row r="246" spans="1:96" s="3" customFormat="1">
      <c r="A246" s="1848" t="s">
        <v>873</v>
      </c>
      <c r="B246" s="816">
        <v>7</v>
      </c>
      <c r="D246" s="1794">
        <v>0.6</v>
      </c>
      <c r="E246" s="1805" t="s">
        <v>797</v>
      </c>
      <c r="F246" s="1794">
        <v>0.6</v>
      </c>
      <c r="G246" s="816" t="s">
        <v>784</v>
      </c>
      <c r="H246" s="816">
        <v>1988</v>
      </c>
      <c r="I246" s="50"/>
      <c r="J246" s="818">
        <f>J245</f>
        <v>6.48</v>
      </c>
      <c r="K246" s="816">
        <v>0.6</v>
      </c>
      <c r="L246" s="816" t="s">
        <v>797</v>
      </c>
      <c r="M246" s="816">
        <v>0.6</v>
      </c>
      <c r="N246" s="845">
        <f t="shared" si="198"/>
        <v>0.6</v>
      </c>
      <c r="O246" s="1831">
        <f t="shared" si="199"/>
        <v>0.6</v>
      </c>
      <c r="P246" s="825" t="s">
        <v>1087</v>
      </c>
      <c r="Q246" s="3" t="str">
        <f>IF(J246=J319,"stop","")</f>
        <v/>
      </c>
      <c r="R246" s="3437" t="str">
        <f t="shared" si="207"/>
        <v/>
      </c>
      <c r="S246" s="1771" t="str">
        <f t="shared" si="207"/>
        <v/>
      </c>
      <c r="T246" s="1771" t="str">
        <f t="shared" si="207"/>
        <v/>
      </c>
      <c r="U246" s="1771" t="str">
        <f t="shared" si="207"/>
        <v/>
      </c>
      <c r="V246" s="3443" t="str">
        <f t="shared" si="207"/>
        <v/>
      </c>
      <c r="W246" s="1771" t="str">
        <f t="shared" si="207"/>
        <v/>
      </c>
      <c r="X246" s="1771">
        <f t="shared" si="207"/>
        <v>0.6</v>
      </c>
      <c r="Y246" s="1771" t="str">
        <f t="shared" si="207"/>
        <v/>
      </c>
      <c r="Z246" s="3437" t="str">
        <f t="shared" si="207"/>
        <v/>
      </c>
      <c r="AA246" s="1771" t="str">
        <f t="shared" si="207"/>
        <v/>
      </c>
      <c r="AB246" s="1771" t="str">
        <f t="shared" si="207"/>
        <v/>
      </c>
      <c r="AC246" s="3442" t="str">
        <f t="shared" si="207"/>
        <v/>
      </c>
      <c r="AD246" s="1771" t="str">
        <f t="shared" si="207"/>
        <v/>
      </c>
      <c r="AE246" s="1771" t="str">
        <f t="shared" si="207"/>
        <v/>
      </c>
      <c r="AF246" s="1771" t="str">
        <f t="shared" si="207"/>
        <v/>
      </c>
      <c r="AG246" s="3442" t="str">
        <f t="shared" ref="AG246:AI265" si="221">IF(AND($J246&gt;AG$4,$J246&lt;=AG$5,$P246=AG$6),$K246,"")</f>
        <v/>
      </c>
      <c r="AH246" s="1771" t="str">
        <f t="shared" si="214"/>
        <v/>
      </c>
      <c r="AI246" s="3442" t="str">
        <f t="shared" si="214"/>
        <v/>
      </c>
      <c r="AJ246" s="3462"/>
      <c r="AK246" s="3439" t="str">
        <f>IF(J246=J319,"stop","")</f>
        <v/>
      </c>
      <c r="AL246" s="3437" t="str">
        <f t="shared" si="215"/>
        <v/>
      </c>
      <c r="AM246" s="1771" t="str">
        <f t="shared" si="215"/>
        <v/>
      </c>
      <c r="AN246" s="1771" t="str">
        <f t="shared" si="215"/>
        <v/>
      </c>
      <c r="AO246" s="1771" t="str">
        <f t="shared" si="215"/>
        <v/>
      </c>
      <c r="AP246" s="3443" t="str">
        <f t="shared" si="215"/>
        <v/>
      </c>
      <c r="AQ246" s="1771" t="str">
        <f t="shared" si="215"/>
        <v/>
      </c>
      <c r="AR246" s="1771">
        <f t="shared" si="215"/>
        <v>0.6</v>
      </c>
      <c r="AS246" s="3442" t="str">
        <f t="shared" si="215"/>
        <v/>
      </c>
      <c r="AT246" s="1771" t="str">
        <f t="shared" si="215"/>
        <v/>
      </c>
      <c r="AU246" s="1771" t="str">
        <f t="shared" si="215"/>
        <v/>
      </c>
      <c r="AV246" s="1771" t="str">
        <f t="shared" si="215"/>
        <v/>
      </c>
      <c r="AW246" s="3442" t="str">
        <f t="shared" si="215"/>
        <v/>
      </c>
      <c r="AX246" s="1771" t="str">
        <f t="shared" si="216"/>
        <v/>
      </c>
      <c r="AY246" s="1771" t="str">
        <f t="shared" si="216"/>
        <v/>
      </c>
      <c r="AZ246" s="1771" t="str">
        <f t="shared" si="216"/>
        <v/>
      </c>
      <c r="BA246" s="1771" t="str">
        <f t="shared" si="216"/>
        <v/>
      </c>
      <c r="BB246" s="3437" t="str">
        <f t="shared" si="216"/>
        <v/>
      </c>
      <c r="BC246" s="3443" t="str">
        <f t="shared" si="216"/>
        <v/>
      </c>
      <c r="BD246" s="3462"/>
      <c r="BE246" s="3440" t="str">
        <f>IF(J246=J319,"stop","")</f>
        <v/>
      </c>
      <c r="BF246" s="1771" t="str">
        <f t="shared" si="217"/>
        <v/>
      </c>
      <c r="BG246" s="1771" t="str">
        <f t="shared" si="217"/>
        <v/>
      </c>
      <c r="BH246" s="1771" t="str">
        <f t="shared" si="217"/>
        <v/>
      </c>
      <c r="BI246" s="1771" t="str">
        <f t="shared" si="217"/>
        <v/>
      </c>
      <c r="BJ246" s="3443" t="str">
        <f t="shared" si="217"/>
        <v/>
      </c>
      <c r="BK246" s="3437" t="str">
        <f t="shared" si="217"/>
        <v/>
      </c>
      <c r="BL246" s="1771">
        <f t="shared" si="217"/>
        <v>0.6</v>
      </c>
      <c r="BM246" s="3442" t="str">
        <f t="shared" si="217"/>
        <v/>
      </c>
      <c r="BN246" s="1771" t="str">
        <f t="shared" si="217"/>
        <v/>
      </c>
      <c r="BO246" s="1771" t="str">
        <f t="shared" si="217"/>
        <v/>
      </c>
      <c r="BP246" s="1771" t="str">
        <f t="shared" si="217"/>
        <v/>
      </c>
      <c r="BQ246" s="1771" t="str">
        <f t="shared" si="217"/>
        <v/>
      </c>
      <c r="BR246" s="3437" t="str">
        <f t="shared" si="218"/>
        <v/>
      </c>
      <c r="BS246" s="1771" t="str">
        <f t="shared" si="218"/>
        <v/>
      </c>
      <c r="BT246" s="1771" t="str">
        <f t="shared" si="218"/>
        <v/>
      </c>
      <c r="BU246" s="3442" t="str">
        <f t="shared" si="218"/>
        <v/>
      </c>
      <c r="BV246" s="1771" t="str">
        <f t="shared" si="218"/>
        <v/>
      </c>
      <c r="BW246" s="3442" t="str">
        <f t="shared" si="218"/>
        <v/>
      </c>
      <c r="BX246" s="3462"/>
      <c r="BY246" s="3439" t="str">
        <f>IF(L246=L319,"stop","")</f>
        <v/>
      </c>
      <c r="BZ246" s="3437" t="str">
        <f t="shared" si="219"/>
        <v/>
      </c>
      <c r="CA246" s="1771" t="str">
        <f t="shared" si="219"/>
        <v/>
      </c>
      <c r="CB246" s="1771" t="str">
        <f t="shared" si="219"/>
        <v/>
      </c>
      <c r="CC246" s="3442" t="str">
        <f t="shared" si="219"/>
        <v/>
      </c>
      <c r="CD246" s="1771" t="str">
        <f t="shared" si="219"/>
        <v/>
      </c>
      <c r="CE246" s="3437" t="str">
        <f t="shared" si="219"/>
        <v/>
      </c>
      <c r="CF246" s="1771">
        <f t="shared" si="219"/>
        <v>0.6</v>
      </c>
      <c r="CG246" s="1771" t="str">
        <f t="shared" si="219"/>
        <v/>
      </c>
      <c r="CH246" s="3437" t="str">
        <f t="shared" si="219"/>
        <v/>
      </c>
      <c r="CI246" s="1771" t="str">
        <f t="shared" si="219"/>
        <v/>
      </c>
      <c r="CJ246" s="1771" t="str">
        <f t="shared" si="219"/>
        <v/>
      </c>
      <c r="CK246" s="3442" t="str">
        <f t="shared" si="219"/>
        <v/>
      </c>
      <c r="CL246" s="3437" t="str">
        <f t="shared" si="220"/>
        <v/>
      </c>
      <c r="CM246" s="1771" t="str">
        <f t="shared" si="220"/>
        <v/>
      </c>
      <c r="CN246" s="1771" t="str">
        <f t="shared" si="220"/>
        <v/>
      </c>
      <c r="CO246" s="3442" t="str">
        <f t="shared" si="220"/>
        <v/>
      </c>
      <c r="CP246" s="1771" t="str">
        <f t="shared" si="220"/>
        <v/>
      </c>
      <c r="CQ246" s="3442" t="str">
        <f t="shared" si="220"/>
        <v/>
      </c>
      <c r="CR246" s="3462"/>
    </row>
    <row r="247" spans="1:96" s="3" customFormat="1">
      <c r="A247" s="1848" t="s">
        <v>874</v>
      </c>
      <c r="B247" s="816">
        <v>6</v>
      </c>
      <c r="C247" s="816">
        <v>6.07</v>
      </c>
      <c r="D247" s="816">
        <v>0.27</v>
      </c>
      <c r="E247" s="1802" t="s">
        <v>35</v>
      </c>
      <c r="F247" s="816">
        <v>0.32</v>
      </c>
      <c r="G247" s="816" t="s">
        <v>784</v>
      </c>
      <c r="H247" s="816">
        <v>1988</v>
      </c>
      <c r="I247" s="50"/>
      <c r="J247" s="816">
        <f t="shared" si="196"/>
        <v>6.07</v>
      </c>
      <c r="K247" s="816">
        <v>0.27</v>
      </c>
      <c r="L247" s="816" t="s">
        <v>35</v>
      </c>
      <c r="M247" s="816">
        <v>0.32</v>
      </c>
      <c r="N247" s="845">
        <f t="shared" si="198"/>
        <v>0.29393876913398137</v>
      </c>
      <c r="O247" s="1831">
        <f t="shared" si="199"/>
        <v>0.29500000000000004</v>
      </c>
      <c r="P247" s="825" t="s">
        <v>1087</v>
      </c>
      <c r="Q247" s="3" t="str">
        <f>IF(J247=J319,"stop","")</f>
        <v/>
      </c>
      <c r="R247" s="3437" t="str">
        <f t="shared" ref="R247:AF262" si="222">IF(AND($J247&gt;R$4,$J247&lt;=R$5,$P247=R$6),$K247,"")</f>
        <v/>
      </c>
      <c r="S247" s="1771" t="str">
        <f t="shared" si="222"/>
        <v/>
      </c>
      <c r="T247" s="1771" t="str">
        <f t="shared" si="222"/>
        <v/>
      </c>
      <c r="U247" s="1771" t="str">
        <f t="shared" si="222"/>
        <v/>
      </c>
      <c r="V247" s="3443" t="str">
        <f t="shared" si="222"/>
        <v/>
      </c>
      <c r="W247" s="1771" t="str">
        <f t="shared" si="222"/>
        <v/>
      </c>
      <c r="X247" s="1771">
        <f t="shared" si="222"/>
        <v>0.27</v>
      </c>
      <c r="Y247" s="1771" t="str">
        <f t="shared" si="222"/>
        <v/>
      </c>
      <c r="Z247" s="3437" t="str">
        <f t="shared" si="222"/>
        <v/>
      </c>
      <c r="AA247" s="1771" t="str">
        <f t="shared" si="222"/>
        <v/>
      </c>
      <c r="AB247" s="1771" t="str">
        <f t="shared" si="222"/>
        <v/>
      </c>
      <c r="AC247" s="3442" t="str">
        <f t="shared" si="222"/>
        <v/>
      </c>
      <c r="AD247" s="1771" t="str">
        <f t="shared" si="222"/>
        <v/>
      </c>
      <c r="AE247" s="1771" t="str">
        <f t="shared" si="222"/>
        <v/>
      </c>
      <c r="AF247" s="1771" t="str">
        <f t="shared" si="222"/>
        <v/>
      </c>
      <c r="AG247" s="3442" t="str">
        <f t="shared" si="221"/>
        <v/>
      </c>
      <c r="AH247" s="1771" t="str">
        <f t="shared" si="214"/>
        <v/>
      </c>
      <c r="AI247" s="3442" t="str">
        <f t="shared" si="214"/>
        <v/>
      </c>
      <c r="AJ247" s="3462"/>
      <c r="AK247" s="3439" t="str">
        <f>IF(J247=J319,"stop","")</f>
        <v/>
      </c>
      <c r="AL247" s="3437" t="str">
        <f t="shared" si="215"/>
        <v/>
      </c>
      <c r="AM247" s="1771" t="str">
        <f t="shared" si="215"/>
        <v/>
      </c>
      <c r="AN247" s="1771" t="str">
        <f t="shared" si="215"/>
        <v/>
      </c>
      <c r="AO247" s="1771" t="str">
        <f t="shared" si="215"/>
        <v/>
      </c>
      <c r="AP247" s="3443" t="str">
        <f t="shared" si="215"/>
        <v/>
      </c>
      <c r="AQ247" s="1771" t="str">
        <f t="shared" si="215"/>
        <v/>
      </c>
      <c r="AR247" s="1771">
        <f t="shared" si="215"/>
        <v>0.32</v>
      </c>
      <c r="AS247" s="3442" t="str">
        <f t="shared" si="215"/>
        <v/>
      </c>
      <c r="AT247" s="1771" t="str">
        <f t="shared" si="215"/>
        <v/>
      </c>
      <c r="AU247" s="1771" t="str">
        <f t="shared" si="215"/>
        <v/>
      </c>
      <c r="AV247" s="1771" t="str">
        <f t="shared" si="215"/>
        <v/>
      </c>
      <c r="AW247" s="3442" t="str">
        <f t="shared" si="215"/>
        <v/>
      </c>
      <c r="AX247" s="1771" t="str">
        <f t="shared" si="216"/>
        <v/>
      </c>
      <c r="AY247" s="1771" t="str">
        <f t="shared" si="216"/>
        <v/>
      </c>
      <c r="AZ247" s="1771" t="str">
        <f t="shared" si="216"/>
        <v/>
      </c>
      <c r="BA247" s="1771" t="str">
        <f t="shared" si="216"/>
        <v/>
      </c>
      <c r="BB247" s="3437" t="str">
        <f t="shared" si="216"/>
        <v/>
      </c>
      <c r="BC247" s="3443" t="str">
        <f t="shared" si="216"/>
        <v/>
      </c>
      <c r="BD247" s="3462"/>
      <c r="BE247" s="3440" t="str">
        <f>IF(J247=J319,"stop","")</f>
        <v/>
      </c>
      <c r="BF247" s="1771" t="str">
        <f t="shared" si="217"/>
        <v/>
      </c>
      <c r="BG247" s="1771" t="str">
        <f t="shared" si="217"/>
        <v/>
      </c>
      <c r="BH247" s="1771" t="str">
        <f t="shared" si="217"/>
        <v/>
      </c>
      <c r="BI247" s="1771" t="str">
        <f t="shared" si="217"/>
        <v/>
      </c>
      <c r="BJ247" s="3443" t="str">
        <f t="shared" si="217"/>
        <v/>
      </c>
      <c r="BK247" s="3437" t="str">
        <f t="shared" si="217"/>
        <v/>
      </c>
      <c r="BL247" s="1771">
        <f t="shared" si="217"/>
        <v>0.29393876913398137</v>
      </c>
      <c r="BM247" s="3442" t="str">
        <f t="shared" si="217"/>
        <v/>
      </c>
      <c r="BN247" s="1771" t="str">
        <f t="shared" si="217"/>
        <v/>
      </c>
      <c r="BO247" s="1771" t="str">
        <f t="shared" si="217"/>
        <v/>
      </c>
      <c r="BP247" s="1771" t="str">
        <f t="shared" si="217"/>
        <v/>
      </c>
      <c r="BQ247" s="1771" t="str">
        <f t="shared" si="217"/>
        <v/>
      </c>
      <c r="BR247" s="3437" t="str">
        <f t="shared" si="218"/>
        <v/>
      </c>
      <c r="BS247" s="1771" t="str">
        <f t="shared" si="218"/>
        <v/>
      </c>
      <c r="BT247" s="1771" t="str">
        <f t="shared" si="218"/>
        <v/>
      </c>
      <c r="BU247" s="3442" t="str">
        <f t="shared" si="218"/>
        <v/>
      </c>
      <c r="BV247" s="1771" t="str">
        <f t="shared" si="218"/>
        <v/>
      </c>
      <c r="BW247" s="3442" t="str">
        <f t="shared" si="218"/>
        <v/>
      </c>
      <c r="BX247" s="3462"/>
      <c r="BY247" s="3439" t="str">
        <f>IF(L247=L319,"stop","")</f>
        <v/>
      </c>
      <c r="BZ247" s="3437" t="str">
        <f t="shared" si="219"/>
        <v/>
      </c>
      <c r="CA247" s="1771" t="str">
        <f t="shared" si="219"/>
        <v/>
      </c>
      <c r="CB247" s="1771" t="str">
        <f t="shared" si="219"/>
        <v/>
      </c>
      <c r="CC247" s="3442" t="str">
        <f t="shared" si="219"/>
        <v/>
      </c>
      <c r="CD247" s="1771" t="str">
        <f t="shared" si="219"/>
        <v/>
      </c>
      <c r="CE247" s="3437" t="str">
        <f t="shared" si="219"/>
        <v/>
      </c>
      <c r="CF247" s="1771">
        <f t="shared" si="219"/>
        <v>0.29500000000000004</v>
      </c>
      <c r="CG247" s="1771" t="str">
        <f t="shared" si="219"/>
        <v/>
      </c>
      <c r="CH247" s="3437" t="str">
        <f t="shared" si="219"/>
        <v/>
      </c>
      <c r="CI247" s="1771" t="str">
        <f t="shared" si="219"/>
        <v/>
      </c>
      <c r="CJ247" s="1771" t="str">
        <f t="shared" si="219"/>
        <v/>
      </c>
      <c r="CK247" s="3442" t="str">
        <f t="shared" si="219"/>
        <v/>
      </c>
      <c r="CL247" s="3437" t="str">
        <f t="shared" si="220"/>
        <v/>
      </c>
      <c r="CM247" s="1771" t="str">
        <f t="shared" si="220"/>
        <v/>
      </c>
      <c r="CN247" s="1771" t="str">
        <f t="shared" si="220"/>
        <v/>
      </c>
      <c r="CO247" s="3442" t="str">
        <f t="shared" si="220"/>
        <v/>
      </c>
      <c r="CP247" s="1771" t="str">
        <f t="shared" si="220"/>
        <v/>
      </c>
      <c r="CQ247" s="3442" t="str">
        <f t="shared" si="220"/>
        <v/>
      </c>
      <c r="CR247" s="3462"/>
    </row>
    <row r="248" spans="1:96" s="3" customFormat="1">
      <c r="A248" s="1848" t="s">
        <v>875</v>
      </c>
      <c r="B248" s="816">
        <v>6</v>
      </c>
      <c r="C248" s="816">
        <v>6.11</v>
      </c>
      <c r="D248" s="816">
        <v>0.35</v>
      </c>
      <c r="E248" s="1802" t="s">
        <v>35</v>
      </c>
      <c r="F248" s="816">
        <v>0.45</v>
      </c>
      <c r="G248" s="816" t="s">
        <v>784</v>
      </c>
      <c r="H248" s="816">
        <v>1988</v>
      </c>
      <c r="I248" s="50"/>
      <c r="J248" s="816">
        <f t="shared" si="196"/>
        <v>6.11</v>
      </c>
      <c r="K248" s="816">
        <v>0.35</v>
      </c>
      <c r="L248" s="816" t="s">
        <v>35</v>
      </c>
      <c r="M248" s="816">
        <v>0.45</v>
      </c>
      <c r="N248" s="845">
        <f t="shared" si="198"/>
        <v>0.3968626966596886</v>
      </c>
      <c r="O248" s="1831">
        <f t="shared" si="199"/>
        <v>0.4</v>
      </c>
      <c r="P248" s="825" t="s">
        <v>1087</v>
      </c>
      <c r="Q248" s="3" t="str">
        <f>IF(J248=J319,"stop","")</f>
        <v/>
      </c>
      <c r="R248" s="3437" t="str">
        <f t="shared" si="222"/>
        <v/>
      </c>
      <c r="S248" s="1771" t="str">
        <f t="shared" si="222"/>
        <v/>
      </c>
      <c r="T248" s="1771" t="str">
        <f t="shared" si="222"/>
        <v/>
      </c>
      <c r="U248" s="1771" t="str">
        <f t="shared" si="222"/>
        <v/>
      </c>
      <c r="V248" s="3443" t="str">
        <f t="shared" si="222"/>
        <v/>
      </c>
      <c r="W248" s="1771" t="str">
        <f t="shared" si="222"/>
        <v/>
      </c>
      <c r="X248" s="1771">
        <f t="shared" si="222"/>
        <v>0.35</v>
      </c>
      <c r="Y248" s="1771" t="str">
        <f t="shared" si="222"/>
        <v/>
      </c>
      <c r="Z248" s="3437" t="str">
        <f t="shared" si="222"/>
        <v/>
      </c>
      <c r="AA248" s="1771" t="str">
        <f t="shared" si="222"/>
        <v/>
      </c>
      <c r="AB248" s="1771" t="str">
        <f t="shared" si="222"/>
        <v/>
      </c>
      <c r="AC248" s="3442" t="str">
        <f t="shared" si="222"/>
        <v/>
      </c>
      <c r="AD248" s="1771" t="str">
        <f t="shared" si="222"/>
        <v/>
      </c>
      <c r="AE248" s="1771" t="str">
        <f t="shared" si="222"/>
        <v/>
      </c>
      <c r="AF248" s="1771" t="str">
        <f t="shared" si="222"/>
        <v/>
      </c>
      <c r="AG248" s="3442" t="str">
        <f t="shared" si="221"/>
        <v/>
      </c>
      <c r="AH248" s="1771" t="str">
        <f t="shared" si="214"/>
        <v/>
      </c>
      <c r="AI248" s="3442" t="str">
        <f t="shared" si="214"/>
        <v/>
      </c>
      <c r="AJ248" s="3462"/>
      <c r="AK248" s="3439" t="str">
        <f>IF(J248=J319,"stop","")</f>
        <v/>
      </c>
      <c r="AL248" s="3437" t="str">
        <f t="shared" si="215"/>
        <v/>
      </c>
      <c r="AM248" s="1771" t="str">
        <f t="shared" si="215"/>
        <v/>
      </c>
      <c r="AN248" s="1771" t="str">
        <f t="shared" si="215"/>
        <v/>
      </c>
      <c r="AO248" s="1771" t="str">
        <f t="shared" si="215"/>
        <v/>
      </c>
      <c r="AP248" s="3443" t="str">
        <f t="shared" si="215"/>
        <v/>
      </c>
      <c r="AQ248" s="1771" t="str">
        <f t="shared" si="215"/>
        <v/>
      </c>
      <c r="AR248" s="1771">
        <f t="shared" si="215"/>
        <v>0.45</v>
      </c>
      <c r="AS248" s="3442" t="str">
        <f t="shared" si="215"/>
        <v/>
      </c>
      <c r="AT248" s="1771" t="str">
        <f t="shared" si="215"/>
        <v/>
      </c>
      <c r="AU248" s="1771" t="str">
        <f t="shared" si="215"/>
        <v/>
      </c>
      <c r="AV248" s="1771" t="str">
        <f t="shared" si="215"/>
        <v/>
      </c>
      <c r="AW248" s="3442" t="str">
        <f t="shared" si="215"/>
        <v/>
      </c>
      <c r="AX248" s="1771" t="str">
        <f t="shared" si="216"/>
        <v/>
      </c>
      <c r="AY248" s="1771" t="str">
        <f t="shared" si="216"/>
        <v/>
      </c>
      <c r="AZ248" s="1771" t="str">
        <f t="shared" si="216"/>
        <v/>
      </c>
      <c r="BA248" s="1771" t="str">
        <f t="shared" si="216"/>
        <v/>
      </c>
      <c r="BB248" s="3437" t="str">
        <f t="shared" si="216"/>
        <v/>
      </c>
      <c r="BC248" s="3443" t="str">
        <f t="shared" si="216"/>
        <v/>
      </c>
      <c r="BD248" s="3462"/>
      <c r="BE248" s="3440" t="str">
        <f>IF(J248=J319,"stop","")</f>
        <v/>
      </c>
      <c r="BF248" s="1771" t="str">
        <f t="shared" si="217"/>
        <v/>
      </c>
      <c r="BG248" s="1771" t="str">
        <f t="shared" si="217"/>
        <v/>
      </c>
      <c r="BH248" s="1771" t="str">
        <f t="shared" si="217"/>
        <v/>
      </c>
      <c r="BI248" s="1771" t="str">
        <f t="shared" si="217"/>
        <v/>
      </c>
      <c r="BJ248" s="3443" t="str">
        <f t="shared" si="217"/>
        <v/>
      </c>
      <c r="BK248" s="3437" t="str">
        <f t="shared" si="217"/>
        <v/>
      </c>
      <c r="BL248" s="1771">
        <f t="shared" si="217"/>
        <v>0.3968626966596886</v>
      </c>
      <c r="BM248" s="3442" t="str">
        <f t="shared" si="217"/>
        <v/>
      </c>
      <c r="BN248" s="1771" t="str">
        <f t="shared" si="217"/>
        <v/>
      </c>
      <c r="BO248" s="1771" t="str">
        <f t="shared" si="217"/>
        <v/>
      </c>
      <c r="BP248" s="1771" t="str">
        <f t="shared" si="217"/>
        <v/>
      </c>
      <c r="BQ248" s="1771" t="str">
        <f t="shared" si="217"/>
        <v/>
      </c>
      <c r="BR248" s="3437" t="str">
        <f t="shared" si="218"/>
        <v/>
      </c>
      <c r="BS248" s="1771" t="str">
        <f t="shared" si="218"/>
        <v/>
      </c>
      <c r="BT248" s="1771" t="str">
        <f t="shared" si="218"/>
        <v/>
      </c>
      <c r="BU248" s="3442" t="str">
        <f t="shared" si="218"/>
        <v/>
      </c>
      <c r="BV248" s="1771" t="str">
        <f t="shared" si="218"/>
        <v/>
      </c>
      <c r="BW248" s="3442" t="str">
        <f t="shared" si="218"/>
        <v/>
      </c>
      <c r="BX248" s="3462"/>
      <c r="BY248" s="3439" t="str">
        <f>IF(L248=L319,"stop","")</f>
        <v/>
      </c>
      <c r="BZ248" s="3437" t="str">
        <f t="shared" si="219"/>
        <v/>
      </c>
      <c r="CA248" s="1771" t="str">
        <f t="shared" si="219"/>
        <v/>
      </c>
      <c r="CB248" s="1771" t="str">
        <f t="shared" si="219"/>
        <v/>
      </c>
      <c r="CC248" s="3442" t="str">
        <f t="shared" si="219"/>
        <v/>
      </c>
      <c r="CD248" s="1771" t="str">
        <f t="shared" si="219"/>
        <v/>
      </c>
      <c r="CE248" s="3437" t="str">
        <f t="shared" si="219"/>
        <v/>
      </c>
      <c r="CF248" s="1771">
        <f t="shared" si="219"/>
        <v>0.4</v>
      </c>
      <c r="CG248" s="1771" t="str">
        <f t="shared" si="219"/>
        <v/>
      </c>
      <c r="CH248" s="3437" t="str">
        <f t="shared" si="219"/>
        <v/>
      </c>
      <c r="CI248" s="1771" t="str">
        <f t="shared" si="219"/>
        <v/>
      </c>
      <c r="CJ248" s="1771" t="str">
        <f t="shared" si="219"/>
        <v/>
      </c>
      <c r="CK248" s="3442" t="str">
        <f t="shared" si="219"/>
        <v/>
      </c>
      <c r="CL248" s="3437" t="str">
        <f t="shared" si="220"/>
        <v/>
      </c>
      <c r="CM248" s="1771" t="str">
        <f t="shared" si="220"/>
        <v/>
      </c>
      <c r="CN248" s="1771" t="str">
        <f t="shared" si="220"/>
        <v/>
      </c>
      <c r="CO248" s="3442" t="str">
        <f t="shared" si="220"/>
        <v/>
      </c>
      <c r="CP248" s="1771" t="str">
        <f t="shared" si="220"/>
        <v/>
      </c>
      <c r="CQ248" s="3442" t="str">
        <f t="shared" si="220"/>
        <v/>
      </c>
      <c r="CR248" s="3462"/>
    </row>
    <row r="249" spans="1:96" s="3" customFormat="1">
      <c r="A249" s="1848" t="s">
        <v>876</v>
      </c>
      <c r="B249" s="816">
        <v>6</v>
      </c>
      <c r="C249" s="816">
        <v>6.22</v>
      </c>
      <c r="D249" s="816">
        <v>0.32</v>
      </c>
      <c r="E249" s="1802" t="s">
        <v>35</v>
      </c>
      <c r="F249" s="816">
        <v>0.44</v>
      </c>
      <c r="G249" s="816" t="s">
        <v>784</v>
      </c>
      <c r="H249" s="816">
        <v>1988</v>
      </c>
      <c r="I249" s="50"/>
      <c r="J249" s="816">
        <f t="shared" si="196"/>
        <v>6.22</v>
      </c>
      <c r="K249" s="816">
        <v>0.32</v>
      </c>
      <c r="L249" s="816" t="s">
        <v>35</v>
      </c>
      <c r="M249" s="816">
        <v>0.44</v>
      </c>
      <c r="N249" s="845">
        <f t="shared" si="198"/>
        <v>0.37523326078587438</v>
      </c>
      <c r="O249" s="1831">
        <f t="shared" si="199"/>
        <v>0.38</v>
      </c>
      <c r="P249" s="825" t="s">
        <v>1087</v>
      </c>
      <c r="Q249" s="3" t="str">
        <f>IF(J249=J319,"stop","")</f>
        <v/>
      </c>
      <c r="R249" s="3437" t="str">
        <f t="shared" si="222"/>
        <v/>
      </c>
      <c r="S249" s="1771" t="str">
        <f t="shared" si="222"/>
        <v/>
      </c>
      <c r="T249" s="1771" t="str">
        <f t="shared" si="222"/>
        <v/>
      </c>
      <c r="U249" s="1771" t="str">
        <f t="shared" si="222"/>
        <v/>
      </c>
      <c r="V249" s="3443" t="str">
        <f t="shared" si="222"/>
        <v/>
      </c>
      <c r="W249" s="1771" t="str">
        <f t="shared" si="222"/>
        <v/>
      </c>
      <c r="X249" s="1771">
        <f t="shared" si="222"/>
        <v>0.32</v>
      </c>
      <c r="Y249" s="1771" t="str">
        <f t="shared" si="222"/>
        <v/>
      </c>
      <c r="Z249" s="3437" t="str">
        <f t="shared" si="222"/>
        <v/>
      </c>
      <c r="AA249" s="1771" t="str">
        <f t="shared" si="222"/>
        <v/>
      </c>
      <c r="AB249" s="1771" t="str">
        <f t="shared" si="222"/>
        <v/>
      </c>
      <c r="AC249" s="3442" t="str">
        <f t="shared" si="222"/>
        <v/>
      </c>
      <c r="AD249" s="1771" t="str">
        <f t="shared" si="222"/>
        <v/>
      </c>
      <c r="AE249" s="1771" t="str">
        <f t="shared" si="222"/>
        <v/>
      </c>
      <c r="AF249" s="1771" t="str">
        <f t="shared" si="222"/>
        <v/>
      </c>
      <c r="AG249" s="3442" t="str">
        <f t="shared" si="221"/>
        <v/>
      </c>
      <c r="AH249" s="1771" t="str">
        <f t="shared" si="214"/>
        <v/>
      </c>
      <c r="AI249" s="3442" t="str">
        <f t="shared" si="214"/>
        <v/>
      </c>
      <c r="AJ249" s="3462"/>
      <c r="AK249" s="3439" t="str">
        <f>IF(J249=J319,"stop","")</f>
        <v/>
      </c>
      <c r="AL249" s="3437" t="str">
        <f t="shared" si="215"/>
        <v/>
      </c>
      <c r="AM249" s="1771" t="str">
        <f t="shared" si="215"/>
        <v/>
      </c>
      <c r="AN249" s="1771" t="str">
        <f t="shared" si="215"/>
        <v/>
      </c>
      <c r="AO249" s="1771" t="str">
        <f t="shared" si="215"/>
        <v/>
      </c>
      <c r="AP249" s="3443" t="str">
        <f t="shared" si="215"/>
        <v/>
      </c>
      <c r="AQ249" s="1771" t="str">
        <f t="shared" si="215"/>
        <v/>
      </c>
      <c r="AR249" s="1771">
        <f t="shared" si="215"/>
        <v>0.44</v>
      </c>
      <c r="AS249" s="3442" t="str">
        <f t="shared" si="215"/>
        <v/>
      </c>
      <c r="AT249" s="1771" t="str">
        <f t="shared" si="215"/>
        <v/>
      </c>
      <c r="AU249" s="1771" t="str">
        <f t="shared" si="215"/>
        <v/>
      </c>
      <c r="AV249" s="1771" t="str">
        <f t="shared" si="215"/>
        <v/>
      </c>
      <c r="AW249" s="3442" t="str">
        <f t="shared" si="215"/>
        <v/>
      </c>
      <c r="AX249" s="1771" t="str">
        <f t="shared" si="216"/>
        <v/>
      </c>
      <c r="AY249" s="1771" t="str">
        <f t="shared" si="216"/>
        <v/>
      </c>
      <c r="AZ249" s="1771" t="str">
        <f t="shared" si="216"/>
        <v/>
      </c>
      <c r="BA249" s="1771" t="str">
        <f t="shared" si="216"/>
        <v/>
      </c>
      <c r="BB249" s="3437" t="str">
        <f t="shared" si="216"/>
        <v/>
      </c>
      <c r="BC249" s="3443" t="str">
        <f t="shared" si="216"/>
        <v/>
      </c>
      <c r="BD249" s="3462"/>
      <c r="BE249" s="3440" t="str">
        <f>IF(J249=J319,"stop","")</f>
        <v/>
      </c>
      <c r="BF249" s="1771" t="str">
        <f t="shared" si="217"/>
        <v/>
      </c>
      <c r="BG249" s="1771" t="str">
        <f t="shared" si="217"/>
        <v/>
      </c>
      <c r="BH249" s="1771" t="str">
        <f t="shared" si="217"/>
        <v/>
      </c>
      <c r="BI249" s="1771" t="str">
        <f t="shared" si="217"/>
        <v/>
      </c>
      <c r="BJ249" s="3443" t="str">
        <f t="shared" si="217"/>
        <v/>
      </c>
      <c r="BK249" s="3437" t="str">
        <f t="shared" si="217"/>
        <v/>
      </c>
      <c r="BL249" s="1771">
        <f t="shared" si="217"/>
        <v>0.37523326078587438</v>
      </c>
      <c r="BM249" s="3442" t="str">
        <f t="shared" si="217"/>
        <v/>
      </c>
      <c r="BN249" s="1771" t="str">
        <f t="shared" si="217"/>
        <v/>
      </c>
      <c r="BO249" s="1771" t="str">
        <f t="shared" si="217"/>
        <v/>
      </c>
      <c r="BP249" s="1771" t="str">
        <f t="shared" si="217"/>
        <v/>
      </c>
      <c r="BQ249" s="1771" t="str">
        <f t="shared" si="217"/>
        <v/>
      </c>
      <c r="BR249" s="3437" t="str">
        <f t="shared" si="218"/>
        <v/>
      </c>
      <c r="BS249" s="1771" t="str">
        <f t="shared" si="218"/>
        <v/>
      </c>
      <c r="BT249" s="1771" t="str">
        <f t="shared" si="218"/>
        <v/>
      </c>
      <c r="BU249" s="3442" t="str">
        <f t="shared" si="218"/>
        <v/>
      </c>
      <c r="BV249" s="1771" t="str">
        <f t="shared" si="218"/>
        <v/>
      </c>
      <c r="BW249" s="3442" t="str">
        <f t="shared" si="218"/>
        <v/>
      </c>
      <c r="BX249" s="3462"/>
      <c r="BY249" s="3439" t="str">
        <f>IF(L249=L319,"stop","")</f>
        <v/>
      </c>
      <c r="BZ249" s="3437" t="str">
        <f t="shared" si="219"/>
        <v/>
      </c>
      <c r="CA249" s="1771" t="str">
        <f t="shared" si="219"/>
        <v/>
      </c>
      <c r="CB249" s="1771" t="str">
        <f t="shared" si="219"/>
        <v/>
      </c>
      <c r="CC249" s="3442" t="str">
        <f t="shared" si="219"/>
        <v/>
      </c>
      <c r="CD249" s="1771" t="str">
        <f t="shared" si="219"/>
        <v/>
      </c>
      <c r="CE249" s="3437" t="str">
        <f t="shared" si="219"/>
        <v/>
      </c>
      <c r="CF249" s="1771">
        <f t="shared" si="219"/>
        <v>0.38</v>
      </c>
      <c r="CG249" s="1771" t="str">
        <f t="shared" si="219"/>
        <v/>
      </c>
      <c r="CH249" s="3437" t="str">
        <f t="shared" si="219"/>
        <v/>
      </c>
      <c r="CI249" s="1771" t="str">
        <f t="shared" si="219"/>
        <v/>
      </c>
      <c r="CJ249" s="1771" t="str">
        <f t="shared" si="219"/>
        <v/>
      </c>
      <c r="CK249" s="3442" t="str">
        <f t="shared" si="219"/>
        <v/>
      </c>
      <c r="CL249" s="3437" t="str">
        <f t="shared" si="220"/>
        <v/>
      </c>
      <c r="CM249" s="1771" t="str">
        <f t="shared" si="220"/>
        <v/>
      </c>
      <c r="CN249" s="1771" t="str">
        <f t="shared" si="220"/>
        <v/>
      </c>
      <c r="CO249" s="3442" t="str">
        <f t="shared" si="220"/>
        <v/>
      </c>
      <c r="CP249" s="1771" t="str">
        <f t="shared" si="220"/>
        <v/>
      </c>
      <c r="CQ249" s="3442" t="str">
        <f t="shared" si="220"/>
        <v/>
      </c>
      <c r="CR249" s="3462"/>
    </row>
    <row r="250" spans="1:96" s="3" customFormat="1">
      <c r="A250" s="1845" t="s">
        <v>877</v>
      </c>
      <c r="B250" s="817">
        <v>6</v>
      </c>
      <c r="C250" s="817">
        <v>5.69</v>
      </c>
      <c r="D250" s="817">
        <v>0.04</v>
      </c>
      <c r="E250" s="1802" t="s">
        <v>35</v>
      </c>
      <c r="F250" s="817">
        <v>0.05</v>
      </c>
      <c r="G250" s="817" t="s">
        <v>784</v>
      </c>
      <c r="H250" s="817">
        <v>1988</v>
      </c>
      <c r="I250" s="50"/>
      <c r="J250" s="816">
        <f t="shared" si="196"/>
        <v>5.69</v>
      </c>
      <c r="K250" s="817">
        <v>0.04</v>
      </c>
      <c r="L250" s="817" t="s">
        <v>35</v>
      </c>
      <c r="M250" s="817">
        <v>0.05</v>
      </c>
      <c r="N250" s="845">
        <f t="shared" si="198"/>
        <v>4.4721359549995794E-2</v>
      </c>
      <c r="O250" s="1831">
        <f t="shared" si="199"/>
        <v>4.4999999999999998E-2</v>
      </c>
      <c r="P250" s="825" t="s">
        <v>1087</v>
      </c>
      <c r="Q250" s="3" t="str">
        <f>IF(J250=J319,"stop","")</f>
        <v/>
      </c>
      <c r="R250" s="3437" t="str">
        <f t="shared" si="222"/>
        <v/>
      </c>
      <c r="S250" s="1771" t="str">
        <f t="shared" si="222"/>
        <v/>
      </c>
      <c r="T250" s="1771" t="str">
        <f t="shared" si="222"/>
        <v/>
      </c>
      <c r="U250" s="1771" t="str">
        <f t="shared" si="222"/>
        <v/>
      </c>
      <c r="V250" s="3443" t="str">
        <f t="shared" si="222"/>
        <v/>
      </c>
      <c r="W250" s="1771">
        <f t="shared" si="222"/>
        <v>0.04</v>
      </c>
      <c r="X250" s="1771" t="str">
        <f t="shared" si="222"/>
        <v/>
      </c>
      <c r="Y250" s="1771" t="str">
        <f t="shared" si="222"/>
        <v/>
      </c>
      <c r="Z250" s="3437" t="str">
        <f t="shared" si="222"/>
        <v/>
      </c>
      <c r="AA250" s="1771" t="str">
        <f t="shared" si="222"/>
        <v/>
      </c>
      <c r="AB250" s="1771" t="str">
        <f t="shared" si="222"/>
        <v/>
      </c>
      <c r="AC250" s="3442" t="str">
        <f t="shared" si="222"/>
        <v/>
      </c>
      <c r="AD250" s="1771" t="str">
        <f t="shared" si="222"/>
        <v/>
      </c>
      <c r="AE250" s="1771" t="str">
        <f t="shared" si="222"/>
        <v/>
      </c>
      <c r="AF250" s="1771" t="str">
        <f t="shared" si="222"/>
        <v/>
      </c>
      <c r="AG250" s="3442" t="str">
        <f t="shared" si="221"/>
        <v/>
      </c>
      <c r="AH250" s="1771" t="str">
        <f t="shared" si="214"/>
        <v/>
      </c>
      <c r="AI250" s="3442" t="str">
        <f t="shared" si="214"/>
        <v/>
      </c>
      <c r="AJ250" s="3462"/>
      <c r="AK250" s="3439" t="str">
        <f>IF(J250=J319,"stop","")</f>
        <v/>
      </c>
      <c r="AL250" s="3437" t="str">
        <f t="shared" si="215"/>
        <v/>
      </c>
      <c r="AM250" s="1771" t="str">
        <f t="shared" si="215"/>
        <v/>
      </c>
      <c r="AN250" s="1771" t="str">
        <f t="shared" si="215"/>
        <v/>
      </c>
      <c r="AO250" s="1771" t="str">
        <f t="shared" si="215"/>
        <v/>
      </c>
      <c r="AP250" s="3443" t="str">
        <f t="shared" si="215"/>
        <v/>
      </c>
      <c r="AQ250" s="1771">
        <f t="shared" si="215"/>
        <v>0.05</v>
      </c>
      <c r="AR250" s="1771" t="str">
        <f t="shared" si="215"/>
        <v/>
      </c>
      <c r="AS250" s="3442" t="str">
        <f t="shared" si="215"/>
        <v/>
      </c>
      <c r="AT250" s="1771" t="str">
        <f t="shared" si="215"/>
        <v/>
      </c>
      <c r="AU250" s="1771" t="str">
        <f t="shared" si="215"/>
        <v/>
      </c>
      <c r="AV250" s="1771" t="str">
        <f t="shared" si="215"/>
        <v/>
      </c>
      <c r="AW250" s="3442" t="str">
        <f t="shared" si="215"/>
        <v/>
      </c>
      <c r="AX250" s="1771" t="str">
        <f t="shared" si="216"/>
        <v/>
      </c>
      <c r="AY250" s="1771" t="str">
        <f t="shared" si="216"/>
        <v/>
      </c>
      <c r="AZ250" s="1771" t="str">
        <f t="shared" si="216"/>
        <v/>
      </c>
      <c r="BA250" s="1771" t="str">
        <f t="shared" si="216"/>
        <v/>
      </c>
      <c r="BB250" s="3437" t="str">
        <f t="shared" si="216"/>
        <v/>
      </c>
      <c r="BC250" s="3443" t="str">
        <f t="shared" si="216"/>
        <v/>
      </c>
      <c r="BD250" s="3462"/>
      <c r="BE250" s="3440" t="str">
        <f>IF(J250=J319,"stop","")</f>
        <v/>
      </c>
      <c r="BF250" s="1771" t="str">
        <f t="shared" si="217"/>
        <v/>
      </c>
      <c r="BG250" s="1771" t="str">
        <f t="shared" si="217"/>
        <v/>
      </c>
      <c r="BH250" s="1771" t="str">
        <f t="shared" si="217"/>
        <v/>
      </c>
      <c r="BI250" s="1771" t="str">
        <f t="shared" si="217"/>
        <v/>
      </c>
      <c r="BJ250" s="3443" t="str">
        <f t="shared" si="217"/>
        <v/>
      </c>
      <c r="BK250" s="3437">
        <f t="shared" si="217"/>
        <v>4.4721359549995794E-2</v>
      </c>
      <c r="BL250" s="1771" t="str">
        <f t="shared" si="217"/>
        <v/>
      </c>
      <c r="BM250" s="3442" t="str">
        <f t="shared" si="217"/>
        <v/>
      </c>
      <c r="BN250" s="1771" t="str">
        <f t="shared" si="217"/>
        <v/>
      </c>
      <c r="BO250" s="1771" t="str">
        <f t="shared" si="217"/>
        <v/>
      </c>
      <c r="BP250" s="1771" t="str">
        <f t="shared" si="217"/>
        <v/>
      </c>
      <c r="BQ250" s="1771" t="str">
        <f t="shared" si="217"/>
        <v/>
      </c>
      <c r="BR250" s="3437" t="str">
        <f t="shared" si="218"/>
        <v/>
      </c>
      <c r="BS250" s="1771" t="str">
        <f t="shared" si="218"/>
        <v/>
      </c>
      <c r="BT250" s="1771" t="str">
        <f t="shared" si="218"/>
        <v/>
      </c>
      <c r="BU250" s="3442" t="str">
        <f t="shared" si="218"/>
        <v/>
      </c>
      <c r="BV250" s="1771" t="str">
        <f t="shared" si="218"/>
        <v/>
      </c>
      <c r="BW250" s="3442" t="str">
        <f t="shared" si="218"/>
        <v/>
      </c>
      <c r="BX250" s="3462"/>
      <c r="BY250" s="3439" t="str">
        <f>IF(L250=L319,"stop","")</f>
        <v/>
      </c>
      <c r="BZ250" s="3437" t="str">
        <f t="shared" si="219"/>
        <v/>
      </c>
      <c r="CA250" s="1771" t="str">
        <f t="shared" si="219"/>
        <v/>
      </c>
      <c r="CB250" s="1771" t="str">
        <f t="shared" si="219"/>
        <v/>
      </c>
      <c r="CC250" s="3442" t="str">
        <f t="shared" si="219"/>
        <v/>
      </c>
      <c r="CD250" s="1771" t="str">
        <f t="shared" si="219"/>
        <v/>
      </c>
      <c r="CE250" s="3437">
        <f t="shared" si="219"/>
        <v>4.4999999999999998E-2</v>
      </c>
      <c r="CF250" s="1771" t="str">
        <f t="shared" si="219"/>
        <v/>
      </c>
      <c r="CG250" s="1771" t="str">
        <f t="shared" si="219"/>
        <v/>
      </c>
      <c r="CH250" s="3437" t="str">
        <f t="shared" si="219"/>
        <v/>
      </c>
      <c r="CI250" s="1771" t="str">
        <f t="shared" si="219"/>
        <v/>
      </c>
      <c r="CJ250" s="1771" t="str">
        <f t="shared" si="219"/>
        <v/>
      </c>
      <c r="CK250" s="3442" t="str">
        <f t="shared" si="219"/>
        <v/>
      </c>
      <c r="CL250" s="3437" t="str">
        <f t="shared" si="220"/>
        <v/>
      </c>
      <c r="CM250" s="1771" t="str">
        <f t="shared" si="220"/>
        <v/>
      </c>
      <c r="CN250" s="1771" t="str">
        <f t="shared" si="220"/>
        <v/>
      </c>
      <c r="CO250" s="3442" t="str">
        <f t="shared" si="220"/>
        <v/>
      </c>
      <c r="CP250" s="1771" t="str">
        <f t="shared" si="220"/>
        <v/>
      </c>
      <c r="CQ250" s="3442" t="str">
        <f t="shared" si="220"/>
        <v/>
      </c>
      <c r="CR250" s="3462"/>
    </row>
    <row r="251" spans="1:96" s="3" customFormat="1">
      <c r="A251" s="1848" t="s">
        <v>878</v>
      </c>
      <c r="B251" s="816">
        <v>6</v>
      </c>
      <c r="C251" s="816">
        <v>5.73</v>
      </c>
      <c r="D251" s="816">
        <v>0.08</v>
      </c>
      <c r="E251" s="1802" t="s">
        <v>35</v>
      </c>
      <c r="F251" s="816">
        <v>0.3</v>
      </c>
      <c r="G251" s="816" t="s">
        <v>784</v>
      </c>
      <c r="H251" s="816">
        <v>1988</v>
      </c>
      <c r="I251" s="50"/>
      <c r="J251" s="816">
        <f t="shared" si="196"/>
        <v>5.73</v>
      </c>
      <c r="K251" s="816">
        <v>0.08</v>
      </c>
      <c r="L251" s="816" t="s">
        <v>35</v>
      </c>
      <c r="M251" s="816">
        <v>0.3</v>
      </c>
      <c r="N251" s="845">
        <f t="shared" si="198"/>
        <v>0.15491933384829668</v>
      </c>
      <c r="O251" s="1831">
        <f t="shared" si="199"/>
        <v>0.19</v>
      </c>
      <c r="P251" s="825" t="s">
        <v>1087</v>
      </c>
      <c r="Q251" s="3" t="str">
        <f>IF(J251=J319,"stop","")</f>
        <v/>
      </c>
      <c r="R251" s="3437" t="str">
        <f t="shared" si="222"/>
        <v/>
      </c>
      <c r="S251" s="1771" t="str">
        <f t="shared" si="222"/>
        <v/>
      </c>
      <c r="T251" s="1771" t="str">
        <f t="shared" si="222"/>
        <v/>
      </c>
      <c r="U251" s="1771" t="str">
        <f t="shared" si="222"/>
        <v/>
      </c>
      <c r="V251" s="3443" t="str">
        <f t="shared" si="222"/>
        <v/>
      </c>
      <c r="W251" s="1771">
        <f t="shared" si="222"/>
        <v>0.08</v>
      </c>
      <c r="X251" s="1771" t="str">
        <f t="shared" si="222"/>
        <v/>
      </c>
      <c r="Y251" s="1771" t="str">
        <f t="shared" si="222"/>
        <v/>
      </c>
      <c r="Z251" s="3437" t="str">
        <f t="shared" si="222"/>
        <v/>
      </c>
      <c r="AA251" s="1771" t="str">
        <f t="shared" si="222"/>
        <v/>
      </c>
      <c r="AB251" s="1771" t="str">
        <f t="shared" si="222"/>
        <v/>
      </c>
      <c r="AC251" s="3442" t="str">
        <f t="shared" si="222"/>
        <v/>
      </c>
      <c r="AD251" s="1771" t="str">
        <f t="shared" si="222"/>
        <v/>
      </c>
      <c r="AE251" s="1771" t="str">
        <f t="shared" si="222"/>
        <v/>
      </c>
      <c r="AF251" s="1771" t="str">
        <f t="shared" si="222"/>
        <v/>
      </c>
      <c r="AG251" s="3442" t="str">
        <f t="shared" si="221"/>
        <v/>
      </c>
      <c r="AH251" s="1771" t="str">
        <f t="shared" si="214"/>
        <v/>
      </c>
      <c r="AI251" s="3442" t="str">
        <f t="shared" si="214"/>
        <v/>
      </c>
      <c r="AJ251" s="3462"/>
      <c r="AK251" s="3439" t="str">
        <f>IF(J251=J319,"stop","")</f>
        <v/>
      </c>
      <c r="AL251" s="3437" t="str">
        <f t="shared" ref="AL251:AW260" si="223">IF(AND($J251&gt;AL$4,$J251&lt;=AL$5,$P251=AL$6),$M251,"")</f>
        <v/>
      </c>
      <c r="AM251" s="1771" t="str">
        <f t="shared" si="223"/>
        <v/>
      </c>
      <c r="AN251" s="1771" t="str">
        <f t="shared" si="223"/>
        <v/>
      </c>
      <c r="AO251" s="1771" t="str">
        <f t="shared" si="223"/>
        <v/>
      </c>
      <c r="AP251" s="3443" t="str">
        <f t="shared" si="223"/>
        <v/>
      </c>
      <c r="AQ251" s="1771">
        <f t="shared" si="223"/>
        <v>0.3</v>
      </c>
      <c r="AR251" s="1771" t="str">
        <f t="shared" si="223"/>
        <v/>
      </c>
      <c r="AS251" s="3442" t="str">
        <f t="shared" si="223"/>
        <v/>
      </c>
      <c r="AT251" s="1771" t="str">
        <f t="shared" si="223"/>
        <v/>
      </c>
      <c r="AU251" s="1771" t="str">
        <f t="shared" si="223"/>
        <v/>
      </c>
      <c r="AV251" s="1771" t="str">
        <f t="shared" si="223"/>
        <v/>
      </c>
      <c r="AW251" s="3442" t="str">
        <f t="shared" si="223"/>
        <v/>
      </c>
      <c r="AX251" s="1771" t="str">
        <f t="shared" ref="AX251:BC260" si="224">IF(AND($J251&gt;AX$4,$J251&lt;=AX$5,$P251=AX$6),$M251,"")</f>
        <v/>
      </c>
      <c r="AY251" s="1771" t="str">
        <f t="shared" si="224"/>
        <v/>
      </c>
      <c r="AZ251" s="1771" t="str">
        <f t="shared" si="224"/>
        <v/>
      </c>
      <c r="BA251" s="1771" t="str">
        <f t="shared" si="224"/>
        <v/>
      </c>
      <c r="BB251" s="3437" t="str">
        <f t="shared" si="224"/>
        <v/>
      </c>
      <c r="BC251" s="3443" t="str">
        <f t="shared" si="224"/>
        <v/>
      </c>
      <c r="BD251" s="3462"/>
      <c r="BE251" s="3440" t="str">
        <f>IF(J251=J319,"stop","")</f>
        <v/>
      </c>
      <c r="BF251" s="1771" t="str">
        <f t="shared" ref="BF251:BQ260" si="225">IF(AND($J251&gt;BF$4,$J251&lt;=BF$5,$P251=BF$6),$N251,"")</f>
        <v/>
      </c>
      <c r="BG251" s="1771" t="str">
        <f t="shared" si="225"/>
        <v/>
      </c>
      <c r="BH251" s="1771" t="str">
        <f t="shared" si="225"/>
        <v/>
      </c>
      <c r="BI251" s="1771" t="str">
        <f t="shared" si="225"/>
        <v/>
      </c>
      <c r="BJ251" s="3443" t="str">
        <f t="shared" si="225"/>
        <v/>
      </c>
      <c r="BK251" s="3437">
        <f t="shared" si="225"/>
        <v>0.15491933384829668</v>
      </c>
      <c r="BL251" s="1771" t="str">
        <f t="shared" si="225"/>
        <v/>
      </c>
      <c r="BM251" s="3442" t="str">
        <f t="shared" si="225"/>
        <v/>
      </c>
      <c r="BN251" s="1771" t="str">
        <f t="shared" si="225"/>
        <v/>
      </c>
      <c r="BO251" s="1771" t="str">
        <f t="shared" si="225"/>
        <v/>
      </c>
      <c r="BP251" s="1771" t="str">
        <f t="shared" si="225"/>
        <v/>
      </c>
      <c r="BQ251" s="1771" t="str">
        <f t="shared" si="225"/>
        <v/>
      </c>
      <c r="BR251" s="3437" t="str">
        <f t="shared" ref="BR251:BW260" si="226">IF(AND($J251&gt;BR$4,$J251&lt;=BR$5,$P251=BR$6),$N251,"")</f>
        <v/>
      </c>
      <c r="BS251" s="1771" t="str">
        <f t="shared" si="226"/>
        <v/>
      </c>
      <c r="BT251" s="1771" t="str">
        <f t="shared" si="226"/>
        <v/>
      </c>
      <c r="BU251" s="3442" t="str">
        <f t="shared" si="226"/>
        <v/>
      </c>
      <c r="BV251" s="1771" t="str">
        <f t="shared" si="226"/>
        <v/>
      </c>
      <c r="BW251" s="3442" t="str">
        <f t="shared" si="226"/>
        <v/>
      </c>
      <c r="BX251" s="3462"/>
      <c r="BY251" s="3439" t="str">
        <f>IF(L251=L319,"stop","")</f>
        <v/>
      </c>
      <c r="BZ251" s="3437" t="str">
        <f t="shared" ref="BZ251:CK260" si="227">IF(AND($J251&gt;BZ$4,$J251&lt;=BZ$5,$P251=BZ$6),$O251,"")</f>
        <v/>
      </c>
      <c r="CA251" s="1771" t="str">
        <f t="shared" si="227"/>
        <v/>
      </c>
      <c r="CB251" s="1771" t="str">
        <f t="shared" si="227"/>
        <v/>
      </c>
      <c r="CC251" s="3442" t="str">
        <f t="shared" si="227"/>
        <v/>
      </c>
      <c r="CD251" s="1771" t="str">
        <f t="shared" si="227"/>
        <v/>
      </c>
      <c r="CE251" s="3437">
        <f t="shared" si="227"/>
        <v>0.19</v>
      </c>
      <c r="CF251" s="1771" t="str">
        <f t="shared" si="227"/>
        <v/>
      </c>
      <c r="CG251" s="1771" t="str">
        <f t="shared" si="227"/>
        <v/>
      </c>
      <c r="CH251" s="3437" t="str">
        <f t="shared" si="227"/>
        <v/>
      </c>
      <c r="CI251" s="1771" t="str">
        <f t="shared" si="227"/>
        <v/>
      </c>
      <c r="CJ251" s="1771" t="str">
        <f t="shared" si="227"/>
        <v/>
      </c>
      <c r="CK251" s="3442" t="str">
        <f t="shared" si="227"/>
        <v/>
      </c>
      <c r="CL251" s="3437" t="str">
        <f t="shared" ref="CL251:CQ260" si="228">IF(AND($J251&gt;CL$4,$J251&lt;=CL$5,$P251=CL$6),$O251,"")</f>
        <v/>
      </c>
      <c r="CM251" s="1771" t="str">
        <f t="shared" si="228"/>
        <v/>
      </c>
      <c r="CN251" s="1771" t="str">
        <f t="shared" si="228"/>
        <v/>
      </c>
      <c r="CO251" s="3442" t="str">
        <f t="shared" si="228"/>
        <v/>
      </c>
      <c r="CP251" s="1771" t="str">
        <f t="shared" si="228"/>
        <v/>
      </c>
      <c r="CQ251" s="3442" t="str">
        <f t="shared" si="228"/>
        <v/>
      </c>
      <c r="CR251" s="3462"/>
    </row>
    <row r="252" spans="1:96" s="3" customFormat="1">
      <c r="A252" s="1848" t="s">
        <v>879</v>
      </c>
      <c r="B252" s="816">
        <v>7</v>
      </c>
      <c r="C252" s="816">
        <v>6.47</v>
      </c>
      <c r="D252" s="816">
        <v>0.02</v>
      </c>
      <c r="E252" s="1802" t="s">
        <v>784</v>
      </c>
      <c r="F252" s="816">
        <v>0.02</v>
      </c>
      <c r="G252" s="816" t="s">
        <v>784</v>
      </c>
      <c r="H252" s="816">
        <v>1988</v>
      </c>
      <c r="I252" s="50"/>
      <c r="J252" s="816">
        <f t="shared" si="196"/>
        <v>6.47</v>
      </c>
      <c r="K252" s="816">
        <v>0.02</v>
      </c>
      <c r="L252" s="816" t="s">
        <v>784</v>
      </c>
      <c r="M252" s="816">
        <v>0.02</v>
      </c>
      <c r="N252" s="845">
        <f t="shared" si="198"/>
        <v>0.02</v>
      </c>
      <c r="O252" s="1831">
        <f t="shared" si="199"/>
        <v>0.02</v>
      </c>
      <c r="P252" s="825" t="s">
        <v>1087</v>
      </c>
      <c r="Q252" s="3" t="str">
        <f>IF(J252=J319,"stop","")</f>
        <v/>
      </c>
      <c r="R252" s="3437" t="str">
        <f t="shared" si="222"/>
        <v/>
      </c>
      <c r="S252" s="1771" t="str">
        <f t="shared" si="222"/>
        <v/>
      </c>
      <c r="T252" s="1771" t="str">
        <f t="shared" si="222"/>
        <v/>
      </c>
      <c r="U252" s="1771" t="str">
        <f t="shared" si="222"/>
        <v/>
      </c>
      <c r="V252" s="3443" t="str">
        <f t="shared" si="222"/>
        <v/>
      </c>
      <c r="W252" s="1771" t="str">
        <f t="shared" si="222"/>
        <v/>
      </c>
      <c r="X252" s="1771">
        <f t="shared" si="222"/>
        <v>0.02</v>
      </c>
      <c r="Y252" s="1771" t="str">
        <f t="shared" si="222"/>
        <v/>
      </c>
      <c r="Z252" s="3437" t="str">
        <f t="shared" si="222"/>
        <v/>
      </c>
      <c r="AA252" s="1771" t="str">
        <f t="shared" si="222"/>
        <v/>
      </c>
      <c r="AB252" s="1771" t="str">
        <f t="shared" si="222"/>
        <v/>
      </c>
      <c r="AC252" s="3442" t="str">
        <f t="shared" si="222"/>
        <v/>
      </c>
      <c r="AD252" s="1771" t="str">
        <f t="shared" si="222"/>
        <v/>
      </c>
      <c r="AE252" s="1771" t="str">
        <f t="shared" si="222"/>
        <v/>
      </c>
      <c r="AF252" s="1771" t="str">
        <f t="shared" si="222"/>
        <v/>
      </c>
      <c r="AG252" s="3442" t="str">
        <f t="shared" si="221"/>
        <v/>
      </c>
      <c r="AH252" s="1771" t="str">
        <f t="shared" si="214"/>
        <v/>
      </c>
      <c r="AI252" s="3442" t="str">
        <f t="shared" si="214"/>
        <v/>
      </c>
      <c r="AJ252" s="3462"/>
      <c r="AK252" s="3439" t="str">
        <f>IF(J252=J319,"stop","")</f>
        <v/>
      </c>
      <c r="AL252" s="3437" t="str">
        <f t="shared" si="223"/>
        <v/>
      </c>
      <c r="AM252" s="1771" t="str">
        <f t="shared" si="223"/>
        <v/>
      </c>
      <c r="AN252" s="1771" t="str">
        <f t="shared" si="223"/>
        <v/>
      </c>
      <c r="AO252" s="1771" t="str">
        <f t="shared" si="223"/>
        <v/>
      </c>
      <c r="AP252" s="3443" t="str">
        <f t="shared" si="223"/>
        <v/>
      </c>
      <c r="AQ252" s="1771" t="str">
        <f t="shared" si="223"/>
        <v/>
      </c>
      <c r="AR252" s="1771">
        <f t="shared" si="223"/>
        <v>0.02</v>
      </c>
      <c r="AS252" s="3442" t="str">
        <f t="shared" si="223"/>
        <v/>
      </c>
      <c r="AT252" s="1771" t="str">
        <f t="shared" si="223"/>
        <v/>
      </c>
      <c r="AU252" s="1771" t="str">
        <f t="shared" si="223"/>
        <v/>
      </c>
      <c r="AV252" s="1771" t="str">
        <f t="shared" si="223"/>
        <v/>
      </c>
      <c r="AW252" s="3442" t="str">
        <f t="shared" si="223"/>
        <v/>
      </c>
      <c r="AX252" s="1771" t="str">
        <f t="shared" si="224"/>
        <v/>
      </c>
      <c r="AY252" s="1771" t="str">
        <f t="shared" si="224"/>
        <v/>
      </c>
      <c r="AZ252" s="1771" t="str">
        <f t="shared" si="224"/>
        <v/>
      </c>
      <c r="BA252" s="1771" t="str">
        <f t="shared" si="224"/>
        <v/>
      </c>
      <c r="BB252" s="3437" t="str">
        <f t="shared" si="224"/>
        <v/>
      </c>
      <c r="BC252" s="3443" t="str">
        <f t="shared" si="224"/>
        <v/>
      </c>
      <c r="BD252" s="3462"/>
      <c r="BE252" s="3440" t="str">
        <f>IF(J252=J319,"stop","")</f>
        <v/>
      </c>
      <c r="BF252" s="1771" t="str">
        <f t="shared" si="225"/>
        <v/>
      </c>
      <c r="BG252" s="1771" t="str">
        <f t="shared" si="225"/>
        <v/>
      </c>
      <c r="BH252" s="1771" t="str">
        <f t="shared" si="225"/>
        <v/>
      </c>
      <c r="BI252" s="1771" t="str">
        <f t="shared" si="225"/>
        <v/>
      </c>
      <c r="BJ252" s="3443" t="str">
        <f t="shared" si="225"/>
        <v/>
      </c>
      <c r="BK252" s="3437" t="str">
        <f t="shared" si="225"/>
        <v/>
      </c>
      <c r="BL252" s="1771">
        <f t="shared" si="225"/>
        <v>0.02</v>
      </c>
      <c r="BM252" s="3442" t="str">
        <f t="shared" si="225"/>
        <v/>
      </c>
      <c r="BN252" s="1771" t="str">
        <f t="shared" si="225"/>
        <v/>
      </c>
      <c r="BO252" s="1771" t="str">
        <f t="shared" si="225"/>
        <v/>
      </c>
      <c r="BP252" s="1771" t="str">
        <f t="shared" si="225"/>
        <v/>
      </c>
      <c r="BQ252" s="1771" t="str">
        <f t="shared" si="225"/>
        <v/>
      </c>
      <c r="BR252" s="3437" t="str">
        <f t="shared" si="226"/>
        <v/>
      </c>
      <c r="BS252" s="1771" t="str">
        <f t="shared" si="226"/>
        <v/>
      </c>
      <c r="BT252" s="1771" t="str">
        <f t="shared" si="226"/>
        <v/>
      </c>
      <c r="BU252" s="3442" t="str">
        <f t="shared" si="226"/>
        <v/>
      </c>
      <c r="BV252" s="1771" t="str">
        <f t="shared" si="226"/>
        <v/>
      </c>
      <c r="BW252" s="3442" t="str">
        <f t="shared" si="226"/>
        <v/>
      </c>
      <c r="BX252" s="3462"/>
      <c r="BY252" s="3439" t="str">
        <f>IF(L252=L319,"stop","")</f>
        <v/>
      </c>
      <c r="BZ252" s="3437" t="str">
        <f t="shared" si="227"/>
        <v/>
      </c>
      <c r="CA252" s="1771" t="str">
        <f t="shared" si="227"/>
        <v/>
      </c>
      <c r="CB252" s="1771" t="str">
        <f t="shared" si="227"/>
        <v/>
      </c>
      <c r="CC252" s="3442" t="str">
        <f t="shared" si="227"/>
        <v/>
      </c>
      <c r="CD252" s="1771" t="str">
        <f t="shared" si="227"/>
        <v/>
      </c>
      <c r="CE252" s="3437" t="str">
        <f t="shared" si="227"/>
        <v/>
      </c>
      <c r="CF252" s="1771">
        <f t="shared" si="227"/>
        <v>0.02</v>
      </c>
      <c r="CG252" s="1771" t="str">
        <f t="shared" si="227"/>
        <v/>
      </c>
      <c r="CH252" s="3437" t="str">
        <f t="shared" si="227"/>
        <v/>
      </c>
      <c r="CI252" s="1771" t="str">
        <f t="shared" si="227"/>
        <v/>
      </c>
      <c r="CJ252" s="1771" t="str">
        <f t="shared" si="227"/>
        <v/>
      </c>
      <c r="CK252" s="3442" t="str">
        <f t="shared" si="227"/>
        <v/>
      </c>
      <c r="CL252" s="3437" t="str">
        <f t="shared" si="228"/>
        <v/>
      </c>
      <c r="CM252" s="1771" t="str">
        <f t="shared" si="228"/>
        <v/>
      </c>
      <c r="CN252" s="1771" t="str">
        <f t="shared" si="228"/>
        <v/>
      </c>
      <c r="CO252" s="3442" t="str">
        <f t="shared" si="228"/>
        <v/>
      </c>
      <c r="CP252" s="1771" t="str">
        <f t="shared" si="228"/>
        <v/>
      </c>
      <c r="CQ252" s="3442" t="str">
        <f t="shared" si="228"/>
        <v/>
      </c>
      <c r="CR252" s="3462"/>
    </row>
    <row r="253" spans="1:96" s="3" customFormat="1" ht="18">
      <c r="A253" s="1848" t="s">
        <v>880</v>
      </c>
      <c r="B253" s="816">
        <v>7</v>
      </c>
      <c r="C253" s="816">
        <v>6.23</v>
      </c>
      <c r="D253" s="816" t="s">
        <v>839</v>
      </c>
      <c r="E253" s="1802" t="s">
        <v>35</v>
      </c>
      <c r="F253" s="816" t="s">
        <v>839</v>
      </c>
      <c r="G253" s="816" t="s">
        <v>784</v>
      </c>
      <c r="H253" s="816">
        <v>1988</v>
      </c>
      <c r="I253" s="50"/>
      <c r="J253" s="816">
        <f t="shared" si="196"/>
        <v>6.23</v>
      </c>
      <c r="K253" s="816">
        <v>0</v>
      </c>
      <c r="L253" s="816" t="s">
        <v>35</v>
      </c>
      <c r="M253" s="816">
        <v>0</v>
      </c>
      <c r="N253" s="845">
        <f t="shared" si="198"/>
        <v>0</v>
      </c>
      <c r="O253" s="1831">
        <f t="shared" si="199"/>
        <v>0</v>
      </c>
      <c r="P253" s="825" t="s">
        <v>1087</v>
      </c>
      <c r="Q253" s="3" t="str">
        <f>IF(J253=J319,"stop","")</f>
        <v/>
      </c>
      <c r="R253" s="3437" t="str">
        <f t="shared" si="222"/>
        <v/>
      </c>
      <c r="S253" s="1771" t="str">
        <f t="shared" si="222"/>
        <v/>
      </c>
      <c r="T253" s="1771" t="str">
        <f t="shared" si="222"/>
        <v/>
      </c>
      <c r="U253" s="1771" t="str">
        <f t="shared" si="222"/>
        <v/>
      </c>
      <c r="V253" s="3443" t="str">
        <f t="shared" si="222"/>
        <v/>
      </c>
      <c r="W253" s="1771" t="str">
        <f t="shared" si="222"/>
        <v/>
      </c>
      <c r="X253" s="1771">
        <f t="shared" si="222"/>
        <v>0</v>
      </c>
      <c r="Y253" s="1771" t="str">
        <f t="shared" si="222"/>
        <v/>
      </c>
      <c r="Z253" s="3437" t="str">
        <f t="shared" si="222"/>
        <v/>
      </c>
      <c r="AA253" s="1771" t="str">
        <f t="shared" si="222"/>
        <v/>
      </c>
      <c r="AB253" s="1771" t="str">
        <f t="shared" si="222"/>
        <v/>
      </c>
      <c r="AC253" s="3442" t="str">
        <f t="shared" si="222"/>
        <v/>
      </c>
      <c r="AD253" s="1771" t="str">
        <f t="shared" si="222"/>
        <v/>
      </c>
      <c r="AE253" s="1771" t="str">
        <f t="shared" si="222"/>
        <v/>
      </c>
      <c r="AF253" s="1771" t="str">
        <f t="shared" si="222"/>
        <v/>
      </c>
      <c r="AG253" s="3442" t="str">
        <f t="shared" si="221"/>
        <v/>
      </c>
      <c r="AH253" s="1771" t="str">
        <f t="shared" si="214"/>
        <v/>
      </c>
      <c r="AI253" s="3442" t="str">
        <f t="shared" si="214"/>
        <v/>
      </c>
      <c r="AJ253" s="3462"/>
      <c r="AK253" s="3439" t="str">
        <f>IF(J253=J319,"stop","")</f>
        <v/>
      </c>
      <c r="AL253" s="3437" t="str">
        <f t="shared" si="223"/>
        <v/>
      </c>
      <c r="AM253" s="1771" t="str">
        <f t="shared" si="223"/>
        <v/>
      </c>
      <c r="AN253" s="1771" t="str">
        <f t="shared" si="223"/>
        <v/>
      </c>
      <c r="AO253" s="1771" t="str">
        <f t="shared" si="223"/>
        <v/>
      </c>
      <c r="AP253" s="3443" t="str">
        <f t="shared" si="223"/>
        <v/>
      </c>
      <c r="AQ253" s="1771" t="str">
        <f t="shared" si="223"/>
        <v/>
      </c>
      <c r="AR253" s="1771">
        <f t="shared" si="223"/>
        <v>0</v>
      </c>
      <c r="AS253" s="3442" t="str">
        <f t="shared" si="223"/>
        <v/>
      </c>
      <c r="AT253" s="1771" t="str">
        <f t="shared" si="223"/>
        <v/>
      </c>
      <c r="AU253" s="1771" t="str">
        <f t="shared" si="223"/>
        <v/>
      </c>
      <c r="AV253" s="1771" t="str">
        <f t="shared" si="223"/>
        <v/>
      </c>
      <c r="AW253" s="3442" t="str">
        <f t="shared" si="223"/>
        <v/>
      </c>
      <c r="AX253" s="1771" t="str">
        <f t="shared" si="224"/>
        <v/>
      </c>
      <c r="AY253" s="1771" t="str">
        <f t="shared" si="224"/>
        <v/>
      </c>
      <c r="AZ253" s="1771" t="str">
        <f t="shared" si="224"/>
        <v/>
      </c>
      <c r="BA253" s="1771" t="str">
        <f t="shared" si="224"/>
        <v/>
      </c>
      <c r="BB253" s="3437" t="str">
        <f t="shared" si="224"/>
        <v/>
      </c>
      <c r="BC253" s="3443" t="str">
        <f t="shared" si="224"/>
        <v/>
      </c>
      <c r="BD253" s="3462"/>
      <c r="BE253" s="3440" t="str">
        <f>IF(J253=J319,"stop","")</f>
        <v/>
      </c>
      <c r="BF253" s="1771" t="str">
        <f t="shared" si="225"/>
        <v/>
      </c>
      <c r="BG253" s="1771" t="str">
        <f t="shared" si="225"/>
        <v/>
      </c>
      <c r="BH253" s="1771" t="str">
        <f t="shared" si="225"/>
        <v/>
      </c>
      <c r="BI253" s="1771" t="str">
        <f t="shared" si="225"/>
        <v/>
      </c>
      <c r="BJ253" s="3443" t="str">
        <f t="shared" si="225"/>
        <v/>
      </c>
      <c r="BK253" s="3437" t="str">
        <f t="shared" si="225"/>
        <v/>
      </c>
      <c r="BL253" s="1771">
        <f t="shared" si="225"/>
        <v>0</v>
      </c>
      <c r="BM253" s="3442" t="str">
        <f t="shared" si="225"/>
        <v/>
      </c>
      <c r="BN253" s="1771" t="str">
        <f t="shared" si="225"/>
        <v/>
      </c>
      <c r="BO253" s="1771" t="str">
        <f t="shared" si="225"/>
        <v/>
      </c>
      <c r="BP253" s="1771" t="str">
        <f t="shared" si="225"/>
        <v/>
      </c>
      <c r="BQ253" s="1771" t="str">
        <f t="shared" si="225"/>
        <v/>
      </c>
      <c r="BR253" s="3437" t="str">
        <f t="shared" si="226"/>
        <v/>
      </c>
      <c r="BS253" s="1771" t="str">
        <f t="shared" si="226"/>
        <v/>
      </c>
      <c r="BT253" s="1771" t="str">
        <f t="shared" si="226"/>
        <v/>
      </c>
      <c r="BU253" s="3442" t="str">
        <f t="shared" si="226"/>
        <v/>
      </c>
      <c r="BV253" s="1771" t="str">
        <f t="shared" si="226"/>
        <v/>
      </c>
      <c r="BW253" s="3442" t="str">
        <f t="shared" si="226"/>
        <v/>
      </c>
      <c r="BX253" s="3462"/>
      <c r="BY253" s="3439" t="str">
        <f>IF(L253=L319,"stop","")</f>
        <v/>
      </c>
      <c r="BZ253" s="3437" t="str">
        <f t="shared" si="227"/>
        <v/>
      </c>
      <c r="CA253" s="1771" t="str">
        <f t="shared" si="227"/>
        <v/>
      </c>
      <c r="CB253" s="1771" t="str">
        <f t="shared" si="227"/>
        <v/>
      </c>
      <c r="CC253" s="3442" t="str">
        <f t="shared" si="227"/>
        <v/>
      </c>
      <c r="CD253" s="1771" t="str">
        <f t="shared" si="227"/>
        <v/>
      </c>
      <c r="CE253" s="3437" t="str">
        <f t="shared" si="227"/>
        <v/>
      </c>
      <c r="CF253" s="1771">
        <f t="shared" si="227"/>
        <v>0</v>
      </c>
      <c r="CG253" s="1771" t="str">
        <f t="shared" si="227"/>
        <v/>
      </c>
      <c r="CH253" s="3437" t="str">
        <f t="shared" si="227"/>
        <v/>
      </c>
      <c r="CI253" s="1771" t="str">
        <f t="shared" si="227"/>
        <v/>
      </c>
      <c r="CJ253" s="1771" t="str">
        <f t="shared" si="227"/>
        <v/>
      </c>
      <c r="CK253" s="3442" t="str">
        <f t="shared" si="227"/>
        <v/>
      </c>
      <c r="CL253" s="3437" t="str">
        <f t="shared" si="228"/>
        <v/>
      </c>
      <c r="CM253" s="1771" t="str">
        <f t="shared" si="228"/>
        <v/>
      </c>
      <c r="CN253" s="1771" t="str">
        <f t="shared" si="228"/>
        <v/>
      </c>
      <c r="CO253" s="3442" t="str">
        <f t="shared" si="228"/>
        <v/>
      </c>
      <c r="CP253" s="1771" t="str">
        <f t="shared" si="228"/>
        <v/>
      </c>
      <c r="CQ253" s="3442" t="str">
        <f t="shared" si="228"/>
        <v/>
      </c>
      <c r="CR253" s="3462"/>
    </row>
    <row r="254" spans="1:96" s="3" customFormat="1">
      <c r="A254" s="1848" t="s">
        <v>881</v>
      </c>
      <c r="B254" s="816">
        <v>7</v>
      </c>
      <c r="C254" s="816">
        <v>7.07</v>
      </c>
      <c r="D254" s="816">
        <v>0.03</v>
      </c>
      <c r="E254" s="1802" t="s">
        <v>35</v>
      </c>
      <c r="F254" s="816">
        <v>0.04</v>
      </c>
      <c r="G254" s="816" t="s">
        <v>784</v>
      </c>
      <c r="H254" s="816">
        <v>1988</v>
      </c>
      <c r="I254" s="50"/>
      <c r="J254" s="816">
        <f t="shared" si="196"/>
        <v>7.07</v>
      </c>
      <c r="K254" s="816">
        <v>0.03</v>
      </c>
      <c r="L254" s="816" t="s">
        <v>35</v>
      </c>
      <c r="M254" s="816">
        <v>0.04</v>
      </c>
      <c r="N254" s="845">
        <f t="shared" si="198"/>
        <v>3.4641016151377546E-2</v>
      </c>
      <c r="O254" s="1831">
        <f t="shared" si="199"/>
        <v>3.5000000000000003E-2</v>
      </c>
      <c r="P254" s="825" t="s">
        <v>1087</v>
      </c>
      <c r="Q254" s="3" t="str">
        <f>IF(J254=J319,"stop","")</f>
        <v/>
      </c>
      <c r="R254" s="3437" t="str">
        <f t="shared" si="222"/>
        <v/>
      </c>
      <c r="S254" s="1771" t="str">
        <f t="shared" si="222"/>
        <v/>
      </c>
      <c r="T254" s="1771" t="str">
        <f t="shared" si="222"/>
        <v/>
      </c>
      <c r="U254" s="1771" t="str">
        <f t="shared" si="222"/>
        <v/>
      </c>
      <c r="V254" s="3443" t="str">
        <f t="shared" si="222"/>
        <v/>
      </c>
      <c r="W254" s="1771" t="str">
        <f t="shared" si="222"/>
        <v/>
      </c>
      <c r="X254" s="1771">
        <f t="shared" si="222"/>
        <v>0.03</v>
      </c>
      <c r="Y254" s="1771" t="str">
        <f t="shared" si="222"/>
        <v/>
      </c>
      <c r="Z254" s="3437" t="str">
        <f t="shared" si="222"/>
        <v/>
      </c>
      <c r="AA254" s="1771" t="str">
        <f t="shared" si="222"/>
        <v/>
      </c>
      <c r="AB254" s="1771" t="str">
        <f t="shared" si="222"/>
        <v/>
      </c>
      <c r="AC254" s="3442" t="str">
        <f t="shared" si="222"/>
        <v/>
      </c>
      <c r="AD254" s="1771" t="str">
        <f t="shared" si="222"/>
        <v/>
      </c>
      <c r="AE254" s="1771" t="str">
        <f t="shared" si="222"/>
        <v/>
      </c>
      <c r="AF254" s="1771" t="str">
        <f t="shared" si="222"/>
        <v/>
      </c>
      <c r="AG254" s="3442" t="str">
        <f t="shared" si="221"/>
        <v/>
      </c>
      <c r="AH254" s="1771" t="str">
        <f t="shared" si="214"/>
        <v/>
      </c>
      <c r="AI254" s="3442" t="str">
        <f t="shared" si="214"/>
        <v/>
      </c>
      <c r="AJ254" s="3462"/>
      <c r="AK254" s="3439" t="str">
        <f>IF(J254=J319,"stop","")</f>
        <v/>
      </c>
      <c r="AL254" s="3437" t="str">
        <f t="shared" si="223"/>
        <v/>
      </c>
      <c r="AM254" s="1771" t="str">
        <f t="shared" si="223"/>
        <v/>
      </c>
      <c r="AN254" s="1771" t="str">
        <f t="shared" si="223"/>
        <v/>
      </c>
      <c r="AO254" s="1771" t="str">
        <f t="shared" si="223"/>
        <v/>
      </c>
      <c r="AP254" s="3443" t="str">
        <f t="shared" si="223"/>
        <v/>
      </c>
      <c r="AQ254" s="1771" t="str">
        <f t="shared" si="223"/>
        <v/>
      </c>
      <c r="AR254" s="1771">
        <f t="shared" si="223"/>
        <v>0.04</v>
      </c>
      <c r="AS254" s="3442" t="str">
        <f t="shared" si="223"/>
        <v/>
      </c>
      <c r="AT254" s="1771" t="str">
        <f t="shared" si="223"/>
        <v/>
      </c>
      <c r="AU254" s="1771" t="str">
        <f t="shared" si="223"/>
        <v/>
      </c>
      <c r="AV254" s="1771" t="str">
        <f t="shared" si="223"/>
        <v/>
      </c>
      <c r="AW254" s="3442" t="str">
        <f t="shared" si="223"/>
        <v/>
      </c>
      <c r="AX254" s="1771" t="str">
        <f t="shared" si="224"/>
        <v/>
      </c>
      <c r="AY254" s="1771" t="str">
        <f t="shared" si="224"/>
        <v/>
      </c>
      <c r="AZ254" s="1771" t="str">
        <f t="shared" si="224"/>
        <v/>
      </c>
      <c r="BA254" s="1771" t="str">
        <f t="shared" si="224"/>
        <v/>
      </c>
      <c r="BB254" s="3437" t="str">
        <f t="shared" si="224"/>
        <v/>
      </c>
      <c r="BC254" s="3443" t="str">
        <f t="shared" si="224"/>
        <v/>
      </c>
      <c r="BD254" s="3462"/>
      <c r="BE254" s="3440" t="str">
        <f>IF(J254=J319,"stop","")</f>
        <v/>
      </c>
      <c r="BF254" s="1771" t="str">
        <f t="shared" si="225"/>
        <v/>
      </c>
      <c r="BG254" s="1771" t="str">
        <f t="shared" si="225"/>
        <v/>
      </c>
      <c r="BH254" s="1771" t="str">
        <f t="shared" si="225"/>
        <v/>
      </c>
      <c r="BI254" s="1771" t="str">
        <f t="shared" si="225"/>
        <v/>
      </c>
      <c r="BJ254" s="3443" t="str">
        <f t="shared" si="225"/>
        <v/>
      </c>
      <c r="BK254" s="3437" t="str">
        <f t="shared" si="225"/>
        <v/>
      </c>
      <c r="BL254" s="1771">
        <f t="shared" si="225"/>
        <v>3.4641016151377546E-2</v>
      </c>
      <c r="BM254" s="3442" t="str">
        <f t="shared" si="225"/>
        <v/>
      </c>
      <c r="BN254" s="1771" t="str">
        <f t="shared" si="225"/>
        <v/>
      </c>
      <c r="BO254" s="1771" t="str">
        <f t="shared" si="225"/>
        <v/>
      </c>
      <c r="BP254" s="1771" t="str">
        <f t="shared" si="225"/>
        <v/>
      </c>
      <c r="BQ254" s="1771" t="str">
        <f t="shared" si="225"/>
        <v/>
      </c>
      <c r="BR254" s="3437" t="str">
        <f t="shared" si="226"/>
        <v/>
      </c>
      <c r="BS254" s="1771" t="str">
        <f t="shared" si="226"/>
        <v/>
      </c>
      <c r="BT254" s="1771" t="str">
        <f t="shared" si="226"/>
        <v/>
      </c>
      <c r="BU254" s="3442" t="str">
        <f t="shared" si="226"/>
        <v/>
      </c>
      <c r="BV254" s="1771" t="str">
        <f t="shared" si="226"/>
        <v/>
      </c>
      <c r="BW254" s="3442" t="str">
        <f t="shared" si="226"/>
        <v/>
      </c>
      <c r="BX254" s="3462"/>
      <c r="BY254" s="3439" t="str">
        <f>IF(L254=L319,"stop","")</f>
        <v/>
      </c>
      <c r="BZ254" s="3437" t="str">
        <f t="shared" si="227"/>
        <v/>
      </c>
      <c r="CA254" s="1771" t="str">
        <f t="shared" si="227"/>
        <v/>
      </c>
      <c r="CB254" s="1771" t="str">
        <f t="shared" si="227"/>
        <v/>
      </c>
      <c r="CC254" s="3442" t="str">
        <f t="shared" si="227"/>
        <v/>
      </c>
      <c r="CD254" s="1771" t="str">
        <f t="shared" si="227"/>
        <v/>
      </c>
      <c r="CE254" s="3437" t="str">
        <f t="shared" si="227"/>
        <v/>
      </c>
      <c r="CF254" s="1771">
        <f t="shared" si="227"/>
        <v>3.5000000000000003E-2</v>
      </c>
      <c r="CG254" s="1771" t="str">
        <f t="shared" si="227"/>
        <v/>
      </c>
      <c r="CH254" s="3437" t="str">
        <f t="shared" si="227"/>
        <v/>
      </c>
      <c r="CI254" s="1771" t="str">
        <f t="shared" si="227"/>
        <v/>
      </c>
      <c r="CJ254" s="1771" t="str">
        <f t="shared" si="227"/>
        <v/>
      </c>
      <c r="CK254" s="3442" t="str">
        <f t="shared" si="227"/>
        <v/>
      </c>
      <c r="CL254" s="3437" t="str">
        <f t="shared" si="228"/>
        <v/>
      </c>
      <c r="CM254" s="1771" t="str">
        <f t="shared" si="228"/>
        <v/>
      </c>
      <c r="CN254" s="1771" t="str">
        <f t="shared" si="228"/>
        <v/>
      </c>
      <c r="CO254" s="3442" t="str">
        <f t="shared" si="228"/>
        <v/>
      </c>
      <c r="CP254" s="1771" t="str">
        <f t="shared" si="228"/>
        <v/>
      </c>
      <c r="CQ254" s="3442" t="str">
        <f t="shared" si="228"/>
        <v/>
      </c>
      <c r="CR254" s="3462"/>
    </row>
    <row r="255" spans="1:96" s="3" customFormat="1">
      <c r="A255" s="1847" t="s">
        <v>882</v>
      </c>
      <c r="B255" s="816"/>
      <c r="C255" s="816"/>
      <c r="D255" s="816"/>
      <c r="E255" s="1802"/>
      <c r="F255" s="816"/>
      <c r="G255" s="816"/>
      <c r="H255" s="816"/>
      <c r="I255" s="50"/>
      <c r="J255" s="816"/>
      <c r="K255" s="816"/>
      <c r="L255" s="816"/>
      <c r="M255" s="816"/>
      <c r="N255" s="845">
        <f t="shared" si="198"/>
        <v>0</v>
      </c>
      <c r="O255" s="1831">
        <f t="shared" si="199"/>
        <v>0</v>
      </c>
      <c r="P255" s="825" t="s">
        <v>1087</v>
      </c>
      <c r="Q255" s="3" t="str">
        <f>IF(J255=J319,"stop","")</f>
        <v/>
      </c>
      <c r="R255" s="3437" t="str">
        <f t="shared" si="222"/>
        <v/>
      </c>
      <c r="S255" s="1771" t="str">
        <f t="shared" si="222"/>
        <v/>
      </c>
      <c r="T255" s="1771" t="str">
        <f t="shared" si="222"/>
        <v/>
      </c>
      <c r="U255" s="1771" t="str">
        <f t="shared" si="222"/>
        <v/>
      </c>
      <c r="V255" s="3443" t="str">
        <f t="shared" si="222"/>
        <v/>
      </c>
      <c r="W255" s="1771" t="str">
        <f t="shared" si="222"/>
        <v/>
      </c>
      <c r="X255" s="1771" t="str">
        <f t="shared" si="222"/>
        <v/>
      </c>
      <c r="Y255" s="1771" t="str">
        <f t="shared" si="222"/>
        <v/>
      </c>
      <c r="Z255" s="3437" t="str">
        <f t="shared" si="222"/>
        <v/>
      </c>
      <c r="AA255" s="1771" t="str">
        <f t="shared" si="222"/>
        <v/>
      </c>
      <c r="AB255" s="1771" t="str">
        <f t="shared" si="222"/>
        <v/>
      </c>
      <c r="AC255" s="3442" t="str">
        <f t="shared" si="222"/>
        <v/>
      </c>
      <c r="AD255" s="1771" t="str">
        <f t="shared" si="222"/>
        <v/>
      </c>
      <c r="AE255" s="1771" t="str">
        <f t="shared" si="222"/>
        <v/>
      </c>
      <c r="AF255" s="1771" t="str">
        <f t="shared" si="222"/>
        <v/>
      </c>
      <c r="AG255" s="3442" t="str">
        <f t="shared" si="221"/>
        <v/>
      </c>
      <c r="AH255" s="1771" t="str">
        <f t="shared" si="214"/>
        <v/>
      </c>
      <c r="AI255" s="3442" t="str">
        <f t="shared" si="214"/>
        <v/>
      </c>
      <c r="AJ255" s="3462"/>
      <c r="AK255" s="3439" t="str">
        <f>IF(J255=J319,"stop","")</f>
        <v/>
      </c>
      <c r="AL255" s="3437" t="str">
        <f t="shared" si="223"/>
        <v/>
      </c>
      <c r="AM255" s="1771" t="str">
        <f t="shared" si="223"/>
        <v/>
      </c>
      <c r="AN255" s="1771" t="str">
        <f t="shared" si="223"/>
        <v/>
      </c>
      <c r="AO255" s="1771" t="str">
        <f t="shared" si="223"/>
        <v/>
      </c>
      <c r="AP255" s="3443" t="str">
        <f t="shared" si="223"/>
        <v/>
      </c>
      <c r="AQ255" s="1771" t="str">
        <f t="shared" si="223"/>
        <v/>
      </c>
      <c r="AR255" s="1771" t="str">
        <f t="shared" si="223"/>
        <v/>
      </c>
      <c r="AS255" s="3442" t="str">
        <f t="shared" si="223"/>
        <v/>
      </c>
      <c r="AT255" s="1771" t="str">
        <f t="shared" si="223"/>
        <v/>
      </c>
      <c r="AU255" s="1771" t="str">
        <f t="shared" si="223"/>
        <v/>
      </c>
      <c r="AV255" s="1771" t="str">
        <f t="shared" si="223"/>
        <v/>
      </c>
      <c r="AW255" s="3442" t="str">
        <f t="shared" si="223"/>
        <v/>
      </c>
      <c r="AX255" s="1771" t="str">
        <f t="shared" si="224"/>
        <v/>
      </c>
      <c r="AY255" s="1771" t="str">
        <f t="shared" si="224"/>
        <v/>
      </c>
      <c r="AZ255" s="1771" t="str">
        <f t="shared" si="224"/>
        <v/>
      </c>
      <c r="BA255" s="1771" t="str">
        <f t="shared" si="224"/>
        <v/>
      </c>
      <c r="BB255" s="3437" t="str">
        <f t="shared" si="224"/>
        <v/>
      </c>
      <c r="BC255" s="3443" t="str">
        <f t="shared" si="224"/>
        <v/>
      </c>
      <c r="BD255" s="3462"/>
      <c r="BE255" s="3440" t="str">
        <f>IF(J255=J319,"stop","")</f>
        <v/>
      </c>
      <c r="BF255" s="1771" t="str">
        <f t="shared" si="225"/>
        <v/>
      </c>
      <c r="BG255" s="1771" t="str">
        <f t="shared" si="225"/>
        <v/>
      </c>
      <c r="BH255" s="1771" t="str">
        <f t="shared" si="225"/>
        <v/>
      </c>
      <c r="BI255" s="1771" t="str">
        <f t="shared" si="225"/>
        <v/>
      </c>
      <c r="BJ255" s="3443" t="str">
        <f t="shared" si="225"/>
        <v/>
      </c>
      <c r="BK255" s="3437" t="str">
        <f t="shared" si="225"/>
        <v/>
      </c>
      <c r="BL255" s="1771" t="str">
        <f t="shared" si="225"/>
        <v/>
      </c>
      <c r="BM255" s="3442" t="str">
        <f t="shared" si="225"/>
        <v/>
      </c>
      <c r="BN255" s="1771" t="str">
        <f t="shared" si="225"/>
        <v/>
      </c>
      <c r="BO255" s="1771" t="str">
        <f t="shared" si="225"/>
        <v/>
      </c>
      <c r="BP255" s="1771" t="str">
        <f t="shared" si="225"/>
        <v/>
      </c>
      <c r="BQ255" s="1771" t="str">
        <f t="shared" si="225"/>
        <v/>
      </c>
      <c r="BR255" s="3437" t="str">
        <f t="shared" si="226"/>
        <v/>
      </c>
      <c r="BS255" s="1771" t="str">
        <f t="shared" si="226"/>
        <v/>
      </c>
      <c r="BT255" s="1771" t="str">
        <f t="shared" si="226"/>
        <v/>
      </c>
      <c r="BU255" s="3442" t="str">
        <f t="shared" si="226"/>
        <v/>
      </c>
      <c r="BV255" s="1771" t="str">
        <f t="shared" si="226"/>
        <v/>
      </c>
      <c r="BW255" s="3442" t="str">
        <f t="shared" si="226"/>
        <v/>
      </c>
      <c r="BX255" s="3462"/>
      <c r="BY255" s="3439" t="str">
        <f>IF(L255=L319,"stop","")</f>
        <v>stop</v>
      </c>
      <c r="BZ255" s="3437" t="str">
        <f t="shared" si="227"/>
        <v/>
      </c>
      <c r="CA255" s="1771" t="str">
        <f t="shared" si="227"/>
        <v/>
      </c>
      <c r="CB255" s="1771" t="str">
        <f t="shared" si="227"/>
        <v/>
      </c>
      <c r="CC255" s="3442" t="str">
        <f t="shared" si="227"/>
        <v/>
      </c>
      <c r="CD255" s="1771" t="str">
        <f t="shared" si="227"/>
        <v/>
      </c>
      <c r="CE255" s="3437" t="str">
        <f t="shared" si="227"/>
        <v/>
      </c>
      <c r="CF255" s="1771" t="str">
        <f t="shared" si="227"/>
        <v/>
      </c>
      <c r="CG255" s="1771" t="str">
        <f t="shared" si="227"/>
        <v/>
      </c>
      <c r="CH255" s="3437" t="str">
        <f t="shared" si="227"/>
        <v/>
      </c>
      <c r="CI255" s="1771" t="str">
        <f t="shared" si="227"/>
        <v/>
      </c>
      <c r="CJ255" s="1771" t="str">
        <f t="shared" si="227"/>
        <v/>
      </c>
      <c r="CK255" s="3442" t="str">
        <f t="shared" si="227"/>
        <v/>
      </c>
      <c r="CL255" s="3437" t="str">
        <f t="shared" si="228"/>
        <v/>
      </c>
      <c r="CM255" s="1771" t="str">
        <f t="shared" si="228"/>
        <v/>
      </c>
      <c r="CN255" s="1771" t="str">
        <f t="shared" si="228"/>
        <v/>
      </c>
      <c r="CO255" s="3442" t="str">
        <f t="shared" si="228"/>
        <v/>
      </c>
      <c r="CP255" s="1771" t="str">
        <f t="shared" si="228"/>
        <v/>
      </c>
      <c r="CQ255" s="3442" t="str">
        <f t="shared" si="228"/>
        <v/>
      </c>
      <c r="CR255" s="3462"/>
    </row>
    <row r="256" spans="1:96" s="3" customFormat="1">
      <c r="A256" s="1848" t="s">
        <v>883</v>
      </c>
      <c r="B256" s="816">
        <v>5</v>
      </c>
      <c r="C256" s="816">
        <v>5.55</v>
      </c>
      <c r="D256" s="816">
        <v>0.12</v>
      </c>
      <c r="E256" s="1802" t="s">
        <v>35</v>
      </c>
      <c r="F256" s="816">
        <v>0.18</v>
      </c>
      <c r="G256" s="816" t="s">
        <v>784</v>
      </c>
      <c r="H256" s="816">
        <v>1988</v>
      </c>
      <c r="I256" s="50"/>
      <c r="J256" s="816">
        <f t="shared" si="196"/>
        <v>5.55</v>
      </c>
      <c r="K256" s="816">
        <v>0.12</v>
      </c>
      <c r="L256" s="816" t="s">
        <v>35</v>
      </c>
      <c r="M256" s="816">
        <v>0.18</v>
      </c>
      <c r="N256" s="845">
        <f t="shared" si="198"/>
        <v>0.14696938456699069</v>
      </c>
      <c r="O256" s="1831">
        <f t="shared" si="199"/>
        <v>0.15</v>
      </c>
      <c r="P256" s="825" t="s">
        <v>1087</v>
      </c>
      <c r="Q256" s="3" t="str">
        <f>IF(J256=J319,"stop","")</f>
        <v/>
      </c>
      <c r="R256" s="3437" t="str">
        <f t="shared" si="222"/>
        <v/>
      </c>
      <c r="S256" s="1771" t="str">
        <f t="shared" si="222"/>
        <v/>
      </c>
      <c r="T256" s="1771" t="str">
        <f t="shared" si="222"/>
        <v/>
      </c>
      <c r="U256" s="1771" t="str">
        <f t="shared" si="222"/>
        <v/>
      </c>
      <c r="V256" s="3443" t="str">
        <f t="shared" si="222"/>
        <v/>
      </c>
      <c r="W256" s="1771">
        <f t="shared" si="222"/>
        <v>0.12</v>
      </c>
      <c r="X256" s="1771" t="str">
        <f t="shared" si="222"/>
        <v/>
      </c>
      <c r="Y256" s="1771" t="str">
        <f t="shared" si="222"/>
        <v/>
      </c>
      <c r="Z256" s="3437" t="str">
        <f t="shared" si="222"/>
        <v/>
      </c>
      <c r="AA256" s="1771" t="str">
        <f t="shared" si="222"/>
        <v/>
      </c>
      <c r="AB256" s="1771" t="str">
        <f t="shared" si="222"/>
        <v/>
      </c>
      <c r="AC256" s="3442" t="str">
        <f t="shared" si="222"/>
        <v/>
      </c>
      <c r="AD256" s="1771" t="str">
        <f t="shared" si="222"/>
        <v/>
      </c>
      <c r="AE256" s="1771" t="str">
        <f t="shared" si="222"/>
        <v/>
      </c>
      <c r="AF256" s="1771" t="str">
        <f t="shared" si="222"/>
        <v/>
      </c>
      <c r="AG256" s="3442" t="str">
        <f t="shared" si="221"/>
        <v/>
      </c>
      <c r="AH256" s="1771" t="str">
        <f t="shared" si="214"/>
        <v/>
      </c>
      <c r="AI256" s="3442" t="str">
        <f t="shared" si="214"/>
        <v/>
      </c>
      <c r="AJ256" s="3462"/>
      <c r="AK256" s="3439" t="str">
        <f>IF(J256=J319,"stop","")</f>
        <v/>
      </c>
      <c r="AL256" s="3437" t="str">
        <f t="shared" si="223"/>
        <v/>
      </c>
      <c r="AM256" s="1771" t="str">
        <f t="shared" si="223"/>
        <v/>
      </c>
      <c r="AN256" s="1771" t="str">
        <f t="shared" si="223"/>
        <v/>
      </c>
      <c r="AO256" s="1771" t="str">
        <f t="shared" si="223"/>
        <v/>
      </c>
      <c r="AP256" s="3443" t="str">
        <f t="shared" si="223"/>
        <v/>
      </c>
      <c r="AQ256" s="1771">
        <f t="shared" si="223"/>
        <v>0.18</v>
      </c>
      <c r="AR256" s="1771" t="str">
        <f t="shared" si="223"/>
        <v/>
      </c>
      <c r="AS256" s="3442" t="str">
        <f t="shared" si="223"/>
        <v/>
      </c>
      <c r="AT256" s="1771" t="str">
        <f t="shared" si="223"/>
        <v/>
      </c>
      <c r="AU256" s="1771" t="str">
        <f t="shared" si="223"/>
        <v/>
      </c>
      <c r="AV256" s="1771" t="str">
        <f t="shared" si="223"/>
        <v/>
      </c>
      <c r="AW256" s="3442" t="str">
        <f t="shared" si="223"/>
        <v/>
      </c>
      <c r="AX256" s="1771" t="str">
        <f t="shared" si="224"/>
        <v/>
      </c>
      <c r="AY256" s="1771" t="str">
        <f t="shared" si="224"/>
        <v/>
      </c>
      <c r="AZ256" s="1771" t="str">
        <f t="shared" si="224"/>
        <v/>
      </c>
      <c r="BA256" s="1771" t="str">
        <f t="shared" si="224"/>
        <v/>
      </c>
      <c r="BB256" s="3437" t="str">
        <f t="shared" si="224"/>
        <v/>
      </c>
      <c r="BC256" s="3443" t="str">
        <f t="shared" si="224"/>
        <v/>
      </c>
      <c r="BD256" s="3462"/>
      <c r="BE256" s="3440" t="str">
        <f>IF(J256=J319,"stop","")</f>
        <v/>
      </c>
      <c r="BF256" s="1771" t="str">
        <f t="shared" si="225"/>
        <v/>
      </c>
      <c r="BG256" s="1771" t="str">
        <f t="shared" si="225"/>
        <v/>
      </c>
      <c r="BH256" s="1771" t="str">
        <f t="shared" si="225"/>
        <v/>
      </c>
      <c r="BI256" s="1771" t="str">
        <f t="shared" si="225"/>
        <v/>
      </c>
      <c r="BJ256" s="3443" t="str">
        <f t="shared" si="225"/>
        <v/>
      </c>
      <c r="BK256" s="3437">
        <f t="shared" si="225"/>
        <v>0.14696938456699069</v>
      </c>
      <c r="BL256" s="1771" t="str">
        <f t="shared" si="225"/>
        <v/>
      </c>
      <c r="BM256" s="3442" t="str">
        <f t="shared" si="225"/>
        <v/>
      </c>
      <c r="BN256" s="1771" t="str">
        <f t="shared" si="225"/>
        <v/>
      </c>
      <c r="BO256" s="1771" t="str">
        <f t="shared" si="225"/>
        <v/>
      </c>
      <c r="BP256" s="1771" t="str">
        <f t="shared" si="225"/>
        <v/>
      </c>
      <c r="BQ256" s="1771" t="str">
        <f t="shared" si="225"/>
        <v/>
      </c>
      <c r="BR256" s="3437" t="str">
        <f t="shared" si="226"/>
        <v/>
      </c>
      <c r="BS256" s="1771" t="str">
        <f t="shared" si="226"/>
        <v/>
      </c>
      <c r="BT256" s="1771" t="str">
        <f t="shared" si="226"/>
        <v/>
      </c>
      <c r="BU256" s="3442" t="str">
        <f t="shared" si="226"/>
        <v/>
      </c>
      <c r="BV256" s="1771" t="str">
        <f t="shared" si="226"/>
        <v/>
      </c>
      <c r="BW256" s="3442" t="str">
        <f t="shared" si="226"/>
        <v/>
      </c>
      <c r="BX256" s="3462"/>
      <c r="BY256" s="3439" t="str">
        <f>IF(L256=L319,"stop","")</f>
        <v/>
      </c>
      <c r="BZ256" s="3437" t="str">
        <f t="shared" si="227"/>
        <v/>
      </c>
      <c r="CA256" s="1771" t="str">
        <f t="shared" si="227"/>
        <v/>
      </c>
      <c r="CB256" s="1771" t="str">
        <f t="shared" si="227"/>
        <v/>
      </c>
      <c r="CC256" s="3442" t="str">
        <f t="shared" si="227"/>
        <v/>
      </c>
      <c r="CD256" s="1771" t="str">
        <f t="shared" si="227"/>
        <v/>
      </c>
      <c r="CE256" s="3437">
        <f t="shared" si="227"/>
        <v>0.15</v>
      </c>
      <c r="CF256" s="1771" t="str">
        <f t="shared" si="227"/>
        <v/>
      </c>
      <c r="CG256" s="1771" t="str">
        <f t="shared" si="227"/>
        <v/>
      </c>
      <c r="CH256" s="3437" t="str">
        <f t="shared" si="227"/>
        <v/>
      </c>
      <c r="CI256" s="1771" t="str">
        <f t="shared" si="227"/>
        <v/>
      </c>
      <c r="CJ256" s="1771" t="str">
        <f t="shared" si="227"/>
        <v/>
      </c>
      <c r="CK256" s="3442" t="str">
        <f t="shared" si="227"/>
        <v/>
      </c>
      <c r="CL256" s="3437" t="str">
        <f t="shared" si="228"/>
        <v/>
      </c>
      <c r="CM256" s="1771" t="str">
        <f t="shared" si="228"/>
        <v/>
      </c>
      <c r="CN256" s="1771" t="str">
        <f t="shared" si="228"/>
        <v/>
      </c>
      <c r="CO256" s="3442" t="str">
        <f t="shared" si="228"/>
        <v/>
      </c>
      <c r="CP256" s="1771" t="str">
        <f t="shared" si="228"/>
        <v/>
      </c>
      <c r="CQ256" s="3442" t="str">
        <f t="shared" si="228"/>
        <v/>
      </c>
      <c r="CR256" s="3462"/>
    </row>
    <row r="257" spans="1:96" s="3" customFormat="1">
      <c r="A257" s="1848" t="s">
        <v>884</v>
      </c>
      <c r="B257" s="816">
        <v>6</v>
      </c>
      <c r="C257" s="816">
        <v>6.1</v>
      </c>
      <c r="D257" s="816">
        <v>0.03</v>
      </c>
      <c r="E257" s="1802" t="s">
        <v>35</v>
      </c>
      <c r="F257" s="816">
        <v>0.08</v>
      </c>
      <c r="G257" s="816" t="s">
        <v>784</v>
      </c>
      <c r="H257" s="816">
        <v>1988</v>
      </c>
      <c r="I257" s="50"/>
      <c r="J257" s="816">
        <f t="shared" si="196"/>
        <v>6.1</v>
      </c>
      <c r="K257" s="816">
        <v>0.03</v>
      </c>
      <c r="L257" s="816" t="s">
        <v>35</v>
      </c>
      <c r="M257" s="816">
        <v>0.08</v>
      </c>
      <c r="N257" s="845">
        <f t="shared" si="198"/>
        <v>4.8989794855663557E-2</v>
      </c>
      <c r="O257" s="1831">
        <f t="shared" si="199"/>
        <v>5.5E-2</v>
      </c>
      <c r="P257" s="825" t="s">
        <v>1087</v>
      </c>
      <c r="Q257" s="3" t="str">
        <f>IF(J257=J319,"stop","")</f>
        <v/>
      </c>
      <c r="R257" s="3437" t="str">
        <f t="shared" si="222"/>
        <v/>
      </c>
      <c r="S257" s="1771" t="str">
        <f t="shared" si="222"/>
        <v/>
      </c>
      <c r="T257" s="1771" t="str">
        <f t="shared" si="222"/>
        <v/>
      </c>
      <c r="U257" s="1771" t="str">
        <f t="shared" si="222"/>
        <v/>
      </c>
      <c r="V257" s="3443" t="str">
        <f t="shared" si="222"/>
        <v/>
      </c>
      <c r="W257" s="1771" t="str">
        <f t="shared" si="222"/>
        <v/>
      </c>
      <c r="X257" s="1771">
        <f t="shared" si="222"/>
        <v>0.03</v>
      </c>
      <c r="Y257" s="1771" t="str">
        <f t="shared" si="222"/>
        <v/>
      </c>
      <c r="Z257" s="3437" t="str">
        <f t="shared" si="222"/>
        <v/>
      </c>
      <c r="AA257" s="1771" t="str">
        <f t="shared" si="222"/>
        <v/>
      </c>
      <c r="AB257" s="1771" t="str">
        <f t="shared" si="222"/>
        <v/>
      </c>
      <c r="AC257" s="3442" t="str">
        <f t="shared" si="222"/>
        <v/>
      </c>
      <c r="AD257" s="1771" t="str">
        <f t="shared" si="222"/>
        <v/>
      </c>
      <c r="AE257" s="1771" t="str">
        <f t="shared" si="222"/>
        <v/>
      </c>
      <c r="AF257" s="1771" t="str">
        <f t="shared" si="222"/>
        <v/>
      </c>
      <c r="AG257" s="3442" t="str">
        <f t="shared" si="221"/>
        <v/>
      </c>
      <c r="AH257" s="1771" t="str">
        <f t="shared" si="214"/>
        <v/>
      </c>
      <c r="AI257" s="3442" t="str">
        <f t="shared" si="214"/>
        <v/>
      </c>
      <c r="AJ257" s="3462"/>
      <c r="AK257" s="3439" t="str">
        <f>IF(J257=J319,"stop","")</f>
        <v/>
      </c>
      <c r="AL257" s="3437" t="str">
        <f t="shared" si="223"/>
        <v/>
      </c>
      <c r="AM257" s="1771" t="str">
        <f t="shared" si="223"/>
        <v/>
      </c>
      <c r="AN257" s="1771" t="str">
        <f t="shared" si="223"/>
        <v/>
      </c>
      <c r="AO257" s="1771" t="str">
        <f t="shared" si="223"/>
        <v/>
      </c>
      <c r="AP257" s="3443" t="str">
        <f t="shared" si="223"/>
        <v/>
      </c>
      <c r="AQ257" s="1771" t="str">
        <f t="shared" si="223"/>
        <v/>
      </c>
      <c r="AR257" s="1771">
        <f t="shared" si="223"/>
        <v>0.08</v>
      </c>
      <c r="AS257" s="3442" t="str">
        <f t="shared" si="223"/>
        <v/>
      </c>
      <c r="AT257" s="1771" t="str">
        <f t="shared" si="223"/>
        <v/>
      </c>
      <c r="AU257" s="1771" t="str">
        <f t="shared" si="223"/>
        <v/>
      </c>
      <c r="AV257" s="1771" t="str">
        <f t="shared" si="223"/>
        <v/>
      </c>
      <c r="AW257" s="3442" t="str">
        <f t="shared" si="223"/>
        <v/>
      </c>
      <c r="AX257" s="1771" t="str">
        <f t="shared" si="224"/>
        <v/>
      </c>
      <c r="AY257" s="1771" t="str">
        <f t="shared" si="224"/>
        <v/>
      </c>
      <c r="AZ257" s="1771" t="str">
        <f t="shared" si="224"/>
        <v/>
      </c>
      <c r="BA257" s="1771" t="str">
        <f t="shared" si="224"/>
        <v/>
      </c>
      <c r="BB257" s="3437" t="str">
        <f t="shared" si="224"/>
        <v/>
      </c>
      <c r="BC257" s="3443" t="str">
        <f t="shared" si="224"/>
        <v/>
      </c>
      <c r="BD257" s="3462"/>
      <c r="BE257" s="3440" t="str">
        <f>IF(J257=J319,"stop","")</f>
        <v/>
      </c>
      <c r="BF257" s="1771" t="str">
        <f t="shared" si="225"/>
        <v/>
      </c>
      <c r="BG257" s="1771" t="str">
        <f t="shared" si="225"/>
        <v/>
      </c>
      <c r="BH257" s="1771" t="str">
        <f t="shared" si="225"/>
        <v/>
      </c>
      <c r="BI257" s="1771" t="str">
        <f t="shared" si="225"/>
        <v/>
      </c>
      <c r="BJ257" s="3443" t="str">
        <f t="shared" si="225"/>
        <v/>
      </c>
      <c r="BK257" s="3437" t="str">
        <f t="shared" si="225"/>
        <v/>
      </c>
      <c r="BL257" s="1771">
        <f t="shared" si="225"/>
        <v>4.8989794855663557E-2</v>
      </c>
      <c r="BM257" s="3442" t="str">
        <f t="shared" si="225"/>
        <v/>
      </c>
      <c r="BN257" s="1771" t="str">
        <f t="shared" si="225"/>
        <v/>
      </c>
      <c r="BO257" s="1771" t="str">
        <f t="shared" si="225"/>
        <v/>
      </c>
      <c r="BP257" s="1771" t="str">
        <f t="shared" si="225"/>
        <v/>
      </c>
      <c r="BQ257" s="1771" t="str">
        <f t="shared" si="225"/>
        <v/>
      </c>
      <c r="BR257" s="3437" t="str">
        <f t="shared" si="226"/>
        <v/>
      </c>
      <c r="BS257" s="1771" t="str">
        <f t="shared" si="226"/>
        <v/>
      </c>
      <c r="BT257" s="1771" t="str">
        <f t="shared" si="226"/>
        <v/>
      </c>
      <c r="BU257" s="3442" t="str">
        <f t="shared" si="226"/>
        <v/>
      </c>
      <c r="BV257" s="1771" t="str">
        <f t="shared" si="226"/>
        <v/>
      </c>
      <c r="BW257" s="3442" t="str">
        <f t="shared" si="226"/>
        <v/>
      </c>
      <c r="BX257" s="3462"/>
      <c r="BY257" s="3439" t="str">
        <f>IF(L257=L319,"stop","")</f>
        <v/>
      </c>
      <c r="BZ257" s="3437" t="str">
        <f t="shared" si="227"/>
        <v/>
      </c>
      <c r="CA257" s="1771" t="str">
        <f t="shared" si="227"/>
        <v/>
      </c>
      <c r="CB257" s="1771" t="str">
        <f t="shared" si="227"/>
        <v/>
      </c>
      <c r="CC257" s="3442" t="str">
        <f t="shared" si="227"/>
        <v/>
      </c>
      <c r="CD257" s="1771" t="str">
        <f t="shared" si="227"/>
        <v/>
      </c>
      <c r="CE257" s="3437" t="str">
        <f t="shared" si="227"/>
        <v/>
      </c>
      <c r="CF257" s="1771">
        <f t="shared" si="227"/>
        <v>5.5E-2</v>
      </c>
      <c r="CG257" s="1771" t="str">
        <f t="shared" si="227"/>
        <v/>
      </c>
      <c r="CH257" s="3437" t="str">
        <f t="shared" si="227"/>
        <v/>
      </c>
      <c r="CI257" s="1771" t="str">
        <f t="shared" si="227"/>
        <v/>
      </c>
      <c r="CJ257" s="1771" t="str">
        <f t="shared" si="227"/>
        <v/>
      </c>
      <c r="CK257" s="3442" t="str">
        <f t="shared" si="227"/>
        <v/>
      </c>
      <c r="CL257" s="3437" t="str">
        <f t="shared" si="228"/>
        <v/>
      </c>
      <c r="CM257" s="1771" t="str">
        <f t="shared" si="228"/>
        <v/>
      </c>
      <c r="CN257" s="1771" t="str">
        <f t="shared" si="228"/>
        <v/>
      </c>
      <c r="CO257" s="3442" t="str">
        <f t="shared" si="228"/>
        <v/>
      </c>
      <c r="CP257" s="1771" t="str">
        <f t="shared" si="228"/>
        <v/>
      </c>
      <c r="CQ257" s="3442" t="str">
        <f t="shared" si="228"/>
        <v/>
      </c>
      <c r="CR257" s="3462"/>
    </row>
    <row r="258" spans="1:96" s="3" customFormat="1">
      <c r="A258" s="1848" t="s">
        <v>885</v>
      </c>
      <c r="B258" s="816">
        <v>6</v>
      </c>
      <c r="C258" s="816">
        <v>6.74</v>
      </c>
      <c r="D258" s="816">
        <v>0.03</v>
      </c>
      <c r="E258" s="1802" t="s">
        <v>784</v>
      </c>
      <c r="F258" s="816">
        <v>0.03</v>
      </c>
      <c r="G258" s="816" t="s">
        <v>784</v>
      </c>
      <c r="H258" s="816">
        <v>1988</v>
      </c>
      <c r="I258" s="50"/>
      <c r="J258" s="816">
        <f t="shared" si="196"/>
        <v>6.74</v>
      </c>
      <c r="K258" s="816">
        <v>0.03</v>
      </c>
      <c r="L258" s="816" t="s">
        <v>784</v>
      </c>
      <c r="M258" s="816">
        <v>0.03</v>
      </c>
      <c r="N258" s="845">
        <f t="shared" si="198"/>
        <v>0.03</v>
      </c>
      <c r="O258" s="1831">
        <f t="shared" si="199"/>
        <v>0.03</v>
      </c>
      <c r="P258" s="825" t="s">
        <v>1087</v>
      </c>
      <c r="Q258" s="3" t="str">
        <f>IF(J258=J319,"stop","")</f>
        <v/>
      </c>
      <c r="R258" s="3437" t="str">
        <f t="shared" si="222"/>
        <v/>
      </c>
      <c r="S258" s="1771" t="str">
        <f t="shared" si="222"/>
        <v/>
      </c>
      <c r="T258" s="1771" t="str">
        <f t="shared" si="222"/>
        <v/>
      </c>
      <c r="U258" s="1771" t="str">
        <f t="shared" si="222"/>
        <v/>
      </c>
      <c r="V258" s="3443" t="str">
        <f t="shared" si="222"/>
        <v/>
      </c>
      <c r="W258" s="1771" t="str">
        <f t="shared" si="222"/>
        <v/>
      </c>
      <c r="X258" s="1771">
        <f t="shared" si="222"/>
        <v>0.03</v>
      </c>
      <c r="Y258" s="1771" t="str">
        <f t="shared" si="222"/>
        <v/>
      </c>
      <c r="Z258" s="3437" t="str">
        <f t="shared" si="222"/>
        <v/>
      </c>
      <c r="AA258" s="1771" t="str">
        <f t="shared" si="222"/>
        <v/>
      </c>
      <c r="AB258" s="1771" t="str">
        <f t="shared" si="222"/>
        <v/>
      </c>
      <c r="AC258" s="3442" t="str">
        <f t="shared" si="222"/>
        <v/>
      </c>
      <c r="AD258" s="1771" t="str">
        <f t="shared" si="222"/>
        <v/>
      </c>
      <c r="AE258" s="1771" t="str">
        <f t="shared" si="222"/>
        <v/>
      </c>
      <c r="AF258" s="1771" t="str">
        <f t="shared" si="222"/>
        <v/>
      </c>
      <c r="AG258" s="3442" t="str">
        <f t="shared" si="221"/>
        <v/>
      </c>
      <c r="AH258" s="1771" t="str">
        <f t="shared" si="221"/>
        <v/>
      </c>
      <c r="AI258" s="3442" t="str">
        <f t="shared" si="221"/>
        <v/>
      </c>
      <c r="AJ258" s="3462"/>
      <c r="AK258" s="3439" t="str">
        <f>IF(J258=J319,"stop","")</f>
        <v/>
      </c>
      <c r="AL258" s="3437" t="str">
        <f t="shared" si="223"/>
        <v/>
      </c>
      <c r="AM258" s="1771" t="str">
        <f t="shared" si="223"/>
        <v/>
      </c>
      <c r="AN258" s="1771" t="str">
        <f t="shared" si="223"/>
        <v/>
      </c>
      <c r="AO258" s="1771" t="str">
        <f t="shared" si="223"/>
        <v/>
      </c>
      <c r="AP258" s="3443" t="str">
        <f t="shared" si="223"/>
        <v/>
      </c>
      <c r="AQ258" s="1771" t="str">
        <f t="shared" si="223"/>
        <v/>
      </c>
      <c r="AR258" s="1771">
        <f t="shared" si="223"/>
        <v>0.03</v>
      </c>
      <c r="AS258" s="3442" t="str">
        <f t="shared" si="223"/>
        <v/>
      </c>
      <c r="AT258" s="1771" t="str">
        <f t="shared" si="223"/>
        <v/>
      </c>
      <c r="AU258" s="1771" t="str">
        <f t="shared" si="223"/>
        <v/>
      </c>
      <c r="AV258" s="1771" t="str">
        <f t="shared" si="223"/>
        <v/>
      </c>
      <c r="AW258" s="3442" t="str">
        <f t="shared" si="223"/>
        <v/>
      </c>
      <c r="AX258" s="1771" t="str">
        <f t="shared" si="224"/>
        <v/>
      </c>
      <c r="AY258" s="1771" t="str">
        <f t="shared" si="224"/>
        <v/>
      </c>
      <c r="AZ258" s="1771" t="str">
        <f t="shared" si="224"/>
        <v/>
      </c>
      <c r="BA258" s="1771" t="str">
        <f t="shared" si="224"/>
        <v/>
      </c>
      <c r="BB258" s="3437" t="str">
        <f t="shared" si="224"/>
        <v/>
      </c>
      <c r="BC258" s="3443" t="str">
        <f t="shared" si="224"/>
        <v/>
      </c>
      <c r="BD258" s="3462"/>
      <c r="BE258" s="3440" t="str">
        <f>IF(J258=J319,"stop","")</f>
        <v/>
      </c>
      <c r="BF258" s="1771" t="str">
        <f t="shared" si="225"/>
        <v/>
      </c>
      <c r="BG258" s="1771" t="str">
        <f t="shared" si="225"/>
        <v/>
      </c>
      <c r="BH258" s="1771" t="str">
        <f t="shared" si="225"/>
        <v/>
      </c>
      <c r="BI258" s="1771" t="str">
        <f t="shared" si="225"/>
        <v/>
      </c>
      <c r="BJ258" s="3443" t="str">
        <f t="shared" si="225"/>
        <v/>
      </c>
      <c r="BK258" s="3437" t="str">
        <f t="shared" si="225"/>
        <v/>
      </c>
      <c r="BL258" s="1771">
        <f t="shared" si="225"/>
        <v>0.03</v>
      </c>
      <c r="BM258" s="3442" t="str">
        <f t="shared" si="225"/>
        <v/>
      </c>
      <c r="BN258" s="1771" t="str">
        <f t="shared" si="225"/>
        <v/>
      </c>
      <c r="BO258" s="1771" t="str">
        <f t="shared" si="225"/>
        <v/>
      </c>
      <c r="BP258" s="1771" t="str">
        <f t="shared" si="225"/>
        <v/>
      </c>
      <c r="BQ258" s="1771" t="str">
        <f t="shared" si="225"/>
        <v/>
      </c>
      <c r="BR258" s="3437" t="str">
        <f t="shared" si="226"/>
        <v/>
      </c>
      <c r="BS258" s="1771" t="str">
        <f t="shared" si="226"/>
        <v/>
      </c>
      <c r="BT258" s="1771" t="str">
        <f t="shared" si="226"/>
        <v/>
      </c>
      <c r="BU258" s="3442" t="str">
        <f t="shared" si="226"/>
        <v/>
      </c>
      <c r="BV258" s="1771" t="str">
        <f t="shared" si="226"/>
        <v/>
      </c>
      <c r="BW258" s="3442" t="str">
        <f t="shared" si="226"/>
        <v/>
      </c>
      <c r="BX258" s="3462"/>
      <c r="BY258" s="3439" t="str">
        <f>IF(L258=L319,"stop","")</f>
        <v/>
      </c>
      <c r="BZ258" s="3437" t="str">
        <f t="shared" si="227"/>
        <v/>
      </c>
      <c r="CA258" s="1771" t="str">
        <f t="shared" si="227"/>
        <v/>
      </c>
      <c r="CB258" s="1771" t="str">
        <f t="shared" si="227"/>
        <v/>
      </c>
      <c r="CC258" s="3442" t="str">
        <f t="shared" si="227"/>
        <v/>
      </c>
      <c r="CD258" s="1771" t="str">
        <f t="shared" si="227"/>
        <v/>
      </c>
      <c r="CE258" s="3437" t="str">
        <f t="shared" si="227"/>
        <v/>
      </c>
      <c r="CF258" s="1771">
        <f t="shared" si="227"/>
        <v>0.03</v>
      </c>
      <c r="CG258" s="1771" t="str">
        <f t="shared" si="227"/>
        <v/>
      </c>
      <c r="CH258" s="3437" t="str">
        <f t="shared" si="227"/>
        <v/>
      </c>
      <c r="CI258" s="1771" t="str">
        <f t="shared" si="227"/>
        <v/>
      </c>
      <c r="CJ258" s="1771" t="str">
        <f t="shared" si="227"/>
        <v/>
      </c>
      <c r="CK258" s="3442" t="str">
        <f t="shared" si="227"/>
        <v/>
      </c>
      <c r="CL258" s="3437" t="str">
        <f t="shared" si="228"/>
        <v/>
      </c>
      <c r="CM258" s="1771" t="str">
        <f t="shared" si="228"/>
        <v/>
      </c>
      <c r="CN258" s="1771" t="str">
        <f t="shared" si="228"/>
        <v/>
      </c>
      <c r="CO258" s="3442" t="str">
        <f t="shared" si="228"/>
        <v/>
      </c>
      <c r="CP258" s="1771" t="str">
        <f t="shared" si="228"/>
        <v/>
      </c>
      <c r="CQ258" s="3442" t="str">
        <f t="shared" si="228"/>
        <v/>
      </c>
      <c r="CR258" s="3462"/>
    </row>
    <row r="259" spans="1:96" s="3" customFormat="1">
      <c r="A259" s="1847" t="s">
        <v>716</v>
      </c>
      <c r="B259" s="815" t="s">
        <v>717</v>
      </c>
      <c r="C259" s="816"/>
      <c r="D259" s="816"/>
      <c r="E259" s="1802"/>
      <c r="F259" s="816"/>
      <c r="G259" s="816"/>
      <c r="H259" s="816"/>
      <c r="I259" s="50"/>
      <c r="J259" s="816"/>
      <c r="K259" s="816"/>
      <c r="L259" s="816"/>
      <c r="M259" s="816"/>
      <c r="N259" s="845">
        <f t="shared" si="198"/>
        <v>0</v>
      </c>
      <c r="O259" s="1831">
        <f t="shared" si="199"/>
        <v>0</v>
      </c>
      <c r="P259" s="825" t="s">
        <v>1088</v>
      </c>
      <c r="Q259" s="3" t="str">
        <f>IF(J259=J319,"stop","")</f>
        <v/>
      </c>
      <c r="R259" s="3437" t="str">
        <f t="shared" si="222"/>
        <v/>
      </c>
      <c r="S259" s="1771" t="str">
        <f t="shared" si="222"/>
        <v/>
      </c>
      <c r="T259" s="1771" t="str">
        <f t="shared" si="222"/>
        <v/>
      </c>
      <c r="U259" s="1771" t="str">
        <f t="shared" si="222"/>
        <v/>
      </c>
      <c r="V259" s="3443" t="str">
        <f t="shared" si="222"/>
        <v/>
      </c>
      <c r="W259" s="1771" t="str">
        <f t="shared" si="222"/>
        <v/>
      </c>
      <c r="X259" s="1771" t="str">
        <f t="shared" si="222"/>
        <v/>
      </c>
      <c r="Y259" s="1771" t="str">
        <f t="shared" si="222"/>
        <v/>
      </c>
      <c r="Z259" s="3437" t="str">
        <f t="shared" si="222"/>
        <v/>
      </c>
      <c r="AA259" s="1771" t="str">
        <f t="shared" si="222"/>
        <v/>
      </c>
      <c r="AB259" s="1771" t="str">
        <f t="shared" si="222"/>
        <v/>
      </c>
      <c r="AC259" s="3442" t="str">
        <f t="shared" si="222"/>
        <v/>
      </c>
      <c r="AD259" s="1771" t="str">
        <f t="shared" si="222"/>
        <v/>
      </c>
      <c r="AE259" s="1771" t="str">
        <f t="shared" si="222"/>
        <v/>
      </c>
      <c r="AF259" s="1771" t="str">
        <f t="shared" si="222"/>
        <v/>
      </c>
      <c r="AG259" s="3442" t="str">
        <f t="shared" si="221"/>
        <v/>
      </c>
      <c r="AH259" s="1771" t="str">
        <f t="shared" si="221"/>
        <v/>
      </c>
      <c r="AI259" s="3442" t="str">
        <f t="shared" si="221"/>
        <v/>
      </c>
      <c r="AJ259" s="3462"/>
      <c r="AK259" s="3439" t="str">
        <f>IF(J259=J319,"stop","")</f>
        <v/>
      </c>
      <c r="AL259" s="3437" t="str">
        <f t="shared" si="223"/>
        <v/>
      </c>
      <c r="AM259" s="1771" t="str">
        <f t="shared" si="223"/>
        <v/>
      </c>
      <c r="AN259" s="1771" t="str">
        <f t="shared" si="223"/>
        <v/>
      </c>
      <c r="AO259" s="1771" t="str">
        <f t="shared" si="223"/>
        <v/>
      </c>
      <c r="AP259" s="3443" t="str">
        <f t="shared" si="223"/>
        <v/>
      </c>
      <c r="AQ259" s="1771" t="str">
        <f t="shared" si="223"/>
        <v/>
      </c>
      <c r="AR259" s="1771" t="str">
        <f t="shared" si="223"/>
        <v/>
      </c>
      <c r="AS259" s="3442" t="str">
        <f t="shared" si="223"/>
        <v/>
      </c>
      <c r="AT259" s="1771" t="str">
        <f t="shared" si="223"/>
        <v/>
      </c>
      <c r="AU259" s="1771" t="str">
        <f t="shared" si="223"/>
        <v/>
      </c>
      <c r="AV259" s="1771" t="str">
        <f t="shared" si="223"/>
        <v/>
      </c>
      <c r="AW259" s="3442" t="str">
        <f t="shared" si="223"/>
        <v/>
      </c>
      <c r="AX259" s="1771" t="str">
        <f t="shared" si="224"/>
        <v/>
      </c>
      <c r="AY259" s="1771" t="str">
        <f t="shared" si="224"/>
        <v/>
      </c>
      <c r="AZ259" s="1771" t="str">
        <f t="shared" si="224"/>
        <v/>
      </c>
      <c r="BA259" s="1771" t="str">
        <f t="shared" si="224"/>
        <v/>
      </c>
      <c r="BB259" s="3437" t="str">
        <f t="shared" si="224"/>
        <v/>
      </c>
      <c r="BC259" s="3443" t="str">
        <f t="shared" si="224"/>
        <v/>
      </c>
      <c r="BD259" s="3462"/>
      <c r="BE259" s="3440" t="str">
        <f>IF(J259=J319,"stop","")</f>
        <v/>
      </c>
      <c r="BF259" s="1771" t="str">
        <f t="shared" si="225"/>
        <v/>
      </c>
      <c r="BG259" s="1771" t="str">
        <f t="shared" si="225"/>
        <v/>
      </c>
      <c r="BH259" s="1771" t="str">
        <f t="shared" si="225"/>
        <v/>
      </c>
      <c r="BI259" s="1771" t="str">
        <f t="shared" si="225"/>
        <v/>
      </c>
      <c r="BJ259" s="3443" t="str">
        <f t="shared" si="225"/>
        <v/>
      </c>
      <c r="BK259" s="3437" t="str">
        <f t="shared" si="225"/>
        <v/>
      </c>
      <c r="BL259" s="1771" t="str">
        <f t="shared" si="225"/>
        <v/>
      </c>
      <c r="BM259" s="3442" t="str">
        <f t="shared" si="225"/>
        <v/>
      </c>
      <c r="BN259" s="1771" t="str">
        <f t="shared" si="225"/>
        <v/>
      </c>
      <c r="BO259" s="1771" t="str">
        <f t="shared" si="225"/>
        <v/>
      </c>
      <c r="BP259" s="1771" t="str">
        <f t="shared" si="225"/>
        <v/>
      </c>
      <c r="BQ259" s="1771" t="str">
        <f t="shared" si="225"/>
        <v/>
      </c>
      <c r="BR259" s="3437" t="str">
        <f t="shared" si="226"/>
        <v/>
      </c>
      <c r="BS259" s="1771" t="str">
        <f t="shared" si="226"/>
        <v/>
      </c>
      <c r="BT259" s="1771" t="str">
        <f t="shared" si="226"/>
        <v/>
      </c>
      <c r="BU259" s="3442" t="str">
        <f t="shared" si="226"/>
        <v/>
      </c>
      <c r="BV259" s="1771" t="str">
        <f t="shared" si="226"/>
        <v/>
      </c>
      <c r="BW259" s="3442" t="str">
        <f t="shared" si="226"/>
        <v/>
      </c>
      <c r="BX259" s="3462"/>
      <c r="BY259" s="3439" t="str">
        <f>IF(L259=L319,"stop","")</f>
        <v>stop</v>
      </c>
      <c r="BZ259" s="3437" t="str">
        <f t="shared" si="227"/>
        <v/>
      </c>
      <c r="CA259" s="1771" t="str">
        <f t="shared" si="227"/>
        <v/>
      </c>
      <c r="CB259" s="1771" t="str">
        <f t="shared" si="227"/>
        <v/>
      </c>
      <c r="CC259" s="3442" t="str">
        <f t="shared" si="227"/>
        <v/>
      </c>
      <c r="CD259" s="1771" t="str">
        <f t="shared" si="227"/>
        <v/>
      </c>
      <c r="CE259" s="3437" t="str">
        <f t="shared" si="227"/>
        <v/>
      </c>
      <c r="CF259" s="1771" t="str">
        <f t="shared" si="227"/>
        <v/>
      </c>
      <c r="CG259" s="1771" t="str">
        <f t="shared" si="227"/>
        <v/>
      </c>
      <c r="CH259" s="3437" t="str">
        <f t="shared" si="227"/>
        <v/>
      </c>
      <c r="CI259" s="1771" t="str">
        <f t="shared" si="227"/>
        <v/>
      </c>
      <c r="CJ259" s="1771" t="str">
        <f t="shared" si="227"/>
        <v/>
      </c>
      <c r="CK259" s="3442" t="str">
        <f t="shared" si="227"/>
        <v/>
      </c>
      <c r="CL259" s="3437" t="str">
        <f t="shared" si="228"/>
        <v/>
      </c>
      <c r="CM259" s="1771" t="str">
        <f t="shared" si="228"/>
        <v/>
      </c>
      <c r="CN259" s="1771" t="str">
        <f t="shared" si="228"/>
        <v/>
      </c>
      <c r="CO259" s="3442" t="str">
        <f t="shared" si="228"/>
        <v/>
      </c>
      <c r="CP259" s="1771" t="str">
        <f t="shared" si="228"/>
        <v/>
      </c>
      <c r="CQ259" s="3442" t="str">
        <f t="shared" si="228"/>
        <v/>
      </c>
      <c r="CR259" s="3462"/>
    </row>
    <row r="260" spans="1:96" s="3" customFormat="1">
      <c r="A260" s="1848" t="s">
        <v>718</v>
      </c>
      <c r="B260" s="816">
        <v>6</v>
      </c>
      <c r="C260" s="816">
        <v>6.5</v>
      </c>
      <c r="D260" s="816">
        <v>0.12</v>
      </c>
      <c r="E260" s="1802" t="s">
        <v>35</v>
      </c>
      <c r="F260" s="816">
        <v>3.5</v>
      </c>
      <c r="G260" s="816" t="s">
        <v>784</v>
      </c>
      <c r="H260" s="816">
        <v>1988</v>
      </c>
      <c r="I260" s="50"/>
      <c r="J260" s="816">
        <f t="shared" si="196"/>
        <v>6.5</v>
      </c>
      <c r="K260" s="816">
        <v>0.12</v>
      </c>
      <c r="L260" s="816" t="s">
        <v>35</v>
      </c>
      <c r="M260" s="816">
        <v>3.5</v>
      </c>
      <c r="N260" s="845">
        <f t="shared" si="198"/>
        <v>0.64807406984078597</v>
      </c>
      <c r="O260" s="1831">
        <f t="shared" si="199"/>
        <v>1.81</v>
      </c>
      <c r="P260" s="825" t="s">
        <v>1088</v>
      </c>
      <c r="Q260" s="3" t="str">
        <f>IF(J260=J319,"stop","")</f>
        <v/>
      </c>
      <c r="R260" s="3437">
        <f t="shared" si="222"/>
        <v>0.12</v>
      </c>
      <c r="S260" s="1771" t="str">
        <f t="shared" si="222"/>
        <v/>
      </c>
      <c r="T260" s="1771" t="str">
        <f t="shared" si="222"/>
        <v/>
      </c>
      <c r="U260" s="1771" t="str">
        <f t="shared" si="222"/>
        <v/>
      </c>
      <c r="V260" s="3443" t="str">
        <f t="shared" si="222"/>
        <v/>
      </c>
      <c r="W260" s="1771" t="str">
        <f t="shared" si="222"/>
        <v/>
      </c>
      <c r="X260" s="1771" t="str">
        <f t="shared" si="222"/>
        <v/>
      </c>
      <c r="Y260" s="1771" t="str">
        <f t="shared" si="222"/>
        <v/>
      </c>
      <c r="Z260" s="3437" t="str">
        <f t="shared" si="222"/>
        <v/>
      </c>
      <c r="AA260" s="1771" t="str">
        <f t="shared" si="222"/>
        <v/>
      </c>
      <c r="AB260" s="1771" t="str">
        <f t="shared" si="222"/>
        <v/>
      </c>
      <c r="AC260" s="3442" t="str">
        <f t="shared" si="222"/>
        <v/>
      </c>
      <c r="AD260" s="1771" t="str">
        <f t="shared" si="222"/>
        <v/>
      </c>
      <c r="AE260" s="1771" t="str">
        <f t="shared" si="222"/>
        <v/>
      </c>
      <c r="AF260" s="1771" t="str">
        <f t="shared" si="222"/>
        <v/>
      </c>
      <c r="AG260" s="3442" t="str">
        <f t="shared" si="221"/>
        <v/>
      </c>
      <c r="AH260" s="1771" t="str">
        <f t="shared" si="221"/>
        <v/>
      </c>
      <c r="AI260" s="3442" t="str">
        <f t="shared" si="221"/>
        <v/>
      </c>
      <c r="AJ260" s="3462"/>
      <c r="AK260" s="3439" t="str">
        <f>IF(J260=J319,"stop","")</f>
        <v/>
      </c>
      <c r="AL260" s="3437">
        <f t="shared" si="223"/>
        <v>3.5</v>
      </c>
      <c r="AM260" s="1771" t="str">
        <f t="shared" si="223"/>
        <v/>
      </c>
      <c r="AN260" s="1771" t="str">
        <f t="shared" si="223"/>
        <v/>
      </c>
      <c r="AO260" s="1771" t="str">
        <f t="shared" si="223"/>
        <v/>
      </c>
      <c r="AP260" s="3443" t="str">
        <f t="shared" si="223"/>
        <v/>
      </c>
      <c r="AQ260" s="1771" t="str">
        <f t="shared" si="223"/>
        <v/>
      </c>
      <c r="AR260" s="1771" t="str">
        <f t="shared" si="223"/>
        <v/>
      </c>
      <c r="AS260" s="3442" t="str">
        <f t="shared" si="223"/>
        <v/>
      </c>
      <c r="AT260" s="1771" t="str">
        <f t="shared" si="223"/>
        <v/>
      </c>
      <c r="AU260" s="1771" t="str">
        <f t="shared" si="223"/>
        <v/>
      </c>
      <c r="AV260" s="1771" t="str">
        <f t="shared" si="223"/>
        <v/>
      </c>
      <c r="AW260" s="3442" t="str">
        <f t="shared" si="223"/>
        <v/>
      </c>
      <c r="AX260" s="1771" t="str">
        <f t="shared" si="224"/>
        <v/>
      </c>
      <c r="AY260" s="1771" t="str">
        <f t="shared" si="224"/>
        <v/>
      </c>
      <c r="AZ260" s="1771" t="str">
        <f t="shared" si="224"/>
        <v/>
      </c>
      <c r="BA260" s="1771" t="str">
        <f t="shared" si="224"/>
        <v/>
      </c>
      <c r="BB260" s="3437" t="str">
        <f t="shared" si="224"/>
        <v/>
      </c>
      <c r="BC260" s="3443" t="str">
        <f t="shared" si="224"/>
        <v/>
      </c>
      <c r="BD260" s="3462"/>
      <c r="BE260" s="3440" t="str">
        <f>IF(J260=J319,"stop","")</f>
        <v/>
      </c>
      <c r="BF260" s="1771">
        <f t="shared" si="225"/>
        <v>0.64807406984078597</v>
      </c>
      <c r="BG260" s="1771" t="str">
        <f t="shared" si="225"/>
        <v/>
      </c>
      <c r="BH260" s="1771" t="str">
        <f t="shared" si="225"/>
        <v/>
      </c>
      <c r="BI260" s="1771" t="str">
        <f t="shared" si="225"/>
        <v/>
      </c>
      <c r="BJ260" s="3443" t="str">
        <f t="shared" si="225"/>
        <v/>
      </c>
      <c r="BK260" s="3437" t="str">
        <f t="shared" si="225"/>
        <v/>
      </c>
      <c r="BL260" s="1771" t="str">
        <f t="shared" si="225"/>
        <v/>
      </c>
      <c r="BM260" s="3442" t="str">
        <f t="shared" si="225"/>
        <v/>
      </c>
      <c r="BN260" s="1771" t="str">
        <f t="shared" si="225"/>
        <v/>
      </c>
      <c r="BO260" s="1771" t="str">
        <f t="shared" si="225"/>
        <v/>
      </c>
      <c r="BP260" s="1771" t="str">
        <f t="shared" si="225"/>
        <v/>
      </c>
      <c r="BQ260" s="1771" t="str">
        <f t="shared" si="225"/>
        <v/>
      </c>
      <c r="BR260" s="3437" t="str">
        <f t="shared" si="226"/>
        <v/>
      </c>
      <c r="BS260" s="1771" t="str">
        <f t="shared" si="226"/>
        <v/>
      </c>
      <c r="BT260" s="1771" t="str">
        <f t="shared" si="226"/>
        <v/>
      </c>
      <c r="BU260" s="3442" t="str">
        <f t="shared" si="226"/>
        <v/>
      </c>
      <c r="BV260" s="1771" t="str">
        <f t="shared" si="226"/>
        <v/>
      </c>
      <c r="BW260" s="3442" t="str">
        <f t="shared" si="226"/>
        <v/>
      </c>
      <c r="BX260" s="3462"/>
      <c r="BY260" s="3439" t="str">
        <f>IF(L260=L319,"stop","")</f>
        <v/>
      </c>
      <c r="BZ260" s="3437">
        <f t="shared" si="227"/>
        <v>1.81</v>
      </c>
      <c r="CA260" s="1771" t="str">
        <f t="shared" si="227"/>
        <v/>
      </c>
      <c r="CB260" s="1771" t="str">
        <f t="shared" si="227"/>
        <v/>
      </c>
      <c r="CC260" s="3442" t="str">
        <f t="shared" si="227"/>
        <v/>
      </c>
      <c r="CD260" s="1771" t="str">
        <f t="shared" si="227"/>
        <v/>
      </c>
      <c r="CE260" s="3437" t="str">
        <f t="shared" si="227"/>
        <v/>
      </c>
      <c r="CF260" s="1771" t="str">
        <f t="shared" si="227"/>
        <v/>
      </c>
      <c r="CG260" s="1771" t="str">
        <f t="shared" si="227"/>
        <v/>
      </c>
      <c r="CH260" s="3437" t="str">
        <f t="shared" si="227"/>
        <v/>
      </c>
      <c r="CI260" s="1771" t="str">
        <f t="shared" si="227"/>
        <v/>
      </c>
      <c r="CJ260" s="1771" t="str">
        <f t="shared" si="227"/>
        <v/>
      </c>
      <c r="CK260" s="3442" t="str">
        <f t="shared" si="227"/>
        <v/>
      </c>
      <c r="CL260" s="3437" t="str">
        <f t="shared" si="228"/>
        <v/>
      </c>
      <c r="CM260" s="1771" t="str">
        <f t="shared" si="228"/>
        <v/>
      </c>
      <c r="CN260" s="1771" t="str">
        <f t="shared" si="228"/>
        <v/>
      </c>
      <c r="CO260" s="3442" t="str">
        <f t="shared" si="228"/>
        <v/>
      </c>
      <c r="CP260" s="1771" t="str">
        <f t="shared" si="228"/>
        <v/>
      </c>
      <c r="CQ260" s="3442" t="str">
        <f t="shared" si="228"/>
        <v/>
      </c>
      <c r="CR260" s="3462"/>
    </row>
    <row r="261" spans="1:96" s="3" customFormat="1">
      <c r="A261" s="1848" t="s">
        <v>719</v>
      </c>
      <c r="B261" s="816">
        <v>7</v>
      </c>
      <c r="C261" s="816">
        <v>7.5810000000000004</v>
      </c>
      <c r="D261" s="816">
        <v>2.73</v>
      </c>
      <c r="E261" s="1802" t="s">
        <v>35</v>
      </c>
      <c r="F261" s="816">
        <v>21.8</v>
      </c>
      <c r="G261" s="816" t="s">
        <v>784</v>
      </c>
      <c r="H261" s="816">
        <v>1988</v>
      </c>
      <c r="I261" s="50"/>
      <c r="J261" s="816">
        <f t="shared" si="196"/>
        <v>7.5810000000000004</v>
      </c>
      <c r="K261" s="816">
        <v>2.73</v>
      </c>
      <c r="L261" s="816" t="s">
        <v>35</v>
      </c>
      <c r="M261" s="816">
        <v>21.8</v>
      </c>
      <c r="N261" s="845">
        <f t="shared" si="198"/>
        <v>7.7145317421085258</v>
      </c>
      <c r="O261" s="1831">
        <f t="shared" si="199"/>
        <v>12.265000000000001</v>
      </c>
      <c r="P261" s="825" t="s">
        <v>1088</v>
      </c>
      <c r="Q261" s="3" t="str">
        <f>IF(J261=J319,"stop","")</f>
        <v/>
      </c>
      <c r="R261" s="3437" t="str">
        <f t="shared" si="222"/>
        <v/>
      </c>
      <c r="S261" s="1771">
        <f t="shared" si="222"/>
        <v>2.73</v>
      </c>
      <c r="T261" s="1771" t="str">
        <f t="shared" si="222"/>
        <v/>
      </c>
      <c r="U261" s="1771" t="str">
        <f t="shared" si="222"/>
        <v/>
      </c>
      <c r="V261" s="3443" t="str">
        <f t="shared" si="222"/>
        <v/>
      </c>
      <c r="W261" s="1771" t="str">
        <f t="shared" si="222"/>
        <v/>
      </c>
      <c r="X261" s="1771" t="str">
        <f t="shared" si="222"/>
        <v/>
      </c>
      <c r="Y261" s="1771" t="str">
        <f t="shared" si="222"/>
        <v/>
      </c>
      <c r="Z261" s="3437" t="str">
        <f t="shared" si="222"/>
        <v/>
      </c>
      <c r="AA261" s="1771" t="str">
        <f t="shared" si="222"/>
        <v/>
      </c>
      <c r="AB261" s="1771" t="str">
        <f t="shared" si="222"/>
        <v/>
      </c>
      <c r="AC261" s="3442" t="str">
        <f t="shared" si="222"/>
        <v/>
      </c>
      <c r="AD261" s="1771" t="str">
        <f t="shared" si="222"/>
        <v/>
      </c>
      <c r="AE261" s="1771" t="str">
        <f t="shared" si="222"/>
        <v/>
      </c>
      <c r="AF261" s="1771" t="str">
        <f t="shared" si="222"/>
        <v/>
      </c>
      <c r="AG261" s="3442" t="str">
        <f t="shared" si="221"/>
        <v/>
      </c>
      <c r="AH261" s="1771" t="str">
        <f t="shared" si="221"/>
        <v/>
      </c>
      <c r="AI261" s="3442" t="str">
        <f t="shared" si="221"/>
        <v/>
      </c>
      <c r="AJ261" s="3462"/>
      <c r="AK261" s="3439" t="str">
        <f>IF(J261=J319,"stop","")</f>
        <v/>
      </c>
      <c r="AL261" s="3437" t="str">
        <f t="shared" ref="AL261:AW270" si="229">IF(AND($J261&gt;AL$4,$J261&lt;=AL$5,$P261=AL$6),$M261,"")</f>
        <v/>
      </c>
      <c r="AM261" s="1771">
        <f t="shared" si="229"/>
        <v>21.8</v>
      </c>
      <c r="AN261" s="1771" t="str">
        <f t="shared" si="229"/>
        <v/>
      </c>
      <c r="AO261" s="1771" t="str">
        <f t="shared" si="229"/>
        <v/>
      </c>
      <c r="AP261" s="3443" t="str">
        <f t="shared" si="229"/>
        <v/>
      </c>
      <c r="AQ261" s="1771" t="str">
        <f t="shared" si="229"/>
        <v/>
      </c>
      <c r="AR261" s="1771" t="str">
        <f t="shared" si="229"/>
        <v/>
      </c>
      <c r="AS261" s="3442" t="str">
        <f t="shared" si="229"/>
        <v/>
      </c>
      <c r="AT261" s="1771" t="str">
        <f t="shared" si="229"/>
        <v/>
      </c>
      <c r="AU261" s="1771" t="str">
        <f t="shared" si="229"/>
        <v/>
      </c>
      <c r="AV261" s="1771" t="str">
        <f t="shared" si="229"/>
        <v/>
      </c>
      <c r="AW261" s="3442" t="str">
        <f t="shared" si="229"/>
        <v/>
      </c>
      <c r="AX261" s="1771" t="str">
        <f t="shared" ref="AX261:BC270" si="230">IF(AND($J261&gt;AX$4,$J261&lt;=AX$5,$P261=AX$6),$M261,"")</f>
        <v/>
      </c>
      <c r="AY261" s="1771" t="str">
        <f t="shared" si="230"/>
        <v/>
      </c>
      <c r="AZ261" s="1771" t="str">
        <f t="shared" si="230"/>
        <v/>
      </c>
      <c r="BA261" s="1771" t="str">
        <f t="shared" si="230"/>
        <v/>
      </c>
      <c r="BB261" s="3437" t="str">
        <f t="shared" si="230"/>
        <v/>
      </c>
      <c r="BC261" s="3443" t="str">
        <f t="shared" si="230"/>
        <v/>
      </c>
      <c r="BD261" s="3462"/>
      <c r="BE261" s="3440" t="str">
        <f>IF(J261=J319,"stop","")</f>
        <v/>
      </c>
      <c r="BF261" s="1771" t="str">
        <f t="shared" ref="BF261:BQ270" si="231">IF(AND($J261&gt;BF$4,$J261&lt;=BF$5,$P261=BF$6),$N261,"")</f>
        <v/>
      </c>
      <c r="BG261" s="1771">
        <f t="shared" si="231"/>
        <v>7.7145317421085258</v>
      </c>
      <c r="BH261" s="1771" t="str">
        <f t="shared" si="231"/>
        <v/>
      </c>
      <c r="BI261" s="1771" t="str">
        <f t="shared" si="231"/>
        <v/>
      </c>
      <c r="BJ261" s="3443" t="str">
        <f t="shared" si="231"/>
        <v/>
      </c>
      <c r="BK261" s="3437" t="str">
        <f t="shared" si="231"/>
        <v/>
      </c>
      <c r="BL261" s="1771" t="str">
        <f t="shared" si="231"/>
        <v/>
      </c>
      <c r="BM261" s="3442" t="str">
        <f t="shared" si="231"/>
        <v/>
      </c>
      <c r="BN261" s="1771" t="str">
        <f t="shared" si="231"/>
        <v/>
      </c>
      <c r="BO261" s="1771" t="str">
        <f t="shared" si="231"/>
        <v/>
      </c>
      <c r="BP261" s="1771" t="str">
        <f t="shared" si="231"/>
        <v/>
      </c>
      <c r="BQ261" s="1771" t="str">
        <f t="shared" si="231"/>
        <v/>
      </c>
      <c r="BR261" s="3437" t="str">
        <f t="shared" ref="BR261:BW270" si="232">IF(AND($J261&gt;BR$4,$J261&lt;=BR$5,$P261=BR$6),$N261,"")</f>
        <v/>
      </c>
      <c r="BS261" s="1771" t="str">
        <f t="shared" si="232"/>
        <v/>
      </c>
      <c r="BT261" s="1771" t="str">
        <f t="shared" si="232"/>
        <v/>
      </c>
      <c r="BU261" s="3442" t="str">
        <f t="shared" si="232"/>
        <v/>
      </c>
      <c r="BV261" s="1771" t="str">
        <f t="shared" si="232"/>
        <v/>
      </c>
      <c r="BW261" s="3442" t="str">
        <f t="shared" si="232"/>
        <v/>
      </c>
      <c r="BX261" s="3462"/>
      <c r="BY261" s="3439" t="str">
        <f>IF(L261=L319,"stop","")</f>
        <v/>
      </c>
      <c r="BZ261" s="3437" t="str">
        <f t="shared" ref="BZ261:CK270" si="233">IF(AND($J261&gt;BZ$4,$J261&lt;=BZ$5,$P261=BZ$6),$O261,"")</f>
        <v/>
      </c>
      <c r="CA261" s="1771">
        <f t="shared" si="233"/>
        <v>12.265000000000001</v>
      </c>
      <c r="CB261" s="1771" t="str">
        <f t="shared" si="233"/>
        <v/>
      </c>
      <c r="CC261" s="3442" t="str">
        <f t="shared" si="233"/>
        <v/>
      </c>
      <c r="CD261" s="1771" t="str">
        <f t="shared" si="233"/>
        <v/>
      </c>
      <c r="CE261" s="3437" t="str">
        <f t="shared" si="233"/>
        <v/>
      </c>
      <c r="CF261" s="1771" t="str">
        <f t="shared" si="233"/>
        <v/>
      </c>
      <c r="CG261" s="1771" t="str">
        <f t="shared" si="233"/>
        <v/>
      </c>
      <c r="CH261" s="3437" t="str">
        <f t="shared" si="233"/>
        <v/>
      </c>
      <c r="CI261" s="1771" t="str">
        <f t="shared" si="233"/>
        <v/>
      </c>
      <c r="CJ261" s="1771" t="str">
        <f t="shared" si="233"/>
        <v/>
      </c>
      <c r="CK261" s="3442" t="str">
        <f t="shared" si="233"/>
        <v/>
      </c>
      <c r="CL261" s="3437" t="str">
        <f t="shared" ref="CL261:CQ270" si="234">IF(AND($J261&gt;CL$4,$J261&lt;=CL$5,$P261=CL$6),$O261,"")</f>
        <v/>
      </c>
      <c r="CM261" s="1771" t="str">
        <f t="shared" si="234"/>
        <v/>
      </c>
      <c r="CN261" s="1771" t="str">
        <f t="shared" si="234"/>
        <v/>
      </c>
      <c r="CO261" s="3442" t="str">
        <f t="shared" si="234"/>
        <v/>
      </c>
      <c r="CP261" s="1771" t="str">
        <f t="shared" si="234"/>
        <v/>
      </c>
      <c r="CQ261" s="3442" t="str">
        <f t="shared" si="234"/>
        <v/>
      </c>
      <c r="CR261" s="3462"/>
    </row>
    <row r="262" spans="1:96" s="3" customFormat="1">
      <c r="A262" s="1848" t="s">
        <v>720</v>
      </c>
      <c r="B262" s="816">
        <v>8</v>
      </c>
      <c r="C262" s="816">
        <v>8.5</v>
      </c>
      <c r="D262" s="816">
        <v>0.36</v>
      </c>
      <c r="E262" s="1802" t="s">
        <v>35</v>
      </c>
      <c r="F262" s="816">
        <v>2.86</v>
      </c>
      <c r="G262" s="816" t="s">
        <v>784</v>
      </c>
      <c r="H262" s="816">
        <v>1988</v>
      </c>
      <c r="I262" s="50"/>
      <c r="J262" s="816">
        <f t="shared" si="196"/>
        <v>8.5</v>
      </c>
      <c r="K262" s="816">
        <v>0.36</v>
      </c>
      <c r="L262" s="816" t="s">
        <v>35</v>
      </c>
      <c r="M262" s="816">
        <v>2.86</v>
      </c>
      <c r="N262" s="845">
        <f t="shared" si="198"/>
        <v>1.0146920715172656</v>
      </c>
      <c r="O262" s="1831">
        <f t="shared" si="199"/>
        <v>1.6099999999999999</v>
      </c>
      <c r="P262" s="825" t="s">
        <v>1088</v>
      </c>
      <c r="Q262" s="3" t="str">
        <f>IF(J262=J319,"stop","")</f>
        <v/>
      </c>
      <c r="R262" s="3437" t="str">
        <f t="shared" si="222"/>
        <v/>
      </c>
      <c r="S262" s="1771" t="str">
        <f t="shared" si="222"/>
        <v/>
      </c>
      <c r="T262" s="1771" t="str">
        <f t="shared" si="222"/>
        <v/>
      </c>
      <c r="U262" s="1771" t="str">
        <f t="shared" si="222"/>
        <v/>
      </c>
      <c r="V262" s="3443">
        <f t="shared" si="222"/>
        <v>0.36</v>
      </c>
      <c r="W262" s="1771" t="str">
        <f t="shared" si="222"/>
        <v/>
      </c>
      <c r="X262" s="1771" t="str">
        <f t="shared" si="222"/>
        <v/>
      </c>
      <c r="Y262" s="1771" t="str">
        <f t="shared" si="222"/>
        <v/>
      </c>
      <c r="Z262" s="3437" t="str">
        <f t="shared" si="222"/>
        <v/>
      </c>
      <c r="AA262" s="1771" t="str">
        <f t="shared" si="222"/>
        <v/>
      </c>
      <c r="AB262" s="1771" t="str">
        <f t="shared" si="222"/>
        <v/>
      </c>
      <c r="AC262" s="3442" t="str">
        <f t="shared" si="222"/>
        <v/>
      </c>
      <c r="AD262" s="1771" t="str">
        <f t="shared" si="222"/>
        <v/>
      </c>
      <c r="AE262" s="1771" t="str">
        <f t="shared" si="222"/>
        <v/>
      </c>
      <c r="AF262" s="1771" t="str">
        <f t="shared" si="222"/>
        <v/>
      </c>
      <c r="AG262" s="3442" t="str">
        <f t="shared" si="221"/>
        <v/>
      </c>
      <c r="AH262" s="1771" t="str">
        <f t="shared" si="221"/>
        <v/>
      </c>
      <c r="AI262" s="3442" t="str">
        <f t="shared" si="221"/>
        <v/>
      </c>
      <c r="AJ262" s="3462"/>
      <c r="AK262" s="3439" t="str">
        <f>IF(J262=J319,"stop","")</f>
        <v/>
      </c>
      <c r="AL262" s="3437" t="str">
        <f t="shared" si="229"/>
        <v/>
      </c>
      <c r="AM262" s="1771" t="str">
        <f t="shared" si="229"/>
        <v/>
      </c>
      <c r="AN262" s="1771" t="str">
        <f t="shared" si="229"/>
        <v/>
      </c>
      <c r="AO262" s="1771" t="str">
        <f t="shared" si="229"/>
        <v/>
      </c>
      <c r="AP262" s="3443">
        <f t="shared" si="229"/>
        <v>2.86</v>
      </c>
      <c r="AQ262" s="1771" t="str">
        <f t="shared" si="229"/>
        <v/>
      </c>
      <c r="AR262" s="1771" t="str">
        <f t="shared" si="229"/>
        <v/>
      </c>
      <c r="AS262" s="3442" t="str">
        <f t="shared" si="229"/>
        <v/>
      </c>
      <c r="AT262" s="1771" t="str">
        <f t="shared" si="229"/>
        <v/>
      </c>
      <c r="AU262" s="1771" t="str">
        <f t="shared" si="229"/>
        <v/>
      </c>
      <c r="AV262" s="1771" t="str">
        <f t="shared" si="229"/>
        <v/>
      </c>
      <c r="AW262" s="3442" t="str">
        <f t="shared" si="229"/>
        <v/>
      </c>
      <c r="AX262" s="1771" t="str">
        <f t="shared" si="230"/>
        <v/>
      </c>
      <c r="AY262" s="1771" t="str">
        <f t="shared" si="230"/>
        <v/>
      </c>
      <c r="AZ262" s="1771" t="str">
        <f t="shared" si="230"/>
        <v/>
      </c>
      <c r="BA262" s="1771" t="str">
        <f t="shared" si="230"/>
        <v/>
      </c>
      <c r="BB262" s="3437" t="str">
        <f t="shared" si="230"/>
        <v/>
      </c>
      <c r="BC262" s="3443" t="str">
        <f t="shared" si="230"/>
        <v/>
      </c>
      <c r="BD262" s="3462"/>
      <c r="BE262" s="3440" t="str">
        <f>IF(J262=J319,"stop","")</f>
        <v/>
      </c>
      <c r="BF262" s="1771" t="str">
        <f t="shared" si="231"/>
        <v/>
      </c>
      <c r="BG262" s="1771" t="str">
        <f t="shared" si="231"/>
        <v/>
      </c>
      <c r="BH262" s="1771" t="str">
        <f t="shared" si="231"/>
        <v/>
      </c>
      <c r="BI262" s="1771" t="str">
        <f t="shared" si="231"/>
        <v/>
      </c>
      <c r="BJ262" s="3443">
        <f t="shared" si="231"/>
        <v>1.0146920715172656</v>
      </c>
      <c r="BK262" s="3437" t="str">
        <f t="shared" si="231"/>
        <v/>
      </c>
      <c r="BL262" s="1771" t="str">
        <f t="shared" si="231"/>
        <v/>
      </c>
      <c r="BM262" s="3442" t="str">
        <f t="shared" si="231"/>
        <v/>
      </c>
      <c r="BN262" s="1771" t="str">
        <f t="shared" si="231"/>
        <v/>
      </c>
      <c r="BO262" s="1771" t="str">
        <f t="shared" si="231"/>
        <v/>
      </c>
      <c r="BP262" s="1771" t="str">
        <f t="shared" si="231"/>
        <v/>
      </c>
      <c r="BQ262" s="1771" t="str">
        <f t="shared" si="231"/>
        <v/>
      </c>
      <c r="BR262" s="3437" t="str">
        <f t="shared" si="232"/>
        <v/>
      </c>
      <c r="BS262" s="1771" t="str">
        <f t="shared" si="232"/>
        <v/>
      </c>
      <c r="BT262" s="1771" t="str">
        <f t="shared" si="232"/>
        <v/>
      </c>
      <c r="BU262" s="3442" t="str">
        <f t="shared" si="232"/>
        <v/>
      </c>
      <c r="BV262" s="1771" t="str">
        <f t="shared" si="232"/>
        <v/>
      </c>
      <c r="BW262" s="3442" t="str">
        <f t="shared" si="232"/>
        <v/>
      </c>
      <c r="BX262" s="3462"/>
      <c r="BY262" s="3439" t="str">
        <f>IF(L262=L319,"stop","")</f>
        <v/>
      </c>
      <c r="BZ262" s="3437" t="str">
        <f t="shared" si="233"/>
        <v/>
      </c>
      <c r="CA262" s="1771" t="str">
        <f t="shared" si="233"/>
        <v/>
      </c>
      <c r="CB262" s="1771" t="str">
        <f t="shared" si="233"/>
        <v/>
      </c>
      <c r="CC262" s="3442" t="str">
        <f t="shared" si="233"/>
        <v/>
      </c>
      <c r="CD262" s="1771">
        <f t="shared" si="233"/>
        <v>1.6099999999999999</v>
      </c>
      <c r="CE262" s="3437" t="str">
        <f t="shared" si="233"/>
        <v/>
      </c>
      <c r="CF262" s="1771" t="str">
        <f t="shared" si="233"/>
        <v/>
      </c>
      <c r="CG262" s="1771" t="str">
        <f t="shared" si="233"/>
        <v/>
      </c>
      <c r="CH262" s="3437" t="str">
        <f t="shared" si="233"/>
        <v/>
      </c>
      <c r="CI262" s="1771" t="str">
        <f t="shared" si="233"/>
        <v/>
      </c>
      <c r="CJ262" s="1771" t="str">
        <f t="shared" si="233"/>
        <v/>
      </c>
      <c r="CK262" s="3442" t="str">
        <f t="shared" si="233"/>
        <v/>
      </c>
      <c r="CL262" s="3437" t="str">
        <f t="shared" si="234"/>
        <v/>
      </c>
      <c r="CM262" s="1771" t="str">
        <f t="shared" si="234"/>
        <v/>
      </c>
      <c r="CN262" s="1771" t="str">
        <f t="shared" si="234"/>
        <v/>
      </c>
      <c r="CO262" s="3442" t="str">
        <f t="shared" si="234"/>
        <v/>
      </c>
      <c r="CP262" s="1771" t="str">
        <f t="shared" si="234"/>
        <v/>
      </c>
      <c r="CQ262" s="3442" t="str">
        <f t="shared" si="234"/>
        <v/>
      </c>
      <c r="CR262" s="3462"/>
    </row>
    <row r="263" spans="1:96" s="3" customFormat="1">
      <c r="A263" s="1848" t="s">
        <v>721</v>
      </c>
      <c r="B263" s="816">
        <v>8</v>
      </c>
      <c r="C263" s="816">
        <v>8.81</v>
      </c>
      <c r="D263" s="816">
        <v>0.68</v>
      </c>
      <c r="E263" s="1802" t="s">
        <v>35</v>
      </c>
      <c r="F263" s="816">
        <v>2.86</v>
      </c>
      <c r="G263" s="816" t="s">
        <v>784</v>
      </c>
      <c r="H263" s="816">
        <v>1988</v>
      </c>
      <c r="I263" s="50"/>
      <c r="J263" s="816">
        <f t="shared" si="196"/>
        <v>8.81</v>
      </c>
      <c r="K263" s="816">
        <v>0.68</v>
      </c>
      <c r="L263" s="816" t="s">
        <v>35</v>
      </c>
      <c r="M263" s="816">
        <v>2.86</v>
      </c>
      <c r="N263" s="845">
        <f t="shared" si="198"/>
        <v>1.3945608627808255</v>
      </c>
      <c r="O263" s="1831">
        <f t="shared" si="199"/>
        <v>1.77</v>
      </c>
      <c r="P263" s="825" t="s">
        <v>1088</v>
      </c>
      <c r="Q263" s="3" t="str">
        <f>IF(J263=J319,"stop","")</f>
        <v/>
      </c>
      <c r="R263" s="3437" t="str">
        <f t="shared" ref="R263:AG278" si="235">IF(AND($J263&gt;R$4,$J263&lt;=R$5,$P263=R$6),$K263,"")</f>
        <v/>
      </c>
      <c r="S263" s="1771" t="str">
        <f t="shared" si="235"/>
        <v/>
      </c>
      <c r="T263" s="1771" t="str">
        <f t="shared" si="235"/>
        <v/>
      </c>
      <c r="U263" s="1771" t="str">
        <f t="shared" si="235"/>
        <v/>
      </c>
      <c r="V263" s="3443">
        <f t="shared" si="235"/>
        <v>0.68</v>
      </c>
      <c r="W263" s="1771" t="str">
        <f t="shared" si="235"/>
        <v/>
      </c>
      <c r="X263" s="1771" t="str">
        <f t="shared" si="235"/>
        <v/>
      </c>
      <c r="Y263" s="1771" t="str">
        <f t="shared" si="235"/>
        <v/>
      </c>
      <c r="Z263" s="3437" t="str">
        <f t="shared" si="235"/>
        <v/>
      </c>
      <c r="AA263" s="1771" t="str">
        <f t="shared" si="235"/>
        <v/>
      </c>
      <c r="AB263" s="1771" t="str">
        <f t="shared" si="235"/>
        <v/>
      </c>
      <c r="AC263" s="3442" t="str">
        <f t="shared" si="235"/>
        <v/>
      </c>
      <c r="AD263" s="1771" t="str">
        <f t="shared" si="235"/>
        <v/>
      </c>
      <c r="AE263" s="1771" t="str">
        <f t="shared" si="235"/>
        <v/>
      </c>
      <c r="AF263" s="1771" t="str">
        <f t="shared" si="235"/>
        <v/>
      </c>
      <c r="AG263" s="3442" t="str">
        <f t="shared" si="221"/>
        <v/>
      </c>
      <c r="AH263" s="1771" t="str">
        <f t="shared" si="221"/>
        <v/>
      </c>
      <c r="AI263" s="3442" t="str">
        <f t="shared" si="221"/>
        <v/>
      </c>
      <c r="AJ263" s="3462"/>
      <c r="AK263" s="3439" t="str">
        <f>IF(J263=J319,"stop","")</f>
        <v/>
      </c>
      <c r="AL263" s="3437" t="str">
        <f t="shared" si="229"/>
        <v/>
      </c>
      <c r="AM263" s="1771" t="str">
        <f t="shared" si="229"/>
        <v/>
      </c>
      <c r="AN263" s="1771" t="str">
        <f t="shared" si="229"/>
        <v/>
      </c>
      <c r="AO263" s="1771" t="str">
        <f t="shared" si="229"/>
        <v/>
      </c>
      <c r="AP263" s="3443">
        <f t="shared" si="229"/>
        <v>2.86</v>
      </c>
      <c r="AQ263" s="1771" t="str">
        <f t="shared" si="229"/>
        <v/>
      </c>
      <c r="AR263" s="1771" t="str">
        <f t="shared" si="229"/>
        <v/>
      </c>
      <c r="AS263" s="3442" t="str">
        <f t="shared" si="229"/>
        <v/>
      </c>
      <c r="AT263" s="1771" t="str">
        <f t="shared" si="229"/>
        <v/>
      </c>
      <c r="AU263" s="1771" t="str">
        <f t="shared" si="229"/>
        <v/>
      </c>
      <c r="AV263" s="1771" t="str">
        <f t="shared" si="229"/>
        <v/>
      </c>
      <c r="AW263" s="3442" t="str">
        <f t="shared" si="229"/>
        <v/>
      </c>
      <c r="AX263" s="1771" t="str">
        <f t="shared" si="230"/>
        <v/>
      </c>
      <c r="AY263" s="1771" t="str">
        <f t="shared" si="230"/>
        <v/>
      </c>
      <c r="AZ263" s="1771" t="str">
        <f t="shared" si="230"/>
        <v/>
      </c>
      <c r="BA263" s="1771" t="str">
        <f t="shared" si="230"/>
        <v/>
      </c>
      <c r="BB263" s="3437" t="str">
        <f t="shared" si="230"/>
        <v/>
      </c>
      <c r="BC263" s="3443" t="str">
        <f t="shared" si="230"/>
        <v/>
      </c>
      <c r="BD263" s="3462"/>
      <c r="BE263" s="3440" t="str">
        <f>IF(J263=J319,"stop","")</f>
        <v/>
      </c>
      <c r="BF263" s="1771" t="str">
        <f t="shared" si="231"/>
        <v/>
      </c>
      <c r="BG263" s="1771" t="str">
        <f t="shared" si="231"/>
        <v/>
      </c>
      <c r="BH263" s="1771" t="str">
        <f t="shared" si="231"/>
        <v/>
      </c>
      <c r="BI263" s="1771" t="str">
        <f t="shared" si="231"/>
        <v/>
      </c>
      <c r="BJ263" s="3443">
        <f t="shared" si="231"/>
        <v>1.3945608627808255</v>
      </c>
      <c r="BK263" s="3437" t="str">
        <f t="shared" si="231"/>
        <v/>
      </c>
      <c r="BL263" s="1771" t="str">
        <f t="shared" si="231"/>
        <v/>
      </c>
      <c r="BM263" s="3442" t="str">
        <f t="shared" si="231"/>
        <v/>
      </c>
      <c r="BN263" s="1771" t="str">
        <f t="shared" si="231"/>
        <v/>
      </c>
      <c r="BO263" s="1771" t="str">
        <f t="shared" si="231"/>
        <v/>
      </c>
      <c r="BP263" s="1771" t="str">
        <f t="shared" si="231"/>
        <v/>
      </c>
      <c r="BQ263" s="1771" t="str">
        <f t="shared" si="231"/>
        <v/>
      </c>
      <c r="BR263" s="3437" t="str">
        <f t="shared" si="232"/>
        <v/>
      </c>
      <c r="BS263" s="1771" t="str">
        <f t="shared" si="232"/>
        <v/>
      </c>
      <c r="BT263" s="1771" t="str">
        <f t="shared" si="232"/>
        <v/>
      </c>
      <c r="BU263" s="3442" t="str">
        <f t="shared" si="232"/>
        <v/>
      </c>
      <c r="BV263" s="1771" t="str">
        <f t="shared" si="232"/>
        <v/>
      </c>
      <c r="BW263" s="3442" t="str">
        <f t="shared" si="232"/>
        <v/>
      </c>
      <c r="BX263" s="3462"/>
      <c r="BY263" s="3439" t="str">
        <f>IF(L263=L319,"stop","")</f>
        <v/>
      </c>
      <c r="BZ263" s="3437" t="str">
        <f t="shared" si="233"/>
        <v/>
      </c>
      <c r="CA263" s="1771" t="str">
        <f t="shared" si="233"/>
        <v/>
      </c>
      <c r="CB263" s="1771" t="str">
        <f t="shared" si="233"/>
        <v/>
      </c>
      <c r="CC263" s="3442" t="str">
        <f t="shared" si="233"/>
        <v/>
      </c>
      <c r="CD263" s="1771">
        <f t="shared" si="233"/>
        <v>1.77</v>
      </c>
      <c r="CE263" s="3437" t="str">
        <f t="shared" si="233"/>
        <v/>
      </c>
      <c r="CF263" s="1771" t="str">
        <f t="shared" si="233"/>
        <v/>
      </c>
      <c r="CG263" s="1771" t="str">
        <f t="shared" si="233"/>
        <v/>
      </c>
      <c r="CH263" s="3437" t="str">
        <f t="shared" si="233"/>
        <v/>
      </c>
      <c r="CI263" s="1771" t="str">
        <f t="shared" si="233"/>
        <v/>
      </c>
      <c r="CJ263" s="1771" t="str">
        <f t="shared" si="233"/>
        <v/>
      </c>
      <c r="CK263" s="3442" t="str">
        <f t="shared" si="233"/>
        <v/>
      </c>
      <c r="CL263" s="3437" t="str">
        <f t="shared" si="234"/>
        <v/>
      </c>
      <c r="CM263" s="1771" t="str">
        <f t="shared" si="234"/>
        <v/>
      </c>
      <c r="CN263" s="1771" t="str">
        <f t="shared" si="234"/>
        <v/>
      </c>
      <c r="CO263" s="3442" t="str">
        <f t="shared" si="234"/>
        <v/>
      </c>
      <c r="CP263" s="1771" t="str">
        <f t="shared" si="234"/>
        <v/>
      </c>
      <c r="CQ263" s="3442" t="str">
        <f t="shared" si="234"/>
        <v/>
      </c>
      <c r="CR263" s="3462"/>
    </row>
    <row r="264" spans="1:96" s="3" customFormat="1">
      <c r="A264" s="1848" t="s">
        <v>722</v>
      </c>
      <c r="B264" s="816">
        <v>8</v>
      </c>
      <c r="C264" s="816">
        <v>8.6</v>
      </c>
      <c r="D264" s="816">
        <v>1.77</v>
      </c>
      <c r="E264" s="1802" t="s">
        <v>35</v>
      </c>
      <c r="F264" s="816">
        <v>3.87</v>
      </c>
      <c r="G264" s="816" t="s">
        <v>784</v>
      </c>
      <c r="H264" s="816">
        <v>1988</v>
      </c>
      <c r="I264" s="50"/>
      <c r="J264" s="816">
        <f t="shared" si="196"/>
        <v>8.6</v>
      </c>
      <c r="K264" s="816">
        <v>1.77</v>
      </c>
      <c r="L264" s="816" t="s">
        <v>35</v>
      </c>
      <c r="M264" s="816">
        <v>3.87</v>
      </c>
      <c r="N264" s="845">
        <f t="shared" si="198"/>
        <v>2.6172313615727592</v>
      </c>
      <c r="O264" s="1831">
        <f t="shared" si="199"/>
        <v>2.8200000000000003</v>
      </c>
      <c r="P264" s="825" t="s">
        <v>1088</v>
      </c>
      <c r="Q264" s="3" t="str">
        <f>IF(J264=J319,"stop","")</f>
        <v/>
      </c>
      <c r="R264" s="3437" t="str">
        <f t="shared" si="235"/>
        <v/>
      </c>
      <c r="S264" s="1771" t="str">
        <f t="shared" si="235"/>
        <v/>
      </c>
      <c r="T264" s="1771" t="str">
        <f t="shared" si="235"/>
        <v/>
      </c>
      <c r="U264" s="1771" t="str">
        <f t="shared" si="235"/>
        <v/>
      </c>
      <c r="V264" s="3443">
        <f t="shared" si="235"/>
        <v>1.77</v>
      </c>
      <c r="W264" s="1771" t="str">
        <f t="shared" si="235"/>
        <v/>
      </c>
      <c r="X264" s="1771" t="str">
        <f t="shared" si="235"/>
        <v/>
      </c>
      <c r="Y264" s="1771" t="str">
        <f t="shared" si="235"/>
        <v/>
      </c>
      <c r="Z264" s="3437" t="str">
        <f t="shared" si="235"/>
        <v/>
      </c>
      <c r="AA264" s="1771" t="str">
        <f t="shared" si="235"/>
        <v/>
      </c>
      <c r="AB264" s="1771" t="str">
        <f t="shared" si="235"/>
        <v/>
      </c>
      <c r="AC264" s="3442" t="str">
        <f t="shared" si="235"/>
        <v/>
      </c>
      <c r="AD264" s="1771" t="str">
        <f t="shared" si="235"/>
        <v/>
      </c>
      <c r="AE264" s="1771" t="str">
        <f t="shared" si="235"/>
        <v/>
      </c>
      <c r="AF264" s="1771" t="str">
        <f t="shared" si="235"/>
        <v/>
      </c>
      <c r="AG264" s="3442" t="str">
        <f t="shared" si="221"/>
        <v/>
      </c>
      <c r="AH264" s="1771" t="str">
        <f t="shared" si="221"/>
        <v/>
      </c>
      <c r="AI264" s="3442" t="str">
        <f t="shared" si="221"/>
        <v/>
      </c>
      <c r="AJ264" s="3462"/>
      <c r="AK264" s="3439" t="str">
        <f>IF(J264=J319,"stop","")</f>
        <v/>
      </c>
      <c r="AL264" s="3437" t="str">
        <f t="shared" si="229"/>
        <v/>
      </c>
      <c r="AM264" s="1771" t="str">
        <f t="shared" si="229"/>
        <v/>
      </c>
      <c r="AN264" s="1771" t="str">
        <f t="shared" si="229"/>
        <v/>
      </c>
      <c r="AO264" s="1771" t="str">
        <f t="shared" si="229"/>
        <v/>
      </c>
      <c r="AP264" s="3443">
        <f t="shared" si="229"/>
        <v>3.87</v>
      </c>
      <c r="AQ264" s="1771" t="str">
        <f t="shared" si="229"/>
        <v/>
      </c>
      <c r="AR264" s="1771" t="str">
        <f t="shared" si="229"/>
        <v/>
      </c>
      <c r="AS264" s="3442" t="str">
        <f t="shared" si="229"/>
        <v/>
      </c>
      <c r="AT264" s="1771" t="str">
        <f t="shared" si="229"/>
        <v/>
      </c>
      <c r="AU264" s="1771" t="str">
        <f t="shared" si="229"/>
        <v/>
      </c>
      <c r="AV264" s="1771" t="str">
        <f t="shared" si="229"/>
        <v/>
      </c>
      <c r="AW264" s="3442" t="str">
        <f t="shared" si="229"/>
        <v/>
      </c>
      <c r="AX264" s="1771" t="str">
        <f t="shared" si="230"/>
        <v/>
      </c>
      <c r="AY264" s="1771" t="str">
        <f t="shared" si="230"/>
        <v/>
      </c>
      <c r="AZ264" s="1771" t="str">
        <f t="shared" si="230"/>
        <v/>
      </c>
      <c r="BA264" s="1771" t="str">
        <f t="shared" si="230"/>
        <v/>
      </c>
      <c r="BB264" s="3437" t="str">
        <f t="shared" si="230"/>
        <v/>
      </c>
      <c r="BC264" s="3443" t="str">
        <f t="shared" si="230"/>
        <v/>
      </c>
      <c r="BD264" s="3462"/>
      <c r="BE264" s="3440" t="str">
        <f>IF(J264=J319,"stop","")</f>
        <v/>
      </c>
      <c r="BF264" s="1771" t="str">
        <f t="shared" si="231"/>
        <v/>
      </c>
      <c r="BG264" s="1771" t="str">
        <f t="shared" si="231"/>
        <v/>
      </c>
      <c r="BH264" s="1771" t="str">
        <f t="shared" si="231"/>
        <v/>
      </c>
      <c r="BI264" s="1771" t="str">
        <f t="shared" si="231"/>
        <v/>
      </c>
      <c r="BJ264" s="3443">
        <f t="shared" si="231"/>
        <v>2.6172313615727592</v>
      </c>
      <c r="BK264" s="3437" t="str">
        <f t="shared" si="231"/>
        <v/>
      </c>
      <c r="BL264" s="1771" t="str">
        <f t="shared" si="231"/>
        <v/>
      </c>
      <c r="BM264" s="3442" t="str">
        <f t="shared" si="231"/>
        <v/>
      </c>
      <c r="BN264" s="1771" t="str">
        <f t="shared" si="231"/>
        <v/>
      </c>
      <c r="BO264" s="1771" t="str">
        <f t="shared" si="231"/>
        <v/>
      </c>
      <c r="BP264" s="1771" t="str">
        <f t="shared" si="231"/>
        <v/>
      </c>
      <c r="BQ264" s="1771" t="str">
        <f t="shared" si="231"/>
        <v/>
      </c>
      <c r="BR264" s="3437" t="str">
        <f t="shared" si="232"/>
        <v/>
      </c>
      <c r="BS264" s="1771" t="str">
        <f t="shared" si="232"/>
        <v/>
      </c>
      <c r="BT264" s="1771" t="str">
        <f t="shared" si="232"/>
        <v/>
      </c>
      <c r="BU264" s="3442" t="str">
        <f t="shared" si="232"/>
        <v/>
      </c>
      <c r="BV264" s="1771" t="str">
        <f t="shared" si="232"/>
        <v/>
      </c>
      <c r="BW264" s="3442" t="str">
        <f t="shared" si="232"/>
        <v/>
      </c>
      <c r="BX264" s="3462"/>
      <c r="BY264" s="3439" t="str">
        <f>IF(L264=L319,"stop","")</f>
        <v/>
      </c>
      <c r="BZ264" s="3437" t="str">
        <f t="shared" si="233"/>
        <v/>
      </c>
      <c r="CA264" s="1771" t="str">
        <f t="shared" si="233"/>
        <v/>
      </c>
      <c r="CB264" s="1771" t="str">
        <f t="shared" si="233"/>
        <v/>
      </c>
      <c r="CC264" s="3442" t="str">
        <f t="shared" si="233"/>
        <v/>
      </c>
      <c r="CD264" s="1771">
        <f t="shared" si="233"/>
        <v>2.8200000000000003</v>
      </c>
      <c r="CE264" s="3437" t="str">
        <f t="shared" si="233"/>
        <v/>
      </c>
      <c r="CF264" s="1771" t="str">
        <f t="shared" si="233"/>
        <v/>
      </c>
      <c r="CG264" s="1771" t="str">
        <f t="shared" si="233"/>
        <v/>
      </c>
      <c r="CH264" s="3437" t="str">
        <f t="shared" si="233"/>
        <v/>
      </c>
      <c r="CI264" s="1771" t="str">
        <f t="shared" si="233"/>
        <v/>
      </c>
      <c r="CJ264" s="1771" t="str">
        <f t="shared" si="233"/>
        <v/>
      </c>
      <c r="CK264" s="3442" t="str">
        <f t="shared" si="233"/>
        <v/>
      </c>
      <c r="CL264" s="3437" t="str">
        <f t="shared" si="234"/>
        <v/>
      </c>
      <c r="CM264" s="1771" t="str">
        <f t="shared" si="234"/>
        <v/>
      </c>
      <c r="CN264" s="1771" t="str">
        <f t="shared" si="234"/>
        <v/>
      </c>
      <c r="CO264" s="3442" t="str">
        <f t="shared" si="234"/>
        <v/>
      </c>
      <c r="CP264" s="1771" t="str">
        <f t="shared" si="234"/>
        <v/>
      </c>
      <c r="CQ264" s="3442" t="str">
        <f t="shared" si="234"/>
        <v/>
      </c>
      <c r="CR264" s="3462"/>
    </row>
    <row r="265" spans="1:96" s="3" customFormat="1">
      <c r="A265" s="1848" t="s">
        <v>723</v>
      </c>
      <c r="B265" s="816">
        <v>8</v>
      </c>
      <c r="C265" s="816">
        <v>8.61</v>
      </c>
      <c r="D265" s="816">
        <v>0.77</v>
      </c>
      <c r="E265" s="1802" t="s">
        <v>35</v>
      </c>
      <c r="F265" s="816">
        <v>1.58</v>
      </c>
      <c r="G265" s="816" t="s">
        <v>784</v>
      </c>
      <c r="H265" s="816">
        <v>1988</v>
      </c>
      <c r="I265" s="50"/>
      <c r="J265" s="816">
        <f t="shared" si="196"/>
        <v>8.61</v>
      </c>
      <c r="K265" s="816">
        <v>0.77</v>
      </c>
      <c r="L265" s="816" t="s">
        <v>35</v>
      </c>
      <c r="M265" s="816">
        <v>1.58</v>
      </c>
      <c r="N265" s="845">
        <f t="shared" si="198"/>
        <v>1.1029959202100432</v>
      </c>
      <c r="O265" s="1831">
        <f t="shared" si="199"/>
        <v>1.175</v>
      </c>
      <c r="P265" s="825" t="s">
        <v>1088</v>
      </c>
      <c r="Q265" s="3" t="str">
        <f>IF(J265=J319,"stop","")</f>
        <v/>
      </c>
      <c r="R265" s="3437" t="str">
        <f t="shared" si="235"/>
        <v/>
      </c>
      <c r="S265" s="1771" t="str">
        <f t="shared" si="235"/>
        <v/>
      </c>
      <c r="T265" s="1771" t="str">
        <f t="shared" si="235"/>
        <v/>
      </c>
      <c r="U265" s="1771" t="str">
        <f t="shared" si="235"/>
        <v/>
      </c>
      <c r="V265" s="3443">
        <f t="shared" si="235"/>
        <v>0.77</v>
      </c>
      <c r="W265" s="1771" t="str">
        <f t="shared" si="235"/>
        <v/>
      </c>
      <c r="X265" s="1771" t="str">
        <f t="shared" si="235"/>
        <v/>
      </c>
      <c r="Y265" s="1771" t="str">
        <f t="shared" si="235"/>
        <v/>
      </c>
      <c r="Z265" s="3437" t="str">
        <f t="shared" si="235"/>
        <v/>
      </c>
      <c r="AA265" s="1771" t="str">
        <f t="shared" si="235"/>
        <v/>
      </c>
      <c r="AB265" s="1771" t="str">
        <f t="shared" si="235"/>
        <v/>
      </c>
      <c r="AC265" s="3442" t="str">
        <f t="shared" si="235"/>
        <v/>
      </c>
      <c r="AD265" s="1771" t="str">
        <f t="shared" si="235"/>
        <v/>
      </c>
      <c r="AE265" s="1771" t="str">
        <f t="shared" si="235"/>
        <v/>
      </c>
      <c r="AF265" s="1771" t="str">
        <f t="shared" si="235"/>
        <v/>
      </c>
      <c r="AG265" s="3442" t="str">
        <f t="shared" si="221"/>
        <v/>
      </c>
      <c r="AH265" s="1771" t="str">
        <f t="shared" si="221"/>
        <v/>
      </c>
      <c r="AI265" s="3442" t="str">
        <f t="shared" si="221"/>
        <v/>
      </c>
      <c r="AJ265" s="3462"/>
      <c r="AK265" s="3439" t="str">
        <f>IF(J265=J319,"stop","")</f>
        <v/>
      </c>
      <c r="AL265" s="3437" t="str">
        <f t="shared" si="229"/>
        <v/>
      </c>
      <c r="AM265" s="1771" t="str">
        <f t="shared" si="229"/>
        <v/>
      </c>
      <c r="AN265" s="1771" t="str">
        <f t="shared" si="229"/>
        <v/>
      </c>
      <c r="AO265" s="1771" t="str">
        <f t="shared" si="229"/>
        <v/>
      </c>
      <c r="AP265" s="3443">
        <f t="shared" si="229"/>
        <v>1.58</v>
      </c>
      <c r="AQ265" s="1771" t="str">
        <f t="shared" si="229"/>
        <v/>
      </c>
      <c r="AR265" s="1771" t="str">
        <f t="shared" si="229"/>
        <v/>
      </c>
      <c r="AS265" s="3442" t="str">
        <f t="shared" si="229"/>
        <v/>
      </c>
      <c r="AT265" s="1771" t="str">
        <f t="shared" si="229"/>
        <v/>
      </c>
      <c r="AU265" s="1771" t="str">
        <f t="shared" si="229"/>
        <v/>
      </c>
      <c r="AV265" s="1771" t="str">
        <f t="shared" si="229"/>
        <v/>
      </c>
      <c r="AW265" s="3442" t="str">
        <f t="shared" si="229"/>
        <v/>
      </c>
      <c r="AX265" s="1771" t="str">
        <f t="shared" si="230"/>
        <v/>
      </c>
      <c r="AY265" s="1771" t="str">
        <f t="shared" si="230"/>
        <v/>
      </c>
      <c r="AZ265" s="1771" t="str">
        <f t="shared" si="230"/>
        <v/>
      </c>
      <c r="BA265" s="1771" t="str">
        <f t="shared" si="230"/>
        <v/>
      </c>
      <c r="BB265" s="3437" t="str">
        <f t="shared" si="230"/>
        <v/>
      </c>
      <c r="BC265" s="3443" t="str">
        <f t="shared" si="230"/>
        <v/>
      </c>
      <c r="BD265" s="3462"/>
      <c r="BE265" s="3440" t="str">
        <f>IF(J265=J319,"stop","")</f>
        <v/>
      </c>
      <c r="BF265" s="1771" t="str">
        <f t="shared" si="231"/>
        <v/>
      </c>
      <c r="BG265" s="1771" t="str">
        <f t="shared" si="231"/>
        <v/>
      </c>
      <c r="BH265" s="1771" t="str">
        <f t="shared" si="231"/>
        <v/>
      </c>
      <c r="BI265" s="1771" t="str">
        <f t="shared" si="231"/>
        <v/>
      </c>
      <c r="BJ265" s="3443">
        <f t="shared" si="231"/>
        <v>1.1029959202100432</v>
      </c>
      <c r="BK265" s="3437" t="str">
        <f t="shared" si="231"/>
        <v/>
      </c>
      <c r="BL265" s="1771" t="str">
        <f t="shared" si="231"/>
        <v/>
      </c>
      <c r="BM265" s="3442" t="str">
        <f t="shared" si="231"/>
        <v/>
      </c>
      <c r="BN265" s="1771" t="str">
        <f t="shared" si="231"/>
        <v/>
      </c>
      <c r="BO265" s="1771" t="str">
        <f t="shared" si="231"/>
        <v/>
      </c>
      <c r="BP265" s="1771" t="str">
        <f t="shared" si="231"/>
        <v/>
      </c>
      <c r="BQ265" s="1771" t="str">
        <f t="shared" si="231"/>
        <v/>
      </c>
      <c r="BR265" s="3437" t="str">
        <f t="shared" si="232"/>
        <v/>
      </c>
      <c r="BS265" s="1771" t="str">
        <f t="shared" si="232"/>
        <v/>
      </c>
      <c r="BT265" s="1771" t="str">
        <f t="shared" si="232"/>
        <v/>
      </c>
      <c r="BU265" s="3442" t="str">
        <f t="shared" si="232"/>
        <v/>
      </c>
      <c r="BV265" s="1771" t="str">
        <f t="shared" si="232"/>
        <v/>
      </c>
      <c r="BW265" s="3442" t="str">
        <f t="shared" si="232"/>
        <v/>
      </c>
      <c r="BX265" s="3462"/>
      <c r="BY265" s="3439" t="str">
        <f>IF(L265=L319,"stop","")</f>
        <v/>
      </c>
      <c r="BZ265" s="3437" t="str">
        <f t="shared" si="233"/>
        <v/>
      </c>
      <c r="CA265" s="1771" t="str">
        <f t="shared" si="233"/>
        <v/>
      </c>
      <c r="CB265" s="1771" t="str">
        <f t="shared" si="233"/>
        <v/>
      </c>
      <c r="CC265" s="3442" t="str">
        <f t="shared" si="233"/>
        <v/>
      </c>
      <c r="CD265" s="1771">
        <f t="shared" si="233"/>
        <v>1.175</v>
      </c>
      <c r="CE265" s="3437" t="str">
        <f t="shared" si="233"/>
        <v/>
      </c>
      <c r="CF265" s="1771" t="str">
        <f t="shared" si="233"/>
        <v/>
      </c>
      <c r="CG265" s="1771" t="str">
        <f t="shared" si="233"/>
        <v/>
      </c>
      <c r="CH265" s="3437" t="str">
        <f t="shared" si="233"/>
        <v/>
      </c>
      <c r="CI265" s="1771" t="str">
        <f t="shared" si="233"/>
        <v/>
      </c>
      <c r="CJ265" s="1771" t="str">
        <f t="shared" si="233"/>
        <v/>
      </c>
      <c r="CK265" s="3442" t="str">
        <f t="shared" si="233"/>
        <v/>
      </c>
      <c r="CL265" s="3437" t="str">
        <f t="shared" si="234"/>
        <v/>
      </c>
      <c r="CM265" s="1771" t="str">
        <f t="shared" si="234"/>
        <v/>
      </c>
      <c r="CN265" s="1771" t="str">
        <f t="shared" si="234"/>
        <v/>
      </c>
      <c r="CO265" s="3442" t="str">
        <f t="shared" si="234"/>
        <v/>
      </c>
      <c r="CP265" s="1771" t="str">
        <f t="shared" si="234"/>
        <v/>
      </c>
      <c r="CQ265" s="3442" t="str">
        <f t="shared" si="234"/>
        <v/>
      </c>
      <c r="CR265" s="3462"/>
    </row>
    <row r="266" spans="1:96" s="3" customFormat="1">
      <c r="A266" s="1848" t="s">
        <v>886</v>
      </c>
      <c r="B266" s="816">
        <v>9</v>
      </c>
      <c r="C266" s="816">
        <v>9.57</v>
      </c>
      <c r="D266" s="816">
        <v>0.18</v>
      </c>
      <c r="E266" s="1802" t="s">
        <v>35</v>
      </c>
      <c r="F266" s="816">
        <v>1</v>
      </c>
      <c r="G266" s="816" t="s">
        <v>784</v>
      </c>
      <c r="H266" s="816">
        <v>1988</v>
      </c>
      <c r="I266" s="50"/>
      <c r="J266" s="816">
        <f t="shared" si="196"/>
        <v>9.57</v>
      </c>
      <c r="K266" s="816">
        <v>0.18</v>
      </c>
      <c r="L266" s="816" t="s">
        <v>35</v>
      </c>
      <c r="M266" s="816">
        <v>1</v>
      </c>
      <c r="N266" s="845">
        <f t="shared" si="198"/>
        <v>0.42426406871192851</v>
      </c>
      <c r="O266" s="1831">
        <f t="shared" si="199"/>
        <v>0.59</v>
      </c>
      <c r="P266" s="825" t="s">
        <v>1088</v>
      </c>
      <c r="Q266" s="3" t="str">
        <f>IF(J266=J319,"stop","")</f>
        <v/>
      </c>
      <c r="R266" s="3437" t="str">
        <f t="shared" si="235"/>
        <v/>
      </c>
      <c r="S266" s="1771" t="str">
        <f t="shared" si="235"/>
        <v/>
      </c>
      <c r="T266" s="1771" t="str">
        <f t="shared" si="235"/>
        <v/>
      </c>
      <c r="U266" s="1771" t="str">
        <f t="shared" si="235"/>
        <v/>
      </c>
      <c r="V266" s="3443">
        <f t="shared" si="235"/>
        <v>0.18</v>
      </c>
      <c r="W266" s="1771" t="str">
        <f t="shared" si="235"/>
        <v/>
      </c>
      <c r="X266" s="1771" t="str">
        <f t="shared" si="235"/>
        <v/>
      </c>
      <c r="Y266" s="1771" t="str">
        <f t="shared" si="235"/>
        <v/>
      </c>
      <c r="Z266" s="3437" t="str">
        <f t="shared" si="235"/>
        <v/>
      </c>
      <c r="AA266" s="1771" t="str">
        <f t="shared" si="235"/>
        <v/>
      </c>
      <c r="AB266" s="1771" t="str">
        <f t="shared" si="235"/>
        <v/>
      </c>
      <c r="AC266" s="3442" t="str">
        <f t="shared" si="235"/>
        <v/>
      </c>
      <c r="AD266" s="1771" t="str">
        <f t="shared" si="235"/>
        <v/>
      </c>
      <c r="AE266" s="1771" t="str">
        <f t="shared" si="235"/>
        <v/>
      </c>
      <c r="AF266" s="1771" t="str">
        <f t="shared" si="235"/>
        <v/>
      </c>
      <c r="AG266" s="3442" t="str">
        <f t="shared" si="235"/>
        <v/>
      </c>
      <c r="AH266" s="1771" t="str">
        <f t="shared" ref="AH266:AI285" si="236">IF(AND($J266&gt;AH$4,$J266&lt;=AH$5,$P266=AH$6),$K266,"")</f>
        <v/>
      </c>
      <c r="AI266" s="3442" t="str">
        <f t="shared" si="236"/>
        <v/>
      </c>
      <c r="AJ266" s="3462"/>
      <c r="AK266" s="3439" t="str">
        <f>IF(J266=J319,"stop","")</f>
        <v/>
      </c>
      <c r="AL266" s="3437" t="str">
        <f t="shared" si="229"/>
        <v/>
      </c>
      <c r="AM266" s="1771" t="str">
        <f t="shared" si="229"/>
        <v/>
      </c>
      <c r="AN266" s="1771" t="str">
        <f t="shared" si="229"/>
        <v/>
      </c>
      <c r="AO266" s="1771" t="str">
        <f t="shared" si="229"/>
        <v/>
      </c>
      <c r="AP266" s="3443">
        <f t="shared" si="229"/>
        <v>1</v>
      </c>
      <c r="AQ266" s="1771" t="str">
        <f t="shared" si="229"/>
        <v/>
      </c>
      <c r="AR266" s="1771" t="str">
        <f t="shared" si="229"/>
        <v/>
      </c>
      <c r="AS266" s="3442" t="str">
        <f t="shared" si="229"/>
        <v/>
      </c>
      <c r="AT266" s="1771" t="str">
        <f t="shared" si="229"/>
        <v/>
      </c>
      <c r="AU266" s="1771" t="str">
        <f t="shared" si="229"/>
        <v/>
      </c>
      <c r="AV266" s="1771" t="str">
        <f t="shared" si="229"/>
        <v/>
      </c>
      <c r="AW266" s="3442" t="str">
        <f t="shared" si="229"/>
        <v/>
      </c>
      <c r="AX266" s="1771" t="str">
        <f t="shared" si="230"/>
        <v/>
      </c>
      <c r="AY266" s="1771" t="str">
        <f t="shared" si="230"/>
        <v/>
      </c>
      <c r="AZ266" s="1771" t="str">
        <f t="shared" si="230"/>
        <v/>
      </c>
      <c r="BA266" s="1771" t="str">
        <f t="shared" si="230"/>
        <v/>
      </c>
      <c r="BB266" s="3437" t="str">
        <f t="shared" si="230"/>
        <v/>
      </c>
      <c r="BC266" s="3443" t="str">
        <f t="shared" si="230"/>
        <v/>
      </c>
      <c r="BD266" s="3462"/>
      <c r="BE266" s="3440" t="str">
        <f>IF(J266=J319,"stop","")</f>
        <v/>
      </c>
      <c r="BF266" s="1771" t="str">
        <f t="shared" si="231"/>
        <v/>
      </c>
      <c r="BG266" s="1771" t="str">
        <f t="shared" si="231"/>
        <v/>
      </c>
      <c r="BH266" s="1771" t="str">
        <f t="shared" si="231"/>
        <v/>
      </c>
      <c r="BI266" s="1771" t="str">
        <f t="shared" si="231"/>
        <v/>
      </c>
      <c r="BJ266" s="3443">
        <f t="shared" si="231"/>
        <v>0.42426406871192851</v>
      </c>
      <c r="BK266" s="3437" t="str">
        <f t="shared" si="231"/>
        <v/>
      </c>
      <c r="BL266" s="1771" t="str">
        <f t="shared" si="231"/>
        <v/>
      </c>
      <c r="BM266" s="3442" t="str">
        <f t="shared" si="231"/>
        <v/>
      </c>
      <c r="BN266" s="1771" t="str">
        <f t="shared" si="231"/>
        <v/>
      </c>
      <c r="BO266" s="1771" t="str">
        <f t="shared" si="231"/>
        <v/>
      </c>
      <c r="BP266" s="1771" t="str">
        <f t="shared" si="231"/>
        <v/>
      </c>
      <c r="BQ266" s="1771" t="str">
        <f t="shared" si="231"/>
        <v/>
      </c>
      <c r="BR266" s="3437" t="str">
        <f t="shared" si="232"/>
        <v/>
      </c>
      <c r="BS266" s="1771" t="str">
        <f t="shared" si="232"/>
        <v/>
      </c>
      <c r="BT266" s="1771" t="str">
        <f t="shared" si="232"/>
        <v/>
      </c>
      <c r="BU266" s="3442" t="str">
        <f t="shared" si="232"/>
        <v/>
      </c>
      <c r="BV266" s="1771" t="str">
        <f t="shared" si="232"/>
        <v/>
      </c>
      <c r="BW266" s="3442" t="str">
        <f t="shared" si="232"/>
        <v/>
      </c>
      <c r="BX266" s="3462"/>
      <c r="BY266" s="3439" t="str">
        <f>IF(L266=L319,"stop","")</f>
        <v/>
      </c>
      <c r="BZ266" s="3437" t="str">
        <f t="shared" si="233"/>
        <v/>
      </c>
      <c r="CA266" s="1771" t="str">
        <f t="shared" si="233"/>
        <v/>
      </c>
      <c r="CB266" s="1771" t="str">
        <f t="shared" si="233"/>
        <v/>
      </c>
      <c r="CC266" s="3442" t="str">
        <f t="shared" si="233"/>
        <v/>
      </c>
      <c r="CD266" s="1771">
        <f t="shared" si="233"/>
        <v>0.59</v>
      </c>
      <c r="CE266" s="3437" t="str">
        <f t="shared" si="233"/>
        <v/>
      </c>
      <c r="CF266" s="1771" t="str">
        <f t="shared" si="233"/>
        <v/>
      </c>
      <c r="CG266" s="1771" t="str">
        <f t="shared" si="233"/>
        <v/>
      </c>
      <c r="CH266" s="3437" t="str">
        <f t="shared" si="233"/>
        <v/>
      </c>
      <c r="CI266" s="1771" t="str">
        <f t="shared" si="233"/>
        <v/>
      </c>
      <c r="CJ266" s="1771" t="str">
        <f t="shared" si="233"/>
        <v/>
      </c>
      <c r="CK266" s="3442" t="str">
        <f t="shared" si="233"/>
        <v/>
      </c>
      <c r="CL266" s="3437" t="str">
        <f t="shared" si="234"/>
        <v/>
      </c>
      <c r="CM266" s="1771" t="str">
        <f t="shared" si="234"/>
        <v/>
      </c>
      <c r="CN266" s="1771" t="str">
        <f t="shared" si="234"/>
        <v/>
      </c>
      <c r="CO266" s="3442" t="str">
        <f t="shared" si="234"/>
        <v/>
      </c>
      <c r="CP266" s="1771" t="str">
        <f t="shared" si="234"/>
        <v/>
      </c>
      <c r="CQ266" s="3442" t="str">
        <f t="shared" si="234"/>
        <v/>
      </c>
      <c r="CR266" s="3462"/>
    </row>
    <row r="267" spans="1:96" s="3" customFormat="1">
      <c r="A267" s="1848" t="s">
        <v>887</v>
      </c>
      <c r="B267" s="816">
        <v>9</v>
      </c>
      <c r="C267" s="816">
        <v>9.7100000000000009</v>
      </c>
      <c r="D267" s="816">
        <v>0.19</v>
      </c>
      <c r="E267" s="1802" t="s">
        <v>35</v>
      </c>
      <c r="F267" s="816">
        <v>0.56000000000000005</v>
      </c>
      <c r="G267" s="816" t="s">
        <v>784</v>
      </c>
      <c r="H267" s="816">
        <v>1988</v>
      </c>
      <c r="I267" s="50"/>
      <c r="J267" s="816">
        <f t="shared" si="196"/>
        <v>9.7100000000000009</v>
      </c>
      <c r="K267" s="816">
        <v>0.19</v>
      </c>
      <c r="L267" s="816" t="s">
        <v>35</v>
      </c>
      <c r="M267" s="816">
        <v>0.56000000000000005</v>
      </c>
      <c r="N267" s="845">
        <f t="shared" si="198"/>
        <v>0.32619012860600183</v>
      </c>
      <c r="O267" s="1831">
        <f t="shared" si="199"/>
        <v>0.375</v>
      </c>
      <c r="P267" s="825" t="s">
        <v>1088</v>
      </c>
      <c r="Q267" s="3" t="str">
        <f>IF(J267=J319,"stop","")</f>
        <v/>
      </c>
      <c r="R267" s="3437" t="str">
        <f t="shared" si="235"/>
        <v/>
      </c>
      <c r="S267" s="1771" t="str">
        <f t="shared" si="235"/>
        <v/>
      </c>
      <c r="T267" s="1771" t="str">
        <f t="shared" si="235"/>
        <v/>
      </c>
      <c r="U267" s="1771" t="str">
        <f t="shared" si="235"/>
        <v/>
      </c>
      <c r="V267" s="3443">
        <f t="shared" si="235"/>
        <v>0.19</v>
      </c>
      <c r="W267" s="1771" t="str">
        <f t="shared" si="235"/>
        <v/>
      </c>
      <c r="X267" s="1771" t="str">
        <f t="shared" si="235"/>
        <v/>
      </c>
      <c r="Y267" s="1771" t="str">
        <f t="shared" si="235"/>
        <v/>
      </c>
      <c r="Z267" s="3437" t="str">
        <f t="shared" si="235"/>
        <v/>
      </c>
      <c r="AA267" s="1771" t="str">
        <f t="shared" si="235"/>
        <v/>
      </c>
      <c r="AB267" s="1771" t="str">
        <f t="shared" si="235"/>
        <v/>
      </c>
      <c r="AC267" s="3442" t="str">
        <f t="shared" si="235"/>
        <v/>
      </c>
      <c r="AD267" s="1771" t="str">
        <f t="shared" si="235"/>
        <v/>
      </c>
      <c r="AE267" s="1771" t="str">
        <f t="shared" si="235"/>
        <v/>
      </c>
      <c r="AF267" s="1771" t="str">
        <f t="shared" si="235"/>
        <v/>
      </c>
      <c r="AG267" s="3442" t="str">
        <f t="shared" si="235"/>
        <v/>
      </c>
      <c r="AH267" s="1771" t="str">
        <f t="shared" si="236"/>
        <v/>
      </c>
      <c r="AI267" s="3442" t="str">
        <f t="shared" si="236"/>
        <v/>
      </c>
      <c r="AJ267" s="3462"/>
      <c r="AK267" s="3439" t="str">
        <f>IF(J267=J319,"stop","")</f>
        <v/>
      </c>
      <c r="AL267" s="3437" t="str">
        <f t="shared" si="229"/>
        <v/>
      </c>
      <c r="AM267" s="1771" t="str">
        <f t="shared" si="229"/>
        <v/>
      </c>
      <c r="AN267" s="1771" t="str">
        <f t="shared" si="229"/>
        <v/>
      </c>
      <c r="AO267" s="1771" t="str">
        <f t="shared" si="229"/>
        <v/>
      </c>
      <c r="AP267" s="3443">
        <f t="shared" si="229"/>
        <v>0.56000000000000005</v>
      </c>
      <c r="AQ267" s="1771" t="str">
        <f t="shared" si="229"/>
        <v/>
      </c>
      <c r="AR267" s="1771" t="str">
        <f t="shared" si="229"/>
        <v/>
      </c>
      <c r="AS267" s="3442" t="str">
        <f t="shared" si="229"/>
        <v/>
      </c>
      <c r="AT267" s="1771" t="str">
        <f t="shared" si="229"/>
        <v/>
      </c>
      <c r="AU267" s="1771" t="str">
        <f t="shared" si="229"/>
        <v/>
      </c>
      <c r="AV267" s="1771" t="str">
        <f t="shared" si="229"/>
        <v/>
      </c>
      <c r="AW267" s="3442" t="str">
        <f t="shared" si="229"/>
        <v/>
      </c>
      <c r="AX267" s="1771" t="str">
        <f t="shared" si="230"/>
        <v/>
      </c>
      <c r="AY267" s="1771" t="str">
        <f t="shared" si="230"/>
        <v/>
      </c>
      <c r="AZ267" s="1771" t="str">
        <f t="shared" si="230"/>
        <v/>
      </c>
      <c r="BA267" s="1771" t="str">
        <f t="shared" si="230"/>
        <v/>
      </c>
      <c r="BB267" s="3437" t="str">
        <f t="shared" si="230"/>
        <v/>
      </c>
      <c r="BC267" s="3443" t="str">
        <f t="shared" si="230"/>
        <v/>
      </c>
      <c r="BD267" s="3462"/>
      <c r="BE267" s="3440" t="str">
        <f>IF(J267=J319,"stop","")</f>
        <v/>
      </c>
      <c r="BF267" s="1771" t="str">
        <f t="shared" si="231"/>
        <v/>
      </c>
      <c r="BG267" s="1771" t="str">
        <f t="shared" si="231"/>
        <v/>
      </c>
      <c r="BH267" s="1771" t="str">
        <f t="shared" si="231"/>
        <v/>
      </c>
      <c r="BI267" s="1771" t="str">
        <f t="shared" si="231"/>
        <v/>
      </c>
      <c r="BJ267" s="3443">
        <f t="shared" si="231"/>
        <v>0.32619012860600183</v>
      </c>
      <c r="BK267" s="3437" t="str">
        <f t="shared" si="231"/>
        <v/>
      </c>
      <c r="BL267" s="1771" t="str">
        <f t="shared" si="231"/>
        <v/>
      </c>
      <c r="BM267" s="3442" t="str">
        <f t="shared" si="231"/>
        <v/>
      </c>
      <c r="BN267" s="1771" t="str">
        <f t="shared" si="231"/>
        <v/>
      </c>
      <c r="BO267" s="1771" t="str">
        <f t="shared" si="231"/>
        <v/>
      </c>
      <c r="BP267" s="1771" t="str">
        <f t="shared" si="231"/>
        <v/>
      </c>
      <c r="BQ267" s="1771" t="str">
        <f t="shared" si="231"/>
        <v/>
      </c>
      <c r="BR267" s="3437" t="str">
        <f t="shared" si="232"/>
        <v/>
      </c>
      <c r="BS267" s="1771" t="str">
        <f t="shared" si="232"/>
        <v/>
      </c>
      <c r="BT267" s="1771" t="str">
        <f t="shared" si="232"/>
        <v/>
      </c>
      <c r="BU267" s="3442" t="str">
        <f t="shared" si="232"/>
        <v/>
      </c>
      <c r="BV267" s="1771" t="str">
        <f t="shared" si="232"/>
        <v/>
      </c>
      <c r="BW267" s="3442" t="str">
        <f t="shared" si="232"/>
        <v/>
      </c>
      <c r="BX267" s="3462"/>
      <c r="BY267" s="3439" t="str">
        <f>IF(L267=L319,"stop","")</f>
        <v/>
      </c>
      <c r="BZ267" s="3437" t="str">
        <f t="shared" si="233"/>
        <v/>
      </c>
      <c r="CA267" s="1771" t="str">
        <f t="shared" si="233"/>
        <v/>
      </c>
      <c r="CB267" s="1771" t="str">
        <f t="shared" si="233"/>
        <v/>
      </c>
      <c r="CC267" s="3442" t="str">
        <f t="shared" si="233"/>
        <v/>
      </c>
      <c r="CD267" s="1771">
        <f t="shared" si="233"/>
        <v>0.375</v>
      </c>
      <c r="CE267" s="3437" t="str">
        <f t="shared" si="233"/>
        <v/>
      </c>
      <c r="CF267" s="1771" t="str">
        <f t="shared" si="233"/>
        <v/>
      </c>
      <c r="CG267" s="1771" t="str">
        <f t="shared" si="233"/>
        <v/>
      </c>
      <c r="CH267" s="3437" t="str">
        <f t="shared" si="233"/>
        <v/>
      </c>
      <c r="CI267" s="1771" t="str">
        <f t="shared" si="233"/>
        <v/>
      </c>
      <c r="CJ267" s="1771" t="str">
        <f t="shared" si="233"/>
        <v/>
      </c>
      <c r="CK267" s="3442" t="str">
        <f t="shared" si="233"/>
        <v/>
      </c>
      <c r="CL267" s="3437" t="str">
        <f t="shared" si="234"/>
        <v/>
      </c>
      <c r="CM267" s="1771" t="str">
        <f t="shared" si="234"/>
        <v/>
      </c>
      <c r="CN267" s="1771" t="str">
        <f t="shared" si="234"/>
        <v/>
      </c>
      <c r="CO267" s="3442" t="str">
        <f t="shared" si="234"/>
        <v/>
      </c>
      <c r="CP267" s="1771" t="str">
        <f t="shared" si="234"/>
        <v/>
      </c>
      <c r="CQ267" s="3442" t="str">
        <f t="shared" si="234"/>
        <v/>
      </c>
      <c r="CR267" s="3462"/>
    </row>
    <row r="268" spans="1:96" s="3" customFormat="1">
      <c r="A268" s="1848" t="s">
        <v>888</v>
      </c>
      <c r="B268" s="816">
        <v>9</v>
      </c>
      <c r="C268" s="816">
        <v>9.5500000000000007</v>
      </c>
      <c r="D268" s="816">
        <v>0.31</v>
      </c>
      <c r="E268" s="1802" t="s">
        <v>35</v>
      </c>
      <c r="F268" s="816">
        <v>2.86</v>
      </c>
      <c r="G268" s="816" t="s">
        <v>784</v>
      </c>
      <c r="H268" s="816">
        <v>1988</v>
      </c>
      <c r="I268" s="50"/>
      <c r="J268" s="816">
        <f t="shared" si="196"/>
        <v>9.5500000000000007</v>
      </c>
      <c r="K268" s="816">
        <v>0.31</v>
      </c>
      <c r="L268" s="816" t="s">
        <v>35</v>
      </c>
      <c r="M268" s="816">
        <v>2.86</v>
      </c>
      <c r="N268" s="845">
        <f t="shared" si="198"/>
        <v>0.94159439250666732</v>
      </c>
      <c r="O268" s="1831">
        <f t="shared" si="199"/>
        <v>1.585</v>
      </c>
      <c r="P268" s="825" t="s">
        <v>1088</v>
      </c>
      <c r="Q268" s="3" t="str">
        <f>IF(J268=J319,"stop","")</f>
        <v/>
      </c>
      <c r="R268" s="3437" t="str">
        <f t="shared" si="235"/>
        <v/>
      </c>
      <c r="S268" s="1771" t="str">
        <f t="shared" si="235"/>
        <v/>
      </c>
      <c r="T268" s="1771" t="str">
        <f t="shared" si="235"/>
        <v/>
      </c>
      <c r="U268" s="1771" t="str">
        <f t="shared" si="235"/>
        <v/>
      </c>
      <c r="V268" s="3443">
        <f t="shared" si="235"/>
        <v>0.31</v>
      </c>
      <c r="W268" s="1771" t="str">
        <f t="shared" si="235"/>
        <v/>
      </c>
      <c r="X268" s="1771" t="str">
        <f t="shared" si="235"/>
        <v/>
      </c>
      <c r="Y268" s="1771" t="str">
        <f t="shared" si="235"/>
        <v/>
      </c>
      <c r="Z268" s="3437" t="str">
        <f t="shared" si="235"/>
        <v/>
      </c>
      <c r="AA268" s="1771" t="str">
        <f t="shared" si="235"/>
        <v/>
      </c>
      <c r="AB268" s="1771" t="str">
        <f t="shared" si="235"/>
        <v/>
      </c>
      <c r="AC268" s="3442" t="str">
        <f t="shared" si="235"/>
        <v/>
      </c>
      <c r="AD268" s="1771" t="str">
        <f t="shared" si="235"/>
        <v/>
      </c>
      <c r="AE268" s="1771" t="str">
        <f t="shared" si="235"/>
        <v/>
      </c>
      <c r="AF268" s="1771" t="str">
        <f t="shared" si="235"/>
        <v/>
      </c>
      <c r="AG268" s="3442" t="str">
        <f t="shared" si="235"/>
        <v/>
      </c>
      <c r="AH268" s="1771" t="str">
        <f t="shared" si="236"/>
        <v/>
      </c>
      <c r="AI268" s="3442" t="str">
        <f t="shared" si="236"/>
        <v/>
      </c>
      <c r="AJ268" s="3462"/>
      <c r="AK268" s="3439" t="str">
        <f>IF(J268=J319,"stop","")</f>
        <v/>
      </c>
      <c r="AL268" s="3437" t="str">
        <f t="shared" si="229"/>
        <v/>
      </c>
      <c r="AM268" s="1771" t="str">
        <f t="shared" si="229"/>
        <v/>
      </c>
      <c r="AN268" s="1771" t="str">
        <f t="shared" si="229"/>
        <v/>
      </c>
      <c r="AO268" s="1771" t="str">
        <f t="shared" si="229"/>
        <v/>
      </c>
      <c r="AP268" s="3443">
        <f t="shared" si="229"/>
        <v>2.86</v>
      </c>
      <c r="AQ268" s="1771" t="str">
        <f t="shared" si="229"/>
        <v/>
      </c>
      <c r="AR268" s="1771" t="str">
        <f t="shared" si="229"/>
        <v/>
      </c>
      <c r="AS268" s="3442" t="str">
        <f t="shared" si="229"/>
        <v/>
      </c>
      <c r="AT268" s="1771" t="str">
        <f t="shared" si="229"/>
        <v/>
      </c>
      <c r="AU268" s="1771" t="str">
        <f t="shared" si="229"/>
        <v/>
      </c>
      <c r="AV268" s="1771" t="str">
        <f t="shared" si="229"/>
        <v/>
      </c>
      <c r="AW268" s="3442" t="str">
        <f t="shared" si="229"/>
        <v/>
      </c>
      <c r="AX268" s="1771" t="str">
        <f t="shared" si="230"/>
        <v/>
      </c>
      <c r="AY268" s="1771" t="str">
        <f t="shared" si="230"/>
        <v/>
      </c>
      <c r="AZ268" s="1771" t="str">
        <f t="shared" si="230"/>
        <v/>
      </c>
      <c r="BA268" s="1771" t="str">
        <f t="shared" si="230"/>
        <v/>
      </c>
      <c r="BB268" s="3437" t="str">
        <f t="shared" si="230"/>
        <v/>
      </c>
      <c r="BC268" s="3443" t="str">
        <f t="shared" si="230"/>
        <v/>
      </c>
      <c r="BD268" s="3462"/>
      <c r="BE268" s="3440" t="str">
        <f>IF(J268=J319,"stop","")</f>
        <v/>
      </c>
      <c r="BF268" s="1771" t="str">
        <f t="shared" si="231"/>
        <v/>
      </c>
      <c r="BG268" s="1771" t="str">
        <f t="shared" si="231"/>
        <v/>
      </c>
      <c r="BH268" s="1771" t="str">
        <f t="shared" si="231"/>
        <v/>
      </c>
      <c r="BI268" s="1771" t="str">
        <f t="shared" si="231"/>
        <v/>
      </c>
      <c r="BJ268" s="3443">
        <f t="shared" si="231"/>
        <v>0.94159439250666732</v>
      </c>
      <c r="BK268" s="3437" t="str">
        <f t="shared" si="231"/>
        <v/>
      </c>
      <c r="BL268" s="1771" t="str">
        <f t="shared" si="231"/>
        <v/>
      </c>
      <c r="BM268" s="3442" t="str">
        <f t="shared" si="231"/>
        <v/>
      </c>
      <c r="BN268" s="1771" t="str">
        <f t="shared" si="231"/>
        <v/>
      </c>
      <c r="BO268" s="1771" t="str">
        <f t="shared" si="231"/>
        <v/>
      </c>
      <c r="BP268" s="1771" t="str">
        <f t="shared" si="231"/>
        <v/>
      </c>
      <c r="BQ268" s="1771" t="str">
        <f t="shared" si="231"/>
        <v/>
      </c>
      <c r="BR268" s="3437" t="str">
        <f t="shared" si="232"/>
        <v/>
      </c>
      <c r="BS268" s="1771" t="str">
        <f t="shared" si="232"/>
        <v/>
      </c>
      <c r="BT268" s="1771" t="str">
        <f t="shared" si="232"/>
        <v/>
      </c>
      <c r="BU268" s="3442" t="str">
        <f t="shared" si="232"/>
        <v/>
      </c>
      <c r="BV268" s="1771" t="str">
        <f t="shared" si="232"/>
        <v/>
      </c>
      <c r="BW268" s="3442" t="str">
        <f t="shared" si="232"/>
        <v/>
      </c>
      <c r="BX268" s="3462"/>
      <c r="BY268" s="3439" t="str">
        <f>IF(L268=L319,"stop","")</f>
        <v/>
      </c>
      <c r="BZ268" s="3437" t="str">
        <f t="shared" si="233"/>
        <v/>
      </c>
      <c r="CA268" s="1771" t="str">
        <f t="shared" si="233"/>
        <v/>
      </c>
      <c r="CB268" s="1771" t="str">
        <f t="shared" si="233"/>
        <v/>
      </c>
      <c r="CC268" s="3442" t="str">
        <f t="shared" si="233"/>
        <v/>
      </c>
      <c r="CD268" s="1771">
        <f t="shared" si="233"/>
        <v>1.585</v>
      </c>
      <c r="CE268" s="3437" t="str">
        <f t="shared" si="233"/>
        <v/>
      </c>
      <c r="CF268" s="1771" t="str">
        <f t="shared" si="233"/>
        <v/>
      </c>
      <c r="CG268" s="1771" t="str">
        <f t="shared" si="233"/>
        <v/>
      </c>
      <c r="CH268" s="3437" t="str">
        <f t="shared" si="233"/>
        <v/>
      </c>
      <c r="CI268" s="1771" t="str">
        <f t="shared" si="233"/>
        <v/>
      </c>
      <c r="CJ268" s="1771" t="str">
        <f t="shared" si="233"/>
        <v/>
      </c>
      <c r="CK268" s="3442" t="str">
        <f t="shared" si="233"/>
        <v/>
      </c>
      <c r="CL268" s="3437" t="str">
        <f t="shared" si="234"/>
        <v/>
      </c>
      <c r="CM268" s="1771" t="str">
        <f t="shared" si="234"/>
        <v/>
      </c>
      <c r="CN268" s="1771" t="str">
        <f t="shared" si="234"/>
        <v/>
      </c>
      <c r="CO268" s="3442" t="str">
        <f t="shared" si="234"/>
        <v/>
      </c>
      <c r="CP268" s="1771" t="str">
        <f t="shared" si="234"/>
        <v/>
      </c>
      <c r="CQ268" s="3442" t="str">
        <f t="shared" si="234"/>
        <v/>
      </c>
      <c r="CR268" s="3462"/>
    </row>
    <row r="269" spans="1:96" s="3" customFormat="1">
      <c r="A269" s="1848" t="s">
        <v>889</v>
      </c>
      <c r="B269" s="816">
        <v>10</v>
      </c>
      <c r="C269" s="816"/>
      <c r="D269" s="816">
        <v>0.01</v>
      </c>
      <c r="E269" s="1802" t="s">
        <v>35</v>
      </c>
      <c r="F269" s="816">
        <v>0.17</v>
      </c>
      <c r="G269" s="816" t="s">
        <v>784</v>
      </c>
      <c r="H269" s="816">
        <v>1988</v>
      </c>
      <c r="I269" s="50"/>
      <c r="J269" s="818">
        <f t="shared" si="196"/>
        <v>10.5</v>
      </c>
      <c r="K269" s="816">
        <v>0.01</v>
      </c>
      <c r="L269" s="816" t="s">
        <v>35</v>
      </c>
      <c r="M269" s="816">
        <v>0.17</v>
      </c>
      <c r="N269" s="845">
        <f t="shared" si="198"/>
        <v>4.123105625617661E-2</v>
      </c>
      <c r="O269" s="1831">
        <f t="shared" si="199"/>
        <v>9.0000000000000011E-2</v>
      </c>
      <c r="P269" s="825" t="s">
        <v>1088</v>
      </c>
      <c r="Q269" s="3" t="str">
        <f>IF(J269=J319,"stop","")</f>
        <v/>
      </c>
      <c r="R269" s="3437" t="str">
        <f t="shared" si="235"/>
        <v/>
      </c>
      <c r="S269" s="1771" t="str">
        <f t="shared" si="235"/>
        <v/>
      </c>
      <c r="T269" s="1771" t="str">
        <f t="shared" si="235"/>
        <v/>
      </c>
      <c r="U269" s="1771" t="str">
        <f t="shared" si="235"/>
        <v/>
      </c>
      <c r="V269" s="3443" t="str">
        <f t="shared" si="235"/>
        <v/>
      </c>
      <c r="W269" s="1771" t="str">
        <f t="shared" si="235"/>
        <v/>
      </c>
      <c r="X269" s="1771" t="str">
        <f t="shared" si="235"/>
        <v/>
      </c>
      <c r="Y269" s="1771" t="str">
        <f t="shared" si="235"/>
        <v/>
      </c>
      <c r="Z269" s="3437">
        <f t="shared" si="235"/>
        <v>0.01</v>
      </c>
      <c r="AA269" s="1771" t="str">
        <f t="shared" si="235"/>
        <v/>
      </c>
      <c r="AB269" s="1771" t="str">
        <f t="shared" si="235"/>
        <v/>
      </c>
      <c r="AC269" s="3442" t="str">
        <f t="shared" si="235"/>
        <v/>
      </c>
      <c r="AD269" s="1771" t="str">
        <f t="shared" si="235"/>
        <v/>
      </c>
      <c r="AE269" s="1771" t="str">
        <f t="shared" si="235"/>
        <v/>
      </c>
      <c r="AF269" s="1771" t="str">
        <f t="shared" si="235"/>
        <v/>
      </c>
      <c r="AG269" s="3442" t="str">
        <f t="shared" si="235"/>
        <v/>
      </c>
      <c r="AH269" s="1771" t="str">
        <f t="shared" si="236"/>
        <v/>
      </c>
      <c r="AI269" s="3442" t="str">
        <f t="shared" si="236"/>
        <v/>
      </c>
      <c r="AJ269" s="3462"/>
      <c r="AK269" s="3439" t="str">
        <f>IF(J269=J319,"stop","")</f>
        <v/>
      </c>
      <c r="AL269" s="3437" t="str">
        <f t="shared" si="229"/>
        <v/>
      </c>
      <c r="AM269" s="1771" t="str">
        <f t="shared" si="229"/>
        <v/>
      </c>
      <c r="AN269" s="1771" t="str">
        <f t="shared" si="229"/>
        <v/>
      </c>
      <c r="AO269" s="1771" t="str">
        <f t="shared" si="229"/>
        <v/>
      </c>
      <c r="AP269" s="3443" t="str">
        <f t="shared" si="229"/>
        <v/>
      </c>
      <c r="AQ269" s="1771" t="str">
        <f t="shared" si="229"/>
        <v/>
      </c>
      <c r="AR269" s="1771" t="str">
        <f t="shared" si="229"/>
        <v/>
      </c>
      <c r="AS269" s="3442" t="str">
        <f t="shared" si="229"/>
        <v/>
      </c>
      <c r="AT269" s="1771">
        <f t="shared" si="229"/>
        <v>0.17</v>
      </c>
      <c r="AU269" s="1771" t="str">
        <f t="shared" si="229"/>
        <v/>
      </c>
      <c r="AV269" s="1771" t="str">
        <f t="shared" si="229"/>
        <v/>
      </c>
      <c r="AW269" s="3442" t="str">
        <f t="shared" si="229"/>
        <v/>
      </c>
      <c r="AX269" s="1771" t="str">
        <f t="shared" si="230"/>
        <v/>
      </c>
      <c r="AY269" s="1771" t="str">
        <f t="shared" si="230"/>
        <v/>
      </c>
      <c r="AZ269" s="1771" t="str">
        <f t="shared" si="230"/>
        <v/>
      </c>
      <c r="BA269" s="1771" t="str">
        <f t="shared" si="230"/>
        <v/>
      </c>
      <c r="BB269" s="3437" t="str">
        <f t="shared" si="230"/>
        <v/>
      </c>
      <c r="BC269" s="3443" t="str">
        <f t="shared" si="230"/>
        <v/>
      </c>
      <c r="BD269" s="3462"/>
      <c r="BE269" s="3440" t="str">
        <f>IF(J269=J319,"stop","")</f>
        <v/>
      </c>
      <c r="BF269" s="1771" t="str">
        <f t="shared" si="231"/>
        <v/>
      </c>
      <c r="BG269" s="1771" t="str">
        <f t="shared" si="231"/>
        <v/>
      </c>
      <c r="BH269" s="1771" t="str">
        <f t="shared" si="231"/>
        <v/>
      </c>
      <c r="BI269" s="1771" t="str">
        <f t="shared" si="231"/>
        <v/>
      </c>
      <c r="BJ269" s="3443" t="str">
        <f t="shared" si="231"/>
        <v/>
      </c>
      <c r="BK269" s="3437" t="str">
        <f t="shared" si="231"/>
        <v/>
      </c>
      <c r="BL269" s="1771" t="str">
        <f t="shared" si="231"/>
        <v/>
      </c>
      <c r="BM269" s="3442" t="str">
        <f t="shared" si="231"/>
        <v/>
      </c>
      <c r="BN269" s="1771">
        <f t="shared" si="231"/>
        <v>4.123105625617661E-2</v>
      </c>
      <c r="BO269" s="1771" t="str">
        <f t="shared" si="231"/>
        <v/>
      </c>
      <c r="BP269" s="1771" t="str">
        <f t="shared" si="231"/>
        <v/>
      </c>
      <c r="BQ269" s="1771" t="str">
        <f t="shared" si="231"/>
        <v/>
      </c>
      <c r="BR269" s="3437" t="str">
        <f t="shared" si="232"/>
        <v/>
      </c>
      <c r="BS269" s="1771" t="str">
        <f t="shared" si="232"/>
        <v/>
      </c>
      <c r="BT269" s="1771" t="str">
        <f t="shared" si="232"/>
        <v/>
      </c>
      <c r="BU269" s="3442" t="str">
        <f t="shared" si="232"/>
        <v/>
      </c>
      <c r="BV269" s="1771" t="str">
        <f t="shared" si="232"/>
        <v/>
      </c>
      <c r="BW269" s="3442" t="str">
        <f t="shared" si="232"/>
        <v/>
      </c>
      <c r="BX269" s="3462"/>
      <c r="BY269" s="3439" t="str">
        <f>IF(L269=L319,"stop","")</f>
        <v/>
      </c>
      <c r="BZ269" s="3437" t="str">
        <f t="shared" si="233"/>
        <v/>
      </c>
      <c r="CA269" s="1771" t="str">
        <f t="shared" si="233"/>
        <v/>
      </c>
      <c r="CB269" s="1771" t="str">
        <f t="shared" si="233"/>
        <v/>
      </c>
      <c r="CC269" s="3442" t="str">
        <f t="shared" si="233"/>
        <v/>
      </c>
      <c r="CD269" s="1771" t="str">
        <f t="shared" si="233"/>
        <v/>
      </c>
      <c r="CE269" s="3437" t="str">
        <f t="shared" si="233"/>
        <v/>
      </c>
      <c r="CF269" s="1771" t="str">
        <f t="shared" si="233"/>
        <v/>
      </c>
      <c r="CG269" s="1771" t="str">
        <f t="shared" si="233"/>
        <v/>
      </c>
      <c r="CH269" s="3437">
        <f t="shared" si="233"/>
        <v>9.0000000000000011E-2</v>
      </c>
      <c r="CI269" s="1771" t="str">
        <f t="shared" si="233"/>
        <v/>
      </c>
      <c r="CJ269" s="1771" t="str">
        <f t="shared" si="233"/>
        <v/>
      </c>
      <c r="CK269" s="3442" t="str">
        <f t="shared" si="233"/>
        <v/>
      </c>
      <c r="CL269" s="3437" t="str">
        <f t="shared" si="234"/>
        <v/>
      </c>
      <c r="CM269" s="1771" t="str">
        <f t="shared" si="234"/>
        <v/>
      </c>
      <c r="CN269" s="1771" t="str">
        <f t="shared" si="234"/>
        <v/>
      </c>
      <c r="CO269" s="3442" t="str">
        <f t="shared" si="234"/>
        <v/>
      </c>
      <c r="CP269" s="1771" t="str">
        <f t="shared" si="234"/>
        <v/>
      </c>
      <c r="CQ269" s="3442" t="str">
        <f t="shared" si="234"/>
        <v/>
      </c>
      <c r="CR269" s="3462"/>
    </row>
    <row r="270" spans="1:96" s="3" customFormat="1">
      <c r="A270" s="1848" t="s">
        <v>890</v>
      </c>
      <c r="B270" s="816">
        <v>10</v>
      </c>
      <c r="C270" s="816"/>
      <c r="D270" s="816">
        <v>0.08</v>
      </c>
      <c r="E270" s="1802" t="s">
        <v>35</v>
      </c>
      <c r="F270" s="816">
        <v>0.56000000000000005</v>
      </c>
      <c r="G270" s="816" t="s">
        <v>784</v>
      </c>
      <c r="H270" s="816">
        <v>1988</v>
      </c>
      <c r="I270" s="50"/>
      <c r="J270" s="818">
        <f t="shared" si="196"/>
        <v>10.5</v>
      </c>
      <c r="K270" s="816">
        <v>0.08</v>
      </c>
      <c r="L270" s="816" t="s">
        <v>35</v>
      </c>
      <c r="M270" s="816">
        <v>0.56000000000000005</v>
      </c>
      <c r="N270" s="845">
        <f t="shared" si="198"/>
        <v>0.21166010488516726</v>
      </c>
      <c r="O270" s="1831">
        <f t="shared" si="199"/>
        <v>0.32</v>
      </c>
      <c r="P270" s="825" t="s">
        <v>1088</v>
      </c>
      <c r="Q270" s="3" t="str">
        <f>IF(J270=J319,"stop","")</f>
        <v/>
      </c>
      <c r="R270" s="3437" t="str">
        <f t="shared" si="235"/>
        <v/>
      </c>
      <c r="S270" s="1771" t="str">
        <f t="shared" si="235"/>
        <v/>
      </c>
      <c r="T270" s="1771" t="str">
        <f t="shared" si="235"/>
        <v/>
      </c>
      <c r="U270" s="1771" t="str">
        <f t="shared" si="235"/>
        <v/>
      </c>
      <c r="V270" s="3443" t="str">
        <f t="shared" si="235"/>
        <v/>
      </c>
      <c r="W270" s="1771" t="str">
        <f t="shared" si="235"/>
        <v/>
      </c>
      <c r="X270" s="1771" t="str">
        <f t="shared" si="235"/>
        <v/>
      </c>
      <c r="Y270" s="1771" t="str">
        <f t="shared" si="235"/>
        <v/>
      </c>
      <c r="Z270" s="3437">
        <f t="shared" si="235"/>
        <v>0.08</v>
      </c>
      <c r="AA270" s="1771" t="str">
        <f t="shared" si="235"/>
        <v/>
      </c>
      <c r="AB270" s="1771" t="str">
        <f t="shared" si="235"/>
        <v/>
      </c>
      <c r="AC270" s="3442" t="str">
        <f t="shared" si="235"/>
        <v/>
      </c>
      <c r="AD270" s="1771" t="str">
        <f t="shared" si="235"/>
        <v/>
      </c>
      <c r="AE270" s="1771" t="str">
        <f t="shared" si="235"/>
        <v/>
      </c>
      <c r="AF270" s="1771" t="str">
        <f t="shared" si="235"/>
        <v/>
      </c>
      <c r="AG270" s="3442" t="str">
        <f t="shared" si="235"/>
        <v/>
      </c>
      <c r="AH270" s="1771" t="str">
        <f t="shared" si="236"/>
        <v/>
      </c>
      <c r="AI270" s="3442" t="str">
        <f t="shared" si="236"/>
        <v/>
      </c>
      <c r="AJ270" s="3462"/>
      <c r="AK270" s="3439" t="str">
        <f>IF(J270=J319,"stop","")</f>
        <v/>
      </c>
      <c r="AL270" s="3437" t="str">
        <f t="shared" si="229"/>
        <v/>
      </c>
      <c r="AM270" s="1771" t="str">
        <f t="shared" si="229"/>
        <v/>
      </c>
      <c r="AN270" s="1771" t="str">
        <f t="shared" si="229"/>
        <v/>
      </c>
      <c r="AO270" s="1771" t="str">
        <f t="shared" si="229"/>
        <v/>
      </c>
      <c r="AP270" s="3443" t="str">
        <f t="shared" si="229"/>
        <v/>
      </c>
      <c r="AQ270" s="1771" t="str">
        <f t="shared" si="229"/>
        <v/>
      </c>
      <c r="AR270" s="1771" t="str">
        <f t="shared" si="229"/>
        <v/>
      </c>
      <c r="AS270" s="3442" t="str">
        <f t="shared" si="229"/>
        <v/>
      </c>
      <c r="AT270" s="1771">
        <f t="shared" si="229"/>
        <v>0.56000000000000005</v>
      </c>
      <c r="AU270" s="1771" t="str">
        <f t="shared" si="229"/>
        <v/>
      </c>
      <c r="AV270" s="1771" t="str">
        <f t="shared" si="229"/>
        <v/>
      </c>
      <c r="AW270" s="3442" t="str">
        <f t="shared" si="229"/>
        <v/>
      </c>
      <c r="AX270" s="1771" t="str">
        <f t="shared" si="230"/>
        <v/>
      </c>
      <c r="AY270" s="1771" t="str">
        <f t="shared" si="230"/>
        <v/>
      </c>
      <c r="AZ270" s="1771" t="str">
        <f t="shared" si="230"/>
        <v/>
      </c>
      <c r="BA270" s="1771" t="str">
        <f t="shared" si="230"/>
        <v/>
      </c>
      <c r="BB270" s="3437" t="str">
        <f t="shared" si="230"/>
        <v/>
      </c>
      <c r="BC270" s="3443" t="str">
        <f t="shared" si="230"/>
        <v/>
      </c>
      <c r="BD270" s="3462"/>
      <c r="BE270" s="3440" t="str">
        <f>IF(J270=J319,"stop","")</f>
        <v/>
      </c>
      <c r="BF270" s="1771" t="str">
        <f t="shared" si="231"/>
        <v/>
      </c>
      <c r="BG270" s="1771" t="str">
        <f t="shared" si="231"/>
        <v/>
      </c>
      <c r="BH270" s="1771" t="str">
        <f t="shared" si="231"/>
        <v/>
      </c>
      <c r="BI270" s="1771" t="str">
        <f t="shared" si="231"/>
        <v/>
      </c>
      <c r="BJ270" s="3443" t="str">
        <f t="shared" si="231"/>
        <v/>
      </c>
      <c r="BK270" s="3437" t="str">
        <f t="shared" si="231"/>
        <v/>
      </c>
      <c r="BL270" s="1771" t="str">
        <f t="shared" si="231"/>
        <v/>
      </c>
      <c r="BM270" s="3442" t="str">
        <f t="shared" si="231"/>
        <v/>
      </c>
      <c r="BN270" s="1771">
        <f t="shared" si="231"/>
        <v>0.21166010488516726</v>
      </c>
      <c r="BO270" s="1771" t="str">
        <f t="shared" si="231"/>
        <v/>
      </c>
      <c r="BP270" s="1771" t="str">
        <f t="shared" si="231"/>
        <v/>
      </c>
      <c r="BQ270" s="1771" t="str">
        <f t="shared" si="231"/>
        <v/>
      </c>
      <c r="BR270" s="3437" t="str">
        <f t="shared" si="232"/>
        <v/>
      </c>
      <c r="BS270" s="1771" t="str">
        <f t="shared" si="232"/>
        <v/>
      </c>
      <c r="BT270" s="1771" t="str">
        <f t="shared" si="232"/>
        <v/>
      </c>
      <c r="BU270" s="3442" t="str">
        <f t="shared" si="232"/>
        <v/>
      </c>
      <c r="BV270" s="1771" t="str">
        <f t="shared" si="232"/>
        <v/>
      </c>
      <c r="BW270" s="3442" t="str">
        <f t="shared" si="232"/>
        <v/>
      </c>
      <c r="BX270" s="3462"/>
      <c r="BY270" s="3439" t="str">
        <f>IF(L270=L319,"stop","")</f>
        <v/>
      </c>
      <c r="BZ270" s="3437" t="str">
        <f t="shared" si="233"/>
        <v/>
      </c>
      <c r="CA270" s="1771" t="str">
        <f t="shared" si="233"/>
        <v/>
      </c>
      <c r="CB270" s="1771" t="str">
        <f t="shared" si="233"/>
        <v/>
      </c>
      <c r="CC270" s="3442" t="str">
        <f t="shared" si="233"/>
        <v/>
      </c>
      <c r="CD270" s="1771" t="str">
        <f t="shared" si="233"/>
        <v/>
      </c>
      <c r="CE270" s="3437" t="str">
        <f t="shared" si="233"/>
        <v/>
      </c>
      <c r="CF270" s="1771" t="str">
        <f t="shared" si="233"/>
        <v/>
      </c>
      <c r="CG270" s="1771" t="str">
        <f t="shared" si="233"/>
        <v/>
      </c>
      <c r="CH270" s="3437">
        <f t="shared" si="233"/>
        <v>0.32</v>
      </c>
      <c r="CI270" s="1771" t="str">
        <f t="shared" si="233"/>
        <v/>
      </c>
      <c r="CJ270" s="1771" t="str">
        <f t="shared" si="233"/>
        <v/>
      </c>
      <c r="CK270" s="3442" t="str">
        <f t="shared" si="233"/>
        <v/>
      </c>
      <c r="CL270" s="3437" t="str">
        <f t="shared" si="234"/>
        <v/>
      </c>
      <c r="CM270" s="1771" t="str">
        <f t="shared" si="234"/>
        <v/>
      </c>
      <c r="CN270" s="1771" t="str">
        <f t="shared" si="234"/>
        <v/>
      </c>
      <c r="CO270" s="3442" t="str">
        <f t="shared" si="234"/>
        <v/>
      </c>
      <c r="CP270" s="1771" t="str">
        <f t="shared" si="234"/>
        <v/>
      </c>
      <c r="CQ270" s="3442" t="str">
        <f t="shared" si="234"/>
        <v/>
      </c>
      <c r="CR270" s="3462"/>
    </row>
    <row r="271" spans="1:96" s="3" customFormat="1" ht="18">
      <c r="A271" s="1848" t="s">
        <v>891</v>
      </c>
      <c r="B271" s="816">
        <v>10</v>
      </c>
      <c r="C271" s="816"/>
      <c r="D271" s="816">
        <v>0.01</v>
      </c>
      <c r="E271" s="1802" t="s">
        <v>35</v>
      </c>
      <c r="F271" s="816">
        <v>0.12</v>
      </c>
      <c r="G271" s="816" t="s">
        <v>784</v>
      </c>
      <c r="H271" s="816">
        <v>1988</v>
      </c>
      <c r="I271" s="50"/>
      <c r="J271" s="818">
        <f t="shared" si="196"/>
        <v>10.5</v>
      </c>
      <c r="K271" s="816">
        <v>0.01</v>
      </c>
      <c r="L271" s="816" t="s">
        <v>35</v>
      </c>
      <c r="M271" s="816">
        <v>0.12</v>
      </c>
      <c r="N271" s="845">
        <f t="shared" si="198"/>
        <v>3.4641016151377546E-2</v>
      </c>
      <c r="O271" s="1831">
        <f t="shared" si="199"/>
        <v>6.5000000000000002E-2</v>
      </c>
      <c r="P271" s="825" t="s">
        <v>1088</v>
      </c>
      <c r="Q271" s="3" t="str">
        <f>IF(J271=J319,"stop","")</f>
        <v/>
      </c>
      <c r="R271" s="3437" t="str">
        <f t="shared" si="235"/>
        <v/>
      </c>
      <c r="S271" s="1771" t="str">
        <f t="shared" si="235"/>
        <v/>
      </c>
      <c r="T271" s="1771" t="str">
        <f t="shared" si="235"/>
        <v/>
      </c>
      <c r="U271" s="1771" t="str">
        <f t="shared" si="235"/>
        <v/>
      </c>
      <c r="V271" s="3443" t="str">
        <f t="shared" si="235"/>
        <v/>
      </c>
      <c r="W271" s="1771" t="str">
        <f t="shared" si="235"/>
        <v/>
      </c>
      <c r="X271" s="1771" t="str">
        <f t="shared" si="235"/>
        <v/>
      </c>
      <c r="Y271" s="1771" t="str">
        <f t="shared" si="235"/>
        <v/>
      </c>
      <c r="Z271" s="3437">
        <f t="shared" si="235"/>
        <v>0.01</v>
      </c>
      <c r="AA271" s="1771" t="str">
        <f t="shared" si="235"/>
        <v/>
      </c>
      <c r="AB271" s="1771" t="str">
        <f t="shared" si="235"/>
        <v/>
      </c>
      <c r="AC271" s="3442" t="str">
        <f t="shared" si="235"/>
        <v/>
      </c>
      <c r="AD271" s="1771" t="str">
        <f t="shared" si="235"/>
        <v/>
      </c>
      <c r="AE271" s="1771" t="str">
        <f t="shared" si="235"/>
        <v/>
      </c>
      <c r="AF271" s="1771" t="str">
        <f t="shared" si="235"/>
        <v/>
      </c>
      <c r="AG271" s="3442" t="str">
        <f t="shared" si="235"/>
        <v/>
      </c>
      <c r="AH271" s="1771" t="str">
        <f t="shared" si="236"/>
        <v/>
      </c>
      <c r="AI271" s="3442" t="str">
        <f t="shared" si="236"/>
        <v/>
      </c>
      <c r="AJ271" s="3462"/>
      <c r="AK271" s="3439" t="str">
        <f>IF(J271=J319,"stop","")</f>
        <v/>
      </c>
      <c r="AL271" s="3437" t="str">
        <f t="shared" ref="AL271:AW280" si="237">IF(AND($J271&gt;AL$4,$J271&lt;=AL$5,$P271=AL$6),$M271,"")</f>
        <v/>
      </c>
      <c r="AM271" s="1771" t="str">
        <f t="shared" si="237"/>
        <v/>
      </c>
      <c r="AN271" s="1771" t="str">
        <f t="shared" si="237"/>
        <v/>
      </c>
      <c r="AO271" s="1771" t="str">
        <f t="shared" si="237"/>
        <v/>
      </c>
      <c r="AP271" s="3443" t="str">
        <f t="shared" si="237"/>
        <v/>
      </c>
      <c r="AQ271" s="1771" t="str">
        <f t="shared" si="237"/>
        <v/>
      </c>
      <c r="AR271" s="1771" t="str">
        <f t="shared" si="237"/>
        <v/>
      </c>
      <c r="AS271" s="3442" t="str">
        <f t="shared" si="237"/>
        <v/>
      </c>
      <c r="AT271" s="1771">
        <f t="shared" si="237"/>
        <v>0.12</v>
      </c>
      <c r="AU271" s="1771" t="str">
        <f t="shared" si="237"/>
        <v/>
      </c>
      <c r="AV271" s="1771" t="str">
        <f t="shared" si="237"/>
        <v/>
      </c>
      <c r="AW271" s="3442" t="str">
        <f t="shared" si="237"/>
        <v/>
      </c>
      <c r="AX271" s="1771" t="str">
        <f t="shared" ref="AX271:BC280" si="238">IF(AND($J271&gt;AX$4,$J271&lt;=AX$5,$P271=AX$6),$M271,"")</f>
        <v/>
      </c>
      <c r="AY271" s="1771" t="str">
        <f t="shared" si="238"/>
        <v/>
      </c>
      <c r="AZ271" s="1771" t="str">
        <f t="shared" si="238"/>
        <v/>
      </c>
      <c r="BA271" s="1771" t="str">
        <f t="shared" si="238"/>
        <v/>
      </c>
      <c r="BB271" s="3437" t="str">
        <f t="shared" si="238"/>
        <v/>
      </c>
      <c r="BC271" s="3443" t="str">
        <f t="shared" si="238"/>
        <v/>
      </c>
      <c r="BD271" s="3462"/>
      <c r="BE271" s="3440" t="str">
        <f>IF(J271=J319,"stop","")</f>
        <v/>
      </c>
      <c r="BF271" s="1771" t="str">
        <f t="shared" ref="BF271:BQ280" si="239">IF(AND($J271&gt;BF$4,$J271&lt;=BF$5,$P271=BF$6),$N271,"")</f>
        <v/>
      </c>
      <c r="BG271" s="1771" t="str">
        <f t="shared" si="239"/>
        <v/>
      </c>
      <c r="BH271" s="1771" t="str">
        <f t="shared" si="239"/>
        <v/>
      </c>
      <c r="BI271" s="1771" t="str">
        <f t="shared" si="239"/>
        <v/>
      </c>
      <c r="BJ271" s="3443" t="str">
        <f t="shared" si="239"/>
        <v/>
      </c>
      <c r="BK271" s="3437" t="str">
        <f t="shared" si="239"/>
        <v/>
      </c>
      <c r="BL271" s="1771" t="str">
        <f t="shared" si="239"/>
        <v/>
      </c>
      <c r="BM271" s="3442" t="str">
        <f t="shared" si="239"/>
        <v/>
      </c>
      <c r="BN271" s="1771">
        <f t="shared" si="239"/>
        <v>3.4641016151377546E-2</v>
      </c>
      <c r="BO271" s="1771" t="str">
        <f t="shared" si="239"/>
        <v/>
      </c>
      <c r="BP271" s="1771" t="str">
        <f t="shared" si="239"/>
        <v/>
      </c>
      <c r="BQ271" s="1771" t="str">
        <f t="shared" si="239"/>
        <v/>
      </c>
      <c r="BR271" s="3437" t="str">
        <f t="shared" ref="BR271:BW280" si="240">IF(AND($J271&gt;BR$4,$J271&lt;=BR$5,$P271=BR$6),$N271,"")</f>
        <v/>
      </c>
      <c r="BS271" s="1771" t="str">
        <f t="shared" si="240"/>
        <v/>
      </c>
      <c r="BT271" s="1771" t="str">
        <f t="shared" si="240"/>
        <v/>
      </c>
      <c r="BU271" s="3442" t="str">
        <f t="shared" si="240"/>
        <v/>
      </c>
      <c r="BV271" s="1771" t="str">
        <f t="shared" si="240"/>
        <v/>
      </c>
      <c r="BW271" s="3442" t="str">
        <f t="shared" si="240"/>
        <v/>
      </c>
      <c r="BX271" s="3462"/>
      <c r="BY271" s="3439" t="str">
        <f>IF(L271=L319,"stop","")</f>
        <v/>
      </c>
      <c r="BZ271" s="3437" t="str">
        <f t="shared" ref="BZ271:CK280" si="241">IF(AND($J271&gt;BZ$4,$J271&lt;=BZ$5,$P271=BZ$6),$O271,"")</f>
        <v/>
      </c>
      <c r="CA271" s="1771" t="str">
        <f t="shared" si="241"/>
        <v/>
      </c>
      <c r="CB271" s="1771" t="str">
        <f t="shared" si="241"/>
        <v/>
      </c>
      <c r="CC271" s="3442" t="str">
        <f t="shared" si="241"/>
        <v/>
      </c>
      <c r="CD271" s="1771" t="str">
        <f t="shared" si="241"/>
        <v/>
      </c>
      <c r="CE271" s="3437" t="str">
        <f t="shared" si="241"/>
        <v/>
      </c>
      <c r="CF271" s="1771" t="str">
        <f t="shared" si="241"/>
        <v/>
      </c>
      <c r="CG271" s="1771" t="str">
        <f t="shared" si="241"/>
        <v/>
      </c>
      <c r="CH271" s="3437">
        <f t="shared" si="241"/>
        <v>6.5000000000000002E-2</v>
      </c>
      <c r="CI271" s="1771" t="str">
        <f t="shared" si="241"/>
        <v/>
      </c>
      <c r="CJ271" s="1771" t="str">
        <f t="shared" si="241"/>
        <v/>
      </c>
      <c r="CK271" s="3442" t="str">
        <f t="shared" si="241"/>
        <v/>
      </c>
      <c r="CL271" s="3437" t="str">
        <f t="shared" ref="CL271:CQ280" si="242">IF(AND($J271&gt;CL$4,$J271&lt;=CL$5,$P271=CL$6),$O271,"")</f>
        <v/>
      </c>
      <c r="CM271" s="1771" t="str">
        <f t="shared" si="242"/>
        <v/>
      </c>
      <c r="CN271" s="1771" t="str">
        <f t="shared" si="242"/>
        <v/>
      </c>
      <c r="CO271" s="3442" t="str">
        <f t="shared" si="242"/>
        <v/>
      </c>
      <c r="CP271" s="1771" t="str">
        <f t="shared" si="242"/>
        <v/>
      </c>
      <c r="CQ271" s="3442" t="str">
        <f t="shared" si="242"/>
        <v/>
      </c>
      <c r="CR271" s="3462"/>
    </row>
    <row r="272" spans="1:96" s="3" customFormat="1">
      <c r="A272" s="1848" t="s">
        <v>892</v>
      </c>
      <c r="B272" s="816">
        <v>11</v>
      </c>
      <c r="C272" s="816"/>
      <c r="D272" s="816">
        <v>0.03</v>
      </c>
      <c r="E272" s="1802" t="s">
        <v>35</v>
      </c>
      <c r="F272" s="816">
        <v>0.11</v>
      </c>
      <c r="G272" s="816" t="s">
        <v>784</v>
      </c>
      <c r="H272" s="816">
        <v>1988</v>
      </c>
      <c r="I272" s="50"/>
      <c r="J272" s="816">
        <f t="shared" si="196"/>
        <v>11.5</v>
      </c>
      <c r="K272" s="816">
        <v>0.03</v>
      </c>
      <c r="L272" s="816" t="s">
        <v>35</v>
      </c>
      <c r="M272" s="816">
        <v>0.11</v>
      </c>
      <c r="N272" s="845">
        <f t="shared" si="198"/>
        <v>5.7445626465380289E-2</v>
      </c>
      <c r="O272" s="1831">
        <f t="shared" si="199"/>
        <v>7.0000000000000007E-2</v>
      </c>
      <c r="P272" s="825" t="s">
        <v>1088</v>
      </c>
      <c r="Q272" s="3" t="str">
        <f>IF(J272=J319,"stop","")</f>
        <v/>
      </c>
      <c r="R272" s="3437" t="str">
        <f t="shared" si="235"/>
        <v/>
      </c>
      <c r="S272" s="1771" t="str">
        <f t="shared" si="235"/>
        <v/>
      </c>
      <c r="T272" s="1771" t="str">
        <f t="shared" si="235"/>
        <v/>
      </c>
      <c r="U272" s="1771" t="str">
        <f t="shared" si="235"/>
        <v/>
      </c>
      <c r="V272" s="3443" t="str">
        <f t="shared" si="235"/>
        <v/>
      </c>
      <c r="W272" s="1771" t="str">
        <f t="shared" si="235"/>
        <v/>
      </c>
      <c r="X272" s="1771" t="str">
        <f t="shared" si="235"/>
        <v/>
      </c>
      <c r="Y272" s="1771" t="str">
        <f t="shared" si="235"/>
        <v/>
      </c>
      <c r="Z272" s="3437">
        <f t="shared" si="235"/>
        <v>0.03</v>
      </c>
      <c r="AA272" s="1771" t="str">
        <f t="shared" si="235"/>
        <v/>
      </c>
      <c r="AB272" s="1771" t="str">
        <f t="shared" si="235"/>
        <v/>
      </c>
      <c r="AC272" s="3442" t="str">
        <f t="shared" si="235"/>
        <v/>
      </c>
      <c r="AD272" s="1771" t="str">
        <f t="shared" si="235"/>
        <v/>
      </c>
      <c r="AE272" s="1771" t="str">
        <f t="shared" si="235"/>
        <v/>
      </c>
      <c r="AF272" s="1771" t="str">
        <f t="shared" si="235"/>
        <v/>
      </c>
      <c r="AG272" s="3442" t="str">
        <f t="shared" si="235"/>
        <v/>
      </c>
      <c r="AH272" s="1771" t="str">
        <f t="shared" si="236"/>
        <v/>
      </c>
      <c r="AI272" s="3442" t="str">
        <f t="shared" si="236"/>
        <v/>
      </c>
      <c r="AJ272" s="3462"/>
      <c r="AK272" s="3439" t="str">
        <f>IF(J272=J319,"stop","")</f>
        <v/>
      </c>
      <c r="AL272" s="3437" t="str">
        <f t="shared" si="237"/>
        <v/>
      </c>
      <c r="AM272" s="1771" t="str">
        <f t="shared" si="237"/>
        <v/>
      </c>
      <c r="AN272" s="1771" t="str">
        <f t="shared" si="237"/>
        <v/>
      </c>
      <c r="AO272" s="1771" t="str">
        <f t="shared" si="237"/>
        <v/>
      </c>
      <c r="AP272" s="3443" t="str">
        <f t="shared" si="237"/>
        <v/>
      </c>
      <c r="AQ272" s="1771" t="str">
        <f t="shared" si="237"/>
        <v/>
      </c>
      <c r="AR272" s="1771" t="str">
        <f t="shared" si="237"/>
        <v/>
      </c>
      <c r="AS272" s="3442" t="str">
        <f t="shared" si="237"/>
        <v/>
      </c>
      <c r="AT272" s="1771">
        <f t="shared" si="237"/>
        <v>0.11</v>
      </c>
      <c r="AU272" s="1771" t="str">
        <f t="shared" si="237"/>
        <v/>
      </c>
      <c r="AV272" s="1771" t="str">
        <f t="shared" si="237"/>
        <v/>
      </c>
      <c r="AW272" s="3442" t="str">
        <f t="shared" si="237"/>
        <v/>
      </c>
      <c r="AX272" s="1771" t="str">
        <f t="shared" si="238"/>
        <v/>
      </c>
      <c r="AY272" s="1771" t="str">
        <f t="shared" si="238"/>
        <v/>
      </c>
      <c r="AZ272" s="1771" t="str">
        <f t="shared" si="238"/>
        <v/>
      </c>
      <c r="BA272" s="1771" t="str">
        <f t="shared" si="238"/>
        <v/>
      </c>
      <c r="BB272" s="3437" t="str">
        <f t="shared" si="238"/>
        <v/>
      </c>
      <c r="BC272" s="3443" t="str">
        <f t="shared" si="238"/>
        <v/>
      </c>
      <c r="BD272" s="3462"/>
      <c r="BE272" s="3440" t="str">
        <f>IF(J272=J319,"stop","")</f>
        <v/>
      </c>
      <c r="BF272" s="1771" t="str">
        <f t="shared" si="239"/>
        <v/>
      </c>
      <c r="BG272" s="1771" t="str">
        <f t="shared" si="239"/>
        <v/>
      </c>
      <c r="BH272" s="1771" t="str">
        <f t="shared" si="239"/>
        <v/>
      </c>
      <c r="BI272" s="1771" t="str">
        <f t="shared" si="239"/>
        <v/>
      </c>
      <c r="BJ272" s="3443" t="str">
        <f t="shared" si="239"/>
        <v/>
      </c>
      <c r="BK272" s="3437" t="str">
        <f t="shared" si="239"/>
        <v/>
      </c>
      <c r="BL272" s="1771" t="str">
        <f t="shared" si="239"/>
        <v/>
      </c>
      <c r="BM272" s="3442" t="str">
        <f t="shared" si="239"/>
        <v/>
      </c>
      <c r="BN272" s="1771">
        <f t="shared" si="239"/>
        <v>5.7445626465380289E-2</v>
      </c>
      <c r="BO272" s="1771" t="str">
        <f t="shared" si="239"/>
        <v/>
      </c>
      <c r="BP272" s="1771" t="str">
        <f t="shared" si="239"/>
        <v/>
      </c>
      <c r="BQ272" s="1771" t="str">
        <f t="shared" si="239"/>
        <v/>
      </c>
      <c r="BR272" s="3437" t="str">
        <f t="shared" si="240"/>
        <v/>
      </c>
      <c r="BS272" s="1771" t="str">
        <f t="shared" si="240"/>
        <v/>
      </c>
      <c r="BT272" s="1771" t="str">
        <f t="shared" si="240"/>
        <v/>
      </c>
      <c r="BU272" s="3442" t="str">
        <f t="shared" si="240"/>
        <v/>
      </c>
      <c r="BV272" s="1771" t="str">
        <f t="shared" si="240"/>
        <v/>
      </c>
      <c r="BW272" s="3442" t="str">
        <f t="shared" si="240"/>
        <v/>
      </c>
      <c r="BX272" s="3462"/>
      <c r="BY272" s="3439" t="str">
        <f>IF(L272=L319,"stop","")</f>
        <v/>
      </c>
      <c r="BZ272" s="3437" t="str">
        <f t="shared" si="241"/>
        <v/>
      </c>
      <c r="CA272" s="1771" t="str">
        <f t="shared" si="241"/>
        <v/>
      </c>
      <c r="CB272" s="1771" t="str">
        <f t="shared" si="241"/>
        <v/>
      </c>
      <c r="CC272" s="3442" t="str">
        <f t="shared" si="241"/>
        <v/>
      </c>
      <c r="CD272" s="1771" t="str">
        <f t="shared" si="241"/>
        <v/>
      </c>
      <c r="CE272" s="3437" t="str">
        <f t="shared" si="241"/>
        <v/>
      </c>
      <c r="CF272" s="1771" t="str">
        <f t="shared" si="241"/>
        <v/>
      </c>
      <c r="CG272" s="1771" t="str">
        <f t="shared" si="241"/>
        <v/>
      </c>
      <c r="CH272" s="3437">
        <f t="shared" si="241"/>
        <v>7.0000000000000007E-2</v>
      </c>
      <c r="CI272" s="1771" t="str">
        <f t="shared" si="241"/>
        <v/>
      </c>
      <c r="CJ272" s="1771" t="str">
        <f t="shared" si="241"/>
        <v/>
      </c>
      <c r="CK272" s="3442" t="str">
        <f t="shared" si="241"/>
        <v/>
      </c>
      <c r="CL272" s="3437" t="str">
        <f t="shared" si="242"/>
        <v/>
      </c>
      <c r="CM272" s="1771" t="str">
        <f t="shared" si="242"/>
        <v/>
      </c>
      <c r="CN272" s="1771" t="str">
        <f t="shared" si="242"/>
        <v/>
      </c>
      <c r="CO272" s="3442" t="str">
        <f t="shared" si="242"/>
        <v/>
      </c>
      <c r="CP272" s="1771" t="str">
        <f t="shared" si="242"/>
        <v/>
      </c>
      <c r="CQ272" s="3442" t="str">
        <f t="shared" si="242"/>
        <v/>
      </c>
      <c r="CR272" s="3462"/>
    </row>
    <row r="273" spans="1:96" s="3" customFormat="1">
      <c r="A273" s="1848" t="s">
        <v>893</v>
      </c>
      <c r="B273" s="816">
        <v>11</v>
      </c>
      <c r="C273" s="816">
        <v>10.92</v>
      </c>
      <c r="D273" s="816">
        <v>0.04</v>
      </c>
      <c r="E273" s="1802" t="s">
        <v>35</v>
      </c>
      <c r="F273" s="816">
        <v>0.13</v>
      </c>
      <c r="G273" s="816" t="s">
        <v>784</v>
      </c>
      <c r="H273" s="816">
        <v>1988</v>
      </c>
      <c r="I273" s="50"/>
      <c r="J273" s="816">
        <f t="shared" si="196"/>
        <v>10.92</v>
      </c>
      <c r="K273" s="816">
        <v>0.04</v>
      </c>
      <c r="L273" s="816" t="s">
        <v>35</v>
      </c>
      <c r="M273" s="816">
        <v>0.13</v>
      </c>
      <c r="N273" s="845">
        <f t="shared" si="198"/>
        <v>7.2111025509279794E-2</v>
      </c>
      <c r="O273" s="1831">
        <f t="shared" si="199"/>
        <v>8.5000000000000006E-2</v>
      </c>
      <c r="P273" s="825" t="s">
        <v>1088</v>
      </c>
      <c r="Q273" s="3" t="str">
        <f>IF(J273=J319,"stop","")</f>
        <v/>
      </c>
      <c r="R273" s="3437" t="str">
        <f t="shared" si="235"/>
        <v/>
      </c>
      <c r="S273" s="1771" t="str">
        <f t="shared" si="235"/>
        <v/>
      </c>
      <c r="T273" s="1771" t="str">
        <f t="shared" si="235"/>
        <v/>
      </c>
      <c r="U273" s="1771" t="str">
        <f t="shared" si="235"/>
        <v/>
      </c>
      <c r="V273" s="3443" t="str">
        <f t="shared" si="235"/>
        <v/>
      </c>
      <c r="W273" s="1771" t="str">
        <f t="shared" si="235"/>
        <v/>
      </c>
      <c r="X273" s="1771" t="str">
        <f t="shared" si="235"/>
        <v/>
      </c>
      <c r="Y273" s="1771" t="str">
        <f t="shared" si="235"/>
        <v/>
      </c>
      <c r="Z273" s="3437">
        <f t="shared" si="235"/>
        <v>0.04</v>
      </c>
      <c r="AA273" s="1771" t="str">
        <f t="shared" si="235"/>
        <v/>
      </c>
      <c r="AB273" s="1771" t="str">
        <f t="shared" si="235"/>
        <v/>
      </c>
      <c r="AC273" s="3442" t="str">
        <f t="shared" si="235"/>
        <v/>
      </c>
      <c r="AD273" s="1771" t="str">
        <f t="shared" si="235"/>
        <v/>
      </c>
      <c r="AE273" s="1771" t="str">
        <f t="shared" si="235"/>
        <v/>
      </c>
      <c r="AF273" s="1771" t="str">
        <f t="shared" si="235"/>
        <v/>
      </c>
      <c r="AG273" s="3442" t="str">
        <f t="shared" si="235"/>
        <v/>
      </c>
      <c r="AH273" s="1771" t="str">
        <f t="shared" si="236"/>
        <v/>
      </c>
      <c r="AI273" s="3442" t="str">
        <f t="shared" si="236"/>
        <v/>
      </c>
      <c r="AJ273" s="3462"/>
      <c r="AK273" s="3439" t="str">
        <f>IF(J273=J319,"stop","")</f>
        <v/>
      </c>
      <c r="AL273" s="3437" t="str">
        <f t="shared" si="237"/>
        <v/>
      </c>
      <c r="AM273" s="1771" t="str">
        <f t="shared" si="237"/>
        <v/>
      </c>
      <c r="AN273" s="1771" t="str">
        <f t="shared" si="237"/>
        <v/>
      </c>
      <c r="AO273" s="1771" t="str">
        <f t="shared" si="237"/>
        <v/>
      </c>
      <c r="AP273" s="3443" t="str">
        <f t="shared" si="237"/>
        <v/>
      </c>
      <c r="AQ273" s="1771" t="str">
        <f t="shared" si="237"/>
        <v/>
      </c>
      <c r="AR273" s="1771" t="str">
        <f t="shared" si="237"/>
        <v/>
      </c>
      <c r="AS273" s="3442" t="str">
        <f t="shared" si="237"/>
        <v/>
      </c>
      <c r="AT273" s="1771">
        <f t="shared" si="237"/>
        <v>0.13</v>
      </c>
      <c r="AU273" s="1771" t="str">
        <f t="shared" si="237"/>
        <v/>
      </c>
      <c r="AV273" s="1771" t="str">
        <f t="shared" si="237"/>
        <v/>
      </c>
      <c r="AW273" s="3442" t="str">
        <f t="shared" si="237"/>
        <v/>
      </c>
      <c r="AX273" s="1771" t="str">
        <f t="shared" si="238"/>
        <v/>
      </c>
      <c r="AY273" s="1771" t="str">
        <f t="shared" si="238"/>
        <v/>
      </c>
      <c r="AZ273" s="1771" t="str">
        <f t="shared" si="238"/>
        <v/>
      </c>
      <c r="BA273" s="1771" t="str">
        <f t="shared" si="238"/>
        <v/>
      </c>
      <c r="BB273" s="3437" t="str">
        <f t="shared" si="238"/>
        <v/>
      </c>
      <c r="BC273" s="3443" t="str">
        <f t="shared" si="238"/>
        <v/>
      </c>
      <c r="BD273" s="3462"/>
      <c r="BE273" s="3440" t="str">
        <f>IF(J273=J319,"stop","")</f>
        <v/>
      </c>
      <c r="BF273" s="1771" t="str">
        <f t="shared" si="239"/>
        <v/>
      </c>
      <c r="BG273" s="1771" t="str">
        <f t="shared" si="239"/>
        <v/>
      </c>
      <c r="BH273" s="1771" t="str">
        <f t="shared" si="239"/>
        <v/>
      </c>
      <c r="BI273" s="1771" t="str">
        <f t="shared" si="239"/>
        <v/>
      </c>
      <c r="BJ273" s="3443" t="str">
        <f t="shared" si="239"/>
        <v/>
      </c>
      <c r="BK273" s="3437" t="str">
        <f t="shared" si="239"/>
        <v/>
      </c>
      <c r="BL273" s="1771" t="str">
        <f t="shared" si="239"/>
        <v/>
      </c>
      <c r="BM273" s="3442" t="str">
        <f t="shared" si="239"/>
        <v/>
      </c>
      <c r="BN273" s="1771">
        <f t="shared" si="239"/>
        <v>7.2111025509279794E-2</v>
      </c>
      <c r="BO273" s="1771" t="str">
        <f t="shared" si="239"/>
        <v/>
      </c>
      <c r="BP273" s="1771" t="str">
        <f t="shared" si="239"/>
        <v/>
      </c>
      <c r="BQ273" s="1771" t="str">
        <f t="shared" si="239"/>
        <v/>
      </c>
      <c r="BR273" s="3437" t="str">
        <f t="shared" si="240"/>
        <v/>
      </c>
      <c r="BS273" s="1771" t="str">
        <f t="shared" si="240"/>
        <v/>
      </c>
      <c r="BT273" s="1771" t="str">
        <f t="shared" si="240"/>
        <v/>
      </c>
      <c r="BU273" s="3442" t="str">
        <f t="shared" si="240"/>
        <v/>
      </c>
      <c r="BV273" s="1771" t="str">
        <f t="shared" si="240"/>
        <v/>
      </c>
      <c r="BW273" s="3442" t="str">
        <f t="shared" si="240"/>
        <v/>
      </c>
      <c r="BX273" s="3462"/>
      <c r="BY273" s="3439" t="str">
        <f>IF(L273=L319,"stop","")</f>
        <v/>
      </c>
      <c r="BZ273" s="3437" t="str">
        <f t="shared" si="241"/>
        <v/>
      </c>
      <c r="CA273" s="1771" t="str">
        <f t="shared" si="241"/>
        <v/>
      </c>
      <c r="CB273" s="1771" t="str">
        <f t="shared" si="241"/>
        <v/>
      </c>
      <c r="CC273" s="3442" t="str">
        <f t="shared" si="241"/>
        <v/>
      </c>
      <c r="CD273" s="1771" t="str">
        <f t="shared" si="241"/>
        <v/>
      </c>
      <c r="CE273" s="3437" t="str">
        <f t="shared" si="241"/>
        <v/>
      </c>
      <c r="CF273" s="1771" t="str">
        <f t="shared" si="241"/>
        <v/>
      </c>
      <c r="CG273" s="1771" t="str">
        <f t="shared" si="241"/>
        <v/>
      </c>
      <c r="CH273" s="3437">
        <f t="shared" si="241"/>
        <v>8.5000000000000006E-2</v>
      </c>
      <c r="CI273" s="1771" t="str">
        <f t="shared" si="241"/>
        <v/>
      </c>
      <c r="CJ273" s="1771" t="str">
        <f t="shared" si="241"/>
        <v/>
      </c>
      <c r="CK273" s="3442" t="str">
        <f t="shared" si="241"/>
        <v/>
      </c>
      <c r="CL273" s="3437" t="str">
        <f t="shared" si="242"/>
        <v/>
      </c>
      <c r="CM273" s="1771" t="str">
        <f t="shared" si="242"/>
        <v/>
      </c>
      <c r="CN273" s="1771" t="str">
        <f t="shared" si="242"/>
        <v/>
      </c>
      <c r="CO273" s="3442" t="str">
        <f t="shared" si="242"/>
        <v/>
      </c>
      <c r="CP273" s="1771" t="str">
        <f t="shared" si="242"/>
        <v/>
      </c>
      <c r="CQ273" s="3442" t="str">
        <f t="shared" si="242"/>
        <v/>
      </c>
      <c r="CR273" s="3462"/>
    </row>
    <row r="274" spans="1:96" s="3" customFormat="1">
      <c r="A274" s="1848" t="s">
        <v>894</v>
      </c>
      <c r="B274" s="816">
        <v>10</v>
      </c>
      <c r="C274" s="816">
        <v>10.93</v>
      </c>
      <c r="D274" s="816">
        <v>0.02</v>
      </c>
      <c r="E274" s="1802" t="s">
        <v>35</v>
      </c>
      <c r="F274" s="816">
        <v>0.19</v>
      </c>
      <c r="G274" s="816" t="s">
        <v>784</v>
      </c>
      <c r="H274" s="816">
        <v>1988</v>
      </c>
      <c r="I274" s="50"/>
      <c r="J274" s="816">
        <f t="shared" si="196"/>
        <v>10.93</v>
      </c>
      <c r="K274" s="816">
        <v>0.02</v>
      </c>
      <c r="L274" s="816" t="s">
        <v>35</v>
      </c>
      <c r="M274" s="816">
        <v>0.19</v>
      </c>
      <c r="N274" s="845">
        <f t="shared" si="198"/>
        <v>6.1644140029689765E-2</v>
      </c>
      <c r="O274" s="1831">
        <f t="shared" si="199"/>
        <v>0.105</v>
      </c>
      <c r="P274" s="825" t="s">
        <v>1088</v>
      </c>
      <c r="Q274" s="3" t="str">
        <f>IF(J274=J319,"stop","")</f>
        <v/>
      </c>
      <c r="R274" s="3437" t="str">
        <f t="shared" si="235"/>
        <v/>
      </c>
      <c r="S274" s="1771" t="str">
        <f t="shared" si="235"/>
        <v/>
      </c>
      <c r="T274" s="1771" t="str">
        <f t="shared" si="235"/>
        <v/>
      </c>
      <c r="U274" s="1771" t="str">
        <f t="shared" si="235"/>
        <v/>
      </c>
      <c r="V274" s="3443" t="str">
        <f t="shared" si="235"/>
        <v/>
      </c>
      <c r="W274" s="1771" t="str">
        <f t="shared" si="235"/>
        <v/>
      </c>
      <c r="X274" s="1771" t="str">
        <f t="shared" si="235"/>
        <v/>
      </c>
      <c r="Y274" s="1771" t="str">
        <f t="shared" si="235"/>
        <v/>
      </c>
      <c r="Z274" s="3437">
        <f t="shared" si="235"/>
        <v>0.02</v>
      </c>
      <c r="AA274" s="1771" t="str">
        <f t="shared" si="235"/>
        <v/>
      </c>
      <c r="AB274" s="1771" t="str">
        <f t="shared" si="235"/>
        <v/>
      </c>
      <c r="AC274" s="3442" t="str">
        <f t="shared" si="235"/>
        <v/>
      </c>
      <c r="AD274" s="1771" t="str">
        <f t="shared" si="235"/>
        <v/>
      </c>
      <c r="AE274" s="1771" t="str">
        <f t="shared" si="235"/>
        <v/>
      </c>
      <c r="AF274" s="1771" t="str">
        <f t="shared" si="235"/>
        <v/>
      </c>
      <c r="AG274" s="3442" t="str">
        <f t="shared" si="235"/>
        <v/>
      </c>
      <c r="AH274" s="1771" t="str">
        <f t="shared" si="236"/>
        <v/>
      </c>
      <c r="AI274" s="3442" t="str">
        <f t="shared" si="236"/>
        <v/>
      </c>
      <c r="AJ274" s="3462"/>
      <c r="AK274" s="3439" t="str">
        <f>IF(J274=J319,"stop","")</f>
        <v/>
      </c>
      <c r="AL274" s="3437" t="str">
        <f t="shared" si="237"/>
        <v/>
      </c>
      <c r="AM274" s="1771" t="str">
        <f t="shared" si="237"/>
        <v/>
      </c>
      <c r="AN274" s="1771" t="str">
        <f t="shared" si="237"/>
        <v/>
      </c>
      <c r="AO274" s="1771" t="str">
        <f t="shared" si="237"/>
        <v/>
      </c>
      <c r="AP274" s="3443" t="str">
        <f t="shared" si="237"/>
        <v/>
      </c>
      <c r="AQ274" s="1771" t="str">
        <f t="shared" si="237"/>
        <v/>
      </c>
      <c r="AR274" s="1771" t="str">
        <f t="shared" si="237"/>
        <v/>
      </c>
      <c r="AS274" s="3442" t="str">
        <f t="shared" si="237"/>
        <v/>
      </c>
      <c r="AT274" s="1771">
        <f t="shared" si="237"/>
        <v>0.19</v>
      </c>
      <c r="AU274" s="1771" t="str">
        <f t="shared" si="237"/>
        <v/>
      </c>
      <c r="AV274" s="1771" t="str">
        <f t="shared" si="237"/>
        <v/>
      </c>
      <c r="AW274" s="3442" t="str">
        <f t="shared" si="237"/>
        <v/>
      </c>
      <c r="AX274" s="1771" t="str">
        <f t="shared" si="238"/>
        <v/>
      </c>
      <c r="AY274" s="1771" t="str">
        <f t="shared" si="238"/>
        <v/>
      </c>
      <c r="AZ274" s="1771" t="str">
        <f t="shared" si="238"/>
        <v/>
      </c>
      <c r="BA274" s="1771" t="str">
        <f t="shared" si="238"/>
        <v/>
      </c>
      <c r="BB274" s="3437" t="str">
        <f t="shared" si="238"/>
        <v/>
      </c>
      <c r="BC274" s="3443" t="str">
        <f t="shared" si="238"/>
        <v/>
      </c>
      <c r="BD274" s="3462"/>
      <c r="BE274" s="3440" t="str">
        <f>IF(J274=J319,"stop","")</f>
        <v/>
      </c>
      <c r="BF274" s="1771" t="str">
        <f t="shared" si="239"/>
        <v/>
      </c>
      <c r="BG274" s="1771" t="str">
        <f t="shared" si="239"/>
        <v/>
      </c>
      <c r="BH274" s="1771" t="str">
        <f t="shared" si="239"/>
        <v/>
      </c>
      <c r="BI274" s="1771" t="str">
        <f t="shared" si="239"/>
        <v/>
      </c>
      <c r="BJ274" s="3443" t="str">
        <f t="shared" si="239"/>
        <v/>
      </c>
      <c r="BK274" s="3437" t="str">
        <f t="shared" si="239"/>
        <v/>
      </c>
      <c r="BL274" s="1771" t="str">
        <f t="shared" si="239"/>
        <v/>
      </c>
      <c r="BM274" s="3442" t="str">
        <f t="shared" si="239"/>
        <v/>
      </c>
      <c r="BN274" s="1771">
        <f t="shared" si="239"/>
        <v>6.1644140029689765E-2</v>
      </c>
      <c r="BO274" s="1771" t="str">
        <f t="shared" si="239"/>
        <v/>
      </c>
      <c r="BP274" s="1771" t="str">
        <f t="shared" si="239"/>
        <v/>
      </c>
      <c r="BQ274" s="1771" t="str">
        <f t="shared" si="239"/>
        <v/>
      </c>
      <c r="BR274" s="3437" t="str">
        <f t="shared" si="240"/>
        <v/>
      </c>
      <c r="BS274" s="1771" t="str">
        <f t="shared" si="240"/>
        <v/>
      </c>
      <c r="BT274" s="1771" t="str">
        <f t="shared" si="240"/>
        <v/>
      </c>
      <c r="BU274" s="3442" t="str">
        <f t="shared" si="240"/>
        <v/>
      </c>
      <c r="BV274" s="1771" t="str">
        <f t="shared" si="240"/>
        <v/>
      </c>
      <c r="BW274" s="3442" t="str">
        <f t="shared" si="240"/>
        <v/>
      </c>
      <c r="BX274" s="3462"/>
      <c r="BY274" s="3439" t="str">
        <f>IF(L274=L319,"stop","")</f>
        <v/>
      </c>
      <c r="BZ274" s="3437" t="str">
        <f t="shared" si="241"/>
        <v/>
      </c>
      <c r="CA274" s="1771" t="str">
        <f t="shared" si="241"/>
        <v/>
      </c>
      <c r="CB274" s="1771" t="str">
        <f t="shared" si="241"/>
        <v/>
      </c>
      <c r="CC274" s="3442" t="str">
        <f t="shared" si="241"/>
        <v/>
      </c>
      <c r="CD274" s="1771" t="str">
        <f t="shared" si="241"/>
        <v/>
      </c>
      <c r="CE274" s="3437" t="str">
        <f t="shared" si="241"/>
        <v/>
      </c>
      <c r="CF274" s="1771" t="str">
        <f t="shared" si="241"/>
        <v/>
      </c>
      <c r="CG274" s="1771" t="str">
        <f t="shared" si="241"/>
        <v/>
      </c>
      <c r="CH274" s="3437">
        <f t="shared" si="241"/>
        <v>0.105</v>
      </c>
      <c r="CI274" s="1771" t="str">
        <f t="shared" si="241"/>
        <v/>
      </c>
      <c r="CJ274" s="1771" t="str">
        <f t="shared" si="241"/>
        <v/>
      </c>
      <c r="CK274" s="3442" t="str">
        <f t="shared" si="241"/>
        <v/>
      </c>
      <c r="CL274" s="3437" t="str">
        <f t="shared" si="242"/>
        <v/>
      </c>
      <c r="CM274" s="1771" t="str">
        <f t="shared" si="242"/>
        <v/>
      </c>
      <c r="CN274" s="1771" t="str">
        <f t="shared" si="242"/>
        <v/>
      </c>
      <c r="CO274" s="3442" t="str">
        <f t="shared" si="242"/>
        <v/>
      </c>
      <c r="CP274" s="1771" t="str">
        <f t="shared" si="242"/>
        <v/>
      </c>
      <c r="CQ274" s="3442" t="str">
        <f t="shared" si="242"/>
        <v/>
      </c>
      <c r="CR274" s="3462"/>
    </row>
    <row r="275" spans="1:96" s="3" customFormat="1">
      <c r="A275" s="1848" t="s">
        <v>895</v>
      </c>
      <c r="B275" s="816">
        <v>10</v>
      </c>
      <c r="C275" s="816">
        <v>10.75</v>
      </c>
      <c r="D275" s="816">
        <v>0.5</v>
      </c>
      <c r="E275" s="1802" t="s">
        <v>35</v>
      </c>
      <c r="F275" s="816">
        <v>0.73</v>
      </c>
      <c r="G275" s="816" t="s">
        <v>784</v>
      </c>
      <c r="H275" s="816">
        <v>1988</v>
      </c>
      <c r="I275" s="50"/>
      <c r="J275" s="816">
        <f t="shared" si="196"/>
        <v>10.75</v>
      </c>
      <c r="K275" s="816">
        <v>0.5</v>
      </c>
      <c r="L275" s="816" t="s">
        <v>35</v>
      </c>
      <c r="M275" s="816">
        <v>0.73</v>
      </c>
      <c r="N275" s="845">
        <f t="shared" si="198"/>
        <v>0.60415229867972864</v>
      </c>
      <c r="O275" s="1831">
        <f t="shared" si="199"/>
        <v>0.61499999999999999</v>
      </c>
      <c r="P275" s="825" t="s">
        <v>1088</v>
      </c>
      <c r="Q275" s="3" t="str">
        <f>IF(J275=J319,"stop","")</f>
        <v/>
      </c>
      <c r="R275" s="3437" t="str">
        <f t="shared" si="235"/>
        <v/>
      </c>
      <c r="S275" s="1771" t="str">
        <f t="shared" si="235"/>
        <v/>
      </c>
      <c r="T275" s="1771" t="str">
        <f t="shared" si="235"/>
        <v/>
      </c>
      <c r="U275" s="1771" t="str">
        <f t="shared" si="235"/>
        <v/>
      </c>
      <c r="V275" s="3443" t="str">
        <f t="shared" si="235"/>
        <v/>
      </c>
      <c r="W275" s="1771" t="str">
        <f t="shared" si="235"/>
        <v/>
      </c>
      <c r="X275" s="1771" t="str">
        <f t="shared" si="235"/>
        <v/>
      </c>
      <c r="Y275" s="1771" t="str">
        <f t="shared" si="235"/>
        <v/>
      </c>
      <c r="Z275" s="3437">
        <f t="shared" si="235"/>
        <v>0.5</v>
      </c>
      <c r="AA275" s="1771" t="str">
        <f t="shared" si="235"/>
        <v/>
      </c>
      <c r="AB275" s="1771" t="str">
        <f t="shared" si="235"/>
        <v/>
      </c>
      <c r="AC275" s="3442" t="str">
        <f t="shared" si="235"/>
        <v/>
      </c>
      <c r="AD275" s="1771" t="str">
        <f t="shared" si="235"/>
        <v/>
      </c>
      <c r="AE275" s="1771" t="str">
        <f t="shared" si="235"/>
        <v/>
      </c>
      <c r="AF275" s="1771" t="str">
        <f t="shared" si="235"/>
        <v/>
      </c>
      <c r="AG275" s="3442" t="str">
        <f t="shared" si="235"/>
        <v/>
      </c>
      <c r="AH275" s="1771" t="str">
        <f t="shared" si="236"/>
        <v/>
      </c>
      <c r="AI275" s="3442" t="str">
        <f t="shared" si="236"/>
        <v/>
      </c>
      <c r="AJ275" s="3462"/>
      <c r="AK275" s="3439" t="str">
        <f>IF(J275=J319,"stop","")</f>
        <v/>
      </c>
      <c r="AL275" s="3437" t="str">
        <f t="shared" si="237"/>
        <v/>
      </c>
      <c r="AM275" s="1771" t="str">
        <f t="shared" si="237"/>
        <v/>
      </c>
      <c r="AN275" s="1771" t="str">
        <f t="shared" si="237"/>
        <v/>
      </c>
      <c r="AO275" s="1771" t="str">
        <f t="shared" si="237"/>
        <v/>
      </c>
      <c r="AP275" s="3443" t="str">
        <f t="shared" si="237"/>
        <v/>
      </c>
      <c r="AQ275" s="1771" t="str">
        <f t="shared" si="237"/>
        <v/>
      </c>
      <c r="AR275" s="1771" t="str">
        <f t="shared" si="237"/>
        <v/>
      </c>
      <c r="AS275" s="3442" t="str">
        <f t="shared" si="237"/>
        <v/>
      </c>
      <c r="AT275" s="1771">
        <f t="shared" si="237"/>
        <v>0.73</v>
      </c>
      <c r="AU275" s="1771" t="str">
        <f t="shared" si="237"/>
        <v/>
      </c>
      <c r="AV275" s="1771" t="str">
        <f t="shared" si="237"/>
        <v/>
      </c>
      <c r="AW275" s="3442" t="str">
        <f t="shared" si="237"/>
        <v/>
      </c>
      <c r="AX275" s="1771" t="str">
        <f t="shared" si="238"/>
        <v/>
      </c>
      <c r="AY275" s="1771" t="str">
        <f t="shared" si="238"/>
        <v/>
      </c>
      <c r="AZ275" s="1771" t="str">
        <f t="shared" si="238"/>
        <v/>
      </c>
      <c r="BA275" s="1771" t="str">
        <f t="shared" si="238"/>
        <v/>
      </c>
      <c r="BB275" s="3437" t="str">
        <f t="shared" si="238"/>
        <v/>
      </c>
      <c r="BC275" s="3443" t="str">
        <f t="shared" si="238"/>
        <v/>
      </c>
      <c r="BD275" s="3462"/>
      <c r="BE275" s="3440" t="str">
        <f>IF(J275=J319,"stop","")</f>
        <v/>
      </c>
      <c r="BF275" s="1771" t="str">
        <f t="shared" si="239"/>
        <v/>
      </c>
      <c r="BG275" s="1771" t="str">
        <f t="shared" si="239"/>
        <v/>
      </c>
      <c r="BH275" s="1771" t="str">
        <f t="shared" si="239"/>
        <v/>
      </c>
      <c r="BI275" s="1771" t="str">
        <f t="shared" si="239"/>
        <v/>
      </c>
      <c r="BJ275" s="3443" t="str">
        <f t="shared" si="239"/>
        <v/>
      </c>
      <c r="BK275" s="3437" t="str">
        <f t="shared" si="239"/>
        <v/>
      </c>
      <c r="BL275" s="1771" t="str">
        <f t="shared" si="239"/>
        <v/>
      </c>
      <c r="BM275" s="3442" t="str">
        <f t="shared" si="239"/>
        <v/>
      </c>
      <c r="BN275" s="1771">
        <f t="shared" si="239"/>
        <v>0.60415229867972864</v>
      </c>
      <c r="BO275" s="1771" t="str">
        <f t="shared" si="239"/>
        <v/>
      </c>
      <c r="BP275" s="1771" t="str">
        <f t="shared" si="239"/>
        <v/>
      </c>
      <c r="BQ275" s="1771" t="str">
        <f t="shared" si="239"/>
        <v/>
      </c>
      <c r="BR275" s="3437" t="str">
        <f t="shared" si="240"/>
        <v/>
      </c>
      <c r="BS275" s="1771" t="str">
        <f t="shared" si="240"/>
        <v/>
      </c>
      <c r="BT275" s="1771" t="str">
        <f t="shared" si="240"/>
        <v/>
      </c>
      <c r="BU275" s="3442" t="str">
        <f t="shared" si="240"/>
        <v/>
      </c>
      <c r="BV275" s="1771" t="str">
        <f t="shared" si="240"/>
        <v/>
      </c>
      <c r="BW275" s="3442" t="str">
        <f t="shared" si="240"/>
        <v/>
      </c>
      <c r="BX275" s="3462"/>
      <c r="BY275" s="3439" t="str">
        <f>IF(L275=L319,"stop","")</f>
        <v/>
      </c>
      <c r="BZ275" s="3437" t="str">
        <f t="shared" si="241"/>
        <v/>
      </c>
      <c r="CA275" s="1771" t="str">
        <f t="shared" si="241"/>
        <v/>
      </c>
      <c r="CB275" s="1771" t="str">
        <f t="shared" si="241"/>
        <v/>
      </c>
      <c r="CC275" s="3442" t="str">
        <f t="shared" si="241"/>
        <v/>
      </c>
      <c r="CD275" s="1771" t="str">
        <f t="shared" si="241"/>
        <v/>
      </c>
      <c r="CE275" s="3437" t="str">
        <f t="shared" si="241"/>
        <v/>
      </c>
      <c r="CF275" s="1771" t="str">
        <f t="shared" si="241"/>
        <v/>
      </c>
      <c r="CG275" s="1771" t="str">
        <f t="shared" si="241"/>
        <v/>
      </c>
      <c r="CH275" s="3437">
        <f t="shared" si="241"/>
        <v>0.61499999999999999</v>
      </c>
      <c r="CI275" s="1771" t="str">
        <f t="shared" si="241"/>
        <v/>
      </c>
      <c r="CJ275" s="1771" t="str">
        <f t="shared" si="241"/>
        <v/>
      </c>
      <c r="CK275" s="3442" t="str">
        <f t="shared" si="241"/>
        <v/>
      </c>
      <c r="CL275" s="3437" t="str">
        <f t="shared" si="242"/>
        <v/>
      </c>
      <c r="CM275" s="1771" t="str">
        <f t="shared" si="242"/>
        <v/>
      </c>
      <c r="CN275" s="1771" t="str">
        <f t="shared" si="242"/>
        <v/>
      </c>
      <c r="CO275" s="3442" t="str">
        <f t="shared" si="242"/>
        <v/>
      </c>
      <c r="CP275" s="1771" t="str">
        <f t="shared" si="242"/>
        <v/>
      </c>
      <c r="CQ275" s="3442" t="str">
        <f t="shared" si="242"/>
        <v/>
      </c>
      <c r="CR275" s="3462"/>
    </row>
    <row r="276" spans="1:96" s="3" customFormat="1">
      <c r="A276" s="1848" t="s">
        <v>896</v>
      </c>
      <c r="B276" s="816">
        <v>10</v>
      </c>
      <c r="C276" s="816">
        <v>10.81</v>
      </c>
      <c r="D276" s="816">
        <v>0.21</v>
      </c>
      <c r="E276" s="1802" t="s">
        <v>35</v>
      </c>
      <c r="F276" s="816">
        <v>0.59</v>
      </c>
      <c r="G276" s="816" t="s">
        <v>784</v>
      </c>
      <c r="H276" s="816">
        <v>1988</v>
      </c>
      <c r="I276" s="50"/>
      <c r="J276" s="816">
        <f t="shared" si="196"/>
        <v>10.81</v>
      </c>
      <c r="K276" s="816">
        <v>0.21</v>
      </c>
      <c r="L276" s="816" t="s">
        <v>35</v>
      </c>
      <c r="M276" s="816">
        <v>0.59</v>
      </c>
      <c r="N276" s="845">
        <f t="shared" si="198"/>
        <v>0.35199431813596083</v>
      </c>
      <c r="O276" s="1831">
        <f t="shared" si="199"/>
        <v>0.39999999999999997</v>
      </c>
      <c r="P276" s="825" t="s">
        <v>1088</v>
      </c>
      <c r="Q276" s="3" t="str">
        <f>IF(J276=J319,"stop","")</f>
        <v/>
      </c>
      <c r="R276" s="3437" t="str">
        <f t="shared" si="235"/>
        <v/>
      </c>
      <c r="S276" s="1771" t="str">
        <f t="shared" si="235"/>
        <v/>
      </c>
      <c r="T276" s="1771" t="str">
        <f t="shared" si="235"/>
        <v/>
      </c>
      <c r="U276" s="1771" t="str">
        <f t="shared" si="235"/>
        <v/>
      </c>
      <c r="V276" s="3443" t="str">
        <f t="shared" si="235"/>
        <v/>
      </c>
      <c r="W276" s="1771" t="str">
        <f t="shared" si="235"/>
        <v/>
      </c>
      <c r="X276" s="1771" t="str">
        <f t="shared" si="235"/>
        <v/>
      </c>
      <c r="Y276" s="1771" t="str">
        <f t="shared" si="235"/>
        <v/>
      </c>
      <c r="Z276" s="3437">
        <f t="shared" si="235"/>
        <v>0.21</v>
      </c>
      <c r="AA276" s="1771" t="str">
        <f t="shared" si="235"/>
        <v/>
      </c>
      <c r="AB276" s="1771" t="str">
        <f t="shared" si="235"/>
        <v/>
      </c>
      <c r="AC276" s="3442" t="str">
        <f t="shared" si="235"/>
        <v/>
      </c>
      <c r="AD276" s="1771" t="str">
        <f t="shared" si="235"/>
        <v/>
      </c>
      <c r="AE276" s="1771" t="str">
        <f t="shared" si="235"/>
        <v/>
      </c>
      <c r="AF276" s="1771" t="str">
        <f t="shared" si="235"/>
        <v/>
      </c>
      <c r="AG276" s="3442" t="str">
        <f t="shared" si="235"/>
        <v/>
      </c>
      <c r="AH276" s="1771" t="str">
        <f t="shared" si="236"/>
        <v/>
      </c>
      <c r="AI276" s="3442" t="str">
        <f t="shared" si="236"/>
        <v/>
      </c>
      <c r="AJ276" s="3462"/>
      <c r="AK276" s="3439" t="str">
        <f>IF(J276=J319,"stop","")</f>
        <v/>
      </c>
      <c r="AL276" s="3437" t="str">
        <f t="shared" si="237"/>
        <v/>
      </c>
      <c r="AM276" s="1771" t="str">
        <f t="shared" si="237"/>
        <v/>
      </c>
      <c r="AN276" s="1771" t="str">
        <f t="shared" si="237"/>
        <v/>
      </c>
      <c r="AO276" s="1771" t="str">
        <f t="shared" si="237"/>
        <v/>
      </c>
      <c r="AP276" s="3443" t="str">
        <f t="shared" si="237"/>
        <v/>
      </c>
      <c r="AQ276" s="1771" t="str">
        <f t="shared" si="237"/>
        <v/>
      </c>
      <c r="AR276" s="1771" t="str">
        <f t="shared" si="237"/>
        <v/>
      </c>
      <c r="AS276" s="3442" t="str">
        <f t="shared" si="237"/>
        <v/>
      </c>
      <c r="AT276" s="1771">
        <f t="shared" si="237"/>
        <v>0.59</v>
      </c>
      <c r="AU276" s="1771" t="str">
        <f t="shared" si="237"/>
        <v/>
      </c>
      <c r="AV276" s="1771" t="str">
        <f t="shared" si="237"/>
        <v/>
      </c>
      <c r="AW276" s="3442" t="str">
        <f t="shared" si="237"/>
        <v/>
      </c>
      <c r="AX276" s="1771" t="str">
        <f t="shared" si="238"/>
        <v/>
      </c>
      <c r="AY276" s="1771" t="str">
        <f t="shared" si="238"/>
        <v/>
      </c>
      <c r="AZ276" s="1771" t="str">
        <f t="shared" si="238"/>
        <v/>
      </c>
      <c r="BA276" s="1771" t="str">
        <f t="shared" si="238"/>
        <v/>
      </c>
      <c r="BB276" s="3437" t="str">
        <f t="shared" si="238"/>
        <v/>
      </c>
      <c r="BC276" s="3443" t="str">
        <f t="shared" si="238"/>
        <v/>
      </c>
      <c r="BD276" s="3462"/>
      <c r="BE276" s="3440" t="str">
        <f>IF(J276=J319,"stop","")</f>
        <v/>
      </c>
      <c r="BF276" s="1771" t="str">
        <f t="shared" si="239"/>
        <v/>
      </c>
      <c r="BG276" s="1771" t="str">
        <f t="shared" si="239"/>
        <v/>
      </c>
      <c r="BH276" s="1771" t="str">
        <f t="shared" si="239"/>
        <v/>
      </c>
      <c r="BI276" s="1771" t="str">
        <f t="shared" si="239"/>
        <v/>
      </c>
      <c r="BJ276" s="3443" t="str">
        <f t="shared" si="239"/>
        <v/>
      </c>
      <c r="BK276" s="3437" t="str">
        <f t="shared" si="239"/>
        <v/>
      </c>
      <c r="BL276" s="1771" t="str">
        <f t="shared" si="239"/>
        <v/>
      </c>
      <c r="BM276" s="3442" t="str">
        <f t="shared" si="239"/>
        <v/>
      </c>
      <c r="BN276" s="1771">
        <f t="shared" si="239"/>
        <v>0.35199431813596083</v>
      </c>
      <c r="BO276" s="1771" t="str">
        <f t="shared" si="239"/>
        <v/>
      </c>
      <c r="BP276" s="1771" t="str">
        <f t="shared" si="239"/>
        <v/>
      </c>
      <c r="BQ276" s="1771" t="str">
        <f t="shared" si="239"/>
        <v/>
      </c>
      <c r="BR276" s="3437" t="str">
        <f t="shared" si="240"/>
        <v/>
      </c>
      <c r="BS276" s="1771" t="str">
        <f t="shared" si="240"/>
        <v/>
      </c>
      <c r="BT276" s="1771" t="str">
        <f t="shared" si="240"/>
        <v/>
      </c>
      <c r="BU276" s="3442" t="str">
        <f t="shared" si="240"/>
        <v/>
      </c>
      <c r="BV276" s="1771" t="str">
        <f t="shared" si="240"/>
        <v/>
      </c>
      <c r="BW276" s="3442" t="str">
        <f t="shared" si="240"/>
        <v/>
      </c>
      <c r="BX276" s="3462"/>
      <c r="BY276" s="3439" t="str">
        <f>IF(L276=L319,"stop","")</f>
        <v/>
      </c>
      <c r="BZ276" s="3437" t="str">
        <f t="shared" si="241"/>
        <v/>
      </c>
      <c r="CA276" s="1771" t="str">
        <f t="shared" si="241"/>
        <v/>
      </c>
      <c r="CB276" s="1771" t="str">
        <f t="shared" si="241"/>
        <v/>
      </c>
      <c r="CC276" s="3442" t="str">
        <f t="shared" si="241"/>
        <v/>
      </c>
      <c r="CD276" s="1771" t="str">
        <f t="shared" si="241"/>
        <v/>
      </c>
      <c r="CE276" s="3437" t="str">
        <f t="shared" si="241"/>
        <v/>
      </c>
      <c r="CF276" s="1771" t="str">
        <f t="shared" si="241"/>
        <v/>
      </c>
      <c r="CG276" s="1771" t="str">
        <f t="shared" si="241"/>
        <v/>
      </c>
      <c r="CH276" s="3437">
        <f t="shared" si="241"/>
        <v>0.39999999999999997</v>
      </c>
      <c r="CI276" s="1771" t="str">
        <f t="shared" si="241"/>
        <v/>
      </c>
      <c r="CJ276" s="1771" t="str">
        <f t="shared" si="241"/>
        <v/>
      </c>
      <c r="CK276" s="3442" t="str">
        <f t="shared" si="241"/>
        <v/>
      </c>
      <c r="CL276" s="3437" t="str">
        <f t="shared" si="242"/>
        <v/>
      </c>
      <c r="CM276" s="1771" t="str">
        <f t="shared" si="242"/>
        <v/>
      </c>
      <c r="CN276" s="1771" t="str">
        <f t="shared" si="242"/>
        <v/>
      </c>
      <c r="CO276" s="3442" t="str">
        <f t="shared" si="242"/>
        <v/>
      </c>
      <c r="CP276" s="1771" t="str">
        <f t="shared" si="242"/>
        <v/>
      </c>
      <c r="CQ276" s="3442" t="str">
        <f t="shared" si="242"/>
        <v/>
      </c>
      <c r="CR276" s="3462"/>
    </row>
    <row r="277" spans="1:96" s="3" customFormat="1">
      <c r="A277" s="1848" t="s">
        <v>897</v>
      </c>
      <c r="B277" s="816">
        <v>10</v>
      </c>
      <c r="C277" s="816">
        <v>10.75</v>
      </c>
      <c r="D277" s="816">
        <v>0.03</v>
      </c>
      <c r="E277" s="1802" t="s">
        <v>35</v>
      </c>
      <c r="F277" s="816">
        <v>0.44</v>
      </c>
      <c r="G277" s="816" t="s">
        <v>784</v>
      </c>
      <c r="H277" s="816">
        <v>1988</v>
      </c>
      <c r="I277" s="50"/>
      <c r="J277" s="816">
        <f t="shared" ref="J277:J311" si="243">IF(ISBLANK(C277),B277+0.5,C277)</f>
        <v>10.75</v>
      </c>
      <c r="K277" s="816">
        <v>0.03</v>
      </c>
      <c r="L277" s="816" t="s">
        <v>35</v>
      </c>
      <c r="M277" s="816">
        <v>0.44</v>
      </c>
      <c r="N277" s="845">
        <f t="shared" si="198"/>
        <v>0.11489125293076058</v>
      </c>
      <c r="O277" s="1831">
        <f t="shared" si="199"/>
        <v>0.23499999999999999</v>
      </c>
      <c r="P277" s="825" t="s">
        <v>1088</v>
      </c>
      <c r="Q277" s="3" t="str">
        <f>IF(J277=J319,"stop","")</f>
        <v/>
      </c>
      <c r="R277" s="3437" t="str">
        <f t="shared" si="235"/>
        <v/>
      </c>
      <c r="S277" s="1771" t="str">
        <f t="shared" si="235"/>
        <v/>
      </c>
      <c r="T277" s="1771" t="str">
        <f t="shared" si="235"/>
        <v/>
      </c>
      <c r="U277" s="1771" t="str">
        <f t="shared" si="235"/>
        <v/>
      </c>
      <c r="V277" s="3443" t="str">
        <f t="shared" si="235"/>
        <v/>
      </c>
      <c r="W277" s="1771" t="str">
        <f t="shared" si="235"/>
        <v/>
      </c>
      <c r="X277" s="1771" t="str">
        <f t="shared" si="235"/>
        <v/>
      </c>
      <c r="Y277" s="1771" t="str">
        <f t="shared" si="235"/>
        <v/>
      </c>
      <c r="Z277" s="3437">
        <f t="shared" si="235"/>
        <v>0.03</v>
      </c>
      <c r="AA277" s="1771" t="str">
        <f t="shared" si="235"/>
        <v/>
      </c>
      <c r="AB277" s="1771" t="str">
        <f t="shared" si="235"/>
        <v/>
      </c>
      <c r="AC277" s="3442" t="str">
        <f t="shared" si="235"/>
        <v/>
      </c>
      <c r="AD277" s="1771" t="str">
        <f t="shared" si="235"/>
        <v/>
      </c>
      <c r="AE277" s="1771" t="str">
        <f t="shared" si="235"/>
        <v/>
      </c>
      <c r="AF277" s="1771" t="str">
        <f t="shared" si="235"/>
        <v/>
      </c>
      <c r="AG277" s="3442" t="str">
        <f t="shared" si="235"/>
        <v/>
      </c>
      <c r="AH277" s="1771" t="str">
        <f t="shared" si="236"/>
        <v/>
      </c>
      <c r="AI277" s="3442" t="str">
        <f t="shared" si="236"/>
        <v/>
      </c>
      <c r="AJ277" s="3462"/>
      <c r="AK277" s="3439" t="str">
        <f>IF(J277=J319,"stop","")</f>
        <v/>
      </c>
      <c r="AL277" s="3437" t="str">
        <f t="shared" si="237"/>
        <v/>
      </c>
      <c r="AM277" s="1771" t="str">
        <f t="shared" si="237"/>
        <v/>
      </c>
      <c r="AN277" s="1771" t="str">
        <f t="shared" si="237"/>
        <v/>
      </c>
      <c r="AO277" s="1771" t="str">
        <f t="shared" si="237"/>
        <v/>
      </c>
      <c r="AP277" s="3443" t="str">
        <f t="shared" si="237"/>
        <v/>
      </c>
      <c r="AQ277" s="1771" t="str">
        <f t="shared" si="237"/>
        <v/>
      </c>
      <c r="AR277" s="1771" t="str">
        <f t="shared" si="237"/>
        <v/>
      </c>
      <c r="AS277" s="3442" t="str">
        <f t="shared" si="237"/>
        <v/>
      </c>
      <c r="AT277" s="1771">
        <f t="shared" si="237"/>
        <v>0.44</v>
      </c>
      <c r="AU277" s="1771" t="str">
        <f t="shared" si="237"/>
        <v/>
      </c>
      <c r="AV277" s="1771" t="str">
        <f t="shared" si="237"/>
        <v/>
      </c>
      <c r="AW277" s="3442" t="str">
        <f t="shared" si="237"/>
        <v/>
      </c>
      <c r="AX277" s="1771" t="str">
        <f t="shared" si="238"/>
        <v/>
      </c>
      <c r="AY277" s="1771" t="str">
        <f t="shared" si="238"/>
        <v/>
      </c>
      <c r="AZ277" s="1771" t="str">
        <f t="shared" si="238"/>
        <v/>
      </c>
      <c r="BA277" s="1771" t="str">
        <f t="shared" si="238"/>
        <v/>
      </c>
      <c r="BB277" s="3437" t="str">
        <f t="shared" si="238"/>
        <v/>
      </c>
      <c r="BC277" s="3443" t="str">
        <f t="shared" si="238"/>
        <v/>
      </c>
      <c r="BD277" s="3462"/>
      <c r="BE277" s="3440" t="str">
        <f>IF(J277=J319,"stop","")</f>
        <v/>
      </c>
      <c r="BF277" s="1771" t="str">
        <f t="shared" si="239"/>
        <v/>
      </c>
      <c r="BG277" s="1771" t="str">
        <f t="shared" si="239"/>
        <v/>
      </c>
      <c r="BH277" s="1771" t="str">
        <f t="shared" si="239"/>
        <v/>
      </c>
      <c r="BI277" s="1771" t="str">
        <f t="shared" si="239"/>
        <v/>
      </c>
      <c r="BJ277" s="3443" t="str">
        <f t="shared" si="239"/>
        <v/>
      </c>
      <c r="BK277" s="3437" t="str">
        <f t="shared" si="239"/>
        <v/>
      </c>
      <c r="BL277" s="1771" t="str">
        <f t="shared" si="239"/>
        <v/>
      </c>
      <c r="BM277" s="3442" t="str">
        <f t="shared" si="239"/>
        <v/>
      </c>
      <c r="BN277" s="1771">
        <f t="shared" si="239"/>
        <v>0.11489125293076058</v>
      </c>
      <c r="BO277" s="1771" t="str">
        <f t="shared" si="239"/>
        <v/>
      </c>
      <c r="BP277" s="1771" t="str">
        <f t="shared" si="239"/>
        <v/>
      </c>
      <c r="BQ277" s="1771" t="str">
        <f t="shared" si="239"/>
        <v/>
      </c>
      <c r="BR277" s="3437" t="str">
        <f t="shared" si="240"/>
        <v/>
      </c>
      <c r="BS277" s="1771" t="str">
        <f t="shared" si="240"/>
        <v/>
      </c>
      <c r="BT277" s="1771" t="str">
        <f t="shared" si="240"/>
        <v/>
      </c>
      <c r="BU277" s="3442" t="str">
        <f t="shared" si="240"/>
        <v/>
      </c>
      <c r="BV277" s="1771" t="str">
        <f t="shared" si="240"/>
        <v/>
      </c>
      <c r="BW277" s="3442" t="str">
        <f t="shared" si="240"/>
        <v/>
      </c>
      <c r="BX277" s="3462"/>
      <c r="BY277" s="3439" t="str">
        <f>IF(L277=L319,"stop","")</f>
        <v/>
      </c>
      <c r="BZ277" s="3437" t="str">
        <f t="shared" si="241"/>
        <v/>
      </c>
      <c r="CA277" s="1771" t="str">
        <f t="shared" si="241"/>
        <v/>
      </c>
      <c r="CB277" s="1771" t="str">
        <f t="shared" si="241"/>
        <v/>
      </c>
      <c r="CC277" s="3442" t="str">
        <f t="shared" si="241"/>
        <v/>
      </c>
      <c r="CD277" s="1771" t="str">
        <f t="shared" si="241"/>
        <v/>
      </c>
      <c r="CE277" s="3437" t="str">
        <f t="shared" si="241"/>
        <v/>
      </c>
      <c r="CF277" s="1771" t="str">
        <f t="shared" si="241"/>
        <v/>
      </c>
      <c r="CG277" s="1771" t="str">
        <f t="shared" si="241"/>
        <v/>
      </c>
      <c r="CH277" s="3437">
        <f t="shared" si="241"/>
        <v>0.23499999999999999</v>
      </c>
      <c r="CI277" s="1771" t="str">
        <f t="shared" si="241"/>
        <v/>
      </c>
      <c r="CJ277" s="1771" t="str">
        <f t="shared" si="241"/>
        <v/>
      </c>
      <c r="CK277" s="3442" t="str">
        <f t="shared" si="241"/>
        <v/>
      </c>
      <c r="CL277" s="3437" t="str">
        <f t="shared" si="242"/>
        <v/>
      </c>
      <c r="CM277" s="1771" t="str">
        <f t="shared" si="242"/>
        <v/>
      </c>
      <c r="CN277" s="1771" t="str">
        <f t="shared" si="242"/>
        <v/>
      </c>
      <c r="CO277" s="3442" t="str">
        <f t="shared" si="242"/>
        <v/>
      </c>
      <c r="CP277" s="1771" t="str">
        <f t="shared" si="242"/>
        <v/>
      </c>
      <c r="CQ277" s="3442" t="str">
        <f t="shared" si="242"/>
        <v/>
      </c>
      <c r="CR277" s="3462"/>
    </row>
    <row r="278" spans="1:96" s="3" customFormat="1">
      <c r="A278" s="1848" t="s">
        <v>898</v>
      </c>
      <c r="B278" s="816">
        <v>10</v>
      </c>
      <c r="C278" s="816">
        <v>10.51</v>
      </c>
      <c r="D278" s="816">
        <v>0.11</v>
      </c>
      <c r="E278" s="1802" t="s">
        <v>35</v>
      </c>
      <c r="F278" s="816">
        <v>0.42</v>
      </c>
      <c r="G278" s="816" t="s">
        <v>784</v>
      </c>
      <c r="H278" s="816">
        <v>1988</v>
      </c>
      <c r="I278" s="50"/>
      <c r="J278" s="816">
        <f t="shared" si="243"/>
        <v>10.51</v>
      </c>
      <c r="K278" s="816">
        <v>0.11</v>
      </c>
      <c r="L278" s="816" t="s">
        <v>35</v>
      </c>
      <c r="M278" s="816">
        <v>0.42</v>
      </c>
      <c r="N278" s="845">
        <f t="shared" si="198"/>
        <v>0.21494185260204676</v>
      </c>
      <c r="O278" s="1831">
        <f t="shared" si="199"/>
        <v>0.26500000000000001</v>
      </c>
      <c r="P278" s="825" t="s">
        <v>1088</v>
      </c>
      <c r="Q278" s="3" t="str">
        <f>IF(J278=J319,"stop","")</f>
        <v/>
      </c>
      <c r="R278" s="3437" t="str">
        <f t="shared" si="235"/>
        <v/>
      </c>
      <c r="S278" s="1771" t="str">
        <f t="shared" si="235"/>
        <v/>
      </c>
      <c r="T278" s="1771" t="str">
        <f t="shared" si="235"/>
        <v/>
      </c>
      <c r="U278" s="1771" t="str">
        <f t="shared" si="235"/>
        <v/>
      </c>
      <c r="V278" s="3443" t="str">
        <f t="shared" si="235"/>
        <v/>
      </c>
      <c r="W278" s="1771" t="str">
        <f t="shared" si="235"/>
        <v/>
      </c>
      <c r="X278" s="1771" t="str">
        <f t="shared" si="235"/>
        <v/>
      </c>
      <c r="Y278" s="1771" t="str">
        <f t="shared" si="235"/>
        <v/>
      </c>
      <c r="Z278" s="3437">
        <f t="shared" si="235"/>
        <v>0.11</v>
      </c>
      <c r="AA278" s="1771" t="str">
        <f t="shared" si="235"/>
        <v/>
      </c>
      <c r="AB278" s="1771" t="str">
        <f t="shared" si="235"/>
        <v/>
      </c>
      <c r="AC278" s="3442" t="str">
        <f t="shared" si="235"/>
        <v/>
      </c>
      <c r="AD278" s="1771" t="str">
        <f t="shared" si="235"/>
        <v/>
      </c>
      <c r="AE278" s="1771" t="str">
        <f t="shared" si="235"/>
        <v/>
      </c>
      <c r="AF278" s="1771" t="str">
        <f t="shared" si="235"/>
        <v/>
      </c>
      <c r="AG278" s="3442" t="str">
        <f t="shared" si="235"/>
        <v/>
      </c>
      <c r="AH278" s="1771" t="str">
        <f t="shared" si="236"/>
        <v/>
      </c>
      <c r="AI278" s="3442" t="str">
        <f t="shared" si="236"/>
        <v/>
      </c>
      <c r="AJ278" s="3462"/>
      <c r="AK278" s="3439" t="str">
        <f>IF(J278=J319,"stop","")</f>
        <v/>
      </c>
      <c r="AL278" s="3437" t="str">
        <f t="shared" si="237"/>
        <v/>
      </c>
      <c r="AM278" s="1771" t="str">
        <f t="shared" si="237"/>
        <v/>
      </c>
      <c r="AN278" s="1771" t="str">
        <f t="shared" si="237"/>
        <v/>
      </c>
      <c r="AO278" s="1771" t="str">
        <f t="shared" si="237"/>
        <v/>
      </c>
      <c r="AP278" s="3443" t="str">
        <f t="shared" si="237"/>
        <v/>
      </c>
      <c r="AQ278" s="1771" t="str">
        <f t="shared" si="237"/>
        <v/>
      </c>
      <c r="AR278" s="1771" t="str">
        <f t="shared" si="237"/>
        <v/>
      </c>
      <c r="AS278" s="3442" t="str">
        <f t="shared" si="237"/>
        <v/>
      </c>
      <c r="AT278" s="1771">
        <f t="shared" si="237"/>
        <v>0.42</v>
      </c>
      <c r="AU278" s="1771" t="str">
        <f t="shared" si="237"/>
        <v/>
      </c>
      <c r="AV278" s="1771" t="str">
        <f t="shared" si="237"/>
        <v/>
      </c>
      <c r="AW278" s="3442" t="str">
        <f t="shared" si="237"/>
        <v/>
      </c>
      <c r="AX278" s="1771" t="str">
        <f t="shared" si="238"/>
        <v/>
      </c>
      <c r="AY278" s="1771" t="str">
        <f t="shared" si="238"/>
        <v/>
      </c>
      <c r="AZ278" s="1771" t="str">
        <f t="shared" si="238"/>
        <v/>
      </c>
      <c r="BA278" s="1771" t="str">
        <f t="shared" si="238"/>
        <v/>
      </c>
      <c r="BB278" s="3437" t="str">
        <f t="shared" si="238"/>
        <v/>
      </c>
      <c r="BC278" s="3443" t="str">
        <f t="shared" si="238"/>
        <v/>
      </c>
      <c r="BD278" s="3462"/>
      <c r="BE278" s="3440" t="str">
        <f>IF(J278=J319,"stop","")</f>
        <v/>
      </c>
      <c r="BF278" s="1771" t="str">
        <f t="shared" si="239"/>
        <v/>
      </c>
      <c r="BG278" s="1771" t="str">
        <f t="shared" si="239"/>
        <v/>
      </c>
      <c r="BH278" s="1771" t="str">
        <f t="shared" si="239"/>
        <v/>
      </c>
      <c r="BI278" s="1771" t="str">
        <f t="shared" si="239"/>
        <v/>
      </c>
      <c r="BJ278" s="3443" t="str">
        <f t="shared" si="239"/>
        <v/>
      </c>
      <c r="BK278" s="3437" t="str">
        <f t="shared" si="239"/>
        <v/>
      </c>
      <c r="BL278" s="1771" t="str">
        <f t="shared" si="239"/>
        <v/>
      </c>
      <c r="BM278" s="3442" t="str">
        <f t="shared" si="239"/>
        <v/>
      </c>
      <c r="BN278" s="1771">
        <f t="shared" si="239"/>
        <v>0.21494185260204676</v>
      </c>
      <c r="BO278" s="1771" t="str">
        <f t="shared" si="239"/>
        <v/>
      </c>
      <c r="BP278" s="1771" t="str">
        <f t="shared" si="239"/>
        <v/>
      </c>
      <c r="BQ278" s="1771" t="str">
        <f t="shared" si="239"/>
        <v/>
      </c>
      <c r="BR278" s="3437" t="str">
        <f t="shared" si="240"/>
        <v/>
      </c>
      <c r="BS278" s="1771" t="str">
        <f t="shared" si="240"/>
        <v/>
      </c>
      <c r="BT278" s="1771" t="str">
        <f t="shared" si="240"/>
        <v/>
      </c>
      <c r="BU278" s="3442" t="str">
        <f t="shared" si="240"/>
        <v/>
      </c>
      <c r="BV278" s="1771" t="str">
        <f t="shared" si="240"/>
        <v/>
      </c>
      <c r="BW278" s="3442" t="str">
        <f t="shared" si="240"/>
        <v/>
      </c>
      <c r="BX278" s="3462"/>
      <c r="BY278" s="3439" t="str">
        <f>IF(L278=L319,"stop","")</f>
        <v/>
      </c>
      <c r="BZ278" s="3437" t="str">
        <f t="shared" si="241"/>
        <v/>
      </c>
      <c r="CA278" s="1771" t="str">
        <f t="shared" si="241"/>
        <v/>
      </c>
      <c r="CB278" s="1771" t="str">
        <f t="shared" si="241"/>
        <v/>
      </c>
      <c r="CC278" s="3442" t="str">
        <f t="shared" si="241"/>
        <v/>
      </c>
      <c r="CD278" s="1771" t="str">
        <f t="shared" si="241"/>
        <v/>
      </c>
      <c r="CE278" s="3437" t="str">
        <f t="shared" si="241"/>
        <v/>
      </c>
      <c r="CF278" s="1771" t="str">
        <f t="shared" si="241"/>
        <v/>
      </c>
      <c r="CG278" s="1771" t="str">
        <f t="shared" si="241"/>
        <v/>
      </c>
      <c r="CH278" s="3437">
        <f t="shared" si="241"/>
        <v>0.26500000000000001</v>
      </c>
      <c r="CI278" s="1771" t="str">
        <f t="shared" si="241"/>
        <v/>
      </c>
      <c r="CJ278" s="1771" t="str">
        <f t="shared" si="241"/>
        <v/>
      </c>
      <c r="CK278" s="3442" t="str">
        <f t="shared" si="241"/>
        <v/>
      </c>
      <c r="CL278" s="3437" t="str">
        <f t="shared" si="242"/>
        <v/>
      </c>
      <c r="CM278" s="1771" t="str">
        <f t="shared" si="242"/>
        <v/>
      </c>
      <c r="CN278" s="1771" t="str">
        <f t="shared" si="242"/>
        <v/>
      </c>
      <c r="CO278" s="3442" t="str">
        <f t="shared" si="242"/>
        <v/>
      </c>
      <c r="CP278" s="1771" t="str">
        <f t="shared" si="242"/>
        <v/>
      </c>
      <c r="CQ278" s="3442" t="str">
        <f t="shared" si="242"/>
        <v/>
      </c>
      <c r="CR278" s="3462"/>
    </row>
    <row r="279" spans="1:96" s="3" customFormat="1" ht="18">
      <c r="A279" s="1848" t="s">
        <v>899</v>
      </c>
      <c r="B279" s="816">
        <v>12</v>
      </c>
      <c r="C279" s="816"/>
      <c r="D279" s="816">
        <v>0.02</v>
      </c>
      <c r="E279" s="1802" t="s">
        <v>35</v>
      </c>
      <c r="F279" s="816">
        <v>0.16</v>
      </c>
      <c r="G279" s="816" t="s">
        <v>784</v>
      </c>
      <c r="H279" s="816">
        <v>1988</v>
      </c>
      <c r="I279" s="50"/>
      <c r="J279" s="818">
        <f t="shared" si="243"/>
        <v>12.5</v>
      </c>
      <c r="K279" s="816">
        <v>0.02</v>
      </c>
      <c r="L279" s="816" t="s">
        <v>35</v>
      </c>
      <c r="M279" s="816">
        <v>0.16</v>
      </c>
      <c r="N279" s="845">
        <f t="shared" si="198"/>
        <v>5.6568542494923803E-2</v>
      </c>
      <c r="O279" s="1831">
        <f t="shared" si="199"/>
        <v>0.09</v>
      </c>
      <c r="P279" s="825" t="s">
        <v>1088</v>
      </c>
      <c r="Q279" s="3" t="str">
        <f>IF(J279=J319,"stop","")</f>
        <v/>
      </c>
      <c r="R279" s="3437" t="str">
        <f t="shared" ref="R279:AG294" si="244">IF(AND($J279&gt;R$4,$J279&lt;=R$5,$P279=R$6),$K279,"")</f>
        <v/>
      </c>
      <c r="S279" s="1771" t="str">
        <f t="shared" si="244"/>
        <v/>
      </c>
      <c r="T279" s="1771" t="str">
        <f t="shared" si="244"/>
        <v/>
      </c>
      <c r="U279" s="1771" t="str">
        <f t="shared" si="244"/>
        <v/>
      </c>
      <c r="V279" s="3443" t="str">
        <f t="shared" si="244"/>
        <v/>
      </c>
      <c r="W279" s="1771" t="str">
        <f t="shared" si="244"/>
        <v/>
      </c>
      <c r="X279" s="1771" t="str">
        <f t="shared" si="244"/>
        <v/>
      </c>
      <c r="Y279" s="1771" t="str">
        <f t="shared" si="244"/>
        <v/>
      </c>
      <c r="Z279" s="3437" t="str">
        <f t="shared" si="244"/>
        <v/>
      </c>
      <c r="AA279" s="1771">
        <f t="shared" si="244"/>
        <v>0.02</v>
      </c>
      <c r="AB279" s="1771" t="str">
        <f t="shared" si="244"/>
        <v/>
      </c>
      <c r="AC279" s="3442" t="str">
        <f t="shared" si="244"/>
        <v/>
      </c>
      <c r="AD279" s="1771" t="str">
        <f t="shared" si="244"/>
        <v/>
      </c>
      <c r="AE279" s="1771" t="str">
        <f t="shared" si="244"/>
        <v/>
      </c>
      <c r="AF279" s="1771" t="str">
        <f t="shared" si="244"/>
        <v/>
      </c>
      <c r="AG279" s="3442" t="str">
        <f t="shared" si="244"/>
        <v/>
      </c>
      <c r="AH279" s="1771" t="str">
        <f t="shared" si="236"/>
        <v/>
      </c>
      <c r="AI279" s="3442" t="str">
        <f t="shared" si="236"/>
        <v/>
      </c>
      <c r="AJ279" s="3462"/>
      <c r="AK279" s="3439" t="str">
        <f>IF(J279=J319,"stop","")</f>
        <v/>
      </c>
      <c r="AL279" s="3437" t="str">
        <f t="shared" si="237"/>
        <v/>
      </c>
      <c r="AM279" s="1771" t="str">
        <f t="shared" si="237"/>
        <v/>
      </c>
      <c r="AN279" s="1771" t="str">
        <f t="shared" si="237"/>
        <v/>
      </c>
      <c r="AO279" s="1771" t="str">
        <f t="shared" si="237"/>
        <v/>
      </c>
      <c r="AP279" s="3443" t="str">
        <f t="shared" si="237"/>
        <v/>
      </c>
      <c r="AQ279" s="1771" t="str">
        <f t="shared" si="237"/>
        <v/>
      </c>
      <c r="AR279" s="1771" t="str">
        <f t="shared" si="237"/>
        <v/>
      </c>
      <c r="AS279" s="3442" t="str">
        <f t="shared" si="237"/>
        <v/>
      </c>
      <c r="AT279" s="1771" t="str">
        <f t="shared" si="237"/>
        <v/>
      </c>
      <c r="AU279" s="1771">
        <f t="shared" si="237"/>
        <v>0.16</v>
      </c>
      <c r="AV279" s="1771" t="str">
        <f t="shared" si="237"/>
        <v/>
      </c>
      <c r="AW279" s="3442" t="str">
        <f t="shared" si="237"/>
        <v/>
      </c>
      <c r="AX279" s="1771" t="str">
        <f t="shared" si="238"/>
        <v/>
      </c>
      <c r="AY279" s="1771" t="str">
        <f t="shared" si="238"/>
        <v/>
      </c>
      <c r="AZ279" s="1771" t="str">
        <f t="shared" si="238"/>
        <v/>
      </c>
      <c r="BA279" s="1771" t="str">
        <f t="shared" si="238"/>
        <v/>
      </c>
      <c r="BB279" s="3437" t="str">
        <f t="shared" si="238"/>
        <v/>
      </c>
      <c r="BC279" s="3443" t="str">
        <f t="shared" si="238"/>
        <v/>
      </c>
      <c r="BD279" s="3462"/>
      <c r="BE279" s="3440" t="str">
        <f>IF(J279=J319,"stop","")</f>
        <v/>
      </c>
      <c r="BF279" s="1771" t="str">
        <f t="shared" si="239"/>
        <v/>
      </c>
      <c r="BG279" s="1771" t="str">
        <f t="shared" si="239"/>
        <v/>
      </c>
      <c r="BH279" s="1771" t="str">
        <f t="shared" si="239"/>
        <v/>
      </c>
      <c r="BI279" s="1771" t="str">
        <f t="shared" si="239"/>
        <v/>
      </c>
      <c r="BJ279" s="3443" t="str">
        <f t="shared" si="239"/>
        <v/>
      </c>
      <c r="BK279" s="3437" t="str">
        <f t="shared" si="239"/>
        <v/>
      </c>
      <c r="BL279" s="1771" t="str">
        <f t="shared" si="239"/>
        <v/>
      </c>
      <c r="BM279" s="3442" t="str">
        <f t="shared" si="239"/>
        <v/>
      </c>
      <c r="BN279" s="1771" t="str">
        <f t="shared" si="239"/>
        <v/>
      </c>
      <c r="BO279" s="1771">
        <f t="shared" si="239"/>
        <v>5.6568542494923803E-2</v>
      </c>
      <c r="BP279" s="1771" t="str">
        <f t="shared" si="239"/>
        <v/>
      </c>
      <c r="BQ279" s="1771" t="str">
        <f t="shared" si="239"/>
        <v/>
      </c>
      <c r="BR279" s="3437" t="str">
        <f t="shared" si="240"/>
        <v/>
      </c>
      <c r="BS279" s="1771" t="str">
        <f t="shared" si="240"/>
        <v/>
      </c>
      <c r="BT279" s="1771" t="str">
        <f t="shared" si="240"/>
        <v/>
      </c>
      <c r="BU279" s="3442" t="str">
        <f t="shared" si="240"/>
        <v/>
      </c>
      <c r="BV279" s="1771" t="str">
        <f t="shared" si="240"/>
        <v/>
      </c>
      <c r="BW279" s="3442" t="str">
        <f t="shared" si="240"/>
        <v/>
      </c>
      <c r="BX279" s="3462"/>
      <c r="BY279" s="3439" t="str">
        <f>IF(L279=L319,"stop","")</f>
        <v/>
      </c>
      <c r="BZ279" s="3437" t="str">
        <f t="shared" si="241"/>
        <v/>
      </c>
      <c r="CA279" s="1771" t="str">
        <f t="shared" si="241"/>
        <v/>
      </c>
      <c r="CB279" s="1771" t="str">
        <f t="shared" si="241"/>
        <v/>
      </c>
      <c r="CC279" s="3442" t="str">
        <f t="shared" si="241"/>
        <v/>
      </c>
      <c r="CD279" s="1771" t="str">
        <f t="shared" si="241"/>
        <v/>
      </c>
      <c r="CE279" s="3437" t="str">
        <f t="shared" si="241"/>
        <v/>
      </c>
      <c r="CF279" s="1771" t="str">
        <f t="shared" si="241"/>
        <v/>
      </c>
      <c r="CG279" s="1771" t="str">
        <f t="shared" si="241"/>
        <v/>
      </c>
      <c r="CH279" s="3437" t="str">
        <f t="shared" si="241"/>
        <v/>
      </c>
      <c r="CI279" s="1771">
        <f t="shared" si="241"/>
        <v>0.09</v>
      </c>
      <c r="CJ279" s="1771" t="str">
        <f t="shared" si="241"/>
        <v/>
      </c>
      <c r="CK279" s="3442" t="str">
        <f t="shared" si="241"/>
        <v/>
      </c>
      <c r="CL279" s="3437" t="str">
        <f t="shared" si="242"/>
        <v/>
      </c>
      <c r="CM279" s="1771" t="str">
        <f t="shared" si="242"/>
        <v/>
      </c>
      <c r="CN279" s="1771" t="str">
        <f t="shared" si="242"/>
        <v/>
      </c>
      <c r="CO279" s="3442" t="str">
        <f t="shared" si="242"/>
        <v/>
      </c>
      <c r="CP279" s="1771" t="str">
        <f t="shared" si="242"/>
        <v/>
      </c>
      <c r="CQ279" s="3442" t="str">
        <f t="shared" si="242"/>
        <v/>
      </c>
      <c r="CR279" s="3462"/>
    </row>
    <row r="280" spans="1:96" s="3" customFormat="1">
      <c r="A280" s="1848" t="s">
        <v>900</v>
      </c>
      <c r="B280" s="816">
        <v>10</v>
      </c>
      <c r="C280" s="816">
        <v>10.68</v>
      </c>
      <c r="D280" s="816">
        <v>0.05</v>
      </c>
      <c r="E280" s="1802" t="s">
        <v>35</v>
      </c>
      <c r="F280" s="816">
        <v>0.36</v>
      </c>
      <c r="G280" s="816" t="s">
        <v>784</v>
      </c>
      <c r="H280" s="816">
        <v>1988</v>
      </c>
      <c r="I280" s="50"/>
      <c r="J280" s="816">
        <f t="shared" si="243"/>
        <v>10.68</v>
      </c>
      <c r="K280" s="816">
        <v>0.05</v>
      </c>
      <c r="L280" s="816" t="s">
        <v>35</v>
      </c>
      <c r="M280" s="816">
        <v>0.36</v>
      </c>
      <c r="N280" s="845">
        <f t="shared" si="198"/>
        <v>0.13416407864998739</v>
      </c>
      <c r="O280" s="1831">
        <f t="shared" si="199"/>
        <v>0.20499999999999999</v>
      </c>
      <c r="P280" s="825" t="s">
        <v>1088</v>
      </c>
      <c r="Q280" s="3" t="str">
        <f>IF(J280=J319,"stop","")</f>
        <v/>
      </c>
      <c r="R280" s="3437" t="str">
        <f t="shared" si="244"/>
        <v/>
      </c>
      <c r="S280" s="1771" t="str">
        <f t="shared" si="244"/>
        <v/>
      </c>
      <c r="T280" s="1771" t="str">
        <f t="shared" si="244"/>
        <v/>
      </c>
      <c r="U280" s="1771" t="str">
        <f t="shared" si="244"/>
        <v/>
      </c>
      <c r="V280" s="3443" t="str">
        <f t="shared" si="244"/>
        <v/>
      </c>
      <c r="W280" s="1771" t="str">
        <f t="shared" si="244"/>
        <v/>
      </c>
      <c r="X280" s="1771" t="str">
        <f t="shared" si="244"/>
        <v/>
      </c>
      <c r="Y280" s="1771" t="str">
        <f t="shared" si="244"/>
        <v/>
      </c>
      <c r="Z280" s="3437">
        <f t="shared" si="244"/>
        <v>0.05</v>
      </c>
      <c r="AA280" s="1771" t="str">
        <f t="shared" si="244"/>
        <v/>
      </c>
      <c r="AB280" s="1771" t="str">
        <f t="shared" si="244"/>
        <v/>
      </c>
      <c r="AC280" s="3442" t="str">
        <f t="shared" si="244"/>
        <v/>
      </c>
      <c r="AD280" s="1771" t="str">
        <f t="shared" si="244"/>
        <v/>
      </c>
      <c r="AE280" s="1771" t="str">
        <f t="shared" si="244"/>
        <v/>
      </c>
      <c r="AF280" s="1771" t="str">
        <f t="shared" si="244"/>
        <v/>
      </c>
      <c r="AG280" s="3442" t="str">
        <f t="shared" si="244"/>
        <v/>
      </c>
      <c r="AH280" s="1771" t="str">
        <f t="shared" si="236"/>
        <v/>
      </c>
      <c r="AI280" s="3442" t="str">
        <f t="shared" si="236"/>
        <v/>
      </c>
      <c r="AJ280" s="3462"/>
      <c r="AK280" s="3439" t="str">
        <f>IF(J280=J319,"stop","")</f>
        <v/>
      </c>
      <c r="AL280" s="3437" t="str">
        <f t="shared" si="237"/>
        <v/>
      </c>
      <c r="AM280" s="1771" t="str">
        <f t="shared" si="237"/>
        <v/>
      </c>
      <c r="AN280" s="1771" t="str">
        <f t="shared" si="237"/>
        <v/>
      </c>
      <c r="AO280" s="1771" t="str">
        <f t="shared" si="237"/>
        <v/>
      </c>
      <c r="AP280" s="3443" t="str">
        <f t="shared" si="237"/>
        <v/>
      </c>
      <c r="AQ280" s="1771" t="str">
        <f t="shared" si="237"/>
        <v/>
      </c>
      <c r="AR280" s="1771" t="str">
        <f t="shared" si="237"/>
        <v/>
      </c>
      <c r="AS280" s="3442" t="str">
        <f t="shared" si="237"/>
        <v/>
      </c>
      <c r="AT280" s="1771">
        <f t="shared" si="237"/>
        <v>0.36</v>
      </c>
      <c r="AU280" s="1771" t="str">
        <f t="shared" si="237"/>
        <v/>
      </c>
      <c r="AV280" s="1771" t="str">
        <f t="shared" si="237"/>
        <v/>
      </c>
      <c r="AW280" s="3442" t="str">
        <f t="shared" si="237"/>
        <v/>
      </c>
      <c r="AX280" s="1771" t="str">
        <f t="shared" si="238"/>
        <v/>
      </c>
      <c r="AY280" s="1771" t="str">
        <f t="shared" si="238"/>
        <v/>
      </c>
      <c r="AZ280" s="1771" t="str">
        <f t="shared" si="238"/>
        <v/>
      </c>
      <c r="BA280" s="1771" t="str">
        <f t="shared" si="238"/>
        <v/>
      </c>
      <c r="BB280" s="3437" t="str">
        <f t="shared" si="238"/>
        <v/>
      </c>
      <c r="BC280" s="3443" t="str">
        <f t="shared" si="238"/>
        <v/>
      </c>
      <c r="BD280" s="3462"/>
      <c r="BE280" s="3440" t="str">
        <f>IF(J280=J319,"stop","")</f>
        <v/>
      </c>
      <c r="BF280" s="1771" t="str">
        <f t="shared" si="239"/>
        <v/>
      </c>
      <c r="BG280" s="1771" t="str">
        <f t="shared" si="239"/>
        <v/>
      </c>
      <c r="BH280" s="1771" t="str">
        <f t="shared" si="239"/>
        <v/>
      </c>
      <c r="BI280" s="1771" t="str">
        <f t="shared" si="239"/>
        <v/>
      </c>
      <c r="BJ280" s="3443" t="str">
        <f t="shared" si="239"/>
        <v/>
      </c>
      <c r="BK280" s="3437" t="str">
        <f t="shared" si="239"/>
        <v/>
      </c>
      <c r="BL280" s="1771" t="str">
        <f t="shared" si="239"/>
        <v/>
      </c>
      <c r="BM280" s="3442" t="str">
        <f t="shared" si="239"/>
        <v/>
      </c>
      <c r="BN280" s="1771">
        <f t="shared" si="239"/>
        <v>0.13416407864998739</v>
      </c>
      <c r="BO280" s="1771" t="str">
        <f t="shared" si="239"/>
        <v/>
      </c>
      <c r="BP280" s="1771" t="str">
        <f t="shared" si="239"/>
        <v/>
      </c>
      <c r="BQ280" s="1771" t="str">
        <f t="shared" si="239"/>
        <v/>
      </c>
      <c r="BR280" s="3437" t="str">
        <f t="shared" si="240"/>
        <v/>
      </c>
      <c r="BS280" s="1771" t="str">
        <f t="shared" si="240"/>
        <v/>
      </c>
      <c r="BT280" s="1771" t="str">
        <f t="shared" si="240"/>
        <v/>
      </c>
      <c r="BU280" s="3442" t="str">
        <f t="shared" si="240"/>
        <v/>
      </c>
      <c r="BV280" s="1771" t="str">
        <f t="shared" si="240"/>
        <v/>
      </c>
      <c r="BW280" s="3442" t="str">
        <f t="shared" si="240"/>
        <v/>
      </c>
      <c r="BX280" s="3462"/>
      <c r="BY280" s="3439" t="str">
        <f>IF(L280=L319,"stop","")</f>
        <v/>
      </c>
      <c r="BZ280" s="3437" t="str">
        <f t="shared" si="241"/>
        <v/>
      </c>
      <c r="CA280" s="1771" t="str">
        <f t="shared" si="241"/>
        <v/>
      </c>
      <c r="CB280" s="1771" t="str">
        <f t="shared" si="241"/>
        <v/>
      </c>
      <c r="CC280" s="3442" t="str">
        <f t="shared" si="241"/>
        <v/>
      </c>
      <c r="CD280" s="1771" t="str">
        <f t="shared" si="241"/>
        <v/>
      </c>
      <c r="CE280" s="3437" t="str">
        <f t="shared" si="241"/>
        <v/>
      </c>
      <c r="CF280" s="1771" t="str">
        <f t="shared" si="241"/>
        <v/>
      </c>
      <c r="CG280" s="1771" t="str">
        <f t="shared" si="241"/>
        <v/>
      </c>
      <c r="CH280" s="3437">
        <f t="shared" si="241"/>
        <v>0.20499999999999999</v>
      </c>
      <c r="CI280" s="1771" t="str">
        <f t="shared" si="241"/>
        <v/>
      </c>
      <c r="CJ280" s="1771" t="str">
        <f t="shared" si="241"/>
        <v/>
      </c>
      <c r="CK280" s="3442" t="str">
        <f t="shared" si="241"/>
        <v/>
      </c>
      <c r="CL280" s="3437" t="str">
        <f t="shared" si="242"/>
        <v/>
      </c>
      <c r="CM280" s="1771" t="str">
        <f t="shared" si="242"/>
        <v/>
      </c>
      <c r="CN280" s="1771" t="str">
        <f t="shared" si="242"/>
        <v/>
      </c>
      <c r="CO280" s="3442" t="str">
        <f t="shared" si="242"/>
        <v/>
      </c>
      <c r="CP280" s="1771" t="str">
        <f t="shared" si="242"/>
        <v/>
      </c>
      <c r="CQ280" s="3442" t="str">
        <f t="shared" si="242"/>
        <v/>
      </c>
      <c r="CR280" s="3462"/>
    </row>
    <row r="281" spans="1:96" s="3" customFormat="1">
      <c r="A281" s="1848" t="s">
        <v>901</v>
      </c>
      <c r="B281" s="816">
        <v>9</v>
      </c>
      <c r="C281" s="816">
        <v>10.06</v>
      </c>
      <c r="D281" s="816">
        <v>0.21</v>
      </c>
      <c r="E281" s="1802" t="s">
        <v>35</v>
      </c>
      <c r="F281" s="816">
        <v>0.48</v>
      </c>
      <c r="G281" s="816" t="s">
        <v>784</v>
      </c>
      <c r="H281" s="816">
        <v>1988</v>
      </c>
      <c r="I281" s="50"/>
      <c r="J281" s="816">
        <f t="shared" si="243"/>
        <v>10.06</v>
      </c>
      <c r="K281" s="816">
        <v>0.21</v>
      </c>
      <c r="L281" s="816" t="s">
        <v>35</v>
      </c>
      <c r="M281" s="816">
        <v>0.48</v>
      </c>
      <c r="N281" s="845">
        <f t="shared" ref="N281:N311" si="245">(K281*M281)^0.5</f>
        <v>0.31749015732775088</v>
      </c>
      <c r="O281" s="1831">
        <f t="shared" ref="O281:O311" si="246">(K281+M281)*0.5</f>
        <v>0.34499999999999997</v>
      </c>
      <c r="P281" s="825" t="s">
        <v>1088</v>
      </c>
      <c r="Q281" s="3" t="str">
        <f>IF(J281=J319,"stop","")</f>
        <v/>
      </c>
      <c r="R281" s="3437" t="str">
        <f t="shared" si="244"/>
        <v/>
      </c>
      <c r="S281" s="1771" t="str">
        <f t="shared" si="244"/>
        <v/>
      </c>
      <c r="T281" s="1771" t="str">
        <f t="shared" si="244"/>
        <v/>
      </c>
      <c r="U281" s="1771" t="str">
        <f t="shared" si="244"/>
        <v/>
      </c>
      <c r="V281" s="3443" t="str">
        <f t="shared" si="244"/>
        <v/>
      </c>
      <c r="W281" s="1771" t="str">
        <f t="shared" si="244"/>
        <v/>
      </c>
      <c r="X281" s="1771" t="str">
        <f t="shared" si="244"/>
        <v/>
      </c>
      <c r="Y281" s="1771" t="str">
        <f t="shared" si="244"/>
        <v/>
      </c>
      <c r="Z281" s="3437">
        <f t="shared" si="244"/>
        <v>0.21</v>
      </c>
      <c r="AA281" s="1771" t="str">
        <f t="shared" si="244"/>
        <v/>
      </c>
      <c r="AB281" s="1771" t="str">
        <f t="shared" si="244"/>
        <v/>
      </c>
      <c r="AC281" s="3442" t="str">
        <f t="shared" si="244"/>
        <v/>
      </c>
      <c r="AD281" s="1771" t="str">
        <f t="shared" si="244"/>
        <v/>
      </c>
      <c r="AE281" s="1771" t="str">
        <f t="shared" si="244"/>
        <v/>
      </c>
      <c r="AF281" s="1771" t="str">
        <f t="shared" si="244"/>
        <v/>
      </c>
      <c r="AG281" s="3442" t="str">
        <f t="shared" si="244"/>
        <v/>
      </c>
      <c r="AH281" s="1771" t="str">
        <f t="shared" si="236"/>
        <v/>
      </c>
      <c r="AI281" s="3442" t="str">
        <f t="shared" si="236"/>
        <v/>
      </c>
      <c r="AJ281" s="3462"/>
      <c r="AK281" s="3439" t="str">
        <f>IF(J281=J319,"stop","")</f>
        <v/>
      </c>
      <c r="AL281" s="3437" t="str">
        <f t="shared" ref="AL281:AW290" si="247">IF(AND($J281&gt;AL$4,$J281&lt;=AL$5,$P281=AL$6),$M281,"")</f>
        <v/>
      </c>
      <c r="AM281" s="1771" t="str">
        <f t="shared" si="247"/>
        <v/>
      </c>
      <c r="AN281" s="1771" t="str">
        <f t="shared" si="247"/>
        <v/>
      </c>
      <c r="AO281" s="1771" t="str">
        <f t="shared" si="247"/>
        <v/>
      </c>
      <c r="AP281" s="3443" t="str">
        <f t="shared" si="247"/>
        <v/>
      </c>
      <c r="AQ281" s="1771" t="str">
        <f t="shared" si="247"/>
        <v/>
      </c>
      <c r="AR281" s="1771" t="str">
        <f t="shared" si="247"/>
        <v/>
      </c>
      <c r="AS281" s="3442" t="str">
        <f t="shared" si="247"/>
        <v/>
      </c>
      <c r="AT281" s="1771">
        <f t="shared" si="247"/>
        <v>0.48</v>
      </c>
      <c r="AU281" s="1771" t="str">
        <f t="shared" si="247"/>
        <v/>
      </c>
      <c r="AV281" s="1771" t="str">
        <f t="shared" si="247"/>
        <v/>
      </c>
      <c r="AW281" s="3442" t="str">
        <f t="shared" si="247"/>
        <v/>
      </c>
      <c r="AX281" s="1771" t="str">
        <f t="shared" ref="AX281:BC290" si="248">IF(AND($J281&gt;AX$4,$J281&lt;=AX$5,$P281=AX$6),$M281,"")</f>
        <v/>
      </c>
      <c r="AY281" s="1771" t="str">
        <f t="shared" si="248"/>
        <v/>
      </c>
      <c r="AZ281" s="1771" t="str">
        <f t="shared" si="248"/>
        <v/>
      </c>
      <c r="BA281" s="1771" t="str">
        <f t="shared" si="248"/>
        <v/>
      </c>
      <c r="BB281" s="3437" t="str">
        <f t="shared" si="248"/>
        <v/>
      </c>
      <c r="BC281" s="3443" t="str">
        <f t="shared" si="248"/>
        <v/>
      </c>
      <c r="BD281" s="3462"/>
      <c r="BE281" s="3440" t="str">
        <f>IF(J281=J319,"stop","")</f>
        <v/>
      </c>
      <c r="BF281" s="1771" t="str">
        <f t="shared" ref="BF281:BQ290" si="249">IF(AND($J281&gt;BF$4,$J281&lt;=BF$5,$P281=BF$6),$N281,"")</f>
        <v/>
      </c>
      <c r="BG281" s="1771" t="str">
        <f t="shared" si="249"/>
        <v/>
      </c>
      <c r="BH281" s="1771" t="str">
        <f t="shared" si="249"/>
        <v/>
      </c>
      <c r="BI281" s="1771" t="str">
        <f t="shared" si="249"/>
        <v/>
      </c>
      <c r="BJ281" s="3443" t="str">
        <f t="shared" si="249"/>
        <v/>
      </c>
      <c r="BK281" s="3437" t="str">
        <f t="shared" si="249"/>
        <v/>
      </c>
      <c r="BL281" s="1771" t="str">
        <f t="shared" si="249"/>
        <v/>
      </c>
      <c r="BM281" s="3442" t="str">
        <f t="shared" si="249"/>
        <v/>
      </c>
      <c r="BN281" s="1771">
        <f t="shared" si="249"/>
        <v>0.31749015732775088</v>
      </c>
      <c r="BO281" s="1771" t="str">
        <f t="shared" si="249"/>
        <v/>
      </c>
      <c r="BP281" s="1771" t="str">
        <f t="shared" si="249"/>
        <v/>
      </c>
      <c r="BQ281" s="1771" t="str">
        <f t="shared" si="249"/>
        <v/>
      </c>
      <c r="BR281" s="3437" t="str">
        <f t="shared" ref="BR281:BW290" si="250">IF(AND($J281&gt;BR$4,$J281&lt;=BR$5,$P281=BR$6),$N281,"")</f>
        <v/>
      </c>
      <c r="BS281" s="1771" t="str">
        <f t="shared" si="250"/>
        <v/>
      </c>
      <c r="BT281" s="1771" t="str">
        <f t="shared" si="250"/>
        <v/>
      </c>
      <c r="BU281" s="3442" t="str">
        <f t="shared" si="250"/>
        <v/>
      </c>
      <c r="BV281" s="1771" t="str">
        <f t="shared" si="250"/>
        <v/>
      </c>
      <c r="BW281" s="3442" t="str">
        <f t="shared" si="250"/>
        <v/>
      </c>
      <c r="BX281" s="3462"/>
      <c r="BY281" s="3439" t="str">
        <f>IF(L281=L319,"stop","")</f>
        <v/>
      </c>
      <c r="BZ281" s="3437" t="str">
        <f t="shared" ref="BZ281:CK290" si="251">IF(AND($J281&gt;BZ$4,$J281&lt;=BZ$5,$P281=BZ$6),$O281,"")</f>
        <v/>
      </c>
      <c r="CA281" s="1771" t="str">
        <f t="shared" si="251"/>
        <v/>
      </c>
      <c r="CB281" s="1771" t="str">
        <f t="shared" si="251"/>
        <v/>
      </c>
      <c r="CC281" s="3442" t="str">
        <f t="shared" si="251"/>
        <v/>
      </c>
      <c r="CD281" s="1771" t="str">
        <f t="shared" si="251"/>
        <v/>
      </c>
      <c r="CE281" s="3437" t="str">
        <f t="shared" si="251"/>
        <v/>
      </c>
      <c r="CF281" s="1771" t="str">
        <f t="shared" si="251"/>
        <v/>
      </c>
      <c r="CG281" s="1771" t="str">
        <f t="shared" si="251"/>
        <v/>
      </c>
      <c r="CH281" s="3437">
        <f t="shared" si="251"/>
        <v>0.34499999999999997</v>
      </c>
      <c r="CI281" s="1771" t="str">
        <f t="shared" si="251"/>
        <v/>
      </c>
      <c r="CJ281" s="1771" t="str">
        <f t="shared" si="251"/>
        <v/>
      </c>
      <c r="CK281" s="3442" t="str">
        <f t="shared" si="251"/>
        <v/>
      </c>
      <c r="CL281" s="3437" t="str">
        <f t="shared" ref="CL281:CQ290" si="252">IF(AND($J281&gt;CL$4,$J281&lt;=CL$5,$P281=CL$6),$O281,"")</f>
        <v/>
      </c>
      <c r="CM281" s="1771" t="str">
        <f t="shared" si="252"/>
        <v/>
      </c>
      <c r="CN281" s="1771" t="str">
        <f t="shared" si="252"/>
        <v/>
      </c>
      <c r="CO281" s="3442" t="str">
        <f t="shared" si="252"/>
        <v/>
      </c>
      <c r="CP281" s="1771" t="str">
        <f t="shared" si="252"/>
        <v/>
      </c>
      <c r="CQ281" s="3442" t="str">
        <f t="shared" si="252"/>
        <v/>
      </c>
      <c r="CR281" s="3462"/>
    </row>
    <row r="282" spans="1:96" s="3" customFormat="1">
      <c r="A282" s="1848" t="s">
        <v>902</v>
      </c>
      <c r="B282" s="816">
        <v>9</v>
      </c>
      <c r="C282" s="816">
        <v>9.84</v>
      </c>
      <c r="D282" s="816">
        <v>0.66</v>
      </c>
      <c r="E282" s="1802" t="s">
        <v>35</v>
      </c>
      <c r="F282" s="816">
        <v>3.3</v>
      </c>
      <c r="G282" s="816" t="s">
        <v>784</v>
      </c>
      <c r="H282" s="816">
        <v>1988</v>
      </c>
      <c r="I282" s="50"/>
      <c r="J282" s="816">
        <f t="shared" si="243"/>
        <v>9.84</v>
      </c>
      <c r="K282" s="816">
        <v>0.66</v>
      </c>
      <c r="L282" s="816" t="s">
        <v>35</v>
      </c>
      <c r="M282" s="816">
        <v>3.3</v>
      </c>
      <c r="N282" s="845">
        <f t="shared" si="245"/>
        <v>1.4758048651498612</v>
      </c>
      <c r="O282" s="1831">
        <f t="shared" si="246"/>
        <v>1.98</v>
      </c>
      <c r="P282" s="825" t="s">
        <v>1088</v>
      </c>
      <c r="Q282" s="3" t="str">
        <f>IF(J282=J319,"stop","")</f>
        <v/>
      </c>
      <c r="R282" s="3437" t="str">
        <f t="shared" si="244"/>
        <v/>
      </c>
      <c r="S282" s="1771" t="str">
        <f t="shared" si="244"/>
        <v/>
      </c>
      <c r="T282" s="1771" t="str">
        <f t="shared" si="244"/>
        <v/>
      </c>
      <c r="U282" s="1771" t="str">
        <f t="shared" si="244"/>
        <v/>
      </c>
      <c r="V282" s="3443">
        <f t="shared" si="244"/>
        <v>0.66</v>
      </c>
      <c r="W282" s="1771" t="str">
        <f t="shared" si="244"/>
        <v/>
      </c>
      <c r="X282" s="1771" t="str">
        <f t="shared" si="244"/>
        <v/>
      </c>
      <c r="Y282" s="1771" t="str">
        <f t="shared" si="244"/>
        <v/>
      </c>
      <c r="Z282" s="3437" t="str">
        <f t="shared" si="244"/>
        <v/>
      </c>
      <c r="AA282" s="1771" t="str">
        <f t="shared" si="244"/>
        <v/>
      </c>
      <c r="AB282" s="1771" t="str">
        <f t="shared" si="244"/>
        <v/>
      </c>
      <c r="AC282" s="3442" t="str">
        <f t="shared" si="244"/>
        <v/>
      </c>
      <c r="AD282" s="1771" t="str">
        <f t="shared" si="244"/>
        <v/>
      </c>
      <c r="AE282" s="1771" t="str">
        <f t="shared" si="244"/>
        <v/>
      </c>
      <c r="AF282" s="1771" t="str">
        <f t="shared" si="244"/>
        <v/>
      </c>
      <c r="AG282" s="3442" t="str">
        <f t="shared" si="244"/>
        <v/>
      </c>
      <c r="AH282" s="1771" t="str">
        <f t="shared" si="236"/>
        <v/>
      </c>
      <c r="AI282" s="3442" t="str">
        <f t="shared" si="236"/>
        <v/>
      </c>
      <c r="AJ282" s="3462"/>
      <c r="AK282" s="3439" t="str">
        <f>IF(J282=J319,"stop","")</f>
        <v/>
      </c>
      <c r="AL282" s="3437" t="str">
        <f t="shared" si="247"/>
        <v/>
      </c>
      <c r="AM282" s="1771" t="str">
        <f t="shared" si="247"/>
        <v/>
      </c>
      <c r="AN282" s="1771" t="str">
        <f t="shared" si="247"/>
        <v/>
      </c>
      <c r="AO282" s="1771" t="str">
        <f t="shared" si="247"/>
        <v/>
      </c>
      <c r="AP282" s="3443">
        <f t="shared" si="247"/>
        <v>3.3</v>
      </c>
      <c r="AQ282" s="1771" t="str">
        <f t="shared" si="247"/>
        <v/>
      </c>
      <c r="AR282" s="1771" t="str">
        <f t="shared" si="247"/>
        <v/>
      </c>
      <c r="AS282" s="3442" t="str">
        <f t="shared" si="247"/>
        <v/>
      </c>
      <c r="AT282" s="1771" t="str">
        <f t="shared" si="247"/>
        <v/>
      </c>
      <c r="AU282" s="1771" t="str">
        <f t="shared" si="247"/>
        <v/>
      </c>
      <c r="AV282" s="1771" t="str">
        <f t="shared" si="247"/>
        <v/>
      </c>
      <c r="AW282" s="3442" t="str">
        <f t="shared" si="247"/>
        <v/>
      </c>
      <c r="AX282" s="1771" t="str">
        <f t="shared" si="248"/>
        <v/>
      </c>
      <c r="AY282" s="1771" t="str">
        <f t="shared" si="248"/>
        <v/>
      </c>
      <c r="AZ282" s="1771" t="str">
        <f t="shared" si="248"/>
        <v/>
      </c>
      <c r="BA282" s="1771" t="str">
        <f t="shared" si="248"/>
        <v/>
      </c>
      <c r="BB282" s="3437" t="str">
        <f t="shared" si="248"/>
        <v/>
      </c>
      <c r="BC282" s="3443" t="str">
        <f t="shared" si="248"/>
        <v/>
      </c>
      <c r="BD282" s="3462"/>
      <c r="BE282" s="3440" t="str">
        <f>IF(J282=J319,"stop","")</f>
        <v/>
      </c>
      <c r="BF282" s="1771" t="str">
        <f t="shared" si="249"/>
        <v/>
      </c>
      <c r="BG282" s="1771" t="str">
        <f t="shared" si="249"/>
        <v/>
      </c>
      <c r="BH282" s="1771" t="str">
        <f t="shared" si="249"/>
        <v/>
      </c>
      <c r="BI282" s="1771" t="str">
        <f t="shared" si="249"/>
        <v/>
      </c>
      <c r="BJ282" s="3443">
        <f t="shared" si="249"/>
        <v>1.4758048651498612</v>
      </c>
      <c r="BK282" s="3437" t="str">
        <f t="shared" si="249"/>
        <v/>
      </c>
      <c r="BL282" s="1771" t="str">
        <f t="shared" si="249"/>
        <v/>
      </c>
      <c r="BM282" s="3442" t="str">
        <f t="shared" si="249"/>
        <v/>
      </c>
      <c r="BN282" s="1771" t="str">
        <f t="shared" si="249"/>
        <v/>
      </c>
      <c r="BO282" s="1771" t="str">
        <f t="shared" si="249"/>
        <v/>
      </c>
      <c r="BP282" s="1771" t="str">
        <f t="shared" si="249"/>
        <v/>
      </c>
      <c r="BQ282" s="1771" t="str">
        <f t="shared" si="249"/>
        <v/>
      </c>
      <c r="BR282" s="3437" t="str">
        <f t="shared" si="250"/>
        <v/>
      </c>
      <c r="BS282" s="1771" t="str">
        <f t="shared" si="250"/>
        <v/>
      </c>
      <c r="BT282" s="1771" t="str">
        <f t="shared" si="250"/>
        <v/>
      </c>
      <c r="BU282" s="3442" t="str">
        <f t="shared" si="250"/>
        <v/>
      </c>
      <c r="BV282" s="1771" t="str">
        <f t="shared" si="250"/>
        <v/>
      </c>
      <c r="BW282" s="3442" t="str">
        <f t="shared" si="250"/>
        <v/>
      </c>
      <c r="BX282" s="3462"/>
      <c r="BY282" s="3439" t="str">
        <f>IF(L282=L319,"stop","")</f>
        <v/>
      </c>
      <c r="BZ282" s="3437" t="str">
        <f t="shared" si="251"/>
        <v/>
      </c>
      <c r="CA282" s="1771" t="str">
        <f t="shared" si="251"/>
        <v/>
      </c>
      <c r="CB282" s="1771" t="str">
        <f t="shared" si="251"/>
        <v/>
      </c>
      <c r="CC282" s="3442" t="str">
        <f t="shared" si="251"/>
        <v/>
      </c>
      <c r="CD282" s="1771">
        <f t="shared" si="251"/>
        <v>1.98</v>
      </c>
      <c r="CE282" s="3437" t="str">
        <f t="shared" si="251"/>
        <v/>
      </c>
      <c r="CF282" s="1771" t="str">
        <f t="shared" si="251"/>
        <v/>
      </c>
      <c r="CG282" s="1771" t="str">
        <f t="shared" si="251"/>
        <v/>
      </c>
      <c r="CH282" s="3437" t="str">
        <f t="shared" si="251"/>
        <v/>
      </c>
      <c r="CI282" s="1771" t="str">
        <f t="shared" si="251"/>
        <v/>
      </c>
      <c r="CJ282" s="1771" t="str">
        <f t="shared" si="251"/>
        <v/>
      </c>
      <c r="CK282" s="3442" t="str">
        <f t="shared" si="251"/>
        <v/>
      </c>
      <c r="CL282" s="3437" t="str">
        <f t="shared" si="252"/>
        <v/>
      </c>
      <c r="CM282" s="1771" t="str">
        <f t="shared" si="252"/>
        <v/>
      </c>
      <c r="CN282" s="1771" t="str">
        <f t="shared" si="252"/>
        <v/>
      </c>
      <c r="CO282" s="3442" t="str">
        <f t="shared" si="252"/>
        <v/>
      </c>
      <c r="CP282" s="1771" t="str">
        <f t="shared" si="252"/>
        <v/>
      </c>
      <c r="CQ282" s="3442" t="str">
        <f t="shared" si="252"/>
        <v/>
      </c>
      <c r="CR282" s="3462"/>
    </row>
    <row r="283" spans="1:96" s="3" customFormat="1">
      <c r="A283" s="1848" t="s">
        <v>726</v>
      </c>
      <c r="B283" s="816">
        <v>9</v>
      </c>
      <c r="C283" s="816">
        <v>9.6199999999999992</v>
      </c>
      <c r="D283" s="816">
        <v>0.13</v>
      </c>
      <c r="E283" s="1802" t="s">
        <v>35</v>
      </c>
      <c r="F283" s="816">
        <v>1.1499999999999999</v>
      </c>
      <c r="G283" s="816" t="s">
        <v>784</v>
      </c>
      <c r="H283" s="816">
        <v>1988</v>
      </c>
      <c r="I283" s="50"/>
      <c r="J283" s="816">
        <f t="shared" si="243"/>
        <v>9.6199999999999992</v>
      </c>
      <c r="K283" s="816">
        <v>0.13</v>
      </c>
      <c r="L283" s="816" t="s">
        <v>35</v>
      </c>
      <c r="M283" s="816">
        <v>1.1499999999999999</v>
      </c>
      <c r="N283" s="845">
        <f t="shared" si="245"/>
        <v>0.3866522985836241</v>
      </c>
      <c r="O283" s="1831">
        <f t="shared" si="246"/>
        <v>0.6399999999999999</v>
      </c>
      <c r="P283" s="825" t="s">
        <v>1088</v>
      </c>
      <c r="Q283" s="3" t="str">
        <f>IF(J283=J319,"stop","")</f>
        <v/>
      </c>
      <c r="R283" s="3437" t="str">
        <f t="shared" si="244"/>
        <v/>
      </c>
      <c r="S283" s="1771" t="str">
        <f t="shared" si="244"/>
        <v/>
      </c>
      <c r="T283" s="1771" t="str">
        <f t="shared" si="244"/>
        <v/>
      </c>
      <c r="U283" s="1771" t="str">
        <f t="shared" si="244"/>
        <v/>
      </c>
      <c r="V283" s="3443">
        <f t="shared" si="244"/>
        <v>0.13</v>
      </c>
      <c r="W283" s="1771" t="str">
        <f t="shared" si="244"/>
        <v/>
      </c>
      <c r="X283" s="1771" t="str">
        <f t="shared" si="244"/>
        <v/>
      </c>
      <c r="Y283" s="1771" t="str">
        <f t="shared" si="244"/>
        <v/>
      </c>
      <c r="Z283" s="3437" t="str">
        <f t="shared" si="244"/>
        <v/>
      </c>
      <c r="AA283" s="1771" t="str">
        <f t="shared" si="244"/>
        <v/>
      </c>
      <c r="AB283" s="1771" t="str">
        <f t="shared" si="244"/>
        <v/>
      </c>
      <c r="AC283" s="3442" t="str">
        <f t="shared" si="244"/>
        <v/>
      </c>
      <c r="AD283" s="1771" t="str">
        <f t="shared" si="244"/>
        <v/>
      </c>
      <c r="AE283" s="1771" t="str">
        <f t="shared" si="244"/>
        <v/>
      </c>
      <c r="AF283" s="1771" t="str">
        <f t="shared" si="244"/>
        <v/>
      </c>
      <c r="AG283" s="3442" t="str">
        <f t="shared" si="244"/>
        <v/>
      </c>
      <c r="AH283" s="1771" t="str">
        <f t="shared" si="236"/>
        <v/>
      </c>
      <c r="AI283" s="3442" t="str">
        <f t="shared" si="236"/>
        <v/>
      </c>
      <c r="AJ283" s="3462"/>
      <c r="AK283" s="3439" t="str">
        <f>IF(J283=J319,"stop","")</f>
        <v/>
      </c>
      <c r="AL283" s="3437" t="str">
        <f t="shared" si="247"/>
        <v/>
      </c>
      <c r="AM283" s="1771" t="str">
        <f t="shared" si="247"/>
        <v/>
      </c>
      <c r="AN283" s="1771" t="str">
        <f t="shared" si="247"/>
        <v/>
      </c>
      <c r="AO283" s="1771" t="str">
        <f t="shared" si="247"/>
        <v/>
      </c>
      <c r="AP283" s="3443">
        <f t="shared" si="247"/>
        <v>1.1499999999999999</v>
      </c>
      <c r="AQ283" s="1771" t="str">
        <f t="shared" si="247"/>
        <v/>
      </c>
      <c r="AR283" s="1771" t="str">
        <f t="shared" si="247"/>
        <v/>
      </c>
      <c r="AS283" s="3442" t="str">
        <f t="shared" si="247"/>
        <v/>
      </c>
      <c r="AT283" s="1771" t="str">
        <f t="shared" si="247"/>
        <v/>
      </c>
      <c r="AU283" s="1771" t="str">
        <f t="shared" si="247"/>
        <v/>
      </c>
      <c r="AV283" s="1771" t="str">
        <f t="shared" si="247"/>
        <v/>
      </c>
      <c r="AW283" s="3442" t="str">
        <f t="shared" si="247"/>
        <v/>
      </c>
      <c r="AX283" s="1771" t="str">
        <f t="shared" si="248"/>
        <v/>
      </c>
      <c r="AY283" s="1771" t="str">
        <f t="shared" si="248"/>
        <v/>
      </c>
      <c r="AZ283" s="1771" t="str">
        <f t="shared" si="248"/>
        <v/>
      </c>
      <c r="BA283" s="1771" t="str">
        <f t="shared" si="248"/>
        <v/>
      </c>
      <c r="BB283" s="3437" t="str">
        <f t="shared" si="248"/>
        <v/>
      </c>
      <c r="BC283" s="3443" t="str">
        <f t="shared" si="248"/>
        <v/>
      </c>
      <c r="BD283" s="3462"/>
      <c r="BE283" s="3440" t="str">
        <f>IF(J283=J319,"stop","")</f>
        <v/>
      </c>
      <c r="BF283" s="1771" t="str">
        <f t="shared" si="249"/>
        <v/>
      </c>
      <c r="BG283" s="1771" t="str">
        <f t="shared" si="249"/>
        <v/>
      </c>
      <c r="BH283" s="1771" t="str">
        <f t="shared" si="249"/>
        <v/>
      </c>
      <c r="BI283" s="1771" t="str">
        <f t="shared" si="249"/>
        <v/>
      </c>
      <c r="BJ283" s="3443">
        <f t="shared" si="249"/>
        <v>0.3866522985836241</v>
      </c>
      <c r="BK283" s="3437" t="str">
        <f t="shared" si="249"/>
        <v/>
      </c>
      <c r="BL283" s="1771" t="str">
        <f t="shared" si="249"/>
        <v/>
      </c>
      <c r="BM283" s="3442" t="str">
        <f t="shared" si="249"/>
        <v/>
      </c>
      <c r="BN283" s="1771" t="str">
        <f t="shared" si="249"/>
        <v/>
      </c>
      <c r="BO283" s="1771" t="str">
        <f t="shared" si="249"/>
        <v/>
      </c>
      <c r="BP283" s="1771" t="str">
        <f t="shared" si="249"/>
        <v/>
      </c>
      <c r="BQ283" s="1771" t="str">
        <f t="shared" si="249"/>
        <v/>
      </c>
      <c r="BR283" s="3437" t="str">
        <f t="shared" si="250"/>
        <v/>
      </c>
      <c r="BS283" s="1771" t="str">
        <f t="shared" si="250"/>
        <v/>
      </c>
      <c r="BT283" s="1771" t="str">
        <f t="shared" si="250"/>
        <v/>
      </c>
      <c r="BU283" s="3442" t="str">
        <f t="shared" si="250"/>
        <v/>
      </c>
      <c r="BV283" s="1771" t="str">
        <f t="shared" si="250"/>
        <v/>
      </c>
      <c r="BW283" s="3442" t="str">
        <f t="shared" si="250"/>
        <v/>
      </c>
      <c r="BX283" s="3462"/>
      <c r="BY283" s="3439" t="str">
        <f>IF(L283=L319,"stop","")</f>
        <v/>
      </c>
      <c r="BZ283" s="3437" t="str">
        <f t="shared" si="251"/>
        <v/>
      </c>
      <c r="CA283" s="1771" t="str">
        <f t="shared" si="251"/>
        <v/>
      </c>
      <c r="CB283" s="1771" t="str">
        <f t="shared" si="251"/>
        <v/>
      </c>
      <c r="CC283" s="3442" t="str">
        <f t="shared" si="251"/>
        <v/>
      </c>
      <c r="CD283" s="1771">
        <f t="shared" si="251"/>
        <v>0.6399999999999999</v>
      </c>
      <c r="CE283" s="3437" t="str">
        <f t="shared" si="251"/>
        <v/>
      </c>
      <c r="CF283" s="1771" t="str">
        <f t="shared" si="251"/>
        <v/>
      </c>
      <c r="CG283" s="1771" t="str">
        <f t="shared" si="251"/>
        <v/>
      </c>
      <c r="CH283" s="3437" t="str">
        <f t="shared" si="251"/>
        <v/>
      </c>
      <c r="CI283" s="1771" t="str">
        <f t="shared" si="251"/>
        <v/>
      </c>
      <c r="CJ283" s="1771" t="str">
        <f t="shared" si="251"/>
        <v/>
      </c>
      <c r="CK283" s="3442" t="str">
        <f t="shared" si="251"/>
        <v/>
      </c>
      <c r="CL283" s="3437" t="str">
        <f t="shared" si="252"/>
        <v/>
      </c>
      <c r="CM283" s="1771" t="str">
        <f t="shared" si="252"/>
        <v/>
      </c>
      <c r="CN283" s="1771" t="str">
        <f t="shared" si="252"/>
        <v/>
      </c>
      <c r="CO283" s="3442" t="str">
        <f t="shared" si="252"/>
        <v/>
      </c>
      <c r="CP283" s="1771" t="str">
        <f t="shared" si="252"/>
        <v/>
      </c>
      <c r="CQ283" s="3442" t="str">
        <f t="shared" si="252"/>
        <v/>
      </c>
      <c r="CR283" s="3462"/>
    </row>
    <row r="284" spans="1:96" s="3" customFormat="1">
      <c r="A284" s="1848" t="s">
        <v>903</v>
      </c>
      <c r="B284" s="816">
        <v>10</v>
      </c>
      <c r="C284" s="816">
        <v>11.57</v>
      </c>
      <c r="D284" s="816">
        <v>0.02</v>
      </c>
      <c r="E284" s="1802" t="s">
        <v>35</v>
      </c>
      <c r="F284" s="816">
        <v>0.19</v>
      </c>
      <c r="G284" s="816" t="s">
        <v>784</v>
      </c>
      <c r="H284" s="816">
        <v>1988</v>
      </c>
      <c r="I284" s="50"/>
      <c r="J284" s="816">
        <f t="shared" si="243"/>
        <v>11.57</v>
      </c>
      <c r="K284" s="816">
        <v>0.02</v>
      </c>
      <c r="L284" s="816" t="s">
        <v>35</v>
      </c>
      <c r="M284" s="816">
        <v>0.19</v>
      </c>
      <c r="N284" s="845">
        <f t="shared" si="245"/>
        <v>6.1644140029689765E-2</v>
      </c>
      <c r="O284" s="1831">
        <f t="shared" si="246"/>
        <v>0.105</v>
      </c>
      <c r="P284" s="825" t="s">
        <v>1088</v>
      </c>
      <c r="Q284" s="3" t="str">
        <f>IF(J284=J319,"stop","")</f>
        <v/>
      </c>
      <c r="R284" s="3437" t="str">
        <f t="shared" si="244"/>
        <v/>
      </c>
      <c r="S284" s="1771" t="str">
        <f t="shared" si="244"/>
        <v/>
      </c>
      <c r="T284" s="1771" t="str">
        <f t="shared" si="244"/>
        <v/>
      </c>
      <c r="U284" s="1771" t="str">
        <f t="shared" si="244"/>
        <v/>
      </c>
      <c r="V284" s="3443" t="str">
        <f t="shared" si="244"/>
        <v/>
      </c>
      <c r="W284" s="1771" t="str">
        <f t="shared" si="244"/>
        <v/>
      </c>
      <c r="X284" s="1771" t="str">
        <f t="shared" si="244"/>
        <v/>
      </c>
      <c r="Y284" s="1771" t="str">
        <f t="shared" si="244"/>
        <v/>
      </c>
      <c r="Z284" s="3437">
        <f t="shared" si="244"/>
        <v>0.02</v>
      </c>
      <c r="AA284" s="1771" t="str">
        <f t="shared" si="244"/>
        <v/>
      </c>
      <c r="AB284" s="1771" t="str">
        <f t="shared" si="244"/>
        <v/>
      </c>
      <c r="AC284" s="3442" t="str">
        <f t="shared" si="244"/>
        <v/>
      </c>
      <c r="AD284" s="1771" t="str">
        <f t="shared" si="244"/>
        <v/>
      </c>
      <c r="AE284" s="1771" t="str">
        <f t="shared" si="244"/>
        <v/>
      </c>
      <c r="AF284" s="1771" t="str">
        <f t="shared" si="244"/>
        <v/>
      </c>
      <c r="AG284" s="3442" t="str">
        <f t="shared" si="244"/>
        <v/>
      </c>
      <c r="AH284" s="1771" t="str">
        <f t="shared" si="236"/>
        <v/>
      </c>
      <c r="AI284" s="3442" t="str">
        <f t="shared" si="236"/>
        <v/>
      </c>
      <c r="AJ284" s="3462"/>
      <c r="AK284" s="3439" t="str">
        <f>IF(J284=J319,"stop","")</f>
        <v/>
      </c>
      <c r="AL284" s="3437" t="str">
        <f t="shared" si="247"/>
        <v/>
      </c>
      <c r="AM284" s="1771" t="str">
        <f t="shared" si="247"/>
        <v/>
      </c>
      <c r="AN284" s="1771" t="str">
        <f t="shared" si="247"/>
        <v/>
      </c>
      <c r="AO284" s="1771" t="str">
        <f t="shared" si="247"/>
        <v/>
      </c>
      <c r="AP284" s="3443" t="str">
        <f t="shared" si="247"/>
        <v/>
      </c>
      <c r="AQ284" s="1771" t="str">
        <f t="shared" si="247"/>
        <v/>
      </c>
      <c r="AR284" s="1771" t="str">
        <f t="shared" si="247"/>
        <v/>
      </c>
      <c r="AS284" s="3442" t="str">
        <f t="shared" si="247"/>
        <v/>
      </c>
      <c r="AT284" s="1771">
        <f t="shared" si="247"/>
        <v>0.19</v>
      </c>
      <c r="AU284" s="1771" t="str">
        <f t="shared" si="247"/>
        <v/>
      </c>
      <c r="AV284" s="1771" t="str">
        <f t="shared" si="247"/>
        <v/>
      </c>
      <c r="AW284" s="3442" t="str">
        <f t="shared" si="247"/>
        <v/>
      </c>
      <c r="AX284" s="1771" t="str">
        <f t="shared" si="248"/>
        <v/>
      </c>
      <c r="AY284" s="1771" t="str">
        <f t="shared" si="248"/>
        <v/>
      </c>
      <c r="AZ284" s="1771" t="str">
        <f t="shared" si="248"/>
        <v/>
      </c>
      <c r="BA284" s="1771" t="str">
        <f t="shared" si="248"/>
        <v/>
      </c>
      <c r="BB284" s="3437" t="str">
        <f t="shared" si="248"/>
        <v/>
      </c>
      <c r="BC284" s="3443" t="str">
        <f t="shared" si="248"/>
        <v/>
      </c>
      <c r="BD284" s="3462"/>
      <c r="BE284" s="3440" t="str">
        <f>IF(J284=J319,"stop","")</f>
        <v/>
      </c>
      <c r="BF284" s="1771" t="str">
        <f t="shared" si="249"/>
        <v/>
      </c>
      <c r="BG284" s="1771" t="str">
        <f t="shared" si="249"/>
        <v/>
      </c>
      <c r="BH284" s="1771" t="str">
        <f t="shared" si="249"/>
        <v/>
      </c>
      <c r="BI284" s="1771" t="str">
        <f t="shared" si="249"/>
        <v/>
      </c>
      <c r="BJ284" s="3443" t="str">
        <f t="shared" si="249"/>
        <v/>
      </c>
      <c r="BK284" s="3437" t="str">
        <f t="shared" si="249"/>
        <v/>
      </c>
      <c r="BL284" s="1771" t="str">
        <f t="shared" si="249"/>
        <v/>
      </c>
      <c r="BM284" s="3442" t="str">
        <f t="shared" si="249"/>
        <v/>
      </c>
      <c r="BN284" s="1771">
        <f t="shared" si="249"/>
        <v>6.1644140029689765E-2</v>
      </c>
      <c r="BO284" s="1771" t="str">
        <f t="shared" si="249"/>
        <v/>
      </c>
      <c r="BP284" s="1771" t="str">
        <f t="shared" si="249"/>
        <v/>
      </c>
      <c r="BQ284" s="1771" t="str">
        <f t="shared" si="249"/>
        <v/>
      </c>
      <c r="BR284" s="3437" t="str">
        <f t="shared" si="250"/>
        <v/>
      </c>
      <c r="BS284" s="1771" t="str">
        <f t="shared" si="250"/>
        <v/>
      </c>
      <c r="BT284" s="1771" t="str">
        <f t="shared" si="250"/>
        <v/>
      </c>
      <c r="BU284" s="3442" t="str">
        <f t="shared" si="250"/>
        <v/>
      </c>
      <c r="BV284" s="1771" t="str">
        <f t="shared" si="250"/>
        <v/>
      </c>
      <c r="BW284" s="3442" t="str">
        <f t="shared" si="250"/>
        <v/>
      </c>
      <c r="BX284" s="3462"/>
      <c r="BY284" s="3439" t="str">
        <f>IF(L284=L319,"stop","")</f>
        <v/>
      </c>
      <c r="BZ284" s="3437" t="str">
        <f t="shared" si="251"/>
        <v/>
      </c>
      <c r="CA284" s="1771" t="str">
        <f t="shared" si="251"/>
        <v/>
      </c>
      <c r="CB284" s="1771" t="str">
        <f t="shared" si="251"/>
        <v/>
      </c>
      <c r="CC284" s="3442" t="str">
        <f t="shared" si="251"/>
        <v/>
      </c>
      <c r="CD284" s="1771" t="str">
        <f t="shared" si="251"/>
        <v/>
      </c>
      <c r="CE284" s="3437" t="str">
        <f t="shared" si="251"/>
        <v/>
      </c>
      <c r="CF284" s="1771" t="str">
        <f t="shared" si="251"/>
        <v/>
      </c>
      <c r="CG284" s="1771" t="str">
        <f t="shared" si="251"/>
        <v/>
      </c>
      <c r="CH284" s="3437">
        <f t="shared" si="251"/>
        <v>0.105</v>
      </c>
      <c r="CI284" s="1771" t="str">
        <f t="shared" si="251"/>
        <v/>
      </c>
      <c r="CJ284" s="1771" t="str">
        <f t="shared" si="251"/>
        <v/>
      </c>
      <c r="CK284" s="3442" t="str">
        <f t="shared" si="251"/>
        <v/>
      </c>
      <c r="CL284" s="3437" t="str">
        <f t="shared" si="252"/>
        <v/>
      </c>
      <c r="CM284" s="1771" t="str">
        <f t="shared" si="252"/>
        <v/>
      </c>
      <c r="CN284" s="1771" t="str">
        <f t="shared" si="252"/>
        <v/>
      </c>
      <c r="CO284" s="3442" t="str">
        <f t="shared" si="252"/>
        <v/>
      </c>
      <c r="CP284" s="1771" t="str">
        <f t="shared" si="252"/>
        <v/>
      </c>
      <c r="CQ284" s="3442" t="str">
        <f t="shared" si="252"/>
        <v/>
      </c>
      <c r="CR284" s="3462"/>
    </row>
    <row r="285" spans="1:96" s="3" customFormat="1">
      <c r="A285" s="1848" t="s">
        <v>904</v>
      </c>
      <c r="B285" s="816">
        <v>10</v>
      </c>
      <c r="C285" s="816">
        <v>11.09</v>
      </c>
      <c r="D285" s="816">
        <v>0.14000000000000001</v>
      </c>
      <c r="E285" s="1802" t="s">
        <v>35</v>
      </c>
      <c r="F285" s="816">
        <v>1.06</v>
      </c>
      <c r="G285" s="816" t="s">
        <v>784</v>
      </c>
      <c r="H285" s="816">
        <v>1988</v>
      </c>
      <c r="I285" s="50"/>
      <c r="J285" s="816">
        <f t="shared" si="243"/>
        <v>11.09</v>
      </c>
      <c r="K285" s="816">
        <v>0.14000000000000001</v>
      </c>
      <c r="L285" s="816" t="s">
        <v>35</v>
      </c>
      <c r="M285" s="816">
        <v>1.06</v>
      </c>
      <c r="N285" s="845">
        <f t="shared" si="245"/>
        <v>0.3852272056851645</v>
      </c>
      <c r="O285" s="1831">
        <f t="shared" si="246"/>
        <v>0.60000000000000009</v>
      </c>
      <c r="P285" s="825" t="s">
        <v>1088</v>
      </c>
      <c r="Q285" s="3" t="str">
        <f>IF(J285=J319,"stop","")</f>
        <v/>
      </c>
      <c r="R285" s="3437" t="str">
        <f t="shared" si="244"/>
        <v/>
      </c>
      <c r="S285" s="1771" t="str">
        <f t="shared" si="244"/>
        <v/>
      </c>
      <c r="T285" s="1771" t="str">
        <f t="shared" si="244"/>
        <v/>
      </c>
      <c r="U285" s="1771" t="str">
        <f t="shared" si="244"/>
        <v/>
      </c>
      <c r="V285" s="3443" t="str">
        <f t="shared" si="244"/>
        <v/>
      </c>
      <c r="W285" s="1771" t="str">
        <f t="shared" si="244"/>
        <v/>
      </c>
      <c r="X285" s="1771" t="str">
        <f t="shared" si="244"/>
        <v/>
      </c>
      <c r="Y285" s="1771" t="str">
        <f t="shared" si="244"/>
        <v/>
      </c>
      <c r="Z285" s="3437">
        <f t="shared" si="244"/>
        <v>0.14000000000000001</v>
      </c>
      <c r="AA285" s="1771" t="str">
        <f t="shared" si="244"/>
        <v/>
      </c>
      <c r="AB285" s="1771" t="str">
        <f t="shared" si="244"/>
        <v/>
      </c>
      <c r="AC285" s="3442" t="str">
        <f t="shared" si="244"/>
        <v/>
      </c>
      <c r="AD285" s="1771" t="str">
        <f t="shared" si="244"/>
        <v/>
      </c>
      <c r="AE285" s="1771" t="str">
        <f t="shared" si="244"/>
        <v/>
      </c>
      <c r="AF285" s="1771" t="str">
        <f t="shared" si="244"/>
        <v/>
      </c>
      <c r="AG285" s="3442" t="str">
        <f t="shared" si="244"/>
        <v/>
      </c>
      <c r="AH285" s="1771" t="str">
        <f t="shared" si="236"/>
        <v/>
      </c>
      <c r="AI285" s="3442" t="str">
        <f t="shared" si="236"/>
        <v/>
      </c>
      <c r="AJ285" s="3462"/>
      <c r="AK285" s="3439" t="str">
        <f>IF(J285=J319,"stop","")</f>
        <v/>
      </c>
      <c r="AL285" s="3437" t="str">
        <f t="shared" si="247"/>
        <v/>
      </c>
      <c r="AM285" s="1771" t="str">
        <f t="shared" si="247"/>
        <v/>
      </c>
      <c r="AN285" s="1771" t="str">
        <f t="shared" si="247"/>
        <v/>
      </c>
      <c r="AO285" s="1771" t="str">
        <f t="shared" si="247"/>
        <v/>
      </c>
      <c r="AP285" s="3443" t="str">
        <f t="shared" si="247"/>
        <v/>
      </c>
      <c r="AQ285" s="1771" t="str">
        <f t="shared" si="247"/>
        <v/>
      </c>
      <c r="AR285" s="1771" t="str">
        <f t="shared" si="247"/>
        <v/>
      </c>
      <c r="AS285" s="3442" t="str">
        <f t="shared" si="247"/>
        <v/>
      </c>
      <c r="AT285" s="1771">
        <f t="shared" si="247"/>
        <v>1.06</v>
      </c>
      <c r="AU285" s="1771" t="str">
        <f t="shared" si="247"/>
        <v/>
      </c>
      <c r="AV285" s="1771" t="str">
        <f t="shared" si="247"/>
        <v/>
      </c>
      <c r="AW285" s="3442" t="str">
        <f t="shared" si="247"/>
        <v/>
      </c>
      <c r="AX285" s="1771" t="str">
        <f t="shared" si="248"/>
        <v/>
      </c>
      <c r="AY285" s="1771" t="str">
        <f t="shared" si="248"/>
        <v/>
      </c>
      <c r="AZ285" s="1771" t="str">
        <f t="shared" si="248"/>
        <v/>
      </c>
      <c r="BA285" s="1771" t="str">
        <f t="shared" si="248"/>
        <v/>
      </c>
      <c r="BB285" s="3437" t="str">
        <f t="shared" si="248"/>
        <v/>
      </c>
      <c r="BC285" s="3443" t="str">
        <f t="shared" si="248"/>
        <v/>
      </c>
      <c r="BD285" s="3462"/>
      <c r="BE285" s="3440" t="str">
        <f>IF(J285=J319,"stop","")</f>
        <v/>
      </c>
      <c r="BF285" s="1771" t="str">
        <f t="shared" si="249"/>
        <v/>
      </c>
      <c r="BG285" s="1771" t="str">
        <f t="shared" si="249"/>
        <v/>
      </c>
      <c r="BH285" s="1771" t="str">
        <f t="shared" si="249"/>
        <v/>
      </c>
      <c r="BI285" s="1771" t="str">
        <f t="shared" si="249"/>
        <v/>
      </c>
      <c r="BJ285" s="3443" t="str">
        <f t="shared" si="249"/>
        <v/>
      </c>
      <c r="BK285" s="3437" t="str">
        <f t="shared" si="249"/>
        <v/>
      </c>
      <c r="BL285" s="1771" t="str">
        <f t="shared" si="249"/>
        <v/>
      </c>
      <c r="BM285" s="3442" t="str">
        <f t="shared" si="249"/>
        <v/>
      </c>
      <c r="BN285" s="1771">
        <f t="shared" si="249"/>
        <v>0.3852272056851645</v>
      </c>
      <c r="BO285" s="1771" t="str">
        <f t="shared" si="249"/>
        <v/>
      </c>
      <c r="BP285" s="1771" t="str">
        <f t="shared" si="249"/>
        <v/>
      </c>
      <c r="BQ285" s="1771" t="str">
        <f t="shared" si="249"/>
        <v/>
      </c>
      <c r="BR285" s="3437" t="str">
        <f t="shared" si="250"/>
        <v/>
      </c>
      <c r="BS285" s="1771" t="str">
        <f t="shared" si="250"/>
        <v/>
      </c>
      <c r="BT285" s="1771" t="str">
        <f t="shared" si="250"/>
        <v/>
      </c>
      <c r="BU285" s="3442" t="str">
        <f t="shared" si="250"/>
        <v/>
      </c>
      <c r="BV285" s="1771" t="str">
        <f t="shared" si="250"/>
        <v/>
      </c>
      <c r="BW285" s="3442" t="str">
        <f t="shared" si="250"/>
        <v/>
      </c>
      <c r="BX285" s="3462"/>
      <c r="BY285" s="3439" t="str">
        <f>IF(L285=L319,"stop","")</f>
        <v/>
      </c>
      <c r="BZ285" s="3437" t="str">
        <f t="shared" si="251"/>
        <v/>
      </c>
      <c r="CA285" s="1771" t="str">
        <f t="shared" si="251"/>
        <v/>
      </c>
      <c r="CB285" s="1771" t="str">
        <f t="shared" si="251"/>
        <v/>
      </c>
      <c r="CC285" s="3442" t="str">
        <f t="shared" si="251"/>
        <v/>
      </c>
      <c r="CD285" s="1771" t="str">
        <f t="shared" si="251"/>
        <v/>
      </c>
      <c r="CE285" s="3437" t="str">
        <f t="shared" si="251"/>
        <v/>
      </c>
      <c r="CF285" s="1771" t="str">
        <f t="shared" si="251"/>
        <v/>
      </c>
      <c r="CG285" s="1771" t="str">
        <f t="shared" si="251"/>
        <v/>
      </c>
      <c r="CH285" s="3437">
        <f t="shared" si="251"/>
        <v>0.60000000000000009</v>
      </c>
      <c r="CI285" s="1771" t="str">
        <f t="shared" si="251"/>
        <v/>
      </c>
      <c r="CJ285" s="1771" t="str">
        <f t="shared" si="251"/>
        <v/>
      </c>
      <c r="CK285" s="3442" t="str">
        <f t="shared" si="251"/>
        <v/>
      </c>
      <c r="CL285" s="3437" t="str">
        <f t="shared" si="252"/>
        <v/>
      </c>
      <c r="CM285" s="1771" t="str">
        <f t="shared" si="252"/>
        <v/>
      </c>
      <c r="CN285" s="1771" t="str">
        <f t="shared" si="252"/>
        <v/>
      </c>
      <c r="CO285" s="3442" t="str">
        <f t="shared" si="252"/>
        <v/>
      </c>
      <c r="CP285" s="1771" t="str">
        <f t="shared" si="252"/>
        <v/>
      </c>
      <c r="CQ285" s="3442" t="str">
        <f t="shared" si="252"/>
        <v/>
      </c>
      <c r="CR285" s="3462"/>
    </row>
    <row r="286" spans="1:96" s="3" customFormat="1">
      <c r="A286" s="1848" t="s">
        <v>905</v>
      </c>
      <c r="B286" s="816">
        <v>10</v>
      </c>
      <c r="C286" s="816">
        <v>11.05</v>
      </c>
      <c r="D286" s="816">
        <v>0.05</v>
      </c>
      <c r="E286" s="1802" t="s">
        <v>35</v>
      </c>
      <c r="F286" s="816">
        <v>0.67</v>
      </c>
      <c r="G286" s="816" t="s">
        <v>784</v>
      </c>
      <c r="H286" s="816">
        <v>1988</v>
      </c>
      <c r="I286" s="50"/>
      <c r="J286" s="816">
        <f t="shared" si="243"/>
        <v>11.05</v>
      </c>
      <c r="K286" s="816">
        <v>0.05</v>
      </c>
      <c r="L286" s="816" t="s">
        <v>35</v>
      </c>
      <c r="M286" s="816">
        <v>0.67</v>
      </c>
      <c r="N286" s="845">
        <f t="shared" si="245"/>
        <v>0.18303005217723128</v>
      </c>
      <c r="O286" s="1831">
        <f t="shared" si="246"/>
        <v>0.36000000000000004</v>
      </c>
      <c r="P286" s="825" t="s">
        <v>1088</v>
      </c>
      <c r="Q286" s="3" t="str">
        <f>IF(J286=J319,"stop","")</f>
        <v/>
      </c>
      <c r="R286" s="3437" t="str">
        <f t="shared" si="244"/>
        <v/>
      </c>
      <c r="S286" s="1771" t="str">
        <f t="shared" si="244"/>
        <v/>
      </c>
      <c r="T286" s="1771" t="str">
        <f t="shared" si="244"/>
        <v/>
      </c>
      <c r="U286" s="1771" t="str">
        <f t="shared" si="244"/>
        <v/>
      </c>
      <c r="V286" s="3443" t="str">
        <f t="shared" si="244"/>
        <v/>
      </c>
      <c r="W286" s="1771" t="str">
        <f t="shared" si="244"/>
        <v/>
      </c>
      <c r="X286" s="1771" t="str">
        <f t="shared" si="244"/>
        <v/>
      </c>
      <c r="Y286" s="1771" t="str">
        <f t="shared" si="244"/>
        <v/>
      </c>
      <c r="Z286" s="3437">
        <f t="shared" si="244"/>
        <v>0.05</v>
      </c>
      <c r="AA286" s="1771" t="str">
        <f t="shared" si="244"/>
        <v/>
      </c>
      <c r="AB286" s="1771" t="str">
        <f t="shared" si="244"/>
        <v/>
      </c>
      <c r="AC286" s="3442" t="str">
        <f t="shared" si="244"/>
        <v/>
      </c>
      <c r="AD286" s="1771" t="str">
        <f t="shared" si="244"/>
        <v/>
      </c>
      <c r="AE286" s="1771" t="str">
        <f t="shared" si="244"/>
        <v/>
      </c>
      <c r="AF286" s="1771" t="str">
        <f t="shared" si="244"/>
        <v/>
      </c>
      <c r="AG286" s="3442" t="str">
        <f t="shared" si="244"/>
        <v/>
      </c>
      <c r="AH286" s="1771" t="str">
        <f t="shared" ref="AH286:AI311" si="253">IF(AND($J286&gt;AH$4,$J286&lt;=AH$5,$P286=AH$6),$K286,"")</f>
        <v/>
      </c>
      <c r="AI286" s="3442" t="str">
        <f t="shared" si="253"/>
        <v/>
      </c>
      <c r="AJ286" s="3462"/>
      <c r="AK286" s="3439" t="str">
        <f>IF(J286=J319,"stop","")</f>
        <v/>
      </c>
      <c r="AL286" s="3437" t="str">
        <f t="shared" si="247"/>
        <v/>
      </c>
      <c r="AM286" s="1771" t="str">
        <f t="shared" si="247"/>
        <v/>
      </c>
      <c r="AN286" s="1771" t="str">
        <f t="shared" si="247"/>
        <v/>
      </c>
      <c r="AO286" s="1771" t="str">
        <f t="shared" si="247"/>
        <v/>
      </c>
      <c r="AP286" s="3443" t="str">
        <f t="shared" si="247"/>
        <v/>
      </c>
      <c r="AQ286" s="1771" t="str">
        <f t="shared" si="247"/>
        <v/>
      </c>
      <c r="AR286" s="1771" t="str">
        <f t="shared" si="247"/>
        <v/>
      </c>
      <c r="AS286" s="3442" t="str">
        <f t="shared" si="247"/>
        <v/>
      </c>
      <c r="AT286" s="1771">
        <f t="shared" si="247"/>
        <v>0.67</v>
      </c>
      <c r="AU286" s="1771" t="str">
        <f t="shared" si="247"/>
        <v/>
      </c>
      <c r="AV286" s="1771" t="str">
        <f t="shared" si="247"/>
        <v/>
      </c>
      <c r="AW286" s="3442" t="str">
        <f t="shared" si="247"/>
        <v/>
      </c>
      <c r="AX286" s="1771" t="str">
        <f t="shared" si="248"/>
        <v/>
      </c>
      <c r="AY286" s="1771" t="str">
        <f t="shared" si="248"/>
        <v/>
      </c>
      <c r="AZ286" s="1771" t="str">
        <f t="shared" si="248"/>
        <v/>
      </c>
      <c r="BA286" s="1771" t="str">
        <f t="shared" si="248"/>
        <v/>
      </c>
      <c r="BB286" s="3437" t="str">
        <f t="shared" si="248"/>
        <v/>
      </c>
      <c r="BC286" s="3443" t="str">
        <f t="shared" si="248"/>
        <v/>
      </c>
      <c r="BD286" s="3462"/>
      <c r="BE286" s="3440" t="str">
        <f>IF(J286=J319,"stop","")</f>
        <v/>
      </c>
      <c r="BF286" s="1771" t="str">
        <f t="shared" si="249"/>
        <v/>
      </c>
      <c r="BG286" s="1771" t="str">
        <f t="shared" si="249"/>
        <v/>
      </c>
      <c r="BH286" s="1771" t="str">
        <f t="shared" si="249"/>
        <v/>
      </c>
      <c r="BI286" s="1771" t="str">
        <f t="shared" si="249"/>
        <v/>
      </c>
      <c r="BJ286" s="3443" t="str">
        <f t="shared" si="249"/>
        <v/>
      </c>
      <c r="BK286" s="3437" t="str">
        <f t="shared" si="249"/>
        <v/>
      </c>
      <c r="BL286" s="1771" t="str">
        <f t="shared" si="249"/>
        <v/>
      </c>
      <c r="BM286" s="3442" t="str">
        <f t="shared" si="249"/>
        <v/>
      </c>
      <c r="BN286" s="1771">
        <f t="shared" si="249"/>
        <v>0.18303005217723128</v>
      </c>
      <c r="BO286" s="1771" t="str">
        <f t="shared" si="249"/>
        <v/>
      </c>
      <c r="BP286" s="1771" t="str">
        <f t="shared" si="249"/>
        <v/>
      </c>
      <c r="BQ286" s="1771" t="str">
        <f t="shared" si="249"/>
        <v/>
      </c>
      <c r="BR286" s="3437" t="str">
        <f t="shared" si="250"/>
        <v/>
      </c>
      <c r="BS286" s="1771" t="str">
        <f t="shared" si="250"/>
        <v/>
      </c>
      <c r="BT286" s="1771" t="str">
        <f t="shared" si="250"/>
        <v/>
      </c>
      <c r="BU286" s="3442" t="str">
        <f t="shared" si="250"/>
        <v/>
      </c>
      <c r="BV286" s="1771" t="str">
        <f t="shared" si="250"/>
        <v/>
      </c>
      <c r="BW286" s="3442" t="str">
        <f t="shared" si="250"/>
        <v/>
      </c>
      <c r="BX286" s="3462"/>
      <c r="BY286" s="3439" t="str">
        <f>IF(L286=L319,"stop","")</f>
        <v/>
      </c>
      <c r="BZ286" s="3437" t="str">
        <f t="shared" si="251"/>
        <v/>
      </c>
      <c r="CA286" s="1771" t="str">
        <f t="shared" si="251"/>
        <v/>
      </c>
      <c r="CB286" s="1771" t="str">
        <f t="shared" si="251"/>
        <v/>
      </c>
      <c r="CC286" s="3442" t="str">
        <f t="shared" si="251"/>
        <v/>
      </c>
      <c r="CD286" s="1771" t="str">
        <f t="shared" si="251"/>
        <v/>
      </c>
      <c r="CE286" s="3437" t="str">
        <f t="shared" si="251"/>
        <v/>
      </c>
      <c r="CF286" s="1771" t="str">
        <f t="shared" si="251"/>
        <v/>
      </c>
      <c r="CG286" s="1771" t="str">
        <f t="shared" si="251"/>
        <v/>
      </c>
      <c r="CH286" s="3437">
        <f t="shared" si="251"/>
        <v>0.36000000000000004</v>
      </c>
      <c r="CI286" s="1771" t="str">
        <f t="shared" si="251"/>
        <v/>
      </c>
      <c r="CJ286" s="1771" t="str">
        <f t="shared" si="251"/>
        <v/>
      </c>
      <c r="CK286" s="3442" t="str">
        <f t="shared" si="251"/>
        <v/>
      </c>
      <c r="CL286" s="3437" t="str">
        <f t="shared" si="252"/>
        <v/>
      </c>
      <c r="CM286" s="1771" t="str">
        <f t="shared" si="252"/>
        <v/>
      </c>
      <c r="CN286" s="1771" t="str">
        <f t="shared" si="252"/>
        <v/>
      </c>
      <c r="CO286" s="3442" t="str">
        <f t="shared" si="252"/>
        <v/>
      </c>
      <c r="CP286" s="1771" t="str">
        <f t="shared" si="252"/>
        <v/>
      </c>
      <c r="CQ286" s="3442" t="str">
        <f t="shared" si="252"/>
        <v/>
      </c>
      <c r="CR286" s="3462"/>
    </row>
    <row r="287" spans="1:96" s="3" customFormat="1">
      <c r="A287" s="1848" t="s">
        <v>906</v>
      </c>
      <c r="B287" s="816">
        <v>10</v>
      </c>
      <c r="C287" s="816">
        <v>10.52</v>
      </c>
      <c r="D287" s="816">
        <v>0.56999999999999995</v>
      </c>
      <c r="E287" s="1802" t="s">
        <v>784</v>
      </c>
      <c r="F287" s="816">
        <v>0.56999999999999995</v>
      </c>
      <c r="G287" s="816" t="s">
        <v>784</v>
      </c>
      <c r="H287" s="816">
        <v>1988</v>
      </c>
      <c r="I287" s="50"/>
      <c r="J287" s="816">
        <f t="shared" si="243"/>
        <v>10.52</v>
      </c>
      <c r="K287" s="816">
        <v>0.56999999999999995</v>
      </c>
      <c r="L287" s="816" t="s">
        <v>784</v>
      </c>
      <c r="M287" s="816">
        <v>0.56999999999999995</v>
      </c>
      <c r="N287" s="845">
        <f t="shared" si="245"/>
        <v>0.56999999999999995</v>
      </c>
      <c r="O287" s="1831">
        <f t="shared" si="246"/>
        <v>0.56999999999999995</v>
      </c>
      <c r="P287" s="825" t="s">
        <v>1088</v>
      </c>
      <c r="Q287" s="3" t="str">
        <f>IF(J287=J319,"stop","")</f>
        <v/>
      </c>
      <c r="R287" s="3437" t="str">
        <f t="shared" si="244"/>
        <v/>
      </c>
      <c r="S287" s="1771" t="str">
        <f t="shared" si="244"/>
        <v/>
      </c>
      <c r="T287" s="1771" t="str">
        <f t="shared" si="244"/>
        <v/>
      </c>
      <c r="U287" s="1771" t="str">
        <f t="shared" si="244"/>
        <v/>
      </c>
      <c r="V287" s="3443" t="str">
        <f t="shared" si="244"/>
        <v/>
      </c>
      <c r="W287" s="1771" t="str">
        <f t="shared" si="244"/>
        <v/>
      </c>
      <c r="X287" s="1771" t="str">
        <f t="shared" si="244"/>
        <v/>
      </c>
      <c r="Y287" s="1771" t="str">
        <f t="shared" si="244"/>
        <v/>
      </c>
      <c r="Z287" s="3437">
        <f t="shared" si="244"/>
        <v>0.56999999999999995</v>
      </c>
      <c r="AA287" s="1771" t="str">
        <f t="shared" si="244"/>
        <v/>
      </c>
      <c r="AB287" s="1771" t="str">
        <f t="shared" si="244"/>
        <v/>
      </c>
      <c r="AC287" s="3442" t="str">
        <f t="shared" si="244"/>
        <v/>
      </c>
      <c r="AD287" s="1771" t="str">
        <f t="shared" si="244"/>
        <v/>
      </c>
      <c r="AE287" s="1771" t="str">
        <f t="shared" si="244"/>
        <v/>
      </c>
      <c r="AF287" s="1771" t="str">
        <f t="shared" si="244"/>
        <v/>
      </c>
      <c r="AG287" s="3442" t="str">
        <f t="shared" si="244"/>
        <v/>
      </c>
      <c r="AH287" s="1771" t="str">
        <f t="shared" si="253"/>
        <v/>
      </c>
      <c r="AI287" s="3442" t="str">
        <f t="shared" si="253"/>
        <v/>
      </c>
      <c r="AJ287" s="3462"/>
      <c r="AK287" s="3439" t="str">
        <f>IF(J287=J319,"stop","")</f>
        <v/>
      </c>
      <c r="AL287" s="3437" t="str">
        <f t="shared" si="247"/>
        <v/>
      </c>
      <c r="AM287" s="1771" t="str">
        <f t="shared" si="247"/>
        <v/>
      </c>
      <c r="AN287" s="1771" t="str">
        <f t="shared" si="247"/>
        <v/>
      </c>
      <c r="AO287" s="1771" t="str">
        <f t="shared" si="247"/>
        <v/>
      </c>
      <c r="AP287" s="3443" t="str">
        <f t="shared" si="247"/>
        <v/>
      </c>
      <c r="AQ287" s="1771" t="str">
        <f t="shared" si="247"/>
        <v/>
      </c>
      <c r="AR287" s="1771" t="str">
        <f t="shared" si="247"/>
        <v/>
      </c>
      <c r="AS287" s="3442" t="str">
        <f t="shared" si="247"/>
        <v/>
      </c>
      <c r="AT287" s="1771">
        <f t="shared" si="247"/>
        <v>0.56999999999999995</v>
      </c>
      <c r="AU287" s="1771" t="str">
        <f t="shared" si="247"/>
        <v/>
      </c>
      <c r="AV287" s="1771" t="str">
        <f t="shared" si="247"/>
        <v/>
      </c>
      <c r="AW287" s="3442" t="str">
        <f t="shared" si="247"/>
        <v/>
      </c>
      <c r="AX287" s="1771" t="str">
        <f t="shared" si="248"/>
        <v/>
      </c>
      <c r="AY287" s="1771" t="str">
        <f t="shared" si="248"/>
        <v/>
      </c>
      <c r="AZ287" s="1771" t="str">
        <f t="shared" si="248"/>
        <v/>
      </c>
      <c r="BA287" s="1771" t="str">
        <f t="shared" si="248"/>
        <v/>
      </c>
      <c r="BB287" s="3437" t="str">
        <f t="shared" si="248"/>
        <v/>
      </c>
      <c r="BC287" s="3443" t="str">
        <f t="shared" si="248"/>
        <v/>
      </c>
      <c r="BD287" s="3462"/>
      <c r="BE287" s="3440" t="str">
        <f>IF(J287=J319,"stop","")</f>
        <v/>
      </c>
      <c r="BF287" s="1771" t="str">
        <f t="shared" si="249"/>
        <v/>
      </c>
      <c r="BG287" s="1771" t="str">
        <f t="shared" si="249"/>
        <v/>
      </c>
      <c r="BH287" s="1771" t="str">
        <f t="shared" si="249"/>
        <v/>
      </c>
      <c r="BI287" s="1771" t="str">
        <f t="shared" si="249"/>
        <v/>
      </c>
      <c r="BJ287" s="3443" t="str">
        <f t="shared" si="249"/>
        <v/>
      </c>
      <c r="BK287" s="3437" t="str">
        <f t="shared" si="249"/>
        <v/>
      </c>
      <c r="BL287" s="1771" t="str">
        <f t="shared" si="249"/>
        <v/>
      </c>
      <c r="BM287" s="3442" t="str">
        <f t="shared" si="249"/>
        <v/>
      </c>
      <c r="BN287" s="1771">
        <f t="shared" si="249"/>
        <v>0.56999999999999995</v>
      </c>
      <c r="BO287" s="1771" t="str">
        <f t="shared" si="249"/>
        <v/>
      </c>
      <c r="BP287" s="1771" t="str">
        <f t="shared" si="249"/>
        <v/>
      </c>
      <c r="BQ287" s="1771" t="str">
        <f t="shared" si="249"/>
        <v/>
      </c>
      <c r="BR287" s="3437" t="str">
        <f t="shared" si="250"/>
        <v/>
      </c>
      <c r="BS287" s="1771" t="str">
        <f t="shared" si="250"/>
        <v/>
      </c>
      <c r="BT287" s="1771" t="str">
        <f t="shared" si="250"/>
        <v/>
      </c>
      <c r="BU287" s="3442" t="str">
        <f t="shared" si="250"/>
        <v/>
      </c>
      <c r="BV287" s="1771" t="str">
        <f t="shared" si="250"/>
        <v/>
      </c>
      <c r="BW287" s="3442" t="str">
        <f t="shared" si="250"/>
        <v/>
      </c>
      <c r="BX287" s="3462"/>
      <c r="BY287" s="3439" t="str">
        <f>IF(L287=L319,"stop","")</f>
        <v/>
      </c>
      <c r="BZ287" s="3437" t="str">
        <f t="shared" si="251"/>
        <v/>
      </c>
      <c r="CA287" s="1771" t="str">
        <f t="shared" si="251"/>
        <v/>
      </c>
      <c r="CB287" s="1771" t="str">
        <f t="shared" si="251"/>
        <v/>
      </c>
      <c r="CC287" s="3442" t="str">
        <f t="shared" si="251"/>
        <v/>
      </c>
      <c r="CD287" s="1771" t="str">
        <f t="shared" si="251"/>
        <v/>
      </c>
      <c r="CE287" s="3437" t="str">
        <f t="shared" si="251"/>
        <v/>
      </c>
      <c r="CF287" s="1771" t="str">
        <f t="shared" si="251"/>
        <v/>
      </c>
      <c r="CG287" s="1771" t="str">
        <f t="shared" si="251"/>
        <v/>
      </c>
      <c r="CH287" s="3437">
        <f t="shared" si="251"/>
        <v>0.56999999999999995</v>
      </c>
      <c r="CI287" s="1771" t="str">
        <f t="shared" si="251"/>
        <v/>
      </c>
      <c r="CJ287" s="1771" t="str">
        <f t="shared" si="251"/>
        <v/>
      </c>
      <c r="CK287" s="3442" t="str">
        <f t="shared" si="251"/>
        <v/>
      </c>
      <c r="CL287" s="3437" t="str">
        <f t="shared" si="252"/>
        <v/>
      </c>
      <c r="CM287" s="1771" t="str">
        <f t="shared" si="252"/>
        <v/>
      </c>
      <c r="CN287" s="1771" t="str">
        <f t="shared" si="252"/>
        <v/>
      </c>
      <c r="CO287" s="3442" t="str">
        <f t="shared" si="252"/>
        <v/>
      </c>
      <c r="CP287" s="1771" t="str">
        <f t="shared" si="252"/>
        <v/>
      </c>
      <c r="CQ287" s="3442" t="str">
        <f t="shared" si="252"/>
        <v/>
      </c>
      <c r="CR287" s="3462"/>
    </row>
    <row r="288" spans="1:96" s="3" customFormat="1">
      <c r="A288" s="1848" t="s">
        <v>907</v>
      </c>
      <c r="B288" s="816">
        <v>10</v>
      </c>
      <c r="C288" s="816">
        <v>10.4</v>
      </c>
      <c r="D288" s="816">
        <v>0.05</v>
      </c>
      <c r="E288" s="1802" t="s">
        <v>35</v>
      </c>
      <c r="F288" s="816">
        <v>0.38</v>
      </c>
      <c r="G288" s="816" t="s">
        <v>784</v>
      </c>
      <c r="H288" s="816">
        <v>1988</v>
      </c>
      <c r="I288" s="50"/>
      <c r="J288" s="816">
        <f t="shared" si="243"/>
        <v>10.4</v>
      </c>
      <c r="K288" s="816">
        <v>0.05</v>
      </c>
      <c r="L288" s="816" t="s">
        <v>35</v>
      </c>
      <c r="M288" s="816">
        <v>0.38</v>
      </c>
      <c r="N288" s="845">
        <f t="shared" si="245"/>
        <v>0.13784048752090222</v>
      </c>
      <c r="O288" s="1831">
        <f t="shared" si="246"/>
        <v>0.215</v>
      </c>
      <c r="P288" s="825" t="s">
        <v>1088</v>
      </c>
      <c r="Q288" s="3" t="str">
        <f>IF(J288=J319,"stop","")</f>
        <v/>
      </c>
      <c r="R288" s="3437" t="str">
        <f t="shared" si="244"/>
        <v/>
      </c>
      <c r="S288" s="1771" t="str">
        <f t="shared" si="244"/>
        <v/>
      </c>
      <c r="T288" s="1771" t="str">
        <f t="shared" si="244"/>
        <v/>
      </c>
      <c r="U288" s="1771" t="str">
        <f t="shared" si="244"/>
        <v/>
      </c>
      <c r="V288" s="3443" t="str">
        <f t="shared" si="244"/>
        <v/>
      </c>
      <c r="W288" s="1771" t="str">
        <f t="shared" si="244"/>
        <v/>
      </c>
      <c r="X288" s="1771" t="str">
        <f t="shared" si="244"/>
        <v/>
      </c>
      <c r="Y288" s="1771" t="str">
        <f t="shared" si="244"/>
        <v/>
      </c>
      <c r="Z288" s="3437">
        <f t="shared" si="244"/>
        <v>0.05</v>
      </c>
      <c r="AA288" s="1771" t="str">
        <f t="shared" si="244"/>
        <v/>
      </c>
      <c r="AB288" s="1771" t="str">
        <f t="shared" si="244"/>
        <v/>
      </c>
      <c r="AC288" s="3442" t="str">
        <f t="shared" si="244"/>
        <v/>
      </c>
      <c r="AD288" s="1771" t="str">
        <f t="shared" si="244"/>
        <v/>
      </c>
      <c r="AE288" s="1771" t="str">
        <f t="shared" si="244"/>
        <v/>
      </c>
      <c r="AF288" s="1771" t="str">
        <f t="shared" si="244"/>
        <v/>
      </c>
      <c r="AG288" s="3442" t="str">
        <f t="shared" si="244"/>
        <v/>
      </c>
      <c r="AH288" s="1771" t="str">
        <f t="shared" si="253"/>
        <v/>
      </c>
      <c r="AI288" s="3442" t="str">
        <f t="shared" si="253"/>
        <v/>
      </c>
      <c r="AJ288" s="3462"/>
      <c r="AK288" s="3439" t="str">
        <f>IF(J288=J319,"stop","")</f>
        <v/>
      </c>
      <c r="AL288" s="3437" t="str">
        <f t="shared" si="247"/>
        <v/>
      </c>
      <c r="AM288" s="1771" t="str">
        <f t="shared" si="247"/>
        <v/>
      </c>
      <c r="AN288" s="1771" t="str">
        <f t="shared" si="247"/>
        <v/>
      </c>
      <c r="AO288" s="1771" t="str">
        <f t="shared" si="247"/>
        <v/>
      </c>
      <c r="AP288" s="3443" t="str">
        <f t="shared" si="247"/>
        <v/>
      </c>
      <c r="AQ288" s="1771" t="str">
        <f t="shared" si="247"/>
        <v/>
      </c>
      <c r="AR288" s="1771" t="str">
        <f t="shared" si="247"/>
        <v/>
      </c>
      <c r="AS288" s="3442" t="str">
        <f t="shared" si="247"/>
        <v/>
      </c>
      <c r="AT288" s="1771">
        <f t="shared" si="247"/>
        <v>0.38</v>
      </c>
      <c r="AU288" s="1771" t="str">
        <f t="shared" si="247"/>
        <v/>
      </c>
      <c r="AV288" s="1771" t="str">
        <f t="shared" si="247"/>
        <v/>
      </c>
      <c r="AW288" s="3442" t="str">
        <f t="shared" si="247"/>
        <v/>
      </c>
      <c r="AX288" s="1771" t="str">
        <f t="shared" si="248"/>
        <v/>
      </c>
      <c r="AY288" s="1771" t="str">
        <f t="shared" si="248"/>
        <v/>
      </c>
      <c r="AZ288" s="1771" t="str">
        <f t="shared" si="248"/>
        <v/>
      </c>
      <c r="BA288" s="1771" t="str">
        <f t="shared" si="248"/>
        <v/>
      </c>
      <c r="BB288" s="3437" t="str">
        <f t="shared" si="248"/>
        <v/>
      </c>
      <c r="BC288" s="3443" t="str">
        <f t="shared" si="248"/>
        <v/>
      </c>
      <c r="BD288" s="3462"/>
      <c r="BE288" s="3440" t="str">
        <f>IF(J288=J319,"stop","")</f>
        <v/>
      </c>
      <c r="BF288" s="1771" t="str">
        <f t="shared" si="249"/>
        <v/>
      </c>
      <c r="BG288" s="1771" t="str">
        <f t="shared" si="249"/>
        <v/>
      </c>
      <c r="BH288" s="1771" t="str">
        <f t="shared" si="249"/>
        <v/>
      </c>
      <c r="BI288" s="1771" t="str">
        <f t="shared" si="249"/>
        <v/>
      </c>
      <c r="BJ288" s="3443" t="str">
        <f t="shared" si="249"/>
        <v/>
      </c>
      <c r="BK288" s="3437" t="str">
        <f t="shared" si="249"/>
        <v/>
      </c>
      <c r="BL288" s="1771" t="str">
        <f t="shared" si="249"/>
        <v/>
      </c>
      <c r="BM288" s="3442" t="str">
        <f t="shared" si="249"/>
        <v/>
      </c>
      <c r="BN288" s="1771">
        <f t="shared" si="249"/>
        <v>0.13784048752090222</v>
      </c>
      <c r="BO288" s="1771" t="str">
        <f t="shared" si="249"/>
        <v/>
      </c>
      <c r="BP288" s="1771" t="str">
        <f t="shared" si="249"/>
        <v/>
      </c>
      <c r="BQ288" s="1771" t="str">
        <f t="shared" si="249"/>
        <v/>
      </c>
      <c r="BR288" s="3437" t="str">
        <f t="shared" si="250"/>
        <v/>
      </c>
      <c r="BS288" s="1771" t="str">
        <f t="shared" si="250"/>
        <v/>
      </c>
      <c r="BT288" s="1771" t="str">
        <f t="shared" si="250"/>
        <v/>
      </c>
      <c r="BU288" s="3442" t="str">
        <f t="shared" si="250"/>
        <v/>
      </c>
      <c r="BV288" s="1771" t="str">
        <f t="shared" si="250"/>
        <v/>
      </c>
      <c r="BW288" s="3442" t="str">
        <f t="shared" si="250"/>
        <v/>
      </c>
      <c r="BX288" s="3462"/>
      <c r="BY288" s="3439" t="str">
        <f>IF(L288=L319,"stop","")</f>
        <v/>
      </c>
      <c r="BZ288" s="3437" t="str">
        <f t="shared" si="251"/>
        <v/>
      </c>
      <c r="CA288" s="1771" t="str">
        <f t="shared" si="251"/>
        <v/>
      </c>
      <c r="CB288" s="1771" t="str">
        <f t="shared" si="251"/>
        <v/>
      </c>
      <c r="CC288" s="3442" t="str">
        <f t="shared" si="251"/>
        <v/>
      </c>
      <c r="CD288" s="1771" t="str">
        <f t="shared" si="251"/>
        <v/>
      </c>
      <c r="CE288" s="3437" t="str">
        <f t="shared" si="251"/>
        <v/>
      </c>
      <c r="CF288" s="1771" t="str">
        <f t="shared" si="251"/>
        <v/>
      </c>
      <c r="CG288" s="1771" t="str">
        <f t="shared" si="251"/>
        <v/>
      </c>
      <c r="CH288" s="3437">
        <f t="shared" si="251"/>
        <v>0.215</v>
      </c>
      <c r="CI288" s="1771" t="str">
        <f t="shared" si="251"/>
        <v/>
      </c>
      <c r="CJ288" s="1771" t="str">
        <f t="shared" si="251"/>
        <v/>
      </c>
      <c r="CK288" s="3442" t="str">
        <f t="shared" si="251"/>
        <v/>
      </c>
      <c r="CL288" s="3437" t="str">
        <f t="shared" si="252"/>
        <v/>
      </c>
      <c r="CM288" s="1771" t="str">
        <f t="shared" si="252"/>
        <v/>
      </c>
      <c r="CN288" s="1771" t="str">
        <f t="shared" si="252"/>
        <v/>
      </c>
      <c r="CO288" s="3442" t="str">
        <f t="shared" si="252"/>
        <v/>
      </c>
      <c r="CP288" s="1771" t="str">
        <f t="shared" si="252"/>
        <v/>
      </c>
      <c r="CQ288" s="3442" t="str">
        <f t="shared" si="252"/>
        <v/>
      </c>
      <c r="CR288" s="3462"/>
    </row>
    <row r="289" spans="1:96" s="3" customFormat="1">
      <c r="A289" s="1848" t="s">
        <v>727</v>
      </c>
      <c r="B289" s="816">
        <v>9</v>
      </c>
      <c r="C289" s="816">
        <v>9.4700000000000006</v>
      </c>
      <c r="D289" s="816">
        <v>0.08</v>
      </c>
      <c r="E289" s="1802" t="s">
        <v>35</v>
      </c>
      <c r="F289" s="816">
        <v>0.72</v>
      </c>
      <c r="G289" s="816" t="s">
        <v>784</v>
      </c>
      <c r="H289" s="816">
        <v>1988</v>
      </c>
      <c r="I289" s="50"/>
      <c r="J289" s="816">
        <f t="shared" si="243"/>
        <v>9.4700000000000006</v>
      </c>
      <c r="K289" s="816">
        <v>0.08</v>
      </c>
      <c r="L289" s="816" t="s">
        <v>35</v>
      </c>
      <c r="M289" s="816">
        <v>0.72</v>
      </c>
      <c r="N289" s="845">
        <f t="shared" si="245"/>
        <v>0.24</v>
      </c>
      <c r="O289" s="1831">
        <f t="shared" si="246"/>
        <v>0.39999999999999997</v>
      </c>
      <c r="P289" s="825" t="s">
        <v>1088</v>
      </c>
      <c r="Q289" s="3" t="str">
        <f>IF(J289=J319,"stop","")</f>
        <v/>
      </c>
      <c r="R289" s="3437" t="str">
        <f t="shared" si="244"/>
        <v/>
      </c>
      <c r="S289" s="1771" t="str">
        <f t="shared" si="244"/>
        <v/>
      </c>
      <c r="T289" s="1771" t="str">
        <f t="shared" si="244"/>
        <v/>
      </c>
      <c r="U289" s="1771" t="str">
        <f t="shared" si="244"/>
        <v/>
      </c>
      <c r="V289" s="3443">
        <f t="shared" si="244"/>
        <v>0.08</v>
      </c>
      <c r="W289" s="1771" t="str">
        <f t="shared" si="244"/>
        <v/>
      </c>
      <c r="X289" s="1771" t="str">
        <f t="shared" si="244"/>
        <v/>
      </c>
      <c r="Y289" s="1771" t="str">
        <f t="shared" si="244"/>
        <v/>
      </c>
      <c r="Z289" s="3437" t="str">
        <f t="shared" si="244"/>
        <v/>
      </c>
      <c r="AA289" s="1771" t="str">
        <f t="shared" si="244"/>
        <v/>
      </c>
      <c r="AB289" s="1771" t="str">
        <f t="shared" si="244"/>
        <v/>
      </c>
      <c r="AC289" s="3442" t="str">
        <f t="shared" si="244"/>
        <v/>
      </c>
      <c r="AD289" s="1771" t="str">
        <f t="shared" si="244"/>
        <v/>
      </c>
      <c r="AE289" s="1771" t="str">
        <f t="shared" si="244"/>
        <v/>
      </c>
      <c r="AF289" s="1771" t="str">
        <f t="shared" si="244"/>
        <v/>
      </c>
      <c r="AG289" s="3442" t="str">
        <f t="shared" si="244"/>
        <v/>
      </c>
      <c r="AH289" s="1771" t="str">
        <f t="shared" si="253"/>
        <v/>
      </c>
      <c r="AI289" s="3442" t="str">
        <f t="shared" si="253"/>
        <v/>
      </c>
      <c r="AJ289" s="3462"/>
      <c r="AK289" s="3439" t="str">
        <f>IF(J289=J319,"stop","")</f>
        <v/>
      </c>
      <c r="AL289" s="3437" t="str">
        <f t="shared" si="247"/>
        <v/>
      </c>
      <c r="AM289" s="1771" t="str">
        <f t="shared" si="247"/>
        <v/>
      </c>
      <c r="AN289" s="1771" t="str">
        <f t="shared" si="247"/>
        <v/>
      </c>
      <c r="AO289" s="1771" t="str">
        <f t="shared" si="247"/>
        <v/>
      </c>
      <c r="AP289" s="3443">
        <f t="shared" si="247"/>
        <v>0.72</v>
      </c>
      <c r="AQ289" s="1771" t="str">
        <f t="shared" si="247"/>
        <v/>
      </c>
      <c r="AR289" s="1771" t="str">
        <f t="shared" si="247"/>
        <v/>
      </c>
      <c r="AS289" s="3442" t="str">
        <f t="shared" si="247"/>
        <v/>
      </c>
      <c r="AT289" s="1771" t="str">
        <f t="shared" si="247"/>
        <v/>
      </c>
      <c r="AU289" s="1771" t="str">
        <f t="shared" si="247"/>
        <v/>
      </c>
      <c r="AV289" s="1771" t="str">
        <f t="shared" si="247"/>
        <v/>
      </c>
      <c r="AW289" s="3442" t="str">
        <f t="shared" si="247"/>
        <v/>
      </c>
      <c r="AX289" s="1771" t="str">
        <f t="shared" si="248"/>
        <v/>
      </c>
      <c r="AY289" s="1771" t="str">
        <f t="shared" si="248"/>
        <v/>
      </c>
      <c r="AZ289" s="1771" t="str">
        <f t="shared" si="248"/>
        <v/>
      </c>
      <c r="BA289" s="1771" t="str">
        <f t="shared" si="248"/>
        <v/>
      </c>
      <c r="BB289" s="3437" t="str">
        <f t="shared" si="248"/>
        <v/>
      </c>
      <c r="BC289" s="3443" t="str">
        <f t="shared" si="248"/>
        <v/>
      </c>
      <c r="BD289" s="3462"/>
      <c r="BE289" s="3440" t="str">
        <f>IF(J289=J319,"stop","")</f>
        <v/>
      </c>
      <c r="BF289" s="1771" t="str">
        <f t="shared" si="249"/>
        <v/>
      </c>
      <c r="BG289" s="1771" t="str">
        <f t="shared" si="249"/>
        <v/>
      </c>
      <c r="BH289" s="1771" t="str">
        <f t="shared" si="249"/>
        <v/>
      </c>
      <c r="BI289" s="1771" t="str">
        <f t="shared" si="249"/>
        <v/>
      </c>
      <c r="BJ289" s="3443">
        <f t="shared" si="249"/>
        <v>0.24</v>
      </c>
      <c r="BK289" s="3437" t="str">
        <f t="shared" si="249"/>
        <v/>
      </c>
      <c r="BL289" s="1771" t="str">
        <f t="shared" si="249"/>
        <v/>
      </c>
      <c r="BM289" s="3442" t="str">
        <f t="shared" si="249"/>
        <v/>
      </c>
      <c r="BN289" s="1771" t="str">
        <f t="shared" si="249"/>
        <v/>
      </c>
      <c r="BO289" s="1771" t="str">
        <f t="shared" si="249"/>
        <v/>
      </c>
      <c r="BP289" s="1771" t="str">
        <f t="shared" si="249"/>
        <v/>
      </c>
      <c r="BQ289" s="1771" t="str">
        <f t="shared" si="249"/>
        <v/>
      </c>
      <c r="BR289" s="3437" t="str">
        <f t="shared" si="250"/>
        <v/>
      </c>
      <c r="BS289" s="1771" t="str">
        <f t="shared" si="250"/>
        <v/>
      </c>
      <c r="BT289" s="1771" t="str">
        <f t="shared" si="250"/>
        <v/>
      </c>
      <c r="BU289" s="3442" t="str">
        <f t="shared" si="250"/>
        <v/>
      </c>
      <c r="BV289" s="1771" t="str">
        <f t="shared" si="250"/>
        <v/>
      </c>
      <c r="BW289" s="3442" t="str">
        <f t="shared" si="250"/>
        <v/>
      </c>
      <c r="BX289" s="3462"/>
      <c r="BY289" s="3439" t="str">
        <f>IF(L289=L319,"stop","")</f>
        <v/>
      </c>
      <c r="BZ289" s="3437" t="str">
        <f t="shared" si="251"/>
        <v/>
      </c>
      <c r="CA289" s="1771" t="str">
        <f t="shared" si="251"/>
        <v/>
      </c>
      <c r="CB289" s="1771" t="str">
        <f t="shared" si="251"/>
        <v/>
      </c>
      <c r="CC289" s="3442" t="str">
        <f t="shared" si="251"/>
        <v/>
      </c>
      <c r="CD289" s="1771">
        <f t="shared" si="251"/>
        <v>0.39999999999999997</v>
      </c>
      <c r="CE289" s="3437" t="str">
        <f t="shared" si="251"/>
        <v/>
      </c>
      <c r="CF289" s="1771" t="str">
        <f t="shared" si="251"/>
        <v/>
      </c>
      <c r="CG289" s="1771" t="str">
        <f t="shared" si="251"/>
        <v/>
      </c>
      <c r="CH289" s="3437" t="str">
        <f t="shared" si="251"/>
        <v/>
      </c>
      <c r="CI289" s="1771" t="str">
        <f t="shared" si="251"/>
        <v/>
      </c>
      <c r="CJ289" s="1771" t="str">
        <f t="shared" si="251"/>
        <v/>
      </c>
      <c r="CK289" s="3442" t="str">
        <f t="shared" si="251"/>
        <v/>
      </c>
      <c r="CL289" s="3437" t="str">
        <f t="shared" si="252"/>
        <v/>
      </c>
      <c r="CM289" s="1771" t="str">
        <f t="shared" si="252"/>
        <v/>
      </c>
      <c r="CN289" s="1771" t="str">
        <f t="shared" si="252"/>
        <v/>
      </c>
      <c r="CO289" s="3442" t="str">
        <f t="shared" si="252"/>
        <v/>
      </c>
      <c r="CP289" s="1771" t="str">
        <f t="shared" si="252"/>
        <v/>
      </c>
      <c r="CQ289" s="3442" t="str">
        <f t="shared" si="252"/>
        <v/>
      </c>
      <c r="CR289" s="3462"/>
    </row>
    <row r="290" spans="1:96" s="3" customFormat="1">
      <c r="A290" s="1848" t="s">
        <v>728</v>
      </c>
      <c r="B290" s="816">
        <v>9</v>
      </c>
      <c r="C290" s="816">
        <v>9.1300000000000008</v>
      </c>
      <c r="D290" s="816" t="s">
        <v>934</v>
      </c>
      <c r="E290" s="1802" t="s">
        <v>35</v>
      </c>
      <c r="F290" s="816">
        <v>0.23</v>
      </c>
      <c r="G290" s="816" t="s">
        <v>784</v>
      </c>
      <c r="H290" s="816">
        <v>1988</v>
      </c>
      <c r="I290" s="50"/>
      <c r="J290" s="816">
        <f t="shared" si="243"/>
        <v>9.1300000000000008</v>
      </c>
      <c r="K290" s="816">
        <v>0</v>
      </c>
      <c r="L290" s="816" t="s">
        <v>35</v>
      </c>
      <c r="M290" s="816">
        <v>0.23</v>
      </c>
      <c r="N290" s="845">
        <f t="shared" si="245"/>
        <v>0</v>
      </c>
      <c r="O290" s="1831">
        <f t="shared" si="246"/>
        <v>0.115</v>
      </c>
      <c r="P290" s="825" t="s">
        <v>1088</v>
      </c>
      <c r="Q290" s="3" t="str">
        <f>IF(J290=J319,"stop","")</f>
        <v/>
      </c>
      <c r="R290" s="3437" t="str">
        <f t="shared" si="244"/>
        <v/>
      </c>
      <c r="S290" s="1771" t="str">
        <f t="shared" si="244"/>
        <v/>
      </c>
      <c r="T290" s="1771" t="str">
        <f t="shared" si="244"/>
        <v/>
      </c>
      <c r="U290" s="1771" t="str">
        <f t="shared" si="244"/>
        <v/>
      </c>
      <c r="V290" s="3443">
        <f t="shared" si="244"/>
        <v>0</v>
      </c>
      <c r="W290" s="1771" t="str">
        <f t="shared" si="244"/>
        <v/>
      </c>
      <c r="X290" s="1771" t="str">
        <f t="shared" si="244"/>
        <v/>
      </c>
      <c r="Y290" s="1771" t="str">
        <f t="shared" si="244"/>
        <v/>
      </c>
      <c r="Z290" s="3437" t="str">
        <f t="shared" si="244"/>
        <v/>
      </c>
      <c r="AA290" s="1771" t="str">
        <f t="shared" si="244"/>
        <v/>
      </c>
      <c r="AB290" s="1771" t="str">
        <f t="shared" si="244"/>
        <v/>
      </c>
      <c r="AC290" s="3442" t="str">
        <f t="shared" si="244"/>
        <v/>
      </c>
      <c r="AD290" s="1771" t="str">
        <f t="shared" si="244"/>
        <v/>
      </c>
      <c r="AE290" s="1771" t="str">
        <f t="shared" si="244"/>
        <v/>
      </c>
      <c r="AF290" s="1771" t="str">
        <f t="shared" si="244"/>
        <v/>
      </c>
      <c r="AG290" s="3442" t="str">
        <f t="shared" si="244"/>
        <v/>
      </c>
      <c r="AH290" s="1771" t="str">
        <f t="shared" si="253"/>
        <v/>
      </c>
      <c r="AI290" s="3442" t="str">
        <f t="shared" si="253"/>
        <v/>
      </c>
      <c r="AJ290" s="3462"/>
      <c r="AK290" s="3439" t="str">
        <f>IF(J290=J319,"stop","")</f>
        <v/>
      </c>
      <c r="AL290" s="3437" t="str">
        <f t="shared" si="247"/>
        <v/>
      </c>
      <c r="AM290" s="1771" t="str">
        <f t="shared" si="247"/>
        <v/>
      </c>
      <c r="AN290" s="1771" t="str">
        <f t="shared" si="247"/>
        <v/>
      </c>
      <c r="AO290" s="1771" t="str">
        <f t="shared" si="247"/>
        <v/>
      </c>
      <c r="AP290" s="3443">
        <f t="shared" si="247"/>
        <v>0.23</v>
      </c>
      <c r="AQ290" s="1771" t="str">
        <f t="shared" si="247"/>
        <v/>
      </c>
      <c r="AR290" s="1771" t="str">
        <f t="shared" si="247"/>
        <v/>
      </c>
      <c r="AS290" s="3442" t="str">
        <f t="shared" si="247"/>
        <v/>
      </c>
      <c r="AT290" s="1771" t="str">
        <f t="shared" si="247"/>
        <v/>
      </c>
      <c r="AU290" s="1771" t="str">
        <f t="shared" si="247"/>
        <v/>
      </c>
      <c r="AV290" s="1771" t="str">
        <f t="shared" si="247"/>
        <v/>
      </c>
      <c r="AW290" s="3442" t="str">
        <f t="shared" si="247"/>
        <v/>
      </c>
      <c r="AX290" s="1771" t="str">
        <f t="shared" si="248"/>
        <v/>
      </c>
      <c r="AY290" s="1771" t="str">
        <f t="shared" si="248"/>
        <v/>
      </c>
      <c r="AZ290" s="1771" t="str">
        <f t="shared" si="248"/>
        <v/>
      </c>
      <c r="BA290" s="1771" t="str">
        <f t="shared" si="248"/>
        <v/>
      </c>
      <c r="BB290" s="3437" t="str">
        <f t="shared" si="248"/>
        <v/>
      </c>
      <c r="BC290" s="3443" t="str">
        <f t="shared" si="248"/>
        <v/>
      </c>
      <c r="BD290" s="3462"/>
      <c r="BE290" s="3440" t="str">
        <f>IF(J290=J319,"stop","")</f>
        <v/>
      </c>
      <c r="BF290" s="1771" t="str">
        <f t="shared" si="249"/>
        <v/>
      </c>
      <c r="BG290" s="1771" t="str">
        <f t="shared" si="249"/>
        <v/>
      </c>
      <c r="BH290" s="1771" t="str">
        <f t="shared" si="249"/>
        <v/>
      </c>
      <c r="BI290" s="1771" t="str">
        <f t="shared" si="249"/>
        <v/>
      </c>
      <c r="BJ290" s="3443">
        <f t="shared" si="249"/>
        <v>0</v>
      </c>
      <c r="BK290" s="3437" t="str">
        <f t="shared" si="249"/>
        <v/>
      </c>
      <c r="BL290" s="1771" t="str">
        <f t="shared" si="249"/>
        <v/>
      </c>
      <c r="BM290" s="3442" t="str">
        <f t="shared" si="249"/>
        <v/>
      </c>
      <c r="BN290" s="1771" t="str">
        <f t="shared" si="249"/>
        <v/>
      </c>
      <c r="BO290" s="1771" t="str">
        <f t="shared" si="249"/>
        <v/>
      </c>
      <c r="BP290" s="1771" t="str">
        <f t="shared" si="249"/>
        <v/>
      </c>
      <c r="BQ290" s="1771" t="str">
        <f t="shared" si="249"/>
        <v/>
      </c>
      <c r="BR290" s="3437" t="str">
        <f t="shared" si="250"/>
        <v/>
      </c>
      <c r="BS290" s="1771" t="str">
        <f t="shared" si="250"/>
        <v/>
      </c>
      <c r="BT290" s="1771" t="str">
        <f t="shared" si="250"/>
        <v/>
      </c>
      <c r="BU290" s="3442" t="str">
        <f t="shared" si="250"/>
        <v/>
      </c>
      <c r="BV290" s="1771" t="str">
        <f t="shared" si="250"/>
        <v/>
      </c>
      <c r="BW290" s="3442" t="str">
        <f t="shared" si="250"/>
        <v/>
      </c>
      <c r="BX290" s="3462"/>
      <c r="BY290" s="3439" t="str">
        <f>IF(L290=L319,"stop","")</f>
        <v/>
      </c>
      <c r="BZ290" s="3437" t="str">
        <f t="shared" si="251"/>
        <v/>
      </c>
      <c r="CA290" s="1771" t="str">
        <f t="shared" si="251"/>
        <v/>
      </c>
      <c r="CB290" s="1771" t="str">
        <f t="shared" si="251"/>
        <v/>
      </c>
      <c r="CC290" s="3442" t="str">
        <f t="shared" si="251"/>
        <v/>
      </c>
      <c r="CD290" s="1771">
        <f t="shared" si="251"/>
        <v>0.115</v>
      </c>
      <c r="CE290" s="3437" t="str">
        <f t="shared" si="251"/>
        <v/>
      </c>
      <c r="CF290" s="1771" t="str">
        <f t="shared" si="251"/>
        <v/>
      </c>
      <c r="CG290" s="1771" t="str">
        <f t="shared" si="251"/>
        <v/>
      </c>
      <c r="CH290" s="3437" t="str">
        <f t="shared" si="251"/>
        <v/>
      </c>
      <c r="CI290" s="1771" t="str">
        <f t="shared" si="251"/>
        <v/>
      </c>
      <c r="CJ290" s="1771" t="str">
        <f t="shared" si="251"/>
        <v/>
      </c>
      <c r="CK290" s="3442" t="str">
        <f t="shared" si="251"/>
        <v/>
      </c>
      <c r="CL290" s="3437" t="str">
        <f t="shared" si="252"/>
        <v/>
      </c>
      <c r="CM290" s="1771" t="str">
        <f t="shared" si="252"/>
        <v/>
      </c>
      <c r="CN290" s="1771" t="str">
        <f t="shared" si="252"/>
        <v/>
      </c>
      <c r="CO290" s="3442" t="str">
        <f t="shared" si="252"/>
        <v/>
      </c>
      <c r="CP290" s="1771" t="str">
        <f t="shared" si="252"/>
        <v/>
      </c>
      <c r="CQ290" s="3442" t="str">
        <f t="shared" si="252"/>
        <v/>
      </c>
      <c r="CR290" s="3462"/>
    </row>
    <row r="291" spans="1:96" s="3" customFormat="1">
      <c r="A291" s="1848" t="s">
        <v>729</v>
      </c>
      <c r="B291" s="816">
        <v>10</v>
      </c>
      <c r="C291" s="816">
        <v>10.5</v>
      </c>
      <c r="D291" s="816">
        <v>0.04</v>
      </c>
      <c r="E291" s="1802" t="s">
        <v>35</v>
      </c>
      <c r="F291" s="816">
        <v>0.44</v>
      </c>
      <c r="G291" s="816" t="s">
        <v>784</v>
      </c>
      <c r="H291" s="816">
        <v>1988</v>
      </c>
      <c r="I291" s="50"/>
      <c r="J291" s="816">
        <f t="shared" si="243"/>
        <v>10.5</v>
      </c>
      <c r="K291" s="816">
        <v>0.04</v>
      </c>
      <c r="L291" s="816" t="s">
        <v>35</v>
      </c>
      <c r="M291" s="816">
        <v>0.44</v>
      </c>
      <c r="N291" s="845">
        <f t="shared" si="245"/>
        <v>0.13266499161421599</v>
      </c>
      <c r="O291" s="1831">
        <f t="shared" si="246"/>
        <v>0.24</v>
      </c>
      <c r="P291" s="825" t="s">
        <v>1088</v>
      </c>
      <c r="Q291" s="3" t="str">
        <f>IF(J291=J319,"stop","")</f>
        <v/>
      </c>
      <c r="R291" s="3437" t="str">
        <f t="shared" si="244"/>
        <v/>
      </c>
      <c r="S291" s="1771" t="str">
        <f t="shared" si="244"/>
        <v/>
      </c>
      <c r="T291" s="1771" t="str">
        <f t="shared" si="244"/>
        <v/>
      </c>
      <c r="U291" s="1771" t="str">
        <f t="shared" si="244"/>
        <v/>
      </c>
      <c r="V291" s="3443" t="str">
        <f t="shared" si="244"/>
        <v/>
      </c>
      <c r="W291" s="1771" t="str">
        <f t="shared" si="244"/>
        <v/>
      </c>
      <c r="X291" s="1771" t="str">
        <f t="shared" si="244"/>
        <v/>
      </c>
      <c r="Y291" s="1771" t="str">
        <f t="shared" si="244"/>
        <v/>
      </c>
      <c r="Z291" s="3437">
        <f t="shared" si="244"/>
        <v>0.04</v>
      </c>
      <c r="AA291" s="1771" t="str">
        <f t="shared" si="244"/>
        <v/>
      </c>
      <c r="AB291" s="1771" t="str">
        <f t="shared" si="244"/>
        <v/>
      </c>
      <c r="AC291" s="3442" t="str">
        <f t="shared" si="244"/>
        <v/>
      </c>
      <c r="AD291" s="1771" t="str">
        <f t="shared" si="244"/>
        <v/>
      </c>
      <c r="AE291" s="1771" t="str">
        <f t="shared" si="244"/>
        <v/>
      </c>
      <c r="AF291" s="1771" t="str">
        <f t="shared" si="244"/>
        <v/>
      </c>
      <c r="AG291" s="3442" t="str">
        <f t="shared" si="244"/>
        <v/>
      </c>
      <c r="AH291" s="1771" t="str">
        <f t="shared" si="253"/>
        <v/>
      </c>
      <c r="AI291" s="3442" t="str">
        <f t="shared" si="253"/>
        <v/>
      </c>
      <c r="AJ291" s="3462"/>
      <c r="AK291" s="3439" t="str">
        <f>IF(J291=J319,"stop","")</f>
        <v/>
      </c>
      <c r="AL291" s="3437" t="str">
        <f t="shared" ref="AL291:AW300" si="254">IF(AND($J291&gt;AL$4,$J291&lt;=AL$5,$P291=AL$6),$M291,"")</f>
        <v/>
      </c>
      <c r="AM291" s="1771" t="str">
        <f t="shared" si="254"/>
        <v/>
      </c>
      <c r="AN291" s="1771" t="str">
        <f t="shared" si="254"/>
        <v/>
      </c>
      <c r="AO291" s="1771" t="str">
        <f t="shared" si="254"/>
        <v/>
      </c>
      <c r="AP291" s="3443" t="str">
        <f t="shared" si="254"/>
        <v/>
      </c>
      <c r="AQ291" s="1771" t="str">
        <f t="shared" si="254"/>
        <v/>
      </c>
      <c r="AR291" s="1771" t="str">
        <f t="shared" si="254"/>
        <v/>
      </c>
      <c r="AS291" s="3442" t="str">
        <f t="shared" si="254"/>
        <v/>
      </c>
      <c r="AT291" s="1771">
        <f t="shared" si="254"/>
        <v>0.44</v>
      </c>
      <c r="AU291" s="1771" t="str">
        <f t="shared" si="254"/>
        <v/>
      </c>
      <c r="AV291" s="1771" t="str">
        <f t="shared" si="254"/>
        <v/>
      </c>
      <c r="AW291" s="3442" t="str">
        <f t="shared" si="254"/>
        <v/>
      </c>
      <c r="AX291" s="1771" t="str">
        <f t="shared" ref="AX291:BC300" si="255">IF(AND($J291&gt;AX$4,$J291&lt;=AX$5,$P291=AX$6),$M291,"")</f>
        <v/>
      </c>
      <c r="AY291" s="1771" t="str">
        <f t="shared" si="255"/>
        <v/>
      </c>
      <c r="AZ291" s="1771" t="str">
        <f t="shared" si="255"/>
        <v/>
      </c>
      <c r="BA291" s="1771" t="str">
        <f t="shared" si="255"/>
        <v/>
      </c>
      <c r="BB291" s="3437" t="str">
        <f t="shared" si="255"/>
        <v/>
      </c>
      <c r="BC291" s="3443" t="str">
        <f t="shared" si="255"/>
        <v/>
      </c>
      <c r="BD291" s="3462"/>
      <c r="BE291" s="3440" t="str">
        <f>IF(J291=J319,"stop","")</f>
        <v/>
      </c>
      <c r="BF291" s="1771" t="str">
        <f t="shared" ref="BF291:BQ300" si="256">IF(AND($J291&gt;BF$4,$J291&lt;=BF$5,$P291=BF$6),$N291,"")</f>
        <v/>
      </c>
      <c r="BG291" s="1771" t="str">
        <f t="shared" si="256"/>
        <v/>
      </c>
      <c r="BH291" s="1771" t="str">
        <f t="shared" si="256"/>
        <v/>
      </c>
      <c r="BI291" s="1771" t="str">
        <f t="shared" si="256"/>
        <v/>
      </c>
      <c r="BJ291" s="3443" t="str">
        <f t="shared" si="256"/>
        <v/>
      </c>
      <c r="BK291" s="3437" t="str">
        <f t="shared" si="256"/>
        <v/>
      </c>
      <c r="BL291" s="1771" t="str">
        <f t="shared" si="256"/>
        <v/>
      </c>
      <c r="BM291" s="3442" t="str">
        <f t="shared" si="256"/>
        <v/>
      </c>
      <c r="BN291" s="1771">
        <f t="shared" si="256"/>
        <v>0.13266499161421599</v>
      </c>
      <c r="BO291" s="1771" t="str">
        <f t="shared" si="256"/>
        <v/>
      </c>
      <c r="BP291" s="1771" t="str">
        <f t="shared" si="256"/>
        <v/>
      </c>
      <c r="BQ291" s="1771" t="str">
        <f t="shared" si="256"/>
        <v/>
      </c>
      <c r="BR291" s="3437" t="str">
        <f t="shared" ref="BR291:BW300" si="257">IF(AND($J291&gt;BR$4,$J291&lt;=BR$5,$P291=BR$6),$N291,"")</f>
        <v/>
      </c>
      <c r="BS291" s="1771" t="str">
        <f t="shared" si="257"/>
        <v/>
      </c>
      <c r="BT291" s="1771" t="str">
        <f t="shared" si="257"/>
        <v/>
      </c>
      <c r="BU291" s="3442" t="str">
        <f t="shared" si="257"/>
        <v/>
      </c>
      <c r="BV291" s="1771" t="str">
        <f t="shared" si="257"/>
        <v/>
      </c>
      <c r="BW291" s="3442" t="str">
        <f t="shared" si="257"/>
        <v/>
      </c>
      <c r="BX291" s="3462"/>
      <c r="BY291" s="3439" t="str">
        <f>IF(L291=L319,"stop","")</f>
        <v/>
      </c>
      <c r="BZ291" s="3437" t="str">
        <f t="shared" ref="BZ291:CK300" si="258">IF(AND($J291&gt;BZ$4,$J291&lt;=BZ$5,$P291=BZ$6),$O291,"")</f>
        <v/>
      </c>
      <c r="CA291" s="1771" t="str">
        <f t="shared" si="258"/>
        <v/>
      </c>
      <c r="CB291" s="1771" t="str">
        <f t="shared" si="258"/>
        <v/>
      </c>
      <c r="CC291" s="3442" t="str">
        <f t="shared" si="258"/>
        <v/>
      </c>
      <c r="CD291" s="1771" t="str">
        <f t="shared" si="258"/>
        <v/>
      </c>
      <c r="CE291" s="3437" t="str">
        <f t="shared" si="258"/>
        <v/>
      </c>
      <c r="CF291" s="1771" t="str">
        <f t="shared" si="258"/>
        <v/>
      </c>
      <c r="CG291" s="1771" t="str">
        <f t="shared" si="258"/>
        <v/>
      </c>
      <c r="CH291" s="3437">
        <f t="shared" si="258"/>
        <v>0.24</v>
      </c>
      <c r="CI291" s="1771" t="str">
        <f t="shared" si="258"/>
        <v/>
      </c>
      <c r="CJ291" s="1771" t="str">
        <f t="shared" si="258"/>
        <v/>
      </c>
      <c r="CK291" s="3442" t="str">
        <f t="shared" si="258"/>
        <v/>
      </c>
      <c r="CL291" s="3437" t="str">
        <f t="shared" ref="CL291:CQ300" si="259">IF(AND($J291&gt;CL$4,$J291&lt;=CL$5,$P291=CL$6),$O291,"")</f>
        <v/>
      </c>
      <c r="CM291" s="1771" t="str">
        <f t="shared" si="259"/>
        <v/>
      </c>
      <c r="CN291" s="1771" t="str">
        <f t="shared" si="259"/>
        <v/>
      </c>
      <c r="CO291" s="3442" t="str">
        <f t="shared" si="259"/>
        <v/>
      </c>
      <c r="CP291" s="1771" t="str">
        <f t="shared" si="259"/>
        <v/>
      </c>
      <c r="CQ291" s="3442" t="str">
        <f t="shared" si="259"/>
        <v/>
      </c>
      <c r="CR291" s="3462"/>
    </row>
    <row r="292" spans="1:96" s="3" customFormat="1">
      <c r="A292" s="1848" t="s">
        <v>908</v>
      </c>
      <c r="B292" s="816">
        <v>10</v>
      </c>
      <c r="C292" s="816">
        <v>9.9600000000000009</v>
      </c>
      <c r="D292" s="816">
        <v>0.01</v>
      </c>
      <c r="E292" s="1802" t="s">
        <v>35</v>
      </c>
      <c r="F292" s="816">
        <v>0.08</v>
      </c>
      <c r="G292" s="816" t="s">
        <v>784</v>
      </c>
      <c r="H292" s="816">
        <v>1988</v>
      </c>
      <c r="I292" s="50"/>
      <c r="J292" s="816">
        <f t="shared" si="243"/>
        <v>9.9600000000000009</v>
      </c>
      <c r="K292" s="816">
        <v>0.01</v>
      </c>
      <c r="L292" s="816" t="s">
        <v>35</v>
      </c>
      <c r="M292" s="816">
        <v>0.08</v>
      </c>
      <c r="N292" s="845">
        <f t="shared" si="245"/>
        <v>2.8284271247461901E-2</v>
      </c>
      <c r="O292" s="1831">
        <f t="shared" si="246"/>
        <v>4.4999999999999998E-2</v>
      </c>
      <c r="P292" s="825" t="s">
        <v>1088</v>
      </c>
      <c r="Q292" s="3" t="str">
        <f>IF(J292=J319,"stop","")</f>
        <v/>
      </c>
      <c r="R292" s="3437" t="str">
        <f t="shared" si="244"/>
        <v/>
      </c>
      <c r="S292" s="1771" t="str">
        <f t="shared" si="244"/>
        <v/>
      </c>
      <c r="T292" s="1771" t="str">
        <f t="shared" si="244"/>
        <v/>
      </c>
      <c r="U292" s="1771" t="str">
        <f t="shared" si="244"/>
        <v/>
      </c>
      <c r="V292" s="3443">
        <f t="shared" si="244"/>
        <v>0.01</v>
      </c>
      <c r="W292" s="1771" t="str">
        <f t="shared" si="244"/>
        <v/>
      </c>
      <c r="X292" s="1771" t="str">
        <f t="shared" si="244"/>
        <v/>
      </c>
      <c r="Y292" s="1771" t="str">
        <f t="shared" si="244"/>
        <v/>
      </c>
      <c r="Z292" s="3437" t="str">
        <f t="shared" si="244"/>
        <v/>
      </c>
      <c r="AA292" s="1771" t="str">
        <f t="shared" si="244"/>
        <v/>
      </c>
      <c r="AB292" s="1771" t="str">
        <f t="shared" si="244"/>
        <v/>
      </c>
      <c r="AC292" s="3442" t="str">
        <f t="shared" si="244"/>
        <v/>
      </c>
      <c r="AD292" s="1771" t="str">
        <f t="shared" si="244"/>
        <v/>
      </c>
      <c r="AE292" s="1771" t="str">
        <f t="shared" si="244"/>
        <v/>
      </c>
      <c r="AF292" s="1771" t="str">
        <f t="shared" si="244"/>
        <v/>
      </c>
      <c r="AG292" s="3442" t="str">
        <f t="shared" si="244"/>
        <v/>
      </c>
      <c r="AH292" s="1771" t="str">
        <f t="shared" si="253"/>
        <v/>
      </c>
      <c r="AI292" s="3442" t="str">
        <f t="shared" si="253"/>
        <v/>
      </c>
      <c r="AJ292" s="3462"/>
      <c r="AK292" s="3439" t="str">
        <f>IF(J292=J319,"stop","")</f>
        <v/>
      </c>
      <c r="AL292" s="3437" t="str">
        <f t="shared" si="254"/>
        <v/>
      </c>
      <c r="AM292" s="1771" t="str">
        <f t="shared" si="254"/>
        <v/>
      </c>
      <c r="AN292" s="1771" t="str">
        <f t="shared" si="254"/>
        <v/>
      </c>
      <c r="AO292" s="1771" t="str">
        <f t="shared" si="254"/>
        <v/>
      </c>
      <c r="AP292" s="3443">
        <f t="shared" si="254"/>
        <v>0.08</v>
      </c>
      <c r="AQ292" s="1771" t="str">
        <f t="shared" si="254"/>
        <v/>
      </c>
      <c r="AR292" s="1771" t="str">
        <f t="shared" si="254"/>
        <v/>
      </c>
      <c r="AS292" s="3442" t="str">
        <f t="shared" si="254"/>
        <v/>
      </c>
      <c r="AT292" s="1771" t="str">
        <f t="shared" si="254"/>
        <v/>
      </c>
      <c r="AU292" s="1771" t="str">
        <f t="shared" si="254"/>
        <v/>
      </c>
      <c r="AV292" s="1771" t="str">
        <f t="shared" si="254"/>
        <v/>
      </c>
      <c r="AW292" s="3442" t="str">
        <f t="shared" si="254"/>
        <v/>
      </c>
      <c r="AX292" s="1771" t="str">
        <f t="shared" si="255"/>
        <v/>
      </c>
      <c r="AY292" s="1771" t="str">
        <f t="shared" si="255"/>
        <v/>
      </c>
      <c r="AZ292" s="1771" t="str">
        <f t="shared" si="255"/>
        <v/>
      </c>
      <c r="BA292" s="1771" t="str">
        <f t="shared" si="255"/>
        <v/>
      </c>
      <c r="BB292" s="3437" t="str">
        <f t="shared" si="255"/>
        <v/>
      </c>
      <c r="BC292" s="3443" t="str">
        <f t="shared" si="255"/>
        <v/>
      </c>
      <c r="BD292" s="3462"/>
      <c r="BE292" s="3440" t="str">
        <f>IF(J292=J319,"stop","")</f>
        <v/>
      </c>
      <c r="BF292" s="1771" t="str">
        <f t="shared" si="256"/>
        <v/>
      </c>
      <c r="BG292" s="1771" t="str">
        <f t="shared" si="256"/>
        <v/>
      </c>
      <c r="BH292" s="1771" t="str">
        <f t="shared" si="256"/>
        <v/>
      </c>
      <c r="BI292" s="1771" t="str">
        <f t="shared" si="256"/>
        <v/>
      </c>
      <c r="BJ292" s="3443">
        <f t="shared" si="256"/>
        <v>2.8284271247461901E-2</v>
      </c>
      <c r="BK292" s="3437" t="str">
        <f t="shared" si="256"/>
        <v/>
      </c>
      <c r="BL292" s="1771" t="str">
        <f t="shared" si="256"/>
        <v/>
      </c>
      <c r="BM292" s="3442" t="str">
        <f t="shared" si="256"/>
        <v/>
      </c>
      <c r="BN292" s="1771" t="str">
        <f t="shared" si="256"/>
        <v/>
      </c>
      <c r="BO292" s="1771" t="str">
        <f t="shared" si="256"/>
        <v/>
      </c>
      <c r="BP292" s="1771" t="str">
        <f t="shared" si="256"/>
        <v/>
      </c>
      <c r="BQ292" s="1771" t="str">
        <f t="shared" si="256"/>
        <v/>
      </c>
      <c r="BR292" s="3437" t="str">
        <f t="shared" si="257"/>
        <v/>
      </c>
      <c r="BS292" s="1771" t="str">
        <f t="shared" si="257"/>
        <v/>
      </c>
      <c r="BT292" s="1771" t="str">
        <f t="shared" si="257"/>
        <v/>
      </c>
      <c r="BU292" s="3442" t="str">
        <f t="shared" si="257"/>
        <v/>
      </c>
      <c r="BV292" s="1771" t="str">
        <f t="shared" si="257"/>
        <v/>
      </c>
      <c r="BW292" s="3442" t="str">
        <f t="shared" si="257"/>
        <v/>
      </c>
      <c r="BX292" s="3462"/>
      <c r="BY292" s="3439" t="str">
        <f>IF(L292=L319,"stop","")</f>
        <v/>
      </c>
      <c r="BZ292" s="3437" t="str">
        <f t="shared" si="258"/>
        <v/>
      </c>
      <c r="CA292" s="1771" t="str">
        <f t="shared" si="258"/>
        <v/>
      </c>
      <c r="CB292" s="1771" t="str">
        <f t="shared" si="258"/>
        <v/>
      </c>
      <c r="CC292" s="3442" t="str">
        <f t="shared" si="258"/>
        <v/>
      </c>
      <c r="CD292" s="1771">
        <f t="shared" si="258"/>
        <v>4.4999999999999998E-2</v>
      </c>
      <c r="CE292" s="3437" t="str">
        <f t="shared" si="258"/>
        <v/>
      </c>
      <c r="CF292" s="1771" t="str">
        <f t="shared" si="258"/>
        <v/>
      </c>
      <c r="CG292" s="1771" t="str">
        <f t="shared" si="258"/>
        <v/>
      </c>
      <c r="CH292" s="3437" t="str">
        <f t="shared" si="258"/>
        <v/>
      </c>
      <c r="CI292" s="1771" t="str">
        <f t="shared" si="258"/>
        <v/>
      </c>
      <c r="CJ292" s="1771" t="str">
        <f t="shared" si="258"/>
        <v/>
      </c>
      <c r="CK292" s="3442" t="str">
        <f t="shared" si="258"/>
        <v/>
      </c>
      <c r="CL292" s="3437" t="str">
        <f t="shared" si="259"/>
        <v/>
      </c>
      <c r="CM292" s="1771" t="str">
        <f t="shared" si="259"/>
        <v/>
      </c>
      <c r="CN292" s="1771" t="str">
        <f t="shared" si="259"/>
        <v/>
      </c>
      <c r="CO292" s="3442" t="str">
        <f t="shared" si="259"/>
        <v/>
      </c>
      <c r="CP292" s="1771" t="str">
        <f t="shared" si="259"/>
        <v/>
      </c>
      <c r="CQ292" s="3442" t="str">
        <f t="shared" si="259"/>
        <v/>
      </c>
      <c r="CR292" s="3462"/>
    </row>
    <row r="293" spans="1:96" s="3" customFormat="1">
      <c r="A293" s="1848" t="s">
        <v>909</v>
      </c>
      <c r="B293" s="816">
        <v>10</v>
      </c>
      <c r="C293" s="816">
        <v>9.98</v>
      </c>
      <c r="D293" s="816">
        <v>0.01</v>
      </c>
      <c r="E293" s="1802" t="s">
        <v>35</v>
      </c>
      <c r="F293" s="816">
        <v>0.13</v>
      </c>
      <c r="G293" s="816" t="s">
        <v>784</v>
      </c>
      <c r="H293" s="816">
        <v>1988</v>
      </c>
      <c r="I293" s="50"/>
      <c r="J293" s="816">
        <f t="shared" si="243"/>
        <v>9.98</v>
      </c>
      <c r="K293" s="816">
        <v>0.01</v>
      </c>
      <c r="L293" s="816" t="s">
        <v>35</v>
      </c>
      <c r="M293" s="816">
        <v>0.13</v>
      </c>
      <c r="N293" s="845">
        <f t="shared" si="245"/>
        <v>3.6055512754639897E-2</v>
      </c>
      <c r="O293" s="1831">
        <f t="shared" si="246"/>
        <v>7.0000000000000007E-2</v>
      </c>
      <c r="P293" s="825" t="s">
        <v>1088</v>
      </c>
      <c r="Q293" s="3" t="str">
        <f>IF(J293=J319,"stop","")</f>
        <v/>
      </c>
      <c r="R293" s="3437" t="str">
        <f t="shared" si="244"/>
        <v/>
      </c>
      <c r="S293" s="1771" t="str">
        <f t="shared" si="244"/>
        <v/>
      </c>
      <c r="T293" s="1771" t="str">
        <f t="shared" si="244"/>
        <v/>
      </c>
      <c r="U293" s="1771" t="str">
        <f t="shared" si="244"/>
        <v/>
      </c>
      <c r="V293" s="3443">
        <f t="shared" si="244"/>
        <v>0.01</v>
      </c>
      <c r="W293" s="1771" t="str">
        <f t="shared" si="244"/>
        <v/>
      </c>
      <c r="X293" s="1771" t="str">
        <f t="shared" si="244"/>
        <v/>
      </c>
      <c r="Y293" s="1771" t="str">
        <f t="shared" si="244"/>
        <v/>
      </c>
      <c r="Z293" s="3437" t="str">
        <f t="shared" si="244"/>
        <v/>
      </c>
      <c r="AA293" s="1771" t="str">
        <f t="shared" si="244"/>
        <v/>
      </c>
      <c r="AB293" s="1771" t="str">
        <f t="shared" si="244"/>
        <v/>
      </c>
      <c r="AC293" s="3442" t="str">
        <f t="shared" si="244"/>
        <v/>
      </c>
      <c r="AD293" s="1771" t="str">
        <f t="shared" si="244"/>
        <v/>
      </c>
      <c r="AE293" s="1771" t="str">
        <f t="shared" si="244"/>
        <v/>
      </c>
      <c r="AF293" s="1771" t="str">
        <f t="shared" si="244"/>
        <v/>
      </c>
      <c r="AG293" s="3442" t="str">
        <f t="shared" si="244"/>
        <v/>
      </c>
      <c r="AH293" s="1771" t="str">
        <f t="shared" si="253"/>
        <v/>
      </c>
      <c r="AI293" s="3442" t="str">
        <f t="shared" si="253"/>
        <v/>
      </c>
      <c r="AJ293" s="3462"/>
      <c r="AK293" s="3439" t="str">
        <f>IF(J293=J319,"stop","")</f>
        <v/>
      </c>
      <c r="AL293" s="3437" t="str">
        <f t="shared" si="254"/>
        <v/>
      </c>
      <c r="AM293" s="1771" t="str">
        <f t="shared" si="254"/>
        <v/>
      </c>
      <c r="AN293" s="1771" t="str">
        <f t="shared" si="254"/>
        <v/>
      </c>
      <c r="AO293" s="1771" t="str">
        <f t="shared" si="254"/>
        <v/>
      </c>
      <c r="AP293" s="3443">
        <f t="shared" si="254"/>
        <v>0.13</v>
      </c>
      <c r="AQ293" s="1771" t="str">
        <f t="shared" si="254"/>
        <v/>
      </c>
      <c r="AR293" s="1771" t="str">
        <f t="shared" si="254"/>
        <v/>
      </c>
      <c r="AS293" s="3442" t="str">
        <f t="shared" si="254"/>
        <v/>
      </c>
      <c r="AT293" s="1771" t="str">
        <f t="shared" si="254"/>
        <v/>
      </c>
      <c r="AU293" s="1771" t="str">
        <f t="shared" si="254"/>
        <v/>
      </c>
      <c r="AV293" s="1771" t="str">
        <f t="shared" si="254"/>
        <v/>
      </c>
      <c r="AW293" s="3442" t="str">
        <f t="shared" si="254"/>
        <v/>
      </c>
      <c r="AX293" s="1771" t="str">
        <f t="shared" si="255"/>
        <v/>
      </c>
      <c r="AY293" s="1771" t="str">
        <f t="shared" si="255"/>
        <v/>
      </c>
      <c r="AZ293" s="1771" t="str">
        <f t="shared" si="255"/>
        <v/>
      </c>
      <c r="BA293" s="1771" t="str">
        <f t="shared" si="255"/>
        <v/>
      </c>
      <c r="BB293" s="3437" t="str">
        <f t="shared" si="255"/>
        <v/>
      </c>
      <c r="BC293" s="3443" t="str">
        <f t="shared" si="255"/>
        <v/>
      </c>
      <c r="BD293" s="3462"/>
      <c r="BE293" s="3440" t="str">
        <f>IF(J293=J319,"stop","")</f>
        <v/>
      </c>
      <c r="BF293" s="1771" t="str">
        <f t="shared" si="256"/>
        <v/>
      </c>
      <c r="BG293" s="1771" t="str">
        <f t="shared" si="256"/>
        <v/>
      </c>
      <c r="BH293" s="1771" t="str">
        <f t="shared" si="256"/>
        <v/>
      </c>
      <c r="BI293" s="1771" t="str">
        <f t="shared" si="256"/>
        <v/>
      </c>
      <c r="BJ293" s="3443">
        <f t="shared" si="256"/>
        <v>3.6055512754639897E-2</v>
      </c>
      <c r="BK293" s="3437" t="str">
        <f t="shared" si="256"/>
        <v/>
      </c>
      <c r="BL293" s="1771" t="str">
        <f t="shared" si="256"/>
        <v/>
      </c>
      <c r="BM293" s="3442" t="str">
        <f t="shared" si="256"/>
        <v/>
      </c>
      <c r="BN293" s="1771" t="str">
        <f t="shared" si="256"/>
        <v/>
      </c>
      <c r="BO293" s="1771" t="str">
        <f t="shared" si="256"/>
        <v/>
      </c>
      <c r="BP293" s="1771" t="str">
        <f t="shared" si="256"/>
        <v/>
      </c>
      <c r="BQ293" s="1771" t="str">
        <f t="shared" si="256"/>
        <v/>
      </c>
      <c r="BR293" s="3437" t="str">
        <f t="shared" si="257"/>
        <v/>
      </c>
      <c r="BS293" s="1771" t="str">
        <f t="shared" si="257"/>
        <v/>
      </c>
      <c r="BT293" s="1771" t="str">
        <f t="shared" si="257"/>
        <v/>
      </c>
      <c r="BU293" s="3442" t="str">
        <f t="shared" si="257"/>
        <v/>
      </c>
      <c r="BV293" s="1771" t="str">
        <f t="shared" si="257"/>
        <v/>
      </c>
      <c r="BW293" s="3442" t="str">
        <f t="shared" si="257"/>
        <v/>
      </c>
      <c r="BX293" s="3462"/>
      <c r="BY293" s="3439" t="str">
        <f>IF(L293=L319,"stop","")</f>
        <v/>
      </c>
      <c r="BZ293" s="3437" t="str">
        <f t="shared" si="258"/>
        <v/>
      </c>
      <c r="CA293" s="1771" t="str">
        <f t="shared" si="258"/>
        <v/>
      </c>
      <c r="CB293" s="1771" t="str">
        <f t="shared" si="258"/>
        <v/>
      </c>
      <c r="CC293" s="3442" t="str">
        <f t="shared" si="258"/>
        <v/>
      </c>
      <c r="CD293" s="1771">
        <f t="shared" si="258"/>
        <v>7.0000000000000007E-2</v>
      </c>
      <c r="CE293" s="3437" t="str">
        <f t="shared" si="258"/>
        <v/>
      </c>
      <c r="CF293" s="1771" t="str">
        <f t="shared" si="258"/>
        <v/>
      </c>
      <c r="CG293" s="1771" t="str">
        <f t="shared" si="258"/>
        <v/>
      </c>
      <c r="CH293" s="3437" t="str">
        <f t="shared" si="258"/>
        <v/>
      </c>
      <c r="CI293" s="1771" t="str">
        <f t="shared" si="258"/>
        <v/>
      </c>
      <c r="CJ293" s="1771" t="str">
        <f t="shared" si="258"/>
        <v/>
      </c>
      <c r="CK293" s="3442" t="str">
        <f t="shared" si="258"/>
        <v/>
      </c>
      <c r="CL293" s="3437" t="str">
        <f t="shared" si="259"/>
        <v/>
      </c>
      <c r="CM293" s="1771" t="str">
        <f t="shared" si="259"/>
        <v/>
      </c>
      <c r="CN293" s="1771" t="str">
        <f t="shared" si="259"/>
        <v/>
      </c>
      <c r="CO293" s="3442" t="str">
        <f t="shared" si="259"/>
        <v/>
      </c>
      <c r="CP293" s="1771" t="str">
        <f t="shared" si="259"/>
        <v/>
      </c>
      <c r="CQ293" s="3442" t="str">
        <f t="shared" si="259"/>
        <v/>
      </c>
      <c r="CR293" s="3462"/>
    </row>
    <row r="294" spans="1:96" s="3" customFormat="1">
      <c r="A294" s="1848" t="s">
        <v>910</v>
      </c>
      <c r="B294" s="816">
        <v>10</v>
      </c>
      <c r="C294" s="816">
        <v>9.84</v>
      </c>
      <c r="D294" s="816">
        <v>0.12</v>
      </c>
      <c r="E294" s="1802" t="s">
        <v>784</v>
      </c>
      <c r="F294" s="816">
        <v>0.12</v>
      </c>
      <c r="G294" s="816" t="s">
        <v>784</v>
      </c>
      <c r="H294" s="816">
        <v>1988</v>
      </c>
      <c r="I294" s="50"/>
      <c r="J294" s="816">
        <f t="shared" si="243"/>
        <v>9.84</v>
      </c>
      <c r="K294" s="816">
        <v>0.12</v>
      </c>
      <c r="L294" s="816" t="s">
        <v>784</v>
      </c>
      <c r="M294" s="816">
        <v>0.12</v>
      </c>
      <c r="N294" s="845">
        <f t="shared" si="245"/>
        <v>0.12</v>
      </c>
      <c r="O294" s="1831">
        <f t="shared" si="246"/>
        <v>0.12</v>
      </c>
      <c r="P294" s="825" t="s">
        <v>1088</v>
      </c>
      <c r="Q294" s="3" t="str">
        <f>IF(J294=J319,"stop","")</f>
        <v/>
      </c>
      <c r="R294" s="3437" t="str">
        <f t="shared" si="244"/>
        <v/>
      </c>
      <c r="S294" s="1771" t="str">
        <f t="shared" si="244"/>
        <v/>
      </c>
      <c r="T294" s="1771" t="str">
        <f t="shared" si="244"/>
        <v/>
      </c>
      <c r="U294" s="1771" t="str">
        <f t="shared" si="244"/>
        <v/>
      </c>
      <c r="V294" s="3443">
        <f t="shared" si="244"/>
        <v>0.12</v>
      </c>
      <c r="W294" s="1771" t="str">
        <f t="shared" si="244"/>
        <v/>
      </c>
      <c r="X294" s="1771" t="str">
        <f t="shared" si="244"/>
        <v/>
      </c>
      <c r="Y294" s="1771" t="str">
        <f t="shared" si="244"/>
        <v/>
      </c>
      <c r="Z294" s="3437" t="str">
        <f t="shared" si="244"/>
        <v/>
      </c>
      <c r="AA294" s="1771" t="str">
        <f t="shared" si="244"/>
        <v/>
      </c>
      <c r="AB294" s="1771" t="str">
        <f t="shared" si="244"/>
        <v/>
      </c>
      <c r="AC294" s="3442" t="str">
        <f t="shared" si="244"/>
        <v/>
      </c>
      <c r="AD294" s="1771" t="str">
        <f t="shared" si="244"/>
        <v/>
      </c>
      <c r="AE294" s="1771" t="str">
        <f t="shared" si="244"/>
        <v/>
      </c>
      <c r="AF294" s="1771" t="str">
        <f t="shared" si="244"/>
        <v/>
      </c>
      <c r="AG294" s="3442" t="str">
        <f t="shared" ref="AG294:AG311" si="260">IF(AND($J294&gt;AG$4,$J294&lt;=AG$5,$P294=AG$6),$K294,"")</f>
        <v/>
      </c>
      <c r="AH294" s="1771" t="str">
        <f t="shared" si="253"/>
        <v/>
      </c>
      <c r="AI294" s="3442" t="str">
        <f t="shared" si="253"/>
        <v/>
      </c>
      <c r="AJ294" s="3462"/>
      <c r="AK294" s="3439" t="str">
        <f>IF(J294=J319,"stop","")</f>
        <v/>
      </c>
      <c r="AL294" s="3437" t="str">
        <f t="shared" si="254"/>
        <v/>
      </c>
      <c r="AM294" s="1771" t="str">
        <f t="shared" si="254"/>
        <v/>
      </c>
      <c r="AN294" s="1771" t="str">
        <f t="shared" si="254"/>
        <v/>
      </c>
      <c r="AO294" s="1771" t="str">
        <f t="shared" si="254"/>
        <v/>
      </c>
      <c r="AP294" s="3443">
        <f t="shared" si="254"/>
        <v>0.12</v>
      </c>
      <c r="AQ294" s="1771" t="str">
        <f t="shared" si="254"/>
        <v/>
      </c>
      <c r="AR294" s="1771" t="str">
        <f t="shared" si="254"/>
        <v/>
      </c>
      <c r="AS294" s="3442" t="str">
        <f t="shared" si="254"/>
        <v/>
      </c>
      <c r="AT294" s="1771" t="str">
        <f t="shared" si="254"/>
        <v/>
      </c>
      <c r="AU294" s="1771" t="str">
        <f t="shared" si="254"/>
        <v/>
      </c>
      <c r="AV294" s="1771" t="str">
        <f t="shared" si="254"/>
        <v/>
      </c>
      <c r="AW294" s="3442" t="str">
        <f t="shared" si="254"/>
        <v/>
      </c>
      <c r="AX294" s="1771" t="str">
        <f t="shared" si="255"/>
        <v/>
      </c>
      <c r="AY294" s="1771" t="str">
        <f t="shared" si="255"/>
        <v/>
      </c>
      <c r="AZ294" s="1771" t="str">
        <f t="shared" si="255"/>
        <v/>
      </c>
      <c r="BA294" s="1771" t="str">
        <f t="shared" si="255"/>
        <v/>
      </c>
      <c r="BB294" s="3437" t="str">
        <f t="shared" si="255"/>
        <v/>
      </c>
      <c r="BC294" s="3443" t="str">
        <f t="shared" si="255"/>
        <v/>
      </c>
      <c r="BD294" s="3462"/>
      <c r="BE294" s="3440" t="str">
        <f>IF(J294=J319,"stop","")</f>
        <v/>
      </c>
      <c r="BF294" s="1771" t="str">
        <f t="shared" si="256"/>
        <v/>
      </c>
      <c r="BG294" s="1771" t="str">
        <f t="shared" si="256"/>
        <v/>
      </c>
      <c r="BH294" s="1771" t="str">
        <f t="shared" si="256"/>
        <v/>
      </c>
      <c r="BI294" s="1771" t="str">
        <f t="shared" si="256"/>
        <v/>
      </c>
      <c r="BJ294" s="3443">
        <f t="shared" si="256"/>
        <v>0.12</v>
      </c>
      <c r="BK294" s="3437" t="str">
        <f t="shared" si="256"/>
        <v/>
      </c>
      <c r="BL294" s="1771" t="str">
        <f t="shared" si="256"/>
        <v/>
      </c>
      <c r="BM294" s="3442" t="str">
        <f t="shared" si="256"/>
        <v/>
      </c>
      <c r="BN294" s="1771" t="str">
        <f t="shared" si="256"/>
        <v/>
      </c>
      <c r="BO294" s="1771" t="str">
        <f t="shared" si="256"/>
        <v/>
      </c>
      <c r="BP294" s="1771" t="str">
        <f t="shared" si="256"/>
        <v/>
      </c>
      <c r="BQ294" s="1771" t="str">
        <f t="shared" si="256"/>
        <v/>
      </c>
      <c r="BR294" s="3437" t="str">
        <f t="shared" si="257"/>
        <v/>
      </c>
      <c r="BS294" s="1771" t="str">
        <f t="shared" si="257"/>
        <v/>
      </c>
      <c r="BT294" s="1771" t="str">
        <f t="shared" si="257"/>
        <v/>
      </c>
      <c r="BU294" s="3442" t="str">
        <f t="shared" si="257"/>
        <v/>
      </c>
      <c r="BV294" s="1771" t="str">
        <f t="shared" si="257"/>
        <v/>
      </c>
      <c r="BW294" s="3442" t="str">
        <f t="shared" si="257"/>
        <v/>
      </c>
      <c r="BX294" s="3462"/>
      <c r="BY294" s="3439" t="str">
        <f>IF(L294=L319,"stop","")</f>
        <v/>
      </c>
      <c r="BZ294" s="3437" t="str">
        <f t="shared" si="258"/>
        <v/>
      </c>
      <c r="CA294" s="1771" t="str">
        <f t="shared" si="258"/>
        <v/>
      </c>
      <c r="CB294" s="1771" t="str">
        <f t="shared" si="258"/>
        <v/>
      </c>
      <c r="CC294" s="3442" t="str">
        <f t="shared" si="258"/>
        <v/>
      </c>
      <c r="CD294" s="1771">
        <f t="shared" si="258"/>
        <v>0.12</v>
      </c>
      <c r="CE294" s="3437" t="str">
        <f t="shared" si="258"/>
        <v/>
      </c>
      <c r="CF294" s="1771" t="str">
        <f t="shared" si="258"/>
        <v/>
      </c>
      <c r="CG294" s="1771" t="str">
        <f t="shared" si="258"/>
        <v/>
      </c>
      <c r="CH294" s="3437" t="str">
        <f t="shared" si="258"/>
        <v/>
      </c>
      <c r="CI294" s="1771" t="str">
        <f t="shared" si="258"/>
        <v/>
      </c>
      <c r="CJ294" s="1771" t="str">
        <f t="shared" si="258"/>
        <v/>
      </c>
      <c r="CK294" s="3442" t="str">
        <f t="shared" si="258"/>
        <v/>
      </c>
      <c r="CL294" s="3437" t="str">
        <f t="shared" si="259"/>
        <v/>
      </c>
      <c r="CM294" s="1771" t="str">
        <f t="shared" si="259"/>
        <v/>
      </c>
      <c r="CN294" s="1771" t="str">
        <f t="shared" si="259"/>
        <v/>
      </c>
      <c r="CO294" s="3442" t="str">
        <f t="shared" si="259"/>
        <v/>
      </c>
      <c r="CP294" s="1771" t="str">
        <f t="shared" si="259"/>
        <v/>
      </c>
      <c r="CQ294" s="3442" t="str">
        <f t="shared" si="259"/>
        <v/>
      </c>
      <c r="CR294" s="3462"/>
    </row>
    <row r="295" spans="1:96" s="3" customFormat="1">
      <c r="A295" s="1848" t="s">
        <v>911</v>
      </c>
      <c r="B295" s="816">
        <v>11</v>
      </c>
      <c r="C295" s="816">
        <v>11.49</v>
      </c>
      <c r="D295" s="816">
        <v>0.01</v>
      </c>
      <c r="E295" s="1802" t="s">
        <v>35</v>
      </c>
      <c r="F295" s="816">
        <v>0.14000000000000001</v>
      </c>
      <c r="G295" s="816" t="s">
        <v>784</v>
      </c>
      <c r="H295" s="816">
        <v>1988</v>
      </c>
      <c r="I295" s="50"/>
      <c r="J295" s="816">
        <f t="shared" si="243"/>
        <v>11.49</v>
      </c>
      <c r="K295" s="816">
        <v>0.01</v>
      </c>
      <c r="L295" s="816" t="s">
        <v>35</v>
      </c>
      <c r="M295" s="816">
        <v>0.14000000000000001</v>
      </c>
      <c r="N295" s="845">
        <f t="shared" si="245"/>
        <v>3.7416573867739417E-2</v>
      </c>
      <c r="O295" s="1831">
        <f t="shared" si="246"/>
        <v>7.5000000000000011E-2</v>
      </c>
      <c r="P295" s="825" t="s">
        <v>1088</v>
      </c>
      <c r="Q295" s="3" t="str">
        <f>IF(J295=J319,"stop","")</f>
        <v/>
      </c>
      <c r="R295" s="3437" t="str">
        <f t="shared" ref="R295:AF310" si="261">IF(AND($J295&gt;R$4,$J295&lt;=R$5,$P295=R$6),$K295,"")</f>
        <v/>
      </c>
      <c r="S295" s="1771" t="str">
        <f t="shared" si="261"/>
        <v/>
      </c>
      <c r="T295" s="1771" t="str">
        <f t="shared" si="261"/>
        <v/>
      </c>
      <c r="U295" s="1771" t="str">
        <f t="shared" si="261"/>
        <v/>
      </c>
      <c r="V295" s="3443" t="str">
        <f t="shared" si="261"/>
        <v/>
      </c>
      <c r="W295" s="1771" t="str">
        <f t="shared" si="261"/>
        <v/>
      </c>
      <c r="X295" s="1771" t="str">
        <f t="shared" si="261"/>
        <v/>
      </c>
      <c r="Y295" s="1771" t="str">
        <f t="shared" si="261"/>
        <v/>
      </c>
      <c r="Z295" s="3437">
        <f t="shared" si="261"/>
        <v>0.01</v>
      </c>
      <c r="AA295" s="1771" t="str">
        <f t="shared" si="261"/>
        <v/>
      </c>
      <c r="AB295" s="1771" t="str">
        <f t="shared" si="261"/>
        <v/>
      </c>
      <c r="AC295" s="3442" t="str">
        <f t="shared" si="261"/>
        <v/>
      </c>
      <c r="AD295" s="1771" t="str">
        <f t="shared" si="261"/>
        <v/>
      </c>
      <c r="AE295" s="1771" t="str">
        <f t="shared" si="261"/>
        <v/>
      </c>
      <c r="AF295" s="1771" t="str">
        <f t="shared" si="261"/>
        <v/>
      </c>
      <c r="AG295" s="3442" t="str">
        <f t="shared" si="260"/>
        <v/>
      </c>
      <c r="AH295" s="1771" t="str">
        <f t="shared" si="253"/>
        <v/>
      </c>
      <c r="AI295" s="3442" t="str">
        <f t="shared" si="253"/>
        <v/>
      </c>
      <c r="AJ295" s="3462"/>
      <c r="AK295" s="3439" t="str">
        <f>IF(J295=J319,"stop","")</f>
        <v/>
      </c>
      <c r="AL295" s="3437" t="str">
        <f t="shared" si="254"/>
        <v/>
      </c>
      <c r="AM295" s="1771" t="str">
        <f t="shared" si="254"/>
        <v/>
      </c>
      <c r="AN295" s="1771" t="str">
        <f t="shared" si="254"/>
        <v/>
      </c>
      <c r="AO295" s="1771" t="str">
        <f t="shared" si="254"/>
        <v/>
      </c>
      <c r="AP295" s="3443" t="str">
        <f t="shared" si="254"/>
        <v/>
      </c>
      <c r="AQ295" s="1771" t="str">
        <f t="shared" si="254"/>
        <v/>
      </c>
      <c r="AR295" s="1771" t="str">
        <f t="shared" si="254"/>
        <v/>
      </c>
      <c r="AS295" s="3442" t="str">
        <f t="shared" si="254"/>
        <v/>
      </c>
      <c r="AT295" s="1771">
        <f t="shared" si="254"/>
        <v>0.14000000000000001</v>
      </c>
      <c r="AU295" s="1771" t="str">
        <f t="shared" si="254"/>
        <v/>
      </c>
      <c r="AV295" s="1771" t="str">
        <f t="shared" si="254"/>
        <v/>
      </c>
      <c r="AW295" s="3442" t="str">
        <f t="shared" si="254"/>
        <v/>
      </c>
      <c r="AX295" s="1771" t="str">
        <f t="shared" si="255"/>
        <v/>
      </c>
      <c r="AY295" s="1771" t="str">
        <f t="shared" si="255"/>
        <v/>
      </c>
      <c r="AZ295" s="1771" t="str">
        <f t="shared" si="255"/>
        <v/>
      </c>
      <c r="BA295" s="1771" t="str">
        <f t="shared" si="255"/>
        <v/>
      </c>
      <c r="BB295" s="3437" t="str">
        <f t="shared" si="255"/>
        <v/>
      </c>
      <c r="BC295" s="3443" t="str">
        <f t="shared" si="255"/>
        <v/>
      </c>
      <c r="BD295" s="3462"/>
      <c r="BE295" s="3440" t="str">
        <f>IF(J295=J319,"stop","")</f>
        <v/>
      </c>
      <c r="BF295" s="1771" t="str">
        <f t="shared" si="256"/>
        <v/>
      </c>
      <c r="BG295" s="1771" t="str">
        <f t="shared" si="256"/>
        <v/>
      </c>
      <c r="BH295" s="1771" t="str">
        <f t="shared" si="256"/>
        <v/>
      </c>
      <c r="BI295" s="1771" t="str">
        <f t="shared" si="256"/>
        <v/>
      </c>
      <c r="BJ295" s="3443" t="str">
        <f t="shared" si="256"/>
        <v/>
      </c>
      <c r="BK295" s="3437" t="str">
        <f t="shared" si="256"/>
        <v/>
      </c>
      <c r="BL295" s="1771" t="str">
        <f t="shared" si="256"/>
        <v/>
      </c>
      <c r="BM295" s="3442" t="str">
        <f t="shared" si="256"/>
        <v/>
      </c>
      <c r="BN295" s="1771">
        <f t="shared" si="256"/>
        <v>3.7416573867739417E-2</v>
      </c>
      <c r="BO295" s="1771" t="str">
        <f t="shared" si="256"/>
        <v/>
      </c>
      <c r="BP295" s="1771" t="str">
        <f t="shared" si="256"/>
        <v/>
      </c>
      <c r="BQ295" s="1771" t="str">
        <f t="shared" si="256"/>
        <v/>
      </c>
      <c r="BR295" s="3437" t="str">
        <f t="shared" si="257"/>
        <v/>
      </c>
      <c r="BS295" s="1771" t="str">
        <f t="shared" si="257"/>
        <v/>
      </c>
      <c r="BT295" s="1771" t="str">
        <f t="shared" si="257"/>
        <v/>
      </c>
      <c r="BU295" s="3442" t="str">
        <f t="shared" si="257"/>
        <v/>
      </c>
      <c r="BV295" s="1771" t="str">
        <f t="shared" si="257"/>
        <v/>
      </c>
      <c r="BW295" s="3442" t="str">
        <f t="shared" si="257"/>
        <v/>
      </c>
      <c r="BX295" s="3462"/>
      <c r="BY295" s="3439" t="str">
        <f>IF(L295=L319,"stop","")</f>
        <v/>
      </c>
      <c r="BZ295" s="3437" t="str">
        <f t="shared" si="258"/>
        <v/>
      </c>
      <c r="CA295" s="1771" t="str">
        <f t="shared" si="258"/>
        <v/>
      </c>
      <c r="CB295" s="1771" t="str">
        <f t="shared" si="258"/>
        <v/>
      </c>
      <c r="CC295" s="3442" t="str">
        <f t="shared" si="258"/>
        <v/>
      </c>
      <c r="CD295" s="1771" t="str">
        <f t="shared" si="258"/>
        <v/>
      </c>
      <c r="CE295" s="3437" t="str">
        <f t="shared" si="258"/>
        <v/>
      </c>
      <c r="CF295" s="1771" t="str">
        <f t="shared" si="258"/>
        <v/>
      </c>
      <c r="CG295" s="1771" t="str">
        <f t="shared" si="258"/>
        <v/>
      </c>
      <c r="CH295" s="3437">
        <f t="shared" si="258"/>
        <v>7.5000000000000011E-2</v>
      </c>
      <c r="CI295" s="1771" t="str">
        <f t="shared" si="258"/>
        <v/>
      </c>
      <c r="CJ295" s="1771" t="str">
        <f t="shared" si="258"/>
        <v/>
      </c>
      <c r="CK295" s="3442" t="str">
        <f t="shared" si="258"/>
        <v/>
      </c>
      <c r="CL295" s="3437" t="str">
        <f t="shared" si="259"/>
        <v/>
      </c>
      <c r="CM295" s="1771" t="str">
        <f t="shared" si="259"/>
        <v/>
      </c>
      <c r="CN295" s="1771" t="str">
        <f t="shared" si="259"/>
        <v/>
      </c>
      <c r="CO295" s="3442" t="str">
        <f t="shared" si="259"/>
        <v/>
      </c>
      <c r="CP295" s="1771" t="str">
        <f t="shared" si="259"/>
        <v/>
      </c>
      <c r="CQ295" s="3442" t="str">
        <f t="shared" si="259"/>
        <v/>
      </c>
      <c r="CR295" s="3462"/>
    </row>
    <row r="296" spans="1:96" s="3" customFormat="1">
      <c r="A296" s="1845" t="s">
        <v>912</v>
      </c>
      <c r="B296" s="817">
        <v>11</v>
      </c>
      <c r="C296" s="817"/>
      <c r="D296" s="817">
        <v>7.0000000000000007E-2</v>
      </c>
      <c r="E296" s="1802" t="s">
        <v>35</v>
      </c>
      <c r="F296" s="817">
        <v>0.17</v>
      </c>
      <c r="G296" s="817" t="s">
        <v>784</v>
      </c>
      <c r="H296" s="817">
        <v>1988</v>
      </c>
      <c r="I296" s="50"/>
      <c r="J296" s="818">
        <f t="shared" si="243"/>
        <v>11.5</v>
      </c>
      <c r="K296" s="817">
        <v>7.0000000000000007E-2</v>
      </c>
      <c r="L296" s="817" t="s">
        <v>35</v>
      </c>
      <c r="M296" s="817">
        <v>0.17</v>
      </c>
      <c r="N296" s="845">
        <f t="shared" si="245"/>
        <v>0.10908712114635716</v>
      </c>
      <c r="O296" s="1831">
        <f t="shared" si="246"/>
        <v>0.12000000000000001</v>
      </c>
      <c r="P296" s="825" t="s">
        <v>1088</v>
      </c>
      <c r="Q296" s="3" t="str">
        <f>IF(J296=J319,"stop","")</f>
        <v/>
      </c>
      <c r="R296" s="3437" t="str">
        <f t="shared" si="261"/>
        <v/>
      </c>
      <c r="S296" s="1771" t="str">
        <f t="shared" si="261"/>
        <v/>
      </c>
      <c r="T296" s="1771" t="str">
        <f t="shared" si="261"/>
        <v/>
      </c>
      <c r="U296" s="1771" t="str">
        <f t="shared" si="261"/>
        <v/>
      </c>
      <c r="V296" s="3443" t="str">
        <f t="shared" si="261"/>
        <v/>
      </c>
      <c r="W296" s="1771" t="str">
        <f t="shared" si="261"/>
        <v/>
      </c>
      <c r="X296" s="1771" t="str">
        <f t="shared" si="261"/>
        <v/>
      </c>
      <c r="Y296" s="1771" t="str">
        <f t="shared" si="261"/>
        <v/>
      </c>
      <c r="Z296" s="3437">
        <f t="shared" si="261"/>
        <v>7.0000000000000007E-2</v>
      </c>
      <c r="AA296" s="1771" t="str">
        <f t="shared" si="261"/>
        <v/>
      </c>
      <c r="AB296" s="1771" t="str">
        <f t="shared" si="261"/>
        <v/>
      </c>
      <c r="AC296" s="3442" t="str">
        <f t="shared" si="261"/>
        <v/>
      </c>
      <c r="AD296" s="1771" t="str">
        <f t="shared" si="261"/>
        <v/>
      </c>
      <c r="AE296" s="1771" t="str">
        <f t="shared" si="261"/>
        <v/>
      </c>
      <c r="AF296" s="1771" t="str">
        <f t="shared" si="261"/>
        <v/>
      </c>
      <c r="AG296" s="3442" t="str">
        <f t="shared" si="260"/>
        <v/>
      </c>
      <c r="AH296" s="1771" t="str">
        <f t="shared" si="253"/>
        <v/>
      </c>
      <c r="AI296" s="3442" t="str">
        <f t="shared" si="253"/>
        <v/>
      </c>
      <c r="AJ296" s="3462"/>
      <c r="AK296" s="3439" t="str">
        <f>IF(J296=J319,"stop","")</f>
        <v/>
      </c>
      <c r="AL296" s="3437" t="str">
        <f t="shared" si="254"/>
        <v/>
      </c>
      <c r="AM296" s="1771" t="str">
        <f t="shared" si="254"/>
        <v/>
      </c>
      <c r="AN296" s="1771" t="str">
        <f t="shared" si="254"/>
        <v/>
      </c>
      <c r="AO296" s="1771" t="str">
        <f t="shared" si="254"/>
        <v/>
      </c>
      <c r="AP296" s="3443" t="str">
        <f t="shared" si="254"/>
        <v/>
      </c>
      <c r="AQ296" s="1771" t="str">
        <f t="shared" si="254"/>
        <v/>
      </c>
      <c r="AR296" s="1771" t="str">
        <f t="shared" si="254"/>
        <v/>
      </c>
      <c r="AS296" s="3442" t="str">
        <f t="shared" si="254"/>
        <v/>
      </c>
      <c r="AT296" s="1771">
        <f t="shared" si="254"/>
        <v>0.17</v>
      </c>
      <c r="AU296" s="1771" t="str">
        <f t="shared" si="254"/>
        <v/>
      </c>
      <c r="AV296" s="1771" t="str">
        <f t="shared" si="254"/>
        <v/>
      </c>
      <c r="AW296" s="3442" t="str">
        <f t="shared" si="254"/>
        <v/>
      </c>
      <c r="AX296" s="1771" t="str">
        <f t="shared" si="255"/>
        <v/>
      </c>
      <c r="AY296" s="1771" t="str">
        <f t="shared" si="255"/>
        <v/>
      </c>
      <c r="AZ296" s="1771" t="str">
        <f t="shared" si="255"/>
        <v/>
      </c>
      <c r="BA296" s="1771" t="str">
        <f t="shared" si="255"/>
        <v/>
      </c>
      <c r="BB296" s="3437" t="str">
        <f t="shared" si="255"/>
        <v/>
      </c>
      <c r="BC296" s="3443" t="str">
        <f t="shared" si="255"/>
        <v/>
      </c>
      <c r="BD296" s="3462"/>
      <c r="BE296" s="3440" t="str">
        <f>IF(J296=J319,"stop","")</f>
        <v/>
      </c>
      <c r="BF296" s="1771" t="str">
        <f t="shared" si="256"/>
        <v/>
      </c>
      <c r="BG296" s="1771" t="str">
        <f t="shared" si="256"/>
        <v/>
      </c>
      <c r="BH296" s="1771" t="str">
        <f t="shared" si="256"/>
        <v/>
      </c>
      <c r="BI296" s="1771" t="str">
        <f t="shared" si="256"/>
        <v/>
      </c>
      <c r="BJ296" s="3443" t="str">
        <f t="shared" si="256"/>
        <v/>
      </c>
      <c r="BK296" s="3437" t="str">
        <f t="shared" si="256"/>
        <v/>
      </c>
      <c r="BL296" s="1771" t="str">
        <f t="shared" si="256"/>
        <v/>
      </c>
      <c r="BM296" s="3442" t="str">
        <f t="shared" si="256"/>
        <v/>
      </c>
      <c r="BN296" s="1771">
        <f t="shared" si="256"/>
        <v>0.10908712114635716</v>
      </c>
      <c r="BO296" s="1771" t="str">
        <f t="shared" si="256"/>
        <v/>
      </c>
      <c r="BP296" s="1771" t="str">
        <f t="shared" si="256"/>
        <v/>
      </c>
      <c r="BQ296" s="1771" t="str">
        <f t="shared" si="256"/>
        <v/>
      </c>
      <c r="BR296" s="3437" t="str">
        <f t="shared" si="257"/>
        <v/>
      </c>
      <c r="BS296" s="1771" t="str">
        <f t="shared" si="257"/>
        <v/>
      </c>
      <c r="BT296" s="1771" t="str">
        <f t="shared" si="257"/>
        <v/>
      </c>
      <c r="BU296" s="3442" t="str">
        <f t="shared" si="257"/>
        <v/>
      </c>
      <c r="BV296" s="1771" t="str">
        <f t="shared" si="257"/>
        <v/>
      </c>
      <c r="BW296" s="3442" t="str">
        <f t="shared" si="257"/>
        <v/>
      </c>
      <c r="BX296" s="3462"/>
      <c r="BY296" s="3439" t="str">
        <f>IF(L296=L319,"stop","")</f>
        <v/>
      </c>
      <c r="BZ296" s="3437" t="str">
        <f t="shared" si="258"/>
        <v/>
      </c>
      <c r="CA296" s="1771" t="str">
        <f t="shared" si="258"/>
        <v/>
      </c>
      <c r="CB296" s="1771" t="str">
        <f t="shared" si="258"/>
        <v/>
      </c>
      <c r="CC296" s="3442" t="str">
        <f t="shared" si="258"/>
        <v/>
      </c>
      <c r="CD296" s="1771" t="str">
        <f t="shared" si="258"/>
        <v/>
      </c>
      <c r="CE296" s="3437" t="str">
        <f t="shared" si="258"/>
        <v/>
      </c>
      <c r="CF296" s="1771" t="str">
        <f t="shared" si="258"/>
        <v/>
      </c>
      <c r="CG296" s="1771" t="str">
        <f t="shared" si="258"/>
        <v/>
      </c>
      <c r="CH296" s="3437">
        <f t="shared" si="258"/>
        <v>0.12000000000000001</v>
      </c>
      <c r="CI296" s="1771" t="str">
        <f t="shared" si="258"/>
        <v/>
      </c>
      <c r="CJ296" s="1771" t="str">
        <f t="shared" si="258"/>
        <v/>
      </c>
      <c r="CK296" s="3442" t="str">
        <f t="shared" si="258"/>
        <v/>
      </c>
      <c r="CL296" s="3437" t="str">
        <f t="shared" si="259"/>
        <v/>
      </c>
      <c r="CM296" s="1771" t="str">
        <f t="shared" si="259"/>
        <v/>
      </c>
      <c r="CN296" s="1771" t="str">
        <f t="shared" si="259"/>
        <v/>
      </c>
      <c r="CO296" s="3442" t="str">
        <f t="shared" si="259"/>
        <v/>
      </c>
      <c r="CP296" s="1771" t="str">
        <f t="shared" si="259"/>
        <v/>
      </c>
      <c r="CQ296" s="3442" t="str">
        <f t="shared" si="259"/>
        <v/>
      </c>
      <c r="CR296" s="3462"/>
    </row>
    <row r="297" spans="1:96" s="3" customFormat="1">
      <c r="A297" s="1847" t="s">
        <v>913</v>
      </c>
      <c r="B297" s="815" t="s">
        <v>717</v>
      </c>
      <c r="C297" s="816"/>
      <c r="D297" s="816"/>
      <c r="E297" s="1802"/>
      <c r="F297" s="816"/>
      <c r="G297" s="816"/>
      <c r="H297" s="816"/>
      <c r="I297" s="50"/>
      <c r="J297" s="816"/>
      <c r="K297" s="816"/>
      <c r="L297" s="816"/>
      <c r="M297" s="816"/>
      <c r="N297" s="845">
        <f t="shared" si="245"/>
        <v>0</v>
      </c>
      <c r="O297" s="1831">
        <f t="shared" si="246"/>
        <v>0</v>
      </c>
      <c r="P297" s="825" t="s">
        <v>1088</v>
      </c>
      <c r="Q297" s="3" t="str">
        <f>IF(J297=J319,"stop","")</f>
        <v/>
      </c>
      <c r="R297" s="3437" t="str">
        <f t="shared" si="261"/>
        <v/>
      </c>
      <c r="S297" s="1771" t="str">
        <f t="shared" si="261"/>
        <v/>
      </c>
      <c r="T297" s="1771" t="str">
        <f t="shared" si="261"/>
        <v/>
      </c>
      <c r="U297" s="1771" t="str">
        <f t="shared" si="261"/>
        <v/>
      </c>
      <c r="V297" s="3443" t="str">
        <f t="shared" si="261"/>
        <v/>
      </c>
      <c r="W297" s="1771" t="str">
        <f t="shared" si="261"/>
        <v/>
      </c>
      <c r="X297" s="1771" t="str">
        <f t="shared" si="261"/>
        <v/>
      </c>
      <c r="Y297" s="1771" t="str">
        <f t="shared" si="261"/>
        <v/>
      </c>
      <c r="Z297" s="3437" t="str">
        <f t="shared" si="261"/>
        <v/>
      </c>
      <c r="AA297" s="1771" t="str">
        <f t="shared" si="261"/>
        <v/>
      </c>
      <c r="AB297" s="1771" t="str">
        <f t="shared" si="261"/>
        <v/>
      </c>
      <c r="AC297" s="3442" t="str">
        <f t="shared" si="261"/>
        <v/>
      </c>
      <c r="AD297" s="1771" t="str">
        <f t="shared" si="261"/>
        <v/>
      </c>
      <c r="AE297" s="1771" t="str">
        <f t="shared" si="261"/>
        <v/>
      </c>
      <c r="AF297" s="1771" t="str">
        <f t="shared" si="261"/>
        <v/>
      </c>
      <c r="AG297" s="3442" t="str">
        <f t="shared" si="260"/>
        <v/>
      </c>
      <c r="AH297" s="1771" t="str">
        <f t="shared" si="253"/>
        <v/>
      </c>
      <c r="AI297" s="3442" t="str">
        <f t="shared" si="253"/>
        <v/>
      </c>
      <c r="AJ297" s="3462"/>
      <c r="AK297" s="3439" t="str">
        <f>IF(J297=J319,"stop","")</f>
        <v/>
      </c>
      <c r="AL297" s="3437" t="str">
        <f t="shared" si="254"/>
        <v/>
      </c>
      <c r="AM297" s="1771" t="str">
        <f t="shared" si="254"/>
        <v/>
      </c>
      <c r="AN297" s="1771" t="str">
        <f t="shared" si="254"/>
        <v/>
      </c>
      <c r="AO297" s="1771" t="str">
        <f t="shared" si="254"/>
        <v/>
      </c>
      <c r="AP297" s="3443" t="str">
        <f t="shared" si="254"/>
        <v/>
      </c>
      <c r="AQ297" s="1771" t="str">
        <f t="shared" si="254"/>
        <v/>
      </c>
      <c r="AR297" s="1771" t="str">
        <f t="shared" si="254"/>
        <v/>
      </c>
      <c r="AS297" s="3442" t="str">
        <f t="shared" si="254"/>
        <v/>
      </c>
      <c r="AT297" s="1771" t="str">
        <f t="shared" si="254"/>
        <v/>
      </c>
      <c r="AU297" s="1771" t="str">
        <f t="shared" si="254"/>
        <v/>
      </c>
      <c r="AV297" s="1771" t="str">
        <f t="shared" si="254"/>
        <v/>
      </c>
      <c r="AW297" s="3442" t="str">
        <f t="shared" si="254"/>
        <v/>
      </c>
      <c r="AX297" s="1771" t="str">
        <f t="shared" si="255"/>
        <v/>
      </c>
      <c r="AY297" s="1771" t="str">
        <f t="shared" si="255"/>
        <v/>
      </c>
      <c r="AZ297" s="1771" t="str">
        <f t="shared" si="255"/>
        <v/>
      </c>
      <c r="BA297" s="1771" t="str">
        <f t="shared" si="255"/>
        <v/>
      </c>
      <c r="BB297" s="3437" t="str">
        <f t="shared" si="255"/>
        <v/>
      </c>
      <c r="BC297" s="3443" t="str">
        <f t="shared" si="255"/>
        <v/>
      </c>
      <c r="BD297" s="3462"/>
      <c r="BE297" s="3440" t="str">
        <f>IF(J297=J319,"stop","")</f>
        <v/>
      </c>
      <c r="BF297" s="1771" t="str">
        <f t="shared" si="256"/>
        <v/>
      </c>
      <c r="BG297" s="1771" t="str">
        <f t="shared" si="256"/>
        <v/>
      </c>
      <c r="BH297" s="1771" t="str">
        <f t="shared" si="256"/>
        <v/>
      </c>
      <c r="BI297" s="1771" t="str">
        <f t="shared" si="256"/>
        <v/>
      </c>
      <c r="BJ297" s="3443" t="str">
        <f t="shared" si="256"/>
        <v/>
      </c>
      <c r="BK297" s="3437" t="str">
        <f t="shared" si="256"/>
        <v/>
      </c>
      <c r="BL297" s="1771" t="str">
        <f t="shared" si="256"/>
        <v/>
      </c>
      <c r="BM297" s="3442" t="str">
        <f t="shared" si="256"/>
        <v/>
      </c>
      <c r="BN297" s="1771" t="str">
        <f t="shared" si="256"/>
        <v/>
      </c>
      <c r="BO297" s="1771" t="str">
        <f t="shared" si="256"/>
        <v/>
      </c>
      <c r="BP297" s="1771" t="str">
        <f t="shared" si="256"/>
        <v/>
      </c>
      <c r="BQ297" s="1771" t="str">
        <f t="shared" si="256"/>
        <v/>
      </c>
      <c r="BR297" s="3437" t="str">
        <f t="shared" si="257"/>
        <v/>
      </c>
      <c r="BS297" s="1771" t="str">
        <f t="shared" si="257"/>
        <v/>
      </c>
      <c r="BT297" s="1771" t="str">
        <f t="shared" si="257"/>
        <v/>
      </c>
      <c r="BU297" s="3442" t="str">
        <f t="shared" si="257"/>
        <v/>
      </c>
      <c r="BV297" s="1771" t="str">
        <f t="shared" si="257"/>
        <v/>
      </c>
      <c r="BW297" s="3442" t="str">
        <f t="shared" si="257"/>
        <v/>
      </c>
      <c r="BX297" s="3462"/>
      <c r="BY297" s="3439" t="str">
        <f>IF(L297=L319,"stop","")</f>
        <v>stop</v>
      </c>
      <c r="BZ297" s="3437" t="str">
        <f t="shared" si="258"/>
        <v/>
      </c>
      <c r="CA297" s="1771" t="str">
        <f t="shared" si="258"/>
        <v/>
      </c>
      <c r="CB297" s="1771" t="str">
        <f t="shared" si="258"/>
        <v/>
      </c>
      <c r="CC297" s="3442" t="str">
        <f t="shared" si="258"/>
        <v/>
      </c>
      <c r="CD297" s="1771" t="str">
        <f t="shared" si="258"/>
        <v/>
      </c>
      <c r="CE297" s="3437" t="str">
        <f t="shared" si="258"/>
        <v/>
      </c>
      <c r="CF297" s="1771" t="str">
        <f t="shared" si="258"/>
        <v/>
      </c>
      <c r="CG297" s="1771" t="str">
        <f t="shared" si="258"/>
        <v/>
      </c>
      <c r="CH297" s="3437" t="str">
        <f t="shared" si="258"/>
        <v/>
      </c>
      <c r="CI297" s="1771" t="str">
        <f t="shared" si="258"/>
        <v/>
      </c>
      <c r="CJ297" s="1771" t="str">
        <f t="shared" si="258"/>
        <v/>
      </c>
      <c r="CK297" s="3442" t="str">
        <f t="shared" si="258"/>
        <v/>
      </c>
      <c r="CL297" s="3437" t="str">
        <f t="shared" si="259"/>
        <v/>
      </c>
      <c r="CM297" s="1771" t="str">
        <f t="shared" si="259"/>
        <v/>
      </c>
      <c r="CN297" s="1771" t="str">
        <f t="shared" si="259"/>
        <v/>
      </c>
      <c r="CO297" s="3442" t="str">
        <f t="shared" si="259"/>
        <v/>
      </c>
      <c r="CP297" s="1771" t="str">
        <f t="shared" si="259"/>
        <v/>
      </c>
      <c r="CQ297" s="3442" t="str">
        <f t="shared" si="259"/>
        <v/>
      </c>
      <c r="CR297" s="3462"/>
    </row>
    <row r="298" spans="1:96" s="3" customFormat="1">
      <c r="A298" s="1848" t="s">
        <v>914</v>
      </c>
      <c r="B298" s="816">
        <v>9</v>
      </c>
      <c r="C298" s="816">
        <v>10.27</v>
      </c>
      <c r="D298" s="816">
        <v>0.25</v>
      </c>
      <c r="E298" s="1802" t="s">
        <v>35</v>
      </c>
      <c r="F298" s="816">
        <v>0.34</v>
      </c>
      <c r="G298" s="816" t="s">
        <v>784</v>
      </c>
      <c r="H298" s="816">
        <v>1988</v>
      </c>
      <c r="I298" s="50"/>
      <c r="J298" s="816">
        <f t="shared" si="243"/>
        <v>10.27</v>
      </c>
      <c r="K298" s="816">
        <v>0.25</v>
      </c>
      <c r="L298" s="816" t="s">
        <v>35</v>
      </c>
      <c r="M298" s="816">
        <v>0.34</v>
      </c>
      <c r="N298" s="845">
        <f t="shared" si="245"/>
        <v>0.29154759474226505</v>
      </c>
      <c r="O298" s="1831">
        <f t="shared" si="246"/>
        <v>0.29500000000000004</v>
      </c>
      <c r="P298" s="825" t="s">
        <v>1088</v>
      </c>
      <c r="Q298" s="3" t="str">
        <f>IF(J298=J319,"stop","")</f>
        <v/>
      </c>
      <c r="R298" s="3437" t="str">
        <f t="shared" si="261"/>
        <v/>
      </c>
      <c r="S298" s="1771" t="str">
        <f t="shared" si="261"/>
        <v/>
      </c>
      <c r="T298" s="1771" t="str">
        <f t="shared" si="261"/>
        <v/>
      </c>
      <c r="U298" s="1771" t="str">
        <f t="shared" si="261"/>
        <v/>
      </c>
      <c r="V298" s="3443" t="str">
        <f t="shared" si="261"/>
        <v/>
      </c>
      <c r="W298" s="1771" t="str">
        <f t="shared" si="261"/>
        <v/>
      </c>
      <c r="X298" s="1771" t="str">
        <f t="shared" si="261"/>
        <v/>
      </c>
      <c r="Y298" s="1771" t="str">
        <f t="shared" si="261"/>
        <v/>
      </c>
      <c r="Z298" s="3437">
        <f t="shared" si="261"/>
        <v>0.25</v>
      </c>
      <c r="AA298" s="1771" t="str">
        <f t="shared" si="261"/>
        <v/>
      </c>
      <c r="AB298" s="1771" t="str">
        <f t="shared" si="261"/>
        <v/>
      </c>
      <c r="AC298" s="3442" t="str">
        <f t="shared" si="261"/>
        <v/>
      </c>
      <c r="AD298" s="1771" t="str">
        <f t="shared" si="261"/>
        <v/>
      </c>
      <c r="AE298" s="1771" t="str">
        <f t="shared" si="261"/>
        <v/>
      </c>
      <c r="AF298" s="1771" t="str">
        <f t="shared" si="261"/>
        <v/>
      </c>
      <c r="AG298" s="3442" t="str">
        <f t="shared" si="260"/>
        <v/>
      </c>
      <c r="AH298" s="1771" t="str">
        <f t="shared" si="253"/>
        <v/>
      </c>
      <c r="AI298" s="3442" t="str">
        <f t="shared" si="253"/>
        <v/>
      </c>
      <c r="AJ298" s="3462"/>
      <c r="AK298" s="3439" t="str">
        <f>IF(J298=J319,"stop","")</f>
        <v/>
      </c>
      <c r="AL298" s="3437" t="str">
        <f t="shared" si="254"/>
        <v/>
      </c>
      <c r="AM298" s="1771" t="str">
        <f t="shared" si="254"/>
        <v/>
      </c>
      <c r="AN298" s="1771" t="str">
        <f t="shared" si="254"/>
        <v/>
      </c>
      <c r="AO298" s="1771" t="str">
        <f t="shared" si="254"/>
        <v/>
      </c>
      <c r="AP298" s="3443" t="str">
        <f t="shared" si="254"/>
        <v/>
      </c>
      <c r="AQ298" s="1771" t="str">
        <f t="shared" si="254"/>
        <v/>
      </c>
      <c r="AR298" s="1771" t="str">
        <f t="shared" si="254"/>
        <v/>
      </c>
      <c r="AS298" s="3442" t="str">
        <f t="shared" si="254"/>
        <v/>
      </c>
      <c r="AT298" s="1771">
        <f t="shared" si="254"/>
        <v>0.34</v>
      </c>
      <c r="AU298" s="1771" t="str">
        <f t="shared" si="254"/>
        <v/>
      </c>
      <c r="AV298" s="1771" t="str">
        <f t="shared" si="254"/>
        <v/>
      </c>
      <c r="AW298" s="3442" t="str">
        <f t="shared" si="254"/>
        <v/>
      </c>
      <c r="AX298" s="1771" t="str">
        <f t="shared" si="255"/>
        <v/>
      </c>
      <c r="AY298" s="1771" t="str">
        <f t="shared" si="255"/>
        <v/>
      </c>
      <c r="AZ298" s="1771" t="str">
        <f t="shared" si="255"/>
        <v/>
      </c>
      <c r="BA298" s="1771" t="str">
        <f t="shared" si="255"/>
        <v/>
      </c>
      <c r="BB298" s="3437" t="str">
        <f t="shared" si="255"/>
        <v/>
      </c>
      <c r="BC298" s="3443" t="str">
        <f t="shared" si="255"/>
        <v/>
      </c>
      <c r="BD298" s="3462"/>
      <c r="BE298" s="3440" t="str">
        <f>IF(J298=J319,"stop","")</f>
        <v/>
      </c>
      <c r="BF298" s="1771" t="str">
        <f t="shared" si="256"/>
        <v/>
      </c>
      <c r="BG298" s="1771" t="str">
        <f t="shared" si="256"/>
        <v/>
      </c>
      <c r="BH298" s="1771" t="str">
        <f t="shared" si="256"/>
        <v/>
      </c>
      <c r="BI298" s="1771" t="str">
        <f t="shared" si="256"/>
        <v/>
      </c>
      <c r="BJ298" s="3443" t="str">
        <f t="shared" si="256"/>
        <v/>
      </c>
      <c r="BK298" s="3437" t="str">
        <f t="shared" si="256"/>
        <v/>
      </c>
      <c r="BL298" s="1771" t="str">
        <f t="shared" si="256"/>
        <v/>
      </c>
      <c r="BM298" s="3442" t="str">
        <f t="shared" si="256"/>
        <v/>
      </c>
      <c r="BN298" s="1771">
        <f t="shared" si="256"/>
        <v>0.29154759474226505</v>
      </c>
      <c r="BO298" s="1771" t="str">
        <f t="shared" si="256"/>
        <v/>
      </c>
      <c r="BP298" s="1771" t="str">
        <f t="shared" si="256"/>
        <v/>
      </c>
      <c r="BQ298" s="1771" t="str">
        <f t="shared" si="256"/>
        <v/>
      </c>
      <c r="BR298" s="3437" t="str">
        <f t="shared" si="257"/>
        <v/>
      </c>
      <c r="BS298" s="1771" t="str">
        <f t="shared" si="257"/>
        <v/>
      </c>
      <c r="BT298" s="1771" t="str">
        <f t="shared" si="257"/>
        <v/>
      </c>
      <c r="BU298" s="3442" t="str">
        <f t="shared" si="257"/>
        <v/>
      </c>
      <c r="BV298" s="1771" t="str">
        <f t="shared" si="257"/>
        <v/>
      </c>
      <c r="BW298" s="3442" t="str">
        <f t="shared" si="257"/>
        <v/>
      </c>
      <c r="BX298" s="3462"/>
      <c r="BY298" s="3439" t="str">
        <f>IF(L298=L319,"stop","")</f>
        <v/>
      </c>
      <c r="BZ298" s="3437" t="str">
        <f t="shared" si="258"/>
        <v/>
      </c>
      <c r="CA298" s="1771" t="str">
        <f t="shared" si="258"/>
        <v/>
      </c>
      <c r="CB298" s="1771" t="str">
        <f t="shared" si="258"/>
        <v/>
      </c>
      <c r="CC298" s="3442" t="str">
        <f t="shared" si="258"/>
        <v/>
      </c>
      <c r="CD298" s="1771" t="str">
        <f t="shared" si="258"/>
        <v/>
      </c>
      <c r="CE298" s="3437" t="str">
        <f t="shared" si="258"/>
        <v/>
      </c>
      <c r="CF298" s="1771" t="str">
        <f t="shared" si="258"/>
        <v/>
      </c>
      <c r="CG298" s="1771" t="str">
        <f t="shared" si="258"/>
        <v/>
      </c>
      <c r="CH298" s="3437">
        <f t="shared" si="258"/>
        <v>0.29500000000000004</v>
      </c>
      <c r="CI298" s="1771" t="str">
        <f t="shared" si="258"/>
        <v/>
      </c>
      <c r="CJ298" s="1771" t="str">
        <f t="shared" si="258"/>
        <v/>
      </c>
      <c r="CK298" s="3442" t="str">
        <f t="shared" si="258"/>
        <v/>
      </c>
      <c r="CL298" s="3437" t="str">
        <f t="shared" si="259"/>
        <v/>
      </c>
      <c r="CM298" s="1771" t="str">
        <f t="shared" si="259"/>
        <v/>
      </c>
      <c r="CN298" s="1771" t="str">
        <f t="shared" si="259"/>
        <v/>
      </c>
      <c r="CO298" s="3442" t="str">
        <f t="shared" si="259"/>
        <v/>
      </c>
      <c r="CP298" s="1771" t="str">
        <f t="shared" si="259"/>
        <v/>
      </c>
      <c r="CQ298" s="3442" t="str">
        <f t="shared" si="259"/>
        <v/>
      </c>
      <c r="CR298" s="3462"/>
    </row>
    <row r="299" spans="1:96" s="3" customFormat="1">
      <c r="A299" s="1848" t="s">
        <v>915</v>
      </c>
      <c r="B299" s="816">
        <v>10</v>
      </c>
      <c r="C299" s="816"/>
      <c r="D299" s="816">
        <v>0.04</v>
      </c>
      <c r="E299" s="1802" t="s">
        <v>35</v>
      </c>
      <c r="F299" s="816">
        <v>0.17</v>
      </c>
      <c r="G299" s="816" t="s">
        <v>784</v>
      </c>
      <c r="H299" s="816">
        <v>1988</v>
      </c>
      <c r="I299" s="50"/>
      <c r="J299" s="818">
        <f>J300</f>
        <v>11.39</v>
      </c>
      <c r="K299" s="816">
        <v>0.04</v>
      </c>
      <c r="L299" s="816" t="s">
        <v>35</v>
      </c>
      <c r="M299" s="816">
        <v>0.17</v>
      </c>
      <c r="N299" s="845">
        <f t="shared" si="245"/>
        <v>8.2462112512353219E-2</v>
      </c>
      <c r="O299" s="1831">
        <f t="shared" si="246"/>
        <v>0.10500000000000001</v>
      </c>
      <c r="P299" s="825" t="s">
        <v>1088</v>
      </c>
      <c r="Q299" s="3" t="str">
        <f>IF(J299=J319,"stop","")</f>
        <v/>
      </c>
      <c r="R299" s="3437" t="str">
        <f t="shared" si="261"/>
        <v/>
      </c>
      <c r="S299" s="1771" t="str">
        <f t="shared" si="261"/>
        <v/>
      </c>
      <c r="T299" s="1771" t="str">
        <f t="shared" si="261"/>
        <v/>
      </c>
      <c r="U299" s="1771" t="str">
        <f t="shared" si="261"/>
        <v/>
      </c>
      <c r="V299" s="3443" t="str">
        <f t="shared" si="261"/>
        <v/>
      </c>
      <c r="W299" s="1771" t="str">
        <f t="shared" si="261"/>
        <v/>
      </c>
      <c r="X299" s="1771" t="str">
        <f t="shared" si="261"/>
        <v/>
      </c>
      <c r="Y299" s="1771" t="str">
        <f t="shared" si="261"/>
        <v/>
      </c>
      <c r="Z299" s="3437">
        <f t="shared" si="261"/>
        <v>0.04</v>
      </c>
      <c r="AA299" s="1771" t="str">
        <f t="shared" si="261"/>
        <v/>
      </c>
      <c r="AB299" s="1771" t="str">
        <f t="shared" si="261"/>
        <v/>
      </c>
      <c r="AC299" s="3442" t="str">
        <f t="shared" si="261"/>
        <v/>
      </c>
      <c r="AD299" s="1771" t="str">
        <f t="shared" si="261"/>
        <v/>
      </c>
      <c r="AE299" s="1771" t="str">
        <f t="shared" si="261"/>
        <v/>
      </c>
      <c r="AF299" s="1771" t="str">
        <f t="shared" si="261"/>
        <v/>
      </c>
      <c r="AG299" s="3442" t="str">
        <f t="shared" si="260"/>
        <v/>
      </c>
      <c r="AH299" s="1771" t="str">
        <f t="shared" si="253"/>
        <v/>
      </c>
      <c r="AI299" s="3442" t="str">
        <f t="shared" si="253"/>
        <v/>
      </c>
      <c r="AJ299" s="3462"/>
      <c r="AK299" s="3439" t="str">
        <f>IF(J299=J319,"stop","")</f>
        <v/>
      </c>
      <c r="AL299" s="3437" t="str">
        <f t="shared" si="254"/>
        <v/>
      </c>
      <c r="AM299" s="1771" t="str">
        <f t="shared" si="254"/>
        <v/>
      </c>
      <c r="AN299" s="1771" t="str">
        <f t="shared" si="254"/>
        <v/>
      </c>
      <c r="AO299" s="1771" t="str">
        <f t="shared" si="254"/>
        <v/>
      </c>
      <c r="AP299" s="3443" t="str">
        <f t="shared" si="254"/>
        <v/>
      </c>
      <c r="AQ299" s="1771" t="str">
        <f t="shared" si="254"/>
        <v/>
      </c>
      <c r="AR299" s="1771" t="str">
        <f t="shared" si="254"/>
        <v/>
      </c>
      <c r="AS299" s="3442" t="str">
        <f t="shared" si="254"/>
        <v/>
      </c>
      <c r="AT299" s="1771">
        <f t="shared" si="254"/>
        <v>0.17</v>
      </c>
      <c r="AU299" s="1771" t="str">
        <f t="shared" si="254"/>
        <v/>
      </c>
      <c r="AV299" s="1771" t="str">
        <f t="shared" si="254"/>
        <v/>
      </c>
      <c r="AW299" s="3442" t="str">
        <f t="shared" si="254"/>
        <v/>
      </c>
      <c r="AX299" s="1771" t="str">
        <f t="shared" si="255"/>
        <v/>
      </c>
      <c r="AY299" s="1771" t="str">
        <f t="shared" si="255"/>
        <v/>
      </c>
      <c r="AZ299" s="1771" t="str">
        <f t="shared" si="255"/>
        <v/>
      </c>
      <c r="BA299" s="1771" t="str">
        <f t="shared" si="255"/>
        <v/>
      </c>
      <c r="BB299" s="3437" t="str">
        <f t="shared" si="255"/>
        <v/>
      </c>
      <c r="BC299" s="3443" t="str">
        <f t="shared" si="255"/>
        <v/>
      </c>
      <c r="BD299" s="3462"/>
      <c r="BE299" s="3440" t="str">
        <f>IF(J299=J319,"stop","")</f>
        <v/>
      </c>
      <c r="BF299" s="1771" t="str">
        <f t="shared" si="256"/>
        <v/>
      </c>
      <c r="BG299" s="1771" t="str">
        <f t="shared" si="256"/>
        <v/>
      </c>
      <c r="BH299" s="1771" t="str">
        <f t="shared" si="256"/>
        <v/>
      </c>
      <c r="BI299" s="1771" t="str">
        <f t="shared" si="256"/>
        <v/>
      </c>
      <c r="BJ299" s="3443" t="str">
        <f t="shared" si="256"/>
        <v/>
      </c>
      <c r="BK299" s="3437" t="str">
        <f t="shared" si="256"/>
        <v/>
      </c>
      <c r="BL299" s="1771" t="str">
        <f t="shared" si="256"/>
        <v/>
      </c>
      <c r="BM299" s="3442" t="str">
        <f t="shared" si="256"/>
        <v/>
      </c>
      <c r="BN299" s="1771">
        <f t="shared" si="256"/>
        <v>8.2462112512353219E-2</v>
      </c>
      <c r="BO299" s="1771" t="str">
        <f t="shared" si="256"/>
        <v/>
      </c>
      <c r="BP299" s="1771" t="str">
        <f t="shared" si="256"/>
        <v/>
      </c>
      <c r="BQ299" s="1771" t="str">
        <f t="shared" si="256"/>
        <v/>
      </c>
      <c r="BR299" s="3437" t="str">
        <f t="shared" si="257"/>
        <v/>
      </c>
      <c r="BS299" s="1771" t="str">
        <f t="shared" si="257"/>
        <v/>
      </c>
      <c r="BT299" s="1771" t="str">
        <f t="shared" si="257"/>
        <v/>
      </c>
      <c r="BU299" s="3442" t="str">
        <f t="shared" si="257"/>
        <v/>
      </c>
      <c r="BV299" s="1771" t="str">
        <f t="shared" si="257"/>
        <v/>
      </c>
      <c r="BW299" s="3442" t="str">
        <f t="shared" si="257"/>
        <v/>
      </c>
      <c r="BX299" s="3462"/>
      <c r="BY299" s="3439" t="str">
        <f>IF(L299=L319,"stop","")</f>
        <v/>
      </c>
      <c r="BZ299" s="3437" t="str">
        <f t="shared" si="258"/>
        <v/>
      </c>
      <c r="CA299" s="1771" t="str">
        <f t="shared" si="258"/>
        <v/>
      </c>
      <c r="CB299" s="1771" t="str">
        <f t="shared" si="258"/>
        <v/>
      </c>
      <c r="CC299" s="3442" t="str">
        <f t="shared" si="258"/>
        <v/>
      </c>
      <c r="CD299" s="1771" t="str">
        <f t="shared" si="258"/>
        <v/>
      </c>
      <c r="CE299" s="3437" t="str">
        <f t="shared" si="258"/>
        <v/>
      </c>
      <c r="CF299" s="1771" t="str">
        <f t="shared" si="258"/>
        <v/>
      </c>
      <c r="CG299" s="1771" t="str">
        <f t="shared" si="258"/>
        <v/>
      </c>
      <c r="CH299" s="3437">
        <f t="shared" si="258"/>
        <v>0.10500000000000001</v>
      </c>
      <c r="CI299" s="1771" t="str">
        <f t="shared" si="258"/>
        <v/>
      </c>
      <c r="CJ299" s="1771" t="str">
        <f t="shared" si="258"/>
        <v/>
      </c>
      <c r="CK299" s="3442" t="str">
        <f t="shared" si="258"/>
        <v/>
      </c>
      <c r="CL299" s="3437" t="str">
        <f t="shared" si="259"/>
        <v/>
      </c>
      <c r="CM299" s="1771" t="str">
        <f t="shared" si="259"/>
        <v/>
      </c>
      <c r="CN299" s="1771" t="str">
        <f t="shared" si="259"/>
        <v/>
      </c>
      <c r="CO299" s="3442" t="str">
        <f t="shared" si="259"/>
        <v/>
      </c>
      <c r="CP299" s="1771" t="str">
        <f t="shared" si="259"/>
        <v/>
      </c>
      <c r="CQ299" s="3442" t="str">
        <f t="shared" si="259"/>
        <v/>
      </c>
      <c r="CR299" s="3462"/>
    </row>
    <row r="300" spans="1:96" s="3" customFormat="1">
      <c r="A300" s="1848" t="s">
        <v>916</v>
      </c>
      <c r="B300" s="816">
        <v>10</v>
      </c>
      <c r="C300" s="816">
        <v>11.39</v>
      </c>
      <c r="D300" s="816">
        <v>0.02</v>
      </c>
      <c r="E300" s="1802" t="s">
        <v>35</v>
      </c>
      <c r="F300" s="816">
        <v>0.1</v>
      </c>
      <c r="G300" s="816" t="s">
        <v>784</v>
      </c>
      <c r="H300" s="816">
        <v>1988</v>
      </c>
      <c r="I300" s="50"/>
      <c r="J300" s="816">
        <f t="shared" si="243"/>
        <v>11.39</v>
      </c>
      <c r="K300" s="816">
        <v>0.02</v>
      </c>
      <c r="L300" s="816" t="s">
        <v>35</v>
      </c>
      <c r="M300" s="816">
        <v>0.1</v>
      </c>
      <c r="N300" s="845">
        <f t="shared" si="245"/>
        <v>4.4721359549995794E-2</v>
      </c>
      <c r="O300" s="1831">
        <f t="shared" si="246"/>
        <v>6.0000000000000005E-2</v>
      </c>
      <c r="P300" s="825" t="s">
        <v>1088</v>
      </c>
      <c r="Q300" s="3" t="str">
        <f>IF(J300=J319,"stop","")</f>
        <v/>
      </c>
      <c r="R300" s="3437" t="str">
        <f t="shared" si="261"/>
        <v/>
      </c>
      <c r="S300" s="1771" t="str">
        <f t="shared" si="261"/>
        <v/>
      </c>
      <c r="T300" s="1771" t="str">
        <f t="shared" si="261"/>
        <v/>
      </c>
      <c r="U300" s="1771" t="str">
        <f t="shared" si="261"/>
        <v/>
      </c>
      <c r="V300" s="3443" t="str">
        <f t="shared" si="261"/>
        <v/>
      </c>
      <c r="W300" s="1771" t="str">
        <f t="shared" si="261"/>
        <v/>
      </c>
      <c r="X300" s="1771" t="str">
        <f t="shared" si="261"/>
        <v/>
      </c>
      <c r="Y300" s="1771" t="str">
        <f t="shared" si="261"/>
        <v/>
      </c>
      <c r="Z300" s="3437">
        <f t="shared" si="261"/>
        <v>0.02</v>
      </c>
      <c r="AA300" s="1771" t="str">
        <f t="shared" si="261"/>
        <v/>
      </c>
      <c r="AB300" s="1771" t="str">
        <f t="shared" si="261"/>
        <v/>
      </c>
      <c r="AC300" s="3442" t="str">
        <f t="shared" si="261"/>
        <v/>
      </c>
      <c r="AD300" s="1771" t="str">
        <f t="shared" si="261"/>
        <v/>
      </c>
      <c r="AE300" s="1771" t="str">
        <f t="shared" si="261"/>
        <v/>
      </c>
      <c r="AF300" s="1771" t="str">
        <f t="shared" si="261"/>
        <v/>
      </c>
      <c r="AG300" s="3442" t="str">
        <f t="shared" si="260"/>
        <v/>
      </c>
      <c r="AH300" s="1771" t="str">
        <f t="shared" si="253"/>
        <v/>
      </c>
      <c r="AI300" s="3442" t="str">
        <f t="shared" si="253"/>
        <v/>
      </c>
      <c r="AJ300" s="3462"/>
      <c r="AK300" s="3439" t="str">
        <f>IF(J300=J319,"stop","")</f>
        <v/>
      </c>
      <c r="AL300" s="3437" t="str">
        <f t="shared" si="254"/>
        <v/>
      </c>
      <c r="AM300" s="1771" t="str">
        <f t="shared" si="254"/>
        <v/>
      </c>
      <c r="AN300" s="1771" t="str">
        <f t="shared" si="254"/>
        <v/>
      </c>
      <c r="AO300" s="1771" t="str">
        <f t="shared" si="254"/>
        <v/>
      </c>
      <c r="AP300" s="3443" t="str">
        <f t="shared" si="254"/>
        <v/>
      </c>
      <c r="AQ300" s="1771" t="str">
        <f t="shared" si="254"/>
        <v/>
      </c>
      <c r="AR300" s="1771" t="str">
        <f t="shared" si="254"/>
        <v/>
      </c>
      <c r="AS300" s="3442" t="str">
        <f t="shared" si="254"/>
        <v/>
      </c>
      <c r="AT300" s="1771">
        <f t="shared" si="254"/>
        <v>0.1</v>
      </c>
      <c r="AU300" s="1771" t="str">
        <f t="shared" si="254"/>
        <v/>
      </c>
      <c r="AV300" s="1771" t="str">
        <f t="shared" si="254"/>
        <v/>
      </c>
      <c r="AW300" s="3442" t="str">
        <f t="shared" si="254"/>
        <v/>
      </c>
      <c r="AX300" s="1771" t="str">
        <f t="shared" si="255"/>
        <v/>
      </c>
      <c r="AY300" s="1771" t="str">
        <f t="shared" si="255"/>
        <v/>
      </c>
      <c r="AZ300" s="1771" t="str">
        <f t="shared" si="255"/>
        <v/>
      </c>
      <c r="BA300" s="1771" t="str">
        <f t="shared" si="255"/>
        <v/>
      </c>
      <c r="BB300" s="3437" t="str">
        <f t="shared" si="255"/>
        <v/>
      </c>
      <c r="BC300" s="3443" t="str">
        <f t="shared" si="255"/>
        <v/>
      </c>
      <c r="BD300" s="3462"/>
      <c r="BE300" s="3440" t="str">
        <f>IF(J300=J319,"stop","")</f>
        <v/>
      </c>
      <c r="BF300" s="1771" t="str">
        <f t="shared" si="256"/>
        <v/>
      </c>
      <c r="BG300" s="1771" t="str">
        <f t="shared" si="256"/>
        <v/>
      </c>
      <c r="BH300" s="1771" t="str">
        <f t="shared" si="256"/>
        <v/>
      </c>
      <c r="BI300" s="1771" t="str">
        <f t="shared" si="256"/>
        <v/>
      </c>
      <c r="BJ300" s="3443" t="str">
        <f t="shared" si="256"/>
        <v/>
      </c>
      <c r="BK300" s="3437" t="str">
        <f t="shared" si="256"/>
        <v/>
      </c>
      <c r="BL300" s="1771" t="str">
        <f t="shared" si="256"/>
        <v/>
      </c>
      <c r="BM300" s="3442" t="str">
        <f t="shared" si="256"/>
        <v/>
      </c>
      <c r="BN300" s="1771">
        <f t="shared" si="256"/>
        <v>4.4721359549995794E-2</v>
      </c>
      <c r="BO300" s="1771" t="str">
        <f t="shared" si="256"/>
        <v/>
      </c>
      <c r="BP300" s="1771" t="str">
        <f t="shared" si="256"/>
        <v/>
      </c>
      <c r="BQ300" s="1771" t="str">
        <f t="shared" si="256"/>
        <v/>
      </c>
      <c r="BR300" s="3437" t="str">
        <f t="shared" si="257"/>
        <v/>
      </c>
      <c r="BS300" s="1771" t="str">
        <f t="shared" si="257"/>
        <v/>
      </c>
      <c r="BT300" s="1771" t="str">
        <f t="shared" si="257"/>
        <v/>
      </c>
      <c r="BU300" s="3442" t="str">
        <f t="shared" si="257"/>
        <v/>
      </c>
      <c r="BV300" s="1771" t="str">
        <f t="shared" si="257"/>
        <v/>
      </c>
      <c r="BW300" s="3442" t="str">
        <f t="shared" si="257"/>
        <v/>
      </c>
      <c r="BX300" s="3462"/>
      <c r="BY300" s="3439" t="str">
        <f>IF(L300=L319,"stop","")</f>
        <v/>
      </c>
      <c r="BZ300" s="3437" t="str">
        <f t="shared" si="258"/>
        <v/>
      </c>
      <c r="CA300" s="1771" t="str">
        <f t="shared" si="258"/>
        <v/>
      </c>
      <c r="CB300" s="1771" t="str">
        <f t="shared" si="258"/>
        <v/>
      </c>
      <c r="CC300" s="3442" t="str">
        <f t="shared" si="258"/>
        <v/>
      </c>
      <c r="CD300" s="1771" t="str">
        <f t="shared" si="258"/>
        <v/>
      </c>
      <c r="CE300" s="3437" t="str">
        <f t="shared" si="258"/>
        <v/>
      </c>
      <c r="CF300" s="1771" t="str">
        <f t="shared" si="258"/>
        <v/>
      </c>
      <c r="CG300" s="1771" t="str">
        <f t="shared" si="258"/>
        <v/>
      </c>
      <c r="CH300" s="3437">
        <f t="shared" si="258"/>
        <v>6.0000000000000005E-2</v>
      </c>
      <c r="CI300" s="1771" t="str">
        <f t="shared" si="258"/>
        <v/>
      </c>
      <c r="CJ300" s="1771" t="str">
        <f t="shared" si="258"/>
        <v/>
      </c>
      <c r="CK300" s="3442" t="str">
        <f t="shared" si="258"/>
        <v/>
      </c>
      <c r="CL300" s="3437" t="str">
        <f t="shared" si="259"/>
        <v/>
      </c>
      <c r="CM300" s="1771" t="str">
        <f t="shared" si="259"/>
        <v/>
      </c>
      <c r="CN300" s="1771" t="str">
        <f t="shared" si="259"/>
        <v/>
      </c>
      <c r="CO300" s="3442" t="str">
        <f t="shared" si="259"/>
        <v/>
      </c>
      <c r="CP300" s="1771" t="str">
        <f t="shared" si="259"/>
        <v/>
      </c>
      <c r="CQ300" s="3442" t="str">
        <f t="shared" si="259"/>
        <v/>
      </c>
      <c r="CR300" s="3462"/>
    </row>
    <row r="301" spans="1:96" s="3" customFormat="1">
      <c r="A301" s="1848" t="s">
        <v>917</v>
      </c>
      <c r="B301" s="816">
        <v>10</v>
      </c>
      <c r="C301" s="816">
        <v>11.33</v>
      </c>
      <c r="D301" s="816">
        <v>0.01</v>
      </c>
      <c r="E301" s="1802" t="s">
        <v>35</v>
      </c>
      <c r="F301" s="816">
        <v>0.16</v>
      </c>
      <c r="G301" s="816" t="s">
        <v>784</v>
      </c>
      <c r="H301" s="816">
        <v>1988</v>
      </c>
      <c r="I301" s="50"/>
      <c r="J301" s="816">
        <f t="shared" si="243"/>
        <v>11.33</v>
      </c>
      <c r="K301" s="816">
        <v>0.01</v>
      </c>
      <c r="L301" s="816" t="s">
        <v>35</v>
      </c>
      <c r="M301" s="816">
        <v>0.16</v>
      </c>
      <c r="N301" s="845">
        <f t="shared" si="245"/>
        <v>0.04</v>
      </c>
      <c r="O301" s="1831">
        <f t="shared" si="246"/>
        <v>8.5000000000000006E-2</v>
      </c>
      <c r="P301" s="825" t="s">
        <v>1088</v>
      </c>
      <c r="Q301" s="3" t="str">
        <f>IF(J301=J319,"stop","")</f>
        <v/>
      </c>
      <c r="R301" s="3437" t="str">
        <f t="shared" si="261"/>
        <v/>
      </c>
      <c r="S301" s="1771" t="str">
        <f t="shared" si="261"/>
        <v/>
      </c>
      <c r="T301" s="1771" t="str">
        <f t="shared" si="261"/>
        <v/>
      </c>
      <c r="U301" s="1771" t="str">
        <f t="shared" si="261"/>
        <v/>
      </c>
      <c r="V301" s="3443" t="str">
        <f t="shared" si="261"/>
        <v/>
      </c>
      <c r="W301" s="1771" t="str">
        <f t="shared" si="261"/>
        <v/>
      </c>
      <c r="X301" s="1771" t="str">
        <f t="shared" si="261"/>
        <v/>
      </c>
      <c r="Y301" s="1771" t="str">
        <f t="shared" si="261"/>
        <v/>
      </c>
      <c r="Z301" s="3437">
        <f t="shared" si="261"/>
        <v>0.01</v>
      </c>
      <c r="AA301" s="1771" t="str">
        <f t="shared" si="261"/>
        <v/>
      </c>
      <c r="AB301" s="1771" t="str">
        <f t="shared" si="261"/>
        <v/>
      </c>
      <c r="AC301" s="3442" t="str">
        <f t="shared" si="261"/>
        <v/>
      </c>
      <c r="AD301" s="1771" t="str">
        <f t="shared" si="261"/>
        <v/>
      </c>
      <c r="AE301" s="1771" t="str">
        <f t="shared" si="261"/>
        <v/>
      </c>
      <c r="AF301" s="1771" t="str">
        <f t="shared" si="261"/>
        <v/>
      </c>
      <c r="AG301" s="3442" t="str">
        <f t="shared" si="260"/>
        <v/>
      </c>
      <c r="AH301" s="1771" t="str">
        <f t="shared" si="253"/>
        <v/>
      </c>
      <c r="AI301" s="3442" t="str">
        <f t="shared" si="253"/>
        <v/>
      </c>
      <c r="AJ301" s="3462"/>
      <c r="AK301" s="3439" t="str">
        <f>IF(J301=J319,"stop","")</f>
        <v/>
      </c>
      <c r="AL301" s="3437" t="str">
        <f t="shared" ref="AL301:AW311" si="262">IF(AND($J301&gt;AL$4,$J301&lt;=AL$5,$P301=AL$6),$M301,"")</f>
        <v/>
      </c>
      <c r="AM301" s="1771" t="str">
        <f t="shared" si="262"/>
        <v/>
      </c>
      <c r="AN301" s="1771" t="str">
        <f t="shared" si="262"/>
        <v/>
      </c>
      <c r="AO301" s="1771" t="str">
        <f t="shared" si="262"/>
        <v/>
      </c>
      <c r="AP301" s="3443" t="str">
        <f t="shared" si="262"/>
        <v/>
      </c>
      <c r="AQ301" s="1771" t="str">
        <f t="shared" si="262"/>
        <v/>
      </c>
      <c r="AR301" s="1771" t="str">
        <f t="shared" si="262"/>
        <v/>
      </c>
      <c r="AS301" s="3442" t="str">
        <f t="shared" si="262"/>
        <v/>
      </c>
      <c r="AT301" s="1771">
        <f t="shared" si="262"/>
        <v>0.16</v>
      </c>
      <c r="AU301" s="1771" t="str">
        <f t="shared" si="262"/>
        <v/>
      </c>
      <c r="AV301" s="1771" t="str">
        <f t="shared" si="262"/>
        <v/>
      </c>
      <c r="AW301" s="3442" t="str">
        <f t="shared" si="262"/>
        <v/>
      </c>
      <c r="AX301" s="1771" t="str">
        <f t="shared" ref="AX301:BC311" si="263">IF(AND($J301&gt;AX$4,$J301&lt;=AX$5,$P301=AX$6),$M301,"")</f>
        <v/>
      </c>
      <c r="AY301" s="1771" t="str">
        <f t="shared" si="263"/>
        <v/>
      </c>
      <c r="AZ301" s="1771" t="str">
        <f t="shared" si="263"/>
        <v/>
      </c>
      <c r="BA301" s="1771" t="str">
        <f t="shared" si="263"/>
        <v/>
      </c>
      <c r="BB301" s="3437" t="str">
        <f t="shared" si="263"/>
        <v/>
      </c>
      <c r="BC301" s="3443" t="str">
        <f t="shared" si="263"/>
        <v/>
      </c>
      <c r="BD301" s="3462"/>
      <c r="BE301" s="3440" t="str">
        <f>IF(J301=J319,"stop","")</f>
        <v/>
      </c>
      <c r="BF301" s="1771" t="str">
        <f t="shared" ref="BF301:BQ311" si="264">IF(AND($J301&gt;BF$4,$J301&lt;=BF$5,$P301=BF$6),$N301,"")</f>
        <v/>
      </c>
      <c r="BG301" s="1771" t="str">
        <f t="shared" si="264"/>
        <v/>
      </c>
      <c r="BH301" s="1771" t="str">
        <f t="shared" si="264"/>
        <v/>
      </c>
      <c r="BI301" s="1771" t="str">
        <f t="shared" si="264"/>
        <v/>
      </c>
      <c r="BJ301" s="3443" t="str">
        <f t="shared" si="264"/>
        <v/>
      </c>
      <c r="BK301" s="3437" t="str">
        <f t="shared" si="264"/>
        <v/>
      </c>
      <c r="BL301" s="1771" t="str">
        <f t="shared" si="264"/>
        <v/>
      </c>
      <c r="BM301" s="3442" t="str">
        <f t="shared" si="264"/>
        <v/>
      </c>
      <c r="BN301" s="1771">
        <f t="shared" si="264"/>
        <v>0.04</v>
      </c>
      <c r="BO301" s="1771" t="str">
        <f t="shared" si="264"/>
        <v/>
      </c>
      <c r="BP301" s="1771" t="str">
        <f t="shared" si="264"/>
        <v/>
      </c>
      <c r="BQ301" s="1771" t="str">
        <f t="shared" si="264"/>
        <v/>
      </c>
      <c r="BR301" s="3437" t="str">
        <f t="shared" ref="BR301:BW311" si="265">IF(AND($J301&gt;BR$4,$J301&lt;=BR$5,$P301=BR$6),$N301,"")</f>
        <v/>
      </c>
      <c r="BS301" s="1771" t="str">
        <f t="shared" si="265"/>
        <v/>
      </c>
      <c r="BT301" s="1771" t="str">
        <f t="shared" si="265"/>
        <v/>
      </c>
      <c r="BU301" s="3442" t="str">
        <f t="shared" si="265"/>
        <v/>
      </c>
      <c r="BV301" s="1771" t="str">
        <f t="shared" si="265"/>
        <v/>
      </c>
      <c r="BW301" s="3442" t="str">
        <f t="shared" si="265"/>
        <v/>
      </c>
      <c r="BX301" s="3462"/>
      <c r="BY301" s="3439" t="str">
        <f>IF(L301=L319,"stop","")</f>
        <v/>
      </c>
      <c r="BZ301" s="3437" t="str">
        <f t="shared" ref="BZ301:CK311" si="266">IF(AND($J301&gt;BZ$4,$J301&lt;=BZ$5,$P301=BZ$6),$O301,"")</f>
        <v/>
      </c>
      <c r="CA301" s="1771" t="str">
        <f t="shared" si="266"/>
        <v/>
      </c>
      <c r="CB301" s="1771" t="str">
        <f t="shared" si="266"/>
        <v/>
      </c>
      <c r="CC301" s="3442" t="str">
        <f t="shared" si="266"/>
        <v/>
      </c>
      <c r="CD301" s="1771" t="str">
        <f t="shared" si="266"/>
        <v/>
      </c>
      <c r="CE301" s="3437" t="str">
        <f t="shared" si="266"/>
        <v/>
      </c>
      <c r="CF301" s="1771" t="str">
        <f t="shared" si="266"/>
        <v/>
      </c>
      <c r="CG301" s="1771" t="str">
        <f t="shared" si="266"/>
        <v/>
      </c>
      <c r="CH301" s="3437">
        <f t="shared" si="266"/>
        <v>8.5000000000000006E-2</v>
      </c>
      <c r="CI301" s="1771" t="str">
        <f t="shared" si="266"/>
        <v/>
      </c>
      <c r="CJ301" s="1771" t="str">
        <f t="shared" si="266"/>
        <v/>
      </c>
      <c r="CK301" s="3442" t="str">
        <f t="shared" si="266"/>
        <v/>
      </c>
      <c r="CL301" s="3437" t="str">
        <f t="shared" ref="CL301:CQ311" si="267">IF(AND($J301&gt;CL$4,$J301&lt;=CL$5,$P301=CL$6),$O301,"")</f>
        <v/>
      </c>
      <c r="CM301" s="1771" t="str">
        <f t="shared" si="267"/>
        <v/>
      </c>
      <c r="CN301" s="1771" t="str">
        <f t="shared" si="267"/>
        <v/>
      </c>
      <c r="CO301" s="3442" t="str">
        <f t="shared" si="267"/>
        <v/>
      </c>
      <c r="CP301" s="1771" t="str">
        <f t="shared" si="267"/>
        <v/>
      </c>
      <c r="CQ301" s="3442" t="str">
        <f t="shared" si="267"/>
        <v/>
      </c>
      <c r="CR301" s="3462"/>
    </row>
    <row r="302" spans="1:96" s="3" customFormat="1">
      <c r="A302" s="1848" t="s">
        <v>918</v>
      </c>
      <c r="B302" s="816">
        <v>10</v>
      </c>
      <c r="C302" s="816">
        <v>11.28</v>
      </c>
      <c r="D302" s="816">
        <v>0.09</v>
      </c>
      <c r="E302" s="1802" t="s">
        <v>35</v>
      </c>
      <c r="F302" s="816">
        <v>0.3</v>
      </c>
      <c r="G302" s="816" t="s">
        <v>784</v>
      </c>
      <c r="H302" s="816">
        <v>1988</v>
      </c>
      <c r="I302" s="50"/>
      <c r="J302" s="816">
        <f t="shared" si="243"/>
        <v>11.28</v>
      </c>
      <c r="K302" s="816">
        <v>0.09</v>
      </c>
      <c r="L302" s="816" t="s">
        <v>35</v>
      </c>
      <c r="M302" s="816">
        <v>0.3</v>
      </c>
      <c r="N302" s="845">
        <f t="shared" si="245"/>
        <v>0.16431676725154984</v>
      </c>
      <c r="O302" s="1831">
        <f t="shared" si="246"/>
        <v>0.19500000000000001</v>
      </c>
      <c r="P302" s="825" t="s">
        <v>1088</v>
      </c>
      <c r="Q302" s="3" t="str">
        <f>IF(J302=J319,"stop","")</f>
        <v/>
      </c>
      <c r="R302" s="3437" t="str">
        <f t="shared" si="261"/>
        <v/>
      </c>
      <c r="S302" s="1771" t="str">
        <f t="shared" si="261"/>
        <v/>
      </c>
      <c r="T302" s="1771" t="str">
        <f t="shared" si="261"/>
        <v/>
      </c>
      <c r="U302" s="1771" t="str">
        <f t="shared" si="261"/>
        <v/>
      </c>
      <c r="V302" s="3443" t="str">
        <f t="shared" si="261"/>
        <v/>
      </c>
      <c r="W302" s="1771" t="str">
        <f t="shared" si="261"/>
        <v/>
      </c>
      <c r="X302" s="1771" t="str">
        <f t="shared" si="261"/>
        <v/>
      </c>
      <c r="Y302" s="1771" t="str">
        <f t="shared" si="261"/>
        <v/>
      </c>
      <c r="Z302" s="3437">
        <f t="shared" si="261"/>
        <v>0.09</v>
      </c>
      <c r="AA302" s="1771" t="str">
        <f t="shared" si="261"/>
        <v/>
      </c>
      <c r="AB302" s="1771" t="str">
        <f t="shared" si="261"/>
        <v/>
      </c>
      <c r="AC302" s="3442" t="str">
        <f t="shared" si="261"/>
        <v/>
      </c>
      <c r="AD302" s="1771" t="str">
        <f t="shared" si="261"/>
        <v/>
      </c>
      <c r="AE302" s="1771" t="str">
        <f t="shared" si="261"/>
        <v/>
      </c>
      <c r="AF302" s="1771" t="str">
        <f t="shared" si="261"/>
        <v/>
      </c>
      <c r="AG302" s="3442" t="str">
        <f t="shared" si="260"/>
        <v/>
      </c>
      <c r="AH302" s="1771" t="str">
        <f t="shared" si="253"/>
        <v/>
      </c>
      <c r="AI302" s="3442" t="str">
        <f t="shared" si="253"/>
        <v/>
      </c>
      <c r="AJ302" s="3462"/>
      <c r="AK302" s="3439" t="str">
        <f>IF(J302=J319,"stop","")</f>
        <v/>
      </c>
      <c r="AL302" s="3437" t="str">
        <f t="shared" si="262"/>
        <v/>
      </c>
      <c r="AM302" s="1771" t="str">
        <f t="shared" si="262"/>
        <v/>
      </c>
      <c r="AN302" s="1771" t="str">
        <f t="shared" si="262"/>
        <v/>
      </c>
      <c r="AO302" s="1771" t="str">
        <f t="shared" si="262"/>
        <v/>
      </c>
      <c r="AP302" s="3443" t="str">
        <f t="shared" si="262"/>
        <v/>
      </c>
      <c r="AQ302" s="1771" t="str">
        <f t="shared" si="262"/>
        <v/>
      </c>
      <c r="AR302" s="1771" t="str">
        <f t="shared" si="262"/>
        <v/>
      </c>
      <c r="AS302" s="3442" t="str">
        <f t="shared" si="262"/>
        <v/>
      </c>
      <c r="AT302" s="1771">
        <f t="shared" si="262"/>
        <v>0.3</v>
      </c>
      <c r="AU302" s="1771" t="str">
        <f t="shared" si="262"/>
        <v/>
      </c>
      <c r="AV302" s="1771" t="str">
        <f t="shared" si="262"/>
        <v/>
      </c>
      <c r="AW302" s="3442" t="str">
        <f t="shared" si="262"/>
        <v/>
      </c>
      <c r="AX302" s="1771" t="str">
        <f t="shared" si="263"/>
        <v/>
      </c>
      <c r="AY302" s="1771" t="str">
        <f t="shared" si="263"/>
        <v/>
      </c>
      <c r="AZ302" s="1771" t="str">
        <f t="shared" si="263"/>
        <v/>
      </c>
      <c r="BA302" s="1771" t="str">
        <f t="shared" si="263"/>
        <v/>
      </c>
      <c r="BB302" s="3437" t="str">
        <f t="shared" si="263"/>
        <v/>
      </c>
      <c r="BC302" s="3443" t="str">
        <f t="shared" si="263"/>
        <v/>
      </c>
      <c r="BD302" s="3462"/>
      <c r="BE302" s="3440" t="str">
        <f>IF(J302=J319,"stop","")</f>
        <v/>
      </c>
      <c r="BF302" s="1771" t="str">
        <f t="shared" si="264"/>
        <v/>
      </c>
      <c r="BG302" s="1771" t="str">
        <f t="shared" si="264"/>
        <v/>
      </c>
      <c r="BH302" s="1771" t="str">
        <f t="shared" si="264"/>
        <v/>
      </c>
      <c r="BI302" s="1771" t="str">
        <f t="shared" si="264"/>
        <v/>
      </c>
      <c r="BJ302" s="3443" t="str">
        <f t="shared" si="264"/>
        <v/>
      </c>
      <c r="BK302" s="3437" t="str">
        <f t="shared" si="264"/>
        <v/>
      </c>
      <c r="BL302" s="1771" t="str">
        <f t="shared" si="264"/>
        <v/>
      </c>
      <c r="BM302" s="3442" t="str">
        <f t="shared" si="264"/>
        <v/>
      </c>
      <c r="BN302" s="1771">
        <f t="shared" si="264"/>
        <v>0.16431676725154984</v>
      </c>
      <c r="BO302" s="1771" t="str">
        <f t="shared" si="264"/>
        <v/>
      </c>
      <c r="BP302" s="1771" t="str">
        <f t="shared" si="264"/>
        <v/>
      </c>
      <c r="BQ302" s="1771" t="str">
        <f t="shared" si="264"/>
        <v/>
      </c>
      <c r="BR302" s="3437" t="str">
        <f t="shared" si="265"/>
        <v/>
      </c>
      <c r="BS302" s="1771" t="str">
        <f t="shared" si="265"/>
        <v/>
      </c>
      <c r="BT302" s="1771" t="str">
        <f t="shared" si="265"/>
        <v/>
      </c>
      <c r="BU302" s="3442" t="str">
        <f t="shared" si="265"/>
        <v/>
      </c>
      <c r="BV302" s="1771" t="str">
        <f t="shared" si="265"/>
        <v/>
      </c>
      <c r="BW302" s="3442" t="str">
        <f t="shared" si="265"/>
        <v/>
      </c>
      <c r="BX302" s="3462"/>
      <c r="BY302" s="3439" t="str">
        <f>IF(L302=L319,"stop","")</f>
        <v/>
      </c>
      <c r="BZ302" s="3437" t="str">
        <f t="shared" si="266"/>
        <v/>
      </c>
      <c r="CA302" s="1771" t="str">
        <f t="shared" si="266"/>
        <v/>
      </c>
      <c r="CB302" s="1771" t="str">
        <f t="shared" si="266"/>
        <v/>
      </c>
      <c r="CC302" s="3442" t="str">
        <f t="shared" si="266"/>
        <v/>
      </c>
      <c r="CD302" s="1771" t="str">
        <f t="shared" si="266"/>
        <v/>
      </c>
      <c r="CE302" s="3437" t="str">
        <f t="shared" si="266"/>
        <v/>
      </c>
      <c r="CF302" s="1771" t="str">
        <f t="shared" si="266"/>
        <v/>
      </c>
      <c r="CG302" s="1771" t="str">
        <f t="shared" si="266"/>
        <v/>
      </c>
      <c r="CH302" s="3437">
        <f t="shared" si="266"/>
        <v>0.19500000000000001</v>
      </c>
      <c r="CI302" s="1771" t="str">
        <f t="shared" si="266"/>
        <v/>
      </c>
      <c r="CJ302" s="1771" t="str">
        <f t="shared" si="266"/>
        <v/>
      </c>
      <c r="CK302" s="3442" t="str">
        <f t="shared" si="266"/>
        <v/>
      </c>
      <c r="CL302" s="3437" t="str">
        <f t="shared" si="267"/>
        <v/>
      </c>
      <c r="CM302" s="1771" t="str">
        <f t="shared" si="267"/>
        <v/>
      </c>
      <c r="CN302" s="1771" t="str">
        <f t="shared" si="267"/>
        <v/>
      </c>
      <c r="CO302" s="3442" t="str">
        <f t="shared" si="267"/>
        <v/>
      </c>
      <c r="CP302" s="1771" t="str">
        <f t="shared" si="267"/>
        <v/>
      </c>
      <c r="CQ302" s="3442" t="str">
        <f t="shared" si="267"/>
        <v/>
      </c>
      <c r="CR302" s="3462"/>
    </row>
    <row r="303" spans="1:96" s="3" customFormat="1" ht="18">
      <c r="A303" s="1848" t="s">
        <v>919</v>
      </c>
      <c r="B303" s="816">
        <v>10</v>
      </c>
      <c r="C303" s="816">
        <v>11.7</v>
      </c>
      <c r="D303" s="816">
        <v>0.01</v>
      </c>
      <c r="E303" s="1802" t="s">
        <v>35</v>
      </c>
      <c r="F303" s="816">
        <v>0.14000000000000001</v>
      </c>
      <c r="G303" s="816" t="s">
        <v>784</v>
      </c>
      <c r="H303" s="816">
        <v>1988</v>
      </c>
      <c r="I303" s="50"/>
      <c r="J303" s="816">
        <f t="shared" si="243"/>
        <v>11.7</v>
      </c>
      <c r="K303" s="816">
        <v>0.01</v>
      </c>
      <c r="L303" s="816" t="s">
        <v>35</v>
      </c>
      <c r="M303" s="816">
        <v>0.14000000000000001</v>
      </c>
      <c r="N303" s="845">
        <f t="shared" si="245"/>
        <v>3.7416573867739417E-2</v>
      </c>
      <c r="O303" s="1831">
        <f t="shared" si="246"/>
        <v>7.5000000000000011E-2</v>
      </c>
      <c r="P303" s="825" t="s">
        <v>1088</v>
      </c>
      <c r="Q303" s="3" t="str">
        <f>IF(J303=J319,"stop","")</f>
        <v/>
      </c>
      <c r="R303" s="3437" t="str">
        <f t="shared" si="261"/>
        <v/>
      </c>
      <c r="S303" s="1771" t="str">
        <f t="shared" si="261"/>
        <v/>
      </c>
      <c r="T303" s="1771" t="str">
        <f t="shared" si="261"/>
        <v/>
      </c>
      <c r="U303" s="1771" t="str">
        <f t="shared" si="261"/>
        <v/>
      </c>
      <c r="V303" s="3443" t="str">
        <f t="shared" si="261"/>
        <v/>
      </c>
      <c r="W303" s="1771" t="str">
        <f t="shared" si="261"/>
        <v/>
      </c>
      <c r="X303" s="1771" t="str">
        <f t="shared" si="261"/>
        <v/>
      </c>
      <c r="Y303" s="1771" t="str">
        <f t="shared" si="261"/>
        <v/>
      </c>
      <c r="Z303" s="3437">
        <f t="shared" si="261"/>
        <v>0.01</v>
      </c>
      <c r="AA303" s="1771" t="str">
        <f t="shared" si="261"/>
        <v/>
      </c>
      <c r="AB303" s="1771" t="str">
        <f t="shared" si="261"/>
        <v/>
      </c>
      <c r="AC303" s="3442" t="str">
        <f t="shared" si="261"/>
        <v/>
      </c>
      <c r="AD303" s="1771" t="str">
        <f t="shared" si="261"/>
        <v/>
      </c>
      <c r="AE303" s="1771" t="str">
        <f t="shared" si="261"/>
        <v/>
      </c>
      <c r="AF303" s="1771" t="str">
        <f t="shared" si="261"/>
        <v/>
      </c>
      <c r="AG303" s="3442" t="str">
        <f t="shared" si="260"/>
        <v/>
      </c>
      <c r="AH303" s="1771" t="str">
        <f t="shared" si="253"/>
        <v/>
      </c>
      <c r="AI303" s="3442" t="str">
        <f t="shared" si="253"/>
        <v/>
      </c>
      <c r="AJ303" s="3462"/>
      <c r="AK303" s="3439" t="str">
        <f>IF(J303=J319,"stop","")</f>
        <v/>
      </c>
      <c r="AL303" s="3437" t="str">
        <f t="shared" si="262"/>
        <v/>
      </c>
      <c r="AM303" s="1771" t="str">
        <f t="shared" si="262"/>
        <v/>
      </c>
      <c r="AN303" s="1771" t="str">
        <f t="shared" si="262"/>
        <v/>
      </c>
      <c r="AO303" s="1771" t="str">
        <f t="shared" si="262"/>
        <v/>
      </c>
      <c r="AP303" s="3443" t="str">
        <f t="shared" si="262"/>
        <v/>
      </c>
      <c r="AQ303" s="1771" t="str">
        <f t="shared" si="262"/>
        <v/>
      </c>
      <c r="AR303" s="1771" t="str">
        <f t="shared" si="262"/>
        <v/>
      </c>
      <c r="AS303" s="3442" t="str">
        <f t="shared" si="262"/>
        <v/>
      </c>
      <c r="AT303" s="1771">
        <f t="shared" si="262"/>
        <v>0.14000000000000001</v>
      </c>
      <c r="AU303" s="1771" t="str">
        <f t="shared" si="262"/>
        <v/>
      </c>
      <c r="AV303" s="1771" t="str">
        <f t="shared" si="262"/>
        <v/>
      </c>
      <c r="AW303" s="3442" t="str">
        <f t="shared" si="262"/>
        <v/>
      </c>
      <c r="AX303" s="1771" t="str">
        <f t="shared" si="263"/>
        <v/>
      </c>
      <c r="AY303" s="1771" t="str">
        <f t="shared" si="263"/>
        <v/>
      </c>
      <c r="AZ303" s="1771" t="str">
        <f t="shared" si="263"/>
        <v/>
      </c>
      <c r="BA303" s="1771" t="str">
        <f t="shared" si="263"/>
        <v/>
      </c>
      <c r="BB303" s="3437" t="str">
        <f t="shared" si="263"/>
        <v/>
      </c>
      <c r="BC303" s="3443" t="str">
        <f t="shared" si="263"/>
        <v/>
      </c>
      <c r="BD303" s="3462"/>
      <c r="BE303" s="3440" t="str">
        <f>IF(J303=J319,"stop","")</f>
        <v/>
      </c>
      <c r="BF303" s="1771" t="str">
        <f t="shared" si="264"/>
        <v/>
      </c>
      <c r="BG303" s="1771" t="str">
        <f t="shared" si="264"/>
        <v/>
      </c>
      <c r="BH303" s="1771" t="str">
        <f t="shared" si="264"/>
        <v/>
      </c>
      <c r="BI303" s="1771" t="str">
        <f t="shared" si="264"/>
        <v/>
      </c>
      <c r="BJ303" s="3443" t="str">
        <f t="shared" si="264"/>
        <v/>
      </c>
      <c r="BK303" s="3437" t="str">
        <f t="shared" si="264"/>
        <v/>
      </c>
      <c r="BL303" s="1771" t="str">
        <f t="shared" si="264"/>
        <v/>
      </c>
      <c r="BM303" s="3442" t="str">
        <f t="shared" si="264"/>
        <v/>
      </c>
      <c r="BN303" s="1771">
        <f t="shared" si="264"/>
        <v>3.7416573867739417E-2</v>
      </c>
      <c r="BO303" s="1771" t="str">
        <f t="shared" si="264"/>
        <v/>
      </c>
      <c r="BP303" s="1771" t="str">
        <f t="shared" si="264"/>
        <v/>
      </c>
      <c r="BQ303" s="1771" t="str">
        <f t="shared" si="264"/>
        <v/>
      </c>
      <c r="BR303" s="3437" t="str">
        <f t="shared" si="265"/>
        <v/>
      </c>
      <c r="BS303" s="1771" t="str">
        <f t="shared" si="265"/>
        <v/>
      </c>
      <c r="BT303" s="1771" t="str">
        <f t="shared" si="265"/>
        <v/>
      </c>
      <c r="BU303" s="3442" t="str">
        <f t="shared" si="265"/>
        <v/>
      </c>
      <c r="BV303" s="1771" t="str">
        <f t="shared" si="265"/>
        <v/>
      </c>
      <c r="BW303" s="3442" t="str">
        <f t="shared" si="265"/>
        <v/>
      </c>
      <c r="BX303" s="3462"/>
      <c r="BY303" s="3439" t="str">
        <f>IF(L303=L319,"stop","")</f>
        <v/>
      </c>
      <c r="BZ303" s="3437" t="str">
        <f t="shared" si="266"/>
        <v/>
      </c>
      <c r="CA303" s="1771" t="str">
        <f t="shared" si="266"/>
        <v/>
      </c>
      <c r="CB303" s="1771" t="str">
        <f t="shared" si="266"/>
        <v/>
      </c>
      <c r="CC303" s="3442" t="str">
        <f t="shared" si="266"/>
        <v/>
      </c>
      <c r="CD303" s="1771" t="str">
        <f t="shared" si="266"/>
        <v/>
      </c>
      <c r="CE303" s="3437" t="str">
        <f t="shared" si="266"/>
        <v/>
      </c>
      <c r="CF303" s="1771" t="str">
        <f t="shared" si="266"/>
        <v/>
      </c>
      <c r="CG303" s="1771" t="str">
        <f t="shared" si="266"/>
        <v/>
      </c>
      <c r="CH303" s="3437">
        <f t="shared" si="266"/>
        <v>7.5000000000000011E-2</v>
      </c>
      <c r="CI303" s="1771" t="str">
        <f t="shared" si="266"/>
        <v/>
      </c>
      <c r="CJ303" s="1771" t="str">
        <f t="shared" si="266"/>
        <v/>
      </c>
      <c r="CK303" s="3442" t="str">
        <f t="shared" si="266"/>
        <v/>
      </c>
      <c r="CL303" s="3437" t="str">
        <f t="shared" si="267"/>
        <v/>
      </c>
      <c r="CM303" s="1771" t="str">
        <f t="shared" si="267"/>
        <v/>
      </c>
      <c r="CN303" s="1771" t="str">
        <f t="shared" si="267"/>
        <v/>
      </c>
      <c r="CO303" s="3442" t="str">
        <f t="shared" si="267"/>
        <v/>
      </c>
      <c r="CP303" s="1771" t="str">
        <f t="shared" si="267"/>
        <v/>
      </c>
      <c r="CQ303" s="3442" t="str">
        <f t="shared" si="267"/>
        <v/>
      </c>
      <c r="CR303" s="3462"/>
    </row>
    <row r="304" spans="1:96" s="3" customFormat="1">
      <c r="A304" s="1847" t="s">
        <v>716</v>
      </c>
      <c r="B304" s="819" t="s">
        <v>737</v>
      </c>
      <c r="C304" s="816"/>
      <c r="D304" s="816"/>
      <c r="E304" s="1802"/>
      <c r="F304" s="816"/>
      <c r="G304" s="816"/>
      <c r="H304" s="816"/>
      <c r="I304" s="50"/>
      <c r="J304" s="816"/>
      <c r="K304" s="816"/>
      <c r="L304" s="816"/>
      <c r="M304" s="816"/>
      <c r="N304" s="845">
        <f t="shared" si="245"/>
        <v>0</v>
      </c>
      <c r="O304" s="1831">
        <f t="shared" si="246"/>
        <v>0</v>
      </c>
      <c r="P304" s="825" t="s">
        <v>1088</v>
      </c>
      <c r="Q304" s="3" t="str">
        <f>IF(J304=J319,"stop","")</f>
        <v/>
      </c>
      <c r="R304" s="3437" t="str">
        <f t="shared" si="261"/>
        <v/>
      </c>
      <c r="S304" s="1771" t="str">
        <f t="shared" si="261"/>
        <v/>
      </c>
      <c r="T304" s="1771" t="str">
        <f t="shared" si="261"/>
        <v/>
      </c>
      <c r="U304" s="1771" t="str">
        <f t="shared" si="261"/>
        <v/>
      </c>
      <c r="V304" s="3443" t="str">
        <f t="shared" si="261"/>
        <v/>
      </c>
      <c r="W304" s="1771" t="str">
        <f t="shared" si="261"/>
        <v/>
      </c>
      <c r="X304" s="1771" t="str">
        <f t="shared" si="261"/>
        <v/>
      </c>
      <c r="Y304" s="1771" t="str">
        <f t="shared" si="261"/>
        <v/>
      </c>
      <c r="Z304" s="3437" t="str">
        <f t="shared" si="261"/>
        <v/>
      </c>
      <c r="AA304" s="1771" t="str">
        <f t="shared" si="261"/>
        <v/>
      </c>
      <c r="AB304" s="1771" t="str">
        <f t="shared" si="261"/>
        <v/>
      </c>
      <c r="AC304" s="3442" t="str">
        <f t="shared" si="261"/>
        <v/>
      </c>
      <c r="AD304" s="1771" t="str">
        <f t="shared" si="261"/>
        <v/>
      </c>
      <c r="AE304" s="1771" t="str">
        <f t="shared" si="261"/>
        <v/>
      </c>
      <c r="AF304" s="1771" t="str">
        <f t="shared" si="261"/>
        <v/>
      </c>
      <c r="AG304" s="3442" t="str">
        <f t="shared" si="260"/>
        <v/>
      </c>
      <c r="AH304" s="1771" t="str">
        <f t="shared" si="253"/>
        <v/>
      </c>
      <c r="AI304" s="3442" t="str">
        <f t="shared" si="253"/>
        <v/>
      </c>
      <c r="AJ304" s="3462"/>
      <c r="AK304" s="3439" t="str">
        <f>IF(J304=J319,"stop","")</f>
        <v/>
      </c>
      <c r="AL304" s="3437" t="str">
        <f t="shared" si="262"/>
        <v/>
      </c>
      <c r="AM304" s="1771" t="str">
        <f t="shared" si="262"/>
        <v/>
      </c>
      <c r="AN304" s="1771" t="str">
        <f t="shared" si="262"/>
        <v/>
      </c>
      <c r="AO304" s="1771" t="str">
        <f t="shared" si="262"/>
        <v/>
      </c>
      <c r="AP304" s="3443" t="str">
        <f t="shared" si="262"/>
        <v/>
      </c>
      <c r="AQ304" s="1771" t="str">
        <f t="shared" si="262"/>
        <v/>
      </c>
      <c r="AR304" s="1771" t="str">
        <f t="shared" si="262"/>
        <v/>
      </c>
      <c r="AS304" s="3442" t="str">
        <f t="shared" si="262"/>
        <v/>
      </c>
      <c r="AT304" s="1771" t="str">
        <f t="shared" si="262"/>
        <v/>
      </c>
      <c r="AU304" s="1771" t="str">
        <f t="shared" si="262"/>
        <v/>
      </c>
      <c r="AV304" s="1771" t="str">
        <f t="shared" si="262"/>
        <v/>
      </c>
      <c r="AW304" s="3442" t="str">
        <f t="shared" si="262"/>
        <v/>
      </c>
      <c r="AX304" s="1771" t="str">
        <f t="shared" si="263"/>
        <v/>
      </c>
      <c r="AY304" s="1771" t="str">
        <f t="shared" si="263"/>
        <v/>
      </c>
      <c r="AZ304" s="1771" t="str">
        <f t="shared" si="263"/>
        <v/>
      </c>
      <c r="BA304" s="1771" t="str">
        <f t="shared" si="263"/>
        <v/>
      </c>
      <c r="BB304" s="3437" t="str">
        <f t="shared" si="263"/>
        <v/>
      </c>
      <c r="BC304" s="3443" t="str">
        <f t="shared" si="263"/>
        <v/>
      </c>
      <c r="BD304" s="3462"/>
      <c r="BE304" s="3440" t="str">
        <f>IF(J304=J319,"stop","")</f>
        <v/>
      </c>
      <c r="BF304" s="1771" t="str">
        <f t="shared" si="264"/>
        <v/>
      </c>
      <c r="BG304" s="1771" t="str">
        <f t="shared" si="264"/>
        <v/>
      </c>
      <c r="BH304" s="1771" t="str">
        <f t="shared" si="264"/>
        <v/>
      </c>
      <c r="BI304" s="1771" t="str">
        <f t="shared" si="264"/>
        <v/>
      </c>
      <c r="BJ304" s="3443" t="str">
        <f t="shared" si="264"/>
        <v/>
      </c>
      <c r="BK304" s="3437" t="str">
        <f t="shared" si="264"/>
        <v/>
      </c>
      <c r="BL304" s="1771" t="str">
        <f t="shared" si="264"/>
        <v/>
      </c>
      <c r="BM304" s="3442" t="str">
        <f t="shared" si="264"/>
        <v/>
      </c>
      <c r="BN304" s="1771" t="str">
        <f t="shared" si="264"/>
        <v/>
      </c>
      <c r="BO304" s="1771" t="str">
        <f t="shared" si="264"/>
        <v/>
      </c>
      <c r="BP304" s="1771" t="str">
        <f t="shared" si="264"/>
        <v/>
      </c>
      <c r="BQ304" s="1771" t="str">
        <f t="shared" si="264"/>
        <v/>
      </c>
      <c r="BR304" s="3437" t="str">
        <f t="shared" si="265"/>
        <v/>
      </c>
      <c r="BS304" s="1771" t="str">
        <f t="shared" si="265"/>
        <v/>
      </c>
      <c r="BT304" s="1771" t="str">
        <f t="shared" si="265"/>
        <v/>
      </c>
      <c r="BU304" s="3442" t="str">
        <f t="shared" si="265"/>
        <v/>
      </c>
      <c r="BV304" s="1771" t="str">
        <f t="shared" si="265"/>
        <v/>
      </c>
      <c r="BW304" s="3442" t="str">
        <f t="shared" si="265"/>
        <v/>
      </c>
      <c r="BX304" s="3462"/>
      <c r="BY304" s="3439" t="str">
        <f>IF(L304=L319,"stop","")</f>
        <v>stop</v>
      </c>
      <c r="BZ304" s="3437" t="str">
        <f t="shared" si="266"/>
        <v/>
      </c>
      <c r="CA304" s="1771" t="str">
        <f t="shared" si="266"/>
        <v/>
      </c>
      <c r="CB304" s="1771" t="str">
        <f t="shared" si="266"/>
        <v/>
      </c>
      <c r="CC304" s="3442" t="str">
        <f t="shared" si="266"/>
        <v/>
      </c>
      <c r="CD304" s="1771" t="str">
        <f t="shared" si="266"/>
        <v/>
      </c>
      <c r="CE304" s="3437" t="str">
        <f t="shared" si="266"/>
        <v/>
      </c>
      <c r="CF304" s="1771" t="str">
        <f t="shared" si="266"/>
        <v/>
      </c>
      <c r="CG304" s="1771" t="str">
        <f t="shared" si="266"/>
        <v/>
      </c>
      <c r="CH304" s="3437" t="str">
        <f t="shared" si="266"/>
        <v/>
      </c>
      <c r="CI304" s="1771" t="str">
        <f t="shared" si="266"/>
        <v/>
      </c>
      <c r="CJ304" s="1771" t="str">
        <f t="shared" si="266"/>
        <v/>
      </c>
      <c r="CK304" s="3442" t="str">
        <f t="shared" si="266"/>
        <v/>
      </c>
      <c r="CL304" s="3437" t="str">
        <f t="shared" si="267"/>
        <v/>
      </c>
      <c r="CM304" s="1771" t="str">
        <f t="shared" si="267"/>
        <v/>
      </c>
      <c r="CN304" s="1771" t="str">
        <f t="shared" si="267"/>
        <v/>
      </c>
      <c r="CO304" s="3442" t="str">
        <f t="shared" si="267"/>
        <v/>
      </c>
      <c r="CP304" s="1771" t="str">
        <f t="shared" si="267"/>
        <v/>
      </c>
      <c r="CQ304" s="3442" t="str">
        <f t="shared" si="267"/>
        <v/>
      </c>
      <c r="CR304" s="3462"/>
    </row>
    <row r="305" spans="1:96" s="3" customFormat="1">
      <c r="A305" s="1848" t="s">
        <v>738</v>
      </c>
      <c r="B305" s="816">
        <v>10</v>
      </c>
      <c r="C305" s="816">
        <v>11.69</v>
      </c>
      <c r="D305" s="816">
        <v>0.09</v>
      </c>
      <c r="E305" s="1802" t="s">
        <v>35</v>
      </c>
      <c r="F305" s="816">
        <v>0.49</v>
      </c>
      <c r="G305" s="816" t="s">
        <v>784</v>
      </c>
      <c r="H305" s="816">
        <v>1988</v>
      </c>
      <c r="I305" s="50"/>
      <c r="J305" s="816">
        <f t="shared" si="243"/>
        <v>11.69</v>
      </c>
      <c r="K305" s="816">
        <v>0.09</v>
      </c>
      <c r="L305" s="816" t="s">
        <v>35</v>
      </c>
      <c r="M305" s="816">
        <v>0.49</v>
      </c>
      <c r="N305" s="845">
        <f t="shared" si="245"/>
        <v>0.21</v>
      </c>
      <c r="O305" s="1831">
        <f t="shared" si="246"/>
        <v>0.28999999999999998</v>
      </c>
      <c r="P305" s="825" t="s">
        <v>1088</v>
      </c>
      <c r="Q305" s="3" t="str">
        <f>IF(J305=J319,"stop","")</f>
        <v/>
      </c>
      <c r="R305" s="3437" t="str">
        <f t="shared" si="261"/>
        <v/>
      </c>
      <c r="S305" s="1771" t="str">
        <f t="shared" si="261"/>
        <v/>
      </c>
      <c r="T305" s="1771" t="str">
        <f t="shared" si="261"/>
        <v/>
      </c>
      <c r="U305" s="1771" t="str">
        <f t="shared" si="261"/>
        <v/>
      </c>
      <c r="V305" s="3443" t="str">
        <f t="shared" si="261"/>
        <v/>
      </c>
      <c r="W305" s="1771" t="str">
        <f t="shared" si="261"/>
        <v/>
      </c>
      <c r="X305" s="1771" t="str">
        <f t="shared" si="261"/>
        <v/>
      </c>
      <c r="Y305" s="1771" t="str">
        <f t="shared" si="261"/>
        <v/>
      </c>
      <c r="Z305" s="3437">
        <f t="shared" si="261"/>
        <v>0.09</v>
      </c>
      <c r="AA305" s="1771" t="str">
        <f t="shared" si="261"/>
        <v/>
      </c>
      <c r="AB305" s="1771" t="str">
        <f t="shared" si="261"/>
        <v/>
      </c>
      <c r="AC305" s="3442" t="str">
        <f t="shared" si="261"/>
        <v/>
      </c>
      <c r="AD305" s="1771" t="str">
        <f t="shared" si="261"/>
        <v/>
      </c>
      <c r="AE305" s="1771" t="str">
        <f t="shared" si="261"/>
        <v/>
      </c>
      <c r="AF305" s="1771" t="str">
        <f t="shared" si="261"/>
        <v/>
      </c>
      <c r="AG305" s="3442" t="str">
        <f t="shared" si="260"/>
        <v/>
      </c>
      <c r="AH305" s="1771" t="str">
        <f t="shared" si="253"/>
        <v/>
      </c>
      <c r="AI305" s="3442" t="str">
        <f t="shared" si="253"/>
        <v/>
      </c>
      <c r="AJ305" s="3462"/>
      <c r="AK305" s="3439" t="str">
        <f>IF(J305=J319,"stop","")</f>
        <v/>
      </c>
      <c r="AL305" s="3437" t="str">
        <f t="shared" si="262"/>
        <v/>
      </c>
      <c r="AM305" s="1771" t="str">
        <f t="shared" si="262"/>
        <v/>
      </c>
      <c r="AN305" s="1771" t="str">
        <f t="shared" si="262"/>
        <v/>
      </c>
      <c r="AO305" s="1771" t="str">
        <f t="shared" si="262"/>
        <v/>
      </c>
      <c r="AP305" s="3443" t="str">
        <f t="shared" si="262"/>
        <v/>
      </c>
      <c r="AQ305" s="1771" t="str">
        <f t="shared" si="262"/>
        <v/>
      </c>
      <c r="AR305" s="1771" t="str">
        <f t="shared" si="262"/>
        <v/>
      </c>
      <c r="AS305" s="3442" t="str">
        <f t="shared" si="262"/>
        <v/>
      </c>
      <c r="AT305" s="1771">
        <f t="shared" si="262"/>
        <v>0.49</v>
      </c>
      <c r="AU305" s="1771" t="str">
        <f t="shared" si="262"/>
        <v/>
      </c>
      <c r="AV305" s="1771" t="str">
        <f t="shared" si="262"/>
        <v/>
      </c>
      <c r="AW305" s="3442" t="str">
        <f t="shared" si="262"/>
        <v/>
      </c>
      <c r="AX305" s="1771" t="str">
        <f t="shared" si="263"/>
        <v/>
      </c>
      <c r="AY305" s="1771" t="str">
        <f t="shared" si="263"/>
        <v/>
      </c>
      <c r="AZ305" s="1771" t="str">
        <f t="shared" si="263"/>
        <v/>
      </c>
      <c r="BA305" s="1771" t="str">
        <f t="shared" si="263"/>
        <v/>
      </c>
      <c r="BB305" s="3437" t="str">
        <f t="shared" si="263"/>
        <v/>
      </c>
      <c r="BC305" s="3443" t="str">
        <f t="shared" si="263"/>
        <v/>
      </c>
      <c r="BD305" s="3462"/>
      <c r="BE305" s="3440" t="str">
        <f>IF(J305=J319,"stop","")</f>
        <v/>
      </c>
      <c r="BF305" s="1771" t="str">
        <f t="shared" si="264"/>
        <v/>
      </c>
      <c r="BG305" s="1771" t="str">
        <f t="shared" si="264"/>
        <v/>
      </c>
      <c r="BH305" s="1771" t="str">
        <f t="shared" si="264"/>
        <v/>
      </c>
      <c r="BI305" s="1771" t="str">
        <f t="shared" si="264"/>
        <v/>
      </c>
      <c r="BJ305" s="3443" t="str">
        <f t="shared" si="264"/>
        <v/>
      </c>
      <c r="BK305" s="3437" t="str">
        <f t="shared" si="264"/>
        <v/>
      </c>
      <c r="BL305" s="1771" t="str">
        <f t="shared" si="264"/>
        <v/>
      </c>
      <c r="BM305" s="3442" t="str">
        <f t="shared" si="264"/>
        <v/>
      </c>
      <c r="BN305" s="1771">
        <f t="shared" si="264"/>
        <v>0.21</v>
      </c>
      <c r="BO305" s="1771" t="str">
        <f t="shared" si="264"/>
        <v/>
      </c>
      <c r="BP305" s="1771" t="str">
        <f t="shared" si="264"/>
        <v/>
      </c>
      <c r="BQ305" s="1771" t="str">
        <f t="shared" si="264"/>
        <v/>
      </c>
      <c r="BR305" s="3437" t="str">
        <f t="shared" si="265"/>
        <v/>
      </c>
      <c r="BS305" s="1771" t="str">
        <f t="shared" si="265"/>
        <v/>
      </c>
      <c r="BT305" s="1771" t="str">
        <f t="shared" si="265"/>
        <v/>
      </c>
      <c r="BU305" s="3442" t="str">
        <f t="shared" si="265"/>
        <v/>
      </c>
      <c r="BV305" s="1771" t="str">
        <f t="shared" si="265"/>
        <v/>
      </c>
      <c r="BW305" s="3442" t="str">
        <f t="shared" si="265"/>
        <v/>
      </c>
      <c r="BX305" s="3462"/>
      <c r="BY305" s="3439" t="str">
        <f>IF(L305=L319,"stop","")</f>
        <v/>
      </c>
      <c r="BZ305" s="3437" t="str">
        <f t="shared" si="266"/>
        <v/>
      </c>
      <c r="CA305" s="1771" t="str">
        <f t="shared" si="266"/>
        <v/>
      </c>
      <c r="CB305" s="1771" t="str">
        <f t="shared" si="266"/>
        <v/>
      </c>
      <c r="CC305" s="3442" t="str">
        <f t="shared" si="266"/>
        <v/>
      </c>
      <c r="CD305" s="1771" t="str">
        <f t="shared" si="266"/>
        <v/>
      </c>
      <c r="CE305" s="3437" t="str">
        <f t="shared" si="266"/>
        <v/>
      </c>
      <c r="CF305" s="1771" t="str">
        <f t="shared" si="266"/>
        <v/>
      </c>
      <c r="CG305" s="1771" t="str">
        <f t="shared" si="266"/>
        <v/>
      </c>
      <c r="CH305" s="3437">
        <f t="shared" si="266"/>
        <v>0.28999999999999998</v>
      </c>
      <c r="CI305" s="1771" t="str">
        <f t="shared" si="266"/>
        <v/>
      </c>
      <c r="CJ305" s="1771" t="str">
        <f t="shared" si="266"/>
        <v/>
      </c>
      <c r="CK305" s="3442" t="str">
        <f t="shared" si="266"/>
        <v/>
      </c>
      <c r="CL305" s="3437" t="str">
        <f t="shared" si="267"/>
        <v/>
      </c>
      <c r="CM305" s="1771" t="str">
        <f t="shared" si="267"/>
        <v/>
      </c>
      <c r="CN305" s="1771" t="str">
        <f t="shared" si="267"/>
        <v/>
      </c>
      <c r="CO305" s="3442" t="str">
        <f t="shared" si="267"/>
        <v/>
      </c>
      <c r="CP305" s="1771" t="str">
        <f t="shared" si="267"/>
        <v/>
      </c>
      <c r="CQ305" s="3442" t="str">
        <f t="shared" si="267"/>
        <v/>
      </c>
      <c r="CR305" s="3462"/>
    </row>
    <row r="306" spans="1:96" s="3" customFormat="1">
      <c r="A306" s="1847" t="s">
        <v>744</v>
      </c>
      <c r="B306" s="815" t="s">
        <v>745</v>
      </c>
      <c r="C306" s="816"/>
      <c r="D306" s="816"/>
      <c r="E306" s="1802"/>
      <c r="F306" s="816"/>
      <c r="G306" s="816"/>
      <c r="H306" s="816"/>
      <c r="I306" s="50"/>
      <c r="J306" s="816"/>
      <c r="K306" s="816"/>
      <c r="L306" s="816"/>
      <c r="M306" s="816"/>
      <c r="N306" s="845">
        <f t="shared" si="245"/>
        <v>0</v>
      </c>
      <c r="O306" s="1831">
        <f t="shared" si="246"/>
        <v>0</v>
      </c>
      <c r="P306" s="825" t="s">
        <v>1088</v>
      </c>
      <c r="Q306" s="3" t="str">
        <f>IF(J306=J319,"stop","")</f>
        <v/>
      </c>
      <c r="R306" s="3437" t="str">
        <f t="shared" si="261"/>
        <v/>
      </c>
      <c r="S306" s="1771" t="str">
        <f t="shared" si="261"/>
        <v/>
      </c>
      <c r="T306" s="1771" t="str">
        <f t="shared" si="261"/>
        <v/>
      </c>
      <c r="U306" s="1771" t="str">
        <f t="shared" si="261"/>
        <v/>
      </c>
      <c r="V306" s="3443" t="str">
        <f t="shared" si="261"/>
        <v/>
      </c>
      <c r="W306" s="1771" t="str">
        <f t="shared" si="261"/>
        <v/>
      </c>
      <c r="X306" s="1771" t="str">
        <f t="shared" si="261"/>
        <v/>
      </c>
      <c r="Y306" s="1771" t="str">
        <f t="shared" si="261"/>
        <v/>
      </c>
      <c r="Z306" s="3437" t="str">
        <f t="shared" si="261"/>
        <v/>
      </c>
      <c r="AA306" s="1771" t="str">
        <f t="shared" si="261"/>
        <v/>
      </c>
      <c r="AB306" s="1771" t="str">
        <f t="shared" si="261"/>
        <v/>
      </c>
      <c r="AC306" s="3442" t="str">
        <f t="shared" si="261"/>
        <v/>
      </c>
      <c r="AD306" s="1771" t="str">
        <f t="shared" si="261"/>
        <v/>
      </c>
      <c r="AE306" s="1771" t="str">
        <f t="shared" si="261"/>
        <v/>
      </c>
      <c r="AF306" s="1771" t="str">
        <f t="shared" si="261"/>
        <v/>
      </c>
      <c r="AG306" s="3442" t="str">
        <f t="shared" si="260"/>
        <v/>
      </c>
      <c r="AH306" s="1771" t="str">
        <f t="shared" si="253"/>
        <v/>
      </c>
      <c r="AI306" s="3442" t="str">
        <f t="shared" si="253"/>
        <v/>
      </c>
      <c r="AJ306" s="3462"/>
      <c r="AK306" s="3439" t="str">
        <f>IF(J306=J319,"stop","")</f>
        <v/>
      </c>
      <c r="AL306" s="3437" t="str">
        <f t="shared" si="262"/>
        <v/>
      </c>
      <c r="AM306" s="1771" t="str">
        <f t="shared" si="262"/>
        <v/>
      </c>
      <c r="AN306" s="1771" t="str">
        <f t="shared" si="262"/>
        <v/>
      </c>
      <c r="AO306" s="1771" t="str">
        <f t="shared" si="262"/>
        <v/>
      </c>
      <c r="AP306" s="3443" t="str">
        <f t="shared" si="262"/>
        <v/>
      </c>
      <c r="AQ306" s="1771" t="str">
        <f t="shared" si="262"/>
        <v/>
      </c>
      <c r="AR306" s="1771" t="str">
        <f t="shared" si="262"/>
        <v/>
      </c>
      <c r="AS306" s="3442" t="str">
        <f t="shared" si="262"/>
        <v/>
      </c>
      <c r="AT306" s="1771" t="str">
        <f t="shared" si="262"/>
        <v/>
      </c>
      <c r="AU306" s="1771" t="str">
        <f t="shared" si="262"/>
        <v/>
      </c>
      <c r="AV306" s="1771" t="str">
        <f t="shared" si="262"/>
        <v/>
      </c>
      <c r="AW306" s="3442" t="str">
        <f t="shared" si="262"/>
        <v/>
      </c>
      <c r="AX306" s="1771" t="str">
        <f t="shared" si="263"/>
        <v/>
      </c>
      <c r="AY306" s="1771" t="str">
        <f t="shared" si="263"/>
        <v/>
      </c>
      <c r="AZ306" s="1771" t="str">
        <f t="shared" si="263"/>
        <v/>
      </c>
      <c r="BA306" s="1771" t="str">
        <f t="shared" si="263"/>
        <v/>
      </c>
      <c r="BB306" s="3437" t="str">
        <f t="shared" si="263"/>
        <v/>
      </c>
      <c r="BC306" s="3443" t="str">
        <f t="shared" si="263"/>
        <v/>
      </c>
      <c r="BD306" s="3462"/>
      <c r="BE306" s="3440" t="str">
        <f>IF(J306=J319,"stop","")</f>
        <v/>
      </c>
      <c r="BF306" s="1771" t="str">
        <f t="shared" si="264"/>
        <v/>
      </c>
      <c r="BG306" s="1771" t="str">
        <f t="shared" si="264"/>
        <v/>
      </c>
      <c r="BH306" s="1771" t="str">
        <f t="shared" si="264"/>
        <v/>
      </c>
      <c r="BI306" s="1771" t="str">
        <f t="shared" si="264"/>
        <v/>
      </c>
      <c r="BJ306" s="3443" t="str">
        <f t="shared" si="264"/>
        <v/>
      </c>
      <c r="BK306" s="3437" t="str">
        <f t="shared" si="264"/>
        <v/>
      </c>
      <c r="BL306" s="1771" t="str">
        <f t="shared" si="264"/>
        <v/>
      </c>
      <c r="BM306" s="3442" t="str">
        <f t="shared" si="264"/>
        <v/>
      </c>
      <c r="BN306" s="1771" t="str">
        <f t="shared" si="264"/>
        <v/>
      </c>
      <c r="BO306" s="1771" t="str">
        <f t="shared" si="264"/>
        <v/>
      </c>
      <c r="BP306" s="1771" t="str">
        <f t="shared" si="264"/>
        <v/>
      </c>
      <c r="BQ306" s="1771" t="str">
        <f t="shared" si="264"/>
        <v/>
      </c>
      <c r="BR306" s="3437" t="str">
        <f t="shared" si="265"/>
        <v/>
      </c>
      <c r="BS306" s="1771" t="str">
        <f t="shared" si="265"/>
        <v/>
      </c>
      <c r="BT306" s="1771" t="str">
        <f t="shared" si="265"/>
        <v/>
      </c>
      <c r="BU306" s="3442" t="str">
        <f t="shared" si="265"/>
        <v/>
      </c>
      <c r="BV306" s="1771" t="str">
        <f t="shared" si="265"/>
        <v/>
      </c>
      <c r="BW306" s="3442" t="str">
        <f t="shared" si="265"/>
        <v/>
      </c>
      <c r="BX306" s="3462"/>
      <c r="BY306" s="3439" t="str">
        <f>IF(L306=L319,"stop","")</f>
        <v>stop</v>
      </c>
      <c r="BZ306" s="3437" t="str">
        <f t="shared" si="266"/>
        <v/>
      </c>
      <c r="CA306" s="1771" t="str">
        <f t="shared" si="266"/>
        <v/>
      </c>
      <c r="CB306" s="1771" t="str">
        <f t="shared" si="266"/>
        <v/>
      </c>
      <c r="CC306" s="3442" t="str">
        <f t="shared" si="266"/>
        <v/>
      </c>
      <c r="CD306" s="1771" t="str">
        <f t="shared" si="266"/>
        <v/>
      </c>
      <c r="CE306" s="3437" t="str">
        <f t="shared" si="266"/>
        <v/>
      </c>
      <c r="CF306" s="1771" t="str">
        <f t="shared" si="266"/>
        <v/>
      </c>
      <c r="CG306" s="1771" t="str">
        <f t="shared" si="266"/>
        <v/>
      </c>
      <c r="CH306" s="3437" t="str">
        <f t="shared" si="266"/>
        <v/>
      </c>
      <c r="CI306" s="1771" t="str">
        <f t="shared" si="266"/>
        <v/>
      </c>
      <c r="CJ306" s="1771" t="str">
        <f t="shared" si="266"/>
        <v/>
      </c>
      <c r="CK306" s="3442" t="str">
        <f t="shared" si="266"/>
        <v/>
      </c>
      <c r="CL306" s="3437" t="str">
        <f t="shared" si="267"/>
        <v/>
      </c>
      <c r="CM306" s="1771" t="str">
        <f t="shared" si="267"/>
        <v/>
      </c>
      <c r="CN306" s="1771" t="str">
        <f t="shared" si="267"/>
        <v/>
      </c>
      <c r="CO306" s="3442" t="str">
        <f t="shared" si="267"/>
        <v/>
      </c>
      <c r="CP306" s="1771" t="str">
        <f t="shared" si="267"/>
        <v/>
      </c>
      <c r="CQ306" s="3442" t="str">
        <f t="shared" si="267"/>
        <v/>
      </c>
      <c r="CR306" s="3462"/>
    </row>
    <row r="307" spans="1:96" s="3" customFormat="1">
      <c r="A307" s="1848" t="s">
        <v>754</v>
      </c>
      <c r="B307" s="816">
        <v>16</v>
      </c>
      <c r="C307" s="816">
        <v>20.8</v>
      </c>
      <c r="D307" s="816" t="s">
        <v>839</v>
      </c>
      <c r="E307" s="1802" t="s">
        <v>35</v>
      </c>
      <c r="F307" s="816" t="s">
        <v>839</v>
      </c>
      <c r="G307" s="816" t="s">
        <v>784</v>
      </c>
      <c r="H307" s="816">
        <v>1988</v>
      </c>
      <c r="I307" s="50"/>
      <c r="J307" s="816">
        <f t="shared" si="243"/>
        <v>20.8</v>
      </c>
      <c r="K307" s="816">
        <v>0</v>
      </c>
      <c r="L307" s="816" t="s">
        <v>35</v>
      </c>
      <c r="M307" s="816">
        <v>0</v>
      </c>
      <c r="N307" s="845">
        <f t="shared" si="245"/>
        <v>0</v>
      </c>
      <c r="O307" s="1831">
        <f t="shared" si="246"/>
        <v>0</v>
      </c>
      <c r="P307" s="825" t="s">
        <v>1088</v>
      </c>
      <c r="Q307" s="3" t="str">
        <f>IF(J307=J319,"stop","")</f>
        <v/>
      </c>
      <c r="R307" s="3437" t="str">
        <f t="shared" si="261"/>
        <v/>
      </c>
      <c r="S307" s="1771" t="str">
        <f t="shared" si="261"/>
        <v/>
      </c>
      <c r="T307" s="1771" t="str">
        <f t="shared" si="261"/>
        <v/>
      </c>
      <c r="U307" s="1771" t="str">
        <f t="shared" si="261"/>
        <v/>
      </c>
      <c r="V307" s="3443" t="str">
        <f t="shared" si="261"/>
        <v/>
      </c>
      <c r="W307" s="1771" t="str">
        <f t="shared" si="261"/>
        <v/>
      </c>
      <c r="X307" s="1771" t="str">
        <f t="shared" si="261"/>
        <v/>
      </c>
      <c r="Y307" s="1771" t="str">
        <f t="shared" si="261"/>
        <v/>
      </c>
      <c r="Z307" s="3437" t="str">
        <f t="shared" si="261"/>
        <v/>
      </c>
      <c r="AA307" s="1771" t="str">
        <f t="shared" si="261"/>
        <v/>
      </c>
      <c r="AB307" s="1771">
        <f t="shared" si="261"/>
        <v>0</v>
      </c>
      <c r="AC307" s="3442" t="str">
        <f t="shared" si="261"/>
        <v/>
      </c>
      <c r="AD307" s="1771" t="str">
        <f t="shared" si="261"/>
        <v/>
      </c>
      <c r="AE307" s="1771" t="str">
        <f t="shared" si="261"/>
        <v/>
      </c>
      <c r="AF307" s="1771" t="str">
        <f t="shared" si="261"/>
        <v/>
      </c>
      <c r="AG307" s="3442" t="str">
        <f t="shared" si="260"/>
        <v/>
      </c>
      <c r="AH307" s="1771" t="str">
        <f t="shared" si="253"/>
        <v/>
      </c>
      <c r="AI307" s="3442" t="str">
        <f t="shared" si="253"/>
        <v/>
      </c>
      <c r="AJ307" s="3462"/>
      <c r="AK307" s="3439" t="str">
        <f>IF(J307=J319,"stop","")</f>
        <v/>
      </c>
      <c r="AL307" s="3437" t="str">
        <f t="shared" si="262"/>
        <v/>
      </c>
      <c r="AM307" s="1771" t="str">
        <f t="shared" si="262"/>
        <v/>
      </c>
      <c r="AN307" s="1771" t="str">
        <f t="shared" si="262"/>
        <v/>
      </c>
      <c r="AO307" s="1771" t="str">
        <f t="shared" si="262"/>
        <v/>
      </c>
      <c r="AP307" s="3443" t="str">
        <f t="shared" si="262"/>
        <v/>
      </c>
      <c r="AQ307" s="1771" t="str">
        <f t="shared" si="262"/>
        <v/>
      </c>
      <c r="AR307" s="1771" t="str">
        <f t="shared" si="262"/>
        <v/>
      </c>
      <c r="AS307" s="3442" t="str">
        <f t="shared" si="262"/>
        <v/>
      </c>
      <c r="AT307" s="1771" t="str">
        <f t="shared" si="262"/>
        <v/>
      </c>
      <c r="AU307" s="1771" t="str">
        <f t="shared" si="262"/>
        <v/>
      </c>
      <c r="AV307" s="1771">
        <f t="shared" si="262"/>
        <v>0</v>
      </c>
      <c r="AW307" s="3442" t="str">
        <f t="shared" si="262"/>
        <v/>
      </c>
      <c r="AX307" s="1771" t="str">
        <f t="shared" si="263"/>
        <v/>
      </c>
      <c r="AY307" s="1771" t="str">
        <f t="shared" si="263"/>
        <v/>
      </c>
      <c r="AZ307" s="1771" t="str">
        <f t="shared" si="263"/>
        <v/>
      </c>
      <c r="BA307" s="1771" t="str">
        <f t="shared" si="263"/>
        <v/>
      </c>
      <c r="BB307" s="3437" t="str">
        <f t="shared" si="263"/>
        <v/>
      </c>
      <c r="BC307" s="3443" t="str">
        <f t="shared" si="263"/>
        <v/>
      </c>
      <c r="BD307" s="3462"/>
      <c r="BE307" s="3440" t="str">
        <f>IF(J307=J319,"stop","")</f>
        <v/>
      </c>
      <c r="BF307" s="1771" t="str">
        <f t="shared" si="264"/>
        <v/>
      </c>
      <c r="BG307" s="1771" t="str">
        <f t="shared" si="264"/>
        <v/>
      </c>
      <c r="BH307" s="1771" t="str">
        <f t="shared" si="264"/>
        <v/>
      </c>
      <c r="BI307" s="1771" t="str">
        <f t="shared" si="264"/>
        <v/>
      </c>
      <c r="BJ307" s="3443" t="str">
        <f t="shared" si="264"/>
        <v/>
      </c>
      <c r="BK307" s="3437" t="str">
        <f t="shared" si="264"/>
        <v/>
      </c>
      <c r="BL307" s="1771" t="str">
        <f t="shared" si="264"/>
        <v/>
      </c>
      <c r="BM307" s="3442" t="str">
        <f t="shared" si="264"/>
        <v/>
      </c>
      <c r="BN307" s="1771" t="str">
        <f t="shared" si="264"/>
        <v/>
      </c>
      <c r="BO307" s="1771" t="str">
        <f t="shared" si="264"/>
        <v/>
      </c>
      <c r="BP307" s="1771">
        <f t="shared" si="264"/>
        <v>0</v>
      </c>
      <c r="BQ307" s="1771" t="str">
        <f t="shared" si="264"/>
        <v/>
      </c>
      <c r="BR307" s="3437" t="str">
        <f t="shared" si="265"/>
        <v/>
      </c>
      <c r="BS307" s="1771" t="str">
        <f t="shared" si="265"/>
        <v/>
      </c>
      <c r="BT307" s="1771" t="str">
        <f t="shared" si="265"/>
        <v/>
      </c>
      <c r="BU307" s="3442" t="str">
        <f t="shared" si="265"/>
        <v/>
      </c>
      <c r="BV307" s="1771" t="str">
        <f t="shared" si="265"/>
        <v/>
      </c>
      <c r="BW307" s="3442" t="str">
        <f t="shared" si="265"/>
        <v/>
      </c>
      <c r="BX307" s="3462"/>
      <c r="BY307" s="3439" t="str">
        <f>IF(L307=L319,"stop","")</f>
        <v/>
      </c>
      <c r="BZ307" s="3437" t="str">
        <f t="shared" si="266"/>
        <v/>
      </c>
      <c r="CA307" s="1771" t="str">
        <f t="shared" si="266"/>
        <v/>
      </c>
      <c r="CB307" s="1771" t="str">
        <f t="shared" si="266"/>
        <v/>
      </c>
      <c r="CC307" s="3442" t="str">
        <f t="shared" si="266"/>
        <v/>
      </c>
      <c r="CD307" s="1771" t="str">
        <f t="shared" si="266"/>
        <v/>
      </c>
      <c r="CE307" s="3437" t="str">
        <f t="shared" si="266"/>
        <v/>
      </c>
      <c r="CF307" s="1771" t="str">
        <f t="shared" si="266"/>
        <v/>
      </c>
      <c r="CG307" s="1771" t="str">
        <f t="shared" si="266"/>
        <v/>
      </c>
      <c r="CH307" s="3437" t="str">
        <f t="shared" si="266"/>
        <v/>
      </c>
      <c r="CI307" s="1771" t="str">
        <f t="shared" si="266"/>
        <v/>
      </c>
      <c r="CJ307" s="1771">
        <f t="shared" si="266"/>
        <v>0</v>
      </c>
      <c r="CK307" s="3442" t="str">
        <f t="shared" si="266"/>
        <v/>
      </c>
      <c r="CL307" s="3437" t="str">
        <f t="shared" si="267"/>
        <v/>
      </c>
      <c r="CM307" s="1771" t="str">
        <f t="shared" si="267"/>
        <v/>
      </c>
      <c r="CN307" s="1771" t="str">
        <f t="shared" si="267"/>
        <v/>
      </c>
      <c r="CO307" s="3442" t="str">
        <f t="shared" si="267"/>
        <v/>
      </c>
      <c r="CP307" s="1771" t="str">
        <f t="shared" si="267"/>
        <v/>
      </c>
      <c r="CQ307" s="3442" t="str">
        <f t="shared" si="267"/>
        <v/>
      </c>
      <c r="CR307" s="3462"/>
    </row>
    <row r="308" spans="1:96" s="3" customFormat="1">
      <c r="A308" s="1848" t="s">
        <v>757</v>
      </c>
      <c r="B308" s="816">
        <v>18</v>
      </c>
      <c r="C308" s="816">
        <v>26.37</v>
      </c>
      <c r="D308" s="816" t="s">
        <v>839</v>
      </c>
      <c r="E308" s="1802" t="s">
        <v>35</v>
      </c>
      <c r="F308" s="816" t="s">
        <v>839</v>
      </c>
      <c r="G308" s="816" t="s">
        <v>784</v>
      </c>
      <c r="H308" s="816">
        <v>1988</v>
      </c>
      <c r="I308" s="50"/>
      <c r="J308" s="816">
        <f t="shared" si="243"/>
        <v>26.37</v>
      </c>
      <c r="K308" s="816">
        <v>0</v>
      </c>
      <c r="L308" s="816" t="s">
        <v>35</v>
      </c>
      <c r="M308" s="816">
        <v>0</v>
      </c>
      <c r="N308" s="845">
        <f t="shared" si="245"/>
        <v>0</v>
      </c>
      <c r="O308" s="1831">
        <f t="shared" si="246"/>
        <v>0</v>
      </c>
      <c r="P308" s="825" t="s">
        <v>1088</v>
      </c>
      <c r="Q308" s="3" t="str">
        <f>IF(J308=J319,"stop","")</f>
        <v/>
      </c>
      <c r="R308" s="3437" t="str">
        <f t="shared" si="261"/>
        <v/>
      </c>
      <c r="S308" s="1771" t="str">
        <f t="shared" si="261"/>
        <v/>
      </c>
      <c r="T308" s="1771" t="str">
        <f t="shared" si="261"/>
        <v/>
      </c>
      <c r="U308" s="1771" t="str">
        <f t="shared" si="261"/>
        <v/>
      </c>
      <c r="V308" s="3443" t="str">
        <f t="shared" si="261"/>
        <v/>
      </c>
      <c r="W308" s="1771" t="str">
        <f t="shared" si="261"/>
        <v/>
      </c>
      <c r="X308" s="1771" t="str">
        <f t="shared" si="261"/>
        <v/>
      </c>
      <c r="Y308" s="1771" t="str">
        <f t="shared" si="261"/>
        <v/>
      </c>
      <c r="Z308" s="3437" t="str">
        <f t="shared" si="261"/>
        <v/>
      </c>
      <c r="AA308" s="1771" t="str">
        <f t="shared" si="261"/>
        <v/>
      </c>
      <c r="AB308" s="1771" t="str">
        <f t="shared" si="261"/>
        <v/>
      </c>
      <c r="AC308" s="3442">
        <f t="shared" si="261"/>
        <v>0</v>
      </c>
      <c r="AD308" s="1771" t="str">
        <f t="shared" si="261"/>
        <v/>
      </c>
      <c r="AE308" s="1771" t="str">
        <f t="shared" si="261"/>
        <v/>
      </c>
      <c r="AF308" s="1771" t="str">
        <f t="shared" si="261"/>
        <v/>
      </c>
      <c r="AG308" s="3442" t="str">
        <f t="shared" si="260"/>
        <v/>
      </c>
      <c r="AH308" s="1771" t="str">
        <f t="shared" si="253"/>
        <v/>
      </c>
      <c r="AI308" s="3442" t="str">
        <f t="shared" si="253"/>
        <v/>
      </c>
      <c r="AJ308" s="3462"/>
      <c r="AK308" s="3439" t="str">
        <f>IF(J308=J319,"stop","")</f>
        <v/>
      </c>
      <c r="AL308" s="3437" t="str">
        <f t="shared" si="262"/>
        <v/>
      </c>
      <c r="AM308" s="1771" t="str">
        <f t="shared" si="262"/>
        <v/>
      </c>
      <c r="AN308" s="1771" t="str">
        <f t="shared" si="262"/>
        <v/>
      </c>
      <c r="AO308" s="1771" t="str">
        <f t="shared" si="262"/>
        <v/>
      </c>
      <c r="AP308" s="3443" t="str">
        <f t="shared" si="262"/>
        <v/>
      </c>
      <c r="AQ308" s="1771" t="str">
        <f t="shared" si="262"/>
        <v/>
      </c>
      <c r="AR308" s="1771" t="str">
        <f t="shared" si="262"/>
        <v/>
      </c>
      <c r="AS308" s="3442" t="str">
        <f t="shared" si="262"/>
        <v/>
      </c>
      <c r="AT308" s="1771" t="str">
        <f t="shared" si="262"/>
        <v/>
      </c>
      <c r="AU308" s="1771" t="str">
        <f t="shared" si="262"/>
        <v/>
      </c>
      <c r="AV308" s="1771" t="str">
        <f t="shared" si="262"/>
        <v/>
      </c>
      <c r="AW308" s="3442">
        <f t="shared" si="262"/>
        <v>0</v>
      </c>
      <c r="AX308" s="1771" t="str">
        <f t="shared" si="263"/>
        <v/>
      </c>
      <c r="AY308" s="1771" t="str">
        <f t="shared" si="263"/>
        <v/>
      </c>
      <c r="AZ308" s="1771" t="str">
        <f t="shared" si="263"/>
        <v/>
      </c>
      <c r="BA308" s="1771" t="str">
        <f t="shared" si="263"/>
        <v/>
      </c>
      <c r="BB308" s="3437" t="str">
        <f t="shared" si="263"/>
        <v/>
      </c>
      <c r="BC308" s="3443" t="str">
        <f t="shared" si="263"/>
        <v/>
      </c>
      <c r="BD308" s="3462"/>
      <c r="BE308" s="3440" t="str">
        <f>IF(J308=J319,"stop","")</f>
        <v/>
      </c>
      <c r="BF308" s="1771" t="str">
        <f t="shared" si="264"/>
        <v/>
      </c>
      <c r="BG308" s="1771" t="str">
        <f t="shared" si="264"/>
        <v/>
      </c>
      <c r="BH308" s="1771" t="str">
        <f t="shared" si="264"/>
        <v/>
      </c>
      <c r="BI308" s="1771" t="str">
        <f t="shared" si="264"/>
        <v/>
      </c>
      <c r="BJ308" s="3443" t="str">
        <f t="shared" si="264"/>
        <v/>
      </c>
      <c r="BK308" s="3437" t="str">
        <f t="shared" si="264"/>
        <v/>
      </c>
      <c r="BL308" s="1771" t="str">
        <f t="shared" si="264"/>
        <v/>
      </c>
      <c r="BM308" s="3442" t="str">
        <f t="shared" si="264"/>
        <v/>
      </c>
      <c r="BN308" s="1771" t="str">
        <f t="shared" si="264"/>
        <v/>
      </c>
      <c r="BO308" s="1771" t="str">
        <f t="shared" si="264"/>
        <v/>
      </c>
      <c r="BP308" s="1771" t="str">
        <f t="shared" si="264"/>
        <v/>
      </c>
      <c r="BQ308" s="1771">
        <f t="shared" si="264"/>
        <v>0</v>
      </c>
      <c r="BR308" s="3437" t="str">
        <f t="shared" si="265"/>
        <v/>
      </c>
      <c r="BS308" s="1771" t="str">
        <f t="shared" si="265"/>
        <v/>
      </c>
      <c r="BT308" s="1771" t="str">
        <f t="shared" si="265"/>
        <v/>
      </c>
      <c r="BU308" s="3442" t="str">
        <f t="shared" si="265"/>
        <v/>
      </c>
      <c r="BV308" s="1771" t="str">
        <f t="shared" si="265"/>
        <v/>
      </c>
      <c r="BW308" s="3442" t="str">
        <f t="shared" si="265"/>
        <v/>
      </c>
      <c r="BX308" s="3462"/>
      <c r="BY308" s="3439" t="str">
        <f>IF(L308=L319,"stop","")</f>
        <v/>
      </c>
      <c r="BZ308" s="3437" t="str">
        <f t="shared" si="266"/>
        <v/>
      </c>
      <c r="CA308" s="1771" t="str">
        <f t="shared" si="266"/>
        <v/>
      </c>
      <c r="CB308" s="1771" t="str">
        <f t="shared" si="266"/>
        <v/>
      </c>
      <c r="CC308" s="3442" t="str">
        <f t="shared" si="266"/>
        <v/>
      </c>
      <c r="CD308" s="1771" t="str">
        <f t="shared" si="266"/>
        <v/>
      </c>
      <c r="CE308" s="3437" t="str">
        <f t="shared" si="266"/>
        <v/>
      </c>
      <c r="CF308" s="1771" t="str">
        <f t="shared" si="266"/>
        <v/>
      </c>
      <c r="CG308" s="1771" t="str">
        <f t="shared" si="266"/>
        <v/>
      </c>
      <c r="CH308" s="3437" t="str">
        <f t="shared" si="266"/>
        <v/>
      </c>
      <c r="CI308" s="1771" t="str">
        <f t="shared" si="266"/>
        <v/>
      </c>
      <c r="CJ308" s="1771" t="str">
        <f t="shared" si="266"/>
        <v/>
      </c>
      <c r="CK308" s="3442">
        <f t="shared" si="266"/>
        <v>0</v>
      </c>
      <c r="CL308" s="3437" t="str">
        <f t="shared" si="267"/>
        <v/>
      </c>
      <c r="CM308" s="1771" t="str">
        <f t="shared" si="267"/>
        <v/>
      </c>
      <c r="CN308" s="1771" t="str">
        <f t="shared" si="267"/>
        <v/>
      </c>
      <c r="CO308" s="3442" t="str">
        <f t="shared" si="267"/>
        <v/>
      </c>
      <c r="CP308" s="1771" t="str">
        <f t="shared" si="267"/>
        <v/>
      </c>
      <c r="CQ308" s="3442" t="str">
        <f t="shared" si="267"/>
        <v/>
      </c>
      <c r="CR308" s="3462"/>
    </row>
    <row r="309" spans="1:96" s="3" customFormat="1">
      <c r="A309" s="1848" t="s">
        <v>764</v>
      </c>
      <c r="B309" s="816">
        <v>20</v>
      </c>
      <c r="C309" s="816">
        <v>31.34</v>
      </c>
      <c r="D309" s="816">
        <v>0.19</v>
      </c>
      <c r="E309" s="1802" t="s">
        <v>635</v>
      </c>
      <c r="F309" s="816">
        <v>2.8</v>
      </c>
      <c r="G309" s="816" t="s">
        <v>784</v>
      </c>
      <c r="H309" s="816">
        <v>1988</v>
      </c>
      <c r="I309" s="50"/>
      <c r="J309" s="816">
        <f t="shared" si="243"/>
        <v>31.34</v>
      </c>
      <c r="K309" s="820">
        <f>0.19*0.000001/0.8</f>
        <v>2.3749999999999998E-7</v>
      </c>
      <c r="L309" s="820" t="s">
        <v>635</v>
      </c>
      <c r="M309" s="820">
        <f>0.19*0.000001/0.8</f>
        <v>2.3749999999999998E-7</v>
      </c>
      <c r="N309" s="845">
        <f t="shared" si="245"/>
        <v>2.3749999999999998E-7</v>
      </c>
      <c r="O309" s="1831">
        <f t="shared" si="246"/>
        <v>2.3749999999999998E-7</v>
      </c>
      <c r="P309" s="825" t="s">
        <v>1088</v>
      </c>
      <c r="Q309" s="3" t="str">
        <f>IF(J309=J319,"stop","")</f>
        <v/>
      </c>
      <c r="R309" s="3437" t="str">
        <f t="shared" si="261"/>
        <v/>
      </c>
      <c r="S309" s="1771" t="str">
        <f t="shared" si="261"/>
        <v/>
      </c>
      <c r="T309" s="1771" t="str">
        <f t="shared" si="261"/>
        <v/>
      </c>
      <c r="U309" s="1771" t="str">
        <f t="shared" si="261"/>
        <v/>
      </c>
      <c r="V309" s="3443" t="str">
        <f t="shared" si="261"/>
        <v/>
      </c>
      <c r="W309" s="1771" t="str">
        <f t="shared" si="261"/>
        <v/>
      </c>
      <c r="X309" s="1771" t="str">
        <f t="shared" si="261"/>
        <v/>
      </c>
      <c r="Y309" s="1771" t="str">
        <f t="shared" si="261"/>
        <v/>
      </c>
      <c r="Z309" s="3437" t="str">
        <f t="shared" si="261"/>
        <v/>
      </c>
      <c r="AA309" s="1771" t="str">
        <f t="shared" si="261"/>
        <v/>
      </c>
      <c r="AB309" s="1771" t="str">
        <f t="shared" si="261"/>
        <v/>
      </c>
      <c r="AC309" s="3442">
        <f t="shared" si="261"/>
        <v>2.3749999999999998E-7</v>
      </c>
      <c r="AD309" s="1771" t="str">
        <f t="shared" si="261"/>
        <v/>
      </c>
      <c r="AE309" s="1771" t="str">
        <f t="shared" si="261"/>
        <v/>
      </c>
      <c r="AF309" s="1771" t="str">
        <f t="shared" si="261"/>
        <v/>
      </c>
      <c r="AG309" s="3442" t="str">
        <f t="shared" si="260"/>
        <v/>
      </c>
      <c r="AH309" s="1771" t="str">
        <f t="shared" si="253"/>
        <v/>
      </c>
      <c r="AI309" s="3442" t="str">
        <f t="shared" si="253"/>
        <v/>
      </c>
      <c r="AJ309" s="3462"/>
      <c r="AK309" s="3439" t="str">
        <f>IF(J309=J319,"stop","")</f>
        <v/>
      </c>
      <c r="AL309" s="3437" t="str">
        <f t="shared" si="262"/>
        <v/>
      </c>
      <c r="AM309" s="1771" t="str">
        <f t="shared" si="262"/>
        <v/>
      </c>
      <c r="AN309" s="1771" t="str">
        <f t="shared" si="262"/>
        <v/>
      </c>
      <c r="AO309" s="1771" t="str">
        <f t="shared" si="262"/>
        <v/>
      </c>
      <c r="AP309" s="3443" t="str">
        <f t="shared" si="262"/>
        <v/>
      </c>
      <c r="AQ309" s="1771" t="str">
        <f t="shared" si="262"/>
        <v/>
      </c>
      <c r="AR309" s="1771" t="str">
        <f t="shared" si="262"/>
        <v/>
      </c>
      <c r="AS309" s="3442" t="str">
        <f t="shared" si="262"/>
        <v/>
      </c>
      <c r="AT309" s="1771" t="str">
        <f t="shared" si="262"/>
        <v/>
      </c>
      <c r="AU309" s="1771" t="str">
        <f t="shared" si="262"/>
        <v/>
      </c>
      <c r="AV309" s="1771" t="str">
        <f t="shared" si="262"/>
        <v/>
      </c>
      <c r="AW309" s="3442">
        <f t="shared" si="262"/>
        <v>2.3749999999999998E-7</v>
      </c>
      <c r="AX309" s="1771" t="str">
        <f t="shared" si="263"/>
        <v/>
      </c>
      <c r="AY309" s="1771" t="str">
        <f t="shared" si="263"/>
        <v/>
      </c>
      <c r="AZ309" s="1771" t="str">
        <f t="shared" si="263"/>
        <v/>
      </c>
      <c r="BA309" s="1771" t="str">
        <f t="shared" si="263"/>
        <v/>
      </c>
      <c r="BB309" s="3437" t="str">
        <f t="shared" si="263"/>
        <v/>
      </c>
      <c r="BC309" s="3443" t="str">
        <f t="shared" si="263"/>
        <v/>
      </c>
      <c r="BD309" s="3462"/>
      <c r="BE309" s="3440" t="str">
        <f>IF(J309=J319,"stop","")</f>
        <v/>
      </c>
      <c r="BF309" s="1771" t="str">
        <f t="shared" si="264"/>
        <v/>
      </c>
      <c r="BG309" s="1771" t="str">
        <f t="shared" si="264"/>
        <v/>
      </c>
      <c r="BH309" s="1771" t="str">
        <f t="shared" si="264"/>
        <v/>
      </c>
      <c r="BI309" s="1771" t="str">
        <f t="shared" si="264"/>
        <v/>
      </c>
      <c r="BJ309" s="3443" t="str">
        <f t="shared" si="264"/>
        <v/>
      </c>
      <c r="BK309" s="3437" t="str">
        <f t="shared" si="264"/>
        <v/>
      </c>
      <c r="BL309" s="1771" t="str">
        <f t="shared" si="264"/>
        <v/>
      </c>
      <c r="BM309" s="3442" t="str">
        <f t="shared" si="264"/>
        <v/>
      </c>
      <c r="BN309" s="1771" t="str">
        <f t="shared" si="264"/>
        <v/>
      </c>
      <c r="BO309" s="1771" t="str">
        <f t="shared" si="264"/>
        <v/>
      </c>
      <c r="BP309" s="1771" t="str">
        <f t="shared" si="264"/>
        <v/>
      </c>
      <c r="BQ309" s="1771">
        <f t="shared" si="264"/>
        <v>2.3749999999999998E-7</v>
      </c>
      <c r="BR309" s="3437" t="str">
        <f t="shared" si="265"/>
        <v/>
      </c>
      <c r="BS309" s="1771" t="str">
        <f t="shared" si="265"/>
        <v/>
      </c>
      <c r="BT309" s="1771" t="str">
        <f t="shared" si="265"/>
        <v/>
      </c>
      <c r="BU309" s="3442" t="str">
        <f t="shared" si="265"/>
        <v/>
      </c>
      <c r="BV309" s="1771" t="str">
        <f t="shared" si="265"/>
        <v/>
      </c>
      <c r="BW309" s="3442" t="str">
        <f t="shared" si="265"/>
        <v/>
      </c>
      <c r="BX309" s="3462"/>
      <c r="BY309" s="3439" t="str">
        <f>IF(L309=L319,"stop","")</f>
        <v/>
      </c>
      <c r="BZ309" s="3437" t="str">
        <f t="shared" si="266"/>
        <v/>
      </c>
      <c r="CA309" s="1771" t="str">
        <f t="shared" si="266"/>
        <v/>
      </c>
      <c r="CB309" s="1771" t="str">
        <f t="shared" si="266"/>
        <v/>
      </c>
      <c r="CC309" s="3442" t="str">
        <f t="shared" si="266"/>
        <v/>
      </c>
      <c r="CD309" s="1771" t="str">
        <f t="shared" si="266"/>
        <v/>
      </c>
      <c r="CE309" s="3437" t="str">
        <f t="shared" si="266"/>
        <v/>
      </c>
      <c r="CF309" s="1771" t="str">
        <f t="shared" si="266"/>
        <v/>
      </c>
      <c r="CG309" s="1771" t="str">
        <f t="shared" si="266"/>
        <v/>
      </c>
      <c r="CH309" s="3437" t="str">
        <f t="shared" si="266"/>
        <v/>
      </c>
      <c r="CI309" s="1771" t="str">
        <f t="shared" si="266"/>
        <v/>
      </c>
      <c r="CJ309" s="1771" t="str">
        <f t="shared" si="266"/>
        <v/>
      </c>
      <c r="CK309" s="3442">
        <f t="shared" si="266"/>
        <v>2.3749999999999998E-7</v>
      </c>
      <c r="CL309" s="3437" t="str">
        <f t="shared" si="267"/>
        <v/>
      </c>
      <c r="CM309" s="1771" t="str">
        <f t="shared" si="267"/>
        <v/>
      </c>
      <c r="CN309" s="1771" t="str">
        <f t="shared" si="267"/>
        <v/>
      </c>
      <c r="CO309" s="3442" t="str">
        <f t="shared" si="267"/>
        <v/>
      </c>
      <c r="CP309" s="1771" t="str">
        <f t="shared" si="267"/>
        <v/>
      </c>
      <c r="CQ309" s="3442" t="str">
        <f t="shared" si="267"/>
        <v/>
      </c>
      <c r="CR309" s="3462"/>
    </row>
    <row r="310" spans="1:96" s="3" customFormat="1">
      <c r="A310" s="1848" t="s">
        <v>765</v>
      </c>
      <c r="B310" s="816">
        <v>20</v>
      </c>
      <c r="C310" s="816">
        <v>31.17</v>
      </c>
      <c r="D310" s="816" t="s">
        <v>839</v>
      </c>
      <c r="E310" s="1802" t="s">
        <v>35</v>
      </c>
      <c r="F310" s="816" t="s">
        <v>839</v>
      </c>
      <c r="G310" s="816" t="s">
        <v>784</v>
      </c>
      <c r="H310" s="816">
        <v>1988</v>
      </c>
      <c r="I310" s="50"/>
      <c r="J310" s="816">
        <f t="shared" si="243"/>
        <v>31.17</v>
      </c>
      <c r="K310" s="816">
        <v>0</v>
      </c>
      <c r="L310" s="816" t="s">
        <v>35</v>
      </c>
      <c r="M310" s="816">
        <v>0</v>
      </c>
      <c r="N310" s="845">
        <f t="shared" si="245"/>
        <v>0</v>
      </c>
      <c r="O310" s="1831">
        <f t="shared" si="246"/>
        <v>0</v>
      </c>
      <c r="P310" s="825" t="s">
        <v>1088</v>
      </c>
      <c r="Q310" s="3" t="str">
        <f>IF(J310=J319,"stop","")</f>
        <v/>
      </c>
      <c r="R310" s="3437" t="str">
        <f t="shared" si="261"/>
        <v/>
      </c>
      <c r="S310" s="1771" t="str">
        <f t="shared" si="261"/>
        <v/>
      </c>
      <c r="T310" s="1771" t="str">
        <f t="shared" si="261"/>
        <v/>
      </c>
      <c r="U310" s="1771" t="str">
        <f t="shared" si="261"/>
        <v/>
      </c>
      <c r="V310" s="3443" t="str">
        <f t="shared" si="261"/>
        <v/>
      </c>
      <c r="W310" s="1771" t="str">
        <f t="shared" si="261"/>
        <v/>
      </c>
      <c r="X310" s="1771" t="str">
        <f t="shared" si="261"/>
        <v/>
      </c>
      <c r="Y310" s="1771" t="str">
        <f t="shared" si="261"/>
        <v/>
      </c>
      <c r="Z310" s="3437" t="str">
        <f t="shared" si="261"/>
        <v/>
      </c>
      <c r="AA310" s="1771" t="str">
        <f t="shared" si="261"/>
        <v/>
      </c>
      <c r="AB310" s="1771" t="str">
        <f t="shared" si="261"/>
        <v/>
      </c>
      <c r="AC310" s="3442">
        <f t="shared" si="261"/>
        <v>0</v>
      </c>
      <c r="AD310" s="1771" t="str">
        <f t="shared" si="261"/>
        <v/>
      </c>
      <c r="AE310" s="1771" t="str">
        <f t="shared" si="261"/>
        <v/>
      </c>
      <c r="AF310" s="1771" t="str">
        <f t="shared" si="261"/>
        <v/>
      </c>
      <c r="AG310" s="3442" t="str">
        <f t="shared" si="260"/>
        <v/>
      </c>
      <c r="AH310" s="1771" t="str">
        <f t="shared" si="253"/>
        <v/>
      </c>
      <c r="AI310" s="3442" t="str">
        <f t="shared" si="253"/>
        <v/>
      </c>
      <c r="AJ310" s="3462"/>
      <c r="AK310" s="3439" t="str">
        <f>IF(J310=J319,"stop","")</f>
        <v/>
      </c>
      <c r="AL310" s="3437" t="str">
        <f t="shared" si="262"/>
        <v/>
      </c>
      <c r="AM310" s="1771" t="str">
        <f t="shared" si="262"/>
        <v/>
      </c>
      <c r="AN310" s="1771" t="str">
        <f t="shared" si="262"/>
        <v/>
      </c>
      <c r="AO310" s="1771" t="str">
        <f t="shared" si="262"/>
        <v/>
      </c>
      <c r="AP310" s="3443" t="str">
        <f t="shared" si="262"/>
        <v/>
      </c>
      <c r="AQ310" s="1771" t="str">
        <f t="shared" si="262"/>
        <v/>
      </c>
      <c r="AR310" s="1771" t="str">
        <f t="shared" si="262"/>
        <v/>
      </c>
      <c r="AS310" s="3442" t="str">
        <f t="shared" si="262"/>
        <v/>
      </c>
      <c r="AT310" s="1771" t="str">
        <f t="shared" si="262"/>
        <v/>
      </c>
      <c r="AU310" s="1771" t="str">
        <f t="shared" si="262"/>
        <v/>
      </c>
      <c r="AV310" s="1771" t="str">
        <f t="shared" si="262"/>
        <v/>
      </c>
      <c r="AW310" s="3442">
        <f t="shared" si="262"/>
        <v>0</v>
      </c>
      <c r="AX310" s="1771" t="str">
        <f t="shared" si="263"/>
        <v/>
      </c>
      <c r="AY310" s="1771" t="str">
        <f t="shared" si="263"/>
        <v/>
      </c>
      <c r="AZ310" s="1771" t="str">
        <f t="shared" si="263"/>
        <v/>
      </c>
      <c r="BA310" s="1771" t="str">
        <f t="shared" si="263"/>
        <v/>
      </c>
      <c r="BB310" s="3437" t="str">
        <f t="shared" si="263"/>
        <v/>
      </c>
      <c r="BC310" s="3443" t="str">
        <f t="shared" si="263"/>
        <v/>
      </c>
      <c r="BD310" s="3462"/>
      <c r="BE310" s="3440" t="str">
        <f>IF(J310=J319,"stop","")</f>
        <v/>
      </c>
      <c r="BF310" s="1771" t="str">
        <f t="shared" si="264"/>
        <v/>
      </c>
      <c r="BG310" s="1771" t="str">
        <f t="shared" si="264"/>
        <v/>
      </c>
      <c r="BH310" s="1771" t="str">
        <f t="shared" si="264"/>
        <v/>
      </c>
      <c r="BI310" s="1771" t="str">
        <f t="shared" si="264"/>
        <v/>
      </c>
      <c r="BJ310" s="3443" t="str">
        <f t="shared" si="264"/>
        <v/>
      </c>
      <c r="BK310" s="3437" t="str">
        <f t="shared" si="264"/>
        <v/>
      </c>
      <c r="BL310" s="1771" t="str">
        <f t="shared" si="264"/>
        <v/>
      </c>
      <c r="BM310" s="3442" t="str">
        <f t="shared" si="264"/>
        <v/>
      </c>
      <c r="BN310" s="1771" t="str">
        <f t="shared" si="264"/>
        <v/>
      </c>
      <c r="BO310" s="1771" t="str">
        <f t="shared" si="264"/>
        <v/>
      </c>
      <c r="BP310" s="1771" t="str">
        <f t="shared" si="264"/>
        <v/>
      </c>
      <c r="BQ310" s="1771">
        <f t="shared" si="264"/>
        <v>0</v>
      </c>
      <c r="BR310" s="3437" t="str">
        <f t="shared" si="265"/>
        <v/>
      </c>
      <c r="BS310" s="1771" t="str">
        <f t="shared" si="265"/>
        <v/>
      </c>
      <c r="BT310" s="1771" t="str">
        <f t="shared" si="265"/>
        <v/>
      </c>
      <c r="BU310" s="3442" t="str">
        <f t="shared" si="265"/>
        <v/>
      </c>
      <c r="BV310" s="1771" t="str">
        <f t="shared" si="265"/>
        <v/>
      </c>
      <c r="BW310" s="3442" t="str">
        <f t="shared" si="265"/>
        <v/>
      </c>
      <c r="BX310" s="3462"/>
      <c r="BY310" s="3439" t="str">
        <f>IF(L310=L319,"stop","")</f>
        <v/>
      </c>
      <c r="BZ310" s="3437" t="str">
        <f t="shared" si="266"/>
        <v/>
      </c>
      <c r="CA310" s="1771" t="str">
        <f t="shared" si="266"/>
        <v/>
      </c>
      <c r="CB310" s="1771" t="str">
        <f t="shared" si="266"/>
        <v/>
      </c>
      <c r="CC310" s="3442" t="str">
        <f t="shared" si="266"/>
        <v/>
      </c>
      <c r="CD310" s="1771" t="str">
        <f t="shared" si="266"/>
        <v/>
      </c>
      <c r="CE310" s="3437" t="str">
        <f t="shared" si="266"/>
        <v/>
      </c>
      <c r="CF310" s="1771" t="str">
        <f t="shared" si="266"/>
        <v/>
      </c>
      <c r="CG310" s="1771" t="str">
        <f t="shared" si="266"/>
        <v/>
      </c>
      <c r="CH310" s="3437" t="str">
        <f t="shared" si="266"/>
        <v/>
      </c>
      <c r="CI310" s="1771" t="str">
        <f t="shared" si="266"/>
        <v/>
      </c>
      <c r="CJ310" s="1771" t="str">
        <f t="shared" si="266"/>
        <v/>
      </c>
      <c r="CK310" s="3442">
        <f t="shared" si="266"/>
        <v>0</v>
      </c>
      <c r="CL310" s="3437" t="str">
        <f t="shared" si="267"/>
        <v/>
      </c>
      <c r="CM310" s="1771" t="str">
        <f t="shared" si="267"/>
        <v/>
      </c>
      <c r="CN310" s="1771" t="str">
        <f t="shared" si="267"/>
        <v/>
      </c>
      <c r="CO310" s="3442" t="str">
        <f t="shared" si="267"/>
        <v/>
      </c>
      <c r="CP310" s="1771" t="str">
        <f t="shared" si="267"/>
        <v/>
      </c>
      <c r="CQ310" s="3442" t="str">
        <f t="shared" si="267"/>
        <v/>
      </c>
      <c r="CR310" s="3462"/>
    </row>
    <row r="311" spans="1:96" s="3" customFormat="1">
      <c r="A311" s="1845" t="s">
        <v>767</v>
      </c>
      <c r="B311" s="817">
        <v>22</v>
      </c>
      <c r="C311" s="817">
        <v>34.01</v>
      </c>
      <c r="D311" s="816" t="s">
        <v>839</v>
      </c>
      <c r="E311" s="1802" t="s">
        <v>35</v>
      </c>
      <c r="F311" s="816" t="s">
        <v>839</v>
      </c>
      <c r="G311" s="816" t="s">
        <v>784</v>
      </c>
      <c r="H311" s="816">
        <v>1988</v>
      </c>
      <c r="I311" s="50"/>
      <c r="J311" s="816">
        <f t="shared" si="243"/>
        <v>34.01</v>
      </c>
      <c r="K311" s="816">
        <v>0</v>
      </c>
      <c r="L311" s="816" t="s">
        <v>35</v>
      </c>
      <c r="M311" s="816">
        <v>0</v>
      </c>
      <c r="N311" s="845">
        <f t="shared" si="245"/>
        <v>0</v>
      </c>
      <c r="O311" s="1831">
        <f t="shared" si="246"/>
        <v>0</v>
      </c>
      <c r="P311" s="825" t="s">
        <v>1088</v>
      </c>
      <c r="Q311" s="3" t="str">
        <f>IF(J311=J319,"stop","")</f>
        <v/>
      </c>
      <c r="R311" s="3437" t="str">
        <f t="shared" ref="R311:AF311" si="268">IF(AND($J311&gt;R$4,$J311&lt;=R$5,$P311=R$6),$K311,"")</f>
        <v/>
      </c>
      <c r="S311" s="1771" t="str">
        <f t="shared" si="268"/>
        <v/>
      </c>
      <c r="T311" s="1771" t="str">
        <f t="shared" si="268"/>
        <v/>
      </c>
      <c r="U311" s="1771" t="str">
        <f t="shared" si="268"/>
        <v/>
      </c>
      <c r="V311" s="3443" t="str">
        <f t="shared" si="268"/>
        <v/>
      </c>
      <c r="W311" s="1771" t="str">
        <f t="shared" si="268"/>
        <v/>
      </c>
      <c r="X311" s="1771" t="str">
        <f t="shared" si="268"/>
        <v/>
      </c>
      <c r="Y311" s="1771" t="str">
        <f t="shared" si="268"/>
        <v/>
      </c>
      <c r="Z311" s="3437" t="str">
        <f t="shared" si="268"/>
        <v/>
      </c>
      <c r="AA311" s="1771" t="str">
        <f t="shared" si="268"/>
        <v/>
      </c>
      <c r="AB311" s="1771" t="str">
        <f t="shared" si="268"/>
        <v/>
      </c>
      <c r="AC311" s="3442">
        <f t="shared" si="268"/>
        <v>0</v>
      </c>
      <c r="AD311" s="1771" t="str">
        <f t="shared" si="268"/>
        <v/>
      </c>
      <c r="AE311" s="1771" t="str">
        <f t="shared" si="268"/>
        <v/>
      </c>
      <c r="AF311" s="1771" t="str">
        <f t="shared" si="268"/>
        <v/>
      </c>
      <c r="AG311" s="3442" t="str">
        <f t="shared" si="260"/>
        <v/>
      </c>
      <c r="AH311" s="1771" t="str">
        <f t="shared" si="253"/>
        <v/>
      </c>
      <c r="AI311" s="3442" t="str">
        <f t="shared" si="253"/>
        <v/>
      </c>
      <c r="AJ311" s="3462"/>
      <c r="AK311" s="3439" t="str">
        <f>IF(J311=J319,"stop","")</f>
        <v/>
      </c>
      <c r="AL311" s="3437" t="str">
        <f t="shared" si="262"/>
        <v/>
      </c>
      <c r="AM311" s="1771" t="str">
        <f t="shared" si="262"/>
        <v/>
      </c>
      <c r="AN311" s="1771" t="str">
        <f t="shared" si="262"/>
        <v/>
      </c>
      <c r="AO311" s="1771" t="str">
        <f t="shared" si="262"/>
        <v/>
      </c>
      <c r="AP311" s="3443" t="str">
        <f t="shared" si="262"/>
        <v/>
      </c>
      <c r="AQ311" s="1771" t="str">
        <f t="shared" si="262"/>
        <v/>
      </c>
      <c r="AR311" s="1771" t="str">
        <f t="shared" si="262"/>
        <v/>
      </c>
      <c r="AS311" s="3442" t="str">
        <f t="shared" si="262"/>
        <v/>
      </c>
      <c r="AT311" s="1771" t="str">
        <f t="shared" si="262"/>
        <v/>
      </c>
      <c r="AU311" s="1771" t="str">
        <f t="shared" si="262"/>
        <v/>
      </c>
      <c r="AV311" s="1771" t="str">
        <f t="shared" si="262"/>
        <v/>
      </c>
      <c r="AW311" s="3442">
        <f t="shared" si="262"/>
        <v>0</v>
      </c>
      <c r="AX311" s="1771" t="str">
        <f t="shared" si="263"/>
        <v/>
      </c>
      <c r="AY311" s="1771" t="str">
        <f t="shared" si="263"/>
        <v/>
      </c>
      <c r="AZ311" s="1771" t="str">
        <f t="shared" si="263"/>
        <v/>
      </c>
      <c r="BA311" s="1771" t="str">
        <f t="shared" si="263"/>
        <v/>
      </c>
      <c r="BB311" s="3437" t="str">
        <f t="shared" si="263"/>
        <v/>
      </c>
      <c r="BC311" s="3443" t="str">
        <f t="shared" si="263"/>
        <v/>
      </c>
      <c r="BD311" s="3462"/>
      <c r="BE311" s="3440" t="str">
        <f>IF(J311=J319,"stop","")</f>
        <v/>
      </c>
      <c r="BF311" s="1771" t="str">
        <f t="shared" si="264"/>
        <v/>
      </c>
      <c r="BG311" s="1771" t="str">
        <f t="shared" si="264"/>
        <v/>
      </c>
      <c r="BH311" s="1771" t="str">
        <f t="shared" si="264"/>
        <v/>
      </c>
      <c r="BI311" s="1771" t="str">
        <f t="shared" si="264"/>
        <v/>
      </c>
      <c r="BJ311" s="3443" t="str">
        <f t="shared" si="264"/>
        <v/>
      </c>
      <c r="BK311" s="3437" t="str">
        <f t="shared" si="264"/>
        <v/>
      </c>
      <c r="BL311" s="1771" t="str">
        <f t="shared" si="264"/>
        <v/>
      </c>
      <c r="BM311" s="3442" t="str">
        <f t="shared" si="264"/>
        <v/>
      </c>
      <c r="BN311" s="1771" t="str">
        <f t="shared" si="264"/>
        <v/>
      </c>
      <c r="BO311" s="1771" t="str">
        <f t="shared" si="264"/>
        <v/>
      </c>
      <c r="BP311" s="1771" t="str">
        <f t="shared" si="264"/>
        <v/>
      </c>
      <c r="BQ311" s="1771">
        <f t="shared" si="264"/>
        <v>0</v>
      </c>
      <c r="BR311" s="3437" t="str">
        <f t="shared" si="265"/>
        <v/>
      </c>
      <c r="BS311" s="1771" t="str">
        <f t="shared" si="265"/>
        <v/>
      </c>
      <c r="BT311" s="1771" t="str">
        <f t="shared" si="265"/>
        <v/>
      </c>
      <c r="BU311" s="3442" t="str">
        <f t="shared" si="265"/>
        <v/>
      </c>
      <c r="BV311" s="1771" t="str">
        <f t="shared" si="265"/>
        <v/>
      </c>
      <c r="BW311" s="3442" t="str">
        <f t="shared" si="265"/>
        <v/>
      </c>
      <c r="BX311" s="3462"/>
      <c r="BY311" s="3439" t="str">
        <f>IF(L311=L319,"stop","")</f>
        <v/>
      </c>
      <c r="BZ311" s="3437" t="str">
        <f t="shared" si="266"/>
        <v/>
      </c>
      <c r="CA311" s="1771" t="str">
        <f t="shared" si="266"/>
        <v/>
      </c>
      <c r="CB311" s="1771" t="str">
        <f t="shared" si="266"/>
        <v/>
      </c>
      <c r="CC311" s="3442" t="str">
        <f t="shared" si="266"/>
        <v/>
      </c>
      <c r="CD311" s="1771" t="str">
        <f t="shared" si="266"/>
        <v/>
      </c>
      <c r="CE311" s="3437" t="str">
        <f t="shared" si="266"/>
        <v/>
      </c>
      <c r="CF311" s="1771" t="str">
        <f t="shared" si="266"/>
        <v/>
      </c>
      <c r="CG311" s="1771" t="str">
        <f t="shared" si="266"/>
        <v/>
      </c>
      <c r="CH311" s="3437" t="str">
        <f t="shared" si="266"/>
        <v/>
      </c>
      <c r="CI311" s="1771" t="str">
        <f t="shared" si="266"/>
        <v/>
      </c>
      <c r="CJ311" s="1771" t="str">
        <f t="shared" si="266"/>
        <v/>
      </c>
      <c r="CK311" s="3442">
        <f t="shared" si="266"/>
        <v>0</v>
      </c>
      <c r="CL311" s="3437" t="str">
        <f t="shared" si="267"/>
        <v/>
      </c>
      <c r="CM311" s="1771" t="str">
        <f t="shared" si="267"/>
        <v/>
      </c>
      <c r="CN311" s="1771" t="str">
        <f t="shared" si="267"/>
        <v/>
      </c>
      <c r="CO311" s="3442" t="str">
        <f t="shared" si="267"/>
        <v/>
      </c>
      <c r="CP311" s="1771" t="str">
        <f t="shared" si="267"/>
        <v/>
      </c>
      <c r="CQ311" s="3442" t="str">
        <f t="shared" si="267"/>
        <v/>
      </c>
      <c r="CR311" s="3462"/>
    </row>
    <row r="312" spans="1:96" s="3" customFormat="1">
      <c r="A312" s="1841"/>
      <c r="B312" s="1819" t="s">
        <v>1081</v>
      </c>
      <c r="C312" s="1820"/>
      <c r="D312" s="1821"/>
      <c r="E312" s="1822"/>
      <c r="F312" s="1823" t="s">
        <v>1084</v>
      </c>
      <c r="G312" s="1824"/>
      <c r="H312" s="1824"/>
      <c r="I312" s="1828"/>
      <c r="J312" s="1825" t="s">
        <v>1085</v>
      </c>
      <c r="K312" s="1820"/>
      <c r="L312" s="1820"/>
      <c r="M312" s="1820"/>
      <c r="N312" s="1826"/>
      <c r="O312" s="1827"/>
      <c r="P312" s="1832"/>
      <c r="R312" s="3437"/>
      <c r="S312" s="1771"/>
      <c r="T312" s="1771"/>
      <c r="U312" s="1771"/>
      <c r="V312" s="3443"/>
      <c r="W312" s="1771"/>
      <c r="X312" s="1771"/>
      <c r="Y312" s="1771"/>
      <c r="Z312" s="3437"/>
      <c r="AA312" s="1771"/>
      <c r="AB312" s="1771"/>
      <c r="AC312" s="3442"/>
      <c r="AD312" s="1771"/>
      <c r="AE312" s="1771"/>
      <c r="AF312" s="1771"/>
      <c r="AG312" s="3442"/>
      <c r="AH312" s="1771"/>
      <c r="AI312" s="3442"/>
      <c r="AJ312" s="3462"/>
      <c r="AK312" s="3439"/>
      <c r="AL312" s="3437"/>
      <c r="AM312" s="1771"/>
      <c r="AN312" s="1771"/>
      <c r="AO312" s="1771"/>
      <c r="AP312" s="3443"/>
      <c r="AQ312" s="1771"/>
      <c r="AR312" s="1771"/>
      <c r="AS312" s="3442"/>
      <c r="AT312" s="1771"/>
      <c r="AU312" s="1771"/>
      <c r="AV312" s="1771"/>
      <c r="AW312" s="3442"/>
      <c r="AX312" s="1771"/>
      <c r="AY312" s="1771"/>
      <c r="AZ312" s="1771"/>
      <c r="BA312" s="1771"/>
      <c r="BB312" s="3437"/>
      <c r="BC312" s="3443"/>
      <c r="BD312" s="3462"/>
      <c r="BE312" s="3440"/>
      <c r="BF312" s="1771"/>
      <c r="BG312" s="1771"/>
      <c r="BH312" s="1771"/>
      <c r="BI312" s="1771"/>
      <c r="BJ312" s="3443"/>
      <c r="BK312" s="3437"/>
      <c r="BL312" s="1771"/>
      <c r="BM312" s="3442"/>
      <c r="BN312" s="1771"/>
      <c r="BO312" s="1771"/>
      <c r="BP312" s="1771"/>
      <c r="BQ312" s="1771"/>
      <c r="BR312" s="3437"/>
      <c r="BS312" s="1771"/>
      <c r="BT312" s="1771"/>
      <c r="BU312" s="3442"/>
      <c r="BV312" s="1771"/>
      <c r="BW312" s="3442"/>
      <c r="BX312" s="3462"/>
      <c r="BY312" s="3439"/>
      <c r="BZ312" s="3437"/>
      <c r="CA312" s="1771"/>
      <c r="CB312" s="1771"/>
      <c r="CC312" s="3442"/>
      <c r="CD312" s="1771"/>
      <c r="CE312" s="3437"/>
      <c r="CF312" s="1771"/>
      <c r="CG312" s="1771"/>
      <c r="CH312" s="3437"/>
      <c r="CI312" s="1771"/>
      <c r="CJ312" s="1771"/>
      <c r="CK312" s="3442"/>
      <c r="CL312" s="3437"/>
      <c r="CM312" s="1771"/>
      <c r="CN312" s="1771"/>
      <c r="CO312" s="3442"/>
      <c r="CP312" s="1771"/>
      <c r="CQ312" s="3442"/>
      <c r="CR312" s="3462"/>
    </row>
    <row r="313" spans="1:96" s="839" customFormat="1">
      <c r="A313" s="1843" t="s">
        <v>217</v>
      </c>
      <c r="B313" s="837"/>
      <c r="C313" s="837"/>
      <c r="D313" s="837"/>
      <c r="E313" s="1800"/>
      <c r="F313" s="837"/>
      <c r="G313" s="837"/>
      <c r="H313" s="837"/>
      <c r="I313" s="1811"/>
      <c r="J313" s="840"/>
      <c r="K313" s="837"/>
      <c r="L313" s="837"/>
      <c r="M313" s="837"/>
      <c r="N313" s="837"/>
      <c r="O313" s="838"/>
      <c r="P313" s="841"/>
      <c r="R313" s="842">
        <f t="shared" ref="R313:AI313" si="269">SUM(R152:R312)</f>
        <v>0.12</v>
      </c>
      <c r="S313" s="843">
        <f t="shared" si="269"/>
        <v>2.73</v>
      </c>
      <c r="T313" s="843">
        <f t="shared" si="269"/>
        <v>0</v>
      </c>
      <c r="U313" s="843">
        <f t="shared" si="269"/>
        <v>0</v>
      </c>
      <c r="V313" s="933">
        <f t="shared" si="269"/>
        <v>5.27</v>
      </c>
      <c r="W313" s="843">
        <f>SUM(W152:W312)</f>
        <v>14.679999999999998</v>
      </c>
      <c r="X313" s="843">
        <f>SUM(X152:X312)</f>
        <v>7.7899999999999965</v>
      </c>
      <c r="Y313" s="843">
        <f>SUM(Y152:Y312)</f>
        <v>1.8600000000000005</v>
      </c>
      <c r="Z313" s="842">
        <f t="shared" si="269"/>
        <v>2.7599999999999989</v>
      </c>
      <c r="AA313" s="843">
        <f t="shared" si="269"/>
        <v>0.02</v>
      </c>
      <c r="AB313" s="843">
        <f t="shared" si="269"/>
        <v>0</v>
      </c>
      <c r="AC313" s="844">
        <f t="shared" si="269"/>
        <v>2.3749999999999998E-7</v>
      </c>
      <c r="AD313" s="843">
        <f t="shared" si="269"/>
        <v>0.09</v>
      </c>
      <c r="AE313" s="843">
        <f t="shared" si="269"/>
        <v>0</v>
      </c>
      <c r="AF313" s="843">
        <f t="shared" si="269"/>
        <v>0</v>
      </c>
      <c r="AG313" s="844">
        <f t="shared" si="269"/>
        <v>0</v>
      </c>
      <c r="AH313" s="843">
        <f t="shared" si="269"/>
        <v>0</v>
      </c>
      <c r="AI313" s="844">
        <f t="shared" si="269"/>
        <v>11.07</v>
      </c>
      <c r="AJ313" s="3466">
        <f>SUM(R313:AI313)</f>
        <v>46.390000237499997</v>
      </c>
      <c r="AL313" s="842">
        <f t="shared" ref="AL313:BC313" si="270">SUM(AL152:AL312)</f>
        <v>3.5</v>
      </c>
      <c r="AM313" s="843">
        <f t="shared" si="270"/>
        <v>21.8</v>
      </c>
      <c r="AN313" s="843">
        <f t="shared" si="270"/>
        <v>0</v>
      </c>
      <c r="AO313" s="843">
        <f t="shared" si="270"/>
        <v>0</v>
      </c>
      <c r="AP313" s="933">
        <f t="shared" si="270"/>
        <v>21.319999999999997</v>
      </c>
      <c r="AQ313" s="843">
        <f>SUM(AQ152:AQ312)</f>
        <v>27.34</v>
      </c>
      <c r="AR313" s="843">
        <f>SUM(AR152:AR312)</f>
        <v>37.880000000000024</v>
      </c>
      <c r="AS313" s="844">
        <f>SUM(AS152:AS312)</f>
        <v>9.8499999999999979</v>
      </c>
      <c r="AT313" s="843">
        <f t="shared" si="270"/>
        <v>9.620000000000001</v>
      </c>
      <c r="AU313" s="843">
        <f t="shared" si="270"/>
        <v>0.16</v>
      </c>
      <c r="AV313" s="843">
        <f t="shared" si="270"/>
        <v>0</v>
      </c>
      <c r="AW313" s="844">
        <f t="shared" si="270"/>
        <v>2.3749999999999998E-7</v>
      </c>
      <c r="AX313" s="843">
        <f t="shared" si="270"/>
        <v>0.31</v>
      </c>
      <c r="AY313" s="843">
        <f t="shared" si="270"/>
        <v>0</v>
      </c>
      <c r="AZ313" s="843">
        <f t="shared" si="270"/>
        <v>0</v>
      </c>
      <c r="BA313" s="843">
        <f t="shared" si="270"/>
        <v>0</v>
      </c>
      <c r="BB313" s="842">
        <f t="shared" si="270"/>
        <v>0</v>
      </c>
      <c r="BC313" s="933">
        <f t="shared" si="270"/>
        <v>17.03</v>
      </c>
      <c r="BD313" s="3466">
        <f>SUM(AL313:BC313)</f>
        <v>148.81000023749999</v>
      </c>
      <c r="BE313" s="3435"/>
      <c r="BF313" s="843">
        <f t="shared" ref="BF313:BW313" si="271">SUM(BF152:BF312)</f>
        <v>0.64807406984078597</v>
      </c>
      <c r="BG313" s="843">
        <f t="shared" si="271"/>
        <v>7.7145317421085258</v>
      </c>
      <c r="BH313" s="843">
        <f t="shared" si="271"/>
        <v>0</v>
      </c>
      <c r="BI313" s="843">
        <f t="shared" si="271"/>
        <v>0</v>
      </c>
      <c r="BJ313" s="933">
        <f t="shared" si="271"/>
        <v>10.108325753641076</v>
      </c>
      <c r="BK313" s="842">
        <f>SUM(BK152:BK312)</f>
        <v>19.22902172526917</v>
      </c>
      <c r="BL313" s="843">
        <f>SUM(BL152:BL312)</f>
        <v>14.865578286588082</v>
      </c>
      <c r="BM313" s="844">
        <f>SUM(BM152:BM312)</f>
        <v>4.0115376228465074</v>
      </c>
      <c r="BN313" s="843">
        <f t="shared" si="271"/>
        <v>4.7037419075885101</v>
      </c>
      <c r="BO313" s="843">
        <f t="shared" si="271"/>
        <v>5.6568542494923803E-2</v>
      </c>
      <c r="BP313" s="843">
        <f t="shared" si="271"/>
        <v>0</v>
      </c>
      <c r="BQ313" s="843">
        <f t="shared" si="271"/>
        <v>2.3749999999999998E-7</v>
      </c>
      <c r="BR313" s="842">
        <f t="shared" si="271"/>
        <v>0.16488088481701516</v>
      </c>
      <c r="BS313" s="843">
        <f t="shared" si="271"/>
        <v>0</v>
      </c>
      <c r="BT313" s="843">
        <f t="shared" si="271"/>
        <v>0</v>
      </c>
      <c r="BU313" s="844">
        <f t="shared" si="271"/>
        <v>0</v>
      </c>
      <c r="BV313" s="843">
        <f t="shared" si="271"/>
        <v>0</v>
      </c>
      <c r="BW313" s="844">
        <f t="shared" si="271"/>
        <v>13.626441488682088</v>
      </c>
      <c r="BX313" s="3466">
        <f>SUM(BF313:BW313)</f>
        <v>75.128702261376674</v>
      </c>
      <c r="BZ313" s="842">
        <f t="shared" ref="BZ313:CQ313" si="272">SUM(BZ152:BZ312)</f>
        <v>1.81</v>
      </c>
      <c r="CA313" s="843">
        <f t="shared" si="272"/>
        <v>12.265000000000001</v>
      </c>
      <c r="CB313" s="843">
        <f t="shared" si="272"/>
        <v>0</v>
      </c>
      <c r="CC313" s="844">
        <f t="shared" si="272"/>
        <v>0</v>
      </c>
      <c r="CD313" s="843">
        <f t="shared" si="272"/>
        <v>13.295000000000002</v>
      </c>
      <c r="CE313" s="842">
        <f>SUM(CE152:CE312)</f>
        <v>21.010000000000009</v>
      </c>
      <c r="CF313" s="843">
        <f>SUM(CF152:CF312)</f>
        <v>22.835000000000004</v>
      </c>
      <c r="CG313" s="843">
        <f>SUM(CG152:CG312)</f>
        <v>5.8550000000000004</v>
      </c>
      <c r="CH313" s="842">
        <f t="shared" si="272"/>
        <v>6.19</v>
      </c>
      <c r="CI313" s="843">
        <f t="shared" si="272"/>
        <v>0.09</v>
      </c>
      <c r="CJ313" s="843">
        <f t="shared" si="272"/>
        <v>0</v>
      </c>
      <c r="CK313" s="844">
        <f t="shared" si="272"/>
        <v>2.3749999999999998E-7</v>
      </c>
      <c r="CL313" s="842">
        <f t="shared" si="272"/>
        <v>0.2</v>
      </c>
      <c r="CM313" s="843">
        <f t="shared" si="272"/>
        <v>0</v>
      </c>
      <c r="CN313" s="843">
        <f t="shared" si="272"/>
        <v>0</v>
      </c>
      <c r="CO313" s="844">
        <f t="shared" si="272"/>
        <v>0</v>
      </c>
      <c r="CP313" s="843">
        <f t="shared" si="272"/>
        <v>0</v>
      </c>
      <c r="CQ313" s="844">
        <f t="shared" si="272"/>
        <v>14.050000000000002</v>
      </c>
      <c r="CR313" s="3466">
        <f>SUM(BZ313:CQ313)</f>
        <v>97.600000237500026</v>
      </c>
    </row>
    <row r="314" spans="1:96" s="1160" customFormat="1">
      <c r="A314" s="1844" t="s">
        <v>956</v>
      </c>
      <c r="B314" s="1158"/>
      <c r="C314" s="1158"/>
      <c r="D314" s="1158"/>
      <c r="E314" s="1801"/>
      <c r="F314" s="1158"/>
      <c r="G314" s="1158"/>
      <c r="H314" s="1158"/>
      <c r="I314" s="1812"/>
      <c r="J314" s="1161"/>
      <c r="K314" s="1158"/>
      <c r="L314" s="1158"/>
      <c r="M314" s="1158"/>
      <c r="N314" s="1158"/>
      <c r="O314" s="1159"/>
      <c r="P314" s="1162"/>
      <c r="R314" s="1163">
        <f t="shared" ref="R314:AG314" si="273">R313/$AJ313*100</f>
        <v>0.25867643756336162</v>
      </c>
      <c r="S314" s="1164">
        <f t="shared" si="273"/>
        <v>5.8848889545664775</v>
      </c>
      <c r="T314" s="1164">
        <f t="shared" si="273"/>
        <v>0</v>
      </c>
      <c r="U314" s="1164">
        <f t="shared" si="273"/>
        <v>0</v>
      </c>
      <c r="V314" s="1166">
        <f t="shared" si="273"/>
        <v>11.360206882990964</v>
      </c>
      <c r="W314" s="1164">
        <f t="shared" si="273"/>
        <v>31.644750861917903</v>
      </c>
      <c r="X314" s="1164">
        <f t="shared" si="273"/>
        <v>16.792412071821552</v>
      </c>
      <c r="Y314" s="1164">
        <f t="shared" si="273"/>
        <v>4.0094847822321071</v>
      </c>
      <c r="Z314" s="1163">
        <f t="shared" si="273"/>
        <v>5.9495580639573156</v>
      </c>
      <c r="AA314" s="1164">
        <f t="shared" si="273"/>
        <v>4.3112739593893612E-2</v>
      </c>
      <c r="AB314" s="1164">
        <f t="shared" si="273"/>
        <v>0</v>
      </c>
      <c r="AC314" s="1162">
        <f t="shared" si="273"/>
        <v>5.1196378267748654E-7</v>
      </c>
      <c r="AD314" s="1164">
        <f t="shared" si="273"/>
        <v>0.19400732817252123</v>
      </c>
      <c r="AE314" s="1164">
        <f t="shared" si="273"/>
        <v>0</v>
      </c>
      <c r="AF314" s="1164">
        <f t="shared" si="273"/>
        <v>0</v>
      </c>
      <c r="AG314" s="1162">
        <f t="shared" si="273"/>
        <v>0</v>
      </c>
      <c r="AH314" s="1164">
        <f t="shared" ref="AH314" si="274">AH313/$AJ313*100</f>
        <v>0</v>
      </c>
      <c r="AI314" s="1162">
        <f>AI313/$AJ313*100</f>
        <v>23.862901365220111</v>
      </c>
      <c r="AJ314" s="3467">
        <f>SUM(R314:AI314)</f>
        <v>99.999999999999972</v>
      </c>
      <c r="AL314" s="1163">
        <f t="shared" ref="AL314:BA314" si="275">AL313/$BD313*100</f>
        <v>2.3519924698703165</v>
      </c>
      <c r="AM314" s="1164">
        <f t="shared" si="275"/>
        <v>14.649553098049401</v>
      </c>
      <c r="AN314" s="1164">
        <f t="shared" si="275"/>
        <v>0</v>
      </c>
      <c r="AO314" s="1164">
        <f t="shared" si="275"/>
        <v>0</v>
      </c>
      <c r="AP314" s="1166">
        <f t="shared" si="275"/>
        <v>14.326994130752899</v>
      </c>
      <c r="AQ314" s="1164">
        <f t="shared" si="275"/>
        <v>18.372421178929844</v>
      </c>
      <c r="AR314" s="1164">
        <f t="shared" si="275"/>
        <v>25.455278502482187</v>
      </c>
      <c r="AS314" s="1162">
        <f t="shared" si="275"/>
        <v>6.6191788080636043</v>
      </c>
      <c r="AT314" s="1164">
        <f t="shared" si="275"/>
        <v>6.4646193029007</v>
      </c>
      <c r="AU314" s="1164">
        <f t="shared" si="275"/>
        <v>0.10751965576550018</v>
      </c>
      <c r="AV314" s="1164">
        <f t="shared" si="275"/>
        <v>0</v>
      </c>
      <c r="AW314" s="1162">
        <f t="shared" si="275"/>
        <v>1.5959948902691431E-7</v>
      </c>
      <c r="AX314" s="1164">
        <f t="shared" si="275"/>
        <v>0.20831933304565659</v>
      </c>
      <c r="AY314" s="1164">
        <f t="shared" si="275"/>
        <v>0</v>
      </c>
      <c r="AZ314" s="1164">
        <f t="shared" si="275"/>
        <v>0</v>
      </c>
      <c r="BA314" s="1164">
        <f t="shared" si="275"/>
        <v>0</v>
      </c>
      <c r="BB314" s="1163">
        <f t="shared" ref="BB314" si="276">BB313/$BD313*100</f>
        <v>0</v>
      </c>
      <c r="BC314" s="1166">
        <f>BC313/$BD313*100</f>
        <v>11.444123360540427</v>
      </c>
      <c r="BD314" s="3467">
        <f>SUM(AL314:BC314)</f>
        <v>100.00000000000003</v>
      </c>
      <c r="BE314" s="1165"/>
      <c r="BF314" s="1164">
        <f t="shared" ref="BF314:BW314" si="277">BF313/$BX313*100</f>
        <v>0.86261848046583112</v>
      </c>
      <c r="BG314" s="1164">
        <f t="shared" si="277"/>
        <v>10.268421402075157</v>
      </c>
      <c r="BH314" s="1164">
        <f t="shared" si="277"/>
        <v>0</v>
      </c>
      <c r="BI314" s="1164">
        <f t="shared" si="277"/>
        <v>0</v>
      </c>
      <c r="BJ314" s="1166">
        <f t="shared" si="277"/>
        <v>13.454679036613307</v>
      </c>
      <c r="BK314" s="1163">
        <f t="shared" si="277"/>
        <v>25.594774229388921</v>
      </c>
      <c r="BL314" s="1164">
        <f t="shared" si="277"/>
        <v>19.78681627544951</v>
      </c>
      <c r="BM314" s="1162">
        <f t="shared" si="277"/>
        <v>5.3395539948103439</v>
      </c>
      <c r="BN314" s="1164">
        <f t="shared" si="277"/>
        <v>6.260911963078966</v>
      </c>
      <c r="BO314" s="1164">
        <f t="shared" si="277"/>
        <v>7.529551395433251E-2</v>
      </c>
      <c r="BP314" s="1164">
        <f t="shared" si="277"/>
        <v>0</v>
      </c>
      <c r="BQ314" s="1164">
        <f t="shared" si="277"/>
        <v>3.1612418802833182E-7</v>
      </c>
      <c r="BR314" s="1163">
        <f t="shared" si="277"/>
        <v>0.21946457193335506</v>
      </c>
      <c r="BS314" s="1164">
        <f t="shared" si="277"/>
        <v>0</v>
      </c>
      <c r="BT314" s="1164">
        <f t="shared" si="277"/>
        <v>0</v>
      </c>
      <c r="BU314" s="1162">
        <f t="shared" si="277"/>
        <v>0</v>
      </c>
      <c r="BV314" s="1164">
        <f t="shared" si="277"/>
        <v>0</v>
      </c>
      <c r="BW314" s="1162">
        <f t="shared" si="277"/>
        <v>18.1374642161061</v>
      </c>
      <c r="BX314" s="3467">
        <f>SUM(BF314:BW314)</f>
        <v>100.00000000000001</v>
      </c>
      <c r="BZ314" s="1163">
        <f t="shared" ref="BZ314:CQ314" si="278">BZ313/$CR313*100</f>
        <v>1.8545081922085478</v>
      </c>
      <c r="CA314" s="1164">
        <f t="shared" si="278"/>
        <v>12.566598330076154</v>
      </c>
      <c r="CB314" s="1164">
        <f t="shared" si="278"/>
        <v>0</v>
      </c>
      <c r="CC314" s="1162">
        <f t="shared" si="278"/>
        <v>0</v>
      </c>
      <c r="CD314" s="1164">
        <f t="shared" si="278"/>
        <v>13.621926196360576</v>
      </c>
      <c r="CE314" s="1163">
        <f t="shared" si="278"/>
        <v>21.526639291879338</v>
      </c>
      <c r="CF314" s="1164">
        <f t="shared" si="278"/>
        <v>23.396516336509499</v>
      </c>
      <c r="CG314" s="1164">
        <f t="shared" si="278"/>
        <v>5.9989753952381477</v>
      </c>
      <c r="CH314" s="1163">
        <f t="shared" si="278"/>
        <v>6.3422130993209453</v>
      </c>
      <c r="CI314" s="1164">
        <f t="shared" si="278"/>
        <v>9.2213114529706791E-2</v>
      </c>
      <c r="CJ314" s="1164">
        <f t="shared" si="278"/>
        <v>0</v>
      </c>
      <c r="CK314" s="1162">
        <f t="shared" si="278"/>
        <v>2.4334016334228179E-7</v>
      </c>
      <c r="CL314" s="1163">
        <f t="shared" si="278"/>
        <v>0.20491803228823735</v>
      </c>
      <c r="CM314" s="1164">
        <f t="shared" si="278"/>
        <v>0</v>
      </c>
      <c r="CN314" s="1164">
        <f t="shared" si="278"/>
        <v>0</v>
      </c>
      <c r="CO314" s="1162">
        <f t="shared" si="278"/>
        <v>0</v>
      </c>
      <c r="CP314" s="1164">
        <f t="shared" si="278"/>
        <v>0</v>
      </c>
      <c r="CQ314" s="1162">
        <f t="shared" si="278"/>
        <v>14.395491768248675</v>
      </c>
      <c r="CR314" s="3467">
        <f>SUM(BZ314:CQ314)</f>
        <v>100</v>
      </c>
    </row>
    <row r="315" spans="1:96" s="3476" customFormat="1">
      <c r="A315" s="3469" t="s">
        <v>1257</v>
      </c>
      <c r="B315" s="3470"/>
      <c r="C315" s="3470"/>
      <c r="D315" s="3470"/>
      <c r="E315" s="3471"/>
      <c r="F315" s="3470"/>
      <c r="G315" s="3470"/>
      <c r="H315" s="3470"/>
      <c r="I315" s="3472"/>
      <c r="J315" s="3473"/>
      <c r="K315" s="3470"/>
      <c r="L315" s="3470"/>
      <c r="M315" s="3470"/>
      <c r="N315" s="3470"/>
      <c r="O315" s="3474"/>
      <c r="P315" s="3475"/>
      <c r="R315" s="4156">
        <f>SUM(R314:V314)+SUM(W314:Y314)</f>
        <v>69.95041999109236</v>
      </c>
      <c r="S315" s="4158"/>
      <c r="T315" s="4158"/>
      <c r="U315" s="4158"/>
      <c r="V315" s="4158"/>
      <c r="W315" s="4158"/>
      <c r="X315" s="4158"/>
      <c r="Y315" s="4157"/>
      <c r="Z315" s="4156">
        <f>SUM(Z314:AC314)+SUM(AD314:AG314)</f>
        <v>6.1866786436875127</v>
      </c>
      <c r="AA315" s="4158"/>
      <c r="AB315" s="4158"/>
      <c r="AC315" s="4158"/>
      <c r="AD315" s="4158"/>
      <c r="AE315" s="4158"/>
      <c r="AF315" s="4158"/>
      <c r="AG315" s="4157"/>
      <c r="AH315" s="4156">
        <f>SUM(AH314:AI314)</f>
        <v>23.862901365220111</v>
      </c>
      <c r="AI315" s="4157"/>
      <c r="AJ315" s="3479">
        <f>SUM(R315:AI315)</f>
        <v>99.999999999999986</v>
      </c>
      <c r="AK315" s="3477"/>
      <c r="AL315" s="4156">
        <f>SUM(AL314:AP314)+SUM(AQ314:AS314)</f>
        <v>81.775418188148251</v>
      </c>
      <c r="AM315" s="4158"/>
      <c r="AN315" s="4158"/>
      <c r="AO315" s="4158"/>
      <c r="AP315" s="4158"/>
      <c r="AQ315" s="4158"/>
      <c r="AR315" s="4158"/>
      <c r="AS315" s="4157"/>
      <c r="AT315" s="4156">
        <f>SUM(AT314:AW314)+SUM(AX314:BA314)</f>
        <v>6.7804584513113459</v>
      </c>
      <c r="AU315" s="4158"/>
      <c r="AV315" s="4158"/>
      <c r="AW315" s="4158"/>
      <c r="AX315" s="4158"/>
      <c r="AY315" s="4158"/>
      <c r="AZ315" s="4158"/>
      <c r="BA315" s="4157"/>
      <c r="BB315" s="4156">
        <f>SUM(BB314:BC314)</f>
        <v>11.444123360540427</v>
      </c>
      <c r="BC315" s="4157"/>
      <c r="BD315" s="3479">
        <f>SUM(AL315:BC315)</f>
        <v>100.00000000000003</v>
      </c>
      <c r="BE315" s="3478"/>
      <c r="BF315" s="4156">
        <f>SUM(BF314:BJ314)+SUM(BK314:BM314)</f>
        <v>75.306863418803061</v>
      </c>
      <c r="BG315" s="4158"/>
      <c r="BH315" s="4158"/>
      <c r="BI315" s="4158"/>
      <c r="BJ315" s="4158"/>
      <c r="BK315" s="4158"/>
      <c r="BL315" s="4158"/>
      <c r="BM315" s="4157"/>
      <c r="BN315" s="4156">
        <f>SUM(BN314:BQ314)+SUM(BR314:BU314)</f>
        <v>6.5556723650908415</v>
      </c>
      <c r="BO315" s="4158"/>
      <c r="BP315" s="4158"/>
      <c r="BQ315" s="4158"/>
      <c r="BR315" s="4158"/>
      <c r="BS315" s="4158"/>
      <c r="BT315" s="4158"/>
      <c r="BU315" s="4157"/>
      <c r="BV315" s="4156">
        <f>SUM(BV314:BW314)</f>
        <v>18.1374642161061</v>
      </c>
      <c r="BW315" s="4157"/>
      <c r="BX315" s="3479">
        <f>SUM(BF315:BW315)</f>
        <v>100</v>
      </c>
      <c r="BY315" s="3477"/>
      <c r="BZ315" s="4156">
        <f>SUM(BZ314:CD314)+SUM(CE314:CG314)</f>
        <v>78.965163742272267</v>
      </c>
      <c r="CA315" s="4158"/>
      <c r="CB315" s="4158"/>
      <c r="CC315" s="4158"/>
      <c r="CD315" s="4158"/>
      <c r="CE315" s="4158"/>
      <c r="CF315" s="4158"/>
      <c r="CG315" s="4157"/>
      <c r="CH315" s="4156">
        <f>SUM(CH314:CK314)+SUM(CL314:CO314)</f>
        <v>6.6393444894790523</v>
      </c>
      <c r="CI315" s="4158"/>
      <c r="CJ315" s="4158"/>
      <c r="CK315" s="4158"/>
      <c r="CL315" s="4158"/>
      <c r="CM315" s="4158"/>
      <c r="CN315" s="4158"/>
      <c r="CO315" s="4157"/>
      <c r="CP315" s="4156">
        <f>SUM(CP314:CQ314)</f>
        <v>14.395491768248675</v>
      </c>
      <c r="CQ315" s="4157"/>
      <c r="CR315" s="3479">
        <f>SUM(BZ315:CQ315)</f>
        <v>100</v>
      </c>
    </row>
    <row r="316" spans="1:96" s="1871" customFormat="1" ht="26.25" thickBot="1">
      <c r="A316" s="1864" t="s">
        <v>1258</v>
      </c>
      <c r="B316" s="1865"/>
      <c r="C316" s="1865"/>
      <c r="D316" s="1865"/>
      <c r="E316" s="1866"/>
      <c r="F316" s="1865"/>
      <c r="G316" s="1865"/>
      <c r="H316" s="1865"/>
      <c r="I316" s="1867"/>
      <c r="J316" s="1868"/>
      <c r="K316" s="1865"/>
      <c r="L316" s="1865"/>
      <c r="M316" s="1865"/>
      <c r="N316" s="1865"/>
      <c r="O316" s="1869"/>
      <c r="P316" s="1870"/>
      <c r="R316" s="1872">
        <f>R314/R315</f>
        <v>3.6979969183359019E-3</v>
      </c>
      <c r="S316" s="1873">
        <f>S314/R315</f>
        <v>8.4129429892141783E-2</v>
      </c>
      <c r="T316" s="1873">
        <f>T314/R315</f>
        <v>0</v>
      </c>
      <c r="U316" s="1873">
        <f>U314/R315</f>
        <v>0</v>
      </c>
      <c r="V316" s="1876">
        <f>V314/R315</f>
        <v>0.16240369799691834</v>
      </c>
      <c r="W316" s="1873">
        <f>W314/R315</f>
        <v>0.4523882896764253</v>
      </c>
      <c r="X316" s="1873">
        <f>X314/R315</f>
        <v>0.24006163328197222</v>
      </c>
      <c r="Y316" s="1873">
        <f>Y314/R315</f>
        <v>5.7318952234206508E-2</v>
      </c>
      <c r="Z316" s="1872">
        <f>Z314/Z315</f>
        <v>0.96167239428669216</v>
      </c>
      <c r="AA316" s="1873">
        <f>AA314/Z315</f>
        <v>6.9686405383093666E-3</v>
      </c>
      <c r="AB316" s="1873">
        <f>AB314/Z315</f>
        <v>0</v>
      </c>
      <c r="AC316" s="1874">
        <f>AC314/Z315</f>
        <v>8.2752606392423707E-8</v>
      </c>
      <c r="AD316" s="1873">
        <f>AD314/Z315</f>
        <v>3.1358882422392147E-2</v>
      </c>
      <c r="AE316" s="1873">
        <f>AE314/Z315</f>
        <v>0</v>
      </c>
      <c r="AF316" s="1873">
        <f>AF314/Z315</f>
        <v>0</v>
      </c>
      <c r="AG316" s="1874">
        <f>AG314/Z315</f>
        <v>0</v>
      </c>
      <c r="AH316" s="1873">
        <f>AH314/AH315</f>
        <v>0</v>
      </c>
      <c r="AI316" s="1874">
        <f>AI314/AH315</f>
        <v>1</v>
      </c>
      <c r="AJ316" s="3468"/>
      <c r="AL316" s="1872">
        <f>AL314/AL315</f>
        <v>2.8761607362971477E-2</v>
      </c>
      <c r="AM316" s="1873">
        <f>AM314/AL315</f>
        <v>0.1791437258607938</v>
      </c>
      <c r="AN316" s="1873">
        <f>AN314/AL315</f>
        <v>0</v>
      </c>
      <c r="AO316" s="1873">
        <f>AO314/AL315</f>
        <v>0</v>
      </c>
      <c r="AP316" s="1876">
        <f>AP314/AL315</f>
        <v>0.17519927685101483</v>
      </c>
      <c r="AQ316" s="1873">
        <f>AQ314/AL315</f>
        <v>0.22466924151532577</v>
      </c>
      <c r="AR316" s="1873">
        <f>AR314/AL315</f>
        <v>0.3112827676883887</v>
      </c>
      <c r="AS316" s="1874">
        <f>AS314/AL315</f>
        <v>8.0943380721505434E-2</v>
      </c>
      <c r="AT316" s="1873">
        <f>AT314/AT315</f>
        <v>0.95341920451565298</v>
      </c>
      <c r="AU316" s="1873">
        <f>AU314/AT315</f>
        <v>1.5857284066788404E-2</v>
      </c>
      <c r="AV316" s="1873">
        <f>AV314/AT315</f>
        <v>0</v>
      </c>
      <c r="AW316" s="1874">
        <f>AW314/AT315</f>
        <v>2.3538156036639034E-8</v>
      </c>
      <c r="AX316" s="1873">
        <f>AX314/AT315</f>
        <v>3.0723487879402531E-2</v>
      </c>
      <c r="AY316" s="1873">
        <f>AY314/AT315</f>
        <v>0</v>
      </c>
      <c r="AZ316" s="1873">
        <f>AZ314/AT315</f>
        <v>0</v>
      </c>
      <c r="BA316" s="1873">
        <f>BA314/AT315</f>
        <v>0</v>
      </c>
      <c r="BB316" s="1872">
        <f>BB314/BB315</f>
        <v>0</v>
      </c>
      <c r="BC316" s="1876">
        <f>BC314/BB315</f>
        <v>1</v>
      </c>
      <c r="BD316" s="3468"/>
      <c r="BE316" s="1875"/>
      <c r="BF316" s="1873">
        <f>BF314/BF315</f>
        <v>1.145471264243954E-2</v>
      </c>
      <c r="BG316" s="1873">
        <f>BG314/BF315</f>
        <v>0.13635438970508598</v>
      </c>
      <c r="BH316" s="1873">
        <f>BH314/BF315</f>
        <v>0</v>
      </c>
      <c r="BI316" s="1873">
        <f>BI314/BF315</f>
        <v>0</v>
      </c>
      <c r="BJ316" s="1876">
        <f>BJ314/BF315</f>
        <v>0.17866471163176692</v>
      </c>
      <c r="BK316" s="1872">
        <f>BK314/BF315</f>
        <v>0.33987306159664415</v>
      </c>
      <c r="BL316" s="1873">
        <f>BL314/BF315</f>
        <v>0.26274917553542698</v>
      </c>
      <c r="BM316" s="1874">
        <f>BM314/BF315</f>
        <v>7.090394888863652E-2</v>
      </c>
      <c r="BN316" s="1873">
        <f>BN314/BN315</f>
        <v>0.95503735000829448</v>
      </c>
      <c r="BO316" s="1873">
        <f>BO314/BN315</f>
        <v>1.1485551711718153E-2</v>
      </c>
      <c r="BP316" s="1873">
        <f>BP314/BN315</f>
        <v>0</v>
      </c>
      <c r="BQ316" s="1873">
        <f>BQ314/BN315</f>
        <v>4.8221474537333943E-8</v>
      </c>
      <c r="BR316" s="1872">
        <f>BR314/BN315</f>
        <v>3.3477050058512793E-2</v>
      </c>
      <c r="BS316" s="1873">
        <f>BS314/BN315</f>
        <v>0</v>
      </c>
      <c r="BT316" s="1873">
        <f>BT314/BN315</f>
        <v>0</v>
      </c>
      <c r="BU316" s="1874">
        <f>BU314/BN315</f>
        <v>0</v>
      </c>
      <c r="BV316" s="1873">
        <f>BV314/BV315</f>
        <v>0</v>
      </c>
      <c r="BW316" s="1874">
        <f>BW314/BV315</f>
        <v>1</v>
      </c>
      <c r="BX316" s="3468"/>
      <c r="BZ316" s="1872">
        <f>BZ314/BZ315</f>
        <v>2.3485143376151547E-2</v>
      </c>
      <c r="CA316" s="1873">
        <f>CA314/BZ315</f>
        <v>0.15914104061243023</v>
      </c>
      <c r="CB316" s="1873">
        <f>CB314/BZ315</f>
        <v>0</v>
      </c>
      <c r="CC316" s="1874">
        <f>CC314/BZ315</f>
        <v>0</v>
      </c>
      <c r="CD316" s="1873">
        <f>CD314/BZ315</f>
        <v>0.17250551446736728</v>
      </c>
      <c r="CE316" s="1872">
        <f>CE314/BZ315</f>
        <v>0.2726093162060465</v>
      </c>
      <c r="CF316" s="1873">
        <f>CF314/BZ315</f>
        <v>0.29628908784222135</v>
      </c>
      <c r="CG316" s="1873">
        <f>CG314/BZ315</f>
        <v>7.5969897495783048E-2</v>
      </c>
      <c r="CH316" s="1872">
        <f>CH314/CH315</f>
        <v>0.9552468785692696</v>
      </c>
      <c r="CI316" s="1873">
        <f>CI314/CH315</f>
        <v>1.3888888379843983E-2</v>
      </c>
      <c r="CJ316" s="1873">
        <f>CJ314/CH315</f>
        <v>0</v>
      </c>
      <c r="CK316" s="1874">
        <f>CK314/CH315</f>
        <v>3.6651233224588284E-8</v>
      </c>
      <c r="CL316" s="1872">
        <f>CL314/CH315</f>
        <v>3.08641963996533E-2</v>
      </c>
      <c r="CM316" s="1873">
        <f>CM314/CH315</f>
        <v>0</v>
      </c>
      <c r="CN316" s="1873">
        <f>CN314/CH315</f>
        <v>0</v>
      </c>
      <c r="CO316" s="1874">
        <f>CO314/CH315</f>
        <v>0</v>
      </c>
      <c r="CP316" s="1873">
        <f>CP314/CP315</f>
        <v>0</v>
      </c>
      <c r="CQ316" s="1874">
        <f>CQ314/CP315</f>
        <v>1</v>
      </c>
      <c r="CR316" s="3468"/>
    </row>
    <row r="319" spans="1:96">
      <c r="A319" s="1850" t="s">
        <v>937</v>
      </c>
      <c r="J319" s="821">
        <f>MIN(J8:J311)</f>
        <v>3</v>
      </c>
    </row>
    <row r="320" spans="1:96">
      <c r="A320" s="1850" t="s">
        <v>938</v>
      </c>
      <c r="J320" s="3">
        <f>MAX(J8:J311)</f>
        <v>35.01</v>
      </c>
    </row>
  </sheetData>
  <mergeCells count="59">
    <mergeCell ref="Z148:AG148"/>
    <mergeCell ref="R148:Y148"/>
    <mergeCell ref="Z315:AG315"/>
    <mergeCell ref="R315:Y315"/>
    <mergeCell ref="AL315:AS315"/>
    <mergeCell ref="BD2:BD3"/>
    <mergeCell ref="R84:Y84"/>
    <mergeCell ref="Z84:AG84"/>
    <mergeCell ref="AL84:AS84"/>
    <mergeCell ref="AT84:BA84"/>
    <mergeCell ref="BB84:BC84"/>
    <mergeCell ref="BB2:BC2"/>
    <mergeCell ref="AH84:AI84"/>
    <mergeCell ref="BF84:BM84"/>
    <mergeCell ref="BN84:BU84"/>
    <mergeCell ref="BV84:BW84"/>
    <mergeCell ref="CP2:CQ2"/>
    <mergeCell ref="CR2:CR3"/>
    <mergeCell ref="BZ84:CG84"/>
    <mergeCell ref="CH84:CO84"/>
    <mergeCell ref="CP84:CQ84"/>
    <mergeCell ref="BN2:BU2"/>
    <mergeCell ref="BF2:BM2"/>
    <mergeCell ref="BV2:BW2"/>
    <mergeCell ref="BZ1:CR1"/>
    <mergeCell ref="B1:H1"/>
    <mergeCell ref="G3:H3"/>
    <mergeCell ref="J1:P1"/>
    <mergeCell ref="AL1:BD1"/>
    <mergeCell ref="R1:AJ1"/>
    <mergeCell ref="R2:Y2"/>
    <mergeCell ref="Z2:AG2"/>
    <mergeCell ref="AH2:AI2"/>
    <mergeCell ref="AJ2:AJ3"/>
    <mergeCell ref="AL2:AS2"/>
    <mergeCell ref="AT2:BA2"/>
    <mergeCell ref="BZ2:CG2"/>
    <mergeCell ref="CH2:CO2"/>
    <mergeCell ref="BF1:BX1"/>
    <mergeCell ref="BX2:BX3"/>
    <mergeCell ref="CP148:CQ148"/>
    <mergeCell ref="AH148:AI148"/>
    <mergeCell ref="BB148:BC148"/>
    <mergeCell ref="BV148:BW148"/>
    <mergeCell ref="CH148:CO148"/>
    <mergeCell ref="BZ148:CG148"/>
    <mergeCell ref="AT148:BA148"/>
    <mergeCell ref="AL148:AS148"/>
    <mergeCell ref="BF148:BM148"/>
    <mergeCell ref="BN148:BU148"/>
    <mergeCell ref="CP315:CQ315"/>
    <mergeCell ref="AH315:AI315"/>
    <mergeCell ref="BB315:BC315"/>
    <mergeCell ref="BV315:BW315"/>
    <mergeCell ref="AT315:BA315"/>
    <mergeCell ref="CH315:CO315"/>
    <mergeCell ref="BZ315:CG315"/>
    <mergeCell ref="BN315:BU315"/>
    <mergeCell ref="BF315:BM315"/>
  </mergeCells>
  <pageMargins left="0.70866141732283472" right="0.70866141732283472" top="0.74803149606299213" bottom="0.74803149606299213" header="0.31496062992125984" footer="0.31496062992125984"/>
  <pageSetup paperSize="9" orientation="portrait" r:id="rId1"/>
  <headerFooter>
    <oddFooter>&amp;C&amp;F   -   &amp;A&amp;R&amp;P/&amp;N</oddFooter>
  </headerFooter>
</worksheet>
</file>

<file path=xl/worksheets/sheet13.xml><?xml version="1.0" encoding="utf-8"?>
<worksheet xmlns="http://schemas.openxmlformats.org/spreadsheetml/2006/main" xmlns:r="http://schemas.openxmlformats.org/officeDocument/2006/relationships">
  <dimension ref="A1:BQ2558"/>
  <sheetViews>
    <sheetView topLeftCell="C8" zoomScale="60" zoomScaleNormal="60" workbookViewId="0">
      <pane xSplit="5" ySplit="2" topLeftCell="Y10" activePane="bottomRight" state="frozen"/>
      <selection activeCell="C8" sqref="C8"/>
      <selection pane="topRight" activeCell="H8" sqref="H8"/>
      <selection pane="bottomLeft" activeCell="C10" sqref="C10"/>
      <selection pane="bottomRight" activeCell="AT118" sqref="AT118"/>
    </sheetView>
  </sheetViews>
  <sheetFormatPr baseColWidth="10" defaultRowHeight="12.75"/>
  <cols>
    <col min="1" max="1" width="10.5703125" style="94" bestFit="1" customWidth="1"/>
    <col min="2" max="2" width="9.7109375" style="99" customWidth="1"/>
    <col min="3" max="3" width="4.140625" style="194" hidden="1" customWidth="1"/>
    <col min="4" max="4" width="5.85546875" style="110" hidden="1" customWidth="1"/>
    <col min="5" max="5" width="41.42578125" style="11" customWidth="1"/>
    <col min="6" max="6" width="9.5703125" style="6" hidden="1" customWidth="1"/>
    <col min="7" max="7" width="11.42578125" style="7" customWidth="1"/>
    <col min="8" max="10" width="8.42578125" style="74" customWidth="1"/>
    <col min="11" max="11" width="8.42578125" style="223" customWidth="1"/>
    <col min="12" max="12" width="8.42578125" style="74" customWidth="1"/>
    <col min="13" max="13" width="8.42578125" style="889" customWidth="1"/>
    <col min="14" max="15" width="8.42578125" style="74" customWidth="1"/>
    <col min="16" max="16" width="8.42578125" style="890" customWidth="1"/>
    <col min="17" max="19" width="8.42578125" style="74" customWidth="1"/>
    <col min="20" max="20" width="8.42578125" style="889" customWidth="1"/>
    <col min="21" max="23" width="8.42578125" style="74" customWidth="1"/>
    <col min="24" max="24" width="4.7109375" style="15" customWidth="1"/>
    <col min="25" max="25" width="8" style="1935" customWidth="1"/>
    <col min="26" max="26" width="7.42578125" style="1086" customWidth="1"/>
    <col min="27" max="27" width="2.7109375" style="230" hidden="1" customWidth="1"/>
    <col min="28" max="28" width="2.5703125" style="230" hidden="1" customWidth="1"/>
    <col min="29" max="29" width="7.7109375" style="1936" customWidth="1"/>
    <col min="30" max="32" width="6.7109375" style="230" hidden="1" customWidth="1"/>
    <col min="33" max="33" width="6.7109375" style="1934" hidden="1" customWidth="1"/>
    <col min="34" max="34" width="7.5703125" style="230" customWidth="1"/>
    <col min="35" max="35" width="7.42578125" style="230" customWidth="1"/>
    <col min="36" max="36" width="7.7109375" style="1934" customWidth="1"/>
    <col min="37" max="39" width="6.7109375" style="230" hidden="1" customWidth="1"/>
    <col min="40" max="40" width="6.7109375" style="266" hidden="1" customWidth="1"/>
    <col min="41" max="41" width="8" style="1110" customWidth="1"/>
    <col min="42" max="42" width="7" style="1111" customWidth="1"/>
    <col min="43" max="43" width="9" style="964" customWidth="1"/>
    <col min="44" max="44" width="8" style="1906" hidden="1" customWidth="1"/>
    <col min="45" max="45" width="7.42578125" style="1935" customWidth="1"/>
    <col min="46" max="46" width="7.85546875" style="230" customWidth="1"/>
    <col min="47" max="47" width="7.42578125" style="230" customWidth="1"/>
    <col min="48" max="48" width="7.28515625" style="230" customWidth="1"/>
    <col min="49" max="51" width="6.7109375" style="230" hidden="1" customWidth="1"/>
    <col min="52" max="52" width="7.5703125" style="1961" customWidth="1"/>
    <col min="53" max="53" width="7.42578125" style="230" customWidth="1"/>
    <col min="54" max="54" width="7.7109375" style="230" customWidth="1"/>
    <col min="55" max="55" width="7.42578125" style="1934" customWidth="1"/>
    <col min="56" max="56" width="8" style="1110" customWidth="1"/>
    <col min="57" max="57" width="8" style="1962" customWidth="1"/>
    <col min="58" max="58" width="8.140625" style="1963" customWidth="1"/>
    <col min="59" max="59" width="8" style="974" hidden="1" customWidth="1"/>
    <col min="60" max="60" width="11.42578125" style="1765"/>
    <col min="61" max="63" width="8.42578125" style="74" customWidth="1"/>
    <col min="64" max="64" width="8.42578125" style="889" customWidth="1"/>
    <col min="65" max="66" width="8.42578125" style="74" customWidth="1"/>
    <col min="67" max="67" width="8.42578125" style="223" customWidth="1"/>
    <col min="68" max="78" width="6.7109375" style="15" customWidth="1"/>
    <col min="79" max="16384" width="11.42578125" style="15"/>
  </cols>
  <sheetData>
    <row r="1" spans="1:67">
      <c r="E1" s="10"/>
      <c r="F1" s="8"/>
      <c r="G1" s="9"/>
      <c r="H1" s="212"/>
      <c r="I1" s="212"/>
      <c r="J1" s="212"/>
      <c r="K1" s="605"/>
      <c r="L1" s="212"/>
      <c r="M1" s="68"/>
      <c r="N1" s="865"/>
      <c r="O1" s="865"/>
      <c r="P1" s="69"/>
      <c r="Q1" s="212"/>
      <c r="R1" s="212"/>
      <c r="S1" s="212"/>
      <c r="T1" s="891"/>
      <c r="U1" s="212"/>
      <c r="V1" s="212"/>
      <c r="W1" s="212"/>
      <c r="X1" s="245"/>
      <c r="Y1" s="1927"/>
      <c r="Z1" s="228"/>
      <c r="AA1" s="228"/>
      <c r="AB1" s="228"/>
      <c r="AC1" s="1928"/>
      <c r="AD1" s="228"/>
      <c r="AE1" s="228"/>
      <c r="AF1" s="228"/>
      <c r="AG1" s="1929"/>
      <c r="AH1" s="1930"/>
      <c r="AI1" s="1930"/>
      <c r="AJ1" s="1929"/>
      <c r="AK1" s="1930"/>
      <c r="AL1" s="1930"/>
      <c r="AM1" s="1930"/>
      <c r="AN1" s="1931"/>
      <c r="AO1" s="1108"/>
      <c r="AP1" s="1109"/>
      <c r="AQ1" s="963"/>
      <c r="AR1" s="1905"/>
      <c r="AS1" s="1957"/>
      <c r="AT1" s="1930"/>
      <c r="AU1" s="1930"/>
      <c r="AV1" s="1930"/>
      <c r="AW1" s="1930"/>
      <c r="AX1" s="1930"/>
      <c r="AY1" s="1930"/>
      <c r="AZ1" s="1958"/>
      <c r="BA1" s="1930"/>
      <c r="BB1" s="1930"/>
      <c r="BC1" s="1929"/>
      <c r="BD1" s="1108"/>
      <c r="BE1" s="1959"/>
      <c r="BF1" s="1960"/>
      <c r="BG1" s="973"/>
      <c r="BH1" s="851"/>
      <c r="BI1" s="212"/>
      <c r="BJ1" s="212"/>
      <c r="BK1" s="212"/>
      <c r="BL1" s="891"/>
      <c r="BM1" s="212"/>
      <c r="BN1" s="212"/>
      <c r="BO1" s="605"/>
    </row>
    <row r="2" spans="1:67">
      <c r="H2" s="214"/>
      <c r="I2" s="214"/>
      <c r="J2" s="214"/>
      <c r="K2" s="213"/>
      <c r="L2" s="214"/>
      <c r="M2" s="70"/>
      <c r="N2" s="214"/>
      <c r="O2" s="214"/>
      <c r="P2" s="71"/>
      <c r="Q2" s="214"/>
      <c r="R2" s="214"/>
      <c r="S2" s="214"/>
      <c r="T2" s="70"/>
      <c r="U2" s="214"/>
      <c r="V2" s="214"/>
      <c r="W2" s="214"/>
      <c r="X2" s="245"/>
      <c r="Y2" s="1932"/>
      <c r="Z2" s="229"/>
      <c r="AA2" s="229"/>
      <c r="AB2" s="229"/>
      <c r="AC2" s="1933"/>
      <c r="AD2" s="229"/>
      <c r="AE2" s="229"/>
      <c r="AF2" s="229"/>
      <c r="BI2" s="214"/>
      <c r="BJ2" s="214"/>
      <c r="BK2" s="214"/>
      <c r="BL2" s="70"/>
      <c r="BM2" s="214"/>
      <c r="BN2" s="214"/>
      <c r="BO2" s="213"/>
    </row>
    <row r="3" spans="1:67">
      <c r="H3" s="214"/>
      <c r="I3" s="214"/>
      <c r="J3" s="214"/>
      <c r="K3" s="213"/>
      <c r="L3" s="214"/>
      <c r="M3" s="70"/>
      <c r="N3" s="214"/>
      <c r="O3" s="214"/>
      <c r="P3" s="71"/>
      <c r="Q3" s="214"/>
      <c r="R3" s="214"/>
      <c r="S3" s="214"/>
      <c r="T3" s="70"/>
      <c r="U3" s="214"/>
      <c r="V3" s="214"/>
      <c r="W3" s="214"/>
      <c r="X3" s="245"/>
      <c r="Y3" s="1932"/>
      <c r="Z3" s="229"/>
      <c r="AA3" s="229"/>
      <c r="AB3" s="229"/>
      <c r="AC3" s="1933"/>
      <c r="AD3" s="229"/>
      <c r="AE3" s="229"/>
      <c r="AF3" s="229"/>
      <c r="BI3" s="214"/>
      <c r="BJ3" s="214"/>
      <c r="BK3" s="214"/>
      <c r="BL3" s="70"/>
      <c r="BM3" s="214"/>
      <c r="BN3" s="214"/>
      <c r="BO3" s="213"/>
    </row>
    <row r="4" spans="1:67">
      <c r="H4" s="214"/>
      <c r="I4" s="214"/>
      <c r="J4" s="214"/>
      <c r="K4" s="213"/>
      <c r="L4" s="214"/>
      <c r="M4" s="70"/>
      <c r="N4" s="214"/>
      <c r="O4" s="214"/>
      <c r="P4" s="71"/>
      <c r="Q4" s="214"/>
      <c r="R4" s="214"/>
      <c r="S4" s="214"/>
      <c r="T4" s="70"/>
      <c r="U4" s="214"/>
      <c r="V4" s="214"/>
      <c r="W4" s="214"/>
      <c r="X4" s="245"/>
      <c r="Y4" s="1932"/>
      <c r="Z4" s="229"/>
      <c r="AA4" s="229"/>
      <c r="AB4" s="229"/>
      <c r="AC4" s="1933"/>
      <c r="AD4" s="229"/>
      <c r="AE4" s="229"/>
      <c r="AF4" s="229"/>
      <c r="BI4" s="214"/>
      <c r="BJ4" s="214"/>
      <c r="BK4" s="214"/>
      <c r="BL4" s="70"/>
      <c r="BM4" s="214"/>
      <c r="BN4" s="214"/>
      <c r="BO4" s="213"/>
    </row>
    <row r="5" spans="1:67" ht="25.5">
      <c r="G5" s="104"/>
      <c r="H5" s="217"/>
      <c r="I5" s="217"/>
      <c r="J5" s="217"/>
      <c r="K5" s="218"/>
      <c r="L5" s="217"/>
      <c r="M5" s="72"/>
      <c r="N5" s="217"/>
      <c r="O5" s="217"/>
      <c r="P5" s="73"/>
      <c r="Q5" s="217"/>
      <c r="R5" s="217"/>
      <c r="S5" s="217"/>
      <c r="T5" s="72"/>
      <c r="U5" s="217"/>
      <c r="V5" s="217"/>
      <c r="W5" s="217"/>
      <c r="BI5" s="217"/>
      <c r="BJ5" s="217"/>
      <c r="BK5" s="217"/>
      <c r="BL5" s="72"/>
      <c r="BM5" s="217"/>
      <c r="BN5" s="217"/>
      <c r="BO5" s="218"/>
    </row>
    <row r="6" spans="1:67" ht="13.5" thickBot="1">
      <c r="H6" s="217"/>
      <c r="I6" s="217"/>
      <c r="J6" s="217"/>
      <c r="K6" s="218"/>
      <c r="L6" s="217"/>
      <c r="M6" s="72"/>
      <c r="N6" s="217"/>
      <c r="O6" s="217"/>
      <c r="P6" s="73"/>
      <c r="Q6" s="217"/>
      <c r="R6" s="217"/>
      <c r="S6" s="217"/>
      <c r="T6" s="72"/>
      <c r="U6" s="217"/>
      <c r="V6" s="217"/>
      <c r="W6" s="217"/>
      <c r="BI6" s="217"/>
      <c r="BJ6" s="217"/>
      <c r="BK6" s="217"/>
      <c r="BL6" s="72"/>
      <c r="BM6" s="217"/>
      <c r="BN6" s="217"/>
      <c r="BO6" s="218"/>
    </row>
    <row r="7" spans="1:67" ht="13.5" thickBot="1">
      <c r="E7" s="10"/>
      <c r="F7" s="8"/>
      <c r="G7" s="9"/>
      <c r="H7" s="217"/>
      <c r="I7" s="217"/>
      <c r="J7" s="217"/>
      <c r="K7" s="218"/>
      <c r="L7" s="217"/>
      <c r="M7" s="72"/>
      <c r="N7" s="217"/>
      <c r="O7" s="217"/>
      <c r="P7" s="73"/>
      <c r="Q7" s="217"/>
      <c r="R7" s="217"/>
      <c r="S7" s="217"/>
      <c r="T7" s="72"/>
      <c r="U7" s="217"/>
      <c r="V7" s="217"/>
      <c r="W7" s="217"/>
      <c r="BI7" s="217"/>
      <c r="BJ7" s="217"/>
      <c r="BK7" s="217"/>
      <c r="BL7" s="72"/>
      <c r="BM7" s="217"/>
      <c r="BN7" s="217"/>
      <c r="BO7" s="218"/>
    </row>
    <row r="8" spans="1:67" ht="16.5" thickBot="1">
      <c r="E8" s="1999"/>
      <c r="F8" s="1627"/>
      <c r="G8" s="2000"/>
      <c r="H8" s="4181" t="s">
        <v>1103</v>
      </c>
      <c r="I8" s="4181"/>
      <c r="J8" s="4181"/>
      <c r="K8" s="4181"/>
      <c r="L8" s="4181"/>
      <c r="M8" s="4181"/>
      <c r="N8" s="4181"/>
      <c r="O8" s="4181"/>
      <c r="P8" s="4181"/>
      <c r="Q8" s="4181"/>
      <c r="R8" s="4181"/>
      <c r="S8" s="4181"/>
      <c r="T8" s="4181"/>
      <c r="U8" s="4181"/>
      <c r="V8" s="4181"/>
      <c r="W8" s="4181"/>
      <c r="X8" s="1625"/>
      <c r="Y8" s="4182" t="s">
        <v>972</v>
      </c>
      <c r="Z8" s="4183"/>
      <c r="AA8" s="4183"/>
      <c r="AB8" s="4183"/>
      <c r="AC8" s="4183"/>
      <c r="AD8" s="4183"/>
      <c r="AE8" s="4183"/>
      <c r="AF8" s="4183"/>
      <c r="AG8" s="4183"/>
      <c r="AH8" s="4183"/>
      <c r="AI8" s="4183"/>
      <c r="AJ8" s="4183"/>
      <c r="AK8" s="4183"/>
      <c r="AL8" s="4183"/>
      <c r="AM8" s="4183"/>
      <c r="AN8" s="4183"/>
      <c r="AO8" s="4183"/>
      <c r="AP8" s="4183"/>
      <c r="AQ8" s="4183"/>
      <c r="AR8" s="4184"/>
      <c r="AS8" s="4185" t="s">
        <v>1094</v>
      </c>
      <c r="AT8" s="4186"/>
      <c r="AU8" s="4186"/>
      <c r="AV8" s="4186"/>
      <c r="AW8" s="4186"/>
      <c r="AX8" s="4186"/>
      <c r="AY8" s="4186"/>
      <c r="AZ8" s="4186"/>
      <c r="BA8" s="4186"/>
      <c r="BB8" s="4186"/>
      <c r="BC8" s="4186"/>
      <c r="BD8" s="4186"/>
      <c r="BE8" s="4186"/>
      <c r="BF8" s="4186"/>
      <c r="BG8" s="4187"/>
      <c r="BI8" s="4188" t="s">
        <v>970</v>
      </c>
      <c r="BJ8" s="4188"/>
      <c r="BK8" s="4188"/>
      <c r="BL8" s="4188"/>
      <c r="BM8" s="4188"/>
      <c r="BN8" s="4188"/>
      <c r="BO8" s="4189"/>
    </row>
    <row r="9" spans="1:67" s="1578" customFormat="1" ht="51.75" customHeight="1" thickBot="1">
      <c r="A9" s="1573"/>
      <c r="B9" s="1574"/>
      <c r="C9" s="601"/>
      <c r="D9" s="602"/>
      <c r="E9" s="1605"/>
      <c r="F9" s="1575" t="str">
        <f>'Du K'!F2</f>
        <v>Symbole</v>
      </c>
      <c r="G9" s="1606" t="str">
        <f>'Du K'!G2</f>
        <v>Unité</v>
      </c>
      <c r="H9" s="350" t="str">
        <f>Récap1!X9</f>
        <v>B</v>
      </c>
      <c r="I9" s="350" t="str">
        <f>Récap1!Y9</f>
        <v>T</v>
      </c>
      <c r="J9" s="350" t="str">
        <f>Récap1!Z9</f>
        <v>E</v>
      </c>
      <c r="K9" s="396" t="str">
        <f>Récap1!AA9</f>
        <v>X</v>
      </c>
      <c r="L9" s="350" t="str">
        <f>Récap1!AB9</f>
        <v>Ar 
&gt;EC8-EC10</v>
      </c>
      <c r="M9" s="1576" t="str">
        <f>Récap1!AC9</f>
        <v>Ar
&gt;EC10-EC12</v>
      </c>
      <c r="N9" s="350" t="str">
        <f>Récap1!AD9</f>
        <v>Ar
 &gt;EC12 - EC16</v>
      </c>
      <c r="O9" s="350" t="str">
        <f>Récap1!AE9</f>
        <v>Ar
 &gt;EC16 - EC21</v>
      </c>
      <c r="P9" s="405" t="str">
        <f>Récap1!AF9</f>
        <v>Ar
 &gt;EC21 - EC35</v>
      </c>
      <c r="Q9" s="350" t="str">
        <f>Récap1!AG9</f>
        <v>Al 
EC5-EC6</v>
      </c>
      <c r="R9" s="350" t="str">
        <f>Récap1!AH9</f>
        <v>Al
&gt;EC6-EC8</v>
      </c>
      <c r="S9" s="350" t="str">
        <f>Récap1!AI9</f>
        <v>Al 
&gt;EC8-EC10</v>
      </c>
      <c r="T9" s="1576" t="str">
        <f>Récap1!AJ9</f>
        <v>Al &gt;
EC10-EC12</v>
      </c>
      <c r="U9" s="350" t="str">
        <f>Récap1!AK9</f>
        <v>Al 
&gt;EC12-EC16</v>
      </c>
      <c r="V9" s="350" t="str">
        <f>Récap1!AL9</f>
        <v>Al 
&gt;EC16- EC21</v>
      </c>
      <c r="W9" s="350" t="str">
        <f>Récap1!AM9</f>
        <v>Al  &gt;EC21</v>
      </c>
      <c r="Y9" s="1878" t="str">
        <f>Récap1!X9</f>
        <v>B</v>
      </c>
      <c r="Z9" s="2001" t="str">
        <f>Récap1!Y9</f>
        <v>T</v>
      </c>
      <c r="AA9" s="1879" t="str">
        <f>Récap1!Z9</f>
        <v>E</v>
      </c>
      <c r="AB9" s="1879" t="str">
        <f>Récap1!AA9</f>
        <v>X</v>
      </c>
      <c r="AC9" s="1880" t="str">
        <f>Récap1!AB9</f>
        <v>Ar 
&gt;EC8-EC10</v>
      </c>
      <c r="AD9" s="1881" t="str">
        <f>Récap1!AC9</f>
        <v>Ar
&gt;EC10-EC12</v>
      </c>
      <c r="AE9" s="1881" t="str">
        <f>Récap1!AD9</f>
        <v>Ar
 &gt;EC12 - EC16</v>
      </c>
      <c r="AF9" s="1881" t="str">
        <f>Récap1!AE9</f>
        <v>Ar
 &gt;EC16 - EC21</v>
      </c>
      <c r="AG9" s="1882" t="str">
        <f>Récap1!AF9</f>
        <v>Ar
 &gt;EC21 - EC35</v>
      </c>
      <c r="AH9" s="1883" t="str">
        <f>Récap1!AG9</f>
        <v>Al 
EC5-EC6</v>
      </c>
      <c r="AI9" s="1881" t="str">
        <f>Récap1!AH9</f>
        <v>Al
&gt;EC6-EC8</v>
      </c>
      <c r="AJ9" s="1882" t="str">
        <f>Récap1!AI9</f>
        <v>Al 
&gt;EC8-EC10</v>
      </c>
      <c r="AK9" s="1881" t="str">
        <f>Récap1!AJ9</f>
        <v>Al &gt;
EC10-EC12</v>
      </c>
      <c r="AL9" s="1881" t="str">
        <f>Récap1!AK9</f>
        <v>Al 
&gt;EC12-EC16</v>
      </c>
      <c r="AM9" s="1881" t="str">
        <f>Récap1!AL9</f>
        <v>Al 
&gt;EC16- EC21</v>
      </c>
      <c r="AN9" s="1937" t="str">
        <f>Récap1!AM9</f>
        <v>Al  &gt;EC21</v>
      </c>
      <c r="AO9" s="1580" t="s">
        <v>1092</v>
      </c>
      <c r="AP9" s="4190" t="s">
        <v>1093</v>
      </c>
      <c r="AQ9" s="4191"/>
      <c r="AR9" s="1907" t="s">
        <v>962</v>
      </c>
      <c r="AS9" s="1964" t="str">
        <f>Récap1!AC9</f>
        <v>Ar
&gt;EC10-EC12</v>
      </c>
      <c r="AT9" s="1881" t="str">
        <f>Récap1!AD9</f>
        <v>Ar
 &gt;EC12 - EC16</v>
      </c>
      <c r="AU9" s="1881" t="str">
        <f>Récap1!AE9</f>
        <v>Ar
 &gt;EC16 - EC21</v>
      </c>
      <c r="AV9" s="1881" t="str">
        <f>Récap1!AF9</f>
        <v>Ar
 &gt;EC21 - EC35</v>
      </c>
      <c r="AW9" s="1881"/>
      <c r="AX9" s="1881"/>
      <c r="AY9" s="1881"/>
      <c r="AZ9" s="1883" t="str">
        <f>Récap1!AJ9</f>
        <v>Al &gt;
EC10-EC12</v>
      </c>
      <c r="BA9" s="1881" t="str">
        <f>Récap1!AK9</f>
        <v>Al 
&gt;EC12-EC16</v>
      </c>
      <c r="BB9" s="1881" t="str">
        <f>Récap1!AL9</f>
        <v>Al 
&gt;EC16- EC21</v>
      </c>
      <c r="BC9" s="1882" t="str">
        <f>Récap1!AM9</f>
        <v>Al  &gt;EC21</v>
      </c>
      <c r="BD9" s="1580" t="s">
        <v>1091</v>
      </c>
      <c r="BE9" s="4192" t="s">
        <v>1090</v>
      </c>
      <c r="BF9" s="4193"/>
      <c r="BG9" s="1581" t="s">
        <v>962</v>
      </c>
      <c r="BH9" s="1579"/>
      <c r="BI9" s="350" t="s">
        <v>963</v>
      </c>
      <c r="BJ9" s="350" t="s">
        <v>964</v>
      </c>
      <c r="BK9" s="350" t="s">
        <v>965</v>
      </c>
      <c r="BL9" s="1576" t="s">
        <v>966</v>
      </c>
      <c r="BM9" s="350" t="s">
        <v>967</v>
      </c>
      <c r="BN9" s="350" t="s">
        <v>968</v>
      </c>
      <c r="BO9" s="396" t="s">
        <v>969</v>
      </c>
    </row>
    <row r="10" spans="1:67" s="1565" customFormat="1" ht="14.25" hidden="1" customHeight="1" thickBot="1">
      <c r="A10" s="1558"/>
      <c r="B10" s="1559"/>
      <c r="C10" s="769"/>
      <c r="D10" s="770"/>
      <c r="E10" s="1560" t="str">
        <f>'3phas'!E32</f>
        <v>Seuil pour détection olfactive air du sol</v>
      </c>
      <c r="F10" s="1561" t="str">
        <f>'3phas'!F32</f>
        <v>Cs</v>
      </c>
      <c r="G10" s="1607" t="str">
        <f>'3phas'!G32</f>
        <v>mg/kgms</v>
      </c>
      <c r="H10" s="1562"/>
      <c r="I10" s="1562"/>
      <c r="J10" s="1562"/>
      <c r="K10" s="731"/>
      <c r="L10" s="1562"/>
      <c r="M10" s="1563"/>
      <c r="N10" s="1562"/>
      <c r="O10" s="1562"/>
      <c r="P10" s="1564"/>
      <c r="Q10" s="1562"/>
      <c r="R10" s="1562"/>
      <c r="S10" s="1562"/>
      <c r="T10" s="1563"/>
      <c r="U10" s="1562"/>
      <c r="V10" s="1562"/>
      <c r="W10" s="1562"/>
      <c r="Y10" s="1938"/>
      <c r="Z10" s="1567"/>
      <c r="AA10" s="1567"/>
      <c r="AB10" s="1567"/>
      <c r="AC10" s="1939"/>
      <c r="AD10" s="1567"/>
      <c r="AE10" s="1567"/>
      <c r="AF10" s="1567"/>
      <c r="AG10" s="1940"/>
      <c r="AH10" s="1567"/>
      <c r="AI10" s="1567"/>
      <c r="AJ10" s="1940"/>
      <c r="AK10" s="1567"/>
      <c r="AL10" s="1567"/>
      <c r="AM10" s="1567"/>
      <c r="AN10" s="1572"/>
      <c r="AO10" s="1569"/>
      <c r="AP10" s="1570"/>
      <c r="AQ10" s="1571"/>
      <c r="AR10" s="1567"/>
      <c r="AS10" s="1938"/>
      <c r="AT10" s="1567"/>
      <c r="AU10" s="1567"/>
      <c r="AV10" s="1567"/>
      <c r="AW10" s="1567"/>
      <c r="AX10" s="1567"/>
      <c r="AY10" s="1567"/>
      <c r="AZ10" s="1965"/>
      <c r="BA10" s="1567"/>
      <c r="BB10" s="1567"/>
      <c r="BC10" s="1940"/>
      <c r="BD10" s="1569"/>
      <c r="BE10" s="1966"/>
      <c r="BF10" s="1967"/>
      <c r="BG10" s="1568"/>
      <c r="BH10" s="1566"/>
      <c r="BI10" s="1562"/>
      <c r="BJ10" s="1562"/>
      <c r="BK10" s="1562"/>
      <c r="BL10" s="1563"/>
      <c r="BM10" s="1562"/>
      <c r="BN10" s="1562"/>
      <c r="BO10" s="731"/>
    </row>
    <row r="11" spans="1:67" s="293" customFormat="1" ht="13.5" hidden="1" customHeight="1" thickBot="1">
      <c r="B11" s="294"/>
      <c r="C11" s="634"/>
      <c r="D11" s="635"/>
      <c r="E11" s="625" t="s">
        <v>596</v>
      </c>
      <c r="F11" s="745"/>
      <c r="G11" s="1608"/>
      <c r="H11" s="530"/>
      <c r="I11" s="530"/>
      <c r="J11" s="530"/>
      <c r="K11" s="628"/>
      <c r="L11" s="530"/>
      <c r="M11" s="829"/>
      <c r="N11" s="530"/>
      <c r="O11" s="530"/>
      <c r="P11" s="830"/>
      <c r="Q11" s="530"/>
      <c r="R11" s="530"/>
      <c r="S11" s="530"/>
      <c r="T11" s="829"/>
      <c r="U11" s="530"/>
      <c r="V11" s="530"/>
      <c r="W11" s="530"/>
      <c r="Y11" s="1890"/>
      <c r="Z11" s="1088"/>
      <c r="AA11" s="1633"/>
      <c r="AB11" s="1633"/>
      <c r="AC11" s="1098"/>
      <c r="AD11" s="1633"/>
      <c r="AE11" s="1633"/>
      <c r="AF11" s="1633"/>
      <c r="AG11" s="1901"/>
      <c r="AH11" s="1633"/>
      <c r="AI11" s="1633"/>
      <c r="AJ11" s="1901"/>
      <c r="AK11" s="1633"/>
      <c r="AL11" s="1633"/>
      <c r="AM11" s="1633"/>
      <c r="AN11" s="1941"/>
      <c r="AO11" s="1115"/>
      <c r="AP11" s="1116"/>
      <c r="AQ11" s="966"/>
      <c r="AR11" s="1908"/>
      <c r="AS11" s="1890"/>
      <c r="AT11" s="1633"/>
      <c r="AU11" s="1633"/>
      <c r="AV11" s="1633"/>
      <c r="AW11" s="1633"/>
      <c r="AX11" s="1633"/>
      <c r="AY11" s="1633"/>
      <c r="AZ11" s="1968"/>
      <c r="BA11" s="1633"/>
      <c r="BB11" s="1633"/>
      <c r="BC11" s="1901"/>
      <c r="BD11" s="1115"/>
      <c r="BE11" s="1969"/>
      <c r="BF11" s="1970"/>
      <c r="BG11" s="976"/>
      <c r="BH11" s="305"/>
      <c r="BI11" s="530"/>
      <c r="BJ11" s="530"/>
      <c r="BK11" s="530"/>
      <c r="BL11" s="829"/>
      <c r="BM11" s="530"/>
      <c r="BN11" s="530"/>
      <c r="BO11" s="628"/>
    </row>
    <row r="12" spans="1:67" s="26" customFormat="1" ht="13.5" hidden="1" customHeight="1" thickBot="1">
      <c r="A12" s="482"/>
      <c r="B12" s="27"/>
      <c r="C12" s="138"/>
      <c r="D12" s="195"/>
      <c r="E12" s="103" t="str">
        <f>ExpoRisk!E408</f>
        <v>Teneur limite (effet à seuil)</v>
      </c>
      <c r="F12" s="14" t="str">
        <f>ExpoRisk!F408</f>
        <v>Cs</v>
      </c>
      <c r="G12" s="105" t="str">
        <f>ExpoRisk!G408</f>
        <v>mg/kg ms</v>
      </c>
      <c r="H12" s="56">
        <f>ExpoRisk!BL408</f>
        <v>0</v>
      </c>
      <c r="I12" s="56">
        <f>ExpoRisk!BM408</f>
        <v>0</v>
      </c>
      <c r="J12" s="56">
        <f>ExpoRisk!BN408</f>
        <v>0</v>
      </c>
      <c r="K12" s="57">
        <f>ExpoRisk!BO408</f>
        <v>0</v>
      </c>
      <c r="L12" s="56">
        <f>ExpoRisk!BP408</f>
        <v>0</v>
      </c>
      <c r="M12" s="870">
        <f>ExpoRisk!BQ408</f>
        <v>0</v>
      </c>
      <c r="N12" s="56">
        <f>ExpoRisk!BR408</f>
        <v>0</v>
      </c>
      <c r="O12" s="56">
        <f>ExpoRisk!BS408</f>
        <v>0</v>
      </c>
      <c r="P12" s="871">
        <f>ExpoRisk!BT408</f>
        <v>0</v>
      </c>
      <c r="Q12" s="56">
        <f>ExpoRisk!BU408</f>
        <v>0</v>
      </c>
      <c r="R12" s="56">
        <f>ExpoRisk!BV408</f>
        <v>0</v>
      </c>
      <c r="S12" s="56">
        <f>ExpoRisk!BW408</f>
        <v>0</v>
      </c>
      <c r="T12" s="870">
        <f>ExpoRisk!BX408</f>
        <v>0</v>
      </c>
      <c r="U12" s="56">
        <f>ExpoRisk!BY408</f>
        <v>0</v>
      </c>
      <c r="V12" s="56">
        <f>ExpoRisk!BZ408</f>
        <v>0</v>
      </c>
      <c r="W12" s="56">
        <f>ExpoRisk!CA408</f>
        <v>0</v>
      </c>
      <c r="Y12" s="621"/>
      <c r="Z12" s="1086"/>
      <c r="AA12" s="282"/>
      <c r="AB12" s="282"/>
      <c r="AC12" s="1091"/>
      <c r="AD12" s="282"/>
      <c r="AE12" s="282"/>
      <c r="AF12" s="282"/>
      <c r="AG12" s="1894"/>
      <c r="AH12" s="282"/>
      <c r="AI12" s="282"/>
      <c r="AJ12" s="1894"/>
      <c r="AK12" s="282"/>
      <c r="AL12" s="282"/>
      <c r="AM12" s="282"/>
      <c r="AN12" s="1919"/>
      <c r="AO12" s="1117"/>
      <c r="AP12" s="1118"/>
      <c r="AQ12" s="967"/>
      <c r="AR12" s="1104"/>
      <c r="AS12" s="621"/>
      <c r="AT12" s="282"/>
      <c r="AU12" s="282"/>
      <c r="AV12" s="282"/>
      <c r="AW12" s="282"/>
      <c r="AX12" s="282"/>
      <c r="AY12" s="282"/>
      <c r="AZ12" s="1971"/>
      <c r="BA12" s="282"/>
      <c r="BB12" s="282"/>
      <c r="BC12" s="1894"/>
      <c r="BD12" s="1117"/>
      <c r="BE12" s="1972"/>
      <c r="BF12" s="1920"/>
      <c r="BG12" s="920"/>
      <c r="BH12" s="77"/>
      <c r="BI12" s="56">
        <f>ExpoRisk!DQ408</f>
        <v>0</v>
      </c>
      <c r="BJ12" s="56">
        <f>ExpoRisk!DR408</f>
        <v>0</v>
      </c>
      <c r="BK12" s="56">
        <f>ExpoRisk!DS408</f>
        <v>0</v>
      </c>
      <c r="BL12" s="870">
        <f>ExpoRisk!DT408</f>
        <v>0</v>
      </c>
      <c r="BM12" s="56">
        <f>ExpoRisk!DU408</f>
        <v>0</v>
      </c>
      <c r="BN12" s="56">
        <f>ExpoRisk!DV408</f>
        <v>0</v>
      </c>
      <c r="BO12" s="57">
        <f>ExpoRisk!DW408</f>
        <v>0</v>
      </c>
    </row>
    <row r="13" spans="1:67" s="26" customFormat="1" ht="13.5" hidden="1" customHeight="1" thickBot="1">
      <c r="A13" s="482"/>
      <c r="B13" s="27"/>
      <c r="C13" s="138"/>
      <c r="D13" s="195"/>
      <c r="E13" s="103" t="str">
        <f>ExpoRisk!E409</f>
        <v>Teneur limite (effet sans seuil)</v>
      </c>
      <c r="F13" s="14" t="str">
        <f>ExpoRisk!F409</f>
        <v>Cs</v>
      </c>
      <c r="G13" s="105" t="str">
        <f>ExpoRisk!G409</f>
        <v>mg/kg ms</v>
      </c>
      <c r="H13" s="56">
        <f>ExpoRisk!BL409</f>
        <v>0</v>
      </c>
      <c r="I13" s="56">
        <f>ExpoRisk!BM409</f>
        <v>0</v>
      </c>
      <c r="J13" s="56">
        <f>ExpoRisk!BN409</f>
        <v>0</v>
      </c>
      <c r="K13" s="57">
        <f>ExpoRisk!BO409</f>
        <v>0</v>
      </c>
      <c r="L13" s="56">
        <f>ExpoRisk!BP409</f>
        <v>0</v>
      </c>
      <c r="M13" s="870">
        <f>ExpoRisk!BQ409</f>
        <v>0</v>
      </c>
      <c r="N13" s="56">
        <f>ExpoRisk!BR409</f>
        <v>0</v>
      </c>
      <c r="O13" s="56">
        <f>ExpoRisk!BS409</f>
        <v>0</v>
      </c>
      <c r="P13" s="871">
        <f>ExpoRisk!BT409</f>
        <v>0</v>
      </c>
      <c r="Q13" s="56">
        <f>ExpoRisk!BU409</f>
        <v>0</v>
      </c>
      <c r="R13" s="56">
        <f>ExpoRisk!BV409</f>
        <v>0</v>
      </c>
      <c r="S13" s="56">
        <f>ExpoRisk!BW409</f>
        <v>0</v>
      </c>
      <c r="T13" s="870">
        <f>ExpoRisk!BX409</f>
        <v>0</v>
      </c>
      <c r="U13" s="56">
        <f>ExpoRisk!BY409</f>
        <v>0</v>
      </c>
      <c r="V13" s="56">
        <f>ExpoRisk!BZ409</f>
        <v>0</v>
      </c>
      <c r="W13" s="56">
        <f>ExpoRisk!CA409</f>
        <v>0</v>
      </c>
      <c r="Y13" s="621"/>
      <c r="Z13" s="1086"/>
      <c r="AA13" s="282"/>
      <c r="AB13" s="282"/>
      <c r="AC13" s="1091"/>
      <c r="AD13" s="282"/>
      <c r="AE13" s="282"/>
      <c r="AF13" s="282"/>
      <c r="AG13" s="1894"/>
      <c r="AH13" s="282"/>
      <c r="AI13" s="282"/>
      <c r="AJ13" s="1894"/>
      <c r="AK13" s="282"/>
      <c r="AL13" s="282"/>
      <c r="AM13" s="282"/>
      <c r="AN13" s="1919"/>
      <c r="AO13" s="1117"/>
      <c r="AP13" s="1118"/>
      <c r="AQ13" s="967"/>
      <c r="AR13" s="1104"/>
      <c r="AS13" s="621"/>
      <c r="AT13" s="282"/>
      <c r="AU13" s="282"/>
      <c r="AV13" s="282"/>
      <c r="AW13" s="282"/>
      <c r="AX13" s="282"/>
      <c r="AY13" s="282"/>
      <c r="AZ13" s="1971"/>
      <c r="BA13" s="282"/>
      <c r="BB13" s="282"/>
      <c r="BC13" s="1894"/>
      <c r="BD13" s="1117"/>
      <c r="BE13" s="1972"/>
      <c r="BF13" s="1920"/>
      <c r="BG13" s="920"/>
      <c r="BH13" s="77"/>
      <c r="BI13" s="56">
        <f>ExpoRisk!DQ409</f>
        <v>0</v>
      </c>
      <c r="BJ13" s="56">
        <f>ExpoRisk!DR409</f>
        <v>0</v>
      </c>
      <c r="BK13" s="56">
        <f>ExpoRisk!DS409</f>
        <v>0</v>
      </c>
      <c r="BL13" s="870">
        <f>ExpoRisk!DT409</f>
        <v>0</v>
      </c>
      <c r="BM13" s="56">
        <f>ExpoRisk!DU409</f>
        <v>0</v>
      </c>
      <c r="BN13" s="56">
        <f>ExpoRisk!DV409</f>
        <v>0</v>
      </c>
      <c r="BO13" s="57">
        <f>ExpoRisk!DW409</f>
        <v>0</v>
      </c>
    </row>
    <row r="14" spans="1:67" s="26" customFormat="1" ht="13.5" hidden="1" customHeight="1" thickBot="1">
      <c r="A14" s="17"/>
      <c r="B14" s="27"/>
      <c r="C14" s="138"/>
      <c r="D14" s="195"/>
      <c r="E14" s="103" t="str">
        <f>ExpoRisk!E410</f>
        <v>Teneur limite avant contrôle de la saturation</v>
      </c>
      <c r="F14" s="14" t="str">
        <f>ExpoRisk!F410</f>
        <v>Cs</v>
      </c>
      <c r="G14" s="105" t="str">
        <f>ExpoRisk!G410</f>
        <v>mg/kg ms</v>
      </c>
      <c r="H14" s="113">
        <f>ExpoRisk!BL410</f>
        <v>0</v>
      </c>
      <c r="I14" s="113">
        <f>ExpoRisk!BM410</f>
        <v>0</v>
      </c>
      <c r="J14" s="113">
        <f>ExpoRisk!BN410</f>
        <v>0</v>
      </c>
      <c r="K14" s="120">
        <f>ExpoRisk!BO410</f>
        <v>0</v>
      </c>
      <c r="L14" s="113">
        <f>ExpoRisk!BP410</f>
        <v>0</v>
      </c>
      <c r="M14" s="872">
        <f>ExpoRisk!BQ410</f>
        <v>0</v>
      </c>
      <c r="N14" s="113">
        <f>ExpoRisk!BR410</f>
        <v>0</v>
      </c>
      <c r="O14" s="113">
        <f>ExpoRisk!BS410</f>
        <v>0</v>
      </c>
      <c r="P14" s="873">
        <f>ExpoRisk!BT410</f>
        <v>0</v>
      </c>
      <c r="Q14" s="113">
        <f>ExpoRisk!BU410</f>
        <v>0</v>
      </c>
      <c r="R14" s="113">
        <f>ExpoRisk!BV410</f>
        <v>0</v>
      </c>
      <c r="S14" s="113">
        <f>ExpoRisk!BW410</f>
        <v>0</v>
      </c>
      <c r="T14" s="872">
        <f>ExpoRisk!BX410</f>
        <v>0</v>
      </c>
      <c r="U14" s="113">
        <f>ExpoRisk!BY410</f>
        <v>0</v>
      </c>
      <c r="V14" s="113">
        <f>ExpoRisk!BZ410</f>
        <v>0</v>
      </c>
      <c r="W14" s="113">
        <f>ExpoRisk!CA410</f>
        <v>0</v>
      </c>
      <c r="Y14" s="621"/>
      <c r="Z14" s="1086"/>
      <c r="AA14" s="282"/>
      <c r="AB14" s="282"/>
      <c r="AC14" s="1091"/>
      <c r="AD14" s="282"/>
      <c r="AE14" s="282"/>
      <c r="AF14" s="282"/>
      <c r="AG14" s="1894"/>
      <c r="AH14" s="282"/>
      <c r="AI14" s="282"/>
      <c r="AJ14" s="1894"/>
      <c r="AK14" s="282"/>
      <c r="AL14" s="282"/>
      <c r="AM14" s="282"/>
      <c r="AN14" s="1919"/>
      <c r="AO14" s="1117"/>
      <c r="AP14" s="1118"/>
      <c r="AQ14" s="967"/>
      <c r="AR14" s="1104"/>
      <c r="AS14" s="621"/>
      <c r="AT14" s="282"/>
      <c r="AU14" s="282"/>
      <c r="AV14" s="282"/>
      <c r="AW14" s="282"/>
      <c r="AX14" s="282"/>
      <c r="AY14" s="282"/>
      <c r="AZ14" s="1971"/>
      <c r="BA14" s="282"/>
      <c r="BB14" s="282"/>
      <c r="BC14" s="1894"/>
      <c r="BD14" s="1117"/>
      <c r="BE14" s="1972"/>
      <c r="BF14" s="1920"/>
      <c r="BG14" s="920"/>
      <c r="BH14" s="77"/>
      <c r="BI14" s="113">
        <f>ExpoRisk!DQ410</f>
        <v>0</v>
      </c>
      <c r="BJ14" s="113">
        <f>ExpoRisk!DR410</f>
        <v>0</v>
      </c>
      <c r="BK14" s="113">
        <f>ExpoRisk!DS410</f>
        <v>0</v>
      </c>
      <c r="BL14" s="872">
        <f>ExpoRisk!DT410</f>
        <v>0</v>
      </c>
      <c r="BM14" s="113">
        <f>ExpoRisk!DU410</f>
        <v>0</v>
      </c>
      <c r="BN14" s="113">
        <f>ExpoRisk!DV410</f>
        <v>0</v>
      </c>
      <c r="BO14" s="120">
        <f>ExpoRisk!DW410</f>
        <v>0</v>
      </c>
    </row>
    <row r="15" spans="1:67" s="495" customFormat="1" ht="13.5" hidden="1" customHeight="1" thickBot="1">
      <c r="A15" s="398"/>
      <c r="B15" s="492"/>
      <c r="C15" s="138"/>
      <c r="D15" s="195"/>
      <c r="E15" s="619" t="str">
        <f>ExpoRisk!E411</f>
        <v>Teneur limite</v>
      </c>
      <c r="F15" s="493" t="str">
        <f>ExpoRisk!F411</f>
        <v>Cs</v>
      </c>
      <c r="G15" s="584" t="str">
        <f>ExpoRisk!G411</f>
        <v>mg/kg ms</v>
      </c>
      <c r="H15" s="343">
        <f>ExpoRisk!BL411</f>
        <v>0</v>
      </c>
      <c r="I15" s="343">
        <f>ExpoRisk!BM411</f>
        <v>0</v>
      </c>
      <c r="J15" s="343">
        <f>ExpoRisk!BN411</f>
        <v>0</v>
      </c>
      <c r="K15" s="346">
        <f>ExpoRisk!BO411</f>
        <v>0</v>
      </c>
      <c r="L15" s="343">
        <f>ExpoRisk!BP411</f>
        <v>0</v>
      </c>
      <c r="M15" s="874">
        <f>ExpoRisk!BQ411</f>
        <v>0</v>
      </c>
      <c r="N15" s="343">
        <f>ExpoRisk!BR411</f>
        <v>0</v>
      </c>
      <c r="O15" s="343">
        <f>ExpoRisk!BS411</f>
        <v>0</v>
      </c>
      <c r="P15" s="875">
        <f>ExpoRisk!BT411</f>
        <v>0</v>
      </c>
      <c r="Q15" s="343">
        <f>ExpoRisk!BU411</f>
        <v>0</v>
      </c>
      <c r="R15" s="343">
        <f>ExpoRisk!BV411</f>
        <v>0</v>
      </c>
      <c r="S15" s="343">
        <f>ExpoRisk!BW411</f>
        <v>0</v>
      </c>
      <c r="T15" s="874">
        <f>ExpoRisk!BX411</f>
        <v>0</v>
      </c>
      <c r="U15" s="343">
        <f>ExpoRisk!BY411</f>
        <v>0</v>
      </c>
      <c r="V15" s="343">
        <f>ExpoRisk!BZ411</f>
        <v>0</v>
      </c>
      <c r="W15" s="343">
        <f>ExpoRisk!CA411</f>
        <v>0</v>
      </c>
      <c r="Y15" s="1884"/>
      <c r="Z15" s="1089"/>
      <c r="AA15" s="1104"/>
      <c r="AB15" s="1104"/>
      <c r="AC15" s="1092"/>
      <c r="AD15" s="1104"/>
      <c r="AE15" s="1104"/>
      <c r="AF15" s="1104"/>
      <c r="AG15" s="1895"/>
      <c r="AH15" s="1104"/>
      <c r="AI15" s="1104"/>
      <c r="AJ15" s="1895"/>
      <c r="AK15" s="1104"/>
      <c r="AL15" s="1104"/>
      <c r="AM15" s="1104"/>
      <c r="AN15" s="1135"/>
      <c r="AO15" s="1117"/>
      <c r="AP15" s="1118"/>
      <c r="AQ15" s="967"/>
      <c r="AR15" s="1104"/>
      <c r="AS15" s="1884"/>
      <c r="AT15" s="1104"/>
      <c r="AU15" s="1104"/>
      <c r="AV15" s="1104"/>
      <c r="AW15" s="1104"/>
      <c r="AX15" s="1104"/>
      <c r="AY15" s="1104"/>
      <c r="AZ15" s="1973"/>
      <c r="BA15" s="1104"/>
      <c r="BB15" s="1104"/>
      <c r="BC15" s="1895"/>
      <c r="BD15" s="1117"/>
      <c r="BE15" s="1972"/>
      <c r="BF15" s="1920"/>
      <c r="BG15" s="920"/>
      <c r="BH15" s="919"/>
      <c r="BI15" s="343">
        <f>ExpoRisk!DQ411</f>
        <v>0</v>
      </c>
      <c r="BJ15" s="343">
        <f>ExpoRisk!DR411</f>
        <v>0</v>
      </c>
      <c r="BK15" s="343">
        <f>ExpoRisk!DS411</f>
        <v>0</v>
      </c>
      <c r="BL15" s="874">
        <f>ExpoRisk!DT411</f>
        <v>0</v>
      </c>
      <c r="BM15" s="343">
        <f>ExpoRisk!DU411</f>
        <v>0</v>
      </c>
      <c r="BN15" s="343">
        <f>ExpoRisk!DV411</f>
        <v>0</v>
      </c>
      <c r="BO15" s="346">
        <f>ExpoRisk!DW411</f>
        <v>0</v>
      </c>
    </row>
    <row r="16" spans="1:67" s="26" customFormat="1" ht="13.5" hidden="1" customHeight="1" thickBot="1">
      <c r="A16" s="398"/>
      <c r="B16" s="27"/>
      <c r="C16" s="138"/>
      <c r="D16" s="195"/>
      <c r="E16" s="103" t="str">
        <f>ExpoRisk!E412</f>
        <v>Equivalent air du sol</v>
      </c>
      <c r="F16" s="14" t="str">
        <f>ExpoRisk!F412</f>
        <v>Csao</v>
      </c>
      <c r="G16" s="105" t="str">
        <f>ExpoRisk!G412</f>
        <v>mg/m3</v>
      </c>
      <c r="H16" s="113">
        <f>ExpoRisk!BL412</f>
        <v>0</v>
      </c>
      <c r="I16" s="113">
        <f>ExpoRisk!BM412</f>
        <v>0</v>
      </c>
      <c r="J16" s="113">
        <f>ExpoRisk!BN412</f>
        <v>0</v>
      </c>
      <c r="K16" s="120">
        <f>ExpoRisk!BO412</f>
        <v>0</v>
      </c>
      <c r="L16" s="113">
        <f>ExpoRisk!BP412</f>
        <v>0</v>
      </c>
      <c r="M16" s="872">
        <f>ExpoRisk!BQ412</f>
        <v>0</v>
      </c>
      <c r="N16" s="113">
        <f>ExpoRisk!BR412</f>
        <v>0</v>
      </c>
      <c r="O16" s="113">
        <f>ExpoRisk!BS412</f>
        <v>0</v>
      </c>
      <c r="P16" s="873">
        <f>ExpoRisk!BT412</f>
        <v>0</v>
      </c>
      <c r="Q16" s="113">
        <f>ExpoRisk!BU412</f>
        <v>0</v>
      </c>
      <c r="R16" s="113">
        <f>ExpoRisk!BV412</f>
        <v>0</v>
      </c>
      <c r="S16" s="113">
        <f>ExpoRisk!BW412</f>
        <v>0</v>
      </c>
      <c r="T16" s="872">
        <f>ExpoRisk!BX412</f>
        <v>0</v>
      </c>
      <c r="U16" s="113">
        <f>ExpoRisk!BY412</f>
        <v>0</v>
      </c>
      <c r="V16" s="113">
        <f>ExpoRisk!BZ412</f>
        <v>0</v>
      </c>
      <c r="W16" s="113">
        <f>ExpoRisk!CA412</f>
        <v>0</v>
      </c>
      <c r="Y16" s="621"/>
      <c r="Z16" s="1086"/>
      <c r="AA16" s="282"/>
      <c r="AB16" s="282"/>
      <c r="AC16" s="1091"/>
      <c r="AD16" s="282"/>
      <c r="AE16" s="282"/>
      <c r="AF16" s="282"/>
      <c r="AG16" s="1894"/>
      <c r="AH16" s="282"/>
      <c r="AI16" s="282"/>
      <c r="AJ16" s="1894"/>
      <c r="AK16" s="282"/>
      <c r="AL16" s="282"/>
      <c r="AM16" s="282"/>
      <c r="AN16" s="1919"/>
      <c r="AO16" s="1117"/>
      <c r="AP16" s="1118"/>
      <c r="AQ16" s="967"/>
      <c r="AR16" s="1104"/>
      <c r="AS16" s="621"/>
      <c r="AT16" s="282"/>
      <c r="AU16" s="282"/>
      <c r="AV16" s="282"/>
      <c r="AW16" s="282"/>
      <c r="AX16" s="282"/>
      <c r="AY16" s="282"/>
      <c r="AZ16" s="1971"/>
      <c r="BA16" s="282"/>
      <c r="BB16" s="282"/>
      <c r="BC16" s="1894"/>
      <c r="BD16" s="1117"/>
      <c r="BE16" s="1972"/>
      <c r="BF16" s="1920"/>
      <c r="BG16" s="920"/>
      <c r="BH16" s="77"/>
      <c r="BI16" s="113">
        <f>ExpoRisk!DQ412</f>
        <v>0</v>
      </c>
      <c r="BJ16" s="113">
        <f>ExpoRisk!DR412</f>
        <v>0</v>
      </c>
      <c r="BK16" s="113">
        <f>ExpoRisk!DS412</f>
        <v>0</v>
      </c>
      <c r="BL16" s="872">
        <f>ExpoRisk!DT412</f>
        <v>0</v>
      </c>
      <c r="BM16" s="113">
        <f>ExpoRisk!DU412</f>
        <v>0</v>
      </c>
      <c r="BN16" s="113">
        <f>ExpoRisk!DV412</f>
        <v>0</v>
      </c>
      <c r="BO16" s="120">
        <f>ExpoRisk!DW412</f>
        <v>0</v>
      </c>
    </row>
    <row r="17" spans="1:69" s="1585" customFormat="1">
      <c r="A17" s="476"/>
      <c r="B17" s="261"/>
      <c r="C17" s="1582"/>
      <c r="D17" s="262"/>
      <c r="E17" s="623" t="s">
        <v>597</v>
      </c>
      <c r="F17" s="259"/>
      <c r="G17" s="260"/>
      <c r="H17" s="184"/>
      <c r="I17" s="184"/>
      <c r="J17" s="184"/>
      <c r="K17" s="185"/>
      <c r="L17" s="184"/>
      <c r="M17" s="1583"/>
      <c r="N17" s="184"/>
      <c r="O17" s="184"/>
      <c r="P17" s="1584"/>
      <c r="Q17" s="184"/>
      <c r="R17" s="184"/>
      <c r="S17" s="184"/>
      <c r="T17" s="1583"/>
      <c r="U17" s="184"/>
      <c r="V17" s="184"/>
      <c r="W17" s="184"/>
      <c r="Y17" s="277"/>
      <c r="Z17" s="1587"/>
      <c r="AA17" s="278"/>
      <c r="AB17" s="278"/>
      <c r="AC17" s="1942"/>
      <c r="AD17" s="278"/>
      <c r="AE17" s="278"/>
      <c r="AF17" s="278"/>
      <c r="AG17" s="1943"/>
      <c r="AH17" s="278"/>
      <c r="AI17" s="278"/>
      <c r="AJ17" s="1943"/>
      <c r="AK17" s="278"/>
      <c r="AL17" s="278"/>
      <c r="AM17" s="278"/>
      <c r="AN17" s="279"/>
      <c r="AO17" s="1588"/>
      <c r="AP17" s="1589"/>
      <c r="AQ17" s="1590"/>
      <c r="AR17" s="1909"/>
      <c r="AS17" s="277"/>
      <c r="AT17" s="278"/>
      <c r="AU17" s="278"/>
      <c r="AV17" s="278"/>
      <c r="AW17" s="278"/>
      <c r="AX17" s="278"/>
      <c r="AY17" s="278"/>
      <c r="AZ17" s="1974"/>
      <c r="BA17" s="278"/>
      <c r="BB17" s="278"/>
      <c r="BC17" s="1943"/>
      <c r="BD17" s="1588"/>
      <c r="BE17" s="1975"/>
      <c r="BF17" s="1976"/>
      <c r="BG17" s="1591"/>
      <c r="BH17" s="1586"/>
      <c r="BI17" s="184"/>
      <c r="BJ17" s="184"/>
      <c r="BK17" s="184"/>
      <c r="BL17" s="1583"/>
      <c r="BM17" s="184"/>
      <c r="BN17" s="184"/>
      <c r="BO17" s="185"/>
    </row>
    <row r="18" spans="1:69" s="26" customFormat="1" ht="12.75" hidden="1" customHeight="1">
      <c r="A18" s="398"/>
      <c r="B18" s="27"/>
      <c r="C18" s="138"/>
      <c r="D18" s="195"/>
      <c r="E18" s="103" t="str">
        <f>ExpoRisk!E514</f>
        <v>Teneur limite (effet à seuil)</v>
      </c>
      <c r="F18" s="14" t="str">
        <f>ExpoRisk!F514</f>
        <v>Cs</v>
      </c>
      <c r="G18" s="105" t="str">
        <f>ExpoRisk!G514</f>
        <v>mg/kg ms</v>
      </c>
      <c r="H18" s="56">
        <f>Récap1!X18</f>
        <v>4.960814545454547E-2</v>
      </c>
      <c r="I18" s="56">
        <f>Récap1!Y18</f>
        <v>1.3435539393939397</v>
      </c>
      <c r="J18" s="56">
        <f>Récap1!Z18</f>
        <v>1.3693915151515152</v>
      </c>
      <c r="K18" s="57">
        <f>Récap1!AA18</f>
        <v>3.6172606060606061</v>
      </c>
      <c r="L18" s="56">
        <f>IF(ISNUMBER(Récap1!AB18),Récap1!AB18,I18/I$117*L$117)</f>
        <v>1.0335030303030304</v>
      </c>
      <c r="M18" s="870">
        <f>IF(ISNUMBER(Récap1!AC18),Récap1!AC18,L18/L$118*M$118)</f>
        <v>1.8173282568501126</v>
      </c>
      <c r="N18" s="56">
        <f>IF(ISNUMBER(Récap1!AD18),Récap1!AD18,M18/M$118*N$118)</f>
        <v>4.3967566039946124</v>
      </c>
      <c r="O18" s="56">
        <f>IF(ISNUMBER(Récap1!AE18),Récap1!AE18,N18/N$118*O$118)</f>
        <v>0.41748622577804639</v>
      </c>
      <c r="P18" s="871">
        <f>IF(ISNUMBER(Récap1!AF18),Récap1!AF18,O18/O$118*P$118)</f>
        <v>2.8694602483743843E-3</v>
      </c>
      <c r="Q18" s="56">
        <f>IF(ISNUMBER(Récap1!AG18),Récap1!AG18,I18/I$117*Q$117)</f>
        <v>95.082278787878806</v>
      </c>
      <c r="R18" s="56">
        <f>IF(ISNUMBER(Récap1!AH18),Récap1!AH18,Q18/Q$117*R$117)</f>
        <v>95.082278787878792</v>
      </c>
      <c r="S18" s="56">
        <f>IF(ISNUMBER(Récap1!AI18),Récap1!AI18,R18/R$117*S$117)</f>
        <v>5.1675151515151514</v>
      </c>
      <c r="T18" s="870">
        <f>IF(ISNUMBER(Récap1!AJ18),Récap1!AJ18,S18/S$118*T$118)</f>
        <v>5.1675151515151523</v>
      </c>
      <c r="U18" s="56">
        <f>IF(ISNUMBER(Récap1!AK18),Récap1!AK18,T18/T$118*U$118)</f>
        <v>6.5110819455480886</v>
      </c>
      <c r="V18" s="56">
        <f>IF(ISNUMBER(Récap1!AL18),Récap1!AL18,U18/U$118*V$118)</f>
        <v>4.1561976560685148</v>
      </c>
      <c r="W18" s="56">
        <f>IF(ISNUMBER(Récap1!AM18),Récap1!AM18,V18/V$118*W$118)</f>
        <v>0.43726420171359354</v>
      </c>
      <c r="Y18" s="621">
        <f>IF(ISNUMBER(Récap1!X18),Récap1!X18/H$117,Récap1!X18)</f>
        <v>4.3308066298187207</v>
      </c>
      <c r="Z18" s="1894">
        <f>IF(ISNUMBER(Récap1!Y18),Récap1!Y18/I$117,Récap1!Y18)</f>
        <v>9.8533970362072285</v>
      </c>
      <c r="AA18" s="282"/>
      <c r="AB18" s="282"/>
      <c r="AC18" s="1091">
        <f>IF(ISNUMBER(Récap1!AB18),Récap1!AB18/L$117,Récap1!AB18)</f>
        <v>5.7845951831445577</v>
      </c>
      <c r="AD18" s="282"/>
      <c r="AE18" s="282"/>
      <c r="AF18" s="282"/>
      <c r="AG18" s="282"/>
      <c r="AH18" s="282">
        <f>IF(ISNUMBER(Récap1!AG18),Récap1!AG18/Q$117,Récap1!AG18)</f>
        <v>279.75820837698785</v>
      </c>
      <c r="AI18" s="282">
        <f>IF(ISNUMBER(Récap1!AH18),Récap1!AH18/R$117,Récap1!AH18)</f>
        <v>361.87469891816528</v>
      </c>
      <c r="AJ18" s="1894">
        <f>IF(ISNUMBER(Récap1!AI18),Récap1!AI18/S$117,Récap1!AI18)</f>
        <v>72.880498653627569</v>
      </c>
      <c r="AK18" s="282"/>
      <c r="AL18" s="282"/>
      <c r="AM18" s="282"/>
      <c r="AN18" s="1919"/>
      <c r="AO18" s="1117">
        <f t="shared" ref="AO18:AO27" si="0">IF(MIN(AC18:AJ18)&gt;0,MIN(AC18:AJ18),Z18)</f>
        <v>5.7845951831445577</v>
      </c>
      <c r="AP18" s="1069">
        <f>SUMIF(Récap1!X18:Y18,"&gt;0",H$117:I$117)+IF(ISNUMBER(Récap1!AB18),L$117,0)+SUMIF(Récap1!AG18:AI18,"&gt;0",Q$117:S$117)</f>
        <v>1</v>
      </c>
      <c r="AQ18" s="1147">
        <f t="shared" ref="AQ18:AQ27" si="1">IF(MIN(Y18:AJ18)&gt;0,(IF(ISNUMBER(Y18),Y18*H$117,0)+IF(ISNUMBER(Z18),Z18*I$117,0)+IF(ISNUMBER(AC18),AC18*L$117,0)+IF(ISNUMBER(AH18),AH18*Q$117,0)+IF(ISNUMBER(AI18),AI18*R$117,0)+IF(ISNUMBER(AJ18),AJ18*S$117,0))/(IF(ISNUMBER(Y18),H$117,0)+IF(ISNUMBER(Z18),I$117,0)+IF(ISNUMBER(AC18),L$117,0)+IF(ISNUMBER(AH18),Q$117,0)+IF(ISNUMBER(AI18),R$117,0)+IF(ISNUMBER(AJ18),S$117,0)),Z18)</f>
        <v>197.75873784242427</v>
      </c>
      <c r="AR18" s="1104">
        <f t="shared" ref="AR18:AR27" si="2">SUM(H18:I18,L18:L18,Q18:S18)</f>
        <v>197.75873784242427</v>
      </c>
      <c r="AS18" s="621">
        <f>IF(ISNUMBER(Récap1!AC18),Récap1!AC18/M$118,Récap1!AC18)</f>
        <v>48.583748982634312</v>
      </c>
      <c r="AT18" s="282">
        <f>IF(ISNUMBER(Récap1!AD18),Récap1!AD18/N$118,Récap1!AD18)</f>
        <v>66.087975022722887</v>
      </c>
      <c r="AU18" s="282" t="str">
        <f>IF(ISNUMBER(Récap1!AE18),Récap1!AE18/O$118,Récap1!AE18)</f>
        <v>PVL</v>
      </c>
      <c r="AV18" s="282" t="str">
        <f>IF(ISNUMBER(Récap1!AF18),Récap1!AF18/P$118,Récap1!AF18)</f>
        <v>PVL</v>
      </c>
      <c r="AW18" s="282"/>
      <c r="AX18" s="282"/>
      <c r="AY18" s="282"/>
      <c r="AZ18" s="1971">
        <f>IF(ISNUMBER(Récap1!AJ18),Récap1!AJ18/T$118,Récap1!AJ18)</f>
        <v>38.174063482164321</v>
      </c>
      <c r="BA18" s="282">
        <f>IF(ISNUMBER(Récap1!AK18),Récap1!AK18/U$118,Récap1!AK18)</f>
        <v>14.720925537116788</v>
      </c>
      <c r="BB18" s="282" t="str">
        <f>IF(ISNUMBER(Récap1!AL18),Récap1!AL18/V$118,Récap1!AL18)</f>
        <v>PVL</v>
      </c>
      <c r="BC18" s="1894" t="str">
        <f>IF(ISNUMBER(Récap1!AM18),Récap1!AM18/W$118,Récap1!AM18)</f>
        <v>PVL</v>
      </c>
      <c r="BD18" s="1117">
        <f t="shared" ref="BD18:BD27" si="3">IF(MIN(AS18:BC18)&gt;0,MIN(AS18:BC18),"PVL")</f>
        <v>14.720925537116788</v>
      </c>
      <c r="BE18" s="1080">
        <f>SUMIF(Récap1!AC18:AF18,"&gt;0",M$118:P$118)+SUMIF(Récap1!AJ18:AM18,"&gt;0",T$118:W$118)</f>
        <v>0.68160323968664671</v>
      </c>
      <c r="BF18" s="1920">
        <f t="shared" ref="BF18:BF27" si="4">IF(MIN(AS18:BC18)&gt;0,(IF(ISNUMBER(AS18),AS18*M$118,0)+IF(ISNUMBER(AT18),AT18*N$118,0)+IF(ISNUMBER(AU18),AU18*O$118,0)+IF(ISNUMBER(AV18),AV18*P$118,0)+IF(ISNUMBER(AZ18),AZ18*T$118,0)+IF(ISNUMBER(BA18),BA18*U$118,0)+IF(ISNUMBER(BB18),BB18*V$118,0)+IF(ISNUMBER(BC18),BC18*W$118,0))/(IF(ISNUMBER(AS18),M$118,0)+IF(ISNUMBER(AT18),N$118,0)+IF(ISNUMBER(AU18),O$118,0)+IF(ISNUMBER(AV18),P$118,0)+IF(ISNUMBER(AZ18),T$118,0)+IF(ISNUMBER(BA18),U$118,0)+IF(ISNUMBER(BB18),V$118,0)+IF(ISNUMBER(BC18),W$118,0)),"PVL")</f>
        <v>26.250875753075597</v>
      </c>
      <c r="BG18" s="920">
        <f t="shared" ref="BG18:BG27" si="5">SUM(M18:P18,T18:W18)</f>
        <v>22.906499501716493</v>
      </c>
      <c r="BH18" s="77"/>
      <c r="BI18" s="56">
        <f t="shared" ref="BI18:BI49" si="6">SUM(Q18:Q18)+SUM(H18:H18)</f>
        <v>95.131886933333348</v>
      </c>
      <c r="BJ18" s="56">
        <f t="shared" ref="BJ18:BJ49" si="7">SUM(R18:R18)+SUM(I18:I18)</f>
        <v>96.425832727272734</v>
      </c>
      <c r="BK18" s="56">
        <f t="shared" ref="BK18:BK49" si="8">SUM(S18:S18)+SUM(L18:L18)</f>
        <v>6.2010181818181813</v>
      </c>
      <c r="BL18" s="870">
        <f t="shared" ref="BL18:BL49" si="9">SUM(T18:T18)+SUM(M18:M18)</f>
        <v>6.9848434083652648</v>
      </c>
      <c r="BM18" s="56">
        <f t="shared" ref="BM18:BM49" si="10">SUM(U18:U18)+SUM(N18:N18)</f>
        <v>10.907838549542701</v>
      </c>
      <c r="BN18" s="56">
        <f t="shared" ref="BN18:BN49" si="11">SUM(V18:V18)+SUM(O18:O18)</f>
        <v>4.5736838818465611</v>
      </c>
      <c r="BO18" s="57">
        <f t="shared" ref="BO18:BO49" si="12">SUM(W18:W18)+SUM(P18:P18)</f>
        <v>0.4401336619619679</v>
      </c>
    </row>
    <row r="19" spans="1:69" s="26" customFormat="1" ht="12.75" hidden="1" customHeight="1">
      <c r="A19" s="398"/>
      <c r="B19" s="27"/>
      <c r="C19" s="77"/>
      <c r="D19" s="502"/>
      <c r="E19" s="103" t="str">
        <f>ExpoRisk!E515</f>
        <v>Teneur limite (effet sans seuil)</v>
      </c>
      <c r="F19" s="14" t="str">
        <f>ExpoRisk!F515</f>
        <v>Cs</v>
      </c>
      <c r="G19" s="105" t="str">
        <f>ExpoRisk!G515</f>
        <v>mg/kg ms</v>
      </c>
      <c r="H19" s="56">
        <f>Récap1!X19</f>
        <v>0.30143838383838378</v>
      </c>
      <c r="I19" s="56" t="str">
        <f>Récap1!Y19</f>
        <v>PVL</v>
      </c>
      <c r="J19" s="56">
        <f>Récap1!Z19</f>
        <v>0.72345212121212132</v>
      </c>
      <c r="K19" s="57" t="str">
        <f>Récap1!AA19</f>
        <v>PVL</v>
      </c>
      <c r="L19" s="56" t="e">
        <f>IF(ISNUMBER(Récap1!AB19),Récap1!AB19,I19/I$117*L$117)</f>
        <v>#VALUE!</v>
      </c>
      <c r="M19" s="870" t="e">
        <f>IF(ISNUMBER(Récap1!AC19),Récap1!AC19,L19/L$118*M$118)</f>
        <v>#VALUE!</v>
      </c>
      <c r="N19" s="56" t="e">
        <f>IF(ISNUMBER(Récap1!AD19),Récap1!AD19,M19/M$118*N$118)</f>
        <v>#VALUE!</v>
      </c>
      <c r="O19" s="56" t="e">
        <f>IF(ISNUMBER(Récap1!AE19),Récap1!AE19,N19/N$118*O$118)</f>
        <v>#VALUE!</v>
      </c>
      <c r="P19" s="871" t="e">
        <f>IF(ISNUMBER(Récap1!AF19),Récap1!AF19,O19/O$118*P$118)</f>
        <v>#VALUE!</v>
      </c>
      <c r="Q19" s="56" t="e">
        <f>IF(ISNUMBER(Récap1!AG19),Récap1!AG19,I19/I$117*Q$117)</f>
        <v>#VALUE!</v>
      </c>
      <c r="R19" s="56" t="e">
        <f>IF(ISNUMBER(Récap1!AH19),Récap1!AH19,Q19/Q$117*R$117)</f>
        <v>#VALUE!</v>
      </c>
      <c r="S19" s="56" t="e">
        <f>IF(ISNUMBER(Récap1!AI19),Récap1!AI19,R19/R$117*S$117)</f>
        <v>#VALUE!</v>
      </c>
      <c r="T19" s="870" t="e">
        <f>IF(ISNUMBER(Récap1!AJ19),Récap1!AJ19,S19/S$118*T$118)</f>
        <v>#VALUE!</v>
      </c>
      <c r="U19" s="56" t="e">
        <f>IF(ISNUMBER(Récap1!AK19),Récap1!AK19,T19/T$118*U$118)</f>
        <v>#VALUE!</v>
      </c>
      <c r="V19" s="56" t="e">
        <f>IF(ISNUMBER(Récap1!AL19),Récap1!AL19,U19/U$118*V$118)</f>
        <v>#VALUE!</v>
      </c>
      <c r="W19" s="56" t="e">
        <f>IF(ISNUMBER(Récap1!AM19),Récap1!AM19,V19/V$118*W$118)</f>
        <v>#VALUE!</v>
      </c>
      <c r="Y19" s="621">
        <f>IF(ISNUMBER(Récap1!X19),Récap1!X19/H$117,Récap1!X19)</f>
        <v>26.315665285356793</v>
      </c>
      <c r="Z19" s="1894" t="str">
        <f>IF(ISNUMBER(Récap1!Y19),Récap1!Y19/I$117,Récap1!Y19)</f>
        <v>PVL</v>
      </c>
      <c r="AA19" s="282"/>
      <c r="AB19" s="282"/>
      <c r="AC19" s="1091" t="str">
        <f>IF(ISNUMBER(Récap1!AB19),Récap1!AB19/L$117,Récap1!AB19)</f>
        <v>PVL</v>
      </c>
      <c r="AD19" s="282"/>
      <c r="AE19" s="282"/>
      <c r="AF19" s="282"/>
      <c r="AG19" s="1894"/>
      <c r="AH19" s="282" t="str">
        <f>IF(ISNUMBER(Récap1!AG19),Récap1!AG19/Q$117,Récap1!AG19)</f>
        <v>PVL</v>
      </c>
      <c r="AI19" s="282" t="str">
        <f>IF(ISNUMBER(Récap1!AH19),Récap1!AH19/R$117,Récap1!AH19)</f>
        <v>PVL</v>
      </c>
      <c r="AJ19" s="1894" t="str">
        <f>IF(ISNUMBER(Récap1!AI19),Récap1!AI19/S$117,Récap1!AI19)</f>
        <v>PVL</v>
      </c>
      <c r="AK19" s="282"/>
      <c r="AL19" s="282"/>
      <c r="AM19" s="282"/>
      <c r="AN19" s="1919"/>
      <c r="AO19" s="1117" t="str">
        <f t="shared" si="0"/>
        <v>PVL</v>
      </c>
      <c r="AP19" s="1069">
        <f>SUMIF(Récap1!X19:Y19,"&gt;0",H$117:I$117)+IF(ISNUMBER(Récap1!AB19),L$117,0)+SUMIF(Récap1!AG19:AI19,"&gt;0",Q$117:S$117)</f>
        <v>1.145471264243954E-2</v>
      </c>
      <c r="AQ19" s="1147">
        <f t="shared" si="1"/>
        <v>26.315665285356793</v>
      </c>
      <c r="AR19" s="1104" t="e">
        <f t="shared" si="2"/>
        <v>#VALUE!</v>
      </c>
      <c r="AS19" s="621" t="str">
        <f>IF(ISNUMBER(Récap1!AC19),Récap1!AC19/M$118,Récap1!AC19)</f>
        <v>PVL</v>
      </c>
      <c r="AT19" s="282" t="str">
        <f>IF(ISNUMBER(Récap1!AD19),Récap1!AD19/N$118,Récap1!AD19)</f>
        <v>PVL</v>
      </c>
      <c r="AU19" s="282" t="str">
        <f>IF(ISNUMBER(Récap1!AE19),Récap1!AE19/O$118,Récap1!AE19)</f>
        <v>PVL</v>
      </c>
      <c r="AV19" s="282" t="str">
        <f>IF(ISNUMBER(Récap1!AF19),Récap1!AF19/P$118,Récap1!AF19)</f>
        <v>PVL</v>
      </c>
      <c r="AW19" s="282"/>
      <c r="AX19" s="282"/>
      <c r="AY19" s="282"/>
      <c r="AZ19" s="1971" t="str">
        <f>IF(ISNUMBER(Récap1!AJ19),Récap1!AJ19/T$118,Récap1!AJ19)</f>
        <v>PVL</v>
      </c>
      <c r="BA19" s="282" t="str">
        <f>IF(ISNUMBER(Récap1!AK19),Récap1!AK19/U$118,Récap1!AK19)</f>
        <v>PVL</v>
      </c>
      <c r="BB19" s="282" t="str">
        <f>IF(ISNUMBER(Récap1!AL19),Récap1!AL19/V$118,Récap1!AL19)</f>
        <v>PVL</v>
      </c>
      <c r="BC19" s="1894" t="str">
        <f>IF(ISNUMBER(Récap1!AM19),Récap1!AM19/W$118,Récap1!AM19)</f>
        <v>PVL</v>
      </c>
      <c r="BD19" s="1117" t="str">
        <f t="shared" si="3"/>
        <v>PVL</v>
      </c>
      <c r="BE19" s="1080">
        <f>SUMIF(Récap1!AC19:AF19,"&gt;0",M$118:P$118)+SUMIF(Récap1!AJ19:AM19,"&gt;0",T$118:W$118)</f>
        <v>0</v>
      </c>
      <c r="BF19" s="1920" t="str">
        <f t="shared" si="4"/>
        <v>PVL</v>
      </c>
      <c r="BG19" s="920" t="e">
        <f t="shared" si="5"/>
        <v>#VALUE!</v>
      </c>
      <c r="BH19" s="77"/>
      <c r="BI19" s="56" t="e">
        <f t="shared" si="6"/>
        <v>#VALUE!</v>
      </c>
      <c r="BJ19" s="56" t="e">
        <f t="shared" si="7"/>
        <v>#VALUE!</v>
      </c>
      <c r="BK19" s="56" t="e">
        <f t="shared" si="8"/>
        <v>#VALUE!</v>
      </c>
      <c r="BL19" s="870" t="e">
        <f t="shared" si="9"/>
        <v>#VALUE!</v>
      </c>
      <c r="BM19" s="56" t="e">
        <f t="shared" si="10"/>
        <v>#VALUE!</v>
      </c>
      <c r="BN19" s="56" t="e">
        <f t="shared" si="11"/>
        <v>#VALUE!</v>
      </c>
      <c r="BO19" s="57" t="e">
        <f t="shared" si="12"/>
        <v>#VALUE!</v>
      </c>
    </row>
    <row r="20" spans="1:69" s="26" customFormat="1">
      <c r="A20" s="398"/>
      <c r="B20" s="27"/>
      <c r="C20" s="77"/>
      <c r="D20" s="502"/>
      <c r="E20" s="103" t="str">
        <f>ExpoRisk!E516</f>
        <v>Teneur limite avant contrôle de la saturation</v>
      </c>
      <c r="F20" s="14" t="str">
        <f>ExpoRisk!F516</f>
        <v>Cs</v>
      </c>
      <c r="G20" s="105" t="str">
        <f>ExpoRisk!G516</f>
        <v>mg/kg ms</v>
      </c>
      <c r="H20" s="56">
        <f>Récap1!X20</f>
        <v>4.960814545454547E-2</v>
      </c>
      <c r="I20" s="56">
        <f>Récap1!Y20</f>
        <v>1.3435539393939397</v>
      </c>
      <c r="J20" s="56">
        <f>Récap1!Z20</f>
        <v>0.72345212121212132</v>
      </c>
      <c r="K20" s="57">
        <f>Récap1!AA20</f>
        <v>3.6172606060606061</v>
      </c>
      <c r="L20" s="56">
        <f>IF(ISNUMBER(Récap1!AB20),Récap1!AB20,I20/I$117*L$117)</f>
        <v>1.0335030303030304</v>
      </c>
      <c r="M20" s="870">
        <f>IF(ISNUMBER(Récap1!AC20),Récap1!AC20,L20/L$118*M$118)</f>
        <v>1.8173282568501126</v>
      </c>
      <c r="N20" s="56">
        <f>IF(ISNUMBER(Récap1!AD20),Récap1!AD20,M20/M$118*N$118)</f>
        <v>4.3967566039946124</v>
      </c>
      <c r="O20" s="56">
        <f>IF(ISNUMBER(Récap1!AE20),Récap1!AE20,N20/N$118*O$118)</f>
        <v>0.41748622577804639</v>
      </c>
      <c r="P20" s="871">
        <f>IF(ISNUMBER(Récap1!AF20),Récap1!AF20,O20/O$118*P$118)</f>
        <v>2.8694602483743843E-3</v>
      </c>
      <c r="Q20" s="56">
        <f>IF(ISNUMBER(Récap1!AG20),Récap1!AG20,I20/I$117*Q$117)</f>
        <v>95.082278787878806</v>
      </c>
      <c r="R20" s="56">
        <f>IF(ISNUMBER(Récap1!AH20),Récap1!AH20,Q20/Q$117*R$117)</f>
        <v>95.082278787878792</v>
      </c>
      <c r="S20" s="56">
        <f>IF(ISNUMBER(Récap1!AI20),Récap1!AI20,R20/R$117*S$117)</f>
        <v>5.1675151515151514</v>
      </c>
      <c r="T20" s="870">
        <f>IF(ISNUMBER(Récap1!AJ20),Récap1!AJ20,S20/S$118*T$118)</f>
        <v>5.1675151515151523</v>
      </c>
      <c r="U20" s="56">
        <f>IF(ISNUMBER(Récap1!AK20),Récap1!AK20,T20/T$118*U$118)</f>
        <v>6.5110819455480886</v>
      </c>
      <c r="V20" s="56">
        <f>IF(ISNUMBER(Récap1!AL20),Récap1!AL20,U20/U$118*V$118)</f>
        <v>4.1561976560685148</v>
      </c>
      <c r="W20" s="56">
        <f>IF(ISNUMBER(Récap1!AM20),Récap1!AM20,V20/V$118*W$118)</f>
        <v>0.43726420171359354</v>
      </c>
      <c r="Y20" s="621">
        <f>IF(ISNUMBER(Récap1!X20),Récap1!X20/H$117,Récap1!X20)</f>
        <v>4.3308066298187207</v>
      </c>
      <c r="Z20" s="1894">
        <f>IF(ISNUMBER(Récap1!Y20),Récap1!Y20/I$117,Récap1!Y20)</f>
        <v>9.8533970362072285</v>
      </c>
      <c r="AA20" s="282"/>
      <c r="AB20" s="282"/>
      <c r="AC20" s="1091">
        <f>IF(ISNUMBER(Récap1!AB20),Récap1!AB20/L$117,Récap1!AB20)</f>
        <v>5.7845951831445577</v>
      </c>
      <c r="AD20" s="282"/>
      <c r="AE20" s="282"/>
      <c r="AF20" s="282"/>
      <c r="AG20" s="1894"/>
      <c r="AH20" s="282">
        <f>IF(ISNUMBER(Récap1!AG20),Récap1!AG20/Q$117,Récap1!AG20)</f>
        <v>279.75820837698785</v>
      </c>
      <c r="AI20" s="282">
        <f>IF(ISNUMBER(Récap1!AH20),Récap1!AH20/R$117,Récap1!AH20)</f>
        <v>361.87469891816528</v>
      </c>
      <c r="AJ20" s="1894">
        <f>IF(ISNUMBER(Récap1!AI20),Récap1!AI20/S$117,Récap1!AI20)</f>
        <v>72.880498653627569</v>
      </c>
      <c r="AK20" s="282"/>
      <c r="AL20" s="282"/>
      <c r="AM20" s="282"/>
      <c r="AN20" s="1919"/>
      <c r="AO20" s="1117">
        <f t="shared" si="0"/>
        <v>5.7845951831445577</v>
      </c>
      <c r="AP20" s="1069">
        <f>SUMIF(Récap1!X20:Y20,"&gt;0",H$117:I$117)+IF(ISNUMBER(Récap1!AB20),L$117,0)+SUMIF(Récap1!AG20:AI20,"&gt;0",Q$117:S$117)</f>
        <v>1</v>
      </c>
      <c r="AQ20" s="1147">
        <f t="shared" si="1"/>
        <v>197.75873784242427</v>
      </c>
      <c r="AR20" s="1910">
        <f t="shared" si="2"/>
        <v>197.75873784242427</v>
      </c>
      <c r="AS20" s="621">
        <f>IF(ISNUMBER(Récap1!AC20),Récap1!AC20/M$118,Récap1!AC20)</f>
        <v>48.583748982634312</v>
      </c>
      <c r="AT20" s="282">
        <f>IF(ISNUMBER(Récap1!AD20),Récap1!AD20/N$118,Récap1!AD20)</f>
        <v>66.087975022722887</v>
      </c>
      <c r="AU20" s="282" t="str">
        <f>IF(ISNUMBER(Récap1!AE20),Récap1!AE20/O$118,Récap1!AE20)</f>
        <v>PVL</v>
      </c>
      <c r="AV20" s="282" t="str">
        <f>IF(ISNUMBER(Récap1!AF20),Récap1!AF20/P$118,Récap1!AF20)</f>
        <v>PVL</v>
      </c>
      <c r="AW20" s="282"/>
      <c r="AX20" s="282"/>
      <c r="AY20" s="282"/>
      <c r="AZ20" s="1971">
        <f>IF(ISNUMBER(Récap1!AJ20),Récap1!AJ20/T$118,Récap1!AJ20)</f>
        <v>38.174063482164321</v>
      </c>
      <c r="BA20" s="282">
        <f>IF(ISNUMBER(Récap1!AK20),Récap1!AK20/U$118,Récap1!AK20)</f>
        <v>14.720925537116788</v>
      </c>
      <c r="BB20" s="282" t="str">
        <f>IF(ISNUMBER(Récap1!AL20),Récap1!AL20/V$118,Récap1!AL20)</f>
        <v>PVL</v>
      </c>
      <c r="BC20" s="1894" t="str">
        <f>IF(ISNUMBER(Récap1!AM20),Récap1!AM20/W$118,Récap1!AM20)</f>
        <v>PVL</v>
      </c>
      <c r="BD20" s="1117">
        <f t="shared" si="3"/>
        <v>14.720925537116788</v>
      </c>
      <c r="BE20" s="1080">
        <f>SUMIF(Récap1!AC20:AF20,"&gt;0",M$118:P$118)+SUMIF(Récap1!AJ20:AM20,"&gt;0",T$118:W$118)</f>
        <v>0.68160323968664671</v>
      </c>
      <c r="BF20" s="1921">
        <f t="shared" si="4"/>
        <v>26.250875753075597</v>
      </c>
      <c r="BG20" s="1918">
        <f t="shared" si="5"/>
        <v>22.906499501716493</v>
      </c>
      <c r="BH20" s="77"/>
      <c r="BI20" s="56">
        <f t="shared" si="6"/>
        <v>95.131886933333348</v>
      </c>
      <c r="BJ20" s="56">
        <f t="shared" si="7"/>
        <v>96.425832727272734</v>
      </c>
      <c r="BK20" s="56">
        <f t="shared" si="8"/>
        <v>6.2010181818181813</v>
      </c>
      <c r="BL20" s="870">
        <f t="shared" si="9"/>
        <v>6.9848434083652648</v>
      </c>
      <c r="BM20" s="56">
        <f t="shared" si="10"/>
        <v>10.907838549542701</v>
      </c>
      <c r="BN20" s="56">
        <f t="shared" si="11"/>
        <v>4.5736838818465611</v>
      </c>
      <c r="BO20" s="57">
        <f t="shared" si="12"/>
        <v>0.4401336619619679</v>
      </c>
    </row>
    <row r="21" spans="1:69" s="495" customFormat="1">
      <c r="A21" s="398"/>
      <c r="B21" s="492"/>
      <c r="C21" s="984"/>
      <c r="D21" s="281"/>
      <c r="E21" s="619" t="s">
        <v>985</v>
      </c>
      <c r="F21" s="493" t="str">
        <f>ExpoRisk!F517</f>
        <v>Cs</v>
      </c>
      <c r="G21" s="584" t="str">
        <f>ExpoRisk!G517</f>
        <v>mg/kg ms</v>
      </c>
      <c r="H21" s="343">
        <f>Récap1!X21</f>
        <v>4.960814545454547E-2</v>
      </c>
      <c r="I21" s="343">
        <f>Récap1!Y21</f>
        <v>1.3435539393939397</v>
      </c>
      <c r="J21" s="343">
        <f>Récap1!Z21</f>
        <v>0.72345212121212132</v>
      </c>
      <c r="K21" s="346">
        <f>Récap1!AA21</f>
        <v>3.6172606060606061</v>
      </c>
      <c r="L21" s="343">
        <f>IF(ISNUMBER(Récap1!AB21),Récap1!AB21,I21/I$117*L$117)</f>
        <v>1.0335030303030304</v>
      </c>
      <c r="M21" s="874">
        <f>IF(ISNUMBER(Récap1!AC21),Récap1!AC21,L21/L$118*M$118)</f>
        <v>1.8173282568501126</v>
      </c>
      <c r="N21" s="343">
        <f>IF(ISNUMBER(Récap1!AD21),Récap1!AD21,M21/M$118*N$118)</f>
        <v>4.3967566039946124</v>
      </c>
      <c r="O21" s="343">
        <f>IF(ISNUMBER(Récap1!AE21),Récap1!AE21,N21/N$118*O$118)</f>
        <v>0.41748622577804639</v>
      </c>
      <c r="P21" s="875">
        <f>IF(ISNUMBER(Récap1!AF21),Récap1!AF21,O21/O$118*P$118)</f>
        <v>2.8694602483743843E-3</v>
      </c>
      <c r="Q21" s="343">
        <f>IF(ISNUMBER(Récap1!AG21),Récap1!AG21,I21/I$117*Q$117)</f>
        <v>95.082278787878806</v>
      </c>
      <c r="R21" s="343">
        <f>IF(ISNUMBER(Récap1!AH21),Récap1!AH21,Q21/Q$117*R$117)</f>
        <v>73.506238600321737</v>
      </c>
      <c r="S21" s="343">
        <f>IF(ISNUMBER(Récap1!AI21),Récap1!AI21,R21/R$117*S$117)</f>
        <v>5.1675151515151514</v>
      </c>
      <c r="T21" s="874">
        <f>IF(ISNUMBER(Récap1!AJ21),Récap1!AJ21,S21/S$118*T$118)</f>
        <v>5.1675151515151523</v>
      </c>
      <c r="U21" s="343">
        <f>IF(ISNUMBER(Récap1!AK21),Récap1!AK21,T21/T$118*U$118)</f>
        <v>16.884431274394458</v>
      </c>
      <c r="V21" s="343">
        <f>IF(ISNUMBER(Récap1!AL21),Récap1!AL21,U21/U$118*V$118)</f>
        <v>10.777783826644958</v>
      </c>
      <c r="W21" s="343">
        <f>IF(ISNUMBER(Récap1!AM21),Récap1!AM21,V21/V$118*W$118)</f>
        <v>1.133906380587665</v>
      </c>
      <c r="Y21" s="1884">
        <f>IF(ISNUMBER(Récap1!X21),Récap1!X21/H$117,Récap1!X21)</f>
        <v>4.3308066298187207</v>
      </c>
      <c r="Z21" s="1895">
        <f>IF(ISNUMBER(Récap1!Y21),Récap1!Y21/I$117,Récap1!Y21)</f>
        <v>9.8533970362072285</v>
      </c>
      <c r="AA21" s="1104"/>
      <c r="AB21" s="1104"/>
      <c r="AC21" s="1092">
        <f>IF(ISNUMBER(Récap1!AB21),Récap1!AB21/L$117,Récap1!AB21)</f>
        <v>5.7845951831445577</v>
      </c>
      <c r="AD21" s="1104"/>
      <c r="AE21" s="1104"/>
      <c r="AF21" s="1104"/>
      <c r="AG21" s="1895"/>
      <c r="AH21" s="1104">
        <f>IF(ISNUMBER(Récap1!AG21),Récap1!AG21/Q$117,Récap1!AG21)</f>
        <v>279.75820837698785</v>
      </c>
      <c r="AI21" s="1104" t="str">
        <f>IF(ISNUMBER(Récap1!AH21),Récap1!AH21/R$117,Récap1!AH21)</f>
        <v>PVL</v>
      </c>
      <c r="AJ21" s="1895">
        <f>IF(ISNUMBER(Récap1!AI21),Récap1!AI21/S$117,Récap1!AI21)</f>
        <v>72.880498653627569</v>
      </c>
      <c r="AK21" s="1104"/>
      <c r="AL21" s="1104"/>
      <c r="AM21" s="1104"/>
      <c r="AN21" s="1135"/>
      <c r="AO21" s="1104">
        <f t="shared" si="0"/>
        <v>5.7845951831445577</v>
      </c>
      <c r="AP21" s="1069">
        <f>SUMIF(Récap1!X21:Y21,"&gt;0",H$117:I$117)+IF(ISNUMBER(Récap1!AB21),L$117,0)+SUMIF(Récap1!AG21:AI21,"&gt;0",Q$117:S$117)</f>
        <v>0.73725082446457313</v>
      </c>
      <c r="AQ21" s="1148">
        <f t="shared" si="1"/>
        <v>139.26937162683276</v>
      </c>
      <c r="AR21" s="1104">
        <f t="shared" si="2"/>
        <v>176.18269765486721</v>
      </c>
      <c r="AS21" s="1884">
        <f>IF(ISNUMBER(Récap1!AC21),Récap1!AC21/M$118,Récap1!AC21)</f>
        <v>48.583748982634312</v>
      </c>
      <c r="AT21" s="1104">
        <f>IF(ISNUMBER(Récap1!AD21),Récap1!AD21/N$118,Récap1!AD21)</f>
        <v>66.087975022722887</v>
      </c>
      <c r="AU21" s="1104" t="str">
        <f>IF(ISNUMBER(Récap1!AE21),Récap1!AE21/O$118,Récap1!AE21)</f>
        <v>PVL</v>
      </c>
      <c r="AV21" s="1104" t="str">
        <f>IF(ISNUMBER(Récap1!AF21),Récap1!AF21/P$118,Récap1!AF21)</f>
        <v>PVL</v>
      </c>
      <c r="AW21" s="1104"/>
      <c r="AX21" s="1104"/>
      <c r="AY21" s="1104"/>
      <c r="AZ21" s="1973">
        <f>IF(ISNUMBER(Récap1!AJ21),Récap1!AJ21/T$118,Récap1!AJ21)</f>
        <v>38.174063482164321</v>
      </c>
      <c r="BA21" s="1104" t="str">
        <f>IF(ISNUMBER(Récap1!AK21),Récap1!AK21/U$118,Récap1!AK21)</f>
        <v>PVL</v>
      </c>
      <c r="BB21" s="1104" t="str">
        <f>IF(ISNUMBER(Récap1!AL21),Récap1!AL21/V$118,Récap1!AL21)</f>
        <v>PVL</v>
      </c>
      <c r="BC21" s="1895" t="str">
        <f>IF(ISNUMBER(Récap1!AM21),Récap1!AM21/W$118,Récap1!AM21)</f>
        <v>PVL</v>
      </c>
      <c r="BD21" s="1104">
        <f t="shared" si="3"/>
        <v>38.174063482164321</v>
      </c>
      <c r="BE21" s="1080">
        <f>SUMIF(Récap1!AC21:AF21,"&gt;0",M$118:P$118)+SUMIF(Récap1!AJ21:AM21,"&gt;0",T$118:W$118)</f>
        <v>0.23930211336607046</v>
      </c>
      <c r="BF21" s="1135">
        <f t="shared" si="4"/>
        <v>47.561636010079724</v>
      </c>
      <c r="BG21" s="920">
        <f t="shared" si="5"/>
        <v>40.598077180013384</v>
      </c>
      <c r="BH21" s="919"/>
      <c r="BI21" s="343">
        <f t="shared" si="6"/>
        <v>95.131886933333348</v>
      </c>
      <c r="BJ21" s="343">
        <f t="shared" si="7"/>
        <v>74.849792539715679</v>
      </c>
      <c r="BK21" s="343">
        <f t="shared" si="8"/>
        <v>6.2010181818181813</v>
      </c>
      <c r="BL21" s="874">
        <f t="shared" si="9"/>
        <v>6.9848434083652648</v>
      </c>
      <c r="BM21" s="343">
        <f t="shared" si="10"/>
        <v>21.281187878389069</v>
      </c>
      <c r="BN21" s="343">
        <f t="shared" si="11"/>
        <v>11.195270052423005</v>
      </c>
      <c r="BO21" s="346">
        <f t="shared" si="12"/>
        <v>1.1367758408360393</v>
      </c>
      <c r="BP21" s="1064">
        <f>SUM(BI21:BK21)</f>
        <v>176.18269765486721</v>
      </c>
      <c r="BQ21" s="1064">
        <f>SUM(BL21:BO21)</f>
        <v>40.598077180013377</v>
      </c>
    </row>
    <row r="22" spans="1:69" s="742" customFormat="1" ht="12.75" hidden="1" customHeight="1">
      <c r="A22" s="732"/>
      <c r="B22" s="733"/>
      <c r="C22" s="503"/>
      <c r="D22" s="507"/>
      <c r="E22" s="736" t="str">
        <f>ExpoRisk!E518</f>
        <v>Equivalent air du sol</v>
      </c>
      <c r="F22" s="737" t="s">
        <v>93</v>
      </c>
      <c r="G22" s="738" t="s">
        <v>24</v>
      </c>
      <c r="H22" s="740">
        <f>Récap1!X22</f>
        <v>42.903932996838442</v>
      </c>
      <c r="I22" s="740">
        <f>Récap1!Y22</f>
        <v>805.32166015097914</v>
      </c>
      <c r="J22" s="740">
        <f>Récap1!Z22</f>
        <v>256.80591390590763</v>
      </c>
      <c r="K22" s="741">
        <f>Récap1!AA22</f>
        <v>861.40367070672505</v>
      </c>
      <c r="L22" s="740">
        <f>IF(ISNUMBER(Récap1!AB22),Récap1!AB22,I22/I$117*L$117)</f>
        <v>278.34927118724164</v>
      </c>
      <c r="M22" s="878">
        <f>IF(ISNUMBER(Récap1!AC22),Récap1!AC22,L22/L$118*M$118)</f>
        <v>95.509310363068565</v>
      </c>
      <c r="N22" s="740">
        <f>IF(ISNUMBER(Récap1!AD22),Récap1!AD22,M22/M$118*N$118)</f>
        <v>45.22821869705205</v>
      </c>
      <c r="O22" s="740">
        <f>IF(ISNUMBER(Récap1!AE22),Récap1!AE22,N22/N$118*O$118)</f>
        <v>4.2945652950952997</v>
      </c>
      <c r="P22" s="879">
        <f>IF(ISNUMBER(Récap1!AF22),Récap1!AF22,O22/O$118*P$118)</f>
        <v>2.9517343656927382E-2</v>
      </c>
      <c r="Q22" s="740">
        <f>IF(ISNUMBER(Récap1!AG22),Récap1!AG22,I22/I$117*Q$117)</f>
        <v>588947.92019305448</v>
      </c>
      <c r="R22" s="740">
        <f>IF(ISNUMBER(Récap1!AH22),Récap1!AH22,Q22/Q$117*R$117)</f>
        <v>455304.04715534375</v>
      </c>
      <c r="S22" s="740">
        <f>IF(ISNUMBER(Récap1!AI22),Récap1!AI22,R22/R$117*S$117)</f>
        <v>9744.7938404108027</v>
      </c>
      <c r="T22" s="878">
        <f>IF(ISNUMBER(Récap1!AJ22),Récap1!AJ22,S22/S$118*T$118)</f>
        <v>2319.6814056859121</v>
      </c>
      <c r="U22" s="740">
        <f>IF(ISNUMBER(Récap1!AK22),Récap1!AK22,T22/T$118*U$118)</f>
        <v>7579.3684439049221</v>
      </c>
      <c r="V22" s="740">
        <f>IF(ISNUMBER(Récap1!AL22),Récap1!AL22,U22/U$118*V$118)</f>
        <v>4838.1134847452131</v>
      </c>
      <c r="W22" s="740">
        <f>IF(ISNUMBER(Récap1!AM22),Récap1!AM22,V22/V$118*W$118)</f>
        <v>509.00703137108292</v>
      </c>
      <c r="Y22" s="1885">
        <f>IF(ISNUMBER(Récap1!X22),Récap1!X22/H$117,Récap1!X22)</f>
        <v>3745.5267832629875</v>
      </c>
      <c r="Z22" s="1896">
        <f>IF(ISNUMBER(Récap1!Y22),Récap1!Y22/I$117,Récap1!Y22)</f>
        <v>5906.0926596699137</v>
      </c>
      <c r="AA22" s="1944"/>
      <c r="AB22" s="1944"/>
      <c r="AC22" s="1093">
        <f>IF(ISNUMBER(Récap1!AB22),Récap1!AB22/L$117,Récap1!AB22)</f>
        <v>1557.9420728639882</v>
      </c>
      <c r="AD22" s="1944"/>
      <c r="AE22" s="1944"/>
      <c r="AF22" s="1944"/>
      <c r="AG22" s="1896"/>
      <c r="AH22" s="1944">
        <f>IF(ISNUMBER(Récap1!AG22),Récap1!AG22/Q$117,Récap1!AG22)</f>
        <v>1732846.7205559479</v>
      </c>
      <c r="AI22" s="1944" t="str">
        <f>IF(ISNUMBER(Récap1!AH22),Récap1!AH22/R$117,Récap1!AH22)</f>
        <v>PVL</v>
      </c>
      <c r="AJ22" s="1896">
        <f>IF(ISNUMBER(Récap1!AI22),Récap1!AI22/S$117,Récap1!AI22)</f>
        <v>137436.54610431098</v>
      </c>
      <c r="AK22" s="1944"/>
      <c r="AL22" s="1944"/>
      <c r="AM22" s="1944"/>
      <c r="AN22" s="1945"/>
      <c r="AO22" s="1121">
        <f t="shared" si="0"/>
        <v>1557.9420728639882</v>
      </c>
      <c r="AP22" s="1070">
        <f>SUMIF(Récap1!X22:Y22,"&gt;0",H$117:I$117)+IF(ISNUMBER(Récap1!AB22),L$117,0)+SUMIF(Récap1!AG22:AI22,"&gt;0",Q$117:S$117)</f>
        <v>0.73725082446457313</v>
      </c>
      <c r="AQ22" s="1149">
        <f t="shared" si="1"/>
        <v>813589.17344503186</v>
      </c>
      <c r="AR22" s="1911">
        <f t="shared" si="2"/>
        <v>1055123.3360531442</v>
      </c>
      <c r="AS22" s="1885">
        <f>IF(ISNUMBER(Récap1!AC22),Récap1!AC22/M$118,Récap1!AC22)</f>
        <v>2553.3088712473291</v>
      </c>
      <c r="AT22" s="1944">
        <f>IF(ISNUMBER(Récap1!AD22),Récap1!AD22/N$118,Récap1!AD22)</f>
        <v>679.82871393366918</v>
      </c>
      <c r="AU22" s="1944" t="str">
        <f>IF(ISNUMBER(Récap1!AE22),Récap1!AE22/O$118,Récap1!AE22)</f>
        <v>PVL</v>
      </c>
      <c r="AV22" s="1944" t="str">
        <f>IF(ISNUMBER(Récap1!AF22),Récap1!AF22/P$118,Récap1!AF22)</f>
        <v>PVL</v>
      </c>
      <c r="AW22" s="1944"/>
      <c r="AX22" s="1944"/>
      <c r="AY22" s="1944"/>
      <c r="AZ22" s="1977">
        <f>IF(ISNUMBER(Récap1!AJ22),Récap1!AJ22/T$118,Récap1!AJ22)</f>
        <v>17136.217822813</v>
      </c>
      <c r="BA22" s="1944" t="str">
        <f>IF(ISNUMBER(Récap1!AK22),Récap1!AK22/U$118,Récap1!AK22)</f>
        <v>PVL</v>
      </c>
      <c r="BB22" s="1944" t="str">
        <f>IF(ISNUMBER(Récap1!AL22),Récap1!AL22/V$118,Récap1!AL22)</f>
        <v>PVL</v>
      </c>
      <c r="BC22" s="1896" t="str">
        <f>IF(ISNUMBER(Récap1!AM22),Récap1!AM22/W$118,Récap1!AM22)</f>
        <v>PVL</v>
      </c>
      <c r="BD22" s="1121">
        <f t="shared" si="3"/>
        <v>679.82871393366918</v>
      </c>
      <c r="BE22" s="1081">
        <f>SUMIF(Récap1!AC22:AF22,"&gt;0",M$118:P$118)+SUMIF(Récap1!AJ22:AM22,"&gt;0",T$118:W$118)</f>
        <v>0.23930211336607046</v>
      </c>
      <c r="BF22" s="1978">
        <f t="shared" si="4"/>
        <v>10281.643150314458</v>
      </c>
      <c r="BG22" s="978">
        <f t="shared" si="5"/>
        <v>15391.231977406002</v>
      </c>
      <c r="BH22" s="743"/>
      <c r="BI22" s="740">
        <f t="shared" si="6"/>
        <v>588990.82412605127</v>
      </c>
      <c r="BJ22" s="740">
        <f t="shared" si="7"/>
        <v>456109.36881549476</v>
      </c>
      <c r="BK22" s="740">
        <f t="shared" si="8"/>
        <v>10023.143111598045</v>
      </c>
      <c r="BL22" s="878">
        <f t="shared" si="9"/>
        <v>2415.1907160489804</v>
      </c>
      <c r="BM22" s="740">
        <f t="shared" si="10"/>
        <v>7624.5966626019745</v>
      </c>
      <c r="BN22" s="740">
        <f t="shared" si="11"/>
        <v>4842.4080500403088</v>
      </c>
      <c r="BO22" s="741">
        <f t="shared" si="12"/>
        <v>509.03654871473987</v>
      </c>
    </row>
    <row r="23" spans="1:69" s="782" customFormat="1" ht="13.5" hidden="1" customHeight="1">
      <c r="A23" s="1592"/>
      <c r="B23" s="245"/>
      <c r="C23" s="777"/>
      <c r="D23" s="778"/>
      <c r="E23" s="853" t="s">
        <v>953</v>
      </c>
      <c r="F23" s="779" t="s">
        <v>19</v>
      </c>
      <c r="G23" s="1609" t="s">
        <v>20</v>
      </c>
      <c r="H23" s="781">
        <f>Récap1!X23</f>
        <v>0.43503404170731469</v>
      </c>
      <c r="I23" s="781">
        <f>Récap1!Y23</f>
        <v>0.38689680645917712</v>
      </c>
      <c r="J23" s="781">
        <f>Récap1!Z23</f>
        <v>0.68117653917636534</v>
      </c>
      <c r="K23" s="608">
        <f>Récap1!AA23</f>
        <v>3.0902825726105098E-2</v>
      </c>
      <c r="L23" s="781">
        <f>IF(ISNUMBER(Récap1!AB23),Récap1!AB23,I23/I$117*L$117)</f>
        <v>0.15662521348555603</v>
      </c>
      <c r="M23" s="880">
        <f>IF(ISNUMBER(Récap1!AC23),Récap1!AC23,L23/L$118*M$118)</f>
        <v>0.21117767496292295</v>
      </c>
      <c r="N23" s="781">
        <f>IF(ISNUMBER(Récap1!AD23),Récap1!AD23,M23/M$118*N$118)</f>
        <v>1.0789051720739191</v>
      </c>
      <c r="O23" s="781">
        <f>IF(ISNUMBER(Récap1!AE23),Récap1!AE23,N23/N$118*O$118)</f>
        <v>0.10244552719891839</v>
      </c>
      <c r="P23" s="881">
        <f>IF(ISNUMBER(Récap1!AF23),Récap1!AF23,O23/O$118*P$118)</f>
        <v>7.0412710592597288E-4</v>
      </c>
      <c r="Q23" s="781">
        <f>IF(ISNUMBER(Récap1!AG23),Récap1!AG23,I23/I$117*Q$117)</f>
        <v>0.15599003043431645</v>
      </c>
      <c r="R23" s="781">
        <f>IF(ISNUMBER(Récap1!AH23),Récap1!AH23,Q23/Q$117*R$117)</f>
        <v>1.1858748828365722</v>
      </c>
      <c r="S23" s="781">
        <f>IF(ISNUMBER(Récap1!AI23),Récap1!AI23,R23/R$117*S$117)</f>
        <v>0.23584816061581279</v>
      </c>
      <c r="T23" s="880">
        <f>IF(ISNUMBER(Récap1!AJ23),Récap1!AJ23,S23/S$118*T$118)</f>
        <v>0.38023198493573312</v>
      </c>
      <c r="U23" s="781">
        <f>IF(ISNUMBER(Récap1!AK23),Récap1!AK23,T23/T$118*U$118)</f>
        <v>1.2423767767940816</v>
      </c>
      <c r="V23" s="781">
        <f>IF(ISNUMBER(Récap1!AL23),Récap1!AL23,U23/U$118*V$118)</f>
        <v>0.79304230707710144</v>
      </c>
      <c r="W23" s="781">
        <f>IF(ISNUMBER(Récap1!AM23),Récap1!AM23,V23/V$118*W$118)</f>
        <v>8.3434196355616927E-2</v>
      </c>
      <c r="Y23" s="1886">
        <f>IF(ISNUMBER(Récap1!X23),Récap1!X23/H$117,Récap1!X23)</f>
        <v>37.978608044301353</v>
      </c>
      <c r="Z23" s="1897">
        <f>IF(ISNUMBER(Récap1!Y23),Récap1!Y23/I$117,Récap1!Y23)</f>
        <v>2.8374356505571745</v>
      </c>
      <c r="AA23" s="1086"/>
      <c r="AB23" s="1086"/>
      <c r="AC23" s="1094">
        <f>IF(ISNUMBER(Récap1!AB23),Récap1!AB23/L$117,Récap1!AB23)</f>
        <v>0.87664325011401845</v>
      </c>
      <c r="AD23" s="1086"/>
      <c r="AE23" s="1086"/>
      <c r="AF23" s="1086"/>
      <c r="AG23" s="1897"/>
      <c r="AH23" s="1086">
        <f>IF(ISNUMBER(Récap1!AG23),Récap1!AG23/Q$117,Récap1!AG23)</f>
        <v>0.45896556114659914</v>
      </c>
      <c r="AI23" s="1086">
        <f>IF(ISNUMBER(Récap1!AH23),Récap1!AH23/R$117,Récap1!AH23)</f>
        <v>4.5133343631621727</v>
      </c>
      <c r="AJ23" s="1897">
        <f>IF(ISNUMBER(Récap1!AI23),Récap1!AI23/S$117,Récap1!AI23)</f>
        <v>3.3263050128031897</v>
      </c>
      <c r="AK23" s="1086"/>
      <c r="AL23" s="1086"/>
      <c r="AM23" s="1086"/>
      <c r="AN23" s="1946"/>
      <c r="AO23" s="1122">
        <f t="shared" si="0"/>
        <v>0.45896556114659914</v>
      </c>
      <c r="AP23" s="1071">
        <f>SUMIF(Récap1!X23:Y23,"&gt;0",H$117:I$117)+IF(ISNUMBER(Récap1!AB23),L$117,0)+SUMIF(Récap1!AG23:AI23,"&gt;0",Q$117:S$117)</f>
        <v>1</v>
      </c>
      <c r="AQ23" s="1150">
        <f t="shared" si="1"/>
        <v>2.5562691355387495</v>
      </c>
      <c r="AR23" s="1089">
        <f t="shared" si="2"/>
        <v>2.5562691355387495</v>
      </c>
      <c r="AS23" s="1886">
        <f>IF(ISNUMBER(Récap1!AC23),Récap1!AC23/M$118,Récap1!AC23)</f>
        <v>5.6455420821540567</v>
      </c>
      <c r="AT23" s="1086">
        <f>IF(ISNUMBER(Récap1!AD23),Récap1!AD23/N$118,Récap1!AD23)</f>
        <v>16.217103762152004</v>
      </c>
      <c r="AU23" s="1086" t="str">
        <f>IF(ISNUMBER(Récap1!AE23),Récap1!AE23/O$118,Récap1!AE23)</f>
        <v>PVL</v>
      </c>
      <c r="AV23" s="1086" t="str">
        <f>IF(ISNUMBER(Récap1!AF23),Récap1!AF23/P$118,Récap1!AF23)</f>
        <v>PVL</v>
      </c>
      <c r="AW23" s="1086"/>
      <c r="AX23" s="1086"/>
      <c r="AY23" s="1086"/>
      <c r="AZ23" s="1979">
        <f>IF(ISNUMBER(Récap1!AJ23),Récap1!AJ23/T$118,Récap1!AJ23)</f>
        <v>2.8088935407630347</v>
      </c>
      <c r="BA23" s="1086" t="str">
        <f>IF(ISNUMBER(Récap1!AK23),Récap1!AK23/U$118,Récap1!AK23)</f>
        <v>PVL</v>
      </c>
      <c r="BB23" s="1086" t="str">
        <f>IF(ISNUMBER(Récap1!AL23),Récap1!AL23/V$118,Récap1!AL23)</f>
        <v>PVL</v>
      </c>
      <c r="BC23" s="1897" t="str">
        <f>IF(ISNUMBER(Récap1!AM23),Récap1!AM23/W$118,Récap1!AM23)</f>
        <v>PVL</v>
      </c>
      <c r="BD23" s="1122">
        <f t="shared" si="3"/>
        <v>2.8088935407630347</v>
      </c>
      <c r="BE23" s="1082">
        <f>SUMIF(Récap1!AC23:AF23,"&gt;0",M$118:P$118)+SUMIF(Récap1!AJ23:AM23,"&gt;0",T$118:W$118)</f>
        <v>0.23930211336607046</v>
      </c>
      <c r="BF23" s="1980">
        <f t="shared" si="4"/>
        <v>6.9799418336829504</v>
      </c>
      <c r="BG23" s="979">
        <f t="shared" si="5"/>
        <v>3.8923177665042199</v>
      </c>
      <c r="BH23" s="921"/>
      <c r="BI23" s="781">
        <f t="shared" si="6"/>
        <v>0.59102407214163111</v>
      </c>
      <c r="BJ23" s="781">
        <f t="shared" si="7"/>
        <v>1.5727716892957493</v>
      </c>
      <c r="BK23" s="781">
        <f t="shared" si="8"/>
        <v>0.39247337410136884</v>
      </c>
      <c r="BL23" s="880">
        <f t="shared" si="9"/>
        <v>0.59140965989865601</v>
      </c>
      <c r="BM23" s="781">
        <f t="shared" si="10"/>
        <v>2.321281948868001</v>
      </c>
      <c r="BN23" s="781">
        <f t="shared" si="11"/>
        <v>0.89548783427601986</v>
      </c>
      <c r="BO23" s="608">
        <f t="shared" si="12"/>
        <v>8.4138323461542902E-2</v>
      </c>
    </row>
    <row r="24" spans="1:69" s="782" customFormat="1" ht="13.5" hidden="1" customHeight="1">
      <c r="A24" s="1592"/>
      <c r="B24" s="245"/>
      <c r="C24" s="777"/>
      <c r="D24" s="778"/>
      <c r="E24" s="853" t="s">
        <v>983</v>
      </c>
      <c r="F24" s="779" t="s">
        <v>19</v>
      </c>
      <c r="G24" s="1609" t="s">
        <v>20</v>
      </c>
      <c r="H24" s="781">
        <f>Récap1!X24</f>
        <v>13.162136292059106</v>
      </c>
      <c r="I24" s="781">
        <f>Récap1!Y24</f>
        <v>8.1127565902731202</v>
      </c>
      <c r="J24" s="781">
        <f>Récap1!Z24</f>
        <v>8.4589008714581055</v>
      </c>
      <c r="K24" s="608">
        <f>Récap1!AA24</f>
        <v>0.25744480913133366</v>
      </c>
      <c r="L24" s="781">
        <f>IF(ISNUMBER(Récap1!AB24),Récap1!AB24,I24/I$117*L$117)</f>
        <v>1.4757032629608855</v>
      </c>
      <c r="M24" s="880">
        <f>IF(ISNUMBER(Récap1!AC24),Récap1!AC24,L24/L$118*M$118)</f>
        <v>0.38825705979465486</v>
      </c>
      <c r="N24" s="781">
        <f>IF(ISNUMBER(Récap1!AD24),Récap1!AD24,M24/M$118*N$118)</f>
        <v>1.0789051720739191</v>
      </c>
      <c r="O24" s="781">
        <f>IF(ISNUMBER(Récap1!AE24),Récap1!AE24,N24/N$118*O$118)</f>
        <v>0.10244552719891839</v>
      </c>
      <c r="P24" s="881">
        <f>IF(ISNUMBER(Récap1!AF24),Récap1!AF24,O24/O$118*P$118)</f>
        <v>7.0412710592597288E-4</v>
      </c>
      <c r="Q24" s="781">
        <f>IF(ISNUMBER(Récap1!AG24),Récap1!AG24,I24/I$117*Q$117)</f>
        <v>33.80128267563996</v>
      </c>
      <c r="R24" s="781">
        <f>IF(ISNUMBER(Récap1!AH24),Récap1!AH24,Q24/Q$117*R$117)</f>
        <v>26.131106458812102</v>
      </c>
      <c r="S24" s="781">
        <f>IF(ISNUMBER(Récap1!AI24),Récap1!AI24,R24/R$117*S$117)</f>
        <v>15.559026408899966</v>
      </c>
      <c r="T24" s="880">
        <f>IF(ISNUMBER(Récap1!AJ24),Récap1!AJ24,S24/S$118*T$118)</f>
        <v>5.9710987927148196</v>
      </c>
      <c r="U24" s="781">
        <f>IF(ISNUMBER(Récap1!AK24),Récap1!AK24,T24/T$118*U$118)</f>
        <v>19.510074812001733</v>
      </c>
      <c r="V24" s="781">
        <f>IF(ISNUMBER(Récap1!AL24),Récap1!AL24,U24/U$118*V$118)</f>
        <v>12.453802283782682</v>
      </c>
      <c r="W24" s="781">
        <f>IF(ISNUMBER(Récap1!AM24),Récap1!AM24,V24/V$118*W$118)</f>
        <v>1.310236510519651</v>
      </c>
      <c r="Y24" s="1886">
        <f>IF(ISNUMBER(Récap1!X24),Récap1!X24/H$117,Récap1!X24)</f>
        <v>1149.0586191829543</v>
      </c>
      <c r="Z24" s="1897">
        <f>IF(ISNUMBER(Récap1!Y24),Récap1!Y24/I$117,Récap1!Y24)</f>
        <v>59.497582790108858</v>
      </c>
      <c r="AA24" s="1086"/>
      <c r="AB24" s="1086"/>
      <c r="AC24" s="1094">
        <f>IF(ISNUMBER(Récap1!AB24),Récap1!AB24/L$117,Récap1!AB24)</f>
        <v>8.2596235679844376</v>
      </c>
      <c r="AD24" s="1086"/>
      <c r="AE24" s="1086"/>
      <c r="AF24" s="1086"/>
      <c r="AG24" s="1897"/>
      <c r="AH24" s="1086">
        <f>IF(ISNUMBER(Récap1!AG24),Récap1!AG24/Q$117,Récap1!AG24)</f>
        <v>99.452667760279212</v>
      </c>
      <c r="AI24" s="1086" t="str">
        <f>IF(ISNUMBER(Récap1!AH24),Récap1!AH24/R$117,Récap1!AH24)</f>
        <v>PVL</v>
      </c>
      <c r="AJ24" s="1897">
        <f>IF(ISNUMBER(Récap1!AI24),Récap1!AI24/S$117,Récap1!AI24)</f>
        <v>219.43808000506931</v>
      </c>
      <c r="AK24" s="1086"/>
      <c r="AL24" s="1086"/>
      <c r="AM24" s="1086"/>
      <c r="AN24" s="1946"/>
      <c r="AO24" s="1122">
        <f t="shared" si="0"/>
        <v>8.2596235679844376</v>
      </c>
      <c r="AP24" s="1071">
        <f>SUMIF(Récap1!X24:Y24,"&gt;0",H$117:I$117)+IF(ISNUMBER(Récap1!AB24),L$117,0)+SUMIF(Récap1!AG24:AI24,"&gt;0",Q$117:S$117)</f>
        <v>0.73725082446457313</v>
      </c>
      <c r="AQ24" s="1150">
        <f t="shared" si="1"/>
        <v>97.810545389628345</v>
      </c>
      <c r="AR24" s="1089">
        <f t="shared" si="2"/>
        <v>98.242011688645135</v>
      </c>
      <c r="AS24" s="1886">
        <f>IF(ISNUMBER(Récap1!AC24),Récap1!AC24/M$118,Récap1!AC24)</f>
        <v>10.379513696933021</v>
      </c>
      <c r="AT24" s="1086">
        <f>IF(ISNUMBER(Récap1!AD24),Récap1!AD24/N$118,Récap1!AD24)</f>
        <v>16.217103762152004</v>
      </c>
      <c r="AU24" s="1086" t="str">
        <f>IF(ISNUMBER(Récap1!AE24),Récap1!AE24/O$118,Récap1!AE24)</f>
        <v>PVL</v>
      </c>
      <c r="AV24" s="1086" t="str">
        <f>IF(ISNUMBER(Récap1!AF24),Récap1!AF24/P$118,Récap1!AF24)</f>
        <v>PVL</v>
      </c>
      <c r="AW24" s="1086"/>
      <c r="AX24" s="1086"/>
      <c r="AY24" s="1086"/>
      <c r="AZ24" s="1979">
        <f>IF(ISNUMBER(Récap1!AJ24),Récap1!AJ24/T$118,Récap1!AJ24)</f>
        <v>44.110389169257942</v>
      </c>
      <c r="BA24" s="1086" t="str">
        <f>IF(ISNUMBER(Récap1!AK24),Récap1!AK24/U$118,Récap1!AK24)</f>
        <v>PVL</v>
      </c>
      <c r="BB24" s="1086" t="str">
        <f>IF(ISNUMBER(Récap1!AL24),Récap1!AL24/V$118,Récap1!AL24)</f>
        <v>PVL</v>
      </c>
      <c r="BC24" s="1897" t="str">
        <f>IF(ISNUMBER(Récap1!AM24),Récap1!AM24/W$118,Récap1!AM24)</f>
        <v>PVL</v>
      </c>
      <c r="BD24" s="1122">
        <f t="shared" si="3"/>
        <v>10.379513696933021</v>
      </c>
      <c r="BE24" s="1082">
        <f>SUMIF(Récap1!AC24:AF24,"&gt;0",M$118:P$118)+SUMIF(Récap1!AJ24:AM24,"&gt;0",T$118:W$118)</f>
        <v>0.23930211336607046</v>
      </c>
      <c r="BF24" s="1980">
        <f t="shared" si="4"/>
        <v>31.083139718054955</v>
      </c>
      <c r="BG24" s="979">
        <f t="shared" si="5"/>
        <v>40.815524285192303</v>
      </c>
      <c r="BH24" s="921"/>
      <c r="BI24" s="781">
        <f t="shared" si="6"/>
        <v>46.96341896769907</v>
      </c>
      <c r="BJ24" s="781">
        <f t="shared" si="7"/>
        <v>34.24386304908522</v>
      </c>
      <c r="BK24" s="781">
        <f t="shared" si="8"/>
        <v>17.034729671860852</v>
      </c>
      <c r="BL24" s="880">
        <f t="shared" si="9"/>
        <v>6.3593558525094744</v>
      </c>
      <c r="BM24" s="781">
        <f t="shared" si="10"/>
        <v>20.588979984075653</v>
      </c>
      <c r="BN24" s="781">
        <f t="shared" si="11"/>
        <v>12.556247810981601</v>
      </c>
      <c r="BO24" s="608">
        <f t="shared" si="12"/>
        <v>1.310940637625577</v>
      </c>
    </row>
    <row r="25" spans="1:69" s="998" customFormat="1" ht="12.75" hidden="1" customHeight="1">
      <c r="A25" s="1593"/>
      <c r="B25" s="988"/>
      <c r="C25" s="989"/>
      <c r="D25" s="1011"/>
      <c r="E25" s="991" t="s">
        <v>954</v>
      </c>
      <c r="F25" s="992" t="str">
        <f>ExpoRisk!F475</f>
        <v>Cs</v>
      </c>
      <c r="G25" s="1610" t="str">
        <f>ExpoRisk!G475</f>
        <v>mg/kg ms</v>
      </c>
      <c r="H25" s="994">
        <f>Récap1!X25</f>
        <v>4.960814545454547E-2</v>
      </c>
      <c r="I25" s="994">
        <f>Récap1!Y25</f>
        <v>0.38689680645917712</v>
      </c>
      <c r="J25" s="994">
        <f>Récap1!Z25</f>
        <v>0.68117653917636534</v>
      </c>
      <c r="K25" s="995">
        <f>Récap1!AA25</f>
        <v>3.0902825726105098E-2</v>
      </c>
      <c r="L25" s="994">
        <f>IF(ISNUMBER(Récap1!AB25),Récap1!AB25,I25/I$117*L$117)</f>
        <v>0.15662521348555603</v>
      </c>
      <c r="M25" s="996">
        <f>IF(ISNUMBER(Récap1!AC25),Récap1!AC25,L25/L$118*M$118)</f>
        <v>0.21117767496292295</v>
      </c>
      <c r="N25" s="994">
        <f>IF(ISNUMBER(Récap1!AD25),Récap1!AD25,M25/M$118*N$118)</f>
        <v>1.0789051720739191</v>
      </c>
      <c r="O25" s="994">
        <f>IF(ISNUMBER(Récap1!AE25),Récap1!AE25,N25/N$118*O$118)</f>
        <v>0.10244552719891839</v>
      </c>
      <c r="P25" s="997">
        <f>IF(ISNUMBER(Récap1!AF25),Récap1!AF25,O25/O$118*P$118)</f>
        <v>7.0412710592597288E-4</v>
      </c>
      <c r="Q25" s="994">
        <f>IF(ISNUMBER(Récap1!AG25),Récap1!AG25,I25/I$117*Q$117)</f>
        <v>0.15599003043431645</v>
      </c>
      <c r="R25" s="994">
        <f>IF(ISNUMBER(Récap1!AH25),Récap1!AH25,Q25/Q$117*R$117)</f>
        <v>1.1858748828365722</v>
      </c>
      <c r="S25" s="994">
        <f>IF(ISNUMBER(Récap1!AI25),Récap1!AI25,R25/R$117*S$117)</f>
        <v>0.23584816061581279</v>
      </c>
      <c r="T25" s="996">
        <f>IF(ISNUMBER(Récap1!AJ25),Récap1!AJ25,S25/S$118*T$118)</f>
        <v>0.38023198493573312</v>
      </c>
      <c r="U25" s="994">
        <f>IF(ISNUMBER(Récap1!AK25),Récap1!AK25,T25/T$118*U$118)</f>
        <v>1.2423767767940816</v>
      </c>
      <c r="V25" s="994">
        <f>IF(ISNUMBER(Récap1!AL25),Récap1!AL25,U25/U$118*V$118)</f>
        <v>0.79304230707710144</v>
      </c>
      <c r="W25" s="994">
        <f>IF(ISNUMBER(Récap1!AM25),Récap1!AM25,V25/V$118*W$118)</f>
        <v>8.3434196355616927E-2</v>
      </c>
      <c r="Y25" s="1887">
        <f>IF(ISNUMBER(Récap1!X25),Récap1!X25/H$117,Récap1!X25)</f>
        <v>4.3308066298187207</v>
      </c>
      <c r="Z25" s="1898">
        <f>IF(ISNUMBER(Récap1!Y25),Récap1!Y25/I$117,Récap1!Y25)</f>
        <v>2.8374356505571745</v>
      </c>
      <c r="AA25" s="1105"/>
      <c r="AB25" s="1105"/>
      <c r="AC25" s="1095">
        <f>IF(ISNUMBER(Récap1!AB25),Récap1!AB25/L$117,Récap1!AB25)</f>
        <v>0.87664325011401845</v>
      </c>
      <c r="AD25" s="1105"/>
      <c r="AE25" s="1105"/>
      <c r="AF25" s="1105"/>
      <c r="AG25" s="1898"/>
      <c r="AH25" s="1105">
        <f>IF(ISNUMBER(Récap1!AG25),Récap1!AG25/Q$117,Récap1!AG25)</f>
        <v>0.45896556114659914</v>
      </c>
      <c r="AI25" s="1105">
        <f>IF(ISNUMBER(Récap1!AH25),Récap1!AH25/R$117,Récap1!AH25)</f>
        <v>4.5133343631621727</v>
      </c>
      <c r="AJ25" s="1898">
        <f>IF(ISNUMBER(Récap1!AI25),Récap1!AI25/S$117,Récap1!AI25)</f>
        <v>3.3263050128031897</v>
      </c>
      <c r="AK25" s="1105"/>
      <c r="AL25" s="1105"/>
      <c r="AM25" s="1105"/>
      <c r="AN25" s="1138"/>
      <c r="AO25" s="1105">
        <f t="shared" si="0"/>
        <v>0.45896556114659914</v>
      </c>
      <c r="AP25" s="1069">
        <f>SUMIF(Récap1!X25:Y25,"&gt;0",H$117:I$117)+IF(ISNUMBER(Récap1!AB25),L$117,0)+SUMIF(Récap1!AG25:AI25,"&gt;0",Q$117:S$117)</f>
        <v>1</v>
      </c>
      <c r="AQ25" s="1151">
        <f t="shared" si="1"/>
        <v>2.17084323928598</v>
      </c>
      <c r="AR25" s="1105">
        <f t="shared" si="2"/>
        <v>2.17084323928598</v>
      </c>
      <c r="AS25" s="1887">
        <f>IF(ISNUMBER(Récap1!AC25),Récap1!AC25/M$118,Récap1!AC25)</f>
        <v>5.6455420821540567</v>
      </c>
      <c r="AT25" s="1105">
        <f>IF(ISNUMBER(Récap1!AD25),Récap1!AD25/N$118,Récap1!AD25)</f>
        <v>16.217103762152004</v>
      </c>
      <c r="AU25" s="1105" t="str">
        <f>IF(ISNUMBER(Récap1!AE25),Récap1!AE25/O$118,Récap1!AE25)</f>
        <v>PVL</v>
      </c>
      <c r="AV25" s="1105" t="str">
        <f>IF(ISNUMBER(Récap1!AF25),Récap1!AF25/P$118,Récap1!AF25)</f>
        <v>PVL</v>
      </c>
      <c r="AW25" s="1105"/>
      <c r="AX25" s="1105"/>
      <c r="AY25" s="1105"/>
      <c r="AZ25" s="1981">
        <f>IF(ISNUMBER(Récap1!AJ25),Récap1!AJ25/T$118,Récap1!AJ25)</f>
        <v>2.8088935407630347</v>
      </c>
      <c r="BA25" s="1105" t="str">
        <f>IF(ISNUMBER(Récap1!AK25),Récap1!AK25/U$118,Récap1!AK25)</f>
        <v>PVL</v>
      </c>
      <c r="BB25" s="1105" t="str">
        <f>IF(ISNUMBER(Récap1!AL25),Récap1!AL25/V$118,Récap1!AL25)</f>
        <v>PVL</v>
      </c>
      <c r="BC25" s="1898" t="str">
        <f>IF(ISNUMBER(Récap1!AM25),Récap1!AM25/W$118,Récap1!AM25)</f>
        <v>PVL</v>
      </c>
      <c r="BD25" s="1105">
        <f t="shared" si="3"/>
        <v>2.8088935407630347</v>
      </c>
      <c r="BE25" s="1080">
        <f>SUMIF(Récap1!AC25:AF25,"&gt;0",M$118:P$118)+SUMIF(Récap1!AJ25:AM25,"&gt;0",T$118:W$118)</f>
        <v>0.23930211336607046</v>
      </c>
      <c r="BF25" s="1138">
        <f t="shared" si="4"/>
        <v>6.9799418336829504</v>
      </c>
      <c r="BG25" s="990">
        <f t="shared" si="5"/>
        <v>3.8923177665042199</v>
      </c>
      <c r="BH25" s="999"/>
      <c r="BI25" s="994">
        <f t="shared" si="6"/>
        <v>0.20559817588886192</v>
      </c>
      <c r="BJ25" s="994">
        <f t="shared" si="7"/>
        <v>1.5727716892957493</v>
      </c>
      <c r="BK25" s="994">
        <f t="shared" si="8"/>
        <v>0.39247337410136884</v>
      </c>
      <c r="BL25" s="996">
        <f t="shared" si="9"/>
        <v>0.59140965989865601</v>
      </c>
      <c r="BM25" s="994">
        <f t="shared" si="10"/>
        <v>2.321281948868001</v>
      </c>
      <c r="BN25" s="994">
        <f t="shared" si="11"/>
        <v>0.89548783427601986</v>
      </c>
      <c r="BO25" s="995">
        <f t="shared" si="12"/>
        <v>8.4138323461542902E-2</v>
      </c>
    </row>
    <row r="26" spans="1:69" s="998" customFormat="1" ht="12.75" hidden="1" customHeight="1">
      <c r="A26" s="1593"/>
      <c r="B26" s="988"/>
      <c r="C26" s="989"/>
      <c r="D26" s="1011"/>
      <c r="E26" s="991" t="s">
        <v>984</v>
      </c>
      <c r="F26" s="992" t="s">
        <v>19</v>
      </c>
      <c r="G26" s="1610" t="s">
        <v>20</v>
      </c>
      <c r="H26" s="994">
        <f>Récap1!X26</f>
        <v>4.960814545454547E-2</v>
      </c>
      <c r="I26" s="994">
        <f>Récap1!Y26</f>
        <v>1.3435539393939397</v>
      </c>
      <c r="J26" s="994">
        <f>Récap1!Z26</f>
        <v>0.72345212121212132</v>
      </c>
      <c r="K26" s="995">
        <f>Récap1!AA26</f>
        <v>0.25744480913133366</v>
      </c>
      <c r="L26" s="994">
        <f>IF(ISNUMBER(Récap1!AB26),Récap1!AB26,I26/I$117*L$117)</f>
        <v>1.0335030303030304</v>
      </c>
      <c r="M26" s="996">
        <f>IF(ISNUMBER(Récap1!AC26),Récap1!AC26,L26/L$118*M$118)</f>
        <v>0.38825705979465486</v>
      </c>
      <c r="N26" s="994">
        <f>IF(ISNUMBER(Récap1!AD26),Récap1!AD26,M26/M$118*N$118)</f>
        <v>1.0789051720739191</v>
      </c>
      <c r="O26" s="994">
        <f>IF(ISNUMBER(Récap1!AE26),Récap1!AE26,N26/N$118*O$118)</f>
        <v>0.10244552719891839</v>
      </c>
      <c r="P26" s="997">
        <f>IF(ISNUMBER(Récap1!AF26),Récap1!AF26,O26/O$118*P$118)</f>
        <v>7.0412710592597288E-4</v>
      </c>
      <c r="Q26" s="994">
        <f>IF(ISNUMBER(Récap1!AG26),Récap1!AG26,I26/I$117*Q$117)</f>
        <v>33.80128267563996</v>
      </c>
      <c r="R26" s="994">
        <f>IF(ISNUMBER(Récap1!AH26),Récap1!AH26,Q26/Q$117*R$117)</f>
        <v>26.131106458812102</v>
      </c>
      <c r="S26" s="994">
        <f>IF(ISNUMBER(Récap1!AI26),Récap1!AI26,R26/R$117*S$117)</f>
        <v>5.1675151515151514</v>
      </c>
      <c r="T26" s="996">
        <f>IF(ISNUMBER(Récap1!AJ26),Récap1!AJ26,S26/S$118*T$118)</f>
        <v>5.1675151515151523</v>
      </c>
      <c r="U26" s="994">
        <f>IF(ISNUMBER(Récap1!AK26),Récap1!AK26,T26/T$118*U$118)</f>
        <v>16.884431274394458</v>
      </c>
      <c r="V26" s="994">
        <f>IF(ISNUMBER(Récap1!AL26),Récap1!AL26,U26/U$118*V$118)</f>
        <v>10.777783826644958</v>
      </c>
      <c r="W26" s="994">
        <f>IF(ISNUMBER(Récap1!AM26),Récap1!AM26,V26/V$118*W$118)</f>
        <v>1.133906380587665</v>
      </c>
      <c r="Y26" s="1887">
        <f>IF(ISNUMBER(Récap1!X26),Récap1!X26/H$117,Récap1!X26)</f>
        <v>4.3308066298187207</v>
      </c>
      <c r="Z26" s="1898">
        <f>IF(ISNUMBER(Récap1!Y26),Récap1!Y26/I$117,Récap1!Y26)</f>
        <v>9.8533970362072285</v>
      </c>
      <c r="AA26" s="1105"/>
      <c r="AB26" s="1105"/>
      <c r="AC26" s="1095">
        <f>IF(ISNUMBER(Récap1!AB26),Récap1!AB26/L$117,Récap1!AB26)</f>
        <v>5.7845951831445577</v>
      </c>
      <c r="AD26" s="1105"/>
      <c r="AE26" s="1105"/>
      <c r="AF26" s="1105"/>
      <c r="AG26" s="1898"/>
      <c r="AH26" s="1105">
        <f>IF(ISNUMBER(Récap1!AG26),Récap1!AG26/Q$117,Récap1!AG26)</f>
        <v>99.452667760279212</v>
      </c>
      <c r="AI26" s="1105" t="str">
        <f>IF(ISNUMBER(Récap1!AH26),Récap1!AH26/R$117,Récap1!AH26)</f>
        <v>PVL</v>
      </c>
      <c r="AJ26" s="1898">
        <f>IF(ISNUMBER(Récap1!AI26),Récap1!AI26/S$117,Récap1!AI26)</f>
        <v>72.880498653627569</v>
      </c>
      <c r="AK26" s="1105"/>
      <c r="AL26" s="1105"/>
      <c r="AM26" s="1105"/>
      <c r="AN26" s="1138"/>
      <c r="AO26" s="1105">
        <f t="shared" si="0"/>
        <v>5.7845951831445577</v>
      </c>
      <c r="AP26" s="1069">
        <f>SUMIF(Récap1!X26:Y26,"&gt;0",H$117:I$117)+IF(ISNUMBER(Récap1!AB26),L$117,0)+SUMIF(Récap1!AG26:AI26,"&gt;0",Q$117:S$117)</f>
        <v>0.73725082446457313</v>
      </c>
      <c r="AQ26" s="1151">
        <f t="shared" si="1"/>
        <v>56.148411868335316</v>
      </c>
      <c r="AR26" s="1105">
        <f t="shared" si="2"/>
        <v>67.526569401118721</v>
      </c>
      <c r="AS26" s="1887">
        <f>IF(ISNUMBER(Récap1!AC26),Récap1!AC26/M$118,Récap1!AC26)</f>
        <v>10.379513696933021</v>
      </c>
      <c r="AT26" s="1105">
        <f>IF(ISNUMBER(Récap1!AD26),Récap1!AD26/N$118,Récap1!AD26)</f>
        <v>16.217103762152004</v>
      </c>
      <c r="AU26" s="1105" t="str">
        <f>IF(ISNUMBER(Récap1!AE26),Récap1!AE26/O$118,Récap1!AE26)</f>
        <v>PVL</v>
      </c>
      <c r="AV26" s="1105" t="str">
        <f>IF(ISNUMBER(Récap1!AF26),Récap1!AF26/P$118,Récap1!AF26)</f>
        <v>PVL</v>
      </c>
      <c r="AW26" s="1105"/>
      <c r="AX26" s="1105"/>
      <c r="AY26" s="1105"/>
      <c r="AZ26" s="1981">
        <f>IF(ISNUMBER(Récap1!AJ26),Récap1!AJ26/T$118,Récap1!AJ26)</f>
        <v>38.174063482164321</v>
      </c>
      <c r="BA26" s="1105" t="str">
        <f>IF(ISNUMBER(Récap1!AK26),Récap1!AK26/U$118,Récap1!AK26)</f>
        <v>PVL</v>
      </c>
      <c r="BB26" s="1105" t="str">
        <f>IF(ISNUMBER(Récap1!AL26),Récap1!AL26/V$118,Récap1!AL26)</f>
        <v>PVL</v>
      </c>
      <c r="BC26" s="1898" t="str">
        <f>IF(ISNUMBER(Récap1!AM26),Récap1!AM26/W$118,Récap1!AM26)</f>
        <v>PVL</v>
      </c>
      <c r="BD26" s="1105">
        <f t="shared" si="3"/>
        <v>10.379513696933021</v>
      </c>
      <c r="BE26" s="1080">
        <f>SUMIF(Récap1!AC26:AF26,"&gt;0",M$118:P$118)+SUMIF(Récap1!AJ26:AM26,"&gt;0",T$118:W$118)</f>
        <v>0.23930211336607046</v>
      </c>
      <c r="BF26" s="1138">
        <f t="shared" si="4"/>
        <v>27.725109862420574</v>
      </c>
      <c r="BG26" s="990">
        <f t="shared" si="5"/>
        <v>35.533948519315658</v>
      </c>
      <c r="BH26" s="999"/>
      <c r="BI26" s="994">
        <f t="shared" si="6"/>
        <v>33.850890821094509</v>
      </c>
      <c r="BJ26" s="994">
        <f t="shared" si="7"/>
        <v>27.474660398206041</v>
      </c>
      <c r="BK26" s="994">
        <f t="shared" si="8"/>
        <v>6.2010181818181813</v>
      </c>
      <c r="BL26" s="996">
        <f t="shared" si="9"/>
        <v>5.5557722113098071</v>
      </c>
      <c r="BM26" s="994">
        <f t="shared" si="10"/>
        <v>17.963336446468379</v>
      </c>
      <c r="BN26" s="994">
        <f t="shared" si="11"/>
        <v>10.880229353843877</v>
      </c>
      <c r="BO26" s="995">
        <f t="shared" si="12"/>
        <v>1.1346105076935911</v>
      </c>
    </row>
    <row r="27" spans="1:69" s="26" customFormat="1" ht="12.75" hidden="1" customHeight="1">
      <c r="A27" s="680"/>
      <c r="B27" s="27"/>
      <c r="C27" s="77"/>
      <c r="D27" s="502"/>
      <c r="E27" s="103" t="s">
        <v>660</v>
      </c>
      <c r="F27" s="147" t="str">
        <f>F25</f>
        <v>Cs</v>
      </c>
      <c r="G27" s="146" t="str">
        <f>G25</f>
        <v>mg/kg ms</v>
      </c>
      <c r="H27" s="56">
        <f>Récap1!X27</f>
        <v>1.754223700777784E-2</v>
      </c>
      <c r="I27" s="56">
        <f>Récap1!Y27</f>
        <v>1.5601159508858542E-2</v>
      </c>
      <c r="J27" s="56">
        <f>Récap1!Z27</f>
        <v>2.7467644250260864E-2</v>
      </c>
      <c r="K27" s="57">
        <f>Récap1!AA27</f>
        <v>1.2461201679065631E-3</v>
      </c>
      <c r="L27" s="56">
        <f>IF(ISNUMBER(Récap1!AB27),Récap1!AB27,I27/I$117*L$117)</f>
        <v>6.315727857926912E-3</v>
      </c>
      <c r="M27" s="870">
        <f>IF(ISNUMBER(Récap1!AC27),Récap1!AC27,L27/L$118*M$118)</f>
        <v>8.5154918231512226E-3</v>
      </c>
      <c r="N27" s="56">
        <f>IF(ISNUMBER(Récap1!AD27),Récap1!AD27,M27/M$118*N$118)</f>
        <v>4.3505584443829494E-2</v>
      </c>
      <c r="O27" s="56">
        <f>IF(ISNUMBER(Récap1!AE27),Récap1!AE27,N27/N$118*O$118)</f>
        <v>0.34890349802377557</v>
      </c>
      <c r="P27" s="871">
        <f>IF(ISNUMBER(Récap1!AF27),Récap1!AF27,O27/O$118*P$118)</f>
        <v>2.3980784425454474E-3</v>
      </c>
      <c r="Q27" s="56">
        <f>IF(ISNUMBER(Récap1!AG27),Récap1!AG27,I27/I$117*Q$117)</f>
        <v>6.29011484708197E-3</v>
      </c>
      <c r="R27" s="56">
        <f>IF(ISNUMBER(Récap1!AH27),Récap1!AH27,Q27/Q$117*R$117)</f>
        <v>4.7819012449342634E-2</v>
      </c>
      <c r="S27" s="56">
        <f>IF(ISNUMBER(Récap1!AI27),Récap1!AI27,R27/R$117*S$117)</f>
        <v>9.5103001942881699E-3</v>
      </c>
      <c r="T27" s="870">
        <f>IF(ISNUMBER(Récap1!AJ27),Récap1!AJ27,S27/S$118*T$118)</f>
        <v>1.5332408405335814E-2</v>
      </c>
      <c r="U27" s="56">
        <f>IF(ISNUMBER(Récap1!AK27),Récap1!AK27,T27/T$118*U$118)</f>
        <v>0.37132861944557133</v>
      </c>
      <c r="V27" s="56">
        <f>IF(ISNUMBER(Récap1!AL27),Récap1!AL27,U27/U$118*V$118)</f>
        <v>0.23702898391964997</v>
      </c>
      <c r="W27" s="56">
        <f>IF(ISNUMBER(Récap1!AM27),Récap1!AM27,V27/V$118*W$118)</f>
        <v>2.493728595541592E-2</v>
      </c>
      <c r="Y27" s="621">
        <f>IF(ISNUMBER(Récap1!X27),Récap1!X27/H$117,Récap1!X27)</f>
        <v>1.531442783015273</v>
      </c>
      <c r="Z27" s="1894">
        <f>IF(ISNUMBER(Récap1!Y27),Récap1!Y27/I$117,Récap1!Y27)</f>
        <v>0.11441626149771564</v>
      </c>
      <c r="AA27" s="282"/>
      <c r="AB27" s="282"/>
      <c r="AC27" s="1091">
        <f>IF(ISNUMBER(Récap1!AB27),Récap1!AB27/L$117,Récap1!AB27)</f>
        <v>3.5349609893551938E-2</v>
      </c>
      <c r="AD27" s="282"/>
      <c r="AE27" s="282"/>
      <c r="AF27" s="282"/>
      <c r="AG27" s="1894"/>
      <c r="AH27" s="282">
        <f>IF(ISNUMBER(Récap1!AG27),Récap1!AG27/Q$117,Récap1!AG27)</f>
        <v>1.8507247433887469E-2</v>
      </c>
      <c r="AI27" s="282">
        <f>IF(ISNUMBER(Récap1!AH27),Récap1!AH27/R$117,Récap1!AH27)</f>
        <v>0.18199490960113443</v>
      </c>
      <c r="AJ27" s="1894">
        <f>IF(ISNUMBER(Récap1!AI27),Récap1!AI27/S$117,Récap1!AI27)</f>
        <v>0.1341293446042798</v>
      </c>
      <c r="AK27" s="282"/>
      <c r="AL27" s="282"/>
      <c r="AM27" s="282"/>
      <c r="AN27" s="1919"/>
      <c r="AO27" s="1117">
        <f t="shared" si="0"/>
        <v>1.8507247433887469E-2</v>
      </c>
      <c r="AP27" s="1069">
        <f>SUMIF(Récap1!X27:Y27,"&gt;0",H$117:I$117)+IF(ISNUMBER(Récap1!AB27),L$117,0)+SUMIF(Récap1!AG27:AI27,"&gt;0",Q$117:S$117)</f>
        <v>1</v>
      </c>
      <c r="AQ27" s="1147">
        <f t="shared" si="1"/>
        <v>0.10307855186527606</v>
      </c>
      <c r="AR27" s="1104">
        <f t="shared" si="2"/>
        <v>0.10307855186527606</v>
      </c>
      <c r="AS27" s="621">
        <f>IF(ISNUMBER(Récap1!AC27),Récap1!AC27/M$118,Récap1!AC27)</f>
        <v>0.22764985667296311</v>
      </c>
      <c r="AT27" s="282">
        <f>IF(ISNUMBER(Récap1!AD27),Récap1!AD27/N$118,Récap1!AD27)</f>
        <v>0.65393567054872792</v>
      </c>
      <c r="AU27" s="282">
        <f>IF(ISNUMBER(Récap1!AE27),Récap1!AE27/O$118,Récap1!AE27)</f>
        <v>55.231344746197017</v>
      </c>
      <c r="AV27" s="282" t="str">
        <f>IF(ISNUMBER(Récap1!AF27),Récap1!AF27/P$118,Récap1!AF27)</f>
        <v>PVL</v>
      </c>
      <c r="AW27" s="282"/>
      <c r="AX27" s="282"/>
      <c r="AY27" s="282"/>
      <c r="AZ27" s="1971">
        <f>IF(ISNUMBER(Récap1!AJ27),Récap1!AJ27/T$118,Récap1!AJ27)</f>
        <v>0.11326533442831706</v>
      </c>
      <c r="BA27" s="282">
        <f>IF(ISNUMBER(Récap1!AK27),Récap1!AK27/U$118,Récap1!AK27)</f>
        <v>0.83953803720688558</v>
      </c>
      <c r="BB27" s="282" t="str">
        <f>IF(ISNUMBER(Récap1!AL27),Récap1!AL27/V$118,Récap1!AL27)</f>
        <v>PVL</v>
      </c>
      <c r="BC27" s="1894" t="str">
        <f>IF(ISNUMBER(Récap1!AM27),Récap1!AM27/W$118,Récap1!AM27)</f>
        <v>PVL</v>
      </c>
      <c r="BD27" s="1117">
        <f t="shared" si="3"/>
        <v>0.11326533442831706</v>
      </c>
      <c r="BE27" s="1080">
        <f>SUMIF(Récap1!AC27:AF27,"&gt;0",M$118:P$118)+SUMIF(Récap1!AJ27:AM27,"&gt;0",T$118:W$118)</f>
        <v>0.68792036811484414</v>
      </c>
      <c r="BF27" s="1920">
        <f t="shared" si="4"/>
        <v>1.1448790276408574</v>
      </c>
      <c r="BG27" s="920">
        <f t="shared" si="5"/>
        <v>1.0519499504592749</v>
      </c>
      <c r="BH27" s="77"/>
      <c r="BI27" s="56">
        <f t="shared" si="6"/>
        <v>2.383235185485981E-2</v>
      </c>
      <c r="BJ27" s="56">
        <f t="shared" si="7"/>
        <v>6.3420171958201182E-2</v>
      </c>
      <c r="BK27" s="56">
        <f t="shared" si="8"/>
        <v>1.5826028052215082E-2</v>
      </c>
      <c r="BL27" s="870">
        <f t="shared" si="9"/>
        <v>2.3847900228487037E-2</v>
      </c>
      <c r="BM27" s="56">
        <f t="shared" si="10"/>
        <v>0.41483420388940084</v>
      </c>
      <c r="BN27" s="56">
        <f t="shared" si="11"/>
        <v>0.58593248194342551</v>
      </c>
      <c r="BO27" s="57">
        <f t="shared" si="12"/>
        <v>2.7335364397961366E-2</v>
      </c>
    </row>
    <row r="28" spans="1:69" s="1057" customFormat="1">
      <c r="A28" s="1594"/>
      <c r="B28" s="1050"/>
      <c r="C28" s="1036"/>
      <c r="D28" s="1051"/>
      <c r="E28" s="596" t="s">
        <v>598</v>
      </c>
      <c r="F28" s="597"/>
      <c r="G28" s="1611"/>
      <c r="H28" s="1053">
        <f>Récap1!X28</f>
        <v>0</v>
      </c>
      <c r="I28" s="1053">
        <f>Récap1!Y28</f>
        <v>0</v>
      </c>
      <c r="J28" s="1053">
        <f>Récap1!Z28</f>
        <v>0</v>
      </c>
      <c r="K28" s="1054">
        <f>Récap1!AA28</f>
        <v>0</v>
      </c>
      <c r="L28" s="1053">
        <f>IF(ISNUMBER(Récap1!AB28),Récap1!AB28,I28/I$117*L$117)</f>
        <v>0</v>
      </c>
      <c r="M28" s="1055">
        <f>IF(ISNUMBER(Récap1!AC28),Récap1!AC28,L28/L$118*M$118)</f>
        <v>0</v>
      </c>
      <c r="N28" s="1053">
        <f>IF(ISNUMBER(Récap1!AD28),Récap1!AD28,M28/M$118*N$118)</f>
        <v>0</v>
      </c>
      <c r="O28" s="1053">
        <f>IF(ISNUMBER(Récap1!AE28),Récap1!AE28,N28/N$118*O$118)</f>
        <v>0</v>
      </c>
      <c r="P28" s="1056">
        <f>IF(ISNUMBER(Récap1!AF28),Récap1!AF28,O28/O$118*P$118)</f>
        <v>0</v>
      </c>
      <c r="Q28" s="1053">
        <f>IF(ISNUMBER(Récap1!AG28),Récap1!AG28,I28/I$117*Q$117)</f>
        <v>0</v>
      </c>
      <c r="R28" s="1053">
        <f>IF(ISNUMBER(Récap1!AH28),Récap1!AH28,Q28/Q$117*R$117)</f>
        <v>0</v>
      </c>
      <c r="S28" s="1053">
        <f>IF(ISNUMBER(Récap1!AI28),Récap1!AI28,R28/R$117*S$117)</f>
        <v>0</v>
      </c>
      <c r="T28" s="1055">
        <f>IF(ISNUMBER(Récap1!AJ28),Récap1!AJ28,S28/S$118*T$118)</f>
        <v>0</v>
      </c>
      <c r="U28" s="1053">
        <f>IF(ISNUMBER(Récap1!AK28),Récap1!AK28,T28/T$118*U$118)</f>
        <v>0</v>
      </c>
      <c r="V28" s="1053">
        <f>IF(ISNUMBER(Récap1!AL28),Récap1!AL28,U28/U$118*V$118)</f>
        <v>0</v>
      </c>
      <c r="W28" s="1053">
        <f>IF(ISNUMBER(Récap1!AM28),Récap1!AM28,V28/V$118*W$118)</f>
        <v>0</v>
      </c>
      <c r="Y28" s="1888"/>
      <c r="Z28" s="1899"/>
      <c r="AA28" s="1947"/>
      <c r="AB28" s="1947"/>
      <c r="AC28" s="1096"/>
      <c r="AD28" s="1947"/>
      <c r="AE28" s="1947"/>
      <c r="AF28" s="1947"/>
      <c r="AG28" s="1899"/>
      <c r="AH28" s="1947"/>
      <c r="AI28" s="1947"/>
      <c r="AJ28" s="1899"/>
      <c r="AK28" s="1947"/>
      <c r="AL28" s="1947"/>
      <c r="AM28" s="1947"/>
      <c r="AN28" s="1948"/>
      <c r="AO28" s="1123"/>
      <c r="AP28" s="1072"/>
      <c r="AQ28" s="1152"/>
      <c r="AR28" s="1912"/>
      <c r="AS28" s="1888"/>
      <c r="AT28" s="1947"/>
      <c r="AU28" s="1947"/>
      <c r="AV28" s="1947"/>
      <c r="AW28" s="1947"/>
      <c r="AX28" s="1947"/>
      <c r="AY28" s="1947"/>
      <c r="AZ28" s="1982"/>
      <c r="BA28" s="1947"/>
      <c r="BB28" s="1947"/>
      <c r="BC28" s="1899"/>
      <c r="BD28" s="1123"/>
      <c r="BE28" s="1083"/>
      <c r="BF28" s="1983"/>
      <c r="BG28" s="1059"/>
      <c r="BH28" s="1058"/>
      <c r="BI28" s="1053">
        <f t="shared" si="6"/>
        <v>0</v>
      </c>
      <c r="BJ28" s="1053">
        <f t="shared" si="7"/>
        <v>0</v>
      </c>
      <c r="BK28" s="1053">
        <f t="shared" si="8"/>
        <v>0</v>
      </c>
      <c r="BL28" s="1055">
        <f t="shared" si="9"/>
        <v>0</v>
      </c>
      <c r="BM28" s="1053">
        <f t="shared" si="10"/>
        <v>0</v>
      </c>
      <c r="BN28" s="1053">
        <f t="shared" si="11"/>
        <v>0</v>
      </c>
      <c r="BO28" s="1054">
        <f t="shared" si="12"/>
        <v>0</v>
      </c>
    </row>
    <row r="29" spans="1:69" s="26" customFormat="1">
      <c r="A29" s="398"/>
      <c r="B29" s="27"/>
      <c r="C29" s="503" t="s">
        <v>162</v>
      </c>
      <c r="D29" s="507">
        <f>Sols!Q9</f>
        <v>0.01</v>
      </c>
      <c r="E29" s="1061" t="str">
        <f>ExpoRisk!E589</f>
        <v>Teneur limite avant contrôle de la saturation</v>
      </c>
      <c r="F29" s="618" t="str">
        <f>ExpoRisk!F589</f>
        <v>Cs</v>
      </c>
      <c r="G29" s="105" t="str">
        <f>ExpoRisk!G589</f>
        <v>mg/kg ms</v>
      </c>
      <c r="H29" s="113">
        <f>Récap1!X29</f>
        <v>0.1389028072727273</v>
      </c>
      <c r="I29" s="113">
        <f>Récap1!Y29</f>
        <v>3.7619510303030315</v>
      </c>
      <c r="J29" s="113">
        <f>Récap1!Z29</f>
        <v>2.0256659393939396</v>
      </c>
      <c r="K29" s="120">
        <f>Récap1!AA29</f>
        <v>10.128329696969697</v>
      </c>
      <c r="L29" s="113">
        <f>IF(ISNUMBER(Récap1!AB29),Récap1!AB29,I29/I$117*L$117)</f>
        <v>2.8938084848484857</v>
      </c>
      <c r="M29" s="872">
        <f>IF(ISNUMBER(Récap1!AC29),Récap1!AC29,L29/L$118*M$118)</f>
        <v>5.0885191191803161</v>
      </c>
      <c r="N29" s="113">
        <f>IF(ISNUMBER(Récap1!AD29),Récap1!AD29,M29/M$118*N$118)</f>
        <v>12.310918491184916</v>
      </c>
      <c r="O29" s="113">
        <f>IF(ISNUMBER(Récap1!AE29),Récap1!AE29,N29/N$118*O$118)</f>
        <v>1.1689614321785298</v>
      </c>
      <c r="P29" s="873">
        <f>IF(ISNUMBER(Récap1!AF29),Récap1!AF29,O29/O$118*P$118)</f>
        <v>8.0344886954482764E-3</v>
      </c>
      <c r="Q29" s="113">
        <f>IF(ISNUMBER(Récap1!AG29),Récap1!AG29,I29/I$117*Q$117)</f>
        <v>266.23038060606058</v>
      </c>
      <c r="R29" s="113">
        <f>IF(ISNUMBER(Récap1!AH29),Récap1!AH29,Q29/Q$117*R$117)</f>
        <v>266.23038060606058</v>
      </c>
      <c r="S29" s="113">
        <f>IF(ISNUMBER(Récap1!AI29),Récap1!AI29,R29/R$117*S$117)</f>
        <v>14.469042424242426</v>
      </c>
      <c r="T29" s="872">
        <f>IF(ISNUMBER(Récap1!AJ29),Récap1!AJ29,S29/S$118*T$118)</f>
        <v>14.469042424242428</v>
      </c>
      <c r="U29" s="113">
        <f>IF(ISNUMBER(Récap1!AK29),Récap1!AK29,T29/T$118*U$118)</f>
        <v>18.231029447534649</v>
      </c>
      <c r="V29" s="113">
        <f>IF(ISNUMBER(Récap1!AL29),Récap1!AL29,U29/U$118*V$118)</f>
        <v>11.637353436991843</v>
      </c>
      <c r="W29" s="113">
        <f>IF(ISNUMBER(Récap1!AM29),Récap1!AM29,V29/V$118*W$118)</f>
        <v>1.2243397647980621</v>
      </c>
      <c r="Y29" s="621">
        <f>IF(ISNUMBER(Récap1!X29),Récap1!X29/H$117,Récap1!X29)</f>
        <v>12.126258563492415</v>
      </c>
      <c r="Z29" s="1894">
        <f>IF(ISNUMBER(Récap1!Y29),Récap1!Y29/I$117,Récap1!Y29)</f>
        <v>27.589511701380243</v>
      </c>
      <c r="AA29" s="282"/>
      <c r="AB29" s="282"/>
      <c r="AC29" s="1091">
        <f>IF(ISNUMBER(Récap1!AB29),Récap1!AB29/L$117,Récap1!AB29)</f>
        <v>16.196866512804764</v>
      </c>
      <c r="AD29" s="282"/>
      <c r="AE29" s="282"/>
      <c r="AF29" s="282"/>
      <c r="AG29" s="1894"/>
      <c r="AH29" s="282">
        <f>IF(ISNUMBER(Récap1!AG29),Récap1!AG29/Q$117,Récap1!AG29)</f>
        <v>783.3229834555658</v>
      </c>
      <c r="AI29" s="282">
        <f>IF(ISNUMBER(Récap1!AH29),Récap1!AH29/R$117,Récap1!AH29)</f>
        <v>1013.2491569708626</v>
      </c>
      <c r="AJ29" s="1894">
        <f>IF(ISNUMBER(Récap1!AI29),Récap1!AI29/S$117,Récap1!AI29)</f>
        <v>204.06539623015721</v>
      </c>
      <c r="AK29" s="282"/>
      <c r="AL29" s="282"/>
      <c r="AM29" s="282"/>
      <c r="AN29" s="1919"/>
      <c r="AO29" s="1117">
        <f t="shared" ref="AO29:AO42" si="13">IF(MIN(AC29:AJ29)&gt;0,MIN(AC29:AJ29),Z29)</f>
        <v>16.196866512804764</v>
      </c>
      <c r="AP29" s="1069">
        <f>SUMIF(Récap1!X29:Y29,"&gt;0",H$117:I$117)+IF(ISNUMBER(Récap1!AB29),L$117,0)+SUMIF(Récap1!AG29:AI29,"&gt;0",Q$117:S$117)</f>
        <v>1</v>
      </c>
      <c r="AQ29" s="1147">
        <f t="shared" ref="AQ29:AQ42" si="14">IF(MIN(Y29:AJ29)&gt;0,(IF(ISNUMBER(Y29),Y29*H$117,0)+IF(ISNUMBER(Z29),Z29*I$117,0)+IF(ISNUMBER(AC29),AC29*L$117,0)+IF(ISNUMBER(AH29),AH29*Q$117,0)+IF(ISNUMBER(AI29),AI29*R$117,0)+IF(ISNUMBER(AJ29),AJ29*S$117,0))/(IF(ISNUMBER(Y29),H$117,0)+IF(ISNUMBER(Z29),I$117,0)+IF(ISNUMBER(AC29),L$117,0)+IF(ISNUMBER(AH29),Q$117,0)+IF(ISNUMBER(AI29),R$117,0)+IF(ISNUMBER(AJ29),S$117,0)),Z29)</f>
        <v>553.72446595878773</v>
      </c>
      <c r="AR29" s="1910">
        <f t="shared" ref="AR29:AR42" si="15">SUM(H29:I29,L29:L29,Q29:S29)</f>
        <v>553.72446595878773</v>
      </c>
      <c r="AS29" s="621">
        <f>IF(ISNUMBER(Récap1!AC29),Récap1!AC29/M$118,Récap1!AC29)</f>
        <v>136.03449715137612</v>
      </c>
      <c r="AT29" s="282">
        <f>IF(ISNUMBER(Récap1!AD29),Récap1!AD29/N$118,Récap1!AD29)</f>
        <v>185.04633006362408</v>
      </c>
      <c r="AU29" s="282" t="str">
        <f>IF(ISNUMBER(Récap1!AE29),Récap1!AE29/O$118,Récap1!AE29)</f>
        <v>PVL</v>
      </c>
      <c r="AV29" s="282" t="str">
        <f>IF(ISNUMBER(Récap1!AF29),Récap1!AF29/P$118,Récap1!AF29)</f>
        <v>PVL</v>
      </c>
      <c r="AW29" s="282"/>
      <c r="AX29" s="282"/>
      <c r="AY29" s="282"/>
      <c r="AZ29" s="1971">
        <f>IF(ISNUMBER(Récap1!AJ29),Récap1!AJ29/T$118,Récap1!AJ29)</f>
        <v>106.88737775006011</v>
      </c>
      <c r="BA29" s="282">
        <f>IF(ISNUMBER(Récap1!AK29),Récap1!AK29/U$118,Récap1!AK29)</f>
        <v>41.218591503927009</v>
      </c>
      <c r="BB29" s="282" t="str">
        <f>IF(ISNUMBER(Récap1!AL29),Récap1!AL29/V$118,Récap1!AL29)</f>
        <v>PVL</v>
      </c>
      <c r="BC29" s="1894" t="str">
        <f>IF(ISNUMBER(Récap1!AM29),Récap1!AM29/W$118,Récap1!AM29)</f>
        <v>PVL</v>
      </c>
      <c r="BD29" s="1117">
        <f t="shared" ref="BD29:BD42" si="16">IF(MIN(AS29:BC29)&gt;0,MIN(AS29:BC29),"PVL")</f>
        <v>41.218591503927009</v>
      </c>
      <c r="BE29" s="1080">
        <f>SUMIF(Récap1!AC29:AF29,"&gt;0",M$118:P$118)+SUMIF(Récap1!AJ29:AM29,"&gt;0",T$118:W$118)</f>
        <v>0.68160323968664671</v>
      </c>
      <c r="BF29" s="1920">
        <f t="shared" ref="BF29:BF42" si="17">IF(MIN(AS29:BC29)&gt;0,(IF(ISNUMBER(AS29),AS29*M$118,0)+IF(ISNUMBER(AT29),AT29*N$118,0)+IF(ISNUMBER(AU29),AU29*O$118,0)+IF(ISNUMBER(AV29),AV29*P$118,0)+IF(ISNUMBER(AZ29),AZ29*T$118,0)+IF(ISNUMBER(BA29),BA29*U$118,0)+IF(ISNUMBER(BB29),BB29*V$118,0)+IF(ISNUMBER(BC29),BC29*W$118,0))/(IF(ISNUMBER(AS29),M$118,0)+IF(ISNUMBER(AT29),N$118,0)+IF(ISNUMBER(AU29),O$118,0)+IF(ISNUMBER(AV29),P$118,0)+IF(ISNUMBER(AZ29),T$118,0)+IF(ISNUMBER(BA29),U$118,0)+IF(ISNUMBER(BB29),V$118,0)+IF(ISNUMBER(BC29),W$118,0)),"PVL")</f>
        <v>73.502452108611664</v>
      </c>
      <c r="BG29" s="1918">
        <f t="shared" ref="BG29:BG42" si="18">SUM(M29:P29,T29:W29)</f>
        <v>64.138198604806192</v>
      </c>
      <c r="BH29" s="77"/>
      <c r="BI29" s="113">
        <f t="shared" si="6"/>
        <v>266.36928341333328</v>
      </c>
      <c r="BJ29" s="113">
        <f t="shared" si="7"/>
        <v>269.99233163636359</v>
      </c>
      <c r="BK29" s="113">
        <f t="shared" si="8"/>
        <v>17.362850909090913</v>
      </c>
      <c r="BL29" s="872">
        <f t="shared" si="9"/>
        <v>19.557561543422743</v>
      </c>
      <c r="BM29" s="113">
        <f t="shared" si="10"/>
        <v>30.541947938719566</v>
      </c>
      <c r="BN29" s="113">
        <f t="shared" si="11"/>
        <v>12.806314869170372</v>
      </c>
      <c r="BO29" s="120">
        <f t="shared" si="12"/>
        <v>1.2323742534935103</v>
      </c>
    </row>
    <row r="30" spans="1:69" s="495" customFormat="1">
      <c r="A30" s="398"/>
      <c r="B30" s="492"/>
      <c r="C30" s="985" t="s">
        <v>162</v>
      </c>
      <c r="D30" s="986">
        <f>Sols!Q15</f>
        <v>4.0000000000000003E-5</v>
      </c>
      <c r="E30" s="619" t="s">
        <v>985</v>
      </c>
      <c r="F30" s="493" t="str">
        <f>ExpoRisk!F590</f>
        <v>Cs</v>
      </c>
      <c r="G30" s="584" t="str">
        <f>ExpoRisk!G590</f>
        <v>mg/kg ms</v>
      </c>
      <c r="H30" s="343">
        <f>Récap1!X30</f>
        <v>0.1389028072727273</v>
      </c>
      <c r="I30" s="343">
        <f>Récap1!Y30</f>
        <v>3.7619510303030315</v>
      </c>
      <c r="J30" s="343">
        <f>Récap1!Z30</f>
        <v>2.0256659393939396</v>
      </c>
      <c r="K30" s="346">
        <f>Récap1!AA30</f>
        <v>10.128329696969697</v>
      </c>
      <c r="L30" s="343">
        <f>IF(ISNUMBER(Récap1!AB30),Récap1!AB30,I30/I$117*L$117)</f>
        <v>2.8938084848484857</v>
      </c>
      <c r="M30" s="874">
        <f>IF(ISNUMBER(Récap1!AC30),Récap1!AC30,L30/L$118*M$118)</f>
        <v>5.0885191191803161</v>
      </c>
      <c r="N30" s="343">
        <f>IF(ISNUMBER(Récap1!AD30),Récap1!AD30,M30/M$118*N$118)</f>
        <v>12.310918491184916</v>
      </c>
      <c r="O30" s="343">
        <f>IF(ISNUMBER(Récap1!AE30),Récap1!AE30,N30/N$118*O$118)</f>
        <v>1.1689614321785298</v>
      </c>
      <c r="P30" s="875">
        <f>IF(ISNUMBER(Récap1!AF30),Récap1!AF30,O30/O$118*P$118)</f>
        <v>8.0344886954482764E-3</v>
      </c>
      <c r="Q30" s="343">
        <f>IF(ISNUMBER(Récap1!AG30),Récap1!AG30,I30/I$117*Q$117)</f>
        <v>9.3769318099045424</v>
      </c>
      <c r="R30" s="343">
        <f>IF(ISNUMBER(Récap1!AH30),Récap1!AH30,Q30/Q$117*R$117)</f>
        <v>7.2491214529626742</v>
      </c>
      <c r="S30" s="343">
        <f>IF(ISNUMBER(Récap1!AI30),Récap1!AI30,R30/R$117*S$117)</f>
        <v>14.469042424242426</v>
      </c>
      <c r="T30" s="874">
        <f>IF(ISNUMBER(Récap1!AJ30),Récap1!AJ30,S30/S$118*T$118)</f>
        <v>3.3109239702308431</v>
      </c>
      <c r="U30" s="343">
        <f>IF(ISNUMBER(Récap1!AK30),Récap1!AK30,T30/T$118*U$118)</f>
        <v>10.81817209838596</v>
      </c>
      <c r="V30" s="343">
        <f>IF(ISNUMBER(Récap1!AL30),Récap1!AL30,U30/U$118*V$118)</f>
        <v>6.9055284351013784</v>
      </c>
      <c r="W30" s="343">
        <f>IF(ISNUMBER(Récap1!AM30),Récap1!AM30,V30/V$118*W$118)</f>
        <v>0.72651510550184195</v>
      </c>
      <c r="Y30" s="1884">
        <f>IF(ISNUMBER(Récap1!X30),Récap1!X30/H$117,Récap1!X30)</f>
        <v>12.126258563492415</v>
      </c>
      <c r="Z30" s="1895">
        <f>IF(ISNUMBER(Récap1!Y30),Récap1!Y30/I$117,Récap1!Y30)</f>
        <v>27.589511701380243</v>
      </c>
      <c r="AA30" s="1104"/>
      <c r="AB30" s="1104"/>
      <c r="AC30" s="1092">
        <f>IF(ISNUMBER(Récap1!AB30),Récap1!AB30/L$117,Récap1!AB30)</f>
        <v>16.196866512804764</v>
      </c>
      <c r="AD30" s="1104"/>
      <c r="AE30" s="1104"/>
      <c r="AF30" s="1104"/>
      <c r="AG30" s="1895"/>
      <c r="AH30" s="1104" t="str">
        <f>IF(ISNUMBER(Récap1!AG30),Récap1!AG30/Q$117,Récap1!AG30)</f>
        <v>PVL</v>
      </c>
      <c r="AI30" s="1104" t="str">
        <f>IF(ISNUMBER(Récap1!AH30),Récap1!AH30/R$117,Récap1!AH30)</f>
        <v>PVL</v>
      </c>
      <c r="AJ30" s="1895">
        <f>IF(ISNUMBER(Récap1!AI30),Récap1!AI30/S$117,Récap1!AI30)</f>
        <v>204.06539623015721</v>
      </c>
      <c r="AK30" s="1104"/>
      <c r="AL30" s="1104"/>
      <c r="AM30" s="1104"/>
      <c r="AN30" s="1135"/>
      <c r="AO30" s="1104">
        <f t="shared" si="13"/>
        <v>16.196866512804764</v>
      </c>
      <c r="AP30" s="1069">
        <f>SUMIF(Récap1!X30:Y30,"&gt;0",H$117:I$117)+IF(ISNUMBER(Récap1!AB30),L$117,0)+SUMIF(Récap1!AG30:AI30,"&gt;0",Q$117:S$117)</f>
        <v>0.39737776286792892</v>
      </c>
      <c r="AQ30" s="1148">
        <f t="shared" si="14"/>
        <v>53.510051979767674</v>
      </c>
      <c r="AR30" s="1104">
        <f t="shared" si="15"/>
        <v>37.889758009533885</v>
      </c>
      <c r="AS30" s="1884">
        <f>IF(ISNUMBER(Récap1!AC30),Récap1!AC30/M$118,Récap1!AC30)</f>
        <v>136.03449715137612</v>
      </c>
      <c r="AT30" s="1104">
        <f>IF(ISNUMBER(Récap1!AD30),Récap1!AD30/N$118,Récap1!AD30)</f>
        <v>185.04633006362408</v>
      </c>
      <c r="AU30" s="1104" t="str">
        <f>IF(ISNUMBER(Récap1!AE30),Récap1!AE30/O$118,Récap1!AE30)</f>
        <v>PVL</v>
      </c>
      <c r="AV30" s="1104" t="str">
        <f>IF(ISNUMBER(Récap1!AF30),Récap1!AF30/P$118,Récap1!AF30)</f>
        <v>PVL</v>
      </c>
      <c r="AW30" s="1104"/>
      <c r="AX30" s="1104"/>
      <c r="AY30" s="1104"/>
      <c r="AZ30" s="1973" t="str">
        <f>IF(ISNUMBER(Récap1!AJ30),Récap1!AJ30/T$118,Récap1!AJ30)</f>
        <v>PVL</v>
      </c>
      <c r="BA30" s="1104" t="str">
        <f>IF(ISNUMBER(Récap1!AK30),Récap1!AK30/U$118,Récap1!AK30)</f>
        <v>PVL</v>
      </c>
      <c r="BB30" s="1104" t="str">
        <f>IF(ISNUMBER(Récap1!AL30),Récap1!AL30/V$118,Récap1!AL30)</f>
        <v>PVL</v>
      </c>
      <c r="BC30" s="1895" t="str">
        <f>IF(ISNUMBER(Récap1!AM30),Récap1!AM30/W$118,Récap1!AM30)</f>
        <v>PVL</v>
      </c>
      <c r="BD30" s="1104">
        <f t="shared" si="16"/>
        <v>136.03449715137612</v>
      </c>
      <c r="BE30" s="1167">
        <f>SUMIF(Récap1!AC30:AF30,"&gt;0",M$118:P$118)+SUMIF(Récap1!AJ30:AM30,"&gt;0",T$118:W$118)</f>
        <v>0.10393493785095881</v>
      </c>
      <c r="BF30" s="1135">
        <f t="shared" si="17"/>
        <v>167.40701413913166</v>
      </c>
      <c r="BG30" s="920">
        <f t="shared" si="18"/>
        <v>40.337573140459234</v>
      </c>
      <c r="BH30" s="919"/>
      <c r="BI30" s="343">
        <f t="shared" si="6"/>
        <v>9.5158346171772692</v>
      </c>
      <c r="BJ30" s="343">
        <f t="shared" si="7"/>
        <v>11.011072483265705</v>
      </c>
      <c r="BK30" s="343">
        <f t="shared" si="8"/>
        <v>17.362850909090913</v>
      </c>
      <c r="BL30" s="874">
        <f t="shared" si="9"/>
        <v>8.3994430894111591</v>
      </c>
      <c r="BM30" s="343">
        <f t="shared" si="10"/>
        <v>23.129090589570875</v>
      </c>
      <c r="BN30" s="343">
        <f t="shared" si="11"/>
        <v>8.0744898672799081</v>
      </c>
      <c r="BO30" s="346">
        <f t="shared" si="12"/>
        <v>0.73454959419729027</v>
      </c>
      <c r="BP30" s="1064">
        <f>SUM(BI30:BK30)</f>
        <v>37.889758009533892</v>
      </c>
      <c r="BQ30" s="1064">
        <f>SUM(BL30:BO30)</f>
        <v>40.337573140459234</v>
      </c>
    </row>
    <row r="31" spans="1:69" s="742" customFormat="1" ht="12.75" hidden="1" customHeight="1">
      <c r="A31" s="732"/>
      <c r="B31" s="733"/>
      <c r="C31" s="503" t="s">
        <v>42</v>
      </c>
      <c r="D31" s="506">
        <f>Sols!D15</f>
        <v>0.1</v>
      </c>
      <c r="E31" s="736" t="str">
        <f>ExpoRisk!E591</f>
        <v>Equivalent air du sol</v>
      </c>
      <c r="F31" s="737" t="s">
        <v>93</v>
      </c>
      <c r="G31" s="738" t="s">
        <v>24</v>
      </c>
      <c r="H31" s="740">
        <f>Récap1!X31</f>
        <v>120.13101239114764</v>
      </c>
      <c r="I31" s="740">
        <f>Récap1!Y31</f>
        <v>2254.9006484227421</v>
      </c>
      <c r="J31" s="740">
        <f>Récap1!Z31</f>
        <v>719.05655893654125</v>
      </c>
      <c r="K31" s="741">
        <f>Récap1!AA31</f>
        <v>2411.93027797883</v>
      </c>
      <c r="L31" s="740">
        <f>IF(ISNUMBER(Récap1!AB31),Récap1!AB31,I31/I$117*L$117)</f>
        <v>779.37795932427673</v>
      </c>
      <c r="M31" s="878">
        <f>IF(ISNUMBER(Récap1!AC31),Récap1!AC31,L31/L$118*M$118)</f>
        <v>267.42606901659201</v>
      </c>
      <c r="N31" s="740">
        <f>IF(ISNUMBER(Récap1!AD31),Récap1!AD31,M31/M$118*N$118)</f>
        <v>126.63901235174573</v>
      </c>
      <c r="O31" s="740">
        <f>IF(ISNUMBER(Récap1!AE31),Récap1!AE31,N31/N$118*O$118)</f>
        <v>12.024782826266838</v>
      </c>
      <c r="P31" s="879">
        <f>IF(ISNUMBER(Récap1!AF31),Récap1!AF31,O31/O$118*P$118)</f>
        <v>8.2648562239396664E-2</v>
      </c>
      <c r="Q31" s="740">
        <f>IF(ISNUMBER(Récap1!AG31),Récap1!AG31,I31/I$117*Q$117)</f>
        <v>5620.5010240833462</v>
      </c>
      <c r="R31" s="740">
        <f>IF(ISNUMBER(Récap1!AH31),Récap1!AH31,Q31/Q$117*R$117)</f>
        <v>4345.0987354995004</v>
      </c>
      <c r="S31" s="740">
        <f>IF(ISNUMBER(Récap1!AI31),Récap1!AI31,R31/R$117*S$117)</f>
        <v>27285.422753150247</v>
      </c>
      <c r="T31" s="878">
        <f>IF(ISNUMBER(Récap1!AJ31),Récap1!AJ31,S31/S$118*T$118)</f>
        <v>6243.6723580218022</v>
      </c>
      <c r="U31" s="740">
        <f>IF(ISNUMBER(Récap1!AK31),Récap1!AK31,T31/T$118*U$118)</f>
        <v>20400.686546210774</v>
      </c>
      <c r="V31" s="740">
        <f>IF(ISNUMBER(Récap1!AL31),Récap1!AL31,U31/U$118*V$118)</f>
        <v>13022.303561011677</v>
      </c>
      <c r="W31" s="740">
        <f>IF(ISNUMBER(Récap1!AM31),Récap1!AM31,V31/V$118*W$118)</f>
        <v>1370.0472504631018</v>
      </c>
      <c r="Y31" s="1885">
        <f>IF(ISNUMBER(Récap1!X31),Récap1!X31/H$117,Récap1!X31)</f>
        <v>10487.474993136364</v>
      </c>
      <c r="Z31" s="1896">
        <f>IF(ISNUMBER(Récap1!Y31),Récap1!Y31/I$117,Récap1!Y31)</f>
        <v>16537.059447075761</v>
      </c>
      <c r="AA31" s="1944"/>
      <c r="AB31" s="1944"/>
      <c r="AC31" s="1093">
        <f>IF(ISNUMBER(Récap1!AB31),Récap1!AB31/L$117,Récap1!AB31)</f>
        <v>4362.237804019167</v>
      </c>
      <c r="AD31" s="1944"/>
      <c r="AE31" s="1944"/>
      <c r="AF31" s="1944"/>
      <c r="AG31" s="1896"/>
      <c r="AH31" s="1944" t="str">
        <f>IF(ISNUMBER(Récap1!AG31),Récap1!AG31/Q$117,Récap1!AG31)</f>
        <v>PVL</v>
      </c>
      <c r="AI31" s="1944" t="str">
        <f>IF(ISNUMBER(Récap1!AH31),Récap1!AH31/R$117,Récap1!AH31)</f>
        <v>PVL</v>
      </c>
      <c r="AJ31" s="1896">
        <f>IF(ISNUMBER(Récap1!AI31),Récap1!AI31/S$117,Récap1!AI31)</f>
        <v>384822.32909207075</v>
      </c>
      <c r="AK31" s="1944"/>
      <c r="AL31" s="1944"/>
      <c r="AM31" s="1944"/>
      <c r="AN31" s="1945"/>
      <c r="AO31" s="1121">
        <f t="shared" si="13"/>
        <v>4362.237804019167</v>
      </c>
      <c r="AP31" s="1070">
        <f>SUMIF(Récap1!X31:Y31,"&gt;0",H$117:I$117)+IF(ISNUMBER(Récap1!AB31),L$117,0)+SUMIF(Récap1!AG31:AI31,"&gt;0",Q$117:S$117)</f>
        <v>0.39737776286792892</v>
      </c>
      <c r="AQ31" s="1149">
        <f t="shared" si="14"/>
        <v>76601.750821686743</v>
      </c>
      <c r="AR31" s="1911">
        <f t="shared" si="15"/>
        <v>40405.432132871261</v>
      </c>
      <c r="AS31" s="1885">
        <f>IF(ISNUMBER(Récap1!AC31),Récap1!AC31/M$118,Récap1!AC31)</f>
        <v>7149.2648394925227</v>
      </c>
      <c r="AT31" s="1944">
        <f>IF(ISNUMBER(Récap1!AD31),Récap1!AD31/N$118,Récap1!AD31)</f>
        <v>1903.5203990142736</v>
      </c>
      <c r="AU31" s="1944" t="str">
        <f>IF(ISNUMBER(Récap1!AE31),Récap1!AE31/O$118,Récap1!AE31)</f>
        <v>PVL</v>
      </c>
      <c r="AV31" s="1944" t="str">
        <f>IF(ISNUMBER(Récap1!AF31),Récap1!AF31/P$118,Récap1!AF31)</f>
        <v>PVL</v>
      </c>
      <c r="AW31" s="1944"/>
      <c r="AX31" s="1944"/>
      <c r="AY31" s="1944"/>
      <c r="AZ31" s="1977" t="str">
        <f>IF(ISNUMBER(Récap1!AJ31),Récap1!AJ31/T$118,Récap1!AJ31)</f>
        <v>PVL</v>
      </c>
      <c r="BA31" s="1944" t="str">
        <f>IF(ISNUMBER(Récap1!AK31),Récap1!AK31/U$118,Récap1!AK31)</f>
        <v>PVL</v>
      </c>
      <c r="BB31" s="1944" t="str">
        <f>IF(ISNUMBER(Récap1!AL31),Récap1!AL31/V$118,Récap1!AL31)</f>
        <v>PVL</v>
      </c>
      <c r="BC31" s="1896" t="str">
        <f>IF(ISNUMBER(Récap1!AM31),Récap1!AM31/W$118,Récap1!AM31)</f>
        <v>PVL</v>
      </c>
      <c r="BD31" s="1121">
        <f t="shared" si="16"/>
        <v>1903.5203990142736</v>
      </c>
      <c r="BE31" s="1081">
        <f>SUMIF(Récap1!AC31:AF31,"&gt;0",M$118:P$118)+SUMIF(Récap1!AJ31:AM31,"&gt;0",T$118:W$118)</f>
        <v>0.10393493785095881</v>
      </c>
      <c r="BF31" s="1978">
        <f t="shared" si="17"/>
        <v>3791.4592486062902</v>
      </c>
      <c r="BG31" s="978">
        <f t="shared" si="18"/>
        <v>41442.882228464201</v>
      </c>
      <c r="BH31" s="743"/>
      <c r="BI31" s="740">
        <f t="shared" si="6"/>
        <v>5740.6320364744943</v>
      </c>
      <c r="BJ31" s="740">
        <f t="shared" si="7"/>
        <v>6599.9993839222425</v>
      </c>
      <c r="BK31" s="740">
        <f t="shared" si="8"/>
        <v>28064.800712474524</v>
      </c>
      <c r="BL31" s="878">
        <f t="shared" si="9"/>
        <v>6511.0984270383942</v>
      </c>
      <c r="BM31" s="740">
        <f t="shared" si="10"/>
        <v>20527.325558562519</v>
      </c>
      <c r="BN31" s="740">
        <f t="shared" si="11"/>
        <v>13034.328343837944</v>
      </c>
      <c r="BO31" s="741">
        <f t="shared" si="12"/>
        <v>1370.1298990253413</v>
      </c>
    </row>
    <row r="32" spans="1:69" s="782" customFormat="1" ht="13.5" hidden="1" customHeight="1">
      <c r="A32" s="1592"/>
      <c r="B32" s="245"/>
      <c r="C32" s="777"/>
      <c r="D32" s="778"/>
      <c r="E32" s="853" t="s">
        <v>953</v>
      </c>
      <c r="F32" s="779" t="s">
        <v>19</v>
      </c>
      <c r="G32" s="1609" t="s">
        <v>20</v>
      </c>
      <c r="H32" s="781">
        <f>Récap1!X32</f>
        <v>1.2180953167804813</v>
      </c>
      <c r="I32" s="781">
        <f>Récap1!Y32</f>
        <v>1.0833110580856959</v>
      </c>
      <c r="J32" s="781">
        <f>Récap1!Z32</f>
        <v>1.9072943096938233</v>
      </c>
      <c r="K32" s="608">
        <f>Récap1!AA32</f>
        <v>8.6527912033094276E-2</v>
      </c>
      <c r="L32" s="781">
        <f>IF(ISNUMBER(Récap1!AB32),Récap1!AB32,I32/I$117*L$117)</f>
        <v>0.43855059775955696</v>
      </c>
      <c r="M32" s="880">
        <f>IF(ISNUMBER(Récap1!AC32),Récap1!AC32,L32/L$118*M$118)</f>
        <v>0.59129748989618436</v>
      </c>
      <c r="N32" s="781">
        <f>IF(ISNUMBER(Récap1!AD32),Récap1!AD32,M32/M$118*N$118)</f>
        <v>3.0209344818069739</v>
      </c>
      <c r="O32" s="781">
        <f>IF(ISNUMBER(Récap1!AE32),Récap1!AE32,N32/N$118*O$118)</f>
        <v>0.28684747615697154</v>
      </c>
      <c r="P32" s="881">
        <f>IF(ISNUMBER(Récap1!AF32),Récap1!AF32,O32/O$118*P$118)</f>
        <v>1.9715558965927244E-3</v>
      </c>
      <c r="Q32" s="781">
        <f>IF(ISNUMBER(Récap1!AG32),Récap1!AG32,I32/I$117*Q$117)</f>
        <v>0.43677208521608607</v>
      </c>
      <c r="R32" s="781">
        <f>IF(ISNUMBER(Récap1!AH32),Récap1!AH32,Q32/Q$117*R$117)</f>
        <v>3.3204496719424021</v>
      </c>
      <c r="S32" s="781">
        <f>IF(ISNUMBER(Récap1!AI32),Récap1!AI32,R32/R$117*S$117)</f>
        <v>0.66037484972427585</v>
      </c>
      <c r="T32" s="880">
        <f>IF(ISNUMBER(Récap1!AJ32),Récap1!AJ32,S32/S$118*T$118)</f>
        <v>1.0646495578200528</v>
      </c>
      <c r="U32" s="781">
        <f>IF(ISNUMBER(Récap1!AK32),Récap1!AK32,T32/T$118*U$118)</f>
        <v>3.4786549750234284</v>
      </c>
      <c r="V32" s="781">
        <f>IF(ISNUMBER(Récap1!AL32),Récap1!AL32,U32/U$118*V$118)</f>
        <v>2.2205184598158842</v>
      </c>
      <c r="W32" s="781">
        <f>IF(ISNUMBER(Récap1!AM32),Récap1!AM32,V32/V$118*W$118)</f>
        <v>0.23361574979572741</v>
      </c>
      <c r="Y32" s="1886">
        <f>IF(ISNUMBER(Récap1!X32),Récap1!X32/H$117,Récap1!X32)</f>
        <v>106.3401025240438</v>
      </c>
      <c r="Z32" s="1897">
        <f>IF(ISNUMBER(Récap1!Y32),Récap1!Y32/I$117,Récap1!Y32)</f>
        <v>7.9448198215600883</v>
      </c>
      <c r="AA32" s="1086"/>
      <c r="AB32" s="1086"/>
      <c r="AC32" s="1094">
        <f>IF(ISNUMBER(Récap1!AB32),Récap1!AB32/L$117,Récap1!AB32)</f>
        <v>2.4546011003192523</v>
      </c>
      <c r="AD32" s="1086"/>
      <c r="AE32" s="1086"/>
      <c r="AF32" s="1086"/>
      <c r="AG32" s="1897"/>
      <c r="AH32" s="1086">
        <f>IF(ISNUMBER(Récap1!AG32),Récap1!AG32/Q$117,Récap1!AG32)</f>
        <v>1.2851035712104777</v>
      </c>
      <c r="AI32" s="1086">
        <f>IF(ISNUMBER(Récap1!AH32),Récap1!AH32/R$117,Récap1!AH32)</f>
        <v>12.637336216854083</v>
      </c>
      <c r="AJ32" s="1897">
        <f>IF(ISNUMBER(Récap1!AI32),Récap1!AI32/S$117,Récap1!AI32)</f>
        <v>9.3136540358489306</v>
      </c>
      <c r="AK32" s="1086"/>
      <c r="AL32" s="1086"/>
      <c r="AM32" s="1086"/>
      <c r="AN32" s="1946"/>
      <c r="AO32" s="1122">
        <f t="shared" si="13"/>
        <v>1.2851035712104777</v>
      </c>
      <c r="AP32" s="1071">
        <f>SUMIF(Récap1!X32:Y32,"&gt;0",H$117:I$117)+IF(ISNUMBER(Récap1!AB32),L$117,0)+SUMIF(Récap1!AG32:AI32,"&gt;0",Q$117:S$117)</f>
        <v>1</v>
      </c>
      <c r="AQ32" s="1150">
        <f t="shared" si="14"/>
        <v>7.1575535795084981</v>
      </c>
      <c r="AR32" s="1089">
        <f t="shared" si="15"/>
        <v>7.1575535795084981</v>
      </c>
      <c r="AS32" s="1886">
        <f>IF(ISNUMBER(Récap1!AC32),Récap1!AC32/M$118,Récap1!AC32)</f>
        <v>15.807517830031363</v>
      </c>
      <c r="AT32" s="1086">
        <f>IF(ISNUMBER(Récap1!AD32),Récap1!AD32/N$118,Récap1!AD32)</f>
        <v>45.407890534025618</v>
      </c>
      <c r="AU32" s="1086" t="str">
        <f>IF(ISNUMBER(Récap1!AE32),Récap1!AE32/O$118,Récap1!AE32)</f>
        <v>PVL</v>
      </c>
      <c r="AV32" s="1086" t="str">
        <f>IF(ISNUMBER(Récap1!AF32),Récap1!AF32/P$118,Récap1!AF32)</f>
        <v>PVL</v>
      </c>
      <c r="AW32" s="1086"/>
      <c r="AX32" s="1086"/>
      <c r="AY32" s="1086"/>
      <c r="AZ32" s="1979">
        <f>IF(ISNUMBER(Récap1!AJ32),Récap1!AJ32/T$118,Récap1!AJ32)</f>
        <v>7.8649019141364969</v>
      </c>
      <c r="BA32" s="1086" t="str">
        <f>IF(ISNUMBER(Récap1!AK32),Récap1!AK32/U$118,Récap1!AK32)</f>
        <v>PVL</v>
      </c>
      <c r="BB32" s="1086" t="str">
        <f>IF(ISNUMBER(Récap1!AL32),Récap1!AL32/V$118,Récap1!AL32)</f>
        <v>PVL</v>
      </c>
      <c r="BC32" s="1897" t="str">
        <f>IF(ISNUMBER(Récap1!AM32),Récap1!AM32/W$118,Récap1!AM32)</f>
        <v>PVL</v>
      </c>
      <c r="BD32" s="1122">
        <f t="shared" si="16"/>
        <v>7.8649019141364969</v>
      </c>
      <c r="BE32" s="1082">
        <f>SUMIF(Récap1!AC32:AF32,"&gt;0",M$118:P$118)+SUMIF(Récap1!AJ32:AM32,"&gt;0",T$118:W$118)</f>
        <v>0.23930211336607046</v>
      </c>
      <c r="BF32" s="1980">
        <f t="shared" si="17"/>
        <v>19.543837134312263</v>
      </c>
      <c r="BG32" s="979">
        <f t="shared" si="18"/>
        <v>10.898489746211816</v>
      </c>
      <c r="BH32" s="921"/>
      <c r="BI32" s="781">
        <f t="shared" si="6"/>
        <v>1.6548674019965675</v>
      </c>
      <c r="BJ32" s="781">
        <f t="shared" si="7"/>
        <v>4.4037607300280985</v>
      </c>
      <c r="BK32" s="781">
        <f t="shared" si="8"/>
        <v>1.0989254474838328</v>
      </c>
      <c r="BL32" s="880">
        <f t="shared" si="9"/>
        <v>1.655947047716237</v>
      </c>
      <c r="BM32" s="781">
        <f t="shared" si="10"/>
        <v>6.4995894568304022</v>
      </c>
      <c r="BN32" s="781">
        <f t="shared" si="11"/>
        <v>2.5073659359728557</v>
      </c>
      <c r="BO32" s="608">
        <f t="shared" si="12"/>
        <v>0.23558730569232014</v>
      </c>
    </row>
    <row r="33" spans="1:69" s="782" customFormat="1" ht="13.5" hidden="1" customHeight="1">
      <c r="A33" s="1592"/>
      <c r="B33" s="245"/>
      <c r="C33" s="777"/>
      <c r="D33" s="778"/>
      <c r="E33" s="853" t="s">
        <v>983</v>
      </c>
      <c r="F33" s="779" t="s">
        <v>19</v>
      </c>
      <c r="G33" s="1609" t="s">
        <v>20</v>
      </c>
      <c r="H33" s="781">
        <f>Récap1!X33</f>
        <v>36.853981617765498</v>
      </c>
      <c r="I33" s="781">
        <f>Récap1!Y33</f>
        <v>22.715718452764737</v>
      </c>
      <c r="J33" s="781">
        <f>Récap1!Z33</f>
        <v>23.684922440082698</v>
      </c>
      <c r="K33" s="608">
        <f>Récap1!AA33</f>
        <v>0.72084546556773421</v>
      </c>
      <c r="L33" s="781">
        <f>IF(ISNUMBER(Récap1!AB33),Récap1!AB33,I33/I$117*L$117)</f>
        <v>4.1319691362904791</v>
      </c>
      <c r="M33" s="880">
        <f>IF(ISNUMBER(Récap1!AC33),Récap1!AC33,L33/L$118*M$118)</f>
        <v>1.0871197674250337</v>
      </c>
      <c r="N33" s="781">
        <f>IF(ISNUMBER(Récap1!AD33),Récap1!AD33,M33/M$118*N$118)</f>
        <v>3.0209344818069739</v>
      </c>
      <c r="O33" s="781">
        <f>IF(ISNUMBER(Récap1!AE33),Récap1!AE33,N33/N$118*O$118)</f>
        <v>0.28684747615697154</v>
      </c>
      <c r="P33" s="881">
        <f>IF(ISNUMBER(Récap1!AF33),Récap1!AF33,O33/O$118*P$118)</f>
        <v>1.9715558965927244E-3</v>
      </c>
      <c r="Q33" s="781">
        <f>IF(ISNUMBER(Récap1!AG33),Récap1!AG33,I33/I$117*Q$117)</f>
        <v>94.643591491791909</v>
      </c>
      <c r="R33" s="781">
        <f>IF(ISNUMBER(Récap1!AH33),Récap1!AH33,Q33/Q$117*R$117)</f>
        <v>73.167098084673896</v>
      </c>
      <c r="S33" s="781">
        <f>IF(ISNUMBER(Récap1!AI33),Récap1!AI33,R33/R$117*S$117)</f>
        <v>19.744443240797487</v>
      </c>
      <c r="T33" s="880">
        <f>IF(ISNUMBER(Récap1!AJ33),Récap1!AJ33,S33/S$118*T$118)</f>
        <v>4.5180840920950951</v>
      </c>
      <c r="U33" s="781">
        <f>IF(ISNUMBER(Récap1!AK33),Récap1!AK33,T33/T$118*U$118)</f>
        <v>14.762468634958356</v>
      </c>
      <c r="V33" s="781">
        <f>IF(ISNUMBER(Récap1!AL33),Récap1!AL33,U33/U$118*V$118)</f>
        <v>9.4232783508968865</v>
      </c>
      <c r="W33" s="781">
        <f>IF(ISNUMBER(Récap1!AM33),Récap1!AM33,V33/V$118*W$118)</f>
        <v>0.99140190785045523</v>
      </c>
      <c r="Y33" s="1886">
        <f>IF(ISNUMBER(Récap1!X33),Récap1!X33/H$117,Récap1!X33)</f>
        <v>3217.3641337122717</v>
      </c>
      <c r="Z33" s="1897">
        <f>IF(ISNUMBER(Récap1!Y33),Récap1!Y33/I$117,Récap1!Y33)</f>
        <v>166.59323181230479</v>
      </c>
      <c r="AA33" s="1086"/>
      <c r="AB33" s="1086"/>
      <c r="AC33" s="1094">
        <f>IF(ISNUMBER(Récap1!AB33),Récap1!AB33/L$117,Récap1!AB33)</f>
        <v>23.126945990356425</v>
      </c>
      <c r="AD33" s="1086"/>
      <c r="AE33" s="1086"/>
      <c r="AF33" s="1086"/>
      <c r="AG33" s="1897"/>
      <c r="AH33" s="1086">
        <f>IF(ISNUMBER(Récap1!AG33),Récap1!AG33/Q$117,Récap1!AG33)</f>
        <v>278.46746972878185</v>
      </c>
      <c r="AI33" s="1086" t="str">
        <f>IF(ISNUMBER(Récap1!AH33),Récap1!AH33/R$117,Récap1!AH33)</f>
        <v>PVL</v>
      </c>
      <c r="AJ33" s="1897" t="str">
        <f>IF(ISNUMBER(Récap1!AI33),Récap1!AI33/S$117,Récap1!AI33)</f>
        <v>PVL</v>
      </c>
      <c r="AK33" s="1086"/>
      <c r="AL33" s="1086"/>
      <c r="AM33" s="1086"/>
      <c r="AN33" s="1946"/>
      <c r="AO33" s="1122">
        <f t="shared" si="13"/>
        <v>23.126945990356425</v>
      </c>
      <c r="AP33" s="1071">
        <f>SUMIF(Récap1!X33:Y33,"&gt;0",H$117:I$117)+IF(ISNUMBER(Récap1!AB33),L$117,0)+SUMIF(Récap1!AG33:AI33,"&gt;0",Q$117:S$117)</f>
        <v>0.66634687557593653</v>
      </c>
      <c r="AQ33" s="1150">
        <f t="shared" si="14"/>
        <v>237.63187988500994</v>
      </c>
      <c r="AR33" s="1089">
        <f t="shared" si="15"/>
        <v>251.25680202408401</v>
      </c>
      <c r="AS33" s="1886">
        <f>IF(ISNUMBER(Récap1!AC33),Récap1!AC33/M$118,Récap1!AC33)</f>
        <v>29.06263835141246</v>
      </c>
      <c r="AT33" s="1086">
        <f>IF(ISNUMBER(Récap1!AD33),Récap1!AD33/N$118,Récap1!AD33)</f>
        <v>45.407890534025618</v>
      </c>
      <c r="AU33" s="1086" t="str">
        <f>IF(ISNUMBER(Récap1!AE33),Récap1!AE33/O$118,Récap1!AE33)</f>
        <v>PVL</v>
      </c>
      <c r="AV33" s="1086" t="str">
        <f>IF(ISNUMBER(Récap1!AF33),Récap1!AF33/P$118,Récap1!AF33)</f>
        <v>PVL</v>
      </c>
      <c r="AW33" s="1086"/>
      <c r="AX33" s="1086"/>
      <c r="AY33" s="1086"/>
      <c r="AZ33" s="1979" t="str">
        <f>IF(ISNUMBER(Récap1!AJ33),Récap1!AJ33/T$118,Récap1!AJ33)</f>
        <v>PVL</v>
      </c>
      <c r="BA33" s="1086" t="str">
        <f>IF(ISNUMBER(Récap1!AK33),Récap1!AK33/U$118,Récap1!AK33)</f>
        <v>PVL</v>
      </c>
      <c r="BB33" s="1086" t="str">
        <f>IF(ISNUMBER(Récap1!AL33),Récap1!AL33/V$118,Récap1!AL33)</f>
        <v>PVL</v>
      </c>
      <c r="BC33" s="1897" t="str">
        <f>IF(ISNUMBER(Récap1!AM33),Récap1!AM33/W$118,Récap1!AM33)</f>
        <v>PVL</v>
      </c>
      <c r="BD33" s="1122">
        <f t="shared" si="16"/>
        <v>29.06263835141246</v>
      </c>
      <c r="BE33" s="1082">
        <f>SUMIF(Récap1!AC33:AF33,"&gt;0",M$118:P$118)+SUMIF(Récap1!AJ33:AM33,"&gt;0",T$118:W$118)</f>
        <v>0.10393493785095881</v>
      </c>
      <c r="BF33" s="1980">
        <f t="shared" si="17"/>
        <v>39.525248527332529</v>
      </c>
      <c r="BG33" s="979">
        <f t="shared" si="18"/>
        <v>34.092106267086358</v>
      </c>
      <c r="BH33" s="921"/>
      <c r="BI33" s="781">
        <f t="shared" si="6"/>
        <v>131.49757310955741</v>
      </c>
      <c r="BJ33" s="781">
        <f t="shared" si="7"/>
        <v>95.882816537438629</v>
      </c>
      <c r="BK33" s="781">
        <f t="shared" si="8"/>
        <v>23.876412377087966</v>
      </c>
      <c r="BL33" s="880">
        <f t="shared" si="9"/>
        <v>5.6052038595201292</v>
      </c>
      <c r="BM33" s="781">
        <f t="shared" si="10"/>
        <v>17.783403116765331</v>
      </c>
      <c r="BN33" s="781">
        <f t="shared" si="11"/>
        <v>9.710125827053858</v>
      </c>
      <c r="BO33" s="608">
        <f t="shared" si="12"/>
        <v>0.99337346374704794</v>
      </c>
    </row>
    <row r="34" spans="1:69" s="998" customFormat="1" ht="12.75" hidden="1" customHeight="1">
      <c r="A34" s="1593"/>
      <c r="B34" s="988"/>
      <c r="C34" s="989"/>
      <c r="D34" s="1011"/>
      <c r="E34" s="991" t="s">
        <v>954</v>
      </c>
      <c r="F34" s="992" t="s">
        <v>19</v>
      </c>
      <c r="G34" s="1610" t="s">
        <v>20</v>
      </c>
      <c r="H34" s="994">
        <f>Récap1!X34</f>
        <v>0.1389028072727273</v>
      </c>
      <c r="I34" s="994">
        <f>Récap1!Y34</f>
        <v>1.0833110580856959</v>
      </c>
      <c r="J34" s="994">
        <f>Récap1!Z34</f>
        <v>1.9072943096938233</v>
      </c>
      <c r="K34" s="995">
        <f>Récap1!AA34</f>
        <v>8.6527912033094276E-2</v>
      </c>
      <c r="L34" s="994">
        <f>IF(ISNUMBER(Récap1!AB34),Récap1!AB34,I34/I$117*L$117)</f>
        <v>0.43855059775955696</v>
      </c>
      <c r="M34" s="996">
        <f>IF(ISNUMBER(Récap1!AC34),Récap1!AC34,L34/L$118*M$118)</f>
        <v>0.59129748989618436</v>
      </c>
      <c r="N34" s="994">
        <f>IF(ISNUMBER(Récap1!AD34),Récap1!AD34,M34/M$118*N$118)</f>
        <v>3.0209344818069739</v>
      </c>
      <c r="O34" s="994">
        <f>IF(ISNUMBER(Récap1!AE34),Récap1!AE34,N34/N$118*O$118)</f>
        <v>0.28684747615697154</v>
      </c>
      <c r="P34" s="997">
        <f>IF(ISNUMBER(Récap1!AF34),Récap1!AF34,O34/O$118*P$118)</f>
        <v>1.9715558965927244E-3</v>
      </c>
      <c r="Q34" s="994">
        <f>IF(ISNUMBER(Récap1!AG34),Récap1!AG34,I34/I$117*Q$117)</f>
        <v>0.43677208521608607</v>
      </c>
      <c r="R34" s="994">
        <f>IF(ISNUMBER(Récap1!AH34),Récap1!AH34,Q34/Q$117*R$117)</f>
        <v>3.3204496719424021</v>
      </c>
      <c r="S34" s="994">
        <f>IF(ISNUMBER(Récap1!AI34),Récap1!AI34,R34/R$117*S$117)</f>
        <v>0.66037484972427585</v>
      </c>
      <c r="T34" s="996">
        <f>IF(ISNUMBER(Récap1!AJ34),Récap1!AJ34,S34/S$118*T$118)</f>
        <v>1.0646495578200528</v>
      </c>
      <c r="U34" s="994">
        <f>IF(ISNUMBER(Récap1!AK34),Récap1!AK34,T34/T$118*U$118)</f>
        <v>3.4786549750234284</v>
      </c>
      <c r="V34" s="994">
        <f>IF(ISNUMBER(Récap1!AL34),Récap1!AL34,U34/U$118*V$118)</f>
        <v>2.2205184598158842</v>
      </c>
      <c r="W34" s="994">
        <f>IF(ISNUMBER(Récap1!AM34),Récap1!AM34,V34/V$118*W$118)</f>
        <v>0.23361574979572741</v>
      </c>
      <c r="Y34" s="1887">
        <f>IF(ISNUMBER(Récap1!X34),Récap1!X34/H$117,Récap1!X34)</f>
        <v>12.126258563492415</v>
      </c>
      <c r="Z34" s="1898">
        <f>IF(ISNUMBER(Récap1!Y34),Récap1!Y34/I$117,Récap1!Y34)</f>
        <v>7.9448198215600883</v>
      </c>
      <c r="AA34" s="1105"/>
      <c r="AB34" s="1105"/>
      <c r="AC34" s="1095">
        <f>IF(ISNUMBER(Récap1!AB34),Récap1!AB34/L$117,Récap1!AB34)</f>
        <v>2.4546011003192523</v>
      </c>
      <c r="AD34" s="1105"/>
      <c r="AE34" s="1105"/>
      <c r="AF34" s="1105"/>
      <c r="AG34" s="1898"/>
      <c r="AH34" s="1105">
        <f>IF(ISNUMBER(Récap1!AG34),Récap1!AG34/Q$117,Récap1!AG34)</f>
        <v>1.2851035712104777</v>
      </c>
      <c r="AI34" s="1105">
        <f>IF(ISNUMBER(Récap1!AH34),Récap1!AH34/R$117,Récap1!AH34)</f>
        <v>12.637336216854083</v>
      </c>
      <c r="AJ34" s="1898">
        <f>IF(ISNUMBER(Récap1!AI34),Récap1!AI34/S$117,Récap1!AI34)</f>
        <v>9.3136540358489306</v>
      </c>
      <c r="AK34" s="1105"/>
      <c r="AL34" s="1105"/>
      <c r="AM34" s="1105"/>
      <c r="AN34" s="1138"/>
      <c r="AO34" s="1105">
        <f t="shared" si="13"/>
        <v>1.2851035712104777</v>
      </c>
      <c r="AP34" s="1069">
        <f>SUMIF(Récap1!X34:Y34,"&gt;0",H$117:I$117)+IF(ISNUMBER(Récap1!AB34),L$117,0)+SUMIF(Récap1!AG34:AI34,"&gt;0",Q$117:S$117)</f>
        <v>1</v>
      </c>
      <c r="AQ34" s="1151">
        <f t="shared" si="14"/>
        <v>6.078361070000744</v>
      </c>
      <c r="AR34" s="1105">
        <f t="shared" si="15"/>
        <v>6.078361070000744</v>
      </c>
      <c r="AS34" s="1887">
        <f>IF(ISNUMBER(Récap1!AC34),Récap1!AC34/M$118,Récap1!AC34)</f>
        <v>15.807517830031363</v>
      </c>
      <c r="AT34" s="1105">
        <f>IF(ISNUMBER(Récap1!AD34),Récap1!AD34/N$118,Récap1!AD34)</f>
        <v>45.407890534025618</v>
      </c>
      <c r="AU34" s="1105" t="str">
        <f>IF(ISNUMBER(Récap1!AE34),Récap1!AE34/O$118,Récap1!AE34)</f>
        <v>PVL</v>
      </c>
      <c r="AV34" s="1105" t="str">
        <f>IF(ISNUMBER(Récap1!AF34),Récap1!AF34/P$118,Récap1!AF34)</f>
        <v>PVL</v>
      </c>
      <c r="AW34" s="1105"/>
      <c r="AX34" s="1105"/>
      <c r="AY34" s="1105"/>
      <c r="AZ34" s="1981">
        <f>IF(ISNUMBER(Récap1!AJ34),Récap1!AJ34/T$118,Récap1!AJ34)</f>
        <v>7.8649019141364969</v>
      </c>
      <c r="BA34" s="1105" t="str">
        <f>IF(ISNUMBER(Récap1!AK34),Récap1!AK34/U$118,Récap1!AK34)</f>
        <v>PVL</v>
      </c>
      <c r="BB34" s="1105" t="str">
        <f>IF(ISNUMBER(Récap1!AL34),Récap1!AL34/V$118,Récap1!AL34)</f>
        <v>PVL</v>
      </c>
      <c r="BC34" s="1898" t="str">
        <f>IF(ISNUMBER(Récap1!AM34),Récap1!AM34/W$118,Récap1!AM34)</f>
        <v>PVL</v>
      </c>
      <c r="BD34" s="1105">
        <f t="shared" si="16"/>
        <v>7.8649019141364969</v>
      </c>
      <c r="BE34" s="1080">
        <f>SUMIF(Récap1!AC34:AF34,"&gt;0",M$118:P$118)+SUMIF(Récap1!AJ34:AM34,"&gt;0",T$118:W$118)</f>
        <v>0.23930211336607046</v>
      </c>
      <c r="BF34" s="1138">
        <f t="shared" si="17"/>
        <v>19.543837134312263</v>
      </c>
      <c r="BG34" s="990">
        <f t="shared" si="18"/>
        <v>10.898489746211816</v>
      </c>
      <c r="BH34" s="999"/>
      <c r="BI34" s="994">
        <f t="shared" si="6"/>
        <v>0.57567489248881332</v>
      </c>
      <c r="BJ34" s="994">
        <f t="shared" si="7"/>
        <v>4.4037607300280985</v>
      </c>
      <c r="BK34" s="994">
        <f t="shared" si="8"/>
        <v>1.0989254474838328</v>
      </c>
      <c r="BL34" s="996">
        <f t="shared" si="9"/>
        <v>1.655947047716237</v>
      </c>
      <c r="BM34" s="994">
        <f t="shared" si="10"/>
        <v>6.4995894568304022</v>
      </c>
      <c r="BN34" s="994">
        <f t="shared" si="11"/>
        <v>2.5073659359728557</v>
      </c>
      <c r="BO34" s="995">
        <f t="shared" si="12"/>
        <v>0.23558730569232014</v>
      </c>
    </row>
    <row r="35" spans="1:69" s="998" customFormat="1" ht="12.75" hidden="1" customHeight="1">
      <c r="A35" s="1593"/>
      <c r="B35" s="988"/>
      <c r="C35" s="989"/>
      <c r="D35" s="1011"/>
      <c r="E35" s="991" t="s">
        <v>984</v>
      </c>
      <c r="F35" s="992" t="s">
        <v>19</v>
      </c>
      <c r="G35" s="1610" t="s">
        <v>20</v>
      </c>
      <c r="H35" s="994">
        <f>Récap1!X35</f>
        <v>0.1389028072727273</v>
      </c>
      <c r="I35" s="994">
        <f>Récap1!Y35</f>
        <v>3.7619510303030315</v>
      </c>
      <c r="J35" s="994">
        <f>Récap1!Z35</f>
        <v>2.0256659393939396</v>
      </c>
      <c r="K35" s="995">
        <f>Récap1!AA35</f>
        <v>0.72084546556773421</v>
      </c>
      <c r="L35" s="994">
        <f>IF(ISNUMBER(Récap1!AB35),Récap1!AB35,I35/I$117*L$117)</f>
        <v>2.8938084848484857</v>
      </c>
      <c r="M35" s="996">
        <f>IF(ISNUMBER(Récap1!AC35),Récap1!AC35,L35/L$118*M$118)</f>
        <v>1.0871197674250337</v>
      </c>
      <c r="N35" s="994">
        <f>IF(ISNUMBER(Récap1!AD35),Récap1!AD35,M35/M$118*N$118)</f>
        <v>3.0209344818069739</v>
      </c>
      <c r="O35" s="994">
        <f>IF(ISNUMBER(Récap1!AE35),Récap1!AE35,N35/N$118*O$118)</f>
        <v>0.28684747615697154</v>
      </c>
      <c r="P35" s="997">
        <f>IF(ISNUMBER(Récap1!AF35),Récap1!AF35,O35/O$118*P$118)</f>
        <v>1.9715558965927244E-3</v>
      </c>
      <c r="Q35" s="994">
        <f>IF(ISNUMBER(Récap1!AG35),Récap1!AG35,I35/I$117*Q$117)</f>
        <v>94.643591491791909</v>
      </c>
      <c r="R35" s="994">
        <f>IF(ISNUMBER(Récap1!AH35),Récap1!AH35,Q35/Q$117*R$117)</f>
        <v>73.167098084673896</v>
      </c>
      <c r="S35" s="994">
        <f>IF(ISNUMBER(Récap1!AI35),Récap1!AI35,R35/R$117*S$117)</f>
        <v>14.469042424242426</v>
      </c>
      <c r="T35" s="996">
        <f>IF(ISNUMBER(Récap1!AJ35),Récap1!AJ35,S35/S$118*T$118)</f>
        <v>3.3109239702308431</v>
      </c>
      <c r="U35" s="994">
        <f>IF(ISNUMBER(Récap1!AK35),Récap1!AK35,T35/T$118*U$118)</f>
        <v>10.81817209838596</v>
      </c>
      <c r="V35" s="994">
        <f>IF(ISNUMBER(Récap1!AL35),Récap1!AL35,U35/U$118*V$118)</f>
        <v>6.9055284351013784</v>
      </c>
      <c r="W35" s="994">
        <f>IF(ISNUMBER(Récap1!AM35),Récap1!AM35,V35/V$118*W$118)</f>
        <v>0.72651510550184195</v>
      </c>
      <c r="Y35" s="1887">
        <f>IF(ISNUMBER(Récap1!X35),Récap1!X35/H$117,Récap1!X35)</f>
        <v>12.126258563492415</v>
      </c>
      <c r="Z35" s="1898">
        <f>IF(ISNUMBER(Récap1!Y35),Récap1!Y35/I$117,Récap1!Y35)</f>
        <v>27.589511701380243</v>
      </c>
      <c r="AA35" s="1105"/>
      <c r="AB35" s="1105"/>
      <c r="AC35" s="1095">
        <f>IF(ISNUMBER(Récap1!AB35),Récap1!AB35/L$117,Récap1!AB35)</f>
        <v>16.196866512804764</v>
      </c>
      <c r="AD35" s="1105"/>
      <c r="AE35" s="1105"/>
      <c r="AF35" s="1105"/>
      <c r="AG35" s="1898"/>
      <c r="AH35" s="1105">
        <f>IF(ISNUMBER(Récap1!AG35),Récap1!AG35/Q$117,Récap1!AG35)</f>
        <v>278.46746972878185</v>
      </c>
      <c r="AI35" s="1105" t="str">
        <f>IF(ISNUMBER(Récap1!AH35),Récap1!AH35/R$117,Récap1!AH35)</f>
        <v>PVL</v>
      </c>
      <c r="AJ35" s="1898">
        <f>IF(ISNUMBER(Récap1!AI35),Récap1!AI35/S$117,Récap1!AI35)</f>
        <v>204.06539623015721</v>
      </c>
      <c r="AK35" s="1105"/>
      <c r="AL35" s="1105"/>
      <c r="AM35" s="1105"/>
      <c r="AN35" s="1138"/>
      <c r="AO35" s="1105">
        <f t="shared" si="13"/>
        <v>16.196866512804764</v>
      </c>
      <c r="AP35" s="1069">
        <f>SUMIF(Récap1!X35:Y35,"&gt;0",H$117:I$117)+IF(ISNUMBER(Récap1!AB35),L$117,0)+SUMIF(Récap1!AG35:AI35,"&gt;0",Q$117:S$117)</f>
        <v>0.73725082446457313</v>
      </c>
      <c r="AQ35" s="1151">
        <f t="shared" si="14"/>
        <v>157.21555323133893</v>
      </c>
      <c r="AR35" s="1105">
        <f t="shared" si="15"/>
        <v>189.07439432313245</v>
      </c>
      <c r="AS35" s="1887">
        <f>IF(ISNUMBER(Récap1!AC35),Récap1!AC35/M$118,Récap1!AC35)</f>
        <v>29.06263835141246</v>
      </c>
      <c r="AT35" s="1105">
        <f>IF(ISNUMBER(Récap1!AD35),Récap1!AD35/N$118,Récap1!AD35)</f>
        <v>45.407890534025618</v>
      </c>
      <c r="AU35" s="1105" t="str">
        <f>IF(ISNUMBER(Récap1!AE35),Récap1!AE35/O$118,Récap1!AE35)</f>
        <v>PVL</v>
      </c>
      <c r="AV35" s="1105" t="str">
        <f>IF(ISNUMBER(Récap1!AF35),Récap1!AF35/P$118,Récap1!AF35)</f>
        <v>PVL</v>
      </c>
      <c r="AW35" s="1105"/>
      <c r="AX35" s="1105"/>
      <c r="AY35" s="1105"/>
      <c r="AZ35" s="1981" t="str">
        <f>IF(ISNUMBER(Récap1!AJ35),Récap1!AJ35/T$118,Récap1!AJ35)</f>
        <v>PVL</v>
      </c>
      <c r="BA35" s="1105" t="str">
        <f>IF(ISNUMBER(Récap1!AK35),Récap1!AK35/U$118,Récap1!AK35)</f>
        <v>PVL</v>
      </c>
      <c r="BB35" s="1105" t="str">
        <f>IF(ISNUMBER(Récap1!AL35),Récap1!AL35/V$118,Récap1!AL35)</f>
        <v>PVL</v>
      </c>
      <c r="BC35" s="1898" t="str">
        <f>IF(ISNUMBER(Récap1!AM35),Récap1!AM35/W$118,Récap1!AM35)</f>
        <v>PVL</v>
      </c>
      <c r="BD35" s="1105">
        <f t="shared" si="16"/>
        <v>29.06263835141246</v>
      </c>
      <c r="BE35" s="1080">
        <f>SUMIF(Récap1!AC35:AF35,"&gt;0",M$118:P$118)+SUMIF(Récap1!AJ35:AM35,"&gt;0",T$118:W$118)</f>
        <v>0.10393493785095881</v>
      </c>
      <c r="BF35" s="1138">
        <f t="shared" si="17"/>
        <v>39.525248527332529</v>
      </c>
      <c r="BG35" s="990">
        <f t="shared" si="18"/>
        <v>26.158012890505596</v>
      </c>
      <c r="BH35" s="999"/>
      <c r="BI35" s="994">
        <f t="shared" si="6"/>
        <v>94.782494299064638</v>
      </c>
      <c r="BJ35" s="994">
        <f t="shared" si="7"/>
        <v>76.929049114976934</v>
      </c>
      <c r="BK35" s="994">
        <f t="shared" si="8"/>
        <v>17.362850909090913</v>
      </c>
      <c r="BL35" s="996">
        <f t="shared" si="9"/>
        <v>4.3980437376558772</v>
      </c>
      <c r="BM35" s="994">
        <f t="shared" si="10"/>
        <v>13.839106580192933</v>
      </c>
      <c r="BN35" s="994">
        <f t="shared" si="11"/>
        <v>7.1923759112583499</v>
      </c>
      <c r="BO35" s="995">
        <f t="shared" si="12"/>
        <v>0.72848666139843465</v>
      </c>
    </row>
    <row r="36" spans="1:69" s="513" customFormat="1" ht="12.75" hidden="1" customHeight="1">
      <c r="A36" s="1595"/>
      <c r="B36" s="510"/>
      <c r="C36" s="77"/>
      <c r="D36" s="502"/>
      <c r="E36" s="352" t="s">
        <v>660</v>
      </c>
      <c r="F36" s="800" t="str">
        <f>F34</f>
        <v>Cs</v>
      </c>
      <c r="G36" s="1612" t="str">
        <f>G34</f>
        <v>mg/kg ms</v>
      </c>
      <c r="H36" s="796">
        <f>Récap1!X36</f>
        <v>1.754223700777784E-2</v>
      </c>
      <c r="I36" s="796">
        <f>Récap1!Y36</f>
        <v>1.5601159508858542E-2</v>
      </c>
      <c r="J36" s="796">
        <f>Récap1!Z36</f>
        <v>2.7467644250260864E-2</v>
      </c>
      <c r="K36" s="802">
        <f>Récap1!AA36</f>
        <v>1.2461201679065631E-3</v>
      </c>
      <c r="L36" s="796">
        <f>IF(ISNUMBER(Récap1!AB36),Récap1!AB36,I36/I$117*L$117)</f>
        <v>6.315727857926912E-3</v>
      </c>
      <c r="M36" s="882">
        <f>IF(ISNUMBER(Récap1!AC36),Récap1!AC36,L36/L$118*M$118)</f>
        <v>8.5154918231512226E-3</v>
      </c>
      <c r="N36" s="796">
        <f>IF(ISNUMBER(Récap1!AD36),Récap1!AD36,M36/M$118*N$118)</f>
        <v>4.3505584443829494E-2</v>
      </c>
      <c r="O36" s="796">
        <f>IF(ISNUMBER(Récap1!AE36),Récap1!AE36,N36/N$118*O$118)</f>
        <v>0.34890349802377557</v>
      </c>
      <c r="P36" s="883">
        <f>IF(ISNUMBER(Récap1!AF36),Récap1!AF36,O36/O$118*P$118)</f>
        <v>2.3980784425454474E-3</v>
      </c>
      <c r="Q36" s="796">
        <f>IF(ISNUMBER(Récap1!AG36),Récap1!AG36,I36/I$117*Q$117)</f>
        <v>6.29011484708197E-3</v>
      </c>
      <c r="R36" s="796">
        <f>IF(ISNUMBER(Récap1!AH36),Récap1!AH36,Q36/Q$117*R$117)</f>
        <v>4.7819012449342634E-2</v>
      </c>
      <c r="S36" s="796">
        <f>IF(ISNUMBER(Récap1!AI36),Récap1!AI36,R36/R$117*S$117)</f>
        <v>9.5103001942881699E-3</v>
      </c>
      <c r="T36" s="882">
        <f>IF(ISNUMBER(Récap1!AJ36),Récap1!AJ36,S36/S$118*T$118)</f>
        <v>1.5332408405335814E-2</v>
      </c>
      <c r="U36" s="796">
        <f>IF(ISNUMBER(Récap1!AK36),Récap1!AK36,T36/T$118*U$118)</f>
        <v>0.37132861944557133</v>
      </c>
      <c r="V36" s="796">
        <f>IF(ISNUMBER(Récap1!AL36),Récap1!AL36,U36/U$118*V$118)</f>
        <v>0.23702898391964997</v>
      </c>
      <c r="W36" s="796">
        <f>IF(ISNUMBER(Récap1!AM36),Récap1!AM36,V36/V$118*W$118)</f>
        <v>2.493728595541592E-2</v>
      </c>
      <c r="Y36" s="1889">
        <f>IF(ISNUMBER(Récap1!X36),Récap1!X36/H$117,Récap1!X36)</f>
        <v>1.531442783015273</v>
      </c>
      <c r="Z36" s="1900">
        <f>IF(ISNUMBER(Récap1!Y36),Récap1!Y36/I$117,Récap1!Y36)</f>
        <v>0.11441626149771564</v>
      </c>
      <c r="AA36" s="1949"/>
      <c r="AB36" s="1949"/>
      <c r="AC36" s="1097">
        <f>IF(ISNUMBER(Récap1!AB36),Récap1!AB36/L$117,Récap1!AB36)</f>
        <v>3.5349609893551938E-2</v>
      </c>
      <c r="AD36" s="1949"/>
      <c r="AE36" s="1949"/>
      <c r="AF36" s="1949"/>
      <c r="AG36" s="1900"/>
      <c r="AH36" s="1949">
        <f>IF(ISNUMBER(Récap1!AG36),Récap1!AG36/Q$117,Récap1!AG36)</f>
        <v>1.8507247433887469E-2</v>
      </c>
      <c r="AI36" s="1949">
        <f>IF(ISNUMBER(Récap1!AH36),Récap1!AH36/R$117,Récap1!AH36)</f>
        <v>0.18199490960113443</v>
      </c>
      <c r="AJ36" s="1900">
        <f>IF(ISNUMBER(Récap1!AI36),Récap1!AI36/S$117,Récap1!AI36)</f>
        <v>0.1341293446042798</v>
      </c>
      <c r="AK36" s="1949"/>
      <c r="AL36" s="1949"/>
      <c r="AM36" s="1949"/>
      <c r="AN36" s="1950"/>
      <c r="AO36" s="1124">
        <f t="shared" si="13"/>
        <v>1.8507247433887469E-2</v>
      </c>
      <c r="AP36" s="1073">
        <f>SUMIF(Récap1!X36:Y36,"&gt;0",H$117:I$117)+IF(ISNUMBER(Récap1!AB36),L$117,0)+SUMIF(Récap1!AG36:AI36,"&gt;0",Q$117:S$117)</f>
        <v>1</v>
      </c>
      <c r="AQ36" s="1153">
        <f t="shared" si="14"/>
        <v>0.10307855186527606</v>
      </c>
      <c r="AR36" s="1913">
        <f t="shared" si="15"/>
        <v>0.10307855186527606</v>
      </c>
      <c r="AS36" s="1889">
        <f>IF(ISNUMBER(Récap1!AC36),Récap1!AC36/M$118,Récap1!AC36)</f>
        <v>0.22764985667296311</v>
      </c>
      <c r="AT36" s="1949">
        <f>IF(ISNUMBER(Récap1!AD36),Récap1!AD36/N$118,Récap1!AD36)</f>
        <v>0.65393567054872792</v>
      </c>
      <c r="AU36" s="1949">
        <f>IF(ISNUMBER(Récap1!AE36),Récap1!AE36/O$118,Récap1!AE36)</f>
        <v>55.231344746197017</v>
      </c>
      <c r="AV36" s="1949" t="str">
        <f>IF(ISNUMBER(Récap1!AF36),Récap1!AF36/P$118,Récap1!AF36)</f>
        <v>PVL</v>
      </c>
      <c r="AW36" s="1949"/>
      <c r="AX36" s="1949"/>
      <c r="AY36" s="1949"/>
      <c r="AZ36" s="1984">
        <f>IF(ISNUMBER(Récap1!AJ36),Récap1!AJ36/T$118,Récap1!AJ36)</f>
        <v>0.11326533442831706</v>
      </c>
      <c r="BA36" s="1949">
        <f>IF(ISNUMBER(Récap1!AK36),Récap1!AK36/U$118,Récap1!AK36)</f>
        <v>0.83953803720688558</v>
      </c>
      <c r="BB36" s="1949" t="str">
        <f>IF(ISNUMBER(Récap1!AL36),Récap1!AL36/V$118,Récap1!AL36)</f>
        <v>PVL</v>
      </c>
      <c r="BC36" s="1900" t="str">
        <f>IF(ISNUMBER(Récap1!AM36),Récap1!AM36/W$118,Récap1!AM36)</f>
        <v>PVL</v>
      </c>
      <c r="BD36" s="1124">
        <f t="shared" si="16"/>
        <v>0.11326533442831706</v>
      </c>
      <c r="BE36" s="1084">
        <f>SUMIF(Récap1!AC36:AF36,"&gt;0",M$118:P$118)+SUMIF(Récap1!AJ36:AM36,"&gt;0",T$118:W$118)</f>
        <v>0.68792036811484414</v>
      </c>
      <c r="BF36" s="1985">
        <f t="shared" si="17"/>
        <v>1.1448790276408574</v>
      </c>
      <c r="BG36" s="980">
        <f t="shared" si="18"/>
        <v>1.0519499504592749</v>
      </c>
      <c r="BH36" s="585"/>
      <c r="BI36" s="796">
        <f t="shared" si="6"/>
        <v>2.383235185485981E-2</v>
      </c>
      <c r="BJ36" s="796">
        <f t="shared" si="7"/>
        <v>6.3420171958201182E-2</v>
      </c>
      <c r="BK36" s="796">
        <f t="shared" si="8"/>
        <v>1.5826028052215082E-2</v>
      </c>
      <c r="BL36" s="882">
        <f t="shared" si="9"/>
        <v>2.3847900228487037E-2</v>
      </c>
      <c r="BM36" s="796">
        <f t="shared" si="10"/>
        <v>0.41483420388940084</v>
      </c>
      <c r="BN36" s="796">
        <f t="shared" si="11"/>
        <v>0.58593248194342551</v>
      </c>
      <c r="BO36" s="802">
        <f t="shared" si="12"/>
        <v>2.7335364397961366E-2</v>
      </c>
    </row>
    <row r="37" spans="1:69" s="293" customFormat="1" ht="12.75" hidden="1" customHeight="1">
      <c r="A37" s="305"/>
      <c r="B37" s="294"/>
      <c r="C37" s="503"/>
      <c r="D37" s="507"/>
      <c r="E37" s="617" t="s">
        <v>624</v>
      </c>
      <c r="F37" s="618"/>
      <c r="G37" s="105"/>
      <c r="H37" s="530">
        <f>Récap1!X37</f>
        <v>0</v>
      </c>
      <c r="I37" s="530">
        <f>Récap1!Y37</f>
        <v>0</v>
      </c>
      <c r="J37" s="530">
        <f>Récap1!Z37</f>
        <v>0</v>
      </c>
      <c r="K37" s="628">
        <f>Récap1!AA37</f>
        <v>0</v>
      </c>
      <c r="L37" s="530">
        <f>IF(ISNUMBER(Récap1!AB37),Récap1!AB37,I37/I$117*L$117)</f>
        <v>0</v>
      </c>
      <c r="M37" s="829">
        <f>IF(ISNUMBER(Récap1!AC37),Récap1!AC37,L37/L$118*M$118)</f>
        <v>0</v>
      </c>
      <c r="N37" s="530">
        <f>IF(ISNUMBER(Récap1!AD37),Récap1!AD37,M37/M$118*N$118)</f>
        <v>0</v>
      </c>
      <c r="O37" s="530">
        <f>IF(ISNUMBER(Récap1!AE37),Récap1!AE37,N37/N$118*O$118)</f>
        <v>0</v>
      </c>
      <c r="P37" s="830">
        <f>IF(ISNUMBER(Récap1!AF37),Récap1!AF37,O37/O$118*P$118)</f>
        <v>0</v>
      </c>
      <c r="Q37" s="530">
        <f>IF(ISNUMBER(Récap1!AG37),Récap1!AG37,I37/I$117*Q$117)</f>
        <v>0</v>
      </c>
      <c r="R37" s="530">
        <f>IF(ISNUMBER(Récap1!AH37),Récap1!AH37,Q37/Q$117*R$117)</f>
        <v>0</v>
      </c>
      <c r="S37" s="530">
        <f>IF(ISNUMBER(Récap1!AI37),Récap1!AI37,R37/R$117*S$117)</f>
        <v>0</v>
      </c>
      <c r="T37" s="829">
        <f>IF(ISNUMBER(Récap1!AJ37),Récap1!AJ37,S37/S$118*T$118)</f>
        <v>0</v>
      </c>
      <c r="U37" s="530">
        <f>IF(ISNUMBER(Récap1!AK37),Récap1!AK37,T37/T$118*U$118)</f>
        <v>0</v>
      </c>
      <c r="V37" s="530">
        <f>IF(ISNUMBER(Récap1!AL37),Récap1!AL37,U37/U$118*V$118)</f>
        <v>0</v>
      </c>
      <c r="W37" s="530">
        <f>IF(ISNUMBER(Récap1!AM37),Récap1!AM37,V37/V$118*W$118)</f>
        <v>0</v>
      </c>
      <c r="Y37" s="1890">
        <f>IF(ISNUMBER(Récap1!X37),Récap1!X37/H$117,Récap1!X37)</f>
        <v>0</v>
      </c>
      <c r="Z37" s="1901">
        <f>IF(ISNUMBER(Récap1!Y37),Récap1!Y37/I$117,Récap1!Y37)</f>
        <v>0</v>
      </c>
      <c r="AA37" s="1633"/>
      <c r="AB37" s="1633"/>
      <c r="AC37" s="1098">
        <f>IF(ISNUMBER(Récap1!AB37),Récap1!AB37/L$117,Récap1!AB37)</f>
        <v>0</v>
      </c>
      <c r="AD37" s="1633"/>
      <c r="AE37" s="1633"/>
      <c r="AF37" s="1633"/>
      <c r="AG37" s="1901"/>
      <c r="AH37" s="1633">
        <f>IF(ISNUMBER(Récap1!AG37),Récap1!AG37/Q$117,Récap1!AG37)</f>
        <v>0</v>
      </c>
      <c r="AI37" s="1633">
        <f>IF(ISNUMBER(Récap1!AH37),Récap1!AH37/R$117,Récap1!AH37)</f>
        <v>0</v>
      </c>
      <c r="AJ37" s="1901">
        <f>IF(ISNUMBER(Récap1!AI37),Récap1!AI37/S$117,Récap1!AI37)</f>
        <v>0</v>
      </c>
      <c r="AK37" s="1633"/>
      <c r="AL37" s="1633"/>
      <c r="AM37" s="1633"/>
      <c r="AN37" s="1941"/>
      <c r="AO37" s="1115">
        <f t="shared" si="13"/>
        <v>0</v>
      </c>
      <c r="AP37" s="1074">
        <f>SUMIF(Récap1!X37:Y37,"&gt;0",H$117:I$117)+IF(ISNUMBER(Récap1!AB37),L$117,0)+SUMIF(Récap1!AG37:AI37,"&gt;0",Q$117:S$117)</f>
        <v>0</v>
      </c>
      <c r="AQ37" s="1154">
        <f t="shared" si="14"/>
        <v>0</v>
      </c>
      <c r="AR37" s="1908">
        <f t="shared" si="15"/>
        <v>0</v>
      </c>
      <c r="AS37" s="1890">
        <f>IF(ISNUMBER(Récap1!AC37),Récap1!AC37/M$118,Récap1!AC37)</f>
        <v>0</v>
      </c>
      <c r="AT37" s="1633">
        <f>IF(ISNUMBER(Récap1!AD37),Récap1!AD37/N$118,Récap1!AD37)</f>
        <v>0</v>
      </c>
      <c r="AU37" s="1633">
        <f>IF(ISNUMBER(Récap1!AE37),Récap1!AE37/O$118,Récap1!AE37)</f>
        <v>0</v>
      </c>
      <c r="AV37" s="1633">
        <f>IF(ISNUMBER(Récap1!AF37),Récap1!AF37/P$118,Récap1!AF37)</f>
        <v>0</v>
      </c>
      <c r="AW37" s="1633"/>
      <c r="AX37" s="1633"/>
      <c r="AY37" s="1633"/>
      <c r="AZ37" s="1968">
        <f>IF(ISNUMBER(Récap1!AJ37),Récap1!AJ37/T$118,Récap1!AJ37)</f>
        <v>0</v>
      </c>
      <c r="BA37" s="1633">
        <f>IF(ISNUMBER(Récap1!AK37),Récap1!AK37/U$118,Récap1!AK37)</f>
        <v>0</v>
      </c>
      <c r="BB37" s="1633">
        <f>IF(ISNUMBER(Récap1!AL37),Récap1!AL37/V$118,Récap1!AL37)</f>
        <v>0</v>
      </c>
      <c r="BC37" s="1901">
        <f>IF(ISNUMBER(Récap1!AM37),Récap1!AM37/W$118,Récap1!AM37)</f>
        <v>0</v>
      </c>
      <c r="BD37" s="1115" t="str">
        <f t="shared" si="16"/>
        <v>PVL</v>
      </c>
      <c r="BE37" s="1085">
        <f>SUMIF(Récap1!AC37:AF37,"&gt;0",M$118:P$118)+SUMIF(Récap1!AJ37:AM37,"&gt;0",T$118:W$118)</f>
        <v>0</v>
      </c>
      <c r="BF37" s="1970" t="str">
        <f t="shared" si="17"/>
        <v>PVL</v>
      </c>
      <c r="BG37" s="976">
        <f t="shared" si="18"/>
        <v>0</v>
      </c>
      <c r="BH37" s="305"/>
      <c r="BI37" s="530">
        <f t="shared" si="6"/>
        <v>0</v>
      </c>
      <c r="BJ37" s="530">
        <f t="shared" si="7"/>
        <v>0</v>
      </c>
      <c r="BK37" s="530">
        <f t="shared" si="8"/>
        <v>0</v>
      </c>
      <c r="BL37" s="829">
        <f t="shared" si="9"/>
        <v>0</v>
      </c>
      <c r="BM37" s="530">
        <f t="shared" si="10"/>
        <v>0</v>
      </c>
      <c r="BN37" s="530">
        <f t="shared" si="11"/>
        <v>0</v>
      </c>
      <c r="BO37" s="628">
        <f t="shared" si="12"/>
        <v>0</v>
      </c>
    </row>
    <row r="38" spans="1:69" s="26" customFormat="1" ht="12.75" hidden="1" customHeight="1">
      <c r="A38" s="398"/>
      <c r="B38" s="27"/>
      <c r="D38" s="502"/>
      <c r="E38" s="103" t="s">
        <v>670</v>
      </c>
      <c r="F38" s="14" t="str">
        <f>F30</f>
        <v>Cs</v>
      </c>
      <c r="G38" s="105" t="str">
        <f>G30</f>
        <v>mg/kg ms</v>
      </c>
      <c r="H38" s="56">
        <f>Récap1!X38</f>
        <v>1.5701131488337743</v>
      </c>
      <c r="I38" s="56">
        <f>Récap1!Y38</f>
        <v>54.968034114356676</v>
      </c>
      <c r="J38" s="56">
        <f>Récap1!Z38</f>
        <v>78.600644801384504</v>
      </c>
      <c r="K38" s="57">
        <f>Récap1!AA38</f>
        <v>104.65279999999998</v>
      </c>
      <c r="L38" s="56">
        <f>IF(ISNUMBER(Récap1!AB38),Récap1!AB38,I38/I$117*L$117)</f>
        <v>108.23587832836999</v>
      </c>
      <c r="M38" s="870">
        <f>IF(ISNUMBER(Récap1!AC38),Récap1!AC38,L38/L$118*M$118)</f>
        <v>334.56534622860232</v>
      </c>
      <c r="N38" s="56">
        <f>IF(ISNUMBER(Récap1!AD38),Récap1!AD38,M38/M$118*N$118)</f>
        <v>1400.4148353065164</v>
      </c>
      <c r="O38" s="56">
        <f>IF(ISNUMBER(Récap1!AE38),Récap1!AE38,N38/N$118*O$118)</f>
        <v>132.97390708062454</v>
      </c>
      <c r="P38" s="871">
        <f>IF(ISNUMBER(Récap1!AF38),Récap1!AF38,O38/O$118*P$118)</f>
        <v>0.91395432203249904</v>
      </c>
      <c r="Q38" s="56">
        <f>IF(ISNUMBER(Récap1!AG38),Récap1!AG38,I38/I$117*Q$117)</f>
        <v>2750.8735999999999</v>
      </c>
      <c r="R38" s="56">
        <f>IF(ISNUMBER(Récap1!AH38),Récap1!AH38,Q38/Q$117*R$117)</f>
        <v>2750.8735999999999</v>
      </c>
      <c r="S38" s="56">
        <f>IF(ISNUMBER(Récap1!AI38),Récap1!AI38,R38/R$117*S$117)</f>
        <v>187.33898380673938</v>
      </c>
      <c r="T38" s="870">
        <f>IF(ISNUMBER(Récap1!AJ38),Récap1!AJ38,S38/S$118*T$118)</f>
        <v>473.51879814241812</v>
      </c>
      <c r="U38" s="56">
        <f>IF(ISNUMBER(Récap1!AK38),Récap1!AK38,T38/T$118*U$118)</f>
        <v>1414.2893706745458</v>
      </c>
      <c r="V38" s="56">
        <f>IF(ISNUMBER(Récap1!AL38),Récap1!AL38,U38/U$118*V$118)</f>
        <v>902.77871121238968</v>
      </c>
      <c r="W38" s="56">
        <f>IF(ISNUMBER(Récap1!AM38),Récap1!AM38,V38/V$118*W$118)</f>
        <v>94.979316468726893</v>
      </c>
      <c r="Y38" s="621">
        <f>IF(ISNUMBER(Récap1!X38),Récap1!X38/H$117,Récap1!X38)</f>
        <v>137.07136947430078</v>
      </c>
      <c r="Z38" s="1894">
        <f>IF(ISNUMBER(Récap1!Y38),Récap1!Y38/I$117,Récap1!Y38)</f>
        <v>403.12625235787613</v>
      </c>
      <c r="AA38" s="282"/>
      <c r="AB38" s="282"/>
      <c r="AC38" s="1091">
        <f>IF(ISNUMBER(Récap1!AB38),Récap1!AB38/L$117,Récap1!AB38)</f>
        <v>605.80445539490324</v>
      </c>
      <c r="AD38" s="282"/>
      <c r="AE38" s="282"/>
      <c r="AF38" s="282"/>
      <c r="AG38" s="1894"/>
      <c r="AH38" s="282">
        <f>IF(ISNUMBER(Récap1!AG38),Récap1!AG38/Q$117,Récap1!AG38)</f>
        <v>8093.8265218109345</v>
      </c>
      <c r="AI38" s="282">
        <f>IF(ISNUMBER(Récap1!AH38),Récap1!AH38/R$117,Récap1!AH38)</f>
        <v>10469.580330344725</v>
      </c>
      <c r="AJ38" s="1894">
        <f>IF(ISNUMBER(Récap1!AI38),Récap1!AI38/S$117,Récap1!AI38)</f>
        <v>2642.1516254472454</v>
      </c>
      <c r="AK38" s="282"/>
      <c r="AL38" s="282"/>
      <c r="AM38" s="282"/>
      <c r="AN38" s="1919"/>
      <c r="AO38" s="1117">
        <f t="shared" si="13"/>
        <v>605.80445539490324</v>
      </c>
      <c r="AP38" s="1069">
        <f>SUMIF(Récap1!X38:Y38,"&gt;0",H$117:I$117)+IF(ISNUMBER(Récap1!AB38),L$117,0)+SUMIF(Récap1!AG38:AI38,"&gt;0",Q$117:S$117)</f>
        <v>1</v>
      </c>
      <c r="AQ38" s="1147">
        <f t="shared" si="14"/>
        <v>5853.860209398299</v>
      </c>
      <c r="AR38" s="1104">
        <f t="shared" si="15"/>
        <v>5853.8602093983</v>
      </c>
      <c r="AS38" s="621">
        <f>IF(ISNUMBER(Récap1!AC38),Récap1!AC38/M$118,Récap1!AC38)</f>
        <v>8944.1402444441101</v>
      </c>
      <c r="AT38" s="282">
        <f>IF(ISNUMBER(Récap1!AD38),Récap1!AD38/N$118,Récap1!AD38)</f>
        <v>21049.739385869594</v>
      </c>
      <c r="AU38" s="282" t="str">
        <f>IF(ISNUMBER(Récap1!AE38),Récap1!AE38/O$118,Récap1!AE38)</f>
        <v>PVL</v>
      </c>
      <c r="AV38" s="282" t="str">
        <f>IF(ISNUMBER(Récap1!AF38),Récap1!AF38/P$118,Récap1!AF38)</f>
        <v>PVL</v>
      </c>
      <c r="AW38" s="282"/>
      <c r="AX38" s="282"/>
      <c r="AY38" s="282"/>
      <c r="AZ38" s="1971">
        <f>IF(ISNUMBER(Récap1!AJ38),Récap1!AJ38/T$118,Récap1!AJ38)</f>
        <v>3498.0326385664821</v>
      </c>
      <c r="BA38" s="282">
        <f>IF(ISNUMBER(Récap1!AK38),Récap1!AK38/U$118,Récap1!AK38)</f>
        <v>3197.5712620037066</v>
      </c>
      <c r="BB38" s="282" t="str">
        <f>IF(ISNUMBER(Récap1!AL38),Récap1!AL38/V$118,Récap1!AL38)</f>
        <v>PVL</v>
      </c>
      <c r="BC38" s="1894" t="str">
        <f>IF(ISNUMBER(Récap1!AM38),Récap1!AM38/W$118,Récap1!AM38)</f>
        <v>PVL</v>
      </c>
      <c r="BD38" s="1117">
        <f t="shared" si="16"/>
        <v>3197.5712620037066</v>
      </c>
      <c r="BE38" s="1080">
        <f>SUMIF(Récap1!AC38:AF38,"&gt;0",M$118:P$118)+SUMIF(Récap1!AJ38:AM38,"&gt;0",T$118:W$118)</f>
        <v>0.68160323968664671</v>
      </c>
      <c r="BF38" s="1920">
        <f t="shared" si="17"/>
        <v>5315.0984904613806</v>
      </c>
      <c r="BG38" s="920">
        <f t="shared" si="18"/>
        <v>4754.4342394358564</v>
      </c>
      <c r="BH38" s="77"/>
      <c r="BI38" s="56">
        <f t="shared" si="6"/>
        <v>2752.4437131488335</v>
      </c>
      <c r="BJ38" s="56">
        <f t="shared" si="7"/>
        <v>2805.8416341143566</v>
      </c>
      <c r="BK38" s="56">
        <f t="shared" si="8"/>
        <v>295.57486213510936</v>
      </c>
      <c r="BL38" s="870">
        <f t="shared" si="9"/>
        <v>808.08414437102044</v>
      </c>
      <c r="BM38" s="56">
        <f t="shared" si="10"/>
        <v>2814.7042059810619</v>
      </c>
      <c r="BN38" s="56">
        <f t="shared" si="11"/>
        <v>1035.7526182930142</v>
      </c>
      <c r="BO38" s="57">
        <f t="shared" si="12"/>
        <v>95.893270790759388</v>
      </c>
    </row>
    <row r="39" spans="1:69" s="26" customFormat="1" ht="12.75" hidden="1" customHeight="1">
      <c r="A39" s="398"/>
      <c r="B39" s="27"/>
      <c r="D39" s="502"/>
      <c r="E39" s="103" t="s">
        <v>671</v>
      </c>
      <c r="F39" s="14" t="str">
        <f>F38</f>
        <v>Cs</v>
      </c>
      <c r="G39" s="105" t="str">
        <f>G38</f>
        <v>mg/kg ms</v>
      </c>
      <c r="H39" s="56">
        <f>Récap1!X39</f>
        <v>8.7210666666666654</v>
      </c>
      <c r="I39" s="56" t="str">
        <f>Récap1!Y39</f>
        <v>PVL</v>
      </c>
      <c r="J39" s="56">
        <f>Récap1!Z39</f>
        <v>20.93056</v>
      </c>
      <c r="K39" s="57" t="str">
        <f>Récap1!AA39</f>
        <v>PVL</v>
      </c>
      <c r="L39" s="56" t="e">
        <f>IF(ISNUMBER(Récap1!AB39),Récap1!AB39,I39/I$117*L$117)</f>
        <v>#VALUE!</v>
      </c>
      <c r="M39" s="870" t="e">
        <f>IF(ISNUMBER(Récap1!AC39),Récap1!AC39,L39/L$118*M$118)</f>
        <v>#VALUE!</v>
      </c>
      <c r="N39" s="56" t="e">
        <f>IF(ISNUMBER(Récap1!AD39),Récap1!AD39,M39/M$118*N$118)</f>
        <v>#VALUE!</v>
      </c>
      <c r="O39" s="56" t="e">
        <f>IF(ISNUMBER(Récap1!AE39),Récap1!AE39,N39/N$118*O$118)</f>
        <v>#VALUE!</v>
      </c>
      <c r="P39" s="871" t="e">
        <f>IF(ISNUMBER(Récap1!AF39),Récap1!AF39,O39/O$118*P$118)</f>
        <v>#VALUE!</v>
      </c>
      <c r="Q39" s="56" t="e">
        <f>IF(ISNUMBER(Récap1!AG39),Récap1!AG39,I39/I$117*Q$117)</f>
        <v>#VALUE!</v>
      </c>
      <c r="R39" s="56" t="e">
        <f>IF(ISNUMBER(Récap1!AH39),Récap1!AH39,Q39/Q$117*R$117)</f>
        <v>#VALUE!</v>
      </c>
      <c r="S39" s="56" t="e">
        <f>IF(ISNUMBER(Récap1!AI39),Récap1!AI39,R39/R$117*S$117)</f>
        <v>#VALUE!</v>
      </c>
      <c r="T39" s="870" t="e">
        <f>IF(ISNUMBER(Récap1!AJ39),Récap1!AJ39,S39/S$118*T$118)</f>
        <v>#VALUE!</v>
      </c>
      <c r="U39" s="56" t="e">
        <f>IF(ISNUMBER(Récap1!AK39),Récap1!AK39,T39/T$118*U$118)</f>
        <v>#VALUE!</v>
      </c>
      <c r="V39" s="56" t="e">
        <f>IF(ISNUMBER(Récap1!AL39),Récap1!AL39,U39/U$118*V$118)</f>
        <v>#VALUE!</v>
      </c>
      <c r="W39" s="56" t="e">
        <f>IF(ISNUMBER(Récap1!AM39),Récap1!AM39,V39/V$118*W$118)</f>
        <v>#VALUE!</v>
      </c>
      <c r="Y39" s="621">
        <f>IF(ISNUMBER(Récap1!X39),Récap1!X39/H$117,Récap1!X39)</f>
        <v>761.35185044758293</v>
      </c>
      <c r="Z39" s="1894" t="str">
        <f>IF(ISNUMBER(Récap1!Y39),Récap1!Y39/I$117,Récap1!Y39)</f>
        <v>PVL</v>
      </c>
      <c r="AA39" s="282"/>
      <c r="AB39" s="282"/>
      <c r="AC39" s="1091" t="str">
        <f>IF(ISNUMBER(Récap1!AB39),Récap1!AB39/L$117,Récap1!AB39)</f>
        <v>PVL</v>
      </c>
      <c r="AD39" s="282"/>
      <c r="AE39" s="282"/>
      <c r="AF39" s="282"/>
      <c r="AG39" s="1894"/>
      <c r="AH39" s="282" t="str">
        <f>IF(ISNUMBER(Récap1!AG39),Récap1!AG39/Q$117,Récap1!AG39)</f>
        <v>PVL</v>
      </c>
      <c r="AI39" s="282" t="str">
        <f>IF(ISNUMBER(Récap1!AH39),Récap1!AH39/R$117,Récap1!AH39)</f>
        <v>PVL</v>
      </c>
      <c r="AJ39" s="1894" t="str">
        <f>IF(ISNUMBER(Récap1!AI39),Récap1!AI39/S$117,Récap1!AI39)</f>
        <v>PVL</v>
      </c>
      <c r="AK39" s="282"/>
      <c r="AL39" s="282"/>
      <c r="AM39" s="282"/>
      <c r="AN39" s="1919"/>
      <c r="AO39" s="1117" t="str">
        <f t="shared" si="13"/>
        <v>PVL</v>
      </c>
      <c r="AP39" s="1069">
        <f>SUMIF(Récap1!X39:Y39,"&gt;0",H$117:I$117)+IF(ISNUMBER(Récap1!AB39),L$117,0)+SUMIF(Récap1!AG39:AI39,"&gt;0",Q$117:S$117)</f>
        <v>1.145471264243954E-2</v>
      </c>
      <c r="AQ39" s="1147">
        <f t="shared" si="14"/>
        <v>761.35185044758293</v>
      </c>
      <c r="AR39" s="1104" t="e">
        <f t="shared" si="15"/>
        <v>#VALUE!</v>
      </c>
      <c r="AS39" s="621" t="str">
        <f>IF(ISNUMBER(Récap1!AC39),Récap1!AC39/M$118,Récap1!AC39)</f>
        <v>PVL</v>
      </c>
      <c r="AT39" s="282" t="str">
        <f>IF(ISNUMBER(Récap1!AD39),Récap1!AD39/N$118,Récap1!AD39)</f>
        <v>PVL</v>
      </c>
      <c r="AU39" s="282" t="str">
        <f>IF(ISNUMBER(Récap1!AE39),Récap1!AE39/O$118,Récap1!AE39)</f>
        <v>PVL</v>
      </c>
      <c r="AV39" s="282" t="str">
        <f>IF(ISNUMBER(Récap1!AF39),Récap1!AF39/P$118,Récap1!AF39)</f>
        <v>PVL</v>
      </c>
      <c r="AW39" s="282"/>
      <c r="AX39" s="282"/>
      <c r="AY39" s="282"/>
      <c r="AZ39" s="1971" t="str">
        <f>IF(ISNUMBER(Récap1!AJ39),Récap1!AJ39/T$118,Récap1!AJ39)</f>
        <v>PVL</v>
      </c>
      <c r="BA39" s="282" t="str">
        <f>IF(ISNUMBER(Récap1!AK39),Récap1!AK39/U$118,Récap1!AK39)</f>
        <v>PVL</v>
      </c>
      <c r="BB39" s="282" t="str">
        <f>IF(ISNUMBER(Récap1!AL39),Récap1!AL39/V$118,Récap1!AL39)</f>
        <v>PVL</v>
      </c>
      <c r="BC39" s="1894" t="str">
        <f>IF(ISNUMBER(Récap1!AM39),Récap1!AM39/W$118,Récap1!AM39)</f>
        <v>PVL</v>
      </c>
      <c r="BD39" s="1117" t="str">
        <f t="shared" si="16"/>
        <v>PVL</v>
      </c>
      <c r="BE39" s="1080">
        <f>SUMIF(Récap1!AC39:AF39,"&gt;0",M$118:P$118)+SUMIF(Récap1!AJ39:AM39,"&gt;0",T$118:W$118)</f>
        <v>0</v>
      </c>
      <c r="BF39" s="1920" t="str">
        <f t="shared" si="17"/>
        <v>PVL</v>
      </c>
      <c r="BG39" s="920" t="e">
        <f t="shared" si="18"/>
        <v>#VALUE!</v>
      </c>
      <c r="BH39" s="77"/>
      <c r="BI39" s="56" t="e">
        <f t="shared" si="6"/>
        <v>#VALUE!</v>
      </c>
      <c r="BJ39" s="56" t="e">
        <f t="shared" si="7"/>
        <v>#VALUE!</v>
      </c>
      <c r="BK39" s="56" t="e">
        <f t="shared" si="8"/>
        <v>#VALUE!</v>
      </c>
      <c r="BL39" s="870" t="e">
        <f t="shared" si="9"/>
        <v>#VALUE!</v>
      </c>
      <c r="BM39" s="56" t="e">
        <f t="shared" si="10"/>
        <v>#VALUE!</v>
      </c>
      <c r="BN39" s="56" t="e">
        <f t="shared" si="11"/>
        <v>#VALUE!</v>
      </c>
      <c r="BO39" s="57" t="e">
        <f t="shared" si="12"/>
        <v>#VALUE!</v>
      </c>
    </row>
    <row r="40" spans="1:69" s="26" customFormat="1" ht="12.75" hidden="1" customHeight="1">
      <c r="A40" s="148"/>
      <c r="B40" s="27"/>
      <c r="C40" s="77"/>
      <c r="D40" s="502"/>
      <c r="E40" s="103" t="s">
        <v>672</v>
      </c>
      <c r="F40" s="14" t="str">
        <f>F39</f>
        <v>Cs</v>
      </c>
      <c r="G40" s="105" t="str">
        <f>G39</f>
        <v>mg/kg ms</v>
      </c>
      <c r="H40" s="113">
        <f>Récap1!X40</f>
        <v>1.5701131488337743</v>
      </c>
      <c r="I40" s="113">
        <f>Récap1!Y40</f>
        <v>54.968034114356676</v>
      </c>
      <c r="J40" s="113">
        <f>Récap1!Z40</f>
        <v>20.93056</v>
      </c>
      <c r="K40" s="120">
        <f>Récap1!AA40</f>
        <v>104.65279999999998</v>
      </c>
      <c r="L40" s="113">
        <f>IF(ISNUMBER(Récap1!AB40),Récap1!AB40,I40/I$117*L$117)</f>
        <v>108.23587832836999</v>
      </c>
      <c r="M40" s="872">
        <f>IF(ISNUMBER(Récap1!AC40),Récap1!AC40,L40/L$118*M$118)</f>
        <v>334.56534622860232</v>
      </c>
      <c r="N40" s="113">
        <f>IF(ISNUMBER(Récap1!AD40),Récap1!AD40,M40/M$118*N$118)</f>
        <v>1400.4148353065164</v>
      </c>
      <c r="O40" s="113">
        <f>IF(ISNUMBER(Récap1!AE40),Récap1!AE40,N40/N$118*O$118)</f>
        <v>132.97390708062454</v>
      </c>
      <c r="P40" s="873">
        <f>IF(ISNUMBER(Récap1!AF40),Récap1!AF40,O40/O$118*P$118)</f>
        <v>0.91395432203249904</v>
      </c>
      <c r="Q40" s="113">
        <f>IF(ISNUMBER(Récap1!AG40),Récap1!AG40,I40/I$117*Q$117)</f>
        <v>2750.8735999999999</v>
      </c>
      <c r="R40" s="113">
        <f>IF(ISNUMBER(Récap1!AH40),Récap1!AH40,Q40/Q$117*R$117)</f>
        <v>2750.8735999999999</v>
      </c>
      <c r="S40" s="113">
        <f>IF(ISNUMBER(Récap1!AI40),Récap1!AI40,R40/R$117*S$117)</f>
        <v>187.33898380673938</v>
      </c>
      <c r="T40" s="872">
        <f>IF(ISNUMBER(Récap1!AJ40),Récap1!AJ40,S40/S$118*T$118)</f>
        <v>473.51879814241812</v>
      </c>
      <c r="U40" s="113">
        <f>IF(ISNUMBER(Récap1!AK40),Récap1!AK40,T40/T$118*U$118)</f>
        <v>1414.2893706745458</v>
      </c>
      <c r="V40" s="113">
        <f>IF(ISNUMBER(Récap1!AL40),Récap1!AL40,U40/U$118*V$118)</f>
        <v>902.77871121238968</v>
      </c>
      <c r="W40" s="113">
        <f>IF(ISNUMBER(Récap1!AM40),Récap1!AM40,V40/V$118*W$118)</f>
        <v>94.979316468726893</v>
      </c>
      <c r="Y40" s="621">
        <f>IF(ISNUMBER(Récap1!X40),Récap1!X40/H$117,Récap1!X40)</f>
        <v>137.07136947430078</v>
      </c>
      <c r="Z40" s="1894">
        <f>IF(ISNUMBER(Récap1!Y40),Récap1!Y40/I$117,Récap1!Y40)</f>
        <v>403.12625235787613</v>
      </c>
      <c r="AA40" s="282"/>
      <c r="AB40" s="282"/>
      <c r="AC40" s="1091">
        <f>IF(ISNUMBER(Récap1!AB40),Récap1!AB40/L$117,Récap1!AB40)</f>
        <v>605.80445539490324</v>
      </c>
      <c r="AD40" s="282"/>
      <c r="AE40" s="282"/>
      <c r="AF40" s="282"/>
      <c r="AG40" s="1894"/>
      <c r="AH40" s="282">
        <f>IF(ISNUMBER(Récap1!AG40),Récap1!AG40/Q$117,Récap1!AG40)</f>
        <v>8093.8265218109345</v>
      </c>
      <c r="AI40" s="282">
        <f>IF(ISNUMBER(Récap1!AH40),Récap1!AH40/R$117,Récap1!AH40)</f>
        <v>10469.580330344725</v>
      </c>
      <c r="AJ40" s="1894">
        <f>IF(ISNUMBER(Récap1!AI40),Récap1!AI40/S$117,Récap1!AI40)</f>
        <v>2642.1516254472454</v>
      </c>
      <c r="AK40" s="282"/>
      <c r="AL40" s="282"/>
      <c r="AM40" s="282"/>
      <c r="AN40" s="1919"/>
      <c r="AO40" s="1117">
        <f t="shared" si="13"/>
        <v>605.80445539490324</v>
      </c>
      <c r="AP40" s="1069">
        <f>SUMIF(Récap1!X40:Y40,"&gt;0",H$117:I$117)+IF(ISNUMBER(Récap1!AB40),L$117,0)+SUMIF(Récap1!AG40:AI40,"&gt;0",Q$117:S$117)</f>
        <v>1</v>
      </c>
      <c r="AQ40" s="1147">
        <f t="shared" si="14"/>
        <v>5853.860209398299</v>
      </c>
      <c r="AR40" s="1104">
        <f t="shared" si="15"/>
        <v>5853.8602093983</v>
      </c>
      <c r="AS40" s="621">
        <f>IF(ISNUMBER(Récap1!AC40),Récap1!AC40/M$118,Récap1!AC40)</f>
        <v>8944.1402444441101</v>
      </c>
      <c r="AT40" s="282">
        <f>IF(ISNUMBER(Récap1!AD40),Récap1!AD40/N$118,Récap1!AD40)</f>
        <v>21049.739385869594</v>
      </c>
      <c r="AU40" s="282" t="str">
        <f>IF(ISNUMBER(Récap1!AE40),Récap1!AE40/O$118,Récap1!AE40)</f>
        <v>PVL</v>
      </c>
      <c r="AV40" s="282" t="str">
        <f>IF(ISNUMBER(Récap1!AF40),Récap1!AF40/P$118,Récap1!AF40)</f>
        <v>PVL</v>
      </c>
      <c r="AW40" s="282"/>
      <c r="AX40" s="282"/>
      <c r="AY40" s="282"/>
      <c r="AZ40" s="1971">
        <f>IF(ISNUMBER(Récap1!AJ40),Récap1!AJ40/T$118,Récap1!AJ40)</f>
        <v>3498.0326385664821</v>
      </c>
      <c r="BA40" s="282">
        <f>IF(ISNUMBER(Récap1!AK40),Récap1!AK40/U$118,Récap1!AK40)</f>
        <v>3197.5712620037066</v>
      </c>
      <c r="BB40" s="282" t="str">
        <f>IF(ISNUMBER(Récap1!AL40),Récap1!AL40/V$118,Récap1!AL40)</f>
        <v>PVL</v>
      </c>
      <c r="BC40" s="1894" t="str">
        <f>IF(ISNUMBER(Récap1!AM40),Récap1!AM40/W$118,Récap1!AM40)</f>
        <v>PVL</v>
      </c>
      <c r="BD40" s="1117">
        <f t="shared" si="16"/>
        <v>3197.5712620037066</v>
      </c>
      <c r="BE40" s="1080">
        <f>SUMIF(Récap1!AC40:AF40,"&gt;0",M$118:P$118)+SUMIF(Récap1!AJ40:AM40,"&gt;0",T$118:W$118)</f>
        <v>0.68160323968664671</v>
      </c>
      <c r="BF40" s="1920">
        <f t="shared" si="17"/>
        <v>5315.0984904613806</v>
      </c>
      <c r="BG40" s="920">
        <f t="shared" si="18"/>
        <v>4754.4342394358564</v>
      </c>
      <c r="BH40" s="77"/>
      <c r="BI40" s="113">
        <f t="shared" si="6"/>
        <v>2752.4437131488335</v>
      </c>
      <c r="BJ40" s="113">
        <f t="shared" si="7"/>
        <v>2805.8416341143566</v>
      </c>
      <c r="BK40" s="113">
        <f t="shared" si="8"/>
        <v>295.57486213510936</v>
      </c>
      <c r="BL40" s="872">
        <f t="shared" si="9"/>
        <v>808.08414437102044</v>
      </c>
      <c r="BM40" s="113">
        <f t="shared" si="10"/>
        <v>2814.7042059810619</v>
      </c>
      <c r="BN40" s="113">
        <f t="shared" si="11"/>
        <v>1035.7526182930142</v>
      </c>
      <c r="BO40" s="120">
        <f t="shared" si="12"/>
        <v>95.893270790759388</v>
      </c>
    </row>
    <row r="41" spans="1:69" s="495" customFormat="1" ht="12.75" hidden="1" customHeight="1">
      <c r="A41" s="398"/>
      <c r="B41" s="492"/>
      <c r="C41" s="26"/>
      <c r="D41" s="502"/>
      <c r="E41" s="619" t="s">
        <v>985</v>
      </c>
      <c r="F41" s="493" t="s">
        <v>19</v>
      </c>
      <c r="G41" s="584" t="s">
        <v>20</v>
      </c>
      <c r="H41" s="343">
        <f>Récap1!X41</f>
        <v>1.5701131488337743</v>
      </c>
      <c r="I41" s="343">
        <f>Récap1!Y41</f>
        <v>54.968034114356676</v>
      </c>
      <c r="J41" s="343">
        <f>Récap1!Z41</f>
        <v>20.93056</v>
      </c>
      <c r="K41" s="346">
        <f>Récap1!AA41</f>
        <v>104.65279999999998</v>
      </c>
      <c r="L41" s="343">
        <f>IF(ISNUMBER(Récap1!AB41),Récap1!AB41,I41/I$117*L$117)</f>
        <v>108.23587832836999</v>
      </c>
      <c r="M41" s="874">
        <f>IF(ISNUMBER(Récap1!AC41),Récap1!AC41,L41/L$118*M$118)</f>
        <v>14.296718697621493</v>
      </c>
      <c r="N41" s="343">
        <f>IF(ISNUMBER(Récap1!AD41),Récap1!AD41,M41/M$118*N$118)</f>
        <v>25.427519532518328</v>
      </c>
      <c r="O41" s="343">
        <f>IF(ISNUMBER(Récap1!AE41),Récap1!AE41,N41/N$118*O$118)</f>
        <v>2.4144250220455548</v>
      </c>
      <c r="P41" s="875">
        <f>IF(ISNUMBER(Récap1!AF41),Récap1!AF41,O41/O$118*P$118)</f>
        <v>1.6594790907241669E-2</v>
      </c>
      <c r="Q41" s="343">
        <f>IF(ISNUMBER(Récap1!AG41),Récap1!AG41,I41/I$117*Q$117)</f>
        <v>137.01175359885275</v>
      </c>
      <c r="R41" s="343">
        <f>IF(ISNUMBER(Récap1!AH41),Récap1!AH41,Q41/Q$117*R$117)</f>
        <v>105.92109044371843</v>
      </c>
      <c r="S41" s="343">
        <f>IF(ISNUMBER(Récap1!AI41),Récap1!AI41,R41/R$117*S$117)</f>
        <v>28.583243192850436</v>
      </c>
      <c r="T41" s="874">
        <f>IF(ISNUMBER(Récap1!AJ41),Récap1!AJ41,S41/S$118*T$118)</f>
        <v>6.5406501867452436</v>
      </c>
      <c r="U41" s="343">
        <f>IF(ISNUMBER(Récap1!AK41),Récap1!AK41,T41/T$118*U$118)</f>
        <v>21.371037206455984</v>
      </c>
      <c r="V41" s="343">
        <f>IF(ISNUMBER(Récap1!AL41),Récap1!AL41,U41/U$118*V$118)</f>
        <v>13.641704326261328</v>
      </c>
      <c r="W41" s="343">
        <f>IF(ISNUMBER(Récap1!AM41),Récap1!AM41,V41/V$118*W$118)</f>
        <v>1.4352130109899666</v>
      </c>
      <c r="Y41" s="1884">
        <f>IF(ISNUMBER(Récap1!X41),Récap1!X41/H$117,Récap1!X41)</f>
        <v>137.07136947430078</v>
      </c>
      <c r="Z41" s="1895">
        <f>IF(ISNUMBER(Récap1!Y41),Récap1!Y41/I$117,Récap1!Y41)</f>
        <v>403.12625235787613</v>
      </c>
      <c r="AA41" s="1104"/>
      <c r="AB41" s="1104"/>
      <c r="AC41" s="1092">
        <f>IF(ISNUMBER(Récap1!AB41),Récap1!AB41/L$117,Récap1!AB41)</f>
        <v>605.80445539490324</v>
      </c>
      <c r="AD41" s="1104"/>
      <c r="AE41" s="1104"/>
      <c r="AF41" s="1104"/>
      <c r="AG41" s="1895"/>
      <c r="AH41" s="1104" t="str">
        <f>IF(ISNUMBER(Récap1!AG41),Récap1!AG41/Q$117,Récap1!AG41)</f>
        <v>PVL</v>
      </c>
      <c r="AI41" s="1104" t="str">
        <f>IF(ISNUMBER(Récap1!AH41),Récap1!AH41/R$117,Récap1!AH41)</f>
        <v>PVL</v>
      </c>
      <c r="AJ41" s="1895" t="str">
        <f>IF(ISNUMBER(Récap1!AI41),Récap1!AI41/S$117,Récap1!AI41)</f>
        <v>PVL</v>
      </c>
      <c r="AK41" s="1104"/>
      <c r="AL41" s="1104"/>
      <c r="AM41" s="1104"/>
      <c r="AN41" s="1135"/>
      <c r="AO41" s="1117">
        <f t="shared" si="13"/>
        <v>605.80445539490324</v>
      </c>
      <c r="AP41" s="1069">
        <f>SUMIF(Récap1!X41:Y41,"&gt;0",H$117:I$117)+IF(ISNUMBER(Récap1!AB41),L$117,0)+SUMIF(Récap1!AG41:AI41,"&gt;0",Q$117:S$117)</f>
        <v>0.32647381397929243</v>
      </c>
      <c r="AQ41" s="1147">
        <f t="shared" si="14"/>
        <v>504.70824469251835</v>
      </c>
      <c r="AR41" s="1104">
        <f t="shared" si="15"/>
        <v>436.29011282698207</v>
      </c>
      <c r="AS41" s="1884" t="str">
        <f>IF(ISNUMBER(Récap1!AC41),Récap1!AC41/M$118,Récap1!AC41)</f>
        <v>PVL</v>
      </c>
      <c r="AT41" s="1104" t="str">
        <f>IF(ISNUMBER(Récap1!AD41),Récap1!AD41/N$118,Récap1!AD41)</f>
        <v>PVL</v>
      </c>
      <c r="AU41" s="1104" t="str">
        <f>IF(ISNUMBER(Récap1!AE41),Récap1!AE41/O$118,Récap1!AE41)</f>
        <v>PVL</v>
      </c>
      <c r="AV41" s="1104" t="str">
        <f>IF(ISNUMBER(Récap1!AF41),Récap1!AF41/P$118,Récap1!AF41)</f>
        <v>PVL</v>
      </c>
      <c r="AW41" s="1104"/>
      <c r="AX41" s="1104"/>
      <c r="AY41" s="1104"/>
      <c r="AZ41" s="1973" t="str">
        <f>IF(ISNUMBER(Récap1!AJ41),Récap1!AJ41/T$118,Récap1!AJ41)</f>
        <v>PVL</v>
      </c>
      <c r="BA41" s="1104" t="str">
        <f>IF(ISNUMBER(Récap1!AK41),Récap1!AK41/U$118,Récap1!AK41)</f>
        <v>PVL</v>
      </c>
      <c r="BB41" s="1104" t="str">
        <f>IF(ISNUMBER(Récap1!AL41),Récap1!AL41/V$118,Récap1!AL41)</f>
        <v>PVL</v>
      </c>
      <c r="BC41" s="1895" t="str">
        <f>IF(ISNUMBER(Récap1!AM41),Récap1!AM41/W$118,Récap1!AM41)</f>
        <v>PVL</v>
      </c>
      <c r="BD41" s="1117" t="str">
        <f t="shared" si="16"/>
        <v>PVL</v>
      </c>
      <c r="BE41" s="1080">
        <f>SUMIF(Récap1!AC41:AF41,"&gt;0",M$118:P$118)+SUMIF(Récap1!AJ41:AM41,"&gt;0",T$118:W$118)</f>
        <v>0</v>
      </c>
      <c r="BF41" s="1920" t="str">
        <f t="shared" si="17"/>
        <v>PVL</v>
      </c>
      <c r="BG41" s="920">
        <f t="shared" si="18"/>
        <v>85.143862773545152</v>
      </c>
      <c r="BH41" s="919"/>
      <c r="BI41" s="343">
        <f t="shared" si="6"/>
        <v>138.58186674768652</v>
      </c>
      <c r="BJ41" s="343">
        <f t="shared" si="7"/>
        <v>160.88912455807511</v>
      </c>
      <c r="BK41" s="343">
        <f t="shared" si="8"/>
        <v>136.81912152122044</v>
      </c>
      <c r="BL41" s="874">
        <f t="shared" si="9"/>
        <v>20.837368884366736</v>
      </c>
      <c r="BM41" s="343">
        <f t="shared" si="10"/>
        <v>46.798556738974312</v>
      </c>
      <c r="BN41" s="343">
        <f t="shared" si="11"/>
        <v>16.056129348306882</v>
      </c>
      <c r="BO41" s="346">
        <f t="shared" si="12"/>
        <v>1.4518078018972083</v>
      </c>
    </row>
    <row r="42" spans="1:69" s="26" customFormat="1" ht="12.75" hidden="1" customHeight="1">
      <c r="A42" s="398"/>
      <c r="B42" s="27"/>
      <c r="D42" s="502"/>
      <c r="E42" s="103" t="s">
        <v>476</v>
      </c>
      <c r="F42" s="14" t="str">
        <f>F31</f>
        <v>Csao</v>
      </c>
      <c r="G42" s="105" t="s">
        <v>24</v>
      </c>
      <c r="H42" s="113">
        <f>Récap1!X42</f>
        <v>1357.9227507455005</v>
      </c>
      <c r="I42" s="113">
        <f>Récap1!Y42</f>
        <v>32947.652632522993</v>
      </c>
      <c r="J42" s="113">
        <f>Récap1!Z42</f>
        <v>7429.7820571133807</v>
      </c>
      <c r="K42" s="120">
        <f>Récap1!AA42</f>
        <v>24921.706199076754</v>
      </c>
      <c r="L42" s="113">
        <f>IF(ISNUMBER(Récap1!AB42),Récap1!AB42,I42/I$117*L$117)</f>
        <v>29150.739732402322</v>
      </c>
      <c r="M42" s="872">
        <f>IF(ISNUMBER(Récap1!AC42),Récap1!AC42,L42/L$118*M$118)</f>
        <v>3850.47853094842</v>
      </c>
      <c r="N42" s="113">
        <f>IF(ISNUMBER(Récap1!AD42),Récap1!AD42,M42/M$118*N$118)</f>
        <v>6848.2929633022823</v>
      </c>
      <c r="O42" s="113">
        <f>IF(ISNUMBER(Récap1!AE42),Récap1!AE42,N42/N$118*O$118)</f>
        <v>650.26751302854836</v>
      </c>
      <c r="P42" s="873">
        <f>IF(ISNUMBER(Récap1!AF42),Récap1!AF42,O42/O$118*P$118)</f>
        <v>4.4694092025845498</v>
      </c>
      <c r="Q42" s="113">
        <f>IF(ISNUMBER(Récap1!AG42),Récap1!AG42,I42/I$117*Q$117)</f>
        <v>82124.378957347493</v>
      </c>
      <c r="R42" s="113">
        <f>IF(ISNUMBER(Récap1!AH42),Récap1!AH42,Q42/Q$117*R$117)</f>
        <v>63488.741240724092</v>
      </c>
      <c r="S42" s="113">
        <f>IF(ISNUMBER(Récap1!AI42),Récap1!AI42,R42/R$117*S$117)</f>
        <v>17132.698722128669</v>
      </c>
      <c r="T42" s="872">
        <f>IF(ISNUMBER(Récap1!AJ42),Récap1!AJ42,S42/S$118*T$118)</f>
        <v>3920.4434689332365</v>
      </c>
      <c r="U42" s="113">
        <f>IF(ISNUMBER(Récap1!AK42),Récap1!AK42,T42/T$118*U$118)</f>
        <v>12809.726991694093</v>
      </c>
      <c r="V42" s="113">
        <f>IF(ISNUMBER(Récap1!AL42),Récap1!AL42,U42/U$118*V$118)</f>
        <v>8176.79116051656</v>
      </c>
      <c r="W42" s="113">
        <f>IF(ISNUMBER(Récap1!AM42),Récap1!AM42,V42/V$118*W$118)</f>
        <v>860.26179581751376</v>
      </c>
      <c r="Y42" s="621">
        <f>IF(ISNUMBER(Récap1!X42),Récap1!X42/H$117,Récap1!X42)</f>
        <v>118547.08128726136</v>
      </c>
      <c r="Z42" s="1894">
        <f>IF(ISNUMBER(Récap1!Y42),Récap1!Y42/I$117,Récap1!Y42)</f>
        <v>241632.50412241078</v>
      </c>
      <c r="AA42" s="282"/>
      <c r="AB42" s="282"/>
      <c r="AC42" s="1091">
        <f>IF(ISNUMBER(Récap1!AB42),Récap1!AB42/L$117,Récap1!AB42)</f>
        <v>163158.91071138228</v>
      </c>
      <c r="AD42" s="282"/>
      <c r="AE42" s="282"/>
      <c r="AF42" s="282"/>
      <c r="AG42" s="1894"/>
      <c r="AH42" s="282" t="str">
        <f>IF(ISNUMBER(Récap1!AG42),Récap1!AG42/Q$117,Récap1!AG42)</f>
        <v>PVL</v>
      </c>
      <c r="AI42" s="282" t="str">
        <f>IF(ISNUMBER(Récap1!AH42),Récap1!AH42/R$117,Récap1!AH42)</f>
        <v>PVL</v>
      </c>
      <c r="AJ42" s="1894" t="str">
        <f>IF(ISNUMBER(Récap1!AI42),Récap1!AI42/S$117,Récap1!AI42)</f>
        <v>PVL</v>
      </c>
      <c r="AK42" s="282"/>
      <c r="AL42" s="282"/>
      <c r="AM42" s="282"/>
      <c r="AN42" s="1919"/>
      <c r="AO42" s="1117">
        <f t="shared" si="13"/>
        <v>163158.91071138228</v>
      </c>
      <c r="AP42" s="1069">
        <f>SUMIF(Récap1!X42:Y42,"&gt;0",H$117:I$117)+IF(ISNUMBER(Récap1!AB42),L$117,0)+SUMIF(Récap1!AG42:AI42,"&gt;0",Q$117:S$117)</f>
        <v>0.32647381397929243</v>
      </c>
      <c r="AQ42" s="1147">
        <f t="shared" si="14"/>
        <v>194368.77445765291</v>
      </c>
      <c r="AR42" s="1104">
        <f t="shared" si="15"/>
        <v>226202.1340358711</v>
      </c>
      <c r="AS42" s="621" t="str">
        <f>IF(ISNUMBER(Récap1!AC42),Récap1!AC42/M$118,Récap1!AC42)</f>
        <v>PVL</v>
      </c>
      <c r="AT42" s="282" t="str">
        <f>IF(ISNUMBER(Récap1!AD42),Récap1!AD42/N$118,Récap1!AD42)</f>
        <v>PVL</v>
      </c>
      <c r="AU42" s="282" t="str">
        <f>IF(ISNUMBER(Récap1!AE42),Récap1!AE42/O$118,Récap1!AE42)</f>
        <v>PVL</v>
      </c>
      <c r="AV42" s="282" t="str">
        <f>IF(ISNUMBER(Récap1!AF42),Récap1!AF42/P$118,Récap1!AF42)</f>
        <v>PVL</v>
      </c>
      <c r="AW42" s="282"/>
      <c r="AX42" s="282"/>
      <c r="AY42" s="282"/>
      <c r="AZ42" s="1971" t="str">
        <f>IF(ISNUMBER(Récap1!AJ42),Récap1!AJ42/T$118,Récap1!AJ42)</f>
        <v>PVL</v>
      </c>
      <c r="BA42" s="282" t="str">
        <f>IF(ISNUMBER(Récap1!AK42),Récap1!AK42/U$118,Récap1!AK42)</f>
        <v>PVL</v>
      </c>
      <c r="BB42" s="282" t="str">
        <f>IF(ISNUMBER(Récap1!AL42),Récap1!AL42/V$118,Récap1!AL42)</f>
        <v>PVL</v>
      </c>
      <c r="BC42" s="1894" t="str">
        <f>IF(ISNUMBER(Récap1!AM42),Récap1!AM42/W$118,Récap1!AM42)</f>
        <v>PVL</v>
      </c>
      <c r="BD42" s="1117" t="str">
        <f t="shared" si="16"/>
        <v>PVL</v>
      </c>
      <c r="BE42" s="1080">
        <f>SUMIF(Récap1!AC42:AF42,"&gt;0",M$118:P$118)+SUMIF(Récap1!AJ42:AM42,"&gt;0",T$118:W$118)</f>
        <v>0</v>
      </c>
      <c r="BF42" s="1920" t="str">
        <f t="shared" si="17"/>
        <v>PVL</v>
      </c>
      <c r="BG42" s="920">
        <f t="shared" si="18"/>
        <v>37120.731833443235</v>
      </c>
      <c r="BH42" s="77"/>
      <c r="BI42" s="113">
        <f t="shared" si="6"/>
        <v>83482.301708093</v>
      </c>
      <c r="BJ42" s="113">
        <f t="shared" si="7"/>
        <v>96436.393873247085</v>
      </c>
      <c r="BK42" s="113">
        <f t="shared" si="8"/>
        <v>46283.438454530988</v>
      </c>
      <c r="BL42" s="872">
        <f t="shared" si="9"/>
        <v>7770.921999881657</v>
      </c>
      <c r="BM42" s="113">
        <f t="shared" si="10"/>
        <v>19658.019954996376</v>
      </c>
      <c r="BN42" s="113">
        <f t="shared" si="11"/>
        <v>8827.0586735451088</v>
      </c>
      <c r="BO42" s="120">
        <f t="shared" si="12"/>
        <v>864.73120502009829</v>
      </c>
    </row>
    <row r="43" spans="1:69" s="1034" customFormat="1">
      <c r="A43" s="1046"/>
      <c r="B43" s="1035"/>
      <c r="C43" s="1036"/>
      <c r="D43" s="1051"/>
      <c r="E43" s="596" t="s">
        <v>623</v>
      </c>
      <c r="F43" s="597"/>
      <c r="G43" s="1611"/>
      <c r="H43" s="835">
        <f>Récap1!X43</f>
        <v>0</v>
      </c>
      <c r="I43" s="835">
        <f>Récap1!Y43</f>
        <v>0</v>
      </c>
      <c r="J43" s="835">
        <f>Récap1!Z43</f>
        <v>0</v>
      </c>
      <c r="K43" s="1043">
        <f>Récap1!AA43</f>
        <v>0</v>
      </c>
      <c r="L43" s="835">
        <f>IF(ISNUMBER(Récap1!AB43),Récap1!AB43,I43/I$117*L$117)</f>
        <v>0</v>
      </c>
      <c r="M43" s="834">
        <f>IF(ISNUMBER(Récap1!AC43),Récap1!AC43,L43/L$118*M$118)</f>
        <v>0</v>
      </c>
      <c r="N43" s="835">
        <f>IF(ISNUMBER(Récap1!AD43),Récap1!AD43,M43/M$118*N$118)</f>
        <v>0</v>
      </c>
      <c r="O43" s="835">
        <f>IF(ISNUMBER(Récap1!AE43),Récap1!AE43,N43/N$118*O$118)</f>
        <v>0</v>
      </c>
      <c r="P43" s="836">
        <f>IF(ISNUMBER(Récap1!AF43),Récap1!AF43,O43/O$118*P$118)</f>
        <v>0</v>
      </c>
      <c r="Q43" s="835">
        <f>IF(ISNUMBER(Récap1!AG43),Récap1!AG43,I43/I$117*Q$117)</f>
        <v>0</v>
      </c>
      <c r="R43" s="835">
        <f>IF(ISNUMBER(Récap1!AH43),Récap1!AH43,Q43/Q$117*R$117)</f>
        <v>0</v>
      </c>
      <c r="S43" s="835">
        <f>IF(ISNUMBER(Récap1!AI43),Récap1!AI43,R43/R$117*S$117)</f>
        <v>0</v>
      </c>
      <c r="T43" s="834">
        <f>IF(ISNUMBER(Récap1!AJ43),Récap1!AJ43,S43/S$118*T$118)</f>
        <v>0</v>
      </c>
      <c r="U43" s="835">
        <f>IF(ISNUMBER(Récap1!AK43),Récap1!AK43,T43/T$118*U$118)</f>
        <v>0</v>
      </c>
      <c r="V43" s="835">
        <f>IF(ISNUMBER(Récap1!AL43),Récap1!AL43,U43/U$118*V$118)</f>
        <v>0</v>
      </c>
      <c r="W43" s="835">
        <f>IF(ISNUMBER(Récap1!AM43),Récap1!AM43,V43/V$118*W$118)</f>
        <v>0</v>
      </c>
      <c r="Y43" s="1891"/>
      <c r="Z43" s="1902"/>
      <c r="AA43" s="1554"/>
      <c r="AB43" s="1554"/>
      <c r="AC43" s="1099"/>
      <c r="AD43" s="1554"/>
      <c r="AE43" s="1554"/>
      <c r="AF43" s="1554"/>
      <c r="AG43" s="1902"/>
      <c r="AH43" s="1554"/>
      <c r="AI43" s="1554"/>
      <c r="AJ43" s="1902"/>
      <c r="AK43" s="1554"/>
      <c r="AL43" s="1554"/>
      <c r="AM43" s="1554"/>
      <c r="AN43" s="1557"/>
      <c r="AO43" s="1554"/>
      <c r="AP43" s="1555"/>
      <c r="AQ43" s="1556"/>
      <c r="AR43" s="1554"/>
      <c r="AS43" s="1891"/>
      <c r="AT43" s="1554"/>
      <c r="AU43" s="1554"/>
      <c r="AV43" s="1554"/>
      <c r="AW43" s="1554"/>
      <c r="AX43" s="1554"/>
      <c r="AY43" s="1554"/>
      <c r="AZ43" s="1986"/>
      <c r="BA43" s="1554"/>
      <c r="BB43" s="1554"/>
      <c r="BC43" s="1902"/>
      <c r="BD43" s="1554"/>
      <c r="BE43" s="1555"/>
      <c r="BF43" s="1557"/>
      <c r="BG43" s="1047"/>
      <c r="BH43" s="1046"/>
      <c r="BI43" s="835">
        <f t="shared" si="6"/>
        <v>0</v>
      </c>
      <c r="BJ43" s="835">
        <f t="shared" si="7"/>
        <v>0</v>
      </c>
      <c r="BK43" s="835">
        <f t="shared" si="8"/>
        <v>0</v>
      </c>
      <c r="BL43" s="834">
        <f t="shared" si="9"/>
        <v>0</v>
      </c>
      <c r="BM43" s="835">
        <f t="shared" si="10"/>
        <v>0</v>
      </c>
      <c r="BN43" s="835">
        <f t="shared" si="11"/>
        <v>0</v>
      </c>
      <c r="BO43" s="1043">
        <f t="shared" si="12"/>
        <v>0</v>
      </c>
    </row>
    <row r="44" spans="1:69" s="26" customFormat="1">
      <c r="A44" s="680"/>
      <c r="B44" s="27"/>
      <c r="C44" s="77"/>
      <c r="D44" s="1062"/>
      <c r="E44" s="1061" t="str">
        <f>ExpoRisk!E144</f>
        <v>Teneur limite avant contrôle de la saturation</v>
      </c>
      <c r="F44" s="14" t="str">
        <f>ExpoRisk!F144</f>
        <v>Cs</v>
      </c>
      <c r="G44" s="105" t="str">
        <f>ExpoRisk!G144</f>
        <v>mg/kg ms</v>
      </c>
      <c r="H44" s="56">
        <f>Récap1!X44</f>
        <v>0.2943962154063326</v>
      </c>
      <c r="I44" s="56">
        <f>Récap1!Y44</f>
        <v>10.306506396441879</v>
      </c>
      <c r="J44" s="56">
        <f>Récap1!Z44</f>
        <v>3.9244799999999995</v>
      </c>
      <c r="K44" s="57">
        <f>Récap1!AA44</f>
        <v>19.622400000000003</v>
      </c>
      <c r="L44" s="56">
        <f>IF(ISNUMBER(Récap1!AB44),Récap1!AB44,I44/I$117*L$117)</f>
        <v>20.294227186569373</v>
      </c>
      <c r="M44" s="870">
        <f>IF(ISNUMBER(Récap1!AC44),Récap1!AC44,L44/L$118*M$118)</f>
        <v>62.731002417862939</v>
      </c>
      <c r="N44" s="56">
        <f>IF(ISNUMBER(Récap1!AD44),Récap1!AD44,M44/M$118*N$118)</f>
        <v>262.57778161997174</v>
      </c>
      <c r="O44" s="56">
        <f>IF(ISNUMBER(Récap1!AE44),Récap1!AE44,N44/N$118*O$118)</f>
        <v>24.932607577617091</v>
      </c>
      <c r="P44" s="871">
        <f>IF(ISNUMBER(Récap1!AF44),Récap1!AF44,O44/O$118*P$118)</f>
        <v>0.1713664353810935</v>
      </c>
      <c r="Q44" s="56">
        <f>IF(ISNUMBER(Récap1!AG44),Récap1!AG44,I44/I$117*Q$117)</f>
        <v>515.78880000000004</v>
      </c>
      <c r="R44" s="56">
        <f>IF(ISNUMBER(Récap1!AH44),Récap1!AH44,Q44/Q$117*R$117)</f>
        <v>515.78879999999992</v>
      </c>
      <c r="S44" s="56">
        <f>IF(ISNUMBER(Récap1!AI44),Récap1!AI44,R44/R$117*S$117)</f>
        <v>35.126059463763632</v>
      </c>
      <c r="T44" s="870">
        <f>IF(ISNUMBER(Récap1!AJ44),Récap1!AJ44,S44/S$118*T$118)</f>
        <v>88.784774651703415</v>
      </c>
      <c r="U44" s="56">
        <f>IF(ISNUMBER(Récap1!AK44),Récap1!AK44,T44/T$118*U$118)</f>
        <v>265.17925700147731</v>
      </c>
      <c r="V44" s="56">
        <f>IF(ISNUMBER(Récap1!AL44),Récap1!AL44,U44/U$118*V$118)</f>
        <v>169.27100835232307</v>
      </c>
      <c r="W44" s="56">
        <f>IF(ISNUMBER(Récap1!AM44),Récap1!AM44,V44/V$118*W$118)</f>
        <v>17.808621837886292</v>
      </c>
      <c r="Y44" s="621">
        <f>IF(ISNUMBER(Récap1!X44),Récap1!X44/H$117,Récap1!X44)</f>
        <v>25.700881776431387</v>
      </c>
      <c r="Z44" s="1894">
        <f>IF(ISNUMBER(Récap1!Y44),Récap1!Y44/I$117,Récap1!Y44)</f>
        <v>75.586172317101784</v>
      </c>
      <c r="AA44" s="282"/>
      <c r="AB44" s="282"/>
      <c r="AC44" s="1091">
        <f>IF(ISNUMBER(Récap1!AB44),Récap1!AB44/L$117,Récap1!AB44)</f>
        <v>113.58833538654436</v>
      </c>
      <c r="AD44" s="282"/>
      <c r="AE44" s="282"/>
      <c r="AF44" s="282"/>
      <c r="AG44" s="1894"/>
      <c r="AH44" s="282">
        <f>IF(ISNUMBER(Récap1!AG44),Récap1!AG44/Q$117,Récap1!AG44)</f>
        <v>1517.5924728395505</v>
      </c>
      <c r="AI44" s="282">
        <f>IF(ISNUMBER(Récap1!AH44),Récap1!AH44/R$117,Récap1!AH44)</f>
        <v>1963.0463119396359</v>
      </c>
      <c r="AJ44" s="1894">
        <f>IF(ISNUMBER(Récap1!AI44),Récap1!AI44/S$117,Récap1!AI44)</f>
        <v>495.40342977135845</v>
      </c>
      <c r="AK44" s="282"/>
      <c r="AL44" s="282"/>
      <c r="AM44" s="282"/>
      <c r="AN44" s="1919"/>
      <c r="AO44" s="1117">
        <f t="shared" ref="AO44:AO73" si="19">IF(MIN(AC44:AJ44)&gt;0,MIN(AC44:AJ44),Z44)</f>
        <v>113.58833538654436</v>
      </c>
      <c r="AP44" s="1069">
        <f>SUMIF(Récap1!X44:Y44,"&gt;0",H$117:I$117)+IF(ISNUMBER(Récap1!AB44),L$117,0)+SUMIF(Récap1!AG44:AI44,"&gt;0",Q$117:S$117)</f>
        <v>1</v>
      </c>
      <c r="AQ44" s="1147">
        <f t="shared" ref="AQ44:AQ73" si="20">IF(MIN(Y44:AJ44)&gt;0,(IF(ISNUMBER(Y44),Y44*H$117,0)+IF(ISNUMBER(Z44),Z44*I$117,0)+IF(ISNUMBER(AC44),AC44*L$117,0)+IF(ISNUMBER(AH44),AH44*Q$117,0)+IF(ISNUMBER(AI44),AI44*R$117,0)+IF(ISNUMBER(AJ44),AJ44*S$117,0))/(IF(ISNUMBER(Y44),H$117,0)+IF(ISNUMBER(Z44),I$117,0)+IF(ISNUMBER(AC44),L$117,0)+IF(ISNUMBER(AH44),Q$117,0)+IF(ISNUMBER(AI44),R$117,0)+IF(ISNUMBER(AJ44),S$117,0)),Z44)</f>
        <v>1097.5987892621811</v>
      </c>
      <c r="AR44" s="1910">
        <f t="shared" ref="AR44:AR73" si="21">SUM(H44:I44,L44:L44,Q44:S44)</f>
        <v>1097.5987892621811</v>
      </c>
      <c r="AS44" s="621">
        <f>IF(ISNUMBER(Récap1!AC44),Récap1!AC44/M$118,Récap1!AC44)</f>
        <v>1677.0262958332708</v>
      </c>
      <c r="AT44" s="282">
        <f>IF(ISNUMBER(Récap1!AD44),Récap1!AD44/N$118,Récap1!AD44)</f>
        <v>3946.8261348505475</v>
      </c>
      <c r="AU44" s="282" t="str">
        <f>IF(ISNUMBER(Récap1!AE44),Récap1!AE44/O$118,Récap1!AE44)</f>
        <v>PVL</v>
      </c>
      <c r="AV44" s="282" t="str">
        <f>IF(ISNUMBER(Récap1!AF44),Récap1!AF44/P$118,Récap1!AF44)</f>
        <v>PVL</v>
      </c>
      <c r="AW44" s="282"/>
      <c r="AX44" s="282"/>
      <c r="AY44" s="282"/>
      <c r="AZ44" s="1971">
        <f>IF(ISNUMBER(Récap1!AJ44),Récap1!AJ44/T$118,Récap1!AJ44)</f>
        <v>655.88111973121556</v>
      </c>
      <c r="BA44" s="282">
        <f>IF(ISNUMBER(Récap1!AK44),Récap1!AK44/U$118,Récap1!AK44)</f>
        <v>599.54461162569498</v>
      </c>
      <c r="BB44" s="282" t="str">
        <f>IF(ISNUMBER(Récap1!AL44),Récap1!AL44/V$118,Récap1!AL44)</f>
        <v>PVL</v>
      </c>
      <c r="BC44" s="1894" t="str">
        <f>IF(ISNUMBER(Récap1!AM44),Récap1!AM44/W$118,Récap1!AM44)</f>
        <v>PVL</v>
      </c>
      <c r="BD44" s="1117">
        <f t="shared" ref="BD44:BD73" si="22">IF(MIN(AS44:BC44)&gt;0,MIN(AS44:BC44),"PVL")</f>
        <v>599.54461162569498</v>
      </c>
      <c r="BE44" s="1080">
        <f>SUMIF(Récap1!AC44:AF44,"&gt;0",M$118:P$118)+SUMIF(Récap1!AJ44:AM44,"&gt;0",T$118:W$118)</f>
        <v>0.68160323968664671</v>
      </c>
      <c r="BF44" s="1920">
        <f t="shared" ref="BF44:BF73" si="23">IF(MIN(AS44:BC44)&gt;0,(IF(ISNUMBER(AS44),AS44*M$118,0)+IF(ISNUMBER(AT44),AT44*N$118,0)+IF(ISNUMBER(AU44),AU44*O$118,0)+IF(ISNUMBER(AV44),AV44*P$118,0)+IF(ISNUMBER(AZ44),AZ44*T$118,0)+IF(ISNUMBER(BA44),BA44*U$118,0)+IF(ISNUMBER(BB44),BB44*V$118,0)+IF(ISNUMBER(BC44),BC44*W$118,0))/(IF(ISNUMBER(AS44),M$118,0)+IF(ISNUMBER(AT44),N$118,0)+IF(ISNUMBER(AU44),O$118,0)+IF(ISNUMBER(AV44),P$118,0)+IF(ISNUMBER(AZ44),T$118,0)+IF(ISNUMBER(BA44),U$118,0)+IF(ISNUMBER(BB44),V$118,0)+IF(ISNUMBER(BC44),W$118,0)),"PVL")</f>
        <v>996.58096696150881</v>
      </c>
      <c r="BG44" s="1918">
        <f t="shared" ref="BG44:BG73" si="24">SUM(M44:P44,T44:W44)</f>
        <v>891.45641989422302</v>
      </c>
      <c r="BH44" s="77"/>
      <c r="BI44" s="56">
        <f t="shared" si="6"/>
        <v>516.08319621540636</v>
      </c>
      <c r="BJ44" s="56">
        <f t="shared" si="7"/>
        <v>526.09530639644186</v>
      </c>
      <c r="BK44" s="56">
        <f t="shared" si="8"/>
        <v>55.420286650333004</v>
      </c>
      <c r="BL44" s="870">
        <f t="shared" si="9"/>
        <v>151.51577706956635</v>
      </c>
      <c r="BM44" s="56">
        <f t="shared" si="10"/>
        <v>527.75703862144906</v>
      </c>
      <c r="BN44" s="56">
        <f t="shared" si="11"/>
        <v>194.20361592994016</v>
      </c>
      <c r="BO44" s="57">
        <f t="shared" si="12"/>
        <v>17.979988273267384</v>
      </c>
    </row>
    <row r="45" spans="1:69" s="495" customFormat="1">
      <c r="A45" s="398"/>
      <c r="B45" s="492"/>
      <c r="C45" s="985"/>
      <c r="D45" s="986"/>
      <c r="E45" s="619" t="str">
        <f>ExpoRisk!E145</f>
        <v>Teneur limite</v>
      </c>
      <c r="F45" s="493" t="str">
        <f>ExpoRisk!F145</f>
        <v>Cs</v>
      </c>
      <c r="G45" s="584" t="str">
        <f>ExpoRisk!G145</f>
        <v>mg/kg ms</v>
      </c>
      <c r="H45" s="343">
        <f>Récap1!X45</f>
        <v>0.2943962154063326</v>
      </c>
      <c r="I45" s="343">
        <f>Récap1!Y45</f>
        <v>10.306506396441879</v>
      </c>
      <c r="J45" s="343">
        <f>Récap1!Z45</f>
        <v>3.9244799999999995</v>
      </c>
      <c r="K45" s="346">
        <f>Récap1!AA45</f>
        <v>19.622400000000003</v>
      </c>
      <c r="L45" s="343">
        <f>IF(ISNUMBER(Récap1!AB45),Récap1!AB45,I45/I$117*L$117)</f>
        <v>20.294227186569373</v>
      </c>
      <c r="M45" s="874">
        <f>IF(ISNUMBER(Récap1!AC45),Récap1!AC45,L45/L$118*M$118)</f>
        <v>62.731002417862939</v>
      </c>
      <c r="N45" s="343">
        <f>IF(ISNUMBER(Récap1!AD45),Récap1!AD45,M45/M$118*N$118)</f>
        <v>111.57062141399172</v>
      </c>
      <c r="O45" s="343">
        <f>IF(ISNUMBER(Récap1!AE45),Récap1!AE45,N45/N$118*O$118)</f>
        <v>10.593990488243037</v>
      </c>
      <c r="P45" s="875">
        <f>IF(ISNUMBER(Récap1!AF45),Récap1!AF45,O45/O$118*P$118)</f>
        <v>7.2814461174178141E-2</v>
      </c>
      <c r="Q45" s="343">
        <f>IF(ISNUMBER(Récap1!AG45),Récap1!AG45,I45/I$117*Q$117)</f>
        <v>25.689703799784894</v>
      </c>
      <c r="R45" s="343">
        <f>IF(ISNUMBER(Récap1!AH45),Récap1!AH45,Q45/Q$117*R$117)</f>
        <v>19.860204458197209</v>
      </c>
      <c r="S45" s="343">
        <f>IF(ISNUMBER(Récap1!AI45),Récap1!AI45,R45/R$117*S$117)</f>
        <v>5.3593580986594578</v>
      </c>
      <c r="T45" s="874">
        <f>IF(ISNUMBER(Récap1!AJ45),Récap1!AJ45,S45/S$118*T$118)</f>
        <v>1.2263719100147334</v>
      </c>
      <c r="U45" s="343">
        <f>IF(ISNUMBER(Récap1!AK45),Récap1!AK45,T45/T$118*U$118)</f>
        <v>4.0070694762104972</v>
      </c>
      <c r="V45" s="343">
        <f>IF(ISNUMBER(Récap1!AL45),Récap1!AL45,U45/U$118*V$118)</f>
        <v>2.5578195611739996</v>
      </c>
      <c r="W45" s="343">
        <f>IF(ISNUMBER(Récap1!AM45),Récap1!AM45,V45/V$118*W$118)</f>
        <v>0.2691024395606188</v>
      </c>
      <c r="Y45" s="1884">
        <f>IF(ISNUMBER(Récap1!X45),Récap1!X45/H$117,Récap1!X45)</f>
        <v>25.700881776431387</v>
      </c>
      <c r="Z45" s="1895">
        <f>IF(ISNUMBER(Récap1!Y45),Récap1!Y45/I$117,Récap1!Y45)</f>
        <v>75.586172317101784</v>
      </c>
      <c r="AA45" s="1104"/>
      <c r="AB45" s="1104"/>
      <c r="AC45" s="1092">
        <f>IF(ISNUMBER(Récap1!AB45),Récap1!AB45/L$117,Récap1!AB45)</f>
        <v>113.58833538654436</v>
      </c>
      <c r="AD45" s="1104"/>
      <c r="AE45" s="1104"/>
      <c r="AF45" s="1104"/>
      <c r="AG45" s="1895"/>
      <c r="AH45" s="1104" t="str">
        <f>IF(ISNUMBER(Récap1!AG45),Récap1!AG45/Q$117,Récap1!AG45)</f>
        <v>PVL</v>
      </c>
      <c r="AI45" s="1104" t="str">
        <f>IF(ISNUMBER(Récap1!AH45),Récap1!AH45/R$117,Récap1!AH45)</f>
        <v>PVL</v>
      </c>
      <c r="AJ45" s="1895" t="str">
        <f>IF(ISNUMBER(Récap1!AI45),Récap1!AI45/S$117,Récap1!AI45)</f>
        <v>PVL</v>
      </c>
      <c r="AK45" s="1104"/>
      <c r="AL45" s="1104"/>
      <c r="AM45" s="1104"/>
      <c r="AN45" s="1135"/>
      <c r="AO45" s="1104">
        <f t="shared" si="19"/>
        <v>113.58833538654436</v>
      </c>
      <c r="AP45" s="1069">
        <f>SUMIF(Récap1!X45:Y45,"&gt;0",H$117:I$117)+IF(ISNUMBER(Récap1!AB45),L$117,0)+SUMIF(Récap1!AG45:AI45,"&gt;0",Q$117:S$117)</f>
        <v>0.32647381397929243</v>
      </c>
      <c r="AQ45" s="1148">
        <f t="shared" si="20"/>
        <v>94.632795879847194</v>
      </c>
      <c r="AR45" s="1104">
        <f t="shared" si="21"/>
        <v>81.804396155059138</v>
      </c>
      <c r="AS45" s="1884">
        <f>IF(ISNUMBER(Récap1!AC45),Récap1!AC45/M$118,Récap1!AC45)</f>
        <v>1677.0262958332708</v>
      </c>
      <c r="AT45" s="1104" t="str">
        <f>IF(ISNUMBER(Récap1!AD45),Récap1!AD45/N$118,Récap1!AD45)</f>
        <v>PVL</v>
      </c>
      <c r="AU45" s="1104" t="str">
        <f>IF(ISNUMBER(Récap1!AE45),Récap1!AE45/O$118,Récap1!AE45)</f>
        <v>PVL</v>
      </c>
      <c r="AV45" s="1104" t="str">
        <f>IF(ISNUMBER(Récap1!AF45),Récap1!AF45/P$118,Récap1!AF45)</f>
        <v>PVL</v>
      </c>
      <c r="AW45" s="1104"/>
      <c r="AX45" s="1104"/>
      <c r="AY45" s="1104"/>
      <c r="AZ45" s="1973" t="str">
        <f>IF(ISNUMBER(Récap1!AJ45),Récap1!AJ45/T$118,Récap1!AJ45)</f>
        <v>PVL</v>
      </c>
      <c r="BA45" s="1104" t="str">
        <f>IF(ISNUMBER(Récap1!AK45),Récap1!AK45/U$118,Récap1!AK45)</f>
        <v>PVL</v>
      </c>
      <c r="BB45" s="1104" t="str">
        <f>IF(ISNUMBER(Récap1!AL45),Récap1!AL45/V$118,Récap1!AL45)</f>
        <v>PVL</v>
      </c>
      <c r="BC45" s="1895" t="str">
        <f>IF(ISNUMBER(Récap1!AM45),Récap1!AM45/W$118,Récap1!AM45)</f>
        <v>PVL</v>
      </c>
      <c r="BD45" s="1104">
        <f t="shared" si="22"/>
        <v>1677.0262958332708</v>
      </c>
      <c r="BE45" s="1080">
        <f>SUMIF(Récap1!AC45:AF45,"&gt;0",M$118:P$118)+SUMIF(Récap1!AJ45:AM45,"&gt;0",T$118:W$118)</f>
        <v>3.7406093496401338E-2</v>
      </c>
      <c r="BF45" s="1987">
        <f t="shared" si="23"/>
        <v>1677.0262958332708</v>
      </c>
      <c r="BG45" s="920">
        <f t="shared" si="24"/>
        <v>193.02879216823172</v>
      </c>
      <c r="BH45" s="919"/>
      <c r="BI45" s="343">
        <f t="shared" si="6"/>
        <v>25.984100015191228</v>
      </c>
      <c r="BJ45" s="343">
        <f t="shared" si="7"/>
        <v>30.166710854639089</v>
      </c>
      <c r="BK45" s="343">
        <f t="shared" si="8"/>
        <v>25.653585285228829</v>
      </c>
      <c r="BL45" s="874">
        <f t="shared" si="9"/>
        <v>63.957374327877673</v>
      </c>
      <c r="BM45" s="343">
        <f t="shared" si="10"/>
        <v>115.57769089020222</v>
      </c>
      <c r="BN45" s="343">
        <f t="shared" si="11"/>
        <v>13.151810049417037</v>
      </c>
      <c r="BO45" s="346">
        <f t="shared" si="12"/>
        <v>0.34191690073479697</v>
      </c>
      <c r="BP45" s="1064">
        <f>SUM(BI45:BK45)</f>
        <v>81.804396155059152</v>
      </c>
      <c r="BQ45" s="1064">
        <f>SUM(BL45:BO45)</f>
        <v>193.02879216823172</v>
      </c>
    </row>
    <row r="46" spans="1:69" s="742" customFormat="1" ht="12.75" hidden="1" customHeight="1">
      <c r="A46" s="732"/>
      <c r="B46" s="733"/>
      <c r="C46" s="77"/>
      <c r="D46" s="783"/>
      <c r="E46" s="736" t="str">
        <f>ExpoRisk!E146</f>
        <v>Equivalent air du sol</v>
      </c>
      <c r="F46" s="737" t="s">
        <v>93</v>
      </c>
      <c r="G46" s="738" t="s">
        <v>24</v>
      </c>
      <c r="H46" s="740">
        <f>Récap1!X46</f>
        <v>254.61051576478127</v>
      </c>
      <c r="I46" s="740">
        <f>Récap1!Y46</f>
        <v>6177.6848685980631</v>
      </c>
      <c r="J46" s="740">
        <f>Récap1!Z46</f>
        <v>1393.0841357087588</v>
      </c>
      <c r="K46" s="741">
        <f>Récap1!AA46</f>
        <v>4672.8199123268923</v>
      </c>
      <c r="L46" s="740">
        <f>IF(ISNUMBER(Récap1!AB46),Récap1!AB46,I46/I$117*L$117)</f>
        <v>5465.7636998254347</v>
      </c>
      <c r="M46" s="878">
        <f>IF(ISNUMBER(Récap1!AC46),Récap1!AC46,L46/L$118*M$118)</f>
        <v>3296.814847141964</v>
      </c>
      <c r="N46" s="740">
        <f>IF(ISNUMBER(Récap1!AD46),Récap1!AD46,M46/M$118*N$118)</f>
        <v>5863.5709139849878</v>
      </c>
      <c r="O46" s="740">
        <f>IF(ISNUMBER(Récap1!AE46),Récap1!AE46,N46/N$118*O$118)</f>
        <v>556.76497721922146</v>
      </c>
      <c r="P46" s="879">
        <f>IF(ISNUMBER(Récap1!AF46),Récap1!AF46,O46/O$118*P$118)</f>
        <v>3.8267489348666239</v>
      </c>
      <c r="Q46" s="740">
        <f>IF(ISNUMBER(Récap1!AG46),Récap1!AG46,I46/I$117*Q$117)</f>
        <v>15398.321054502658</v>
      </c>
      <c r="R46" s="740">
        <f>IF(ISNUMBER(Récap1!AH46),Récap1!AH46,Q46/Q$117*R$117)</f>
        <v>11904.13898263577</v>
      </c>
      <c r="S46" s="740">
        <f>IF(ISNUMBER(Récap1!AI46),Récap1!AI46,R46/R$117*S$117)</f>
        <v>3212.3810103991254</v>
      </c>
      <c r="T46" s="878">
        <f>IF(ISNUMBER(Récap1!AJ46),Récap1!AJ46,S46/S$118*T$118)</f>
        <v>735.0831504249818</v>
      </c>
      <c r="U46" s="740">
        <f>IF(ISNUMBER(Récap1!AK46),Récap1!AK46,T46/T$118*U$118)</f>
        <v>2401.823810942642</v>
      </c>
      <c r="V46" s="740">
        <f>IF(ISNUMBER(Récap1!AL46),Récap1!AL46,U46/U$118*V$118)</f>
        <v>1533.1483425968547</v>
      </c>
      <c r="W46" s="740">
        <f>IF(ISNUMBER(Récap1!AM46),Récap1!AM46,V46/V$118*W$118)</f>
        <v>161.2990867157838</v>
      </c>
      <c r="Y46" s="1885">
        <f>IF(ISNUMBER(Récap1!X46),Récap1!X46/H$117,Récap1!X46)</f>
        <v>22227.5777413615</v>
      </c>
      <c r="Z46" s="1896">
        <f>IF(ISNUMBER(Récap1!Y46),Récap1!Y46/I$117,Récap1!Y46)</f>
        <v>45306.094522952029</v>
      </c>
      <c r="AA46" s="1944"/>
      <c r="AB46" s="1944"/>
      <c r="AC46" s="1093">
        <f>IF(ISNUMBER(Récap1!AB46),Récap1!AB46/L$117,Récap1!AB46)</f>
        <v>30592.295758384174</v>
      </c>
      <c r="AD46" s="1944"/>
      <c r="AE46" s="1944"/>
      <c r="AF46" s="1944"/>
      <c r="AG46" s="1896"/>
      <c r="AH46" s="1944" t="str">
        <f>IF(ISNUMBER(Récap1!AG46),Récap1!AG46/Q$117,Récap1!AG46)</f>
        <v>PVL</v>
      </c>
      <c r="AI46" s="1944" t="str">
        <f>IF(ISNUMBER(Récap1!AH46),Récap1!AH46/R$117,Récap1!AH46)</f>
        <v>PVL</v>
      </c>
      <c r="AJ46" s="1896" t="str">
        <f>IF(ISNUMBER(Récap1!AI46),Récap1!AI46/S$117,Récap1!AI46)</f>
        <v>PVL</v>
      </c>
      <c r="AK46" s="1944"/>
      <c r="AL46" s="1944"/>
      <c r="AM46" s="1944"/>
      <c r="AN46" s="1945"/>
      <c r="AO46" s="1121">
        <f t="shared" si="19"/>
        <v>30592.295758384174</v>
      </c>
      <c r="AP46" s="1070">
        <f>SUMIF(Récap1!X46:Y46,"&gt;0",H$117:I$117)+IF(ISNUMBER(Récap1!AB46),L$117,0)+SUMIF(Récap1!AG46:AI46,"&gt;0",Q$117:S$117)</f>
        <v>0.32647381397929243</v>
      </c>
      <c r="AQ46" s="1149">
        <f t="shared" si="20"/>
        <v>36444.145210809918</v>
      </c>
      <c r="AR46" s="1911">
        <f t="shared" si="21"/>
        <v>42412.900131725837</v>
      </c>
      <c r="AS46" s="1885">
        <f>IF(ISNUMBER(Récap1!AC46),Récap1!AC46/M$118,Récap1!AC46)</f>
        <v>88135.769843465067</v>
      </c>
      <c r="AT46" s="1944" t="str">
        <f>IF(ISNUMBER(Récap1!AD46),Récap1!AD46/N$118,Récap1!AD46)</f>
        <v>PVL</v>
      </c>
      <c r="AU46" s="1944" t="str">
        <f>IF(ISNUMBER(Récap1!AE46),Récap1!AE46/O$118,Récap1!AE46)</f>
        <v>PVL</v>
      </c>
      <c r="AV46" s="1944" t="str">
        <f>IF(ISNUMBER(Récap1!AF46),Récap1!AF46/P$118,Récap1!AF46)</f>
        <v>PVL</v>
      </c>
      <c r="AW46" s="1944"/>
      <c r="AX46" s="1944"/>
      <c r="AY46" s="1944"/>
      <c r="AZ46" s="1977" t="str">
        <f>IF(ISNUMBER(Récap1!AJ46),Récap1!AJ46/T$118,Récap1!AJ46)</f>
        <v>PVL</v>
      </c>
      <c r="BA46" s="1944" t="str">
        <f>IF(ISNUMBER(Récap1!AK46),Récap1!AK46/U$118,Récap1!AK46)</f>
        <v>PVL</v>
      </c>
      <c r="BB46" s="1944" t="str">
        <f>IF(ISNUMBER(Récap1!AL46),Récap1!AL46/V$118,Récap1!AL46)</f>
        <v>PVL</v>
      </c>
      <c r="BC46" s="1896" t="str">
        <f>IF(ISNUMBER(Récap1!AM46),Récap1!AM46/W$118,Récap1!AM46)</f>
        <v>PVL</v>
      </c>
      <c r="BD46" s="1121">
        <f t="shared" si="22"/>
        <v>88135.769843465067</v>
      </c>
      <c r="BE46" s="1081">
        <f>SUMIF(Récap1!AC46:AF46,"&gt;0",M$118:P$118)+SUMIF(Récap1!AJ46:AM46,"&gt;0",T$118:W$118)</f>
        <v>3.7406093496401338E-2</v>
      </c>
      <c r="BF46" s="1978">
        <f t="shared" si="23"/>
        <v>88135.769843465067</v>
      </c>
      <c r="BG46" s="978">
        <f t="shared" si="24"/>
        <v>14552.331877961304</v>
      </c>
      <c r="BH46" s="743"/>
      <c r="BI46" s="740">
        <f t="shared" si="6"/>
        <v>15652.931570267439</v>
      </c>
      <c r="BJ46" s="740">
        <f t="shared" si="7"/>
        <v>18081.823851233832</v>
      </c>
      <c r="BK46" s="740">
        <f t="shared" si="8"/>
        <v>8678.1447102245602</v>
      </c>
      <c r="BL46" s="878">
        <f t="shared" si="9"/>
        <v>4031.8979975669458</v>
      </c>
      <c r="BM46" s="740">
        <f t="shared" si="10"/>
        <v>8265.3947249276298</v>
      </c>
      <c r="BN46" s="740">
        <f t="shared" si="11"/>
        <v>2089.9133198160762</v>
      </c>
      <c r="BO46" s="741">
        <f t="shared" si="12"/>
        <v>165.12583565065043</v>
      </c>
    </row>
    <row r="47" spans="1:69" s="782" customFormat="1" ht="13.5" hidden="1" customHeight="1">
      <c r="A47" s="1592"/>
      <c r="B47" s="245"/>
      <c r="C47" s="777"/>
      <c r="D47" s="784"/>
      <c r="E47" s="853" t="s">
        <v>953</v>
      </c>
      <c r="F47" s="779" t="s">
        <v>19</v>
      </c>
      <c r="G47" s="1609" t="s">
        <v>20</v>
      </c>
      <c r="H47" s="781">
        <f>Récap1!X47</f>
        <v>319.62695179224272</v>
      </c>
      <c r="I47" s="781" t="str">
        <f>Récap1!Y47</f>
        <v>PVL</v>
      </c>
      <c r="J47" s="781" t="str">
        <f>Récap1!Z47</f>
        <v>PVL</v>
      </c>
      <c r="K47" s="608">
        <f>Récap1!AA47</f>
        <v>27.563637202416864</v>
      </c>
      <c r="L47" s="781" t="e">
        <f>IF(ISNUMBER(Récap1!AB47),Récap1!AB47,I47/I$117*L$117)</f>
        <v>#VALUE!</v>
      </c>
      <c r="M47" s="880" t="e">
        <f>IF(ISNUMBER(Récap1!AC47),Récap1!AC47,L47/L$118*M$118)</f>
        <v>#VALUE!</v>
      </c>
      <c r="N47" s="781" t="e">
        <f>IF(ISNUMBER(Récap1!AD47),Récap1!AD47,M47/M$118*N$118)</f>
        <v>#VALUE!</v>
      </c>
      <c r="O47" s="781" t="e">
        <f>IF(ISNUMBER(Récap1!AE47),Récap1!AE47,N47/N$118*O$118)</f>
        <v>#VALUE!</v>
      </c>
      <c r="P47" s="881" t="e">
        <f>IF(ISNUMBER(Récap1!AF47),Récap1!AF47,O47/O$118*P$118)</f>
        <v>#VALUE!</v>
      </c>
      <c r="Q47" s="781" t="e">
        <f>IF(ISNUMBER(Récap1!AG47),Récap1!AG47,I47/I$117*Q$117)</f>
        <v>#VALUE!</v>
      </c>
      <c r="R47" s="781" t="e">
        <f>IF(ISNUMBER(Récap1!AH47),Récap1!AH47,Q47/Q$117*R$117)</f>
        <v>#VALUE!</v>
      </c>
      <c r="S47" s="781" t="e">
        <f>IF(ISNUMBER(Récap1!AI47),Récap1!AI47,R47/R$117*S$117)</f>
        <v>#VALUE!</v>
      </c>
      <c r="T47" s="880" t="e">
        <f>IF(ISNUMBER(Récap1!AJ47),Récap1!AJ47,S47/S$118*T$118)</f>
        <v>#VALUE!</v>
      </c>
      <c r="U47" s="781" t="e">
        <f>IF(ISNUMBER(Récap1!AK47),Récap1!AK47,T47/T$118*U$118)</f>
        <v>#VALUE!</v>
      </c>
      <c r="V47" s="781" t="e">
        <f>IF(ISNUMBER(Récap1!AL47),Récap1!AL47,U47/U$118*V$118)</f>
        <v>#VALUE!</v>
      </c>
      <c r="W47" s="781" t="e">
        <f>IF(ISNUMBER(Récap1!AM47),Récap1!AM47,V47/V$118*W$118)</f>
        <v>#VALUE!</v>
      </c>
      <c r="Y47" s="1886">
        <f>IF(ISNUMBER(Récap1!X47),Récap1!X47/H$117,Récap1!X47)</f>
        <v>27903.532962322392</v>
      </c>
      <c r="Z47" s="1897" t="str">
        <f>IF(ISNUMBER(Récap1!Y47),Récap1!Y47/I$117,Récap1!Y47)</f>
        <v>PVL</v>
      </c>
      <c r="AA47" s="1086"/>
      <c r="AB47" s="1086"/>
      <c r="AC47" s="1094" t="str">
        <f>IF(ISNUMBER(Récap1!AB47),Récap1!AB47/L$117,Récap1!AB47)</f>
        <v>PVL</v>
      </c>
      <c r="AD47" s="1086"/>
      <c r="AE47" s="1086"/>
      <c r="AF47" s="1086"/>
      <c r="AG47" s="1897"/>
      <c r="AH47" s="1086" t="str">
        <f>IF(ISNUMBER(Récap1!AG47),Récap1!AG47/Q$117,Récap1!AG47)</f>
        <v>PVL</v>
      </c>
      <c r="AI47" s="1086" t="str">
        <f>IF(ISNUMBER(Récap1!AH47),Récap1!AH47/R$117,Récap1!AH47)</f>
        <v>PVL</v>
      </c>
      <c r="AJ47" s="1897" t="str">
        <f>IF(ISNUMBER(Récap1!AI47),Récap1!AI47/S$117,Récap1!AI47)</f>
        <v>PVL</v>
      </c>
      <c r="AK47" s="1086"/>
      <c r="AL47" s="1086"/>
      <c r="AM47" s="1086"/>
      <c r="AN47" s="1946"/>
      <c r="AO47" s="1122" t="str">
        <f t="shared" si="19"/>
        <v>PVL</v>
      </c>
      <c r="AP47" s="1071">
        <f>SUMIF(Récap1!X47:Y47,"&gt;0",H$117:I$117)+IF(ISNUMBER(Récap1!AB47),L$117,0)+SUMIF(Récap1!AG47:AI47,"&gt;0",Q$117:S$117)</f>
        <v>1.145471264243954E-2</v>
      </c>
      <c r="AQ47" s="1150">
        <f t="shared" si="20"/>
        <v>27903.532962322392</v>
      </c>
      <c r="AR47" s="1089" t="e">
        <f t="shared" si="21"/>
        <v>#VALUE!</v>
      </c>
      <c r="AS47" s="1886" t="str">
        <f>IF(ISNUMBER(Récap1!AC47),Récap1!AC47/M$118,Récap1!AC47)</f>
        <v>PVL</v>
      </c>
      <c r="AT47" s="1086" t="str">
        <f>IF(ISNUMBER(Récap1!AD47),Récap1!AD47/N$118,Récap1!AD47)</f>
        <v>PVL</v>
      </c>
      <c r="AU47" s="1086" t="str">
        <f>IF(ISNUMBER(Récap1!AE47),Récap1!AE47/O$118,Récap1!AE47)</f>
        <v>PVL</v>
      </c>
      <c r="AV47" s="1086" t="str">
        <f>IF(ISNUMBER(Récap1!AF47),Récap1!AF47/P$118,Récap1!AF47)</f>
        <v>PVL</v>
      </c>
      <c r="AW47" s="1086"/>
      <c r="AX47" s="1086"/>
      <c r="AY47" s="1086"/>
      <c r="AZ47" s="1979" t="str">
        <f>IF(ISNUMBER(Récap1!AJ47),Récap1!AJ47/T$118,Récap1!AJ47)</f>
        <v>PVL</v>
      </c>
      <c r="BA47" s="1086" t="str">
        <f>IF(ISNUMBER(Récap1!AK47),Récap1!AK47/U$118,Récap1!AK47)</f>
        <v>PVL</v>
      </c>
      <c r="BB47" s="1086" t="str">
        <f>IF(ISNUMBER(Récap1!AL47),Récap1!AL47/V$118,Récap1!AL47)</f>
        <v>PVL</v>
      </c>
      <c r="BC47" s="1897" t="str">
        <f>IF(ISNUMBER(Récap1!AM47),Récap1!AM47/W$118,Récap1!AM47)</f>
        <v>PVL</v>
      </c>
      <c r="BD47" s="1122" t="str">
        <f t="shared" si="22"/>
        <v>PVL</v>
      </c>
      <c r="BE47" s="1082">
        <f>SUMIF(Récap1!AC47:AF47,"&gt;0",M$118:P$118)+SUMIF(Récap1!AJ47:AM47,"&gt;0",T$118:W$118)</f>
        <v>0</v>
      </c>
      <c r="BF47" s="1980" t="str">
        <f t="shared" si="23"/>
        <v>PVL</v>
      </c>
      <c r="BG47" s="979" t="e">
        <f t="shared" si="24"/>
        <v>#VALUE!</v>
      </c>
      <c r="BH47" s="921"/>
      <c r="BI47" s="781" t="e">
        <f t="shared" si="6"/>
        <v>#VALUE!</v>
      </c>
      <c r="BJ47" s="781" t="e">
        <f t="shared" si="7"/>
        <v>#VALUE!</v>
      </c>
      <c r="BK47" s="781" t="e">
        <f t="shared" si="8"/>
        <v>#VALUE!</v>
      </c>
      <c r="BL47" s="880" t="e">
        <f t="shared" si="9"/>
        <v>#VALUE!</v>
      </c>
      <c r="BM47" s="781" t="e">
        <f t="shared" si="10"/>
        <v>#VALUE!</v>
      </c>
      <c r="BN47" s="781" t="e">
        <f t="shared" si="11"/>
        <v>#VALUE!</v>
      </c>
      <c r="BO47" s="608" t="e">
        <f t="shared" si="12"/>
        <v>#VALUE!</v>
      </c>
    </row>
    <row r="48" spans="1:69" s="782" customFormat="1" ht="13.5" hidden="1" customHeight="1">
      <c r="A48" s="1592"/>
      <c r="B48" s="245"/>
      <c r="C48" s="777"/>
      <c r="D48" s="784"/>
      <c r="E48" s="853" t="s">
        <v>983</v>
      </c>
      <c r="F48" s="779" t="s">
        <v>19</v>
      </c>
      <c r="G48" s="1609" t="s">
        <v>20</v>
      </c>
      <c r="H48" s="781" t="str">
        <f>Récap1!X48</f>
        <v>PVL</v>
      </c>
      <c r="I48" s="781" t="str">
        <f>Récap1!Y48</f>
        <v>PVL</v>
      </c>
      <c r="J48" s="781" t="str">
        <f>Récap1!Z48</f>
        <v>PVL</v>
      </c>
      <c r="K48" s="608">
        <f>Récap1!AA48</f>
        <v>52.586854558020363</v>
      </c>
      <c r="L48" s="781" t="e">
        <f>IF(ISNUMBER(Récap1!AB48),Récap1!AB48,I48/I$117*L$117)</f>
        <v>#VALUE!</v>
      </c>
      <c r="M48" s="880" t="e">
        <f>IF(ISNUMBER(Récap1!AC48),Récap1!AC48,L48/L$118*M$118)</f>
        <v>#VALUE!</v>
      </c>
      <c r="N48" s="781" t="e">
        <f>IF(ISNUMBER(Récap1!AD48),Récap1!AD48,M48/M$118*N$118)</f>
        <v>#VALUE!</v>
      </c>
      <c r="O48" s="781" t="e">
        <f>IF(ISNUMBER(Récap1!AE48),Récap1!AE48,N48/N$118*O$118)</f>
        <v>#VALUE!</v>
      </c>
      <c r="P48" s="881" t="e">
        <f>IF(ISNUMBER(Récap1!AF48),Récap1!AF48,O48/O$118*P$118)</f>
        <v>#VALUE!</v>
      </c>
      <c r="Q48" s="781" t="e">
        <f>IF(ISNUMBER(Récap1!AG48),Récap1!AG48,I48/I$117*Q$117)</f>
        <v>#VALUE!</v>
      </c>
      <c r="R48" s="781" t="e">
        <f>IF(ISNUMBER(Récap1!AH48),Récap1!AH48,Q48/Q$117*R$117)</f>
        <v>#VALUE!</v>
      </c>
      <c r="S48" s="781" t="e">
        <f>IF(ISNUMBER(Récap1!AI48),Récap1!AI48,R48/R$117*S$117)</f>
        <v>#VALUE!</v>
      </c>
      <c r="T48" s="880" t="e">
        <f>IF(ISNUMBER(Récap1!AJ48),Récap1!AJ48,S48/S$118*T$118)</f>
        <v>#VALUE!</v>
      </c>
      <c r="U48" s="781" t="e">
        <f>IF(ISNUMBER(Récap1!AK48),Récap1!AK48,T48/T$118*U$118)</f>
        <v>#VALUE!</v>
      </c>
      <c r="V48" s="781" t="e">
        <f>IF(ISNUMBER(Récap1!AL48),Récap1!AL48,U48/U$118*V$118)</f>
        <v>#VALUE!</v>
      </c>
      <c r="W48" s="781" t="e">
        <f>IF(ISNUMBER(Récap1!AM48),Récap1!AM48,V48/V$118*W$118)</f>
        <v>#VALUE!</v>
      </c>
      <c r="Y48" s="1886" t="str">
        <f>IF(ISNUMBER(Récap1!X48),Récap1!X48/H$117,Récap1!X48)</f>
        <v>PVL</v>
      </c>
      <c r="Z48" s="1897" t="str">
        <f>IF(ISNUMBER(Récap1!Y48),Récap1!Y48/I$117,Récap1!Y48)</f>
        <v>PVL</v>
      </c>
      <c r="AA48" s="1086"/>
      <c r="AB48" s="1086"/>
      <c r="AC48" s="1094" t="str">
        <f>IF(ISNUMBER(Récap1!AB48),Récap1!AB48/L$117,Récap1!AB48)</f>
        <v>PVL</v>
      </c>
      <c r="AD48" s="1086"/>
      <c r="AE48" s="1086"/>
      <c r="AF48" s="1086"/>
      <c r="AG48" s="1897"/>
      <c r="AH48" s="1086" t="str">
        <f>IF(ISNUMBER(Récap1!AG48),Récap1!AG48/Q$117,Récap1!AG48)</f>
        <v>PVL</v>
      </c>
      <c r="AI48" s="1086" t="str">
        <f>IF(ISNUMBER(Récap1!AH48),Récap1!AH48/R$117,Récap1!AH48)</f>
        <v>PVL</v>
      </c>
      <c r="AJ48" s="1897" t="str">
        <f>IF(ISNUMBER(Récap1!AI48),Récap1!AI48/S$117,Récap1!AI48)</f>
        <v>PVL</v>
      </c>
      <c r="AK48" s="1086"/>
      <c r="AL48" s="1086"/>
      <c r="AM48" s="1086"/>
      <c r="AN48" s="1946"/>
      <c r="AO48" s="1122" t="str">
        <f t="shared" si="19"/>
        <v>PVL</v>
      </c>
      <c r="AP48" s="1071">
        <f>SUMIF(Récap1!X48:Y48,"&gt;0",H$117:I$117)+IF(ISNUMBER(Récap1!AB48),L$117,0)+SUMIF(Récap1!AG48:AI48,"&gt;0",Q$117:S$117)</f>
        <v>0</v>
      </c>
      <c r="AQ48" s="1150" t="str">
        <f t="shared" si="20"/>
        <v>PVL</v>
      </c>
      <c r="AR48" s="1089" t="e">
        <f t="shared" si="21"/>
        <v>#VALUE!</v>
      </c>
      <c r="AS48" s="1886" t="str">
        <f>IF(ISNUMBER(Récap1!AC48),Récap1!AC48/M$118,Récap1!AC48)</f>
        <v>PVL</v>
      </c>
      <c r="AT48" s="1086" t="str">
        <f>IF(ISNUMBER(Récap1!AD48),Récap1!AD48/N$118,Récap1!AD48)</f>
        <v>PVL</v>
      </c>
      <c r="AU48" s="1086" t="str">
        <f>IF(ISNUMBER(Récap1!AE48),Récap1!AE48/O$118,Récap1!AE48)</f>
        <v>PVL</v>
      </c>
      <c r="AV48" s="1086" t="str">
        <f>IF(ISNUMBER(Récap1!AF48),Récap1!AF48/P$118,Récap1!AF48)</f>
        <v>PVL</v>
      </c>
      <c r="AW48" s="1086"/>
      <c r="AX48" s="1086"/>
      <c r="AY48" s="1086"/>
      <c r="AZ48" s="1979" t="str">
        <f>IF(ISNUMBER(Récap1!AJ48),Récap1!AJ48/T$118,Récap1!AJ48)</f>
        <v>PVL</v>
      </c>
      <c r="BA48" s="1086" t="str">
        <f>IF(ISNUMBER(Récap1!AK48),Récap1!AK48/U$118,Récap1!AK48)</f>
        <v>PVL</v>
      </c>
      <c r="BB48" s="1086" t="str">
        <f>IF(ISNUMBER(Récap1!AL48),Récap1!AL48/V$118,Récap1!AL48)</f>
        <v>PVL</v>
      </c>
      <c r="BC48" s="1897" t="str">
        <f>IF(ISNUMBER(Récap1!AM48),Récap1!AM48/W$118,Récap1!AM48)</f>
        <v>PVL</v>
      </c>
      <c r="BD48" s="1122" t="str">
        <f t="shared" si="22"/>
        <v>PVL</v>
      </c>
      <c r="BE48" s="1082">
        <f>SUMIF(Récap1!AC48:AF48,"&gt;0",M$118:P$118)+SUMIF(Récap1!AJ48:AM48,"&gt;0",T$118:W$118)</f>
        <v>0</v>
      </c>
      <c r="BF48" s="1980" t="str">
        <f t="shared" si="23"/>
        <v>PVL</v>
      </c>
      <c r="BG48" s="979" t="e">
        <f t="shared" si="24"/>
        <v>#VALUE!</v>
      </c>
      <c r="BH48" s="921"/>
      <c r="BI48" s="781" t="e">
        <f t="shared" si="6"/>
        <v>#VALUE!</v>
      </c>
      <c r="BJ48" s="781" t="e">
        <f t="shared" si="7"/>
        <v>#VALUE!</v>
      </c>
      <c r="BK48" s="781" t="e">
        <f t="shared" si="8"/>
        <v>#VALUE!</v>
      </c>
      <c r="BL48" s="880" t="e">
        <f t="shared" si="9"/>
        <v>#VALUE!</v>
      </c>
      <c r="BM48" s="781" t="e">
        <f t="shared" si="10"/>
        <v>#VALUE!</v>
      </c>
      <c r="BN48" s="781" t="e">
        <f t="shared" si="11"/>
        <v>#VALUE!</v>
      </c>
      <c r="BO48" s="608" t="e">
        <f t="shared" si="12"/>
        <v>#VALUE!</v>
      </c>
    </row>
    <row r="49" spans="1:67" s="998" customFormat="1" ht="12.75" hidden="1" customHeight="1">
      <c r="A49" s="1593"/>
      <c r="B49" s="988"/>
      <c r="C49" s="989"/>
      <c r="D49" s="1011"/>
      <c r="E49" s="991" t="s">
        <v>954</v>
      </c>
      <c r="F49" s="992" t="s">
        <v>19</v>
      </c>
      <c r="G49" s="1610" t="s">
        <v>20</v>
      </c>
      <c r="H49" s="994">
        <f>Récap1!X49</f>
        <v>0.2943962154063326</v>
      </c>
      <c r="I49" s="994">
        <f>Récap1!Y49</f>
        <v>10.306506396441879</v>
      </c>
      <c r="J49" s="994">
        <f>Récap1!Z49</f>
        <v>3.9244799999999995</v>
      </c>
      <c r="K49" s="995">
        <f>Récap1!AA49</f>
        <v>19.622400000000003</v>
      </c>
      <c r="L49" s="994">
        <f>IF(ISNUMBER(Récap1!AB49),Récap1!AB49,I49/I$117*L$117)</f>
        <v>20.294227186569373</v>
      </c>
      <c r="M49" s="996">
        <f>IF(ISNUMBER(Récap1!AC49),Récap1!AC49,L49/L$118*M$118)</f>
        <v>62.731002417862939</v>
      </c>
      <c r="N49" s="994">
        <f>IF(ISNUMBER(Récap1!AD49),Récap1!AD49,M49/M$118*N$118)</f>
        <v>111.57062141399172</v>
      </c>
      <c r="O49" s="994">
        <f>IF(ISNUMBER(Récap1!AE49),Récap1!AE49,N49/N$118*O$118)</f>
        <v>10.593990488243037</v>
      </c>
      <c r="P49" s="997">
        <f>IF(ISNUMBER(Récap1!AF49),Récap1!AF49,O49/O$118*P$118)</f>
        <v>7.2814461174178141E-2</v>
      </c>
      <c r="Q49" s="994">
        <f>IF(ISNUMBER(Récap1!AG49),Récap1!AG49,I49/I$117*Q$117)</f>
        <v>25.689703799784894</v>
      </c>
      <c r="R49" s="994">
        <f>IF(ISNUMBER(Récap1!AH49),Récap1!AH49,Q49/Q$117*R$117)</f>
        <v>19.860204458197209</v>
      </c>
      <c r="S49" s="994">
        <f>IF(ISNUMBER(Récap1!AI49),Récap1!AI49,R49/R$117*S$117)</f>
        <v>5.3593580986594578</v>
      </c>
      <c r="T49" s="996">
        <f>IF(ISNUMBER(Récap1!AJ49),Récap1!AJ49,S49/S$118*T$118)</f>
        <v>1.2263719100147334</v>
      </c>
      <c r="U49" s="994">
        <f>IF(ISNUMBER(Récap1!AK49),Récap1!AK49,T49/T$118*U$118)</f>
        <v>4.0070694762104972</v>
      </c>
      <c r="V49" s="994">
        <f>IF(ISNUMBER(Récap1!AL49),Récap1!AL49,U49/U$118*V$118)</f>
        <v>2.5578195611739996</v>
      </c>
      <c r="W49" s="994">
        <f>IF(ISNUMBER(Récap1!AM49),Récap1!AM49,V49/V$118*W$118)</f>
        <v>0.2691024395606188</v>
      </c>
      <c r="Y49" s="1887">
        <f>IF(ISNUMBER(Récap1!X49),Récap1!X49/H$117,Récap1!X49)</f>
        <v>25.700881776431387</v>
      </c>
      <c r="Z49" s="1898">
        <f>IF(ISNUMBER(Récap1!Y49),Récap1!Y49/I$117,Récap1!Y49)</f>
        <v>75.586172317101784</v>
      </c>
      <c r="AA49" s="1105"/>
      <c r="AB49" s="1105"/>
      <c r="AC49" s="1095">
        <f>IF(ISNUMBER(Récap1!AB49),Récap1!AB49/L$117,Récap1!AB49)</f>
        <v>113.58833538654436</v>
      </c>
      <c r="AD49" s="1105"/>
      <c r="AE49" s="1105"/>
      <c r="AF49" s="1105"/>
      <c r="AG49" s="1898"/>
      <c r="AH49" s="1105" t="str">
        <f>IF(ISNUMBER(Récap1!AG49),Récap1!AG49/Q$117,Récap1!AG49)</f>
        <v>PVL</v>
      </c>
      <c r="AI49" s="1105" t="str">
        <f>IF(ISNUMBER(Récap1!AH49),Récap1!AH49/R$117,Récap1!AH49)</f>
        <v>PVL</v>
      </c>
      <c r="AJ49" s="1898" t="str">
        <f>IF(ISNUMBER(Récap1!AI49),Récap1!AI49/S$117,Récap1!AI49)</f>
        <v>PVL</v>
      </c>
      <c r="AK49" s="1105"/>
      <c r="AL49" s="1105"/>
      <c r="AM49" s="1105"/>
      <c r="AN49" s="1138"/>
      <c r="AO49" s="1105">
        <f t="shared" si="19"/>
        <v>113.58833538654436</v>
      </c>
      <c r="AP49" s="1069">
        <f>SUMIF(Récap1!X49:Y49,"&gt;0",H$117:I$117)+IF(ISNUMBER(Récap1!AB49),L$117,0)+SUMIF(Récap1!AG49:AI49,"&gt;0",Q$117:S$117)</f>
        <v>0.32647381397929243</v>
      </c>
      <c r="AQ49" s="1151">
        <f t="shared" si="20"/>
        <v>94.632795879847194</v>
      </c>
      <c r="AR49" s="1105">
        <f t="shared" si="21"/>
        <v>81.804396155059138</v>
      </c>
      <c r="AS49" s="1887">
        <f>IF(ISNUMBER(Récap1!AC49),Récap1!AC49/M$118,Récap1!AC49)</f>
        <v>1677.0262958332708</v>
      </c>
      <c r="AT49" s="1105" t="str">
        <f>IF(ISNUMBER(Récap1!AD49),Récap1!AD49/N$118,Récap1!AD49)</f>
        <v>PVL</v>
      </c>
      <c r="AU49" s="1105" t="str">
        <f>IF(ISNUMBER(Récap1!AE49),Récap1!AE49/O$118,Récap1!AE49)</f>
        <v>PVL</v>
      </c>
      <c r="AV49" s="1105" t="str">
        <f>IF(ISNUMBER(Récap1!AF49),Récap1!AF49/P$118,Récap1!AF49)</f>
        <v>PVL</v>
      </c>
      <c r="AW49" s="1105"/>
      <c r="AX49" s="1105"/>
      <c r="AY49" s="1105"/>
      <c r="AZ49" s="1981" t="str">
        <f>IF(ISNUMBER(Récap1!AJ49),Récap1!AJ49/T$118,Récap1!AJ49)</f>
        <v>PVL</v>
      </c>
      <c r="BA49" s="1105" t="str">
        <f>IF(ISNUMBER(Récap1!AK49),Récap1!AK49/U$118,Récap1!AK49)</f>
        <v>PVL</v>
      </c>
      <c r="BB49" s="1105" t="str">
        <f>IF(ISNUMBER(Récap1!AL49),Récap1!AL49/V$118,Récap1!AL49)</f>
        <v>PVL</v>
      </c>
      <c r="BC49" s="1898" t="str">
        <f>IF(ISNUMBER(Récap1!AM49),Récap1!AM49/W$118,Récap1!AM49)</f>
        <v>PVL</v>
      </c>
      <c r="BD49" s="1105">
        <f t="shared" si="22"/>
        <v>1677.0262958332708</v>
      </c>
      <c r="BE49" s="1080">
        <f>SUMIF(Récap1!AC49:AF49,"&gt;0",M$118:P$118)+SUMIF(Récap1!AJ49:AM49,"&gt;0",T$118:W$118)</f>
        <v>3.7406093496401338E-2</v>
      </c>
      <c r="BF49" s="1138">
        <f t="shared" si="23"/>
        <v>1677.0262958332708</v>
      </c>
      <c r="BG49" s="990">
        <f t="shared" si="24"/>
        <v>193.02879216823172</v>
      </c>
      <c r="BH49" s="999"/>
      <c r="BI49" s="994">
        <f t="shared" si="6"/>
        <v>25.984100015191228</v>
      </c>
      <c r="BJ49" s="994">
        <f t="shared" si="7"/>
        <v>30.166710854639089</v>
      </c>
      <c r="BK49" s="994">
        <f t="shared" si="8"/>
        <v>25.653585285228829</v>
      </c>
      <c r="BL49" s="996">
        <f t="shared" si="9"/>
        <v>63.957374327877673</v>
      </c>
      <c r="BM49" s="994">
        <f t="shared" si="10"/>
        <v>115.57769089020222</v>
      </c>
      <c r="BN49" s="994">
        <f t="shared" si="11"/>
        <v>13.151810049417037</v>
      </c>
      <c r="BO49" s="995">
        <f t="shared" si="12"/>
        <v>0.34191690073479697</v>
      </c>
    </row>
    <row r="50" spans="1:67" s="998" customFormat="1" ht="12.75" hidden="1" customHeight="1">
      <c r="A50" s="1593"/>
      <c r="B50" s="988"/>
      <c r="C50" s="989"/>
      <c r="D50" s="1011"/>
      <c r="E50" s="991" t="s">
        <v>984</v>
      </c>
      <c r="F50" s="992" t="s">
        <v>19</v>
      </c>
      <c r="G50" s="1610" t="s">
        <v>20</v>
      </c>
      <c r="H50" s="994">
        <f>Récap1!X50</f>
        <v>0.2943962154063326</v>
      </c>
      <c r="I50" s="994">
        <f>Récap1!Y50</f>
        <v>10.306506396441879</v>
      </c>
      <c r="J50" s="994">
        <f>Récap1!Z50</f>
        <v>3.9244799999999995</v>
      </c>
      <c r="K50" s="995">
        <f>Récap1!AA50</f>
        <v>19.622400000000003</v>
      </c>
      <c r="L50" s="994">
        <f>IF(ISNUMBER(Récap1!AB50),Récap1!AB50,I50/I$117*L$117)</f>
        <v>20.294227186569373</v>
      </c>
      <c r="M50" s="996">
        <f>IF(ISNUMBER(Récap1!AC50),Récap1!AC50,L50/L$118*M$118)</f>
        <v>62.731002417862939</v>
      </c>
      <c r="N50" s="994">
        <f>IF(ISNUMBER(Récap1!AD50),Récap1!AD50,M50/M$118*N$118)</f>
        <v>111.57062141399172</v>
      </c>
      <c r="O50" s="994">
        <f>IF(ISNUMBER(Récap1!AE50),Récap1!AE50,N50/N$118*O$118)</f>
        <v>10.593990488243037</v>
      </c>
      <c r="P50" s="997">
        <f>IF(ISNUMBER(Récap1!AF50),Récap1!AF50,O50/O$118*P$118)</f>
        <v>7.2814461174178141E-2</v>
      </c>
      <c r="Q50" s="994">
        <f>IF(ISNUMBER(Récap1!AG50),Récap1!AG50,I50/I$117*Q$117)</f>
        <v>25.689703799784894</v>
      </c>
      <c r="R50" s="994">
        <f>IF(ISNUMBER(Récap1!AH50),Récap1!AH50,Q50/Q$117*R$117)</f>
        <v>19.860204458197209</v>
      </c>
      <c r="S50" s="994">
        <f>IF(ISNUMBER(Récap1!AI50),Récap1!AI50,R50/R$117*S$117)</f>
        <v>5.3593580986594578</v>
      </c>
      <c r="T50" s="996">
        <f>IF(ISNUMBER(Récap1!AJ50),Récap1!AJ50,S50/S$118*T$118)</f>
        <v>1.2263719100147334</v>
      </c>
      <c r="U50" s="994">
        <f>IF(ISNUMBER(Récap1!AK50),Récap1!AK50,T50/T$118*U$118)</f>
        <v>4.0070694762104972</v>
      </c>
      <c r="V50" s="994">
        <f>IF(ISNUMBER(Récap1!AL50),Récap1!AL50,U50/U$118*V$118)</f>
        <v>2.5578195611739996</v>
      </c>
      <c r="W50" s="994">
        <f>IF(ISNUMBER(Récap1!AM50),Récap1!AM50,V50/V$118*W$118)</f>
        <v>0.2691024395606188</v>
      </c>
      <c r="Y50" s="1887">
        <f>IF(ISNUMBER(Récap1!X50),Récap1!X50/H$117,Récap1!X50)</f>
        <v>25.700881776431387</v>
      </c>
      <c r="Z50" s="1898">
        <f>IF(ISNUMBER(Récap1!Y50),Récap1!Y50/I$117,Récap1!Y50)</f>
        <v>75.586172317101784</v>
      </c>
      <c r="AA50" s="1105"/>
      <c r="AB50" s="1105"/>
      <c r="AC50" s="1095">
        <f>IF(ISNUMBER(Récap1!AB50),Récap1!AB50/L$117,Récap1!AB50)</f>
        <v>113.58833538654436</v>
      </c>
      <c r="AD50" s="1105"/>
      <c r="AE50" s="1105"/>
      <c r="AF50" s="1105"/>
      <c r="AG50" s="1898"/>
      <c r="AH50" s="1105" t="str">
        <f>IF(ISNUMBER(Récap1!AG50),Récap1!AG50/Q$117,Récap1!AG50)</f>
        <v>PVL</v>
      </c>
      <c r="AI50" s="1105" t="str">
        <f>IF(ISNUMBER(Récap1!AH50),Récap1!AH50/R$117,Récap1!AH50)</f>
        <v>PVL</v>
      </c>
      <c r="AJ50" s="1898" t="str">
        <f>IF(ISNUMBER(Récap1!AI50),Récap1!AI50/S$117,Récap1!AI50)</f>
        <v>PVL</v>
      </c>
      <c r="AK50" s="1105"/>
      <c r="AL50" s="1105"/>
      <c r="AM50" s="1105"/>
      <c r="AN50" s="1138"/>
      <c r="AO50" s="1105">
        <f t="shared" si="19"/>
        <v>113.58833538654436</v>
      </c>
      <c r="AP50" s="1069">
        <f>SUMIF(Récap1!X50:Y50,"&gt;0",H$117:I$117)+IF(ISNUMBER(Récap1!AB50),L$117,0)+SUMIF(Récap1!AG50:AI50,"&gt;0",Q$117:S$117)</f>
        <v>0.32647381397929243</v>
      </c>
      <c r="AQ50" s="1151">
        <f t="shared" si="20"/>
        <v>94.632795879847194</v>
      </c>
      <c r="AR50" s="1105">
        <f t="shared" si="21"/>
        <v>81.804396155059138</v>
      </c>
      <c r="AS50" s="1887">
        <f>IF(ISNUMBER(Récap1!AC50),Récap1!AC50/M$118,Récap1!AC50)</f>
        <v>1677.0262958332708</v>
      </c>
      <c r="AT50" s="1105" t="str">
        <f>IF(ISNUMBER(Récap1!AD50),Récap1!AD50/N$118,Récap1!AD50)</f>
        <v>PVL</v>
      </c>
      <c r="AU50" s="1105" t="str">
        <f>IF(ISNUMBER(Récap1!AE50),Récap1!AE50/O$118,Récap1!AE50)</f>
        <v>PVL</v>
      </c>
      <c r="AV50" s="1105" t="str">
        <f>IF(ISNUMBER(Récap1!AF50),Récap1!AF50/P$118,Récap1!AF50)</f>
        <v>PVL</v>
      </c>
      <c r="AW50" s="1105"/>
      <c r="AX50" s="1105"/>
      <c r="AY50" s="1105"/>
      <c r="AZ50" s="1981" t="str">
        <f>IF(ISNUMBER(Récap1!AJ50),Récap1!AJ50/T$118,Récap1!AJ50)</f>
        <v>PVL</v>
      </c>
      <c r="BA50" s="1105" t="str">
        <f>IF(ISNUMBER(Récap1!AK50),Récap1!AK50/U$118,Récap1!AK50)</f>
        <v>PVL</v>
      </c>
      <c r="BB50" s="1105" t="str">
        <f>IF(ISNUMBER(Récap1!AL50),Récap1!AL50/V$118,Récap1!AL50)</f>
        <v>PVL</v>
      </c>
      <c r="BC50" s="1898" t="str">
        <f>IF(ISNUMBER(Récap1!AM50),Récap1!AM50/W$118,Récap1!AM50)</f>
        <v>PVL</v>
      </c>
      <c r="BD50" s="1105">
        <f t="shared" si="22"/>
        <v>1677.0262958332708</v>
      </c>
      <c r="BE50" s="1080">
        <f>SUMIF(Récap1!AC50:AF50,"&gt;0",M$118:P$118)+SUMIF(Récap1!AJ50:AM50,"&gt;0",T$118:W$118)</f>
        <v>3.7406093496401338E-2</v>
      </c>
      <c r="BF50" s="1138">
        <f t="shared" si="23"/>
        <v>1677.0262958332708</v>
      </c>
      <c r="BG50" s="990">
        <f t="shared" si="24"/>
        <v>193.02879216823172</v>
      </c>
      <c r="BH50" s="999"/>
      <c r="BI50" s="994">
        <f t="shared" ref="BI50:BI73" si="25">SUM(Q50:Q50)+SUM(H50:H50)</f>
        <v>25.984100015191228</v>
      </c>
      <c r="BJ50" s="994">
        <f t="shared" ref="BJ50:BJ73" si="26">SUM(R50:R50)+SUM(I50:I50)</f>
        <v>30.166710854639089</v>
      </c>
      <c r="BK50" s="994">
        <f t="shared" ref="BK50:BK73" si="27">SUM(S50:S50)+SUM(L50:L50)</f>
        <v>25.653585285228829</v>
      </c>
      <c r="BL50" s="996">
        <f t="shared" ref="BL50:BL73" si="28">SUM(T50:T50)+SUM(M50:M50)</f>
        <v>63.957374327877673</v>
      </c>
      <c r="BM50" s="994">
        <f t="shared" ref="BM50:BM73" si="29">SUM(U50:U50)+SUM(N50:N50)</f>
        <v>115.57769089020222</v>
      </c>
      <c r="BN50" s="994">
        <f t="shared" ref="BN50:BN73" si="30">SUM(V50:V50)+SUM(O50:O50)</f>
        <v>13.151810049417037</v>
      </c>
      <c r="BO50" s="995">
        <f t="shared" ref="BO50:BO73" si="31">SUM(W50:W50)+SUM(P50:P50)</f>
        <v>0.34191690073479697</v>
      </c>
    </row>
    <row r="51" spans="1:67" s="513" customFormat="1" ht="13.5" hidden="1" customHeight="1">
      <c r="A51" s="1595"/>
      <c r="B51" s="510"/>
      <c r="C51" s="77"/>
      <c r="D51" s="784"/>
      <c r="E51" s="352" t="s">
        <v>660</v>
      </c>
      <c r="F51" s="800" t="str">
        <f>F49</f>
        <v>Cs</v>
      </c>
      <c r="G51" s="1612" t="str">
        <f>G49</f>
        <v>mg/kg ms</v>
      </c>
      <c r="H51" s="796">
        <f>Récap1!X51</f>
        <v>1.754223700777784E-2</v>
      </c>
      <c r="I51" s="796">
        <f>Récap1!Y51</f>
        <v>1.5601159508858542E-2</v>
      </c>
      <c r="J51" s="796">
        <f>Récap1!Z51</f>
        <v>2.7467644250260864E-2</v>
      </c>
      <c r="K51" s="802">
        <f>Récap1!AA51</f>
        <v>1.2461201679065631E-3</v>
      </c>
      <c r="L51" s="796">
        <f>IF(ISNUMBER(Récap1!AB51),Récap1!AB51,I51/I$117*L$117)</f>
        <v>6.315727857926912E-3</v>
      </c>
      <c r="M51" s="882">
        <f>IF(ISNUMBER(Récap1!AC51),Récap1!AC51,L51/L$118*M$118)</f>
        <v>8.5154918231512226E-3</v>
      </c>
      <c r="N51" s="796">
        <f>IF(ISNUMBER(Récap1!AD51),Récap1!AD51,M51/M$118*N$118)</f>
        <v>4.3505584443829494E-2</v>
      </c>
      <c r="O51" s="796">
        <f>IF(ISNUMBER(Récap1!AE51),Récap1!AE51,N51/N$118*O$118)</f>
        <v>0.34890349802377557</v>
      </c>
      <c r="P51" s="883">
        <f>IF(ISNUMBER(Récap1!AF51),Récap1!AF51,O51/O$118*P$118)</f>
        <v>2.3980784425454474E-3</v>
      </c>
      <c r="Q51" s="796">
        <f>IF(ISNUMBER(Récap1!AG51),Récap1!AG51,I51/I$117*Q$117)</f>
        <v>6.29011484708197E-3</v>
      </c>
      <c r="R51" s="796">
        <f>IF(ISNUMBER(Récap1!AH51),Récap1!AH51,Q51/Q$117*R$117)</f>
        <v>4.7819012449342634E-2</v>
      </c>
      <c r="S51" s="796">
        <f>IF(ISNUMBER(Récap1!AI51),Récap1!AI51,R51/R$117*S$117)</f>
        <v>9.5103001942881699E-3</v>
      </c>
      <c r="T51" s="882">
        <f>IF(ISNUMBER(Récap1!AJ51),Récap1!AJ51,S51/S$118*T$118)</f>
        <v>1.5332408405335814E-2</v>
      </c>
      <c r="U51" s="796">
        <f>IF(ISNUMBER(Récap1!AK51),Récap1!AK51,T51/T$118*U$118)</f>
        <v>0.37132861944557133</v>
      </c>
      <c r="V51" s="796">
        <f>IF(ISNUMBER(Récap1!AL51),Récap1!AL51,U51/U$118*V$118)</f>
        <v>0.23702898391964997</v>
      </c>
      <c r="W51" s="796">
        <f>IF(ISNUMBER(Récap1!AM51),Récap1!AM51,V51/V$118*W$118)</f>
        <v>2.493728595541592E-2</v>
      </c>
      <c r="Y51" s="1889">
        <f>IF(ISNUMBER(Récap1!X51),Récap1!X51/H$117,Récap1!X51)</f>
        <v>1.531442783015273</v>
      </c>
      <c r="Z51" s="1900">
        <f>IF(ISNUMBER(Récap1!Y51),Récap1!Y51/I$117,Récap1!Y51)</f>
        <v>0.11441626149771564</v>
      </c>
      <c r="AA51" s="1949"/>
      <c r="AB51" s="1949"/>
      <c r="AC51" s="1097">
        <f>IF(ISNUMBER(Récap1!AB51),Récap1!AB51/L$117,Récap1!AB51)</f>
        <v>3.5349609893551938E-2</v>
      </c>
      <c r="AD51" s="1949"/>
      <c r="AE51" s="1949"/>
      <c r="AF51" s="1949"/>
      <c r="AG51" s="1900"/>
      <c r="AH51" s="1949">
        <f>IF(ISNUMBER(Récap1!AG51),Récap1!AG51/Q$117,Récap1!AG51)</f>
        <v>1.8507247433887469E-2</v>
      </c>
      <c r="AI51" s="1949">
        <f>IF(ISNUMBER(Récap1!AH51),Récap1!AH51/R$117,Récap1!AH51)</f>
        <v>0.18199490960113443</v>
      </c>
      <c r="AJ51" s="1900">
        <f>IF(ISNUMBER(Récap1!AI51),Récap1!AI51/S$117,Récap1!AI51)</f>
        <v>0.1341293446042798</v>
      </c>
      <c r="AK51" s="1949"/>
      <c r="AL51" s="1949"/>
      <c r="AM51" s="1949"/>
      <c r="AN51" s="1950"/>
      <c r="AO51" s="1124">
        <f t="shared" si="19"/>
        <v>1.8507247433887469E-2</v>
      </c>
      <c r="AP51" s="1073">
        <f>SUMIF(Récap1!X51:Y51,"&gt;0",H$117:I$117)+IF(ISNUMBER(Récap1!AB51),L$117,0)+SUMIF(Récap1!AG51:AI51,"&gt;0",Q$117:S$117)</f>
        <v>1</v>
      </c>
      <c r="AQ51" s="1153">
        <f t="shared" si="20"/>
        <v>0.10307855186527606</v>
      </c>
      <c r="AR51" s="1913">
        <f t="shared" si="21"/>
        <v>0.10307855186527606</v>
      </c>
      <c r="AS51" s="1889">
        <f>IF(ISNUMBER(Récap1!AC51),Récap1!AC51/M$118,Récap1!AC51)</f>
        <v>0.22764985667296311</v>
      </c>
      <c r="AT51" s="1949">
        <f>IF(ISNUMBER(Récap1!AD51),Récap1!AD51/N$118,Récap1!AD51)</f>
        <v>0.65393567054872792</v>
      </c>
      <c r="AU51" s="1949">
        <f>IF(ISNUMBER(Récap1!AE51),Récap1!AE51/O$118,Récap1!AE51)</f>
        <v>55.231344746197017</v>
      </c>
      <c r="AV51" s="1949" t="str">
        <f>IF(ISNUMBER(Récap1!AF51),Récap1!AF51/P$118,Récap1!AF51)</f>
        <v>PVL</v>
      </c>
      <c r="AW51" s="1949"/>
      <c r="AX51" s="1949"/>
      <c r="AY51" s="1949"/>
      <c r="AZ51" s="1984">
        <f>IF(ISNUMBER(Récap1!AJ51),Récap1!AJ51/T$118,Récap1!AJ51)</f>
        <v>0.11326533442831706</v>
      </c>
      <c r="BA51" s="1949">
        <f>IF(ISNUMBER(Récap1!AK51),Récap1!AK51/U$118,Récap1!AK51)</f>
        <v>0.83953803720688558</v>
      </c>
      <c r="BB51" s="1949" t="str">
        <f>IF(ISNUMBER(Récap1!AL51),Récap1!AL51/V$118,Récap1!AL51)</f>
        <v>PVL</v>
      </c>
      <c r="BC51" s="1900" t="str">
        <f>IF(ISNUMBER(Récap1!AM51),Récap1!AM51/W$118,Récap1!AM51)</f>
        <v>PVL</v>
      </c>
      <c r="BD51" s="1124">
        <f t="shared" si="22"/>
        <v>0.11326533442831706</v>
      </c>
      <c r="BE51" s="1084">
        <f>SUMIF(Récap1!AC51:AF51,"&gt;0",M$118:P$118)+SUMIF(Récap1!AJ51:AM51,"&gt;0",T$118:W$118)</f>
        <v>0.68792036811484414</v>
      </c>
      <c r="BF51" s="1985">
        <f t="shared" si="23"/>
        <v>1.1448790276408574</v>
      </c>
      <c r="BG51" s="980">
        <f t="shared" si="24"/>
        <v>1.0519499504592749</v>
      </c>
      <c r="BH51" s="585"/>
      <c r="BI51" s="796">
        <f t="shared" si="25"/>
        <v>2.383235185485981E-2</v>
      </c>
      <c r="BJ51" s="796">
        <f t="shared" si="26"/>
        <v>6.3420171958201182E-2</v>
      </c>
      <c r="BK51" s="796">
        <f t="shared" si="27"/>
        <v>1.5826028052215082E-2</v>
      </c>
      <c r="BL51" s="882">
        <f t="shared" si="28"/>
        <v>2.3847900228487037E-2</v>
      </c>
      <c r="BM51" s="796">
        <f t="shared" si="29"/>
        <v>0.41483420388940084</v>
      </c>
      <c r="BN51" s="796">
        <f t="shared" si="30"/>
        <v>0.58593248194342551</v>
      </c>
      <c r="BO51" s="802">
        <f t="shared" si="31"/>
        <v>2.7335364397961366E-2</v>
      </c>
    </row>
    <row r="52" spans="1:67" s="293" customFormat="1" ht="12.75" hidden="1" customHeight="1">
      <c r="A52" s="305"/>
      <c r="B52" s="294"/>
      <c r="C52" s="65"/>
      <c r="D52" s="785"/>
      <c r="E52" s="753" t="s">
        <v>667</v>
      </c>
      <c r="F52" s="755"/>
      <c r="G52" s="203"/>
      <c r="H52" s="530">
        <f>Récap1!X52</f>
        <v>0</v>
      </c>
      <c r="I52" s="530">
        <f>Récap1!Y52</f>
        <v>0</v>
      </c>
      <c r="J52" s="530">
        <f>Récap1!Z52</f>
        <v>0</v>
      </c>
      <c r="K52" s="628">
        <f>Récap1!AA52</f>
        <v>0</v>
      </c>
      <c r="L52" s="530">
        <f>IF(ISNUMBER(Récap1!AB52),Récap1!AB52,I52/I$117*L$117)</f>
        <v>0</v>
      </c>
      <c r="M52" s="829">
        <f>IF(ISNUMBER(Récap1!AC52),Récap1!AC52,L52/L$118*M$118)</f>
        <v>0</v>
      </c>
      <c r="N52" s="530">
        <f>IF(ISNUMBER(Récap1!AD52),Récap1!AD52,M52/M$118*N$118)</f>
        <v>0</v>
      </c>
      <c r="O52" s="530">
        <f>IF(ISNUMBER(Récap1!AE52),Récap1!AE52,N52/N$118*O$118)</f>
        <v>0</v>
      </c>
      <c r="P52" s="830">
        <f>IF(ISNUMBER(Récap1!AF52),Récap1!AF52,O52/O$118*P$118)</f>
        <v>0</v>
      </c>
      <c r="Q52" s="530">
        <f>IF(ISNUMBER(Récap1!AG52),Récap1!AG52,I52/I$117*Q$117)</f>
        <v>0</v>
      </c>
      <c r="R52" s="530">
        <f>IF(ISNUMBER(Récap1!AH52),Récap1!AH52,Q52/Q$117*R$117)</f>
        <v>0</v>
      </c>
      <c r="S52" s="530">
        <f>IF(ISNUMBER(Récap1!AI52),Récap1!AI52,R52/R$117*S$117)</f>
        <v>0</v>
      </c>
      <c r="T52" s="829">
        <f>IF(ISNUMBER(Récap1!AJ52),Récap1!AJ52,S52/S$118*T$118)</f>
        <v>0</v>
      </c>
      <c r="U52" s="530">
        <f>IF(ISNUMBER(Récap1!AK52),Récap1!AK52,T52/T$118*U$118)</f>
        <v>0</v>
      </c>
      <c r="V52" s="530">
        <f>IF(ISNUMBER(Récap1!AL52),Récap1!AL52,U52/U$118*V$118)</f>
        <v>0</v>
      </c>
      <c r="W52" s="530">
        <f>IF(ISNUMBER(Récap1!AM52),Récap1!AM52,V52/V$118*W$118)</f>
        <v>0</v>
      </c>
      <c r="Y52" s="1890">
        <f>IF(ISNUMBER(Récap1!X52),Récap1!X52/H$117,Récap1!X52)</f>
        <v>0</v>
      </c>
      <c r="Z52" s="1901">
        <f>IF(ISNUMBER(Récap1!Y52),Récap1!Y52/I$117,Récap1!Y52)</f>
        <v>0</v>
      </c>
      <c r="AA52" s="1633"/>
      <c r="AB52" s="1633"/>
      <c r="AC52" s="1098">
        <f>IF(ISNUMBER(Récap1!AB52),Récap1!AB52/L$117,Récap1!AB52)</f>
        <v>0</v>
      </c>
      <c r="AD52" s="1633"/>
      <c r="AE52" s="1633"/>
      <c r="AF52" s="1633"/>
      <c r="AG52" s="1901"/>
      <c r="AH52" s="1633">
        <f>IF(ISNUMBER(Récap1!AG52),Récap1!AG52/Q$117,Récap1!AG52)</f>
        <v>0</v>
      </c>
      <c r="AI52" s="1633">
        <f>IF(ISNUMBER(Récap1!AH52),Récap1!AH52/R$117,Récap1!AH52)</f>
        <v>0</v>
      </c>
      <c r="AJ52" s="1901">
        <f>IF(ISNUMBER(Récap1!AI52),Récap1!AI52/S$117,Récap1!AI52)</f>
        <v>0</v>
      </c>
      <c r="AK52" s="1633"/>
      <c r="AL52" s="1633"/>
      <c r="AM52" s="1633"/>
      <c r="AN52" s="1941"/>
      <c r="AO52" s="1115">
        <f t="shared" si="19"/>
        <v>0</v>
      </c>
      <c r="AP52" s="1074">
        <f>SUMIF(Récap1!X52:Y52,"&gt;0",H$117:I$117)+IF(ISNUMBER(Récap1!AB52),L$117,0)+SUMIF(Récap1!AG52:AI52,"&gt;0",Q$117:S$117)</f>
        <v>0</v>
      </c>
      <c r="AQ52" s="1154">
        <f t="shared" si="20"/>
        <v>0</v>
      </c>
      <c r="AR52" s="1908">
        <f t="shared" si="21"/>
        <v>0</v>
      </c>
      <c r="AS52" s="1890">
        <f>IF(ISNUMBER(Récap1!AC52),Récap1!AC52/M$118,Récap1!AC52)</f>
        <v>0</v>
      </c>
      <c r="AT52" s="1633">
        <f>IF(ISNUMBER(Récap1!AD52),Récap1!AD52/N$118,Récap1!AD52)</f>
        <v>0</v>
      </c>
      <c r="AU52" s="1633">
        <f>IF(ISNUMBER(Récap1!AE52),Récap1!AE52/O$118,Récap1!AE52)</f>
        <v>0</v>
      </c>
      <c r="AV52" s="1633">
        <f>IF(ISNUMBER(Récap1!AF52),Récap1!AF52/P$118,Récap1!AF52)</f>
        <v>0</v>
      </c>
      <c r="AW52" s="1633"/>
      <c r="AX52" s="1633"/>
      <c r="AY52" s="1633"/>
      <c r="AZ52" s="1968">
        <f>IF(ISNUMBER(Récap1!AJ52),Récap1!AJ52/T$118,Récap1!AJ52)</f>
        <v>0</v>
      </c>
      <c r="BA52" s="1633">
        <f>IF(ISNUMBER(Récap1!AK52),Récap1!AK52/U$118,Récap1!AK52)</f>
        <v>0</v>
      </c>
      <c r="BB52" s="1633">
        <f>IF(ISNUMBER(Récap1!AL52),Récap1!AL52/V$118,Récap1!AL52)</f>
        <v>0</v>
      </c>
      <c r="BC52" s="1901">
        <f>IF(ISNUMBER(Récap1!AM52),Récap1!AM52/W$118,Récap1!AM52)</f>
        <v>0</v>
      </c>
      <c r="BD52" s="1115" t="str">
        <f t="shared" si="22"/>
        <v>PVL</v>
      </c>
      <c r="BE52" s="1085">
        <f>SUMIF(Récap1!AC52:AF52,"&gt;0",M$118:P$118)+SUMIF(Récap1!AJ52:AM52,"&gt;0",T$118:W$118)</f>
        <v>0</v>
      </c>
      <c r="BF52" s="1970" t="str">
        <f t="shared" si="23"/>
        <v>PVL</v>
      </c>
      <c r="BG52" s="976">
        <f t="shared" si="24"/>
        <v>0</v>
      </c>
      <c r="BH52" s="305"/>
      <c r="BI52" s="530">
        <f t="shared" si="25"/>
        <v>0</v>
      </c>
      <c r="BJ52" s="530">
        <f t="shared" si="26"/>
        <v>0</v>
      </c>
      <c r="BK52" s="530">
        <f t="shared" si="27"/>
        <v>0</v>
      </c>
      <c r="BL52" s="829">
        <f t="shared" si="28"/>
        <v>0</v>
      </c>
      <c r="BM52" s="530">
        <f t="shared" si="29"/>
        <v>0</v>
      </c>
      <c r="BN52" s="530">
        <f t="shared" si="30"/>
        <v>0</v>
      </c>
      <c r="BO52" s="628">
        <f t="shared" si="31"/>
        <v>0</v>
      </c>
    </row>
    <row r="53" spans="1:67" s="26" customFormat="1" ht="12.75" hidden="1" customHeight="1">
      <c r="A53" s="398"/>
      <c r="B53" s="27"/>
      <c r="C53" s="138"/>
      <c r="D53" s="280"/>
      <c r="E53" s="103" t="s">
        <v>670</v>
      </c>
      <c r="F53" s="14" t="str">
        <f>F25</f>
        <v>Cs</v>
      </c>
      <c r="G53" s="105" t="str">
        <f>G25</f>
        <v>mg/kg ms</v>
      </c>
      <c r="H53" s="56">
        <f>Récap1!X53</f>
        <v>2.7474192261642125</v>
      </c>
      <c r="I53" s="56">
        <f>Récap1!Y53</f>
        <v>96.184299750885145</v>
      </c>
      <c r="J53" s="56">
        <f>Récap1!Z53</f>
        <v>137.53717232202493</v>
      </c>
      <c r="K53" s="57">
        <f>Récap1!AA53</f>
        <v>183.12381818181819</v>
      </c>
      <c r="L53" s="56">
        <f>IF(ISNUMBER(Récap1!AB53),Récap1!AB53,I53/I$117*L$117)</f>
        <v>189.39356905647836</v>
      </c>
      <c r="M53" s="870">
        <f>IF(ISNUMBER(Récap1!AC53),Récap1!AC53,L53/L$118*M$118)</f>
        <v>585.42995154170387</v>
      </c>
      <c r="N53" s="56">
        <f>IF(ISNUMBER(Récap1!AD53),Récap1!AD53,M53/M$118*N$118)</f>
        <v>2450.4773085841125</v>
      </c>
      <c r="O53" s="56">
        <f>IF(ISNUMBER(Récap1!AE53),Récap1!AE53,N53/N$118*O$118)</f>
        <v>232.68072696725056</v>
      </c>
      <c r="P53" s="871">
        <f>IF(ISNUMBER(Récap1!AF53),Récap1!AF53,O53/O$118*P$118)</f>
        <v>1.5992577847354901</v>
      </c>
      <c r="Q53" s="56">
        <f>IF(ISNUMBER(Récap1!AG53),Récap1!AG53,I53/I$117*Q$117)</f>
        <v>4813.5403636363644</v>
      </c>
      <c r="R53" s="56">
        <f>IF(ISNUMBER(Récap1!AH53),Récap1!AH53,Q53/Q$117*R$117)</f>
        <v>4813.5403636363626</v>
      </c>
      <c r="S53" s="56">
        <f>IF(ISNUMBER(Récap1!AI53),Récap1!AI53,R53/R$117*S$117)</f>
        <v>327.80995834790781</v>
      </c>
      <c r="T53" s="870">
        <f>IF(ISNUMBER(Récap1!AJ53),Récap1!AJ53,S53/S$118*T$118)</f>
        <v>828.57382025808442</v>
      </c>
      <c r="U53" s="56">
        <f>IF(ISNUMBER(Récap1!AK53),Récap1!AK53,T53/T$118*U$118)</f>
        <v>2474.7552819598091</v>
      </c>
      <c r="V53" s="56">
        <f>IF(ISNUMBER(Récap1!AL53),Récap1!AL53,U53/U$118*V$118)</f>
        <v>1579.7024501061965</v>
      </c>
      <c r="W53" s="56">
        <f>IF(ISNUMBER(Récap1!AM53),Récap1!AM53,V53/V$118*W$118)</f>
        <v>166.19693959504676</v>
      </c>
      <c r="Y53" s="621">
        <f>IF(ISNUMBER(Récap1!X53),Récap1!X53/H$117,Récap1!X53)</f>
        <v>239.85055862379866</v>
      </c>
      <c r="Z53" s="1894">
        <f>IF(ISNUMBER(Récap1!Y53),Récap1!Y53/I$117,Récap1!Y53)</f>
        <v>705.39936381158907</v>
      </c>
      <c r="AA53" s="282"/>
      <c r="AB53" s="282"/>
      <c r="AC53" s="1091">
        <f>IF(ISNUMBER(Récap1!AB53),Récap1!AB53/L$117,Récap1!AB53)</f>
        <v>1060.0502322295401</v>
      </c>
      <c r="AD53" s="282"/>
      <c r="AE53" s="282"/>
      <c r="AF53" s="282"/>
      <c r="AG53" s="1894"/>
      <c r="AH53" s="282">
        <f>IF(ISNUMBER(Récap1!AG53),Récap1!AG53/Q$117,Récap1!AG53)</f>
        <v>14162.75929908501</v>
      </c>
      <c r="AI53" s="282">
        <f>IF(ISNUMBER(Récap1!AH53),Récap1!AH53/R$117,Récap1!AH53)</f>
        <v>18319.906632732112</v>
      </c>
      <c r="AJ53" s="1894">
        <f>IF(ISNUMBER(Récap1!AI53),Récap1!AI53/S$117,Récap1!AI53)</f>
        <v>4623.2962124969117</v>
      </c>
      <c r="AK53" s="282"/>
      <c r="AL53" s="282"/>
      <c r="AM53" s="282"/>
      <c r="AN53" s="1919"/>
      <c r="AO53" s="1117">
        <f t="shared" si="19"/>
        <v>1060.0502322295401</v>
      </c>
      <c r="AP53" s="1069">
        <f>SUMIF(Récap1!X53:Y53,"&gt;0",H$117:I$117)+IF(ISNUMBER(Récap1!AB53),L$117,0)+SUMIF(Récap1!AG53:AI53,"&gt;0",Q$117:S$117)</f>
        <v>1</v>
      </c>
      <c r="AQ53" s="1147">
        <f t="shared" si="20"/>
        <v>10243.215973654162</v>
      </c>
      <c r="AR53" s="1104">
        <f t="shared" si="21"/>
        <v>10243.215973654162</v>
      </c>
      <c r="AS53" s="621">
        <f>IF(ISNUMBER(Récap1!AC53),Récap1!AC53/M$118,Récap1!AC53)</f>
        <v>15650.65733469402</v>
      </c>
      <c r="AT53" s="282">
        <f>IF(ISNUMBER(Récap1!AD53),Récap1!AD53/N$118,Récap1!AD53)</f>
        <v>36833.306400522888</v>
      </c>
      <c r="AU53" s="282" t="str">
        <f>IF(ISNUMBER(Récap1!AE53),Récap1!AE53/O$118,Récap1!AE53)</f>
        <v>PVL</v>
      </c>
      <c r="AV53" s="282" t="str">
        <f>IF(ISNUMBER(Récap1!AF53),Récap1!AF53/P$118,Récap1!AF53)</f>
        <v>PVL</v>
      </c>
      <c r="AW53" s="282"/>
      <c r="AX53" s="282"/>
      <c r="AY53" s="282"/>
      <c r="AZ53" s="1971">
        <f>IF(ISNUMBER(Récap1!AJ53),Récap1!AJ53/T$118,Récap1!AJ53)</f>
        <v>6120.9360179461446</v>
      </c>
      <c r="BA53" s="282">
        <f>IF(ISNUMBER(Récap1!AK53),Récap1!AK53/U$118,Récap1!AK53)</f>
        <v>5595.1819579272942</v>
      </c>
      <c r="BB53" s="282" t="str">
        <f>IF(ISNUMBER(Récap1!AL53),Récap1!AL53/V$118,Récap1!AL53)</f>
        <v>PVL</v>
      </c>
      <c r="BC53" s="1894" t="str">
        <f>IF(ISNUMBER(Récap1!AM53),Récap1!AM53/W$118,Récap1!AM53)</f>
        <v>PVL</v>
      </c>
      <c r="BD53" s="1117">
        <f t="shared" si="22"/>
        <v>5595.1819579272942</v>
      </c>
      <c r="BE53" s="1080">
        <f>SUMIF(Récap1!AC53:AF53,"&gt;0",M$118:P$118)+SUMIF(Récap1!AJ53:AM53,"&gt;0",T$118:W$118)</f>
        <v>0.68160323968664671</v>
      </c>
      <c r="BF53" s="1920">
        <f t="shared" si="23"/>
        <v>9300.4786263311271</v>
      </c>
      <c r="BG53" s="920">
        <f t="shared" si="24"/>
        <v>8319.4157367969401</v>
      </c>
      <c r="BH53" s="77"/>
      <c r="BI53" s="56">
        <f t="shared" si="25"/>
        <v>4816.2877828625287</v>
      </c>
      <c r="BJ53" s="56">
        <f t="shared" si="26"/>
        <v>4909.7246633872473</v>
      </c>
      <c r="BK53" s="56">
        <f t="shared" si="27"/>
        <v>517.20352740438614</v>
      </c>
      <c r="BL53" s="870">
        <f t="shared" si="28"/>
        <v>1414.0037717997884</v>
      </c>
      <c r="BM53" s="56">
        <f t="shared" si="29"/>
        <v>4925.2325905439211</v>
      </c>
      <c r="BN53" s="56">
        <f t="shared" si="30"/>
        <v>1812.3831770734471</v>
      </c>
      <c r="BO53" s="57">
        <f t="shared" si="31"/>
        <v>167.79619737978226</v>
      </c>
    </row>
    <row r="54" spans="1:67" s="26" customFormat="1" ht="12.75" hidden="1" customHeight="1">
      <c r="A54" s="398"/>
      <c r="B54" s="27"/>
      <c r="C54" s="77"/>
      <c r="D54" s="786"/>
      <c r="E54" s="103" t="s">
        <v>671</v>
      </c>
      <c r="F54" s="14" t="str">
        <f>F53</f>
        <v>Cs</v>
      </c>
      <c r="G54" s="105" t="str">
        <f>G53</f>
        <v>mg/kg ms</v>
      </c>
      <c r="H54" s="56">
        <f>Récap1!X54</f>
        <v>15.260318181818182</v>
      </c>
      <c r="I54" s="56" t="str">
        <f>Récap1!Y54</f>
        <v>PVL</v>
      </c>
      <c r="J54" s="56">
        <f>Récap1!Z54</f>
        <v>36.624763636363639</v>
      </c>
      <c r="K54" s="57" t="str">
        <f>Récap1!AA54</f>
        <v>PVL</v>
      </c>
      <c r="L54" s="56" t="e">
        <f>IF(ISNUMBER(Récap1!AB54),Récap1!AB54,I54/I$117*L$117)</f>
        <v>#VALUE!</v>
      </c>
      <c r="M54" s="870" t="e">
        <f>IF(ISNUMBER(Récap1!AC54),Récap1!AC54,L54/L$118*M$118)</f>
        <v>#VALUE!</v>
      </c>
      <c r="N54" s="56" t="e">
        <f>IF(ISNUMBER(Récap1!AD54),Récap1!AD54,M54/M$118*N$118)</f>
        <v>#VALUE!</v>
      </c>
      <c r="O54" s="56" t="e">
        <f>IF(ISNUMBER(Récap1!AE54),Récap1!AE54,N54/N$118*O$118)</f>
        <v>#VALUE!</v>
      </c>
      <c r="P54" s="871" t="e">
        <f>IF(ISNUMBER(Récap1!AF54),Récap1!AF54,O54/O$118*P$118)</f>
        <v>#VALUE!</v>
      </c>
      <c r="Q54" s="56" t="e">
        <f>IF(ISNUMBER(Récap1!AG54),Récap1!AG54,I54/I$117*Q$117)</f>
        <v>#VALUE!</v>
      </c>
      <c r="R54" s="56" t="e">
        <f>IF(ISNUMBER(Récap1!AH54),Récap1!AH54,Q54/Q$117*R$117)</f>
        <v>#VALUE!</v>
      </c>
      <c r="S54" s="56" t="e">
        <f>IF(ISNUMBER(Récap1!AI54),Récap1!AI54,R54/R$117*S$117)</f>
        <v>#VALUE!</v>
      </c>
      <c r="T54" s="870" t="e">
        <f>IF(ISNUMBER(Récap1!AJ54),Récap1!AJ54,S54/S$118*T$118)</f>
        <v>#VALUE!</v>
      </c>
      <c r="U54" s="56" t="e">
        <f>IF(ISNUMBER(Récap1!AK54),Récap1!AK54,T54/T$118*U$118)</f>
        <v>#VALUE!</v>
      </c>
      <c r="V54" s="56" t="e">
        <f>IF(ISNUMBER(Récap1!AL54),Récap1!AL54,U54/U$118*V$118)</f>
        <v>#VALUE!</v>
      </c>
      <c r="W54" s="56" t="e">
        <f>IF(ISNUMBER(Récap1!AM54),Récap1!AM54,V54/V$118*W$118)</f>
        <v>#VALUE!</v>
      </c>
      <c r="Y54" s="621">
        <f>IF(ISNUMBER(Récap1!X54),Récap1!X54/H$117,Récap1!X54)</f>
        <v>1332.2305550711878</v>
      </c>
      <c r="Z54" s="1894" t="str">
        <f>IF(ISNUMBER(Récap1!Y54),Récap1!Y54/I$117,Récap1!Y54)</f>
        <v>PVL</v>
      </c>
      <c r="AA54" s="282"/>
      <c r="AB54" s="282"/>
      <c r="AC54" s="1091" t="str">
        <f>IF(ISNUMBER(Récap1!AB54),Récap1!AB54/L$117,Récap1!AB54)</f>
        <v>PVL</v>
      </c>
      <c r="AD54" s="282"/>
      <c r="AE54" s="282"/>
      <c r="AF54" s="282"/>
      <c r="AG54" s="1894"/>
      <c r="AH54" s="282" t="str">
        <f>IF(ISNUMBER(Récap1!AG54),Récap1!AG54/Q$117,Récap1!AG54)</f>
        <v>PVL</v>
      </c>
      <c r="AI54" s="282" t="str">
        <f>IF(ISNUMBER(Récap1!AH54),Récap1!AH54/R$117,Récap1!AH54)</f>
        <v>PVL</v>
      </c>
      <c r="AJ54" s="1894" t="str">
        <f>IF(ISNUMBER(Récap1!AI54),Récap1!AI54/S$117,Récap1!AI54)</f>
        <v>PVL</v>
      </c>
      <c r="AK54" s="282"/>
      <c r="AL54" s="282"/>
      <c r="AM54" s="282"/>
      <c r="AN54" s="1919"/>
      <c r="AO54" s="1117" t="str">
        <f t="shared" si="19"/>
        <v>PVL</v>
      </c>
      <c r="AP54" s="1069">
        <f>SUMIF(Récap1!X54:Y54,"&gt;0",H$117:I$117)+IF(ISNUMBER(Récap1!AB54),L$117,0)+SUMIF(Récap1!AG54:AI54,"&gt;0",Q$117:S$117)</f>
        <v>1.145471264243954E-2</v>
      </c>
      <c r="AQ54" s="1147">
        <f t="shared" si="20"/>
        <v>1332.2305550711878</v>
      </c>
      <c r="AR54" s="1104" t="e">
        <f t="shared" si="21"/>
        <v>#VALUE!</v>
      </c>
      <c r="AS54" s="621" t="str">
        <f>IF(ISNUMBER(Récap1!AC54),Récap1!AC54/M$118,Récap1!AC54)</f>
        <v>PVL</v>
      </c>
      <c r="AT54" s="282" t="str">
        <f>IF(ISNUMBER(Récap1!AD54),Récap1!AD54/N$118,Récap1!AD54)</f>
        <v>PVL</v>
      </c>
      <c r="AU54" s="282" t="str">
        <f>IF(ISNUMBER(Récap1!AE54),Récap1!AE54/O$118,Récap1!AE54)</f>
        <v>PVL</v>
      </c>
      <c r="AV54" s="282" t="str">
        <f>IF(ISNUMBER(Récap1!AF54),Récap1!AF54/P$118,Récap1!AF54)</f>
        <v>PVL</v>
      </c>
      <c r="AW54" s="282"/>
      <c r="AX54" s="282"/>
      <c r="AY54" s="282"/>
      <c r="AZ54" s="1971" t="str">
        <f>IF(ISNUMBER(Récap1!AJ54),Récap1!AJ54/T$118,Récap1!AJ54)</f>
        <v>PVL</v>
      </c>
      <c r="BA54" s="282" t="str">
        <f>IF(ISNUMBER(Récap1!AK54),Récap1!AK54/U$118,Récap1!AK54)</f>
        <v>PVL</v>
      </c>
      <c r="BB54" s="282" t="str">
        <f>IF(ISNUMBER(Récap1!AL54),Récap1!AL54/V$118,Récap1!AL54)</f>
        <v>PVL</v>
      </c>
      <c r="BC54" s="1894" t="str">
        <f>IF(ISNUMBER(Récap1!AM54),Récap1!AM54/W$118,Récap1!AM54)</f>
        <v>PVL</v>
      </c>
      <c r="BD54" s="1117" t="str">
        <f t="shared" si="22"/>
        <v>PVL</v>
      </c>
      <c r="BE54" s="1080">
        <f>SUMIF(Récap1!AC54:AF54,"&gt;0",M$118:P$118)+SUMIF(Récap1!AJ54:AM54,"&gt;0",T$118:W$118)</f>
        <v>0</v>
      </c>
      <c r="BF54" s="1920" t="str">
        <f t="shared" si="23"/>
        <v>PVL</v>
      </c>
      <c r="BG54" s="920" t="e">
        <f t="shared" si="24"/>
        <v>#VALUE!</v>
      </c>
      <c r="BH54" s="77"/>
      <c r="BI54" s="56" t="e">
        <f t="shared" si="25"/>
        <v>#VALUE!</v>
      </c>
      <c r="BJ54" s="56" t="e">
        <f t="shared" si="26"/>
        <v>#VALUE!</v>
      </c>
      <c r="BK54" s="56" t="e">
        <f t="shared" si="27"/>
        <v>#VALUE!</v>
      </c>
      <c r="BL54" s="870" t="e">
        <f t="shared" si="28"/>
        <v>#VALUE!</v>
      </c>
      <c r="BM54" s="56" t="e">
        <f t="shared" si="29"/>
        <v>#VALUE!</v>
      </c>
      <c r="BN54" s="56" t="e">
        <f t="shared" si="30"/>
        <v>#VALUE!</v>
      </c>
      <c r="BO54" s="57" t="e">
        <f t="shared" si="31"/>
        <v>#VALUE!</v>
      </c>
    </row>
    <row r="55" spans="1:67" s="26" customFormat="1" ht="12.75" hidden="1" customHeight="1">
      <c r="A55" s="148"/>
      <c r="B55" s="27"/>
      <c r="C55" s="77"/>
      <c r="D55" s="786"/>
      <c r="E55" s="103" t="s">
        <v>672</v>
      </c>
      <c r="F55" s="14" t="str">
        <f>F54</f>
        <v>Cs</v>
      </c>
      <c r="G55" s="105" t="str">
        <f>G54</f>
        <v>mg/kg ms</v>
      </c>
      <c r="H55" s="113">
        <f>Récap1!X55</f>
        <v>2.7474192261642125</v>
      </c>
      <c r="I55" s="113">
        <f>Récap1!Y55</f>
        <v>96.184299750885145</v>
      </c>
      <c r="J55" s="113">
        <f>Récap1!Z55</f>
        <v>36.624763636363639</v>
      </c>
      <c r="K55" s="120">
        <f>Récap1!AA55</f>
        <v>183.12381818181819</v>
      </c>
      <c r="L55" s="113">
        <f>IF(ISNUMBER(Récap1!AB55),Récap1!AB55,I55/I$117*L$117)</f>
        <v>189.39356905647836</v>
      </c>
      <c r="M55" s="872">
        <f>IF(ISNUMBER(Récap1!AC55),Récap1!AC55,L55/L$118*M$118)</f>
        <v>585.42995154170387</v>
      </c>
      <c r="N55" s="113">
        <f>IF(ISNUMBER(Récap1!AD55),Récap1!AD55,M55/M$118*N$118)</f>
        <v>2450.4773085841125</v>
      </c>
      <c r="O55" s="113">
        <f>IF(ISNUMBER(Récap1!AE55),Récap1!AE55,N55/N$118*O$118)</f>
        <v>232.68072696725056</v>
      </c>
      <c r="P55" s="873">
        <f>IF(ISNUMBER(Récap1!AF55),Récap1!AF55,O55/O$118*P$118)</f>
        <v>1.5992577847354901</v>
      </c>
      <c r="Q55" s="113">
        <f>IF(ISNUMBER(Récap1!AG55),Récap1!AG55,I55/I$117*Q$117)</f>
        <v>4813.5403636363644</v>
      </c>
      <c r="R55" s="113">
        <f>IF(ISNUMBER(Récap1!AH55),Récap1!AH55,Q55/Q$117*R$117)</f>
        <v>4813.5403636363626</v>
      </c>
      <c r="S55" s="113">
        <f>IF(ISNUMBER(Récap1!AI55),Récap1!AI55,R55/R$117*S$117)</f>
        <v>327.80995834790781</v>
      </c>
      <c r="T55" s="872">
        <f>IF(ISNUMBER(Récap1!AJ55),Récap1!AJ55,S55/S$118*T$118)</f>
        <v>828.57382025808442</v>
      </c>
      <c r="U55" s="113">
        <f>IF(ISNUMBER(Récap1!AK55),Récap1!AK55,T55/T$118*U$118)</f>
        <v>2474.7552819598091</v>
      </c>
      <c r="V55" s="113">
        <f>IF(ISNUMBER(Récap1!AL55),Récap1!AL55,U55/U$118*V$118)</f>
        <v>1579.7024501061965</v>
      </c>
      <c r="W55" s="113">
        <f>IF(ISNUMBER(Récap1!AM55),Récap1!AM55,V55/V$118*W$118)</f>
        <v>166.19693959504676</v>
      </c>
      <c r="Y55" s="621">
        <f>IF(ISNUMBER(Récap1!X55),Récap1!X55/H$117,Récap1!X55)</f>
        <v>239.85055862379866</v>
      </c>
      <c r="Z55" s="1894">
        <f>IF(ISNUMBER(Récap1!Y55),Récap1!Y55/I$117,Récap1!Y55)</f>
        <v>705.39936381158907</v>
      </c>
      <c r="AA55" s="282"/>
      <c r="AB55" s="282"/>
      <c r="AC55" s="1091">
        <f>IF(ISNUMBER(Récap1!AB55),Récap1!AB55/L$117,Récap1!AB55)</f>
        <v>1060.0502322295401</v>
      </c>
      <c r="AD55" s="282"/>
      <c r="AE55" s="282"/>
      <c r="AF55" s="282"/>
      <c r="AG55" s="1894"/>
      <c r="AH55" s="282">
        <f>IF(ISNUMBER(Récap1!AG55),Récap1!AG55/Q$117,Récap1!AG55)</f>
        <v>14162.75929908501</v>
      </c>
      <c r="AI55" s="282">
        <f>IF(ISNUMBER(Récap1!AH55),Récap1!AH55/R$117,Récap1!AH55)</f>
        <v>18319.906632732112</v>
      </c>
      <c r="AJ55" s="1894">
        <f>IF(ISNUMBER(Récap1!AI55),Récap1!AI55/S$117,Récap1!AI55)</f>
        <v>4623.2962124969117</v>
      </c>
      <c r="AK55" s="282"/>
      <c r="AL55" s="282"/>
      <c r="AM55" s="282"/>
      <c r="AN55" s="1919"/>
      <c r="AO55" s="1117">
        <f t="shared" si="19"/>
        <v>1060.0502322295401</v>
      </c>
      <c r="AP55" s="1069">
        <f>SUMIF(Récap1!X55:Y55,"&gt;0",H$117:I$117)+IF(ISNUMBER(Récap1!AB55),L$117,0)+SUMIF(Récap1!AG55:AI55,"&gt;0",Q$117:S$117)</f>
        <v>1</v>
      </c>
      <c r="AQ55" s="1147">
        <f t="shared" si="20"/>
        <v>10243.215973654162</v>
      </c>
      <c r="AR55" s="1104">
        <f t="shared" si="21"/>
        <v>10243.215973654162</v>
      </c>
      <c r="AS55" s="621">
        <f>IF(ISNUMBER(Récap1!AC55),Récap1!AC55/M$118,Récap1!AC55)</f>
        <v>15650.65733469402</v>
      </c>
      <c r="AT55" s="282">
        <f>IF(ISNUMBER(Récap1!AD55),Récap1!AD55/N$118,Récap1!AD55)</f>
        <v>36833.306400522888</v>
      </c>
      <c r="AU55" s="282" t="str">
        <f>IF(ISNUMBER(Récap1!AE55),Récap1!AE55/O$118,Récap1!AE55)</f>
        <v>PVL</v>
      </c>
      <c r="AV55" s="282" t="str">
        <f>IF(ISNUMBER(Récap1!AF55),Récap1!AF55/P$118,Récap1!AF55)</f>
        <v>PVL</v>
      </c>
      <c r="AW55" s="282"/>
      <c r="AX55" s="282"/>
      <c r="AY55" s="282"/>
      <c r="AZ55" s="1971">
        <f>IF(ISNUMBER(Récap1!AJ55),Récap1!AJ55/T$118,Récap1!AJ55)</f>
        <v>6120.9360179461446</v>
      </c>
      <c r="BA55" s="282">
        <f>IF(ISNUMBER(Récap1!AK55),Récap1!AK55/U$118,Récap1!AK55)</f>
        <v>5595.1819579272942</v>
      </c>
      <c r="BB55" s="282" t="str">
        <f>IF(ISNUMBER(Récap1!AL55),Récap1!AL55/V$118,Récap1!AL55)</f>
        <v>PVL</v>
      </c>
      <c r="BC55" s="1894" t="str">
        <f>IF(ISNUMBER(Récap1!AM55),Récap1!AM55/W$118,Récap1!AM55)</f>
        <v>PVL</v>
      </c>
      <c r="BD55" s="1117">
        <f t="shared" si="22"/>
        <v>5595.1819579272942</v>
      </c>
      <c r="BE55" s="1080">
        <f>SUMIF(Récap1!AC55:AF55,"&gt;0",M$118:P$118)+SUMIF(Récap1!AJ55:AM55,"&gt;0",T$118:W$118)</f>
        <v>0.68160323968664671</v>
      </c>
      <c r="BF55" s="1920">
        <f t="shared" si="23"/>
        <v>9300.4786263311271</v>
      </c>
      <c r="BG55" s="920">
        <f t="shared" si="24"/>
        <v>8319.4157367969401</v>
      </c>
      <c r="BH55" s="77"/>
      <c r="BI55" s="113">
        <f t="shared" si="25"/>
        <v>4816.2877828625287</v>
      </c>
      <c r="BJ55" s="113">
        <f t="shared" si="26"/>
        <v>4909.7246633872473</v>
      </c>
      <c r="BK55" s="113">
        <f t="shared" si="27"/>
        <v>517.20352740438614</v>
      </c>
      <c r="BL55" s="872">
        <f t="shared" si="28"/>
        <v>1414.0037717997884</v>
      </c>
      <c r="BM55" s="113">
        <f t="shared" si="29"/>
        <v>4925.2325905439211</v>
      </c>
      <c r="BN55" s="113">
        <f t="shared" si="30"/>
        <v>1812.3831770734471</v>
      </c>
      <c r="BO55" s="120">
        <f t="shared" si="31"/>
        <v>167.79619737978226</v>
      </c>
    </row>
    <row r="56" spans="1:67" s="1009" customFormat="1" ht="12.75" hidden="1" customHeight="1">
      <c r="A56" s="701"/>
      <c r="B56" s="1000"/>
      <c r="C56" s="1012"/>
      <c r="D56" s="791"/>
      <c r="E56" s="1002" t="s">
        <v>985</v>
      </c>
      <c r="F56" s="1013" t="s">
        <v>19</v>
      </c>
      <c r="G56" s="760" t="s">
        <v>20</v>
      </c>
      <c r="H56" s="1015">
        <f>Récap1!X56</f>
        <v>2.7474192261642125</v>
      </c>
      <c r="I56" s="1015">
        <f>Récap1!Y56</f>
        <v>96.184299750885145</v>
      </c>
      <c r="J56" s="1015">
        <f>Récap1!Z56</f>
        <v>36.624763636363639</v>
      </c>
      <c r="K56" s="1016" t="str">
        <f>Récap1!AA56</f>
        <v>PVL</v>
      </c>
      <c r="L56" s="1015">
        <f>IF(ISNUMBER(Récap1!AB56),Récap1!AB56,I56/I$117*L$117)</f>
        <v>126.0299739206294</v>
      </c>
      <c r="M56" s="1017">
        <f>IF(ISNUMBER(Récap1!AC56),Récap1!AC56,L56/L$118*M$118)</f>
        <v>16.647114731636385</v>
      </c>
      <c r="N56" s="1015">
        <f>IF(ISNUMBER(Récap1!AD56),Récap1!AD56,M56/M$118*N$118)</f>
        <v>29.607831275940278</v>
      </c>
      <c r="O56" s="1015">
        <f>IF(ISNUMBER(Récap1!AE56),Récap1!AE56,N56/N$118*O$118)</f>
        <v>2.8113591099482775</v>
      </c>
      <c r="P56" s="1018">
        <f>IF(ISNUMBER(Récap1!AF56),Récap1!AF56,O56/O$118*P$118)</f>
        <v>1.9322992500812663E-2</v>
      </c>
      <c r="Q56" s="1015">
        <f>IF(ISNUMBER(Récap1!AG56),Récap1!AG56,I56/I$117*Q$117)</f>
        <v>239.74624142696982</v>
      </c>
      <c r="R56" s="1015">
        <f>IF(ISNUMBER(Récap1!AH56),Récap1!AH56,Q56/Q$117*R$117)</f>
        <v>185.34310126470973</v>
      </c>
      <c r="S56" s="1015">
        <f>IF(ISNUMBER(Récap1!AI56),Récap1!AI56,R56/R$117*S$117)</f>
        <v>50.015600437773628</v>
      </c>
      <c r="T56" s="1017">
        <f>IF(ISNUMBER(Récap1!AJ56),Récap1!AJ56,S56/S$118*T$118)</f>
        <v>11.444976489768178</v>
      </c>
      <c r="U56" s="1015">
        <f>IF(ISNUMBER(Récap1!AK56),Récap1!AK56,T56/T$118*U$118)</f>
        <v>37.395520537930352</v>
      </c>
      <c r="V56" s="1015">
        <f>IF(ISNUMBER(Récap1!AL56),Récap1!AL56,U56/U$118*V$118)</f>
        <v>23.870560393342576</v>
      </c>
      <c r="W56" s="1015">
        <f>IF(ISNUMBER(Récap1!AM56),Récap1!AM56,V56/V$118*W$118)</f>
        <v>2.5113679373767974</v>
      </c>
      <c r="Y56" s="1892">
        <f>IF(ISNUMBER(Récap1!X56),Récap1!X56/H$117,Récap1!X56)</f>
        <v>239.85055862379866</v>
      </c>
      <c r="Z56" s="1903">
        <f>IF(ISNUMBER(Récap1!Y56),Récap1!Y56/I$117,Récap1!Y56)</f>
        <v>705.39936381158907</v>
      </c>
      <c r="AA56" s="1106"/>
      <c r="AB56" s="1106"/>
      <c r="AC56" s="1100" t="str">
        <f>IF(ISNUMBER(Récap1!AB56),Récap1!AB56/L$117,Récap1!AB56)</f>
        <v>PVL</v>
      </c>
      <c r="AD56" s="1106"/>
      <c r="AE56" s="1106"/>
      <c r="AF56" s="1106"/>
      <c r="AG56" s="1903"/>
      <c r="AH56" s="1106" t="str">
        <f>IF(ISNUMBER(Récap1!AG56),Récap1!AG56/Q$117,Récap1!AG56)</f>
        <v>PVL</v>
      </c>
      <c r="AI56" s="1106" t="str">
        <f>IF(ISNUMBER(Récap1!AH56),Récap1!AH56/R$117,Récap1!AH56)</f>
        <v>PVL</v>
      </c>
      <c r="AJ56" s="1903" t="str">
        <f>IF(ISNUMBER(Récap1!AI56),Récap1!AI56/S$117,Récap1!AI56)</f>
        <v>PVL</v>
      </c>
      <c r="AK56" s="1106"/>
      <c r="AL56" s="1106"/>
      <c r="AM56" s="1106"/>
      <c r="AN56" s="1139"/>
      <c r="AO56" s="1106">
        <f t="shared" si="19"/>
        <v>705.39936381158907</v>
      </c>
      <c r="AP56" s="1069">
        <f>SUMIF(Récap1!X56:Y56,"&gt;0",H$117:I$117)+IF(ISNUMBER(Récap1!AB56),L$117,0)+SUMIF(Récap1!AG56:AI56,"&gt;0",Q$117:S$117)</f>
        <v>0.14780910234752553</v>
      </c>
      <c r="AQ56" s="1156">
        <f t="shared" si="20"/>
        <v>669.32088353018514</v>
      </c>
      <c r="AR56" s="1106">
        <f t="shared" si="21"/>
        <v>700.06663602713195</v>
      </c>
      <c r="AS56" s="1892" t="str">
        <f>IF(ISNUMBER(Récap1!AC56),Récap1!AC56/M$118,Récap1!AC56)</f>
        <v>PVL</v>
      </c>
      <c r="AT56" s="1106" t="str">
        <f>IF(ISNUMBER(Récap1!AD56),Récap1!AD56/N$118,Récap1!AD56)</f>
        <v>PVL</v>
      </c>
      <c r="AU56" s="1106" t="str">
        <f>IF(ISNUMBER(Récap1!AE56),Récap1!AE56/O$118,Récap1!AE56)</f>
        <v>PVL</v>
      </c>
      <c r="AV56" s="1106" t="str">
        <f>IF(ISNUMBER(Récap1!AF56),Récap1!AF56/P$118,Récap1!AF56)</f>
        <v>PVL</v>
      </c>
      <c r="AW56" s="1106"/>
      <c r="AX56" s="1106"/>
      <c r="AY56" s="1106"/>
      <c r="AZ56" s="1988" t="str">
        <f>IF(ISNUMBER(Récap1!AJ56),Récap1!AJ56/T$118,Récap1!AJ56)</f>
        <v>PVL</v>
      </c>
      <c r="BA56" s="1106" t="str">
        <f>IF(ISNUMBER(Récap1!AK56),Récap1!AK56/U$118,Récap1!AK56)</f>
        <v>PVL</v>
      </c>
      <c r="BB56" s="1106" t="str">
        <f>IF(ISNUMBER(Récap1!AL56),Récap1!AL56/V$118,Récap1!AL56)</f>
        <v>PVL</v>
      </c>
      <c r="BC56" s="1903" t="str">
        <f>IF(ISNUMBER(Récap1!AM56),Récap1!AM56/W$118,Récap1!AM56)</f>
        <v>PVL</v>
      </c>
      <c r="BD56" s="1106" t="str">
        <f t="shared" si="22"/>
        <v>PVL</v>
      </c>
      <c r="BE56" s="1080">
        <f>SUMIF(Récap1!AC56:AF56,"&gt;0",M$118:P$118)+SUMIF(Récap1!AJ56:AM56,"&gt;0",T$118:W$118)</f>
        <v>0</v>
      </c>
      <c r="BF56" s="1139" t="str">
        <f t="shared" si="23"/>
        <v>PVL</v>
      </c>
      <c r="BG56" s="790">
        <f t="shared" si="24"/>
        <v>124.30805346844366</v>
      </c>
      <c r="BH56" s="1010"/>
      <c r="BI56" s="1015">
        <f t="shared" si="25"/>
        <v>242.49366065313404</v>
      </c>
      <c r="BJ56" s="1015">
        <f t="shared" si="26"/>
        <v>281.52740101559488</v>
      </c>
      <c r="BK56" s="1015">
        <f t="shared" si="27"/>
        <v>176.04557435840303</v>
      </c>
      <c r="BL56" s="1017">
        <f t="shared" si="28"/>
        <v>28.092091221404566</v>
      </c>
      <c r="BM56" s="1015">
        <f t="shared" si="29"/>
        <v>67.003351813870637</v>
      </c>
      <c r="BN56" s="1015">
        <f t="shared" si="30"/>
        <v>26.681919503290853</v>
      </c>
      <c r="BO56" s="1016">
        <f t="shared" si="31"/>
        <v>2.5306909298776099</v>
      </c>
    </row>
    <row r="57" spans="1:67" s="742" customFormat="1" ht="12.75" hidden="1" customHeight="1">
      <c r="A57" s="732"/>
      <c r="B57" s="733"/>
      <c r="C57" s="65"/>
      <c r="D57" s="785"/>
      <c r="E57" s="736" t="s">
        <v>476</v>
      </c>
      <c r="F57" s="737" t="s">
        <v>93</v>
      </c>
      <c r="G57" s="738" t="s">
        <v>24</v>
      </c>
      <c r="H57" s="740">
        <f>Récap1!X57</f>
        <v>2376.1237053616665</v>
      </c>
      <c r="I57" s="740">
        <f>Récap1!Y57</f>
        <v>57652.542026547257</v>
      </c>
      <c r="J57" s="740">
        <f>Récap1!Z57</f>
        <v>13000.799391486573</v>
      </c>
      <c r="K57" s="741" t="str">
        <f>Récap1!AA57</f>
        <v>PVL</v>
      </c>
      <c r="L57" s="740">
        <f>IF(ISNUMBER(Récap1!AB57),Récap1!AB57,I57/I$117*L$117)</f>
        <v>75541.937581105856</v>
      </c>
      <c r="M57" s="878">
        <f>IF(ISNUMBER(Récap1!AC57),Récap1!AC57,L57/L$118*M$118)</f>
        <v>9978.2239323064623</v>
      </c>
      <c r="N57" s="740">
        <f>IF(ISNUMBER(Récap1!AD57),Récap1!AD57,M57/M$118*N$118)</f>
        <v>17746.8333332162</v>
      </c>
      <c r="O57" s="740">
        <f>IF(ISNUMBER(Récap1!AE57),Récap1!AE57,N57/N$118*O$118)</f>
        <v>1685.1190855243294</v>
      </c>
      <c r="P57" s="879">
        <f>IF(ISNUMBER(Récap1!AF57),Récap1!AF57,O57/O$118*P$118)</f>
        <v>11.582135963114997</v>
      </c>
      <c r="Q57" s="740">
        <f>IF(ISNUMBER(Récap1!AG57),Récap1!AG57,I57/I$117*Q$117)</f>
        <v>143703.08143193531</v>
      </c>
      <c r="R57" s="740">
        <f>IF(ISNUMBER(Récap1!AH57),Récap1!AH57,Q57/Q$117*R$117)</f>
        <v>111094.02431238211</v>
      </c>
      <c r="S57" s="740">
        <f>IF(ISNUMBER(Récap1!AI57),Récap1!AI57,R57/R$117*S$117)</f>
        <v>29979.180736253205</v>
      </c>
      <c r="T57" s="878">
        <f>IF(ISNUMBER(Récap1!AJ57),Récap1!AJ57,S57/S$118*T$118)</f>
        <v>6860.079969164959</v>
      </c>
      <c r="U57" s="740">
        <f>IF(ISNUMBER(Récap1!AK57),Récap1!AK57,T57/T$118*U$118)</f>
        <v>22414.747781098242</v>
      </c>
      <c r="V57" s="740">
        <f>IF(ISNUMBER(Récap1!AL57),Récap1!AL57,U57/U$118*V$118)</f>
        <v>14307.932685882583</v>
      </c>
      <c r="W57" s="740">
        <f>IF(ISNUMBER(Récap1!AM57),Récap1!AM57,V57/V$118*W$118)</f>
        <v>1505.3053973333804</v>
      </c>
      <c r="Y57" s="1885">
        <f>IF(ISNUMBER(Récap1!X57),Récap1!X57/H$117,Récap1!X57)</f>
        <v>207436.34341014925</v>
      </c>
      <c r="Z57" s="1896">
        <f>IF(ISNUMBER(Récap1!Y57),Récap1!Y57/I$117,Récap1!Y57)</f>
        <v>422813.97871561762</v>
      </c>
      <c r="AA57" s="1944"/>
      <c r="AB57" s="1944"/>
      <c r="AC57" s="1093" t="str">
        <f>IF(ISNUMBER(Récap1!AB57),Récap1!AB57/L$117,Récap1!AB57)</f>
        <v>PVL</v>
      </c>
      <c r="AD57" s="1944"/>
      <c r="AE57" s="1944"/>
      <c r="AF57" s="1944"/>
      <c r="AG57" s="1896"/>
      <c r="AH57" s="1944" t="str">
        <f>IF(ISNUMBER(Récap1!AG57),Récap1!AG57/Q$117,Récap1!AG57)</f>
        <v>PVL</v>
      </c>
      <c r="AI57" s="1944" t="str">
        <f>IF(ISNUMBER(Récap1!AH57),Récap1!AH57/R$117,Récap1!AH57)</f>
        <v>PVL</v>
      </c>
      <c r="AJ57" s="1896" t="str">
        <f>IF(ISNUMBER(Récap1!AI57),Récap1!AI57/S$117,Récap1!AI57)</f>
        <v>PVL</v>
      </c>
      <c r="AK57" s="1944"/>
      <c r="AL57" s="1944"/>
      <c r="AM57" s="1944"/>
      <c r="AN57" s="1945"/>
      <c r="AO57" s="1121">
        <f t="shared" si="19"/>
        <v>422813.97871561762</v>
      </c>
      <c r="AP57" s="1070">
        <f>SUMIF(Récap1!X57:Y57,"&gt;0",H$117:I$117)+IF(ISNUMBER(Récap1!AB57),L$117,0)+SUMIF(Récap1!AG57:AI57,"&gt;0",Q$117:S$117)</f>
        <v>0.14780910234752553</v>
      </c>
      <c r="AQ57" s="1149">
        <f t="shared" si="20"/>
        <v>406122.93003965908</v>
      </c>
      <c r="AR57" s="1911">
        <f t="shared" si="21"/>
        <v>420346.8897935854</v>
      </c>
      <c r="AS57" s="1885" t="str">
        <f>IF(ISNUMBER(Récap1!AC57),Récap1!AC57/M$118,Récap1!AC57)</f>
        <v>PVL</v>
      </c>
      <c r="AT57" s="1944" t="str">
        <f>IF(ISNUMBER(Récap1!AD57),Récap1!AD57/N$118,Récap1!AD57)</f>
        <v>PVL</v>
      </c>
      <c r="AU57" s="1944" t="str">
        <f>IF(ISNUMBER(Récap1!AE57),Récap1!AE57/O$118,Récap1!AE57)</f>
        <v>PVL</v>
      </c>
      <c r="AV57" s="1944" t="str">
        <f>IF(ISNUMBER(Récap1!AF57),Récap1!AF57/P$118,Récap1!AF57)</f>
        <v>PVL</v>
      </c>
      <c r="AW57" s="1944"/>
      <c r="AX57" s="1944"/>
      <c r="AY57" s="1944"/>
      <c r="AZ57" s="1977" t="str">
        <f>IF(ISNUMBER(Récap1!AJ57),Récap1!AJ57/T$118,Récap1!AJ57)</f>
        <v>PVL</v>
      </c>
      <c r="BA57" s="1944" t="str">
        <f>IF(ISNUMBER(Récap1!AK57),Récap1!AK57/U$118,Récap1!AK57)</f>
        <v>PVL</v>
      </c>
      <c r="BB57" s="1944" t="str">
        <f>IF(ISNUMBER(Récap1!AL57),Récap1!AL57/V$118,Récap1!AL57)</f>
        <v>PVL</v>
      </c>
      <c r="BC57" s="1896" t="str">
        <f>IF(ISNUMBER(Récap1!AM57),Récap1!AM57/W$118,Récap1!AM57)</f>
        <v>PVL</v>
      </c>
      <c r="BD57" s="1121" t="str">
        <f t="shared" si="22"/>
        <v>PVL</v>
      </c>
      <c r="BE57" s="1081">
        <f>SUMIF(Récap1!AC57:AF57,"&gt;0",M$118:P$118)+SUMIF(Récap1!AJ57:AM57,"&gt;0",T$118:W$118)</f>
        <v>0</v>
      </c>
      <c r="BF57" s="1978" t="str">
        <f t="shared" si="23"/>
        <v>PVL</v>
      </c>
      <c r="BG57" s="978">
        <f t="shared" si="24"/>
        <v>74509.824320489264</v>
      </c>
      <c r="BH57" s="743"/>
      <c r="BI57" s="740">
        <f t="shared" si="25"/>
        <v>146079.20513729699</v>
      </c>
      <c r="BJ57" s="740">
        <f t="shared" si="26"/>
        <v>168746.56633892938</v>
      </c>
      <c r="BK57" s="740">
        <f t="shared" si="27"/>
        <v>105521.11831735907</v>
      </c>
      <c r="BL57" s="878">
        <f t="shared" si="28"/>
        <v>16838.303901471423</v>
      </c>
      <c r="BM57" s="740">
        <f t="shared" si="29"/>
        <v>40161.581114314438</v>
      </c>
      <c r="BN57" s="740">
        <f t="shared" si="30"/>
        <v>15993.051771406912</v>
      </c>
      <c r="BO57" s="741">
        <f t="shared" si="31"/>
        <v>1516.8875332964953</v>
      </c>
    </row>
    <row r="58" spans="1:67" s="782" customFormat="1" ht="13.5" hidden="1" customHeight="1">
      <c r="A58" s="1592"/>
      <c r="B58" s="245"/>
      <c r="C58" s="777"/>
      <c r="D58" s="787"/>
      <c r="E58" s="853" t="s">
        <v>953</v>
      </c>
      <c r="F58" s="779" t="s">
        <v>19</v>
      </c>
      <c r="G58" s="1609" t="s">
        <v>20</v>
      </c>
      <c r="H58" s="781" t="str">
        <f>Récap1!X58</f>
        <v>PVL</v>
      </c>
      <c r="I58" s="781" t="str">
        <f>Récap1!Y58</f>
        <v>PVL</v>
      </c>
      <c r="J58" s="781" t="str">
        <f>Récap1!Z58</f>
        <v>PVL</v>
      </c>
      <c r="K58" s="608">
        <f>Récap1!AA58</f>
        <v>51.681819754531617</v>
      </c>
      <c r="L58" s="781" t="e">
        <f>IF(ISNUMBER(Récap1!AB58),Récap1!AB58,I58/I$117*L$117)</f>
        <v>#VALUE!</v>
      </c>
      <c r="M58" s="880" t="e">
        <f>IF(ISNUMBER(Récap1!AC58),Récap1!AC58,L58/L$118*M$118)</f>
        <v>#VALUE!</v>
      </c>
      <c r="N58" s="781" t="e">
        <f>IF(ISNUMBER(Récap1!AD58),Récap1!AD58,M58/M$118*N$118)</f>
        <v>#VALUE!</v>
      </c>
      <c r="O58" s="781" t="e">
        <f>IF(ISNUMBER(Récap1!AE58),Récap1!AE58,N58/N$118*O$118)</f>
        <v>#VALUE!</v>
      </c>
      <c r="P58" s="881" t="e">
        <f>IF(ISNUMBER(Récap1!AF58),Récap1!AF58,O58/O$118*P$118)</f>
        <v>#VALUE!</v>
      </c>
      <c r="Q58" s="781" t="e">
        <f>IF(ISNUMBER(Récap1!AG58),Récap1!AG58,I58/I$117*Q$117)</f>
        <v>#VALUE!</v>
      </c>
      <c r="R58" s="781" t="e">
        <f>IF(ISNUMBER(Récap1!AH58),Récap1!AH58,Q58/Q$117*R$117)</f>
        <v>#VALUE!</v>
      </c>
      <c r="S58" s="781" t="e">
        <f>IF(ISNUMBER(Récap1!AI58),Récap1!AI58,R58/R$117*S$117)</f>
        <v>#VALUE!</v>
      </c>
      <c r="T58" s="880" t="e">
        <f>IF(ISNUMBER(Récap1!AJ58),Récap1!AJ58,S58/S$118*T$118)</f>
        <v>#VALUE!</v>
      </c>
      <c r="U58" s="781" t="e">
        <f>IF(ISNUMBER(Récap1!AK58),Récap1!AK58,T58/T$118*U$118)</f>
        <v>#VALUE!</v>
      </c>
      <c r="V58" s="781" t="e">
        <f>IF(ISNUMBER(Récap1!AL58),Récap1!AL58,U58/U$118*V$118)</f>
        <v>#VALUE!</v>
      </c>
      <c r="W58" s="781" t="e">
        <f>IF(ISNUMBER(Récap1!AM58),Récap1!AM58,V58/V$118*W$118)</f>
        <v>#VALUE!</v>
      </c>
      <c r="Y58" s="1886" t="str">
        <f>IF(ISNUMBER(Récap1!X58),Récap1!X58/H$117,Récap1!X58)</f>
        <v>PVL</v>
      </c>
      <c r="Z58" s="1897" t="str">
        <f>IF(ISNUMBER(Récap1!Y58),Récap1!Y58/I$117,Récap1!Y58)</f>
        <v>PVL</v>
      </c>
      <c r="AA58" s="1086"/>
      <c r="AB58" s="1086"/>
      <c r="AC58" s="1094" t="str">
        <f>IF(ISNUMBER(Récap1!AB58),Récap1!AB58/L$117,Récap1!AB58)</f>
        <v>PVL</v>
      </c>
      <c r="AD58" s="1086"/>
      <c r="AE58" s="1086"/>
      <c r="AF58" s="1086"/>
      <c r="AG58" s="1897"/>
      <c r="AH58" s="1086" t="str">
        <f>IF(ISNUMBER(Récap1!AG58),Récap1!AG58/Q$117,Récap1!AG58)</f>
        <v>PVL</v>
      </c>
      <c r="AI58" s="1086" t="str">
        <f>IF(ISNUMBER(Récap1!AH58),Récap1!AH58/R$117,Récap1!AH58)</f>
        <v>PVL</v>
      </c>
      <c r="AJ58" s="1897" t="str">
        <f>IF(ISNUMBER(Récap1!AI58),Récap1!AI58/S$117,Récap1!AI58)</f>
        <v>PVL</v>
      </c>
      <c r="AK58" s="1086"/>
      <c r="AL58" s="1086"/>
      <c r="AM58" s="1086"/>
      <c r="AN58" s="1946"/>
      <c r="AO58" s="1122" t="str">
        <f t="shared" si="19"/>
        <v>PVL</v>
      </c>
      <c r="AP58" s="1071">
        <f>SUMIF(Récap1!X58:Y58,"&gt;0",H$117:I$117)+IF(ISNUMBER(Récap1!AB58),L$117,0)+SUMIF(Récap1!AG58:AI58,"&gt;0",Q$117:S$117)</f>
        <v>0</v>
      </c>
      <c r="AQ58" s="1150" t="str">
        <f t="shared" si="20"/>
        <v>PVL</v>
      </c>
      <c r="AR58" s="1089" t="e">
        <f t="shared" si="21"/>
        <v>#VALUE!</v>
      </c>
      <c r="AS58" s="1886" t="str">
        <f>IF(ISNUMBER(Récap1!AC58),Récap1!AC58/M$118,Récap1!AC58)</f>
        <v>PVL</v>
      </c>
      <c r="AT58" s="1086" t="str">
        <f>IF(ISNUMBER(Récap1!AD58),Récap1!AD58/N$118,Récap1!AD58)</f>
        <v>PVL</v>
      </c>
      <c r="AU58" s="1086" t="str">
        <f>IF(ISNUMBER(Récap1!AE58),Récap1!AE58/O$118,Récap1!AE58)</f>
        <v>PVL</v>
      </c>
      <c r="AV58" s="1086" t="str">
        <f>IF(ISNUMBER(Récap1!AF58),Récap1!AF58/P$118,Récap1!AF58)</f>
        <v>PVL</v>
      </c>
      <c r="AW58" s="1086"/>
      <c r="AX58" s="1086"/>
      <c r="AY58" s="1086"/>
      <c r="AZ58" s="1979" t="str">
        <f>IF(ISNUMBER(Récap1!AJ58),Récap1!AJ58/T$118,Récap1!AJ58)</f>
        <v>PVL</v>
      </c>
      <c r="BA58" s="1086" t="str">
        <f>IF(ISNUMBER(Récap1!AK58),Récap1!AK58/U$118,Récap1!AK58)</f>
        <v>PVL</v>
      </c>
      <c r="BB58" s="1086" t="str">
        <f>IF(ISNUMBER(Récap1!AL58),Récap1!AL58/V$118,Récap1!AL58)</f>
        <v>PVL</v>
      </c>
      <c r="BC58" s="1897" t="str">
        <f>IF(ISNUMBER(Récap1!AM58),Récap1!AM58/W$118,Récap1!AM58)</f>
        <v>PVL</v>
      </c>
      <c r="BD58" s="1122" t="str">
        <f t="shared" si="22"/>
        <v>PVL</v>
      </c>
      <c r="BE58" s="1082">
        <f>SUMIF(Récap1!AC58:AF58,"&gt;0",M$118:P$118)+SUMIF(Récap1!AJ58:AM58,"&gt;0",T$118:W$118)</f>
        <v>0</v>
      </c>
      <c r="BF58" s="1980" t="str">
        <f t="shared" si="23"/>
        <v>PVL</v>
      </c>
      <c r="BG58" s="979" t="e">
        <f t="shared" si="24"/>
        <v>#VALUE!</v>
      </c>
      <c r="BH58" s="921"/>
      <c r="BI58" s="781" t="e">
        <f t="shared" si="25"/>
        <v>#VALUE!</v>
      </c>
      <c r="BJ58" s="781" t="e">
        <f t="shared" si="26"/>
        <v>#VALUE!</v>
      </c>
      <c r="BK58" s="781" t="e">
        <f t="shared" si="27"/>
        <v>#VALUE!</v>
      </c>
      <c r="BL58" s="880" t="e">
        <f t="shared" si="28"/>
        <v>#VALUE!</v>
      </c>
      <c r="BM58" s="781" t="e">
        <f t="shared" si="29"/>
        <v>#VALUE!</v>
      </c>
      <c r="BN58" s="781" t="e">
        <f t="shared" si="30"/>
        <v>#VALUE!</v>
      </c>
      <c r="BO58" s="608" t="e">
        <f t="shared" si="31"/>
        <v>#VALUE!</v>
      </c>
    </row>
    <row r="59" spans="1:67" s="782" customFormat="1" ht="13.5" hidden="1" customHeight="1">
      <c r="A59" s="1592"/>
      <c r="B59" s="245"/>
      <c r="C59" s="777"/>
      <c r="D59" s="787"/>
      <c r="E59" s="853" t="s">
        <v>983</v>
      </c>
      <c r="F59" s="779" t="s">
        <v>19</v>
      </c>
      <c r="G59" s="1609" t="s">
        <v>20</v>
      </c>
      <c r="H59" s="781" t="str">
        <f>Récap1!X59</f>
        <v>PVL</v>
      </c>
      <c r="I59" s="781" t="str">
        <f>Récap1!Y59</f>
        <v>PVL</v>
      </c>
      <c r="J59" s="781" t="str">
        <f>Récap1!Z59</f>
        <v>PVL</v>
      </c>
      <c r="K59" s="608">
        <f>Récap1!AA59</f>
        <v>98.600352296288179</v>
      </c>
      <c r="L59" s="781" t="e">
        <f>IF(ISNUMBER(Récap1!AB59),Récap1!AB59,I59/I$117*L$117)</f>
        <v>#VALUE!</v>
      </c>
      <c r="M59" s="880" t="e">
        <f>IF(ISNUMBER(Récap1!AC59),Récap1!AC59,L59/L$118*M$118)</f>
        <v>#VALUE!</v>
      </c>
      <c r="N59" s="781" t="e">
        <f>IF(ISNUMBER(Récap1!AD59),Récap1!AD59,M59/M$118*N$118)</f>
        <v>#VALUE!</v>
      </c>
      <c r="O59" s="781" t="e">
        <f>IF(ISNUMBER(Récap1!AE59),Récap1!AE59,N59/N$118*O$118)</f>
        <v>#VALUE!</v>
      </c>
      <c r="P59" s="881" t="e">
        <f>IF(ISNUMBER(Récap1!AF59),Récap1!AF59,O59/O$118*P$118)</f>
        <v>#VALUE!</v>
      </c>
      <c r="Q59" s="781" t="e">
        <f>IF(ISNUMBER(Récap1!AG59),Récap1!AG59,I59/I$117*Q$117)</f>
        <v>#VALUE!</v>
      </c>
      <c r="R59" s="781" t="e">
        <f>IF(ISNUMBER(Récap1!AH59),Récap1!AH59,Q59/Q$117*R$117)</f>
        <v>#VALUE!</v>
      </c>
      <c r="S59" s="781" t="e">
        <f>IF(ISNUMBER(Récap1!AI59),Récap1!AI59,R59/R$117*S$117)</f>
        <v>#VALUE!</v>
      </c>
      <c r="T59" s="880" t="e">
        <f>IF(ISNUMBER(Récap1!AJ59),Récap1!AJ59,S59/S$118*T$118)</f>
        <v>#VALUE!</v>
      </c>
      <c r="U59" s="781" t="e">
        <f>IF(ISNUMBER(Récap1!AK59),Récap1!AK59,T59/T$118*U$118)</f>
        <v>#VALUE!</v>
      </c>
      <c r="V59" s="781" t="e">
        <f>IF(ISNUMBER(Récap1!AL59),Récap1!AL59,U59/U$118*V$118)</f>
        <v>#VALUE!</v>
      </c>
      <c r="W59" s="781" t="e">
        <f>IF(ISNUMBER(Récap1!AM59),Récap1!AM59,V59/V$118*W$118)</f>
        <v>#VALUE!</v>
      </c>
      <c r="Y59" s="1886" t="str">
        <f>IF(ISNUMBER(Récap1!X59),Récap1!X59/H$117,Récap1!X59)</f>
        <v>PVL</v>
      </c>
      <c r="Z59" s="1897" t="str">
        <f>IF(ISNUMBER(Récap1!Y59),Récap1!Y59/I$117,Récap1!Y59)</f>
        <v>PVL</v>
      </c>
      <c r="AA59" s="1086"/>
      <c r="AB59" s="1086"/>
      <c r="AC59" s="1094" t="str">
        <f>IF(ISNUMBER(Récap1!AB59),Récap1!AB59/L$117,Récap1!AB59)</f>
        <v>PVL</v>
      </c>
      <c r="AD59" s="1086"/>
      <c r="AE59" s="1086"/>
      <c r="AF59" s="1086"/>
      <c r="AG59" s="1897"/>
      <c r="AH59" s="1086" t="str">
        <f>IF(ISNUMBER(Récap1!AG59),Récap1!AG59/Q$117,Récap1!AG59)</f>
        <v>PVL</v>
      </c>
      <c r="AI59" s="1086" t="str">
        <f>IF(ISNUMBER(Récap1!AH59),Récap1!AH59/R$117,Récap1!AH59)</f>
        <v>PVL</v>
      </c>
      <c r="AJ59" s="1897" t="str">
        <f>IF(ISNUMBER(Récap1!AI59),Récap1!AI59/S$117,Récap1!AI59)</f>
        <v>PVL</v>
      </c>
      <c r="AK59" s="1086"/>
      <c r="AL59" s="1086"/>
      <c r="AM59" s="1086"/>
      <c r="AN59" s="1946"/>
      <c r="AO59" s="1122" t="str">
        <f t="shared" si="19"/>
        <v>PVL</v>
      </c>
      <c r="AP59" s="1071">
        <f>SUMIF(Récap1!X59:Y59,"&gt;0",H$117:I$117)+IF(ISNUMBER(Récap1!AB59),L$117,0)+SUMIF(Récap1!AG59:AI59,"&gt;0",Q$117:S$117)</f>
        <v>0</v>
      </c>
      <c r="AQ59" s="1150" t="str">
        <f t="shared" si="20"/>
        <v>PVL</v>
      </c>
      <c r="AR59" s="1089" t="e">
        <f t="shared" si="21"/>
        <v>#VALUE!</v>
      </c>
      <c r="AS59" s="1886" t="str">
        <f>IF(ISNUMBER(Récap1!AC59),Récap1!AC59/M$118,Récap1!AC59)</f>
        <v>PVL</v>
      </c>
      <c r="AT59" s="1086" t="str">
        <f>IF(ISNUMBER(Récap1!AD59),Récap1!AD59/N$118,Récap1!AD59)</f>
        <v>PVL</v>
      </c>
      <c r="AU59" s="1086" t="str">
        <f>IF(ISNUMBER(Récap1!AE59),Récap1!AE59/O$118,Récap1!AE59)</f>
        <v>PVL</v>
      </c>
      <c r="AV59" s="1086" t="str">
        <f>IF(ISNUMBER(Récap1!AF59),Récap1!AF59/P$118,Récap1!AF59)</f>
        <v>PVL</v>
      </c>
      <c r="AW59" s="1086"/>
      <c r="AX59" s="1086"/>
      <c r="AY59" s="1086"/>
      <c r="AZ59" s="1979" t="str">
        <f>IF(ISNUMBER(Récap1!AJ59),Récap1!AJ59/T$118,Récap1!AJ59)</f>
        <v>PVL</v>
      </c>
      <c r="BA59" s="1086" t="str">
        <f>IF(ISNUMBER(Récap1!AK59),Récap1!AK59/U$118,Récap1!AK59)</f>
        <v>PVL</v>
      </c>
      <c r="BB59" s="1086" t="str">
        <f>IF(ISNUMBER(Récap1!AL59),Récap1!AL59/V$118,Récap1!AL59)</f>
        <v>PVL</v>
      </c>
      <c r="BC59" s="1897" t="str">
        <f>IF(ISNUMBER(Récap1!AM59),Récap1!AM59/W$118,Récap1!AM59)</f>
        <v>PVL</v>
      </c>
      <c r="BD59" s="1122" t="str">
        <f t="shared" si="22"/>
        <v>PVL</v>
      </c>
      <c r="BE59" s="1082">
        <f>SUMIF(Récap1!AC59:AF59,"&gt;0",M$118:P$118)+SUMIF(Récap1!AJ59:AM59,"&gt;0",T$118:W$118)</f>
        <v>0</v>
      </c>
      <c r="BF59" s="1980" t="str">
        <f t="shared" si="23"/>
        <v>PVL</v>
      </c>
      <c r="BG59" s="979" t="e">
        <f t="shared" si="24"/>
        <v>#VALUE!</v>
      </c>
      <c r="BH59" s="921"/>
      <c r="BI59" s="781" t="e">
        <f t="shared" si="25"/>
        <v>#VALUE!</v>
      </c>
      <c r="BJ59" s="781" t="e">
        <f t="shared" si="26"/>
        <v>#VALUE!</v>
      </c>
      <c r="BK59" s="781" t="e">
        <f t="shared" si="27"/>
        <v>#VALUE!</v>
      </c>
      <c r="BL59" s="880" t="e">
        <f t="shared" si="28"/>
        <v>#VALUE!</v>
      </c>
      <c r="BM59" s="781" t="e">
        <f t="shared" si="29"/>
        <v>#VALUE!</v>
      </c>
      <c r="BN59" s="781" t="e">
        <f t="shared" si="30"/>
        <v>#VALUE!</v>
      </c>
      <c r="BO59" s="608" t="e">
        <f t="shared" si="31"/>
        <v>#VALUE!</v>
      </c>
    </row>
    <row r="60" spans="1:67" s="1009" customFormat="1" ht="12.75" hidden="1" customHeight="1">
      <c r="A60" s="1596"/>
      <c r="B60" s="1000"/>
      <c r="C60" s="1001"/>
      <c r="D60" s="926"/>
      <c r="E60" s="1002" t="s">
        <v>954</v>
      </c>
      <c r="F60" s="1003" t="s">
        <v>19</v>
      </c>
      <c r="G60" s="1613" t="s">
        <v>20</v>
      </c>
      <c r="H60" s="1005">
        <f>Récap1!X60</f>
        <v>2.7474192261642125</v>
      </c>
      <c r="I60" s="1005">
        <f>Récap1!Y60</f>
        <v>96.184299750885145</v>
      </c>
      <c r="J60" s="1005">
        <f>Récap1!Z60</f>
        <v>36.624763636363639</v>
      </c>
      <c r="K60" s="1006">
        <f>Récap1!AA60</f>
        <v>51.681819754531617</v>
      </c>
      <c r="L60" s="1005">
        <f>IF(ISNUMBER(Récap1!AB60),Récap1!AB60,I60/I$117*L$117)</f>
        <v>126.0299739206294</v>
      </c>
      <c r="M60" s="1007">
        <f>IF(ISNUMBER(Récap1!AC60),Récap1!AC60,L60/L$118*M$118)</f>
        <v>16.647114731636385</v>
      </c>
      <c r="N60" s="1005">
        <f>IF(ISNUMBER(Récap1!AD60),Récap1!AD60,M60/M$118*N$118)</f>
        <v>29.607831275940278</v>
      </c>
      <c r="O60" s="1005">
        <f>IF(ISNUMBER(Récap1!AE60),Récap1!AE60,N60/N$118*O$118)</f>
        <v>2.8113591099482775</v>
      </c>
      <c r="P60" s="1008">
        <f>IF(ISNUMBER(Récap1!AF60),Récap1!AF60,O60/O$118*P$118)</f>
        <v>1.9322992500812663E-2</v>
      </c>
      <c r="Q60" s="1005">
        <f>IF(ISNUMBER(Récap1!AG60),Récap1!AG60,I60/I$117*Q$117)</f>
        <v>239.74624142696982</v>
      </c>
      <c r="R60" s="1005">
        <f>IF(ISNUMBER(Récap1!AH60),Récap1!AH60,Q60/Q$117*R$117)</f>
        <v>185.34310126470973</v>
      </c>
      <c r="S60" s="1005">
        <f>IF(ISNUMBER(Récap1!AI60),Récap1!AI60,R60/R$117*S$117)</f>
        <v>50.015600437773628</v>
      </c>
      <c r="T60" s="1007">
        <f>IF(ISNUMBER(Récap1!AJ60),Récap1!AJ60,S60/S$118*T$118)</f>
        <v>11.444976489768178</v>
      </c>
      <c r="U60" s="1005">
        <f>IF(ISNUMBER(Récap1!AK60),Récap1!AK60,T60/T$118*U$118)</f>
        <v>37.395520537930352</v>
      </c>
      <c r="V60" s="1005">
        <f>IF(ISNUMBER(Récap1!AL60),Récap1!AL60,U60/U$118*V$118)</f>
        <v>23.870560393342576</v>
      </c>
      <c r="W60" s="1005">
        <f>IF(ISNUMBER(Récap1!AM60),Récap1!AM60,V60/V$118*W$118)</f>
        <v>2.5113679373767974</v>
      </c>
      <c r="Y60" s="1892">
        <f>IF(ISNUMBER(Récap1!X60),Récap1!X60/H$117,Récap1!X60)</f>
        <v>239.85055862379866</v>
      </c>
      <c r="Z60" s="1903">
        <f>IF(ISNUMBER(Récap1!Y60),Récap1!Y60/I$117,Récap1!Y60)</f>
        <v>705.39936381158907</v>
      </c>
      <c r="AA60" s="1106"/>
      <c r="AB60" s="1106"/>
      <c r="AC60" s="1100" t="str">
        <f>IF(ISNUMBER(Récap1!AB60),Récap1!AB60/L$117,Récap1!AB60)</f>
        <v>PVL</v>
      </c>
      <c r="AD60" s="1106"/>
      <c r="AE60" s="1106"/>
      <c r="AF60" s="1106"/>
      <c r="AG60" s="1903"/>
      <c r="AH60" s="1106" t="str">
        <f>IF(ISNUMBER(Récap1!AG60),Récap1!AG60/Q$117,Récap1!AG60)</f>
        <v>PVL</v>
      </c>
      <c r="AI60" s="1106" t="str">
        <f>IF(ISNUMBER(Récap1!AH60),Récap1!AH60/R$117,Récap1!AH60)</f>
        <v>PVL</v>
      </c>
      <c r="AJ60" s="1903" t="str">
        <f>IF(ISNUMBER(Récap1!AI60),Récap1!AI60/S$117,Récap1!AI60)</f>
        <v>PVL</v>
      </c>
      <c r="AK60" s="1106"/>
      <c r="AL60" s="1106"/>
      <c r="AM60" s="1106"/>
      <c r="AN60" s="1139"/>
      <c r="AO60" s="1106">
        <f t="shared" si="19"/>
        <v>705.39936381158907</v>
      </c>
      <c r="AP60" s="1069">
        <f>SUMIF(Récap1!X60:Y60,"&gt;0",H$117:I$117)+IF(ISNUMBER(Récap1!AB60),L$117,0)+SUMIF(Récap1!AG60:AI60,"&gt;0",Q$117:S$117)</f>
        <v>0.14780910234752553</v>
      </c>
      <c r="AQ60" s="1156">
        <f t="shared" si="20"/>
        <v>669.32088353018514</v>
      </c>
      <c r="AR60" s="1106">
        <f t="shared" si="21"/>
        <v>700.06663602713195</v>
      </c>
      <c r="AS60" s="1892" t="str">
        <f>IF(ISNUMBER(Récap1!AC60),Récap1!AC60/M$118,Récap1!AC60)</f>
        <v>PVL</v>
      </c>
      <c r="AT60" s="1106" t="str">
        <f>IF(ISNUMBER(Récap1!AD60),Récap1!AD60/N$118,Récap1!AD60)</f>
        <v>PVL</v>
      </c>
      <c r="AU60" s="1106" t="str">
        <f>IF(ISNUMBER(Récap1!AE60),Récap1!AE60/O$118,Récap1!AE60)</f>
        <v>PVL</v>
      </c>
      <c r="AV60" s="1106" t="str">
        <f>IF(ISNUMBER(Récap1!AF60),Récap1!AF60/P$118,Récap1!AF60)</f>
        <v>PVL</v>
      </c>
      <c r="AW60" s="1106"/>
      <c r="AX60" s="1106"/>
      <c r="AY60" s="1106"/>
      <c r="AZ60" s="1988" t="str">
        <f>IF(ISNUMBER(Récap1!AJ60),Récap1!AJ60/T$118,Récap1!AJ60)</f>
        <v>PVL</v>
      </c>
      <c r="BA60" s="1106" t="str">
        <f>IF(ISNUMBER(Récap1!AK60),Récap1!AK60/U$118,Récap1!AK60)</f>
        <v>PVL</v>
      </c>
      <c r="BB60" s="1106" t="str">
        <f>IF(ISNUMBER(Récap1!AL60),Récap1!AL60/V$118,Récap1!AL60)</f>
        <v>PVL</v>
      </c>
      <c r="BC60" s="1903" t="str">
        <f>IF(ISNUMBER(Récap1!AM60),Récap1!AM60/W$118,Récap1!AM60)</f>
        <v>PVL</v>
      </c>
      <c r="BD60" s="1106" t="str">
        <f t="shared" si="22"/>
        <v>PVL</v>
      </c>
      <c r="BE60" s="1080">
        <f>SUMIF(Récap1!AC60:AF60,"&gt;0",M$118:P$118)+SUMIF(Récap1!AJ60:AM60,"&gt;0",T$118:W$118)</f>
        <v>0</v>
      </c>
      <c r="BF60" s="1139" t="str">
        <f t="shared" si="23"/>
        <v>PVL</v>
      </c>
      <c r="BG60" s="790">
        <f t="shared" si="24"/>
        <v>124.30805346844366</v>
      </c>
      <c r="BH60" s="1010"/>
      <c r="BI60" s="1005">
        <f t="shared" si="25"/>
        <v>242.49366065313404</v>
      </c>
      <c r="BJ60" s="1005">
        <f t="shared" si="26"/>
        <v>281.52740101559488</v>
      </c>
      <c r="BK60" s="1005">
        <f t="shared" si="27"/>
        <v>176.04557435840303</v>
      </c>
      <c r="BL60" s="1007">
        <f t="shared" si="28"/>
        <v>28.092091221404566</v>
      </c>
      <c r="BM60" s="1005">
        <f t="shared" si="29"/>
        <v>67.003351813870637</v>
      </c>
      <c r="BN60" s="1005">
        <f t="shared" si="30"/>
        <v>26.681919503290853</v>
      </c>
      <c r="BO60" s="1006">
        <f t="shared" si="31"/>
        <v>2.5306909298776099</v>
      </c>
    </row>
    <row r="61" spans="1:67" s="1009" customFormat="1" ht="12.75" hidden="1" customHeight="1">
      <c r="A61" s="1596"/>
      <c r="B61" s="1000"/>
      <c r="C61" s="1001"/>
      <c r="D61" s="926"/>
      <c r="E61" s="1002" t="s">
        <v>984</v>
      </c>
      <c r="F61" s="1003" t="s">
        <v>19</v>
      </c>
      <c r="G61" s="1613" t="s">
        <v>20</v>
      </c>
      <c r="H61" s="1005">
        <f>Récap1!X61</f>
        <v>2.7474192261642125</v>
      </c>
      <c r="I61" s="1005">
        <f>Récap1!Y61</f>
        <v>96.184299750885145</v>
      </c>
      <c r="J61" s="1005">
        <f>Récap1!Z61</f>
        <v>36.624763636363639</v>
      </c>
      <c r="K61" s="1006">
        <f>Récap1!AA61</f>
        <v>98.600352296288179</v>
      </c>
      <c r="L61" s="1005">
        <f>IF(ISNUMBER(Récap1!AB61),Récap1!AB61,I61/I$117*L$117)</f>
        <v>126.0299739206294</v>
      </c>
      <c r="M61" s="1007">
        <f>IF(ISNUMBER(Récap1!AC61),Récap1!AC61,L61/L$118*M$118)</f>
        <v>16.647114731636385</v>
      </c>
      <c r="N61" s="1005">
        <f>IF(ISNUMBER(Récap1!AD61),Récap1!AD61,M61/M$118*N$118)</f>
        <v>29.607831275940278</v>
      </c>
      <c r="O61" s="1005">
        <f>IF(ISNUMBER(Récap1!AE61),Récap1!AE61,N61/N$118*O$118)</f>
        <v>2.8113591099482775</v>
      </c>
      <c r="P61" s="1008">
        <f>IF(ISNUMBER(Récap1!AF61),Récap1!AF61,O61/O$118*P$118)</f>
        <v>1.9322992500812663E-2</v>
      </c>
      <c r="Q61" s="1005">
        <f>IF(ISNUMBER(Récap1!AG61),Récap1!AG61,I61/I$117*Q$117)</f>
        <v>239.74624142696982</v>
      </c>
      <c r="R61" s="1005">
        <f>IF(ISNUMBER(Récap1!AH61),Récap1!AH61,Q61/Q$117*R$117)</f>
        <v>185.34310126470973</v>
      </c>
      <c r="S61" s="1005">
        <f>IF(ISNUMBER(Récap1!AI61),Récap1!AI61,R61/R$117*S$117)</f>
        <v>50.015600437773628</v>
      </c>
      <c r="T61" s="1007">
        <f>IF(ISNUMBER(Récap1!AJ61),Récap1!AJ61,S61/S$118*T$118)</f>
        <v>11.444976489768178</v>
      </c>
      <c r="U61" s="1005">
        <f>IF(ISNUMBER(Récap1!AK61),Récap1!AK61,T61/T$118*U$118)</f>
        <v>37.395520537930352</v>
      </c>
      <c r="V61" s="1005">
        <f>IF(ISNUMBER(Récap1!AL61),Récap1!AL61,U61/U$118*V$118)</f>
        <v>23.870560393342576</v>
      </c>
      <c r="W61" s="1005">
        <f>IF(ISNUMBER(Récap1!AM61),Récap1!AM61,V61/V$118*W$118)</f>
        <v>2.5113679373767974</v>
      </c>
      <c r="Y61" s="1892">
        <f>IF(ISNUMBER(Récap1!X61),Récap1!X61/H$117,Récap1!X61)</f>
        <v>239.85055862379866</v>
      </c>
      <c r="Z61" s="1903">
        <f>IF(ISNUMBER(Récap1!Y61),Récap1!Y61/I$117,Récap1!Y61)</f>
        <v>705.39936381158907</v>
      </c>
      <c r="AA61" s="1106"/>
      <c r="AB61" s="1106"/>
      <c r="AC61" s="1100" t="str">
        <f>IF(ISNUMBER(Récap1!AB61),Récap1!AB61/L$117,Récap1!AB61)</f>
        <v>PVL</v>
      </c>
      <c r="AD61" s="1106"/>
      <c r="AE61" s="1106"/>
      <c r="AF61" s="1106"/>
      <c r="AG61" s="1903"/>
      <c r="AH61" s="1106" t="str">
        <f>IF(ISNUMBER(Récap1!AG61),Récap1!AG61/Q$117,Récap1!AG61)</f>
        <v>PVL</v>
      </c>
      <c r="AI61" s="1106" t="str">
        <f>IF(ISNUMBER(Récap1!AH61),Récap1!AH61/R$117,Récap1!AH61)</f>
        <v>PVL</v>
      </c>
      <c r="AJ61" s="1903" t="str">
        <f>IF(ISNUMBER(Récap1!AI61),Récap1!AI61/S$117,Récap1!AI61)</f>
        <v>PVL</v>
      </c>
      <c r="AK61" s="1106"/>
      <c r="AL61" s="1106"/>
      <c r="AM61" s="1106"/>
      <c r="AN61" s="1139"/>
      <c r="AO61" s="1106">
        <f t="shared" si="19"/>
        <v>705.39936381158907</v>
      </c>
      <c r="AP61" s="1069">
        <f>SUMIF(Récap1!X61:Y61,"&gt;0",H$117:I$117)+IF(ISNUMBER(Récap1!AB61),L$117,0)+SUMIF(Récap1!AG61:AI61,"&gt;0",Q$117:S$117)</f>
        <v>0.14780910234752553</v>
      </c>
      <c r="AQ61" s="1156">
        <f t="shared" si="20"/>
        <v>669.32088353018514</v>
      </c>
      <c r="AR61" s="1106">
        <f t="shared" si="21"/>
        <v>700.06663602713195</v>
      </c>
      <c r="AS61" s="1892" t="str">
        <f>IF(ISNUMBER(Récap1!AC61),Récap1!AC61/M$118,Récap1!AC61)</f>
        <v>PVL</v>
      </c>
      <c r="AT61" s="1106" t="str">
        <f>IF(ISNUMBER(Récap1!AD61),Récap1!AD61/N$118,Récap1!AD61)</f>
        <v>PVL</v>
      </c>
      <c r="AU61" s="1106" t="str">
        <f>IF(ISNUMBER(Récap1!AE61),Récap1!AE61/O$118,Récap1!AE61)</f>
        <v>PVL</v>
      </c>
      <c r="AV61" s="1106" t="str">
        <f>IF(ISNUMBER(Récap1!AF61),Récap1!AF61/P$118,Récap1!AF61)</f>
        <v>PVL</v>
      </c>
      <c r="AW61" s="1106"/>
      <c r="AX61" s="1106"/>
      <c r="AY61" s="1106"/>
      <c r="AZ61" s="1988" t="str">
        <f>IF(ISNUMBER(Récap1!AJ61),Récap1!AJ61/T$118,Récap1!AJ61)</f>
        <v>PVL</v>
      </c>
      <c r="BA61" s="1106" t="str">
        <f>IF(ISNUMBER(Récap1!AK61),Récap1!AK61/U$118,Récap1!AK61)</f>
        <v>PVL</v>
      </c>
      <c r="BB61" s="1106" t="str">
        <f>IF(ISNUMBER(Récap1!AL61),Récap1!AL61/V$118,Récap1!AL61)</f>
        <v>PVL</v>
      </c>
      <c r="BC61" s="1903" t="str">
        <f>IF(ISNUMBER(Récap1!AM61),Récap1!AM61/W$118,Récap1!AM61)</f>
        <v>PVL</v>
      </c>
      <c r="BD61" s="1106" t="str">
        <f t="shared" si="22"/>
        <v>PVL</v>
      </c>
      <c r="BE61" s="1080">
        <f>SUMIF(Récap1!AC61:AF61,"&gt;0",M$118:P$118)+SUMIF(Récap1!AJ61:AM61,"&gt;0",T$118:W$118)</f>
        <v>0</v>
      </c>
      <c r="BF61" s="1139" t="str">
        <f t="shared" si="23"/>
        <v>PVL</v>
      </c>
      <c r="BG61" s="790">
        <f t="shared" si="24"/>
        <v>124.30805346844366</v>
      </c>
      <c r="BH61" s="1010"/>
      <c r="BI61" s="1005">
        <f t="shared" si="25"/>
        <v>242.49366065313404</v>
      </c>
      <c r="BJ61" s="1005">
        <f t="shared" si="26"/>
        <v>281.52740101559488</v>
      </c>
      <c r="BK61" s="1005">
        <f t="shared" si="27"/>
        <v>176.04557435840303</v>
      </c>
      <c r="BL61" s="1007">
        <f t="shared" si="28"/>
        <v>28.092091221404566</v>
      </c>
      <c r="BM61" s="1005">
        <f t="shared" si="29"/>
        <v>67.003351813870637</v>
      </c>
      <c r="BN61" s="1005">
        <f t="shared" si="30"/>
        <v>26.681919503290853</v>
      </c>
      <c r="BO61" s="1006">
        <f t="shared" si="31"/>
        <v>2.5306909298776099</v>
      </c>
    </row>
    <row r="62" spans="1:67" s="513" customFormat="1" ht="13.5" hidden="1" customHeight="1">
      <c r="A62" s="1595"/>
      <c r="B62" s="510"/>
      <c r="C62" s="77"/>
      <c r="D62" s="787"/>
      <c r="E62" s="352" t="s">
        <v>660</v>
      </c>
      <c r="F62" s="800" t="str">
        <f>F60</f>
        <v>Cs</v>
      </c>
      <c r="G62" s="1612" t="str">
        <f>G60</f>
        <v>mg/kg ms</v>
      </c>
      <c r="H62" s="796">
        <f>Récap1!X62</f>
        <v>1.754223700777784E-2</v>
      </c>
      <c r="I62" s="796">
        <f>Récap1!Y62</f>
        <v>1.5601159508858542E-2</v>
      </c>
      <c r="J62" s="796">
        <f>Récap1!Z62</f>
        <v>2.7467644250260864E-2</v>
      </c>
      <c r="K62" s="802">
        <f>Récap1!AA62</f>
        <v>1.2461201679065631E-3</v>
      </c>
      <c r="L62" s="796">
        <f>IF(ISNUMBER(Récap1!AB62),Récap1!AB62,I62/I$117*L$117)</f>
        <v>6.315727857926912E-3</v>
      </c>
      <c r="M62" s="882">
        <f>IF(ISNUMBER(Récap1!AC62),Récap1!AC62,L62/L$118*M$118)</f>
        <v>8.5154918231512226E-3</v>
      </c>
      <c r="N62" s="796">
        <f>IF(ISNUMBER(Récap1!AD62),Récap1!AD62,M62/M$118*N$118)</f>
        <v>4.3505584443829494E-2</v>
      </c>
      <c r="O62" s="796">
        <f>IF(ISNUMBER(Récap1!AE62),Récap1!AE62,N62/N$118*O$118)</f>
        <v>0.34890349802377557</v>
      </c>
      <c r="P62" s="883">
        <f>IF(ISNUMBER(Récap1!AF62),Récap1!AF62,O62/O$118*P$118)</f>
        <v>2.3980784425454474E-3</v>
      </c>
      <c r="Q62" s="796">
        <f>IF(ISNUMBER(Récap1!AG62),Récap1!AG62,I62/I$117*Q$117)</f>
        <v>6.29011484708197E-3</v>
      </c>
      <c r="R62" s="796">
        <f>IF(ISNUMBER(Récap1!AH62),Récap1!AH62,Q62/Q$117*R$117)</f>
        <v>4.7819012449342634E-2</v>
      </c>
      <c r="S62" s="796">
        <f>IF(ISNUMBER(Récap1!AI62),Récap1!AI62,R62/R$117*S$117)</f>
        <v>9.5103001942881699E-3</v>
      </c>
      <c r="T62" s="882">
        <f>IF(ISNUMBER(Récap1!AJ62),Récap1!AJ62,S62/S$118*T$118)</f>
        <v>1.5332408405335814E-2</v>
      </c>
      <c r="U62" s="796">
        <f>IF(ISNUMBER(Récap1!AK62),Récap1!AK62,T62/T$118*U$118)</f>
        <v>0.37132861944557133</v>
      </c>
      <c r="V62" s="796">
        <f>IF(ISNUMBER(Récap1!AL62),Récap1!AL62,U62/U$118*V$118)</f>
        <v>0.23702898391964997</v>
      </c>
      <c r="W62" s="796">
        <f>IF(ISNUMBER(Récap1!AM62),Récap1!AM62,V62/V$118*W$118)</f>
        <v>2.493728595541592E-2</v>
      </c>
      <c r="Y62" s="1889">
        <f>IF(ISNUMBER(Récap1!X62),Récap1!X62/H$117,Récap1!X62)</f>
        <v>1.531442783015273</v>
      </c>
      <c r="Z62" s="1900">
        <f>IF(ISNUMBER(Récap1!Y62),Récap1!Y62/I$117,Récap1!Y62)</f>
        <v>0.11441626149771564</v>
      </c>
      <c r="AA62" s="1949"/>
      <c r="AB62" s="1949"/>
      <c r="AC62" s="1097">
        <f>IF(ISNUMBER(Récap1!AB62),Récap1!AB62/L$117,Récap1!AB62)</f>
        <v>3.5349609893551938E-2</v>
      </c>
      <c r="AD62" s="1949"/>
      <c r="AE62" s="1949"/>
      <c r="AF62" s="1949"/>
      <c r="AG62" s="1900"/>
      <c r="AH62" s="1949">
        <f>IF(ISNUMBER(Récap1!AG62),Récap1!AG62/Q$117,Récap1!AG62)</f>
        <v>1.8507247433887469E-2</v>
      </c>
      <c r="AI62" s="1949">
        <f>IF(ISNUMBER(Récap1!AH62),Récap1!AH62/R$117,Récap1!AH62)</f>
        <v>0.18199490960113443</v>
      </c>
      <c r="AJ62" s="1900">
        <f>IF(ISNUMBER(Récap1!AI62),Récap1!AI62/S$117,Récap1!AI62)</f>
        <v>0.1341293446042798</v>
      </c>
      <c r="AK62" s="1949"/>
      <c r="AL62" s="1949"/>
      <c r="AM62" s="1949"/>
      <c r="AN62" s="1950"/>
      <c r="AO62" s="1124">
        <f t="shared" si="19"/>
        <v>1.8507247433887469E-2</v>
      </c>
      <c r="AP62" s="1073">
        <f>SUMIF(Récap1!X62:Y62,"&gt;0",H$117:I$117)+IF(ISNUMBER(Récap1!AB62),L$117,0)+SUMIF(Récap1!AG62:AI62,"&gt;0",Q$117:S$117)</f>
        <v>1</v>
      </c>
      <c r="AQ62" s="1153">
        <f t="shared" si="20"/>
        <v>0.10307855186527606</v>
      </c>
      <c r="AR62" s="1913">
        <f t="shared" si="21"/>
        <v>0.10307855186527606</v>
      </c>
      <c r="AS62" s="1889">
        <f>IF(ISNUMBER(Récap1!AC62),Récap1!AC62/M$118,Récap1!AC62)</f>
        <v>0.22764985667296311</v>
      </c>
      <c r="AT62" s="1949">
        <f>IF(ISNUMBER(Récap1!AD62),Récap1!AD62/N$118,Récap1!AD62)</f>
        <v>0.65393567054872792</v>
      </c>
      <c r="AU62" s="1949">
        <f>IF(ISNUMBER(Récap1!AE62),Récap1!AE62/O$118,Récap1!AE62)</f>
        <v>55.231344746197017</v>
      </c>
      <c r="AV62" s="1949" t="str">
        <f>IF(ISNUMBER(Récap1!AF62),Récap1!AF62/P$118,Récap1!AF62)</f>
        <v>PVL</v>
      </c>
      <c r="AW62" s="1949"/>
      <c r="AX62" s="1949"/>
      <c r="AY62" s="1949"/>
      <c r="AZ62" s="1984">
        <f>IF(ISNUMBER(Récap1!AJ62),Récap1!AJ62/T$118,Récap1!AJ62)</f>
        <v>0.11326533442831706</v>
      </c>
      <c r="BA62" s="1949">
        <f>IF(ISNUMBER(Récap1!AK62),Récap1!AK62/U$118,Récap1!AK62)</f>
        <v>0.83953803720688558</v>
      </c>
      <c r="BB62" s="1949" t="str">
        <f>IF(ISNUMBER(Récap1!AL62),Récap1!AL62/V$118,Récap1!AL62)</f>
        <v>PVL</v>
      </c>
      <c r="BC62" s="1900" t="str">
        <f>IF(ISNUMBER(Récap1!AM62),Récap1!AM62/W$118,Récap1!AM62)</f>
        <v>PVL</v>
      </c>
      <c r="BD62" s="1124">
        <f t="shared" si="22"/>
        <v>0.11326533442831706</v>
      </c>
      <c r="BE62" s="1084">
        <f>SUMIF(Récap1!AC62:AF62,"&gt;0",M$118:P$118)+SUMIF(Récap1!AJ62:AM62,"&gt;0",T$118:W$118)</f>
        <v>0.68792036811484414</v>
      </c>
      <c r="BF62" s="1985">
        <f t="shared" si="23"/>
        <v>1.1448790276408574</v>
      </c>
      <c r="BG62" s="980">
        <f t="shared" si="24"/>
        <v>1.0519499504592749</v>
      </c>
      <c r="BH62" s="585"/>
      <c r="BI62" s="796">
        <f t="shared" si="25"/>
        <v>2.383235185485981E-2</v>
      </c>
      <c r="BJ62" s="796">
        <f t="shared" si="26"/>
        <v>6.3420171958201182E-2</v>
      </c>
      <c r="BK62" s="796">
        <f t="shared" si="27"/>
        <v>1.5826028052215082E-2</v>
      </c>
      <c r="BL62" s="882">
        <f t="shared" si="28"/>
        <v>2.3847900228487037E-2</v>
      </c>
      <c r="BM62" s="796">
        <f t="shared" si="29"/>
        <v>0.41483420388940084</v>
      </c>
      <c r="BN62" s="796">
        <f t="shared" si="30"/>
        <v>0.58593248194342551</v>
      </c>
      <c r="BO62" s="802">
        <f t="shared" si="31"/>
        <v>2.7335364397961366E-2</v>
      </c>
    </row>
    <row r="63" spans="1:67" s="293" customFormat="1" ht="12.75" hidden="1" customHeight="1">
      <c r="A63" s="305"/>
      <c r="B63" s="294"/>
      <c r="C63" s="65"/>
      <c r="D63" s="788"/>
      <c r="E63" s="758" t="s">
        <v>651</v>
      </c>
      <c r="F63" s="759"/>
      <c r="G63" s="760"/>
      <c r="H63" s="530">
        <f>Récap1!X63</f>
        <v>0</v>
      </c>
      <c r="I63" s="530">
        <f>Récap1!Y63</f>
        <v>0</v>
      </c>
      <c r="J63" s="530">
        <f>Récap1!Z63</f>
        <v>0</v>
      </c>
      <c r="K63" s="628">
        <f>Récap1!AA63</f>
        <v>0</v>
      </c>
      <c r="L63" s="530">
        <f>IF(ISNUMBER(Récap1!AB63),Récap1!AB63,I63/I$117*L$117)</f>
        <v>0</v>
      </c>
      <c r="M63" s="829">
        <f>IF(ISNUMBER(Récap1!AC63),Récap1!AC63,L63/L$118*M$118)</f>
        <v>0</v>
      </c>
      <c r="N63" s="530">
        <f>IF(ISNUMBER(Récap1!AD63),Récap1!AD63,M63/M$118*N$118)</f>
        <v>0</v>
      </c>
      <c r="O63" s="530">
        <f>IF(ISNUMBER(Récap1!AE63),Récap1!AE63,N63/N$118*O$118)</f>
        <v>0</v>
      </c>
      <c r="P63" s="830">
        <f>IF(ISNUMBER(Récap1!AF63),Récap1!AF63,O63/O$118*P$118)</f>
        <v>0</v>
      </c>
      <c r="Q63" s="530">
        <f>IF(ISNUMBER(Récap1!AG63),Récap1!AG63,I63/I$117*Q$117)</f>
        <v>0</v>
      </c>
      <c r="R63" s="530">
        <f>IF(ISNUMBER(Récap1!AH63),Récap1!AH63,Q63/Q$117*R$117)</f>
        <v>0</v>
      </c>
      <c r="S63" s="530">
        <f>IF(ISNUMBER(Récap1!AI63),Récap1!AI63,R63/R$117*S$117)</f>
        <v>0</v>
      </c>
      <c r="T63" s="829">
        <f>IF(ISNUMBER(Récap1!AJ63),Récap1!AJ63,S63/S$118*T$118)</f>
        <v>0</v>
      </c>
      <c r="U63" s="530">
        <f>IF(ISNUMBER(Récap1!AK63),Récap1!AK63,T63/T$118*U$118)</f>
        <v>0</v>
      </c>
      <c r="V63" s="530">
        <f>IF(ISNUMBER(Récap1!AL63),Récap1!AL63,U63/U$118*V$118)</f>
        <v>0</v>
      </c>
      <c r="W63" s="530">
        <f>IF(ISNUMBER(Récap1!AM63),Récap1!AM63,V63/V$118*W$118)</f>
        <v>0</v>
      </c>
      <c r="Y63" s="1890">
        <f>IF(ISNUMBER(Récap1!X63),Récap1!X63/H$117,Récap1!X63)</f>
        <v>0</v>
      </c>
      <c r="Z63" s="1901">
        <f>IF(ISNUMBER(Récap1!Y63),Récap1!Y63/I$117,Récap1!Y63)</f>
        <v>0</v>
      </c>
      <c r="AA63" s="1633"/>
      <c r="AB63" s="1633"/>
      <c r="AC63" s="1098">
        <f>IF(ISNUMBER(Récap1!AB63),Récap1!AB63/L$117,Récap1!AB63)</f>
        <v>0</v>
      </c>
      <c r="AD63" s="1633"/>
      <c r="AE63" s="1633"/>
      <c r="AF63" s="1633"/>
      <c r="AG63" s="1901"/>
      <c r="AH63" s="1633">
        <f>IF(ISNUMBER(Récap1!AG63),Récap1!AG63/Q$117,Récap1!AG63)</f>
        <v>0</v>
      </c>
      <c r="AI63" s="1633">
        <f>IF(ISNUMBER(Récap1!AH63),Récap1!AH63/R$117,Récap1!AH63)</f>
        <v>0</v>
      </c>
      <c r="AJ63" s="1901">
        <f>IF(ISNUMBER(Récap1!AI63),Récap1!AI63/S$117,Récap1!AI63)</f>
        <v>0</v>
      </c>
      <c r="AK63" s="1633"/>
      <c r="AL63" s="1633"/>
      <c r="AM63" s="1633"/>
      <c r="AN63" s="1941"/>
      <c r="AO63" s="1115">
        <f t="shared" si="19"/>
        <v>0</v>
      </c>
      <c r="AP63" s="1074">
        <f>SUMIF(Récap1!X63:Y63,"&gt;0",H$117:I$117)+IF(ISNUMBER(Récap1!AB63),L$117,0)+SUMIF(Récap1!AG63:AI63,"&gt;0",Q$117:S$117)</f>
        <v>0</v>
      </c>
      <c r="AQ63" s="1154">
        <f t="shared" si="20"/>
        <v>0</v>
      </c>
      <c r="AR63" s="1908">
        <f t="shared" si="21"/>
        <v>0</v>
      </c>
      <c r="AS63" s="1890">
        <f>IF(ISNUMBER(Récap1!AC63),Récap1!AC63/M$118,Récap1!AC63)</f>
        <v>0</v>
      </c>
      <c r="AT63" s="1633">
        <f>IF(ISNUMBER(Récap1!AD63),Récap1!AD63/N$118,Récap1!AD63)</f>
        <v>0</v>
      </c>
      <c r="AU63" s="1633">
        <f>IF(ISNUMBER(Récap1!AE63),Récap1!AE63/O$118,Récap1!AE63)</f>
        <v>0</v>
      </c>
      <c r="AV63" s="1633">
        <f>IF(ISNUMBER(Récap1!AF63),Récap1!AF63/P$118,Récap1!AF63)</f>
        <v>0</v>
      </c>
      <c r="AW63" s="1633"/>
      <c r="AX63" s="1633"/>
      <c r="AY63" s="1633"/>
      <c r="AZ63" s="1968">
        <f>IF(ISNUMBER(Récap1!AJ63),Récap1!AJ63/T$118,Récap1!AJ63)</f>
        <v>0</v>
      </c>
      <c r="BA63" s="1633">
        <f>IF(ISNUMBER(Récap1!AK63),Récap1!AK63/U$118,Récap1!AK63)</f>
        <v>0</v>
      </c>
      <c r="BB63" s="1633">
        <f>IF(ISNUMBER(Récap1!AL63),Récap1!AL63/V$118,Récap1!AL63)</f>
        <v>0</v>
      </c>
      <c r="BC63" s="1901">
        <f>IF(ISNUMBER(Récap1!AM63),Récap1!AM63/W$118,Récap1!AM63)</f>
        <v>0</v>
      </c>
      <c r="BD63" s="1115" t="str">
        <f t="shared" si="22"/>
        <v>PVL</v>
      </c>
      <c r="BE63" s="1085">
        <f>SUMIF(Récap1!AC63:AF63,"&gt;0",M$118:P$118)+SUMIF(Récap1!AJ63:AM63,"&gt;0",T$118:W$118)</f>
        <v>0</v>
      </c>
      <c r="BF63" s="1970" t="str">
        <f t="shared" si="23"/>
        <v>PVL</v>
      </c>
      <c r="BG63" s="976">
        <f t="shared" si="24"/>
        <v>0</v>
      </c>
      <c r="BH63" s="305"/>
      <c r="BI63" s="530">
        <f t="shared" si="25"/>
        <v>0</v>
      </c>
      <c r="BJ63" s="530">
        <f t="shared" si="26"/>
        <v>0</v>
      </c>
      <c r="BK63" s="530">
        <f t="shared" si="27"/>
        <v>0</v>
      </c>
      <c r="BL63" s="829">
        <f t="shared" si="28"/>
        <v>0</v>
      </c>
      <c r="BM63" s="530">
        <f t="shared" si="29"/>
        <v>0</v>
      </c>
      <c r="BN63" s="530">
        <f t="shared" si="30"/>
        <v>0</v>
      </c>
      <c r="BO63" s="628">
        <f t="shared" si="31"/>
        <v>0</v>
      </c>
    </row>
    <row r="64" spans="1:67" s="26" customFormat="1" ht="12.75" hidden="1" customHeight="1">
      <c r="A64" s="398"/>
      <c r="B64" s="27"/>
      <c r="C64" s="138"/>
      <c r="D64" s="789"/>
      <c r="E64" s="103" t="s">
        <v>670</v>
      </c>
      <c r="F64" s="14" t="str">
        <f>F38</f>
        <v>Cs</v>
      </c>
      <c r="G64" s="105" t="str">
        <f>G38</f>
        <v>mg/kg ms</v>
      </c>
      <c r="H64" s="56">
        <f>Récap1!X64</f>
        <v>2.7540971441360114</v>
      </c>
      <c r="I64" s="56">
        <f>Récap1!Y64</f>
        <v>96.479850827950756</v>
      </c>
      <c r="J64" s="56">
        <f>Récap1!Z64</f>
        <v>138.10805243123656</v>
      </c>
      <c r="K64" s="57">
        <f>Récap1!AA64</f>
        <v>183.12381818181819</v>
      </c>
      <c r="L64" s="56">
        <f>IF(ISNUMBER(Récap1!AB64),Récap1!AB64,I64/I$117*L$117)</f>
        <v>190.69027666341782</v>
      </c>
      <c r="M64" s="870">
        <f>IF(ISNUMBER(Récap1!AC64),Récap1!AC64,L64/L$118*M$118)</f>
        <v>594.14095194269214</v>
      </c>
      <c r="N64" s="56">
        <f>IF(ISNUMBER(Récap1!AD64),Récap1!AD64,M64/M$118*N$118)</f>
        <v>2514.3939910968602</v>
      </c>
      <c r="O64" s="56">
        <f>IF(ISNUMBER(Récap1!AE64),Récap1!AE64,N64/N$118*O$118)</f>
        <v>238.74982220037242</v>
      </c>
      <c r="P64" s="871">
        <f>IF(ISNUMBER(Récap1!AF64),Récap1!AF64,O64/O$118*P$118)</f>
        <v>1.6409718017251194</v>
      </c>
      <c r="Q64" s="56">
        <f>IF(ISNUMBER(Récap1!AG64),Récap1!AG64,I64/I$117*Q$117)</f>
        <v>4813.5403636363644</v>
      </c>
      <c r="R64" s="56">
        <f>IF(ISNUMBER(Récap1!AH64),Récap1!AH64,Q64/Q$117*R$117)</f>
        <v>4813.5403636363626</v>
      </c>
      <c r="S64" s="56">
        <f>IF(ISNUMBER(Récap1!AI64),Récap1!AI64,R64/R$117*S$117)</f>
        <v>328.70516682074253</v>
      </c>
      <c r="T64" s="870">
        <f>IF(ISNUMBER(Récap1!AJ64),Récap1!AJ64,S64/S$118*T$118)</f>
        <v>833.65178024831619</v>
      </c>
      <c r="U64" s="56">
        <f>IF(ISNUMBER(Récap1!AK64),Récap1!AK64,T64/T$118*U$118)</f>
        <v>2507.8146372372967</v>
      </c>
      <c r="V64" s="56">
        <f>IF(ISNUMBER(Récap1!AL64),Récap1!AL64,U64/U$118*V$118)</f>
        <v>1600.8051203021039</v>
      </c>
      <c r="W64" s="56">
        <f>IF(ISNUMBER(Récap1!AM64),Récap1!AM64,V64/V$118*W$118)</f>
        <v>168.41710403399389</v>
      </c>
      <c r="Y64" s="621">
        <f>IF(ISNUMBER(Récap1!X64),Récap1!X64/H$117,Récap1!X64)</f>
        <v>240.43354295350215</v>
      </c>
      <c r="Z64" s="1894">
        <f>IF(ISNUMBER(Récap1!Y64),Récap1!Y64/I$117,Récap1!Y64)</f>
        <v>707.56688535383535</v>
      </c>
      <c r="AA64" s="282"/>
      <c r="AB64" s="282"/>
      <c r="AC64" s="1091">
        <f>IF(ISNUMBER(Récap1!AB64),Récap1!AB64/L$117,Récap1!AB64)</f>
        <v>1067.3080034765676</v>
      </c>
      <c r="AD64" s="282"/>
      <c r="AE64" s="282"/>
      <c r="AF64" s="282"/>
      <c r="AG64" s="1894"/>
      <c r="AH64" s="282">
        <f>IF(ISNUMBER(Récap1!AG64),Récap1!AG64/Q$117,Récap1!AG64)</f>
        <v>14162.75929908501</v>
      </c>
      <c r="AI64" s="282">
        <f>IF(ISNUMBER(Récap1!AH64),Récap1!AH64/R$117,Récap1!AH64)</f>
        <v>18319.906632732112</v>
      </c>
      <c r="AJ64" s="1894">
        <f>IF(ISNUMBER(Récap1!AI64),Récap1!AI64/S$117,Récap1!AI64)</f>
        <v>4635.9218629277602</v>
      </c>
      <c r="AK64" s="282"/>
      <c r="AL64" s="282"/>
      <c r="AM64" s="282"/>
      <c r="AN64" s="1919"/>
      <c r="AO64" s="1117">
        <f t="shared" si="19"/>
        <v>1067.3080034765676</v>
      </c>
      <c r="AP64" s="1069">
        <f>SUMIF(Récap1!X64:Y64,"&gt;0",H$117:I$117)+IF(ISNUMBER(Récap1!AB64),L$117,0)+SUMIF(Récap1!AG64:AI64,"&gt;0",Q$117:S$117)</f>
        <v>1</v>
      </c>
      <c r="AQ64" s="1147">
        <f t="shared" si="20"/>
        <v>10245.710118728974</v>
      </c>
      <c r="AR64" s="1104">
        <f t="shared" si="21"/>
        <v>10245.710118728974</v>
      </c>
      <c r="AS64" s="621">
        <f>IF(ISNUMBER(Récap1!AC64),Récap1!AC64/M$118,Récap1!AC64)</f>
        <v>15883.533841881981</v>
      </c>
      <c r="AT64" s="282">
        <f>IF(ISNUMBER(Récap1!AD64),Récap1!AD64/N$118,Récap1!AD64)</f>
        <v>37794.042801896576</v>
      </c>
      <c r="AU64" s="282" t="str">
        <f>IF(ISNUMBER(Récap1!AE64),Récap1!AE64/O$118,Récap1!AE64)</f>
        <v>PVL</v>
      </c>
      <c r="AV64" s="282" t="str">
        <f>IF(ISNUMBER(Récap1!AF64),Récap1!AF64/P$118,Récap1!AF64)</f>
        <v>PVL</v>
      </c>
      <c r="AW64" s="282"/>
      <c r="AX64" s="282"/>
      <c r="AY64" s="282"/>
      <c r="AZ64" s="1971">
        <f>IF(ISNUMBER(Récap1!AJ64),Récap1!AJ64/T$118,Récap1!AJ64)</f>
        <v>6158.4485092196655</v>
      </c>
      <c r="BA64" s="282">
        <f>IF(ISNUMBER(Récap1!AK64),Récap1!AK64/U$118,Récap1!AK64)</f>
        <v>5669.9259576826244</v>
      </c>
      <c r="BB64" s="282" t="str">
        <f>IF(ISNUMBER(Récap1!AL64),Récap1!AL64/V$118,Récap1!AL64)</f>
        <v>PVL</v>
      </c>
      <c r="BC64" s="1894" t="str">
        <f>IF(ISNUMBER(Récap1!AM64),Récap1!AM64/W$118,Récap1!AM64)</f>
        <v>PVL</v>
      </c>
      <c r="BD64" s="1117">
        <f t="shared" si="22"/>
        <v>5669.9259576826244</v>
      </c>
      <c r="BE64" s="1080">
        <f>SUMIF(Récap1!AC64:AF64,"&gt;0",M$118:P$118)+SUMIF(Récap1!AJ64:AM64,"&gt;0",T$118:W$118)</f>
        <v>0.68160323968664671</v>
      </c>
      <c r="BF64" s="1920">
        <f t="shared" si="23"/>
        <v>9462.9851869401664</v>
      </c>
      <c r="BG64" s="920">
        <f t="shared" si="24"/>
        <v>8459.6143788633599</v>
      </c>
      <c r="BH64" s="77"/>
      <c r="BI64" s="56">
        <f t="shared" si="25"/>
        <v>4816.2944607805002</v>
      </c>
      <c r="BJ64" s="56">
        <f t="shared" si="26"/>
        <v>4910.0202144643135</v>
      </c>
      <c r="BK64" s="56">
        <f t="shared" si="27"/>
        <v>519.3954434841603</v>
      </c>
      <c r="BL64" s="870">
        <f t="shared" si="28"/>
        <v>1427.7927321910083</v>
      </c>
      <c r="BM64" s="56">
        <f t="shared" si="29"/>
        <v>5022.2086283341569</v>
      </c>
      <c r="BN64" s="56">
        <f t="shared" si="30"/>
        <v>1839.5549425024763</v>
      </c>
      <c r="BO64" s="57">
        <f t="shared" si="31"/>
        <v>170.05807583571902</v>
      </c>
    </row>
    <row r="65" spans="1:69" s="26" customFormat="1" ht="12.75" hidden="1" customHeight="1">
      <c r="A65" s="398"/>
      <c r="B65" s="27"/>
      <c r="C65" s="77"/>
      <c r="D65" s="790"/>
      <c r="E65" s="103" t="s">
        <v>671</v>
      </c>
      <c r="F65" s="14" t="str">
        <f>F64</f>
        <v>Cs</v>
      </c>
      <c r="G65" s="105" t="str">
        <f>G64</f>
        <v>mg/kg ms</v>
      </c>
      <c r="H65" s="56">
        <f>Récap1!X65</f>
        <v>15.260318181818182</v>
      </c>
      <c r="I65" s="56" t="str">
        <f>Récap1!Y65</f>
        <v>PVL</v>
      </c>
      <c r="J65" s="56">
        <f>Récap1!Z65</f>
        <v>36.624763636363639</v>
      </c>
      <c r="K65" s="57" t="str">
        <f>Récap1!AA65</f>
        <v>PVL</v>
      </c>
      <c r="L65" s="56" t="e">
        <f>IF(ISNUMBER(Récap1!AB65),Récap1!AB65,I65/I$117*L$117)</f>
        <v>#VALUE!</v>
      </c>
      <c r="M65" s="870" t="e">
        <f>IF(ISNUMBER(Récap1!AC65),Récap1!AC65,L65/L$118*M$118)</f>
        <v>#VALUE!</v>
      </c>
      <c r="N65" s="56" t="e">
        <f>IF(ISNUMBER(Récap1!AD65),Récap1!AD65,M65/M$118*N$118)</f>
        <v>#VALUE!</v>
      </c>
      <c r="O65" s="56" t="e">
        <f>IF(ISNUMBER(Récap1!AE65),Récap1!AE65,N65/N$118*O$118)</f>
        <v>#VALUE!</v>
      </c>
      <c r="P65" s="871" t="e">
        <f>IF(ISNUMBER(Récap1!AF65),Récap1!AF65,O65/O$118*P$118)</f>
        <v>#VALUE!</v>
      </c>
      <c r="Q65" s="56" t="e">
        <f>IF(ISNUMBER(Récap1!AG65),Récap1!AG65,I65/I$117*Q$117)</f>
        <v>#VALUE!</v>
      </c>
      <c r="R65" s="56" t="e">
        <f>IF(ISNUMBER(Récap1!AH65),Récap1!AH65,Q65/Q$117*R$117)</f>
        <v>#VALUE!</v>
      </c>
      <c r="S65" s="56" t="e">
        <f>IF(ISNUMBER(Récap1!AI65),Récap1!AI65,R65/R$117*S$117)</f>
        <v>#VALUE!</v>
      </c>
      <c r="T65" s="870" t="e">
        <f>IF(ISNUMBER(Récap1!AJ65),Récap1!AJ65,S65/S$118*T$118)</f>
        <v>#VALUE!</v>
      </c>
      <c r="U65" s="56" t="e">
        <f>IF(ISNUMBER(Récap1!AK65),Récap1!AK65,T65/T$118*U$118)</f>
        <v>#VALUE!</v>
      </c>
      <c r="V65" s="56" t="e">
        <f>IF(ISNUMBER(Récap1!AL65),Récap1!AL65,U65/U$118*V$118)</f>
        <v>#VALUE!</v>
      </c>
      <c r="W65" s="56" t="e">
        <f>IF(ISNUMBER(Récap1!AM65),Récap1!AM65,V65/V$118*W$118)</f>
        <v>#VALUE!</v>
      </c>
      <c r="Y65" s="621">
        <f>IF(ISNUMBER(Récap1!X65),Récap1!X65/H$117,Récap1!X65)</f>
        <v>1332.2305550711878</v>
      </c>
      <c r="Z65" s="1894" t="str">
        <f>IF(ISNUMBER(Récap1!Y65),Récap1!Y65/I$117,Récap1!Y65)</f>
        <v>PVL</v>
      </c>
      <c r="AA65" s="282"/>
      <c r="AB65" s="282"/>
      <c r="AC65" s="1091" t="str">
        <f>IF(ISNUMBER(Récap1!AB65),Récap1!AB65/L$117,Récap1!AB65)</f>
        <v>PVL</v>
      </c>
      <c r="AD65" s="282"/>
      <c r="AE65" s="282"/>
      <c r="AF65" s="282"/>
      <c r="AG65" s="1894"/>
      <c r="AH65" s="282" t="str">
        <f>IF(ISNUMBER(Récap1!AG65),Récap1!AG65/Q$117,Récap1!AG65)</f>
        <v>PVL</v>
      </c>
      <c r="AI65" s="282" t="str">
        <f>IF(ISNUMBER(Récap1!AH65),Récap1!AH65/R$117,Récap1!AH65)</f>
        <v>PVL</v>
      </c>
      <c r="AJ65" s="1894" t="str">
        <f>IF(ISNUMBER(Récap1!AI65),Récap1!AI65/S$117,Récap1!AI65)</f>
        <v>PVL</v>
      </c>
      <c r="AK65" s="282"/>
      <c r="AL65" s="282"/>
      <c r="AM65" s="282"/>
      <c r="AN65" s="1919"/>
      <c r="AO65" s="1117" t="str">
        <f t="shared" si="19"/>
        <v>PVL</v>
      </c>
      <c r="AP65" s="1069">
        <f>SUMIF(Récap1!X65:Y65,"&gt;0",H$117:I$117)+IF(ISNUMBER(Récap1!AB65),L$117,0)+SUMIF(Récap1!AG65:AI65,"&gt;0",Q$117:S$117)</f>
        <v>1.145471264243954E-2</v>
      </c>
      <c r="AQ65" s="1147">
        <f t="shared" si="20"/>
        <v>1332.2305550711878</v>
      </c>
      <c r="AR65" s="1104" t="e">
        <f t="shared" si="21"/>
        <v>#VALUE!</v>
      </c>
      <c r="AS65" s="621" t="str">
        <f>IF(ISNUMBER(Récap1!AC65),Récap1!AC65/M$118,Récap1!AC65)</f>
        <v>PVL</v>
      </c>
      <c r="AT65" s="282" t="str">
        <f>IF(ISNUMBER(Récap1!AD65),Récap1!AD65/N$118,Récap1!AD65)</f>
        <v>PVL</v>
      </c>
      <c r="AU65" s="282" t="str">
        <f>IF(ISNUMBER(Récap1!AE65),Récap1!AE65/O$118,Récap1!AE65)</f>
        <v>PVL</v>
      </c>
      <c r="AV65" s="282" t="str">
        <f>IF(ISNUMBER(Récap1!AF65),Récap1!AF65/P$118,Récap1!AF65)</f>
        <v>PVL</v>
      </c>
      <c r="AW65" s="282"/>
      <c r="AX65" s="282"/>
      <c r="AY65" s="282"/>
      <c r="AZ65" s="1971" t="str">
        <f>IF(ISNUMBER(Récap1!AJ65),Récap1!AJ65/T$118,Récap1!AJ65)</f>
        <v>PVL</v>
      </c>
      <c r="BA65" s="282" t="str">
        <f>IF(ISNUMBER(Récap1!AK65),Récap1!AK65/U$118,Récap1!AK65)</f>
        <v>PVL</v>
      </c>
      <c r="BB65" s="282" t="str">
        <f>IF(ISNUMBER(Récap1!AL65),Récap1!AL65/V$118,Récap1!AL65)</f>
        <v>PVL</v>
      </c>
      <c r="BC65" s="1894" t="str">
        <f>IF(ISNUMBER(Récap1!AM65),Récap1!AM65/W$118,Récap1!AM65)</f>
        <v>PVL</v>
      </c>
      <c r="BD65" s="1117" t="str">
        <f t="shared" si="22"/>
        <v>PVL</v>
      </c>
      <c r="BE65" s="1080">
        <f>SUMIF(Récap1!AC65:AF65,"&gt;0",M$118:P$118)+SUMIF(Récap1!AJ65:AM65,"&gt;0",T$118:W$118)</f>
        <v>0</v>
      </c>
      <c r="BF65" s="1920" t="str">
        <f t="shared" si="23"/>
        <v>PVL</v>
      </c>
      <c r="BG65" s="920" t="e">
        <f t="shared" si="24"/>
        <v>#VALUE!</v>
      </c>
      <c r="BH65" s="77"/>
      <c r="BI65" s="56" t="e">
        <f t="shared" si="25"/>
        <v>#VALUE!</v>
      </c>
      <c r="BJ65" s="56" t="e">
        <f t="shared" si="26"/>
        <v>#VALUE!</v>
      </c>
      <c r="BK65" s="56" t="e">
        <f t="shared" si="27"/>
        <v>#VALUE!</v>
      </c>
      <c r="BL65" s="870" t="e">
        <f t="shared" si="28"/>
        <v>#VALUE!</v>
      </c>
      <c r="BM65" s="56" t="e">
        <f t="shared" si="29"/>
        <v>#VALUE!</v>
      </c>
      <c r="BN65" s="56" t="e">
        <f t="shared" si="30"/>
        <v>#VALUE!</v>
      </c>
      <c r="BO65" s="57" t="e">
        <f t="shared" si="31"/>
        <v>#VALUE!</v>
      </c>
    </row>
    <row r="66" spans="1:69" s="26" customFormat="1" ht="12.75" hidden="1" customHeight="1">
      <c r="A66" s="148"/>
      <c r="B66" s="27"/>
      <c r="C66" s="77"/>
      <c r="D66" s="790"/>
      <c r="E66" s="103" t="s">
        <v>672</v>
      </c>
      <c r="F66" s="14" t="str">
        <f>F65</f>
        <v>Cs</v>
      </c>
      <c r="G66" s="105" t="str">
        <f>G65</f>
        <v>mg/kg ms</v>
      </c>
      <c r="H66" s="113">
        <f>Récap1!X66</f>
        <v>2.7540971441360114</v>
      </c>
      <c r="I66" s="113">
        <f>Récap1!Y66</f>
        <v>96.479850827950756</v>
      </c>
      <c r="J66" s="113">
        <f>Récap1!Z66</f>
        <v>36.624763636363639</v>
      </c>
      <c r="K66" s="120">
        <f>Récap1!AA66</f>
        <v>183.12381818181819</v>
      </c>
      <c r="L66" s="113">
        <f>IF(ISNUMBER(Récap1!AB66),Récap1!AB66,I66/I$117*L$117)</f>
        <v>190.69027666341782</v>
      </c>
      <c r="M66" s="872">
        <f>IF(ISNUMBER(Récap1!AC66),Récap1!AC66,L66/L$118*M$118)</f>
        <v>594.14095194269214</v>
      </c>
      <c r="N66" s="113">
        <f>IF(ISNUMBER(Récap1!AD66),Récap1!AD66,M66/M$118*N$118)</f>
        <v>2514.3939910968602</v>
      </c>
      <c r="O66" s="113">
        <f>IF(ISNUMBER(Récap1!AE66),Récap1!AE66,N66/N$118*O$118)</f>
        <v>238.74982220037242</v>
      </c>
      <c r="P66" s="873">
        <f>IF(ISNUMBER(Récap1!AF66),Récap1!AF66,O66/O$118*P$118)</f>
        <v>1.6409718017251194</v>
      </c>
      <c r="Q66" s="113">
        <f>IF(ISNUMBER(Récap1!AG66),Récap1!AG66,I66/I$117*Q$117)</f>
        <v>4813.5403636363644</v>
      </c>
      <c r="R66" s="113">
        <f>IF(ISNUMBER(Récap1!AH66),Récap1!AH66,Q66/Q$117*R$117)</f>
        <v>4813.5403636363626</v>
      </c>
      <c r="S66" s="113">
        <f>IF(ISNUMBER(Récap1!AI66),Récap1!AI66,R66/R$117*S$117)</f>
        <v>328.70516682074253</v>
      </c>
      <c r="T66" s="872">
        <f>IF(ISNUMBER(Récap1!AJ66),Récap1!AJ66,S66/S$118*T$118)</f>
        <v>833.65178024831619</v>
      </c>
      <c r="U66" s="113">
        <f>IF(ISNUMBER(Récap1!AK66),Récap1!AK66,T66/T$118*U$118)</f>
        <v>2507.8146372372967</v>
      </c>
      <c r="V66" s="113">
        <f>IF(ISNUMBER(Récap1!AL66),Récap1!AL66,U66/U$118*V$118)</f>
        <v>1600.8051203021039</v>
      </c>
      <c r="W66" s="113">
        <f>IF(ISNUMBER(Récap1!AM66),Récap1!AM66,V66/V$118*W$118)</f>
        <v>168.41710403399389</v>
      </c>
      <c r="Y66" s="621">
        <f>IF(ISNUMBER(Récap1!X66),Récap1!X66/H$117,Récap1!X66)</f>
        <v>240.43354295350215</v>
      </c>
      <c r="Z66" s="1894">
        <f>IF(ISNUMBER(Récap1!Y66),Récap1!Y66/I$117,Récap1!Y66)</f>
        <v>707.56688535383535</v>
      </c>
      <c r="AA66" s="282"/>
      <c r="AB66" s="282"/>
      <c r="AC66" s="1091">
        <f>IF(ISNUMBER(Récap1!AB66),Récap1!AB66/L$117,Récap1!AB66)</f>
        <v>1067.3080034765676</v>
      </c>
      <c r="AD66" s="282"/>
      <c r="AE66" s="282"/>
      <c r="AF66" s="282"/>
      <c r="AG66" s="1894"/>
      <c r="AH66" s="282">
        <f>IF(ISNUMBER(Récap1!AG66),Récap1!AG66/Q$117,Récap1!AG66)</f>
        <v>14162.75929908501</v>
      </c>
      <c r="AI66" s="282">
        <f>IF(ISNUMBER(Récap1!AH66),Récap1!AH66/R$117,Récap1!AH66)</f>
        <v>18319.906632732112</v>
      </c>
      <c r="AJ66" s="1894">
        <f>IF(ISNUMBER(Récap1!AI66),Récap1!AI66/S$117,Récap1!AI66)</f>
        <v>4635.9218629277602</v>
      </c>
      <c r="AK66" s="282"/>
      <c r="AL66" s="282"/>
      <c r="AM66" s="282"/>
      <c r="AN66" s="1919"/>
      <c r="AO66" s="1117">
        <f t="shared" si="19"/>
        <v>1067.3080034765676</v>
      </c>
      <c r="AP66" s="1069">
        <f>SUMIF(Récap1!X66:Y66,"&gt;0",H$117:I$117)+IF(ISNUMBER(Récap1!AB66),L$117,0)+SUMIF(Récap1!AG66:AI66,"&gt;0",Q$117:S$117)</f>
        <v>1</v>
      </c>
      <c r="AQ66" s="1147">
        <f t="shared" si="20"/>
        <v>10245.710118728974</v>
      </c>
      <c r="AR66" s="1104">
        <f t="shared" si="21"/>
        <v>10245.710118728974</v>
      </c>
      <c r="AS66" s="621">
        <f>IF(ISNUMBER(Récap1!AC66),Récap1!AC66/M$118,Récap1!AC66)</f>
        <v>15883.533841881981</v>
      </c>
      <c r="AT66" s="282">
        <f>IF(ISNUMBER(Récap1!AD66),Récap1!AD66/N$118,Récap1!AD66)</f>
        <v>37794.042801896576</v>
      </c>
      <c r="AU66" s="282" t="str">
        <f>IF(ISNUMBER(Récap1!AE66),Récap1!AE66/O$118,Récap1!AE66)</f>
        <v>PVL</v>
      </c>
      <c r="AV66" s="282" t="str">
        <f>IF(ISNUMBER(Récap1!AF66),Récap1!AF66/P$118,Récap1!AF66)</f>
        <v>PVL</v>
      </c>
      <c r="AW66" s="282"/>
      <c r="AX66" s="282"/>
      <c r="AY66" s="282"/>
      <c r="AZ66" s="1971">
        <f>IF(ISNUMBER(Récap1!AJ66),Récap1!AJ66/T$118,Récap1!AJ66)</f>
        <v>6158.4485092196655</v>
      </c>
      <c r="BA66" s="282">
        <f>IF(ISNUMBER(Récap1!AK66),Récap1!AK66/U$118,Récap1!AK66)</f>
        <v>5669.9259576826244</v>
      </c>
      <c r="BB66" s="282" t="str">
        <f>IF(ISNUMBER(Récap1!AL66),Récap1!AL66/V$118,Récap1!AL66)</f>
        <v>PVL</v>
      </c>
      <c r="BC66" s="1894" t="str">
        <f>IF(ISNUMBER(Récap1!AM66),Récap1!AM66/W$118,Récap1!AM66)</f>
        <v>PVL</v>
      </c>
      <c r="BD66" s="1117">
        <f t="shared" si="22"/>
        <v>5669.9259576826244</v>
      </c>
      <c r="BE66" s="1080">
        <f>SUMIF(Récap1!AC66:AF66,"&gt;0",M$118:P$118)+SUMIF(Récap1!AJ66:AM66,"&gt;0",T$118:W$118)</f>
        <v>0.68160323968664671</v>
      </c>
      <c r="BF66" s="1920">
        <f t="shared" si="23"/>
        <v>9462.9851869401664</v>
      </c>
      <c r="BG66" s="920">
        <f t="shared" si="24"/>
        <v>8459.6143788633599</v>
      </c>
      <c r="BH66" s="77"/>
      <c r="BI66" s="113">
        <f t="shared" si="25"/>
        <v>4816.2944607805002</v>
      </c>
      <c r="BJ66" s="113">
        <f t="shared" si="26"/>
        <v>4910.0202144643135</v>
      </c>
      <c r="BK66" s="113">
        <f t="shared" si="27"/>
        <v>519.3954434841603</v>
      </c>
      <c r="BL66" s="872">
        <f t="shared" si="28"/>
        <v>1427.7927321910083</v>
      </c>
      <c r="BM66" s="113">
        <f t="shared" si="29"/>
        <v>5022.2086283341569</v>
      </c>
      <c r="BN66" s="113">
        <f t="shared" si="30"/>
        <v>1839.5549425024763</v>
      </c>
      <c r="BO66" s="120">
        <f t="shared" si="31"/>
        <v>170.05807583571902</v>
      </c>
    </row>
    <row r="67" spans="1:69" s="1009" customFormat="1" ht="12.75" hidden="1" customHeight="1">
      <c r="A67" s="701"/>
      <c r="B67" s="1000"/>
      <c r="C67" s="1012"/>
      <c r="D67" s="791"/>
      <c r="E67" s="1002" t="s">
        <v>985</v>
      </c>
      <c r="F67" s="1013" t="s">
        <v>19</v>
      </c>
      <c r="G67" s="760" t="s">
        <v>20</v>
      </c>
      <c r="H67" s="1015">
        <f>Récap1!X67</f>
        <v>2.7540971441360114</v>
      </c>
      <c r="I67" s="1015">
        <f>Récap1!Y67</f>
        <v>96.479850827950756</v>
      </c>
      <c r="J67" s="1015">
        <f>Récap1!Z67</f>
        <v>36.624763636363639</v>
      </c>
      <c r="K67" s="1016" t="str">
        <f>Récap1!AA67</f>
        <v>PVL</v>
      </c>
      <c r="L67" s="1015">
        <f>IF(ISNUMBER(Récap1!AB67),Récap1!AB67,I67/I$117*L$117)</f>
        <v>126.41723353193048</v>
      </c>
      <c r="M67" s="1017">
        <f>IF(ISNUMBER(Récap1!AC67),Récap1!AC67,L67/L$118*M$118)</f>
        <v>16.698267286696961</v>
      </c>
      <c r="N67" s="1015">
        <f>IF(ISNUMBER(Récap1!AD67),Récap1!AD67,M67/M$118*N$118)</f>
        <v>29.698808976519743</v>
      </c>
      <c r="O67" s="1015">
        <f>IF(ISNUMBER(Récap1!AE67),Récap1!AE67,N67/N$118*O$118)</f>
        <v>2.819997736159785</v>
      </c>
      <c r="P67" s="1018">
        <f>IF(ISNUMBER(Récap1!AF67),Récap1!AF67,O67/O$118*P$118)</f>
        <v>1.9382367380710291E-2</v>
      </c>
      <c r="Q67" s="1015">
        <f>IF(ISNUMBER(Récap1!AG67),Récap1!AG67,I67/I$117*Q$117)</f>
        <v>240.48292360960974</v>
      </c>
      <c r="R67" s="1015">
        <f>IF(ISNUMBER(Récap1!AH67),Récap1!AH67,Q67/Q$117*R$117)</f>
        <v>185.91261576289023</v>
      </c>
      <c r="S67" s="1015">
        <f>IF(ISNUMBER(Récap1!AI67),Récap1!AI67,R67/R$117*S$117)</f>
        <v>50.169286274420081</v>
      </c>
      <c r="T67" s="1017">
        <f>IF(ISNUMBER(Récap1!AJ67),Récap1!AJ67,S67/S$118*T$118)</f>
        <v>11.480144132900193</v>
      </c>
      <c r="U67" s="1015">
        <f>IF(ISNUMBER(Récap1!AK67),Récap1!AK67,T67/T$118*U$118)</f>
        <v>37.510427923034158</v>
      </c>
      <c r="V67" s="1015">
        <f>IF(ISNUMBER(Récap1!AL67),Récap1!AL67,U67/U$118*V$118)</f>
        <v>23.943908848887659</v>
      </c>
      <c r="W67" s="1015">
        <f>IF(ISNUMBER(Récap1!AM67),Récap1!AM67,V67/V$118*W$118)</f>
        <v>2.5190847633111981</v>
      </c>
      <c r="Y67" s="1892">
        <f>IF(ISNUMBER(Récap1!X67),Récap1!X67/H$117,Récap1!X67)</f>
        <v>240.43354295350215</v>
      </c>
      <c r="Z67" s="1903">
        <f>IF(ISNUMBER(Récap1!Y67),Récap1!Y67/I$117,Récap1!Y67)</f>
        <v>707.56688535383535</v>
      </c>
      <c r="AA67" s="1106"/>
      <c r="AB67" s="1106"/>
      <c r="AC67" s="1100" t="str">
        <f>IF(ISNUMBER(Récap1!AB67),Récap1!AB67/L$117,Récap1!AB67)</f>
        <v>PVL</v>
      </c>
      <c r="AD67" s="1106"/>
      <c r="AE67" s="1106"/>
      <c r="AF67" s="1106"/>
      <c r="AG67" s="1903"/>
      <c r="AH67" s="1106" t="str">
        <f>IF(ISNUMBER(Récap1!AG67),Récap1!AG67/Q$117,Récap1!AG67)</f>
        <v>PVL</v>
      </c>
      <c r="AI67" s="1106" t="str">
        <f>IF(ISNUMBER(Récap1!AH67),Récap1!AH67/R$117,Récap1!AH67)</f>
        <v>PVL</v>
      </c>
      <c r="AJ67" s="1903" t="str">
        <f>IF(ISNUMBER(Récap1!AI67),Récap1!AI67/S$117,Récap1!AI67)</f>
        <v>PVL</v>
      </c>
      <c r="AK67" s="1106"/>
      <c r="AL67" s="1106"/>
      <c r="AM67" s="1106"/>
      <c r="AN67" s="1139"/>
      <c r="AO67" s="1106">
        <f t="shared" si="19"/>
        <v>707.56688535383535</v>
      </c>
      <c r="AP67" s="1069">
        <f>SUMIF(Récap1!X67:Y67,"&gt;0",H$117:I$117)+IF(ISNUMBER(Récap1!AB67),L$117,0)+SUMIF(Récap1!AG67:AI67,"&gt;0",Q$117:S$117)</f>
        <v>0.14780910234752553</v>
      </c>
      <c r="AQ67" s="1156">
        <f t="shared" si="20"/>
        <v>671.36560872124153</v>
      </c>
      <c r="AR67" s="1106">
        <f t="shared" si="21"/>
        <v>702.21600715093734</v>
      </c>
      <c r="AS67" s="1892" t="str">
        <f>IF(ISNUMBER(Récap1!AC67),Récap1!AC67/M$118,Récap1!AC67)</f>
        <v>PVL</v>
      </c>
      <c r="AT67" s="1106" t="str">
        <f>IF(ISNUMBER(Récap1!AD67),Récap1!AD67/N$118,Récap1!AD67)</f>
        <v>PVL</v>
      </c>
      <c r="AU67" s="1106" t="str">
        <f>IF(ISNUMBER(Récap1!AE67),Récap1!AE67/O$118,Récap1!AE67)</f>
        <v>PVL</v>
      </c>
      <c r="AV67" s="1106" t="str">
        <f>IF(ISNUMBER(Récap1!AF67),Récap1!AF67/P$118,Récap1!AF67)</f>
        <v>PVL</v>
      </c>
      <c r="AW67" s="1106"/>
      <c r="AX67" s="1106"/>
      <c r="AY67" s="1106"/>
      <c r="AZ67" s="1988" t="str">
        <f>IF(ISNUMBER(Récap1!AJ67),Récap1!AJ67/T$118,Récap1!AJ67)</f>
        <v>PVL</v>
      </c>
      <c r="BA67" s="1106" t="str">
        <f>IF(ISNUMBER(Récap1!AK67),Récap1!AK67/U$118,Récap1!AK67)</f>
        <v>PVL</v>
      </c>
      <c r="BB67" s="1106" t="str">
        <f>IF(ISNUMBER(Récap1!AL67),Récap1!AL67/V$118,Récap1!AL67)</f>
        <v>PVL</v>
      </c>
      <c r="BC67" s="1903" t="str">
        <f>IF(ISNUMBER(Récap1!AM67),Récap1!AM67/W$118,Récap1!AM67)</f>
        <v>PVL</v>
      </c>
      <c r="BD67" s="1106" t="str">
        <f t="shared" si="22"/>
        <v>PVL</v>
      </c>
      <c r="BE67" s="1080">
        <f>SUMIF(Récap1!AC67:AF67,"&gt;0",M$118:P$118)+SUMIF(Récap1!AJ67:AM67,"&gt;0",T$118:W$118)</f>
        <v>0</v>
      </c>
      <c r="BF67" s="1139" t="str">
        <f t="shared" si="23"/>
        <v>PVL</v>
      </c>
      <c r="BG67" s="790">
        <f t="shared" si="24"/>
        <v>124.6900220348904</v>
      </c>
      <c r="BH67" s="1010"/>
      <c r="BI67" s="1015">
        <f t="shared" si="25"/>
        <v>243.23702075374575</v>
      </c>
      <c r="BJ67" s="1015">
        <f t="shared" si="26"/>
        <v>282.39246659084097</v>
      </c>
      <c r="BK67" s="1015">
        <f t="shared" si="27"/>
        <v>176.58651980635057</v>
      </c>
      <c r="BL67" s="1017">
        <f t="shared" si="28"/>
        <v>28.178411419597154</v>
      </c>
      <c r="BM67" s="1015">
        <f t="shared" si="29"/>
        <v>67.2092368995539</v>
      </c>
      <c r="BN67" s="1015">
        <f t="shared" si="30"/>
        <v>26.763906585047444</v>
      </c>
      <c r="BO67" s="1016">
        <f t="shared" si="31"/>
        <v>2.5384671306919082</v>
      </c>
    </row>
    <row r="68" spans="1:69" s="742" customFormat="1" ht="12.75" hidden="1" customHeight="1">
      <c r="A68" s="732"/>
      <c r="B68" s="733"/>
      <c r="C68" s="65"/>
      <c r="D68" s="788"/>
      <c r="E68" s="736" t="s">
        <v>476</v>
      </c>
      <c r="F68" s="737" t="s">
        <v>93</v>
      </c>
      <c r="G68" s="738" t="s">
        <v>24</v>
      </c>
      <c r="H68" s="740">
        <f>Récap1!X68</f>
        <v>2381.8991469266603</v>
      </c>
      <c r="I68" s="740">
        <f>Récap1!Y68</f>
        <v>57829.694336598361</v>
      </c>
      <c r="J68" s="740">
        <f>Récap1!Z68</f>
        <v>13000.799391486573</v>
      </c>
      <c r="K68" s="741" t="str">
        <f>Récap1!AA68</f>
        <v>PVL</v>
      </c>
      <c r="L68" s="740">
        <f>IF(ISNUMBER(Récap1!AB68),Récap1!AB68,I68/I$117*L$117)</f>
        <v>75774.059674561286</v>
      </c>
      <c r="M68" s="878">
        <f>IF(ISNUMBER(Récap1!AC68),Récap1!AC68,L68/L$118*M$118)</f>
        <v>10008.884599775407</v>
      </c>
      <c r="N68" s="740">
        <f>IF(ISNUMBER(Récap1!AD68),Récap1!AD68,M68/M$118*N$118)</f>
        <v>17801.365057413608</v>
      </c>
      <c r="O68" s="740">
        <f>IF(ISNUMBER(Récap1!AE68),Récap1!AE68,N68/N$118*O$118)</f>
        <v>1690.297048684642</v>
      </c>
      <c r="P68" s="879">
        <f>IF(ISNUMBER(Récap1!AF68),Récap1!AF68,O68/O$118*P$118)</f>
        <v>11.617725064116769</v>
      </c>
      <c r="Q68" s="740">
        <f>IF(ISNUMBER(Récap1!AG68),Récap1!AG68,I68/I$117*Q$117)</f>
        <v>144144.64622582431</v>
      </c>
      <c r="R68" s="740">
        <f>IF(ISNUMBER(Récap1!AH68),Récap1!AH68,Q68/Q$117*R$117)</f>
        <v>111435.3893649543</v>
      </c>
      <c r="S68" s="740">
        <f>IF(ISNUMBER(Récap1!AI68),Récap1!AI68,R68/R$117*S$117)</f>
        <v>30071.299503859693</v>
      </c>
      <c r="T68" s="878">
        <f>IF(ISNUMBER(Récap1!AJ68),Récap1!AJ68,S68/S$118*T$118)</f>
        <v>6881.1593348087717</v>
      </c>
      <c r="U68" s="740">
        <f>IF(ISNUMBER(Récap1!AK68),Récap1!AK68,T68/T$118*U$118)</f>
        <v>22483.622876784499</v>
      </c>
      <c r="V68" s="740">
        <f>IF(ISNUMBER(Récap1!AL68),Récap1!AL68,U68/U$118*V$118)</f>
        <v>14351.897500585683</v>
      </c>
      <c r="W68" s="740">
        <f>IF(ISNUMBER(Récap1!AM68),Récap1!AM68,V68/V$118*W$118)</f>
        <v>1509.9308365438008</v>
      </c>
      <c r="Y68" s="1885">
        <f>IF(ISNUMBER(Récap1!X68),Récap1!X68/H$117,Récap1!X68)</f>
        <v>207940.54126698556</v>
      </c>
      <c r="Z68" s="1896">
        <f>IF(ISNUMBER(Récap1!Y68),Récap1!Y68/I$117,Récap1!Y68)</f>
        <v>424113.18375356513</v>
      </c>
      <c r="AA68" s="1944"/>
      <c r="AB68" s="1944"/>
      <c r="AC68" s="1093" t="str">
        <f>IF(ISNUMBER(Récap1!AB68),Récap1!AB68/L$117,Récap1!AB68)</f>
        <v>PVL</v>
      </c>
      <c r="AD68" s="1944"/>
      <c r="AE68" s="1944"/>
      <c r="AF68" s="1944"/>
      <c r="AG68" s="1896"/>
      <c r="AH68" s="1944" t="str">
        <f>IF(ISNUMBER(Récap1!AG68),Récap1!AG68/Q$117,Récap1!AG68)</f>
        <v>PVL</v>
      </c>
      <c r="AI68" s="1944" t="str">
        <f>IF(ISNUMBER(Récap1!AH68),Récap1!AH68/R$117,Récap1!AH68)</f>
        <v>PVL</v>
      </c>
      <c r="AJ68" s="1896" t="str">
        <f>IF(ISNUMBER(Récap1!AI68),Récap1!AI68/S$117,Récap1!AI68)</f>
        <v>PVL</v>
      </c>
      <c r="AK68" s="1944"/>
      <c r="AL68" s="1944"/>
      <c r="AM68" s="1944"/>
      <c r="AN68" s="1945"/>
      <c r="AO68" s="1121">
        <f t="shared" si="19"/>
        <v>424113.18375356513</v>
      </c>
      <c r="AP68" s="1070">
        <f>SUMIF(Récap1!X68:Y68,"&gt;0",H$117:I$117)+IF(ISNUMBER(Récap1!AB68),L$117,0)+SUMIF(Récap1!AG68:AI68,"&gt;0",Q$117:S$117)</f>
        <v>0.14780910234752553</v>
      </c>
      <c r="AQ68" s="1149">
        <f t="shared" si="20"/>
        <v>407360.52467159188</v>
      </c>
      <c r="AR68" s="1911">
        <f t="shared" si="21"/>
        <v>421636.98825272464</v>
      </c>
      <c r="AS68" s="1885" t="str">
        <f>IF(ISNUMBER(Récap1!AC68),Récap1!AC68/M$118,Récap1!AC68)</f>
        <v>PVL</v>
      </c>
      <c r="AT68" s="1944" t="str">
        <f>IF(ISNUMBER(Récap1!AD68),Récap1!AD68/N$118,Récap1!AD68)</f>
        <v>PVL</v>
      </c>
      <c r="AU68" s="1944" t="str">
        <f>IF(ISNUMBER(Récap1!AE68),Récap1!AE68/O$118,Récap1!AE68)</f>
        <v>PVL</v>
      </c>
      <c r="AV68" s="1944" t="str">
        <f>IF(ISNUMBER(Récap1!AF68),Récap1!AF68/P$118,Récap1!AF68)</f>
        <v>PVL</v>
      </c>
      <c r="AW68" s="1944"/>
      <c r="AX68" s="1944"/>
      <c r="AY68" s="1944"/>
      <c r="AZ68" s="1977" t="str">
        <f>IF(ISNUMBER(Récap1!AJ68),Récap1!AJ68/T$118,Récap1!AJ68)</f>
        <v>PVL</v>
      </c>
      <c r="BA68" s="1944" t="str">
        <f>IF(ISNUMBER(Récap1!AK68),Récap1!AK68/U$118,Récap1!AK68)</f>
        <v>PVL</v>
      </c>
      <c r="BB68" s="1944" t="str">
        <f>IF(ISNUMBER(Récap1!AL68),Récap1!AL68/V$118,Récap1!AL68)</f>
        <v>PVL</v>
      </c>
      <c r="BC68" s="1896" t="str">
        <f>IF(ISNUMBER(Récap1!AM68),Récap1!AM68/W$118,Récap1!AM68)</f>
        <v>PVL</v>
      </c>
      <c r="BD68" s="1121" t="str">
        <f t="shared" si="22"/>
        <v>PVL</v>
      </c>
      <c r="BE68" s="1081">
        <f>SUMIF(Récap1!AC68:AF68,"&gt;0",M$118:P$118)+SUMIF(Récap1!AJ68:AM68,"&gt;0",T$118:W$118)</f>
        <v>0</v>
      </c>
      <c r="BF68" s="1978" t="str">
        <f t="shared" si="23"/>
        <v>PVL</v>
      </c>
      <c r="BG68" s="978">
        <f t="shared" si="24"/>
        <v>74738.77497966052</v>
      </c>
      <c r="BH68" s="743"/>
      <c r="BI68" s="740">
        <f t="shared" si="25"/>
        <v>146526.54537275096</v>
      </c>
      <c r="BJ68" s="740">
        <f t="shared" si="26"/>
        <v>169265.08370155265</v>
      </c>
      <c r="BK68" s="740">
        <f t="shared" si="27"/>
        <v>105845.35917842097</v>
      </c>
      <c r="BL68" s="878">
        <f t="shared" si="28"/>
        <v>16890.043934584181</v>
      </c>
      <c r="BM68" s="740">
        <f t="shared" si="29"/>
        <v>40284.987934198107</v>
      </c>
      <c r="BN68" s="740">
        <f t="shared" si="30"/>
        <v>16042.194549270325</v>
      </c>
      <c r="BO68" s="741">
        <f t="shared" si="31"/>
        <v>1521.5485616079175</v>
      </c>
    </row>
    <row r="69" spans="1:69" s="782" customFormat="1" ht="13.5" hidden="1" customHeight="1">
      <c r="A69" s="1592"/>
      <c r="B69" s="245"/>
      <c r="C69" s="777"/>
      <c r="D69" s="792"/>
      <c r="E69" s="853" t="s">
        <v>953</v>
      </c>
      <c r="F69" s="779" t="s">
        <v>19</v>
      </c>
      <c r="G69" s="1609" t="s">
        <v>20</v>
      </c>
      <c r="H69" s="781" t="str">
        <f>Récap1!X69</f>
        <v>PVL</v>
      </c>
      <c r="I69" s="781" t="str">
        <f>Récap1!Y69</f>
        <v>PVL</v>
      </c>
      <c r="J69" s="781" t="str">
        <f>Récap1!Z69</f>
        <v>PVL</v>
      </c>
      <c r="K69" s="608">
        <f>Récap1!AA69</f>
        <v>53.382512969427161</v>
      </c>
      <c r="L69" s="781" t="e">
        <f>IF(ISNUMBER(Récap1!AB69),Récap1!AB69,I69/I$117*L$117)</f>
        <v>#VALUE!</v>
      </c>
      <c r="M69" s="880" t="e">
        <f>IF(ISNUMBER(Récap1!AC69),Récap1!AC69,L69/L$118*M$118)</f>
        <v>#VALUE!</v>
      </c>
      <c r="N69" s="781" t="e">
        <f>IF(ISNUMBER(Récap1!AD69),Récap1!AD69,M69/M$118*N$118)</f>
        <v>#VALUE!</v>
      </c>
      <c r="O69" s="781" t="e">
        <f>IF(ISNUMBER(Récap1!AE69),Récap1!AE69,N69/N$118*O$118)</f>
        <v>#VALUE!</v>
      </c>
      <c r="P69" s="881" t="e">
        <f>IF(ISNUMBER(Récap1!AF69),Récap1!AF69,O69/O$118*P$118)</f>
        <v>#VALUE!</v>
      </c>
      <c r="Q69" s="781" t="e">
        <f>IF(ISNUMBER(Récap1!AG69),Récap1!AG69,I69/I$117*Q$117)</f>
        <v>#VALUE!</v>
      </c>
      <c r="R69" s="781" t="e">
        <f>IF(ISNUMBER(Récap1!AH69),Récap1!AH69,Q69/Q$117*R$117)</f>
        <v>#VALUE!</v>
      </c>
      <c r="S69" s="781" t="e">
        <f>IF(ISNUMBER(Récap1!AI69),Récap1!AI69,R69/R$117*S$117)</f>
        <v>#VALUE!</v>
      </c>
      <c r="T69" s="880" t="e">
        <f>IF(ISNUMBER(Récap1!AJ69),Récap1!AJ69,S69/S$118*T$118)</f>
        <v>#VALUE!</v>
      </c>
      <c r="U69" s="781" t="e">
        <f>IF(ISNUMBER(Récap1!AK69),Récap1!AK69,T69/T$118*U$118)</f>
        <v>#VALUE!</v>
      </c>
      <c r="V69" s="781" t="e">
        <f>IF(ISNUMBER(Récap1!AL69),Récap1!AL69,U69/U$118*V$118)</f>
        <v>#VALUE!</v>
      </c>
      <c r="W69" s="781" t="e">
        <f>IF(ISNUMBER(Récap1!AM69),Récap1!AM69,V69/V$118*W$118)</f>
        <v>#VALUE!</v>
      </c>
      <c r="Y69" s="1886" t="str">
        <f>IF(ISNUMBER(Récap1!X69),Récap1!X69/H$117,Récap1!X69)</f>
        <v>PVL</v>
      </c>
      <c r="Z69" s="1897" t="str">
        <f>IF(ISNUMBER(Récap1!Y69),Récap1!Y69/I$117,Récap1!Y69)</f>
        <v>PVL</v>
      </c>
      <c r="AA69" s="1086"/>
      <c r="AB69" s="1086"/>
      <c r="AC69" s="1094" t="str">
        <f>IF(ISNUMBER(Récap1!AB69),Récap1!AB69/L$117,Récap1!AB69)</f>
        <v>PVL</v>
      </c>
      <c r="AD69" s="1086"/>
      <c r="AE69" s="1086"/>
      <c r="AF69" s="1086"/>
      <c r="AG69" s="1897"/>
      <c r="AH69" s="1086" t="str">
        <f>IF(ISNUMBER(Récap1!AG69),Récap1!AG69/Q$117,Récap1!AG69)</f>
        <v>PVL</v>
      </c>
      <c r="AI69" s="1086" t="str">
        <f>IF(ISNUMBER(Récap1!AH69),Récap1!AH69/R$117,Récap1!AH69)</f>
        <v>PVL</v>
      </c>
      <c r="AJ69" s="1897" t="str">
        <f>IF(ISNUMBER(Récap1!AI69),Récap1!AI69/S$117,Récap1!AI69)</f>
        <v>PVL</v>
      </c>
      <c r="AK69" s="1086"/>
      <c r="AL69" s="1086"/>
      <c r="AM69" s="1086"/>
      <c r="AN69" s="1946"/>
      <c r="AO69" s="1122" t="str">
        <f t="shared" si="19"/>
        <v>PVL</v>
      </c>
      <c r="AP69" s="1071">
        <f>SUMIF(Récap1!X69:Y69,"&gt;0",H$117:I$117)+IF(ISNUMBER(Récap1!AB69),L$117,0)+SUMIF(Récap1!AG69:AI69,"&gt;0",Q$117:S$117)</f>
        <v>0</v>
      </c>
      <c r="AQ69" s="1150" t="str">
        <f t="shared" si="20"/>
        <v>PVL</v>
      </c>
      <c r="AR69" s="1089" t="e">
        <f t="shared" si="21"/>
        <v>#VALUE!</v>
      </c>
      <c r="AS69" s="1886" t="str">
        <f>IF(ISNUMBER(Récap1!AC69),Récap1!AC69/M$118,Récap1!AC69)</f>
        <v>PVL</v>
      </c>
      <c r="AT69" s="1086" t="str">
        <f>IF(ISNUMBER(Récap1!AD69),Récap1!AD69/N$118,Récap1!AD69)</f>
        <v>PVL</v>
      </c>
      <c r="AU69" s="1086" t="str">
        <f>IF(ISNUMBER(Récap1!AE69),Récap1!AE69/O$118,Récap1!AE69)</f>
        <v>PVL</v>
      </c>
      <c r="AV69" s="1086" t="str">
        <f>IF(ISNUMBER(Récap1!AF69),Récap1!AF69/P$118,Récap1!AF69)</f>
        <v>PVL</v>
      </c>
      <c r="AW69" s="1086"/>
      <c r="AX69" s="1086"/>
      <c r="AY69" s="1086"/>
      <c r="AZ69" s="1979" t="str">
        <f>IF(ISNUMBER(Récap1!AJ69),Récap1!AJ69/T$118,Récap1!AJ69)</f>
        <v>PVL</v>
      </c>
      <c r="BA69" s="1086" t="str">
        <f>IF(ISNUMBER(Récap1!AK69),Récap1!AK69/U$118,Récap1!AK69)</f>
        <v>PVL</v>
      </c>
      <c r="BB69" s="1086" t="str">
        <f>IF(ISNUMBER(Récap1!AL69),Récap1!AL69/V$118,Récap1!AL69)</f>
        <v>PVL</v>
      </c>
      <c r="BC69" s="1897" t="str">
        <f>IF(ISNUMBER(Récap1!AM69),Récap1!AM69/W$118,Récap1!AM69)</f>
        <v>PVL</v>
      </c>
      <c r="BD69" s="1122" t="str">
        <f t="shared" si="22"/>
        <v>PVL</v>
      </c>
      <c r="BE69" s="1082">
        <f>SUMIF(Récap1!AC69:AF69,"&gt;0",M$118:P$118)+SUMIF(Récap1!AJ69:AM69,"&gt;0",T$118:W$118)</f>
        <v>0</v>
      </c>
      <c r="BF69" s="1980" t="str">
        <f t="shared" si="23"/>
        <v>PVL</v>
      </c>
      <c r="BG69" s="979" t="e">
        <f t="shared" si="24"/>
        <v>#VALUE!</v>
      </c>
      <c r="BH69" s="921"/>
      <c r="BI69" s="781" t="e">
        <f t="shared" si="25"/>
        <v>#VALUE!</v>
      </c>
      <c r="BJ69" s="781" t="e">
        <f t="shared" si="26"/>
        <v>#VALUE!</v>
      </c>
      <c r="BK69" s="781" t="e">
        <f t="shared" si="27"/>
        <v>#VALUE!</v>
      </c>
      <c r="BL69" s="880" t="e">
        <f t="shared" si="28"/>
        <v>#VALUE!</v>
      </c>
      <c r="BM69" s="781" t="e">
        <f t="shared" si="29"/>
        <v>#VALUE!</v>
      </c>
      <c r="BN69" s="781" t="e">
        <f t="shared" si="30"/>
        <v>#VALUE!</v>
      </c>
      <c r="BO69" s="608" t="e">
        <f t="shared" si="31"/>
        <v>#VALUE!</v>
      </c>
    </row>
    <row r="70" spans="1:69" s="782" customFormat="1" ht="13.5" hidden="1" customHeight="1">
      <c r="A70" s="1592"/>
      <c r="B70" s="245"/>
      <c r="C70" s="777"/>
      <c r="D70" s="792"/>
      <c r="E70" s="853" t="s">
        <v>983</v>
      </c>
      <c r="F70" s="779" t="s">
        <v>19</v>
      </c>
      <c r="G70" s="1609" t="s">
        <v>20</v>
      </c>
      <c r="H70" s="781" t="str">
        <f>Récap1!X70</f>
        <v>PVL</v>
      </c>
      <c r="I70" s="781" t="str">
        <f>Récap1!Y70</f>
        <v>PVL</v>
      </c>
      <c r="J70" s="781" t="str">
        <f>Récap1!Z70</f>
        <v>PVL</v>
      </c>
      <c r="K70" s="608">
        <f>Récap1!AA70</f>
        <v>99.757028297340199</v>
      </c>
      <c r="L70" s="781" t="e">
        <f>IF(ISNUMBER(Récap1!AB70),Récap1!AB70,I70/I$117*L$117)</f>
        <v>#VALUE!</v>
      </c>
      <c r="M70" s="880" t="e">
        <f>IF(ISNUMBER(Récap1!AC70),Récap1!AC70,L70/L$118*M$118)</f>
        <v>#VALUE!</v>
      </c>
      <c r="N70" s="781" t="e">
        <f>IF(ISNUMBER(Récap1!AD70),Récap1!AD70,M70/M$118*N$118)</f>
        <v>#VALUE!</v>
      </c>
      <c r="O70" s="781" t="e">
        <f>IF(ISNUMBER(Récap1!AE70),Récap1!AE70,N70/N$118*O$118)</f>
        <v>#VALUE!</v>
      </c>
      <c r="P70" s="881" t="e">
        <f>IF(ISNUMBER(Récap1!AF70),Récap1!AF70,O70/O$118*P$118)</f>
        <v>#VALUE!</v>
      </c>
      <c r="Q70" s="781" t="e">
        <f>IF(ISNUMBER(Récap1!AG70),Récap1!AG70,I70/I$117*Q$117)</f>
        <v>#VALUE!</v>
      </c>
      <c r="R70" s="781" t="e">
        <f>IF(ISNUMBER(Récap1!AH70),Récap1!AH70,Q70/Q$117*R$117)</f>
        <v>#VALUE!</v>
      </c>
      <c r="S70" s="781" t="e">
        <f>IF(ISNUMBER(Récap1!AI70),Récap1!AI70,R70/R$117*S$117)</f>
        <v>#VALUE!</v>
      </c>
      <c r="T70" s="880" t="e">
        <f>IF(ISNUMBER(Récap1!AJ70),Récap1!AJ70,S70/S$118*T$118)</f>
        <v>#VALUE!</v>
      </c>
      <c r="U70" s="781" t="e">
        <f>IF(ISNUMBER(Récap1!AK70),Récap1!AK70,T70/T$118*U$118)</f>
        <v>#VALUE!</v>
      </c>
      <c r="V70" s="781" t="e">
        <f>IF(ISNUMBER(Récap1!AL70),Récap1!AL70,U70/U$118*V$118)</f>
        <v>#VALUE!</v>
      </c>
      <c r="W70" s="781" t="e">
        <f>IF(ISNUMBER(Récap1!AM70),Récap1!AM70,V70/V$118*W$118)</f>
        <v>#VALUE!</v>
      </c>
      <c r="Y70" s="1886" t="str">
        <f>IF(ISNUMBER(Récap1!X70),Récap1!X70/H$117,Récap1!X70)</f>
        <v>PVL</v>
      </c>
      <c r="Z70" s="1897" t="str">
        <f>IF(ISNUMBER(Récap1!Y70),Récap1!Y70/I$117,Récap1!Y70)</f>
        <v>PVL</v>
      </c>
      <c r="AA70" s="1086"/>
      <c r="AB70" s="1086"/>
      <c r="AC70" s="1094" t="str">
        <f>IF(ISNUMBER(Récap1!AB70),Récap1!AB70/L$117,Récap1!AB70)</f>
        <v>PVL</v>
      </c>
      <c r="AD70" s="1086"/>
      <c r="AE70" s="1086"/>
      <c r="AF70" s="1086"/>
      <c r="AG70" s="1897"/>
      <c r="AH70" s="1086" t="str">
        <f>IF(ISNUMBER(Récap1!AG70),Récap1!AG70/Q$117,Récap1!AG70)</f>
        <v>PVL</v>
      </c>
      <c r="AI70" s="1086" t="str">
        <f>IF(ISNUMBER(Récap1!AH70),Récap1!AH70/R$117,Récap1!AH70)</f>
        <v>PVL</v>
      </c>
      <c r="AJ70" s="1897" t="str">
        <f>IF(ISNUMBER(Récap1!AI70),Récap1!AI70/S$117,Récap1!AI70)</f>
        <v>PVL</v>
      </c>
      <c r="AK70" s="1086"/>
      <c r="AL70" s="1086"/>
      <c r="AM70" s="1086"/>
      <c r="AN70" s="1946"/>
      <c r="AO70" s="1122" t="str">
        <f t="shared" si="19"/>
        <v>PVL</v>
      </c>
      <c r="AP70" s="1071">
        <f>SUMIF(Récap1!X70:Y70,"&gt;0",H$117:I$117)+IF(ISNUMBER(Récap1!AB70),L$117,0)+SUMIF(Récap1!AG70:AI70,"&gt;0",Q$117:S$117)</f>
        <v>0</v>
      </c>
      <c r="AQ70" s="1150" t="str">
        <f t="shared" si="20"/>
        <v>PVL</v>
      </c>
      <c r="AR70" s="1089" t="e">
        <f t="shared" si="21"/>
        <v>#VALUE!</v>
      </c>
      <c r="AS70" s="1886" t="str">
        <f>IF(ISNUMBER(Récap1!AC70),Récap1!AC70/M$118,Récap1!AC70)</f>
        <v>PVL</v>
      </c>
      <c r="AT70" s="1086" t="str">
        <f>IF(ISNUMBER(Récap1!AD70),Récap1!AD70/N$118,Récap1!AD70)</f>
        <v>PVL</v>
      </c>
      <c r="AU70" s="1086" t="str">
        <f>IF(ISNUMBER(Récap1!AE70),Récap1!AE70/O$118,Récap1!AE70)</f>
        <v>PVL</v>
      </c>
      <c r="AV70" s="1086" t="str">
        <f>IF(ISNUMBER(Récap1!AF70),Récap1!AF70/P$118,Récap1!AF70)</f>
        <v>PVL</v>
      </c>
      <c r="AW70" s="1086"/>
      <c r="AX70" s="1086"/>
      <c r="AY70" s="1086"/>
      <c r="AZ70" s="1979" t="str">
        <f>IF(ISNUMBER(Récap1!AJ70),Récap1!AJ70/T$118,Récap1!AJ70)</f>
        <v>PVL</v>
      </c>
      <c r="BA70" s="1086" t="str">
        <f>IF(ISNUMBER(Récap1!AK70),Récap1!AK70/U$118,Récap1!AK70)</f>
        <v>PVL</v>
      </c>
      <c r="BB70" s="1086" t="str">
        <f>IF(ISNUMBER(Récap1!AL70),Récap1!AL70/V$118,Récap1!AL70)</f>
        <v>PVL</v>
      </c>
      <c r="BC70" s="1897" t="str">
        <f>IF(ISNUMBER(Récap1!AM70),Récap1!AM70/W$118,Récap1!AM70)</f>
        <v>PVL</v>
      </c>
      <c r="BD70" s="1122" t="str">
        <f t="shared" si="22"/>
        <v>PVL</v>
      </c>
      <c r="BE70" s="1082">
        <f>SUMIF(Récap1!AC70:AF70,"&gt;0",M$118:P$118)+SUMIF(Récap1!AJ70:AM70,"&gt;0",T$118:W$118)</f>
        <v>0</v>
      </c>
      <c r="BF70" s="1980" t="str">
        <f t="shared" si="23"/>
        <v>PVL</v>
      </c>
      <c r="BG70" s="979" t="e">
        <f t="shared" si="24"/>
        <v>#VALUE!</v>
      </c>
      <c r="BH70" s="921"/>
      <c r="BI70" s="781" t="e">
        <f t="shared" si="25"/>
        <v>#VALUE!</v>
      </c>
      <c r="BJ70" s="781" t="e">
        <f t="shared" si="26"/>
        <v>#VALUE!</v>
      </c>
      <c r="BK70" s="781" t="e">
        <f t="shared" si="27"/>
        <v>#VALUE!</v>
      </c>
      <c r="BL70" s="880" t="e">
        <f t="shared" si="28"/>
        <v>#VALUE!</v>
      </c>
      <c r="BM70" s="781" t="e">
        <f t="shared" si="29"/>
        <v>#VALUE!</v>
      </c>
      <c r="BN70" s="781" t="e">
        <f t="shared" si="30"/>
        <v>#VALUE!</v>
      </c>
      <c r="BO70" s="608" t="e">
        <f t="shared" si="31"/>
        <v>#VALUE!</v>
      </c>
    </row>
    <row r="71" spans="1:69" s="1009" customFormat="1" ht="12.75" hidden="1" customHeight="1">
      <c r="A71" s="1596"/>
      <c r="B71" s="1000"/>
      <c r="C71" s="1001"/>
      <c r="D71" s="926"/>
      <c r="E71" s="1002" t="s">
        <v>954</v>
      </c>
      <c r="F71" s="1003" t="s">
        <v>19</v>
      </c>
      <c r="G71" s="1613" t="s">
        <v>20</v>
      </c>
      <c r="H71" s="1005">
        <f>Récap1!X71</f>
        <v>2.7540971441360114</v>
      </c>
      <c r="I71" s="1005">
        <f>Récap1!Y71</f>
        <v>96.479850827950756</v>
      </c>
      <c r="J71" s="1005">
        <f>Récap1!Z71</f>
        <v>36.624763636363639</v>
      </c>
      <c r="K71" s="1006">
        <f>Récap1!AA71</f>
        <v>53.382512969427161</v>
      </c>
      <c r="L71" s="1005">
        <f>IF(ISNUMBER(Récap1!AB71),Récap1!AB71,I71/I$117*L$117)</f>
        <v>126.41723353193048</v>
      </c>
      <c r="M71" s="1007">
        <f>IF(ISNUMBER(Récap1!AC71),Récap1!AC71,L71/L$118*M$118)</f>
        <v>16.698267286696961</v>
      </c>
      <c r="N71" s="1005">
        <f>IF(ISNUMBER(Récap1!AD71),Récap1!AD71,M71/M$118*N$118)</f>
        <v>29.698808976519743</v>
      </c>
      <c r="O71" s="1005">
        <f>IF(ISNUMBER(Récap1!AE71),Récap1!AE71,N71/N$118*O$118)</f>
        <v>2.819997736159785</v>
      </c>
      <c r="P71" s="1008">
        <f>IF(ISNUMBER(Récap1!AF71),Récap1!AF71,O71/O$118*P$118)</f>
        <v>1.9382367380710291E-2</v>
      </c>
      <c r="Q71" s="1005">
        <f>IF(ISNUMBER(Récap1!AG71),Récap1!AG71,I71/I$117*Q$117)</f>
        <v>240.48292360960974</v>
      </c>
      <c r="R71" s="1005">
        <f>IF(ISNUMBER(Récap1!AH71),Récap1!AH71,Q71/Q$117*R$117)</f>
        <v>185.91261576289023</v>
      </c>
      <c r="S71" s="1005">
        <f>IF(ISNUMBER(Récap1!AI71),Récap1!AI71,R71/R$117*S$117)</f>
        <v>50.169286274420081</v>
      </c>
      <c r="T71" s="1007">
        <f>IF(ISNUMBER(Récap1!AJ71),Récap1!AJ71,S71/S$118*T$118)</f>
        <v>11.480144132900193</v>
      </c>
      <c r="U71" s="1005">
        <f>IF(ISNUMBER(Récap1!AK71),Récap1!AK71,T71/T$118*U$118)</f>
        <v>37.510427923034158</v>
      </c>
      <c r="V71" s="1005">
        <f>IF(ISNUMBER(Récap1!AL71),Récap1!AL71,U71/U$118*V$118)</f>
        <v>23.943908848887659</v>
      </c>
      <c r="W71" s="1005">
        <f>IF(ISNUMBER(Récap1!AM71),Récap1!AM71,V71/V$118*W$118)</f>
        <v>2.5190847633111981</v>
      </c>
      <c r="Y71" s="1892">
        <f>IF(ISNUMBER(Récap1!X71),Récap1!X71/H$117,Récap1!X71)</f>
        <v>240.43354295350215</v>
      </c>
      <c r="Z71" s="1903">
        <f>IF(ISNUMBER(Récap1!Y71),Récap1!Y71/I$117,Récap1!Y71)</f>
        <v>707.56688535383535</v>
      </c>
      <c r="AA71" s="1106"/>
      <c r="AB71" s="1106"/>
      <c r="AC71" s="1100" t="str">
        <f>IF(ISNUMBER(Récap1!AB71),Récap1!AB71/L$117,Récap1!AB71)</f>
        <v>PVL</v>
      </c>
      <c r="AD71" s="1106"/>
      <c r="AE71" s="1106"/>
      <c r="AF71" s="1106"/>
      <c r="AG71" s="1903"/>
      <c r="AH71" s="1106" t="str">
        <f>IF(ISNUMBER(Récap1!AG71),Récap1!AG71/Q$117,Récap1!AG71)</f>
        <v>PVL</v>
      </c>
      <c r="AI71" s="1106" t="str">
        <f>IF(ISNUMBER(Récap1!AH71),Récap1!AH71/R$117,Récap1!AH71)</f>
        <v>PVL</v>
      </c>
      <c r="AJ71" s="1903" t="str">
        <f>IF(ISNUMBER(Récap1!AI71),Récap1!AI71/S$117,Récap1!AI71)</f>
        <v>PVL</v>
      </c>
      <c r="AK71" s="1106"/>
      <c r="AL71" s="1106"/>
      <c r="AM71" s="1106"/>
      <c r="AN71" s="1139"/>
      <c r="AO71" s="1106">
        <f t="shared" si="19"/>
        <v>707.56688535383535</v>
      </c>
      <c r="AP71" s="1069">
        <f>SUMIF(Récap1!X71:Y71,"&gt;0",H$117:I$117)+IF(ISNUMBER(Récap1!AB71),L$117,0)+SUMIF(Récap1!AG71:AI71,"&gt;0",Q$117:S$117)</f>
        <v>0.14780910234752553</v>
      </c>
      <c r="AQ71" s="1156">
        <f t="shared" si="20"/>
        <v>671.36560872124153</v>
      </c>
      <c r="AR71" s="1106">
        <f t="shared" si="21"/>
        <v>702.21600715093734</v>
      </c>
      <c r="AS71" s="1892" t="str">
        <f>IF(ISNUMBER(Récap1!AC71),Récap1!AC71/M$118,Récap1!AC71)</f>
        <v>PVL</v>
      </c>
      <c r="AT71" s="1106" t="str">
        <f>IF(ISNUMBER(Récap1!AD71),Récap1!AD71/N$118,Récap1!AD71)</f>
        <v>PVL</v>
      </c>
      <c r="AU71" s="1106" t="str">
        <f>IF(ISNUMBER(Récap1!AE71),Récap1!AE71/O$118,Récap1!AE71)</f>
        <v>PVL</v>
      </c>
      <c r="AV71" s="1106" t="str">
        <f>IF(ISNUMBER(Récap1!AF71),Récap1!AF71/P$118,Récap1!AF71)</f>
        <v>PVL</v>
      </c>
      <c r="AW71" s="1106"/>
      <c r="AX71" s="1106"/>
      <c r="AY71" s="1106"/>
      <c r="AZ71" s="1988" t="str">
        <f>IF(ISNUMBER(Récap1!AJ71),Récap1!AJ71/T$118,Récap1!AJ71)</f>
        <v>PVL</v>
      </c>
      <c r="BA71" s="1106" t="str">
        <f>IF(ISNUMBER(Récap1!AK71),Récap1!AK71/U$118,Récap1!AK71)</f>
        <v>PVL</v>
      </c>
      <c r="BB71" s="1106" t="str">
        <f>IF(ISNUMBER(Récap1!AL71),Récap1!AL71/V$118,Récap1!AL71)</f>
        <v>PVL</v>
      </c>
      <c r="BC71" s="1903" t="str">
        <f>IF(ISNUMBER(Récap1!AM71),Récap1!AM71/W$118,Récap1!AM71)</f>
        <v>PVL</v>
      </c>
      <c r="BD71" s="1106" t="str">
        <f t="shared" si="22"/>
        <v>PVL</v>
      </c>
      <c r="BE71" s="1080">
        <f>SUMIF(Récap1!AC71:AF71,"&gt;0",M$118:P$118)+SUMIF(Récap1!AJ71:AM71,"&gt;0",T$118:W$118)</f>
        <v>0</v>
      </c>
      <c r="BF71" s="1139" t="str">
        <f t="shared" si="23"/>
        <v>PVL</v>
      </c>
      <c r="BG71" s="790">
        <f t="shared" si="24"/>
        <v>124.6900220348904</v>
      </c>
      <c r="BH71" s="1010"/>
      <c r="BI71" s="1005">
        <f t="shared" si="25"/>
        <v>243.23702075374575</v>
      </c>
      <c r="BJ71" s="1005">
        <f t="shared" si="26"/>
        <v>282.39246659084097</v>
      </c>
      <c r="BK71" s="1005">
        <f t="shared" si="27"/>
        <v>176.58651980635057</v>
      </c>
      <c r="BL71" s="1007">
        <f t="shared" si="28"/>
        <v>28.178411419597154</v>
      </c>
      <c r="BM71" s="1005">
        <f t="shared" si="29"/>
        <v>67.2092368995539</v>
      </c>
      <c r="BN71" s="1005">
        <f t="shared" si="30"/>
        <v>26.763906585047444</v>
      </c>
      <c r="BO71" s="1006">
        <f t="shared" si="31"/>
        <v>2.5384671306919082</v>
      </c>
    </row>
    <row r="72" spans="1:69" s="1009" customFormat="1" ht="12.75" hidden="1" customHeight="1">
      <c r="A72" s="1596"/>
      <c r="B72" s="1000"/>
      <c r="C72" s="1001"/>
      <c r="D72" s="927"/>
      <c r="E72" s="1002" t="s">
        <v>984</v>
      </c>
      <c r="F72" s="1003" t="s">
        <v>19</v>
      </c>
      <c r="G72" s="1613" t="s">
        <v>20</v>
      </c>
      <c r="H72" s="1005">
        <f>Récap1!X72</f>
        <v>2.7540971441360114</v>
      </c>
      <c r="I72" s="1005">
        <f>Récap1!Y72</f>
        <v>96.479850827950756</v>
      </c>
      <c r="J72" s="1005">
        <f>Récap1!Z72</f>
        <v>36.624763636363639</v>
      </c>
      <c r="K72" s="1006">
        <f>Récap1!AA72</f>
        <v>99.757028297340199</v>
      </c>
      <c r="L72" s="1005">
        <f>IF(ISNUMBER(Récap1!AB72),Récap1!AB72,I72/I$117*L$117)</f>
        <v>126.41723353193048</v>
      </c>
      <c r="M72" s="1007">
        <f>IF(ISNUMBER(Récap1!AC72),Récap1!AC72,L72/L$118*M$118)</f>
        <v>16.698267286696961</v>
      </c>
      <c r="N72" s="1005">
        <f>IF(ISNUMBER(Récap1!AD72),Récap1!AD72,M72/M$118*N$118)</f>
        <v>29.698808976519743</v>
      </c>
      <c r="O72" s="1005">
        <f>IF(ISNUMBER(Récap1!AE72),Récap1!AE72,N72/N$118*O$118)</f>
        <v>2.819997736159785</v>
      </c>
      <c r="P72" s="1008">
        <f>IF(ISNUMBER(Récap1!AF72),Récap1!AF72,O72/O$118*P$118)</f>
        <v>1.9382367380710291E-2</v>
      </c>
      <c r="Q72" s="1005">
        <f>IF(ISNUMBER(Récap1!AG72),Récap1!AG72,I72/I$117*Q$117)</f>
        <v>240.48292360960974</v>
      </c>
      <c r="R72" s="1005">
        <f>IF(ISNUMBER(Récap1!AH72),Récap1!AH72,Q72/Q$117*R$117)</f>
        <v>185.91261576289023</v>
      </c>
      <c r="S72" s="1005">
        <f>IF(ISNUMBER(Récap1!AI72),Récap1!AI72,R72/R$117*S$117)</f>
        <v>50.169286274420081</v>
      </c>
      <c r="T72" s="1007">
        <f>IF(ISNUMBER(Récap1!AJ72),Récap1!AJ72,S72/S$118*T$118)</f>
        <v>11.480144132900193</v>
      </c>
      <c r="U72" s="1005">
        <f>IF(ISNUMBER(Récap1!AK72),Récap1!AK72,T72/T$118*U$118)</f>
        <v>37.510427923034158</v>
      </c>
      <c r="V72" s="1005">
        <f>IF(ISNUMBER(Récap1!AL72),Récap1!AL72,U72/U$118*V$118)</f>
        <v>23.943908848887659</v>
      </c>
      <c r="W72" s="1005">
        <f>IF(ISNUMBER(Récap1!AM72),Récap1!AM72,V72/V$118*W$118)</f>
        <v>2.5190847633111981</v>
      </c>
      <c r="Y72" s="1892">
        <f>IF(ISNUMBER(Récap1!X72),Récap1!X72/H$117,Récap1!X72)</f>
        <v>240.43354295350215</v>
      </c>
      <c r="Z72" s="1903">
        <f>IF(ISNUMBER(Récap1!Y72),Récap1!Y72/I$117,Récap1!Y72)</f>
        <v>707.56688535383535</v>
      </c>
      <c r="AA72" s="1106"/>
      <c r="AB72" s="1106"/>
      <c r="AC72" s="1100" t="str">
        <f>IF(ISNUMBER(Récap1!AB72),Récap1!AB72/L$117,Récap1!AB72)</f>
        <v>PVL</v>
      </c>
      <c r="AD72" s="1106"/>
      <c r="AE72" s="1106"/>
      <c r="AF72" s="1106"/>
      <c r="AG72" s="1903"/>
      <c r="AH72" s="1106" t="str">
        <f>IF(ISNUMBER(Récap1!AG72),Récap1!AG72/Q$117,Récap1!AG72)</f>
        <v>PVL</v>
      </c>
      <c r="AI72" s="1106" t="str">
        <f>IF(ISNUMBER(Récap1!AH72),Récap1!AH72/R$117,Récap1!AH72)</f>
        <v>PVL</v>
      </c>
      <c r="AJ72" s="1903" t="str">
        <f>IF(ISNUMBER(Récap1!AI72),Récap1!AI72/S$117,Récap1!AI72)</f>
        <v>PVL</v>
      </c>
      <c r="AK72" s="1106"/>
      <c r="AL72" s="1106"/>
      <c r="AM72" s="1106"/>
      <c r="AN72" s="1139"/>
      <c r="AO72" s="1106">
        <f t="shared" si="19"/>
        <v>707.56688535383535</v>
      </c>
      <c r="AP72" s="1069">
        <f>SUMIF(Récap1!X72:Y72,"&gt;0",H$117:I$117)+IF(ISNUMBER(Récap1!AB72),L$117,0)+SUMIF(Récap1!AG72:AI72,"&gt;0",Q$117:S$117)</f>
        <v>0.14780910234752553</v>
      </c>
      <c r="AQ72" s="1156">
        <f t="shared" si="20"/>
        <v>671.36560872124153</v>
      </c>
      <c r="AR72" s="1106">
        <f t="shared" si="21"/>
        <v>702.21600715093734</v>
      </c>
      <c r="AS72" s="1892" t="str">
        <f>IF(ISNUMBER(Récap1!AC72),Récap1!AC72/M$118,Récap1!AC72)</f>
        <v>PVL</v>
      </c>
      <c r="AT72" s="1106" t="str">
        <f>IF(ISNUMBER(Récap1!AD72),Récap1!AD72/N$118,Récap1!AD72)</f>
        <v>PVL</v>
      </c>
      <c r="AU72" s="1106" t="str">
        <f>IF(ISNUMBER(Récap1!AE72),Récap1!AE72/O$118,Récap1!AE72)</f>
        <v>PVL</v>
      </c>
      <c r="AV72" s="1106" t="str">
        <f>IF(ISNUMBER(Récap1!AF72),Récap1!AF72/P$118,Récap1!AF72)</f>
        <v>PVL</v>
      </c>
      <c r="AW72" s="1106"/>
      <c r="AX72" s="1106"/>
      <c r="AY72" s="1106"/>
      <c r="AZ72" s="1988" t="str">
        <f>IF(ISNUMBER(Récap1!AJ72),Récap1!AJ72/T$118,Récap1!AJ72)</f>
        <v>PVL</v>
      </c>
      <c r="BA72" s="1106" t="str">
        <f>IF(ISNUMBER(Récap1!AK72),Récap1!AK72/U$118,Récap1!AK72)</f>
        <v>PVL</v>
      </c>
      <c r="BB72" s="1106" t="str">
        <f>IF(ISNUMBER(Récap1!AL72),Récap1!AL72/V$118,Récap1!AL72)</f>
        <v>PVL</v>
      </c>
      <c r="BC72" s="1903" t="str">
        <f>IF(ISNUMBER(Récap1!AM72),Récap1!AM72/W$118,Récap1!AM72)</f>
        <v>PVL</v>
      </c>
      <c r="BD72" s="1106" t="str">
        <f t="shared" si="22"/>
        <v>PVL</v>
      </c>
      <c r="BE72" s="1080">
        <f>SUMIF(Récap1!AC72:AF72,"&gt;0",M$118:P$118)+SUMIF(Récap1!AJ72:AM72,"&gt;0",T$118:W$118)</f>
        <v>0</v>
      </c>
      <c r="BF72" s="1139" t="str">
        <f t="shared" si="23"/>
        <v>PVL</v>
      </c>
      <c r="BG72" s="790">
        <f t="shared" si="24"/>
        <v>124.6900220348904</v>
      </c>
      <c r="BH72" s="1010"/>
      <c r="BI72" s="1005">
        <f t="shared" si="25"/>
        <v>243.23702075374575</v>
      </c>
      <c r="BJ72" s="1005">
        <f t="shared" si="26"/>
        <v>282.39246659084097</v>
      </c>
      <c r="BK72" s="1005">
        <f t="shared" si="27"/>
        <v>176.58651980635057</v>
      </c>
      <c r="BL72" s="1007">
        <f t="shared" si="28"/>
        <v>28.178411419597154</v>
      </c>
      <c r="BM72" s="1005">
        <f t="shared" si="29"/>
        <v>67.2092368995539</v>
      </c>
      <c r="BN72" s="1005">
        <f t="shared" si="30"/>
        <v>26.763906585047444</v>
      </c>
      <c r="BO72" s="1006">
        <f t="shared" si="31"/>
        <v>2.5384671306919082</v>
      </c>
    </row>
    <row r="73" spans="1:69" s="26" customFormat="1" ht="13.5" hidden="1" customHeight="1">
      <c r="A73" s="680"/>
      <c r="B73" s="27"/>
      <c r="C73" s="77"/>
      <c r="D73" s="792"/>
      <c r="E73" s="103" t="s">
        <v>660</v>
      </c>
      <c r="F73" s="147" t="str">
        <f>F71</f>
        <v>Cs</v>
      </c>
      <c r="G73" s="146" t="str">
        <f>G71</f>
        <v>mg/kg ms</v>
      </c>
      <c r="H73" s="56">
        <f>Récap1!X73</f>
        <v>1.754223700777784E-2</v>
      </c>
      <c r="I73" s="56">
        <f>Récap1!Y73</f>
        <v>1.5601159508858542E-2</v>
      </c>
      <c r="J73" s="56">
        <f>Récap1!Z73</f>
        <v>2.7467644250260864E-2</v>
      </c>
      <c r="K73" s="57">
        <f>Récap1!AA73</f>
        <v>1.2461201679065631E-3</v>
      </c>
      <c r="L73" s="56">
        <f>IF(ISNUMBER(Récap1!AB73),Récap1!AB73,I73/I$117*L$117)</f>
        <v>6.315727857926912E-3</v>
      </c>
      <c r="M73" s="870">
        <f>IF(ISNUMBER(Récap1!AC73),Récap1!AC73,L73/L$118*M$118)</f>
        <v>8.5154918231512226E-3</v>
      </c>
      <c r="N73" s="56">
        <f>IF(ISNUMBER(Récap1!AD73),Récap1!AD73,M73/M$118*N$118)</f>
        <v>4.3505584443829494E-2</v>
      </c>
      <c r="O73" s="56">
        <f>IF(ISNUMBER(Récap1!AE73),Récap1!AE73,N73/N$118*O$118)</f>
        <v>0.34890349802377557</v>
      </c>
      <c r="P73" s="871">
        <f>IF(ISNUMBER(Récap1!AF73),Récap1!AF73,O73/O$118*P$118)</f>
        <v>2.3980784425454474E-3</v>
      </c>
      <c r="Q73" s="56">
        <f>IF(ISNUMBER(Récap1!AG73),Récap1!AG73,I73/I$117*Q$117)</f>
        <v>6.29011484708197E-3</v>
      </c>
      <c r="R73" s="56">
        <f>IF(ISNUMBER(Récap1!AH73),Récap1!AH73,Q73/Q$117*R$117)</f>
        <v>4.7819012449342634E-2</v>
      </c>
      <c r="S73" s="56">
        <f>IF(ISNUMBER(Récap1!AI73),Récap1!AI73,R73/R$117*S$117)</f>
        <v>9.5103001942881699E-3</v>
      </c>
      <c r="T73" s="870">
        <f>IF(ISNUMBER(Récap1!AJ73),Récap1!AJ73,S73/S$118*T$118)</f>
        <v>1.5332408405335814E-2</v>
      </c>
      <c r="U73" s="56">
        <f>IF(ISNUMBER(Récap1!AK73),Récap1!AK73,T73/T$118*U$118)</f>
        <v>0.37132861944557133</v>
      </c>
      <c r="V73" s="56">
        <f>IF(ISNUMBER(Récap1!AL73),Récap1!AL73,U73/U$118*V$118)</f>
        <v>0.23702898391964997</v>
      </c>
      <c r="W73" s="56">
        <f>IF(ISNUMBER(Récap1!AM73),Récap1!AM73,V73/V$118*W$118)</f>
        <v>2.493728595541592E-2</v>
      </c>
      <c r="Y73" s="621">
        <f>IF(ISNUMBER(Récap1!X73),Récap1!X73/H$117,Récap1!X73)</f>
        <v>1.531442783015273</v>
      </c>
      <c r="Z73" s="1894">
        <f>IF(ISNUMBER(Récap1!Y73),Récap1!Y73/I$117,Récap1!Y73)</f>
        <v>0.11441626149771564</v>
      </c>
      <c r="AA73" s="282"/>
      <c r="AB73" s="282"/>
      <c r="AC73" s="1091">
        <f>IF(ISNUMBER(Récap1!AB73),Récap1!AB73/L$117,Récap1!AB73)</f>
        <v>3.5349609893551938E-2</v>
      </c>
      <c r="AD73" s="282"/>
      <c r="AE73" s="282"/>
      <c r="AF73" s="282"/>
      <c r="AG73" s="1894"/>
      <c r="AH73" s="282">
        <f>IF(ISNUMBER(Récap1!AG73),Récap1!AG73/Q$117,Récap1!AG73)</f>
        <v>1.8507247433887469E-2</v>
      </c>
      <c r="AI73" s="282">
        <f>IF(ISNUMBER(Récap1!AH73),Récap1!AH73/R$117,Récap1!AH73)</f>
        <v>0.18199490960113443</v>
      </c>
      <c r="AJ73" s="1894">
        <f>IF(ISNUMBER(Récap1!AI73),Récap1!AI73/S$117,Récap1!AI73)</f>
        <v>0.1341293446042798</v>
      </c>
      <c r="AK73" s="282"/>
      <c r="AL73" s="282"/>
      <c r="AM73" s="282"/>
      <c r="AN73" s="1919"/>
      <c r="AO73" s="1117">
        <f t="shared" si="19"/>
        <v>1.8507247433887469E-2</v>
      </c>
      <c r="AP73" s="1069">
        <f>SUMIF(Récap1!X73:Y73,"&gt;0",H$117:I$117)+IF(ISNUMBER(Récap1!AB73),L$117,0)+SUMIF(Récap1!AG73:AI73,"&gt;0",Q$117:S$117)</f>
        <v>1</v>
      </c>
      <c r="AQ73" s="1147">
        <f t="shared" si="20"/>
        <v>0.10307855186527606</v>
      </c>
      <c r="AR73" s="1104">
        <f t="shared" si="21"/>
        <v>0.10307855186527606</v>
      </c>
      <c r="AS73" s="621">
        <f>IF(ISNUMBER(Récap1!AC73),Récap1!AC73/M$118,Récap1!AC73)</f>
        <v>0.22764985667296311</v>
      </c>
      <c r="AT73" s="282">
        <f>IF(ISNUMBER(Récap1!AD73),Récap1!AD73/N$118,Récap1!AD73)</f>
        <v>0.65393567054872792</v>
      </c>
      <c r="AU73" s="282">
        <f>IF(ISNUMBER(Récap1!AE73),Récap1!AE73/O$118,Récap1!AE73)</f>
        <v>55.231344746197017</v>
      </c>
      <c r="AV73" s="282" t="str">
        <f>IF(ISNUMBER(Récap1!AF73),Récap1!AF73/P$118,Récap1!AF73)</f>
        <v>PVL</v>
      </c>
      <c r="AW73" s="282"/>
      <c r="AX73" s="282"/>
      <c r="AY73" s="282"/>
      <c r="AZ73" s="1971">
        <f>IF(ISNUMBER(Récap1!AJ73),Récap1!AJ73/T$118,Récap1!AJ73)</f>
        <v>0.11326533442831706</v>
      </c>
      <c r="BA73" s="282">
        <f>IF(ISNUMBER(Récap1!AK73),Récap1!AK73/U$118,Récap1!AK73)</f>
        <v>0.83953803720688558</v>
      </c>
      <c r="BB73" s="282" t="str">
        <f>IF(ISNUMBER(Récap1!AL73),Récap1!AL73/V$118,Récap1!AL73)</f>
        <v>PVL</v>
      </c>
      <c r="BC73" s="1894" t="str">
        <f>IF(ISNUMBER(Récap1!AM73),Récap1!AM73/W$118,Récap1!AM73)</f>
        <v>PVL</v>
      </c>
      <c r="BD73" s="1117">
        <f t="shared" si="22"/>
        <v>0.11326533442831706</v>
      </c>
      <c r="BE73" s="1080">
        <f>SUMIF(Récap1!AC73:AF73,"&gt;0",M$118:P$118)+SUMIF(Récap1!AJ73:AM73,"&gt;0",T$118:W$118)</f>
        <v>0.68792036811484414</v>
      </c>
      <c r="BF73" s="1920">
        <f t="shared" si="23"/>
        <v>1.1448790276408574</v>
      </c>
      <c r="BG73" s="920">
        <f t="shared" si="24"/>
        <v>1.0519499504592749</v>
      </c>
      <c r="BH73" s="77"/>
      <c r="BI73" s="56">
        <f t="shared" si="25"/>
        <v>2.383235185485981E-2</v>
      </c>
      <c r="BJ73" s="56">
        <f t="shared" si="26"/>
        <v>6.3420171958201182E-2</v>
      </c>
      <c r="BK73" s="56">
        <f t="shared" si="27"/>
        <v>1.5826028052215082E-2</v>
      </c>
      <c r="BL73" s="870">
        <f t="shared" si="28"/>
        <v>2.3847900228487037E-2</v>
      </c>
      <c r="BM73" s="56">
        <f t="shared" si="29"/>
        <v>0.41483420388940084</v>
      </c>
      <c r="BN73" s="56">
        <f t="shared" si="30"/>
        <v>0.58593248194342551</v>
      </c>
      <c r="BO73" s="57">
        <f t="shared" si="31"/>
        <v>2.7335364397961366E-2</v>
      </c>
    </row>
    <row r="74" spans="1:69" s="1031" customFormat="1">
      <c r="A74" s="395"/>
      <c r="B74" s="1020"/>
      <c r="C74" s="1021"/>
      <c r="D74" s="1032"/>
      <c r="E74" s="596" t="s">
        <v>668</v>
      </c>
      <c r="F74" s="1549"/>
      <c r="G74" s="1614"/>
      <c r="H74" s="1027"/>
      <c r="I74" s="1027"/>
      <c r="J74" s="1027"/>
      <c r="K74" s="1028"/>
      <c r="L74" s="1027"/>
      <c r="M74" s="1029"/>
      <c r="N74" s="1027"/>
      <c r="O74" s="1027"/>
      <c r="P74" s="1030"/>
      <c r="Q74" s="1027"/>
      <c r="R74" s="1027"/>
      <c r="S74" s="1027"/>
      <c r="T74" s="1029"/>
      <c r="U74" s="1027"/>
      <c r="V74" s="1027"/>
      <c r="W74" s="1027"/>
      <c r="Y74" s="1893"/>
      <c r="Z74" s="1904"/>
      <c r="AA74" s="1550"/>
      <c r="AB74" s="1550"/>
      <c r="AC74" s="1101"/>
      <c r="AD74" s="1550"/>
      <c r="AE74" s="1550"/>
      <c r="AF74" s="1550"/>
      <c r="AG74" s="1904"/>
      <c r="AH74" s="1550"/>
      <c r="AI74" s="1550"/>
      <c r="AJ74" s="1904"/>
      <c r="AK74" s="1550"/>
      <c r="AL74" s="1550"/>
      <c r="AM74" s="1550"/>
      <c r="AN74" s="1553"/>
      <c r="AO74" s="1550"/>
      <c r="AP74" s="1551"/>
      <c r="AQ74" s="1552"/>
      <c r="AR74" s="1550"/>
      <c r="AS74" s="1893"/>
      <c r="AT74" s="1550"/>
      <c r="AU74" s="1550"/>
      <c r="AV74" s="1550"/>
      <c r="AW74" s="1550"/>
      <c r="AX74" s="1550"/>
      <c r="AY74" s="1550"/>
      <c r="AZ74" s="1989"/>
      <c r="BA74" s="1550"/>
      <c r="BB74" s="1550"/>
      <c r="BC74" s="1904"/>
      <c r="BD74" s="1550"/>
      <c r="BE74" s="1551"/>
      <c r="BF74" s="1553"/>
      <c r="BG74" s="1032"/>
      <c r="BH74" s="1021"/>
      <c r="BI74" s="1027"/>
      <c r="BJ74" s="1027"/>
      <c r="BK74" s="1027"/>
      <c r="BL74" s="1029"/>
      <c r="BM74" s="1027"/>
      <c r="BN74" s="1027"/>
      <c r="BO74" s="1028"/>
    </row>
    <row r="75" spans="1:69" s="26" customFormat="1">
      <c r="A75" s="680"/>
      <c r="B75" s="27"/>
      <c r="C75" s="77"/>
      <c r="D75" s="1062"/>
      <c r="E75" s="1061" t="str">
        <f>E44</f>
        <v>Teneur limite avant contrôle de la saturation</v>
      </c>
      <c r="F75" s="14" t="s">
        <v>19</v>
      </c>
      <c r="G75" s="105" t="s">
        <v>20</v>
      </c>
      <c r="H75" s="56">
        <f>Récap1!X75</f>
        <v>2.7474192261642125</v>
      </c>
      <c r="I75" s="56">
        <f>Récap1!Y75</f>
        <v>96.184299750885145</v>
      </c>
      <c r="J75" s="56">
        <f>Récap1!Z75</f>
        <v>36.624763636363639</v>
      </c>
      <c r="K75" s="57">
        <f>Récap1!AA75</f>
        <v>183.12381818181819</v>
      </c>
      <c r="L75" s="56">
        <f>IF(ISNUMBER(Récap1!AB75),Récap1!AB75,I75/I$117*L$117)</f>
        <v>189.39356905647836</v>
      </c>
      <c r="M75" s="870">
        <f>IF(ISNUMBER(Récap1!AC75),Récap1!AC75,L75/L$118*M$118)</f>
        <v>585.42995154170387</v>
      </c>
      <c r="N75" s="56">
        <f>IF(ISNUMBER(Récap1!AD75),Récap1!AD75,M75/M$118*N$118)</f>
        <v>2450.4773085841125</v>
      </c>
      <c r="O75" s="56">
        <f>IF(ISNUMBER(Récap1!AE75),Récap1!AE75,N75/N$118*O$118)</f>
        <v>232.68072696725056</v>
      </c>
      <c r="P75" s="871">
        <f>IF(ISNUMBER(Récap1!AF75),Récap1!AF75,O75/O$118*P$118)</f>
        <v>1.5992577847354901</v>
      </c>
      <c r="Q75" s="56">
        <f>IF(ISNUMBER(Récap1!AG75),Récap1!AG75,I75/I$117*Q$117)</f>
        <v>4813.5403636363644</v>
      </c>
      <c r="R75" s="56">
        <f>IF(ISNUMBER(Récap1!AH75),Récap1!AH75,Q75/Q$117*R$117)</f>
        <v>4813.5403636363626</v>
      </c>
      <c r="S75" s="56">
        <f>IF(ISNUMBER(Récap1!AI75),Récap1!AI75,R75/R$117*S$117)</f>
        <v>327.80995834790781</v>
      </c>
      <c r="T75" s="870">
        <f>IF(ISNUMBER(Récap1!AJ75),Récap1!AJ75,S75/S$118*T$118)</f>
        <v>828.57382025808442</v>
      </c>
      <c r="U75" s="56">
        <f>IF(ISNUMBER(Récap1!AK75),Récap1!AK75,T75/T$118*U$118)</f>
        <v>2474.7552819598091</v>
      </c>
      <c r="V75" s="56">
        <f>IF(ISNUMBER(Récap1!AL75),Récap1!AL75,U75/U$118*V$118)</f>
        <v>1579.7024501061965</v>
      </c>
      <c r="W75" s="56">
        <f>IF(ISNUMBER(Récap1!AM75),Récap1!AM75,V75/V$118*W$118)</f>
        <v>166.19693959504676</v>
      </c>
      <c r="Y75" s="621">
        <f>IF(ISNUMBER(Récap1!X75),Récap1!X75/H$117,Récap1!X75)</f>
        <v>239.85055862379866</v>
      </c>
      <c r="Z75" s="1894">
        <f>IF(ISNUMBER(Récap1!Y75),Récap1!Y75/I$117,Récap1!Y75)</f>
        <v>705.39936381158907</v>
      </c>
      <c r="AA75" s="282"/>
      <c r="AB75" s="282"/>
      <c r="AC75" s="1091">
        <f>IF(ISNUMBER(Récap1!AB75),Récap1!AB75/L$117,Récap1!AB75)</f>
        <v>1060.0502322295401</v>
      </c>
      <c r="AD75" s="282"/>
      <c r="AE75" s="282"/>
      <c r="AF75" s="282"/>
      <c r="AG75" s="1894"/>
      <c r="AH75" s="282">
        <f>IF(ISNUMBER(Récap1!AG75),Récap1!AG75/Q$117,Récap1!AG75)</f>
        <v>14162.75929908501</v>
      </c>
      <c r="AI75" s="282">
        <f>IF(ISNUMBER(Récap1!AH75),Récap1!AH75/R$117,Récap1!AH75)</f>
        <v>18319.906632732112</v>
      </c>
      <c r="AJ75" s="1894">
        <f>IF(ISNUMBER(Récap1!AI75),Récap1!AI75/S$117,Récap1!AI75)</f>
        <v>4623.2962124969117</v>
      </c>
      <c r="AK75" s="282"/>
      <c r="AL75" s="282"/>
      <c r="AM75" s="282"/>
      <c r="AN75" s="1919"/>
      <c r="AO75" s="1117">
        <f t="shared" ref="AO75:AO82" si="32">IF(MIN(AC75:AJ75)&gt;0,MIN(AC75:AJ75),Z75)</f>
        <v>1060.0502322295401</v>
      </c>
      <c r="AP75" s="1069">
        <f>SUMIF(Récap1!X75:Y75,"&gt;0",H$117:I$117)+IF(ISNUMBER(Récap1!AB75),L$117,0)+SUMIF(Récap1!AG75:AI75,"&gt;0",Q$117:S$117)</f>
        <v>1</v>
      </c>
      <c r="AQ75" s="1147">
        <f t="shared" ref="AQ75:AQ81" si="33">IF(MIN(Y75:AJ75)&gt;0,(IF(ISNUMBER(Y75),Y75*H$117,0)+IF(ISNUMBER(Z75),Z75*I$117,0)+IF(ISNUMBER(AC75),AC75*L$117,0)+IF(ISNUMBER(AH75),AH75*Q$117,0)+IF(ISNUMBER(AI75),AI75*R$117,0)+IF(ISNUMBER(AJ75),AJ75*S$117,0))/(IF(ISNUMBER(Y75),H$117,0)+IF(ISNUMBER(Z75),I$117,0)+IF(ISNUMBER(AC75),L$117,0)+IF(ISNUMBER(AH75),Q$117,0)+IF(ISNUMBER(AI75),R$117,0)+IF(ISNUMBER(AJ75),S$117,0)),Z75)</f>
        <v>10243.215973654162</v>
      </c>
      <c r="AR75" s="1910">
        <f t="shared" ref="AR75:AR82" si="34">SUM(H75:I75,L75:L75,Q75:S75)</f>
        <v>10243.215973654162</v>
      </c>
      <c r="AS75" s="621">
        <f>IF(ISNUMBER(Récap1!AC75),Récap1!AC75/M$118,Récap1!AC75)</f>
        <v>15650.65733469402</v>
      </c>
      <c r="AT75" s="282">
        <f>IF(ISNUMBER(Récap1!AD75),Récap1!AD75/N$118,Récap1!AD75)</f>
        <v>36833.306400522888</v>
      </c>
      <c r="AU75" s="282" t="str">
        <f>IF(ISNUMBER(Récap1!AE75),Récap1!AE75/O$118,Récap1!AE75)</f>
        <v>PVL</v>
      </c>
      <c r="AV75" s="282" t="str">
        <f>IF(ISNUMBER(Récap1!AF75),Récap1!AF75/P$118,Récap1!AF75)</f>
        <v>PVL</v>
      </c>
      <c r="AW75" s="282"/>
      <c r="AX75" s="282"/>
      <c r="AY75" s="282"/>
      <c r="AZ75" s="1971">
        <f>IF(ISNUMBER(Récap1!AJ75),Récap1!AJ75/T$118,Récap1!AJ75)</f>
        <v>6120.9360179461446</v>
      </c>
      <c r="BA75" s="282">
        <f>IF(ISNUMBER(Récap1!AK75),Récap1!AK75/U$118,Récap1!AK75)</f>
        <v>5595.1819579272942</v>
      </c>
      <c r="BB75" s="282" t="str">
        <f>IF(ISNUMBER(Récap1!AL75),Récap1!AL75/V$118,Récap1!AL75)</f>
        <v>PVL</v>
      </c>
      <c r="BC75" s="1894" t="str">
        <f>IF(ISNUMBER(Récap1!AM75),Récap1!AM75/W$118,Récap1!AM75)</f>
        <v>PVL</v>
      </c>
      <c r="BD75" s="1117">
        <f t="shared" ref="BD75:BD82" si="35">IF(MIN(AS75:BC75)&gt;0,MIN(AS75:BC75),"PVL")</f>
        <v>5595.1819579272942</v>
      </c>
      <c r="BE75" s="1080">
        <f>SUMIF(Récap1!AC75:AF75,"&gt;0",M$118:P$118)+SUMIF(Récap1!AJ75:AM75,"&gt;0",T$118:W$118)</f>
        <v>0.68160323968664671</v>
      </c>
      <c r="BF75" s="1920">
        <f t="shared" ref="BF75:BF82" si="36">IF(MIN(AS75:BC75)&gt;0,(IF(ISNUMBER(AS75),AS75*M$118,0)+IF(ISNUMBER(AT75),AT75*N$118,0)+IF(ISNUMBER(AU75),AU75*O$118,0)+IF(ISNUMBER(AV75),AV75*P$118,0)+IF(ISNUMBER(AZ75),AZ75*T$118,0)+IF(ISNUMBER(BA75),BA75*U$118,0)+IF(ISNUMBER(BB75),BB75*V$118,0)+IF(ISNUMBER(BC75),BC75*W$118,0))/(IF(ISNUMBER(AS75),M$118,0)+IF(ISNUMBER(AT75),N$118,0)+IF(ISNUMBER(AU75),O$118,0)+IF(ISNUMBER(AV75),P$118,0)+IF(ISNUMBER(AZ75),T$118,0)+IF(ISNUMBER(BA75),U$118,0)+IF(ISNUMBER(BB75),V$118,0)+IF(ISNUMBER(BC75),W$118,0)),"PVL")</f>
        <v>9300.4786263311271</v>
      </c>
      <c r="BG75" s="1918">
        <f t="shared" ref="BG75:BG82" si="37">SUM(M75:P75,T75:W75)</f>
        <v>8319.4157367969401</v>
      </c>
      <c r="BH75" s="77"/>
      <c r="BI75" s="56">
        <f t="shared" ref="BI75:BJ82" si="38">SUM(Q75:Q75)+SUM(H75:H75)</f>
        <v>4816.2877828625287</v>
      </c>
      <c r="BJ75" s="56">
        <f t="shared" si="38"/>
        <v>4909.7246633872473</v>
      </c>
      <c r="BK75" s="56">
        <f t="shared" ref="BK75:BO82" si="39">SUM(S75:S75)+SUM(L75:L75)</f>
        <v>517.20352740438614</v>
      </c>
      <c r="BL75" s="870">
        <f t="shared" si="39"/>
        <v>1414.0037717997884</v>
      </c>
      <c r="BM75" s="56">
        <f t="shared" si="39"/>
        <v>4925.2325905439211</v>
      </c>
      <c r="BN75" s="56">
        <f t="shared" si="39"/>
        <v>1812.3831770734471</v>
      </c>
      <c r="BO75" s="57">
        <f t="shared" si="39"/>
        <v>167.79619737978226</v>
      </c>
    </row>
    <row r="76" spans="1:69" s="495" customFormat="1" ht="13.5" thickBot="1">
      <c r="A76" s="398"/>
      <c r="B76" s="492"/>
      <c r="C76" s="985"/>
      <c r="D76" s="987"/>
      <c r="E76" s="619" t="s">
        <v>985</v>
      </c>
      <c r="F76" s="493" t="s">
        <v>19</v>
      </c>
      <c r="G76" s="584" t="s">
        <v>20</v>
      </c>
      <c r="H76" s="343">
        <f>Récap1!X76</f>
        <v>2.7474192261642125</v>
      </c>
      <c r="I76" s="343">
        <f>Récap1!Y76</f>
        <v>96.184299750885145</v>
      </c>
      <c r="J76" s="343">
        <f>Récap1!Z76</f>
        <v>36.624763636363639</v>
      </c>
      <c r="K76" s="346" t="str">
        <f>Récap1!AA76</f>
        <v>PVL</v>
      </c>
      <c r="L76" s="343">
        <f>IF(ISNUMBER(Récap1!AB76),Récap1!AB76,I76/I$117*L$117)</f>
        <v>126.0299739206294</v>
      </c>
      <c r="M76" s="874">
        <f>IF(ISNUMBER(Récap1!AC76),Récap1!AC76,L76/L$118*M$118)</f>
        <v>16.647114731636385</v>
      </c>
      <c r="N76" s="343">
        <f>IF(ISNUMBER(Récap1!AD76),Récap1!AD76,M76/M$118*N$118)</f>
        <v>29.607831275940278</v>
      </c>
      <c r="O76" s="343">
        <f>IF(ISNUMBER(Récap1!AE76),Récap1!AE76,N76/N$118*O$118)</f>
        <v>2.8113591099482775</v>
      </c>
      <c r="P76" s="875">
        <f>IF(ISNUMBER(Récap1!AF76),Récap1!AF76,O76/O$118*P$118)</f>
        <v>1.9322992500812663E-2</v>
      </c>
      <c r="Q76" s="343">
        <f>IF(ISNUMBER(Récap1!AG76),Récap1!AG76,I76/I$117*Q$117)</f>
        <v>239.74624142696982</v>
      </c>
      <c r="R76" s="343">
        <f>IF(ISNUMBER(Récap1!AH76),Récap1!AH76,Q76/Q$117*R$117)</f>
        <v>185.34310126470973</v>
      </c>
      <c r="S76" s="343">
        <f>IF(ISNUMBER(Récap1!AI76),Récap1!AI76,R76/R$117*S$117)</f>
        <v>50.015600437773628</v>
      </c>
      <c r="T76" s="874">
        <f>IF(ISNUMBER(Récap1!AJ76),Récap1!AJ76,S76/S$118*T$118)</f>
        <v>11.444976489768178</v>
      </c>
      <c r="U76" s="343">
        <f>IF(ISNUMBER(Récap1!AK76),Récap1!AK76,T76/T$118*U$118)</f>
        <v>37.395520537930352</v>
      </c>
      <c r="V76" s="343">
        <f>IF(ISNUMBER(Récap1!AL76),Récap1!AL76,U76/U$118*V$118)</f>
        <v>23.870560393342576</v>
      </c>
      <c r="W76" s="343">
        <f>IF(ISNUMBER(Récap1!AM76),Récap1!AM76,V76/V$118*W$118)</f>
        <v>2.5113679373767974</v>
      </c>
      <c r="Y76" s="1884">
        <f>IF(ISNUMBER(Récap1!X76),Récap1!X76/H$117,Récap1!X76)</f>
        <v>239.85055862379866</v>
      </c>
      <c r="Z76" s="1895">
        <f>IF(ISNUMBER(Récap1!Y76),Récap1!Y76/I$117,Récap1!Y76)</f>
        <v>705.39936381158907</v>
      </c>
      <c r="AA76" s="1104"/>
      <c r="AB76" s="1104"/>
      <c r="AC76" s="1092" t="str">
        <f>IF(ISNUMBER(Récap1!AB76),Récap1!AB76/L$117,Récap1!AB76)</f>
        <v>PVL</v>
      </c>
      <c r="AD76" s="1104"/>
      <c r="AE76" s="1104"/>
      <c r="AF76" s="1104"/>
      <c r="AG76" s="1895"/>
      <c r="AH76" s="1104" t="str">
        <f>IF(ISNUMBER(Récap1!AG76),Récap1!AG76/Q$117,Récap1!AG76)</f>
        <v>PVL</v>
      </c>
      <c r="AI76" s="1104" t="str">
        <f>IF(ISNUMBER(Récap1!AH76),Récap1!AH76/R$117,Récap1!AH76)</f>
        <v>PVL</v>
      </c>
      <c r="AJ76" s="1895" t="str">
        <f>IF(ISNUMBER(Récap1!AI76),Récap1!AI76/S$117,Récap1!AI76)</f>
        <v>PVL</v>
      </c>
      <c r="AK76" s="1104"/>
      <c r="AL76" s="1104"/>
      <c r="AM76" s="1104"/>
      <c r="AN76" s="1135"/>
      <c r="AO76" s="1104">
        <f t="shared" si="32"/>
        <v>705.39936381158907</v>
      </c>
      <c r="AP76" s="1069">
        <f>SUMIF(Récap1!X76:Y76,"&gt;0",H$117:I$117)+IF(ISNUMBER(Récap1!AB76),L$117,0)+SUMIF(Récap1!AG76:AI76,"&gt;0",Q$117:S$117)</f>
        <v>0.14780910234752553</v>
      </c>
      <c r="AQ76" s="1148">
        <f t="shared" si="33"/>
        <v>669.32088353018514</v>
      </c>
      <c r="AR76" s="1104">
        <f t="shared" si="34"/>
        <v>700.06663602713195</v>
      </c>
      <c r="AS76" s="1884" t="str">
        <f>IF(ISNUMBER(Récap1!AC76),Récap1!AC76/M$118,Récap1!AC76)</f>
        <v>PVL</v>
      </c>
      <c r="AT76" s="1104" t="str">
        <f>IF(ISNUMBER(Récap1!AD76),Récap1!AD76/N$118,Récap1!AD76)</f>
        <v>PVL</v>
      </c>
      <c r="AU76" s="1104" t="str">
        <f>IF(ISNUMBER(Récap1!AE76),Récap1!AE76/O$118,Récap1!AE76)</f>
        <v>PVL</v>
      </c>
      <c r="AV76" s="1104" t="str">
        <f>IF(ISNUMBER(Récap1!AF76),Récap1!AF76/P$118,Récap1!AF76)</f>
        <v>PVL</v>
      </c>
      <c r="AW76" s="1104"/>
      <c r="AX76" s="1104"/>
      <c r="AY76" s="1104"/>
      <c r="AZ76" s="1973" t="str">
        <f>IF(ISNUMBER(Récap1!AJ76),Récap1!AJ76/T$118,Récap1!AJ76)</f>
        <v>PVL</v>
      </c>
      <c r="BA76" s="1104" t="str">
        <f>IF(ISNUMBER(Récap1!AK76),Récap1!AK76/U$118,Récap1!AK76)</f>
        <v>PVL</v>
      </c>
      <c r="BB76" s="1104" t="str">
        <f>IF(ISNUMBER(Récap1!AL76),Récap1!AL76/V$118,Récap1!AL76)</f>
        <v>PVL</v>
      </c>
      <c r="BC76" s="1895" t="str">
        <f>IF(ISNUMBER(Récap1!AM76),Récap1!AM76/W$118,Récap1!AM76)</f>
        <v>PVL</v>
      </c>
      <c r="BD76" s="1104" t="str">
        <f t="shared" si="35"/>
        <v>PVL</v>
      </c>
      <c r="BE76" s="1080">
        <f>SUMIF(Récap1!AC76:AF76,"&gt;0",M$118:P$118)+SUMIF(Récap1!AJ76:AM76,"&gt;0",T$118:W$118)</f>
        <v>0</v>
      </c>
      <c r="BF76" s="1135" t="str">
        <f t="shared" si="36"/>
        <v>PVL</v>
      </c>
      <c r="BG76" s="920">
        <f t="shared" si="37"/>
        <v>124.30805346844366</v>
      </c>
      <c r="BH76" s="919"/>
      <c r="BI76" s="343">
        <f t="shared" si="38"/>
        <v>242.49366065313404</v>
      </c>
      <c r="BJ76" s="343">
        <f t="shared" si="38"/>
        <v>281.52740101559488</v>
      </c>
      <c r="BK76" s="343">
        <f t="shared" si="39"/>
        <v>176.04557435840303</v>
      </c>
      <c r="BL76" s="874">
        <f t="shared" si="39"/>
        <v>28.092091221404566</v>
      </c>
      <c r="BM76" s="343">
        <f t="shared" si="39"/>
        <v>67.003351813870637</v>
      </c>
      <c r="BN76" s="343">
        <f t="shared" si="39"/>
        <v>26.681919503290853</v>
      </c>
      <c r="BO76" s="346">
        <f t="shared" si="39"/>
        <v>2.5306909298776099</v>
      </c>
      <c r="BP76" s="1064">
        <f>SUM(BI76:BK76)</f>
        <v>700.06663602713184</v>
      </c>
      <c r="BQ76" s="1064">
        <f>SUM(BL76:BO76)</f>
        <v>124.30805346844366</v>
      </c>
    </row>
    <row r="77" spans="1:69" s="742" customFormat="1" ht="13.5" hidden="1" customHeight="1" thickBot="1">
      <c r="A77" s="732"/>
      <c r="B77" s="733"/>
      <c r="C77" s="65"/>
      <c r="D77" s="803"/>
      <c r="E77" s="736" t="s">
        <v>476</v>
      </c>
      <c r="F77" s="797" t="s">
        <v>93</v>
      </c>
      <c r="G77" s="798" t="s">
        <v>24</v>
      </c>
      <c r="H77" s="740">
        <f>Récap1!X77</f>
        <v>2376.1237053616665</v>
      </c>
      <c r="I77" s="740">
        <f>Récap1!Y77</f>
        <v>57652.542026547257</v>
      </c>
      <c r="J77" s="740">
        <f>Récap1!Z77</f>
        <v>13000.799391486573</v>
      </c>
      <c r="K77" s="741" t="str">
        <f>Récap1!AA77</f>
        <v>PVL</v>
      </c>
      <c r="L77" s="740">
        <f>IF(ISNUMBER(Récap1!AB77),Récap1!AB77,I77/I$117*L$117)</f>
        <v>75541.937581105856</v>
      </c>
      <c r="M77" s="878">
        <f>IF(ISNUMBER(Récap1!AC77),Récap1!AC77,L77/L$118*M$118)</f>
        <v>9978.2239323064623</v>
      </c>
      <c r="N77" s="740">
        <f>IF(ISNUMBER(Récap1!AD77),Récap1!AD77,M77/M$118*N$118)</f>
        <v>17746.8333332162</v>
      </c>
      <c r="O77" s="740">
        <f>IF(ISNUMBER(Récap1!AE77),Récap1!AE77,N77/N$118*O$118)</f>
        <v>1685.1190855243294</v>
      </c>
      <c r="P77" s="879">
        <f>IF(ISNUMBER(Récap1!AF77),Récap1!AF77,O77/O$118*P$118)</f>
        <v>11.582135963114997</v>
      </c>
      <c r="Q77" s="740">
        <f>IF(ISNUMBER(Récap1!AG77),Récap1!AG77,I77/I$117*Q$117)</f>
        <v>143703.08143193531</v>
      </c>
      <c r="R77" s="740">
        <f>IF(ISNUMBER(Récap1!AH77),Récap1!AH77,Q77/Q$117*R$117)</f>
        <v>111094.02431238211</v>
      </c>
      <c r="S77" s="740">
        <f>IF(ISNUMBER(Récap1!AI77),Récap1!AI77,R77/R$117*S$117)</f>
        <v>29979.180736253205</v>
      </c>
      <c r="T77" s="878">
        <f>IF(ISNUMBER(Récap1!AJ77),Récap1!AJ77,S77/S$118*T$118)</f>
        <v>6860.079969164959</v>
      </c>
      <c r="U77" s="740">
        <f>IF(ISNUMBER(Récap1!AK77),Récap1!AK77,T77/T$118*U$118)</f>
        <v>22414.747781098242</v>
      </c>
      <c r="V77" s="740">
        <f>IF(ISNUMBER(Récap1!AL77),Récap1!AL77,U77/U$118*V$118)</f>
        <v>14307.932685882583</v>
      </c>
      <c r="W77" s="740">
        <f>IF(ISNUMBER(Récap1!AM77),Récap1!AM77,V77/V$118*W$118)</f>
        <v>1505.3053973333804</v>
      </c>
      <c r="Y77" s="1885">
        <f>IF(ISNUMBER(Récap1!X77),Récap1!X77/H$117,Récap1!X77)</f>
        <v>207436.34341014925</v>
      </c>
      <c r="Z77" s="1896">
        <f>IF(ISNUMBER(Récap1!Y77),Récap1!Y77/I$117,Récap1!Y77)</f>
        <v>422813.97871561762</v>
      </c>
      <c r="AA77" s="1944"/>
      <c r="AB77" s="1944"/>
      <c r="AC77" s="1093" t="str">
        <f>IF(ISNUMBER(Récap1!AB77),Récap1!AB77/L$117,Récap1!AB77)</f>
        <v>PVL</v>
      </c>
      <c r="AD77" s="1944"/>
      <c r="AE77" s="1944"/>
      <c r="AF77" s="1944"/>
      <c r="AG77" s="1896"/>
      <c r="AH77" s="1944" t="str">
        <f>IF(ISNUMBER(Récap1!AG77),Récap1!AG77/Q$117,Récap1!AG77)</f>
        <v>PVL</v>
      </c>
      <c r="AI77" s="1944" t="str">
        <f>IF(ISNUMBER(Récap1!AH77),Récap1!AH77/R$117,Récap1!AH77)</f>
        <v>PVL</v>
      </c>
      <c r="AJ77" s="1896" t="str">
        <f>IF(ISNUMBER(Récap1!AI77),Récap1!AI77/S$117,Récap1!AI77)</f>
        <v>PVL</v>
      </c>
      <c r="AK77" s="1944"/>
      <c r="AL77" s="1944"/>
      <c r="AM77" s="1944"/>
      <c r="AN77" s="1945"/>
      <c r="AO77" s="1121">
        <f t="shared" si="32"/>
        <v>422813.97871561762</v>
      </c>
      <c r="AP77" s="1070">
        <f>SUMIF(Récap1!X77:Y77,"&gt;0",H$117:I$117)+IF(ISNUMBER(Récap1!AB77),L$117,0)+SUMIF(Récap1!AG77:AI77,"&gt;0",Q$117:S$117)</f>
        <v>0.14780910234752553</v>
      </c>
      <c r="AQ77" s="1149">
        <f t="shared" si="33"/>
        <v>406122.93003965908</v>
      </c>
      <c r="AR77" s="1911">
        <f t="shared" si="34"/>
        <v>420346.8897935854</v>
      </c>
      <c r="AS77" s="1885" t="str">
        <f>IF(ISNUMBER(Récap1!AC77),Récap1!AC77/M$118,Récap1!AC77)</f>
        <v>PVL</v>
      </c>
      <c r="AT77" s="1944" t="str">
        <f>IF(ISNUMBER(Récap1!AD77),Récap1!AD77/N$118,Récap1!AD77)</f>
        <v>PVL</v>
      </c>
      <c r="AU77" s="1944" t="str">
        <f>IF(ISNUMBER(Récap1!AE77),Récap1!AE77/O$118,Récap1!AE77)</f>
        <v>PVL</v>
      </c>
      <c r="AV77" s="1944" t="str">
        <f>IF(ISNUMBER(Récap1!AF77),Récap1!AF77/P$118,Récap1!AF77)</f>
        <v>PVL</v>
      </c>
      <c r="AW77" s="1944"/>
      <c r="AX77" s="1944"/>
      <c r="AY77" s="1944"/>
      <c r="AZ77" s="1977" t="str">
        <f>IF(ISNUMBER(Récap1!AJ77),Récap1!AJ77/T$118,Récap1!AJ77)</f>
        <v>PVL</v>
      </c>
      <c r="BA77" s="1944" t="str">
        <f>IF(ISNUMBER(Récap1!AK77),Récap1!AK77/U$118,Récap1!AK77)</f>
        <v>PVL</v>
      </c>
      <c r="BB77" s="1944" t="str">
        <f>IF(ISNUMBER(Récap1!AL77),Récap1!AL77/V$118,Récap1!AL77)</f>
        <v>PVL</v>
      </c>
      <c r="BC77" s="1896" t="str">
        <f>IF(ISNUMBER(Récap1!AM77),Récap1!AM77/W$118,Récap1!AM77)</f>
        <v>PVL</v>
      </c>
      <c r="BD77" s="1121" t="str">
        <f t="shared" si="35"/>
        <v>PVL</v>
      </c>
      <c r="BE77" s="1081">
        <f>SUMIF(Récap1!AC77:AF77,"&gt;0",M$118:P$118)+SUMIF(Récap1!AJ77:AM77,"&gt;0",T$118:W$118)</f>
        <v>0</v>
      </c>
      <c r="BF77" s="1978" t="str">
        <f t="shared" si="36"/>
        <v>PVL</v>
      </c>
      <c r="BG77" s="978">
        <f t="shared" si="37"/>
        <v>74509.824320489264</v>
      </c>
      <c r="BH77" s="743"/>
      <c r="BI77" s="740">
        <f t="shared" si="38"/>
        <v>146079.20513729699</v>
      </c>
      <c r="BJ77" s="740">
        <f t="shared" si="38"/>
        <v>168746.56633892938</v>
      </c>
      <c r="BK77" s="740">
        <f t="shared" si="39"/>
        <v>105521.11831735907</v>
      </c>
      <c r="BL77" s="878">
        <f t="shared" si="39"/>
        <v>16838.303901471423</v>
      </c>
      <c r="BM77" s="740">
        <f t="shared" si="39"/>
        <v>40161.581114314438</v>
      </c>
      <c r="BN77" s="740">
        <f t="shared" si="39"/>
        <v>15993.051771406912</v>
      </c>
      <c r="BO77" s="741">
        <f t="shared" si="39"/>
        <v>1516.8875332964953</v>
      </c>
    </row>
    <row r="78" spans="1:69" s="782" customFormat="1" ht="14.25" hidden="1" customHeight="1" thickBot="1">
      <c r="A78" s="1592"/>
      <c r="B78" s="245"/>
      <c r="C78" s="777"/>
      <c r="D78" s="803"/>
      <c r="E78" s="853" t="s">
        <v>953</v>
      </c>
      <c r="F78" s="799" t="s">
        <v>19</v>
      </c>
      <c r="G78" s="1615" t="s">
        <v>20</v>
      </c>
      <c r="H78" s="781" t="str">
        <f>Récap1!X78</f>
        <v>PVL</v>
      </c>
      <c r="I78" s="781" t="str">
        <f>Récap1!Y78</f>
        <v>PVL</v>
      </c>
      <c r="J78" s="781" t="str">
        <f>Récap1!Z78</f>
        <v>PVL</v>
      </c>
      <c r="K78" s="608">
        <f>Récap1!AA78</f>
        <v>51.681819754531617</v>
      </c>
      <c r="L78" s="781" t="e">
        <f>IF(ISNUMBER(Récap1!AB78),Récap1!AB78,I78/I$117*L$117)</f>
        <v>#VALUE!</v>
      </c>
      <c r="M78" s="880" t="e">
        <f>IF(ISNUMBER(Récap1!AC78),Récap1!AC78,L78/L$118*M$118)</f>
        <v>#VALUE!</v>
      </c>
      <c r="N78" s="781" t="e">
        <f>IF(ISNUMBER(Récap1!AD78),Récap1!AD78,M78/M$118*N$118)</f>
        <v>#VALUE!</v>
      </c>
      <c r="O78" s="781" t="e">
        <f>IF(ISNUMBER(Récap1!AE78),Récap1!AE78,N78/N$118*O$118)</f>
        <v>#VALUE!</v>
      </c>
      <c r="P78" s="881" t="e">
        <f>IF(ISNUMBER(Récap1!AF78),Récap1!AF78,O78/O$118*P$118)</f>
        <v>#VALUE!</v>
      </c>
      <c r="Q78" s="781" t="e">
        <f>IF(ISNUMBER(Récap1!AG78),Récap1!AG78,I78/I$117*Q$117)</f>
        <v>#VALUE!</v>
      </c>
      <c r="R78" s="781" t="e">
        <f>IF(ISNUMBER(Récap1!AH78),Récap1!AH78,Q78/Q$117*R$117)</f>
        <v>#VALUE!</v>
      </c>
      <c r="S78" s="781" t="e">
        <f>IF(ISNUMBER(Récap1!AI78),Récap1!AI78,R78/R$117*S$117)</f>
        <v>#VALUE!</v>
      </c>
      <c r="T78" s="880" t="e">
        <f>IF(ISNUMBER(Récap1!AJ78),Récap1!AJ78,S78/S$118*T$118)</f>
        <v>#VALUE!</v>
      </c>
      <c r="U78" s="781" t="e">
        <f>IF(ISNUMBER(Récap1!AK78),Récap1!AK78,T78/T$118*U$118)</f>
        <v>#VALUE!</v>
      </c>
      <c r="V78" s="781" t="e">
        <f>IF(ISNUMBER(Récap1!AL78),Récap1!AL78,U78/U$118*V$118)</f>
        <v>#VALUE!</v>
      </c>
      <c r="W78" s="781" t="e">
        <f>IF(ISNUMBER(Récap1!AM78),Récap1!AM78,V78/V$118*W$118)</f>
        <v>#VALUE!</v>
      </c>
      <c r="Y78" s="1886" t="str">
        <f>IF(ISNUMBER(Récap1!X78),Récap1!X78/H$117,Récap1!X78)</f>
        <v>PVL</v>
      </c>
      <c r="Z78" s="1897" t="str">
        <f>IF(ISNUMBER(Récap1!Y78),Récap1!Y78/I$117,Récap1!Y78)</f>
        <v>PVL</v>
      </c>
      <c r="AA78" s="1086"/>
      <c r="AB78" s="1086"/>
      <c r="AC78" s="1094" t="str">
        <f>IF(ISNUMBER(Récap1!AB78),Récap1!AB78/L$117,Récap1!AB78)</f>
        <v>PVL</v>
      </c>
      <c r="AD78" s="1086"/>
      <c r="AE78" s="1086"/>
      <c r="AF78" s="1086"/>
      <c r="AG78" s="1897"/>
      <c r="AH78" s="1086" t="str">
        <f>IF(ISNUMBER(Récap1!AG78),Récap1!AG78/Q$117,Récap1!AG78)</f>
        <v>PVL</v>
      </c>
      <c r="AI78" s="1086" t="str">
        <f>IF(ISNUMBER(Récap1!AH78),Récap1!AH78/R$117,Récap1!AH78)</f>
        <v>PVL</v>
      </c>
      <c r="AJ78" s="1897" t="str">
        <f>IF(ISNUMBER(Récap1!AI78),Récap1!AI78/S$117,Récap1!AI78)</f>
        <v>PVL</v>
      </c>
      <c r="AK78" s="1086"/>
      <c r="AL78" s="1086"/>
      <c r="AM78" s="1086"/>
      <c r="AN78" s="1946"/>
      <c r="AO78" s="1122" t="str">
        <f t="shared" si="32"/>
        <v>PVL</v>
      </c>
      <c r="AP78" s="1071">
        <f>SUMIF(Récap1!X78:Y78,"&gt;0",H$117:I$117)+IF(ISNUMBER(Récap1!AB78),L$117,0)+SUMIF(Récap1!AG78:AI78,"&gt;0",Q$117:S$117)</f>
        <v>0</v>
      </c>
      <c r="AQ78" s="1150" t="str">
        <f t="shared" si="33"/>
        <v>PVL</v>
      </c>
      <c r="AR78" s="1089" t="e">
        <f t="shared" si="34"/>
        <v>#VALUE!</v>
      </c>
      <c r="AS78" s="1886" t="str">
        <f>IF(ISNUMBER(Récap1!AC78),Récap1!AC78/M$118,Récap1!AC78)</f>
        <v>PVL</v>
      </c>
      <c r="AT78" s="1086" t="str">
        <f>IF(ISNUMBER(Récap1!AD78),Récap1!AD78/N$118,Récap1!AD78)</f>
        <v>PVL</v>
      </c>
      <c r="AU78" s="1086" t="str">
        <f>IF(ISNUMBER(Récap1!AE78),Récap1!AE78/O$118,Récap1!AE78)</f>
        <v>PVL</v>
      </c>
      <c r="AV78" s="1086" t="str">
        <f>IF(ISNUMBER(Récap1!AF78),Récap1!AF78/P$118,Récap1!AF78)</f>
        <v>PVL</v>
      </c>
      <c r="AW78" s="1086"/>
      <c r="AX78" s="1086"/>
      <c r="AY78" s="1086"/>
      <c r="AZ78" s="1979" t="str">
        <f>IF(ISNUMBER(Récap1!AJ78),Récap1!AJ78/T$118,Récap1!AJ78)</f>
        <v>PVL</v>
      </c>
      <c r="BA78" s="1086" t="str">
        <f>IF(ISNUMBER(Récap1!AK78),Récap1!AK78/U$118,Récap1!AK78)</f>
        <v>PVL</v>
      </c>
      <c r="BB78" s="1086" t="str">
        <f>IF(ISNUMBER(Récap1!AL78),Récap1!AL78/V$118,Récap1!AL78)</f>
        <v>PVL</v>
      </c>
      <c r="BC78" s="1897" t="str">
        <f>IF(ISNUMBER(Récap1!AM78),Récap1!AM78/W$118,Récap1!AM78)</f>
        <v>PVL</v>
      </c>
      <c r="BD78" s="1122" t="str">
        <f t="shared" si="35"/>
        <v>PVL</v>
      </c>
      <c r="BE78" s="1082">
        <f>SUMIF(Récap1!AC78:AF78,"&gt;0",M$118:P$118)+SUMIF(Récap1!AJ78:AM78,"&gt;0",T$118:W$118)</f>
        <v>0</v>
      </c>
      <c r="BF78" s="1980" t="str">
        <f t="shared" si="36"/>
        <v>PVL</v>
      </c>
      <c r="BG78" s="979" t="e">
        <f t="shared" si="37"/>
        <v>#VALUE!</v>
      </c>
      <c r="BH78" s="921"/>
      <c r="BI78" s="781" t="e">
        <f t="shared" si="38"/>
        <v>#VALUE!</v>
      </c>
      <c r="BJ78" s="781" t="e">
        <f t="shared" si="38"/>
        <v>#VALUE!</v>
      </c>
      <c r="BK78" s="781" t="e">
        <f t="shared" si="39"/>
        <v>#VALUE!</v>
      </c>
      <c r="BL78" s="880" t="e">
        <f t="shared" si="39"/>
        <v>#VALUE!</v>
      </c>
      <c r="BM78" s="781" t="e">
        <f t="shared" si="39"/>
        <v>#VALUE!</v>
      </c>
      <c r="BN78" s="781" t="e">
        <f t="shared" si="39"/>
        <v>#VALUE!</v>
      </c>
      <c r="BO78" s="608" t="e">
        <f t="shared" si="39"/>
        <v>#VALUE!</v>
      </c>
    </row>
    <row r="79" spans="1:69" s="782" customFormat="1" ht="14.25" hidden="1" customHeight="1" thickBot="1">
      <c r="A79" s="1592"/>
      <c r="B79" s="245"/>
      <c r="C79" s="777"/>
      <c r="D79" s="803"/>
      <c r="E79" s="853" t="s">
        <v>983</v>
      </c>
      <c r="F79" s="799" t="s">
        <v>19</v>
      </c>
      <c r="G79" s="1615" t="s">
        <v>20</v>
      </c>
      <c r="H79" s="781" t="str">
        <f>Récap1!X79</f>
        <v>PVL</v>
      </c>
      <c r="I79" s="781" t="str">
        <f>Récap1!Y79</f>
        <v>PVL</v>
      </c>
      <c r="J79" s="781" t="str">
        <f>Récap1!Z79</f>
        <v>PVL</v>
      </c>
      <c r="K79" s="608">
        <f>Récap1!AA79</f>
        <v>98.600352296288179</v>
      </c>
      <c r="L79" s="781" t="e">
        <f>IF(ISNUMBER(Récap1!AB79),Récap1!AB79,I79/I$117*L$117)</f>
        <v>#VALUE!</v>
      </c>
      <c r="M79" s="880" t="e">
        <f>IF(ISNUMBER(Récap1!AC79),Récap1!AC79,L79/L$118*M$118)</f>
        <v>#VALUE!</v>
      </c>
      <c r="N79" s="781" t="e">
        <f>IF(ISNUMBER(Récap1!AD79),Récap1!AD79,M79/M$118*N$118)</f>
        <v>#VALUE!</v>
      </c>
      <c r="O79" s="781" t="e">
        <f>IF(ISNUMBER(Récap1!AE79),Récap1!AE79,N79/N$118*O$118)</f>
        <v>#VALUE!</v>
      </c>
      <c r="P79" s="881" t="e">
        <f>IF(ISNUMBER(Récap1!AF79),Récap1!AF79,O79/O$118*P$118)</f>
        <v>#VALUE!</v>
      </c>
      <c r="Q79" s="781" t="e">
        <f>IF(ISNUMBER(Récap1!AG79),Récap1!AG79,I79/I$117*Q$117)</f>
        <v>#VALUE!</v>
      </c>
      <c r="R79" s="781" t="e">
        <f>IF(ISNUMBER(Récap1!AH79),Récap1!AH79,Q79/Q$117*R$117)</f>
        <v>#VALUE!</v>
      </c>
      <c r="S79" s="781" t="e">
        <f>IF(ISNUMBER(Récap1!AI79),Récap1!AI79,R79/R$117*S$117)</f>
        <v>#VALUE!</v>
      </c>
      <c r="T79" s="880" t="e">
        <f>IF(ISNUMBER(Récap1!AJ79),Récap1!AJ79,S79/S$118*T$118)</f>
        <v>#VALUE!</v>
      </c>
      <c r="U79" s="781" t="e">
        <f>IF(ISNUMBER(Récap1!AK79),Récap1!AK79,T79/T$118*U$118)</f>
        <v>#VALUE!</v>
      </c>
      <c r="V79" s="781" t="e">
        <f>IF(ISNUMBER(Récap1!AL79),Récap1!AL79,U79/U$118*V$118)</f>
        <v>#VALUE!</v>
      </c>
      <c r="W79" s="781" t="e">
        <f>IF(ISNUMBER(Récap1!AM79),Récap1!AM79,V79/V$118*W$118)</f>
        <v>#VALUE!</v>
      </c>
      <c r="Y79" s="1886" t="str">
        <f>IF(ISNUMBER(Récap1!X79),Récap1!X79/H$117,Récap1!X79)</f>
        <v>PVL</v>
      </c>
      <c r="Z79" s="1897" t="str">
        <f>IF(ISNUMBER(Récap1!Y79),Récap1!Y79/I$117,Récap1!Y79)</f>
        <v>PVL</v>
      </c>
      <c r="AA79" s="1086"/>
      <c r="AB79" s="1086"/>
      <c r="AC79" s="1094" t="str">
        <f>IF(ISNUMBER(Récap1!AB79),Récap1!AB79/L$117,Récap1!AB79)</f>
        <v>PVL</v>
      </c>
      <c r="AD79" s="1086"/>
      <c r="AE79" s="1086"/>
      <c r="AF79" s="1086"/>
      <c r="AG79" s="1897"/>
      <c r="AH79" s="1086" t="str">
        <f>IF(ISNUMBER(Récap1!AG79),Récap1!AG79/Q$117,Récap1!AG79)</f>
        <v>PVL</v>
      </c>
      <c r="AI79" s="1086" t="str">
        <f>IF(ISNUMBER(Récap1!AH79),Récap1!AH79/R$117,Récap1!AH79)</f>
        <v>PVL</v>
      </c>
      <c r="AJ79" s="1897" t="str">
        <f>IF(ISNUMBER(Récap1!AI79),Récap1!AI79/S$117,Récap1!AI79)</f>
        <v>PVL</v>
      </c>
      <c r="AK79" s="1086"/>
      <c r="AL79" s="1086"/>
      <c r="AM79" s="1086"/>
      <c r="AN79" s="1946"/>
      <c r="AO79" s="1122" t="str">
        <f t="shared" si="32"/>
        <v>PVL</v>
      </c>
      <c r="AP79" s="1071">
        <f>SUMIF(Récap1!X79:Y79,"&gt;0",H$117:I$117)+IF(ISNUMBER(Récap1!AB79),L$117,0)+SUMIF(Récap1!AG79:AI79,"&gt;0",Q$117:S$117)</f>
        <v>0</v>
      </c>
      <c r="AQ79" s="1150" t="str">
        <f t="shared" si="33"/>
        <v>PVL</v>
      </c>
      <c r="AR79" s="1089" t="e">
        <f t="shared" si="34"/>
        <v>#VALUE!</v>
      </c>
      <c r="AS79" s="1886" t="str">
        <f>IF(ISNUMBER(Récap1!AC79),Récap1!AC79/M$118,Récap1!AC79)</f>
        <v>PVL</v>
      </c>
      <c r="AT79" s="1086" t="str">
        <f>IF(ISNUMBER(Récap1!AD79),Récap1!AD79/N$118,Récap1!AD79)</f>
        <v>PVL</v>
      </c>
      <c r="AU79" s="1086" t="str">
        <f>IF(ISNUMBER(Récap1!AE79),Récap1!AE79/O$118,Récap1!AE79)</f>
        <v>PVL</v>
      </c>
      <c r="AV79" s="1086" t="str">
        <f>IF(ISNUMBER(Récap1!AF79),Récap1!AF79/P$118,Récap1!AF79)</f>
        <v>PVL</v>
      </c>
      <c r="AW79" s="1086"/>
      <c r="AX79" s="1086"/>
      <c r="AY79" s="1086"/>
      <c r="AZ79" s="1979" t="str">
        <f>IF(ISNUMBER(Récap1!AJ79),Récap1!AJ79/T$118,Récap1!AJ79)</f>
        <v>PVL</v>
      </c>
      <c r="BA79" s="1086" t="str">
        <f>IF(ISNUMBER(Récap1!AK79),Récap1!AK79/U$118,Récap1!AK79)</f>
        <v>PVL</v>
      </c>
      <c r="BB79" s="1086" t="str">
        <f>IF(ISNUMBER(Récap1!AL79),Récap1!AL79/V$118,Récap1!AL79)</f>
        <v>PVL</v>
      </c>
      <c r="BC79" s="1897" t="str">
        <f>IF(ISNUMBER(Récap1!AM79),Récap1!AM79/W$118,Récap1!AM79)</f>
        <v>PVL</v>
      </c>
      <c r="BD79" s="1122" t="str">
        <f t="shared" si="35"/>
        <v>PVL</v>
      </c>
      <c r="BE79" s="1082">
        <f>SUMIF(Récap1!AC79:AF79,"&gt;0",M$118:P$118)+SUMIF(Récap1!AJ79:AM79,"&gt;0",T$118:W$118)</f>
        <v>0</v>
      </c>
      <c r="BF79" s="1980" t="str">
        <f t="shared" si="36"/>
        <v>PVL</v>
      </c>
      <c r="BG79" s="979" t="e">
        <f t="shared" si="37"/>
        <v>#VALUE!</v>
      </c>
      <c r="BH79" s="921"/>
      <c r="BI79" s="781" t="e">
        <f t="shared" si="38"/>
        <v>#VALUE!</v>
      </c>
      <c r="BJ79" s="781" t="e">
        <f t="shared" si="38"/>
        <v>#VALUE!</v>
      </c>
      <c r="BK79" s="781" t="e">
        <f t="shared" si="39"/>
        <v>#VALUE!</v>
      </c>
      <c r="BL79" s="880" t="e">
        <f t="shared" si="39"/>
        <v>#VALUE!</v>
      </c>
      <c r="BM79" s="781" t="e">
        <f t="shared" si="39"/>
        <v>#VALUE!</v>
      </c>
      <c r="BN79" s="781" t="e">
        <f t="shared" si="39"/>
        <v>#VALUE!</v>
      </c>
      <c r="BO79" s="608" t="e">
        <f t="shared" si="39"/>
        <v>#VALUE!</v>
      </c>
    </row>
    <row r="80" spans="1:69" s="998" customFormat="1" ht="13.5" hidden="1" customHeight="1" thickBot="1">
      <c r="A80" s="1593"/>
      <c r="B80" s="988"/>
      <c r="C80" s="989"/>
      <c r="D80" s="990"/>
      <c r="E80" s="991" t="s">
        <v>954</v>
      </c>
      <c r="F80" s="992" t="str">
        <f>ExpoRisk!F332</f>
        <v>Cs</v>
      </c>
      <c r="G80" s="1610" t="str">
        <f>ExpoRisk!G332</f>
        <v>mg/kg ms</v>
      </c>
      <c r="H80" s="994">
        <f>Récap1!X80</f>
        <v>2.7474192261642125</v>
      </c>
      <c r="I80" s="994">
        <f>Récap1!Y80</f>
        <v>96.184299750885145</v>
      </c>
      <c r="J80" s="994">
        <f>Récap1!Z80</f>
        <v>36.624763636363639</v>
      </c>
      <c r="K80" s="995">
        <f>Récap1!AA80</f>
        <v>51.681819754531617</v>
      </c>
      <c r="L80" s="994">
        <f>IF(ISNUMBER(Récap1!AB80),Récap1!AB80,I80/I$117*L$117)</f>
        <v>126.0299739206294</v>
      </c>
      <c r="M80" s="996">
        <f>IF(ISNUMBER(Récap1!AC80),Récap1!AC80,L80/L$118*M$118)</f>
        <v>16.647114731636385</v>
      </c>
      <c r="N80" s="994">
        <f>IF(ISNUMBER(Récap1!AD80),Récap1!AD80,M80/M$118*N$118)</f>
        <v>29.607831275940278</v>
      </c>
      <c r="O80" s="994">
        <f>IF(ISNUMBER(Récap1!AE80),Récap1!AE80,N80/N$118*O$118)</f>
        <v>2.8113591099482775</v>
      </c>
      <c r="P80" s="997">
        <f>IF(ISNUMBER(Récap1!AF80),Récap1!AF80,O80/O$118*P$118)</f>
        <v>1.9322992500812663E-2</v>
      </c>
      <c r="Q80" s="994">
        <f>IF(ISNUMBER(Récap1!AG80),Récap1!AG80,I80/I$117*Q$117)</f>
        <v>239.74624142696982</v>
      </c>
      <c r="R80" s="994">
        <f>IF(ISNUMBER(Récap1!AH80),Récap1!AH80,Q80/Q$117*R$117)</f>
        <v>185.34310126470973</v>
      </c>
      <c r="S80" s="994">
        <f>IF(ISNUMBER(Récap1!AI80),Récap1!AI80,R80/R$117*S$117)</f>
        <v>50.015600437773628</v>
      </c>
      <c r="T80" s="996">
        <f>IF(ISNUMBER(Récap1!AJ80),Récap1!AJ80,S80/S$118*T$118)</f>
        <v>11.444976489768178</v>
      </c>
      <c r="U80" s="994">
        <f>IF(ISNUMBER(Récap1!AK80),Récap1!AK80,T80/T$118*U$118)</f>
        <v>37.395520537930352</v>
      </c>
      <c r="V80" s="994">
        <f>IF(ISNUMBER(Récap1!AL80),Récap1!AL80,U80/U$118*V$118)</f>
        <v>23.870560393342576</v>
      </c>
      <c r="W80" s="994">
        <f>IF(ISNUMBER(Récap1!AM80),Récap1!AM80,V80/V$118*W$118)</f>
        <v>2.5113679373767974</v>
      </c>
      <c r="Y80" s="1887">
        <f>IF(ISNUMBER(Récap1!X80),Récap1!X80/H$117,Récap1!X80)</f>
        <v>239.85055862379866</v>
      </c>
      <c r="Z80" s="1898">
        <f>IF(ISNUMBER(Récap1!Y80),Récap1!Y80/I$117,Récap1!Y80)</f>
        <v>705.39936381158907</v>
      </c>
      <c r="AA80" s="1105"/>
      <c r="AB80" s="1105"/>
      <c r="AC80" s="1095" t="str">
        <f>IF(ISNUMBER(Récap1!AB80),Récap1!AB80/L$117,Récap1!AB80)</f>
        <v>PVL</v>
      </c>
      <c r="AD80" s="1105"/>
      <c r="AE80" s="1105"/>
      <c r="AF80" s="1105"/>
      <c r="AG80" s="1898"/>
      <c r="AH80" s="1105" t="str">
        <f>IF(ISNUMBER(Récap1!AG80),Récap1!AG80/Q$117,Récap1!AG80)</f>
        <v>PVL</v>
      </c>
      <c r="AI80" s="1105" t="str">
        <f>IF(ISNUMBER(Récap1!AH80),Récap1!AH80/R$117,Récap1!AH80)</f>
        <v>PVL</v>
      </c>
      <c r="AJ80" s="1898" t="str">
        <f>IF(ISNUMBER(Récap1!AI80),Récap1!AI80/S$117,Récap1!AI80)</f>
        <v>PVL</v>
      </c>
      <c r="AK80" s="1105"/>
      <c r="AL80" s="1105"/>
      <c r="AM80" s="1105"/>
      <c r="AN80" s="1138"/>
      <c r="AO80" s="1105">
        <f t="shared" si="32"/>
        <v>705.39936381158907</v>
      </c>
      <c r="AP80" s="1069">
        <f>SUMIF(Récap1!X80:Y80,"&gt;0",H$117:I$117)+IF(ISNUMBER(Récap1!AB80),L$117,0)+SUMIF(Récap1!AG80:AI80,"&gt;0",Q$117:S$117)</f>
        <v>0.14780910234752553</v>
      </c>
      <c r="AQ80" s="1151">
        <f t="shared" si="33"/>
        <v>669.32088353018514</v>
      </c>
      <c r="AR80" s="1105">
        <f t="shared" si="34"/>
        <v>700.06663602713195</v>
      </c>
      <c r="AS80" s="1887" t="str">
        <f>IF(ISNUMBER(Récap1!AC80),Récap1!AC80/M$118,Récap1!AC80)</f>
        <v>PVL</v>
      </c>
      <c r="AT80" s="1105" t="str">
        <f>IF(ISNUMBER(Récap1!AD80),Récap1!AD80/N$118,Récap1!AD80)</f>
        <v>PVL</v>
      </c>
      <c r="AU80" s="1105" t="str">
        <f>IF(ISNUMBER(Récap1!AE80),Récap1!AE80/O$118,Récap1!AE80)</f>
        <v>PVL</v>
      </c>
      <c r="AV80" s="1105" t="str">
        <f>IF(ISNUMBER(Récap1!AF80),Récap1!AF80/P$118,Récap1!AF80)</f>
        <v>PVL</v>
      </c>
      <c r="AW80" s="1105"/>
      <c r="AX80" s="1105"/>
      <c r="AY80" s="1105"/>
      <c r="AZ80" s="1981" t="str">
        <f>IF(ISNUMBER(Récap1!AJ80),Récap1!AJ80/T$118,Récap1!AJ80)</f>
        <v>PVL</v>
      </c>
      <c r="BA80" s="1105" t="str">
        <f>IF(ISNUMBER(Récap1!AK80),Récap1!AK80/U$118,Récap1!AK80)</f>
        <v>PVL</v>
      </c>
      <c r="BB80" s="1105" t="str">
        <f>IF(ISNUMBER(Récap1!AL80),Récap1!AL80/V$118,Récap1!AL80)</f>
        <v>PVL</v>
      </c>
      <c r="BC80" s="1898" t="str">
        <f>IF(ISNUMBER(Récap1!AM80),Récap1!AM80/W$118,Récap1!AM80)</f>
        <v>PVL</v>
      </c>
      <c r="BD80" s="1105" t="str">
        <f t="shared" si="35"/>
        <v>PVL</v>
      </c>
      <c r="BE80" s="1080">
        <f>SUMIF(Récap1!AC80:AF80,"&gt;0",M$118:P$118)+SUMIF(Récap1!AJ80:AM80,"&gt;0",T$118:W$118)</f>
        <v>0</v>
      </c>
      <c r="BF80" s="1138" t="str">
        <f t="shared" si="36"/>
        <v>PVL</v>
      </c>
      <c r="BG80" s="990">
        <f t="shared" si="37"/>
        <v>124.30805346844366</v>
      </c>
      <c r="BH80" s="999"/>
      <c r="BI80" s="994">
        <f t="shared" si="38"/>
        <v>242.49366065313404</v>
      </c>
      <c r="BJ80" s="994">
        <f t="shared" si="38"/>
        <v>281.52740101559488</v>
      </c>
      <c r="BK80" s="994">
        <f t="shared" si="39"/>
        <v>176.04557435840303</v>
      </c>
      <c r="BL80" s="996">
        <f t="shared" si="39"/>
        <v>28.092091221404566</v>
      </c>
      <c r="BM80" s="994">
        <f t="shared" si="39"/>
        <v>67.003351813870637</v>
      </c>
      <c r="BN80" s="994">
        <f t="shared" si="39"/>
        <v>26.681919503290853</v>
      </c>
      <c r="BO80" s="995">
        <f t="shared" si="39"/>
        <v>2.5306909298776099</v>
      </c>
    </row>
    <row r="81" spans="1:67" s="998" customFormat="1" ht="13.5" hidden="1" customHeight="1" thickBot="1">
      <c r="A81" s="1593"/>
      <c r="B81" s="988"/>
      <c r="C81" s="989"/>
      <c r="D81" s="990"/>
      <c r="E81" s="991" t="s">
        <v>984</v>
      </c>
      <c r="F81" s="992" t="s">
        <v>19</v>
      </c>
      <c r="G81" s="1610" t="s">
        <v>20</v>
      </c>
      <c r="H81" s="994">
        <f>Récap1!X81</f>
        <v>2.7474192261642125</v>
      </c>
      <c r="I81" s="994">
        <f>Récap1!Y81</f>
        <v>96.184299750885145</v>
      </c>
      <c r="J81" s="994">
        <f>Récap1!Z81</f>
        <v>36.624763636363639</v>
      </c>
      <c r="K81" s="995">
        <f>Récap1!AA81</f>
        <v>98.600352296288179</v>
      </c>
      <c r="L81" s="994">
        <f>IF(ISNUMBER(Récap1!AB81),Récap1!AB81,I81/I$117*L$117)</f>
        <v>126.0299739206294</v>
      </c>
      <c r="M81" s="996">
        <f>IF(ISNUMBER(Récap1!AC81),Récap1!AC81,L81/L$118*M$118)</f>
        <v>16.647114731636385</v>
      </c>
      <c r="N81" s="994">
        <f>IF(ISNUMBER(Récap1!AD81),Récap1!AD81,M81/M$118*N$118)</f>
        <v>29.607831275940278</v>
      </c>
      <c r="O81" s="994">
        <f>IF(ISNUMBER(Récap1!AE81),Récap1!AE81,N81/N$118*O$118)</f>
        <v>2.8113591099482775</v>
      </c>
      <c r="P81" s="997">
        <f>IF(ISNUMBER(Récap1!AF81),Récap1!AF81,O81/O$118*P$118)</f>
        <v>1.9322992500812663E-2</v>
      </c>
      <c r="Q81" s="994">
        <f>IF(ISNUMBER(Récap1!AG81),Récap1!AG81,I81/I$117*Q$117)</f>
        <v>239.74624142696982</v>
      </c>
      <c r="R81" s="994">
        <f>IF(ISNUMBER(Récap1!AH81),Récap1!AH81,Q81/Q$117*R$117)</f>
        <v>185.34310126470973</v>
      </c>
      <c r="S81" s="994">
        <f>IF(ISNUMBER(Récap1!AI81),Récap1!AI81,R81/R$117*S$117)</f>
        <v>50.015600437773628</v>
      </c>
      <c r="T81" s="996">
        <f>IF(ISNUMBER(Récap1!AJ81),Récap1!AJ81,S81/S$118*T$118)</f>
        <v>11.444976489768178</v>
      </c>
      <c r="U81" s="994">
        <f>IF(ISNUMBER(Récap1!AK81),Récap1!AK81,T81/T$118*U$118)</f>
        <v>37.395520537930352</v>
      </c>
      <c r="V81" s="994">
        <f>IF(ISNUMBER(Récap1!AL81),Récap1!AL81,U81/U$118*V$118)</f>
        <v>23.870560393342576</v>
      </c>
      <c r="W81" s="994">
        <f>IF(ISNUMBER(Récap1!AM81),Récap1!AM81,V81/V$118*W$118)</f>
        <v>2.5113679373767974</v>
      </c>
      <c r="Y81" s="1887">
        <f>IF(ISNUMBER(Récap1!X81),Récap1!X81/H$117,Récap1!X81)</f>
        <v>239.85055862379866</v>
      </c>
      <c r="Z81" s="1898">
        <f>IF(ISNUMBER(Récap1!Y81),Récap1!Y81/I$117,Récap1!Y81)</f>
        <v>705.39936381158907</v>
      </c>
      <c r="AA81" s="1105"/>
      <c r="AB81" s="1105"/>
      <c r="AC81" s="1095" t="str">
        <f>IF(ISNUMBER(Récap1!AB81),Récap1!AB81/L$117,Récap1!AB81)</f>
        <v>PVL</v>
      </c>
      <c r="AD81" s="1105"/>
      <c r="AE81" s="1105"/>
      <c r="AF81" s="1105"/>
      <c r="AG81" s="1898"/>
      <c r="AH81" s="1105" t="str">
        <f>IF(ISNUMBER(Récap1!AG81),Récap1!AG81/Q$117,Récap1!AG81)</f>
        <v>PVL</v>
      </c>
      <c r="AI81" s="1105" t="str">
        <f>IF(ISNUMBER(Récap1!AH81),Récap1!AH81/R$117,Récap1!AH81)</f>
        <v>PVL</v>
      </c>
      <c r="AJ81" s="1898" t="str">
        <f>IF(ISNUMBER(Récap1!AI81),Récap1!AI81/S$117,Récap1!AI81)</f>
        <v>PVL</v>
      </c>
      <c r="AK81" s="1105"/>
      <c r="AL81" s="1105"/>
      <c r="AM81" s="1105"/>
      <c r="AN81" s="1138"/>
      <c r="AO81" s="1105">
        <f t="shared" si="32"/>
        <v>705.39936381158907</v>
      </c>
      <c r="AP81" s="1069">
        <f>SUMIF(Récap1!X81:Y81,"&gt;0",H$117:I$117)+IF(ISNUMBER(Récap1!AB81),L$117,0)+SUMIF(Récap1!AG81:AI81,"&gt;0",Q$117:S$117)</f>
        <v>0.14780910234752553</v>
      </c>
      <c r="AQ81" s="1151">
        <f t="shared" si="33"/>
        <v>669.32088353018514</v>
      </c>
      <c r="AR81" s="1105">
        <f t="shared" si="34"/>
        <v>700.06663602713195</v>
      </c>
      <c r="AS81" s="1887" t="str">
        <f>IF(ISNUMBER(Récap1!AC81),Récap1!AC81/M$118,Récap1!AC81)</f>
        <v>PVL</v>
      </c>
      <c r="AT81" s="1105" t="str">
        <f>IF(ISNUMBER(Récap1!AD81),Récap1!AD81/N$118,Récap1!AD81)</f>
        <v>PVL</v>
      </c>
      <c r="AU81" s="1105" t="str">
        <f>IF(ISNUMBER(Récap1!AE81),Récap1!AE81/O$118,Récap1!AE81)</f>
        <v>PVL</v>
      </c>
      <c r="AV81" s="1105" t="str">
        <f>IF(ISNUMBER(Récap1!AF81),Récap1!AF81/P$118,Récap1!AF81)</f>
        <v>PVL</v>
      </c>
      <c r="AW81" s="1105"/>
      <c r="AX81" s="1105"/>
      <c r="AY81" s="1105"/>
      <c r="AZ81" s="1981" t="str">
        <f>IF(ISNUMBER(Récap1!AJ81),Récap1!AJ81/T$118,Récap1!AJ81)</f>
        <v>PVL</v>
      </c>
      <c r="BA81" s="1105" t="str">
        <f>IF(ISNUMBER(Récap1!AK81),Récap1!AK81/U$118,Récap1!AK81)</f>
        <v>PVL</v>
      </c>
      <c r="BB81" s="1105" t="str">
        <f>IF(ISNUMBER(Récap1!AL81),Récap1!AL81/V$118,Récap1!AL81)</f>
        <v>PVL</v>
      </c>
      <c r="BC81" s="1898" t="str">
        <f>IF(ISNUMBER(Récap1!AM81),Récap1!AM81/W$118,Récap1!AM81)</f>
        <v>PVL</v>
      </c>
      <c r="BD81" s="1105" t="str">
        <f t="shared" si="35"/>
        <v>PVL</v>
      </c>
      <c r="BE81" s="1080">
        <f>SUMIF(Récap1!AC81:AF81,"&gt;0",M$118:P$118)+SUMIF(Récap1!AJ81:AM81,"&gt;0",T$118:W$118)</f>
        <v>0</v>
      </c>
      <c r="BF81" s="1138" t="str">
        <f t="shared" si="36"/>
        <v>PVL</v>
      </c>
      <c r="BG81" s="990">
        <f t="shared" si="37"/>
        <v>124.30805346844366</v>
      </c>
      <c r="BH81" s="999"/>
      <c r="BI81" s="994">
        <f t="shared" si="38"/>
        <v>242.49366065313404</v>
      </c>
      <c r="BJ81" s="994">
        <f t="shared" si="38"/>
        <v>281.52740101559488</v>
      </c>
      <c r="BK81" s="994">
        <f t="shared" si="39"/>
        <v>176.04557435840303</v>
      </c>
      <c r="BL81" s="996">
        <f t="shared" si="39"/>
        <v>28.092091221404566</v>
      </c>
      <c r="BM81" s="994">
        <f t="shared" si="39"/>
        <v>67.003351813870637</v>
      </c>
      <c r="BN81" s="994">
        <f t="shared" si="39"/>
        <v>26.681919503290853</v>
      </c>
      <c r="BO81" s="995">
        <f t="shared" si="39"/>
        <v>2.5306909298776099</v>
      </c>
    </row>
    <row r="82" spans="1:67" s="513" customFormat="1" ht="13.5" hidden="1" customHeight="1" thickBot="1">
      <c r="A82" s="1595"/>
      <c r="B82" s="510"/>
      <c r="C82" s="77"/>
      <c r="D82" s="803"/>
      <c r="E82" s="352" t="s">
        <v>660</v>
      </c>
      <c r="F82" s="800" t="s">
        <v>19</v>
      </c>
      <c r="G82" s="1612" t="s">
        <v>20</v>
      </c>
      <c r="H82" s="796">
        <f>Récap1!X82</f>
        <v>1.754223700777784E-2</v>
      </c>
      <c r="I82" s="796">
        <f>Récap1!Y82</f>
        <v>1.5601159508858542E-2</v>
      </c>
      <c r="J82" s="796">
        <f>Récap1!Z82</f>
        <v>2.7467644250260864E-2</v>
      </c>
      <c r="K82" s="802">
        <f>Récap1!AA82</f>
        <v>1.2461201679065631E-3</v>
      </c>
      <c r="L82" s="796">
        <f>IF(ISNUMBER(Récap1!AB82),Récap1!AB82,I82/I$117*L$117)</f>
        <v>6.315727857926912E-3</v>
      </c>
      <c r="M82" s="882">
        <f>IF(ISNUMBER(Récap1!AC82),Récap1!AC82,L82/L$118*M$118)</f>
        <v>8.5154918231512226E-3</v>
      </c>
      <c r="N82" s="796">
        <f>IF(ISNUMBER(Récap1!AD82),Récap1!AD82,M82/M$118*N$118)</f>
        <v>4.3505584443829494E-2</v>
      </c>
      <c r="O82" s="796">
        <f>IF(ISNUMBER(Récap1!AE82),Récap1!AE82,N82/N$118*O$118)</f>
        <v>0.34890349802377557</v>
      </c>
      <c r="P82" s="883">
        <f>IF(ISNUMBER(Récap1!AF82),Récap1!AF82,O82/O$118*P$118)</f>
        <v>0</v>
      </c>
      <c r="Q82" s="796">
        <f>IF(ISNUMBER(Récap1!AG82),Récap1!AG82,I82/I$117*Q$117)</f>
        <v>6.29011484708197E-3</v>
      </c>
      <c r="R82" s="796">
        <f>IF(ISNUMBER(Récap1!AH82),Récap1!AH82,Q82/Q$117*R$117)</f>
        <v>4.7819012449342634E-2</v>
      </c>
      <c r="S82" s="796">
        <f>IF(ISNUMBER(Récap1!AI82),Récap1!AI82,R82/R$117*S$117)</f>
        <v>9.5103001942881699E-3</v>
      </c>
      <c r="T82" s="882">
        <f>IF(ISNUMBER(Récap1!AJ82),Récap1!AJ82,S82/S$118*T$118)</f>
        <v>1.5332408405335814E-2</v>
      </c>
      <c r="U82" s="796">
        <f>IF(ISNUMBER(Récap1!AK82),Récap1!AK82,T82/T$118*U$118)</f>
        <v>0.37132861944557133</v>
      </c>
      <c r="V82" s="796">
        <f>IF(ISNUMBER(Récap1!AL82),Récap1!AL82,U82/U$118*V$118)</f>
        <v>0</v>
      </c>
      <c r="W82" s="796">
        <f>IF(ISNUMBER(Récap1!AM82),Récap1!AM82,V82/V$118*W$118)</f>
        <v>0</v>
      </c>
      <c r="Y82" s="1889"/>
      <c r="Z82" s="1102">
        <f>IF(ISNUMBER(Récap1!Y82),Récap1!Y82/I$117,Récap1!Y82)</f>
        <v>0.11441626149771564</v>
      </c>
      <c r="AA82" s="1949"/>
      <c r="AB82" s="1949"/>
      <c r="AC82" s="1097">
        <f>IF(ISNUMBER(Récap1!AB82),Récap1!AB82/L$117,Récap1!AB82)</f>
        <v>3.5349609893551938E-2</v>
      </c>
      <c r="AD82" s="1949"/>
      <c r="AE82" s="1949"/>
      <c r="AF82" s="1949"/>
      <c r="AG82" s="1900"/>
      <c r="AH82" s="1949">
        <f>IF(ISNUMBER(Récap1!AG82),Récap1!AG82/Q$117,Récap1!AG82)</f>
        <v>1.8507247433887469E-2</v>
      </c>
      <c r="AI82" s="1949">
        <f>IF(ISNUMBER(Récap1!AH82),Récap1!AH82/R$117,Récap1!AH82)</f>
        <v>0.18199490960113443</v>
      </c>
      <c r="AJ82" s="1900">
        <f>IF(ISNUMBER(Récap1!AI82),Récap1!AI82/S$117,Récap1!AI82)</f>
        <v>0.1341293446042798</v>
      </c>
      <c r="AK82" s="1949"/>
      <c r="AL82" s="1949"/>
      <c r="AM82" s="1949"/>
      <c r="AN82" s="1950"/>
      <c r="AO82" s="1124">
        <f t="shared" si="32"/>
        <v>1.8507247433887469E-2</v>
      </c>
      <c r="AP82" s="1125"/>
      <c r="AQ82" s="970">
        <f>IF(MIN(AC82:AJ82)&gt;0,(IF(ISNUMBER(AC82),AC82*L$117,0)+IF(ISNUMBER(AH82),AH82*Q$117,0)+IF(ISNUMBER(AI82),AI82*R$117,0)+IF(ISNUMBER(AJ82),AJ82*S$117,0))/(IF(ISNUMBER(AC82),L$117,0)+IF(ISNUMBER(AH82),Q$117,0)+IF(ISNUMBER(AI82),R$117,0)+IF(ISNUMBER(AJ82),S$117,0)),Z82)</f>
        <v>8.2065128296124334E-2</v>
      </c>
      <c r="AR82" s="1913">
        <f t="shared" si="34"/>
        <v>0.10307855186527606</v>
      </c>
      <c r="AS82" s="1889">
        <f>IF(ISNUMBER(Récap1!AC82),Récap1!AC82/M$118,Récap1!AC82)</f>
        <v>0.22764985667296311</v>
      </c>
      <c r="AT82" s="1949">
        <f>IF(ISNUMBER(Récap1!AD82),Récap1!AD82/N$118,Récap1!AD82)</f>
        <v>0.65393567054872792</v>
      </c>
      <c r="AU82" s="1949">
        <f>IF(ISNUMBER(Récap1!AE82),Récap1!AE82/O$118,Récap1!AE82)</f>
        <v>55.231344746197017</v>
      </c>
      <c r="AV82" s="1949">
        <f>IF(ISNUMBER(Récap1!AF82),Récap1!AF82/P$118,Récap1!AF82)</f>
        <v>0</v>
      </c>
      <c r="AW82" s="1949"/>
      <c r="AX82" s="1949"/>
      <c r="AY82" s="1949"/>
      <c r="AZ82" s="1984">
        <f>IF(ISNUMBER(Récap1!AJ82),Récap1!AJ82/T$118,Récap1!AJ82)</f>
        <v>0.11326533442831706</v>
      </c>
      <c r="BA82" s="1949">
        <f>IF(ISNUMBER(Récap1!AK82),Récap1!AK82/U$118,Récap1!AK82)</f>
        <v>0.83953803720688558</v>
      </c>
      <c r="BB82" s="1949">
        <f>IF(ISNUMBER(Récap1!AL82),Récap1!AL82/V$118,Récap1!AL82)</f>
        <v>0</v>
      </c>
      <c r="BC82" s="1900">
        <f>IF(ISNUMBER(Récap1!AM82),Récap1!AM82/W$118,Récap1!AM82)</f>
        <v>0</v>
      </c>
      <c r="BD82" s="1124" t="str">
        <f t="shared" si="35"/>
        <v>PVL</v>
      </c>
      <c r="BE82" s="1990"/>
      <c r="BF82" s="1985" t="str">
        <f t="shared" si="36"/>
        <v>PVL</v>
      </c>
      <c r="BG82" s="980">
        <f t="shared" si="37"/>
        <v>0.7875856021416634</v>
      </c>
      <c r="BH82" s="585"/>
      <c r="BI82" s="796">
        <f t="shared" si="38"/>
        <v>2.383235185485981E-2</v>
      </c>
      <c r="BJ82" s="796">
        <f t="shared" si="38"/>
        <v>6.3420171958201182E-2</v>
      </c>
      <c r="BK82" s="796">
        <f t="shared" si="39"/>
        <v>1.5826028052215082E-2</v>
      </c>
      <c r="BL82" s="882">
        <f t="shared" si="39"/>
        <v>2.3847900228487037E-2</v>
      </c>
      <c r="BM82" s="796">
        <f t="shared" si="39"/>
        <v>0.41483420388940084</v>
      </c>
      <c r="BN82" s="796">
        <f t="shared" si="39"/>
        <v>0.34890349802377557</v>
      </c>
      <c r="BO82" s="802">
        <f t="shared" si="39"/>
        <v>0</v>
      </c>
    </row>
    <row r="83" spans="1:67" s="293" customFormat="1" ht="13.5" hidden="1" customHeight="1" thickBot="1">
      <c r="A83" s="305"/>
      <c r="B83" s="294"/>
      <c r="C83" s="77"/>
      <c r="D83" s="793"/>
      <c r="E83" s="754" t="s">
        <v>626</v>
      </c>
      <c r="F83" s="763"/>
      <c r="G83" s="764"/>
      <c r="H83" s="530"/>
      <c r="I83" s="530"/>
      <c r="J83" s="530"/>
      <c r="K83" s="628"/>
      <c r="L83" s="530"/>
      <c r="M83" s="829"/>
      <c r="N83" s="530"/>
      <c r="O83" s="530"/>
      <c r="P83" s="830"/>
      <c r="Q83" s="530"/>
      <c r="R83" s="530"/>
      <c r="S83" s="530"/>
      <c r="T83" s="829"/>
      <c r="U83" s="530"/>
      <c r="V83" s="530"/>
      <c r="W83" s="530"/>
      <c r="Y83" s="1890"/>
      <c r="Z83" s="1088"/>
      <c r="AA83" s="1633"/>
      <c r="AB83" s="1633"/>
      <c r="AC83" s="1098"/>
      <c r="AD83" s="1633"/>
      <c r="AE83" s="1633"/>
      <c r="AF83" s="1633"/>
      <c r="AG83" s="1901"/>
      <c r="AH83" s="1633"/>
      <c r="AI83" s="1633"/>
      <c r="AJ83" s="1901"/>
      <c r="AK83" s="1633"/>
      <c r="AL83" s="1633"/>
      <c r="AM83" s="1633"/>
      <c r="AN83" s="1941"/>
      <c r="AO83" s="1115"/>
      <c r="AP83" s="1116"/>
      <c r="AQ83" s="966"/>
      <c r="AR83" s="1908"/>
      <c r="AS83" s="1890"/>
      <c r="AT83" s="1633"/>
      <c r="AU83" s="1633"/>
      <c r="AV83" s="1633"/>
      <c r="AW83" s="1633"/>
      <c r="AX83" s="1633"/>
      <c r="AY83" s="1633"/>
      <c r="AZ83" s="1968"/>
      <c r="BA83" s="1633"/>
      <c r="BB83" s="1633"/>
      <c r="BC83" s="1901"/>
      <c r="BD83" s="1115"/>
      <c r="BE83" s="1969"/>
      <c r="BF83" s="1970"/>
      <c r="BG83" s="976"/>
      <c r="BH83" s="305"/>
      <c r="BI83" s="530"/>
      <c r="BJ83" s="530"/>
      <c r="BK83" s="530"/>
      <c r="BL83" s="829"/>
      <c r="BM83" s="530"/>
      <c r="BN83" s="530"/>
      <c r="BO83" s="628"/>
    </row>
    <row r="84" spans="1:67" s="26" customFormat="1" ht="13.5" hidden="1" customHeight="1" thickBot="1">
      <c r="A84" s="398"/>
      <c r="B84" s="27"/>
      <c r="C84" s="138"/>
      <c r="D84" s="794"/>
      <c r="E84" s="103" t="s">
        <v>670</v>
      </c>
      <c r="F84" s="14" t="str">
        <f>F45</f>
        <v>Cs</v>
      </c>
      <c r="G84" s="105" t="str">
        <f>G45</f>
        <v>mg/kg ms</v>
      </c>
      <c r="H84" s="56">
        <f>ExpoRisk!BL213</f>
        <v>0</v>
      </c>
      <c r="I84" s="56">
        <f>ExpoRisk!BM213</f>
        <v>0</v>
      </c>
      <c r="J84" s="56">
        <f>ExpoRisk!BN213</f>
        <v>0</v>
      </c>
      <c r="K84" s="57">
        <f>ExpoRisk!BO213</f>
        <v>0</v>
      </c>
      <c r="L84" s="56">
        <f>ExpoRisk!BP213</f>
        <v>0</v>
      </c>
      <c r="M84" s="870">
        <f>ExpoRisk!BQ213</f>
        <v>0</v>
      </c>
      <c r="N84" s="56">
        <f>ExpoRisk!BR213</f>
        <v>0</v>
      </c>
      <c r="O84" s="56">
        <f>ExpoRisk!BS213</f>
        <v>0</v>
      </c>
      <c r="P84" s="871">
        <f>ExpoRisk!BT213</f>
        <v>0</v>
      </c>
      <c r="Q84" s="56">
        <f>ExpoRisk!BU213</f>
        <v>0</v>
      </c>
      <c r="R84" s="56">
        <f>ExpoRisk!BV213</f>
        <v>0</v>
      </c>
      <c r="S84" s="56">
        <f>ExpoRisk!BW213</f>
        <v>0</v>
      </c>
      <c r="T84" s="870">
        <f>ExpoRisk!BX213</f>
        <v>0</v>
      </c>
      <c r="U84" s="56">
        <f>ExpoRisk!BY213</f>
        <v>0</v>
      </c>
      <c r="V84" s="56">
        <f>ExpoRisk!BZ213</f>
        <v>0</v>
      </c>
      <c r="W84" s="56">
        <f>ExpoRisk!CA213</f>
        <v>0</v>
      </c>
      <c r="Y84" s="621"/>
      <c r="Z84" s="1086"/>
      <c r="AA84" s="282"/>
      <c r="AB84" s="282"/>
      <c r="AC84" s="1091"/>
      <c r="AD84" s="282"/>
      <c r="AE84" s="282"/>
      <c r="AF84" s="282"/>
      <c r="AG84" s="1894"/>
      <c r="AH84" s="282"/>
      <c r="AI84" s="282"/>
      <c r="AJ84" s="1894"/>
      <c r="AK84" s="282"/>
      <c r="AL84" s="282"/>
      <c r="AM84" s="282"/>
      <c r="AN84" s="1919"/>
      <c r="AO84" s="1117"/>
      <c r="AP84" s="1118"/>
      <c r="AQ84" s="967"/>
      <c r="AR84" s="1104"/>
      <c r="AS84" s="621"/>
      <c r="AT84" s="282"/>
      <c r="AU84" s="282"/>
      <c r="AV84" s="282"/>
      <c r="AW84" s="282"/>
      <c r="AX84" s="282"/>
      <c r="AY84" s="282"/>
      <c r="AZ84" s="1971"/>
      <c r="BA84" s="282"/>
      <c r="BB84" s="282"/>
      <c r="BC84" s="1894"/>
      <c r="BD84" s="1117"/>
      <c r="BE84" s="1972"/>
      <c r="BF84" s="1920"/>
      <c r="BG84" s="920"/>
      <c r="BH84" s="77"/>
      <c r="BI84" s="56">
        <f>ExpoRisk!DQ213</f>
        <v>0</v>
      </c>
      <c r="BJ84" s="56">
        <f>ExpoRisk!DR213</f>
        <v>0</v>
      </c>
      <c r="BK84" s="56">
        <f>ExpoRisk!DS213</f>
        <v>0</v>
      </c>
      <c r="BL84" s="870">
        <f>ExpoRisk!DT213</f>
        <v>0</v>
      </c>
      <c r="BM84" s="56">
        <f>ExpoRisk!DU213</f>
        <v>0</v>
      </c>
      <c r="BN84" s="56">
        <f>ExpoRisk!DV213</f>
        <v>0</v>
      </c>
      <c r="BO84" s="57">
        <f>ExpoRisk!DW213</f>
        <v>0</v>
      </c>
    </row>
    <row r="85" spans="1:67" s="26" customFormat="1" ht="13.5" hidden="1" customHeight="1" thickBot="1">
      <c r="A85" s="398"/>
      <c r="B85" s="27"/>
      <c r="C85" s="77"/>
      <c r="D85" s="793"/>
      <c r="E85" s="103" t="s">
        <v>671</v>
      </c>
      <c r="F85" s="14" t="str">
        <f>F84</f>
        <v>Cs</v>
      </c>
      <c r="G85" s="105" t="str">
        <f>G84</f>
        <v>mg/kg ms</v>
      </c>
      <c r="H85" s="56">
        <f>ExpoRisk!BL214</f>
        <v>0</v>
      </c>
      <c r="I85" s="56">
        <f>ExpoRisk!BM214</f>
        <v>0</v>
      </c>
      <c r="J85" s="56">
        <f>ExpoRisk!BN214</f>
        <v>0</v>
      </c>
      <c r="K85" s="57">
        <f>ExpoRisk!BO214</f>
        <v>0</v>
      </c>
      <c r="L85" s="56">
        <f>ExpoRisk!BP214</f>
        <v>0</v>
      </c>
      <c r="M85" s="870">
        <f>ExpoRisk!BQ214</f>
        <v>0</v>
      </c>
      <c r="N85" s="56">
        <f>ExpoRisk!BR214</f>
        <v>0</v>
      </c>
      <c r="O85" s="56">
        <f>ExpoRisk!BS214</f>
        <v>0</v>
      </c>
      <c r="P85" s="871">
        <f>ExpoRisk!BT214</f>
        <v>0</v>
      </c>
      <c r="Q85" s="56">
        <f>ExpoRisk!BU214</f>
        <v>0</v>
      </c>
      <c r="R85" s="56">
        <f>ExpoRisk!BV214</f>
        <v>0</v>
      </c>
      <c r="S85" s="56">
        <f>ExpoRisk!BW214</f>
        <v>0</v>
      </c>
      <c r="T85" s="870">
        <f>ExpoRisk!BX214</f>
        <v>0</v>
      </c>
      <c r="U85" s="56">
        <f>ExpoRisk!BY214</f>
        <v>0</v>
      </c>
      <c r="V85" s="56">
        <f>ExpoRisk!BZ214</f>
        <v>0</v>
      </c>
      <c r="W85" s="56">
        <f>ExpoRisk!CA214</f>
        <v>0</v>
      </c>
      <c r="Y85" s="621"/>
      <c r="Z85" s="1086"/>
      <c r="AA85" s="282"/>
      <c r="AB85" s="282"/>
      <c r="AC85" s="1091"/>
      <c r="AD85" s="282"/>
      <c r="AE85" s="282"/>
      <c r="AF85" s="282"/>
      <c r="AG85" s="1894"/>
      <c r="AH85" s="282"/>
      <c r="AI85" s="282"/>
      <c r="AJ85" s="1894"/>
      <c r="AK85" s="282"/>
      <c r="AL85" s="282"/>
      <c r="AM85" s="282"/>
      <c r="AN85" s="1919"/>
      <c r="AO85" s="1117"/>
      <c r="AP85" s="1118"/>
      <c r="AQ85" s="967"/>
      <c r="AR85" s="1104"/>
      <c r="AS85" s="621"/>
      <c r="AT85" s="282"/>
      <c r="AU85" s="282"/>
      <c r="AV85" s="282"/>
      <c r="AW85" s="282"/>
      <c r="AX85" s="282"/>
      <c r="AY85" s="282"/>
      <c r="AZ85" s="1971"/>
      <c r="BA85" s="282"/>
      <c r="BB85" s="282"/>
      <c r="BC85" s="1894"/>
      <c r="BD85" s="1117"/>
      <c r="BE85" s="1972"/>
      <c r="BF85" s="1920"/>
      <c r="BG85" s="920"/>
      <c r="BH85" s="77"/>
      <c r="BI85" s="56">
        <f>ExpoRisk!DQ214</f>
        <v>0</v>
      </c>
      <c r="BJ85" s="56">
        <f>ExpoRisk!DR214</f>
        <v>0</v>
      </c>
      <c r="BK85" s="56">
        <f>ExpoRisk!DS214</f>
        <v>0</v>
      </c>
      <c r="BL85" s="870">
        <f>ExpoRisk!DT214</f>
        <v>0</v>
      </c>
      <c r="BM85" s="56">
        <f>ExpoRisk!DU214</f>
        <v>0</v>
      </c>
      <c r="BN85" s="56">
        <f>ExpoRisk!DV214</f>
        <v>0</v>
      </c>
      <c r="BO85" s="57">
        <f>ExpoRisk!DW214</f>
        <v>0</v>
      </c>
    </row>
    <row r="86" spans="1:67" s="26" customFormat="1" ht="13.5" hidden="1" customHeight="1" thickBot="1">
      <c r="A86" s="148"/>
      <c r="B86" s="27"/>
      <c r="C86" s="77"/>
      <c r="D86" s="793"/>
      <c r="E86" s="103" t="s">
        <v>672</v>
      </c>
      <c r="F86" s="14" t="str">
        <f>F85</f>
        <v>Cs</v>
      </c>
      <c r="G86" s="105" t="str">
        <f>G85</f>
        <v>mg/kg ms</v>
      </c>
      <c r="H86" s="113">
        <f>ExpoRisk!BL215</f>
        <v>0</v>
      </c>
      <c r="I86" s="113">
        <f>ExpoRisk!BM215</f>
        <v>0</v>
      </c>
      <c r="J86" s="113">
        <f>ExpoRisk!BN215</f>
        <v>0</v>
      </c>
      <c r="K86" s="120">
        <f>ExpoRisk!BO215</f>
        <v>0</v>
      </c>
      <c r="L86" s="113">
        <f>ExpoRisk!BP215</f>
        <v>0</v>
      </c>
      <c r="M86" s="872">
        <f>ExpoRisk!BQ215</f>
        <v>0</v>
      </c>
      <c r="N86" s="113">
        <f>ExpoRisk!BR215</f>
        <v>0</v>
      </c>
      <c r="O86" s="113">
        <f>ExpoRisk!BS215</f>
        <v>0</v>
      </c>
      <c r="P86" s="873">
        <f>ExpoRisk!BT215</f>
        <v>0</v>
      </c>
      <c r="Q86" s="113">
        <f>ExpoRisk!BU215</f>
        <v>0</v>
      </c>
      <c r="R86" s="113">
        <f>ExpoRisk!BV215</f>
        <v>0</v>
      </c>
      <c r="S86" s="113">
        <f>ExpoRisk!BW215</f>
        <v>0</v>
      </c>
      <c r="T86" s="872">
        <f>ExpoRisk!BX215</f>
        <v>0</v>
      </c>
      <c r="U86" s="113">
        <f>ExpoRisk!BY215</f>
        <v>0</v>
      </c>
      <c r="V86" s="113">
        <f>ExpoRisk!BZ215</f>
        <v>0</v>
      </c>
      <c r="W86" s="113">
        <f>ExpoRisk!CA215</f>
        <v>0</v>
      </c>
      <c r="Y86" s="621"/>
      <c r="Z86" s="1086"/>
      <c r="AA86" s="282"/>
      <c r="AB86" s="282"/>
      <c r="AC86" s="1091"/>
      <c r="AD86" s="282"/>
      <c r="AE86" s="282"/>
      <c r="AF86" s="282"/>
      <c r="AG86" s="1894"/>
      <c r="AH86" s="282"/>
      <c r="AI86" s="282"/>
      <c r="AJ86" s="1894"/>
      <c r="AK86" s="282"/>
      <c r="AL86" s="282"/>
      <c r="AM86" s="282"/>
      <c r="AN86" s="1919"/>
      <c r="AO86" s="1117"/>
      <c r="AP86" s="1118"/>
      <c r="AQ86" s="967"/>
      <c r="AR86" s="1104"/>
      <c r="AS86" s="621"/>
      <c r="AT86" s="282"/>
      <c r="AU86" s="282"/>
      <c r="AV86" s="282"/>
      <c r="AW86" s="282"/>
      <c r="AX86" s="282"/>
      <c r="AY86" s="282"/>
      <c r="AZ86" s="1971"/>
      <c r="BA86" s="282"/>
      <c r="BB86" s="282"/>
      <c r="BC86" s="1894"/>
      <c r="BD86" s="1117"/>
      <c r="BE86" s="1972"/>
      <c r="BF86" s="1920"/>
      <c r="BG86" s="920"/>
      <c r="BH86" s="77"/>
      <c r="BI86" s="113">
        <f>ExpoRisk!DQ215</f>
        <v>0</v>
      </c>
      <c r="BJ86" s="113">
        <f>ExpoRisk!DR215</f>
        <v>0</v>
      </c>
      <c r="BK86" s="113">
        <f>ExpoRisk!DS215</f>
        <v>0</v>
      </c>
      <c r="BL86" s="872">
        <f>ExpoRisk!DT215</f>
        <v>0</v>
      </c>
      <c r="BM86" s="113">
        <f>ExpoRisk!DU215</f>
        <v>0</v>
      </c>
      <c r="BN86" s="113">
        <f>ExpoRisk!DV215</f>
        <v>0</v>
      </c>
      <c r="BO86" s="120">
        <f>ExpoRisk!DW215</f>
        <v>0</v>
      </c>
    </row>
    <row r="87" spans="1:67" s="495" customFormat="1" ht="13.5" hidden="1" customHeight="1" thickBot="1">
      <c r="A87" s="398"/>
      <c r="B87" s="492"/>
      <c r="C87" s="503"/>
      <c r="D87" s="795"/>
      <c r="E87" s="619" t="s">
        <v>985</v>
      </c>
      <c r="F87" s="493" t="s">
        <v>19</v>
      </c>
      <c r="G87" s="584" t="s">
        <v>20</v>
      </c>
      <c r="H87" s="343">
        <f>ExpoRisk!BL216</f>
        <v>0</v>
      </c>
      <c r="I87" s="343">
        <f>ExpoRisk!BM216</f>
        <v>0</v>
      </c>
      <c r="J87" s="343">
        <f>ExpoRisk!BN216</f>
        <v>0</v>
      </c>
      <c r="K87" s="346">
        <f>ExpoRisk!BO216</f>
        <v>0</v>
      </c>
      <c r="L87" s="343">
        <f>ExpoRisk!BP216</f>
        <v>0</v>
      </c>
      <c r="M87" s="874">
        <f>ExpoRisk!BQ216</f>
        <v>0</v>
      </c>
      <c r="N87" s="343">
        <f>ExpoRisk!BR216</f>
        <v>0</v>
      </c>
      <c r="O87" s="343">
        <f>ExpoRisk!BS216</f>
        <v>0</v>
      </c>
      <c r="P87" s="875">
        <f>ExpoRisk!BT216</f>
        <v>0</v>
      </c>
      <c r="Q87" s="343">
        <f>ExpoRisk!BU216</f>
        <v>0</v>
      </c>
      <c r="R87" s="343">
        <f>ExpoRisk!BV216</f>
        <v>0</v>
      </c>
      <c r="S87" s="343">
        <f>ExpoRisk!BW216</f>
        <v>0</v>
      </c>
      <c r="T87" s="874">
        <f>ExpoRisk!BX216</f>
        <v>0</v>
      </c>
      <c r="U87" s="343">
        <f>ExpoRisk!BY216</f>
        <v>0</v>
      </c>
      <c r="V87" s="343">
        <f>ExpoRisk!BZ216</f>
        <v>0</v>
      </c>
      <c r="W87" s="343">
        <f>ExpoRisk!CA216</f>
        <v>0</v>
      </c>
      <c r="Y87" s="1884"/>
      <c r="Z87" s="1089"/>
      <c r="AA87" s="1104"/>
      <c r="AB87" s="1104"/>
      <c r="AC87" s="1092"/>
      <c r="AD87" s="1104"/>
      <c r="AE87" s="1104"/>
      <c r="AF87" s="1104"/>
      <c r="AG87" s="1895"/>
      <c r="AH87" s="1104"/>
      <c r="AI87" s="1104"/>
      <c r="AJ87" s="1895"/>
      <c r="AK87" s="1104"/>
      <c r="AL87" s="1104"/>
      <c r="AM87" s="1104"/>
      <c r="AN87" s="1135"/>
      <c r="AO87" s="1117"/>
      <c r="AP87" s="1118"/>
      <c r="AQ87" s="967"/>
      <c r="AR87" s="1104"/>
      <c r="AS87" s="1884"/>
      <c r="AT87" s="1104"/>
      <c r="AU87" s="1104"/>
      <c r="AV87" s="1104"/>
      <c r="AW87" s="1104"/>
      <c r="AX87" s="1104"/>
      <c r="AY87" s="1104"/>
      <c r="AZ87" s="1973"/>
      <c r="BA87" s="1104"/>
      <c r="BB87" s="1104"/>
      <c r="BC87" s="1895"/>
      <c r="BD87" s="1117"/>
      <c r="BE87" s="1972"/>
      <c r="BF87" s="1920"/>
      <c r="BG87" s="920"/>
      <c r="BH87" s="919"/>
      <c r="BI87" s="343">
        <f>ExpoRisk!DQ216</f>
        <v>0</v>
      </c>
      <c r="BJ87" s="343">
        <f>ExpoRisk!DR216</f>
        <v>0</v>
      </c>
      <c r="BK87" s="343">
        <f>ExpoRisk!DS216</f>
        <v>0</v>
      </c>
      <c r="BL87" s="874">
        <f>ExpoRisk!DT216</f>
        <v>0</v>
      </c>
      <c r="BM87" s="343">
        <f>ExpoRisk!DU216</f>
        <v>0</v>
      </c>
      <c r="BN87" s="343">
        <f>ExpoRisk!DV216</f>
        <v>0</v>
      </c>
      <c r="BO87" s="346">
        <f>ExpoRisk!DW216</f>
        <v>0</v>
      </c>
    </row>
    <row r="88" spans="1:67" s="26" customFormat="1" ht="13.5" hidden="1" customHeight="1" thickBot="1">
      <c r="A88" s="398"/>
      <c r="B88" s="27"/>
      <c r="C88" s="65"/>
      <c r="D88" s="855"/>
      <c r="E88" s="103" t="s">
        <v>476</v>
      </c>
      <c r="F88" s="14" t="s">
        <v>93</v>
      </c>
      <c r="G88" s="105" t="s">
        <v>24</v>
      </c>
      <c r="H88" s="113">
        <f>ExpoRisk!BL217</f>
        <v>0</v>
      </c>
      <c r="I88" s="113">
        <f>ExpoRisk!BM217</f>
        <v>0</v>
      </c>
      <c r="J88" s="113">
        <f>ExpoRisk!BN217</f>
        <v>0</v>
      </c>
      <c r="K88" s="120">
        <f>ExpoRisk!BO217</f>
        <v>0</v>
      </c>
      <c r="L88" s="113">
        <f>ExpoRisk!BP217</f>
        <v>0</v>
      </c>
      <c r="M88" s="872">
        <f>ExpoRisk!BQ217</f>
        <v>0</v>
      </c>
      <c r="N88" s="113">
        <f>ExpoRisk!BR217</f>
        <v>0</v>
      </c>
      <c r="O88" s="113">
        <f>ExpoRisk!BS217</f>
        <v>0</v>
      </c>
      <c r="P88" s="873">
        <f>ExpoRisk!BT217</f>
        <v>0</v>
      </c>
      <c r="Q88" s="113">
        <f>ExpoRisk!BU217</f>
        <v>0</v>
      </c>
      <c r="R88" s="113">
        <f>ExpoRisk!BV217</f>
        <v>0</v>
      </c>
      <c r="S88" s="113">
        <f>ExpoRisk!BW217</f>
        <v>0</v>
      </c>
      <c r="T88" s="872">
        <f>ExpoRisk!BX217</f>
        <v>0</v>
      </c>
      <c r="U88" s="113">
        <f>ExpoRisk!BY217</f>
        <v>0</v>
      </c>
      <c r="V88" s="113">
        <f>ExpoRisk!BZ217</f>
        <v>0</v>
      </c>
      <c r="W88" s="113">
        <f>ExpoRisk!CA217</f>
        <v>0</v>
      </c>
      <c r="Y88" s="621"/>
      <c r="Z88" s="1086"/>
      <c r="AA88" s="282"/>
      <c r="AB88" s="282"/>
      <c r="AC88" s="1091"/>
      <c r="AD88" s="282"/>
      <c r="AE88" s="282"/>
      <c r="AF88" s="282"/>
      <c r="AG88" s="1894"/>
      <c r="AH88" s="282"/>
      <c r="AI88" s="282"/>
      <c r="AJ88" s="1894"/>
      <c r="AK88" s="282"/>
      <c r="AL88" s="282"/>
      <c r="AM88" s="282"/>
      <c r="AN88" s="1919"/>
      <c r="AO88" s="1117"/>
      <c r="AP88" s="1118"/>
      <c r="AQ88" s="967"/>
      <c r="AR88" s="1104"/>
      <c r="AS88" s="621"/>
      <c r="AT88" s="282"/>
      <c r="AU88" s="282"/>
      <c r="AV88" s="282"/>
      <c r="AW88" s="282"/>
      <c r="AX88" s="282"/>
      <c r="AY88" s="282"/>
      <c r="AZ88" s="1971"/>
      <c r="BA88" s="282"/>
      <c r="BB88" s="282"/>
      <c r="BC88" s="1894"/>
      <c r="BD88" s="1117"/>
      <c r="BE88" s="1972"/>
      <c r="BF88" s="1920"/>
      <c r="BG88" s="920"/>
      <c r="BH88" s="77"/>
      <c r="BI88" s="113">
        <f>ExpoRisk!DQ217</f>
        <v>0</v>
      </c>
      <c r="BJ88" s="113">
        <f>ExpoRisk!DR217</f>
        <v>0</v>
      </c>
      <c r="BK88" s="113">
        <f>ExpoRisk!DS217</f>
        <v>0</v>
      </c>
      <c r="BL88" s="872">
        <f>ExpoRisk!DT217</f>
        <v>0</v>
      </c>
      <c r="BM88" s="113">
        <f>ExpoRisk!DU217</f>
        <v>0</v>
      </c>
      <c r="BN88" s="113">
        <f>ExpoRisk!DV217</f>
        <v>0</v>
      </c>
      <c r="BO88" s="120">
        <f>ExpoRisk!DW217</f>
        <v>0</v>
      </c>
    </row>
    <row r="89" spans="1:67" s="1602" customFormat="1" ht="12" customHeight="1" thickBot="1">
      <c r="A89" s="633"/>
      <c r="B89" s="1597"/>
      <c r="C89" s="1598"/>
      <c r="D89" s="1922"/>
      <c r="E89" s="1923" t="s">
        <v>993</v>
      </c>
      <c r="F89" s="1626"/>
      <c r="G89" s="1626"/>
      <c r="H89" s="582"/>
      <c r="I89" s="582"/>
      <c r="J89" s="582"/>
      <c r="K89" s="582"/>
      <c r="L89" s="582"/>
      <c r="M89" s="582"/>
      <c r="N89" s="582"/>
      <c r="O89" s="582"/>
      <c r="P89" s="582"/>
      <c r="Q89" s="582"/>
      <c r="R89" s="582"/>
      <c r="S89" s="582"/>
      <c r="T89" s="582"/>
      <c r="U89" s="582"/>
      <c r="V89" s="582"/>
      <c r="W89" s="582"/>
      <c r="X89" s="1924"/>
      <c r="Y89" s="1926"/>
      <c r="Z89" s="1925"/>
      <c r="AA89" s="1926"/>
      <c r="AB89" s="1926"/>
      <c r="AC89" s="1926"/>
      <c r="AD89" s="1926"/>
      <c r="AE89" s="1926"/>
      <c r="AF89" s="1926"/>
      <c r="AG89" s="1926"/>
      <c r="AH89" s="1926"/>
      <c r="AI89" s="1926"/>
      <c r="AJ89" s="1926"/>
      <c r="AK89" s="1926"/>
      <c r="AL89" s="1926"/>
      <c r="AM89" s="1926"/>
      <c r="AN89" s="1926"/>
      <c r="AO89" s="1926"/>
      <c r="AP89" s="1926"/>
      <c r="AQ89" s="1926"/>
      <c r="AR89" s="1926"/>
      <c r="AS89" s="1926"/>
      <c r="AT89" s="1926"/>
      <c r="AU89" s="1926"/>
      <c r="AV89" s="1926"/>
      <c r="AW89" s="1926"/>
      <c r="AX89" s="1926"/>
      <c r="AY89" s="1926"/>
      <c r="AZ89" s="1926"/>
      <c r="BA89" s="1926"/>
      <c r="BB89" s="1926"/>
      <c r="BC89" s="1926"/>
      <c r="BD89" s="1926"/>
      <c r="BE89" s="1926"/>
      <c r="BF89" s="1991"/>
      <c r="BG89" s="1604"/>
      <c r="BH89" s="1603"/>
      <c r="BI89" s="1599"/>
      <c r="BJ89" s="1599"/>
      <c r="BK89" s="1599"/>
      <c r="BL89" s="1601"/>
      <c r="BM89" s="1599"/>
      <c r="BN89" s="1599"/>
      <c r="BO89" s="1600"/>
    </row>
    <row r="90" spans="1:67" s="293" customFormat="1" ht="12.75" hidden="1" customHeight="1">
      <c r="A90" s="305"/>
      <c r="B90" s="294"/>
      <c r="C90" s="503"/>
      <c r="D90" s="507"/>
      <c r="E90" s="617" t="s">
        <v>627</v>
      </c>
      <c r="F90" s="618"/>
      <c r="G90" s="105"/>
      <c r="H90" s="530"/>
      <c r="I90" s="530"/>
      <c r="J90" s="530"/>
      <c r="K90" s="628"/>
      <c r="L90" s="530"/>
      <c r="M90" s="829"/>
      <c r="N90" s="530"/>
      <c r="O90" s="530"/>
      <c r="P90" s="830"/>
      <c r="Q90" s="530"/>
      <c r="R90" s="530"/>
      <c r="S90" s="530"/>
      <c r="T90" s="829"/>
      <c r="U90" s="530"/>
      <c r="V90" s="530"/>
      <c r="W90" s="530"/>
      <c r="Y90" s="1890"/>
      <c r="Z90" s="1088"/>
      <c r="AA90" s="1633"/>
      <c r="AB90" s="1633"/>
      <c r="AC90" s="1098"/>
      <c r="AD90" s="1633"/>
      <c r="AE90" s="1633"/>
      <c r="AF90" s="1633"/>
      <c r="AG90" s="1901"/>
      <c r="AH90" s="1633"/>
      <c r="AI90" s="1633"/>
      <c r="AJ90" s="1901"/>
      <c r="AK90" s="1633"/>
      <c r="AL90" s="1633"/>
      <c r="AM90" s="1633"/>
      <c r="AN90" s="1941"/>
      <c r="AO90" s="1115"/>
      <c r="AP90" s="1116"/>
      <c r="AQ90" s="966"/>
      <c r="AR90" s="1908"/>
      <c r="AS90" s="1890"/>
      <c r="AT90" s="1633"/>
      <c r="AU90" s="1633"/>
      <c r="AV90" s="1633"/>
      <c r="AW90" s="1633"/>
      <c r="AX90" s="1633"/>
      <c r="AY90" s="1633"/>
      <c r="AZ90" s="1968"/>
      <c r="BA90" s="1633"/>
      <c r="BB90" s="1633"/>
      <c r="BC90" s="1901"/>
      <c r="BD90" s="1115"/>
      <c r="BE90" s="1969"/>
      <c r="BF90" s="1970"/>
      <c r="BG90" s="976"/>
      <c r="BH90" s="305"/>
      <c r="BI90" s="530"/>
      <c r="BJ90" s="530"/>
      <c r="BK90" s="530"/>
      <c r="BL90" s="829"/>
      <c r="BM90" s="530"/>
      <c r="BN90" s="530"/>
      <c r="BO90" s="628"/>
    </row>
    <row r="91" spans="1:67" s="26" customFormat="1" ht="12.75" hidden="1" customHeight="1">
      <c r="A91" s="398"/>
      <c r="B91" s="27"/>
      <c r="E91" s="103" t="s">
        <v>670</v>
      </c>
      <c r="F91" s="14" t="s">
        <v>19</v>
      </c>
      <c r="G91" s="105" t="s">
        <v>20</v>
      </c>
      <c r="H91" s="56">
        <v>1.5663037092258811</v>
      </c>
      <c r="I91" s="56">
        <v>54.799322524727273</v>
      </c>
      <c r="J91" s="56">
        <v>78.274575708136624</v>
      </c>
      <c r="K91" s="57">
        <v>104.65279999999998</v>
      </c>
      <c r="L91" s="56">
        <v>107.49443012002149</v>
      </c>
      <c r="M91" s="870">
        <v>329.64104048117611</v>
      </c>
      <c r="N91" s="56">
        <v>1364.9118543979573</v>
      </c>
      <c r="O91" s="56" t="s">
        <v>498</v>
      </c>
      <c r="P91" s="871" t="s">
        <v>498</v>
      </c>
      <c r="Q91" s="56">
        <v>2750.8735999999999</v>
      </c>
      <c r="R91" s="56">
        <v>2750.8736000000004</v>
      </c>
      <c r="S91" s="56">
        <v>186.82377971933545</v>
      </c>
      <c r="T91" s="870">
        <v>470.60358553181504</v>
      </c>
      <c r="U91" s="56">
        <v>1395.3655453243891</v>
      </c>
      <c r="V91" s="56" t="s">
        <v>498</v>
      </c>
      <c r="W91" s="56" t="s">
        <v>498</v>
      </c>
      <c r="Y91" s="621"/>
      <c r="Z91" s="1086"/>
      <c r="AA91" s="282"/>
      <c r="AB91" s="282"/>
      <c r="AC91" s="1091"/>
      <c r="AD91" s="282"/>
      <c r="AE91" s="282"/>
      <c r="AF91" s="282"/>
      <c r="AG91" s="1894"/>
      <c r="AH91" s="282"/>
      <c r="AI91" s="282"/>
      <c r="AJ91" s="1894"/>
      <c r="AK91" s="282"/>
      <c r="AL91" s="282"/>
      <c r="AM91" s="282"/>
      <c r="AN91" s="1919"/>
      <c r="AO91" s="1117"/>
      <c r="AP91" s="1118"/>
      <c r="AQ91" s="967"/>
      <c r="AR91" s="1104"/>
      <c r="AS91" s="621"/>
      <c r="AT91" s="282"/>
      <c r="AU91" s="282"/>
      <c r="AV91" s="282"/>
      <c r="AW91" s="282"/>
      <c r="AX91" s="282"/>
      <c r="AY91" s="282"/>
      <c r="AZ91" s="1971"/>
      <c r="BA91" s="282"/>
      <c r="BB91" s="282"/>
      <c r="BC91" s="1894"/>
      <c r="BD91" s="1117"/>
      <c r="BE91" s="1972"/>
      <c r="BF91" s="1920"/>
      <c r="BG91" s="920"/>
      <c r="BH91" s="77"/>
      <c r="BI91" s="56">
        <v>2750.8735999999999</v>
      </c>
      <c r="BJ91" s="56">
        <v>2750.8736000000004</v>
      </c>
      <c r="BK91" s="56">
        <v>186.82377971933545</v>
      </c>
      <c r="BL91" s="870">
        <v>470.60358553181504</v>
      </c>
      <c r="BM91" s="56">
        <v>1395.3655453243891</v>
      </c>
      <c r="BN91" s="56" t="s">
        <v>498</v>
      </c>
      <c r="BO91" s="57" t="s">
        <v>498</v>
      </c>
    </row>
    <row r="92" spans="1:67" s="26" customFormat="1" ht="12.75" hidden="1" customHeight="1">
      <c r="A92" s="398"/>
      <c r="B92" s="27"/>
      <c r="E92" s="103" t="s">
        <v>671</v>
      </c>
      <c r="F92" s="14" t="s">
        <v>19</v>
      </c>
      <c r="G92" s="105" t="s">
        <v>20</v>
      </c>
      <c r="H92" s="56">
        <v>8.7210666666666654</v>
      </c>
      <c r="I92" s="56" t="s">
        <v>498</v>
      </c>
      <c r="J92" s="56">
        <v>20.93056</v>
      </c>
      <c r="K92" s="57" t="s">
        <v>498</v>
      </c>
      <c r="L92" s="56" t="s">
        <v>498</v>
      </c>
      <c r="M92" s="870" t="s">
        <v>498</v>
      </c>
      <c r="N92" s="56" t="s">
        <v>498</v>
      </c>
      <c r="O92" s="56" t="s">
        <v>498</v>
      </c>
      <c r="P92" s="871" t="s">
        <v>498</v>
      </c>
      <c r="Q92" s="56" t="s">
        <v>498</v>
      </c>
      <c r="R92" s="56" t="s">
        <v>498</v>
      </c>
      <c r="S92" s="56" t="s">
        <v>498</v>
      </c>
      <c r="T92" s="870" t="s">
        <v>498</v>
      </c>
      <c r="U92" s="56" t="s">
        <v>498</v>
      </c>
      <c r="V92" s="56" t="s">
        <v>498</v>
      </c>
      <c r="W92" s="56" t="s">
        <v>498</v>
      </c>
      <c r="Y92" s="621"/>
      <c r="Z92" s="1086"/>
      <c r="AA92" s="282"/>
      <c r="AB92" s="282"/>
      <c r="AC92" s="1091"/>
      <c r="AD92" s="282"/>
      <c r="AE92" s="282"/>
      <c r="AF92" s="282"/>
      <c r="AG92" s="1894"/>
      <c r="AH92" s="282"/>
      <c r="AI92" s="282"/>
      <c r="AJ92" s="1894"/>
      <c r="AK92" s="282"/>
      <c r="AL92" s="282"/>
      <c r="AM92" s="282"/>
      <c r="AN92" s="1919"/>
      <c r="AO92" s="1117"/>
      <c r="AP92" s="1118"/>
      <c r="AQ92" s="967"/>
      <c r="AR92" s="1104"/>
      <c r="AS92" s="621"/>
      <c r="AT92" s="282"/>
      <c r="AU92" s="282"/>
      <c r="AV92" s="282"/>
      <c r="AW92" s="282"/>
      <c r="AX92" s="282"/>
      <c r="AY92" s="282"/>
      <c r="AZ92" s="1971"/>
      <c r="BA92" s="282"/>
      <c r="BB92" s="282"/>
      <c r="BC92" s="1894"/>
      <c r="BD92" s="1117"/>
      <c r="BE92" s="1972"/>
      <c r="BF92" s="1920"/>
      <c r="BG92" s="920"/>
      <c r="BH92" s="77"/>
      <c r="BI92" s="56" t="s">
        <v>498</v>
      </c>
      <c r="BJ92" s="56" t="s">
        <v>498</v>
      </c>
      <c r="BK92" s="56" t="s">
        <v>498</v>
      </c>
      <c r="BL92" s="870" t="s">
        <v>498</v>
      </c>
      <c r="BM92" s="56" t="s">
        <v>498</v>
      </c>
      <c r="BN92" s="56" t="s">
        <v>498</v>
      </c>
      <c r="BO92" s="57" t="s">
        <v>498</v>
      </c>
    </row>
    <row r="93" spans="1:67" s="26" customFormat="1" ht="12.75" hidden="1" customHeight="1">
      <c r="A93" s="148"/>
      <c r="B93" s="27"/>
      <c r="C93" s="77"/>
      <c r="D93" s="502"/>
      <c r="E93" s="103" t="s">
        <v>672</v>
      </c>
      <c r="F93" s="14" t="s">
        <v>19</v>
      </c>
      <c r="G93" s="105" t="s">
        <v>20</v>
      </c>
      <c r="H93" s="113">
        <v>1.5663037092258811</v>
      </c>
      <c r="I93" s="113">
        <v>54.799322524727273</v>
      </c>
      <c r="J93" s="113">
        <v>20.93056</v>
      </c>
      <c r="K93" s="120">
        <v>104.65279999999998</v>
      </c>
      <c r="L93" s="113">
        <v>107.49443012002149</v>
      </c>
      <c r="M93" s="872">
        <v>329.64104048117611</v>
      </c>
      <c r="N93" s="113">
        <v>1364.9118543979573</v>
      </c>
      <c r="O93" s="113" t="s">
        <v>498</v>
      </c>
      <c r="P93" s="873" t="s">
        <v>498</v>
      </c>
      <c r="Q93" s="113">
        <v>2750.8735999999999</v>
      </c>
      <c r="R93" s="113">
        <v>2750.8736000000004</v>
      </c>
      <c r="S93" s="113">
        <v>186.82377971933545</v>
      </c>
      <c r="T93" s="872">
        <v>470.60358553181504</v>
      </c>
      <c r="U93" s="113">
        <v>1395.3655453243891</v>
      </c>
      <c r="V93" s="113" t="s">
        <v>498</v>
      </c>
      <c r="W93" s="113" t="s">
        <v>498</v>
      </c>
      <c r="Y93" s="621"/>
      <c r="Z93" s="1086"/>
      <c r="AA93" s="282"/>
      <c r="AB93" s="282"/>
      <c r="AC93" s="1091"/>
      <c r="AD93" s="282"/>
      <c r="AE93" s="282"/>
      <c r="AF93" s="282"/>
      <c r="AG93" s="1894"/>
      <c r="AH93" s="282"/>
      <c r="AI93" s="282"/>
      <c r="AJ93" s="1894"/>
      <c r="AK93" s="282"/>
      <c r="AL93" s="282"/>
      <c r="AM93" s="282"/>
      <c r="AN93" s="1919"/>
      <c r="AO93" s="1117"/>
      <c r="AP93" s="1118"/>
      <c r="AQ93" s="967"/>
      <c r="AR93" s="1104"/>
      <c r="AS93" s="621"/>
      <c r="AT93" s="282"/>
      <c r="AU93" s="282"/>
      <c r="AV93" s="282"/>
      <c r="AW93" s="282"/>
      <c r="AX93" s="282"/>
      <c r="AY93" s="282"/>
      <c r="AZ93" s="1971"/>
      <c r="BA93" s="282"/>
      <c r="BB93" s="282"/>
      <c r="BC93" s="1894"/>
      <c r="BD93" s="1117"/>
      <c r="BE93" s="1972"/>
      <c r="BF93" s="1920"/>
      <c r="BG93" s="920"/>
      <c r="BH93" s="77"/>
      <c r="BI93" s="113">
        <v>2750.8735999999999</v>
      </c>
      <c r="BJ93" s="113">
        <v>2750.8736000000004</v>
      </c>
      <c r="BK93" s="113">
        <v>186.82377971933545</v>
      </c>
      <c r="BL93" s="872">
        <v>470.60358553181504</v>
      </c>
      <c r="BM93" s="113">
        <v>1395.3655453243891</v>
      </c>
      <c r="BN93" s="113" t="s">
        <v>498</v>
      </c>
      <c r="BO93" s="120" t="s">
        <v>498</v>
      </c>
    </row>
    <row r="94" spans="1:67" s="495" customFormat="1" ht="12.75" hidden="1" customHeight="1">
      <c r="A94" s="398"/>
      <c r="B94" s="492"/>
      <c r="C94" s="26"/>
      <c r="D94" s="26"/>
      <c r="E94" s="619" t="s">
        <v>985</v>
      </c>
      <c r="F94" s="493" t="s">
        <v>19</v>
      </c>
      <c r="G94" s="584" t="s">
        <v>20</v>
      </c>
      <c r="H94" s="343">
        <v>1.5663037092258811</v>
      </c>
      <c r="I94" s="343">
        <v>54.799322524727273</v>
      </c>
      <c r="J94" s="343">
        <v>20.93056</v>
      </c>
      <c r="K94" s="346">
        <v>104.65279999999998</v>
      </c>
      <c r="L94" s="343">
        <v>107.49443012002149</v>
      </c>
      <c r="M94" s="874" t="s">
        <v>498</v>
      </c>
      <c r="N94" s="343" t="s">
        <v>498</v>
      </c>
      <c r="O94" s="343" t="s">
        <v>498</v>
      </c>
      <c r="P94" s="875" t="s">
        <v>498</v>
      </c>
      <c r="Q94" s="343" t="s">
        <v>498</v>
      </c>
      <c r="R94" s="343" t="s">
        <v>498</v>
      </c>
      <c r="S94" s="343" t="s">
        <v>498</v>
      </c>
      <c r="T94" s="874" t="s">
        <v>498</v>
      </c>
      <c r="U94" s="343" t="s">
        <v>498</v>
      </c>
      <c r="V94" s="343" t="s">
        <v>498</v>
      </c>
      <c r="W94" s="343" t="s">
        <v>498</v>
      </c>
      <c r="Y94" s="1884"/>
      <c r="Z94" s="1089"/>
      <c r="AA94" s="1104"/>
      <c r="AB94" s="1104"/>
      <c r="AC94" s="1092"/>
      <c r="AD94" s="1104"/>
      <c r="AE94" s="1104"/>
      <c r="AF94" s="1104"/>
      <c r="AG94" s="1895"/>
      <c r="AH94" s="1104"/>
      <c r="AI94" s="1104"/>
      <c r="AJ94" s="1895"/>
      <c r="AK94" s="1104"/>
      <c r="AL94" s="1104"/>
      <c r="AM94" s="1104"/>
      <c r="AN94" s="1135"/>
      <c r="AO94" s="1117"/>
      <c r="AP94" s="1118"/>
      <c r="AQ94" s="967"/>
      <c r="AR94" s="1104"/>
      <c r="AS94" s="1884"/>
      <c r="AT94" s="1104"/>
      <c r="AU94" s="1104"/>
      <c r="AV94" s="1104"/>
      <c r="AW94" s="1104"/>
      <c r="AX94" s="1104"/>
      <c r="AY94" s="1104"/>
      <c r="AZ94" s="1973"/>
      <c r="BA94" s="1104"/>
      <c r="BB94" s="1104"/>
      <c r="BC94" s="1895"/>
      <c r="BD94" s="1117"/>
      <c r="BE94" s="1972"/>
      <c r="BF94" s="1920"/>
      <c r="BG94" s="920"/>
      <c r="BH94" s="919"/>
      <c r="BI94" s="343" t="s">
        <v>498</v>
      </c>
      <c r="BJ94" s="343" t="s">
        <v>498</v>
      </c>
      <c r="BK94" s="343" t="s">
        <v>498</v>
      </c>
      <c r="BL94" s="874" t="s">
        <v>498</v>
      </c>
      <c r="BM94" s="343" t="s">
        <v>498</v>
      </c>
      <c r="BN94" s="343" t="s">
        <v>498</v>
      </c>
      <c r="BO94" s="346" t="s">
        <v>498</v>
      </c>
    </row>
    <row r="95" spans="1:67" s="513" customFormat="1" ht="12.75" hidden="1" customHeight="1">
      <c r="A95" s="508"/>
      <c r="B95" s="510"/>
      <c r="E95" s="352" t="s">
        <v>476</v>
      </c>
      <c r="F95" s="63" t="s">
        <v>93</v>
      </c>
      <c r="G95" s="515" t="s">
        <v>24</v>
      </c>
      <c r="H95" s="237">
        <v>1354.6281316825423</v>
      </c>
      <c r="I95" s="237">
        <v>32846.527479700067</v>
      </c>
      <c r="J95" s="237">
        <v>7429.7820571133807</v>
      </c>
      <c r="K95" s="512">
        <v>24921.706199076754</v>
      </c>
      <c r="L95" s="237">
        <v>28951.048427814298</v>
      </c>
      <c r="M95" s="876" t="s">
        <v>498</v>
      </c>
      <c r="N95" s="237" t="s">
        <v>498</v>
      </c>
      <c r="O95" s="237" t="s">
        <v>498</v>
      </c>
      <c r="P95" s="877" t="s">
        <v>498</v>
      </c>
      <c r="Q95" s="237" t="s">
        <v>498</v>
      </c>
      <c r="R95" s="237" t="s">
        <v>498</v>
      </c>
      <c r="S95" s="237" t="s">
        <v>498</v>
      </c>
      <c r="T95" s="876" t="s">
        <v>498</v>
      </c>
      <c r="U95" s="237" t="s">
        <v>498</v>
      </c>
      <c r="V95" s="237" t="s">
        <v>498</v>
      </c>
      <c r="W95" s="237" t="s">
        <v>498</v>
      </c>
      <c r="Y95" s="1889"/>
      <c r="Z95" s="1102"/>
      <c r="AA95" s="1949"/>
      <c r="AB95" s="1949"/>
      <c r="AC95" s="1097"/>
      <c r="AD95" s="1949"/>
      <c r="AE95" s="1949"/>
      <c r="AF95" s="1949"/>
      <c r="AG95" s="1900"/>
      <c r="AH95" s="1949"/>
      <c r="AI95" s="1949"/>
      <c r="AJ95" s="1900"/>
      <c r="AK95" s="1949"/>
      <c r="AL95" s="1949"/>
      <c r="AM95" s="1949"/>
      <c r="AN95" s="1950"/>
      <c r="AO95" s="1124"/>
      <c r="AP95" s="1125"/>
      <c r="AQ95" s="970"/>
      <c r="AR95" s="1913"/>
      <c r="AS95" s="1889"/>
      <c r="AT95" s="1949"/>
      <c r="AU95" s="1949"/>
      <c r="AV95" s="1949"/>
      <c r="AW95" s="1949"/>
      <c r="AX95" s="1949"/>
      <c r="AY95" s="1949"/>
      <c r="AZ95" s="1984"/>
      <c r="BA95" s="1949"/>
      <c r="BB95" s="1949"/>
      <c r="BC95" s="1900"/>
      <c r="BD95" s="1124"/>
      <c r="BE95" s="1990"/>
      <c r="BF95" s="1985"/>
      <c r="BG95" s="980"/>
      <c r="BH95" s="585"/>
      <c r="BI95" s="237" t="s">
        <v>498</v>
      </c>
      <c r="BJ95" s="237" t="s">
        <v>498</v>
      </c>
      <c r="BK95" s="237" t="s">
        <v>498</v>
      </c>
      <c r="BL95" s="876" t="s">
        <v>498</v>
      </c>
      <c r="BM95" s="237" t="s">
        <v>498</v>
      </c>
      <c r="BN95" s="237" t="s">
        <v>498</v>
      </c>
      <c r="BO95" s="512" t="s">
        <v>498</v>
      </c>
    </row>
    <row r="96" spans="1:67" s="416" customFormat="1" ht="12.75" hidden="1" customHeight="1">
      <c r="A96" s="747"/>
      <c r="B96" s="496"/>
      <c r="C96" s="503"/>
      <c r="D96" s="507"/>
      <c r="E96" s="617" t="s">
        <v>628</v>
      </c>
      <c r="F96" s="618"/>
      <c r="G96" s="14"/>
      <c r="H96" s="530"/>
      <c r="I96" s="530"/>
      <c r="J96" s="530"/>
      <c r="K96" s="628"/>
      <c r="L96" s="530"/>
      <c r="M96" s="829"/>
      <c r="N96" s="530"/>
      <c r="O96" s="530"/>
      <c r="P96" s="830"/>
      <c r="Q96" s="530"/>
      <c r="R96" s="530"/>
      <c r="S96" s="530"/>
      <c r="T96" s="829"/>
      <c r="U96" s="530"/>
      <c r="V96" s="530"/>
      <c r="W96" s="530"/>
      <c r="Y96" s="1951"/>
      <c r="Z96" s="953"/>
      <c r="AA96" s="409"/>
      <c r="AB96" s="409"/>
      <c r="AC96" s="1952"/>
      <c r="AD96" s="409"/>
      <c r="AE96" s="409"/>
      <c r="AF96" s="409"/>
      <c r="AG96" s="1953"/>
      <c r="AH96" s="409"/>
      <c r="AI96" s="409"/>
      <c r="AJ96" s="1953"/>
      <c r="AK96" s="409"/>
      <c r="AL96" s="409"/>
      <c r="AM96" s="409"/>
      <c r="AN96" s="1954"/>
      <c r="AO96" s="1126"/>
      <c r="AP96" s="1127"/>
      <c r="AQ96" s="971"/>
      <c r="AR96" s="1914"/>
      <c r="AS96" s="1951"/>
      <c r="AT96" s="409"/>
      <c r="AU96" s="409"/>
      <c r="AV96" s="409"/>
      <c r="AW96" s="409"/>
      <c r="AX96" s="409"/>
      <c r="AY96" s="409"/>
      <c r="AZ96" s="1992"/>
      <c r="BA96" s="409"/>
      <c r="BB96" s="409"/>
      <c r="BC96" s="1953"/>
      <c r="BD96" s="1126"/>
      <c r="BE96" s="1993"/>
      <c r="BF96" s="1994"/>
      <c r="BG96" s="981"/>
      <c r="BH96" s="747"/>
      <c r="BI96" s="530"/>
      <c r="BJ96" s="530"/>
      <c r="BK96" s="530"/>
      <c r="BL96" s="829"/>
      <c r="BM96" s="530"/>
      <c r="BN96" s="530"/>
      <c r="BO96" s="628"/>
    </row>
    <row r="97" spans="1:67" s="495" customFormat="1" ht="12.75" hidden="1" customHeight="1">
      <c r="A97" s="398"/>
      <c r="B97" s="492"/>
      <c r="C97" s="503"/>
      <c r="D97" s="504"/>
      <c r="E97" s="619" t="s">
        <v>985</v>
      </c>
      <c r="F97" s="493" t="s">
        <v>19</v>
      </c>
      <c r="G97" s="493" t="s">
        <v>20</v>
      </c>
      <c r="H97" s="343">
        <v>0.29368194547985271</v>
      </c>
      <c r="I97" s="343">
        <v>10.274872973386364</v>
      </c>
      <c r="J97" s="343">
        <v>3.9244799999999995</v>
      </c>
      <c r="K97" s="346">
        <v>19.622400000000003</v>
      </c>
      <c r="L97" s="343">
        <v>20.155205647504026</v>
      </c>
      <c r="M97" s="874">
        <v>61.80769509022052</v>
      </c>
      <c r="N97" s="343" t="s">
        <v>498</v>
      </c>
      <c r="O97" s="343" t="s">
        <v>498</v>
      </c>
      <c r="P97" s="875" t="s">
        <v>498</v>
      </c>
      <c r="Q97" s="343" t="s">
        <v>498</v>
      </c>
      <c r="R97" s="343" t="s">
        <v>498</v>
      </c>
      <c r="S97" s="343" t="s">
        <v>498</v>
      </c>
      <c r="T97" s="874" t="s">
        <v>498</v>
      </c>
      <c r="U97" s="343" t="s">
        <v>498</v>
      </c>
      <c r="V97" s="343" t="s">
        <v>498</v>
      </c>
      <c r="W97" s="343" t="s">
        <v>498</v>
      </c>
      <c r="Y97" s="1884"/>
      <c r="Z97" s="1089"/>
      <c r="AA97" s="1104"/>
      <c r="AB97" s="1104"/>
      <c r="AC97" s="1092"/>
      <c r="AD97" s="1104"/>
      <c r="AE97" s="1104"/>
      <c r="AF97" s="1104"/>
      <c r="AG97" s="1895"/>
      <c r="AH97" s="1104"/>
      <c r="AI97" s="1104"/>
      <c r="AJ97" s="1895"/>
      <c r="AK97" s="1104"/>
      <c r="AL97" s="1104"/>
      <c r="AM97" s="1104"/>
      <c r="AN97" s="1135"/>
      <c r="AO97" s="1117"/>
      <c r="AP97" s="1118"/>
      <c r="AQ97" s="967"/>
      <c r="AR97" s="1104"/>
      <c r="AS97" s="1884"/>
      <c r="AT97" s="1104"/>
      <c r="AU97" s="1104"/>
      <c r="AV97" s="1104"/>
      <c r="AW97" s="1104"/>
      <c r="AX97" s="1104"/>
      <c r="AY97" s="1104"/>
      <c r="AZ97" s="1973"/>
      <c r="BA97" s="1104"/>
      <c r="BB97" s="1104"/>
      <c r="BC97" s="1895"/>
      <c r="BD97" s="1117"/>
      <c r="BE97" s="1972"/>
      <c r="BF97" s="1920"/>
      <c r="BG97" s="920"/>
      <c r="BH97" s="919"/>
      <c r="BI97" s="343" t="s">
        <v>498</v>
      </c>
      <c r="BJ97" s="343" t="s">
        <v>498</v>
      </c>
      <c r="BK97" s="343" t="s">
        <v>498</v>
      </c>
      <c r="BL97" s="874" t="s">
        <v>498</v>
      </c>
      <c r="BM97" s="343" t="s">
        <v>498</v>
      </c>
      <c r="BN97" s="343" t="s">
        <v>498</v>
      </c>
      <c r="BO97" s="346" t="s">
        <v>498</v>
      </c>
    </row>
    <row r="98" spans="1:67" s="742" customFormat="1" ht="12.75" hidden="1" customHeight="1">
      <c r="A98" s="732"/>
      <c r="B98" s="733"/>
      <c r="C98" s="743"/>
      <c r="D98" s="744"/>
      <c r="E98" s="736" t="s">
        <v>476</v>
      </c>
      <c r="F98" s="737" t="s">
        <v>93</v>
      </c>
      <c r="G98" s="737" t="s">
        <v>24</v>
      </c>
      <c r="H98" s="740">
        <v>253.99277469047667</v>
      </c>
      <c r="I98" s="740">
        <v>6158.7239024437613</v>
      </c>
      <c r="J98" s="740">
        <v>1393.0841357087588</v>
      </c>
      <c r="K98" s="741">
        <v>4672.8199123268923</v>
      </c>
      <c r="L98" s="740">
        <v>5428.321580215179</v>
      </c>
      <c r="M98" s="878">
        <v>3248.2906216566125</v>
      </c>
      <c r="N98" s="740" t="s">
        <v>498</v>
      </c>
      <c r="O98" s="740" t="s">
        <v>498</v>
      </c>
      <c r="P98" s="879" t="s">
        <v>498</v>
      </c>
      <c r="Q98" s="740" t="s">
        <v>498</v>
      </c>
      <c r="R98" s="740" t="s">
        <v>498</v>
      </c>
      <c r="S98" s="740" t="s">
        <v>498</v>
      </c>
      <c r="T98" s="878" t="s">
        <v>498</v>
      </c>
      <c r="U98" s="740" t="s">
        <v>498</v>
      </c>
      <c r="V98" s="740" t="s">
        <v>498</v>
      </c>
      <c r="W98" s="740" t="s">
        <v>498</v>
      </c>
      <c r="Y98" s="1885"/>
      <c r="Z98" s="1103"/>
      <c r="AA98" s="1944"/>
      <c r="AB98" s="1944"/>
      <c r="AC98" s="1093"/>
      <c r="AD98" s="1944"/>
      <c r="AE98" s="1944"/>
      <c r="AF98" s="1944"/>
      <c r="AG98" s="1896"/>
      <c r="AH98" s="1944"/>
      <c r="AI98" s="1944"/>
      <c r="AJ98" s="1896"/>
      <c r="AK98" s="1944"/>
      <c r="AL98" s="1944"/>
      <c r="AM98" s="1944"/>
      <c r="AN98" s="1945"/>
      <c r="AO98" s="1121"/>
      <c r="AP98" s="1128"/>
      <c r="AQ98" s="969"/>
      <c r="AR98" s="1911"/>
      <c r="AS98" s="1885"/>
      <c r="AT98" s="1944"/>
      <c r="AU98" s="1944"/>
      <c r="AV98" s="1944"/>
      <c r="AW98" s="1944"/>
      <c r="AX98" s="1944"/>
      <c r="AY98" s="1944"/>
      <c r="AZ98" s="1977"/>
      <c r="BA98" s="1944"/>
      <c r="BB98" s="1944"/>
      <c r="BC98" s="1896"/>
      <c r="BD98" s="1121"/>
      <c r="BE98" s="1995"/>
      <c r="BF98" s="1978"/>
      <c r="BG98" s="978"/>
      <c r="BH98" s="743"/>
      <c r="BI98" s="740" t="s">
        <v>498</v>
      </c>
      <c r="BJ98" s="740" t="s">
        <v>498</v>
      </c>
      <c r="BK98" s="740" t="s">
        <v>498</v>
      </c>
      <c r="BL98" s="878" t="s">
        <v>498</v>
      </c>
      <c r="BM98" s="740" t="s">
        <v>498</v>
      </c>
      <c r="BN98" s="740" t="s">
        <v>498</v>
      </c>
      <c r="BO98" s="741" t="s">
        <v>498</v>
      </c>
    </row>
    <row r="99" spans="1:67" s="26" customFormat="1" ht="12.75" hidden="1" customHeight="1">
      <c r="A99" s="398"/>
      <c r="B99" s="27"/>
      <c r="C99" s="503"/>
      <c r="D99" s="507"/>
      <c r="E99" s="619" t="s">
        <v>659</v>
      </c>
      <c r="F99" s="493" t="s">
        <v>19</v>
      </c>
      <c r="G99" s="493" t="s">
        <v>20</v>
      </c>
      <c r="H99" s="343">
        <v>0.29368194547985271</v>
      </c>
      <c r="I99" s="343">
        <v>10.274872973386364</v>
      </c>
      <c r="J99" s="343">
        <v>3.9244799999999995</v>
      </c>
      <c r="K99" s="346">
        <v>19.622400000000003</v>
      </c>
      <c r="L99" s="343">
        <v>20.155205647504026</v>
      </c>
      <c r="M99" s="874">
        <v>61.80769509022052</v>
      </c>
      <c r="N99" s="343" t="s">
        <v>498</v>
      </c>
      <c r="O99" s="343" t="s">
        <v>498</v>
      </c>
      <c r="P99" s="875" t="s">
        <v>498</v>
      </c>
      <c r="Q99" s="343">
        <v>104.37321463070556</v>
      </c>
      <c r="R99" s="343" t="s">
        <v>498</v>
      </c>
      <c r="S99" s="343" t="s">
        <v>498</v>
      </c>
      <c r="T99" s="874" t="s">
        <v>498</v>
      </c>
      <c r="U99" s="343" t="s">
        <v>498</v>
      </c>
      <c r="V99" s="343" t="s">
        <v>498</v>
      </c>
      <c r="W99" s="343" t="s">
        <v>498</v>
      </c>
      <c r="Y99" s="621"/>
      <c r="Z99" s="1086"/>
      <c r="AA99" s="282"/>
      <c r="AB99" s="282"/>
      <c r="AC99" s="1091"/>
      <c r="AD99" s="282"/>
      <c r="AE99" s="282"/>
      <c r="AF99" s="282"/>
      <c r="AG99" s="1894"/>
      <c r="AH99" s="282"/>
      <c r="AI99" s="282"/>
      <c r="AJ99" s="1894"/>
      <c r="AK99" s="282"/>
      <c r="AL99" s="282"/>
      <c r="AM99" s="282"/>
      <c r="AN99" s="1919"/>
      <c r="AO99" s="1117"/>
      <c r="AP99" s="1118"/>
      <c r="AQ99" s="967"/>
      <c r="AR99" s="1104"/>
      <c r="AS99" s="621"/>
      <c r="AT99" s="282"/>
      <c r="AU99" s="282"/>
      <c r="AV99" s="282"/>
      <c r="AW99" s="282"/>
      <c r="AX99" s="282"/>
      <c r="AY99" s="282"/>
      <c r="AZ99" s="1971"/>
      <c r="BA99" s="282"/>
      <c r="BB99" s="282"/>
      <c r="BC99" s="1894"/>
      <c r="BD99" s="1117"/>
      <c r="BE99" s="1972"/>
      <c r="BF99" s="1920"/>
      <c r="BG99" s="920"/>
      <c r="BH99" s="77"/>
      <c r="BI99" s="343">
        <v>104.37321463070556</v>
      </c>
      <c r="BJ99" s="343" t="s">
        <v>498</v>
      </c>
      <c r="BK99" s="343" t="s">
        <v>498</v>
      </c>
      <c r="BL99" s="874" t="s">
        <v>498</v>
      </c>
      <c r="BM99" s="343" t="s">
        <v>498</v>
      </c>
      <c r="BN99" s="343" t="s">
        <v>498</v>
      </c>
      <c r="BO99" s="346" t="s">
        <v>498</v>
      </c>
    </row>
    <row r="100" spans="1:67" s="403" customFormat="1" ht="13.5" hidden="1" customHeight="1" thickBot="1">
      <c r="A100" s="402"/>
      <c r="B100" s="257"/>
      <c r="C100" s="622"/>
      <c r="D100" s="752"/>
      <c r="E100" s="626" t="s">
        <v>660</v>
      </c>
      <c r="F100" s="614" t="s">
        <v>19</v>
      </c>
      <c r="G100" s="614" t="s">
        <v>20</v>
      </c>
      <c r="H100" s="630">
        <v>1.7316165079365078E-2</v>
      </c>
      <c r="I100" s="630">
        <v>1.5640729419169927E-2</v>
      </c>
      <c r="J100" s="630">
        <v>2.818524839493879E-2</v>
      </c>
      <c r="K100" s="751">
        <v>1.2786755989114631E-3</v>
      </c>
      <c r="L100" s="630">
        <v>8.5398354360984013E-3</v>
      </c>
      <c r="M100" s="885">
        <v>1.3319432157547906E-2</v>
      </c>
      <c r="N100" s="630">
        <v>6.8048879913036098E-2</v>
      </c>
      <c r="O100" s="630">
        <v>0.54573435897435907</v>
      </c>
      <c r="P100" s="886" t="s">
        <v>498</v>
      </c>
      <c r="Q100" s="630">
        <v>3.3903300887639376E-3</v>
      </c>
      <c r="R100" s="630">
        <v>4.5280501163246908E-3</v>
      </c>
      <c r="S100" s="630">
        <v>1.2196548272984103E-3</v>
      </c>
      <c r="T100" s="885">
        <v>1.5593781961583686E-3</v>
      </c>
      <c r="U100" s="630">
        <v>6.840264042418419E-3</v>
      </c>
      <c r="V100" s="630">
        <v>9.0230115878123282E-2</v>
      </c>
      <c r="W100" s="630">
        <v>13.034703299306772</v>
      </c>
      <c r="Y100" s="241"/>
      <c r="Z100" s="1090"/>
      <c r="AA100" s="242"/>
      <c r="AB100" s="242"/>
      <c r="AC100" s="1955"/>
      <c r="AD100" s="242"/>
      <c r="AE100" s="242"/>
      <c r="AF100" s="242"/>
      <c r="AG100" s="1956"/>
      <c r="AH100" s="242"/>
      <c r="AI100" s="242"/>
      <c r="AJ100" s="1956"/>
      <c r="AK100" s="242"/>
      <c r="AL100" s="242"/>
      <c r="AM100" s="242"/>
      <c r="AN100" s="243"/>
      <c r="AO100" s="1119"/>
      <c r="AP100" s="1120"/>
      <c r="AQ100" s="968"/>
      <c r="AR100" s="1915"/>
      <c r="AS100" s="241"/>
      <c r="AT100" s="242"/>
      <c r="AU100" s="242"/>
      <c r="AV100" s="242"/>
      <c r="AW100" s="242"/>
      <c r="AX100" s="242"/>
      <c r="AY100" s="242"/>
      <c r="AZ100" s="1996"/>
      <c r="BA100" s="242"/>
      <c r="BB100" s="242"/>
      <c r="BC100" s="1956"/>
      <c r="BD100" s="1119"/>
      <c r="BE100" s="1997"/>
      <c r="BF100" s="1998"/>
      <c r="BG100" s="977"/>
      <c r="BH100" s="748"/>
      <c r="BI100" s="630">
        <v>3.3903300887639376E-3</v>
      </c>
      <c r="BJ100" s="630">
        <v>4.5280501163246908E-3</v>
      </c>
      <c r="BK100" s="630">
        <v>1.2196548272984103E-3</v>
      </c>
      <c r="BL100" s="885">
        <v>1.5593781961583686E-3</v>
      </c>
      <c r="BM100" s="630">
        <v>6.840264042418419E-3</v>
      </c>
      <c r="BN100" s="630">
        <v>9.0230115878123282E-2</v>
      </c>
      <c r="BO100" s="751">
        <v>13.034703299306772</v>
      </c>
    </row>
    <row r="101" spans="1:67" s="293" customFormat="1" ht="12.75" hidden="1" customHeight="1">
      <c r="B101" s="294"/>
      <c r="C101" s="65"/>
      <c r="D101" s="505"/>
      <c r="E101" s="617" t="s">
        <v>651</v>
      </c>
      <c r="F101" s="618"/>
      <c r="G101" s="105"/>
      <c r="H101" s="530"/>
      <c r="I101" s="530"/>
      <c r="J101" s="530"/>
      <c r="K101" s="628"/>
      <c r="L101" s="530"/>
      <c r="M101" s="829"/>
      <c r="N101" s="530"/>
      <c r="O101" s="530"/>
      <c r="P101" s="830"/>
      <c r="Q101" s="530"/>
      <c r="R101" s="530"/>
      <c r="S101" s="530"/>
      <c r="T101" s="829"/>
      <c r="U101" s="530"/>
      <c r="V101" s="530"/>
      <c r="W101" s="530"/>
      <c r="Y101" s="1890"/>
      <c r="Z101" s="1088"/>
      <c r="AA101" s="1633"/>
      <c r="AB101" s="1633"/>
      <c r="AC101" s="1098"/>
      <c r="AD101" s="1633"/>
      <c r="AE101" s="1633"/>
      <c r="AF101" s="1633"/>
      <c r="AG101" s="1901"/>
      <c r="AH101" s="1633"/>
      <c r="AI101" s="1633"/>
      <c r="AJ101" s="1901"/>
      <c r="AK101" s="1633"/>
      <c r="AL101" s="1633"/>
      <c r="AM101" s="1633"/>
      <c r="AN101" s="1941"/>
      <c r="AO101" s="1115"/>
      <c r="AP101" s="1116"/>
      <c r="AQ101" s="966"/>
      <c r="AR101" s="1908"/>
      <c r="AS101" s="1890"/>
      <c r="AT101" s="1633"/>
      <c r="AU101" s="1633"/>
      <c r="AV101" s="1633"/>
      <c r="AW101" s="1633"/>
      <c r="AX101" s="1633"/>
      <c r="AY101" s="1633"/>
      <c r="AZ101" s="1968"/>
      <c r="BA101" s="1633"/>
      <c r="BB101" s="1633"/>
      <c r="BC101" s="1901"/>
      <c r="BD101" s="1115"/>
      <c r="BE101" s="1969"/>
      <c r="BF101" s="1970"/>
      <c r="BG101" s="976"/>
      <c r="BH101" s="305"/>
      <c r="BI101" s="530"/>
      <c r="BJ101" s="530"/>
      <c r="BK101" s="530"/>
      <c r="BL101" s="829"/>
      <c r="BM101" s="530"/>
      <c r="BN101" s="530"/>
      <c r="BO101" s="628"/>
    </row>
    <row r="102" spans="1:67" s="26" customFormat="1" ht="12.75" hidden="1" customHeight="1">
      <c r="A102" s="482"/>
      <c r="B102" s="27"/>
      <c r="C102" s="138"/>
      <c r="D102" s="195"/>
      <c r="E102" s="103" t="s">
        <v>670</v>
      </c>
      <c r="F102" s="14" t="s">
        <v>19</v>
      </c>
      <c r="G102" s="105" t="s">
        <v>20</v>
      </c>
      <c r="H102" s="56">
        <v>3.1980840324310131</v>
      </c>
      <c r="I102" s="56">
        <v>109.77672079487719</v>
      </c>
      <c r="J102" s="56">
        <v>151.83785863743765</v>
      </c>
      <c r="K102" s="57">
        <v>185.07020517233116</v>
      </c>
      <c r="L102" s="56">
        <v>192.092201524817</v>
      </c>
      <c r="M102" s="870">
        <v>452.49519691724385</v>
      </c>
      <c r="N102" s="56">
        <v>1097.9973364861983</v>
      </c>
      <c r="O102" s="56" t="s">
        <v>498</v>
      </c>
      <c r="P102" s="871" t="s">
        <v>498</v>
      </c>
      <c r="Q102" s="56">
        <v>4813.5403636363644</v>
      </c>
      <c r="R102" s="56">
        <v>4813.5403636363635</v>
      </c>
      <c r="S102" s="56">
        <v>377.83264003298774</v>
      </c>
      <c r="T102" s="870">
        <v>859.13227743955849</v>
      </c>
      <c r="U102" s="56">
        <v>2011.7586893702742</v>
      </c>
      <c r="V102" s="56" t="s">
        <v>498</v>
      </c>
      <c r="W102" s="56" t="s">
        <v>498</v>
      </c>
      <c r="Y102" s="621"/>
      <c r="Z102" s="1086"/>
      <c r="AA102" s="282"/>
      <c r="AB102" s="282"/>
      <c r="AC102" s="1091"/>
      <c r="AD102" s="282"/>
      <c r="AE102" s="282"/>
      <c r="AF102" s="282"/>
      <c r="AG102" s="1894"/>
      <c r="AH102" s="282"/>
      <c r="AI102" s="282"/>
      <c r="AJ102" s="1894"/>
      <c r="AK102" s="282"/>
      <c r="AL102" s="282"/>
      <c r="AM102" s="282"/>
      <c r="AN102" s="1919"/>
      <c r="AO102" s="1117"/>
      <c r="AP102" s="1118"/>
      <c r="AQ102" s="967"/>
      <c r="AR102" s="1104"/>
      <c r="AS102" s="621"/>
      <c r="AT102" s="282"/>
      <c r="AU102" s="282"/>
      <c r="AV102" s="282"/>
      <c r="AW102" s="282"/>
      <c r="AX102" s="282"/>
      <c r="AY102" s="282"/>
      <c r="AZ102" s="1971"/>
      <c r="BA102" s="282"/>
      <c r="BB102" s="282"/>
      <c r="BC102" s="1894"/>
      <c r="BD102" s="1117"/>
      <c r="BE102" s="1972"/>
      <c r="BF102" s="1920"/>
      <c r="BG102" s="920"/>
      <c r="BH102" s="77"/>
      <c r="BI102" s="56">
        <v>4813.5403636363644</v>
      </c>
      <c r="BJ102" s="56">
        <v>4813.5403636363635</v>
      </c>
      <c r="BK102" s="56">
        <v>377.83264003298774</v>
      </c>
      <c r="BL102" s="870">
        <v>859.13227743955849</v>
      </c>
      <c r="BM102" s="56">
        <v>2011.7586893702742</v>
      </c>
      <c r="BN102" s="56" t="s">
        <v>498</v>
      </c>
      <c r="BO102" s="57" t="s">
        <v>498</v>
      </c>
    </row>
    <row r="103" spans="1:67" s="26" customFormat="1" ht="12.75" hidden="1" customHeight="1">
      <c r="A103" s="482"/>
      <c r="B103" s="27"/>
      <c r="C103" s="77"/>
      <c r="D103" s="502"/>
      <c r="E103" s="103" t="s">
        <v>671</v>
      </c>
      <c r="F103" s="14" t="s">
        <v>19</v>
      </c>
      <c r="G103" s="105" t="s">
        <v>20</v>
      </c>
      <c r="H103" s="56">
        <v>15.26031818181818</v>
      </c>
      <c r="I103" s="56" t="s">
        <v>498</v>
      </c>
      <c r="J103" s="56">
        <v>36.624763636363632</v>
      </c>
      <c r="K103" s="57" t="s">
        <v>498</v>
      </c>
      <c r="L103" s="56" t="s">
        <v>498</v>
      </c>
      <c r="M103" s="870" t="s">
        <v>498</v>
      </c>
      <c r="N103" s="56" t="s">
        <v>498</v>
      </c>
      <c r="O103" s="56" t="s">
        <v>498</v>
      </c>
      <c r="P103" s="871" t="s">
        <v>498</v>
      </c>
      <c r="Q103" s="56" t="s">
        <v>498</v>
      </c>
      <c r="R103" s="56" t="s">
        <v>498</v>
      </c>
      <c r="S103" s="56" t="s">
        <v>498</v>
      </c>
      <c r="T103" s="870" t="s">
        <v>498</v>
      </c>
      <c r="U103" s="56" t="s">
        <v>498</v>
      </c>
      <c r="V103" s="56" t="s">
        <v>498</v>
      </c>
      <c r="W103" s="56" t="s">
        <v>498</v>
      </c>
      <c r="Y103" s="621"/>
      <c r="Z103" s="1086"/>
      <c r="AA103" s="282"/>
      <c r="AB103" s="282"/>
      <c r="AC103" s="1091"/>
      <c r="AD103" s="282"/>
      <c r="AE103" s="282"/>
      <c r="AF103" s="282"/>
      <c r="AG103" s="1894"/>
      <c r="AH103" s="282"/>
      <c r="AI103" s="282"/>
      <c r="AJ103" s="1894"/>
      <c r="AK103" s="282"/>
      <c r="AL103" s="282"/>
      <c r="AM103" s="282"/>
      <c r="AN103" s="1919"/>
      <c r="AO103" s="1117"/>
      <c r="AP103" s="1118"/>
      <c r="AQ103" s="967"/>
      <c r="AR103" s="1104"/>
      <c r="AS103" s="621"/>
      <c r="AT103" s="282"/>
      <c r="AU103" s="282"/>
      <c r="AV103" s="282"/>
      <c r="AW103" s="282"/>
      <c r="AX103" s="282"/>
      <c r="AY103" s="282"/>
      <c r="AZ103" s="1971"/>
      <c r="BA103" s="282"/>
      <c r="BB103" s="282"/>
      <c r="BC103" s="1894"/>
      <c r="BD103" s="1117"/>
      <c r="BE103" s="1972"/>
      <c r="BF103" s="1920"/>
      <c r="BG103" s="920"/>
      <c r="BH103" s="77"/>
      <c r="BI103" s="56" t="s">
        <v>498</v>
      </c>
      <c r="BJ103" s="56" t="s">
        <v>498</v>
      </c>
      <c r="BK103" s="56" t="s">
        <v>498</v>
      </c>
      <c r="BL103" s="870" t="s">
        <v>498</v>
      </c>
      <c r="BM103" s="56" t="s">
        <v>498</v>
      </c>
      <c r="BN103" s="56" t="s">
        <v>498</v>
      </c>
      <c r="BO103" s="57" t="s">
        <v>498</v>
      </c>
    </row>
    <row r="104" spans="1:67" s="26" customFormat="1" ht="12.75" hidden="1" customHeight="1">
      <c r="A104" s="17"/>
      <c r="B104" s="27"/>
      <c r="C104" s="77"/>
      <c r="D104" s="502"/>
      <c r="E104" s="103" t="s">
        <v>672</v>
      </c>
      <c r="F104" s="14" t="s">
        <v>19</v>
      </c>
      <c r="G104" s="105" t="s">
        <v>20</v>
      </c>
      <c r="H104" s="113">
        <v>3.1980840324310131</v>
      </c>
      <c r="I104" s="113">
        <v>109.77672079487719</v>
      </c>
      <c r="J104" s="113">
        <v>36.624763636363632</v>
      </c>
      <c r="K104" s="120">
        <v>185.07020517233116</v>
      </c>
      <c r="L104" s="113">
        <v>192.092201524817</v>
      </c>
      <c r="M104" s="872">
        <v>452.49519691724385</v>
      </c>
      <c r="N104" s="113">
        <v>1097.9973364861983</v>
      </c>
      <c r="O104" s="113" t="s">
        <v>498</v>
      </c>
      <c r="P104" s="873" t="s">
        <v>498</v>
      </c>
      <c r="Q104" s="113">
        <v>4813.5403636363644</v>
      </c>
      <c r="R104" s="113">
        <v>4813.5403636363635</v>
      </c>
      <c r="S104" s="113">
        <v>377.83264003298774</v>
      </c>
      <c r="T104" s="872">
        <v>859.13227743955849</v>
      </c>
      <c r="U104" s="113">
        <v>2011.7586893702742</v>
      </c>
      <c r="V104" s="113" t="s">
        <v>498</v>
      </c>
      <c r="W104" s="113" t="s">
        <v>498</v>
      </c>
      <c r="Y104" s="621"/>
      <c r="Z104" s="1086"/>
      <c r="AA104" s="282"/>
      <c r="AB104" s="282"/>
      <c r="AC104" s="1091"/>
      <c r="AD104" s="282"/>
      <c r="AE104" s="282"/>
      <c r="AF104" s="282"/>
      <c r="AG104" s="1894"/>
      <c r="AH104" s="282"/>
      <c r="AI104" s="282"/>
      <c r="AJ104" s="1894"/>
      <c r="AK104" s="282"/>
      <c r="AL104" s="282"/>
      <c r="AM104" s="282"/>
      <c r="AN104" s="1919"/>
      <c r="AO104" s="1117"/>
      <c r="AP104" s="1118"/>
      <c r="AQ104" s="967"/>
      <c r="AR104" s="1104"/>
      <c r="AS104" s="621"/>
      <c r="AT104" s="282"/>
      <c r="AU104" s="282"/>
      <c r="AV104" s="282"/>
      <c r="AW104" s="282"/>
      <c r="AX104" s="282"/>
      <c r="AY104" s="282"/>
      <c r="AZ104" s="1971"/>
      <c r="BA104" s="282"/>
      <c r="BB104" s="282"/>
      <c r="BC104" s="1894"/>
      <c r="BD104" s="1117"/>
      <c r="BE104" s="1972"/>
      <c r="BF104" s="1920"/>
      <c r="BG104" s="920"/>
      <c r="BH104" s="77"/>
      <c r="BI104" s="113">
        <v>4813.5403636363644</v>
      </c>
      <c r="BJ104" s="113">
        <v>4813.5403636363635</v>
      </c>
      <c r="BK104" s="113">
        <v>377.83264003298774</v>
      </c>
      <c r="BL104" s="872">
        <v>859.13227743955849</v>
      </c>
      <c r="BM104" s="113">
        <v>2011.7586893702742</v>
      </c>
      <c r="BN104" s="113" t="s">
        <v>498</v>
      </c>
      <c r="BO104" s="120" t="s">
        <v>498</v>
      </c>
    </row>
    <row r="105" spans="1:67" s="495" customFormat="1" ht="12.75" hidden="1" customHeight="1">
      <c r="A105" s="398"/>
      <c r="B105" s="492"/>
      <c r="C105" s="503"/>
      <c r="D105" s="504"/>
      <c r="E105" s="619" t="s">
        <v>985</v>
      </c>
      <c r="F105" s="493" t="s">
        <v>19</v>
      </c>
      <c r="G105" s="584" t="s">
        <v>20</v>
      </c>
      <c r="H105" s="343">
        <v>3.1980840324310131</v>
      </c>
      <c r="I105" s="343">
        <v>109.77672079487719</v>
      </c>
      <c r="J105" s="343">
        <v>36.624763636363632</v>
      </c>
      <c r="K105" s="346" t="s">
        <v>498</v>
      </c>
      <c r="L105" s="343" t="s">
        <v>498</v>
      </c>
      <c r="M105" s="874" t="s">
        <v>498</v>
      </c>
      <c r="N105" s="343" t="s">
        <v>498</v>
      </c>
      <c r="O105" s="343" t="s">
        <v>498</v>
      </c>
      <c r="P105" s="875" t="s">
        <v>498</v>
      </c>
      <c r="Q105" s="343" t="s">
        <v>498</v>
      </c>
      <c r="R105" s="343" t="s">
        <v>498</v>
      </c>
      <c r="S105" s="343" t="s">
        <v>498</v>
      </c>
      <c r="T105" s="874" t="s">
        <v>498</v>
      </c>
      <c r="U105" s="343" t="s">
        <v>498</v>
      </c>
      <c r="V105" s="343" t="s">
        <v>498</v>
      </c>
      <c r="W105" s="343" t="s">
        <v>498</v>
      </c>
      <c r="Y105" s="1884"/>
      <c r="Z105" s="1089"/>
      <c r="AA105" s="1104"/>
      <c r="AB105" s="1104"/>
      <c r="AC105" s="1092"/>
      <c r="AD105" s="1104"/>
      <c r="AE105" s="1104"/>
      <c r="AF105" s="1104"/>
      <c r="AG105" s="1895"/>
      <c r="AH105" s="1104"/>
      <c r="AI105" s="1104"/>
      <c r="AJ105" s="1895"/>
      <c r="AK105" s="1104"/>
      <c r="AL105" s="1104"/>
      <c r="AM105" s="1104"/>
      <c r="AN105" s="1135"/>
      <c r="AO105" s="1117"/>
      <c r="AP105" s="1118"/>
      <c r="AQ105" s="967"/>
      <c r="AR105" s="1104"/>
      <c r="AS105" s="1884"/>
      <c r="AT105" s="1104"/>
      <c r="AU105" s="1104"/>
      <c r="AV105" s="1104"/>
      <c r="AW105" s="1104"/>
      <c r="AX105" s="1104"/>
      <c r="AY105" s="1104"/>
      <c r="AZ105" s="1973"/>
      <c r="BA105" s="1104"/>
      <c r="BB105" s="1104"/>
      <c r="BC105" s="1895"/>
      <c r="BD105" s="1117"/>
      <c r="BE105" s="1972"/>
      <c r="BF105" s="1920"/>
      <c r="BG105" s="920"/>
      <c r="BH105" s="919"/>
      <c r="BI105" s="343" t="s">
        <v>498</v>
      </c>
      <c r="BJ105" s="343" t="s">
        <v>498</v>
      </c>
      <c r="BK105" s="343" t="s">
        <v>498</v>
      </c>
      <c r="BL105" s="874" t="s">
        <v>498</v>
      </c>
      <c r="BM105" s="343" t="s">
        <v>498</v>
      </c>
      <c r="BN105" s="343" t="s">
        <v>498</v>
      </c>
      <c r="BO105" s="346" t="s">
        <v>498</v>
      </c>
    </row>
    <row r="106" spans="1:67" s="742" customFormat="1" ht="12.75" hidden="1" customHeight="1">
      <c r="A106" s="732"/>
      <c r="B106" s="733"/>
      <c r="C106" s="734"/>
      <c r="D106" s="735"/>
      <c r="E106" s="736" t="s">
        <v>476</v>
      </c>
      <c r="F106" s="737" t="s">
        <v>19</v>
      </c>
      <c r="G106" s="738" t="s">
        <v>24</v>
      </c>
      <c r="H106" s="740">
        <v>2765.8841464130337</v>
      </c>
      <c r="I106" s="740">
        <v>65799.792955346216</v>
      </c>
      <c r="J106" s="740">
        <v>13000.799391486569</v>
      </c>
      <c r="K106" s="741" t="s">
        <v>498</v>
      </c>
      <c r="L106" s="740" t="s">
        <v>498</v>
      </c>
      <c r="M106" s="878" t="s">
        <v>498</v>
      </c>
      <c r="N106" s="740" t="s">
        <v>498</v>
      </c>
      <c r="O106" s="740" t="s">
        <v>498</v>
      </c>
      <c r="P106" s="879" t="s">
        <v>498</v>
      </c>
      <c r="Q106" s="740" t="s">
        <v>498</v>
      </c>
      <c r="R106" s="740" t="s">
        <v>498</v>
      </c>
      <c r="S106" s="740" t="s">
        <v>498</v>
      </c>
      <c r="T106" s="878" t="s">
        <v>498</v>
      </c>
      <c r="U106" s="740" t="s">
        <v>498</v>
      </c>
      <c r="V106" s="740" t="s">
        <v>498</v>
      </c>
      <c r="W106" s="740" t="s">
        <v>498</v>
      </c>
      <c r="Y106" s="1885"/>
      <c r="Z106" s="1103"/>
      <c r="AA106" s="1944"/>
      <c r="AB106" s="1944"/>
      <c r="AC106" s="1093"/>
      <c r="AD106" s="1944"/>
      <c r="AE106" s="1944"/>
      <c r="AF106" s="1944"/>
      <c r="AG106" s="1896"/>
      <c r="AH106" s="1944"/>
      <c r="AI106" s="1944"/>
      <c r="AJ106" s="1896"/>
      <c r="AK106" s="1944"/>
      <c r="AL106" s="1944"/>
      <c r="AM106" s="1944"/>
      <c r="AN106" s="1945"/>
      <c r="AO106" s="1121"/>
      <c r="AP106" s="1128"/>
      <c r="AQ106" s="969"/>
      <c r="AR106" s="1911"/>
      <c r="AS106" s="1885"/>
      <c r="AT106" s="1944"/>
      <c r="AU106" s="1944"/>
      <c r="AV106" s="1944"/>
      <c r="AW106" s="1944"/>
      <c r="AX106" s="1944"/>
      <c r="AY106" s="1944"/>
      <c r="AZ106" s="1977"/>
      <c r="BA106" s="1944"/>
      <c r="BB106" s="1944"/>
      <c r="BC106" s="1896"/>
      <c r="BD106" s="1121"/>
      <c r="BE106" s="1995"/>
      <c r="BF106" s="1978"/>
      <c r="BG106" s="978"/>
      <c r="BH106" s="743"/>
      <c r="BI106" s="740" t="s">
        <v>498</v>
      </c>
      <c r="BJ106" s="740" t="s">
        <v>498</v>
      </c>
      <c r="BK106" s="740" t="s">
        <v>498</v>
      </c>
      <c r="BL106" s="878" t="s">
        <v>498</v>
      </c>
      <c r="BM106" s="740" t="s">
        <v>498</v>
      </c>
      <c r="BN106" s="740" t="s">
        <v>498</v>
      </c>
      <c r="BO106" s="741" t="s">
        <v>498</v>
      </c>
    </row>
    <row r="107" spans="1:67" s="26" customFormat="1" ht="12.75" hidden="1" customHeight="1">
      <c r="A107" s="482"/>
      <c r="B107" s="27"/>
      <c r="C107" s="503"/>
      <c r="D107" s="507"/>
      <c r="E107" s="619" t="s">
        <v>659</v>
      </c>
      <c r="F107" s="493" t="s">
        <v>19</v>
      </c>
      <c r="G107" s="493" t="s">
        <v>20</v>
      </c>
      <c r="H107" s="343">
        <v>3.1980840324310131</v>
      </c>
      <c r="I107" s="343">
        <v>109.77672079487719</v>
      </c>
      <c r="J107" s="343">
        <v>36.624763636363632</v>
      </c>
      <c r="K107" s="346" t="s">
        <v>498</v>
      </c>
      <c r="L107" s="343" t="s">
        <v>498</v>
      </c>
      <c r="M107" s="874" t="s">
        <v>498</v>
      </c>
      <c r="N107" s="343" t="s">
        <v>498</v>
      </c>
      <c r="O107" s="343" t="s">
        <v>498</v>
      </c>
      <c r="P107" s="875" t="s">
        <v>498</v>
      </c>
      <c r="Q107" s="343" t="s">
        <v>498</v>
      </c>
      <c r="R107" s="343" t="s">
        <v>498</v>
      </c>
      <c r="S107" s="343" t="s">
        <v>498</v>
      </c>
      <c r="T107" s="874" t="s">
        <v>498</v>
      </c>
      <c r="U107" s="343" t="s">
        <v>498</v>
      </c>
      <c r="V107" s="343" t="s">
        <v>498</v>
      </c>
      <c r="W107" s="343" t="s">
        <v>498</v>
      </c>
      <c r="Y107" s="621"/>
      <c r="Z107" s="1086"/>
      <c r="AA107" s="282"/>
      <c r="AB107" s="282"/>
      <c r="AC107" s="1091"/>
      <c r="AD107" s="282"/>
      <c r="AE107" s="282"/>
      <c r="AF107" s="282"/>
      <c r="AG107" s="1894"/>
      <c r="AH107" s="282"/>
      <c r="AI107" s="282"/>
      <c r="AJ107" s="1894"/>
      <c r="AK107" s="282"/>
      <c r="AL107" s="282"/>
      <c r="AM107" s="282"/>
      <c r="AN107" s="1919"/>
      <c r="AO107" s="1117"/>
      <c r="AP107" s="1118"/>
      <c r="AQ107" s="967"/>
      <c r="AR107" s="1104"/>
      <c r="AS107" s="621"/>
      <c r="AT107" s="282"/>
      <c r="AU107" s="282"/>
      <c r="AV107" s="282"/>
      <c r="AW107" s="282"/>
      <c r="AX107" s="282"/>
      <c r="AY107" s="282"/>
      <c r="AZ107" s="1971"/>
      <c r="BA107" s="282"/>
      <c r="BB107" s="282"/>
      <c r="BC107" s="1894"/>
      <c r="BD107" s="1117"/>
      <c r="BE107" s="1972"/>
      <c r="BF107" s="1920"/>
      <c r="BG107" s="920"/>
      <c r="BH107" s="77"/>
      <c r="BI107" s="343" t="s">
        <v>498</v>
      </c>
      <c r="BJ107" s="343" t="s">
        <v>498</v>
      </c>
      <c r="BK107" s="343" t="s">
        <v>498</v>
      </c>
      <c r="BL107" s="874" t="s">
        <v>498</v>
      </c>
      <c r="BM107" s="343" t="s">
        <v>498</v>
      </c>
      <c r="BN107" s="343" t="s">
        <v>498</v>
      </c>
      <c r="BO107" s="346" t="s">
        <v>498</v>
      </c>
    </row>
    <row r="108" spans="1:67" s="513" customFormat="1" ht="12.75" hidden="1" customHeight="1">
      <c r="A108" s="726"/>
      <c r="B108" s="510"/>
      <c r="C108" s="77"/>
      <c r="D108" s="502"/>
      <c r="E108" s="727" t="s">
        <v>660</v>
      </c>
      <c r="F108" s="613" t="s">
        <v>19</v>
      </c>
      <c r="G108" s="613" t="s">
        <v>20</v>
      </c>
      <c r="H108" s="729">
        <v>1.7316165079365078E-2</v>
      </c>
      <c r="I108" s="729">
        <v>1.5640729419169927E-2</v>
      </c>
      <c r="J108" s="729">
        <v>2.818524839493879E-2</v>
      </c>
      <c r="K108" s="730">
        <v>1.2786755989114631E-3</v>
      </c>
      <c r="L108" s="729">
        <v>8.5398354360984013E-3</v>
      </c>
      <c r="M108" s="887">
        <v>1.3319432157547906E-2</v>
      </c>
      <c r="N108" s="729">
        <v>6.8048879913036098E-2</v>
      </c>
      <c r="O108" s="729">
        <v>0.54573435897435907</v>
      </c>
      <c r="P108" s="888" t="s">
        <v>498</v>
      </c>
      <c r="Q108" s="729">
        <v>3.3903300887639376E-3</v>
      </c>
      <c r="R108" s="729">
        <v>4.5280501163246908E-3</v>
      </c>
      <c r="S108" s="729">
        <v>1.2196548272984103E-3</v>
      </c>
      <c r="T108" s="887">
        <v>1.5593781961583686E-3</v>
      </c>
      <c r="U108" s="729">
        <v>6.840264042418419E-3</v>
      </c>
      <c r="V108" s="729">
        <v>9.0230115878123282E-2</v>
      </c>
      <c r="W108" s="729">
        <v>13.034703299306772</v>
      </c>
      <c r="Y108" s="1889"/>
      <c r="Z108" s="1102"/>
      <c r="AA108" s="1949"/>
      <c r="AB108" s="1949"/>
      <c r="AC108" s="1097"/>
      <c r="AD108" s="1949"/>
      <c r="AE108" s="1949"/>
      <c r="AF108" s="1949"/>
      <c r="AG108" s="1900"/>
      <c r="AH108" s="1949"/>
      <c r="AI108" s="1949"/>
      <c r="AJ108" s="1900"/>
      <c r="AK108" s="1949"/>
      <c r="AL108" s="1949"/>
      <c r="AM108" s="1949"/>
      <c r="AN108" s="1950"/>
      <c r="AO108" s="1124"/>
      <c r="AP108" s="1125"/>
      <c r="AQ108" s="970"/>
      <c r="AR108" s="1913"/>
      <c r="AS108" s="1889"/>
      <c r="AT108" s="1949"/>
      <c r="AU108" s="1949"/>
      <c r="AV108" s="1949"/>
      <c r="AW108" s="1949"/>
      <c r="AX108" s="1949"/>
      <c r="AY108" s="1949"/>
      <c r="AZ108" s="1984"/>
      <c r="BA108" s="1949"/>
      <c r="BB108" s="1949"/>
      <c r="BC108" s="1900"/>
      <c r="BD108" s="1124"/>
      <c r="BE108" s="1990"/>
      <c r="BF108" s="1985"/>
      <c r="BG108" s="980"/>
      <c r="BH108" s="585"/>
      <c r="BI108" s="729">
        <v>3.3903300887639376E-3</v>
      </c>
      <c r="BJ108" s="729">
        <v>4.5280501163246908E-3</v>
      </c>
      <c r="BK108" s="729">
        <v>1.2196548272984103E-3</v>
      </c>
      <c r="BL108" s="887">
        <v>1.5593781961583686E-3</v>
      </c>
      <c r="BM108" s="729">
        <v>6.840264042418419E-3</v>
      </c>
      <c r="BN108" s="729">
        <v>9.0230115878123282E-2</v>
      </c>
      <c r="BO108" s="730">
        <v>13.034703299306772</v>
      </c>
    </row>
    <row r="109" spans="1:67" s="293" customFormat="1" ht="12.75" hidden="1" customHeight="1">
      <c r="B109" s="294"/>
      <c r="C109" s="77"/>
      <c r="D109" s="502"/>
      <c r="E109" s="617" t="s">
        <v>626</v>
      </c>
      <c r="F109" s="618"/>
      <c r="G109" s="105"/>
      <c r="H109" s="530"/>
      <c r="I109" s="530"/>
      <c r="J109" s="530"/>
      <c r="K109" s="628"/>
      <c r="L109" s="530"/>
      <c r="M109" s="829"/>
      <c r="N109" s="530"/>
      <c r="O109" s="530"/>
      <c r="P109" s="830"/>
      <c r="Q109" s="530"/>
      <c r="R109" s="530"/>
      <c r="S109" s="530"/>
      <c r="T109" s="829"/>
      <c r="U109" s="530"/>
      <c r="V109" s="530"/>
      <c r="W109" s="530"/>
      <c r="Y109" s="1890"/>
      <c r="Z109" s="1088"/>
      <c r="AA109" s="1633"/>
      <c r="AB109" s="1633"/>
      <c r="AC109" s="1098"/>
      <c r="AD109" s="1633"/>
      <c r="AE109" s="1633"/>
      <c r="AF109" s="1633"/>
      <c r="AG109" s="1901"/>
      <c r="AH109" s="1633"/>
      <c r="AI109" s="1633"/>
      <c r="AJ109" s="1901"/>
      <c r="AK109" s="1633"/>
      <c r="AL109" s="1633"/>
      <c r="AM109" s="1633"/>
      <c r="AN109" s="1941"/>
      <c r="AO109" s="1115"/>
      <c r="AP109" s="1116"/>
      <c r="AQ109" s="966"/>
      <c r="AR109" s="1908"/>
      <c r="AS109" s="1890"/>
      <c r="AT109" s="1633"/>
      <c r="AU109" s="1633"/>
      <c r="AV109" s="1633"/>
      <c r="AW109" s="1633"/>
      <c r="AX109" s="1633"/>
      <c r="AY109" s="1633"/>
      <c r="AZ109" s="1968"/>
      <c r="BA109" s="1633"/>
      <c r="BB109" s="1633"/>
      <c r="BC109" s="1901"/>
      <c r="BD109" s="1115"/>
      <c r="BE109" s="1969"/>
      <c r="BF109" s="1970"/>
      <c r="BG109" s="976"/>
      <c r="BH109" s="305"/>
      <c r="BI109" s="530"/>
      <c r="BJ109" s="530"/>
      <c r="BK109" s="530"/>
      <c r="BL109" s="829"/>
      <c r="BM109" s="530"/>
      <c r="BN109" s="530"/>
      <c r="BO109" s="628"/>
    </row>
    <row r="110" spans="1:67" s="26" customFormat="1" ht="12.75" hidden="1" customHeight="1">
      <c r="A110" s="482"/>
      <c r="B110" s="27"/>
      <c r="C110" s="138"/>
      <c r="D110" s="195"/>
      <c r="E110" s="103" t="s">
        <v>670</v>
      </c>
      <c r="F110" s="14" t="s">
        <v>19</v>
      </c>
      <c r="G110" s="105" t="s">
        <v>20</v>
      </c>
      <c r="H110" s="56">
        <v>3.1980840324310131</v>
      </c>
      <c r="I110" s="56">
        <v>109.77672079487719</v>
      </c>
      <c r="J110" s="56">
        <v>151.83785863743765</v>
      </c>
      <c r="K110" s="57">
        <v>185.07020517233116</v>
      </c>
      <c r="L110" s="56">
        <v>192.092201524817</v>
      </c>
      <c r="M110" s="870">
        <v>452.49519691724385</v>
      </c>
      <c r="N110" s="56">
        <v>1097.9973364861983</v>
      </c>
      <c r="O110" s="56" t="s">
        <v>498</v>
      </c>
      <c r="P110" s="871" t="s">
        <v>498</v>
      </c>
      <c r="Q110" s="56">
        <v>4813.5403636363644</v>
      </c>
      <c r="R110" s="56">
        <v>4813.5403636363635</v>
      </c>
      <c r="S110" s="56">
        <v>377.83264003298774</v>
      </c>
      <c r="T110" s="870">
        <v>859.13227743955849</v>
      </c>
      <c r="U110" s="56">
        <v>2011.7586893702742</v>
      </c>
      <c r="V110" s="56" t="s">
        <v>498</v>
      </c>
      <c r="W110" s="56" t="s">
        <v>498</v>
      </c>
      <c r="Y110" s="621"/>
      <c r="Z110" s="1086"/>
      <c r="AA110" s="282"/>
      <c r="AB110" s="282"/>
      <c r="AC110" s="1091"/>
      <c r="AD110" s="282"/>
      <c r="AE110" s="282"/>
      <c r="AF110" s="282"/>
      <c r="AG110" s="1894"/>
      <c r="AH110" s="282"/>
      <c r="AI110" s="282"/>
      <c r="AJ110" s="1894"/>
      <c r="AK110" s="282"/>
      <c r="AL110" s="282"/>
      <c r="AM110" s="282"/>
      <c r="AN110" s="1919"/>
      <c r="AO110" s="1117"/>
      <c r="AP110" s="1118"/>
      <c r="AQ110" s="967"/>
      <c r="AR110" s="1104"/>
      <c r="AS110" s="621"/>
      <c r="AT110" s="282"/>
      <c r="AU110" s="282"/>
      <c r="AV110" s="282"/>
      <c r="AW110" s="282"/>
      <c r="AX110" s="282"/>
      <c r="AY110" s="282"/>
      <c r="AZ110" s="1971"/>
      <c r="BA110" s="282"/>
      <c r="BB110" s="282"/>
      <c r="BC110" s="1894"/>
      <c r="BD110" s="1117"/>
      <c r="BE110" s="1972"/>
      <c r="BF110" s="1920"/>
      <c r="BG110" s="920"/>
      <c r="BH110" s="77"/>
      <c r="BI110" s="56">
        <v>4813.5403636363644</v>
      </c>
      <c r="BJ110" s="56">
        <v>4813.5403636363635</v>
      </c>
      <c r="BK110" s="56">
        <v>377.83264003298774</v>
      </c>
      <c r="BL110" s="870">
        <v>859.13227743955849</v>
      </c>
      <c r="BM110" s="56">
        <v>2011.7586893702742</v>
      </c>
      <c r="BN110" s="56" t="s">
        <v>498</v>
      </c>
      <c r="BO110" s="57" t="s">
        <v>498</v>
      </c>
    </row>
    <row r="111" spans="1:67" s="26" customFormat="1" ht="12.75" hidden="1" customHeight="1">
      <c r="A111" s="482"/>
      <c r="B111" s="27"/>
      <c r="C111" s="77"/>
      <c r="D111" s="502"/>
      <c r="E111" s="103" t="s">
        <v>671</v>
      </c>
      <c r="F111" s="14" t="s">
        <v>19</v>
      </c>
      <c r="G111" s="105" t="s">
        <v>20</v>
      </c>
      <c r="H111" s="56">
        <v>15.26031818181818</v>
      </c>
      <c r="I111" s="56" t="s">
        <v>498</v>
      </c>
      <c r="J111" s="56">
        <v>36.624763636363632</v>
      </c>
      <c r="K111" s="57" t="s">
        <v>498</v>
      </c>
      <c r="L111" s="56" t="s">
        <v>498</v>
      </c>
      <c r="M111" s="870" t="s">
        <v>498</v>
      </c>
      <c r="N111" s="56" t="s">
        <v>498</v>
      </c>
      <c r="O111" s="56" t="s">
        <v>498</v>
      </c>
      <c r="P111" s="871" t="s">
        <v>498</v>
      </c>
      <c r="Q111" s="56" t="s">
        <v>498</v>
      </c>
      <c r="R111" s="56" t="s">
        <v>498</v>
      </c>
      <c r="S111" s="56" t="s">
        <v>498</v>
      </c>
      <c r="T111" s="870" t="s">
        <v>498</v>
      </c>
      <c r="U111" s="56" t="s">
        <v>498</v>
      </c>
      <c r="V111" s="56" t="s">
        <v>498</v>
      </c>
      <c r="W111" s="56" t="s">
        <v>498</v>
      </c>
      <c r="Y111" s="621"/>
      <c r="Z111" s="1086"/>
      <c r="AA111" s="282"/>
      <c r="AB111" s="282"/>
      <c r="AC111" s="1091"/>
      <c r="AD111" s="282"/>
      <c r="AE111" s="282"/>
      <c r="AF111" s="282"/>
      <c r="AG111" s="1894"/>
      <c r="AH111" s="282"/>
      <c r="AI111" s="282"/>
      <c r="AJ111" s="1894"/>
      <c r="AK111" s="282"/>
      <c r="AL111" s="282"/>
      <c r="AM111" s="282"/>
      <c r="AN111" s="1919"/>
      <c r="AO111" s="1117"/>
      <c r="AP111" s="1118"/>
      <c r="AQ111" s="967"/>
      <c r="AR111" s="1104"/>
      <c r="AS111" s="621"/>
      <c r="AT111" s="282"/>
      <c r="AU111" s="282"/>
      <c r="AV111" s="282"/>
      <c r="AW111" s="282"/>
      <c r="AX111" s="282"/>
      <c r="AY111" s="282"/>
      <c r="AZ111" s="1971"/>
      <c r="BA111" s="282"/>
      <c r="BB111" s="282"/>
      <c r="BC111" s="1894"/>
      <c r="BD111" s="1117"/>
      <c r="BE111" s="1972"/>
      <c r="BF111" s="1920"/>
      <c r="BG111" s="920"/>
      <c r="BH111" s="77"/>
      <c r="BI111" s="56" t="s">
        <v>498</v>
      </c>
      <c r="BJ111" s="56" t="s">
        <v>498</v>
      </c>
      <c r="BK111" s="56" t="s">
        <v>498</v>
      </c>
      <c r="BL111" s="870" t="s">
        <v>498</v>
      </c>
      <c r="BM111" s="56" t="s">
        <v>498</v>
      </c>
      <c r="BN111" s="56" t="s">
        <v>498</v>
      </c>
      <c r="BO111" s="57" t="s">
        <v>498</v>
      </c>
    </row>
    <row r="112" spans="1:67" s="26" customFormat="1" ht="12.75" hidden="1" customHeight="1">
      <c r="A112" s="17"/>
      <c r="B112" s="27"/>
      <c r="C112" s="77"/>
      <c r="D112" s="502"/>
      <c r="E112" s="103" t="s">
        <v>672</v>
      </c>
      <c r="F112" s="14" t="s">
        <v>19</v>
      </c>
      <c r="G112" s="105" t="s">
        <v>20</v>
      </c>
      <c r="H112" s="113">
        <v>3.1980840324310131</v>
      </c>
      <c r="I112" s="113">
        <v>109.77672079487719</v>
      </c>
      <c r="J112" s="113">
        <v>36.624763636363632</v>
      </c>
      <c r="K112" s="120">
        <v>185.07020517233116</v>
      </c>
      <c r="L112" s="113">
        <v>192.092201524817</v>
      </c>
      <c r="M112" s="872">
        <v>452.49519691724385</v>
      </c>
      <c r="N112" s="113">
        <v>1097.9973364861983</v>
      </c>
      <c r="O112" s="113" t="s">
        <v>498</v>
      </c>
      <c r="P112" s="873" t="s">
        <v>498</v>
      </c>
      <c r="Q112" s="113">
        <v>4813.5403636363644</v>
      </c>
      <c r="R112" s="113">
        <v>4813.5403636363635</v>
      </c>
      <c r="S112" s="113">
        <v>377.83264003298774</v>
      </c>
      <c r="T112" s="872">
        <v>859.13227743955849</v>
      </c>
      <c r="U112" s="113">
        <v>2011.7586893702742</v>
      </c>
      <c r="V112" s="113" t="s">
        <v>498</v>
      </c>
      <c r="W112" s="113" t="s">
        <v>498</v>
      </c>
      <c r="Y112" s="621"/>
      <c r="Z112" s="1086"/>
      <c r="AA112" s="282"/>
      <c r="AB112" s="282"/>
      <c r="AC112" s="1091"/>
      <c r="AD112" s="282"/>
      <c r="AE112" s="282"/>
      <c r="AF112" s="282"/>
      <c r="AG112" s="1894"/>
      <c r="AH112" s="282"/>
      <c r="AI112" s="282"/>
      <c r="AJ112" s="1894"/>
      <c r="AK112" s="282"/>
      <c r="AL112" s="282"/>
      <c r="AM112" s="282"/>
      <c r="AN112" s="1919"/>
      <c r="AO112" s="1117"/>
      <c r="AP112" s="1118"/>
      <c r="AQ112" s="967"/>
      <c r="AR112" s="1104"/>
      <c r="AS112" s="621"/>
      <c r="AT112" s="282"/>
      <c r="AU112" s="282"/>
      <c r="AV112" s="282"/>
      <c r="AW112" s="282"/>
      <c r="AX112" s="282"/>
      <c r="AY112" s="282"/>
      <c r="AZ112" s="1971"/>
      <c r="BA112" s="282"/>
      <c r="BB112" s="282"/>
      <c r="BC112" s="1894"/>
      <c r="BD112" s="1117"/>
      <c r="BE112" s="1972"/>
      <c r="BF112" s="1920"/>
      <c r="BG112" s="920"/>
      <c r="BH112" s="77"/>
      <c r="BI112" s="113">
        <v>4813.5403636363644</v>
      </c>
      <c r="BJ112" s="113">
        <v>4813.5403636363635</v>
      </c>
      <c r="BK112" s="113">
        <v>377.83264003298774</v>
      </c>
      <c r="BL112" s="872">
        <v>859.13227743955849</v>
      </c>
      <c r="BM112" s="113">
        <v>2011.7586893702742</v>
      </c>
      <c r="BN112" s="113" t="s">
        <v>498</v>
      </c>
      <c r="BO112" s="120" t="s">
        <v>498</v>
      </c>
    </row>
    <row r="113" spans="1:67" s="495" customFormat="1" ht="12.75" hidden="1" customHeight="1">
      <c r="A113" s="398"/>
      <c r="B113" s="492"/>
      <c r="C113" s="503"/>
      <c r="D113" s="504"/>
      <c r="E113" s="619" t="s">
        <v>985</v>
      </c>
      <c r="F113" s="493" t="s">
        <v>19</v>
      </c>
      <c r="G113" s="584" t="s">
        <v>20</v>
      </c>
      <c r="H113" s="343">
        <v>3.1980840324310131</v>
      </c>
      <c r="I113" s="343">
        <v>109.77672079487719</v>
      </c>
      <c r="J113" s="343">
        <v>36.624763636363632</v>
      </c>
      <c r="K113" s="346" t="s">
        <v>498</v>
      </c>
      <c r="L113" s="343" t="s">
        <v>498</v>
      </c>
      <c r="M113" s="874" t="s">
        <v>498</v>
      </c>
      <c r="N113" s="343" t="s">
        <v>498</v>
      </c>
      <c r="O113" s="343" t="s">
        <v>498</v>
      </c>
      <c r="P113" s="875" t="s">
        <v>498</v>
      </c>
      <c r="Q113" s="343" t="s">
        <v>498</v>
      </c>
      <c r="R113" s="343" t="s">
        <v>498</v>
      </c>
      <c r="S113" s="343" t="s">
        <v>498</v>
      </c>
      <c r="T113" s="874" t="s">
        <v>498</v>
      </c>
      <c r="U113" s="343" t="s">
        <v>498</v>
      </c>
      <c r="V113" s="343" t="s">
        <v>498</v>
      </c>
      <c r="W113" s="343" t="s">
        <v>498</v>
      </c>
      <c r="Y113" s="1884"/>
      <c r="Z113" s="1089"/>
      <c r="AA113" s="1104"/>
      <c r="AB113" s="1104"/>
      <c r="AC113" s="1092"/>
      <c r="AD113" s="1104"/>
      <c r="AE113" s="1104"/>
      <c r="AF113" s="1104"/>
      <c r="AG113" s="1895"/>
      <c r="AH113" s="1104"/>
      <c r="AI113" s="1104"/>
      <c r="AJ113" s="1895"/>
      <c r="AK113" s="1104"/>
      <c r="AL113" s="1104"/>
      <c r="AM113" s="1104"/>
      <c r="AN113" s="1135"/>
      <c r="AO113" s="1117"/>
      <c r="AP113" s="1118"/>
      <c r="AQ113" s="967"/>
      <c r="AR113" s="1104"/>
      <c r="AS113" s="1884"/>
      <c r="AT113" s="1104"/>
      <c r="AU113" s="1104"/>
      <c r="AV113" s="1104"/>
      <c r="AW113" s="1104"/>
      <c r="AX113" s="1104"/>
      <c r="AY113" s="1104"/>
      <c r="AZ113" s="1973"/>
      <c r="BA113" s="1104"/>
      <c r="BB113" s="1104"/>
      <c r="BC113" s="1895"/>
      <c r="BD113" s="1117"/>
      <c r="BE113" s="1972"/>
      <c r="BF113" s="1920"/>
      <c r="BG113" s="920"/>
      <c r="BH113" s="919"/>
      <c r="BI113" s="343" t="s">
        <v>498</v>
      </c>
      <c r="BJ113" s="343" t="s">
        <v>498</v>
      </c>
      <c r="BK113" s="343" t="s">
        <v>498</v>
      </c>
      <c r="BL113" s="874" t="s">
        <v>498</v>
      </c>
      <c r="BM113" s="343" t="s">
        <v>498</v>
      </c>
      <c r="BN113" s="343" t="s">
        <v>498</v>
      </c>
      <c r="BO113" s="346" t="s">
        <v>498</v>
      </c>
    </row>
    <row r="114" spans="1:67" s="513" customFormat="1" ht="13.5" hidden="1" customHeight="1" thickBot="1">
      <c r="A114" s="508"/>
      <c r="B114" s="510"/>
      <c r="C114" s="603"/>
      <c r="D114" s="604"/>
      <c r="E114" s="258" t="s">
        <v>476</v>
      </c>
      <c r="F114" s="66" t="s">
        <v>93</v>
      </c>
      <c r="G114" s="620" t="s">
        <v>24</v>
      </c>
      <c r="H114" s="237">
        <v>2765.8841464130337</v>
      </c>
      <c r="I114" s="237">
        <v>65799.792955346216</v>
      </c>
      <c r="J114" s="237">
        <v>13000.799391486569</v>
      </c>
      <c r="K114" s="512" t="s">
        <v>498</v>
      </c>
      <c r="L114" s="237" t="s">
        <v>498</v>
      </c>
      <c r="M114" s="876" t="s">
        <v>498</v>
      </c>
      <c r="N114" s="237" t="s">
        <v>498</v>
      </c>
      <c r="O114" s="237" t="s">
        <v>498</v>
      </c>
      <c r="P114" s="877" t="s">
        <v>498</v>
      </c>
      <c r="Q114" s="237" t="s">
        <v>498</v>
      </c>
      <c r="R114" s="237" t="s">
        <v>498</v>
      </c>
      <c r="S114" s="237" t="s">
        <v>498</v>
      </c>
      <c r="T114" s="876" t="s">
        <v>498</v>
      </c>
      <c r="U114" s="237" t="s">
        <v>498</v>
      </c>
      <c r="V114" s="237" t="s">
        <v>498</v>
      </c>
      <c r="W114" s="237" t="s">
        <v>498</v>
      </c>
      <c r="Y114" s="1889"/>
      <c r="Z114" s="1102"/>
      <c r="AA114" s="1949"/>
      <c r="AB114" s="1949"/>
      <c r="AC114" s="1097"/>
      <c r="AD114" s="1949"/>
      <c r="AE114" s="1949"/>
      <c r="AF114" s="1949"/>
      <c r="AG114" s="1900"/>
      <c r="AH114" s="1949"/>
      <c r="AI114" s="1949"/>
      <c r="AJ114" s="1900"/>
      <c r="AK114" s="1949"/>
      <c r="AL114" s="1949"/>
      <c r="AM114" s="1949"/>
      <c r="AN114" s="1950"/>
      <c r="AO114" s="1124"/>
      <c r="AP114" s="1125"/>
      <c r="AQ114" s="970"/>
      <c r="AR114" s="1913"/>
      <c r="AS114" s="1889"/>
      <c r="AT114" s="1949"/>
      <c r="AU114" s="1949"/>
      <c r="AV114" s="1949"/>
      <c r="AW114" s="1949"/>
      <c r="AX114" s="1949"/>
      <c r="AY114" s="1949"/>
      <c r="AZ114" s="1984"/>
      <c r="BA114" s="1949"/>
      <c r="BB114" s="1949"/>
      <c r="BC114" s="1900"/>
      <c r="BD114" s="1124"/>
      <c r="BE114" s="1990"/>
      <c r="BF114" s="1985"/>
      <c r="BG114" s="980"/>
      <c r="BH114" s="585"/>
      <c r="BI114" s="237" t="s">
        <v>498</v>
      </c>
      <c r="BJ114" s="237" t="s">
        <v>498</v>
      </c>
      <c r="BK114" s="237" t="s">
        <v>498</v>
      </c>
      <c r="BL114" s="876" t="s">
        <v>498</v>
      </c>
      <c r="BM114" s="237" t="s">
        <v>498</v>
      </c>
      <c r="BN114" s="237" t="s">
        <v>498</v>
      </c>
      <c r="BO114" s="512" t="s">
        <v>498</v>
      </c>
    </row>
    <row r="115" spans="1:67" s="74" customFormat="1" ht="25.5">
      <c r="A115" s="15"/>
      <c r="B115" s="15"/>
      <c r="C115" s="15"/>
      <c r="D115" s="15"/>
      <c r="E115" s="1065" t="s">
        <v>977</v>
      </c>
      <c r="F115" s="6" t="s">
        <v>959</v>
      </c>
      <c r="G115" s="864" t="s">
        <v>35</v>
      </c>
      <c r="H115" s="58">
        <f>'HCT1'!BZ316</f>
        <v>2.3485143376151547E-2</v>
      </c>
      <c r="I115" s="79">
        <f>'HCT1'!CA316</f>
        <v>0.15914104061243023</v>
      </c>
      <c r="J115" s="79"/>
      <c r="K115" s="79"/>
      <c r="L115" s="86">
        <f>'HCT1'!CD316</f>
        <v>0.17250551446736728</v>
      </c>
      <c r="M115" s="79"/>
      <c r="N115" s="79"/>
      <c r="O115" s="79"/>
      <c r="P115" s="79"/>
      <c r="Q115" s="943">
        <f>'HCT1'!CE316</f>
        <v>0.2726093162060465</v>
      </c>
      <c r="R115" s="79">
        <f>'HCT1'!CF316</f>
        <v>0.29628908784222135</v>
      </c>
      <c r="S115" s="58">
        <f>'HCT1'!CG316</f>
        <v>7.5969897495783048E-2</v>
      </c>
      <c r="T115" s="58"/>
      <c r="U115" s="58"/>
      <c r="V115" s="58"/>
      <c r="W115" s="570"/>
      <c r="X115" s="15"/>
      <c r="Y115" s="1935"/>
      <c r="Z115" s="1086"/>
      <c r="AA115" s="230"/>
      <c r="AB115" s="230"/>
      <c r="AC115" s="1936"/>
      <c r="AD115" s="230"/>
      <c r="AE115" s="230"/>
      <c r="AF115" s="230"/>
      <c r="AG115" s="890"/>
      <c r="AJ115" s="890"/>
      <c r="AN115" s="223"/>
      <c r="AO115" s="952"/>
      <c r="AP115" s="1066"/>
      <c r="AQ115" s="972"/>
      <c r="AR115" s="1916"/>
      <c r="AS115" s="222"/>
      <c r="AZ115" s="889"/>
      <c r="BC115" s="890"/>
      <c r="BD115" s="952"/>
      <c r="BE115" s="75"/>
      <c r="BF115" s="572"/>
      <c r="BG115" s="983"/>
      <c r="BH115" s="222"/>
      <c r="BI115" s="79"/>
      <c r="BJ115" s="79"/>
      <c r="BK115" s="79"/>
      <c r="BL115" s="943"/>
      <c r="BM115" s="79"/>
      <c r="BN115" s="79"/>
      <c r="BO115" s="571"/>
    </row>
    <row r="116" spans="1:67" s="74" customFormat="1" ht="25.5">
      <c r="A116" s="15"/>
      <c r="B116" s="15"/>
      <c r="C116" s="15"/>
      <c r="D116" s="15"/>
      <c r="E116" s="1065" t="s">
        <v>978</v>
      </c>
      <c r="F116" s="6" t="s">
        <v>959</v>
      </c>
      <c r="G116" s="6"/>
      <c r="H116" s="58"/>
      <c r="I116" s="79"/>
      <c r="J116" s="79"/>
      <c r="K116" s="79"/>
      <c r="L116" s="86"/>
      <c r="M116" s="79">
        <f>'HCT1'!CH85</f>
        <v>6.2380425637148032E-2</v>
      </c>
      <c r="N116" s="79">
        <f>'HCT1'!CI85</f>
        <v>0.10638697070010174</v>
      </c>
      <c r="O116" s="79">
        <f>'HCT1'!CJ85</f>
        <v>1.6618488109379013E-2</v>
      </c>
      <c r="P116" s="79">
        <f>'HCT1'!CK85</f>
        <v>6.1462673318642147E-4</v>
      </c>
      <c r="Q116" s="943"/>
      <c r="R116" s="79"/>
      <c r="S116" s="58"/>
      <c r="T116" s="58">
        <f>'HCT1'!CL85</f>
        <v>0.13230866914479655</v>
      </c>
      <c r="U116" s="58">
        <f>'HCT1'!CM85</f>
        <v>0.40191094944298494</v>
      </c>
      <c r="V116" s="58">
        <f>'HCT1'!CN85</f>
        <v>0.25319351285322922</v>
      </c>
      <c r="W116" s="570">
        <f>'HCT1'!CO85</f>
        <v>2.6586357379174193E-2</v>
      </c>
      <c r="X116" s="15"/>
      <c r="Y116" s="1935"/>
      <c r="Z116" s="1086"/>
      <c r="AA116" s="230"/>
      <c r="AB116" s="230"/>
      <c r="AC116" s="1936"/>
      <c r="AD116" s="230"/>
      <c r="AE116" s="230"/>
      <c r="AF116" s="230"/>
      <c r="AG116" s="890"/>
      <c r="AJ116" s="890"/>
      <c r="AN116" s="223"/>
      <c r="AO116" s="952"/>
      <c r="AP116" s="1066"/>
      <c r="AQ116" s="972"/>
      <c r="AR116" s="1917"/>
      <c r="AS116" s="222"/>
      <c r="AZ116" s="889"/>
      <c r="BC116" s="890"/>
      <c r="BD116" s="952"/>
      <c r="BE116" s="75"/>
      <c r="BF116" s="572"/>
      <c r="BG116" s="983"/>
      <c r="BH116" s="222"/>
      <c r="BI116" s="79"/>
      <c r="BJ116" s="79"/>
      <c r="BK116" s="79"/>
      <c r="BL116" s="943"/>
      <c r="BM116" s="79"/>
      <c r="BN116" s="79"/>
      <c r="BO116" s="571"/>
    </row>
    <row r="117" spans="1:67" s="74" customFormat="1" ht="25.5">
      <c r="A117" s="15"/>
      <c r="B117" s="15"/>
      <c r="C117" s="15"/>
      <c r="D117" s="15"/>
      <c r="E117" s="1065" t="s">
        <v>975</v>
      </c>
      <c r="F117" s="6" t="s">
        <v>960</v>
      </c>
      <c r="G117" s="6"/>
      <c r="H117" s="58">
        <f>'HCT1'!BF316</f>
        <v>1.145471264243954E-2</v>
      </c>
      <c r="I117" s="79">
        <f>'HCT1'!BG316</f>
        <v>0.13635438970508598</v>
      </c>
      <c r="J117" s="79"/>
      <c r="K117" s="79"/>
      <c r="L117" s="86">
        <f>'HCT1'!BJ316</f>
        <v>0.17866471163176692</v>
      </c>
      <c r="M117" s="79"/>
      <c r="N117" s="79"/>
      <c r="O117" s="79"/>
      <c r="P117" s="79"/>
      <c r="Q117" s="943">
        <f>'HCT1'!BK316</f>
        <v>0.33987306159664415</v>
      </c>
      <c r="R117" s="79">
        <f>'HCT1'!BL316</f>
        <v>0.26274917553542698</v>
      </c>
      <c r="S117" s="58">
        <f>'HCT1'!BM316</f>
        <v>7.090394888863652E-2</v>
      </c>
      <c r="W117" s="223"/>
      <c r="X117" s="15"/>
      <c r="Y117" s="1935"/>
      <c r="Z117" s="1086"/>
      <c r="AA117" s="230"/>
      <c r="AB117" s="230"/>
      <c r="AC117" s="1936"/>
      <c r="AD117" s="230"/>
      <c r="AE117" s="230"/>
      <c r="AF117" s="230"/>
      <c r="AG117" s="890"/>
      <c r="AJ117" s="890"/>
      <c r="AN117" s="223"/>
      <c r="AO117" s="952"/>
      <c r="AP117" s="1066"/>
      <c r="AQ117" s="972"/>
      <c r="AR117" s="1917"/>
      <c r="AS117" s="222"/>
      <c r="AZ117" s="889"/>
      <c r="BC117" s="890"/>
      <c r="BD117" s="952"/>
      <c r="BE117" s="75"/>
      <c r="BF117" s="572"/>
      <c r="BG117" s="983"/>
      <c r="BH117" s="222"/>
      <c r="BI117" s="79"/>
      <c r="BJ117" s="79"/>
      <c r="BK117" s="79"/>
      <c r="BL117" s="944"/>
      <c r="BM117" s="162"/>
      <c r="BN117" s="162"/>
      <c r="BO117" s="573"/>
    </row>
    <row r="118" spans="1:67" s="74" customFormat="1" ht="25.5">
      <c r="A118" s="15"/>
      <c r="B118" s="15"/>
      <c r="C118" s="15"/>
      <c r="D118" s="15"/>
      <c r="E118" s="1065" t="s">
        <v>976</v>
      </c>
      <c r="F118" s="6" t="s">
        <v>960</v>
      </c>
      <c r="G118" s="6"/>
      <c r="L118" s="1616">
        <f>'HCT1'!BJ85</f>
        <v>0.28318955349451591</v>
      </c>
      <c r="M118" s="1068">
        <f>'HCT1'!BN85</f>
        <v>3.7406093496401338E-2</v>
      </c>
      <c r="N118" s="1068">
        <f>'HCT1'!BO85</f>
        <v>6.652884435455747E-2</v>
      </c>
      <c r="O118" s="1068">
        <f>'HCT1'!BP85</f>
        <v>6.3171284281974592E-3</v>
      </c>
      <c r="P118" s="1068">
        <f>'HCT1'!BQ85</f>
        <v>4.3418795134633554E-5</v>
      </c>
      <c r="Q118" s="1067"/>
      <c r="R118" s="1068"/>
      <c r="S118" s="1068">
        <f>'HCT1'!BM85</f>
        <v>0.59156701361567721</v>
      </c>
      <c r="T118" s="58">
        <f>'HCT1'!BR85</f>
        <v>0.13536717551511165</v>
      </c>
      <c r="U118" s="58">
        <f>'HCT1'!BS85</f>
        <v>0.44230112632057622</v>
      </c>
      <c r="V118" s="58">
        <f>'HCT1'!BT85</f>
        <v>0.28233263225122868</v>
      </c>
      <c r="W118" s="570">
        <f>'HCT1'!BU85</f>
        <v>2.9703580838792511E-2</v>
      </c>
      <c r="X118" s="15"/>
      <c r="Y118" s="1935"/>
      <c r="Z118" s="1086"/>
      <c r="AA118" s="230"/>
      <c r="AB118" s="230"/>
      <c r="AC118" s="1936"/>
      <c r="AD118" s="230"/>
      <c r="AE118" s="230"/>
      <c r="AF118" s="230"/>
      <c r="AG118" s="890"/>
      <c r="AJ118" s="890"/>
      <c r="AN118" s="223"/>
      <c r="AO118" s="952"/>
      <c r="AP118" s="1066"/>
      <c r="AQ118" s="972"/>
      <c r="AR118" s="1917"/>
      <c r="AS118" s="222"/>
      <c r="AZ118" s="889"/>
      <c r="BC118" s="890"/>
      <c r="BD118" s="952"/>
      <c r="BE118" s="75"/>
      <c r="BF118" s="572"/>
      <c r="BG118" s="983"/>
      <c r="BH118" s="222"/>
      <c r="BI118" s="79"/>
      <c r="BJ118" s="79"/>
      <c r="BK118" s="79"/>
      <c r="BL118" s="943"/>
      <c r="BM118" s="79"/>
      <c r="BN118" s="79"/>
      <c r="BO118" s="571"/>
    </row>
    <row r="119" spans="1:67" s="74" customFormat="1">
      <c r="A119" s="15"/>
      <c r="B119" s="15"/>
      <c r="C119" s="15"/>
      <c r="D119" s="15"/>
      <c r="E119" s="6"/>
      <c r="F119" s="6"/>
      <c r="G119" s="6"/>
      <c r="X119" s="15"/>
      <c r="Y119" s="230"/>
      <c r="Z119" s="1086"/>
      <c r="AA119" s="230"/>
      <c r="AB119" s="230"/>
      <c r="AC119" s="1936"/>
      <c r="AD119" s="230"/>
      <c r="AE119" s="230"/>
      <c r="AF119" s="230"/>
      <c r="AG119" s="890"/>
      <c r="AJ119" s="890"/>
      <c r="AN119" s="223"/>
      <c r="AO119" s="952"/>
      <c r="AP119" s="1066"/>
      <c r="AQ119" s="972"/>
      <c r="AR119" s="1917"/>
      <c r="AS119" s="222"/>
      <c r="AZ119" s="889"/>
      <c r="BC119" s="890"/>
      <c r="BD119" s="952"/>
      <c r="BE119" s="75"/>
      <c r="BF119" s="572"/>
      <c r="BG119" s="983"/>
      <c r="BH119" s="222"/>
      <c r="BL119" s="889"/>
      <c r="BO119" s="223"/>
    </row>
    <row r="120" spans="1:67" s="74" customFormat="1">
      <c r="A120" s="15"/>
      <c r="B120" s="15"/>
      <c r="C120" s="15"/>
      <c r="D120" s="15"/>
      <c r="E120" s="6"/>
      <c r="F120" s="6"/>
      <c r="G120" s="6"/>
      <c r="X120" s="15"/>
      <c r="Y120" s="230"/>
      <c r="Z120" s="1086"/>
      <c r="AA120" s="230"/>
      <c r="AB120" s="230"/>
      <c r="AC120" s="1936"/>
      <c r="AD120" s="230"/>
      <c r="AE120" s="230"/>
      <c r="AF120" s="230"/>
      <c r="AG120" s="890"/>
      <c r="AJ120" s="890"/>
      <c r="AN120" s="223"/>
      <c r="AO120" s="952"/>
      <c r="AP120" s="1066"/>
      <c r="AQ120" s="972"/>
      <c r="AR120" s="1917"/>
      <c r="AS120" s="222"/>
      <c r="AZ120" s="889"/>
      <c r="BC120" s="890"/>
      <c r="BD120" s="952"/>
      <c r="BE120" s="75"/>
      <c r="BF120" s="572"/>
      <c r="BG120" s="983"/>
      <c r="BH120" s="222"/>
      <c r="BL120" s="889"/>
      <c r="BO120" s="223"/>
    </row>
    <row r="121" spans="1:67" s="74" customFormat="1">
      <c r="A121" s="15"/>
      <c r="B121" s="15"/>
      <c r="C121" s="15"/>
      <c r="D121" s="15"/>
      <c r="E121" s="6"/>
      <c r="F121" s="6"/>
      <c r="G121" s="6"/>
      <c r="K121" s="223"/>
      <c r="M121" s="889"/>
      <c r="P121" s="890"/>
      <c r="T121" s="889"/>
      <c r="X121" s="15"/>
      <c r="Y121" s="1935"/>
      <c r="Z121" s="1086"/>
      <c r="AA121" s="230"/>
      <c r="AB121" s="230"/>
      <c r="AC121" s="1936"/>
      <c r="AD121" s="230"/>
      <c r="AE121" s="230"/>
      <c r="AF121" s="230"/>
      <c r="AG121" s="890"/>
      <c r="AJ121" s="890"/>
      <c r="AN121" s="223"/>
      <c r="AO121" s="952"/>
      <c r="AP121" s="1066"/>
      <c r="AQ121" s="972"/>
      <c r="AR121" s="1917"/>
      <c r="AS121" s="222"/>
      <c r="AZ121" s="889"/>
      <c r="BC121" s="890"/>
      <c r="BD121" s="952"/>
      <c r="BE121" s="75"/>
      <c r="BF121" s="572"/>
      <c r="BG121" s="983"/>
      <c r="BH121" s="222"/>
      <c r="BL121" s="889"/>
      <c r="BO121" s="223"/>
    </row>
    <row r="122" spans="1:67" s="74" customFormat="1">
      <c r="A122" s="15"/>
      <c r="B122" s="15"/>
      <c r="C122" s="15"/>
      <c r="D122" s="15"/>
      <c r="E122" s="6"/>
      <c r="F122" s="6"/>
      <c r="G122" s="6"/>
      <c r="K122" s="223"/>
      <c r="M122" s="889"/>
      <c r="P122" s="890"/>
      <c r="T122" s="889"/>
      <c r="X122" s="15"/>
      <c r="Y122" s="1935"/>
      <c r="Z122" s="1086"/>
      <c r="AA122" s="230"/>
      <c r="AB122" s="230"/>
      <c r="AC122" s="1936"/>
      <c r="AD122" s="230"/>
      <c r="AE122" s="230"/>
      <c r="AF122" s="230"/>
      <c r="AG122" s="890"/>
      <c r="AJ122" s="890"/>
      <c r="AN122" s="223"/>
      <c r="AO122" s="952"/>
      <c r="AP122" s="1066"/>
      <c r="AQ122" s="972"/>
      <c r="AR122" s="1917"/>
      <c r="AS122" s="222"/>
      <c r="AZ122" s="889"/>
      <c r="BC122" s="890"/>
      <c r="BD122" s="952"/>
      <c r="BE122" s="75"/>
      <c r="BF122" s="572"/>
      <c r="BG122" s="983"/>
      <c r="BH122" s="222"/>
      <c r="BL122" s="889"/>
      <c r="BO122" s="223"/>
    </row>
    <row r="123" spans="1:67" s="74" customFormat="1">
      <c r="A123" s="15"/>
      <c r="B123" s="15"/>
      <c r="C123" s="15"/>
      <c r="D123" s="15"/>
      <c r="E123" s="6"/>
      <c r="F123" s="6"/>
      <c r="G123" s="6"/>
      <c r="K123" s="223"/>
      <c r="M123" s="889"/>
      <c r="P123" s="890"/>
      <c r="T123" s="889"/>
      <c r="X123" s="15"/>
      <c r="Y123" s="1935"/>
      <c r="Z123" s="1086"/>
      <c r="AA123" s="230"/>
      <c r="AB123" s="230"/>
      <c r="AC123" s="1936"/>
      <c r="AD123" s="230"/>
      <c r="AE123" s="230"/>
      <c r="AF123" s="230"/>
      <c r="AG123" s="890"/>
      <c r="AJ123" s="890"/>
      <c r="AN123" s="223"/>
      <c r="AO123" s="952"/>
      <c r="AP123" s="1066"/>
      <c r="AQ123" s="972"/>
      <c r="AR123" s="1917"/>
      <c r="AS123" s="222"/>
      <c r="AZ123" s="889"/>
      <c r="BC123" s="890"/>
      <c r="BD123" s="952"/>
      <c r="BE123" s="75"/>
      <c r="BF123" s="572"/>
      <c r="BG123" s="983"/>
      <c r="BH123" s="222"/>
      <c r="BL123" s="889"/>
      <c r="BO123" s="223"/>
    </row>
    <row r="124" spans="1:67" s="74" customFormat="1">
      <c r="A124" s="15"/>
      <c r="B124" s="15"/>
      <c r="C124" s="15"/>
      <c r="D124" s="15"/>
      <c r="E124" s="6"/>
      <c r="F124" s="6"/>
      <c r="G124" s="6"/>
      <c r="K124" s="223"/>
      <c r="M124" s="889"/>
      <c r="P124" s="890"/>
      <c r="T124" s="889"/>
      <c r="X124" s="15"/>
      <c r="Y124" s="1935"/>
      <c r="Z124" s="1086"/>
      <c r="AA124" s="230"/>
      <c r="AB124" s="230"/>
      <c r="AC124" s="1936"/>
      <c r="AD124" s="230"/>
      <c r="AE124" s="230"/>
      <c r="AF124" s="230"/>
      <c r="AG124" s="890"/>
      <c r="AJ124" s="890"/>
      <c r="AN124" s="223"/>
      <c r="AO124" s="952"/>
      <c r="AP124" s="1066"/>
      <c r="AQ124" s="972"/>
      <c r="AR124" s="1917"/>
      <c r="AS124" s="222"/>
      <c r="AZ124" s="889"/>
      <c r="BC124" s="890"/>
      <c r="BD124" s="952"/>
      <c r="BE124" s="75"/>
      <c r="BF124" s="572"/>
      <c r="BG124" s="983"/>
      <c r="BH124" s="222"/>
      <c r="BL124" s="889"/>
      <c r="BO124" s="223"/>
    </row>
    <row r="125" spans="1:67" s="74" customFormat="1">
      <c r="A125" s="15"/>
      <c r="B125" s="15"/>
      <c r="C125" s="15"/>
      <c r="D125" s="15"/>
      <c r="E125" s="6"/>
      <c r="F125" s="6"/>
      <c r="G125" s="6"/>
      <c r="K125" s="223"/>
      <c r="M125" s="889"/>
      <c r="P125" s="890"/>
      <c r="T125" s="889"/>
      <c r="X125" s="15"/>
      <c r="Y125" s="1935"/>
      <c r="Z125" s="1086"/>
      <c r="AA125" s="230"/>
      <c r="AB125" s="230"/>
      <c r="AC125" s="1936"/>
      <c r="AD125" s="230"/>
      <c r="AE125" s="230"/>
      <c r="AF125" s="230"/>
      <c r="AG125" s="890"/>
      <c r="AJ125" s="890"/>
      <c r="AN125" s="223"/>
      <c r="AO125" s="952"/>
      <c r="AP125" s="1066"/>
      <c r="AQ125" s="972"/>
      <c r="AR125" s="1917"/>
      <c r="AS125" s="222"/>
      <c r="AZ125" s="889"/>
      <c r="BC125" s="890"/>
      <c r="BD125" s="952"/>
      <c r="BE125" s="75"/>
      <c r="BF125" s="572"/>
      <c r="BG125" s="983"/>
      <c r="BH125" s="222"/>
      <c r="BL125" s="889"/>
      <c r="BO125" s="223"/>
    </row>
    <row r="126" spans="1:67" s="74" customFormat="1">
      <c r="A126" s="15"/>
      <c r="B126" s="15"/>
      <c r="C126" s="15"/>
      <c r="D126" s="15"/>
      <c r="E126" s="6"/>
      <c r="F126" s="6"/>
      <c r="G126" s="6"/>
      <c r="K126" s="223"/>
      <c r="M126" s="889"/>
      <c r="P126" s="890"/>
      <c r="T126" s="889"/>
      <c r="X126" s="15"/>
      <c r="Y126" s="1935"/>
      <c r="Z126" s="1086"/>
      <c r="AA126" s="230"/>
      <c r="AB126" s="230"/>
      <c r="AC126" s="1936"/>
      <c r="AD126" s="230"/>
      <c r="AE126" s="230"/>
      <c r="AF126" s="230"/>
      <c r="AG126" s="890"/>
      <c r="AJ126" s="890"/>
      <c r="AN126" s="223"/>
      <c r="AO126" s="952"/>
      <c r="AP126" s="1066"/>
      <c r="AQ126" s="972"/>
      <c r="AR126" s="1917"/>
      <c r="AS126" s="222"/>
      <c r="AZ126" s="889"/>
      <c r="BC126" s="890"/>
      <c r="BD126" s="952"/>
      <c r="BE126" s="75"/>
      <c r="BF126" s="572"/>
      <c r="BG126" s="983"/>
      <c r="BH126" s="222"/>
      <c r="BL126" s="889"/>
      <c r="BO126" s="223"/>
    </row>
    <row r="127" spans="1:67" s="74" customFormat="1">
      <c r="A127" s="15"/>
      <c r="B127" s="15"/>
      <c r="C127" s="15"/>
      <c r="D127" s="15"/>
      <c r="E127" s="6"/>
      <c r="F127" s="6"/>
      <c r="G127" s="6"/>
      <c r="K127" s="223"/>
      <c r="M127" s="889"/>
      <c r="P127" s="890"/>
      <c r="T127" s="889"/>
      <c r="X127" s="15"/>
      <c r="Y127" s="1935"/>
      <c r="Z127" s="1086"/>
      <c r="AA127" s="230"/>
      <c r="AB127" s="230"/>
      <c r="AC127" s="1936"/>
      <c r="AD127" s="230"/>
      <c r="AE127" s="230"/>
      <c r="AF127" s="230"/>
      <c r="AG127" s="890"/>
      <c r="AJ127" s="890"/>
      <c r="AN127" s="223"/>
      <c r="AO127" s="952"/>
      <c r="AP127" s="1066"/>
      <c r="AQ127" s="972"/>
      <c r="AR127" s="1917"/>
      <c r="AS127" s="222"/>
      <c r="AZ127" s="889"/>
      <c r="BC127" s="890"/>
      <c r="BD127" s="952"/>
      <c r="BE127" s="75"/>
      <c r="BF127" s="572"/>
      <c r="BG127" s="983"/>
      <c r="BH127" s="222"/>
      <c r="BL127" s="889"/>
      <c r="BO127" s="223"/>
    </row>
    <row r="128" spans="1:67" s="74" customFormat="1">
      <c r="A128" s="15"/>
      <c r="B128" s="15"/>
      <c r="C128" s="15"/>
      <c r="D128" s="15"/>
      <c r="E128" s="6"/>
      <c r="F128" s="6"/>
      <c r="G128" s="6"/>
      <c r="K128" s="223"/>
      <c r="M128" s="889"/>
      <c r="P128" s="890"/>
      <c r="T128" s="889"/>
      <c r="X128" s="15"/>
      <c r="Y128" s="1935"/>
      <c r="Z128" s="1086"/>
      <c r="AA128" s="230"/>
      <c r="AB128" s="230"/>
      <c r="AC128" s="1936"/>
      <c r="AD128" s="230"/>
      <c r="AE128" s="230"/>
      <c r="AF128" s="230"/>
      <c r="AG128" s="890"/>
      <c r="AJ128" s="890"/>
      <c r="AN128" s="223"/>
      <c r="AO128" s="952"/>
      <c r="AP128" s="1066"/>
      <c r="AQ128" s="972"/>
      <c r="AR128" s="1917"/>
      <c r="AS128" s="222"/>
      <c r="AZ128" s="889"/>
      <c r="BC128" s="890"/>
      <c r="BD128" s="952"/>
      <c r="BE128" s="75"/>
      <c r="BF128" s="572"/>
      <c r="BG128" s="983"/>
      <c r="BH128" s="222"/>
      <c r="BL128" s="889"/>
      <c r="BO128" s="223"/>
    </row>
    <row r="129" spans="1:67" s="74" customFormat="1">
      <c r="A129" s="15"/>
      <c r="B129" s="15"/>
      <c r="C129" s="15"/>
      <c r="D129" s="15"/>
      <c r="E129" s="6"/>
      <c r="F129" s="6"/>
      <c r="G129" s="6"/>
      <c r="K129" s="223"/>
      <c r="M129" s="889"/>
      <c r="P129" s="890"/>
      <c r="T129" s="889"/>
      <c r="X129" s="15"/>
      <c r="Y129" s="1935"/>
      <c r="Z129" s="1086"/>
      <c r="AA129" s="230"/>
      <c r="AB129" s="230"/>
      <c r="AC129" s="1936"/>
      <c r="AD129" s="230"/>
      <c r="AE129" s="230"/>
      <c r="AF129" s="230"/>
      <c r="AG129" s="890"/>
      <c r="AJ129" s="890"/>
      <c r="AN129" s="223"/>
      <c r="AO129" s="952"/>
      <c r="AP129" s="1066"/>
      <c r="AQ129" s="972"/>
      <c r="AR129" s="1917"/>
      <c r="AS129" s="222"/>
      <c r="AZ129" s="889"/>
      <c r="BC129" s="890"/>
      <c r="BD129" s="952"/>
      <c r="BE129" s="75"/>
      <c r="BF129" s="572"/>
      <c r="BG129" s="983"/>
      <c r="BH129" s="222"/>
      <c r="BL129" s="889"/>
      <c r="BO129" s="223"/>
    </row>
    <row r="130" spans="1:67" s="74" customFormat="1">
      <c r="A130" s="15"/>
      <c r="B130" s="15"/>
      <c r="C130" s="15"/>
      <c r="D130" s="15"/>
      <c r="E130" s="6"/>
      <c r="F130" s="6"/>
      <c r="G130" s="6"/>
      <c r="K130" s="223"/>
      <c r="M130" s="889"/>
      <c r="P130" s="890"/>
      <c r="T130" s="889"/>
      <c r="X130" s="15"/>
      <c r="Y130" s="1935"/>
      <c r="Z130" s="1086"/>
      <c r="AA130" s="230"/>
      <c r="AB130" s="230"/>
      <c r="AC130" s="1936"/>
      <c r="AD130" s="230"/>
      <c r="AE130" s="230"/>
      <c r="AF130" s="230"/>
      <c r="AG130" s="890"/>
      <c r="AJ130" s="890"/>
      <c r="AN130" s="223"/>
      <c r="AO130" s="952"/>
      <c r="AP130" s="1066"/>
      <c r="AQ130" s="972"/>
      <c r="AR130" s="1917"/>
      <c r="AS130" s="222"/>
      <c r="AZ130" s="889"/>
      <c r="BC130" s="890"/>
      <c r="BD130" s="952"/>
      <c r="BE130" s="75"/>
      <c r="BF130" s="572"/>
      <c r="BG130" s="983"/>
      <c r="BH130" s="222"/>
      <c r="BL130" s="889"/>
      <c r="BO130" s="223"/>
    </row>
    <row r="131" spans="1:67" s="74" customFormat="1">
      <c r="A131" s="15"/>
      <c r="B131" s="15"/>
      <c r="C131" s="15"/>
      <c r="D131" s="15"/>
      <c r="E131" s="6"/>
      <c r="F131" s="6"/>
      <c r="G131" s="6"/>
      <c r="K131" s="223"/>
      <c r="M131" s="889"/>
      <c r="P131" s="890"/>
      <c r="T131" s="889"/>
      <c r="X131" s="15"/>
      <c r="Y131" s="1935"/>
      <c r="Z131" s="1086"/>
      <c r="AA131" s="230"/>
      <c r="AB131" s="230"/>
      <c r="AC131" s="1936"/>
      <c r="AD131" s="230"/>
      <c r="AE131" s="230"/>
      <c r="AF131" s="230"/>
      <c r="AG131" s="890"/>
      <c r="AJ131" s="890"/>
      <c r="AN131" s="223"/>
      <c r="AO131" s="952"/>
      <c r="AP131" s="1066"/>
      <c r="AQ131" s="972"/>
      <c r="AR131" s="1917"/>
      <c r="AS131" s="222"/>
      <c r="AZ131" s="889"/>
      <c r="BC131" s="890"/>
      <c r="BD131" s="952"/>
      <c r="BE131" s="75"/>
      <c r="BF131" s="572"/>
      <c r="BG131" s="983"/>
      <c r="BH131" s="222"/>
      <c r="BL131" s="889"/>
      <c r="BO131" s="223"/>
    </row>
    <row r="132" spans="1:67" s="74" customFormat="1">
      <c r="A132" s="15"/>
      <c r="B132" s="15"/>
      <c r="C132" s="15"/>
      <c r="D132" s="15"/>
      <c r="E132" s="6"/>
      <c r="F132" s="6"/>
      <c r="G132" s="6"/>
      <c r="K132" s="223"/>
      <c r="M132" s="889"/>
      <c r="P132" s="890"/>
      <c r="T132" s="889"/>
      <c r="X132" s="15"/>
      <c r="Y132" s="1935"/>
      <c r="Z132" s="1086"/>
      <c r="AA132" s="230"/>
      <c r="AB132" s="230"/>
      <c r="AC132" s="1936"/>
      <c r="AD132" s="230"/>
      <c r="AE132" s="230"/>
      <c r="AF132" s="230"/>
      <c r="AG132" s="890"/>
      <c r="AJ132" s="890"/>
      <c r="AN132" s="223"/>
      <c r="AO132" s="952"/>
      <c r="AP132" s="1066"/>
      <c r="AQ132" s="972"/>
      <c r="AR132" s="1917"/>
      <c r="AS132" s="222"/>
      <c r="AZ132" s="889"/>
      <c r="BC132" s="890"/>
      <c r="BD132" s="952"/>
      <c r="BE132" s="75"/>
      <c r="BF132" s="572"/>
      <c r="BG132" s="983"/>
      <c r="BH132" s="222"/>
      <c r="BL132" s="889"/>
      <c r="BO132" s="223"/>
    </row>
    <row r="133" spans="1:67" s="74" customFormat="1">
      <c r="A133" s="15"/>
      <c r="B133" s="15"/>
      <c r="C133" s="15"/>
      <c r="D133" s="15"/>
      <c r="E133" s="6"/>
      <c r="F133" s="6"/>
      <c r="G133" s="6"/>
      <c r="K133" s="223"/>
      <c r="M133" s="889"/>
      <c r="P133" s="890"/>
      <c r="T133" s="889"/>
      <c r="X133" s="15"/>
      <c r="Y133" s="1935"/>
      <c r="Z133" s="1086"/>
      <c r="AA133" s="230"/>
      <c r="AB133" s="230"/>
      <c r="AC133" s="1936"/>
      <c r="AD133" s="230"/>
      <c r="AE133" s="230"/>
      <c r="AF133" s="230"/>
      <c r="AG133" s="890"/>
      <c r="AJ133" s="890"/>
      <c r="AN133" s="223"/>
      <c r="AO133" s="952"/>
      <c r="AP133" s="1066"/>
      <c r="AQ133" s="972"/>
      <c r="AR133" s="1917"/>
      <c r="AS133" s="222"/>
      <c r="AZ133" s="889"/>
      <c r="BC133" s="890"/>
      <c r="BD133" s="952"/>
      <c r="BE133" s="75"/>
      <c r="BF133" s="572"/>
      <c r="BG133" s="983"/>
      <c r="BH133" s="222"/>
      <c r="BL133" s="889"/>
      <c r="BO133" s="223"/>
    </row>
    <row r="134" spans="1:67" s="74" customFormat="1">
      <c r="A134" s="15"/>
      <c r="B134" s="15"/>
      <c r="C134" s="15"/>
      <c r="D134" s="15"/>
      <c r="E134" s="6"/>
      <c r="F134" s="6"/>
      <c r="G134" s="6"/>
      <c r="K134" s="223"/>
      <c r="M134" s="889"/>
      <c r="P134" s="890"/>
      <c r="T134" s="889"/>
      <c r="X134" s="15"/>
      <c r="Y134" s="1935"/>
      <c r="Z134" s="1086"/>
      <c r="AA134" s="230"/>
      <c r="AB134" s="230"/>
      <c r="AC134" s="1936"/>
      <c r="AD134" s="230"/>
      <c r="AE134" s="230"/>
      <c r="AF134" s="230"/>
      <c r="AG134" s="890"/>
      <c r="AJ134" s="890"/>
      <c r="AN134" s="223"/>
      <c r="AO134" s="952"/>
      <c r="AP134" s="1066"/>
      <c r="AQ134" s="972"/>
      <c r="AR134" s="1917"/>
      <c r="AS134" s="222"/>
      <c r="AZ134" s="889"/>
      <c r="BC134" s="890"/>
      <c r="BD134" s="952"/>
      <c r="BE134" s="75"/>
      <c r="BF134" s="572"/>
      <c r="BG134" s="983"/>
      <c r="BH134" s="222"/>
      <c r="BL134" s="889"/>
      <c r="BO134" s="223"/>
    </row>
    <row r="135" spans="1:67" s="74" customFormat="1">
      <c r="A135" s="15"/>
      <c r="B135" s="15"/>
      <c r="C135" s="15"/>
      <c r="D135" s="15"/>
      <c r="E135" s="6"/>
      <c r="F135" s="6"/>
      <c r="G135" s="6"/>
      <c r="K135" s="223"/>
      <c r="M135" s="889"/>
      <c r="P135" s="890"/>
      <c r="T135" s="889"/>
      <c r="X135" s="15"/>
      <c r="Y135" s="1935"/>
      <c r="Z135" s="1086"/>
      <c r="AA135" s="230"/>
      <c r="AB135" s="230"/>
      <c r="AC135" s="1936"/>
      <c r="AD135" s="230"/>
      <c r="AE135" s="230"/>
      <c r="AF135" s="230"/>
      <c r="AG135" s="890"/>
      <c r="AJ135" s="890"/>
      <c r="AN135" s="223"/>
      <c r="AO135" s="952"/>
      <c r="AP135" s="1066"/>
      <c r="AQ135" s="972"/>
      <c r="AR135" s="1917"/>
      <c r="AS135" s="222"/>
      <c r="AZ135" s="889"/>
      <c r="BC135" s="890"/>
      <c r="BD135" s="952"/>
      <c r="BE135" s="75"/>
      <c r="BF135" s="572"/>
      <c r="BG135" s="983"/>
      <c r="BH135" s="222"/>
      <c r="BL135" s="889"/>
      <c r="BO135" s="223"/>
    </row>
    <row r="136" spans="1:67" s="74" customFormat="1">
      <c r="A136" s="15"/>
      <c r="B136" s="15"/>
      <c r="C136" s="15"/>
      <c r="D136" s="15"/>
      <c r="E136" s="6"/>
      <c r="F136" s="6"/>
      <c r="G136" s="6"/>
      <c r="K136" s="223"/>
      <c r="M136" s="889"/>
      <c r="P136" s="890"/>
      <c r="T136" s="889"/>
      <c r="X136" s="15"/>
      <c r="Y136" s="1935"/>
      <c r="Z136" s="1086"/>
      <c r="AA136" s="230"/>
      <c r="AB136" s="230"/>
      <c r="AC136" s="1936"/>
      <c r="AD136" s="230"/>
      <c r="AE136" s="230"/>
      <c r="AF136" s="230"/>
      <c r="AG136" s="890"/>
      <c r="AJ136" s="890"/>
      <c r="AN136" s="223"/>
      <c r="AO136" s="952"/>
      <c r="AP136" s="1066"/>
      <c r="AQ136" s="972"/>
      <c r="AR136" s="1917"/>
      <c r="AS136" s="222"/>
      <c r="AZ136" s="889"/>
      <c r="BC136" s="890"/>
      <c r="BD136" s="952"/>
      <c r="BE136" s="75"/>
      <c r="BF136" s="572"/>
      <c r="BG136" s="983"/>
      <c r="BH136" s="222"/>
      <c r="BL136" s="889"/>
      <c r="BO136" s="223"/>
    </row>
    <row r="137" spans="1:67" s="74" customFormat="1">
      <c r="A137" s="15"/>
      <c r="B137" s="15"/>
      <c r="C137" s="15"/>
      <c r="D137" s="15"/>
      <c r="E137" s="6"/>
      <c r="F137" s="6"/>
      <c r="G137" s="6"/>
      <c r="K137" s="223"/>
      <c r="M137" s="889"/>
      <c r="P137" s="890"/>
      <c r="T137" s="889"/>
      <c r="X137" s="15"/>
      <c r="Y137" s="1935"/>
      <c r="Z137" s="1086"/>
      <c r="AA137" s="230"/>
      <c r="AB137" s="230"/>
      <c r="AC137" s="1936"/>
      <c r="AD137" s="230"/>
      <c r="AE137" s="230"/>
      <c r="AF137" s="230"/>
      <c r="AG137" s="890"/>
      <c r="AJ137" s="890"/>
      <c r="AN137" s="223"/>
      <c r="AO137" s="952"/>
      <c r="AP137" s="1066"/>
      <c r="AQ137" s="972"/>
      <c r="AR137" s="1917"/>
      <c r="AS137" s="222"/>
      <c r="AZ137" s="889"/>
      <c r="BC137" s="890"/>
      <c r="BD137" s="952"/>
      <c r="BE137" s="75"/>
      <c r="BF137" s="572"/>
      <c r="BG137" s="983"/>
      <c r="BH137" s="222"/>
      <c r="BL137" s="889"/>
      <c r="BO137" s="223"/>
    </row>
    <row r="138" spans="1:67" s="74" customFormat="1">
      <c r="A138" s="15"/>
      <c r="B138" s="15"/>
      <c r="C138" s="15"/>
      <c r="D138" s="15"/>
      <c r="E138" s="6"/>
      <c r="F138" s="6"/>
      <c r="G138" s="6"/>
      <c r="K138" s="223"/>
      <c r="M138" s="889"/>
      <c r="P138" s="890"/>
      <c r="T138" s="889"/>
      <c r="X138" s="15"/>
      <c r="Y138" s="1935"/>
      <c r="Z138" s="1086"/>
      <c r="AA138" s="230"/>
      <c r="AB138" s="230"/>
      <c r="AC138" s="1936"/>
      <c r="AD138" s="230"/>
      <c r="AE138" s="230"/>
      <c r="AF138" s="230"/>
      <c r="AG138" s="890"/>
      <c r="AJ138" s="890"/>
      <c r="AN138" s="223"/>
      <c r="AO138" s="952"/>
      <c r="AP138" s="1066"/>
      <c r="AQ138" s="972"/>
      <c r="AR138" s="1917"/>
      <c r="AS138" s="222"/>
      <c r="AZ138" s="889"/>
      <c r="BC138" s="890"/>
      <c r="BD138" s="952"/>
      <c r="BE138" s="75"/>
      <c r="BF138" s="572"/>
      <c r="BG138" s="983"/>
      <c r="BH138" s="222"/>
      <c r="BL138" s="889"/>
      <c r="BO138" s="223"/>
    </row>
    <row r="139" spans="1:67" s="74" customFormat="1">
      <c r="A139" s="15"/>
      <c r="B139" s="15"/>
      <c r="C139" s="15"/>
      <c r="D139" s="15"/>
      <c r="E139" s="6"/>
      <c r="F139" s="6"/>
      <c r="G139" s="6"/>
      <c r="K139" s="223"/>
      <c r="M139" s="889"/>
      <c r="P139" s="890"/>
      <c r="T139" s="889"/>
      <c r="X139" s="15"/>
      <c r="Y139" s="1935"/>
      <c r="Z139" s="1086"/>
      <c r="AA139" s="230"/>
      <c r="AB139" s="230"/>
      <c r="AC139" s="1936"/>
      <c r="AD139" s="230"/>
      <c r="AE139" s="230"/>
      <c r="AF139" s="230"/>
      <c r="AG139" s="890"/>
      <c r="AJ139" s="890"/>
      <c r="AN139" s="223"/>
      <c r="AO139" s="952"/>
      <c r="AP139" s="1066"/>
      <c r="AQ139" s="972"/>
      <c r="AR139" s="1917"/>
      <c r="AS139" s="222"/>
      <c r="AZ139" s="889"/>
      <c r="BC139" s="890"/>
      <c r="BD139" s="952"/>
      <c r="BE139" s="75"/>
      <c r="BF139" s="572"/>
      <c r="BG139" s="983"/>
      <c r="BH139" s="222"/>
      <c r="BL139" s="889"/>
      <c r="BO139" s="223"/>
    </row>
    <row r="140" spans="1:67" s="74" customFormat="1">
      <c r="A140" s="15"/>
      <c r="B140" s="15"/>
      <c r="C140" s="15"/>
      <c r="D140" s="15"/>
      <c r="E140" s="6"/>
      <c r="F140" s="6"/>
      <c r="G140" s="6"/>
      <c r="K140" s="223"/>
      <c r="M140" s="889"/>
      <c r="P140" s="890"/>
      <c r="T140" s="889"/>
      <c r="X140" s="15"/>
      <c r="Y140" s="1935"/>
      <c r="Z140" s="1086"/>
      <c r="AA140" s="230"/>
      <c r="AB140" s="230"/>
      <c r="AC140" s="1936"/>
      <c r="AD140" s="230"/>
      <c r="AE140" s="230"/>
      <c r="AF140" s="230"/>
      <c r="AG140" s="890"/>
      <c r="AJ140" s="890"/>
      <c r="AN140" s="223"/>
      <c r="AO140" s="952"/>
      <c r="AP140" s="1066"/>
      <c r="AQ140" s="972"/>
      <c r="AR140" s="1917"/>
      <c r="AS140" s="222"/>
      <c r="AZ140" s="889"/>
      <c r="BC140" s="890"/>
      <c r="BD140" s="952"/>
      <c r="BE140" s="75"/>
      <c r="BF140" s="572"/>
      <c r="BG140" s="983"/>
      <c r="BH140" s="222"/>
      <c r="BL140" s="889"/>
      <c r="BO140" s="223"/>
    </row>
    <row r="141" spans="1:67" s="74" customFormat="1">
      <c r="A141" s="15"/>
      <c r="B141" s="15"/>
      <c r="C141" s="15"/>
      <c r="D141" s="15"/>
      <c r="E141" s="6"/>
      <c r="F141" s="6"/>
      <c r="G141" s="6"/>
      <c r="K141" s="223"/>
      <c r="M141" s="889"/>
      <c r="P141" s="890"/>
      <c r="T141" s="889"/>
      <c r="X141" s="15"/>
      <c r="Y141" s="1935"/>
      <c r="Z141" s="1086"/>
      <c r="AA141" s="230"/>
      <c r="AB141" s="230"/>
      <c r="AC141" s="1936"/>
      <c r="AD141" s="230"/>
      <c r="AE141" s="230"/>
      <c r="AF141" s="230"/>
      <c r="AG141" s="890"/>
      <c r="AJ141" s="890"/>
      <c r="AN141" s="223"/>
      <c r="AO141" s="952"/>
      <c r="AP141" s="1066"/>
      <c r="AQ141" s="972"/>
      <c r="AR141" s="1917"/>
      <c r="AS141" s="222"/>
      <c r="AZ141" s="889"/>
      <c r="BC141" s="890"/>
      <c r="BD141" s="952"/>
      <c r="BE141" s="75"/>
      <c r="BF141" s="572"/>
      <c r="BG141" s="983"/>
      <c r="BH141" s="222"/>
      <c r="BL141" s="889"/>
      <c r="BO141" s="223"/>
    </row>
    <row r="142" spans="1:67" s="74" customFormat="1">
      <c r="A142" s="15"/>
      <c r="B142" s="15"/>
      <c r="C142" s="15"/>
      <c r="D142" s="15"/>
      <c r="E142" s="6"/>
      <c r="F142" s="6"/>
      <c r="G142" s="6"/>
      <c r="K142" s="223"/>
      <c r="M142" s="889"/>
      <c r="P142" s="890"/>
      <c r="T142" s="889"/>
      <c r="X142" s="15"/>
      <c r="Y142" s="1935"/>
      <c r="Z142" s="1086"/>
      <c r="AA142" s="230"/>
      <c r="AB142" s="230"/>
      <c r="AC142" s="1936"/>
      <c r="AD142" s="230"/>
      <c r="AE142" s="230"/>
      <c r="AF142" s="230"/>
      <c r="AG142" s="890"/>
      <c r="AJ142" s="890"/>
      <c r="AN142" s="223"/>
      <c r="AO142" s="952"/>
      <c r="AP142" s="1066"/>
      <c r="AQ142" s="972"/>
      <c r="AR142" s="1917"/>
      <c r="AS142" s="222"/>
      <c r="AZ142" s="889"/>
      <c r="BC142" s="890"/>
      <c r="BD142" s="952"/>
      <c r="BE142" s="75"/>
      <c r="BF142" s="572"/>
      <c r="BG142" s="983"/>
      <c r="BH142" s="222"/>
      <c r="BL142" s="889"/>
      <c r="BO142" s="223"/>
    </row>
    <row r="143" spans="1:67" s="74" customFormat="1">
      <c r="A143" s="15"/>
      <c r="B143" s="15"/>
      <c r="C143" s="15"/>
      <c r="D143" s="15"/>
      <c r="E143" s="6"/>
      <c r="F143" s="6"/>
      <c r="G143" s="6"/>
      <c r="K143" s="223"/>
      <c r="M143" s="889"/>
      <c r="P143" s="890"/>
      <c r="T143" s="889"/>
      <c r="X143" s="15"/>
      <c r="Y143" s="1935"/>
      <c r="Z143" s="1086"/>
      <c r="AA143" s="230"/>
      <c r="AB143" s="230"/>
      <c r="AC143" s="1936"/>
      <c r="AD143" s="230"/>
      <c r="AE143" s="230"/>
      <c r="AF143" s="230"/>
      <c r="AG143" s="890"/>
      <c r="AJ143" s="890"/>
      <c r="AN143" s="223"/>
      <c r="AO143" s="952"/>
      <c r="AP143" s="1066"/>
      <c r="AQ143" s="972"/>
      <c r="AR143" s="1917"/>
      <c r="AS143" s="222"/>
      <c r="AZ143" s="889"/>
      <c r="BC143" s="890"/>
      <c r="BD143" s="952"/>
      <c r="BE143" s="75"/>
      <c r="BF143" s="572"/>
      <c r="BG143" s="983"/>
      <c r="BH143" s="222"/>
      <c r="BL143" s="889"/>
      <c r="BO143" s="223"/>
    </row>
    <row r="144" spans="1:67" s="74" customFormat="1">
      <c r="A144" s="15"/>
      <c r="B144" s="15"/>
      <c r="C144" s="15"/>
      <c r="D144" s="15"/>
      <c r="E144" s="6"/>
      <c r="F144" s="6"/>
      <c r="G144" s="6"/>
      <c r="K144" s="223"/>
      <c r="M144" s="889"/>
      <c r="P144" s="890"/>
      <c r="T144" s="889"/>
      <c r="X144" s="15"/>
      <c r="Y144" s="1935"/>
      <c r="Z144" s="1086"/>
      <c r="AA144" s="230"/>
      <c r="AB144" s="230"/>
      <c r="AC144" s="1936"/>
      <c r="AD144" s="230"/>
      <c r="AE144" s="230"/>
      <c r="AF144" s="230"/>
      <c r="AG144" s="890"/>
      <c r="AJ144" s="890"/>
      <c r="AN144" s="223"/>
      <c r="AO144" s="952"/>
      <c r="AP144" s="1066"/>
      <c r="AQ144" s="972"/>
      <c r="AR144" s="1917"/>
      <c r="AS144" s="222"/>
      <c r="AZ144" s="889"/>
      <c r="BC144" s="890"/>
      <c r="BD144" s="952"/>
      <c r="BE144" s="75"/>
      <c r="BF144" s="572"/>
      <c r="BG144" s="983"/>
      <c r="BH144" s="222"/>
      <c r="BL144" s="889"/>
      <c r="BO144" s="223"/>
    </row>
    <row r="145" spans="1:67" s="74" customFormat="1">
      <c r="A145" s="15"/>
      <c r="B145" s="15"/>
      <c r="C145" s="15"/>
      <c r="D145" s="15"/>
      <c r="E145" s="6"/>
      <c r="F145" s="6"/>
      <c r="G145" s="6"/>
      <c r="K145" s="223"/>
      <c r="M145" s="889"/>
      <c r="P145" s="890"/>
      <c r="T145" s="889"/>
      <c r="X145" s="15"/>
      <c r="Y145" s="1935"/>
      <c r="Z145" s="1086"/>
      <c r="AA145" s="230"/>
      <c r="AB145" s="230"/>
      <c r="AC145" s="1936"/>
      <c r="AD145" s="230"/>
      <c r="AE145" s="230"/>
      <c r="AF145" s="230"/>
      <c r="AG145" s="890"/>
      <c r="AJ145" s="890"/>
      <c r="AN145" s="223"/>
      <c r="AO145" s="952"/>
      <c r="AP145" s="1066"/>
      <c r="AQ145" s="972"/>
      <c r="AR145" s="1917"/>
      <c r="AS145" s="222"/>
      <c r="AZ145" s="889"/>
      <c r="BC145" s="890"/>
      <c r="BD145" s="952"/>
      <c r="BE145" s="75"/>
      <c r="BF145" s="572"/>
      <c r="BG145" s="983"/>
      <c r="BH145" s="222"/>
      <c r="BL145" s="889"/>
      <c r="BO145" s="223"/>
    </row>
    <row r="146" spans="1:67" s="74" customFormat="1">
      <c r="A146" s="15"/>
      <c r="B146" s="15"/>
      <c r="C146" s="15"/>
      <c r="D146" s="15"/>
      <c r="E146" s="6"/>
      <c r="F146" s="6"/>
      <c r="G146" s="6"/>
      <c r="K146" s="223"/>
      <c r="M146" s="889"/>
      <c r="P146" s="890"/>
      <c r="T146" s="889"/>
      <c r="X146" s="15"/>
      <c r="Y146" s="1935"/>
      <c r="Z146" s="1086"/>
      <c r="AA146" s="230"/>
      <c r="AB146" s="230"/>
      <c r="AC146" s="1936"/>
      <c r="AD146" s="230"/>
      <c r="AE146" s="230"/>
      <c r="AF146" s="230"/>
      <c r="AG146" s="890"/>
      <c r="AJ146" s="890"/>
      <c r="AN146" s="223"/>
      <c r="AO146" s="952"/>
      <c r="AP146" s="1066"/>
      <c r="AQ146" s="972"/>
      <c r="AR146" s="1917"/>
      <c r="AS146" s="222"/>
      <c r="AZ146" s="889"/>
      <c r="BC146" s="890"/>
      <c r="BD146" s="952"/>
      <c r="BE146" s="75"/>
      <c r="BF146" s="572"/>
      <c r="BG146" s="983"/>
      <c r="BH146" s="222"/>
      <c r="BL146" s="889"/>
      <c r="BO146" s="223"/>
    </row>
    <row r="147" spans="1:67" s="74" customFormat="1">
      <c r="A147" s="15"/>
      <c r="B147" s="15"/>
      <c r="C147" s="15"/>
      <c r="D147" s="15"/>
      <c r="E147" s="6"/>
      <c r="F147" s="6"/>
      <c r="G147" s="6"/>
      <c r="K147" s="223"/>
      <c r="M147" s="889"/>
      <c r="P147" s="890"/>
      <c r="T147" s="889"/>
      <c r="X147" s="15"/>
      <c r="Y147" s="1935"/>
      <c r="Z147" s="1086"/>
      <c r="AA147" s="230"/>
      <c r="AB147" s="230"/>
      <c r="AC147" s="1936"/>
      <c r="AD147" s="230"/>
      <c r="AE147" s="230"/>
      <c r="AF147" s="230"/>
      <c r="AG147" s="890"/>
      <c r="AJ147" s="890"/>
      <c r="AN147" s="223"/>
      <c r="AO147" s="952"/>
      <c r="AP147" s="1066"/>
      <c r="AQ147" s="972"/>
      <c r="AR147" s="1917"/>
      <c r="AS147" s="222"/>
      <c r="AZ147" s="889"/>
      <c r="BC147" s="890"/>
      <c r="BD147" s="952"/>
      <c r="BE147" s="75"/>
      <c r="BF147" s="572"/>
      <c r="BG147" s="983"/>
      <c r="BH147" s="222"/>
      <c r="BL147" s="889"/>
      <c r="BO147" s="223"/>
    </row>
    <row r="148" spans="1:67" s="74" customFormat="1">
      <c r="A148" s="15"/>
      <c r="B148" s="15"/>
      <c r="C148" s="15"/>
      <c r="D148" s="15"/>
      <c r="E148" s="6"/>
      <c r="F148" s="6"/>
      <c r="G148" s="6"/>
      <c r="K148" s="223"/>
      <c r="M148" s="889"/>
      <c r="P148" s="890"/>
      <c r="T148" s="889"/>
      <c r="X148" s="15"/>
      <c r="Y148" s="1935"/>
      <c r="Z148" s="1086"/>
      <c r="AA148" s="230"/>
      <c r="AB148" s="230"/>
      <c r="AC148" s="1936"/>
      <c r="AD148" s="230"/>
      <c r="AE148" s="230"/>
      <c r="AF148" s="230"/>
      <c r="AG148" s="890"/>
      <c r="AJ148" s="890"/>
      <c r="AN148" s="223"/>
      <c r="AO148" s="952"/>
      <c r="AP148" s="1066"/>
      <c r="AQ148" s="972"/>
      <c r="AR148" s="1917"/>
      <c r="AS148" s="222"/>
      <c r="AZ148" s="889"/>
      <c r="BC148" s="890"/>
      <c r="BD148" s="952"/>
      <c r="BE148" s="75"/>
      <c r="BF148" s="572"/>
      <c r="BG148" s="983"/>
      <c r="BH148" s="222"/>
      <c r="BL148" s="889"/>
      <c r="BO148" s="223"/>
    </row>
    <row r="149" spans="1:67" s="74" customFormat="1">
      <c r="A149" s="15"/>
      <c r="B149" s="15"/>
      <c r="C149" s="15"/>
      <c r="D149" s="15"/>
      <c r="E149" s="6"/>
      <c r="F149" s="6"/>
      <c r="G149" s="6"/>
      <c r="K149" s="223"/>
      <c r="M149" s="889"/>
      <c r="P149" s="890"/>
      <c r="T149" s="889"/>
      <c r="X149" s="15"/>
      <c r="Y149" s="1935"/>
      <c r="Z149" s="1086"/>
      <c r="AA149" s="230"/>
      <c r="AB149" s="230"/>
      <c r="AC149" s="1936"/>
      <c r="AD149" s="230"/>
      <c r="AE149" s="230"/>
      <c r="AF149" s="230"/>
      <c r="AG149" s="890"/>
      <c r="AJ149" s="890"/>
      <c r="AN149" s="223"/>
      <c r="AO149" s="952"/>
      <c r="AP149" s="1066"/>
      <c r="AQ149" s="972"/>
      <c r="AR149" s="1917"/>
      <c r="AS149" s="222"/>
      <c r="AZ149" s="889"/>
      <c r="BC149" s="890"/>
      <c r="BD149" s="952"/>
      <c r="BE149" s="75"/>
      <c r="BF149" s="572"/>
      <c r="BG149" s="983"/>
      <c r="BH149" s="222"/>
      <c r="BL149" s="889"/>
      <c r="BO149" s="223"/>
    </row>
    <row r="150" spans="1:67" s="74" customFormat="1">
      <c r="A150" s="15"/>
      <c r="B150" s="15"/>
      <c r="C150" s="15"/>
      <c r="D150" s="15"/>
      <c r="E150" s="6"/>
      <c r="F150" s="6"/>
      <c r="G150" s="6"/>
      <c r="K150" s="223"/>
      <c r="M150" s="889"/>
      <c r="P150" s="890"/>
      <c r="T150" s="889"/>
      <c r="X150" s="15"/>
      <c r="Y150" s="1935"/>
      <c r="Z150" s="1086"/>
      <c r="AA150" s="230"/>
      <c r="AB150" s="230"/>
      <c r="AC150" s="1936"/>
      <c r="AD150" s="230"/>
      <c r="AE150" s="230"/>
      <c r="AF150" s="230"/>
      <c r="AG150" s="890"/>
      <c r="AJ150" s="890"/>
      <c r="AN150" s="223"/>
      <c r="AO150" s="952"/>
      <c r="AP150" s="1066"/>
      <c r="AQ150" s="972"/>
      <c r="AR150" s="1917"/>
      <c r="AS150" s="222"/>
      <c r="AZ150" s="889"/>
      <c r="BC150" s="890"/>
      <c r="BD150" s="952"/>
      <c r="BE150" s="75"/>
      <c r="BF150" s="572"/>
      <c r="BG150" s="983"/>
      <c r="BH150" s="222"/>
      <c r="BL150" s="889"/>
      <c r="BO150" s="223"/>
    </row>
    <row r="151" spans="1:67" s="74" customFormat="1">
      <c r="A151" s="15"/>
      <c r="B151" s="15"/>
      <c r="C151" s="15"/>
      <c r="D151" s="15"/>
      <c r="E151" s="6"/>
      <c r="F151" s="6"/>
      <c r="G151" s="6"/>
      <c r="K151" s="223"/>
      <c r="M151" s="889"/>
      <c r="P151" s="890"/>
      <c r="T151" s="889"/>
      <c r="X151" s="15"/>
      <c r="Y151" s="1935"/>
      <c r="Z151" s="1086"/>
      <c r="AA151" s="230"/>
      <c r="AB151" s="230"/>
      <c r="AC151" s="1936"/>
      <c r="AD151" s="230"/>
      <c r="AE151" s="230"/>
      <c r="AF151" s="230"/>
      <c r="AG151" s="890"/>
      <c r="AJ151" s="890"/>
      <c r="AN151" s="223"/>
      <c r="AO151" s="952"/>
      <c r="AP151" s="1066"/>
      <c r="AQ151" s="972"/>
      <c r="AR151" s="1917"/>
      <c r="AS151" s="222"/>
      <c r="AZ151" s="889"/>
      <c r="BC151" s="890"/>
      <c r="BD151" s="952"/>
      <c r="BE151" s="75"/>
      <c r="BF151" s="572"/>
      <c r="BG151" s="983"/>
      <c r="BH151" s="222"/>
      <c r="BL151" s="889"/>
      <c r="BO151" s="223"/>
    </row>
    <row r="152" spans="1:67" s="74" customFormat="1">
      <c r="A152" s="15"/>
      <c r="B152" s="15"/>
      <c r="C152" s="15"/>
      <c r="D152" s="15"/>
      <c r="E152" s="6"/>
      <c r="F152" s="6"/>
      <c r="G152" s="6"/>
      <c r="K152" s="223"/>
      <c r="M152" s="889"/>
      <c r="P152" s="890"/>
      <c r="T152" s="889"/>
      <c r="X152" s="15"/>
      <c r="Y152" s="1935"/>
      <c r="Z152" s="1086"/>
      <c r="AA152" s="230"/>
      <c r="AB152" s="230"/>
      <c r="AC152" s="1936"/>
      <c r="AD152" s="230"/>
      <c r="AE152" s="230"/>
      <c r="AF152" s="230"/>
      <c r="AG152" s="890"/>
      <c r="AJ152" s="890"/>
      <c r="AN152" s="223"/>
      <c r="AO152" s="952"/>
      <c r="AP152" s="1066"/>
      <c r="AQ152" s="972"/>
      <c r="AR152" s="1917"/>
      <c r="AS152" s="222"/>
      <c r="AZ152" s="889"/>
      <c r="BC152" s="890"/>
      <c r="BD152" s="952"/>
      <c r="BE152" s="75"/>
      <c r="BF152" s="572"/>
      <c r="BG152" s="983"/>
      <c r="BH152" s="222"/>
      <c r="BL152" s="889"/>
      <c r="BO152" s="223"/>
    </row>
    <row r="153" spans="1:67" s="74" customFormat="1">
      <c r="A153" s="15"/>
      <c r="B153" s="15"/>
      <c r="C153" s="15"/>
      <c r="D153" s="15"/>
      <c r="E153" s="6"/>
      <c r="F153" s="6"/>
      <c r="G153" s="6"/>
      <c r="K153" s="223"/>
      <c r="M153" s="889"/>
      <c r="P153" s="890"/>
      <c r="T153" s="889"/>
      <c r="X153" s="15"/>
      <c r="Y153" s="1935"/>
      <c r="Z153" s="1086"/>
      <c r="AA153" s="230"/>
      <c r="AB153" s="230"/>
      <c r="AC153" s="1936"/>
      <c r="AD153" s="230"/>
      <c r="AE153" s="230"/>
      <c r="AF153" s="230"/>
      <c r="AG153" s="890"/>
      <c r="AJ153" s="890"/>
      <c r="AN153" s="223"/>
      <c r="AO153" s="952"/>
      <c r="AP153" s="1066"/>
      <c r="AQ153" s="972"/>
      <c r="AR153" s="1917"/>
      <c r="AS153" s="222"/>
      <c r="AZ153" s="889"/>
      <c r="BC153" s="890"/>
      <c r="BD153" s="952"/>
      <c r="BE153" s="75"/>
      <c r="BF153" s="572"/>
      <c r="BG153" s="983"/>
      <c r="BH153" s="222"/>
      <c r="BL153" s="889"/>
      <c r="BO153" s="223"/>
    </row>
    <row r="154" spans="1:67" s="74" customFormat="1">
      <c r="A154" s="15"/>
      <c r="B154" s="15"/>
      <c r="C154" s="15"/>
      <c r="D154" s="15"/>
      <c r="E154" s="6"/>
      <c r="F154" s="6"/>
      <c r="G154" s="6"/>
      <c r="K154" s="223"/>
      <c r="M154" s="889"/>
      <c r="P154" s="890"/>
      <c r="T154" s="889"/>
      <c r="X154" s="15"/>
      <c r="Y154" s="1935"/>
      <c r="Z154" s="1086"/>
      <c r="AA154" s="230"/>
      <c r="AB154" s="230"/>
      <c r="AC154" s="1936"/>
      <c r="AD154" s="230"/>
      <c r="AE154" s="230"/>
      <c r="AF154" s="230"/>
      <c r="AG154" s="890"/>
      <c r="AJ154" s="890"/>
      <c r="AN154" s="223"/>
      <c r="AO154" s="952"/>
      <c r="AP154" s="1066"/>
      <c r="AQ154" s="972"/>
      <c r="AR154" s="1917"/>
      <c r="AS154" s="222"/>
      <c r="AZ154" s="889"/>
      <c r="BC154" s="890"/>
      <c r="BD154" s="952"/>
      <c r="BE154" s="75"/>
      <c r="BF154" s="572"/>
      <c r="BG154" s="983"/>
      <c r="BH154" s="222"/>
      <c r="BL154" s="889"/>
      <c r="BO154" s="223"/>
    </row>
    <row r="155" spans="1:67" s="74" customFormat="1">
      <c r="A155" s="15"/>
      <c r="B155" s="15"/>
      <c r="C155" s="15"/>
      <c r="D155" s="15"/>
      <c r="E155" s="6"/>
      <c r="F155" s="6"/>
      <c r="G155" s="6"/>
      <c r="K155" s="223"/>
      <c r="M155" s="889"/>
      <c r="P155" s="890"/>
      <c r="T155" s="889"/>
      <c r="X155" s="15"/>
      <c r="Y155" s="1935"/>
      <c r="Z155" s="1086"/>
      <c r="AA155" s="230"/>
      <c r="AB155" s="230"/>
      <c r="AC155" s="1936"/>
      <c r="AD155" s="230"/>
      <c r="AE155" s="230"/>
      <c r="AF155" s="230"/>
      <c r="AG155" s="890"/>
      <c r="AJ155" s="890"/>
      <c r="AN155" s="223"/>
      <c r="AO155" s="952"/>
      <c r="AP155" s="1066"/>
      <c r="AQ155" s="972"/>
      <c r="AR155" s="1917"/>
      <c r="AS155" s="222"/>
      <c r="AZ155" s="889"/>
      <c r="BC155" s="890"/>
      <c r="BD155" s="952"/>
      <c r="BE155" s="75"/>
      <c r="BF155" s="572"/>
      <c r="BG155" s="983"/>
      <c r="BH155" s="222"/>
      <c r="BL155" s="889"/>
      <c r="BO155" s="223"/>
    </row>
    <row r="156" spans="1:67" s="74" customFormat="1">
      <c r="A156" s="15"/>
      <c r="B156" s="15"/>
      <c r="C156" s="15"/>
      <c r="D156" s="15"/>
      <c r="E156" s="6"/>
      <c r="F156" s="6"/>
      <c r="G156" s="6"/>
      <c r="K156" s="223"/>
      <c r="M156" s="889"/>
      <c r="P156" s="890"/>
      <c r="T156" s="889"/>
      <c r="X156" s="15"/>
      <c r="Y156" s="1935"/>
      <c r="Z156" s="1086"/>
      <c r="AA156" s="230"/>
      <c r="AB156" s="230"/>
      <c r="AC156" s="1936"/>
      <c r="AD156" s="230"/>
      <c r="AE156" s="230"/>
      <c r="AF156" s="230"/>
      <c r="AG156" s="890"/>
      <c r="AJ156" s="890"/>
      <c r="AN156" s="223"/>
      <c r="AO156" s="952"/>
      <c r="AP156" s="1066"/>
      <c r="AQ156" s="972"/>
      <c r="AR156" s="1917"/>
      <c r="AS156" s="222"/>
      <c r="AZ156" s="889"/>
      <c r="BC156" s="890"/>
      <c r="BD156" s="952"/>
      <c r="BE156" s="75"/>
      <c r="BF156" s="572"/>
      <c r="BG156" s="983"/>
      <c r="BH156" s="222"/>
      <c r="BL156" s="889"/>
      <c r="BO156" s="223"/>
    </row>
    <row r="157" spans="1:67" s="74" customFormat="1">
      <c r="A157" s="15"/>
      <c r="B157" s="15"/>
      <c r="C157" s="15"/>
      <c r="D157" s="15"/>
      <c r="E157" s="6"/>
      <c r="F157" s="6"/>
      <c r="G157" s="6"/>
      <c r="K157" s="223"/>
      <c r="M157" s="889"/>
      <c r="P157" s="890"/>
      <c r="T157" s="889"/>
      <c r="X157" s="15"/>
      <c r="Y157" s="1935"/>
      <c r="Z157" s="1086"/>
      <c r="AA157" s="230"/>
      <c r="AB157" s="230"/>
      <c r="AC157" s="1936"/>
      <c r="AD157" s="230"/>
      <c r="AE157" s="230"/>
      <c r="AF157" s="230"/>
      <c r="AG157" s="890"/>
      <c r="AJ157" s="890"/>
      <c r="AN157" s="223"/>
      <c r="AO157" s="952"/>
      <c r="AP157" s="1066"/>
      <c r="AQ157" s="972"/>
      <c r="AR157" s="1917"/>
      <c r="AS157" s="222"/>
      <c r="AZ157" s="889"/>
      <c r="BC157" s="890"/>
      <c r="BD157" s="952"/>
      <c r="BE157" s="75"/>
      <c r="BF157" s="572"/>
      <c r="BG157" s="983"/>
      <c r="BH157" s="222"/>
      <c r="BL157" s="889"/>
      <c r="BO157" s="223"/>
    </row>
    <row r="158" spans="1:67" s="74" customFormat="1">
      <c r="A158" s="15"/>
      <c r="B158" s="15"/>
      <c r="C158" s="15"/>
      <c r="D158" s="15"/>
      <c r="E158" s="6"/>
      <c r="F158" s="6"/>
      <c r="G158" s="6"/>
      <c r="K158" s="223"/>
      <c r="M158" s="889"/>
      <c r="P158" s="890"/>
      <c r="T158" s="889"/>
      <c r="X158" s="15"/>
      <c r="Y158" s="1935"/>
      <c r="Z158" s="1086"/>
      <c r="AA158" s="230"/>
      <c r="AB158" s="230"/>
      <c r="AC158" s="1936"/>
      <c r="AD158" s="230"/>
      <c r="AE158" s="230"/>
      <c r="AF158" s="230"/>
      <c r="AG158" s="890"/>
      <c r="AJ158" s="890"/>
      <c r="AN158" s="223"/>
      <c r="AO158" s="952"/>
      <c r="AP158" s="1066"/>
      <c r="AQ158" s="972"/>
      <c r="AR158" s="1917"/>
      <c r="AS158" s="222"/>
      <c r="AZ158" s="889"/>
      <c r="BC158" s="890"/>
      <c r="BD158" s="952"/>
      <c r="BE158" s="75"/>
      <c r="BF158" s="572"/>
      <c r="BG158" s="983"/>
      <c r="BH158" s="222"/>
      <c r="BL158" s="889"/>
      <c r="BO158" s="223"/>
    </row>
    <row r="159" spans="1:67" s="74" customFormat="1">
      <c r="A159" s="15"/>
      <c r="B159" s="15"/>
      <c r="C159" s="15"/>
      <c r="D159" s="15"/>
      <c r="E159" s="6"/>
      <c r="F159" s="6"/>
      <c r="G159" s="6"/>
      <c r="K159" s="223"/>
      <c r="M159" s="889"/>
      <c r="P159" s="890"/>
      <c r="T159" s="889"/>
      <c r="X159" s="15"/>
      <c r="Y159" s="1935"/>
      <c r="Z159" s="1086"/>
      <c r="AA159" s="230"/>
      <c r="AB159" s="230"/>
      <c r="AC159" s="1936"/>
      <c r="AD159" s="230"/>
      <c r="AE159" s="230"/>
      <c r="AF159" s="230"/>
      <c r="AG159" s="890"/>
      <c r="AJ159" s="890"/>
      <c r="AN159" s="223"/>
      <c r="AO159" s="952"/>
      <c r="AP159" s="1066"/>
      <c r="AQ159" s="972"/>
      <c r="AR159" s="1917"/>
      <c r="AS159" s="222"/>
      <c r="AZ159" s="889"/>
      <c r="BC159" s="890"/>
      <c r="BD159" s="952"/>
      <c r="BE159" s="75"/>
      <c r="BF159" s="572"/>
      <c r="BG159" s="983"/>
      <c r="BH159" s="222"/>
      <c r="BL159" s="889"/>
      <c r="BO159" s="223"/>
    </row>
    <row r="160" spans="1:67" s="74" customFormat="1">
      <c r="A160" s="15"/>
      <c r="B160" s="15"/>
      <c r="C160" s="15"/>
      <c r="D160" s="15"/>
      <c r="E160" s="6"/>
      <c r="F160" s="6"/>
      <c r="G160" s="6"/>
      <c r="K160" s="223"/>
      <c r="M160" s="889"/>
      <c r="P160" s="890"/>
      <c r="T160" s="889"/>
      <c r="X160" s="15"/>
      <c r="Y160" s="1935"/>
      <c r="Z160" s="1086"/>
      <c r="AA160" s="230"/>
      <c r="AB160" s="230"/>
      <c r="AC160" s="1936"/>
      <c r="AD160" s="230"/>
      <c r="AE160" s="230"/>
      <c r="AF160" s="230"/>
      <c r="AG160" s="890"/>
      <c r="AJ160" s="890"/>
      <c r="AN160" s="223"/>
      <c r="AO160" s="952"/>
      <c r="AP160" s="1066"/>
      <c r="AQ160" s="972"/>
      <c r="AR160" s="1917"/>
      <c r="AS160" s="222"/>
      <c r="AZ160" s="889"/>
      <c r="BC160" s="890"/>
      <c r="BD160" s="952"/>
      <c r="BE160" s="75"/>
      <c r="BF160" s="572"/>
      <c r="BG160" s="983"/>
      <c r="BH160" s="222"/>
      <c r="BL160" s="889"/>
      <c r="BO160" s="223"/>
    </row>
    <row r="161" spans="1:67" s="74" customFormat="1">
      <c r="A161" s="15"/>
      <c r="B161" s="15"/>
      <c r="C161" s="15"/>
      <c r="D161" s="15"/>
      <c r="E161" s="6"/>
      <c r="F161" s="6"/>
      <c r="G161" s="6"/>
      <c r="K161" s="223"/>
      <c r="M161" s="889"/>
      <c r="P161" s="890"/>
      <c r="T161" s="889"/>
      <c r="X161" s="15"/>
      <c r="Y161" s="1935"/>
      <c r="Z161" s="1086"/>
      <c r="AA161" s="230"/>
      <c r="AB161" s="230"/>
      <c r="AC161" s="1936"/>
      <c r="AD161" s="230"/>
      <c r="AE161" s="230"/>
      <c r="AF161" s="230"/>
      <c r="AG161" s="890"/>
      <c r="AJ161" s="890"/>
      <c r="AN161" s="223"/>
      <c r="AO161" s="952"/>
      <c r="AP161" s="1066"/>
      <c r="AQ161" s="972"/>
      <c r="AR161" s="1917"/>
      <c r="AS161" s="222"/>
      <c r="AZ161" s="889"/>
      <c r="BC161" s="890"/>
      <c r="BD161" s="952"/>
      <c r="BE161" s="75"/>
      <c r="BF161" s="572"/>
      <c r="BG161" s="983"/>
      <c r="BH161" s="222"/>
      <c r="BL161" s="889"/>
      <c r="BO161" s="223"/>
    </row>
    <row r="162" spans="1:67" s="74" customFormat="1">
      <c r="A162" s="15"/>
      <c r="B162" s="15"/>
      <c r="C162" s="15"/>
      <c r="D162" s="15"/>
      <c r="E162" s="6"/>
      <c r="F162" s="6"/>
      <c r="G162" s="6"/>
      <c r="K162" s="223"/>
      <c r="M162" s="889"/>
      <c r="P162" s="890"/>
      <c r="T162" s="889"/>
      <c r="X162" s="15"/>
      <c r="Y162" s="1935"/>
      <c r="Z162" s="1086"/>
      <c r="AA162" s="230"/>
      <c r="AB162" s="230"/>
      <c r="AC162" s="1936"/>
      <c r="AD162" s="230"/>
      <c r="AE162" s="230"/>
      <c r="AF162" s="230"/>
      <c r="AG162" s="890"/>
      <c r="AJ162" s="890"/>
      <c r="AN162" s="223"/>
      <c r="AO162" s="952"/>
      <c r="AP162" s="1066"/>
      <c r="AQ162" s="972"/>
      <c r="AR162" s="1917"/>
      <c r="AS162" s="222"/>
      <c r="AZ162" s="889"/>
      <c r="BC162" s="890"/>
      <c r="BD162" s="952"/>
      <c r="BE162" s="75"/>
      <c r="BF162" s="572"/>
      <c r="BG162" s="983"/>
      <c r="BH162" s="222"/>
      <c r="BL162" s="889"/>
      <c r="BO162" s="223"/>
    </row>
    <row r="163" spans="1:67" s="74" customFormat="1">
      <c r="A163" s="15"/>
      <c r="B163" s="15"/>
      <c r="C163" s="15"/>
      <c r="D163" s="15"/>
      <c r="E163" s="6"/>
      <c r="F163" s="6"/>
      <c r="G163" s="6"/>
      <c r="K163" s="223"/>
      <c r="M163" s="889"/>
      <c r="P163" s="890"/>
      <c r="T163" s="889"/>
      <c r="X163" s="15"/>
      <c r="Y163" s="1935"/>
      <c r="Z163" s="1086"/>
      <c r="AA163" s="230"/>
      <c r="AB163" s="230"/>
      <c r="AC163" s="1936"/>
      <c r="AD163" s="230"/>
      <c r="AE163" s="230"/>
      <c r="AF163" s="230"/>
      <c r="AG163" s="890"/>
      <c r="AJ163" s="890"/>
      <c r="AN163" s="223"/>
      <c r="AO163" s="952"/>
      <c r="AP163" s="1066"/>
      <c r="AQ163" s="972"/>
      <c r="AR163" s="1917"/>
      <c r="AS163" s="222"/>
      <c r="AZ163" s="889"/>
      <c r="BC163" s="890"/>
      <c r="BD163" s="952"/>
      <c r="BE163" s="75"/>
      <c r="BF163" s="572"/>
      <c r="BG163" s="983"/>
      <c r="BH163" s="222"/>
      <c r="BL163" s="889"/>
      <c r="BO163" s="223"/>
    </row>
    <row r="164" spans="1:67" s="74" customFormat="1">
      <c r="A164" s="15"/>
      <c r="B164" s="15"/>
      <c r="C164" s="15"/>
      <c r="D164" s="15"/>
      <c r="E164" s="6"/>
      <c r="F164" s="6"/>
      <c r="G164" s="6"/>
      <c r="K164" s="223"/>
      <c r="M164" s="889"/>
      <c r="P164" s="890"/>
      <c r="T164" s="889"/>
      <c r="X164" s="15"/>
      <c r="Y164" s="1935"/>
      <c r="Z164" s="1086"/>
      <c r="AA164" s="230"/>
      <c r="AB164" s="230"/>
      <c r="AC164" s="1936"/>
      <c r="AD164" s="230"/>
      <c r="AE164" s="230"/>
      <c r="AF164" s="230"/>
      <c r="AG164" s="890"/>
      <c r="AJ164" s="890"/>
      <c r="AN164" s="223"/>
      <c r="AO164" s="952"/>
      <c r="AP164" s="1066"/>
      <c r="AQ164" s="972"/>
      <c r="AR164" s="1917"/>
      <c r="AS164" s="222"/>
      <c r="AZ164" s="889"/>
      <c r="BC164" s="890"/>
      <c r="BD164" s="952"/>
      <c r="BE164" s="75"/>
      <c r="BF164" s="572"/>
      <c r="BG164" s="983"/>
      <c r="BH164" s="222"/>
      <c r="BL164" s="889"/>
      <c r="BO164" s="223"/>
    </row>
    <row r="165" spans="1:67" s="74" customFormat="1">
      <c r="A165" s="15"/>
      <c r="B165" s="15"/>
      <c r="C165" s="15"/>
      <c r="D165" s="15"/>
      <c r="E165" s="6"/>
      <c r="F165" s="6"/>
      <c r="G165" s="6"/>
      <c r="K165" s="223"/>
      <c r="M165" s="889"/>
      <c r="P165" s="890"/>
      <c r="T165" s="889"/>
      <c r="X165" s="15"/>
      <c r="Y165" s="1935"/>
      <c r="Z165" s="1086"/>
      <c r="AA165" s="230"/>
      <c r="AB165" s="230"/>
      <c r="AC165" s="1936"/>
      <c r="AD165" s="230"/>
      <c r="AE165" s="230"/>
      <c r="AF165" s="230"/>
      <c r="AG165" s="890"/>
      <c r="AJ165" s="890"/>
      <c r="AN165" s="223"/>
      <c r="AO165" s="952"/>
      <c r="AP165" s="1066"/>
      <c r="AQ165" s="972"/>
      <c r="AR165" s="1917"/>
      <c r="AS165" s="222"/>
      <c r="AZ165" s="889"/>
      <c r="BC165" s="890"/>
      <c r="BD165" s="952"/>
      <c r="BE165" s="75"/>
      <c r="BF165" s="572"/>
      <c r="BG165" s="983"/>
      <c r="BH165" s="222"/>
      <c r="BL165" s="889"/>
      <c r="BO165" s="223"/>
    </row>
    <row r="166" spans="1:67" s="74" customFormat="1">
      <c r="A166" s="15"/>
      <c r="B166" s="15"/>
      <c r="C166" s="15"/>
      <c r="D166" s="15"/>
      <c r="E166" s="6"/>
      <c r="F166" s="6"/>
      <c r="G166" s="6"/>
      <c r="K166" s="223"/>
      <c r="M166" s="889"/>
      <c r="P166" s="890"/>
      <c r="T166" s="889"/>
      <c r="X166" s="15"/>
      <c r="Y166" s="1935"/>
      <c r="Z166" s="1086"/>
      <c r="AA166" s="230"/>
      <c r="AB166" s="230"/>
      <c r="AC166" s="1936"/>
      <c r="AD166" s="230"/>
      <c r="AE166" s="230"/>
      <c r="AF166" s="230"/>
      <c r="AG166" s="890"/>
      <c r="AJ166" s="890"/>
      <c r="AN166" s="223"/>
      <c r="AO166" s="952"/>
      <c r="AP166" s="1066"/>
      <c r="AQ166" s="972"/>
      <c r="AR166" s="1917"/>
      <c r="AS166" s="222"/>
      <c r="AZ166" s="889"/>
      <c r="BC166" s="890"/>
      <c r="BD166" s="952"/>
      <c r="BE166" s="75"/>
      <c r="BF166" s="572"/>
      <c r="BG166" s="983"/>
      <c r="BH166" s="222"/>
      <c r="BL166" s="889"/>
      <c r="BO166" s="223"/>
    </row>
    <row r="167" spans="1:67" s="74" customFormat="1">
      <c r="A167" s="15"/>
      <c r="B167" s="15"/>
      <c r="C167" s="15"/>
      <c r="D167" s="15"/>
      <c r="E167" s="6"/>
      <c r="F167" s="6"/>
      <c r="G167" s="6"/>
      <c r="K167" s="223"/>
      <c r="M167" s="889"/>
      <c r="P167" s="890"/>
      <c r="T167" s="889"/>
      <c r="X167" s="15"/>
      <c r="Y167" s="1935"/>
      <c r="Z167" s="1086"/>
      <c r="AA167" s="230"/>
      <c r="AB167" s="230"/>
      <c r="AC167" s="1936"/>
      <c r="AD167" s="230"/>
      <c r="AE167" s="230"/>
      <c r="AF167" s="230"/>
      <c r="AG167" s="890"/>
      <c r="AJ167" s="890"/>
      <c r="AN167" s="223"/>
      <c r="AO167" s="952"/>
      <c r="AP167" s="1066"/>
      <c r="AQ167" s="972"/>
      <c r="AR167" s="1917"/>
      <c r="AS167" s="222"/>
      <c r="AZ167" s="889"/>
      <c r="BC167" s="890"/>
      <c r="BD167" s="952"/>
      <c r="BE167" s="75"/>
      <c r="BF167" s="572"/>
      <c r="BG167" s="983"/>
      <c r="BH167" s="222"/>
      <c r="BL167" s="889"/>
      <c r="BO167" s="223"/>
    </row>
    <row r="168" spans="1:67" s="74" customFormat="1">
      <c r="A168" s="15"/>
      <c r="B168" s="15"/>
      <c r="C168" s="15"/>
      <c r="D168" s="15"/>
      <c r="E168" s="6"/>
      <c r="F168" s="6"/>
      <c r="G168" s="6"/>
      <c r="K168" s="223"/>
      <c r="M168" s="889"/>
      <c r="P168" s="890"/>
      <c r="T168" s="889"/>
      <c r="X168" s="15"/>
      <c r="Y168" s="1935"/>
      <c r="Z168" s="1086"/>
      <c r="AA168" s="230"/>
      <c r="AB168" s="230"/>
      <c r="AC168" s="1936"/>
      <c r="AD168" s="230"/>
      <c r="AE168" s="230"/>
      <c r="AF168" s="230"/>
      <c r="AG168" s="890"/>
      <c r="AJ168" s="890"/>
      <c r="AN168" s="223"/>
      <c r="AO168" s="952"/>
      <c r="AP168" s="1066"/>
      <c r="AQ168" s="972"/>
      <c r="AR168" s="1917"/>
      <c r="AS168" s="222"/>
      <c r="AZ168" s="889"/>
      <c r="BC168" s="890"/>
      <c r="BD168" s="952"/>
      <c r="BE168" s="75"/>
      <c r="BF168" s="572"/>
      <c r="BG168" s="983"/>
      <c r="BH168" s="222"/>
      <c r="BL168" s="889"/>
      <c r="BO168" s="223"/>
    </row>
    <row r="169" spans="1:67" s="74" customFormat="1">
      <c r="A169" s="15"/>
      <c r="B169" s="15"/>
      <c r="C169" s="15"/>
      <c r="D169" s="15"/>
      <c r="E169" s="6"/>
      <c r="F169" s="6"/>
      <c r="G169" s="6"/>
      <c r="K169" s="223"/>
      <c r="M169" s="889"/>
      <c r="P169" s="890"/>
      <c r="T169" s="889"/>
      <c r="X169" s="15"/>
      <c r="Y169" s="1935"/>
      <c r="Z169" s="1086"/>
      <c r="AA169" s="230"/>
      <c r="AB169" s="230"/>
      <c r="AC169" s="1936"/>
      <c r="AD169" s="230"/>
      <c r="AE169" s="230"/>
      <c r="AF169" s="230"/>
      <c r="AG169" s="890"/>
      <c r="AJ169" s="890"/>
      <c r="AN169" s="223"/>
      <c r="AO169" s="952"/>
      <c r="AP169" s="1066"/>
      <c r="AQ169" s="972"/>
      <c r="AR169" s="1917"/>
      <c r="AS169" s="222"/>
      <c r="AZ169" s="889"/>
      <c r="BC169" s="890"/>
      <c r="BD169" s="952"/>
      <c r="BE169" s="75"/>
      <c r="BF169" s="572"/>
      <c r="BG169" s="983"/>
      <c r="BH169" s="222"/>
      <c r="BL169" s="889"/>
      <c r="BO169" s="223"/>
    </row>
    <row r="170" spans="1:67" s="74" customFormat="1">
      <c r="A170" s="15"/>
      <c r="B170" s="15"/>
      <c r="C170" s="15"/>
      <c r="D170" s="15"/>
      <c r="E170" s="6"/>
      <c r="F170" s="6"/>
      <c r="G170" s="6"/>
      <c r="K170" s="223"/>
      <c r="M170" s="889"/>
      <c r="P170" s="890"/>
      <c r="T170" s="889"/>
      <c r="X170" s="15"/>
      <c r="Y170" s="1935"/>
      <c r="Z170" s="1086"/>
      <c r="AA170" s="230"/>
      <c r="AB170" s="230"/>
      <c r="AC170" s="1936"/>
      <c r="AD170" s="230"/>
      <c r="AE170" s="230"/>
      <c r="AF170" s="230"/>
      <c r="AG170" s="890"/>
      <c r="AJ170" s="890"/>
      <c r="AN170" s="223"/>
      <c r="AO170" s="952"/>
      <c r="AP170" s="1066"/>
      <c r="AQ170" s="972"/>
      <c r="AR170" s="1917"/>
      <c r="AS170" s="222"/>
      <c r="AZ170" s="889"/>
      <c r="BC170" s="890"/>
      <c r="BD170" s="952"/>
      <c r="BE170" s="75"/>
      <c r="BF170" s="572"/>
      <c r="BG170" s="983"/>
      <c r="BH170" s="222"/>
      <c r="BL170" s="889"/>
      <c r="BO170" s="223"/>
    </row>
    <row r="171" spans="1:67" s="74" customFormat="1">
      <c r="A171" s="15"/>
      <c r="B171" s="15"/>
      <c r="C171" s="15"/>
      <c r="D171" s="15"/>
      <c r="E171" s="6"/>
      <c r="F171" s="6"/>
      <c r="G171" s="6"/>
      <c r="K171" s="223"/>
      <c r="M171" s="889"/>
      <c r="P171" s="890"/>
      <c r="T171" s="889"/>
      <c r="X171" s="15"/>
      <c r="Y171" s="1935"/>
      <c r="Z171" s="1086"/>
      <c r="AA171" s="230"/>
      <c r="AB171" s="230"/>
      <c r="AC171" s="1936"/>
      <c r="AD171" s="230"/>
      <c r="AE171" s="230"/>
      <c r="AF171" s="230"/>
      <c r="AG171" s="890"/>
      <c r="AJ171" s="890"/>
      <c r="AN171" s="223"/>
      <c r="AO171" s="952"/>
      <c r="AP171" s="1066"/>
      <c r="AQ171" s="972"/>
      <c r="AR171" s="1917"/>
      <c r="AS171" s="222"/>
      <c r="AZ171" s="889"/>
      <c r="BC171" s="890"/>
      <c r="BD171" s="952"/>
      <c r="BE171" s="75"/>
      <c r="BF171" s="572"/>
      <c r="BG171" s="983"/>
      <c r="BH171" s="222"/>
      <c r="BL171" s="889"/>
      <c r="BO171" s="223"/>
    </row>
    <row r="172" spans="1:67" s="74" customFormat="1">
      <c r="A172" s="15"/>
      <c r="B172" s="15"/>
      <c r="C172" s="15"/>
      <c r="D172" s="15"/>
      <c r="E172" s="6"/>
      <c r="F172" s="6"/>
      <c r="G172" s="6"/>
      <c r="K172" s="223"/>
      <c r="M172" s="889"/>
      <c r="P172" s="890"/>
      <c r="T172" s="889"/>
      <c r="X172" s="15"/>
      <c r="Y172" s="1935"/>
      <c r="Z172" s="1086"/>
      <c r="AA172" s="230"/>
      <c r="AB172" s="230"/>
      <c r="AC172" s="1936"/>
      <c r="AD172" s="230"/>
      <c r="AE172" s="230"/>
      <c r="AF172" s="230"/>
      <c r="AG172" s="890"/>
      <c r="AJ172" s="890"/>
      <c r="AN172" s="223"/>
      <c r="AO172" s="952"/>
      <c r="AP172" s="1066"/>
      <c r="AQ172" s="972"/>
      <c r="AR172" s="1917"/>
      <c r="AS172" s="222"/>
      <c r="AZ172" s="889"/>
      <c r="BC172" s="890"/>
      <c r="BD172" s="952"/>
      <c r="BE172" s="75"/>
      <c r="BF172" s="572"/>
      <c r="BG172" s="983"/>
      <c r="BH172" s="222"/>
      <c r="BL172" s="889"/>
      <c r="BO172" s="223"/>
    </row>
    <row r="173" spans="1:67" s="74" customFormat="1">
      <c r="A173" s="15"/>
      <c r="B173" s="15"/>
      <c r="C173" s="15"/>
      <c r="D173" s="15"/>
      <c r="E173" s="6"/>
      <c r="F173" s="6"/>
      <c r="G173" s="6"/>
      <c r="K173" s="223"/>
      <c r="M173" s="889"/>
      <c r="P173" s="890"/>
      <c r="T173" s="889"/>
      <c r="X173" s="15"/>
      <c r="Y173" s="1935"/>
      <c r="Z173" s="1086"/>
      <c r="AA173" s="230"/>
      <c r="AB173" s="230"/>
      <c r="AC173" s="1936"/>
      <c r="AD173" s="230"/>
      <c r="AE173" s="230"/>
      <c r="AF173" s="230"/>
      <c r="AG173" s="890"/>
      <c r="AJ173" s="890"/>
      <c r="AN173" s="223"/>
      <c r="AO173" s="952"/>
      <c r="AP173" s="1066"/>
      <c r="AQ173" s="972"/>
      <c r="AR173" s="1917"/>
      <c r="AS173" s="222"/>
      <c r="AZ173" s="889"/>
      <c r="BC173" s="890"/>
      <c r="BD173" s="952"/>
      <c r="BE173" s="75"/>
      <c r="BF173" s="572"/>
      <c r="BG173" s="983"/>
      <c r="BH173" s="222"/>
      <c r="BL173" s="889"/>
      <c r="BO173" s="223"/>
    </row>
    <row r="174" spans="1:67" s="74" customFormat="1">
      <c r="A174" s="15"/>
      <c r="B174" s="15"/>
      <c r="C174" s="15"/>
      <c r="D174" s="15"/>
      <c r="E174" s="6"/>
      <c r="F174" s="6"/>
      <c r="G174" s="6"/>
      <c r="K174" s="223"/>
      <c r="M174" s="889"/>
      <c r="P174" s="890"/>
      <c r="T174" s="889"/>
      <c r="X174" s="15"/>
      <c r="Y174" s="1935"/>
      <c r="Z174" s="1086"/>
      <c r="AA174" s="230"/>
      <c r="AB174" s="230"/>
      <c r="AC174" s="1936"/>
      <c r="AD174" s="230"/>
      <c r="AE174" s="230"/>
      <c r="AF174" s="230"/>
      <c r="AG174" s="890"/>
      <c r="AJ174" s="890"/>
      <c r="AN174" s="223"/>
      <c r="AO174" s="952"/>
      <c r="AP174" s="1066"/>
      <c r="AQ174" s="972"/>
      <c r="AR174" s="1917"/>
      <c r="AS174" s="222"/>
      <c r="AZ174" s="889"/>
      <c r="BC174" s="890"/>
      <c r="BD174" s="952"/>
      <c r="BE174" s="75"/>
      <c r="BF174" s="572"/>
      <c r="BG174" s="983"/>
      <c r="BH174" s="222"/>
      <c r="BL174" s="889"/>
      <c r="BO174" s="223"/>
    </row>
    <row r="175" spans="1:67" s="74" customFormat="1">
      <c r="A175" s="15"/>
      <c r="B175" s="15"/>
      <c r="C175" s="15"/>
      <c r="D175" s="15"/>
      <c r="E175" s="6"/>
      <c r="F175" s="6"/>
      <c r="G175" s="6"/>
      <c r="K175" s="223"/>
      <c r="M175" s="889"/>
      <c r="P175" s="890"/>
      <c r="T175" s="889"/>
      <c r="X175" s="15"/>
      <c r="Y175" s="1935"/>
      <c r="Z175" s="1086"/>
      <c r="AA175" s="230"/>
      <c r="AB175" s="230"/>
      <c r="AC175" s="1936"/>
      <c r="AD175" s="230"/>
      <c r="AE175" s="230"/>
      <c r="AF175" s="230"/>
      <c r="AG175" s="890"/>
      <c r="AJ175" s="890"/>
      <c r="AN175" s="223"/>
      <c r="AO175" s="952"/>
      <c r="AP175" s="1066"/>
      <c r="AQ175" s="972"/>
      <c r="AR175" s="1917"/>
      <c r="AS175" s="222"/>
      <c r="AZ175" s="889"/>
      <c r="BC175" s="890"/>
      <c r="BD175" s="952"/>
      <c r="BE175" s="75"/>
      <c r="BF175" s="572"/>
      <c r="BG175" s="983"/>
      <c r="BH175" s="222"/>
      <c r="BL175" s="889"/>
      <c r="BO175" s="223"/>
    </row>
    <row r="176" spans="1:67" s="74" customFormat="1">
      <c r="A176" s="15"/>
      <c r="B176" s="15"/>
      <c r="C176" s="15"/>
      <c r="D176" s="15"/>
      <c r="E176" s="6"/>
      <c r="F176" s="6"/>
      <c r="G176" s="6"/>
      <c r="K176" s="223"/>
      <c r="M176" s="889"/>
      <c r="P176" s="890"/>
      <c r="T176" s="889"/>
      <c r="X176" s="15"/>
      <c r="Y176" s="1935"/>
      <c r="Z176" s="1086"/>
      <c r="AA176" s="230"/>
      <c r="AB176" s="230"/>
      <c r="AC176" s="1936"/>
      <c r="AD176" s="230"/>
      <c r="AE176" s="230"/>
      <c r="AF176" s="230"/>
      <c r="AG176" s="890"/>
      <c r="AJ176" s="890"/>
      <c r="AN176" s="223"/>
      <c r="AO176" s="952"/>
      <c r="AP176" s="1066"/>
      <c r="AQ176" s="972"/>
      <c r="AR176" s="1917"/>
      <c r="AS176" s="222"/>
      <c r="AZ176" s="889"/>
      <c r="BC176" s="890"/>
      <c r="BD176" s="952"/>
      <c r="BE176" s="75"/>
      <c r="BF176" s="572"/>
      <c r="BG176" s="983"/>
      <c r="BH176" s="222"/>
      <c r="BL176" s="889"/>
      <c r="BO176" s="223"/>
    </row>
    <row r="177" spans="1:67" s="74" customFormat="1">
      <c r="A177" s="15"/>
      <c r="B177" s="15"/>
      <c r="C177" s="15"/>
      <c r="D177" s="15"/>
      <c r="E177" s="6"/>
      <c r="F177" s="6"/>
      <c r="G177" s="6"/>
      <c r="K177" s="223"/>
      <c r="M177" s="889"/>
      <c r="P177" s="890"/>
      <c r="T177" s="889"/>
      <c r="X177" s="15"/>
      <c r="Y177" s="1935"/>
      <c r="Z177" s="1086"/>
      <c r="AA177" s="230"/>
      <c r="AB177" s="230"/>
      <c r="AC177" s="1936"/>
      <c r="AD177" s="230"/>
      <c r="AE177" s="230"/>
      <c r="AF177" s="230"/>
      <c r="AG177" s="890"/>
      <c r="AJ177" s="890"/>
      <c r="AN177" s="223"/>
      <c r="AO177" s="952"/>
      <c r="AP177" s="1066"/>
      <c r="AQ177" s="972"/>
      <c r="AR177" s="1917"/>
      <c r="AS177" s="222"/>
      <c r="AZ177" s="889"/>
      <c r="BC177" s="890"/>
      <c r="BD177" s="952"/>
      <c r="BE177" s="75"/>
      <c r="BF177" s="572"/>
      <c r="BG177" s="983"/>
      <c r="BH177" s="222"/>
      <c r="BL177" s="889"/>
      <c r="BO177" s="223"/>
    </row>
    <row r="178" spans="1:67" s="74" customFormat="1">
      <c r="A178" s="15"/>
      <c r="B178" s="15"/>
      <c r="C178" s="15"/>
      <c r="D178" s="15"/>
      <c r="E178" s="6"/>
      <c r="F178" s="6"/>
      <c r="G178" s="6"/>
      <c r="K178" s="223"/>
      <c r="M178" s="889"/>
      <c r="P178" s="890"/>
      <c r="T178" s="889"/>
      <c r="X178" s="15"/>
      <c r="Y178" s="1935"/>
      <c r="Z178" s="1086"/>
      <c r="AA178" s="230"/>
      <c r="AB178" s="230"/>
      <c r="AC178" s="1936"/>
      <c r="AD178" s="230"/>
      <c r="AE178" s="230"/>
      <c r="AF178" s="230"/>
      <c r="AG178" s="890"/>
      <c r="AJ178" s="890"/>
      <c r="AN178" s="223"/>
      <c r="AO178" s="952"/>
      <c r="AP178" s="1066"/>
      <c r="AQ178" s="972"/>
      <c r="AR178" s="1917"/>
      <c r="AS178" s="222"/>
      <c r="AZ178" s="889"/>
      <c r="BC178" s="890"/>
      <c r="BD178" s="952"/>
      <c r="BE178" s="75"/>
      <c r="BF178" s="572"/>
      <c r="BG178" s="983"/>
      <c r="BH178" s="222"/>
      <c r="BL178" s="889"/>
      <c r="BO178" s="223"/>
    </row>
    <row r="179" spans="1:67" s="74" customFormat="1">
      <c r="A179" s="15"/>
      <c r="B179" s="15"/>
      <c r="C179" s="15"/>
      <c r="D179" s="15"/>
      <c r="E179" s="6"/>
      <c r="F179" s="6"/>
      <c r="G179" s="6"/>
      <c r="K179" s="223"/>
      <c r="M179" s="889"/>
      <c r="P179" s="890"/>
      <c r="T179" s="889"/>
      <c r="X179" s="15"/>
      <c r="Y179" s="1935"/>
      <c r="Z179" s="1086"/>
      <c r="AA179" s="230"/>
      <c r="AB179" s="230"/>
      <c r="AC179" s="1936"/>
      <c r="AD179" s="230"/>
      <c r="AE179" s="230"/>
      <c r="AF179" s="230"/>
      <c r="AG179" s="890"/>
      <c r="AJ179" s="890"/>
      <c r="AN179" s="223"/>
      <c r="AO179" s="952"/>
      <c r="AP179" s="1066"/>
      <c r="AQ179" s="972"/>
      <c r="AR179" s="1917"/>
      <c r="AS179" s="222"/>
      <c r="AZ179" s="889"/>
      <c r="BC179" s="890"/>
      <c r="BD179" s="952"/>
      <c r="BE179" s="75"/>
      <c r="BF179" s="572"/>
      <c r="BG179" s="983"/>
      <c r="BH179" s="222"/>
      <c r="BL179" s="889"/>
      <c r="BO179" s="223"/>
    </row>
    <row r="180" spans="1:67" s="74" customFormat="1">
      <c r="A180" s="15"/>
      <c r="B180" s="15"/>
      <c r="C180" s="15"/>
      <c r="D180" s="15"/>
      <c r="E180" s="6"/>
      <c r="F180" s="6"/>
      <c r="G180" s="6"/>
      <c r="K180" s="223"/>
      <c r="M180" s="889"/>
      <c r="P180" s="890"/>
      <c r="T180" s="889"/>
      <c r="X180" s="15"/>
      <c r="Y180" s="1935"/>
      <c r="Z180" s="1086"/>
      <c r="AA180" s="230"/>
      <c r="AB180" s="230"/>
      <c r="AC180" s="1936"/>
      <c r="AD180" s="230"/>
      <c r="AE180" s="230"/>
      <c r="AF180" s="230"/>
      <c r="AG180" s="890"/>
      <c r="AJ180" s="890"/>
      <c r="AN180" s="223"/>
      <c r="AO180" s="952"/>
      <c r="AP180" s="1066"/>
      <c r="AQ180" s="972"/>
      <c r="AR180" s="1917"/>
      <c r="AS180" s="222"/>
      <c r="AZ180" s="889"/>
      <c r="BC180" s="890"/>
      <c r="BD180" s="952"/>
      <c r="BE180" s="75"/>
      <c r="BF180" s="572"/>
      <c r="BG180" s="983"/>
      <c r="BH180" s="222"/>
      <c r="BL180" s="889"/>
      <c r="BO180" s="223"/>
    </row>
    <row r="181" spans="1:67" s="74" customFormat="1">
      <c r="A181" s="15"/>
      <c r="B181" s="15"/>
      <c r="C181" s="15"/>
      <c r="D181" s="15"/>
      <c r="E181" s="6"/>
      <c r="F181" s="6"/>
      <c r="G181" s="6"/>
      <c r="K181" s="223"/>
      <c r="M181" s="889"/>
      <c r="P181" s="890"/>
      <c r="T181" s="889"/>
      <c r="X181" s="15"/>
      <c r="Y181" s="1935"/>
      <c r="Z181" s="1086"/>
      <c r="AA181" s="230"/>
      <c r="AB181" s="230"/>
      <c r="AC181" s="1936"/>
      <c r="AD181" s="230"/>
      <c r="AE181" s="230"/>
      <c r="AF181" s="230"/>
      <c r="AG181" s="890"/>
      <c r="AJ181" s="890"/>
      <c r="AN181" s="223"/>
      <c r="AO181" s="952"/>
      <c r="AP181" s="1066"/>
      <c r="AQ181" s="972"/>
      <c r="AR181" s="1917"/>
      <c r="AS181" s="222"/>
      <c r="AZ181" s="889"/>
      <c r="BC181" s="890"/>
      <c r="BD181" s="952"/>
      <c r="BE181" s="75"/>
      <c r="BF181" s="572"/>
      <c r="BG181" s="983"/>
      <c r="BH181" s="222"/>
      <c r="BL181" s="889"/>
      <c r="BO181" s="223"/>
    </row>
    <row r="182" spans="1:67" s="74" customFormat="1">
      <c r="A182" s="15"/>
      <c r="B182" s="15"/>
      <c r="C182" s="15"/>
      <c r="D182" s="15"/>
      <c r="E182" s="6"/>
      <c r="F182" s="6"/>
      <c r="G182" s="6"/>
      <c r="K182" s="223"/>
      <c r="M182" s="889"/>
      <c r="P182" s="890"/>
      <c r="T182" s="889"/>
      <c r="X182" s="15"/>
      <c r="Y182" s="1935"/>
      <c r="Z182" s="1086"/>
      <c r="AA182" s="230"/>
      <c r="AB182" s="230"/>
      <c r="AC182" s="1936"/>
      <c r="AD182" s="230"/>
      <c r="AE182" s="230"/>
      <c r="AF182" s="230"/>
      <c r="AG182" s="890"/>
      <c r="AJ182" s="890"/>
      <c r="AN182" s="223"/>
      <c r="AO182" s="952"/>
      <c r="AP182" s="1066"/>
      <c r="AQ182" s="972"/>
      <c r="AR182" s="1917"/>
      <c r="AS182" s="222"/>
      <c r="AZ182" s="889"/>
      <c r="BC182" s="890"/>
      <c r="BD182" s="952"/>
      <c r="BE182" s="75"/>
      <c r="BF182" s="572"/>
      <c r="BG182" s="983"/>
      <c r="BH182" s="222"/>
      <c r="BL182" s="889"/>
      <c r="BO182" s="223"/>
    </row>
    <row r="183" spans="1:67" s="74" customFormat="1">
      <c r="A183" s="15"/>
      <c r="B183" s="15"/>
      <c r="C183" s="15"/>
      <c r="D183" s="15"/>
      <c r="E183" s="6"/>
      <c r="F183" s="6"/>
      <c r="G183" s="6"/>
      <c r="K183" s="223"/>
      <c r="M183" s="889"/>
      <c r="P183" s="890"/>
      <c r="T183" s="889"/>
      <c r="X183" s="15"/>
      <c r="Y183" s="1935"/>
      <c r="Z183" s="1086"/>
      <c r="AA183" s="230"/>
      <c r="AB183" s="230"/>
      <c r="AC183" s="1936"/>
      <c r="AD183" s="230"/>
      <c r="AE183" s="230"/>
      <c r="AF183" s="230"/>
      <c r="AG183" s="890"/>
      <c r="AJ183" s="890"/>
      <c r="AN183" s="223"/>
      <c r="AO183" s="952"/>
      <c r="AP183" s="1066"/>
      <c r="AQ183" s="972"/>
      <c r="AR183" s="1917"/>
      <c r="AS183" s="222"/>
      <c r="AZ183" s="889"/>
      <c r="BC183" s="890"/>
      <c r="BD183" s="952"/>
      <c r="BE183" s="75"/>
      <c r="BF183" s="572"/>
      <c r="BG183" s="983"/>
      <c r="BH183" s="222"/>
      <c r="BL183" s="889"/>
      <c r="BO183" s="223"/>
    </row>
    <row r="184" spans="1:67" s="74" customFormat="1">
      <c r="A184" s="15"/>
      <c r="B184" s="15"/>
      <c r="C184" s="15"/>
      <c r="D184" s="15"/>
      <c r="E184" s="6"/>
      <c r="F184" s="6"/>
      <c r="G184" s="6"/>
      <c r="K184" s="223"/>
      <c r="M184" s="889"/>
      <c r="P184" s="890"/>
      <c r="T184" s="889"/>
      <c r="X184" s="15"/>
      <c r="Y184" s="1935"/>
      <c r="Z184" s="1086"/>
      <c r="AA184" s="230"/>
      <c r="AB184" s="230"/>
      <c r="AC184" s="1936"/>
      <c r="AD184" s="230"/>
      <c r="AE184" s="230"/>
      <c r="AF184" s="230"/>
      <c r="AG184" s="890"/>
      <c r="AJ184" s="890"/>
      <c r="AN184" s="223"/>
      <c r="AO184" s="952"/>
      <c r="AP184" s="1066"/>
      <c r="AQ184" s="972"/>
      <c r="AR184" s="1917"/>
      <c r="AS184" s="222"/>
      <c r="AZ184" s="889"/>
      <c r="BC184" s="890"/>
      <c r="BD184" s="952"/>
      <c r="BE184" s="75"/>
      <c r="BF184" s="572"/>
      <c r="BG184" s="983"/>
      <c r="BH184" s="222"/>
      <c r="BL184" s="889"/>
      <c r="BO184" s="223"/>
    </row>
    <row r="185" spans="1:67" s="74" customFormat="1">
      <c r="A185" s="15"/>
      <c r="B185" s="15"/>
      <c r="C185" s="15"/>
      <c r="D185" s="15"/>
      <c r="E185" s="6"/>
      <c r="F185" s="6"/>
      <c r="G185" s="6"/>
      <c r="K185" s="223"/>
      <c r="M185" s="889"/>
      <c r="P185" s="890"/>
      <c r="T185" s="889"/>
      <c r="X185" s="15"/>
      <c r="Y185" s="1935"/>
      <c r="Z185" s="1086"/>
      <c r="AA185" s="230"/>
      <c r="AB185" s="230"/>
      <c r="AC185" s="1936"/>
      <c r="AD185" s="230"/>
      <c r="AE185" s="230"/>
      <c r="AF185" s="230"/>
      <c r="AG185" s="890"/>
      <c r="AJ185" s="890"/>
      <c r="AN185" s="223"/>
      <c r="AO185" s="952"/>
      <c r="AP185" s="1066"/>
      <c r="AQ185" s="972"/>
      <c r="AR185" s="1917"/>
      <c r="AS185" s="222"/>
      <c r="AZ185" s="889"/>
      <c r="BC185" s="890"/>
      <c r="BD185" s="952"/>
      <c r="BE185" s="75"/>
      <c r="BF185" s="572"/>
      <c r="BG185" s="983"/>
      <c r="BH185" s="222"/>
      <c r="BL185" s="889"/>
      <c r="BO185" s="223"/>
    </row>
    <row r="186" spans="1:67" s="74" customFormat="1">
      <c r="A186" s="15"/>
      <c r="B186" s="15"/>
      <c r="C186" s="15"/>
      <c r="D186" s="15"/>
      <c r="E186" s="6"/>
      <c r="F186" s="6"/>
      <c r="G186" s="6"/>
      <c r="K186" s="223"/>
      <c r="M186" s="889"/>
      <c r="P186" s="890"/>
      <c r="T186" s="889"/>
      <c r="X186" s="15"/>
      <c r="Y186" s="1935"/>
      <c r="Z186" s="1086"/>
      <c r="AA186" s="230"/>
      <c r="AB186" s="230"/>
      <c r="AC186" s="1936"/>
      <c r="AD186" s="230"/>
      <c r="AE186" s="230"/>
      <c r="AF186" s="230"/>
      <c r="AG186" s="890"/>
      <c r="AJ186" s="890"/>
      <c r="AN186" s="223"/>
      <c r="AO186" s="952"/>
      <c r="AP186" s="1066"/>
      <c r="AQ186" s="972"/>
      <c r="AR186" s="1917"/>
      <c r="AS186" s="222"/>
      <c r="AZ186" s="889"/>
      <c r="BC186" s="890"/>
      <c r="BD186" s="952"/>
      <c r="BE186" s="75"/>
      <c r="BF186" s="572"/>
      <c r="BG186" s="983"/>
      <c r="BH186" s="222"/>
      <c r="BL186" s="889"/>
      <c r="BO186" s="223"/>
    </row>
    <row r="187" spans="1:67" s="74" customFormat="1">
      <c r="A187" s="15"/>
      <c r="B187" s="15"/>
      <c r="C187" s="15"/>
      <c r="D187" s="15"/>
      <c r="E187" s="6"/>
      <c r="F187" s="6"/>
      <c r="G187" s="6"/>
      <c r="K187" s="223"/>
      <c r="M187" s="889"/>
      <c r="P187" s="890"/>
      <c r="T187" s="889"/>
      <c r="X187" s="15"/>
      <c r="Y187" s="1935"/>
      <c r="Z187" s="1086"/>
      <c r="AA187" s="230"/>
      <c r="AB187" s="230"/>
      <c r="AC187" s="1936"/>
      <c r="AD187" s="230"/>
      <c r="AE187" s="230"/>
      <c r="AF187" s="230"/>
      <c r="AG187" s="890"/>
      <c r="AJ187" s="890"/>
      <c r="AN187" s="223"/>
      <c r="AO187" s="952"/>
      <c r="AP187" s="1066"/>
      <c r="AQ187" s="972"/>
      <c r="AR187" s="1917"/>
      <c r="AS187" s="222"/>
      <c r="AZ187" s="889"/>
      <c r="BC187" s="890"/>
      <c r="BD187" s="952"/>
      <c r="BE187" s="75"/>
      <c r="BF187" s="572"/>
      <c r="BG187" s="983"/>
      <c r="BH187" s="222"/>
      <c r="BL187" s="889"/>
      <c r="BO187" s="223"/>
    </row>
    <row r="188" spans="1:67" s="74" customFormat="1">
      <c r="A188" s="15"/>
      <c r="B188" s="15"/>
      <c r="C188" s="15"/>
      <c r="D188" s="15"/>
      <c r="E188" s="6"/>
      <c r="F188" s="6"/>
      <c r="G188" s="6"/>
      <c r="K188" s="223"/>
      <c r="M188" s="889"/>
      <c r="P188" s="890"/>
      <c r="T188" s="889"/>
      <c r="X188" s="15"/>
      <c r="Y188" s="1935"/>
      <c r="Z188" s="1086"/>
      <c r="AA188" s="230"/>
      <c r="AB188" s="230"/>
      <c r="AC188" s="1936"/>
      <c r="AD188" s="230"/>
      <c r="AE188" s="230"/>
      <c r="AF188" s="230"/>
      <c r="AG188" s="890"/>
      <c r="AJ188" s="890"/>
      <c r="AN188" s="223"/>
      <c r="AO188" s="952"/>
      <c r="AP188" s="1066"/>
      <c r="AQ188" s="972"/>
      <c r="AR188" s="1917"/>
      <c r="AS188" s="222"/>
      <c r="AZ188" s="889"/>
      <c r="BC188" s="890"/>
      <c r="BD188" s="952"/>
      <c r="BE188" s="75"/>
      <c r="BF188" s="572"/>
      <c r="BG188" s="983"/>
      <c r="BH188" s="222"/>
      <c r="BL188" s="889"/>
      <c r="BO188" s="223"/>
    </row>
    <row r="189" spans="1:67" s="74" customFormat="1">
      <c r="A189" s="15"/>
      <c r="B189" s="15"/>
      <c r="C189" s="15"/>
      <c r="D189" s="15"/>
      <c r="E189" s="6"/>
      <c r="F189" s="6"/>
      <c r="G189" s="6"/>
      <c r="K189" s="223"/>
      <c r="M189" s="889"/>
      <c r="P189" s="890"/>
      <c r="T189" s="889"/>
      <c r="X189" s="15"/>
      <c r="Y189" s="1935"/>
      <c r="Z189" s="1086"/>
      <c r="AA189" s="230"/>
      <c r="AB189" s="230"/>
      <c r="AC189" s="1936"/>
      <c r="AD189" s="230"/>
      <c r="AE189" s="230"/>
      <c r="AF189" s="230"/>
      <c r="AG189" s="890"/>
      <c r="AJ189" s="890"/>
      <c r="AN189" s="223"/>
      <c r="AO189" s="952"/>
      <c r="AP189" s="1066"/>
      <c r="AQ189" s="972"/>
      <c r="AR189" s="1917"/>
      <c r="AS189" s="222"/>
      <c r="AZ189" s="889"/>
      <c r="BC189" s="890"/>
      <c r="BD189" s="952"/>
      <c r="BE189" s="75"/>
      <c r="BF189" s="572"/>
      <c r="BG189" s="983"/>
      <c r="BH189" s="222"/>
      <c r="BL189" s="889"/>
      <c r="BO189" s="223"/>
    </row>
    <row r="190" spans="1:67" s="74" customFormat="1">
      <c r="A190" s="15"/>
      <c r="B190" s="15"/>
      <c r="C190" s="15"/>
      <c r="D190" s="15"/>
      <c r="E190" s="6"/>
      <c r="F190" s="6"/>
      <c r="G190" s="6"/>
      <c r="K190" s="223"/>
      <c r="M190" s="889"/>
      <c r="P190" s="890"/>
      <c r="T190" s="889"/>
      <c r="X190" s="15"/>
      <c r="Y190" s="1935"/>
      <c r="Z190" s="1086"/>
      <c r="AA190" s="230"/>
      <c r="AB190" s="230"/>
      <c r="AC190" s="1936"/>
      <c r="AD190" s="230"/>
      <c r="AE190" s="230"/>
      <c r="AF190" s="230"/>
      <c r="AG190" s="890"/>
      <c r="AJ190" s="890"/>
      <c r="AN190" s="223"/>
      <c r="AO190" s="952"/>
      <c r="AP190" s="1066"/>
      <c r="AQ190" s="972"/>
      <c r="AR190" s="1917"/>
      <c r="AS190" s="222"/>
      <c r="AZ190" s="889"/>
      <c r="BC190" s="890"/>
      <c r="BD190" s="952"/>
      <c r="BE190" s="75"/>
      <c r="BF190" s="572"/>
      <c r="BG190" s="983"/>
      <c r="BH190" s="222"/>
      <c r="BL190" s="889"/>
      <c r="BO190" s="223"/>
    </row>
    <row r="191" spans="1:67" s="74" customFormat="1">
      <c r="A191" s="15"/>
      <c r="B191" s="15"/>
      <c r="C191" s="15"/>
      <c r="D191" s="15"/>
      <c r="E191" s="6"/>
      <c r="F191" s="6"/>
      <c r="G191" s="6"/>
      <c r="K191" s="223"/>
      <c r="M191" s="889"/>
      <c r="P191" s="890"/>
      <c r="T191" s="889"/>
      <c r="X191" s="15"/>
      <c r="Y191" s="1935"/>
      <c r="Z191" s="1086"/>
      <c r="AA191" s="230"/>
      <c r="AB191" s="230"/>
      <c r="AC191" s="1936"/>
      <c r="AD191" s="230"/>
      <c r="AE191" s="230"/>
      <c r="AF191" s="230"/>
      <c r="AG191" s="890"/>
      <c r="AJ191" s="890"/>
      <c r="AN191" s="223"/>
      <c r="AO191" s="952"/>
      <c r="AP191" s="1066"/>
      <c r="AQ191" s="972"/>
      <c r="AR191" s="1917"/>
      <c r="AS191" s="222"/>
      <c r="AZ191" s="889"/>
      <c r="BC191" s="890"/>
      <c r="BD191" s="952"/>
      <c r="BE191" s="75"/>
      <c r="BF191" s="572"/>
      <c r="BG191" s="983"/>
      <c r="BH191" s="222"/>
      <c r="BL191" s="889"/>
      <c r="BO191" s="223"/>
    </row>
    <row r="192" spans="1:67" s="74" customFormat="1">
      <c r="A192" s="15"/>
      <c r="B192" s="15"/>
      <c r="C192" s="15"/>
      <c r="D192" s="15"/>
      <c r="E192" s="6"/>
      <c r="F192" s="6"/>
      <c r="G192" s="6"/>
      <c r="K192" s="223"/>
      <c r="M192" s="889"/>
      <c r="P192" s="890"/>
      <c r="T192" s="889"/>
      <c r="X192" s="15"/>
      <c r="Y192" s="1935"/>
      <c r="Z192" s="1086"/>
      <c r="AA192" s="230"/>
      <c r="AB192" s="230"/>
      <c r="AC192" s="1936"/>
      <c r="AD192" s="230"/>
      <c r="AE192" s="230"/>
      <c r="AF192" s="230"/>
      <c r="AG192" s="890"/>
      <c r="AJ192" s="890"/>
      <c r="AN192" s="223"/>
      <c r="AO192" s="952"/>
      <c r="AP192" s="1066"/>
      <c r="AQ192" s="972"/>
      <c r="AR192" s="1917"/>
      <c r="AS192" s="222"/>
      <c r="AZ192" s="889"/>
      <c r="BC192" s="890"/>
      <c r="BD192" s="952"/>
      <c r="BE192" s="75"/>
      <c r="BF192" s="572"/>
      <c r="BG192" s="983"/>
      <c r="BH192" s="222"/>
      <c r="BL192" s="889"/>
      <c r="BO192" s="223"/>
    </row>
    <row r="193" spans="1:67" s="74" customFormat="1">
      <c r="A193" s="15"/>
      <c r="B193" s="15"/>
      <c r="C193" s="15"/>
      <c r="D193" s="15"/>
      <c r="E193" s="6"/>
      <c r="F193" s="6"/>
      <c r="G193" s="6"/>
      <c r="K193" s="223"/>
      <c r="M193" s="889"/>
      <c r="P193" s="890"/>
      <c r="T193" s="889"/>
      <c r="X193" s="15"/>
      <c r="Y193" s="1935"/>
      <c r="Z193" s="1086"/>
      <c r="AA193" s="230"/>
      <c r="AB193" s="230"/>
      <c r="AC193" s="1936"/>
      <c r="AD193" s="230"/>
      <c r="AE193" s="230"/>
      <c r="AF193" s="230"/>
      <c r="AG193" s="890"/>
      <c r="AJ193" s="890"/>
      <c r="AN193" s="223"/>
      <c r="AO193" s="952"/>
      <c r="AP193" s="1066"/>
      <c r="AQ193" s="972"/>
      <c r="AR193" s="1917"/>
      <c r="AS193" s="222"/>
      <c r="AZ193" s="889"/>
      <c r="BC193" s="890"/>
      <c r="BD193" s="952"/>
      <c r="BE193" s="75"/>
      <c r="BF193" s="572"/>
      <c r="BG193" s="983"/>
      <c r="BH193" s="222"/>
      <c r="BL193" s="889"/>
      <c r="BO193" s="223"/>
    </row>
    <row r="194" spans="1:67" s="74" customFormat="1">
      <c r="A194" s="15"/>
      <c r="B194" s="15"/>
      <c r="C194" s="15"/>
      <c r="D194" s="15"/>
      <c r="E194" s="6"/>
      <c r="F194" s="6"/>
      <c r="G194" s="6"/>
      <c r="K194" s="223"/>
      <c r="M194" s="889"/>
      <c r="P194" s="890"/>
      <c r="T194" s="889"/>
      <c r="X194" s="15"/>
      <c r="Y194" s="1935"/>
      <c r="Z194" s="1086"/>
      <c r="AA194" s="230"/>
      <c r="AB194" s="230"/>
      <c r="AC194" s="1936"/>
      <c r="AD194" s="230"/>
      <c r="AE194" s="230"/>
      <c r="AF194" s="230"/>
      <c r="AG194" s="890"/>
      <c r="AJ194" s="890"/>
      <c r="AN194" s="223"/>
      <c r="AO194" s="952"/>
      <c r="AP194" s="1066"/>
      <c r="AQ194" s="972"/>
      <c r="AR194" s="1917"/>
      <c r="AS194" s="222"/>
      <c r="AZ194" s="889"/>
      <c r="BC194" s="890"/>
      <c r="BD194" s="952"/>
      <c r="BE194" s="75"/>
      <c r="BF194" s="572"/>
      <c r="BG194" s="983"/>
      <c r="BH194" s="222"/>
      <c r="BL194" s="889"/>
      <c r="BO194" s="223"/>
    </row>
    <row r="195" spans="1:67" s="74" customFormat="1">
      <c r="A195" s="15"/>
      <c r="B195" s="15"/>
      <c r="C195" s="15"/>
      <c r="D195" s="15"/>
      <c r="E195" s="6"/>
      <c r="F195" s="6"/>
      <c r="G195" s="6"/>
      <c r="K195" s="223"/>
      <c r="M195" s="889"/>
      <c r="P195" s="890"/>
      <c r="T195" s="889"/>
      <c r="X195" s="15"/>
      <c r="Y195" s="1935"/>
      <c r="Z195" s="1086"/>
      <c r="AA195" s="230"/>
      <c r="AB195" s="230"/>
      <c r="AC195" s="1936"/>
      <c r="AD195" s="230"/>
      <c r="AE195" s="230"/>
      <c r="AF195" s="230"/>
      <c r="AG195" s="890"/>
      <c r="AJ195" s="890"/>
      <c r="AN195" s="223"/>
      <c r="AO195" s="952"/>
      <c r="AP195" s="1066"/>
      <c r="AQ195" s="972"/>
      <c r="AR195" s="1917"/>
      <c r="AS195" s="222"/>
      <c r="AZ195" s="889"/>
      <c r="BC195" s="890"/>
      <c r="BD195" s="952"/>
      <c r="BE195" s="75"/>
      <c r="BF195" s="572"/>
      <c r="BG195" s="983"/>
      <c r="BH195" s="222"/>
      <c r="BL195" s="889"/>
      <c r="BO195" s="223"/>
    </row>
    <row r="196" spans="1:67" s="74" customFormat="1">
      <c r="A196" s="15"/>
      <c r="B196" s="15"/>
      <c r="C196" s="15"/>
      <c r="D196" s="15"/>
      <c r="E196" s="6"/>
      <c r="F196" s="6"/>
      <c r="G196" s="6"/>
      <c r="K196" s="223"/>
      <c r="M196" s="889"/>
      <c r="P196" s="890"/>
      <c r="T196" s="889"/>
      <c r="X196" s="15"/>
      <c r="Y196" s="1935"/>
      <c r="Z196" s="1086"/>
      <c r="AA196" s="230"/>
      <c r="AB196" s="230"/>
      <c r="AC196" s="1936"/>
      <c r="AD196" s="230"/>
      <c r="AE196" s="230"/>
      <c r="AF196" s="230"/>
      <c r="AG196" s="890"/>
      <c r="AJ196" s="890"/>
      <c r="AN196" s="223"/>
      <c r="AO196" s="952"/>
      <c r="AP196" s="1066"/>
      <c r="AQ196" s="972"/>
      <c r="AR196" s="1917"/>
      <c r="AS196" s="222"/>
      <c r="AZ196" s="889"/>
      <c r="BC196" s="890"/>
      <c r="BD196" s="952"/>
      <c r="BE196" s="75"/>
      <c r="BF196" s="572"/>
      <c r="BG196" s="983"/>
      <c r="BH196" s="222"/>
      <c r="BL196" s="889"/>
      <c r="BO196" s="223"/>
    </row>
    <row r="197" spans="1:67" s="74" customFormat="1">
      <c r="A197" s="15"/>
      <c r="B197" s="15"/>
      <c r="C197" s="15"/>
      <c r="D197" s="15"/>
      <c r="E197" s="6"/>
      <c r="F197" s="6"/>
      <c r="G197" s="6"/>
      <c r="K197" s="223"/>
      <c r="M197" s="889"/>
      <c r="P197" s="890"/>
      <c r="T197" s="889"/>
      <c r="X197" s="15"/>
      <c r="Y197" s="1935"/>
      <c r="Z197" s="1086"/>
      <c r="AA197" s="230"/>
      <c r="AB197" s="230"/>
      <c r="AC197" s="1936"/>
      <c r="AD197" s="230"/>
      <c r="AE197" s="230"/>
      <c r="AF197" s="230"/>
      <c r="AG197" s="890"/>
      <c r="AJ197" s="890"/>
      <c r="AN197" s="223"/>
      <c r="AO197" s="952"/>
      <c r="AP197" s="1066"/>
      <c r="AQ197" s="972"/>
      <c r="AR197" s="1917"/>
      <c r="AS197" s="222"/>
      <c r="AZ197" s="889"/>
      <c r="BC197" s="890"/>
      <c r="BD197" s="952"/>
      <c r="BE197" s="75"/>
      <c r="BF197" s="572"/>
      <c r="BG197" s="983"/>
      <c r="BH197" s="222"/>
      <c r="BL197" s="889"/>
      <c r="BO197" s="223"/>
    </row>
    <row r="198" spans="1:67" s="74" customFormat="1">
      <c r="A198" s="15"/>
      <c r="B198" s="15"/>
      <c r="C198" s="15"/>
      <c r="D198" s="15"/>
      <c r="E198" s="6"/>
      <c r="F198" s="6"/>
      <c r="G198" s="6"/>
      <c r="K198" s="223"/>
      <c r="M198" s="889"/>
      <c r="P198" s="890"/>
      <c r="T198" s="889"/>
      <c r="X198" s="15"/>
      <c r="Y198" s="1935"/>
      <c r="Z198" s="1086"/>
      <c r="AA198" s="230"/>
      <c r="AB198" s="230"/>
      <c r="AC198" s="1936"/>
      <c r="AD198" s="230"/>
      <c r="AE198" s="230"/>
      <c r="AF198" s="230"/>
      <c r="AG198" s="890"/>
      <c r="AJ198" s="890"/>
      <c r="AN198" s="223"/>
      <c r="AO198" s="952"/>
      <c r="AP198" s="1066"/>
      <c r="AQ198" s="972"/>
      <c r="AR198" s="1917"/>
      <c r="AS198" s="222"/>
      <c r="AZ198" s="889"/>
      <c r="BC198" s="890"/>
      <c r="BD198" s="952"/>
      <c r="BE198" s="75"/>
      <c r="BF198" s="572"/>
      <c r="BG198" s="983"/>
      <c r="BH198" s="222"/>
      <c r="BL198" s="889"/>
      <c r="BO198" s="223"/>
    </row>
    <row r="199" spans="1:67" s="74" customFormat="1">
      <c r="A199" s="15"/>
      <c r="B199" s="15"/>
      <c r="C199" s="15"/>
      <c r="D199" s="15"/>
      <c r="E199" s="6"/>
      <c r="F199" s="6"/>
      <c r="G199" s="6"/>
      <c r="K199" s="223"/>
      <c r="M199" s="889"/>
      <c r="P199" s="890"/>
      <c r="T199" s="889"/>
      <c r="X199" s="15"/>
      <c r="Y199" s="1935"/>
      <c r="Z199" s="1086"/>
      <c r="AA199" s="230"/>
      <c r="AB199" s="230"/>
      <c r="AC199" s="1936"/>
      <c r="AD199" s="230"/>
      <c r="AE199" s="230"/>
      <c r="AF199" s="230"/>
      <c r="AG199" s="890"/>
      <c r="AJ199" s="890"/>
      <c r="AN199" s="223"/>
      <c r="AO199" s="952"/>
      <c r="AP199" s="1066"/>
      <c r="AQ199" s="972"/>
      <c r="AR199" s="1917"/>
      <c r="AS199" s="222"/>
      <c r="AZ199" s="889"/>
      <c r="BC199" s="890"/>
      <c r="BD199" s="952"/>
      <c r="BE199" s="75"/>
      <c r="BF199" s="572"/>
      <c r="BG199" s="983"/>
      <c r="BH199" s="222"/>
      <c r="BL199" s="889"/>
      <c r="BO199" s="223"/>
    </row>
    <row r="200" spans="1:67" s="74" customFormat="1">
      <c r="A200" s="15"/>
      <c r="B200" s="15"/>
      <c r="C200" s="15"/>
      <c r="D200" s="15"/>
      <c r="E200" s="6"/>
      <c r="F200" s="6"/>
      <c r="G200" s="6"/>
      <c r="K200" s="223"/>
      <c r="M200" s="889"/>
      <c r="P200" s="890"/>
      <c r="T200" s="889"/>
      <c r="X200" s="15"/>
      <c r="Y200" s="1935"/>
      <c r="Z200" s="1086"/>
      <c r="AA200" s="230"/>
      <c r="AB200" s="230"/>
      <c r="AC200" s="1936"/>
      <c r="AD200" s="230"/>
      <c r="AE200" s="230"/>
      <c r="AF200" s="230"/>
      <c r="AG200" s="890"/>
      <c r="AJ200" s="890"/>
      <c r="AN200" s="223"/>
      <c r="AO200" s="952"/>
      <c r="AP200" s="1066"/>
      <c r="AQ200" s="972"/>
      <c r="AR200" s="1917"/>
      <c r="AS200" s="222"/>
      <c r="AZ200" s="889"/>
      <c r="BC200" s="890"/>
      <c r="BD200" s="952"/>
      <c r="BE200" s="75"/>
      <c r="BF200" s="572"/>
      <c r="BG200" s="983"/>
      <c r="BH200" s="222"/>
      <c r="BL200" s="889"/>
      <c r="BO200" s="223"/>
    </row>
    <row r="201" spans="1:67" s="74" customFormat="1">
      <c r="A201" s="15"/>
      <c r="B201" s="15"/>
      <c r="C201" s="15"/>
      <c r="D201" s="15"/>
      <c r="E201" s="6"/>
      <c r="F201" s="6"/>
      <c r="G201" s="6"/>
      <c r="K201" s="223"/>
      <c r="M201" s="889"/>
      <c r="P201" s="890"/>
      <c r="T201" s="889"/>
      <c r="X201" s="15"/>
      <c r="Y201" s="1935"/>
      <c r="Z201" s="1086"/>
      <c r="AA201" s="230"/>
      <c r="AB201" s="230"/>
      <c r="AC201" s="1936"/>
      <c r="AD201" s="230"/>
      <c r="AE201" s="230"/>
      <c r="AF201" s="230"/>
      <c r="AG201" s="890"/>
      <c r="AJ201" s="890"/>
      <c r="AN201" s="223"/>
      <c r="AO201" s="952"/>
      <c r="AP201" s="1066"/>
      <c r="AQ201" s="972"/>
      <c r="AR201" s="1917"/>
      <c r="AS201" s="222"/>
      <c r="AZ201" s="889"/>
      <c r="BC201" s="890"/>
      <c r="BD201" s="952"/>
      <c r="BE201" s="75"/>
      <c r="BF201" s="572"/>
      <c r="BG201" s="983"/>
      <c r="BH201" s="222"/>
      <c r="BL201" s="889"/>
      <c r="BO201" s="223"/>
    </row>
    <row r="202" spans="1:67" s="74" customFormat="1">
      <c r="A202" s="15"/>
      <c r="B202" s="15"/>
      <c r="C202" s="15"/>
      <c r="D202" s="15"/>
      <c r="E202" s="6"/>
      <c r="F202" s="6"/>
      <c r="G202" s="6"/>
      <c r="K202" s="223"/>
      <c r="M202" s="889"/>
      <c r="P202" s="890"/>
      <c r="T202" s="889"/>
      <c r="X202" s="15"/>
      <c r="Y202" s="1935"/>
      <c r="Z202" s="1086"/>
      <c r="AA202" s="230"/>
      <c r="AB202" s="230"/>
      <c r="AC202" s="1936"/>
      <c r="AD202" s="230"/>
      <c r="AE202" s="230"/>
      <c r="AF202" s="230"/>
      <c r="AG202" s="890"/>
      <c r="AJ202" s="890"/>
      <c r="AN202" s="223"/>
      <c r="AO202" s="952"/>
      <c r="AP202" s="1066"/>
      <c r="AQ202" s="972"/>
      <c r="AR202" s="1917"/>
      <c r="AS202" s="222"/>
      <c r="AZ202" s="889"/>
      <c r="BC202" s="890"/>
      <c r="BD202" s="952"/>
      <c r="BE202" s="75"/>
      <c r="BF202" s="572"/>
      <c r="BG202" s="983"/>
      <c r="BH202" s="222"/>
      <c r="BL202" s="889"/>
      <c r="BO202" s="223"/>
    </row>
    <row r="203" spans="1:67" s="74" customFormat="1">
      <c r="A203" s="15"/>
      <c r="B203" s="15"/>
      <c r="C203" s="15"/>
      <c r="D203" s="15"/>
      <c r="E203" s="6"/>
      <c r="F203" s="6"/>
      <c r="G203" s="6"/>
      <c r="K203" s="223"/>
      <c r="M203" s="889"/>
      <c r="P203" s="890"/>
      <c r="T203" s="889"/>
      <c r="X203" s="15"/>
      <c r="Y203" s="1935"/>
      <c r="Z203" s="1086"/>
      <c r="AA203" s="230"/>
      <c r="AB203" s="230"/>
      <c r="AC203" s="1936"/>
      <c r="AD203" s="230"/>
      <c r="AE203" s="230"/>
      <c r="AF203" s="230"/>
      <c r="AG203" s="890"/>
      <c r="AJ203" s="890"/>
      <c r="AN203" s="223"/>
      <c r="AO203" s="952"/>
      <c r="AP203" s="1066"/>
      <c r="AQ203" s="972"/>
      <c r="AR203" s="1917"/>
      <c r="AS203" s="222"/>
      <c r="AZ203" s="889"/>
      <c r="BC203" s="890"/>
      <c r="BD203" s="952"/>
      <c r="BE203" s="75"/>
      <c r="BF203" s="572"/>
      <c r="BG203" s="983"/>
      <c r="BH203" s="222"/>
      <c r="BL203" s="889"/>
      <c r="BO203" s="223"/>
    </row>
    <row r="204" spans="1:67" s="74" customFormat="1">
      <c r="A204" s="15"/>
      <c r="B204" s="15"/>
      <c r="C204" s="15"/>
      <c r="D204" s="15"/>
      <c r="E204" s="6"/>
      <c r="F204" s="6"/>
      <c r="G204" s="6"/>
      <c r="K204" s="223"/>
      <c r="M204" s="889"/>
      <c r="P204" s="890"/>
      <c r="T204" s="889"/>
      <c r="X204" s="15"/>
      <c r="Y204" s="1935"/>
      <c r="Z204" s="1086"/>
      <c r="AA204" s="230"/>
      <c r="AB204" s="230"/>
      <c r="AC204" s="1936"/>
      <c r="AD204" s="230"/>
      <c r="AE204" s="230"/>
      <c r="AF204" s="230"/>
      <c r="AG204" s="890"/>
      <c r="AJ204" s="890"/>
      <c r="AN204" s="223"/>
      <c r="AO204" s="952"/>
      <c r="AP204" s="1066"/>
      <c r="AQ204" s="972"/>
      <c r="AR204" s="1917"/>
      <c r="AS204" s="222"/>
      <c r="AZ204" s="889"/>
      <c r="BC204" s="890"/>
      <c r="BD204" s="952"/>
      <c r="BE204" s="75"/>
      <c r="BF204" s="572"/>
      <c r="BG204" s="983"/>
      <c r="BH204" s="222"/>
      <c r="BL204" s="889"/>
      <c r="BO204" s="223"/>
    </row>
    <row r="205" spans="1:67" s="74" customFormat="1">
      <c r="A205" s="15"/>
      <c r="B205" s="15"/>
      <c r="C205" s="15"/>
      <c r="D205" s="15"/>
      <c r="E205" s="6"/>
      <c r="F205" s="6"/>
      <c r="G205" s="6"/>
      <c r="K205" s="223"/>
      <c r="M205" s="889"/>
      <c r="P205" s="890"/>
      <c r="T205" s="889"/>
      <c r="X205" s="15"/>
      <c r="Y205" s="1935"/>
      <c r="Z205" s="1086"/>
      <c r="AA205" s="230"/>
      <c r="AB205" s="230"/>
      <c r="AC205" s="1936"/>
      <c r="AD205" s="230"/>
      <c r="AE205" s="230"/>
      <c r="AF205" s="230"/>
      <c r="AG205" s="890"/>
      <c r="AJ205" s="890"/>
      <c r="AN205" s="223"/>
      <c r="AO205" s="952"/>
      <c r="AP205" s="1066"/>
      <c r="AQ205" s="972"/>
      <c r="AR205" s="1917"/>
      <c r="AS205" s="222"/>
      <c r="AZ205" s="889"/>
      <c r="BC205" s="890"/>
      <c r="BD205" s="952"/>
      <c r="BE205" s="75"/>
      <c r="BF205" s="572"/>
      <c r="BG205" s="983"/>
      <c r="BH205" s="222"/>
      <c r="BL205" s="889"/>
      <c r="BO205" s="223"/>
    </row>
    <row r="206" spans="1:67" s="74" customFormat="1">
      <c r="A206" s="15"/>
      <c r="B206" s="15"/>
      <c r="C206" s="15"/>
      <c r="D206" s="15"/>
      <c r="E206" s="6"/>
      <c r="F206" s="6"/>
      <c r="G206" s="6"/>
      <c r="K206" s="223"/>
      <c r="M206" s="889"/>
      <c r="P206" s="890"/>
      <c r="T206" s="889"/>
      <c r="X206" s="15"/>
      <c r="Y206" s="1935"/>
      <c r="Z206" s="1086"/>
      <c r="AA206" s="230"/>
      <c r="AB206" s="230"/>
      <c r="AC206" s="1936"/>
      <c r="AD206" s="230"/>
      <c r="AE206" s="230"/>
      <c r="AF206" s="230"/>
      <c r="AG206" s="890"/>
      <c r="AJ206" s="890"/>
      <c r="AN206" s="223"/>
      <c r="AO206" s="952"/>
      <c r="AP206" s="1066"/>
      <c r="AQ206" s="972"/>
      <c r="AR206" s="1917"/>
      <c r="AS206" s="222"/>
      <c r="AZ206" s="889"/>
      <c r="BC206" s="890"/>
      <c r="BD206" s="952"/>
      <c r="BE206" s="75"/>
      <c r="BF206" s="572"/>
      <c r="BG206" s="983"/>
      <c r="BH206" s="222"/>
      <c r="BL206" s="889"/>
      <c r="BO206" s="223"/>
    </row>
    <row r="207" spans="1:67" s="74" customFormat="1">
      <c r="A207" s="15"/>
      <c r="B207" s="15"/>
      <c r="C207" s="15"/>
      <c r="D207" s="15"/>
      <c r="E207" s="6"/>
      <c r="F207" s="6"/>
      <c r="G207" s="6"/>
      <c r="K207" s="223"/>
      <c r="M207" s="889"/>
      <c r="P207" s="890"/>
      <c r="T207" s="889"/>
      <c r="X207" s="15"/>
      <c r="Y207" s="1935"/>
      <c r="Z207" s="1086"/>
      <c r="AA207" s="230"/>
      <c r="AB207" s="230"/>
      <c r="AC207" s="1936"/>
      <c r="AD207" s="230"/>
      <c r="AE207" s="230"/>
      <c r="AF207" s="230"/>
      <c r="AG207" s="890"/>
      <c r="AJ207" s="890"/>
      <c r="AN207" s="223"/>
      <c r="AO207" s="952"/>
      <c r="AP207" s="1066"/>
      <c r="AQ207" s="972"/>
      <c r="AR207" s="1917"/>
      <c r="AS207" s="222"/>
      <c r="AZ207" s="889"/>
      <c r="BC207" s="890"/>
      <c r="BD207" s="952"/>
      <c r="BE207" s="75"/>
      <c r="BF207" s="572"/>
      <c r="BG207" s="983"/>
      <c r="BH207" s="222"/>
      <c r="BL207" s="889"/>
      <c r="BO207" s="223"/>
    </row>
    <row r="208" spans="1:67" s="74" customFormat="1">
      <c r="A208" s="15"/>
      <c r="B208" s="15"/>
      <c r="C208" s="15"/>
      <c r="D208" s="15"/>
      <c r="E208" s="6"/>
      <c r="F208" s="6"/>
      <c r="G208" s="6"/>
      <c r="K208" s="223"/>
      <c r="M208" s="889"/>
      <c r="P208" s="890"/>
      <c r="T208" s="889"/>
      <c r="X208" s="15"/>
      <c r="Y208" s="1935"/>
      <c r="Z208" s="1086"/>
      <c r="AA208" s="230"/>
      <c r="AB208" s="230"/>
      <c r="AC208" s="1936"/>
      <c r="AD208" s="230"/>
      <c r="AE208" s="230"/>
      <c r="AF208" s="230"/>
      <c r="AG208" s="890"/>
      <c r="AJ208" s="890"/>
      <c r="AN208" s="223"/>
      <c r="AO208" s="952"/>
      <c r="AP208" s="1066"/>
      <c r="AQ208" s="972"/>
      <c r="AR208" s="1917"/>
      <c r="AS208" s="222"/>
      <c r="AZ208" s="889"/>
      <c r="BC208" s="890"/>
      <c r="BD208" s="952"/>
      <c r="BE208" s="75"/>
      <c r="BF208" s="572"/>
      <c r="BG208" s="983"/>
      <c r="BH208" s="222"/>
      <c r="BL208" s="889"/>
      <c r="BO208" s="223"/>
    </row>
    <row r="209" spans="1:67" s="74" customFormat="1">
      <c r="A209" s="15"/>
      <c r="B209" s="15"/>
      <c r="C209" s="15"/>
      <c r="D209" s="15"/>
      <c r="E209" s="6"/>
      <c r="F209" s="6"/>
      <c r="G209" s="6"/>
      <c r="K209" s="223"/>
      <c r="M209" s="889"/>
      <c r="P209" s="890"/>
      <c r="T209" s="889"/>
      <c r="X209" s="15"/>
      <c r="Y209" s="1935"/>
      <c r="Z209" s="1086"/>
      <c r="AA209" s="230"/>
      <c r="AB209" s="230"/>
      <c r="AC209" s="1936"/>
      <c r="AD209" s="230"/>
      <c r="AE209" s="230"/>
      <c r="AF209" s="230"/>
      <c r="AG209" s="890"/>
      <c r="AJ209" s="890"/>
      <c r="AN209" s="223"/>
      <c r="AO209" s="952"/>
      <c r="AP209" s="1066"/>
      <c r="AQ209" s="972"/>
      <c r="AR209" s="1917"/>
      <c r="AS209" s="222"/>
      <c r="AZ209" s="889"/>
      <c r="BC209" s="890"/>
      <c r="BD209" s="952"/>
      <c r="BE209" s="75"/>
      <c r="BF209" s="572"/>
      <c r="BG209" s="983"/>
      <c r="BH209" s="222"/>
      <c r="BL209" s="889"/>
      <c r="BO209" s="223"/>
    </row>
    <row r="210" spans="1:67" s="74" customFormat="1">
      <c r="A210" s="15"/>
      <c r="B210" s="15"/>
      <c r="C210" s="15"/>
      <c r="D210" s="15"/>
      <c r="E210" s="6"/>
      <c r="F210" s="6"/>
      <c r="G210" s="6"/>
      <c r="K210" s="223"/>
      <c r="M210" s="889"/>
      <c r="P210" s="890"/>
      <c r="T210" s="889"/>
      <c r="X210" s="15"/>
      <c r="Y210" s="1935"/>
      <c r="Z210" s="1086"/>
      <c r="AA210" s="230"/>
      <c r="AB210" s="230"/>
      <c r="AC210" s="1936"/>
      <c r="AD210" s="230"/>
      <c r="AE210" s="230"/>
      <c r="AF210" s="230"/>
      <c r="AG210" s="890"/>
      <c r="AJ210" s="890"/>
      <c r="AN210" s="223"/>
      <c r="AO210" s="952"/>
      <c r="AP210" s="1066"/>
      <c r="AQ210" s="972"/>
      <c r="AR210" s="1917"/>
      <c r="AS210" s="222"/>
      <c r="AZ210" s="889"/>
      <c r="BC210" s="890"/>
      <c r="BD210" s="952"/>
      <c r="BE210" s="75"/>
      <c r="BF210" s="572"/>
      <c r="BG210" s="983"/>
      <c r="BH210" s="222"/>
      <c r="BL210" s="889"/>
      <c r="BO210" s="223"/>
    </row>
    <row r="211" spans="1:67" s="74" customFormat="1">
      <c r="A211" s="15"/>
      <c r="B211" s="15"/>
      <c r="C211" s="15"/>
      <c r="D211" s="15"/>
      <c r="E211" s="6"/>
      <c r="F211" s="6"/>
      <c r="G211" s="6"/>
      <c r="K211" s="223"/>
      <c r="M211" s="889"/>
      <c r="P211" s="890"/>
      <c r="T211" s="889"/>
      <c r="X211" s="15"/>
      <c r="Y211" s="1935"/>
      <c r="Z211" s="1086"/>
      <c r="AA211" s="230"/>
      <c r="AB211" s="230"/>
      <c r="AC211" s="1936"/>
      <c r="AD211" s="230"/>
      <c r="AE211" s="230"/>
      <c r="AF211" s="230"/>
      <c r="AG211" s="890"/>
      <c r="AJ211" s="890"/>
      <c r="AN211" s="223"/>
      <c r="AO211" s="952"/>
      <c r="AP211" s="1066"/>
      <c r="AQ211" s="972"/>
      <c r="AR211" s="1917"/>
      <c r="AS211" s="222"/>
      <c r="AZ211" s="889"/>
      <c r="BC211" s="890"/>
      <c r="BD211" s="952"/>
      <c r="BE211" s="75"/>
      <c r="BF211" s="572"/>
      <c r="BG211" s="983"/>
      <c r="BH211" s="222"/>
      <c r="BL211" s="889"/>
      <c r="BO211" s="223"/>
    </row>
    <row r="212" spans="1:67" s="74" customFormat="1">
      <c r="A212" s="15"/>
      <c r="B212" s="15"/>
      <c r="C212" s="15"/>
      <c r="D212" s="15"/>
      <c r="E212" s="6"/>
      <c r="F212" s="6"/>
      <c r="G212" s="6"/>
      <c r="K212" s="223"/>
      <c r="M212" s="889"/>
      <c r="P212" s="890"/>
      <c r="T212" s="889"/>
      <c r="X212" s="15"/>
      <c r="Y212" s="1935"/>
      <c r="Z212" s="1086"/>
      <c r="AA212" s="230"/>
      <c r="AB212" s="230"/>
      <c r="AC212" s="1936"/>
      <c r="AD212" s="230"/>
      <c r="AE212" s="230"/>
      <c r="AF212" s="230"/>
      <c r="AG212" s="890"/>
      <c r="AJ212" s="890"/>
      <c r="AN212" s="223"/>
      <c r="AO212" s="952"/>
      <c r="AP212" s="1066"/>
      <c r="AQ212" s="972"/>
      <c r="AR212" s="1917"/>
      <c r="AS212" s="222"/>
      <c r="AZ212" s="889"/>
      <c r="BC212" s="890"/>
      <c r="BD212" s="952"/>
      <c r="BE212" s="75"/>
      <c r="BF212" s="572"/>
      <c r="BG212" s="983"/>
      <c r="BH212" s="222"/>
      <c r="BL212" s="889"/>
      <c r="BO212" s="223"/>
    </row>
    <row r="213" spans="1:67" s="74" customFormat="1">
      <c r="A213" s="15"/>
      <c r="B213" s="15"/>
      <c r="C213" s="15"/>
      <c r="D213" s="15"/>
      <c r="E213" s="6"/>
      <c r="F213" s="6"/>
      <c r="G213" s="6"/>
      <c r="K213" s="223"/>
      <c r="M213" s="889"/>
      <c r="P213" s="890"/>
      <c r="T213" s="889"/>
      <c r="X213" s="15"/>
      <c r="Y213" s="1935"/>
      <c r="Z213" s="1086"/>
      <c r="AA213" s="230"/>
      <c r="AB213" s="230"/>
      <c r="AC213" s="1936"/>
      <c r="AD213" s="230"/>
      <c r="AE213" s="230"/>
      <c r="AF213" s="230"/>
      <c r="AG213" s="890"/>
      <c r="AJ213" s="890"/>
      <c r="AN213" s="223"/>
      <c r="AO213" s="952"/>
      <c r="AP213" s="1066"/>
      <c r="AQ213" s="972"/>
      <c r="AR213" s="1917"/>
      <c r="AS213" s="222"/>
      <c r="AZ213" s="889"/>
      <c r="BC213" s="890"/>
      <c r="BD213" s="952"/>
      <c r="BE213" s="75"/>
      <c r="BF213" s="572"/>
      <c r="BG213" s="983"/>
      <c r="BH213" s="222"/>
      <c r="BL213" s="889"/>
      <c r="BO213" s="223"/>
    </row>
    <row r="214" spans="1:67" s="74" customFormat="1">
      <c r="A214" s="15"/>
      <c r="B214" s="15"/>
      <c r="C214" s="15"/>
      <c r="D214" s="15"/>
      <c r="E214" s="6"/>
      <c r="F214" s="6"/>
      <c r="G214" s="6"/>
      <c r="K214" s="223"/>
      <c r="M214" s="889"/>
      <c r="P214" s="890"/>
      <c r="T214" s="889"/>
      <c r="X214" s="15"/>
      <c r="Y214" s="1935"/>
      <c r="Z214" s="1086"/>
      <c r="AA214" s="230"/>
      <c r="AB214" s="230"/>
      <c r="AC214" s="1936"/>
      <c r="AD214" s="230"/>
      <c r="AE214" s="230"/>
      <c r="AF214" s="230"/>
      <c r="AG214" s="890"/>
      <c r="AJ214" s="890"/>
      <c r="AN214" s="223"/>
      <c r="AO214" s="952"/>
      <c r="AP214" s="1066"/>
      <c r="AQ214" s="972"/>
      <c r="AR214" s="1917"/>
      <c r="AS214" s="222"/>
      <c r="AZ214" s="889"/>
      <c r="BC214" s="890"/>
      <c r="BD214" s="952"/>
      <c r="BE214" s="75"/>
      <c r="BF214" s="572"/>
      <c r="BG214" s="983"/>
      <c r="BH214" s="222"/>
      <c r="BL214" s="889"/>
      <c r="BO214" s="223"/>
    </row>
    <row r="215" spans="1:67" s="74" customFormat="1">
      <c r="A215" s="15"/>
      <c r="B215" s="15"/>
      <c r="C215" s="15"/>
      <c r="D215" s="15"/>
      <c r="E215" s="6"/>
      <c r="F215" s="6"/>
      <c r="G215" s="6"/>
      <c r="K215" s="223"/>
      <c r="M215" s="889"/>
      <c r="P215" s="890"/>
      <c r="T215" s="889"/>
      <c r="X215" s="15"/>
      <c r="Y215" s="1935"/>
      <c r="Z215" s="1086"/>
      <c r="AA215" s="230"/>
      <c r="AB215" s="230"/>
      <c r="AC215" s="1936"/>
      <c r="AD215" s="230"/>
      <c r="AE215" s="230"/>
      <c r="AF215" s="230"/>
      <c r="AG215" s="890"/>
      <c r="AJ215" s="890"/>
      <c r="AN215" s="223"/>
      <c r="AO215" s="952"/>
      <c r="AP215" s="1066"/>
      <c r="AQ215" s="972"/>
      <c r="AR215" s="1917"/>
      <c r="AS215" s="222"/>
      <c r="AZ215" s="889"/>
      <c r="BC215" s="890"/>
      <c r="BD215" s="952"/>
      <c r="BE215" s="75"/>
      <c r="BF215" s="572"/>
      <c r="BG215" s="983"/>
      <c r="BH215" s="222"/>
      <c r="BL215" s="889"/>
      <c r="BO215" s="223"/>
    </row>
    <row r="216" spans="1:67" s="74" customFormat="1">
      <c r="A216" s="15"/>
      <c r="B216" s="15"/>
      <c r="C216" s="15"/>
      <c r="D216" s="15"/>
      <c r="E216" s="6"/>
      <c r="F216" s="6"/>
      <c r="G216" s="6"/>
      <c r="K216" s="223"/>
      <c r="M216" s="889"/>
      <c r="P216" s="890"/>
      <c r="T216" s="889"/>
      <c r="X216" s="15"/>
      <c r="Y216" s="1935"/>
      <c r="Z216" s="1086"/>
      <c r="AA216" s="230"/>
      <c r="AB216" s="230"/>
      <c r="AC216" s="1936"/>
      <c r="AD216" s="230"/>
      <c r="AE216" s="230"/>
      <c r="AF216" s="230"/>
      <c r="AG216" s="890"/>
      <c r="AJ216" s="890"/>
      <c r="AN216" s="223"/>
      <c r="AO216" s="952"/>
      <c r="AP216" s="1066"/>
      <c r="AQ216" s="972"/>
      <c r="AR216" s="1917"/>
      <c r="AS216" s="222"/>
      <c r="AZ216" s="889"/>
      <c r="BC216" s="890"/>
      <c r="BD216" s="952"/>
      <c r="BE216" s="75"/>
      <c r="BF216" s="572"/>
      <c r="BG216" s="983"/>
      <c r="BH216" s="222"/>
      <c r="BL216" s="889"/>
      <c r="BO216" s="223"/>
    </row>
    <row r="217" spans="1:67" s="74" customFormat="1">
      <c r="A217" s="15"/>
      <c r="B217" s="15"/>
      <c r="C217" s="15"/>
      <c r="D217" s="15"/>
      <c r="E217" s="6"/>
      <c r="F217" s="6"/>
      <c r="G217" s="6"/>
      <c r="K217" s="223"/>
      <c r="M217" s="889"/>
      <c r="P217" s="890"/>
      <c r="T217" s="889"/>
      <c r="X217" s="15"/>
      <c r="Y217" s="1935"/>
      <c r="Z217" s="1086"/>
      <c r="AA217" s="230"/>
      <c r="AB217" s="230"/>
      <c r="AC217" s="1936"/>
      <c r="AD217" s="230"/>
      <c r="AE217" s="230"/>
      <c r="AF217" s="230"/>
      <c r="AG217" s="890"/>
      <c r="AJ217" s="890"/>
      <c r="AN217" s="223"/>
      <c r="AO217" s="952"/>
      <c r="AP217" s="1066"/>
      <c r="AQ217" s="972"/>
      <c r="AR217" s="1917"/>
      <c r="AS217" s="222"/>
      <c r="AZ217" s="889"/>
      <c r="BC217" s="890"/>
      <c r="BD217" s="952"/>
      <c r="BE217" s="75"/>
      <c r="BF217" s="572"/>
      <c r="BG217" s="983"/>
      <c r="BH217" s="222"/>
      <c r="BL217" s="889"/>
      <c r="BO217" s="223"/>
    </row>
    <row r="218" spans="1:67" s="74" customFormat="1">
      <c r="A218" s="15"/>
      <c r="B218" s="15"/>
      <c r="C218" s="15"/>
      <c r="D218" s="15"/>
      <c r="E218" s="6"/>
      <c r="F218" s="6"/>
      <c r="G218" s="6"/>
      <c r="K218" s="223"/>
      <c r="M218" s="889"/>
      <c r="P218" s="890"/>
      <c r="T218" s="889"/>
      <c r="X218" s="15"/>
      <c r="Y218" s="1935"/>
      <c r="Z218" s="1086"/>
      <c r="AA218" s="230"/>
      <c r="AB218" s="230"/>
      <c r="AC218" s="1936"/>
      <c r="AD218" s="230"/>
      <c r="AE218" s="230"/>
      <c r="AF218" s="230"/>
      <c r="AG218" s="890"/>
      <c r="AJ218" s="890"/>
      <c r="AN218" s="223"/>
      <c r="AO218" s="952"/>
      <c r="AP218" s="1066"/>
      <c r="AQ218" s="972"/>
      <c r="AR218" s="1917"/>
      <c r="AS218" s="222"/>
      <c r="AZ218" s="889"/>
      <c r="BC218" s="890"/>
      <c r="BD218" s="952"/>
      <c r="BE218" s="75"/>
      <c r="BF218" s="572"/>
      <c r="BG218" s="983"/>
      <c r="BH218" s="222"/>
      <c r="BL218" s="889"/>
      <c r="BO218" s="223"/>
    </row>
    <row r="219" spans="1:67" s="74" customFormat="1">
      <c r="A219" s="15"/>
      <c r="B219" s="15"/>
      <c r="C219" s="15"/>
      <c r="D219" s="15"/>
      <c r="E219" s="6"/>
      <c r="F219" s="6"/>
      <c r="G219" s="6"/>
      <c r="K219" s="223"/>
      <c r="M219" s="889"/>
      <c r="P219" s="890"/>
      <c r="T219" s="889"/>
      <c r="X219" s="15"/>
      <c r="Y219" s="1935"/>
      <c r="Z219" s="1086"/>
      <c r="AA219" s="230"/>
      <c r="AB219" s="230"/>
      <c r="AC219" s="1936"/>
      <c r="AD219" s="230"/>
      <c r="AE219" s="230"/>
      <c r="AF219" s="230"/>
      <c r="AG219" s="890"/>
      <c r="AJ219" s="890"/>
      <c r="AN219" s="223"/>
      <c r="AO219" s="952"/>
      <c r="AP219" s="1066"/>
      <c r="AQ219" s="972"/>
      <c r="AR219" s="1917"/>
      <c r="AS219" s="222"/>
      <c r="AZ219" s="889"/>
      <c r="BC219" s="890"/>
      <c r="BD219" s="952"/>
      <c r="BE219" s="75"/>
      <c r="BF219" s="572"/>
      <c r="BG219" s="983"/>
      <c r="BH219" s="222"/>
      <c r="BL219" s="889"/>
      <c r="BO219" s="223"/>
    </row>
    <row r="220" spans="1:67" s="74" customFormat="1">
      <c r="A220" s="15"/>
      <c r="B220" s="15"/>
      <c r="C220" s="15"/>
      <c r="D220" s="15"/>
      <c r="E220" s="6"/>
      <c r="F220" s="6"/>
      <c r="G220" s="6"/>
      <c r="K220" s="223"/>
      <c r="M220" s="889"/>
      <c r="P220" s="890"/>
      <c r="T220" s="889"/>
      <c r="X220" s="15"/>
      <c r="Y220" s="1935"/>
      <c r="Z220" s="1086"/>
      <c r="AA220" s="230"/>
      <c r="AB220" s="230"/>
      <c r="AC220" s="1936"/>
      <c r="AD220" s="230"/>
      <c r="AE220" s="230"/>
      <c r="AF220" s="230"/>
      <c r="AG220" s="890"/>
      <c r="AJ220" s="890"/>
      <c r="AN220" s="223"/>
      <c r="AO220" s="952"/>
      <c r="AP220" s="1066"/>
      <c r="AQ220" s="972"/>
      <c r="AR220" s="1917"/>
      <c r="AS220" s="222"/>
      <c r="AZ220" s="889"/>
      <c r="BC220" s="890"/>
      <c r="BD220" s="952"/>
      <c r="BE220" s="75"/>
      <c r="BF220" s="572"/>
      <c r="BG220" s="983"/>
      <c r="BH220" s="222"/>
      <c r="BL220" s="889"/>
      <c r="BO220" s="223"/>
    </row>
    <row r="221" spans="1:67" s="74" customFormat="1">
      <c r="A221" s="15"/>
      <c r="B221" s="15"/>
      <c r="C221" s="15"/>
      <c r="D221" s="15"/>
      <c r="E221" s="6"/>
      <c r="F221" s="6"/>
      <c r="G221" s="6"/>
      <c r="K221" s="223"/>
      <c r="M221" s="889"/>
      <c r="P221" s="890"/>
      <c r="T221" s="889"/>
      <c r="X221" s="15"/>
      <c r="Y221" s="1935"/>
      <c r="Z221" s="1086"/>
      <c r="AA221" s="230"/>
      <c r="AB221" s="230"/>
      <c r="AC221" s="1936"/>
      <c r="AD221" s="230"/>
      <c r="AE221" s="230"/>
      <c r="AF221" s="230"/>
      <c r="AG221" s="890"/>
      <c r="AJ221" s="890"/>
      <c r="AN221" s="223"/>
      <c r="AO221" s="952"/>
      <c r="AP221" s="1066"/>
      <c r="AQ221" s="972"/>
      <c r="AR221" s="1917"/>
      <c r="AS221" s="222"/>
      <c r="AZ221" s="889"/>
      <c r="BC221" s="890"/>
      <c r="BD221" s="952"/>
      <c r="BE221" s="75"/>
      <c r="BF221" s="572"/>
      <c r="BG221" s="983"/>
      <c r="BH221" s="222"/>
      <c r="BL221" s="889"/>
      <c r="BO221" s="223"/>
    </row>
    <row r="222" spans="1:67" s="74" customFormat="1">
      <c r="A222" s="15"/>
      <c r="B222" s="15"/>
      <c r="C222" s="15"/>
      <c r="D222" s="15"/>
      <c r="E222" s="6"/>
      <c r="F222" s="6"/>
      <c r="G222" s="6"/>
      <c r="K222" s="223"/>
      <c r="M222" s="889"/>
      <c r="P222" s="890"/>
      <c r="T222" s="889"/>
      <c r="X222" s="15"/>
      <c r="Y222" s="1935"/>
      <c r="Z222" s="1086"/>
      <c r="AA222" s="230"/>
      <c r="AB222" s="230"/>
      <c r="AC222" s="1936"/>
      <c r="AD222" s="230"/>
      <c r="AE222" s="230"/>
      <c r="AF222" s="230"/>
      <c r="AG222" s="890"/>
      <c r="AJ222" s="890"/>
      <c r="AN222" s="223"/>
      <c r="AO222" s="952"/>
      <c r="AP222" s="1066"/>
      <c r="AQ222" s="972"/>
      <c r="AR222" s="1917"/>
      <c r="AS222" s="222"/>
      <c r="AZ222" s="889"/>
      <c r="BC222" s="890"/>
      <c r="BD222" s="952"/>
      <c r="BE222" s="75"/>
      <c r="BF222" s="572"/>
      <c r="BG222" s="983"/>
      <c r="BH222" s="222"/>
      <c r="BL222" s="889"/>
      <c r="BO222" s="223"/>
    </row>
    <row r="223" spans="1:67" s="74" customFormat="1">
      <c r="A223" s="15"/>
      <c r="B223" s="15"/>
      <c r="C223" s="15"/>
      <c r="D223" s="15"/>
      <c r="E223" s="6"/>
      <c r="F223" s="6"/>
      <c r="G223" s="6"/>
      <c r="K223" s="223"/>
      <c r="M223" s="889"/>
      <c r="P223" s="890"/>
      <c r="T223" s="889"/>
      <c r="X223" s="15"/>
      <c r="Y223" s="1935"/>
      <c r="Z223" s="1086"/>
      <c r="AA223" s="230"/>
      <c r="AB223" s="230"/>
      <c r="AC223" s="1936"/>
      <c r="AD223" s="230"/>
      <c r="AE223" s="230"/>
      <c r="AF223" s="230"/>
      <c r="AG223" s="890"/>
      <c r="AJ223" s="890"/>
      <c r="AN223" s="223"/>
      <c r="AO223" s="952"/>
      <c r="AP223" s="1066"/>
      <c r="AQ223" s="972"/>
      <c r="AR223" s="1917"/>
      <c r="AS223" s="222"/>
      <c r="AZ223" s="889"/>
      <c r="BC223" s="890"/>
      <c r="BD223" s="952"/>
      <c r="BE223" s="75"/>
      <c r="BF223" s="572"/>
      <c r="BG223" s="983"/>
      <c r="BH223" s="222"/>
      <c r="BL223" s="889"/>
      <c r="BO223" s="223"/>
    </row>
    <row r="224" spans="1:67" s="74" customFormat="1">
      <c r="A224" s="15"/>
      <c r="B224" s="15"/>
      <c r="C224" s="15"/>
      <c r="D224" s="15"/>
      <c r="E224" s="6"/>
      <c r="F224" s="6"/>
      <c r="G224" s="6"/>
      <c r="K224" s="223"/>
      <c r="M224" s="889"/>
      <c r="P224" s="890"/>
      <c r="T224" s="889"/>
      <c r="X224" s="15"/>
      <c r="Y224" s="1935"/>
      <c r="Z224" s="1086"/>
      <c r="AA224" s="230"/>
      <c r="AB224" s="230"/>
      <c r="AC224" s="1936"/>
      <c r="AD224" s="230"/>
      <c r="AE224" s="230"/>
      <c r="AF224" s="230"/>
      <c r="AG224" s="890"/>
      <c r="AJ224" s="890"/>
      <c r="AN224" s="223"/>
      <c r="AO224" s="952"/>
      <c r="AP224" s="1066"/>
      <c r="AQ224" s="972"/>
      <c r="AR224" s="1917"/>
      <c r="AS224" s="222"/>
      <c r="AZ224" s="889"/>
      <c r="BC224" s="890"/>
      <c r="BD224" s="952"/>
      <c r="BE224" s="75"/>
      <c r="BF224" s="572"/>
      <c r="BG224" s="983"/>
      <c r="BH224" s="222"/>
      <c r="BL224" s="889"/>
      <c r="BO224" s="223"/>
    </row>
    <row r="225" spans="1:67" s="74" customFormat="1">
      <c r="A225" s="15"/>
      <c r="B225" s="15"/>
      <c r="C225" s="15"/>
      <c r="D225" s="15"/>
      <c r="E225" s="6"/>
      <c r="F225" s="6"/>
      <c r="G225" s="6"/>
      <c r="K225" s="223"/>
      <c r="M225" s="889"/>
      <c r="P225" s="890"/>
      <c r="T225" s="889"/>
      <c r="X225" s="15"/>
      <c r="Y225" s="1935"/>
      <c r="Z225" s="1086"/>
      <c r="AA225" s="230"/>
      <c r="AB225" s="230"/>
      <c r="AC225" s="1936"/>
      <c r="AD225" s="230"/>
      <c r="AE225" s="230"/>
      <c r="AF225" s="230"/>
      <c r="AG225" s="890"/>
      <c r="AJ225" s="890"/>
      <c r="AN225" s="223"/>
      <c r="AO225" s="952"/>
      <c r="AP225" s="1066"/>
      <c r="AQ225" s="972"/>
      <c r="AR225" s="1917"/>
      <c r="AS225" s="222"/>
      <c r="AZ225" s="889"/>
      <c r="BC225" s="890"/>
      <c r="BD225" s="952"/>
      <c r="BE225" s="75"/>
      <c r="BF225" s="572"/>
      <c r="BG225" s="983"/>
      <c r="BH225" s="222"/>
      <c r="BL225" s="889"/>
      <c r="BO225" s="223"/>
    </row>
    <row r="226" spans="1:67" s="74" customFormat="1">
      <c r="A226" s="15"/>
      <c r="B226" s="15"/>
      <c r="C226" s="15"/>
      <c r="D226" s="15"/>
      <c r="E226" s="6"/>
      <c r="F226" s="6"/>
      <c r="G226" s="6"/>
      <c r="K226" s="223"/>
      <c r="M226" s="889"/>
      <c r="P226" s="890"/>
      <c r="T226" s="889"/>
      <c r="X226" s="15"/>
      <c r="Y226" s="1935"/>
      <c r="Z226" s="1086"/>
      <c r="AA226" s="230"/>
      <c r="AB226" s="230"/>
      <c r="AC226" s="1936"/>
      <c r="AD226" s="230"/>
      <c r="AE226" s="230"/>
      <c r="AF226" s="230"/>
      <c r="AG226" s="890"/>
      <c r="AJ226" s="890"/>
      <c r="AN226" s="223"/>
      <c r="AO226" s="952"/>
      <c r="AP226" s="1066"/>
      <c r="AQ226" s="972"/>
      <c r="AR226" s="1917"/>
      <c r="AS226" s="222"/>
      <c r="AZ226" s="889"/>
      <c r="BC226" s="890"/>
      <c r="BD226" s="952"/>
      <c r="BE226" s="75"/>
      <c r="BF226" s="572"/>
      <c r="BG226" s="983"/>
      <c r="BH226" s="222"/>
      <c r="BL226" s="889"/>
      <c r="BO226" s="223"/>
    </row>
    <row r="227" spans="1:67" s="74" customFormat="1">
      <c r="A227" s="15"/>
      <c r="B227" s="15"/>
      <c r="C227" s="15"/>
      <c r="D227" s="15"/>
      <c r="E227" s="6"/>
      <c r="F227" s="6"/>
      <c r="G227" s="6"/>
      <c r="K227" s="223"/>
      <c r="M227" s="889"/>
      <c r="P227" s="890"/>
      <c r="T227" s="889"/>
      <c r="X227" s="15"/>
      <c r="Y227" s="1935"/>
      <c r="Z227" s="1086"/>
      <c r="AA227" s="230"/>
      <c r="AB227" s="230"/>
      <c r="AC227" s="1936"/>
      <c r="AD227" s="230"/>
      <c r="AE227" s="230"/>
      <c r="AF227" s="230"/>
      <c r="AG227" s="890"/>
      <c r="AJ227" s="890"/>
      <c r="AN227" s="223"/>
      <c r="AO227" s="952"/>
      <c r="AP227" s="1066"/>
      <c r="AQ227" s="972"/>
      <c r="AR227" s="1917"/>
      <c r="AS227" s="222"/>
      <c r="AZ227" s="889"/>
      <c r="BC227" s="890"/>
      <c r="BD227" s="952"/>
      <c r="BE227" s="75"/>
      <c r="BF227" s="572"/>
      <c r="BG227" s="983"/>
      <c r="BH227" s="222"/>
      <c r="BL227" s="889"/>
      <c r="BO227" s="223"/>
    </row>
    <row r="228" spans="1:67" s="74" customFormat="1">
      <c r="A228" s="15"/>
      <c r="B228" s="15"/>
      <c r="C228" s="15"/>
      <c r="D228" s="15"/>
      <c r="E228" s="6"/>
      <c r="F228" s="6"/>
      <c r="G228" s="6"/>
      <c r="K228" s="223"/>
      <c r="M228" s="889"/>
      <c r="P228" s="890"/>
      <c r="T228" s="889"/>
      <c r="X228" s="15"/>
      <c r="Y228" s="1935"/>
      <c r="Z228" s="1086"/>
      <c r="AA228" s="230"/>
      <c r="AB228" s="230"/>
      <c r="AC228" s="1936"/>
      <c r="AD228" s="230"/>
      <c r="AE228" s="230"/>
      <c r="AF228" s="230"/>
      <c r="AG228" s="890"/>
      <c r="AJ228" s="890"/>
      <c r="AN228" s="223"/>
      <c r="AO228" s="952"/>
      <c r="AP228" s="1066"/>
      <c r="AQ228" s="972"/>
      <c r="AR228" s="1917"/>
      <c r="AS228" s="222"/>
      <c r="AZ228" s="889"/>
      <c r="BC228" s="890"/>
      <c r="BD228" s="952"/>
      <c r="BE228" s="75"/>
      <c r="BF228" s="572"/>
      <c r="BG228" s="983"/>
      <c r="BH228" s="222"/>
      <c r="BL228" s="889"/>
      <c r="BO228" s="223"/>
    </row>
    <row r="229" spans="1:67" s="74" customFormat="1">
      <c r="A229" s="15"/>
      <c r="B229" s="15"/>
      <c r="C229" s="15"/>
      <c r="D229" s="15"/>
      <c r="E229" s="6"/>
      <c r="F229" s="6"/>
      <c r="G229" s="6"/>
      <c r="K229" s="223"/>
      <c r="M229" s="889"/>
      <c r="P229" s="890"/>
      <c r="T229" s="889"/>
      <c r="X229" s="15"/>
      <c r="Y229" s="1935"/>
      <c r="Z229" s="1086"/>
      <c r="AA229" s="230"/>
      <c r="AB229" s="230"/>
      <c r="AC229" s="1936"/>
      <c r="AD229" s="230"/>
      <c r="AE229" s="230"/>
      <c r="AF229" s="230"/>
      <c r="AG229" s="890"/>
      <c r="AJ229" s="890"/>
      <c r="AN229" s="223"/>
      <c r="AO229" s="952"/>
      <c r="AP229" s="1066"/>
      <c r="AQ229" s="972"/>
      <c r="AR229" s="1917"/>
      <c r="AS229" s="222"/>
      <c r="AZ229" s="889"/>
      <c r="BC229" s="890"/>
      <c r="BD229" s="952"/>
      <c r="BE229" s="75"/>
      <c r="BF229" s="572"/>
      <c r="BG229" s="983"/>
      <c r="BH229" s="222"/>
      <c r="BL229" s="889"/>
      <c r="BO229" s="223"/>
    </row>
    <row r="230" spans="1:67" s="74" customFormat="1">
      <c r="A230" s="15"/>
      <c r="B230" s="15"/>
      <c r="C230" s="15"/>
      <c r="D230" s="15"/>
      <c r="E230" s="6"/>
      <c r="F230" s="6"/>
      <c r="G230" s="6"/>
      <c r="K230" s="223"/>
      <c r="M230" s="889"/>
      <c r="P230" s="890"/>
      <c r="T230" s="889"/>
      <c r="X230" s="15"/>
      <c r="Y230" s="1935"/>
      <c r="Z230" s="1086"/>
      <c r="AA230" s="230"/>
      <c r="AB230" s="230"/>
      <c r="AC230" s="1936"/>
      <c r="AD230" s="230"/>
      <c r="AE230" s="230"/>
      <c r="AF230" s="230"/>
      <c r="AG230" s="890"/>
      <c r="AJ230" s="890"/>
      <c r="AN230" s="223"/>
      <c r="AO230" s="952"/>
      <c r="AP230" s="1066"/>
      <c r="AQ230" s="972"/>
      <c r="AR230" s="1917"/>
      <c r="AS230" s="222"/>
      <c r="AZ230" s="889"/>
      <c r="BC230" s="890"/>
      <c r="BD230" s="952"/>
      <c r="BE230" s="75"/>
      <c r="BF230" s="572"/>
      <c r="BG230" s="983"/>
      <c r="BH230" s="222"/>
      <c r="BL230" s="889"/>
      <c r="BO230" s="223"/>
    </row>
    <row r="231" spans="1:67" s="74" customFormat="1">
      <c r="A231" s="15"/>
      <c r="B231" s="15"/>
      <c r="C231" s="15"/>
      <c r="D231" s="15"/>
      <c r="E231" s="6"/>
      <c r="F231" s="6"/>
      <c r="G231" s="6"/>
      <c r="K231" s="223"/>
      <c r="M231" s="889"/>
      <c r="P231" s="890"/>
      <c r="T231" s="889"/>
      <c r="X231" s="15"/>
      <c r="Y231" s="1935"/>
      <c r="Z231" s="1086"/>
      <c r="AA231" s="230"/>
      <c r="AB231" s="230"/>
      <c r="AC231" s="1936"/>
      <c r="AD231" s="230"/>
      <c r="AE231" s="230"/>
      <c r="AF231" s="230"/>
      <c r="AG231" s="890"/>
      <c r="AJ231" s="890"/>
      <c r="AN231" s="223"/>
      <c r="AO231" s="952"/>
      <c r="AP231" s="1066"/>
      <c r="AQ231" s="972"/>
      <c r="AR231" s="1917"/>
      <c r="AS231" s="222"/>
      <c r="AZ231" s="889"/>
      <c r="BC231" s="890"/>
      <c r="BD231" s="952"/>
      <c r="BE231" s="75"/>
      <c r="BF231" s="572"/>
      <c r="BG231" s="983"/>
      <c r="BH231" s="222"/>
      <c r="BL231" s="889"/>
      <c r="BO231" s="223"/>
    </row>
    <row r="232" spans="1:67" s="74" customFormat="1">
      <c r="A232" s="15"/>
      <c r="B232" s="15"/>
      <c r="C232" s="15"/>
      <c r="D232" s="15"/>
      <c r="E232" s="6"/>
      <c r="F232" s="6"/>
      <c r="G232" s="6"/>
      <c r="K232" s="223"/>
      <c r="M232" s="889"/>
      <c r="P232" s="890"/>
      <c r="T232" s="889"/>
      <c r="X232" s="15"/>
      <c r="Y232" s="1935"/>
      <c r="Z232" s="1086"/>
      <c r="AA232" s="230"/>
      <c r="AB232" s="230"/>
      <c r="AC232" s="1936"/>
      <c r="AD232" s="230"/>
      <c r="AE232" s="230"/>
      <c r="AF232" s="230"/>
      <c r="AG232" s="890"/>
      <c r="AJ232" s="890"/>
      <c r="AN232" s="223"/>
      <c r="AO232" s="952"/>
      <c r="AP232" s="1066"/>
      <c r="AQ232" s="972"/>
      <c r="AR232" s="1917"/>
      <c r="AS232" s="222"/>
      <c r="AZ232" s="889"/>
      <c r="BC232" s="890"/>
      <c r="BD232" s="952"/>
      <c r="BE232" s="75"/>
      <c r="BF232" s="572"/>
      <c r="BG232" s="983"/>
      <c r="BH232" s="222"/>
      <c r="BL232" s="889"/>
      <c r="BO232" s="223"/>
    </row>
    <row r="233" spans="1:67" s="74" customFormat="1">
      <c r="A233" s="15"/>
      <c r="B233" s="15"/>
      <c r="C233" s="15"/>
      <c r="D233" s="15"/>
      <c r="E233" s="6"/>
      <c r="F233" s="6"/>
      <c r="G233" s="6"/>
      <c r="K233" s="223"/>
      <c r="M233" s="889"/>
      <c r="P233" s="890"/>
      <c r="T233" s="889"/>
      <c r="X233" s="15"/>
      <c r="Y233" s="1935"/>
      <c r="Z233" s="1086"/>
      <c r="AA233" s="230"/>
      <c r="AB233" s="230"/>
      <c r="AC233" s="1936"/>
      <c r="AD233" s="230"/>
      <c r="AE233" s="230"/>
      <c r="AF233" s="230"/>
      <c r="AG233" s="890"/>
      <c r="AJ233" s="890"/>
      <c r="AN233" s="223"/>
      <c r="AO233" s="952"/>
      <c r="AP233" s="1066"/>
      <c r="AQ233" s="972"/>
      <c r="AR233" s="1917"/>
      <c r="AS233" s="222"/>
      <c r="AZ233" s="889"/>
      <c r="BC233" s="890"/>
      <c r="BD233" s="952"/>
      <c r="BE233" s="75"/>
      <c r="BF233" s="572"/>
      <c r="BG233" s="983"/>
      <c r="BH233" s="222"/>
      <c r="BL233" s="889"/>
      <c r="BO233" s="223"/>
    </row>
    <row r="234" spans="1:67" s="74" customFormat="1">
      <c r="A234" s="15"/>
      <c r="B234" s="15"/>
      <c r="C234" s="15"/>
      <c r="D234" s="15"/>
      <c r="E234" s="6"/>
      <c r="F234" s="6"/>
      <c r="G234" s="6"/>
      <c r="K234" s="223"/>
      <c r="M234" s="889"/>
      <c r="P234" s="890"/>
      <c r="T234" s="889"/>
      <c r="X234" s="15"/>
      <c r="Y234" s="1935"/>
      <c r="Z234" s="1086"/>
      <c r="AA234" s="230"/>
      <c r="AB234" s="230"/>
      <c r="AC234" s="1936"/>
      <c r="AD234" s="230"/>
      <c r="AE234" s="230"/>
      <c r="AF234" s="230"/>
      <c r="AG234" s="890"/>
      <c r="AJ234" s="890"/>
      <c r="AN234" s="223"/>
      <c r="AO234" s="952"/>
      <c r="AP234" s="1066"/>
      <c r="AQ234" s="972"/>
      <c r="AR234" s="1917"/>
      <c r="AS234" s="222"/>
      <c r="AZ234" s="889"/>
      <c r="BC234" s="890"/>
      <c r="BD234" s="952"/>
      <c r="BE234" s="75"/>
      <c r="BF234" s="572"/>
      <c r="BG234" s="983"/>
      <c r="BH234" s="222"/>
      <c r="BL234" s="889"/>
      <c r="BO234" s="223"/>
    </row>
    <row r="235" spans="1:67" s="74" customFormat="1">
      <c r="A235" s="15"/>
      <c r="B235" s="15"/>
      <c r="C235" s="15"/>
      <c r="D235" s="15"/>
      <c r="E235" s="6"/>
      <c r="F235" s="6"/>
      <c r="G235" s="6"/>
      <c r="K235" s="223"/>
      <c r="M235" s="889"/>
      <c r="P235" s="890"/>
      <c r="T235" s="889"/>
      <c r="X235" s="15"/>
      <c r="Y235" s="1935"/>
      <c r="Z235" s="1086"/>
      <c r="AA235" s="230"/>
      <c r="AB235" s="230"/>
      <c r="AC235" s="1936"/>
      <c r="AD235" s="230"/>
      <c r="AE235" s="230"/>
      <c r="AF235" s="230"/>
      <c r="AG235" s="890"/>
      <c r="AJ235" s="890"/>
      <c r="AN235" s="223"/>
      <c r="AO235" s="952"/>
      <c r="AP235" s="1066"/>
      <c r="AQ235" s="972"/>
      <c r="AR235" s="1917"/>
      <c r="AS235" s="222"/>
      <c r="AZ235" s="889"/>
      <c r="BC235" s="890"/>
      <c r="BD235" s="952"/>
      <c r="BE235" s="75"/>
      <c r="BF235" s="572"/>
      <c r="BG235" s="983"/>
      <c r="BH235" s="222"/>
      <c r="BL235" s="889"/>
      <c r="BO235" s="223"/>
    </row>
    <row r="236" spans="1:67" s="74" customFormat="1">
      <c r="A236" s="15"/>
      <c r="B236" s="15"/>
      <c r="C236" s="15"/>
      <c r="D236" s="15"/>
      <c r="E236" s="6"/>
      <c r="F236" s="6"/>
      <c r="G236" s="6"/>
      <c r="K236" s="223"/>
      <c r="M236" s="889"/>
      <c r="P236" s="890"/>
      <c r="T236" s="889"/>
      <c r="X236" s="15"/>
      <c r="Y236" s="1935"/>
      <c r="Z236" s="1086"/>
      <c r="AA236" s="230"/>
      <c r="AB236" s="230"/>
      <c r="AC236" s="1936"/>
      <c r="AD236" s="230"/>
      <c r="AE236" s="230"/>
      <c r="AF236" s="230"/>
      <c r="AG236" s="890"/>
      <c r="AJ236" s="890"/>
      <c r="AN236" s="223"/>
      <c r="AO236" s="952"/>
      <c r="AP236" s="1066"/>
      <c r="AQ236" s="972"/>
      <c r="AR236" s="1917"/>
      <c r="AS236" s="222"/>
      <c r="AZ236" s="889"/>
      <c r="BC236" s="890"/>
      <c r="BD236" s="952"/>
      <c r="BE236" s="75"/>
      <c r="BF236" s="572"/>
      <c r="BG236" s="983"/>
      <c r="BH236" s="222"/>
      <c r="BL236" s="889"/>
      <c r="BO236" s="223"/>
    </row>
    <row r="237" spans="1:67" s="74" customFormat="1">
      <c r="A237" s="15"/>
      <c r="B237" s="15"/>
      <c r="C237" s="15"/>
      <c r="D237" s="15"/>
      <c r="E237" s="6"/>
      <c r="F237" s="6"/>
      <c r="G237" s="6"/>
      <c r="K237" s="223"/>
      <c r="M237" s="889"/>
      <c r="P237" s="890"/>
      <c r="T237" s="889"/>
      <c r="X237" s="15"/>
      <c r="Y237" s="1935"/>
      <c r="Z237" s="1086"/>
      <c r="AA237" s="230"/>
      <c r="AB237" s="230"/>
      <c r="AC237" s="1936"/>
      <c r="AD237" s="230"/>
      <c r="AE237" s="230"/>
      <c r="AF237" s="230"/>
      <c r="AG237" s="890"/>
      <c r="AJ237" s="890"/>
      <c r="AN237" s="223"/>
      <c r="AO237" s="952"/>
      <c r="AP237" s="1066"/>
      <c r="AQ237" s="972"/>
      <c r="AR237" s="1917"/>
      <c r="AS237" s="222"/>
      <c r="AZ237" s="889"/>
      <c r="BC237" s="890"/>
      <c r="BD237" s="952"/>
      <c r="BE237" s="75"/>
      <c r="BF237" s="572"/>
      <c r="BG237" s="983"/>
      <c r="BH237" s="222"/>
      <c r="BL237" s="889"/>
      <c r="BO237" s="223"/>
    </row>
    <row r="238" spans="1:67" s="74" customFormat="1">
      <c r="A238" s="15"/>
      <c r="B238" s="15"/>
      <c r="C238" s="15"/>
      <c r="D238" s="15"/>
      <c r="E238" s="6"/>
      <c r="F238" s="6"/>
      <c r="G238" s="6"/>
      <c r="K238" s="223"/>
      <c r="M238" s="889"/>
      <c r="P238" s="890"/>
      <c r="T238" s="889"/>
      <c r="X238" s="15"/>
      <c r="Y238" s="1935"/>
      <c r="Z238" s="1086"/>
      <c r="AA238" s="230"/>
      <c r="AB238" s="230"/>
      <c r="AC238" s="1936"/>
      <c r="AD238" s="230"/>
      <c r="AE238" s="230"/>
      <c r="AF238" s="230"/>
      <c r="AG238" s="890"/>
      <c r="AJ238" s="890"/>
      <c r="AN238" s="223"/>
      <c r="AO238" s="952"/>
      <c r="AP238" s="1066"/>
      <c r="AQ238" s="972"/>
      <c r="AR238" s="1917"/>
      <c r="AS238" s="222"/>
      <c r="AZ238" s="889"/>
      <c r="BC238" s="890"/>
      <c r="BD238" s="952"/>
      <c r="BE238" s="75"/>
      <c r="BF238" s="572"/>
      <c r="BG238" s="983"/>
      <c r="BH238" s="222"/>
      <c r="BL238" s="889"/>
      <c r="BO238" s="223"/>
    </row>
    <row r="239" spans="1:67" s="74" customFormat="1">
      <c r="A239" s="15"/>
      <c r="B239" s="15"/>
      <c r="C239" s="15"/>
      <c r="D239" s="15"/>
      <c r="E239" s="6"/>
      <c r="F239" s="6"/>
      <c r="G239" s="6"/>
      <c r="K239" s="223"/>
      <c r="M239" s="889"/>
      <c r="P239" s="890"/>
      <c r="T239" s="889"/>
      <c r="X239" s="15"/>
      <c r="Y239" s="1935"/>
      <c r="Z239" s="1086"/>
      <c r="AA239" s="230"/>
      <c r="AB239" s="230"/>
      <c r="AC239" s="1936"/>
      <c r="AD239" s="230"/>
      <c r="AE239" s="230"/>
      <c r="AF239" s="230"/>
      <c r="AG239" s="890"/>
      <c r="AJ239" s="890"/>
      <c r="AN239" s="223"/>
      <c r="AO239" s="952"/>
      <c r="AP239" s="1066"/>
      <c r="AQ239" s="972"/>
      <c r="AR239" s="1917"/>
      <c r="AS239" s="222"/>
      <c r="AZ239" s="889"/>
      <c r="BC239" s="890"/>
      <c r="BD239" s="952"/>
      <c r="BE239" s="75"/>
      <c r="BF239" s="572"/>
      <c r="BG239" s="983"/>
      <c r="BH239" s="222"/>
      <c r="BL239" s="889"/>
      <c r="BO239" s="223"/>
    </row>
    <row r="240" spans="1:67" s="74" customFormat="1">
      <c r="A240" s="15"/>
      <c r="B240" s="15"/>
      <c r="C240" s="15"/>
      <c r="D240" s="15"/>
      <c r="E240" s="6"/>
      <c r="F240" s="6"/>
      <c r="G240" s="6"/>
      <c r="K240" s="223"/>
      <c r="M240" s="889"/>
      <c r="P240" s="890"/>
      <c r="T240" s="889"/>
      <c r="X240" s="15"/>
      <c r="Y240" s="1935"/>
      <c r="Z240" s="1086"/>
      <c r="AA240" s="230"/>
      <c r="AB240" s="230"/>
      <c r="AC240" s="1936"/>
      <c r="AD240" s="230"/>
      <c r="AE240" s="230"/>
      <c r="AF240" s="230"/>
      <c r="AG240" s="890"/>
      <c r="AJ240" s="890"/>
      <c r="AN240" s="223"/>
      <c r="AO240" s="952"/>
      <c r="AP240" s="1066"/>
      <c r="AQ240" s="972"/>
      <c r="AR240" s="1917"/>
      <c r="AS240" s="222"/>
      <c r="AZ240" s="889"/>
      <c r="BC240" s="890"/>
      <c r="BD240" s="952"/>
      <c r="BE240" s="75"/>
      <c r="BF240" s="572"/>
      <c r="BG240" s="983"/>
      <c r="BH240" s="222"/>
      <c r="BL240" s="889"/>
      <c r="BO240" s="223"/>
    </row>
    <row r="241" spans="1:67" s="74" customFormat="1">
      <c r="A241" s="15"/>
      <c r="B241" s="15"/>
      <c r="C241" s="15"/>
      <c r="D241" s="15"/>
      <c r="E241" s="6"/>
      <c r="F241" s="6"/>
      <c r="G241" s="6"/>
      <c r="K241" s="223"/>
      <c r="M241" s="889"/>
      <c r="P241" s="890"/>
      <c r="T241" s="889"/>
      <c r="X241" s="15"/>
      <c r="Y241" s="1935"/>
      <c r="Z241" s="1086"/>
      <c r="AA241" s="230"/>
      <c r="AB241" s="230"/>
      <c r="AC241" s="1936"/>
      <c r="AD241" s="230"/>
      <c r="AE241" s="230"/>
      <c r="AF241" s="230"/>
      <c r="AG241" s="890"/>
      <c r="AJ241" s="890"/>
      <c r="AN241" s="223"/>
      <c r="AO241" s="952"/>
      <c r="AP241" s="1066"/>
      <c r="AQ241" s="972"/>
      <c r="AR241" s="1917"/>
      <c r="AS241" s="222"/>
      <c r="AZ241" s="889"/>
      <c r="BC241" s="890"/>
      <c r="BD241" s="952"/>
      <c r="BE241" s="75"/>
      <c r="BF241" s="572"/>
      <c r="BG241" s="983"/>
      <c r="BH241" s="222"/>
      <c r="BL241" s="889"/>
      <c r="BO241" s="223"/>
    </row>
    <row r="242" spans="1:67" s="74" customFormat="1">
      <c r="A242" s="15"/>
      <c r="B242" s="15"/>
      <c r="C242" s="15"/>
      <c r="D242" s="15"/>
      <c r="E242" s="6"/>
      <c r="F242" s="6"/>
      <c r="G242" s="6"/>
      <c r="K242" s="223"/>
      <c r="M242" s="889"/>
      <c r="P242" s="890"/>
      <c r="T242" s="889"/>
      <c r="X242" s="15"/>
      <c r="Y242" s="1935"/>
      <c r="Z242" s="1086"/>
      <c r="AA242" s="230"/>
      <c r="AB242" s="230"/>
      <c r="AC242" s="1936"/>
      <c r="AD242" s="230"/>
      <c r="AE242" s="230"/>
      <c r="AF242" s="230"/>
      <c r="AG242" s="890"/>
      <c r="AJ242" s="890"/>
      <c r="AN242" s="223"/>
      <c r="AO242" s="952"/>
      <c r="AP242" s="1066"/>
      <c r="AQ242" s="972"/>
      <c r="AR242" s="1917"/>
      <c r="AS242" s="222"/>
      <c r="AZ242" s="889"/>
      <c r="BC242" s="890"/>
      <c r="BD242" s="952"/>
      <c r="BE242" s="75"/>
      <c r="BF242" s="572"/>
      <c r="BG242" s="983"/>
      <c r="BH242" s="222"/>
      <c r="BL242" s="889"/>
      <c r="BO242" s="223"/>
    </row>
    <row r="243" spans="1:67" s="74" customFormat="1">
      <c r="A243" s="15"/>
      <c r="B243" s="15"/>
      <c r="C243" s="15"/>
      <c r="D243" s="15"/>
      <c r="E243" s="6"/>
      <c r="F243" s="6"/>
      <c r="G243" s="6"/>
      <c r="K243" s="223"/>
      <c r="M243" s="889"/>
      <c r="P243" s="890"/>
      <c r="T243" s="889"/>
      <c r="X243" s="15"/>
      <c r="Y243" s="1935"/>
      <c r="Z243" s="1086"/>
      <c r="AA243" s="230"/>
      <c r="AB243" s="230"/>
      <c r="AC243" s="1936"/>
      <c r="AD243" s="230"/>
      <c r="AE243" s="230"/>
      <c r="AF243" s="230"/>
      <c r="AG243" s="890"/>
      <c r="AJ243" s="890"/>
      <c r="AN243" s="223"/>
      <c r="AO243" s="952"/>
      <c r="AP243" s="1066"/>
      <c r="AQ243" s="972"/>
      <c r="AR243" s="1917"/>
      <c r="AS243" s="222"/>
      <c r="AZ243" s="889"/>
      <c r="BC243" s="890"/>
      <c r="BD243" s="952"/>
      <c r="BE243" s="75"/>
      <c r="BF243" s="572"/>
      <c r="BG243" s="983"/>
      <c r="BH243" s="222"/>
      <c r="BL243" s="889"/>
      <c r="BO243" s="223"/>
    </row>
    <row r="244" spans="1:67" s="74" customFormat="1">
      <c r="A244" s="15"/>
      <c r="B244" s="15"/>
      <c r="C244" s="15"/>
      <c r="D244" s="15"/>
      <c r="E244" s="6"/>
      <c r="F244" s="6"/>
      <c r="G244" s="6"/>
      <c r="K244" s="223"/>
      <c r="M244" s="889"/>
      <c r="P244" s="890"/>
      <c r="T244" s="889"/>
      <c r="X244" s="15"/>
      <c r="Y244" s="1935"/>
      <c r="Z244" s="1086"/>
      <c r="AA244" s="230"/>
      <c r="AB244" s="230"/>
      <c r="AC244" s="1936"/>
      <c r="AD244" s="230"/>
      <c r="AE244" s="230"/>
      <c r="AF244" s="230"/>
      <c r="AG244" s="890"/>
      <c r="AJ244" s="890"/>
      <c r="AN244" s="223"/>
      <c r="AO244" s="952"/>
      <c r="AP244" s="1066"/>
      <c r="AQ244" s="972"/>
      <c r="AR244" s="1917"/>
      <c r="AS244" s="222"/>
      <c r="AZ244" s="889"/>
      <c r="BC244" s="890"/>
      <c r="BD244" s="952"/>
      <c r="BE244" s="75"/>
      <c r="BF244" s="572"/>
      <c r="BG244" s="983"/>
      <c r="BH244" s="222"/>
      <c r="BL244" s="889"/>
      <c r="BO244" s="223"/>
    </row>
    <row r="245" spans="1:67" s="74" customFormat="1">
      <c r="A245" s="15"/>
      <c r="B245" s="15"/>
      <c r="C245" s="15"/>
      <c r="D245" s="15"/>
      <c r="E245" s="6"/>
      <c r="F245" s="6"/>
      <c r="G245" s="6"/>
      <c r="K245" s="223"/>
      <c r="M245" s="889"/>
      <c r="P245" s="890"/>
      <c r="T245" s="889"/>
      <c r="X245" s="15"/>
      <c r="Y245" s="1935"/>
      <c r="Z245" s="1086"/>
      <c r="AA245" s="230"/>
      <c r="AB245" s="230"/>
      <c r="AC245" s="1936"/>
      <c r="AD245" s="230"/>
      <c r="AE245" s="230"/>
      <c r="AF245" s="230"/>
      <c r="AG245" s="890"/>
      <c r="AJ245" s="890"/>
      <c r="AN245" s="223"/>
      <c r="AO245" s="952"/>
      <c r="AP245" s="1066"/>
      <c r="AQ245" s="972"/>
      <c r="AR245" s="1917"/>
      <c r="AS245" s="222"/>
      <c r="AZ245" s="889"/>
      <c r="BC245" s="890"/>
      <c r="BD245" s="952"/>
      <c r="BE245" s="75"/>
      <c r="BF245" s="572"/>
      <c r="BG245" s="983"/>
      <c r="BH245" s="222"/>
      <c r="BL245" s="889"/>
      <c r="BO245" s="223"/>
    </row>
    <row r="246" spans="1:67" s="74" customFormat="1">
      <c r="A246" s="15"/>
      <c r="B246" s="15"/>
      <c r="C246" s="15"/>
      <c r="D246" s="15"/>
      <c r="E246" s="6"/>
      <c r="F246" s="6"/>
      <c r="G246" s="6"/>
      <c r="K246" s="223"/>
      <c r="M246" s="889"/>
      <c r="P246" s="890"/>
      <c r="T246" s="889"/>
      <c r="X246" s="15"/>
      <c r="Y246" s="1935"/>
      <c r="Z246" s="1086"/>
      <c r="AA246" s="230"/>
      <c r="AB246" s="230"/>
      <c r="AC246" s="1936"/>
      <c r="AD246" s="230"/>
      <c r="AE246" s="230"/>
      <c r="AF246" s="230"/>
      <c r="AG246" s="890"/>
      <c r="AJ246" s="890"/>
      <c r="AN246" s="223"/>
      <c r="AO246" s="952"/>
      <c r="AP246" s="1066"/>
      <c r="AQ246" s="972"/>
      <c r="AR246" s="1917"/>
      <c r="AS246" s="222"/>
      <c r="AZ246" s="889"/>
      <c r="BC246" s="890"/>
      <c r="BD246" s="952"/>
      <c r="BE246" s="75"/>
      <c r="BF246" s="572"/>
      <c r="BG246" s="983"/>
      <c r="BH246" s="222"/>
      <c r="BL246" s="889"/>
      <c r="BO246" s="223"/>
    </row>
    <row r="247" spans="1:67" s="74" customFormat="1">
      <c r="A247" s="15"/>
      <c r="B247" s="15"/>
      <c r="C247" s="15"/>
      <c r="D247" s="15"/>
      <c r="E247" s="6"/>
      <c r="F247" s="6"/>
      <c r="G247" s="6"/>
      <c r="K247" s="223"/>
      <c r="M247" s="889"/>
      <c r="P247" s="890"/>
      <c r="T247" s="889"/>
      <c r="X247" s="15"/>
      <c r="Y247" s="1935"/>
      <c r="Z247" s="1086"/>
      <c r="AA247" s="230"/>
      <c r="AB247" s="230"/>
      <c r="AC247" s="1936"/>
      <c r="AD247" s="230"/>
      <c r="AE247" s="230"/>
      <c r="AF247" s="230"/>
      <c r="AG247" s="890"/>
      <c r="AJ247" s="890"/>
      <c r="AN247" s="223"/>
      <c r="AO247" s="952"/>
      <c r="AP247" s="1066"/>
      <c r="AQ247" s="972"/>
      <c r="AR247" s="1917"/>
      <c r="AS247" s="222"/>
      <c r="AZ247" s="889"/>
      <c r="BC247" s="890"/>
      <c r="BD247" s="952"/>
      <c r="BE247" s="75"/>
      <c r="BF247" s="572"/>
      <c r="BG247" s="983"/>
      <c r="BH247" s="222"/>
      <c r="BL247" s="889"/>
      <c r="BO247" s="223"/>
    </row>
    <row r="248" spans="1:67" s="74" customFormat="1">
      <c r="A248" s="15"/>
      <c r="B248" s="15"/>
      <c r="C248" s="15"/>
      <c r="D248" s="15"/>
      <c r="E248" s="6"/>
      <c r="F248" s="6"/>
      <c r="G248" s="6"/>
      <c r="K248" s="223"/>
      <c r="M248" s="889"/>
      <c r="P248" s="890"/>
      <c r="T248" s="889"/>
      <c r="X248" s="15"/>
      <c r="Y248" s="1935"/>
      <c r="Z248" s="1086"/>
      <c r="AA248" s="230"/>
      <c r="AB248" s="230"/>
      <c r="AC248" s="1936"/>
      <c r="AD248" s="230"/>
      <c r="AE248" s="230"/>
      <c r="AF248" s="230"/>
      <c r="AG248" s="890"/>
      <c r="AJ248" s="890"/>
      <c r="AN248" s="223"/>
      <c r="AO248" s="952"/>
      <c r="AP248" s="1066"/>
      <c r="AQ248" s="972"/>
      <c r="AR248" s="1917"/>
      <c r="AS248" s="222"/>
      <c r="AZ248" s="889"/>
      <c r="BC248" s="890"/>
      <c r="BD248" s="952"/>
      <c r="BE248" s="75"/>
      <c r="BF248" s="572"/>
      <c r="BG248" s="983"/>
      <c r="BH248" s="222"/>
      <c r="BL248" s="889"/>
      <c r="BO248" s="223"/>
    </row>
    <row r="249" spans="1:67" s="74" customFormat="1">
      <c r="A249" s="15"/>
      <c r="B249" s="15"/>
      <c r="C249" s="15"/>
      <c r="D249" s="15"/>
      <c r="E249" s="6"/>
      <c r="F249" s="6"/>
      <c r="G249" s="6"/>
      <c r="K249" s="223"/>
      <c r="M249" s="889"/>
      <c r="P249" s="890"/>
      <c r="T249" s="889"/>
      <c r="X249" s="15"/>
      <c r="Y249" s="1935"/>
      <c r="Z249" s="1086"/>
      <c r="AA249" s="230"/>
      <c r="AB249" s="230"/>
      <c r="AC249" s="1936"/>
      <c r="AD249" s="230"/>
      <c r="AE249" s="230"/>
      <c r="AF249" s="230"/>
      <c r="AG249" s="890"/>
      <c r="AJ249" s="890"/>
      <c r="AN249" s="223"/>
      <c r="AO249" s="952"/>
      <c r="AP249" s="1066"/>
      <c r="AQ249" s="972"/>
      <c r="AR249" s="1917"/>
      <c r="AS249" s="222"/>
      <c r="AZ249" s="889"/>
      <c r="BC249" s="890"/>
      <c r="BD249" s="952"/>
      <c r="BE249" s="75"/>
      <c r="BF249" s="572"/>
      <c r="BG249" s="983"/>
      <c r="BH249" s="222"/>
      <c r="BL249" s="889"/>
      <c r="BO249" s="223"/>
    </row>
    <row r="250" spans="1:67" s="74" customFormat="1">
      <c r="A250" s="15"/>
      <c r="B250" s="15"/>
      <c r="C250" s="15"/>
      <c r="D250" s="15"/>
      <c r="E250" s="6"/>
      <c r="F250" s="6"/>
      <c r="G250" s="6"/>
      <c r="K250" s="223"/>
      <c r="M250" s="889"/>
      <c r="P250" s="890"/>
      <c r="T250" s="889"/>
      <c r="X250" s="15"/>
      <c r="Y250" s="1935"/>
      <c r="Z250" s="1086"/>
      <c r="AA250" s="230"/>
      <c r="AB250" s="230"/>
      <c r="AC250" s="1936"/>
      <c r="AD250" s="230"/>
      <c r="AE250" s="230"/>
      <c r="AF250" s="230"/>
      <c r="AG250" s="890"/>
      <c r="AJ250" s="890"/>
      <c r="AN250" s="223"/>
      <c r="AO250" s="952"/>
      <c r="AP250" s="1066"/>
      <c r="AQ250" s="972"/>
      <c r="AR250" s="1917"/>
      <c r="AS250" s="222"/>
      <c r="AZ250" s="889"/>
      <c r="BC250" s="890"/>
      <c r="BD250" s="952"/>
      <c r="BE250" s="75"/>
      <c r="BF250" s="572"/>
      <c r="BG250" s="983"/>
      <c r="BH250" s="222"/>
      <c r="BL250" s="889"/>
      <c r="BO250" s="223"/>
    </row>
    <row r="251" spans="1:67" s="74" customFormat="1">
      <c r="A251" s="15"/>
      <c r="B251" s="15"/>
      <c r="C251" s="15"/>
      <c r="D251" s="15"/>
      <c r="E251" s="6"/>
      <c r="F251" s="6"/>
      <c r="G251" s="6"/>
      <c r="K251" s="223"/>
      <c r="M251" s="889"/>
      <c r="P251" s="890"/>
      <c r="T251" s="889"/>
      <c r="X251" s="15"/>
      <c r="Y251" s="1935"/>
      <c r="Z251" s="1086"/>
      <c r="AA251" s="230"/>
      <c r="AB251" s="230"/>
      <c r="AC251" s="1936"/>
      <c r="AD251" s="230"/>
      <c r="AE251" s="230"/>
      <c r="AF251" s="230"/>
      <c r="AG251" s="890"/>
      <c r="AJ251" s="890"/>
      <c r="AN251" s="223"/>
      <c r="AO251" s="952"/>
      <c r="AP251" s="1066"/>
      <c r="AQ251" s="972"/>
      <c r="AR251" s="1917"/>
      <c r="AS251" s="222"/>
      <c r="AZ251" s="889"/>
      <c r="BC251" s="890"/>
      <c r="BD251" s="952"/>
      <c r="BE251" s="75"/>
      <c r="BF251" s="572"/>
      <c r="BG251" s="983"/>
      <c r="BH251" s="222"/>
      <c r="BL251" s="889"/>
      <c r="BO251" s="223"/>
    </row>
    <row r="252" spans="1:67" s="74" customFormat="1">
      <c r="A252" s="15"/>
      <c r="B252" s="15"/>
      <c r="C252" s="15"/>
      <c r="D252" s="15"/>
      <c r="E252" s="6"/>
      <c r="F252" s="6"/>
      <c r="G252" s="6"/>
      <c r="K252" s="223"/>
      <c r="M252" s="889"/>
      <c r="P252" s="890"/>
      <c r="T252" s="889"/>
      <c r="X252" s="15"/>
      <c r="Y252" s="1935"/>
      <c r="Z252" s="1086"/>
      <c r="AA252" s="230"/>
      <c r="AB252" s="230"/>
      <c r="AC252" s="1936"/>
      <c r="AD252" s="230"/>
      <c r="AE252" s="230"/>
      <c r="AF252" s="230"/>
      <c r="AG252" s="890"/>
      <c r="AJ252" s="890"/>
      <c r="AN252" s="223"/>
      <c r="AO252" s="952"/>
      <c r="AP252" s="1066"/>
      <c r="AQ252" s="972"/>
      <c r="AR252" s="1917"/>
      <c r="AS252" s="222"/>
      <c r="AZ252" s="889"/>
      <c r="BC252" s="890"/>
      <c r="BD252" s="952"/>
      <c r="BE252" s="75"/>
      <c r="BF252" s="572"/>
      <c r="BG252" s="983"/>
      <c r="BH252" s="222"/>
      <c r="BL252" s="889"/>
      <c r="BO252" s="223"/>
    </row>
    <row r="253" spans="1:67" s="74" customFormat="1">
      <c r="A253" s="15"/>
      <c r="B253" s="15"/>
      <c r="C253" s="15"/>
      <c r="D253" s="15"/>
      <c r="E253" s="6"/>
      <c r="F253" s="6"/>
      <c r="G253" s="6"/>
      <c r="K253" s="223"/>
      <c r="M253" s="889"/>
      <c r="P253" s="890"/>
      <c r="T253" s="889"/>
      <c r="X253" s="15"/>
      <c r="Y253" s="1935"/>
      <c r="Z253" s="1086"/>
      <c r="AA253" s="230"/>
      <c r="AB253" s="230"/>
      <c r="AC253" s="1936"/>
      <c r="AD253" s="230"/>
      <c r="AE253" s="230"/>
      <c r="AF253" s="230"/>
      <c r="AG253" s="890"/>
      <c r="AJ253" s="890"/>
      <c r="AN253" s="223"/>
      <c r="AO253" s="952"/>
      <c r="AP253" s="1066"/>
      <c r="AQ253" s="972"/>
      <c r="AR253" s="1917"/>
      <c r="AS253" s="222"/>
      <c r="AZ253" s="889"/>
      <c r="BC253" s="890"/>
      <c r="BD253" s="952"/>
      <c r="BE253" s="75"/>
      <c r="BF253" s="572"/>
      <c r="BG253" s="983"/>
      <c r="BH253" s="222"/>
      <c r="BL253" s="889"/>
      <c r="BO253" s="223"/>
    </row>
    <row r="254" spans="1:67" s="74" customFormat="1">
      <c r="A254" s="15"/>
      <c r="B254" s="15"/>
      <c r="C254" s="15"/>
      <c r="D254" s="15"/>
      <c r="E254" s="6"/>
      <c r="F254" s="6"/>
      <c r="G254" s="6"/>
      <c r="K254" s="223"/>
      <c r="M254" s="889"/>
      <c r="P254" s="890"/>
      <c r="T254" s="889"/>
      <c r="X254" s="15"/>
      <c r="Y254" s="1935"/>
      <c r="Z254" s="1086"/>
      <c r="AA254" s="230"/>
      <c r="AB254" s="230"/>
      <c r="AC254" s="1936"/>
      <c r="AD254" s="230"/>
      <c r="AE254" s="230"/>
      <c r="AF254" s="230"/>
      <c r="AG254" s="890"/>
      <c r="AJ254" s="890"/>
      <c r="AN254" s="223"/>
      <c r="AO254" s="952"/>
      <c r="AP254" s="1066"/>
      <c r="AQ254" s="972"/>
      <c r="AR254" s="1917"/>
      <c r="AS254" s="222"/>
      <c r="AZ254" s="889"/>
      <c r="BC254" s="890"/>
      <c r="BD254" s="952"/>
      <c r="BE254" s="75"/>
      <c r="BF254" s="572"/>
      <c r="BG254" s="983"/>
      <c r="BH254" s="222"/>
      <c r="BL254" s="889"/>
      <c r="BO254" s="223"/>
    </row>
    <row r="255" spans="1:67" s="74" customFormat="1">
      <c r="A255" s="15"/>
      <c r="B255" s="15"/>
      <c r="C255" s="15"/>
      <c r="D255" s="15"/>
      <c r="E255" s="6"/>
      <c r="F255" s="6"/>
      <c r="G255" s="6"/>
      <c r="K255" s="223"/>
      <c r="M255" s="889"/>
      <c r="P255" s="890"/>
      <c r="T255" s="889"/>
      <c r="X255" s="15"/>
      <c r="Y255" s="1935"/>
      <c r="Z255" s="1086"/>
      <c r="AA255" s="230"/>
      <c r="AB255" s="230"/>
      <c r="AC255" s="1936"/>
      <c r="AD255" s="230"/>
      <c r="AE255" s="230"/>
      <c r="AF255" s="230"/>
      <c r="AG255" s="890"/>
      <c r="AJ255" s="890"/>
      <c r="AN255" s="223"/>
      <c r="AO255" s="952"/>
      <c r="AP255" s="1066"/>
      <c r="AQ255" s="972"/>
      <c r="AR255" s="1917"/>
      <c r="AS255" s="222"/>
      <c r="AZ255" s="889"/>
      <c r="BC255" s="890"/>
      <c r="BD255" s="952"/>
      <c r="BE255" s="75"/>
      <c r="BF255" s="572"/>
      <c r="BG255" s="983"/>
      <c r="BH255" s="222"/>
      <c r="BL255" s="889"/>
      <c r="BO255" s="223"/>
    </row>
    <row r="256" spans="1:67" s="74" customFormat="1">
      <c r="A256" s="15"/>
      <c r="B256" s="15"/>
      <c r="C256" s="15"/>
      <c r="D256" s="15"/>
      <c r="E256" s="6"/>
      <c r="F256" s="6"/>
      <c r="G256" s="6"/>
      <c r="K256" s="223"/>
      <c r="M256" s="889"/>
      <c r="P256" s="890"/>
      <c r="T256" s="889"/>
      <c r="X256" s="15"/>
      <c r="Y256" s="1935"/>
      <c r="Z256" s="1086"/>
      <c r="AA256" s="230"/>
      <c r="AB256" s="230"/>
      <c r="AC256" s="1936"/>
      <c r="AD256" s="230"/>
      <c r="AE256" s="230"/>
      <c r="AF256" s="230"/>
      <c r="AG256" s="890"/>
      <c r="AJ256" s="890"/>
      <c r="AN256" s="223"/>
      <c r="AO256" s="952"/>
      <c r="AP256" s="1066"/>
      <c r="AQ256" s="972"/>
      <c r="AR256" s="1917"/>
      <c r="AS256" s="222"/>
      <c r="AZ256" s="889"/>
      <c r="BC256" s="890"/>
      <c r="BD256" s="952"/>
      <c r="BE256" s="75"/>
      <c r="BF256" s="572"/>
      <c r="BG256" s="983"/>
      <c r="BH256" s="222"/>
      <c r="BL256" s="889"/>
      <c r="BO256" s="223"/>
    </row>
    <row r="257" spans="1:67" s="74" customFormat="1">
      <c r="A257" s="15"/>
      <c r="B257" s="15"/>
      <c r="C257" s="15"/>
      <c r="D257" s="15"/>
      <c r="E257" s="6"/>
      <c r="F257" s="6"/>
      <c r="G257" s="6"/>
      <c r="K257" s="223"/>
      <c r="M257" s="889"/>
      <c r="P257" s="890"/>
      <c r="T257" s="889"/>
      <c r="X257" s="15"/>
      <c r="Y257" s="1935"/>
      <c r="Z257" s="1086"/>
      <c r="AA257" s="230"/>
      <c r="AB257" s="230"/>
      <c r="AC257" s="1936"/>
      <c r="AD257" s="230"/>
      <c r="AE257" s="230"/>
      <c r="AF257" s="230"/>
      <c r="AG257" s="890"/>
      <c r="AJ257" s="890"/>
      <c r="AN257" s="223"/>
      <c r="AO257" s="952"/>
      <c r="AP257" s="1066"/>
      <c r="AQ257" s="972"/>
      <c r="AR257" s="1917"/>
      <c r="AS257" s="222"/>
      <c r="AZ257" s="889"/>
      <c r="BC257" s="890"/>
      <c r="BD257" s="952"/>
      <c r="BE257" s="75"/>
      <c r="BF257" s="572"/>
      <c r="BG257" s="983"/>
      <c r="BH257" s="222"/>
      <c r="BL257" s="889"/>
      <c r="BO257" s="223"/>
    </row>
    <row r="258" spans="1:67" s="74" customFormat="1">
      <c r="A258" s="15"/>
      <c r="B258" s="15"/>
      <c r="C258" s="15"/>
      <c r="D258" s="15"/>
      <c r="E258" s="6"/>
      <c r="F258" s="6"/>
      <c r="G258" s="6"/>
      <c r="K258" s="223"/>
      <c r="M258" s="889"/>
      <c r="P258" s="890"/>
      <c r="T258" s="889"/>
      <c r="X258" s="15"/>
      <c r="Y258" s="1935"/>
      <c r="Z258" s="1086"/>
      <c r="AA258" s="230"/>
      <c r="AB258" s="230"/>
      <c r="AC258" s="1936"/>
      <c r="AD258" s="230"/>
      <c r="AE258" s="230"/>
      <c r="AF258" s="230"/>
      <c r="AG258" s="890"/>
      <c r="AJ258" s="890"/>
      <c r="AN258" s="223"/>
      <c r="AO258" s="952"/>
      <c r="AP258" s="1066"/>
      <c r="AQ258" s="972"/>
      <c r="AR258" s="1917"/>
      <c r="AS258" s="222"/>
      <c r="AZ258" s="889"/>
      <c r="BC258" s="890"/>
      <c r="BD258" s="952"/>
      <c r="BE258" s="75"/>
      <c r="BF258" s="572"/>
      <c r="BG258" s="983"/>
      <c r="BH258" s="222"/>
      <c r="BL258" s="889"/>
      <c r="BO258" s="223"/>
    </row>
    <row r="259" spans="1:67" s="74" customFormat="1">
      <c r="A259" s="15"/>
      <c r="B259" s="15"/>
      <c r="C259" s="15"/>
      <c r="D259" s="15"/>
      <c r="E259" s="6"/>
      <c r="F259" s="6"/>
      <c r="G259" s="6"/>
      <c r="K259" s="223"/>
      <c r="M259" s="889"/>
      <c r="P259" s="890"/>
      <c r="T259" s="889"/>
      <c r="X259" s="15"/>
      <c r="Y259" s="1935"/>
      <c r="Z259" s="1086"/>
      <c r="AA259" s="230"/>
      <c r="AB259" s="230"/>
      <c r="AC259" s="1936"/>
      <c r="AD259" s="230"/>
      <c r="AE259" s="230"/>
      <c r="AF259" s="230"/>
      <c r="AG259" s="890"/>
      <c r="AJ259" s="890"/>
      <c r="AN259" s="223"/>
      <c r="AO259" s="952"/>
      <c r="AP259" s="1066"/>
      <c r="AQ259" s="972"/>
      <c r="AR259" s="1917"/>
      <c r="AS259" s="222"/>
      <c r="AZ259" s="889"/>
      <c r="BC259" s="890"/>
      <c r="BD259" s="952"/>
      <c r="BE259" s="75"/>
      <c r="BF259" s="572"/>
      <c r="BG259" s="983"/>
      <c r="BH259" s="222"/>
      <c r="BL259" s="889"/>
      <c r="BO259" s="223"/>
    </row>
    <row r="260" spans="1:67" s="74" customFormat="1">
      <c r="A260" s="15"/>
      <c r="B260" s="15"/>
      <c r="C260" s="15"/>
      <c r="D260" s="15"/>
      <c r="E260" s="6"/>
      <c r="F260" s="6"/>
      <c r="G260" s="6"/>
      <c r="K260" s="223"/>
      <c r="M260" s="889"/>
      <c r="P260" s="890"/>
      <c r="T260" s="889"/>
      <c r="X260" s="15"/>
      <c r="Y260" s="1935"/>
      <c r="Z260" s="1086"/>
      <c r="AA260" s="230"/>
      <c r="AB260" s="230"/>
      <c r="AC260" s="1936"/>
      <c r="AD260" s="230"/>
      <c r="AE260" s="230"/>
      <c r="AF260" s="230"/>
      <c r="AG260" s="890"/>
      <c r="AJ260" s="890"/>
      <c r="AN260" s="223"/>
      <c r="AO260" s="952"/>
      <c r="AP260" s="1066"/>
      <c r="AQ260" s="972"/>
      <c r="AR260" s="1917"/>
      <c r="AS260" s="222"/>
      <c r="AZ260" s="889"/>
      <c r="BC260" s="890"/>
      <c r="BD260" s="952"/>
      <c r="BE260" s="75"/>
      <c r="BF260" s="572"/>
      <c r="BG260" s="983"/>
      <c r="BH260" s="222"/>
      <c r="BL260" s="889"/>
      <c r="BO260" s="223"/>
    </row>
    <row r="261" spans="1:67" s="74" customFormat="1">
      <c r="A261" s="15"/>
      <c r="B261" s="15"/>
      <c r="C261" s="15"/>
      <c r="D261" s="15"/>
      <c r="E261" s="6"/>
      <c r="F261" s="6"/>
      <c r="G261" s="6"/>
      <c r="K261" s="223"/>
      <c r="M261" s="889"/>
      <c r="P261" s="890"/>
      <c r="T261" s="889"/>
      <c r="X261" s="15"/>
      <c r="Y261" s="1935"/>
      <c r="Z261" s="1086"/>
      <c r="AA261" s="230"/>
      <c r="AB261" s="230"/>
      <c r="AC261" s="1936"/>
      <c r="AD261" s="230"/>
      <c r="AE261" s="230"/>
      <c r="AF261" s="230"/>
      <c r="AG261" s="890"/>
      <c r="AJ261" s="890"/>
      <c r="AN261" s="223"/>
      <c r="AO261" s="952"/>
      <c r="AP261" s="1066"/>
      <c r="AQ261" s="972"/>
      <c r="AR261" s="1917"/>
      <c r="AS261" s="222"/>
      <c r="AZ261" s="889"/>
      <c r="BC261" s="890"/>
      <c r="BD261" s="952"/>
      <c r="BE261" s="75"/>
      <c r="BF261" s="572"/>
      <c r="BG261" s="983"/>
      <c r="BH261" s="222"/>
      <c r="BL261" s="889"/>
      <c r="BO261" s="223"/>
    </row>
    <row r="262" spans="1:67" s="74" customFormat="1">
      <c r="A262" s="15"/>
      <c r="B262" s="15"/>
      <c r="C262" s="15"/>
      <c r="D262" s="15"/>
      <c r="E262" s="6"/>
      <c r="F262" s="6"/>
      <c r="G262" s="6"/>
      <c r="K262" s="223"/>
      <c r="M262" s="889"/>
      <c r="P262" s="890"/>
      <c r="T262" s="889"/>
      <c r="X262" s="15"/>
      <c r="Y262" s="1935"/>
      <c r="Z262" s="1086"/>
      <c r="AA262" s="230"/>
      <c r="AB262" s="230"/>
      <c r="AC262" s="1936"/>
      <c r="AD262" s="230"/>
      <c r="AE262" s="230"/>
      <c r="AF262" s="230"/>
      <c r="AG262" s="890"/>
      <c r="AJ262" s="890"/>
      <c r="AN262" s="223"/>
      <c r="AO262" s="952"/>
      <c r="AP262" s="1066"/>
      <c r="AQ262" s="972"/>
      <c r="AR262" s="1917"/>
      <c r="AS262" s="222"/>
      <c r="AZ262" s="889"/>
      <c r="BC262" s="890"/>
      <c r="BD262" s="952"/>
      <c r="BE262" s="75"/>
      <c r="BF262" s="572"/>
      <c r="BG262" s="983"/>
      <c r="BH262" s="222"/>
      <c r="BL262" s="889"/>
      <c r="BO262" s="223"/>
    </row>
    <row r="263" spans="1:67" s="74" customFormat="1">
      <c r="A263" s="15"/>
      <c r="B263" s="15"/>
      <c r="C263" s="15"/>
      <c r="D263" s="15"/>
      <c r="E263" s="6"/>
      <c r="F263" s="6"/>
      <c r="G263" s="6"/>
      <c r="K263" s="223"/>
      <c r="M263" s="889"/>
      <c r="P263" s="890"/>
      <c r="T263" s="889"/>
      <c r="X263" s="15"/>
      <c r="Y263" s="1935"/>
      <c r="Z263" s="1086"/>
      <c r="AA263" s="230"/>
      <c r="AB263" s="230"/>
      <c r="AC263" s="1936"/>
      <c r="AD263" s="230"/>
      <c r="AE263" s="230"/>
      <c r="AF263" s="230"/>
      <c r="AG263" s="890"/>
      <c r="AJ263" s="890"/>
      <c r="AN263" s="223"/>
      <c r="AO263" s="952"/>
      <c r="AP263" s="1066"/>
      <c r="AQ263" s="972"/>
      <c r="AR263" s="1917"/>
      <c r="AS263" s="222"/>
      <c r="AZ263" s="889"/>
      <c r="BC263" s="890"/>
      <c r="BD263" s="952"/>
      <c r="BE263" s="75"/>
      <c r="BF263" s="572"/>
      <c r="BG263" s="983"/>
      <c r="BH263" s="222"/>
      <c r="BL263" s="889"/>
      <c r="BO263" s="223"/>
    </row>
    <row r="264" spans="1:67" s="74" customFormat="1">
      <c r="A264" s="15"/>
      <c r="B264" s="15"/>
      <c r="C264" s="15"/>
      <c r="D264" s="15"/>
      <c r="E264" s="6"/>
      <c r="F264" s="6"/>
      <c r="G264" s="6"/>
      <c r="K264" s="223"/>
      <c r="M264" s="889"/>
      <c r="P264" s="890"/>
      <c r="T264" s="889"/>
      <c r="X264" s="15"/>
      <c r="Y264" s="1935"/>
      <c r="Z264" s="1086"/>
      <c r="AA264" s="230"/>
      <c r="AB264" s="230"/>
      <c r="AC264" s="1936"/>
      <c r="AD264" s="230"/>
      <c r="AE264" s="230"/>
      <c r="AF264" s="230"/>
      <c r="AG264" s="890"/>
      <c r="AJ264" s="890"/>
      <c r="AN264" s="223"/>
      <c r="AO264" s="952"/>
      <c r="AP264" s="1066"/>
      <c r="AQ264" s="972"/>
      <c r="AR264" s="1917"/>
      <c r="AS264" s="222"/>
      <c r="AZ264" s="889"/>
      <c r="BC264" s="890"/>
      <c r="BD264" s="952"/>
      <c r="BE264" s="75"/>
      <c r="BF264" s="572"/>
      <c r="BG264" s="983"/>
      <c r="BH264" s="222"/>
      <c r="BL264" s="889"/>
      <c r="BO264" s="223"/>
    </row>
    <row r="265" spans="1:67" s="74" customFormat="1">
      <c r="A265" s="15"/>
      <c r="B265" s="15"/>
      <c r="C265" s="15"/>
      <c r="D265" s="15"/>
      <c r="E265" s="6"/>
      <c r="F265" s="6"/>
      <c r="G265" s="6"/>
      <c r="K265" s="223"/>
      <c r="M265" s="889"/>
      <c r="P265" s="890"/>
      <c r="T265" s="889"/>
      <c r="X265" s="15"/>
      <c r="Y265" s="1935"/>
      <c r="Z265" s="1086"/>
      <c r="AA265" s="230"/>
      <c r="AB265" s="230"/>
      <c r="AC265" s="1936"/>
      <c r="AD265" s="230"/>
      <c r="AE265" s="230"/>
      <c r="AF265" s="230"/>
      <c r="AG265" s="890"/>
      <c r="AJ265" s="890"/>
      <c r="AN265" s="223"/>
      <c r="AO265" s="952"/>
      <c r="AP265" s="1066"/>
      <c r="AQ265" s="972"/>
      <c r="AR265" s="1917"/>
      <c r="AS265" s="222"/>
      <c r="AZ265" s="889"/>
      <c r="BC265" s="890"/>
      <c r="BD265" s="952"/>
      <c r="BE265" s="75"/>
      <c r="BF265" s="572"/>
      <c r="BG265" s="983"/>
      <c r="BH265" s="222"/>
      <c r="BL265" s="889"/>
      <c r="BO265" s="223"/>
    </row>
    <row r="266" spans="1:67" s="74" customFormat="1">
      <c r="A266" s="15"/>
      <c r="B266" s="15"/>
      <c r="C266" s="15"/>
      <c r="D266" s="15"/>
      <c r="E266" s="6"/>
      <c r="F266" s="6"/>
      <c r="G266" s="6"/>
      <c r="K266" s="223"/>
      <c r="M266" s="889"/>
      <c r="P266" s="890"/>
      <c r="T266" s="889"/>
      <c r="X266" s="15"/>
      <c r="Y266" s="1935"/>
      <c r="Z266" s="1086"/>
      <c r="AA266" s="230"/>
      <c r="AB266" s="230"/>
      <c r="AC266" s="1936"/>
      <c r="AD266" s="230"/>
      <c r="AE266" s="230"/>
      <c r="AF266" s="230"/>
      <c r="AG266" s="890"/>
      <c r="AJ266" s="890"/>
      <c r="AN266" s="223"/>
      <c r="AO266" s="952"/>
      <c r="AP266" s="1066"/>
      <c r="AQ266" s="972"/>
      <c r="AR266" s="1917"/>
      <c r="AS266" s="222"/>
      <c r="AZ266" s="889"/>
      <c r="BC266" s="890"/>
      <c r="BD266" s="952"/>
      <c r="BE266" s="75"/>
      <c r="BF266" s="572"/>
      <c r="BG266" s="983"/>
      <c r="BH266" s="222"/>
      <c r="BL266" s="889"/>
      <c r="BO266" s="223"/>
    </row>
    <row r="267" spans="1:67" s="74" customFormat="1">
      <c r="A267" s="15"/>
      <c r="B267" s="15"/>
      <c r="C267" s="15"/>
      <c r="D267" s="15"/>
      <c r="E267" s="6"/>
      <c r="F267" s="6"/>
      <c r="G267" s="6"/>
      <c r="K267" s="223"/>
      <c r="M267" s="889"/>
      <c r="P267" s="890"/>
      <c r="T267" s="889"/>
      <c r="X267" s="15"/>
      <c r="Y267" s="1935"/>
      <c r="Z267" s="1086"/>
      <c r="AA267" s="230"/>
      <c r="AB267" s="230"/>
      <c r="AC267" s="1936"/>
      <c r="AD267" s="230"/>
      <c r="AE267" s="230"/>
      <c r="AF267" s="230"/>
      <c r="AG267" s="890"/>
      <c r="AJ267" s="890"/>
      <c r="AN267" s="223"/>
      <c r="AO267" s="952"/>
      <c r="AP267" s="1066"/>
      <c r="AQ267" s="972"/>
      <c r="AR267" s="1917"/>
      <c r="AS267" s="222"/>
      <c r="AZ267" s="889"/>
      <c r="BC267" s="890"/>
      <c r="BD267" s="952"/>
      <c r="BE267" s="75"/>
      <c r="BF267" s="572"/>
      <c r="BG267" s="983"/>
      <c r="BH267" s="222"/>
      <c r="BL267" s="889"/>
      <c r="BO267" s="223"/>
    </row>
    <row r="268" spans="1:67" s="74" customFormat="1">
      <c r="A268" s="15"/>
      <c r="B268" s="15"/>
      <c r="C268" s="15"/>
      <c r="D268" s="15"/>
      <c r="E268" s="6"/>
      <c r="F268" s="6"/>
      <c r="G268" s="6"/>
      <c r="K268" s="223"/>
      <c r="M268" s="889"/>
      <c r="P268" s="890"/>
      <c r="T268" s="889"/>
      <c r="X268" s="15"/>
      <c r="Y268" s="1935"/>
      <c r="Z268" s="1086"/>
      <c r="AA268" s="230"/>
      <c r="AB268" s="230"/>
      <c r="AC268" s="1936"/>
      <c r="AD268" s="230"/>
      <c r="AE268" s="230"/>
      <c r="AF268" s="230"/>
      <c r="AG268" s="890"/>
      <c r="AJ268" s="890"/>
      <c r="AN268" s="223"/>
      <c r="AO268" s="952"/>
      <c r="AP268" s="1066"/>
      <c r="AQ268" s="972"/>
      <c r="AR268" s="1917"/>
      <c r="AS268" s="222"/>
      <c r="AZ268" s="889"/>
      <c r="BC268" s="890"/>
      <c r="BD268" s="952"/>
      <c r="BE268" s="75"/>
      <c r="BF268" s="572"/>
      <c r="BG268" s="983"/>
      <c r="BH268" s="222"/>
      <c r="BL268" s="889"/>
      <c r="BO268" s="223"/>
    </row>
    <row r="269" spans="1:67" s="74" customFormat="1">
      <c r="A269" s="15"/>
      <c r="B269" s="15"/>
      <c r="C269" s="15"/>
      <c r="D269" s="15"/>
      <c r="E269" s="6"/>
      <c r="F269" s="6"/>
      <c r="G269" s="6"/>
      <c r="K269" s="223"/>
      <c r="M269" s="889"/>
      <c r="P269" s="890"/>
      <c r="T269" s="889"/>
      <c r="X269" s="15"/>
      <c r="Y269" s="1935"/>
      <c r="Z269" s="1086"/>
      <c r="AA269" s="230"/>
      <c r="AB269" s="230"/>
      <c r="AC269" s="1936"/>
      <c r="AD269" s="230"/>
      <c r="AE269" s="230"/>
      <c r="AF269" s="230"/>
      <c r="AG269" s="890"/>
      <c r="AJ269" s="890"/>
      <c r="AN269" s="223"/>
      <c r="AO269" s="952"/>
      <c r="AP269" s="1066"/>
      <c r="AQ269" s="972"/>
      <c r="AR269" s="1917"/>
      <c r="AS269" s="222"/>
      <c r="AZ269" s="889"/>
      <c r="BC269" s="890"/>
      <c r="BD269" s="952"/>
      <c r="BE269" s="75"/>
      <c r="BF269" s="572"/>
      <c r="BG269" s="983"/>
      <c r="BH269" s="222"/>
      <c r="BL269" s="889"/>
      <c r="BO269" s="223"/>
    </row>
    <row r="270" spans="1:67" s="74" customFormat="1">
      <c r="A270" s="15"/>
      <c r="B270" s="15"/>
      <c r="C270" s="15"/>
      <c r="D270" s="15"/>
      <c r="E270" s="6"/>
      <c r="F270" s="6"/>
      <c r="G270" s="6"/>
      <c r="K270" s="223"/>
      <c r="M270" s="889"/>
      <c r="P270" s="890"/>
      <c r="T270" s="889"/>
      <c r="X270" s="15"/>
      <c r="Y270" s="1935"/>
      <c r="Z270" s="1086"/>
      <c r="AA270" s="230"/>
      <c r="AB270" s="230"/>
      <c r="AC270" s="1936"/>
      <c r="AD270" s="230"/>
      <c r="AE270" s="230"/>
      <c r="AF270" s="230"/>
      <c r="AG270" s="890"/>
      <c r="AJ270" s="890"/>
      <c r="AN270" s="223"/>
      <c r="AO270" s="952"/>
      <c r="AP270" s="1066"/>
      <c r="AQ270" s="972"/>
      <c r="AR270" s="1917"/>
      <c r="AS270" s="222"/>
      <c r="AZ270" s="889"/>
      <c r="BC270" s="890"/>
      <c r="BD270" s="952"/>
      <c r="BE270" s="75"/>
      <c r="BF270" s="572"/>
      <c r="BG270" s="983"/>
      <c r="BH270" s="222"/>
      <c r="BL270" s="889"/>
      <c r="BO270" s="223"/>
    </row>
    <row r="271" spans="1:67" s="74" customFormat="1">
      <c r="A271" s="15"/>
      <c r="B271" s="15"/>
      <c r="C271" s="15"/>
      <c r="D271" s="15"/>
      <c r="E271" s="6"/>
      <c r="F271" s="6"/>
      <c r="G271" s="6"/>
      <c r="K271" s="223"/>
      <c r="M271" s="889"/>
      <c r="P271" s="890"/>
      <c r="T271" s="889"/>
      <c r="X271" s="15"/>
      <c r="Y271" s="1935"/>
      <c r="Z271" s="1086"/>
      <c r="AA271" s="230"/>
      <c r="AB271" s="230"/>
      <c r="AC271" s="1936"/>
      <c r="AD271" s="230"/>
      <c r="AE271" s="230"/>
      <c r="AF271" s="230"/>
      <c r="AG271" s="890"/>
      <c r="AJ271" s="890"/>
      <c r="AN271" s="223"/>
      <c r="AO271" s="952"/>
      <c r="AP271" s="1066"/>
      <c r="AQ271" s="972"/>
      <c r="AR271" s="1917"/>
      <c r="AS271" s="222"/>
      <c r="AZ271" s="889"/>
      <c r="BC271" s="890"/>
      <c r="BD271" s="952"/>
      <c r="BE271" s="75"/>
      <c r="BF271" s="572"/>
      <c r="BG271" s="983"/>
      <c r="BH271" s="222"/>
      <c r="BL271" s="889"/>
      <c r="BO271" s="223"/>
    </row>
    <row r="272" spans="1:67" s="74" customFormat="1">
      <c r="A272" s="15"/>
      <c r="B272" s="15"/>
      <c r="C272" s="15"/>
      <c r="D272" s="15"/>
      <c r="E272" s="6"/>
      <c r="F272" s="6"/>
      <c r="G272" s="6"/>
      <c r="K272" s="223"/>
      <c r="M272" s="889"/>
      <c r="P272" s="890"/>
      <c r="T272" s="889"/>
      <c r="X272" s="15"/>
      <c r="Y272" s="1935"/>
      <c r="Z272" s="1086"/>
      <c r="AA272" s="230"/>
      <c r="AB272" s="230"/>
      <c r="AC272" s="1936"/>
      <c r="AD272" s="230"/>
      <c r="AE272" s="230"/>
      <c r="AF272" s="230"/>
      <c r="AG272" s="890"/>
      <c r="AJ272" s="890"/>
      <c r="AN272" s="223"/>
      <c r="AO272" s="952"/>
      <c r="AP272" s="1066"/>
      <c r="AQ272" s="972"/>
      <c r="AR272" s="1917"/>
      <c r="AS272" s="222"/>
      <c r="AZ272" s="889"/>
      <c r="BC272" s="890"/>
      <c r="BD272" s="952"/>
      <c r="BE272" s="75"/>
      <c r="BF272" s="572"/>
      <c r="BG272" s="983"/>
      <c r="BH272" s="222"/>
      <c r="BL272" s="889"/>
      <c r="BO272" s="223"/>
    </row>
    <row r="273" spans="1:67" s="74" customFormat="1">
      <c r="A273" s="15"/>
      <c r="B273" s="15"/>
      <c r="C273" s="15"/>
      <c r="D273" s="15"/>
      <c r="E273" s="6"/>
      <c r="F273" s="6"/>
      <c r="G273" s="6"/>
      <c r="K273" s="223"/>
      <c r="M273" s="889"/>
      <c r="P273" s="890"/>
      <c r="T273" s="889"/>
      <c r="X273" s="15"/>
      <c r="Y273" s="1935"/>
      <c r="Z273" s="1086"/>
      <c r="AA273" s="230"/>
      <c r="AB273" s="230"/>
      <c r="AC273" s="1936"/>
      <c r="AD273" s="230"/>
      <c r="AE273" s="230"/>
      <c r="AF273" s="230"/>
      <c r="AG273" s="890"/>
      <c r="AJ273" s="890"/>
      <c r="AN273" s="223"/>
      <c r="AO273" s="952"/>
      <c r="AP273" s="1066"/>
      <c r="AQ273" s="972"/>
      <c r="AR273" s="1917"/>
      <c r="AS273" s="222"/>
      <c r="AZ273" s="889"/>
      <c r="BC273" s="890"/>
      <c r="BD273" s="952"/>
      <c r="BE273" s="75"/>
      <c r="BF273" s="572"/>
      <c r="BG273" s="983"/>
      <c r="BH273" s="222"/>
      <c r="BL273" s="889"/>
      <c r="BO273" s="223"/>
    </row>
    <row r="274" spans="1:67" s="74" customFormat="1">
      <c r="A274" s="15"/>
      <c r="B274" s="15"/>
      <c r="C274" s="15"/>
      <c r="D274" s="15"/>
      <c r="E274" s="6"/>
      <c r="F274" s="6"/>
      <c r="G274" s="6"/>
      <c r="K274" s="223"/>
      <c r="M274" s="889"/>
      <c r="P274" s="890"/>
      <c r="T274" s="889"/>
      <c r="X274" s="15"/>
      <c r="Y274" s="1935"/>
      <c r="Z274" s="1086"/>
      <c r="AA274" s="230"/>
      <c r="AB274" s="230"/>
      <c r="AC274" s="1936"/>
      <c r="AD274" s="230"/>
      <c r="AE274" s="230"/>
      <c r="AF274" s="230"/>
      <c r="AG274" s="890"/>
      <c r="AJ274" s="890"/>
      <c r="AN274" s="223"/>
      <c r="AO274" s="952"/>
      <c r="AP274" s="1066"/>
      <c r="AQ274" s="972"/>
      <c r="AR274" s="1917"/>
      <c r="AS274" s="222"/>
      <c r="AZ274" s="889"/>
      <c r="BC274" s="890"/>
      <c r="BD274" s="952"/>
      <c r="BE274" s="75"/>
      <c r="BF274" s="572"/>
      <c r="BG274" s="983"/>
      <c r="BH274" s="222"/>
      <c r="BL274" s="889"/>
      <c r="BO274" s="223"/>
    </row>
    <row r="275" spans="1:67" s="74" customFormat="1">
      <c r="A275" s="15"/>
      <c r="B275" s="15"/>
      <c r="C275" s="15"/>
      <c r="D275" s="15"/>
      <c r="E275" s="6"/>
      <c r="F275" s="6"/>
      <c r="G275" s="6"/>
      <c r="K275" s="223"/>
      <c r="M275" s="889"/>
      <c r="P275" s="890"/>
      <c r="T275" s="889"/>
      <c r="X275" s="15"/>
      <c r="Y275" s="1935"/>
      <c r="Z275" s="1086"/>
      <c r="AA275" s="230"/>
      <c r="AB275" s="230"/>
      <c r="AC275" s="1936"/>
      <c r="AD275" s="230"/>
      <c r="AE275" s="230"/>
      <c r="AF275" s="230"/>
      <c r="AG275" s="890"/>
      <c r="AJ275" s="890"/>
      <c r="AN275" s="223"/>
      <c r="AO275" s="952"/>
      <c r="AP275" s="1066"/>
      <c r="AQ275" s="972"/>
      <c r="AR275" s="1917"/>
      <c r="AS275" s="222"/>
      <c r="AZ275" s="889"/>
      <c r="BC275" s="890"/>
      <c r="BD275" s="952"/>
      <c r="BE275" s="75"/>
      <c r="BF275" s="572"/>
      <c r="BG275" s="983"/>
      <c r="BH275" s="222"/>
      <c r="BL275" s="889"/>
      <c r="BO275" s="223"/>
    </row>
    <row r="276" spans="1:67" s="74" customFormat="1">
      <c r="A276" s="15"/>
      <c r="B276" s="15"/>
      <c r="C276" s="15"/>
      <c r="D276" s="15"/>
      <c r="E276" s="6"/>
      <c r="F276" s="6"/>
      <c r="G276" s="6"/>
      <c r="K276" s="223"/>
      <c r="M276" s="889"/>
      <c r="P276" s="890"/>
      <c r="T276" s="889"/>
      <c r="X276" s="15"/>
      <c r="Y276" s="1935"/>
      <c r="Z276" s="1086"/>
      <c r="AA276" s="230"/>
      <c r="AB276" s="230"/>
      <c r="AC276" s="1936"/>
      <c r="AD276" s="230"/>
      <c r="AE276" s="230"/>
      <c r="AF276" s="230"/>
      <c r="AG276" s="890"/>
      <c r="AJ276" s="890"/>
      <c r="AN276" s="223"/>
      <c r="AO276" s="952"/>
      <c r="AP276" s="1066"/>
      <c r="AQ276" s="972"/>
      <c r="AR276" s="1917"/>
      <c r="AS276" s="222"/>
      <c r="AZ276" s="889"/>
      <c r="BC276" s="890"/>
      <c r="BD276" s="952"/>
      <c r="BE276" s="75"/>
      <c r="BF276" s="572"/>
      <c r="BG276" s="983"/>
      <c r="BH276" s="222"/>
      <c r="BL276" s="889"/>
      <c r="BO276" s="223"/>
    </row>
    <row r="277" spans="1:67" s="74" customFormat="1">
      <c r="A277" s="15"/>
      <c r="B277" s="15"/>
      <c r="C277" s="15"/>
      <c r="D277" s="15"/>
      <c r="E277" s="6"/>
      <c r="F277" s="6"/>
      <c r="G277" s="6"/>
      <c r="K277" s="223"/>
      <c r="M277" s="889"/>
      <c r="P277" s="890"/>
      <c r="T277" s="889"/>
      <c r="X277" s="15"/>
      <c r="Y277" s="1935"/>
      <c r="Z277" s="1086"/>
      <c r="AA277" s="230"/>
      <c r="AB277" s="230"/>
      <c r="AC277" s="1936"/>
      <c r="AD277" s="230"/>
      <c r="AE277" s="230"/>
      <c r="AF277" s="230"/>
      <c r="AG277" s="890"/>
      <c r="AJ277" s="890"/>
      <c r="AN277" s="223"/>
      <c r="AO277" s="952"/>
      <c r="AP277" s="1066"/>
      <c r="AQ277" s="972"/>
      <c r="AR277" s="1917"/>
      <c r="AS277" s="222"/>
      <c r="AZ277" s="889"/>
      <c r="BC277" s="890"/>
      <c r="BD277" s="952"/>
      <c r="BE277" s="75"/>
      <c r="BF277" s="572"/>
      <c r="BG277" s="983"/>
      <c r="BH277" s="222"/>
      <c r="BL277" s="889"/>
      <c r="BO277" s="223"/>
    </row>
    <row r="278" spans="1:67" s="74" customFormat="1">
      <c r="A278" s="15"/>
      <c r="B278" s="15"/>
      <c r="C278" s="15"/>
      <c r="D278" s="15"/>
      <c r="E278" s="6"/>
      <c r="F278" s="6"/>
      <c r="G278" s="6"/>
      <c r="K278" s="223"/>
      <c r="M278" s="889"/>
      <c r="P278" s="890"/>
      <c r="T278" s="889"/>
      <c r="X278" s="15"/>
      <c r="Y278" s="1935"/>
      <c r="Z278" s="1086"/>
      <c r="AA278" s="230"/>
      <c r="AB278" s="230"/>
      <c r="AC278" s="1936"/>
      <c r="AD278" s="230"/>
      <c r="AE278" s="230"/>
      <c r="AF278" s="230"/>
      <c r="AG278" s="890"/>
      <c r="AJ278" s="890"/>
      <c r="AN278" s="223"/>
      <c r="AO278" s="952"/>
      <c r="AP278" s="1066"/>
      <c r="AQ278" s="972"/>
      <c r="AR278" s="1917"/>
      <c r="AS278" s="222"/>
      <c r="AZ278" s="889"/>
      <c r="BC278" s="890"/>
      <c r="BD278" s="952"/>
      <c r="BE278" s="75"/>
      <c r="BF278" s="572"/>
      <c r="BG278" s="983"/>
      <c r="BH278" s="222"/>
      <c r="BL278" s="889"/>
      <c r="BO278" s="223"/>
    </row>
    <row r="279" spans="1:67" s="74" customFormat="1">
      <c r="A279" s="15"/>
      <c r="B279" s="15"/>
      <c r="C279" s="15"/>
      <c r="D279" s="15"/>
      <c r="E279" s="6"/>
      <c r="F279" s="6"/>
      <c r="G279" s="6"/>
      <c r="K279" s="223"/>
      <c r="M279" s="889"/>
      <c r="P279" s="890"/>
      <c r="T279" s="889"/>
      <c r="X279" s="15"/>
      <c r="Y279" s="1935"/>
      <c r="Z279" s="1086"/>
      <c r="AA279" s="230"/>
      <c r="AB279" s="230"/>
      <c r="AC279" s="1936"/>
      <c r="AD279" s="230"/>
      <c r="AE279" s="230"/>
      <c r="AF279" s="230"/>
      <c r="AG279" s="890"/>
      <c r="AJ279" s="890"/>
      <c r="AN279" s="223"/>
      <c r="AO279" s="952"/>
      <c r="AP279" s="1066"/>
      <c r="AQ279" s="972"/>
      <c r="AR279" s="1917"/>
      <c r="AS279" s="222"/>
      <c r="AZ279" s="889"/>
      <c r="BC279" s="890"/>
      <c r="BD279" s="952"/>
      <c r="BE279" s="75"/>
      <c r="BF279" s="572"/>
      <c r="BG279" s="983"/>
      <c r="BH279" s="222"/>
      <c r="BL279" s="889"/>
      <c r="BO279" s="223"/>
    </row>
    <row r="280" spans="1:67" s="74" customFormat="1">
      <c r="A280" s="15"/>
      <c r="B280" s="15"/>
      <c r="C280" s="15"/>
      <c r="D280" s="15"/>
      <c r="E280" s="6"/>
      <c r="F280" s="6"/>
      <c r="G280" s="6"/>
      <c r="K280" s="223"/>
      <c r="M280" s="889"/>
      <c r="P280" s="890"/>
      <c r="T280" s="889"/>
      <c r="X280" s="15"/>
      <c r="Y280" s="1935"/>
      <c r="Z280" s="1086"/>
      <c r="AA280" s="230"/>
      <c r="AB280" s="230"/>
      <c r="AC280" s="1936"/>
      <c r="AD280" s="230"/>
      <c r="AE280" s="230"/>
      <c r="AF280" s="230"/>
      <c r="AG280" s="890"/>
      <c r="AJ280" s="890"/>
      <c r="AN280" s="223"/>
      <c r="AO280" s="952"/>
      <c r="AP280" s="1066"/>
      <c r="AQ280" s="972"/>
      <c r="AR280" s="1917"/>
      <c r="AS280" s="222"/>
      <c r="AZ280" s="889"/>
      <c r="BC280" s="890"/>
      <c r="BD280" s="952"/>
      <c r="BE280" s="75"/>
      <c r="BF280" s="572"/>
      <c r="BG280" s="983"/>
      <c r="BH280" s="222"/>
      <c r="BL280" s="889"/>
      <c r="BO280" s="223"/>
    </row>
    <row r="281" spans="1:67" s="74" customFormat="1">
      <c r="A281" s="15"/>
      <c r="B281" s="15"/>
      <c r="C281" s="15"/>
      <c r="D281" s="15"/>
      <c r="E281" s="6"/>
      <c r="F281" s="6"/>
      <c r="G281" s="6"/>
      <c r="K281" s="223"/>
      <c r="M281" s="889"/>
      <c r="P281" s="890"/>
      <c r="T281" s="889"/>
      <c r="X281" s="15"/>
      <c r="Y281" s="1935"/>
      <c r="Z281" s="1086"/>
      <c r="AA281" s="230"/>
      <c r="AB281" s="230"/>
      <c r="AC281" s="1936"/>
      <c r="AD281" s="230"/>
      <c r="AE281" s="230"/>
      <c r="AF281" s="230"/>
      <c r="AG281" s="890"/>
      <c r="AJ281" s="890"/>
      <c r="AN281" s="223"/>
      <c r="AO281" s="952"/>
      <c r="AP281" s="1066"/>
      <c r="AQ281" s="972"/>
      <c r="AR281" s="1917"/>
      <c r="AS281" s="222"/>
      <c r="AZ281" s="889"/>
      <c r="BC281" s="890"/>
      <c r="BD281" s="952"/>
      <c r="BE281" s="75"/>
      <c r="BF281" s="572"/>
      <c r="BG281" s="983"/>
      <c r="BH281" s="222"/>
      <c r="BL281" s="889"/>
      <c r="BO281" s="223"/>
    </row>
    <row r="282" spans="1:67" s="74" customFormat="1">
      <c r="A282" s="15"/>
      <c r="B282" s="15"/>
      <c r="C282" s="15"/>
      <c r="D282" s="15"/>
      <c r="E282" s="6"/>
      <c r="F282" s="6"/>
      <c r="G282" s="6"/>
      <c r="K282" s="223"/>
      <c r="M282" s="889"/>
      <c r="P282" s="890"/>
      <c r="T282" s="889"/>
      <c r="X282" s="15"/>
      <c r="Y282" s="1935"/>
      <c r="Z282" s="1086"/>
      <c r="AA282" s="230"/>
      <c r="AB282" s="230"/>
      <c r="AC282" s="1936"/>
      <c r="AD282" s="230"/>
      <c r="AE282" s="230"/>
      <c r="AF282" s="230"/>
      <c r="AG282" s="890"/>
      <c r="AJ282" s="890"/>
      <c r="AN282" s="223"/>
      <c r="AO282" s="952"/>
      <c r="AP282" s="1066"/>
      <c r="AQ282" s="972"/>
      <c r="AR282" s="1917"/>
      <c r="AS282" s="222"/>
      <c r="AZ282" s="889"/>
      <c r="BC282" s="890"/>
      <c r="BD282" s="952"/>
      <c r="BE282" s="75"/>
      <c r="BF282" s="572"/>
      <c r="BG282" s="983"/>
      <c r="BH282" s="222"/>
      <c r="BL282" s="889"/>
      <c r="BO282" s="223"/>
    </row>
    <row r="283" spans="1:67" s="74" customFormat="1">
      <c r="A283" s="15"/>
      <c r="B283" s="15"/>
      <c r="C283" s="15"/>
      <c r="D283" s="15"/>
      <c r="E283" s="6"/>
      <c r="F283" s="6"/>
      <c r="G283" s="6"/>
      <c r="K283" s="223"/>
      <c r="M283" s="889"/>
      <c r="P283" s="890"/>
      <c r="T283" s="889"/>
      <c r="X283" s="15"/>
      <c r="Y283" s="1935"/>
      <c r="Z283" s="1086"/>
      <c r="AA283" s="230"/>
      <c r="AB283" s="230"/>
      <c r="AC283" s="1936"/>
      <c r="AD283" s="230"/>
      <c r="AE283" s="230"/>
      <c r="AF283" s="230"/>
      <c r="AG283" s="890"/>
      <c r="AJ283" s="890"/>
      <c r="AN283" s="223"/>
      <c r="AO283" s="952"/>
      <c r="AP283" s="1066"/>
      <c r="AQ283" s="972"/>
      <c r="AR283" s="1917"/>
      <c r="AS283" s="222"/>
      <c r="AZ283" s="889"/>
      <c r="BC283" s="890"/>
      <c r="BD283" s="952"/>
      <c r="BE283" s="75"/>
      <c r="BF283" s="572"/>
      <c r="BG283" s="983"/>
      <c r="BH283" s="222"/>
      <c r="BL283" s="889"/>
      <c r="BO283" s="223"/>
    </row>
    <row r="284" spans="1:67" s="74" customFormat="1">
      <c r="A284" s="15"/>
      <c r="B284" s="15"/>
      <c r="C284" s="15"/>
      <c r="D284" s="15"/>
      <c r="E284" s="6"/>
      <c r="F284" s="6"/>
      <c r="G284" s="6"/>
      <c r="K284" s="223"/>
      <c r="M284" s="889"/>
      <c r="P284" s="890"/>
      <c r="T284" s="889"/>
      <c r="X284" s="15"/>
      <c r="Y284" s="1935"/>
      <c r="Z284" s="1086"/>
      <c r="AA284" s="230"/>
      <c r="AB284" s="230"/>
      <c r="AC284" s="1936"/>
      <c r="AD284" s="230"/>
      <c r="AE284" s="230"/>
      <c r="AF284" s="230"/>
      <c r="AG284" s="890"/>
      <c r="AJ284" s="890"/>
      <c r="AN284" s="223"/>
      <c r="AO284" s="952"/>
      <c r="AP284" s="1066"/>
      <c r="AQ284" s="972"/>
      <c r="AR284" s="1917"/>
      <c r="AS284" s="222"/>
      <c r="AZ284" s="889"/>
      <c r="BC284" s="890"/>
      <c r="BD284" s="952"/>
      <c r="BE284" s="75"/>
      <c r="BF284" s="572"/>
      <c r="BG284" s="983"/>
      <c r="BH284" s="222"/>
      <c r="BL284" s="889"/>
      <c r="BO284" s="223"/>
    </row>
    <row r="285" spans="1:67" s="74" customFormat="1">
      <c r="A285" s="15"/>
      <c r="B285" s="15"/>
      <c r="C285" s="15"/>
      <c r="D285" s="15"/>
      <c r="E285" s="6"/>
      <c r="F285" s="6"/>
      <c r="G285" s="6"/>
      <c r="K285" s="223"/>
      <c r="M285" s="889"/>
      <c r="P285" s="890"/>
      <c r="T285" s="889"/>
      <c r="X285" s="15"/>
      <c r="Y285" s="1935"/>
      <c r="Z285" s="1086"/>
      <c r="AA285" s="230"/>
      <c r="AB285" s="230"/>
      <c r="AC285" s="1936"/>
      <c r="AD285" s="230"/>
      <c r="AE285" s="230"/>
      <c r="AF285" s="230"/>
      <c r="AG285" s="890"/>
      <c r="AJ285" s="890"/>
      <c r="AN285" s="223"/>
      <c r="AO285" s="952"/>
      <c r="AP285" s="1066"/>
      <c r="AQ285" s="972"/>
      <c r="AR285" s="1917"/>
      <c r="AS285" s="222"/>
      <c r="AZ285" s="889"/>
      <c r="BC285" s="890"/>
      <c r="BD285" s="952"/>
      <c r="BE285" s="75"/>
      <c r="BF285" s="572"/>
      <c r="BG285" s="983"/>
      <c r="BH285" s="222"/>
      <c r="BL285" s="889"/>
      <c r="BO285" s="223"/>
    </row>
    <row r="286" spans="1:67" s="74" customFormat="1">
      <c r="A286" s="15"/>
      <c r="B286" s="15"/>
      <c r="C286" s="15"/>
      <c r="D286" s="15"/>
      <c r="E286" s="6"/>
      <c r="F286" s="6"/>
      <c r="G286" s="6"/>
      <c r="K286" s="223"/>
      <c r="M286" s="889"/>
      <c r="P286" s="890"/>
      <c r="T286" s="889"/>
      <c r="X286" s="15"/>
      <c r="Y286" s="1935"/>
      <c r="Z286" s="1086"/>
      <c r="AA286" s="230"/>
      <c r="AB286" s="230"/>
      <c r="AC286" s="1936"/>
      <c r="AD286" s="230"/>
      <c r="AE286" s="230"/>
      <c r="AF286" s="230"/>
      <c r="AG286" s="890"/>
      <c r="AJ286" s="890"/>
      <c r="AN286" s="223"/>
      <c r="AO286" s="952"/>
      <c r="AP286" s="1066"/>
      <c r="AQ286" s="972"/>
      <c r="AR286" s="1917"/>
      <c r="AS286" s="222"/>
      <c r="AZ286" s="889"/>
      <c r="BC286" s="890"/>
      <c r="BD286" s="952"/>
      <c r="BE286" s="75"/>
      <c r="BF286" s="572"/>
      <c r="BG286" s="983"/>
      <c r="BH286" s="222"/>
      <c r="BL286" s="889"/>
      <c r="BO286" s="223"/>
    </row>
    <row r="287" spans="1:67" s="74" customFormat="1">
      <c r="A287" s="15"/>
      <c r="B287" s="15"/>
      <c r="C287" s="15"/>
      <c r="D287" s="15"/>
      <c r="E287" s="6"/>
      <c r="F287" s="6"/>
      <c r="G287" s="6"/>
      <c r="K287" s="223"/>
      <c r="M287" s="889"/>
      <c r="P287" s="890"/>
      <c r="T287" s="889"/>
      <c r="X287" s="15"/>
      <c r="Y287" s="1935"/>
      <c r="Z287" s="1086"/>
      <c r="AA287" s="230"/>
      <c r="AB287" s="230"/>
      <c r="AC287" s="1936"/>
      <c r="AD287" s="230"/>
      <c r="AE287" s="230"/>
      <c r="AF287" s="230"/>
      <c r="AG287" s="890"/>
      <c r="AJ287" s="890"/>
      <c r="AN287" s="223"/>
      <c r="AO287" s="952"/>
      <c r="AP287" s="1066"/>
      <c r="AQ287" s="972"/>
      <c r="AR287" s="1917"/>
      <c r="AS287" s="222"/>
      <c r="AZ287" s="889"/>
      <c r="BC287" s="890"/>
      <c r="BD287" s="952"/>
      <c r="BE287" s="75"/>
      <c r="BF287" s="572"/>
      <c r="BG287" s="983"/>
      <c r="BH287" s="222"/>
      <c r="BL287" s="889"/>
      <c r="BO287" s="223"/>
    </row>
    <row r="288" spans="1:67" s="74" customFormat="1">
      <c r="A288" s="15"/>
      <c r="B288" s="15"/>
      <c r="C288" s="15"/>
      <c r="D288" s="15"/>
      <c r="E288" s="6"/>
      <c r="F288" s="6"/>
      <c r="G288" s="6"/>
      <c r="K288" s="223"/>
      <c r="M288" s="889"/>
      <c r="P288" s="890"/>
      <c r="T288" s="889"/>
      <c r="X288" s="15"/>
      <c r="Y288" s="1935"/>
      <c r="Z288" s="1086"/>
      <c r="AA288" s="230"/>
      <c r="AB288" s="230"/>
      <c r="AC288" s="1936"/>
      <c r="AD288" s="230"/>
      <c r="AE288" s="230"/>
      <c r="AF288" s="230"/>
      <c r="AG288" s="890"/>
      <c r="AJ288" s="890"/>
      <c r="AN288" s="223"/>
      <c r="AO288" s="952"/>
      <c r="AP288" s="1066"/>
      <c r="AQ288" s="972"/>
      <c r="AR288" s="1917"/>
      <c r="AS288" s="222"/>
      <c r="AZ288" s="889"/>
      <c r="BC288" s="890"/>
      <c r="BD288" s="952"/>
      <c r="BE288" s="75"/>
      <c r="BF288" s="572"/>
      <c r="BG288" s="983"/>
      <c r="BH288" s="222"/>
      <c r="BL288" s="889"/>
      <c r="BO288" s="223"/>
    </row>
    <row r="289" spans="1:67" s="74" customFormat="1">
      <c r="A289" s="15"/>
      <c r="B289" s="15"/>
      <c r="C289" s="15"/>
      <c r="D289" s="15"/>
      <c r="E289" s="6"/>
      <c r="F289" s="6"/>
      <c r="G289" s="6"/>
      <c r="K289" s="223"/>
      <c r="M289" s="889"/>
      <c r="P289" s="890"/>
      <c r="T289" s="889"/>
      <c r="X289" s="15"/>
      <c r="Y289" s="1935"/>
      <c r="Z289" s="1086"/>
      <c r="AA289" s="230"/>
      <c r="AB289" s="230"/>
      <c r="AC289" s="1936"/>
      <c r="AD289" s="230"/>
      <c r="AE289" s="230"/>
      <c r="AF289" s="230"/>
      <c r="AG289" s="890"/>
      <c r="AJ289" s="890"/>
      <c r="AN289" s="223"/>
      <c r="AO289" s="952"/>
      <c r="AP289" s="1066"/>
      <c r="AQ289" s="972"/>
      <c r="AR289" s="1917"/>
      <c r="AS289" s="222"/>
      <c r="AZ289" s="889"/>
      <c r="BC289" s="890"/>
      <c r="BD289" s="952"/>
      <c r="BE289" s="75"/>
      <c r="BF289" s="572"/>
      <c r="BG289" s="983"/>
      <c r="BH289" s="222"/>
      <c r="BL289" s="889"/>
      <c r="BO289" s="223"/>
    </row>
    <row r="290" spans="1:67" s="74" customFormat="1">
      <c r="A290" s="15"/>
      <c r="B290" s="15"/>
      <c r="C290" s="15"/>
      <c r="D290" s="15"/>
      <c r="E290" s="6"/>
      <c r="F290" s="6"/>
      <c r="G290" s="6"/>
      <c r="K290" s="223"/>
      <c r="M290" s="889"/>
      <c r="P290" s="890"/>
      <c r="T290" s="889"/>
      <c r="X290" s="15"/>
      <c r="Y290" s="1935"/>
      <c r="Z290" s="1086"/>
      <c r="AA290" s="230"/>
      <c r="AB290" s="230"/>
      <c r="AC290" s="1936"/>
      <c r="AD290" s="230"/>
      <c r="AE290" s="230"/>
      <c r="AF290" s="230"/>
      <c r="AG290" s="890"/>
      <c r="AJ290" s="890"/>
      <c r="AN290" s="223"/>
      <c r="AO290" s="952"/>
      <c r="AP290" s="1066"/>
      <c r="AQ290" s="972"/>
      <c r="AR290" s="1917"/>
      <c r="AS290" s="222"/>
      <c r="AZ290" s="889"/>
      <c r="BC290" s="890"/>
      <c r="BD290" s="952"/>
      <c r="BE290" s="75"/>
      <c r="BF290" s="572"/>
      <c r="BG290" s="983"/>
      <c r="BH290" s="222"/>
      <c r="BL290" s="889"/>
      <c r="BO290" s="223"/>
    </row>
    <row r="291" spans="1:67" s="74" customFormat="1">
      <c r="A291" s="15"/>
      <c r="B291" s="15"/>
      <c r="C291" s="15"/>
      <c r="D291" s="15"/>
      <c r="E291" s="6"/>
      <c r="F291" s="6"/>
      <c r="G291" s="6"/>
      <c r="K291" s="223"/>
      <c r="M291" s="889"/>
      <c r="P291" s="890"/>
      <c r="T291" s="889"/>
      <c r="X291" s="15"/>
      <c r="Y291" s="1935"/>
      <c r="Z291" s="1086"/>
      <c r="AA291" s="230"/>
      <c r="AB291" s="230"/>
      <c r="AC291" s="1936"/>
      <c r="AD291" s="230"/>
      <c r="AE291" s="230"/>
      <c r="AF291" s="230"/>
      <c r="AG291" s="890"/>
      <c r="AJ291" s="890"/>
      <c r="AN291" s="223"/>
      <c r="AO291" s="952"/>
      <c r="AP291" s="1066"/>
      <c r="AQ291" s="972"/>
      <c r="AR291" s="1917"/>
      <c r="AS291" s="222"/>
      <c r="AZ291" s="889"/>
      <c r="BC291" s="890"/>
      <c r="BD291" s="952"/>
      <c r="BE291" s="75"/>
      <c r="BF291" s="572"/>
      <c r="BG291" s="983"/>
      <c r="BH291" s="222"/>
      <c r="BL291" s="889"/>
      <c r="BO291" s="223"/>
    </row>
    <row r="292" spans="1:67" s="74" customFormat="1">
      <c r="A292" s="15"/>
      <c r="B292" s="15"/>
      <c r="C292" s="15"/>
      <c r="D292" s="15"/>
      <c r="E292" s="6"/>
      <c r="F292" s="6"/>
      <c r="G292" s="6"/>
      <c r="K292" s="223"/>
      <c r="M292" s="889"/>
      <c r="P292" s="890"/>
      <c r="T292" s="889"/>
      <c r="X292" s="15"/>
      <c r="Y292" s="1935"/>
      <c r="Z292" s="1086"/>
      <c r="AA292" s="230"/>
      <c r="AB292" s="230"/>
      <c r="AC292" s="1936"/>
      <c r="AD292" s="230"/>
      <c r="AE292" s="230"/>
      <c r="AF292" s="230"/>
      <c r="AG292" s="890"/>
      <c r="AJ292" s="890"/>
      <c r="AN292" s="223"/>
      <c r="AO292" s="952"/>
      <c r="AP292" s="1066"/>
      <c r="AQ292" s="972"/>
      <c r="AR292" s="1917"/>
      <c r="AS292" s="222"/>
      <c r="AZ292" s="889"/>
      <c r="BC292" s="890"/>
      <c r="BD292" s="952"/>
      <c r="BE292" s="75"/>
      <c r="BF292" s="572"/>
      <c r="BG292" s="983"/>
      <c r="BH292" s="222"/>
      <c r="BL292" s="889"/>
      <c r="BO292" s="223"/>
    </row>
    <row r="293" spans="1:67" s="74" customFormat="1">
      <c r="A293" s="15"/>
      <c r="B293" s="15"/>
      <c r="C293" s="15"/>
      <c r="D293" s="15"/>
      <c r="E293" s="6"/>
      <c r="F293" s="6"/>
      <c r="G293" s="6"/>
      <c r="K293" s="223"/>
      <c r="M293" s="889"/>
      <c r="P293" s="890"/>
      <c r="T293" s="889"/>
      <c r="X293" s="15"/>
      <c r="Y293" s="1935"/>
      <c r="Z293" s="1086"/>
      <c r="AA293" s="230"/>
      <c r="AB293" s="230"/>
      <c r="AC293" s="1936"/>
      <c r="AD293" s="230"/>
      <c r="AE293" s="230"/>
      <c r="AF293" s="230"/>
      <c r="AG293" s="890"/>
      <c r="AJ293" s="890"/>
      <c r="AN293" s="223"/>
      <c r="AO293" s="952"/>
      <c r="AP293" s="1066"/>
      <c r="AQ293" s="972"/>
      <c r="AR293" s="1917"/>
      <c r="AS293" s="222"/>
      <c r="AZ293" s="889"/>
      <c r="BC293" s="890"/>
      <c r="BD293" s="952"/>
      <c r="BE293" s="75"/>
      <c r="BF293" s="572"/>
      <c r="BG293" s="983"/>
      <c r="BH293" s="222"/>
      <c r="BL293" s="889"/>
      <c r="BO293" s="223"/>
    </row>
    <row r="294" spans="1:67" s="74" customFormat="1">
      <c r="A294" s="15"/>
      <c r="B294" s="15"/>
      <c r="C294" s="15"/>
      <c r="D294" s="15"/>
      <c r="E294" s="6"/>
      <c r="F294" s="6"/>
      <c r="G294" s="6"/>
      <c r="K294" s="223"/>
      <c r="M294" s="889"/>
      <c r="P294" s="890"/>
      <c r="T294" s="889"/>
      <c r="X294" s="15"/>
      <c r="Y294" s="1935"/>
      <c r="Z294" s="1086"/>
      <c r="AA294" s="230"/>
      <c r="AB294" s="230"/>
      <c r="AC294" s="1936"/>
      <c r="AD294" s="230"/>
      <c r="AE294" s="230"/>
      <c r="AF294" s="230"/>
      <c r="AG294" s="890"/>
      <c r="AJ294" s="890"/>
      <c r="AN294" s="223"/>
      <c r="AO294" s="952"/>
      <c r="AP294" s="1066"/>
      <c r="AQ294" s="972"/>
      <c r="AR294" s="1917"/>
      <c r="AS294" s="222"/>
      <c r="AZ294" s="889"/>
      <c r="BC294" s="890"/>
      <c r="BD294" s="952"/>
      <c r="BE294" s="75"/>
      <c r="BF294" s="572"/>
      <c r="BG294" s="983"/>
      <c r="BH294" s="222"/>
      <c r="BL294" s="889"/>
      <c r="BO294" s="223"/>
    </row>
    <row r="295" spans="1:67" s="74" customFormat="1">
      <c r="A295" s="15"/>
      <c r="B295" s="15"/>
      <c r="C295" s="15"/>
      <c r="D295" s="15"/>
      <c r="E295" s="6"/>
      <c r="F295" s="6"/>
      <c r="G295" s="6"/>
      <c r="K295" s="223"/>
      <c r="M295" s="889"/>
      <c r="P295" s="890"/>
      <c r="T295" s="889"/>
      <c r="X295" s="15"/>
      <c r="Y295" s="1935"/>
      <c r="Z295" s="1086"/>
      <c r="AA295" s="230"/>
      <c r="AB295" s="230"/>
      <c r="AC295" s="1936"/>
      <c r="AD295" s="230"/>
      <c r="AE295" s="230"/>
      <c r="AF295" s="230"/>
      <c r="AG295" s="890"/>
      <c r="AJ295" s="890"/>
      <c r="AN295" s="223"/>
      <c r="AO295" s="952"/>
      <c r="AP295" s="1066"/>
      <c r="AQ295" s="972"/>
      <c r="AR295" s="1917"/>
      <c r="AS295" s="222"/>
      <c r="AZ295" s="889"/>
      <c r="BC295" s="890"/>
      <c r="BD295" s="952"/>
      <c r="BE295" s="75"/>
      <c r="BF295" s="572"/>
      <c r="BG295" s="983"/>
      <c r="BH295" s="222"/>
      <c r="BL295" s="889"/>
      <c r="BO295" s="223"/>
    </row>
    <row r="296" spans="1:67" s="74" customFormat="1">
      <c r="A296" s="15"/>
      <c r="B296" s="15"/>
      <c r="C296" s="15"/>
      <c r="D296" s="15"/>
      <c r="E296" s="6"/>
      <c r="F296" s="6"/>
      <c r="G296" s="6"/>
      <c r="K296" s="223"/>
      <c r="M296" s="889"/>
      <c r="P296" s="890"/>
      <c r="T296" s="889"/>
      <c r="X296" s="15"/>
      <c r="Y296" s="1935"/>
      <c r="Z296" s="1086"/>
      <c r="AA296" s="230"/>
      <c r="AB296" s="230"/>
      <c r="AC296" s="1936"/>
      <c r="AD296" s="230"/>
      <c r="AE296" s="230"/>
      <c r="AF296" s="230"/>
      <c r="AG296" s="890"/>
      <c r="AJ296" s="890"/>
      <c r="AN296" s="223"/>
      <c r="AO296" s="952"/>
      <c r="AP296" s="1066"/>
      <c r="AQ296" s="972"/>
      <c r="AR296" s="1917"/>
      <c r="AS296" s="222"/>
      <c r="AZ296" s="889"/>
      <c r="BC296" s="890"/>
      <c r="BD296" s="952"/>
      <c r="BE296" s="75"/>
      <c r="BF296" s="572"/>
      <c r="BG296" s="983"/>
      <c r="BH296" s="222"/>
      <c r="BL296" s="889"/>
      <c r="BO296" s="223"/>
    </row>
    <row r="297" spans="1:67" s="74" customFormat="1">
      <c r="A297" s="15"/>
      <c r="B297" s="15"/>
      <c r="C297" s="15"/>
      <c r="D297" s="15"/>
      <c r="E297" s="6"/>
      <c r="F297" s="6"/>
      <c r="G297" s="6"/>
      <c r="K297" s="223"/>
      <c r="M297" s="889"/>
      <c r="P297" s="890"/>
      <c r="T297" s="889"/>
      <c r="X297" s="15"/>
      <c r="Y297" s="1935"/>
      <c r="Z297" s="1086"/>
      <c r="AA297" s="230"/>
      <c r="AB297" s="230"/>
      <c r="AC297" s="1936"/>
      <c r="AD297" s="230"/>
      <c r="AE297" s="230"/>
      <c r="AF297" s="230"/>
      <c r="AG297" s="890"/>
      <c r="AJ297" s="890"/>
      <c r="AN297" s="223"/>
      <c r="AO297" s="952"/>
      <c r="AP297" s="1066"/>
      <c r="AQ297" s="972"/>
      <c r="AR297" s="1917"/>
      <c r="AS297" s="222"/>
      <c r="AZ297" s="889"/>
      <c r="BC297" s="890"/>
      <c r="BD297" s="952"/>
      <c r="BE297" s="75"/>
      <c r="BF297" s="572"/>
      <c r="BG297" s="983"/>
      <c r="BH297" s="222"/>
      <c r="BL297" s="889"/>
      <c r="BO297" s="223"/>
    </row>
    <row r="298" spans="1:67" s="74" customFormat="1">
      <c r="A298" s="15"/>
      <c r="B298" s="15"/>
      <c r="C298" s="15"/>
      <c r="D298" s="15"/>
      <c r="E298" s="6"/>
      <c r="F298" s="6"/>
      <c r="G298" s="6"/>
      <c r="K298" s="223"/>
      <c r="M298" s="889"/>
      <c r="P298" s="890"/>
      <c r="T298" s="889"/>
      <c r="X298" s="15"/>
      <c r="Y298" s="1935"/>
      <c r="Z298" s="1086"/>
      <c r="AA298" s="230"/>
      <c r="AB298" s="230"/>
      <c r="AC298" s="1936"/>
      <c r="AD298" s="230"/>
      <c r="AE298" s="230"/>
      <c r="AF298" s="230"/>
      <c r="AG298" s="890"/>
      <c r="AJ298" s="890"/>
      <c r="AN298" s="223"/>
      <c r="AO298" s="952"/>
      <c r="AP298" s="1066"/>
      <c r="AQ298" s="972"/>
      <c r="AR298" s="1917"/>
      <c r="AS298" s="222"/>
      <c r="AZ298" s="889"/>
      <c r="BC298" s="890"/>
      <c r="BD298" s="952"/>
      <c r="BE298" s="75"/>
      <c r="BF298" s="572"/>
      <c r="BG298" s="983"/>
      <c r="BH298" s="222"/>
      <c r="BL298" s="889"/>
      <c r="BO298" s="223"/>
    </row>
    <row r="299" spans="1:67" s="74" customFormat="1">
      <c r="A299" s="15"/>
      <c r="B299" s="15"/>
      <c r="C299" s="15"/>
      <c r="D299" s="15"/>
      <c r="E299" s="6"/>
      <c r="F299" s="6"/>
      <c r="G299" s="6"/>
      <c r="K299" s="223"/>
      <c r="M299" s="889"/>
      <c r="P299" s="890"/>
      <c r="T299" s="889"/>
      <c r="X299" s="15"/>
      <c r="Y299" s="1935"/>
      <c r="Z299" s="1086"/>
      <c r="AA299" s="230"/>
      <c r="AB299" s="230"/>
      <c r="AC299" s="1936"/>
      <c r="AD299" s="230"/>
      <c r="AE299" s="230"/>
      <c r="AF299" s="230"/>
      <c r="AG299" s="890"/>
      <c r="AJ299" s="890"/>
      <c r="AN299" s="223"/>
      <c r="AO299" s="952"/>
      <c r="AP299" s="1066"/>
      <c r="AQ299" s="972"/>
      <c r="AR299" s="1917"/>
      <c r="AS299" s="222"/>
      <c r="AZ299" s="889"/>
      <c r="BC299" s="890"/>
      <c r="BD299" s="952"/>
      <c r="BE299" s="75"/>
      <c r="BF299" s="572"/>
      <c r="BG299" s="983"/>
      <c r="BH299" s="222"/>
      <c r="BL299" s="889"/>
      <c r="BO299" s="223"/>
    </row>
    <row r="300" spans="1:67" s="74" customFormat="1">
      <c r="A300" s="15"/>
      <c r="B300" s="15"/>
      <c r="C300" s="15"/>
      <c r="D300" s="15"/>
      <c r="E300" s="6"/>
      <c r="F300" s="6"/>
      <c r="G300" s="6"/>
      <c r="K300" s="223"/>
      <c r="M300" s="889"/>
      <c r="P300" s="890"/>
      <c r="T300" s="889"/>
      <c r="X300" s="15"/>
      <c r="Y300" s="1935"/>
      <c r="Z300" s="1086"/>
      <c r="AA300" s="230"/>
      <c r="AB300" s="230"/>
      <c r="AC300" s="1936"/>
      <c r="AD300" s="230"/>
      <c r="AE300" s="230"/>
      <c r="AF300" s="230"/>
      <c r="AG300" s="890"/>
      <c r="AJ300" s="890"/>
      <c r="AN300" s="223"/>
      <c r="AO300" s="952"/>
      <c r="AP300" s="1066"/>
      <c r="AQ300" s="972"/>
      <c r="AR300" s="1917"/>
      <c r="AS300" s="222"/>
      <c r="AZ300" s="889"/>
      <c r="BC300" s="890"/>
      <c r="BD300" s="952"/>
      <c r="BE300" s="75"/>
      <c r="BF300" s="572"/>
      <c r="BG300" s="983"/>
      <c r="BH300" s="222"/>
      <c r="BL300" s="889"/>
      <c r="BO300" s="223"/>
    </row>
    <row r="301" spans="1:67" s="74" customFormat="1">
      <c r="A301" s="15"/>
      <c r="B301" s="15"/>
      <c r="C301" s="15"/>
      <c r="D301" s="15"/>
      <c r="E301" s="6"/>
      <c r="F301" s="6"/>
      <c r="G301" s="6"/>
      <c r="K301" s="223"/>
      <c r="M301" s="889"/>
      <c r="P301" s="890"/>
      <c r="T301" s="889"/>
      <c r="X301" s="15"/>
      <c r="Y301" s="1935"/>
      <c r="Z301" s="1086"/>
      <c r="AA301" s="230"/>
      <c r="AB301" s="230"/>
      <c r="AC301" s="1936"/>
      <c r="AD301" s="230"/>
      <c r="AE301" s="230"/>
      <c r="AF301" s="230"/>
      <c r="AG301" s="890"/>
      <c r="AJ301" s="890"/>
      <c r="AN301" s="223"/>
      <c r="AO301" s="952"/>
      <c r="AP301" s="1066"/>
      <c r="AQ301" s="972"/>
      <c r="AR301" s="1917"/>
      <c r="AS301" s="222"/>
      <c r="AZ301" s="889"/>
      <c r="BC301" s="890"/>
      <c r="BD301" s="952"/>
      <c r="BE301" s="75"/>
      <c r="BF301" s="572"/>
      <c r="BG301" s="983"/>
      <c r="BH301" s="222"/>
      <c r="BL301" s="889"/>
      <c r="BO301" s="223"/>
    </row>
    <row r="302" spans="1:67" s="74" customFormat="1">
      <c r="A302" s="15"/>
      <c r="B302" s="15"/>
      <c r="C302" s="15"/>
      <c r="D302" s="15"/>
      <c r="E302" s="6"/>
      <c r="F302" s="6"/>
      <c r="G302" s="6"/>
      <c r="K302" s="223"/>
      <c r="M302" s="889"/>
      <c r="P302" s="890"/>
      <c r="T302" s="889"/>
      <c r="X302" s="15"/>
      <c r="Y302" s="1935"/>
      <c r="Z302" s="1086"/>
      <c r="AA302" s="230"/>
      <c r="AB302" s="230"/>
      <c r="AC302" s="1936"/>
      <c r="AD302" s="230"/>
      <c r="AE302" s="230"/>
      <c r="AF302" s="230"/>
      <c r="AG302" s="890"/>
      <c r="AJ302" s="890"/>
      <c r="AN302" s="223"/>
      <c r="AO302" s="952"/>
      <c r="AP302" s="1066"/>
      <c r="AQ302" s="972"/>
      <c r="AR302" s="1917"/>
      <c r="AS302" s="222"/>
      <c r="AZ302" s="889"/>
      <c r="BC302" s="890"/>
      <c r="BD302" s="952"/>
      <c r="BE302" s="75"/>
      <c r="BF302" s="572"/>
      <c r="BG302" s="983"/>
      <c r="BH302" s="222"/>
      <c r="BL302" s="889"/>
      <c r="BO302" s="223"/>
    </row>
    <row r="303" spans="1:67" s="74" customFormat="1">
      <c r="A303" s="15"/>
      <c r="B303" s="15"/>
      <c r="C303" s="15"/>
      <c r="D303" s="15"/>
      <c r="E303" s="6"/>
      <c r="F303" s="6"/>
      <c r="G303" s="6"/>
      <c r="K303" s="223"/>
      <c r="M303" s="889"/>
      <c r="P303" s="890"/>
      <c r="T303" s="889"/>
      <c r="X303" s="15"/>
      <c r="Y303" s="1935"/>
      <c r="Z303" s="1086"/>
      <c r="AA303" s="230"/>
      <c r="AB303" s="230"/>
      <c r="AC303" s="1936"/>
      <c r="AD303" s="230"/>
      <c r="AE303" s="230"/>
      <c r="AF303" s="230"/>
      <c r="AG303" s="890"/>
      <c r="AJ303" s="890"/>
      <c r="AN303" s="223"/>
      <c r="AO303" s="952"/>
      <c r="AP303" s="1066"/>
      <c r="AQ303" s="972"/>
      <c r="AR303" s="1917"/>
      <c r="AS303" s="222"/>
      <c r="AZ303" s="889"/>
      <c r="BC303" s="890"/>
      <c r="BD303" s="952"/>
      <c r="BE303" s="75"/>
      <c r="BF303" s="572"/>
      <c r="BG303" s="983"/>
      <c r="BH303" s="222"/>
      <c r="BL303" s="889"/>
      <c r="BO303" s="223"/>
    </row>
    <row r="304" spans="1:67" s="74" customFormat="1">
      <c r="A304" s="15"/>
      <c r="B304" s="15"/>
      <c r="C304" s="15"/>
      <c r="D304" s="15"/>
      <c r="E304" s="6"/>
      <c r="F304" s="6"/>
      <c r="G304" s="6"/>
      <c r="K304" s="223"/>
      <c r="M304" s="889"/>
      <c r="P304" s="890"/>
      <c r="T304" s="889"/>
      <c r="X304" s="15"/>
      <c r="Y304" s="1935"/>
      <c r="Z304" s="1086"/>
      <c r="AA304" s="230"/>
      <c r="AB304" s="230"/>
      <c r="AC304" s="1936"/>
      <c r="AD304" s="230"/>
      <c r="AE304" s="230"/>
      <c r="AF304" s="230"/>
      <c r="AG304" s="890"/>
      <c r="AJ304" s="890"/>
      <c r="AN304" s="223"/>
      <c r="AO304" s="952"/>
      <c r="AP304" s="1066"/>
      <c r="AQ304" s="972"/>
      <c r="AR304" s="1917"/>
      <c r="AS304" s="222"/>
      <c r="AZ304" s="889"/>
      <c r="BC304" s="890"/>
      <c r="BD304" s="952"/>
      <c r="BE304" s="75"/>
      <c r="BF304" s="572"/>
      <c r="BG304" s="983"/>
      <c r="BH304" s="222"/>
      <c r="BL304" s="889"/>
      <c r="BO304" s="223"/>
    </row>
    <row r="305" spans="1:67" s="74" customFormat="1">
      <c r="A305" s="15"/>
      <c r="B305" s="15"/>
      <c r="C305" s="15"/>
      <c r="D305" s="15"/>
      <c r="E305" s="6"/>
      <c r="F305" s="6"/>
      <c r="G305" s="6"/>
      <c r="K305" s="223"/>
      <c r="M305" s="889"/>
      <c r="P305" s="890"/>
      <c r="T305" s="889"/>
      <c r="X305" s="15"/>
      <c r="Y305" s="1935"/>
      <c r="Z305" s="1086"/>
      <c r="AA305" s="230"/>
      <c r="AB305" s="230"/>
      <c r="AC305" s="1936"/>
      <c r="AD305" s="230"/>
      <c r="AE305" s="230"/>
      <c r="AF305" s="230"/>
      <c r="AG305" s="890"/>
      <c r="AJ305" s="890"/>
      <c r="AN305" s="223"/>
      <c r="AO305" s="952"/>
      <c r="AP305" s="1066"/>
      <c r="AQ305" s="972"/>
      <c r="AR305" s="1917"/>
      <c r="AS305" s="222"/>
      <c r="AZ305" s="889"/>
      <c r="BC305" s="890"/>
      <c r="BD305" s="952"/>
      <c r="BE305" s="75"/>
      <c r="BF305" s="572"/>
      <c r="BG305" s="983"/>
      <c r="BH305" s="222"/>
      <c r="BL305" s="889"/>
      <c r="BO305" s="223"/>
    </row>
    <row r="306" spans="1:67" s="74" customFormat="1">
      <c r="A306" s="15"/>
      <c r="B306" s="15"/>
      <c r="C306" s="15"/>
      <c r="D306" s="15"/>
      <c r="E306" s="6"/>
      <c r="F306" s="6"/>
      <c r="G306" s="6"/>
      <c r="K306" s="223"/>
      <c r="M306" s="889"/>
      <c r="P306" s="890"/>
      <c r="T306" s="889"/>
      <c r="X306" s="15"/>
      <c r="Y306" s="1935"/>
      <c r="Z306" s="1086"/>
      <c r="AA306" s="230"/>
      <c r="AB306" s="230"/>
      <c r="AC306" s="1936"/>
      <c r="AD306" s="230"/>
      <c r="AE306" s="230"/>
      <c r="AF306" s="230"/>
      <c r="AG306" s="890"/>
      <c r="AJ306" s="890"/>
      <c r="AN306" s="223"/>
      <c r="AO306" s="952"/>
      <c r="AP306" s="1066"/>
      <c r="AQ306" s="972"/>
      <c r="AR306" s="1917"/>
      <c r="AS306" s="222"/>
      <c r="AZ306" s="889"/>
      <c r="BC306" s="890"/>
      <c r="BD306" s="952"/>
      <c r="BE306" s="75"/>
      <c r="BF306" s="572"/>
      <c r="BG306" s="983"/>
      <c r="BH306" s="222"/>
      <c r="BL306" s="889"/>
      <c r="BO306" s="223"/>
    </row>
    <row r="307" spans="1:67" s="74" customFormat="1">
      <c r="A307" s="15"/>
      <c r="B307" s="15"/>
      <c r="C307" s="15"/>
      <c r="D307" s="15"/>
      <c r="E307" s="6"/>
      <c r="F307" s="6"/>
      <c r="G307" s="6"/>
      <c r="K307" s="223"/>
      <c r="M307" s="889"/>
      <c r="P307" s="890"/>
      <c r="T307" s="889"/>
      <c r="X307" s="15"/>
      <c r="Y307" s="1935"/>
      <c r="Z307" s="1086"/>
      <c r="AA307" s="230"/>
      <c r="AB307" s="230"/>
      <c r="AC307" s="1936"/>
      <c r="AD307" s="230"/>
      <c r="AE307" s="230"/>
      <c r="AF307" s="230"/>
      <c r="AG307" s="890"/>
      <c r="AJ307" s="890"/>
      <c r="AN307" s="223"/>
      <c r="AO307" s="952"/>
      <c r="AP307" s="1066"/>
      <c r="AQ307" s="972"/>
      <c r="AR307" s="1917"/>
      <c r="AS307" s="222"/>
      <c r="AZ307" s="889"/>
      <c r="BC307" s="890"/>
      <c r="BD307" s="952"/>
      <c r="BE307" s="75"/>
      <c r="BF307" s="572"/>
      <c r="BG307" s="983"/>
      <c r="BH307" s="222"/>
      <c r="BL307" s="889"/>
      <c r="BO307" s="223"/>
    </row>
    <row r="308" spans="1:67" s="74" customFormat="1">
      <c r="A308" s="15"/>
      <c r="B308" s="15"/>
      <c r="C308" s="15"/>
      <c r="D308" s="15"/>
      <c r="E308" s="6"/>
      <c r="F308" s="6"/>
      <c r="G308" s="6"/>
      <c r="K308" s="223"/>
      <c r="M308" s="889"/>
      <c r="P308" s="890"/>
      <c r="T308" s="889"/>
      <c r="X308" s="15"/>
      <c r="Y308" s="1935"/>
      <c r="Z308" s="1086"/>
      <c r="AA308" s="230"/>
      <c r="AB308" s="230"/>
      <c r="AC308" s="1936"/>
      <c r="AD308" s="230"/>
      <c r="AE308" s="230"/>
      <c r="AF308" s="230"/>
      <c r="AG308" s="890"/>
      <c r="AJ308" s="890"/>
      <c r="AN308" s="223"/>
      <c r="AO308" s="952"/>
      <c r="AP308" s="1066"/>
      <c r="AQ308" s="972"/>
      <c r="AR308" s="1917"/>
      <c r="AS308" s="222"/>
      <c r="AZ308" s="889"/>
      <c r="BC308" s="890"/>
      <c r="BD308" s="952"/>
      <c r="BE308" s="75"/>
      <c r="BF308" s="572"/>
      <c r="BG308" s="983"/>
      <c r="BH308" s="222"/>
      <c r="BL308" s="889"/>
      <c r="BO308" s="223"/>
    </row>
    <row r="309" spans="1:67" s="74" customFormat="1">
      <c r="A309" s="15"/>
      <c r="B309" s="15"/>
      <c r="C309" s="15"/>
      <c r="D309" s="15"/>
      <c r="E309" s="6"/>
      <c r="F309" s="6"/>
      <c r="G309" s="6"/>
      <c r="K309" s="223"/>
      <c r="M309" s="889"/>
      <c r="P309" s="890"/>
      <c r="T309" s="889"/>
      <c r="X309" s="15"/>
      <c r="Y309" s="1935"/>
      <c r="Z309" s="1086"/>
      <c r="AA309" s="230"/>
      <c r="AB309" s="230"/>
      <c r="AC309" s="1936"/>
      <c r="AD309" s="230"/>
      <c r="AE309" s="230"/>
      <c r="AF309" s="230"/>
      <c r="AG309" s="890"/>
      <c r="AJ309" s="890"/>
      <c r="AN309" s="223"/>
      <c r="AO309" s="952"/>
      <c r="AP309" s="1066"/>
      <c r="AQ309" s="972"/>
      <c r="AR309" s="1917"/>
      <c r="AS309" s="222"/>
      <c r="AZ309" s="889"/>
      <c r="BC309" s="890"/>
      <c r="BD309" s="952"/>
      <c r="BE309" s="75"/>
      <c r="BF309" s="572"/>
      <c r="BG309" s="983"/>
      <c r="BH309" s="222"/>
      <c r="BL309" s="889"/>
      <c r="BO309" s="223"/>
    </row>
    <row r="310" spans="1:67" s="74" customFormat="1">
      <c r="A310" s="15"/>
      <c r="B310" s="15"/>
      <c r="C310" s="15"/>
      <c r="D310" s="15"/>
      <c r="E310" s="6"/>
      <c r="F310" s="6"/>
      <c r="G310" s="6"/>
      <c r="K310" s="223"/>
      <c r="M310" s="889"/>
      <c r="P310" s="890"/>
      <c r="T310" s="889"/>
      <c r="X310" s="15"/>
      <c r="Y310" s="1935"/>
      <c r="Z310" s="1086"/>
      <c r="AA310" s="230"/>
      <c r="AB310" s="230"/>
      <c r="AC310" s="1936"/>
      <c r="AD310" s="230"/>
      <c r="AE310" s="230"/>
      <c r="AF310" s="230"/>
      <c r="AG310" s="890"/>
      <c r="AJ310" s="890"/>
      <c r="AN310" s="223"/>
      <c r="AO310" s="952"/>
      <c r="AP310" s="1066"/>
      <c r="AQ310" s="972"/>
      <c r="AR310" s="1917"/>
      <c r="AS310" s="222"/>
      <c r="AZ310" s="889"/>
      <c r="BC310" s="890"/>
      <c r="BD310" s="952"/>
      <c r="BE310" s="75"/>
      <c r="BF310" s="572"/>
      <c r="BG310" s="983"/>
      <c r="BH310" s="222"/>
      <c r="BL310" s="889"/>
      <c r="BO310" s="223"/>
    </row>
    <row r="311" spans="1:67" s="74" customFormat="1">
      <c r="A311" s="15"/>
      <c r="B311" s="15"/>
      <c r="C311" s="15"/>
      <c r="D311" s="15"/>
      <c r="E311" s="6"/>
      <c r="F311" s="6"/>
      <c r="G311" s="6"/>
      <c r="K311" s="223"/>
      <c r="M311" s="889"/>
      <c r="P311" s="890"/>
      <c r="T311" s="889"/>
      <c r="X311" s="15"/>
      <c r="Y311" s="1935"/>
      <c r="Z311" s="1086"/>
      <c r="AA311" s="230"/>
      <c r="AB311" s="230"/>
      <c r="AC311" s="1936"/>
      <c r="AD311" s="230"/>
      <c r="AE311" s="230"/>
      <c r="AF311" s="230"/>
      <c r="AG311" s="890"/>
      <c r="AJ311" s="890"/>
      <c r="AN311" s="223"/>
      <c r="AO311" s="952"/>
      <c r="AP311" s="1066"/>
      <c r="AQ311" s="972"/>
      <c r="AR311" s="1917"/>
      <c r="AS311" s="222"/>
      <c r="AZ311" s="889"/>
      <c r="BC311" s="890"/>
      <c r="BD311" s="952"/>
      <c r="BE311" s="75"/>
      <c r="BF311" s="572"/>
      <c r="BG311" s="983"/>
      <c r="BH311" s="222"/>
      <c r="BL311" s="889"/>
      <c r="BO311" s="223"/>
    </row>
    <row r="312" spans="1:67" s="74" customFormat="1">
      <c r="A312" s="15"/>
      <c r="B312" s="15"/>
      <c r="C312" s="15"/>
      <c r="D312" s="15"/>
      <c r="E312" s="6"/>
      <c r="F312" s="6"/>
      <c r="G312" s="6"/>
      <c r="K312" s="223"/>
      <c r="M312" s="889"/>
      <c r="P312" s="890"/>
      <c r="T312" s="889"/>
      <c r="X312" s="15"/>
      <c r="Y312" s="1935"/>
      <c r="Z312" s="1086"/>
      <c r="AA312" s="230"/>
      <c r="AB312" s="230"/>
      <c r="AC312" s="1936"/>
      <c r="AD312" s="230"/>
      <c r="AE312" s="230"/>
      <c r="AF312" s="230"/>
      <c r="AG312" s="890"/>
      <c r="AJ312" s="890"/>
      <c r="AN312" s="223"/>
      <c r="AO312" s="952"/>
      <c r="AP312" s="1066"/>
      <c r="AQ312" s="972"/>
      <c r="AR312" s="1917"/>
      <c r="AS312" s="222"/>
      <c r="AZ312" s="889"/>
      <c r="BC312" s="890"/>
      <c r="BD312" s="952"/>
      <c r="BE312" s="75"/>
      <c r="BF312" s="572"/>
      <c r="BG312" s="983"/>
      <c r="BH312" s="222"/>
      <c r="BL312" s="889"/>
      <c r="BO312" s="223"/>
    </row>
    <row r="313" spans="1:67" s="74" customFormat="1">
      <c r="A313" s="15"/>
      <c r="B313" s="15"/>
      <c r="C313" s="15"/>
      <c r="D313" s="15"/>
      <c r="E313" s="6"/>
      <c r="F313" s="6"/>
      <c r="G313" s="6"/>
      <c r="K313" s="223"/>
      <c r="M313" s="889"/>
      <c r="P313" s="890"/>
      <c r="T313" s="889"/>
      <c r="X313" s="15"/>
      <c r="Y313" s="1935"/>
      <c r="Z313" s="1086"/>
      <c r="AA313" s="230"/>
      <c r="AB313" s="230"/>
      <c r="AC313" s="1936"/>
      <c r="AD313" s="230"/>
      <c r="AE313" s="230"/>
      <c r="AF313" s="230"/>
      <c r="AG313" s="890"/>
      <c r="AJ313" s="890"/>
      <c r="AN313" s="223"/>
      <c r="AO313" s="952"/>
      <c r="AP313" s="1066"/>
      <c r="AQ313" s="972"/>
      <c r="AR313" s="1917"/>
      <c r="AS313" s="222"/>
      <c r="AZ313" s="889"/>
      <c r="BC313" s="890"/>
      <c r="BD313" s="952"/>
      <c r="BE313" s="75"/>
      <c r="BF313" s="572"/>
      <c r="BG313" s="983"/>
      <c r="BH313" s="222"/>
      <c r="BL313" s="889"/>
      <c r="BO313" s="223"/>
    </row>
    <row r="314" spans="1:67" s="74" customFormat="1">
      <c r="A314" s="15"/>
      <c r="B314" s="15"/>
      <c r="C314" s="15"/>
      <c r="D314" s="15"/>
      <c r="E314" s="6"/>
      <c r="F314" s="6"/>
      <c r="G314" s="6"/>
      <c r="K314" s="223"/>
      <c r="M314" s="889"/>
      <c r="P314" s="890"/>
      <c r="T314" s="889"/>
      <c r="X314" s="15"/>
      <c r="Y314" s="1935"/>
      <c r="Z314" s="1086"/>
      <c r="AA314" s="230"/>
      <c r="AB314" s="230"/>
      <c r="AC314" s="1936"/>
      <c r="AD314" s="230"/>
      <c r="AE314" s="230"/>
      <c r="AF314" s="230"/>
      <c r="AG314" s="890"/>
      <c r="AJ314" s="890"/>
      <c r="AN314" s="223"/>
      <c r="AO314" s="952"/>
      <c r="AP314" s="1066"/>
      <c r="AQ314" s="972"/>
      <c r="AR314" s="1917"/>
      <c r="AS314" s="222"/>
      <c r="AZ314" s="889"/>
      <c r="BC314" s="890"/>
      <c r="BD314" s="952"/>
      <c r="BE314" s="75"/>
      <c r="BF314" s="572"/>
      <c r="BG314" s="983"/>
      <c r="BH314" s="222"/>
      <c r="BL314" s="889"/>
      <c r="BO314" s="223"/>
    </row>
    <row r="315" spans="1:67" s="74" customFormat="1">
      <c r="A315" s="15"/>
      <c r="B315" s="15"/>
      <c r="C315" s="15"/>
      <c r="D315" s="15"/>
      <c r="E315" s="6"/>
      <c r="F315" s="6"/>
      <c r="G315" s="6"/>
      <c r="K315" s="223"/>
      <c r="M315" s="889"/>
      <c r="P315" s="890"/>
      <c r="T315" s="889"/>
      <c r="X315" s="15"/>
      <c r="Y315" s="1935"/>
      <c r="Z315" s="1086"/>
      <c r="AA315" s="230"/>
      <c r="AB315" s="230"/>
      <c r="AC315" s="1936"/>
      <c r="AD315" s="230"/>
      <c r="AE315" s="230"/>
      <c r="AF315" s="230"/>
      <c r="AG315" s="890"/>
      <c r="AJ315" s="890"/>
      <c r="AN315" s="223"/>
      <c r="AO315" s="952"/>
      <c r="AP315" s="1066"/>
      <c r="AQ315" s="972"/>
      <c r="AR315" s="1917"/>
      <c r="AS315" s="222"/>
      <c r="AZ315" s="889"/>
      <c r="BC315" s="890"/>
      <c r="BD315" s="952"/>
      <c r="BE315" s="75"/>
      <c r="BF315" s="572"/>
      <c r="BG315" s="983"/>
      <c r="BH315" s="222"/>
      <c r="BL315" s="889"/>
      <c r="BO315" s="223"/>
    </row>
    <row r="316" spans="1:67" s="74" customFormat="1">
      <c r="A316" s="15"/>
      <c r="B316" s="15"/>
      <c r="C316" s="15"/>
      <c r="D316" s="15"/>
      <c r="E316" s="6"/>
      <c r="F316" s="6"/>
      <c r="G316" s="6"/>
      <c r="K316" s="223"/>
      <c r="M316" s="889"/>
      <c r="P316" s="890"/>
      <c r="T316" s="889"/>
      <c r="X316" s="15"/>
      <c r="Y316" s="1935"/>
      <c r="Z316" s="1086"/>
      <c r="AA316" s="230"/>
      <c r="AB316" s="230"/>
      <c r="AC316" s="1936"/>
      <c r="AD316" s="230"/>
      <c r="AE316" s="230"/>
      <c r="AF316" s="230"/>
      <c r="AG316" s="890"/>
      <c r="AJ316" s="890"/>
      <c r="AN316" s="223"/>
      <c r="AO316" s="952"/>
      <c r="AP316" s="1066"/>
      <c r="AQ316" s="972"/>
      <c r="AR316" s="1917"/>
      <c r="AS316" s="222"/>
      <c r="AZ316" s="889"/>
      <c r="BC316" s="890"/>
      <c r="BD316" s="952"/>
      <c r="BE316" s="75"/>
      <c r="BF316" s="572"/>
      <c r="BG316" s="983"/>
      <c r="BH316" s="222"/>
      <c r="BL316" s="889"/>
      <c r="BO316" s="223"/>
    </row>
    <row r="317" spans="1:67" s="74" customFormat="1">
      <c r="A317" s="15"/>
      <c r="B317" s="15"/>
      <c r="C317" s="15"/>
      <c r="D317" s="15"/>
      <c r="E317" s="6"/>
      <c r="F317" s="6"/>
      <c r="G317" s="6"/>
      <c r="K317" s="223"/>
      <c r="M317" s="889"/>
      <c r="P317" s="890"/>
      <c r="T317" s="889"/>
      <c r="X317" s="15"/>
      <c r="Y317" s="1935"/>
      <c r="Z317" s="1086"/>
      <c r="AA317" s="230"/>
      <c r="AB317" s="230"/>
      <c r="AC317" s="1936"/>
      <c r="AD317" s="230"/>
      <c r="AE317" s="230"/>
      <c r="AF317" s="230"/>
      <c r="AG317" s="890"/>
      <c r="AJ317" s="890"/>
      <c r="AN317" s="223"/>
      <c r="AO317" s="952"/>
      <c r="AP317" s="1066"/>
      <c r="AQ317" s="972"/>
      <c r="AR317" s="1917"/>
      <c r="AS317" s="222"/>
      <c r="AZ317" s="889"/>
      <c r="BC317" s="890"/>
      <c r="BD317" s="952"/>
      <c r="BE317" s="75"/>
      <c r="BF317" s="572"/>
      <c r="BG317" s="983"/>
      <c r="BH317" s="222"/>
      <c r="BL317" s="889"/>
      <c r="BO317" s="223"/>
    </row>
    <row r="318" spans="1:67" s="74" customFormat="1">
      <c r="A318" s="15"/>
      <c r="B318" s="15"/>
      <c r="C318" s="15"/>
      <c r="D318" s="15"/>
      <c r="E318" s="6"/>
      <c r="F318" s="6"/>
      <c r="G318" s="6"/>
      <c r="K318" s="223"/>
      <c r="M318" s="889"/>
      <c r="P318" s="890"/>
      <c r="T318" s="889"/>
      <c r="X318" s="15"/>
      <c r="Y318" s="1935"/>
      <c r="Z318" s="1086"/>
      <c r="AA318" s="230"/>
      <c r="AB318" s="230"/>
      <c r="AC318" s="1936"/>
      <c r="AD318" s="230"/>
      <c r="AE318" s="230"/>
      <c r="AF318" s="230"/>
      <c r="AG318" s="890"/>
      <c r="AJ318" s="890"/>
      <c r="AN318" s="223"/>
      <c r="AO318" s="952"/>
      <c r="AP318" s="1066"/>
      <c r="AQ318" s="972"/>
      <c r="AR318" s="1917"/>
      <c r="AS318" s="222"/>
      <c r="AZ318" s="889"/>
      <c r="BC318" s="890"/>
      <c r="BD318" s="952"/>
      <c r="BE318" s="75"/>
      <c r="BF318" s="572"/>
      <c r="BG318" s="983"/>
      <c r="BH318" s="222"/>
      <c r="BL318" s="889"/>
      <c r="BO318" s="223"/>
    </row>
    <row r="319" spans="1:67" s="74" customFormat="1">
      <c r="A319" s="15"/>
      <c r="B319" s="15"/>
      <c r="C319" s="15"/>
      <c r="D319" s="15"/>
      <c r="E319" s="6"/>
      <c r="F319" s="6"/>
      <c r="G319" s="6"/>
      <c r="K319" s="223"/>
      <c r="M319" s="889"/>
      <c r="P319" s="890"/>
      <c r="T319" s="889"/>
      <c r="X319" s="15"/>
      <c r="Y319" s="1935"/>
      <c r="Z319" s="1086"/>
      <c r="AA319" s="230"/>
      <c r="AB319" s="230"/>
      <c r="AC319" s="1936"/>
      <c r="AD319" s="230"/>
      <c r="AE319" s="230"/>
      <c r="AF319" s="230"/>
      <c r="AG319" s="890"/>
      <c r="AJ319" s="890"/>
      <c r="AN319" s="223"/>
      <c r="AO319" s="952"/>
      <c r="AP319" s="1066"/>
      <c r="AQ319" s="972"/>
      <c r="AR319" s="1917"/>
      <c r="AS319" s="222"/>
      <c r="AZ319" s="889"/>
      <c r="BC319" s="890"/>
      <c r="BD319" s="952"/>
      <c r="BE319" s="75"/>
      <c r="BF319" s="572"/>
      <c r="BG319" s="983"/>
      <c r="BH319" s="222"/>
      <c r="BL319" s="889"/>
      <c r="BO319" s="223"/>
    </row>
    <row r="320" spans="1:67" s="74" customFormat="1">
      <c r="A320" s="15"/>
      <c r="B320" s="15"/>
      <c r="C320" s="15"/>
      <c r="D320" s="15"/>
      <c r="E320" s="6"/>
      <c r="F320" s="6"/>
      <c r="G320" s="6"/>
      <c r="K320" s="223"/>
      <c r="M320" s="889"/>
      <c r="P320" s="890"/>
      <c r="T320" s="889"/>
      <c r="X320" s="15"/>
      <c r="Y320" s="1935"/>
      <c r="Z320" s="1086"/>
      <c r="AA320" s="230"/>
      <c r="AB320" s="230"/>
      <c r="AC320" s="1936"/>
      <c r="AD320" s="230"/>
      <c r="AE320" s="230"/>
      <c r="AF320" s="230"/>
      <c r="AG320" s="890"/>
      <c r="AJ320" s="890"/>
      <c r="AN320" s="223"/>
      <c r="AO320" s="952"/>
      <c r="AP320" s="1066"/>
      <c r="AQ320" s="972"/>
      <c r="AR320" s="1917"/>
      <c r="AS320" s="222"/>
      <c r="AZ320" s="889"/>
      <c r="BC320" s="890"/>
      <c r="BD320" s="952"/>
      <c r="BE320" s="75"/>
      <c r="BF320" s="572"/>
      <c r="BG320" s="983"/>
      <c r="BH320" s="222"/>
      <c r="BL320" s="889"/>
      <c r="BO320" s="223"/>
    </row>
    <row r="321" spans="1:67" s="74" customFormat="1">
      <c r="A321" s="15"/>
      <c r="B321" s="15"/>
      <c r="C321" s="15"/>
      <c r="D321" s="15"/>
      <c r="E321" s="6"/>
      <c r="F321" s="6"/>
      <c r="G321" s="6"/>
      <c r="K321" s="223"/>
      <c r="M321" s="889"/>
      <c r="P321" s="890"/>
      <c r="T321" s="889"/>
      <c r="X321" s="15"/>
      <c r="Y321" s="1935"/>
      <c r="Z321" s="1086"/>
      <c r="AA321" s="230"/>
      <c r="AB321" s="230"/>
      <c r="AC321" s="1936"/>
      <c r="AD321" s="230"/>
      <c r="AE321" s="230"/>
      <c r="AF321" s="230"/>
      <c r="AG321" s="890"/>
      <c r="AJ321" s="890"/>
      <c r="AN321" s="223"/>
      <c r="AO321" s="952"/>
      <c r="AP321" s="1066"/>
      <c r="AQ321" s="972"/>
      <c r="AR321" s="1917"/>
      <c r="AS321" s="222"/>
      <c r="AZ321" s="889"/>
      <c r="BC321" s="890"/>
      <c r="BD321" s="952"/>
      <c r="BE321" s="75"/>
      <c r="BF321" s="572"/>
      <c r="BG321" s="983"/>
      <c r="BH321" s="222"/>
      <c r="BL321" s="889"/>
      <c r="BO321" s="223"/>
    </row>
    <row r="322" spans="1:67" s="74" customFormat="1">
      <c r="A322" s="15"/>
      <c r="B322" s="15"/>
      <c r="C322" s="15"/>
      <c r="D322" s="15"/>
      <c r="E322" s="6"/>
      <c r="F322" s="6"/>
      <c r="G322" s="6"/>
      <c r="K322" s="223"/>
      <c r="M322" s="889"/>
      <c r="P322" s="890"/>
      <c r="T322" s="889"/>
      <c r="X322" s="15"/>
      <c r="Y322" s="1935"/>
      <c r="Z322" s="1086"/>
      <c r="AA322" s="230"/>
      <c r="AB322" s="230"/>
      <c r="AC322" s="1936"/>
      <c r="AD322" s="230"/>
      <c r="AE322" s="230"/>
      <c r="AF322" s="230"/>
      <c r="AG322" s="890"/>
      <c r="AJ322" s="890"/>
      <c r="AN322" s="223"/>
      <c r="AO322" s="952"/>
      <c r="AP322" s="1066"/>
      <c r="AQ322" s="972"/>
      <c r="AR322" s="1917"/>
      <c r="AS322" s="222"/>
      <c r="AZ322" s="889"/>
      <c r="BC322" s="890"/>
      <c r="BD322" s="952"/>
      <c r="BE322" s="75"/>
      <c r="BF322" s="572"/>
      <c r="BG322" s="983"/>
      <c r="BH322" s="222"/>
      <c r="BL322" s="889"/>
      <c r="BO322" s="223"/>
    </row>
    <row r="323" spans="1:67" s="74" customFormat="1">
      <c r="A323" s="15"/>
      <c r="B323" s="15"/>
      <c r="C323" s="15"/>
      <c r="D323" s="15"/>
      <c r="E323" s="6"/>
      <c r="F323" s="6"/>
      <c r="G323" s="6"/>
      <c r="K323" s="223"/>
      <c r="M323" s="889"/>
      <c r="P323" s="890"/>
      <c r="T323" s="889"/>
      <c r="X323" s="15"/>
      <c r="Y323" s="1935"/>
      <c r="Z323" s="1086"/>
      <c r="AA323" s="230"/>
      <c r="AB323" s="230"/>
      <c r="AC323" s="1936"/>
      <c r="AD323" s="230"/>
      <c r="AE323" s="230"/>
      <c r="AF323" s="230"/>
      <c r="AG323" s="890"/>
      <c r="AJ323" s="890"/>
      <c r="AN323" s="223"/>
      <c r="AO323" s="952"/>
      <c r="AP323" s="1066"/>
      <c r="AQ323" s="972"/>
      <c r="AR323" s="1917"/>
      <c r="AS323" s="222"/>
      <c r="AZ323" s="889"/>
      <c r="BC323" s="890"/>
      <c r="BD323" s="952"/>
      <c r="BE323" s="75"/>
      <c r="BF323" s="572"/>
      <c r="BG323" s="983"/>
      <c r="BH323" s="222"/>
      <c r="BL323" s="889"/>
      <c r="BO323" s="223"/>
    </row>
    <row r="324" spans="1:67" s="74" customFormat="1">
      <c r="A324" s="15"/>
      <c r="B324" s="15"/>
      <c r="C324" s="15"/>
      <c r="D324" s="15"/>
      <c r="E324" s="6"/>
      <c r="F324" s="6"/>
      <c r="G324" s="6"/>
      <c r="K324" s="223"/>
      <c r="M324" s="889"/>
      <c r="P324" s="890"/>
      <c r="T324" s="889"/>
      <c r="X324" s="15"/>
      <c r="Y324" s="1935"/>
      <c r="Z324" s="1086"/>
      <c r="AA324" s="230"/>
      <c r="AB324" s="230"/>
      <c r="AC324" s="1936"/>
      <c r="AD324" s="230"/>
      <c r="AE324" s="230"/>
      <c r="AF324" s="230"/>
      <c r="AG324" s="890"/>
      <c r="AJ324" s="890"/>
      <c r="AN324" s="223"/>
      <c r="AO324" s="952"/>
      <c r="AP324" s="1066"/>
      <c r="AQ324" s="972"/>
      <c r="AR324" s="1917"/>
      <c r="AS324" s="222"/>
      <c r="AZ324" s="889"/>
      <c r="BC324" s="890"/>
      <c r="BD324" s="952"/>
      <c r="BE324" s="75"/>
      <c r="BF324" s="572"/>
      <c r="BG324" s="983"/>
      <c r="BH324" s="222"/>
      <c r="BL324" s="889"/>
      <c r="BO324" s="223"/>
    </row>
    <row r="325" spans="1:67" s="74" customFormat="1">
      <c r="A325" s="15"/>
      <c r="B325" s="15"/>
      <c r="C325" s="15"/>
      <c r="D325" s="15"/>
      <c r="E325" s="6"/>
      <c r="F325" s="6"/>
      <c r="G325" s="6"/>
      <c r="K325" s="223"/>
      <c r="M325" s="889"/>
      <c r="P325" s="890"/>
      <c r="T325" s="889"/>
      <c r="X325" s="15"/>
      <c r="Y325" s="1935"/>
      <c r="Z325" s="1086"/>
      <c r="AA325" s="230"/>
      <c r="AB325" s="230"/>
      <c r="AC325" s="1936"/>
      <c r="AD325" s="230"/>
      <c r="AE325" s="230"/>
      <c r="AF325" s="230"/>
      <c r="AG325" s="890"/>
      <c r="AJ325" s="890"/>
      <c r="AN325" s="223"/>
      <c r="AO325" s="952"/>
      <c r="AP325" s="1066"/>
      <c r="AQ325" s="972"/>
      <c r="AR325" s="1917"/>
      <c r="AS325" s="222"/>
      <c r="AZ325" s="889"/>
      <c r="BC325" s="890"/>
      <c r="BD325" s="952"/>
      <c r="BE325" s="75"/>
      <c r="BF325" s="572"/>
      <c r="BG325" s="983"/>
      <c r="BH325" s="222"/>
      <c r="BL325" s="889"/>
      <c r="BO325" s="223"/>
    </row>
    <row r="326" spans="1:67" s="74" customFormat="1">
      <c r="A326" s="15"/>
      <c r="B326" s="15"/>
      <c r="C326" s="15"/>
      <c r="D326" s="15"/>
      <c r="E326" s="6"/>
      <c r="F326" s="6"/>
      <c r="G326" s="6"/>
      <c r="K326" s="223"/>
      <c r="M326" s="889"/>
      <c r="P326" s="890"/>
      <c r="T326" s="889"/>
      <c r="X326" s="15"/>
      <c r="Y326" s="1935"/>
      <c r="Z326" s="1086"/>
      <c r="AA326" s="230"/>
      <c r="AB326" s="230"/>
      <c r="AC326" s="1936"/>
      <c r="AD326" s="230"/>
      <c r="AE326" s="230"/>
      <c r="AF326" s="230"/>
      <c r="AG326" s="890"/>
      <c r="AJ326" s="890"/>
      <c r="AN326" s="223"/>
      <c r="AO326" s="952"/>
      <c r="AP326" s="1066"/>
      <c r="AQ326" s="972"/>
      <c r="AR326" s="1917"/>
      <c r="AS326" s="222"/>
      <c r="AZ326" s="889"/>
      <c r="BC326" s="890"/>
      <c r="BD326" s="952"/>
      <c r="BE326" s="75"/>
      <c r="BF326" s="572"/>
      <c r="BG326" s="983"/>
      <c r="BH326" s="222"/>
      <c r="BL326" s="889"/>
      <c r="BO326" s="223"/>
    </row>
    <row r="327" spans="1:67" s="74" customFormat="1">
      <c r="A327" s="15"/>
      <c r="B327" s="15"/>
      <c r="C327" s="15"/>
      <c r="D327" s="15"/>
      <c r="E327" s="6"/>
      <c r="F327" s="6"/>
      <c r="G327" s="6"/>
      <c r="K327" s="223"/>
      <c r="M327" s="889"/>
      <c r="P327" s="890"/>
      <c r="T327" s="889"/>
      <c r="X327" s="15"/>
      <c r="Y327" s="1935"/>
      <c r="Z327" s="1086"/>
      <c r="AA327" s="230"/>
      <c r="AB327" s="230"/>
      <c r="AC327" s="1936"/>
      <c r="AD327" s="230"/>
      <c r="AE327" s="230"/>
      <c r="AF327" s="230"/>
      <c r="AG327" s="890"/>
      <c r="AJ327" s="890"/>
      <c r="AN327" s="223"/>
      <c r="AO327" s="952"/>
      <c r="AP327" s="1066"/>
      <c r="AQ327" s="972"/>
      <c r="AR327" s="1917"/>
      <c r="AS327" s="222"/>
      <c r="AZ327" s="889"/>
      <c r="BC327" s="890"/>
      <c r="BD327" s="952"/>
      <c r="BE327" s="75"/>
      <c r="BF327" s="572"/>
      <c r="BG327" s="983"/>
      <c r="BH327" s="222"/>
      <c r="BL327" s="889"/>
      <c r="BO327" s="223"/>
    </row>
    <row r="328" spans="1:67" s="74" customFormat="1">
      <c r="A328" s="15"/>
      <c r="B328" s="15"/>
      <c r="C328" s="15"/>
      <c r="D328" s="15"/>
      <c r="E328" s="6"/>
      <c r="F328" s="6"/>
      <c r="G328" s="6"/>
      <c r="K328" s="223"/>
      <c r="M328" s="889"/>
      <c r="P328" s="890"/>
      <c r="T328" s="889"/>
      <c r="X328" s="15"/>
      <c r="Y328" s="1935"/>
      <c r="Z328" s="1086"/>
      <c r="AA328" s="230"/>
      <c r="AB328" s="230"/>
      <c r="AC328" s="1936"/>
      <c r="AD328" s="230"/>
      <c r="AE328" s="230"/>
      <c r="AF328" s="230"/>
      <c r="AG328" s="890"/>
      <c r="AJ328" s="890"/>
      <c r="AN328" s="223"/>
      <c r="AO328" s="952"/>
      <c r="AP328" s="1066"/>
      <c r="AQ328" s="972"/>
      <c r="AR328" s="1917"/>
      <c r="AS328" s="222"/>
      <c r="AZ328" s="889"/>
      <c r="BC328" s="890"/>
      <c r="BD328" s="952"/>
      <c r="BE328" s="75"/>
      <c r="BF328" s="572"/>
      <c r="BG328" s="983"/>
      <c r="BH328" s="222"/>
      <c r="BL328" s="889"/>
      <c r="BO328" s="223"/>
    </row>
    <row r="329" spans="1:67" s="74" customFormat="1">
      <c r="A329" s="15"/>
      <c r="B329" s="15"/>
      <c r="C329" s="15"/>
      <c r="D329" s="15"/>
      <c r="E329" s="6"/>
      <c r="F329" s="6"/>
      <c r="G329" s="6"/>
      <c r="K329" s="223"/>
      <c r="M329" s="889"/>
      <c r="P329" s="890"/>
      <c r="T329" s="889"/>
      <c r="X329" s="15"/>
      <c r="Y329" s="1935"/>
      <c r="Z329" s="1086"/>
      <c r="AA329" s="230"/>
      <c r="AB329" s="230"/>
      <c r="AC329" s="1936"/>
      <c r="AD329" s="230"/>
      <c r="AE329" s="230"/>
      <c r="AF329" s="230"/>
      <c r="AG329" s="890"/>
      <c r="AJ329" s="890"/>
      <c r="AN329" s="223"/>
      <c r="AO329" s="952"/>
      <c r="AP329" s="1066"/>
      <c r="AQ329" s="972"/>
      <c r="AR329" s="1917"/>
      <c r="AS329" s="222"/>
      <c r="AZ329" s="889"/>
      <c r="BC329" s="890"/>
      <c r="BD329" s="952"/>
      <c r="BE329" s="75"/>
      <c r="BF329" s="572"/>
      <c r="BG329" s="983"/>
      <c r="BH329" s="222"/>
      <c r="BL329" s="889"/>
      <c r="BO329" s="223"/>
    </row>
    <row r="330" spans="1:67" s="74" customFormat="1">
      <c r="A330" s="15"/>
      <c r="B330" s="15"/>
      <c r="C330" s="15"/>
      <c r="D330" s="15"/>
      <c r="E330" s="6"/>
      <c r="F330" s="6"/>
      <c r="G330" s="6"/>
      <c r="K330" s="223"/>
      <c r="M330" s="889"/>
      <c r="P330" s="890"/>
      <c r="T330" s="889"/>
      <c r="X330" s="15"/>
      <c r="Y330" s="1935"/>
      <c r="Z330" s="1086"/>
      <c r="AA330" s="230"/>
      <c r="AB330" s="230"/>
      <c r="AC330" s="1936"/>
      <c r="AD330" s="230"/>
      <c r="AE330" s="230"/>
      <c r="AF330" s="230"/>
      <c r="AG330" s="890"/>
      <c r="AJ330" s="890"/>
      <c r="AN330" s="223"/>
      <c r="AO330" s="952"/>
      <c r="AP330" s="1066"/>
      <c r="AQ330" s="972"/>
      <c r="AR330" s="1917"/>
      <c r="AS330" s="222"/>
      <c r="AZ330" s="889"/>
      <c r="BC330" s="890"/>
      <c r="BD330" s="952"/>
      <c r="BE330" s="75"/>
      <c r="BF330" s="572"/>
      <c r="BG330" s="983"/>
      <c r="BH330" s="222"/>
      <c r="BL330" s="889"/>
      <c r="BO330" s="223"/>
    </row>
    <row r="331" spans="1:67" s="74" customFormat="1">
      <c r="A331" s="15"/>
      <c r="B331" s="15"/>
      <c r="C331" s="15"/>
      <c r="D331" s="15"/>
      <c r="E331" s="6"/>
      <c r="F331" s="6"/>
      <c r="G331" s="6"/>
      <c r="K331" s="223"/>
      <c r="M331" s="889"/>
      <c r="P331" s="890"/>
      <c r="T331" s="889"/>
      <c r="X331" s="15"/>
      <c r="Y331" s="1935"/>
      <c r="Z331" s="1086"/>
      <c r="AA331" s="230"/>
      <c r="AB331" s="230"/>
      <c r="AC331" s="1936"/>
      <c r="AD331" s="230"/>
      <c r="AE331" s="230"/>
      <c r="AF331" s="230"/>
      <c r="AG331" s="890"/>
      <c r="AJ331" s="890"/>
      <c r="AN331" s="223"/>
      <c r="AO331" s="952"/>
      <c r="AP331" s="1066"/>
      <c r="AQ331" s="972"/>
      <c r="AR331" s="1917"/>
      <c r="AS331" s="222"/>
      <c r="AZ331" s="889"/>
      <c r="BC331" s="890"/>
      <c r="BD331" s="952"/>
      <c r="BE331" s="75"/>
      <c r="BF331" s="572"/>
      <c r="BG331" s="983"/>
      <c r="BH331" s="222"/>
      <c r="BL331" s="889"/>
      <c r="BO331" s="223"/>
    </row>
    <row r="332" spans="1:67" s="74" customFormat="1">
      <c r="A332" s="15"/>
      <c r="B332" s="15"/>
      <c r="C332" s="15"/>
      <c r="D332" s="15"/>
      <c r="E332" s="6"/>
      <c r="F332" s="6"/>
      <c r="G332" s="6"/>
      <c r="K332" s="223"/>
      <c r="M332" s="889"/>
      <c r="P332" s="890"/>
      <c r="T332" s="889"/>
      <c r="X332" s="15"/>
      <c r="Y332" s="1935"/>
      <c r="Z332" s="1086"/>
      <c r="AA332" s="230"/>
      <c r="AB332" s="230"/>
      <c r="AC332" s="1936"/>
      <c r="AD332" s="230"/>
      <c r="AE332" s="230"/>
      <c r="AF332" s="230"/>
      <c r="AG332" s="890"/>
      <c r="AJ332" s="890"/>
      <c r="AN332" s="223"/>
      <c r="AO332" s="952"/>
      <c r="AP332" s="1066"/>
      <c r="AQ332" s="972"/>
      <c r="AR332" s="1917"/>
      <c r="AS332" s="222"/>
      <c r="AZ332" s="889"/>
      <c r="BC332" s="890"/>
      <c r="BD332" s="952"/>
      <c r="BE332" s="75"/>
      <c r="BF332" s="572"/>
      <c r="BG332" s="983"/>
      <c r="BH332" s="222"/>
      <c r="BL332" s="889"/>
      <c r="BO332" s="223"/>
    </row>
    <row r="333" spans="1:67" s="74" customFormat="1">
      <c r="A333" s="15"/>
      <c r="B333" s="15"/>
      <c r="C333" s="15"/>
      <c r="D333" s="15"/>
      <c r="E333" s="6"/>
      <c r="F333" s="6"/>
      <c r="G333" s="6"/>
      <c r="K333" s="223"/>
      <c r="M333" s="889"/>
      <c r="P333" s="890"/>
      <c r="T333" s="889"/>
      <c r="X333" s="15"/>
      <c r="Y333" s="1935"/>
      <c r="Z333" s="1086"/>
      <c r="AA333" s="230"/>
      <c r="AB333" s="230"/>
      <c r="AC333" s="1936"/>
      <c r="AD333" s="230"/>
      <c r="AE333" s="230"/>
      <c r="AF333" s="230"/>
      <c r="AG333" s="890"/>
      <c r="AJ333" s="890"/>
      <c r="AN333" s="223"/>
      <c r="AO333" s="952"/>
      <c r="AP333" s="1066"/>
      <c r="AQ333" s="972"/>
      <c r="AR333" s="1917"/>
      <c r="AS333" s="222"/>
      <c r="AZ333" s="889"/>
      <c r="BC333" s="890"/>
      <c r="BD333" s="952"/>
      <c r="BE333" s="75"/>
      <c r="BF333" s="572"/>
      <c r="BG333" s="983"/>
      <c r="BH333" s="222"/>
      <c r="BL333" s="889"/>
      <c r="BO333" s="223"/>
    </row>
    <row r="334" spans="1:67" s="74" customFormat="1">
      <c r="A334" s="15"/>
      <c r="B334" s="15"/>
      <c r="C334" s="15"/>
      <c r="D334" s="15"/>
      <c r="E334" s="6"/>
      <c r="F334" s="6"/>
      <c r="G334" s="6"/>
      <c r="K334" s="223"/>
      <c r="M334" s="889"/>
      <c r="P334" s="890"/>
      <c r="T334" s="889"/>
      <c r="X334" s="15"/>
      <c r="Y334" s="1935"/>
      <c r="Z334" s="1086"/>
      <c r="AA334" s="230"/>
      <c r="AB334" s="230"/>
      <c r="AC334" s="1936"/>
      <c r="AD334" s="230"/>
      <c r="AE334" s="230"/>
      <c r="AF334" s="230"/>
      <c r="AG334" s="890"/>
      <c r="AJ334" s="890"/>
      <c r="AN334" s="223"/>
      <c r="AO334" s="952"/>
      <c r="AP334" s="1066"/>
      <c r="AQ334" s="972"/>
      <c r="AR334" s="1917"/>
      <c r="AS334" s="222"/>
      <c r="AZ334" s="889"/>
      <c r="BC334" s="890"/>
      <c r="BD334" s="952"/>
      <c r="BE334" s="75"/>
      <c r="BF334" s="572"/>
      <c r="BG334" s="983"/>
      <c r="BH334" s="222"/>
      <c r="BL334" s="889"/>
      <c r="BO334" s="223"/>
    </row>
    <row r="335" spans="1:67" s="74" customFormat="1">
      <c r="A335" s="15"/>
      <c r="B335" s="15"/>
      <c r="C335" s="15"/>
      <c r="D335" s="15"/>
      <c r="E335" s="6"/>
      <c r="F335" s="6"/>
      <c r="G335" s="6"/>
      <c r="K335" s="223"/>
      <c r="M335" s="889"/>
      <c r="P335" s="890"/>
      <c r="T335" s="889"/>
      <c r="X335" s="15"/>
      <c r="Y335" s="1935"/>
      <c r="Z335" s="1086"/>
      <c r="AA335" s="230"/>
      <c r="AB335" s="230"/>
      <c r="AC335" s="1936"/>
      <c r="AD335" s="230"/>
      <c r="AE335" s="230"/>
      <c r="AF335" s="230"/>
      <c r="AG335" s="890"/>
      <c r="AJ335" s="890"/>
      <c r="AN335" s="223"/>
      <c r="AO335" s="952"/>
      <c r="AP335" s="1066"/>
      <c r="AQ335" s="972"/>
      <c r="AR335" s="1917"/>
      <c r="AS335" s="222"/>
      <c r="AZ335" s="889"/>
      <c r="BC335" s="890"/>
      <c r="BD335" s="952"/>
      <c r="BE335" s="75"/>
      <c r="BF335" s="572"/>
      <c r="BG335" s="983"/>
      <c r="BH335" s="222"/>
      <c r="BL335" s="889"/>
      <c r="BO335" s="223"/>
    </row>
    <row r="336" spans="1:67" s="74" customFormat="1">
      <c r="A336" s="15"/>
      <c r="B336" s="15"/>
      <c r="C336" s="15"/>
      <c r="D336" s="15"/>
      <c r="E336" s="6"/>
      <c r="F336" s="6"/>
      <c r="G336" s="6"/>
      <c r="K336" s="223"/>
      <c r="M336" s="889"/>
      <c r="P336" s="890"/>
      <c r="T336" s="889"/>
      <c r="X336" s="15"/>
      <c r="Y336" s="1935"/>
      <c r="Z336" s="1086"/>
      <c r="AA336" s="230"/>
      <c r="AB336" s="230"/>
      <c r="AC336" s="1936"/>
      <c r="AD336" s="230"/>
      <c r="AE336" s="230"/>
      <c r="AF336" s="230"/>
      <c r="AG336" s="890"/>
      <c r="AJ336" s="890"/>
      <c r="AN336" s="223"/>
      <c r="AO336" s="952"/>
      <c r="AP336" s="1066"/>
      <c r="AQ336" s="972"/>
      <c r="AR336" s="1917"/>
      <c r="AS336" s="222"/>
      <c r="AZ336" s="889"/>
      <c r="BC336" s="890"/>
      <c r="BD336" s="952"/>
      <c r="BE336" s="75"/>
      <c r="BF336" s="572"/>
      <c r="BG336" s="983"/>
      <c r="BH336" s="222"/>
      <c r="BL336" s="889"/>
      <c r="BO336" s="223"/>
    </row>
    <row r="337" spans="1:67" s="74" customFormat="1">
      <c r="A337" s="15"/>
      <c r="B337" s="15"/>
      <c r="C337" s="15"/>
      <c r="D337" s="15"/>
      <c r="E337" s="6"/>
      <c r="F337" s="6"/>
      <c r="G337" s="6"/>
      <c r="K337" s="223"/>
      <c r="M337" s="889"/>
      <c r="P337" s="890"/>
      <c r="T337" s="889"/>
      <c r="X337" s="15"/>
      <c r="Y337" s="1935"/>
      <c r="Z337" s="1086"/>
      <c r="AA337" s="230"/>
      <c r="AB337" s="230"/>
      <c r="AC337" s="1936"/>
      <c r="AD337" s="230"/>
      <c r="AE337" s="230"/>
      <c r="AF337" s="230"/>
      <c r="AG337" s="890"/>
      <c r="AJ337" s="890"/>
      <c r="AN337" s="223"/>
      <c r="AO337" s="952"/>
      <c r="AP337" s="1066"/>
      <c r="AQ337" s="972"/>
      <c r="AR337" s="1917"/>
      <c r="AS337" s="222"/>
      <c r="AZ337" s="889"/>
      <c r="BC337" s="890"/>
      <c r="BD337" s="952"/>
      <c r="BE337" s="75"/>
      <c r="BF337" s="572"/>
      <c r="BG337" s="983"/>
      <c r="BH337" s="222"/>
      <c r="BL337" s="889"/>
      <c r="BO337" s="223"/>
    </row>
    <row r="338" spans="1:67" s="74" customFormat="1">
      <c r="A338" s="15"/>
      <c r="B338" s="15"/>
      <c r="C338" s="15"/>
      <c r="D338" s="15"/>
      <c r="E338" s="6"/>
      <c r="F338" s="6"/>
      <c r="G338" s="6"/>
      <c r="K338" s="223"/>
      <c r="M338" s="889"/>
      <c r="P338" s="890"/>
      <c r="T338" s="889"/>
      <c r="X338" s="15"/>
      <c r="Y338" s="1935"/>
      <c r="Z338" s="1086"/>
      <c r="AA338" s="230"/>
      <c r="AB338" s="230"/>
      <c r="AC338" s="1936"/>
      <c r="AD338" s="230"/>
      <c r="AE338" s="230"/>
      <c r="AF338" s="230"/>
      <c r="AG338" s="890"/>
      <c r="AJ338" s="890"/>
      <c r="AN338" s="223"/>
      <c r="AO338" s="952"/>
      <c r="AP338" s="1066"/>
      <c r="AQ338" s="972"/>
      <c r="AR338" s="1917"/>
      <c r="AS338" s="222"/>
      <c r="AZ338" s="889"/>
      <c r="BC338" s="890"/>
      <c r="BD338" s="952"/>
      <c r="BE338" s="75"/>
      <c r="BF338" s="572"/>
      <c r="BG338" s="983"/>
      <c r="BH338" s="222"/>
      <c r="BL338" s="889"/>
      <c r="BO338" s="223"/>
    </row>
    <row r="339" spans="1:67" s="74" customFormat="1">
      <c r="A339" s="15"/>
      <c r="B339" s="15"/>
      <c r="C339" s="15"/>
      <c r="D339" s="15"/>
      <c r="E339" s="6"/>
      <c r="F339" s="6"/>
      <c r="G339" s="6"/>
      <c r="K339" s="223"/>
      <c r="M339" s="889"/>
      <c r="P339" s="890"/>
      <c r="T339" s="889"/>
      <c r="X339" s="15"/>
      <c r="Y339" s="1935"/>
      <c r="Z339" s="1086"/>
      <c r="AA339" s="230"/>
      <c r="AB339" s="230"/>
      <c r="AC339" s="1936"/>
      <c r="AD339" s="230"/>
      <c r="AE339" s="230"/>
      <c r="AF339" s="230"/>
      <c r="AG339" s="890"/>
      <c r="AJ339" s="890"/>
      <c r="AN339" s="223"/>
      <c r="AO339" s="952"/>
      <c r="AP339" s="1066"/>
      <c r="AQ339" s="972"/>
      <c r="AR339" s="1917"/>
      <c r="AS339" s="222"/>
      <c r="AZ339" s="889"/>
      <c r="BC339" s="890"/>
      <c r="BD339" s="952"/>
      <c r="BE339" s="75"/>
      <c r="BF339" s="572"/>
      <c r="BG339" s="983"/>
      <c r="BH339" s="222"/>
      <c r="BL339" s="889"/>
      <c r="BO339" s="223"/>
    </row>
    <row r="340" spans="1:67" s="74" customFormat="1">
      <c r="A340" s="15"/>
      <c r="B340" s="15"/>
      <c r="C340" s="15"/>
      <c r="D340" s="15"/>
      <c r="E340" s="6"/>
      <c r="F340" s="6"/>
      <c r="G340" s="6"/>
      <c r="K340" s="223"/>
      <c r="M340" s="889"/>
      <c r="P340" s="890"/>
      <c r="T340" s="889"/>
      <c r="X340" s="15"/>
      <c r="Y340" s="1935"/>
      <c r="Z340" s="1086"/>
      <c r="AA340" s="230"/>
      <c r="AB340" s="230"/>
      <c r="AC340" s="1936"/>
      <c r="AD340" s="230"/>
      <c r="AE340" s="230"/>
      <c r="AF340" s="230"/>
      <c r="AG340" s="890"/>
      <c r="AJ340" s="890"/>
      <c r="AN340" s="223"/>
      <c r="AO340" s="952"/>
      <c r="AP340" s="1066"/>
      <c r="AQ340" s="972"/>
      <c r="AR340" s="1917"/>
      <c r="AS340" s="222"/>
      <c r="AZ340" s="889"/>
      <c r="BC340" s="890"/>
      <c r="BD340" s="952"/>
      <c r="BE340" s="75"/>
      <c r="BF340" s="572"/>
      <c r="BG340" s="983"/>
      <c r="BH340" s="222"/>
      <c r="BL340" s="889"/>
      <c r="BO340" s="223"/>
    </row>
    <row r="341" spans="1:67" s="74" customFormat="1">
      <c r="A341" s="15"/>
      <c r="B341" s="15"/>
      <c r="C341" s="15"/>
      <c r="D341" s="15"/>
      <c r="E341" s="6"/>
      <c r="F341" s="6"/>
      <c r="G341" s="6"/>
      <c r="K341" s="223"/>
      <c r="M341" s="889"/>
      <c r="P341" s="890"/>
      <c r="T341" s="889"/>
      <c r="X341" s="15"/>
      <c r="Y341" s="1935"/>
      <c r="Z341" s="1086"/>
      <c r="AA341" s="230"/>
      <c r="AB341" s="230"/>
      <c r="AC341" s="1936"/>
      <c r="AD341" s="230"/>
      <c r="AE341" s="230"/>
      <c r="AF341" s="230"/>
      <c r="AG341" s="890"/>
      <c r="AJ341" s="890"/>
      <c r="AN341" s="223"/>
      <c r="AO341" s="952"/>
      <c r="AP341" s="1066"/>
      <c r="AQ341" s="972"/>
      <c r="AR341" s="1917"/>
      <c r="AS341" s="222"/>
      <c r="AZ341" s="889"/>
      <c r="BC341" s="890"/>
      <c r="BD341" s="952"/>
      <c r="BE341" s="75"/>
      <c r="BF341" s="572"/>
      <c r="BG341" s="983"/>
      <c r="BH341" s="222"/>
      <c r="BL341" s="889"/>
      <c r="BO341" s="223"/>
    </row>
    <row r="342" spans="1:67" s="74" customFormat="1">
      <c r="A342" s="15"/>
      <c r="B342" s="15"/>
      <c r="C342" s="15"/>
      <c r="D342" s="15"/>
      <c r="E342" s="6"/>
      <c r="F342" s="6"/>
      <c r="G342" s="6"/>
      <c r="K342" s="223"/>
      <c r="M342" s="889"/>
      <c r="P342" s="890"/>
      <c r="T342" s="889"/>
      <c r="X342" s="15"/>
      <c r="Y342" s="1935"/>
      <c r="Z342" s="1086"/>
      <c r="AA342" s="230"/>
      <c r="AB342" s="230"/>
      <c r="AC342" s="1936"/>
      <c r="AD342" s="230"/>
      <c r="AE342" s="230"/>
      <c r="AF342" s="230"/>
      <c r="AG342" s="890"/>
      <c r="AJ342" s="890"/>
      <c r="AN342" s="223"/>
      <c r="AO342" s="952"/>
      <c r="AP342" s="1066"/>
      <c r="AQ342" s="972"/>
      <c r="AR342" s="1917"/>
      <c r="AS342" s="222"/>
      <c r="AZ342" s="889"/>
      <c r="BC342" s="890"/>
      <c r="BD342" s="952"/>
      <c r="BE342" s="75"/>
      <c r="BF342" s="572"/>
      <c r="BG342" s="983"/>
      <c r="BH342" s="222"/>
      <c r="BL342" s="889"/>
      <c r="BO342" s="223"/>
    </row>
    <row r="343" spans="1:67" s="74" customFormat="1">
      <c r="A343" s="15"/>
      <c r="B343" s="15"/>
      <c r="C343" s="15"/>
      <c r="D343" s="15"/>
      <c r="E343" s="6"/>
      <c r="F343" s="6"/>
      <c r="G343" s="6"/>
      <c r="K343" s="223"/>
      <c r="M343" s="889"/>
      <c r="P343" s="890"/>
      <c r="T343" s="889"/>
      <c r="X343" s="15"/>
      <c r="Y343" s="1935"/>
      <c r="Z343" s="1086"/>
      <c r="AA343" s="230"/>
      <c r="AB343" s="230"/>
      <c r="AC343" s="1936"/>
      <c r="AD343" s="230"/>
      <c r="AE343" s="230"/>
      <c r="AF343" s="230"/>
      <c r="AG343" s="890"/>
      <c r="AJ343" s="890"/>
      <c r="AN343" s="223"/>
      <c r="AO343" s="952"/>
      <c r="AP343" s="1066"/>
      <c r="AQ343" s="972"/>
      <c r="AR343" s="1917"/>
      <c r="AS343" s="222"/>
      <c r="AZ343" s="889"/>
      <c r="BC343" s="890"/>
      <c r="BD343" s="952"/>
      <c r="BE343" s="75"/>
      <c r="BF343" s="572"/>
      <c r="BG343" s="983"/>
      <c r="BH343" s="222"/>
      <c r="BL343" s="889"/>
      <c r="BO343" s="223"/>
    </row>
    <row r="344" spans="1:67" s="74" customFormat="1">
      <c r="A344" s="15"/>
      <c r="B344" s="15"/>
      <c r="C344" s="15"/>
      <c r="D344" s="15"/>
      <c r="E344" s="6"/>
      <c r="F344" s="6"/>
      <c r="G344" s="6"/>
      <c r="K344" s="223"/>
      <c r="M344" s="889"/>
      <c r="P344" s="890"/>
      <c r="T344" s="889"/>
      <c r="X344" s="15"/>
      <c r="Y344" s="1935"/>
      <c r="Z344" s="1086"/>
      <c r="AA344" s="230"/>
      <c r="AB344" s="230"/>
      <c r="AC344" s="1936"/>
      <c r="AD344" s="230"/>
      <c r="AE344" s="230"/>
      <c r="AF344" s="230"/>
      <c r="AG344" s="890"/>
      <c r="AJ344" s="890"/>
      <c r="AN344" s="223"/>
      <c r="AO344" s="952"/>
      <c r="AP344" s="1066"/>
      <c r="AQ344" s="972"/>
      <c r="AR344" s="1917"/>
      <c r="AS344" s="222"/>
      <c r="AZ344" s="889"/>
      <c r="BC344" s="890"/>
      <c r="BD344" s="952"/>
      <c r="BE344" s="75"/>
      <c r="BF344" s="572"/>
      <c r="BG344" s="983"/>
      <c r="BH344" s="222"/>
      <c r="BL344" s="889"/>
      <c r="BO344" s="223"/>
    </row>
    <row r="345" spans="1:67" s="74" customFormat="1">
      <c r="A345" s="15"/>
      <c r="B345" s="15"/>
      <c r="C345" s="15"/>
      <c r="D345" s="15"/>
      <c r="E345" s="6"/>
      <c r="F345" s="6"/>
      <c r="G345" s="6"/>
      <c r="K345" s="223"/>
      <c r="M345" s="889"/>
      <c r="P345" s="890"/>
      <c r="T345" s="889"/>
      <c r="X345" s="15"/>
      <c r="Y345" s="1935"/>
      <c r="Z345" s="1086"/>
      <c r="AA345" s="230"/>
      <c r="AB345" s="230"/>
      <c r="AC345" s="1936"/>
      <c r="AD345" s="230"/>
      <c r="AE345" s="230"/>
      <c r="AF345" s="230"/>
      <c r="AG345" s="890"/>
      <c r="AJ345" s="890"/>
      <c r="AN345" s="223"/>
      <c r="AO345" s="952"/>
      <c r="AP345" s="1066"/>
      <c r="AQ345" s="972"/>
      <c r="AR345" s="1917"/>
      <c r="AS345" s="222"/>
      <c r="AZ345" s="889"/>
      <c r="BC345" s="890"/>
      <c r="BD345" s="952"/>
      <c r="BE345" s="75"/>
      <c r="BF345" s="572"/>
      <c r="BG345" s="983"/>
      <c r="BH345" s="222"/>
      <c r="BL345" s="889"/>
      <c r="BO345" s="223"/>
    </row>
    <row r="346" spans="1:67" s="74" customFormat="1">
      <c r="A346" s="15"/>
      <c r="B346" s="15"/>
      <c r="C346" s="15"/>
      <c r="D346" s="15"/>
      <c r="E346" s="6"/>
      <c r="F346" s="6"/>
      <c r="G346" s="6"/>
      <c r="K346" s="223"/>
      <c r="M346" s="889"/>
      <c r="P346" s="890"/>
      <c r="T346" s="889"/>
      <c r="X346" s="15"/>
      <c r="Y346" s="1935"/>
      <c r="Z346" s="1086"/>
      <c r="AA346" s="230"/>
      <c r="AB346" s="230"/>
      <c r="AC346" s="1936"/>
      <c r="AD346" s="230"/>
      <c r="AE346" s="230"/>
      <c r="AF346" s="230"/>
      <c r="AG346" s="890"/>
      <c r="AJ346" s="890"/>
      <c r="AN346" s="223"/>
      <c r="AO346" s="952"/>
      <c r="AP346" s="1066"/>
      <c r="AQ346" s="972"/>
      <c r="AR346" s="1917"/>
      <c r="AS346" s="222"/>
      <c r="AZ346" s="889"/>
      <c r="BC346" s="890"/>
      <c r="BD346" s="952"/>
      <c r="BE346" s="75"/>
      <c r="BF346" s="572"/>
      <c r="BG346" s="983"/>
      <c r="BH346" s="222"/>
      <c r="BL346" s="889"/>
      <c r="BO346" s="223"/>
    </row>
    <row r="347" spans="1:67" s="74" customFormat="1">
      <c r="A347" s="15"/>
      <c r="B347" s="15"/>
      <c r="C347" s="15"/>
      <c r="D347" s="15"/>
      <c r="E347" s="6"/>
      <c r="F347" s="6"/>
      <c r="G347" s="6"/>
      <c r="K347" s="223"/>
      <c r="M347" s="889"/>
      <c r="P347" s="890"/>
      <c r="T347" s="889"/>
      <c r="X347" s="15"/>
      <c r="Y347" s="1935"/>
      <c r="Z347" s="1086"/>
      <c r="AA347" s="230"/>
      <c r="AB347" s="230"/>
      <c r="AC347" s="1936"/>
      <c r="AD347" s="230"/>
      <c r="AE347" s="230"/>
      <c r="AF347" s="230"/>
      <c r="AG347" s="890"/>
      <c r="AJ347" s="890"/>
      <c r="AN347" s="223"/>
      <c r="AO347" s="952"/>
      <c r="AP347" s="1066"/>
      <c r="AQ347" s="972"/>
      <c r="AR347" s="1917"/>
      <c r="AS347" s="222"/>
      <c r="AZ347" s="889"/>
      <c r="BC347" s="890"/>
      <c r="BD347" s="952"/>
      <c r="BE347" s="75"/>
      <c r="BF347" s="572"/>
      <c r="BG347" s="983"/>
      <c r="BH347" s="222"/>
      <c r="BL347" s="889"/>
      <c r="BO347" s="223"/>
    </row>
    <row r="348" spans="1:67" s="74" customFormat="1">
      <c r="A348" s="15"/>
      <c r="B348" s="15"/>
      <c r="C348" s="15"/>
      <c r="D348" s="15"/>
      <c r="E348" s="6"/>
      <c r="F348" s="6"/>
      <c r="G348" s="6"/>
      <c r="K348" s="223"/>
      <c r="M348" s="889"/>
      <c r="P348" s="890"/>
      <c r="T348" s="889"/>
      <c r="X348" s="15"/>
      <c r="Y348" s="1935"/>
      <c r="Z348" s="1086"/>
      <c r="AA348" s="230"/>
      <c r="AB348" s="230"/>
      <c r="AC348" s="1936"/>
      <c r="AD348" s="230"/>
      <c r="AE348" s="230"/>
      <c r="AF348" s="230"/>
      <c r="AG348" s="890"/>
      <c r="AJ348" s="890"/>
      <c r="AN348" s="223"/>
      <c r="AO348" s="952"/>
      <c r="AP348" s="1066"/>
      <c r="AQ348" s="972"/>
      <c r="AR348" s="1917"/>
      <c r="AS348" s="222"/>
      <c r="AZ348" s="889"/>
      <c r="BC348" s="890"/>
      <c r="BD348" s="952"/>
      <c r="BE348" s="75"/>
      <c r="BF348" s="572"/>
      <c r="BG348" s="983"/>
      <c r="BH348" s="222"/>
      <c r="BL348" s="889"/>
      <c r="BO348" s="223"/>
    </row>
    <row r="349" spans="1:67" s="74" customFormat="1">
      <c r="A349" s="15"/>
      <c r="B349" s="15"/>
      <c r="C349" s="15"/>
      <c r="D349" s="15"/>
      <c r="E349" s="6"/>
      <c r="F349" s="6"/>
      <c r="G349" s="6"/>
      <c r="K349" s="223"/>
      <c r="M349" s="889"/>
      <c r="P349" s="890"/>
      <c r="T349" s="889"/>
      <c r="X349" s="15"/>
      <c r="Y349" s="1935"/>
      <c r="Z349" s="1086"/>
      <c r="AA349" s="230"/>
      <c r="AB349" s="230"/>
      <c r="AC349" s="1936"/>
      <c r="AD349" s="230"/>
      <c r="AE349" s="230"/>
      <c r="AF349" s="230"/>
      <c r="AG349" s="890"/>
      <c r="AJ349" s="890"/>
      <c r="AN349" s="223"/>
      <c r="AO349" s="952"/>
      <c r="AP349" s="1066"/>
      <c r="AQ349" s="972"/>
      <c r="AR349" s="1917"/>
      <c r="AS349" s="222"/>
      <c r="AZ349" s="889"/>
      <c r="BC349" s="890"/>
      <c r="BD349" s="952"/>
      <c r="BE349" s="75"/>
      <c r="BF349" s="572"/>
      <c r="BG349" s="983"/>
      <c r="BH349" s="222"/>
      <c r="BL349" s="889"/>
      <c r="BO349" s="223"/>
    </row>
    <row r="350" spans="1:67" s="74" customFormat="1">
      <c r="A350" s="15"/>
      <c r="B350" s="15"/>
      <c r="C350" s="15"/>
      <c r="D350" s="15"/>
      <c r="E350" s="6"/>
      <c r="F350" s="6"/>
      <c r="G350" s="6"/>
      <c r="K350" s="223"/>
      <c r="M350" s="889"/>
      <c r="P350" s="890"/>
      <c r="T350" s="889"/>
      <c r="X350" s="15"/>
      <c r="Y350" s="1935"/>
      <c r="Z350" s="1086"/>
      <c r="AA350" s="230"/>
      <c r="AB350" s="230"/>
      <c r="AC350" s="1936"/>
      <c r="AD350" s="230"/>
      <c r="AE350" s="230"/>
      <c r="AF350" s="230"/>
      <c r="AG350" s="890"/>
      <c r="AJ350" s="890"/>
      <c r="AN350" s="223"/>
      <c r="AO350" s="952"/>
      <c r="AP350" s="1066"/>
      <c r="AQ350" s="972"/>
      <c r="AR350" s="1917"/>
      <c r="AS350" s="222"/>
      <c r="AZ350" s="889"/>
      <c r="BC350" s="890"/>
      <c r="BD350" s="952"/>
      <c r="BE350" s="75"/>
      <c r="BF350" s="572"/>
      <c r="BG350" s="983"/>
      <c r="BH350" s="222"/>
      <c r="BL350" s="889"/>
      <c r="BO350" s="223"/>
    </row>
    <row r="351" spans="1:67" s="74" customFormat="1">
      <c r="A351" s="15"/>
      <c r="B351" s="15"/>
      <c r="C351" s="15"/>
      <c r="D351" s="15"/>
      <c r="E351" s="6"/>
      <c r="F351" s="6"/>
      <c r="G351" s="6"/>
      <c r="K351" s="223"/>
      <c r="M351" s="889"/>
      <c r="P351" s="890"/>
      <c r="T351" s="889"/>
      <c r="X351" s="15"/>
      <c r="Y351" s="1935"/>
      <c r="Z351" s="1086"/>
      <c r="AA351" s="230"/>
      <c r="AB351" s="230"/>
      <c r="AC351" s="1936"/>
      <c r="AD351" s="230"/>
      <c r="AE351" s="230"/>
      <c r="AF351" s="230"/>
      <c r="AG351" s="890"/>
      <c r="AJ351" s="890"/>
      <c r="AN351" s="223"/>
      <c r="AO351" s="952"/>
      <c r="AP351" s="1066"/>
      <c r="AQ351" s="972"/>
      <c r="AR351" s="1917"/>
      <c r="AS351" s="222"/>
      <c r="AZ351" s="889"/>
      <c r="BC351" s="890"/>
      <c r="BD351" s="952"/>
      <c r="BE351" s="75"/>
      <c r="BF351" s="572"/>
      <c r="BG351" s="983"/>
      <c r="BH351" s="222"/>
      <c r="BL351" s="889"/>
      <c r="BO351" s="223"/>
    </row>
    <row r="352" spans="1:67" s="74" customFormat="1">
      <c r="A352" s="15"/>
      <c r="B352" s="15"/>
      <c r="C352" s="15"/>
      <c r="D352" s="15"/>
      <c r="E352" s="6"/>
      <c r="F352" s="6"/>
      <c r="G352" s="6"/>
      <c r="K352" s="223"/>
      <c r="M352" s="889"/>
      <c r="P352" s="890"/>
      <c r="T352" s="889"/>
      <c r="X352" s="15"/>
      <c r="Y352" s="1935"/>
      <c r="Z352" s="1086"/>
      <c r="AA352" s="230"/>
      <c r="AB352" s="230"/>
      <c r="AC352" s="1936"/>
      <c r="AD352" s="230"/>
      <c r="AE352" s="230"/>
      <c r="AF352" s="230"/>
      <c r="AG352" s="890"/>
      <c r="AJ352" s="890"/>
      <c r="AN352" s="223"/>
      <c r="AO352" s="952"/>
      <c r="AP352" s="1066"/>
      <c r="AQ352" s="972"/>
      <c r="AR352" s="1917"/>
      <c r="AS352" s="222"/>
      <c r="AZ352" s="889"/>
      <c r="BC352" s="890"/>
      <c r="BD352" s="952"/>
      <c r="BE352" s="75"/>
      <c r="BF352" s="572"/>
      <c r="BG352" s="983"/>
      <c r="BH352" s="222"/>
      <c r="BL352" s="889"/>
      <c r="BO352" s="223"/>
    </row>
    <row r="353" spans="1:67" s="74" customFormat="1">
      <c r="A353" s="15"/>
      <c r="B353" s="15"/>
      <c r="C353" s="15"/>
      <c r="D353" s="15"/>
      <c r="E353" s="6"/>
      <c r="F353" s="6"/>
      <c r="G353" s="6"/>
      <c r="K353" s="223"/>
      <c r="M353" s="889"/>
      <c r="P353" s="890"/>
      <c r="T353" s="889"/>
      <c r="X353" s="15"/>
      <c r="Y353" s="1935"/>
      <c r="Z353" s="1086"/>
      <c r="AA353" s="230"/>
      <c r="AB353" s="230"/>
      <c r="AC353" s="1936"/>
      <c r="AD353" s="230"/>
      <c r="AE353" s="230"/>
      <c r="AF353" s="230"/>
      <c r="AG353" s="890"/>
      <c r="AJ353" s="890"/>
      <c r="AN353" s="223"/>
      <c r="AO353" s="952"/>
      <c r="AP353" s="1066"/>
      <c r="AQ353" s="972"/>
      <c r="AR353" s="1917"/>
      <c r="AS353" s="222"/>
      <c r="AZ353" s="889"/>
      <c r="BC353" s="890"/>
      <c r="BD353" s="952"/>
      <c r="BE353" s="75"/>
      <c r="BF353" s="572"/>
      <c r="BG353" s="983"/>
      <c r="BH353" s="222"/>
      <c r="BL353" s="889"/>
      <c r="BO353" s="223"/>
    </row>
    <row r="354" spans="1:67" s="74" customFormat="1">
      <c r="A354" s="15"/>
      <c r="B354" s="15"/>
      <c r="C354" s="15"/>
      <c r="D354" s="15"/>
      <c r="E354" s="6"/>
      <c r="F354" s="6"/>
      <c r="G354" s="6"/>
      <c r="K354" s="223"/>
      <c r="M354" s="889"/>
      <c r="P354" s="890"/>
      <c r="T354" s="889"/>
      <c r="X354" s="15"/>
      <c r="Y354" s="1935"/>
      <c r="Z354" s="1086"/>
      <c r="AA354" s="230"/>
      <c r="AB354" s="230"/>
      <c r="AC354" s="1936"/>
      <c r="AD354" s="230"/>
      <c r="AE354" s="230"/>
      <c r="AF354" s="230"/>
      <c r="AG354" s="890"/>
      <c r="AJ354" s="890"/>
      <c r="AN354" s="223"/>
      <c r="AO354" s="952"/>
      <c r="AP354" s="1066"/>
      <c r="AQ354" s="972"/>
      <c r="AR354" s="1917"/>
      <c r="AS354" s="222"/>
      <c r="AZ354" s="889"/>
      <c r="BC354" s="890"/>
      <c r="BD354" s="952"/>
      <c r="BE354" s="75"/>
      <c r="BF354" s="572"/>
      <c r="BG354" s="983"/>
      <c r="BH354" s="222"/>
      <c r="BL354" s="889"/>
      <c r="BO354" s="223"/>
    </row>
    <row r="355" spans="1:67" s="74" customFormat="1">
      <c r="A355" s="15"/>
      <c r="B355" s="15"/>
      <c r="C355" s="15"/>
      <c r="D355" s="15"/>
      <c r="E355" s="6"/>
      <c r="F355" s="6"/>
      <c r="G355" s="6"/>
      <c r="K355" s="223"/>
      <c r="M355" s="889"/>
      <c r="P355" s="890"/>
      <c r="T355" s="889"/>
      <c r="X355" s="15"/>
      <c r="Y355" s="1935"/>
      <c r="Z355" s="1086"/>
      <c r="AA355" s="230"/>
      <c r="AB355" s="230"/>
      <c r="AC355" s="1936"/>
      <c r="AD355" s="230"/>
      <c r="AE355" s="230"/>
      <c r="AF355" s="230"/>
      <c r="AG355" s="890"/>
      <c r="AJ355" s="890"/>
      <c r="AN355" s="223"/>
      <c r="AO355" s="952"/>
      <c r="AP355" s="1066"/>
      <c r="AQ355" s="972"/>
      <c r="AR355" s="1917"/>
      <c r="AS355" s="222"/>
      <c r="AZ355" s="889"/>
      <c r="BC355" s="890"/>
      <c r="BD355" s="952"/>
      <c r="BE355" s="75"/>
      <c r="BF355" s="572"/>
      <c r="BG355" s="983"/>
      <c r="BH355" s="222"/>
      <c r="BL355" s="889"/>
      <c r="BO355" s="223"/>
    </row>
    <row r="356" spans="1:67" s="74" customFormat="1">
      <c r="A356" s="15"/>
      <c r="B356" s="15"/>
      <c r="C356" s="15"/>
      <c r="D356" s="15"/>
      <c r="E356" s="6"/>
      <c r="F356" s="6"/>
      <c r="G356" s="6"/>
      <c r="K356" s="223"/>
      <c r="M356" s="889"/>
      <c r="P356" s="890"/>
      <c r="T356" s="889"/>
      <c r="X356" s="15"/>
      <c r="Y356" s="1935"/>
      <c r="Z356" s="1086"/>
      <c r="AA356" s="230"/>
      <c r="AB356" s="230"/>
      <c r="AC356" s="1936"/>
      <c r="AD356" s="230"/>
      <c r="AE356" s="230"/>
      <c r="AF356" s="230"/>
      <c r="AG356" s="890"/>
      <c r="AJ356" s="890"/>
      <c r="AN356" s="223"/>
      <c r="AO356" s="952"/>
      <c r="AP356" s="1066"/>
      <c r="AQ356" s="972"/>
      <c r="AR356" s="1917"/>
      <c r="AS356" s="222"/>
      <c r="AZ356" s="889"/>
      <c r="BC356" s="890"/>
      <c r="BD356" s="952"/>
      <c r="BE356" s="75"/>
      <c r="BF356" s="572"/>
      <c r="BG356" s="983"/>
      <c r="BH356" s="222"/>
      <c r="BL356" s="889"/>
      <c r="BO356" s="223"/>
    </row>
    <row r="357" spans="1:67" s="74" customFormat="1">
      <c r="A357" s="15"/>
      <c r="B357" s="15"/>
      <c r="C357" s="15"/>
      <c r="D357" s="15"/>
      <c r="E357" s="6"/>
      <c r="F357" s="6"/>
      <c r="G357" s="6"/>
      <c r="K357" s="223"/>
      <c r="M357" s="889"/>
      <c r="P357" s="890"/>
      <c r="T357" s="889"/>
      <c r="X357" s="15"/>
      <c r="Y357" s="1935"/>
      <c r="Z357" s="1086"/>
      <c r="AA357" s="230"/>
      <c r="AB357" s="230"/>
      <c r="AC357" s="1936"/>
      <c r="AD357" s="230"/>
      <c r="AE357" s="230"/>
      <c r="AF357" s="230"/>
      <c r="AG357" s="890"/>
      <c r="AJ357" s="890"/>
      <c r="AN357" s="223"/>
      <c r="AO357" s="952"/>
      <c r="AP357" s="1066"/>
      <c r="AQ357" s="972"/>
      <c r="AR357" s="1917"/>
      <c r="AS357" s="222"/>
      <c r="AZ357" s="889"/>
      <c r="BC357" s="890"/>
      <c r="BD357" s="952"/>
      <c r="BE357" s="75"/>
      <c r="BF357" s="572"/>
      <c r="BG357" s="983"/>
      <c r="BH357" s="222"/>
      <c r="BL357" s="889"/>
      <c r="BO357" s="223"/>
    </row>
    <row r="358" spans="1:67" s="74" customFormat="1">
      <c r="A358" s="15"/>
      <c r="B358" s="15"/>
      <c r="C358" s="15"/>
      <c r="D358" s="15"/>
      <c r="E358" s="6"/>
      <c r="F358" s="6"/>
      <c r="G358" s="6"/>
      <c r="K358" s="223"/>
      <c r="M358" s="889"/>
      <c r="P358" s="890"/>
      <c r="T358" s="889"/>
      <c r="X358" s="15"/>
      <c r="Y358" s="1935"/>
      <c r="Z358" s="1086"/>
      <c r="AA358" s="230"/>
      <c r="AB358" s="230"/>
      <c r="AC358" s="1936"/>
      <c r="AD358" s="230"/>
      <c r="AE358" s="230"/>
      <c r="AF358" s="230"/>
      <c r="AG358" s="890"/>
      <c r="AJ358" s="890"/>
      <c r="AN358" s="223"/>
      <c r="AO358" s="952"/>
      <c r="AP358" s="1066"/>
      <c r="AQ358" s="972"/>
      <c r="AR358" s="1917"/>
      <c r="AS358" s="222"/>
      <c r="AZ358" s="889"/>
      <c r="BC358" s="890"/>
      <c r="BD358" s="952"/>
      <c r="BE358" s="75"/>
      <c r="BF358" s="572"/>
      <c r="BG358" s="983"/>
      <c r="BH358" s="222"/>
      <c r="BL358" s="889"/>
      <c r="BO358" s="223"/>
    </row>
    <row r="359" spans="1:67" s="74" customFormat="1">
      <c r="A359" s="15"/>
      <c r="B359" s="15"/>
      <c r="C359" s="15"/>
      <c r="D359" s="15"/>
      <c r="E359" s="6"/>
      <c r="F359" s="6"/>
      <c r="G359" s="6"/>
      <c r="K359" s="223"/>
      <c r="M359" s="889"/>
      <c r="P359" s="890"/>
      <c r="T359" s="889"/>
      <c r="X359" s="15"/>
      <c r="Y359" s="1935"/>
      <c r="Z359" s="1086"/>
      <c r="AA359" s="230"/>
      <c r="AB359" s="230"/>
      <c r="AC359" s="1936"/>
      <c r="AD359" s="230"/>
      <c r="AE359" s="230"/>
      <c r="AF359" s="230"/>
      <c r="AG359" s="890"/>
      <c r="AJ359" s="890"/>
      <c r="AN359" s="223"/>
      <c r="AO359" s="952"/>
      <c r="AP359" s="1066"/>
      <c r="AQ359" s="972"/>
      <c r="AR359" s="1917"/>
      <c r="AS359" s="222"/>
      <c r="AZ359" s="889"/>
      <c r="BC359" s="890"/>
      <c r="BD359" s="952"/>
      <c r="BE359" s="75"/>
      <c r="BF359" s="572"/>
      <c r="BG359" s="983"/>
      <c r="BH359" s="222"/>
      <c r="BL359" s="889"/>
      <c r="BO359" s="223"/>
    </row>
    <row r="360" spans="1:67" s="74" customFormat="1">
      <c r="A360" s="15"/>
      <c r="B360" s="15"/>
      <c r="C360" s="15"/>
      <c r="D360" s="15"/>
      <c r="E360" s="6"/>
      <c r="F360" s="6"/>
      <c r="G360" s="6"/>
      <c r="K360" s="223"/>
      <c r="M360" s="889"/>
      <c r="P360" s="890"/>
      <c r="T360" s="889"/>
      <c r="X360" s="15"/>
      <c r="Y360" s="1935"/>
      <c r="Z360" s="1086"/>
      <c r="AA360" s="230"/>
      <c r="AB360" s="230"/>
      <c r="AC360" s="1936"/>
      <c r="AD360" s="230"/>
      <c r="AE360" s="230"/>
      <c r="AF360" s="230"/>
      <c r="AG360" s="890"/>
      <c r="AJ360" s="890"/>
      <c r="AN360" s="223"/>
      <c r="AO360" s="952"/>
      <c r="AP360" s="1066"/>
      <c r="AQ360" s="972"/>
      <c r="AR360" s="1917"/>
      <c r="AS360" s="222"/>
      <c r="AZ360" s="889"/>
      <c r="BC360" s="890"/>
      <c r="BD360" s="952"/>
      <c r="BE360" s="75"/>
      <c r="BF360" s="572"/>
      <c r="BG360" s="983"/>
      <c r="BH360" s="222"/>
      <c r="BL360" s="889"/>
      <c r="BO360" s="223"/>
    </row>
    <row r="361" spans="1:67" s="74" customFormat="1">
      <c r="A361" s="15"/>
      <c r="B361" s="15"/>
      <c r="C361" s="15"/>
      <c r="D361" s="15"/>
      <c r="E361" s="6"/>
      <c r="F361" s="6"/>
      <c r="G361" s="6"/>
      <c r="K361" s="223"/>
      <c r="M361" s="889"/>
      <c r="P361" s="890"/>
      <c r="T361" s="889"/>
      <c r="X361" s="15"/>
      <c r="Y361" s="1935"/>
      <c r="Z361" s="1086"/>
      <c r="AA361" s="230"/>
      <c r="AB361" s="230"/>
      <c r="AC361" s="1936"/>
      <c r="AD361" s="230"/>
      <c r="AE361" s="230"/>
      <c r="AF361" s="230"/>
      <c r="AG361" s="890"/>
      <c r="AJ361" s="890"/>
      <c r="AN361" s="223"/>
      <c r="AO361" s="952"/>
      <c r="AP361" s="1066"/>
      <c r="AQ361" s="972"/>
      <c r="AR361" s="1917"/>
      <c r="AS361" s="222"/>
      <c r="AZ361" s="889"/>
      <c r="BC361" s="890"/>
      <c r="BD361" s="952"/>
      <c r="BE361" s="75"/>
      <c r="BF361" s="572"/>
      <c r="BG361" s="983"/>
      <c r="BH361" s="222"/>
      <c r="BL361" s="889"/>
      <c r="BO361" s="223"/>
    </row>
    <row r="362" spans="1:67" s="74" customFormat="1">
      <c r="A362" s="15"/>
      <c r="B362" s="15"/>
      <c r="C362" s="15"/>
      <c r="D362" s="15"/>
      <c r="E362" s="6"/>
      <c r="F362" s="6"/>
      <c r="G362" s="6"/>
      <c r="K362" s="223"/>
      <c r="M362" s="889"/>
      <c r="P362" s="890"/>
      <c r="T362" s="889"/>
      <c r="X362" s="15"/>
      <c r="Y362" s="1935"/>
      <c r="Z362" s="1086"/>
      <c r="AA362" s="230"/>
      <c r="AB362" s="230"/>
      <c r="AC362" s="1936"/>
      <c r="AD362" s="230"/>
      <c r="AE362" s="230"/>
      <c r="AF362" s="230"/>
      <c r="AG362" s="890"/>
      <c r="AJ362" s="890"/>
      <c r="AN362" s="223"/>
      <c r="AO362" s="952"/>
      <c r="AP362" s="1066"/>
      <c r="AQ362" s="972"/>
      <c r="AR362" s="1917"/>
      <c r="AS362" s="222"/>
      <c r="AZ362" s="889"/>
      <c r="BC362" s="890"/>
      <c r="BD362" s="952"/>
      <c r="BE362" s="75"/>
      <c r="BF362" s="572"/>
      <c r="BG362" s="983"/>
      <c r="BH362" s="222"/>
      <c r="BL362" s="889"/>
      <c r="BO362" s="223"/>
    </row>
    <row r="363" spans="1:67" s="74" customFormat="1">
      <c r="A363" s="15"/>
      <c r="B363" s="15"/>
      <c r="C363" s="15"/>
      <c r="D363" s="15"/>
      <c r="E363" s="6"/>
      <c r="F363" s="6"/>
      <c r="G363" s="6"/>
      <c r="K363" s="223"/>
      <c r="M363" s="889"/>
      <c r="P363" s="890"/>
      <c r="T363" s="889"/>
      <c r="X363" s="15"/>
      <c r="Y363" s="1935"/>
      <c r="Z363" s="1086"/>
      <c r="AA363" s="230"/>
      <c r="AB363" s="230"/>
      <c r="AC363" s="1936"/>
      <c r="AD363" s="230"/>
      <c r="AE363" s="230"/>
      <c r="AF363" s="230"/>
      <c r="AG363" s="890"/>
      <c r="AJ363" s="890"/>
      <c r="AN363" s="223"/>
      <c r="AO363" s="952"/>
      <c r="AP363" s="1066"/>
      <c r="AQ363" s="972"/>
      <c r="AR363" s="1917"/>
      <c r="AS363" s="222"/>
      <c r="AZ363" s="889"/>
      <c r="BC363" s="890"/>
      <c r="BD363" s="952"/>
      <c r="BE363" s="75"/>
      <c r="BF363" s="572"/>
      <c r="BG363" s="983"/>
      <c r="BH363" s="222"/>
      <c r="BL363" s="889"/>
      <c r="BO363" s="223"/>
    </row>
    <row r="364" spans="1:67" s="74" customFormat="1">
      <c r="A364" s="15"/>
      <c r="B364" s="15"/>
      <c r="C364" s="15"/>
      <c r="D364" s="15"/>
      <c r="E364" s="6"/>
      <c r="F364" s="6"/>
      <c r="G364" s="6"/>
      <c r="K364" s="223"/>
      <c r="M364" s="889"/>
      <c r="P364" s="890"/>
      <c r="T364" s="889"/>
      <c r="X364" s="15"/>
      <c r="Y364" s="1935"/>
      <c r="Z364" s="1086"/>
      <c r="AA364" s="230"/>
      <c r="AB364" s="230"/>
      <c r="AC364" s="1936"/>
      <c r="AD364" s="230"/>
      <c r="AE364" s="230"/>
      <c r="AF364" s="230"/>
      <c r="AG364" s="890"/>
      <c r="AJ364" s="890"/>
      <c r="AN364" s="223"/>
      <c r="AO364" s="952"/>
      <c r="AP364" s="1066"/>
      <c r="AQ364" s="972"/>
      <c r="AR364" s="1917"/>
      <c r="AS364" s="222"/>
      <c r="AZ364" s="889"/>
      <c r="BC364" s="890"/>
      <c r="BD364" s="952"/>
      <c r="BE364" s="75"/>
      <c r="BF364" s="572"/>
      <c r="BG364" s="983"/>
      <c r="BH364" s="222"/>
      <c r="BL364" s="889"/>
      <c r="BO364" s="223"/>
    </row>
    <row r="365" spans="1:67" s="74" customFormat="1">
      <c r="A365" s="15"/>
      <c r="B365" s="15"/>
      <c r="C365" s="15"/>
      <c r="D365" s="15"/>
      <c r="E365" s="6"/>
      <c r="F365" s="6"/>
      <c r="G365" s="6"/>
      <c r="K365" s="223"/>
      <c r="M365" s="889"/>
      <c r="P365" s="890"/>
      <c r="T365" s="889"/>
      <c r="X365" s="15"/>
      <c r="Y365" s="1935"/>
      <c r="Z365" s="1086"/>
      <c r="AA365" s="230"/>
      <c r="AB365" s="230"/>
      <c r="AC365" s="1936"/>
      <c r="AD365" s="230"/>
      <c r="AE365" s="230"/>
      <c r="AF365" s="230"/>
      <c r="AG365" s="890"/>
      <c r="AJ365" s="890"/>
      <c r="AN365" s="223"/>
      <c r="AO365" s="952"/>
      <c r="AP365" s="1066"/>
      <c r="AQ365" s="972"/>
      <c r="AR365" s="1917"/>
      <c r="AS365" s="222"/>
      <c r="AZ365" s="889"/>
      <c r="BC365" s="890"/>
      <c r="BD365" s="952"/>
      <c r="BE365" s="75"/>
      <c r="BF365" s="572"/>
      <c r="BG365" s="983"/>
      <c r="BH365" s="222"/>
      <c r="BL365" s="889"/>
      <c r="BO365" s="223"/>
    </row>
    <row r="366" spans="1:67" s="74" customFormat="1">
      <c r="A366" s="15"/>
      <c r="B366" s="15"/>
      <c r="C366" s="15"/>
      <c r="D366" s="15"/>
      <c r="E366" s="6"/>
      <c r="F366" s="6"/>
      <c r="G366" s="6"/>
      <c r="K366" s="223"/>
      <c r="M366" s="889"/>
      <c r="P366" s="890"/>
      <c r="T366" s="889"/>
      <c r="X366" s="15"/>
      <c r="Y366" s="1935"/>
      <c r="Z366" s="1086"/>
      <c r="AA366" s="230"/>
      <c r="AB366" s="230"/>
      <c r="AC366" s="1936"/>
      <c r="AD366" s="230"/>
      <c r="AE366" s="230"/>
      <c r="AF366" s="230"/>
      <c r="AG366" s="890"/>
      <c r="AJ366" s="890"/>
      <c r="AN366" s="223"/>
      <c r="AO366" s="952"/>
      <c r="AP366" s="1066"/>
      <c r="AQ366" s="972"/>
      <c r="AR366" s="1917"/>
      <c r="AS366" s="222"/>
      <c r="AZ366" s="889"/>
      <c r="BC366" s="890"/>
      <c r="BD366" s="952"/>
      <c r="BE366" s="75"/>
      <c r="BF366" s="572"/>
      <c r="BG366" s="983"/>
      <c r="BH366" s="222"/>
      <c r="BL366" s="889"/>
      <c r="BO366" s="223"/>
    </row>
    <row r="367" spans="1:67" s="74" customFormat="1">
      <c r="A367" s="15"/>
      <c r="B367" s="15"/>
      <c r="C367" s="15"/>
      <c r="D367" s="15"/>
      <c r="E367" s="6"/>
      <c r="F367" s="6"/>
      <c r="G367" s="6"/>
      <c r="K367" s="223"/>
      <c r="M367" s="889"/>
      <c r="P367" s="890"/>
      <c r="T367" s="889"/>
      <c r="X367" s="15"/>
      <c r="Y367" s="1935"/>
      <c r="Z367" s="1086"/>
      <c r="AA367" s="230"/>
      <c r="AB367" s="230"/>
      <c r="AC367" s="1936"/>
      <c r="AD367" s="230"/>
      <c r="AE367" s="230"/>
      <c r="AF367" s="230"/>
      <c r="AG367" s="890"/>
      <c r="AJ367" s="890"/>
      <c r="AN367" s="223"/>
      <c r="AO367" s="952"/>
      <c r="AP367" s="1066"/>
      <c r="AQ367" s="972"/>
      <c r="AR367" s="1917"/>
      <c r="AS367" s="222"/>
      <c r="AZ367" s="889"/>
      <c r="BC367" s="890"/>
      <c r="BD367" s="952"/>
      <c r="BE367" s="75"/>
      <c r="BF367" s="572"/>
      <c r="BG367" s="983"/>
      <c r="BH367" s="222"/>
      <c r="BL367" s="889"/>
      <c r="BO367" s="223"/>
    </row>
    <row r="368" spans="1:67" s="74" customFormat="1">
      <c r="A368" s="15"/>
      <c r="B368" s="15"/>
      <c r="C368" s="15"/>
      <c r="D368" s="15"/>
      <c r="E368" s="6"/>
      <c r="F368" s="6"/>
      <c r="G368" s="6"/>
      <c r="K368" s="223"/>
      <c r="M368" s="889"/>
      <c r="P368" s="890"/>
      <c r="T368" s="889"/>
      <c r="X368" s="15"/>
      <c r="Y368" s="1935"/>
      <c r="Z368" s="1086"/>
      <c r="AA368" s="230"/>
      <c r="AB368" s="230"/>
      <c r="AC368" s="1936"/>
      <c r="AD368" s="230"/>
      <c r="AE368" s="230"/>
      <c r="AF368" s="230"/>
      <c r="AG368" s="890"/>
      <c r="AJ368" s="890"/>
      <c r="AN368" s="223"/>
      <c r="AO368" s="952"/>
      <c r="AP368" s="1066"/>
      <c r="AQ368" s="972"/>
      <c r="AR368" s="1917"/>
      <c r="AS368" s="222"/>
      <c r="AZ368" s="889"/>
      <c r="BC368" s="890"/>
      <c r="BD368" s="952"/>
      <c r="BE368" s="75"/>
      <c r="BF368" s="572"/>
      <c r="BG368" s="983"/>
      <c r="BH368" s="222"/>
      <c r="BL368" s="889"/>
      <c r="BO368" s="223"/>
    </row>
    <row r="369" spans="1:67" s="74" customFormat="1">
      <c r="A369" s="15"/>
      <c r="B369" s="15"/>
      <c r="C369" s="15"/>
      <c r="D369" s="15"/>
      <c r="E369" s="6"/>
      <c r="F369" s="6"/>
      <c r="G369" s="6"/>
      <c r="K369" s="223"/>
      <c r="M369" s="889"/>
      <c r="P369" s="890"/>
      <c r="T369" s="889"/>
      <c r="X369" s="15"/>
      <c r="Y369" s="1935"/>
      <c r="Z369" s="1086"/>
      <c r="AA369" s="230"/>
      <c r="AB369" s="230"/>
      <c r="AC369" s="1936"/>
      <c r="AD369" s="230"/>
      <c r="AE369" s="230"/>
      <c r="AF369" s="230"/>
      <c r="AG369" s="890"/>
      <c r="AJ369" s="890"/>
      <c r="AN369" s="223"/>
      <c r="AO369" s="952"/>
      <c r="AP369" s="1066"/>
      <c r="AQ369" s="972"/>
      <c r="AR369" s="1917"/>
      <c r="AS369" s="222"/>
      <c r="AZ369" s="889"/>
      <c r="BC369" s="890"/>
      <c r="BD369" s="952"/>
      <c r="BE369" s="75"/>
      <c r="BF369" s="572"/>
      <c r="BG369" s="983"/>
      <c r="BH369" s="222"/>
      <c r="BL369" s="889"/>
      <c r="BO369" s="223"/>
    </row>
    <row r="370" spans="1:67" s="74" customFormat="1">
      <c r="A370" s="15"/>
      <c r="B370" s="15"/>
      <c r="C370" s="15"/>
      <c r="D370" s="15"/>
      <c r="E370" s="6"/>
      <c r="F370" s="6"/>
      <c r="G370" s="6"/>
      <c r="K370" s="223"/>
      <c r="M370" s="889"/>
      <c r="P370" s="890"/>
      <c r="T370" s="889"/>
      <c r="X370" s="15"/>
      <c r="Y370" s="1935"/>
      <c r="Z370" s="1086"/>
      <c r="AA370" s="230"/>
      <c r="AB370" s="230"/>
      <c r="AC370" s="1936"/>
      <c r="AD370" s="230"/>
      <c r="AE370" s="230"/>
      <c r="AF370" s="230"/>
      <c r="AG370" s="890"/>
      <c r="AJ370" s="890"/>
      <c r="AN370" s="223"/>
      <c r="AO370" s="952"/>
      <c r="AP370" s="1066"/>
      <c r="AQ370" s="972"/>
      <c r="AR370" s="1917"/>
      <c r="AS370" s="222"/>
      <c r="AZ370" s="889"/>
      <c r="BC370" s="890"/>
      <c r="BD370" s="952"/>
      <c r="BE370" s="75"/>
      <c r="BF370" s="572"/>
      <c r="BG370" s="983"/>
      <c r="BH370" s="222"/>
      <c r="BL370" s="889"/>
      <c r="BO370" s="223"/>
    </row>
    <row r="371" spans="1:67" s="74" customFormat="1">
      <c r="A371" s="15"/>
      <c r="B371" s="15"/>
      <c r="C371" s="15"/>
      <c r="D371" s="15"/>
      <c r="E371" s="6"/>
      <c r="F371" s="6"/>
      <c r="G371" s="6"/>
      <c r="K371" s="223"/>
      <c r="M371" s="889"/>
      <c r="P371" s="890"/>
      <c r="T371" s="889"/>
      <c r="X371" s="15"/>
      <c r="Y371" s="1935"/>
      <c r="Z371" s="1086"/>
      <c r="AA371" s="230"/>
      <c r="AB371" s="230"/>
      <c r="AC371" s="1936"/>
      <c r="AD371" s="230"/>
      <c r="AE371" s="230"/>
      <c r="AF371" s="230"/>
      <c r="AG371" s="890"/>
      <c r="AJ371" s="890"/>
      <c r="AN371" s="223"/>
      <c r="AO371" s="952"/>
      <c r="AP371" s="1066"/>
      <c r="AQ371" s="972"/>
      <c r="AR371" s="1917"/>
      <c r="AS371" s="222"/>
      <c r="AZ371" s="889"/>
      <c r="BC371" s="890"/>
      <c r="BD371" s="952"/>
      <c r="BE371" s="75"/>
      <c r="BF371" s="572"/>
      <c r="BG371" s="983"/>
      <c r="BH371" s="222"/>
      <c r="BL371" s="889"/>
      <c r="BO371" s="223"/>
    </row>
    <row r="372" spans="1:67" s="74" customFormat="1">
      <c r="A372" s="15"/>
      <c r="B372" s="15"/>
      <c r="C372" s="15"/>
      <c r="D372" s="15"/>
      <c r="E372" s="6"/>
      <c r="F372" s="6"/>
      <c r="G372" s="6"/>
      <c r="K372" s="223"/>
      <c r="M372" s="889"/>
      <c r="P372" s="890"/>
      <c r="T372" s="889"/>
      <c r="X372" s="15"/>
      <c r="Y372" s="1935"/>
      <c r="Z372" s="1086"/>
      <c r="AA372" s="230"/>
      <c r="AB372" s="230"/>
      <c r="AC372" s="1936"/>
      <c r="AD372" s="230"/>
      <c r="AE372" s="230"/>
      <c r="AF372" s="230"/>
      <c r="AG372" s="890"/>
      <c r="AJ372" s="890"/>
      <c r="AN372" s="223"/>
      <c r="AO372" s="952"/>
      <c r="AP372" s="1066"/>
      <c r="AQ372" s="972"/>
      <c r="AR372" s="1917"/>
      <c r="AS372" s="222"/>
      <c r="AZ372" s="889"/>
      <c r="BC372" s="890"/>
      <c r="BD372" s="952"/>
      <c r="BE372" s="75"/>
      <c r="BF372" s="572"/>
      <c r="BG372" s="983"/>
      <c r="BH372" s="222"/>
      <c r="BL372" s="889"/>
      <c r="BO372" s="223"/>
    </row>
    <row r="373" spans="1:67" s="74" customFormat="1">
      <c r="A373" s="15"/>
      <c r="B373" s="15"/>
      <c r="C373" s="15"/>
      <c r="D373" s="15"/>
      <c r="E373" s="6"/>
      <c r="F373" s="6"/>
      <c r="G373" s="6"/>
      <c r="K373" s="223"/>
      <c r="M373" s="889"/>
      <c r="P373" s="890"/>
      <c r="T373" s="889"/>
      <c r="X373" s="15"/>
      <c r="Y373" s="1935"/>
      <c r="Z373" s="1086"/>
      <c r="AA373" s="230"/>
      <c r="AB373" s="230"/>
      <c r="AC373" s="1936"/>
      <c r="AD373" s="230"/>
      <c r="AE373" s="230"/>
      <c r="AF373" s="230"/>
      <c r="AG373" s="890"/>
      <c r="AJ373" s="890"/>
      <c r="AN373" s="223"/>
      <c r="AO373" s="952"/>
      <c r="AP373" s="1066"/>
      <c r="AQ373" s="972"/>
      <c r="AR373" s="1917"/>
      <c r="AS373" s="222"/>
      <c r="AZ373" s="889"/>
      <c r="BC373" s="890"/>
      <c r="BD373" s="952"/>
      <c r="BE373" s="75"/>
      <c r="BF373" s="572"/>
      <c r="BG373" s="983"/>
      <c r="BH373" s="222"/>
      <c r="BL373" s="889"/>
      <c r="BO373" s="223"/>
    </row>
    <row r="374" spans="1:67" s="74" customFormat="1">
      <c r="A374" s="15"/>
      <c r="B374" s="15"/>
      <c r="C374" s="15"/>
      <c r="D374" s="15"/>
      <c r="E374" s="6"/>
      <c r="F374" s="6"/>
      <c r="G374" s="6"/>
      <c r="K374" s="223"/>
      <c r="M374" s="889"/>
      <c r="P374" s="890"/>
      <c r="T374" s="889"/>
      <c r="X374" s="15"/>
      <c r="Y374" s="1935"/>
      <c r="Z374" s="1086"/>
      <c r="AA374" s="230"/>
      <c r="AB374" s="230"/>
      <c r="AC374" s="1936"/>
      <c r="AD374" s="230"/>
      <c r="AE374" s="230"/>
      <c r="AF374" s="230"/>
      <c r="AG374" s="890"/>
      <c r="AJ374" s="890"/>
      <c r="AN374" s="223"/>
      <c r="AO374" s="952"/>
      <c r="AP374" s="1066"/>
      <c r="AQ374" s="972"/>
      <c r="AR374" s="1917"/>
      <c r="AS374" s="222"/>
      <c r="AZ374" s="889"/>
      <c r="BC374" s="890"/>
      <c r="BD374" s="952"/>
      <c r="BE374" s="75"/>
      <c r="BF374" s="572"/>
      <c r="BG374" s="983"/>
      <c r="BH374" s="222"/>
      <c r="BL374" s="889"/>
      <c r="BO374" s="223"/>
    </row>
    <row r="375" spans="1:67" s="74" customFormat="1">
      <c r="A375" s="15"/>
      <c r="B375" s="15"/>
      <c r="C375" s="15"/>
      <c r="D375" s="15"/>
      <c r="E375" s="6"/>
      <c r="F375" s="6"/>
      <c r="G375" s="6"/>
      <c r="K375" s="223"/>
      <c r="M375" s="889"/>
      <c r="P375" s="890"/>
      <c r="T375" s="889"/>
      <c r="X375" s="15"/>
      <c r="Y375" s="1935"/>
      <c r="Z375" s="1086"/>
      <c r="AA375" s="230"/>
      <c r="AB375" s="230"/>
      <c r="AC375" s="1936"/>
      <c r="AD375" s="230"/>
      <c r="AE375" s="230"/>
      <c r="AF375" s="230"/>
      <c r="AG375" s="890"/>
      <c r="AJ375" s="890"/>
      <c r="AN375" s="223"/>
      <c r="AO375" s="952"/>
      <c r="AP375" s="1066"/>
      <c r="AQ375" s="972"/>
      <c r="AR375" s="1917"/>
      <c r="AS375" s="222"/>
      <c r="AZ375" s="889"/>
      <c r="BC375" s="890"/>
      <c r="BD375" s="952"/>
      <c r="BE375" s="75"/>
      <c r="BF375" s="572"/>
      <c r="BG375" s="983"/>
      <c r="BH375" s="222"/>
      <c r="BL375" s="889"/>
      <c r="BO375" s="223"/>
    </row>
    <row r="376" spans="1:67" s="74" customFormat="1">
      <c r="A376" s="15"/>
      <c r="B376" s="15"/>
      <c r="C376" s="15"/>
      <c r="D376" s="15"/>
      <c r="E376" s="6"/>
      <c r="F376" s="6"/>
      <c r="G376" s="6"/>
      <c r="K376" s="223"/>
      <c r="M376" s="889"/>
      <c r="P376" s="890"/>
      <c r="T376" s="889"/>
      <c r="X376" s="15"/>
      <c r="Y376" s="1935"/>
      <c r="Z376" s="1086"/>
      <c r="AA376" s="230"/>
      <c r="AB376" s="230"/>
      <c r="AC376" s="1936"/>
      <c r="AD376" s="230"/>
      <c r="AE376" s="230"/>
      <c r="AF376" s="230"/>
      <c r="AG376" s="890"/>
      <c r="AJ376" s="890"/>
      <c r="AN376" s="223"/>
      <c r="AO376" s="952"/>
      <c r="AP376" s="1066"/>
      <c r="AQ376" s="972"/>
      <c r="AR376" s="1917"/>
      <c r="AS376" s="222"/>
      <c r="AZ376" s="889"/>
      <c r="BC376" s="890"/>
      <c r="BD376" s="952"/>
      <c r="BE376" s="75"/>
      <c r="BF376" s="572"/>
      <c r="BG376" s="983"/>
      <c r="BH376" s="222"/>
      <c r="BL376" s="889"/>
      <c r="BO376" s="223"/>
    </row>
    <row r="377" spans="1:67" s="74" customFormat="1">
      <c r="A377" s="15"/>
      <c r="B377" s="15"/>
      <c r="C377" s="15"/>
      <c r="D377" s="15"/>
      <c r="E377" s="6"/>
      <c r="F377" s="6"/>
      <c r="G377" s="6"/>
      <c r="K377" s="223"/>
      <c r="M377" s="889"/>
      <c r="P377" s="890"/>
      <c r="T377" s="889"/>
      <c r="X377" s="15"/>
      <c r="Y377" s="1935"/>
      <c r="Z377" s="1086"/>
      <c r="AA377" s="230"/>
      <c r="AB377" s="230"/>
      <c r="AC377" s="1936"/>
      <c r="AD377" s="230"/>
      <c r="AE377" s="230"/>
      <c r="AF377" s="230"/>
      <c r="AG377" s="890"/>
      <c r="AJ377" s="890"/>
      <c r="AN377" s="223"/>
      <c r="AO377" s="952"/>
      <c r="AP377" s="1066"/>
      <c r="AQ377" s="972"/>
      <c r="AR377" s="1917"/>
      <c r="AS377" s="222"/>
      <c r="AZ377" s="889"/>
      <c r="BC377" s="890"/>
      <c r="BD377" s="952"/>
      <c r="BE377" s="75"/>
      <c r="BF377" s="572"/>
      <c r="BG377" s="983"/>
      <c r="BH377" s="222"/>
      <c r="BL377" s="889"/>
      <c r="BO377" s="223"/>
    </row>
    <row r="378" spans="1:67" s="74" customFormat="1">
      <c r="A378" s="15"/>
      <c r="B378" s="15"/>
      <c r="C378" s="15"/>
      <c r="D378" s="15"/>
      <c r="E378" s="6"/>
      <c r="F378" s="6"/>
      <c r="G378" s="6"/>
      <c r="K378" s="223"/>
      <c r="M378" s="889"/>
      <c r="P378" s="890"/>
      <c r="T378" s="889"/>
      <c r="X378" s="15"/>
      <c r="Y378" s="1935"/>
      <c r="Z378" s="1086"/>
      <c r="AA378" s="230"/>
      <c r="AB378" s="230"/>
      <c r="AC378" s="1936"/>
      <c r="AD378" s="230"/>
      <c r="AE378" s="230"/>
      <c r="AF378" s="230"/>
      <c r="AG378" s="890"/>
      <c r="AJ378" s="890"/>
      <c r="AN378" s="223"/>
      <c r="AO378" s="952"/>
      <c r="AP378" s="1066"/>
      <c r="AQ378" s="972"/>
      <c r="AR378" s="1917"/>
      <c r="AS378" s="222"/>
      <c r="AZ378" s="889"/>
      <c r="BC378" s="890"/>
      <c r="BD378" s="952"/>
      <c r="BE378" s="75"/>
      <c r="BF378" s="572"/>
      <c r="BG378" s="983"/>
      <c r="BH378" s="222"/>
      <c r="BL378" s="889"/>
      <c r="BO378" s="223"/>
    </row>
    <row r="379" spans="1:67" s="74" customFormat="1">
      <c r="A379" s="15"/>
      <c r="B379" s="15"/>
      <c r="C379" s="15"/>
      <c r="D379" s="15"/>
      <c r="E379" s="6"/>
      <c r="F379" s="6"/>
      <c r="G379" s="6"/>
      <c r="K379" s="223"/>
      <c r="M379" s="889"/>
      <c r="P379" s="890"/>
      <c r="T379" s="889"/>
      <c r="X379" s="15"/>
      <c r="Y379" s="1935"/>
      <c r="Z379" s="1086"/>
      <c r="AA379" s="230"/>
      <c r="AB379" s="230"/>
      <c r="AC379" s="1936"/>
      <c r="AD379" s="230"/>
      <c r="AE379" s="230"/>
      <c r="AF379" s="230"/>
      <c r="AG379" s="890"/>
      <c r="AJ379" s="890"/>
      <c r="AN379" s="223"/>
      <c r="AO379" s="952"/>
      <c r="AP379" s="1066"/>
      <c r="AQ379" s="972"/>
      <c r="AR379" s="1917"/>
      <c r="AS379" s="222"/>
      <c r="AZ379" s="889"/>
      <c r="BC379" s="890"/>
      <c r="BD379" s="952"/>
      <c r="BE379" s="75"/>
      <c r="BF379" s="572"/>
      <c r="BG379" s="983"/>
      <c r="BH379" s="222"/>
      <c r="BL379" s="889"/>
      <c r="BO379" s="223"/>
    </row>
    <row r="380" spans="1:67" s="74" customFormat="1">
      <c r="A380" s="15"/>
      <c r="B380" s="15"/>
      <c r="C380" s="15"/>
      <c r="D380" s="15"/>
      <c r="E380" s="6"/>
      <c r="F380" s="6"/>
      <c r="G380" s="6"/>
      <c r="K380" s="223"/>
      <c r="M380" s="889"/>
      <c r="P380" s="890"/>
      <c r="T380" s="889"/>
      <c r="X380" s="15"/>
      <c r="Y380" s="1935"/>
      <c r="Z380" s="1086"/>
      <c r="AA380" s="230"/>
      <c r="AB380" s="230"/>
      <c r="AC380" s="1936"/>
      <c r="AD380" s="230"/>
      <c r="AE380" s="230"/>
      <c r="AF380" s="230"/>
      <c r="AG380" s="890"/>
      <c r="AJ380" s="890"/>
      <c r="AN380" s="223"/>
      <c r="AO380" s="952"/>
      <c r="AP380" s="1066"/>
      <c r="AQ380" s="972"/>
      <c r="AR380" s="1917"/>
      <c r="AS380" s="222"/>
      <c r="AZ380" s="889"/>
      <c r="BC380" s="890"/>
      <c r="BD380" s="952"/>
      <c r="BE380" s="75"/>
      <c r="BF380" s="572"/>
      <c r="BG380" s="983"/>
      <c r="BH380" s="222"/>
      <c r="BL380" s="889"/>
      <c r="BO380" s="223"/>
    </row>
    <row r="381" spans="1:67" s="74" customFormat="1">
      <c r="A381" s="15"/>
      <c r="B381" s="15"/>
      <c r="C381" s="15"/>
      <c r="D381" s="15"/>
      <c r="E381" s="6"/>
      <c r="F381" s="6"/>
      <c r="G381" s="6"/>
      <c r="K381" s="223"/>
      <c r="M381" s="889"/>
      <c r="P381" s="890"/>
      <c r="T381" s="889"/>
      <c r="X381" s="15"/>
      <c r="Y381" s="1935"/>
      <c r="Z381" s="1086"/>
      <c r="AA381" s="230"/>
      <c r="AB381" s="230"/>
      <c r="AC381" s="1936"/>
      <c r="AD381" s="230"/>
      <c r="AE381" s="230"/>
      <c r="AF381" s="230"/>
      <c r="AG381" s="890"/>
      <c r="AJ381" s="890"/>
      <c r="AN381" s="223"/>
      <c r="AO381" s="952"/>
      <c r="AP381" s="1066"/>
      <c r="AQ381" s="972"/>
      <c r="AR381" s="1917"/>
      <c r="AS381" s="222"/>
      <c r="AZ381" s="889"/>
      <c r="BC381" s="890"/>
      <c r="BD381" s="952"/>
      <c r="BE381" s="75"/>
      <c r="BF381" s="572"/>
      <c r="BG381" s="983"/>
      <c r="BH381" s="222"/>
      <c r="BL381" s="889"/>
      <c r="BO381" s="223"/>
    </row>
    <row r="382" spans="1:67" s="74" customFormat="1">
      <c r="A382" s="15"/>
      <c r="B382" s="15"/>
      <c r="C382" s="15"/>
      <c r="D382" s="15"/>
      <c r="E382" s="6"/>
      <c r="F382" s="6"/>
      <c r="G382" s="6"/>
      <c r="K382" s="223"/>
      <c r="M382" s="889"/>
      <c r="P382" s="890"/>
      <c r="T382" s="889"/>
      <c r="X382" s="15"/>
      <c r="Y382" s="1935"/>
      <c r="Z382" s="1086"/>
      <c r="AA382" s="230"/>
      <c r="AB382" s="230"/>
      <c r="AC382" s="1936"/>
      <c r="AD382" s="230"/>
      <c r="AE382" s="230"/>
      <c r="AF382" s="230"/>
      <c r="AG382" s="890"/>
      <c r="AJ382" s="890"/>
      <c r="AN382" s="223"/>
      <c r="AO382" s="952"/>
      <c r="AP382" s="1066"/>
      <c r="AQ382" s="972"/>
      <c r="AR382" s="1917"/>
      <c r="AS382" s="222"/>
      <c r="AZ382" s="889"/>
      <c r="BC382" s="890"/>
      <c r="BD382" s="952"/>
      <c r="BE382" s="75"/>
      <c r="BF382" s="572"/>
      <c r="BG382" s="983"/>
      <c r="BH382" s="222"/>
      <c r="BL382" s="889"/>
      <c r="BO382" s="223"/>
    </row>
    <row r="383" spans="1:67" s="74" customFormat="1">
      <c r="A383" s="15"/>
      <c r="B383" s="15"/>
      <c r="C383" s="15"/>
      <c r="D383" s="15"/>
      <c r="E383" s="6"/>
      <c r="F383" s="6"/>
      <c r="G383" s="6"/>
      <c r="K383" s="223"/>
      <c r="M383" s="889"/>
      <c r="P383" s="890"/>
      <c r="T383" s="889"/>
      <c r="X383" s="15"/>
      <c r="Y383" s="1935"/>
      <c r="Z383" s="1086"/>
      <c r="AA383" s="230"/>
      <c r="AB383" s="230"/>
      <c r="AC383" s="1936"/>
      <c r="AD383" s="230"/>
      <c r="AE383" s="230"/>
      <c r="AF383" s="230"/>
      <c r="AG383" s="890"/>
      <c r="AJ383" s="890"/>
      <c r="AN383" s="223"/>
      <c r="AO383" s="952"/>
      <c r="AP383" s="1066"/>
      <c r="AQ383" s="972"/>
      <c r="AR383" s="1917"/>
      <c r="AS383" s="222"/>
      <c r="AZ383" s="889"/>
      <c r="BC383" s="890"/>
      <c r="BD383" s="952"/>
      <c r="BE383" s="75"/>
      <c r="BF383" s="572"/>
      <c r="BG383" s="983"/>
      <c r="BH383" s="222"/>
      <c r="BL383" s="889"/>
      <c r="BO383" s="223"/>
    </row>
    <row r="384" spans="1:67" s="74" customFormat="1">
      <c r="A384" s="15"/>
      <c r="B384" s="15"/>
      <c r="C384" s="15"/>
      <c r="D384" s="15"/>
      <c r="E384" s="6"/>
      <c r="F384" s="6"/>
      <c r="G384" s="6"/>
      <c r="K384" s="223"/>
      <c r="M384" s="889"/>
      <c r="P384" s="890"/>
      <c r="T384" s="889"/>
      <c r="X384" s="15"/>
      <c r="Y384" s="1935"/>
      <c r="Z384" s="1086"/>
      <c r="AA384" s="230"/>
      <c r="AB384" s="230"/>
      <c r="AC384" s="1936"/>
      <c r="AD384" s="230"/>
      <c r="AE384" s="230"/>
      <c r="AF384" s="230"/>
      <c r="AG384" s="890"/>
      <c r="AJ384" s="890"/>
      <c r="AN384" s="223"/>
      <c r="AO384" s="952"/>
      <c r="AP384" s="1066"/>
      <c r="AQ384" s="972"/>
      <c r="AR384" s="1917"/>
      <c r="AS384" s="222"/>
      <c r="AZ384" s="889"/>
      <c r="BC384" s="890"/>
      <c r="BD384" s="952"/>
      <c r="BE384" s="75"/>
      <c r="BF384" s="572"/>
      <c r="BG384" s="983"/>
      <c r="BH384" s="222"/>
      <c r="BL384" s="889"/>
      <c r="BO384" s="223"/>
    </row>
    <row r="385" spans="1:67" s="74" customFormat="1">
      <c r="A385" s="15"/>
      <c r="B385" s="15"/>
      <c r="C385" s="15"/>
      <c r="D385" s="15"/>
      <c r="E385" s="6"/>
      <c r="F385" s="6"/>
      <c r="G385" s="6"/>
      <c r="K385" s="223"/>
      <c r="M385" s="889"/>
      <c r="P385" s="890"/>
      <c r="T385" s="889"/>
      <c r="X385" s="15"/>
      <c r="Y385" s="1935"/>
      <c r="Z385" s="1086"/>
      <c r="AA385" s="230"/>
      <c r="AB385" s="230"/>
      <c r="AC385" s="1936"/>
      <c r="AD385" s="230"/>
      <c r="AE385" s="230"/>
      <c r="AF385" s="230"/>
      <c r="AG385" s="890"/>
      <c r="AJ385" s="890"/>
      <c r="AN385" s="223"/>
      <c r="AO385" s="952"/>
      <c r="AP385" s="1066"/>
      <c r="AQ385" s="972"/>
      <c r="AR385" s="1917"/>
      <c r="AS385" s="222"/>
      <c r="AZ385" s="889"/>
      <c r="BC385" s="890"/>
      <c r="BD385" s="952"/>
      <c r="BE385" s="75"/>
      <c r="BF385" s="572"/>
      <c r="BG385" s="983"/>
      <c r="BH385" s="222"/>
      <c r="BL385" s="889"/>
      <c r="BO385" s="223"/>
    </row>
    <row r="386" spans="1:67" s="74" customFormat="1">
      <c r="A386" s="15"/>
      <c r="B386" s="15"/>
      <c r="C386" s="15"/>
      <c r="D386" s="15"/>
      <c r="E386" s="6"/>
      <c r="F386" s="6"/>
      <c r="G386" s="6"/>
      <c r="K386" s="223"/>
      <c r="M386" s="889"/>
      <c r="P386" s="890"/>
      <c r="T386" s="889"/>
      <c r="X386" s="15"/>
      <c r="Y386" s="1935"/>
      <c r="Z386" s="1086"/>
      <c r="AA386" s="230"/>
      <c r="AB386" s="230"/>
      <c r="AC386" s="1936"/>
      <c r="AD386" s="230"/>
      <c r="AE386" s="230"/>
      <c r="AF386" s="230"/>
      <c r="AG386" s="890"/>
      <c r="AJ386" s="890"/>
      <c r="AN386" s="223"/>
      <c r="AO386" s="952"/>
      <c r="AP386" s="1066"/>
      <c r="AQ386" s="972"/>
      <c r="AR386" s="1917"/>
      <c r="AS386" s="222"/>
      <c r="AZ386" s="889"/>
      <c r="BC386" s="890"/>
      <c r="BD386" s="952"/>
      <c r="BE386" s="75"/>
      <c r="BF386" s="572"/>
      <c r="BG386" s="983"/>
      <c r="BH386" s="222"/>
      <c r="BL386" s="889"/>
      <c r="BO386" s="223"/>
    </row>
    <row r="387" spans="1:67" s="74" customFormat="1">
      <c r="A387" s="15"/>
      <c r="B387" s="15"/>
      <c r="C387" s="15"/>
      <c r="D387" s="15"/>
      <c r="E387" s="6"/>
      <c r="F387" s="6"/>
      <c r="G387" s="6"/>
      <c r="K387" s="223"/>
      <c r="M387" s="889"/>
      <c r="P387" s="890"/>
      <c r="T387" s="889"/>
      <c r="X387" s="15"/>
      <c r="Y387" s="1935"/>
      <c r="Z387" s="1086"/>
      <c r="AA387" s="230"/>
      <c r="AB387" s="230"/>
      <c r="AC387" s="1936"/>
      <c r="AD387" s="230"/>
      <c r="AE387" s="230"/>
      <c r="AF387" s="230"/>
      <c r="AG387" s="890"/>
      <c r="AJ387" s="890"/>
      <c r="AN387" s="223"/>
      <c r="AO387" s="952"/>
      <c r="AP387" s="1066"/>
      <c r="AQ387" s="972"/>
      <c r="AR387" s="1917"/>
      <c r="AS387" s="222"/>
      <c r="AZ387" s="889"/>
      <c r="BC387" s="890"/>
      <c r="BD387" s="952"/>
      <c r="BE387" s="75"/>
      <c r="BF387" s="572"/>
      <c r="BG387" s="983"/>
      <c r="BH387" s="222"/>
      <c r="BL387" s="889"/>
      <c r="BO387" s="223"/>
    </row>
    <row r="388" spans="1:67" s="74" customFormat="1">
      <c r="A388" s="15"/>
      <c r="B388" s="15"/>
      <c r="C388" s="15"/>
      <c r="D388" s="15"/>
      <c r="E388" s="6"/>
      <c r="F388" s="6"/>
      <c r="G388" s="6"/>
      <c r="K388" s="223"/>
      <c r="M388" s="889"/>
      <c r="P388" s="890"/>
      <c r="T388" s="889"/>
      <c r="X388" s="15"/>
      <c r="Y388" s="1935"/>
      <c r="Z388" s="1086"/>
      <c r="AA388" s="230"/>
      <c r="AB388" s="230"/>
      <c r="AC388" s="1936"/>
      <c r="AD388" s="230"/>
      <c r="AE388" s="230"/>
      <c r="AF388" s="230"/>
      <c r="AG388" s="890"/>
      <c r="AJ388" s="890"/>
      <c r="AN388" s="223"/>
      <c r="AO388" s="952"/>
      <c r="AP388" s="1066"/>
      <c r="AQ388" s="972"/>
      <c r="AR388" s="1917"/>
      <c r="AS388" s="222"/>
      <c r="AZ388" s="889"/>
      <c r="BC388" s="890"/>
      <c r="BD388" s="952"/>
      <c r="BE388" s="75"/>
      <c r="BF388" s="572"/>
      <c r="BG388" s="983"/>
      <c r="BH388" s="222"/>
      <c r="BL388" s="889"/>
      <c r="BO388" s="223"/>
    </row>
    <row r="389" spans="1:67" s="74" customFormat="1">
      <c r="A389" s="15"/>
      <c r="B389" s="15"/>
      <c r="C389" s="15"/>
      <c r="D389" s="15"/>
      <c r="E389" s="6"/>
      <c r="F389" s="6"/>
      <c r="G389" s="6"/>
      <c r="K389" s="223"/>
      <c r="M389" s="889"/>
      <c r="P389" s="890"/>
      <c r="T389" s="889"/>
      <c r="X389" s="15"/>
      <c r="Y389" s="1935"/>
      <c r="Z389" s="1086"/>
      <c r="AA389" s="230"/>
      <c r="AB389" s="230"/>
      <c r="AC389" s="1936"/>
      <c r="AD389" s="230"/>
      <c r="AE389" s="230"/>
      <c r="AF389" s="230"/>
      <c r="AG389" s="890"/>
      <c r="AJ389" s="890"/>
      <c r="AN389" s="223"/>
      <c r="AO389" s="952"/>
      <c r="AP389" s="1066"/>
      <c r="AQ389" s="972"/>
      <c r="AR389" s="1917"/>
      <c r="AS389" s="222"/>
      <c r="AZ389" s="889"/>
      <c r="BC389" s="890"/>
      <c r="BD389" s="952"/>
      <c r="BE389" s="75"/>
      <c r="BF389" s="572"/>
      <c r="BG389" s="983"/>
      <c r="BH389" s="222"/>
      <c r="BL389" s="889"/>
      <c r="BO389" s="223"/>
    </row>
    <row r="390" spans="1:67" s="74" customFormat="1">
      <c r="A390" s="15"/>
      <c r="B390" s="15"/>
      <c r="C390" s="15"/>
      <c r="D390" s="15"/>
      <c r="E390" s="6"/>
      <c r="F390" s="6"/>
      <c r="G390" s="6"/>
      <c r="K390" s="223"/>
      <c r="M390" s="889"/>
      <c r="P390" s="890"/>
      <c r="T390" s="889"/>
      <c r="X390" s="15"/>
      <c r="Y390" s="1935"/>
      <c r="Z390" s="1086"/>
      <c r="AA390" s="230"/>
      <c r="AB390" s="230"/>
      <c r="AC390" s="1936"/>
      <c r="AD390" s="230"/>
      <c r="AE390" s="230"/>
      <c r="AF390" s="230"/>
      <c r="AG390" s="890"/>
      <c r="AJ390" s="890"/>
      <c r="AN390" s="223"/>
      <c r="AO390" s="952"/>
      <c r="AP390" s="1066"/>
      <c r="AQ390" s="972"/>
      <c r="AR390" s="1917"/>
      <c r="AS390" s="222"/>
      <c r="AZ390" s="889"/>
      <c r="BC390" s="890"/>
      <c r="BD390" s="952"/>
      <c r="BE390" s="75"/>
      <c r="BF390" s="572"/>
      <c r="BG390" s="983"/>
      <c r="BH390" s="222"/>
      <c r="BL390" s="889"/>
      <c r="BO390" s="223"/>
    </row>
    <row r="391" spans="1:67" s="74" customFormat="1">
      <c r="A391" s="15"/>
      <c r="B391" s="15"/>
      <c r="C391" s="15"/>
      <c r="D391" s="15"/>
      <c r="E391" s="6"/>
      <c r="F391" s="6"/>
      <c r="G391" s="6"/>
      <c r="K391" s="223"/>
      <c r="M391" s="889"/>
      <c r="P391" s="890"/>
      <c r="T391" s="889"/>
      <c r="X391" s="15"/>
      <c r="Y391" s="1935"/>
      <c r="Z391" s="1086"/>
      <c r="AA391" s="230"/>
      <c r="AB391" s="230"/>
      <c r="AC391" s="1936"/>
      <c r="AD391" s="230"/>
      <c r="AE391" s="230"/>
      <c r="AF391" s="230"/>
      <c r="AG391" s="890"/>
      <c r="AJ391" s="890"/>
      <c r="AN391" s="223"/>
      <c r="AO391" s="952"/>
      <c r="AP391" s="1066"/>
      <c r="AQ391" s="972"/>
      <c r="AR391" s="1917"/>
      <c r="AS391" s="222"/>
      <c r="AZ391" s="889"/>
      <c r="BC391" s="890"/>
      <c r="BD391" s="952"/>
      <c r="BE391" s="75"/>
      <c r="BF391" s="572"/>
      <c r="BG391" s="983"/>
      <c r="BH391" s="222"/>
      <c r="BL391" s="889"/>
      <c r="BO391" s="223"/>
    </row>
    <row r="392" spans="1:67" s="74" customFormat="1">
      <c r="A392" s="15"/>
      <c r="B392" s="15"/>
      <c r="C392" s="15"/>
      <c r="D392" s="15"/>
      <c r="E392" s="6"/>
      <c r="F392" s="6"/>
      <c r="G392" s="6"/>
      <c r="K392" s="223"/>
      <c r="M392" s="889"/>
      <c r="P392" s="890"/>
      <c r="T392" s="889"/>
      <c r="X392" s="15"/>
      <c r="Y392" s="1935"/>
      <c r="Z392" s="1086"/>
      <c r="AA392" s="230"/>
      <c r="AB392" s="230"/>
      <c r="AC392" s="1936"/>
      <c r="AD392" s="230"/>
      <c r="AE392" s="230"/>
      <c r="AF392" s="230"/>
      <c r="AG392" s="890"/>
      <c r="AJ392" s="890"/>
      <c r="AN392" s="223"/>
      <c r="AO392" s="952"/>
      <c r="AP392" s="1066"/>
      <c r="AQ392" s="972"/>
      <c r="AR392" s="1917"/>
      <c r="AS392" s="222"/>
      <c r="AZ392" s="889"/>
      <c r="BC392" s="890"/>
      <c r="BD392" s="952"/>
      <c r="BE392" s="75"/>
      <c r="BF392" s="572"/>
      <c r="BG392" s="983"/>
      <c r="BH392" s="222"/>
      <c r="BL392" s="889"/>
      <c r="BO392" s="223"/>
    </row>
    <row r="393" spans="1:67" s="74" customFormat="1">
      <c r="A393" s="15"/>
      <c r="B393" s="15"/>
      <c r="C393" s="15"/>
      <c r="D393" s="15"/>
      <c r="E393" s="6"/>
      <c r="F393" s="6"/>
      <c r="G393" s="6"/>
      <c r="K393" s="223"/>
      <c r="M393" s="889"/>
      <c r="P393" s="890"/>
      <c r="T393" s="889"/>
      <c r="X393" s="15"/>
      <c r="Y393" s="1935"/>
      <c r="Z393" s="1086"/>
      <c r="AA393" s="230"/>
      <c r="AB393" s="230"/>
      <c r="AC393" s="1936"/>
      <c r="AD393" s="230"/>
      <c r="AE393" s="230"/>
      <c r="AF393" s="230"/>
      <c r="AG393" s="890"/>
      <c r="AJ393" s="890"/>
      <c r="AN393" s="223"/>
      <c r="AO393" s="952"/>
      <c r="AP393" s="1066"/>
      <c r="AQ393" s="972"/>
      <c r="AR393" s="1917"/>
      <c r="AS393" s="222"/>
      <c r="AZ393" s="889"/>
      <c r="BC393" s="890"/>
      <c r="BD393" s="952"/>
      <c r="BE393" s="75"/>
      <c r="BF393" s="572"/>
      <c r="BG393" s="983"/>
      <c r="BH393" s="222"/>
      <c r="BL393" s="889"/>
      <c r="BO393" s="223"/>
    </row>
    <row r="394" spans="1:67" s="74" customFormat="1">
      <c r="A394" s="15"/>
      <c r="B394" s="15"/>
      <c r="C394" s="15"/>
      <c r="D394" s="15"/>
      <c r="E394" s="6"/>
      <c r="F394" s="6"/>
      <c r="G394" s="6"/>
      <c r="K394" s="223"/>
      <c r="M394" s="889"/>
      <c r="P394" s="890"/>
      <c r="T394" s="889"/>
      <c r="X394" s="15"/>
      <c r="Y394" s="1935"/>
      <c r="Z394" s="1086"/>
      <c r="AA394" s="230"/>
      <c r="AB394" s="230"/>
      <c r="AC394" s="1936"/>
      <c r="AD394" s="230"/>
      <c r="AE394" s="230"/>
      <c r="AF394" s="230"/>
      <c r="AG394" s="890"/>
      <c r="AJ394" s="890"/>
      <c r="AN394" s="223"/>
      <c r="AO394" s="952"/>
      <c r="AP394" s="1066"/>
      <c r="AQ394" s="972"/>
      <c r="AR394" s="1917"/>
      <c r="AS394" s="222"/>
      <c r="AZ394" s="889"/>
      <c r="BC394" s="890"/>
      <c r="BD394" s="952"/>
      <c r="BE394" s="75"/>
      <c r="BF394" s="572"/>
      <c r="BG394" s="983"/>
      <c r="BH394" s="222"/>
      <c r="BL394" s="889"/>
      <c r="BO394" s="223"/>
    </row>
    <row r="395" spans="1:67" s="74" customFormat="1">
      <c r="A395" s="15"/>
      <c r="B395" s="15"/>
      <c r="C395" s="15"/>
      <c r="D395" s="15"/>
      <c r="E395" s="6"/>
      <c r="F395" s="6"/>
      <c r="G395" s="6"/>
      <c r="K395" s="223"/>
      <c r="M395" s="889"/>
      <c r="P395" s="890"/>
      <c r="T395" s="889"/>
      <c r="X395" s="15"/>
      <c r="Y395" s="1935"/>
      <c r="Z395" s="1086"/>
      <c r="AA395" s="230"/>
      <c r="AB395" s="230"/>
      <c r="AC395" s="1936"/>
      <c r="AD395" s="230"/>
      <c r="AE395" s="230"/>
      <c r="AF395" s="230"/>
      <c r="AG395" s="890"/>
      <c r="AJ395" s="890"/>
      <c r="AN395" s="223"/>
      <c r="AO395" s="952"/>
      <c r="AP395" s="1066"/>
      <c r="AQ395" s="972"/>
      <c r="AR395" s="1917"/>
      <c r="AS395" s="222"/>
      <c r="AZ395" s="889"/>
      <c r="BC395" s="890"/>
      <c r="BD395" s="952"/>
      <c r="BE395" s="75"/>
      <c r="BF395" s="572"/>
      <c r="BG395" s="983"/>
      <c r="BH395" s="222"/>
      <c r="BL395" s="889"/>
      <c r="BO395" s="223"/>
    </row>
    <row r="396" spans="1:67" s="74" customFormat="1">
      <c r="A396" s="15"/>
      <c r="B396" s="15"/>
      <c r="C396" s="15"/>
      <c r="D396" s="15"/>
      <c r="E396" s="6"/>
      <c r="F396" s="6"/>
      <c r="G396" s="6"/>
      <c r="K396" s="223"/>
      <c r="M396" s="889"/>
      <c r="P396" s="890"/>
      <c r="T396" s="889"/>
      <c r="X396" s="15"/>
      <c r="Y396" s="1935"/>
      <c r="Z396" s="1086"/>
      <c r="AA396" s="230"/>
      <c r="AB396" s="230"/>
      <c r="AC396" s="1936"/>
      <c r="AD396" s="230"/>
      <c r="AE396" s="230"/>
      <c r="AF396" s="230"/>
      <c r="AG396" s="890"/>
      <c r="AJ396" s="890"/>
      <c r="AN396" s="223"/>
      <c r="AO396" s="952"/>
      <c r="AP396" s="1066"/>
      <c r="AQ396" s="972"/>
      <c r="AR396" s="1917"/>
      <c r="AS396" s="222"/>
      <c r="AZ396" s="889"/>
      <c r="BC396" s="890"/>
      <c r="BD396" s="952"/>
      <c r="BE396" s="75"/>
      <c r="BF396" s="572"/>
      <c r="BG396" s="983"/>
      <c r="BH396" s="222"/>
      <c r="BL396" s="889"/>
      <c r="BO396" s="223"/>
    </row>
    <row r="397" spans="1:67" s="74" customFormat="1">
      <c r="A397" s="15"/>
      <c r="B397" s="15"/>
      <c r="C397" s="15"/>
      <c r="D397" s="15"/>
      <c r="E397" s="6"/>
      <c r="F397" s="6"/>
      <c r="G397" s="6"/>
      <c r="K397" s="223"/>
      <c r="M397" s="889"/>
      <c r="P397" s="890"/>
      <c r="T397" s="889"/>
      <c r="X397" s="15"/>
      <c r="Y397" s="1935"/>
      <c r="Z397" s="1086"/>
      <c r="AA397" s="230"/>
      <c r="AB397" s="230"/>
      <c r="AC397" s="1936"/>
      <c r="AD397" s="230"/>
      <c r="AE397" s="230"/>
      <c r="AF397" s="230"/>
      <c r="AG397" s="890"/>
      <c r="AJ397" s="890"/>
      <c r="AN397" s="223"/>
      <c r="AO397" s="952"/>
      <c r="AP397" s="1066"/>
      <c r="AQ397" s="972"/>
      <c r="AR397" s="1917"/>
      <c r="AS397" s="222"/>
      <c r="AZ397" s="889"/>
      <c r="BC397" s="890"/>
      <c r="BD397" s="952"/>
      <c r="BE397" s="75"/>
      <c r="BF397" s="572"/>
      <c r="BG397" s="983"/>
      <c r="BH397" s="222"/>
      <c r="BL397" s="889"/>
      <c r="BO397" s="223"/>
    </row>
    <row r="398" spans="1:67" s="74" customFormat="1">
      <c r="A398" s="15"/>
      <c r="B398" s="15"/>
      <c r="C398" s="15"/>
      <c r="D398" s="15"/>
      <c r="E398" s="6"/>
      <c r="F398" s="6"/>
      <c r="G398" s="6"/>
      <c r="K398" s="223"/>
      <c r="M398" s="889"/>
      <c r="P398" s="890"/>
      <c r="T398" s="889"/>
      <c r="X398" s="15"/>
      <c r="Y398" s="1935"/>
      <c r="Z398" s="1086"/>
      <c r="AA398" s="230"/>
      <c r="AB398" s="230"/>
      <c r="AC398" s="1936"/>
      <c r="AD398" s="230"/>
      <c r="AE398" s="230"/>
      <c r="AF398" s="230"/>
      <c r="AG398" s="890"/>
      <c r="AJ398" s="890"/>
      <c r="AN398" s="223"/>
      <c r="AO398" s="952"/>
      <c r="AP398" s="1066"/>
      <c r="AQ398" s="972"/>
      <c r="AR398" s="1917"/>
      <c r="AS398" s="222"/>
      <c r="AZ398" s="889"/>
      <c r="BC398" s="890"/>
      <c r="BD398" s="952"/>
      <c r="BE398" s="75"/>
      <c r="BF398" s="572"/>
      <c r="BG398" s="983"/>
      <c r="BH398" s="222"/>
      <c r="BL398" s="889"/>
      <c r="BO398" s="223"/>
    </row>
    <row r="399" spans="1:67" s="74" customFormat="1">
      <c r="A399" s="15"/>
      <c r="B399" s="15"/>
      <c r="C399" s="15"/>
      <c r="D399" s="15"/>
      <c r="E399" s="6"/>
      <c r="F399" s="6"/>
      <c r="G399" s="6"/>
      <c r="K399" s="223"/>
      <c r="M399" s="889"/>
      <c r="P399" s="890"/>
      <c r="T399" s="889"/>
      <c r="X399" s="15"/>
      <c r="Y399" s="1935"/>
      <c r="Z399" s="1086"/>
      <c r="AA399" s="230"/>
      <c r="AB399" s="230"/>
      <c r="AC399" s="1936"/>
      <c r="AD399" s="230"/>
      <c r="AE399" s="230"/>
      <c r="AF399" s="230"/>
      <c r="AG399" s="890"/>
      <c r="AJ399" s="890"/>
      <c r="AN399" s="223"/>
      <c r="AO399" s="952"/>
      <c r="AP399" s="1066"/>
      <c r="AQ399" s="972"/>
      <c r="AR399" s="1917"/>
      <c r="AS399" s="222"/>
      <c r="AZ399" s="889"/>
      <c r="BC399" s="890"/>
      <c r="BD399" s="952"/>
      <c r="BE399" s="75"/>
      <c r="BF399" s="572"/>
      <c r="BG399" s="983"/>
      <c r="BH399" s="222"/>
      <c r="BL399" s="889"/>
      <c r="BO399" s="223"/>
    </row>
    <row r="400" spans="1:67" s="74" customFormat="1">
      <c r="A400" s="15"/>
      <c r="B400" s="15"/>
      <c r="C400" s="15"/>
      <c r="D400" s="15"/>
      <c r="E400" s="6"/>
      <c r="F400" s="6"/>
      <c r="G400" s="6"/>
      <c r="K400" s="223"/>
      <c r="M400" s="889"/>
      <c r="P400" s="890"/>
      <c r="T400" s="889"/>
      <c r="X400" s="15"/>
      <c r="Y400" s="1935"/>
      <c r="Z400" s="1086"/>
      <c r="AA400" s="230"/>
      <c r="AB400" s="230"/>
      <c r="AC400" s="1936"/>
      <c r="AD400" s="230"/>
      <c r="AE400" s="230"/>
      <c r="AF400" s="230"/>
      <c r="AG400" s="890"/>
      <c r="AJ400" s="890"/>
      <c r="AN400" s="223"/>
      <c r="AO400" s="952"/>
      <c r="AP400" s="1066"/>
      <c r="AQ400" s="972"/>
      <c r="AR400" s="1917"/>
      <c r="AS400" s="222"/>
      <c r="AZ400" s="889"/>
      <c r="BC400" s="890"/>
      <c r="BD400" s="952"/>
      <c r="BE400" s="75"/>
      <c r="BF400" s="572"/>
      <c r="BG400" s="983"/>
      <c r="BH400" s="222"/>
      <c r="BL400" s="889"/>
      <c r="BO400" s="223"/>
    </row>
    <row r="401" spans="1:67" s="74" customFormat="1">
      <c r="A401" s="15"/>
      <c r="B401" s="15"/>
      <c r="C401" s="15"/>
      <c r="D401" s="15"/>
      <c r="E401" s="6"/>
      <c r="F401" s="6"/>
      <c r="G401" s="6"/>
      <c r="K401" s="223"/>
      <c r="M401" s="889"/>
      <c r="P401" s="890"/>
      <c r="T401" s="889"/>
      <c r="X401" s="15"/>
      <c r="Y401" s="1935"/>
      <c r="Z401" s="1086"/>
      <c r="AA401" s="230"/>
      <c r="AB401" s="230"/>
      <c r="AC401" s="1936"/>
      <c r="AD401" s="230"/>
      <c r="AE401" s="230"/>
      <c r="AF401" s="230"/>
      <c r="AG401" s="890"/>
      <c r="AJ401" s="890"/>
      <c r="AN401" s="223"/>
      <c r="AO401" s="952"/>
      <c r="AP401" s="1066"/>
      <c r="AQ401" s="972"/>
      <c r="AR401" s="1917"/>
      <c r="AS401" s="222"/>
      <c r="AZ401" s="889"/>
      <c r="BC401" s="890"/>
      <c r="BD401" s="952"/>
      <c r="BE401" s="75"/>
      <c r="BF401" s="572"/>
      <c r="BG401" s="983"/>
      <c r="BH401" s="222"/>
      <c r="BL401" s="889"/>
      <c r="BO401" s="223"/>
    </row>
    <row r="402" spans="1:67" s="74" customFormat="1">
      <c r="A402" s="15"/>
      <c r="B402" s="15"/>
      <c r="C402" s="15"/>
      <c r="D402" s="15"/>
      <c r="E402" s="6"/>
      <c r="F402" s="6"/>
      <c r="G402" s="6"/>
      <c r="K402" s="223"/>
      <c r="M402" s="889"/>
      <c r="P402" s="890"/>
      <c r="T402" s="889"/>
      <c r="X402" s="15"/>
      <c r="Y402" s="1935"/>
      <c r="Z402" s="1086"/>
      <c r="AA402" s="230"/>
      <c r="AB402" s="230"/>
      <c r="AC402" s="1936"/>
      <c r="AD402" s="230"/>
      <c r="AE402" s="230"/>
      <c r="AF402" s="230"/>
      <c r="AG402" s="890"/>
      <c r="AJ402" s="890"/>
      <c r="AN402" s="223"/>
      <c r="AO402" s="952"/>
      <c r="AP402" s="1066"/>
      <c r="AQ402" s="972"/>
      <c r="AR402" s="1917"/>
      <c r="AS402" s="222"/>
      <c r="AZ402" s="889"/>
      <c r="BC402" s="890"/>
      <c r="BD402" s="952"/>
      <c r="BE402" s="75"/>
      <c r="BF402" s="572"/>
      <c r="BG402" s="983"/>
      <c r="BH402" s="222"/>
      <c r="BL402" s="889"/>
      <c r="BO402" s="223"/>
    </row>
    <row r="403" spans="1:67" s="74" customFormat="1">
      <c r="A403" s="15"/>
      <c r="B403" s="15"/>
      <c r="C403" s="15"/>
      <c r="D403" s="15"/>
      <c r="E403" s="6"/>
      <c r="F403" s="6"/>
      <c r="G403" s="6"/>
      <c r="K403" s="223"/>
      <c r="M403" s="889"/>
      <c r="P403" s="890"/>
      <c r="T403" s="889"/>
      <c r="X403" s="15"/>
      <c r="Y403" s="1935"/>
      <c r="Z403" s="1086"/>
      <c r="AA403" s="230"/>
      <c r="AB403" s="230"/>
      <c r="AC403" s="1936"/>
      <c r="AD403" s="230"/>
      <c r="AE403" s="230"/>
      <c r="AF403" s="230"/>
      <c r="AG403" s="890"/>
      <c r="AJ403" s="890"/>
      <c r="AN403" s="223"/>
      <c r="AO403" s="952"/>
      <c r="AP403" s="1066"/>
      <c r="AQ403" s="972"/>
      <c r="AR403" s="1917"/>
      <c r="AS403" s="222"/>
      <c r="AZ403" s="889"/>
      <c r="BC403" s="890"/>
      <c r="BD403" s="952"/>
      <c r="BE403" s="75"/>
      <c r="BF403" s="572"/>
      <c r="BG403" s="983"/>
      <c r="BH403" s="222"/>
      <c r="BL403" s="889"/>
      <c r="BO403" s="223"/>
    </row>
    <row r="404" spans="1:67" s="74" customFormat="1">
      <c r="A404" s="15"/>
      <c r="B404" s="15"/>
      <c r="C404" s="15"/>
      <c r="D404" s="15"/>
      <c r="E404" s="6"/>
      <c r="F404" s="6"/>
      <c r="G404" s="6"/>
      <c r="K404" s="223"/>
      <c r="M404" s="889"/>
      <c r="P404" s="890"/>
      <c r="T404" s="889"/>
      <c r="X404" s="15"/>
      <c r="Y404" s="1935"/>
      <c r="Z404" s="1086"/>
      <c r="AA404" s="230"/>
      <c r="AB404" s="230"/>
      <c r="AC404" s="1936"/>
      <c r="AD404" s="230"/>
      <c r="AE404" s="230"/>
      <c r="AF404" s="230"/>
      <c r="AG404" s="890"/>
      <c r="AJ404" s="890"/>
      <c r="AN404" s="223"/>
      <c r="AO404" s="952"/>
      <c r="AP404" s="1066"/>
      <c r="AQ404" s="972"/>
      <c r="AR404" s="1917"/>
      <c r="AS404" s="222"/>
      <c r="AZ404" s="889"/>
      <c r="BC404" s="890"/>
      <c r="BD404" s="952"/>
      <c r="BE404" s="75"/>
      <c r="BF404" s="572"/>
      <c r="BG404" s="983"/>
      <c r="BH404" s="222"/>
      <c r="BL404" s="889"/>
      <c r="BO404" s="223"/>
    </row>
    <row r="405" spans="1:67" s="74" customFormat="1">
      <c r="A405" s="15"/>
      <c r="B405" s="15"/>
      <c r="C405" s="15"/>
      <c r="D405" s="15"/>
      <c r="E405" s="6"/>
      <c r="F405" s="6"/>
      <c r="G405" s="6"/>
      <c r="K405" s="223"/>
      <c r="M405" s="889"/>
      <c r="P405" s="890"/>
      <c r="T405" s="889"/>
      <c r="X405" s="15"/>
      <c r="Y405" s="1935"/>
      <c r="Z405" s="1086"/>
      <c r="AA405" s="230"/>
      <c r="AB405" s="230"/>
      <c r="AC405" s="1936"/>
      <c r="AD405" s="230"/>
      <c r="AE405" s="230"/>
      <c r="AF405" s="230"/>
      <c r="AG405" s="890"/>
      <c r="AJ405" s="890"/>
      <c r="AN405" s="223"/>
      <c r="AO405" s="952"/>
      <c r="AP405" s="1066"/>
      <c r="AQ405" s="972"/>
      <c r="AR405" s="1917"/>
      <c r="AS405" s="222"/>
      <c r="AZ405" s="889"/>
      <c r="BC405" s="890"/>
      <c r="BD405" s="952"/>
      <c r="BE405" s="75"/>
      <c r="BF405" s="572"/>
      <c r="BG405" s="983"/>
      <c r="BH405" s="222"/>
      <c r="BL405" s="889"/>
      <c r="BO405" s="223"/>
    </row>
    <row r="406" spans="1:67" s="74" customFormat="1">
      <c r="A406" s="15"/>
      <c r="B406" s="15"/>
      <c r="C406" s="15"/>
      <c r="D406" s="15"/>
      <c r="E406" s="6"/>
      <c r="F406" s="6"/>
      <c r="G406" s="6"/>
      <c r="K406" s="223"/>
      <c r="M406" s="889"/>
      <c r="P406" s="890"/>
      <c r="T406" s="889"/>
      <c r="X406" s="15"/>
      <c r="Y406" s="1935"/>
      <c r="Z406" s="1086"/>
      <c r="AA406" s="230"/>
      <c r="AB406" s="230"/>
      <c r="AC406" s="1936"/>
      <c r="AD406" s="230"/>
      <c r="AE406" s="230"/>
      <c r="AF406" s="230"/>
      <c r="AG406" s="890"/>
      <c r="AJ406" s="890"/>
      <c r="AN406" s="223"/>
      <c r="AO406" s="952"/>
      <c r="AP406" s="1066"/>
      <c r="AQ406" s="972"/>
      <c r="AR406" s="1917"/>
      <c r="AS406" s="222"/>
      <c r="AZ406" s="889"/>
      <c r="BC406" s="890"/>
      <c r="BD406" s="952"/>
      <c r="BE406" s="75"/>
      <c r="BF406" s="572"/>
      <c r="BG406" s="983"/>
      <c r="BH406" s="222"/>
      <c r="BL406" s="889"/>
      <c r="BO406" s="223"/>
    </row>
    <row r="407" spans="1:67" s="74" customFormat="1">
      <c r="A407" s="15"/>
      <c r="B407" s="15"/>
      <c r="C407" s="15"/>
      <c r="D407" s="15"/>
      <c r="E407" s="6"/>
      <c r="F407" s="6"/>
      <c r="G407" s="6"/>
      <c r="K407" s="223"/>
      <c r="M407" s="889"/>
      <c r="P407" s="890"/>
      <c r="T407" s="889"/>
      <c r="X407" s="15"/>
      <c r="Y407" s="1935"/>
      <c r="Z407" s="1086"/>
      <c r="AA407" s="230"/>
      <c r="AB407" s="230"/>
      <c r="AC407" s="1936"/>
      <c r="AD407" s="230"/>
      <c r="AE407" s="230"/>
      <c r="AF407" s="230"/>
      <c r="AG407" s="890"/>
      <c r="AJ407" s="890"/>
      <c r="AN407" s="223"/>
      <c r="AO407" s="952"/>
      <c r="AP407" s="1066"/>
      <c r="AQ407" s="972"/>
      <c r="AR407" s="1917"/>
      <c r="AS407" s="222"/>
      <c r="AZ407" s="889"/>
      <c r="BC407" s="890"/>
      <c r="BD407" s="952"/>
      <c r="BE407" s="75"/>
      <c r="BF407" s="572"/>
      <c r="BG407" s="983"/>
      <c r="BH407" s="222"/>
      <c r="BL407" s="889"/>
      <c r="BO407" s="223"/>
    </row>
    <row r="408" spans="1:67" s="74" customFormat="1">
      <c r="A408" s="15"/>
      <c r="B408" s="15"/>
      <c r="C408" s="15"/>
      <c r="D408" s="15"/>
      <c r="E408" s="6"/>
      <c r="F408" s="6"/>
      <c r="G408" s="6"/>
      <c r="K408" s="223"/>
      <c r="M408" s="889"/>
      <c r="P408" s="890"/>
      <c r="T408" s="889"/>
      <c r="X408" s="15"/>
      <c r="Y408" s="1935"/>
      <c r="Z408" s="1086"/>
      <c r="AA408" s="230"/>
      <c r="AB408" s="230"/>
      <c r="AC408" s="1936"/>
      <c r="AD408" s="230"/>
      <c r="AE408" s="230"/>
      <c r="AF408" s="230"/>
      <c r="AG408" s="890"/>
      <c r="AJ408" s="890"/>
      <c r="AN408" s="223"/>
      <c r="AO408" s="952"/>
      <c r="AP408" s="1066"/>
      <c r="AQ408" s="972"/>
      <c r="AR408" s="1917"/>
      <c r="AS408" s="222"/>
      <c r="AZ408" s="889"/>
      <c r="BC408" s="890"/>
      <c r="BD408" s="952"/>
      <c r="BE408" s="75"/>
      <c r="BF408" s="572"/>
      <c r="BG408" s="983"/>
      <c r="BH408" s="222"/>
      <c r="BL408" s="889"/>
      <c r="BO408" s="223"/>
    </row>
    <row r="409" spans="1:67" s="74" customFormat="1">
      <c r="A409" s="15"/>
      <c r="B409" s="15"/>
      <c r="C409" s="15"/>
      <c r="D409" s="15"/>
      <c r="E409" s="6"/>
      <c r="F409" s="6"/>
      <c r="G409" s="6"/>
      <c r="K409" s="223"/>
      <c r="M409" s="889"/>
      <c r="P409" s="890"/>
      <c r="T409" s="889"/>
      <c r="X409" s="15"/>
      <c r="Y409" s="1935"/>
      <c r="Z409" s="1086"/>
      <c r="AA409" s="230"/>
      <c r="AB409" s="230"/>
      <c r="AC409" s="1936"/>
      <c r="AD409" s="230"/>
      <c r="AE409" s="230"/>
      <c r="AF409" s="230"/>
      <c r="AG409" s="890"/>
      <c r="AJ409" s="890"/>
      <c r="AN409" s="223"/>
      <c r="AO409" s="952"/>
      <c r="AP409" s="1066"/>
      <c r="AQ409" s="972"/>
      <c r="AR409" s="1917"/>
      <c r="AS409" s="222"/>
      <c r="AZ409" s="889"/>
      <c r="BC409" s="890"/>
      <c r="BD409" s="952"/>
      <c r="BE409" s="75"/>
      <c r="BF409" s="572"/>
      <c r="BG409" s="983"/>
      <c r="BH409" s="222"/>
      <c r="BL409" s="889"/>
      <c r="BO409" s="223"/>
    </row>
    <row r="410" spans="1:67" s="74" customFormat="1">
      <c r="A410" s="15"/>
      <c r="B410" s="15"/>
      <c r="C410" s="15"/>
      <c r="D410" s="15"/>
      <c r="E410" s="6"/>
      <c r="F410" s="6"/>
      <c r="G410" s="6"/>
      <c r="K410" s="223"/>
      <c r="M410" s="889"/>
      <c r="P410" s="890"/>
      <c r="T410" s="889"/>
      <c r="X410" s="15"/>
      <c r="Y410" s="1935"/>
      <c r="Z410" s="1086"/>
      <c r="AA410" s="230"/>
      <c r="AB410" s="230"/>
      <c r="AC410" s="1936"/>
      <c r="AD410" s="230"/>
      <c r="AE410" s="230"/>
      <c r="AF410" s="230"/>
      <c r="AG410" s="890"/>
      <c r="AJ410" s="890"/>
      <c r="AN410" s="223"/>
      <c r="AO410" s="952"/>
      <c r="AP410" s="1066"/>
      <c r="AQ410" s="972"/>
      <c r="AR410" s="1917"/>
      <c r="AS410" s="222"/>
      <c r="AZ410" s="889"/>
      <c r="BC410" s="890"/>
      <c r="BD410" s="952"/>
      <c r="BE410" s="75"/>
      <c r="BF410" s="572"/>
      <c r="BG410" s="983"/>
      <c r="BH410" s="222"/>
      <c r="BL410" s="889"/>
      <c r="BO410" s="223"/>
    </row>
    <row r="411" spans="1:67" s="74" customFormat="1">
      <c r="A411" s="15"/>
      <c r="B411" s="15"/>
      <c r="C411" s="15"/>
      <c r="D411" s="15"/>
      <c r="E411" s="6"/>
      <c r="F411" s="6"/>
      <c r="G411" s="6"/>
      <c r="K411" s="223"/>
      <c r="M411" s="889"/>
      <c r="P411" s="890"/>
      <c r="T411" s="889"/>
      <c r="X411" s="15"/>
      <c r="Y411" s="1935"/>
      <c r="Z411" s="1086"/>
      <c r="AA411" s="230"/>
      <c r="AB411" s="230"/>
      <c r="AC411" s="1936"/>
      <c r="AD411" s="230"/>
      <c r="AE411" s="230"/>
      <c r="AF411" s="230"/>
      <c r="AG411" s="890"/>
      <c r="AJ411" s="890"/>
      <c r="AN411" s="223"/>
      <c r="AO411" s="952"/>
      <c r="AP411" s="1066"/>
      <c r="AQ411" s="972"/>
      <c r="AR411" s="1917"/>
      <c r="AS411" s="222"/>
      <c r="AZ411" s="889"/>
      <c r="BC411" s="890"/>
      <c r="BD411" s="952"/>
      <c r="BE411" s="75"/>
      <c r="BF411" s="572"/>
      <c r="BG411" s="983"/>
      <c r="BH411" s="222"/>
      <c r="BL411" s="889"/>
      <c r="BO411" s="223"/>
    </row>
    <row r="412" spans="1:67" s="74" customFormat="1">
      <c r="A412" s="15"/>
      <c r="B412" s="15"/>
      <c r="C412" s="15"/>
      <c r="D412" s="15"/>
      <c r="E412" s="6"/>
      <c r="F412" s="6"/>
      <c r="G412" s="6"/>
      <c r="K412" s="223"/>
      <c r="M412" s="889"/>
      <c r="P412" s="890"/>
      <c r="T412" s="889"/>
      <c r="X412" s="15"/>
      <c r="Y412" s="1935"/>
      <c r="Z412" s="1086"/>
      <c r="AA412" s="230"/>
      <c r="AB412" s="230"/>
      <c r="AC412" s="1936"/>
      <c r="AD412" s="230"/>
      <c r="AE412" s="230"/>
      <c r="AF412" s="230"/>
      <c r="AG412" s="890"/>
      <c r="AJ412" s="890"/>
      <c r="AN412" s="223"/>
      <c r="AO412" s="952"/>
      <c r="AP412" s="1066"/>
      <c r="AQ412" s="972"/>
      <c r="AR412" s="1917"/>
      <c r="AS412" s="222"/>
      <c r="AZ412" s="889"/>
      <c r="BC412" s="890"/>
      <c r="BD412" s="952"/>
      <c r="BE412" s="75"/>
      <c r="BF412" s="572"/>
      <c r="BG412" s="983"/>
      <c r="BH412" s="222"/>
      <c r="BL412" s="889"/>
      <c r="BO412" s="223"/>
    </row>
    <row r="413" spans="1:67" s="74" customFormat="1">
      <c r="A413" s="15"/>
      <c r="B413" s="15"/>
      <c r="C413" s="15"/>
      <c r="D413" s="15"/>
      <c r="E413" s="6"/>
      <c r="F413" s="6"/>
      <c r="G413" s="6"/>
      <c r="K413" s="223"/>
      <c r="M413" s="889"/>
      <c r="P413" s="890"/>
      <c r="T413" s="889"/>
      <c r="X413" s="15"/>
      <c r="Y413" s="1935"/>
      <c r="Z413" s="1086"/>
      <c r="AA413" s="230"/>
      <c r="AB413" s="230"/>
      <c r="AC413" s="1936"/>
      <c r="AD413" s="230"/>
      <c r="AE413" s="230"/>
      <c r="AF413" s="230"/>
      <c r="AG413" s="890"/>
      <c r="AJ413" s="890"/>
      <c r="AN413" s="223"/>
      <c r="AO413" s="952"/>
      <c r="AP413" s="1066"/>
      <c r="AQ413" s="972"/>
      <c r="AR413" s="1917"/>
      <c r="AS413" s="222"/>
      <c r="AZ413" s="889"/>
      <c r="BC413" s="890"/>
      <c r="BD413" s="952"/>
      <c r="BE413" s="75"/>
      <c r="BF413" s="572"/>
      <c r="BG413" s="983"/>
      <c r="BH413" s="222"/>
      <c r="BL413" s="889"/>
      <c r="BO413" s="223"/>
    </row>
    <row r="414" spans="1:67" s="74" customFormat="1">
      <c r="A414" s="15"/>
      <c r="B414" s="15"/>
      <c r="C414" s="15"/>
      <c r="D414" s="15"/>
      <c r="E414" s="6"/>
      <c r="F414" s="6"/>
      <c r="G414" s="6"/>
      <c r="K414" s="223"/>
      <c r="M414" s="889"/>
      <c r="P414" s="890"/>
      <c r="T414" s="889"/>
      <c r="X414" s="15"/>
      <c r="Y414" s="1935"/>
      <c r="Z414" s="1086"/>
      <c r="AA414" s="230"/>
      <c r="AB414" s="230"/>
      <c r="AC414" s="1936"/>
      <c r="AD414" s="230"/>
      <c r="AE414" s="230"/>
      <c r="AF414" s="230"/>
      <c r="AG414" s="890"/>
      <c r="AJ414" s="890"/>
      <c r="AN414" s="223"/>
      <c r="AO414" s="952"/>
      <c r="AP414" s="1066"/>
      <c r="AQ414" s="972"/>
      <c r="AR414" s="1917"/>
      <c r="AS414" s="222"/>
      <c r="AZ414" s="889"/>
      <c r="BC414" s="890"/>
      <c r="BD414" s="952"/>
      <c r="BE414" s="75"/>
      <c r="BF414" s="572"/>
      <c r="BG414" s="983"/>
      <c r="BH414" s="222"/>
      <c r="BL414" s="889"/>
      <c r="BO414" s="223"/>
    </row>
    <row r="415" spans="1:67" s="74" customFormat="1">
      <c r="A415" s="15"/>
      <c r="B415" s="15"/>
      <c r="C415" s="15"/>
      <c r="D415" s="15"/>
      <c r="E415" s="6"/>
      <c r="F415" s="6"/>
      <c r="G415" s="6"/>
      <c r="K415" s="223"/>
      <c r="M415" s="889"/>
      <c r="P415" s="890"/>
      <c r="T415" s="889"/>
      <c r="X415" s="15"/>
      <c r="Y415" s="1935"/>
      <c r="Z415" s="1086"/>
      <c r="AA415" s="230"/>
      <c r="AB415" s="230"/>
      <c r="AC415" s="1936"/>
      <c r="AD415" s="230"/>
      <c r="AE415" s="230"/>
      <c r="AF415" s="230"/>
      <c r="AG415" s="890"/>
      <c r="AJ415" s="890"/>
      <c r="AN415" s="223"/>
      <c r="AO415" s="952"/>
      <c r="AP415" s="1066"/>
      <c r="AQ415" s="972"/>
      <c r="AR415" s="1917"/>
      <c r="AS415" s="222"/>
      <c r="AZ415" s="889"/>
      <c r="BC415" s="890"/>
      <c r="BD415" s="952"/>
      <c r="BE415" s="75"/>
      <c r="BF415" s="572"/>
      <c r="BG415" s="983"/>
      <c r="BH415" s="222"/>
      <c r="BL415" s="889"/>
      <c r="BO415" s="223"/>
    </row>
    <row r="416" spans="1:67" s="74" customFormat="1">
      <c r="A416" s="15"/>
      <c r="B416" s="15"/>
      <c r="C416" s="15"/>
      <c r="D416" s="15"/>
      <c r="E416" s="6"/>
      <c r="F416" s="6"/>
      <c r="G416" s="6"/>
      <c r="K416" s="223"/>
      <c r="M416" s="889"/>
      <c r="P416" s="890"/>
      <c r="T416" s="889"/>
      <c r="X416" s="15"/>
      <c r="Y416" s="1935"/>
      <c r="Z416" s="1086"/>
      <c r="AA416" s="230"/>
      <c r="AB416" s="230"/>
      <c r="AC416" s="1936"/>
      <c r="AD416" s="230"/>
      <c r="AE416" s="230"/>
      <c r="AF416" s="230"/>
      <c r="AG416" s="890"/>
      <c r="AJ416" s="890"/>
      <c r="AN416" s="223"/>
      <c r="AO416" s="952"/>
      <c r="AP416" s="1066"/>
      <c r="AQ416" s="972"/>
      <c r="AR416" s="1917"/>
      <c r="AS416" s="222"/>
      <c r="AZ416" s="889"/>
      <c r="BC416" s="890"/>
      <c r="BD416" s="952"/>
      <c r="BE416" s="75"/>
      <c r="BF416" s="572"/>
      <c r="BG416" s="983"/>
      <c r="BH416" s="222"/>
      <c r="BL416" s="889"/>
      <c r="BO416" s="223"/>
    </row>
    <row r="417" spans="1:67" s="74" customFormat="1">
      <c r="A417" s="15"/>
      <c r="B417" s="15"/>
      <c r="C417" s="15"/>
      <c r="D417" s="15"/>
      <c r="E417" s="6"/>
      <c r="F417" s="6"/>
      <c r="G417" s="6"/>
      <c r="K417" s="223"/>
      <c r="M417" s="889"/>
      <c r="P417" s="890"/>
      <c r="T417" s="889"/>
      <c r="X417" s="15"/>
      <c r="Y417" s="1935"/>
      <c r="Z417" s="1086"/>
      <c r="AA417" s="230"/>
      <c r="AB417" s="230"/>
      <c r="AC417" s="1936"/>
      <c r="AD417" s="230"/>
      <c r="AE417" s="230"/>
      <c r="AF417" s="230"/>
      <c r="AG417" s="890"/>
      <c r="AJ417" s="890"/>
      <c r="AN417" s="223"/>
      <c r="AO417" s="952"/>
      <c r="AP417" s="1066"/>
      <c r="AQ417" s="972"/>
      <c r="AR417" s="1917"/>
      <c r="AS417" s="222"/>
      <c r="AZ417" s="889"/>
      <c r="BC417" s="890"/>
      <c r="BD417" s="952"/>
      <c r="BE417" s="75"/>
      <c r="BF417" s="572"/>
      <c r="BG417" s="983"/>
      <c r="BH417" s="222"/>
      <c r="BL417" s="889"/>
      <c r="BO417" s="223"/>
    </row>
    <row r="418" spans="1:67" s="74" customFormat="1">
      <c r="A418" s="15"/>
      <c r="B418" s="15"/>
      <c r="C418" s="15"/>
      <c r="D418" s="15"/>
      <c r="E418" s="6"/>
      <c r="F418" s="6"/>
      <c r="G418" s="6"/>
      <c r="K418" s="223"/>
      <c r="M418" s="889"/>
      <c r="P418" s="890"/>
      <c r="T418" s="889"/>
      <c r="X418" s="15"/>
      <c r="Y418" s="1935"/>
      <c r="Z418" s="1086"/>
      <c r="AA418" s="230"/>
      <c r="AB418" s="230"/>
      <c r="AC418" s="1936"/>
      <c r="AD418" s="230"/>
      <c r="AE418" s="230"/>
      <c r="AF418" s="230"/>
      <c r="AG418" s="890"/>
      <c r="AJ418" s="890"/>
      <c r="AN418" s="223"/>
      <c r="AO418" s="952"/>
      <c r="AP418" s="1066"/>
      <c r="AQ418" s="972"/>
      <c r="AR418" s="1917"/>
      <c r="AS418" s="222"/>
      <c r="AZ418" s="889"/>
      <c r="BC418" s="890"/>
      <c r="BD418" s="952"/>
      <c r="BE418" s="75"/>
      <c r="BF418" s="572"/>
      <c r="BG418" s="983"/>
      <c r="BH418" s="222"/>
      <c r="BL418" s="889"/>
      <c r="BO418" s="223"/>
    </row>
    <row r="419" spans="1:67" s="74" customFormat="1">
      <c r="A419" s="15"/>
      <c r="B419" s="15"/>
      <c r="C419" s="15"/>
      <c r="D419" s="15"/>
      <c r="E419" s="6"/>
      <c r="F419" s="6"/>
      <c r="G419" s="6"/>
      <c r="K419" s="223"/>
      <c r="M419" s="889"/>
      <c r="P419" s="890"/>
      <c r="T419" s="889"/>
      <c r="X419" s="15"/>
      <c r="Y419" s="1935"/>
      <c r="Z419" s="1086"/>
      <c r="AA419" s="230"/>
      <c r="AB419" s="230"/>
      <c r="AC419" s="1936"/>
      <c r="AD419" s="230"/>
      <c r="AE419" s="230"/>
      <c r="AF419" s="230"/>
      <c r="AG419" s="890"/>
      <c r="AJ419" s="890"/>
      <c r="AN419" s="223"/>
      <c r="AO419" s="952"/>
      <c r="AP419" s="1066"/>
      <c r="AQ419" s="972"/>
      <c r="AR419" s="1917"/>
      <c r="AS419" s="222"/>
      <c r="AZ419" s="889"/>
      <c r="BC419" s="890"/>
      <c r="BD419" s="952"/>
      <c r="BE419" s="75"/>
      <c r="BF419" s="572"/>
      <c r="BG419" s="983"/>
      <c r="BH419" s="222"/>
      <c r="BL419" s="889"/>
      <c r="BO419" s="223"/>
    </row>
    <row r="420" spans="1:67" s="74" customFormat="1">
      <c r="A420" s="15"/>
      <c r="B420" s="15"/>
      <c r="C420" s="15"/>
      <c r="D420" s="15"/>
      <c r="E420" s="6"/>
      <c r="F420" s="6"/>
      <c r="G420" s="6"/>
      <c r="K420" s="223"/>
      <c r="M420" s="889"/>
      <c r="P420" s="890"/>
      <c r="T420" s="889"/>
      <c r="X420" s="15"/>
      <c r="Y420" s="1935"/>
      <c r="Z420" s="1086"/>
      <c r="AA420" s="230"/>
      <c r="AB420" s="230"/>
      <c r="AC420" s="1936"/>
      <c r="AD420" s="230"/>
      <c r="AE420" s="230"/>
      <c r="AF420" s="230"/>
      <c r="AG420" s="890"/>
      <c r="AJ420" s="890"/>
      <c r="AN420" s="223"/>
      <c r="AO420" s="952"/>
      <c r="AP420" s="1066"/>
      <c r="AQ420" s="972"/>
      <c r="AR420" s="1917"/>
      <c r="AS420" s="222"/>
      <c r="AZ420" s="889"/>
      <c r="BC420" s="890"/>
      <c r="BD420" s="952"/>
      <c r="BE420" s="75"/>
      <c r="BF420" s="572"/>
      <c r="BG420" s="983"/>
      <c r="BH420" s="222"/>
      <c r="BL420" s="889"/>
      <c r="BO420" s="223"/>
    </row>
    <row r="421" spans="1:67" s="74" customFormat="1">
      <c r="A421" s="15"/>
      <c r="B421" s="15"/>
      <c r="C421" s="15"/>
      <c r="D421" s="15"/>
      <c r="E421" s="6"/>
      <c r="F421" s="6"/>
      <c r="G421" s="6"/>
      <c r="K421" s="223"/>
      <c r="M421" s="889"/>
      <c r="P421" s="890"/>
      <c r="T421" s="889"/>
      <c r="X421" s="15"/>
      <c r="Y421" s="1935"/>
      <c r="Z421" s="1086"/>
      <c r="AA421" s="230"/>
      <c r="AB421" s="230"/>
      <c r="AC421" s="1936"/>
      <c r="AD421" s="230"/>
      <c r="AE421" s="230"/>
      <c r="AF421" s="230"/>
      <c r="AG421" s="890"/>
      <c r="AJ421" s="890"/>
      <c r="AN421" s="223"/>
      <c r="AO421" s="952"/>
      <c r="AP421" s="1066"/>
      <c r="AQ421" s="972"/>
      <c r="AR421" s="1917"/>
      <c r="AS421" s="222"/>
      <c r="AZ421" s="889"/>
      <c r="BC421" s="890"/>
      <c r="BD421" s="952"/>
      <c r="BE421" s="75"/>
      <c r="BF421" s="572"/>
      <c r="BG421" s="983"/>
      <c r="BH421" s="222"/>
      <c r="BL421" s="889"/>
      <c r="BO421" s="223"/>
    </row>
    <row r="422" spans="1:67" s="74" customFormat="1">
      <c r="A422" s="15"/>
      <c r="B422" s="15"/>
      <c r="C422" s="15"/>
      <c r="D422" s="15"/>
      <c r="E422" s="6"/>
      <c r="F422" s="6"/>
      <c r="G422" s="6"/>
      <c r="K422" s="223"/>
      <c r="M422" s="889"/>
      <c r="P422" s="890"/>
      <c r="T422" s="889"/>
      <c r="X422" s="15"/>
      <c r="Y422" s="1935"/>
      <c r="Z422" s="1086"/>
      <c r="AA422" s="230"/>
      <c r="AB422" s="230"/>
      <c r="AC422" s="1936"/>
      <c r="AD422" s="230"/>
      <c r="AE422" s="230"/>
      <c r="AF422" s="230"/>
      <c r="AG422" s="890"/>
      <c r="AJ422" s="890"/>
      <c r="AN422" s="223"/>
      <c r="AO422" s="952"/>
      <c r="AP422" s="1066"/>
      <c r="AQ422" s="972"/>
      <c r="AR422" s="1917"/>
      <c r="AS422" s="222"/>
      <c r="AZ422" s="889"/>
      <c r="BC422" s="890"/>
      <c r="BD422" s="952"/>
      <c r="BE422" s="75"/>
      <c r="BF422" s="572"/>
      <c r="BG422" s="983"/>
      <c r="BH422" s="222"/>
      <c r="BL422" s="889"/>
      <c r="BO422" s="223"/>
    </row>
    <row r="423" spans="1:67" s="74" customFormat="1">
      <c r="A423" s="15"/>
      <c r="B423" s="15"/>
      <c r="C423" s="15"/>
      <c r="D423" s="15"/>
      <c r="E423" s="6"/>
      <c r="F423" s="6"/>
      <c r="G423" s="6"/>
      <c r="K423" s="223"/>
      <c r="M423" s="889"/>
      <c r="P423" s="890"/>
      <c r="T423" s="889"/>
      <c r="X423" s="15"/>
      <c r="Y423" s="1935"/>
      <c r="Z423" s="1086"/>
      <c r="AA423" s="230"/>
      <c r="AB423" s="230"/>
      <c r="AC423" s="1936"/>
      <c r="AD423" s="230"/>
      <c r="AE423" s="230"/>
      <c r="AF423" s="230"/>
      <c r="AG423" s="890"/>
      <c r="AJ423" s="890"/>
      <c r="AN423" s="223"/>
      <c r="AO423" s="952"/>
      <c r="AP423" s="1066"/>
      <c r="AQ423" s="972"/>
      <c r="AR423" s="1917"/>
      <c r="AS423" s="222"/>
      <c r="AZ423" s="889"/>
      <c r="BC423" s="890"/>
      <c r="BD423" s="952"/>
      <c r="BE423" s="75"/>
      <c r="BF423" s="572"/>
      <c r="BG423" s="983"/>
      <c r="BH423" s="222"/>
      <c r="BL423" s="889"/>
      <c r="BO423" s="223"/>
    </row>
    <row r="424" spans="1:67" s="74" customFormat="1">
      <c r="A424" s="15"/>
      <c r="B424" s="15"/>
      <c r="C424" s="15"/>
      <c r="D424" s="15"/>
      <c r="E424" s="6"/>
      <c r="F424" s="6"/>
      <c r="G424" s="6"/>
      <c r="K424" s="223"/>
      <c r="M424" s="889"/>
      <c r="P424" s="890"/>
      <c r="T424" s="889"/>
      <c r="X424" s="15"/>
      <c r="Y424" s="1935"/>
      <c r="Z424" s="1086"/>
      <c r="AA424" s="230"/>
      <c r="AB424" s="230"/>
      <c r="AC424" s="1936"/>
      <c r="AD424" s="230"/>
      <c r="AE424" s="230"/>
      <c r="AF424" s="230"/>
      <c r="AG424" s="890"/>
      <c r="AJ424" s="890"/>
      <c r="AN424" s="223"/>
      <c r="AO424" s="952"/>
      <c r="AP424" s="1066"/>
      <c r="AQ424" s="972"/>
      <c r="AR424" s="1917"/>
      <c r="AS424" s="222"/>
      <c r="AZ424" s="889"/>
      <c r="BC424" s="890"/>
      <c r="BD424" s="952"/>
      <c r="BE424" s="75"/>
      <c r="BF424" s="572"/>
      <c r="BG424" s="983"/>
      <c r="BH424" s="222"/>
      <c r="BL424" s="889"/>
      <c r="BO424" s="223"/>
    </row>
    <row r="425" spans="1:67" s="74" customFormat="1">
      <c r="A425" s="15"/>
      <c r="B425" s="15"/>
      <c r="C425" s="15"/>
      <c r="D425" s="15"/>
      <c r="E425" s="6"/>
      <c r="F425" s="6"/>
      <c r="G425" s="6"/>
      <c r="K425" s="223"/>
      <c r="M425" s="889"/>
      <c r="P425" s="890"/>
      <c r="T425" s="889"/>
      <c r="X425" s="15"/>
      <c r="Y425" s="1935"/>
      <c r="Z425" s="1086"/>
      <c r="AA425" s="230"/>
      <c r="AB425" s="230"/>
      <c r="AC425" s="1936"/>
      <c r="AD425" s="230"/>
      <c r="AE425" s="230"/>
      <c r="AF425" s="230"/>
      <c r="AG425" s="890"/>
      <c r="AJ425" s="890"/>
      <c r="AN425" s="223"/>
      <c r="AO425" s="952"/>
      <c r="AP425" s="1066"/>
      <c r="AQ425" s="972"/>
      <c r="AR425" s="1917"/>
      <c r="AS425" s="222"/>
      <c r="AZ425" s="889"/>
      <c r="BC425" s="890"/>
      <c r="BD425" s="952"/>
      <c r="BE425" s="75"/>
      <c r="BF425" s="572"/>
      <c r="BG425" s="983"/>
      <c r="BH425" s="222"/>
      <c r="BL425" s="889"/>
      <c r="BO425" s="223"/>
    </row>
    <row r="426" spans="1:67" s="74" customFormat="1">
      <c r="A426" s="15"/>
      <c r="B426" s="15"/>
      <c r="C426" s="15"/>
      <c r="D426" s="15"/>
      <c r="E426" s="6"/>
      <c r="F426" s="6"/>
      <c r="G426" s="6"/>
      <c r="K426" s="223"/>
      <c r="M426" s="889"/>
      <c r="P426" s="890"/>
      <c r="T426" s="889"/>
      <c r="X426" s="15"/>
      <c r="Y426" s="1935"/>
      <c r="Z426" s="1086"/>
      <c r="AA426" s="230"/>
      <c r="AB426" s="230"/>
      <c r="AC426" s="1936"/>
      <c r="AD426" s="230"/>
      <c r="AE426" s="230"/>
      <c r="AF426" s="230"/>
      <c r="AG426" s="890"/>
      <c r="AJ426" s="890"/>
      <c r="AN426" s="223"/>
      <c r="AO426" s="952"/>
      <c r="AP426" s="1066"/>
      <c r="AQ426" s="972"/>
      <c r="AR426" s="1917"/>
      <c r="AS426" s="222"/>
      <c r="AZ426" s="889"/>
      <c r="BC426" s="890"/>
      <c r="BD426" s="952"/>
      <c r="BE426" s="75"/>
      <c r="BF426" s="572"/>
      <c r="BG426" s="983"/>
      <c r="BH426" s="222"/>
      <c r="BL426" s="889"/>
      <c r="BO426" s="223"/>
    </row>
    <row r="427" spans="1:67" s="74" customFormat="1">
      <c r="A427" s="15"/>
      <c r="B427" s="15"/>
      <c r="C427" s="15"/>
      <c r="D427" s="15"/>
      <c r="E427" s="6"/>
      <c r="F427" s="6"/>
      <c r="G427" s="6"/>
      <c r="K427" s="223"/>
      <c r="M427" s="889"/>
      <c r="P427" s="890"/>
      <c r="T427" s="889"/>
      <c r="X427" s="15"/>
      <c r="Y427" s="1935"/>
      <c r="Z427" s="1086"/>
      <c r="AA427" s="230"/>
      <c r="AB427" s="230"/>
      <c r="AC427" s="1936"/>
      <c r="AD427" s="230"/>
      <c r="AE427" s="230"/>
      <c r="AF427" s="230"/>
      <c r="AG427" s="890"/>
      <c r="AJ427" s="890"/>
      <c r="AN427" s="223"/>
      <c r="AO427" s="952"/>
      <c r="AP427" s="1066"/>
      <c r="AQ427" s="972"/>
      <c r="AR427" s="1917"/>
      <c r="AS427" s="222"/>
      <c r="AZ427" s="889"/>
      <c r="BC427" s="890"/>
      <c r="BD427" s="952"/>
      <c r="BE427" s="75"/>
      <c r="BF427" s="572"/>
      <c r="BG427" s="983"/>
      <c r="BH427" s="222"/>
      <c r="BL427" s="889"/>
      <c r="BO427" s="223"/>
    </row>
    <row r="428" spans="1:67" s="74" customFormat="1">
      <c r="A428" s="15"/>
      <c r="B428" s="15"/>
      <c r="C428" s="15"/>
      <c r="D428" s="15"/>
      <c r="E428" s="6"/>
      <c r="F428" s="6"/>
      <c r="G428" s="6"/>
      <c r="K428" s="223"/>
      <c r="M428" s="889"/>
      <c r="P428" s="890"/>
      <c r="T428" s="889"/>
      <c r="X428" s="15"/>
      <c r="Y428" s="1935"/>
      <c r="Z428" s="1086"/>
      <c r="AA428" s="230"/>
      <c r="AB428" s="230"/>
      <c r="AC428" s="1936"/>
      <c r="AD428" s="230"/>
      <c r="AE428" s="230"/>
      <c r="AF428" s="230"/>
      <c r="AG428" s="890"/>
      <c r="AJ428" s="890"/>
      <c r="AN428" s="223"/>
      <c r="AO428" s="952"/>
      <c r="AP428" s="1066"/>
      <c r="AQ428" s="972"/>
      <c r="AR428" s="1917"/>
      <c r="AS428" s="222"/>
      <c r="AZ428" s="889"/>
      <c r="BC428" s="890"/>
      <c r="BD428" s="952"/>
      <c r="BE428" s="75"/>
      <c r="BF428" s="572"/>
      <c r="BG428" s="983"/>
      <c r="BH428" s="222"/>
      <c r="BL428" s="889"/>
      <c r="BO428" s="223"/>
    </row>
    <row r="429" spans="1:67" s="74" customFormat="1">
      <c r="A429" s="15"/>
      <c r="B429" s="15"/>
      <c r="C429" s="15"/>
      <c r="D429" s="15"/>
      <c r="E429" s="6"/>
      <c r="F429" s="6"/>
      <c r="G429" s="6"/>
      <c r="K429" s="223"/>
      <c r="M429" s="889"/>
      <c r="P429" s="890"/>
      <c r="T429" s="889"/>
      <c r="X429" s="15"/>
      <c r="Y429" s="1935"/>
      <c r="Z429" s="1086"/>
      <c r="AA429" s="230"/>
      <c r="AB429" s="230"/>
      <c r="AC429" s="1936"/>
      <c r="AD429" s="230"/>
      <c r="AE429" s="230"/>
      <c r="AF429" s="230"/>
      <c r="AG429" s="890"/>
      <c r="AJ429" s="890"/>
      <c r="AN429" s="223"/>
      <c r="AO429" s="952"/>
      <c r="AP429" s="1066"/>
      <c r="AQ429" s="972"/>
      <c r="AR429" s="1917"/>
      <c r="AS429" s="222"/>
      <c r="AZ429" s="889"/>
      <c r="BC429" s="890"/>
      <c r="BD429" s="952"/>
      <c r="BE429" s="75"/>
      <c r="BF429" s="572"/>
      <c r="BG429" s="983"/>
      <c r="BH429" s="222"/>
      <c r="BL429" s="889"/>
      <c r="BO429" s="223"/>
    </row>
    <row r="430" spans="1:67" s="74" customFormat="1">
      <c r="A430" s="15"/>
      <c r="B430" s="15"/>
      <c r="C430" s="15"/>
      <c r="D430" s="15"/>
      <c r="E430" s="6"/>
      <c r="F430" s="6"/>
      <c r="G430" s="6"/>
      <c r="K430" s="223"/>
      <c r="M430" s="889"/>
      <c r="P430" s="890"/>
      <c r="T430" s="889"/>
      <c r="X430" s="15"/>
      <c r="Y430" s="1935"/>
      <c r="Z430" s="1086"/>
      <c r="AA430" s="230"/>
      <c r="AB430" s="230"/>
      <c r="AC430" s="1936"/>
      <c r="AD430" s="230"/>
      <c r="AE430" s="230"/>
      <c r="AF430" s="230"/>
      <c r="AG430" s="890"/>
      <c r="AJ430" s="890"/>
      <c r="AN430" s="223"/>
      <c r="AO430" s="952"/>
      <c r="AP430" s="1066"/>
      <c r="AQ430" s="972"/>
      <c r="AR430" s="1917"/>
      <c r="AS430" s="222"/>
      <c r="AZ430" s="889"/>
      <c r="BC430" s="890"/>
      <c r="BD430" s="952"/>
      <c r="BE430" s="75"/>
      <c r="BF430" s="572"/>
      <c r="BG430" s="983"/>
      <c r="BH430" s="222"/>
      <c r="BL430" s="889"/>
      <c r="BO430" s="223"/>
    </row>
    <row r="431" spans="1:67" s="74" customFormat="1">
      <c r="A431" s="15"/>
      <c r="B431" s="15"/>
      <c r="C431" s="15"/>
      <c r="D431" s="15"/>
      <c r="E431" s="6"/>
      <c r="F431" s="6"/>
      <c r="G431" s="6"/>
      <c r="K431" s="223"/>
      <c r="M431" s="889"/>
      <c r="P431" s="890"/>
      <c r="T431" s="889"/>
      <c r="X431" s="15"/>
      <c r="Y431" s="1935"/>
      <c r="Z431" s="1086"/>
      <c r="AA431" s="230"/>
      <c r="AB431" s="230"/>
      <c r="AC431" s="1936"/>
      <c r="AD431" s="230"/>
      <c r="AE431" s="230"/>
      <c r="AF431" s="230"/>
      <c r="AG431" s="890"/>
      <c r="AJ431" s="890"/>
      <c r="AN431" s="223"/>
      <c r="AO431" s="952"/>
      <c r="AP431" s="1066"/>
      <c r="AQ431" s="972"/>
      <c r="AR431" s="1917"/>
      <c r="AS431" s="222"/>
      <c r="AZ431" s="889"/>
      <c r="BC431" s="890"/>
      <c r="BD431" s="952"/>
      <c r="BE431" s="75"/>
      <c r="BF431" s="572"/>
      <c r="BG431" s="983"/>
      <c r="BH431" s="222"/>
      <c r="BL431" s="889"/>
      <c r="BO431" s="223"/>
    </row>
    <row r="432" spans="1:67" s="74" customFormat="1">
      <c r="A432" s="15"/>
      <c r="B432" s="15"/>
      <c r="C432" s="15"/>
      <c r="D432" s="15"/>
      <c r="E432" s="6"/>
      <c r="F432" s="6"/>
      <c r="G432" s="6"/>
      <c r="K432" s="223"/>
      <c r="M432" s="889"/>
      <c r="P432" s="890"/>
      <c r="T432" s="889"/>
      <c r="X432" s="15"/>
      <c r="Y432" s="1935"/>
      <c r="Z432" s="1086"/>
      <c r="AA432" s="230"/>
      <c r="AB432" s="230"/>
      <c r="AC432" s="1936"/>
      <c r="AD432" s="230"/>
      <c r="AE432" s="230"/>
      <c r="AF432" s="230"/>
      <c r="AG432" s="890"/>
      <c r="AJ432" s="890"/>
      <c r="AN432" s="223"/>
      <c r="AO432" s="952"/>
      <c r="AP432" s="1066"/>
      <c r="AQ432" s="972"/>
      <c r="AR432" s="1917"/>
      <c r="AS432" s="222"/>
      <c r="AZ432" s="889"/>
      <c r="BC432" s="890"/>
      <c r="BD432" s="952"/>
      <c r="BE432" s="75"/>
      <c r="BF432" s="572"/>
      <c r="BG432" s="983"/>
      <c r="BH432" s="222"/>
      <c r="BL432" s="889"/>
      <c r="BO432" s="223"/>
    </row>
    <row r="433" spans="1:67" s="74" customFormat="1">
      <c r="A433" s="15"/>
      <c r="B433" s="15"/>
      <c r="C433" s="15"/>
      <c r="D433" s="15"/>
      <c r="E433" s="6"/>
      <c r="F433" s="6"/>
      <c r="G433" s="6"/>
      <c r="K433" s="223"/>
      <c r="M433" s="889"/>
      <c r="P433" s="890"/>
      <c r="T433" s="889"/>
      <c r="X433" s="15"/>
      <c r="Y433" s="1935"/>
      <c r="Z433" s="1086"/>
      <c r="AA433" s="230"/>
      <c r="AB433" s="230"/>
      <c r="AC433" s="1936"/>
      <c r="AD433" s="230"/>
      <c r="AE433" s="230"/>
      <c r="AF433" s="230"/>
      <c r="AG433" s="890"/>
      <c r="AJ433" s="890"/>
      <c r="AN433" s="223"/>
      <c r="AO433" s="952"/>
      <c r="AP433" s="1066"/>
      <c r="AQ433" s="972"/>
      <c r="AR433" s="1917"/>
      <c r="AS433" s="222"/>
      <c r="AZ433" s="889"/>
      <c r="BC433" s="890"/>
      <c r="BD433" s="952"/>
      <c r="BE433" s="75"/>
      <c r="BF433" s="572"/>
      <c r="BG433" s="983"/>
      <c r="BH433" s="222"/>
      <c r="BL433" s="889"/>
      <c r="BO433" s="223"/>
    </row>
    <row r="434" spans="1:67" s="74" customFormat="1">
      <c r="A434" s="15"/>
      <c r="B434" s="15"/>
      <c r="C434" s="15"/>
      <c r="D434" s="15"/>
      <c r="E434" s="6"/>
      <c r="F434" s="6"/>
      <c r="G434" s="6"/>
      <c r="K434" s="223"/>
      <c r="M434" s="889"/>
      <c r="P434" s="890"/>
      <c r="T434" s="889"/>
      <c r="X434" s="15"/>
      <c r="Y434" s="1935"/>
      <c r="Z434" s="1086"/>
      <c r="AA434" s="230"/>
      <c r="AB434" s="230"/>
      <c r="AC434" s="1936"/>
      <c r="AD434" s="230"/>
      <c r="AE434" s="230"/>
      <c r="AF434" s="230"/>
      <c r="AG434" s="890"/>
      <c r="AJ434" s="890"/>
      <c r="AN434" s="223"/>
      <c r="AO434" s="952"/>
      <c r="AP434" s="1066"/>
      <c r="AQ434" s="972"/>
      <c r="AR434" s="1917"/>
      <c r="AS434" s="222"/>
      <c r="AZ434" s="889"/>
      <c r="BC434" s="890"/>
      <c r="BD434" s="952"/>
      <c r="BE434" s="75"/>
      <c r="BF434" s="572"/>
      <c r="BG434" s="983"/>
      <c r="BH434" s="222"/>
      <c r="BL434" s="889"/>
      <c r="BO434" s="223"/>
    </row>
    <row r="435" spans="1:67" s="74" customFormat="1">
      <c r="A435" s="15"/>
      <c r="B435" s="15"/>
      <c r="C435" s="15"/>
      <c r="D435" s="15"/>
      <c r="E435" s="6"/>
      <c r="F435" s="6"/>
      <c r="G435" s="6"/>
      <c r="K435" s="223"/>
      <c r="M435" s="889"/>
      <c r="P435" s="890"/>
      <c r="T435" s="889"/>
      <c r="X435" s="15"/>
      <c r="Y435" s="1935"/>
      <c r="Z435" s="1086"/>
      <c r="AA435" s="230"/>
      <c r="AB435" s="230"/>
      <c r="AC435" s="1936"/>
      <c r="AD435" s="230"/>
      <c r="AE435" s="230"/>
      <c r="AF435" s="230"/>
      <c r="AG435" s="890"/>
      <c r="AJ435" s="890"/>
      <c r="AN435" s="223"/>
      <c r="AO435" s="952"/>
      <c r="AP435" s="1066"/>
      <c r="AQ435" s="972"/>
      <c r="AR435" s="1917"/>
      <c r="AS435" s="222"/>
      <c r="AZ435" s="889"/>
      <c r="BC435" s="890"/>
      <c r="BD435" s="952"/>
      <c r="BE435" s="75"/>
      <c r="BF435" s="572"/>
      <c r="BG435" s="983"/>
      <c r="BH435" s="222"/>
      <c r="BL435" s="889"/>
      <c r="BO435" s="223"/>
    </row>
    <row r="436" spans="1:67" s="74" customFormat="1">
      <c r="A436" s="15"/>
      <c r="B436" s="15"/>
      <c r="C436" s="15"/>
      <c r="D436" s="15"/>
      <c r="E436" s="6"/>
      <c r="F436" s="6"/>
      <c r="G436" s="6"/>
      <c r="K436" s="223"/>
      <c r="M436" s="889"/>
      <c r="P436" s="890"/>
      <c r="T436" s="889"/>
      <c r="X436" s="15"/>
      <c r="Y436" s="1935"/>
      <c r="Z436" s="1086"/>
      <c r="AA436" s="230"/>
      <c r="AB436" s="230"/>
      <c r="AC436" s="1936"/>
      <c r="AD436" s="230"/>
      <c r="AE436" s="230"/>
      <c r="AF436" s="230"/>
      <c r="AG436" s="890"/>
      <c r="AJ436" s="890"/>
      <c r="AN436" s="223"/>
      <c r="AO436" s="952"/>
      <c r="AP436" s="1066"/>
      <c r="AQ436" s="972"/>
      <c r="AR436" s="1917"/>
      <c r="AS436" s="222"/>
      <c r="AZ436" s="889"/>
      <c r="BC436" s="890"/>
      <c r="BD436" s="952"/>
      <c r="BE436" s="75"/>
      <c r="BF436" s="572"/>
      <c r="BG436" s="983"/>
      <c r="BH436" s="222"/>
      <c r="BL436" s="889"/>
      <c r="BO436" s="223"/>
    </row>
    <row r="437" spans="1:67" s="74" customFormat="1">
      <c r="A437" s="15"/>
      <c r="B437" s="15"/>
      <c r="C437" s="15"/>
      <c r="D437" s="15"/>
      <c r="E437" s="6"/>
      <c r="F437" s="6"/>
      <c r="G437" s="6"/>
      <c r="K437" s="223"/>
      <c r="M437" s="889"/>
      <c r="P437" s="890"/>
      <c r="T437" s="889"/>
      <c r="X437" s="15"/>
      <c r="Y437" s="1935"/>
      <c r="Z437" s="1086"/>
      <c r="AA437" s="230"/>
      <c r="AB437" s="230"/>
      <c r="AC437" s="1936"/>
      <c r="AD437" s="230"/>
      <c r="AE437" s="230"/>
      <c r="AF437" s="230"/>
      <c r="AG437" s="890"/>
      <c r="AJ437" s="890"/>
      <c r="AN437" s="223"/>
      <c r="AO437" s="952"/>
      <c r="AP437" s="1066"/>
      <c r="AQ437" s="972"/>
      <c r="AR437" s="1917"/>
      <c r="AS437" s="222"/>
      <c r="AZ437" s="889"/>
      <c r="BC437" s="890"/>
      <c r="BD437" s="952"/>
      <c r="BE437" s="75"/>
      <c r="BF437" s="572"/>
      <c r="BG437" s="983"/>
      <c r="BH437" s="222"/>
      <c r="BL437" s="889"/>
      <c r="BO437" s="223"/>
    </row>
    <row r="438" spans="1:67" s="74" customFormat="1">
      <c r="A438" s="15"/>
      <c r="B438" s="15"/>
      <c r="C438" s="15"/>
      <c r="D438" s="15"/>
      <c r="E438" s="6"/>
      <c r="F438" s="6"/>
      <c r="G438" s="6"/>
      <c r="K438" s="223"/>
      <c r="M438" s="889"/>
      <c r="P438" s="890"/>
      <c r="T438" s="889"/>
      <c r="X438" s="15"/>
      <c r="Y438" s="1935"/>
      <c r="Z438" s="1086"/>
      <c r="AA438" s="230"/>
      <c r="AB438" s="230"/>
      <c r="AC438" s="1936"/>
      <c r="AD438" s="230"/>
      <c r="AE438" s="230"/>
      <c r="AF438" s="230"/>
      <c r="AG438" s="890"/>
      <c r="AJ438" s="890"/>
      <c r="AN438" s="223"/>
      <c r="AO438" s="952"/>
      <c r="AP438" s="1066"/>
      <c r="AQ438" s="972"/>
      <c r="AR438" s="1917"/>
      <c r="AS438" s="222"/>
      <c r="AZ438" s="889"/>
      <c r="BC438" s="890"/>
      <c r="BD438" s="952"/>
      <c r="BE438" s="75"/>
      <c r="BF438" s="572"/>
      <c r="BG438" s="983"/>
      <c r="BH438" s="222"/>
      <c r="BL438" s="889"/>
      <c r="BO438" s="223"/>
    </row>
    <row r="439" spans="1:67" s="74" customFormat="1">
      <c r="A439" s="15"/>
      <c r="B439" s="15"/>
      <c r="C439" s="15"/>
      <c r="D439" s="15"/>
      <c r="E439" s="6"/>
      <c r="F439" s="6"/>
      <c r="G439" s="6"/>
      <c r="K439" s="223"/>
      <c r="M439" s="889"/>
      <c r="P439" s="890"/>
      <c r="T439" s="889"/>
      <c r="X439" s="15"/>
      <c r="Y439" s="1935"/>
      <c r="Z439" s="1086"/>
      <c r="AA439" s="230"/>
      <c r="AB439" s="230"/>
      <c r="AC439" s="1936"/>
      <c r="AD439" s="230"/>
      <c r="AE439" s="230"/>
      <c r="AF439" s="230"/>
      <c r="AG439" s="890"/>
      <c r="AJ439" s="890"/>
      <c r="AN439" s="223"/>
      <c r="AO439" s="952"/>
      <c r="AP439" s="1066"/>
      <c r="AQ439" s="972"/>
      <c r="AR439" s="1917"/>
      <c r="AS439" s="222"/>
      <c r="AZ439" s="889"/>
      <c r="BC439" s="890"/>
      <c r="BD439" s="952"/>
      <c r="BE439" s="75"/>
      <c r="BF439" s="572"/>
      <c r="BG439" s="983"/>
      <c r="BH439" s="222"/>
      <c r="BL439" s="889"/>
      <c r="BO439" s="223"/>
    </row>
    <row r="440" spans="1:67" s="74" customFormat="1">
      <c r="A440" s="15"/>
      <c r="B440" s="15"/>
      <c r="C440" s="15"/>
      <c r="D440" s="15"/>
      <c r="E440" s="6"/>
      <c r="F440" s="6"/>
      <c r="G440" s="6"/>
      <c r="K440" s="223"/>
      <c r="M440" s="889"/>
      <c r="P440" s="890"/>
      <c r="T440" s="889"/>
      <c r="X440" s="15"/>
      <c r="Y440" s="1935"/>
      <c r="Z440" s="1086"/>
      <c r="AA440" s="230"/>
      <c r="AB440" s="230"/>
      <c r="AC440" s="1936"/>
      <c r="AD440" s="230"/>
      <c r="AE440" s="230"/>
      <c r="AF440" s="230"/>
      <c r="AG440" s="890"/>
      <c r="AJ440" s="890"/>
      <c r="AN440" s="223"/>
      <c r="AO440" s="952"/>
      <c r="AP440" s="1066"/>
      <c r="AQ440" s="972"/>
      <c r="AR440" s="1917"/>
      <c r="AS440" s="222"/>
      <c r="AZ440" s="889"/>
      <c r="BC440" s="890"/>
      <c r="BD440" s="952"/>
      <c r="BE440" s="75"/>
      <c r="BF440" s="572"/>
      <c r="BG440" s="983"/>
      <c r="BH440" s="222"/>
      <c r="BL440" s="889"/>
      <c r="BO440" s="223"/>
    </row>
    <row r="441" spans="1:67" s="74" customFormat="1">
      <c r="A441" s="15"/>
      <c r="B441" s="15"/>
      <c r="C441" s="15"/>
      <c r="D441" s="15"/>
      <c r="E441" s="6"/>
      <c r="F441" s="6"/>
      <c r="G441" s="6"/>
      <c r="K441" s="223"/>
      <c r="M441" s="889"/>
      <c r="P441" s="890"/>
      <c r="T441" s="889"/>
      <c r="X441" s="15"/>
      <c r="Y441" s="1935"/>
      <c r="Z441" s="1086"/>
      <c r="AA441" s="230"/>
      <c r="AB441" s="230"/>
      <c r="AC441" s="1936"/>
      <c r="AD441" s="230"/>
      <c r="AE441" s="230"/>
      <c r="AF441" s="230"/>
      <c r="AG441" s="890"/>
      <c r="AJ441" s="890"/>
      <c r="AN441" s="223"/>
      <c r="AO441" s="952"/>
      <c r="AP441" s="1066"/>
      <c r="AQ441" s="972"/>
      <c r="AR441" s="1917"/>
      <c r="AS441" s="222"/>
      <c r="AZ441" s="889"/>
      <c r="BC441" s="890"/>
      <c r="BD441" s="952"/>
      <c r="BE441" s="75"/>
      <c r="BF441" s="572"/>
      <c r="BG441" s="983"/>
      <c r="BH441" s="222"/>
      <c r="BL441" s="889"/>
      <c r="BO441" s="223"/>
    </row>
    <row r="442" spans="1:67" s="74" customFormat="1">
      <c r="A442" s="15"/>
      <c r="B442" s="15"/>
      <c r="C442" s="15"/>
      <c r="D442" s="15"/>
      <c r="E442" s="6"/>
      <c r="F442" s="6"/>
      <c r="G442" s="6"/>
      <c r="K442" s="223"/>
      <c r="M442" s="889"/>
      <c r="P442" s="890"/>
      <c r="T442" s="889"/>
      <c r="X442" s="15"/>
      <c r="Y442" s="1935"/>
      <c r="Z442" s="1086"/>
      <c r="AA442" s="230"/>
      <c r="AB442" s="230"/>
      <c r="AC442" s="1936"/>
      <c r="AD442" s="230"/>
      <c r="AE442" s="230"/>
      <c r="AF442" s="230"/>
      <c r="AG442" s="890"/>
      <c r="AJ442" s="890"/>
      <c r="AN442" s="223"/>
      <c r="AO442" s="952"/>
      <c r="AP442" s="1066"/>
      <c r="AQ442" s="972"/>
      <c r="AR442" s="1917"/>
      <c r="AS442" s="222"/>
      <c r="AZ442" s="889"/>
      <c r="BC442" s="890"/>
      <c r="BD442" s="952"/>
      <c r="BE442" s="75"/>
      <c r="BF442" s="572"/>
      <c r="BG442" s="983"/>
      <c r="BH442" s="222"/>
      <c r="BL442" s="889"/>
      <c r="BO442" s="223"/>
    </row>
    <row r="443" spans="1:67" s="74" customFormat="1">
      <c r="A443" s="15"/>
      <c r="B443" s="15"/>
      <c r="C443" s="15"/>
      <c r="D443" s="15"/>
      <c r="E443" s="6"/>
      <c r="F443" s="6"/>
      <c r="G443" s="6"/>
      <c r="K443" s="223"/>
      <c r="M443" s="889"/>
      <c r="P443" s="890"/>
      <c r="T443" s="889"/>
      <c r="X443" s="15"/>
      <c r="Y443" s="1935"/>
      <c r="Z443" s="1086"/>
      <c r="AA443" s="230"/>
      <c r="AB443" s="230"/>
      <c r="AC443" s="1936"/>
      <c r="AD443" s="230"/>
      <c r="AE443" s="230"/>
      <c r="AF443" s="230"/>
      <c r="AG443" s="890"/>
      <c r="AJ443" s="890"/>
      <c r="AN443" s="223"/>
      <c r="AO443" s="952"/>
      <c r="AP443" s="1066"/>
      <c r="AQ443" s="972"/>
      <c r="AR443" s="1917"/>
      <c r="AS443" s="222"/>
      <c r="AZ443" s="889"/>
      <c r="BC443" s="890"/>
      <c r="BD443" s="952"/>
      <c r="BE443" s="75"/>
      <c r="BF443" s="572"/>
      <c r="BG443" s="983"/>
      <c r="BH443" s="222"/>
      <c r="BL443" s="889"/>
      <c r="BO443" s="223"/>
    </row>
    <row r="444" spans="1:67" s="74" customFormat="1">
      <c r="A444" s="15"/>
      <c r="B444" s="15"/>
      <c r="C444" s="15"/>
      <c r="D444" s="15"/>
      <c r="E444" s="6"/>
      <c r="F444" s="6"/>
      <c r="G444" s="6"/>
      <c r="K444" s="223"/>
      <c r="M444" s="889"/>
      <c r="P444" s="890"/>
      <c r="T444" s="889"/>
      <c r="X444" s="15"/>
      <c r="Y444" s="1935"/>
      <c r="Z444" s="1086"/>
      <c r="AA444" s="230"/>
      <c r="AB444" s="230"/>
      <c r="AC444" s="1936"/>
      <c r="AD444" s="230"/>
      <c r="AE444" s="230"/>
      <c r="AF444" s="230"/>
      <c r="AG444" s="890"/>
      <c r="AJ444" s="890"/>
      <c r="AN444" s="223"/>
      <c r="AO444" s="952"/>
      <c r="AP444" s="1066"/>
      <c r="AQ444" s="972"/>
      <c r="AR444" s="1917"/>
      <c r="AS444" s="222"/>
      <c r="AZ444" s="889"/>
      <c r="BC444" s="890"/>
      <c r="BD444" s="952"/>
      <c r="BE444" s="75"/>
      <c r="BF444" s="572"/>
      <c r="BG444" s="983"/>
      <c r="BH444" s="222"/>
      <c r="BL444" s="889"/>
      <c r="BO444" s="223"/>
    </row>
    <row r="445" spans="1:67" s="74" customFormat="1">
      <c r="A445" s="15"/>
      <c r="B445" s="15"/>
      <c r="C445" s="15"/>
      <c r="D445" s="15"/>
      <c r="E445" s="6"/>
      <c r="F445" s="6"/>
      <c r="G445" s="6"/>
      <c r="K445" s="223"/>
      <c r="M445" s="889"/>
      <c r="P445" s="890"/>
      <c r="T445" s="889"/>
      <c r="X445" s="15"/>
      <c r="Y445" s="1935"/>
      <c r="Z445" s="1086"/>
      <c r="AA445" s="230"/>
      <c r="AB445" s="230"/>
      <c r="AC445" s="1936"/>
      <c r="AD445" s="230"/>
      <c r="AE445" s="230"/>
      <c r="AF445" s="230"/>
      <c r="AG445" s="890"/>
      <c r="AJ445" s="890"/>
      <c r="AN445" s="223"/>
      <c r="AO445" s="952"/>
      <c r="AP445" s="1066"/>
      <c r="AQ445" s="972"/>
      <c r="AR445" s="1917"/>
      <c r="AS445" s="222"/>
      <c r="AZ445" s="889"/>
      <c r="BC445" s="890"/>
      <c r="BD445" s="952"/>
      <c r="BE445" s="75"/>
      <c r="BF445" s="572"/>
      <c r="BG445" s="983"/>
      <c r="BH445" s="222"/>
      <c r="BL445" s="889"/>
      <c r="BO445" s="223"/>
    </row>
    <row r="446" spans="1:67" s="74" customFormat="1">
      <c r="A446" s="15"/>
      <c r="B446" s="15"/>
      <c r="C446" s="15"/>
      <c r="D446" s="15"/>
      <c r="E446" s="6"/>
      <c r="F446" s="6"/>
      <c r="G446" s="6"/>
      <c r="K446" s="223"/>
      <c r="M446" s="889"/>
      <c r="P446" s="890"/>
      <c r="T446" s="889"/>
      <c r="X446" s="15"/>
      <c r="Y446" s="1935"/>
      <c r="Z446" s="1086"/>
      <c r="AA446" s="230"/>
      <c r="AB446" s="230"/>
      <c r="AC446" s="1936"/>
      <c r="AD446" s="230"/>
      <c r="AE446" s="230"/>
      <c r="AF446" s="230"/>
      <c r="AG446" s="890"/>
      <c r="AJ446" s="890"/>
      <c r="AN446" s="223"/>
      <c r="AO446" s="952"/>
      <c r="AP446" s="1066"/>
      <c r="AQ446" s="972"/>
      <c r="AR446" s="1917"/>
      <c r="AS446" s="222"/>
      <c r="AZ446" s="889"/>
      <c r="BC446" s="890"/>
      <c r="BD446" s="952"/>
      <c r="BE446" s="75"/>
      <c r="BF446" s="572"/>
      <c r="BG446" s="983"/>
      <c r="BH446" s="222"/>
      <c r="BL446" s="889"/>
      <c r="BO446" s="223"/>
    </row>
    <row r="447" spans="1:67" s="74" customFormat="1">
      <c r="A447" s="15"/>
      <c r="B447" s="15"/>
      <c r="C447" s="15"/>
      <c r="D447" s="15"/>
      <c r="E447" s="6"/>
      <c r="F447" s="6"/>
      <c r="G447" s="6"/>
      <c r="K447" s="223"/>
      <c r="M447" s="889"/>
      <c r="P447" s="890"/>
      <c r="T447" s="889"/>
      <c r="X447" s="15"/>
      <c r="Y447" s="1935"/>
      <c r="Z447" s="1086"/>
      <c r="AA447" s="230"/>
      <c r="AB447" s="230"/>
      <c r="AC447" s="1936"/>
      <c r="AD447" s="230"/>
      <c r="AE447" s="230"/>
      <c r="AF447" s="230"/>
      <c r="AG447" s="890"/>
      <c r="AJ447" s="890"/>
      <c r="AN447" s="223"/>
      <c r="AO447" s="952"/>
      <c r="AP447" s="1066"/>
      <c r="AQ447" s="972"/>
      <c r="AR447" s="1917"/>
      <c r="AS447" s="222"/>
      <c r="AZ447" s="889"/>
      <c r="BC447" s="890"/>
      <c r="BD447" s="952"/>
      <c r="BE447" s="75"/>
      <c r="BF447" s="572"/>
      <c r="BG447" s="983"/>
      <c r="BH447" s="222"/>
      <c r="BL447" s="889"/>
      <c r="BO447" s="223"/>
    </row>
    <row r="448" spans="1:67" s="74" customFormat="1">
      <c r="A448" s="15"/>
      <c r="B448" s="15"/>
      <c r="C448" s="15"/>
      <c r="D448" s="15"/>
      <c r="E448" s="6"/>
      <c r="F448" s="6"/>
      <c r="G448" s="6"/>
      <c r="K448" s="223"/>
      <c r="M448" s="889"/>
      <c r="P448" s="890"/>
      <c r="T448" s="889"/>
      <c r="X448" s="15"/>
      <c r="Y448" s="1935"/>
      <c r="Z448" s="1086"/>
      <c r="AA448" s="230"/>
      <c r="AB448" s="230"/>
      <c r="AC448" s="1936"/>
      <c r="AD448" s="230"/>
      <c r="AE448" s="230"/>
      <c r="AF448" s="230"/>
      <c r="AG448" s="890"/>
      <c r="AJ448" s="890"/>
      <c r="AN448" s="223"/>
      <c r="AO448" s="952"/>
      <c r="AP448" s="1066"/>
      <c r="AQ448" s="972"/>
      <c r="AR448" s="1917"/>
      <c r="AS448" s="222"/>
      <c r="AZ448" s="889"/>
      <c r="BC448" s="890"/>
      <c r="BD448" s="952"/>
      <c r="BE448" s="75"/>
      <c r="BF448" s="572"/>
      <c r="BG448" s="983"/>
      <c r="BH448" s="222"/>
      <c r="BL448" s="889"/>
      <c r="BO448" s="223"/>
    </row>
    <row r="449" spans="1:67" s="74" customFormat="1">
      <c r="A449" s="15"/>
      <c r="B449" s="15"/>
      <c r="C449" s="15"/>
      <c r="D449" s="15"/>
      <c r="E449" s="6"/>
      <c r="F449" s="6"/>
      <c r="G449" s="6"/>
      <c r="K449" s="223"/>
      <c r="M449" s="889"/>
      <c r="P449" s="890"/>
      <c r="T449" s="889"/>
      <c r="X449" s="15"/>
      <c r="Y449" s="1935"/>
      <c r="Z449" s="1086"/>
      <c r="AA449" s="230"/>
      <c r="AB449" s="230"/>
      <c r="AC449" s="1936"/>
      <c r="AD449" s="230"/>
      <c r="AE449" s="230"/>
      <c r="AF449" s="230"/>
      <c r="AG449" s="890"/>
      <c r="AJ449" s="890"/>
      <c r="AN449" s="223"/>
      <c r="AO449" s="952"/>
      <c r="AP449" s="1066"/>
      <c r="AQ449" s="972"/>
      <c r="AR449" s="1917"/>
      <c r="AS449" s="222"/>
      <c r="AZ449" s="889"/>
      <c r="BC449" s="890"/>
      <c r="BD449" s="952"/>
      <c r="BE449" s="75"/>
      <c r="BF449" s="572"/>
      <c r="BG449" s="983"/>
      <c r="BH449" s="222"/>
      <c r="BL449" s="889"/>
      <c r="BO449" s="223"/>
    </row>
    <row r="450" spans="1:67" s="74" customFormat="1">
      <c r="A450" s="15"/>
      <c r="B450" s="15"/>
      <c r="C450" s="15"/>
      <c r="D450" s="15"/>
      <c r="E450" s="6"/>
      <c r="F450" s="6"/>
      <c r="G450" s="6"/>
      <c r="K450" s="223"/>
      <c r="M450" s="889"/>
      <c r="P450" s="890"/>
      <c r="T450" s="889"/>
      <c r="X450" s="15"/>
      <c r="Y450" s="1935"/>
      <c r="Z450" s="1086"/>
      <c r="AA450" s="230"/>
      <c r="AB450" s="230"/>
      <c r="AC450" s="1936"/>
      <c r="AD450" s="230"/>
      <c r="AE450" s="230"/>
      <c r="AF450" s="230"/>
      <c r="AG450" s="890"/>
      <c r="AJ450" s="890"/>
      <c r="AN450" s="223"/>
      <c r="AO450" s="952"/>
      <c r="AP450" s="1066"/>
      <c r="AQ450" s="972"/>
      <c r="AR450" s="1917"/>
      <c r="AS450" s="222"/>
      <c r="AZ450" s="889"/>
      <c r="BC450" s="890"/>
      <c r="BD450" s="952"/>
      <c r="BE450" s="75"/>
      <c r="BF450" s="572"/>
      <c r="BG450" s="983"/>
      <c r="BH450" s="222"/>
      <c r="BL450" s="889"/>
      <c r="BO450" s="223"/>
    </row>
    <row r="451" spans="1:67" s="74" customFormat="1">
      <c r="A451" s="15"/>
      <c r="B451" s="15"/>
      <c r="C451" s="15"/>
      <c r="D451" s="15"/>
      <c r="E451" s="6"/>
      <c r="F451" s="6"/>
      <c r="G451" s="6"/>
      <c r="K451" s="223"/>
      <c r="M451" s="889"/>
      <c r="P451" s="890"/>
      <c r="T451" s="889"/>
      <c r="X451" s="15"/>
      <c r="Y451" s="1935"/>
      <c r="Z451" s="1086"/>
      <c r="AA451" s="230"/>
      <c r="AB451" s="230"/>
      <c r="AC451" s="1936"/>
      <c r="AD451" s="230"/>
      <c r="AE451" s="230"/>
      <c r="AF451" s="230"/>
      <c r="AG451" s="890"/>
      <c r="AJ451" s="890"/>
      <c r="AN451" s="223"/>
      <c r="AO451" s="952"/>
      <c r="AP451" s="1066"/>
      <c r="AQ451" s="972"/>
      <c r="AR451" s="1917"/>
      <c r="AS451" s="222"/>
      <c r="AZ451" s="889"/>
      <c r="BC451" s="890"/>
      <c r="BD451" s="952"/>
      <c r="BE451" s="75"/>
      <c r="BF451" s="572"/>
      <c r="BG451" s="983"/>
      <c r="BH451" s="222"/>
      <c r="BL451" s="889"/>
      <c r="BO451" s="223"/>
    </row>
    <row r="452" spans="1:67" s="74" customFormat="1">
      <c r="A452" s="15"/>
      <c r="B452" s="15"/>
      <c r="C452" s="15"/>
      <c r="D452" s="15"/>
      <c r="E452" s="6"/>
      <c r="F452" s="6"/>
      <c r="G452" s="6"/>
      <c r="K452" s="223"/>
      <c r="M452" s="889"/>
      <c r="P452" s="890"/>
      <c r="T452" s="889"/>
      <c r="X452" s="15"/>
      <c r="Y452" s="1935"/>
      <c r="Z452" s="1086"/>
      <c r="AA452" s="230"/>
      <c r="AB452" s="230"/>
      <c r="AC452" s="1936"/>
      <c r="AD452" s="230"/>
      <c r="AE452" s="230"/>
      <c r="AF452" s="230"/>
      <c r="AG452" s="890"/>
      <c r="AJ452" s="890"/>
      <c r="AN452" s="223"/>
      <c r="AO452" s="952"/>
      <c r="AP452" s="1066"/>
      <c r="AQ452" s="972"/>
      <c r="AR452" s="1917"/>
      <c r="AS452" s="222"/>
      <c r="AZ452" s="889"/>
      <c r="BC452" s="890"/>
      <c r="BD452" s="952"/>
      <c r="BE452" s="75"/>
      <c r="BF452" s="572"/>
      <c r="BG452" s="983"/>
      <c r="BH452" s="222"/>
      <c r="BL452" s="889"/>
      <c r="BO452" s="223"/>
    </row>
    <row r="453" spans="1:67" s="74" customFormat="1">
      <c r="A453" s="15"/>
      <c r="B453" s="15"/>
      <c r="C453" s="15"/>
      <c r="D453" s="15"/>
      <c r="E453" s="6"/>
      <c r="F453" s="6"/>
      <c r="G453" s="6"/>
      <c r="K453" s="223"/>
      <c r="M453" s="889"/>
      <c r="P453" s="890"/>
      <c r="T453" s="889"/>
      <c r="X453" s="15"/>
      <c r="Y453" s="1935"/>
      <c r="Z453" s="1086"/>
      <c r="AA453" s="230"/>
      <c r="AB453" s="230"/>
      <c r="AC453" s="1936"/>
      <c r="AD453" s="230"/>
      <c r="AE453" s="230"/>
      <c r="AF453" s="230"/>
      <c r="AG453" s="890"/>
      <c r="AJ453" s="890"/>
      <c r="AN453" s="223"/>
      <c r="AO453" s="952"/>
      <c r="AP453" s="1066"/>
      <c r="AQ453" s="972"/>
      <c r="AR453" s="1917"/>
      <c r="AS453" s="222"/>
      <c r="AZ453" s="889"/>
      <c r="BC453" s="890"/>
      <c r="BD453" s="952"/>
      <c r="BE453" s="75"/>
      <c r="BF453" s="572"/>
      <c r="BG453" s="983"/>
      <c r="BH453" s="222"/>
      <c r="BL453" s="889"/>
      <c r="BO453" s="223"/>
    </row>
    <row r="454" spans="1:67" s="74" customFormat="1">
      <c r="A454" s="15"/>
      <c r="B454" s="15"/>
      <c r="C454" s="15"/>
      <c r="D454" s="15"/>
      <c r="E454" s="6"/>
      <c r="F454" s="6"/>
      <c r="G454" s="6"/>
      <c r="K454" s="223"/>
      <c r="M454" s="889"/>
      <c r="P454" s="890"/>
      <c r="T454" s="889"/>
      <c r="X454" s="15"/>
      <c r="Y454" s="1935"/>
      <c r="Z454" s="1086"/>
      <c r="AA454" s="230"/>
      <c r="AB454" s="230"/>
      <c r="AC454" s="1936"/>
      <c r="AD454" s="230"/>
      <c r="AE454" s="230"/>
      <c r="AF454" s="230"/>
      <c r="AG454" s="890"/>
      <c r="AJ454" s="890"/>
      <c r="AN454" s="223"/>
      <c r="AO454" s="952"/>
      <c r="AP454" s="1066"/>
      <c r="AQ454" s="972"/>
      <c r="AR454" s="1917"/>
      <c r="AS454" s="222"/>
      <c r="AZ454" s="889"/>
      <c r="BC454" s="890"/>
      <c r="BD454" s="952"/>
      <c r="BE454" s="75"/>
      <c r="BF454" s="572"/>
      <c r="BG454" s="983"/>
      <c r="BH454" s="222"/>
      <c r="BL454" s="889"/>
      <c r="BO454" s="223"/>
    </row>
    <row r="455" spans="1:67" s="74" customFormat="1">
      <c r="A455" s="15"/>
      <c r="B455" s="15"/>
      <c r="C455" s="15"/>
      <c r="D455" s="15"/>
      <c r="E455" s="6"/>
      <c r="F455" s="6"/>
      <c r="G455" s="6"/>
      <c r="K455" s="223"/>
      <c r="M455" s="889"/>
      <c r="P455" s="890"/>
      <c r="T455" s="889"/>
      <c r="X455" s="15"/>
      <c r="Y455" s="1935"/>
      <c r="Z455" s="1086"/>
      <c r="AA455" s="230"/>
      <c r="AB455" s="230"/>
      <c r="AC455" s="1936"/>
      <c r="AD455" s="230"/>
      <c r="AE455" s="230"/>
      <c r="AF455" s="230"/>
      <c r="AG455" s="890"/>
      <c r="AJ455" s="890"/>
      <c r="AN455" s="223"/>
      <c r="AO455" s="952"/>
      <c r="AP455" s="1066"/>
      <c r="AQ455" s="972"/>
      <c r="AR455" s="1917"/>
      <c r="AS455" s="222"/>
      <c r="AZ455" s="889"/>
      <c r="BC455" s="890"/>
      <c r="BD455" s="952"/>
      <c r="BE455" s="75"/>
      <c r="BF455" s="572"/>
      <c r="BG455" s="983"/>
      <c r="BH455" s="222"/>
      <c r="BL455" s="889"/>
      <c r="BO455" s="223"/>
    </row>
    <row r="456" spans="1:67" s="74" customFormat="1">
      <c r="A456" s="15"/>
      <c r="B456" s="15"/>
      <c r="C456" s="15"/>
      <c r="D456" s="15"/>
      <c r="E456" s="6"/>
      <c r="F456" s="6"/>
      <c r="G456" s="6"/>
      <c r="K456" s="223"/>
      <c r="M456" s="889"/>
      <c r="P456" s="890"/>
      <c r="T456" s="889"/>
      <c r="X456" s="15"/>
      <c r="Y456" s="1935"/>
      <c r="Z456" s="1086"/>
      <c r="AA456" s="230"/>
      <c r="AB456" s="230"/>
      <c r="AC456" s="1936"/>
      <c r="AD456" s="230"/>
      <c r="AE456" s="230"/>
      <c r="AF456" s="230"/>
      <c r="AG456" s="890"/>
      <c r="AJ456" s="890"/>
      <c r="AN456" s="223"/>
      <c r="AO456" s="952"/>
      <c r="AP456" s="1066"/>
      <c r="AQ456" s="972"/>
      <c r="AR456" s="1917"/>
      <c r="AS456" s="222"/>
      <c r="AZ456" s="889"/>
      <c r="BC456" s="890"/>
      <c r="BD456" s="952"/>
      <c r="BE456" s="75"/>
      <c r="BF456" s="572"/>
      <c r="BG456" s="983"/>
      <c r="BH456" s="222"/>
      <c r="BL456" s="889"/>
      <c r="BO456" s="223"/>
    </row>
    <row r="457" spans="1:67" s="74" customFormat="1">
      <c r="A457" s="15"/>
      <c r="B457" s="15"/>
      <c r="C457" s="15"/>
      <c r="D457" s="15"/>
      <c r="E457" s="6"/>
      <c r="F457" s="6"/>
      <c r="G457" s="6"/>
      <c r="K457" s="223"/>
      <c r="M457" s="889"/>
      <c r="P457" s="890"/>
      <c r="T457" s="889"/>
      <c r="X457" s="15"/>
      <c r="Y457" s="1935"/>
      <c r="Z457" s="1086"/>
      <c r="AA457" s="230"/>
      <c r="AB457" s="230"/>
      <c r="AC457" s="1936"/>
      <c r="AD457" s="230"/>
      <c r="AE457" s="230"/>
      <c r="AF457" s="230"/>
      <c r="AG457" s="890"/>
      <c r="AJ457" s="890"/>
      <c r="AN457" s="223"/>
      <c r="AO457" s="952"/>
      <c r="AP457" s="1066"/>
      <c r="AQ457" s="972"/>
      <c r="AR457" s="1917"/>
      <c r="AS457" s="222"/>
      <c r="AZ457" s="889"/>
      <c r="BC457" s="890"/>
      <c r="BD457" s="952"/>
      <c r="BE457" s="75"/>
      <c r="BF457" s="572"/>
      <c r="BG457" s="983"/>
      <c r="BH457" s="222"/>
      <c r="BL457" s="889"/>
      <c r="BO457" s="223"/>
    </row>
    <row r="458" spans="1:67" s="74" customFormat="1">
      <c r="A458" s="15"/>
      <c r="B458" s="15"/>
      <c r="C458" s="15"/>
      <c r="D458" s="15"/>
      <c r="E458" s="6"/>
      <c r="F458" s="6"/>
      <c r="G458" s="6"/>
      <c r="K458" s="223"/>
      <c r="M458" s="889"/>
      <c r="P458" s="890"/>
      <c r="T458" s="889"/>
      <c r="X458" s="15"/>
      <c r="Y458" s="1935"/>
      <c r="Z458" s="1086"/>
      <c r="AA458" s="230"/>
      <c r="AB458" s="230"/>
      <c r="AC458" s="1936"/>
      <c r="AD458" s="230"/>
      <c r="AE458" s="230"/>
      <c r="AF458" s="230"/>
      <c r="AG458" s="890"/>
      <c r="AJ458" s="890"/>
      <c r="AN458" s="223"/>
      <c r="AO458" s="952"/>
      <c r="AP458" s="1066"/>
      <c r="AQ458" s="972"/>
      <c r="AR458" s="1917"/>
      <c r="AS458" s="222"/>
      <c r="AZ458" s="889"/>
      <c r="BC458" s="890"/>
      <c r="BD458" s="952"/>
      <c r="BE458" s="75"/>
      <c r="BF458" s="572"/>
      <c r="BG458" s="983"/>
      <c r="BH458" s="222"/>
      <c r="BL458" s="889"/>
      <c r="BO458" s="223"/>
    </row>
    <row r="459" spans="1:67" s="74" customFormat="1">
      <c r="A459" s="15"/>
      <c r="B459" s="15"/>
      <c r="C459" s="15"/>
      <c r="D459" s="15"/>
      <c r="E459" s="6"/>
      <c r="F459" s="6"/>
      <c r="G459" s="6"/>
      <c r="K459" s="223"/>
      <c r="M459" s="889"/>
      <c r="P459" s="890"/>
      <c r="T459" s="889"/>
      <c r="X459" s="15"/>
      <c r="Y459" s="1935"/>
      <c r="Z459" s="1086"/>
      <c r="AA459" s="230"/>
      <c r="AB459" s="230"/>
      <c r="AC459" s="1936"/>
      <c r="AD459" s="230"/>
      <c r="AE459" s="230"/>
      <c r="AF459" s="230"/>
      <c r="AG459" s="890"/>
      <c r="AJ459" s="890"/>
      <c r="AN459" s="223"/>
      <c r="AO459" s="952"/>
      <c r="AP459" s="1066"/>
      <c r="AQ459" s="972"/>
      <c r="AR459" s="1917"/>
      <c r="AS459" s="222"/>
      <c r="AZ459" s="889"/>
      <c r="BC459" s="890"/>
      <c r="BD459" s="952"/>
      <c r="BE459" s="75"/>
      <c r="BF459" s="572"/>
      <c r="BG459" s="983"/>
      <c r="BH459" s="222"/>
      <c r="BL459" s="889"/>
      <c r="BO459" s="223"/>
    </row>
    <row r="460" spans="1:67" s="74" customFormat="1">
      <c r="A460" s="15"/>
      <c r="B460" s="15"/>
      <c r="C460" s="15"/>
      <c r="D460" s="15"/>
      <c r="E460" s="6"/>
      <c r="F460" s="6"/>
      <c r="G460" s="6"/>
      <c r="K460" s="223"/>
      <c r="M460" s="889"/>
      <c r="P460" s="890"/>
      <c r="T460" s="889"/>
      <c r="X460" s="15"/>
      <c r="Y460" s="1935"/>
      <c r="Z460" s="1086"/>
      <c r="AA460" s="230"/>
      <c r="AB460" s="230"/>
      <c r="AC460" s="1936"/>
      <c r="AD460" s="230"/>
      <c r="AE460" s="230"/>
      <c r="AF460" s="230"/>
      <c r="AG460" s="890"/>
      <c r="AJ460" s="890"/>
      <c r="AN460" s="223"/>
      <c r="AO460" s="952"/>
      <c r="AP460" s="1066"/>
      <c r="AQ460" s="972"/>
      <c r="AR460" s="1917"/>
      <c r="AS460" s="222"/>
      <c r="AZ460" s="889"/>
      <c r="BC460" s="890"/>
      <c r="BD460" s="952"/>
      <c r="BE460" s="75"/>
      <c r="BF460" s="572"/>
      <c r="BG460" s="983"/>
      <c r="BH460" s="222"/>
      <c r="BL460" s="889"/>
      <c r="BO460" s="223"/>
    </row>
    <row r="461" spans="1:67" s="74" customFormat="1">
      <c r="A461" s="15"/>
      <c r="B461" s="15"/>
      <c r="C461" s="15"/>
      <c r="D461" s="15"/>
      <c r="E461" s="6"/>
      <c r="F461" s="6"/>
      <c r="G461" s="6"/>
      <c r="K461" s="223"/>
      <c r="M461" s="889"/>
      <c r="P461" s="890"/>
      <c r="T461" s="889"/>
      <c r="X461" s="15"/>
      <c r="Y461" s="1935"/>
      <c r="Z461" s="1086"/>
      <c r="AA461" s="230"/>
      <c r="AB461" s="230"/>
      <c r="AC461" s="1936"/>
      <c r="AD461" s="230"/>
      <c r="AE461" s="230"/>
      <c r="AF461" s="230"/>
      <c r="AG461" s="890"/>
      <c r="AJ461" s="890"/>
      <c r="AN461" s="223"/>
      <c r="AO461" s="952"/>
      <c r="AP461" s="1066"/>
      <c r="AQ461" s="972"/>
      <c r="AR461" s="1917"/>
      <c r="AS461" s="222"/>
      <c r="AZ461" s="889"/>
      <c r="BC461" s="890"/>
      <c r="BD461" s="952"/>
      <c r="BE461" s="75"/>
      <c r="BF461" s="572"/>
      <c r="BG461" s="983"/>
      <c r="BH461" s="222"/>
      <c r="BL461" s="889"/>
      <c r="BO461" s="223"/>
    </row>
    <row r="462" spans="1:67" s="74" customFormat="1">
      <c r="A462" s="15"/>
      <c r="B462" s="15"/>
      <c r="C462" s="15"/>
      <c r="D462" s="15"/>
      <c r="E462" s="6"/>
      <c r="F462" s="6"/>
      <c r="G462" s="6"/>
      <c r="K462" s="223"/>
      <c r="M462" s="889"/>
      <c r="P462" s="890"/>
      <c r="T462" s="889"/>
      <c r="X462" s="15"/>
      <c r="Y462" s="1935"/>
      <c r="Z462" s="1086"/>
      <c r="AA462" s="230"/>
      <c r="AB462" s="230"/>
      <c r="AC462" s="1936"/>
      <c r="AD462" s="230"/>
      <c r="AE462" s="230"/>
      <c r="AF462" s="230"/>
      <c r="AG462" s="890"/>
      <c r="AJ462" s="890"/>
      <c r="AN462" s="223"/>
      <c r="AO462" s="952"/>
      <c r="AP462" s="1066"/>
      <c r="AQ462" s="972"/>
      <c r="AR462" s="1917"/>
      <c r="AS462" s="222"/>
      <c r="AZ462" s="889"/>
      <c r="BC462" s="890"/>
      <c r="BD462" s="952"/>
      <c r="BE462" s="75"/>
      <c r="BF462" s="572"/>
      <c r="BG462" s="983"/>
      <c r="BH462" s="222"/>
      <c r="BL462" s="889"/>
      <c r="BO462" s="223"/>
    </row>
    <row r="463" spans="1:67" s="74" customFormat="1">
      <c r="A463" s="15"/>
      <c r="B463" s="15"/>
      <c r="C463" s="15"/>
      <c r="D463" s="15"/>
      <c r="E463" s="6"/>
      <c r="F463" s="6"/>
      <c r="G463" s="6"/>
      <c r="K463" s="223"/>
      <c r="M463" s="889"/>
      <c r="P463" s="890"/>
      <c r="T463" s="889"/>
      <c r="X463" s="15"/>
      <c r="Y463" s="1935"/>
      <c r="Z463" s="1086"/>
      <c r="AA463" s="230"/>
      <c r="AB463" s="230"/>
      <c r="AC463" s="1936"/>
      <c r="AD463" s="230"/>
      <c r="AE463" s="230"/>
      <c r="AF463" s="230"/>
      <c r="AG463" s="890"/>
      <c r="AJ463" s="890"/>
      <c r="AN463" s="223"/>
      <c r="AO463" s="952"/>
      <c r="AP463" s="1066"/>
      <c r="AQ463" s="972"/>
      <c r="AR463" s="1917"/>
      <c r="AS463" s="222"/>
      <c r="AZ463" s="889"/>
      <c r="BC463" s="890"/>
      <c r="BD463" s="952"/>
      <c r="BE463" s="75"/>
      <c r="BF463" s="572"/>
      <c r="BG463" s="983"/>
      <c r="BH463" s="222"/>
      <c r="BL463" s="889"/>
      <c r="BO463" s="223"/>
    </row>
    <row r="464" spans="1:67" s="74" customFormat="1">
      <c r="A464" s="15"/>
      <c r="B464" s="15"/>
      <c r="C464" s="15"/>
      <c r="D464" s="15"/>
      <c r="E464" s="6"/>
      <c r="F464" s="6"/>
      <c r="G464" s="6"/>
      <c r="K464" s="223"/>
      <c r="M464" s="889"/>
      <c r="P464" s="890"/>
      <c r="T464" s="889"/>
      <c r="X464" s="15"/>
      <c r="Y464" s="1935"/>
      <c r="Z464" s="1086"/>
      <c r="AA464" s="230"/>
      <c r="AB464" s="230"/>
      <c r="AC464" s="1936"/>
      <c r="AD464" s="230"/>
      <c r="AE464" s="230"/>
      <c r="AF464" s="230"/>
      <c r="AG464" s="890"/>
      <c r="AJ464" s="890"/>
      <c r="AN464" s="223"/>
      <c r="AO464" s="952"/>
      <c r="AP464" s="1066"/>
      <c r="AQ464" s="972"/>
      <c r="AR464" s="1917"/>
      <c r="AS464" s="222"/>
      <c r="AZ464" s="889"/>
      <c r="BC464" s="890"/>
      <c r="BD464" s="952"/>
      <c r="BE464" s="75"/>
      <c r="BF464" s="572"/>
      <c r="BG464" s="983"/>
      <c r="BH464" s="222"/>
      <c r="BL464" s="889"/>
      <c r="BO464" s="223"/>
    </row>
    <row r="465" spans="1:67" s="74" customFormat="1">
      <c r="A465" s="15"/>
      <c r="B465" s="15"/>
      <c r="C465" s="15"/>
      <c r="D465" s="15"/>
      <c r="E465" s="6"/>
      <c r="F465" s="6"/>
      <c r="G465" s="6"/>
      <c r="K465" s="223"/>
      <c r="M465" s="889"/>
      <c r="P465" s="890"/>
      <c r="T465" s="889"/>
      <c r="X465" s="15"/>
      <c r="Y465" s="1935"/>
      <c r="Z465" s="1086"/>
      <c r="AA465" s="230"/>
      <c r="AB465" s="230"/>
      <c r="AC465" s="1936"/>
      <c r="AD465" s="230"/>
      <c r="AE465" s="230"/>
      <c r="AF465" s="230"/>
      <c r="AG465" s="890"/>
      <c r="AJ465" s="890"/>
      <c r="AN465" s="223"/>
      <c r="AO465" s="952"/>
      <c r="AP465" s="1066"/>
      <c r="AQ465" s="972"/>
      <c r="AR465" s="1917"/>
      <c r="AS465" s="222"/>
      <c r="AZ465" s="889"/>
      <c r="BC465" s="890"/>
      <c r="BD465" s="952"/>
      <c r="BE465" s="75"/>
      <c r="BF465" s="572"/>
      <c r="BG465" s="983"/>
      <c r="BH465" s="222"/>
      <c r="BL465" s="889"/>
      <c r="BO465" s="223"/>
    </row>
    <row r="466" spans="1:67" s="74" customFormat="1">
      <c r="A466" s="15"/>
      <c r="B466" s="15"/>
      <c r="C466" s="15"/>
      <c r="D466" s="15"/>
      <c r="E466" s="6"/>
      <c r="F466" s="6"/>
      <c r="G466" s="6"/>
      <c r="K466" s="223"/>
      <c r="M466" s="889"/>
      <c r="P466" s="890"/>
      <c r="T466" s="889"/>
      <c r="X466" s="15"/>
      <c r="Y466" s="1935"/>
      <c r="Z466" s="1086"/>
      <c r="AA466" s="230"/>
      <c r="AB466" s="230"/>
      <c r="AC466" s="1936"/>
      <c r="AD466" s="230"/>
      <c r="AE466" s="230"/>
      <c r="AF466" s="230"/>
      <c r="AG466" s="890"/>
      <c r="AJ466" s="890"/>
      <c r="AN466" s="223"/>
      <c r="AO466" s="952"/>
      <c r="AP466" s="1066"/>
      <c r="AQ466" s="972"/>
      <c r="AR466" s="1917"/>
      <c r="AS466" s="222"/>
      <c r="AZ466" s="889"/>
      <c r="BC466" s="890"/>
      <c r="BD466" s="952"/>
      <c r="BE466" s="75"/>
      <c r="BF466" s="572"/>
      <c r="BG466" s="983"/>
      <c r="BH466" s="222"/>
      <c r="BL466" s="889"/>
      <c r="BO466" s="223"/>
    </row>
    <row r="467" spans="1:67" s="74" customFormat="1">
      <c r="A467" s="15"/>
      <c r="B467" s="15"/>
      <c r="C467" s="15"/>
      <c r="D467" s="15"/>
      <c r="E467" s="6"/>
      <c r="F467" s="6"/>
      <c r="G467" s="6"/>
      <c r="K467" s="223"/>
      <c r="M467" s="889"/>
      <c r="P467" s="890"/>
      <c r="T467" s="889"/>
      <c r="X467" s="15"/>
      <c r="Y467" s="1935"/>
      <c r="Z467" s="1086"/>
      <c r="AA467" s="230"/>
      <c r="AB467" s="230"/>
      <c r="AC467" s="1936"/>
      <c r="AD467" s="230"/>
      <c r="AE467" s="230"/>
      <c r="AF467" s="230"/>
      <c r="AG467" s="890"/>
      <c r="AJ467" s="890"/>
      <c r="AN467" s="223"/>
      <c r="AO467" s="952"/>
      <c r="AP467" s="1066"/>
      <c r="AQ467" s="972"/>
      <c r="AR467" s="1917"/>
      <c r="AS467" s="222"/>
      <c r="AZ467" s="889"/>
      <c r="BC467" s="890"/>
      <c r="BD467" s="952"/>
      <c r="BE467" s="75"/>
      <c r="BF467" s="572"/>
      <c r="BG467" s="983"/>
      <c r="BH467" s="222"/>
      <c r="BL467" s="889"/>
      <c r="BO467" s="223"/>
    </row>
    <row r="468" spans="1:67" s="74" customFormat="1">
      <c r="A468" s="15"/>
      <c r="B468" s="15"/>
      <c r="C468" s="15"/>
      <c r="D468" s="15"/>
      <c r="E468" s="6"/>
      <c r="F468" s="6"/>
      <c r="G468" s="6"/>
      <c r="K468" s="223"/>
      <c r="M468" s="889"/>
      <c r="P468" s="890"/>
      <c r="T468" s="889"/>
      <c r="X468" s="15"/>
      <c r="Y468" s="1935"/>
      <c r="Z468" s="1086"/>
      <c r="AA468" s="230"/>
      <c r="AB468" s="230"/>
      <c r="AC468" s="1936"/>
      <c r="AD468" s="230"/>
      <c r="AE468" s="230"/>
      <c r="AF468" s="230"/>
      <c r="AG468" s="890"/>
      <c r="AJ468" s="890"/>
      <c r="AN468" s="223"/>
      <c r="AO468" s="952"/>
      <c r="AP468" s="1066"/>
      <c r="AQ468" s="972"/>
      <c r="AR468" s="1917"/>
      <c r="AS468" s="222"/>
      <c r="AZ468" s="889"/>
      <c r="BC468" s="890"/>
      <c r="BD468" s="952"/>
      <c r="BE468" s="75"/>
      <c r="BF468" s="572"/>
      <c r="BG468" s="983"/>
      <c r="BH468" s="222"/>
      <c r="BL468" s="889"/>
      <c r="BO468" s="223"/>
    </row>
    <row r="469" spans="1:67" s="74" customFormat="1">
      <c r="A469" s="15"/>
      <c r="B469" s="15"/>
      <c r="C469" s="15"/>
      <c r="D469" s="15"/>
      <c r="E469" s="6"/>
      <c r="F469" s="6"/>
      <c r="G469" s="6"/>
      <c r="K469" s="223"/>
      <c r="M469" s="889"/>
      <c r="P469" s="890"/>
      <c r="T469" s="889"/>
      <c r="X469" s="15"/>
      <c r="Y469" s="1935"/>
      <c r="Z469" s="1086"/>
      <c r="AA469" s="230"/>
      <c r="AB469" s="230"/>
      <c r="AC469" s="1936"/>
      <c r="AD469" s="230"/>
      <c r="AE469" s="230"/>
      <c r="AF469" s="230"/>
      <c r="AG469" s="890"/>
      <c r="AJ469" s="890"/>
      <c r="AN469" s="223"/>
      <c r="AO469" s="952"/>
      <c r="AP469" s="1066"/>
      <c r="AQ469" s="972"/>
      <c r="AR469" s="1917"/>
      <c r="AS469" s="222"/>
      <c r="AZ469" s="889"/>
      <c r="BC469" s="890"/>
      <c r="BD469" s="952"/>
      <c r="BE469" s="75"/>
      <c r="BF469" s="572"/>
      <c r="BG469" s="983"/>
      <c r="BH469" s="222"/>
      <c r="BL469" s="889"/>
      <c r="BO469" s="223"/>
    </row>
    <row r="470" spans="1:67" s="74" customFormat="1">
      <c r="A470" s="15"/>
      <c r="B470" s="15"/>
      <c r="C470" s="15"/>
      <c r="D470" s="15"/>
      <c r="E470" s="6"/>
      <c r="F470" s="6"/>
      <c r="G470" s="6"/>
      <c r="K470" s="223"/>
      <c r="M470" s="889"/>
      <c r="P470" s="890"/>
      <c r="T470" s="889"/>
      <c r="X470" s="15"/>
      <c r="Y470" s="1935"/>
      <c r="Z470" s="1086"/>
      <c r="AA470" s="230"/>
      <c r="AB470" s="230"/>
      <c r="AC470" s="1936"/>
      <c r="AD470" s="230"/>
      <c r="AE470" s="230"/>
      <c r="AF470" s="230"/>
      <c r="AG470" s="890"/>
      <c r="AJ470" s="890"/>
      <c r="AN470" s="223"/>
      <c r="AO470" s="952"/>
      <c r="AP470" s="1066"/>
      <c r="AQ470" s="972"/>
      <c r="AR470" s="1917"/>
      <c r="AS470" s="222"/>
      <c r="AZ470" s="889"/>
      <c r="BC470" s="890"/>
      <c r="BD470" s="952"/>
      <c r="BE470" s="75"/>
      <c r="BF470" s="572"/>
      <c r="BG470" s="983"/>
      <c r="BH470" s="222"/>
      <c r="BL470" s="889"/>
      <c r="BO470" s="223"/>
    </row>
    <row r="471" spans="1:67" s="74" customFormat="1">
      <c r="A471" s="15"/>
      <c r="B471" s="15"/>
      <c r="C471" s="15"/>
      <c r="D471" s="15"/>
      <c r="E471" s="6"/>
      <c r="F471" s="6"/>
      <c r="G471" s="6"/>
      <c r="K471" s="223"/>
      <c r="M471" s="889"/>
      <c r="P471" s="890"/>
      <c r="T471" s="889"/>
      <c r="X471" s="15"/>
      <c r="Y471" s="1935"/>
      <c r="Z471" s="1086"/>
      <c r="AA471" s="230"/>
      <c r="AB471" s="230"/>
      <c r="AC471" s="1936"/>
      <c r="AD471" s="230"/>
      <c r="AE471" s="230"/>
      <c r="AF471" s="230"/>
      <c r="AG471" s="890"/>
      <c r="AJ471" s="890"/>
      <c r="AN471" s="223"/>
      <c r="AO471" s="952"/>
      <c r="AP471" s="1066"/>
      <c r="AQ471" s="972"/>
      <c r="AR471" s="1917"/>
      <c r="AS471" s="222"/>
      <c r="AZ471" s="889"/>
      <c r="BC471" s="890"/>
      <c r="BD471" s="952"/>
      <c r="BE471" s="75"/>
      <c r="BF471" s="572"/>
      <c r="BG471" s="983"/>
      <c r="BH471" s="222"/>
      <c r="BL471" s="889"/>
      <c r="BO471" s="223"/>
    </row>
    <row r="472" spans="1:67" s="74" customFormat="1">
      <c r="A472" s="15"/>
      <c r="B472" s="15"/>
      <c r="C472" s="15"/>
      <c r="D472" s="15"/>
      <c r="E472" s="6"/>
      <c r="F472" s="6"/>
      <c r="G472" s="6"/>
      <c r="K472" s="223"/>
      <c r="M472" s="889"/>
      <c r="P472" s="890"/>
      <c r="T472" s="889"/>
      <c r="X472" s="15"/>
      <c r="Y472" s="1935"/>
      <c r="Z472" s="1086"/>
      <c r="AA472" s="230"/>
      <c r="AB472" s="230"/>
      <c r="AC472" s="1936"/>
      <c r="AD472" s="230"/>
      <c r="AE472" s="230"/>
      <c r="AF472" s="230"/>
      <c r="AG472" s="890"/>
      <c r="AJ472" s="890"/>
      <c r="AN472" s="223"/>
      <c r="AO472" s="952"/>
      <c r="AP472" s="1066"/>
      <c r="AQ472" s="972"/>
      <c r="AR472" s="1917"/>
      <c r="AS472" s="222"/>
      <c r="AZ472" s="889"/>
      <c r="BC472" s="890"/>
      <c r="BD472" s="952"/>
      <c r="BE472" s="75"/>
      <c r="BF472" s="572"/>
      <c r="BG472" s="983"/>
      <c r="BH472" s="222"/>
      <c r="BL472" s="889"/>
      <c r="BO472" s="223"/>
    </row>
    <row r="473" spans="1:67" s="74" customFormat="1">
      <c r="A473" s="15"/>
      <c r="B473" s="15"/>
      <c r="C473" s="15"/>
      <c r="D473" s="15"/>
      <c r="E473" s="6"/>
      <c r="F473" s="6"/>
      <c r="G473" s="6"/>
      <c r="K473" s="223"/>
      <c r="M473" s="889"/>
      <c r="P473" s="890"/>
      <c r="T473" s="889"/>
      <c r="X473" s="15"/>
      <c r="Y473" s="1935"/>
      <c r="Z473" s="1086"/>
      <c r="AA473" s="230"/>
      <c r="AB473" s="230"/>
      <c r="AC473" s="1936"/>
      <c r="AD473" s="230"/>
      <c r="AE473" s="230"/>
      <c r="AF473" s="230"/>
      <c r="AG473" s="890"/>
      <c r="AJ473" s="890"/>
      <c r="AN473" s="223"/>
      <c r="AO473" s="952"/>
      <c r="AP473" s="1066"/>
      <c r="AQ473" s="972"/>
      <c r="AR473" s="1917"/>
      <c r="AS473" s="222"/>
      <c r="AZ473" s="889"/>
      <c r="BC473" s="890"/>
      <c r="BD473" s="952"/>
      <c r="BE473" s="75"/>
      <c r="BF473" s="572"/>
      <c r="BG473" s="983"/>
      <c r="BH473" s="222"/>
      <c r="BL473" s="889"/>
      <c r="BO473" s="223"/>
    </row>
    <row r="474" spans="1:67" s="74" customFormat="1">
      <c r="A474" s="15"/>
      <c r="B474" s="15"/>
      <c r="C474" s="15"/>
      <c r="D474" s="15"/>
      <c r="E474" s="6"/>
      <c r="F474" s="6"/>
      <c r="G474" s="6"/>
      <c r="K474" s="223"/>
      <c r="M474" s="889"/>
      <c r="P474" s="890"/>
      <c r="T474" s="889"/>
      <c r="X474" s="15"/>
      <c r="Y474" s="1935"/>
      <c r="Z474" s="1086"/>
      <c r="AA474" s="230"/>
      <c r="AB474" s="230"/>
      <c r="AC474" s="1936"/>
      <c r="AD474" s="230"/>
      <c r="AE474" s="230"/>
      <c r="AF474" s="230"/>
      <c r="AG474" s="890"/>
      <c r="AJ474" s="890"/>
      <c r="AN474" s="223"/>
      <c r="AO474" s="952"/>
      <c r="AP474" s="1066"/>
      <c r="AQ474" s="972"/>
      <c r="AR474" s="1917"/>
      <c r="AS474" s="222"/>
      <c r="AZ474" s="889"/>
      <c r="BC474" s="890"/>
      <c r="BD474" s="952"/>
      <c r="BE474" s="75"/>
      <c r="BF474" s="572"/>
      <c r="BG474" s="983"/>
      <c r="BH474" s="222"/>
      <c r="BL474" s="889"/>
      <c r="BO474" s="223"/>
    </row>
    <row r="475" spans="1:67" s="74" customFormat="1">
      <c r="A475" s="15"/>
      <c r="B475" s="15"/>
      <c r="C475" s="15"/>
      <c r="D475" s="15"/>
      <c r="E475" s="6"/>
      <c r="F475" s="6"/>
      <c r="G475" s="6"/>
      <c r="K475" s="223"/>
      <c r="M475" s="889"/>
      <c r="P475" s="890"/>
      <c r="T475" s="889"/>
      <c r="X475" s="15"/>
      <c r="Y475" s="1935"/>
      <c r="Z475" s="1086"/>
      <c r="AA475" s="230"/>
      <c r="AB475" s="230"/>
      <c r="AC475" s="1936"/>
      <c r="AD475" s="230"/>
      <c r="AE475" s="230"/>
      <c r="AF475" s="230"/>
      <c r="AG475" s="890"/>
      <c r="AJ475" s="890"/>
      <c r="AN475" s="223"/>
      <c r="AO475" s="952"/>
      <c r="AP475" s="1066"/>
      <c r="AQ475" s="972"/>
      <c r="AR475" s="1917"/>
      <c r="AS475" s="222"/>
      <c r="AZ475" s="889"/>
      <c r="BC475" s="890"/>
      <c r="BD475" s="952"/>
      <c r="BE475" s="75"/>
      <c r="BF475" s="572"/>
      <c r="BG475" s="983"/>
      <c r="BH475" s="222"/>
      <c r="BL475" s="889"/>
      <c r="BO475" s="223"/>
    </row>
    <row r="476" spans="1:67" s="74" customFormat="1">
      <c r="A476" s="15"/>
      <c r="B476" s="15"/>
      <c r="C476" s="15"/>
      <c r="D476" s="15"/>
      <c r="E476" s="6"/>
      <c r="F476" s="6"/>
      <c r="G476" s="6"/>
      <c r="K476" s="223"/>
      <c r="M476" s="889"/>
      <c r="P476" s="890"/>
      <c r="T476" s="889"/>
      <c r="X476" s="15"/>
      <c r="Y476" s="1935"/>
      <c r="Z476" s="1086"/>
      <c r="AA476" s="230"/>
      <c r="AB476" s="230"/>
      <c r="AC476" s="1936"/>
      <c r="AD476" s="230"/>
      <c r="AE476" s="230"/>
      <c r="AF476" s="230"/>
      <c r="AG476" s="890"/>
      <c r="AJ476" s="890"/>
      <c r="AN476" s="223"/>
      <c r="AO476" s="952"/>
      <c r="AP476" s="1066"/>
      <c r="AQ476" s="972"/>
      <c r="AR476" s="1917"/>
      <c r="AS476" s="222"/>
      <c r="AZ476" s="889"/>
      <c r="BC476" s="890"/>
      <c r="BD476" s="952"/>
      <c r="BE476" s="75"/>
      <c r="BF476" s="572"/>
      <c r="BG476" s="983"/>
      <c r="BH476" s="222"/>
      <c r="BL476" s="889"/>
      <c r="BO476" s="223"/>
    </row>
    <row r="477" spans="1:67" s="74" customFormat="1">
      <c r="A477" s="15"/>
      <c r="B477" s="15"/>
      <c r="C477" s="15"/>
      <c r="D477" s="15"/>
      <c r="E477" s="6"/>
      <c r="F477" s="6"/>
      <c r="G477" s="6"/>
      <c r="K477" s="223"/>
      <c r="M477" s="889"/>
      <c r="P477" s="890"/>
      <c r="T477" s="889"/>
      <c r="X477" s="15"/>
      <c r="Y477" s="1935"/>
      <c r="Z477" s="1086"/>
      <c r="AA477" s="230"/>
      <c r="AB477" s="230"/>
      <c r="AC477" s="1936"/>
      <c r="AD477" s="230"/>
      <c r="AE477" s="230"/>
      <c r="AF477" s="230"/>
      <c r="AG477" s="890"/>
      <c r="AJ477" s="890"/>
      <c r="AN477" s="223"/>
      <c r="AO477" s="952"/>
      <c r="AP477" s="1066"/>
      <c r="AQ477" s="972"/>
      <c r="AR477" s="1917"/>
      <c r="AS477" s="222"/>
      <c r="AZ477" s="889"/>
      <c r="BC477" s="890"/>
      <c r="BD477" s="952"/>
      <c r="BE477" s="75"/>
      <c r="BF477" s="572"/>
      <c r="BG477" s="983"/>
      <c r="BH477" s="222"/>
      <c r="BL477" s="889"/>
      <c r="BO477" s="223"/>
    </row>
    <row r="478" spans="1:67" s="74" customFormat="1">
      <c r="A478" s="15"/>
      <c r="B478" s="15"/>
      <c r="C478" s="15"/>
      <c r="D478" s="15"/>
      <c r="E478" s="6"/>
      <c r="F478" s="6"/>
      <c r="G478" s="6"/>
      <c r="K478" s="223"/>
      <c r="M478" s="889"/>
      <c r="P478" s="890"/>
      <c r="T478" s="889"/>
      <c r="X478" s="15"/>
      <c r="Y478" s="1935"/>
      <c r="Z478" s="1086"/>
      <c r="AA478" s="230"/>
      <c r="AB478" s="230"/>
      <c r="AC478" s="1936"/>
      <c r="AD478" s="230"/>
      <c r="AE478" s="230"/>
      <c r="AF478" s="230"/>
      <c r="AG478" s="890"/>
      <c r="AJ478" s="890"/>
      <c r="AN478" s="223"/>
      <c r="AO478" s="952"/>
      <c r="AP478" s="1066"/>
      <c r="AQ478" s="972"/>
      <c r="AR478" s="1917"/>
      <c r="AS478" s="222"/>
      <c r="AZ478" s="889"/>
      <c r="BC478" s="890"/>
      <c r="BD478" s="952"/>
      <c r="BE478" s="75"/>
      <c r="BF478" s="572"/>
      <c r="BG478" s="983"/>
      <c r="BH478" s="222"/>
      <c r="BL478" s="889"/>
      <c r="BO478" s="223"/>
    </row>
    <row r="479" spans="1:67" s="74" customFormat="1">
      <c r="A479" s="15"/>
      <c r="B479" s="15"/>
      <c r="C479" s="15"/>
      <c r="D479" s="15"/>
      <c r="E479" s="6"/>
      <c r="F479" s="6"/>
      <c r="G479" s="6"/>
      <c r="K479" s="223"/>
      <c r="M479" s="889"/>
      <c r="P479" s="890"/>
      <c r="T479" s="889"/>
      <c r="X479" s="15"/>
      <c r="Y479" s="1935"/>
      <c r="Z479" s="1086"/>
      <c r="AA479" s="230"/>
      <c r="AB479" s="230"/>
      <c r="AC479" s="1936"/>
      <c r="AD479" s="230"/>
      <c r="AE479" s="230"/>
      <c r="AF479" s="230"/>
      <c r="AG479" s="890"/>
      <c r="AJ479" s="890"/>
      <c r="AN479" s="223"/>
      <c r="AO479" s="952"/>
      <c r="AP479" s="1066"/>
      <c r="AQ479" s="972"/>
      <c r="AR479" s="1917"/>
      <c r="AS479" s="222"/>
      <c r="AZ479" s="889"/>
      <c r="BC479" s="890"/>
      <c r="BD479" s="952"/>
      <c r="BE479" s="75"/>
      <c r="BF479" s="572"/>
      <c r="BG479" s="983"/>
      <c r="BH479" s="222"/>
      <c r="BL479" s="889"/>
      <c r="BO479" s="223"/>
    </row>
    <row r="480" spans="1:67" s="74" customFormat="1">
      <c r="A480" s="15"/>
      <c r="B480" s="15"/>
      <c r="C480" s="15"/>
      <c r="D480" s="15"/>
      <c r="E480" s="6"/>
      <c r="F480" s="6"/>
      <c r="G480" s="6"/>
      <c r="K480" s="223"/>
      <c r="M480" s="889"/>
      <c r="P480" s="890"/>
      <c r="T480" s="889"/>
      <c r="X480" s="15"/>
      <c r="Y480" s="1935"/>
      <c r="Z480" s="1086"/>
      <c r="AA480" s="230"/>
      <c r="AB480" s="230"/>
      <c r="AC480" s="1936"/>
      <c r="AD480" s="230"/>
      <c r="AE480" s="230"/>
      <c r="AF480" s="230"/>
      <c r="AG480" s="890"/>
      <c r="AJ480" s="890"/>
      <c r="AN480" s="223"/>
      <c r="AO480" s="952"/>
      <c r="AP480" s="1066"/>
      <c r="AQ480" s="972"/>
      <c r="AR480" s="1917"/>
      <c r="AS480" s="222"/>
      <c r="AZ480" s="889"/>
      <c r="BC480" s="890"/>
      <c r="BD480" s="952"/>
      <c r="BE480" s="75"/>
      <c r="BF480" s="572"/>
      <c r="BG480" s="983"/>
      <c r="BH480" s="222"/>
      <c r="BL480" s="889"/>
      <c r="BO480" s="223"/>
    </row>
    <row r="481" spans="1:67" s="74" customFormat="1">
      <c r="A481" s="15"/>
      <c r="B481" s="15"/>
      <c r="C481" s="15"/>
      <c r="D481" s="15"/>
      <c r="E481" s="6"/>
      <c r="F481" s="6"/>
      <c r="G481" s="6"/>
      <c r="K481" s="223"/>
      <c r="M481" s="889"/>
      <c r="P481" s="890"/>
      <c r="T481" s="889"/>
      <c r="X481" s="15"/>
      <c r="Y481" s="1935"/>
      <c r="Z481" s="1086"/>
      <c r="AA481" s="230"/>
      <c r="AB481" s="230"/>
      <c r="AC481" s="1936"/>
      <c r="AD481" s="230"/>
      <c r="AE481" s="230"/>
      <c r="AF481" s="230"/>
      <c r="AG481" s="890"/>
      <c r="AJ481" s="890"/>
      <c r="AN481" s="223"/>
      <c r="AO481" s="952"/>
      <c r="AP481" s="1066"/>
      <c r="AQ481" s="972"/>
      <c r="AR481" s="1917"/>
      <c r="AS481" s="222"/>
      <c r="AZ481" s="889"/>
      <c r="BC481" s="890"/>
      <c r="BD481" s="952"/>
      <c r="BE481" s="75"/>
      <c r="BF481" s="572"/>
      <c r="BG481" s="983"/>
      <c r="BH481" s="222"/>
      <c r="BL481" s="889"/>
      <c r="BO481" s="223"/>
    </row>
    <row r="482" spans="1:67" s="74" customFormat="1">
      <c r="A482" s="15"/>
      <c r="B482" s="15"/>
      <c r="C482" s="15"/>
      <c r="D482" s="15"/>
      <c r="E482" s="6"/>
      <c r="F482" s="6"/>
      <c r="G482" s="6"/>
      <c r="K482" s="223"/>
      <c r="M482" s="889"/>
      <c r="P482" s="890"/>
      <c r="T482" s="889"/>
      <c r="X482" s="15"/>
      <c r="Y482" s="1935"/>
      <c r="Z482" s="1086"/>
      <c r="AA482" s="230"/>
      <c r="AB482" s="230"/>
      <c r="AC482" s="1936"/>
      <c r="AD482" s="230"/>
      <c r="AE482" s="230"/>
      <c r="AF482" s="230"/>
      <c r="AG482" s="890"/>
      <c r="AJ482" s="890"/>
      <c r="AN482" s="223"/>
      <c r="AO482" s="952"/>
      <c r="AP482" s="1066"/>
      <c r="AQ482" s="972"/>
      <c r="AR482" s="1917"/>
      <c r="AS482" s="222"/>
      <c r="AZ482" s="889"/>
      <c r="BC482" s="890"/>
      <c r="BD482" s="952"/>
      <c r="BE482" s="75"/>
      <c r="BF482" s="572"/>
      <c r="BG482" s="983"/>
      <c r="BH482" s="222"/>
      <c r="BL482" s="889"/>
      <c r="BO482" s="223"/>
    </row>
    <row r="483" spans="1:67" s="74" customFormat="1">
      <c r="A483" s="15"/>
      <c r="B483" s="15"/>
      <c r="C483" s="15"/>
      <c r="D483" s="15"/>
      <c r="E483" s="6"/>
      <c r="F483" s="6"/>
      <c r="G483" s="6"/>
      <c r="K483" s="223"/>
      <c r="M483" s="889"/>
      <c r="P483" s="890"/>
      <c r="T483" s="889"/>
      <c r="X483" s="15"/>
      <c r="Y483" s="1935"/>
      <c r="Z483" s="1086"/>
      <c r="AA483" s="230"/>
      <c r="AB483" s="230"/>
      <c r="AC483" s="1936"/>
      <c r="AD483" s="230"/>
      <c r="AE483" s="230"/>
      <c r="AF483" s="230"/>
      <c r="AG483" s="890"/>
      <c r="AJ483" s="890"/>
      <c r="AN483" s="223"/>
      <c r="AO483" s="952"/>
      <c r="AP483" s="1066"/>
      <c r="AQ483" s="972"/>
      <c r="AR483" s="1917"/>
      <c r="AS483" s="222"/>
      <c r="AZ483" s="889"/>
      <c r="BC483" s="890"/>
      <c r="BD483" s="952"/>
      <c r="BE483" s="75"/>
      <c r="BF483" s="572"/>
      <c r="BG483" s="983"/>
      <c r="BH483" s="222"/>
      <c r="BL483" s="889"/>
      <c r="BO483" s="223"/>
    </row>
    <row r="484" spans="1:67" s="74" customFormat="1">
      <c r="A484" s="15"/>
      <c r="B484" s="15"/>
      <c r="C484" s="15"/>
      <c r="D484" s="15"/>
      <c r="E484" s="6"/>
      <c r="F484" s="6"/>
      <c r="G484" s="6"/>
      <c r="K484" s="223"/>
      <c r="M484" s="889"/>
      <c r="P484" s="890"/>
      <c r="T484" s="889"/>
      <c r="X484" s="15"/>
      <c r="Y484" s="1935"/>
      <c r="Z484" s="1086"/>
      <c r="AA484" s="230"/>
      <c r="AB484" s="230"/>
      <c r="AC484" s="1936"/>
      <c r="AD484" s="230"/>
      <c r="AE484" s="230"/>
      <c r="AF484" s="230"/>
      <c r="AG484" s="890"/>
      <c r="AJ484" s="890"/>
      <c r="AN484" s="223"/>
      <c r="AO484" s="952"/>
      <c r="AP484" s="1066"/>
      <c r="AQ484" s="972"/>
      <c r="AR484" s="1917"/>
      <c r="AS484" s="222"/>
      <c r="AZ484" s="889"/>
      <c r="BC484" s="890"/>
      <c r="BD484" s="952"/>
      <c r="BE484" s="75"/>
      <c r="BF484" s="572"/>
      <c r="BG484" s="983"/>
      <c r="BH484" s="222"/>
      <c r="BL484" s="889"/>
      <c r="BO484" s="223"/>
    </row>
    <row r="485" spans="1:67" s="74" customFormat="1">
      <c r="A485" s="15"/>
      <c r="B485" s="15"/>
      <c r="C485" s="15"/>
      <c r="D485" s="15"/>
      <c r="E485" s="6"/>
      <c r="F485" s="6"/>
      <c r="G485" s="6"/>
      <c r="K485" s="223"/>
      <c r="M485" s="889"/>
      <c r="P485" s="890"/>
      <c r="T485" s="889"/>
      <c r="X485" s="15"/>
      <c r="Y485" s="1935"/>
      <c r="Z485" s="1086"/>
      <c r="AA485" s="230"/>
      <c r="AB485" s="230"/>
      <c r="AC485" s="1936"/>
      <c r="AD485" s="230"/>
      <c r="AE485" s="230"/>
      <c r="AF485" s="230"/>
      <c r="AG485" s="890"/>
      <c r="AJ485" s="890"/>
      <c r="AN485" s="223"/>
      <c r="AO485" s="952"/>
      <c r="AP485" s="1066"/>
      <c r="AQ485" s="972"/>
      <c r="AR485" s="1917"/>
      <c r="AS485" s="222"/>
      <c r="AZ485" s="889"/>
      <c r="BC485" s="890"/>
      <c r="BD485" s="952"/>
      <c r="BE485" s="75"/>
      <c r="BF485" s="572"/>
      <c r="BG485" s="983"/>
      <c r="BH485" s="222"/>
      <c r="BL485" s="889"/>
      <c r="BO485" s="223"/>
    </row>
    <row r="486" spans="1:67" s="74" customFormat="1">
      <c r="A486" s="15"/>
      <c r="B486" s="15"/>
      <c r="C486" s="15"/>
      <c r="D486" s="15"/>
      <c r="E486" s="6"/>
      <c r="F486" s="6"/>
      <c r="G486" s="6"/>
      <c r="K486" s="223"/>
      <c r="M486" s="889"/>
      <c r="P486" s="890"/>
      <c r="T486" s="889"/>
      <c r="X486" s="15"/>
      <c r="Y486" s="1935"/>
      <c r="Z486" s="1086"/>
      <c r="AA486" s="230"/>
      <c r="AB486" s="230"/>
      <c r="AC486" s="1936"/>
      <c r="AD486" s="230"/>
      <c r="AE486" s="230"/>
      <c r="AF486" s="230"/>
      <c r="AG486" s="890"/>
      <c r="AJ486" s="890"/>
      <c r="AN486" s="223"/>
      <c r="AO486" s="952"/>
      <c r="AP486" s="1066"/>
      <c r="AQ486" s="972"/>
      <c r="AR486" s="1917"/>
      <c r="AS486" s="222"/>
      <c r="AZ486" s="889"/>
      <c r="BC486" s="890"/>
      <c r="BD486" s="952"/>
      <c r="BE486" s="75"/>
      <c r="BF486" s="572"/>
      <c r="BG486" s="983"/>
      <c r="BH486" s="222"/>
      <c r="BL486" s="889"/>
      <c r="BO486" s="223"/>
    </row>
    <row r="487" spans="1:67" s="74" customFormat="1">
      <c r="A487" s="15"/>
      <c r="B487" s="15"/>
      <c r="C487" s="15"/>
      <c r="D487" s="15"/>
      <c r="E487" s="6"/>
      <c r="F487" s="6"/>
      <c r="G487" s="6"/>
      <c r="K487" s="223"/>
      <c r="M487" s="889"/>
      <c r="P487" s="890"/>
      <c r="T487" s="889"/>
      <c r="X487" s="15"/>
      <c r="Y487" s="1935"/>
      <c r="Z487" s="1086"/>
      <c r="AA487" s="230"/>
      <c r="AB487" s="230"/>
      <c r="AC487" s="1936"/>
      <c r="AD487" s="230"/>
      <c r="AE487" s="230"/>
      <c r="AF487" s="230"/>
      <c r="AG487" s="890"/>
      <c r="AJ487" s="890"/>
      <c r="AN487" s="223"/>
      <c r="AO487" s="952"/>
      <c r="AP487" s="1066"/>
      <c r="AQ487" s="972"/>
      <c r="AR487" s="1917"/>
      <c r="AS487" s="222"/>
      <c r="AZ487" s="889"/>
      <c r="BC487" s="890"/>
      <c r="BD487" s="952"/>
      <c r="BE487" s="75"/>
      <c r="BF487" s="572"/>
      <c r="BG487" s="983"/>
      <c r="BH487" s="222"/>
      <c r="BL487" s="889"/>
      <c r="BO487" s="223"/>
    </row>
    <row r="488" spans="1:67" s="74" customFormat="1">
      <c r="A488" s="15"/>
      <c r="B488" s="15"/>
      <c r="C488" s="15"/>
      <c r="D488" s="15"/>
      <c r="E488" s="6"/>
      <c r="F488" s="6"/>
      <c r="G488" s="6"/>
      <c r="K488" s="223"/>
      <c r="M488" s="889"/>
      <c r="P488" s="890"/>
      <c r="T488" s="889"/>
      <c r="X488" s="15"/>
      <c r="Y488" s="1935"/>
      <c r="Z488" s="1086"/>
      <c r="AA488" s="230"/>
      <c r="AB488" s="230"/>
      <c r="AC488" s="1936"/>
      <c r="AD488" s="230"/>
      <c r="AE488" s="230"/>
      <c r="AF488" s="230"/>
      <c r="AG488" s="890"/>
      <c r="AJ488" s="890"/>
      <c r="AN488" s="223"/>
      <c r="AO488" s="952"/>
      <c r="AP488" s="1066"/>
      <c r="AQ488" s="972"/>
      <c r="AR488" s="1917"/>
      <c r="AS488" s="222"/>
      <c r="AZ488" s="889"/>
      <c r="BC488" s="890"/>
      <c r="BD488" s="952"/>
      <c r="BE488" s="75"/>
      <c r="BF488" s="572"/>
      <c r="BG488" s="983"/>
      <c r="BH488" s="222"/>
      <c r="BL488" s="889"/>
      <c r="BO488" s="223"/>
    </row>
    <row r="489" spans="1:67" s="74" customFormat="1">
      <c r="A489" s="15"/>
      <c r="B489" s="15"/>
      <c r="C489" s="15"/>
      <c r="D489" s="15"/>
      <c r="E489" s="6"/>
      <c r="F489" s="6"/>
      <c r="G489" s="6"/>
      <c r="K489" s="223"/>
      <c r="M489" s="889"/>
      <c r="P489" s="890"/>
      <c r="T489" s="889"/>
      <c r="X489" s="15"/>
      <c r="Y489" s="1935"/>
      <c r="Z489" s="1086"/>
      <c r="AA489" s="230"/>
      <c r="AB489" s="230"/>
      <c r="AC489" s="1936"/>
      <c r="AD489" s="230"/>
      <c r="AE489" s="230"/>
      <c r="AF489" s="230"/>
      <c r="AG489" s="890"/>
      <c r="AJ489" s="890"/>
      <c r="AN489" s="223"/>
      <c r="AO489" s="952"/>
      <c r="AP489" s="1066"/>
      <c r="AQ489" s="972"/>
      <c r="AR489" s="1917"/>
      <c r="AS489" s="222"/>
      <c r="AZ489" s="889"/>
      <c r="BC489" s="890"/>
      <c r="BD489" s="952"/>
      <c r="BE489" s="75"/>
      <c r="BF489" s="572"/>
      <c r="BG489" s="983"/>
      <c r="BH489" s="222"/>
      <c r="BL489" s="889"/>
      <c r="BO489" s="223"/>
    </row>
    <row r="490" spans="1:67" s="74" customFormat="1">
      <c r="A490" s="15"/>
      <c r="B490" s="15"/>
      <c r="C490" s="15"/>
      <c r="D490" s="15"/>
      <c r="E490" s="6"/>
      <c r="F490" s="6"/>
      <c r="G490" s="6"/>
      <c r="K490" s="223"/>
      <c r="M490" s="889"/>
      <c r="P490" s="890"/>
      <c r="T490" s="889"/>
      <c r="X490" s="15"/>
      <c r="Y490" s="1935"/>
      <c r="Z490" s="1086"/>
      <c r="AA490" s="230"/>
      <c r="AB490" s="230"/>
      <c r="AC490" s="1936"/>
      <c r="AD490" s="230"/>
      <c r="AE490" s="230"/>
      <c r="AF490" s="230"/>
      <c r="AG490" s="890"/>
      <c r="AJ490" s="890"/>
      <c r="AN490" s="223"/>
      <c r="AO490" s="952"/>
      <c r="AP490" s="1066"/>
      <c r="AQ490" s="972"/>
      <c r="AR490" s="1917"/>
      <c r="AS490" s="222"/>
      <c r="AZ490" s="889"/>
      <c r="BC490" s="890"/>
      <c r="BD490" s="952"/>
      <c r="BE490" s="75"/>
      <c r="BF490" s="572"/>
      <c r="BG490" s="983"/>
      <c r="BH490" s="222"/>
      <c r="BL490" s="889"/>
      <c r="BO490" s="223"/>
    </row>
    <row r="491" spans="1:67" s="74" customFormat="1">
      <c r="A491" s="15"/>
      <c r="B491" s="15"/>
      <c r="C491" s="15"/>
      <c r="D491" s="15"/>
      <c r="E491" s="6"/>
      <c r="F491" s="6"/>
      <c r="G491" s="6"/>
      <c r="K491" s="223"/>
      <c r="M491" s="889"/>
      <c r="P491" s="890"/>
      <c r="T491" s="889"/>
      <c r="X491" s="15"/>
      <c r="Y491" s="1935"/>
      <c r="Z491" s="1086"/>
      <c r="AA491" s="230"/>
      <c r="AB491" s="230"/>
      <c r="AC491" s="1936"/>
      <c r="AD491" s="230"/>
      <c r="AE491" s="230"/>
      <c r="AF491" s="230"/>
      <c r="AG491" s="890"/>
      <c r="AJ491" s="890"/>
      <c r="AN491" s="223"/>
      <c r="AO491" s="952"/>
      <c r="AP491" s="1066"/>
      <c r="AQ491" s="972"/>
      <c r="AR491" s="1917"/>
      <c r="AS491" s="222"/>
      <c r="AZ491" s="889"/>
      <c r="BC491" s="890"/>
      <c r="BD491" s="952"/>
      <c r="BE491" s="75"/>
      <c r="BF491" s="572"/>
      <c r="BG491" s="983"/>
      <c r="BH491" s="222"/>
      <c r="BL491" s="889"/>
      <c r="BO491" s="223"/>
    </row>
    <row r="492" spans="1:67" s="74" customFormat="1">
      <c r="A492" s="15"/>
      <c r="B492" s="15"/>
      <c r="C492" s="15"/>
      <c r="D492" s="15"/>
      <c r="E492" s="6"/>
      <c r="F492" s="6"/>
      <c r="G492" s="6"/>
      <c r="K492" s="223"/>
      <c r="M492" s="889"/>
      <c r="P492" s="890"/>
      <c r="T492" s="889"/>
      <c r="X492" s="15"/>
      <c r="Y492" s="1935"/>
      <c r="Z492" s="1086"/>
      <c r="AA492" s="230"/>
      <c r="AB492" s="230"/>
      <c r="AC492" s="1936"/>
      <c r="AD492" s="230"/>
      <c r="AE492" s="230"/>
      <c r="AF492" s="230"/>
      <c r="AG492" s="890"/>
      <c r="AJ492" s="890"/>
      <c r="AN492" s="223"/>
      <c r="AO492" s="952"/>
      <c r="AP492" s="1066"/>
      <c r="AQ492" s="972"/>
      <c r="AR492" s="1917"/>
      <c r="AS492" s="222"/>
      <c r="AZ492" s="889"/>
      <c r="BC492" s="890"/>
      <c r="BD492" s="952"/>
      <c r="BE492" s="75"/>
      <c r="BF492" s="572"/>
      <c r="BG492" s="983"/>
      <c r="BH492" s="222"/>
      <c r="BL492" s="889"/>
      <c r="BO492" s="223"/>
    </row>
    <row r="493" spans="1:67" s="74" customFormat="1">
      <c r="A493" s="15"/>
      <c r="B493" s="15"/>
      <c r="C493" s="15"/>
      <c r="D493" s="15"/>
      <c r="E493" s="6"/>
      <c r="F493" s="6"/>
      <c r="G493" s="6"/>
      <c r="K493" s="223"/>
      <c r="M493" s="889"/>
      <c r="P493" s="890"/>
      <c r="T493" s="889"/>
      <c r="X493" s="15"/>
      <c r="Y493" s="1935"/>
      <c r="Z493" s="1086"/>
      <c r="AA493" s="230"/>
      <c r="AB493" s="230"/>
      <c r="AC493" s="1936"/>
      <c r="AD493" s="230"/>
      <c r="AE493" s="230"/>
      <c r="AF493" s="230"/>
      <c r="AG493" s="890"/>
      <c r="AJ493" s="890"/>
      <c r="AN493" s="223"/>
      <c r="AO493" s="952"/>
      <c r="AP493" s="1066"/>
      <c r="AQ493" s="972"/>
      <c r="AR493" s="1917"/>
      <c r="AS493" s="222"/>
      <c r="AZ493" s="889"/>
      <c r="BC493" s="890"/>
      <c r="BD493" s="952"/>
      <c r="BE493" s="75"/>
      <c r="BF493" s="572"/>
      <c r="BG493" s="983"/>
      <c r="BH493" s="222"/>
      <c r="BL493" s="889"/>
      <c r="BO493" s="223"/>
    </row>
    <row r="494" spans="1:67" s="74" customFormat="1">
      <c r="A494" s="15"/>
      <c r="B494" s="15"/>
      <c r="C494" s="15"/>
      <c r="D494" s="15"/>
      <c r="E494" s="6"/>
      <c r="F494" s="6"/>
      <c r="G494" s="6"/>
      <c r="K494" s="223"/>
      <c r="M494" s="889"/>
      <c r="P494" s="890"/>
      <c r="T494" s="889"/>
      <c r="X494" s="15"/>
      <c r="Y494" s="1935"/>
      <c r="Z494" s="1086"/>
      <c r="AA494" s="230"/>
      <c r="AB494" s="230"/>
      <c r="AC494" s="1936"/>
      <c r="AD494" s="230"/>
      <c r="AE494" s="230"/>
      <c r="AF494" s="230"/>
      <c r="AG494" s="890"/>
      <c r="AJ494" s="890"/>
      <c r="AN494" s="223"/>
      <c r="AO494" s="952"/>
      <c r="AP494" s="1066"/>
      <c r="AQ494" s="972"/>
      <c r="AR494" s="1917"/>
      <c r="AS494" s="222"/>
      <c r="AZ494" s="889"/>
      <c r="BC494" s="890"/>
      <c r="BD494" s="952"/>
      <c r="BE494" s="75"/>
      <c r="BF494" s="572"/>
      <c r="BG494" s="983"/>
      <c r="BH494" s="222"/>
      <c r="BL494" s="889"/>
      <c r="BO494" s="223"/>
    </row>
    <row r="495" spans="1:67" s="74" customFormat="1">
      <c r="A495" s="15"/>
      <c r="B495" s="15"/>
      <c r="C495" s="15"/>
      <c r="D495" s="15"/>
      <c r="E495" s="6"/>
      <c r="F495" s="6"/>
      <c r="G495" s="6"/>
      <c r="K495" s="223"/>
      <c r="M495" s="889"/>
      <c r="P495" s="890"/>
      <c r="T495" s="889"/>
      <c r="X495" s="15"/>
      <c r="Y495" s="1935"/>
      <c r="Z495" s="1086"/>
      <c r="AA495" s="230"/>
      <c r="AB495" s="230"/>
      <c r="AC495" s="1936"/>
      <c r="AD495" s="230"/>
      <c r="AE495" s="230"/>
      <c r="AF495" s="230"/>
      <c r="AG495" s="890"/>
      <c r="AJ495" s="890"/>
      <c r="AN495" s="223"/>
      <c r="AO495" s="952"/>
      <c r="AP495" s="1066"/>
      <c r="AQ495" s="972"/>
      <c r="AR495" s="1917"/>
      <c r="AS495" s="222"/>
      <c r="AZ495" s="889"/>
      <c r="BC495" s="890"/>
      <c r="BD495" s="952"/>
      <c r="BE495" s="75"/>
      <c r="BF495" s="572"/>
      <c r="BG495" s="983"/>
      <c r="BH495" s="222"/>
      <c r="BL495" s="889"/>
      <c r="BO495" s="223"/>
    </row>
    <row r="496" spans="1:67" s="74" customFormat="1">
      <c r="A496" s="15"/>
      <c r="B496" s="15"/>
      <c r="C496" s="15"/>
      <c r="D496" s="15"/>
      <c r="E496" s="6"/>
      <c r="F496" s="6"/>
      <c r="G496" s="6"/>
      <c r="K496" s="223"/>
      <c r="M496" s="889"/>
      <c r="P496" s="890"/>
      <c r="T496" s="889"/>
      <c r="X496" s="15"/>
      <c r="Y496" s="1935"/>
      <c r="Z496" s="1086"/>
      <c r="AA496" s="230"/>
      <c r="AB496" s="230"/>
      <c r="AC496" s="1936"/>
      <c r="AD496" s="230"/>
      <c r="AE496" s="230"/>
      <c r="AF496" s="230"/>
      <c r="AG496" s="890"/>
      <c r="AJ496" s="890"/>
      <c r="AN496" s="223"/>
      <c r="AO496" s="952"/>
      <c r="AP496" s="1066"/>
      <c r="AQ496" s="972"/>
      <c r="AR496" s="1917"/>
      <c r="AS496" s="222"/>
      <c r="AZ496" s="889"/>
      <c r="BC496" s="890"/>
      <c r="BD496" s="952"/>
      <c r="BE496" s="75"/>
      <c r="BF496" s="572"/>
      <c r="BG496" s="983"/>
      <c r="BH496" s="222"/>
      <c r="BL496" s="889"/>
      <c r="BO496" s="223"/>
    </row>
    <row r="497" spans="1:67" s="74" customFormat="1">
      <c r="A497" s="15"/>
      <c r="B497" s="15"/>
      <c r="C497" s="15"/>
      <c r="D497" s="15"/>
      <c r="E497" s="6"/>
      <c r="F497" s="6"/>
      <c r="G497" s="6"/>
      <c r="K497" s="223"/>
      <c r="M497" s="889"/>
      <c r="P497" s="890"/>
      <c r="T497" s="889"/>
      <c r="X497" s="15"/>
      <c r="Y497" s="1935"/>
      <c r="Z497" s="1086"/>
      <c r="AA497" s="230"/>
      <c r="AB497" s="230"/>
      <c r="AC497" s="1936"/>
      <c r="AD497" s="230"/>
      <c r="AE497" s="230"/>
      <c r="AF497" s="230"/>
      <c r="AG497" s="890"/>
      <c r="AJ497" s="890"/>
      <c r="AN497" s="223"/>
      <c r="AO497" s="952"/>
      <c r="AP497" s="1066"/>
      <c r="AQ497" s="972"/>
      <c r="AR497" s="1917"/>
      <c r="AS497" s="222"/>
      <c r="AZ497" s="889"/>
      <c r="BC497" s="890"/>
      <c r="BD497" s="952"/>
      <c r="BE497" s="75"/>
      <c r="BF497" s="572"/>
      <c r="BG497" s="983"/>
      <c r="BH497" s="222"/>
      <c r="BL497" s="889"/>
      <c r="BO497" s="223"/>
    </row>
    <row r="498" spans="1:67" s="74" customFormat="1">
      <c r="A498" s="15"/>
      <c r="B498" s="15"/>
      <c r="C498" s="15"/>
      <c r="D498" s="15"/>
      <c r="E498" s="6"/>
      <c r="F498" s="6"/>
      <c r="G498" s="6"/>
      <c r="K498" s="223"/>
      <c r="M498" s="889"/>
      <c r="P498" s="890"/>
      <c r="T498" s="889"/>
      <c r="X498" s="15"/>
      <c r="Y498" s="1935"/>
      <c r="Z498" s="1086"/>
      <c r="AA498" s="230"/>
      <c r="AB498" s="230"/>
      <c r="AC498" s="1936"/>
      <c r="AD498" s="230"/>
      <c r="AE498" s="230"/>
      <c r="AF498" s="230"/>
      <c r="AG498" s="890"/>
      <c r="AJ498" s="890"/>
      <c r="AN498" s="223"/>
      <c r="AO498" s="952"/>
      <c r="AP498" s="1066"/>
      <c r="AQ498" s="972"/>
      <c r="AR498" s="1917"/>
      <c r="AS498" s="222"/>
      <c r="AZ498" s="889"/>
      <c r="BC498" s="890"/>
      <c r="BD498" s="952"/>
      <c r="BE498" s="75"/>
      <c r="BF498" s="572"/>
      <c r="BG498" s="983"/>
      <c r="BH498" s="222"/>
      <c r="BL498" s="889"/>
      <c r="BO498" s="223"/>
    </row>
    <row r="499" spans="1:67" s="74" customFormat="1">
      <c r="A499" s="15"/>
      <c r="B499" s="15"/>
      <c r="C499" s="15"/>
      <c r="D499" s="15"/>
      <c r="E499" s="6"/>
      <c r="F499" s="6"/>
      <c r="G499" s="6"/>
      <c r="K499" s="223"/>
      <c r="M499" s="889"/>
      <c r="P499" s="890"/>
      <c r="T499" s="889"/>
      <c r="X499" s="15"/>
      <c r="Y499" s="1935"/>
      <c r="Z499" s="1086"/>
      <c r="AA499" s="230"/>
      <c r="AB499" s="230"/>
      <c r="AC499" s="1936"/>
      <c r="AD499" s="230"/>
      <c r="AE499" s="230"/>
      <c r="AF499" s="230"/>
      <c r="AG499" s="890"/>
      <c r="AJ499" s="890"/>
      <c r="AN499" s="223"/>
      <c r="AO499" s="952"/>
      <c r="AP499" s="1066"/>
      <c r="AQ499" s="972"/>
      <c r="AR499" s="1917"/>
      <c r="AS499" s="222"/>
      <c r="AZ499" s="889"/>
      <c r="BC499" s="890"/>
      <c r="BD499" s="952"/>
      <c r="BE499" s="75"/>
      <c r="BF499" s="572"/>
      <c r="BG499" s="983"/>
      <c r="BH499" s="222"/>
      <c r="BL499" s="889"/>
      <c r="BO499" s="223"/>
    </row>
    <row r="500" spans="1:67" s="74" customFormat="1">
      <c r="A500" s="15"/>
      <c r="B500" s="15"/>
      <c r="C500" s="15"/>
      <c r="D500" s="15"/>
      <c r="E500" s="6"/>
      <c r="F500" s="6"/>
      <c r="G500" s="6"/>
      <c r="K500" s="223"/>
      <c r="M500" s="889"/>
      <c r="P500" s="890"/>
      <c r="T500" s="889"/>
      <c r="X500" s="15"/>
      <c r="Y500" s="1935"/>
      <c r="Z500" s="1086"/>
      <c r="AA500" s="230"/>
      <c r="AB500" s="230"/>
      <c r="AC500" s="1936"/>
      <c r="AD500" s="230"/>
      <c r="AE500" s="230"/>
      <c r="AF500" s="230"/>
      <c r="AG500" s="890"/>
      <c r="AJ500" s="890"/>
      <c r="AN500" s="223"/>
      <c r="AO500" s="952"/>
      <c r="AP500" s="1066"/>
      <c r="AQ500" s="972"/>
      <c r="AR500" s="1917"/>
      <c r="AS500" s="222"/>
      <c r="AZ500" s="889"/>
      <c r="BC500" s="890"/>
      <c r="BD500" s="952"/>
      <c r="BE500" s="75"/>
      <c r="BF500" s="572"/>
      <c r="BG500" s="983"/>
      <c r="BH500" s="222"/>
      <c r="BL500" s="889"/>
      <c r="BO500" s="223"/>
    </row>
    <row r="501" spans="1:67" s="74" customFormat="1">
      <c r="A501" s="15"/>
      <c r="B501" s="15"/>
      <c r="C501" s="15"/>
      <c r="D501" s="15"/>
      <c r="E501" s="6"/>
      <c r="F501" s="6"/>
      <c r="G501" s="6"/>
      <c r="K501" s="223"/>
      <c r="M501" s="889"/>
      <c r="P501" s="890"/>
      <c r="T501" s="889"/>
      <c r="X501" s="15"/>
      <c r="Y501" s="1935"/>
      <c r="Z501" s="1086"/>
      <c r="AA501" s="230"/>
      <c r="AB501" s="230"/>
      <c r="AC501" s="1936"/>
      <c r="AD501" s="230"/>
      <c r="AE501" s="230"/>
      <c r="AF501" s="230"/>
      <c r="AG501" s="890"/>
      <c r="AJ501" s="890"/>
      <c r="AN501" s="223"/>
      <c r="AO501" s="952"/>
      <c r="AP501" s="1066"/>
      <c r="AQ501" s="972"/>
      <c r="AR501" s="1917"/>
      <c r="AS501" s="222"/>
      <c r="AZ501" s="889"/>
      <c r="BC501" s="890"/>
      <c r="BD501" s="952"/>
      <c r="BE501" s="75"/>
      <c r="BF501" s="572"/>
      <c r="BG501" s="983"/>
      <c r="BH501" s="222"/>
      <c r="BL501" s="889"/>
      <c r="BO501" s="223"/>
    </row>
    <row r="502" spans="1:67" s="74" customFormat="1">
      <c r="A502" s="15"/>
      <c r="B502" s="15"/>
      <c r="C502" s="15"/>
      <c r="D502" s="15"/>
      <c r="E502" s="6"/>
      <c r="F502" s="6"/>
      <c r="G502" s="6"/>
      <c r="K502" s="223"/>
      <c r="M502" s="889"/>
      <c r="P502" s="890"/>
      <c r="T502" s="889"/>
      <c r="X502" s="15"/>
      <c r="Y502" s="1935"/>
      <c r="Z502" s="1086"/>
      <c r="AA502" s="230"/>
      <c r="AB502" s="230"/>
      <c r="AC502" s="1936"/>
      <c r="AD502" s="230"/>
      <c r="AE502" s="230"/>
      <c r="AF502" s="230"/>
      <c r="AG502" s="890"/>
      <c r="AJ502" s="890"/>
      <c r="AN502" s="223"/>
      <c r="AO502" s="952"/>
      <c r="AP502" s="1066"/>
      <c r="AQ502" s="972"/>
      <c r="AR502" s="1917"/>
      <c r="AS502" s="222"/>
      <c r="AZ502" s="889"/>
      <c r="BC502" s="890"/>
      <c r="BD502" s="952"/>
      <c r="BE502" s="75"/>
      <c r="BF502" s="572"/>
      <c r="BG502" s="983"/>
      <c r="BH502" s="222"/>
      <c r="BL502" s="889"/>
      <c r="BO502" s="223"/>
    </row>
    <row r="503" spans="1:67" s="74" customFormat="1">
      <c r="A503" s="15"/>
      <c r="B503" s="15"/>
      <c r="C503" s="15"/>
      <c r="D503" s="15"/>
      <c r="E503" s="6"/>
      <c r="F503" s="6"/>
      <c r="G503" s="6"/>
      <c r="K503" s="223"/>
      <c r="M503" s="889"/>
      <c r="P503" s="890"/>
      <c r="T503" s="889"/>
      <c r="X503" s="15"/>
      <c r="Y503" s="1935"/>
      <c r="Z503" s="1086"/>
      <c r="AA503" s="230"/>
      <c r="AB503" s="230"/>
      <c r="AC503" s="1936"/>
      <c r="AD503" s="230"/>
      <c r="AE503" s="230"/>
      <c r="AF503" s="230"/>
      <c r="AG503" s="890"/>
      <c r="AJ503" s="890"/>
      <c r="AN503" s="223"/>
      <c r="AO503" s="952"/>
      <c r="AP503" s="1066"/>
      <c r="AQ503" s="972"/>
      <c r="AR503" s="1917"/>
      <c r="AS503" s="222"/>
      <c r="AZ503" s="889"/>
      <c r="BC503" s="890"/>
      <c r="BD503" s="952"/>
      <c r="BE503" s="75"/>
      <c r="BF503" s="572"/>
      <c r="BG503" s="983"/>
      <c r="BH503" s="222"/>
      <c r="BL503" s="889"/>
      <c r="BO503" s="223"/>
    </row>
    <row r="504" spans="1:67" s="74" customFormat="1">
      <c r="A504" s="15"/>
      <c r="B504" s="15"/>
      <c r="C504" s="15"/>
      <c r="D504" s="15"/>
      <c r="E504" s="6"/>
      <c r="F504" s="6"/>
      <c r="G504" s="6"/>
      <c r="K504" s="223"/>
      <c r="M504" s="889"/>
      <c r="P504" s="890"/>
      <c r="T504" s="889"/>
      <c r="X504" s="15"/>
      <c r="Y504" s="1935"/>
      <c r="Z504" s="1086"/>
      <c r="AA504" s="230"/>
      <c r="AB504" s="230"/>
      <c r="AC504" s="1936"/>
      <c r="AD504" s="230"/>
      <c r="AE504" s="230"/>
      <c r="AF504" s="230"/>
      <c r="AG504" s="890"/>
      <c r="AJ504" s="890"/>
      <c r="AN504" s="223"/>
      <c r="AO504" s="952"/>
      <c r="AP504" s="1066"/>
      <c r="AQ504" s="972"/>
      <c r="AR504" s="1917"/>
      <c r="AS504" s="222"/>
      <c r="AZ504" s="889"/>
      <c r="BC504" s="890"/>
      <c r="BD504" s="952"/>
      <c r="BE504" s="75"/>
      <c r="BF504" s="572"/>
      <c r="BG504" s="983"/>
      <c r="BH504" s="222"/>
      <c r="BL504" s="889"/>
      <c r="BO504" s="223"/>
    </row>
    <row r="505" spans="1:67" s="74" customFormat="1">
      <c r="A505" s="15"/>
      <c r="B505" s="15"/>
      <c r="C505" s="15"/>
      <c r="D505" s="15"/>
      <c r="E505" s="6"/>
      <c r="F505" s="6"/>
      <c r="G505" s="6"/>
      <c r="K505" s="223"/>
      <c r="M505" s="889"/>
      <c r="P505" s="890"/>
      <c r="T505" s="889"/>
      <c r="X505" s="15"/>
      <c r="Y505" s="1935"/>
      <c r="Z505" s="1086"/>
      <c r="AA505" s="230"/>
      <c r="AB505" s="230"/>
      <c r="AC505" s="1936"/>
      <c r="AD505" s="230"/>
      <c r="AE505" s="230"/>
      <c r="AF505" s="230"/>
      <c r="AG505" s="890"/>
      <c r="AJ505" s="890"/>
      <c r="AN505" s="223"/>
      <c r="AO505" s="952"/>
      <c r="AP505" s="1066"/>
      <c r="AQ505" s="972"/>
      <c r="AR505" s="1917"/>
      <c r="AS505" s="222"/>
      <c r="AZ505" s="889"/>
      <c r="BC505" s="890"/>
      <c r="BD505" s="952"/>
      <c r="BE505" s="75"/>
      <c r="BF505" s="572"/>
      <c r="BG505" s="983"/>
      <c r="BH505" s="222"/>
      <c r="BL505" s="889"/>
      <c r="BO505" s="223"/>
    </row>
    <row r="506" spans="1:67" s="74" customFormat="1">
      <c r="A506" s="15"/>
      <c r="B506" s="15"/>
      <c r="C506" s="15"/>
      <c r="D506" s="15"/>
      <c r="E506" s="6"/>
      <c r="F506" s="6"/>
      <c r="G506" s="6"/>
      <c r="K506" s="223"/>
      <c r="M506" s="889"/>
      <c r="P506" s="890"/>
      <c r="T506" s="889"/>
      <c r="X506" s="15"/>
      <c r="Y506" s="1935"/>
      <c r="Z506" s="1086"/>
      <c r="AA506" s="230"/>
      <c r="AB506" s="230"/>
      <c r="AC506" s="1936"/>
      <c r="AD506" s="230"/>
      <c r="AE506" s="230"/>
      <c r="AF506" s="230"/>
      <c r="AG506" s="890"/>
      <c r="AJ506" s="890"/>
      <c r="AN506" s="223"/>
      <c r="AO506" s="952"/>
      <c r="AP506" s="1066"/>
      <c r="AQ506" s="972"/>
      <c r="AR506" s="1917"/>
      <c r="AS506" s="222"/>
      <c r="AZ506" s="889"/>
      <c r="BC506" s="890"/>
      <c r="BD506" s="952"/>
      <c r="BE506" s="75"/>
      <c r="BF506" s="572"/>
      <c r="BG506" s="983"/>
      <c r="BH506" s="222"/>
      <c r="BL506" s="889"/>
      <c r="BO506" s="223"/>
    </row>
    <row r="507" spans="1:67" s="74" customFormat="1">
      <c r="A507" s="15"/>
      <c r="B507" s="15"/>
      <c r="C507" s="15"/>
      <c r="D507" s="15"/>
      <c r="E507" s="6"/>
      <c r="F507" s="6"/>
      <c r="G507" s="6"/>
      <c r="K507" s="223"/>
      <c r="M507" s="889"/>
      <c r="P507" s="890"/>
      <c r="T507" s="889"/>
      <c r="X507" s="15"/>
      <c r="Y507" s="1935"/>
      <c r="Z507" s="1086"/>
      <c r="AA507" s="230"/>
      <c r="AB507" s="230"/>
      <c r="AC507" s="1936"/>
      <c r="AD507" s="230"/>
      <c r="AE507" s="230"/>
      <c r="AF507" s="230"/>
      <c r="AG507" s="890"/>
      <c r="AJ507" s="890"/>
      <c r="AN507" s="223"/>
      <c r="AO507" s="952"/>
      <c r="AP507" s="1066"/>
      <c r="AQ507" s="972"/>
      <c r="AR507" s="1917"/>
      <c r="AS507" s="222"/>
      <c r="AZ507" s="889"/>
      <c r="BC507" s="890"/>
      <c r="BD507" s="952"/>
      <c r="BE507" s="75"/>
      <c r="BF507" s="572"/>
      <c r="BG507" s="983"/>
      <c r="BH507" s="222"/>
      <c r="BL507" s="889"/>
      <c r="BO507" s="223"/>
    </row>
    <row r="508" spans="1:67" s="74" customFormat="1">
      <c r="A508" s="15"/>
      <c r="B508" s="15"/>
      <c r="C508" s="15"/>
      <c r="D508" s="15"/>
      <c r="E508" s="6"/>
      <c r="F508" s="6"/>
      <c r="G508" s="6"/>
      <c r="K508" s="223"/>
      <c r="M508" s="889"/>
      <c r="P508" s="890"/>
      <c r="T508" s="889"/>
      <c r="X508" s="15"/>
      <c r="Y508" s="1935"/>
      <c r="Z508" s="1086"/>
      <c r="AA508" s="230"/>
      <c r="AB508" s="230"/>
      <c r="AC508" s="1936"/>
      <c r="AD508" s="230"/>
      <c r="AE508" s="230"/>
      <c r="AF508" s="230"/>
      <c r="AG508" s="890"/>
      <c r="AJ508" s="890"/>
      <c r="AN508" s="223"/>
      <c r="AO508" s="952"/>
      <c r="AP508" s="1066"/>
      <c r="AQ508" s="972"/>
      <c r="AR508" s="1917"/>
      <c r="AS508" s="222"/>
      <c r="AZ508" s="889"/>
      <c r="BC508" s="890"/>
      <c r="BD508" s="952"/>
      <c r="BE508" s="75"/>
      <c r="BF508" s="572"/>
      <c r="BG508" s="983"/>
      <c r="BH508" s="222"/>
      <c r="BL508" s="889"/>
      <c r="BO508" s="223"/>
    </row>
    <row r="509" spans="1:67" s="74" customFormat="1">
      <c r="A509" s="15"/>
      <c r="B509" s="15"/>
      <c r="C509" s="15"/>
      <c r="D509" s="15"/>
      <c r="E509" s="6"/>
      <c r="F509" s="6"/>
      <c r="G509" s="6"/>
      <c r="K509" s="223"/>
      <c r="M509" s="889"/>
      <c r="P509" s="890"/>
      <c r="T509" s="889"/>
      <c r="X509" s="15"/>
      <c r="Y509" s="1935"/>
      <c r="Z509" s="1086"/>
      <c r="AA509" s="230"/>
      <c r="AB509" s="230"/>
      <c r="AC509" s="1936"/>
      <c r="AD509" s="230"/>
      <c r="AE509" s="230"/>
      <c r="AF509" s="230"/>
      <c r="AG509" s="890"/>
      <c r="AJ509" s="890"/>
      <c r="AN509" s="223"/>
      <c r="AO509" s="952"/>
      <c r="AP509" s="1066"/>
      <c r="AQ509" s="972"/>
      <c r="AR509" s="1917"/>
      <c r="AS509" s="222"/>
      <c r="AZ509" s="889"/>
      <c r="BC509" s="890"/>
      <c r="BD509" s="952"/>
      <c r="BE509" s="75"/>
      <c r="BF509" s="572"/>
      <c r="BG509" s="983"/>
      <c r="BH509" s="222"/>
      <c r="BL509" s="889"/>
      <c r="BO509" s="223"/>
    </row>
    <row r="510" spans="1:67" s="74" customFormat="1">
      <c r="A510" s="15"/>
      <c r="B510" s="15"/>
      <c r="C510" s="15"/>
      <c r="D510" s="15"/>
      <c r="E510" s="6"/>
      <c r="F510" s="6"/>
      <c r="G510" s="6"/>
      <c r="K510" s="223"/>
      <c r="M510" s="889"/>
      <c r="P510" s="890"/>
      <c r="T510" s="889"/>
      <c r="X510" s="15"/>
      <c r="Y510" s="1935"/>
      <c r="Z510" s="1086"/>
      <c r="AA510" s="230"/>
      <c r="AB510" s="230"/>
      <c r="AC510" s="1936"/>
      <c r="AD510" s="230"/>
      <c r="AE510" s="230"/>
      <c r="AF510" s="230"/>
      <c r="AG510" s="890"/>
      <c r="AJ510" s="890"/>
      <c r="AN510" s="223"/>
      <c r="AO510" s="952"/>
      <c r="AP510" s="1066"/>
      <c r="AQ510" s="972"/>
      <c r="AR510" s="1917"/>
      <c r="AS510" s="222"/>
      <c r="AZ510" s="889"/>
      <c r="BC510" s="890"/>
      <c r="BD510" s="952"/>
      <c r="BE510" s="75"/>
      <c r="BF510" s="572"/>
      <c r="BG510" s="983"/>
      <c r="BH510" s="222"/>
      <c r="BL510" s="889"/>
      <c r="BO510" s="223"/>
    </row>
    <row r="511" spans="1:67" s="74" customFormat="1">
      <c r="A511" s="15"/>
      <c r="B511" s="15"/>
      <c r="C511" s="15"/>
      <c r="D511" s="15"/>
      <c r="E511" s="6"/>
      <c r="F511" s="6"/>
      <c r="G511" s="6"/>
      <c r="K511" s="223"/>
      <c r="M511" s="889"/>
      <c r="P511" s="890"/>
      <c r="T511" s="889"/>
      <c r="X511" s="15"/>
      <c r="Y511" s="1935"/>
      <c r="Z511" s="1086"/>
      <c r="AA511" s="230"/>
      <c r="AB511" s="230"/>
      <c r="AC511" s="1936"/>
      <c r="AD511" s="230"/>
      <c r="AE511" s="230"/>
      <c r="AF511" s="230"/>
      <c r="AG511" s="890"/>
      <c r="AJ511" s="890"/>
      <c r="AN511" s="223"/>
      <c r="AO511" s="952"/>
      <c r="AP511" s="1066"/>
      <c r="AQ511" s="972"/>
      <c r="AR511" s="1917"/>
      <c r="AS511" s="222"/>
      <c r="AZ511" s="889"/>
      <c r="BC511" s="890"/>
      <c r="BD511" s="952"/>
      <c r="BE511" s="75"/>
      <c r="BF511" s="572"/>
      <c r="BG511" s="983"/>
      <c r="BH511" s="222"/>
      <c r="BL511" s="889"/>
      <c r="BO511" s="223"/>
    </row>
    <row r="512" spans="1:67" s="74" customFormat="1">
      <c r="A512" s="15"/>
      <c r="B512" s="15"/>
      <c r="C512" s="15"/>
      <c r="D512" s="15"/>
      <c r="E512" s="6"/>
      <c r="F512" s="6"/>
      <c r="G512" s="6"/>
      <c r="K512" s="223"/>
      <c r="M512" s="889"/>
      <c r="P512" s="890"/>
      <c r="T512" s="889"/>
      <c r="X512" s="15"/>
      <c r="Y512" s="1935"/>
      <c r="Z512" s="1086"/>
      <c r="AA512" s="230"/>
      <c r="AB512" s="230"/>
      <c r="AC512" s="1936"/>
      <c r="AD512" s="230"/>
      <c r="AE512" s="230"/>
      <c r="AF512" s="230"/>
      <c r="AG512" s="890"/>
      <c r="AJ512" s="890"/>
      <c r="AN512" s="223"/>
      <c r="AO512" s="952"/>
      <c r="AP512" s="1066"/>
      <c r="AQ512" s="972"/>
      <c r="AR512" s="1917"/>
      <c r="AS512" s="222"/>
      <c r="AZ512" s="889"/>
      <c r="BC512" s="890"/>
      <c r="BD512" s="952"/>
      <c r="BE512" s="75"/>
      <c r="BF512" s="572"/>
      <c r="BG512" s="983"/>
      <c r="BH512" s="222"/>
      <c r="BL512" s="889"/>
      <c r="BO512" s="223"/>
    </row>
    <row r="513" spans="1:67" s="74" customFormat="1">
      <c r="A513" s="15"/>
      <c r="B513" s="15"/>
      <c r="C513" s="15"/>
      <c r="D513" s="15"/>
      <c r="E513" s="6"/>
      <c r="F513" s="6"/>
      <c r="G513" s="6"/>
      <c r="K513" s="223"/>
      <c r="M513" s="889"/>
      <c r="P513" s="890"/>
      <c r="T513" s="889"/>
      <c r="X513" s="15"/>
      <c r="Y513" s="1935"/>
      <c r="Z513" s="1086"/>
      <c r="AA513" s="230"/>
      <c r="AB513" s="230"/>
      <c r="AC513" s="1936"/>
      <c r="AD513" s="230"/>
      <c r="AE513" s="230"/>
      <c r="AF513" s="230"/>
      <c r="AG513" s="890"/>
      <c r="AJ513" s="890"/>
      <c r="AN513" s="223"/>
      <c r="AO513" s="952"/>
      <c r="AP513" s="1066"/>
      <c r="AQ513" s="972"/>
      <c r="AR513" s="1917"/>
      <c r="AS513" s="222"/>
      <c r="AZ513" s="889"/>
      <c r="BC513" s="890"/>
      <c r="BD513" s="952"/>
      <c r="BE513" s="75"/>
      <c r="BF513" s="572"/>
      <c r="BG513" s="983"/>
      <c r="BH513" s="222"/>
      <c r="BL513" s="889"/>
      <c r="BO513" s="223"/>
    </row>
    <row r="514" spans="1:67" s="74" customFormat="1">
      <c r="A514" s="15"/>
      <c r="B514" s="15"/>
      <c r="C514" s="15"/>
      <c r="D514" s="15"/>
      <c r="E514" s="6"/>
      <c r="F514" s="6"/>
      <c r="G514" s="6"/>
      <c r="K514" s="223"/>
      <c r="M514" s="889"/>
      <c r="P514" s="890"/>
      <c r="T514" s="889"/>
      <c r="X514" s="15"/>
      <c r="Y514" s="1935"/>
      <c r="Z514" s="1086"/>
      <c r="AA514" s="230"/>
      <c r="AB514" s="230"/>
      <c r="AC514" s="1936"/>
      <c r="AD514" s="230"/>
      <c r="AE514" s="230"/>
      <c r="AF514" s="230"/>
      <c r="AG514" s="890"/>
      <c r="AJ514" s="890"/>
      <c r="AN514" s="223"/>
      <c r="AO514" s="952"/>
      <c r="AP514" s="1066"/>
      <c r="AQ514" s="972"/>
      <c r="AR514" s="1917"/>
      <c r="AS514" s="222"/>
      <c r="AZ514" s="889"/>
      <c r="BC514" s="890"/>
      <c r="BD514" s="952"/>
      <c r="BE514" s="75"/>
      <c r="BF514" s="572"/>
      <c r="BG514" s="983"/>
      <c r="BH514" s="222"/>
      <c r="BL514" s="889"/>
      <c r="BO514" s="223"/>
    </row>
    <row r="515" spans="1:67" s="74" customFormat="1">
      <c r="A515" s="15"/>
      <c r="B515" s="15"/>
      <c r="C515" s="15"/>
      <c r="D515" s="15"/>
      <c r="E515" s="6"/>
      <c r="F515" s="6"/>
      <c r="G515" s="6"/>
      <c r="K515" s="223"/>
      <c r="M515" s="889"/>
      <c r="P515" s="890"/>
      <c r="T515" s="889"/>
      <c r="X515" s="15"/>
      <c r="Y515" s="1935"/>
      <c r="Z515" s="1086"/>
      <c r="AA515" s="230"/>
      <c r="AB515" s="230"/>
      <c r="AC515" s="1936"/>
      <c r="AD515" s="230"/>
      <c r="AE515" s="230"/>
      <c r="AF515" s="230"/>
      <c r="AG515" s="890"/>
      <c r="AJ515" s="890"/>
      <c r="AN515" s="223"/>
      <c r="AO515" s="952"/>
      <c r="AP515" s="1066"/>
      <c r="AQ515" s="972"/>
      <c r="AR515" s="1917"/>
      <c r="AS515" s="222"/>
      <c r="AZ515" s="889"/>
      <c r="BC515" s="890"/>
      <c r="BD515" s="952"/>
      <c r="BE515" s="75"/>
      <c r="BF515" s="572"/>
      <c r="BG515" s="983"/>
      <c r="BH515" s="222"/>
      <c r="BL515" s="889"/>
      <c r="BO515" s="223"/>
    </row>
    <row r="516" spans="1:67" s="74" customFormat="1">
      <c r="A516" s="15"/>
      <c r="B516" s="15"/>
      <c r="C516" s="15"/>
      <c r="D516" s="15"/>
      <c r="E516" s="6"/>
      <c r="F516" s="6"/>
      <c r="G516" s="6"/>
      <c r="K516" s="223"/>
      <c r="M516" s="889"/>
      <c r="P516" s="890"/>
      <c r="T516" s="889"/>
      <c r="X516" s="15"/>
      <c r="Y516" s="1935"/>
      <c r="Z516" s="1086"/>
      <c r="AA516" s="230"/>
      <c r="AB516" s="230"/>
      <c r="AC516" s="1936"/>
      <c r="AD516" s="230"/>
      <c r="AE516" s="230"/>
      <c r="AF516" s="230"/>
      <c r="AG516" s="890"/>
      <c r="AJ516" s="890"/>
      <c r="AN516" s="223"/>
      <c r="AO516" s="952"/>
      <c r="AP516" s="1066"/>
      <c r="AQ516" s="972"/>
      <c r="AR516" s="1917"/>
      <c r="AS516" s="222"/>
      <c r="AZ516" s="889"/>
      <c r="BC516" s="890"/>
      <c r="BD516" s="952"/>
      <c r="BE516" s="75"/>
      <c r="BF516" s="572"/>
      <c r="BG516" s="983"/>
      <c r="BH516" s="222"/>
      <c r="BL516" s="889"/>
      <c r="BO516" s="223"/>
    </row>
    <row r="517" spans="1:67" s="74" customFormat="1">
      <c r="A517" s="15"/>
      <c r="B517" s="15"/>
      <c r="C517" s="15"/>
      <c r="D517" s="15"/>
      <c r="E517" s="6"/>
      <c r="F517" s="6"/>
      <c r="G517" s="6"/>
      <c r="K517" s="223"/>
      <c r="M517" s="889"/>
      <c r="P517" s="890"/>
      <c r="T517" s="889"/>
      <c r="X517" s="15"/>
      <c r="Y517" s="1935"/>
      <c r="Z517" s="1086"/>
      <c r="AA517" s="230"/>
      <c r="AB517" s="230"/>
      <c r="AC517" s="1936"/>
      <c r="AD517" s="230"/>
      <c r="AE517" s="230"/>
      <c r="AF517" s="230"/>
      <c r="AG517" s="890"/>
      <c r="AJ517" s="890"/>
      <c r="AN517" s="223"/>
      <c r="AO517" s="952"/>
      <c r="AP517" s="1066"/>
      <c r="AQ517" s="972"/>
      <c r="AR517" s="1917"/>
      <c r="AS517" s="222"/>
      <c r="AZ517" s="889"/>
      <c r="BC517" s="890"/>
      <c r="BD517" s="952"/>
      <c r="BE517" s="75"/>
      <c r="BF517" s="572"/>
      <c r="BG517" s="983"/>
      <c r="BH517" s="222"/>
      <c r="BL517" s="889"/>
      <c r="BO517" s="223"/>
    </row>
    <row r="518" spans="1:67" s="74" customFormat="1">
      <c r="A518" s="15"/>
      <c r="B518" s="15"/>
      <c r="C518" s="15"/>
      <c r="D518" s="15"/>
      <c r="E518" s="6"/>
      <c r="F518" s="6"/>
      <c r="G518" s="6"/>
      <c r="K518" s="223"/>
      <c r="M518" s="889"/>
      <c r="P518" s="890"/>
      <c r="T518" s="889"/>
      <c r="X518" s="15"/>
      <c r="Y518" s="1935"/>
      <c r="Z518" s="1086"/>
      <c r="AA518" s="230"/>
      <c r="AB518" s="230"/>
      <c r="AC518" s="1936"/>
      <c r="AD518" s="230"/>
      <c r="AE518" s="230"/>
      <c r="AF518" s="230"/>
      <c r="AG518" s="890"/>
      <c r="AJ518" s="890"/>
      <c r="AN518" s="223"/>
      <c r="AO518" s="952"/>
      <c r="AP518" s="1066"/>
      <c r="AQ518" s="972"/>
      <c r="AR518" s="1917"/>
      <c r="AS518" s="222"/>
      <c r="AZ518" s="889"/>
      <c r="BC518" s="890"/>
      <c r="BD518" s="952"/>
      <c r="BE518" s="75"/>
      <c r="BF518" s="572"/>
      <c r="BG518" s="983"/>
      <c r="BH518" s="222"/>
      <c r="BL518" s="889"/>
      <c r="BO518" s="223"/>
    </row>
    <row r="519" spans="1:67" s="74" customFormat="1">
      <c r="A519" s="15"/>
      <c r="B519" s="15"/>
      <c r="C519" s="15"/>
      <c r="D519" s="15"/>
      <c r="E519" s="6"/>
      <c r="F519" s="6"/>
      <c r="G519" s="6"/>
      <c r="K519" s="223"/>
      <c r="M519" s="889"/>
      <c r="P519" s="890"/>
      <c r="T519" s="889"/>
      <c r="X519" s="15"/>
      <c r="Y519" s="1935"/>
      <c r="Z519" s="1086"/>
      <c r="AA519" s="230"/>
      <c r="AB519" s="230"/>
      <c r="AC519" s="1936"/>
      <c r="AD519" s="230"/>
      <c r="AE519" s="230"/>
      <c r="AF519" s="230"/>
      <c r="AG519" s="890"/>
      <c r="AJ519" s="890"/>
      <c r="AN519" s="223"/>
      <c r="AO519" s="952"/>
      <c r="AP519" s="1066"/>
      <c r="AQ519" s="972"/>
      <c r="AR519" s="1917"/>
      <c r="AS519" s="222"/>
      <c r="AZ519" s="889"/>
      <c r="BC519" s="890"/>
      <c r="BD519" s="952"/>
      <c r="BE519" s="75"/>
      <c r="BF519" s="572"/>
      <c r="BG519" s="983"/>
      <c r="BH519" s="222"/>
      <c r="BL519" s="889"/>
      <c r="BO519" s="223"/>
    </row>
    <row r="520" spans="1:67" s="74" customFormat="1">
      <c r="A520" s="15"/>
      <c r="B520" s="15"/>
      <c r="C520" s="15"/>
      <c r="D520" s="15"/>
      <c r="E520" s="6"/>
      <c r="F520" s="6"/>
      <c r="G520" s="6"/>
      <c r="K520" s="223"/>
      <c r="M520" s="889"/>
      <c r="P520" s="890"/>
      <c r="T520" s="889"/>
      <c r="X520" s="15"/>
      <c r="Y520" s="1935"/>
      <c r="Z520" s="1086"/>
      <c r="AA520" s="230"/>
      <c r="AB520" s="230"/>
      <c r="AC520" s="1936"/>
      <c r="AD520" s="230"/>
      <c r="AE520" s="230"/>
      <c r="AF520" s="230"/>
      <c r="AG520" s="890"/>
      <c r="AJ520" s="890"/>
      <c r="AN520" s="223"/>
      <c r="AO520" s="952"/>
      <c r="AP520" s="1066"/>
      <c r="AQ520" s="972"/>
      <c r="AR520" s="1917"/>
      <c r="AS520" s="222"/>
      <c r="AZ520" s="889"/>
      <c r="BC520" s="890"/>
      <c r="BD520" s="952"/>
      <c r="BE520" s="75"/>
      <c r="BF520" s="572"/>
      <c r="BG520" s="983"/>
      <c r="BH520" s="222"/>
      <c r="BL520" s="889"/>
      <c r="BO520" s="223"/>
    </row>
    <row r="521" spans="1:67" s="74" customFormat="1">
      <c r="A521" s="15"/>
      <c r="B521" s="15"/>
      <c r="C521" s="15"/>
      <c r="D521" s="15"/>
      <c r="E521" s="6"/>
      <c r="F521" s="6"/>
      <c r="G521" s="6"/>
      <c r="K521" s="223"/>
      <c r="M521" s="889"/>
      <c r="P521" s="890"/>
      <c r="T521" s="889"/>
      <c r="X521" s="15"/>
      <c r="Y521" s="1935"/>
      <c r="Z521" s="1086"/>
      <c r="AA521" s="230"/>
      <c r="AB521" s="230"/>
      <c r="AC521" s="1936"/>
      <c r="AD521" s="230"/>
      <c r="AE521" s="230"/>
      <c r="AF521" s="230"/>
      <c r="AG521" s="890"/>
      <c r="AJ521" s="890"/>
      <c r="AN521" s="223"/>
      <c r="AO521" s="952"/>
      <c r="AP521" s="1066"/>
      <c r="AQ521" s="972"/>
      <c r="AR521" s="1917"/>
      <c r="AS521" s="222"/>
      <c r="AZ521" s="889"/>
      <c r="BC521" s="890"/>
      <c r="BD521" s="952"/>
      <c r="BE521" s="75"/>
      <c r="BF521" s="572"/>
      <c r="BG521" s="983"/>
      <c r="BH521" s="222"/>
      <c r="BL521" s="889"/>
      <c r="BO521" s="223"/>
    </row>
    <row r="522" spans="1:67" s="74" customFormat="1">
      <c r="A522" s="15"/>
      <c r="B522" s="15"/>
      <c r="C522" s="15"/>
      <c r="D522" s="15"/>
      <c r="E522" s="6"/>
      <c r="F522" s="6"/>
      <c r="G522" s="6"/>
      <c r="K522" s="223"/>
      <c r="M522" s="889"/>
      <c r="P522" s="890"/>
      <c r="T522" s="889"/>
      <c r="X522" s="15"/>
      <c r="Y522" s="1935"/>
      <c r="Z522" s="1086"/>
      <c r="AA522" s="230"/>
      <c r="AB522" s="230"/>
      <c r="AC522" s="1936"/>
      <c r="AD522" s="230"/>
      <c r="AE522" s="230"/>
      <c r="AF522" s="230"/>
      <c r="AG522" s="890"/>
      <c r="AJ522" s="890"/>
      <c r="AN522" s="223"/>
      <c r="AO522" s="952"/>
      <c r="AP522" s="1066"/>
      <c r="AQ522" s="972"/>
      <c r="AR522" s="1917"/>
      <c r="AS522" s="222"/>
      <c r="AZ522" s="889"/>
      <c r="BC522" s="890"/>
      <c r="BD522" s="952"/>
      <c r="BE522" s="75"/>
      <c r="BF522" s="572"/>
      <c r="BG522" s="983"/>
      <c r="BH522" s="222"/>
      <c r="BL522" s="889"/>
      <c r="BO522" s="223"/>
    </row>
    <row r="523" spans="1:67" s="74" customFormat="1">
      <c r="A523" s="15"/>
      <c r="B523" s="15"/>
      <c r="C523" s="15"/>
      <c r="D523" s="15"/>
      <c r="E523" s="6"/>
      <c r="F523" s="6"/>
      <c r="G523" s="6"/>
      <c r="K523" s="223"/>
      <c r="M523" s="889"/>
      <c r="P523" s="890"/>
      <c r="T523" s="889"/>
      <c r="X523" s="15"/>
      <c r="Y523" s="1935"/>
      <c r="Z523" s="1086"/>
      <c r="AA523" s="230"/>
      <c r="AB523" s="230"/>
      <c r="AC523" s="1936"/>
      <c r="AD523" s="230"/>
      <c r="AE523" s="230"/>
      <c r="AF523" s="230"/>
      <c r="AG523" s="890"/>
      <c r="AJ523" s="890"/>
      <c r="AN523" s="223"/>
      <c r="AO523" s="952"/>
      <c r="AP523" s="1066"/>
      <c r="AQ523" s="972"/>
      <c r="AR523" s="1917"/>
      <c r="AS523" s="222"/>
      <c r="AZ523" s="889"/>
      <c r="BC523" s="890"/>
      <c r="BD523" s="952"/>
      <c r="BE523" s="75"/>
      <c r="BF523" s="572"/>
      <c r="BG523" s="983"/>
      <c r="BH523" s="222"/>
      <c r="BL523" s="889"/>
      <c r="BO523" s="223"/>
    </row>
    <row r="524" spans="1:67" s="74" customFormat="1">
      <c r="A524" s="15"/>
      <c r="B524" s="15"/>
      <c r="C524" s="15"/>
      <c r="D524" s="15"/>
      <c r="E524" s="6"/>
      <c r="F524" s="6"/>
      <c r="G524" s="6"/>
      <c r="K524" s="223"/>
      <c r="M524" s="889"/>
      <c r="P524" s="890"/>
      <c r="T524" s="889"/>
      <c r="X524" s="15"/>
      <c r="Y524" s="1935"/>
      <c r="Z524" s="1086"/>
      <c r="AA524" s="230"/>
      <c r="AB524" s="230"/>
      <c r="AC524" s="1936"/>
      <c r="AD524" s="230"/>
      <c r="AE524" s="230"/>
      <c r="AF524" s="230"/>
      <c r="AG524" s="890"/>
      <c r="AJ524" s="890"/>
      <c r="AN524" s="223"/>
      <c r="AO524" s="952"/>
      <c r="AP524" s="1066"/>
      <c r="AQ524" s="972"/>
      <c r="AR524" s="1917"/>
      <c r="AS524" s="222"/>
      <c r="AZ524" s="889"/>
      <c r="BC524" s="890"/>
      <c r="BD524" s="952"/>
      <c r="BE524" s="75"/>
      <c r="BF524" s="572"/>
      <c r="BG524" s="983"/>
      <c r="BH524" s="222"/>
      <c r="BL524" s="889"/>
      <c r="BO524" s="223"/>
    </row>
    <row r="525" spans="1:67" s="74" customFormat="1">
      <c r="A525" s="15"/>
      <c r="B525" s="15"/>
      <c r="C525" s="15"/>
      <c r="D525" s="15"/>
      <c r="E525" s="6"/>
      <c r="F525" s="6"/>
      <c r="G525" s="6"/>
      <c r="K525" s="223"/>
      <c r="M525" s="889"/>
      <c r="P525" s="890"/>
      <c r="T525" s="889"/>
      <c r="X525" s="15"/>
      <c r="Y525" s="1935"/>
      <c r="Z525" s="1086"/>
      <c r="AA525" s="230"/>
      <c r="AB525" s="230"/>
      <c r="AC525" s="1936"/>
      <c r="AD525" s="230"/>
      <c r="AE525" s="230"/>
      <c r="AF525" s="230"/>
      <c r="AG525" s="890"/>
      <c r="AJ525" s="890"/>
      <c r="AN525" s="223"/>
      <c r="AO525" s="952"/>
      <c r="AP525" s="1066"/>
      <c r="AQ525" s="972"/>
      <c r="AR525" s="1917"/>
      <c r="AS525" s="222"/>
      <c r="AZ525" s="889"/>
      <c r="BC525" s="890"/>
      <c r="BD525" s="952"/>
      <c r="BE525" s="75"/>
      <c r="BF525" s="572"/>
      <c r="BG525" s="983"/>
      <c r="BH525" s="222"/>
      <c r="BL525" s="889"/>
      <c r="BO525" s="223"/>
    </row>
    <row r="526" spans="1:67" s="74" customFormat="1">
      <c r="A526" s="15"/>
      <c r="B526" s="15"/>
      <c r="C526" s="15"/>
      <c r="D526" s="15"/>
      <c r="E526" s="6"/>
      <c r="F526" s="6"/>
      <c r="G526" s="6"/>
      <c r="K526" s="223"/>
      <c r="M526" s="889"/>
      <c r="P526" s="890"/>
      <c r="T526" s="889"/>
      <c r="X526" s="15"/>
      <c r="Y526" s="1935"/>
      <c r="Z526" s="1086"/>
      <c r="AA526" s="230"/>
      <c r="AB526" s="230"/>
      <c r="AC526" s="1936"/>
      <c r="AD526" s="230"/>
      <c r="AE526" s="230"/>
      <c r="AF526" s="230"/>
      <c r="AG526" s="890"/>
      <c r="AJ526" s="890"/>
      <c r="AN526" s="223"/>
      <c r="AO526" s="952"/>
      <c r="AP526" s="1066"/>
      <c r="AQ526" s="972"/>
      <c r="AR526" s="1917"/>
      <c r="AS526" s="222"/>
      <c r="AZ526" s="889"/>
      <c r="BC526" s="890"/>
      <c r="BD526" s="952"/>
      <c r="BE526" s="75"/>
      <c r="BF526" s="572"/>
      <c r="BG526" s="983"/>
      <c r="BH526" s="222"/>
      <c r="BL526" s="889"/>
      <c r="BO526" s="223"/>
    </row>
    <row r="527" spans="1:67" s="74" customFormat="1">
      <c r="A527" s="15"/>
      <c r="B527" s="15"/>
      <c r="C527" s="15"/>
      <c r="D527" s="15"/>
      <c r="E527" s="6"/>
      <c r="F527" s="6"/>
      <c r="G527" s="6"/>
      <c r="K527" s="223"/>
      <c r="M527" s="889"/>
      <c r="P527" s="890"/>
      <c r="T527" s="889"/>
      <c r="X527" s="15"/>
      <c r="Y527" s="1935"/>
      <c r="Z527" s="1086"/>
      <c r="AA527" s="230"/>
      <c r="AB527" s="230"/>
      <c r="AC527" s="1936"/>
      <c r="AD527" s="230"/>
      <c r="AE527" s="230"/>
      <c r="AF527" s="230"/>
      <c r="AG527" s="890"/>
      <c r="AJ527" s="890"/>
      <c r="AN527" s="223"/>
      <c r="AO527" s="952"/>
      <c r="AP527" s="1066"/>
      <c r="AQ527" s="972"/>
      <c r="AR527" s="1917"/>
      <c r="AS527" s="222"/>
      <c r="AZ527" s="889"/>
      <c r="BC527" s="890"/>
      <c r="BD527" s="952"/>
      <c r="BE527" s="75"/>
      <c r="BF527" s="572"/>
      <c r="BG527" s="983"/>
      <c r="BH527" s="222"/>
      <c r="BL527" s="889"/>
      <c r="BO527" s="223"/>
    </row>
    <row r="528" spans="1:67" s="74" customFormat="1">
      <c r="A528" s="15"/>
      <c r="B528" s="15"/>
      <c r="C528" s="15"/>
      <c r="D528" s="15"/>
      <c r="E528" s="6"/>
      <c r="F528" s="6"/>
      <c r="G528" s="6"/>
      <c r="K528" s="223"/>
      <c r="M528" s="889"/>
      <c r="P528" s="890"/>
      <c r="T528" s="889"/>
      <c r="X528" s="15"/>
      <c r="Y528" s="1935"/>
      <c r="Z528" s="1086"/>
      <c r="AA528" s="230"/>
      <c r="AB528" s="230"/>
      <c r="AC528" s="1936"/>
      <c r="AD528" s="230"/>
      <c r="AE528" s="230"/>
      <c r="AF528" s="230"/>
      <c r="AG528" s="890"/>
      <c r="AJ528" s="890"/>
      <c r="AN528" s="223"/>
      <c r="AO528" s="952"/>
      <c r="AP528" s="1066"/>
      <c r="AQ528" s="972"/>
      <c r="AR528" s="1917"/>
      <c r="AS528" s="222"/>
      <c r="AZ528" s="889"/>
      <c r="BC528" s="890"/>
      <c r="BD528" s="952"/>
      <c r="BE528" s="75"/>
      <c r="BF528" s="572"/>
      <c r="BG528" s="983"/>
      <c r="BH528" s="222"/>
      <c r="BL528" s="889"/>
      <c r="BO528" s="223"/>
    </row>
    <row r="529" spans="1:67" s="74" customFormat="1">
      <c r="A529" s="15"/>
      <c r="B529" s="15"/>
      <c r="C529" s="15"/>
      <c r="D529" s="15"/>
      <c r="E529" s="6"/>
      <c r="F529" s="6"/>
      <c r="G529" s="6"/>
      <c r="K529" s="223"/>
      <c r="M529" s="889"/>
      <c r="P529" s="890"/>
      <c r="T529" s="889"/>
      <c r="X529" s="15"/>
      <c r="Y529" s="1935"/>
      <c r="Z529" s="1086"/>
      <c r="AA529" s="230"/>
      <c r="AB529" s="230"/>
      <c r="AC529" s="1936"/>
      <c r="AD529" s="230"/>
      <c r="AE529" s="230"/>
      <c r="AF529" s="230"/>
      <c r="AG529" s="890"/>
      <c r="AJ529" s="890"/>
      <c r="AN529" s="223"/>
      <c r="AO529" s="952"/>
      <c r="AP529" s="1066"/>
      <c r="AQ529" s="972"/>
      <c r="AR529" s="1917"/>
      <c r="AS529" s="222"/>
      <c r="AZ529" s="889"/>
      <c r="BC529" s="890"/>
      <c r="BD529" s="952"/>
      <c r="BE529" s="75"/>
      <c r="BF529" s="572"/>
      <c r="BG529" s="983"/>
      <c r="BH529" s="222"/>
      <c r="BL529" s="889"/>
      <c r="BO529" s="223"/>
    </row>
    <row r="530" spans="1:67" s="74" customFormat="1">
      <c r="A530" s="15"/>
      <c r="B530" s="15"/>
      <c r="C530" s="15"/>
      <c r="D530" s="15"/>
      <c r="E530" s="6"/>
      <c r="F530" s="6"/>
      <c r="G530" s="6"/>
      <c r="K530" s="223"/>
      <c r="M530" s="889"/>
      <c r="P530" s="890"/>
      <c r="T530" s="889"/>
      <c r="X530" s="15"/>
      <c r="Y530" s="1935"/>
      <c r="Z530" s="1086"/>
      <c r="AA530" s="230"/>
      <c r="AB530" s="230"/>
      <c r="AC530" s="1936"/>
      <c r="AD530" s="230"/>
      <c r="AE530" s="230"/>
      <c r="AF530" s="230"/>
      <c r="AG530" s="890"/>
      <c r="AJ530" s="890"/>
      <c r="AN530" s="223"/>
      <c r="AO530" s="952"/>
      <c r="AP530" s="1066"/>
      <c r="AQ530" s="972"/>
      <c r="AR530" s="1917"/>
      <c r="AS530" s="222"/>
      <c r="AZ530" s="889"/>
      <c r="BC530" s="890"/>
      <c r="BD530" s="952"/>
      <c r="BE530" s="75"/>
      <c r="BF530" s="572"/>
      <c r="BG530" s="983"/>
      <c r="BH530" s="222"/>
      <c r="BL530" s="889"/>
      <c r="BO530" s="223"/>
    </row>
    <row r="531" spans="1:67" s="74" customFormat="1">
      <c r="A531" s="15"/>
      <c r="B531" s="15"/>
      <c r="C531" s="15"/>
      <c r="D531" s="15"/>
      <c r="E531" s="6"/>
      <c r="F531" s="6"/>
      <c r="G531" s="6"/>
      <c r="K531" s="223"/>
      <c r="M531" s="889"/>
      <c r="P531" s="890"/>
      <c r="T531" s="889"/>
      <c r="X531" s="15"/>
      <c r="Y531" s="1935"/>
      <c r="Z531" s="1086"/>
      <c r="AA531" s="230"/>
      <c r="AB531" s="230"/>
      <c r="AC531" s="1936"/>
      <c r="AD531" s="230"/>
      <c r="AE531" s="230"/>
      <c r="AF531" s="230"/>
      <c r="AG531" s="890"/>
      <c r="AJ531" s="890"/>
      <c r="AN531" s="223"/>
      <c r="AO531" s="952"/>
      <c r="AP531" s="1066"/>
      <c r="AQ531" s="972"/>
      <c r="AR531" s="1917"/>
      <c r="AS531" s="222"/>
      <c r="AZ531" s="889"/>
      <c r="BC531" s="890"/>
      <c r="BD531" s="952"/>
      <c r="BE531" s="75"/>
      <c r="BF531" s="572"/>
      <c r="BG531" s="983"/>
      <c r="BH531" s="222"/>
      <c r="BL531" s="889"/>
      <c r="BO531" s="223"/>
    </row>
    <row r="532" spans="1:67" s="74" customFormat="1">
      <c r="A532" s="15"/>
      <c r="B532" s="15"/>
      <c r="C532" s="15"/>
      <c r="D532" s="15"/>
      <c r="E532" s="6"/>
      <c r="F532" s="6"/>
      <c r="G532" s="6"/>
      <c r="K532" s="223"/>
      <c r="M532" s="889"/>
      <c r="P532" s="890"/>
      <c r="T532" s="889"/>
      <c r="X532" s="15"/>
      <c r="Y532" s="1935"/>
      <c r="Z532" s="1086"/>
      <c r="AA532" s="230"/>
      <c r="AB532" s="230"/>
      <c r="AC532" s="1936"/>
      <c r="AD532" s="230"/>
      <c r="AE532" s="230"/>
      <c r="AF532" s="230"/>
      <c r="AG532" s="890"/>
      <c r="AJ532" s="890"/>
      <c r="AN532" s="223"/>
      <c r="AO532" s="952"/>
      <c r="AP532" s="1066"/>
      <c r="AQ532" s="972"/>
      <c r="AR532" s="1917"/>
      <c r="AS532" s="222"/>
      <c r="AZ532" s="889"/>
      <c r="BC532" s="890"/>
      <c r="BD532" s="952"/>
      <c r="BE532" s="75"/>
      <c r="BF532" s="572"/>
      <c r="BG532" s="983"/>
      <c r="BH532" s="222"/>
      <c r="BL532" s="889"/>
      <c r="BO532" s="223"/>
    </row>
    <row r="533" spans="1:67" s="74" customFormat="1">
      <c r="A533" s="15"/>
      <c r="B533" s="15"/>
      <c r="C533" s="15"/>
      <c r="D533" s="15"/>
      <c r="E533" s="6"/>
      <c r="F533" s="6"/>
      <c r="G533" s="6"/>
      <c r="K533" s="223"/>
      <c r="M533" s="889"/>
      <c r="P533" s="890"/>
      <c r="T533" s="889"/>
      <c r="X533" s="15"/>
      <c r="Y533" s="1935"/>
      <c r="Z533" s="1086"/>
      <c r="AA533" s="230"/>
      <c r="AB533" s="230"/>
      <c r="AC533" s="1936"/>
      <c r="AD533" s="230"/>
      <c r="AE533" s="230"/>
      <c r="AF533" s="230"/>
      <c r="AG533" s="890"/>
      <c r="AJ533" s="890"/>
      <c r="AN533" s="223"/>
      <c r="AO533" s="952"/>
      <c r="AP533" s="1066"/>
      <c r="AQ533" s="972"/>
      <c r="AR533" s="1917"/>
      <c r="AS533" s="222"/>
      <c r="AZ533" s="889"/>
      <c r="BC533" s="890"/>
      <c r="BD533" s="952"/>
      <c r="BE533" s="75"/>
      <c r="BF533" s="572"/>
      <c r="BG533" s="983"/>
      <c r="BH533" s="222"/>
      <c r="BL533" s="889"/>
      <c r="BO533" s="223"/>
    </row>
    <row r="534" spans="1:67" s="74" customFormat="1">
      <c r="A534" s="15"/>
      <c r="B534" s="15"/>
      <c r="C534" s="15"/>
      <c r="D534" s="15"/>
      <c r="E534" s="6"/>
      <c r="F534" s="6"/>
      <c r="G534" s="6"/>
      <c r="K534" s="223"/>
      <c r="M534" s="889"/>
      <c r="P534" s="890"/>
      <c r="T534" s="889"/>
      <c r="X534" s="15"/>
      <c r="Y534" s="1935"/>
      <c r="Z534" s="1086"/>
      <c r="AA534" s="230"/>
      <c r="AB534" s="230"/>
      <c r="AC534" s="1936"/>
      <c r="AD534" s="230"/>
      <c r="AE534" s="230"/>
      <c r="AF534" s="230"/>
      <c r="AG534" s="890"/>
      <c r="AJ534" s="890"/>
      <c r="AN534" s="223"/>
      <c r="AO534" s="952"/>
      <c r="AP534" s="1066"/>
      <c r="AQ534" s="972"/>
      <c r="AR534" s="1917"/>
      <c r="AS534" s="222"/>
      <c r="AZ534" s="889"/>
      <c r="BC534" s="890"/>
      <c r="BD534" s="952"/>
      <c r="BE534" s="75"/>
      <c r="BF534" s="572"/>
      <c r="BG534" s="983"/>
      <c r="BH534" s="222"/>
      <c r="BL534" s="889"/>
      <c r="BO534" s="223"/>
    </row>
    <row r="535" spans="1:67" s="74" customFormat="1">
      <c r="A535" s="15"/>
      <c r="B535" s="15"/>
      <c r="C535" s="15"/>
      <c r="D535" s="15"/>
      <c r="E535" s="6"/>
      <c r="F535" s="6"/>
      <c r="G535" s="6"/>
      <c r="K535" s="223"/>
      <c r="M535" s="889"/>
      <c r="P535" s="890"/>
      <c r="T535" s="889"/>
      <c r="X535" s="15"/>
      <c r="Y535" s="1935"/>
      <c r="Z535" s="1086"/>
      <c r="AA535" s="230"/>
      <c r="AB535" s="230"/>
      <c r="AC535" s="1936"/>
      <c r="AD535" s="230"/>
      <c r="AE535" s="230"/>
      <c r="AF535" s="230"/>
      <c r="AG535" s="890"/>
      <c r="AJ535" s="890"/>
      <c r="AN535" s="223"/>
      <c r="AO535" s="952"/>
      <c r="AP535" s="1066"/>
      <c r="AQ535" s="972"/>
      <c r="AR535" s="1917"/>
      <c r="AS535" s="222"/>
      <c r="AZ535" s="889"/>
      <c r="BC535" s="890"/>
      <c r="BD535" s="952"/>
      <c r="BE535" s="75"/>
      <c r="BF535" s="572"/>
      <c r="BG535" s="983"/>
      <c r="BH535" s="222"/>
      <c r="BL535" s="889"/>
      <c r="BO535" s="223"/>
    </row>
    <row r="536" spans="1:67" s="74" customFormat="1">
      <c r="A536" s="15"/>
      <c r="B536" s="15"/>
      <c r="C536" s="15"/>
      <c r="D536" s="15"/>
      <c r="E536" s="6"/>
      <c r="F536" s="6"/>
      <c r="G536" s="6"/>
      <c r="K536" s="223"/>
      <c r="M536" s="889"/>
      <c r="P536" s="890"/>
      <c r="T536" s="889"/>
      <c r="X536" s="15"/>
      <c r="Y536" s="1935"/>
      <c r="Z536" s="1086"/>
      <c r="AA536" s="230"/>
      <c r="AB536" s="230"/>
      <c r="AC536" s="1936"/>
      <c r="AD536" s="230"/>
      <c r="AE536" s="230"/>
      <c r="AF536" s="230"/>
      <c r="AG536" s="890"/>
      <c r="AJ536" s="890"/>
      <c r="AN536" s="223"/>
      <c r="AO536" s="952"/>
      <c r="AP536" s="1066"/>
      <c r="AQ536" s="972"/>
      <c r="AR536" s="1917"/>
      <c r="AS536" s="222"/>
      <c r="AZ536" s="889"/>
      <c r="BC536" s="890"/>
      <c r="BD536" s="952"/>
      <c r="BE536" s="75"/>
      <c r="BF536" s="572"/>
      <c r="BG536" s="983"/>
      <c r="BH536" s="222"/>
      <c r="BL536" s="889"/>
      <c r="BO536" s="223"/>
    </row>
    <row r="537" spans="1:67" s="74" customFormat="1">
      <c r="A537" s="15"/>
      <c r="B537" s="15"/>
      <c r="C537" s="15"/>
      <c r="D537" s="15"/>
      <c r="E537" s="6"/>
      <c r="F537" s="6"/>
      <c r="G537" s="6"/>
      <c r="K537" s="223"/>
      <c r="M537" s="889"/>
      <c r="P537" s="890"/>
      <c r="T537" s="889"/>
      <c r="X537" s="15"/>
      <c r="Y537" s="1935"/>
      <c r="Z537" s="1086"/>
      <c r="AA537" s="230"/>
      <c r="AB537" s="230"/>
      <c r="AC537" s="1936"/>
      <c r="AD537" s="230"/>
      <c r="AE537" s="230"/>
      <c r="AF537" s="230"/>
      <c r="AG537" s="890"/>
      <c r="AJ537" s="890"/>
      <c r="AN537" s="223"/>
      <c r="AO537" s="952"/>
      <c r="AP537" s="1066"/>
      <c r="AQ537" s="972"/>
      <c r="AR537" s="1917"/>
      <c r="AS537" s="222"/>
      <c r="AZ537" s="889"/>
      <c r="BC537" s="890"/>
      <c r="BD537" s="952"/>
      <c r="BE537" s="75"/>
      <c r="BF537" s="572"/>
      <c r="BG537" s="983"/>
      <c r="BH537" s="222"/>
      <c r="BL537" s="889"/>
      <c r="BO537" s="223"/>
    </row>
    <row r="538" spans="1:67" s="74" customFormat="1">
      <c r="A538" s="15"/>
      <c r="B538" s="15"/>
      <c r="C538" s="15"/>
      <c r="D538" s="15"/>
      <c r="E538" s="6"/>
      <c r="F538" s="6"/>
      <c r="G538" s="6"/>
      <c r="K538" s="223"/>
      <c r="M538" s="889"/>
      <c r="P538" s="890"/>
      <c r="T538" s="889"/>
      <c r="X538" s="15"/>
      <c r="Y538" s="1935"/>
      <c r="Z538" s="1086"/>
      <c r="AA538" s="230"/>
      <c r="AB538" s="230"/>
      <c r="AC538" s="1936"/>
      <c r="AD538" s="230"/>
      <c r="AE538" s="230"/>
      <c r="AF538" s="230"/>
      <c r="AG538" s="890"/>
      <c r="AJ538" s="890"/>
      <c r="AN538" s="223"/>
      <c r="AO538" s="952"/>
      <c r="AP538" s="1066"/>
      <c r="AQ538" s="972"/>
      <c r="AR538" s="1917"/>
      <c r="AS538" s="222"/>
      <c r="AZ538" s="889"/>
      <c r="BC538" s="890"/>
      <c r="BD538" s="952"/>
      <c r="BE538" s="75"/>
      <c r="BF538" s="572"/>
      <c r="BG538" s="983"/>
      <c r="BH538" s="222"/>
      <c r="BL538" s="889"/>
      <c r="BO538" s="223"/>
    </row>
    <row r="539" spans="1:67" s="74" customFormat="1">
      <c r="A539" s="15"/>
      <c r="B539" s="15"/>
      <c r="C539" s="15"/>
      <c r="D539" s="15"/>
      <c r="E539" s="6"/>
      <c r="F539" s="6"/>
      <c r="G539" s="6"/>
      <c r="K539" s="223"/>
      <c r="M539" s="889"/>
      <c r="P539" s="890"/>
      <c r="T539" s="889"/>
      <c r="X539" s="15"/>
      <c r="Y539" s="1935"/>
      <c r="Z539" s="1086"/>
      <c r="AA539" s="230"/>
      <c r="AB539" s="230"/>
      <c r="AC539" s="1936"/>
      <c r="AD539" s="230"/>
      <c r="AE539" s="230"/>
      <c r="AF539" s="230"/>
      <c r="AG539" s="890"/>
      <c r="AJ539" s="890"/>
      <c r="AN539" s="223"/>
      <c r="AO539" s="952"/>
      <c r="AP539" s="1066"/>
      <c r="AQ539" s="972"/>
      <c r="AR539" s="1917"/>
      <c r="AS539" s="222"/>
      <c r="AZ539" s="889"/>
      <c r="BC539" s="890"/>
      <c r="BD539" s="952"/>
      <c r="BE539" s="75"/>
      <c r="BF539" s="572"/>
      <c r="BG539" s="983"/>
      <c r="BH539" s="222"/>
      <c r="BL539" s="889"/>
      <c r="BO539" s="223"/>
    </row>
    <row r="540" spans="1:67" s="74" customFormat="1">
      <c r="A540" s="15"/>
      <c r="B540" s="15"/>
      <c r="C540" s="15"/>
      <c r="D540" s="15"/>
      <c r="E540" s="6"/>
      <c r="F540" s="6"/>
      <c r="G540" s="6"/>
      <c r="K540" s="223"/>
      <c r="M540" s="889"/>
      <c r="P540" s="890"/>
      <c r="T540" s="889"/>
      <c r="X540" s="15"/>
      <c r="Y540" s="1935"/>
      <c r="Z540" s="1086"/>
      <c r="AA540" s="230"/>
      <c r="AB540" s="230"/>
      <c r="AC540" s="1936"/>
      <c r="AD540" s="230"/>
      <c r="AE540" s="230"/>
      <c r="AF540" s="230"/>
      <c r="AG540" s="890"/>
      <c r="AJ540" s="890"/>
      <c r="AN540" s="223"/>
      <c r="AO540" s="952"/>
      <c r="AP540" s="1066"/>
      <c r="AQ540" s="972"/>
      <c r="AR540" s="1917"/>
      <c r="AS540" s="222"/>
      <c r="AZ540" s="889"/>
      <c r="BC540" s="890"/>
      <c r="BD540" s="952"/>
      <c r="BE540" s="75"/>
      <c r="BF540" s="572"/>
      <c r="BG540" s="983"/>
      <c r="BH540" s="222"/>
      <c r="BL540" s="889"/>
      <c r="BO540" s="223"/>
    </row>
    <row r="541" spans="1:67" s="74" customFormat="1">
      <c r="A541" s="15"/>
      <c r="B541" s="15"/>
      <c r="C541" s="15"/>
      <c r="D541" s="15"/>
      <c r="E541" s="6"/>
      <c r="F541" s="6"/>
      <c r="G541" s="6"/>
      <c r="K541" s="223"/>
      <c r="M541" s="889"/>
      <c r="P541" s="890"/>
      <c r="T541" s="889"/>
      <c r="X541" s="15"/>
      <c r="Y541" s="1935"/>
      <c r="Z541" s="1086"/>
      <c r="AA541" s="230"/>
      <c r="AB541" s="230"/>
      <c r="AC541" s="1936"/>
      <c r="AD541" s="230"/>
      <c r="AE541" s="230"/>
      <c r="AF541" s="230"/>
      <c r="AG541" s="890"/>
      <c r="AJ541" s="890"/>
      <c r="AN541" s="223"/>
      <c r="AO541" s="952"/>
      <c r="AP541" s="1066"/>
      <c r="AQ541" s="972"/>
      <c r="AR541" s="1917"/>
      <c r="AS541" s="222"/>
      <c r="AZ541" s="889"/>
      <c r="BC541" s="890"/>
      <c r="BD541" s="952"/>
      <c r="BE541" s="75"/>
      <c r="BF541" s="572"/>
      <c r="BG541" s="983"/>
      <c r="BH541" s="222"/>
      <c r="BL541" s="889"/>
      <c r="BO541" s="223"/>
    </row>
    <row r="542" spans="1:67" s="74" customFormat="1">
      <c r="A542" s="15"/>
      <c r="B542" s="15"/>
      <c r="C542" s="15"/>
      <c r="D542" s="15"/>
      <c r="E542" s="6"/>
      <c r="F542" s="6"/>
      <c r="G542" s="6"/>
      <c r="K542" s="223"/>
      <c r="M542" s="889"/>
      <c r="P542" s="890"/>
      <c r="T542" s="889"/>
      <c r="X542" s="15"/>
      <c r="Y542" s="1935"/>
      <c r="Z542" s="1086"/>
      <c r="AA542" s="230"/>
      <c r="AB542" s="230"/>
      <c r="AC542" s="1936"/>
      <c r="AD542" s="230"/>
      <c r="AE542" s="230"/>
      <c r="AF542" s="230"/>
      <c r="AG542" s="890"/>
      <c r="AJ542" s="890"/>
      <c r="AN542" s="223"/>
      <c r="AO542" s="952"/>
      <c r="AP542" s="1066"/>
      <c r="AQ542" s="972"/>
      <c r="AR542" s="1917"/>
      <c r="AS542" s="222"/>
      <c r="AZ542" s="889"/>
      <c r="BC542" s="890"/>
      <c r="BD542" s="952"/>
      <c r="BE542" s="75"/>
      <c r="BF542" s="572"/>
      <c r="BG542" s="983"/>
      <c r="BH542" s="222"/>
      <c r="BL542" s="889"/>
      <c r="BO542" s="223"/>
    </row>
    <row r="543" spans="1:67" s="74" customFormat="1">
      <c r="A543" s="15"/>
      <c r="B543" s="15"/>
      <c r="C543" s="15"/>
      <c r="D543" s="15"/>
      <c r="E543" s="6"/>
      <c r="F543" s="6"/>
      <c r="G543" s="6"/>
      <c r="K543" s="223"/>
      <c r="M543" s="889"/>
      <c r="P543" s="890"/>
      <c r="T543" s="889"/>
      <c r="X543" s="15"/>
      <c r="Y543" s="1935"/>
      <c r="Z543" s="1086"/>
      <c r="AA543" s="230"/>
      <c r="AB543" s="230"/>
      <c r="AC543" s="1936"/>
      <c r="AD543" s="230"/>
      <c r="AE543" s="230"/>
      <c r="AF543" s="230"/>
      <c r="AG543" s="890"/>
      <c r="AJ543" s="890"/>
      <c r="AN543" s="223"/>
      <c r="AO543" s="952"/>
      <c r="AP543" s="1066"/>
      <c r="AQ543" s="972"/>
      <c r="AR543" s="1917"/>
      <c r="AS543" s="222"/>
      <c r="AZ543" s="889"/>
      <c r="BC543" s="890"/>
      <c r="BD543" s="952"/>
      <c r="BE543" s="75"/>
      <c r="BF543" s="572"/>
      <c r="BG543" s="983"/>
      <c r="BH543" s="222"/>
      <c r="BL543" s="889"/>
      <c r="BO543" s="223"/>
    </row>
    <row r="544" spans="1:67" s="74" customFormat="1">
      <c r="A544" s="15"/>
      <c r="B544" s="15"/>
      <c r="C544" s="15"/>
      <c r="D544" s="15"/>
      <c r="E544" s="6"/>
      <c r="F544" s="6"/>
      <c r="G544" s="6"/>
      <c r="K544" s="223"/>
      <c r="M544" s="889"/>
      <c r="P544" s="890"/>
      <c r="T544" s="889"/>
      <c r="X544" s="15"/>
      <c r="Y544" s="1935"/>
      <c r="Z544" s="1086"/>
      <c r="AA544" s="230"/>
      <c r="AB544" s="230"/>
      <c r="AC544" s="1936"/>
      <c r="AD544" s="230"/>
      <c r="AE544" s="230"/>
      <c r="AF544" s="230"/>
      <c r="AG544" s="890"/>
      <c r="AJ544" s="890"/>
      <c r="AN544" s="223"/>
      <c r="AO544" s="952"/>
      <c r="AP544" s="1066"/>
      <c r="AQ544" s="972"/>
      <c r="AR544" s="1917"/>
      <c r="AS544" s="222"/>
      <c r="AZ544" s="889"/>
      <c r="BC544" s="890"/>
      <c r="BD544" s="952"/>
      <c r="BE544" s="75"/>
      <c r="BF544" s="572"/>
      <c r="BG544" s="983"/>
      <c r="BH544" s="222"/>
      <c r="BL544" s="889"/>
      <c r="BO544" s="223"/>
    </row>
    <row r="545" spans="1:67" s="74" customFormat="1">
      <c r="A545" s="15"/>
      <c r="B545" s="15"/>
      <c r="C545" s="15"/>
      <c r="D545" s="15"/>
      <c r="E545" s="6"/>
      <c r="F545" s="6"/>
      <c r="G545" s="6"/>
      <c r="K545" s="223"/>
      <c r="M545" s="889"/>
      <c r="P545" s="890"/>
      <c r="T545" s="889"/>
      <c r="X545" s="15"/>
      <c r="Y545" s="1935"/>
      <c r="Z545" s="1086"/>
      <c r="AA545" s="230"/>
      <c r="AB545" s="230"/>
      <c r="AC545" s="1936"/>
      <c r="AD545" s="230"/>
      <c r="AE545" s="230"/>
      <c r="AF545" s="230"/>
      <c r="AG545" s="890"/>
      <c r="AJ545" s="890"/>
      <c r="AN545" s="223"/>
      <c r="AO545" s="952"/>
      <c r="AP545" s="1066"/>
      <c r="AQ545" s="972"/>
      <c r="AR545" s="1917"/>
      <c r="AS545" s="222"/>
      <c r="AZ545" s="889"/>
      <c r="BC545" s="890"/>
      <c r="BD545" s="952"/>
      <c r="BE545" s="75"/>
      <c r="BF545" s="572"/>
      <c r="BG545" s="983"/>
      <c r="BH545" s="222"/>
      <c r="BL545" s="889"/>
      <c r="BO545" s="223"/>
    </row>
    <row r="546" spans="1:67" s="74" customFormat="1">
      <c r="A546" s="15"/>
      <c r="B546" s="15"/>
      <c r="C546" s="15"/>
      <c r="D546" s="15"/>
      <c r="E546" s="6"/>
      <c r="F546" s="6"/>
      <c r="G546" s="6"/>
      <c r="K546" s="223"/>
      <c r="M546" s="889"/>
      <c r="P546" s="890"/>
      <c r="T546" s="889"/>
      <c r="X546" s="15"/>
      <c r="Y546" s="1935"/>
      <c r="Z546" s="1086"/>
      <c r="AA546" s="230"/>
      <c r="AB546" s="230"/>
      <c r="AC546" s="1936"/>
      <c r="AD546" s="230"/>
      <c r="AE546" s="230"/>
      <c r="AF546" s="230"/>
      <c r="AG546" s="890"/>
      <c r="AJ546" s="890"/>
      <c r="AN546" s="223"/>
      <c r="AO546" s="952"/>
      <c r="AP546" s="1066"/>
      <c r="AQ546" s="972"/>
      <c r="AR546" s="1917"/>
      <c r="AS546" s="222"/>
      <c r="AZ546" s="889"/>
      <c r="BC546" s="890"/>
      <c r="BD546" s="952"/>
      <c r="BE546" s="75"/>
      <c r="BF546" s="572"/>
      <c r="BG546" s="983"/>
      <c r="BH546" s="222"/>
      <c r="BL546" s="889"/>
      <c r="BO546" s="223"/>
    </row>
    <row r="547" spans="1:67" s="74" customFormat="1">
      <c r="A547" s="15"/>
      <c r="B547" s="15"/>
      <c r="C547" s="15"/>
      <c r="D547" s="15"/>
      <c r="E547" s="6"/>
      <c r="F547" s="6"/>
      <c r="G547" s="6"/>
      <c r="K547" s="223"/>
      <c r="M547" s="889"/>
      <c r="P547" s="890"/>
      <c r="T547" s="889"/>
      <c r="X547" s="15"/>
      <c r="Y547" s="1935"/>
      <c r="Z547" s="1086"/>
      <c r="AA547" s="230"/>
      <c r="AB547" s="230"/>
      <c r="AC547" s="1936"/>
      <c r="AD547" s="230"/>
      <c r="AE547" s="230"/>
      <c r="AF547" s="230"/>
      <c r="AG547" s="890"/>
      <c r="AJ547" s="890"/>
      <c r="AN547" s="223"/>
      <c r="AO547" s="952"/>
      <c r="AP547" s="1066"/>
      <c r="AQ547" s="972"/>
      <c r="AR547" s="1917"/>
      <c r="AS547" s="222"/>
      <c r="AZ547" s="889"/>
      <c r="BC547" s="890"/>
      <c r="BD547" s="952"/>
      <c r="BE547" s="75"/>
      <c r="BF547" s="572"/>
      <c r="BG547" s="983"/>
      <c r="BH547" s="222"/>
      <c r="BL547" s="889"/>
      <c r="BO547" s="223"/>
    </row>
    <row r="548" spans="1:67" s="74" customFormat="1">
      <c r="A548" s="15"/>
      <c r="B548" s="15"/>
      <c r="C548" s="15"/>
      <c r="D548" s="15"/>
      <c r="E548" s="6"/>
      <c r="F548" s="6"/>
      <c r="G548" s="6"/>
      <c r="K548" s="223"/>
      <c r="M548" s="889"/>
      <c r="P548" s="890"/>
      <c r="T548" s="889"/>
      <c r="X548" s="15"/>
      <c r="Y548" s="1935"/>
      <c r="Z548" s="1086"/>
      <c r="AA548" s="230"/>
      <c r="AB548" s="230"/>
      <c r="AC548" s="1936"/>
      <c r="AD548" s="230"/>
      <c r="AE548" s="230"/>
      <c r="AF548" s="230"/>
      <c r="AG548" s="890"/>
      <c r="AJ548" s="890"/>
      <c r="AN548" s="223"/>
      <c r="AO548" s="952"/>
      <c r="AP548" s="1066"/>
      <c r="AQ548" s="972"/>
      <c r="AR548" s="1917"/>
      <c r="AS548" s="222"/>
      <c r="AZ548" s="889"/>
      <c r="BC548" s="890"/>
      <c r="BD548" s="952"/>
      <c r="BE548" s="75"/>
      <c r="BF548" s="572"/>
      <c r="BG548" s="983"/>
      <c r="BH548" s="222"/>
      <c r="BL548" s="889"/>
      <c r="BO548" s="223"/>
    </row>
    <row r="549" spans="1:67" s="74" customFormat="1">
      <c r="A549" s="15"/>
      <c r="B549" s="15"/>
      <c r="C549" s="15"/>
      <c r="D549" s="15"/>
      <c r="E549" s="6"/>
      <c r="F549" s="6"/>
      <c r="G549" s="6"/>
      <c r="K549" s="223"/>
      <c r="M549" s="889"/>
      <c r="P549" s="890"/>
      <c r="T549" s="889"/>
      <c r="X549" s="15"/>
      <c r="Y549" s="1935"/>
      <c r="Z549" s="1086"/>
      <c r="AA549" s="230"/>
      <c r="AB549" s="230"/>
      <c r="AC549" s="1936"/>
      <c r="AD549" s="230"/>
      <c r="AE549" s="230"/>
      <c r="AF549" s="230"/>
      <c r="AG549" s="890"/>
      <c r="AJ549" s="890"/>
      <c r="AN549" s="223"/>
      <c r="AO549" s="952"/>
      <c r="AP549" s="1066"/>
      <c r="AQ549" s="972"/>
      <c r="AR549" s="1917"/>
      <c r="AS549" s="222"/>
      <c r="AZ549" s="889"/>
      <c r="BC549" s="890"/>
      <c r="BD549" s="952"/>
      <c r="BE549" s="75"/>
      <c r="BF549" s="572"/>
      <c r="BG549" s="983"/>
      <c r="BH549" s="222"/>
      <c r="BL549" s="889"/>
      <c r="BO549" s="223"/>
    </row>
    <row r="550" spans="1:67" s="74" customFormat="1">
      <c r="A550" s="15"/>
      <c r="B550" s="15"/>
      <c r="C550" s="15"/>
      <c r="D550" s="15"/>
      <c r="E550" s="6"/>
      <c r="F550" s="6"/>
      <c r="G550" s="6"/>
      <c r="K550" s="223"/>
      <c r="M550" s="889"/>
      <c r="P550" s="890"/>
      <c r="T550" s="889"/>
      <c r="X550" s="15"/>
      <c r="Y550" s="1935"/>
      <c r="Z550" s="1086"/>
      <c r="AA550" s="230"/>
      <c r="AB550" s="230"/>
      <c r="AC550" s="1936"/>
      <c r="AD550" s="230"/>
      <c r="AE550" s="230"/>
      <c r="AF550" s="230"/>
      <c r="AG550" s="890"/>
      <c r="AJ550" s="890"/>
      <c r="AN550" s="223"/>
      <c r="AO550" s="952"/>
      <c r="AP550" s="1066"/>
      <c r="AQ550" s="972"/>
      <c r="AR550" s="1917"/>
      <c r="AS550" s="222"/>
      <c r="AZ550" s="889"/>
      <c r="BC550" s="890"/>
      <c r="BD550" s="952"/>
      <c r="BE550" s="75"/>
      <c r="BF550" s="572"/>
      <c r="BG550" s="983"/>
      <c r="BH550" s="222"/>
      <c r="BL550" s="889"/>
      <c r="BO550" s="223"/>
    </row>
    <row r="551" spans="1:67" s="74" customFormat="1">
      <c r="A551" s="15"/>
      <c r="B551" s="15"/>
      <c r="C551" s="15"/>
      <c r="D551" s="15"/>
      <c r="E551" s="6"/>
      <c r="F551" s="6"/>
      <c r="G551" s="6"/>
      <c r="K551" s="223"/>
      <c r="M551" s="889"/>
      <c r="P551" s="890"/>
      <c r="T551" s="889"/>
      <c r="X551" s="15"/>
      <c r="Y551" s="1935"/>
      <c r="Z551" s="1086"/>
      <c r="AA551" s="230"/>
      <c r="AB551" s="230"/>
      <c r="AC551" s="1936"/>
      <c r="AD551" s="230"/>
      <c r="AE551" s="230"/>
      <c r="AF551" s="230"/>
      <c r="AG551" s="890"/>
      <c r="AJ551" s="890"/>
      <c r="AN551" s="223"/>
      <c r="AO551" s="952"/>
      <c r="AP551" s="1066"/>
      <c r="AQ551" s="972"/>
      <c r="AR551" s="1917"/>
      <c r="AS551" s="222"/>
      <c r="AZ551" s="889"/>
      <c r="BC551" s="890"/>
      <c r="BD551" s="952"/>
      <c r="BE551" s="75"/>
      <c r="BF551" s="572"/>
      <c r="BG551" s="983"/>
      <c r="BH551" s="222"/>
      <c r="BL551" s="889"/>
      <c r="BO551" s="223"/>
    </row>
    <row r="552" spans="1:67" s="74" customFormat="1">
      <c r="A552" s="15"/>
      <c r="B552" s="15"/>
      <c r="C552" s="15"/>
      <c r="D552" s="15"/>
      <c r="E552" s="6"/>
      <c r="F552" s="6"/>
      <c r="G552" s="6"/>
      <c r="K552" s="223"/>
      <c r="M552" s="889"/>
      <c r="P552" s="890"/>
      <c r="T552" s="889"/>
      <c r="X552" s="15"/>
      <c r="Y552" s="1935"/>
      <c r="Z552" s="1086"/>
      <c r="AA552" s="230"/>
      <c r="AB552" s="230"/>
      <c r="AC552" s="1936"/>
      <c r="AD552" s="230"/>
      <c r="AE552" s="230"/>
      <c r="AF552" s="230"/>
      <c r="AG552" s="890"/>
      <c r="AJ552" s="890"/>
      <c r="AN552" s="223"/>
      <c r="AO552" s="952"/>
      <c r="AP552" s="1066"/>
      <c r="AQ552" s="972"/>
      <c r="AR552" s="1917"/>
      <c r="AS552" s="222"/>
      <c r="AZ552" s="889"/>
      <c r="BC552" s="890"/>
      <c r="BD552" s="952"/>
      <c r="BE552" s="75"/>
      <c r="BF552" s="572"/>
      <c r="BG552" s="983"/>
      <c r="BH552" s="222"/>
      <c r="BL552" s="889"/>
      <c r="BO552" s="223"/>
    </row>
    <row r="553" spans="1:67" s="74" customFormat="1">
      <c r="A553" s="15"/>
      <c r="B553" s="15"/>
      <c r="C553" s="15"/>
      <c r="D553" s="15"/>
      <c r="E553" s="6"/>
      <c r="F553" s="6"/>
      <c r="G553" s="6"/>
      <c r="K553" s="223"/>
      <c r="M553" s="889"/>
      <c r="P553" s="890"/>
      <c r="T553" s="889"/>
      <c r="X553" s="15"/>
      <c r="Y553" s="1935"/>
      <c r="Z553" s="1086"/>
      <c r="AA553" s="230"/>
      <c r="AB553" s="230"/>
      <c r="AC553" s="1936"/>
      <c r="AD553" s="230"/>
      <c r="AE553" s="230"/>
      <c r="AF553" s="230"/>
      <c r="AG553" s="890"/>
      <c r="AJ553" s="890"/>
      <c r="AN553" s="223"/>
      <c r="AO553" s="952"/>
      <c r="AP553" s="1066"/>
      <c r="AQ553" s="972"/>
      <c r="AR553" s="1917"/>
      <c r="AS553" s="222"/>
      <c r="AZ553" s="889"/>
      <c r="BC553" s="890"/>
      <c r="BD553" s="952"/>
      <c r="BE553" s="75"/>
      <c r="BF553" s="572"/>
      <c r="BG553" s="983"/>
      <c r="BH553" s="222"/>
      <c r="BL553" s="889"/>
      <c r="BO553" s="223"/>
    </row>
    <row r="554" spans="1:67" s="74" customFormat="1">
      <c r="A554" s="15"/>
      <c r="B554" s="15"/>
      <c r="C554" s="15"/>
      <c r="D554" s="15"/>
      <c r="E554" s="6"/>
      <c r="F554" s="6"/>
      <c r="G554" s="6"/>
      <c r="K554" s="223"/>
      <c r="M554" s="889"/>
      <c r="P554" s="890"/>
      <c r="T554" s="889"/>
      <c r="X554" s="15"/>
      <c r="Y554" s="1935"/>
      <c r="Z554" s="1086"/>
      <c r="AA554" s="230"/>
      <c r="AB554" s="230"/>
      <c r="AC554" s="1936"/>
      <c r="AD554" s="230"/>
      <c r="AE554" s="230"/>
      <c r="AF554" s="230"/>
      <c r="AG554" s="890"/>
      <c r="AJ554" s="890"/>
      <c r="AN554" s="223"/>
      <c r="AO554" s="952"/>
      <c r="AP554" s="1066"/>
      <c r="AQ554" s="972"/>
      <c r="AR554" s="1917"/>
      <c r="AS554" s="222"/>
      <c r="AZ554" s="889"/>
      <c r="BC554" s="890"/>
      <c r="BD554" s="952"/>
      <c r="BE554" s="75"/>
      <c r="BF554" s="572"/>
      <c r="BG554" s="983"/>
      <c r="BH554" s="222"/>
      <c r="BL554" s="889"/>
      <c r="BO554" s="223"/>
    </row>
    <row r="555" spans="1:67" s="74" customFormat="1">
      <c r="A555" s="15"/>
      <c r="B555" s="15"/>
      <c r="C555" s="15"/>
      <c r="D555" s="15"/>
      <c r="E555" s="6"/>
      <c r="F555" s="6"/>
      <c r="G555" s="6"/>
      <c r="K555" s="223"/>
      <c r="M555" s="889"/>
      <c r="P555" s="890"/>
      <c r="T555" s="889"/>
      <c r="X555" s="15"/>
      <c r="Y555" s="1935"/>
      <c r="Z555" s="1086"/>
      <c r="AA555" s="230"/>
      <c r="AB555" s="230"/>
      <c r="AC555" s="1936"/>
      <c r="AD555" s="230"/>
      <c r="AE555" s="230"/>
      <c r="AF555" s="230"/>
      <c r="AG555" s="890"/>
      <c r="AJ555" s="890"/>
      <c r="AN555" s="223"/>
      <c r="AO555" s="952"/>
      <c r="AP555" s="1066"/>
      <c r="AQ555" s="972"/>
      <c r="AR555" s="1917"/>
      <c r="AS555" s="222"/>
      <c r="AZ555" s="889"/>
      <c r="BC555" s="890"/>
      <c r="BD555" s="952"/>
      <c r="BE555" s="75"/>
      <c r="BF555" s="572"/>
      <c r="BG555" s="983"/>
      <c r="BH555" s="222"/>
      <c r="BL555" s="889"/>
      <c r="BO555" s="223"/>
    </row>
    <row r="556" spans="1:67" s="74" customFormat="1">
      <c r="A556" s="15"/>
      <c r="B556" s="15"/>
      <c r="C556" s="15"/>
      <c r="D556" s="15"/>
      <c r="E556" s="6"/>
      <c r="F556" s="6"/>
      <c r="G556" s="6"/>
      <c r="K556" s="223"/>
      <c r="M556" s="889"/>
      <c r="P556" s="890"/>
      <c r="T556" s="889"/>
      <c r="X556" s="15"/>
      <c r="Y556" s="1935"/>
      <c r="Z556" s="1086"/>
      <c r="AA556" s="230"/>
      <c r="AB556" s="230"/>
      <c r="AC556" s="1936"/>
      <c r="AD556" s="230"/>
      <c r="AE556" s="230"/>
      <c r="AF556" s="230"/>
      <c r="AG556" s="890"/>
      <c r="AJ556" s="890"/>
      <c r="AN556" s="223"/>
      <c r="AO556" s="952"/>
      <c r="AP556" s="1066"/>
      <c r="AQ556" s="972"/>
      <c r="AR556" s="1917"/>
      <c r="AS556" s="222"/>
      <c r="AZ556" s="889"/>
      <c r="BC556" s="890"/>
      <c r="BD556" s="952"/>
      <c r="BE556" s="75"/>
      <c r="BF556" s="572"/>
      <c r="BG556" s="983"/>
      <c r="BH556" s="222"/>
      <c r="BL556" s="889"/>
      <c r="BO556" s="223"/>
    </row>
    <row r="557" spans="1:67" s="74" customFormat="1">
      <c r="A557" s="15"/>
      <c r="B557" s="15"/>
      <c r="C557" s="15"/>
      <c r="D557" s="15"/>
      <c r="E557" s="6"/>
      <c r="F557" s="6"/>
      <c r="G557" s="6"/>
      <c r="K557" s="223"/>
      <c r="M557" s="889"/>
      <c r="P557" s="890"/>
      <c r="T557" s="889"/>
      <c r="X557" s="15"/>
      <c r="Y557" s="1935"/>
      <c r="Z557" s="1086"/>
      <c r="AA557" s="230"/>
      <c r="AB557" s="230"/>
      <c r="AC557" s="1936"/>
      <c r="AD557" s="230"/>
      <c r="AE557" s="230"/>
      <c r="AF557" s="230"/>
      <c r="AG557" s="890"/>
      <c r="AJ557" s="890"/>
      <c r="AN557" s="223"/>
      <c r="AO557" s="952"/>
      <c r="AP557" s="1066"/>
      <c r="AQ557" s="972"/>
      <c r="AR557" s="1917"/>
      <c r="AS557" s="222"/>
      <c r="AZ557" s="889"/>
      <c r="BC557" s="890"/>
      <c r="BD557" s="952"/>
      <c r="BE557" s="75"/>
      <c r="BF557" s="572"/>
      <c r="BG557" s="983"/>
      <c r="BH557" s="222"/>
      <c r="BL557" s="889"/>
      <c r="BO557" s="223"/>
    </row>
    <row r="558" spans="1:67" s="74" customFormat="1">
      <c r="A558" s="15"/>
      <c r="B558" s="15"/>
      <c r="C558" s="15"/>
      <c r="D558" s="15"/>
      <c r="E558" s="6"/>
      <c r="F558" s="6"/>
      <c r="G558" s="6"/>
      <c r="K558" s="223"/>
      <c r="M558" s="889"/>
      <c r="P558" s="890"/>
      <c r="T558" s="889"/>
      <c r="X558" s="15"/>
      <c r="Y558" s="1935"/>
      <c r="Z558" s="1086"/>
      <c r="AA558" s="230"/>
      <c r="AB558" s="230"/>
      <c r="AC558" s="1936"/>
      <c r="AD558" s="230"/>
      <c r="AE558" s="230"/>
      <c r="AF558" s="230"/>
      <c r="AG558" s="890"/>
      <c r="AJ558" s="890"/>
      <c r="AN558" s="223"/>
      <c r="AO558" s="952"/>
      <c r="AP558" s="1066"/>
      <c r="AQ558" s="972"/>
      <c r="AR558" s="1917"/>
      <c r="AS558" s="222"/>
      <c r="AZ558" s="889"/>
      <c r="BC558" s="890"/>
      <c r="BD558" s="952"/>
      <c r="BE558" s="75"/>
      <c r="BF558" s="572"/>
      <c r="BG558" s="983"/>
      <c r="BH558" s="222"/>
      <c r="BL558" s="889"/>
      <c r="BO558" s="223"/>
    </row>
    <row r="559" spans="1:67" s="74" customFormat="1">
      <c r="A559" s="15"/>
      <c r="B559" s="15"/>
      <c r="C559" s="15"/>
      <c r="D559" s="15"/>
      <c r="E559" s="6"/>
      <c r="F559" s="6"/>
      <c r="G559" s="6"/>
      <c r="K559" s="223"/>
      <c r="M559" s="889"/>
      <c r="P559" s="890"/>
      <c r="T559" s="889"/>
      <c r="X559" s="15"/>
      <c r="Y559" s="1935"/>
      <c r="Z559" s="1086"/>
      <c r="AA559" s="230"/>
      <c r="AB559" s="230"/>
      <c r="AC559" s="1936"/>
      <c r="AD559" s="230"/>
      <c r="AE559" s="230"/>
      <c r="AF559" s="230"/>
      <c r="AG559" s="890"/>
      <c r="AJ559" s="890"/>
      <c r="AN559" s="223"/>
      <c r="AO559" s="952"/>
      <c r="AP559" s="1066"/>
      <c r="AQ559" s="972"/>
      <c r="AR559" s="1917"/>
      <c r="AS559" s="222"/>
      <c r="AZ559" s="889"/>
      <c r="BC559" s="890"/>
      <c r="BD559" s="952"/>
      <c r="BE559" s="75"/>
      <c r="BF559" s="572"/>
      <c r="BG559" s="983"/>
      <c r="BH559" s="222"/>
      <c r="BL559" s="889"/>
      <c r="BO559" s="223"/>
    </row>
    <row r="560" spans="1:67" s="74" customFormat="1">
      <c r="A560" s="15"/>
      <c r="B560" s="15"/>
      <c r="C560" s="15"/>
      <c r="D560" s="15"/>
      <c r="E560" s="6"/>
      <c r="F560" s="6"/>
      <c r="G560" s="6"/>
      <c r="K560" s="223"/>
      <c r="M560" s="889"/>
      <c r="P560" s="890"/>
      <c r="T560" s="889"/>
      <c r="X560" s="15"/>
      <c r="Y560" s="1935"/>
      <c r="Z560" s="1086"/>
      <c r="AA560" s="230"/>
      <c r="AB560" s="230"/>
      <c r="AC560" s="1936"/>
      <c r="AD560" s="230"/>
      <c r="AE560" s="230"/>
      <c r="AF560" s="230"/>
      <c r="AG560" s="890"/>
      <c r="AJ560" s="890"/>
      <c r="AN560" s="223"/>
      <c r="AO560" s="952"/>
      <c r="AP560" s="1066"/>
      <c r="AQ560" s="972"/>
      <c r="AR560" s="1917"/>
      <c r="AS560" s="222"/>
      <c r="AZ560" s="889"/>
      <c r="BC560" s="890"/>
      <c r="BD560" s="952"/>
      <c r="BE560" s="75"/>
      <c r="BF560" s="572"/>
      <c r="BG560" s="983"/>
      <c r="BH560" s="222"/>
      <c r="BL560" s="889"/>
      <c r="BO560" s="223"/>
    </row>
    <row r="561" spans="1:67" s="74" customFormat="1">
      <c r="A561" s="15"/>
      <c r="B561" s="15"/>
      <c r="C561" s="15"/>
      <c r="D561" s="15"/>
      <c r="E561" s="6"/>
      <c r="F561" s="6"/>
      <c r="G561" s="6"/>
      <c r="K561" s="223"/>
      <c r="M561" s="889"/>
      <c r="P561" s="890"/>
      <c r="T561" s="889"/>
      <c r="X561" s="15"/>
      <c r="Y561" s="1935"/>
      <c r="Z561" s="1086"/>
      <c r="AA561" s="230"/>
      <c r="AB561" s="230"/>
      <c r="AC561" s="1936"/>
      <c r="AD561" s="230"/>
      <c r="AE561" s="230"/>
      <c r="AF561" s="230"/>
      <c r="AG561" s="890"/>
      <c r="AJ561" s="890"/>
      <c r="AN561" s="223"/>
      <c r="AO561" s="952"/>
      <c r="AP561" s="1066"/>
      <c r="AQ561" s="972"/>
      <c r="AR561" s="1917"/>
      <c r="AS561" s="222"/>
      <c r="AZ561" s="889"/>
      <c r="BC561" s="890"/>
      <c r="BD561" s="952"/>
      <c r="BE561" s="75"/>
      <c r="BF561" s="572"/>
      <c r="BG561" s="983"/>
      <c r="BH561" s="222"/>
      <c r="BL561" s="889"/>
      <c r="BO561" s="223"/>
    </row>
    <row r="562" spans="1:67" s="74" customFormat="1">
      <c r="A562" s="15"/>
      <c r="B562" s="15"/>
      <c r="C562" s="15"/>
      <c r="D562" s="15"/>
      <c r="E562" s="6"/>
      <c r="F562" s="6"/>
      <c r="G562" s="6"/>
      <c r="K562" s="223"/>
      <c r="M562" s="889"/>
      <c r="P562" s="890"/>
      <c r="T562" s="889"/>
      <c r="X562" s="15"/>
      <c r="Y562" s="1935"/>
      <c r="Z562" s="1086"/>
      <c r="AA562" s="230"/>
      <c r="AB562" s="230"/>
      <c r="AC562" s="1936"/>
      <c r="AD562" s="230"/>
      <c r="AE562" s="230"/>
      <c r="AF562" s="230"/>
      <c r="AG562" s="890"/>
      <c r="AJ562" s="890"/>
      <c r="AN562" s="223"/>
      <c r="AO562" s="952"/>
      <c r="AP562" s="1066"/>
      <c r="AQ562" s="972"/>
      <c r="AR562" s="1917"/>
      <c r="AS562" s="222"/>
      <c r="AZ562" s="889"/>
      <c r="BC562" s="890"/>
      <c r="BD562" s="952"/>
      <c r="BE562" s="75"/>
      <c r="BF562" s="572"/>
      <c r="BG562" s="983"/>
      <c r="BH562" s="222"/>
      <c r="BL562" s="889"/>
      <c r="BO562" s="223"/>
    </row>
    <row r="563" spans="1:67" s="74" customFormat="1">
      <c r="A563" s="15"/>
      <c r="B563" s="15"/>
      <c r="C563" s="15"/>
      <c r="D563" s="15"/>
      <c r="E563" s="6"/>
      <c r="F563" s="6"/>
      <c r="G563" s="6"/>
      <c r="K563" s="223"/>
      <c r="M563" s="889"/>
      <c r="P563" s="890"/>
      <c r="T563" s="889"/>
      <c r="X563" s="15"/>
      <c r="Y563" s="1935"/>
      <c r="Z563" s="1086"/>
      <c r="AA563" s="230"/>
      <c r="AB563" s="230"/>
      <c r="AC563" s="1936"/>
      <c r="AD563" s="230"/>
      <c r="AE563" s="230"/>
      <c r="AF563" s="230"/>
      <c r="AG563" s="890"/>
      <c r="AJ563" s="890"/>
      <c r="AN563" s="223"/>
      <c r="AO563" s="952"/>
      <c r="AP563" s="1066"/>
      <c r="AQ563" s="972"/>
      <c r="AR563" s="1917"/>
      <c r="AS563" s="222"/>
      <c r="AZ563" s="889"/>
      <c r="BC563" s="890"/>
      <c r="BD563" s="952"/>
      <c r="BE563" s="75"/>
      <c r="BF563" s="572"/>
      <c r="BG563" s="983"/>
      <c r="BH563" s="222"/>
      <c r="BL563" s="889"/>
      <c r="BO563" s="223"/>
    </row>
    <row r="564" spans="1:67" s="74" customFormat="1">
      <c r="A564" s="15"/>
      <c r="B564" s="15"/>
      <c r="C564" s="15"/>
      <c r="D564" s="15"/>
      <c r="E564" s="6"/>
      <c r="F564" s="6"/>
      <c r="G564" s="6"/>
      <c r="K564" s="223"/>
      <c r="M564" s="889"/>
      <c r="P564" s="890"/>
      <c r="T564" s="889"/>
      <c r="X564" s="15"/>
      <c r="Y564" s="1935"/>
      <c r="Z564" s="1086"/>
      <c r="AA564" s="230"/>
      <c r="AB564" s="230"/>
      <c r="AC564" s="1936"/>
      <c r="AD564" s="230"/>
      <c r="AE564" s="230"/>
      <c r="AF564" s="230"/>
      <c r="AG564" s="890"/>
      <c r="AJ564" s="890"/>
      <c r="AN564" s="223"/>
      <c r="AO564" s="952"/>
      <c r="AP564" s="1066"/>
      <c r="AQ564" s="972"/>
      <c r="AR564" s="1917"/>
      <c r="AS564" s="222"/>
      <c r="AZ564" s="889"/>
      <c r="BC564" s="890"/>
      <c r="BD564" s="952"/>
      <c r="BE564" s="75"/>
      <c r="BF564" s="572"/>
      <c r="BG564" s="983"/>
      <c r="BH564" s="222"/>
      <c r="BL564" s="889"/>
      <c r="BO564" s="223"/>
    </row>
    <row r="565" spans="1:67" s="74" customFormat="1">
      <c r="A565" s="15"/>
      <c r="B565" s="15"/>
      <c r="C565" s="15"/>
      <c r="D565" s="15"/>
      <c r="E565" s="6"/>
      <c r="F565" s="6"/>
      <c r="G565" s="6"/>
      <c r="K565" s="223"/>
      <c r="M565" s="889"/>
      <c r="P565" s="890"/>
      <c r="T565" s="889"/>
      <c r="X565" s="15"/>
      <c r="Y565" s="1935"/>
      <c r="Z565" s="1086"/>
      <c r="AA565" s="230"/>
      <c r="AB565" s="230"/>
      <c r="AC565" s="1936"/>
      <c r="AD565" s="230"/>
      <c r="AE565" s="230"/>
      <c r="AF565" s="230"/>
      <c r="AG565" s="890"/>
      <c r="AJ565" s="890"/>
      <c r="AN565" s="223"/>
      <c r="AO565" s="952"/>
      <c r="AP565" s="1066"/>
      <c r="AQ565" s="972"/>
      <c r="AR565" s="1917"/>
      <c r="AS565" s="222"/>
      <c r="AZ565" s="889"/>
      <c r="BC565" s="890"/>
      <c r="BD565" s="952"/>
      <c r="BE565" s="75"/>
      <c r="BF565" s="572"/>
      <c r="BG565" s="983"/>
      <c r="BH565" s="222"/>
      <c r="BL565" s="889"/>
      <c r="BO565" s="223"/>
    </row>
    <row r="566" spans="1:67" s="74" customFormat="1">
      <c r="A566" s="15"/>
      <c r="B566" s="15"/>
      <c r="C566" s="15"/>
      <c r="D566" s="15"/>
      <c r="E566" s="6"/>
      <c r="F566" s="6"/>
      <c r="G566" s="6"/>
      <c r="K566" s="223"/>
      <c r="M566" s="889"/>
      <c r="P566" s="890"/>
      <c r="T566" s="889"/>
      <c r="X566" s="15"/>
      <c r="Y566" s="1935"/>
      <c r="Z566" s="1086"/>
      <c r="AA566" s="230"/>
      <c r="AB566" s="230"/>
      <c r="AC566" s="1936"/>
      <c r="AD566" s="230"/>
      <c r="AE566" s="230"/>
      <c r="AF566" s="230"/>
      <c r="AG566" s="890"/>
      <c r="AJ566" s="890"/>
      <c r="AN566" s="223"/>
      <c r="AO566" s="952"/>
      <c r="AP566" s="1066"/>
      <c r="AQ566" s="972"/>
      <c r="AR566" s="1917"/>
      <c r="AS566" s="222"/>
      <c r="AZ566" s="889"/>
      <c r="BC566" s="890"/>
      <c r="BD566" s="952"/>
      <c r="BE566" s="75"/>
      <c r="BF566" s="572"/>
      <c r="BG566" s="983"/>
      <c r="BH566" s="222"/>
      <c r="BL566" s="889"/>
      <c r="BO566" s="223"/>
    </row>
    <row r="567" spans="1:67" s="74" customFormat="1">
      <c r="A567" s="15"/>
      <c r="B567" s="15"/>
      <c r="C567" s="15"/>
      <c r="D567" s="15"/>
      <c r="E567" s="6"/>
      <c r="F567" s="6"/>
      <c r="G567" s="6"/>
      <c r="K567" s="223"/>
      <c r="M567" s="889"/>
      <c r="P567" s="890"/>
      <c r="T567" s="889"/>
      <c r="X567" s="15"/>
      <c r="Y567" s="1935"/>
      <c r="Z567" s="1086"/>
      <c r="AA567" s="230"/>
      <c r="AB567" s="230"/>
      <c r="AC567" s="1936"/>
      <c r="AD567" s="230"/>
      <c r="AE567" s="230"/>
      <c r="AF567" s="230"/>
      <c r="AG567" s="890"/>
      <c r="AJ567" s="890"/>
      <c r="AN567" s="223"/>
      <c r="AO567" s="952"/>
      <c r="AP567" s="1066"/>
      <c r="AQ567" s="972"/>
      <c r="AR567" s="1917"/>
      <c r="AS567" s="222"/>
      <c r="AZ567" s="889"/>
      <c r="BC567" s="890"/>
      <c r="BD567" s="952"/>
      <c r="BE567" s="75"/>
      <c r="BF567" s="572"/>
      <c r="BG567" s="983"/>
      <c r="BH567" s="222"/>
      <c r="BL567" s="889"/>
      <c r="BO567" s="223"/>
    </row>
    <row r="568" spans="1:67" s="74" customFormat="1">
      <c r="A568" s="15"/>
      <c r="B568" s="15"/>
      <c r="C568" s="15"/>
      <c r="D568" s="15"/>
      <c r="E568" s="6"/>
      <c r="F568" s="6"/>
      <c r="G568" s="6"/>
      <c r="K568" s="223"/>
      <c r="M568" s="889"/>
      <c r="P568" s="890"/>
      <c r="T568" s="889"/>
      <c r="X568" s="15"/>
      <c r="Y568" s="1935"/>
      <c r="Z568" s="1086"/>
      <c r="AA568" s="230"/>
      <c r="AB568" s="230"/>
      <c r="AC568" s="1936"/>
      <c r="AD568" s="230"/>
      <c r="AE568" s="230"/>
      <c r="AF568" s="230"/>
      <c r="AG568" s="890"/>
      <c r="AJ568" s="890"/>
      <c r="AN568" s="223"/>
      <c r="AO568" s="952"/>
      <c r="AP568" s="1066"/>
      <c r="AQ568" s="972"/>
      <c r="AR568" s="1917"/>
      <c r="AS568" s="222"/>
      <c r="AZ568" s="889"/>
      <c r="BC568" s="890"/>
      <c r="BD568" s="952"/>
      <c r="BE568" s="75"/>
      <c r="BF568" s="572"/>
      <c r="BG568" s="983"/>
      <c r="BH568" s="222"/>
      <c r="BL568" s="889"/>
      <c r="BO568" s="223"/>
    </row>
    <row r="569" spans="1:67" s="74" customFormat="1">
      <c r="A569" s="15"/>
      <c r="B569" s="15"/>
      <c r="C569" s="15"/>
      <c r="D569" s="15"/>
      <c r="E569" s="6"/>
      <c r="F569" s="6"/>
      <c r="G569" s="6"/>
      <c r="K569" s="223"/>
      <c r="M569" s="889"/>
      <c r="P569" s="890"/>
      <c r="T569" s="889"/>
      <c r="X569" s="15"/>
      <c r="Y569" s="1935"/>
      <c r="Z569" s="1086"/>
      <c r="AA569" s="230"/>
      <c r="AB569" s="230"/>
      <c r="AC569" s="1936"/>
      <c r="AD569" s="230"/>
      <c r="AE569" s="230"/>
      <c r="AF569" s="230"/>
      <c r="AG569" s="890"/>
      <c r="AJ569" s="890"/>
      <c r="AN569" s="223"/>
      <c r="AO569" s="952"/>
      <c r="AP569" s="1066"/>
      <c r="AQ569" s="972"/>
      <c r="AR569" s="1917"/>
      <c r="AS569" s="222"/>
      <c r="AZ569" s="889"/>
      <c r="BC569" s="890"/>
      <c r="BD569" s="952"/>
      <c r="BE569" s="75"/>
      <c r="BF569" s="572"/>
      <c r="BG569" s="983"/>
      <c r="BH569" s="222"/>
      <c r="BL569" s="889"/>
      <c r="BO569" s="223"/>
    </row>
    <row r="570" spans="1:67" s="74" customFormat="1">
      <c r="A570" s="15"/>
      <c r="B570" s="15"/>
      <c r="C570" s="15"/>
      <c r="D570" s="15"/>
      <c r="E570" s="6"/>
      <c r="F570" s="6"/>
      <c r="G570" s="6"/>
      <c r="K570" s="223"/>
      <c r="M570" s="889"/>
      <c r="P570" s="890"/>
      <c r="T570" s="889"/>
      <c r="X570" s="15"/>
      <c r="Y570" s="1935"/>
      <c r="Z570" s="1086"/>
      <c r="AA570" s="230"/>
      <c r="AB570" s="230"/>
      <c r="AC570" s="1936"/>
      <c r="AD570" s="230"/>
      <c r="AE570" s="230"/>
      <c r="AF570" s="230"/>
      <c r="AG570" s="890"/>
      <c r="AJ570" s="890"/>
      <c r="AN570" s="223"/>
      <c r="AO570" s="952"/>
      <c r="AP570" s="1066"/>
      <c r="AQ570" s="972"/>
      <c r="AR570" s="1917"/>
      <c r="AS570" s="222"/>
      <c r="AZ570" s="889"/>
      <c r="BC570" s="890"/>
      <c r="BD570" s="952"/>
      <c r="BE570" s="75"/>
      <c r="BF570" s="572"/>
      <c r="BG570" s="983"/>
      <c r="BH570" s="222"/>
      <c r="BL570" s="889"/>
      <c r="BO570" s="223"/>
    </row>
    <row r="571" spans="1:67" s="74" customFormat="1">
      <c r="A571" s="15"/>
      <c r="B571" s="15"/>
      <c r="C571" s="15"/>
      <c r="D571" s="15"/>
      <c r="E571" s="6"/>
      <c r="F571" s="6"/>
      <c r="G571" s="6"/>
      <c r="K571" s="223"/>
      <c r="M571" s="889"/>
      <c r="P571" s="890"/>
      <c r="T571" s="889"/>
      <c r="X571" s="15"/>
      <c r="Y571" s="1935"/>
      <c r="Z571" s="1086"/>
      <c r="AA571" s="230"/>
      <c r="AB571" s="230"/>
      <c r="AC571" s="1936"/>
      <c r="AD571" s="230"/>
      <c r="AE571" s="230"/>
      <c r="AF571" s="230"/>
      <c r="AG571" s="890"/>
      <c r="AJ571" s="890"/>
      <c r="AN571" s="223"/>
      <c r="AO571" s="952"/>
      <c r="AP571" s="1066"/>
      <c r="AQ571" s="972"/>
      <c r="AR571" s="1917"/>
      <c r="AS571" s="222"/>
      <c r="AZ571" s="889"/>
      <c r="BC571" s="890"/>
      <c r="BD571" s="952"/>
      <c r="BE571" s="75"/>
      <c r="BF571" s="572"/>
      <c r="BG571" s="983"/>
      <c r="BH571" s="222"/>
      <c r="BL571" s="889"/>
      <c r="BO571" s="223"/>
    </row>
    <row r="572" spans="1:67" s="74" customFormat="1">
      <c r="A572" s="15"/>
      <c r="B572" s="15"/>
      <c r="C572" s="15"/>
      <c r="D572" s="15"/>
      <c r="E572" s="6"/>
      <c r="F572" s="6"/>
      <c r="G572" s="6"/>
      <c r="K572" s="223"/>
      <c r="M572" s="889"/>
      <c r="P572" s="890"/>
      <c r="T572" s="889"/>
      <c r="X572" s="15"/>
      <c r="Y572" s="1935"/>
      <c r="Z572" s="1086"/>
      <c r="AA572" s="230"/>
      <c r="AB572" s="230"/>
      <c r="AC572" s="1936"/>
      <c r="AD572" s="230"/>
      <c r="AE572" s="230"/>
      <c r="AF572" s="230"/>
      <c r="AG572" s="890"/>
      <c r="AJ572" s="890"/>
      <c r="AN572" s="223"/>
      <c r="AO572" s="952"/>
      <c r="AP572" s="1066"/>
      <c r="AQ572" s="972"/>
      <c r="AR572" s="1917"/>
      <c r="AS572" s="222"/>
      <c r="AZ572" s="889"/>
      <c r="BC572" s="890"/>
      <c r="BD572" s="952"/>
      <c r="BE572" s="75"/>
      <c r="BF572" s="572"/>
      <c r="BG572" s="983"/>
      <c r="BH572" s="222"/>
      <c r="BL572" s="889"/>
      <c r="BO572" s="223"/>
    </row>
    <row r="573" spans="1:67" s="74" customFormat="1">
      <c r="A573" s="15"/>
      <c r="B573" s="15"/>
      <c r="C573" s="15"/>
      <c r="D573" s="15"/>
      <c r="E573" s="6"/>
      <c r="F573" s="6"/>
      <c r="G573" s="6"/>
      <c r="K573" s="223"/>
      <c r="M573" s="889"/>
      <c r="P573" s="890"/>
      <c r="T573" s="889"/>
      <c r="X573" s="15"/>
      <c r="Y573" s="1935"/>
      <c r="Z573" s="1086"/>
      <c r="AA573" s="230"/>
      <c r="AB573" s="230"/>
      <c r="AC573" s="1936"/>
      <c r="AD573" s="230"/>
      <c r="AE573" s="230"/>
      <c r="AF573" s="230"/>
      <c r="AG573" s="890"/>
      <c r="AJ573" s="890"/>
      <c r="AN573" s="223"/>
      <c r="AO573" s="952"/>
      <c r="AP573" s="1066"/>
      <c r="AQ573" s="972"/>
      <c r="AR573" s="1917"/>
      <c r="AS573" s="222"/>
      <c r="AZ573" s="889"/>
      <c r="BC573" s="890"/>
      <c r="BD573" s="952"/>
      <c r="BE573" s="75"/>
      <c r="BF573" s="572"/>
      <c r="BG573" s="983"/>
      <c r="BH573" s="222"/>
      <c r="BL573" s="889"/>
      <c r="BO573" s="223"/>
    </row>
    <row r="574" spans="1:67" s="74" customFormat="1">
      <c r="A574" s="15"/>
      <c r="B574" s="15"/>
      <c r="C574" s="15"/>
      <c r="D574" s="15"/>
      <c r="E574" s="6"/>
      <c r="F574" s="6"/>
      <c r="G574" s="6"/>
      <c r="K574" s="223"/>
      <c r="M574" s="889"/>
      <c r="P574" s="890"/>
      <c r="T574" s="889"/>
      <c r="X574" s="15"/>
      <c r="Y574" s="1935"/>
      <c r="Z574" s="1086"/>
      <c r="AA574" s="230"/>
      <c r="AB574" s="230"/>
      <c r="AC574" s="1936"/>
      <c r="AD574" s="230"/>
      <c r="AE574" s="230"/>
      <c r="AF574" s="230"/>
      <c r="AG574" s="890"/>
      <c r="AJ574" s="890"/>
      <c r="AN574" s="223"/>
      <c r="AO574" s="952"/>
      <c r="AP574" s="1066"/>
      <c r="AQ574" s="972"/>
      <c r="AR574" s="1917"/>
      <c r="AS574" s="222"/>
      <c r="AZ574" s="889"/>
      <c r="BC574" s="890"/>
      <c r="BD574" s="952"/>
      <c r="BE574" s="75"/>
      <c r="BF574" s="572"/>
      <c r="BG574" s="983"/>
      <c r="BH574" s="222"/>
      <c r="BL574" s="889"/>
      <c r="BO574" s="223"/>
    </row>
    <row r="575" spans="1:67" s="74" customFormat="1">
      <c r="A575" s="15"/>
      <c r="B575" s="15"/>
      <c r="C575" s="15"/>
      <c r="D575" s="15"/>
      <c r="E575" s="6"/>
      <c r="F575" s="6"/>
      <c r="G575" s="6"/>
      <c r="K575" s="223"/>
      <c r="M575" s="889"/>
      <c r="P575" s="890"/>
      <c r="T575" s="889"/>
      <c r="X575" s="15"/>
      <c r="Y575" s="1935"/>
      <c r="Z575" s="1086"/>
      <c r="AA575" s="230"/>
      <c r="AB575" s="230"/>
      <c r="AC575" s="1936"/>
      <c r="AD575" s="230"/>
      <c r="AE575" s="230"/>
      <c r="AF575" s="230"/>
      <c r="AG575" s="890"/>
      <c r="AJ575" s="890"/>
      <c r="AN575" s="223"/>
      <c r="AO575" s="952"/>
      <c r="AP575" s="1066"/>
      <c r="AQ575" s="972"/>
      <c r="AR575" s="1917"/>
      <c r="AS575" s="222"/>
      <c r="AZ575" s="889"/>
      <c r="BC575" s="890"/>
      <c r="BD575" s="952"/>
      <c r="BE575" s="75"/>
      <c r="BF575" s="572"/>
      <c r="BG575" s="983"/>
      <c r="BH575" s="222"/>
      <c r="BL575" s="889"/>
      <c r="BO575" s="223"/>
    </row>
    <row r="576" spans="1:67" s="74" customFormat="1">
      <c r="A576" s="15"/>
      <c r="B576" s="15"/>
      <c r="C576" s="15"/>
      <c r="D576" s="15"/>
      <c r="E576" s="6"/>
      <c r="F576" s="6"/>
      <c r="G576" s="6"/>
      <c r="K576" s="223"/>
      <c r="M576" s="889"/>
      <c r="P576" s="890"/>
      <c r="T576" s="889"/>
      <c r="X576" s="15"/>
      <c r="Y576" s="1935"/>
      <c r="Z576" s="1086"/>
      <c r="AA576" s="230"/>
      <c r="AB576" s="230"/>
      <c r="AC576" s="1936"/>
      <c r="AD576" s="230"/>
      <c r="AE576" s="230"/>
      <c r="AF576" s="230"/>
      <c r="AG576" s="890"/>
      <c r="AJ576" s="890"/>
      <c r="AN576" s="223"/>
      <c r="AO576" s="952"/>
      <c r="AP576" s="1066"/>
      <c r="AQ576" s="972"/>
      <c r="AR576" s="1917"/>
      <c r="AS576" s="222"/>
      <c r="AZ576" s="889"/>
      <c r="BC576" s="890"/>
      <c r="BD576" s="952"/>
      <c r="BE576" s="75"/>
      <c r="BF576" s="572"/>
      <c r="BG576" s="983"/>
      <c r="BH576" s="222"/>
      <c r="BL576" s="889"/>
      <c r="BO576" s="223"/>
    </row>
    <row r="577" spans="1:67" s="74" customFormat="1">
      <c r="A577" s="15"/>
      <c r="B577" s="15"/>
      <c r="C577" s="15"/>
      <c r="D577" s="15"/>
      <c r="E577" s="6"/>
      <c r="F577" s="6"/>
      <c r="G577" s="6"/>
      <c r="K577" s="223"/>
      <c r="M577" s="889"/>
      <c r="P577" s="890"/>
      <c r="T577" s="889"/>
      <c r="X577" s="15"/>
      <c r="Y577" s="1935"/>
      <c r="Z577" s="1086"/>
      <c r="AA577" s="230"/>
      <c r="AB577" s="230"/>
      <c r="AC577" s="1936"/>
      <c r="AD577" s="230"/>
      <c r="AE577" s="230"/>
      <c r="AF577" s="230"/>
      <c r="AG577" s="890"/>
      <c r="AJ577" s="890"/>
      <c r="AN577" s="223"/>
      <c r="AO577" s="952"/>
      <c r="AP577" s="1066"/>
      <c r="AQ577" s="972"/>
      <c r="AR577" s="1917"/>
      <c r="AS577" s="222"/>
      <c r="AZ577" s="889"/>
      <c r="BC577" s="890"/>
      <c r="BD577" s="952"/>
      <c r="BE577" s="75"/>
      <c r="BF577" s="572"/>
      <c r="BG577" s="983"/>
      <c r="BH577" s="222"/>
      <c r="BL577" s="889"/>
      <c r="BO577" s="223"/>
    </row>
    <row r="578" spans="1:67" s="74" customFormat="1">
      <c r="A578" s="15"/>
      <c r="B578" s="15"/>
      <c r="C578" s="15"/>
      <c r="D578" s="15"/>
      <c r="E578" s="6"/>
      <c r="F578" s="6"/>
      <c r="G578" s="6"/>
      <c r="K578" s="223"/>
      <c r="M578" s="889"/>
      <c r="P578" s="890"/>
      <c r="T578" s="889"/>
      <c r="X578" s="15"/>
      <c r="Y578" s="1935"/>
      <c r="Z578" s="1086"/>
      <c r="AA578" s="230"/>
      <c r="AB578" s="230"/>
      <c r="AC578" s="1936"/>
      <c r="AD578" s="230"/>
      <c r="AE578" s="230"/>
      <c r="AF578" s="230"/>
      <c r="AG578" s="890"/>
      <c r="AJ578" s="890"/>
      <c r="AN578" s="223"/>
      <c r="AO578" s="952"/>
      <c r="AP578" s="1066"/>
      <c r="AQ578" s="972"/>
      <c r="AR578" s="1917"/>
      <c r="AS578" s="222"/>
      <c r="AZ578" s="889"/>
      <c r="BC578" s="890"/>
      <c r="BD578" s="952"/>
      <c r="BE578" s="75"/>
      <c r="BF578" s="572"/>
      <c r="BG578" s="983"/>
      <c r="BH578" s="222"/>
      <c r="BL578" s="889"/>
      <c r="BO578" s="223"/>
    </row>
    <row r="579" spans="1:67" s="74" customFormat="1">
      <c r="A579" s="15"/>
      <c r="B579" s="15"/>
      <c r="C579" s="15"/>
      <c r="D579" s="15"/>
      <c r="E579" s="6"/>
      <c r="F579" s="6"/>
      <c r="G579" s="6"/>
      <c r="K579" s="223"/>
      <c r="M579" s="889"/>
      <c r="P579" s="890"/>
      <c r="T579" s="889"/>
      <c r="X579" s="15"/>
      <c r="Y579" s="1935"/>
      <c r="Z579" s="1086"/>
      <c r="AA579" s="230"/>
      <c r="AB579" s="230"/>
      <c r="AC579" s="1936"/>
      <c r="AD579" s="230"/>
      <c r="AE579" s="230"/>
      <c r="AF579" s="230"/>
      <c r="AG579" s="890"/>
      <c r="AJ579" s="890"/>
      <c r="AN579" s="223"/>
      <c r="AO579" s="952"/>
      <c r="AP579" s="1066"/>
      <c r="AQ579" s="972"/>
      <c r="AR579" s="1917"/>
      <c r="AS579" s="222"/>
      <c r="AZ579" s="889"/>
      <c r="BC579" s="890"/>
      <c r="BD579" s="952"/>
      <c r="BE579" s="75"/>
      <c r="BF579" s="572"/>
      <c r="BG579" s="983"/>
      <c r="BH579" s="222"/>
      <c r="BL579" s="889"/>
      <c r="BO579" s="223"/>
    </row>
    <row r="580" spans="1:67" s="74" customFormat="1">
      <c r="A580" s="15"/>
      <c r="B580" s="15"/>
      <c r="C580" s="15"/>
      <c r="D580" s="15"/>
      <c r="E580" s="6"/>
      <c r="F580" s="6"/>
      <c r="G580" s="6"/>
      <c r="K580" s="223"/>
      <c r="M580" s="889"/>
      <c r="P580" s="890"/>
      <c r="T580" s="889"/>
      <c r="X580" s="15"/>
      <c r="Y580" s="1935"/>
      <c r="Z580" s="1086"/>
      <c r="AA580" s="230"/>
      <c r="AB580" s="230"/>
      <c r="AC580" s="1936"/>
      <c r="AD580" s="230"/>
      <c r="AE580" s="230"/>
      <c r="AF580" s="230"/>
      <c r="AG580" s="890"/>
      <c r="AJ580" s="890"/>
      <c r="AN580" s="223"/>
      <c r="AO580" s="952"/>
      <c r="AP580" s="1066"/>
      <c r="AQ580" s="972"/>
      <c r="AR580" s="1917"/>
      <c r="AS580" s="222"/>
      <c r="AZ580" s="889"/>
      <c r="BC580" s="890"/>
      <c r="BD580" s="952"/>
      <c r="BE580" s="75"/>
      <c r="BF580" s="572"/>
      <c r="BG580" s="983"/>
      <c r="BH580" s="222"/>
      <c r="BL580" s="889"/>
      <c r="BO580" s="223"/>
    </row>
    <row r="581" spans="1:67" s="74" customFormat="1">
      <c r="A581" s="15"/>
      <c r="B581" s="15"/>
      <c r="C581" s="15"/>
      <c r="D581" s="15"/>
      <c r="E581" s="6"/>
      <c r="F581" s="6"/>
      <c r="G581" s="6"/>
      <c r="K581" s="223"/>
      <c r="M581" s="889"/>
      <c r="P581" s="890"/>
      <c r="T581" s="889"/>
      <c r="X581" s="15"/>
      <c r="Y581" s="1935"/>
      <c r="Z581" s="1086"/>
      <c r="AA581" s="230"/>
      <c r="AB581" s="230"/>
      <c r="AC581" s="1936"/>
      <c r="AD581" s="230"/>
      <c r="AE581" s="230"/>
      <c r="AF581" s="230"/>
      <c r="AG581" s="890"/>
      <c r="AJ581" s="890"/>
      <c r="AN581" s="223"/>
      <c r="AO581" s="952"/>
      <c r="AP581" s="1066"/>
      <c r="AQ581" s="972"/>
      <c r="AR581" s="1917"/>
      <c r="AS581" s="222"/>
      <c r="AZ581" s="889"/>
      <c r="BC581" s="890"/>
      <c r="BD581" s="952"/>
      <c r="BE581" s="75"/>
      <c r="BF581" s="572"/>
      <c r="BG581" s="983"/>
      <c r="BH581" s="222"/>
      <c r="BL581" s="889"/>
      <c r="BO581" s="223"/>
    </row>
    <row r="582" spans="1:67" s="74" customFormat="1">
      <c r="A582" s="15"/>
      <c r="B582" s="15"/>
      <c r="C582" s="15"/>
      <c r="D582" s="15"/>
      <c r="E582" s="6"/>
      <c r="F582" s="6"/>
      <c r="G582" s="6"/>
      <c r="K582" s="223"/>
      <c r="M582" s="889"/>
      <c r="P582" s="890"/>
      <c r="T582" s="889"/>
      <c r="X582" s="15"/>
      <c r="Y582" s="1935"/>
      <c r="Z582" s="1086"/>
      <c r="AA582" s="230"/>
      <c r="AB582" s="230"/>
      <c r="AC582" s="1936"/>
      <c r="AD582" s="230"/>
      <c r="AE582" s="230"/>
      <c r="AF582" s="230"/>
      <c r="AG582" s="890"/>
      <c r="AJ582" s="890"/>
      <c r="AN582" s="223"/>
      <c r="AO582" s="952"/>
      <c r="AP582" s="1066"/>
      <c r="AQ582" s="972"/>
      <c r="AR582" s="1917"/>
      <c r="AS582" s="222"/>
      <c r="AZ582" s="889"/>
      <c r="BC582" s="890"/>
      <c r="BD582" s="952"/>
      <c r="BE582" s="75"/>
      <c r="BF582" s="572"/>
      <c r="BG582" s="983"/>
      <c r="BH582" s="222"/>
      <c r="BL582" s="889"/>
      <c r="BO582" s="223"/>
    </row>
    <row r="583" spans="1:67" s="74" customFormat="1">
      <c r="A583" s="15"/>
      <c r="B583" s="15"/>
      <c r="C583" s="15"/>
      <c r="D583" s="15"/>
      <c r="E583" s="6"/>
      <c r="F583" s="6"/>
      <c r="G583" s="6"/>
      <c r="K583" s="223"/>
      <c r="M583" s="889"/>
      <c r="P583" s="890"/>
      <c r="T583" s="889"/>
      <c r="X583" s="15"/>
      <c r="Y583" s="1935"/>
      <c r="Z583" s="1086"/>
      <c r="AA583" s="230"/>
      <c r="AB583" s="230"/>
      <c r="AC583" s="1936"/>
      <c r="AD583" s="230"/>
      <c r="AE583" s="230"/>
      <c r="AF583" s="230"/>
      <c r="AG583" s="890"/>
      <c r="AJ583" s="890"/>
      <c r="AN583" s="223"/>
      <c r="AO583" s="952"/>
      <c r="AP583" s="1066"/>
      <c r="AQ583" s="972"/>
      <c r="AR583" s="1917"/>
      <c r="AS583" s="222"/>
      <c r="AZ583" s="889"/>
      <c r="BC583" s="890"/>
      <c r="BD583" s="952"/>
      <c r="BE583" s="75"/>
      <c r="BF583" s="572"/>
      <c r="BG583" s="983"/>
      <c r="BH583" s="222"/>
      <c r="BL583" s="889"/>
      <c r="BO583" s="223"/>
    </row>
    <row r="584" spans="1:67" s="74" customFormat="1">
      <c r="A584" s="15"/>
      <c r="B584" s="15"/>
      <c r="C584" s="15"/>
      <c r="D584" s="15"/>
      <c r="E584" s="6"/>
      <c r="F584" s="6"/>
      <c r="G584" s="6"/>
      <c r="K584" s="223"/>
      <c r="M584" s="889"/>
      <c r="P584" s="890"/>
      <c r="T584" s="889"/>
      <c r="X584" s="15"/>
      <c r="Y584" s="1935"/>
      <c r="Z584" s="1086"/>
      <c r="AA584" s="230"/>
      <c r="AB584" s="230"/>
      <c r="AC584" s="1936"/>
      <c r="AD584" s="230"/>
      <c r="AE584" s="230"/>
      <c r="AF584" s="230"/>
      <c r="AG584" s="890"/>
      <c r="AJ584" s="890"/>
      <c r="AN584" s="223"/>
      <c r="AO584" s="952"/>
      <c r="AP584" s="1066"/>
      <c r="AQ584" s="972"/>
      <c r="AR584" s="1917"/>
      <c r="AS584" s="222"/>
      <c r="AZ584" s="889"/>
      <c r="BC584" s="890"/>
      <c r="BD584" s="952"/>
      <c r="BE584" s="75"/>
      <c r="BF584" s="572"/>
      <c r="BG584" s="983"/>
      <c r="BH584" s="222"/>
      <c r="BL584" s="889"/>
      <c r="BO584" s="223"/>
    </row>
    <row r="585" spans="1:67" s="74" customFormat="1">
      <c r="A585" s="15"/>
      <c r="B585" s="15"/>
      <c r="C585" s="15"/>
      <c r="D585" s="15"/>
      <c r="E585" s="6"/>
      <c r="F585" s="6"/>
      <c r="G585" s="6"/>
      <c r="K585" s="223"/>
      <c r="M585" s="889"/>
      <c r="P585" s="890"/>
      <c r="T585" s="889"/>
      <c r="X585" s="15"/>
      <c r="Y585" s="1935"/>
      <c r="Z585" s="1086"/>
      <c r="AA585" s="230"/>
      <c r="AB585" s="230"/>
      <c r="AC585" s="1936"/>
      <c r="AD585" s="230"/>
      <c r="AE585" s="230"/>
      <c r="AF585" s="230"/>
      <c r="AG585" s="890"/>
      <c r="AJ585" s="890"/>
      <c r="AN585" s="223"/>
      <c r="AO585" s="952"/>
      <c r="AP585" s="1066"/>
      <c r="AQ585" s="972"/>
      <c r="AR585" s="1917"/>
      <c r="AS585" s="222"/>
      <c r="AZ585" s="889"/>
      <c r="BC585" s="890"/>
      <c r="BD585" s="952"/>
      <c r="BE585" s="75"/>
      <c r="BF585" s="572"/>
      <c r="BG585" s="983"/>
      <c r="BH585" s="222"/>
      <c r="BL585" s="889"/>
      <c r="BO585" s="223"/>
    </row>
    <row r="586" spans="1:67" s="74" customFormat="1">
      <c r="A586" s="15"/>
      <c r="B586" s="15"/>
      <c r="C586" s="15"/>
      <c r="D586" s="15"/>
      <c r="E586" s="6"/>
      <c r="F586" s="6"/>
      <c r="G586" s="6"/>
      <c r="K586" s="223"/>
      <c r="M586" s="889"/>
      <c r="P586" s="890"/>
      <c r="T586" s="889"/>
      <c r="X586" s="15"/>
      <c r="Y586" s="1935"/>
      <c r="Z586" s="1086"/>
      <c r="AA586" s="230"/>
      <c r="AB586" s="230"/>
      <c r="AC586" s="1936"/>
      <c r="AD586" s="230"/>
      <c r="AE586" s="230"/>
      <c r="AF586" s="230"/>
      <c r="AG586" s="890"/>
      <c r="AJ586" s="890"/>
      <c r="AN586" s="223"/>
      <c r="AO586" s="952"/>
      <c r="AP586" s="1066"/>
      <c r="AQ586" s="972"/>
      <c r="AR586" s="1917"/>
      <c r="AS586" s="222"/>
      <c r="AZ586" s="889"/>
      <c r="BC586" s="890"/>
      <c r="BD586" s="952"/>
      <c r="BE586" s="75"/>
      <c r="BF586" s="572"/>
      <c r="BG586" s="983"/>
      <c r="BH586" s="222"/>
      <c r="BL586" s="889"/>
      <c r="BO586" s="223"/>
    </row>
    <row r="587" spans="1:67" s="74" customFormat="1">
      <c r="A587" s="15"/>
      <c r="B587" s="15"/>
      <c r="C587" s="15"/>
      <c r="D587" s="15"/>
      <c r="E587" s="6"/>
      <c r="F587" s="6"/>
      <c r="G587" s="6"/>
      <c r="K587" s="223"/>
      <c r="M587" s="889"/>
      <c r="P587" s="890"/>
      <c r="T587" s="889"/>
      <c r="X587" s="15"/>
      <c r="Y587" s="1935"/>
      <c r="Z587" s="1086"/>
      <c r="AA587" s="230"/>
      <c r="AB587" s="230"/>
      <c r="AC587" s="1936"/>
      <c r="AD587" s="230"/>
      <c r="AE587" s="230"/>
      <c r="AF587" s="230"/>
      <c r="AG587" s="890"/>
      <c r="AJ587" s="890"/>
      <c r="AN587" s="223"/>
      <c r="AO587" s="952"/>
      <c r="AP587" s="1066"/>
      <c r="AQ587" s="972"/>
      <c r="AR587" s="1917"/>
      <c r="AS587" s="222"/>
      <c r="AZ587" s="889"/>
      <c r="BC587" s="890"/>
      <c r="BD587" s="952"/>
      <c r="BE587" s="75"/>
      <c r="BF587" s="572"/>
      <c r="BG587" s="983"/>
      <c r="BH587" s="222"/>
      <c r="BL587" s="889"/>
      <c r="BO587" s="223"/>
    </row>
    <row r="588" spans="1:67" s="74" customFormat="1">
      <c r="A588" s="15"/>
      <c r="B588" s="15"/>
      <c r="C588" s="15"/>
      <c r="D588" s="15"/>
      <c r="E588" s="6"/>
      <c r="F588" s="6"/>
      <c r="G588" s="6"/>
      <c r="K588" s="223"/>
      <c r="M588" s="889"/>
      <c r="P588" s="890"/>
      <c r="T588" s="889"/>
      <c r="X588" s="15"/>
      <c r="Y588" s="1935"/>
      <c r="Z588" s="1086"/>
      <c r="AA588" s="230"/>
      <c r="AB588" s="230"/>
      <c r="AC588" s="1936"/>
      <c r="AD588" s="230"/>
      <c r="AE588" s="230"/>
      <c r="AF588" s="230"/>
      <c r="AG588" s="890"/>
      <c r="AJ588" s="890"/>
      <c r="AN588" s="223"/>
      <c r="AO588" s="952"/>
      <c r="AP588" s="1066"/>
      <c r="AQ588" s="972"/>
      <c r="AR588" s="1917"/>
      <c r="AS588" s="222"/>
      <c r="AZ588" s="889"/>
      <c r="BC588" s="890"/>
      <c r="BD588" s="952"/>
      <c r="BE588" s="75"/>
      <c r="BF588" s="572"/>
      <c r="BG588" s="983"/>
      <c r="BH588" s="222"/>
      <c r="BL588" s="889"/>
      <c r="BO588" s="223"/>
    </row>
    <row r="589" spans="1:67" s="74" customFormat="1">
      <c r="A589" s="15"/>
      <c r="B589" s="15"/>
      <c r="C589" s="15"/>
      <c r="D589" s="15"/>
      <c r="E589" s="6"/>
      <c r="F589" s="6"/>
      <c r="G589" s="6"/>
      <c r="K589" s="223"/>
      <c r="M589" s="889"/>
      <c r="P589" s="890"/>
      <c r="T589" s="889"/>
      <c r="X589" s="15"/>
      <c r="Y589" s="1935"/>
      <c r="Z589" s="1086"/>
      <c r="AA589" s="230"/>
      <c r="AB589" s="230"/>
      <c r="AC589" s="1936"/>
      <c r="AD589" s="230"/>
      <c r="AE589" s="230"/>
      <c r="AF589" s="230"/>
      <c r="AG589" s="890"/>
      <c r="AJ589" s="890"/>
      <c r="AN589" s="223"/>
      <c r="AO589" s="952"/>
      <c r="AP589" s="1066"/>
      <c r="AQ589" s="972"/>
      <c r="AR589" s="1917"/>
      <c r="AS589" s="222"/>
      <c r="AZ589" s="889"/>
      <c r="BC589" s="890"/>
      <c r="BD589" s="952"/>
      <c r="BE589" s="75"/>
      <c r="BF589" s="572"/>
      <c r="BG589" s="983"/>
      <c r="BH589" s="222"/>
      <c r="BL589" s="889"/>
      <c r="BO589" s="223"/>
    </row>
    <row r="590" spans="1:67" s="74" customFormat="1">
      <c r="A590" s="15"/>
      <c r="B590" s="15"/>
      <c r="C590" s="15"/>
      <c r="D590" s="15"/>
      <c r="E590" s="6"/>
      <c r="F590" s="6"/>
      <c r="G590" s="6"/>
      <c r="K590" s="223"/>
      <c r="M590" s="889"/>
      <c r="P590" s="890"/>
      <c r="T590" s="889"/>
      <c r="X590" s="15"/>
      <c r="Y590" s="1935"/>
      <c r="Z590" s="1086"/>
      <c r="AA590" s="230"/>
      <c r="AB590" s="230"/>
      <c r="AC590" s="1936"/>
      <c r="AD590" s="230"/>
      <c r="AE590" s="230"/>
      <c r="AF590" s="230"/>
      <c r="AG590" s="890"/>
      <c r="AJ590" s="890"/>
      <c r="AN590" s="223"/>
      <c r="AO590" s="952"/>
      <c r="AP590" s="1066"/>
      <c r="AQ590" s="972"/>
      <c r="AR590" s="1917"/>
      <c r="AS590" s="222"/>
      <c r="AZ590" s="889"/>
      <c r="BC590" s="890"/>
      <c r="BD590" s="952"/>
      <c r="BE590" s="75"/>
      <c r="BF590" s="572"/>
      <c r="BG590" s="983"/>
      <c r="BH590" s="222"/>
      <c r="BL590" s="889"/>
      <c r="BO590" s="223"/>
    </row>
    <row r="591" spans="1:67" s="74" customFormat="1">
      <c r="A591" s="15"/>
      <c r="B591" s="15"/>
      <c r="C591" s="15"/>
      <c r="D591" s="15"/>
      <c r="E591" s="6"/>
      <c r="F591" s="6"/>
      <c r="G591" s="6"/>
      <c r="K591" s="223"/>
      <c r="M591" s="889"/>
      <c r="P591" s="890"/>
      <c r="T591" s="889"/>
      <c r="X591" s="15"/>
      <c r="Y591" s="1935"/>
      <c r="Z591" s="1086"/>
      <c r="AA591" s="230"/>
      <c r="AB591" s="230"/>
      <c r="AC591" s="1936"/>
      <c r="AD591" s="230"/>
      <c r="AE591" s="230"/>
      <c r="AF591" s="230"/>
      <c r="AG591" s="890"/>
      <c r="AJ591" s="890"/>
      <c r="AN591" s="223"/>
      <c r="AO591" s="952"/>
      <c r="AP591" s="1066"/>
      <c r="AQ591" s="972"/>
      <c r="AR591" s="1917"/>
      <c r="AS591" s="222"/>
      <c r="AZ591" s="889"/>
      <c r="BC591" s="890"/>
      <c r="BD591" s="952"/>
      <c r="BE591" s="75"/>
      <c r="BF591" s="572"/>
      <c r="BG591" s="983"/>
      <c r="BH591" s="222"/>
      <c r="BL591" s="889"/>
      <c r="BO591" s="223"/>
    </row>
    <row r="592" spans="1:67" s="74" customFormat="1">
      <c r="A592" s="15"/>
      <c r="B592" s="15"/>
      <c r="C592" s="15"/>
      <c r="D592" s="15"/>
      <c r="E592" s="6"/>
      <c r="F592" s="6"/>
      <c r="G592" s="6"/>
      <c r="K592" s="223"/>
      <c r="M592" s="889"/>
      <c r="P592" s="890"/>
      <c r="T592" s="889"/>
      <c r="X592" s="15"/>
      <c r="Y592" s="1935"/>
      <c r="Z592" s="1086"/>
      <c r="AA592" s="230"/>
      <c r="AB592" s="230"/>
      <c r="AC592" s="1936"/>
      <c r="AD592" s="230"/>
      <c r="AE592" s="230"/>
      <c r="AF592" s="230"/>
      <c r="AG592" s="890"/>
      <c r="AJ592" s="890"/>
      <c r="AN592" s="223"/>
      <c r="AO592" s="952"/>
      <c r="AP592" s="1066"/>
      <c r="AQ592" s="972"/>
      <c r="AR592" s="1917"/>
      <c r="AS592" s="222"/>
      <c r="AZ592" s="889"/>
      <c r="BC592" s="890"/>
      <c r="BD592" s="952"/>
      <c r="BE592" s="75"/>
      <c r="BF592" s="572"/>
      <c r="BG592" s="983"/>
      <c r="BH592" s="222"/>
      <c r="BL592" s="889"/>
      <c r="BO592" s="223"/>
    </row>
    <row r="593" spans="1:67" s="74" customFormat="1">
      <c r="A593" s="15"/>
      <c r="B593" s="15"/>
      <c r="C593" s="15"/>
      <c r="D593" s="15"/>
      <c r="E593" s="6"/>
      <c r="F593" s="6"/>
      <c r="G593" s="6"/>
      <c r="K593" s="223"/>
      <c r="M593" s="889"/>
      <c r="P593" s="890"/>
      <c r="T593" s="889"/>
      <c r="X593" s="15"/>
      <c r="Y593" s="1935"/>
      <c r="Z593" s="1086"/>
      <c r="AA593" s="230"/>
      <c r="AB593" s="230"/>
      <c r="AC593" s="1936"/>
      <c r="AD593" s="230"/>
      <c r="AE593" s="230"/>
      <c r="AF593" s="230"/>
      <c r="AG593" s="890"/>
      <c r="AJ593" s="890"/>
      <c r="AN593" s="223"/>
      <c r="AO593" s="952"/>
      <c r="AP593" s="1066"/>
      <c r="AQ593" s="972"/>
      <c r="AR593" s="1917"/>
      <c r="AS593" s="222"/>
      <c r="AZ593" s="889"/>
      <c r="BC593" s="890"/>
      <c r="BD593" s="952"/>
      <c r="BE593" s="75"/>
      <c r="BF593" s="572"/>
      <c r="BG593" s="983"/>
      <c r="BH593" s="222"/>
      <c r="BL593" s="889"/>
      <c r="BO593" s="223"/>
    </row>
    <row r="594" spans="1:67" s="74" customFormat="1">
      <c r="A594" s="15"/>
      <c r="B594" s="15"/>
      <c r="C594" s="15"/>
      <c r="D594" s="15"/>
      <c r="E594" s="6"/>
      <c r="F594" s="6"/>
      <c r="G594" s="6"/>
      <c r="K594" s="223"/>
      <c r="M594" s="889"/>
      <c r="P594" s="890"/>
      <c r="T594" s="889"/>
      <c r="X594" s="15"/>
      <c r="Y594" s="1935"/>
      <c r="Z594" s="1086"/>
      <c r="AA594" s="230"/>
      <c r="AB594" s="230"/>
      <c r="AC594" s="1936"/>
      <c r="AD594" s="230"/>
      <c r="AE594" s="230"/>
      <c r="AF594" s="230"/>
      <c r="AG594" s="890"/>
      <c r="AJ594" s="890"/>
      <c r="AN594" s="223"/>
      <c r="AO594" s="952"/>
      <c r="AP594" s="1066"/>
      <c r="AQ594" s="972"/>
      <c r="AR594" s="1917"/>
      <c r="AS594" s="222"/>
      <c r="AZ594" s="889"/>
      <c r="BC594" s="890"/>
      <c r="BD594" s="952"/>
      <c r="BE594" s="75"/>
      <c r="BF594" s="572"/>
      <c r="BG594" s="983"/>
      <c r="BH594" s="222"/>
      <c r="BL594" s="889"/>
      <c r="BO594" s="223"/>
    </row>
    <row r="595" spans="1:67" s="74" customFormat="1">
      <c r="A595" s="15"/>
      <c r="B595" s="15"/>
      <c r="C595" s="15"/>
      <c r="D595" s="15"/>
      <c r="E595" s="6"/>
      <c r="F595" s="6"/>
      <c r="G595" s="6"/>
      <c r="K595" s="223"/>
      <c r="M595" s="889"/>
      <c r="P595" s="890"/>
      <c r="T595" s="889"/>
      <c r="X595" s="15"/>
      <c r="Y595" s="1935"/>
      <c r="Z595" s="1086"/>
      <c r="AA595" s="230"/>
      <c r="AB595" s="230"/>
      <c r="AC595" s="1936"/>
      <c r="AD595" s="230"/>
      <c r="AE595" s="230"/>
      <c r="AF595" s="230"/>
      <c r="AG595" s="890"/>
      <c r="AJ595" s="890"/>
      <c r="AN595" s="223"/>
      <c r="AO595" s="952"/>
      <c r="AP595" s="1066"/>
      <c r="AQ595" s="972"/>
      <c r="AR595" s="1917"/>
      <c r="AS595" s="222"/>
      <c r="AZ595" s="889"/>
      <c r="BC595" s="890"/>
      <c r="BD595" s="952"/>
      <c r="BE595" s="75"/>
      <c r="BF595" s="572"/>
      <c r="BG595" s="983"/>
      <c r="BH595" s="222"/>
      <c r="BL595" s="889"/>
      <c r="BO595" s="223"/>
    </row>
    <row r="596" spans="1:67" s="74" customFormat="1">
      <c r="A596" s="15"/>
      <c r="B596" s="15"/>
      <c r="C596" s="15"/>
      <c r="D596" s="15"/>
      <c r="E596" s="6"/>
      <c r="F596" s="6"/>
      <c r="G596" s="6"/>
      <c r="K596" s="223"/>
      <c r="M596" s="889"/>
      <c r="P596" s="890"/>
      <c r="T596" s="889"/>
      <c r="X596" s="15"/>
      <c r="Y596" s="1935"/>
      <c r="Z596" s="1086"/>
      <c r="AA596" s="230"/>
      <c r="AB596" s="230"/>
      <c r="AC596" s="1936"/>
      <c r="AD596" s="230"/>
      <c r="AE596" s="230"/>
      <c r="AF596" s="230"/>
      <c r="AG596" s="890"/>
      <c r="AJ596" s="890"/>
      <c r="AN596" s="223"/>
      <c r="AO596" s="952"/>
      <c r="AP596" s="1066"/>
      <c r="AQ596" s="972"/>
      <c r="AR596" s="1917"/>
      <c r="AS596" s="222"/>
      <c r="AZ596" s="889"/>
      <c r="BC596" s="890"/>
      <c r="BD596" s="952"/>
      <c r="BE596" s="75"/>
      <c r="BF596" s="572"/>
      <c r="BG596" s="983"/>
      <c r="BH596" s="222"/>
      <c r="BL596" s="889"/>
      <c r="BO596" s="223"/>
    </row>
    <row r="597" spans="1:67" s="74" customFormat="1">
      <c r="A597" s="15"/>
      <c r="B597" s="15"/>
      <c r="C597" s="15"/>
      <c r="D597" s="15"/>
      <c r="E597" s="6"/>
      <c r="F597" s="6"/>
      <c r="G597" s="6"/>
      <c r="K597" s="223"/>
      <c r="M597" s="889"/>
      <c r="P597" s="890"/>
      <c r="T597" s="889"/>
      <c r="X597" s="15"/>
      <c r="Y597" s="1935"/>
      <c r="Z597" s="1086"/>
      <c r="AA597" s="230"/>
      <c r="AB597" s="230"/>
      <c r="AC597" s="1936"/>
      <c r="AD597" s="230"/>
      <c r="AE597" s="230"/>
      <c r="AF597" s="230"/>
      <c r="AG597" s="890"/>
      <c r="AJ597" s="890"/>
      <c r="AN597" s="223"/>
      <c r="AO597" s="952"/>
      <c r="AP597" s="1066"/>
      <c r="AQ597" s="972"/>
      <c r="AR597" s="1917"/>
      <c r="AS597" s="222"/>
      <c r="AZ597" s="889"/>
      <c r="BC597" s="890"/>
      <c r="BD597" s="952"/>
      <c r="BE597" s="75"/>
      <c r="BF597" s="572"/>
      <c r="BG597" s="983"/>
      <c r="BH597" s="222"/>
      <c r="BL597" s="889"/>
      <c r="BO597" s="223"/>
    </row>
    <row r="598" spans="1:67" s="74" customFormat="1">
      <c r="A598" s="15"/>
      <c r="B598" s="15"/>
      <c r="C598" s="15"/>
      <c r="D598" s="15"/>
      <c r="E598" s="6"/>
      <c r="F598" s="6"/>
      <c r="G598" s="6"/>
      <c r="K598" s="223"/>
      <c r="M598" s="889"/>
      <c r="P598" s="890"/>
      <c r="T598" s="889"/>
      <c r="X598" s="15"/>
      <c r="Y598" s="1935"/>
      <c r="Z598" s="1086"/>
      <c r="AA598" s="230"/>
      <c r="AB598" s="230"/>
      <c r="AC598" s="1936"/>
      <c r="AD598" s="230"/>
      <c r="AE598" s="230"/>
      <c r="AF598" s="230"/>
      <c r="AG598" s="890"/>
      <c r="AJ598" s="890"/>
      <c r="AN598" s="223"/>
      <c r="AO598" s="952"/>
      <c r="AP598" s="1066"/>
      <c r="AQ598" s="972"/>
      <c r="AR598" s="1917"/>
      <c r="AS598" s="222"/>
      <c r="AZ598" s="889"/>
      <c r="BC598" s="890"/>
      <c r="BD598" s="952"/>
      <c r="BE598" s="75"/>
      <c r="BF598" s="572"/>
      <c r="BG598" s="983"/>
      <c r="BH598" s="222"/>
      <c r="BL598" s="889"/>
      <c r="BO598" s="223"/>
    </row>
    <row r="599" spans="1:67" s="74" customFormat="1">
      <c r="A599" s="15"/>
      <c r="B599" s="15"/>
      <c r="C599" s="15"/>
      <c r="D599" s="15"/>
      <c r="E599" s="6"/>
      <c r="F599" s="6"/>
      <c r="G599" s="6"/>
      <c r="K599" s="223"/>
      <c r="M599" s="889"/>
      <c r="P599" s="890"/>
      <c r="T599" s="889"/>
      <c r="X599" s="15"/>
      <c r="Y599" s="1935"/>
      <c r="Z599" s="1086"/>
      <c r="AA599" s="230"/>
      <c r="AB599" s="230"/>
      <c r="AC599" s="1936"/>
      <c r="AD599" s="230"/>
      <c r="AE599" s="230"/>
      <c r="AF599" s="230"/>
      <c r="AG599" s="890"/>
      <c r="AJ599" s="890"/>
      <c r="AN599" s="223"/>
      <c r="AO599" s="952"/>
      <c r="AP599" s="1066"/>
      <c r="AQ599" s="972"/>
      <c r="AR599" s="1917"/>
      <c r="AS599" s="222"/>
      <c r="AZ599" s="889"/>
      <c r="BC599" s="890"/>
      <c r="BD599" s="952"/>
      <c r="BE599" s="75"/>
      <c r="BF599" s="572"/>
      <c r="BG599" s="983"/>
      <c r="BH599" s="222"/>
      <c r="BL599" s="889"/>
      <c r="BO599" s="223"/>
    </row>
    <row r="600" spans="1:67" s="74" customFormat="1">
      <c r="A600" s="15"/>
      <c r="B600" s="15"/>
      <c r="C600" s="15"/>
      <c r="D600" s="15"/>
      <c r="E600" s="6"/>
      <c r="F600" s="6"/>
      <c r="G600" s="6"/>
      <c r="K600" s="223"/>
      <c r="M600" s="889"/>
      <c r="P600" s="890"/>
      <c r="T600" s="889"/>
      <c r="X600" s="15"/>
      <c r="Y600" s="1935"/>
      <c r="Z600" s="1086"/>
      <c r="AA600" s="230"/>
      <c r="AB600" s="230"/>
      <c r="AC600" s="1936"/>
      <c r="AD600" s="230"/>
      <c r="AE600" s="230"/>
      <c r="AF600" s="230"/>
      <c r="AG600" s="890"/>
      <c r="AJ600" s="890"/>
      <c r="AN600" s="223"/>
      <c r="AO600" s="952"/>
      <c r="AP600" s="1066"/>
      <c r="AQ600" s="972"/>
      <c r="AR600" s="1917"/>
      <c r="AS600" s="222"/>
      <c r="AZ600" s="889"/>
      <c r="BC600" s="890"/>
      <c r="BD600" s="952"/>
      <c r="BE600" s="75"/>
      <c r="BF600" s="572"/>
      <c r="BG600" s="983"/>
      <c r="BH600" s="222"/>
      <c r="BL600" s="889"/>
      <c r="BO600" s="223"/>
    </row>
    <row r="601" spans="1:67" s="74" customFormat="1">
      <c r="A601" s="15"/>
      <c r="B601" s="15"/>
      <c r="C601" s="15"/>
      <c r="D601" s="15"/>
      <c r="E601" s="6"/>
      <c r="F601" s="6"/>
      <c r="G601" s="6"/>
      <c r="K601" s="223"/>
      <c r="M601" s="889"/>
      <c r="P601" s="890"/>
      <c r="T601" s="889"/>
      <c r="X601" s="15"/>
      <c r="Y601" s="1935"/>
      <c r="Z601" s="1086"/>
      <c r="AA601" s="230"/>
      <c r="AB601" s="230"/>
      <c r="AC601" s="1936"/>
      <c r="AD601" s="230"/>
      <c r="AE601" s="230"/>
      <c r="AF601" s="230"/>
      <c r="AG601" s="890"/>
      <c r="AJ601" s="890"/>
      <c r="AN601" s="223"/>
      <c r="AO601" s="952"/>
      <c r="AP601" s="1066"/>
      <c r="AQ601" s="972"/>
      <c r="AR601" s="1917"/>
      <c r="AS601" s="222"/>
      <c r="AZ601" s="889"/>
      <c r="BC601" s="890"/>
      <c r="BD601" s="952"/>
      <c r="BE601" s="75"/>
      <c r="BF601" s="572"/>
      <c r="BG601" s="983"/>
      <c r="BH601" s="222"/>
      <c r="BL601" s="889"/>
      <c r="BO601" s="223"/>
    </row>
    <row r="602" spans="1:67" s="74" customFormat="1">
      <c r="A602" s="15"/>
      <c r="B602" s="15"/>
      <c r="C602" s="15"/>
      <c r="D602" s="15"/>
      <c r="E602" s="6"/>
      <c r="F602" s="6"/>
      <c r="G602" s="6"/>
      <c r="K602" s="223"/>
      <c r="M602" s="889"/>
      <c r="P602" s="890"/>
      <c r="T602" s="889"/>
      <c r="X602" s="15"/>
      <c r="Y602" s="1935"/>
      <c r="Z602" s="1086"/>
      <c r="AA602" s="230"/>
      <c r="AB602" s="230"/>
      <c r="AC602" s="1936"/>
      <c r="AD602" s="230"/>
      <c r="AE602" s="230"/>
      <c r="AF602" s="230"/>
      <c r="AG602" s="890"/>
      <c r="AJ602" s="890"/>
      <c r="AN602" s="223"/>
      <c r="AO602" s="952"/>
      <c r="AP602" s="1066"/>
      <c r="AQ602" s="972"/>
      <c r="AR602" s="1917"/>
      <c r="AS602" s="222"/>
      <c r="AZ602" s="889"/>
      <c r="BC602" s="890"/>
      <c r="BD602" s="952"/>
      <c r="BE602" s="75"/>
      <c r="BF602" s="572"/>
      <c r="BG602" s="983"/>
      <c r="BH602" s="222"/>
      <c r="BL602" s="889"/>
      <c r="BO602" s="223"/>
    </row>
    <row r="603" spans="1:67" s="74" customFormat="1">
      <c r="A603" s="15"/>
      <c r="B603" s="15"/>
      <c r="C603" s="15"/>
      <c r="D603" s="15"/>
      <c r="E603" s="6"/>
      <c r="F603" s="6"/>
      <c r="G603" s="6"/>
      <c r="K603" s="223"/>
      <c r="M603" s="889"/>
      <c r="P603" s="890"/>
      <c r="T603" s="889"/>
      <c r="X603" s="15"/>
      <c r="Y603" s="1935"/>
      <c r="Z603" s="1086"/>
      <c r="AA603" s="230"/>
      <c r="AB603" s="230"/>
      <c r="AC603" s="1936"/>
      <c r="AD603" s="230"/>
      <c r="AE603" s="230"/>
      <c r="AF603" s="230"/>
      <c r="AG603" s="890"/>
      <c r="AJ603" s="890"/>
      <c r="AN603" s="223"/>
      <c r="AO603" s="952"/>
      <c r="AP603" s="1066"/>
      <c r="AQ603" s="972"/>
      <c r="AR603" s="1917"/>
      <c r="AS603" s="222"/>
      <c r="AZ603" s="889"/>
      <c r="BC603" s="890"/>
      <c r="BD603" s="952"/>
      <c r="BE603" s="75"/>
      <c r="BF603" s="572"/>
      <c r="BG603" s="983"/>
      <c r="BH603" s="222"/>
      <c r="BL603" s="889"/>
      <c r="BO603" s="223"/>
    </row>
    <row r="604" spans="1:67" s="74" customFormat="1">
      <c r="A604" s="15"/>
      <c r="B604" s="15"/>
      <c r="C604" s="15"/>
      <c r="D604" s="15"/>
      <c r="E604" s="6"/>
      <c r="F604" s="6"/>
      <c r="G604" s="6"/>
      <c r="K604" s="223"/>
      <c r="M604" s="889"/>
      <c r="P604" s="890"/>
      <c r="T604" s="889"/>
      <c r="X604" s="15"/>
      <c r="Y604" s="1935"/>
      <c r="Z604" s="1086"/>
      <c r="AA604" s="230"/>
      <c r="AB604" s="230"/>
      <c r="AC604" s="1936"/>
      <c r="AD604" s="230"/>
      <c r="AE604" s="230"/>
      <c r="AF604" s="230"/>
      <c r="AG604" s="890"/>
      <c r="AJ604" s="890"/>
      <c r="AN604" s="223"/>
      <c r="AO604" s="952"/>
      <c r="AP604" s="1066"/>
      <c r="AQ604" s="972"/>
      <c r="AR604" s="1917"/>
      <c r="AS604" s="222"/>
      <c r="AZ604" s="889"/>
      <c r="BC604" s="890"/>
      <c r="BD604" s="952"/>
      <c r="BE604" s="75"/>
      <c r="BF604" s="572"/>
      <c r="BG604" s="983"/>
      <c r="BH604" s="222"/>
      <c r="BL604" s="889"/>
      <c r="BO604" s="223"/>
    </row>
    <row r="605" spans="1:67" s="74" customFormat="1">
      <c r="A605" s="15"/>
      <c r="B605" s="15"/>
      <c r="C605" s="15"/>
      <c r="D605" s="15"/>
      <c r="E605" s="6"/>
      <c r="F605" s="6"/>
      <c r="G605" s="6"/>
      <c r="K605" s="223"/>
      <c r="M605" s="889"/>
      <c r="P605" s="890"/>
      <c r="T605" s="889"/>
      <c r="X605" s="15"/>
      <c r="Y605" s="1935"/>
      <c r="Z605" s="1086"/>
      <c r="AA605" s="230"/>
      <c r="AB605" s="230"/>
      <c r="AC605" s="1936"/>
      <c r="AD605" s="230"/>
      <c r="AE605" s="230"/>
      <c r="AF605" s="230"/>
      <c r="AG605" s="890"/>
      <c r="AJ605" s="890"/>
      <c r="AN605" s="223"/>
      <c r="AO605" s="952"/>
      <c r="AP605" s="1066"/>
      <c r="AQ605" s="972"/>
      <c r="AR605" s="1917"/>
      <c r="AS605" s="222"/>
      <c r="AZ605" s="889"/>
      <c r="BC605" s="890"/>
      <c r="BD605" s="952"/>
      <c r="BE605" s="75"/>
      <c r="BF605" s="572"/>
      <c r="BG605" s="983"/>
      <c r="BH605" s="222"/>
      <c r="BL605" s="889"/>
      <c r="BO605" s="223"/>
    </row>
    <row r="606" spans="1:67" s="74" customFormat="1">
      <c r="A606" s="15"/>
      <c r="B606" s="15"/>
      <c r="C606" s="15"/>
      <c r="D606" s="15"/>
      <c r="E606" s="6"/>
      <c r="F606" s="6"/>
      <c r="G606" s="6"/>
      <c r="K606" s="223"/>
      <c r="M606" s="889"/>
      <c r="P606" s="890"/>
      <c r="T606" s="889"/>
      <c r="X606" s="15"/>
      <c r="Y606" s="1935"/>
      <c r="Z606" s="1086"/>
      <c r="AA606" s="230"/>
      <c r="AB606" s="230"/>
      <c r="AC606" s="1936"/>
      <c r="AD606" s="230"/>
      <c r="AE606" s="230"/>
      <c r="AF606" s="230"/>
      <c r="AG606" s="890"/>
      <c r="AJ606" s="890"/>
      <c r="AN606" s="223"/>
      <c r="AO606" s="952"/>
      <c r="AP606" s="1066"/>
      <c r="AQ606" s="972"/>
      <c r="AR606" s="1917"/>
      <c r="AS606" s="222"/>
      <c r="AZ606" s="889"/>
      <c r="BC606" s="890"/>
      <c r="BD606" s="952"/>
      <c r="BE606" s="75"/>
      <c r="BF606" s="572"/>
      <c r="BG606" s="983"/>
      <c r="BH606" s="222"/>
      <c r="BL606" s="889"/>
      <c r="BO606" s="223"/>
    </row>
    <row r="607" spans="1:67" s="74" customFormat="1">
      <c r="A607" s="15"/>
      <c r="B607" s="15"/>
      <c r="C607" s="15"/>
      <c r="D607" s="15"/>
      <c r="E607" s="6"/>
      <c r="F607" s="6"/>
      <c r="G607" s="6"/>
      <c r="K607" s="223"/>
      <c r="M607" s="889"/>
      <c r="P607" s="890"/>
      <c r="T607" s="889"/>
      <c r="X607" s="15"/>
      <c r="Y607" s="1935"/>
      <c r="Z607" s="1086"/>
      <c r="AA607" s="230"/>
      <c r="AB607" s="230"/>
      <c r="AC607" s="1936"/>
      <c r="AD607" s="230"/>
      <c r="AE607" s="230"/>
      <c r="AF607" s="230"/>
      <c r="AG607" s="890"/>
      <c r="AJ607" s="890"/>
      <c r="AN607" s="223"/>
      <c r="AO607" s="952"/>
      <c r="AP607" s="1066"/>
      <c r="AQ607" s="972"/>
      <c r="AR607" s="1917"/>
      <c r="AS607" s="222"/>
      <c r="AZ607" s="889"/>
      <c r="BC607" s="890"/>
      <c r="BD607" s="952"/>
      <c r="BE607" s="75"/>
      <c r="BF607" s="572"/>
      <c r="BG607" s="983"/>
      <c r="BH607" s="222"/>
      <c r="BL607" s="889"/>
      <c r="BO607" s="223"/>
    </row>
    <row r="608" spans="1:67" s="74" customFormat="1">
      <c r="A608" s="15"/>
      <c r="B608" s="15"/>
      <c r="C608" s="15"/>
      <c r="D608" s="15"/>
      <c r="E608" s="6"/>
      <c r="F608" s="6"/>
      <c r="G608" s="6"/>
      <c r="K608" s="223"/>
      <c r="M608" s="889"/>
      <c r="P608" s="890"/>
      <c r="T608" s="889"/>
      <c r="X608" s="15"/>
      <c r="Y608" s="1935"/>
      <c r="Z608" s="1086"/>
      <c r="AA608" s="230"/>
      <c r="AB608" s="230"/>
      <c r="AC608" s="1936"/>
      <c r="AD608" s="230"/>
      <c r="AE608" s="230"/>
      <c r="AF608" s="230"/>
      <c r="AG608" s="890"/>
      <c r="AJ608" s="890"/>
      <c r="AN608" s="223"/>
      <c r="AO608" s="952"/>
      <c r="AP608" s="1066"/>
      <c r="AQ608" s="972"/>
      <c r="AR608" s="1917"/>
      <c r="AS608" s="222"/>
      <c r="AZ608" s="889"/>
      <c r="BC608" s="890"/>
      <c r="BD608" s="952"/>
      <c r="BE608" s="75"/>
      <c r="BF608" s="572"/>
      <c r="BG608" s="983"/>
      <c r="BH608" s="222"/>
      <c r="BL608" s="889"/>
      <c r="BO608" s="223"/>
    </row>
    <row r="609" spans="1:67" s="74" customFormat="1">
      <c r="A609" s="15"/>
      <c r="B609" s="15"/>
      <c r="C609" s="15"/>
      <c r="D609" s="15"/>
      <c r="E609" s="6"/>
      <c r="F609" s="6"/>
      <c r="G609" s="6"/>
      <c r="K609" s="223"/>
      <c r="M609" s="889"/>
      <c r="P609" s="890"/>
      <c r="T609" s="889"/>
      <c r="X609" s="15"/>
      <c r="Y609" s="1935"/>
      <c r="Z609" s="1086"/>
      <c r="AA609" s="230"/>
      <c r="AB609" s="230"/>
      <c r="AC609" s="1936"/>
      <c r="AD609" s="230"/>
      <c r="AE609" s="230"/>
      <c r="AF609" s="230"/>
      <c r="AG609" s="890"/>
      <c r="AJ609" s="890"/>
      <c r="AN609" s="223"/>
      <c r="AO609" s="952"/>
      <c r="AP609" s="1066"/>
      <c r="AQ609" s="972"/>
      <c r="AR609" s="1917"/>
      <c r="AS609" s="222"/>
      <c r="AZ609" s="889"/>
      <c r="BC609" s="890"/>
      <c r="BD609" s="952"/>
      <c r="BE609" s="75"/>
      <c r="BF609" s="572"/>
      <c r="BG609" s="983"/>
      <c r="BH609" s="222"/>
      <c r="BL609" s="889"/>
      <c r="BO609" s="223"/>
    </row>
    <row r="610" spans="1:67" s="74" customFormat="1">
      <c r="A610" s="15"/>
      <c r="B610" s="15"/>
      <c r="C610" s="15"/>
      <c r="D610" s="15"/>
      <c r="E610" s="6"/>
      <c r="F610" s="6"/>
      <c r="G610" s="6"/>
      <c r="K610" s="223"/>
      <c r="M610" s="889"/>
      <c r="P610" s="890"/>
      <c r="T610" s="889"/>
      <c r="X610" s="15"/>
      <c r="Y610" s="1935"/>
      <c r="Z610" s="1086"/>
      <c r="AA610" s="230"/>
      <c r="AB610" s="230"/>
      <c r="AC610" s="1936"/>
      <c r="AD610" s="230"/>
      <c r="AE610" s="230"/>
      <c r="AF610" s="230"/>
      <c r="AG610" s="890"/>
      <c r="AJ610" s="890"/>
      <c r="AN610" s="223"/>
      <c r="AO610" s="952"/>
      <c r="AP610" s="1066"/>
      <c r="AQ610" s="972"/>
      <c r="AR610" s="1917"/>
      <c r="AS610" s="222"/>
      <c r="AZ610" s="889"/>
      <c r="BC610" s="890"/>
      <c r="BD610" s="952"/>
      <c r="BE610" s="75"/>
      <c r="BF610" s="572"/>
      <c r="BG610" s="983"/>
      <c r="BH610" s="222"/>
      <c r="BL610" s="889"/>
      <c r="BO610" s="223"/>
    </row>
    <row r="611" spans="1:67" s="74" customFormat="1">
      <c r="A611" s="15"/>
      <c r="B611" s="15"/>
      <c r="C611" s="15"/>
      <c r="D611" s="15"/>
      <c r="E611" s="6"/>
      <c r="F611" s="6"/>
      <c r="G611" s="6"/>
      <c r="K611" s="223"/>
      <c r="M611" s="889"/>
      <c r="P611" s="890"/>
      <c r="T611" s="889"/>
      <c r="X611" s="15"/>
      <c r="Y611" s="1935"/>
      <c r="Z611" s="1086"/>
      <c r="AA611" s="230"/>
      <c r="AB611" s="230"/>
      <c r="AC611" s="1936"/>
      <c r="AD611" s="230"/>
      <c r="AE611" s="230"/>
      <c r="AF611" s="230"/>
      <c r="AG611" s="890"/>
      <c r="AJ611" s="890"/>
      <c r="AN611" s="223"/>
      <c r="AO611" s="952"/>
      <c r="AP611" s="1066"/>
      <c r="AQ611" s="972"/>
      <c r="AR611" s="1917"/>
      <c r="AS611" s="222"/>
      <c r="AZ611" s="889"/>
      <c r="BC611" s="890"/>
      <c r="BD611" s="952"/>
      <c r="BE611" s="75"/>
      <c r="BF611" s="572"/>
      <c r="BG611" s="983"/>
      <c r="BH611" s="222"/>
      <c r="BL611" s="889"/>
      <c r="BO611" s="223"/>
    </row>
    <row r="612" spans="1:67" s="74" customFormat="1">
      <c r="A612" s="15"/>
      <c r="B612" s="15"/>
      <c r="C612" s="15"/>
      <c r="D612" s="15"/>
      <c r="E612" s="6"/>
      <c r="F612" s="6"/>
      <c r="G612" s="6"/>
      <c r="K612" s="223"/>
      <c r="M612" s="889"/>
      <c r="P612" s="890"/>
      <c r="T612" s="889"/>
      <c r="X612" s="15"/>
      <c r="Y612" s="1935"/>
      <c r="Z612" s="1086"/>
      <c r="AA612" s="230"/>
      <c r="AB612" s="230"/>
      <c r="AC612" s="1936"/>
      <c r="AD612" s="230"/>
      <c r="AE612" s="230"/>
      <c r="AF612" s="230"/>
      <c r="AG612" s="890"/>
      <c r="AJ612" s="890"/>
      <c r="AN612" s="223"/>
      <c r="AO612" s="952"/>
      <c r="AP612" s="1066"/>
      <c r="AQ612" s="972"/>
      <c r="AR612" s="1917"/>
      <c r="AS612" s="222"/>
      <c r="AZ612" s="889"/>
      <c r="BC612" s="890"/>
      <c r="BD612" s="952"/>
      <c r="BE612" s="75"/>
      <c r="BF612" s="572"/>
      <c r="BG612" s="983"/>
      <c r="BH612" s="222"/>
      <c r="BL612" s="889"/>
      <c r="BO612" s="223"/>
    </row>
    <row r="613" spans="1:67" s="74" customFormat="1">
      <c r="A613" s="15"/>
      <c r="B613" s="15"/>
      <c r="C613" s="15"/>
      <c r="D613" s="15"/>
      <c r="E613" s="6"/>
      <c r="F613" s="6"/>
      <c r="G613" s="6"/>
      <c r="K613" s="223"/>
      <c r="M613" s="889"/>
      <c r="P613" s="890"/>
      <c r="T613" s="889"/>
      <c r="X613" s="15"/>
      <c r="Y613" s="1935"/>
      <c r="Z613" s="1086"/>
      <c r="AA613" s="230"/>
      <c r="AB613" s="230"/>
      <c r="AC613" s="1936"/>
      <c r="AD613" s="230"/>
      <c r="AE613" s="230"/>
      <c r="AF613" s="230"/>
      <c r="AG613" s="890"/>
      <c r="AJ613" s="890"/>
      <c r="AN613" s="223"/>
      <c r="AO613" s="952"/>
      <c r="AP613" s="1066"/>
      <c r="AQ613" s="972"/>
      <c r="AR613" s="1917"/>
      <c r="AS613" s="222"/>
      <c r="AZ613" s="889"/>
      <c r="BC613" s="890"/>
      <c r="BD613" s="952"/>
      <c r="BE613" s="75"/>
      <c r="BF613" s="572"/>
      <c r="BG613" s="983"/>
      <c r="BH613" s="222"/>
      <c r="BL613" s="889"/>
      <c r="BO613" s="223"/>
    </row>
    <row r="614" spans="1:67" s="74" customFormat="1">
      <c r="A614" s="15"/>
      <c r="B614" s="15"/>
      <c r="C614" s="15"/>
      <c r="D614" s="15"/>
      <c r="E614" s="6"/>
      <c r="F614" s="6"/>
      <c r="G614" s="6"/>
      <c r="K614" s="223"/>
      <c r="M614" s="889"/>
      <c r="P614" s="890"/>
      <c r="T614" s="889"/>
      <c r="X614" s="15"/>
      <c r="Y614" s="1935"/>
      <c r="Z614" s="1086"/>
      <c r="AA614" s="230"/>
      <c r="AB614" s="230"/>
      <c r="AC614" s="1936"/>
      <c r="AD614" s="230"/>
      <c r="AE614" s="230"/>
      <c r="AF614" s="230"/>
      <c r="AG614" s="890"/>
      <c r="AJ614" s="890"/>
      <c r="AN614" s="223"/>
      <c r="AO614" s="952"/>
      <c r="AP614" s="1066"/>
      <c r="AQ614" s="972"/>
      <c r="AR614" s="1917"/>
      <c r="AS614" s="222"/>
      <c r="AZ614" s="889"/>
      <c r="BC614" s="890"/>
      <c r="BD614" s="952"/>
      <c r="BE614" s="75"/>
      <c r="BF614" s="572"/>
      <c r="BG614" s="983"/>
      <c r="BH614" s="222"/>
      <c r="BL614" s="889"/>
      <c r="BO614" s="223"/>
    </row>
    <row r="615" spans="1:67" s="74" customFormat="1">
      <c r="A615" s="15"/>
      <c r="B615" s="15"/>
      <c r="C615" s="15"/>
      <c r="D615" s="15"/>
      <c r="E615" s="6"/>
      <c r="F615" s="6"/>
      <c r="G615" s="6"/>
      <c r="K615" s="223"/>
      <c r="M615" s="889"/>
      <c r="P615" s="890"/>
      <c r="T615" s="889"/>
      <c r="X615" s="15"/>
      <c r="Y615" s="1935"/>
      <c r="Z615" s="1086"/>
      <c r="AA615" s="230"/>
      <c r="AB615" s="230"/>
      <c r="AC615" s="1936"/>
      <c r="AD615" s="230"/>
      <c r="AE615" s="230"/>
      <c r="AF615" s="230"/>
      <c r="AG615" s="890"/>
      <c r="AJ615" s="890"/>
      <c r="AN615" s="223"/>
      <c r="AO615" s="952"/>
      <c r="AP615" s="1066"/>
      <c r="AQ615" s="972"/>
      <c r="AR615" s="1917"/>
      <c r="AS615" s="222"/>
      <c r="AZ615" s="889"/>
      <c r="BC615" s="890"/>
      <c r="BD615" s="952"/>
      <c r="BE615" s="75"/>
      <c r="BF615" s="572"/>
      <c r="BG615" s="983"/>
      <c r="BH615" s="222"/>
      <c r="BL615" s="889"/>
      <c r="BO615" s="223"/>
    </row>
    <row r="616" spans="1:67" s="74" customFormat="1">
      <c r="A616" s="15"/>
      <c r="B616" s="15"/>
      <c r="C616" s="15"/>
      <c r="D616" s="15"/>
      <c r="E616" s="6"/>
      <c r="F616" s="6"/>
      <c r="G616" s="6"/>
      <c r="K616" s="223"/>
      <c r="M616" s="889"/>
      <c r="P616" s="890"/>
      <c r="T616" s="889"/>
      <c r="X616" s="15"/>
      <c r="Y616" s="1935"/>
      <c r="Z616" s="1086"/>
      <c r="AA616" s="230"/>
      <c r="AB616" s="230"/>
      <c r="AC616" s="1936"/>
      <c r="AD616" s="230"/>
      <c r="AE616" s="230"/>
      <c r="AF616" s="230"/>
      <c r="AG616" s="890"/>
      <c r="AJ616" s="890"/>
      <c r="AN616" s="223"/>
      <c r="AO616" s="952"/>
      <c r="AP616" s="1066"/>
      <c r="AQ616" s="972"/>
      <c r="AR616" s="1917"/>
      <c r="AS616" s="222"/>
      <c r="AZ616" s="889"/>
      <c r="BC616" s="890"/>
      <c r="BD616" s="952"/>
      <c r="BE616" s="75"/>
      <c r="BF616" s="572"/>
      <c r="BG616" s="983"/>
      <c r="BH616" s="222"/>
      <c r="BL616" s="889"/>
      <c r="BO616" s="223"/>
    </row>
    <row r="617" spans="1:67" s="74" customFormat="1">
      <c r="A617" s="15"/>
      <c r="B617" s="15"/>
      <c r="C617" s="15"/>
      <c r="D617" s="15"/>
      <c r="E617" s="6"/>
      <c r="F617" s="6"/>
      <c r="G617" s="6"/>
      <c r="K617" s="223"/>
      <c r="M617" s="889"/>
      <c r="P617" s="890"/>
      <c r="T617" s="889"/>
      <c r="X617" s="15"/>
      <c r="Y617" s="1935"/>
      <c r="Z617" s="1086"/>
      <c r="AA617" s="230"/>
      <c r="AB617" s="230"/>
      <c r="AC617" s="1936"/>
      <c r="AD617" s="230"/>
      <c r="AE617" s="230"/>
      <c r="AF617" s="230"/>
      <c r="AG617" s="890"/>
      <c r="AJ617" s="890"/>
      <c r="AN617" s="223"/>
      <c r="AO617" s="952"/>
      <c r="AP617" s="1066"/>
      <c r="AQ617" s="972"/>
      <c r="AR617" s="1917"/>
      <c r="AS617" s="222"/>
      <c r="AZ617" s="889"/>
      <c r="BC617" s="890"/>
      <c r="BD617" s="952"/>
      <c r="BE617" s="75"/>
      <c r="BF617" s="572"/>
      <c r="BG617" s="983"/>
      <c r="BH617" s="222"/>
      <c r="BL617" s="889"/>
      <c r="BO617" s="223"/>
    </row>
    <row r="618" spans="1:67" s="74" customFormat="1">
      <c r="A618" s="15"/>
      <c r="B618" s="15"/>
      <c r="C618" s="15"/>
      <c r="D618" s="15"/>
      <c r="E618" s="6"/>
      <c r="F618" s="6"/>
      <c r="G618" s="6"/>
      <c r="K618" s="223"/>
      <c r="M618" s="889"/>
      <c r="P618" s="890"/>
      <c r="T618" s="889"/>
      <c r="X618" s="15"/>
      <c r="Y618" s="1935"/>
      <c r="Z618" s="1086"/>
      <c r="AA618" s="230"/>
      <c r="AB618" s="230"/>
      <c r="AC618" s="1936"/>
      <c r="AD618" s="230"/>
      <c r="AE618" s="230"/>
      <c r="AF618" s="230"/>
      <c r="AG618" s="890"/>
      <c r="AJ618" s="890"/>
      <c r="AN618" s="223"/>
      <c r="AO618" s="952"/>
      <c r="AP618" s="1066"/>
      <c r="AQ618" s="972"/>
      <c r="AR618" s="1917"/>
      <c r="AS618" s="222"/>
      <c r="AZ618" s="889"/>
      <c r="BC618" s="890"/>
      <c r="BD618" s="952"/>
      <c r="BE618" s="75"/>
      <c r="BF618" s="572"/>
      <c r="BG618" s="983"/>
      <c r="BH618" s="222"/>
      <c r="BL618" s="889"/>
      <c r="BO618" s="223"/>
    </row>
    <row r="619" spans="1:67" s="74" customFormat="1">
      <c r="A619" s="15"/>
      <c r="B619" s="15"/>
      <c r="C619" s="15"/>
      <c r="D619" s="15"/>
      <c r="E619" s="6"/>
      <c r="F619" s="6"/>
      <c r="G619" s="6"/>
      <c r="K619" s="223"/>
      <c r="M619" s="889"/>
      <c r="P619" s="890"/>
      <c r="T619" s="889"/>
      <c r="X619" s="15"/>
      <c r="Y619" s="1935"/>
      <c r="Z619" s="1086"/>
      <c r="AA619" s="230"/>
      <c r="AB619" s="230"/>
      <c r="AC619" s="1936"/>
      <c r="AD619" s="230"/>
      <c r="AE619" s="230"/>
      <c r="AF619" s="230"/>
      <c r="AG619" s="890"/>
      <c r="AJ619" s="890"/>
      <c r="AN619" s="223"/>
      <c r="AO619" s="952"/>
      <c r="AP619" s="1066"/>
      <c r="AQ619" s="972"/>
      <c r="AR619" s="1917"/>
      <c r="AS619" s="222"/>
      <c r="AZ619" s="889"/>
      <c r="BC619" s="890"/>
      <c r="BD619" s="952"/>
      <c r="BE619" s="75"/>
      <c r="BF619" s="572"/>
      <c r="BG619" s="983"/>
      <c r="BH619" s="222"/>
      <c r="BL619" s="889"/>
      <c r="BO619" s="223"/>
    </row>
    <row r="620" spans="1:67" s="74" customFormat="1">
      <c r="A620" s="15"/>
      <c r="B620" s="15"/>
      <c r="C620" s="15"/>
      <c r="D620" s="15"/>
      <c r="E620" s="6"/>
      <c r="F620" s="6"/>
      <c r="G620" s="6"/>
      <c r="K620" s="223"/>
      <c r="M620" s="889"/>
      <c r="P620" s="890"/>
      <c r="T620" s="889"/>
      <c r="X620" s="15"/>
      <c r="Y620" s="1935"/>
      <c r="Z620" s="1086"/>
      <c r="AA620" s="230"/>
      <c r="AB620" s="230"/>
      <c r="AC620" s="1936"/>
      <c r="AD620" s="230"/>
      <c r="AE620" s="230"/>
      <c r="AF620" s="230"/>
      <c r="AG620" s="890"/>
      <c r="AJ620" s="890"/>
      <c r="AN620" s="223"/>
      <c r="AO620" s="952"/>
      <c r="AP620" s="1066"/>
      <c r="AQ620" s="972"/>
      <c r="AR620" s="1917"/>
      <c r="AS620" s="222"/>
      <c r="AZ620" s="889"/>
      <c r="BC620" s="890"/>
      <c r="BD620" s="952"/>
      <c r="BE620" s="75"/>
      <c r="BF620" s="572"/>
      <c r="BG620" s="983"/>
      <c r="BH620" s="222"/>
      <c r="BL620" s="889"/>
      <c r="BO620" s="223"/>
    </row>
    <row r="621" spans="1:67" s="74" customFormat="1">
      <c r="A621" s="15"/>
      <c r="B621" s="15"/>
      <c r="C621" s="15"/>
      <c r="D621" s="15"/>
      <c r="E621" s="6"/>
      <c r="F621" s="6"/>
      <c r="G621" s="6"/>
      <c r="K621" s="223"/>
      <c r="M621" s="889"/>
      <c r="P621" s="890"/>
      <c r="T621" s="889"/>
      <c r="X621" s="15"/>
      <c r="Y621" s="1935"/>
      <c r="Z621" s="1086"/>
      <c r="AA621" s="230"/>
      <c r="AB621" s="230"/>
      <c r="AC621" s="1936"/>
      <c r="AD621" s="230"/>
      <c r="AE621" s="230"/>
      <c r="AF621" s="230"/>
      <c r="AG621" s="890"/>
      <c r="AJ621" s="890"/>
      <c r="AN621" s="223"/>
      <c r="AO621" s="952"/>
      <c r="AP621" s="1066"/>
      <c r="AQ621" s="972"/>
      <c r="AR621" s="1917"/>
      <c r="AS621" s="222"/>
      <c r="AZ621" s="889"/>
      <c r="BC621" s="890"/>
      <c r="BD621" s="952"/>
      <c r="BE621" s="75"/>
      <c r="BF621" s="572"/>
      <c r="BG621" s="983"/>
      <c r="BH621" s="222"/>
      <c r="BL621" s="889"/>
      <c r="BO621" s="223"/>
    </row>
    <row r="622" spans="1:67" s="74" customFormat="1">
      <c r="A622" s="15"/>
      <c r="B622" s="15"/>
      <c r="C622" s="15"/>
      <c r="D622" s="15"/>
      <c r="E622" s="6"/>
      <c r="F622" s="6"/>
      <c r="G622" s="6"/>
      <c r="K622" s="223"/>
      <c r="M622" s="889"/>
      <c r="P622" s="890"/>
      <c r="T622" s="889"/>
      <c r="X622" s="15"/>
      <c r="Y622" s="1935"/>
      <c r="Z622" s="1086"/>
      <c r="AA622" s="230"/>
      <c r="AB622" s="230"/>
      <c r="AC622" s="1936"/>
      <c r="AD622" s="230"/>
      <c r="AE622" s="230"/>
      <c r="AF622" s="230"/>
      <c r="AG622" s="890"/>
      <c r="AJ622" s="890"/>
      <c r="AN622" s="223"/>
      <c r="AO622" s="952"/>
      <c r="AP622" s="1066"/>
      <c r="AQ622" s="972"/>
      <c r="AR622" s="1917"/>
      <c r="AS622" s="222"/>
      <c r="AZ622" s="889"/>
      <c r="BC622" s="890"/>
      <c r="BD622" s="952"/>
      <c r="BE622" s="75"/>
      <c r="BF622" s="572"/>
      <c r="BG622" s="983"/>
      <c r="BH622" s="222"/>
      <c r="BL622" s="889"/>
      <c r="BO622" s="223"/>
    </row>
    <row r="623" spans="1:67" s="74" customFormat="1">
      <c r="A623" s="15"/>
      <c r="B623" s="15"/>
      <c r="C623" s="15"/>
      <c r="D623" s="15"/>
      <c r="E623" s="6"/>
      <c r="F623" s="6"/>
      <c r="G623" s="6"/>
      <c r="K623" s="223"/>
      <c r="M623" s="889"/>
      <c r="P623" s="890"/>
      <c r="T623" s="889"/>
      <c r="X623" s="15"/>
      <c r="Y623" s="1935"/>
      <c r="Z623" s="1086"/>
      <c r="AA623" s="230"/>
      <c r="AB623" s="230"/>
      <c r="AC623" s="1936"/>
      <c r="AD623" s="230"/>
      <c r="AE623" s="230"/>
      <c r="AF623" s="230"/>
      <c r="AG623" s="890"/>
      <c r="AJ623" s="890"/>
      <c r="AN623" s="223"/>
      <c r="AO623" s="952"/>
      <c r="AP623" s="1066"/>
      <c r="AQ623" s="972"/>
      <c r="AR623" s="1917"/>
      <c r="AS623" s="222"/>
      <c r="AZ623" s="889"/>
      <c r="BC623" s="890"/>
      <c r="BD623" s="952"/>
      <c r="BE623" s="75"/>
      <c r="BF623" s="572"/>
      <c r="BG623" s="983"/>
      <c r="BH623" s="222"/>
      <c r="BL623" s="889"/>
      <c r="BO623" s="223"/>
    </row>
    <row r="624" spans="1:67" s="74" customFormat="1">
      <c r="A624" s="15"/>
      <c r="B624" s="15"/>
      <c r="C624" s="15"/>
      <c r="D624" s="15"/>
      <c r="E624" s="6"/>
      <c r="F624" s="6"/>
      <c r="G624" s="6"/>
      <c r="K624" s="223"/>
      <c r="M624" s="889"/>
      <c r="P624" s="890"/>
      <c r="T624" s="889"/>
      <c r="X624" s="15"/>
      <c r="Y624" s="1935"/>
      <c r="Z624" s="1086"/>
      <c r="AA624" s="230"/>
      <c r="AB624" s="230"/>
      <c r="AC624" s="1936"/>
      <c r="AD624" s="230"/>
      <c r="AE624" s="230"/>
      <c r="AF624" s="230"/>
      <c r="AG624" s="890"/>
      <c r="AJ624" s="890"/>
      <c r="AN624" s="223"/>
      <c r="AO624" s="952"/>
      <c r="AP624" s="1066"/>
      <c r="AQ624" s="972"/>
      <c r="AR624" s="1917"/>
      <c r="AS624" s="222"/>
      <c r="AZ624" s="889"/>
      <c r="BC624" s="890"/>
      <c r="BD624" s="952"/>
      <c r="BE624" s="75"/>
      <c r="BF624" s="572"/>
      <c r="BG624" s="983"/>
      <c r="BH624" s="222"/>
      <c r="BL624" s="889"/>
      <c r="BO624" s="223"/>
    </row>
    <row r="625" spans="1:67" s="74" customFormat="1">
      <c r="A625" s="15"/>
      <c r="B625" s="15"/>
      <c r="C625" s="15"/>
      <c r="D625" s="15"/>
      <c r="E625" s="6"/>
      <c r="F625" s="6"/>
      <c r="G625" s="6"/>
      <c r="K625" s="223"/>
      <c r="M625" s="889"/>
      <c r="P625" s="890"/>
      <c r="T625" s="889"/>
      <c r="X625" s="15"/>
      <c r="Y625" s="1935"/>
      <c r="Z625" s="1086"/>
      <c r="AA625" s="230"/>
      <c r="AB625" s="230"/>
      <c r="AC625" s="1936"/>
      <c r="AD625" s="230"/>
      <c r="AE625" s="230"/>
      <c r="AF625" s="230"/>
      <c r="AG625" s="890"/>
      <c r="AJ625" s="890"/>
      <c r="AN625" s="223"/>
      <c r="AO625" s="952"/>
      <c r="AP625" s="1066"/>
      <c r="AQ625" s="972"/>
      <c r="AR625" s="1917"/>
      <c r="AS625" s="222"/>
      <c r="AZ625" s="889"/>
      <c r="BC625" s="890"/>
      <c r="BD625" s="952"/>
      <c r="BE625" s="75"/>
      <c r="BF625" s="572"/>
      <c r="BG625" s="983"/>
      <c r="BH625" s="222"/>
      <c r="BL625" s="889"/>
      <c r="BO625" s="223"/>
    </row>
    <row r="626" spans="1:67" s="74" customFormat="1">
      <c r="A626" s="15"/>
      <c r="B626" s="15"/>
      <c r="C626" s="15"/>
      <c r="D626" s="15"/>
      <c r="E626" s="6"/>
      <c r="F626" s="6"/>
      <c r="G626" s="6"/>
      <c r="K626" s="223"/>
      <c r="M626" s="889"/>
      <c r="P626" s="890"/>
      <c r="T626" s="889"/>
      <c r="X626" s="15"/>
      <c r="Y626" s="1935"/>
      <c r="Z626" s="1086"/>
      <c r="AA626" s="230"/>
      <c r="AB626" s="230"/>
      <c r="AC626" s="1936"/>
      <c r="AD626" s="230"/>
      <c r="AE626" s="230"/>
      <c r="AF626" s="230"/>
      <c r="AG626" s="890"/>
      <c r="AJ626" s="890"/>
      <c r="AN626" s="223"/>
      <c r="AO626" s="952"/>
      <c r="AP626" s="1066"/>
      <c r="AQ626" s="972"/>
      <c r="AR626" s="1917"/>
      <c r="AS626" s="222"/>
      <c r="AZ626" s="889"/>
      <c r="BC626" s="890"/>
      <c r="BD626" s="952"/>
      <c r="BE626" s="75"/>
      <c r="BF626" s="572"/>
      <c r="BG626" s="983"/>
      <c r="BH626" s="222"/>
      <c r="BL626" s="889"/>
      <c r="BO626" s="223"/>
    </row>
    <row r="627" spans="1:67" s="74" customFormat="1">
      <c r="A627" s="15"/>
      <c r="B627" s="15"/>
      <c r="C627" s="15"/>
      <c r="D627" s="15"/>
      <c r="E627" s="6"/>
      <c r="F627" s="6"/>
      <c r="G627" s="6"/>
      <c r="K627" s="223"/>
      <c r="M627" s="889"/>
      <c r="P627" s="890"/>
      <c r="T627" s="889"/>
      <c r="X627" s="15"/>
      <c r="Y627" s="1935"/>
      <c r="Z627" s="1086"/>
      <c r="AA627" s="230"/>
      <c r="AB627" s="230"/>
      <c r="AC627" s="1936"/>
      <c r="AD627" s="230"/>
      <c r="AE627" s="230"/>
      <c r="AF627" s="230"/>
      <c r="AG627" s="890"/>
      <c r="AJ627" s="890"/>
      <c r="AN627" s="223"/>
      <c r="AO627" s="952"/>
      <c r="AP627" s="1066"/>
      <c r="AQ627" s="972"/>
      <c r="AR627" s="1917"/>
      <c r="AS627" s="222"/>
      <c r="AZ627" s="889"/>
      <c r="BC627" s="890"/>
      <c r="BD627" s="952"/>
      <c r="BE627" s="75"/>
      <c r="BF627" s="572"/>
      <c r="BG627" s="983"/>
      <c r="BH627" s="222"/>
      <c r="BL627" s="889"/>
      <c r="BO627" s="223"/>
    </row>
    <row r="628" spans="1:67" s="74" customFormat="1">
      <c r="A628" s="15"/>
      <c r="B628" s="15"/>
      <c r="C628" s="15"/>
      <c r="D628" s="15"/>
      <c r="E628" s="6"/>
      <c r="F628" s="6"/>
      <c r="G628" s="6"/>
      <c r="K628" s="223"/>
      <c r="M628" s="889"/>
      <c r="P628" s="890"/>
      <c r="T628" s="889"/>
      <c r="X628" s="15"/>
      <c r="Y628" s="1935"/>
      <c r="Z628" s="1086"/>
      <c r="AA628" s="230"/>
      <c r="AB628" s="230"/>
      <c r="AC628" s="1936"/>
      <c r="AD628" s="230"/>
      <c r="AE628" s="230"/>
      <c r="AF628" s="230"/>
      <c r="AG628" s="890"/>
      <c r="AJ628" s="890"/>
      <c r="AN628" s="223"/>
      <c r="AO628" s="952"/>
      <c r="AP628" s="1066"/>
      <c r="AQ628" s="972"/>
      <c r="AR628" s="1917"/>
      <c r="AS628" s="222"/>
      <c r="AZ628" s="889"/>
      <c r="BC628" s="890"/>
      <c r="BD628" s="952"/>
      <c r="BE628" s="75"/>
      <c r="BF628" s="572"/>
      <c r="BG628" s="983"/>
      <c r="BH628" s="222"/>
      <c r="BL628" s="889"/>
      <c r="BO628" s="223"/>
    </row>
    <row r="629" spans="1:67" s="74" customFormat="1">
      <c r="A629" s="15"/>
      <c r="B629" s="15"/>
      <c r="C629" s="15"/>
      <c r="D629" s="15"/>
      <c r="E629" s="6"/>
      <c r="F629" s="6"/>
      <c r="G629" s="6"/>
      <c r="K629" s="223"/>
      <c r="M629" s="889"/>
      <c r="P629" s="890"/>
      <c r="T629" s="889"/>
      <c r="X629" s="15"/>
      <c r="Y629" s="1935"/>
      <c r="Z629" s="1086"/>
      <c r="AA629" s="230"/>
      <c r="AB629" s="230"/>
      <c r="AC629" s="1936"/>
      <c r="AD629" s="230"/>
      <c r="AE629" s="230"/>
      <c r="AF629" s="230"/>
      <c r="AG629" s="890"/>
      <c r="AJ629" s="890"/>
      <c r="AN629" s="223"/>
      <c r="AO629" s="952"/>
      <c r="AP629" s="1066"/>
      <c r="AQ629" s="972"/>
      <c r="AR629" s="1917"/>
      <c r="AS629" s="222"/>
      <c r="AZ629" s="889"/>
      <c r="BC629" s="890"/>
      <c r="BD629" s="952"/>
      <c r="BE629" s="75"/>
      <c r="BF629" s="572"/>
      <c r="BG629" s="983"/>
      <c r="BH629" s="222"/>
      <c r="BL629" s="889"/>
      <c r="BO629" s="223"/>
    </row>
    <row r="630" spans="1:67" s="74" customFormat="1">
      <c r="A630" s="15"/>
      <c r="B630" s="15"/>
      <c r="C630" s="15"/>
      <c r="D630" s="15"/>
      <c r="E630" s="6"/>
      <c r="F630" s="6"/>
      <c r="G630" s="6"/>
      <c r="K630" s="223"/>
      <c r="M630" s="889"/>
      <c r="P630" s="890"/>
      <c r="T630" s="889"/>
      <c r="X630" s="15"/>
      <c r="Y630" s="1935"/>
      <c r="Z630" s="1086"/>
      <c r="AA630" s="230"/>
      <c r="AB630" s="230"/>
      <c r="AC630" s="1936"/>
      <c r="AD630" s="230"/>
      <c r="AE630" s="230"/>
      <c r="AF630" s="230"/>
      <c r="AG630" s="890"/>
      <c r="AJ630" s="890"/>
      <c r="AN630" s="223"/>
      <c r="AO630" s="952"/>
      <c r="AP630" s="1066"/>
      <c r="AQ630" s="972"/>
      <c r="AR630" s="1917"/>
      <c r="AS630" s="222"/>
      <c r="AZ630" s="889"/>
      <c r="BC630" s="890"/>
      <c r="BD630" s="952"/>
      <c r="BE630" s="75"/>
      <c r="BF630" s="572"/>
      <c r="BG630" s="983"/>
      <c r="BH630" s="222"/>
      <c r="BL630" s="889"/>
      <c r="BO630" s="223"/>
    </row>
    <row r="631" spans="1:67" s="74" customFormat="1">
      <c r="A631" s="15"/>
      <c r="B631" s="15"/>
      <c r="C631" s="15"/>
      <c r="D631" s="15"/>
      <c r="E631" s="6"/>
      <c r="F631" s="6"/>
      <c r="G631" s="6"/>
      <c r="K631" s="223"/>
      <c r="M631" s="889"/>
      <c r="P631" s="890"/>
      <c r="T631" s="889"/>
      <c r="X631" s="15"/>
      <c r="Y631" s="1935"/>
      <c r="Z631" s="1086"/>
      <c r="AA631" s="230"/>
      <c r="AB631" s="230"/>
      <c r="AC631" s="1936"/>
      <c r="AD631" s="230"/>
      <c r="AE631" s="230"/>
      <c r="AF631" s="230"/>
      <c r="AG631" s="890"/>
      <c r="AJ631" s="890"/>
      <c r="AN631" s="223"/>
      <c r="AO631" s="952"/>
      <c r="AP631" s="1066"/>
      <c r="AQ631" s="972"/>
      <c r="AR631" s="1917"/>
      <c r="AS631" s="222"/>
      <c r="AZ631" s="889"/>
      <c r="BC631" s="890"/>
      <c r="BD631" s="952"/>
      <c r="BE631" s="75"/>
      <c r="BF631" s="572"/>
      <c r="BG631" s="983"/>
      <c r="BH631" s="222"/>
      <c r="BL631" s="889"/>
      <c r="BO631" s="223"/>
    </row>
    <row r="632" spans="1:67" s="74" customFormat="1">
      <c r="A632" s="15"/>
      <c r="B632" s="15"/>
      <c r="C632" s="15"/>
      <c r="D632" s="15"/>
      <c r="E632" s="6"/>
      <c r="F632" s="6"/>
      <c r="G632" s="6"/>
      <c r="K632" s="223"/>
      <c r="M632" s="889"/>
      <c r="P632" s="890"/>
      <c r="T632" s="889"/>
      <c r="X632" s="15"/>
      <c r="Y632" s="1935"/>
      <c r="Z632" s="1086"/>
      <c r="AA632" s="230"/>
      <c r="AB632" s="230"/>
      <c r="AC632" s="1936"/>
      <c r="AD632" s="230"/>
      <c r="AE632" s="230"/>
      <c r="AF632" s="230"/>
      <c r="AG632" s="890"/>
      <c r="AJ632" s="890"/>
      <c r="AN632" s="223"/>
      <c r="AO632" s="952"/>
      <c r="AP632" s="1066"/>
      <c r="AQ632" s="972"/>
      <c r="AR632" s="1917"/>
      <c r="AS632" s="222"/>
      <c r="AZ632" s="889"/>
      <c r="BC632" s="890"/>
      <c r="BD632" s="952"/>
      <c r="BE632" s="75"/>
      <c r="BF632" s="572"/>
      <c r="BG632" s="983"/>
      <c r="BH632" s="222"/>
      <c r="BL632" s="889"/>
      <c r="BO632" s="223"/>
    </row>
    <row r="633" spans="1:67" s="74" customFormat="1">
      <c r="A633" s="15"/>
      <c r="B633" s="15"/>
      <c r="C633" s="15"/>
      <c r="D633" s="15"/>
      <c r="E633" s="6"/>
      <c r="F633" s="6"/>
      <c r="G633" s="6"/>
      <c r="K633" s="223"/>
      <c r="M633" s="889"/>
      <c r="P633" s="890"/>
      <c r="T633" s="889"/>
      <c r="X633" s="15"/>
      <c r="Y633" s="1935"/>
      <c r="Z633" s="1086"/>
      <c r="AA633" s="230"/>
      <c r="AB633" s="230"/>
      <c r="AC633" s="1936"/>
      <c r="AD633" s="230"/>
      <c r="AE633" s="230"/>
      <c r="AF633" s="230"/>
      <c r="AG633" s="890"/>
      <c r="AJ633" s="890"/>
      <c r="AN633" s="223"/>
      <c r="AO633" s="952"/>
      <c r="AP633" s="1066"/>
      <c r="AQ633" s="972"/>
      <c r="AR633" s="1917"/>
      <c r="AS633" s="222"/>
      <c r="AZ633" s="889"/>
      <c r="BC633" s="890"/>
      <c r="BD633" s="952"/>
      <c r="BE633" s="75"/>
      <c r="BF633" s="572"/>
      <c r="BG633" s="983"/>
      <c r="BH633" s="222"/>
      <c r="BL633" s="889"/>
      <c r="BO633" s="223"/>
    </row>
    <row r="634" spans="1:67" s="74" customFormat="1">
      <c r="A634" s="15"/>
      <c r="B634" s="15"/>
      <c r="C634" s="15"/>
      <c r="D634" s="15"/>
      <c r="E634" s="6"/>
      <c r="F634" s="6"/>
      <c r="G634" s="6"/>
      <c r="K634" s="223"/>
      <c r="M634" s="889"/>
      <c r="P634" s="890"/>
      <c r="T634" s="889"/>
      <c r="X634" s="15"/>
      <c r="Y634" s="1935"/>
      <c r="Z634" s="1086"/>
      <c r="AA634" s="230"/>
      <c r="AB634" s="230"/>
      <c r="AC634" s="1936"/>
      <c r="AD634" s="230"/>
      <c r="AE634" s="230"/>
      <c r="AF634" s="230"/>
      <c r="AG634" s="890"/>
      <c r="AJ634" s="890"/>
      <c r="AN634" s="223"/>
      <c r="AO634" s="952"/>
      <c r="AP634" s="1066"/>
      <c r="AQ634" s="972"/>
      <c r="AR634" s="1917"/>
      <c r="AS634" s="222"/>
      <c r="AZ634" s="889"/>
      <c r="BC634" s="890"/>
      <c r="BD634" s="952"/>
      <c r="BE634" s="75"/>
      <c r="BF634" s="572"/>
      <c r="BG634" s="983"/>
      <c r="BH634" s="222"/>
      <c r="BL634" s="889"/>
      <c r="BO634" s="223"/>
    </row>
    <row r="635" spans="1:67" s="74" customFormat="1">
      <c r="A635" s="15"/>
      <c r="B635" s="15"/>
      <c r="C635" s="15"/>
      <c r="D635" s="15"/>
      <c r="E635" s="6"/>
      <c r="F635" s="6"/>
      <c r="G635" s="6"/>
      <c r="K635" s="223"/>
      <c r="M635" s="889"/>
      <c r="P635" s="890"/>
      <c r="T635" s="889"/>
      <c r="X635" s="15"/>
      <c r="Y635" s="1935"/>
      <c r="Z635" s="1086"/>
      <c r="AA635" s="230"/>
      <c r="AB635" s="230"/>
      <c r="AC635" s="1936"/>
      <c r="AD635" s="230"/>
      <c r="AE635" s="230"/>
      <c r="AF635" s="230"/>
      <c r="AG635" s="890"/>
      <c r="AJ635" s="890"/>
      <c r="AN635" s="223"/>
      <c r="AO635" s="952"/>
      <c r="AP635" s="1066"/>
      <c r="AQ635" s="972"/>
      <c r="AR635" s="1917"/>
      <c r="AS635" s="222"/>
      <c r="AZ635" s="889"/>
      <c r="BC635" s="890"/>
      <c r="BD635" s="952"/>
      <c r="BE635" s="75"/>
      <c r="BF635" s="572"/>
      <c r="BG635" s="983"/>
      <c r="BH635" s="222"/>
      <c r="BL635" s="889"/>
      <c r="BO635" s="223"/>
    </row>
    <row r="636" spans="1:67" s="74" customFormat="1">
      <c r="A636" s="15"/>
      <c r="B636" s="15"/>
      <c r="C636" s="15"/>
      <c r="D636" s="15"/>
      <c r="E636" s="6"/>
      <c r="F636" s="6"/>
      <c r="G636" s="6"/>
      <c r="K636" s="223"/>
      <c r="M636" s="889"/>
      <c r="P636" s="890"/>
      <c r="T636" s="889"/>
      <c r="X636" s="15"/>
      <c r="Y636" s="1935"/>
      <c r="Z636" s="1086"/>
      <c r="AA636" s="230"/>
      <c r="AB636" s="230"/>
      <c r="AC636" s="1936"/>
      <c r="AD636" s="230"/>
      <c r="AE636" s="230"/>
      <c r="AF636" s="230"/>
      <c r="AG636" s="890"/>
      <c r="AJ636" s="890"/>
      <c r="AN636" s="223"/>
      <c r="AO636" s="952"/>
      <c r="AP636" s="1066"/>
      <c r="AQ636" s="972"/>
      <c r="AR636" s="1917"/>
      <c r="AS636" s="222"/>
      <c r="AZ636" s="889"/>
      <c r="BC636" s="890"/>
      <c r="BD636" s="952"/>
      <c r="BE636" s="75"/>
      <c r="BF636" s="572"/>
      <c r="BG636" s="983"/>
      <c r="BH636" s="222"/>
      <c r="BL636" s="889"/>
      <c r="BO636" s="223"/>
    </row>
    <row r="637" spans="1:67" s="74" customFormat="1">
      <c r="A637" s="15"/>
      <c r="B637" s="15"/>
      <c r="C637" s="15"/>
      <c r="D637" s="15"/>
      <c r="E637" s="6"/>
      <c r="F637" s="6"/>
      <c r="G637" s="6"/>
      <c r="K637" s="223"/>
      <c r="M637" s="889"/>
      <c r="P637" s="890"/>
      <c r="T637" s="889"/>
      <c r="X637" s="15"/>
      <c r="Y637" s="1935"/>
      <c r="Z637" s="1086"/>
      <c r="AA637" s="230"/>
      <c r="AB637" s="230"/>
      <c r="AC637" s="1936"/>
      <c r="AD637" s="230"/>
      <c r="AE637" s="230"/>
      <c r="AF637" s="230"/>
      <c r="AG637" s="890"/>
      <c r="AJ637" s="890"/>
      <c r="AN637" s="223"/>
      <c r="AO637" s="952"/>
      <c r="AP637" s="1066"/>
      <c r="AQ637" s="972"/>
      <c r="AR637" s="1917"/>
      <c r="AS637" s="222"/>
      <c r="AZ637" s="889"/>
      <c r="BC637" s="890"/>
      <c r="BD637" s="952"/>
      <c r="BE637" s="75"/>
      <c r="BF637" s="572"/>
      <c r="BG637" s="983"/>
      <c r="BH637" s="222"/>
      <c r="BL637" s="889"/>
      <c r="BO637" s="223"/>
    </row>
    <row r="638" spans="1:67" s="74" customFormat="1">
      <c r="A638" s="15"/>
      <c r="B638" s="15"/>
      <c r="C638" s="15"/>
      <c r="D638" s="15"/>
      <c r="E638" s="6"/>
      <c r="F638" s="6"/>
      <c r="G638" s="6"/>
      <c r="K638" s="223"/>
      <c r="M638" s="889"/>
      <c r="P638" s="890"/>
      <c r="T638" s="889"/>
      <c r="X638" s="15"/>
      <c r="Y638" s="1935"/>
      <c r="Z638" s="1086"/>
      <c r="AA638" s="230"/>
      <c r="AB638" s="230"/>
      <c r="AC638" s="1936"/>
      <c r="AD638" s="230"/>
      <c r="AE638" s="230"/>
      <c r="AF638" s="230"/>
      <c r="AG638" s="890"/>
      <c r="AJ638" s="890"/>
      <c r="AN638" s="223"/>
      <c r="AO638" s="952"/>
      <c r="AP638" s="1066"/>
      <c r="AQ638" s="972"/>
      <c r="AR638" s="1917"/>
      <c r="AS638" s="222"/>
      <c r="AZ638" s="889"/>
      <c r="BC638" s="890"/>
      <c r="BD638" s="952"/>
      <c r="BE638" s="75"/>
      <c r="BF638" s="572"/>
      <c r="BG638" s="983"/>
      <c r="BH638" s="222"/>
      <c r="BL638" s="889"/>
      <c r="BO638" s="223"/>
    </row>
    <row r="639" spans="1:67" s="74" customFormat="1">
      <c r="A639" s="15"/>
      <c r="B639" s="15"/>
      <c r="C639" s="15"/>
      <c r="D639" s="15"/>
      <c r="E639" s="6"/>
      <c r="F639" s="6"/>
      <c r="G639" s="6"/>
      <c r="K639" s="223"/>
      <c r="M639" s="889"/>
      <c r="P639" s="890"/>
      <c r="T639" s="889"/>
      <c r="X639" s="15"/>
      <c r="Y639" s="1935"/>
      <c r="Z639" s="1086"/>
      <c r="AA639" s="230"/>
      <c r="AB639" s="230"/>
      <c r="AC639" s="1936"/>
      <c r="AD639" s="230"/>
      <c r="AE639" s="230"/>
      <c r="AF639" s="230"/>
      <c r="AG639" s="890"/>
      <c r="AJ639" s="890"/>
      <c r="AN639" s="223"/>
      <c r="AO639" s="952"/>
      <c r="AP639" s="1066"/>
      <c r="AQ639" s="972"/>
      <c r="AR639" s="1917"/>
      <c r="AS639" s="222"/>
      <c r="AZ639" s="889"/>
      <c r="BC639" s="890"/>
      <c r="BD639" s="952"/>
      <c r="BE639" s="75"/>
      <c r="BF639" s="572"/>
      <c r="BG639" s="983"/>
      <c r="BH639" s="222"/>
      <c r="BL639" s="889"/>
      <c r="BO639" s="223"/>
    </row>
    <row r="640" spans="1:67" s="74" customFormat="1">
      <c r="A640" s="15"/>
      <c r="B640" s="15"/>
      <c r="C640" s="15"/>
      <c r="D640" s="15"/>
      <c r="E640" s="6"/>
      <c r="F640" s="6"/>
      <c r="G640" s="6"/>
      <c r="K640" s="223"/>
      <c r="M640" s="889"/>
      <c r="P640" s="890"/>
      <c r="T640" s="889"/>
      <c r="X640" s="15"/>
      <c r="Y640" s="1935"/>
      <c r="Z640" s="1086"/>
      <c r="AA640" s="230"/>
      <c r="AB640" s="230"/>
      <c r="AC640" s="1936"/>
      <c r="AD640" s="230"/>
      <c r="AE640" s="230"/>
      <c r="AF640" s="230"/>
      <c r="AG640" s="890"/>
      <c r="AJ640" s="890"/>
      <c r="AN640" s="223"/>
      <c r="AO640" s="952"/>
      <c r="AP640" s="1066"/>
      <c r="AQ640" s="972"/>
      <c r="AR640" s="1917"/>
      <c r="AS640" s="222"/>
      <c r="AZ640" s="889"/>
      <c r="BC640" s="890"/>
      <c r="BD640" s="952"/>
      <c r="BE640" s="75"/>
      <c r="BF640" s="572"/>
      <c r="BG640" s="983"/>
      <c r="BH640" s="222"/>
      <c r="BL640" s="889"/>
      <c r="BO640" s="223"/>
    </row>
    <row r="641" spans="1:67" s="74" customFormat="1">
      <c r="A641" s="15"/>
      <c r="B641" s="15"/>
      <c r="C641" s="15"/>
      <c r="D641" s="15"/>
      <c r="E641" s="6"/>
      <c r="F641" s="6"/>
      <c r="G641" s="6"/>
      <c r="K641" s="223"/>
      <c r="M641" s="889"/>
      <c r="P641" s="890"/>
      <c r="T641" s="889"/>
      <c r="X641" s="15"/>
      <c r="Y641" s="1935"/>
      <c r="Z641" s="1086"/>
      <c r="AA641" s="230"/>
      <c r="AB641" s="230"/>
      <c r="AC641" s="1936"/>
      <c r="AD641" s="230"/>
      <c r="AE641" s="230"/>
      <c r="AF641" s="230"/>
      <c r="AG641" s="890"/>
      <c r="AJ641" s="890"/>
      <c r="AN641" s="223"/>
      <c r="AO641" s="952"/>
      <c r="AP641" s="1066"/>
      <c r="AQ641" s="972"/>
      <c r="AR641" s="1917"/>
      <c r="AS641" s="222"/>
      <c r="AZ641" s="889"/>
      <c r="BC641" s="890"/>
      <c r="BD641" s="952"/>
      <c r="BE641" s="75"/>
      <c r="BF641" s="572"/>
      <c r="BG641" s="983"/>
      <c r="BH641" s="222"/>
      <c r="BL641" s="889"/>
      <c r="BO641" s="223"/>
    </row>
    <row r="642" spans="1:67" s="74" customFormat="1">
      <c r="A642" s="15"/>
      <c r="B642" s="15"/>
      <c r="C642" s="15"/>
      <c r="D642" s="15"/>
      <c r="E642" s="6"/>
      <c r="F642" s="6"/>
      <c r="G642" s="6"/>
      <c r="K642" s="223"/>
      <c r="M642" s="889"/>
      <c r="P642" s="890"/>
      <c r="T642" s="889"/>
      <c r="X642" s="15"/>
      <c r="Y642" s="1935"/>
      <c r="Z642" s="1086"/>
      <c r="AA642" s="230"/>
      <c r="AB642" s="230"/>
      <c r="AC642" s="1936"/>
      <c r="AD642" s="230"/>
      <c r="AE642" s="230"/>
      <c r="AF642" s="230"/>
      <c r="AG642" s="890"/>
      <c r="AJ642" s="890"/>
      <c r="AN642" s="223"/>
      <c r="AO642" s="952"/>
      <c r="AP642" s="1066"/>
      <c r="AQ642" s="972"/>
      <c r="AR642" s="1917"/>
      <c r="AS642" s="222"/>
      <c r="AZ642" s="889"/>
      <c r="BC642" s="890"/>
      <c r="BD642" s="952"/>
      <c r="BE642" s="75"/>
      <c r="BF642" s="572"/>
      <c r="BG642" s="983"/>
      <c r="BH642" s="222"/>
      <c r="BL642" s="889"/>
      <c r="BO642" s="223"/>
    </row>
    <row r="643" spans="1:67" s="74" customFormat="1">
      <c r="A643" s="15"/>
      <c r="B643" s="15"/>
      <c r="C643" s="15"/>
      <c r="D643" s="15"/>
      <c r="E643" s="6"/>
      <c r="F643" s="6"/>
      <c r="G643" s="6"/>
      <c r="K643" s="223"/>
      <c r="M643" s="889"/>
      <c r="P643" s="890"/>
      <c r="T643" s="889"/>
      <c r="X643" s="15"/>
      <c r="Y643" s="1935"/>
      <c r="Z643" s="1086"/>
      <c r="AA643" s="230"/>
      <c r="AB643" s="230"/>
      <c r="AC643" s="1936"/>
      <c r="AD643" s="230"/>
      <c r="AE643" s="230"/>
      <c r="AF643" s="230"/>
      <c r="AG643" s="890"/>
      <c r="AJ643" s="890"/>
      <c r="AN643" s="223"/>
      <c r="AO643" s="952"/>
      <c r="AP643" s="1066"/>
      <c r="AQ643" s="972"/>
      <c r="AR643" s="1917"/>
      <c r="AS643" s="222"/>
      <c r="AZ643" s="889"/>
      <c r="BC643" s="890"/>
      <c r="BD643" s="952"/>
      <c r="BE643" s="75"/>
      <c r="BF643" s="572"/>
      <c r="BG643" s="983"/>
      <c r="BH643" s="222"/>
      <c r="BL643" s="889"/>
      <c r="BO643" s="223"/>
    </row>
    <row r="644" spans="1:67" s="74" customFormat="1">
      <c r="A644" s="15"/>
      <c r="B644" s="15"/>
      <c r="C644" s="15"/>
      <c r="D644" s="15"/>
      <c r="E644" s="6"/>
      <c r="F644" s="6"/>
      <c r="G644" s="6"/>
      <c r="K644" s="223"/>
      <c r="M644" s="889"/>
      <c r="P644" s="890"/>
      <c r="T644" s="889"/>
      <c r="X644" s="15"/>
      <c r="Y644" s="1935"/>
      <c r="Z644" s="1086"/>
      <c r="AA644" s="230"/>
      <c r="AB644" s="230"/>
      <c r="AC644" s="1936"/>
      <c r="AD644" s="230"/>
      <c r="AE644" s="230"/>
      <c r="AF644" s="230"/>
      <c r="AG644" s="890"/>
      <c r="AJ644" s="890"/>
      <c r="AN644" s="223"/>
      <c r="AO644" s="952"/>
      <c r="AP644" s="1066"/>
      <c r="AQ644" s="972"/>
      <c r="AR644" s="1917"/>
      <c r="AS644" s="222"/>
      <c r="AZ644" s="889"/>
      <c r="BC644" s="890"/>
      <c r="BD644" s="952"/>
      <c r="BE644" s="75"/>
      <c r="BF644" s="572"/>
      <c r="BG644" s="983"/>
      <c r="BH644" s="222"/>
      <c r="BL644" s="889"/>
      <c r="BO644" s="223"/>
    </row>
    <row r="645" spans="1:67" s="74" customFormat="1">
      <c r="A645" s="15"/>
      <c r="B645" s="15"/>
      <c r="C645" s="15"/>
      <c r="D645" s="15"/>
      <c r="E645" s="6"/>
      <c r="F645" s="6"/>
      <c r="G645" s="6"/>
      <c r="K645" s="223"/>
      <c r="M645" s="889"/>
      <c r="P645" s="890"/>
      <c r="T645" s="889"/>
      <c r="X645" s="15"/>
      <c r="Y645" s="1935"/>
      <c r="Z645" s="1086"/>
      <c r="AA645" s="230"/>
      <c r="AB645" s="230"/>
      <c r="AC645" s="1936"/>
      <c r="AD645" s="230"/>
      <c r="AE645" s="230"/>
      <c r="AF645" s="230"/>
      <c r="AG645" s="890"/>
      <c r="AJ645" s="890"/>
      <c r="AN645" s="223"/>
      <c r="AO645" s="952"/>
      <c r="AP645" s="1066"/>
      <c r="AQ645" s="972"/>
      <c r="AR645" s="1917"/>
      <c r="AS645" s="222"/>
      <c r="AZ645" s="889"/>
      <c r="BC645" s="890"/>
      <c r="BD645" s="952"/>
      <c r="BE645" s="75"/>
      <c r="BF645" s="572"/>
      <c r="BG645" s="983"/>
      <c r="BH645" s="222"/>
      <c r="BL645" s="889"/>
      <c r="BO645" s="223"/>
    </row>
    <row r="646" spans="1:67" s="74" customFormat="1">
      <c r="A646" s="15"/>
      <c r="B646" s="15"/>
      <c r="C646" s="15"/>
      <c r="D646" s="15"/>
      <c r="E646" s="6"/>
      <c r="F646" s="6"/>
      <c r="G646" s="6"/>
      <c r="K646" s="223"/>
      <c r="M646" s="889"/>
      <c r="P646" s="890"/>
      <c r="T646" s="889"/>
      <c r="X646" s="15"/>
      <c r="Y646" s="1935"/>
      <c r="Z646" s="1086"/>
      <c r="AA646" s="230"/>
      <c r="AB646" s="230"/>
      <c r="AC646" s="1936"/>
      <c r="AD646" s="230"/>
      <c r="AE646" s="230"/>
      <c r="AF646" s="230"/>
      <c r="AG646" s="890"/>
      <c r="AJ646" s="890"/>
      <c r="AN646" s="223"/>
      <c r="AO646" s="952"/>
      <c r="AP646" s="1066"/>
      <c r="AQ646" s="972"/>
      <c r="AR646" s="1917"/>
      <c r="AS646" s="222"/>
      <c r="AZ646" s="889"/>
      <c r="BC646" s="890"/>
      <c r="BD646" s="952"/>
      <c r="BE646" s="75"/>
      <c r="BF646" s="572"/>
      <c r="BG646" s="983"/>
      <c r="BH646" s="222"/>
      <c r="BL646" s="889"/>
      <c r="BO646" s="223"/>
    </row>
    <row r="647" spans="1:67" s="74" customFormat="1">
      <c r="A647" s="15"/>
      <c r="B647" s="15"/>
      <c r="C647" s="15"/>
      <c r="D647" s="15"/>
      <c r="E647" s="6"/>
      <c r="F647" s="6"/>
      <c r="G647" s="6"/>
      <c r="K647" s="223"/>
      <c r="M647" s="889"/>
      <c r="P647" s="890"/>
      <c r="T647" s="889"/>
      <c r="X647" s="15"/>
      <c r="Y647" s="1935"/>
      <c r="Z647" s="1086"/>
      <c r="AA647" s="230"/>
      <c r="AB647" s="230"/>
      <c r="AC647" s="1936"/>
      <c r="AD647" s="230"/>
      <c r="AE647" s="230"/>
      <c r="AF647" s="230"/>
      <c r="AG647" s="890"/>
      <c r="AJ647" s="890"/>
      <c r="AN647" s="223"/>
      <c r="AO647" s="952"/>
      <c r="AP647" s="1066"/>
      <c r="AQ647" s="972"/>
      <c r="AR647" s="1917"/>
      <c r="AS647" s="222"/>
      <c r="AZ647" s="889"/>
      <c r="BC647" s="890"/>
      <c r="BD647" s="952"/>
      <c r="BE647" s="75"/>
      <c r="BF647" s="572"/>
      <c r="BG647" s="983"/>
      <c r="BH647" s="222"/>
      <c r="BL647" s="889"/>
      <c r="BO647" s="223"/>
    </row>
    <row r="648" spans="1:67" s="74" customFormat="1">
      <c r="A648" s="15"/>
      <c r="B648" s="15"/>
      <c r="C648" s="15"/>
      <c r="D648" s="15"/>
      <c r="E648" s="6"/>
      <c r="F648" s="6"/>
      <c r="G648" s="6"/>
      <c r="K648" s="223"/>
      <c r="M648" s="889"/>
      <c r="P648" s="890"/>
      <c r="T648" s="889"/>
      <c r="X648" s="15"/>
      <c r="Y648" s="1935"/>
      <c r="Z648" s="1086"/>
      <c r="AA648" s="230"/>
      <c r="AB648" s="230"/>
      <c r="AC648" s="1936"/>
      <c r="AD648" s="230"/>
      <c r="AE648" s="230"/>
      <c r="AF648" s="230"/>
      <c r="AG648" s="890"/>
      <c r="AJ648" s="890"/>
      <c r="AN648" s="223"/>
      <c r="AO648" s="952"/>
      <c r="AP648" s="1066"/>
      <c r="AQ648" s="972"/>
      <c r="AR648" s="1917"/>
      <c r="AS648" s="222"/>
      <c r="AZ648" s="889"/>
      <c r="BC648" s="890"/>
      <c r="BD648" s="952"/>
      <c r="BE648" s="75"/>
      <c r="BF648" s="572"/>
      <c r="BG648" s="983"/>
      <c r="BH648" s="222"/>
      <c r="BL648" s="889"/>
      <c r="BO648" s="223"/>
    </row>
    <row r="649" spans="1:67" s="74" customFormat="1">
      <c r="A649" s="15"/>
      <c r="B649" s="15"/>
      <c r="C649" s="15"/>
      <c r="D649" s="15"/>
      <c r="E649" s="6"/>
      <c r="F649" s="6"/>
      <c r="G649" s="6"/>
      <c r="K649" s="223"/>
      <c r="M649" s="889"/>
      <c r="P649" s="890"/>
      <c r="T649" s="889"/>
      <c r="X649" s="15"/>
      <c r="Y649" s="1935"/>
      <c r="Z649" s="1086"/>
      <c r="AA649" s="230"/>
      <c r="AB649" s="230"/>
      <c r="AC649" s="1936"/>
      <c r="AD649" s="230"/>
      <c r="AE649" s="230"/>
      <c r="AF649" s="230"/>
      <c r="AG649" s="890"/>
      <c r="AJ649" s="890"/>
      <c r="AN649" s="223"/>
      <c r="AO649" s="952"/>
      <c r="AP649" s="1066"/>
      <c r="AQ649" s="972"/>
      <c r="AR649" s="1917"/>
      <c r="AS649" s="222"/>
      <c r="AZ649" s="889"/>
      <c r="BC649" s="890"/>
      <c r="BD649" s="952"/>
      <c r="BE649" s="75"/>
      <c r="BF649" s="572"/>
      <c r="BG649" s="983"/>
      <c r="BH649" s="222"/>
      <c r="BL649" s="889"/>
      <c r="BO649" s="223"/>
    </row>
    <row r="650" spans="1:67" s="74" customFormat="1">
      <c r="A650" s="15"/>
      <c r="B650" s="15"/>
      <c r="C650" s="15"/>
      <c r="D650" s="15"/>
      <c r="E650" s="6"/>
      <c r="F650" s="6"/>
      <c r="G650" s="6"/>
      <c r="K650" s="223"/>
      <c r="M650" s="889"/>
      <c r="P650" s="890"/>
      <c r="T650" s="889"/>
      <c r="X650" s="15"/>
      <c r="Y650" s="1935"/>
      <c r="Z650" s="1086"/>
      <c r="AA650" s="230"/>
      <c r="AB650" s="230"/>
      <c r="AC650" s="1936"/>
      <c r="AD650" s="230"/>
      <c r="AE650" s="230"/>
      <c r="AF650" s="230"/>
      <c r="AG650" s="890"/>
      <c r="AJ650" s="890"/>
      <c r="AN650" s="223"/>
      <c r="AO650" s="952"/>
      <c r="AP650" s="1066"/>
      <c r="AQ650" s="972"/>
      <c r="AR650" s="1917"/>
      <c r="AS650" s="222"/>
      <c r="AZ650" s="889"/>
      <c r="BC650" s="890"/>
      <c r="BD650" s="952"/>
      <c r="BE650" s="75"/>
      <c r="BF650" s="572"/>
      <c r="BG650" s="983"/>
      <c r="BH650" s="222"/>
      <c r="BL650" s="889"/>
      <c r="BO650" s="223"/>
    </row>
    <row r="651" spans="1:67" s="74" customFormat="1">
      <c r="A651" s="15"/>
      <c r="B651" s="15"/>
      <c r="C651" s="15"/>
      <c r="D651" s="15"/>
      <c r="E651" s="6"/>
      <c r="F651" s="6"/>
      <c r="G651" s="6"/>
      <c r="K651" s="223"/>
      <c r="M651" s="889"/>
      <c r="P651" s="890"/>
      <c r="T651" s="889"/>
      <c r="X651" s="15"/>
      <c r="Y651" s="1935"/>
      <c r="Z651" s="1086"/>
      <c r="AA651" s="230"/>
      <c r="AB651" s="230"/>
      <c r="AC651" s="1936"/>
      <c r="AD651" s="230"/>
      <c r="AE651" s="230"/>
      <c r="AF651" s="230"/>
      <c r="AG651" s="890"/>
      <c r="AJ651" s="890"/>
      <c r="AN651" s="223"/>
      <c r="AO651" s="952"/>
      <c r="AP651" s="1066"/>
      <c r="AQ651" s="972"/>
      <c r="AR651" s="1917"/>
      <c r="AS651" s="222"/>
      <c r="AZ651" s="889"/>
      <c r="BC651" s="890"/>
      <c r="BD651" s="952"/>
      <c r="BE651" s="75"/>
      <c r="BF651" s="572"/>
      <c r="BG651" s="983"/>
      <c r="BH651" s="222"/>
      <c r="BL651" s="889"/>
      <c r="BO651" s="223"/>
    </row>
    <row r="652" spans="1:67" s="74" customFormat="1">
      <c r="A652" s="15"/>
      <c r="B652" s="15"/>
      <c r="C652" s="15"/>
      <c r="D652" s="15"/>
      <c r="E652" s="6"/>
      <c r="F652" s="6"/>
      <c r="G652" s="6"/>
      <c r="K652" s="223"/>
      <c r="M652" s="889"/>
      <c r="P652" s="890"/>
      <c r="T652" s="889"/>
      <c r="X652" s="15"/>
      <c r="Y652" s="1935"/>
      <c r="Z652" s="1086"/>
      <c r="AA652" s="230"/>
      <c r="AB652" s="230"/>
      <c r="AC652" s="1936"/>
      <c r="AD652" s="230"/>
      <c r="AE652" s="230"/>
      <c r="AF652" s="230"/>
      <c r="AG652" s="890"/>
      <c r="AJ652" s="890"/>
      <c r="AN652" s="223"/>
      <c r="AO652" s="952"/>
      <c r="AP652" s="1066"/>
      <c r="AQ652" s="972"/>
      <c r="AR652" s="1917"/>
      <c r="AS652" s="222"/>
      <c r="AZ652" s="889"/>
      <c r="BC652" s="890"/>
      <c r="BD652" s="952"/>
      <c r="BE652" s="75"/>
      <c r="BF652" s="572"/>
      <c r="BG652" s="983"/>
      <c r="BH652" s="222"/>
      <c r="BL652" s="889"/>
      <c r="BO652" s="223"/>
    </row>
    <row r="653" spans="1:67" s="74" customFormat="1">
      <c r="A653" s="15"/>
      <c r="B653" s="15"/>
      <c r="C653" s="15"/>
      <c r="D653" s="15"/>
      <c r="E653" s="6"/>
      <c r="F653" s="6"/>
      <c r="G653" s="6"/>
      <c r="K653" s="223"/>
      <c r="M653" s="889"/>
      <c r="P653" s="890"/>
      <c r="T653" s="889"/>
      <c r="X653" s="15"/>
      <c r="Y653" s="1935"/>
      <c r="Z653" s="1086"/>
      <c r="AA653" s="230"/>
      <c r="AB653" s="230"/>
      <c r="AC653" s="1936"/>
      <c r="AD653" s="230"/>
      <c r="AE653" s="230"/>
      <c r="AF653" s="230"/>
      <c r="AG653" s="890"/>
      <c r="AJ653" s="890"/>
      <c r="AN653" s="223"/>
      <c r="AO653" s="952"/>
      <c r="AP653" s="1066"/>
      <c r="AQ653" s="972"/>
      <c r="AR653" s="1917"/>
      <c r="AS653" s="222"/>
      <c r="AZ653" s="889"/>
      <c r="BC653" s="890"/>
      <c r="BD653" s="952"/>
      <c r="BE653" s="75"/>
      <c r="BF653" s="572"/>
      <c r="BG653" s="983"/>
      <c r="BH653" s="222"/>
      <c r="BL653" s="889"/>
      <c r="BO653" s="223"/>
    </row>
    <row r="654" spans="1:67" s="74" customFormat="1">
      <c r="A654" s="15"/>
      <c r="B654" s="15"/>
      <c r="C654" s="15"/>
      <c r="D654" s="15"/>
      <c r="E654" s="6"/>
      <c r="F654" s="6"/>
      <c r="G654" s="6"/>
      <c r="K654" s="223"/>
      <c r="M654" s="889"/>
      <c r="P654" s="890"/>
      <c r="T654" s="889"/>
      <c r="X654" s="15"/>
      <c r="Y654" s="1935"/>
      <c r="Z654" s="1086"/>
      <c r="AA654" s="230"/>
      <c r="AB654" s="230"/>
      <c r="AC654" s="1936"/>
      <c r="AD654" s="230"/>
      <c r="AE654" s="230"/>
      <c r="AF654" s="230"/>
      <c r="AG654" s="890"/>
      <c r="AJ654" s="890"/>
      <c r="AN654" s="223"/>
      <c r="AO654" s="952"/>
      <c r="AP654" s="1066"/>
      <c r="AQ654" s="972"/>
      <c r="AR654" s="1917"/>
      <c r="AS654" s="222"/>
      <c r="AZ654" s="889"/>
      <c r="BC654" s="890"/>
      <c r="BD654" s="952"/>
      <c r="BE654" s="75"/>
      <c r="BF654" s="572"/>
      <c r="BG654" s="983"/>
      <c r="BH654" s="222"/>
      <c r="BL654" s="889"/>
      <c r="BO654" s="223"/>
    </row>
    <row r="655" spans="1:67" s="74" customFormat="1">
      <c r="A655" s="15"/>
      <c r="B655" s="15"/>
      <c r="C655" s="15"/>
      <c r="D655" s="15"/>
      <c r="E655" s="6"/>
      <c r="F655" s="6"/>
      <c r="G655" s="6"/>
      <c r="K655" s="223"/>
      <c r="M655" s="889"/>
      <c r="P655" s="890"/>
      <c r="T655" s="889"/>
      <c r="X655" s="15"/>
      <c r="Y655" s="1935"/>
      <c r="Z655" s="1086"/>
      <c r="AA655" s="230"/>
      <c r="AB655" s="230"/>
      <c r="AC655" s="1936"/>
      <c r="AD655" s="230"/>
      <c r="AE655" s="230"/>
      <c r="AF655" s="230"/>
      <c r="AG655" s="890"/>
      <c r="AJ655" s="890"/>
      <c r="AN655" s="223"/>
      <c r="AO655" s="952"/>
      <c r="AP655" s="1066"/>
      <c r="AQ655" s="972"/>
      <c r="AR655" s="1917"/>
      <c r="AS655" s="222"/>
      <c r="AZ655" s="889"/>
      <c r="BC655" s="890"/>
      <c r="BD655" s="952"/>
      <c r="BE655" s="75"/>
      <c r="BF655" s="572"/>
      <c r="BG655" s="983"/>
      <c r="BH655" s="222"/>
      <c r="BL655" s="889"/>
      <c r="BO655" s="223"/>
    </row>
    <row r="656" spans="1:67" s="74" customFormat="1">
      <c r="A656" s="15"/>
      <c r="B656" s="15"/>
      <c r="C656" s="15"/>
      <c r="D656" s="15"/>
      <c r="E656" s="6"/>
      <c r="F656" s="6"/>
      <c r="G656" s="6"/>
      <c r="K656" s="223"/>
      <c r="M656" s="889"/>
      <c r="P656" s="890"/>
      <c r="T656" s="889"/>
      <c r="X656" s="15"/>
      <c r="Y656" s="1935"/>
      <c r="Z656" s="1086"/>
      <c r="AA656" s="230"/>
      <c r="AB656" s="230"/>
      <c r="AC656" s="1936"/>
      <c r="AD656" s="230"/>
      <c r="AE656" s="230"/>
      <c r="AF656" s="230"/>
      <c r="AG656" s="890"/>
      <c r="AJ656" s="890"/>
      <c r="AN656" s="223"/>
      <c r="AO656" s="952"/>
      <c r="AP656" s="1066"/>
      <c r="AQ656" s="972"/>
      <c r="AR656" s="1917"/>
      <c r="AS656" s="222"/>
      <c r="AZ656" s="889"/>
      <c r="BC656" s="890"/>
      <c r="BD656" s="952"/>
      <c r="BE656" s="75"/>
      <c r="BF656" s="572"/>
      <c r="BG656" s="983"/>
      <c r="BH656" s="222"/>
      <c r="BL656" s="889"/>
      <c r="BO656" s="223"/>
    </row>
    <row r="657" spans="1:67" s="74" customFormat="1">
      <c r="A657" s="15"/>
      <c r="B657" s="15"/>
      <c r="C657" s="15"/>
      <c r="D657" s="15"/>
      <c r="E657" s="6"/>
      <c r="F657" s="6"/>
      <c r="G657" s="6"/>
      <c r="K657" s="223"/>
      <c r="M657" s="889"/>
      <c r="P657" s="890"/>
      <c r="T657" s="889"/>
      <c r="X657" s="15"/>
      <c r="Y657" s="1935"/>
      <c r="Z657" s="1086"/>
      <c r="AA657" s="230"/>
      <c r="AB657" s="230"/>
      <c r="AC657" s="1936"/>
      <c r="AD657" s="230"/>
      <c r="AE657" s="230"/>
      <c r="AF657" s="230"/>
      <c r="AG657" s="890"/>
      <c r="AJ657" s="890"/>
      <c r="AN657" s="223"/>
      <c r="AO657" s="952"/>
      <c r="AP657" s="1066"/>
      <c r="AQ657" s="972"/>
      <c r="AR657" s="1917"/>
      <c r="AS657" s="222"/>
      <c r="AZ657" s="889"/>
      <c r="BC657" s="890"/>
      <c r="BD657" s="952"/>
      <c r="BE657" s="75"/>
      <c r="BF657" s="572"/>
      <c r="BG657" s="983"/>
      <c r="BH657" s="222"/>
      <c r="BL657" s="889"/>
      <c r="BO657" s="223"/>
    </row>
    <row r="658" spans="1:67" s="74" customFormat="1">
      <c r="A658" s="15"/>
      <c r="B658" s="15"/>
      <c r="C658" s="15"/>
      <c r="D658" s="15"/>
      <c r="E658" s="6"/>
      <c r="F658" s="6"/>
      <c r="G658" s="6"/>
      <c r="K658" s="223"/>
      <c r="M658" s="889"/>
      <c r="P658" s="890"/>
      <c r="T658" s="889"/>
      <c r="X658" s="15"/>
      <c r="Y658" s="1935"/>
      <c r="Z658" s="1086"/>
      <c r="AA658" s="230"/>
      <c r="AB658" s="230"/>
      <c r="AC658" s="1936"/>
      <c r="AD658" s="230"/>
      <c r="AE658" s="230"/>
      <c r="AF658" s="230"/>
      <c r="AG658" s="890"/>
      <c r="AJ658" s="890"/>
      <c r="AN658" s="223"/>
      <c r="AO658" s="952"/>
      <c r="AP658" s="1066"/>
      <c r="AQ658" s="972"/>
      <c r="AR658" s="1917"/>
      <c r="AS658" s="222"/>
      <c r="AZ658" s="889"/>
      <c r="BC658" s="890"/>
      <c r="BD658" s="952"/>
      <c r="BE658" s="75"/>
      <c r="BF658" s="572"/>
      <c r="BG658" s="983"/>
      <c r="BH658" s="222"/>
      <c r="BL658" s="889"/>
      <c r="BO658" s="223"/>
    </row>
    <row r="659" spans="1:67" s="74" customFormat="1">
      <c r="A659" s="15"/>
      <c r="B659" s="15"/>
      <c r="C659" s="15"/>
      <c r="D659" s="15"/>
      <c r="E659" s="6"/>
      <c r="F659" s="6"/>
      <c r="G659" s="6"/>
      <c r="K659" s="223"/>
      <c r="M659" s="889"/>
      <c r="P659" s="890"/>
      <c r="T659" s="889"/>
      <c r="X659" s="15"/>
      <c r="Y659" s="1935"/>
      <c r="Z659" s="1086"/>
      <c r="AA659" s="230"/>
      <c r="AB659" s="230"/>
      <c r="AC659" s="1936"/>
      <c r="AD659" s="230"/>
      <c r="AE659" s="230"/>
      <c r="AF659" s="230"/>
      <c r="AG659" s="890"/>
      <c r="AJ659" s="890"/>
      <c r="AN659" s="223"/>
      <c r="AO659" s="952"/>
      <c r="AP659" s="1066"/>
      <c r="AQ659" s="972"/>
      <c r="AR659" s="1917"/>
      <c r="AS659" s="222"/>
      <c r="AZ659" s="889"/>
      <c r="BC659" s="890"/>
      <c r="BD659" s="952"/>
      <c r="BE659" s="75"/>
      <c r="BF659" s="572"/>
      <c r="BG659" s="983"/>
      <c r="BH659" s="222"/>
      <c r="BL659" s="889"/>
      <c r="BO659" s="223"/>
    </row>
    <row r="660" spans="1:67" s="74" customFormat="1">
      <c r="A660" s="15"/>
      <c r="B660" s="15"/>
      <c r="C660" s="15"/>
      <c r="D660" s="15"/>
      <c r="E660" s="6"/>
      <c r="F660" s="6"/>
      <c r="G660" s="6"/>
      <c r="K660" s="223"/>
      <c r="M660" s="889"/>
      <c r="P660" s="890"/>
      <c r="T660" s="889"/>
      <c r="X660" s="15"/>
      <c r="Y660" s="1935"/>
      <c r="Z660" s="1086"/>
      <c r="AA660" s="230"/>
      <c r="AB660" s="230"/>
      <c r="AC660" s="1936"/>
      <c r="AD660" s="230"/>
      <c r="AE660" s="230"/>
      <c r="AF660" s="230"/>
      <c r="AG660" s="890"/>
      <c r="AJ660" s="890"/>
      <c r="AN660" s="223"/>
      <c r="AO660" s="952"/>
      <c r="AP660" s="1066"/>
      <c r="AQ660" s="972"/>
      <c r="AR660" s="1917"/>
      <c r="AS660" s="222"/>
      <c r="AZ660" s="889"/>
      <c r="BC660" s="890"/>
      <c r="BD660" s="952"/>
      <c r="BE660" s="75"/>
      <c r="BF660" s="572"/>
      <c r="BG660" s="983"/>
      <c r="BH660" s="222"/>
      <c r="BL660" s="889"/>
      <c r="BO660" s="223"/>
    </row>
    <row r="661" spans="1:67" s="74" customFormat="1">
      <c r="A661" s="15"/>
      <c r="B661" s="15"/>
      <c r="C661" s="15"/>
      <c r="D661" s="15"/>
      <c r="E661" s="6"/>
      <c r="F661" s="6"/>
      <c r="G661" s="6"/>
      <c r="K661" s="223"/>
      <c r="M661" s="889"/>
      <c r="P661" s="890"/>
      <c r="T661" s="889"/>
      <c r="X661" s="15"/>
      <c r="Y661" s="1935"/>
      <c r="Z661" s="1086"/>
      <c r="AA661" s="230"/>
      <c r="AB661" s="230"/>
      <c r="AC661" s="1936"/>
      <c r="AD661" s="230"/>
      <c r="AE661" s="230"/>
      <c r="AF661" s="230"/>
      <c r="AG661" s="890"/>
      <c r="AJ661" s="890"/>
      <c r="AN661" s="223"/>
      <c r="AO661" s="952"/>
      <c r="AP661" s="1066"/>
      <c r="AQ661" s="972"/>
      <c r="AR661" s="1917"/>
      <c r="AS661" s="222"/>
      <c r="AZ661" s="889"/>
      <c r="BC661" s="890"/>
      <c r="BD661" s="952"/>
      <c r="BE661" s="75"/>
      <c r="BF661" s="572"/>
      <c r="BG661" s="983"/>
      <c r="BH661" s="222"/>
      <c r="BL661" s="889"/>
      <c r="BO661" s="223"/>
    </row>
    <row r="662" spans="1:67" s="74" customFormat="1">
      <c r="A662" s="15"/>
      <c r="B662" s="15"/>
      <c r="C662" s="15"/>
      <c r="D662" s="15"/>
      <c r="E662" s="6"/>
      <c r="F662" s="6"/>
      <c r="G662" s="6"/>
      <c r="K662" s="223"/>
      <c r="M662" s="889"/>
      <c r="P662" s="890"/>
      <c r="T662" s="889"/>
      <c r="X662" s="15"/>
      <c r="Y662" s="1935"/>
      <c r="Z662" s="1086"/>
      <c r="AA662" s="230"/>
      <c r="AB662" s="230"/>
      <c r="AC662" s="1936"/>
      <c r="AD662" s="230"/>
      <c r="AE662" s="230"/>
      <c r="AF662" s="230"/>
      <c r="AG662" s="890"/>
      <c r="AJ662" s="890"/>
      <c r="AN662" s="223"/>
      <c r="AO662" s="952"/>
      <c r="AP662" s="1066"/>
      <c r="AQ662" s="972"/>
      <c r="AR662" s="1917"/>
      <c r="AS662" s="222"/>
      <c r="AZ662" s="889"/>
      <c r="BC662" s="890"/>
      <c r="BD662" s="952"/>
      <c r="BE662" s="75"/>
      <c r="BF662" s="572"/>
      <c r="BG662" s="983"/>
      <c r="BH662" s="222"/>
      <c r="BL662" s="889"/>
      <c r="BO662" s="223"/>
    </row>
    <row r="663" spans="1:67" s="74" customFormat="1">
      <c r="A663" s="15"/>
      <c r="B663" s="15"/>
      <c r="C663" s="15"/>
      <c r="D663" s="15"/>
      <c r="E663" s="6"/>
      <c r="F663" s="6"/>
      <c r="G663" s="6"/>
      <c r="K663" s="223"/>
      <c r="M663" s="889"/>
      <c r="P663" s="890"/>
      <c r="T663" s="889"/>
      <c r="X663" s="15"/>
      <c r="Y663" s="1935"/>
      <c r="Z663" s="1086"/>
      <c r="AA663" s="230"/>
      <c r="AB663" s="230"/>
      <c r="AC663" s="1936"/>
      <c r="AD663" s="230"/>
      <c r="AE663" s="230"/>
      <c r="AF663" s="230"/>
      <c r="AG663" s="890"/>
      <c r="AJ663" s="890"/>
      <c r="AN663" s="223"/>
      <c r="AO663" s="952"/>
      <c r="AP663" s="1066"/>
      <c r="AQ663" s="972"/>
      <c r="AR663" s="1917"/>
      <c r="AS663" s="222"/>
      <c r="AZ663" s="889"/>
      <c r="BC663" s="890"/>
      <c r="BD663" s="952"/>
      <c r="BE663" s="75"/>
      <c r="BF663" s="572"/>
      <c r="BG663" s="983"/>
      <c r="BH663" s="222"/>
      <c r="BL663" s="889"/>
      <c r="BO663" s="223"/>
    </row>
    <row r="664" spans="1:67" s="74" customFormat="1">
      <c r="A664" s="15"/>
      <c r="B664" s="15"/>
      <c r="C664" s="15"/>
      <c r="D664" s="15"/>
      <c r="E664" s="6"/>
      <c r="F664" s="6"/>
      <c r="G664" s="6"/>
      <c r="K664" s="223"/>
      <c r="M664" s="889"/>
      <c r="P664" s="890"/>
      <c r="T664" s="889"/>
      <c r="X664" s="15"/>
      <c r="Y664" s="1935"/>
      <c r="Z664" s="1086"/>
      <c r="AA664" s="230"/>
      <c r="AB664" s="230"/>
      <c r="AC664" s="1936"/>
      <c r="AD664" s="230"/>
      <c r="AE664" s="230"/>
      <c r="AF664" s="230"/>
      <c r="AG664" s="890"/>
      <c r="AJ664" s="890"/>
      <c r="AN664" s="223"/>
      <c r="AO664" s="952"/>
      <c r="AP664" s="1066"/>
      <c r="AQ664" s="972"/>
      <c r="AR664" s="1917"/>
      <c r="AS664" s="222"/>
      <c r="AZ664" s="889"/>
      <c r="BC664" s="890"/>
      <c r="BD664" s="952"/>
      <c r="BE664" s="75"/>
      <c r="BF664" s="572"/>
      <c r="BG664" s="983"/>
      <c r="BH664" s="222"/>
      <c r="BL664" s="889"/>
      <c r="BO664" s="223"/>
    </row>
    <row r="665" spans="1:67" s="74" customFormat="1">
      <c r="A665" s="15"/>
      <c r="B665" s="15"/>
      <c r="C665" s="15"/>
      <c r="D665" s="15"/>
      <c r="E665" s="6"/>
      <c r="F665" s="6"/>
      <c r="G665" s="6"/>
      <c r="K665" s="223"/>
      <c r="M665" s="889"/>
      <c r="P665" s="890"/>
      <c r="T665" s="889"/>
      <c r="X665" s="15"/>
      <c r="Y665" s="1935"/>
      <c r="Z665" s="1086"/>
      <c r="AA665" s="230"/>
      <c r="AB665" s="230"/>
      <c r="AC665" s="1936"/>
      <c r="AD665" s="230"/>
      <c r="AE665" s="230"/>
      <c r="AF665" s="230"/>
      <c r="AG665" s="890"/>
      <c r="AJ665" s="890"/>
      <c r="AN665" s="223"/>
      <c r="AO665" s="952"/>
      <c r="AP665" s="1066"/>
      <c r="AQ665" s="972"/>
      <c r="AR665" s="1917"/>
      <c r="AS665" s="222"/>
      <c r="AZ665" s="889"/>
      <c r="BC665" s="890"/>
      <c r="BD665" s="952"/>
      <c r="BE665" s="75"/>
      <c r="BF665" s="572"/>
      <c r="BG665" s="983"/>
      <c r="BH665" s="222"/>
      <c r="BL665" s="889"/>
      <c r="BO665" s="223"/>
    </row>
    <row r="666" spans="1:67" s="74" customFormat="1">
      <c r="A666" s="15"/>
      <c r="B666" s="15"/>
      <c r="C666" s="15"/>
      <c r="D666" s="15"/>
      <c r="E666" s="6"/>
      <c r="F666" s="6"/>
      <c r="G666" s="6"/>
      <c r="K666" s="223"/>
      <c r="M666" s="889"/>
      <c r="P666" s="890"/>
      <c r="T666" s="889"/>
      <c r="X666" s="15"/>
      <c r="Y666" s="1935"/>
      <c r="Z666" s="1086"/>
      <c r="AA666" s="230"/>
      <c r="AB666" s="230"/>
      <c r="AC666" s="1936"/>
      <c r="AD666" s="230"/>
      <c r="AE666" s="230"/>
      <c r="AF666" s="230"/>
      <c r="AG666" s="890"/>
      <c r="AJ666" s="890"/>
      <c r="AN666" s="223"/>
      <c r="AO666" s="952"/>
      <c r="AP666" s="1066"/>
      <c r="AQ666" s="972"/>
      <c r="AR666" s="1917"/>
      <c r="AS666" s="222"/>
      <c r="AZ666" s="889"/>
      <c r="BC666" s="890"/>
      <c r="BD666" s="952"/>
      <c r="BE666" s="75"/>
      <c r="BF666" s="572"/>
      <c r="BG666" s="983"/>
      <c r="BH666" s="222"/>
      <c r="BL666" s="889"/>
      <c r="BO666" s="223"/>
    </row>
    <row r="667" spans="1:67" s="74" customFormat="1">
      <c r="A667" s="15"/>
      <c r="B667" s="15"/>
      <c r="C667" s="15"/>
      <c r="D667" s="15"/>
      <c r="E667" s="6"/>
      <c r="F667" s="6"/>
      <c r="G667" s="6"/>
      <c r="K667" s="223"/>
      <c r="M667" s="889"/>
      <c r="P667" s="890"/>
      <c r="T667" s="889"/>
      <c r="X667" s="15"/>
      <c r="Y667" s="1935"/>
      <c r="Z667" s="1086"/>
      <c r="AA667" s="230"/>
      <c r="AB667" s="230"/>
      <c r="AC667" s="1936"/>
      <c r="AD667" s="230"/>
      <c r="AE667" s="230"/>
      <c r="AF667" s="230"/>
      <c r="AG667" s="890"/>
      <c r="AJ667" s="890"/>
      <c r="AN667" s="223"/>
      <c r="AO667" s="952"/>
      <c r="AP667" s="1066"/>
      <c r="AQ667" s="972"/>
      <c r="AR667" s="1917"/>
      <c r="AS667" s="222"/>
      <c r="AZ667" s="889"/>
      <c r="BC667" s="890"/>
      <c r="BD667" s="952"/>
      <c r="BE667" s="75"/>
      <c r="BF667" s="572"/>
      <c r="BG667" s="983"/>
      <c r="BH667" s="222"/>
      <c r="BL667" s="889"/>
      <c r="BO667" s="223"/>
    </row>
    <row r="668" spans="1:67" s="74" customFormat="1">
      <c r="A668" s="15"/>
      <c r="B668" s="15"/>
      <c r="C668" s="15"/>
      <c r="D668" s="15"/>
      <c r="E668" s="6"/>
      <c r="F668" s="6"/>
      <c r="G668" s="6"/>
      <c r="K668" s="223"/>
      <c r="M668" s="889"/>
      <c r="P668" s="890"/>
      <c r="T668" s="889"/>
      <c r="X668" s="15"/>
      <c r="Y668" s="1935"/>
      <c r="Z668" s="1086"/>
      <c r="AA668" s="230"/>
      <c r="AB668" s="230"/>
      <c r="AC668" s="1936"/>
      <c r="AD668" s="230"/>
      <c r="AE668" s="230"/>
      <c r="AF668" s="230"/>
      <c r="AG668" s="890"/>
      <c r="AJ668" s="890"/>
      <c r="AN668" s="223"/>
      <c r="AO668" s="952"/>
      <c r="AP668" s="1066"/>
      <c r="AQ668" s="972"/>
      <c r="AR668" s="1917"/>
      <c r="AS668" s="222"/>
      <c r="AZ668" s="889"/>
      <c r="BC668" s="890"/>
      <c r="BD668" s="952"/>
      <c r="BE668" s="75"/>
      <c r="BF668" s="572"/>
      <c r="BG668" s="983"/>
      <c r="BH668" s="222"/>
      <c r="BL668" s="889"/>
      <c r="BO668" s="223"/>
    </row>
    <row r="669" spans="1:67" s="74" customFormat="1">
      <c r="A669" s="15"/>
      <c r="B669" s="15"/>
      <c r="C669" s="15"/>
      <c r="D669" s="15"/>
      <c r="E669" s="6"/>
      <c r="F669" s="6"/>
      <c r="G669" s="6"/>
      <c r="K669" s="223"/>
      <c r="M669" s="889"/>
      <c r="P669" s="890"/>
      <c r="T669" s="889"/>
      <c r="X669" s="15"/>
      <c r="Y669" s="1935"/>
      <c r="Z669" s="1086"/>
      <c r="AA669" s="230"/>
      <c r="AB669" s="230"/>
      <c r="AC669" s="1936"/>
      <c r="AD669" s="230"/>
      <c r="AE669" s="230"/>
      <c r="AF669" s="230"/>
      <c r="AG669" s="890"/>
      <c r="AJ669" s="890"/>
      <c r="AN669" s="223"/>
      <c r="AO669" s="952"/>
      <c r="AP669" s="1066"/>
      <c r="AQ669" s="972"/>
      <c r="AR669" s="1917"/>
      <c r="AS669" s="222"/>
      <c r="AZ669" s="889"/>
      <c r="BC669" s="890"/>
      <c r="BD669" s="952"/>
      <c r="BE669" s="75"/>
      <c r="BF669" s="572"/>
      <c r="BG669" s="983"/>
      <c r="BH669" s="222"/>
      <c r="BL669" s="889"/>
      <c r="BO669" s="223"/>
    </row>
    <row r="670" spans="1:67" s="74" customFormat="1">
      <c r="A670" s="15"/>
      <c r="B670" s="15"/>
      <c r="C670" s="15"/>
      <c r="D670" s="15"/>
      <c r="E670" s="6"/>
      <c r="F670" s="6"/>
      <c r="G670" s="6"/>
      <c r="K670" s="223"/>
      <c r="M670" s="889"/>
      <c r="P670" s="890"/>
      <c r="T670" s="889"/>
      <c r="X670" s="15"/>
      <c r="Y670" s="1935"/>
      <c r="Z670" s="1086"/>
      <c r="AA670" s="230"/>
      <c r="AB670" s="230"/>
      <c r="AC670" s="1936"/>
      <c r="AD670" s="230"/>
      <c r="AE670" s="230"/>
      <c r="AF670" s="230"/>
      <c r="AG670" s="890"/>
      <c r="AJ670" s="890"/>
      <c r="AN670" s="223"/>
      <c r="AO670" s="952"/>
      <c r="AP670" s="1066"/>
      <c r="AQ670" s="972"/>
      <c r="AR670" s="1917"/>
      <c r="AS670" s="222"/>
      <c r="AZ670" s="889"/>
      <c r="BC670" s="890"/>
      <c r="BD670" s="952"/>
      <c r="BE670" s="75"/>
      <c r="BF670" s="572"/>
      <c r="BG670" s="983"/>
      <c r="BH670" s="222"/>
      <c r="BL670" s="889"/>
      <c r="BO670" s="223"/>
    </row>
    <row r="671" spans="1:67" s="74" customFormat="1">
      <c r="A671" s="15"/>
      <c r="B671" s="15"/>
      <c r="C671" s="15"/>
      <c r="D671" s="15"/>
      <c r="E671" s="6"/>
      <c r="F671" s="6"/>
      <c r="G671" s="6"/>
      <c r="K671" s="223"/>
      <c r="M671" s="889"/>
      <c r="P671" s="890"/>
      <c r="T671" s="889"/>
      <c r="X671" s="15"/>
      <c r="Y671" s="1935"/>
      <c r="Z671" s="1086"/>
      <c r="AA671" s="230"/>
      <c r="AB671" s="230"/>
      <c r="AC671" s="1936"/>
      <c r="AD671" s="230"/>
      <c r="AE671" s="230"/>
      <c r="AF671" s="230"/>
      <c r="AG671" s="890"/>
      <c r="AJ671" s="890"/>
      <c r="AN671" s="223"/>
      <c r="AO671" s="952"/>
      <c r="AP671" s="1066"/>
      <c r="AQ671" s="972"/>
      <c r="AR671" s="1917"/>
      <c r="AS671" s="222"/>
      <c r="AZ671" s="889"/>
      <c r="BC671" s="890"/>
      <c r="BD671" s="952"/>
      <c r="BE671" s="75"/>
      <c r="BF671" s="572"/>
      <c r="BG671" s="983"/>
      <c r="BH671" s="222"/>
      <c r="BL671" s="889"/>
      <c r="BO671" s="223"/>
    </row>
    <row r="672" spans="1:67" s="74" customFormat="1">
      <c r="A672" s="15"/>
      <c r="B672" s="15"/>
      <c r="C672" s="15"/>
      <c r="D672" s="15"/>
      <c r="E672" s="6"/>
      <c r="F672" s="6"/>
      <c r="G672" s="6"/>
      <c r="K672" s="223"/>
      <c r="M672" s="889"/>
      <c r="P672" s="890"/>
      <c r="T672" s="889"/>
      <c r="X672" s="15"/>
      <c r="Y672" s="1935"/>
      <c r="Z672" s="1086"/>
      <c r="AA672" s="230"/>
      <c r="AB672" s="230"/>
      <c r="AC672" s="1936"/>
      <c r="AD672" s="230"/>
      <c r="AE672" s="230"/>
      <c r="AF672" s="230"/>
      <c r="AG672" s="890"/>
      <c r="AJ672" s="890"/>
      <c r="AN672" s="223"/>
      <c r="AO672" s="952"/>
      <c r="AP672" s="1066"/>
      <c r="AQ672" s="972"/>
      <c r="AR672" s="1917"/>
      <c r="AS672" s="222"/>
      <c r="AZ672" s="889"/>
      <c r="BC672" s="890"/>
      <c r="BD672" s="952"/>
      <c r="BE672" s="75"/>
      <c r="BF672" s="572"/>
      <c r="BG672" s="983"/>
      <c r="BH672" s="222"/>
      <c r="BL672" s="889"/>
      <c r="BO672" s="223"/>
    </row>
    <row r="673" spans="1:67" s="74" customFormat="1">
      <c r="A673" s="15"/>
      <c r="B673" s="15"/>
      <c r="C673" s="15"/>
      <c r="D673" s="15"/>
      <c r="E673" s="6"/>
      <c r="F673" s="6"/>
      <c r="G673" s="6"/>
      <c r="K673" s="223"/>
      <c r="M673" s="889"/>
      <c r="P673" s="890"/>
      <c r="T673" s="889"/>
      <c r="X673" s="15"/>
      <c r="Y673" s="1935"/>
      <c r="Z673" s="1086"/>
      <c r="AA673" s="230"/>
      <c r="AB673" s="230"/>
      <c r="AC673" s="1936"/>
      <c r="AD673" s="230"/>
      <c r="AE673" s="230"/>
      <c r="AF673" s="230"/>
      <c r="AG673" s="890"/>
      <c r="AJ673" s="890"/>
      <c r="AN673" s="223"/>
      <c r="AO673" s="952"/>
      <c r="AP673" s="1066"/>
      <c r="AQ673" s="972"/>
      <c r="AR673" s="1917"/>
      <c r="AS673" s="222"/>
      <c r="AZ673" s="889"/>
      <c r="BC673" s="890"/>
      <c r="BD673" s="952"/>
      <c r="BE673" s="75"/>
      <c r="BF673" s="572"/>
      <c r="BG673" s="983"/>
      <c r="BH673" s="222"/>
      <c r="BL673" s="889"/>
      <c r="BO673" s="223"/>
    </row>
    <row r="674" spans="1:67" s="74" customFormat="1">
      <c r="A674" s="15"/>
      <c r="B674" s="15"/>
      <c r="C674" s="15"/>
      <c r="D674" s="15"/>
      <c r="E674" s="6"/>
      <c r="F674" s="6"/>
      <c r="G674" s="6"/>
      <c r="K674" s="223"/>
      <c r="M674" s="889"/>
      <c r="P674" s="890"/>
      <c r="T674" s="889"/>
      <c r="X674" s="15"/>
      <c r="Y674" s="1935"/>
      <c r="Z674" s="1086"/>
      <c r="AA674" s="230"/>
      <c r="AB674" s="230"/>
      <c r="AC674" s="1936"/>
      <c r="AD674" s="230"/>
      <c r="AE674" s="230"/>
      <c r="AF674" s="230"/>
      <c r="AG674" s="890"/>
      <c r="AJ674" s="890"/>
      <c r="AN674" s="223"/>
      <c r="AO674" s="952"/>
      <c r="AP674" s="1066"/>
      <c r="AQ674" s="972"/>
      <c r="AR674" s="1917"/>
      <c r="AS674" s="222"/>
      <c r="AZ674" s="889"/>
      <c r="BC674" s="890"/>
      <c r="BD674" s="952"/>
      <c r="BE674" s="75"/>
      <c r="BF674" s="572"/>
      <c r="BG674" s="983"/>
      <c r="BH674" s="222"/>
      <c r="BL674" s="889"/>
      <c r="BO674" s="223"/>
    </row>
    <row r="675" spans="1:67" s="74" customFormat="1">
      <c r="A675" s="15"/>
      <c r="B675" s="15"/>
      <c r="C675" s="15"/>
      <c r="D675" s="15"/>
      <c r="E675" s="6"/>
      <c r="F675" s="6"/>
      <c r="G675" s="6"/>
      <c r="K675" s="223"/>
      <c r="M675" s="889"/>
      <c r="P675" s="890"/>
      <c r="T675" s="889"/>
      <c r="X675" s="15"/>
      <c r="Y675" s="1935"/>
      <c r="Z675" s="1086"/>
      <c r="AA675" s="230"/>
      <c r="AB675" s="230"/>
      <c r="AC675" s="1936"/>
      <c r="AD675" s="230"/>
      <c r="AE675" s="230"/>
      <c r="AF675" s="230"/>
      <c r="AG675" s="890"/>
      <c r="AJ675" s="890"/>
      <c r="AN675" s="223"/>
      <c r="AO675" s="952"/>
      <c r="AP675" s="1066"/>
      <c r="AQ675" s="972"/>
      <c r="AR675" s="1917"/>
      <c r="AS675" s="222"/>
      <c r="AZ675" s="889"/>
      <c r="BC675" s="890"/>
      <c r="BD675" s="952"/>
      <c r="BE675" s="75"/>
      <c r="BF675" s="572"/>
      <c r="BG675" s="983"/>
      <c r="BH675" s="222"/>
      <c r="BL675" s="889"/>
      <c r="BO675" s="223"/>
    </row>
    <row r="676" spans="1:67" s="74" customFormat="1">
      <c r="A676" s="15"/>
      <c r="B676" s="15"/>
      <c r="C676" s="15"/>
      <c r="D676" s="15"/>
      <c r="E676" s="6"/>
      <c r="F676" s="6"/>
      <c r="G676" s="6"/>
      <c r="K676" s="223"/>
      <c r="M676" s="889"/>
      <c r="P676" s="890"/>
      <c r="T676" s="889"/>
      <c r="X676" s="15"/>
      <c r="Y676" s="1935"/>
      <c r="Z676" s="1086"/>
      <c r="AA676" s="230"/>
      <c r="AB676" s="230"/>
      <c r="AC676" s="1936"/>
      <c r="AD676" s="230"/>
      <c r="AE676" s="230"/>
      <c r="AF676" s="230"/>
      <c r="AG676" s="890"/>
      <c r="AJ676" s="890"/>
      <c r="AN676" s="223"/>
      <c r="AO676" s="952"/>
      <c r="AP676" s="1066"/>
      <c r="AQ676" s="972"/>
      <c r="AR676" s="1917"/>
      <c r="AS676" s="222"/>
      <c r="AZ676" s="889"/>
      <c r="BC676" s="890"/>
      <c r="BD676" s="952"/>
      <c r="BE676" s="75"/>
      <c r="BF676" s="572"/>
      <c r="BG676" s="983"/>
      <c r="BH676" s="222"/>
      <c r="BL676" s="889"/>
      <c r="BO676" s="223"/>
    </row>
    <row r="677" spans="1:67" s="74" customFormat="1">
      <c r="A677" s="15"/>
      <c r="B677" s="15"/>
      <c r="C677" s="15"/>
      <c r="D677" s="15"/>
      <c r="E677" s="6"/>
      <c r="F677" s="6"/>
      <c r="G677" s="6"/>
      <c r="K677" s="223"/>
      <c r="M677" s="889"/>
      <c r="P677" s="890"/>
      <c r="T677" s="889"/>
      <c r="X677" s="15"/>
      <c r="Y677" s="1935"/>
      <c r="Z677" s="1086"/>
      <c r="AA677" s="230"/>
      <c r="AB677" s="230"/>
      <c r="AC677" s="1936"/>
      <c r="AD677" s="230"/>
      <c r="AE677" s="230"/>
      <c r="AF677" s="230"/>
      <c r="AG677" s="890"/>
      <c r="AJ677" s="890"/>
      <c r="AN677" s="223"/>
      <c r="AO677" s="952"/>
      <c r="AP677" s="1066"/>
      <c r="AQ677" s="972"/>
      <c r="AR677" s="1917"/>
      <c r="AS677" s="222"/>
      <c r="AZ677" s="889"/>
      <c r="BC677" s="890"/>
      <c r="BD677" s="952"/>
      <c r="BE677" s="75"/>
      <c r="BF677" s="572"/>
      <c r="BG677" s="983"/>
      <c r="BH677" s="222"/>
      <c r="BL677" s="889"/>
      <c r="BO677" s="223"/>
    </row>
    <row r="678" spans="1:67" s="74" customFormat="1">
      <c r="A678" s="15"/>
      <c r="B678" s="15"/>
      <c r="C678" s="15"/>
      <c r="D678" s="15"/>
      <c r="E678" s="6"/>
      <c r="F678" s="6"/>
      <c r="G678" s="6"/>
      <c r="K678" s="223"/>
      <c r="M678" s="889"/>
      <c r="P678" s="890"/>
      <c r="T678" s="889"/>
      <c r="X678" s="15"/>
      <c r="Y678" s="1935"/>
      <c r="Z678" s="1086"/>
      <c r="AA678" s="230"/>
      <c r="AB678" s="230"/>
      <c r="AC678" s="1936"/>
      <c r="AD678" s="230"/>
      <c r="AE678" s="230"/>
      <c r="AF678" s="230"/>
      <c r="AG678" s="890"/>
      <c r="AJ678" s="890"/>
      <c r="AN678" s="223"/>
      <c r="AO678" s="952"/>
      <c r="AP678" s="1066"/>
      <c r="AQ678" s="972"/>
      <c r="AR678" s="1917"/>
      <c r="AS678" s="222"/>
      <c r="AZ678" s="889"/>
      <c r="BC678" s="890"/>
      <c r="BD678" s="952"/>
      <c r="BE678" s="75"/>
      <c r="BF678" s="572"/>
      <c r="BG678" s="983"/>
      <c r="BH678" s="222"/>
      <c r="BL678" s="889"/>
      <c r="BO678" s="223"/>
    </row>
    <row r="679" spans="1:67" s="74" customFormat="1">
      <c r="A679" s="15"/>
      <c r="B679" s="15"/>
      <c r="C679" s="15"/>
      <c r="D679" s="15"/>
      <c r="E679" s="6"/>
      <c r="F679" s="6"/>
      <c r="G679" s="6"/>
      <c r="K679" s="223"/>
      <c r="M679" s="889"/>
      <c r="P679" s="890"/>
      <c r="T679" s="889"/>
      <c r="X679" s="15"/>
      <c r="Y679" s="1935"/>
      <c r="Z679" s="1086"/>
      <c r="AA679" s="230"/>
      <c r="AB679" s="230"/>
      <c r="AC679" s="1936"/>
      <c r="AD679" s="230"/>
      <c r="AE679" s="230"/>
      <c r="AF679" s="230"/>
      <c r="AG679" s="890"/>
      <c r="AJ679" s="890"/>
      <c r="AN679" s="223"/>
      <c r="AO679" s="952"/>
      <c r="AP679" s="1066"/>
      <c r="AQ679" s="972"/>
      <c r="AR679" s="1917"/>
      <c r="AS679" s="222"/>
      <c r="AZ679" s="889"/>
      <c r="BC679" s="890"/>
      <c r="BD679" s="952"/>
      <c r="BE679" s="75"/>
      <c r="BF679" s="572"/>
      <c r="BG679" s="983"/>
      <c r="BH679" s="222"/>
      <c r="BL679" s="889"/>
      <c r="BO679" s="223"/>
    </row>
    <row r="680" spans="1:67" s="74" customFormat="1">
      <c r="A680" s="15"/>
      <c r="B680" s="15"/>
      <c r="C680" s="15"/>
      <c r="D680" s="15"/>
      <c r="E680" s="6"/>
      <c r="F680" s="6"/>
      <c r="G680" s="6"/>
      <c r="K680" s="223"/>
      <c r="M680" s="889"/>
      <c r="P680" s="890"/>
      <c r="T680" s="889"/>
      <c r="X680" s="15"/>
      <c r="Y680" s="1935"/>
      <c r="Z680" s="1086"/>
      <c r="AA680" s="230"/>
      <c r="AB680" s="230"/>
      <c r="AC680" s="1936"/>
      <c r="AD680" s="230"/>
      <c r="AE680" s="230"/>
      <c r="AF680" s="230"/>
      <c r="AG680" s="890"/>
      <c r="AJ680" s="890"/>
      <c r="AN680" s="223"/>
      <c r="AO680" s="952"/>
      <c r="AP680" s="1066"/>
      <c r="AQ680" s="972"/>
      <c r="AR680" s="1917"/>
      <c r="AS680" s="222"/>
      <c r="AZ680" s="889"/>
      <c r="BC680" s="890"/>
      <c r="BD680" s="952"/>
      <c r="BE680" s="75"/>
      <c r="BF680" s="572"/>
      <c r="BG680" s="983"/>
      <c r="BH680" s="222"/>
      <c r="BL680" s="889"/>
      <c r="BO680" s="223"/>
    </row>
    <row r="681" spans="1:67" s="74" customFormat="1">
      <c r="A681" s="15"/>
      <c r="B681" s="15"/>
      <c r="C681" s="15"/>
      <c r="D681" s="15"/>
      <c r="E681" s="6"/>
      <c r="F681" s="6"/>
      <c r="G681" s="6"/>
      <c r="K681" s="223"/>
      <c r="M681" s="889"/>
      <c r="P681" s="890"/>
      <c r="T681" s="889"/>
      <c r="X681" s="15"/>
      <c r="Y681" s="1935"/>
      <c r="Z681" s="1086"/>
      <c r="AA681" s="230"/>
      <c r="AB681" s="230"/>
      <c r="AC681" s="1936"/>
      <c r="AD681" s="230"/>
      <c r="AE681" s="230"/>
      <c r="AF681" s="230"/>
      <c r="AG681" s="890"/>
      <c r="AJ681" s="890"/>
      <c r="AN681" s="223"/>
      <c r="AO681" s="952"/>
      <c r="AP681" s="1066"/>
      <c r="AQ681" s="972"/>
      <c r="AR681" s="1917"/>
      <c r="AS681" s="222"/>
      <c r="AZ681" s="889"/>
      <c r="BC681" s="890"/>
      <c r="BD681" s="952"/>
      <c r="BE681" s="75"/>
      <c r="BF681" s="572"/>
      <c r="BG681" s="983"/>
      <c r="BH681" s="222"/>
      <c r="BL681" s="889"/>
      <c r="BO681" s="223"/>
    </row>
    <row r="682" spans="1:67" s="74" customFormat="1">
      <c r="A682" s="15"/>
      <c r="B682" s="15"/>
      <c r="C682" s="15"/>
      <c r="D682" s="15"/>
      <c r="E682" s="6"/>
      <c r="F682" s="6"/>
      <c r="G682" s="6"/>
      <c r="K682" s="223"/>
      <c r="M682" s="889"/>
      <c r="P682" s="890"/>
      <c r="T682" s="889"/>
      <c r="X682" s="15"/>
      <c r="Y682" s="1935"/>
      <c r="Z682" s="1086"/>
      <c r="AA682" s="230"/>
      <c r="AB682" s="230"/>
      <c r="AC682" s="1936"/>
      <c r="AD682" s="230"/>
      <c r="AE682" s="230"/>
      <c r="AF682" s="230"/>
      <c r="AG682" s="890"/>
      <c r="AJ682" s="890"/>
      <c r="AN682" s="223"/>
      <c r="AO682" s="952"/>
      <c r="AP682" s="1066"/>
      <c r="AQ682" s="972"/>
      <c r="AR682" s="1917"/>
      <c r="AS682" s="222"/>
      <c r="AZ682" s="889"/>
      <c r="BC682" s="890"/>
      <c r="BD682" s="952"/>
      <c r="BE682" s="75"/>
      <c r="BF682" s="572"/>
      <c r="BG682" s="983"/>
      <c r="BH682" s="222"/>
      <c r="BL682" s="889"/>
      <c r="BO682" s="223"/>
    </row>
    <row r="683" spans="1:67" s="74" customFormat="1">
      <c r="A683" s="15"/>
      <c r="B683" s="15"/>
      <c r="C683" s="15"/>
      <c r="D683" s="15"/>
      <c r="E683" s="6"/>
      <c r="F683" s="6"/>
      <c r="G683" s="6"/>
      <c r="K683" s="223"/>
      <c r="M683" s="889"/>
      <c r="P683" s="890"/>
      <c r="T683" s="889"/>
      <c r="X683" s="15"/>
      <c r="Y683" s="1935"/>
      <c r="Z683" s="1086"/>
      <c r="AA683" s="230"/>
      <c r="AB683" s="230"/>
      <c r="AC683" s="1936"/>
      <c r="AD683" s="230"/>
      <c r="AE683" s="230"/>
      <c r="AF683" s="230"/>
      <c r="AG683" s="890"/>
      <c r="AJ683" s="890"/>
      <c r="AN683" s="223"/>
      <c r="AO683" s="952"/>
      <c r="AP683" s="1066"/>
      <c r="AQ683" s="972"/>
      <c r="AR683" s="1917"/>
      <c r="AS683" s="222"/>
      <c r="AZ683" s="889"/>
      <c r="BC683" s="890"/>
      <c r="BD683" s="952"/>
      <c r="BE683" s="75"/>
      <c r="BF683" s="572"/>
      <c r="BG683" s="983"/>
      <c r="BH683" s="222"/>
      <c r="BL683" s="889"/>
      <c r="BO683" s="223"/>
    </row>
    <row r="684" spans="1:67" s="74" customFormat="1">
      <c r="A684" s="15"/>
      <c r="B684" s="15"/>
      <c r="C684" s="15"/>
      <c r="D684" s="15"/>
      <c r="E684" s="6"/>
      <c r="F684" s="6"/>
      <c r="G684" s="6"/>
      <c r="K684" s="223"/>
      <c r="M684" s="889"/>
      <c r="P684" s="890"/>
      <c r="T684" s="889"/>
      <c r="X684" s="15"/>
      <c r="Y684" s="1935"/>
      <c r="Z684" s="1086"/>
      <c r="AA684" s="230"/>
      <c r="AB684" s="230"/>
      <c r="AC684" s="1936"/>
      <c r="AD684" s="230"/>
      <c r="AE684" s="230"/>
      <c r="AF684" s="230"/>
      <c r="AG684" s="890"/>
      <c r="AJ684" s="890"/>
      <c r="AN684" s="223"/>
      <c r="AO684" s="952"/>
      <c r="AP684" s="1066"/>
      <c r="AQ684" s="972"/>
      <c r="AR684" s="1917"/>
      <c r="AS684" s="222"/>
      <c r="AZ684" s="889"/>
      <c r="BC684" s="890"/>
      <c r="BD684" s="952"/>
      <c r="BE684" s="75"/>
      <c r="BF684" s="572"/>
      <c r="BG684" s="983"/>
      <c r="BH684" s="222"/>
      <c r="BL684" s="889"/>
      <c r="BO684" s="223"/>
    </row>
    <row r="685" spans="1:67" s="74" customFormat="1">
      <c r="A685" s="15"/>
      <c r="B685" s="15"/>
      <c r="C685" s="15"/>
      <c r="D685" s="15"/>
      <c r="E685" s="6"/>
      <c r="F685" s="6"/>
      <c r="G685" s="6"/>
      <c r="K685" s="223"/>
      <c r="M685" s="889"/>
      <c r="P685" s="890"/>
      <c r="T685" s="889"/>
      <c r="X685" s="15"/>
      <c r="Y685" s="1935"/>
      <c r="Z685" s="1086"/>
      <c r="AA685" s="230"/>
      <c r="AB685" s="230"/>
      <c r="AC685" s="1936"/>
      <c r="AD685" s="230"/>
      <c r="AE685" s="230"/>
      <c r="AF685" s="230"/>
      <c r="AG685" s="890"/>
      <c r="AJ685" s="890"/>
      <c r="AN685" s="223"/>
      <c r="AO685" s="952"/>
      <c r="AP685" s="1066"/>
      <c r="AQ685" s="972"/>
      <c r="AR685" s="1917"/>
      <c r="AS685" s="222"/>
      <c r="AZ685" s="889"/>
      <c r="BC685" s="890"/>
      <c r="BD685" s="952"/>
      <c r="BE685" s="75"/>
      <c r="BF685" s="572"/>
      <c r="BG685" s="983"/>
      <c r="BH685" s="222"/>
      <c r="BL685" s="889"/>
      <c r="BO685" s="223"/>
    </row>
    <row r="686" spans="1:67" s="74" customFormat="1">
      <c r="A686" s="15"/>
      <c r="B686" s="15"/>
      <c r="C686" s="15"/>
      <c r="D686" s="15"/>
      <c r="E686" s="6"/>
      <c r="F686" s="6"/>
      <c r="G686" s="6"/>
      <c r="K686" s="223"/>
      <c r="M686" s="889"/>
      <c r="P686" s="890"/>
      <c r="T686" s="889"/>
      <c r="X686" s="15"/>
      <c r="Y686" s="1935"/>
      <c r="Z686" s="1086"/>
      <c r="AA686" s="230"/>
      <c r="AB686" s="230"/>
      <c r="AC686" s="1936"/>
      <c r="AD686" s="230"/>
      <c r="AE686" s="230"/>
      <c r="AF686" s="230"/>
      <c r="AG686" s="890"/>
      <c r="AJ686" s="890"/>
      <c r="AN686" s="223"/>
      <c r="AO686" s="952"/>
      <c r="AP686" s="1066"/>
      <c r="AQ686" s="972"/>
      <c r="AR686" s="1917"/>
      <c r="AS686" s="222"/>
      <c r="AZ686" s="889"/>
      <c r="BC686" s="890"/>
      <c r="BD686" s="952"/>
      <c r="BE686" s="75"/>
      <c r="BF686" s="572"/>
      <c r="BG686" s="983"/>
      <c r="BH686" s="222"/>
      <c r="BL686" s="889"/>
      <c r="BO686" s="223"/>
    </row>
    <row r="687" spans="1:67" s="74" customFormat="1">
      <c r="A687" s="15"/>
      <c r="B687" s="15"/>
      <c r="C687" s="15"/>
      <c r="D687" s="15"/>
      <c r="E687" s="6"/>
      <c r="F687" s="6"/>
      <c r="G687" s="6"/>
      <c r="K687" s="223"/>
      <c r="M687" s="889"/>
      <c r="P687" s="890"/>
      <c r="T687" s="889"/>
      <c r="X687" s="15"/>
      <c r="Y687" s="1935"/>
      <c r="Z687" s="1086"/>
      <c r="AA687" s="230"/>
      <c r="AB687" s="230"/>
      <c r="AC687" s="1936"/>
      <c r="AD687" s="230"/>
      <c r="AE687" s="230"/>
      <c r="AF687" s="230"/>
      <c r="AG687" s="890"/>
      <c r="AJ687" s="890"/>
      <c r="AN687" s="223"/>
      <c r="AO687" s="952"/>
      <c r="AP687" s="1066"/>
      <c r="AQ687" s="972"/>
      <c r="AR687" s="1917"/>
      <c r="AS687" s="222"/>
      <c r="AZ687" s="889"/>
      <c r="BC687" s="890"/>
      <c r="BD687" s="952"/>
      <c r="BE687" s="75"/>
      <c r="BF687" s="572"/>
      <c r="BG687" s="983"/>
      <c r="BH687" s="222"/>
      <c r="BL687" s="889"/>
      <c r="BO687" s="223"/>
    </row>
    <row r="688" spans="1:67" s="74" customFormat="1">
      <c r="A688" s="15"/>
      <c r="B688" s="15"/>
      <c r="C688" s="15"/>
      <c r="D688" s="15"/>
      <c r="E688" s="6"/>
      <c r="F688" s="6"/>
      <c r="G688" s="6"/>
      <c r="K688" s="223"/>
      <c r="M688" s="889"/>
      <c r="P688" s="890"/>
      <c r="T688" s="889"/>
      <c r="X688" s="15"/>
      <c r="Y688" s="1935"/>
      <c r="Z688" s="1086"/>
      <c r="AA688" s="230"/>
      <c r="AB688" s="230"/>
      <c r="AC688" s="1936"/>
      <c r="AD688" s="230"/>
      <c r="AE688" s="230"/>
      <c r="AF688" s="230"/>
      <c r="AG688" s="890"/>
      <c r="AJ688" s="890"/>
      <c r="AN688" s="223"/>
      <c r="AO688" s="952"/>
      <c r="AP688" s="1066"/>
      <c r="AQ688" s="972"/>
      <c r="AR688" s="1917"/>
      <c r="AS688" s="222"/>
      <c r="AZ688" s="889"/>
      <c r="BC688" s="890"/>
      <c r="BD688" s="952"/>
      <c r="BE688" s="75"/>
      <c r="BF688" s="572"/>
      <c r="BG688" s="983"/>
      <c r="BH688" s="222"/>
      <c r="BL688" s="889"/>
      <c r="BO688" s="223"/>
    </row>
    <row r="689" spans="1:67" s="74" customFormat="1">
      <c r="A689" s="15"/>
      <c r="B689" s="15"/>
      <c r="C689" s="15"/>
      <c r="D689" s="15"/>
      <c r="E689" s="6"/>
      <c r="F689" s="6"/>
      <c r="G689" s="6"/>
      <c r="K689" s="223"/>
      <c r="M689" s="889"/>
      <c r="P689" s="890"/>
      <c r="T689" s="889"/>
      <c r="X689" s="15"/>
      <c r="Y689" s="1935"/>
      <c r="Z689" s="1086"/>
      <c r="AA689" s="230"/>
      <c r="AB689" s="230"/>
      <c r="AC689" s="1936"/>
      <c r="AD689" s="230"/>
      <c r="AE689" s="230"/>
      <c r="AF689" s="230"/>
      <c r="AG689" s="890"/>
      <c r="AJ689" s="890"/>
      <c r="AN689" s="223"/>
      <c r="AO689" s="952"/>
      <c r="AP689" s="1066"/>
      <c r="AQ689" s="972"/>
      <c r="AR689" s="1917"/>
      <c r="AS689" s="222"/>
      <c r="AZ689" s="889"/>
      <c r="BC689" s="890"/>
      <c r="BD689" s="952"/>
      <c r="BE689" s="75"/>
      <c r="BF689" s="572"/>
      <c r="BG689" s="983"/>
      <c r="BH689" s="222"/>
      <c r="BL689" s="889"/>
      <c r="BO689" s="223"/>
    </row>
    <row r="690" spans="1:67" s="74" customFormat="1">
      <c r="A690" s="15"/>
      <c r="B690" s="15"/>
      <c r="C690" s="15"/>
      <c r="D690" s="15"/>
      <c r="E690" s="6"/>
      <c r="F690" s="6"/>
      <c r="G690" s="6"/>
      <c r="K690" s="223"/>
      <c r="M690" s="889"/>
      <c r="P690" s="890"/>
      <c r="T690" s="889"/>
      <c r="X690" s="15"/>
      <c r="Y690" s="1935"/>
      <c r="Z690" s="1086"/>
      <c r="AA690" s="230"/>
      <c r="AB690" s="230"/>
      <c r="AC690" s="1936"/>
      <c r="AD690" s="230"/>
      <c r="AE690" s="230"/>
      <c r="AF690" s="230"/>
      <c r="AG690" s="890"/>
      <c r="AJ690" s="890"/>
      <c r="AN690" s="223"/>
      <c r="AO690" s="952"/>
      <c r="AP690" s="1066"/>
      <c r="AQ690" s="972"/>
      <c r="AR690" s="1917"/>
      <c r="AS690" s="222"/>
      <c r="AZ690" s="889"/>
      <c r="BC690" s="890"/>
      <c r="BD690" s="952"/>
      <c r="BE690" s="75"/>
      <c r="BF690" s="572"/>
      <c r="BG690" s="983"/>
      <c r="BH690" s="222"/>
      <c r="BL690" s="889"/>
      <c r="BO690" s="223"/>
    </row>
    <row r="691" spans="1:67" s="74" customFormat="1">
      <c r="A691" s="15"/>
      <c r="B691" s="15"/>
      <c r="C691" s="15"/>
      <c r="D691" s="15"/>
      <c r="E691" s="6"/>
      <c r="F691" s="6"/>
      <c r="G691" s="6"/>
      <c r="K691" s="223"/>
      <c r="M691" s="889"/>
      <c r="P691" s="890"/>
      <c r="T691" s="889"/>
      <c r="X691" s="15"/>
      <c r="Y691" s="1935"/>
      <c r="Z691" s="1086"/>
      <c r="AA691" s="230"/>
      <c r="AB691" s="230"/>
      <c r="AC691" s="1936"/>
      <c r="AD691" s="230"/>
      <c r="AE691" s="230"/>
      <c r="AF691" s="230"/>
      <c r="AG691" s="890"/>
      <c r="AJ691" s="890"/>
      <c r="AN691" s="223"/>
      <c r="AO691" s="952"/>
      <c r="AP691" s="1066"/>
      <c r="AQ691" s="972"/>
      <c r="AR691" s="1917"/>
      <c r="AS691" s="222"/>
      <c r="AZ691" s="889"/>
      <c r="BC691" s="890"/>
      <c r="BD691" s="952"/>
      <c r="BE691" s="75"/>
      <c r="BF691" s="572"/>
      <c r="BG691" s="983"/>
      <c r="BH691" s="222"/>
      <c r="BL691" s="889"/>
      <c r="BO691" s="223"/>
    </row>
    <row r="692" spans="1:67" s="74" customFormat="1">
      <c r="A692" s="15"/>
      <c r="B692" s="15"/>
      <c r="C692" s="15"/>
      <c r="D692" s="15"/>
      <c r="E692" s="6"/>
      <c r="F692" s="6"/>
      <c r="G692" s="6"/>
      <c r="K692" s="223"/>
      <c r="M692" s="889"/>
      <c r="P692" s="890"/>
      <c r="T692" s="889"/>
      <c r="X692" s="15"/>
      <c r="Y692" s="1935"/>
      <c r="Z692" s="1086"/>
      <c r="AA692" s="230"/>
      <c r="AB692" s="230"/>
      <c r="AC692" s="1936"/>
      <c r="AD692" s="230"/>
      <c r="AE692" s="230"/>
      <c r="AF692" s="230"/>
      <c r="AG692" s="890"/>
      <c r="AJ692" s="890"/>
      <c r="AN692" s="223"/>
      <c r="AO692" s="952"/>
      <c r="AP692" s="1066"/>
      <c r="AQ692" s="972"/>
      <c r="AR692" s="1917"/>
      <c r="AS692" s="222"/>
      <c r="AZ692" s="889"/>
      <c r="BC692" s="890"/>
      <c r="BD692" s="952"/>
      <c r="BE692" s="75"/>
      <c r="BF692" s="572"/>
      <c r="BG692" s="983"/>
      <c r="BH692" s="222"/>
      <c r="BL692" s="889"/>
      <c r="BO692" s="223"/>
    </row>
    <row r="693" spans="1:67" s="74" customFormat="1">
      <c r="A693" s="15"/>
      <c r="B693" s="15"/>
      <c r="C693" s="15"/>
      <c r="D693" s="15"/>
      <c r="E693" s="6"/>
      <c r="F693" s="6"/>
      <c r="G693" s="6"/>
      <c r="K693" s="223"/>
      <c r="M693" s="889"/>
      <c r="P693" s="890"/>
      <c r="T693" s="889"/>
      <c r="X693" s="15"/>
      <c r="Y693" s="1935"/>
      <c r="Z693" s="1086"/>
      <c r="AA693" s="230"/>
      <c r="AB693" s="230"/>
      <c r="AC693" s="1936"/>
      <c r="AD693" s="230"/>
      <c r="AE693" s="230"/>
      <c r="AF693" s="230"/>
      <c r="AG693" s="890"/>
      <c r="AJ693" s="890"/>
      <c r="AN693" s="223"/>
      <c r="AO693" s="952"/>
      <c r="AP693" s="1066"/>
      <c r="AQ693" s="972"/>
      <c r="AR693" s="1917"/>
      <c r="AS693" s="222"/>
      <c r="AZ693" s="889"/>
      <c r="BC693" s="890"/>
      <c r="BD693" s="952"/>
      <c r="BE693" s="75"/>
      <c r="BF693" s="572"/>
      <c r="BG693" s="983"/>
      <c r="BH693" s="222"/>
      <c r="BL693" s="889"/>
      <c r="BO693" s="223"/>
    </row>
    <row r="694" spans="1:67" s="74" customFormat="1">
      <c r="A694" s="15"/>
      <c r="B694" s="15"/>
      <c r="C694" s="15"/>
      <c r="D694" s="15"/>
      <c r="E694" s="6"/>
      <c r="F694" s="6"/>
      <c r="G694" s="6"/>
      <c r="K694" s="223"/>
      <c r="M694" s="889"/>
      <c r="P694" s="890"/>
      <c r="T694" s="889"/>
      <c r="X694" s="15"/>
      <c r="Y694" s="1935"/>
      <c r="Z694" s="1086"/>
      <c r="AA694" s="230"/>
      <c r="AB694" s="230"/>
      <c r="AC694" s="1936"/>
      <c r="AD694" s="230"/>
      <c r="AE694" s="230"/>
      <c r="AF694" s="230"/>
      <c r="AG694" s="890"/>
      <c r="AJ694" s="890"/>
      <c r="AN694" s="223"/>
      <c r="AO694" s="952"/>
      <c r="AP694" s="1066"/>
      <c r="AQ694" s="972"/>
      <c r="AR694" s="1917"/>
      <c r="AS694" s="222"/>
      <c r="AZ694" s="889"/>
      <c r="BC694" s="890"/>
      <c r="BD694" s="952"/>
      <c r="BE694" s="75"/>
      <c r="BF694" s="572"/>
      <c r="BG694" s="983"/>
      <c r="BH694" s="222"/>
      <c r="BL694" s="889"/>
      <c r="BO694" s="223"/>
    </row>
    <row r="695" spans="1:67" s="74" customFormat="1">
      <c r="A695" s="15"/>
      <c r="B695" s="15"/>
      <c r="C695" s="15"/>
      <c r="D695" s="15"/>
      <c r="E695" s="6"/>
      <c r="F695" s="6"/>
      <c r="G695" s="6"/>
      <c r="K695" s="223"/>
      <c r="M695" s="889"/>
      <c r="P695" s="890"/>
      <c r="T695" s="889"/>
      <c r="X695" s="15"/>
      <c r="Y695" s="1935"/>
      <c r="Z695" s="1086"/>
      <c r="AA695" s="230"/>
      <c r="AB695" s="230"/>
      <c r="AC695" s="1936"/>
      <c r="AD695" s="230"/>
      <c r="AE695" s="230"/>
      <c r="AF695" s="230"/>
      <c r="AG695" s="890"/>
      <c r="AJ695" s="890"/>
      <c r="AN695" s="223"/>
      <c r="AO695" s="952"/>
      <c r="AP695" s="1066"/>
      <c r="AQ695" s="972"/>
      <c r="AR695" s="1917"/>
      <c r="AS695" s="222"/>
      <c r="AZ695" s="889"/>
      <c r="BC695" s="890"/>
      <c r="BD695" s="952"/>
      <c r="BE695" s="75"/>
      <c r="BF695" s="572"/>
      <c r="BG695" s="983"/>
      <c r="BH695" s="222"/>
      <c r="BL695" s="889"/>
      <c r="BO695" s="223"/>
    </row>
    <row r="696" spans="1:67" s="74" customFormat="1">
      <c r="A696" s="15"/>
      <c r="B696" s="15"/>
      <c r="C696" s="15"/>
      <c r="D696" s="15"/>
      <c r="E696" s="6"/>
      <c r="F696" s="6"/>
      <c r="G696" s="6"/>
      <c r="K696" s="223"/>
      <c r="M696" s="889"/>
      <c r="P696" s="890"/>
      <c r="T696" s="889"/>
      <c r="X696" s="15"/>
      <c r="Y696" s="1935"/>
      <c r="Z696" s="1086"/>
      <c r="AA696" s="230"/>
      <c r="AB696" s="230"/>
      <c r="AC696" s="1936"/>
      <c r="AD696" s="230"/>
      <c r="AE696" s="230"/>
      <c r="AF696" s="230"/>
      <c r="AG696" s="890"/>
      <c r="AJ696" s="890"/>
      <c r="AN696" s="223"/>
      <c r="AO696" s="952"/>
      <c r="AP696" s="1066"/>
      <c r="AQ696" s="972"/>
      <c r="AR696" s="1917"/>
      <c r="AS696" s="222"/>
      <c r="AZ696" s="889"/>
      <c r="BC696" s="890"/>
      <c r="BD696" s="952"/>
      <c r="BE696" s="75"/>
      <c r="BF696" s="572"/>
      <c r="BG696" s="983"/>
      <c r="BH696" s="222"/>
      <c r="BL696" s="889"/>
      <c r="BO696" s="223"/>
    </row>
    <row r="697" spans="1:67" s="74" customFormat="1">
      <c r="A697" s="15"/>
      <c r="B697" s="15"/>
      <c r="C697" s="15"/>
      <c r="D697" s="15"/>
      <c r="E697" s="6"/>
      <c r="F697" s="6"/>
      <c r="G697" s="6"/>
      <c r="K697" s="223"/>
      <c r="M697" s="889"/>
      <c r="P697" s="890"/>
      <c r="T697" s="889"/>
      <c r="X697" s="15"/>
      <c r="Y697" s="1935"/>
      <c r="Z697" s="1086"/>
      <c r="AA697" s="230"/>
      <c r="AB697" s="230"/>
      <c r="AC697" s="1936"/>
      <c r="AD697" s="230"/>
      <c r="AE697" s="230"/>
      <c r="AF697" s="230"/>
      <c r="AG697" s="890"/>
      <c r="AJ697" s="890"/>
      <c r="AN697" s="223"/>
      <c r="AO697" s="952"/>
      <c r="AP697" s="1066"/>
      <c r="AQ697" s="972"/>
      <c r="AR697" s="1917"/>
      <c r="AS697" s="222"/>
      <c r="AZ697" s="889"/>
      <c r="BC697" s="890"/>
      <c r="BD697" s="952"/>
      <c r="BE697" s="75"/>
      <c r="BF697" s="572"/>
      <c r="BG697" s="983"/>
      <c r="BH697" s="222"/>
      <c r="BL697" s="889"/>
      <c r="BO697" s="223"/>
    </row>
    <row r="698" spans="1:67" s="74" customFormat="1">
      <c r="A698" s="15"/>
      <c r="B698" s="15"/>
      <c r="C698" s="15"/>
      <c r="D698" s="15"/>
      <c r="E698" s="6"/>
      <c r="F698" s="6"/>
      <c r="G698" s="6"/>
      <c r="K698" s="223"/>
      <c r="M698" s="889"/>
      <c r="P698" s="890"/>
      <c r="T698" s="889"/>
      <c r="X698" s="15"/>
      <c r="Y698" s="1935"/>
      <c r="Z698" s="1086"/>
      <c r="AA698" s="230"/>
      <c r="AB698" s="230"/>
      <c r="AC698" s="1936"/>
      <c r="AD698" s="230"/>
      <c r="AE698" s="230"/>
      <c r="AF698" s="230"/>
      <c r="AG698" s="890"/>
      <c r="AJ698" s="890"/>
      <c r="AN698" s="223"/>
      <c r="AO698" s="952"/>
      <c r="AP698" s="1066"/>
      <c r="AQ698" s="972"/>
      <c r="AR698" s="1917"/>
      <c r="AS698" s="222"/>
      <c r="AZ698" s="889"/>
      <c r="BC698" s="890"/>
      <c r="BD698" s="952"/>
      <c r="BE698" s="75"/>
      <c r="BF698" s="572"/>
      <c r="BG698" s="983"/>
      <c r="BH698" s="222"/>
      <c r="BL698" s="889"/>
      <c r="BO698" s="223"/>
    </row>
    <row r="699" spans="1:67" s="74" customFormat="1">
      <c r="A699" s="15"/>
      <c r="B699" s="15"/>
      <c r="C699" s="15"/>
      <c r="D699" s="15"/>
      <c r="E699" s="6"/>
      <c r="F699" s="6"/>
      <c r="G699" s="6"/>
      <c r="K699" s="223"/>
      <c r="M699" s="889"/>
      <c r="P699" s="890"/>
      <c r="T699" s="889"/>
      <c r="X699" s="15"/>
      <c r="Y699" s="1935"/>
      <c r="Z699" s="1086"/>
      <c r="AA699" s="230"/>
      <c r="AB699" s="230"/>
      <c r="AC699" s="1936"/>
      <c r="AD699" s="230"/>
      <c r="AE699" s="230"/>
      <c r="AF699" s="230"/>
      <c r="AG699" s="890"/>
      <c r="AJ699" s="890"/>
      <c r="AN699" s="223"/>
      <c r="AO699" s="952"/>
      <c r="AP699" s="1066"/>
      <c r="AQ699" s="972"/>
      <c r="AR699" s="1917"/>
      <c r="AS699" s="222"/>
      <c r="AZ699" s="889"/>
      <c r="BC699" s="890"/>
      <c r="BD699" s="952"/>
      <c r="BE699" s="75"/>
      <c r="BF699" s="572"/>
      <c r="BG699" s="983"/>
      <c r="BH699" s="222"/>
      <c r="BL699" s="889"/>
      <c r="BO699" s="223"/>
    </row>
    <row r="700" spans="1:67" s="74" customFormat="1">
      <c r="A700" s="15"/>
      <c r="B700" s="15"/>
      <c r="C700" s="15"/>
      <c r="D700" s="15"/>
      <c r="E700" s="6"/>
      <c r="F700" s="6"/>
      <c r="G700" s="6"/>
      <c r="K700" s="223"/>
      <c r="M700" s="889"/>
      <c r="P700" s="890"/>
      <c r="T700" s="889"/>
      <c r="X700" s="15"/>
      <c r="Y700" s="1935"/>
      <c r="Z700" s="1086"/>
      <c r="AA700" s="230"/>
      <c r="AB700" s="230"/>
      <c r="AC700" s="1936"/>
      <c r="AD700" s="230"/>
      <c r="AE700" s="230"/>
      <c r="AF700" s="230"/>
      <c r="AG700" s="890"/>
      <c r="AJ700" s="890"/>
      <c r="AN700" s="223"/>
      <c r="AO700" s="952"/>
      <c r="AP700" s="1066"/>
      <c r="AQ700" s="972"/>
      <c r="AR700" s="1917"/>
      <c r="AS700" s="222"/>
      <c r="AZ700" s="889"/>
      <c r="BC700" s="890"/>
      <c r="BD700" s="952"/>
      <c r="BE700" s="75"/>
      <c r="BF700" s="572"/>
      <c r="BG700" s="983"/>
      <c r="BH700" s="222"/>
      <c r="BL700" s="889"/>
      <c r="BO700" s="223"/>
    </row>
    <row r="701" spans="1:67" s="74" customFormat="1">
      <c r="A701" s="15"/>
      <c r="B701" s="15"/>
      <c r="C701" s="15"/>
      <c r="D701" s="15"/>
      <c r="E701" s="6"/>
      <c r="F701" s="6"/>
      <c r="G701" s="6"/>
      <c r="K701" s="223"/>
      <c r="M701" s="889"/>
      <c r="P701" s="890"/>
      <c r="T701" s="889"/>
      <c r="X701" s="15"/>
      <c r="Y701" s="1935"/>
      <c r="Z701" s="1086"/>
      <c r="AA701" s="230"/>
      <c r="AB701" s="230"/>
      <c r="AC701" s="1936"/>
      <c r="AD701" s="230"/>
      <c r="AE701" s="230"/>
      <c r="AF701" s="230"/>
      <c r="AG701" s="890"/>
      <c r="AJ701" s="890"/>
      <c r="AN701" s="223"/>
      <c r="AO701" s="952"/>
      <c r="AP701" s="1066"/>
      <c r="AQ701" s="972"/>
      <c r="AR701" s="1917"/>
      <c r="AS701" s="222"/>
      <c r="AZ701" s="889"/>
      <c r="BC701" s="890"/>
      <c r="BD701" s="952"/>
      <c r="BE701" s="75"/>
      <c r="BF701" s="572"/>
      <c r="BG701" s="983"/>
      <c r="BH701" s="222"/>
      <c r="BL701" s="889"/>
      <c r="BO701" s="223"/>
    </row>
    <row r="702" spans="1:67" s="74" customFormat="1">
      <c r="A702" s="15"/>
      <c r="B702" s="15"/>
      <c r="C702" s="15"/>
      <c r="D702" s="15"/>
      <c r="E702" s="6"/>
      <c r="F702" s="6"/>
      <c r="G702" s="6"/>
      <c r="K702" s="223"/>
      <c r="M702" s="889"/>
      <c r="P702" s="890"/>
      <c r="T702" s="889"/>
      <c r="X702" s="15"/>
      <c r="Y702" s="1935"/>
      <c r="Z702" s="1086"/>
      <c r="AA702" s="230"/>
      <c r="AB702" s="230"/>
      <c r="AC702" s="1936"/>
      <c r="AD702" s="230"/>
      <c r="AE702" s="230"/>
      <c r="AF702" s="230"/>
      <c r="AG702" s="890"/>
      <c r="AJ702" s="890"/>
      <c r="AN702" s="223"/>
      <c r="AO702" s="952"/>
      <c r="AP702" s="1066"/>
      <c r="AQ702" s="972"/>
      <c r="AR702" s="1917"/>
      <c r="AS702" s="222"/>
      <c r="AZ702" s="889"/>
      <c r="BC702" s="890"/>
      <c r="BD702" s="952"/>
      <c r="BE702" s="75"/>
      <c r="BF702" s="572"/>
      <c r="BG702" s="983"/>
      <c r="BH702" s="222"/>
      <c r="BL702" s="889"/>
      <c r="BO702" s="223"/>
    </row>
    <row r="703" spans="1:67" s="74" customFormat="1">
      <c r="A703" s="15"/>
      <c r="B703" s="15"/>
      <c r="C703" s="15"/>
      <c r="D703" s="15"/>
      <c r="E703" s="6"/>
      <c r="F703" s="6"/>
      <c r="G703" s="6"/>
      <c r="K703" s="223"/>
      <c r="M703" s="889"/>
      <c r="P703" s="890"/>
      <c r="T703" s="889"/>
      <c r="X703" s="15"/>
      <c r="Y703" s="1935"/>
      <c r="Z703" s="1086"/>
      <c r="AA703" s="230"/>
      <c r="AB703" s="230"/>
      <c r="AC703" s="1936"/>
      <c r="AD703" s="230"/>
      <c r="AE703" s="230"/>
      <c r="AF703" s="230"/>
      <c r="AG703" s="890"/>
      <c r="AJ703" s="890"/>
      <c r="AN703" s="223"/>
      <c r="AO703" s="952"/>
      <c r="AP703" s="1066"/>
      <c r="AQ703" s="972"/>
      <c r="AR703" s="1917"/>
      <c r="AS703" s="222"/>
      <c r="AZ703" s="889"/>
      <c r="BC703" s="890"/>
      <c r="BD703" s="952"/>
      <c r="BE703" s="75"/>
      <c r="BF703" s="572"/>
      <c r="BG703" s="983"/>
      <c r="BH703" s="222"/>
      <c r="BL703" s="889"/>
      <c r="BO703" s="223"/>
    </row>
    <row r="704" spans="1:67" s="74" customFormat="1">
      <c r="A704" s="15"/>
      <c r="B704" s="15"/>
      <c r="C704" s="15"/>
      <c r="D704" s="15"/>
      <c r="E704" s="6"/>
      <c r="F704" s="6"/>
      <c r="G704" s="6"/>
      <c r="K704" s="223"/>
      <c r="M704" s="889"/>
      <c r="P704" s="890"/>
      <c r="T704" s="889"/>
      <c r="X704" s="15"/>
      <c r="Y704" s="1935"/>
      <c r="Z704" s="1086"/>
      <c r="AA704" s="230"/>
      <c r="AB704" s="230"/>
      <c r="AC704" s="1936"/>
      <c r="AD704" s="230"/>
      <c r="AE704" s="230"/>
      <c r="AF704" s="230"/>
      <c r="AG704" s="890"/>
      <c r="AJ704" s="890"/>
      <c r="AN704" s="223"/>
      <c r="AO704" s="952"/>
      <c r="AP704" s="1066"/>
      <c r="AQ704" s="972"/>
      <c r="AR704" s="1917"/>
      <c r="AS704" s="222"/>
      <c r="AZ704" s="889"/>
      <c r="BC704" s="890"/>
      <c r="BD704" s="952"/>
      <c r="BE704" s="75"/>
      <c r="BF704" s="572"/>
      <c r="BG704" s="983"/>
      <c r="BH704" s="222"/>
      <c r="BL704" s="889"/>
      <c r="BO704" s="223"/>
    </row>
    <row r="705" spans="1:67" s="74" customFormat="1">
      <c r="A705" s="15"/>
      <c r="B705" s="15"/>
      <c r="C705" s="15"/>
      <c r="D705" s="15"/>
      <c r="E705" s="6"/>
      <c r="F705" s="6"/>
      <c r="G705" s="6"/>
      <c r="K705" s="223"/>
      <c r="M705" s="889"/>
      <c r="P705" s="890"/>
      <c r="T705" s="889"/>
      <c r="X705" s="15"/>
      <c r="Y705" s="1935"/>
      <c r="Z705" s="1086"/>
      <c r="AA705" s="230"/>
      <c r="AB705" s="230"/>
      <c r="AC705" s="1936"/>
      <c r="AD705" s="230"/>
      <c r="AE705" s="230"/>
      <c r="AF705" s="230"/>
      <c r="AG705" s="890"/>
      <c r="AJ705" s="890"/>
      <c r="AN705" s="223"/>
      <c r="AO705" s="952"/>
      <c r="AP705" s="1066"/>
      <c r="AQ705" s="972"/>
      <c r="AR705" s="1917"/>
      <c r="AS705" s="222"/>
      <c r="AZ705" s="889"/>
      <c r="BC705" s="890"/>
      <c r="BD705" s="952"/>
      <c r="BE705" s="75"/>
      <c r="BF705" s="572"/>
      <c r="BG705" s="983"/>
      <c r="BH705" s="222"/>
      <c r="BL705" s="889"/>
      <c r="BO705" s="223"/>
    </row>
    <row r="706" spans="1:67" s="74" customFormat="1">
      <c r="A706" s="15"/>
      <c r="B706" s="15"/>
      <c r="C706" s="15"/>
      <c r="D706" s="15"/>
      <c r="E706" s="6"/>
      <c r="F706" s="6"/>
      <c r="G706" s="6"/>
      <c r="K706" s="223"/>
      <c r="M706" s="889"/>
      <c r="P706" s="890"/>
      <c r="T706" s="889"/>
      <c r="X706" s="15"/>
      <c r="Y706" s="1935"/>
      <c r="Z706" s="1086"/>
      <c r="AA706" s="230"/>
      <c r="AB706" s="230"/>
      <c r="AC706" s="1936"/>
      <c r="AD706" s="230"/>
      <c r="AE706" s="230"/>
      <c r="AF706" s="230"/>
      <c r="AG706" s="890"/>
      <c r="AJ706" s="890"/>
      <c r="AN706" s="223"/>
      <c r="AO706" s="952"/>
      <c r="AP706" s="1066"/>
      <c r="AQ706" s="972"/>
      <c r="AR706" s="1917"/>
      <c r="AS706" s="222"/>
      <c r="AZ706" s="889"/>
      <c r="BC706" s="890"/>
      <c r="BD706" s="952"/>
      <c r="BE706" s="75"/>
      <c r="BF706" s="572"/>
      <c r="BG706" s="983"/>
      <c r="BH706" s="222"/>
      <c r="BL706" s="889"/>
      <c r="BO706" s="223"/>
    </row>
    <row r="707" spans="1:67" s="74" customFormat="1">
      <c r="A707" s="15"/>
      <c r="B707" s="15"/>
      <c r="C707" s="15"/>
      <c r="D707" s="15"/>
      <c r="E707" s="6"/>
      <c r="F707" s="6"/>
      <c r="G707" s="6"/>
      <c r="K707" s="223"/>
      <c r="M707" s="889"/>
      <c r="P707" s="890"/>
      <c r="T707" s="889"/>
      <c r="X707" s="15"/>
      <c r="Y707" s="1935"/>
      <c r="Z707" s="1086"/>
      <c r="AA707" s="230"/>
      <c r="AB707" s="230"/>
      <c r="AC707" s="1936"/>
      <c r="AD707" s="230"/>
      <c r="AE707" s="230"/>
      <c r="AF707" s="230"/>
      <c r="AG707" s="890"/>
      <c r="AJ707" s="890"/>
      <c r="AN707" s="223"/>
      <c r="AO707" s="952"/>
      <c r="AP707" s="1066"/>
      <c r="AQ707" s="972"/>
      <c r="AR707" s="1917"/>
      <c r="AS707" s="222"/>
      <c r="AZ707" s="889"/>
      <c r="BC707" s="890"/>
      <c r="BD707" s="952"/>
      <c r="BE707" s="75"/>
      <c r="BF707" s="572"/>
      <c r="BG707" s="983"/>
      <c r="BH707" s="222"/>
      <c r="BL707" s="889"/>
      <c r="BO707" s="223"/>
    </row>
    <row r="708" spans="1:67" s="74" customFormat="1">
      <c r="A708" s="15"/>
      <c r="B708" s="15"/>
      <c r="C708" s="15"/>
      <c r="D708" s="15"/>
      <c r="E708" s="6"/>
      <c r="F708" s="6"/>
      <c r="G708" s="6"/>
      <c r="K708" s="223"/>
      <c r="M708" s="889"/>
      <c r="P708" s="890"/>
      <c r="T708" s="889"/>
      <c r="X708" s="15"/>
      <c r="Y708" s="1935"/>
      <c r="Z708" s="1086"/>
      <c r="AA708" s="230"/>
      <c r="AB708" s="230"/>
      <c r="AC708" s="1936"/>
      <c r="AD708" s="230"/>
      <c r="AE708" s="230"/>
      <c r="AF708" s="230"/>
      <c r="AG708" s="890"/>
      <c r="AJ708" s="890"/>
      <c r="AN708" s="223"/>
      <c r="AO708" s="952"/>
      <c r="AP708" s="1066"/>
      <c r="AQ708" s="972"/>
      <c r="AR708" s="1917"/>
      <c r="AS708" s="222"/>
      <c r="AZ708" s="889"/>
      <c r="BC708" s="890"/>
      <c r="BD708" s="952"/>
      <c r="BE708" s="75"/>
      <c r="BF708" s="572"/>
      <c r="BG708" s="983"/>
      <c r="BH708" s="222"/>
      <c r="BL708" s="889"/>
      <c r="BO708" s="223"/>
    </row>
    <row r="709" spans="1:67" s="74" customFormat="1">
      <c r="A709" s="15"/>
      <c r="B709" s="15"/>
      <c r="C709" s="15"/>
      <c r="D709" s="15"/>
      <c r="E709" s="6"/>
      <c r="F709" s="6"/>
      <c r="G709" s="6"/>
      <c r="K709" s="223"/>
      <c r="M709" s="889"/>
      <c r="P709" s="890"/>
      <c r="T709" s="889"/>
      <c r="X709" s="15"/>
      <c r="Y709" s="1935"/>
      <c r="Z709" s="1086"/>
      <c r="AA709" s="230"/>
      <c r="AB709" s="230"/>
      <c r="AC709" s="1936"/>
      <c r="AD709" s="230"/>
      <c r="AE709" s="230"/>
      <c r="AF709" s="230"/>
      <c r="AG709" s="890"/>
      <c r="AJ709" s="890"/>
      <c r="AN709" s="223"/>
      <c r="AO709" s="952"/>
      <c r="AP709" s="1066"/>
      <c r="AQ709" s="972"/>
      <c r="AR709" s="1917"/>
      <c r="AS709" s="222"/>
      <c r="AZ709" s="889"/>
      <c r="BC709" s="890"/>
      <c r="BD709" s="952"/>
      <c r="BE709" s="75"/>
      <c r="BF709" s="572"/>
      <c r="BG709" s="983"/>
      <c r="BH709" s="222"/>
      <c r="BL709" s="889"/>
      <c r="BO709" s="223"/>
    </row>
    <row r="710" spans="1:67" s="74" customFormat="1">
      <c r="A710" s="15"/>
      <c r="B710" s="15"/>
      <c r="C710" s="15"/>
      <c r="D710" s="15"/>
      <c r="E710" s="6"/>
      <c r="F710" s="6"/>
      <c r="G710" s="6"/>
      <c r="K710" s="223"/>
      <c r="M710" s="889"/>
      <c r="P710" s="890"/>
      <c r="T710" s="889"/>
      <c r="X710" s="15"/>
      <c r="Y710" s="1935"/>
      <c r="Z710" s="1086"/>
      <c r="AA710" s="230"/>
      <c r="AB710" s="230"/>
      <c r="AC710" s="1936"/>
      <c r="AD710" s="230"/>
      <c r="AE710" s="230"/>
      <c r="AF710" s="230"/>
      <c r="AG710" s="890"/>
      <c r="AJ710" s="890"/>
      <c r="AN710" s="223"/>
      <c r="AO710" s="952"/>
      <c r="AP710" s="1066"/>
      <c r="AQ710" s="972"/>
      <c r="AR710" s="1917"/>
      <c r="AS710" s="222"/>
      <c r="AZ710" s="889"/>
      <c r="BC710" s="890"/>
      <c r="BD710" s="952"/>
      <c r="BE710" s="75"/>
      <c r="BF710" s="572"/>
      <c r="BG710" s="983"/>
      <c r="BH710" s="222"/>
      <c r="BL710" s="889"/>
      <c r="BO710" s="223"/>
    </row>
    <row r="711" spans="1:67" s="74" customFormat="1">
      <c r="A711" s="15"/>
      <c r="B711" s="15"/>
      <c r="C711" s="15"/>
      <c r="D711" s="15"/>
      <c r="E711" s="6"/>
      <c r="F711" s="6"/>
      <c r="G711" s="6"/>
      <c r="K711" s="223"/>
      <c r="M711" s="889"/>
      <c r="P711" s="890"/>
      <c r="T711" s="889"/>
      <c r="X711" s="15"/>
      <c r="Y711" s="1935"/>
      <c r="Z711" s="1086"/>
      <c r="AA711" s="230"/>
      <c r="AB711" s="230"/>
      <c r="AC711" s="1936"/>
      <c r="AD711" s="230"/>
      <c r="AE711" s="230"/>
      <c r="AF711" s="230"/>
      <c r="AG711" s="890"/>
      <c r="AJ711" s="890"/>
      <c r="AN711" s="223"/>
      <c r="AO711" s="952"/>
      <c r="AP711" s="1066"/>
      <c r="AQ711" s="972"/>
      <c r="AR711" s="1917"/>
      <c r="AS711" s="222"/>
      <c r="AZ711" s="889"/>
      <c r="BC711" s="890"/>
      <c r="BD711" s="952"/>
      <c r="BE711" s="75"/>
      <c r="BF711" s="572"/>
      <c r="BG711" s="983"/>
      <c r="BH711" s="222"/>
      <c r="BL711" s="889"/>
      <c r="BO711" s="223"/>
    </row>
    <row r="712" spans="1:67" s="74" customFormat="1">
      <c r="A712" s="15"/>
      <c r="B712" s="15"/>
      <c r="C712" s="15"/>
      <c r="D712" s="15"/>
      <c r="E712" s="6"/>
      <c r="F712" s="6"/>
      <c r="G712" s="6"/>
      <c r="K712" s="223"/>
      <c r="M712" s="889"/>
      <c r="P712" s="890"/>
      <c r="T712" s="889"/>
      <c r="X712" s="15"/>
      <c r="Y712" s="1935"/>
      <c r="Z712" s="1086"/>
      <c r="AA712" s="230"/>
      <c r="AB712" s="230"/>
      <c r="AC712" s="1936"/>
      <c r="AD712" s="230"/>
      <c r="AE712" s="230"/>
      <c r="AF712" s="230"/>
      <c r="AG712" s="890"/>
      <c r="AJ712" s="890"/>
      <c r="AN712" s="223"/>
      <c r="AO712" s="952"/>
      <c r="AP712" s="1066"/>
      <c r="AQ712" s="972"/>
      <c r="AR712" s="1917"/>
      <c r="AS712" s="222"/>
      <c r="AZ712" s="889"/>
      <c r="BC712" s="890"/>
      <c r="BD712" s="952"/>
      <c r="BE712" s="75"/>
      <c r="BF712" s="572"/>
      <c r="BG712" s="983"/>
      <c r="BH712" s="222"/>
      <c r="BL712" s="889"/>
      <c r="BO712" s="223"/>
    </row>
    <row r="713" spans="1:67" s="74" customFormat="1">
      <c r="A713" s="15"/>
      <c r="B713" s="15"/>
      <c r="C713" s="15"/>
      <c r="D713" s="15"/>
      <c r="E713" s="6"/>
      <c r="F713" s="6"/>
      <c r="G713" s="6"/>
      <c r="K713" s="223"/>
      <c r="M713" s="889"/>
      <c r="P713" s="890"/>
      <c r="T713" s="889"/>
      <c r="X713" s="15"/>
      <c r="Y713" s="1935"/>
      <c r="Z713" s="1086"/>
      <c r="AA713" s="230"/>
      <c r="AB713" s="230"/>
      <c r="AC713" s="1936"/>
      <c r="AD713" s="230"/>
      <c r="AE713" s="230"/>
      <c r="AF713" s="230"/>
      <c r="AG713" s="890"/>
      <c r="AJ713" s="890"/>
      <c r="AN713" s="223"/>
      <c r="AO713" s="952"/>
      <c r="AP713" s="1066"/>
      <c r="AQ713" s="972"/>
      <c r="AR713" s="1917"/>
      <c r="AS713" s="222"/>
      <c r="AZ713" s="889"/>
      <c r="BC713" s="890"/>
      <c r="BD713" s="952"/>
      <c r="BE713" s="75"/>
      <c r="BF713" s="572"/>
      <c r="BG713" s="983"/>
      <c r="BH713" s="222"/>
      <c r="BL713" s="889"/>
      <c r="BO713" s="223"/>
    </row>
    <row r="714" spans="1:67" s="74" customFormat="1">
      <c r="A714" s="15"/>
      <c r="B714" s="15"/>
      <c r="C714" s="15"/>
      <c r="D714" s="15"/>
      <c r="E714" s="6"/>
      <c r="F714" s="6"/>
      <c r="G714" s="6"/>
      <c r="K714" s="223"/>
      <c r="M714" s="889"/>
      <c r="P714" s="890"/>
      <c r="T714" s="889"/>
      <c r="X714" s="15"/>
      <c r="Y714" s="1935"/>
      <c r="Z714" s="1086"/>
      <c r="AA714" s="230"/>
      <c r="AB714" s="230"/>
      <c r="AC714" s="1936"/>
      <c r="AD714" s="230"/>
      <c r="AE714" s="230"/>
      <c r="AF714" s="230"/>
      <c r="AG714" s="890"/>
      <c r="AJ714" s="890"/>
      <c r="AN714" s="223"/>
      <c r="AO714" s="952"/>
      <c r="AP714" s="1066"/>
      <c r="AQ714" s="972"/>
      <c r="AR714" s="1917"/>
      <c r="AS714" s="222"/>
      <c r="AZ714" s="889"/>
      <c r="BC714" s="890"/>
      <c r="BD714" s="952"/>
      <c r="BE714" s="75"/>
      <c r="BF714" s="572"/>
      <c r="BG714" s="983"/>
      <c r="BH714" s="222"/>
      <c r="BL714" s="889"/>
      <c r="BO714" s="223"/>
    </row>
    <row r="715" spans="1:67" s="74" customFormat="1">
      <c r="A715" s="15"/>
      <c r="B715" s="15"/>
      <c r="C715" s="15"/>
      <c r="D715" s="15"/>
      <c r="E715" s="6"/>
      <c r="F715" s="6"/>
      <c r="G715" s="6"/>
      <c r="K715" s="223"/>
      <c r="M715" s="889"/>
      <c r="P715" s="890"/>
      <c r="T715" s="889"/>
      <c r="X715" s="15"/>
      <c r="Y715" s="1935"/>
      <c r="Z715" s="1086"/>
      <c r="AA715" s="230"/>
      <c r="AB715" s="230"/>
      <c r="AC715" s="1936"/>
      <c r="AD715" s="230"/>
      <c r="AE715" s="230"/>
      <c r="AF715" s="230"/>
      <c r="AG715" s="890"/>
      <c r="AJ715" s="890"/>
      <c r="AN715" s="223"/>
      <c r="AO715" s="952"/>
      <c r="AP715" s="1066"/>
      <c r="AQ715" s="972"/>
      <c r="AR715" s="1917"/>
      <c r="AS715" s="222"/>
      <c r="AZ715" s="889"/>
      <c r="BC715" s="890"/>
      <c r="BD715" s="952"/>
      <c r="BE715" s="75"/>
      <c r="BF715" s="572"/>
      <c r="BG715" s="983"/>
      <c r="BH715" s="222"/>
      <c r="BL715" s="889"/>
      <c r="BO715" s="223"/>
    </row>
    <row r="716" spans="1:67" s="74" customFormat="1">
      <c r="A716" s="15"/>
      <c r="B716" s="15"/>
      <c r="C716" s="15"/>
      <c r="D716" s="15"/>
      <c r="E716" s="6"/>
      <c r="F716" s="6"/>
      <c r="G716" s="6"/>
      <c r="K716" s="223"/>
      <c r="M716" s="889"/>
      <c r="P716" s="890"/>
      <c r="T716" s="889"/>
      <c r="X716" s="15"/>
      <c r="Y716" s="1935"/>
      <c r="Z716" s="1086"/>
      <c r="AA716" s="230"/>
      <c r="AB716" s="230"/>
      <c r="AC716" s="1936"/>
      <c r="AD716" s="230"/>
      <c r="AE716" s="230"/>
      <c r="AF716" s="230"/>
      <c r="AG716" s="890"/>
      <c r="AJ716" s="890"/>
      <c r="AN716" s="223"/>
      <c r="AO716" s="952"/>
      <c r="AP716" s="1066"/>
      <c r="AQ716" s="972"/>
      <c r="AR716" s="1917"/>
      <c r="AS716" s="222"/>
      <c r="AZ716" s="889"/>
      <c r="BC716" s="890"/>
      <c r="BD716" s="952"/>
      <c r="BE716" s="75"/>
      <c r="BF716" s="572"/>
      <c r="BG716" s="983"/>
      <c r="BH716" s="222"/>
      <c r="BL716" s="889"/>
      <c r="BO716" s="223"/>
    </row>
    <row r="717" spans="1:67" s="74" customFormat="1">
      <c r="A717" s="15"/>
      <c r="B717" s="15"/>
      <c r="C717" s="15"/>
      <c r="D717" s="15"/>
      <c r="E717" s="6"/>
      <c r="F717" s="6"/>
      <c r="G717" s="6"/>
      <c r="K717" s="223"/>
      <c r="M717" s="889"/>
      <c r="P717" s="890"/>
      <c r="T717" s="889"/>
      <c r="X717" s="15"/>
      <c r="Y717" s="1935"/>
      <c r="Z717" s="1086"/>
      <c r="AA717" s="230"/>
      <c r="AB717" s="230"/>
      <c r="AC717" s="1936"/>
      <c r="AD717" s="230"/>
      <c r="AE717" s="230"/>
      <c r="AF717" s="230"/>
      <c r="AG717" s="890"/>
      <c r="AJ717" s="890"/>
      <c r="AN717" s="223"/>
      <c r="AO717" s="952"/>
      <c r="AP717" s="1066"/>
      <c r="AQ717" s="972"/>
      <c r="AR717" s="1917"/>
      <c r="AS717" s="222"/>
      <c r="AZ717" s="889"/>
      <c r="BC717" s="890"/>
      <c r="BD717" s="952"/>
      <c r="BE717" s="75"/>
      <c r="BF717" s="572"/>
      <c r="BG717" s="983"/>
      <c r="BH717" s="222"/>
      <c r="BL717" s="889"/>
      <c r="BO717" s="223"/>
    </row>
    <row r="718" spans="1:67" s="74" customFormat="1">
      <c r="A718" s="15"/>
      <c r="B718" s="15"/>
      <c r="C718" s="15"/>
      <c r="D718" s="15"/>
      <c r="E718" s="6"/>
      <c r="F718" s="6"/>
      <c r="G718" s="6"/>
      <c r="K718" s="223"/>
      <c r="M718" s="889"/>
      <c r="P718" s="890"/>
      <c r="T718" s="889"/>
      <c r="X718" s="15"/>
      <c r="Y718" s="1935"/>
      <c r="Z718" s="1086"/>
      <c r="AA718" s="230"/>
      <c r="AB718" s="230"/>
      <c r="AC718" s="1936"/>
      <c r="AD718" s="230"/>
      <c r="AE718" s="230"/>
      <c r="AF718" s="230"/>
      <c r="AG718" s="890"/>
      <c r="AJ718" s="890"/>
      <c r="AN718" s="223"/>
      <c r="AO718" s="952"/>
      <c r="AP718" s="1066"/>
      <c r="AQ718" s="972"/>
      <c r="AR718" s="1917"/>
      <c r="AS718" s="222"/>
      <c r="AZ718" s="889"/>
      <c r="BC718" s="890"/>
      <c r="BD718" s="952"/>
      <c r="BE718" s="75"/>
      <c r="BF718" s="572"/>
      <c r="BG718" s="983"/>
      <c r="BH718" s="222"/>
      <c r="BL718" s="889"/>
      <c r="BO718" s="223"/>
    </row>
    <row r="719" spans="1:67" s="74" customFormat="1">
      <c r="A719" s="15"/>
      <c r="B719" s="15"/>
      <c r="C719" s="15"/>
      <c r="D719" s="15"/>
      <c r="E719" s="6"/>
      <c r="F719" s="6"/>
      <c r="G719" s="6"/>
      <c r="K719" s="223"/>
      <c r="M719" s="889"/>
      <c r="P719" s="890"/>
      <c r="T719" s="889"/>
      <c r="X719" s="15"/>
      <c r="Y719" s="1935"/>
      <c r="Z719" s="1086"/>
      <c r="AA719" s="230"/>
      <c r="AB719" s="230"/>
      <c r="AC719" s="1936"/>
      <c r="AD719" s="230"/>
      <c r="AE719" s="230"/>
      <c r="AF719" s="230"/>
      <c r="AG719" s="890"/>
      <c r="AJ719" s="890"/>
      <c r="AN719" s="223"/>
      <c r="AO719" s="952"/>
      <c r="AP719" s="1066"/>
      <c r="AQ719" s="972"/>
      <c r="AR719" s="1917"/>
      <c r="AS719" s="222"/>
      <c r="AZ719" s="889"/>
      <c r="BC719" s="890"/>
      <c r="BD719" s="952"/>
      <c r="BE719" s="75"/>
      <c r="BF719" s="572"/>
      <c r="BG719" s="983"/>
      <c r="BH719" s="222"/>
      <c r="BL719" s="889"/>
      <c r="BO719" s="223"/>
    </row>
    <row r="720" spans="1:67" s="74" customFormat="1">
      <c r="A720" s="15"/>
      <c r="B720" s="15"/>
      <c r="C720" s="15"/>
      <c r="D720" s="15"/>
      <c r="E720" s="6"/>
      <c r="F720" s="6"/>
      <c r="G720" s="6"/>
      <c r="K720" s="223"/>
      <c r="M720" s="889"/>
      <c r="P720" s="890"/>
      <c r="T720" s="889"/>
      <c r="X720" s="15"/>
      <c r="Y720" s="1935"/>
      <c r="Z720" s="1086"/>
      <c r="AA720" s="230"/>
      <c r="AB720" s="230"/>
      <c r="AC720" s="1936"/>
      <c r="AD720" s="230"/>
      <c r="AE720" s="230"/>
      <c r="AF720" s="230"/>
      <c r="AG720" s="890"/>
      <c r="AJ720" s="890"/>
      <c r="AN720" s="223"/>
      <c r="AO720" s="952"/>
      <c r="AP720" s="1066"/>
      <c r="AQ720" s="972"/>
      <c r="AR720" s="1917"/>
      <c r="AS720" s="222"/>
      <c r="AZ720" s="889"/>
      <c r="BC720" s="890"/>
      <c r="BD720" s="952"/>
      <c r="BE720" s="75"/>
      <c r="BF720" s="572"/>
      <c r="BG720" s="983"/>
      <c r="BH720" s="222"/>
      <c r="BL720" s="889"/>
      <c r="BO720" s="223"/>
    </row>
    <row r="721" spans="1:67" s="74" customFormat="1">
      <c r="A721" s="15"/>
      <c r="B721" s="15"/>
      <c r="C721" s="15"/>
      <c r="D721" s="15"/>
      <c r="E721" s="6"/>
      <c r="F721" s="6"/>
      <c r="G721" s="6"/>
      <c r="K721" s="223"/>
      <c r="M721" s="889"/>
      <c r="P721" s="890"/>
      <c r="T721" s="889"/>
      <c r="X721" s="15"/>
      <c r="Y721" s="1935"/>
      <c r="Z721" s="1086"/>
      <c r="AA721" s="230"/>
      <c r="AB721" s="230"/>
      <c r="AC721" s="1936"/>
      <c r="AD721" s="230"/>
      <c r="AE721" s="230"/>
      <c r="AF721" s="230"/>
      <c r="AG721" s="890"/>
      <c r="AJ721" s="890"/>
      <c r="AN721" s="223"/>
      <c r="AO721" s="952"/>
      <c r="AP721" s="1066"/>
      <c r="AQ721" s="972"/>
      <c r="AR721" s="1917"/>
      <c r="AS721" s="222"/>
      <c r="AZ721" s="889"/>
      <c r="BC721" s="890"/>
      <c r="BD721" s="952"/>
      <c r="BE721" s="75"/>
      <c r="BF721" s="572"/>
      <c r="BG721" s="983"/>
      <c r="BH721" s="222"/>
      <c r="BL721" s="889"/>
      <c r="BO721" s="223"/>
    </row>
    <row r="722" spans="1:67" s="74" customFormat="1">
      <c r="A722" s="15"/>
      <c r="B722" s="15"/>
      <c r="C722" s="15"/>
      <c r="D722" s="15"/>
      <c r="E722" s="6"/>
      <c r="F722" s="6"/>
      <c r="G722" s="6"/>
      <c r="K722" s="223"/>
      <c r="M722" s="889"/>
      <c r="P722" s="890"/>
      <c r="T722" s="889"/>
      <c r="X722" s="15"/>
      <c r="Y722" s="1935"/>
      <c r="Z722" s="1086"/>
      <c r="AA722" s="230"/>
      <c r="AB722" s="230"/>
      <c r="AC722" s="1936"/>
      <c r="AD722" s="230"/>
      <c r="AE722" s="230"/>
      <c r="AF722" s="230"/>
      <c r="AG722" s="890"/>
      <c r="AJ722" s="890"/>
      <c r="AN722" s="223"/>
      <c r="AO722" s="952"/>
      <c r="AP722" s="1066"/>
      <c r="AQ722" s="972"/>
      <c r="AR722" s="1917"/>
      <c r="AS722" s="222"/>
      <c r="AZ722" s="889"/>
      <c r="BC722" s="890"/>
      <c r="BD722" s="952"/>
      <c r="BE722" s="75"/>
      <c r="BF722" s="572"/>
      <c r="BG722" s="983"/>
      <c r="BH722" s="222"/>
      <c r="BL722" s="889"/>
      <c r="BO722" s="223"/>
    </row>
    <row r="723" spans="1:67" s="74" customFormat="1">
      <c r="A723" s="15"/>
      <c r="B723" s="15"/>
      <c r="C723" s="15"/>
      <c r="D723" s="15"/>
      <c r="E723" s="6"/>
      <c r="F723" s="6"/>
      <c r="G723" s="6"/>
      <c r="K723" s="223"/>
      <c r="M723" s="889"/>
      <c r="P723" s="890"/>
      <c r="T723" s="889"/>
      <c r="X723" s="15"/>
      <c r="Y723" s="1935"/>
      <c r="Z723" s="1086"/>
      <c r="AA723" s="230"/>
      <c r="AB723" s="230"/>
      <c r="AC723" s="1936"/>
      <c r="AD723" s="230"/>
      <c r="AE723" s="230"/>
      <c r="AF723" s="230"/>
      <c r="AG723" s="890"/>
      <c r="AJ723" s="890"/>
      <c r="AN723" s="223"/>
      <c r="AO723" s="952"/>
      <c r="AP723" s="1066"/>
      <c r="AQ723" s="972"/>
      <c r="AR723" s="1917"/>
      <c r="AS723" s="222"/>
      <c r="AZ723" s="889"/>
      <c r="BC723" s="890"/>
      <c r="BD723" s="952"/>
      <c r="BE723" s="75"/>
      <c r="BF723" s="572"/>
      <c r="BG723" s="983"/>
      <c r="BH723" s="222"/>
      <c r="BL723" s="889"/>
      <c r="BO723" s="223"/>
    </row>
    <row r="724" spans="1:67" s="74" customFormat="1">
      <c r="A724" s="15"/>
      <c r="B724" s="15"/>
      <c r="C724" s="15"/>
      <c r="D724" s="15"/>
      <c r="E724" s="6"/>
      <c r="F724" s="6"/>
      <c r="G724" s="6"/>
      <c r="K724" s="223"/>
      <c r="M724" s="889"/>
      <c r="P724" s="890"/>
      <c r="T724" s="889"/>
      <c r="X724" s="15"/>
      <c r="Y724" s="1935"/>
      <c r="Z724" s="1086"/>
      <c r="AA724" s="230"/>
      <c r="AB724" s="230"/>
      <c r="AC724" s="1936"/>
      <c r="AD724" s="230"/>
      <c r="AE724" s="230"/>
      <c r="AF724" s="230"/>
      <c r="AG724" s="890"/>
      <c r="AJ724" s="890"/>
      <c r="AN724" s="223"/>
      <c r="AO724" s="952"/>
      <c r="AP724" s="1066"/>
      <c r="AQ724" s="972"/>
      <c r="AR724" s="1917"/>
      <c r="AS724" s="222"/>
      <c r="AZ724" s="889"/>
      <c r="BC724" s="890"/>
      <c r="BD724" s="952"/>
      <c r="BE724" s="75"/>
      <c r="BF724" s="572"/>
      <c r="BG724" s="983"/>
      <c r="BH724" s="222"/>
      <c r="BL724" s="889"/>
      <c r="BO724" s="223"/>
    </row>
    <row r="725" spans="1:67" s="74" customFormat="1">
      <c r="A725" s="15"/>
      <c r="B725" s="15"/>
      <c r="C725" s="15"/>
      <c r="D725" s="15"/>
      <c r="E725" s="6"/>
      <c r="F725" s="6"/>
      <c r="G725" s="6"/>
      <c r="K725" s="223"/>
      <c r="M725" s="889"/>
      <c r="P725" s="890"/>
      <c r="T725" s="889"/>
      <c r="X725" s="15"/>
      <c r="Y725" s="1935"/>
      <c r="Z725" s="1086"/>
      <c r="AA725" s="230"/>
      <c r="AB725" s="230"/>
      <c r="AC725" s="1936"/>
      <c r="AD725" s="230"/>
      <c r="AE725" s="230"/>
      <c r="AF725" s="230"/>
      <c r="AG725" s="890"/>
      <c r="AJ725" s="890"/>
      <c r="AN725" s="223"/>
      <c r="AO725" s="952"/>
      <c r="AP725" s="1066"/>
      <c r="AQ725" s="972"/>
      <c r="AR725" s="1917"/>
      <c r="AS725" s="222"/>
      <c r="AZ725" s="889"/>
      <c r="BC725" s="890"/>
      <c r="BD725" s="952"/>
      <c r="BE725" s="75"/>
      <c r="BF725" s="572"/>
      <c r="BG725" s="983"/>
      <c r="BH725" s="222"/>
      <c r="BL725" s="889"/>
      <c r="BO725" s="223"/>
    </row>
    <row r="726" spans="1:67" s="74" customFormat="1">
      <c r="A726" s="15"/>
      <c r="B726" s="15"/>
      <c r="C726" s="15"/>
      <c r="D726" s="15"/>
      <c r="E726" s="6"/>
      <c r="F726" s="6"/>
      <c r="G726" s="6"/>
      <c r="K726" s="223"/>
      <c r="M726" s="889"/>
      <c r="P726" s="890"/>
      <c r="T726" s="889"/>
      <c r="X726" s="15"/>
      <c r="Y726" s="1935"/>
      <c r="Z726" s="1086"/>
      <c r="AA726" s="230"/>
      <c r="AB726" s="230"/>
      <c r="AC726" s="1936"/>
      <c r="AD726" s="230"/>
      <c r="AE726" s="230"/>
      <c r="AF726" s="230"/>
      <c r="AG726" s="890"/>
      <c r="AJ726" s="890"/>
      <c r="AN726" s="223"/>
      <c r="AO726" s="952"/>
      <c r="AP726" s="1066"/>
      <c r="AQ726" s="972"/>
      <c r="AR726" s="1917"/>
      <c r="AS726" s="222"/>
      <c r="AZ726" s="889"/>
      <c r="BC726" s="890"/>
      <c r="BD726" s="952"/>
      <c r="BE726" s="75"/>
      <c r="BF726" s="572"/>
      <c r="BG726" s="983"/>
      <c r="BH726" s="222"/>
      <c r="BL726" s="889"/>
      <c r="BO726" s="223"/>
    </row>
    <row r="727" spans="1:67" s="74" customFormat="1">
      <c r="A727" s="15"/>
      <c r="B727" s="15"/>
      <c r="C727" s="15"/>
      <c r="D727" s="15"/>
      <c r="E727" s="6"/>
      <c r="F727" s="6"/>
      <c r="G727" s="6"/>
      <c r="K727" s="223"/>
      <c r="M727" s="889"/>
      <c r="P727" s="890"/>
      <c r="T727" s="889"/>
      <c r="X727" s="15"/>
      <c r="Y727" s="1935"/>
      <c r="Z727" s="1086"/>
      <c r="AA727" s="230"/>
      <c r="AB727" s="230"/>
      <c r="AC727" s="1936"/>
      <c r="AD727" s="230"/>
      <c r="AE727" s="230"/>
      <c r="AF727" s="230"/>
      <c r="AG727" s="890"/>
      <c r="AJ727" s="890"/>
      <c r="AN727" s="223"/>
      <c r="AO727" s="952"/>
      <c r="AP727" s="1066"/>
      <c r="AQ727" s="972"/>
      <c r="AR727" s="1917"/>
      <c r="AS727" s="222"/>
      <c r="AZ727" s="889"/>
      <c r="BC727" s="890"/>
      <c r="BD727" s="952"/>
      <c r="BE727" s="75"/>
      <c r="BF727" s="572"/>
      <c r="BG727" s="983"/>
      <c r="BH727" s="222"/>
      <c r="BL727" s="889"/>
      <c r="BO727" s="223"/>
    </row>
    <row r="728" spans="1:67" s="74" customFormat="1">
      <c r="A728" s="15"/>
      <c r="B728" s="15"/>
      <c r="C728" s="15"/>
      <c r="D728" s="15"/>
      <c r="E728" s="6"/>
      <c r="F728" s="6"/>
      <c r="G728" s="6"/>
      <c r="K728" s="223"/>
      <c r="M728" s="889"/>
      <c r="P728" s="890"/>
      <c r="T728" s="889"/>
      <c r="X728" s="15"/>
      <c r="Y728" s="1935"/>
      <c r="Z728" s="1086"/>
      <c r="AA728" s="230"/>
      <c r="AB728" s="230"/>
      <c r="AC728" s="1936"/>
      <c r="AD728" s="230"/>
      <c r="AE728" s="230"/>
      <c r="AF728" s="230"/>
      <c r="AG728" s="890"/>
      <c r="AJ728" s="890"/>
      <c r="AN728" s="223"/>
      <c r="AO728" s="952"/>
      <c r="AP728" s="1066"/>
      <c r="AQ728" s="972"/>
      <c r="AR728" s="1917"/>
      <c r="AS728" s="222"/>
      <c r="AZ728" s="889"/>
      <c r="BC728" s="890"/>
      <c r="BD728" s="952"/>
      <c r="BE728" s="75"/>
      <c r="BF728" s="572"/>
      <c r="BG728" s="983"/>
      <c r="BH728" s="222"/>
      <c r="BL728" s="889"/>
      <c r="BO728" s="223"/>
    </row>
    <row r="729" spans="1:67" s="74" customFormat="1">
      <c r="A729" s="15"/>
      <c r="B729" s="15"/>
      <c r="C729" s="15"/>
      <c r="D729" s="15"/>
      <c r="E729" s="6"/>
      <c r="F729" s="6"/>
      <c r="G729" s="6"/>
      <c r="K729" s="223"/>
      <c r="M729" s="889"/>
      <c r="P729" s="890"/>
      <c r="T729" s="889"/>
      <c r="X729" s="15"/>
      <c r="Y729" s="1935"/>
      <c r="Z729" s="1086"/>
      <c r="AA729" s="230"/>
      <c r="AB729" s="230"/>
      <c r="AC729" s="1936"/>
      <c r="AD729" s="230"/>
      <c r="AE729" s="230"/>
      <c r="AF729" s="230"/>
      <c r="AG729" s="890"/>
      <c r="AJ729" s="890"/>
      <c r="AN729" s="223"/>
      <c r="AO729" s="952"/>
      <c r="AP729" s="1066"/>
      <c r="AQ729" s="972"/>
      <c r="AR729" s="1917"/>
      <c r="AS729" s="222"/>
      <c r="AZ729" s="889"/>
      <c r="BC729" s="890"/>
      <c r="BD729" s="952"/>
      <c r="BE729" s="75"/>
      <c r="BF729" s="572"/>
      <c r="BG729" s="983"/>
      <c r="BH729" s="222"/>
      <c r="BL729" s="889"/>
      <c r="BO729" s="223"/>
    </row>
    <row r="730" spans="1:67" s="74" customFormat="1">
      <c r="A730" s="15"/>
      <c r="B730" s="15"/>
      <c r="C730" s="15"/>
      <c r="D730" s="15"/>
      <c r="E730" s="6"/>
      <c r="F730" s="6"/>
      <c r="G730" s="6"/>
      <c r="K730" s="223"/>
      <c r="M730" s="889"/>
      <c r="P730" s="890"/>
      <c r="T730" s="889"/>
      <c r="X730" s="15"/>
      <c r="Y730" s="1935"/>
      <c r="Z730" s="1086"/>
      <c r="AA730" s="230"/>
      <c r="AB730" s="230"/>
      <c r="AC730" s="1936"/>
      <c r="AD730" s="230"/>
      <c r="AE730" s="230"/>
      <c r="AF730" s="230"/>
      <c r="AG730" s="890"/>
      <c r="AJ730" s="890"/>
      <c r="AN730" s="223"/>
      <c r="AO730" s="952"/>
      <c r="AP730" s="1066"/>
      <c r="AQ730" s="972"/>
      <c r="AR730" s="1917"/>
      <c r="AS730" s="222"/>
      <c r="AZ730" s="889"/>
      <c r="BC730" s="890"/>
      <c r="BD730" s="952"/>
      <c r="BE730" s="75"/>
      <c r="BF730" s="572"/>
      <c r="BG730" s="983"/>
      <c r="BH730" s="222"/>
      <c r="BL730" s="889"/>
      <c r="BO730" s="223"/>
    </row>
    <row r="731" spans="1:67" s="74" customFormat="1">
      <c r="A731" s="15"/>
      <c r="B731" s="15"/>
      <c r="C731" s="15"/>
      <c r="D731" s="15"/>
      <c r="E731" s="6"/>
      <c r="F731" s="6"/>
      <c r="G731" s="6"/>
      <c r="K731" s="223"/>
      <c r="M731" s="889"/>
      <c r="P731" s="890"/>
      <c r="T731" s="889"/>
      <c r="X731" s="15"/>
      <c r="Y731" s="1935"/>
      <c r="Z731" s="1086"/>
      <c r="AA731" s="230"/>
      <c r="AB731" s="230"/>
      <c r="AC731" s="1936"/>
      <c r="AD731" s="230"/>
      <c r="AE731" s="230"/>
      <c r="AF731" s="230"/>
      <c r="AG731" s="890"/>
      <c r="AJ731" s="890"/>
      <c r="AN731" s="223"/>
      <c r="AO731" s="952"/>
      <c r="AP731" s="1066"/>
      <c r="AQ731" s="972"/>
      <c r="AR731" s="1917"/>
      <c r="AS731" s="222"/>
      <c r="AZ731" s="889"/>
      <c r="BC731" s="890"/>
      <c r="BD731" s="952"/>
      <c r="BE731" s="75"/>
      <c r="BF731" s="572"/>
      <c r="BG731" s="983"/>
      <c r="BH731" s="222"/>
      <c r="BL731" s="889"/>
      <c r="BO731" s="223"/>
    </row>
    <row r="732" spans="1:67" s="74" customFormat="1">
      <c r="A732" s="15"/>
      <c r="B732" s="15"/>
      <c r="C732" s="15"/>
      <c r="D732" s="15"/>
      <c r="E732" s="6"/>
      <c r="F732" s="6"/>
      <c r="G732" s="6"/>
      <c r="K732" s="223"/>
      <c r="M732" s="889"/>
      <c r="P732" s="890"/>
      <c r="T732" s="889"/>
      <c r="X732" s="15"/>
      <c r="Y732" s="1935"/>
      <c r="Z732" s="1086"/>
      <c r="AA732" s="230"/>
      <c r="AB732" s="230"/>
      <c r="AC732" s="1936"/>
      <c r="AD732" s="230"/>
      <c r="AE732" s="230"/>
      <c r="AF732" s="230"/>
      <c r="AG732" s="890"/>
      <c r="AJ732" s="890"/>
      <c r="AN732" s="223"/>
      <c r="AO732" s="952"/>
      <c r="AP732" s="1066"/>
      <c r="AQ732" s="972"/>
      <c r="AR732" s="1917"/>
      <c r="AS732" s="222"/>
      <c r="AZ732" s="889"/>
      <c r="BC732" s="890"/>
      <c r="BD732" s="952"/>
      <c r="BE732" s="75"/>
      <c r="BF732" s="572"/>
      <c r="BG732" s="983"/>
      <c r="BH732" s="222"/>
      <c r="BL732" s="889"/>
      <c r="BO732" s="223"/>
    </row>
    <row r="733" spans="1:67" s="74" customFormat="1">
      <c r="A733" s="15"/>
      <c r="B733" s="15"/>
      <c r="C733" s="15"/>
      <c r="D733" s="15"/>
      <c r="E733" s="6"/>
      <c r="F733" s="6"/>
      <c r="G733" s="6"/>
      <c r="K733" s="223"/>
      <c r="M733" s="889"/>
      <c r="P733" s="890"/>
      <c r="T733" s="889"/>
      <c r="X733" s="15"/>
      <c r="Y733" s="1935"/>
      <c r="Z733" s="1086"/>
      <c r="AA733" s="230"/>
      <c r="AB733" s="230"/>
      <c r="AC733" s="1936"/>
      <c r="AD733" s="230"/>
      <c r="AE733" s="230"/>
      <c r="AF733" s="230"/>
      <c r="AG733" s="890"/>
      <c r="AJ733" s="890"/>
      <c r="AN733" s="223"/>
      <c r="AO733" s="952"/>
      <c r="AP733" s="1066"/>
      <c r="AQ733" s="972"/>
      <c r="AR733" s="1917"/>
      <c r="AS733" s="222"/>
      <c r="AZ733" s="889"/>
      <c r="BC733" s="890"/>
      <c r="BD733" s="952"/>
      <c r="BE733" s="75"/>
      <c r="BF733" s="572"/>
      <c r="BG733" s="983"/>
      <c r="BH733" s="222"/>
      <c r="BL733" s="889"/>
      <c r="BO733" s="223"/>
    </row>
    <row r="734" spans="1:67" s="74" customFormat="1">
      <c r="A734" s="15"/>
      <c r="B734" s="15"/>
      <c r="C734" s="15"/>
      <c r="D734" s="15"/>
      <c r="E734" s="6"/>
      <c r="F734" s="6"/>
      <c r="G734" s="6"/>
      <c r="K734" s="223"/>
      <c r="M734" s="889"/>
      <c r="P734" s="890"/>
      <c r="T734" s="889"/>
      <c r="X734" s="15"/>
      <c r="Y734" s="1935"/>
      <c r="Z734" s="1086"/>
      <c r="AA734" s="230"/>
      <c r="AB734" s="230"/>
      <c r="AC734" s="1936"/>
      <c r="AD734" s="230"/>
      <c r="AE734" s="230"/>
      <c r="AF734" s="230"/>
      <c r="AG734" s="890"/>
      <c r="AJ734" s="890"/>
      <c r="AN734" s="223"/>
      <c r="AO734" s="952"/>
      <c r="AP734" s="1066"/>
      <c r="AQ734" s="972"/>
      <c r="AR734" s="1917"/>
      <c r="AS734" s="222"/>
      <c r="AZ734" s="889"/>
      <c r="BC734" s="890"/>
      <c r="BD734" s="952"/>
      <c r="BE734" s="75"/>
      <c r="BF734" s="572"/>
      <c r="BG734" s="983"/>
      <c r="BH734" s="222"/>
      <c r="BL734" s="889"/>
      <c r="BO734" s="223"/>
    </row>
    <row r="735" spans="1:67" s="74" customFormat="1">
      <c r="A735" s="15"/>
      <c r="B735" s="15"/>
      <c r="C735" s="15"/>
      <c r="D735" s="15"/>
      <c r="E735" s="6"/>
      <c r="F735" s="6"/>
      <c r="G735" s="6"/>
      <c r="K735" s="223"/>
      <c r="M735" s="889"/>
      <c r="P735" s="890"/>
      <c r="T735" s="889"/>
      <c r="X735" s="15"/>
      <c r="Y735" s="1935"/>
      <c r="Z735" s="1086"/>
      <c r="AA735" s="230"/>
      <c r="AB735" s="230"/>
      <c r="AC735" s="1936"/>
      <c r="AD735" s="230"/>
      <c r="AE735" s="230"/>
      <c r="AF735" s="230"/>
      <c r="AG735" s="890"/>
      <c r="AJ735" s="890"/>
      <c r="AN735" s="223"/>
      <c r="AO735" s="952"/>
      <c r="AP735" s="1066"/>
      <c r="AQ735" s="972"/>
      <c r="AR735" s="1917"/>
      <c r="AS735" s="222"/>
      <c r="AZ735" s="889"/>
      <c r="BC735" s="890"/>
      <c r="BD735" s="952"/>
      <c r="BE735" s="75"/>
      <c r="BF735" s="572"/>
      <c r="BG735" s="983"/>
      <c r="BH735" s="222"/>
      <c r="BL735" s="889"/>
      <c r="BO735" s="223"/>
    </row>
    <row r="736" spans="1:67" s="74" customFormat="1">
      <c r="A736" s="15"/>
      <c r="B736" s="15"/>
      <c r="C736" s="15"/>
      <c r="D736" s="15"/>
      <c r="E736" s="6"/>
      <c r="F736" s="6"/>
      <c r="G736" s="6"/>
      <c r="K736" s="223"/>
      <c r="M736" s="889"/>
      <c r="P736" s="890"/>
      <c r="T736" s="889"/>
      <c r="X736" s="15"/>
      <c r="Y736" s="1935"/>
      <c r="Z736" s="1086"/>
      <c r="AA736" s="230"/>
      <c r="AB736" s="230"/>
      <c r="AC736" s="1936"/>
      <c r="AD736" s="230"/>
      <c r="AE736" s="230"/>
      <c r="AF736" s="230"/>
      <c r="AG736" s="890"/>
      <c r="AJ736" s="890"/>
      <c r="AN736" s="223"/>
      <c r="AO736" s="952"/>
      <c r="AP736" s="1066"/>
      <c r="AQ736" s="972"/>
      <c r="AR736" s="1917"/>
      <c r="AS736" s="222"/>
      <c r="AZ736" s="889"/>
      <c r="BC736" s="890"/>
      <c r="BD736" s="952"/>
      <c r="BE736" s="75"/>
      <c r="BF736" s="572"/>
      <c r="BG736" s="983"/>
      <c r="BH736" s="222"/>
      <c r="BL736" s="889"/>
      <c r="BO736" s="223"/>
    </row>
    <row r="737" spans="1:67" s="74" customFormat="1">
      <c r="A737" s="15"/>
      <c r="B737" s="15"/>
      <c r="C737" s="15"/>
      <c r="D737" s="15"/>
      <c r="E737" s="6"/>
      <c r="F737" s="6"/>
      <c r="G737" s="6"/>
      <c r="K737" s="223"/>
      <c r="M737" s="889"/>
      <c r="P737" s="890"/>
      <c r="T737" s="889"/>
      <c r="X737" s="15"/>
      <c r="Y737" s="1935"/>
      <c r="Z737" s="1086"/>
      <c r="AA737" s="230"/>
      <c r="AB737" s="230"/>
      <c r="AC737" s="1936"/>
      <c r="AD737" s="230"/>
      <c r="AE737" s="230"/>
      <c r="AF737" s="230"/>
      <c r="AG737" s="890"/>
      <c r="AJ737" s="890"/>
      <c r="AN737" s="223"/>
      <c r="AO737" s="952"/>
      <c r="AP737" s="1066"/>
      <c r="AQ737" s="972"/>
      <c r="AR737" s="1917"/>
      <c r="AS737" s="222"/>
      <c r="AZ737" s="889"/>
      <c r="BC737" s="890"/>
      <c r="BD737" s="952"/>
      <c r="BE737" s="75"/>
      <c r="BF737" s="572"/>
      <c r="BG737" s="983"/>
      <c r="BH737" s="222"/>
      <c r="BL737" s="889"/>
      <c r="BO737" s="223"/>
    </row>
    <row r="738" spans="1:67" s="74" customFormat="1">
      <c r="A738" s="15"/>
      <c r="B738" s="15"/>
      <c r="C738" s="15"/>
      <c r="D738" s="15"/>
      <c r="E738" s="6"/>
      <c r="F738" s="6"/>
      <c r="G738" s="6"/>
      <c r="K738" s="223"/>
      <c r="M738" s="889"/>
      <c r="P738" s="890"/>
      <c r="T738" s="889"/>
      <c r="X738" s="15"/>
      <c r="Y738" s="1935"/>
      <c r="Z738" s="1086"/>
      <c r="AA738" s="230"/>
      <c r="AB738" s="230"/>
      <c r="AC738" s="1936"/>
      <c r="AD738" s="230"/>
      <c r="AE738" s="230"/>
      <c r="AF738" s="230"/>
      <c r="AG738" s="890"/>
      <c r="AJ738" s="890"/>
      <c r="AN738" s="223"/>
      <c r="AO738" s="952"/>
      <c r="AP738" s="1066"/>
      <c r="AQ738" s="972"/>
      <c r="AR738" s="1917"/>
      <c r="AS738" s="222"/>
      <c r="AZ738" s="889"/>
      <c r="BC738" s="890"/>
      <c r="BD738" s="952"/>
      <c r="BE738" s="75"/>
      <c r="BF738" s="572"/>
      <c r="BG738" s="983"/>
      <c r="BH738" s="222"/>
      <c r="BL738" s="889"/>
      <c r="BO738" s="223"/>
    </row>
    <row r="739" spans="1:67" s="74" customFormat="1">
      <c r="A739" s="15"/>
      <c r="B739" s="15"/>
      <c r="C739" s="15"/>
      <c r="D739" s="15"/>
      <c r="E739" s="6"/>
      <c r="F739" s="6"/>
      <c r="G739" s="6"/>
      <c r="K739" s="223"/>
      <c r="M739" s="889"/>
      <c r="P739" s="890"/>
      <c r="T739" s="889"/>
      <c r="X739" s="15"/>
      <c r="Y739" s="1935"/>
      <c r="Z739" s="1086"/>
      <c r="AA739" s="230"/>
      <c r="AB739" s="230"/>
      <c r="AC739" s="1936"/>
      <c r="AD739" s="230"/>
      <c r="AE739" s="230"/>
      <c r="AF739" s="230"/>
      <c r="AG739" s="890"/>
      <c r="AJ739" s="890"/>
      <c r="AN739" s="223"/>
      <c r="AO739" s="952"/>
      <c r="AP739" s="1066"/>
      <c r="AQ739" s="972"/>
      <c r="AR739" s="1917"/>
      <c r="AS739" s="222"/>
      <c r="AZ739" s="889"/>
      <c r="BC739" s="890"/>
      <c r="BD739" s="952"/>
      <c r="BE739" s="75"/>
      <c r="BF739" s="572"/>
      <c r="BG739" s="983"/>
      <c r="BH739" s="222"/>
      <c r="BL739" s="889"/>
      <c r="BO739" s="223"/>
    </row>
    <row r="740" spans="1:67" s="74" customFormat="1">
      <c r="A740" s="15"/>
      <c r="B740" s="15"/>
      <c r="C740" s="15"/>
      <c r="D740" s="15"/>
      <c r="E740" s="6"/>
      <c r="F740" s="6"/>
      <c r="G740" s="6"/>
      <c r="K740" s="223"/>
      <c r="M740" s="889"/>
      <c r="P740" s="890"/>
      <c r="T740" s="889"/>
      <c r="X740" s="15"/>
      <c r="Y740" s="1935"/>
      <c r="Z740" s="1086"/>
      <c r="AA740" s="230"/>
      <c r="AB740" s="230"/>
      <c r="AC740" s="1936"/>
      <c r="AD740" s="230"/>
      <c r="AE740" s="230"/>
      <c r="AF740" s="230"/>
      <c r="AG740" s="890"/>
      <c r="AJ740" s="890"/>
      <c r="AN740" s="223"/>
      <c r="AO740" s="952"/>
      <c r="AP740" s="1066"/>
      <c r="AQ740" s="972"/>
      <c r="AR740" s="1917"/>
      <c r="AS740" s="222"/>
      <c r="AZ740" s="889"/>
      <c r="BC740" s="890"/>
      <c r="BD740" s="952"/>
      <c r="BE740" s="75"/>
      <c r="BF740" s="572"/>
      <c r="BG740" s="983"/>
      <c r="BH740" s="222"/>
      <c r="BL740" s="889"/>
      <c r="BO740" s="223"/>
    </row>
    <row r="741" spans="1:67" s="74" customFormat="1">
      <c r="A741" s="15"/>
      <c r="B741" s="15"/>
      <c r="C741" s="15"/>
      <c r="D741" s="15"/>
      <c r="E741" s="6"/>
      <c r="F741" s="6"/>
      <c r="G741" s="6"/>
      <c r="K741" s="223"/>
      <c r="M741" s="889"/>
      <c r="P741" s="890"/>
      <c r="T741" s="889"/>
      <c r="X741" s="15"/>
      <c r="Y741" s="1935"/>
      <c r="Z741" s="1086"/>
      <c r="AA741" s="230"/>
      <c r="AB741" s="230"/>
      <c r="AC741" s="1936"/>
      <c r="AD741" s="230"/>
      <c r="AE741" s="230"/>
      <c r="AF741" s="230"/>
      <c r="AG741" s="890"/>
      <c r="AJ741" s="890"/>
      <c r="AN741" s="223"/>
      <c r="AO741" s="952"/>
      <c r="AP741" s="1066"/>
      <c r="AQ741" s="972"/>
      <c r="AR741" s="1917"/>
      <c r="AS741" s="222"/>
      <c r="AZ741" s="889"/>
      <c r="BC741" s="890"/>
      <c r="BD741" s="952"/>
      <c r="BE741" s="75"/>
      <c r="BF741" s="572"/>
      <c r="BG741" s="983"/>
      <c r="BH741" s="222"/>
      <c r="BL741" s="889"/>
      <c r="BO741" s="223"/>
    </row>
    <row r="742" spans="1:67" s="74" customFormat="1">
      <c r="A742" s="15"/>
      <c r="B742" s="15"/>
      <c r="C742" s="15"/>
      <c r="D742" s="15"/>
      <c r="E742" s="6"/>
      <c r="F742" s="6"/>
      <c r="G742" s="6"/>
      <c r="K742" s="223"/>
      <c r="M742" s="889"/>
      <c r="P742" s="890"/>
      <c r="T742" s="889"/>
      <c r="X742" s="15"/>
      <c r="Y742" s="1935"/>
      <c r="Z742" s="1086"/>
      <c r="AA742" s="230"/>
      <c r="AB742" s="230"/>
      <c r="AC742" s="1936"/>
      <c r="AD742" s="230"/>
      <c r="AE742" s="230"/>
      <c r="AF742" s="230"/>
      <c r="AG742" s="890"/>
      <c r="AJ742" s="890"/>
      <c r="AN742" s="223"/>
      <c r="AO742" s="952"/>
      <c r="AP742" s="1066"/>
      <c r="AQ742" s="972"/>
      <c r="AR742" s="1917"/>
      <c r="AS742" s="222"/>
      <c r="AZ742" s="889"/>
      <c r="BC742" s="890"/>
      <c r="BD742" s="952"/>
      <c r="BE742" s="75"/>
      <c r="BF742" s="572"/>
      <c r="BG742" s="983"/>
      <c r="BH742" s="222"/>
      <c r="BL742" s="889"/>
      <c r="BO742" s="223"/>
    </row>
    <row r="743" spans="1:67" s="74" customFormat="1">
      <c r="A743" s="15"/>
      <c r="B743" s="15"/>
      <c r="C743" s="15"/>
      <c r="D743" s="15"/>
      <c r="E743" s="6"/>
      <c r="F743" s="6"/>
      <c r="G743" s="6"/>
      <c r="K743" s="223"/>
      <c r="M743" s="889"/>
      <c r="P743" s="890"/>
      <c r="T743" s="889"/>
      <c r="X743" s="15"/>
      <c r="Y743" s="1935"/>
      <c r="Z743" s="1086"/>
      <c r="AA743" s="230"/>
      <c r="AB743" s="230"/>
      <c r="AC743" s="1936"/>
      <c r="AD743" s="230"/>
      <c r="AE743" s="230"/>
      <c r="AF743" s="230"/>
      <c r="AG743" s="890"/>
      <c r="AJ743" s="890"/>
      <c r="AN743" s="223"/>
      <c r="AO743" s="952"/>
      <c r="AP743" s="1066"/>
      <c r="AQ743" s="972"/>
      <c r="AR743" s="1917"/>
      <c r="AS743" s="222"/>
      <c r="AZ743" s="889"/>
      <c r="BC743" s="890"/>
      <c r="BD743" s="952"/>
      <c r="BE743" s="75"/>
      <c r="BF743" s="572"/>
      <c r="BG743" s="983"/>
      <c r="BH743" s="222"/>
      <c r="BL743" s="889"/>
      <c r="BO743" s="223"/>
    </row>
    <row r="744" spans="1:67" s="74" customFormat="1">
      <c r="A744" s="15"/>
      <c r="B744" s="15"/>
      <c r="C744" s="15"/>
      <c r="D744" s="15"/>
      <c r="E744" s="6"/>
      <c r="F744" s="6"/>
      <c r="G744" s="6"/>
      <c r="K744" s="223"/>
      <c r="M744" s="889"/>
      <c r="P744" s="890"/>
      <c r="T744" s="889"/>
      <c r="X744" s="15"/>
      <c r="Y744" s="1935"/>
      <c r="Z744" s="1086"/>
      <c r="AA744" s="230"/>
      <c r="AB744" s="230"/>
      <c r="AC744" s="1936"/>
      <c r="AD744" s="230"/>
      <c r="AE744" s="230"/>
      <c r="AF744" s="230"/>
      <c r="AG744" s="890"/>
      <c r="AJ744" s="890"/>
      <c r="AN744" s="223"/>
      <c r="AO744" s="952"/>
      <c r="AP744" s="1066"/>
      <c r="AQ744" s="972"/>
      <c r="AR744" s="1917"/>
      <c r="AS744" s="222"/>
      <c r="AZ744" s="889"/>
      <c r="BC744" s="890"/>
      <c r="BD744" s="952"/>
      <c r="BE744" s="75"/>
      <c r="BF744" s="572"/>
      <c r="BG744" s="983"/>
      <c r="BH744" s="222"/>
      <c r="BL744" s="889"/>
      <c r="BO744" s="223"/>
    </row>
    <row r="745" spans="1:67" s="74" customFormat="1">
      <c r="A745" s="15"/>
      <c r="B745" s="15"/>
      <c r="C745" s="15"/>
      <c r="D745" s="15"/>
      <c r="E745" s="6"/>
      <c r="F745" s="6"/>
      <c r="G745" s="6"/>
      <c r="K745" s="223"/>
      <c r="M745" s="889"/>
      <c r="P745" s="890"/>
      <c r="T745" s="889"/>
      <c r="X745" s="15"/>
      <c r="Y745" s="1935"/>
      <c r="Z745" s="1086"/>
      <c r="AA745" s="230"/>
      <c r="AB745" s="230"/>
      <c r="AC745" s="1936"/>
      <c r="AD745" s="230"/>
      <c r="AE745" s="230"/>
      <c r="AF745" s="230"/>
      <c r="AG745" s="890"/>
      <c r="AJ745" s="890"/>
      <c r="AN745" s="223"/>
      <c r="AO745" s="952"/>
      <c r="AP745" s="1066"/>
      <c r="AQ745" s="972"/>
      <c r="AR745" s="1917"/>
      <c r="AS745" s="222"/>
      <c r="AZ745" s="889"/>
      <c r="BC745" s="890"/>
      <c r="BD745" s="952"/>
      <c r="BE745" s="75"/>
      <c r="BF745" s="572"/>
      <c r="BG745" s="983"/>
      <c r="BH745" s="222"/>
      <c r="BL745" s="889"/>
      <c r="BO745" s="223"/>
    </row>
    <row r="746" spans="1:67" s="74" customFormat="1">
      <c r="A746" s="15"/>
      <c r="B746" s="15"/>
      <c r="C746" s="15"/>
      <c r="D746" s="15"/>
      <c r="E746" s="6"/>
      <c r="F746" s="6"/>
      <c r="G746" s="6"/>
      <c r="K746" s="223"/>
      <c r="M746" s="889"/>
      <c r="P746" s="890"/>
      <c r="T746" s="889"/>
      <c r="X746" s="15"/>
      <c r="Y746" s="1935"/>
      <c r="Z746" s="1086"/>
      <c r="AA746" s="230"/>
      <c r="AB746" s="230"/>
      <c r="AC746" s="1936"/>
      <c r="AD746" s="230"/>
      <c r="AE746" s="230"/>
      <c r="AF746" s="230"/>
      <c r="AG746" s="890"/>
      <c r="AJ746" s="890"/>
      <c r="AN746" s="223"/>
      <c r="AO746" s="952"/>
      <c r="AP746" s="1066"/>
      <c r="AQ746" s="972"/>
      <c r="AR746" s="1917"/>
      <c r="AS746" s="222"/>
      <c r="AZ746" s="889"/>
      <c r="BC746" s="890"/>
      <c r="BD746" s="952"/>
      <c r="BE746" s="75"/>
      <c r="BF746" s="572"/>
      <c r="BG746" s="983"/>
      <c r="BH746" s="222"/>
      <c r="BL746" s="889"/>
      <c r="BO746" s="223"/>
    </row>
    <row r="747" spans="1:67" s="74" customFormat="1">
      <c r="A747" s="15"/>
      <c r="B747" s="15"/>
      <c r="C747" s="15"/>
      <c r="D747" s="15"/>
      <c r="E747" s="6"/>
      <c r="F747" s="6"/>
      <c r="G747" s="6"/>
      <c r="K747" s="223"/>
      <c r="M747" s="889"/>
      <c r="P747" s="890"/>
      <c r="T747" s="889"/>
      <c r="X747" s="15"/>
      <c r="Y747" s="1935"/>
      <c r="Z747" s="1086"/>
      <c r="AA747" s="230"/>
      <c r="AB747" s="230"/>
      <c r="AC747" s="1936"/>
      <c r="AD747" s="230"/>
      <c r="AE747" s="230"/>
      <c r="AF747" s="230"/>
      <c r="AG747" s="890"/>
      <c r="AJ747" s="890"/>
      <c r="AN747" s="223"/>
      <c r="AO747" s="952"/>
      <c r="AP747" s="1066"/>
      <c r="AQ747" s="972"/>
      <c r="AR747" s="1917"/>
      <c r="AS747" s="222"/>
      <c r="AZ747" s="889"/>
      <c r="BC747" s="890"/>
      <c r="BD747" s="952"/>
      <c r="BE747" s="75"/>
      <c r="BF747" s="572"/>
      <c r="BG747" s="983"/>
      <c r="BH747" s="222"/>
      <c r="BL747" s="889"/>
      <c r="BO747" s="223"/>
    </row>
    <row r="748" spans="1:67" s="74" customFormat="1">
      <c r="A748" s="15"/>
      <c r="B748" s="15"/>
      <c r="C748" s="15"/>
      <c r="D748" s="15"/>
      <c r="E748" s="6"/>
      <c r="F748" s="6"/>
      <c r="G748" s="6"/>
      <c r="K748" s="223"/>
      <c r="M748" s="889"/>
      <c r="P748" s="890"/>
      <c r="T748" s="889"/>
      <c r="X748" s="15"/>
      <c r="Y748" s="1935"/>
      <c r="Z748" s="1086"/>
      <c r="AA748" s="230"/>
      <c r="AB748" s="230"/>
      <c r="AC748" s="1936"/>
      <c r="AD748" s="230"/>
      <c r="AE748" s="230"/>
      <c r="AF748" s="230"/>
      <c r="AG748" s="890"/>
      <c r="AJ748" s="890"/>
      <c r="AN748" s="223"/>
      <c r="AO748" s="952"/>
      <c r="AP748" s="1066"/>
      <c r="AQ748" s="972"/>
      <c r="AR748" s="1917"/>
      <c r="AS748" s="222"/>
      <c r="AZ748" s="889"/>
      <c r="BC748" s="890"/>
      <c r="BD748" s="952"/>
      <c r="BE748" s="75"/>
      <c r="BF748" s="572"/>
      <c r="BG748" s="983"/>
      <c r="BH748" s="222"/>
      <c r="BL748" s="889"/>
      <c r="BO748" s="223"/>
    </row>
    <row r="749" spans="1:67" s="74" customFormat="1">
      <c r="A749" s="15"/>
      <c r="B749" s="15"/>
      <c r="C749" s="15"/>
      <c r="D749" s="15"/>
      <c r="E749" s="6"/>
      <c r="F749" s="6"/>
      <c r="G749" s="6"/>
      <c r="K749" s="223"/>
      <c r="M749" s="889"/>
      <c r="P749" s="890"/>
      <c r="T749" s="889"/>
      <c r="X749" s="15"/>
      <c r="Y749" s="1935"/>
      <c r="Z749" s="1086"/>
      <c r="AA749" s="230"/>
      <c r="AB749" s="230"/>
      <c r="AC749" s="1936"/>
      <c r="AD749" s="230"/>
      <c r="AE749" s="230"/>
      <c r="AF749" s="230"/>
      <c r="AG749" s="890"/>
      <c r="AJ749" s="890"/>
      <c r="AN749" s="223"/>
      <c r="AO749" s="952"/>
      <c r="AP749" s="1066"/>
      <c r="AQ749" s="972"/>
      <c r="AR749" s="1917"/>
      <c r="AS749" s="222"/>
      <c r="AZ749" s="889"/>
      <c r="BC749" s="890"/>
      <c r="BD749" s="952"/>
      <c r="BE749" s="75"/>
      <c r="BF749" s="572"/>
      <c r="BG749" s="983"/>
      <c r="BH749" s="222"/>
      <c r="BL749" s="889"/>
      <c r="BO749" s="223"/>
    </row>
    <row r="750" spans="1:67" s="74" customFormat="1">
      <c r="A750" s="15"/>
      <c r="B750" s="15"/>
      <c r="C750" s="15"/>
      <c r="D750" s="15"/>
      <c r="E750" s="6"/>
      <c r="F750" s="6"/>
      <c r="G750" s="6"/>
      <c r="K750" s="223"/>
      <c r="M750" s="889"/>
      <c r="P750" s="890"/>
      <c r="T750" s="889"/>
      <c r="X750" s="15"/>
      <c r="Y750" s="1935"/>
      <c r="Z750" s="1086"/>
      <c r="AA750" s="230"/>
      <c r="AB750" s="230"/>
      <c r="AC750" s="1936"/>
      <c r="AD750" s="230"/>
      <c r="AE750" s="230"/>
      <c r="AF750" s="230"/>
      <c r="AG750" s="890"/>
      <c r="AJ750" s="890"/>
      <c r="AN750" s="223"/>
      <c r="AO750" s="952"/>
      <c r="AP750" s="1066"/>
      <c r="AQ750" s="972"/>
      <c r="AR750" s="1917"/>
      <c r="AS750" s="222"/>
      <c r="AZ750" s="889"/>
      <c r="BC750" s="890"/>
      <c r="BD750" s="952"/>
      <c r="BE750" s="75"/>
      <c r="BF750" s="572"/>
      <c r="BG750" s="983"/>
      <c r="BH750" s="222"/>
      <c r="BL750" s="889"/>
      <c r="BO750" s="223"/>
    </row>
    <row r="751" spans="1:67" s="74" customFormat="1">
      <c r="A751" s="15"/>
      <c r="B751" s="15"/>
      <c r="C751" s="15"/>
      <c r="D751" s="15"/>
      <c r="E751" s="6"/>
      <c r="F751" s="6"/>
      <c r="G751" s="6"/>
      <c r="K751" s="223"/>
      <c r="M751" s="889"/>
      <c r="P751" s="890"/>
      <c r="T751" s="889"/>
      <c r="X751" s="15"/>
      <c r="Y751" s="1935"/>
      <c r="Z751" s="1086"/>
      <c r="AA751" s="230"/>
      <c r="AB751" s="230"/>
      <c r="AC751" s="1936"/>
      <c r="AD751" s="230"/>
      <c r="AE751" s="230"/>
      <c r="AF751" s="230"/>
      <c r="AG751" s="890"/>
      <c r="AJ751" s="890"/>
      <c r="AN751" s="223"/>
      <c r="AO751" s="952"/>
      <c r="AP751" s="1066"/>
      <c r="AQ751" s="972"/>
      <c r="AR751" s="1917"/>
      <c r="AS751" s="222"/>
      <c r="AZ751" s="889"/>
      <c r="BC751" s="890"/>
      <c r="BD751" s="952"/>
      <c r="BE751" s="75"/>
      <c r="BF751" s="572"/>
      <c r="BG751" s="983"/>
      <c r="BH751" s="222"/>
      <c r="BL751" s="889"/>
      <c r="BO751" s="223"/>
    </row>
    <row r="752" spans="1:67" s="74" customFormat="1">
      <c r="A752" s="15"/>
      <c r="B752" s="15"/>
      <c r="C752" s="15"/>
      <c r="D752" s="15"/>
      <c r="E752" s="6"/>
      <c r="F752" s="6"/>
      <c r="G752" s="6"/>
      <c r="K752" s="223"/>
      <c r="M752" s="889"/>
      <c r="P752" s="890"/>
      <c r="T752" s="889"/>
      <c r="X752" s="15"/>
      <c r="Y752" s="1935"/>
      <c r="Z752" s="1086"/>
      <c r="AA752" s="230"/>
      <c r="AB752" s="230"/>
      <c r="AC752" s="1936"/>
      <c r="AD752" s="230"/>
      <c r="AE752" s="230"/>
      <c r="AF752" s="230"/>
      <c r="AG752" s="890"/>
      <c r="AJ752" s="890"/>
      <c r="AN752" s="223"/>
      <c r="AO752" s="952"/>
      <c r="AP752" s="1066"/>
      <c r="AQ752" s="972"/>
      <c r="AR752" s="1917"/>
      <c r="AS752" s="222"/>
      <c r="AZ752" s="889"/>
      <c r="BC752" s="890"/>
      <c r="BD752" s="952"/>
      <c r="BE752" s="75"/>
      <c r="BF752" s="572"/>
      <c r="BG752" s="983"/>
      <c r="BH752" s="222"/>
      <c r="BL752" s="889"/>
      <c r="BO752" s="223"/>
    </row>
    <row r="753" spans="1:67" s="74" customFormat="1">
      <c r="A753" s="15"/>
      <c r="B753" s="15"/>
      <c r="C753" s="15"/>
      <c r="D753" s="15"/>
      <c r="E753" s="6"/>
      <c r="F753" s="6"/>
      <c r="G753" s="6"/>
      <c r="K753" s="223"/>
      <c r="M753" s="889"/>
      <c r="P753" s="890"/>
      <c r="T753" s="889"/>
      <c r="X753" s="15"/>
      <c r="Y753" s="1935"/>
      <c r="Z753" s="1086"/>
      <c r="AA753" s="230"/>
      <c r="AB753" s="230"/>
      <c r="AC753" s="1936"/>
      <c r="AD753" s="230"/>
      <c r="AE753" s="230"/>
      <c r="AF753" s="230"/>
      <c r="AG753" s="890"/>
      <c r="AJ753" s="890"/>
      <c r="AN753" s="223"/>
      <c r="AO753" s="952"/>
      <c r="AP753" s="1066"/>
      <c r="AQ753" s="972"/>
      <c r="AR753" s="1917"/>
      <c r="AS753" s="222"/>
      <c r="AZ753" s="889"/>
      <c r="BC753" s="890"/>
      <c r="BD753" s="952"/>
      <c r="BE753" s="75"/>
      <c r="BF753" s="572"/>
      <c r="BG753" s="983"/>
      <c r="BH753" s="222"/>
      <c r="BL753" s="889"/>
      <c r="BO753" s="223"/>
    </row>
    <row r="754" spans="1:67" s="74" customFormat="1">
      <c r="A754" s="15"/>
      <c r="B754" s="15"/>
      <c r="C754" s="15"/>
      <c r="D754" s="15"/>
      <c r="E754" s="6"/>
      <c r="F754" s="6"/>
      <c r="G754" s="6"/>
      <c r="K754" s="223"/>
      <c r="M754" s="889"/>
      <c r="P754" s="890"/>
      <c r="T754" s="889"/>
      <c r="X754" s="15"/>
      <c r="Y754" s="1935"/>
      <c r="Z754" s="1086"/>
      <c r="AA754" s="230"/>
      <c r="AB754" s="230"/>
      <c r="AC754" s="1936"/>
      <c r="AD754" s="230"/>
      <c r="AE754" s="230"/>
      <c r="AF754" s="230"/>
      <c r="AG754" s="890"/>
      <c r="AJ754" s="890"/>
      <c r="AN754" s="223"/>
      <c r="AO754" s="952"/>
      <c r="AP754" s="1066"/>
      <c r="AQ754" s="972"/>
      <c r="AR754" s="1917"/>
      <c r="AS754" s="222"/>
      <c r="AZ754" s="889"/>
      <c r="BC754" s="890"/>
      <c r="BD754" s="952"/>
      <c r="BE754" s="75"/>
      <c r="BF754" s="572"/>
      <c r="BG754" s="983"/>
      <c r="BH754" s="222"/>
      <c r="BL754" s="889"/>
      <c r="BO754" s="223"/>
    </row>
    <row r="755" spans="1:67" s="74" customFormat="1">
      <c r="A755" s="15"/>
      <c r="B755" s="15"/>
      <c r="C755" s="15"/>
      <c r="D755" s="15"/>
      <c r="E755" s="6"/>
      <c r="F755" s="6"/>
      <c r="G755" s="6"/>
      <c r="K755" s="223"/>
      <c r="M755" s="889"/>
      <c r="P755" s="890"/>
      <c r="T755" s="889"/>
      <c r="X755" s="15"/>
      <c r="Y755" s="1935"/>
      <c r="Z755" s="1086"/>
      <c r="AA755" s="230"/>
      <c r="AB755" s="230"/>
      <c r="AC755" s="1936"/>
      <c r="AD755" s="230"/>
      <c r="AE755" s="230"/>
      <c r="AF755" s="230"/>
      <c r="AG755" s="890"/>
      <c r="AJ755" s="890"/>
      <c r="AN755" s="223"/>
      <c r="AO755" s="952"/>
      <c r="AP755" s="1066"/>
      <c r="AQ755" s="972"/>
      <c r="AR755" s="1917"/>
      <c r="AS755" s="222"/>
      <c r="AZ755" s="889"/>
      <c r="BC755" s="890"/>
      <c r="BD755" s="952"/>
      <c r="BE755" s="75"/>
      <c r="BF755" s="572"/>
      <c r="BG755" s="983"/>
      <c r="BH755" s="222"/>
      <c r="BL755" s="889"/>
      <c r="BO755" s="223"/>
    </row>
    <row r="756" spans="1:67" s="74" customFormat="1">
      <c r="A756" s="15"/>
      <c r="B756" s="15"/>
      <c r="C756" s="15"/>
      <c r="D756" s="15"/>
      <c r="E756" s="6"/>
      <c r="F756" s="6"/>
      <c r="G756" s="6"/>
      <c r="K756" s="223"/>
      <c r="M756" s="889"/>
      <c r="P756" s="890"/>
      <c r="T756" s="889"/>
      <c r="X756" s="15"/>
      <c r="Y756" s="1935"/>
      <c r="Z756" s="1086"/>
      <c r="AA756" s="230"/>
      <c r="AB756" s="230"/>
      <c r="AC756" s="1936"/>
      <c r="AD756" s="230"/>
      <c r="AE756" s="230"/>
      <c r="AF756" s="230"/>
      <c r="AG756" s="890"/>
      <c r="AJ756" s="890"/>
      <c r="AN756" s="223"/>
      <c r="AO756" s="952"/>
      <c r="AP756" s="1066"/>
      <c r="AQ756" s="972"/>
      <c r="AR756" s="1917"/>
      <c r="AS756" s="222"/>
      <c r="AZ756" s="889"/>
      <c r="BC756" s="890"/>
      <c r="BD756" s="952"/>
      <c r="BE756" s="75"/>
      <c r="BF756" s="572"/>
      <c r="BG756" s="983"/>
      <c r="BH756" s="222"/>
      <c r="BL756" s="889"/>
      <c r="BO756" s="223"/>
    </row>
    <row r="757" spans="1:67" s="74" customFormat="1">
      <c r="A757" s="15"/>
      <c r="B757" s="15"/>
      <c r="C757" s="15"/>
      <c r="D757" s="15"/>
      <c r="E757" s="6"/>
      <c r="F757" s="6"/>
      <c r="G757" s="6"/>
      <c r="K757" s="223"/>
      <c r="M757" s="889"/>
      <c r="P757" s="890"/>
      <c r="T757" s="889"/>
      <c r="X757" s="15"/>
      <c r="Y757" s="1935"/>
      <c r="Z757" s="1086"/>
      <c r="AA757" s="230"/>
      <c r="AB757" s="230"/>
      <c r="AC757" s="1936"/>
      <c r="AD757" s="230"/>
      <c r="AE757" s="230"/>
      <c r="AF757" s="230"/>
      <c r="AG757" s="890"/>
      <c r="AJ757" s="890"/>
      <c r="AN757" s="223"/>
      <c r="AO757" s="952"/>
      <c r="AP757" s="1066"/>
      <c r="AQ757" s="972"/>
      <c r="AR757" s="1917"/>
      <c r="AS757" s="222"/>
      <c r="AZ757" s="889"/>
      <c r="BC757" s="890"/>
      <c r="BD757" s="952"/>
      <c r="BE757" s="75"/>
      <c r="BF757" s="572"/>
      <c r="BG757" s="983"/>
      <c r="BH757" s="222"/>
      <c r="BL757" s="889"/>
      <c r="BO757" s="223"/>
    </row>
    <row r="758" spans="1:67" s="74" customFormat="1">
      <c r="A758" s="15"/>
      <c r="B758" s="15"/>
      <c r="C758" s="15"/>
      <c r="D758" s="15"/>
      <c r="E758" s="6"/>
      <c r="F758" s="6"/>
      <c r="G758" s="6"/>
      <c r="K758" s="223"/>
      <c r="M758" s="889"/>
      <c r="P758" s="890"/>
      <c r="T758" s="889"/>
      <c r="X758" s="15"/>
      <c r="Y758" s="1935"/>
      <c r="Z758" s="1086"/>
      <c r="AA758" s="230"/>
      <c r="AB758" s="230"/>
      <c r="AC758" s="1936"/>
      <c r="AD758" s="230"/>
      <c r="AE758" s="230"/>
      <c r="AF758" s="230"/>
      <c r="AG758" s="890"/>
      <c r="AJ758" s="890"/>
      <c r="AN758" s="223"/>
      <c r="AO758" s="952"/>
      <c r="AP758" s="1066"/>
      <c r="AQ758" s="972"/>
      <c r="AR758" s="1917"/>
      <c r="AS758" s="222"/>
      <c r="AZ758" s="889"/>
      <c r="BC758" s="890"/>
      <c r="BD758" s="952"/>
      <c r="BE758" s="75"/>
      <c r="BF758" s="572"/>
      <c r="BG758" s="983"/>
      <c r="BH758" s="222"/>
      <c r="BL758" s="889"/>
      <c r="BO758" s="223"/>
    </row>
    <row r="759" spans="1:67" s="74" customFormat="1">
      <c r="A759" s="15"/>
      <c r="B759" s="15"/>
      <c r="C759" s="15"/>
      <c r="D759" s="15"/>
      <c r="E759" s="6"/>
      <c r="F759" s="6"/>
      <c r="G759" s="6"/>
      <c r="K759" s="223"/>
      <c r="M759" s="889"/>
      <c r="P759" s="890"/>
      <c r="T759" s="889"/>
      <c r="X759" s="15"/>
      <c r="Y759" s="1935"/>
      <c r="Z759" s="1086"/>
      <c r="AA759" s="230"/>
      <c r="AB759" s="230"/>
      <c r="AC759" s="1936"/>
      <c r="AD759" s="230"/>
      <c r="AE759" s="230"/>
      <c r="AF759" s="230"/>
      <c r="AG759" s="890"/>
      <c r="AJ759" s="890"/>
      <c r="AN759" s="223"/>
      <c r="AO759" s="952"/>
      <c r="AP759" s="1066"/>
      <c r="AQ759" s="972"/>
      <c r="AR759" s="1917"/>
      <c r="AS759" s="222"/>
      <c r="AZ759" s="889"/>
      <c r="BC759" s="890"/>
      <c r="BD759" s="952"/>
      <c r="BE759" s="75"/>
      <c r="BF759" s="572"/>
      <c r="BG759" s="983"/>
      <c r="BH759" s="222"/>
      <c r="BL759" s="889"/>
      <c r="BO759" s="223"/>
    </row>
    <row r="760" spans="1:67" s="74" customFormat="1">
      <c r="A760" s="15"/>
      <c r="B760" s="15"/>
      <c r="C760" s="15"/>
      <c r="D760" s="15"/>
      <c r="E760" s="6"/>
      <c r="F760" s="6"/>
      <c r="G760" s="6"/>
      <c r="K760" s="223"/>
      <c r="M760" s="889"/>
      <c r="P760" s="890"/>
      <c r="T760" s="889"/>
      <c r="X760" s="15"/>
      <c r="Y760" s="1935"/>
      <c r="Z760" s="1086"/>
      <c r="AA760" s="230"/>
      <c r="AB760" s="230"/>
      <c r="AC760" s="1936"/>
      <c r="AD760" s="230"/>
      <c r="AE760" s="230"/>
      <c r="AF760" s="230"/>
      <c r="AG760" s="890"/>
      <c r="AJ760" s="890"/>
      <c r="AN760" s="223"/>
      <c r="AO760" s="952"/>
      <c r="AP760" s="1066"/>
      <c r="AQ760" s="972"/>
      <c r="AR760" s="1917"/>
      <c r="AS760" s="222"/>
      <c r="AZ760" s="889"/>
      <c r="BC760" s="890"/>
      <c r="BD760" s="952"/>
      <c r="BE760" s="75"/>
      <c r="BF760" s="572"/>
      <c r="BG760" s="983"/>
      <c r="BH760" s="222"/>
      <c r="BL760" s="889"/>
      <c r="BO760" s="223"/>
    </row>
    <row r="761" spans="1:67" s="74" customFormat="1">
      <c r="A761" s="15"/>
      <c r="B761" s="15"/>
      <c r="C761" s="15"/>
      <c r="D761" s="15"/>
      <c r="E761" s="6"/>
      <c r="F761" s="6"/>
      <c r="G761" s="6"/>
      <c r="K761" s="223"/>
      <c r="M761" s="889"/>
      <c r="P761" s="890"/>
      <c r="T761" s="889"/>
      <c r="X761" s="15"/>
      <c r="Y761" s="1935"/>
      <c r="Z761" s="1086"/>
      <c r="AA761" s="230"/>
      <c r="AB761" s="230"/>
      <c r="AC761" s="1936"/>
      <c r="AD761" s="230"/>
      <c r="AE761" s="230"/>
      <c r="AF761" s="230"/>
      <c r="AG761" s="890"/>
      <c r="AJ761" s="890"/>
      <c r="AN761" s="223"/>
      <c r="AO761" s="952"/>
      <c r="AP761" s="1066"/>
      <c r="AQ761" s="972"/>
      <c r="AR761" s="1917"/>
      <c r="AS761" s="222"/>
      <c r="AZ761" s="889"/>
      <c r="BC761" s="890"/>
      <c r="BD761" s="952"/>
      <c r="BE761" s="75"/>
      <c r="BF761" s="572"/>
      <c r="BG761" s="983"/>
      <c r="BH761" s="222"/>
      <c r="BL761" s="889"/>
      <c r="BO761" s="223"/>
    </row>
    <row r="762" spans="1:67" s="74" customFormat="1">
      <c r="A762" s="15"/>
      <c r="B762" s="15"/>
      <c r="C762" s="15"/>
      <c r="D762" s="15"/>
      <c r="E762" s="6"/>
      <c r="F762" s="6"/>
      <c r="G762" s="6"/>
      <c r="K762" s="223"/>
      <c r="M762" s="889"/>
      <c r="P762" s="890"/>
      <c r="T762" s="889"/>
      <c r="X762" s="15"/>
      <c r="Y762" s="1935"/>
      <c r="Z762" s="1086"/>
      <c r="AA762" s="230"/>
      <c r="AB762" s="230"/>
      <c r="AC762" s="1936"/>
      <c r="AD762" s="230"/>
      <c r="AE762" s="230"/>
      <c r="AF762" s="230"/>
      <c r="AG762" s="890"/>
      <c r="AJ762" s="890"/>
      <c r="AN762" s="223"/>
      <c r="AO762" s="952"/>
      <c r="AP762" s="1066"/>
      <c r="AQ762" s="972"/>
      <c r="AR762" s="1917"/>
      <c r="AS762" s="222"/>
      <c r="AZ762" s="889"/>
      <c r="BC762" s="890"/>
      <c r="BD762" s="952"/>
      <c r="BE762" s="75"/>
      <c r="BF762" s="572"/>
      <c r="BG762" s="983"/>
      <c r="BH762" s="222"/>
      <c r="BL762" s="889"/>
      <c r="BO762" s="223"/>
    </row>
    <row r="763" spans="1:67" s="74" customFormat="1">
      <c r="A763" s="15"/>
      <c r="B763" s="15"/>
      <c r="C763" s="15"/>
      <c r="D763" s="15"/>
      <c r="E763" s="6"/>
      <c r="F763" s="6"/>
      <c r="G763" s="6"/>
      <c r="K763" s="223"/>
      <c r="M763" s="889"/>
      <c r="P763" s="890"/>
      <c r="T763" s="889"/>
      <c r="X763" s="15"/>
      <c r="Y763" s="1935"/>
      <c r="Z763" s="1086"/>
      <c r="AA763" s="230"/>
      <c r="AB763" s="230"/>
      <c r="AC763" s="1936"/>
      <c r="AD763" s="230"/>
      <c r="AE763" s="230"/>
      <c r="AF763" s="230"/>
      <c r="AG763" s="890"/>
      <c r="AJ763" s="890"/>
      <c r="AN763" s="223"/>
      <c r="AO763" s="952"/>
      <c r="AP763" s="1066"/>
      <c r="AQ763" s="972"/>
      <c r="AR763" s="1917"/>
      <c r="AS763" s="222"/>
      <c r="AZ763" s="889"/>
      <c r="BC763" s="890"/>
      <c r="BD763" s="952"/>
      <c r="BE763" s="75"/>
      <c r="BF763" s="572"/>
      <c r="BG763" s="983"/>
      <c r="BH763" s="222"/>
      <c r="BL763" s="889"/>
      <c r="BO763" s="223"/>
    </row>
    <row r="764" spans="1:67" s="74" customFormat="1">
      <c r="A764" s="15"/>
      <c r="B764" s="15"/>
      <c r="C764" s="15"/>
      <c r="D764" s="15"/>
      <c r="E764" s="6"/>
      <c r="F764" s="6"/>
      <c r="G764" s="6"/>
      <c r="K764" s="223"/>
      <c r="M764" s="889"/>
      <c r="P764" s="890"/>
      <c r="T764" s="889"/>
      <c r="X764" s="15"/>
      <c r="Y764" s="1935"/>
      <c r="Z764" s="1086"/>
      <c r="AA764" s="230"/>
      <c r="AB764" s="230"/>
      <c r="AC764" s="1936"/>
      <c r="AD764" s="230"/>
      <c r="AE764" s="230"/>
      <c r="AF764" s="230"/>
      <c r="AG764" s="890"/>
      <c r="AJ764" s="890"/>
      <c r="AN764" s="223"/>
      <c r="AO764" s="952"/>
      <c r="AP764" s="1066"/>
      <c r="AQ764" s="972"/>
      <c r="AR764" s="1917"/>
      <c r="AS764" s="222"/>
      <c r="AZ764" s="889"/>
      <c r="BC764" s="890"/>
      <c r="BD764" s="952"/>
      <c r="BE764" s="75"/>
      <c r="BF764" s="572"/>
      <c r="BG764" s="983"/>
      <c r="BH764" s="222"/>
      <c r="BL764" s="889"/>
      <c r="BO764" s="223"/>
    </row>
    <row r="765" spans="1:67" s="74" customFormat="1">
      <c r="A765" s="15"/>
      <c r="B765" s="15"/>
      <c r="C765" s="15"/>
      <c r="D765" s="15"/>
      <c r="E765" s="6"/>
      <c r="F765" s="6"/>
      <c r="G765" s="6"/>
      <c r="K765" s="223"/>
      <c r="M765" s="889"/>
      <c r="P765" s="890"/>
      <c r="T765" s="889"/>
      <c r="X765" s="15"/>
      <c r="Y765" s="1935"/>
      <c r="Z765" s="1086"/>
      <c r="AA765" s="230"/>
      <c r="AB765" s="230"/>
      <c r="AC765" s="1936"/>
      <c r="AD765" s="230"/>
      <c r="AE765" s="230"/>
      <c r="AF765" s="230"/>
      <c r="AG765" s="890"/>
      <c r="AJ765" s="890"/>
      <c r="AN765" s="223"/>
      <c r="AO765" s="952"/>
      <c r="AP765" s="1066"/>
      <c r="AQ765" s="972"/>
      <c r="AR765" s="1917"/>
      <c r="AS765" s="222"/>
      <c r="AZ765" s="889"/>
      <c r="BC765" s="890"/>
      <c r="BD765" s="952"/>
      <c r="BE765" s="75"/>
      <c r="BF765" s="572"/>
      <c r="BG765" s="983"/>
      <c r="BH765" s="222"/>
      <c r="BL765" s="889"/>
      <c r="BO765" s="223"/>
    </row>
    <row r="766" spans="1:67" s="74" customFormat="1">
      <c r="A766" s="15"/>
      <c r="B766" s="15"/>
      <c r="C766" s="15"/>
      <c r="D766" s="15"/>
      <c r="E766" s="6"/>
      <c r="F766" s="6"/>
      <c r="G766" s="6"/>
      <c r="K766" s="223"/>
      <c r="M766" s="889"/>
      <c r="P766" s="890"/>
      <c r="T766" s="889"/>
      <c r="X766" s="15"/>
      <c r="Y766" s="1935"/>
      <c r="Z766" s="1086"/>
      <c r="AA766" s="230"/>
      <c r="AB766" s="230"/>
      <c r="AC766" s="1936"/>
      <c r="AD766" s="230"/>
      <c r="AE766" s="230"/>
      <c r="AF766" s="230"/>
      <c r="AG766" s="890"/>
      <c r="AJ766" s="890"/>
      <c r="AN766" s="223"/>
      <c r="AO766" s="952"/>
      <c r="AP766" s="1066"/>
      <c r="AQ766" s="972"/>
      <c r="AR766" s="1917"/>
      <c r="AS766" s="222"/>
      <c r="AZ766" s="889"/>
      <c r="BC766" s="890"/>
      <c r="BD766" s="952"/>
      <c r="BE766" s="75"/>
      <c r="BF766" s="572"/>
      <c r="BG766" s="983"/>
      <c r="BH766" s="222"/>
      <c r="BL766" s="889"/>
      <c r="BO766" s="223"/>
    </row>
    <row r="767" spans="1:67" s="74" customFormat="1">
      <c r="A767" s="15"/>
      <c r="B767" s="15"/>
      <c r="C767" s="15"/>
      <c r="D767" s="15"/>
      <c r="E767" s="6"/>
      <c r="F767" s="6"/>
      <c r="G767" s="6"/>
      <c r="K767" s="223"/>
      <c r="M767" s="889"/>
      <c r="P767" s="890"/>
      <c r="T767" s="889"/>
      <c r="X767" s="15"/>
      <c r="Y767" s="1935"/>
      <c r="Z767" s="1086"/>
      <c r="AA767" s="230"/>
      <c r="AB767" s="230"/>
      <c r="AC767" s="1936"/>
      <c r="AD767" s="230"/>
      <c r="AE767" s="230"/>
      <c r="AF767" s="230"/>
      <c r="AG767" s="890"/>
      <c r="AJ767" s="890"/>
      <c r="AN767" s="223"/>
      <c r="AO767" s="952"/>
      <c r="AP767" s="1066"/>
      <c r="AQ767" s="972"/>
      <c r="AR767" s="1917"/>
      <c r="AS767" s="222"/>
      <c r="AZ767" s="889"/>
      <c r="BC767" s="890"/>
      <c r="BD767" s="952"/>
      <c r="BE767" s="75"/>
      <c r="BF767" s="572"/>
      <c r="BG767" s="983"/>
      <c r="BH767" s="222"/>
      <c r="BL767" s="889"/>
      <c r="BO767" s="223"/>
    </row>
    <row r="768" spans="1:67" s="74" customFormat="1">
      <c r="A768" s="15"/>
      <c r="B768" s="15"/>
      <c r="C768" s="15"/>
      <c r="D768" s="15"/>
      <c r="E768" s="6"/>
      <c r="F768" s="6"/>
      <c r="G768" s="6"/>
      <c r="K768" s="223"/>
      <c r="M768" s="889"/>
      <c r="P768" s="890"/>
      <c r="T768" s="889"/>
      <c r="X768" s="15"/>
      <c r="Y768" s="1935"/>
      <c r="Z768" s="1086"/>
      <c r="AA768" s="230"/>
      <c r="AB768" s="230"/>
      <c r="AC768" s="1936"/>
      <c r="AD768" s="230"/>
      <c r="AE768" s="230"/>
      <c r="AF768" s="230"/>
      <c r="AG768" s="890"/>
      <c r="AJ768" s="890"/>
      <c r="AN768" s="223"/>
      <c r="AO768" s="952"/>
      <c r="AP768" s="1066"/>
      <c r="AQ768" s="972"/>
      <c r="AR768" s="1917"/>
      <c r="AS768" s="222"/>
      <c r="AZ768" s="889"/>
      <c r="BC768" s="890"/>
      <c r="BD768" s="952"/>
      <c r="BE768" s="75"/>
      <c r="BF768" s="572"/>
      <c r="BG768" s="983"/>
      <c r="BH768" s="222"/>
      <c r="BL768" s="889"/>
      <c r="BO768" s="223"/>
    </row>
    <row r="769" spans="1:67" s="74" customFormat="1">
      <c r="A769" s="15"/>
      <c r="B769" s="15"/>
      <c r="C769" s="15"/>
      <c r="D769" s="15"/>
      <c r="E769" s="6"/>
      <c r="F769" s="6"/>
      <c r="G769" s="6"/>
      <c r="K769" s="223"/>
      <c r="M769" s="889"/>
      <c r="P769" s="890"/>
      <c r="T769" s="889"/>
      <c r="X769" s="15"/>
      <c r="Y769" s="1935"/>
      <c r="Z769" s="1086"/>
      <c r="AA769" s="230"/>
      <c r="AB769" s="230"/>
      <c r="AC769" s="1936"/>
      <c r="AD769" s="230"/>
      <c r="AE769" s="230"/>
      <c r="AF769" s="230"/>
      <c r="AG769" s="890"/>
      <c r="AJ769" s="890"/>
      <c r="AN769" s="223"/>
      <c r="AO769" s="952"/>
      <c r="AP769" s="1066"/>
      <c r="AQ769" s="972"/>
      <c r="AR769" s="1917"/>
      <c r="AS769" s="222"/>
      <c r="AZ769" s="889"/>
      <c r="BC769" s="890"/>
      <c r="BD769" s="952"/>
      <c r="BE769" s="75"/>
      <c r="BF769" s="572"/>
      <c r="BG769" s="983"/>
      <c r="BH769" s="222"/>
      <c r="BL769" s="889"/>
      <c r="BO769" s="223"/>
    </row>
    <row r="770" spans="1:67" s="74" customFormat="1">
      <c r="A770" s="15"/>
      <c r="B770" s="15"/>
      <c r="C770" s="15"/>
      <c r="D770" s="15"/>
      <c r="E770" s="6"/>
      <c r="F770" s="6"/>
      <c r="G770" s="6"/>
      <c r="K770" s="223"/>
      <c r="M770" s="889"/>
      <c r="P770" s="890"/>
      <c r="T770" s="889"/>
      <c r="X770" s="15"/>
      <c r="Y770" s="1935"/>
      <c r="Z770" s="1086"/>
      <c r="AA770" s="230"/>
      <c r="AB770" s="230"/>
      <c r="AC770" s="1936"/>
      <c r="AD770" s="230"/>
      <c r="AE770" s="230"/>
      <c r="AF770" s="230"/>
      <c r="AG770" s="890"/>
      <c r="AJ770" s="890"/>
      <c r="AN770" s="223"/>
      <c r="AO770" s="952"/>
      <c r="AP770" s="1066"/>
      <c r="AQ770" s="972"/>
      <c r="AR770" s="1917"/>
      <c r="AS770" s="222"/>
      <c r="AZ770" s="889"/>
      <c r="BC770" s="890"/>
      <c r="BD770" s="952"/>
      <c r="BE770" s="75"/>
      <c r="BF770" s="572"/>
      <c r="BG770" s="983"/>
      <c r="BH770" s="222"/>
      <c r="BL770" s="889"/>
      <c r="BO770" s="223"/>
    </row>
    <row r="771" spans="1:67" s="74" customFormat="1">
      <c r="A771" s="15"/>
      <c r="B771" s="15"/>
      <c r="C771" s="15"/>
      <c r="D771" s="15"/>
      <c r="E771" s="6"/>
      <c r="F771" s="6"/>
      <c r="G771" s="6"/>
      <c r="K771" s="223"/>
      <c r="M771" s="889"/>
      <c r="P771" s="890"/>
      <c r="T771" s="889"/>
      <c r="X771" s="15"/>
      <c r="Y771" s="1935"/>
      <c r="Z771" s="1086"/>
      <c r="AA771" s="230"/>
      <c r="AB771" s="230"/>
      <c r="AC771" s="1936"/>
      <c r="AD771" s="230"/>
      <c r="AE771" s="230"/>
      <c r="AF771" s="230"/>
      <c r="AG771" s="890"/>
      <c r="AJ771" s="890"/>
      <c r="AN771" s="223"/>
      <c r="AO771" s="952"/>
      <c r="AP771" s="1066"/>
      <c r="AQ771" s="972"/>
      <c r="AR771" s="1917"/>
      <c r="AS771" s="222"/>
      <c r="AZ771" s="889"/>
      <c r="BC771" s="890"/>
      <c r="BD771" s="952"/>
      <c r="BE771" s="75"/>
      <c r="BF771" s="572"/>
      <c r="BG771" s="983"/>
      <c r="BH771" s="222"/>
      <c r="BL771" s="889"/>
      <c r="BO771" s="223"/>
    </row>
    <row r="772" spans="1:67" s="74" customFormat="1">
      <c r="A772" s="15"/>
      <c r="B772" s="15"/>
      <c r="C772" s="15"/>
      <c r="D772" s="15"/>
      <c r="E772" s="6"/>
      <c r="F772" s="6"/>
      <c r="G772" s="6"/>
      <c r="K772" s="223"/>
      <c r="M772" s="889"/>
      <c r="P772" s="890"/>
      <c r="T772" s="889"/>
      <c r="X772" s="15"/>
      <c r="Y772" s="1935"/>
      <c r="Z772" s="1086"/>
      <c r="AA772" s="230"/>
      <c r="AB772" s="230"/>
      <c r="AC772" s="1936"/>
      <c r="AD772" s="230"/>
      <c r="AE772" s="230"/>
      <c r="AF772" s="230"/>
      <c r="AG772" s="890"/>
      <c r="AJ772" s="890"/>
      <c r="AN772" s="223"/>
      <c r="AO772" s="952"/>
      <c r="AP772" s="1066"/>
      <c r="AQ772" s="972"/>
      <c r="AR772" s="1917"/>
      <c r="AS772" s="222"/>
      <c r="AZ772" s="889"/>
      <c r="BC772" s="890"/>
      <c r="BD772" s="952"/>
      <c r="BE772" s="75"/>
      <c r="BF772" s="572"/>
      <c r="BG772" s="983"/>
      <c r="BH772" s="222"/>
      <c r="BL772" s="889"/>
      <c r="BO772" s="223"/>
    </row>
    <row r="773" spans="1:67" s="74" customFormat="1">
      <c r="A773" s="15"/>
      <c r="B773" s="15"/>
      <c r="C773" s="15"/>
      <c r="D773" s="15"/>
      <c r="E773" s="6"/>
      <c r="F773" s="6"/>
      <c r="G773" s="6"/>
      <c r="K773" s="223"/>
      <c r="M773" s="889"/>
      <c r="P773" s="890"/>
      <c r="T773" s="889"/>
      <c r="X773" s="15"/>
      <c r="Y773" s="1935"/>
      <c r="Z773" s="1086"/>
      <c r="AA773" s="230"/>
      <c r="AB773" s="230"/>
      <c r="AC773" s="1936"/>
      <c r="AD773" s="230"/>
      <c r="AE773" s="230"/>
      <c r="AF773" s="230"/>
      <c r="AG773" s="890"/>
      <c r="AJ773" s="890"/>
      <c r="AN773" s="223"/>
      <c r="AO773" s="952"/>
      <c r="AP773" s="1066"/>
      <c r="AQ773" s="972"/>
      <c r="AR773" s="1917"/>
      <c r="AS773" s="222"/>
      <c r="AZ773" s="889"/>
      <c r="BC773" s="890"/>
      <c r="BD773" s="952"/>
      <c r="BE773" s="75"/>
      <c r="BF773" s="572"/>
      <c r="BG773" s="983"/>
      <c r="BH773" s="222"/>
      <c r="BL773" s="889"/>
      <c r="BO773" s="223"/>
    </row>
    <row r="774" spans="1:67" s="74" customFormat="1">
      <c r="A774" s="15"/>
      <c r="B774" s="15"/>
      <c r="C774" s="15"/>
      <c r="D774" s="15"/>
      <c r="E774" s="6"/>
      <c r="F774" s="6"/>
      <c r="G774" s="6"/>
      <c r="K774" s="223"/>
      <c r="M774" s="889"/>
      <c r="P774" s="890"/>
      <c r="T774" s="889"/>
      <c r="X774" s="15"/>
      <c r="Y774" s="1935"/>
      <c r="Z774" s="1086"/>
      <c r="AA774" s="230"/>
      <c r="AB774" s="230"/>
      <c r="AC774" s="1936"/>
      <c r="AD774" s="230"/>
      <c r="AE774" s="230"/>
      <c r="AF774" s="230"/>
      <c r="AG774" s="890"/>
      <c r="AJ774" s="890"/>
      <c r="AN774" s="223"/>
      <c r="AO774" s="952"/>
      <c r="AP774" s="1066"/>
      <c r="AQ774" s="972"/>
      <c r="AR774" s="1917"/>
      <c r="AS774" s="222"/>
      <c r="AZ774" s="889"/>
      <c r="BC774" s="890"/>
      <c r="BD774" s="952"/>
      <c r="BE774" s="75"/>
      <c r="BF774" s="572"/>
      <c r="BG774" s="983"/>
      <c r="BH774" s="222"/>
      <c r="BL774" s="889"/>
      <c r="BO774" s="223"/>
    </row>
    <row r="775" spans="1:67" s="74" customFormat="1">
      <c r="A775" s="15"/>
      <c r="B775" s="15"/>
      <c r="C775" s="15"/>
      <c r="D775" s="15"/>
      <c r="E775" s="6"/>
      <c r="F775" s="6"/>
      <c r="G775" s="6"/>
      <c r="K775" s="223"/>
      <c r="M775" s="889"/>
      <c r="P775" s="890"/>
      <c r="T775" s="889"/>
      <c r="X775" s="15"/>
      <c r="Y775" s="1935"/>
      <c r="Z775" s="1086"/>
      <c r="AA775" s="230"/>
      <c r="AB775" s="230"/>
      <c r="AC775" s="1936"/>
      <c r="AD775" s="230"/>
      <c r="AE775" s="230"/>
      <c r="AF775" s="230"/>
      <c r="AG775" s="890"/>
      <c r="AJ775" s="890"/>
      <c r="AN775" s="223"/>
      <c r="AO775" s="952"/>
      <c r="AP775" s="1066"/>
      <c r="AQ775" s="972"/>
      <c r="AR775" s="1917"/>
      <c r="AS775" s="222"/>
      <c r="AZ775" s="889"/>
      <c r="BC775" s="890"/>
      <c r="BD775" s="952"/>
      <c r="BE775" s="75"/>
      <c r="BF775" s="572"/>
      <c r="BG775" s="983"/>
      <c r="BH775" s="222"/>
      <c r="BL775" s="889"/>
      <c r="BO775" s="223"/>
    </row>
    <row r="776" spans="1:67" s="74" customFormat="1">
      <c r="A776" s="15"/>
      <c r="B776" s="15"/>
      <c r="C776" s="15"/>
      <c r="D776" s="15"/>
      <c r="E776" s="6"/>
      <c r="F776" s="6"/>
      <c r="G776" s="6"/>
      <c r="K776" s="223"/>
      <c r="M776" s="889"/>
      <c r="P776" s="890"/>
      <c r="T776" s="889"/>
      <c r="X776" s="15"/>
      <c r="Y776" s="1935"/>
      <c r="Z776" s="1086"/>
      <c r="AA776" s="230"/>
      <c r="AB776" s="230"/>
      <c r="AC776" s="1936"/>
      <c r="AD776" s="230"/>
      <c r="AE776" s="230"/>
      <c r="AF776" s="230"/>
      <c r="AG776" s="890"/>
      <c r="AJ776" s="890"/>
      <c r="AN776" s="223"/>
      <c r="AO776" s="952"/>
      <c r="AP776" s="1066"/>
      <c r="AQ776" s="972"/>
      <c r="AR776" s="1917"/>
      <c r="AS776" s="222"/>
      <c r="AZ776" s="889"/>
      <c r="BC776" s="890"/>
      <c r="BD776" s="952"/>
      <c r="BE776" s="75"/>
      <c r="BF776" s="572"/>
      <c r="BG776" s="983"/>
      <c r="BH776" s="222"/>
      <c r="BL776" s="889"/>
      <c r="BO776" s="223"/>
    </row>
    <row r="777" spans="1:67" s="74" customFormat="1">
      <c r="A777" s="15"/>
      <c r="B777" s="15"/>
      <c r="C777" s="15"/>
      <c r="D777" s="15"/>
      <c r="E777" s="6"/>
      <c r="F777" s="6"/>
      <c r="G777" s="6"/>
      <c r="K777" s="223"/>
      <c r="M777" s="889"/>
      <c r="P777" s="890"/>
      <c r="T777" s="889"/>
      <c r="X777" s="15"/>
      <c r="Y777" s="1935"/>
      <c r="Z777" s="1086"/>
      <c r="AA777" s="230"/>
      <c r="AB777" s="230"/>
      <c r="AC777" s="1936"/>
      <c r="AD777" s="230"/>
      <c r="AE777" s="230"/>
      <c r="AF777" s="230"/>
      <c r="AG777" s="890"/>
      <c r="AJ777" s="890"/>
      <c r="AN777" s="223"/>
      <c r="AO777" s="952"/>
      <c r="AP777" s="1066"/>
      <c r="AQ777" s="972"/>
      <c r="AR777" s="1917"/>
      <c r="AS777" s="222"/>
      <c r="AZ777" s="889"/>
      <c r="BC777" s="890"/>
      <c r="BD777" s="952"/>
      <c r="BE777" s="75"/>
      <c r="BF777" s="572"/>
      <c r="BG777" s="983"/>
      <c r="BH777" s="222"/>
      <c r="BL777" s="889"/>
      <c r="BO777" s="223"/>
    </row>
    <row r="778" spans="1:67" s="74" customFormat="1">
      <c r="A778" s="15"/>
      <c r="B778" s="15"/>
      <c r="C778" s="15"/>
      <c r="D778" s="15"/>
      <c r="E778" s="6"/>
      <c r="F778" s="6"/>
      <c r="G778" s="6"/>
      <c r="K778" s="223"/>
      <c r="M778" s="889"/>
      <c r="P778" s="890"/>
      <c r="T778" s="889"/>
      <c r="X778" s="15"/>
      <c r="Y778" s="1935"/>
      <c r="Z778" s="1086"/>
      <c r="AA778" s="230"/>
      <c r="AB778" s="230"/>
      <c r="AC778" s="1936"/>
      <c r="AD778" s="230"/>
      <c r="AE778" s="230"/>
      <c r="AF778" s="230"/>
      <c r="AG778" s="890"/>
      <c r="AJ778" s="890"/>
      <c r="AN778" s="223"/>
      <c r="AO778" s="952"/>
      <c r="AP778" s="1066"/>
      <c r="AQ778" s="972"/>
      <c r="AR778" s="1917"/>
      <c r="AS778" s="222"/>
      <c r="AZ778" s="889"/>
      <c r="BC778" s="890"/>
      <c r="BD778" s="952"/>
      <c r="BE778" s="75"/>
      <c r="BF778" s="572"/>
      <c r="BG778" s="983"/>
      <c r="BH778" s="222"/>
      <c r="BL778" s="889"/>
      <c r="BO778" s="223"/>
    </row>
    <row r="779" spans="1:67" s="74" customFormat="1">
      <c r="A779" s="15"/>
      <c r="B779" s="15"/>
      <c r="C779" s="15"/>
      <c r="D779" s="15"/>
      <c r="E779" s="6"/>
      <c r="F779" s="6"/>
      <c r="G779" s="6"/>
      <c r="K779" s="223"/>
      <c r="M779" s="889"/>
      <c r="P779" s="890"/>
      <c r="T779" s="889"/>
      <c r="X779" s="15"/>
      <c r="Y779" s="1935"/>
      <c r="Z779" s="1086"/>
      <c r="AA779" s="230"/>
      <c r="AB779" s="230"/>
      <c r="AC779" s="1936"/>
      <c r="AD779" s="230"/>
      <c r="AE779" s="230"/>
      <c r="AF779" s="230"/>
      <c r="AG779" s="890"/>
      <c r="AJ779" s="890"/>
      <c r="AN779" s="223"/>
      <c r="AO779" s="952"/>
      <c r="AP779" s="1066"/>
      <c r="AQ779" s="972"/>
      <c r="AR779" s="1917"/>
      <c r="AS779" s="222"/>
      <c r="AZ779" s="889"/>
      <c r="BC779" s="890"/>
      <c r="BD779" s="952"/>
      <c r="BE779" s="75"/>
      <c r="BF779" s="572"/>
      <c r="BG779" s="983"/>
      <c r="BH779" s="222"/>
      <c r="BL779" s="889"/>
      <c r="BO779" s="223"/>
    </row>
    <row r="780" spans="1:67" s="74" customFormat="1">
      <c r="A780" s="15"/>
      <c r="B780" s="15"/>
      <c r="C780" s="15"/>
      <c r="D780" s="15"/>
      <c r="E780" s="6"/>
      <c r="F780" s="6"/>
      <c r="G780" s="6"/>
      <c r="K780" s="223"/>
      <c r="M780" s="889"/>
      <c r="P780" s="890"/>
      <c r="T780" s="889"/>
      <c r="X780" s="15"/>
      <c r="Y780" s="1935"/>
      <c r="Z780" s="1086"/>
      <c r="AA780" s="230"/>
      <c r="AB780" s="230"/>
      <c r="AC780" s="1936"/>
      <c r="AD780" s="230"/>
      <c r="AE780" s="230"/>
      <c r="AF780" s="230"/>
      <c r="AG780" s="890"/>
      <c r="AJ780" s="890"/>
      <c r="AN780" s="223"/>
      <c r="AO780" s="952"/>
      <c r="AP780" s="1066"/>
      <c r="AQ780" s="972"/>
      <c r="AR780" s="1917"/>
      <c r="AS780" s="222"/>
      <c r="AZ780" s="889"/>
      <c r="BC780" s="890"/>
      <c r="BD780" s="952"/>
      <c r="BE780" s="75"/>
      <c r="BF780" s="572"/>
      <c r="BG780" s="983"/>
      <c r="BH780" s="222"/>
      <c r="BL780" s="889"/>
      <c r="BO780" s="223"/>
    </row>
    <row r="781" spans="1:67" s="74" customFormat="1">
      <c r="A781" s="15"/>
      <c r="B781" s="15"/>
      <c r="C781" s="15"/>
      <c r="D781" s="15"/>
      <c r="E781" s="6"/>
      <c r="F781" s="6"/>
      <c r="G781" s="6"/>
      <c r="K781" s="223"/>
      <c r="M781" s="889"/>
      <c r="P781" s="890"/>
      <c r="T781" s="889"/>
      <c r="X781" s="15"/>
      <c r="Y781" s="1935"/>
      <c r="Z781" s="1086"/>
      <c r="AA781" s="230"/>
      <c r="AB781" s="230"/>
      <c r="AC781" s="1936"/>
      <c r="AD781" s="230"/>
      <c r="AE781" s="230"/>
      <c r="AF781" s="230"/>
      <c r="AG781" s="890"/>
      <c r="AJ781" s="890"/>
      <c r="AN781" s="223"/>
      <c r="AO781" s="952"/>
      <c r="AP781" s="1066"/>
      <c r="AQ781" s="972"/>
      <c r="AR781" s="1917"/>
      <c r="AS781" s="222"/>
      <c r="AZ781" s="889"/>
      <c r="BC781" s="890"/>
      <c r="BD781" s="952"/>
      <c r="BE781" s="75"/>
      <c r="BF781" s="572"/>
      <c r="BG781" s="983"/>
      <c r="BH781" s="222"/>
      <c r="BL781" s="889"/>
      <c r="BO781" s="223"/>
    </row>
    <row r="782" spans="1:67" s="74" customFormat="1">
      <c r="A782" s="15"/>
      <c r="B782" s="15"/>
      <c r="C782" s="15"/>
      <c r="D782" s="15"/>
      <c r="E782" s="6"/>
      <c r="F782" s="6"/>
      <c r="G782" s="6"/>
      <c r="K782" s="223"/>
      <c r="M782" s="889"/>
      <c r="P782" s="890"/>
      <c r="T782" s="889"/>
      <c r="X782" s="15"/>
      <c r="Y782" s="1935"/>
      <c r="Z782" s="1086"/>
      <c r="AA782" s="230"/>
      <c r="AB782" s="230"/>
      <c r="AC782" s="1936"/>
      <c r="AD782" s="230"/>
      <c r="AE782" s="230"/>
      <c r="AF782" s="230"/>
      <c r="AG782" s="890"/>
      <c r="AJ782" s="890"/>
      <c r="AN782" s="223"/>
      <c r="AO782" s="952"/>
      <c r="AP782" s="1066"/>
      <c r="AQ782" s="972"/>
      <c r="AR782" s="1917"/>
      <c r="AS782" s="222"/>
      <c r="AZ782" s="889"/>
      <c r="BC782" s="890"/>
      <c r="BD782" s="952"/>
      <c r="BE782" s="75"/>
      <c r="BF782" s="572"/>
      <c r="BG782" s="983"/>
      <c r="BH782" s="222"/>
      <c r="BL782" s="889"/>
      <c r="BO782" s="223"/>
    </row>
    <row r="783" spans="1:67" s="74" customFormat="1">
      <c r="A783" s="15"/>
      <c r="B783" s="15"/>
      <c r="C783" s="15"/>
      <c r="D783" s="15"/>
      <c r="E783" s="6"/>
      <c r="F783" s="6"/>
      <c r="G783" s="6"/>
      <c r="K783" s="223"/>
      <c r="M783" s="889"/>
      <c r="P783" s="890"/>
      <c r="T783" s="889"/>
      <c r="X783" s="15"/>
      <c r="Y783" s="1935"/>
      <c r="Z783" s="1086"/>
      <c r="AA783" s="230"/>
      <c r="AB783" s="230"/>
      <c r="AC783" s="1936"/>
      <c r="AD783" s="230"/>
      <c r="AE783" s="230"/>
      <c r="AF783" s="230"/>
      <c r="AG783" s="890"/>
      <c r="AJ783" s="890"/>
      <c r="AN783" s="223"/>
      <c r="AO783" s="952"/>
      <c r="AP783" s="1066"/>
      <c r="AQ783" s="972"/>
      <c r="AR783" s="1917"/>
      <c r="AS783" s="222"/>
      <c r="AZ783" s="889"/>
      <c r="BC783" s="890"/>
      <c r="BD783" s="952"/>
      <c r="BE783" s="75"/>
      <c r="BF783" s="572"/>
      <c r="BG783" s="983"/>
      <c r="BH783" s="222"/>
      <c r="BL783" s="889"/>
      <c r="BO783" s="223"/>
    </row>
    <row r="784" spans="1:67" s="74" customFormat="1">
      <c r="A784" s="15"/>
      <c r="B784" s="15"/>
      <c r="C784" s="15"/>
      <c r="D784" s="15"/>
      <c r="E784" s="6"/>
      <c r="F784" s="6"/>
      <c r="G784" s="6"/>
      <c r="K784" s="223"/>
      <c r="M784" s="889"/>
      <c r="P784" s="890"/>
      <c r="T784" s="889"/>
      <c r="X784" s="15"/>
      <c r="Y784" s="1935"/>
      <c r="Z784" s="1086"/>
      <c r="AA784" s="230"/>
      <c r="AB784" s="230"/>
      <c r="AC784" s="1936"/>
      <c r="AD784" s="230"/>
      <c r="AE784" s="230"/>
      <c r="AF784" s="230"/>
      <c r="AG784" s="890"/>
      <c r="AJ784" s="890"/>
      <c r="AN784" s="223"/>
      <c r="AO784" s="952"/>
      <c r="AP784" s="1066"/>
      <c r="AQ784" s="972"/>
      <c r="AR784" s="1917"/>
      <c r="AS784" s="222"/>
      <c r="AZ784" s="889"/>
      <c r="BC784" s="890"/>
      <c r="BD784" s="952"/>
      <c r="BE784" s="75"/>
      <c r="BF784" s="572"/>
      <c r="BG784" s="983"/>
      <c r="BH784" s="222"/>
      <c r="BL784" s="889"/>
      <c r="BO784" s="223"/>
    </row>
    <row r="785" spans="1:67" s="74" customFormat="1">
      <c r="A785" s="15"/>
      <c r="B785" s="15"/>
      <c r="C785" s="15"/>
      <c r="D785" s="15"/>
      <c r="E785" s="6"/>
      <c r="F785" s="6"/>
      <c r="G785" s="6"/>
      <c r="K785" s="223"/>
      <c r="M785" s="889"/>
      <c r="P785" s="890"/>
      <c r="T785" s="889"/>
      <c r="X785" s="15"/>
      <c r="Y785" s="1935"/>
      <c r="Z785" s="1086"/>
      <c r="AA785" s="230"/>
      <c r="AB785" s="230"/>
      <c r="AC785" s="1936"/>
      <c r="AD785" s="230"/>
      <c r="AE785" s="230"/>
      <c r="AF785" s="230"/>
      <c r="AG785" s="890"/>
      <c r="AJ785" s="890"/>
      <c r="AN785" s="223"/>
      <c r="AO785" s="952"/>
      <c r="AP785" s="1066"/>
      <c r="AQ785" s="972"/>
      <c r="AR785" s="1917"/>
      <c r="AS785" s="222"/>
      <c r="AZ785" s="889"/>
      <c r="BC785" s="890"/>
      <c r="BD785" s="952"/>
      <c r="BE785" s="75"/>
      <c r="BF785" s="572"/>
      <c r="BG785" s="983"/>
      <c r="BH785" s="222"/>
      <c r="BL785" s="889"/>
      <c r="BO785" s="223"/>
    </row>
    <row r="786" spans="1:67" s="74" customFormat="1">
      <c r="A786" s="15"/>
      <c r="B786" s="15"/>
      <c r="C786" s="15"/>
      <c r="D786" s="15"/>
      <c r="E786" s="6"/>
      <c r="F786" s="6"/>
      <c r="G786" s="6"/>
      <c r="K786" s="223"/>
      <c r="M786" s="889"/>
      <c r="P786" s="890"/>
      <c r="T786" s="889"/>
      <c r="X786" s="15"/>
      <c r="Y786" s="1935"/>
      <c r="Z786" s="1086"/>
      <c r="AA786" s="230"/>
      <c r="AB786" s="230"/>
      <c r="AC786" s="1936"/>
      <c r="AD786" s="230"/>
      <c r="AE786" s="230"/>
      <c r="AF786" s="230"/>
      <c r="AG786" s="890"/>
      <c r="AJ786" s="890"/>
      <c r="AN786" s="223"/>
      <c r="AO786" s="952"/>
      <c r="AP786" s="1066"/>
      <c r="AQ786" s="972"/>
      <c r="AR786" s="1917"/>
      <c r="AS786" s="222"/>
      <c r="AZ786" s="889"/>
      <c r="BC786" s="890"/>
      <c r="BD786" s="952"/>
      <c r="BE786" s="75"/>
      <c r="BF786" s="572"/>
      <c r="BG786" s="983"/>
      <c r="BH786" s="222"/>
      <c r="BL786" s="889"/>
      <c r="BO786" s="223"/>
    </row>
    <row r="787" spans="1:67" s="74" customFormat="1">
      <c r="A787" s="15"/>
      <c r="B787" s="15"/>
      <c r="C787" s="15"/>
      <c r="D787" s="15"/>
      <c r="E787" s="6"/>
      <c r="F787" s="6"/>
      <c r="G787" s="6"/>
      <c r="K787" s="223"/>
      <c r="M787" s="889"/>
      <c r="P787" s="890"/>
      <c r="T787" s="889"/>
      <c r="X787" s="15"/>
      <c r="Y787" s="1935"/>
      <c r="Z787" s="1086"/>
      <c r="AA787" s="230"/>
      <c r="AB787" s="230"/>
      <c r="AC787" s="1936"/>
      <c r="AD787" s="230"/>
      <c r="AE787" s="230"/>
      <c r="AF787" s="230"/>
      <c r="AG787" s="890"/>
      <c r="AJ787" s="890"/>
      <c r="AN787" s="223"/>
      <c r="AO787" s="952"/>
      <c r="AP787" s="1066"/>
      <c r="AQ787" s="972"/>
      <c r="AR787" s="1917"/>
      <c r="AS787" s="222"/>
      <c r="AZ787" s="889"/>
      <c r="BC787" s="890"/>
      <c r="BD787" s="952"/>
      <c r="BE787" s="75"/>
      <c r="BF787" s="572"/>
      <c r="BG787" s="983"/>
      <c r="BH787" s="222"/>
      <c r="BL787" s="889"/>
      <c r="BO787" s="223"/>
    </row>
    <row r="788" spans="1:67" s="74" customFormat="1">
      <c r="A788" s="15"/>
      <c r="B788" s="15"/>
      <c r="C788" s="15"/>
      <c r="D788" s="15"/>
      <c r="E788" s="6"/>
      <c r="F788" s="6"/>
      <c r="G788" s="6"/>
      <c r="K788" s="223"/>
      <c r="M788" s="889"/>
      <c r="P788" s="890"/>
      <c r="T788" s="889"/>
      <c r="X788" s="15"/>
      <c r="Y788" s="1935"/>
      <c r="Z788" s="1086"/>
      <c r="AA788" s="230"/>
      <c r="AB788" s="230"/>
      <c r="AC788" s="1936"/>
      <c r="AD788" s="230"/>
      <c r="AE788" s="230"/>
      <c r="AF788" s="230"/>
      <c r="AG788" s="890"/>
      <c r="AJ788" s="890"/>
      <c r="AN788" s="223"/>
      <c r="AO788" s="952"/>
      <c r="AP788" s="1066"/>
      <c r="AQ788" s="972"/>
      <c r="AR788" s="1917"/>
      <c r="AS788" s="222"/>
      <c r="AZ788" s="889"/>
      <c r="BC788" s="890"/>
      <c r="BD788" s="952"/>
      <c r="BE788" s="75"/>
      <c r="BF788" s="572"/>
      <c r="BG788" s="983"/>
      <c r="BH788" s="222"/>
      <c r="BL788" s="889"/>
      <c r="BO788" s="223"/>
    </row>
    <row r="789" spans="1:67" s="74" customFormat="1">
      <c r="A789" s="15"/>
      <c r="B789" s="15"/>
      <c r="C789" s="15"/>
      <c r="D789" s="15"/>
      <c r="E789" s="6"/>
      <c r="F789" s="6"/>
      <c r="G789" s="6"/>
      <c r="K789" s="223"/>
      <c r="M789" s="889"/>
      <c r="P789" s="890"/>
      <c r="T789" s="889"/>
      <c r="X789" s="15"/>
      <c r="Y789" s="1935"/>
      <c r="Z789" s="1086"/>
      <c r="AA789" s="230"/>
      <c r="AB789" s="230"/>
      <c r="AC789" s="1936"/>
      <c r="AD789" s="230"/>
      <c r="AE789" s="230"/>
      <c r="AF789" s="230"/>
      <c r="AG789" s="890"/>
      <c r="AJ789" s="890"/>
      <c r="AN789" s="223"/>
      <c r="AO789" s="952"/>
      <c r="AP789" s="1066"/>
      <c r="AQ789" s="972"/>
      <c r="AR789" s="1917"/>
      <c r="AS789" s="222"/>
      <c r="AZ789" s="889"/>
      <c r="BC789" s="890"/>
      <c r="BD789" s="952"/>
      <c r="BE789" s="75"/>
      <c r="BF789" s="572"/>
      <c r="BG789" s="983"/>
      <c r="BH789" s="222"/>
      <c r="BL789" s="889"/>
      <c r="BO789" s="223"/>
    </row>
    <row r="790" spans="1:67" s="74" customFormat="1">
      <c r="A790" s="15"/>
      <c r="B790" s="15"/>
      <c r="C790" s="15"/>
      <c r="D790" s="15"/>
      <c r="E790" s="6"/>
      <c r="F790" s="6"/>
      <c r="G790" s="6"/>
      <c r="K790" s="223"/>
      <c r="M790" s="889"/>
      <c r="P790" s="890"/>
      <c r="T790" s="889"/>
      <c r="X790" s="15"/>
      <c r="Y790" s="1935"/>
      <c r="Z790" s="1086"/>
      <c r="AA790" s="230"/>
      <c r="AB790" s="230"/>
      <c r="AC790" s="1936"/>
      <c r="AD790" s="230"/>
      <c r="AE790" s="230"/>
      <c r="AF790" s="230"/>
      <c r="AG790" s="890"/>
      <c r="AJ790" s="890"/>
      <c r="AN790" s="223"/>
      <c r="AO790" s="952"/>
      <c r="AP790" s="1066"/>
      <c r="AQ790" s="972"/>
      <c r="AR790" s="1917"/>
      <c r="AS790" s="222"/>
      <c r="AZ790" s="889"/>
      <c r="BC790" s="890"/>
      <c r="BD790" s="952"/>
      <c r="BE790" s="75"/>
      <c r="BF790" s="572"/>
      <c r="BG790" s="983"/>
      <c r="BH790" s="222"/>
      <c r="BL790" s="889"/>
      <c r="BO790" s="223"/>
    </row>
    <row r="791" spans="1:67" s="74" customFormat="1">
      <c r="A791" s="15"/>
      <c r="B791" s="15"/>
      <c r="C791" s="15"/>
      <c r="D791" s="15"/>
      <c r="E791" s="6"/>
      <c r="F791" s="6"/>
      <c r="G791" s="6"/>
      <c r="K791" s="223"/>
      <c r="M791" s="889"/>
      <c r="P791" s="890"/>
      <c r="T791" s="889"/>
      <c r="X791" s="15"/>
      <c r="Y791" s="1935"/>
      <c r="Z791" s="1086"/>
      <c r="AA791" s="230"/>
      <c r="AB791" s="230"/>
      <c r="AC791" s="1936"/>
      <c r="AD791" s="230"/>
      <c r="AE791" s="230"/>
      <c r="AF791" s="230"/>
      <c r="AG791" s="890"/>
      <c r="AJ791" s="890"/>
      <c r="AN791" s="223"/>
      <c r="AO791" s="952"/>
      <c r="AP791" s="1066"/>
      <c r="AQ791" s="972"/>
      <c r="AR791" s="1917"/>
      <c r="AS791" s="222"/>
      <c r="AZ791" s="889"/>
      <c r="BC791" s="890"/>
      <c r="BD791" s="952"/>
      <c r="BE791" s="75"/>
      <c r="BF791" s="572"/>
      <c r="BG791" s="983"/>
      <c r="BH791" s="222"/>
      <c r="BL791" s="889"/>
      <c r="BO791" s="223"/>
    </row>
    <row r="792" spans="1:67" s="74" customFormat="1">
      <c r="A792" s="15"/>
      <c r="B792" s="15"/>
      <c r="C792" s="15"/>
      <c r="D792" s="15"/>
      <c r="E792" s="6"/>
      <c r="F792" s="6"/>
      <c r="G792" s="6"/>
      <c r="K792" s="223"/>
      <c r="M792" s="889"/>
      <c r="P792" s="890"/>
      <c r="T792" s="889"/>
      <c r="X792" s="15"/>
      <c r="Y792" s="1935"/>
      <c r="Z792" s="1086"/>
      <c r="AA792" s="230"/>
      <c r="AB792" s="230"/>
      <c r="AC792" s="1936"/>
      <c r="AD792" s="230"/>
      <c r="AE792" s="230"/>
      <c r="AF792" s="230"/>
      <c r="AG792" s="890"/>
      <c r="AJ792" s="890"/>
      <c r="AN792" s="223"/>
      <c r="AO792" s="952"/>
      <c r="AP792" s="1066"/>
      <c r="AQ792" s="972"/>
      <c r="AR792" s="1917"/>
      <c r="AS792" s="222"/>
      <c r="AZ792" s="889"/>
      <c r="BC792" s="890"/>
      <c r="BD792" s="952"/>
      <c r="BE792" s="75"/>
      <c r="BF792" s="572"/>
      <c r="BG792" s="983"/>
      <c r="BH792" s="222"/>
      <c r="BL792" s="889"/>
      <c r="BO792" s="223"/>
    </row>
    <row r="793" spans="1:67" s="74" customFormat="1">
      <c r="A793" s="15"/>
      <c r="B793" s="15"/>
      <c r="C793" s="15"/>
      <c r="D793" s="15"/>
      <c r="E793" s="6"/>
      <c r="F793" s="6"/>
      <c r="G793" s="6"/>
      <c r="K793" s="223"/>
      <c r="M793" s="889"/>
      <c r="P793" s="890"/>
      <c r="T793" s="889"/>
      <c r="X793" s="15"/>
      <c r="Y793" s="1935"/>
      <c r="Z793" s="1086"/>
      <c r="AA793" s="230"/>
      <c r="AB793" s="230"/>
      <c r="AC793" s="1936"/>
      <c r="AD793" s="230"/>
      <c r="AE793" s="230"/>
      <c r="AF793" s="230"/>
      <c r="AG793" s="890"/>
      <c r="AJ793" s="890"/>
      <c r="AN793" s="223"/>
      <c r="AO793" s="952"/>
      <c r="AP793" s="1066"/>
      <c r="AQ793" s="972"/>
      <c r="AR793" s="1917"/>
      <c r="AS793" s="222"/>
      <c r="AZ793" s="889"/>
      <c r="BC793" s="890"/>
      <c r="BD793" s="952"/>
      <c r="BE793" s="75"/>
      <c r="BF793" s="572"/>
      <c r="BG793" s="983"/>
      <c r="BH793" s="222"/>
      <c r="BL793" s="889"/>
      <c r="BO793" s="223"/>
    </row>
    <row r="794" spans="1:67" s="74" customFormat="1">
      <c r="A794" s="15"/>
      <c r="B794" s="15"/>
      <c r="C794" s="15"/>
      <c r="D794" s="15"/>
      <c r="E794" s="6"/>
      <c r="F794" s="6"/>
      <c r="G794" s="6"/>
      <c r="K794" s="223"/>
      <c r="M794" s="889"/>
      <c r="P794" s="890"/>
      <c r="T794" s="889"/>
      <c r="X794" s="15"/>
      <c r="Y794" s="1935"/>
      <c r="Z794" s="1086"/>
      <c r="AA794" s="230"/>
      <c r="AB794" s="230"/>
      <c r="AC794" s="1936"/>
      <c r="AD794" s="230"/>
      <c r="AE794" s="230"/>
      <c r="AF794" s="230"/>
      <c r="AG794" s="890"/>
      <c r="AJ794" s="890"/>
      <c r="AN794" s="223"/>
      <c r="AO794" s="952"/>
      <c r="AP794" s="1066"/>
      <c r="AQ794" s="972"/>
      <c r="AR794" s="1917"/>
      <c r="AS794" s="222"/>
      <c r="AZ794" s="889"/>
      <c r="BC794" s="890"/>
      <c r="BD794" s="952"/>
      <c r="BE794" s="75"/>
      <c r="BF794" s="572"/>
      <c r="BG794" s="983"/>
      <c r="BH794" s="222"/>
      <c r="BL794" s="889"/>
      <c r="BO794" s="223"/>
    </row>
    <row r="795" spans="1:67" s="74" customFormat="1">
      <c r="A795" s="15"/>
      <c r="B795" s="15"/>
      <c r="C795" s="15"/>
      <c r="D795" s="15"/>
      <c r="E795" s="6"/>
      <c r="F795" s="6"/>
      <c r="G795" s="6"/>
      <c r="K795" s="223"/>
      <c r="M795" s="889"/>
      <c r="P795" s="890"/>
      <c r="T795" s="889"/>
      <c r="X795" s="15"/>
      <c r="Y795" s="1935"/>
      <c r="Z795" s="1086"/>
      <c r="AA795" s="230"/>
      <c r="AB795" s="230"/>
      <c r="AC795" s="1936"/>
      <c r="AD795" s="230"/>
      <c r="AE795" s="230"/>
      <c r="AF795" s="230"/>
      <c r="AG795" s="890"/>
      <c r="AJ795" s="890"/>
      <c r="AN795" s="223"/>
      <c r="AO795" s="952"/>
      <c r="AP795" s="1066"/>
      <c r="AQ795" s="972"/>
      <c r="AR795" s="1917"/>
      <c r="AS795" s="222"/>
      <c r="AZ795" s="889"/>
      <c r="BC795" s="890"/>
      <c r="BD795" s="952"/>
      <c r="BE795" s="75"/>
      <c r="BF795" s="572"/>
      <c r="BG795" s="983"/>
      <c r="BH795" s="222"/>
      <c r="BL795" s="889"/>
      <c r="BO795" s="223"/>
    </row>
    <row r="796" spans="1:67" s="74" customFormat="1">
      <c r="A796" s="15"/>
      <c r="B796" s="15"/>
      <c r="C796" s="15"/>
      <c r="D796" s="15"/>
      <c r="E796" s="6"/>
      <c r="F796" s="6"/>
      <c r="G796" s="6"/>
      <c r="K796" s="223"/>
      <c r="M796" s="889"/>
      <c r="P796" s="890"/>
      <c r="T796" s="889"/>
      <c r="X796" s="15"/>
      <c r="Y796" s="1935"/>
      <c r="Z796" s="1086"/>
      <c r="AA796" s="230"/>
      <c r="AB796" s="230"/>
      <c r="AC796" s="1936"/>
      <c r="AD796" s="230"/>
      <c r="AE796" s="230"/>
      <c r="AF796" s="230"/>
      <c r="AG796" s="890"/>
      <c r="AJ796" s="890"/>
      <c r="AN796" s="223"/>
      <c r="AO796" s="952"/>
      <c r="AP796" s="1066"/>
      <c r="AQ796" s="972"/>
      <c r="AR796" s="1917"/>
      <c r="AS796" s="222"/>
      <c r="AZ796" s="889"/>
      <c r="BC796" s="890"/>
      <c r="BD796" s="952"/>
      <c r="BE796" s="75"/>
      <c r="BF796" s="572"/>
      <c r="BG796" s="983"/>
      <c r="BH796" s="222"/>
      <c r="BL796" s="889"/>
      <c r="BO796" s="223"/>
    </row>
    <row r="797" spans="1:67" s="74" customFormat="1">
      <c r="A797" s="15"/>
      <c r="B797" s="15"/>
      <c r="C797" s="15"/>
      <c r="D797" s="15"/>
      <c r="E797" s="6"/>
      <c r="F797" s="6"/>
      <c r="G797" s="6"/>
      <c r="K797" s="223"/>
      <c r="M797" s="889"/>
      <c r="P797" s="890"/>
      <c r="T797" s="889"/>
      <c r="X797" s="15"/>
      <c r="Y797" s="1935"/>
      <c r="Z797" s="1086"/>
      <c r="AA797" s="230"/>
      <c r="AB797" s="230"/>
      <c r="AC797" s="1936"/>
      <c r="AD797" s="230"/>
      <c r="AE797" s="230"/>
      <c r="AF797" s="230"/>
      <c r="AG797" s="890"/>
      <c r="AJ797" s="890"/>
      <c r="AN797" s="223"/>
      <c r="AO797" s="952"/>
      <c r="AP797" s="1066"/>
      <c r="AQ797" s="972"/>
      <c r="AR797" s="1917"/>
      <c r="AS797" s="222"/>
      <c r="AZ797" s="889"/>
      <c r="BC797" s="890"/>
      <c r="BD797" s="952"/>
      <c r="BE797" s="75"/>
      <c r="BF797" s="572"/>
      <c r="BG797" s="983"/>
      <c r="BH797" s="222"/>
      <c r="BL797" s="889"/>
      <c r="BO797" s="223"/>
    </row>
    <row r="798" spans="1:67" s="74" customFormat="1">
      <c r="A798" s="15"/>
      <c r="B798" s="15"/>
      <c r="C798" s="15"/>
      <c r="D798" s="15"/>
      <c r="E798" s="6"/>
      <c r="F798" s="6"/>
      <c r="G798" s="6"/>
      <c r="K798" s="223"/>
      <c r="M798" s="889"/>
      <c r="P798" s="890"/>
      <c r="T798" s="889"/>
      <c r="X798" s="15"/>
      <c r="Y798" s="1935"/>
      <c r="Z798" s="1086"/>
      <c r="AA798" s="230"/>
      <c r="AB798" s="230"/>
      <c r="AC798" s="1936"/>
      <c r="AD798" s="230"/>
      <c r="AE798" s="230"/>
      <c r="AF798" s="230"/>
      <c r="AG798" s="890"/>
      <c r="AJ798" s="890"/>
      <c r="AN798" s="223"/>
      <c r="AO798" s="952"/>
      <c r="AP798" s="1066"/>
      <c r="AQ798" s="972"/>
      <c r="AR798" s="1917"/>
      <c r="AS798" s="222"/>
      <c r="AZ798" s="889"/>
      <c r="BC798" s="890"/>
      <c r="BD798" s="952"/>
      <c r="BE798" s="75"/>
      <c r="BF798" s="572"/>
      <c r="BG798" s="983"/>
      <c r="BH798" s="222"/>
      <c r="BL798" s="889"/>
      <c r="BO798" s="223"/>
    </row>
    <row r="799" spans="1:67" s="74" customFormat="1">
      <c r="A799" s="15"/>
      <c r="B799" s="15"/>
      <c r="C799" s="15"/>
      <c r="D799" s="15"/>
      <c r="E799" s="6"/>
      <c r="F799" s="6"/>
      <c r="G799" s="6"/>
      <c r="K799" s="223"/>
      <c r="M799" s="889"/>
      <c r="P799" s="890"/>
      <c r="T799" s="889"/>
      <c r="X799" s="15"/>
      <c r="Y799" s="1935"/>
      <c r="Z799" s="1086"/>
      <c r="AA799" s="230"/>
      <c r="AB799" s="230"/>
      <c r="AC799" s="1936"/>
      <c r="AD799" s="230"/>
      <c r="AE799" s="230"/>
      <c r="AF799" s="230"/>
      <c r="AG799" s="890"/>
      <c r="AJ799" s="890"/>
      <c r="AN799" s="223"/>
      <c r="AO799" s="952"/>
      <c r="AP799" s="1066"/>
      <c r="AQ799" s="972"/>
      <c r="AR799" s="1917"/>
      <c r="AS799" s="222"/>
      <c r="AZ799" s="889"/>
      <c r="BC799" s="890"/>
      <c r="BD799" s="952"/>
      <c r="BE799" s="75"/>
      <c r="BF799" s="572"/>
      <c r="BG799" s="983"/>
      <c r="BH799" s="222"/>
      <c r="BL799" s="889"/>
      <c r="BO799" s="223"/>
    </row>
    <row r="800" spans="1:67" s="74" customFormat="1">
      <c r="A800" s="15"/>
      <c r="B800" s="15"/>
      <c r="C800" s="15"/>
      <c r="D800" s="15"/>
      <c r="E800" s="6"/>
      <c r="F800" s="6"/>
      <c r="G800" s="6"/>
      <c r="K800" s="223"/>
      <c r="M800" s="889"/>
      <c r="P800" s="890"/>
      <c r="T800" s="889"/>
      <c r="X800" s="15"/>
      <c r="Y800" s="1935"/>
      <c r="Z800" s="1086"/>
      <c r="AA800" s="230"/>
      <c r="AB800" s="230"/>
      <c r="AC800" s="1936"/>
      <c r="AD800" s="230"/>
      <c r="AE800" s="230"/>
      <c r="AF800" s="230"/>
      <c r="AG800" s="890"/>
      <c r="AJ800" s="890"/>
      <c r="AN800" s="223"/>
      <c r="AO800" s="952"/>
      <c r="AP800" s="1066"/>
      <c r="AQ800" s="972"/>
      <c r="AR800" s="1917"/>
      <c r="AS800" s="222"/>
      <c r="AZ800" s="889"/>
      <c r="BC800" s="890"/>
      <c r="BD800" s="952"/>
      <c r="BE800" s="75"/>
      <c r="BF800" s="572"/>
      <c r="BG800" s="983"/>
      <c r="BH800" s="222"/>
      <c r="BL800" s="889"/>
      <c r="BO800" s="223"/>
    </row>
    <row r="801" spans="1:67" s="74" customFormat="1">
      <c r="A801" s="15"/>
      <c r="B801" s="15"/>
      <c r="C801" s="15"/>
      <c r="D801" s="15"/>
      <c r="E801" s="6"/>
      <c r="F801" s="6"/>
      <c r="G801" s="6"/>
      <c r="K801" s="223"/>
      <c r="M801" s="889"/>
      <c r="P801" s="890"/>
      <c r="T801" s="889"/>
      <c r="X801" s="15"/>
      <c r="Y801" s="1935"/>
      <c r="Z801" s="1086"/>
      <c r="AA801" s="230"/>
      <c r="AB801" s="230"/>
      <c r="AC801" s="1936"/>
      <c r="AD801" s="230"/>
      <c r="AE801" s="230"/>
      <c r="AF801" s="230"/>
      <c r="AG801" s="890"/>
      <c r="AJ801" s="890"/>
      <c r="AN801" s="223"/>
      <c r="AO801" s="952"/>
      <c r="AP801" s="1066"/>
      <c r="AQ801" s="972"/>
      <c r="AR801" s="1917"/>
      <c r="AS801" s="222"/>
      <c r="AZ801" s="889"/>
      <c r="BC801" s="890"/>
      <c r="BD801" s="952"/>
      <c r="BE801" s="75"/>
      <c r="BF801" s="572"/>
      <c r="BG801" s="983"/>
      <c r="BH801" s="222"/>
      <c r="BL801" s="889"/>
      <c r="BO801" s="223"/>
    </row>
    <row r="802" spans="1:67" s="74" customFormat="1">
      <c r="A802" s="15"/>
      <c r="B802" s="15"/>
      <c r="C802" s="15"/>
      <c r="D802" s="15"/>
      <c r="E802" s="6"/>
      <c r="F802" s="6"/>
      <c r="G802" s="6"/>
      <c r="K802" s="223"/>
      <c r="M802" s="889"/>
      <c r="P802" s="890"/>
      <c r="T802" s="889"/>
      <c r="X802" s="15"/>
      <c r="Y802" s="1935"/>
      <c r="Z802" s="1086"/>
      <c r="AA802" s="230"/>
      <c r="AB802" s="230"/>
      <c r="AC802" s="1936"/>
      <c r="AD802" s="230"/>
      <c r="AE802" s="230"/>
      <c r="AF802" s="230"/>
      <c r="AG802" s="890"/>
      <c r="AJ802" s="890"/>
      <c r="AN802" s="223"/>
      <c r="AO802" s="952"/>
      <c r="AP802" s="1066"/>
      <c r="AQ802" s="972"/>
      <c r="AR802" s="1917"/>
      <c r="AS802" s="222"/>
      <c r="AZ802" s="889"/>
      <c r="BC802" s="890"/>
      <c r="BD802" s="952"/>
      <c r="BE802" s="75"/>
      <c r="BF802" s="572"/>
      <c r="BG802" s="983"/>
      <c r="BH802" s="222"/>
      <c r="BL802" s="889"/>
      <c r="BO802" s="223"/>
    </row>
    <row r="803" spans="1:67" s="74" customFormat="1">
      <c r="A803" s="15"/>
      <c r="B803" s="15"/>
      <c r="C803" s="15"/>
      <c r="D803" s="15"/>
      <c r="E803" s="6"/>
      <c r="F803" s="6"/>
      <c r="G803" s="6"/>
      <c r="K803" s="223"/>
      <c r="M803" s="889"/>
      <c r="P803" s="890"/>
      <c r="T803" s="889"/>
      <c r="X803" s="15"/>
      <c r="Y803" s="1935"/>
      <c r="Z803" s="1086"/>
      <c r="AA803" s="230"/>
      <c r="AB803" s="230"/>
      <c r="AC803" s="1936"/>
      <c r="AD803" s="230"/>
      <c r="AE803" s="230"/>
      <c r="AF803" s="230"/>
      <c r="AG803" s="890"/>
      <c r="AJ803" s="890"/>
      <c r="AN803" s="223"/>
      <c r="AO803" s="952"/>
      <c r="AP803" s="1066"/>
      <c r="AQ803" s="972"/>
      <c r="AR803" s="1917"/>
      <c r="AS803" s="222"/>
      <c r="AZ803" s="889"/>
      <c r="BC803" s="890"/>
      <c r="BD803" s="952"/>
      <c r="BE803" s="75"/>
      <c r="BF803" s="572"/>
      <c r="BG803" s="983"/>
      <c r="BH803" s="222"/>
      <c r="BL803" s="889"/>
      <c r="BO803" s="223"/>
    </row>
    <row r="804" spans="1:67" s="74" customFormat="1">
      <c r="A804" s="15"/>
      <c r="B804" s="15"/>
      <c r="C804" s="15"/>
      <c r="D804" s="15"/>
      <c r="E804" s="6"/>
      <c r="F804" s="6"/>
      <c r="G804" s="6"/>
      <c r="K804" s="223"/>
      <c r="M804" s="889"/>
      <c r="P804" s="890"/>
      <c r="T804" s="889"/>
      <c r="X804" s="15"/>
      <c r="Y804" s="1935"/>
      <c r="Z804" s="1086"/>
      <c r="AA804" s="230"/>
      <c r="AB804" s="230"/>
      <c r="AC804" s="1936"/>
      <c r="AD804" s="230"/>
      <c r="AE804" s="230"/>
      <c r="AF804" s="230"/>
      <c r="AG804" s="890"/>
      <c r="AJ804" s="890"/>
      <c r="AN804" s="223"/>
      <c r="AO804" s="952"/>
      <c r="AP804" s="1066"/>
      <c r="AQ804" s="972"/>
      <c r="AR804" s="1917"/>
      <c r="AS804" s="222"/>
      <c r="AZ804" s="889"/>
      <c r="BC804" s="890"/>
      <c r="BD804" s="952"/>
      <c r="BE804" s="75"/>
      <c r="BF804" s="572"/>
      <c r="BG804" s="983"/>
      <c r="BH804" s="222"/>
      <c r="BL804" s="889"/>
      <c r="BO804" s="223"/>
    </row>
    <row r="805" spans="1:67" s="74" customFormat="1">
      <c r="A805" s="15"/>
      <c r="B805" s="15"/>
      <c r="C805" s="15"/>
      <c r="D805" s="15"/>
      <c r="E805" s="6"/>
      <c r="F805" s="6"/>
      <c r="G805" s="6"/>
      <c r="K805" s="223"/>
      <c r="M805" s="889"/>
      <c r="P805" s="890"/>
      <c r="T805" s="889"/>
      <c r="X805" s="15"/>
      <c r="Y805" s="1935"/>
      <c r="Z805" s="1086"/>
      <c r="AA805" s="230"/>
      <c r="AB805" s="230"/>
      <c r="AC805" s="1936"/>
      <c r="AD805" s="230"/>
      <c r="AE805" s="230"/>
      <c r="AF805" s="230"/>
      <c r="AG805" s="890"/>
      <c r="AJ805" s="890"/>
      <c r="AN805" s="223"/>
      <c r="AO805" s="952"/>
      <c r="AP805" s="1066"/>
      <c r="AQ805" s="972"/>
      <c r="AR805" s="1917"/>
      <c r="AS805" s="222"/>
      <c r="AZ805" s="889"/>
      <c r="BC805" s="890"/>
      <c r="BD805" s="952"/>
      <c r="BE805" s="75"/>
      <c r="BF805" s="572"/>
      <c r="BG805" s="983"/>
      <c r="BH805" s="222"/>
      <c r="BL805" s="889"/>
      <c r="BO805" s="223"/>
    </row>
    <row r="806" spans="1:67" s="74" customFormat="1">
      <c r="A806" s="15"/>
      <c r="B806" s="15"/>
      <c r="C806" s="15"/>
      <c r="D806" s="15"/>
      <c r="E806" s="6"/>
      <c r="F806" s="6"/>
      <c r="G806" s="6"/>
      <c r="K806" s="223"/>
      <c r="M806" s="889"/>
      <c r="P806" s="890"/>
      <c r="T806" s="889"/>
      <c r="X806" s="15"/>
      <c r="Y806" s="1935"/>
      <c r="Z806" s="1086"/>
      <c r="AA806" s="230"/>
      <c r="AB806" s="230"/>
      <c r="AC806" s="1936"/>
      <c r="AD806" s="230"/>
      <c r="AE806" s="230"/>
      <c r="AF806" s="230"/>
      <c r="AG806" s="890"/>
      <c r="AJ806" s="890"/>
      <c r="AN806" s="223"/>
      <c r="AO806" s="952"/>
      <c r="AP806" s="1066"/>
      <c r="AQ806" s="972"/>
      <c r="AR806" s="1917"/>
      <c r="AS806" s="222"/>
      <c r="AZ806" s="889"/>
      <c r="BC806" s="890"/>
      <c r="BD806" s="952"/>
      <c r="BE806" s="75"/>
      <c r="BF806" s="572"/>
      <c r="BG806" s="983"/>
      <c r="BH806" s="222"/>
      <c r="BL806" s="889"/>
      <c r="BO806" s="223"/>
    </row>
    <row r="807" spans="1:67" s="74" customFormat="1">
      <c r="A807" s="15"/>
      <c r="B807" s="15"/>
      <c r="C807" s="15"/>
      <c r="D807" s="15"/>
      <c r="E807" s="6"/>
      <c r="F807" s="6"/>
      <c r="G807" s="6"/>
      <c r="K807" s="223"/>
      <c r="M807" s="889"/>
      <c r="P807" s="890"/>
      <c r="T807" s="889"/>
      <c r="X807" s="15"/>
      <c r="Y807" s="1935"/>
      <c r="Z807" s="1086"/>
      <c r="AA807" s="230"/>
      <c r="AB807" s="230"/>
      <c r="AC807" s="1936"/>
      <c r="AD807" s="230"/>
      <c r="AE807" s="230"/>
      <c r="AF807" s="230"/>
      <c r="AG807" s="890"/>
      <c r="AJ807" s="890"/>
      <c r="AN807" s="223"/>
      <c r="AO807" s="952"/>
      <c r="AP807" s="1066"/>
      <c r="AQ807" s="972"/>
      <c r="AR807" s="1917"/>
      <c r="AS807" s="222"/>
      <c r="AZ807" s="889"/>
      <c r="BC807" s="890"/>
      <c r="BD807" s="952"/>
      <c r="BE807" s="75"/>
      <c r="BF807" s="572"/>
      <c r="BG807" s="983"/>
      <c r="BH807" s="222"/>
      <c r="BL807" s="889"/>
      <c r="BO807" s="223"/>
    </row>
    <row r="808" spans="1:67" s="74" customFormat="1">
      <c r="A808" s="15"/>
      <c r="B808" s="15"/>
      <c r="C808" s="15"/>
      <c r="D808" s="15"/>
      <c r="E808" s="6"/>
      <c r="F808" s="6"/>
      <c r="G808" s="6"/>
      <c r="K808" s="223"/>
      <c r="M808" s="889"/>
      <c r="P808" s="890"/>
      <c r="T808" s="889"/>
      <c r="X808" s="15"/>
      <c r="Y808" s="1935"/>
      <c r="Z808" s="1086"/>
      <c r="AA808" s="230"/>
      <c r="AB808" s="230"/>
      <c r="AC808" s="1936"/>
      <c r="AD808" s="230"/>
      <c r="AE808" s="230"/>
      <c r="AF808" s="230"/>
      <c r="AG808" s="890"/>
      <c r="AJ808" s="890"/>
      <c r="AN808" s="223"/>
      <c r="AO808" s="952"/>
      <c r="AP808" s="1066"/>
      <c r="AQ808" s="972"/>
      <c r="AR808" s="1917"/>
      <c r="AS808" s="222"/>
      <c r="AZ808" s="889"/>
      <c r="BC808" s="890"/>
      <c r="BD808" s="952"/>
      <c r="BE808" s="75"/>
      <c r="BF808" s="572"/>
      <c r="BG808" s="983"/>
      <c r="BH808" s="222"/>
      <c r="BL808" s="889"/>
      <c r="BO808" s="223"/>
    </row>
    <row r="809" spans="1:67" s="74" customFormat="1">
      <c r="A809" s="15"/>
      <c r="B809" s="15"/>
      <c r="C809" s="15"/>
      <c r="D809" s="15"/>
      <c r="E809" s="6"/>
      <c r="F809" s="6"/>
      <c r="G809" s="6"/>
      <c r="K809" s="223"/>
      <c r="M809" s="889"/>
      <c r="P809" s="890"/>
      <c r="T809" s="889"/>
      <c r="X809" s="15"/>
      <c r="Y809" s="1935"/>
      <c r="Z809" s="1086"/>
      <c r="AA809" s="230"/>
      <c r="AB809" s="230"/>
      <c r="AC809" s="1936"/>
      <c r="AD809" s="230"/>
      <c r="AE809" s="230"/>
      <c r="AF809" s="230"/>
      <c r="AG809" s="890"/>
      <c r="AJ809" s="890"/>
      <c r="AN809" s="223"/>
      <c r="AO809" s="952"/>
      <c r="AP809" s="1066"/>
      <c r="AQ809" s="972"/>
      <c r="AR809" s="1917"/>
      <c r="AS809" s="222"/>
      <c r="AZ809" s="889"/>
      <c r="BC809" s="890"/>
      <c r="BD809" s="952"/>
      <c r="BE809" s="75"/>
      <c r="BF809" s="572"/>
      <c r="BG809" s="983"/>
      <c r="BH809" s="222"/>
      <c r="BL809" s="889"/>
      <c r="BO809" s="223"/>
    </row>
    <row r="810" spans="1:67" s="74" customFormat="1">
      <c r="A810" s="15"/>
      <c r="B810" s="15"/>
      <c r="C810" s="15"/>
      <c r="D810" s="15"/>
      <c r="E810" s="6"/>
      <c r="F810" s="6"/>
      <c r="G810" s="6"/>
      <c r="K810" s="223"/>
      <c r="M810" s="889"/>
      <c r="P810" s="890"/>
      <c r="T810" s="889"/>
      <c r="X810" s="15"/>
      <c r="Y810" s="1935"/>
      <c r="Z810" s="1086"/>
      <c r="AA810" s="230"/>
      <c r="AB810" s="230"/>
      <c r="AC810" s="1936"/>
      <c r="AD810" s="230"/>
      <c r="AE810" s="230"/>
      <c r="AF810" s="230"/>
      <c r="AG810" s="890"/>
      <c r="AJ810" s="890"/>
      <c r="AN810" s="223"/>
      <c r="AO810" s="952"/>
      <c r="AP810" s="1066"/>
      <c r="AQ810" s="972"/>
      <c r="AR810" s="1917"/>
      <c r="AS810" s="222"/>
      <c r="AZ810" s="889"/>
      <c r="BC810" s="890"/>
      <c r="BD810" s="952"/>
      <c r="BE810" s="75"/>
      <c r="BF810" s="572"/>
      <c r="BG810" s="983"/>
      <c r="BH810" s="222"/>
      <c r="BL810" s="889"/>
      <c r="BO810" s="223"/>
    </row>
    <row r="811" spans="1:67" s="74" customFormat="1">
      <c r="A811" s="15"/>
      <c r="B811" s="15"/>
      <c r="C811" s="15"/>
      <c r="D811" s="15"/>
      <c r="E811" s="6"/>
      <c r="F811" s="6"/>
      <c r="G811" s="6"/>
      <c r="K811" s="223"/>
      <c r="M811" s="889"/>
      <c r="P811" s="890"/>
      <c r="T811" s="889"/>
      <c r="X811" s="15"/>
      <c r="Y811" s="1935"/>
      <c r="Z811" s="1086"/>
      <c r="AA811" s="230"/>
      <c r="AB811" s="230"/>
      <c r="AC811" s="1936"/>
      <c r="AD811" s="230"/>
      <c r="AE811" s="230"/>
      <c r="AF811" s="230"/>
      <c r="AG811" s="890"/>
      <c r="AJ811" s="890"/>
      <c r="AN811" s="223"/>
      <c r="AO811" s="952"/>
      <c r="AP811" s="1066"/>
      <c r="AQ811" s="972"/>
      <c r="AR811" s="1917"/>
      <c r="AS811" s="222"/>
      <c r="AZ811" s="889"/>
      <c r="BC811" s="890"/>
      <c r="BD811" s="952"/>
      <c r="BE811" s="75"/>
      <c r="BF811" s="572"/>
      <c r="BG811" s="983"/>
      <c r="BH811" s="222"/>
      <c r="BL811" s="889"/>
      <c r="BO811" s="223"/>
    </row>
    <row r="812" spans="1:67" s="74" customFormat="1">
      <c r="A812" s="15"/>
      <c r="B812" s="15"/>
      <c r="C812" s="15"/>
      <c r="D812" s="15"/>
      <c r="E812" s="6"/>
      <c r="F812" s="6"/>
      <c r="G812" s="6"/>
      <c r="K812" s="223"/>
      <c r="M812" s="889"/>
      <c r="P812" s="890"/>
      <c r="T812" s="889"/>
      <c r="X812" s="15"/>
      <c r="Y812" s="1935"/>
      <c r="Z812" s="1086"/>
      <c r="AA812" s="230"/>
      <c r="AB812" s="230"/>
      <c r="AC812" s="1936"/>
      <c r="AD812" s="230"/>
      <c r="AE812" s="230"/>
      <c r="AF812" s="230"/>
      <c r="AG812" s="890"/>
      <c r="AJ812" s="890"/>
      <c r="AN812" s="223"/>
      <c r="AO812" s="952"/>
      <c r="AP812" s="1066"/>
      <c r="AQ812" s="972"/>
      <c r="AR812" s="1917"/>
      <c r="AS812" s="222"/>
      <c r="AZ812" s="889"/>
      <c r="BC812" s="890"/>
      <c r="BD812" s="952"/>
      <c r="BE812" s="75"/>
      <c r="BF812" s="572"/>
      <c r="BG812" s="983"/>
      <c r="BH812" s="222"/>
      <c r="BL812" s="889"/>
      <c r="BO812" s="223"/>
    </row>
    <row r="813" spans="1:67" s="74" customFormat="1">
      <c r="A813" s="15"/>
      <c r="B813" s="15"/>
      <c r="C813" s="15"/>
      <c r="D813" s="15"/>
      <c r="E813" s="6"/>
      <c r="F813" s="6"/>
      <c r="G813" s="6"/>
      <c r="K813" s="223"/>
      <c r="M813" s="889"/>
      <c r="P813" s="890"/>
      <c r="T813" s="889"/>
      <c r="X813" s="15"/>
      <c r="Y813" s="1935"/>
      <c r="Z813" s="1086"/>
      <c r="AA813" s="230"/>
      <c r="AB813" s="230"/>
      <c r="AC813" s="1936"/>
      <c r="AD813" s="230"/>
      <c r="AE813" s="230"/>
      <c r="AF813" s="230"/>
      <c r="AG813" s="890"/>
      <c r="AJ813" s="890"/>
      <c r="AN813" s="223"/>
      <c r="AO813" s="952"/>
      <c r="AP813" s="1066"/>
      <c r="AQ813" s="972"/>
      <c r="AR813" s="1917"/>
      <c r="AS813" s="222"/>
      <c r="AZ813" s="889"/>
      <c r="BC813" s="890"/>
      <c r="BD813" s="952"/>
      <c r="BE813" s="75"/>
      <c r="BF813" s="572"/>
      <c r="BG813" s="983"/>
      <c r="BH813" s="222"/>
      <c r="BL813" s="889"/>
      <c r="BO813" s="223"/>
    </row>
    <row r="814" spans="1:67" s="74" customFormat="1">
      <c r="A814" s="15"/>
      <c r="B814" s="15"/>
      <c r="C814" s="15"/>
      <c r="D814" s="15"/>
      <c r="E814" s="6"/>
      <c r="F814" s="6"/>
      <c r="G814" s="6"/>
      <c r="K814" s="223"/>
      <c r="M814" s="889"/>
      <c r="P814" s="890"/>
      <c r="T814" s="889"/>
      <c r="X814" s="15"/>
      <c r="Y814" s="1935"/>
      <c r="Z814" s="1086"/>
      <c r="AA814" s="230"/>
      <c r="AB814" s="230"/>
      <c r="AC814" s="1936"/>
      <c r="AD814" s="230"/>
      <c r="AE814" s="230"/>
      <c r="AF814" s="230"/>
      <c r="AG814" s="890"/>
      <c r="AJ814" s="890"/>
      <c r="AN814" s="223"/>
      <c r="AO814" s="952"/>
      <c r="AP814" s="1066"/>
      <c r="AQ814" s="972"/>
      <c r="AR814" s="1917"/>
      <c r="AS814" s="222"/>
      <c r="AZ814" s="889"/>
      <c r="BC814" s="890"/>
      <c r="BD814" s="952"/>
      <c r="BE814" s="75"/>
      <c r="BF814" s="572"/>
      <c r="BG814" s="983"/>
      <c r="BH814" s="222"/>
      <c r="BL814" s="889"/>
      <c r="BO814" s="223"/>
    </row>
    <row r="815" spans="1:67" s="74" customFormat="1">
      <c r="A815" s="15"/>
      <c r="B815" s="15"/>
      <c r="C815" s="15"/>
      <c r="D815" s="15"/>
      <c r="E815" s="6"/>
      <c r="F815" s="6"/>
      <c r="G815" s="6"/>
      <c r="K815" s="223"/>
      <c r="M815" s="889"/>
      <c r="P815" s="890"/>
      <c r="T815" s="889"/>
      <c r="X815" s="15"/>
      <c r="Y815" s="1935"/>
      <c r="Z815" s="1086"/>
      <c r="AA815" s="230"/>
      <c r="AB815" s="230"/>
      <c r="AC815" s="1936"/>
      <c r="AD815" s="230"/>
      <c r="AE815" s="230"/>
      <c r="AF815" s="230"/>
      <c r="AG815" s="890"/>
      <c r="AJ815" s="890"/>
      <c r="AN815" s="223"/>
      <c r="AO815" s="952"/>
      <c r="AP815" s="1066"/>
      <c r="AQ815" s="972"/>
      <c r="AR815" s="1917"/>
      <c r="AS815" s="222"/>
      <c r="AZ815" s="889"/>
      <c r="BC815" s="890"/>
      <c r="BD815" s="952"/>
      <c r="BE815" s="75"/>
      <c r="BF815" s="572"/>
      <c r="BG815" s="983"/>
      <c r="BH815" s="222"/>
      <c r="BL815" s="889"/>
      <c r="BO815" s="223"/>
    </row>
    <row r="816" spans="1:67" s="74" customFormat="1">
      <c r="A816" s="15"/>
      <c r="B816" s="15"/>
      <c r="C816" s="15"/>
      <c r="D816" s="15"/>
      <c r="E816" s="6"/>
      <c r="F816" s="6"/>
      <c r="G816" s="6"/>
      <c r="K816" s="223"/>
      <c r="M816" s="889"/>
      <c r="P816" s="890"/>
      <c r="T816" s="889"/>
      <c r="X816" s="15"/>
      <c r="Y816" s="1935"/>
      <c r="Z816" s="1086"/>
      <c r="AA816" s="230"/>
      <c r="AB816" s="230"/>
      <c r="AC816" s="1936"/>
      <c r="AD816" s="230"/>
      <c r="AE816" s="230"/>
      <c r="AF816" s="230"/>
      <c r="AG816" s="890"/>
      <c r="AJ816" s="890"/>
      <c r="AN816" s="223"/>
      <c r="AO816" s="952"/>
      <c r="AP816" s="1066"/>
      <c r="AQ816" s="972"/>
      <c r="AR816" s="1917"/>
      <c r="AS816" s="222"/>
      <c r="AZ816" s="889"/>
      <c r="BC816" s="890"/>
      <c r="BD816" s="952"/>
      <c r="BE816" s="75"/>
      <c r="BF816" s="572"/>
      <c r="BG816" s="983"/>
      <c r="BH816" s="222"/>
      <c r="BL816" s="889"/>
      <c r="BO816" s="223"/>
    </row>
    <row r="817" spans="1:67" s="74" customFormat="1">
      <c r="A817" s="15"/>
      <c r="B817" s="15"/>
      <c r="C817" s="15"/>
      <c r="D817" s="15"/>
      <c r="E817" s="6"/>
      <c r="F817" s="6"/>
      <c r="G817" s="6"/>
      <c r="K817" s="223"/>
      <c r="M817" s="889"/>
      <c r="P817" s="890"/>
      <c r="T817" s="889"/>
      <c r="X817" s="15"/>
      <c r="Y817" s="1935"/>
      <c r="Z817" s="1086"/>
      <c r="AA817" s="230"/>
      <c r="AB817" s="230"/>
      <c r="AC817" s="1936"/>
      <c r="AD817" s="230"/>
      <c r="AE817" s="230"/>
      <c r="AF817" s="230"/>
      <c r="AG817" s="890"/>
      <c r="AJ817" s="890"/>
      <c r="AN817" s="223"/>
      <c r="AO817" s="952"/>
      <c r="AP817" s="1066"/>
      <c r="AQ817" s="972"/>
      <c r="AR817" s="1917"/>
      <c r="AS817" s="222"/>
      <c r="AZ817" s="889"/>
      <c r="BC817" s="890"/>
      <c r="BD817" s="952"/>
      <c r="BE817" s="75"/>
      <c r="BF817" s="572"/>
      <c r="BG817" s="983"/>
      <c r="BH817" s="222"/>
      <c r="BL817" s="889"/>
      <c r="BO817" s="223"/>
    </row>
    <row r="818" spans="1:67" s="74" customFormat="1">
      <c r="A818" s="15"/>
      <c r="B818" s="15"/>
      <c r="C818" s="15"/>
      <c r="D818" s="15"/>
      <c r="E818" s="6"/>
      <c r="F818" s="6"/>
      <c r="G818" s="6"/>
      <c r="K818" s="223"/>
      <c r="M818" s="889"/>
      <c r="P818" s="890"/>
      <c r="T818" s="889"/>
      <c r="X818" s="15"/>
      <c r="Y818" s="1935"/>
      <c r="Z818" s="1086"/>
      <c r="AA818" s="230"/>
      <c r="AB818" s="230"/>
      <c r="AC818" s="1936"/>
      <c r="AD818" s="230"/>
      <c r="AE818" s="230"/>
      <c r="AF818" s="230"/>
      <c r="AG818" s="890"/>
      <c r="AJ818" s="890"/>
      <c r="AN818" s="223"/>
      <c r="AO818" s="952"/>
      <c r="AP818" s="1066"/>
      <c r="AQ818" s="972"/>
      <c r="AR818" s="1917"/>
      <c r="AS818" s="222"/>
      <c r="AZ818" s="889"/>
      <c r="BC818" s="890"/>
      <c r="BD818" s="952"/>
      <c r="BE818" s="75"/>
      <c r="BF818" s="572"/>
      <c r="BG818" s="983"/>
      <c r="BH818" s="222"/>
      <c r="BL818" s="889"/>
      <c r="BO818" s="223"/>
    </row>
    <row r="819" spans="1:67" s="74" customFormat="1">
      <c r="A819" s="15"/>
      <c r="B819" s="15"/>
      <c r="C819" s="15"/>
      <c r="D819" s="15"/>
      <c r="E819" s="6"/>
      <c r="F819" s="6"/>
      <c r="G819" s="6"/>
      <c r="K819" s="223"/>
      <c r="M819" s="889"/>
      <c r="P819" s="890"/>
      <c r="T819" s="889"/>
      <c r="X819" s="15"/>
      <c r="Y819" s="1935"/>
      <c r="Z819" s="1086"/>
      <c r="AA819" s="230"/>
      <c r="AB819" s="230"/>
      <c r="AC819" s="1936"/>
      <c r="AD819" s="230"/>
      <c r="AE819" s="230"/>
      <c r="AF819" s="230"/>
      <c r="AG819" s="890"/>
      <c r="AJ819" s="890"/>
      <c r="AN819" s="223"/>
      <c r="AO819" s="952"/>
      <c r="AP819" s="1066"/>
      <c r="AQ819" s="972"/>
      <c r="AR819" s="1917"/>
      <c r="AS819" s="222"/>
      <c r="AZ819" s="889"/>
      <c r="BC819" s="890"/>
      <c r="BD819" s="952"/>
      <c r="BE819" s="75"/>
      <c r="BF819" s="572"/>
      <c r="BG819" s="983"/>
      <c r="BH819" s="222"/>
      <c r="BL819" s="889"/>
      <c r="BO819" s="223"/>
    </row>
    <row r="820" spans="1:67" s="74" customFormat="1">
      <c r="A820" s="15"/>
      <c r="B820" s="15"/>
      <c r="C820" s="15"/>
      <c r="D820" s="15"/>
      <c r="E820" s="6"/>
      <c r="F820" s="6"/>
      <c r="G820" s="6"/>
      <c r="K820" s="223"/>
      <c r="M820" s="889"/>
      <c r="P820" s="890"/>
      <c r="T820" s="889"/>
      <c r="X820" s="15"/>
      <c r="Y820" s="1935"/>
      <c r="Z820" s="1086"/>
      <c r="AA820" s="230"/>
      <c r="AB820" s="230"/>
      <c r="AC820" s="1936"/>
      <c r="AD820" s="230"/>
      <c r="AE820" s="230"/>
      <c r="AF820" s="230"/>
      <c r="AG820" s="890"/>
      <c r="AJ820" s="890"/>
      <c r="AN820" s="223"/>
      <c r="AO820" s="952"/>
      <c r="AP820" s="1066"/>
      <c r="AQ820" s="972"/>
      <c r="AR820" s="1917"/>
      <c r="AS820" s="222"/>
      <c r="AZ820" s="889"/>
      <c r="BC820" s="890"/>
      <c r="BD820" s="952"/>
      <c r="BE820" s="75"/>
      <c r="BF820" s="572"/>
      <c r="BG820" s="983"/>
      <c r="BH820" s="222"/>
      <c r="BL820" s="889"/>
      <c r="BO820" s="223"/>
    </row>
    <row r="821" spans="1:67" s="74" customFormat="1">
      <c r="A821" s="15"/>
      <c r="B821" s="15"/>
      <c r="C821" s="15"/>
      <c r="D821" s="15"/>
      <c r="E821" s="6"/>
      <c r="F821" s="6"/>
      <c r="G821" s="6"/>
      <c r="K821" s="223"/>
      <c r="M821" s="889"/>
      <c r="P821" s="890"/>
      <c r="T821" s="889"/>
      <c r="X821" s="15"/>
      <c r="Y821" s="1935"/>
      <c r="Z821" s="1086"/>
      <c r="AA821" s="230"/>
      <c r="AB821" s="230"/>
      <c r="AC821" s="1936"/>
      <c r="AD821" s="230"/>
      <c r="AE821" s="230"/>
      <c r="AF821" s="230"/>
      <c r="AG821" s="890"/>
      <c r="AJ821" s="890"/>
      <c r="AN821" s="223"/>
      <c r="AO821" s="952"/>
      <c r="AP821" s="1066"/>
      <c r="AQ821" s="972"/>
      <c r="AR821" s="1917"/>
      <c r="AS821" s="222"/>
      <c r="AZ821" s="889"/>
      <c r="BC821" s="890"/>
      <c r="BD821" s="952"/>
      <c r="BE821" s="75"/>
      <c r="BF821" s="572"/>
      <c r="BG821" s="983"/>
      <c r="BH821" s="222"/>
      <c r="BL821" s="889"/>
      <c r="BO821" s="223"/>
    </row>
    <row r="822" spans="1:67" s="74" customFormat="1">
      <c r="A822" s="15"/>
      <c r="B822" s="15"/>
      <c r="C822" s="15"/>
      <c r="D822" s="15"/>
      <c r="E822" s="6"/>
      <c r="F822" s="6"/>
      <c r="G822" s="6"/>
      <c r="K822" s="223"/>
      <c r="M822" s="889"/>
      <c r="P822" s="890"/>
      <c r="T822" s="889"/>
      <c r="X822" s="15"/>
      <c r="Y822" s="1935"/>
      <c r="Z822" s="1086"/>
      <c r="AA822" s="230"/>
      <c r="AB822" s="230"/>
      <c r="AC822" s="1936"/>
      <c r="AD822" s="230"/>
      <c r="AE822" s="230"/>
      <c r="AF822" s="230"/>
      <c r="AG822" s="890"/>
      <c r="AJ822" s="890"/>
      <c r="AN822" s="223"/>
      <c r="AO822" s="952"/>
      <c r="AP822" s="1066"/>
      <c r="AQ822" s="972"/>
      <c r="AR822" s="1917"/>
      <c r="AS822" s="222"/>
      <c r="AZ822" s="889"/>
      <c r="BC822" s="890"/>
      <c r="BD822" s="952"/>
      <c r="BE822" s="75"/>
      <c r="BF822" s="572"/>
      <c r="BG822" s="983"/>
      <c r="BH822" s="222"/>
      <c r="BL822" s="889"/>
      <c r="BO822" s="223"/>
    </row>
    <row r="823" spans="1:67" s="74" customFormat="1">
      <c r="A823" s="15"/>
      <c r="B823" s="15"/>
      <c r="C823" s="15"/>
      <c r="D823" s="15"/>
      <c r="E823" s="6"/>
      <c r="F823" s="6"/>
      <c r="G823" s="6"/>
      <c r="K823" s="223"/>
      <c r="M823" s="889"/>
      <c r="P823" s="890"/>
      <c r="T823" s="889"/>
      <c r="X823" s="15"/>
      <c r="Y823" s="1935"/>
      <c r="Z823" s="1086"/>
      <c r="AA823" s="230"/>
      <c r="AB823" s="230"/>
      <c r="AC823" s="1936"/>
      <c r="AD823" s="230"/>
      <c r="AE823" s="230"/>
      <c r="AF823" s="230"/>
      <c r="AG823" s="890"/>
      <c r="AJ823" s="890"/>
      <c r="AN823" s="223"/>
      <c r="AO823" s="952"/>
      <c r="AP823" s="1066"/>
      <c r="AQ823" s="972"/>
      <c r="AR823" s="1917"/>
      <c r="AS823" s="222"/>
      <c r="AZ823" s="889"/>
      <c r="BC823" s="890"/>
      <c r="BD823" s="952"/>
      <c r="BE823" s="75"/>
      <c r="BF823" s="572"/>
      <c r="BG823" s="983"/>
      <c r="BH823" s="222"/>
      <c r="BL823" s="889"/>
      <c r="BO823" s="223"/>
    </row>
    <row r="824" spans="1:67" s="74" customFormat="1">
      <c r="A824" s="15"/>
      <c r="B824" s="15"/>
      <c r="C824" s="15"/>
      <c r="D824" s="15"/>
      <c r="E824" s="6"/>
      <c r="F824" s="6"/>
      <c r="G824" s="6"/>
      <c r="K824" s="223"/>
      <c r="M824" s="889"/>
      <c r="P824" s="890"/>
      <c r="T824" s="889"/>
      <c r="X824" s="15"/>
      <c r="Y824" s="1935"/>
      <c r="Z824" s="1086"/>
      <c r="AA824" s="230"/>
      <c r="AB824" s="230"/>
      <c r="AC824" s="1936"/>
      <c r="AD824" s="230"/>
      <c r="AE824" s="230"/>
      <c r="AF824" s="230"/>
      <c r="AG824" s="890"/>
      <c r="AJ824" s="890"/>
      <c r="AN824" s="223"/>
      <c r="AO824" s="952"/>
      <c r="AP824" s="1066"/>
      <c r="AQ824" s="972"/>
      <c r="AR824" s="1917"/>
      <c r="AS824" s="222"/>
      <c r="AZ824" s="889"/>
      <c r="BC824" s="890"/>
      <c r="BD824" s="952"/>
      <c r="BE824" s="75"/>
      <c r="BF824" s="572"/>
      <c r="BG824" s="983"/>
      <c r="BH824" s="222"/>
      <c r="BL824" s="889"/>
      <c r="BO824" s="223"/>
    </row>
    <row r="825" spans="1:67" s="74" customFormat="1">
      <c r="A825" s="15"/>
      <c r="B825" s="15"/>
      <c r="C825" s="15"/>
      <c r="D825" s="15"/>
      <c r="E825" s="6"/>
      <c r="F825" s="6"/>
      <c r="G825" s="6"/>
      <c r="K825" s="223"/>
      <c r="M825" s="889"/>
      <c r="P825" s="890"/>
      <c r="T825" s="889"/>
      <c r="X825" s="15"/>
      <c r="Y825" s="1935"/>
      <c r="Z825" s="1086"/>
      <c r="AA825" s="230"/>
      <c r="AB825" s="230"/>
      <c r="AC825" s="1936"/>
      <c r="AD825" s="230"/>
      <c r="AE825" s="230"/>
      <c r="AF825" s="230"/>
      <c r="AG825" s="890"/>
      <c r="AJ825" s="890"/>
      <c r="AN825" s="223"/>
      <c r="AO825" s="952"/>
      <c r="AP825" s="1066"/>
      <c r="AQ825" s="972"/>
      <c r="AR825" s="1917"/>
      <c r="AS825" s="222"/>
      <c r="AZ825" s="889"/>
      <c r="BC825" s="890"/>
      <c r="BD825" s="952"/>
      <c r="BE825" s="75"/>
      <c r="BF825" s="572"/>
      <c r="BG825" s="983"/>
      <c r="BH825" s="222"/>
      <c r="BL825" s="889"/>
      <c r="BO825" s="223"/>
    </row>
    <row r="826" spans="1:67" s="74" customFormat="1">
      <c r="A826" s="15"/>
      <c r="B826" s="15"/>
      <c r="C826" s="15"/>
      <c r="D826" s="15"/>
      <c r="E826" s="6"/>
      <c r="F826" s="6"/>
      <c r="G826" s="6"/>
      <c r="K826" s="223"/>
      <c r="M826" s="889"/>
      <c r="P826" s="890"/>
      <c r="T826" s="889"/>
      <c r="X826" s="15"/>
      <c r="Y826" s="1935"/>
      <c r="Z826" s="1086"/>
      <c r="AA826" s="230"/>
      <c r="AB826" s="230"/>
      <c r="AC826" s="1936"/>
      <c r="AD826" s="230"/>
      <c r="AE826" s="230"/>
      <c r="AF826" s="230"/>
      <c r="AG826" s="890"/>
      <c r="AJ826" s="890"/>
      <c r="AN826" s="223"/>
      <c r="AO826" s="952"/>
      <c r="AP826" s="1066"/>
      <c r="AQ826" s="972"/>
      <c r="AR826" s="1917"/>
      <c r="AS826" s="222"/>
      <c r="AZ826" s="889"/>
      <c r="BC826" s="890"/>
      <c r="BD826" s="952"/>
      <c r="BE826" s="75"/>
      <c r="BF826" s="572"/>
      <c r="BG826" s="983"/>
      <c r="BH826" s="222"/>
      <c r="BL826" s="889"/>
      <c r="BO826" s="223"/>
    </row>
    <row r="827" spans="1:67" s="74" customFormat="1">
      <c r="A827" s="15"/>
      <c r="B827" s="15"/>
      <c r="C827" s="15"/>
      <c r="D827" s="15"/>
      <c r="E827" s="6"/>
      <c r="F827" s="6"/>
      <c r="G827" s="6"/>
      <c r="K827" s="223"/>
      <c r="M827" s="889"/>
      <c r="P827" s="890"/>
      <c r="T827" s="889"/>
      <c r="X827" s="15"/>
      <c r="Y827" s="1935"/>
      <c r="Z827" s="1086"/>
      <c r="AA827" s="230"/>
      <c r="AB827" s="230"/>
      <c r="AC827" s="1936"/>
      <c r="AD827" s="230"/>
      <c r="AE827" s="230"/>
      <c r="AF827" s="230"/>
      <c r="AG827" s="890"/>
      <c r="AJ827" s="890"/>
      <c r="AN827" s="223"/>
      <c r="AO827" s="952"/>
      <c r="AP827" s="1066"/>
      <c r="AQ827" s="972"/>
      <c r="AR827" s="1917"/>
      <c r="AS827" s="222"/>
      <c r="AZ827" s="889"/>
      <c r="BC827" s="890"/>
      <c r="BD827" s="952"/>
      <c r="BE827" s="75"/>
      <c r="BF827" s="572"/>
      <c r="BG827" s="983"/>
      <c r="BH827" s="222"/>
      <c r="BL827" s="889"/>
      <c r="BO827" s="223"/>
    </row>
    <row r="828" spans="1:67" s="74" customFormat="1">
      <c r="A828" s="15"/>
      <c r="B828" s="15"/>
      <c r="C828" s="15"/>
      <c r="D828" s="15"/>
      <c r="E828" s="6"/>
      <c r="F828" s="6"/>
      <c r="G828" s="6"/>
      <c r="K828" s="223"/>
      <c r="M828" s="889"/>
      <c r="P828" s="890"/>
      <c r="T828" s="889"/>
      <c r="X828" s="15"/>
      <c r="Y828" s="1935"/>
      <c r="Z828" s="1086"/>
      <c r="AA828" s="230"/>
      <c r="AB828" s="230"/>
      <c r="AC828" s="1936"/>
      <c r="AD828" s="230"/>
      <c r="AE828" s="230"/>
      <c r="AF828" s="230"/>
      <c r="AG828" s="890"/>
      <c r="AJ828" s="890"/>
      <c r="AN828" s="223"/>
      <c r="AO828" s="952"/>
      <c r="AP828" s="1066"/>
      <c r="AQ828" s="972"/>
      <c r="AR828" s="1917"/>
      <c r="AS828" s="222"/>
      <c r="AZ828" s="889"/>
      <c r="BC828" s="890"/>
      <c r="BD828" s="952"/>
      <c r="BE828" s="75"/>
      <c r="BF828" s="572"/>
      <c r="BG828" s="983"/>
      <c r="BH828" s="222"/>
      <c r="BL828" s="889"/>
      <c r="BO828" s="223"/>
    </row>
    <row r="829" spans="1:67" s="74" customFormat="1">
      <c r="A829" s="15"/>
      <c r="B829" s="15"/>
      <c r="C829" s="15"/>
      <c r="D829" s="15"/>
      <c r="E829" s="6"/>
      <c r="F829" s="6"/>
      <c r="G829" s="6"/>
      <c r="K829" s="223"/>
      <c r="M829" s="889"/>
      <c r="P829" s="890"/>
      <c r="T829" s="889"/>
      <c r="X829" s="15"/>
      <c r="Y829" s="1935"/>
      <c r="Z829" s="1086"/>
      <c r="AA829" s="230"/>
      <c r="AB829" s="230"/>
      <c r="AC829" s="1936"/>
      <c r="AD829" s="230"/>
      <c r="AE829" s="230"/>
      <c r="AF829" s="230"/>
      <c r="AG829" s="890"/>
      <c r="AJ829" s="890"/>
      <c r="AN829" s="223"/>
      <c r="AO829" s="952"/>
      <c r="AP829" s="1066"/>
      <c r="AQ829" s="972"/>
      <c r="AR829" s="1917"/>
      <c r="AS829" s="222"/>
      <c r="AZ829" s="889"/>
      <c r="BC829" s="890"/>
      <c r="BD829" s="952"/>
      <c r="BE829" s="75"/>
      <c r="BF829" s="572"/>
      <c r="BG829" s="983"/>
      <c r="BH829" s="222"/>
      <c r="BL829" s="889"/>
      <c r="BO829" s="223"/>
    </row>
    <row r="830" spans="1:67" s="74" customFormat="1">
      <c r="A830" s="15"/>
      <c r="B830" s="15"/>
      <c r="C830" s="15"/>
      <c r="D830" s="15"/>
      <c r="E830" s="6"/>
      <c r="F830" s="6"/>
      <c r="G830" s="6"/>
      <c r="K830" s="223"/>
      <c r="M830" s="889"/>
      <c r="P830" s="890"/>
      <c r="T830" s="889"/>
      <c r="X830" s="15"/>
      <c r="Y830" s="1935"/>
      <c r="Z830" s="1086"/>
      <c r="AA830" s="230"/>
      <c r="AB830" s="230"/>
      <c r="AC830" s="1936"/>
      <c r="AD830" s="230"/>
      <c r="AE830" s="230"/>
      <c r="AF830" s="230"/>
      <c r="AG830" s="890"/>
      <c r="AJ830" s="890"/>
      <c r="AN830" s="223"/>
      <c r="AO830" s="952"/>
      <c r="AP830" s="1066"/>
      <c r="AQ830" s="972"/>
      <c r="AR830" s="1917"/>
      <c r="AS830" s="222"/>
      <c r="AZ830" s="889"/>
      <c r="BC830" s="890"/>
      <c r="BD830" s="952"/>
      <c r="BE830" s="75"/>
      <c r="BF830" s="572"/>
      <c r="BG830" s="983"/>
      <c r="BH830" s="222"/>
      <c r="BL830" s="889"/>
      <c r="BO830" s="223"/>
    </row>
    <row r="831" spans="1:67" s="74" customFormat="1">
      <c r="A831" s="15"/>
      <c r="B831" s="15"/>
      <c r="C831" s="15"/>
      <c r="D831" s="15"/>
      <c r="E831" s="6"/>
      <c r="F831" s="6"/>
      <c r="G831" s="6"/>
      <c r="K831" s="223"/>
      <c r="M831" s="889"/>
      <c r="P831" s="890"/>
      <c r="T831" s="889"/>
      <c r="X831" s="15"/>
      <c r="Y831" s="1935"/>
      <c r="Z831" s="1086"/>
      <c r="AA831" s="230"/>
      <c r="AB831" s="230"/>
      <c r="AC831" s="1936"/>
      <c r="AD831" s="230"/>
      <c r="AE831" s="230"/>
      <c r="AF831" s="230"/>
      <c r="AG831" s="890"/>
      <c r="AJ831" s="890"/>
      <c r="AN831" s="223"/>
      <c r="AO831" s="952"/>
      <c r="AP831" s="1066"/>
      <c r="AQ831" s="972"/>
      <c r="AR831" s="1917"/>
      <c r="AS831" s="222"/>
      <c r="AZ831" s="889"/>
      <c r="BC831" s="890"/>
      <c r="BD831" s="952"/>
      <c r="BE831" s="75"/>
      <c r="BF831" s="572"/>
      <c r="BG831" s="983"/>
      <c r="BH831" s="222"/>
      <c r="BL831" s="889"/>
      <c r="BO831" s="223"/>
    </row>
    <row r="832" spans="1:67" s="74" customFormat="1">
      <c r="A832" s="15"/>
      <c r="B832" s="15"/>
      <c r="C832" s="15"/>
      <c r="D832" s="15"/>
      <c r="E832" s="6"/>
      <c r="F832" s="6"/>
      <c r="G832" s="6"/>
      <c r="K832" s="223"/>
      <c r="M832" s="889"/>
      <c r="P832" s="890"/>
      <c r="T832" s="889"/>
      <c r="X832" s="15"/>
      <c r="Y832" s="1935"/>
      <c r="Z832" s="1086"/>
      <c r="AA832" s="230"/>
      <c r="AB832" s="230"/>
      <c r="AC832" s="1936"/>
      <c r="AD832" s="230"/>
      <c r="AE832" s="230"/>
      <c r="AF832" s="230"/>
      <c r="AG832" s="890"/>
      <c r="AJ832" s="890"/>
      <c r="AN832" s="223"/>
      <c r="AO832" s="952"/>
      <c r="AP832" s="1066"/>
      <c r="AQ832" s="972"/>
      <c r="AR832" s="1917"/>
      <c r="AS832" s="222"/>
      <c r="AZ832" s="889"/>
      <c r="BC832" s="890"/>
      <c r="BD832" s="952"/>
      <c r="BE832" s="75"/>
      <c r="BF832" s="572"/>
      <c r="BG832" s="983"/>
      <c r="BH832" s="222"/>
      <c r="BL832" s="889"/>
      <c r="BO832" s="223"/>
    </row>
    <row r="833" spans="1:67" s="74" customFormat="1">
      <c r="A833" s="15"/>
      <c r="B833" s="15"/>
      <c r="C833" s="15"/>
      <c r="D833" s="15"/>
      <c r="E833" s="6"/>
      <c r="F833" s="6"/>
      <c r="G833" s="6"/>
      <c r="K833" s="223"/>
      <c r="M833" s="889"/>
      <c r="P833" s="890"/>
      <c r="T833" s="889"/>
      <c r="X833" s="15"/>
      <c r="Y833" s="1935"/>
      <c r="Z833" s="1086"/>
      <c r="AA833" s="230"/>
      <c r="AB833" s="230"/>
      <c r="AC833" s="1936"/>
      <c r="AD833" s="230"/>
      <c r="AE833" s="230"/>
      <c r="AF833" s="230"/>
      <c r="AG833" s="890"/>
      <c r="AJ833" s="890"/>
      <c r="AN833" s="223"/>
      <c r="AO833" s="952"/>
      <c r="AP833" s="1066"/>
      <c r="AQ833" s="972"/>
      <c r="AR833" s="1917"/>
      <c r="AS833" s="222"/>
      <c r="AZ833" s="889"/>
      <c r="BC833" s="890"/>
      <c r="BD833" s="952"/>
      <c r="BE833" s="75"/>
      <c r="BF833" s="572"/>
      <c r="BG833" s="983"/>
      <c r="BH833" s="222"/>
      <c r="BL833" s="889"/>
      <c r="BO833" s="223"/>
    </row>
    <row r="834" spans="1:67" s="74" customFormat="1">
      <c r="A834" s="15"/>
      <c r="B834" s="15"/>
      <c r="C834" s="15"/>
      <c r="D834" s="15"/>
      <c r="E834" s="6"/>
      <c r="F834" s="6"/>
      <c r="G834" s="6"/>
      <c r="K834" s="223"/>
      <c r="M834" s="889"/>
      <c r="P834" s="890"/>
      <c r="T834" s="889"/>
      <c r="X834" s="15"/>
      <c r="Y834" s="1935"/>
      <c r="Z834" s="1086"/>
      <c r="AA834" s="230"/>
      <c r="AB834" s="230"/>
      <c r="AC834" s="1936"/>
      <c r="AD834" s="230"/>
      <c r="AE834" s="230"/>
      <c r="AF834" s="230"/>
      <c r="AG834" s="890"/>
      <c r="AJ834" s="890"/>
      <c r="AN834" s="223"/>
      <c r="AO834" s="952"/>
      <c r="AP834" s="1066"/>
      <c r="AQ834" s="972"/>
      <c r="AR834" s="1917"/>
      <c r="AS834" s="222"/>
      <c r="AZ834" s="889"/>
      <c r="BC834" s="890"/>
      <c r="BD834" s="952"/>
      <c r="BE834" s="75"/>
      <c r="BF834" s="572"/>
      <c r="BG834" s="983"/>
      <c r="BH834" s="222"/>
      <c r="BL834" s="889"/>
      <c r="BO834" s="223"/>
    </row>
    <row r="835" spans="1:67" s="74" customFormat="1">
      <c r="A835" s="15"/>
      <c r="B835" s="15"/>
      <c r="C835" s="15"/>
      <c r="D835" s="15"/>
      <c r="E835" s="6"/>
      <c r="F835" s="6"/>
      <c r="G835" s="6"/>
      <c r="K835" s="223"/>
      <c r="M835" s="889"/>
      <c r="P835" s="890"/>
      <c r="T835" s="889"/>
      <c r="X835" s="15"/>
      <c r="Y835" s="1935"/>
      <c r="Z835" s="1086"/>
      <c r="AA835" s="230"/>
      <c r="AB835" s="230"/>
      <c r="AC835" s="1936"/>
      <c r="AD835" s="230"/>
      <c r="AE835" s="230"/>
      <c r="AF835" s="230"/>
      <c r="AG835" s="890"/>
      <c r="AJ835" s="890"/>
      <c r="AN835" s="223"/>
      <c r="AO835" s="952"/>
      <c r="AP835" s="1066"/>
      <c r="AQ835" s="972"/>
      <c r="AR835" s="1917"/>
      <c r="AS835" s="222"/>
      <c r="AZ835" s="889"/>
      <c r="BC835" s="890"/>
      <c r="BD835" s="952"/>
      <c r="BE835" s="75"/>
      <c r="BF835" s="572"/>
      <c r="BG835" s="983"/>
      <c r="BH835" s="222"/>
      <c r="BL835" s="889"/>
      <c r="BO835" s="223"/>
    </row>
    <row r="836" spans="1:67" s="74" customFormat="1">
      <c r="A836" s="15"/>
      <c r="B836" s="15"/>
      <c r="C836" s="15"/>
      <c r="D836" s="15"/>
      <c r="E836" s="6"/>
      <c r="F836" s="6"/>
      <c r="G836" s="6"/>
      <c r="K836" s="223"/>
      <c r="M836" s="889"/>
      <c r="P836" s="890"/>
      <c r="T836" s="889"/>
      <c r="X836" s="15"/>
      <c r="Y836" s="1935"/>
      <c r="Z836" s="1086"/>
      <c r="AA836" s="230"/>
      <c r="AB836" s="230"/>
      <c r="AC836" s="1936"/>
      <c r="AD836" s="230"/>
      <c r="AE836" s="230"/>
      <c r="AF836" s="230"/>
      <c r="AG836" s="890"/>
      <c r="AJ836" s="890"/>
      <c r="AN836" s="223"/>
      <c r="AO836" s="952"/>
      <c r="AP836" s="1066"/>
      <c r="AQ836" s="972"/>
      <c r="AR836" s="1917"/>
      <c r="AS836" s="222"/>
      <c r="AZ836" s="889"/>
      <c r="BC836" s="890"/>
      <c r="BD836" s="952"/>
      <c r="BE836" s="75"/>
      <c r="BF836" s="572"/>
      <c r="BG836" s="983"/>
      <c r="BH836" s="222"/>
      <c r="BL836" s="889"/>
      <c r="BO836" s="223"/>
    </row>
    <row r="837" spans="1:67" s="74" customFormat="1">
      <c r="A837" s="15"/>
      <c r="B837" s="15"/>
      <c r="C837" s="15"/>
      <c r="D837" s="15"/>
      <c r="E837" s="6"/>
      <c r="F837" s="6"/>
      <c r="G837" s="6"/>
      <c r="K837" s="223"/>
      <c r="M837" s="889"/>
      <c r="P837" s="890"/>
      <c r="T837" s="889"/>
      <c r="X837" s="15"/>
      <c r="Y837" s="1935"/>
      <c r="Z837" s="1086"/>
      <c r="AA837" s="230"/>
      <c r="AB837" s="230"/>
      <c r="AC837" s="1936"/>
      <c r="AD837" s="230"/>
      <c r="AE837" s="230"/>
      <c r="AF837" s="230"/>
      <c r="AG837" s="890"/>
      <c r="AJ837" s="890"/>
      <c r="AN837" s="223"/>
      <c r="AO837" s="952"/>
      <c r="AP837" s="1066"/>
      <c r="AQ837" s="972"/>
      <c r="AR837" s="1917"/>
      <c r="AS837" s="222"/>
      <c r="AZ837" s="889"/>
      <c r="BC837" s="890"/>
      <c r="BD837" s="952"/>
      <c r="BE837" s="75"/>
      <c r="BF837" s="572"/>
      <c r="BG837" s="983"/>
      <c r="BH837" s="222"/>
      <c r="BL837" s="889"/>
      <c r="BO837" s="223"/>
    </row>
    <row r="838" spans="1:67" s="74" customFormat="1">
      <c r="A838" s="15"/>
      <c r="B838" s="15"/>
      <c r="C838" s="15"/>
      <c r="D838" s="15"/>
      <c r="E838" s="6"/>
      <c r="F838" s="6"/>
      <c r="G838" s="6"/>
      <c r="K838" s="223"/>
      <c r="M838" s="889"/>
      <c r="P838" s="890"/>
      <c r="T838" s="889"/>
      <c r="X838" s="15"/>
      <c r="Y838" s="1935"/>
      <c r="Z838" s="1086"/>
      <c r="AA838" s="230"/>
      <c r="AB838" s="230"/>
      <c r="AC838" s="1936"/>
      <c r="AD838" s="230"/>
      <c r="AE838" s="230"/>
      <c r="AF838" s="230"/>
      <c r="AG838" s="890"/>
      <c r="AJ838" s="890"/>
      <c r="AN838" s="223"/>
      <c r="AO838" s="952"/>
      <c r="AP838" s="1066"/>
      <c r="AQ838" s="972"/>
      <c r="AR838" s="1917"/>
      <c r="AS838" s="222"/>
      <c r="AZ838" s="889"/>
      <c r="BC838" s="890"/>
      <c r="BD838" s="952"/>
      <c r="BE838" s="75"/>
      <c r="BF838" s="572"/>
      <c r="BG838" s="983"/>
      <c r="BH838" s="222"/>
      <c r="BL838" s="889"/>
      <c r="BO838" s="223"/>
    </row>
    <row r="839" spans="1:67" s="74" customFormat="1">
      <c r="A839" s="15"/>
      <c r="B839" s="15"/>
      <c r="C839" s="15"/>
      <c r="D839" s="15"/>
      <c r="E839" s="6"/>
      <c r="F839" s="6"/>
      <c r="G839" s="6"/>
      <c r="K839" s="223"/>
      <c r="M839" s="889"/>
      <c r="P839" s="890"/>
      <c r="T839" s="889"/>
      <c r="X839" s="15"/>
      <c r="Y839" s="1935"/>
      <c r="Z839" s="1086"/>
      <c r="AA839" s="230"/>
      <c r="AB839" s="230"/>
      <c r="AC839" s="1936"/>
      <c r="AD839" s="230"/>
      <c r="AE839" s="230"/>
      <c r="AF839" s="230"/>
      <c r="AG839" s="890"/>
      <c r="AJ839" s="890"/>
      <c r="AN839" s="223"/>
      <c r="AO839" s="952"/>
      <c r="AP839" s="1066"/>
      <c r="AQ839" s="972"/>
      <c r="AR839" s="1917"/>
      <c r="AS839" s="222"/>
      <c r="AZ839" s="889"/>
      <c r="BC839" s="890"/>
      <c r="BD839" s="952"/>
      <c r="BE839" s="75"/>
      <c r="BF839" s="572"/>
      <c r="BG839" s="983"/>
      <c r="BH839" s="222"/>
      <c r="BL839" s="889"/>
      <c r="BO839" s="223"/>
    </row>
    <row r="840" spans="1:67" s="74" customFormat="1">
      <c r="A840" s="15"/>
      <c r="B840" s="15"/>
      <c r="C840" s="15"/>
      <c r="D840" s="15"/>
      <c r="E840" s="6"/>
      <c r="F840" s="6"/>
      <c r="G840" s="6"/>
      <c r="K840" s="223"/>
      <c r="M840" s="889"/>
      <c r="P840" s="890"/>
      <c r="T840" s="889"/>
      <c r="X840" s="15"/>
      <c r="Y840" s="1935"/>
      <c r="Z840" s="1086"/>
      <c r="AA840" s="230"/>
      <c r="AB840" s="230"/>
      <c r="AC840" s="1936"/>
      <c r="AD840" s="230"/>
      <c r="AE840" s="230"/>
      <c r="AF840" s="230"/>
      <c r="AG840" s="890"/>
      <c r="AJ840" s="890"/>
      <c r="AN840" s="223"/>
      <c r="AO840" s="952"/>
      <c r="AP840" s="1066"/>
      <c r="AQ840" s="972"/>
      <c r="AR840" s="1917"/>
      <c r="AS840" s="222"/>
      <c r="AZ840" s="889"/>
      <c r="BC840" s="890"/>
      <c r="BD840" s="952"/>
      <c r="BE840" s="75"/>
      <c r="BF840" s="572"/>
      <c r="BG840" s="983"/>
      <c r="BH840" s="222"/>
      <c r="BL840" s="889"/>
      <c r="BO840" s="223"/>
    </row>
    <row r="841" spans="1:67" s="74" customFormat="1">
      <c r="A841" s="15"/>
      <c r="B841" s="15"/>
      <c r="C841" s="15"/>
      <c r="D841" s="15"/>
      <c r="E841" s="6"/>
      <c r="F841" s="6"/>
      <c r="G841" s="6"/>
      <c r="K841" s="223"/>
      <c r="M841" s="889"/>
      <c r="P841" s="890"/>
      <c r="T841" s="889"/>
      <c r="X841" s="15"/>
      <c r="Y841" s="1935"/>
      <c r="Z841" s="1086"/>
      <c r="AA841" s="230"/>
      <c r="AB841" s="230"/>
      <c r="AC841" s="1936"/>
      <c r="AD841" s="230"/>
      <c r="AE841" s="230"/>
      <c r="AF841" s="230"/>
      <c r="AG841" s="890"/>
      <c r="AJ841" s="890"/>
      <c r="AN841" s="223"/>
      <c r="AO841" s="952"/>
      <c r="AP841" s="1066"/>
      <c r="AQ841" s="972"/>
      <c r="AR841" s="1917"/>
      <c r="AS841" s="222"/>
      <c r="AZ841" s="889"/>
      <c r="BC841" s="890"/>
      <c r="BD841" s="952"/>
      <c r="BE841" s="75"/>
      <c r="BF841" s="572"/>
      <c r="BG841" s="983"/>
      <c r="BH841" s="222"/>
      <c r="BL841" s="889"/>
      <c r="BO841" s="223"/>
    </row>
    <row r="842" spans="1:67" s="74" customFormat="1">
      <c r="A842" s="15"/>
      <c r="B842" s="15"/>
      <c r="C842" s="15"/>
      <c r="D842" s="15"/>
      <c r="E842" s="6"/>
      <c r="F842" s="6"/>
      <c r="G842" s="6"/>
      <c r="K842" s="223"/>
      <c r="M842" s="889"/>
      <c r="P842" s="890"/>
      <c r="T842" s="889"/>
      <c r="X842" s="15"/>
      <c r="Y842" s="1935"/>
      <c r="Z842" s="1086"/>
      <c r="AA842" s="230"/>
      <c r="AB842" s="230"/>
      <c r="AC842" s="1936"/>
      <c r="AD842" s="230"/>
      <c r="AE842" s="230"/>
      <c r="AF842" s="230"/>
      <c r="AG842" s="890"/>
      <c r="AJ842" s="890"/>
      <c r="AN842" s="223"/>
      <c r="AO842" s="952"/>
      <c r="AP842" s="1066"/>
      <c r="AQ842" s="972"/>
      <c r="AR842" s="1917"/>
      <c r="AS842" s="222"/>
      <c r="AZ842" s="889"/>
      <c r="BC842" s="890"/>
      <c r="BD842" s="952"/>
      <c r="BE842" s="75"/>
      <c r="BF842" s="572"/>
      <c r="BG842" s="983"/>
      <c r="BH842" s="222"/>
      <c r="BL842" s="889"/>
      <c r="BO842" s="223"/>
    </row>
    <row r="843" spans="1:67" s="74" customFormat="1">
      <c r="A843" s="15"/>
      <c r="B843" s="15"/>
      <c r="C843" s="15"/>
      <c r="D843" s="15"/>
      <c r="E843" s="6"/>
      <c r="F843" s="6"/>
      <c r="G843" s="6"/>
      <c r="K843" s="223"/>
      <c r="M843" s="889"/>
      <c r="P843" s="890"/>
      <c r="T843" s="889"/>
      <c r="X843" s="15"/>
      <c r="Y843" s="1935"/>
      <c r="Z843" s="1086"/>
      <c r="AA843" s="230"/>
      <c r="AB843" s="230"/>
      <c r="AC843" s="1936"/>
      <c r="AD843" s="230"/>
      <c r="AE843" s="230"/>
      <c r="AF843" s="230"/>
      <c r="AG843" s="890"/>
      <c r="AJ843" s="890"/>
      <c r="AN843" s="223"/>
      <c r="AO843" s="952"/>
      <c r="AP843" s="1066"/>
      <c r="AQ843" s="972"/>
      <c r="AR843" s="1917"/>
      <c r="AS843" s="222"/>
      <c r="AZ843" s="889"/>
      <c r="BC843" s="890"/>
      <c r="BD843" s="952"/>
      <c r="BE843" s="75"/>
      <c r="BF843" s="572"/>
      <c r="BG843" s="983"/>
      <c r="BH843" s="222"/>
      <c r="BL843" s="889"/>
      <c r="BO843" s="223"/>
    </row>
    <row r="844" spans="1:67" s="74" customFormat="1">
      <c r="A844" s="15"/>
      <c r="B844" s="15"/>
      <c r="C844" s="15"/>
      <c r="D844" s="15"/>
      <c r="E844" s="6"/>
      <c r="F844" s="6"/>
      <c r="G844" s="6"/>
      <c r="K844" s="223"/>
      <c r="M844" s="889"/>
      <c r="P844" s="890"/>
      <c r="T844" s="889"/>
      <c r="X844" s="15"/>
      <c r="Y844" s="1935"/>
      <c r="Z844" s="1086"/>
      <c r="AA844" s="230"/>
      <c r="AB844" s="230"/>
      <c r="AC844" s="1936"/>
      <c r="AD844" s="230"/>
      <c r="AE844" s="230"/>
      <c r="AF844" s="230"/>
      <c r="AG844" s="890"/>
      <c r="AJ844" s="890"/>
      <c r="AN844" s="223"/>
      <c r="AO844" s="952"/>
      <c r="AP844" s="1066"/>
      <c r="AQ844" s="972"/>
      <c r="AR844" s="1917"/>
      <c r="AS844" s="222"/>
      <c r="AZ844" s="889"/>
      <c r="BC844" s="890"/>
      <c r="BD844" s="952"/>
      <c r="BE844" s="75"/>
      <c r="BF844" s="572"/>
      <c r="BG844" s="983"/>
      <c r="BH844" s="222"/>
      <c r="BL844" s="889"/>
      <c r="BO844" s="223"/>
    </row>
    <row r="845" spans="1:67" s="74" customFormat="1">
      <c r="A845" s="15"/>
      <c r="B845" s="15"/>
      <c r="C845" s="15"/>
      <c r="D845" s="15"/>
      <c r="E845" s="6"/>
      <c r="F845" s="6"/>
      <c r="G845" s="6"/>
      <c r="K845" s="223"/>
      <c r="M845" s="889"/>
      <c r="P845" s="890"/>
      <c r="T845" s="889"/>
      <c r="X845" s="15"/>
      <c r="Y845" s="1935"/>
      <c r="Z845" s="1086"/>
      <c r="AA845" s="230"/>
      <c r="AB845" s="230"/>
      <c r="AC845" s="1936"/>
      <c r="AD845" s="230"/>
      <c r="AE845" s="230"/>
      <c r="AF845" s="230"/>
      <c r="AG845" s="890"/>
      <c r="AJ845" s="890"/>
      <c r="AN845" s="223"/>
      <c r="AO845" s="952"/>
      <c r="AP845" s="1066"/>
      <c r="AQ845" s="972"/>
      <c r="AR845" s="1917"/>
      <c r="AS845" s="222"/>
      <c r="AZ845" s="889"/>
      <c r="BC845" s="890"/>
      <c r="BD845" s="952"/>
      <c r="BE845" s="75"/>
      <c r="BF845" s="572"/>
      <c r="BG845" s="983"/>
      <c r="BH845" s="222"/>
      <c r="BL845" s="889"/>
      <c r="BO845" s="223"/>
    </row>
    <row r="846" spans="1:67" s="74" customFormat="1">
      <c r="A846" s="15"/>
      <c r="B846" s="15"/>
      <c r="C846" s="15"/>
      <c r="D846" s="15"/>
      <c r="E846" s="6"/>
      <c r="F846" s="6"/>
      <c r="G846" s="6"/>
      <c r="K846" s="223"/>
      <c r="M846" s="889"/>
      <c r="P846" s="890"/>
      <c r="T846" s="889"/>
      <c r="X846" s="15"/>
      <c r="Y846" s="1935"/>
      <c r="Z846" s="1086"/>
      <c r="AA846" s="230"/>
      <c r="AB846" s="230"/>
      <c r="AC846" s="1936"/>
      <c r="AD846" s="230"/>
      <c r="AE846" s="230"/>
      <c r="AF846" s="230"/>
      <c r="AG846" s="890"/>
      <c r="AJ846" s="890"/>
      <c r="AN846" s="223"/>
      <c r="AO846" s="952"/>
      <c r="AP846" s="1066"/>
      <c r="AQ846" s="972"/>
      <c r="AR846" s="1917"/>
      <c r="AS846" s="222"/>
      <c r="AZ846" s="889"/>
      <c r="BC846" s="890"/>
      <c r="BD846" s="952"/>
      <c r="BE846" s="75"/>
      <c r="BF846" s="572"/>
      <c r="BG846" s="983"/>
      <c r="BH846" s="222"/>
      <c r="BL846" s="889"/>
      <c r="BO846" s="223"/>
    </row>
    <row r="847" spans="1:67" s="74" customFormat="1">
      <c r="A847" s="15"/>
      <c r="B847" s="15"/>
      <c r="C847" s="15"/>
      <c r="D847" s="15"/>
      <c r="E847" s="6"/>
      <c r="F847" s="6"/>
      <c r="G847" s="6"/>
      <c r="K847" s="223"/>
      <c r="M847" s="889"/>
      <c r="P847" s="890"/>
      <c r="T847" s="889"/>
      <c r="X847" s="15"/>
      <c r="Y847" s="1935"/>
      <c r="Z847" s="1086"/>
      <c r="AA847" s="230"/>
      <c r="AB847" s="230"/>
      <c r="AC847" s="1936"/>
      <c r="AD847" s="230"/>
      <c r="AE847" s="230"/>
      <c r="AF847" s="230"/>
      <c r="AG847" s="890"/>
      <c r="AJ847" s="890"/>
      <c r="AN847" s="223"/>
      <c r="AO847" s="952"/>
      <c r="AP847" s="1066"/>
      <c r="AQ847" s="972"/>
      <c r="AR847" s="1917"/>
      <c r="AS847" s="222"/>
      <c r="AZ847" s="889"/>
      <c r="BC847" s="890"/>
      <c r="BD847" s="952"/>
      <c r="BE847" s="75"/>
      <c r="BF847" s="572"/>
      <c r="BG847" s="983"/>
      <c r="BH847" s="222"/>
      <c r="BL847" s="889"/>
      <c r="BO847" s="223"/>
    </row>
    <row r="848" spans="1:67" s="74" customFormat="1">
      <c r="A848" s="15"/>
      <c r="B848" s="15"/>
      <c r="C848" s="15"/>
      <c r="D848" s="15"/>
      <c r="E848" s="6"/>
      <c r="F848" s="6"/>
      <c r="G848" s="6"/>
      <c r="K848" s="223"/>
      <c r="M848" s="889"/>
      <c r="P848" s="890"/>
      <c r="T848" s="889"/>
      <c r="X848" s="15"/>
      <c r="Y848" s="1935"/>
      <c r="Z848" s="1086"/>
      <c r="AA848" s="230"/>
      <c r="AB848" s="230"/>
      <c r="AC848" s="1936"/>
      <c r="AD848" s="230"/>
      <c r="AE848" s="230"/>
      <c r="AF848" s="230"/>
      <c r="AG848" s="890"/>
      <c r="AJ848" s="890"/>
      <c r="AN848" s="223"/>
      <c r="AO848" s="952"/>
      <c r="AP848" s="1066"/>
      <c r="AQ848" s="972"/>
      <c r="AR848" s="1917"/>
      <c r="AS848" s="222"/>
      <c r="AZ848" s="889"/>
      <c r="BC848" s="890"/>
      <c r="BD848" s="952"/>
      <c r="BE848" s="75"/>
      <c r="BF848" s="572"/>
      <c r="BG848" s="983"/>
      <c r="BH848" s="222"/>
      <c r="BL848" s="889"/>
      <c r="BO848" s="223"/>
    </row>
    <row r="849" spans="1:67" s="74" customFormat="1">
      <c r="A849" s="15"/>
      <c r="B849" s="15"/>
      <c r="C849" s="15"/>
      <c r="D849" s="15"/>
      <c r="E849" s="6"/>
      <c r="F849" s="6"/>
      <c r="G849" s="6"/>
      <c r="K849" s="223"/>
      <c r="M849" s="889"/>
      <c r="P849" s="890"/>
      <c r="T849" s="889"/>
      <c r="X849" s="15"/>
      <c r="Y849" s="1935"/>
      <c r="Z849" s="1086"/>
      <c r="AA849" s="230"/>
      <c r="AB849" s="230"/>
      <c r="AC849" s="1936"/>
      <c r="AD849" s="230"/>
      <c r="AE849" s="230"/>
      <c r="AF849" s="230"/>
      <c r="AG849" s="890"/>
      <c r="AJ849" s="890"/>
      <c r="AN849" s="223"/>
      <c r="AO849" s="952"/>
      <c r="AP849" s="1066"/>
      <c r="AQ849" s="972"/>
      <c r="AR849" s="1917"/>
      <c r="AS849" s="222"/>
      <c r="AZ849" s="889"/>
      <c r="BC849" s="890"/>
      <c r="BD849" s="952"/>
      <c r="BE849" s="75"/>
      <c r="BF849" s="572"/>
      <c r="BG849" s="983"/>
      <c r="BH849" s="222"/>
      <c r="BL849" s="889"/>
      <c r="BO849" s="223"/>
    </row>
    <row r="850" spans="1:67" s="74" customFormat="1">
      <c r="A850" s="15"/>
      <c r="B850" s="15"/>
      <c r="C850" s="15"/>
      <c r="D850" s="15"/>
      <c r="E850" s="6"/>
      <c r="F850" s="6"/>
      <c r="G850" s="6"/>
      <c r="K850" s="223"/>
      <c r="M850" s="889"/>
      <c r="P850" s="890"/>
      <c r="T850" s="889"/>
      <c r="X850" s="15"/>
      <c r="Y850" s="1935"/>
      <c r="Z850" s="1086"/>
      <c r="AA850" s="230"/>
      <c r="AB850" s="230"/>
      <c r="AC850" s="1936"/>
      <c r="AD850" s="230"/>
      <c r="AE850" s="230"/>
      <c r="AF850" s="230"/>
      <c r="AG850" s="890"/>
      <c r="AJ850" s="890"/>
      <c r="AN850" s="223"/>
      <c r="AO850" s="952"/>
      <c r="AP850" s="1066"/>
      <c r="AQ850" s="972"/>
      <c r="AR850" s="1917"/>
      <c r="AS850" s="222"/>
      <c r="AZ850" s="889"/>
      <c r="BC850" s="890"/>
      <c r="BD850" s="952"/>
      <c r="BE850" s="75"/>
      <c r="BF850" s="572"/>
      <c r="BG850" s="983"/>
      <c r="BH850" s="222"/>
      <c r="BL850" s="889"/>
      <c r="BO850" s="223"/>
    </row>
    <row r="851" spans="1:67" s="74" customFormat="1">
      <c r="A851" s="15"/>
      <c r="B851" s="15"/>
      <c r="C851" s="15"/>
      <c r="D851" s="15"/>
      <c r="E851" s="6"/>
      <c r="F851" s="6"/>
      <c r="G851" s="6"/>
      <c r="K851" s="223"/>
      <c r="M851" s="889"/>
      <c r="P851" s="890"/>
      <c r="T851" s="889"/>
      <c r="X851" s="15"/>
      <c r="Y851" s="1935"/>
      <c r="Z851" s="1086"/>
      <c r="AA851" s="230"/>
      <c r="AB851" s="230"/>
      <c r="AC851" s="1936"/>
      <c r="AD851" s="230"/>
      <c r="AE851" s="230"/>
      <c r="AF851" s="230"/>
      <c r="AG851" s="890"/>
      <c r="AJ851" s="890"/>
      <c r="AN851" s="223"/>
      <c r="AO851" s="952"/>
      <c r="AP851" s="1066"/>
      <c r="AQ851" s="972"/>
      <c r="AR851" s="1917"/>
      <c r="AS851" s="222"/>
      <c r="AZ851" s="889"/>
      <c r="BC851" s="890"/>
      <c r="BD851" s="952"/>
      <c r="BE851" s="75"/>
      <c r="BF851" s="572"/>
      <c r="BG851" s="983"/>
      <c r="BH851" s="222"/>
      <c r="BL851" s="889"/>
      <c r="BO851" s="223"/>
    </row>
    <row r="852" spans="1:67" s="74" customFormat="1">
      <c r="A852" s="15"/>
      <c r="B852" s="15"/>
      <c r="C852" s="15"/>
      <c r="D852" s="15"/>
      <c r="E852" s="6"/>
      <c r="F852" s="6"/>
      <c r="G852" s="6"/>
      <c r="K852" s="223"/>
      <c r="M852" s="889"/>
      <c r="P852" s="890"/>
      <c r="T852" s="889"/>
      <c r="X852" s="15"/>
      <c r="Y852" s="1935"/>
      <c r="Z852" s="1086"/>
      <c r="AA852" s="230"/>
      <c r="AB852" s="230"/>
      <c r="AC852" s="1936"/>
      <c r="AD852" s="230"/>
      <c r="AE852" s="230"/>
      <c r="AF852" s="230"/>
      <c r="AG852" s="890"/>
      <c r="AJ852" s="890"/>
      <c r="AN852" s="223"/>
      <c r="AO852" s="952"/>
      <c r="AP852" s="1066"/>
      <c r="AQ852" s="972"/>
      <c r="AR852" s="1917"/>
      <c r="AS852" s="222"/>
      <c r="AZ852" s="889"/>
      <c r="BC852" s="890"/>
      <c r="BD852" s="952"/>
      <c r="BE852" s="75"/>
      <c r="BF852" s="572"/>
      <c r="BG852" s="983"/>
      <c r="BH852" s="222"/>
      <c r="BL852" s="889"/>
      <c r="BO852" s="223"/>
    </row>
    <row r="853" spans="1:67" s="74" customFormat="1">
      <c r="A853" s="15"/>
      <c r="B853" s="15"/>
      <c r="C853" s="15"/>
      <c r="D853" s="15"/>
      <c r="E853" s="6"/>
      <c r="F853" s="6"/>
      <c r="G853" s="6"/>
      <c r="K853" s="223"/>
      <c r="M853" s="889"/>
      <c r="P853" s="890"/>
      <c r="T853" s="889"/>
      <c r="X853" s="15"/>
      <c r="Y853" s="1935"/>
      <c r="Z853" s="1086"/>
      <c r="AA853" s="230"/>
      <c r="AB853" s="230"/>
      <c r="AC853" s="1936"/>
      <c r="AD853" s="230"/>
      <c r="AE853" s="230"/>
      <c r="AF853" s="230"/>
      <c r="AG853" s="890"/>
      <c r="AJ853" s="890"/>
      <c r="AN853" s="223"/>
      <c r="AO853" s="952"/>
      <c r="AP853" s="1066"/>
      <c r="AQ853" s="972"/>
      <c r="AR853" s="1917"/>
      <c r="AS853" s="222"/>
      <c r="AZ853" s="889"/>
      <c r="BC853" s="890"/>
      <c r="BD853" s="952"/>
      <c r="BE853" s="75"/>
      <c r="BF853" s="572"/>
      <c r="BG853" s="983"/>
      <c r="BH853" s="222"/>
      <c r="BL853" s="889"/>
      <c r="BO853" s="223"/>
    </row>
    <row r="854" spans="1:67" s="74" customFormat="1">
      <c r="A854" s="15"/>
      <c r="B854" s="15"/>
      <c r="C854" s="15"/>
      <c r="D854" s="15"/>
      <c r="E854" s="6"/>
      <c r="F854" s="6"/>
      <c r="G854" s="6"/>
      <c r="K854" s="223"/>
      <c r="M854" s="889"/>
      <c r="P854" s="890"/>
      <c r="T854" s="889"/>
      <c r="X854" s="15"/>
      <c r="Y854" s="1935"/>
      <c r="Z854" s="1086"/>
      <c r="AA854" s="230"/>
      <c r="AB854" s="230"/>
      <c r="AC854" s="1936"/>
      <c r="AD854" s="230"/>
      <c r="AE854" s="230"/>
      <c r="AF854" s="230"/>
      <c r="AG854" s="890"/>
      <c r="AJ854" s="890"/>
      <c r="AN854" s="223"/>
      <c r="AO854" s="952"/>
      <c r="AP854" s="1066"/>
      <c r="AQ854" s="972"/>
      <c r="AR854" s="1917"/>
      <c r="AS854" s="222"/>
      <c r="AZ854" s="889"/>
      <c r="BC854" s="890"/>
      <c r="BD854" s="952"/>
      <c r="BE854" s="75"/>
      <c r="BF854" s="572"/>
      <c r="BG854" s="983"/>
      <c r="BH854" s="222"/>
      <c r="BL854" s="889"/>
      <c r="BO854" s="223"/>
    </row>
    <row r="855" spans="1:67" s="74" customFormat="1">
      <c r="A855" s="15"/>
      <c r="B855" s="15"/>
      <c r="C855" s="15"/>
      <c r="D855" s="15"/>
      <c r="E855" s="6"/>
      <c r="F855" s="6"/>
      <c r="G855" s="6"/>
      <c r="K855" s="223"/>
      <c r="M855" s="889"/>
      <c r="P855" s="890"/>
      <c r="T855" s="889"/>
      <c r="X855" s="15"/>
      <c r="Y855" s="1935"/>
      <c r="Z855" s="1086"/>
      <c r="AA855" s="230"/>
      <c r="AB855" s="230"/>
      <c r="AC855" s="1936"/>
      <c r="AD855" s="230"/>
      <c r="AE855" s="230"/>
      <c r="AF855" s="230"/>
      <c r="AG855" s="890"/>
      <c r="AJ855" s="890"/>
      <c r="AN855" s="223"/>
      <c r="AO855" s="952"/>
      <c r="AP855" s="1066"/>
      <c r="AQ855" s="972"/>
      <c r="AR855" s="1917"/>
      <c r="AS855" s="222"/>
      <c r="AZ855" s="889"/>
      <c r="BC855" s="890"/>
      <c r="BD855" s="952"/>
      <c r="BE855" s="75"/>
      <c r="BF855" s="572"/>
      <c r="BG855" s="983"/>
      <c r="BH855" s="222"/>
      <c r="BL855" s="889"/>
      <c r="BO855" s="223"/>
    </row>
    <row r="856" spans="1:67" s="74" customFormat="1">
      <c r="A856" s="15"/>
      <c r="B856" s="15"/>
      <c r="C856" s="15"/>
      <c r="D856" s="15"/>
      <c r="E856" s="6"/>
      <c r="F856" s="6"/>
      <c r="G856" s="6"/>
      <c r="K856" s="223"/>
      <c r="M856" s="889"/>
      <c r="P856" s="890"/>
      <c r="T856" s="889"/>
      <c r="X856" s="15"/>
      <c r="Y856" s="1935"/>
      <c r="Z856" s="1086"/>
      <c r="AA856" s="230"/>
      <c r="AB856" s="230"/>
      <c r="AC856" s="1936"/>
      <c r="AD856" s="230"/>
      <c r="AE856" s="230"/>
      <c r="AF856" s="230"/>
      <c r="AG856" s="890"/>
      <c r="AJ856" s="890"/>
      <c r="AN856" s="223"/>
      <c r="AO856" s="952"/>
      <c r="AP856" s="1066"/>
      <c r="AQ856" s="972"/>
      <c r="AR856" s="1917"/>
      <c r="AS856" s="222"/>
      <c r="AZ856" s="889"/>
      <c r="BC856" s="890"/>
      <c r="BD856" s="952"/>
      <c r="BE856" s="75"/>
      <c r="BF856" s="572"/>
      <c r="BG856" s="983"/>
      <c r="BH856" s="222"/>
      <c r="BL856" s="889"/>
      <c r="BO856" s="223"/>
    </row>
    <row r="857" spans="1:67" s="74" customFormat="1">
      <c r="A857" s="15"/>
      <c r="B857" s="15"/>
      <c r="C857" s="15"/>
      <c r="D857" s="15"/>
      <c r="E857" s="6"/>
      <c r="F857" s="6"/>
      <c r="G857" s="6"/>
      <c r="K857" s="223"/>
      <c r="M857" s="889"/>
      <c r="P857" s="890"/>
      <c r="T857" s="889"/>
      <c r="X857" s="15"/>
      <c r="Y857" s="1935"/>
      <c r="Z857" s="1086"/>
      <c r="AA857" s="230"/>
      <c r="AB857" s="230"/>
      <c r="AC857" s="1936"/>
      <c r="AD857" s="230"/>
      <c r="AE857" s="230"/>
      <c r="AF857" s="230"/>
      <c r="AG857" s="890"/>
      <c r="AJ857" s="890"/>
      <c r="AN857" s="223"/>
      <c r="AO857" s="952"/>
      <c r="AP857" s="1066"/>
      <c r="AQ857" s="972"/>
      <c r="AR857" s="1917"/>
      <c r="AS857" s="222"/>
      <c r="AZ857" s="889"/>
      <c r="BC857" s="890"/>
      <c r="BD857" s="952"/>
      <c r="BE857" s="75"/>
      <c r="BF857" s="572"/>
      <c r="BG857" s="983"/>
      <c r="BH857" s="222"/>
      <c r="BL857" s="889"/>
      <c r="BO857" s="223"/>
    </row>
    <row r="858" spans="1:67" s="74" customFormat="1">
      <c r="A858" s="15"/>
      <c r="B858" s="15"/>
      <c r="C858" s="15"/>
      <c r="D858" s="15"/>
      <c r="E858" s="6"/>
      <c r="F858" s="6"/>
      <c r="G858" s="6"/>
      <c r="K858" s="223"/>
      <c r="M858" s="889"/>
      <c r="P858" s="890"/>
      <c r="T858" s="889"/>
      <c r="X858" s="15"/>
      <c r="Y858" s="1935"/>
      <c r="Z858" s="1086"/>
      <c r="AA858" s="230"/>
      <c r="AB858" s="230"/>
      <c r="AC858" s="1936"/>
      <c r="AD858" s="230"/>
      <c r="AE858" s="230"/>
      <c r="AF858" s="230"/>
      <c r="AG858" s="890"/>
      <c r="AJ858" s="890"/>
      <c r="AN858" s="223"/>
      <c r="AO858" s="952"/>
      <c r="AP858" s="1066"/>
      <c r="AQ858" s="972"/>
      <c r="AR858" s="1917"/>
      <c r="AS858" s="222"/>
      <c r="AZ858" s="889"/>
      <c r="BC858" s="890"/>
      <c r="BD858" s="952"/>
      <c r="BE858" s="75"/>
      <c r="BF858" s="572"/>
      <c r="BG858" s="983"/>
      <c r="BH858" s="222"/>
      <c r="BL858" s="889"/>
      <c r="BO858" s="223"/>
    </row>
    <row r="859" spans="1:67" s="74" customFormat="1">
      <c r="A859" s="15"/>
      <c r="B859" s="15"/>
      <c r="C859" s="15"/>
      <c r="D859" s="15"/>
      <c r="E859" s="6"/>
      <c r="F859" s="6"/>
      <c r="G859" s="6"/>
      <c r="K859" s="223"/>
      <c r="M859" s="889"/>
      <c r="P859" s="890"/>
      <c r="T859" s="889"/>
      <c r="X859" s="15"/>
      <c r="Y859" s="1935"/>
      <c r="Z859" s="1086"/>
      <c r="AA859" s="230"/>
      <c r="AB859" s="230"/>
      <c r="AC859" s="1936"/>
      <c r="AD859" s="230"/>
      <c r="AE859" s="230"/>
      <c r="AF859" s="230"/>
      <c r="AG859" s="890"/>
      <c r="AJ859" s="890"/>
      <c r="AN859" s="223"/>
      <c r="AO859" s="952"/>
      <c r="AP859" s="1066"/>
      <c r="AQ859" s="972"/>
      <c r="AR859" s="1917"/>
      <c r="AS859" s="222"/>
      <c r="AZ859" s="889"/>
      <c r="BC859" s="890"/>
      <c r="BD859" s="952"/>
      <c r="BE859" s="75"/>
      <c r="BF859" s="572"/>
      <c r="BG859" s="983"/>
      <c r="BH859" s="222"/>
      <c r="BL859" s="889"/>
      <c r="BO859" s="223"/>
    </row>
    <row r="860" spans="1:67" s="74" customFormat="1">
      <c r="A860" s="15"/>
      <c r="B860" s="15"/>
      <c r="C860" s="15"/>
      <c r="D860" s="15"/>
      <c r="E860" s="6"/>
      <c r="F860" s="6"/>
      <c r="G860" s="6"/>
      <c r="K860" s="223"/>
      <c r="M860" s="889"/>
      <c r="P860" s="890"/>
      <c r="T860" s="889"/>
      <c r="X860" s="15"/>
      <c r="Y860" s="1935"/>
      <c r="Z860" s="1086"/>
      <c r="AA860" s="230"/>
      <c r="AB860" s="230"/>
      <c r="AC860" s="1936"/>
      <c r="AD860" s="230"/>
      <c r="AE860" s="230"/>
      <c r="AF860" s="230"/>
      <c r="AG860" s="890"/>
      <c r="AJ860" s="890"/>
      <c r="AN860" s="223"/>
      <c r="AO860" s="952"/>
      <c r="AP860" s="1066"/>
      <c r="AQ860" s="972"/>
      <c r="AR860" s="1917"/>
      <c r="AS860" s="222"/>
      <c r="AZ860" s="889"/>
      <c r="BC860" s="890"/>
      <c r="BD860" s="952"/>
      <c r="BE860" s="75"/>
      <c r="BF860" s="572"/>
      <c r="BG860" s="983"/>
      <c r="BH860" s="222"/>
      <c r="BL860" s="889"/>
      <c r="BO860" s="223"/>
    </row>
    <row r="861" spans="1:67" s="74" customFormat="1">
      <c r="A861" s="15"/>
      <c r="B861" s="15"/>
      <c r="C861" s="15"/>
      <c r="D861" s="15"/>
      <c r="E861" s="6"/>
      <c r="F861" s="6"/>
      <c r="G861" s="6"/>
      <c r="K861" s="223"/>
      <c r="M861" s="889"/>
      <c r="P861" s="890"/>
      <c r="T861" s="889"/>
      <c r="X861" s="15"/>
      <c r="Y861" s="1935"/>
      <c r="Z861" s="1086"/>
      <c r="AA861" s="230"/>
      <c r="AB861" s="230"/>
      <c r="AC861" s="1936"/>
      <c r="AD861" s="230"/>
      <c r="AE861" s="230"/>
      <c r="AF861" s="230"/>
      <c r="AG861" s="890"/>
      <c r="AJ861" s="890"/>
      <c r="AN861" s="223"/>
      <c r="AO861" s="952"/>
      <c r="AP861" s="1066"/>
      <c r="AQ861" s="972"/>
      <c r="AR861" s="1917"/>
      <c r="AS861" s="222"/>
      <c r="AZ861" s="889"/>
      <c r="BC861" s="890"/>
      <c r="BD861" s="952"/>
      <c r="BE861" s="75"/>
      <c r="BF861" s="572"/>
      <c r="BG861" s="983"/>
      <c r="BH861" s="222"/>
      <c r="BL861" s="889"/>
      <c r="BO861" s="223"/>
    </row>
    <row r="862" spans="1:67" s="74" customFormat="1">
      <c r="A862" s="15"/>
      <c r="B862" s="15"/>
      <c r="C862" s="15"/>
      <c r="D862" s="15"/>
      <c r="E862" s="6"/>
      <c r="F862" s="6"/>
      <c r="G862" s="6"/>
      <c r="K862" s="223"/>
      <c r="M862" s="889"/>
      <c r="P862" s="890"/>
      <c r="T862" s="889"/>
      <c r="X862" s="15"/>
      <c r="Y862" s="1935"/>
      <c r="Z862" s="1086"/>
      <c r="AA862" s="230"/>
      <c r="AB862" s="230"/>
      <c r="AC862" s="1936"/>
      <c r="AD862" s="230"/>
      <c r="AE862" s="230"/>
      <c r="AF862" s="230"/>
      <c r="AG862" s="890"/>
      <c r="AJ862" s="890"/>
      <c r="AN862" s="223"/>
      <c r="AO862" s="952"/>
      <c r="AP862" s="1066"/>
      <c r="AQ862" s="972"/>
      <c r="AR862" s="1917"/>
      <c r="AS862" s="222"/>
      <c r="AZ862" s="889"/>
      <c r="BC862" s="890"/>
      <c r="BD862" s="952"/>
      <c r="BE862" s="75"/>
      <c r="BF862" s="572"/>
      <c r="BG862" s="983"/>
      <c r="BH862" s="222"/>
      <c r="BL862" s="889"/>
      <c r="BO862" s="223"/>
    </row>
    <row r="863" spans="1:67" s="74" customFormat="1">
      <c r="A863" s="15"/>
      <c r="B863" s="15"/>
      <c r="C863" s="15"/>
      <c r="D863" s="15"/>
      <c r="E863" s="6"/>
      <c r="F863" s="6"/>
      <c r="G863" s="6"/>
      <c r="K863" s="223"/>
      <c r="M863" s="889"/>
      <c r="P863" s="890"/>
      <c r="T863" s="889"/>
      <c r="X863" s="15"/>
      <c r="Y863" s="1935"/>
      <c r="Z863" s="1086"/>
      <c r="AA863" s="230"/>
      <c r="AB863" s="230"/>
      <c r="AC863" s="1936"/>
      <c r="AD863" s="230"/>
      <c r="AE863" s="230"/>
      <c r="AF863" s="230"/>
      <c r="AG863" s="890"/>
      <c r="AJ863" s="890"/>
      <c r="AN863" s="223"/>
      <c r="AO863" s="952"/>
      <c r="AP863" s="1066"/>
      <c r="AQ863" s="972"/>
      <c r="AR863" s="1917"/>
      <c r="AS863" s="222"/>
      <c r="AZ863" s="889"/>
      <c r="BC863" s="890"/>
      <c r="BD863" s="952"/>
      <c r="BE863" s="75"/>
      <c r="BF863" s="572"/>
      <c r="BG863" s="983"/>
      <c r="BH863" s="222"/>
      <c r="BL863" s="889"/>
      <c r="BO863" s="223"/>
    </row>
    <row r="864" spans="1:67" s="74" customFormat="1">
      <c r="A864" s="15"/>
      <c r="B864" s="15"/>
      <c r="C864" s="15"/>
      <c r="D864" s="15"/>
      <c r="E864" s="6"/>
      <c r="F864" s="6"/>
      <c r="G864" s="6"/>
      <c r="K864" s="223"/>
      <c r="M864" s="889"/>
      <c r="P864" s="890"/>
      <c r="T864" s="889"/>
      <c r="X864" s="15"/>
      <c r="Y864" s="1935"/>
      <c r="Z864" s="1086"/>
      <c r="AA864" s="230"/>
      <c r="AB864" s="230"/>
      <c r="AC864" s="1936"/>
      <c r="AD864" s="230"/>
      <c r="AE864" s="230"/>
      <c r="AF864" s="230"/>
      <c r="AG864" s="890"/>
      <c r="AJ864" s="890"/>
      <c r="AN864" s="223"/>
      <c r="AO864" s="952"/>
      <c r="AP864" s="1066"/>
      <c r="AQ864" s="972"/>
      <c r="AR864" s="1917"/>
      <c r="AS864" s="222"/>
      <c r="AZ864" s="889"/>
      <c r="BC864" s="890"/>
      <c r="BD864" s="952"/>
      <c r="BE864" s="75"/>
      <c r="BF864" s="572"/>
      <c r="BG864" s="983"/>
      <c r="BH864" s="222"/>
      <c r="BL864" s="889"/>
      <c r="BO864" s="223"/>
    </row>
    <row r="865" spans="1:67" s="74" customFormat="1">
      <c r="A865" s="15"/>
      <c r="B865" s="15"/>
      <c r="C865" s="15"/>
      <c r="D865" s="15"/>
      <c r="E865" s="6"/>
      <c r="F865" s="6"/>
      <c r="G865" s="6"/>
      <c r="K865" s="223"/>
      <c r="M865" s="889"/>
      <c r="P865" s="890"/>
      <c r="T865" s="889"/>
      <c r="X865" s="15"/>
      <c r="Y865" s="1935"/>
      <c r="Z865" s="1086"/>
      <c r="AA865" s="230"/>
      <c r="AB865" s="230"/>
      <c r="AC865" s="1936"/>
      <c r="AD865" s="230"/>
      <c r="AE865" s="230"/>
      <c r="AF865" s="230"/>
      <c r="AG865" s="890"/>
      <c r="AJ865" s="890"/>
      <c r="AN865" s="223"/>
      <c r="AO865" s="952"/>
      <c r="AP865" s="1066"/>
      <c r="AQ865" s="972"/>
      <c r="AR865" s="1917"/>
      <c r="AS865" s="222"/>
      <c r="AZ865" s="889"/>
      <c r="BC865" s="890"/>
      <c r="BD865" s="952"/>
      <c r="BE865" s="75"/>
      <c r="BF865" s="572"/>
      <c r="BG865" s="983"/>
      <c r="BH865" s="222"/>
      <c r="BL865" s="889"/>
      <c r="BO865" s="223"/>
    </row>
    <row r="866" spans="1:67" s="74" customFormat="1">
      <c r="A866" s="15"/>
      <c r="B866" s="15"/>
      <c r="C866" s="15"/>
      <c r="D866" s="15"/>
      <c r="E866" s="6"/>
      <c r="F866" s="6"/>
      <c r="G866" s="6"/>
      <c r="K866" s="223"/>
      <c r="M866" s="889"/>
      <c r="P866" s="890"/>
      <c r="T866" s="889"/>
      <c r="X866" s="15"/>
      <c r="Y866" s="1935"/>
      <c r="Z866" s="1086"/>
      <c r="AA866" s="230"/>
      <c r="AB866" s="230"/>
      <c r="AC866" s="1936"/>
      <c r="AD866" s="230"/>
      <c r="AE866" s="230"/>
      <c r="AF866" s="230"/>
      <c r="AG866" s="890"/>
      <c r="AJ866" s="890"/>
      <c r="AN866" s="223"/>
      <c r="AO866" s="952"/>
      <c r="AP866" s="1066"/>
      <c r="AQ866" s="972"/>
      <c r="AR866" s="1917"/>
      <c r="AS866" s="222"/>
      <c r="AZ866" s="889"/>
      <c r="BC866" s="890"/>
      <c r="BD866" s="952"/>
      <c r="BE866" s="75"/>
      <c r="BF866" s="572"/>
      <c r="BG866" s="983"/>
      <c r="BH866" s="222"/>
      <c r="BL866" s="889"/>
      <c r="BO866" s="223"/>
    </row>
    <row r="867" spans="1:67" s="74" customFormat="1">
      <c r="A867" s="15"/>
      <c r="B867" s="15"/>
      <c r="C867" s="15"/>
      <c r="D867" s="15"/>
      <c r="E867" s="6"/>
      <c r="F867" s="6"/>
      <c r="G867" s="6"/>
      <c r="K867" s="223"/>
      <c r="M867" s="889"/>
      <c r="P867" s="890"/>
      <c r="T867" s="889"/>
      <c r="X867" s="15"/>
      <c r="Y867" s="1935"/>
      <c r="Z867" s="1086"/>
      <c r="AA867" s="230"/>
      <c r="AB867" s="230"/>
      <c r="AC867" s="1936"/>
      <c r="AD867" s="230"/>
      <c r="AE867" s="230"/>
      <c r="AF867" s="230"/>
      <c r="AG867" s="890"/>
      <c r="AJ867" s="890"/>
      <c r="AN867" s="223"/>
      <c r="AO867" s="952"/>
      <c r="AP867" s="1066"/>
      <c r="AQ867" s="972"/>
      <c r="AR867" s="1917"/>
      <c r="AS867" s="222"/>
      <c r="AZ867" s="889"/>
      <c r="BC867" s="890"/>
      <c r="BD867" s="952"/>
      <c r="BE867" s="75"/>
      <c r="BF867" s="572"/>
      <c r="BG867" s="983"/>
      <c r="BH867" s="222"/>
      <c r="BL867" s="889"/>
      <c r="BO867" s="223"/>
    </row>
    <row r="868" spans="1:67" s="74" customFormat="1">
      <c r="A868" s="15"/>
      <c r="B868" s="15"/>
      <c r="C868" s="15"/>
      <c r="D868" s="15"/>
      <c r="E868" s="6"/>
      <c r="F868" s="6"/>
      <c r="G868" s="6"/>
      <c r="K868" s="223"/>
      <c r="M868" s="889"/>
      <c r="P868" s="890"/>
      <c r="T868" s="889"/>
      <c r="X868" s="15"/>
      <c r="Y868" s="1935"/>
      <c r="Z868" s="1086"/>
      <c r="AA868" s="230"/>
      <c r="AB868" s="230"/>
      <c r="AC868" s="1936"/>
      <c r="AD868" s="230"/>
      <c r="AE868" s="230"/>
      <c r="AF868" s="230"/>
      <c r="AG868" s="890"/>
      <c r="AJ868" s="890"/>
      <c r="AN868" s="223"/>
      <c r="AO868" s="952"/>
      <c r="AP868" s="1066"/>
      <c r="AQ868" s="972"/>
      <c r="AR868" s="1917"/>
      <c r="AS868" s="222"/>
      <c r="AZ868" s="889"/>
      <c r="BC868" s="890"/>
      <c r="BD868" s="952"/>
      <c r="BE868" s="75"/>
      <c r="BF868" s="572"/>
      <c r="BG868" s="983"/>
      <c r="BH868" s="222"/>
      <c r="BL868" s="889"/>
      <c r="BO868" s="223"/>
    </row>
    <row r="869" spans="1:67" s="74" customFormat="1">
      <c r="A869" s="15"/>
      <c r="B869" s="15"/>
      <c r="C869" s="15"/>
      <c r="D869" s="15"/>
      <c r="E869" s="6"/>
      <c r="F869" s="6"/>
      <c r="G869" s="6"/>
      <c r="K869" s="223"/>
      <c r="M869" s="889"/>
      <c r="P869" s="890"/>
      <c r="T869" s="889"/>
      <c r="X869" s="15"/>
      <c r="Y869" s="1935"/>
      <c r="Z869" s="1086"/>
      <c r="AA869" s="230"/>
      <c r="AB869" s="230"/>
      <c r="AC869" s="1936"/>
      <c r="AD869" s="230"/>
      <c r="AE869" s="230"/>
      <c r="AF869" s="230"/>
      <c r="AG869" s="890"/>
      <c r="AJ869" s="890"/>
      <c r="AN869" s="223"/>
      <c r="AO869" s="952"/>
      <c r="AP869" s="1066"/>
      <c r="AQ869" s="972"/>
      <c r="AR869" s="1917"/>
      <c r="AS869" s="222"/>
      <c r="AZ869" s="889"/>
      <c r="BC869" s="890"/>
      <c r="BD869" s="952"/>
      <c r="BE869" s="75"/>
      <c r="BF869" s="572"/>
      <c r="BG869" s="983"/>
      <c r="BH869" s="222"/>
      <c r="BL869" s="889"/>
      <c r="BO869" s="223"/>
    </row>
    <row r="870" spans="1:67" s="74" customFormat="1">
      <c r="A870" s="15"/>
      <c r="B870" s="15"/>
      <c r="C870" s="15"/>
      <c r="D870" s="15"/>
      <c r="E870" s="6"/>
      <c r="F870" s="6"/>
      <c r="G870" s="6"/>
      <c r="K870" s="223"/>
      <c r="M870" s="889"/>
      <c r="P870" s="890"/>
      <c r="T870" s="889"/>
      <c r="X870" s="15"/>
      <c r="Y870" s="1935"/>
      <c r="Z870" s="1086"/>
      <c r="AA870" s="230"/>
      <c r="AB870" s="230"/>
      <c r="AC870" s="1936"/>
      <c r="AD870" s="230"/>
      <c r="AE870" s="230"/>
      <c r="AF870" s="230"/>
      <c r="AG870" s="890"/>
      <c r="AJ870" s="890"/>
      <c r="AN870" s="223"/>
      <c r="AO870" s="952"/>
      <c r="AP870" s="1066"/>
      <c r="AQ870" s="972"/>
      <c r="AR870" s="1917"/>
      <c r="AS870" s="222"/>
      <c r="AZ870" s="889"/>
      <c r="BC870" s="890"/>
      <c r="BD870" s="952"/>
      <c r="BE870" s="75"/>
      <c r="BF870" s="572"/>
      <c r="BG870" s="983"/>
      <c r="BH870" s="222"/>
      <c r="BL870" s="889"/>
      <c r="BO870" s="223"/>
    </row>
    <row r="871" spans="1:67" s="74" customFormat="1">
      <c r="A871" s="15"/>
      <c r="B871" s="15"/>
      <c r="C871" s="15"/>
      <c r="D871" s="15"/>
      <c r="E871" s="6"/>
      <c r="F871" s="6"/>
      <c r="G871" s="6"/>
      <c r="K871" s="223"/>
      <c r="M871" s="889"/>
      <c r="P871" s="890"/>
      <c r="T871" s="889"/>
      <c r="X871" s="15"/>
      <c r="Y871" s="1935"/>
      <c r="Z871" s="1086"/>
      <c r="AA871" s="230"/>
      <c r="AB871" s="230"/>
      <c r="AC871" s="1936"/>
      <c r="AD871" s="230"/>
      <c r="AE871" s="230"/>
      <c r="AF871" s="230"/>
      <c r="AG871" s="890"/>
      <c r="AJ871" s="890"/>
      <c r="AN871" s="223"/>
      <c r="AO871" s="952"/>
      <c r="AP871" s="1066"/>
      <c r="AQ871" s="972"/>
      <c r="AR871" s="1917"/>
      <c r="AS871" s="222"/>
      <c r="AZ871" s="889"/>
      <c r="BC871" s="890"/>
      <c r="BD871" s="952"/>
      <c r="BE871" s="75"/>
      <c r="BF871" s="572"/>
      <c r="BG871" s="983"/>
      <c r="BH871" s="222"/>
      <c r="BL871" s="889"/>
      <c r="BO871" s="223"/>
    </row>
    <row r="872" spans="1:67" s="74" customFormat="1">
      <c r="A872" s="15"/>
      <c r="B872" s="15"/>
      <c r="C872" s="15"/>
      <c r="D872" s="15"/>
      <c r="E872" s="6"/>
      <c r="F872" s="6"/>
      <c r="G872" s="6"/>
      <c r="K872" s="223"/>
      <c r="M872" s="889"/>
      <c r="P872" s="890"/>
      <c r="T872" s="889"/>
      <c r="X872" s="15"/>
      <c r="Y872" s="1935"/>
      <c r="Z872" s="1086"/>
      <c r="AA872" s="230"/>
      <c r="AB872" s="230"/>
      <c r="AC872" s="1936"/>
      <c r="AD872" s="230"/>
      <c r="AE872" s="230"/>
      <c r="AF872" s="230"/>
      <c r="AG872" s="890"/>
      <c r="AJ872" s="890"/>
      <c r="AN872" s="223"/>
      <c r="AO872" s="952"/>
      <c r="AP872" s="1066"/>
      <c r="AQ872" s="972"/>
      <c r="AR872" s="1917"/>
      <c r="AS872" s="222"/>
      <c r="AZ872" s="889"/>
      <c r="BC872" s="890"/>
      <c r="BD872" s="952"/>
      <c r="BE872" s="75"/>
      <c r="BF872" s="572"/>
      <c r="BG872" s="983"/>
      <c r="BH872" s="222"/>
      <c r="BL872" s="889"/>
      <c r="BO872" s="223"/>
    </row>
    <row r="873" spans="1:67" s="74" customFormat="1">
      <c r="A873" s="15"/>
      <c r="B873" s="15"/>
      <c r="C873" s="15"/>
      <c r="D873" s="15"/>
      <c r="E873" s="6"/>
      <c r="F873" s="6"/>
      <c r="G873" s="6"/>
      <c r="K873" s="223"/>
      <c r="M873" s="889"/>
      <c r="P873" s="890"/>
      <c r="T873" s="889"/>
      <c r="X873" s="15"/>
      <c r="Y873" s="1935"/>
      <c r="Z873" s="1086"/>
      <c r="AA873" s="230"/>
      <c r="AB873" s="230"/>
      <c r="AC873" s="1936"/>
      <c r="AD873" s="230"/>
      <c r="AE873" s="230"/>
      <c r="AF873" s="230"/>
      <c r="AG873" s="890"/>
      <c r="AJ873" s="890"/>
      <c r="AN873" s="223"/>
      <c r="AO873" s="952"/>
      <c r="AP873" s="1066"/>
      <c r="AQ873" s="972"/>
      <c r="AR873" s="1917"/>
      <c r="AS873" s="222"/>
      <c r="AZ873" s="889"/>
      <c r="BC873" s="890"/>
      <c r="BD873" s="952"/>
      <c r="BE873" s="75"/>
      <c r="BF873" s="572"/>
      <c r="BG873" s="983"/>
      <c r="BH873" s="222"/>
      <c r="BL873" s="889"/>
      <c r="BO873" s="223"/>
    </row>
    <row r="874" spans="1:67" s="74" customFormat="1">
      <c r="A874" s="15"/>
      <c r="B874" s="15"/>
      <c r="C874" s="15"/>
      <c r="D874" s="15"/>
      <c r="E874" s="6"/>
      <c r="F874" s="6"/>
      <c r="G874" s="6"/>
      <c r="K874" s="223"/>
      <c r="M874" s="889"/>
      <c r="P874" s="890"/>
      <c r="T874" s="889"/>
      <c r="X874" s="15"/>
      <c r="Y874" s="1935"/>
      <c r="Z874" s="1086"/>
      <c r="AA874" s="230"/>
      <c r="AB874" s="230"/>
      <c r="AC874" s="1936"/>
      <c r="AD874" s="230"/>
      <c r="AE874" s="230"/>
      <c r="AF874" s="230"/>
      <c r="AG874" s="890"/>
      <c r="AJ874" s="890"/>
      <c r="AN874" s="223"/>
      <c r="AO874" s="952"/>
      <c r="AP874" s="1066"/>
      <c r="AQ874" s="972"/>
      <c r="AR874" s="1917"/>
      <c r="AS874" s="222"/>
      <c r="AZ874" s="889"/>
      <c r="BC874" s="890"/>
      <c r="BD874" s="952"/>
      <c r="BE874" s="75"/>
      <c r="BF874" s="572"/>
      <c r="BG874" s="983"/>
      <c r="BH874" s="222"/>
      <c r="BL874" s="889"/>
      <c r="BO874" s="223"/>
    </row>
    <row r="875" spans="1:67" s="74" customFormat="1">
      <c r="A875" s="15"/>
      <c r="B875" s="15"/>
      <c r="C875" s="15"/>
      <c r="D875" s="15"/>
      <c r="E875" s="6"/>
      <c r="F875" s="6"/>
      <c r="G875" s="6"/>
      <c r="K875" s="223"/>
      <c r="M875" s="889"/>
      <c r="P875" s="890"/>
      <c r="T875" s="889"/>
      <c r="X875" s="15"/>
      <c r="Y875" s="1935"/>
      <c r="Z875" s="1086"/>
      <c r="AA875" s="230"/>
      <c r="AB875" s="230"/>
      <c r="AC875" s="1936"/>
      <c r="AD875" s="230"/>
      <c r="AE875" s="230"/>
      <c r="AF875" s="230"/>
      <c r="AG875" s="890"/>
      <c r="AJ875" s="890"/>
      <c r="AN875" s="223"/>
      <c r="AO875" s="952"/>
      <c r="AP875" s="1066"/>
      <c r="AQ875" s="972"/>
      <c r="AR875" s="1917"/>
      <c r="AS875" s="222"/>
      <c r="AZ875" s="889"/>
      <c r="BC875" s="890"/>
      <c r="BD875" s="952"/>
      <c r="BE875" s="75"/>
      <c r="BF875" s="572"/>
      <c r="BG875" s="983"/>
      <c r="BH875" s="222"/>
      <c r="BL875" s="889"/>
      <c r="BO875" s="223"/>
    </row>
    <row r="876" spans="1:67" s="74" customFormat="1">
      <c r="A876" s="15"/>
      <c r="B876" s="15"/>
      <c r="C876" s="15"/>
      <c r="D876" s="15"/>
      <c r="E876" s="6"/>
      <c r="F876" s="6"/>
      <c r="G876" s="6"/>
      <c r="K876" s="223"/>
      <c r="M876" s="889"/>
      <c r="P876" s="890"/>
      <c r="T876" s="889"/>
      <c r="X876" s="15"/>
      <c r="Y876" s="1935"/>
      <c r="Z876" s="1086"/>
      <c r="AA876" s="230"/>
      <c r="AB876" s="230"/>
      <c r="AC876" s="1936"/>
      <c r="AD876" s="230"/>
      <c r="AE876" s="230"/>
      <c r="AF876" s="230"/>
      <c r="AG876" s="890"/>
      <c r="AJ876" s="890"/>
      <c r="AN876" s="223"/>
      <c r="AO876" s="952"/>
      <c r="AP876" s="1066"/>
      <c r="AQ876" s="972"/>
      <c r="AR876" s="1917"/>
      <c r="AS876" s="222"/>
      <c r="AZ876" s="889"/>
      <c r="BC876" s="890"/>
      <c r="BD876" s="952"/>
      <c r="BE876" s="75"/>
      <c r="BF876" s="572"/>
      <c r="BG876" s="983"/>
      <c r="BH876" s="222"/>
      <c r="BL876" s="889"/>
      <c r="BO876" s="223"/>
    </row>
    <row r="877" spans="1:67" s="74" customFormat="1">
      <c r="A877" s="15"/>
      <c r="B877" s="15"/>
      <c r="C877" s="15"/>
      <c r="D877" s="15"/>
      <c r="E877" s="6"/>
      <c r="F877" s="6"/>
      <c r="G877" s="6"/>
      <c r="K877" s="223"/>
      <c r="M877" s="889"/>
      <c r="P877" s="890"/>
      <c r="T877" s="889"/>
      <c r="X877" s="15"/>
      <c r="Y877" s="1935"/>
      <c r="Z877" s="1086"/>
      <c r="AA877" s="230"/>
      <c r="AB877" s="230"/>
      <c r="AC877" s="1936"/>
      <c r="AD877" s="230"/>
      <c r="AE877" s="230"/>
      <c r="AF877" s="230"/>
      <c r="AG877" s="890"/>
      <c r="AJ877" s="890"/>
      <c r="AN877" s="223"/>
      <c r="AO877" s="952"/>
      <c r="AP877" s="1066"/>
      <c r="AQ877" s="972"/>
      <c r="AR877" s="1917"/>
      <c r="AS877" s="222"/>
      <c r="AZ877" s="889"/>
      <c r="BC877" s="890"/>
      <c r="BD877" s="952"/>
      <c r="BE877" s="75"/>
      <c r="BF877" s="572"/>
      <c r="BG877" s="983"/>
      <c r="BH877" s="222"/>
      <c r="BL877" s="889"/>
      <c r="BO877" s="223"/>
    </row>
    <row r="878" spans="1:67" s="74" customFormat="1">
      <c r="A878" s="15"/>
      <c r="B878" s="15"/>
      <c r="C878" s="15"/>
      <c r="D878" s="15"/>
      <c r="E878" s="6"/>
      <c r="F878" s="6"/>
      <c r="G878" s="6"/>
      <c r="K878" s="223"/>
      <c r="M878" s="889"/>
      <c r="P878" s="890"/>
      <c r="T878" s="889"/>
      <c r="X878" s="15"/>
      <c r="Y878" s="1935"/>
      <c r="Z878" s="1086"/>
      <c r="AA878" s="230"/>
      <c r="AB878" s="230"/>
      <c r="AC878" s="1936"/>
      <c r="AD878" s="230"/>
      <c r="AE878" s="230"/>
      <c r="AF878" s="230"/>
      <c r="AG878" s="890"/>
      <c r="AJ878" s="890"/>
      <c r="AN878" s="223"/>
      <c r="AO878" s="952"/>
      <c r="AP878" s="1066"/>
      <c r="AQ878" s="972"/>
      <c r="AR878" s="1917"/>
      <c r="AS878" s="222"/>
      <c r="AZ878" s="889"/>
      <c r="BC878" s="890"/>
      <c r="BD878" s="952"/>
      <c r="BE878" s="75"/>
      <c r="BF878" s="572"/>
      <c r="BG878" s="983"/>
      <c r="BH878" s="222"/>
      <c r="BL878" s="889"/>
      <c r="BO878" s="223"/>
    </row>
    <row r="879" spans="1:67" s="74" customFormat="1">
      <c r="A879" s="15"/>
      <c r="B879" s="15"/>
      <c r="C879" s="15"/>
      <c r="D879" s="15"/>
      <c r="E879" s="6"/>
      <c r="F879" s="6"/>
      <c r="G879" s="6"/>
      <c r="K879" s="223"/>
      <c r="M879" s="889"/>
      <c r="P879" s="890"/>
      <c r="T879" s="889"/>
      <c r="X879" s="15"/>
      <c r="Y879" s="1935"/>
      <c r="Z879" s="1086"/>
      <c r="AA879" s="230"/>
      <c r="AB879" s="230"/>
      <c r="AC879" s="1936"/>
      <c r="AD879" s="230"/>
      <c r="AE879" s="230"/>
      <c r="AF879" s="230"/>
      <c r="AG879" s="890"/>
      <c r="AJ879" s="890"/>
      <c r="AN879" s="223"/>
      <c r="AO879" s="952"/>
      <c r="AP879" s="1066"/>
      <c r="AQ879" s="972"/>
      <c r="AR879" s="1917"/>
      <c r="AS879" s="222"/>
      <c r="AZ879" s="889"/>
      <c r="BC879" s="890"/>
      <c r="BD879" s="952"/>
      <c r="BE879" s="75"/>
      <c r="BF879" s="572"/>
      <c r="BG879" s="983"/>
      <c r="BH879" s="222"/>
      <c r="BL879" s="889"/>
      <c r="BO879" s="223"/>
    </row>
    <row r="880" spans="1:67" s="74" customFormat="1">
      <c r="A880" s="15"/>
      <c r="B880" s="15"/>
      <c r="C880" s="15"/>
      <c r="D880" s="15"/>
      <c r="E880" s="6"/>
      <c r="F880" s="6"/>
      <c r="G880" s="6"/>
      <c r="K880" s="223"/>
      <c r="M880" s="889"/>
      <c r="P880" s="890"/>
      <c r="T880" s="889"/>
      <c r="X880" s="15"/>
      <c r="Y880" s="1935"/>
      <c r="Z880" s="1086"/>
      <c r="AA880" s="230"/>
      <c r="AB880" s="230"/>
      <c r="AC880" s="1936"/>
      <c r="AD880" s="230"/>
      <c r="AE880" s="230"/>
      <c r="AF880" s="230"/>
      <c r="AG880" s="890"/>
      <c r="AJ880" s="890"/>
      <c r="AN880" s="223"/>
      <c r="AO880" s="952"/>
      <c r="AP880" s="1066"/>
      <c r="AQ880" s="972"/>
      <c r="AR880" s="1917"/>
      <c r="AS880" s="222"/>
      <c r="AZ880" s="889"/>
      <c r="BC880" s="890"/>
      <c r="BD880" s="952"/>
      <c r="BE880" s="75"/>
      <c r="BF880" s="572"/>
      <c r="BG880" s="983"/>
      <c r="BH880" s="222"/>
      <c r="BL880" s="889"/>
      <c r="BO880" s="223"/>
    </row>
    <row r="881" spans="1:67" s="74" customFormat="1">
      <c r="A881" s="15"/>
      <c r="B881" s="15"/>
      <c r="C881" s="15"/>
      <c r="D881" s="15"/>
      <c r="E881" s="6"/>
      <c r="F881" s="6"/>
      <c r="G881" s="6"/>
      <c r="K881" s="223"/>
      <c r="M881" s="889"/>
      <c r="P881" s="890"/>
      <c r="T881" s="889"/>
      <c r="X881" s="15"/>
      <c r="Y881" s="1935"/>
      <c r="Z881" s="1086"/>
      <c r="AA881" s="230"/>
      <c r="AB881" s="230"/>
      <c r="AC881" s="1936"/>
      <c r="AD881" s="230"/>
      <c r="AE881" s="230"/>
      <c r="AF881" s="230"/>
      <c r="AG881" s="890"/>
      <c r="AJ881" s="890"/>
      <c r="AN881" s="223"/>
      <c r="AO881" s="952"/>
      <c r="AP881" s="1066"/>
      <c r="AQ881" s="972"/>
      <c r="AR881" s="1917"/>
      <c r="AS881" s="222"/>
      <c r="AZ881" s="889"/>
      <c r="BC881" s="890"/>
      <c r="BD881" s="952"/>
      <c r="BE881" s="75"/>
      <c r="BF881" s="572"/>
      <c r="BG881" s="983"/>
      <c r="BH881" s="222"/>
      <c r="BL881" s="889"/>
      <c r="BO881" s="223"/>
    </row>
    <row r="882" spans="1:67" s="74" customFormat="1">
      <c r="A882" s="15"/>
      <c r="B882" s="15"/>
      <c r="C882" s="15"/>
      <c r="D882" s="15"/>
      <c r="E882" s="6"/>
      <c r="F882" s="6"/>
      <c r="G882" s="6"/>
      <c r="K882" s="223"/>
      <c r="M882" s="889"/>
      <c r="P882" s="890"/>
      <c r="T882" s="889"/>
      <c r="X882" s="15"/>
      <c r="Y882" s="1935"/>
      <c r="Z882" s="1086"/>
      <c r="AA882" s="230"/>
      <c r="AB882" s="230"/>
      <c r="AC882" s="1936"/>
      <c r="AD882" s="230"/>
      <c r="AE882" s="230"/>
      <c r="AF882" s="230"/>
      <c r="AG882" s="890"/>
      <c r="AJ882" s="890"/>
      <c r="AN882" s="223"/>
      <c r="AO882" s="952"/>
      <c r="AP882" s="1066"/>
      <c r="AQ882" s="972"/>
      <c r="AR882" s="1917"/>
      <c r="AS882" s="222"/>
      <c r="AZ882" s="889"/>
      <c r="BC882" s="890"/>
      <c r="BD882" s="952"/>
      <c r="BE882" s="75"/>
      <c r="BF882" s="572"/>
      <c r="BG882" s="983"/>
      <c r="BH882" s="222"/>
      <c r="BL882" s="889"/>
      <c r="BO882" s="223"/>
    </row>
    <row r="883" spans="1:67" s="74" customFormat="1">
      <c r="A883" s="15"/>
      <c r="B883" s="15"/>
      <c r="C883" s="15"/>
      <c r="D883" s="15"/>
      <c r="E883" s="6"/>
      <c r="F883" s="6"/>
      <c r="G883" s="6"/>
      <c r="K883" s="223"/>
      <c r="M883" s="889"/>
      <c r="P883" s="890"/>
      <c r="T883" s="889"/>
      <c r="X883" s="15"/>
      <c r="Y883" s="1935"/>
      <c r="Z883" s="1086"/>
      <c r="AA883" s="230"/>
      <c r="AB883" s="230"/>
      <c r="AC883" s="1936"/>
      <c r="AD883" s="230"/>
      <c r="AE883" s="230"/>
      <c r="AF883" s="230"/>
      <c r="AG883" s="890"/>
      <c r="AJ883" s="890"/>
      <c r="AN883" s="223"/>
      <c r="AO883" s="952"/>
      <c r="AP883" s="1066"/>
      <c r="AQ883" s="972"/>
      <c r="AR883" s="1917"/>
      <c r="AS883" s="222"/>
      <c r="AZ883" s="889"/>
      <c r="BC883" s="890"/>
      <c r="BD883" s="952"/>
      <c r="BE883" s="75"/>
      <c r="BF883" s="572"/>
      <c r="BG883" s="983"/>
      <c r="BH883" s="222"/>
      <c r="BL883" s="889"/>
      <c r="BO883" s="223"/>
    </row>
    <row r="884" spans="1:67" s="74" customFormat="1">
      <c r="A884" s="15"/>
      <c r="B884" s="15"/>
      <c r="C884" s="15"/>
      <c r="D884" s="15"/>
      <c r="E884" s="6"/>
      <c r="F884" s="6"/>
      <c r="G884" s="6"/>
      <c r="K884" s="223"/>
      <c r="M884" s="889"/>
      <c r="P884" s="890"/>
      <c r="T884" s="889"/>
      <c r="X884" s="15"/>
      <c r="Y884" s="1935"/>
      <c r="Z884" s="1086"/>
      <c r="AA884" s="230"/>
      <c r="AB884" s="230"/>
      <c r="AC884" s="1936"/>
      <c r="AD884" s="230"/>
      <c r="AE884" s="230"/>
      <c r="AF884" s="230"/>
      <c r="AG884" s="890"/>
      <c r="AJ884" s="890"/>
      <c r="AN884" s="223"/>
      <c r="AO884" s="952"/>
      <c r="AP884" s="1066"/>
      <c r="AQ884" s="972"/>
      <c r="AR884" s="1917"/>
      <c r="AS884" s="222"/>
      <c r="AZ884" s="889"/>
      <c r="BC884" s="890"/>
      <c r="BD884" s="952"/>
      <c r="BE884" s="75"/>
      <c r="BF884" s="572"/>
      <c r="BG884" s="983"/>
      <c r="BH884" s="222"/>
      <c r="BL884" s="889"/>
      <c r="BO884" s="223"/>
    </row>
    <row r="885" spans="1:67" s="74" customFormat="1">
      <c r="A885" s="15"/>
      <c r="B885" s="15"/>
      <c r="C885" s="15"/>
      <c r="D885" s="15"/>
      <c r="E885" s="6"/>
      <c r="F885" s="6"/>
      <c r="G885" s="6"/>
      <c r="K885" s="223"/>
      <c r="M885" s="889"/>
      <c r="P885" s="890"/>
      <c r="T885" s="889"/>
      <c r="X885" s="15"/>
      <c r="Y885" s="1935"/>
      <c r="Z885" s="1086"/>
      <c r="AA885" s="230"/>
      <c r="AB885" s="230"/>
      <c r="AC885" s="1936"/>
      <c r="AD885" s="230"/>
      <c r="AE885" s="230"/>
      <c r="AF885" s="230"/>
      <c r="AG885" s="890"/>
      <c r="AJ885" s="890"/>
      <c r="AN885" s="223"/>
      <c r="AO885" s="952"/>
      <c r="AP885" s="1066"/>
      <c r="AQ885" s="972"/>
      <c r="AR885" s="1917"/>
      <c r="AS885" s="222"/>
      <c r="AZ885" s="889"/>
      <c r="BC885" s="890"/>
      <c r="BD885" s="952"/>
      <c r="BE885" s="75"/>
      <c r="BF885" s="572"/>
      <c r="BG885" s="983"/>
      <c r="BH885" s="222"/>
      <c r="BL885" s="889"/>
      <c r="BO885" s="223"/>
    </row>
    <row r="886" spans="1:67" s="74" customFormat="1">
      <c r="A886" s="15"/>
      <c r="B886" s="15"/>
      <c r="C886" s="15"/>
      <c r="D886" s="15"/>
      <c r="E886" s="6"/>
      <c r="F886" s="6"/>
      <c r="G886" s="6"/>
      <c r="K886" s="223"/>
      <c r="M886" s="889"/>
      <c r="P886" s="890"/>
      <c r="T886" s="889"/>
      <c r="X886" s="15"/>
      <c r="Y886" s="1935"/>
      <c r="Z886" s="1086"/>
      <c r="AA886" s="230"/>
      <c r="AB886" s="230"/>
      <c r="AC886" s="1936"/>
      <c r="AD886" s="230"/>
      <c r="AE886" s="230"/>
      <c r="AF886" s="230"/>
      <c r="AG886" s="890"/>
      <c r="AJ886" s="890"/>
      <c r="AN886" s="223"/>
      <c r="AO886" s="952"/>
      <c r="AP886" s="1066"/>
      <c r="AQ886" s="972"/>
      <c r="AR886" s="1917"/>
      <c r="AS886" s="222"/>
      <c r="AZ886" s="889"/>
      <c r="BC886" s="890"/>
      <c r="BD886" s="952"/>
      <c r="BE886" s="75"/>
      <c r="BF886" s="572"/>
      <c r="BG886" s="983"/>
      <c r="BH886" s="222"/>
      <c r="BL886" s="889"/>
      <c r="BO886" s="223"/>
    </row>
    <row r="887" spans="1:67" s="74" customFormat="1">
      <c r="A887" s="15"/>
      <c r="B887" s="15"/>
      <c r="C887" s="15"/>
      <c r="D887" s="15"/>
      <c r="E887" s="6"/>
      <c r="F887" s="6"/>
      <c r="G887" s="6"/>
      <c r="K887" s="223"/>
      <c r="M887" s="889"/>
      <c r="P887" s="890"/>
      <c r="T887" s="889"/>
      <c r="X887" s="15"/>
      <c r="Y887" s="1935"/>
      <c r="Z887" s="1086"/>
      <c r="AA887" s="230"/>
      <c r="AB887" s="230"/>
      <c r="AC887" s="1936"/>
      <c r="AD887" s="230"/>
      <c r="AE887" s="230"/>
      <c r="AF887" s="230"/>
      <c r="AG887" s="890"/>
      <c r="AJ887" s="890"/>
      <c r="AN887" s="223"/>
      <c r="AO887" s="952"/>
      <c r="AP887" s="1066"/>
      <c r="AQ887" s="972"/>
      <c r="AR887" s="1917"/>
      <c r="AS887" s="222"/>
      <c r="AZ887" s="889"/>
      <c r="BC887" s="890"/>
      <c r="BD887" s="952"/>
      <c r="BE887" s="75"/>
      <c r="BF887" s="572"/>
      <c r="BG887" s="983"/>
      <c r="BH887" s="222"/>
      <c r="BL887" s="889"/>
      <c r="BO887" s="223"/>
    </row>
    <row r="888" spans="1:67" s="74" customFormat="1">
      <c r="A888" s="15"/>
      <c r="B888" s="15"/>
      <c r="C888" s="15"/>
      <c r="D888" s="15"/>
      <c r="E888" s="6"/>
      <c r="F888" s="6"/>
      <c r="G888" s="6"/>
      <c r="K888" s="223"/>
      <c r="M888" s="889"/>
      <c r="P888" s="890"/>
      <c r="T888" s="889"/>
      <c r="X888" s="15"/>
      <c r="Y888" s="1935"/>
      <c r="Z888" s="1086"/>
      <c r="AA888" s="230"/>
      <c r="AB888" s="230"/>
      <c r="AC888" s="1936"/>
      <c r="AD888" s="230"/>
      <c r="AE888" s="230"/>
      <c r="AF888" s="230"/>
      <c r="AG888" s="890"/>
      <c r="AJ888" s="890"/>
      <c r="AN888" s="223"/>
      <c r="AO888" s="952"/>
      <c r="AP888" s="1066"/>
      <c r="AQ888" s="972"/>
      <c r="AR888" s="1917"/>
      <c r="AS888" s="222"/>
      <c r="AZ888" s="889"/>
      <c r="BC888" s="890"/>
      <c r="BD888" s="952"/>
      <c r="BE888" s="75"/>
      <c r="BF888" s="572"/>
      <c r="BG888" s="983"/>
      <c r="BH888" s="222"/>
      <c r="BL888" s="889"/>
      <c r="BO888" s="223"/>
    </row>
    <row r="889" spans="1:67" s="74" customFormat="1">
      <c r="A889" s="15"/>
      <c r="B889" s="15"/>
      <c r="C889" s="15"/>
      <c r="D889" s="15"/>
      <c r="E889" s="6"/>
      <c r="F889" s="6"/>
      <c r="G889" s="6"/>
      <c r="K889" s="223"/>
      <c r="M889" s="889"/>
      <c r="P889" s="890"/>
      <c r="T889" s="889"/>
      <c r="X889" s="15"/>
      <c r="Y889" s="1935"/>
      <c r="Z889" s="1086"/>
      <c r="AA889" s="230"/>
      <c r="AB889" s="230"/>
      <c r="AC889" s="1936"/>
      <c r="AD889" s="230"/>
      <c r="AE889" s="230"/>
      <c r="AF889" s="230"/>
      <c r="AG889" s="890"/>
      <c r="AJ889" s="890"/>
      <c r="AN889" s="223"/>
      <c r="AO889" s="952"/>
      <c r="AP889" s="1066"/>
      <c r="AQ889" s="972"/>
      <c r="AR889" s="1917"/>
      <c r="AS889" s="222"/>
      <c r="AZ889" s="889"/>
      <c r="BC889" s="890"/>
      <c r="BD889" s="952"/>
      <c r="BE889" s="75"/>
      <c r="BF889" s="572"/>
      <c r="BG889" s="983"/>
      <c r="BH889" s="222"/>
      <c r="BL889" s="889"/>
      <c r="BO889" s="223"/>
    </row>
    <row r="890" spans="1:67" s="74" customFormat="1">
      <c r="A890" s="15"/>
      <c r="B890" s="15"/>
      <c r="C890" s="15"/>
      <c r="D890" s="15"/>
      <c r="E890" s="6"/>
      <c r="F890" s="6"/>
      <c r="G890" s="6"/>
      <c r="K890" s="223"/>
      <c r="M890" s="889"/>
      <c r="P890" s="890"/>
      <c r="T890" s="889"/>
      <c r="X890" s="15"/>
      <c r="Y890" s="1935"/>
      <c r="Z890" s="1086"/>
      <c r="AA890" s="230"/>
      <c r="AB890" s="230"/>
      <c r="AC890" s="1936"/>
      <c r="AD890" s="230"/>
      <c r="AE890" s="230"/>
      <c r="AF890" s="230"/>
      <c r="AG890" s="890"/>
      <c r="AJ890" s="890"/>
      <c r="AN890" s="223"/>
      <c r="AO890" s="952"/>
      <c r="AP890" s="1066"/>
      <c r="AQ890" s="972"/>
      <c r="AR890" s="1917"/>
      <c r="AS890" s="222"/>
      <c r="AZ890" s="889"/>
      <c r="BC890" s="890"/>
      <c r="BD890" s="952"/>
      <c r="BE890" s="75"/>
      <c r="BF890" s="572"/>
      <c r="BG890" s="983"/>
      <c r="BH890" s="222"/>
      <c r="BL890" s="889"/>
      <c r="BO890" s="223"/>
    </row>
    <row r="891" spans="1:67" s="74" customFormat="1">
      <c r="A891" s="15"/>
      <c r="B891" s="15"/>
      <c r="C891" s="15"/>
      <c r="D891" s="15"/>
      <c r="E891" s="6"/>
      <c r="F891" s="6"/>
      <c r="G891" s="6"/>
      <c r="K891" s="223"/>
      <c r="M891" s="889"/>
      <c r="P891" s="890"/>
      <c r="T891" s="889"/>
      <c r="X891" s="15"/>
      <c r="Y891" s="1935"/>
      <c r="Z891" s="1086"/>
      <c r="AA891" s="230"/>
      <c r="AB891" s="230"/>
      <c r="AC891" s="1936"/>
      <c r="AD891" s="230"/>
      <c r="AE891" s="230"/>
      <c r="AF891" s="230"/>
      <c r="AG891" s="890"/>
      <c r="AJ891" s="890"/>
      <c r="AN891" s="223"/>
      <c r="AO891" s="952"/>
      <c r="AP891" s="1066"/>
      <c r="AQ891" s="972"/>
      <c r="AR891" s="1917"/>
      <c r="AS891" s="222"/>
      <c r="AZ891" s="889"/>
      <c r="BC891" s="890"/>
      <c r="BD891" s="952"/>
      <c r="BE891" s="75"/>
      <c r="BF891" s="572"/>
      <c r="BG891" s="983"/>
      <c r="BH891" s="222"/>
      <c r="BL891" s="889"/>
      <c r="BO891" s="223"/>
    </row>
    <row r="892" spans="1:67" s="74" customFormat="1">
      <c r="A892" s="15"/>
      <c r="B892" s="15"/>
      <c r="C892" s="15"/>
      <c r="D892" s="15"/>
      <c r="E892" s="6"/>
      <c r="F892" s="6"/>
      <c r="G892" s="6"/>
      <c r="K892" s="223"/>
      <c r="M892" s="889"/>
      <c r="P892" s="890"/>
      <c r="T892" s="889"/>
      <c r="X892" s="15"/>
      <c r="Y892" s="1935"/>
      <c r="Z892" s="1086"/>
      <c r="AA892" s="230"/>
      <c r="AB892" s="230"/>
      <c r="AC892" s="1936"/>
      <c r="AD892" s="230"/>
      <c r="AE892" s="230"/>
      <c r="AF892" s="230"/>
      <c r="AG892" s="890"/>
      <c r="AJ892" s="890"/>
      <c r="AN892" s="223"/>
      <c r="AO892" s="952"/>
      <c r="AP892" s="1066"/>
      <c r="AQ892" s="972"/>
      <c r="AR892" s="1917"/>
      <c r="AS892" s="222"/>
      <c r="AZ892" s="889"/>
      <c r="BC892" s="890"/>
      <c r="BD892" s="952"/>
      <c r="BE892" s="75"/>
      <c r="BF892" s="572"/>
      <c r="BG892" s="983"/>
      <c r="BH892" s="222"/>
      <c r="BL892" s="889"/>
      <c r="BO892" s="223"/>
    </row>
    <row r="893" spans="1:67" s="74" customFormat="1">
      <c r="A893" s="15"/>
      <c r="B893" s="15"/>
      <c r="C893" s="15"/>
      <c r="D893" s="15"/>
      <c r="E893" s="6"/>
      <c r="F893" s="6"/>
      <c r="G893" s="6"/>
      <c r="K893" s="223"/>
      <c r="M893" s="889"/>
      <c r="P893" s="890"/>
      <c r="T893" s="889"/>
      <c r="X893" s="15"/>
      <c r="Y893" s="1935"/>
      <c r="Z893" s="1086"/>
      <c r="AA893" s="230"/>
      <c r="AB893" s="230"/>
      <c r="AC893" s="1936"/>
      <c r="AD893" s="230"/>
      <c r="AE893" s="230"/>
      <c r="AF893" s="230"/>
      <c r="AG893" s="890"/>
      <c r="AJ893" s="890"/>
      <c r="AN893" s="223"/>
      <c r="AO893" s="952"/>
      <c r="AP893" s="1066"/>
      <c r="AQ893" s="972"/>
      <c r="AR893" s="1917"/>
      <c r="AS893" s="222"/>
      <c r="AZ893" s="889"/>
      <c r="BC893" s="890"/>
      <c r="BD893" s="952"/>
      <c r="BE893" s="75"/>
      <c r="BF893" s="572"/>
      <c r="BG893" s="983"/>
      <c r="BH893" s="222"/>
      <c r="BL893" s="889"/>
      <c r="BO893" s="223"/>
    </row>
    <row r="894" spans="1:67" s="74" customFormat="1">
      <c r="A894" s="15"/>
      <c r="B894" s="15"/>
      <c r="C894" s="15"/>
      <c r="D894" s="15"/>
      <c r="E894" s="6"/>
      <c r="F894" s="6"/>
      <c r="G894" s="6"/>
      <c r="K894" s="223"/>
      <c r="M894" s="889"/>
      <c r="P894" s="890"/>
      <c r="T894" s="889"/>
      <c r="X894" s="15"/>
      <c r="Y894" s="1935"/>
      <c r="Z894" s="1086"/>
      <c r="AA894" s="230"/>
      <c r="AB894" s="230"/>
      <c r="AC894" s="1936"/>
      <c r="AD894" s="230"/>
      <c r="AE894" s="230"/>
      <c r="AF894" s="230"/>
      <c r="AG894" s="890"/>
      <c r="AJ894" s="890"/>
      <c r="AN894" s="223"/>
      <c r="AO894" s="952"/>
      <c r="AP894" s="1066"/>
      <c r="AQ894" s="972"/>
      <c r="AR894" s="1917"/>
      <c r="AS894" s="222"/>
      <c r="AZ894" s="889"/>
      <c r="BC894" s="890"/>
      <c r="BD894" s="952"/>
      <c r="BE894" s="75"/>
      <c r="BF894" s="572"/>
      <c r="BG894" s="983"/>
      <c r="BH894" s="222"/>
      <c r="BL894" s="889"/>
      <c r="BO894" s="223"/>
    </row>
    <row r="895" spans="1:67" s="74" customFormat="1">
      <c r="A895" s="15"/>
      <c r="B895" s="15"/>
      <c r="C895" s="15"/>
      <c r="D895" s="15"/>
      <c r="E895" s="6"/>
      <c r="F895" s="6"/>
      <c r="G895" s="6"/>
      <c r="K895" s="223"/>
      <c r="M895" s="889"/>
      <c r="P895" s="890"/>
      <c r="T895" s="889"/>
      <c r="X895" s="15"/>
      <c r="Y895" s="1935"/>
      <c r="Z895" s="1086"/>
      <c r="AA895" s="230"/>
      <c r="AB895" s="230"/>
      <c r="AC895" s="1936"/>
      <c r="AD895" s="230"/>
      <c r="AE895" s="230"/>
      <c r="AF895" s="230"/>
      <c r="AG895" s="890"/>
      <c r="AJ895" s="890"/>
      <c r="AN895" s="223"/>
      <c r="AO895" s="952"/>
      <c r="AP895" s="1066"/>
      <c r="AQ895" s="972"/>
      <c r="AR895" s="1917"/>
      <c r="AS895" s="222"/>
      <c r="AZ895" s="889"/>
      <c r="BC895" s="890"/>
      <c r="BD895" s="952"/>
      <c r="BE895" s="75"/>
      <c r="BF895" s="572"/>
      <c r="BG895" s="983"/>
      <c r="BH895" s="222"/>
      <c r="BL895" s="889"/>
      <c r="BO895" s="223"/>
    </row>
    <row r="896" spans="1:67" s="74" customFormat="1">
      <c r="A896" s="15"/>
      <c r="B896" s="15"/>
      <c r="C896" s="15"/>
      <c r="D896" s="15"/>
      <c r="E896" s="6"/>
      <c r="F896" s="6"/>
      <c r="G896" s="6"/>
      <c r="K896" s="223"/>
      <c r="M896" s="889"/>
      <c r="P896" s="890"/>
      <c r="T896" s="889"/>
      <c r="X896" s="15"/>
      <c r="Y896" s="1935"/>
      <c r="Z896" s="1086"/>
      <c r="AA896" s="230"/>
      <c r="AB896" s="230"/>
      <c r="AC896" s="1936"/>
      <c r="AD896" s="230"/>
      <c r="AE896" s="230"/>
      <c r="AF896" s="230"/>
      <c r="AG896" s="890"/>
      <c r="AJ896" s="890"/>
      <c r="AN896" s="223"/>
      <c r="AO896" s="952"/>
      <c r="AP896" s="1066"/>
      <c r="AQ896" s="972"/>
      <c r="AR896" s="1917"/>
      <c r="AS896" s="222"/>
      <c r="AZ896" s="889"/>
      <c r="BC896" s="890"/>
      <c r="BD896" s="952"/>
      <c r="BE896" s="75"/>
      <c r="BF896" s="572"/>
      <c r="BG896" s="983"/>
      <c r="BH896" s="222"/>
      <c r="BL896" s="889"/>
      <c r="BO896" s="223"/>
    </row>
    <row r="897" spans="1:67" s="74" customFormat="1">
      <c r="A897" s="15"/>
      <c r="B897" s="15"/>
      <c r="C897" s="15"/>
      <c r="D897" s="15"/>
      <c r="E897" s="6"/>
      <c r="F897" s="6"/>
      <c r="G897" s="6"/>
      <c r="K897" s="223"/>
      <c r="M897" s="889"/>
      <c r="P897" s="890"/>
      <c r="T897" s="889"/>
      <c r="X897" s="15"/>
      <c r="Y897" s="1935"/>
      <c r="Z897" s="1086"/>
      <c r="AA897" s="230"/>
      <c r="AB897" s="230"/>
      <c r="AC897" s="1936"/>
      <c r="AD897" s="230"/>
      <c r="AE897" s="230"/>
      <c r="AF897" s="230"/>
      <c r="AG897" s="890"/>
      <c r="AJ897" s="890"/>
      <c r="AN897" s="223"/>
      <c r="AO897" s="952"/>
      <c r="AP897" s="1066"/>
      <c r="AQ897" s="972"/>
      <c r="AR897" s="1917"/>
      <c r="AS897" s="222"/>
      <c r="AZ897" s="889"/>
      <c r="BC897" s="890"/>
      <c r="BD897" s="952"/>
      <c r="BE897" s="75"/>
      <c r="BF897" s="572"/>
      <c r="BG897" s="983"/>
      <c r="BH897" s="222"/>
      <c r="BL897" s="889"/>
      <c r="BO897" s="223"/>
    </row>
    <row r="898" spans="1:67" s="74" customFormat="1">
      <c r="A898" s="15"/>
      <c r="B898" s="15"/>
      <c r="C898" s="15"/>
      <c r="D898" s="15"/>
      <c r="E898" s="6"/>
      <c r="F898" s="6"/>
      <c r="G898" s="6"/>
      <c r="K898" s="223"/>
      <c r="M898" s="889"/>
      <c r="P898" s="890"/>
      <c r="T898" s="889"/>
      <c r="X898" s="15"/>
      <c r="Y898" s="1935"/>
      <c r="Z898" s="1086"/>
      <c r="AA898" s="230"/>
      <c r="AB898" s="230"/>
      <c r="AC898" s="1936"/>
      <c r="AD898" s="230"/>
      <c r="AE898" s="230"/>
      <c r="AF898" s="230"/>
      <c r="AG898" s="890"/>
      <c r="AJ898" s="890"/>
      <c r="AN898" s="223"/>
      <c r="AO898" s="952"/>
      <c r="AP898" s="1066"/>
      <c r="AQ898" s="972"/>
      <c r="AR898" s="1917"/>
      <c r="AS898" s="222"/>
      <c r="AZ898" s="889"/>
      <c r="BC898" s="890"/>
      <c r="BD898" s="952"/>
      <c r="BE898" s="75"/>
      <c r="BF898" s="572"/>
      <c r="BG898" s="983"/>
      <c r="BH898" s="222"/>
      <c r="BL898" s="889"/>
      <c r="BO898" s="223"/>
    </row>
    <row r="899" spans="1:67" s="74" customFormat="1">
      <c r="A899" s="15"/>
      <c r="B899" s="15"/>
      <c r="C899" s="15"/>
      <c r="D899" s="15"/>
      <c r="E899" s="6"/>
      <c r="F899" s="6"/>
      <c r="G899" s="6"/>
      <c r="K899" s="223"/>
      <c r="M899" s="889"/>
      <c r="P899" s="890"/>
      <c r="T899" s="889"/>
      <c r="X899" s="15"/>
      <c r="Y899" s="1935"/>
      <c r="Z899" s="1086"/>
      <c r="AA899" s="230"/>
      <c r="AB899" s="230"/>
      <c r="AC899" s="1936"/>
      <c r="AD899" s="230"/>
      <c r="AE899" s="230"/>
      <c r="AF899" s="230"/>
      <c r="AG899" s="890"/>
      <c r="AJ899" s="890"/>
      <c r="AN899" s="223"/>
      <c r="AO899" s="952"/>
      <c r="AP899" s="1066"/>
      <c r="AQ899" s="972"/>
      <c r="AR899" s="1917"/>
      <c r="AS899" s="222"/>
      <c r="AZ899" s="889"/>
      <c r="BC899" s="890"/>
      <c r="BD899" s="952"/>
      <c r="BE899" s="75"/>
      <c r="BF899" s="572"/>
      <c r="BG899" s="983"/>
      <c r="BH899" s="222"/>
      <c r="BL899" s="889"/>
      <c r="BO899" s="223"/>
    </row>
    <row r="900" spans="1:67" s="74" customFormat="1">
      <c r="A900" s="15"/>
      <c r="B900" s="15"/>
      <c r="C900" s="15"/>
      <c r="D900" s="15"/>
      <c r="E900" s="6"/>
      <c r="F900" s="6"/>
      <c r="G900" s="6"/>
      <c r="K900" s="223"/>
      <c r="M900" s="889"/>
      <c r="P900" s="890"/>
      <c r="T900" s="889"/>
      <c r="X900" s="15"/>
      <c r="Y900" s="1935"/>
      <c r="Z900" s="1086"/>
      <c r="AA900" s="230"/>
      <c r="AB900" s="230"/>
      <c r="AC900" s="1936"/>
      <c r="AD900" s="230"/>
      <c r="AE900" s="230"/>
      <c r="AF900" s="230"/>
      <c r="AG900" s="890"/>
      <c r="AJ900" s="890"/>
      <c r="AN900" s="223"/>
      <c r="AO900" s="952"/>
      <c r="AP900" s="1066"/>
      <c r="AQ900" s="972"/>
      <c r="AR900" s="1917"/>
      <c r="AS900" s="222"/>
      <c r="AZ900" s="889"/>
      <c r="BC900" s="890"/>
      <c r="BD900" s="952"/>
      <c r="BE900" s="75"/>
      <c r="BF900" s="572"/>
      <c r="BG900" s="983"/>
      <c r="BH900" s="222"/>
      <c r="BL900" s="889"/>
      <c r="BO900" s="223"/>
    </row>
    <row r="901" spans="1:67" s="74" customFormat="1">
      <c r="A901" s="15"/>
      <c r="B901" s="15"/>
      <c r="C901" s="15"/>
      <c r="D901" s="15"/>
      <c r="E901" s="6"/>
      <c r="F901" s="6"/>
      <c r="G901" s="6"/>
      <c r="K901" s="223"/>
      <c r="M901" s="889"/>
      <c r="P901" s="890"/>
      <c r="T901" s="889"/>
      <c r="X901" s="15"/>
      <c r="Y901" s="1935"/>
      <c r="Z901" s="1086"/>
      <c r="AA901" s="230"/>
      <c r="AB901" s="230"/>
      <c r="AC901" s="1936"/>
      <c r="AD901" s="230"/>
      <c r="AE901" s="230"/>
      <c r="AF901" s="230"/>
      <c r="AG901" s="890"/>
      <c r="AJ901" s="890"/>
      <c r="AN901" s="223"/>
      <c r="AO901" s="952"/>
      <c r="AP901" s="1066"/>
      <c r="AQ901" s="972"/>
      <c r="AR901" s="1917"/>
      <c r="AS901" s="222"/>
      <c r="AZ901" s="889"/>
      <c r="BC901" s="890"/>
      <c r="BD901" s="952"/>
      <c r="BE901" s="75"/>
      <c r="BF901" s="572"/>
      <c r="BG901" s="983"/>
      <c r="BH901" s="222"/>
      <c r="BL901" s="889"/>
      <c r="BO901" s="223"/>
    </row>
    <row r="902" spans="1:67" s="74" customFormat="1">
      <c r="A902" s="15"/>
      <c r="B902" s="15"/>
      <c r="C902" s="15"/>
      <c r="D902" s="15"/>
      <c r="E902" s="6"/>
      <c r="F902" s="6"/>
      <c r="G902" s="6"/>
      <c r="K902" s="223"/>
      <c r="M902" s="889"/>
      <c r="P902" s="890"/>
      <c r="T902" s="889"/>
      <c r="X902" s="15"/>
      <c r="Y902" s="1935"/>
      <c r="Z902" s="1086"/>
      <c r="AA902" s="230"/>
      <c r="AB902" s="230"/>
      <c r="AC902" s="1936"/>
      <c r="AD902" s="230"/>
      <c r="AE902" s="230"/>
      <c r="AF902" s="230"/>
      <c r="AG902" s="890"/>
      <c r="AJ902" s="890"/>
      <c r="AN902" s="223"/>
      <c r="AO902" s="952"/>
      <c r="AP902" s="1066"/>
      <c r="AQ902" s="972"/>
      <c r="AR902" s="1917"/>
      <c r="AS902" s="222"/>
      <c r="AZ902" s="889"/>
      <c r="BC902" s="890"/>
      <c r="BD902" s="952"/>
      <c r="BE902" s="75"/>
      <c r="BF902" s="572"/>
      <c r="BG902" s="983"/>
      <c r="BH902" s="222"/>
      <c r="BL902" s="889"/>
      <c r="BO902" s="223"/>
    </row>
    <row r="903" spans="1:67" s="74" customFormat="1">
      <c r="A903" s="15"/>
      <c r="B903" s="15"/>
      <c r="C903" s="15"/>
      <c r="D903" s="15"/>
      <c r="E903" s="6"/>
      <c r="F903" s="6"/>
      <c r="G903" s="6"/>
      <c r="K903" s="223"/>
      <c r="M903" s="889"/>
      <c r="P903" s="890"/>
      <c r="T903" s="889"/>
      <c r="X903" s="15"/>
      <c r="Y903" s="1935"/>
      <c r="Z903" s="1086"/>
      <c r="AA903" s="230"/>
      <c r="AB903" s="230"/>
      <c r="AC903" s="1936"/>
      <c r="AD903" s="230"/>
      <c r="AE903" s="230"/>
      <c r="AF903" s="230"/>
      <c r="AG903" s="890"/>
      <c r="AJ903" s="890"/>
      <c r="AN903" s="223"/>
      <c r="AO903" s="952"/>
      <c r="AP903" s="1066"/>
      <c r="AQ903" s="972"/>
      <c r="AR903" s="1917"/>
      <c r="AS903" s="222"/>
      <c r="AZ903" s="889"/>
      <c r="BC903" s="890"/>
      <c r="BD903" s="952"/>
      <c r="BE903" s="75"/>
      <c r="BF903" s="572"/>
      <c r="BG903" s="983"/>
      <c r="BH903" s="222"/>
      <c r="BL903" s="889"/>
      <c r="BO903" s="223"/>
    </row>
    <row r="904" spans="1:67" s="74" customFormat="1">
      <c r="A904" s="15"/>
      <c r="B904" s="15"/>
      <c r="C904" s="15"/>
      <c r="D904" s="15"/>
      <c r="E904" s="6"/>
      <c r="F904" s="6"/>
      <c r="G904" s="6"/>
      <c r="K904" s="223"/>
      <c r="M904" s="889"/>
      <c r="P904" s="890"/>
      <c r="T904" s="889"/>
      <c r="X904" s="15"/>
      <c r="Y904" s="1935"/>
      <c r="Z904" s="1086"/>
      <c r="AA904" s="230"/>
      <c r="AB904" s="230"/>
      <c r="AC904" s="1936"/>
      <c r="AD904" s="230"/>
      <c r="AE904" s="230"/>
      <c r="AF904" s="230"/>
      <c r="AG904" s="890"/>
      <c r="AJ904" s="890"/>
      <c r="AN904" s="223"/>
      <c r="AO904" s="952"/>
      <c r="AP904" s="1066"/>
      <c r="AQ904" s="972"/>
      <c r="AR904" s="1917"/>
      <c r="AS904" s="222"/>
      <c r="AZ904" s="889"/>
      <c r="BC904" s="890"/>
      <c r="BD904" s="952"/>
      <c r="BE904" s="75"/>
      <c r="BF904" s="572"/>
      <c r="BG904" s="983"/>
      <c r="BH904" s="222"/>
      <c r="BL904" s="889"/>
      <c r="BO904" s="223"/>
    </row>
    <row r="905" spans="1:67" s="74" customFormat="1">
      <c r="A905" s="15"/>
      <c r="B905" s="15"/>
      <c r="C905" s="15"/>
      <c r="D905" s="15"/>
      <c r="E905" s="6"/>
      <c r="F905" s="6"/>
      <c r="G905" s="6"/>
      <c r="K905" s="223"/>
      <c r="M905" s="889"/>
      <c r="P905" s="890"/>
      <c r="T905" s="889"/>
      <c r="X905" s="15"/>
      <c r="Y905" s="1935"/>
      <c r="Z905" s="1086"/>
      <c r="AA905" s="230"/>
      <c r="AB905" s="230"/>
      <c r="AC905" s="1936"/>
      <c r="AD905" s="230"/>
      <c r="AE905" s="230"/>
      <c r="AF905" s="230"/>
      <c r="AG905" s="890"/>
      <c r="AJ905" s="890"/>
      <c r="AN905" s="223"/>
      <c r="AO905" s="952"/>
      <c r="AP905" s="1066"/>
      <c r="AQ905" s="972"/>
      <c r="AR905" s="1917"/>
      <c r="AS905" s="222"/>
      <c r="AZ905" s="889"/>
      <c r="BC905" s="890"/>
      <c r="BD905" s="952"/>
      <c r="BE905" s="75"/>
      <c r="BF905" s="572"/>
      <c r="BG905" s="983"/>
      <c r="BH905" s="222"/>
      <c r="BL905" s="889"/>
      <c r="BO905" s="223"/>
    </row>
    <row r="906" spans="1:67" s="74" customFormat="1">
      <c r="A906" s="15"/>
      <c r="B906" s="15"/>
      <c r="C906" s="15"/>
      <c r="D906" s="15"/>
      <c r="E906" s="6"/>
      <c r="F906" s="6"/>
      <c r="G906" s="6"/>
      <c r="K906" s="223"/>
      <c r="M906" s="889"/>
      <c r="P906" s="890"/>
      <c r="T906" s="889"/>
      <c r="X906" s="15"/>
      <c r="Y906" s="1935"/>
      <c r="Z906" s="1086"/>
      <c r="AA906" s="230"/>
      <c r="AB906" s="230"/>
      <c r="AC906" s="1936"/>
      <c r="AD906" s="230"/>
      <c r="AE906" s="230"/>
      <c r="AF906" s="230"/>
      <c r="AG906" s="890"/>
      <c r="AJ906" s="890"/>
      <c r="AN906" s="223"/>
      <c r="AO906" s="952"/>
      <c r="AP906" s="1066"/>
      <c r="AQ906" s="972"/>
      <c r="AR906" s="1917"/>
      <c r="AS906" s="222"/>
      <c r="AZ906" s="889"/>
      <c r="BC906" s="890"/>
      <c r="BD906" s="952"/>
      <c r="BE906" s="75"/>
      <c r="BF906" s="572"/>
      <c r="BG906" s="983"/>
      <c r="BH906" s="222"/>
      <c r="BL906" s="889"/>
      <c r="BO906" s="223"/>
    </row>
    <row r="907" spans="1:67" s="74" customFormat="1">
      <c r="A907" s="15"/>
      <c r="B907" s="15"/>
      <c r="C907" s="15"/>
      <c r="D907" s="15"/>
      <c r="E907" s="6"/>
      <c r="F907" s="6"/>
      <c r="G907" s="6"/>
      <c r="K907" s="223"/>
      <c r="M907" s="889"/>
      <c r="P907" s="890"/>
      <c r="T907" s="889"/>
      <c r="X907" s="15"/>
      <c r="Y907" s="1935"/>
      <c r="Z907" s="1086"/>
      <c r="AA907" s="230"/>
      <c r="AB907" s="230"/>
      <c r="AC907" s="1936"/>
      <c r="AD907" s="230"/>
      <c r="AE907" s="230"/>
      <c r="AF907" s="230"/>
      <c r="AG907" s="890"/>
      <c r="AJ907" s="890"/>
      <c r="AN907" s="223"/>
      <c r="AO907" s="952"/>
      <c r="AP907" s="1066"/>
      <c r="AQ907" s="972"/>
      <c r="AR907" s="1917"/>
      <c r="AS907" s="222"/>
      <c r="AZ907" s="889"/>
      <c r="BC907" s="890"/>
      <c r="BD907" s="952"/>
      <c r="BE907" s="75"/>
      <c r="BF907" s="572"/>
      <c r="BG907" s="983"/>
      <c r="BH907" s="222"/>
      <c r="BL907" s="889"/>
      <c r="BO907" s="223"/>
    </row>
    <row r="908" spans="1:67" s="74" customFormat="1">
      <c r="A908" s="15"/>
      <c r="B908" s="15"/>
      <c r="C908" s="15"/>
      <c r="D908" s="15"/>
      <c r="E908" s="6"/>
      <c r="F908" s="6"/>
      <c r="G908" s="6"/>
      <c r="K908" s="223"/>
      <c r="M908" s="889"/>
      <c r="P908" s="890"/>
      <c r="T908" s="889"/>
      <c r="X908" s="15"/>
      <c r="Y908" s="1935"/>
      <c r="Z908" s="1086"/>
      <c r="AA908" s="230"/>
      <c r="AB908" s="230"/>
      <c r="AC908" s="1936"/>
      <c r="AD908" s="230"/>
      <c r="AE908" s="230"/>
      <c r="AF908" s="230"/>
      <c r="AG908" s="890"/>
      <c r="AJ908" s="890"/>
      <c r="AN908" s="223"/>
      <c r="AO908" s="952"/>
      <c r="AP908" s="1066"/>
      <c r="AQ908" s="972"/>
      <c r="AR908" s="1917"/>
      <c r="AS908" s="222"/>
      <c r="AZ908" s="889"/>
      <c r="BC908" s="890"/>
      <c r="BD908" s="952"/>
      <c r="BE908" s="75"/>
      <c r="BF908" s="572"/>
      <c r="BG908" s="983"/>
      <c r="BH908" s="222"/>
      <c r="BL908" s="889"/>
      <c r="BO908" s="223"/>
    </row>
    <row r="909" spans="1:67" s="74" customFormat="1">
      <c r="A909" s="15"/>
      <c r="B909" s="15"/>
      <c r="C909" s="15"/>
      <c r="D909" s="15"/>
      <c r="E909" s="6"/>
      <c r="F909" s="6"/>
      <c r="G909" s="6"/>
      <c r="K909" s="223"/>
      <c r="M909" s="889"/>
      <c r="P909" s="890"/>
      <c r="T909" s="889"/>
      <c r="X909" s="15"/>
      <c r="Y909" s="1935"/>
      <c r="Z909" s="1086"/>
      <c r="AA909" s="230"/>
      <c r="AB909" s="230"/>
      <c r="AC909" s="1936"/>
      <c r="AD909" s="230"/>
      <c r="AE909" s="230"/>
      <c r="AF909" s="230"/>
      <c r="AG909" s="890"/>
      <c r="AJ909" s="890"/>
      <c r="AN909" s="223"/>
      <c r="AO909" s="952"/>
      <c r="AP909" s="1066"/>
      <c r="AQ909" s="972"/>
      <c r="AR909" s="1917"/>
      <c r="AS909" s="222"/>
      <c r="AZ909" s="889"/>
      <c r="BC909" s="890"/>
      <c r="BD909" s="952"/>
      <c r="BE909" s="75"/>
      <c r="BF909" s="572"/>
      <c r="BG909" s="983"/>
      <c r="BH909" s="222"/>
      <c r="BL909" s="889"/>
      <c r="BO909" s="223"/>
    </row>
    <row r="910" spans="1:67" s="74" customFormat="1">
      <c r="A910" s="15"/>
      <c r="B910" s="15"/>
      <c r="C910" s="15"/>
      <c r="D910" s="15"/>
      <c r="E910" s="6"/>
      <c r="F910" s="6"/>
      <c r="G910" s="6"/>
      <c r="K910" s="223"/>
      <c r="M910" s="889"/>
      <c r="P910" s="890"/>
      <c r="T910" s="889"/>
      <c r="X910" s="15"/>
      <c r="Y910" s="1935"/>
      <c r="Z910" s="1086"/>
      <c r="AA910" s="230"/>
      <c r="AB910" s="230"/>
      <c r="AC910" s="1936"/>
      <c r="AD910" s="230"/>
      <c r="AE910" s="230"/>
      <c r="AF910" s="230"/>
      <c r="AG910" s="890"/>
      <c r="AJ910" s="890"/>
      <c r="AN910" s="223"/>
      <c r="AO910" s="952"/>
      <c r="AP910" s="1066"/>
      <c r="AQ910" s="972"/>
      <c r="AR910" s="1917"/>
      <c r="AS910" s="222"/>
      <c r="AZ910" s="889"/>
      <c r="BC910" s="890"/>
      <c r="BD910" s="952"/>
      <c r="BE910" s="75"/>
      <c r="BF910" s="572"/>
      <c r="BG910" s="983"/>
      <c r="BH910" s="222"/>
      <c r="BL910" s="889"/>
      <c r="BO910" s="223"/>
    </row>
    <row r="911" spans="1:67" s="74" customFormat="1">
      <c r="A911" s="15"/>
      <c r="B911" s="15"/>
      <c r="C911" s="15"/>
      <c r="D911" s="15"/>
      <c r="E911" s="6"/>
      <c r="F911" s="6"/>
      <c r="G911" s="6"/>
      <c r="K911" s="223"/>
      <c r="M911" s="889"/>
      <c r="P911" s="890"/>
      <c r="T911" s="889"/>
      <c r="X911" s="15"/>
      <c r="Y911" s="1935"/>
      <c r="Z911" s="1086"/>
      <c r="AA911" s="230"/>
      <c r="AB911" s="230"/>
      <c r="AC911" s="1936"/>
      <c r="AD911" s="230"/>
      <c r="AE911" s="230"/>
      <c r="AF911" s="230"/>
      <c r="AG911" s="890"/>
      <c r="AJ911" s="890"/>
      <c r="AN911" s="223"/>
      <c r="AO911" s="952"/>
      <c r="AP911" s="1066"/>
      <c r="AQ911" s="972"/>
      <c r="AR911" s="1917"/>
      <c r="AS911" s="222"/>
      <c r="AZ911" s="889"/>
      <c r="BC911" s="890"/>
      <c r="BD911" s="952"/>
      <c r="BE911" s="75"/>
      <c r="BF911" s="572"/>
      <c r="BG911" s="983"/>
      <c r="BH911" s="222"/>
      <c r="BL911" s="889"/>
      <c r="BO911" s="223"/>
    </row>
    <row r="912" spans="1:67" s="74" customFormat="1">
      <c r="A912" s="15"/>
      <c r="B912" s="15"/>
      <c r="C912" s="15"/>
      <c r="D912" s="15"/>
      <c r="E912" s="6"/>
      <c r="F912" s="6"/>
      <c r="G912" s="6"/>
      <c r="K912" s="223"/>
      <c r="M912" s="889"/>
      <c r="P912" s="890"/>
      <c r="T912" s="889"/>
      <c r="X912" s="15"/>
      <c r="Y912" s="1935"/>
      <c r="Z912" s="1086"/>
      <c r="AA912" s="230"/>
      <c r="AB912" s="230"/>
      <c r="AC912" s="1936"/>
      <c r="AD912" s="230"/>
      <c r="AE912" s="230"/>
      <c r="AF912" s="230"/>
      <c r="AG912" s="890"/>
      <c r="AJ912" s="890"/>
      <c r="AN912" s="223"/>
      <c r="AO912" s="952"/>
      <c r="AP912" s="1066"/>
      <c r="AQ912" s="972"/>
      <c r="AR912" s="1917"/>
      <c r="AS912" s="222"/>
      <c r="AZ912" s="889"/>
      <c r="BC912" s="890"/>
      <c r="BD912" s="952"/>
      <c r="BE912" s="75"/>
      <c r="BF912" s="572"/>
      <c r="BG912" s="983"/>
      <c r="BH912" s="222"/>
      <c r="BL912" s="889"/>
      <c r="BO912" s="223"/>
    </row>
    <row r="913" spans="1:67" s="74" customFormat="1">
      <c r="A913" s="15"/>
      <c r="B913" s="15"/>
      <c r="C913" s="15"/>
      <c r="D913" s="15"/>
      <c r="E913" s="6"/>
      <c r="F913" s="6"/>
      <c r="G913" s="6"/>
      <c r="K913" s="223"/>
      <c r="M913" s="889"/>
      <c r="P913" s="890"/>
      <c r="T913" s="889"/>
      <c r="X913" s="15"/>
      <c r="Y913" s="1935"/>
      <c r="Z913" s="1086"/>
      <c r="AA913" s="230"/>
      <c r="AB913" s="230"/>
      <c r="AC913" s="1936"/>
      <c r="AD913" s="230"/>
      <c r="AE913" s="230"/>
      <c r="AF913" s="230"/>
      <c r="AG913" s="890"/>
      <c r="AJ913" s="890"/>
      <c r="AN913" s="223"/>
      <c r="AO913" s="952"/>
      <c r="AP913" s="1066"/>
      <c r="AQ913" s="972"/>
      <c r="AR913" s="1917"/>
      <c r="AS913" s="222"/>
      <c r="AZ913" s="889"/>
      <c r="BC913" s="890"/>
      <c r="BD913" s="952"/>
      <c r="BE913" s="75"/>
      <c r="BF913" s="572"/>
      <c r="BG913" s="983"/>
      <c r="BH913" s="222"/>
      <c r="BL913" s="889"/>
      <c r="BO913" s="223"/>
    </row>
    <row r="914" spans="1:67" s="74" customFormat="1">
      <c r="A914" s="15"/>
      <c r="B914" s="15"/>
      <c r="C914" s="15"/>
      <c r="D914" s="15"/>
      <c r="E914" s="6"/>
      <c r="F914" s="6"/>
      <c r="G914" s="6"/>
      <c r="K914" s="223"/>
      <c r="M914" s="889"/>
      <c r="P914" s="890"/>
      <c r="T914" s="889"/>
      <c r="X914" s="15"/>
      <c r="Y914" s="1935"/>
      <c r="Z914" s="1086"/>
      <c r="AA914" s="230"/>
      <c r="AB914" s="230"/>
      <c r="AC914" s="1936"/>
      <c r="AD914" s="230"/>
      <c r="AE914" s="230"/>
      <c r="AF914" s="230"/>
      <c r="AG914" s="890"/>
      <c r="AJ914" s="890"/>
      <c r="AN914" s="223"/>
      <c r="AO914" s="952"/>
      <c r="AP914" s="1066"/>
      <c r="AQ914" s="972"/>
      <c r="AR914" s="1917"/>
      <c r="AS914" s="222"/>
      <c r="AZ914" s="889"/>
      <c r="BC914" s="890"/>
      <c r="BD914" s="952"/>
      <c r="BE914" s="75"/>
      <c r="BF914" s="572"/>
      <c r="BG914" s="983"/>
      <c r="BH914" s="222"/>
      <c r="BL914" s="889"/>
      <c r="BO914" s="223"/>
    </row>
    <row r="915" spans="1:67" s="74" customFormat="1">
      <c r="A915" s="15"/>
      <c r="B915" s="15"/>
      <c r="C915" s="15"/>
      <c r="D915" s="15"/>
      <c r="E915" s="6"/>
      <c r="F915" s="6"/>
      <c r="G915" s="6"/>
      <c r="K915" s="223"/>
      <c r="M915" s="889"/>
      <c r="P915" s="890"/>
      <c r="T915" s="889"/>
      <c r="X915" s="15"/>
      <c r="Y915" s="1935"/>
      <c r="Z915" s="1086"/>
      <c r="AA915" s="230"/>
      <c r="AB915" s="230"/>
      <c r="AC915" s="1936"/>
      <c r="AD915" s="230"/>
      <c r="AE915" s="230"/>
      <c r="AF915" s="230"/>
      <c r="AG915" s="890"/>
      <c r="AJ915" s="890"/>
      <c r="AN915" s="223"/>
      <c r="AO915" s="952"/>
      <c r="AP915" s="1066"/>
      <c r="AQ915" s="972"/>
      <c r="AR915" s="1917"/>
      <c r="AS915" s="222"/>
      <c r="AZ915" s="889"/>
      <c r="BC915" s="890"/>
      <c r="BD915" s="952"/>
      <c r="BE915" s="75"/>
      <c r="BF915" s="572"/>
      <c r="BG915" s="983"/>
      <c r="BH915" s="222"/>
      <c r="BL915" s="889"/>
      <c r="BO915" s="223"/>
    </row>
    <row r="916" spans="1:67" s="74" customFormat="1">
      <c r="A916" s="15"/>
      <c r="B916" s="15"/>
      <c r="C916" s="15"/>
      <c r="D916" s="15"/>
      <c r="E916" s="6"/>
      <c r="F916" s="6"/>
      <c r="G916" s="6"/>
      <c r="K916" s="223"/>
      <c r="M916" s="889"/>
      <c r="P916" s="890"/>
      <c r="T916" s="889"/>
      <c r="X916" s="15"/>
      <c r="Y916" s="1935"/>
      <c r="Z916" s="1086"/>
      <c r="AA916" s="230"/>
      <c r="AB916" s="230"/>
      <c r="AC916" s="1936"/>
      <c r="AD916" s="230"/>
      <c r="AE916" s="230"/>
      <c r="AF916" s="230"/>
      <c r="AG916" s="890"/>
      <c r="AJ916" s="890"/>
      <c r="AN916" s="223"/>
      <c r="AO916" s="952"/>
      <c r="AP916" s="1066"/>
      <c r="AQ916" s="972"/>
      <c r="AR916" s="1917"/>
      <c r="AS916" s="222"/>
      <c r="AZ916" s="889"/>
      <c r="BC916" s="890"/>
      <c r="BD916" s="952"/>
      <c r="BE916" s="75"/>
      <c r="BF916" s="572"/>
      <c r="BG916" s="983"/>
      <c r="BH916" s="222"/>
      <c r="BL916" s="889"/>
      <c r="BO916" s="223"/>
    </row>
    <row r="917" spans="1:67" s="74" customFormat="1">
      <c r="A917" s="15"/>
      <c r="B917" s="15"/>
      <c r="C917" s="15"/>
      <c r="D917" s="15"/>
      <c r="E917" s="6"/>
      <c r="F917" s="6"/>
      <c r="G917" s="6"/>
      <c r="K917" s="223"/>
      <c r="M917" s="889"/>
      <c r="P917" s="890"/>
      <c r="T917" s="889"/>
      <c r="X917" s="15"/>
      <c r="Y917" s="1935"/>
      <c r="Z917" s="1086"/>
      <c r="AA917" s="230"/>
      <c r="AB917" s="230"/>
      <c r="AC917" s="1936"/>
      <c r="AD917" s="230"/>
      <c r="AE917" s="230"/>
      <c r="AF917" s="230"/>
      <c r="AG917" s="890"/>
      <c r="AJ917" s="890"/>
      <c r="AN917" s="223"/>
      <c r="AO917" s="952"/>
      <c r="AP917" s="1066"/>
      <c r="AQ917" s="972"/>
      <c r="AR917" s="1917"/>
      <c r="AS917" s="222"/>
      <c r="AZ917" s="889"/>
      <c r="BC917" s="890"/>
      <c r="BD917" s="952"/>
      <c r="BE917" s="75"/>
      <c r="BF917" s="572"/>
      <c r="BG917" s="983"/>
      <c r="BH917" s="222"/>
      <c r="BL917" s="889"/>
      <c r="BO917" s="223"/>
    </row>
    <row r="918" spans="1:67" s="74" customFormat="1">
      <c r="A918" s="15"/>
      <c r="B918" s="15"/>
      <c r="C918" s="15"/>
      <c r="D918" s="15"/>
      <c r="E918" s="6"/>
      <c r="F918" s="6"/>
      <c r="G918" s="6"/>
      <c r="K918" s="223"/>
      <c r="M918" s="889"/>
      <c r="P918" s="890"/>
      <c r="T918" s="889"/>
      <c r="X918" s="15"/>
      <c r="Y918" s="1935"/>
      <c r="Z918" s="1086"/>
      <c r="AA918" s="230"/>
      <c r="AB918" s="230"/>
      <c r="AC918" s="1936"/>
      <c r="AD918" s="230"/>
      <c r="AE918" s="230"/>
      <c r="AF918" s="230"/>
      <c r="AG918" s="890"/>
      <c r="AJ918" s="890"/>
      <c r="AN918" s="223"/>
      <c r="AO918" s="952"/>
      <c r="AP918" s="1066"/>
      <c r="AQ918" s="972"/>
      <c r="AR918" s="1917"/>
      <c r="AS918" s="222"/>
      <c r="AZ918" s="889"/>
      <c r="BC918" s="890"/>
      <c r="BD918" s="952"/>
      <c r="BE918" s="75"/>
      <c r="BF918" s="572"/>
      <c r="BG918" s="983"/>
      <c r="BH918" s="222"/>
      <c r="BL918" s="889"/>
      <c r="BO918" s="223"/>
    </row>
    <row r="919" spans="1:67" s="74" customFormat="1">
      <c r="A919" s="15"/>
      <c r="B919" s="15"/>
      <c r="C919" s="15"/>
      <c r="D919" s="15"/>
      <c r="E919" s="6"/>
      <c r="F919" s="6"/>
      <c r="G919" s="6"/>
      <c r="K919" s="223"/>
      <c r="M919" s="889"/>
      <c r="P919" s="890"/>
      <c r="T919" s="889"/>
      <c r="X919" s="15"/>
      <c r="Y919" s="1935"/>
      <c r="Z919" s="1086"/>
      <c r="AA919" s="230"/>
      <c r="AB919" s="230"/>
      <c r="AC919" s="1936"/>
      <c r="AD919" s="230"/>
      <c r="AE919" s="230"/>
      <c r="AF919" s="230"/>
      <c r="AG919" s="890"/>
      <c r="AJ919" s="890"/>
      <c r="AN919" s="223"/>
      <c r="AO919" s="952"/>
      <c r="AP919" s="1066"/>
      <c r="AQ919" s="972"/>
      <c r="AR919" s="1917"/>
      <c r="AS919" s="222"/>
      <c r="AZ919" s="889"/>
      <c r="BC919" s="890"/>
      <c r="BD919" s="952"/>
      <c r="BE919" s="75"/>
      <c r="BF919" s="572"/>
      <c r="BG919" s="983"/>
      <c r="BH919" s="222"/>
      <c r="BL919" s="889"/>
      <c r="BO919" s="223"/>
    </row>
    <row r="920" spans="1:67" s="74" customFormat="1">
      <c r="A920" s="15"/>
      <c r="B920" s="15"/>
      <c r="C920" s="15"/>
      <c r="D920" s="15"/>
      <c r="E920" s="6"/>
      <c r="F920" s="6"/>
      <c r="G920" s="6"/>
      <c r="K920" s="223"/>
      <c r="M920" s="889"/>
      <c r="P920" s="890"/>
      <c r="T920" s="889"/>
      <c r="X920" s="15"/>
      <c r="Y920" s="1935"/>
      <c r="Z920" s="1086"/>
      <c r="AA920" s="230"/>
      <c r="AB920" s="230"/>
      <c r="AC920" s="1936"/>
      <c r="AD920" s="230"/>
      <c r="AE920" s="230"/>
      <c r="AF920" s="230"/>
      <c r="AG920" s="890"/>
      <c r="AJ920" s="890"/>
      <c r="AN920" s="223"/>
      <c r="AO920" s="952"/>
      <c r="AP920" s="1066"/>
      <c r="AQ920" s="972"/>
      <c r="AR920" s="1917"/>
      <c r="AS920" s="222"/>
      <c r="AZ920" s="889"/>
      <c r="BC920" s="890"/>
      <c r="BD920" s="952"/>
      <c r="BE920" s="75"/>
      <c r="BF920" s="572"/>
      <c r="BG920" s="983"/>
      <c r="BH920" s="222"/>
      <c r="BL920" s="889"/>
      <c r="BO920" s="223"/>
    </row>
    <row r="921" spans="1:67" s="74" customFormat="1">
      <c r="A921" s="15"/>
      <c r="B921" s="15"/>
      <c r="C921" s="15"/>
      <c r="D921" s="15"/>
      <c r="E921" s="6"/>
      <c r="F921" s="6"/>
      <c r="G921" s="6"/>
      <c r="K921" s="223"/>
      <c r="M921" s="889"/>
      <c r="P921" s="890"/>
      <c r="T921" s="889"/>
      <c r="X921" s="15"/>
      <c r="Y921" s="1935"/>
      <c r="Z921" s="1086"/>
      <c r="AA921" s="230"/>
      <c r="AB921" s="230"/>
      <c r="AC921" s="1936"/>
      <c r="AD921" s="230"/>
      <c r="AE921" s="230"/>
      <c r="AF921" s="230"/>
      <c r="AG921" s="890"/>
      <c r="AJ921" s="890"/>
      <c r="AN921" s="223"/>
      <c r="AO921" s="952"/>
      <c r="AP921" s="1066"/>
      <c r="AQ921" s="972"/>
      <c r="AR921" s="1917"/>
      <c r="AS921" s="222"/>
      <c r="AZ921" s="889"/>
      <c r="BC921" s="890"/>
      <c r="BD921" s="952"/>
      <c r="BE921" s="75"/>
      <c r="BF921" s="572"/>
      <c r="BG921" s="983"/>
      <c r="BH921" s="222"/>
      <c r="BL921" s="889"/>
      <c r="BO921" s="223"/>
    </row>
    <row r="922" spans="1:67" s="74" customFormat="1">
      <c r="A922" s="15"/>
      <c r="B922" s="15"/>
      <c r="C922" s="15"/>
      <c r="D922" s="15"/>
      <c r="E922" s="6"/>
      <c r="F922" s="6"/>
      <c r="G922" s="6"/>
      <c r="K922" s="223"/>
      <c r="M922" s="889"/>
      <c r="P922" s="890"/>
      <c r="T922" s="889"/>
      <c r="X922" s="15"/>
      <c r="Y922" s="1935"/>
      <c r="Z922" s="1086"/>
      <c r="AA922" s="230"/>
      <c r="AB922" s="230"/>
      <c r="AC922" s="1936"/>
      <c r="AD922" s="230"/>
      <c r="AE922" s="230"/>
      <c r="AF922" s="230"/>
      <c r="AG922" s="890"/>
      <c r="AJ922" s="890"/>
      <c r="AN922" s="223"/>
      <c r="AO922" s="952"/>
      <c r="AP922" s="1066"/>
      <c r="AQ922" s="972"/>
      <c r="AR922" s="1917"/>
      <c r="AS922" s="222"/>
      <c r="AZ922" s="889"/>
      <c r="BC922" s="890"/>
      <c r="BD922" s="952"/>
      <c r="BE922" s="75"/>
      <c r="BF922" s="572"/>
      <c r="BG922" s="983"/>
      <c r="BH922" s="222"/>
      <c r="BL922" s="889"/>
      <c r="BO922" s="223"/>
    </row>
    <row r="923" spans="1:67" s="74" customFormat="1">
      <c r="A923" s="15"/>
      <c r="B923" s="15"/>
      <c r="C923" s="15"/>
      <c r="D923" s="15"/>
      <c r="E923" s="6"/>
      <c r="F923" s="6"/>
      <c r="G923" s="6"/>
      <c r="K923" s="223"/>
      <c r="M923" s="889"/>
      <c r="P923" s="890"/>
      <c r="T923" s="889"/>
      <c r="X923" s="15"/>
      <c r="Y923" s="1935"/>
      <c r="Z923" s="1086"/>
      <c r="AA923" s="230"/>
      <c r="AB923" s="230"/>
      <c r="AC923" s="1936"/>
      <c r="AD923" s="230"/>
      <c r="AE923" s="230"/>
      <c r="AF923" s="230"/>
      <c r="AG923" s="890"/>
      <c r="AJ923" s="890"/>
      <c r="AN923" s="223"/>
      <c r="AO923" s="952"/>
      <c r="AP923" s="1066"/>
      <c r="AQ923" s="972"/>
      <c r="AR923" s="1917"/>
      <c r="AS923" s="222"/>
      <c r="AZ923" s="889"/>
      <c r="BC923" s="890"/>
      <c r="BD923" s="952"/>
      <c r="BE923" s="75"/>
      <c r="BF923" s="572"/>
      <c r="BG923" s="983"/>
      <c r="BH923" s="222"/>
      <c r="BL923" s="889"/>
      <c r="BO923" s="223"/>
    </row>
    <row r="924" spans="1:67" s="74" customFormat="1">
      <c r="A924" s="15"/>
      <c r="B924" s="15"/>
      <c r="C924" s="15"/>
      <c r="D924" s="15"/>
      <c r="E924" s="6"/>
      <c r="F924" s="6"/>
      <c r="G924" s="6"/>
      <c r="K924" s="223"/>
      <c r="M924" s="889"/>
      <c r="P924" s="890"/>
      <c r="T924" s="889"/>
      <c r="X924" s="15"/>
      <c r="Y924" s="1935"/>
      <c r="Z924" s="1086"/>
      <c r="AA924" s="230"/>
      <c r="AB924" s="230"/>
      <c r="AC924" s="1936"/>
      <c r="AD924" s="230"/>
      <c r="AE924" s="230"/>
      <c r="AF924" s="230"/>
      <c r="AG924" s="890"/>
      <c r="AJ924" s="890"/>
      <c r="AN924" s="223"/>
      <c r="AO924" s="952"/>
      <c r="AP924" s="1066"/>
      <c r="AQ924" s="972"/>
      <c r="AR924" s="1917"/>
      <c r="AS924" s="222"/>
      <c r="AZ924" s="889"/>
      <c r="BC924" s="890"/>
      <c r="BD924" s="952"/>
      <c r="BE924" s="75"/>
      <c r="BF924" s="572"/>
      <c r="BG924" s="983"/>
      <c r="BH924" s="222"/>
      <c r="BL924" s="889"/>
      <c r="BO924" s="223"/>
    </row>
    <row r="925" spans="1:67" s="74" customFormat="1">
      <c r="A925" s="15"/>
      <c r="B925" s="15"/>
      <c r="C925" s="15"/>
      <c r="D925" s="15"/>
      <c r="E925" s="6"/>
      <c r="F925" s="6"/>
      <c r="G925" s="6"/>
      <c r="K925" s="223"/>
      <c r="M925" s="889"/>
      <c r="P925" s="890"/>
      <c r="T925" s="889"/>
      <c r="X925" s="15"/>
      <c r="Y925" s="1935"/>
      <c r="Z925" s="1086"/>
      <c r="AA925" s="230"/>
      <c r="AB925" s="230"/>
      <c r="AC925" s="1936"/>
      <c r="AD925" s="230"/>
      <c r="AE925" s="230"/>
      <c r="AF925" s="230"/>
      <c r="AG925" s="890"/>
      <c r="AJ925" s="890"/>
      <c r="AN925" s="223"/>
      <c r="AO925" s="952"/>
      <c r="AP925" s="1066"/>
      <c r="AQ925" s="972"/>
      <c r="AR925" s="1917"/>
      <c r="AS925" s="222"/>
      <c r="AZ925" s="889"/>
      <c r="BC925" s="890"/>
      <c r="BD925" s="952"/>
      <c r="BE925" s="75"/>
      <c r="BF925" s="572"/>
      <c r="BG925" s="983"/>
      <c r="BH925" s="222"/>
      <c r="BL925" s="889"/>
      <c r="BO925" s="223"/>
    </row>
    <row r="926" spans="1:67" s="74" customFormat="1">
      <c r="A926" s="15"/>
      <c r="B926" s="15"/>
      <c r="C926" s="15"/>
      <c r="D926" s="15"/>
      <c r="E926" s="6"/>
      <c r="F926" s="6"/>
      <c r="G926" s="6"/>
      <c r="K926" s="223"/>
      <c r="M926" s="889"/>
      <c r="P926" s="890"/>
      <c r="T926" s="889"/>
      <c r="X926" s="15"/>
      <c r="Y926" s="1935"/>
      <c r="Z926" s="1086"/>
      <c r="AA926" s="230"/>
      <c r="AB926" s="230"/>
      <c r="AC926" s="1936"/>
      <c r="AD926" s="230"/>
      <c r="AE926" s="230"/>
      <c r="AF926" s="230"/>
      <c r="AG926" s="890"/>
      <c r="AJ926" s="890"/>
      <c r="AN926" s="223"/>
      <c r="AO926" s="952"/>
      <c r="AP926" s="1066"/>
      <c r="AQ926" s="972"/>
      <c r="AR926" s="1917"/>
      <c r="AS926" s="222"/>
      <c r="AZ926" s="889"/>
      <c r="BC926" s="890"/>
      <c r="BD926" s="952"/>
      <c r="BE926" s="75"/>
      <c r="BF926" s="572"/>
      <c r="BG926" s="983"/>
      <c r="BH926" s="222"/>
      <c r="BL926" s="889"/>
      <c r="BO926" s="223"/>
    </row>
    <row r="927" spans="1:67" s="74" customFormat="1">
      <c r="A927" s="15"/>
      <c r="B927" s="15"/>
      <c r="C927" s="15"/>
      <c r="D927" s="15"/>
      <c r="E927" s="6"/>
      <c r="F927" s="6"/>
      <c r="G927" s="6"/>
      <c r="K927" s="223"/>
      <c r="M927" s="889"/>
      <c r="P927" s="890"/>
      <c r="T927" s="889"/>
      <c r="X927" s="15"/>
      <c r="Y927" s="1935"/>
      <c r="Z927" s="1086"/>
      <c r="AA927" s="230"/>
      <c r="AB927" s="230"/>
      <c r="AC927" s="1936"/>
      <c r="AD927" s="230"/>
      <c r="AE927" s="230"/>
      <c r="AF927" s="230"/>
      <c r="AG927" s="890"/>
      <c r="AJ927" s="890"/>
      <c r="AN927" s="223"/>
      <c r="AO927" s="952"/>
      <c r="AP927" s="1066"/>
      <c r="AQ927" s="972"/>
      <c r="AR927" s="1917"/>
      <c r="AS927" s="222"/>
      <c r="AZ927" s="889"/>
      <c r="BC927" s="890"/>
      <c r="BD927" s="952"/>
      <c r="BE927" s="75"/>
      <c r="BF927" s="572"/>
      <c r="BG927" s="983"/>
      <c r="BH927" s="222"/>
      <c r="BL927" s="889"/>
      <c r="BO927" s="223"/>
    </row>
    <row r="928" spans="1:67" s="74" customFormat="1">
      <c r="A928" s="15"/>
      <c r="B928" s="15"/>
      <c r="C928" s="15"/>
      <c r="D928" s="15"/>
      <c r="E928" s="6"/>
      <c r="F928" s="6"/>
      <c r="G928" s="6"/>
      <c r="K928" s="223"/>
      <c r="M928" s="889"/>
      <c r="P928" s="890"/>
      <c r="T928" s="889"/>
      <c r="X928" s="15"/>
      <c r="Y928" s="1935"/>
      <c r="Z928" s="1086"/>
      <c r="AA928" s="230"/>
      <c r="AB928" s="230"/>
      <c r="AC928" s="1936"/>
      <c r="AD928" s="230"/>
      <c r="AE928" s="230"/>
      <c r="AF928" s="230"/>
      <c r="AG928" s="890"/>
      <c r="AJ928" s="890"/>
      <c r="AN928" s="223"/>
      <c r="AO928" s="952"/>
      <c r="AP928" s="1066"/>
      <c r="AQ928" s="972"/>
      <c r="AR928" s="1917"/>
      <c r="AS928" s="222"/>
      <c r="AZ928" s="889"/>
      <c r="BC928" s="890"/>
      <c r="BD928" s="952"/>
      <c r="BE928" s="75"/>
      <c r="BF928" s="572"/>
      <c r="BG928" s="983"/>
      <c r="BH928" s="222"/>
      <c r="BL928" s="889"/>
      <c r="BO928" s="223"/>
    </row>
    <row r="929" spans="1:67" s="74" customFormat="1">
      <c r="A929" s="15"/>
      <c r="B929" s="15"/>
      <c r="C929" s="15"/>
      <c r="D929" s="15"/>
      <c r="E929" s="6"/>
      <c r="F929" s="6"/>
      <c r="G929" s="6"/>
      <c r="K929" s="223"/>
      <c r="M929" s="889"/>
      <c r="P929" s="890"/>
      <c r="T929" s="889"/>
      <c r="X929" s="15"/>
      <c r="Y929" s="1935"/>
      <c r="Z929" s="1086"/>
      <c r="AA929" s="230"/>
      <c r="AB929" s="230"/>
      <c r="AC929" s="1936"/>
      <c r="AD929" s="230"/>
      <c r="AE929" s="230"/>
      <c r="AF929" s="230"/>
      <c r="AG929" s="890"/>
      <c r="AJ929" s="890"/>
      <c r="AN929" s="223"/>
      <c r="AO929" s="952"/>
      <c r="AP929" s="1066"/>
      <c r="AQ929" s="972"/>
      <c r="AR929" s="1917"/>
      <c r="AS929" s="222"/>
      <c r="AZ929" s="889"/>
      <c r="BC929" s="890"/>
      <c r="BD929" s="952"/>
      <c r="BE929" s="75"/>
      <c r="BF929" s="572"/>
      <c r="BG929" s="983"/>
      <c r="BH929" s="222"/>
      <c r="BL929" s="889"/>
      <c r="BO929" s="223"/>
    </row>
    <row r="930" spans="1:67" s="74" customFormat="1">
      <c r="A930" s="15"/>
      <c r="B930" s="15"/>
      <c r="C930" s="15"/>
      <c r="D930" s="15"/>
      <c r="E930" s="6"/>
      <c r="F930" s="6"/>
      <c r="G930" s="6"/>
      <c r="K930" s="223"/>
      <c r="M930" s="889"/>
      <c r="P930" s="890"/>
      <c r="T930" s="889"/>
      <c r="X930" s="15"/>
      <c r="Y930" s="1935"/>
      <c r="Z930" s="1086"/>
      <c r="AA930" s="230"/>
      <c r="AB930" s="230"/>
      <c r="AC930" s="1936"/>
      <c r="AD930" s="230"/>
      <c r="AE930" s="230"/>
      <c r="AF930" s="230"/>
      <c r="AG930" s="890"/>
      <c r="AJ930" s="890"/>
      <c r="AN930" s="223"/>
      <c r="AO930" s="952"/>
      <c r="AP930" s="1066"/>
      <c r="AQ930" s="972"/>
      <c r="AR930" s="1917"/>
      <c r="AS930" s="222"/>
      <c r="AZ930" s="889"/>
      <c r="BC930" s="890"/>
      <c r="BD930" s="952"/>
      <c r="BE930" s="75"/>
      <c r="BF930" s="572"/>
      <c r="BG930" s="983"/>
      <c r="BH930" s="222"/>
      <c r="BL930" s="889"/>
      <c r="BO930" s="223"/>
    </row>
    <row r="931" spans="1:67" s="74" customFormat="1">
      <c r="A931" s="15"/>
      <c r="B931" s="15"/>
      <c r="C931" s="15"/>
      <c r="D931" s="15"/>
      <c r="E931" s="6"/>
      <c r="F931" s="6"/>
      <c r="G931" s="6"/>
      <c r="K931" s="223"/>
      <c r="M931" s="889"/>
      <c r="P931" s="890"/>
      <c r="T931" s="889"/>
      <c r="X931" s="15"/>
      <c r="Y931" s="1935"/>
      <c r="Z931" s="1086"/>
      <c r="AA931" s="230"/>
      <c r="AB931" s="230"/>
      <c r="AC931" s="1936"/>
      <c r="AD931" s="230"/>
      <c r="AE931" s="230"/>
      <c r="AF931" s="230"/>
      <c r="AG931" s="890"/>
      <c r="AJ931" s="890"/>
      <c r="AN931" s="223"/>
      <c r="AO931" s="952"/>
      <c r="AP931" s="1066"/>
      <c r="AQ931" s="972"/>
      <c r="AR931" s="1917"/>
      <c r="AS931" s="222"/>
      <c r="AZ931" s="889"/>
      <c r="BC931" s="890"/>
      <c r="BD931" s="952"/>
      <c r="BE931" s="75"/>
      <c r="BF931" s="572"/>
      <c r="BG931" s="983"/>
      <c r="BH931" s="222"/>
      <c r="BL931" s="889"/>
      <c r="BO931" s="223"/>
    </row>
    <row r="932" spans="1:67" s="74" customFormat="1">
      <c r="A932" s="15"/>
      <c r="B932" s="15"/>
      <c r="C932" s="15"/>
      <c r="D932" s="15"/>
      <c r="E932" s="6"/>
      <c r="F932" s="6"/>
      <c r="G932" s="6"/>
      <c r="K932" s="223"/>
      <c r="M932" s="889"/>
      <c r="P932" s="890"/>
      <c r="T932" s="889"/>
      <c r="X932" s="15"/>
      <c r="Y932" s="1935"/>
      <c r="Z932" s="1086"/>
      <c r="AA932" s="230"/>
      <c r="AB932" s="230"/>
      <c r="AC932" s="1936"/>
      <c r="AD932" s="230"/>
      <c r="AE932" s="230"/>
      <c r="AF932" s="230"/>
      <c r="AG932" s="890"/>
      <c r="AJ932" s="890"/>
      <c r="AN932" s="223"/>
      <c r="AO932" s="952"/>
      <c r="AP932" s="1066"/>
      <c r="AQ932" s="972"/>
      <c r="AR932" s="1917"/>
      <c r="AS932" s="222"/>
      <c r="AZ932" s="889"/>
      <c r="BC932" s="890"/>
      <c r="BD932" s="952"/>
      <c r="BE932" s="75"/>
      <c r="BF932" s="572"/>
      <c r="BG932" s="983"/>
      <c r="BH932" s="222"/>
      <c r="BL932" s="889"/>
      <c r="BO932" s="223"/>
    </row>
    <row r="933" spans="1:67" s="74" customFormat="1">
      <c r="A933" s="15"/>
      <c r="B933" s="15"/>
      <c r="C933" s="15"/>
      <c r="D933" s="15"/>
      <c r="E933" s="6"/>
      <c r="F933" s="6"/>
      <c r="G933" s="6"/>
      <c r="K933" s="223"/>
      <c r="M933" s="889"/>
      <c r="P933" s="890"/>
      <c r="T933" s="889"/>
      <c r="X933" s="15"/>
      <c r="Y933" s="1935"/>
      <c r="Z933" s="1086"/>
      <c r="AA933" s="230"/>
      <c r="AB933" s="230"/>
      <c r="AC933" s="1936"/>
      <c r="AD933" s="230"/>
      <c r="AE933" s="230"/>
      <c r="AF933" s="230"/>
      <c r="AG933" s="890"/>
      <c r="AJ933" s="890"/>
      <c r="AN933" s="223"/>
      <c r="AO933" s="952"/>
      <c r="AP933" s="1066"/>
      <c r="AQ933" s="972"/>
      <c r="AR933" s="1917"/>
      <c r="AS933" s="222"/>
      <c r="AZ933" s="889"/>
      <c r="BC933" s="890"/>
      <c r="BD933" s="952"/>
      <c r="BE933" s="75"/>
      <c r="BF933" s="572"/>
      <c r="BG933" s="983"/>
      <c r="BH933" s="222"/>
      <c r="BL933" s="889"/>
      <c r="BO933" s="223"/>
    </row>
    <row r="934" spans="1:67" s="74" customFormat="1">
      <c r="A934" s="15"/>
      <c r="B934" s="15"/>
      <c r="C934" s="15"/>
      <c r="D934" s="15"/>
      <c r="E934" s="6"/>
      <c r="F934" s="6"/>
      <c r="G934" s="6"/>
      <c r="K934" s="223"/>
      <c r="M934" s="889"/>
      <c r="P934" s="890"/>
      <c r="T934" s="889"/>
      <c r="X934" s="15"/>
      <c r="Y934" s="1935"/>
      <c r="Z934" s="1086"/>
      <c r="AA934" s="230"/>
      <c r="AB934" s="230"/>
      <c r="AC934" s="1936"/>
      <c r="AD934" s="230"/>
      <c r="AE934" s="230"/>
      <c r="AF934" s="230"/>
      <c r="AG934" s="890"/>
      <c r="AJ934" s="890"/>
      <c r="AN934" s="223"/>
      <c r="AO934" s="952"/>
      <c r="AP934" s="1066"/>
      <c r="AQ934" s="972"/>
      <c r="AR934" s="1917"/>
      <c r="AS934" s="222"/>
      <c r="AZ934" s="889"/>
      <c r="BC934" s="890"/>
      <c r="BD934" s="952"/>
      <c r="BE934" s="75"/>
      <c r="BF934" s="572"/>
      <c r="BG934" s="983"/>
      <c r="BH934" s="222"/>
      <c r="BL934" s="889"/>
      <c r="BO934" s="223"/>
    </row>
    <row r="935" spans="1:67" s="74" customFormat="1">
      <c r="A935" s="15"/>
      <c r="B935" s="15"/>
      <c r="C935" s="15"/>
      <c r="D935" s="15"/>
      <c r="E935" s="6"/>
      <c r="F935" s="6"/>
      <c r="G935" s="6"/>
      <c r="K935" s="223"/>
      <c r="M935" s="889"/>
      <c r="P935" s="890"/>
      <c r="T935" s="889"/>
      <c r="X935" s="15"/>
      <c r="Y935" s="1935"/>
      <c r="Z935" s="1086"/>
      <c r="AA935" s="230"/>
      <c r="AB935" s="230"/>
      <c r="AC935" s="1936"/>
      <c r="AD935" s="230"/>
      <c r="AE935" s="230"/>
      <c r="AF935" s="230"/>
      <c r="AG935" s="890"/>
      <c r="AJ935" s="890"/>
      <c r="AN935" s="223"/>
      <c r="AO935" s="952"/>
      <c r="AP935" s="1066"/>
      <c r="AQ935" s="972"/>
      <c r="AR935" s="1917"/>
      <c r="AS935" s="222"/>
      <c r="AZ935" s="889"/>
      <c r="BC935" s="890"/>
      <c r="BD935" s="952"/>
      <c r="BE935" s="75"/>
      <c r="BF935" s="572"/>
      <c r="BG935" s="983"/>
      <c r="BH935" s="222"/>
      <c r="BL935" s="889"/>
      <c r="BO935" s="223"/>
    </row>
    <row r="936" spans="1:67" s="74" customFormat="1">
      <c r="A936" s="15"/>
      <c r="B936" s="15"/>
      <c r="C936" s="15"/>
      <c r="D936" s="15"/>
      <c r="E936" s="6"/>
      <c r="F936" s="6"/>
      <c r="G936" s="6"/>
      <c r="K936" s="223"/>
      <c r="M936" s="889"/>
      <c r="P936" s="890"/>
      <c r="T936" s="889"/>
      <c r="X936" s="15"/>
      <c r="Y936" s="1935"/>
      <c r="Z936" s="1086"/>
      <c r="AA936" s="230"/>
      <c r="AB936" s="230"/>
      <c r="AC936" s="1936"/>
      <c r="AD936" s="230"/>
      <c r="AE936" s="230"/>
      <c r="AF936" s="230"/>
      <c r="AG936" s="890"/>
      <c r="AJ936" s="890"/>
      <c r="AN936" s="223"/>
      <c r="AO936" s="952"/>
      <c r="AP936" s="1066"/>
      <c r="AQ936" s="972"/>
      <c r="AR936" s="1917"/>
      <c r="AS936" s="222"/>
      <c r="AZ936" s="889"/>
      <c r="BC936" s="890"/>
      <c r="BD936" s="952"/>
      <c r="BE936" s="75"/>
      <c r="BF936" s="572"/>
      <c r="BG936" s="983"/>
      <c r="BH936" s="222"/>
      <c r="BL936" s="889"/>
      <c r="BO936" s="223"/>
    </row>
    <row r="937" spans="1:67" s="74" customFormat="1">
      <c r="A937" s="15"/>
      <c r="B937" s="15"/>
      <c r="C937" s="15"/>
      <c r="D937" s="15"/>
      <c r="E937" s="6"/>
      <c r="F937" s="6"/>
      <c r="G937" s="6"/>
      <c r="K937" s="223"/>
      <c r="M937" s="889"/>
      <c r="P937" s="890"/>
      <c r="T937" s="889"/>
      <c r="X937" s="15"/>
      <c r="Y937" s="1935"/>
      <c r="Z937" s="1086"/>
      <c r="AA937" s="230"/>
      <c r="AB937" s="230"/>
      <c r="AC937" s="1936"/>
      <c r="AD937" s="230"/>
      <c r="AE937" s="230"/>
      <c r="AF937" s="230"/>
      <c r="AG937" s="890"/>
      <c r="AJ937" s="890"/>
      <c r="AN937" s="223"/>
      <c r="AO937" s="952"/>
      <c r="AP937" s="1066"/>
      <c r="AQ937" s="972"/>
      <c r="AR937" s="1917"/>
      <c r="AS937" s="222"/>
      <c r="AZ937" s="889"/>
      <c r="BC937" s="890"/>
      <c r="BD937" s="952"/>
      <c r="BE937" s="75"/>
      <c r="BF937" s="572"/>
      <c r="BG937" s="983"/>
      <c r="BH937" s="222"/>
      <c r="BL937" s="889"/>
      <c r="BO937" s="223"/>
    </row>
    <row r="938" spans="1:67" s="74" customFormat="1">
      <c r="A938" s="15"/>
      <c r="B938" s="15"/>
      <c r="C938" s="15"/>
      <c r="D938" s="15"/>
      <c r="E938" s="6"/>
      <c r="F938" s="6"/>
      <c r="G938" s="6"/>
      <c r="K938" s="223"/>
      <c r="M938" s="889"/>
      <c r="P938" s="890"/>
      <c r="T938" s="889"/>
      <c r="X938" s="15"/>
      <c r="Y938" s="1935"/>
      <c r="Z938" s="1086"/>
      <c r="AA938" s="230"/>
      <c r="AB938" s="230"/>
      <c r="AC938" s="1936"/>
      <c r="AD938" s="230"/>
      <c r="AE938" s="230"/>
      <c r="AF938" s="230"/>
      <c r="AG938" s="890"/>
      <c r="AJ938" s="890"/>
      <c r="AN938" s="223"/>
      <c r="AO938" s="952"/>
      <c r="AP938" s="1066"/>
      <c r="AQ938" s="972"/>
      <c r="AR938" s="1917"/>
      <c r="AS938" s="222"/>
      <c r="AZ938" s="889"/>
      <c r="BC938" s="890"/>
      <c r="BD938" s="952"/>
      <c r="BE938" s="75"/>
      <c r="BF938" s="572"/>
      <c r="BG938" s="983"/>
      <c r="BH938" s="222"/>
      <c r="BL938" s="889"/>
      <c r="BO938" s="223"/>
    </row>
    <row r="939" spans="1:67" s="74" customFormat="1">
      <c r="A939" s="15"/>
      <c r="B939" s="15"/>
      <c r="C939" s="15"/>
      <c r="D939" s="15"/>
      <c r="E939" s="6"/>
      <c r="F939" s="6"/>
      <c r="G939" s="6"/>
      <c r="K939" s="223"/>
      <c r="M939" s="889"/>
      <c r="P939" s="890"/>
      <c r="T939" s="889"/>
      <c r="X939" s="15"/>
      <c r="Y939" s="1935"/>
      <c r="Z939" s="1086"/>
      <c r="AA939" s="230"/>
      <c r="AB939" s="230"/>
      <c r="AC939" s="1936"/>
      <c r="AD939" s="230"/>
      <c r="AE939" s="230"/>
      <c r="AF939" s="230"/>
      <c r="AG939" s="890"/>
      <c r="AJ939" s="890"/>
      <c r="AN939" s="223"/>
      <c r="AO939" s="952"/>
      <c r="AP939" s="1066"/>
      <c r="AQ939" s="972"/>
      <c r="AR939" s="1917"/>
      <c r="AS939" s="222"/>
      <c r="AZ939" s="889"/>
      <c r="BC939" s="890"/>
      <c r="BD939" s="952"/>
      <c r="BE939" s="75"/>
      <c r="BF939" s="572"/>
      <c r="BG939" s="983"/>
      <c r="BH939" s="222"/>
      <c r="BL939" s="889"/>
      <c r="BO939" s="223"/>
    </row>
    <row r="940" spans="1:67" s="74" customFormat="1">
      <c r="A940" s="15"/>
      <c r="B940" s="15"/>
      <c r="C940" s="15"/>
      <c r="D940" s="15"/>
      <c r="E940" s="6"/>
      <c r="F940" s="6"/>
      <c r="G940" s="6"/>
      <c r="K940" s="223"/>
      <c r="M940" s="889"/>
      <c r="P940" s="890"/>
      <c r="T940" s="889"/>
      <c r="X940" s="15"/>
      <c r="Y940" s="1935"/>
      <c r="Z940" s="1086"/>
      <c r="AA940" s="230"/>
      <c r="AB940" s="230"/>
      <c r="AC940" s="1936"/>
      <c r="AD940" s="230"/>
      <c r="AE940" s="230"/>
      <c r="AF940" s="230"/>
      <c r="AG940" s="890"/>
      <c r="AJ940" s="890"/>
      <c r="AN940" s="223"/>
      <c r="AO940" s="952"/>
      <c r="AP940" s="1066"/>
      <c r="AQ940" s="972"/>
      <c r="AR940" s="1917"/>
      <c r="AS940" s="222"/>
      <c r="AZ940" s="889"/>
      <c r="BC940" s="890"/>
      <c r="BD940" s="952"/>
      <c r="BE940" s="75"/>
      <c r="BF940" s="572"/>
      <c r="BG940" s="983"/>
      <c r="BH940" s="222"/>
      <c r="BL940" s="889"/>
      <c r="BO940" s="223"/>
    </row>
    <row r="941" spans="1:67" s="74" customFormat="1">
      <c r="A941" s="15"/>
      <c r="B941" s="15"/>
      <c r="C941" s="15"/>
      <c r="D941" s="15"/>
      <c r="E941" s="6"/>
      <c r="F941" s="6"/>
      <c r="G941" s="6"/>
      <c r="K941" s="223"/>
      <c r="M941" s="889"/>
      <c r="P941" s="890"/>
      <c r="T941" s="889"/>
      <c r="X941" s="15"/>
      <c r="Y941" s="1935"/>
      <c r="Z941" s="1086"/>
      <c r="AA941" s="230"/>
      <c r="AB941" s="230"/>
      <c r="AC941" s="1936"/>
      <c r="AD941" s="230"/>
      <c r="AE941" s="230"/>
      <c r="AF941" s="230"/>
      <c r="AG941" s="890"/>
      <c r="AJ941" s="890"/>
      <c r="AN941" s="223"/>
      <c r="AO941" s="952"/>
      <c r="AP941" s="1066"/>
      <c r="AQ941" s="972"/>
      <c r="AR941" s="1917"/>
      <c r="AS941" s="222"/>
      <c r="AZ941" s="889"/>
      <c r="BC941" s="890"/>
      <c r="BD941" s="952"/>
      <c r="BE941" s="75"/>
      <c r="BF941" s="572"/>
      <c r="BG941" s="983"/>
      <c r="BH941" s="222"/>
      <c r="BL941" s="889"/>
      <c r="BO941" s="223"/>
    </row>
    <row r="942" spans="1:67" s="74" customFormat="1">
      <c r="A942" s="15"/>
      <c r="B942" s="15"/>
      <c r="C942" s="15"/>
      <c r="D942" s="15"/>
      <c r="E942" s="6"/>
      <c r="F942" s="6"/>
      <c r="G942" s="6"/>
      <c r="K942" s="223"/>
      <c r="M942" s="889"/>
      <c r="P942" s="890"/>
      <c r="T942" s="889"/>
      <c r="X942" s="15"/>
      <c r="Y942" s="1935"/>
      <c r="Z942" s="1086"/>
      <c r="AA942" s="230"/>
      <c r="AB942" s="230"/>
      <c r="AC942" s="1936"/>
      <c r="AD942" s="230"/>
      <c r="AE942" s="230"/>
      <c r="AF942" s="230"/>
      <c r="AG942" s="890"/>
      <c r="AJ942" s="890"/>
      <c r="AN942" s="223"/>
      <c r="AO942" s="952"/>
      <c r="AP942" s="1066"/>
      <c r="AQ942" s="972"/>
      <c r="AR942" s="1917"/>
      <c r="AS942" s="222"/>
      <c r="AZ942" s="889"/>
      <c r="BC942" s="890"/>
      <c r="BD942" s="952"/>
      <c r="BE942" s="75"/>
      <c r="BF942" s="572"/>
      <c r="BG942" s="983"/>
      <c r="BH942" s="222"/>
      <c r="BL942" s="889"/>
      <c r="BO942" s="223"/>
    </row>
    <row r="943" spans="1:67" s="74" customFormat="1">
      <c r="A943" s="15"/>
      <c r="B943" s="15"/>
      <c r="C943" s="15"/>
      <c r="D943" s="15"/>
      <c r="E943" s="6"/>
      <c r="F943" s="6"/>
      <c r="G943" s="6"/>
      <c r="K943" s="223"/>
      <c r="M943" s="889"/>
      <c r="P943" s="890"/>
      <c r="T943" s="889"/>
      <c r="X943" s="15"/>
      <c r="Y943" s="1935"/>
      <c r="Z943" s="1086"/>
      <c r="AA943" s="230"/>
      <c r="AB943" s="230"/>
      <c r="AC943" s="1936"/>
      <c r="AD943" s="230"/>
      <c r="AE943" s="230"/>
      <c r="AF943" s="230"/>
      <c r="AG943" s="890"/>
      <c r="AJ943" s="890"/>
      <c r="AN943" s="223"/>
      <c r="AO943" s="952"/>
      <c r="AP943" s="1066"/>
      <c r="AQ943" s="972"/>
      <c r="AR943" s="1917"/>
      <c r="AS943" s="222"/>
      <c r="AZ943" s="889"/>
      <c r="BC943" s="890"/>
      <c r="BD943" s="952"/>
      <c r="BE943" s="75"/>
      <c r="BF943" s="572"/>
      <c r="BG943" s="983"/>
      <c r="BH943" s="222"/>
      <c r="BL943" s="889"/>
      <c r="BO943" s="223"/>
    </row>
    <row r="944" spans="1:67" s="74" customFormat="1">
      <c r="A944" s="15"/>
      <c r="B944" s="15"/>
      <c r="C944" s="15"/>
      <c r="D944" s="15"/>
      <c r="E944" s="6"/>
      <c r="F944" s="6"/>
      <c r="G944" s="6"/>
      <c r="K944" s="223"/>
      <c r="M944" s="889"/>
      <c r="P944" s="890"/>
      <c r="T944" s="889"/>
      <c r="X944" s="15"/>
      <c r="Y944" s="1935"/>
      <c r="Z944" s="1086"/>
      <c r="AA944" s="230"/>
      <c r="AB944" s="230"/>
      <c r="AC944" s="1936"/>
      <c r="AD944" s="230"/>
      <c r="AE944" s="230"/>
      <c r="AF944" s="230"/>
      <c r="AG944" s="890"/>
      <c r="AJ944" s="890"/>
      <c r="AN944" s="223"/>
      <c r="AO944" s="952"/>
      <c r="AP944" s="1066"/>
      <c r="AQ944" s="972"/>
      <c r="AR944" s="1917"/>
      <c r="AS944" s="222"/>
      <c r="AZ944" s="889"/>
      <c r="BC944" s="890"/>
      <c r="BD944" s="952"/>
      <c r="BE944" s="75"/>
      <c r="BF944" s="572"/>
      <c r="BG944" s="983"/>
      <c r="BH944" s="222"/>
      <c r="BL944" s="889"/>
      <c r="BO944" s="223"/>
    </row>
    <row r="945" spans="1:67" s="74" customFormat="1">
      <c r="A945" s="15"/>
      <c r="B945" s="15"/>
      <c r="C945" s="15"/>
      <c r="D945" s="15"/>
      <c r="E945" s="6"/>
      <c r="F945" s="6"/>
      <c r="G945" s="6"/>
      <c r="K945" s="223"/>
      <c r="M945" s="889"/>
      <c r="P945" s="890"/>
      <c r="T945" s="889"/>
      <c r="X945" s="15"/>
      <c r="Y945" s="1935"/>
      <c r="Z945" s="1086"/>
      <c r="AA945" s="230"/>
      <c r="AB945" s="230"/>
      <c r="AC945" s="1936"/>
      <c r="AD945" s="230"/>
      <c r="AE945" s="230"/>
      <c r="AF945" s="230"/>
      <c r="AG945" s="890"/>
      <c r="AJ945" s="890"/>
      <c r="AN945" s="223"/>
      <c r="AO945" s="952"/>
      <c r="AP945" s="1066"/>
      <c r="AQ945" s="972"/>
      <c r="AR945" s="1917"/>
      <c r="AS945" s="222"/>
      <c r="AZ945" s="889"/>
      <c r="BC945" s="890"/>
      <c r="BD945" s="952"/>
      <c r="BE945" s="75"/>
      <c r="BF945" s="572"/>
      <c r="BG945" s="983"/>
      <c r="BH945" s="222"/>
      <c r="BL945" s="889"/>
      <c r="BO945" s="223"/>
    </row>
    <row r="946" spans="1:67" s="74" customFormat="1">
      <c r="A946" s="15"/>
      <c r="B946" s="15"/>
      <c r="C946" s="15"/>
      <c r="D946" s="15"/>
      <c r="E946" s="6"/>
      <c r="F946" s="6"/>
      <c r="G946" s="6"/>
      <c r="K946" s="223"/>
      <c r="M946" s="889"/>
      <c r="P946" s="890"/>
      <c r="T946" s="889"/>
      <c r="X946" s="15"/>
      <c r="Y946" s="1935"/>
      <c r="Z946" s="1086"/>
      <c r="AA946" s="230"/>
      <c r="AB946" s="230"/>
      <c r="AC946" s="1936"/>
      <c r="AD946" s="230"/>
      <c r="AE946" s="230"/>
      <c r="AF946" s="230"/>
      <c r="AG946" s="890"/>
      <c r="AJ946" s="890"/>
      <c r="AN946" s="223"/>
      <c r="AO946" s="952"/>
      <c r="AP946" s="1066"/>
      <c r="AQ946" s="972"/>
      <c r="AR946" s="1917"/>
      <c r="AS946" s="222"/>
      <c r="AZ946" s="889"/>
      <c r="BC946" s="890"/>
      <c r="BD946" s="952"/>
      <c r="BE946" s="75"/>
      <c r="BF946" s="572"/>
      <c r="BG946" s="983"/>
      <c r="BH946" s="222"/>
      <c r="BL946" s="889"/>
      <c r="BO946" s="223"/>
    </row>
    <row r="947" spans="1:67" s="74" customFormat="1">
      <c r="A947" s="15"/>
      <c r="B947" s="15"/>
      <c r="C947" s="15"/>
      <c r="D947" s="15"/>
      <c r="E947" s="6"/>
      <c r="F947" s="6"/>
      <c r="G947" s="6"/>
      <c r="K947" s="223"/>
      <c r="M947" s="889"/>
      <c r="P947" s="890"/>
      <c r="T947" s="889"/>
      <c r="X947" s="15"/>
      <c r="Y947" s="1935"/>
      <c r="Z947" s="1086"/>
      <c r="AA947" s="230"/>
      <c r="AB947" s="230"/>
      <c r="AC947" s="1936"/>
      <c r="AD947" s="230"/>
      <c r="AE947" s="230"/>
      <c r="AF947" s="230"/>
      <c r="AG947" s="890"/>
      <c r="AJ947" s="890"/>
      <c r="AN947" s="223"/>
      <c r="AO947" s="952"/>
      <c r="AP947" s="1066"/>
      <c r="AQ947" s="972"/>
      <c r="AR947" s="1917"/>
      <c r="AS947" s="222"/>
      <c r="AZ947" s="889"/>
      <c r="BC947" s="890"/>
      <c r="BD947" s="952"/>
      <c r="BE947" s="75"/>
      <c r="BF947" s="572"/>
      <c r="BG947" s="983"/>
      <c r="BH947" s="222"/>
      <c r="BL947" s="889"/>
      <c r="BO947" s="223"/>
    </row>
    <row r="948" spans="1:67" s="74" customFormat="1">
      <c r="A948" s="15"/>
      <c r="B948" s="15"/>
      <c r="C948" s="15"/>
      <c r="D948" s="15"/>
      <c r="E948" s="6"/>
      <c r="F948" s="6"/>
      <c r="G948" s="6"/>
      <c r="K948" s="223"/>
      <c r="M948" s="889"/>
      <c r="P948" s="890"/>
      <c r="T948" s="889"/>
      <c r="X948" s="15"/>
      <c r="Y948" s="1935"/>
      <c r="Z948" s="1086"/>
      <c r="AA948" s="230"/>
      <c r="AB948" s="230"/>
      <c r="AC948" s="1936"/>
      <c r="AD948" s="230"/>
      <c r="AE948" s="230"/>
      <c r="AF948" s="230"/>
      <c r="AG948" s="890"/>
      <c r="AJ948" s="890"/>
      <c r="AN948" s="223"/>
      <c r="AO948" s="952"/>
      <c r="AP948" s="1066"/>
      <c r="AQ948" s="972"/>
      <c r="AR948" s="1917"/>
      <c r="AS948" s="222"/>
      <c r="AZ948" s="889"/>
      <c r="BC948" s="890"/>
      <c r="BD948" s="952"/>
      <c r="BE948" s="75"/>
      <c r="BF948" s="572"/>
      <c r="BG948" s="983"/>
      <c r="BH948" s="222"/>
      <c r="BL948" s="889"/>
      <c r="BO948" s="223"/>
    </row>
    <row r="949" spans="1:67" s="74" customFormat="1">
      <c r="A949" s="15"/>
      <c r="B949" s="15"/>
      <c r="C949" s="15"/>
      <c r="D949" s="15"/>
      <c r="E949" s="6"/>
      <c r="F949" s="6"/>
      <c r="G949" s="6"/>
      <c r="K949" s="223"/>
      <c r="M949" s="889"/>
      <c r="P949" s="890"/>
      <c r="T949" s="889"/>
      <c r="X949" s="15"/>
      <c r="Y949" s="1935"/>
      <c r="Z949" s="1086"/>
      <c r="AA949" s="230"/>
      <c r="AB949" s="230"/>
      <c r="AC949" s="1936"/>
      <c r="AD949" s="230"/>
      <c r="AE949" s="230"/>
      <c r="AF949" s="230"/>
      <c r="AG949" s="890"/>
      <c r="AJ949" s="890"/>
      <c r="AN949" s="223"/>
      <c r="AO949" s="952"/>
      <c r="AP949" s="1066"/>
      <c r="AQ949" s="972"/>
      <c r="AR949" s="1917"/>
      <c r="AS949" s="222"/>
      <c r="AZ949" s="889"/>
      <c r="BC949" s="890"/>
      <c r="BD949" s="952"/>
      <c r="BE949" s="75"/>
      <c r="BF949" s="572"/>
      <c r="BG949" s="983"/>
      <c r="BH949" s="222"/>
      <c r="BL949" s="889"/>
      <c r="BO949" s="223"/>
    </row>
    <row r="950" spans="1:67" s="74" customFormat="1">
      <c r="A950" s="15"/>
      <c r="B950" s="15"/>
      <c r="C950" s="15"/>
      <c r="D950" s="15"/>
      <c r="E950" s="6"/>
      <c r="F950" s="6"/>
      <c r="G950" s="6"/>
      <c r="K950" s="223"/>
      <c r="M950" s="889"/>
      <c r="P950" s="890"/>
      <c r="T950" s="889"/>
      <c r="X950" s="15"/>
      <c r="Y950" s="1935"/>
      <c r="Z950" s="1086"/>
      <c r="AA950" s="230"/>
      <c r="AB950" s="230"/>
      <c r="AC950" s="1936"/>
      <c r="AD950" s="230"/>
      <c r="AE950" s="230"/>
      <c r="AF950" s="230"/>
      <c r="AG950" s="890"/>
      <c r="AJ950" s="890"/>
      <c r="AN950" s="223"/>
      <c r="AO950" s="952"/>
      <c r="AP950" s="1066"/>
      <c r="AQ950" s="972"/>
      <c r="AR950" s="1917"/>
      <c r="AS950" s="222"/>
      <c r="AZ950" s="889"/>
      <c r="BC950" s="890"/>
      <c r="BD950" s="952"/>
      <c r="BE950" s="75"/>
      <c r="BF950" s="572"/>
      <c r="BG950" s="983"/>
      <c r="BH950" s="222"/>
      <c r="BL950" s="889"/>
      <c r="BO950" s="223"/>
    </row>
    <row r="951" spans="1:67" s="74" customFormat="1">
      <c r="A951" s="15"/>
      <c r="B951" s="15"/>
      <c r="C951" s="15"/>
      <c r="D951" s="15"/>
      <c r="E951" s="6"/>
      <c r="F951" s="6"/>
      <c r="G951" s="6"/>
      <c r="K951" s="223"/>
      <c r="M951" s="889"/>
      <c r="P951" s="890"/>
      <c r="T951" s="889"/>
      <c r="X951" s="15"/>
      <c r="Y951" s="1935"/>
      <c r="Z951" s="1086"/>
      <c r="AA951" s="230"/>
      <c r="AB951" s="230"/>
      <c r="AC951" s="1936"/>
      <c r="AD951" s="230"/>
      <c r="AE951" s="230"/>
      <c r="AF951" s="230"/>
      <c r="AG951" s="890"/>
      <c r="AJ951" s="890"/>
      <c r="AN951" s="223"/>
      <c r="AO951" s="952"/>
      <c r="AP951" s="1066"/>
      <c r="AQ951" s="972"/>
      <c r="AR951" s="1917"/>
      <c r="AS951" s="222"/>
      <c r="AZ951" s="889"/>
      <c r="BC951" s="890"/>
      <c r="BD951" s="952"/>
      <c r="BE951" s="75"/>
      <c r="BF951" s="572"/>
      <c r="BG951" s="983"/>
      <c r="BH951" s="222"/>
      <c r="BL951" s="889"/>
      <c r="BO951" s="223"/>
    </row>
    <row r="952" spans="1:67" s="74" customFormat="1">
      <c r="A952" s="15"/>
      <c r="B952" s="15"/>
      <c r="C952" s="15"/>
      <c r="D952" s="15"/>
      <c r="E952" s="6"/>
      <c r="F952" s="6"/>
      <c r="G952" s="6"/>
      <c r="K952" s="223"/>
      <c r="M952" s="889"/>
      <c r="P952" s="890"/>
      <c r="T952" s="889"/>
      <c r="X952" s="15"/>
      <c r="Y952" s="1935"/>
      <c r="Z952" s="1086"/>
      <c r="AA952" s="230"/>
      <c r="AB952" s="230"/>
      <c r="AC952" s="1936"/>
      <c r="AD952" s="230"/>
      <c r="AE952" s="230"/>
      <c r="AF952" s="230"/>
      <c r="AG952" s="890"/>
      <c r="AJ952" s="890"/>
      <c r="AN952" s="223"/>
      <c r="AO952" s="952"/>
      <c r="AP952" s="1066"/>
      <c r="AQ952" s="972"/>
      <c r="AR952" s="1917"/>
      <c r="AS952" s="222"/>
      <c r="AZ952" s="889"/>
      <c r="BC952" s="890"/>
      <c r="BD952" s="952"/>
      <c r="BE952" s="75"/>
      <c r="BF952" s="572"/>
      <c r="BG952" s="983"/>
      <c r="BH952" s="222"/>
      <c r="BL952" s="889"/>
      <c r="BO952" s="223"/>
    </row>
    <row r="953" spans="1:67" s="74" customFormat="1">
      <c r="A953" s="15"/>
      <c r="B953" s="15"/>
      <c r="C953" s="15"/>
      <c r="D953" s="15"/>
      <c r="E953" s="6"/>
      <c r="F953" s="6"/>
      <c r="G953" s="6"/>
      <c r="K953" s="223"/>
      <c r="M953" s="889"/>
      <c r="P953" s="890"/>
      <c r="T953" s="889"/>
      <c r="X953" s="15"/>
      <c r="Y953" s="1935"/>
      <c r="Z953" s="1086"/>
      <c r="AA953" s="230"/>
      <c r="AB953" s="230"/>
      <c r="AC953" s="1936"/>
      <c r="AD953" s="230"/>
      <c r="AE953" s="230"/>
      <c r="AF953" s="230"/>
      <c r="AG953" s="890"/>
      <c r="AJ953" s="890"/>
      <c r="AN953" s="223"/>
      <c r="AO953" s="952"/>
      <c r="AP953" s="1066"/>
      <c r="AQ953" s="972"/>
      <c r="AR953" s="1917"/>
      <c r="AS953" s="222"/>
      <c r="AZ953" s="889"/>
      <c r="BC953" s="890"/>
      <c r="BD953" s="952"/>
      <c r="BE953" s="75"/>
      <c r="BF953" s="572"/>
      <c r="BG953" s="983"/>
      <c r="BH953" s="222"/>
      <c r="BL953" s="889"/>
      <c r="BO953" s="223"/>
    </row>
    <row r="954" spans="1:67" s="74" customFormat="1">
      <c r="A954" s="15"/>
      <c r="B954" s="15"/>
      <c r="C954" s="15"/>
      <c r="D954" s="15"/>
      <c r="E954" s="6"/>
      <c r="F954" s="6"/>
      <c r="G954" s="6"/>
      <c r="K954" s="223"/>
      <c r="M954" s="889"/>
      <c r="P954" s="890"/>
      <c r="T954" s="889"/>
      <c r="X954" s="15"/>
      <c r="Y954" s="1935"/>
      <c r="Z954" s="1086"/>
      <c r="AA954" s="230"/>
      <c r="AB954" s="230"/>
      <c r="AC954" s="1936"/>
      <c r="AD954" s="230"/>
      <c r="AE954" s="230"/>
      <c r="AF954" s="230"/>
      <c r="AG954" s="890"/>
      <c r="AJ954" s="890"/>
      <c r="AN954" s="223"/>
      <c r="AO954" s="952"/>
      <c r="AP954" s="1066"/>
      <c r="AQ954" s="972"/>
      <c r="AR954" s="1917"/>
      <c r="AS954" s="222"/>
      <c r="AZ954" s="889"/>
      <c r="BC954" s="890"/>
      <c r="BD954" s="952"/>
      <c r="BE954" s="75"/>
      <c r="BF954" s="572"/>
      <c r="BG954" s="983"/>
      <c r="BH954" s="222"/>
      <c r="BL954" s="889"/>
      <c r="BO954" s="223"/>
    </row>
    <row r="955" spans="1:67" s="74" customFormat="1">
      <c r="A955" s="15"/>
      <c r="B955" s="15"/>
      <c r="C955" s="15"/>
      <c r="D955" s="15"/>
      <c r="E955" s="6"/>
      <c r="F955" s="6"/>
      <c r="G955" s="6"/>
      <c r="K955" s="223"/>
      <c r="M955" s="889"/>
      <c r="P955" s="890"/>
      <c r="T955" s="889"/>
      <c r="X955" s="15"/>
      <c r="Y955" s="1935"/>
      <c r="Z955" s="1086"/>
      <c r="AA955" s="230"/>
      <c r="AB955" s="230"/>
      <c r="AC955" s="1936"/>
      <c r="AD955" s="230"/>
      <c r="AE955" s="230"/>
      <c r="AF955" s="230"/>
      <c r="AG955" s="890"/>
      <c r="AJ955" s="890"/>
      <c r="AN955" s="223"/>
      <c r="AO955" s="952"/>
      <c r="AP955" s="1066"/>
      <c r="AQ955" s="972"/>
      <c r="AR955" s="1917"/>
      <c r="AS955" s="222"/>
      <c r="AZ955" s="889"/>
      <c r="BC955" s="890"/>
      <c r="BD955" s="952"/>
      <c r="BE955" s="75"/>
      <c r="BF955" s="572"/>
      <c r="BG955" s="983"/>
      <c r="BH955" s="222"/>
      <c r="BL955" s="889"/>
      <c r="BO955" s="223"/>
    </row>
    <row r="956" spans="1:67" s="74" customFormat="1">
      <c r="A956" s="15"/>
      <c r="B956" s="15"/>
      <c r="C956" s="15"/>
      <c r="D956" s="15"/>
      <c r="E956" s="6"/>
      <c r="F956" s="6"/>
      <c r="G956" s="6"/>
      <c r="K956" s="223"/>
      <c r="M956" s="889"/>
      <c r="P956" s="890"/>
      <c r="T956" s="889"/>
      <c r="X956" s="15"/>
      <c r="Y956" s="1935"/>
      <c r="Z956" s="1086"/>
      <c r="AA956" s="230"/>
      <c r="AB956" s="230"/>
      <c r="AC956" s="1936"/>
      <c r="AD956" s="230"/>
      <c r="AE956" s="230"/>
      <c r="AF956" s="230"/>
      <c r="AG956" s="890"/>
      <c r="AJ956" s="890"/>
      <c r="AN956" s="223"/>
      <c r="AO956" s="952"/>
      <c r="AP956" s="1066"/>
      <c r="AQ956" s="972"/>
      <c r="AR956" s="1917"/>
      <c r="AS956" s="222"/>
      <c r="AZ956" s="889"/>
      <c r="BC956" s="890"/>
      <c r="BD956" s="952"/>
      <c r="BE956" s="75"/>
      <c r="BF956" s="572"/>
      <c r="BG956" s="983"/>
      <c r="BH956" s="222"/>
      <c r="BL956" s="889"/>
      <c r="BO956" s="223"/>
    </row>
    <row r="957" spans="1:67" s="74" customFormat="1">
      <c r="A957" s="15"/>
      <c r="B957" s="15"/>
      <c r="C957" s="15"/>
      <c r="D957" s="15"/>
      <c r="E957" s="6"/>
      <c r="F957" s="6"/>
      <c r="G957" s="6"/>
      <c r="K957" s="223"/>
      <c r="M957" s="889"/>
      <c r="P957" s="890"/>
      <c r="T957" s="889"/>
      <c r="X957" s="15"/>
      <c r="Y957" s="1935"/>
      <c r="Z957" s="1086"/>
      <c r="AA957" s="230"/>
      <c r="AB957" s="230"/>
      <c r="AC957" s="1936"/>
      <c r="AD957" s="230"/>
      <c r="AE957" s="230"/>
      <c r="AF957" s="230"/>
      <c r="AG957" s="890"/>
      <c r="AJ957" s="890"/>
      <c r="AN957" s="223"/>
      <c r="AO957" s="952"/>
      <c r="AP957" s="1066"/>
      <c r="AQ957" s="972"/>
      <c r="AR957" s="1917"/>
      <c r="AS957" s="222"/>
      <c r="AZ957" s="889"/>
      <c r="BC957" s="890"/>
      <c r="BD957" s="952"/>
      <c r="BE957" s="75"/>
      <c r="BF957" s="572"/>
      <c r="BG957" s="983"/>
      <c r="BH957" s="222"/>
      <c r="BL957" s="889"/>
      <c r="BO957" s="223"/>
    </row>
    <row r="958" spans="1:67" s="74" customFormat="1">
      <c r="A958" s="15"/>
      <c r="B958" s="15"/>
      <c r="C958" s="15"/>
      <c r="D958" s="15"/>
      <c r="E958" s="6"/>
      <c r="F958" s="6"/>
      <c r="G958" s="6"/>
      <c r="K958" s="223"/>
      <c r="M958" s="889"/>
      <c r="P958" s="890"/>
      <c r="T958" s="889"/>
      <c r="X958" s="15"/>
      <c r="Y958" s="1935"/>
      <c r="Z958" s="1086"/>
      <c r="AA958" s="230"/>
      <c r="AB958" s="230"/>
      <c r="AC958" s="1936"/>
      <c r="AD958" s="230"/>
      <c r="AE958" s="230"/>
      <c r="AF958" s="230"/>
      <c r="AG958" s="890"/>
      <c r="AJ958" s="890"/>
      <c r="AN958" s="223"/>
      <c r="AO958" s="952"/>
      <c r="AP958" s="1066"/>
      <c r="AQ958" s="972"/>
      <c r="AR958" s="1917"/>
      <c r="AS958" s="222"/>
      <c r="AZ958" s="889"/>
      <c r="BC958" s="890"/>
      <c r="BD958" s="952"/>
      <c r="BE958" s="75"/>
      <c r="BF958" s="572"/>
      <c r="BG958" s="983"/>
      <c r="BH958" s="222"/>
      <c r="BL958" s="889"/>
      <c r="BO958" s="223"/>
    </row>
    <row r="959" spans="1:67" s="74" customFormat="1">
      <c r="A959" s="15"/>
      <c r="B959" s="15"/>
      <c r="C959" s="15"/>
      <c r="D959" s="15"/>
      <c r="E959" s="6"/>
      <c r="F959" s="6"/>
      <c r="G959" s="6"/>
      <c r="K959" s="223"/>
      <c r="M959" s="889"/>
      <c r="P959" s="890"/>
      <c r="T959" s="889"/>
      <c r="X959" s="15"/>
      <c r="Y959" s="1935"/>
      <c r="Z959" s="1086"/>
      <c r="AA959" s="230"/>
      <c r="AB959" s="230"/>
      <c r="AC959" s="1936"/>
      <c r="AD959" s="230"/>
      <c r="AE959" s="230"/>
      <c r="AF959" s="230"/>
      <c r="AG959" s="890"/>
      <c r="AJ959" s="890"/>
      <c r="AN959" s="223"/>
      <c r="AO959" s="952"/>
      <c r="AP959" s="1066"/>
      <c r="AQ959" s="972"/>
      <c r="AR959" s="1917"/>
      <c r="AS959" s="222"/>
      <c r="AZ959" s="889"/>
      <c r="BC959" s="890"/>
      <c r="BD959" s="952"/>
      <c r="BE959" s="75"/>
      <c r="BF959" s="572"/>
      <c r="BG959" s="983"/>
      <c r="BH959" s="222"/>
      <c r="BL959" s="889"/>
      <c r="BO959" s="223"/>
    </row>
    <row r="960" spans="1:67" s="74" customFormat="1">
      <c r="A960" s="15"/>
      <c r="B960" s="15"/>
      <c r="C960" s="15"/>
      <c r="D960" s="15"/>
      <c r="E960" s="6"/>
      <c r="F960" s="6"/>
      <c r="G960" s="6"/>
      <c r="K960" s="223"/>
      <c r="M960" s="889"/>
      <c r="P960" s="890"/>
      <c r="T960" s="889"/>
      <c r="X960" s="15"/>
      <c r="Y960" s="1935"/>
      <c r="Z960" s="1086"/>
      <c r="AA960" s="230"/>
      <c r="AB960" s="230"/>
      <c r="AC960" s="1936"/>
      <c r="AD960" s="230"/>
      <c r="AE960" s="230"/>
      <c r="AF960" s="230"/>
      <c r="AG960" s="890"/>
      <c r="AJ960" s="890"/>
      <c r="AN960" s="223"/>
      <c r="AO960" s="952"/>
      <c r="AP960" s="1066"/>
      <c r="AQ960" s="972"/>
      <c r="AR960" s="1917"/>
      <c r="AS960" s="222"/>
      <c r="AZ960" s="889"/>
      <c r="BC960" s="890"/>
      <c r="BD960" s="952"/>
      <c r="BE960" s="75"/>
      <c r="BF960" s="572"/>
      <c r="BG960" s="983"/>
      <c r="BH960" s="222"/>
      <c r="BL960" s="889"/>
      <c r="BO960" s="223"/>
    </row>
    <row r="961" spans="1:67" s="74" customFormat="1">
      <c r="A961" s="15"/>
      <c r="B961" s="15"/>
      <c r="C961" s="15"/>
      <c r="D961" s="15"/>
      <c r="E961" s="6"/>
      <c r="F961" s="6"/>
      <c r="G961" s="6"/>
      <c r="K961" s="223"/>
      <c r="M961" s="889"/>
      <c r="P961" s="890"/>
      <c r="T961" s="889"/>
      <c r="X961" s="15"/>
      <c r="Y961" s="1935"/>
      <c r="Z961" s="1086"/>
      <c r="AA961" s="230"/>
      <c r="AB961" s="230"/>
      <c r="AC961" s="1936"/>
      <c r="AD961" s="230"/>
      <c r="AE961" s="230"/>
      <c r="AF961" s="230"/>
      <c r="AG961" s="890"/>
      <c r="AJ961" s="890"/>
      <c r="AN961" s="223"/>
      <c r="AO961" s="952"/>
      <c r="AP961" s="1066"/>
      <c r="AQ961" s="972"/>
      <c r="AR961" s="1917"/>
      <c r="AS961" s="222"/>
      <c r="AZ961" s="889"/>
      <c r="BC961" s="890"/>
      <c r="BD961" s="952"/>
      <c r="BE961" s="75"/>
      <c r="BF961" s="572"/>
      <c r="BG961" s="983"/>
      <c r="BH961" s="222"/>
      <c r="BL961" s="889"/>
      <c r="BO961" s="223"/>
    </row>
    <row r="962" spans="1:67" s="74" customFormat="1">
      <c r="A962" s="15"/>
      <c r="B962" s="15"/>
      <c r="C962" s="15"/>
      <c r="D962" s="15"/>
      <c r="E962" s="6"/>
      <c r="F962" s="6"/>
      <c r="G962" s="6"/>
      <c r="K962" s="223"/>
      <c r="M962" s="889"/>
      <c r="P962" s="890"/>
      <c r="T962" s="889"/>
      <c r="X962" s="15"/>
      <c r="Y962" s="1935"/>
      <c r="Z962" s="1086"/>
      <c r="AA962" s="230"/>
      <c r="AB962" s="230"/>
      <c r="AC962" s="1936"/>
      <c r="AD962" s="230"/>
      <c r="AE962" s="230"/>
      <c r="AF962" s="230"/>
      <c r="AG962" s="890"/>
      <c r="AJ962" s="890"/>
      <c r="AN962" s="223"/>
      <c r="AO962" s="952"/>
      <c r="AP962" s="1066"/>
      <c r="AQ962" s="972"/>
      <c r="AR962" s="1917"/>
      <c r="AS962" s="222"/>
      <c r="AZ962" s="889"/>
      <c r="BC962" s="890"/>
      <c r="BD962" s="952"/>
      <c r="BE962" s="75"/>
      <c r="BF962" s="572"/>
      <c r="BG962" s="983"/>
      <c r="BH962" s="222"/>
      <c r="BL962" s="889"/>
      <c r="BO962" s="223"/>
    </row>
    <row r="963" spans="1:67" s="74" customFormat="1">
      <c r="A963" s="15"/>
      <c r="B963" s="15"/>
      <c r="C963" s="15"/>
      <c r="D963" s="15"/>
      <c r="E963" s="6"/>
      <c r="F963" s="6"/>
      <c r="G963" s="6"/>
      <c r="K963" s="223"/>
      <c r="M963" s="889"/>
      <c r="P963" s="890"/>
      <c r="T963" s="889"/>
      <c r="X963" s="15"/>
      <c r="Y963" s="1935"/>
      <c r="Z963" s="1086"/>
      <c r="AA963" s="230"/>
      <c r="AB963" s="230"/>
      <c r="AC963" s="1936"/>
      <c r="AD963" s="230"/>
      <c r="AE963" s="230"/>
      <c r="AF963" s="230"/>
      <c r="AG963" s="890"/>
      <c r="AJ963" s="890"/>
      <c r="AN963" s="223"/>
      <c r="AO963" s="952"/>
      <c r="AP963" s="1066"/>
      <c r="AQ963" s="972"/>
      <c r="AR963" s="1917"/>
      <c r="AS963" s="222"/>
      <c r="AZ963" s="889"/>
      <c r="BC963" s="890"/>
      <c r="BD963" s="952"/>
      <c r="BE963" s="75"/>
      <c r="BF963" s="572"/>
      <c r="BG963" s="983"/>
      <c r="BH963" s="222"/>
      <c r="BL963" s="889"/>
      <c r="BO963" s="223"/>
    </row>
    <row r="964" spans="1:67" s="74" customFormat="1">
      <c r="A964" s="15"/>
      <c r="B964" s="15"/>
      <c r="C964" s="15"/>
      <c r="D964" s="15"/>
      <c r="E964" s="6"/>
      <c r="F964" s="6"/>
      <c r="G964" s="6"/>
      <c r="K964" s="223"/>
      <c r="M964" s="889"/>
      <c r="P964" s="890"/>
      <c r="T964" s="889"/>
      <c r="X964" s="15"/>
      <c r="Y964" s="1935"/>
      <c r="Z964" s="1086"/>
      <c r="AA964" s="230"/>
      <c r="AB964" s="230"/>
      <c r="AC964" s="1936"/>
      <c r="AD964" s="230"/>
      <c r="AE964" s="230"/>
      <c r="AF964" s="230"/>
      <c r="AG964" s="890"/>
      <c r="AJ964" s="890"/>
      <c r="AN964" s="223"/>
      <c r="AO964" s="952"/>
      <c r="AP964" s="1066"/>
      <c r="AQ964" s="972"/>
      <c r="AR964" s="1917"/>
      <c r="AS964" s="222"/>
      <c r="AZ964" s="889"/>
      <c r="BC964" s="890"/>
      <c r="BD964" s="952"/>
      <c r="BE964" s="75"/>
      <c r="BF964" s="572"/>
      <c r="BG964" s="983"/>
      <c r="BH964" s="222"/>
      <c r="BL964" s="889"/>
      <c r="BO964" s="223"/>
    </row>
    <row r="965" spans="1:67" s="74" customFormat="1">
      <c r="A965" s="15"/>
      <c r="B965" s="15"/>
      <c r="C965" s="15"/>
      <c r="D965" s="15"/>
      <c r="E965" s="6"/>
      <c r="F965" s="6"/>
      <c r="G965" s="6"/>
      <c r="K965" s="223"/>
      <c r="M965" s="889"/>
      <c r="P965" s="890"/>
      <c r="T965" s="889"/>
      <c r="X965" s="15"/>
      <c r="Y965" s="1935"/>
      <c r="Z965" s="1086"/>
      <c r="AA965" s="230"/>
      <c r="AB965" s="230"/>
      <c r="AC965" s="1936"/>
      <c r="AD965" s="230"/>
      <c r="AE965" s="230"/>
      <c r="AF965" s="230"/>
      <c r="AG965" s="890"/>
      <c r="AJ965" s="890"/>
      <c r="AN965" s="223"/>
      <c r="AO965" s="952"/>
      <c r="AP965" s="1066"/>
      <c r="AQ965" s="972"/>
      <c r="AR965" s="1917"/>
      <c r="AS965" s="222"/>
      <c r="AZ965" s="889"/>
      <c r="BC965" s="890"/>
      <c r="BD965" s="952"/>
      <c r="BE965" s="75"/>
      <c r="BF965" s="572"/>
      <c r="BG965" s="983"/>
      <c r="BH965" s="222"/>
      <c r="BL965" s="889"/>
      <c r="BO965" s="223"/>
    </row>
    <row r="966" spans="1:67" s="74" customFormat="1">
      <c r="A966" s="15"/>
      <c r="B966" s="15"/>
      <c r="C966" s="15"/>
      <c r="D966" s="15"/>
      <c r="E966" s="6"/>
      <c r="F966" s="6"/>
      <c r="G966" s="6"/>
      <c r="K966" s="223"/>
      <c r="M966" s="889"/>
      <c r="P966" s="890"/>
      <c r="T966" s="889"/>
      <c r="X966" s="15"/>
      <c r="Y966" s="1935"/>
      <c r="Z966" s="1086"/>
      <c r="AA966" s="230"/>
      <c r="AB966" s="230"/>
      <c r="AC966" s="1936"/>
      <c r="AD966" s="230"/>
      <c r="AE966" s="230"/>
      <c r="AF966" s="230"/>
      <c r="AG966" s="890"/>
      <c r="AJ966" s="890"/>
      <c r="AN966" s="223"/>
      <c r="AO966" s="952"/>
      <c r="AP966" s="1066"/>
      <c r="AQ966" s="972"/>
      <c r="AR966" s="1917"/>
      <c r="AS966" s="222"/>
      <c r="AZ966" s="889"/>
      <c r="BC966" s="890"/>
      <c r="BD966" s="952"/>
      <c r="BE966" s="75"/>
      <c r="BF966" s="572"/>
      <c r="BG966" s="983"/>
      <c r="BH966" s="222"/>
      <c r="BL966" s="889"/>
      <c r="BO966" s="223"/>
    </row>
    <row r="967" spans="1:67" s="74" customFormat="1">
      <c r="A967" s="15"/>
      <c r="B967" s="15"/>
      <c r="C967" s="15"/>
      <c r="D967" s="15"/>
      <c r="E967" s="6"/>
      <c r="F967" s="6"/>
      <c r="G967" s="6"/>
      <c r="K967" s="223"/>
      <c r="M967" s="889"/>
      <c r="P967" s="890"/>
      <c r="T967" s="889"/>
      <c r="X967" s="15"/>
      <c r="Y967" s="1935"/>
      <c r="Z967" s="1086"/>
      <c r="AA967" s="230"/>
      <c r="AB967" s="230"/>
      <c r="AC967" s="1936"/>
      <c r="AD967" s="230"/>
      <c r="AE967" s="230"/>
      <c r="AF967" s="230"/>
      <c r="AG967" s="890"/>
      <c r="AJ967" s="890"/>
      <c r="AN967" s="223"/>
      <c r="AO967" s="952"/>
      <c r="AP967" s="1066"/>
      <c r="AQ967" s="972"/>
      <c r="AR967" s="1917"/>
      <c r="AS967" s="222"/>
      <c r="AZ967" s="889"/>
      <c r="BC967" s="890"/>
      <c r="BD967" s="952"/>
      <c r="BE967" s="75"/>
      <c r="BF967" s="572"/>
      <c r="BG967" s="983"/>
      <c r="BH967" s="222"/>
      <c r="BL967" s="889"/>
      <c r="BO967" s="223"/>
    </row>
    <row r="968" spans="1:67" s="74" customFormat="1">
      <c r="A968" s="15"/>
      <c r="B968" s="15"/>
      <c r="C968" s="15"/>
      <c r="D968" s="15"/>
      <c r="E968" s="6"/>
      <c r="F968" s="6"/>
      <c r="G968" s="6"/>
      <c r="K968" s="223"/>
      <c r="M968" s="889"/>
      <c r="P968" s="890"/>
      <c r="T968" s="889"/>
      <c r="X968" s="15"/>
      <c r="Y968" s="1935"/>
      <c r="Z968" s="1086"/>
      <c r="AA968" s="230"/>
      <c r="AB968" s="230"/>
      <c r="AC968" s="1936"/>
      <c r="AD968" s="230"/>
      <c r="AE968" s="230"/>
      <c r="AF968" s="230"/>
      <c r="AG968" s="890"/>
      <c r="AJ968" s="890"/>
      <c r="AN968" s="223"/>
      <c r="AO968" s="952"/>
      <c r="AP968" s="1066"/>
      <c r="AQ968" s="972"/>
      <c r="AR968" s="1917"/>
      <c r="AS968" s="222"/>
      <c r="AZ968" s="889"/>
      <c r="BC968" s="890"/>
      <c r="BD968" s="952"/>
      <c r="BE968" s="75"/>
      <c r="BF968" s="572"/>
      <c r="BG968" s="983"/>
      <c r="BH968" s="222"/>
      <c r="BL968" s="889"/>
      <c r="BO968" s="223"/>
    </row>
    <row r="969" spans="1:67" s="74" customFormat="1">
      <c r="A969" s="15"/>
      <c r="B969" s="15"/>
      <c r="C969" s="15"/>
      <c r="D969" s="15"/>
      <c r="E969" s="6"/>
      <c r="F969" s="6"/>
      <c r="G969" s="6"/>
      <c r="K969" s="223"/>
      <c r="M969" s="889"/>
      <c r="P969" s="890"/>
      <c r="T969" s="889"/>
      <c r="X969" s="15"/>
      <c r="Y969" s="1935"/>
      <c r="Z969" s="1086"/>
      <c r="AA969" s="230"/>
      <c r="AB969" s="230"/>
      <c r="AC969" s="1936"/>
      <c r="AD969" s="230"/>
      <c r="AE969" s="230"/>
      <c r="AF969" s="230"/>
      <c r="AG969" s="890"/>
      <c r="AJ969" s="890"/>
      <c r="AN969" s="223"/>
      <c r="AO969" s="952"/>
      <c r="AP969" s="1066"/>
      <c r="AQ969" s="972"/>
      <c r="AR969" s="1917"/>
      <c r="AS969" s="222"/>
      <c r="AZ969" s="889"/>
      <c r="BC969" s="890"/>
      <c r="BD969" s="952"/>
      <c r="BE969" s="75"/>
      <c r="BF969" s="572"/>
      <c r="BG969" s="983"/>
      <c r="BH969" s="222"/>
      <c r="BL969" s="889"/>
      <c r="BO969" s="223"/>
    </row>
    <row r="970" spans="1:67" s="74" customFormat="1">
      <c r="A970" s="15"/>
      <c r="B970" s="15"/>
      <c r="C970" s="15"/>
      <c r="D970" s="15"/>
      <c r="E970" s="6"/>
      <c r="F970" s="6"/>
      <c r="G970" s="6"/>
      <c r="K970" s="223"/>
      <c r="M970" s="889"/>
      <c r="P970" s="890"/>
      <c r="T970" s="889"/>
      <c r="X970" s="15"/>
      <c r="Y970" s="1935"/>
      <c r="Z970" s="1086"/>
      <c r="AA970" s="230"/>
      <c r="AB970" s="230"/>
      <c r="AC970" s="1936"/>
      <c r="AD970" s="230"/>
      <c r="AE970" s="230"/>
      <c r="AF970" s="230"/>
      <c r="AG970" s="890"/>
      <c r="AJ970" s="890"/>
      <c r="AN970" s="223"/>
      <c r="AO970" s="952"/>
      <c r="AP970" s="1066"/>
      <c r="AQ970" s="972"/>
      <c r="AR970" s="1917"/>
      <c r="AS970" s="222"/>
      <c r="AZ970" s="889"/>
      <c r="BC970" s="890"/>
      <c r="BD970" s="952"/>
      <c r="BE970" s="75"/>
      <c r="BF970" s="572"/>
      <c r="BG970" s="983"/>
      <c r="BH970" s="222"/>
      <c r="BL970" s="889"/>
      <c r="BO970" s="223"/>
    </row>
    <row r="971" spans="1:67" s="74" customFormat="1">
      <c r="A971" s="15"/>
      <c r="B971" s="15"/>
      <c r="C971" s="15"/>
      <c r="D971" s="15"/>
      <c r="E971" s="6"/>
      <c r="F971" s="6"/>
      <c r="G971" s="6"/>
      <c r="K971" s="223"/>
      <c r="M971" s="889"/>
      <c r="P971" s="890"/>
      <c r="T971" s="889"/>
      <c r="X971" s="15"/>
      <c r="Y971" s="1935"/>
      <c r="Z971" s="1086"/>
      <c r="AA971" s="230"/>
      <c r="AB971" s="230"/>
      <c r="AC971" s="1936"/>
      <c r="AD971" s="230"/>
      <c r="AE971" s="230"/>
      <c r="AF971" s="230"/>
      <c r="AG971" s="890"/>
      <c r="AJ971" s="890"/>
      <c r="AN971" s="223"/>
      <c r="AO971" s="952"/>
      <c r="AP971" s="1066"/>
      <c r="AQ971" s="972"/>
      <c r="AR971" s="1917"/>
      <c r="AS971" s="222"/>
      <c r="AZ971" s="889"/>
      <c r="BC971" s="890"/>
      <c r="BD971" s="952"/>
      <c r="BE971" s="75"/>
      <c r="BF971" s="572"/>
      <c r="BG971" s="983"/>
      <c r="BH971" s="222"/>
      <c r="BL971" s="889"/>
      <c r="BO971" s="223"/>
    </row>
    <row r="972" spans="1:67" s="74" customFormat="1">
      <c r="A972" s="15"/>
      <c r="B972" s="15"/>
      <c r="C972" s="15"/>
      <c r="D972" s="15"/>
      <c r="E972" s="6"/>
      <c r="F972" s="6"/>
      <c r="G972" s="6"/>
      <c r="K972" s="223"/>
      <c r="M972" s="889"/>
      <c r="P972" s="890"/>
      <c r="T972" s="889"/>
      <c r="X972" s="15"/>
      <c r="Y972" s="1935"/>
      <c r="Z972" s="1086"/>
      <c r="AA972" s="230"/>
      <c r="AB972" s="230"/>
      <c r="AC972" s="1936"/>
      <c r="AD972" s="230"/>
      <c r="AE972" s="230"/>
      <c r="AF972" s="230"/>
      <c r="AG972" s="890"/>
      <c r="AJ972" s="890"/>
      <c r="AN972" s="223"/>
      <c r="AO972" s="952"/>
      <c r="AP972" s="1066"/>
      <c r="AQ972" s="972"/>
      <c r="AR972" s="1917"/>
      <c r="AS972" s="222"/>
      <c r="AZ972" s="889"/>
      <c r="BC972" s="890"/>
      <c r="BD972" s="952"/>
      <c r="BE972" s="75"/>
      <c r="BF972" s="572"/>
      <c r="BG972" s="983"/>
      <c r="BH972" s="222"/>
      <c r="BL972" s="889"/>
      <c r="BO972" s="223"/>
    </row>
    <row r="973" spans="1:67" s="74" customFormat="1">
      <c r="A973" s="15"/>
      <c r="B973" s="15"/>
      <c r="C973" s="15"/>
      <c r="D973" s="15"/>
      <c r="E973" s="6"/>
      <c r="F973" s="6"/>
      <c r="G973" s="6"/>
      <c r="K973" s="223"/>
      <c r="M973" s="889"/>
      <c r="P973" s="890"/>
      <c r="T973" s="889"/>
      <c r="X973" s="15"/>
      <c r="Y973" s="1935"/>
      <c r="Z973" s="1086"/>
      <c r="AA973" s="230"/>
      <c r="AB973" s="230"/>
      <c r="AC973" s="1936"/>
      <c r="AD973" s="230"/>
      <c r="AE973" s="230"/>
      <c r="AF973" s="230"/>
      <c r="AG973" s="890"/>
      <c r="AJ973" s="890"/>
      <c r="AN973" s="223"/>
      <c r="AO973" s="952"/>
      <c r="AP973" s="1066"/>
      <c r="AQ973" s="972"/>
      <c r="AR973" s="1917"/>
      <c r="AS973" s="222"/>
      <c r="AZ973" s="889"/>
      <c r="BC973" s="890"/>
      <c r="BD973" s="952"/>
      <c r="BE973" s="75"/>
      <c r="BF973" s="572"/>
      <c r="BG973" s="983"/>
      <c r="BH973" s="222"/>
      <c r="BL973" s="889"/>
      <c r="BO973" s="223"/>
    </row>
    <row r="974" spans="1:67" s="74" customFormat="1">
      <c r="A974" s="15"/>
      <c r="B974" s="15"/>
      <c r="C974" s="15"/>
      <c r="D974" s="15"/>
      <c r="E974" s="6"/>
      <c r="F974" s="6"/>
      <c r="G974" s="6"/>
      <c r="K974" s="223"/>
      <c r="M974" s="889"/>
      <c r="P974" s="890"/>
      <c r="T974" s="889"/>
      <c r="X974" s="15"/>
      <c r="Y974" s="1935"/>
      <c r="Z974" s="1086"/>
      <c r="AA974" s="230"/>
      <c r="AB974" s="230"/>
      <c r="AC974" s="1936"/>
      <c r="AD974" s="230"/>
      <c r="AE974" s="230"/>
      <c r="AF974" s="230"/>
      <c r="AG974" s="890"/>
      <c r="AJ974" s="890"/>
      <c r="AN974" s="223"/>
      <c r="AO974" s="952"/>
      <c r="AP974" s="1066"/>
      <c r="AQ974" s="972"/>
      <c r="AR974" s="1917"/>
      <c r="AS974" s="222"/>
      <c r="AZ974" s="889"/>
      <c r="BC974" s="890"/>
      <c r="BD974" s="952"/>
      <c r="BE974" s="75"/>
      <c r="BF974" s="572"/>
      <c r="BG974" s="983"/>
      <c r="BH974" s="222"/>
      <c r="BL974" s="889"/>
      <c r="BO974" s="223"/>
    </row>
    <row r="975" spans="1:67" s="74" customFormat="1">
      <c r="A975" s="15"/>
      <c r="B975" s="15"/>
      <c r="C975" s="15"/>
      <c r="D975" s="15"/>
      <c r="E975" s="6"/>
      <c r="F975" s="6"/>
      <c r="G975" s="6"/>
      <c r="K975" s="223"/>
      <c r="M975" s="889"/>
      <c r="P975" s="890"/>
      <c r="T975" s="889"/>
      <c r="X975" s="15"/>
      <c r="Y975" s="1935"/>
      <c r="Z975" s="1086"/>
      <c r="AA975" s="230"/>
      <c r="AB975" s="230"/>
      <c r="AC975" s="1936"/>
      <c r="AD975" s="230"/>
      <c r="AE975" s="230"/>
      <c r="AF975" s="230"/>
      <c r="AG975" s="890"/>
      <c r="AJ975" s="890"/>
      <c r="AN975" s="223"/>
      <c r="AO975" s="952"/>
      <c r="AP975" s="1066"/>
      <c r="AQ975" s="972"/>
      <c r="AR975" s="1917"/>
      <c r="AS975" s="222"/>
      <c r="AZ975" s="889"/>
      <c r="BC975" s="890"/>
      <c r="BD975" s="952"/>
      <c r="BE975" s="75"/>
      <c r="BF975" s="572"/>
      <c r="BG975" s="983"/>
      <c r="BH975" s="222"/>
      <c r="BL975" s="889"/>
      <c r="BO975" s="223"/>
    </row>
    <row r="976" spans="1:67" s="74" customFormat="1">
      <c r="A976" s="15"/>
      <c r="B976" s="15"/>
      <c r="C976" s="15"/>
      <c r="D976" s="15"/>
      <c r="E976" s="6"/>
      <c r="F976" s="6"/>
      <c r="G976" s="6"/>
      <c r="K976" s="223"/>
      <c r="M976" s="889"/>
      <c r="P976" s="890"/>
      <c r="T976" s="889"/>
      <c r="X976" s="15"/>
      <c r="Y976" s="1935"/>
      <c r="Z976" s="1086"/>
      <c r="AA976" s="230"/>
      <c r="AB976" s="230"/>
      <c r="AC976" s="1936"/>
      <c r="AD976" s="230"/>
      <c r="AE976" s="230"/>
      <c r="AF976" s="230"/>
      <c r="AG976" s="890"/>
      <c r="AJ976" s="890"/>
      <c r="AN976" s="223"/>
      <c r="AO976" s="952"/>
      <c r="AP976" s="1066"/>
      <c r="AQ976" s="972"/>
      <c r="AR976" s="1917"/>
      <c r="AS976" s="222"/>
      <c r="AZ976" s="889"/>
      <c r="BC976" s="890"/>
      <c r="BD976" s="952"/>
      <c r="BE976" s="75"/>
      <c r="BF976" s="572"/>
      <c r="BG976" s="983"/>
      <c r="BH976" s="222"/>
      <c r="BL976" s="889"/>
      <c r="BO976" s="223"/>
    </row>
    <row r="977" spans="1:67" s="74" customFormat="1">
      <c r="A977" s="15"/>
      <c r="B977" s="15"/>
      <c r="C977" s="15"/>
      <c r="D977" s="15"/>
      <c r="E977" s="6"/>
      <c r="F977" s="6"/>
      <c r="G977" s="6"/>
      <c r="K977" s="223"/>
      <c r="M977" s="889"/>
      <c r="P977" s="890"/>
      <c r="T977" s="889"/>
      <c r="X977" s="15"/>
      <c r="Y977" s="1935"/>
      <c r="Z977" s="1086"/>
      <c r="AA977" s="230"/>
      <c r="AB977" s="230"/>
      <c r="AC977" s="1936"/>
      <c r="AD977" s="230"/>
      <c r="AE977" s="230"/>
      <c r="AF977" s="230"/>
      <c r="AG977" s="890"/>
      <c r="AJ977" s="890"/>
      <c r="AN977" s="223"/>
      <c r="AO977" s="952"/>
      <c r="AP977" s="1066"/>
      <c r="AQ977" s="972"/>
      <c r="AR977" s="1917"/>
      <c r="AS977" s="222"/>
      <c r="AZ977" s="889"/>
      <c r="BC977" s="890"/>
      <c r="BD977" s="952"/>
      <c r="BE977" s="75"/>
      <c r="BF977" s="572"/>
      <c r="BG977" s="983"/>
      <c r="BH977" s="222"/>
      <c r="BL977" s="889"/>
      <c r="BO977" s="223"/>
    </row>
    <row r="978" spans="1:67" s="74" customFormat="1">
      <c r="A978" s="15"/>
      <c r="B978" s="15"/>
      <c r="C978" s="15"/>
      <c r="D978" s="15"/>
      <c r="E978" s="6"/>
      <c r="F978" s="6"/>
      <c r="G978" s="6"/>
      <c r="K978" s="223"/>
      <c r="M978" s="889"/>
      <c r="P978" s="890"/>
      <c r="T978" s="889"/>
      <c r="X978" s="15"/>
      <c r="Y978" s="1935"/>
      <c r="Z978" s="1086"/>
      <c r="AA978" s="230"/>
      <c r="AB978" s="230"/>
      <c r="AC978" s="1936"/>
      <c r="AD978" s="230"/>
      <c r="AE978" s="230"/>
      <c r="AF978" s="230"/>
      <c r="AG978" s="890"/>
      <c r="AJ978" s="890"/>
      <c r="AN978" s="223"/>
      <c r="AO978" s="952"/>
      <c r="AP978" s="1066"/>
      <c r="AQ978" s="972"/>
      <c r="AR978" s="1917"/>
      <c r="AS978" s="222"/>
      <c r="AZ978" s="889"/>
      <c r="BC978" s="890"/>
      <c r="BD978" s="952"/>
      <c r="BE978" s="75"/>
      <c r="BF978" s="572"/>
      <c r="BG978" s="983"/>
      <c r="BH978" s="222"/>
      <c r="BL978" s="889"/>
      <c r="BO978" s="223"/>
    </row>
    <row r="979" spans="1:67" s="74" customFormat="1">
      <c r="A979" s="15"/>
      <c r="B979" s="15"/>
      <c r="C979" s="15"/>
      <c r="D979" s="15"/>
      <c r="E979" s="6"/>
      <c r="F979" s="6"/>
      <c r="G979" s="6"/>
      <c r="K979" s="223"/>
      <c r="M979" s="889"/>
      <c r="P979" s="890"/>
      <c r="T979" s="889"/>
      <c r="X979" s="15"/>
      <c r="Y979" s="1935"/>
      <c r="Z979" s="1086"/>
      <c r="AA979" s="230"/>
      <c r="AB979" s="230"/>
      <c r="AC979" s="1936"/>
      <c r="AD979" s="230"/>
      <c r="AE979" s="230"/>
      <c r="AF979" s="230"/>
      <c r="AG979" s="890"/>
      <c r="AJ979" s="890"/>
      <c r="AN979" s="223"/>
      <c r="AO979" s="952"/>
      <c r="AP979" s="1066"/>
      <c r="AQ979" s="972"/>
      <c r="AR979" s="1917"/>
      <c r="AS979" s="222"/>
      <c r="AZ979" s="889"/>
      <c r="BC979" s="890"/>
      <c r="BD979" s="952"/>
      <c r="BE979" s="75"/>
      <c r="BF979" s="572"/>
      <c r="BG979" s="983"/>
      <c r="BH979" s="222"/>
      <c r="BL979" s="889"/>
      <c r="BO979" s="223"/>
    </row>
    <row r="980" spans="1:67" s="74" customFormat="1">
      <c r="A980" s="15"/>
      <c r="B980" s="15"/>
      <c r="C980" s="15"/>
      <c r="D980" s="15"/>
      <c r="E980" s="6"/>
      <c r="F980" s="6"/>
      <c r="G980" s="6"/>
      <c r="K980" s="223"/>
      <c r="M980" s="889"/>
      <c r="P980" s="890"/>
      <c r="T980" s="889"/>
      <c r="X980" s="15"/>
      <c r="Y980" s="1935"/>
      <c r="Z980" s="1086"/>
      <c r="AA980" s="230"/>
      <c r="AB980" s="230"/>
      <c r="AC980" s="1936"/>
      <c r="AD980" s="230"/>
      <c r="AE980" s="230"/>
      <c r="AF980" s="230"/>
      <c r="AG980" s="890"/>
      <c r="AJ980" s="890"/>
      <c r="AN980" s="223"/>
      <c r="AO980" s="952"/>
      <c r="AP980" s="1066"/>
      <c r="AQ980" s="972"/>
      <c r="AR980" s="1917"/>
      <c r="AS980" s="222"/>
      <c r="AZ980" s="889"/>
      <c r="BC980" s="890"/>
      <c r="BD980" s="952"/>
      <c r="BE980" s="75"/>
      <c r="BF980" s="572"/>
      <c r="BG980" s="983"/>
      <c r="BH980" s="222"/>
      <c r="BL980" s="889"/>
      <c r="BO980" s="223"/>
    </row>
    <row r="981" spans="1:67" s="74" customFormat="1">
      <c r="A981" s="15"/>
      <c r="B981" s="15"/>
      <c r="C981" s="15"/>
      <c r="D981" s="15"/>
      <c r="E981" s="6"/>
      <c r="F981" s="6"/>
      <c r="G981" s="6"/>
      <c r="K981" s="223"/>
      <c r="M981" s="889"/>
      <c r="P981" s="890"/>
      <c r="T981" s="889"/>
      <c r="X981" s="15"/>
      <c r="Y981" s="1935"/>
      <c r="Z981" s="1086"/>
      <c r="AA981" s="230"/>
      <c r="AB981" s="230"/>
      <c r="AC981" s="1936"/>
      <c r="AD981" s="230"/>
      <c r="AE981" s="230"/>
      <c r="AF981" s="230"/>
      <c r="AG981" s="890"/>
      <c r="AJ981" s="890"/>
      <c r="AN981" s="223"/>
      <c r="AO981" s="952"/>
      <c r="AP981" s="1066"/>
      <c r="AQ981" s="972"/>
      <c r="AR981" s="1917"/>
      <c r="AS981" s="222"/>
      <c r="AZ981" s="889"/>
      <c r="BC981" s="890"/>
      <c r="BD981" s="952"/>
      <c r="BE981" s="75"/>
      <c r="BF981" s="572"/>
      <c r="BG981" s="983"/>
      <c r="BH981" s="222"/>
      <c r="BL981" s="889"/>
      <c r="BO981" s="223"/>
    </row>
    <row r="982" spans="1:67" s="74" customFormat="1">
      <c r="A982" s="15"/>
      <c r="B982" s="15"/>
      <c r="C982" s="15"/>
      <c r="D982" s="15"/>
      <c r="E982" s="6"/>
      <c r="F982" s="6"/>
      <c r="G982" s="6"/>
      <c r="K982" s="223"/>
      <c r="M982" s="889"/>
      <c r="P982" s="890"/>
      <c r="T982" s="889"/>
      <c r="X982" s="15"/>
      <c r="Y982" s="1935"/>
      <c r="Z982" s="1086"/>
      <c r="AA982" s="230"/>
      <c r="AB982" s="230"/>
      <c r="AC982" s="1936"/>
      <c r="AD982" s="230"/>
      <c r="AE982" s="230"/>
      <c r="AF982" s="230"/>
      <c r="AG982" s="890"/>
      <c r="AJ982" s="890"/>
      <c r="AN982" s="223"/>
      <c r="AO982" s="952"/>
      <c r="AP982" s="1066"/>
      <c r="AQ982" s="972"/>
      <c r="AR982" s="1917"/>
      <c r="AS982" s="222"/>
      <c r="AZ982" s="889"/>
      <c r="BC982" s="890"/>
      <c r="BD982" s="952"/>
      <c r="BE982" s="75"/>
      <c r="BF982" s="572"/>
      <c r="BG982" s="983"/>
      <c r="BH982" s="222"/>
      <c r="BL982" s="889"/>
      <c r="BO982" s="223"/>
    </row>
    <row r="983" spans="1:67" s="74" customFormat="1">
      <c r="A983" s="15"/>
      <c r="B983" s="15"/>
      <c r="C983" s="15"/>
      <c r="D983" s="15"/>
      <c r="E983" s="6"/>
      <c r="F983" s="6"/>
      <c r="G983" s="6"/>
      <c r="K983" s="223"/>
      <c r="M983" s="889"/>
      <c r="P983" s="890"/>
      <c r="T983" s="889"/>
      <c r="X983" s="15"/>
      <c r="Y983" s="1935"/>
      <c r="Z983" s="1086"/>
      <c r="AA983" s="230"/>
      <c r="AB983" s="230"/>
      <c r="AC983" s="1936"/>
      <c r="AD983" s="230"/>
      <c r="AE983" s="230"/>
      <c r="AF983" s="230"/>
      <c r="AG983" s="890"/>
      <c r="AJ983" s="890"/>
      <c r="AN983" s="223"/>
      <c r="AO983" s="952"/>
      <c r="AP983" s="1066"/>
      <c r="AQ983" s="972"/>
      <c r="AR983" s="1917"/>
      <c r="AS983" s="222"/>
      <c r="AZ983" s="889"/>
      <c r="BC983" s="890"/>
      <c r="BD983" s="952"/>
      <c r="BE983" s="75"/>
      <c r="BF983" s="572"/>
      <c r="BG983" s="983"/>
      <c r="BH983" s="222"/>
      <c r="BL983" s="889"/>
      <c r="BO983" s="223"/>
    </row>
    <row r="984" spans="1:67" s="74" customFormat="1">
      <c r="A984" s="15"/>
      <c r="B984" s="15"/>
      <c r="C984" s="15"/>
      <c r="D984" s="15"/>
      <c r="E984" s="6"/>
      <c r="F984" s="6"/>
      <c r="G984" s="6"/>
      <c r="K984" s="223"/>
      <c r="M984" s="889"/>
      <c r="P984" s="890"/>
      <c r="T984" s="889"/>
      <c r="X984" s="15"/>
      <c r="Y984" s="1935"/>
      <c r="Z984" s="1086"/>
      <c r="AA984" s="230"/>
      <c r="AB984" s="230"/>
      <c r="AC984" s="1936"/>
      <c r="AD984" s="230"/>
      <c r="AE984" s="230"/>
      <c r="AF984" s="230"/>
      <c r="AG984" s="890"/>
      <c r="AJ984" s="890"/>
      <c r="AN984" s="223"/>
      <c r="AO984" s="952"/>
      <c r="AP984" s="1066"/>
      <c r="AQ984" s="972"/>
      <c r="AR984" s="1917"/>
      <c r="AS984" s="222"/>
      <c r="AZ984" s="889"/>
      <c r="BC984" s="890"/>
      <c r="BD984" s="952"/>
      <c r="BE984" s="75"/>
      <c r="BF984" s="572"/>
      <c r="BG984" s="983"/>
      <c r="BH984" s="222"/>
      <c r="BL984" s="889"/>
      <c r="BO984" s="223"/>
    </row>
    <row r="985" spans="1:67" s="74" customFormat="1">
      <c r="A985" s="15"/>
      <c r="B985" s="15"/>
      <c r="C985" s="15"/>
      <c r="D985" s="15"/>
      <c r="E985" s="6"/>
      <c r="F985" s="6"/>
      <c r="G985" s="6"/>
      <c r="K985" s="223"/>
      <c r="M985" s="889"/>
      <c r="P985" s="890"/>
      <c r="T985" s="889"/>
      <c r="X985" s="15"/>
      <c r="Y985" s="1935"/>
      <c r="Z985" s="1086"/>
      <c r="AA985" s="230"/>
      <c r="AB985" s="230"/>
      <c r="AC985" s="1936"/>
      <c r="AD985" s="230"/>
      <c r="AE985" s="230"/>
      <c r="AF985" s="230"/>
      <c r="AG985" s="890"/>
      <c r="AJ985" s="890"/>
      <c r="AN985" s="223"/>
      <c r="AO985" s="952"/>
      <c r="AP985" s="1066"/>
      <c r="AQ985" s="972"/>
      <c r="AR985" s="1917"/>
      <c r="AS985" s="222"/>
      <c r="AZ985" s="889"/>
      <c r="BC985" s="890"/>
      <c r="BD985" s="952"/>
      <c r="BE985" s="75"/>
      <c r="BF985" s="572"/>
      <c r="BG985" s="983"/>
      <c r="BH985" s="222"/>
      <c r="BL985" s="889"/>
      <c r="BO985" s="223"/>
    </row>
    <row r="986" spans="1:67" s="74" customFormat="1">
      <c r="A986" s="15"/>
      <c r="B986" s="15"/>
      <c r="C986" s="15"/>
      <c r="D986" s="15"/>
      <c r="E986" s="6"/>
      <c r="F986" s="6"/>
      <c r="G986" s="6"/>
      <c r="K986" s="223"/>
      <c r="M986" s="889"/>
      <c r="P986" s="890"/>
      <c r="T986" s="889"/>
      <c r="X986" s="15"/>
      <c r="Y986" s="1935"/>
      <c r="Z986" s="1086"/>
      <c r="AA986" s="230"/>
      <c r="AB986" s="230"/>
      <c r="AC986" s="1936"/>
      <c r="AD986" s="230"/>
      <c r="AE986" s="230"/>
      <c r="AF986" s="230"/>
      <c r="AG986" s="890"/>
      <c r="AJ986" s="890"/>
      <c r="AN986" s="223"/>
      <c r="AO986" s="952"/>
      <c r="AP986" s="1066"/>
      <c r="AQ986" s="972"/>
      <c r="AR986" s="1917"/>
      <c r="AS986" s="222"/>
      <c r="AZ986" s="889"/>
      <c r="BC986" s="890"/>
      <c r="BD986" s="952"/>
      <c r="BE986" s="75"/>
      <c r="BF986" s="572"/>
      <c r="BG986" s="983"/>
      <c r="BH986" s="222"/>
      <c r="BL986" s="889"/>
      <c r="BO986" s="223"/>
    </row>
    <row r="987" spans="1:67" s="74" customFormat="1">
      <c r="A987" s="15"/>
      <c r="B987" s="15"/>
      <c r="C987" s="15"/>
      <c r="D987" s="15"/>
      <c r="E987" s="6"/>
      <c r="F987" s="6"/>
      <c r="G987" s="6"/>
      <c r="K987" s="223"/>
      <c r="M987" s="889"/>
      <c r="P987" s="890"/>
      <c r="T987" s="889"/>
      <c r="X987" s="15"/>
      <c r="Y987" s="1935"/>
      <c r="Z987" s="1086"/>
      <c r="AA987" s="230"/>
      <c r="AB987" s="230"/>
      <c r="AC987" s="1936"/>
      <c r="AD987" s="230"/>
      <c r="AE987" s="230"/>
      <c r="AF987" s="230"/>
      <c r="AG987" s="890"/>
      <c r="AJ987" s="890"/>
      <c r="AN987" s="223"/>
      <c r="AO987" s="952"/>
      <c r="AP987" s="1066"/>
      <c r="AQ987" s="972"/>
      <c r="AR987" s="1917"/>
      <c r="AS987" s="222"/>
      <c r="AZ987" s="889"/>
      <c r="BC987" s="890"/>
      <c r="BD987" s="952"/>
      <c r="BE987" s="75"/>
      <c r="BF987" s="572"/>
      <c r="BG987" s="983"/>
      <c r="BH987" s="222"/>
      <c r="BL987" s="889"/>
      <c r="BO987" s="223"/>
    </row>
    <row r="988" spans="1:67" s="74" customFormat="1">
      <c r="A988" s="15"/>
      <c r="B988" s="15"/>
      <c r="C988" s="15"/>
      <c r="D988" s="15"/>
      <c r="E988" s="6"/>
      <c r="F988" s="6"/>
      <c r="G988" s="6"/>
      <c r="K988" s="223"/>
      <c r="M988" s="889"/>
      <c r="P988" s="890"/>
      <c r="T988" s="889"/>
      <c r="X988" s="15"/>
      <c r="Y988" s="1935"/>
      <c r="Z988" s="1086"/>
      <c r="AA988" s="230"/>
      <c r="AB988" s="230"/>
      <c r="AC988" s="1936"/>
      <c r="AD988" s="230"/>
      <c r="AE988" s="230"/>
      <c r="AF988" s="230"/>
      <c r="AG988" s="890"/>
      <c r="AJ988" s="890"/>
      <c r="AN988" s="223"/>
      <c r="AO988" s="952"/>
      <c r="AP988" s="1066"/>
      <c r="AQ988" s="972"/>
      <c r="AR988" s="1917"/>
      <c r="AS988" s="222"/>
      <c r="AZ988" s="889"/>
      <c r="BC988" s="890"/>
      <c r="BD988" s="952"/>
      <c r="BE988" s="75"/>
      <c r="BF988" s="572"/>
      <c r="BG988" s="983"/>
      <c r="BH988" s="222"/>
      <c r="BL988" s="889"/>
      <c r="BO988" s="223"/>
    </row>
    <row r="989" spans="1:67" s="74" customFormat="1">
      <c r="A989" s="15"/>
      <c r="B989" s="15"/>
      <c r="C989" s="15"/>
      <c r="D989" s="15"/>
      <c r="E989" s="6"/>
      <c r="F989" s="6"/>
      <c r="G989" s="6"/>
      <c r="K989" s="223"/>
      <c r="M989" s="889"/>
      <c r="P989" s="890"/>
      <c r="T989" s="889"/>
      <c r="X989" s="15"/>
      <c r="Y989" s="1935"/>
      <c r="Z989" s="1086"/>
      <c r="AA989" s="230"/>
      <c r="AB989" s="230"/>
      <c r="AC989" s="1936"/>
      <c r="AD989" s="230"/>
      <c r="AE989" s="230"/>
      <c r="AF989" s="230"/>
      <c r="AG989" s="890"/>
      <c r="AJ989" s="890"/>
      <c r="AN989" s="223"/>
      <c r="AO989" s="952"/>
      <c r="AP989" s="1066"/>
      <c r="AQ989" s="972"/>
      <c r="AR989" s="1917"/>
      <c r="AS989" s="222"/>
      <c r="AZ989" s="889"/>
      <c r="BC989" s="890"/>
      <c r="BD989" s="952"/>
      <c r="BE989" s="75"/>
      <c r="BF989" s="572"/>
      <c r="BG989" s="983"/>
      <c r="BH989" s="222"/>
      <c r="BL989" s="889"/>
      <c r="BO989" s="223"/>
    </row>
    <row r="990" spans="1:67" s="74" customFormat="1">
      <c r="A990" s="15"/>
      <c r="B990" s="15"/>
      <c r="C990" s="15"/>
      <c r="D990" s="15"/>
      <c r="E990" s="6"/>
      <c r="F990" s="6"/>
      <c r="G990" s="6"/>
      <c r="K990" s="223"/>
      <c r="M990" s="889"/>
      <c r="P990" s="890"/>
      <c r="T990" s="889"/>
      <c r="X990" s="15"/>
      <c r="Y990" s="1935"/>
      <c r="Z990" s="1086"/>
      <c r="AA990" s="230"/>
      <c r="AB990" s="230"/>
      <c r="AC990" s="1936"/>
      <c r="AD990" s="230"/>
      <c r="AE990" s="230"/>
      <c r="AF990" s="230"/>
      <c r="AG990" s="890"/>
      <c r="AJ990" s="890"/>
      <c r="AN990" s="223"/>
      <c r="AO990" s="952"/>
      <c r="AP990" s="1066"/>
      <c r="AQ990" s="972"/>
      <c r="AR990" s="1917"/>
      <c r="AS990" s="222"/>
      <c r="AZ990" s="889"/>
      <c r="BC990" s="890"/>
      <c r="BD990" s="952"/>
      <c r="BE990" s="75"/>
      <c r="BF990" s="572"/>
      <c r="BG990" s="983"/>
      <c r="BH990" s="222"/>
      <c r="BL990" s="889"/>
      <c r="BO990" s="223"/>
    </row>
    <row r="991" spans="1:67" s="74" customFormat="1">
      <c r="A991" s="15"/>
      <c r="B991" s="15"/>
      <c r="C991" s="15"/>
      <c r="D991" s="15"/>
      <c r="E991" s="6"/>
      <c r="F991" s="6"/>
      <c r="G991" s="6"/>
      <c r="K991" s="223"/>
      <c r="M991" s="889"/>
      <c r="P991" s="890"/>
      <c r="T991" s="889"/>
      <c r="X991" s="15"/>
      <c r="Y991" s="1935"/>
      <c r="Z991" s="1086"/>
      <c r="AA991" s="230"/>
      <c r="AB991" s="230"/>
      <c r="AC991" s="1936"/>
      <c r="AD991" s="230"/>
      <c r="AE991" s="230"/>
      <c r="AF991" s="230"/>
      <c r="AG991" s="890"/>
      <c r="AJ991" s="890"/>
      <c r="AN991" s="223"/>
      <c r="AO991" s="952"/>
      <c r="AP991" s="1066"/>
      <c r="AQ991" s="972"/>
      <c r="AR991" s="1917"/>
      <c r="AS991" s="222"/>
      <c r="AZ991" s="889"/>
      <c r="BC991" s="890"/>
      <c r="BD991" s="952"/>
      <c r="BE991" s="75"/>
      <c r="BF991" s="572"/>
      <c r="BG991" s="983"/>
      <c r="BH991" s="222"/>
      <c r="BL991" s="889"/>
      <c r="BO991" s="223"/>
    </row>
    <row r="992" spans="1:67" s="74" customFormat="1">
      <c r="A992" s="15"/>
      <c r="B992" s="15"/>
      <c r="C992" s="15"/>
      <c r="D992" s="15"/>
      <c r="E992" s="6"/>
      <c r="F992" s="6"/>
      <c r="G992" s="6"/>
      <c r="K992" s="223"/>
      <c r="M992" s="889"/>
      <c r="P992" s="890"/>
      <c r="T992" s="889"/>
      <c r="X992" s="15"/>
      <c r="Y992" s="1935"/>
      <c r="Z992" s="1086"/>
      <c r="AA992" s="230"/>
      <c r="AB992" s="230"/>
      <c r="AC992" s="1936"/>
      <c r="AD992" s="230"/>
      <c r="AE992" s="230"/>
      <c r="AF992" s="230"/>
      <c r="AG992" s="890"/>
      <c r="AJ992" s="890"/>
      <c r="AN992" s="223"/>
      <c r="AO992" s="952"/>
      <c r="AP992" s="1066"/>
      <c r="AQ992" s="972"/>
      <c r="AR992" s="1917"/>
      <c r="AS992" s="222"/>
      <c r="AZ992" s="889"/>
      <c r="BC992" s="890"/>
      <c r="BD992" s="952"/>
      <c r="BE992" s="75"/>
      <c r="BF992" s="572"/>
      <c r="BG992" s="983"/>
      <c r="BH992" s="222"/>
      <c r="BL992" s="889"/>
      <c r="BO992" s="223"/>
    </row>
    <row r="993" spans="1:67" s="74" customFormat="1">
      <c r="A993" s="15"/>
      <c r="B993" s="15"/>
      <c r="C993" s="15"/>
      <c r="D993" s="15"/>
      <c r="E993" s="6"/>
      <c r="F993" s="6"/>
      <c r="G993" s="6"/>
      <c r="K993" s="223"/>
      <c r="M993" s="889"/>
      <c r="P993" s="890"/>
      <c r="T993" s="889"/>
      <c r="X993" s="15"/>
      <c r="Y993" s="1935"/>
      <c r="Z993" s="1086"/>
      <c r="AA993" s="230"/>
      <c r="AB993" s="230"/>
      <c r="AC993" s="1936"/>
      <c r="AD993" s="230"/>
      <c r="AE993" s="230"/>
      <c r="AF993" s="230"/>
      <c r="AG993" s="890"/>
      <c r="AJ993" s="890"/>
      <c r="AN993" s="223"/>
      <c r="AO993" s="952"/>
      <c r="AP993" s="1066"/>
      <c r="AQ993" s="972"/>
      <c r="AR993" s="1917"/>
      <c r="AS993" s="222"/>
      <c r="AZ993" s="889"/>
      <c r="BC993" s="890"/>
      <c r="BD993" s="952"/>
      <c r="BE993" s="75"/>
      <c r="BF993" s="572"/>
      <c r="BG993" s="983"/>
      <c r="BH993" s="222"/>
      <c r="BL993" s="889"/>
      <c r="BO993" s="223"/>
    </row>
    <row r="994" spans="1:67" s="74" customFormat="1">
      <c r="A994" s="15"/>
      <c r="B994" s="15"/>
      <c r="C994" s="15"/>
      <c r="D994" s="15"/>
      <c r="E994" s="6"/>
      <c r="F994" s="6"/>
      <c r="G994" s="6"/>
      <c r="K994" s="223"/>
      <c r="M994" s="889"/>
      <c r="P994" s="890"/>
      <c r="T994" s="889"/>
      <c r="X994" s="15"/>
      <c r="Y994" s="1935"/>
      <c r="Z994" s="1086"/>
      <c r="AA994" s="230"/>
      <c r="AB994" s="230"/>
      <c r="AC994" s="1936"/>
      <c r="AD994" s="230"/>
      <c r="AE994" s="230"/>
      <c r="AF994" s="230"/>
      <c r="AG994" s="890"/>
      <c r="AJ994" s="890"/>
      <c r="AN994" s="223"/>
      <c r="AO994" s="952"/>
      <c r="AP994" s="1066"/>
      <c r="AQ994" s="972"/>
      <c r="AR994" s="1917"/>
      <c r="AS994" s="222"/>
      <c r="AZ994" s="889"/>
      <c r="BC994" s="890"/>
      <c r="BD994" s="952"/>
      <c r="BE994" s="75"/>
      <c r="BF994" s="572"/>
      <c r="BG994" s="983"/>
      <c r="BH994" s="222"/>
      <c r="BL994" s="889"/>
      <c r="BO994" s="223"/>
    </row>
    <row r="995" spans="1:67" s="74" customFormat="1">
      <c r="A995" s="15"/>
      <c r="B995" s="15"/>
      <c r="C995" s="15"/>
      <c r="D995" s="15"/>
      <c r="E995" s="6"/>
      <c r="F995" s="6"/>
      <c r="G995" s="6"/>
      <c r="K995" s="223"/>
      <c r="M995" s="889"/>
      <c r="P995" s="890"/>
      <c r="T995" s="889"/>
      <c r="X995" s="15"/>
      <c r="Y995" s="1935"/>
      <c r="Z995" s="1086"/>
      <c r="AA995" s="230"/>
      <c r="AB995" s="230"/>
      <c r="AC995" s="1936"/>
      <c r="AD995" s="230"/>
      <c r="AE995" s="230"/>
      <c r="AF995" s="230"/>
      <c r="AG995" s="890"/>
      <c r="AJ995" s="890"/>
      <c r="AN995" s="223"/>
      <c r="AO995" s="952"/>
      <c r="AP995" s="1066"/>
      <c r="AQ995" s="972"/>
      <c r="AR995" s="1917"/>
      <c r="AS995" s="222"/>
      <c r="AZ995" s="889"/>
      <c r="BC995" s="890"/>
      <c r="BD995" s="952"/>
      <c r="BE995" s="75"/>
      <c r="BF995" s="572"/>
      <c r="BG995" s="983"/>
      <c r="BH995" s="222"/>
      <c r="BL995" s="889"/>
      <c r="BO995" s="223"/>
    </row>
    <row r="996" spans="1:67" s="74" customFormat="1">
      <c r="A996" s="15"/>
      <c r="B996" s="15"/>
      <c r="C996" s="15"/>
      <c r="D996" s="15"/>
      <c r="E996" s="6"/>
      <c r="F996" s="6"/>
      <c r="G996" s="6"/>
      <c r="K996" s="223"/>
      <c r="M996" s="889"/>
      <c r="P996" s="890"/>
      <c r="T996" s="889"/>
      <c r="X996" s="15"/>
      <c r="Y996" s="1935"/>
      <c r="Z996" s="1086"/>
      <c r="AA996" s="230"/>
      <c r="AB996" s="230"/>
      <c r="AC996" s="1936"/>
      <c r="AD996" s="230"/>
      <c r="AE996" s="230"/>
      <c r="AF996" s="230"/>
      <c r="AG996" s="890"/>
      <c r="AJ996" s="890"/>
      <c r="AN996" s="223"/>
      <c r="AO996" s="952"/>
      <c r="AP996" s="1066"/>
      <c r="AQ996" s="972"/>
      <c r="AR996" s="1917"/>
      <c r="AS996" s="222"/>
      <c r="AZ996" s="889"/>
      <c r="BC996" s="890"/>
      <c r="BD996" s="952"/>
      <c r="BE996" s="75"/>
      <c r="BF996" s="572"/>
      <c r="BG996" s="983"/>
      <c r="BH996" s="222"/>
      <c r="BL996" s="889"/>
      <c r="BO996" s="223"/>
    </row>
    <row r="997" spans="1:67" s="74" customFormat="1">
      <c r="A997" s="15"/>
      <c r="B997" s="15"/>
      <c r="C997" s="15"/>
      <c r="D997" s="15"/>
      <c r="E997" s="6"/>
      <c r="F997" s="6"/>
      <c r="G997" s="6"/>
      <c r="K997" s="223"/>
      <c r="M997" s="889"/>
      <c r="P997" s="890"/>
      <c r="T997" s="889"/>
      <c r="X997" s="15"/>
      <c r="Y997" s="1935"/>
      <c r="Z997" s="1086"/>
      <c r="AA997" s="230"/>
      <c r="AB997" s="230"/>
      <c r="AC997" s="1936"/>
      <c r="AD997" s="230"/>
      <c r="AE997" s="230"/>
      <c r="AF997" s="230"/>
      <c r="AG997" s="890"/>
      <c r="AJ997" s="890"/>
      <c r="AN997" s="223"/>
      <c r="AO997" s="952"/>
      <c r="AP997" s="1066"/>
      <c r="AQ997" s="972"/>
      <c r="AR997" s="1917"/>
      <c r="AS997" s="222"/>
      <c r="AZ997" s="889"/>
      <c r="BC997" s="890"/>
      <c r="BD997" s="952"/>
      <c r="BE997" s="75"/>
      <c r="BF997" s="572"/>
      <c r="BG997" s="983"/>
      <c r="BH997" s="222"/>
      <c r="BL997" s="889"/>
      <c r="BO997" s="223"/>
    </row>
    <row r="998" spans="1:67" s="74" customFormat="1">
      <c r="A998" s="15"/>
      <c r="B998" s="15"/>
      <c r="C998" s="15"/>
      <c r="D998" s="15"/>
      <c r="E998" s="6"/>
      <c r="F998" s="6"/>
      <c r="G998" s="6"/>
      <c r="K998" s="223"/>
      <c r="M998" s="889"/>
      <c r="P998" s="890"/>
      <c r="T998" s="889"/>
      <c r="X998" s="15"/>
      <c r="Y998" s="1935"/>
      <c r="Z998" s="1086"/>
      <c r="AA998" s="230"/>
      <c r="AB998" s="230"/>
      <c r="AC998" s="1936"/>
      <c r="AD998" s="230"/>
      <c r="AE998" s="230"/>
      <c r="AF998" s="230"/>
      <c r="AG998" s="890"/>
      <c r="AJ998" s="890"/>
      <c r="AN998" s="223"/>
      <c r="AO998" s="952"/>
      <c r="AP998" s="1066"/>
      <c r="AQ998" s="972"/>
      <c r="AR998" s="1917"/>
      <c r="AS998" s="222"/>
      <c r="AZ998" s="889"/>
      <c r="BC998" s="890"/>
      <c r="BD998" s="952"/>
      <c r="BE998" s="75"/>
      <c r="BF998" s="572"/>
      <c r="BG998" s="983"/>
      <c r="BH998" s="222"/>
      <c r="BL998" s="889"/>
      <c r="BO998" s="223"/>
    </row>
    <row r="999" spans="1:67" s="74" customFormat="1">
      <c r="A999" s="15"/>
      <c r="B999" s="15"/>
      <c r="C999" s="15"/>
      <c r="D999" s="15"/>
      <c r="E999" s="6"/>
      <c r="F999" s="6"/>
      <c r="G999" s="6"/>
      <c r="K999" s="223"/>
      <c r="M999" s="889"/>
      <c r="P999" s="890"/>
      <c r="T999" s="889"/>
      <c r="X999" s="15"/>
      <c r="Y999" s="1935"/>
      <c r="Z999" s="1086"/>
      <c r="AA999" s="230"/>
      <c r="AB999" s="230"/>
      <c r="AC999" s="1936"/>
      <c r="AD999" s="230"/>
      <c r="AE999" s="230"/>
      <c r="AF999" s="230"/>
      <c r="AG999" s="890"/>
      <c r="AJ999" s="890"/>
      <c r="AN999" s="223"/>
      <c r="AO999" s="952"/>
      <c r="AP999" s="1066"/>
      <c r="AQ999" s="972"/>
      <c r="AR999" s="1917"/>
      <c r="AS999" s="222"/>
      <c r="AZ999" s="889"/>
      <c r="BC999" s="890"/>
      <c r="BD999" s="952"/>
      <c r="BE999" s="75"/>
      <c r="BF999" s="572"/>
      <c r="BG999" s="983"/>
      <c r="BH999" s="222"/>
      <c r="BL999" s="889"/>
      <c r="BO999" s="223"/>
    </row>
    <row r="1000" spans="1:67" s="74" customFormat="1">
      <c r="A1000" s="15"/>
      <c r="B1000" s="15"/>
      <c r="C1000" s="15"/>
      <c r="D1000" s="15"/>
      <c r="E1000" s="6"/>
      <c r="F1000" s="6"/>
      <c r="G1000" s="6"/>
      <c r="K1000" s="223"/>
      <c r="M1000" s="889"/>
      <c r="P1000" s="890"/>
      <c r="T1000" s="889"/>
      <c r="X1000" s="15"/>
      <c r="Y1000" s="1935"/>
      <c r="Z1000" s="1086"/>
      <c r="AA1000" s="230"/>
      <c r="AB1000" s="230"/>
      <c r="AC1000" s="1936"/>
      <c r="AD1000" s="230"/>
      <c r="AE1000" s="230"/>
      <c r="AF1000" s="230"/>
      <c r="AG1000" s="890"/>
      <c r="AJ1000" s="890"/>
      <c r="AN1000" s="223"/>
      <c r="AO1000" s="952"/>
      <c r="AP1000" s="1066"/>
      <c r="AQ1000" s="972"/>
      <c r="AR1000" s="1917"/>
      <c r="AS1000" s="222"/>
      <c r="AZ1000" s="889"/>
      <c r="BC1000" s="890"/>
      <c r="BD1000" s="952"/>
      <c r="BE1000" s="75"/>
      <c r="BF1000" s="572"/>
      <c r="BG1000" s="983"/>
      <c r="BH1000" s="222"/>
      <c r="BL1000" s="889"/>
      <c r="BO1000" s="223"/>
    </row>
    <row r="1001" spans="1:67" s="74" customFormat="1">
      <c r="A1001" s="15"/>
      <c r="B1001" s="15"/>
      <c r="C1001" s="15"/>
      <c r="D1001" s="15"/>
      <c r="E1001" s="6"/>
      <c r="F1001" s="6"/>
      <c r="G1001" s="6"/>
      <c r="K1001" s="223"/>
      <c r="M1001" s="889"/>
      <c r="P1001" s="890"/>
      <c r="T1001" s="889"/>
      <c r="X1001" s="15"/>
      <c r="Y1001" s="1935"/>
      <c r="Z1001" s="1086"/>
      <c r="AA1001" s="230"/>
      <c r="AB1001" s="230"/>
      <c r="AC1001" s="1936"/>
      <c r="AD1001" s="230"/>
      <c r="AE1001" s="230"/>
      <c r="AF1001" s="230"/>
      <c r="AG1001" s="890"/>
      <c r="AJ1001" s="890"/>
      <c r="AN1001" s="223"/>
      <c r="AO1001" s="952"/>
      <c r="AP1001" s="1066"/>
      <c r="AQ1001" s="972"/>
      <c r="AR1001" s="1917"/>
      <c r="AS1001" s="222"/>
      <c r="AZ1001" s="889"/>
      <c r="BC1001" s="890"/>
      <c r="BD1001" s="952"/>
      <c r="BE1001" s="75"/>
      <c r="BF1001" s="572"/>
      <c r="BG1001" s="983"/>
      <c r="BH1001" s="222"/>
      <c r="BL1001" s="889"/>
      <c r="BO1001" s="223"/>
    </row>
    <row r="1002" spans="1:67" s="74" customFormat="1">
      <c r="A1002" s="15"/>
      <c r="B1002" s="15"/>
      <c r="C1002" s="15"/>
      <c r="D1002" s="15"/>
      <c r="E1002" s="6"/>
      <c r="F1002" s="6"/>
      <c r="G1002" s="6"/>
      <c r="K1002" s="223"/>
      <c r="M1002" s="889"/>
      <c r="P1002" s="890"/>
      <c r="T1002" s="889"/>
      <c r="X1002" s="15"/>
      <c r="Y1002" s="1935"/>
      <c r="Z1002" s="1086"/>
      <c r="AA1002" s="230"/>
      <c r="AB1002" s="230"/>
      <c r="AC1002" s="1936"/>
      <c r="AD1002" s="230"/>
      <c r="AE1002" s="230"/>
      <c r="AF1002" s="230"/>
      <c r="AG1002" s="890"/>
      <c r="AJ1002" s="890"/>
      <c r="AN1002" s="223"/>
      <c r="AO1002" s="952"/>
      <c r="AP1002" s="1066"/>
      <c r="AQ1002" s="972"/>
      <c r="AR1002" s="1917"/>
      <c r="AS1002" s="222"/>
      <c r="AZ1002" s="889"/>
      <c r="BC1002" s="890"/>
      <c r="BD1002" s="952"/>
      <c r="BE1002" s="75"/>
      <c r="BF1002" s="572"/>
      <c r="BG1002" s="983"/>
      <c r="BH1002" s="222"/>
      <c r="BL1002" s="889"/>
      <c r="BO1002" s="223"/>
    </row>
    <row r="1003" spans="1:67" s="74" customFormat="1">
      <c r="A1003" s="15"/>
      <c r="B1003" s="15"/>
      <c r="C1003" s="15"/>
      <c r="D1003" s="15"/>
      <c r="E1003" s="6"/>
      <c r="F1003" s="6"/>
      <c r="G1003" s="6"/>
      <c r="K1003" s="223"/>
      <c r="M1003" s="889"/>
      <c r="P1003" s="890"/>
      <c r="T1003" s="889"/>
      <c r="X1003" s="15"/>
      <c r="Y1003" s="1935"/>
      <c r="Z1003" s="1086"/>
      <c r="AA1003" s="230"/>
      <c r="AB1003" s="230"/>
      <c r="AC1003" s="1936"/>
      <c r="AD1003" s="230"/>
      <c r="AE1003" s="230"/>
      <c r="AF1003" s="230"/>
      <c r="AG1003" s="890"/>
      <c r="AJ1003" s="890"/>
      <c r="AN1003" s="223"/>
      <c r="AO1003" s="952"/>
      <c r="AP1003" s="1066"/>
      <c r="AQ1003" s="972"/>
      <c r="AR1003" s="1917"/>
      <c r="AS1003" s="222"/>
      <c r="AZ1003" s="889"/>
      <c r="BC1003" s="890"/>
      <c r="BD1003" s="952"/>
      <c r="BE1003" s="75"/>
      <c r="BF1003" s="572"/>
      <c r="BG1003" s="983"/>
      <c r="BH1003" s="222"/>
      <c r="BL1003" s="889"/>
      <c r="BO1003" s="223"/>
    </row>
    <row r="1004" spans="1:67" s="74" customFormat="1">
      <c r="A1004" s="15"/>
      <c r="B1004" s="15"/>
      <c r="C1004" s="15"/>
      <c r="D1004" s="15"/>
      <c r="E1004" s="6"/>
      <c r="F1004" s="6"/>
      <c r="G1004" s="6"/>
      <c r="K1004" s="223"/>
      <c r="M1004" s="889"/>
      <c r="P1004" s="890"/>
      <c r="T1004" s="889"/>
      <c r="X1004" s="15"/>
      <c r="Y1004" s="1935"/>
      <c r="Z1004" s="1086"/>
      <c r="AA1004" s="230"/>
      <c r="AB1004" s="230"/>
      <c r="AC1004" s="1936"/>
      <c r="AD1004" s="230"/>
      <c r="AE1004" s="230"/>
      <c r="AF1004" s="230"/>
      <c r="AG1004" s="890"/>
      <c r="AJ1004" s="890"/>
      <c r="AN1004" s="223"/>
      <c r="AO1004" s="952"/>
      <c r="AP1004" s="1066"/>
      <c r="AQ1004" s="972"/>
      <c r="AR1004" s="1917"/>
      <c r="AS1004" s="222"/>
      <c r="AZ1004" s="889"/>
      <c r="BC1004" s="890"/>
      <c r="BD1004" s="952"/>
      <c r="BE1004" s="75"/>
      <c r="BF1004" s="572"/>
      <c r="BG1004" s="983"/>
      <c r="BH1004" s="222"/>
      <c r="BL1004" s="889"/>
      <c r="BO1004" s="223"/>
    </row>
    <row r="1005" spans="1:67" s="74" customFormat="1">
      <c r="A1005" s="15"/>
      <c r="B1005" s="15"/>
      <c r="C1005" s="15"/>
      <c r="D1005" s="15"/>
      <c r="E1005" s="6"/>
      <c r="F1005" s="6"/>
      <c r="G1005" s="6"/>
      <c r="K1005" s="223"/>
      <c r="M1005" s="889"/>
      <c r="P1005" s="890"/>
      <c r="T1005" s="889"/>
      <c r="X1005" s="15"/>
      <c r="Y1005" s="1935"/>
      <c r="Z1005" s="1086"/>
      <c r="AA1005" s="230"/>
      <c r="AB1005" s="230"/>
      <c r="AC1005" s="1936"/>
      <c r="AD1005" s="230"/>
      <c r="AE1005" s="230"/>
      <c r="AF1005" s="230"/>
      <c r="AG1005" s="890"/>
      <c r="AJ1005" s="890"/>
      <c r="AN1005" s="223"/>
      <c r="AO1005" s="952"/>
      <c r="AP1005" s="1066"/>
      <c r="AQ1005" s="972"/>
      <c r="AR1005" s="1917"/>
      <c r="AS1005" s="222"/>
      <c r="AZ1005" s="889"/>
      <c r="BC1005" s="890"/>
      <c r="BD1005" s="952"/>
      <c r="BE1005" s="75"/>
      <c r="BF1005" s="572"/>
      <c r="BG1005" s="983"/>
      <c r="BH1005" s="222"/>
      <c r="BL1005" s="889"/>
      <c r="BO1005" s="223"/>
    </row>
    <row r="1006" spans="1:67" s="74" customFormat="1">
      <c r="A1006" s="15"/>
      <c r="B1006" s="15"/>
      <c r="C1006" s="15"/>
      <c r="D1006" s="15"/>
      <c r="E1006" s="6"/>
      <c r="F1006" s="6"/>
      <c r="G1006" s="6"/>
      <c r="K1006" s="223"/>
      <c r="M1006" s="889"/>
      <c r="P1006" s="890"/>
      <c r="T1006" s="889"/>
      <c r="X1006" s="15"/>
      <c r="Y1006" s="1935"/>
      <c r="Z1006" s="1086"/>
      <c r="AA1006" s="230"/>
      <c r="AB1006" s="230"/>
      <c r="AC1006" s="1936"/>
      <c r="AD1006" s="230"/>
      <c r="AE1006" s="230"/>
      <c r="AF1006" s="230"/>
      <c r="AG1006" s="890"/>
      <c r="AJ1006" s="890"/>
      <c r="AN1006" s="223"/>
      <c r="AO1006" s="952"/>
      <c r="AP1006" s="1066"/>
      <c r="AQ1006" s="972"/>
      <c r="AR1006" s="1917"/>
      <c r="AS1006" s="222"/>
      <c r="AZ1006" s="889"/>
      <c r="BC1006" s="890"/>
      <c r="BD1006" s="952"/>
      <c r="BE1006" s="75"/>
      <c r="BF1006" s="572"/>
      <c r="BG1006" s="983"/>
      <c r="BH1006" s="222"/>
      <c r="BL1006" s="889"/>
      <c r="BO1006" s="223"/>
    </row>
    <row r="1007" spans="1:67" s="74" customFormat="1">
      <c r="A1007" s="15"/>
      <c r="B1007" s="15"/>
      <c r="C1007" s="15"/>
      <c r="D1007" s="15"/>
      <c r="E1007" s="6"/>
      <c r="F1007" s="6"/>
      <c r="G1007" s="6"/>
      <c r="K1007" s="223"/>
      <c r="M1007" s="889"/>
      <c r="P1007" s="890"/>
      <c r="T1007" s="889"/>
      <c r="X1007" s="15"/>
      <c r="Y1007" s="1935"/>
      <c r="Z1007" s="1086"/>
      <c r="AA1007" s="230"/>
      <c r="AB1007" s="230"/>
      <c r="AC1007" s="1936"/>
      <c r="AD1007" s="230"/>
      <c r="AE1007" s="230"/>
      <c r="AF1007" s="230"/>
      <c r="AG1007" s="890"/>
      <c r="AJ1007" s="890"/>
      <c r="AN1007" s="223"/>
      <c r="AO1007" s="952"/>
      <c r="AP1007" s="1066"/>
      <c r="AQ1007" s="972"/>
      <c r="AR1007" s="1917"/>
      <c r="AS1007" s="222"/>
      <c r="AZ1007" s="889"/>
      <c r="BC1007" s="890"/>
      <c r="BD1007" s="952"/>
      <c r="BE1007" s="75"/>
      <c r="BF1007" s="572"/>
      <c r="BG1007" s="983"/>
      <c r="BH1007" s="222"/>
      <c r="BL1007" s="889"/>
      <c r="BO1007" s="223"/>
    </row>
    <row r="1008" spans="1:67" s="74" customFormat="1">
      <c r="A1008" s="15"/>
      <c r="B1008" s="15"/>
      <c r="C1008" s="15"/>
      <c r="D1008" s="15"/>
      <c r="E1008" s="6"/>
      <c r="F1008" s="6"/>
      <c r="G1008" s="6"/>
      <c r="K1008" s="223"/>
      <c r="M1008" s="889"/>
      <c r="P1008" s="890"/>
      <c r="T1008" s="889"/>
      <c r="X1008" s="15"/>
      <c r="Y1008" s="1935"/>
      <c r="Z1008" s="1086"/>
      <c r="AA1008" s="230"/>
      <c r="AB1008" s="230"/>
      <c r="AC1008" s="1936"/>
      <c r="AD1008" s="230"/>
      <c r="AE1008" s="230"/>
      <c r="AF1008" s="230"/>
      <c r="AG1008" s="890"/>
      <c r="AJ1008" s="890"/>
      <c r="AN1008" s="223"/>
      <c r="AO1008" s="952"/>
      <c r="AP1008" s="1066"/>
      <c r="AQ1008" s="972"/>
      <c r="AR1008" s="1917"/>
      <c r="AS1008" s="222"/>
      <c r="AZ1008" s="889"/>
      <c r="BC1008" s="890"/>
      <c r="BD1008" s="952"/>
      <c r="BE1008" s="75"/>
      <c r="BF1008" s="572"/>
      <c r="BG1008" s="983"/>
      <c r="BH1008" s="222"/>
      <c r="BL1008" s="889"/>
      <c r="BO1008" s="223"/>
    </row>
    <row r="1009" spans="1:67" s="74" customFormat="1">
      <c r="A1009" s="15"/>
      <c r="B1009" s="15"/>
      <c r="C1009" s="15"/>
      <c r="D1009" s="15"/>
      <c r="E1009" s="6"/>
      <c r="F1009" s="6"/>
      <c r="G1009" s="6"/>
      <c r="K1009" s="223"/>
      <c r="M1009" s="889"/>
      <c r="P1009" s="890"/>
      <c r="T1009" s="889"/>
      <c r="X1009" s="15"/>
      <c r="Y1009" s="1935"/>
      <c r="Z1009" s="1086"/>
      <c r="AA1009" s="230"/>
      <c r="AB1009" s="230"/>
      <c r="AC1009" s="1936"/>
      <c r="AD1009" s="230"/>
      <c r="AE1009" s="230"/>
      <c r="AF1009" s="230"/>
      <c r="AG1009" s="890"/>
      <c r="AJ1009" s="890"/>
      <c r="AN1009" s="223"/>
      <c r="AO1009" s="952"/>
      <c r="AP1009" s="1066"/>
      <c r="AQ1009" s="972"/>
      <c r="AR1009" s="1917"/>
      <c r="AS1009" s="222"/>
      <c r="AZ1009" s="889"/>
      <c r="BC1009" s="890"/>
      <c r="BD1009" s="952"/>
      <c r="BE1009" s="75"/>
      <c r="BF1009" s="572"/>
      <c r="BG1009" s="983"/>
      <c r="BH1009" s="222"/>
      <c r="BL1009" s="889"/>
      <c r="BO1009" s="223"/>
    </row>
    <row r="1010" spans="1:67" s="74" customFormat="1">
      <c r="A1010" s="15"/>
      <c r="B1010" s="15"/>
      <c r="C1010" s="15"/>
      <c r="D1010" s="15"/>
      <c r="E1010" s="6"/>
      <c r="F1010" s="6"/>
      <c r="G1010" s="6"/>
      <c r="K1010" s="223"/>
      <c r="M1010" s="889"/>
      <c r="P1010" s="890"/>
      <c r="T1010" s="889"/>
      <c r="X1010" s="15"/>
      <c r="Y1010" s="1935"/>
      <c r="Z1010" s="1086"/>
      <c r="AA1010" s="230"/>
      <c r="AB1010" s="230"/>
      <c r="AC1010" s="1936"/>
      <c r="AD1010" s="230"/>
      <c r="AE1010" s="230"/>
      <c r="AF1010" s="230"/>
      <c r="AG1010" s="890"/>
      <c r="AJ1010" s="890"/>
      <c r="AN1010" s="223"/>
      <c r="AO1010" s="952"/>
      <c r="AP1010" s="1066"/>
      <c r="AQ1010" s="972"/>
      <c r="AR1010" s="1917"/>
      <c r="AS1010" s="222"/>
      <c r="AZ1010" s="889"/>
      <c r="BC1010" s="890"/>
      <c r="BD1010" s="952"/>
      <c r="BE1010" s="75"/>
      <c r="BF1010" s="572"/>
      <c r="BG1010" s="983"/>
      <c r="BH1010" s="222"/>
      <c r="BL1010" s="889"/>
      <c r="BO1010" s="223"/>
    </row>
    <row r="1011" spans="1:67" s="74" customFormat="1">
      <c r="A1011" s="15"/>
      <c r="B1011" s="15"/>
      <c r="C1011" s="15"/>
      <c r="D1011" s="15"/>
      <c r="E1011" s="6"/>
      <c r="F1011" s="6"/>
      <c r="G1011" s="6"/>
      <c r="K1011" s="223"/>
      <c r="M1011" s="889"/>
      <c r="P1011" s="890"/>
      <c r="T1011" s="889"/>
      <c r="X1011" s="15"/>
      <c r="Y1011" s="1935"/>
      <c r="Z1011" s="1086"/>
      <c r="AA1011" s="230"/>
      <c r="AB1011" s="230"/>
      <c r="AC1011" s="1936"/>
      <c r="AD1011" s="230"/>
      <c r="AE1011" s="230"/>
      <c r="AF1011" s="230"/>
      <c r="AG1011" s="890"/>
      <c r="AJ1011" s="890"/>
      <c r="AN1011" s="223"/>
      <c r="AO1011" s="952"/>
      <c r="AP1011" s="1066"/>
      <c r="AQ1011" s="972"/>
      <c r="AR1011" s="1917"/>
      <c r="AS1011" s="222"/>
      <c r="AZ1011" s="889"/>
      <c r="BC1011" s="890"/>
      <c r="BD1011" s="952"/>
      <c r="BE1011" s="75"/>
      <c r="BF1011" s="572"/>
      <c r="BG1011" s="983"/>
      <c r="BH1011" s="222"/>
      <c r="BL1011" s="889"/>
      <c r="BO1011" s="223"/>
    </row>
    <row r="1012" spans="1:67" s="74" customFormat="1">
      <c r="A1012" s="15"/>
      <c r="B1012" s="15"/>
      <c r="C1012" s="15"/>
      <c r="D1012" s="15"/>
      <c r="E1012" s="6"/>
      <c r="F1012" s="6"/>
      <c r="G1012" s="6"/>
      <c r="K1012" s="223"/>
      <c r="M1012" s="889"/>
      <c r="P1012" s="890"/>
      <c r="T1012" s="889"/>
      <c r="X1012" s="15"/>
      <c r="Y1012" s="1935"/>
      <c r="Z1012" s="1086"/>
      <c r="AA1012" s="230"/>
      <c r="AB1012" s="230"/>
      <c r="AC1012" s="1936"/>
      <c r="AD1012" s="230"/>
      <c r="AE1012" s="230"/>
      <c r="AF1012" s="230"/>
      <c r="AG1012" s="890"/>
      <c r="AJ1012" s="890"/>
      <c r="AN1012" s="223"/>
      <c r="AO1012" s="952"/>
      <c r="AP1012" s="1066"/>
      <c r="AQ1012" s="972"/>
      <c r="AR1012" s="1917"/>
      <c r="AS1012" s="222"/>
      <c r="AZ1012" s="889"/>
      <c r="BC1012" s="890"/>
      <c r="BD1012" s="952"/>
      <c r="BE1012" s="75"/>
      <c r="BF1012" s="572"/>
      <c r="BG1012" s="983"/>
      <c r="BH1012" s="222"/>
      <c r="BL1012" s="889"/>
      <c r="BO1012" s="223"/>
    </row>
    <row r="1013" spans="1:67" s="74" customFormat="1">
      <c r="A1013" s="15"/>
      <c r="B1013" s="15"/>
      <c r="C1013" s="15"/>
      <c r="D1013" s="15"/>
      <c r="E1013" s="6"/>
      <c r="F1013" s="6"/>
      <c r="G1013" s="6"/>
      <c r="K1013" s="223"/>
      <c r="M1013" s="889"/>
      <c r="P1013" s="890"/>
      <c r="T1013" s="889"/>
      <c r="X1013" s="15"/>
      <c r="Y1013" s="1935"/>
      <c r="Z1013" s="1086"/>
      <c r="AA1013" s="230"/>
      <c r="AB1013" s="230"/>
      <c r="AC1013" s="1936"/>
      <c r="AD1013" s="230"/>
      <c r="AE1013" s="230"/>
      <c r="AF1013" s="230"/>
      <c r="AG1013" s="890"/>
      <c r="AJ1013" s="890"/>
      <c r="AN1013" s="223"/>
      <c r="AO1013" s="952"/>
      <c r="AP1013" s="1066"/>
      <c r="AQ1013" s="972"/>
      <c r="AR1013" s="1917"/>
      <c r="AS1013" s="222"/>
      <c r="AZ1013" s="889"/>
      <c r="BC1013" s="890"/>
      <c r="BD1013" s="952"/>
      <c r="BE1013" s="75"/>
      <c r="BF1013" s="572"/>
      <c r="BG1013" s="983"/>
      <c r="BH1013" s="222"/>
      <c r="BL1013" s="889"/>
      <c r="BO1013" s="223"/>
    </row>
    <row r="1014" spans="1:67" s="74" customFormat="1">
      <c r="A1014" s="15"/>
      <c r="B1014" s="15"/>
      <c r="C1014" s="15"/>
      <c r="D1014" s="15"/>
      <c r="E1014" s="6"/>
      <c r="F1014" s="6"/>
      <c r="G1014" s="6"/>
      <c r="K1014" s="223"/>
      <c r="M1014" s="889"/>
      <c r="P1014" s="890"/>
      <c r="T1014" s="889"/>
      <c r="X1014" s="15"/>
      <c r="Y1014" s="1935"/>
      <c r="Z1014" s="1086"/>
      <c r="AA1014" s="230"/>
      <c r="AB1014" s="230"/>
      <c r="AC1014" s="1936"/>
      <c r="AD1014" s="230"/>
      <c r="AE1014" s="230"/>
      <c r="AF1014" s="230"/>
      <c r="AG1014" s="890"/>
      <c r="AJ1014" s="890"/>
      <c r="AN1014" s="223"/>
      <c r="AO1014" s="952"/>
      <c r="AP1014" s="1066"/>
      <c r="AQ1014" s="972"/>
      <c r="AR1014" s="1917"/>
      <c r="AS1014" s="222"/>
      <c r="AZ1014" s="889"/>
      <c r="BC1014" s="890"/>
      <c r="BD1014" s="952"/>
      <c r="BE1014" s="75"/>
      <c r="BF1014" s="572"/>
      <c r="BG1014" s="983"/>
      <c r="BH1014" s="222"/>
      <c r="BL1014" s="889"/>
      <c r="BO1014" s="223"/>
    </row>
    <row r="1015" spans="1:67" s="74" customFormat="1">
      <c r="A1015" s="15"/>
      <c r="B1015" s="15"/>
      <c r="C1015" s="15"/>
      <c r="D1015" s="15"/>
      <c r="E1015" s="6"/>
      <c r="F1015" s="6"/>
      <c r="G1015" s="6"/>
      <c r="K1015" s="223"/>
      <c r="M1015" s="889"/>
      <c r="P1015" s="890"/>
      <c r="T1015" s="889"/>
      <c r="X1015" s="15"/>
      <c r="Y1015" s="1935"/>
      <c r="Z1015" s="1086"/>
      <c r="AA1015" s="230"/>
      <c r="AB1015" s="230"/>
      <c r="AC1015" s="1936"/>
      <c r="AD1015" s="230"/>
      <c r="AE1015" s="230"/>
      <c r="AF1015" s="230"/>
      <c r="AG1015" s="890"/>
      <c r="AJ1015" s="890"/>
      <c r="AN1015" s="223"/>
      <c r="AO1015" s="952"/>
      <c r="AP1015" s="1066"/>
      <c r="AQ1015" s="972"/>
      <c r="AR1015" s="1917"/>
      <c r="AS1015" s="222"/>
      <c r="AZ1015" s="889"/>
      <c r="BC1015" s="890"/>
      <c r="BD1015" s="952"/>
      <c r="BE1015" s="75"/>
      <c r="BF1015" s="572"/>
      <c r="BG1015" s="983"/>
      <c r="BH1015" s="222"/>
      <c r="BL1015" s="889"/>
      <c r="BO1015" s="223"/>
    </row>
    <row r="1016" spans="1:67" s="74" customFormat="1">
      <c r="A1016" s="15"/>
      <c r="B1016" s="15"/>
      <c r="C1016" s="15"/>
      <c r="D1016" s="15"/>
      <c r="E1016" s="6"/>
      <c r="F1016" s="6"/>
      <c r="G1016" s="6"/>
      <c r="K1016" s="223"/>
      <c r="M1016" s="889"/>
      <c r="P1016" s="890"/>
      <c r="T1016" s="889"/>
      <c r="X1016" s="15"/>
      <c r="Y1016" s="1935"/>
      <c r="Z1016" s="1086"/>
      <c r="AA1016" s="230"/>
      <c r="AB1016" s="230"/>
      <c r="AC1016" s="1936"/>
      <c r="AD1016" s="230"/>
      <c r="AE1016" s="230"/>
      <c r="AF1016" s="230"/>
      <c r="AG1016" s="890"/>
      <c r="AJ1016" s="890"/>
      <c r="AN1016" s="223"/>
      <c r="AO1016" s="952"/>
      <c r="AP1016" s="1066"/>
      <c r="AQ1016" s="972"/>
      <c r="AR1016" s="1917"/>
      <c r="AS1016" s="222"/>
      <c r="AZ1016" s="889"/>
      <c r="BC1016" s="890"/>
      <c r="BD1016" s="952"/>
      <c r="BE1016" s="75"/>
      <c r="BF1016" s="572"/>
      <c r="BG1016" s="983"/>
      <c r="BH1016" s="222"/>
      <c r="BL1016" s="889"/>
      <c r="BO1016" s="223"/>
    </row>
    <row r="1017" spans="1:67" s="74" customFormat="1">
      <c r="A1017" s="15"/>
      <c r="B1017" s="15"/>
      <c r="C1017" s="15"/>
      <c r="D1017" s="15"/>
      <c r="E1017" s="6"/>
      <c r="F1017" s="6"/>
      <c r="G1017" s="6"/>
      <c r="K1017" s="223"/>
      <c r="M1017" s="889"/>
      <c r="P1017" s="890"/>
      <c r="T1017" s="889"/>
      <c r="X1017" s="15"/>
      <c r="Y1017" s="1935"/>
      <c r="Z1017" s="1086"/>
      <c r="AA1017" s="230"/>
      <c r="AB1017" s="230"/>
      <c r="AC1017" s="1936"/>
      <c r="AD1017" s="230"/>
      <c r="AE1017" s="230"/>
      <c r="AF1017" s="230"/>
      <c r="AG1017" s="890"/>
      <c r="AJ1017" s="890"/>
      <c r="AN1017" s="223"/>
      <c r="AO1017" s="952"/>
      <c r="AP1017" s="1066"/>
      <c r="AQ1017" s="972"/>
      <c r="AR1017" s="1917"/>
      <c r="AS1017" s="222"/>
      <c r="AZ1017" s="889"/>
      <c r="BC1017" s="890"/>
      <c r="BD1017" s="952"/>
      <c r="BE1017" s="75"/>
      <c r="BF1017" s="572"/>
      <c r="BG1017" s="983"/>
      <c r="BH1017" s="222"/>
      <c r="BL1017" s="889"/>
      <c r="BO1017" s="223"/>
    </row>
    <row r="1018" spans="1:67" s="74" customFormat="1">
      <c r="A1018" s="15"/>
      <c r="B1018" s="15"/>
      <c r="C1018" s="15"/>
      <c r="D1018" s="15"/>
      <c r="E1018" s="6"/>
      <c r="F1018" s="6"/>
      <c r="G1018" s="6"/>
      <c r="K1018" s="223"/>
      <c r="M1018" s="889"/>
      <c r="P1018" s="890"/>
      <c r="T1018" s="889"/>
      <c r="X1018" s="15"/>
      <c r="Y1018" s="1935"/>
      <c r="Z1018" s="1086"/>
      <c r="AA1018" s="230"/>
      <c r="AB1018" s="230"/>
      <c r="AC1018" s="1936"/>
      <c r="AD1018" s="230"/>
      <c r="AE1018" s="230"/>
      <c r="AF1018" s="230"/>
      <c r="AG1018" s="890"/>
      <c r="AJ1018" s="890"/>
      <c r="AN1018" s="223"/>
      <c r="AO1018" s="952"/>
      <c r="AP1018" s="1066"/>
      <c r="AQ1018" s="972"/>
      <c r="AR1018" s="1917"/>
      <c r="AS1018" s="222"/>
      <c r="AZ1018" s="889"/>
      <c r="BC1018" s="890"/>
      <c r="BD1018" s="952"/>
      <c r="BE1018" s="75"/>
      <c r="BF1018" s="572"/>
      <c r="BG1018" s="983"/>
      <c r="BH1018" s="222"/>
      <c r="BL1018" s="889"/>
      <c r="BO1018" s="223"/>
    </row>
    <row r="1019" spans="1:67" s="74" customFormat="1">
      <c r="A1019" s="15"/>
      <c r="B1019" s="15"/>
      <c r="C1019" s="15"/>
      <c r="D1019" s="15"/>
      <c r="E1019" s="6"/>
      <c r="F1019" s="6"/>
      <c r="G1019" s="6"/>
      <c r="K1019" s="223"/>
      <c r="M1019" s="889"/>
      <c r="P1019" s="890"/>
      <c r="T1019" s="889"/>
      <c r="X1019" s="15"/>
      <c r="Y1019" s="1935"/>
      <c r="Z1019" s="1086"/>
      <c r="AA1019" s="230"/>
      <c r="AB1019" s="230"/>
      <c r="AC1019" s="1936"/>
      <c r="AD1019" s="230"/>
      <c r="AE1019" s="230"/>
      <c r="AF1019" s="230"/>
      <c r="AG1019" s="890"/>
      <c r="AJ1019" s="890"/>
      <c r="AN1019" s="223"/>
      <c r="AO1019" s="952"/>
      <c r="AP1019" s="1066"/>
      <c r="AQ1019" s="972"/>
      <c r="AR1019" s="1917"/>
      <c r="AS1019" s="222"/>
      <c r="AZ1019" s="889"/>
      <c r="BC1019" s="890"/>
      <c r="BD1019" s="952"/>
      <c r="BE1019" s="75"/>
      <c r="BF1019" s="572"/>
      <c r="BG1019" s="983"/>
      <c r="BH1019" s="222"/>
      <c r="BL1019" s="889"/>
      <c r="BO1019" s="223"/>
    </row>
    <row r="1020" spans="1:67" s="74" customFormat="1">
      <c r="A1020" s="15"/>
      <c r="B1020" s="15"/>
      <c r="C1020" s="15"/>
      <c r="D1020" s="15"/>
      <c r="E1020" s="6"/>
      <c r="F1020" s="6"/>
      <c r="G1020" s="6"/>
      <c r="K1020" s="223"/>
      <c r="M1020" s="889"/>
      <c r="P1020" s="890"/>
      <c r="T1020" s="889"/>
      <c r="X1020" s="15"/>
      <c r="Y1020" s="1935"/>
      <c r="Z1020" s="1086"/>
      <c r="AA1020" s="230"/>
      <c r="AB1020" s="230"/>
      <c r="AC1020" s="1936"/>
      <c r="AD1020" s="230"/>
      <c r="AE1020" s="230"/>
      <c r="AF1020" s="230"/>
      <c r="AG1020" s="890"/>
      <c r="AJ1020" s="890"/>
      <c r="AN1020" s="223"/>
      <c r="AO1020" s="952"/>
      <c r="AP1020" s="1066"/>
      <c r="AQ1020" s="972"/>
      <c r="AR1020" s="1917"/>
      <c r="AS1020" s="222"/>
      <c r="AZ1020" s="889"/>
      <c r="BC1020" s="890"/>
      <c r="BD1020" s="952"/>
      <c r="BE1020" s="75"/>
      <c r="BF1020" s="572"/>
      <c r="BG1020" s="983"/>
      <c r="BH1020" s="222"/>
      <c r="BL1020" s="889"/>
      <c r="BO1020" s="223"/>
    </row>
    <row r="1021" spans="1:67" s="74" customFormat="1">
      <c r="A1021" s="15"/>
      <c r="B1021" s="15"/>
      <c r="C1021" s="15"/>
      <c r="D1021" s="15"/>
      <c r="E1021" s="6"/>
      <c r="F1021" s="6"/>
      <c r="G1021" s="6"/>
      <c r="K1021" s="223"/>
      <c r="M1021" s="889"/>
      <c r="P1021" s="890"/>
      <c r="T1021" s="889"/>
      <c r="X1021" s="15"/>
      <c r="Y1021" s="1935"/>
      <c r="Z1021" s="1086"/>
      <c r="AA1021" s="230"/>
      <c r="AB1021" s="230"/>
      <c r="AC1021" s="1936"/>
      <c r="AD1021" s="230"/>
      <c r="AE1021" s="230"/>
      <c r="AF1021" s="230"/>
      <c r="AG1021" s="890"/>
      <c r="AJ1021" s="890"/>
      <c r="AN1021" s="223"/>
      <c r="AO1021" s="952"/>
      <c r="AP1021" s="1066"/>
      <c r="AQ1021" s="972"/>
      <c r="AR1021" s="1917"/>
      <c r="AS1021" s="222"/>
      <c r="AZ1021" s="889"/>
      <c r="BC1021" s="890"/>
      <c r="BD1021" s="952"/>
      <c r="BE1021" s="75"/>
      <c r="BF1021" s="572"/>
      <c r="BG1021" s="983"/>
      <c r="BH1021" s="222"/>
      <c r="BL1021" s="889"/>
      <c r="BO1021" s="223"/>
    </row>
    <row r="1022" spans="1:67" s="74" customFormat="1">
      <c r="A1022" s="15"/>
      <c r="B1022" s="15"/>
      <c r="C1022" s="15"/>
      <c r="D1022" s="15"/>
      <c r="E1022" s="6"/>
      <c r="F1022" s="6"/>
      <c r="G1022" s="6"/>
      <c r="K1022" s="223"/>
      <c r="M1022" s="889"/>
      <c r="P1022" s="890"/>
      <c r="T1022" s="889"/>
      <c r="X1022" s="15"/>
      <c r="Y1022" s="1935"/>
      <c r="Z1022" s="1086"/>
      <c r="AA1022" s="230"/>
      <c r="AB1022" s="230"/>
      <c r="AC1022" s="1936"/>
      <c r="AD1022" s="230"/>
      <c r="AE1022" s="230"/>
      <c r="AF1022" s="230"/>
      <c r="AG1022" s="890"/>
      <c r="AJ1022" s="890"/>
      <c r="AN1022" s="223"/>
      <c r="AO1022" s="952"/>
      <c r="AP1022" s="1066"/>
      <c r="AQ1022" s="972"/>
      <c r="AR1022" s="1917"/>
      <c r="AS1022" s="222"/>
      <c r="AZ1022" s="889"/>
      <c r="BC1022" s="890"/>
      <c r="BD1022" s="952"/>
      <c r="BE1022" s="75"/>
      <c r="BF1022" s="572"/>
      <c r="BG1022" s="983"/>
      <c r="BH1022" s="222"/>
      <c r="BL1022" s="889"/>
      <c r="BO1022" s="223"/>
    </row>
    <row r="1023" spans="1:67" s="74" customFormat="1">
      <c r="A1023" s="15"/>
      <c r="B1023" s="15"/>
      <c r="C1023" s="15"/>
      <c r="D1023" s="15"/>
      <c r="E1023" s="6"/>
      <c r="F1023" s="6"/>
      <c r="G1023" s="6"/>
      <c r="K1023" s="223"/>
      <c r="M1023" s="889"/>
      <c r="P1023" s="890"/>
      <c r="T1023" s="889"/>
      <c r="X1023" s="15"/>
      <c r="Y1023" s="1935"/>
      <c r="Z1023" s="1086"/>
      <c r="AA1023" s="230"/>
      <c r="AB1023" s="230"/>
      <c r="AC1023" s="1936"/>
      <c r="AD1023" s="230"/>
      <c r="AE1023" s="230"/>
      <c r="AF1023" s="230"/>
      <c r="AG1023" s="890"/>
      <c r="AJ1023" s="890"/>
      <c r="AN1023" s="223"/>
      <c r="AO1023" s="952"/>
      <c r="AP1023" s="1066"/>
      <c r="AQ1023" s="972"/>
      <c r="AR1023" s="1917"/>
      <c r="AS1023" s="222"/>
      <c r="AZ1023" s="889"/>
      <c r="BC1023" s="890"/>
      <c r="BD1023" s="952"/>
      <c r="BE1023" s="75"/>
      <c r="BF1023" s="572"/>
      <c r="BG1023" s="983"/>
      <c r="BH1023" s="222"/>
      <c r="BL1023" s="889"/>
      <c r="BO1023" s="223"/>
    </row>
    <row r="1024" spans="1:67" s="74" customFormat="1">
      <c r="A1024" s="15"/>
      <c r="B1024" s="15"/>
      <c r="C1024" s="15"/>
      <c r="D1024" s="15"/>
      <c r="E1024" s="6"/>
      <c r="F1024" s="6"/>
      <c r="G1024" s="6"/>
      <c r="K1024" s="223"/>
      <c r="M1024" s="889"/>
      <c r="P1024" s="890"/>
      <c r="T1024" s="889"/>
      <c r="X1024" s="15"/>
      <c r="Y1024" s="1935"/>
      <c r="Z1024" s="1086"/>
      <c r="AA1024" s="230"/>
      <c r="AB1024" s="230"/>
      <c r="AC1024" s="1936"/>
      <c r="AD1024" s="230"/>
      <c r="AE1024" s="230"/>
      <c r="AF1024" s="230"/>
      <c r="AG1024" s="890"/>
      <c r="AJ1024" s="890"/>
      <c r="AN1024" s="223"/>
      <c r="AO1024" s="952"/>
      <c r="AP1024" s="1066"/>
      <c r="AQ1024" s="972"/>
      <c r="AR1024" s="1917"/>
      <c r="AS1024" s="222"/>
      <c r="AZ1024" s="889"/>
      <c r="BC1024" s="890"/>
      <c r="BD1024" s="952"/>
      <c r="BE1024" s="75"/>
      <c r="BF1024" s="572"/>
      <c r="BG1024" s="983"/>
      <c r="BH1024" s="222"/>
      <c r="BL1024" s="889"/>
      <c r="BO1024" s="223"/>
    </row>
    <row r="1025" spans="1:67" s="74" customFormat="1">
      <c r="A1025" s="15"/>
      <c r="B1025" s="15"/>
      <c r="C1025" s="15"/>
      <c r="D1025" s="15"/>
      <c r="E1025" s="6"/>
      <c r="F1025" s="6"/>
      <c r="G1025" s="6"/>
      <c r="K1025" s="223"/>
      <c r="M1025" s="889"/>
      <c r="P1025" s="890"/>
      <c r="T1025" s="889"/>
      <c r="X1025" s="15"/>
      <c r="Y1025" s="1935"/>
      <c r="Z1025" s="1086"/>
      <c r="AA1025" s="230"/>
      <c r="AB1025" s="230"/>
      <c r="AC1025" s="1936"/>
      <c r="AD1025" s="230"/>
      <c r="AE1025" s="230"/>
      <c r="AF1025" s="230"/>
      <c r="AG1025" s="890"/>
      <c r="AJ1025" s="890"/>
      <c r="AN1025" s="223"/>
      <c r="AO1025" s="952"/>
      <c r="AP1025" s="1066"/>
      <c r="AQ1025" s="972"/>
      <c r="AR1025" s="1917"/>
      <c r="AS1025" s="222"/>
      <c r="AZ1025" s="889"/>
      <c r="BC1025" s="890"/>
      <c r="BD1025" s="952"/>
      <c r="BE1025" s="75"/>
      <c r="BF1025" s="572"/>
      <c r="BG1025" s="983"/>
      <c r="BH1025" s="222"/>
      <c r="BL1025" s="889"/>
      <c r="BO1025" s="223"/>
    </row>
    <row r="1026" spans="1:67" s="74" customFormat="1">
      <c r="A1026" s="15"/>
      <c r="B1026" s="15"/>
      <c r="C1026" s="15"/>
      <c r="D1026" s="15"/>
      <c r="E1026" s="6"/>
      <c r="F1026" s="6"/>
      <c r="G1026" s="6"/>
      <c r="K1026" s="223"/>
      <c r="M1026" s="889"/>
      <c r="P1026" s="890"/>
      <c r="T1026" s="889"/>
      <c r="X1026" s="15"/>
      <c r="Y1026" s="1935"/>
      <c r="Z1026" s="1086"/>
      <c r="AA1026" s="230"/>
      <c r="AB1026" s="230"/>
      <c r="AC1026" s="1936"/>
      <c r="AD1026" s="230"/>
      <c r="AE1026" s="230"/>
      <c r="AF1026" s="230"/>
      <c r="AG1026" s="890"/>
      <c r="AJ1026" s="890"/>
      <c r="AN1026" s="223"/>
      <c r="AO1026" s="952"/>
      <c r="AP1026" s="1066"/>
      <c r="AQ1026" s="972"/>
      <c r="AR1026" s="1917"/>
      <c r="AS1026" s="222"/>
      <c r="AZ1026" s="889"/>
      <c r="BC1026" s="890"/>
      <c r="BD1026" s="952"/>
      <c r="BE1026" s="75"/>
      <c r="BF1026" s="572"/>
      <c r="BG1026" s="983"/>
      <c r="BH1026" s="222"/>
      <c r="BL1026" s="889"/>
      <c r="BO1026" s="223"/>
    </row>
    <row r="1027" spans="1:67" s="74" customFormat="1">
      <c r="A1027" s="15"/>
      <c r="B1027" s="15"/>
      <c r="C1027" s="15"/>
      <c r="D1027" s="15"/>
      <c r="E1027" s="6"/>
      <c r="F1027" s="6"/>
      <c r="G1027" s="6"/>
      <c r="K1027" s="223"/>
      <c r="M1027" s="889"/>
      <c r="P1027" s="890"/>
      <c r="T1027" s="889"/>
      <c r="X1027" s="15"/>
      <c r="Y1027" s="1935"/>
      <c r="Z1027" s="1086"/>
      <c r="AA1027" s="230"/>
      <c r="AB1027" s="230"/>
      <c r="AC1027" s="1936"/>
      <c r="AD1027" s="230"/>
      <c r="AE1027" s="230"/>
      <c r="AF1027" s="230"/>
      <c r="AG1027" s="890"/>
      <c r="AJ1027" s="890"/>
      <c r="AN1027" s="223"/>
      <c r="AO1027" s="952"/>
      <c r="AP1027" s="1066"/>
      <c r="AQ1027" s="972"/>
      <c r="AR1027" s="1917"/>
      <c r="AS1027" s="222"/>
      <c r="AZ1027" s="889"/>
      <c r="BC1027" s="890"/>
      <c r="BD1027" s="952"/>
      <c r="BE1027" s="75"/>
      <c r="BF1027" s="572"/>
      <c r="BG1027" s="983"/>
      <c r="BH1027" s="222"/>
      <c r="BL1027" s="889"/>
      <c r="BO1027" s="223"/>
    </row>
    <row r="1028" spans="1:67" s="74" customFormat="1">
      <c r="A1028" s="15"/>
      <c r="B1028" s="15"/>
      <c r="C1028" s="15"/>
      <c r="D1028" s="15"/>
      <c r="E1028" s="6"/>
      <c r="F1028" s="6"/>
      <c r="G1028" s="6"/>
      <c r="K1028" s="223"/>
      <c r="M1028" s="889"/>
      <c r="P1028" s="890"/>
      <c r="T1028" s="889"/>
      <c r="X1028" s="15"/>
      <c r="Y1028" s="1935"/>
      <c r="Z1028" s="1086"/>
      <c r="AA1028" s="230"/>
      <c r="AB1028" s="230"/>
      <c r="AC1028" s="1936"/>
      <c r="AD1028" s="230"/>
      <c r="AE1028" s="230"/>
      <c r="AF1028" s="230"/>
      <c r="AG1028" s="890"/>
      <c r="AJ1028" s="890"/>
      <c r="AN1028" s="223"/>
      <c r="AO1028" s="952"/>
      <c r="AP1028" s="1066"/>
      <c r="AQ1028" s="972"/>
      <c r="AR1028" s="1917"/>
      <c r="AS1028" s="222"/>
      <c r="AZ1028" s="889"/>
      <c r="BC1028" s="890"/>
      <c r="BD1028" s="952"/>
      <c r="BE1028" s="75"/>
      <c r="BF1028" s="572"/>
      <c r="BG1028" s="983"/>
      <c r="BH1028" s="222"/>
      <c r="BL1028" s="889"/>
      <c r="BO1028" s="223"/>
    </row>
    <row r="1029" spans="1:67" s="74" customFormat="1">
      <c r="A1029" s="15"/>
      <c r="B1029" s="15"/>
      <c r="C1029" s="15"/>
      <c r="D1029" s="15"/>
      <c r="E1029" s="6"/>
      <c r="F1029" s="6"/>
      <c r="G1029" s="6"/>
      <c r="K1029" s="223"/>
      <c r="M1029" s="889"/>
      <c r="P1029" s="890"/>
      <c r="T1029" s="889"/>
      <c r="X1029" s="15"/>
      <c r="Y1029" s="1935"/>
      <c r="Z1029" s="1086"/>
      <c r="AA1029" s="230"/>
      <c r="AB1029" s="230"/>
      <c r="AC1029" s="1936"/>
      <c r="AD1029" s="230"/>
      <c r="AE1029" s="230"/>
      <c r="AF1029" s="230"/>
      <c r="AG1029" s="890"/>
      <c r="AJ1029" s="890"/>
      <c r="AN1029" s="223"/>
      <c r="AO1029" s="952"/>
      <c r="AP1029" s="1066"/>
      <c r="AQ1029" s="972"/>
      <c r="AR1029" s="1917"/>
      <c r="AS1029" s="222"/>
      <c r="AZ1029" s="889"/>
      <c r="BC1029" s="890"/>
      <c r="BD1029" s="952"/>
      <c r="BE1029" s="75"/>
      <c r="BF1029" s="572"/>
      <c r="BG1029" s="983"/>
      <c r="BH1029" s="222"/>
      <c r="BL1029" s="889"/>
      <c r="BO1029" s="223"/>
    </row>
    <row r="1030" spans="1:67" s="74" customFormat="1">
      <c r="A1030" s="15"/>
      <c r="B1030" s="15"/>
      <c r="C1030" s="15"/>
      <c r="D1030" s="15"/>
      <c r="E1030" s="6"/>
      <c r="F1030" s="6"/>
      <c r="G1030" s="6"/>
      <c r="K1030" s="223"/>
      <c r="M1030" s="889"/>
      <c r="P1030" s="890"/>
      <c r="T1030" s="889"/>
      <c r="X1030" s="15"/>
      <c r="Y1030" s="1935"/>
      <c r="Z1030" s="1086"/>
      <c r="AA1030" s="230"/>
      <c r="AB1030" s="230"/>
      <c r="AC1030" s="1936"/>
      <c r="AD1030" s="230"/>
      <c r="AE1030" s="230"/>
      <c r="AF1030" s="230"/>
      <c r="AG1030" s="890"/>
      <c r="AJ1030" s="890"/>
      <c r="AN1030" s="223"/>
      <c r="AO1030" s="952"/>
      <c r="AP1030" s="1066"/>
      <c r="AQ1030" s="972"/>
      <c r="AR1030" s="1917"/>
      <c r="AS1030" s="222"/>
      <c r="AZ1030" s="889"/>
      <c r="BC1030" s="890"/>
      <c r="BD1030" s="952"/>
      <c r="BE1030" s="75"/>
      <c r="BF1030" s="572"/>
      <c r="BG1030" s="983"/>
      <c r="BH1030" s="222"/>
      <c r="BL1030" s="889"/>
      <c r="BO1030" s="223"/>
    </row>
    <row r="1031" spans="1:67" s="74" customFormat="1">
      <c r="A1031" s="15"/>
      <c r="B1031" s="15"/>
      <c r="C1031" s="15"/>
      <c r="D1031" s="15"/>
      <c r="E1031" s="6"/>
      <c r="F1031" s="6"/>
      <c r="G1031" s="6"/>
      <c r="K1031" s="223"/>
      <c r="M1031" s="889"/>
      <c r="P1031" s="890"/>
      <c r="T1031" s="889"/>
      <c r="X1031" s="15"/>
      <c r="Y1031" s="1935"/>
      <c r="Z1031" s="1086"/>
      <c r="AA1031" s="230"/>
      <c r="AB1031" s="230"/>
      <c r="AC1031" s="1936"/>
      <c r="AD1031" s="230"/>
      <c r="AE1031" s="230"/>
      <c r="AF1031" s="230"/>
      <c r="AG1031" s="890"/>
      <c r="AJ1031" s="890"/>
      <c r="AN1031" s="223"/>
      <c r="AO1031" s="952"/>
      <c r="AP1031" s="1066"/>
      <c r="AQ1031" s="972"/>
      <c r="AR1031" s="1917"/>
      <c r="AS1031" s="222"/>
      <c r="AZ1031" s="889"/>
      <c r="BC1031" s="890"/>
      <c r="BD1031" s="952"/>
      <c r="BE1031" s="75"/>
      <c r="BF1031" s="572"/>
      <c r="BG1031" s="983"/>
      <c r="BH1031" s="222"/>
      <c r="BL1031" s="889"/>
      <c r="BO1031" s="223"/>
    </row>
    <row r="1032" spans="1:67" s="74" customFormat="1">
      <c r="A1032" s="15"/>
      <c r="B1032" s="15"/>
      <c r="C1032" s="15"/>
      <c r="D1032" s="15"/>
      <c r="E1032" s="6"/>
      <c r="F1032" s="6"/>
      <c r="G1032" s="6"/>
      <c r="K1032" s="223"/>
      <c r="M1032" s="889"/>
      <c r="P1032" s="890"/>
      <c r="T1032" s="889"/>
      <c r="X1032" s="15"/>
      <c r="Y1032" s="1935"/>
      <c r="Z1032" s="1086"/>
      <c r="AA1032" s="230"/>
      <c r="AB1032" s="230"/>
      <c r="AC1032" s="1936"/>
      <c r="AD1032" s="230"/>
      <c r="AE1032" s="230"/>
      <c r="AF1032" s="230"/>
      <c r="AG1032" s="890"/>
      <c r="AJ1032" s="890"/>
      <c r="AN1032" s="223"/>
      <c r="AO1032" s="952"/>
      <c r="AP1032" s="1066"/>
      <c r="AQ1032" s="972"/>
      <c r="AR1032" s="1917"/>
      <c r="AS1032" s="222"/>
      <c r="AZ1032" s="889"/>
      <c r="BC1032" s="890"/>
      <c r="BD1032" s="952"/>
      <c r="BE1032" s="75"/>
      <c r="BF1032" s="572"/>
      <c r="BG1032" s="983"/>
      <c r="BH1032" s="222"/>
      <c r="BL1032" s="889"/>
      <c r="BO1032" s="223"/>
    </row>
    <row r="1033" spans="1:67" s="74" customFormat="1">
      <c r="A1033" s="15"/>
      <c r="B1033" s="15"/>
      <c r="C1033" s="15"/>
      <c r="D1033" s="15"/>
      <c r="E1033" s="6"/>
      <c r="F1033" s="6"/>
      <c r="G1033" s="6"/>
      <c r="K1033" s="223"/>
      <c r="M1033" s="889"/>
      <c r="P1033" s="890"/>
      <c r="T1033" s="889"/>
      <c r="X1033" s="15"/>
      <c r="Y1033" s="1935"/>
      <c r="Z1033" s="1086"/>
      <c r="AA1033" s="230"/>
      <c r="AB1033" s="230"/>
      <c r="AC1033" s="1936"/>
      <c r="AD1033" s="230"/>
      <c r="AE1033" s="230"/>
      <c r="AF1033" s="230"/>
      <c r="AG1033" s="890"/>
      <c r="AJ1033" s="890"/>
      <c r="AN1033" s="223"/>
      <c r="AO1033" s="952"/>
      <c r="AP1033" s="1066"/>
      <c r="AQ1033" s="972"/>
      <c r="AR1033" s="1917"/>
      <c r="AS1033" s="222"/>
      <c r="AZ1033" s="889"/>
      <c r="BC1033" s="890"/>
      <c r="BD1033" s="952"/>
      <c r="BE1033" s="75"/>
      <c r="BF1033" s="572"/>
      <c r="BG1033" s="983"/>
      <c r="BH1033" s="222"/>
      <c r="BL1033" s="889"/>
      <c r="BO1033" s="223"/>
    </row>
    <row r="1034" spans="1:67" s="74" customFormat="1">
      <c r="A1034" s="15"/>
      <c r="B1034" s="15"/>
      <c r="C1034" s="15"/>
      <c r="D1034" s="15"/>
      <c r="E1034" s="6"/>
      <c r="F1034" s="6"/>
      <c r="G1034" s="6"/>
      <c r="K1034" s="223"/>
      <c r="M1034" s="889"/>
      <c r="P1034" s="890"/>
      <c r="T1034" s="889"/>
      <c r="X1034" s="15"/>
      <c r="Y1034" s="1935"/>
      <c r="Z1034" s="1086"/>
      <c r="AA1034" s="230"/>
      <c r="AB1034" s="230"/>
      <c r="AC1034" s="1936"/>
      <c r="AD1034" s="230"/>
      <c r="AE1034" s="230"/>
      <c r="AF1034" s="230"/>
      <c r="AG1034" s="890"/>
      <c r="AJ1034" s="890"/>
      <c r="AN1034" s="223"/>
      <c r="AO1034" s="952"/>
      <c r="AP1034" s="1066"/>
      <c r="AQ1034" s="972"/>
      <c r="AR1034" s="1917"/>
      <c r="AS1034" s="222"/>
      <c r="AZ1034" s="889"/>
      <c r="BC1034" s="890"/>
      <c r="BD1034" s="952"/>
      <c r="BE1034" s="75"/>
      <c r="BF1034" s="572"/>
      <c r="BG1034" s="983"/>
      <c r="BH1034" s="222"/>
      <c r="BL1034" s="889"/>
      <c r="BO1034" s="223"/>
    </row>
    <row r="1035" spans="1:67" s="74" customFormat="1">
      <c r="A1035" s="15"/>
      <c r="B1035" s="15"/>
      <c r="C1035" s="15"/>
      <c r="D1035" s="15"/>
      <c r="E1035" s="6"/>
      <c r="F1035" s="6"/>
      <c r="G1035" s="6"/>
      <c r="K1035" s="223"/>
      <c r="M1035" s="889"/>
      <c r="P1035" s="890"/>
      <c r="T1035" s="889"/>
      <c r="X1035" s="15"/>
      <c r="Y1035" s="1935"/>
      <c r="Z1035" s="1086"/>
      <c r="AA1035" s="230"/>
      <c r="AB1035" s="230"/>
      <c r="AC1035" s="1936"/>
      <c r="AD1035" s="230"/>
      <c r="AE1035" s="230"/>
      <c r="AF1035" s="230"/>
      <c r="AG1035" s="890"/>
      <c r="AJ1035" s="890"/>
      <c r="AN1035" s="223"/>
      <c r="AO1035" s="952"/>
      <c r="AP1035" s="1066"/>
      <c r="AQ1035" s="972"/>
      <c r="AR1035" s="1917"/>
      <c r="AS1035" s="222"/>
      <c r="AZ1035" s="889"/>
      <c r="BC1035" s="890"/>
      <c r="BD1035" s="952"/>
      <c r="BE1035" s="75"/>
      <c r="BF1035" s="572"/>
      <c r="BG1035" s="983"/>
      <c r="BH1035" s="222"/>
      <c r="BL1035" s="889"/>
      <c r="BO1035" s="223"/>
    </row>
    <row r="1036" spans="1:67" s="74" customFormat="1">
      <c r="A1036" s="15"/>
      <c r="B1036" s="15"/>
      <c r="C1036" s="15"/>
      <c r="D1036" s="15"/>
      <c r="E1036" s="6"/>
      <c r="F1036" s="6"/>
      <c r="G1036" s="6"/>
      <c r="K1036" s="223"/>
      <c r="M1036" s="889"/>
      <c r="P1036" s="890"/>
      <c r="T1036" s="889"/>
      <c r="X1036" s="15"/>
      <c r="Y1036" s="1935"/>
      <c r="Z1036" s="1086"/>
      <c r="AA1036" s="230"/>
      <c r="AB1036" s="230"/>
      <c r="AC1036" s="1936"/>
      <c r="AD1036" s="230"/>
      <c r="AE1036" s="230"/>
      <c r="AF1036" s="230"/>
      <c r="AG1036" s="890"/>
      <c r="AJ1036" s="890"/>
      <c r="AN1036" s="223"/>
      <c r="AO1036" s="952"/>
      <c r="AP1036" s="1066"/>
      <c r="AQ1036" s="972"/>
      <c r="AR1036" s="1917"/>
      <c r="AS1036" s="222"/>
      <c r="AZ1036" s="889"/>
      <c r="BC1036" s="890"/>
      <c r="BD1036" s="952"/>
      <c r="BE1036" s="75"/>
      <c r="BF1036" s="572"/>
      <c r="BG1036" s="983"/>
      <c r="BH1036" s="222"/>
      <c r="BL1036" s="889"/>
      <c r="BO1036" s="223"/>
    </row>
    <row r="1037" spans="1:67" s="74" customFormat="1">
      <c r="A1037" s="15"/>
      <c r="B1037" s="15"/>
      <c r="C1037" s="15"/>
      <c r="D1037" s="15"/>
      <c r="E1037" s="6"/>
      <c r="F1037" s="6"/>
      <c r="G1037" s="6"/>
      <c r="K1037" s="223"/>
      <c r="M1037" s="889"/>
      <c r="P1037" s="890"/>
      <c r="T1037" s="889"/>
      <c r="X1037" s="15"/>
      <c r="Y1037" s="1935"/>
      <c r="Z1037" s="1086"/>
      <c r="AA1037" s="230"/>
      <c r="AB1037" s="230"/>
      <c r="AC1037" s="1936"/>
      <c r="AD1037" s="230"/>
      <c r="AE1037" s="230"/>
      <c r="AF1037" s="230"/>
      <c r="AG1037" s="890"/>
      <c r="AJ1037" s="890"/>
      <c r="AN1037" s="223"/>
      <c r="AO1037" s="952"/>
      <c r="AP1037" s="1066"/>
      <c r="AQ1037" s="972"/>
      <c r="AR1037" s="1917"/>
      <c r="AS1037" s="222"/>
      <c r="AZ1037" s="889"/>
      <c r="BC1037" s="890"/>
      <c r="BD1037" s="952"/>
      <c r="BE1037" s="75"/>
      <c r="BF1037" s="572"/>
      <c r="BG1037" s="983"/>
      <c r="BH1037" s="222"/>
      <c r="BL1037" s="889"/>
      <c r="BO1037" s="223"/>
    </row>
    <row r="1038" spans="1:67" s="74" customFormat="1">
      <c r="A1038" s="15"/>
      <c r="B1038" s="15"/>
      <c r="C1038" s="15"/>
      <c r="D1038" s="15"/>
      <c r="E1038" s="6"/>
      <c r="F1038" s="6"/>
      <c r="G1038" s="6"/>
      <c r="K1038" s="223"/>
      <c r="M1038" s="889"/>
      <c r="P1038" s="890"/>
      <c r="T1038" s="889"/>
      <c r="X1038" s="15"/>
      <c r="Y1038" s="1935"/>
      <c r="Z1038" s="1086"/>
      <c r="AA1038" s="230"/>
      <c r="AB1038" s="230"/>
      <c r="AC1038" s="1936"/>
      <c r="AD1038" s="230"/>
      <c r="AE1038" s="230"/>
      <c r="AF1038" s="230"/>
      <c r="AG1038" s="890"/>
      <c r="AJ1038" s="890"/>
      <c r="AN1038" s="223"/>
      <c r="AO1038" s="952"/>
      <c r="AP1038" s="1066"/>
      <c r="AQ1038" s="972"/>
      <c r="AR1038" s="1917"/>
      <c r="AS1038" s="222"/>
      <c r="AZ1038" s="889"/>
      <c r="BC1038" s="890"/>
      <c r="BD1038" s="952"/>
      <c r="BE1038" s="75"/>
      <c r="BF1038" s="572"/>
      <c r="BG1038" s="983"/>
      <c r="BH1038" s="222"/>
      <c r="BL1038" s="889"/>
      <c r="BO1038" s="223"/>
    </row>
    <row r="1039" spans="1:67" s="74" customFormat="1">
      <c r="A1039" s="15"/>
      <c r="B1039" s="15"/>
      <c r="C1039" s="15"/>
      <c r="D1039" s="15"/>
      <c r="E1039" s="6"/>
      <c r="F1039" s="6"/>
      <c r="G1039" s="6"/>
      <c r="K1039" s="223"/>
      <c r="M1039" s="889"/>
      <c r="P1039" s="890"/>
      <c r="T1039" s="889"/>
      <c r="X1039" s="15"/>
      <c r="Y1039" s="1935"/>
      <c r="Z1039" s="1086"/>
      <c r="AA1039" s="230"/>
      <c r="AB1039" s="230"/>
      <c r="AC1039" s="1936"/>
      <c r="AD1039" s="230"/>
      <c r="AE1039" s="230"/>
      <c r="AF1039" s="230"/>
      <c r="AG1039" s="890"/>
      <c r="AJ1039" s="890"/>
      <c r="AN1039" s="223"/>
      <c r="AO1039" s="952"/>
      <c r="AP1039" s="1066"/>
      <c r="AQ1039" s="972"/>
      <c r="AR1039" s="1917"/>
      <c r="AS1039" s="222"/>
      <c r="AZ1039" s="889"/>
      <c r="BC1039" s="890"/>
      <c r="BD1039" s="952"/>
      <c r="BE1039" s="75"/>
      <c r="BF1039" s="572"/>
      <c r="BG1039" s="983"/>
      <c r="BH1039" s="222"/>
      <c r="BL1039" s="889"/>
      <c r="BO1039" s="223"/>
    </row>
    <row r="1040" spans="1:67" s="74" customFormat="1">
      <c r="A1040" s="15"/>
      <c r="B1040" s="15"/>
      <c r="C1040" s="15"/>
      <c r="D1040" s="15"/>
      <c r="E1040" s="6"/>
      <c r="F1040" s="6"/>
      <c r="G1040" s="6"/>
      <c r="K1040" s="223"/>
      <c r="M1040" s="889"/>
      <c r="P1040" s="890"/>
      <c r="T1040" s="889"/>
      <c r="X1040" s="15"/>
      <c r="Y1040" s="1935"/>
      <c r="Z1040" s="1086"/>
      <c r="AA1040" s="230"/>
      <c r="AB1040" s="230"/>
      <c r="AC1040" s="1936"/>
      <c r="AD1040" s="230"/>
      <c r="AE1040" s="230"/>
      <c r="AF1040" s="230"/>
      <c r="AG1040" s="890"/>
      <c r="AJ1040" s="890"/>
      <c r="AN1040" s="223"/>
      <c r="AO1040" s="952"/>
      <c r="AP1040" s="1066"/>
      <c r="AQ1040" s="972"/>
      <c r="AR1040" s="1917"/>
      <c r="AS1040" s="222"/>
      <c r="AZ1040" s="889"/>
      <c r="BC1040" s="890"/>
      <c r="BD1040" s="952"/>
      <c r="BE1040" s="75"/>
      <c r="BF1040" s="572"/>
      <c r="BG1040" s="983"/>
      <c r="BH1040" s="222"/>
      <c r="BL1040" s="889"/>
      <c r="BO1040" s="223"/>
    </row>
    <row r="1041" spans="1:67" s="74" customFormat="1">
      <c r="A1041" s="15"/>
      <c r="B1041" s="15"/>
      <c r="C1041" s="15"/>
      <c r="D1041" s="15"/>
      <c r="E1041" s="6"/>
      <c r="F1041" s="6"/>
      <c r="G1041" s="6"/>
      <c r="K1041" s="223"/>
      <c r="M1041" s="889"/>
      <c r="P1041" s="890"/>
      <c r="T1041" s="889"/>
      <c r="X1041" s="15"/>
      <c r="Y1041" s="1935"/>
      <c r="Z1041" s="1086"/>
      <c r="AA1041" s="230"/>
      <c r="AB1041" s="230"/>
      <c r="AC1041" s="1936"/>
      <c r="AD1041" s="230"/>
      <c r="AE1041" s="230"/>
      <c r="AF1041" s="230"/>
      <c r="AG1041" s="890"/>
      <c r="AJ1041" s="890"/>
      <c r="AN1041" s="223"/>
      <c r="AO1041" s="952"/>
      <c r="AP1041" s="1066"/>
      <c r="AQ1041" s="972"/>
      <c r="AR1041" s="1917"/>
      <c r="AS1041" s="222"/>
      <c r="AZ1041" s="889"/>
      <c r="BC1041" s="890"/>
      <c r="BD1041" s="952"/>
      <c r="BE1041" s="75"/>
      <c r="BF1041" s="572"/>
      <c r="BG1041" s="983"/>
      <c r="BH1041" s="222"/>
      <c r="BL1041" s="889"/>
      <c r="BO1041" s="223"/>
    </row>
    <row r="1042" spans="1:67" s="74" customFormat="1">
      <c r="A1042" s="15"/>
      <c r="B1042" s="15"/>
      <c r="C1042" s="15"/>
      <c r="D1042" s="15"/>
      <c r="E1042" s="6"/>
      <c r="F1042" s="6"/>
      <c r="G1042" s="6"/>
      <c r="K1042" s="223"/>
      <c r="M1042" s="889"/>
      <c r="P1042" s="890"/>
      <c r="T1042" s="889"/>
      <c r="X1042" s="15"/>
      <c r="Y1042" s="1935"/>
      <c r="Z1042" s="1086"/>
      <c r="AA1042" s="230"/>
      <c r="AB1042" s="230"/>
      <c r="AC1042" s="1936"/>
      <c r="AD1042" s="230"/>
      <c r="AE1042" s="230"/>
      <c r="AF1042" s="230"/>
      <c r="AG1042" s="890"/>
      <c r="AJ1042" s="890"/>
      <c r="AN1042" s="223"/>
      <c r="AO1042" s="952"/>
      <c r="AP1042" s="1066"/>
      <c r="AQ1042" s="972"/>
      <c r="AR1042" s="1917"/>
      <c r="AS1042" s="222"/>
      <c r="AZ1042" s="889"/>
      <c r="BC1042" s="890"/>
      <c r="BD1042" s="952"/>
      <c r="BE1042" s="75"/>
      <c r="BF1042" s="572"/>
      <c r="BG1042" s="983"/>
      <c r="BH1042" s="222"/>
      <c r="BL1042" s="889"/>
      <c r="BO1042" s="223"/>
    </row>
    <row r="1043" spans="1:67" s="74" customFormat="1">
      <c r="A1043" s="15"/>
      <c r="B1043" s="15"/>
      <c r="C1043" s="15"/>
      <c r="D1043" s="15"/>
      <c r="E1043" s="6"/>
      <c r="F1043" s="6"/>
      <c r="G1043" s="6"/>
      <c r="K1043" s="223"/>
      <c r="M1043" s="889"/>
      <c r="P1043" s="890"/>
      <c r="T1043" s="889"/>
      <c r="X1043" s="15"/>
      <c r="Y1043" s="1935"/>
      <c r="Z1043" s="1086"/>
      <c r="AA1043" s="230"/>
      <c r="AB1043" s="230"/>
      <c r="AC1043" s="1936"/>
      <c r="AD1043" s="230"/>
      <c r="AE1043" s="230"/>
      <c r="AF1043" s="230"/>
      <c r="AG1043" s="890"/>
      <c r="AJ1043" s="890"/>
      <c r="AN1043" s="223"/>
      <c r="AO1043" s="952"/>
      <c r="AP1043" s="1066"/>
      <c r="AQ1043" s="972"/>
      <c r="AR1043" s="1917"/>
      <c r="AS1043" s="222"/>
      <c r="AZ1043" s="889"/>
      <c r="BC1043" s="890"/>
      <c r="BD1043" s="952"/>
      <c r="BE1043" s="75"/>
      <c r="BF1043" s="572"/>
      <c r="BG1043" s="983"/>
      <c r="BH1043" s="222"/>
      <c r="BL1043" s="889"/>
      <c r="BO1043" s="223"/>
    </row>
    <row r="1044" spans="1:67" s="74" customFormat="1">
      <c r="A1044" s="15"/>
      <c r="B1044" s="15"/>
      <c r="C1044" s="15"/>
      <c r="D1044" s="15"/>
      <c r="E1044" s="6"/>
      <c r="F1044" s="6"/>
      <c r="G1044" s="6"/>
      <c r="K1044" s="223"/>
      <c r="M1044" s="889"/>
      <c r="P1044" s="890"/>
      <c r="T1044" s="889"/>
      <c r="X1044" s="15"/>
      <c r="Y1044" s="1935"/>
      <c r="Z1044" s="1086"/>
      <c r="AA1044" s="230"/>
      <c r="AB1044" s="230"/>
      <c r="AC1044" s="1936"/>
      <c r="AD1044" s="230"/>
      <c r="AE1044" s="230"/>
      <c r="AF1044" s="230"/>
      <c r="AG1044" s="890"/>
      <c r="AJ1044" s="890"/>
      <c r="AN1044" s="223"/>
      <c r="AO1044" s="952"/>
      <c r="AP1044" s="1066"/>
      <c r="AQ1044" s="972"/>
      <c r="AR1044" s="1917"/>
      <c r="AS1044" s="222"/>
      <c r="AZ1044" s="889"/>
      <c r="BC1044" s="890"/>
      <c r="BD1044" s="952"/>
      <c r="BE1044" s="75"/>
      <c r="BF1044" s="572"/>
      <c r="BG1044" s="983"/>
      <c r="BH1044" s="222"/>
      <c r="BL1044" s="889"/>
      <c r="BO1044" s="223"/>
    </row>
    <row r="1045" spans="1:67" s="74" customFormat="1">
      <c r="A1045" s="15"/>
      <c r="B1045" s="15"/>
      <c r="C1045" s="15"/>
      <c r="D1045" s="15"/>
      <c r="E1045" s="6"/>
      <c r="F1045" s="6"/>
      <c r="G1045" s="6"/>
      <c r="K1045" s="223"/>
      <c r="M1045" s="889"/>
      <c r="P1045" s="890"/>
      <c r="T1045" s="889"/>
      <c r="X1045" s="15"/>
      <c r="Y1045" s="1935"/>
      <c r="Z1045" s="1086"/>
      <c r="AA1045" s="230"/>
      <c r="AB1045" s="230"/>
      <c r="AC1045" s="1936"/>
      <c r="AD1045" s="230"/>
      <c r="AE1045" s="230"/>
      <c r="AF1045" s="230"/>
      <c r="AG1045" s="890"/>
      <c r="AJ1045" s="890"/>
      <c r="AN1045" s="223"/>
      <c r="AO1045" s="952"/>
      <c r="AP1045" s="1066"/>
      <c r="AQ1045" s="972"/>
      <c r="AR1045" s="1917"/>
      <c r="AS1045" s="222"/>
      <c r="AZ1045" s="889"/>
      <c r="BC1045" s="890"/>
      <c r="BD1045" s="952"/>
      <c r="BE1045" s="75"/>
      <c r="BF1045" s="572"/>
      <c r="BG1045" s="983"/>
      <c r="BH1045" s="222"/>
      <c r="BL1045" s="889"/>
      <c r="BO1045" s="223"/>
    </row>
    <row r="1046" spans="1:67" s="74" customFormat="1">
      <c r="A1046" s="15"/>
      <c r="B1046" s="15"/>
      <c r="C1046" s="15"/>
      <c r="D1046" s="15"/>
      <c r="E1046" s="6"/>
      <c r="F1046" s="6"/>
      <c r="G1046" s="6"/>
      <c r="K1046" s="223"/>
      <c r="M1046" s="889"/>
      <c r="P1046" s="890"/>
      <c r="T1046" s="889"/>
      <c r="X1046" s="15"/>
      <c r="Y1046" s="1935"/>
      <c r="Z1046" s="1086"/>
      <c r="AA1046" s="230"/>
      <c r="AB1046" s="230"/>
      <c r="AC1046" s="1936"/>
      <c r="AD1046" s="230"/>
      <c r="AE1046" s="230"/>
      <c r="AF1046" s="230"/>
      <c r="AG1046" s="890"/>
      <c r="AJ1046" s="890"/>
      <c r="AN1046" s="223"/>
      <c r="AO1046" s="952"/>
      <c r="AP1046" s="1066"/>
      <c r="AQ1046" s="972"/>
      <c r="AR1046" s="1917"/>
      <c r="AS1046" s="222"/>
      <c r="AZ1046" s="889"/>
      <c r="BC1046" s="890"/>
      <c r="BD1046" s="952"/>
      <c r="BE1046" s="75"/>
      <c r="BF1046" s="572"/>
      <c r="BG1046" s="983"/>
      <c r="BH1046" s="222"/>
      <c r="BL1046" s="889"/>
      <c r="BO1046" s="223"/>
    </row>
    <row r="1047" spans="1:67" s="74" customFormat="1">
      <c r="A1047" s="15"/>
      <c r="B1047" s="15"/>
      <c r="C1047" s="15"/>
      <c r="D1047" s="15"/>
      <c r="E1047" s="6"/>
      <c r="F1047" s="6"/>
      <c r="G1047" s="6"/>
      <c r="K1047" s="223"/>
      <c r="M1047" s="889"/>
      <c r="P1047" s="890"/>
      <c r="T1047" s="889"/>
      <c r="X1047" s="15"/>
      <c r="Y1047" s="1935"/>
      <c r="Z1047" s="1086"/>
      <c r="AA1047" s="230"/>
      <c r="AB1047" s="230"/>
      <c r="AC1047" s="1936"/>
      <c r="AD1047" s="230"/>
      <c r="AE1047" s="230"/>
      <c r="AF1047" s="230"/>
      <c r="AG1047" s="890"/>
      <c r="AJ1047" s="890"/>
      <c r="AN1047" s="223"/>
      <c r="AO1047" s="952"/>
      <c r="AP1047" s="1066"/>
      <c r="AQ1047" s="972"/>
      <c r="AR1047" s="1917"/>
      <c r="AS1047" s="222"/>
      <c r="AZ1047" s="889"/>
      <c r="BC1047" s="890"/>
      <c r="BD1047" s="952"/>
      <c r="BE1047" s="75"/>
      <c r="BF1047" s="572"/>
      <c r="BG1047" s="983"/>
      <c r="BH1047" s="222"/>
      <c r="BL1047" s="889"/>
      <c r="BO1047" s="223"/>
    </row>
    <row r="1048" spans="1:67" s="74" customFormat="1">
      <c r="A1048" s="15"/>
      <c r="B1048" s="15"/>
      <c r="C1048" s="15"/>
      <c r="D1048" s="15"/>
      <c r="E1048" s="6"/>
      <c r="F1048" s="6"/>
      <c r="G1048" s="6"/>
      <c r="K1048" s="223"/>
      <c r="M1048" s="889"/>
      <c r="P1048" s="890"/>
      <c r="T1048" s="889"/>
      <c r="X1048" s="15"/>
      <c r="Y1048" s="1935"/>
      <c r="Z1048" s="1086"/>
      <c r="AA1048" s="230"/>
      <c r="AB1048" s="230"/>
      <c r="AC1048" s="1936"/>
      <c r="AD1048" s="230"/>
      <c r="AE1048" s="230"/>
      <c r="AF1048" s="230"/>
      <c r="AG1048" s="890"/>
      <c r="AJ1048" s="890"/>
      <c r="AN1048" s="223"/>
      <c r="AO1048" s="952"/>
      <c r="AP1048" s="1066"/>
      <c r="AQ1048" s="972"/>
      <c r="AR1048" s="1917"/>
      <c r="AS1048" s="222"/>
      <c r="AZ1048" s="889"/>
      <c r="BC1048" s="890"/>
      <c r="BD1048" s="952"/>
      <c r="BE1048" s="75"/>
      <c r="BF1048" s="572"/>
      <c r="BG1048" s="983"/>
      <c r="BH1048" s="222"/>
      <c r="BL1048" s="889"/>
      <c r="BO1048" s="223"/>
    </row>
    <row r="1049" spans="1:67" s="74" customFormat="1">
      <c r="A1049" s="15"/>
      <c r="B1049" s="15"/>
      <c r="C1049" s="15"/>
      <c r="D1049" s="15"/>
      <c r="E1049" s="6"/>
      <c r="F1049" s="6"/>
      <c r="G1049" s="6"/>
      <c r="K1049" s="223"/>
      <c r="M1049" s="889"/>
      <c r="P1049" s="890"/>
      <c r="T1049" s="889"/>
      <c r="X1049" s="15"/>
      <c r="Y1049" s="1935"/>
      <c r="Z1049" s="1086"/>
      <c r="AA1049" s="230"/>
      <c r="AB1049" s="230"/>
      <c r="AC1049" s="1936"/>
      <c r="AD1049" s="230"/>
      <c r="AE1049" s="230"/>
      <c r="AF1049" s="230"/>
      <c r="AG1049" s="890"/>
      <c r="AJ1049" s="890"/>
      <c r="AN1049" s="223"/>
      <c r="AO1049" s="952"/>
      <c r="AP1049" s="1066"/>
      <c r="AQ1049" s="972"/>
      <c r="AR1049" s="1917"/>
      <c r="AS1049" s="222"/>
      <c r="AZ1049" s="889"/>
      <c r="BC1049" s="890"/>
      <c r="BD1049" s="952"/>
      <c r="BE1049" s="75"/>
      <c r="BF1049" s="572"/>
      <c r="BG1049" s="983"/>
      <c r="BH1049" s="222"/>
      <c r="BL1049" s="889"/>
      <c r="BO1049" s="223"/>
    </row>
    <row r="1050" spans="1:67" s="74" customFormat="1">
      <c r="A1050" s="15"/>
      <c r="B1050" s="15"/>
      <c r="C1050" s="15"/>
      <c r="D1050" s="15"/>
      <c r="E1050" s="6"/>
      <c r="F1050" s="6"/>
      <c r="G1050" s="6"/>
      <c r="K1050" s="223"/>
      <c r="M1050" s="889"/>
      <c r="P1050" s="890"/>
      <c r="T1050" s="889"/>
      <c r="X1050" s="15"/>
      <c r="Y1050" s="1935"/>
      <c r="Z1050" s="1086"/>
      <c r="AA1050" s="230"/>
      <c r="AB1050" s="230"/>
      <c r="AC1050" s="1936"/>
      <c r="AD1050" s="230"/>
      <c r="AE1050" s="230"/>
      <c r="AF1050" s="230"/>
      <c r="AG1050" s="890"/>
      <c r="AJ1050" s="890"/>
      <c r="AN1050" s="223"/>
      <c r="AO1050" s="952"/>
      <c r="AP1050" s="1066"/>
      <c r="AQ1050" s="972"/>
      <c r="AR1050" s="1917"/>
      <c r="AS1050" s="222"/>
      <c r="AZ1050" s="889"/>
      <c r="BC1050" s="890"/>
      <c r="BD1050" s="952"/>
      <c r="BE1050" s="75"/>
      <c r="BF1050" s="572"/>
      <c r="BG1050" s="983"/>
      <c r="BH1050" s="222"/>
      <c r="BL1050" s="889"/>
      <c r="BO1050" s="223"/>
    </row>
    <row r="1051" spans="1:67" s="74" customFormat="1">
      <c r="A1051" s="15"/>
      <c r="B1051" s="15"/>
      <c r="C1051" s="15"/>
      <c r="D1051" s="15"/>
      <c r="E1051" s="6"/>
      <c r="F1051" s="6"/>
      <c r="G1051" s="6"/>
      <c r="K1051" s="223"/>
      <c r="M1051" s="889"/>
      <c r="P1051" s="890"/>
      <c r="T1051" s="889"/>
      <c r="X1051" s="15"/>
      <c r="Y1051" s="1935"/>
      <c r="Z1051" s="1086"/>
      <c r="AA1051" s="230"/>
      <c r="AB1051" s="230"/>
      <c r="AC1051" s="1936"/>
      <c r="AD1051" s="230"/>
      <c r="AE1051" s="230"/>
      <c r="AF1051" s="230"/>
      <c r="AG1051" s="890"/>
      <c r="AJ1051" s="890"/>
      <c r="AN1051" s="223"/>
      <c r="AO1051" s="952"/>
      <c r="AP1051" s="1066"/>
      <c r="AQ1051" s="972"/>
      <c r="AR1051" s="1917"/>
      <c r="AS1051" s="222"/>
      <c r="AZ1051" s="889"/>
      <c r="BC1051" s="890"/>
      <c r="BD1051" s="952"/>
      <c r="BE1051" s="75"/>
      <c r="BF1051" s="572"/>
      <c r="BG1051" s="983"/>
      <c r="BH1051" s="222"/>
      <c r="BL1051" s="889"/>
      <c r="BO1051" s="223"/>
    </row>
    <row r="1052" spans="1:67" s="74" customFormat="1">
      <c r="A1052" s="15"/>
      <c r="B1052" s="15"/>
      <c r="C1052" s="15"/>
      <c r="D1052" s="15"/>
      <c r="E1052" s="6"/>
      <c r="F1052" s="6"/>
      <c r="G1052" s="6"/>
      <c r="K1052" s="223"/>
      <c r="M1052" s="889"/>
      <c r="P1052" s="890"/>
      <c r="T1052" s="889"/>
      <c r="X1052" s="15"/>
      <c r="Y1052" s="1935"/>
      <c r="Z1052" s="1086"/>
      <c r="AA1052" s="230"/>
      <c r="AB1052" s="230"/>
      <c r="AC1052" s="1936"/>
      <c r="AD1052" s="230"/>
      <c r="AE1052" s="230"/>
      <c r="AF1052" s="230"/>
      <c r="AG1052" s="890"/>
      <c r="AJ1052" s="890"/>
      <c r="AN1052" s="223"/>
      <c r="AO1052" s="952"/>
      <c r="AP1052" s="1066"/>
      <c r="AQ1052" s="972"/>
      <c r="AR1052" s="1917"/>
      <c r="AS1052" s="222"/>
      <c r="AZ1052" s="889"/>
      <c r="BC1052" s="890"/>
      <c r="BD1052" s="952"/>
      <c r="BE1052" s="75"/>
      <c r="BF1052" s="572"/>
      <c r="BG1052" s="983"/>
      <c r="BH1052" s="222"/>
      <c r="BL1052" s="889"/>
      <c r="BO1052" s="223"/>
    </row>
    <row r="1053" spans="1:67" s="74" customFormat="1">
      <c r="A1053" s="15"/>
      <c r="B1053" s="15"/>
      <c r="C1053" s="15"/>
      <c r="D1053" s="15"/>
      <c r="E1053" s="6"/>
      <c r="F1053" s="6"/>
      <c r="G1053" s="6"/>
      <c r="K1053" s="223"/>
      <c r="M1053" s="889"/>
      <c r="P1053" s="890"/>
      <c r="T1053" s="889"/>
      <c r="X1053" s="15"/>
      <c r="Y1053" s="1935"/>
      <c r="Z1053" s="1086"/>
      <c r="AA1053" s="230"/>
      <c r="AB1053" s="230"/>
      <c r="AC1053" s="1936"/>
      <c r="AD1053" s="230"/>
      <c r="AE1053" s="230"/>
      <c r="AF1053" s="230"/>
      <c r="AG1053" s="890"/>
      <c r="AJ1053" s="890"/>
      <c r="AN1053" s="223"/>
      <c r="AO1053" s="952"/>
      <c r="AP1053" s="1066"/>
      <c r="AQ1053" s="972"/>
      <c r="AR1053" s="1917"/>
      <c r="AS1053" s="222"/>
      <c r="AZ1053" s="889"/>
      <c r="BC1053" s="890"/>
      <c r="BD1053" s="952"/>
      <c r="BE1053" s="75"/>
      <c r="BF1053" s="572"/>
      <c r="BG1053" s="983"/>
      <c r="BH1053" s="222"/>
      <c r="BL1053" s="889"/>
      <c r="BO1053" s="223"/>
    </row>
    <row r="1054" spans="1:67" s="74" customFormat="1">
      <c r="A1054" s="15"/>
      <c r="B1054" s="15"/>
      <c r="C1054" s="15"/>
      <c r="D1054" s="15"/>
      <c r="E1054" s="6"/>
      <c r="F1054" s="6"/>
      <c r="G1054" s="6"/>
      <c r="K1054" s="223"/>
      <c r="M1054" s="889"/>
      <c r="P1054" s="890"/>
      <c r="T1054" s="889"/>
      <c r="X1054" s="15"/>
      <c r="Y1054" s="1935"/>
      <c r="Z1054" s="1086"/>
      <c r="AA1054" s="230"/>
      <c r="AB1054" s="230"/>
      <c r="AC1054" s="1936"/>
      <c r="AD1054" s="230"/>
      <c r="AE1054" s="230"/>
      <c r="AF1054" s="230"/>
      <c r="AG1054" s="890"/>
      <c r="AJ1054" s="890"/>
      <c r="AN1054" s="223"/>
      <c r="AO1054" s="952"/>
      <c r="AP1054" s="1066"/>
      <c r="AQ1054" s="972"/>
      <c r="AR1054" s="1917"/>
      <c r="AS1054" s="222"/>
      <c r="AZ1054" s="889"/>
      <c r="BC1054" s="890"/>
      <c r="BD1054" s="952"/>
      <c r="BE1054" s="75"/>
      <c r="BF1054" s="572"/>
      <c r="BG1054" s="983"/>
      <c r="BH1054" s="222"/>
      <c r="BL1054" s="889"/>
      <c r="BO1054" s="223"/>
    </row>
    <row r="1055" spans="1:67" s="74" customFormat="1">
      <c r="A1055" s="15"/>
      <c r="B1055" s="15"/>
      <c r="C1055" s="15"/>
      <c r="D1055" s="15"/>
      <c r="E1055" s="6"/>
      <c r="F1055" s="6"/>
      <c r="G1055" s="6"/>
      <c r="K1055" s="223"/>
      <c r="M1055" s="889"/>
      <c r="P1055" s="890"/>
      <c r="T1055" s="889"/>
      <c r="X1055" s="15"/>
      <c r="Y1055" s="1935"/>
      <c r="Z1055" s="1086"/>
      <c r="AA1055" s="230"/>
      <c r="AB1055" s="230"/>
      <c r="AC1055" s="1936"/>
      <c r="AD1055" s="230"/>
      <c r="AE1055" s="230"/>
      <c r="AF1055" s="230"/>
      <c r="AG1055" s="890"/>
      <c r="AJ1055" s="890"/>
      <c r="AN1055" s="223"/>
      <c r="AO1055" s="952"/>
      <c r="AP1055" s="1066"/>
      <c r="AQ1055" s="972"/>
      <c r="AR1055" s="1917"/>
      <c r="AS1055" s="222"/>
      <c r="AZ1055" s="889"/>
      <c r="BC1055" s="890"/>
      <c r="BD1055" s="952"/>
      <c r="BE1055" s="75"/>
      <c r="BF1055" s="572"/>
      <c r="BG1055" s="983"/>
      <c r="BH1055" s="222"/>
      <c r="BL1055" s="889"/>
      <c r="BO1055" s="223"/>
    </row>
    <row r="1056" spans="1:67" s="74" customFormat="1">
      <c r="A1056" s="15"/>
      <c r="B1056" s="15"/>
      <c r="C1056" s="15"/>
      <c r="D1056" s="15"/>
      <c r="E1056" s="6"/>
      <c r="F1056" s="6"/>
      <c r="G1056" s="6"/>
      <c r="K1056" s="223"/>
      <c r="M1056" s="889"/>
      <c r="P1056" s="890"/>
      <c r="T1056" s="889"/>
      <c r="X1056" s="15"/>
      <c r="Y1056" s="1935"/>
      <c r="Z1056" s="1086"/>
      <c r="AA1056" s="230"/>
      <c r="AB1056" s="230"/>
      <c r="AC1056" s="1936"/>
      <c r="AD1056" s="230"/>
      <c r="AE1056" s="230"/>
      <c r="AF1056" s="230"/>
      <c r="AG1056" s="890"/>
      <c r="AJ1056" s="890"/>
      <c r="AN1056" s="223"/>
      <c r="AO1056" s="952"/>
      <c r="AP1056" s="1066"/>
      <c r="AQ1056" s="972"/>
      <c r="AR1056" s="1917"/>
      <c r="AS1056" s="222"/>
      <c r="AZ1056" s="889"/>
      <c r="BC1056" s="890"/>
      <c r="BD1056" s="952"/>
      <c r="BE1056" s="75"/>
      <c r="BF1056" s="572"/>
      <c r="BG1056" s="983"/>
      <c r="BH1056" s="222"/>
      <c r="BL1056" s="889"/>
      <c r="BO1056" s="223"/>
    </row>
    <row r="1057" spans="1:67" s="74" customFormat="1">
      <c r="A1057" s="15"/>
      <c r="B1057" s="15"/>
      <c r="C1057" s="15"/>
      <c r="D1057" s="15"/>
      <c r="E1057" s="6"/>
      <c r="F1057" s="6"/>
      <c r="G1057" s="6"/>
      <c r="K1057" s="223"/>
      <c r="M1057" s="889"/>
      <c r="P1057" s="890"/>
      <c r="T1057" s="889"/>
      <c r="X1057" s="15"/>
      <c r="Y1057" s="1935"/>
      <c r="Z1057" s="1086"/>
      <c r="AA1057" s="230"/>
      <c r="AB1057" s="230"/>
      <c r="AC1057" s="1936"/>
      <c r="AD1057" s="230"/>
      <c r="AE1057" s="230"/>
      <c r="AF1057" s="230"/>
      <c r="AG1057" s="890"/>
      <c r="AJ1057" s="890"/>
      <c r="AN1057" s="223"/>
      <c r="AO1057" s="952"/>
      <c r="AP1057" s="1066"/>
      <c r="AQ1057" s="972"/>
      <c r="AR1057" s="1917"/>
      <c r="AS1057" s="222"/>
      <c r="AZ1057" s="889"/>
      <c r="BC1057" s="890"/>
      <c r="BD1057" s="952"/>
      <c r="BE1057" s="75"/>
      <c r="BF1057" s="572"/>
      <c r="BG1057" s="983"/>
      <c r="BH1057" s="222"/>
      <c r="BL1057" s="889"/>
      <c r="BO1057" s="223"/>
    </row>
    <row r="1058" spans="1:67" s="74" customFormat="1">
      <c r="A1058" s="15"/>
      <c r="B1058" s="15"/>
      <c r="C1058" s="15"/>
      <c r="D1058" s="15"/>
      <c r="E1058" s="6"/>
      <c r="F1058" s="6"/>
      <c r="G1058" s="6"/>
      <c r="K1058" s="223"/>
      <c r="M1058" s="889"/>
      <c r="P1058" s="890"/>
      <c r="T1058" s="889"/>
      <c r="X1058" s="15"/>
      <c r="Y1058" s="1935"/>
      <c r="Z1058" s="1086"/>
      <c r="AA1058" s="230"/>
      <c r="AB1058" s="230"/>
      <c r="AC1058" s="1936"/>
      <c r="AD1058" s="230"/>
      <c r="AE1058" s="230"/>
      <c r="AF1058" s="230"/>
      <c r="AG1058" s="890"/>
      <c r="AJ1058" s="890"/>
      <c r="AN1058" s="223"/>
      <c r="AO1058" s="952"/>
      <c r="AP1058" s="1066"/>
      <c r="AQ1058" s="972"/>
      <c r="AR1058" s="1917"/>
      <c r="AS1058" s="222"/>
      <c r="AZ1058" s="889"/>
      <c r="BC1058" s="890"/>
      <c r="BD1058" s="952"/>
      <c r="BE1058" s="75"/>
      <c r="BF1058" s="572"/>
      <c r="BG1058" s="983"/>
      <c r="BH1058" s="222"/>
      <c r="BL1058" s="889"/>
      <c r="BO1058" s="223"/>
    </row>
    <row r="1059" spans="1:67" s="74" customFormat="1">
      <c r="A1059" s="15"/>
      <c r="B1059" s="15"/>
      <c r="C1059" s="15"/>
      <c r="D1059" s="15"/>
      <c r="E1059" s="6"/>
      <c r="F1059" s="6"/>
      <c r="G1059" s="6"/>
      <c r="K1059" s="223"/>
      <c r="M1059" s="889"/>
      <c r="P1059" s="890"/>
      <c r="T1059" s="889"/>
      <c r="X1059" s="15"/>
      <c r="Y1059" s="1935"/>
      <c r="Z1059" s="1086"/>
      <c r="AA1059" s="230"/>
      <c r="AB1059" s="230"/>
      <c r="AC1059" s="1936"/>
      <c r="AD1059" s="230"/>
      <c r="AE1059" s="230"/>
      <c r="AF1059" s="230"/>
      <c r="AG1059" s="890"/>
      <c r="AJ1059" s="890"/>
      <c r="AN1059" s="223"/>
      <c r="AO1059" s="952"/>
      <c r="AP1059" s="1066"/>
      <c r="AQ1059" s="972"/>
      <c r="AR1059" s="1917"/>
      <c r="AS1059" s="222"/>
      <c r="AZ1059" s="889"/>
      <c r="BC1059" s="890"/>
      <c r="BD1059" s="952"/>
      <c r="BE1059" s="75"/>
      <c r="BF1059" s="572"/>
      <c r="BG1059" s="983"/>
      <c r="BH1059" s="222"/>
      <c r="BL1059" s="889"/>
      <c r="BO1059" s="223"/>
    </row>
    <row r="1060" spans="1:67" s="74" customFormat="1">
      <c r="A1060" s="15"/>
      <c r="B1060" s="15"/>
      <c r="C1060" s="15"/>
      <c r="D1060" s="15"/>
      <c r="E1060" s="6"/>
      <c r="F1060" s="6"/>
      <c r="G1060" s="6"/>
      <c r="K1060" s="223"/>
      <c r="M1060" s="889"/>
      <c r="P1060" s="890"/>
      <c r="T1060" s="889"/>
      <c r="X1060" s="15"/>
      <c r="Y1060" s="1935"/>
      <c r="Z1060" s="1086"/>
      <c r="AA1060" s="230"/>
      <c r="AB1060" s="230"/>
      <c r="AC1060" s="1936"/>
      <c r="AD1060" s="230"/>
      <c r="AE1060" s="230"/>
      <c r="AF1060" s="230"/>
      <c r="AG1060" s="890"/>
      <c r="AJ1060" s="890"/>
      <c r="AN1060" s="223"/>
      <c r="AO1060" s="952"/>
      <c r="AP1060" s="1066"/>
      <c r="AQ1060" s="972"/>
      <c r="AR1060" s="1917"/>
      <c r="AS1060" s="222"/>
      <c r="AZ1060" s="889"/>
      <c r="BC1060" s="890"/>
      <c r="BD1060" s="952"/>
      <c r="BE1060" s="75"/>
      <c r="BF1060" s="572"/>
      <c r="BG1060" s="983"/>
      <c r="BH1060" s="222"/>
      <c r="BL1060" s="889"/>
      <c r="BO1060" s="223"/>
    </row>
    <row r="1061" spans="1:67" s="74" customFormat="1">
      <c r="A1061" s="15"/>
      <c r="B1061" s="15"/>
      <c r="C1061" s="15"/>
      <c r="D1061" s="15"/>
      <c r="E1061" s="6"/>
      <c r="F1061" s="6"/>
      <c r="G1061" s="6"/>
      <c r="K1061" s="223"/>
      <c r="M1061" s="889"/>
      <c r="P1061" s="890"/>
      <c r="T1061" s="889"/>
      <c r="X1061" s="15"/>
      <c r="Y1061" s="1935"/>
      <c r="Z1061" s="1086"/>
      <c r="AA1061" s="230"/>
      <c r="AB1061" s="230"/>
      <c r="AC1061" s="1936"/>
      <c r="AD1061" s="230"/>
      <c r="AE1061" s="230"/>
      <c r="AF1061" s="230"/>
      <c r="AG1061" s="890"/>
      <c r="AJ1061" s="890"/>
      <c r="AN1061" s="223"/>
      <c r="AO1061" s="952"/>
      <c r="AP1061" s="1066"/>
      <c r="AQ1061" s="972"/>
      <c r="AR1061" s="1917"/>
      <c r="AS1061" s="222"/>
      <c r="AZ1061" s="889"/>
      <c r="BC1061" s="890"/>
      <c r="BD1061" s="952"/>
      <c r="BE1061" s="75"/>
      <c r="BF1061" s="572"/>
      <c r="BG1061" s="983"/>
      <c r="BH1061" s="222"/>
      <c r="BL1061" s="889"/>
      <c r="BO1061" s="223"/>
    </row>
    <row r="1062" spans="1:67" s="74" customFormat="1">
      <c r="A1062" s="15"/>
      <c r="B1062" s="15"/>
      <c r="C1062" s="15"/>
      <c r="D1062" s="15"/>
      <c r="E1062" s="6"/>
      <c r="F1062" s="6"/>
      <c r="G1062" s="6"/>
      <c r="K1062" s="223"/>
      <c r="M1062" s="889"/>
      <c r="P1062" s="890"/>
      <c r="T1062" s="889"/>
      <c r="X1062" s="15"/>
      <c r="Y1062" s="1935"/>
      <c r="Z1062" s="1086"/>
      <c r="AA1062" s="230"/>
      <c r="AB1062" s="230"/>
      <c r="AC1062" s="1936"/>
      <c r="AD1062" s="230"/>
      <c r="AE1062" s="230"/>
      <c r="AF1062" s="230"/>
      <c r="AG1062" s="890"/>
      <c r="AJ1062" s="890"/>
      <c r="AN1062" s="223"/>
      <c r="AO1062" s="952"/>
      <c r="AP1062" s="1066"/>
      <c r="AQ1062" s="972"/>
      <c r="AR1062" s="1917"/>
      <c r="AS1062" s="222"/>
      <c r="AZ1062" s="889"/>
      <c r="BC1062" s="890"/>
      <c r="BD1062" s="952"/>
      <c r="BE1062" s="75"/>
      <c r="BF1062" s="572"/>
      <c r="BG1062" s="983"/>
      <c r="BH1062" s="222"/>
      <c r="BL1062" s="889"/>
      <c r="BO1062" s="223"/>
    </row>
    <row r="1063" spans="1:67" s="74" customFormat="1">
      <c r="A1063" s="15"/>
      <c r="B1063" s="15"/>
      <c r="C1063" s="15"/>
      <c r="D1063" s="15"/>
      <c r="E1063" s="6"/>
      <c r="F1063" s="6"/>
      <c r="G1063" s="6"/>
      <c r="K1063" s="223"/>
      <c r="M1063" s="889"/>
      <c r="P1063" s="890"/>
      <c r="T1063" s="889"/>
      <c r="X1063" s="15"/>
      <c r="Y1063" s="1935"/>
      <c r="Z1063" s="1086"/>
      <c r="AA1063" s="230"/>
      <c r="AB1063" s="230"/>
      <c r="AC1063" s="1936"/>
      <c r="AD1063" s="230"/>
      <c r="AE1063" s="230"/>
      <c r="AF1063" s="230"/>
      <c r="AG1063" s="890"/>
      <c r="AJ1063" s="890"/>
      <c r="AN1063" s="223"/>
      <c r="AO1063" s="952"/>
      <c r="AP1063" s="1066"/>
      <c r="AQ1063" s="972"/>
      <c r="AR1063" s="1917"/>
      <c r="AS1063" s="222"/>
      <c r="AZ1063" s="889"/>
      <c r="BC1063" s="890"/>
      <c r="BD1063" s="952"/>
      <c r="BE1063" s="75"/>
      <c r="BF1063" s="572"/>
      <c r="BG1063" s="983"/>
      <c r="BH1063" s="222"/>
      <c r="BL1063" s="889"/>
      <c r="BO1063" s="223"/>
    </row>
    <row r="1064" spans="1:67" s="74" customFormat="1">
      <c r="A1064" s="15"/>
      <c r="B1064" s="15"/>
      <c r="C1064" s="15"/>
      <c r="D1064" s="15"/>
      <c r="E1064" s="6"/>
      <c r="F1064" s="6"/>
      <c r="G1064" s="6"/>
      <c r="K1064" s="223"/>
      <c r="M1064" s="889"/>
      <c r="P1064" s="890"/>
      <c r="T1064" s="889"/>
      <c r="X1064" s="15"/>
      <c r="Y1064" s="1935"/>
      <c r="Z1064" s="1086"/>
      <c r="AA1064" s="230"/>
      <c r="AB1064" s="230"/>
      <c r="AC1064" s="1936"/>
      <c r="AD1064" s="230"/>
      <c r="AE1064" s="230"/>
      <c r="AF1064" s="230"/>
      <c r="AG1064" s="890"/>
      <c r="AJ1064" s="890"/>
      <c r="AN1064" s="223"/>
      <c r="AO1064" s="952"/>
      <c r="AP1064" s="1066"/>
      <c r="AQ1064" s="972"/>
      <c r="AR1064" s="1917"/>
      <c r="AS1064" s="222"/>
      <c r="AZ1064" s="889"/>
      <c r="BC1064" s="890"/>
      <c r="BD1064" s="952"/>
      <c r="BE1064" s="75"/>
      <c r="BF1064" s="572"/>
      <c r="BG1064" s="983"/>
      <c r="BH1064" s="222"/>
      <c r="BL1064" s="889"/>
      <c r="BO1064" s="223"/>
    </row>
    <row r="1065" spans="1:67" s="74" customFormat="1">
      <c r="A1065" s="15"/>
      <c r="B1065" s="15"/>
      <c r="C1065" s="15"/>
      <c r="D1065" s="15"/>
      <c r="E1065" s="6"/>
      <c r="F1065" s="6"/>
      <c r="G1065" s="6"/>
      <c r="K1065" s="223"/>
      <c r="M1065" s="889"/>
      <c r="P1065" s="890"/>
      <c r="T1065" s="889"/>
      <c r="X1065" s="15"/>
      <c r="Y1065" s="1935"/>
      <c r="Z1065" s="1086"/>
      <c r="AA1065" s="230"/>
      <c r="AB1065" s="230"/>
      <c r="AC1065" s="1936"/>
      <c r="AD1065" s="230"/>
      <c r="AE1065" s="230"/>
      <c r="AF1065" s="230"/>
      <c r="AG1065" s="890"/>
      <c r="AJ1065" s="890"/>
      <c r="AN1065" s="223"/>
      <c r="AO1065" s="952"/>
      <c r="AP1065" s="1066"/>
      <c r="AQ1065" s="972"/>
      <c r="AR1065" s="1917"/>
      <c r="AS1065" s="222"/>
      <c r="AZ1065" s="889"/>
      <c r="BC1065" s="890"/>
      <c r="BD1065" s="952"/>
      <c r="BE1065" s="75"/>
      <c r="BF1065" s="572"/>
      <c r="BG1065" s="983"/>
      <c r="BH1065" s="222"/>
      <c r="BL1065" s="889"/>
      <c r="BO1065" s="223"/>
    </row>
    <row r="1066" spans="1:67" s="74" customFormat="1">
      <c r="A1066" s="15"/>
      <c r="B1066" s="15"/>
      <c r="C1066" s="15"/>
      <c r="D1066" s="15"/>
      <c r="E1066" s="6"/>
      <c r="F1066" s="6"/>
      <c r="G1066" s="6"/>
      <c r="K1066" s="223"/>
      <c r="M1066" s="889"/>
      <c r="P1066" s="890"/>
      <c r="T1066" s="889"/>
      <c r="X1066" s="15"/>
      <c r="Y1066" s="1935"/>
      <c r="Z1066" s="1086"/>
      <c r="AA1066" s="230"/>
      <c r="AB1066" s="230"/>
      <c r="AC1066" s="1936"/>
      <c r="AD1066" s="230"/>
      <c r="AE1066" s="230"/>
      <c r="AF1066" s="230"/>
      <c r="AG1066" s="890"/>
      <c r="AJ1066" s="890"/>
      <c r="AN1066" s="223"/>
      <c r="AO1066" s="952"/>
      <c r="AP1066" s="1066"/>
      <c r="AQ1066" s="972"/>
      <c r="AR1066" s="1917"/>
      <c r="AS1066" s="222"/>
      <c r="AZ1066" s="889"/>
      <c r="BC1066" s="890"/>
      <c r="BD1066" s="952"/>
      <c r="BE1066" s="75"/>
      <c r="BF1066" s="572"/>
      <c r="BG1066" s="983"/>
      <c r="BH1066" s="222"/>
      <c r="BL1066" s="889"/>
      <c r="BO1066" s="223"/>
    </row>
    <row r="1067" spans="1:67" s="74" customFormat="1">
      <c r="A1067" s="15"/>
      <c r="B1067" s="15"/>
      <c r="C1067" s="15"/>
      <c r="D1067" s="15"/>
      <c r="E1067" s="6"/>
      <c r="F1067" s="6"/>
      <c r="G1067" s="6"/>
      <c r="K1067" s="223"/>
      <c r="M1067" s="889"/>
      <c r="P1067" s="890"/>
      <c r="T1067" s="889"/>
      <c r="X1067" s="15"/>
      <c r="Y1067" s="1935"/>
      <c r="Z1067" s="1086"/>
      <c r="AA1067" s="230"/>
      <c r="AB1067" s="230"/>
      <c r="AC1067" s="1936"/>
      <c r="AD1067" s="230"/>
      <c r="AE1067" s="230"/>
      <c r="AF1067" s="230"/>
      <c r="AG1067" s="890"/>
      <c r="AJ1067" s="890"/>
      <c r="AN1067" s="223"/>
      <c r="AO1067" s="952"/>
      <c r="AP1067" s="1066"/>
      <c r="AQ1067" s="972"/>
      <c r="AR1067" s="1917"/>
      <c r="AS1067" s="222"/>
      <c r="AZ1067" s="889"/>
      <c r="BC1067" s="890"/>
      <c r="BD1067" s="952"/>
      <c r="BE1067" s="75"/>
      <c r="BF1067" s="572"/>
      <c r="BG1067" s="983"/>
      <c r="BH1067" s="222"/>
      <c r="BL1067" s="889"/>
      <c r="BO1067" s="223"/>
    </row>
    <row r="1068" spans="1:67" s="74" customFormat="1">
      <c r="A1068" s="15"/>
      <c r="B1068" s="15"/>
      <c r="C1068" s="15"/>
      <c r="D1068" s="15"/>
      <c r="E1068" s="6"/>
      <c r="F1068" s="6"/>
      <c r="G1068" s="6"/>
      <c r="K1068" s="223"/>
      <c r="M1068" s="889"/>
      <c r="P1068" s="890"/>
      <c r="T1068" s="889"/>
      <c r="X1068" s="15"/>
      <c r="Y1068" s="1935"/>
      <c r="Z1068" s="1086"/>
      <c r="AA1068" s="230"/>
      <c r="AB1068" s="230"/>
      <c r="AC1068" s="1936"/>
      <c r="AD1068" s="230"/>
      <c r="AE1068" s="230"/>
      <c r="AF1068" s="230"/>
      <c r="AG1068" s="890"/>
      <c r="AJ1068" s="890"/>
      <c r="AN1068" s="223"/>
      <c r="AO1068" s="952"/>
      <c r="AP1068" s="1066"/>
      <c r="AQ1068" s="972"/>
      <c r="AR1068" s="1917"/>
      <c r="AS1068" s="222"/>
      <c r="AZ1068" s="889"/>
      <c r="BC1068" s="890"/>
      <c r="BD1068" s="952"/>
      <c r="BE1068" s="75"/>
      <c r="BF1068" s="572"/>
      <c r="BG1068" s="983"/>
      <c r="BH1068" s="222"/>
      <c r="BL1068" s="889"/>
      <c r="BO1068" s="223"/>
    </row>
    <row r="1069" spans="1:67" s="74" customFormat="1">
      <c r="A1069" s="15"/>
      <c r="B1069" s="15"/>
      <c r="C1069" s="15"/>
      <c r="D1069" s="15"/>
      <c r="E1069" s="6"/>
      <c r="F1069" s="6"/>
      <c r="G1069" s="6"/>
      <c r="K1069" s="223"/>
      <c r="M1069" s="889"/>
      <c r="P1069" s="890"/>
      <c r="T1069" s="889"/>
      <c r="X1069" s="15"/>
      <c r="Y1069" s="1935"/>
      <c r="Z1069" s="1086"/>
      <c r="AA1069" s="230"/>
      <c r="AB1069" s="230"/>
      <c r="AC1069" s="1936"/>
      <c r="AD1069" s="230"/>
      <c r="AE1069" s="230"/>
      <c r="AF1069" s="230"/>
      <c r="AG1069" s="890"/>
      <c r="AJ1069" s="890"/>
      <c r="AN1069" s="223"/>
      <c r="AO1069" s="952"/>
      <c r="AP1069" s="1066"/>
      <c r="AQ1069" s="972"/>
      <c r="AR1069" s="1917"/>
      <c r="AS1069" s="222"/>
      <c r="AZ1069" s="889"/>
      <c r="BC1069" s="890"/>
      <c r="BD1069" s="952"/>
      <c r="BE1069" s="75"/>
      <c r="BF1069" s="572"/>
      <c r="BG1069" s="983"/>
      <c r="BH1069" s="222"/>
      <c r="BL1069" s="889"/>
      <c r="BO1069" s="223"/>
    </row>
    <row r="1070" spans="1:67" s="74" customFormat="1">
      <c r="A1070" s="15"/>
      <c r="B1070" s="15"/>
      <c r="C1070" s="15"/>
      <c r="D1070" s="15"/>
      <c r="E1070" s="6"/>
      <c r="F1070" s="6"/>
      <c r="G1070" s="6"/>
      <c r="K1070" s="223"/>
      <c r="M1070" s="889"/>
      <c r="P1070" s="890"/>
      <c r="T1070" s="889"/>
      <c r="X1070" s="15"/>
      <c r="Y1070" s="1935"/>
      <c r="Z1070" s="1086"/>
      <c r="AA1070" s="230"/>
      <c r="AB1070" s="230"/>
      <c r="AC1070" s="1936"/>
      <c r="AD1070" s="230"/>
      <c r="AE1070" s="230"/>
      <c r="AF1070" s="230"/>
      <c r="AG1070" s="890"/>
      <c r="AJ1070" s="890"/>
      <c r="AN1070" s="223"/>
      <c r="AO1070" s="952"/>
      <c r="AP1070" s="1066"/>
      <c r="AQ1070" s="972"/>
      <c r="AR1070" s="1917"/>
      <c r="AS1070" s="222"/>
      <c r="AZ1070" s="889"/>
      <c r="BC1070" s="890"/>
      <c r="BD1070" s="952"/>
      <c r="BE1070" s="75"/>
      <c r="BF1070" s="572"/>
      <c r="BG1070" s="983"/>
      <c r="BH1070" s="222"/>
      <c r="BL1070" s="889"/>
      <c r="BO1070" s="223"/>
    </row>
    <row r="1071" spans="1:67" s="74" customFormat="1">
      <c r="A1071" s="15"/>
      <c r="B1071" s="15"/>
      <c r="C1071" s="15"/>
      <c r="D1071" s="15"/>
      <c r="E1071" s="6"/>
      <c r="F1071" s="6"/>
      <c r="G1071" s="6"/>
      <c r="K1071" s="223"/>
      <c r="M1071" s="889"/>
      <c r="P1071" s="890"/>
      <c r="T1071" s="889"/>
      <c r="X1071" s="15"/>
      <c r="Y1071" s="1935"/>
      <c r="Z1071" s="1086"/>
      <c r="AA1071" s="230"/>
      <c r="AB1071" s="230"/>
      <c r="AC1071" s="1936"/>
      <c r="AD1071" s="230"/>
      <c r="AE1071" s="230"/>
      <c r="AF1071" s="230"/>
      <c r="AG1071" s="890"/>
      <c r="AJ1071" s="890"/>
      <c r="AN1071" s="223"/>
      <c r="AO1071" s="952"/>
      <c r="AP1071" s="1066"/>
      <c r="AQ1071" s="972"/>
      <c r="AR1071" s="1917"/>
      <c r="AS1071" s="222"/>
      <c r="AZ1071" s="889"/>
      <c r="BC1071" s="890"/>
      <c r="BD1071" s="952"/>
      <c r="BE1071" s="75"/>
      <c r="BF1071" s="572"/>
      <c r="BG1071" s="983"/>
      <c r="BH1071" s="222"/>
      <c r="BL1071" s="889"/>
      <c r="BO1071" s="223"/>
    </row>
    <row r="1072" spans="1:67" s="74" customFormat="1">
      <c r="A1072" s="15"/>
      <c r="B1072" s="15"/>
      <c r="C1072" s="15"/>
      <c r="D1072" s="15"/>
      <c r="E1072" s="6"/>
      <c r="F1072" s="6"/>
      <c r="G1072" s="6"/>
      <c r="K1072" s="223"/>
      <c r="M1072" s="889"/>
      <c r="P1072" s="890"/>
      <c r="T1072" s="889"/>
      <c r="X1072" s="15"/>
      <c r="Y1072" s="1935"/>
      <c r="Z1072" s="1086"/>
      <c r="AA1072" s="230"/>
      <c r="AB1072" s="230"/>
      <c r="AC1072" s="1936"/>
      <c r="AD1072" s="230"/>
      <c r="AE1072" s="230"/>
      <c r="AF1072" s="230"/>
      <c r="AG1072" s="890"/>
      <c r="AJ1072" s="890"/>
      <c r="AN1072" s="223"/>
      <c r="AO1072" s="952"/>
      <c r="AP1072" s="1066"/>
      <c r="AQ1072" s="972"/>
      <c r="AR1072" s="1917"/>
      <c r="AS1072" s="222"/>
      <c r="AZ1072" s="889"/>
      <c r="BC1072" s="890"/>
      <c r="BD1072" s="952"/>
      <c r="BE1072" s="75"/>
      <c r="BF1072" s="572"/>
      <c r="BG1072" s="983"/>
      <c r="BH1072" s="222"/>
      <c r="BL1072" s="889"/>
      <c r="BO1072" s="223"/>
    </row>
    <row r="1073" spans="1:67" s="74" customFormat="1">
      <c r="A1073" s="15"/>
      <c r="B1073" s="15"/>
      <c r="C1073" s="15"/>
      <c r="D1073" s="15"/>
      <c r="E1073" s="6"/>
      <c r="F1073" s="6"/>
      <c r="G1073" s="6"/>
      <c r="K1073" s="223"/>
      <c r="M1073" s="889"/>
      <c r="P1073" s="890"/>
      <c r="T1073" s="889"/>
      <c r="X1073" s="15"/>
      <c r="Y1073" s="1935"/>
      <c r="Z1073" s="1086"/>
      <c r="AA1073" s="230"/>
      <c r="AB1073" s="230"/>
      <c r="AC1073" s="1936"/>
      <c r="AD1073" s="230"/>
      <c r="AE1073" s="230"/>
      <c r="AF1073" s="230"/>
      <c r="AG1073" s="890"/>
      <c r="AJ1073" s="890"/>
      <c r="AN1073" s="223"/>
      <c r="AO1073" s="952"/>
      <c r="AP1073" s="1066"/>
      <c r="AQ1073" s="972"/>
      <c r="AR1073" s="1917"/>
      <c r="AS1073" s="222"/>
      <c r="AZ1073" s="889"/>
      <c r="BC1073" s="890"/>
      <c r="BD1073" s="952"/>
      <c r="BE1073" s="75"/>
      <c r="BF1073" s="572"/>
      <c r="BG1073" s="983"/>
      <c r="BH1073" s="222"/>
      <c r="BL1073" s="889"/>
      <c r="BO1073" s="223"/>
    </row>
    <row r="1074" spans="1:67" s="74" customFormat="1">
      <c r="A1074" s="15"/>
      <c r="B1074" s="15"/>
      <c r="C1074" s="15"/>
      <c r="D1074" s="15"/>
      <c r="E1074" s="6"/>
      <c r="F1074" s="6"/>
      <c r="G1074" s="6"/>
      <c r="K1074" s="223"/>
      <c r="M1074" s="889"/>
      <c r="P1074" s="890"/>
      <c r="T1074" s="889"/>
      <c r="X1074" s="15"/>
      <c r="Y1074" s="1935"/>
      <c r="Z1074" s="1086"/>
      <c r="AA1074" s="230"/>
      <c r="AB1074" s="230"/>
      <c r="AC1074" s="1936"/>
      <c r="AD1074" s="230"/>
      <c r="AE1074" s="230"/>
      <c r="AF1074" s="230"/>
      <c r="AG1074" s="890"/>
      <c r="AJ1074" s="890"/>
      <c r="AN1074" s="223"/>
      <c r="AO1074" s="952"/>
      <c r="AP1074" s="1066"/>
      <c r="AQ1074" s="972"/>
      <c r="AR1074" s="1917"/>
      <c r="AS1074" s="222"/>
      <c r="AZ1074" s="889"/>
      <c r="BC1074" s="890"/>
      <c r="BD1074" s="952"/>
      <c r="BE1074" s="75"/>
      <c r="BF1074" s="572"/>
      <c r="BG1074" s="983"/>
      <c r="BH1074" s="222"/>
      <c r="BL1074" s="889"/>
      <c r="BO1074" s="223"/>
    </row>
    <row r="1075" spans="1:67" s="74" customFormat="1">
      <c r="A1075" s="15"/>
      <c r="B1075" s="15"/>
      <c r="C1075" s="15"/>
      <c r="D1075" s="15"/>
      <c r="E1075" s="6"/>
      <c r="F1075" s="6"/>
      <c r="G1075" s="6"/>
      <c r="K1075" s="223"/>
      <c r="M1075" s="889"/>
      <c r="P1075" s="890"/>
      <c r="T1075" s="889"/>
      <c r="X1075" s="15"/>
      <c r="Y1075" s="1935"/>
      <c r="Z1075" s="1086"/>
      <c r="AA1075" s="230"/>
      <c r="AB1075" s="230"/>
      <c r="AC1075" s="1936"/>
      <c r="AD1075" s="230"/>
      <c r="AE1075" s="230"/>
      <c r="AF1075" s="230"/>
      <c r="AG1075" s="890"/>
      <c r="AJ1075" s="890"/>
      <c r="AN1075" s="223"/>
      <c r="AO1075" s="952"/>
      <c r="AP1075" s="1066"/>
      <c r="AQ1075" s="972"/>
      <c r="AR1075" s="1917"/>
      <c r="AS1075" s="222"/>
      <c r="AZ1075" s="889"/>
      <c r="BC1075" s="890"/>
      <c r="BD1075" s="952"/>
      <c r="BE1075" s="75"/>
      <c r="BF1075" s="572"/>
      <c r="BG1075" s="983"/>
      <c r="BH1075" s="222"/>
      <c r="BL1075" s="889"/>
      <c r="BO1075" s="223"/>
    </row>
    <row r="1076" spans="1:67" s="74" customFormat="1">
      <c r="A1076" s="15"/>
      <c r="B1076" s="15"/>
      <c r="C1076" s="15"/>
      <c r="D1076" s="15"/>
      <c r="E1076" s="6"/>
      <c r="F1076" s="6"/>
      <c r="G1076" s="6"/>
      <c r="K1076" s="223"/>
      <c r="M1076" s="889"/>
      <c r="P1076" s="890"/>
      <c r="T1076" s="889"/>
      <c r="X1076" s="15"/>
      <c r="Y1076" s="1935"/>
      <c r="Z1076" s="1086"/>
      <c r="AA1076" s="230"/>
      <c r="AB1076" s="230"/>
      <c r="AC1076" s="1936"/>
      <c r="AD1076" s="230"/>
      <c r="AE1076" s="230"/>
      <c r="AF1076" s="230"/>
      <c r="AG1076" s="890"/>
      <c r="AJ1076" s="890"/>
      <c r="AN1076" s="223"/>
      <c r="AO1076" s="952"/>
      <c r="AP1076" s="1066"/>
      <c r="AQ1076" s="972"/>
      <c r="AR1076" s="1917"/>
      <c r="AS1076" s="222"/>
      <c r="AZ1076" s="889"/>
      <c r="BC1076" s="890"/>
      <c r="BD1076" s="952"/>
      <c r="BE1076" s="75"/>
      <c r="BF1076" s="572"/>
      <c r="BG1076" s="983"/>
      <c r="BH1076" s="222"/>
      <c r="BL1076" s="889"/>
      <c r="BO1076" s="223"/>
    </row>
    <row r="1077" spans="1:67" s="74" customFormat="1">
      <c r="A1077" s="15"/>
      <c r="B1077" s="15"/>
      <c r="C1077" s="15"/>
      <c r="D1077" s="15"/>
      <c r="E1077" s="6"/>
      <c r="F1077" s="6"/>
      <c r="G1077" s="6"/>
      <c r="K1077" s="223"/>
      <c r="M1077" s="889"/>
      <c r="P1077" s="890"/>
      <c r="T1077" s="889"/>
      <c r="X1077" s="15"/>
      <c r="Y1077" s="1935"/>
      <c r="Z1077" s="1086"/>
      <c r="AA1077" s="230"/>
      <c r="AB1077" s="230"/>
      <c r="AC1077" s="1936"/>
      <c r="AD1077" s="230"/>
      <c r="AE1077" s="230"/>
      <c r="AF1077" s="230"/>
      <c r="AG1077" s="890"/>
      <c r="AJ1077" s="890"/>
      <c r="AN1077" s="223"/>
      <c r="AO1077" s="952"/>
      <c r="AP1077" s="1066"/>
      <c r="AQ1077" s="972"/>
      <c r="AR1077" s="1917"/>
      <c r="AS1077" s="222"/>
      <c r="AZ1077" s="889"/>
      <c r="BC1077" s="890"/>
      <c r="BD1077" s="952"/>
      <c r="BE1077" s="75"/>
      <c r="BF1077" s="572"/>
      <c r="BG1077" s="983"/>
      <c r="BH1077" s="222"/>
      <c r="BL1077" s="889"/>
      <c r="BO1077" s="223"/>
    </row>
    <row r="1078" spans="1:67" s="74" customFormat="1">
      <c r="A1078" s="15"/>
      <c r="B1078" s="15"/>
      <c r="C1078" s="15"/>
      <c r="D1078" s="15"/>
      <c r="E1078" s="6"/>
      <c r="F1078" s="6"/>
      <c r="G1078" s="6"/>
      <c r="K1078" s="223"/>
      <c r="M1078" s="889"/>
      <c r="P1078" s="890"/>
      <c r="T1078" s="889"/>
      <c r="X1078" s="15"/>
      <c r="Y1078" s="1935"/>
      <c r="Z1078" s="1086"/>
      <c r="AA1078" s="230"/>
      <c r="AB1078" s="230"/>
      <c r="AC1078" s="1936"/>
      <c r="AD1078" s="230"/>
      <c r="AE1078" s="230"/>
      <c r="AF1078" s="230"/>
      <c r="AG1078" s="890"/>
      <c r="AJ1078" s="890"/>
      <c r="AN1078" s="223"/>
      <c r="AO1078" s="952"/>
      <c r="AP1078" s="1066"/>
      <c r="AQ1078" s="972"/>
      <c r="AR1078" s="1917"/>
      <c r="AS1078" s="222"/>
      <c r="AZ1078" s="889"/>
      <c r="BC1078" s="890"/>
      <c r="BD1078" s="952"/>
      <c r="BE1078" s="75"/>
      <c r="BF1078" s="572"/>
      <c r="BG1078" s="983"/>
      <c r="BH1078" s="222"/>
      <c r="BL1078" s="889"/>
      <c r="BO1078" s="223"/>
    </row>
    <row r="1079" spans="1:67" s="74" customFormat="1">
      <c r="A1079" s="15"/>
      <c r="B1079" s="15"/>
      <c r="C1079" s="15"/>
      <c r="D1079" s="15"/>
      <c r="E1079" s="6"/>
      <c r="F1079" s="6"/>
      <c r="G1079" s="6"/>
      <c r="K1079" s="223"/>
      <c r="M1079" s="889"/>
      <c r="P1079" s="890"/>
      <c r="T1079" s="889"/>
      <c r="X1079" s="15"/>
      <c r="Y1079" s="1935"/>
      <c r="Z1079" s="1086"/>
      <c r="AA1079" s="230"/>
      <c r="AB1079" s="230"/>
      <c r="AC1079" s="1936"/>
      <c r="AD1079" s="230"/>
      <c r="AE1079" s="230"/>
      <c r="AF1079" s="230"/>
      <c r="AG1079" s="890"/>
      <c r="AJ1079" s="890"/>
      <c r="AN1079" s="223"/>
      <c r="AO1079" s="952"/>
      <c r="AP1079" s="1066"/>
      <c r="AQ1079" s="972"/>
      <c r="AR1079" s="1917"/>
      <c r="AS1079" s="222"/>
      <c r="AZ1079" s="889"/>
      <c r="BC1079" s="890"/>
      <c r="BD1079" s="952"/>
      <c r="BE1079" s="75"/>
      <c r="BF1079" s="572"/>
      <c r="BG1079" s="983"/>
      <c r="BH1079" s="222"/>
      <c r="BL1079" s="889"/>
      <c r="BO1079" s="223"/>
    </row>
    <row r="1080" spans="1:67" s="74" customFormat="1">
      <c r="A1080" s="15"/>
      <c r="B1080" s="15"/>
      <c r="C1080" s="15"/>
      <c r="D1080" s="15"/>
      <c r="E1080" s="6"/>
      <c r="F1080" s="6"/>
      <c r="G1080" s="6"/>
      <c r="K1080" s="223"/>
      <c r="M1080" s="889"/>
      <c r="P1080" s="890"/>
      <c r="T1080" s="889"/>
      <c r="X1080" s="15"/>
      <c r="Y1080" s="1935"/>
      <c r="Z1080" s="1086"/>
      <c r="AA1080" s="230"/>
      <c r="AB1080" s="230"/>
      <c r="AC1080" s="1936"/>
      <c r="AD1080" s="230"/>
      <c r="AE1080" s="230"/>
      <c r="AF1080" s="230"/>
      <c r="AG1080" s="890"/>
      <c r="AJ1080" s="890"/>
      <c r="AN1080" s="223"/>
      <c r="AO1080" s="952"/>
      <c r="AP1080" s="1066"/>
      <c r="AQ1080" s="972"/>
      <c r="AR1080" s="1917"/>
      <c r="AS1080" s="222"/>
      <c r="AZ1080" s="889"/>
      <c r="BC1080" s="890"/>
      <c r="BD1080" s="952"/>
      <c r="BE1080" s="75"/>
      <c r="BF1080" s="572"/>
      <c r="BG1080" s="983"/>
      <c r="BH1080" s="222"/>
      <c r="BL1080" s="889"/>
      <c r="BO1080" s="223"/>
    </row>
    <row r="1081" spans="1:67" s="74" customFormat="1">
      <c r="A1081" s="15"/>
      <c r="B1081" s="15"/>
      <c r="C1081" s="15"/>
      <c r="D1081" s="15"/>
      <c r="E1081" s="6"/>
      <c r="F1081" s="6"/>
      <c r="G1081" s="6"/>
      <c r="K1081" s="223"/>
      <c r="M1081" s="889"/>
      <c r="P1081" s="890"/>
      <c r="T1081" s="889"/>
      <c r="X1081" s="15"/>
      <c r="Y1081" s="1935"/>
      <c r="Z1081" s="1086"/>
      <c r="AA1081" s="230"/>
      <c r="AB1081" s="230"/>
      <c r="AC1081" s="1936"/>
      <c r="AD1081" s="230"/>
      <c r="AE1081" s="230"/>
      <c r="AF1081" s="230"/>
      <c r="AG1081" s="890"/>
      <c r="AJ1081" s="890"/>
      <c r="AN1081" s="223"/>
      <c r="AO1081" s="952"/>
      <c r="AP1081" s="1066"/>
      <c r="AQ1081" s="972"/>
      <c r="AR1081" s="1917"/>
      <c r="AS1081" s="222"/>
      <c r="AZ1081" s="889"/>
      <c r="BC1081" s="890"/>
      <c r="BD1081" s="952"/>
      <c r="BE1081" s="75"/>
      <c r="BF1081" s="572"/>
      <c r="BG1081" s="983"/>
      <c r="BH1081" s="222"/>
      <c r="BL1081" s="889"/>
      <c r="BO1081" s="223"/>
    </row>
    <row r="1082" spans="1:67" s="74" customFormat="1">
      <c r="A1082" s="15"/>
      <c r="B1082" s="15"/>
      <c r="C1082" s="15"/>
      <c r="D1082" s="15"/>
      <c r="E1082" s="6"/>
      <c r="F1082" s="6"/>
      <c r="G1082" s="6"/>
      <c r="K1082" s="223"/>
      <c r="M1082" s="889"/>
      <c r="P1082" s="890"/>
      <c r="T1082" s="889"/>
      <c r="X1082" s="15"/>
      <c r="Y1082" s="1935"/>
      <c r="Z1082" s="1086"/>
      <c r="AA1082" s="230"/>
      <c r="AB1082" s="230"/>
      <c r="AC1082" s="1936"/>
      <c r="AD1082" s="230"/>
      <c r="AE1082" s="230"/>
      <c r="AF1082" s="230"/>
      <c r="AG1082" s="890"/>
      <c r="AJ1082" s="890"/>
      <c r="AN1082" s="223"/>
      <c r="AO1082" s="952"/>
      <c r="AP1082" s="1066"/>
      <c r="AQ1082" s="972"/>
      <c r="AR1082" s="1917"/>
      <c r="AS1082" s="222"/>
      <c r="AZ1082" s="889"/>
      <c r="BC1082" s="890"/>
      <c r="BD1082" s="952"/>
      <c r="BE1082" s="75"/>
      <c r="BF1082" s="572"/>
      <c r="BG1082" s="983"/>
      <c r="BH1082" s="222"/>
      <c r="BL1082" s="889"/>
      <c r="BO1082" s="223"/>
    </row>
    <row r="1083" spans="1:67" s="74" customFormat="1">
      <c r="A1083" s="15"/>
      <c r="B1083" s="15"/>
      <c r="C1083" s="15"/>
      <c r="D1083" s="15"/>
      <c r="E1083" s="6"/>
      <c r="F1083" s="6"/>
      <c r="G1083" s="6"/>
      <c r="K1083" s="223"/>
      <c r="M1083" s="889"/>
      <c r="P1083" s="890"/>
      <c r="T1083" s="889"/>
      <c r="X1083" s="15"/>
      <c r="Y1083" s="1935"/>
      <c r="Z1083" s="1086"/>
      <c r="AA1083" s="230"/>
      <c r="AB1083" s="230"/>
      <c r="AC1083" s="1936"/>
      <c r="AD1083" s="230"/>
      <c r="AE1083" s="230"/>
      <c r="AF1083" s="230"/>
      <c r="AG1083" s="890"/>
      <c r="AJ1083" s="890"/>
      <c r="AN1083" s="223"/>
      <c r="AO1083" s="952"/>
      <c r="AP1083" s="1066"/>
      <c r="AQ1083" s="972"/>
      <c r="AR1083" s="1917"/>
      <c r="AS1083" s="222"/>
      <c r="AZ1083" s="889"/>
      <c r="BC1083" s="890"/>
      <c r="BD1083" s="952"/>
      <c r="BE1083" s="75"/>
      <c r="BF1083" s="572"/>
      <c r="BG1083" s="983"/>
      <c r="BH1083" s="222"/>
      <c r="BL1083" s="889"/>
      <c r="BO1083" s="223"/>
    </row>
    <row r="1084" spans="1:67" s="74" customFormat="1">
      <c r="A1084" s="15"/>
      <c r="B1084" s="15"/>
      <c r="C1084" s="15"/>
      <c r="D1084" s="15"/>
      <c r="E1084" s="6"/>
      <c r="F1084" s="6"/>
      <c r="G1084" s="6"/>
      <c r="K1084" s="223"/>
      <c r="M1084" s="889"/>
      <c r="P1084" s="890"/>
      <c r="T1084" s="889"/>
      <c r="X1084" s="15"/>
      <c r="Y1084" s="1935"/>
      <c r="Z1084" s="1086"/>
      <c r="AA1084" s="230"/>
      <c r="AB1084" s="230"/>
      <c r="AC1084" s="1936"/>
      <c r="AD1084" s="230"/>
      <c r="AE1084" s="230"/>
      <c r="AF1084" s="230"/>
      <c r="AG1084" s="890"/>
      <c r="AJ1084" s="890"/>
      <c r="AN1084" s="223"/>
      <c r="AO1084" s="952"/>
      <c r="AP1084" s="1066"/>
      <c r="AQ1084" s="972"/>
      <c r="AR1084" s="1917"/>
      <c r="AS1084" s="222"/>
      <c r="AZ1084" s="889"/>
      <c r="BC1084" s="890"/>
      <c r="BD1084" s="952"/>
      <c r="BE1084" s="75"/>
      <c r="BF1084" s="572"/>
      <c r="BG1084" s="983"/>
      <c r="BH1084" s="222"/>
      <c r="BL1084" s="889"/>
      <c r="BO1084" s="223"/>
    </row>
    <row r="1085" spans="1:67" s="74" customFormat="1">
      <c r="A1085" s="15"/>
      <c r="B1085" s="15"/>
      <c r="C1085" s="15"/>
      <c r="D1085" s="15"/>
      <c r="E1085" s="6"/>
      <c r="F1085" s="6"/>
      <c r="G1085" s="6"/>
      <c r="K1085" s="223"/>
      <c r="M1085" s="889"/>
      <c r="P1085" s="890"/>
      <c r="T1085" s="889"/>
      <c r="X1085" s="15"/>
      <c r="Y1085" s="1935"/>
      <c r="Z1085" s="1086"/>
      <c r="AA1085" s="230"/>
      <c r="AB1085" s="230"/>
      <c r="AC1085" s="1936"/>
      <c r="AD1085" s="230"/>
      <c r="AE1085" s="230"/>
      <c r="AF1085" s="230"/>
      <c r="AG1085" s="890"/>
      <c r="AJ1085" s="890"/>
      <c r="AN1085" s="223"/>
      <c r="AO1085" s="952"/>
      <c r="AP1085" s="1066"/>
      <c r="AQ1085" s="972"/>
      <c r="AR1085" s="1917"/>
      <c r="AS1085" s="222"/>
      <c r="AZ1085" s="889"/>
      <c r="BC1085" s="890"/>
      <c r="BD1085" s="952"/>
      <c r="BE1085" s="75"/>
      <c r="BF1085" s="572"/>
      <c r="BG1085" s="983"/>
      <c r="BH1085" s="222"/>
      <c r="BL1085" s="889"/>
      <c r="BO1085" s="223"/>
    </row>
    <row r="1086" spans="1:67" s="74" customFormat="1">
      <c r="A1086" s="15"/>
      <c r="B1086" s="15"/>
      <c r="C1086" s="15"/>
      <c r="D1086" s="15"/>
      <c r="E1086" s="6"/>
      <c r="F1086" s="6"/>
      <c r="G1086" s="6"/>
      <c r="K1086" s="223"/>
      <c r="M1086" s="889"/>
      <c r="P1086" s="890"/>
      <c r="T1086" s="889"/>
      <c r="X1086" s="15"/>
      <c r="Y1086" s="1935"/>
      <c r="Z1086" s="1086"/>
      <c r="AA1086" s="230"/>
      <c r="AB1086" s="230"/>
      <c r="AC1086" s="1936"/>
      <c r="AD1086" s="230"/>
      <c r="AE1086" s="230"/>
      <c r="AF1086" s="230"/>
      <c r="AG1086" s="890"/>
      <c r="AJ1086" s="890"/>
      <c r="AN1086" s="223"/>
      <c r="AO1086" s="952"/>
      <c r="AP1086" s="1066"/>
      <c r="AQ1086" s="972"/>
      <c r="AR1086" s="1917"/>
      <c r="AS1086" s="222"/>
      <c r="AZ1086" s="889"/>
      <c r="BC1086" s="890"/>
      <c r="BD1086" s="952"/>
      <c r="BE1086" s="75"/>
      <c r="BF1086" s="572"/>
      <c r="BG1086" s="983"/>
      <c r="BH1086" s="222"/>
      <c r="BL1086" s="889"/>
      <c r="BO1086" s="223"/>
    </row>
    <row r="1087" spans="1:67" s="74" customFormat="1">
      <c r="A1087" s="15"/>
      <c r="B1087" s="15"/>
      <c r="C1087" s="15"/>
      <c r="D1087" s="15"/>
      <c r="E1087" s="6"/>
      <c r="F1087" s="6"/>
      <c r="G1087" s="6"/>
      <c r="K1087" s="223"/>
      <c r="M1087" s="889"/>
      <c r="P1087" s="890"/>
      <c r="T1087" s="889"/>
      <c r="X1087" s="15"/>
      <c r="Y1087" s="1935"/>
      <c r="Z1087" s="1086"/>
      <c r="AA1087" s="230"/>
      <c r="AB1087" s="230"/>
      <c r="AC1087" s="1936"/>
      <c r="AD1087" s="230"/>
      <c r="AE1087" s="230"/>
      <c r="AF1087" s="230"/>
      <c r="AG1087" s="890"/>
      <c r="AJ1087" s="890"/>
      <c r="AN1087" s="223"/>
      <c r="AO1087" s="952"/>
      <c r="AP1087" s="1066"/>
      <c r="AQ1087" s="972"/>
      <c r="AR1087" s="1917"/>
      <c r="AS1087" s="222"/>
      <c r="AZ1087" s="889"/>
      <c r="BC1087" s="890"/>
      <c r="BD1087" s="952"/>
      <c r="BE1087" s="75"/>
      <c r="BF1087" s="572"/>
      <c r="BG1087" s="983"/>
      <c r="BH1087" s="222"/>
      <c r="BL1087" s="889"/>
      <c r="BO1087" s="223"/>
    </row>
    <row r="1088" spans="1:67" s="74" customFormat="1">
      <c r="A1088" s="15"/>
      <c r="B1088" s="15"/>
      <c r="C1088" s="15"/>
      <c r="D1088" s="15"/>
      <c r="E1088" s="6"/>
      <c r="F1088" s="6"/>
      <c r="G1088" s="6"/>
      <c r="K1088" s="223"/>
      <c r="M1088" s="889"/>
      <c r="P1088" s="890"/>
      <c r="T1088" s="889"/>
      <c r="X1088" s="15"/>
      <c r="Y1088" s="1935"/>
      <c r="Z1088" s="1086"/>
      <c r="AA1088" s="230"/>
      <c r="AB1088" s="230"/>
      <c r="AC1088" s="1936"/>
      <c r="AD1088" s="230"/>
      <c r="AE1088" s="230"/>
      <c r="AF1088" s="230"/>
      <c r="AG1088" s="890"/>
      <c r="AJ1088" s="890"/>
      <c r="AN1088" s="223"/>
      <c r="AO1088" s="952"/>
      <c r="AP1088" s="1066"/>
      <c r="AQ1088" s="972"/>
      <c r="AR1088" s="1917"/>
      <c r="AS1088" s="222"/>
      <c r="AZ1088" s="889"/>
      <c r="BC1088" s="890"/>
      <c r="BD1088" s="952"/>
      <c r="BE1088" s="75"/>
      <c r="BF1088" s="572"/>
      <c r="BG1088" s="983"/>
      <c r="BH1088" s="222"/>
      <c r="BL1088" s="889"/>
      <c r="BO1088" s="223"/>
    </row>
    <row r="1089" spans="1:67" s="74" customFormat="1">
      <c r="A1089" s="15"/>
      <c r="B1089" s="15"/>
      <c r="C1089" s="15"/>
      <c r="D1089" s="15"/>
      <c r="E1089" s="6"/>
      <c r="F1089" s="6"/>
      <c r="G1089" s="6"/>
      <c r="K1089" s="223"/>
      <c r="M1089" s="889"/>
      <c r="P1089" s="890"/>
      <c r="T1089" s="889"/>
      <c r="X1089" s="15"/>
      <c r="Y1089" s="1935"/>
      <c r="Z1089" s="1086"/>
      <c r="AA1089" s="230"/>
      <c r="AB1089" s="230"/>
      <c r="AC1089" s="1936"/>
      <c r="AD1089" s="230"/>
      <c r="AE1089" s="230"/>
      <c r="AF1089" s="230"/>
      <c r="AG1089" s="890"/>
      <c r="AJ1089" s="890"/>
      <c r="AN1089" s="223"/>
      <c r="AO1089" s="952"/>
      <c r="AP1089" s="1066"/>
      <c r="AQ1089" s="972"/>
      <c r="AR1089" s="1917"/>
      <c r="AS1089" s="222"/>
      <c r="AZ1089" s="889"/>
      <c r="BC1089" s="890"/>
      <c r="BD1089" s="952"/>
      <c r="BE1089" s="75"/>
      <c r="BF1089" s="572"/>
      <c r="BG1089" s="983"/>
      <c r="BH1089" s="222"/>
      <c r="BL1089" s="889"/>
      <c r="BO1089" s="223"/>
    </row>
    <row r="1090" spans="1:67" s="74" customFormat="1">
      <c r="A1090" s="15"/>
      <c r="B1090" s="15"/>
      <c r="C1090" s="15"/>
      <c r="D1090" s="15"/>
      <c r="E1090" s="6"/>
      <c r="F1090" s="6"/>
      <c r="G1090" s="6"/>
      <c r="K1090" s="223"/>
      <c r="M1090" s="889"/>
      <c r="P1090" s="890"/>
      <c r="T1090" s="889"/>
      <c r="X1090" s="15"/>
      <c r="Y1090" s="1935"/>
      <c r="Z1090" s="1086"/>
      <c r="AA1090" s="230"/>
      <c r="AB1090" s="230"/>
      <c r="AC1090" s="1936"/>
      <c r="AD1090" s="230"/>
      <c r="AE1090" s="230"/>
      <c r="AF1090" s="230"/>
      <c r="AG1090" s="890"/>
      <c r="AJ1090" s="890"/>
      <c r="AN1090" s="223"/>
      <c r="AO1090" s="952"/>
      <c r="AP1090" s="1066"/>
      <c r="AQ1090" s="972"/>
      <c r="AR1090" s="1917"/>
      <c r="AS1090" s="222"/>
      <c r="AZ1090" s="889"/>
      <c r="BC1090" s="890"/>
      <c r="BD1090" s="952"/>
      <c r="BE1090" s="75"/>
      <c r="BF1090" s="572"/>
      <c r="BG1090" s="983"/>
      <c r="BH1090" s="222"/>
      <c r="BL1090" s="889"/>
      <c r="BO1090" s="223"/>
    </row>
    <row r="1091" spans="1:67" s="74" customFormat="1">
      <c r="A1091" s="15"/>
      <c r="B1091" s="15"/>
      <c r="C1091" s="15"/>
      <c r="D1091" s="15"/>
      <c r="E1091" s="6"/>
      <c r="F1091" s="6"/>
      <c r="G1091" s="6"/>
      <c r="K1091" s="223"/>
      <c r="M1091" s="889"/>
      <c r="P1091" s="890"/>
      <c r="T1091" s="889"/>
      <c r="X1091" s="15"/>
      <c r="Y1091" s="1935"/>
      <c r="Z1091" s="1086"/>
      <c r="AA1091" s="230"/>
      <c r="AB1091" s="230"/>
      <c r="AC1091" s="1936"/>
      <c r="AD1091" s="230"/>
      <c r="AE1091" s="230"/>
      <c r="AF1091" s="230"/>
      <c r="AG1091" s="890"/>
      <c r="AJ1091" s="890"/>
      <c r="AN1091" s="223"/>
      <c r="AO1091" s="952"/>
      <c r="AP1091" s="1066"/>
      <c r="AQ1091" s="972"/>
      <c r="AR1091" s="1917"/>
      <c r="AS1091" s="222"/>
      <c r="AZ1091" s="889"/>
      <c r="BC1091" s="890"/>
      <c r="BD1091" s="952"/>
      <c r="BE1091" s="75"/>
      <c r="BF1091" s="572"/>
      <c r="BG1091" s="983"/>
      <c r="BH1091" s="222"/>
      <c r="BL1091" s="889"/>
      <c r="BO1091" s="223"/>
    </row>
    <row r="1092" spans="1:67" s="74" customFormat="1">
      <c r="A1092" s="15"/>
      <c r="B1092" s="15"/>
      <c r="C1092" s="15"/>
      <c r="D1092" s="15"/>
      <c r="E1092" s="6"/>
      <c r="F1092" s="6"/>
      <c r="G1092" s="6"/>
      <c r="K1092" s="223"/>
      <c r="M1092" s="889"/>
      <c r="P1092" s="890"/>
      <c r="T1092" s="889"/>
      <c r="X1092" s="15"/>
      <c r="Y1092" s="1935"/>
      <c r="Z1092" s="1086"/>
      <c r="AA1092" s="230"/>
      <c r="AB1092" s="230"/>
      <c r="AC1092" s="1936"/>
      <c r="AD1092" s="230"/>
      <c r="AE1092" s="230"/>
      <c r="AF1092" s="230"/>
      <c r="AG1092" s="890"/>
      <c r="AJ1092" s="890"/>
      <c r="AN1092" s="223"/>
      <c r="AO1092" s="952"/>
      <c r="AP1092" s="1066"/>
      <c r="AQ1092" s="972"/>
      <c r="AR1092" s="1917"/>
      <c r="AS1092" s="222"/>
      <c r="AZ1092" s="889"/>
      <c r="BC1092" s="890"/>
      <c r="BD1092" s="952"/>
      <c r="BE1092" s="75"/>
      <c r="BF1092" s="572"/>
      <c r="BG1092" s="983"/>
      <c r="BH1092" s="222"/>
      <c r="BL1092" s="889"/>
      <c r="BO1092" s="223"/>
    </row>
    <row r="1093" spans="1:67" s="74" customFormat="1">
      <c r="A1093" s="15"/>
      <c r="B1093" s="15"/>
      <c r="C1093" s="15"/>
      <c r="D1093" s="15"/>
      <c r="E1093" s="6"/>
      <c r="F1093" s="6"/>
      <c r="G1093" s="6"/>
      <c r="K1093" s="223"/>
      <c r="M1093" s="889"/>
      <c r="P1093" s="890"/>
      <c r="T1093" s="889"/>
      <c r="X1093" s="15"/>
      <c r="Y1093" s="1935"/>
      <c r="Z1093" s="1086"/>
      <c r="AA1093" s="230"/>
      <c r="AB1093" s="230"/>
      <c r="AC1093" s="1936"/>
      <c r="AD1093" s="230"/>
      <c r="AE1093" s="230"/>
      <c r="AF1093" s="230"/>
      <c r="AG1093" s="890"/>
      <c r="AJ1093" s="890"/>
      <c r="AN1093" s="223"/>
      <c r="AO1093" s="952"/>
      <c r="AP1093" s="1066"/>
      <c r="AQ1093" s="972"/>
      <c r="AR1093" s="1917"/>
      <c r="AS1093" s="222"/>
      <c r="AZ1093" s="889"/>
      <c r="BC1093" s="890"/>
      <c r="BD1093" s="952"/>
      <c r="BE1093" s="75"/>
      <c r="BF1093" s="572"/>
      <c r="BG1093" s="983"/>
      <c r="BH1093" s="222"/>
      <c r="BL1093" s="889"/>
      <c r="BO1093" s="223"/>
    </row>
    <row r="1094" spans="1:67" s="74" customFormat="1">
      <c r="A1094" s="15"/>
      <c r="B1094" s="15"/>
      <c r="C1094" s="15"/>
      <c r="D1094" s="15"/>
      <c r="E1094" s="6"/>
      <c r="F1094" s="6"/>
      <c r="G1094" s="6"/>
      <c r="K1094" s="223"/>
      <c r="M1094" s="889"/>
      <c r="P1094" s="890"/>
      <c r="T1094" s="889"/>
      <c r="X1094" s="15"/>
      <c r="Y1094" s="1935"/>
      <c r="Z1094" s="1086"/>
      <c r="AA1094" s="230"/>
      <c r="AB1094" s="230"/>
      <c r="AC1094" s="1936"/>
      <c r="AD1094" s="230"/>
      <c r="AE1094" s="230"/>
      <c r="AF1094" s="230"/>
      <c r="AG1094" s="890"/>
      <c r="AJ1094" s="890"/>
      <c r="AN1094" s="223"/>
      <c r="AO1094" s="952"/>
      <c r="AP1094" s="1066"/>
      <c r="AQ1094" s="972"/>
      <c r="AR1094" s="1917"/>
      <c r="AS1094" s="222"/>
      <c r="AZ1094" s="889"/>
      <c r="BC1094" s="890"/>
      <c r="BD1094" s="952"/>
      <c r="BE1094" s="75"/>
      <c r="BF1094" s="572"/>
      <c r="BG1094" s="983"/>
      <c r="BH1094" s="222"/>
      <c r="BL1094" s="889"/>
      <c r="BO1094" s="223"/>
    </row>
    <row r="1095" spans="1:67" s="74" customFormat="1">
      <c r="A1095" s="15"/>
      <c r="B1095" s="15"/>
      <c r="C1095" s="15"/>
      <c r="D1095" s="15"/>
      <c r="E1095" s="6"/>
      <c r="F1095" s="6"/>
      <c r="G1095" s="6"/>
      <c r="K1095" s="223"/>
      <c r="M1095" s="889"/>
      <c r="P1095" s="890"/>
      <c r="T1095" s="889"/>
      <c r="X1095" s="15"/>
      <c r="Y1095" s="1935"/>
      <c r="Z1095" s="1086"/>
      <c r="AA1095" s="230"/>
      <c r="AB1095" s="230"/>
      <c r="AC1095" s="1936"/>
      <c r="AD1095" s="230"/>
      <c r="AE1095" s="230"/>
      <c r="AF1095" s="230"/>
      <c r="AG1095" s="890"/>
      <c r="AJ1095" s="890"/>
      <c r="AN1095" s="223"/>
      <c r="AO1095" s="952"/>
      <c r="AP1095" s="1066"/>
      <c r="AQ1095" s="972"/>
      <c r="AR1095" s="1917"/>
      <c r="AS1095" s="222"/>
      <c r="AZ1095" s="889"/>
      <c r="BC1095" s="890"/>
      <c r="BD1095" s="952"/>
      <c r="BE1095" s="75"/>
      <c r="BF1095" s="572"/>
      <c r="BG1095" s="983"/>
      <c r="BH1095" s="222"/>
      <c r="BL1095" s="889"/>
      <c r="BO1095" s="223"/>
    </row>
    <row r="1096" spans="1:67" s="74" customFormat="1">
      <c r="A1096" s="15"/>
      <c r="B1096" s="15"/>
      <c r="C1096" s="15"/>
      <c r="D1096" s="15"/>
      <c r="E1096" s="6"/>
      <c r="F1096" s="6"/>
      <c r="G1096" s="6"/>
      <c r="K1096" s="223"/>
      <c r="M1096" s="889"/>
      <c r="P1096" s="890"/>
      <c r="T1096" s="889"/>
      <c r="X1096" s="15"/>
      <c r="Y1096" s="1935"/>
      <c r="Z1096" s="1086"/>
      <c r="AA1096" s="230"/>
      <c r="AB1096" s="230"/>
      <c r="AC1096" s="1936"/>
      <c r="AD1096" s="230"/>
      <c r="AE1096" s="230"/>
      <c r="AF1096" s="230"/>
      <c r="AG1096" s="890"/>
      <c r="AJ1096" s="890"/>
      <c r="AN1096" s="223"/>
      <c r="AO1096" s="952"/>
      <c r="AP1096" s="1066"/>
      <c r="AQ1096" s="972"/>
      <c r="AR1096" s="1917"/>
      <c r="AS1096" s="222"/>
      <c r="AZ1096" s="889"/>
      <c r="BC1096" s="890"/>
      <c r="BD1096" s="952"/>
      <c r="BE1096" s="75"/>
      <c r="BF1096" s="572"/>
      <c r="BG1096" s="983"/>
      <c r="BH1096" s="222"/>
      <c r="BL1096" s="889"/>
      <c r="BO1096" s="223"/>
    </row>
    <row r="1097" spans="1:67" s="74" customFormat="1">
      <c r="A1097" s="15"/>
      <c r="B1097" s="15"/>
      <c r="C1097" s="15"/>
      <c r="D1097" s="15"/>
      <c r="E1097" s="6"/>
      <c r="F1097" s="6"/>
      <c r="G1097" s="6"/>
      <c r="K1097" s="223"/>
      <c r="M1097" s="889"/>
      <c r="P1097" s="890"/>
      <c r="T1097" s="889"/>
      <c r="X1097" s="15"/>
      <c r="Y1097" s="1935"/>
      <c r="Z1097" s="1086"/>
      <c r="AA1097" s="230"/>
      <c r="AB1097" s="230"/>
      <c r="AC1097" s="1936"/>
      <c r="AD1097" s="230"/>
      <c r="AE1097" s="230"/>
      <c r="AF1097" s="230"/>
      <c r="AG1097" s="890"/>
      <c r="AJ1097" s="890"/>
      <c r="AN1097" s="223"/>
      <c r="AO1097" s="952"/>
      <c r="AP1097" s="1066"/>
      <c r="AQ1097" s="972"/>
      <c r="AR1097" s="1917"/>
      <c r="AS1097" s="222"/>
      <c r="AZ1097" s="889"/>
      <c r="BC1097" s="890"/>
      <c r="BD1097" s="952"/>
      <c r="BE1097" s="75"/>
      <c r="BF1097" s="572"/>
      <c r="BG1097" s="983"/>
      <c r="BH1097" s="222"/>
      <c r="BL1097" s="889"/>
      <c r="BO1097" s="223"/>
    </row>
    <row r="1098" spans="1:67" s="74" customFormat="1">
      <c r="A1098" s="15"/>
      <c r="B1098" s="15"/>
      <c r="C1098" s="15"/>
      <c r="D1098" s="15"/>
      <c r="E1098" s="6"/>
      <c r="F1098" s="6"/>
      <c r="G1098" s="6"/>
      <c r="K1098" s="223"/>
      <c r="M1098" s="889"/>
      <c r="P1098" s="890"/>
      <c r="T1098" s="889"/>
      <c r="X1098" s="15"/>
      <c r="Y1098" s="1935"/>
      <c r="Z1098" s="1086"/>
      <c r="AA1098" s="230"/>
      <c r="AB1098" s="230"/>
      <c r="AC1098" s="1936"/>
      <c r="AD1098" s="230"/>
      <c r="AE1098" s="230"/>
      <c r="AF1098" s="230"/>
      <c r="AG1098" s="890"/>
      <c r="AJ1098" s="890"/>
      <c r="AN1098" s="223"/>
      <c r="AO1098" s="952"/>
      <c r="AP1098" s="1066"/>
      <c r="AQ1098" s="972"/>
      <c r="AR1098" s="1917"/>
      <c r="AS1098" s="222"/>
      <c r="AZ1098" s="889"/>
      <c r="BC1098" s="890"/>
      <c r="BD1098" s="952"/>
      <c r="BE1098" s="75"/>
      <c r="BF1098" s="572"/>
      <c r="BG1098" s="983"/>
      <c r="BH1098" s="222"/>
      <c r="BL1098" s="889"/>
      <c r="BO1098" s="223"/>
    </row>
    <row r="1099" spans="1:67" s="74" customFormat="1">
      <c r="A1099" s="15"/>
      <c r="B1099" s="15"/>
      <c r="C1099" s="15"/>
      <c r="D1099" s="15"/>
      <c r="E1099" s="6"/>
      <c r="F1099" s="6"/>
      <c r="G1099" s="6"/>
      <c r="K1099" s="223"/>
      <c r="M1099" s="889"/>
      <c r="P1099" s="890"/>
      <c r="T1099" s="889"/>
      <c r="X1099" s="15"/>
      <c r="Y1099" s="1935"/>
      <c r="Z1099" s="1086"/>
      <c r="AA1099" s="230"/>
      <c r="AB1099" s="230"/>
      <c r="AC1099" s="1936"/>
      <c r="AD1099" s="230"/>
      <c r="AE1099" s="230"/>
      <c r="AF1099" s="230"/>
      <c r="AG1099" s="890"/>
      <c r="AJ1099" s="890"/>
      <c r="AN1099" s="223"/>
      <c r="AO1099" s="952"/>
      <c r="AP1099" s="1066"/>
      <c r="AQ1099" s="972"/>
      <c r="AR1099" s="1917"/>
      <c r="AS1099" s="222"/>
      <c r="AZ1099" s="889"/>
      <c r="BC1099" s="890"/>
      <c r="BD1099" s="952"/>
      <c r="BE1099" s="75"/>
      <c r="BF1099" s="572"/>
      <c r="BG1099" s="983"/>
      <c r="BH1099" s="222"/>
      <c r="BL1099" s="889"/>
      <c r="BO1099" s="223"/>
    </row>
    <row r="1100" spans="1:67" s="74" customFormat="1">
      <c r="A1100" s="15"/>
      <c r="B1100" s="15"/>
      <c r="C1100" s="15"/>
      <c r="D1100" s="15"/>
      <c r="E1100" s="6"/>
      <c r="F1100" s="6"/>
      <c r="G1100" s="6"/>
      <c r="K1100" s="223"/>
      <c r="M1100" s="889"/>
      <c r="P1100" s="890"/>
      <c r="T1100" s="889"/>
      <c r="X1100" s="15"/>
      <c r="Y1100" s="1935"/>
      <c r="Z1100" s="1086"/>
      <c r="AA1100" s="230"/>
      <c r="AB1100" s="230"/>
      <c r="AC1100" s="1936"/>
      <c r="AD1100" s="230"/>
      <c r="AE1100" s="230"/>
      <c r="AF1100" s="230"/>
      <c r="AG1100" s="890"/>
      <c r="AJ1100" s="890"/>
      <c r="AN1100" s="223"/>
      <c r="AO1100" s="952"/>
      <c r="AP1100" s="1066"/>
      <c r="AQ1100" s="972"/>
      <c r="AR1100" s="1917"/>
      <c r="AS1100" s="222"/>
      <c r="AZ1100" s="889"/>
      <c r="BC1100" s="890"/>
      <c r="BD1100" s="952"/>
      <c r="BE1100" s="75"/>
      <c r="BF1100" s="572"/>
      <c r="BG1100" s="983"/>
      <c r="BH1100" s="222"/>
      <c r="BL1100" s="889"/>
      <c r="BO1100" s="223"/>
    </row>
    <row r="1101" spans="1:67" s="74" customFormat="1">
      <c r="A1101" s="15"/>
      <c r="B1101" s="15"/>
      <c r="C1101" s="15"/>
      <c r="D1101" s="15"/>
      <c r="E1101" s="6"/>
      <c r="F1101" s="6"/>
      <c r="G1101" s="6"/>
      <c r="K1101" s="223"/>
      <c r="M1101" s="889"/>
      <c r="P1101" s="890"/>
      <c r="T1101" s="889"/>
      <c r="X1101" s="15"/>
      <c r="Y1101" s="1935"/>
      <c r="Z1101" s="1086"/>
      <c r="AA1101" s="230"/>
      <c r="AB1101" s="230"/>
      <c r="AC1101" s="1936"/>
      <c r="AD1101" s="230"/>
      <c r="AE1101" s="230"/>
      <c r="AF1101" s="230"/>
      <c r="AG1101" s="890"/>
      <c r="AJ1101" s="890"/>
      <c r="AN1101" s="223"/>
      <c r="AO1101" s="952"/>
      <c r="AP1101" s="1066"/>
      <c r="AQ1101" s="972"/>
      <c r="AR1101" s="1917"/>
      <c r="AS1101" s="222"/>
      <c r="AZ1101" s="889"/>
      <c r="BC1101" s="890"/>
      <c r="BD1101" s="952"/>
      <c r="BE1101" s="75"/>
      <c r="BF1101" s="572"/>
      <c r="BG1101" s="983"/>
      <c r="BH1101" s="222"/>
      <c r="BL1101" s="889"/>
      <c r="BO1101" s="223"/>
    </row>
    <row r="1102" spans="1:67" s="74" customFormat="1">
      <c r="A1102" s="15"/>
      <c r="B1102" s="15"/>
      <c r="C1102" s="15"/>
      <c r="D1102" s="15"/>
      <c r="E1102" s="6"/>
      <c r="F1102" s="6"/>
      <c r="G1102" s="6"/>
      <c r="K1102" s="223"/>
      <c r="M1102" s="889"/>
      <c r="P1102" s="890"/>
      <c r="T1102" s="889"/>
      <c r="X1102" s="15"/>
      <c r="Y1102" s="1935"/>
      <c r="Z1102" s="1086"/>
      <c r="AA1102" s="230"/>
      <c r="AB1102" s="230"/>
      <c r="AC1102" s="1936"/>
      <c r="AD1102" s="230"/>
      <c r="AE1102" s="230"/>
      <c r="AF1102" s="230"/>
      <c r="AG1102" s="890"/>
      <c r="AJ1102" s="890"/>
      <c r="AN1102" s="223"/>
      <c r="AO1102" s="952"/>
      <c r="AP1102" s="1066"/>
      <c r="AQ1102" s="972"/>
      <c r="AR1102" s="1917"/>
      <c r="AS1102" s="222"/>
      <c r="AZ1102" s="889"/>
      <c r="BC1102" s="890"/>
      <c r="BD1102" s="952"/>
      <c r="BE1102" s="75"/>
      <c r="BF1102" s="572"/>
      <c r="BG1102" s="983"/>
      <c r="BH1102" s="222"/>
      <c r="BL1102" s="889"/>
      <c r="BO1102" s="223"/>
    </row>
    <row r="1103" spans="1:67" s="74" customFormat="1">
      <c r="A1103" s="15"/>
      <c r="B1103" s="15"/>
      <c r="C1103" s="15"/>
      <c r="D1103" s="15"/>
      <c r="E1103" s="6"/>
      <c r="F1103" s="6"/>
      <c r="G1103" s="6"/>
      <c r="K1103" s="223"/>
      <c r="M1103" s="889"/>
      <c r="P1103" s="890"/>
      <c r="T1103" s="889"/>
      <c r="X1103" s="15"/>
      <c r="Y1103" s="1935"/>
      <c r="Z1103" s="1086"/>
      <c r="AA1103" s="230"/>
      <c r="AB1103" s="230"/>
      <c r="AC1103" s="1936"/>
      <c r="AD1103" s="230"/>
      <c r="AE1103" s="230"/>
      <c r="AF1103" s="230"/>
      <c r="AG1103" s="890"/>
      <c r="AJ1103" s="890"/>
      <c r="AN1103" s="223"/>
      <c r="AO1103" s="952"/>
      <c r="AP1103" s="1066"/>
      <c r="AQ1103" s="972"/>
      <c r="AR1103" s="1917"/>
      <c r="AS1103" s="222"/>
      <c r="AZ1103" s="889"/>
      <c r="BC1103" s="890"/>
      <c r="BD1103" s="952"/>
      <c r="BE1103" s="75"/>
      <c r="BF1103" s="572"/>
      <c r="BG1103" s="983"/>
      <c r="BH1103" s="222"/>
      <c r="BL1103" s="889"/>
      <c r="BO1103" s="223"/>
    </row>
    <row r="1104" spans="1:67" s="74" customFormat="1">
      <c r="A1104" s="15"/>
      <c r="B1104" s="15"/>
      <c r="C1104" s="15"/>
      <c r="D1104" s="15"/>
      <c r="E1104" s="6"/>
      <c r="F1104" s="6"/>
      <c r="G1104" s="6"/>
      <c r="K1104" s="223"/>
      <c r="M1104" s="889"/>
      <c r="P1104" s="890"/>
      <c r="T1104" s="889"/>
      <c r="X1104" s="15"/>
      <c r="Y1104" s="1935"/>
      <c r="Z1104" s="1086"/>
      <c r="AA1104" s="230"/>
      <c r="AB1104" s="230"/>
      <c r="AC1104" s="1936"/>
      <c r="AD1104" s="230"/>
      <c r="AE1104" s="230"/>
      <c r="AF1104" s="230"/>
      <c r="AG1104" s="890"/>
      <c r="AJ1104" s="890"/>
      <c r="AN1104" s="223"/>
      <c r="AO1104" s="952"/>
      <c r="AP1104" s="1066"/>
      <c r="AQ1104" s="972"/>
      <c r="AR1104" s="1917"/>
      <c r="AS1104" s="222"/>
      <c r="AZ1104" s="889"/>
      <c r="BC1104" s="890"/>
      <c r="BD1104" s="952"/>
      <c r="BE1104" s="75"/>
      <c r="BF1104" s="572"/>
      <c r="BG1104" s="983"/>
      <c r="BH1104" s="222"/>
      <c r="BL1104" s="889"/>
      <c r="BO1104" s="223"/>
    </row>
    <row r="1105" spans="1:67" s="74" customFormat="1">
      <c r="A1105" s="15"/>
      <c r="B1105" s="15"/>
      <c r="C1105" s="15"/>
      <c r="D1105" s="15"/>
      <c r="E1105" s="6"/>
      <c r="F1105" s="6"/>
      <c r="G1105" s="6"/>
      <c r="K1105" s="223"/>
      <c r="M1105" s="889"/>
      <c r="P1105" s="890"/>
      <c r="T1105" s="889"/>
      <c r="X1105" s="15"/>
      <c r="Y1105" s="1935"/>
      <c r="Z1105" s="1086"/>
      <c r="AA1105" s="230"/>
      <c r="AB1105" s="230"/>
      <c r="AC1105" s="1936"/>
      <c r="AD1105" s="230"/>
      <c r="AE1105" s="230"/>
      <c r="AF1105" s="230"/>
      <c r="AG1105" s="890"/>
      <c r="AJ1105" s="890"/>
      <c r="AN1105" s="223"/>
      <c r="AO1105" s="952"/>
      <c r="AP1105" s="1066"/>
      <c r="AQ1105" s="972"/>
      <c r="AR1105" s="1917"/>
      <c r="AS1105" s="222"/>
      <c r="AZ1105" s="889"/>
      <c r="BC1105" s="890"/>
      <c r="BD1105" s="952"/>
      <c r="BE1105" s="75"/>
      <c r="BF1105" s="572"/>
      <c r="BG1105" s="983"/>
      <c r="BH1105" s="222"/>
      <c r="BL1105" s="889"/>
      <c r="BO1105" s="223"/>
    </row>
    <row r="1106" spans="1:67" s="74" customFormat="1">
      <c r="A1106" s="15"/>
      <c r="B1106" s="15"/>
      <c r="C1106" s="15"/>
      <c r="D1106" s="15"/>
      <c r="E1106" s="6"/>
      <c r="F1106" s="6"/>
      <c r="G1106" s="6"/>
      <c r="K1106" s="223"/>
      <c r="M1106" s="889"/>
      <c r="P1106" s="890"/>
      <c r="T1106" s="889"/>
      <c r="X1106" s="15"/>
      <c r="Y1106" s="1935"/>
      <c r="Z1106" s="1086"/>
      <c r="AA1106" s="230"/>
      <c r="AB1106" s="230"/>
      <c r="AC1106" s="1936"/>
      <c r="AD1106" s="230"/>
      <c r="AE1106" s="230"/>
      <c r="AF1106" s="230"/>
      <c r="AG1106" s="890"/>
      <c r="AJ1106" s="890"/>
      <c r="AN1106" s="223"/>
      <c r="AO1106" s="952"/>
      <c r="AP1106" s="1066"/>
      <c r="AQ1106" s="972"/>
      <c r="AR1106" s="1917"/>
      <c r="AS1106" s="222"/>
      <c r="AZ1106" s="889"/>
      <c r="BC1106" s="890"/>
      <c r="BD1106" s="952"/>
      <c r="BE1106" s="75"/>
      <c r="BF1106" s="572"/>
      <c r="BG1106" s="983"/>
      <c r="BH1106" s="222"/>
      <c r="BL1106" s="889"/>
      <c r="BO1106" s="223"/>
    </row>
    <row r="1107" spans="1:67" s="74" customFormat="1">
      <c r="A1107" s="15"/>
      <c r="B1107" s="15"/>
      <c r="C1107" s="15"/>
      <c r="D1107" s="15"/>
      <c r="E1107" s="6"/>
      <c r="F1107" s="6"/>
      <c r="G1107" s="6"/>
      <c r="K1107" s="223"/>
      <c r="M1107" s="889"/>
      <c r="P1107" s="890"/>
      <c r="T1107" s="889"/>
      <c r="X1107" s="15"/>
      <c r="Y1107" s="1935"/>
      <c r="Z1107" s="1086"/>
      <c r="AA1107" s="230"/>
      <c r="AB1107" s="230"/>
      <c r="AC1107" s="1936"/>
      <c r="AD1107" s="230"/>
      <c r="AE1107" s="230"/>
      <c r="AF1107" s="230"/>
      <c r="AG1107" s="890"/>
      <c r="AJ1107" s="890"/>
      <c r="AN1107" s="223"/>
      <c r="AO1107" s="952"/>
      <c r="AP1107" s="1066"/>
      <c r="AQ1107" s="972"/>
      <c r="AR1107" s="1917"/>
      <c r="AS1107" s="222"/>
      <c r="AZ1107" s="889"/>
      <c r="BC1107" s="890"/>
      <c r="BD1107" s="952"/>
      <c r="BE1107" s="75"/>
      <c r="BF1107" s="572"/>
      <c r="BG1107" s="983"/>
      <c r="BH1107" s="222"/>
      <c r="BL1107" s="889"/>
      <c r="BO1107" s="223"/>
    </row>
    <row r="1108" spans="1:67" s="74" customFormat="1">
      <c r="A1108" s="15"/>
      <c r="B1108" s="15"/>
      <c r="C1108" s="15"/>
      <c r="D1108" s="15"/>
      <c r="E1108" s="6"/>
      <c r="F1108" s="6"/>
      <c r="G1108" s="6"/>
      <c r="K1108" s="223"/>
      <c r="M1108" s="889"/>
      <c r="P1108" s="890"/>
      <c r="T1108" s="889"/>
      <c r="X1108" s="15"/>
      <c r="Y1108" s="1935"/>
      <c r="Z1108" s="1086"/>
      <c r="AA1108" s="230"/>
      <c r="AB1108" s="230"/>
      <c r="AC1108" s="1936"/>
      <c r="AD1108" s="230"/>
      <c r="AE1108" s="230"/>
      <c r="AF1108" s="230"/>
      <c r="AG1108" s="890"/>
      <c r="AJ1108" s="890"/>
      <c r="AN1108" s="223"/>
      <c r="AO1108" s="952"/>
      <c r="AP1108" s="1066"/>
      <c r="AQ1108" s="972"/>
      <c r="AR1108" s="1917"/>
      <c r="AS1108" s="222"/>
      <c r="AZ1108" s="889"/>
      <c r="BC1108" s="890"/>
      <c r="BD1108" s="952"/>
      <c r="BE1108" s="75"/>
      <c r="BF1108" s="572"/>
      <c r="BG1108" s="983"/>
      <c r="BH1108" s="222"/>
      <c r="BL1108" s="889"/>
      <c r="BO1108" s="223"/>
    </row>
    <row r="1109" spans="1:67" s="74" customFormat="1">
      <c r="A1109" s="15"/>
      <c r="B1109" s="15"/>
      <c r="C1109" s="15"/>
      <c r="D1109" s="15"/>
      <c r="E1109" s="6"/>
      <c r="F1109" s="6"/>
      <c r="G1109" s="6"/>
      <c r="K1109" s="223"/>
      <c r="M1109" s="889"/>
      <c r="P1109" s="890"/>
      <c r="T1109" s="889"/>
      <c r="X1109" s="15"/>
      <c r="Y1109" s="1935"/>
      <c r="Z1109" s="1086"/>
      <c r="AA1109" s="230"/>
      <c r="AB1109" s="230"/>
      <c r="AC1109" s="1936"/>
      <c r="AD1109" s="230"/>
      <c r="AE1109" s="230"/>
      <c r="AF1109" s="230"/>
      <c r="AG1109" s="890"/>
      <c r="AJ1109" s="890"/>
      <c r="AN1109" s="223"/>
      <c r="AO1109" s="952"/>
      <c r="AP1109" s="1066"/>
      <c r="AQ1109" s="972"/>
      <c r="AR1109" s="1917"/>
      <c r="AS1109" s="222"/>
      <c r="AZ1109" s="889"/>
      <c r="BC1109" s="890"/>
      <c r="BD1109" s="952"/>
      <c r="BE1109" s="75"/>
      <c r="BF1109" s="572"/>
      <c r="BG1109" s="983"/>
      <c r="BH1109" s="222"/>
      <c r="BL1109" s="889"/>
      <c r="BO1109" s="223"/>
    </row>
    <row r="1110" spans="1:67" s="74" customFormat="1">
      <c r="A1110" s="15"/>
      <c r="B1110" s="15"/>
      <c r="C1110" s="15"/>
      <c r="D1110" s="15"/>
      <c r="E1110" s="6"/>
      <c r="F1110" s="6"/>
      <c r="G1110" s="6"/>
      <c r="K1110" s="223"/>
      <c r="M1110" s="889"/>
      <c r="P1110" s="890"/>
      <c r="T1110" s="889"/>
      <c r="X1110" s="15"/>
      <c r="Y1110" s="1935"/>
      <c r="Z1110" s="1086"/>
      <c r="AA1110" s="230"/>
      <c r="AB1110" s="230"/>
      <c r="AC1110" s="1936"/>
      <c r="AD1110" s="230"/>
      <c r="AE1110" s="230"/>
      <c r="AF1110" s="230"/>
      <c r="AG1110" s="890"/>
      <c r="AJ1110" s="890"/>
      <c r="AN1110" s="223"/>
      <c r="AO1110" s="952"/>
      <c r="AP1110" s="1066"/>
      <c r="AQ1110" s="972"/>
      <c r="AR1110" s="1917"/>
      <c r="AS1110" s="222"/>
      <c r="AZ1110" s="889"/>
      <c r="BC1110" s="890"/>
      <c r="BD1110" s="952"/>
      <c r="BE1110" s="75"/>
      <c r="BF1110" s="572"/>
      <c r="BG1110" s="983"/>
      <c r="BH1110" s="222"/>
      <c r="BL1110" s="889"/>
      <c r="BO1110" s="223"/>
    </row>
    <row r="1111" spans="1:67" s="74" customFormat="1">
      <c r="A1111" s="15"/>
      <c r="B1111" s="15"/>
      <c r="C1111" s="15"/>
      <c r="D1111" s="15"/>
      <c r="E1111" s="6"/>
      <c r="F1111" s="6"/>
      <c r="G1111" s="6"/>
      <c r="K1111" s="223"/>
      <c r="M1111" s="889"/>
      <c r="P1111" s="890"/>
      <c r="T1111" s="889"/>
      <c r="X1111" s="15"/>
      <c r="Y1111" s="1935"/>
      <c r="Z1111" s="1086"/>
      <c r="AA1111" s="230"/>
      <c r="AB1111" s="230"/>
      <c r="AC1111" s="1936"/>
      <c r="AD1111" s="230"/>
      <c r="AE1111" s="230"/>
      <c r="AF1111" s="230"/>
      <c r="AG1111" s="890"/>
      <c r="AJ1111" s="890"/>
      <c r="AN1111" s="223"/>
      <c r="AO1111" s="952"/>
      <c r="AP1111" s="1066"/>
      <c r="AQ1111" s="972"/>
      <c r="AR1111" s="1917"/>
      <c r="AS1111" s="222"/>
      <c r="AZ1111" s="889"/>
      <c r="BC1111" s="890"/>
      <c r="BD1111" s="952"/>
      <c r="BE1111" s="75"/>
      <c r="BF1111" s="572"/>
      <c r="BG1111" s="983"/>
      <c r="BH1111" s="222"/>
      <c r="BL1111" s="889"/>
      <c r="BO1111" s="223"/>
    </row>
    <row r="1112" spans="1:67" s="74" customFormat="1">
      <c r="A1112" s="15"/>
      <c r="B1112" s="15"/>
      <c r="C1112" s="15"/>
      <c r="D1112" s="15"/>
      <c r="E1112" s="6"/>
      <c r="F1112" s="6"/>
      <c r="G1112" s="6"/>
      <c r="K1112" s="223"/>
      <c r="M1112" s="889"/>
      <c r="P1112" s="890"/>
      <c r="T1112" s="889"/>
      <c r="X1112" s="15"/>
      <c r="Y1112" s="1935"/>
      <c r="Z1112" s="1086"/>
      <c r="AA1112" s="230"/>
      <c r="AB1112" s="230"/>
      <c r="AC1112" s="1936"/>
      <c r="AD1112" s="230"/>
      <c r="AE1112" s="230"/>
      <c r="AF1112" s="230"/>
      <c r="AG1112" s="890"/>
      <c r="AJ1112" s="890"/>
      <c r="AN1112" s="223"/>
      <c r="AO1112" s="952"/>
      <c r="AP1112" s="1066"/>
      <c r="AQ1112" s="972"/>
      <c r="AR1112" s="1917"/>
      <c r="AS1112" s="222"/>
      <c r="AZ1112" s="889"/>
      <c r="BC1112" s="890"/>
      <c r="BD1112" s="952"/>
      <c r="BE1112" s="75"/>
      <c r="BF1112" s="572"/>
      <c r="BG1112" s="983"/>
      <c r="BH1112" s="222"/>
      <c r="BL1112" s="889"/>
      <c r="BO1112" s="223"/>
    </row>
    <row r="1113" spans="1:67" s="74" customFormat="1">
      <c r="A1113" s="15"/>
      <c r="B1113" s="15"/>
      <c r="C1113" s="15"/>
      <c r="D1113" s="15"/>
      <c r="E1113" s="6"/>
      <c r="F1113" s="6"/>
      <c r="G1113" s="6"/>
      <c r="K1113" s="223"/>
      <c r="M1113" s="889"/>
      <c r="P1113" s="890"/>
      <c r="T1113" s="889"/>
      <c r="X1113" s="15"/>
      <c r="Y1113" s="1935"/>
      <c r="Z1113" s="1086"/>
      <c r="AA1113" s="230"/>
      <c r="AB1113" s="230"/>
      <c r="AC1113" s="1936"/>
      <c r="AD1113" s="230"/>
      <c r="AE1113" s="230"/>
      <c r="AF1113" s="230"/>
      <c r="AG1113" s="890"/>
      <c r="AJ1113" s="890"/>
      <c r="AN1113" s="223"/>
      <c r="AO1113" s="952"/>
      <c r="AP1113" s="1066"/>
      <c r="AQ1113" s="972"/>
      <c r="AR1113" s="1917"/>
      <c r="AS1113" s="222"/>
      <c r="AZ1113" s="889"/>
      <c r="BC1113" s="890"/>
      <c r="BD1113" s="952"/>
      <c r="BE1113" s="75"/>
      <c r="BF1113" s="572"/>
      <c r="BG1113" s="983"/>
      <c r="BH1113" s="222"/>
      <c r="BL1113" s="889"/>
      <c r="BO1113" s="223"/>
    </row>
    <row r="1114" spans="1:67" s="74" customFormat="1">
      <c r="A1114" s="15"/>
      <c r="B1114" s="15"/>
      <c r="C1114" s="15"/>
      <c r="D1114" s="15"/>
      <c r="E1114" s="6"/>
      <c r="F1114" s="6"/>
      <c r="G1114" s="6"/>
      <c r="K1114" s="223"/>
      <c r="M1114" s="889"/>
      <c r="P1114" s="890"/>
      <c r="T1114" s="889"/>
      <c r="X1114" s="15"/>
      <c r="Y1114" s="1935"/>
      <c r="Z1114" s="1086"/>
      <c r="AA1114" s="230"/>
      <c r="AB1114" s="230"/>
      <c r="AC1114" s="1936"/>
      <c r="AD1114" s="230"/>
      <c r="AE1114" s="230"/>
      <c r="AF1114" s="230"/>
      <c r="AG1114" s="890"/>
      <c r="AJ1114" s="890"/>
      <c r="AN1114" s="223"/>
      <c r="AO1114" s="952"/>
      <c r="AP1114" s="1066"/>
      <c r="AQ1114" s="972"/>
      <c r="AR1114" s="1917"/>
      <c r="AS1114" s="222"/>
      <c r="AZ1114" s="889"/>
      <c r="BC1114" s="890"/>
      <c r="BD1114" s="952"/>
      <c r="BE1114" s="75"/>
      <c r="BF1114" s="572"/>
      <c r="BG1114" s="983"/>
      <c r="BH1114" s="222"/>
      <c r="BL1114" s="889"/>
      <c r="BO1114" s="223"/>
    </row>
    <row r="1115" spans="1:67" s="74" customFormat="1">
      <c r="A1115" s="15"/>
      <c r="B1115" s="15"/>
      <c r="C1115" s="15"/>
      <c r="D1115" s="15"/>
      <c r="E1115" s="6"/>
      <c r="F1115" s="6"/>
      <c r="G1115" s="6"/>
      <c r="K1115" s="223"/>
      <c r="M1115" s="889"/>
      <c r="P1115" s="890"/>
      <c r="T1115" s="889"/>
      <c r="X1115" s="15"/>
      <c r="Y1115" s="1935"/>
      <c r="Z1115" s="1086"/>
      <c r="AA1115" s="230"/>
      <c r="AB1115" s="230"/>
      <c r="AC1115" s="1936"/>
      <c r="AD1115" s="230"/>
      <c r="AE1115" s="230"/>
      <c r="AF1115" s="230"/>
      <c r="AG1115" s="890"/>
      <c r="AJ1115" s="890"/>
      <c r="AN1115" s="223"/>
      <c r="AO1115" s="952"/>
      <c r="AP1115" s="1066"/>
      <c r="AQ1115" s="972"/>
      <c r="AR1115" s="1917"/>
      <c r="AS1115" s="222"/>
      <c r="AZ1115" s="889"/>
      <c r="BC1115" s="890"/>
      <c r="BD1115" s="952"/>
      <c r="BE1115" s="75"/>
      <c r="BF1115" s="572"/>
      <c r="BG1115" s="983"/>
      <c r="BH1115" s="222"/>
      <c r="BL1115" s="889"/>
      <c r="BO1115" s="223"/>
    </row>
    <row r="1116" spans="1:67" s="74" customFormat="1">
      <c r="A1116" s="15"/>
      <c r="B1116" s="15"/>
      <c r="C1116" s="15"/>
      <c r="D1116" s="15"/>
      <c r="E1116" s="6"/>
      <c r="F1116" s="6"/>
      <c r="G1116" s="6"/>
      <c r="K1116" s="223"/>
      <c r="M1116" s="889"/>
      <c r="P1116" s="890"/>
      <c r="T1116" s="889"/>
      <c r="X1116" s="15"/>
      <c r="Y1116" s="1935"/>
      <c r="Z1116" s="1086"/>
      <c r="AA1116" s="230"/>
      <c r="AB1116" s="230"/>
      <c r="AC1116" s="1936"/>
      <c r="AD1116" s="230"/>
      <c r="AE1116" s="230"/>
      <c r="AF1116" s="230"/>
      <c r="AG1116" s="890"/>
      <c r="AJ1116" s="890"/>
      <c r="AN1116" s="223"/>
      <c r="AO1116" s="952"/>
      <c r="AP1116" s="1066"/>
      <c r="AQ1116" s="972"/>
      <c r="AR1116" s="1917"/>
      <c r="AS1116" s="222"/>
      <c r="AZ1116" s="889"/>
      <c r="BC1116" s="890"/>
      <c r="BD1116" s="952"/>
      <c r="BE1116" s="75"/>
      <c r="BF1116" s="572"/>
      <c r="BG1116" s="983"/>
      <c r="BH1116" s="222"/>
      <c r="BL1116" s="889"/>
      <c r="BO1116" s="223"/>
    </row>
    <row r="1117" spans="1:67" s="74" customFormat="1">
      <c r="A1117" s="15"/>
      <c r="B1117" s="15"/>
      <c r="C1117" s="15"/>
      <c r="D1117" s="15"/>
      <c r="E1117" s="6"/>
      <c r="F1117" s="6"/>
      <c r="G1117" s="6"/>
      <c r="K1117" s="223"/>
      <c r="M1117" s="889"/>
      <c r="P1117" s="890"/>
      <c r="T1117" s="889"/>
      <c r="X1117" s="15"/>
      <c r="Y1117" s="1935"/>
      <c r="Z1117" s="1086"/>
      <c r="AA1117" s="230"/>
      <c r="AB1117" s="230"/>
      <c r="AC1117" s="1936"/>
      <c r="AD1117" s="230"/>
      <c r="AE1117" s="230"/>
      <c r="AF1117" s="230"/>
      <c r="AG1117" s="890"/>
      <c r="AJ1117" s="890"/>
      <c r="AN1117" s="223"/>
      <c r="AO1117" s="952"/>
      <c r="AP1117" s="1066"/>
      <c r="AQ1117" s="972"/>
      <c r="AR1117" s="1917"/>
      <c r="AS1117" s="222"/>
      <c r="AZ1117" s="889"/>
      <c r="BC1117" s="890"/>
      <c r="BD1117" s="952"/>
      <c r="BE1117" s="75"/>
      <c r="BF1117" s="572"/>
      <c r="BG1117" s="983"/>
      <c r="BH1117" s="222"/>
      <c r="BL1117" s="889"/>
      <c r="BO1117" s="223"/>
    </row>
    <row r="1118" spans="1:67" s="74" customFormat="1">
      <c r="A1118" s="15"/>
      <c r="B1118" s="15"/>
      <c r="C1118" s="15"/>
      <c r="D1118" s="15"/>
      <c r="E1118" s="6"/>
      <c r="F1118" s="6"/>
      <c r="G1118" s="6"/>
      <c r="K1118" s="223"/>
      <c r="M1118" s="889"/>
      <c r="P1118" s="890"/>
      <c r="T1118" s="889"/>
      <c r="X1118" s="15"/>
      <c r="Y1118" s="1935"/>
      <c r="Z1118" s="1086"/>
      <c r="AA1118" s="230"/>
      <c r="AB1118" s="230"/>
      <c r="AC1118" s="1936"/>
      <c r="AD1118" s="230"/>
      <c r="AE1118" s="230"/>
      <c r="AF1118" s="230"/>
      <c r="AG1118" s="890"/>
      <c r="AJ1118" s="890"/>
      <c r="AN1118" s="223"/>
      <c r="AO1118" s="952"/>
      <c r="AP1118" s="1066"/>
      <c r="AQ1118" s="972"/>
      <c r="AR1118" s="1917"/>
      <c r="AS1118" s="222"/>
      <c r="AZ1118" s="889"/>
      <c r="BC1118" s="890"/>
      <c r="BD1118" s="952"/>
      <c r="BE1118" s="75"/>
      <c r="BF1118" s="572"/>
      <c r="BG1118" s="983"/>
      <c r="BH1118" s="222"/>
      <c r="BL1118" s="889"/>
      <c r="BO1118" s="223"/>
    </row>
    <row r="1119" spans="1:67" s="74" customFormat="1">
      <c r="A1119" s="15"/>
      <c r="B1119" s="15"/>
      <c r="C1119" s="15"/>
      <c r="D1119" s="15"/>
      <c r="E1119" s="6"/>
      <c r="F1119" s="6"/>
      <c r="G1119" s="6"/>
      <c r="K1119" s="223"/>
      <c r="M1119" s="889"/>
      <c r="P1119" s="890"/>
      <c r="T1119" s="889"/>
      <c r="X1119" s="15"/>
      <c r="Y1119" s="1935"/>
      <c r="Z1119" s="1086"/>
      <c r="AA1119" s="230"/>
      <c r="AB1119" s="230"/>
      <c r="AC1119" s="1936"/>
      <c r="AD1119" s="230"/>
      <c r="AE1119" s="230"/>
      <c r="AF1119" s="230"/>
      <c r="AG1119" s="890"/>
      <c r="AJ1119" s="890"/>
      <c r="AN1119" s="223"/>
      <c r="AO1119" s="952"/>
      <c r="AP1119" s="1066"/>
      <c r="AQ1119" s="972"/>
      <c r="AR1119" s="1917"/>
      <c r="AS1119" s="222"/>
      <c r="AZ1119" s="889"/>
      <c r="BC1119" s="890"/>
      <c r="BD1119" s="952"/>
      <c r="BE1119" s="75"/>
      <c r="BF1119" s="572"/>
      <c r="BG1119" s="983"/>
      <c r="BH1119" s="222"/>
      <c r="BL1119" s="889"/>
      <c r="BO1119" s="223"/>
    </row>
    <row r="1120" spans="1:67" s="74" customFormat="1">
      <c r="A1120" s="15"/>
      <c r="B1120" s="15"/>
      <c r="C1120" s="15"/>
      <c r="D1120" s="15"/>
      <c r="E1120" s="6"/>
      <c r="F1120" s="6"/>
      <c r="G1120" s="6"/>
      <c r="K1120" s="223"/>
      <c r="M1120" s="889"/>
      <c r="P1120" s="890"/>
      <c r="T1120" s="889"/>
      <c r="X1120" s="15"/>
      <c r="Y1120" s="1935"/>
      <c r="Z1120" s="1086"/>
      <c r="AA1120" s="230"/>
      <c r="AB1120" s="230"/>
      <c r="AC1120" s="1936"/>
      <c r="AD1120" s="230"/>
      <c r="AE1120" s="230"/>
      <c r="AF1120" s="230"/>
      <c r="AG1120" s="890"/>
      <c r="AJ1120" s="890"/>
      <c r="AN1120" s="223"/>
      <c r="AO1120" s="952"/>
      <c r="AP1120" s="1066"/>
      <c r="AQ1120" s="972"/>
      <c r="AR1120" s="1917"/>
      <c r="AS1120" s="222"/>
      <c r="AZ1120" s="889"/>
      <c r="BC1120" s="890"/>
      <c r="BD1120" s="952"/>
      <c r="BE1120" s="75"/>
      <c r="BF1120" s="572"/>
      <c r="BG1120" s="983"/>
      <c r="BH1120" s="222"/>
      <c r="BL1120" s="889"/>
      <c r="BO1120" s="223"/>
    </row>
    <row r="1121" spans="1:67" s="74" customFormat="1">
      <c r="A1121" s="15"/>
      <c r="B1121" s="15"/>
      <c r="C1121" s="15"/>
      <c r="D1121" s="15"/>
      <c r="E1121" s="6"/>
      <c r="F1121" s="6"/>
      <c r="G1121" s="6"/>
      <c r="K1121" s="223"/>
      <c r="M1121" s="889"/>
      <c r="P1121" s="890"/>
      <c r="T1121" s="889"/>
      <c r="X1121" s="15"/>
      <c r="Y1121" s="1935"/>
      <c r="Z1121" s="1086"/>
      <c r="AA1121" s="230"/>
      <c r="AB1121" s="230"/>
      <c r="AC1121" s="1936"/>
      <c r="AD1121" s="230"/>
      <c r="AE1121" s="230"/>
      <c r="AF1121" s="230"/>
      <c r="AG1121" s="890"/>
      <c r="AJ1121" s="890"/>
      <c r="AN1121" s="223"/>
      <c r="AO1121" s="952"/>
      <c r="AP1121" s="1066"/>
      <c r="AQ1121" s="972"/>
      <c r="AR1121" s="1917"/>
      <c r="AS1121" s="222"/>
      <c r="AZ1121" s="889"/>
      <c r="BC1121" s="890"/>
      <c r="BD1121" s="952"/>
      <c r="BE1121" s="75"/>
      <c r="BF1121" s="572"/>
      <c r="BG1121" s="983"/>
      <c r="BH1121" s="222"/>
      <c r="BL1121" s="889"/>
      <c r="BO1121" s="223"/>
    </row>
    <row r="1122" spans="1:67" s="74" customFormat="1">
      <c r="A1122" s="15"/>
      <c r="B1122" s="15"/>
      <c r="C1122" s="15"/>
      <c r="D1122" s="15"/>
      <c r="E1122" s="6"/>
      <c r="F1122" s="6"/>
      <c r="G1122" s="6"/>
      <c r="K1122" s="223"/>
      <c r="M1122" s="889"/>
      <c r="P1122" s="890"/>
      <c r="T1122" s="889"/>
      <c r="X1122" s="15"/>
      <c r="Y1122" s="1935"/>
      <c r="Z1122" s="1086"/>
      <c r="AA1122" s="230"/>
      <c r="AB1122" s="230"/>
      <c r="AC1122" s="1936"/>
      <c r="AD1122" s="230"/>
      <c r="AE1122" s="230"/>
      <c r="AF1122" s="230"/>
      <c r="AG1122" s="890"/>
      <c r="AJ1122" s="890"/>
      <c r="AN1122" s="223"/>
      <c r="AO1122" s="952"/>
      <c r="AP1122" s="1066"/>
      <c r="AQ1122" s="972"/>
      <c r="AR1122" s="1917"/>
      <c r="AS1122" s="222"/>
      <c r="AZ1122" s="889"/>
      <c r="BC1122" s="890"/>
      <c r="BD1122" s="952"/>
      <c r="BE1122" s="75"/>
      <c r="BF1122" s="572"/>
      <c r="BG1122" s="983"/>
      <c r="BH1122" s="222"/>
      <c r="BL1122" s="889"/>
      <c r="BO1122" s="223"/>
    </row>
    <row r="1123" spans="1:67" s="74" customFormat="1">
      <c r="A1123" s="15"/>
      <c r="B1123" s="15"/>
      <c r="C1123" s="15"/>
      <c r="D1123" s="15"/>
      <c r="E1123" s="6"/>
      <c r="F1123" s="6"/>
      <c r="G1123" s="6"/>
      <c r="K1123" s="223"/>
      <c r="M1123" s="889"/>
      <c r="P1123" s="890"/>
      <c r="T1123" s="889"/>
      <c r="X1123" s="15"/>
      <c r="Y1123" s="1935"/>
      <c r="Z1123" s="1086"/>
      <c r="AA1123" s="230"/>
      <c r="AB1123" s="230"/>
      <c r="AC1123" s="1936"/>
      <c r="AD1123" s="230"/>
      <c r="AE1123" s="230"/>
      <c r="AF1123" s="230"/>
      <c r="AG1123" s="890"/>
      <c r="AJ1123" s="890"/>
      <c r="AN1123" s="223"/>
      <c r="AO1123" s="952"/>
      <c r="AP1123" s="1066"/>
      <c r="AQ1123" s="972"/>
      <c r="AR1123" s="1917"/>
      <c r="AS1123" s="222"/>
      <c r="AZ1123" s="889"/>
      <c r="BC1123" s="890"/>
      <c r="BD1123" s="952"/>
      <c r="BE1123" s="75"/>
      <c r="BF1123" s="572"/>
      <c r="BG1123" s="983"/>
      <c r="BH1123" s="222"/>
      <c r="BL1123" s="889"/>
      <c r="BO1123" s="223"/>
    </row>
    <row r="1124" spans="1:67" s="74" customFormat="1">
      <c r="A1124" s="15"/>
      <c r="B1124" s="15"/>
      <c r="C1124" s="15"/>
      <c r="D1124" s="15"/>
      <c r="E1124" s="6"/>
      <c r="F1124" s="6"/>
      <c r="G1124" s="6"/>
      <c r="K1124" s="223"/>
      <c r="M1124" s="889"/>
      <c r="P1124" s="890"/>
      <c r="T1124" s="889"/>
      <c r="X1124" s="15"/>
      <c r="Y1124" s="1935"/>
      <c r="Z1124" s="1086"/>
      <c r="AA1124" s="230"/>
      <c r="AB1124" s="230"/>
      <c r="AC1124" s="1936"/>
      <c r="AD1124" s="230"/>
      <c r="AE1124" s="230"/>
      <c r="AF1124" s="230"/>
      <c r="AG1124" s="890"/>
      <c r="AJ1124" s="890"/>
      <c r="AN1124" s="223"/>
      <c r="AO1124" s="952"/>
      <c r="AP1124" s="1066"/>
      <c r="AQ1124" s="972"/>
      <c r="AR1124" s="1917"/>
      <c r="AS1124" s="222"/>
      <c r="AZ1124" s="889"/>
      <c r="BC1124" s="890"/>
      <c r="BD1124" s="952"/>
      <c r="BE1124" s="75"/>
      <c r="BF1124" s="572"/>
      <c r="BG1124" s="983"/>
      <c r="BH1124" s="222"/>
      <c r="BL1124" s="889"/>
      <c r="BO1124" s="223"/>
    </row>
    <row r="1125" spans="1:67" s="74" customFormat="1">
      <c r="A1125" s="15"/>
      <c r="B1125" s="15"/>
      <c r="C1125" s="15"/>
      <c r="D1125" s="15"/>
      <c r="E1125" s="6"/>
      <c r="F1125" s="6"/>
      <c r="G1125" s="6"/>
      <c r="K1125" s="223"/>
      <c r="M1125" s="889"/>
      <c r="P1125" s="890"/>
      <c r="T1125" s="889"/>
      <c r="X1125" s="15"/>
      <c r="Y1125" s="1935"/>
      <c r="Z1125" s="1086"/>
      <c r="AA1125" s="230"/>
      <c r="AB1125" s="230"/>
      <c r="AC1125" s="1936"/>
      <c r="AD1125" s="230"/>
      <c r="AE1125" s="230"/>
      <c r="AF1125" s="230"/>
      <c r="AG1125" s="890"/>
      <c r="AJ1125" s="890"/>
      <c r="AN1125" s="223"/>
      <c r="AO1125" s="952"/>
      <c r="AP1125" s="1066"/>
      <c r="AQ1125" s="972"/>
      <c r="AR1125" s="1917"/>
      <c r="AS1125" s="222"/>
      <c r="AZ1125" s="889"/>
      <c r="BC1125" s="890"/>
      <c r="BD1125" s="952"/>
      <c r="BE1125" s="75"/>
      <c r="BF1125" s="572"/>
      <c r="BG1125" s="983"/>
      <c r="BH1125" s="222"/>
      <c r="BL1125" s="889"/>
      <c r="BO1125" s="223"/>
    </row>
    <row r="1126" spans="1:67" s="74" customFormat="1">
      <c r="A1126" s="15"/>
      <c r="B1126" s="15"/>
      <c r="C1126" s="15"/>
      <c r="D1126" s="15"/>
      <c r="E1126" s="6"/>
      <c r="F1126" s="6"/>
      <c r="G1126" s="6"/>
      <c r="K1126" s="223"/>
      <c r="M1126" s="889"/>
      <c r="P1126" s="890"/>
      <c r="T1126" s="889"/>
      <c r="X1126" s="15"/>
      <c r="Y1126" s="1935"/>
      <c r="Z1126" s="1086"/>
      <c r="AA1126" s="230"/>
      <c r="AB1126" s="230"/>
      <c r="AC1126" s="1936"/>
      <c r="AD1126" s="230"/>
      <c r="AE1126" s="230"/>
      <c r="AF1126" s="230"/>
      <c r="AG1126" s="890"/>
      <c r="AJ1126" s="890"/>
      <c r="AN1126" s="223"/>
      <c r="AO1126" s="952"/>
      <c r="AP1126" s="1066"/>
      <c r="AQ1126" s="972"/>
      <c r="AR1126" s="1917"/>
      <c r="AS1126" s="222"/>
      <c r="AZ1126" s="889"/>
      <c r="BC1126" s="890"/>
      <c r="BD1126" s="952"/>
      <c r="BE1126" s="75"/>
      <c r="BF1126" s="572"/>
      <c r="BG1126" s="983"/>
      <c r="BH1126" s="222"/>
      <c r="BL1126" s="889"/>
      <c r="BO1126" s="223"/>
    </row>
    <row r="1127" spans="1:67" s="74" customFormat="1">
      <c r="A1127" s="15"/>
      <c r="B1127" s="15"/>
      <c r="C1127" s="15"/>
      <c r="D1127" s="15"/>
      <c r="E1127" s="6"/>
      <c r="F1127" s="6"/>
      <c r="G1127" s="6"/>
      <c r="K1127" s="223"/>
      <c r="M1127" s="889"/>
      <c r="P1127" s="890"/>
      <c r="T1127" s="889"/>
      <c r="X1127" s="15"/>
      <c r="Y1127" s="1935"/>
      <c r="Z1127" s="1086"/>
      <c r="AA1127" s="230"/>
      <c r="AB1127" s="230"/>
      <c r="AC1127" s="1936"/>
      <c r="AD1127" s="230"/>
      <c r="AE1127" s="230"/>
      <c r="AF1127" s="230"/>
      <c r="AG1127" s="890"/>
      <c r="AJ1127" s="890"/>
      <c r="AN1127" s="223"/>
      <c r="AO1127" s="952"/>
      <c r="AP1127" s="1066"/>
      <c r="AQ1127" s="972"/>
      <c r="AR1127" s="1917"/>
      <c r="AS1127" s="222"/>
      <c r="AZ1127" s="889"/>
      <c r="BC1127" s="890"/>
      <c r="BD1127" s="952"/>
      <c r="BE1127" s="75"/>
      <c r="BF1127" s="572"/>
      <c r="BG1127" s="983"/>
      <c r="BH1127" s="222"/>
      <c r="BL1127" s="889"/>
      <c r="BO1127" s="223"/>
    </row>
    <row r="1128" spans="1:67" s="74" customFormat="1">
      <c r="A1128" s="15"/>
      <c r="B1128" s="15"/>
      <c r="C1128" s="15"/>
      <c r="D1128" s="15"/>
      <c r="E1128" s="6"/>
      <c r="F1128" s="6"/>
      <c r="G1128" s="6"/>
      <c r="K1128" s="223"/>
      <c r="M1128" s="889"/>
      <c r="P1128" s="890"/>
      <c r="T1128" s="889"/>
      <c r="X1128" s="15"/>
      <c r="Y1128" s="1935"/>
      <c r="Z1128" s="1086"/>
      <c r="AA1128" s="230"/>
      <c r="AB1128" s="230"/>
      <c r="AC1128" s="1936"/>
      <c r="AD1128" s="230"/>
      <c r="AE1128" s="230"/>
      <c r="AF1128" s="230"/>
      <c r="AG1128" s="890"/>
      <c r="AJ1128" s="890"/>
      <c r="AN1128" s="223"/>
      <c r="AO1128" s="952"/>
      <c r="AP1128" s="1066"/>
      <c r="AQ1128" s="972"/>
      <c r="AR1128" s="1917"/>
      <c r="AS1128" s="222"/>
      <c r="AZ1128" s="889"/>
      <c r="BC1128" s="890"/>
      <c r="BD1128" s="952"/>
      <c r="BE1128" s="75"/>
      <c r="BF1128" s="572"/>
      <c r="BG1128" s="983"/>
      <c r="BH1128" s="222"/>
      <c r="BL1128" s="889"/>
      <c r="BO1128" s="223"/>
    </row>
    <row r="1129" spans="1:67" s="74" customFormat="1">
      <c r="A1129" s="15"/>
      <c r="B1129" s="15"/>
      <c r="C1129" s="15"/>
      <c r="D1129" s="15"/>
      <c r="E1129" s="6"/>
      <c r="F1129" s="6"/>
      <c r="G1129" s="6"/>
      <c r="K1129" s="223"/>
      <c r="M1129" s="889"/>
      <c r="P1129" s="890"/>
      <c r="T1129" s="889"/>
      <c r="X1129" s="15"/>
      <c r="Y1129" s="1935"/>
      <c r="Z1129" s="1086"/>
      <c r="AA1129" s="230"/>
      <c r="AB1129" s="230"/>
      <c r="AC1129" s="1936"/>
      <c r="AD1129" s="230"/>
      <c r="AE1129" s="230"/>
      <c r="AF1129" s="230"/>
      <c r="AG1129" s="890"/>
      <c r="AJ1129" s="890"/>
      <c r="AN1129" s="223"/>
      <c r="AO1129" s="952"/>
      <c r="AP1129" s="1066"/>
      <c r="AQ1129" s="972"/>
      <c r="AR1129" s="1917"/>
      <c r="AS1129" s="222"/>
      <c r="AZ1129" s="889"/>
      <c r="BC1129" s="890"/>
      <c r="BD1129" s="952"/>
      <c r="BE1129" s="75"/>
      <c r="BF1129" s="572"/>
      <c r="BG1129" s="983"/>
      <c r="BH1129" s="222"/>
      <c r="BL1129" s="889"/>
      <c r="BO1129" s="223"/>
    </row>
    <row r="1130" spans="1:67" s="74" customFormat="1">
      <c r="A1130" s="15"/>
      <c r="B1130" s="15"/>
      <c r="C1130" s="15"/>
      <c r="D1130" s="15"/>
      <c r="E1130" s="6"/>
      <c r="F1130" s="6"/>
      <c r="G1130" s="6"/>
      <c r="K1130" s="223"/>
      <c r="M1130" s="889"/>
      <c r="P1130" s="890"/>
      <c r="T1130" s="889"/>
      <c r="X1130" s="15"/>
      <c r="Y1130" s="1935"/>
      <c r="Z1130" s="1086"/>
      <c r="AA1130" s="230"/>
      <c r="AB1130" s="230"/>
      <c r="AC1130" s="1936"/>
      <c r="AD1130" s="230"/>
      <c r="AE1130" s="230"/>
      <c r="AF1130" s="230"/>
      <c r="AG1130" s="890"/>
      <c r="AJ1130" s="890"/>
      <c r="AN1130" s="223"/>
      <c r="AO1130" s="952"/>
      <c r="AP1130" s="1066"/>
      <c r="AQ1130" s="972"/>
      <c r="AR1130" s="1917"/>
      <c r="AS1130" s="222"/>
      <c r="AZ1130" s="889"/>
      <c r="BC1130" s="890"/>
      <c r="BD1130" s="952"/>
      <c r="BE1130" s="75"/>
      <c r="BF1130" s="572"/>
      <c r="BG1130" s="983"/>
      <c r="BH1130" s="222"/>
      <c r="BL1130" s="889"/>
      <c r="BO1130" s="223"/>
    </row>
    <row r="1131" spans="1:67" s="74" customFormat="1">
      <c r="A1131" s="15"/>
      <c r="B1131" s="15"/>
      <c r="C1131" s="15"/>
      <c r="D1131" s="15"/>
      <c r="E1131" s="6"/>
      <c r="F1131" s="6"/>
      <c r="G1131" s="6"/>
      <c r="K1131" s="223"/>
      <c r="M1131" s="889"/>
      <c r="P1131" s="890"/>
      <c r="T1131" s="889"/>
      <c r="X1131" s="15"/>
      <c r="Y1131" s="1935"/>
      <c r="Z1131" s="1086"/>
      <c r="AA1131" s="230"/>
      <c r="AB1131" s="230"/>
      <c r="AC1131" s="1936"/>
      <c r="AD1131" s="230"/>
      <c r="AE1131" s="230"/>
      <c r="AF1131" s="230"/>
      <c r="AG1131" s="890"/>
      <c r="AJ1131" s="890"/>
      <c r="AN1131" s="223"/>
      <c r="AO1131" s="952"/>
      <c r="AP1131" s="1066"/>
      <c r="AQ1131" s="972"/>
      <c r="AR1131" s="1917"/>
      <c r="AS1131" s="222"/>
      <c r="AZ1131" s="889"/>
      <c r="BC1131" s="890"/>
      <c r="BD1131" s="952"/>
      <c r="BE1131" s="75"/>
      <c r="BF1131" s="572"/>
      <c r="BG1131" s="983"/>
      <c r="BH1131" s="222"/>
      <c r="BL1131" s="889"/>
      <c r="BO1131" s="223"/>
    </row>
    <row r="1132" spans="1:67" s="74" customFormat="1">
      <c r="A1132" s="15"/>
      <c r="B1132" s="15"/>
      <c r="C1132" s="15"/>
      <c r="D1132" s="15"/>
      <c r="E1132" s="6"/>
      <c r="F1132" s="6"/>
      <c r="G1132" s="6"/>
      <c r="K1132" s="223"/>
      <c r="M1132" s="889"/>
      <c r="P1132" s="890"/>
      <c r="T1132" s="889"/>
      <c r="X1132" s="15"/>
      <c r="Y1132" s="1935"/>
      <c r="Z1132" s="1086"/>
      <c r="AA1132" s="230"/>
      <c r="AB1132" s="230"/>
      <c r="AC1132" s="1936"/>
      <c r="AD1132" s="230"/>
      <c r="AE1132" s="230"/>
      <c r="AF1132" s="230"/>
      <c r="AG1132" s="890"/>
      <c r="AJ1132" s="890"/>
      <c r="AN1132" s="223"/>
      <c r="AO1132" s="952"/>
      <c r="AP1132" s="1066"/>
      <c r="AQ1132" s="972"/>
      <c r="AR1132" s="1917"/>
      <c r="AS1132" s="222"/>
      <c r="AZ1132" s="889"/>
      <c r="BC1132" s="890"/>
      <c r="BD1132" s="952"/>
      <c r="BE1132" s="75"/>
      <c r="BF1132" s="572"/>
      <c r="BG1132" s="983"/>
      <c r="BH1132" s="222"/>
      <c r="BL1132" s="889"/>
      <c r="BO1132" s="223"/>
    </row>
    <row r="1133" spans="1:67" s="74" customFormat="1">
      <c r="A1133" s="15"/>
      <c r="B1133" s="15"/>
      <c r="C1133" s="15"/>
      <c r="D1133" s="15"/>
      <c r="E1133" s="6"/>
      <c r="F1133" s="6"/>
      <c r="G1133" s="6"/>
      <c r="K1133" s="223"/>
      <c r="M1133" s="889"/>
      <c r="P1133" s="890"/>
      <c r="T1133" s="889"/>
      <c r="X1133" s="15"/>
      <c r="Y1133" s="1935"/>
      <c r="Z1133" s="1086"/>
      <c r="AA1133" s="230"/>
      <c r="AB1133" s="230"/>
      <c r="AC1133" s="1936"/>
      <c r="AD1133" s="230"/>
      <c r="AE1133" s="230"/>
      <c r="AF1133" s="230"/>
      <c r="AG1133" s="890"/>
      <c r="AJ1133" s="890"/>
      <c r="AN1133" s="223"/>
      <c r="AO1133" s="952"/>
      <c r="AP1133" s="1066"/>
      <c r="AQ1133" s="972"/>
      <c r="AR1133" s="1917"/>
      <c r="AS1133" s="222"/>
      <c r="AZ1133" s="889"/>
      <c r="BC1133" s="890"/>
      <c r="BD1133" s="952"/>
      <c r="BE1133" s="75"/>
      <c r="BF1133" s="572"/>
      <c r="BG1133" s="983"/>
      <c r="BH1133" s="222"/>
      <c r="BL1133" s="889"/>
      <c r="BO1133" s="223"/>
    </row>
    <row r="1134" spans="1:67" s="74" customFormat="1">
      <c r="A1134" s="15"/>
      <c r="B1134" s="15"/>
      <c r="C1134" s="15"/>
      <c r="D1134" s="15"/>
      <c r="E1134" s="6"/>
      <c r="F1134" s="6"/>
      <c r="G1134" s="6"/>
      <c r="K1134" s="223"/>
      <c r="M1134" s="889"/>
      <c r="P1134" s="890"/>
      <c r="T1134" s="889"/>
      <c r="X1134" s="15"/>
      <c r="Y1134" s="1935"/>
      <c r="Z1134" s="1086"/>
      <c r="AA1134" s="230"/>
      <c r="AB1134" s="230"/>
      <c r="AC1134" s="1936"/>
      <c r="AD1134" s="230"/>
      <c r="AE1134" s="230"/>
      <c r="AF1134" s="230"/>
      <c r="AG1134" s="890"/>
      <c r="AJ1134" s="890"/>
      <c r="AN1134" s="223"/>
      <c r="AO1134" s="952"/>
      <c r="AP1134" s="1066"/>
      <c r="AQ1134" s="972"/>
      <c r="AR1134" s="1917"/>
      <c r="AS1134" s="222"/>
      <c r="AZ1134" s="889"/>
      <c r="BC1134" s="890"/>
      <c r="BD1134" s="952"/>
      <c r="BE1134" s="75"/>
      <c r="BF1134" s="572"/>
      <c r="BG1134" s="983"/>
      <c r="BH1134" s="222"/>
      <c r="BL1134" s="889"/>
      <c r="BO1134" s="223"/>
    </row>
    <row r="1135" spans="1:67" s="74" customFormat="1">
      <c r="A1135" s="15"/>
      <c r="B1135" s="15"/>
      <c r="C1135" s="15"/>
      <c r="D1135" s="15"/>
      <c r="E1135" s="6"/>
      <c r="F1135" s="6"/>
      <c r="G1135" s="6"/>
      <c r="K1135" s="223"/>
      <c r="M1135" s="889"/>
      <c r="P1135" s="890"/>
      <c r="T1135" s="889"/>
      <c r="X1135" s="15"/>
      <c r="Y1135" s="1935"/>
      <c r="Z1135" s="1086"/>
      <c r="AA1135" s="230"/>
      <c r="AB1135" s="230"/>
      <c r="AC1135" s="1936"/>
      <c r="AD1135" s="230"/>
      <c r="AE1135" s="230"/>
      <c r="AF1135" s="230"/>
      <c r="AG1135" s="890"/>
      <c r="AJ1135" s="890"/>
      <c r="AN1135" s="223"/>
      <c r="AO1135" s="952"/>
      <c r="AP1135" s="1066"/>
      <c r="AQ1135" s="972"/>
      <c r="AR1135" s="1917"/>
      <c r="AS1135" s="222"/>
      <c r="AZ1135" s="889"/>
      <c r="BC1135" s="890"/>
      <c r="BD1135" s="952"/>
      <c r="BE1135" s="75"/>
      <c r="BF1135" s="572"/>
      <c r="BG1135" s="983"/>
      <c r="BH1135" s="222"/>
      <c r="BL1135" s="889"/>
      <c r="BO1135" s="223"/>
    </row>
    <row r="1136" spans="1:67" s="74" customFormat="1">
      <c r="A1136" s="15"/>
      <c r="B1136" s="15"/>
      <c r="C1136" s="15"/>
      <c r="D1136" s="15"/>
      <c r="E1136" s="6"/>
      <c r="F1136" s="6"/>
      <c r="G1136" s="6"/>
      <c r="K1136" s="223"/>
      <c r="M1136" s="889"/>
      <c r="P1136" s="890"/>
      <c r="T1136" s="889"/>
      <c r="X1136" s="15"/>
      <c r="Y1136" s="1935"/>
      <c r="Z1136" s="1086"/>
      <c r="AA1136" s="230"/>
      <c r="AB1136" s="230"/>
      <c r="AC1136" s="1936"/>
      <c r="AD1136" s="230"/>
      <c r="AE1136" s="230"/>
      <c r="AF1136" s="230"/>
      <c r="AG1136" s="890"/>
      <c r="AJ1136" s="890"/>
      <c r="AN1136" s="223"/>
      <c r="AO1136" s="952"/>
      <c r="AP1136" s="1066"/>
      <c r="AQ1136" s="972"/>
      <c r="AR1136" s="1917"/>
      <c r="AS1136" s="222"/>
      <c r="AZ1136" s="889"/>
      <c r="BC1136" s="890"/>
      <c r="BD1136" s="952"/>
      <c r="BE1136" s="75"/>
      <c r="BF1136" s="572"/>
      <c r="BG1136" s="983"/>
      <c r="BH1136" s="222"/>
      <c r="BL1136" s="889"/>
      <c r="BO1136" s="223"/>
    </row>
    <row r="1137" spans="1:67" s="74" customFormat="1">
      <c r="A1137" s="15"/>
      <c r="B1137" s="15"/>
      <c r="C1137" s="15"/>
      <c r="D1137" s="15"/>
      <c r="E1137" s="6"/>
      <c r="F1137" s="6"/>
      <c r="G1137" s="6"/>
      <c r="K1137" s="223"/>
      <c r="M1137" s="889"/>
      <c r="P1137" s="890"/>
      <c r="T1137" s="889"/>
      <c r="X1137" s="15"/>
      <c r="Y1137" s="1935"/>
      <c r="Z1137" s="1086"/>
      <c r="AA1137" s="230"/>
      <c r="AB1137" s="230"/>
      <c r="AC1137" s="1936"/>
      <c r="AD1137" s="230"/>
      <c r="AE1137" s="230"/>
      <c r="AF1137" s="230"/>
      <c r="AG1137" s="890"/>
      <c r="AJ1137" s="890"/>
      <c r="AN1137" s="223"/>
      <c r="AO1137" s="952"/>
      <c r="AP1137" s="1066"/>
      <c r="AQ1137" s="972"/>
      <c r="AR1137" s="1917"/>
      <c r="AS1137" s="222"/>
      <c r="AZ1137" s="889"/>
      <c r="BC1137" s="890"/>
      <c r="BD1137" s="952"/>
      <c r="BE1137" s="75"/>
      <c r="BF1137" s="572"/>
      <c r="BG1137" s="983"/>
      <c r="BH1137" s="222"/>
      <c r="BL1137" s="889"/>
      <c r="BO1137" s="223"/>
    </row>
    <row r="1138" spans="1:67" s="74" customFormat="1">
      <c r="A1138" s="15"/>
      <c r="B1138" s="15"/>
      <c r="C1138" s="15"/>
      <c r="D1138" s="15"/>
      <c r="E1138" s="6"/>
      <c r="F1138" s="6"/>
      <c r="G1138" s="6"/>
      <c r="K1138" s="223"/>
      <c r="M1138" s="889"/>
      <c r="P1138" s="890"/>
      <c r="T1138" s="889"/>
      <c r="X1138" s="15"/>
      <c r="Y1138" s="1935"/>
      <c r="Z1138" s="1086"/>
      <c r="AA1138" s="230"/>
      <c r="AB1138" s="230"/>
      <c r="AC1138" s="1936"/>
      <c r="AD1138" s="230"/>
      <c r="AE1138" s="230"/>
      <c r="AF1138" s="230"/>
      <c r="AG1138" s="890"/>
      <c r="AJ1138" s="890"/>
      <c r="AN1138" s="223"/>
      <c r="AO1138" s="952"/>
      <c r="AP1138" s="1066"/>
      <c r="AQ1138" s="972"/>
      <c r="AR1138" s="1917"/>
      <c r="AS1138" s="222"/>
      <c r="AZ1138" s="889"/>
      <c r="BC1138" s="890"/>
      <c r="BD1138" s="952"/>
      <c r="BE1138" s="75"/>
      <c r="BF1138" s="572"/>
      <c r="BG1138" s="983"/>
      <c r="BH1138" s="222"/>
      <c r="BL1138" s="889"/>
      <c r="BO1138" s="223"/>
    </row>
    <row r="1139" spans="1:67" s="74" customFormat="1">
      <c r="A1139" s="15"/>
      <c r="B1139" s="15"/>
      <c r="C1139" s="15"/>
      <c r="D1139" s="15"/>
      <c r="E1139" s="6"/>
      <c r="F1139" s="6"/>
      <c r="G1139" s="6"/>
      <c r="K1139" s="223"/>
      <c r="M1139" s="889"/>
      <c r="P1139" s="890"/>
      <c r="T1139" s="889"/>
      <c r="X1139" s="15"/>
      <c r="Y1139" s="1935"/>
      <c r="Z1139" s="1086"/>
      <c r="AA1139" s="230"/>
      <c r="AB1139" s="230"/>
      <c r="AC1139" s="1936"/>
      <c r="AD1139" s="230"/>
      <c r="AE1139" s="230"/>
      <c r="AF1139" s="230"/>
      <c r="AG1139" s="890"/>
      <c r="AJ1139" s="890"/>
      <c r="AN1139" s="223"/>
      <c r="AO1139" s="952"/>
      <c r="AP1139" s="1066"/>
      <c r="AQ1139" s="972"/>
      <c r="AR1139" s="1917"/>
      <c r="AS1139" s="222"/>
      <c r="AZ1139" s="889"/>
      <c r="BC1139" s="890"/>
      <c r="BD1139" s="952"/>
      <c r="BE1139" s="75"/>
      <c r="BF1139" s="572"/>
      <c r="BG1139" s="983"/>
      <c r="BH1139" s="222"/>
      <c r="BL1139" s="889"/>
      <c r="BO1139" s="223"/>
    </row>
    <row r="1140" spans="1:67" s="74" customFormat="1">
      <c r="A1140" s="15"/>
      <c r="B1140" s="15"/>
      <c r="C1140" s="15"/>
      <c r="D1140" s="15"/>
      <c r="E1140" s="6"/>
      <c r="F1140" s="6"/>
      <c r="G1140" s="6"/>
      <c r="K1140" s="223"/>
      <c r="M1140" s="889"/>
      <c r="P1140" s="890"/>
      <c r="T1140" s="889"/>
      <c r="X1140" s="15"/>
      <c r="Y1140" s="1935"/>
      <c r="Z1140" s="1086"/>
      <c r="AA1140" s="230"/>
      <c r="AB1140" s="230"/>
      <c r="AC1140" s="1936"/>
      <c r="AD1140" s="230"/>
      <c r="AE1140" s="230"/>
      <c r="AF1140" s="230"/>
      <c r="AG1140" s="890"/>
      <c r="AJ1140" s="890"/>
      <c r="AN1140" s="223"/>
      <c r="AO1140" s="952"/>
      <c r="AP1140" s="1066"/>
      <c r="AQ1140" s="972"/>
      <c r="AR1140" s="1917"/>
      <c r="AS1140" s="222"/>
      <c r="AZ1140" s="889"/>
      <c r="BC1140" s="890"/>
      <c r="BD1140" s="952"/>
      <c r="BE1140" s="75"/>
      <c r="BF1140" s="572"/>
      <c r="BG1140" s="983"/>
      <c r="BH1140" s="222"/>
      <c r="BL1140" s="889"/>
      <c r="BO1140" s="223"/>
    </row>
    <row r="1141" spans="1:67" s="74" customFormat="1">
      <c r="A1141" s="15"/>
      <c r="B1141" s="15"/>
      <c r="C1141" s="15"/>
      <c r="D1141" s="15"/>
      <c r="E1141" s="6"/>
      <c r="F1141" s="6"/>
      <c r="G1141" s="6"/>
      <c r="K1141" s="223"/>
      <c r="M1141" s="889"/>
      <c r="P1141" s="890"/>
      <c r="T1141" s="889"/>
      <c r="X1141" s="15"/>
      <c r="Y1141" s="1935"/>
      <c r="Z1141" s="1086"/>
      <c r="AA1141" s="230"/>
      <c r="AB1141" s="230"/>
      <c r="AC1141" s="1936"/>
      <c r="AD1141" s="230"/>
      <c r="AE1141" s="230"/>
      <c r="AF1141" s="230"/>
      <c r="AG1141" s="890"/>
      <c r="AJ1141" s="890"/>
      <c r="AN1141" s="223"/>
      <c r="AO1141" s="952"/>
      <c r="AP1141" s="1066"/>
      <c r="AQ1141" s="972"/>
      <c r="AR1141" s="1917"/>
      <c r="AS1141" s="222"/>
      <c r="AZ1141" s="889"/>
      <c r="BC1141" s="890"/>
      <c r="BD1141" s="952"/>
      <c r="BE1141" s="75"/>
      <c r="BF1141" s="572"/>
      <c r="BG1141" s="983"/>
      <c r="BH1141" s="222"/>
      <c r="BL1141" s="889"/>
      <c r="BO1141" s="223"/>
    </row>
    <row r="1142" spans="1:67" s="74" customFormat="1">
      <c r="A1142" s="15"/>
      <c r="B1142" s="15"/>
      <c r="C1142" s="15"/>
      <c r="D1142" s="15"/>
      <c r="E1142" s="6"/>
      <c r="F1142" s="6"/>
      <c r="G1142" s="6"/>
      <c r="K1142" s="223"/>
      <c r="M1142" s="889"/>
      <c r="P1142" s="890"/>
      <c r="T1142" s="889"/>
      <c r="X1142" s="15"/>
      <c r="Y1142" s="1935"/>
      <c r="Z1142" s="1086"/>
      <c r="AA1142" s="230"/>
      <c r="AB1142" s="230"/>
      <c r="AC1142" s="1936"/>
      <c r="AD1142" s="230"/>
      <c r="AE1142" s="230"/>
      <c r="AF1142" s="230"/>
      <c r="AG1142" s="890"/>
      <c r="AJ1142" s="890"/>
      <c r="AN1142" s="223"/>
      <c r="AO1142" s="952"/>
      <c r="AP1142" s="1066"/>
      <c r="AQ1142" s="972"/>
      <c r="AR1142" s="1917"/>
      <c r="AS1142" s="222"/>
      <c r="AZ1142" s="889"/>
      <c r="BC1142" s="890"/>
      <c r="BD1142" s="952"/>
      <c r="BE1142" s="75"/>
      <c r="BF1142" s="572"/>
      <c r="BG1142" s="983"/>
      <c r="BH1142" s="222"/>
      <c r="BL1142" s="889"/>
      <c r="BO1142" s="223"/>
    </row>
    <row r="1143" spans="1:67" s="74" customFormat="1">
      <c r="A1143" s="15"/>
      <c r="B1143" s="15"/>
      <c r="C1143" s="15"/>
      <c r="D1143" s="15"/>
      <c r="E1143" s="6"/>
      <c r="F1143" s="6"/>
      <c r="G1143" s="6"/>
      <c r="K1143" s="223"/>
      <c r="M1143" s="889"/>
      <c r="P1143" s="890"/>
      <c r="T1143" s="889"/>
      <c r="X1143" s="15"/>
      <c r="Y1143" s="1935"/>
      <c r="Z1143" s="1086"/>
      <c r="AA1143" s="230"/>
      <c r="AB1143" s="230"/>
      <c r="AC1143" s="1936"/>
      <c r="AD1143" s="230"/>
      <c r="AE1143" s="230"/>
      <c r="AF1143" s="230"/>
      <c r="AG1143" s="890"/>
      <c r="AJ1143" s="890"/>
      <c r="AN1143" s="223"/>
      <c r="AO1143" s="952"/>
      <c r="AP1143" s="1066"/>
      <c r="AQ1143" s="972"/>
      <c r="AR1143" s="1917"/>
      <c r="AS1143" s="222"/>
      <c r="AZ1143" s="889"/>
      <c r="BC1143" s="890"/>
      <c r="BD1143" s="952"/>
      <c r="BE1143" s="75"/>
      <c r="BF1143" s="572"/>
      <c r="BG1143" s="983"/>
      <c r="BH1143" s="222"/>
      <c r="BL1143" s="889"/>
      <c r="BO1143" s="223"/>
    </row>
    <row r="1144" spans="1:67" s="74" customFormat="1">
      <c r="A1144" s="15"/>
      <c r="B1144" s="15"/>
      <c r="C1144" s="15"/>
      <c r="D1144" s="15"/>
      <c r="E1144" s="6"/>
      <c r="F1144" s="6"/>
      <c r="G1144" s="6"/>
      <c r="K1144" s="223"/>
      <c r="M1144" s="889"/>
      <c r="P1144" s="890"/>
      <c r="T1144" s="889"/>
      <c r="X1144" s="15"/>
      <c r="Y1144" s="1935"/>
      <c r="Z1144" s="1086"/>
      <c r="AA1144" s="230"/>
      <c r="AB1144" s="230"/>
      <c r="AC1144" s="1936"/>
      <c r="AD1144" s="230"/>
      <c r="AE1144" s="230"/>
      <c r="AF1144" s="230"/>
      <c r="AG1144" s="890"/>
      <c r="AJ1144" s="890"/>
      <c r="AN1144" s="223"/>
      <c r="AO1144" s="952"/>
      <c r="AP1144" s="1066"/>
      <c r="AQ1144" s="972"/>
      <c r="AR1144" s="1917"/>
      <c r="AS1144" s="222"/>
      <c r="AZ1144" s="889"/>
      <c r="BC1144" s="890"/>
      <c r="BD1144" s="952"/>
      <c r="BE1144" s="75"/>
      <c r="BF1144" s="572"/>
      <c r="BG1144" s="983"/>
      <c r="BH1144" s="222"/>
      <c r="BL1144" s="889"/>
      <c r="BO1144" s="223"/>
    </row>
    <row r="1145" spans="1:67" s="74" customFormat="1">
      <c r="A1145" s="15"/>
      <c r="B1145" s="15"/>
      <c r="C1145" s="15"/>
      <c r="D1145" s="15"/>
      <c r="E1145" s="6"/>
      <c r="F1145" s="6"/>
      <c r="G1145" s="6"/>
      <c r="K1145" s="223"/>
      <c r="M1145" s="889"/>
      <c r="P1145" s="890"/>
      <c r="T1145" s="889"/>
      <c r="X1145" s="15"/>
      <c r="Y1145" s="1935"/>
      <c r="Z1145" s="1086"/>
      <c r="AA1145" s="230"/>
      <c r="AB1145" s="230"/>
      <c r="AC1145" s="1936"/>
      <c r="AD1145" s="230"/>
      <c r="AE1145" s="230"/>
      <c r="AF1145" s="230"/>
      <c r="AG1145" s="890"/>
      <c r="AJ1145" s="890"/>
      <c r="AN1145" s="223"/>
      <c r="AO1145" s="952"/>
      <c r="AP1145" s="1066"/>
      <c r="AQ1145" s="972"/>
      <c r="AR1145" s="1917"/>
      <c r="AS1145" s="222"/>
      <c r="AZ1145" s="889"/>
      <c r="BC1145" s="890"/>
      <c r="BD1145" s="952"/>
      <c r="BE1145" s="75"/>
      <c r="BF1145" s="572"/>
      <c r="BG1145" s="983"/>
      <c r="BH1145" s="222"/>
      <c r="BL1145" s="889"/>
      <c r="BO1145" s="223"/>
    </row>
    <row r="1146" spans="1:67" s="74" customFormat="1">
      <c r="A1146" s="15"/>
      <c r="B1146" s="15"/>
      <c r="C1146" s="15"/>
      <c r="D1146" s="15"/>
      <c r="E1146" s="6"/>
      <c r="F1146" s="6"/>
      <c r="G1146" s="6"/>
      <c r="K1146" s="223"/>
      <c r="M1146" s="889"/>
      <c r="P1146" s="890"/>
      <c r="T1146" s="889"/>
      <c r="X1146" s="15"/>
      <c r="Y1146" s="1935"/>
      <c r="Z1146" s="1086"/>
      <c r="AA1146" s="230"/>
      <c r="AB1146" s="230"/>
      <c r="AC1146" s="1936"/>
      <c r="AD1146" s="230"/>
      <c r="AE1146" s="230"/>
      <c r="AF1146" s="230"/>
      <c r="AG1146" s="890"/>
      <c r="AJ1146" s="890"/>
      <c r="AN1146" s="223"/>
      <c r="AO1146" s="952"/>
      <c r="AP1146" s="1066"/>
      <c r="AQ1146" s="972"/>
      <c r="AR1146" s="1917"/>
      <c r="AS1146" s="222"/>
      <c r="AZ1146" s="889"/>
      <c r="BC1146" s="890"/>
      <c r="BD1146" s="952"/>
      <c r="BE1146" s="75"/>
      <c r="BF1146" s="572"/>
      <c r="BG1146" s="983"/>
      <c r="BH1146" s="222"/>
      <c r="BL1146" s="889"/>
      <c r="BO1146" s="223"/>
    </row>
    <row r="1147" spans="1:67" s="74" customFormat="1">
      <c r="A1147" s="15"/>
      <c r="B1147" s="15"/>
      <c r="C1147" s="15"/>
      <c r="D1147" s="15"/>
      <c r="E1147" s="6"/>
      <c r="F1147" s="6"/>
      <c r="G1147" s="6"/>
      <c r="K1147" s="223"/>
      <c r="M1147" s="889"/>
      <c r="P1147" s="890"/>
      <c r="T1147" s="889"/>
      <c r="X1147" s="15"/>
      <c r="Y1147" s="1935"/>
      <c r="Z1147" s="1086"/>
      <c r="AA1147" s="230"/>
      <c r="AB1147" s="230"/>
      <c r="AC1147" s="1936"/>
      <c r="AD1147" s="230"/>
      <c r="AE1147" s="230"/>
      <c r="AF1147" s="230"/>
      <c r="AG1147" s="890"/>
      <c r="AJ1147" s="890"/>
      <c r="AN1147" s="223"/>
      <c r="AO1147" s="952"/>
      <c r="AP1147" s="1066"/>
      <c r="AQ1147" s="972"/>
      <c r="AR1147" s="1917"/>
      <c r="AS1147" s="222"/>
      <c r="AZ1147" s="889"/>
      <c r="BC1147" s="890"/>
      <c r="BD1147" s="952"/>
      <c r="BE1147" s="75"/>
      <c r="BF1147" s="572"/>
      <c r="BG1147" s="983"/>
      <c r="BH1147" s="222"/>
      <c r="BL1147" s="889"/>
      <c r="BO1147" s="223"/>
    </row>
    <row r="1148" spans="1:67" s="74" customFormat="1">
      <c r="A1148" s="15"/>
      <c r="B1148" s="15"/>
      <c r="C1148" s="15"/>
      <c r="D1148" s="15"/>
      <c r="E1148" s="6"/>
      <c r="F1148" s="6"/>
      <c r="G1148" s="6"/>
      <c r="K1148" s="223"/>
      <c r="M1148" s="889"/>
      <c r="P1148" s="890"/>
      <c r="T1148" s="889"/>
      <c r="X1148" s="15"/>
      <c r="Y1148" s="1935"/>
      <c r="Z1148" s="1086"/>
      <c r="AA1148" s="230"/>
      <c r="AB1148" s="230"/>
      <c r="AC1148" s="1936"/>
      <c r="AD1148" s="230"/>
      <c r="AE1148" s="230"/>
      <c r="AF1148" s="230"/>
      <c r="AG1148" s="890"/>
      <c r="AJ1148" s="890"/>
      <c r="AN1148" s="223"/>
      <c r="AO1148" s="952"/>
      <c r="AP1148" s="1066"/>
      <c r="AQ1148" s="972"/>
      <c r="AR1148" s="1917"/>
      <c r="AS1148" s="222"/>
      <c r="AZ1148" s="889"/>
      <c r="BC1148" s="890"/>
      <c r="BD1148" s="952"/>
      <c r="BE1148" s="75"/>
      <c r="BF1148" s="572"/>
      <c r="BG1148" s="983"/>
      <c r="BH1148" s="222"/>
      <c r="BL1148" s="889"/>
      <c r="BO1148" s="223"/>
    </row>
    <row r="1149" spans="1:67" s="74" customFormat="1">
      <c r="A1149" s="15"/>
      <c r="B1149" s="15"/>
      <c r="C1149" s="15"/>
      <c r="D1149" s="15"/>
      <c r="E1149" s="6"/>
      <c r="F1149" s="6"/>
      <c r="G1149" s="6"/>
      <c r="K1149" s="223"/>
      <c r="M1149" s="889"/>
      <c r="P1149" s="890"/>
      <c r="T1149" s="889"/>
      <c r="X1149" s="15"/>
      <c r="Y1149" s="1935"/>
      <c r="Z1149" s="1086"/>
      <c r="AA1149" s="230"/>
      <c r="AB1149" s="230"/>
      <c r="AC1149" s="1936"/>
      <c r="AD1149" s="230"/>
      <c r="AE1149" s="230"/>
      <c r="AF1149" s="230"/>
      <c r="AG1149" s="890"/>
      <c r="AJ1149" s="890"/>
      <c r="AN1149" s="223"/>
      <c r="AO1149" s="952"/>
      <c r="AP1149" s="1066"/>
      <c r="AQ1149" s="972"/>
      <c r="AR1149" s="1917"/>
      <c r="AS1149" s="222"/>
      <c r="AZ1149" s="889"/>
      <c r="BC1149" s="890"/>
      <c r="BD1149" s="952"/>
      <c r="BE1149" s="75"/>
      <c r="BF1149" s="572"/>
      <c r="BG1149" s="983"/>
      <c r="BH1149" s="222"/>
      <c r="BL1149" s="889"/>
      <c r="BO1149" s="223"/>
    </row>
    <row r="1150" spans="1:67" s="74" customFormat="1">
      <c r="A1150" s="15"/>
      <c r="B1150" s="15"/>
      <c r="C1150" s="15"/>
      <c r="D1150" s="15"/>
      <c r="E1150" s="6"/>
      <c r="F1150" s="6"/>
      <c r="G1150" s="6"/>
      <c r="K1150" s="223"/>
      <c r="M1150" s="889"/>
      <c r="P1150" s="890"/>
      <c r="T1150" s="889"/>
      <c r="X1150" s="15"/>
      <c r="Y1150" s="1935"/>
      <c r="Z1150" s="1086"/>
      <c r="AA1150" s="230"/>
      <c r="AB1150" s="230"/>
      <c r="AC1150" s="1936"/>
      <c r="AD1150" s="230"/>
      <c r="AE1150" s="230"/>
      <c r="AF1150" s="230"/>
      <c r="AG1150" s="890"/>
      <c r="AJ1150" s="890"/>
      <c r="AN1150" s="223"/>
      <c r="AO1150" s="952"/>
      <c r="AP1150" s="1066"/>
      <c r="AQ1150" s="972"/>
      <c r="AR1150" s="1917"/>
      <c r="AS1150" s="222"/>
      <c r="AZ1150" s="889"/>
      <c r="BC1150" s="890"/>
      <c r="BD1150" s="952"/>
      <c r="BE1150" s="75"/>
      <c r="BF1150" s="572"/>
      <c r="BG1150" s="983"/>
      <c r="BH1150" s="222"/>
      <c r="BL1150" s="889"/>
      <c r="BO1150" s="223"/>
    </row>
    <row r="1151" spans="1:67" s="74" customFormat="1">
      <c r="A1151" s="15"/>
      <c r="B1151" s="15"/>
      <c r="C1151" s="15"/>
      <c r="D1151" s="15"/>
      <c r="E1151" s="6"/>
      <c r="F1151" s="6"/>
      <c r="G1151" s="6"/>
      <c r="K1151" s="223"/>
      <c r="M1151" s="889"/>
      <c r="P1151" s="890"/>
      <c r="T1151" s="889"/>
      <c r="X1151" s="15"/>
      <c r="Y1151" s="1935"/>
      <c r="Z1151" s="1086"/>
      <c r="AA1151" s="230"/>
      <c r="AB1151" s="230"/>
      <c r="AC1151" s="1936"/>
      <c r="AD1151" s="230"/>
      <c r="AE1151" s="230"/>
      <c r="AF1151" s="230"/>
      <c r="AG1151" s="890"/>
      <c r="AJ1151" s="890"/>
      <c r="AN1151" s="223"/>
      <c r="AO1151" s="952"/>
      <c r="AP1151" s="1066"/>
      <c r="AQ1151" s="972"/>
      <c r="AR1151" s="1917"/>
      <c r="AS1151" s="222"/>
      <c r="AZ1151" s="889"/>
      <c r="BC1151" s="890"/>
      <c r="BD1151" s="952"/>
      <c r="BE1151" s="75"/>
      <c r="BF1151" s="572"/>
      <c r="BG1151" s="983"/>
      <c r="BH1151" s="222"/>
      <c r="BL1151" s="889"/>
      <c r="BO1151" s="223"/>
    </row>
    <row r="1152" spans="1:67" s="74" customFormat="1">
      <c r="A1152" s="15"/>
      <c r="B1152" s="15"/>
      <c r="C1152" s="15"/>
      <c r="D1152" s="15"/>
      <c r="E1152" s="6"/>
      <c r="F1152" s="6"/>
      <c r="G1152" s="6"/>
      <c r="K1152" s="223"/>
      <c r="M1152" s="889"/>
      <c r="P1152" s="890"/>
      <c r="T1152" s="889"/>
      <c r="X1152" s="15"/>
      <c r="Y1152" s="1935"/>
      <c r="Z1152" s="1086"/>
      <c r="AA1152" s="230"/>
      <c r="AB1152" s="230"/>
      <c r="AC1152" s="1936"/>
      <c r="AD1152" s="230"/>
      <c r="AE1152" s="230"/>
      <c r="AF1152" s="230"/>
      <c r="AG1152" s="890"/>
      <c r="AJ1152" s="890"/>
      <c r="AN1152" s="223"/>
      <c r="AO1152" s="952"/>
      <c r="AP1152" s="1066"/>
      <c r="AQ1152" s="972"/>
      <c r="AR1152" s="1917"/>
      <c r="AS1152" s="222"/>
      <c r="AZ1152" s="889"/>
      <c r="BC1152" s="890"/>
      <c r="BD1152" s="952"/>
      <c r="BE1152" s="75"/>
      <c r="BF1152" s="572"/>
      <c r="BG1152" s="983"/>
      <c r="BH1152" s="222"/>
      <c r="BL1152" s="889"/>
      <c r="BO1152" s="223"/>
    </row>
    <row r="1153" spans="1:67" s="74" customFormat="1">
      <c r="A1153" s="15"/>
      <c r="B1153" s="15"/>
      <c r="C1153" s="15"/>
      <c r="D1153" s="15"/>
      <c r="E1153" s="6"/>
      <c r="F1153" s="6"/>
      <c r="G1153" s="6"/>
      <c r="K1153" s="223"/>
      <c r="M1153" s="889"/>
      <c r="P1153" s="890"/>
      <c r="T1153" s="889"/>
      <c r="X1153" s="15"/>
      <c r="Y1153" s="1935"/>
      <c r="Z1153" s="1086"/>
      <c r="AA1153" s="230"/>
      <c r="AB1153" s="230"/>
      <c r="AC1153" s="1936"/>
      <c r="AD1153" s="230"/>
      <c r="AE1153" s="230"/>
      <c r="AF1153" s="230"/>
      <c r="AG1153" s="890"/>
      <c r="AJ1153" s="890"/>
      <c r="AN1153" s="223"/>
      <c r="AO1153" s="952"/>
      <c r="AP1153" s="1066"/>
      <c r="AQ1153" s="972"/>
      <c r="AR1153" s="1917"/>
      <c r="AS1153" s="222"/>
      <c r="AZ1153" s="889"/>
      <c r="BC1153" s="890"/>
      <c r="BD1153" s="952"/>
      <c r="BE1153" s="75"/>
      <c r="BF1153" s="572"/>
      <c r="BG1153" s="983"/>
      <c r="BH1153" s="222"/>
      <c r="BL1153" s="889"/>
      <c r="BO1153" s="223"/>
    </row>
    <row r="1154" spans="1:67" s="74" customFormat="1">
      <c r="A1154" s="15"/>
      <c r="B1154" s="15"/>
      <c r="C1154" s="15"/>
      <c r="D1154" s="15"/>
      <c r="E1154" s="6"/>
      <c r="F1154" s="6"/>
      <c r="G1154" s="6"/>
      <c r="K1154" s="223"/>
      <c r="M1154" s="889"/>
      <c r="P1154" s="890"/>
      <c r="T1154" s="889"/>
      <c r="X1154" s="15"/>
      <c r="Y1154" s="1935"/>
      <c r="Z1154" s="1086"/>
      <c r="AA1154" s="230"/>
      <c r="AB1154" s="230"/>
      <c r="AC1154" s="1936"/>
      <c r="AD1154" s="230"/>
      <c r="AE1154" s="230"/>
      <c r="AF1154" s="230"/>
      <c r="AG1154" s="890"/>
      <c r="AJ1154" s="890"/>
      <c r="AN1154" s="223"/>
      <c r="AO1154" s="952"/>
      <c r="AP1154" s="1066"/>
      <c r="AQ1154" s="972"/>
      <c r="AR1154" s="1917"/>
      <c r="AS1154" s="222"/>
      <c r="AZ1154" s="889"/>
      <c r="BC1154" s="890"/>
      <c r="BD1154" s="952"/>
      <c r="BE1154" s="75"/>
      <c r="BF1154" s="572"/>
      <c r="BG1154" s="983"/>
      <c r="BH1154" s="222"/>
      <c r="BL1154" s="889"/>
      <c r="BO1154" s="223"/>
    </row>
    <row r="1155" spans="1:67" s="74" customFormat="1">
      <c r="A1155" s="15"/>
      <c r="B1155" s="15"/>
      <c r="C1155" s="15"/>
      <c r="D1155" s="15"/>
      <c r="E1155" s="6"/>
      <c r="F1155" s="6"/>
      <c r="G1155" s="6"/>
      <c r="K1155" s="223"/>
      <c r="M1155" s="889"/>
      <c r="P1155" s="890"/>
      <c r="T1155" s="889"/>
      <c r="X1155" s="15"/>
      <c r="Y1155" s="1935"/>
      <c r="Z1155" s="1086"/>
      <c r="AA1155" s="230"/>
      <c r="AB1155" s="230"/>
      <c r="AC1155" s="1936"/>
      <c r="AD1155" s="230"/>
      <c r="AE1155" s="230"/>
      <c r="AF1155" s="230"/>
      <c r="AG1155" s="890"/>
      <c r="AJ1155" s="890"/>
      <c r="AN1155" s="223"/>
      <c r="AO1155" s="952"/>
      <c r="AP1155" s="1066"/>
      <c r="AQ1155" s="972"/>
      <c r="AR1155" s="1917"/>
      <c r="AS1155" s="222"/>
      <c r="AZ1155" s="889"/>
      <c r="BC1155" s="890"/>
      <c r="BD1155" s="952"/>
      <c r="BE1155" s="75"/>
      <c r="BF1155" s="572"/>
      <c r="BG1155" s="983"/>
      <c r="BH1155" s="222"/>
      <c r="BL1155" s="889"/>
      <c r="BO1155" s="223"/>
    </row>
    <row r="1156" spans="1:67" s="74" customFormat="1">
      <c r="A1156" s="15"/>
      <c r="B1156" s="15"/>
      <c r="C1156" s="15"/>
      <c r="D1156" s="15"/>
      <c r="E1156" s="6"/>
      <c r="F1156" s="6"/>
      <c r="G1156" s="6"/>
      <c r="K1156" s="223"/>
      <c r="M1156" s="889"/>
      <c r="P1156" s="890"/>
      <c r="T1156" s="889"/>
      <c r="X1156" s="15"/>
      <c r="Y1156" s="1935"/>
      <c r="Z1156" s="1086"/>
      <c r="AA1156" s="230"/>
      <c r="AB1156" s="230"/>
      <c r="AC1156" s="1936"/>
      <c r="AD1156" s="230"/>
      <c r="AE1156" s="230"/>
      <c r="AF1156" s="230"/>
      <c r="AG1156" s="890"/>
      <c r="AJ1156" s="890"/>
      <c r="AN1156" s="223"/>
      <c r="AO1156" s="952"/>
      <c r="AP1156" s="1066"/>
      <c r="AQ1156" s="972"/>
      <c r="AR1156" s="1917"/>
      <c r="AS1156" s="222"/>
      <c r="AZ1156" s="889"/>
      <c r="BC1156" s="890"/>
      <c r="BD1156" s="952"/>
      <c r="BE1156" s="75"/>
      <c r="BF1156" s="572"/>
      <c r="BG1156" s="983"/>
      <c r="BH1156" s="222"/>
      <c r="BL1156" s="889"/>
      <c r="BO1156" s="223"/>
    </row>
    <row r="1157" spans="1:67" s="74" customFormat="1">
      <c r="A1157" s="15"/>
      <c r="B1157" s="15"/>
      <c r="C1157" s="15"/>
      <c r="D1157" s="15"/>
      <c r="E1157" s="6"/>
      <c r="F1157" s="6"/>
      <c r="G1157" s="6"/>
      <c r="K1157" s="223"/>
      <c r="M1157" s="889"/>
      <c r="P1157" s="890"/>
      <c r="T1157" s="889"/>
      <c r="X1157" s="15"/>
      <c r="Y1157" s="1935"/>
      <c r="Z1157" s="1086"/>
      <c r="AA1157" s="230"/>
      <c r="AB1157" s="230"/>
      <c r="AC1157" s="1936"/>
      <c r="AD1157" s="230"/>
      <c r="AE1157" s="230"/>
      <c r="AF1157" s="230"/>
      <c r="AG1157" s="890"/>
      <c r="AJ1157" s="890"/>
      <c r="AN1157" s="223"/>
      <c r="AO1157" s="952"/>
      <c r="AP1157" s="1066"/>
      <c r="AQ1157" s="972"/>
      <c r="AR1157" s="1917"/>
      <c r="AS1157" s="222"/>
      <c r="AZ1157" s="889"/>
      <c r="BC1157" s="890"/>
      <c r="BD1157" s="952"/>
      <c r="BE1157" s="75"/>
      <c r="BF1157" s="572"/>
      <c r="BG1157" s="983"/>
      <c r="BH1157" s="222"/>
      <c r="BL1157" s="889"/>
      <c r="BO1157" s="223"/>
    </row>
    <row r="1158" spans="1:67" s="74" customFormat="1">
      <c r="A1158" s="15"/>
      <c r="B1158" s="15"/>
      <c r="C1158" s="15"/>
      <c r="D1158" s="15"/>
      <c r="E1158" s="6"/>
      <c r="F1158" s="6"/>
      <c r="G1158" s="6"/>
      <c r="K1158" s="223"/>
      <c r="M1158" s="889"/>
      <c r="P1158" s="890"/>
      <c r="T1158" s="889"/>
      <c r="X1158" s="15"/>
      <c r="Y1158" s="1935"/>
      <c r="Z1158" s="1086"/>
      <c r="AA1158" s="230"/>
      <c r="AB1158" s="230"/>
      <c r="AC1158" s="1936"/>
      <c r="AD1158" s="230"/>
      <c r="AE1158" s="230"/>
      <c r="AF1158" s="230"/>
      <c r="AG1158" s="890"/>
      <c r="AJ1158" s="890"/>
      <c r="AN1158" s="223"/>
      <c r="AO1158" s="952"/>
      <c r="AP1158" s="1066"/>
      <c r="AQ1158" s="972"/>
      <c r="AR1158" s="1917"/>
      <c r="AS1158" s="222"/>
      <c r="AZ1158" s="889"/>
      <c r="BC1158" s="890"/>
      <c r="BD1158" s="952"/>
      <c r="BE1158" s="75"/>
      <c r="BF1158" s="572"/>
      <c r="BG1158" s="983"/>
      <c r="BH1158" s="222"/>
      <c r="BL1158" s="889"/>
      <c r="BO1158" s="223"/>
    </row>
    <row r="1159" spans="1:67" s="74" customFormat="1">
      <c r="A1159" s="15"/>
      <c r="B1159" s="15"/>
      <c r="C1159" s="15"/>
      <c r="D1159" s="15"/>
      <c r="E1159" s="6"/>
      <c r="F1159" s="6"/>
      <c r="G1159" s="6"/>
      <c r="K1159" s="223"/>
      <c r="M1159" s="889"/>
      <c r="P1159" s="890"/>
      <c r="T1159" s="889"/>
      <c r="X1159" s="15"/>
      <c r="Y1159" s="1935"/>
      <c r="Z1159" s="1086"/>
      <c r="AA1159" s="230"/>
      <c r="AB1159" s="230"/>
      <c r="AC1159" s="1936"/>
      <c r="AD1159" s="230"/>
      <c r="AE1159" s="230"/>
      <c r="AF1159" s="230"/>
      <c r="AG1159" s="890"/>
      <c r="AJ1159" s="890"/>
      <c r="AN1159" s="223"/>
      <c r="AO1159" s="952"/>
      <c r="AP1159" s="1066"/>
      <c r="AQ1159" s="972"/>
      <c r="AR1159" s="1917"/>
      <c r="AS1159" s="222"/>
      <c r="AZ1159" s="889"/>
      <c r="BC1159" s="890"/>
      <c r="BD1159" s="952"/>
      <c r="BE1159" s="75"/>
      <c r="BF1159" s="572"/>
      <c r="BG1159" s="983"/>
      <c r="BH1159" s="222"/>
      <c r="BL1159" s="889"/>
      <c r="BO1159" s="223"/>
    </row>
    <row r="1160" spans="1:67" s="74" customFormat="1">
      <c r="A1160" s="15"/>
      <c r="B1160" s="15"/>
      <c r="C1160" s="15"/>
      <c r="D1160" s="15"/>
      <c r="E1160" s="6"/>
      <c r="F1160" s="6"/>
      <c r="G1160" s="6"/>
      <c r="K1160" s="223"/>
      <c r="M1160" s="889"/>
      <c r="P1160" s="890"/>
      <c r="T1160" s="889"/>
      <c r="X1160" s="15"/>
      <c r="Y1160" s="1935"/>
      <c r="Z1160" s="1086"/>
      <c r="AA1160" s="230"/>
      <c r="AB1160" s="230"/>
      <c r="AC1160" s="1936"/>
      <c r="AD1160" s="230"/>
      <c r="AE1160" s="230"/>
      <c r="AF1160" s="230"/>
      <c r="AG1160" s="890"/>
      <c r="AJ1160" s="890"/>
      <c r="AN1160" s="223"/>
      <c r="AO1160" s="952"/>
      <c r="AP1160" s="1066"/>
      <c r="AQ1160" s="972"/>
      <c r="AR1160" s="1917"/>
      <c r="AS1160" s="222"/>
      <c r="AZ1160" s="889"/>
      <c r="BC1160" s="890"/>
      <c r="BD1160" s="952"/>
      <c r="BE1160" s="75"/>
      <c r="BF1160" s="572"/>
      <c r="BG1160" s="983"/>
      <c r="BH1160" s="222"/>
      <c r="BL1160" s="889"/>
      <c r="BO1160" s="223"/>
    </row>
    <row r="1161" spans="1:67" s="74" customFormat="1">
      <c r="A1161" s="15"/>
      <c r="B1161" s="15"/>
      <c r="C1161" s="15"/>
      <c r="D1161" s="15"/>
      <c r="E1161" s="6"/>
      <c r="F1161" s="6"/>
      <c r="G1161" s="6"/>
      <c r="K1161" s="223"/>
      <c r="M1161" s="889"/>
      <c r="P1161" s="890"/>
      <c r="T1161" s="889"/>
      <c r="X1161" s="15"/>
      <c r="Y1161" s="1935"/>
      <c r="Z1161" s="1086"/>
      <c r="AA1161" s="230"/>
      <c r="AB1161" s="230"/>
      <c r="AC1161" s="1936"/>
      <c r="AD1161" s="230"/>
      <c r="AE1161" s="230"/>
      <c r="AF1161" s="230"/>
      <c r="AG1161" s="890"/>
      <c r="AJ1161" s="890"/>
      <c r="AN1161" s="223"/>
      <c r="AO1161" s="952"/>
      <c r="AP1161" s="1066"/>
      <c r="AQ1161" s="972"/>
      <c r="AR1161" s="1917"/>
      <c r="AS1161" s="222"/>
      <c r="AZ1161" s="889"/>
      <c r="BC1161" s="890"/>
      <c r="BD1161" s="952"/>
      <c r="BE1161" s="75"/>
      <c r="BF1161" s="572"/>
      <c r="BG1161" s="983"/>
      <c r="BH1161" s="222"/>
      <c r="BL1161" s="889"/>
      <c r="BO1161" s="223"/>
    </row>
    <row r="1162" spans="1:67" s="74" customFormat="1">
      <c r="A1162" s="15"/>
      <c r="B1162" s="15"/>
      <c r="C1162" s="15"/>
      <c r="D1162" s="15"/>
      <c r="E1162" s="6"/>
      <c r="F1162" s="6"/>
      <c r="G1162" s="6"/>
      <c r="K1162" s="223"/>
      <c r="M1162" s="889"/>
      <c r="P1162" s="890"/>
      <c r="T1162" s="889"/>
      <c r="X1162" s="15"/>
      <c r="Y1162" s="1935"/>
      <c r="Z1162" s="1086"/>
      <c r="AA1162" s="230"/>
      <c r="AB1162" s="230"/>
      <c r="AC1162" s="1936"/>
      <c r="AD1162" s="230"/>
      <c r="AE1162" s="230"/>
      <c r="AF1162" s="230"/>
      <c r="AG1162" s="890"/>
      <c r="AJ1162" s="890"/>
      <c r="AN1162" s="223"/>
      <c r="AO1162" s="952"/>
      <c r="AP1162" s="1066"/>
      <c r="AQ1162" s="972"/>
      <c r="AR1162" s="1917"/>
      <c r="AS1162" s="222"/>
      <c r="AZ1162" s="889"/>
      <c r="BC1162" s="890"/>
      <c r="BD1162" s="952"/>
      <c r="BE1162" s="75"/>
      <c r="BF1162" s="572"/>
      <c r="BG1162" s="983"/>
      <c r="BH1162" s="222"/>
      <c r="BL1162" s="889"/>
      <c r="BO1162" s="223"/>
    </row>
    <row r="1163" spans="1:67" s="74" customFormat="1">
      <c r="A1163" s="15"/>
      <c r="B1163" s="15"/>
      <c r="C1163" s="15"/>
      <c r="D1163" s="15"/>
      <c r="E1163" s="6"/>
      <c r="F1163" s="6"/>
      <c r="G1163" s="6"/>
      <c r="K1163" s="223"/>
      <c r="M1163" s="889"/>
      <c r="P1163" s="890"/>
      <c r="T1163" s="889"/>
      <c r="X1163" s="15"/>
      <c r="Y1163" s="1935"/>
      <c r="Z1163" s="1086"/>
      <c r="AA1163" s="230"/>
      <c r="AB1163" s="230"/>
      <c r="AC1163" s="1936"/>
      <c r="AD1163" s="230"/>
      <c r="AE1163" s="230"/>
      <c r="AF1163" s="230"/>
      <c r="AG1163" s="890"/>
      <c r="AJ1163" s="890"/>
      <c r="AN1163" s="223"/>
      <c r="AO1163" s="952"/>
      <c r="AP1163" s="1066"/>
      <c r="AQ1163" s="972"/>
      <c r="AR1163" s="1917"/>
      <c r="AS1163" s="222"/>
      <c r="AZ1163" s="889"/>
      <c r="BC1163" s="890"/>
      <c r="BD1163" s="952"/>
      <c r="BE1163" s="75"/>
      <c r="BF1163" s="572"/>
      <c r="BG1163" s="983"/>
      <c r="BH1163" s="222"/>
      <c r="BL1163" s="889"/>
      <c r="BO1163" s="223"/>
    </row>
    <row r="1164" spans="1:67" s="74" customFormat="1">
      <c r="A1164" s="15"/>
      <c r="B1164" s="15"/>
      <c r="C1164" s="15"/>
      <c r="D1164" s="15"/>
      <c r="E1164" s="6"/>
      <c r="F1164" s="6"/>
      <c r="G1164" s="6"/>
      <c r="K1164" s="223"/>
      <c r="M1164" s="889"/>
      <c r="P1164" s="890"/>
      <c r="T1164" s="889"/>
      <c r="X1164" s="15"/>
      <c r="Y1164" s="1935"/>
      <c r="Z1164" s="1086"/>
      <c r="AA1164" s="230"/>
      <c r="AB1164" s="230"/>
      <c r="AC1164" s="1936"/>
      <c r="AD1164" s="230"/>
      <c r="AE1164" s="230"/>
      <c r="AF1164" s="230"/>
      <c r="AG1164" s="890"/>
      <c r="AJ1164" s="890"/>
      <c r="AN1164" s="223"/>
      <c r="AO1164" s="952"/>
      <c r="AP1164" s="1066"/>
      <c r="AQ1164" s="972"/>
      <c r="AR1164" s="1917"/>
      <c r="AS1164" s="222"/>
      <c r="AZ1164" s="889"/>
      <c r="BC1164" s="890"/>
      <c r="BD1164" s="952"/>
      <c r="BE1164" s="75"/>
      <c r="BF1164" s="572"/>
      <c r="BG1164" s="983"/>
      <c r="BH1164" s="222"/>
      <c r="BL1164" s="889"/>
      <c r="BO1164" s="223"/>
    </row>
    <row r="1165" spans="1:67" s="74" customFormat="1">
      <c r="A1165" s="15"/>
      <c r="B1165" s="15"/>
      <c r="C1165" s="15"/>
      <c r="D1165" s="15"/>
      <c r="E1165" s="6"/>
      <c r="F1165" s="6"/>
      <c r="G1165" s="6"/>
      <c r="K1165" s="223"/>
      <c r="M1165" s="889"/>
      <c r="P1165" s="890"/>
      <c r="T1165" s="889"/>
      <c r="X1165" s="15"/>
      <c r="Y1165" s="1935"/>
      <c r="Z1165" s="1086"/>
      <c r="AA1165" s="230"/>
      <c r="AB1165" s="230"/>
      <c r="AC1165" s="1936"/>
      <c r="AD1165" s="230"/>
      <c r="AE1165" s="230"/>
      <c r="AF1165" s="230"/>
      <c r="AG1165" s="890"/>
      <c r="AJ1165" s="890"/>
      <c r="AN1165" s="223"/>
      <c r="AO1165" s="952"/>
      <c r="AP1165" s="1066"/>
      <c r="AQ1165" s="972"/>
      <c r="AR1165" s="1917"/>
      <c r="AS1165" s="222"/>
      <c r="AZ1165" s="889"/>
      <c r="BC1165" s="890"/>
      <c r="BD1165" s="952"/>
      <c r="BE1165" s="75"/>
      <c r="BF1165" s="572"/>
      <c r="BG1165" s="983"/>
      <c r="BH1165" s="222"/>
      <c r="BL1165" s="889"/>
      <c r="BO1165" s="223"/>
    </row>
    <row r="1166" spans="1:67" s="74" customFormat="1">
      <c r="A1166" s="15"/>
      <c r="B1166" s="15"/>
      <c r="C1166" s="15"/>
      <c r="D1166" s="15"/>
      <c r="E1166" s="6"/>
      <c r="F1166" s="6"/>
      <c r="G1166" s="6"/>
      <c r="K1166" s="223"/>
      <c r="M1166" s="889"/>
      <c r="P1166" s="890"/>
      <c r="T1166" s="889"/>
      <c r="X1166" s="15"/>
      <c r="Y1166" s="1935"/>
      <c r="Z1166" s="1086"/>
      <c r="AA1166" s="230"/>
      <c r="AB1166" s="230"/>
      <c r="AC1166" s="1936"/>
      <c r="AD1166" s="230"/>
      <c r="AE1166" s="230"/>
      <c r="AF1166" s="230"/>
      <c r="AG1166" s="890"/>
      <c r="AJ1166" s="890"/>
      <c r="AN1166" s="223"/>
      <c r="AO1166" s="952"/>
      <c r="AP1166" s="1066"/>
      <c r="AQ1166" s="972"/>
      <c r="AR1166" s="1917"/>
      <c r="AS1166" s="222"/>
      <c r="AZ1166" s="889"/>
      <c r="BC1166" s="890"/>
      <c r="BD1166" s="952"/>
      <c r="BE1166" s="75"/>
      <c r="BF1166" s="572"/>
      <c r="BG1166" s="983"/>
      <c r="BH1166" s="222"/>
      <c r="BL1166" s="889"/>
      <c r="BO1166" s="223"/>
    </row>
    <row r="1167" spans="1:67" s="74" customFormat="1">
      <c r="A1167" s="15"/>
      <c r="B1167" s="15"/>
      <c r="C1167" s="15"/>
      <c r="D1167" s="15"/>
      <c r="E1167" s="6"/>
      <c r="F1167" s="6"/>
      <c r="G1167" s="6"/>
      <c r="K1167" s="223"/>
      <c r="M1167" s="889"/>
      <c r="P1167" s="890"/>
      <c r="T1167" s="889"/>
      <c r="X1167" s="15"/>
      <c r="Y1167" s="1935"/>
      <c r="Z1167" s="1086"/>
      <c r="AA1167" s="230"/>
      <c r="AB1167" s="230"/>
      <c r="AC1167" s="1936"/>
      <c r="AD1167" s="230"/>
      <c r="AE1167" s="230"/>
      <c r="AF1167" s="230"/>
      <c r="AG1167" s="890"/>
      <c r="AJ1167" s="890"/>
      <c r="AN1167" s="223"/>
      <c r="AO1167" s="952"/>
      <c r="AP1167" s="1066"/>
      <c r="AQ1167" s="972"/>
      <c r="AR1167" s="1917"/>
      <c r="AS1167" s="222"/>
      <c r="AZ1167" s="889"/>
      <c r="BC1167" s="890"/>
      <c r="BD1167" s="952"/>
      <c r="BE1167" s="75"/>
      <c r="BF1167" s="572"/>
      <c r="BG1167" s="983"/>
      <c r="BH1167" s="222"/>
      <c r="BL1167" s="889"/>
      <c r="BO1167" s="223"/>
    </row>
    <row r="1168" spans="1:67" s="74" customFormat="1">
      <c r="A1168" s="15"/>
      <c r="B1168" s="15"/>
      <c r="C1168" s="15"/>
      <c r="D1168" s="15"/>
      <c r="E1168" s="6"/>
      <c r="F1168" s="6"/>
      <c r="G1168" s="6"/>
      <c r="K1168" s="223"/>
      <c r="M1168" s="889"/>
      <c r="P1168" s="890"/>
      <c r="T1168" s="889"/>
      <c r="X1168" s="15"/>
      <c r="Y1168" s="1935"/>
      <c r="Z1168" s="1086"/>
      <c r="AA1168" s="230"/>
      <c r="AB1168" s="230"/>
      <c r="AC1168" s="1936"/>
      <c r="AD1168" s="230"/>
      <c r="AE1168" s="230"/>
      <c r="AF1168" s="230"/>
      <c r="AG1168" s="890"/>
      <c r="AJ1168" s="890"/>
      <c r="AN1168" s="223"/>
      <c r="AO1168" s="952"/>
      <c r="AP1168" s="1066"/>
      <c r="AQ1168" s="972"/>
      <c r="AR1168" s="1917"/>
      <c r="AS1168" s="222"/>
      <c r="AZ1168" s="889"/>
      <c r="BC1168" s="890"/>
      <c r="BD1168" s="952"/>
      <c r="BE1168" s="75"/>
      <c r="BF1168" s="572"/>
      <c r="BG1168" s="983"/>
      <c r="BH1168" s="222"/>
      <c r="BL1168" s="889"/>
      <c r="BO1168" s="223"/>
    </row>
    <row r="1169" spans="1:67" s="74" customFormat="1">
      <c r="A1169" s="15"/>
      <c r="B1169" s="15"/>
      <c r="C1169" s="15"/>
      <c r="D1169" s="15"/>
      <c r="E1169" s="6"/>
      <c r="F1169" s="6"/>
      <c r="G1169" s="6"/>
      <c r="K1169" s="223"/>
      <c r="M1169" s="889"/>
      <c r="P1169" s="890"/>
      <c r="T1169" s="889"/>
      <c r="X1169" s="15"/>
      <c r="Y1169" s="1935"/>
      <c r="Z1169" s="1086"/>
      <c r="AA1169" s="230"/>
      <c r="AB1169" s="230"/>
      <c r="AC1169" s="1936"/>
      <c r="AD1169" s="230"/>
      <c r="AE1169" s="230"/>
      <c r="AF1169" s="230"/>
      <c r="AG1169" s="890"/>
      <c r="AJ1169" s="890"/>
      <c r="AN1169" s="223"/>
      <c r="AO1169" s="952"/>
      <c r="AP1169" s="1066"/>
      <c r="AQ1169" s="972"/>
      <c r="AR1169" s="1917"/>
      <c r="AS1169" s="222"/>
      <c r="AZ1169" s="889"/>
      <c r="BC1169" s="890"/>
      <c r="BD1169" s="952"/>
      <c r="BE1169" s="75"/>
      <c r="BF1169" s="572"/>
      <c r="BG1169" s="983"/>
      <c r="BH1169" s="222"/>
      <c r="BL1169" s="889"/>
      <c r="BO1169" s="223"/>
    </row>
    <row r="1170" spans="1:67" s="74" customFormat="1">
      <c r="A1170" s="15"/>
      <c r="B1170" s="15"/>
      <c r="C1170" s="15"/>
      <c r="D1170" s="15"/>
      <c r="E1170" s="6"/>
      <c r="F1170" s="6"/>
      <c r="G1170" s="6"/>
      <c r="K1170" s="223"/>
      <c r="M1170" s="889"/>
      <c r="P1170" s="890"/>
      <c r="T1170" s="889"/>
      <c r="X1170" s="15"/>
      <c r="Y1170" s="1935"/>
      <c r="Z1170" s="1086"/>
      <c r="AA1170" s="230"/>
      <c r="AB1170" s="230"/>
      <c r="AC1170" s="1936"/>
      <c r="AD1170" s="230"/>
      <c r="AE1170" s="230"/>
      <c r="AF1170" s="230"/>
      <c r="AG1170" s="890"/>
      <c r="AJ1170" s="890"/>
      <c r="AN1170" s="223"/>
      <c r="AO1170" s="952"/>
      <c r="AP1170" s="1066"/>
      <c r="AQ1170" s="972"/>
      <c r="AR1170" s="1917"/>
      <c r="AS1170" s="222"/>
      <c r="AZ1170" s="889"/>
      <c r="BC1170" s="890"/>
      <c r="BD1170" s="952"/>
      <c r="BE1170" s="75"/>
      <c r="BF1170" s="572"/>
      <c r="BG1170" s="983"/>
      <c r="BH1170" s="222"/>
      <c r="BL1170" s="889"/>
      <c r="BO1170" s="223"/>
    </row>
    <row r="1171" spans="1:67" s="74" customFormat="1">
      <c r="A1171" s="15"/>
      <c r="B1171" s="15"/>
      <c r="C1171" s="15"/>
      <c r="D1171" s="15"/>
      <c r="E1171" s="6"/>
      <c r="F1171" s="6"/>
      <c r="G1171" s="6"/>
      <c r="K1171" s="223"/>
      <c r="M1171" s="889"/>
      <c r="P1171" s="890"/>
      <c r="T1171" s="889"/>
      <c r="X1171" s="15"/>
      <c r="Y1171" s="1935"/>
      <c r="Z1171" s="1086"/>
      <c r="AA1171" s="230"/>
      <c r="AB1171" s="230"/>
      <c r="AC1171" s="1936"/>
      <c r="AD1171" s="230"/>
      <c r="AE1171" s="230"/>
      <c r="AF1171" s="230"/>
      <c r="AG1171" s="890"/>
      <c r="AJ1171" s="890"/>
      <c r="AN1171" s="223"/>
      <c r="AO1171" s="952"/>
      <c r="AP1171" s="1066"/>
      <c r="AQ1171" s="972"/>
      <c r="AR1171" s="1917"/>
      <c r="AS1171" s="222"/>
      <c r="AZ1171" s="889"/>
      <c r="BC1171" s="890"/>
      <c r="BD1171" s="952"/>
      <c r="BE1171" s="75"/>
      <c r="BF1171" s="572"/>
      <c r="BG1171" s="983"/>
      <c r="BH1171" s="222"/>
      <c r="BL1171" s="889"/>
      <c r="BO1171" s="223"/>
    </row>
    <row r="1172" spans="1:67" s="74" customFormat="1">
      <c r="A1172" s="15"/>
      <c r="B1172" s="15"/>
      <c r="C1172" s="15"/>
      <c r="D1172" s="15"/>
      <c r="E1172" s="6"/>
      <c r="F1172" s="6"/>
      <c r="G1172" s="6"/>
      <c r="K1172" s="223"/>
      <c r="M1172" s="889"/>
      <c r="P1172" s="890"/>
      <c r="T1172" s="889"/>
      <c r="X1172" s="15"/>
      <c r="Y1172" s="1935"/>
      <c r="Z1172" s="1086"/>
      <c r="AA1172" s="230"/>
      <c r="AB1172" s="230"/>
      <c r="AC1172" s="1936"/>
      <c r="AD1172" s="230"/>
      <c r="AE1172" s="230"/>
      <c r="AF1172" s="230"/>
      <c r="AG1172" s="890"/>
      <c r="AJ1172" s="890"/>
      <c r="AN1172" s="223"/>
      <c r="AO1172" s="952"/>
      <c r="AP1172" s="1066"/>
      <c r="AQ1172" s="972"/>
      <c r="AR1172" s="1917"/>
      <c r="AS1172" s="222"/>
      <c r="AZ1172" s="889"/>
      <c r="BC1172" s="890"/>
      <c r="BD1172" s="952"/>
      <c r="BE1172" s="75"/>
      <c r="BF1172" s="572"/>
      <c r="BG1172" s="983"/>
      <c r="BH1172" s="222"/>
      <c r="BL1172" s="889"/>
      <c r="BO1172" s="223"/>
    </row>
    <row r="1173" spans="1:67" s="74" customFormat="1">
      <c r="A1173" s="15"/>
      <c r="B1173" s="15"/>
      <c r="C1173" s="15"/>
      <c r="D1173" s="15"/>
      <c r="E1173" s="6"/>
      <c r="F1173" s="6"/>
      <c r="G1173" s="6"/>
      <c r="K1173" s="223"/>
      <c r="M1173" s="889"/>
      <c r="P1173" s="890"/>
      <c r="T1173" s="889"/>
      <c r="X1173" s="15"/>
      <c r="Y1173" s="1935"/>
      <c r="Z1173" s="1086"/>
      <c r="AA1173" s="230"/>
      <c r="AB1173" s="230"/>
      <c r="AC1173" s="1936"/>
      <c r="AD1173" s="230"/>
      <c r="AE1173" s="230"/>
      <c r="AF1173" s="230"/>
      <c r="AG1173" s="890"/>
      <c r="AJ1173" s="890"/>
      <c r="AN1173" s="223"/>
      <c r="AO1173" s="952"/>
      <c r="AP1173" s="1066"/>
      <c r="AQ1173" s="972"/>
      <c r="AR1173" s="1917"/>
      <c r="AS1173" s="222"/>
      <c r="AZ1173" s="889"/>
      <c r="BC1173" s="890"/>
      <c r="BD1173" s="952"/>
      <c r="BE1173" s="75"/>
      <c r="BF1173" s="572"/>
      <c r="BG1173" s="983"/>
      <c r="BH1173" s="222"/>
      <c r="BL1173" s="889"/>
      <c r="BO1173" s="223"/>
    </row>
    <row r="1174" spans="1:67" s="74" customFormat="1">
      <c r="A1174" s="15"/>
      <c r="B1174" s="15"/>
      <c r="C1174" s="15"/>
      <c r="D1174" s="15"/>
      <c r="E1174" s="6"/>
      <c r="F1174" s="6"/>
      <c r="G1174" s="6"/>
      <c r="K1174" s="223"/>
      <c r="M1174" s="889"/>
      <c r="P1174" s="890"/>
      <c r="T1174" s="889"/>
      <c r="X1174" s="15"/>
      <c r="Y1174" s="1935"/>
      <c r="Z1174" s="1086"/>
      <c r="AA1174" s="230"/>
      <c r="AB1174" s="230"/>
      <c r="AC1174" s="1936"/>
      <c r="AD1174" s="230"/>
      <c r="AE1174" s="230"/>
      <c r="AF1174" s="230"/>
      <c r="AG1174" s="890"/>
      <c r="AJ1174" s="890"/>
      <c r="AN1174" s="223"/>
      <c r="AO1174" s="952"/>
      <c r="AP1174" s="1066"/>
      <c r="AQ1174" s="972"/>
      <c r="AR1174" s="1917"/>
      <c r="AS1174" s="222"/>
      <c r="AZ1174" s="889"/>
      <c r="BC1174" s="890"/>
      <c r="BD1174" s="952"/>
      <c r="BE1174" s="75"/>
      <c r="BF1174" s="572"/>
      <c r="BG1174" s="983"/>
      <c r="BH1174" s="222"/>
      <c r="BL1174" s="889"/>
      <c r="BO1174" s="223"/>
    </row>
    <row r="1175" spans="1:67" s="74" customFormat="1">
      <c r="A1175" s="15"/>
      <c r="B1175" s="15"/>
      <c r="C1175" s="15"/>
      <c r="D1175" s="15"/>
      <c r="E1175" s="6"/>
      <c r="F1175" s="6"/>
      <c r="G1175" s="6"/>
      <c r="K1175" s="223"/>
      <c r="M1175" s="889"/>
      <c r="P1175" s="890"/>
      <c r="T1175" s="889"/>
      <c r="X1175" s="15"/>
      <c r="Y1175" s="1935"/>
      <c r="Z1175" s="1086"/>
      <c r="AA1175" s="230"/>
      <c r="AB1175" s="230"/>
      <c r="AC1175" s="1936"/>
      <c r="AD1175" s="230"/>
      <c r="AE1175" s="230"/>
      <c r="AF1175" s="230"/>
      <c r="AG1175" s="890"/>
      <c r="AJ1175" s="890"/>
      <c r="AN1175" s="223"/>
      <c r="AO1175" s="952"/>
      <c r="AP1175" s="1066"/>
      <c r="AQ1175" s="972"/>
      <c r="AR1175" s="1917"/>
      <c r="AS1175" s="222"/>
      <c r="AZ1175" s="889"/>
      <c r="BC1175" s="890"/>
      <c r="BD1175" s="952"/>
      <c r="BE1175" s="75"/>
      <c r="BF1175" s="572"/>
      <c r="BG1175" s="983"/>
      <c r="BH1175" s="222"/>
      <c r="BL1175" s="889"/>
      <c r="BO1175" s="223"/>
    </row>
    <row r="1176" spans="1:67" s="74" customFormat="1">
      <c r="A1176" s="15"/>
      <c r="B1176" s="15"/>
      <c r="C1176" s="15"/>
      <c r="D1176" s="15"/>
      <c r="E1176" s="6"/>
      <c r="F1176" s="6"/>
      <c r="G1176" s="6"/>
      <c r="K1176" s="223"/>
      <c r="M1176" s="889"/>
      <c r="P1176" s="890"/>
      <c r="T1176" s="889"/>
      <c r="X1176" s="15"/>
      <c r="Y1176" s="1935"/>
      <c r="Z1176" s="1086"/>
      <c r="AA1176" s="230"/>
      <c r="AB1176" s="230"/>
      <c r="AC1176" s="1936"/>
      <c r="AD1176" s="230"/>
      <c r="AE1176" s="230"/>
      <c r="AF1176" s="230"/>
      <c r="AG1176" s="890"/>
      <c r="AJ1176" s="890"/>
      <c r="AN1176" s="223"/>
      <c r="AO1176" s="952"/>
      <c r="AP1176" s="1066"/>
      <c r="AQ1176" s="972"/>
      <c r="AR1176" s="1917"/>
      <c r="AS1176" s="222"/>
      <c r="AZ1176" s="889"/>
      <c r="BC1176" s="890"/>
      <c r="BD1176" s="952"/>
      <c r="BE1176" s="75"/>
      <c r="BF1176" s="572"/>
      <c r="BG1176" s="983"/>
      <c r="BH1176" s="222"/>
      <c r="BL1176" s="889"/>
      <c r="BO1176" s="223"/>
    </row>
    <row r="1177" spans="1:67" s="74" customFormat="1">
      <c r="A1177" s="15"/>
      <c r="B1177" s="15"/>
      <c r="C1177" s="15"/>
      <c r="D1177" s="15"/>
      <c r="E1177" s="6"/>
      <c r="F1177" s="6"/>
      <c r="G1177" s="6"/>
      <c r="K1177" s="223"/>
      <c r="M1177" s="889"/>
      <c r="P1177" s="890"/>
      <c r="T1177" s="889"/>
      <c r="X1177" s="15"/>
      <c r="Y1177" s="1935"/>
      <c r="Z1177" s="1086"/>
      <c r="AA1177" s="230"/>
      <c r="AB1177" s="230"/>
      <c r="AC1177" s="1936"/>
      <c r="AD1177" s="230"/>
      <c r="AE1177" s="230"/>
      <c r="AF1177" s="230"/>
      <c r="AG1177" s="890"/>
      <c r="AJ1177" s="890"/>
      <c r="AN1177" s="223"/>
      <c r="AO1177" s="952"/>
      <c r="AP1177" s="1066"/>
      <c r="AQ1177" s="972"/>
      <c r="AR1177" s="1917"/>
      <c r="AS1177" s="222"/>
      <c r="AZ1177" s="889"/>
      <c r="BC1177" s="890"/>
      <c r="BD1177" s="952"/>
      <c r="BE1177" s="75"/>
      <c r="BF1177" s="572"/>
      <c r="BG1177" s="983"/>
      <c r="BH1177" s="222"/>
      <c r="BL1177" s="889"/>
      <c r="BO1177" s="223"/>
    </row>
    <row r="1178" spans="1:67" s="74" customFormat="1">
      <c r="A1178" s="15"/>
      <c r="B1178" s="15"/>
      <c r="C1178" s="15"/>
      <c r="D1178" s="15"/>
      <c r="E1178" s="6"/>
      <c r="F1178" s="6"/>
      <c r="G1178" s="6"/>
      <c r="K1178" s="223"/>
      <c r="M1178" s="889"/>
      <c r="P1178" s="890"/>
      <c r="T1178" s="889"/>
      <c r="X1178" s="15"/>
      <c r="Y1178" s="1935"/>
      <c r="Z1178" s="1086"/>
      <c r="AA1178" s="230"/>
      <c r="AB1178" s="230"/>
      <c r="AC1178" s="1936"/>
      <c r="AD1178" s="230"/>
      <c r="AE1178" s="230"/>
      <c r="AF1178" s="230"/>
      <c r="AG1178" s="890"/>
      <c r="AJ1178" s="890"/>
      <c r="AN1178" s="223"/>
      <c r="AO1178" s="952"/>
      <c r="AP1178" s="1066"/>
      <c r="AQ1178" s="972"/>
      <c r="AR1178" s="1917"/>
      <c r="AS1178" s="222"/>
      <c r="AZ1178" s="889"/>
      <c r="BC1178" s="890"/>
      <c r="BD1178" s="952"/>
      <c r="BE1178" s="75"/>
      <c r="BF1178" s="572"/>
      <c r="BG1178" s="983"/>
      <c r="BH1178" s="222"/>
      <c r="BL1178" s="889"/>
      <c r="BO1178" s="223"/>
    </row>
    <row r="1179" spans="1:67" s="74" customFormat="1">
      <c r="A1179" s="15"/>
      <c r="B1179" s="15"/>
      <c r="C1179" s="15"/>
      <c r="D1179" s="15"/>
      <c r="E1179" s="6"/>
      <c r="F1179" s="6"/>
      <c r="G1179" s="6"/>
      <c r="K1179" s="223"/>
      <c r="M1179" s="889"/>
      <c r="P1179" s="890"/>
      <c r="T1179" s="889"/>
      <c r="X1179" s="15"/>
      <c r="Y1179" s="1935"/>
      <c r="Z1179" s="1086"/>
      <c r="AA1179" s="230"/>
      <c r="AB1179" s="230"/>
      <c r="AC1179" s="1936"/>
      <c r="AD1179" s="230"/>
      <c r="AE1179" s="230"/>
      <c r="AF1179" s="230"/>
      <c r="AG1179" s="890"/>
      <c r="AJ1179" s="890"/>
      <c r="AN1179" s="223"/>
      <c r="AO1179" s="952"/>
      <c r="AP1179" s="1066"/>
      <c r="AQ1179" s="972"/>
      <c r="AR1179" s="1917"/>
      <c r="AS1179" s="222"/>
      <c r="AZ1179" s="889"/>
      <c r="BC1179" s="890"/>
      <c r="BD1179" s="952"/>
      <c r="BE1179" s="75"/>
      <c r="BF1179" s="572"/>
      <c r="BG1179" s="983"/>
      <c r="BH1179" s="222"/>
      <c r="BL1179" s="889"/>
      <c r="BO1179" s="223"/>
    </row>
    <row r="1180" spans="1:67" s="74" customFormat="1">
      <c r="A1180" s="15"/>
      <c r="B1180" s="15"/>
      <c r="C1180" s="15"/>
      <c r="D1180" s="15"/>
      <c r="E1180" s="6"/>
      <c r="F1180" s="6"/>
      <c r="G1180" s="6"/>
      <c r="K1180" s="223"/>
      <c r="M1180" s="889"/>
      <c r="P1180" s="890"/>
      <c r="T1180" s="889"/>
      <c r="X1180" s="15"/>
      <c r="Y1180" s="1935"/>
      <c r="Z1180" s="1086"/>
      <c r="AA1180" s="230"/>
      <c r="AB1180" s="230"/>
      <c r="AC1180" s="1936"/>
      <c r="AD1180" s="230"/>
      <c r="AE1180" s="230"/>
      <c r="AF1180" s="230"/>
      <c r="AG1180" s="890"/>
      <c r="AJ1180" s="890"/>
      <c r="AN1180" s="223"/>
      <c r="AO1180" s="952"/>
      <c r="AP1180" s="1066"/>
      <c r="AQ1180" s="972"/>
      <c r="AR1180" s="1917"/>
      <c r="AS1180" s="222"/>
      <c r="AZ1180" s="889"/>
      <c r="BC1180" s="890"/>
      <c r="BD1180" s="952"/>
      <c r="BE1180" s="75"/>
      <c r="BF1180" s="572"/>
      <c r="BG1180" s="983"/>
      <c r="BH1180" s="222"/>
      <c r="BL1180" s="889"/>
      <c r="BO1180" s="223"/>
    </row>
    <row r="1181" spans="1:67" s="74" customFormat="1">
      <c r="A1181" s="15"/>
      <c r="B1181" s="15"/>
      <c r="C1181" s="15"/>
      <c r="D1181" s="15"/>
      <c r="E1181" s="6"/>
      <c r="F1181" s="6"/>
      <c r="G1181" s="6"/>
      <c r="K1181" s="223"/>
      <c r="M1181" s="889"/>
      <c r="P1181" s="890"/>
      <c r="T1181" s="889"/>
      <c r="X1181" s="15"/>
      <c r="Y1181" s="1935"/>
      <c r="Z1181" s="1086"/>
      <c r="AA1181" s="230"/>
      <c r="AB1181" s="230"/>
      <c r="AC1181" s="1936"/>
      <c r="AD1181" s="230"/>
      <c r="AE1181" s="230"/>
      <c r="AF1181" s="230"/>
      <c r="AG1181" s="890"/>
      <c r="AJ1181" s="890"/>
      <c r="AN1181" s="223"/>
      <c r="AO1181" s="952"/>
      <c r="AP1181" s="1066"/>
      <c r="AQ1181" s="972"/>
      <c r="AR1181" s="1917"/>
      <c r="AS1181" s="222"/>
      <c r="AZ1181" s="889"/>
      <c r="BC1181" s="890"/>
      <c r="BD1181" s="952"/>
      <c r="BE1181" s="75"/>
      <c r="BF1181" s="572"/>
      <c r="BG1181" s="983"/>
      <c r="BH1181" s="222"/>
      <c r="BL1181" s="889"/>
      <c r="BO1181" s="223"/>
    </row>
    <row r="1182" spans="1:67" s="74" customFormat="1">
      <c r="A1182" s="15"/>
      <c r="B1182" s="15"/>
      <c r="C1182" s="15"/>
      <c r="D1182" s="15"/>
      <c r="E1182" s="6"/>
      <c r="F1182" s="6"/>
      <c r="G1182" s="6"/>
      <c r="K1182" s="223"/>
      <c r="M1182" s="889"/>
      <c r="P1182" s="890"/>
      <c r="T1182" s="889"/>
      <c r="X1182" s="15"/>
      <c r="Y1182" s="1935"/>
      <c r="Z1182" s="1086"/>
      <c r="AA1182" s="230"/>
      <c r="AB1182" s="230"/>
      <c r="AC1182" s="1936"/>
      <c r="AD1182" s="230"/>
      <c r="AE1182" s="230"/>
      <c r="AF1182" s="230"/>
      <c r="AG1182" s="890"/>
      <c r="AJ1182" s="890"/>
      <c r="AN1182" s="223"/>
      <c r="AO1182" s="952"/>
      <c r="AP1182" s="1066"/>
      <c r="AQ1182" s="972"/>
      <c r="AR1182" s="1917"/>
      <c r="AS1182" s="222"/>
      <c r="AZ1182" s="889"/>
      <c r="BC1182" s="890"/>
      <c r="BD1182" s="952"/>
      <c r="BE1182" s="75"/>
      <c r="BF1182" s="572"/>
      <c r="BG1182" s="983"/>
      <c r="BH1182" s="222"/>
      <c r="BL1182" s="889"/>
      <c r="BO1182" s="223"/>
    </row>
    <row r="1183" spans="1:67" s="74" customFormat="1">
      <c r="A1183" s="15"/>
      <c r="B1183" s="15"/>
      <c r="C1183" s="15"/>
      <c r="D1183" s="15"/>
      <c r="E1183" s="6"/>
      <c r="F1183" s="6"/>
      <c r="G1183" s="6"/>
      <c r="K1183" s="223"/>
      <c r="M1183" s="889"/>
      <c r="P1183" s="890"/>
      <c r="T1183" s="889"/>
      <c r="X1183" s="15"/>
      <c r="Y1183" s="1935"/>
      <c r="Z1183" s="1086"/>
      <c r="AA1183" s="230"/>
      <c r="AB1183" s="230"/>
      <c r="AC1183" s="1936"/>
      <c r="AD1183" s="230"/>
      <c r="AE1183" s="230"/>
      <c r="AF1183" s="230"/>
      <c r="AG1183" s="890"/>
      <c r="AJ1183" s="890"/>
      <c r="AN1183" s="223"/>
      <c r="AO1183" s="952"/>
      <c r="AP1183" s="1066"/>
      <c r="AQ1183" s="972"/>
      <c r="AR1183" s="1917"/>
      <c r="AS1183" s="222"/>
      <c r="AZ1183" s="889"/>
      <c r="BC1183" s="890"/>
      <c r="BD1183" s="952"/>
      <c r="BE1183" s="75"/>
      <c r="BF1183" s="572"/>
      <c r="BG1183" s="983"/>
      <c r="BH1183" s="222"/>
      <c r="BL1183" s="889"/>
      <c r="BO1183" s="223"/>
    </row>
    <row r="1184" spans="1:67" s="74" customFormat="1">
      <c r="A1184" s="15"/>
      <c r="B1184" s="15"/>
      <c r="C1184" s="15"/>
      <c r="D1184" s="15"/>
      <c r="E1184" s="6"/>
      <c r="F1184" s="6"/>
      <c r="G1184" s="6"/>
      <c r="K1184" s="223"/>
      <c r="M1184" s="889"/>
      <c r="P1184" s="890"/>
      <c r="T1184" s="889"/>
      <c r="X1184" s="15"/>
      <c r="Y1184" s="1935"/>
      <c r="Z1184" s="1086"/>
      <c r="AA1184" s="230"/>
      <c r="AB1184" s="230"/>
      <c r="AC1184" s="1936"/>
      <c r="AD1184" s="230"/>
      <c r="AE1184" s="230"/>
      <c r="AF1184" s="230"/>
      <c r="AG1184" s="890"/>
      <c r="AJ1184" s="890"/>
      <c r="AN1184" s="223"/>
      <c r="AO1184" s="952"/>
      <c r="AP1184" s="1066"/>
      <c r="AQ1184" s="972"/>
      <c r="AR1184" s="1917"/>
      <c r="AS1184" s="222"/>
      <c r="AZ1184" s="889"/>
      <c r="BC1184" s="890"/>
      <c r="BD1184" s="952"/>
      <c r="BE1184" s="75"/>
      <c r="BF1184" s="572"/>
      <c r="BG1184" s="983"/>
      <c r="BH1184" s="222"/>
      <c r="BL1184" s="889"/>
      <c r="BO1184" s="223"/>
    </row>
    <row r="1185" spans="1:67" s="74" customFormat="1">
      <c r="A1185" s="15"/>
      <c r="B1185" s="15"/>
      <c r="C1185" s="15"/>
      <c r="D1185" s="15"/>
      <c r="E1185" s="6"/>
      <c r="F1185" s="6"/>
      <c r="G1185" s="6"/>
      <c r="K1185" s="223"/>
      <c r="M1185" s="889"/>
      <c r="P1185" s="890"/>
      <c r="T1185" s="889"/>
      <c r="X1185" s="15"/>
      <c r="Y1185" s="1935"/>
      <c r="Z1185" s="1086"/>
      <c r="AA1185" s="230"/>
      <c r="AB1185" s="230"/>
      <c r="AC1185" s="1936"/>
      <c r="AD1185" s="230"/>
      <c r="AE1185" s="230"/>
      <c r="AF1185" s="230"/>
      <c r="AG1185" s="890"/>
      <c r="AJ1185" s="890"/>
      <c r="AN1185" s="223"/>
      <c r="AO1185" s="952"/>
      <c r="AP1185" s="1066"/>
      <c r="AQ1185" s="972"/>
      <c r="AR1185" s="1917"/>
      <c r="AS1185" s="222"/>
      <c r="AZ1185" s="889"/>
      <c r="BC1185" s="890"/>
      <c r="BD1185" s="952"/>
      <c r="BE1185" s="75"/>
      <c r="BF1185" s="572"/>
      <c r="BG1185" s="983"/>
      <c r="BH1185" s="222"/>
      <c r="BL1185" s="889"/>
      <c r="BO1185" s="223"/>
    </row>
    <row r="1186" spans="1:67" s="74" customFormat="1">
      <c r="A1186" s="15"/>
      <c r="B1186" s="15"/>
      <c r="C1186" s="15"/>
      <c r="D1186" s="15"/>
      <c r="E1186" s="6"/>
      <c r="F1186" s="6"/>
      <c r="G1186" s="6"/>
      <c r="K1186" s="223"/>
      <c r="M1186" s="889"/>
      <c r="P1186" s="890"/>
      <c r="T1186" s="889"/>
      <c r="X1186" s="15"/>
      <c r="Y1186" s="1935"/>
      <c r="Z1186" s="1086"/>
      <c r="AA1186" s="230"/>
      <c r="AB1186" s="230"/>
      <c r="AC1186" s="1936"/>
      <c r="AD1186" s="230"/>
      <c r="AE1186" s="230"/>
      <c r="AF1186" s="230"/>
      <c r="AG1186" s="890"/>
      <c r="AJ1186" s="890"/>
      <c r="AN1186" s="223"/>
      <c r="AO1186" s="952"/>
      <c r="AP1186" s="1066"/>
      <c r="AQ1186" s="972"/>
      <c r="AR1186" s="1917"/>
      <c r="AS1186" s="222"/>
      <c r="AZ1186" s="889"/>
      <c r="BC1186" s="890"/>
      <c r="BD1186" s="952"/>
      <c r="BE1186" s="75"/>
      <c r="BF1186" s="572"/>
      <c r="BG1186" s="983"/>
      <c r="BH1186" s="222"/>
      <c r="BL1186" s="889"/>
      <c r="BO1186" s="223"/>
    </row>
    <row r="1187" spans="1:67" s="74" customFormat="1">
      <c r="A1187" s="15"/>
      <c r="B1187" s="15"/>
      <c r="C1187" s="15"/>
      <c r="D1187" s="15"/>
      <c r="E1187" s="6"/>
      <c r="F1187" s="6"/>
      <c r="G1187" s="6"/>
      <c r="K1187" s="223"/>
      <c r="M1187" s="889"/>
      <c r="P1187" s="890"/>
      <c r="T1187" s="889"/>
      <c r="X1187" s="15"/>
      <c r="Y1187" s="1935"/>
      <c r="Z1187" s="1086"/>
      <c r="AA1187" s="230"/>
      <c r="AB1187" s="230"/>
      <c r="AC1187" s="1936"/>
      <c r="AD1187" s="230"/>
      <c r="AE1187" s="230"/>
      <c r="AF1187" s="230"/>
      <c r="AG1187" s="890"/>
      <c r="AJ1187" s="890"/>
      <c r="AN1187" s="223"/>
      <c r="AO1187" s="952"/>
      <c r="AP1187" s="1066"/>
      <c r="AQ1187" s="972"/>
      <c r="AR1187" s="1917"/>
      <c r="AS1187" s="222"/>
      <c r="AZ1187" s="889"/>
      <c r="BC1187" s="890"/>
      <c r="BD1187" s="952"/>
      <c r="BE1187" s="75"/>
      <c r="BF1187" s="572"/>
      <c r="BG1187" s="983"/>
      <c r="BH1187" s="222"/>
      <c r="BL1187" s="889"/>
      <c r="BO1187" s="223"/>
    </row>
    <row r="1188" spans="1:67" s="74" customFormat="1">
      <c r="A1188" s="15"/>
      <c r="B1188" s="15"/>
      <c r="C1188" s="15"/>
      <c r="D1188" s="15"/>
      <c r="E1188" s="6"/>
      <c r="F1188" s="6"/>
      <c r="G1188" s="6"/>
      <c r="K1188" s="223"/>
      <c r="M1188" s="889"/>
      <c r="P1188" s="890"/>
      <c r="T1188" s="889"/>
      <c r="X1188" s="15"/>
      <c r="Y1188" s="1935"/>
      <c r="Z1188" s="1086"/>
      <c r="AA1188" s="230"/>
      <c r="AB1188" s="230"/>
      <c r="AC1188" s="1936"/>
      <c r="AD1188" s="230"/>
      <c r="AE1188" s="230"/>
      <c r="AF1188" s="230"/>
      <c r="AG1188" s="890"/>
      <c r="AJ1188" s="890"/>
      <c r="AN1188" s="223"/>
      <c r="AO1188" s="952"/>
      <c r="AP1188" s="1066"/>
      <c r="AQ1188" s="972"/>
      <c r="AR1188" s="1917"/>
      <c r="AS1188" s="222"/>
      <c r="AZ1188" s="889"/>
      <c r="BC1188" s="890"/>
      <c r="BD1188" s="952"/>
      <c r="BE1188" s="75"/>
      <c r="BF1188" s="572"/>
      <c r="BG1188" s="983"/>
      <c r="BH1188" s="222"/>
      <c r="BL1188" s="889"/>
      <c r="BO1188" s="223"/>
    </row>
    <row r="1189" spans="1:67" s="74" customFormat="1">
      <c r="A1189" s="15"/>
      <c r="B1189" s="15"/>
      <c r="C1189" s="15"/>
      <c r="D1189" s="15"/>
      <c r="E1189" s="6"/>
      <c r="F1189" s="6"/>
      <c r="G1189" s="6"/>
      <c r="K1189" s="223"/>
      <c r="M1189" s="889"/>
      <c r="P1189" s="890"/>
      <c r="T1189" s="889"/>
      <c r="X1189" s="15"/>
      <c r="Y1189" s="1935"/>
      <c r="Z1189" s="1086"/>
      <c r="AA1189" s="230"/>
      <c r="AB1189" s="230"/>
      <c r="AC1189" s="1936"/>
      <c r="AD1189" s="230"/>
      <c r="AE1189" s="230"/>
      <c r="AF1189" s="230"/>
      <c r="AG1189" s="890"/>
      <c r="AJ1189" s="890"/>
      <c r="AN1189" s="223"/>
      <c r="AO1189" s="952"/>
      <c r="AP1189" s="1066"/>
      <c r="AQ1189" s="972"/>
      <c r="AR1189" s="1917"/>
      <c r="AS1189" s="222"/>
      <c r="AZ1189" s="889"/>
      <c r="BC1189" s="890"/>
      <c r="BD1189" s="952"/>
      <c r="BE1189" s="75"/>
      <c r="BF1189" s="572"/>
      <c r="BG1189" s="983"/>
      <c r="BH1189" s="222"/>
      <c r="BL1189" s="889"/>
      <c r="BO1189" s="223"/>
    </row>
    <row r="1190" spans="1:67" s="74" customFormat="1">
      <c r="A1190" s="15"/>
      <c r="B1190" s="15"/>
      <c r="C1190" s="15"/>
      <c r="D1190" s="15"/>
      <c r="E1190" s="6"/>
      <c r="F1190" s="6"/>
      <c r="G1190" s="6"/>
      <c r="K1190" s="223"/>
      <c r="M1190" s="889"/>
      <c r="P1190" s="890"/>
      <c r="T1190" s="889"/>
      <c r="X1190" s="15"/>
      <c r="Y1190" s="1935"/>
      <c r="Z1190" s="1086"/>
      <c r="AA1190" s="230"/>
      <c r="AB1190" s="230"/>
      <c r="AC1190" s="1936"/>
      <c r="AD1190" s="230"/>
      <c r="AE1190" s="230"/>
      <c r="AF1190" s="230"/>
      <c r="AG1190" s="890"/>
      <c r="AJ1190" s="890"/>
      <c r="AN1190" s="223"/>
      <c r="AO1190" s="952"/>
      <c r="AP1190" s="1066"/>
      <c r="AQ1190" s="972"/>
      <c r="AR1190" s="1917"/>
      <c r="AS1190" s="222"/>
      <c r="AZ1190" s="889"/>
      <c r="BC1190" s="890"/>
      <c r="BD1190" s="952"/>
      <c r="BE1190" s="75"/>
      <c r="BF1190" s="572"/>
      <c r="BG1190" s="983"/>
      <c r="BH1190" s="222"/>
      <c r="BL1190" s="889"/>
      <c r="BO1190" s="223"/>
    </row>
    <row r="1191" spans="1:67" s="74" customFormat="1">
      <c r="A1191" s="15"/>
      <c r="B1191" s="15"/>
      <c r="C1191" s="15"/>
      <c r="D1191" s="15"/>
      <c r="E1191" s="6"/>
      <c r="F1191" s="6"/>
      <c r="G1191" s="6"/>
      <c r="K1191" s="223"/>
      <c r="M1191" s="889"/>
      <c r="P1191" s="890"/>
      <c r="T1191" s="889"/>
      <c r="X1191" s="15"/>
      <c r="Y1191" s="1935"/>
      <c r="Z1191" s="1086"/>
      <c r="AA1191" s="230"/>
      <c r="AB1191" s="230"/>
      <c r="AC1191" s="1936"/>
      <c r="AD1191" s="230"/>
      <c r="AE1191" s="230"/>
      <c r="AF1191" s="230"/>
      <c r="AG1191" s="890"/>
      <c r="AJ1191" s="890"/>
      <c r="AN1191" s="223"/>
      <c r="AO1191" s="952"/>
      <c r="AP1191" s="1066"/>
      <c r="AQ1191" s="972"/>
      <c r="AR1191" s="1917"/>
      <c r="AS1191" s="222"/>
      <c r="AZ1191" s="889"/>
      <c r="BC1191" s="890"/>
      <c r="BD1191" s="952"/>
      <c r="BE1191" s="75"/>
      <c r="BF1191" s="572"/>
      <c r="BG1191" s="983"/>
      <c r="BH1191" s="222"/>
      <c r="BL1191" s="889"/>
      <c r="BO1191" s="223"/>
    </row>
    <row r="1192" spans="1:67" s="74" customFormat="1">
      <c r="A1192" s="15"/>
      <c r="B1192" s="15"/>
      <c r="C1192" s="15"/>
      <c r="D1192" s="15"/>
      <c r="E1192" s="6"/>
      <c r="F1192" s="6"/>
      <c r="G1192" s="6"/>
      <c r="K1192" s="223"/>
      <c r="M1192" s="889"/>
      <c r="P1192" s="890"/>
      <c r="T1192" s="889"/>
      <c r="X1192" s="15"/>
      <c r="Y1192" s="1935"/>
      <c r="Z1192" s="1086"/>
      <c r="AA1192" s="230"/>
      <c r="AB1192" s="230"/>
      <c r="AC1192" s="1936"/>
      <c r="AD1192" s="230"/>
      <c r="AE1192" s="230"/>
      <c r="AF1192" s="230"/>
      <c r="AG1192" s="890"/>
      <c r="AJ1192" s="890"/>
      <c r="AN1192" s="223"/>
      <c r="AO1192" s="952"/>
      <c r="AP1192" s="1066"/>
      <c r="AQ1192" s="972"/>
      <c r="AR1192" s="1917"/>
      <c r="AS1192" s="222"/>
      <c r="AZ1192" s="889"/>
      <c r="BC1192" s="890"/>
      <c r="BD1192" s="952"/>
      <c r="BE1192" s="75"/>
      <c r="BF1192" s="572"/>
      <c r="BG1192" s="983"/>
      <c r="BH1192" s="222"/>
      <c r="BL1192" s="889"/>
      <c r="BO1192" s="223"/>
    </row>
    <row r="1193" spans="1:67" s="74" customFormat="1">
      <c r="A1193" s="15"/>
      <c r="B1193" s="15"/>
      <c r="C1193" s="15"/>
      <c r="D1193" s="15"/>
      <c r="E1193" s="6"/>
      <c r="F1193" s="6"/>
      <c r="G1193" s="6"/>
      <c r="K1193" s="223"/>
      <c r="M1193" s="889"/>
      <c r="P1193" s="890"/>
      <c r="T1193" s="889"/>
      <c r="X1193" s="15"/>
      <c r="Y1193" s="1935"/>
      <c r="Z1193" s="1086"/>
      <c r="AA1193" s="230"/>
      <c r="AB1193" s="230"/>
      <c r="AC1193" s="1936"/>
      <c r="AD1193" s="230"/>
      <c r="AE1193" s="230"/>
      <c r="AF1193" s="230"/>
      <c r="AG1193" s="890"/>
      <c r="AJ1193" s="890"/>
      <c r="AN1193" s="223"/>
      <c r="AO1193" s="952"/>
      <c r="AP1193" s="1066"/>
      <c r="AQ1193" s="972"/>
      <c r="AR1193" s="1917"/>
      <c r="AS1193" s="222"/>
      <c r="AZ1193" s="889"/>
      <c r="BC1193" s="890"/>
      <c r="BD1193" s="952"/>
      <c r="BE1193" s="75"/>
      <c r="BF1193" s="572"/>
      <c r="BG1193" s="983"/>
      <c r="BH1193" s="222"/>
      <c r="BL1193" s="889"/>
      <c r="BO1193" s="223"/>
    </row>
    <row r="1194" spans="1:67" s="74" customFormat="1">
      <c r="A1194" s="15"/>
      <c r="B1194" s="15"/>
      <c r="C1194" s="15"/>
      <c r="D1194" s="15"/>
      <c r="E1194" s="6"/>
      <c r="F1194" s="6"/>
      <c r="G1194" s="6"/>
      <c r="K1194" s="223"/>
      <c r="M1194" s="889"/>
      <c r="P1194" s="890"/>
      <c r="T1194" s="889"/>
      <c r="X1194" s="15"/>
      <c r="Y1194" s="1935"/>
      <c r="Z1194" s="1086"/>
      <c r="AA1194" s="230"/>
      <c r="AB1194" s="230"/>
      <c r="AC1194" s="1936"/>
      <c r="AD1194" s="230"/>
      <c r="AE1194" s="230"/>
      <c r="AF1194" s="230"/>
      <c r="AG1194" s="890"/>
      <c r="AJ1194" s="890"/>
      <c r="AN1194" s="223"/>
      <c r="AO1194" s="952"/>
      <c r="AP1194" s="1066"/>
      <c r="AQ1194" s="972"/>
      <c r="AR1194" s="1917"/>
      <c r="AS1194" s="222"/>
      <c r="AZ1194" s="889"/>
      <c r="BC1194" s="890"/>
      <c r="BD1194" s="952"/>
      <c r="BE1194" s="75"/>
      <c r="BF1194" s="572"/>
      <c r="BG1194" s="983"/>
      <c r="BH1194" s="222"/>
      <c r="BL1194" s="889"/>
      <c r="BO1194" s="223"/>
    </row>
    <row r="1195" spans="1:67" s="74" customFormat="1">
      <c r="A1195" s="15"/>
      <c r="B1195" s="15"/>
      <c r="C1195" s="15"/>
      <c r="D1195" s="15"/>
      <c r="E1195" s="6"/>
      <c r="F1195" s="6"/>
      <c r="G1195" s="6"/>
      <c r="K1195" s="223"/>
      <c r="M1195" s="889"/>
      <c r="P1195" s="890"/>
      <c r="T1195" s="889"/>
      <c r="X1195" s="15"/>
      <c r="Y1195" s="1935"/>
      <c r="Z1195" s="1086"/>
      <c r="AA1195" s="230"/>
      <c r="AB1195" s="230"/>
      <c r="AC1195" s="1936"/>
      <c r="AD1195" s="230"/>
      <c r="AE1195" s="230"/>
      <c r="AF1195" s="230"/>
      <c r="AG1195" s="890"/>
      <c r="AJ1195" s="890"/>
      <c r="AN1195" s="223"/>
      <c r="AO1195" s="952"/>
      <c r="AP1195" s="1066"/>
      <c r="AQ1195" s="972"/>
      <c r="AR1195" s="1917"/>
      <c r="AS1195" s="222"/>
      <c r="AZ1195" s="889"/>
      <c r="BC1195" s="890"/>
      <c r="BD1195" s="952"/>
      <c r="BE1195" s="75"/>
      <c r="BF1195" s="572"/>
      <c r="BG1195" s="983"/>
      <c r="BH1195" s="222"/>
      <c r="BL1195" s="889"/>
      <c r="BO1195" s="223"/>
    </row>
    <row r="1196" spans="1:67" s="74" customFormat="1">
      <c r="A1196" s="15"/>
      <c r="B1196" s="15"/>
      <c r="C1196" s="15"/>
      <c r="D1196" s="15"/>
      <c r="E1196" s="6"/>
      <c r="F1196" s="6"/>
      <c r="G1196" s="6"/>
      <c r="K1196" s="223"/>
      <c r="M1196" s="889"/>
      <c r="P1196" s="890"/>
      <c r="T1196" s="889"/>
      <c r="X1196" s="15"/>
      <c r="Y1196" s="1935"/>
      <c r="Z1196" s="1086"/>
      <c r="AA1196" s="230"/>
      <c r="AB1196" s="230"/>
      <c r="AC1196" s="1936"/>
      <c r="AD1196" s="230"/>
      <c r="AE1196" s="230"/>
      <c r="AF1196" s="230"/>
      <c r="AG1196" s="890"/>
      <c r="AJ1196" s="890"/>
      <c r="AN1196" s="223"/>
      <c r="AO1196" s="952"/>
      <c r="AP1196" s="1066"/>
      <c r="AQ1196" s="972"/>
      <c r="AR1196" s="1917"/>
      <c r="AS1196" s="222"/>
      <c r="AZ1196" s="889"/>
      <c r="BC1196" s="890"/>
      <c r="BD1196" s="952"/>
      <c r="BE1196" s="75"/>
      <c r="BF1196" s="572"/>
      <c r="BG1196" s="983"/>
      <c r="BH1196" s="222"/>
      <c r="BL1196" s="889"/>
      <c r="BO1196" s="223"/>
    </row>
    <row r="1197" spans="1:67" s="74" customFormat="1">
      <c r="A1197" s="15"/>
      <c r="B1197" s="15"/>
      <c r="C1197" s="15"/>
      <c r="D1197" s="15"/>
      <c r="E1197" s="6"/>
      <c r="F1197" s="6"/>
      <c r="G1197" s="6"/>
      <c r="K1197" s="223"/>
      <c r="M1197" s="889"/>
      <c r="P1197" s="890"/>
      <c r="T1197" s="889"/>
      <c r="X1197" s="15"/>
      <c r="Y1197" s="1935"/>
      <c r="Z1197" s="1086"/>
      <c r="AA1197" s="230"/>
      <c r="AB1197" s="230"/>
      <c r="AC1197" s="1936"/>
      <c r="AD1197" s="230"/>
      <c r="AE1197" s="230"/>
      <c r="AF1197" s="230"/>
      <c r="AG1197" s="890"/>
      <c r="AJ1197" s="890"/>
      <c r="AN1197" s="223"/>
      <c r="AO1197" s="952"/>
      <c r="AP1197" s="1066"/>
      <c r="AQ1197" s="972"/>
      <c r="AR1197" s="1917"/>
      <c r="AS1197" s="222"/>
      <c r="AZ1197" s="889"/>
      <c r="BC1197" s="890"/>
      <c r="BD1197" s="952"/>
      <c r="BE1197" s="75"/>
      <c r="BF1197" s="572"/>
      <c r="BG1197" s="983"/>
      <c r="BH1197" s="222"/>
      <c r="BL1197" s="889"/>
      <c r="BO1197" s="223"/>
    </row>
    <row r="1198" spans="1:67" s="74" customFormat="1">
      <c r="A1198" s="15"/>
      <c r="B1198" s="15"/>
      <c r="C1198" s="15"/>
      <c r="D1198" s="15"/>
      <c r="E1198" s="6"/>
      <c r="F1198" s="6"/>
      <c r="G1198" s="6"/>
      <c r="K1198" s="223"/>
      <c r="M1198" s="889"/>
      <c r="P1198" s="890"/>
      <c r="T1198" s="889"/>
      <c r="X1198" s="15"/>
      <c r="Y1198" s="1935"/>
      <c r="Z1198" s="1086"/>
      <c r="AA1198" s="230"/>
      <c r="AB1198" s="230"/>
      <c r="AC1198" s="1936"/>
      <c r="AD1198" s="230"/>
      <c r="AE1198" s="230"/>
      <c r="AF1198" s="230"/>
      <c r="AG1198" s="890"/>
      <c r="AJ1198" s="890"/>
      <c r="AN1198" s="223"/>
      <c r="AO1198" s="952"/>
      <c r="AP1198" s="1066"/>
      <c r="AQ1198" s="972"/>
      <c r="AR1198" s="1917"/>
      <c r="AS1198" s="222"/>
      <c r="AZ1198" s="889"/>
      <c r="BC1198" s="890"/>
      <c r="BD1198" s="952"/>
      <c r="BE1198" s="75"/>
      <c r="BF1198" s="572"/>
      <c r="BG1198" s="983"/>
      <c r="BH1198" s="222"/>
      <c r="BL1198" s="889"/>
      <c r="BO1198" s="223"/>
    </row>
    <row r="1199" spans="1:67" s="74" customFormat="1">
      <c r="A1199" s="15"/>
      <c r="B1199" s="15"/>
      <c r="C1199" s="15"/>
      <c r="D1199" s="15"/>
      <c r="E1199" s="6"/>
      <c r="F1199" s="6"/>
      <c r="G1199" s="6"/>
      <c r="K1199" s="223"/>
      <c r="M1199" s="889"/>
      <c r="P1199" s="890"/>
      <c r="T1199" s="889"/>
      <c r="X1199" s="15"/>
      <c r="Y1199" s="1935"/>
      <c r="Z1199" s="1086"/>
      <c r="AA1199" s="230"/>
      <c r="AB1199" s="230"/>
      <c r="AC1199" s="1936"/>
      <c r="AD1199" s="230"/>
      <c r="AE1199" s="230"/>
      <c r="AF1199" s="230"/>
      <c r="AG1199" s="890"/>
      <c r="AJ1199" s="890"/>
      <c r="AN1199" s="223"/>
      <c r="AO1199" s="952"/>
      <c r="AP1199" s="1066"/>
      <c r="AQ1199" s="972"/>
      <c r="AR1199" s="1917"/>
      <c r="AS1199" s="222"/>
      <c r="AZ1199" s="889"/>
      <c r="BC1199" s="890"/>
      <c r="BD1199" s="952"/>
      <c r="BE1199" s="75"/>
      <c r="BF1199" s="572"/>
      <c r="BG1199" s="983"/>
      <c r="BH1199" s="222"/>
      <c r="BL1199" s="889"/>
      <c r="BO1199" s="223"/>
    </row>
    <row r="1200" spans="1:67" s="74" customFormat="1">
      <c r="A1200" s="15"/>
      <c r="B1200" s="15"/>
      <c r="C1200" s="15"/>
      <c r="D1200" s="15"/>
      <c r="E1200" s="6"/>
      <c r="F1200" s="6"/>
      <c r="G1200" s="6"/>
      <c r="K1200" s="223"/>
      <c r="M1200" s="889"/>
      <c r="P1200" s="890"/>
      <c r="T1200" s="889"/>
      <c r="X1200" s="15"/>
      <c r="Y1200" s="1935"/>
      <c r="Z1200" s="1086"/>
      <c r="AA1200" s="230"/>
      <c r="AB1200" s="230"/>
      <c r="AC1200" s="1936"/>
      <c r="AD1200" s="230"/>
      <c r="AE1200" s="230"/>
      <c r="AF1200" s="230"/>
      <c r="AG1200" s="890"/>
      <c r="AJ1200" s="890"/>
      <c r="AN1200" s="223"/>
      <c r="AO1200" s="952"/>
      <c r="AP1200" s="1066"/>
      <c r="AQ1200" s="972"/>
      <c r="AR1200" s="1917"/>
      <c r="AS1200" s="222"/>
      <c r="AZ1200" s="889"/>
      <c r="BC1200" s="890"/>
      <c r="BD1200" s="952"/>
      <c r="BE1200" s="75"/>
      <c r="BF1200" s="572"/>
      <c r="BG1200" s="983"/>
      <c r="BH1200" s="222"/>
      <c r="BL1200" s="889"/>
      <c r="BO1200" s="223"/>
    </row>
    <row r="1201" spans="1:67" s="74" customFormat="1">
      <c r="A1201" s="15"/>
      <c r="B1201" s="15"/>
      <c r="C1201" s="15"/>
      <c r="D1201" s="15"/>
      <c r="E1201" s="6"/>
      <c r="F1201" s="6"/>
      <c r="G1201" s="6"/>
      <c r="K1201" s="223"/>
      <c r="M1201" s="889"/>
      <c r="P1201" s="890"/>
      <c r="T1201" s="889"/>
      <c r="X1201" s="15"/>
      <c r="Y1201" s="1935"/>
      <c r="Z1201" s="1086"/>
      <c r="AA1201" s="230"/>
      <c r="AB1201" s="230"/>
      <c r="AC1201" s="1936"/>
      <c r="AD1201" s="230"/>
      <c r="AE1201" s="230"/>
      <c r="AF1201" s="230"/>
      <c r="AG1201" s="890"/>
      <c r="AJ1201" s="890"/>
      <c r="AN1201" s="223"/>
      <c r="AO1201" s="952"/>
      <c r="AP1201" s="1066"/>
      <c r="AQ1201" s="972"/>
      <c r="AR1201" s="1917"/>
      <c r="AS1201" s="222"/>
      <c r="AZ1201" s="889"/>
      <c r="BC1201" s="890"/>
      <c r="BD1201" s="952"/>
      <c r="BE1201" s="75"/>
      <c r="BF1201" s="572"/>
      <c r="BG1201" s="983"/>
      <c r="BH1201" s="222"/>
      <c r="BL1201" s="889"/>
      <c r="BO1201" s="223"/>
    </row>
    <row r="1202" spans="1:67" s="74" customFormat="1">
      <c r="A1202" s="15"/>
      <c r="B1202" s="15"/>
      <c r="C1202" s="15"/>
      <c r="D1202" s="15"/>
      <c r="E1202" s="6"/>
      <c r="F1202" s="6"/>
      <c r="G1202" s="6"/>
      <c r="K1202" s="223"/>
      <c r="M1202" s="889"/>
      <c r="P1202" s="890"/>
      <c r="T1202" s="889"/>
      <c r="X1202" s="15"/>
      <c r="Y1202" s="1935"/>
      <c r="Z1202" s="1086"/>
      <c r="AA1202" s="230"/>
      <c r="AB1202" s="230"/>
      <c r="AC1202" s="1936"/>
      <c r="AD1202" s="230"/>
      <c r="AE1202" s="230"/>
      <c r="AF1202" s="230"/>
      <c r="AG1202" s="890"/>
      <c r="AJ1202" s="890"/>
      <c r="AN1202" s="223"/>
      <c r="AO1202" s="952"/>
      <c r="AP1202" s="1066"/>
      <c r="AQ1202" s="972"/>
      <c r="AR1202" s="1917"/>
      <c r="AS1202" s="222"/>
      <c r="AZ1202" s="889"/>
      <c r="BC1202" s="890"/>
      <c r="BD1202" s="952"/>
      <c r="BE1202" s="75"/>
      <c r="BF1202" s="572"/>
      <c r="BG1202" s="983"/>
      <c r="BH1202" s="222"/>
      <c r="BL1202" s="889"/>
      <c r="BO1202" s="223"/>
    </row>
    <row r="1203" spans="1:67" s="74" customFormat="1">
      <c r="A1203" s="15"/>
      <c r="B1203" s="15"/>
      <c r="C1203" s="15"/>
      <c r="D1203" s="15"/>
      <c r="E1203" s="6"/>
      <c r="F1203" s="6"/>
      <c r="G1203" s="6"/>
      <c r="K1203" s="223"/>
      <c r="M1203" s="889"/>
      <c r="P1203" s="890"/>
      <c r="T1203" s="889"/>
      <c r="X1203" s="15"/>
      <c r="Y1203" s="1935"/>
      <c r="Z1203" s="1086"/>
      <c r="AA1203" s="230"/>
      <c r="AB1203" s="230"/>
      <c r="AC1203" s="1936"/>
      <c r="AD1203" s="230"/>
      <c r="AE1203" s="230"/>
      <c r="AF1203" s="230"/>
      <c r="AG1203" s="890"/>
      <c r="AJ1203" s="890"/>
      <c r="AN1203" s="223"/>
      <c r="AO1203" s="952"/>
      <c r="AP1203" s="1066"/>
      <c r="AQ1203" s="972"/>
      <c r="AR1203" s="1917"/>
      <c r="AS1203" s="222"/>
      <c r="AZ1203" s="889"/>
      <c r="BC1203" s="890"/>
      <c r="BD1203" s="952"/>
      <c r="BE1203" s="75"/>
      <c r="BF1203" s="572"/>
      <c r="BG1203" s="983"/>
      <c r="BH1203" s="222"/>
      <c r="BL1203" s="889"/>
      <c r="BO1203" s="223"/>
    </row>
    <row r="1204" spans="1:67" s="74" customFormat="1">
      <c r="A1204" s="15"/>
      <c r="B1204" s="15"/>
      <c r="C1204" s="15"/>
      <c r="D1204" s="15"/>
      <c r="E1204" s="6"/>
      <c r="F1204" s="6"/>
      <c r="G1204" s="6"/>
      <c r="K1204" s="223"/>
      <c r="M1204" s="889"/>
      <c r="P1204" s="890"/>
      <c r="T1204" s="889"/>
      <c r="X1204" s="15"/>
      <c r="Y1204" s="1935"/>
      <c r="Z1204" s="1086"/>
      <c r="AA1204" s="230"/>
      <c r="AB1204" s="230"/>
      <c r="AC1204" s="1936"/>
      <c r="AD1204" s="230"/>
      <c r="AE1204" s="230"/>
      <c r="AF1204" s="230"/>
      <c r="AG1204" s="890"/>
      <c r="AJ1204" s="890"/>
      <c r="AN1204" s="223"/>
      <c r="AO1204" s="952"/>
      <c r="AP1204" s="1066"/>
      <c r="AQ1204" s="972"/>
      <c r="AR1204" s="1917"/>
      <c r="AS1204" s="222"/>
      <c r="AZ1204" s="889"/>
      <c r="BC1204" s="890"/>
      <c r="BD1204" s="952"/>
      <c r="BE1204" s="75"/>
      <c r="BF1204" s="572"/>
      <c r="BG1204" s="983"/>
      <c r="BH1204" s="222"/>
      <c r="BL1204" s="889"/>
      <c r="BO1204" s="223"/>
    </row>
    <row r="1205" spans="1:67" s="74" customFormat="1">
      <c r="A1205" s="15"/>
      <c r="B1205" s="15"/>
      <c r="C1205" s="15"/>
      <c r="D1205" s="15"/>
      <c r="E1205" s="6"/>
      <c r="F1205" s="6"/>
      <c r="G1205" s="6"/>
      <c r="K1205" s="223"/>
      <c r="M1205" s="889"/>
      <c r="P1205" s="890"/>
      <c r="T1205" s="889"/>
      <c r="X1205" s="15"/>
      <c r="Y1205" s="1935"/>
      <c r="Z1205" s="1086"/>
      <c r="AA1205" s="230"/>
      <c r="AB1205" s="230"/>
      <c r="AC1205" s="1936"/>
      <c r="AD1205" s="230"/>
      <c r="AE1205" s="230"/>
      <c r="AF1205" s="230"/>
      <c r="AG1205" s="890"/>
      <c r="AJ1205" s="890"/>
      <c r="AN1205" s="223"/>
      <c r="AO1205" s="952"/>
      <c r="AP1205" s="1066"/>
      <c r="AQ1205" s="972"/>
      <c r="AR1205" s="1917"/>
      <c r="AS1205" s="222"/>
      <c r="AZ1205" s="889"/>
      <c r="BC1205" s="890"/>
      <c r="BD1205" s="952"/>
      <c r="BE1205" s="75"/>
      <c r="BF1205" s="572"/>
      <c r="BG1205" s="983"/>
      <c r="BH1205" s="222"/>
      <c r="BL1205" s="889"/>
      <c r="BO1205" s="223"/>
    </row>
    <row r="1206" spans="1:67" s="74" customFormat="1">
      <c r="A1206" s="15"/>
      <c r="B1206" s="15"/>
      <c r="C1206" s="15"/>
      <c r="D1206" s="15"/>
      <c r="E1206" s="6"/>
      <c r="F1206" s="6"/>
      <c r="G1206" s="6"/>
      <c r="K1206" s="223"/>
      <c r="M1206" s="889"/>
      <c r="P1206" s="890"/>
      <c r="T1206" s="889"/>
      <c r="X1206" s="15"/>
      <c r="Y1206" s="1935"/>
      <c r="Z1206" s="1086"/>
      <c r="AA1206" s="230"/>
      <c r="AB1206" s="230"/>
      <c r="AC1206" s="1936"/>
      <c r="AD1206" s="230"/>
      <c r="AE1206" s="230"/>
      <c r="AF1206" s="230"/>
      <c r="AG1206" s="890"/>
      <c r="AJ1206" s="890"/>
      <c r="AN1206" s="223"/>
      <c r="AO1206" s="952"/>
      <c r="AP1206" s="1066"/>
      <c r="AQ1206" s="972"/>
      <c r="AR1206" s="1917"/>
      <c r="AS1206" s="222"/>
      <c r="AZ1206" s="889"/>
      <c r="BC1206" s="890"/>
      <c r="BD1206" s="952"/>
      <c r="BE1206" s="75"/>
      <c r="BF1206" s="572"/>
      <c r="BG1206" s="983"/>
      <c r="BH1206" s="222"/>
      <c r="BL1206" s="889"/>
      <c r="BO1206" s="223"/>
    </row>
    <row r="1207" spans="1:67" s="74" customFormat="1">
      <c r="A1207" s="15"/>
      <c r="B1207" s="15"/>
      <c r="C1207" s="15"/>
      <c r="D1207" s="15"/>
      <c r="E1207" s="6"/>
      <c r="F1207" s="6"/>
      <c r="G1207" s="6"/>
      <c r="K1207" s="223"/>
      <c r="M1207" s="889"/>
      <c r="P1207" s="890"/>
      <c r="T1207" s="889"/>
      <c r="X1207" s="15"/>
      <c r="Y1207" s="1935"/>
      <c r="Z1207" s="1086"/>
      <c r="AA1207" s="230"/>
      <c r="AB1207" s="230"/>
      <c r="AC1207" s="1936"/>
      <c r="AD1207" s="230"/>
      <c r="AE1207" s="230"/>
      <c r="AF1207" s="230"/>
      <c r="AG1207" s="890"/>
      <c r="AJ1207" s="890"/>
      <c r="AN1207" s="223"/>
      <c r="AO1207" s="952"/>
      <c r="AP1207" s="1066"/>
      <c r="AQ1207" s="972"/>
      <c r="AR1207" s="1917"/>
      <c r="AS1207" s="222"/>
      <c r="AZ1207" s="889"/>
      <c r="BC1207" s="890"/>
      <c r="BD1207" s="952"/>
      <c r="BE1207" s="75"/>
      <c r="BF1207" s="572"/>
      <c r="BG1207" s="983"/>
      <c r="BH1207" s="222"/>
      <c r="BL1207" s="889"/>
      <c r="BO1207" s="223"/>
    </row>
    <row r="1208" spans="1:67" s="74" customFormat="1">
      <c r="A1208" s="15"/>
      <c r="B1208" s="15"/>
      <c r="C1208" s="15"/>
      <c r="D1208" s="15"/>
      <c r="E1208" s="6"/>
      <c r="F1208" s="6"/>
      <c r="G1208" s="6"/>
      <c r="K1208" s="223"/>
      <c r="M1208" s="889"/>
      <c r="P1208" s="890"/>
      <c r="T1208" s="889"/>
      <c r="X1208" s="15"/>
      <c r="Y1208" s="1935"/>
      <c r="Z1208" s="1086"/>
      <c r="AA1208" s="230"/>
      <c r="AB1208" s="230"/>
      <c r="AC1208" s="1936"/>
      <c r="AD1208" s="230"/>
      <c r="AE1208" s="230"/>
      <c r="AF1208" s="230"/>
      <c r="AG1208" s="890"/>
      <c r="AJ1208" s="890"/>
      <c r="AN1208" s="223"/>
      <c r="AO1208" s="952"/>
      <c r="AP1208" s="1066"/>
      <c r="AQ1208" s="972"/>
      <c r="AR1208" s="1917"/>
      <c r="AS1208" s="222"/>
      <c r="AZ1208" s="889"/>
      <c r="BC1208" s="890"/>
      <c r="BD1208" s="952"/>
      <c r="BE1208" s="75"/>
      <c r="BF1208" s="572"/>
      <c r="BG1208" s="983"/>
      <c r="BH1208" s="222"/>
      <c r="BL1208" s="889"/>
      <c r="BO1208" s="223"/>
    </row>
    <row r="1209" spans="1:67" s="74" customFormat="1">
      <c r="A1209" s="15"/>
      <c r="B1209" s="15"/>
      <c r="C1209" s="15"/>
      <c r="D1209" s="15"/>
      <c r="E1209" s="6"/>
      <c r="F1209" s="6"/>
      <c r="G1209" s="6"/>
      <c r="K1209" s="223"/>
      <c r="M1209" s="889"/>
      <c r="P1209" s="890"/>
      <c r="T1209" s="889"/>
      <c r="X1209" s="15"/>
      <c r="Y1209" s="1935"/>
      <c r="Z1209" s="1086"/>
      <c r="AA1209" s="230"/>
      <c r="AB1209" s="230"/>
      <c r="AC1209" s="1936"/>
      <c r="AD1209" s="230"/>
      <c r="AE1209" s="230"/>
      <c r="AF1209" s="230"/>
      <c r="AG1209" s="890"/>
      <c r="AJ1209" s="890"/>
      <c r="AN1209" s="223"/>
      <c r="AO1209" s="952"/>
      <c r="AP1209" s="1066"/>
      <c r="AQ1209" s="972"/>
      <c r="AR1209" s="1917"/>
      <c r="AS1209" s="222"/>
      <c r="AZ1209" s="889"/>
      <c r="BC1209" s="890"/>
      <c r="BD1209" s="952"/>
      <c r="BE1209" s="75"/>
      <c r="BF1209" s="572"/>
      <c r="BG1209" s="983"/>
      <c r="BH1209" s="222"/>
      <c r="BL1209" s="889"/>
      <c r="BO1209" s="223"/>
    </row>
    <row r="1210" spans="1:67" s="74" customFormat="1">
      <c r="A1210" s="15"/>
      <c r="B1210" s="15"/>
      <c r="C1210" s="15"/>
      <c r="D1210" s="15"/>
      <c r="E1210" s="6"/>
      <c r="F1210" s="6"/>
      <c r="G1210" s="6"/>
      <c r="K1210" s="223"/>
      <c r="M1210" s="889"/>
      <c r="P1210" s="890"/>
      <c r="T1210" s="889"/>
      <c r="X1210" s="15"/>
      <c r="Y1210" s="1935"/>
      <c r="Z1210" s="1086"/>
      <c r="AA1210" s="230"/>
      <c r="AB1210" s="230"/>
      <c r="AC1210" s="1936"/>
      <c r="AD1210" s="230"/>
      <c r="AE1210" s="230"/>
      <c r="AF1210" s="230"/>
      <c r="AG1210" s="890"/>
      <c r="AJ1210" s="890"/>
      <c r="AN1210" s="223"/>
      <c r="AO1210" s="952"/>
      <c r="AP1210" s="1066"/>
      <c r="AQ1210" s="972"/>
      <c r="AR1210" s="1917"/>
      <c r="AS1210" s="222"/>
      <c r="AZ1210" s="889"/>
      <c r="BC1210" s="890"/>
      <c r="BD1210" s="952"/>
      <c r="BE1210" s="75"/>
      <c r="BF1210" s="572"/>
      <c r="BG1210" s="983"/>
      <c r="BH1210" s="222"/>
      <c r="BL1210" s="889"/>
      <c r="BO1210" s="223"/>
    </row>
    <row r="1211" spans="1:67" s="74" customFormat="1">
      <c r="A1211" s="15"/>
      <c r="B1211" s="15"/>
      <c r="C1211" s="15"/>
      <c r="D1211" s="15"/>
      <c r="E1211" s="6"/>
      <c r="F1211" s="6"/>
      <c r="G1211" s="6"/>
      <c r="K1211" s="223"/>
      <c r="M1211" s="889"/>
      <c r="P1211" s="890"/>
      <c r="T1211" s="889"/>
      <c r="X1211" s="15"/>
      <c r="Y1211" s="1935"/>
      <c r="Z1211" s="1086"/>
      <c r="AA1211" s="230"/>
      <c r="AB1211" s="230"/>
      <c r="AC1211" s="1936"/>
      <c r="AD1211" s="230"/>
      <c r="AE1211" s="230"/>
      <c r="AF1211" s="230"/>
      <c r="AG1211" s="890"/>
      <c r="AJ1211" s="890"/>
      <c r="AN1211" s="223"/>
      <c r="AO1211" s="952"/>
      <c r="AP1211" s="1066"/>
      <c r="AQ1211" s="972"/>
      <c r="AR1211" s="1917"/>
      <c r="AS1211" s="222"/>
      <c r="AZ1211" s="889"/>
      <c r="BC1211" s="890"/>
      <c r="BD1211" s="952"/>
      <c r="BE1211" s="75"/>
      <c r="BF1211" s="572"/>
      <c r="BG1211" s="983"/>
      <c r="BH1211" s="222"/>
      <c r="BL1211" s="889"/>
      <c r="BO1211" s="223"/>
    </row>
    <row r="1212" spans="1:67" s="74" customFormat="1">
      <c r="A1212" s="15"/>
      <c r="B1212" s="15"/>
      <c r="C1212" s="15"/>
      <c r="D1212" s="15"/>
      <c r="E1212" s="6"/>
      <c r="F1212" s="6"/>
      <c r="G1212" s="6"/>
      <c r="K1212" s="223"/>
      <c r="M1212" s="889"/>
      <c r="P1212" s="890"/>
      <c r="T1212" s="889"/>
      <c r="X1212" s="15"/>
      <c r="Y1212" s="1935"/>
      <c r="Z1212" s="1086"/>
      <c r="AA1212" s="230"/>
      <c r="AB1212" s="230"/>
      <c r="AC1212" s="1936"/>
      <c r="AD1212" s="230"/>
      <c r="AE1212" s="230"/>
      <c r="AF1212" s="230"/>
      <c r="AG1212" s="890"/>
      <c r="AJ1212" s="890"/>
      <c r="AN1212" s="223"/>
      <c r="AO1212" s="952"/>
      <c r="AP1212" s="1066"/>
      <c r="AQ1212" s="972"/>
      <c r="AR1212" s="1917"/>
      <c r="AS1212" s="222"/>
      <c r="AZ1212" s="889"/>
      <c r="BC1212" s="890"/>
      <c r="BD1212" s="952"/>
      <c r="BE1212" s="75"/>
      <c r="BF1212" s="572"/>
      <c r="BG1212" s="983"/>
      <c r="BH1212" s="222"/>
      <c r="BL1212" s="889"/>
      <c r="BO1212" s="223"/>
    </row>
    <row r="1213" spans="1:67" s="74" customFormat="1">
      <c r="A1213" s="15"/>
      <c r="B1213" s="15"/>
      <c r="C1213" s="15"/>
      <c r="D1213" s="15"/>
      <c r="E1213" s="6"/>
      <c r="F1213" s="6"/>
      <c r="G1213" s="6"/>
      <c r="K1213" s="223"/>
      <c r="M1213" s="889"/>
      <c r="P1213" s="890"/>
      <c r="T1213" s="889"/>
      <c r="X1213" s="15"/>
      <c r="Y1213" s="1935"/>
      <c r="Z1213" s="1086"/>
      <c r="AA1213" s="230"/>
      <c r="AB1213" s="230"/>
      <c r="AC1213" s="1936"/>
      <c r="AD1213" s="230"/>
      <c r="AE1213" s="230"/>
      <c r="AF1213" s="230"/>
      <c r="AG1213" s="890"/>
      <c r="AJ1213" s="890"/>
      <c r="AN1213" s="223"/>
      <c r="AO1213" s="952"/>
      <c r="AP1213" s="1066"/>
      <c r="AQ1213" s="972"/>
      <c r="AR1213" s="1917"/>
      <c r="AS1213" s="222"/>
      <c r="AZ1213" s="889"/>
      <c r="BC1213" s="890"/>
      <c r="BD1213" s="952"/>
      <c r="BE1213" s="75"/>
      <c r="BF1213" s="572"/>
      <c r="BG1213" s="983"/>
      <c r="BH1213" s="222"/>
      <c r="BL1213" s="889"/>
      <c r="BO1213" s="223"/>
    </row>
    <row r="1214" spans="1:67" s="74" customFormat="1">
      <c r="A1214" s="15"/>
      <c r="B1214" s="15"/>
      <c r="C1214" s="15"/>
      <c r="D1214" s="15"/>
      <c r="E1214" s="6"/>
      <c r="F1214" s="6"/>
      <c r="G1214" s="6"/>
      <c r="K1214" s="223"/>
      <c r="M1214" s="889"/>
      <c r="P1214" s="890"/>
      <c r="T1214" s="889"/>
      <c r="X1214" s="15"/>
      <c r="Y1214" s="1935"/>
      <c r="Z1214" s="1086"/>
      <c r="AA1214" s="230"/>
      <c r="AB1214" s="230"/>
      <c r="AC1214" s="1936"/>
      <c r="AD1214" s="230"/>
      <c r="AE1214" s="230"/>
      <c r="AF1214" s="230"/>
      <c r="AG1214" s="890"/>
      <c r="AJ1214" s="890"/>
      <c r="AN1214" s="223"/>
      <c r="AO1214" s="952"/>
      <c r="AP1214" s="1066"/>
      <c r="AQ1214" s="972"/>
      <c r="AR1214" s="1917"/>
      <c r="AS1214" s="222"/>
      <c r="AZ1214" s="889"/>
      <c r="BC1214" s="890"/>
      <c r="BD1214" s="952"/>
      <c r="BE1214" s="75"/>
      <c r="BF1214" s="572"/>
      <c r="BG1214" s="983"/>
      <c r="BH1214" s="222"/>
      <c r="BL1214" s="889"/>
      <c r="BO1214" s="223"/>
    </row>
    <row r="1215" spans="1:67" s="74" customFormat="1">
      <c r="A1215" s="15"/>
      <c r="B1215" s="15"/>
      <c r="C1215" s="15"/>
      <c r="D1215" s="15"/>
      <c r="E1215" s="6"/>
      <c r="F1215" s="6"/>
      <c r="G1215" s="6"/>
      <c r="K1215" s="223"/>
      <c r="M1215" s="889"/>
      <c r="P1215" s="890"/>
      <c r="T1215" s="889"/>
      <c r="X1215" s="15"/>
      <c r="Y1215" s="1935"/>
      <c r="Z1215" s="1086"/>
      <c r="AA1215" s="230"/>
      <c r="AB1215" s="230"/>
      <c r="AC1215" s="1936"/>
      <c r="AD1215" s="230"/>
      <c r="AE1215" s="230"/>
      <c r="AF1215" s="230"/>
      <c r="AG1215" s="890"/>
      <c r="AJ1215" s="890"/>
      <c r="AN1215" s="223"/>
      <c r="AO1215" s="952"/>
      <c r="AP1215" s="1066"/>
      <c r="AQ1215" s="972"/>
      <c r="AR1215" s="1917"/>
      <c r="AS1215" s="222"/>
      <c r="AZ1215" s="889"/>
      <c r="BC1215" s="890"/>
      <c r="BD1215" s="952"/>
      <c r="BE1215" s="75"/>
      <c r="BF1215" s="572"/>
      <c r="BG1215" s="983"/>
      <c r="BH1215" s="222"/>
      <c r="BL1215" s="889"/>
      <c r="BO1215" s="223"/>
    </row>
    <row r="1216" spans="1:67" s="74" customFormat="1">
      <c r="A1216" s="15"/>
      <c r="B1216" s="15"/>
      <c r="C1216" s="15"/>
      <c r="D1216" s="15"/>
      <c r="E1216" s="6"/>
      <c r="F1216" s="6"/>
      <c r="G1216" s="6"/>
      <c r="K1216" s="223"/>
      <c r="M1216" s="889"/>
      <c r="P1216" s="890"/>
      <c r="T1216" s="889"/>
      <c r="X1216" s="15"/>
      <c r="Y1216" s="1935"/>
      <c r="Z1216" s="1086"/>
      <c r="AA1216" s="230"/>
      <c r="AB1216" s="230"/>
      <c r="AC1216" s="1936"/>
      <c r="AD1216" s="230"/>
      <c r="AE1216" s="230"/>
      <c r="AF1216" s="230"/>
      <c r="AG1216" s="890"/>
      <c r="AJ1216" s="890"/>
      <c r="AN1216" s="223"/>
      <c r="AO1216" s="952"/>
      <c r="AP1216" s="1066"/>
      <c r="AQ1216" s="972"/>
      <c r="AR1216" s="1917"/>
      <c r="AS1216" s="222"/>
      <c r="AZ1216" s="889"/>
      <c r="BC1216" s="890"/>
      <c r="BD1216" s="952"/>
      <c r="BE1216" s="75"/>
      <c r="BF1216" s="572"/>
      <c r="BG1216" s="983"/>
      <c r="BH1216" s="222"/>
      <c r="BL1216" s="889"/>
      <c r="BO1216" s="223"/>
    </row>
    <row r="1217" spans="1:67" s="74" customFormat="1">
      <c r="A1217" s="15"/>
      <c r="B1217" s="15"/>
      <c r="C1217" s="15"/>
      <c r="D1217" s="15"/>
      <c r="E1217" s="6"/>
      <c r="F1217" s="6"/>
      <c r="G1217" s="6"/>
      <c r="K1217" s="223"/>
      <c r="M1217" s="889"/>
      <c r="P1217" s="890"/>
      <c r="T1217" s="889"/>
      <c r="X1217" s="15"/>
      <c r="Y1217" s="1935"/>
      <c r="Z1217" s="1086"/>
      <c r="AA1217" s="230"/>
      <c r="AB1217" s="230"/>
      <c r="AC1217" s="1936"/>
      <c r="AD1217" s="230"/>
      <c r="AE1217" s="230"/>
      <c r="AF1217" s="230"/>
      <c r="AG1217" s="890"/>
      <c r="AJ1217" s="890"/>
      <c r="AN1217" s="223"/>
      <c r="AO1217" s="952"/>
      <c r="AP1217" s="1066"/>
      <c r="AQ1217" s="972"/>
      <c r="AR1217" s="1917"/>
      <c r="AS1217" s="222"/>
      <c r="AZ1217" s="889"/>
      <c r="BC1217" s="890"/>
      <c r="BD1217" s="952"/>
      <c r="BE1217" s="75"/>
      <c r="BF1217" s="572"/>
      <c r="BG1217" s="983"/>
      <c r="BH1217" s="222"/>
      <c r="BL1217" s="889"/>
      <c r="BO1217" s="223"/>
    </row>
    <row r="1218" spans="1:67" s="74" customFormat="1">
      <c r="A1218" s="15"/>
      <c r="B1218" s="15"/>
      <c r="C1218" s="15"/>
      <c r="D1218" s="15"/>
      <c r="E1218" s="6"/>
      <c r="F1218" s="6"/>
      <c r="G1218" s="6"/>
      <c r="K1218" s="223"/>
      <c r="M1218" s="889"/>
      <c r="P1218" s="890"/>
      <c r="T1218" s="889"/>
      <c r="X1218" s="15"/>
      <c r="Y1218" s="1935"/>
      <c r="Z1218" s="1086"/>
      <c r="AA1218" s="230"/>
      <c r="AB1218" s="230"/>
      <c r="AC1218" s="1936"/>
      <c r="AD1218" s="230"/>
      <c r="AE1218" s="230"/>
      <c r="AF1218" s="230"/>
      <c r="AG1218" s="890"/>
      <c r="AJ1218" s="890"/>
      <c r="AN1218" s="223"/>
      <c r="AO1218" s="952"/>
      <c r="AP1218" s="1066"/>
      <c r="AQ1218" s="972"/>
      <c r="AR1218" s="1917"/>
      <c r="AS1218" s="222"/>
      <c r="AZ1218" s="889"/>
      <c r="BC1218" s="890"/>
      <c r="BD1218" s="952"/>
      <c r="BE1218" s="75"/>
      <c r="BF1218" s="572"/>
      <c r="BG1218" s="983"/>
      <c r="BH1218" s="222"/>
      <c r="BL1218" s="889"/>
      <c r="BO1218" s="223"/>
    </row>
    <row r="1219" spans="1:67" s="74" customFormat="1">
      <c r="A1219" s="15"/>
      <c r="B1219" s="15"/>
      <c r="C1219" s="15"/>
      <c r="D1219" s="15"/>
      <c r="E1219" s="6"/>
      <c r="F1219" s="6"/>
      <c r="G1219" s="6"/>
      <c r="K1219" s="223"/>
      <c r="M1219" s="889"/>
      <c r="P1219" s="890"/>
      <c r="T1219" s="889"/>
      <c r="X1219" s="15"/>
      <c r="Y1219" s="1935"/>
      <c r="Z1219" s="1086"/>
      <c r="AA1219" s="230"/>
      <c r="AB1219" s="230"/>
      <c r="AC1219" s="1936"/>
      <c r="AD1219" s="230"/>
      <c r="AE1219" s="230"/>
      <c r="AF1219" s="230"/>
      <c r="AG1219" s="890"/>
      <c r="AJ1219" s="890"/>
      <c r="AN1219" s="223"/>
      <c r="AO1219" s="952"/>
      <c r="AP1219" s="1066"/>
      <c r="AQ1219" s="972"/>
      <c r="AR1219" s="1917"/>
      <c r="AS1219" s="222"/>
      <c r="AZ1219" s="889"/>
      <c r="BC1219" s="890"/>
      <c r="BD1219" s="952"/>
      <c r="BE1219" s="75"/>
      <c r="BF1219" s="572"/>
      <c r="BG1219" s="983"/>
      <c r="BH1219" s="222"/>
      <c r="BL1219" s="889"/>
      <c r="BO1219" s="223"/>
    </row>
    <row r="1220" spans="1:67" s="74" customFormat="1">
      <c r="A1220" s="15"/>
      <c r="B1220" s="15"/>
      <c r="C1220" s="15"/>
      <c r="D1220" s="15"/>
      <c r="E1220" s="6"/>
      <c r="F1220" s="6"/>
      <c r="G1220" s="6"/>
      <c r="K1220" s="223"/>
      <c r="M1220" s="889"/>
      <c r="P1220" s="890"/>
      <c r="T1220" s="889"/>
      <c r="X1220" s="15"/>
      <c r="Y1220" s="1935"/>
      <c r="Z1220" s="1086"/>
      <c r="AA1220" s="230"/>
      <c r="AB1220" s="230"/>
      <c r="AC1220" s="1936"/>
      <c r="AD1220" s="230"/>
      <c r="AE1220" s="230"/>
      <c r="AF1220" s="230"/>
      <c r="AG1220" s="890"/>
      <c r="AJ1220" s="890"/>
      <c r="AN1220" s="223"/>
      <c r="AO1220" s="952"/>
      <c r="AP1220" s="1066"/>
      <c r="AQ1220" s="972"/>
      <c r="AR1220" s="1917"/>
      <c r="AS1220" s="222"/>
      <c r="AZ1220" s="889"/>
      <c r="BC1220" s="890"/>
      <c r="BD1220" s="952"/>
      <c r="BE1220" s="75"/>
      <c r="BF1220" s="572"/>
      <c r="BG1220" s="983"/>
      <c r="BH1220" s="222"/>
      <c r="BL1220" s="889"/>
      <c r="BO1220" s="223"/>
    </row>
    <row r="1221" spans="1:67" s="74" customFormat="1">
      <c r="A1221" s="15"/>
      <c r="B1221" s="15"/>
      <c r="C1221" s="15"/>
      <c r="D1221" s="15"/>
      <c r="E1221" s="6"/>
      <c r="F1221" s="6"/>
      <c r="G1221" s="6"/>
      <c r="K1221" s="223"/>
      <c r="M1221" s="889"/>
      <c r="P1221" s="890"/>
      <c r="T1221" s="889"/>
      <c r="X1221" s="15"/>
      <c r="Y1221" s="1935"/>
      <c r="Z1221" s="1086"/>
      <c r="AA1221" s="230"/>
      <c r="AB1221" s="230"/>
      <c r="AC1221" s="1936"/>
      <c r="AD1221" s="230"/>
      <c r="AE1221" s="230"/>
      <c r="AF1221" s="230"/>
      <c r="AG1221" s="890"/>
      <c r="AJ1221" s="890"/>
      <c r="AN1221" s="223"/>
      <c r="AO1221" s="952"/>
      <c r="AP1221" s="1066"/>
      <c r="AQ1221" s="972"/>
      <c r="AR1221" s="1917"/>
      <c r="AS1221" s="222"/>
      <c r="AZ1221" s="889"/>
      <c r="BC1221" s="890"/>
      <c r="BD1221" s="952"/>
      <c r="BE1221" s="75"/>
      <c r="BF1221" s="572"/>
      <c r="BG1221" s="983"/>
      <c r="BH1221" s="222"/>
      <c r="BL1221" s="889"/>
      <c r="BO1221" s="223"/>
    </row>
    <row r="1222" spans="1:67" s="74" customFormat="1">
      <c r="A1222" s="15"/>
      <c r="B1222" s="15"/>
      <c r="C1222" s="15"/>
      <c r="D1222" s="15"/>
      <c r="E1222" s="6"/>
      <c r="F1222" s="6"/>
      <c r="G1222" s="6"/>
      <c r="K1222" s="223"/>
      <c r="M1222" s="889"/>
      <c r="P1222" s="890"/>
      <c r="T1222" s="889"/>
      <c r="X1222" s="15"/>
      <c r="Y1222" s="1935"/>
      <c r="Z1222" s="1086"/>
      <c r="AA1222" s="230"/>
      <c r="AB1222" s="230"/>
      <c r="AC1222" s="1936"/>
      <c r="AD1222" s="230"/>
      <c r="AE1222" s="230"/>
      <c r="AF1222" s="230"/>
      <c r="AG1222" s="890"/>
      <c r="AJ1222" s="890"/>
      <c r="AN1222" s="223"/>
      <c r="AO1222" s="952"/>
      <c r="AP1222" s="1066"/>
      <c r="AQ1222" s="972"/>
      <c r="AR1222" s="1917"/>
      <c r="AS1222" s="222"/>
      <c r="AZ1222" s="889"/>
      <c r="BC1222" s="890"/>
      <c r="BD1222" s="952"/>
      <c r="BE1222" s="75"/>
      <c r="BF1222" s="572"/>
      <c r="BG1222" s="983"/>
      <c r="BH1222" s="222"/>
      <c r="BL1222" s="889"/>
      <c r="BO1222" s="223"/>
    </row>
    <row r="1223" spans="1:67" s="74" customFormat="1">
      <c r="A1223" s="15"/>
      <c r="B1223" s="15"/>
      <c r="C1223" s="15"/>
      <c r="D1223" s="15"/>
      <c r="E1223" s="6"/>
      <c r="F1223" s="6"/>
      <c r="G1223" s="6"/>
      <c r="K1223" s="223"/>
      <c r="M1223" s="889"/>
      <c r="P1223" s="890"/>
      <c r="T1223" s="889"/>
      <c r="X1223" s="15"/>
      <c r="Y1223" s="1935"/>
      <c r="Z1223" s="1086"/>
      <c r="AA1223" s="230"/>
      <c r="AB1223" s="230"/>
      <c r="AC1223" s="1936"/>
      <c r="AD1223" s="230"/>
      <c r="AE1223" s="230"/>
      <c r="AF1223" s="230"/>
      <c r="AG1223" s="890"/>
      <c r="AJ1223" s="890"/>
      <c r="AN1223" s="223"/>
      <c r="AO1223" s="952"/>
      <c r="AP1223" s="1066"/>
      <c r="AQ1223" s="972"/>
      <c r="AR1223" s="1917"/>
      <c r="AS1223" s="222"/>
      <c r="AZ1223" s="889"/>
      <c r="BC1223" s="890"/>
      <c r="BD1223" s="952"/>
      <c r="BE1223" s="75"/>
      <c r="BF1223" s="572"/>
      <c r="BG1223" s="983"/>
      <c r="BH1223" s="222"/>
      <c r="BL1223" s="889"/>
      <c r="BO1223" s="223"/>
    </row>
    <row r="1224" spans="1:67" s="74" customFormat="1">
      <c r="A1224" s="15"/>
      <c r="B1224" s="15"/>
      <c r="C1224" s="15"/>
      <c r="D1224" s="15"/>
      <c r="E1224" s="6"/>
      <c r="F1224" s="6"/>
      <c r="G1224" s="6"/>
      <c r="K1224" s="223"/>
      <c r="M1224" s="889"/>
      <c r="P1224" s="890"/>
      <c r="T1224" s="889"/>
      <c r="X1224" s="15"/>
      <c r="Y1224" s="1935"/>
      <c r="Z1224" s="1086"/>
      <c r="AA1224" s="230"/>
      <c r="AB1224" s="230"/>
      <c r="AC1224" s="1936"/>
      <c r="AD1224" s="230"/>
      <c r="AE1224" s="230"/>
      <c r="AF1224" s="230"/>
      <c r="AG1224" s="890"/>
      <c r="AJ1224" s="890"/>
      <c r="AN1224" s="223"/>
      <c r="AO1224" s="952"/>
      <c r="AP1224" s="1066"/>
      <c r="AQ1224" s="972"/>
      <c r="AR1224" s="1917"/>
      <c r="AS1224" s="222"/>
      <c r="AZ1224" s="889"/>
      <c r="BC1224" s="890"/>
      <c r="BD1224" s="952"/>
      <c r="BE1224" s="75"/>
      <c r="BF1224" s="572"/>
      <c r="BG1224" s="983"/>
      <c r="BH1224" s="222"/>
      <c r="BL1224" s="889"/>
      <c r="BO1224" s="223"/>
    </row>
    <row r="1225" spans="1:67" s="74" customFormat="1">
      <c r="A1225" s="15"/>
      <c r="B1225" s="15"/>
      <c r="C1225" s="15"/>
      <c r="D1225" s="15"/>
      <c r="E1225" s="6"/>
      <c r="F1225" s="6"/>
      <c r="G1225" s="6"/>
      <c r="K1225" s="223"/>
      <c r="M1225" s="889"/>
      <c r="P1225" s="890"/>
      <c r="T1225" s="889"/>
      <c r="X1225" s="15"/>
      <c r="Y1225" s="1935"/>
      <c r="Z1225" s="1086"/>
      <c r="AA1225" s="230"/>
      <c r="AB1225" s="230"/>
      <c r="AC1225" s="1936"/>
      <c r="AD1225" s="230"/>
      <c r="AE1225" s="230"/>
      <c r="AF1225" s="230"/>
      <c r="AG1225" s="890"/>
      <c r="AJ1225" s="890"/>
      <c r="AN1225" s="223"/>
      <c r="AO1225" s="952"/>
      <c r="AP1225" s="1066"/>
      <c r="AQ1225" s="972"/>
      <c r="AR1225" s="1917"/>
      <c r="AS1225" s="222"/>
      <c r="AZ1225" s="889"/>
      <c r="BC1225" s="890"/>
      <c r="BD1225" s="952"/>
      <c r="BE1225" s="75"/>
      <c r="BF1225" s="572"/>
      <c r="BG1225" s="983"/>
      <c r="BH1225" s="222"/>
      <c r="BL1225" s="889"/>
      <c r="BO1225" s="223"/>
    </row>
    <row r="1226" spans="1:67" s="74" customFormat="1">
      <c r="A1226" s="15"/>
      <c r="B1226" s="15"/>
      <c r="C1226" s="15"/>
      <c r="D1226" s="15"/>
      <c r="E1226" s="6"/>
      <c r="F1226" s="6"/>
      <c r="G1226" s="6"/>
      <c r="K1226" s="223"/>
      <c r="M1226" s="889"/>
      <c r="P1226" s="890"/>
      <c r="T1226" s="889"/>
      <c r="X1226" s="15"/>
      <c r="Y1226" s="1935"/>
      <c r="Z1226" s="1086"/>
      <c r="AA1226" s="230"/>
      <c r="AB1226" s="230"/>
      <c r="AC1226" s="1936"/>
      <c r="AD1226" s="230"/>
      <c r="AE1226" s="230"/>
      <c r="AF1226" s="230"/>
      <c r="AG1226" s="890"/>
      <c r="AJ1226" s="890"/>
      <c r="AN1226" s="223"/>
      <c r="AO1226" s="952"/>
      <c r="AP1226" s="1066"/>
      <c r="AQ1226" s="972"/>
      <c r="AR1226" s="1917"/>
      <c r="AS1226" s="222"/>
      <c r="AZ1226" s="889"/>
      <c r="BC1226" s="890"/>
      <c r="BD1226" s="952"/>
      <c r="BE1226" s="75"/>
      <c r="BF1226" s="572"/>
      <c r="BG1226" s="983"/>
      <c r="BH1226" s="222"/>
      <c r="BL1226" s="889"/>
      <c r="BO1226" s="223"/>
    </row>
    <row r="1227" spans="1:67" s="74" customFormat="1">
      <c r="A1227" s="15"/>
      <c r="B1227" s="15"/>
      <c r="C1227" s="15"/>
      <c r="D1227" s="15"/>
      <c r="E1227" s="6"/>
      <c r="F1227" s="6"/>
      <c r="G1227" s="6"/>
      <c r="K1227" s="223"/>
      <c r="M1227" s="889"/>
      <c r="P1227" s="890"/>
      <c r="T1227" s="889"/>
      <c r="X1227" s="15"/>
      <c r="Y1227" s="1935"/>
      <c r="Z1227" s="1086"/>
      <c r="AA1227" s="230"/>
      <c r="AB1227" s="230"/>
      <c r="AC1227" s="1936"/>
      <c r="AD1227" s="230"/>
      <c r="AE1227" s="230"/>
      <c r="AF1227" s="230"/>
      <c r="AG1227" s="890"/>
      <c r="AJ1227" s="890"/>
      <c r="AN1227" s="223"/>
      <c r="AO1227" s="952"/>
      <c r="AP1227" s="1066"/>
      <c r="AQ1227" s="972"/>
      <c r="AR1227" s="1917"/>
      <c r="AS1227" s="222"/>
      <c r="AZ1227" s="889"/>
      <c r="BC1227" s="890"/>
      <c r="BD1227" s="952"/>
      <c r="BE1227" s="75"/>
      <c r="BF1227" s="572"/>
      <c r="BG1227" s="983"/>
      <c r="BH1227" s="222"/>
      <c r="BL1227" s="889"/>
      <c r="BO1227" s="223"/>
    </row>
    <row r="1228" spans="1:67" s="74" customFormat="1">
      <c r="A1228" s="15"/>
      <c r="B1228" s="15"/>
      <c r="C1228" s="15"/>
      <c r="D1228" s="15"/>
      <c r="E1228" s="6"/>
      <c r="F1228" s="6"/>
      <c r="G1228" s="6"/>
      <c r="K1228" s="223"/>
      <c r="M1228" s="889"/>
      <c r="P1228" s="890"/>
      <c r="T1228" s="889"/>
      <c r="X1228" s="15"/>
      <c r="Y1228" s="1935"/>
      <c r="Z1228" s="1086"/>
      <c r="AA1228" s="230"/>
      <c r="AB1228" s="230"/>
      <c r="AC1228" s="1936"/>
      <c r="AD1228" s="230"/>
      <c r="AE1228" s="230"/>
      <c r="AF1228" s="230"/>
      <c r="AG1228" s="890"/>
      <c r="AJ1228" s="890"/>
      <c r="AN1228" s="223"/>
      <c r="AO1228" s="952"/>
      <c r="AP1228" s="1066"/>
      <c r="AQ1228" s="972"/>
      <c r="AR1228" s="1917"/>
      <c r="AS1228" s="222"/>
      <c r="AZ1228" s="889"/>
      <c r="BC1228" s="890"/>
      <c r="BD1228" s="952"/>
      <c r="BE1228" s="75"/>
      <c r="BF1228" s="572"/>
      <c r="BG1228" s="983"/>
      <c r="BH1228" s="222"/>
      <c r="BL1228" s="889"/>
      <c r="BO1228" s="223"/>
    </row>
    <row r="1229" spans="1:67" s="74" customFormat="1">
      <c r="A1229" s="15"/>
      <c r="B1229" s="15"/>
      <c r="C1229" s="15"/>
      <c r="D1229" s="15"/>
      <c r="E1229" s="6"/>
      <c r="F1229" s="6"/>
      <c r="G1229" s="6"/>
      <c r="K1229" s="223"/>
      <c r="M1229" s="889"/>
      <c r="P1229" s="890"/>
      <c r="T1229" s="889"/>
      <c r="X1229" s="15"/>
      <c r="Y1229" s="1935"/>
      <c r="Z1229" s="1086"/>
      <c r="AA1229" s="230"/>
      <c r="AB1229" s="230"/>
      <c r="AC1229" s="1936"/>
      <c r="AD1229" s="230"/>
      <c r="AE1229" s="230"/>
      <c r="AF1229" s="230"/>
      <c r="AG1229" s="890"/>
      <c r="AJ1229" s="890"/>
      <c r="AN1229" s="223"/>
      <c r="AO1229" s="952"/>
      <c r="AP1229" s="1066"/>
      <c r="AQ1229" s="972"/>
      <c r="AR1229" s="1917"/>
      <c r="AS1229" s="222"/>
      <c r="AZ1229" s="889"/>
      <c r="BC1229" s="890"/>
      <c r="BD1229" s="952"/>
      <c r="BE1229" s="75"/>
      <c r="BF1229" s="572"/>
      <c r="BG1229" s="983"/>
      <c r="BH1229" s="222"/>
      <c r="BL1229" s="889"/>
      <c r="BO1229" s="223"/>
    </row>
    <row r="1230" spans="1:67" s="74" customFormat="1">
      <c r="A1230" s="15"/>
      <c r="B1230" s="15"/>
      <c r="C1230" s="15"/>
      <c r="D1230" s="15"/>
      <c r="E1230" s="6"/>
      <c r="F1230" s="6"/>
      <c r="G1230" s="6"/>
      <c r="K1230" s="223"/>
      <c r="M1230" s="889"/>
      <c r="P1230" s="890"/>
      <c r="T1230" s="889"/>
      <c r="X1230" s="15"/>
      <c r="Y1230" s="1935"/>
      <c r="Z1230" s="1086"/>
      <c r="AA1230" s="230"/>
      <c r="AB1230" s="230"/>
      <c r="AC1230" s="1936"/>
      <c r="AD1230" s="230"/>
      <c r="AE1230" s="230"/>
      <c r="AF1230" s="230"/>
      <c r="AG1230" s="890"/>
      <c r="AJ1230" s="890"/>
      <c r="AN1230" s="223"/>
      <c r="AO1230" s="952"/>
      <c r="AP1230" s="1066"/>
      <c r="AQ1230" s="972"/>
      <c r="AR1230" s="1917"/>
      <c r="AS1230" s="222"/>
      <c r="AZ1230" s="889"/>
      <c r="BC1230" s="890"/>
      <c r="BD1230" s="952"/>
      <c r="BE1230" s="75"/>
      <c r="BF1230" s="572"/>
      <c r="BG1230" s="983"/>
      <c r="BH1230" s="222"/>
      <c r="BL1230" s="889"/>
      <c r="BO1230" s="223"/>
    </row>
    <row r="1231" spans="1:67" s="74" customFormat="1">
      <c r="A1231" s="15"/>
      <c r="B1231" s="15"/>
      <c r="C1231" s="15"/>
      <c r="D1231" s="15"/>
      <c r="E1231" s="6"/>
      <c r="F1231" s="6"/>
      <c r="G1231" s="6"/>
      <c r="K1231" s="223"/>
      <c r="M1231" s="889"/>
      <c r="P1231" s="890"/>
      <c r="T1231" s="889"/>
      <c r="X1231" s="15"/>
      <c r="Y1231" s="1935"/>
      <c r="Z1231" s="1086"/>
      <c r="AA1231" s="230"/>
      <c r="AB1231" s="230"/>
      <c r="AC1231" s="1936"/>
      <c r="AD1231" s="230"/>
      <c r="AE1231" s="230"/>
      <c r="AF1231" s="230"/>
      <c r="AG1231" s="890"/>
      <c r="AJ1231" s="890"/>
      <c r="AN1231" s="223"/>
      <c r="AO1231" s="952"/>
      <c r="AP1231" s="1066"/>
      <c r="AQ1231" s="972"/>
      <c r="AR1231" s="1917"/>
      <c r="AS1231" s="222"/>
      <c r="AZ1231" s="889"/>
      <c r="BC1231" s="890"/>
      <c r="BD1231" s="952"/>
      <c r="BE1231" s="75"/>
      <c r="BF1231" s="572"/>
      <c r="BG1231" s="983"/>
      <c r="BH1231" s="222"/>
      <c r="BL1231" s="889"/>
      <c r="BO1231" s="223"/>
    </row>
    <row r="1232" spans="1:67" s="74" customFormat="1">
      <c r="A1232" s="15"/>
      <c r="B1232" s="15"/>
      <c r="C1232" s="15"/>
      <c r="D1232" s="15"/>
      <c r="E1232" s="6"/>
      <c r="F1232" s="6"/>
      <c r="G1232" s="6"/>
      <c r="K1232" s="223"/>
      <c r="M1232" s="889"/>
      <c r="P1232" s="890"/>
      <c r="T1232" s="889"/>
      <c r="X1232" s="15"/>
      <c r="Y1232" s="1935"/>
      <c r="Z1232" s="1086"/>
      <c r="AA1232" s="230"/>
      <c r="AB1232" s="230"/>
      <c r="AC1232" s="1936"/>
      <c r="AD1232" s="230"/>
      <c r="AE1232" s="230"/>
      <c r="AF1232" s="230"/>
      <c r="AG1232" s="890"/>
      <c r="AJ1232" s="890"/>
      <c r="AN1232" s="223"/>
      <c r="AO1232" s="952"/>
      <c r="AP1232" s="1066"/>
      <c r="AQ1232" s="972"/>
      <c r="AR1232" s="1917"/>
      <c r="AS1232" s="222"/>
      <c r="AZ1232" s="889"/>
      <c r="BC1232" s="890"/>
      <c r="BD1232" s="952"/>
      <c r="BE1232" s="75"/>
      <c r="BF1232" s="572"/>
      <c r="BG1232" s="983"/>
      <c r="BH1232" s="222"/>
      <c r="BL1232" s="889"/>
      <c r="BO1232" s="223"/>
    </row>
    <row r="1233" spans="1:67" s="74" customFormat="1">
      <c r="A1233" s="15"/>
      <c r="B1233" s="15"/>
      <c r="C1233" s="15"/>
      <c r="D1233" s="15"/>
      <c r="E1233" s="6"/>
      <c r="F1233" s="6"/>
      <c r="G1233" s="6"/>
      <c r="K1233" s="223"/>
      <c r="M1233" s="889"/>
      <c r="P1233" s="890"/>
      <c r="T1233" s="889"/>
      <c r="X1233" s="15"/>
      <c r="Y1233" s="1935"/>
      <c r="Z1233" s="1086"/>
      <c r="AA1233" s="230"/>
      <c r="AB1233" s="230"/>
      <c r="AC1233" s="1936"/>
      <c r="AD1233" s="230"/>
      <c r="AE1233" s="230"/>
      <c r="AF1233" s="230"/>
      <c r="AG1233" s="890"/>
      <c r="AJ1233" s="890"/>
      <c r="AN1233" s="223"/>
      <c r="AO1233" s="952"/>
      <c r="AP1233" s="1066"/>
      <c r="AQ1233" s="972"/>
      <c r="AR1233" s="1917"/>
      <c r="AS1233" s="222"/>
      <c r="AZ1233" s="889"/>
      <c r="BC1233" s="890"/>
      <c r="BD1233" s="952"/>
      <c r="BE1233" s="75"/>
      <c r="BF1233" s="572"/>
      <c r="BG1233" s="983"/>
      <c r="BH1233" s="222"/>
      <c r="BL1233" s="889"/>
      <c r="BO1233" s="223"/>
    </row>
    <row r="1234" spans="1:67" s="74" customFormat="1">
      <c r="A1234" s="15"/>
      <c r="B1234" s="15"/>
      <c r="C1234" s="15"/>
      <c r="D1234" s="15"/>
      <c r="E1234" s="6"/>
      <c r="F1234" s="6"/>
      <c r="G1234" s="6"/>
      <c r="K1234" s="223"/>
      <c r="M1234" s="889"/>
      <c r="P1234" s="890"/>
      <c r="T1234" s="889"/>
      <c r="X1234" s="15"/>
      <c r="Y1234" s="1935"/>
      <c r="Z1234" s="1086"/>
      <c r="AA1234" s="230"/>
      <c r="AB1234" s="230"/>
      <c r="AC1234" s="1936"/>
      <c r="AD1234" s="230"/>
      <c r="AE1234" s="230"/>
      <c r="AF1234" s="230"/>
      <c r="AG1234" s="890"/>
      <c r="AJ1234" s="890"/>
      <c r="AN1234" s="223"/>
      <c r="AO1234" s="952"/>
      <c r="AP1234" s="1066"/>
      <c r="AQ1234" s="972"/>
      <c r="AR1234" s="1917"/>
      <c r="AS1234" s="222"/>
      <c r="AZ1234" s="889"/>
      <c r="BC1234" s="890"/>
      <c r="BD1234" s="952"/>
      <c r="BE1234" s="75"/>
      <c r="BF1234" s="572"/>
      <c r="BG1234" s="983"/>
      <c r="BH1234" s="222"/>
      <c r="BL1234" s="889"/>
      <c r="BO1234" s="223"/>
    </row>
    <row r="1235" spans="1:67" s="74" customFormat="1">
      <c r="A1235" s="15"/>
      <c r="B1235" s="15"/>
      <c r="C1235" s="15"/>
      <c r="D1235" s="15"/>
      <c r="E1235" s="6"/>
      <c r="F1235" s="6"/>
      <c r="G1235" s="6"/>
      <c r="K1235" s="223"/>
      <c r="M1235" s="889"/>
      <c r="P1235" s="890"/>
      <c r="T1235" s="889"/>
      <c r="X1235" s="15"/>
      <c r="Y1235" s="1935"/>
      <c r="Z1235" s="1086"/>
      <c r="AA1235" s="230"/>
      <c r="AB1235" s="230"/>
      <c r="AC1235" s="1936"/>
      <c r="AD1235" s="230"/>
      <c r="AE1235" s="230"/>
      <c r="AF1235" s="230"/>
      <c r="AG1235" s="890"/>
      <c r="AJ1235" s="890"/>
      <c r="AN1235" s="223"/>
      <c r="AO1235" s="952"/>
      <c r="AP1235" s="1066"/>
      <c r="AQ1235" s="972"/>
      <c r="AR1235" s="1917"/>
      <c r="AS1235" s="222"/>
      <c r="AZ1235" s="889"/>
      <c r="BC1235" s="890"/>
      <c r="BD1235" s="952"/>
      <c r="BE1235" s="75"/>
      <c r="BF1235" s="572"/>
      <c r="BG1235" s="983"/>
      <c r="BH1235" s="222"/>
      <c r="BL1235" s="889"/>
      <c r="BO1235" s="223"/>
    </row>
    <row r="1236" spans="1:67" s="74" customFormat="1">
      <c r="A1236" s="15"/>
      <c r="B1236" s="15"/>
      <c r="C1236" s="15"/>
      <c r="D1236" s="15"/>
      <c r="E1236" s="6"/>
      <c r="F1236" s="6"/>
      <c r="G1236" s="6"/>
      <c r="K1236" s="223"/>
      <c r="M1236" s="889"/>
      <c r="P1236" s="890"/>
      <c r="T1236" s="889"/>
      <c r="X1236" s="15"/>
      <c r="Y1236" s="1935"/>
      <c r="Z1236" s="1086"/>
      <c r="AA1236" s="230"/>
      <c r="AB1236" s="230"/>
      <c r="AC1236" s="1936"/>
      <c r="AD1236" s="230"/>
      <c r="AE1236" s="230"/>
      <c r="AF1236" s="230"/>
      <c r="AG1236" s="890"/>
      <c r="AJ1236" s="890"/>
      <c r="AN1236" s="223"/>
      <c r="AO1236" s="952"/>
      <c r="AP1236" s="1066"/>
      <c r="AQ1236" s="972"/>
      <c r="AR1236" s="1917"/>
      <c r="AS1236" s="222"/>
      <c r="AZ1236" s="889"/>
      <c r="BC1236" s="890"/>
      <c r="BD1236" s="952"/>
      <c r="BE1236" s="75"/>
      <c r="BF1236" s="572"/>
      <c r="BG1236" s="983"/>
      <c r="BH1236" s="222"/>
      <c r="BL1236" s="889"/>
      <c r="BO1236" s="223"/>
    </row>
    <row r="1237" spans="1:67" s="74" customFormat="1">
      <c r="A1237" s="15"/>
      <c r="B1237" s="15"/>
      <c r="C1237" s="15"/>
      <c r="D1237" s="15"/>
      <c r="E1237" s="6"/>
      <c r="F1237" s="6"/>
      <c r="G1237" s="6"/>
      <c r="K1237" s="223"/>
      <c r="M1237" s="889"/>
      <c r="P1237" s="890"/>
      <c r="T1237" s="889"/>
      <c r="X1237" s="15"/>
      <c r="Y1237" s="1935"/>
      <c r="Z1237" s="1086"/>
      <c r="AA1237" s="230"/>
      <c r="AB1237" s="230"/>
      <c r="AC1237" s="1936"/>
      <c r="AD1237" s="230"/>
      <c r="AE1237" s="230"/>
      <c r="AF1237" s="230"/>
      <c r="AG1237" s="890"/>
      <c r="AJ1237" s="890"/>
      <c r="AN1237" s="223"/>
      <c r="AO1237" s="952"/>
      <c r="AP1237" s="1066"/>
      <c r="AQ1237" s="972"/>
      <c r="AR1237" s="1917"/>
      <c r="AS1237" s="222"/>
      <c r="AZ1237" s="889"/>
      <c r="BC1237" s="890"/>
      <c r="BD1237" s="952"/>
      <c r="BE1237" s="75"/>
      <c r="BF1237" s="572"/>
      <c r="BG1237" s="983"/>
      <c r="BH1237" s="222"/>
      <c r="BL1237" s="889"/>
      <c r="BO1237" s="223"/>
    </row>
    <row r="1238" spans="1:67" s="74" customFormat="1">
      <c r="A1238" s="15"/>
      <c r="B1238" s="15"/>
      <c r="C1238" s="15"/>
      <c r="D1238" s="15"/>
      <c r="E1238" s="6"/>
      <c r="F1238" s="6"/>
      <c r="G1238" s="6"/>
      <c r="K1238" s="223"/>
      <c r="M1238" s="889"/>
      <c r="P1238" s="890"/>
      <c r="T1238" s="889"/>
      <c r="X1238" s="15"/>
      <c r="Y1238" s="1935"/>
      <c r="Z1238" s="1086"/>
      <c r="AA1238" s="230"/>
      <c r="AB1238" s="230"/>
      <c r="AC1238" s="1936"/>
      <c r="AD1238" s="230"/>
      <c r="AE1238" s="230"/>
      <c r="AF1238" s="230"/>
      <c r="AG1238" s="890"/>
      <c r="AJ1238" s="890"/>
      <c r="AN1238" s="223"/>
      <c r="AO1238" s="952"/>
      <c r="AP1238" s="1066"/>
      <c r="AQ1238" s="972"/>
      <c r="AR1238" s="1917"/>
      <c r="AS1238" s="222"/>
      <c r="AZ1238" s="889"/>
      <c r="BC1238" s="890"/>
      <c r="BD1238" s="952"/>
      <c r="BE1238" s="75"/>
      <c r="BF1238" s="572"/>
      <c r="BG1238" s="983"/>
      <c r="BH1238" s="222"/>
      <c r="BL1238" s="889"/>
      <c r="BO1238" s="223"/>
    </row>
    <row r="1239" spans="1:67" s="74" customFormat="1">
      <c r="A1239" s="15"/>
      <c r="B1239" s="15"/>
      <c r="C1239" s="15"/>
      <c r="D1239" s="15"/>
      <c r="E1239" s="6"/>
      <c r="F1239" s="6"/>
      <c r="G1239" s="6"/>
      <c r="K1239" s="223"/>
      <c r="M1239" s="889"/>
      <c r="P1239" s="890"/>
      <c r="T1239" s="889"/>
      <c r="X1239" s="15"/>
      <c r="Y1239" s="1935"/>
      <c r="Z1239" s="1086"/>
      <c r="AA1239" s="230"/>
      <c r="AB1239" s="230"/>
      <c r="AC1239" s="1936"/>
      <c r="AD1239" s="230"/>
      <c r="AE1239" s="230"/>
      <c r="AF1239" s="230"/>
      <c r="AG1239" s="890"/>
      <c r="AJ1239" s="890"/>
      <c r="AN1239" s="223"/>
      <c r="AO1239" s="952"/>
      <c r="AP1239" s="1066"/>
      <c r="AQ1239" s="972"/>
      <c r="AR1239" s="1917"/>
      <c r="AS1239" s="222"/>
      <c r="AZ1239" s="889"/>
      <c r="BC1239" s="890"/>
      <c r="BD1239" s="952"/>
      <c r="BE1239" s="75"/>
      <c r="BF1239" s="572"/>
      <c r="BG1239" s="983"/>
      <c r="BH1239" s="222"/>
      <c r="BL1239" s="889"/>
      <c r="BO1239" s="223"/>
    </row>
    <row r="1240" spans="1:67" s="74" customFormat="1">
      <c r="A1240" s="15"/>
      <c r="B1240" s="15"/>
      <c r="C1240" s="15"/>
      <c r="D1240" s="15"/>
      <c r="E1240" s="6"/>
      <c r="F1240" s="6"/>
      <c r="G1240" s="6"/>
      <c r="K1240" s="223"/>
      <c r="M1240" s="889"/>
      <c r="P1240" s="890"/>
      <c r="T1240" s="889"/>
      <c r="X1240" s="15"/>
      <c r="Y1240" s="1935"/>
      <c r="Z1240" s="1086"/>
      <c r="AA1240" s="230"/>
      <c r="AB1240" s="230"/>
      <c r="AC1240" s="1936"/>
      <c r="AD1240" s="230"/>
      <c r="AE1240" s="230"/>
      <c r="AF1240" s="230"/>
      <c r="AG1240" s="890"/>
      <c r="AJ1240" s="890"/>
      <c r="AN1240" s="223"/>
      <c r="AO1240" s="952"/>
      <c r="AP1240" s="1066"/>
      <c r="AQ1240" s="972"/>
      <c r="AR1240" s="1917"/>
      <c r="AS1240" s="222"/>
      <c r="AZ1240" s="889"/>
      <c r="BC1240" s="890"/>
      <c r="BD1240" s="952"/>
      <c r="BE1240" s="75"/>
      <c r="BF1240" s="572"/>
      <c r="BG1240" s="983"/>
      <c r="BH1240" s="222"/>
      <c r="BL1240" s="889"/>
      <c r="BO1240" s="223"/>
    </row>
    <row r="1241" spans="1:67" s="74" customFormat="1">
      <c r="A1241" s="15"/>
      <c r="B1241" s="15"/>
      <c r="C1241" s="15"/>
      <c r="D1241" s="15"/>
      <c r="E1241" s="6"/>
      <c r="F1241" s="6"/>
      <c r="G1241" s="6"/>
      <c r="K1241" s="223"/>
      <c r="M1241" s="889"/>
      <c r="P1241" s="890"/>
      <c r="T1241" s="889"/>
      <c r="X1241" s="15"/>
      <c r="Y1241" s="1935"/>
      <c r="Z1241" s="1086"/>
      <c r="AA1241" s="230"/>
      <c r="AB1241" s="230"/>
      <c r="AC1241" s="1936"/>
      <c r="AD1241" s="230"/>
      <c r="AE1241" s="230"/>
      <c r="AF1241" s="230"/>
      <c r="AG1241" s="890"/>
      <c r="AJ1241" s="890"/>
      <c r="AN1241" s="223"/>
      <c r="AO1241" s="952"/>
      <c r="AP1241" s="1066"/>
      <c r="AQ1241" s="972"/>
      <c r="AR1241" s="1917"/>
      <c r="AS1241" s="222"/>
      <c r="AZ1241" s="889"/>
      <c r="BC1241" s="890"/>
      <c r="BD1241" s="952"/>
      <c r="BE1241" s="75"/>
      <c r="BF1241" s="572"/>
      <c r="BG1241" s="983"/>
      <c r="BH1241" s="222"/>
      <c r="BL1241" s="889"/>
      <c r="BO1241" s="223"/>
    </row>
    <row r="1242" spans="1:67" s="74" customFormat="1">
      <c r="A1242" s="15"/>
      <c r="B1242" s="15"/>
      <c r="C1242" s="15"/>
      <c r="D1242" s="15"/>
      <c r="E1242" s="6"/>
      <c r="F1242" s="6"/>
      <c r="G1242" s="6"/>
      <c r="K1242" s="223"/>
      <c r="M1242" s="889"/>
      <c r="P1242" s="890"/>
      <c r="T1242" s="889"/>
      <c r="X1242" s="15"/>
      <c r="Y1242" s="1935"/>
      <c r="Z1242" s="1086"/>
      <c r="AA1242" s="230"/>
      <c r="AB1242" s="230"/>
      <c r="AC1242" s="1936"/>
      <c r="AD1242" s="230"/>
      <c r="AE1242" s="230"/>
      <c r="AF1242" s="230"/>
      <c r="AG1242" s="890"/>
      <c r="AJ1242" s="890"/>
      <c r="AN1242" s="223"/>
      <c r="AO1242" s="952"/>
      <c r="AP1242" s="1066"/>
      <c r="AQ1242" s="972"/>
      <c r="AR1242" s="1917"/>
      <c r="AS1242" s="222"/>
      <c r="AZ1242" s="889"/>
      <c r="BC1242" s="890"/>
      <c r="BD1242" s="952"/>
      <c r="BE1242" s="75"/>
      <c r="BF1242" s="572"/>
      <c r="BG1242" s="983"/>
      <c r="BH1242" s="222"/>
      <c r="BL1242" s="889"/>
      <c r="BO1242" s="223"/>
    </row>
    <row r="1243" spans="1:67" s="74" customFormat="1">
      <c r="A1243" s="15"/>
      <c r="B1243" s="15"/>
      <c r="C1243" s="15"/>
      <c r="D1243" s="15"/>
      <c r="E1243" s="6"/>
      <c r="F1243" s="6"/>
      <c r="G1243" s="6"/>
      <c r="K1243" s="223"/>
      <c r="M1243" s="889"/>
      <c r="P1243" s="890"/>
      <c r="T1243" s="889"/>
      <c r="X1243" s="15"/>
      <c r="Y1243" s="1935"/>
      <c r="Z1243" s="1086"/>
      <c r="AA1243" s="230"/>
      <c r="AB1243" s="230"/>
      <c r="AC1243" s="1936"/>
      <c r="AD1243" s="230"/>
      <c r="AE1243" s="230"/>
      <c r="AF1243" s="230"/>
      <c r="AG1243" s="890"/>
      <c r="AJ1243" s="890"/>
      <c r="AN1243" s="223"/>
      <c r="AO1243" s="952"/>
      <c r="AP1243" s="1066"/>
      <c r="AQ1243" s="972"/>
      <c r="AR1243" s="1917"/>
      <c r="AS1243" s="222"/>
      <c r="AZ1243" s="889"/>
      <c r="BC1243" s="890"/>
      <c r="BD1243" s="952"/>
      <c r="BE1243" s="75"/>
      <c r="BF1243" s="572"/>
      <c r="BG1243" s="983"/>
      <c r="BH1243" s="222"/>
      <c r="BL1243" s="889"/>
      <c r="BO1243" s="223"/>
    </row>
    <row r="1244" spans="1:67" s="74" customFormat="1">
      <c r="A1244" s="15"/>
      <c r="B1244" s="15"/>
      <c r="C1244" s="15"/>
      <c r="D1244" s="15"/>
      <c r="E1244" s="6"/>
      <c r="F1244" s="6"/>
      <c r="G1244" s="6"/>
      <c r="K1244" s="223"/>
      <c r="M1244" s="889"/>
      <c r="P1244" s="890"/>
      <c r="T1244" s="889"/>
      <c r="X1244" s="15"/>
      <c r="Y1244" s="1935"/>
      <c r="Z1244" s="1086"/>
      <c r="AA1244" s="230"/>
      <c r="AB1244" s="230"/>
      <c r="AC1244" s="1936"/>
      <c r="AD1244" s="230"/>
      <c r="AE1244" s="230"/>
      <c r="AF1244" s="230"/>
      <c r="AG1244" s="890"/>
      <c r="AJ1244" s="890"/>
      <c r="AN1244" s="223"/>
      <c r="AO1244" s="952"/>
      <c r="AP1244" s="1066"/>
      <c r="AQ1244" s="972"/>
      <c r="AR1244" s="1917"/>
      <c r="AS1244" s="222"/>
      <c r="AZ1244" s="889"/>
      <c r="BC1244" s="890"/>
      <c r="BD1244" s="952"/>
      <c r="BE1244" s="75"/>
      <c r="BF1244" s="572"/>
      <c r="BG1244" s="983"/>
      <c r="BH1244" s="222"/>
      <c r="BL1244" s="889"/>
      <c r="BO1244" s="223"/>
    </row>
    <row r="1245" spans="1:67" s="74" customFormat="1">
      <c r="A1245" s="15"/>
      <c r="B1245" s="15"/>
      <c r="C1245" s="15"/>
      <c r="D1245" s="15"/>
      <c r="E1245" s="6"/>
      <c r="F1245" s="6"/>
      <c r="G1245" s="6"/>
      <c r="K1245" s="223"/>
      <c r="M1245" s="889"/>
      <c r="P1245" s="890"/>
      <c r="T1245" s="889"/>
      <c r="X1245" s="15"/>
      <c r="Y1245" s="1935"/>
      <c r="Z1245" s="1086"/>
      <c r="AA1245" s="230"/>
      <c r="AB1245" s="230"/>
      <c r="AC1245" s="1936"/>
      <c r="AD1245" s="230"/>
      <c r="AE1245" s="230"/>
      <c r="AF1245" s="230"/>
      <c r="AG1245" s="890"/>
      <c r="AJ1245" s="890"/>
      <c r="AN1245" s="223"/>
      <c r="AO1245" s="952"/>
      <c r="AP1245" s="1066"/>
      <c r="AQ1245" s="972"/>
      <c r="AR1245" s="1917"/>
      <c r="AS1245" s="222"/>
      <c r="AZ1245" s="889"/>
      <c r="BC1245" s="890"/>
      <c r="BD1245" s="952"/>
      <c r="BE1245" s="75"/>
      <c r="BF1245" s="572"/>
      <c r="BG1245" s="983"/>
      <c r="BH1245" s="222"/>
      <c r="BL1245" s="889"/>
      <c r="BO1245" s="223"/>
    </row>
    <row r="1246" spans="1:67" s="74" customFormat="1">
      <c r="A1246" s="15"/>
      <c r="B1246" s="15"/>
      <c r="C1246" s="15"/>
      <c r="D1246" s="15"/>
      <c r="E1246" s="6"/>
      <c r="F1246" s="6"/>
      <c r="G1246" s="6"/>
      <c r="K1246" s="223"/>
      <c r="M1246" s="889"/>
      <c r="P1246" s="890"/>
      <c r="T1246" s="889"/>
      <c r="X1246" s="15"/>
      <c r="Y1246" s="1935"/>
      <c r="Z1246" s="1086"/>
      <c r="AA1246" s="230"/>
      <c r="AB1246" s="230"/>
      <c r="AC1246" s="1936"/>
      <c r="AD1246" s="230"/>
      <c r="AE1246" s="230"/>
      <c r="AF1246" s="230"/>
      <c r="AG1246" s="890"/>
      <c r="AJ1246" s="890"/>
      <c r="AN1246" s="223"/>
      <c r="AO1246" s="952"/>
      <c r="AP1246" s="1066"/>
      <c r="AQ1246" s="972"/>
      <c r="AR1246" s="1917"/>
      <c r="AS1246" s="222"/>
      <c r="AZ1246" s="889"/>
      <c r="BC1246" s="890"/>
      <c r="BD1246" s="952"/>
      <c r="BE1246" s="75"/>
      <c r="BF1246" s="572"/>
      <c r="BG1246" s="983"/>
      <c r="BH1246" s="222"/>
      <c r="BL1246" s="889"/>
      <c r="BO1246" s="223"/>
    </row>
    <row r="1247" spans="1:67" s="74" customFormat="1">
      <c r="A1247" s="15"/>
      <c r="B1247" s="15"/>
      <c r="C1247" s="15"/>
      <c r="D1247" s="15"/>
      <c r="E1247" s="6"/>
      <c r="F1247" s="6"/>
      <c r="G1247" s="6"/>
      <c r="K1247" s="223"/>
      <c r="M1247" s="889"/>
      <c r="P1247" s="890"/>
      <c r="T1247" s="889"/>
      <c r="X1247" s="15"/>
      <c r="Y1247" s="1935"/>
      <c r="Z1247" s="1086"/>
      <c r="AA1247" s="230"/>
      <c r="AB1247" s="230"/>
      <c r="AC1247" s="1936"/>
      <c r="AD1247" s="230"/>
      <c r="AE1247" s="230"/>
      <c r="AF1247" s="230"/>
      <c r="AG1247" s="890"/>
      <c r="AJ1247" s="890"/>
      <c r="AN1247" s="223"/>
      <c r="AO1247" s="952"/>
      <c r="AP1247" s="1066"/>
      <c r="AQ1247" s="972"/>
      <c r="AR1247" s="1917"/>
      <c r="AS1247" s="222"/>
      <c r="AZ1247" s="889"/>
      <c r="BC1247" s="890"/>
      <c r="BD1247" s="952"/>
      <c r="BE1247" s="75"/>
      <c r="BF1247" s="572"/>
      <c r="BG1247" s="983"/>
      <c r="BH1247" s="222"/>
      <c r="BL1247" s="889"/>
      <c r="BO1247" s="223"/>
    </row>
    <row r="1248" spans="1:67" s="74" customFormat="1">
      <c r="A1248" s="15"/>
      <c r="B1248" s="15"/>
      <c r="C1248" s="15"/>
      <c r="D1248" s="15"/>
      <c r="E1248" s="6"/>
      <c r="F1248" s="6"/>
      <c r="G1248" s="6"/>
      <c r="K1248" s="223"/>
      <c r="M1248" s="889"/>
      <c r="P1248" s="890"/>
      <c r="T1248" s="889"/>
      <c r="X1248" s="15"/>
      <c r="Y1248" s="1935"/>
      <c r="Z1248" s="1086"/>
      <c r="AA1248" s="230"/>
      <c r="AB1248" s="230"/>
      <c r="AC1248" s="1936"/>
      <c r="AD1248" s="230"/>
      <c r="AE1248" s="230"/>
      <c r="AF1248" s="230"/>
      <c r="AG1248" s="890"/>
      <c r="AJ1248" s="890"/>
      <c r="AN1248" s="223"/>
      <c r="AO1248" s="952"/>
      <c r="AP1248" s="1066"/>
      <c r="AQ1248" s="972"/>
      <c r="AR1248" s="1917"/>
      <c r="AS1248" s="222"/>
      <c r="AZ1248" s="889"/>
      <c r="BC1248" s="890"/>
      <c r="BD1248" s="952"/>
      <c r="BE1248" s="75"/>
      <c r="BF1248" s="572"/>
      <c r="BG1248" s="983"/>
      <c r="BH1248" s="222"/>
      <c r="BL1248" s="889"/>
      <c r="BO1248" s="223"/>
    </row>
    <row r="1249" spans="1:67" s="74" customFormat="1">
      <c r="A1249" s="15"/>
      <c r="B1249" s="15"/>
      <c r="C1249" s="15"/>
      <c r="D1249" s="15"/>
      <c r="E1249" s="6"/>
      <c r="F1249" s="6"/>
      <c r="G1249" s="6"/>
      <c r="K1249" s="223"/>
      <c r="M1249" s="889"/>
      <c r="P1249" s="890"/>
      <c r="T1249" s="889"/>
      <c r="X1249" s="15"/>
      <c r="Y1249" s="1935"/>
      <c r="Z1249" s="1086"/>
      <c r="AA1249" s="230"/>
      <c r="AB1249" s="230"/>
      <c r="AC1249" s="1936"/>
      <c r="AD1249" s="230"/>
      <c r="AE1249" s="230"/>
      <c r="AF1249" s="230"/>
      <c r="AG1249" s="890"/>
      <c r="AJ1249" s="890"/>
      <c r="AN1249" s="223"/>
      <c r="AO1249" s="952"/>
      <c r="AP1249" s="1066"/>
      <c r="AQ1249" s="972"/>
      <c r="AR1249" s="1917"/>
      <c r="AS1249" s="222"/>
      <c r="AZ1249" s="889"/>
      <c r="BC1249" s="890"/>
      <c r="BD1249" s="952"/>
      <c r="BE1249" s="75"/>
      <c r="BF1249" s="572"/>
      <c r="BG1249" s="983"/>
      <c r="BH1249" s="222"/>
      <c r="BL1249" s="889"/>
      <c r="BO1249" s="223"/>
    </row>
    <row r="1250" spans="1:67" s="74" customFormat="1">
      <c r="A1250" s="15"/>
      <c r="B1250" s="15"/>
      <c r="C1250" s="15"/>
      <c r="D1250" s="15"/>
      <c r="E1250" s="6"/>
      <c r="F1250" s="6"/>
      <c r="G1250" s="6"/>
      <c r="K1250" s="223"/>
      <c r="M1250" s="889"/>
      <c r="P1250" s="890"/>
      <c r="T1250" s="889"/>
      <c r="X1250" s="15"/>
      <c r="Y1250" s="1935"/>
      <c r="Z1250" s="1086"/>
      <c r="AA1250" s="230"/>
      <c r="AB1250" s="230"/>
      <c r="AC1250" s="1936"/>
      <c r="AD1250" s="230"/>
      <c r="AE1250" s="230"/>
      <c r="AF1250" s="230"/>
      <c r="AG1250" s="890"/>
      <c r="AJ1250" s="890"/>
      <c r="AN1250" s="223"/>
      <c r="AO1250" s="952"/>
      <c r="AP1250" s="1066"/>
      <c r="AQ1250" s="972"/>
      <c r="AR1250" s="1917"/>
      <c r="AS1250" s="222"/>
      <c r="AZ1250" s="889"/>
      <c r="BC1250" s="890"/>
      <c r="BD1250" s="952"/>
      <c r="BE1250" s="75"/>
      <c r="BF1250" s="572"/>
      <c r="BG1250" s="983"/>
      <c r="BH1250" s="222"/>
      <c r="BL1250" s="889"/>
      <c r="BO1250" s="223"/>
    </row>
    <row r="1251" spans="1:67" s="74" customFormat="1">
      <c r="A1251" s="15"/>
      <c r="B1251" s="15"/>
      <c r="C1251" s="15"/>
      <c r="D1251" s="15"/>
      <c r="E1251" s="6"/>
      <c r="F1251" s="6"/>
      <c r="G1251" s="6"/>
      <c r="K1251" s="223"/>
      <c r="M1251" s="889"/>
      <c r="P1251" s="890"/>
      <c r="T1251" s="889"/>
      <c r="X1251" s="15"/>
      <c r="Y1251" s="1935"/>
      <c r="Z1251" s="1086"/>
      <c r="AA1251" s="230"/>
      <c r="AB1251" s="230"/>
      <c r="AC1251" s="1936"/>
      <c r="AD1251" s="230"/>
      <c r="AE1251" s="230"/>
      <c r="AF1251" s="230"/>
      <c r="AG1251" s="890"/>
      <c r="AJ1251" s="890"/>
      <c r="AN1251" s="223"/>
      <c r="AO1251" s="952"/>
      <c r="AP1251" s="1066"/>
      <c r="AQ1251" s="972"/>
      <c r="AR1251" s="1917"/>
      <c r="AS1251" s="222"/>
      <c r="AZ1251" s="889"/>
      <c r="BC1251" s="890"/>
      <c r="BD1251" s="952"/>
      <c r="BE1251" s="75"/>
      <c r="BF1251" s="572"/>
      <c r="BG1251" s="983"/>
      <c r="BH1251" s="222"/>
      <c r="BL1251" s="889"/>
      <c r="BO1251" s="223"/>
    </row>
    <row r="1252" spans="1:67" s="74" customFormat="1">
      <c r="A1252" s="15"/>
      <c r="B1252" s="15"/>
      <c r="C1252" s="15"/>
      <c r="D1252" s="15"/>
      <c r="E1252" s="6"/>
      <c r="F1252" s="6"/>
      <c r="G1252" s="6"/>
      <c r="K1252" s="223"/>
      <c r="M1252" s="889"/>
      <c r="P1252" s="890"/>
      <c r="T1252" s="889"/>
      <c r="X1252" s="15"/>
      <c r="Y1252" s="1935"/>
      <c r="Z1252" s="1086"/>
      <c r="AA1252" s="230"/>
      <c r="AB1252" s="230"/>
      <c r="AC1252" s="1936"/>
      <c r="AD1252" s="230"/>
      <c r="AE1252" s="230"/>
      <c r="AF1252" s="230"/>
      <c r="AG1252" s="890"/>
      <c r="AJ1252" s="890"/>
      <c r="AN1252" s="223"/>
      <c r="AO1252" s="952"/>
      <c r="AP1252" s="1066"/>
      <c r="AQ1252" s="972"/>
      <c r="AR1252" s="1917"/>
      <c r="AS1252" s="222"/>
      <c r="AZ1252" s="889"/>
      <c r="BC1252" s="890"/>
      <c r="BD1252" s="952"/>
      <c r="BE1252" s="75"/>
      <c r="BF1252" s="572"/>
      <c r="BG1252" s="983"/>
      <c r="BH1252" s="222"/>
      <c r="BL1252" s="889"/>
      <c r="BO1252" s="223"/>
    </row>
    <row r="1253" spans="1:67" s="74" customFormat="1">
      <c r="A1253" s="15"/>
      <c r="B1253" s="15"/>
      <c r="C1253" s="15"/>
      <c r="D1253" s="15"/>
      <c r="E1253" s="6"/>
      <c r="F1253" s="6"/>
      <c r="G1253" s="6"/>
      <c r="K1253" s="223"/>
      <c r="M1253" s="889"/>
      <c r="P1253" s="890"/>
      <c r="T1253" s="889"/>
      <c r="X1253" s="15"/>
      <c r="Y1253" s="1935"/>
      <c r="Z1253" s="1086"/>
      <c r="AA1253" s="230"/>
      <c r="AB1253" s="230"/>
      <c r="AC1253" s="1936"/>
      <c r="AD1253" s="230"/>
      <c r="AE1253" s="230"/>
      <c r="AF1253" s="230"/>
      <c r="AG1253" s="890"/>
      <c r="AJ1253" s="890"/>
      <c r="AN1253" s="223"/>
      <c r="AO1253" s="952"/>
      <c r="AP1253" s="1066"/>
      <c r="AQ1253" s="972"/>
      <c r="AR1253" s="1917"/>
      <c r="AS1253" s="222"/>
      <c r="AZ1253" s="889"/>
      <c r="BC1253" s="890"/>
      <c r="BD1253" s="952"/>
      <c r="BE1253" s="75"/>
      <c r="BF1253" s="572"/>
      <c r="BG1253" s="983"/>
      <c r="BH1253" s="222"/>
      <c r="BL1253" s="889"/>
      <c r="BO1253" s="223"/>
    </row>
    <row r="1254" spans="1:67" s="74" customFormat="1">
      <c r="A1254" s="15"/>
      <c r="B1254" s="15"/>
      <c r="C1254" s="15"/>
      <c r="D1254" s="15"/>
      <c r="E1254" s="6"/>
      <c r="F1254" s="6"/>
      <c r="G1254" s="6"/>
      <c r="K1254" s="223"/>
      <c r="M1254" s="889"/>
      <c r="P1254" s="890"/>
      <c r="T1254" s="889"/>
      <c r="X1254" s="15"/>
      <c r="Y1254" s="1935"/>
      <c r="Z1254" s="1086"/>
      <c r="AA1254" s="230"/>
      <c r="AB1254" s="230"/>
      <c r="AC1254" s="1936"/>
      <c r="AD1254" s="230"/>
      <c r="AE1254" s="230"/>
      <c r="AF1254" s="230"/>
      <c r="AG1254" s="890"/>
      <c r="AJ1254" s="890"/>
      <c r="AN1254" s="223"/>
      <c r="AO1254" s="952"/>
      <c r="AP1254" s="1066"/>
      <c r="AQ1254" s="972"/>
      <c r="AR1254" s="1917"/>
      <c r="AS1254" s="222"/>
      <c r="AZ1254" s="889"/>
      <c r="BC1254" s="890"/>
      <c r="BD1254" s="952"/>
      <c r="BE1254" s="75"/>
      <c r="BF1254" s="572"/>
      <c r="BG1254" s="983"/>
      <c r="BH1254" s="222"/>
      <c r="BL1254" s="889"/>
      <c r="BO1254" s="223"/>
    </row>
    <row r="1255" spans="1:67" s="74" customFormat="1">
      <c r="A1255" s="15"/>
      <c r="B1255" s="15"/>
      <c r="C1255" s="15"/>
      <c r="D1255" s="15"/>
      <c r="E1255" s="6"/>
      <c r="F1255" s="6"/>
      <c r="G1255" s="6"/>
      <c r="K1255" s="223"/>
      <c r="M1255" s="889"/>
      <c r="P1255" s="890"/>
      <c r="T1255" s="889"/>
      <c r="X1255" s="15"/>
      <c r="Y1255" s="1935"/>
      <c r="Z1255" s="1086"/>
      <c r="AA1255" s="230"/>
      <c r="AB1255" s="230"/>
      <c r="AC1255" s="1936"/>
      <c r="AD1255" s="230"/>
      <c r="AE1255" s="230"/>
      <c r="AF1255" s="230"/>
      <c r="AG1255" s="890"/>
      <c r="AJ1255" s="890"/>
      <c r="AN1255" s="223"/>
      <c r="AO1255" s="952"/>
      <c r="AP1255" s="1066"/>
      <c r="AQ1255" s="972"/>
      <c r="AR1255" s="1917"/>
      <c r="AS1255" s="222"/>
      <c r="AZ1255" s="889"/>
      <c r="BC1255" s="890"/>
      <c r="BD1255" s="952"/>
      <c r="BE1255" s="75"/>
      <c r="BF1255" s="572"/>
      <c r="BG1255" s="983"/>
      <c r="BH1255" s="222"/>
      <c r="BL1255" s="889"/>
      <c r="BO1255" s="223"/>
    </row>
    <row r="1256" spans="1:67" s="74" customFormat="1">
      <c r="A1256" s="15"/>
      <c r="B1256" s="15"/>
      <c r="C1256" s="15"/>
      <c r="D1256" s="15"/>
      <c r="E1256" s="6"/>
      <c r="F1256" s="6"/>
      <c r="G1256" s="6"/>
      <c r="K1256" s="223"/>
      <c r="M1256" s="889"/>
      <c r="P1256" s="890"/>
      <c r="T1256" s="889"/>
      <c r="X1256" s="15"/>
      <c r="Y1256" s="1935"/>
      <c r="Z1256" s="1086"/>
      <c r="AA1256" s="230"/>
      <c r="AB1256" s="230"/>
      <c r="AC1256" s="1936"/>
      <c r="AD1256" s="230"/>
      <c r="AE1256" s="230"/>
      <c r="AF1256" s="230"/>
      <c r="AG1256" s="890"/>
      <c r="AJ1256" s="890"/>
      <c r="AN1256" s="223"/>
      <c r="AO1256" s="952"/>
      <c r="AP1256" s="1066"/>
      <c r="AQ1256" s="972"/>
      <c r="AR1256" s="1917"/>
      <c r="AS1256" s="222"/>
      <c r="AZ1256" s="889"/>
      <c r="BC1256" s="890"/>
      <c r="BD1256" s="952"/>
      <c r="BE1256" s="75"/>
      <c r="BF1256" s="572"/>
      <c r="BG1256" s="983"/>
      <c r="BH1256" s="222"/>
      <c r="BL1256" s="889"/>
      <c r="BO1256" s="223"/>
    </row>
    <row r="1257" spans="1:67" s="74" customFormat="1">
      <c r="A1257" s="15"/>
      <c r="B1257" s="15"/>
      <c r="C1257" s="15"/>
      <c r="D1257" s="15"/>
      <c r="E1257" s="6"/>
      <c r="F1257" s="6"/>
      <c r="G1257" s="6"/>
      <c r="K1257" s="223"/>
      <c r="M1257" s="889"/>
      <c r="P1257" s="890"/>
      <c r="T1257" s="889"/>
      <c r="X1257" s="15"/>
      <c r="Y1257" s="1935"/>
      <c r="Z1257" s="1086"/>
      <c r="AA1257" s="230"/>
      <c r="AB1257" s="230"/>
      <c r="AC1257" s="1936"/>
      <c r="AD1257" s="230"/>
      <c r="AE1257" s="230"/>
      <c r="AF1257" s="230"/>
      <c r="AG1257" s="890"/>
      <c r="AJ1257" s="890"/>
      <c r="AN1257" s="223"/>
      <c r="AO1257" s="952"/>
      <c r="AP1257" s="1066"/>
      <c r="AQ1257" s="972"/>
      <c r="AR1257" s="1917"/>
      <c r="AS1257" s="222"/>
      <c r="AZ1257" s="889"/>
      <c r="BC1257" s="890"/>
      <c r="BD1257" s="952"/>
      <c r="BE1257" s="75"/>
      <c r="BF1257" s="572"/>
      <c r="BG1257" s="983"/>
      <c r="BH1257" s="222"/>
      <c r="BL1257" s="889"/>
      <c r="BO1257" s="223"/>
    </row>
    <row r="1258" spans="1:67" s="74" customFormat="1">
      <c r="A1258" s="15"/>
      <c r="B1258" s="15"/>
      <c r="C1258" s="15"/>
      <c r="D1258" s="15"/>
      <c r="E1258" s="6"/>
      <c r="F1258" s="6"/>
      <c r="G1258" s="6"/>
      <c r="K1258" s="223"/>
      <c r="M1258" s="889"/>
      <c r="P1258" s="890"/>
      <c r="T1258" s="889"/>
      <c r="X1258" s="15"/>
      <c r="Y1258" s="1935"/>
      <c r="Z1258" s="1086"/>
      <c r="AA1258" s="230"/>
      <c r="AB1258" s="230"/>
      <c r="AC1258" s="1936"/>
      <c r="AD1258" s="230"/>
      <c r="AE1258" s="230"/>
      <c r="AF1258" s="230"/>
      <c r="AG1258" s="890"/>
      <c r="AJ1258" s="890"/>
      <c r="AN1258" s="223"/>
      <c r="AO1258" s="952"/>
      <c r="AP1258" s="1066"/>
      <c r="AQ1258" s="972"/>
      <c r="AR1258" s="1917"/>
      <c r="AS1258" s="222"/>
      <c r="AZ1258" s="889"/>
      <c r="BC1258" s="890"/>
      <c r="BD1258" s="952"/>
      <c r="BE1258" s="75"/>
      <c r="BF1258" s="572"/>
      <c r="BG1258" s="983"/>
      <c r="BH1258" s="222"/>
      <c r="BL1258" s="889"/>
      <c r="BO1258" s="223"/>
    </row>
    <row r="1259" spans="1:67" s="74" customFormat="1">
      <c r="A1259" s="15"/>
      <c r="B1259" s="15"/>
      <c r="C1259" s="15"/>
      <c r="D1259" s="15"/>
      <c r="E1259" s="6"/>
      <c r="F1259" s="6"/>
      <c r="G1259" s="6"/>
      <c r="K1259" s="223"/>
      <c r="M1259" s="889"/>
      <c r="P1259" s="890"/>
      <c r="T1259" s="889"/>
      <c r="X1259" s="15"/>
      <c r="Y1259" s="1935"/>
      <c r="Z1259" s="1086"/>
      <c r="AA1259" s="230"/>
      <c r="AB1259" s="230"/>
      <c r="AC1259" s="1936"/>
      <c r="AD1259" s="230"/>
      <c r="AE1259" s="230"/>
      <c r="AF1259" s="230"/>
      <c r="AG1259" s="890"/>
      <c r="AJ1259" s="890"/>
      <c r="AN1259" s="223"/>
      <c r="AO1259" s="952"/>
      <c r="AP1259" s="1066"/>
      <c r="AQ1259" s="972"/>
      <c r="AR1259" s="1917"/>
      <c r="AS1259" s="222"/>
      <c r="AZ1259" s="889"/>
      <c r="BC1259" s="890"/>
      <c r="BD1259" s="952"/>
      <c r="BE1259" s="75"/>
      <c r="BF1259" s="572"/>
      <c r="BG1259" s="983"/>
      <c r="BH1259" s="222"/>
      <c r="BL1259" s="889"/>
      <c r="BO1259" s="223"/>
    </row>
    <row r="1260" spans="1:67" s="74" customFormat="1">
      <c r="A1260" s="15"/>
      <c r="B1260" s="15"/>
      <c r="C1260" s="15"/>
      <c r="D1260" s="15"/>
      <c r="E1260" s="6"/>
      <c r="F1260" s="6"/>
      <c r="G1260" s="6"/>
      <c r="K1260" s="223"/>
      <c r="M1260" s="889"/>
      <c r="P1260" s="890"/>
      <c r="T1260" s="889"/>
      <c r="X1260" s="15"/>
      <c r="Y1260" s="1935"/>
      <c r="Z1260" s="1086"/>
      <c r="AA1260" s="230"/>
      <c r="AB1260" s="230"/>
      <c r="AC1260" s="1936"/>
      <c r="AD1260" s="230"/>
      <c r="AE1260" s="230"/>
      <c r="AF1260" s="230"/>
      <c r="AG1260" s="890"/>
      <c r="AJ1260" s="890"/>
      <c r="AN1260" s="223"/>
      <c r="AO1260" s="952"/>
      <c r="AP1260" s="1066"/>
      <c r="AQ1260" s="972"/>
      <c r="AR1260" s="1917"/>
      <c r="AS1260" s="222"/>
      <c r="AZ1260" s="889"/>
      <c r="BC1260" s="890"/>
      <c r="BD1260" s="952"/>
      <c r="BE1260" s="75"/>
      <c r="BF1260" s="572"/>
      <c r="BG1260" s="983"/>
      <c r="BH1260" s="222"/>
      <c r="BL1260" s="889"/>
      <c r="BO1260" s="223"/>
    </row>
    <row r="1261" spans="1:67" s="74" customFormat="1">
      <c r="A1261" s="15"/>
      <c r="B1261" s="15"/>
      <c r="C1261" s="15"/>
      <c r="D1261" s="15"/>
      <c r="E1261" s="6"/>
      <c r="F1261" s="6"/>
      <c r="G1261" s="6"/>
      <c r="K1261" s="223"/>
      <c r="M1261" s="889"/>
      <c r="P1261" s="890"/>
      <c r="T1261" s="889"/>
      <c r="X1261" s="15"/>
      <c r="Y1261" s="1935"/>
      <c r="Z1261" s="1086"/>
      <c r="AA1261" s="230"/>
      <c r="AB1261" s="230"/>
      <c r="AC1261" s="1936"/>
      <c r="AD1261" s="230"/>
      <c r="AE1261" s="230"/>
      <c r="AF1261" s="230"/>
      <c r="AG1261" s="890"/>
      <c r="AJ1261" s="890"/>
      <c r="AN1261" s="223"/>
      <c r="AO1261" s="952"/>
      <c r="AP1261" s="1066"/>
      <c r="AQ1261" s="972"/>
      <c r="AR1261" s="1917"/>
      <c r="AS1261" s="222"/>
      <c r="AZ1261" s="889"/>
      <c r="BC1261" s="890"/>
      <c r="BD1261" s="952"/>
      <c r="BE1261" s="75"/>
      <c r="BF1261" s="572"/>
      <c r="BG1261" s="983"/>
      <c r="BH1261" s="222"/>
      <c r="BL1261" s="889"/>
      <c r="BO1261" s="223"/>
    </row>
    <row r="1262" spans="1:67" s="74" customFormat="1">
      <c r="A1262" s="15"/>
      <c r="B1262" s="15"/>
      <c r="C1262" s="15"/>
      <c r="D1262" s="15"/>
      <c r="E1262" s="6"/>
      <c r="F1262" s="6"/>
      <c r="G1262" s="6"/>
      <c r="K1262" s="223"/>
      <c r="M1262" s="889"/>
      <c r="P1262" s="890"/>
      <c r="T1262" s="889"/>
      <c r="X1262" s="15"/>
      <c r="Y1262" s="1935"/>
      <c r="Z1262" s="1086"/>
      <c r="AA1262" s="230"/>
      <c r="AB1262" s="230"/>
      <c r="AC1262" s="1936"/>
      <c r="AD1262" s="230"/>
      <c r="AE1262" s="230"/>
      <c r="AF1262" s="230"/>
      <c r="AG1262" s="890"/>
      <c r="AJ1262" s="890"/>
      <c r="AN1262" s="223"/>
      <c r="AO1262" s="952"/>
      <c r="AP1262" s="1066"/>
      <c r="AQ1262" s="972"/>
      <c r="AR1262" s="1917"/>
      <c r="AS1262" s="222"/>
      <c r="AZ1262" s="889"/>
      <c r="BC1262" s="890"/>
      <c r="BD1262" s="952"/>
      <c r="BE1262" s="75"/>
      <c r="BF1262" s="572"/>
      <c r="BG1262" s="983"/>
      <c r="BH1262" s="222"/>
      <c r="BL1262" s="889"/>
      <c r="BO1262" s="223"/>
    </row>
    <row r="1263" spans="1:67" s="74" customFormat="1">
      <c r="A1263" s="15"/>
      <c r="B1263" s="15"/>
      <c r="C1263" s="15"/>
      <c r="D1263" s="15"/>
      <c r="E1263" s="6"/>
      <c r="F1263" s="6"/>
      <c r="G1263" s="6"/>
      <c r="K1263" s="223"/>
      <c r="M1263" s="889"/>
      <c r="P1263" s="890"/>
      <c r="T1263" s="889"/>
      <c r="X1263" s="15"/>
      <c r="Y1263" s="1935"/>
      <c r="Z1263" s="1086"/>
      <c r="AA1263" s="230"/>
      <c r="AB1263" s="230"/>
      <c r="AC1263" s="1936"/>
      <c r="AD1263" s="230"/>
      <c r="AE1263" s="230"/>
      <c r="AF1263" s="230"/>
      <c r="AG1263" s="890"/>
      <c r="AJ1263" s="890"/>
      <c r="AN1263" s="223"/>
      <c r="AO1263" s="952"/>
      <c r="AP1263" s="1066"/>
      <c r="AQ1263" s="972"/>
      <c r="AR1263" s="1917"/>
      <c r="AS1263" s="222"/>
      <c r="AZ1263" s="889"/>
      <c r="BC1263" s="890"/>
      <c r="BD1263" s="952"/>
      <c r="BE1263" s="75"/>
      <c r="BF1263" s="572"/>
      <c r="BG1263" s="983"/>
      <c r="BH1263" s="222"/>
      <c r="BL1263" s="889"/>
      <c r="BO1263" s="223"/>
    </row>
    <row r="1264" spans="1:67" s="74" customFormat="1">
      <c r="A1264" s="15"/>
      <c r="B1264" s="15"/>
      <c r="C1264" s="15"/>
      <c r="D1264" s="15"/>
      <c r="E1264" s="6"/>
      <c r="F1264" s="6"/>
      <c r="G1264" s="6"/>
      <c r="K1264" s="223"/>
      <c r="M1264" s="889"/>
      <c r="P1264" s="890"/>
      <c r="T1264" s="889"/>
      <c r="X1264" s="15"/>
      <c r="Y1264" s="1935"/>
      <c r="Z1264" s="1086"/>
      <c r="AA1264" s="230"/>
      <c r="AB1264" s="230"/>
      <c r="AC1264" s="1936"/>
      <c r="AD1264" s="230"/>
      <c r="AE1264" s="230"/>
      <c r="AF1264" s="230"/>
      <c r="AG1264" s="890"/>
      <c r="AJ1264" s="890"/>
      <c r="AN1264" s="223"/>
      <c r="AO1264" s="952"/>
      <c r="AP1264" s="1066"/>
      <c r="AQ1264" s="972"/>
      <c r="AR1264" s="1917"/>
      <c r="AS1264" s="222"/>
      <c r="AZ1264" s="889"/>
      <c r="BC1264" s="890"/>
      <c r="BD1264" s="952"/>
      <c r="BE1264" s="75"/>
      <c r="BF1264" s="572"/>
      <c r="BG1264" s="983"/>
      <c r="BH1264" s="222"/>
      <c r="BL1264" s="889"/>
      <c r="BO1264" s="223"/>
    </row>
    <row r="1265" spans="1:67" s="74" customFormat="1">
      <c r="A1265" s="15"/>
      <c r="B1265" s="15"/>
      <c r="C1265" s="15"/>
      <c r="D1265" s="15"/>
      <c r="E1265" s="6"/>
      <c r="F1265" s="6"/>
      <c r="G1265" s="6"/>
      <c r="K1265" s="223"/>
      <c r="M1265" s="889"/>
      <c r="P1265" s="890"/>
      <c r="T1265" s="889"/>
      <c r="X1265" s="15"/>
      <c r="Y1265" s="1935"/>
      <c r="Z1265" s="1086"/>
      <c r="AA1265" s="230"/>
      <c r="AB1265" s="230"/>
      <c r="AC1265" s="1936"/>
      <c r="AD1265" s="230"/>
      <c r="AE1265" s="230"/>
      <c r="AF1265" s="230"/>
      <c r="AG1265" s="890"/>
      <c r="AJ1265" s="890"/>
      <c r="AN1265" s="223"/>
      <c r="AO1265" s="952"/>
      <c r="AP1265" s="1066"/>
      <c r="AQ1265" s="972"/>
      <c r="AR1265" s="1917"/>
      <c r="AS1265" s="222"/>
      <c r="AZ1265" s="889"/>
      <c r="BC1265" s="890"/>
      <c r="BD1265" s="952"/>
      <c r="BE1265" s="75"/>
      <c r="BF1265" s="572"/>
      <c r="BG1265" s="983"/>
      <c r="BH1265" s="222"/>
      <c r="BL1265" s="889"/>
      <c r="BO1265" s="223"/>
    </row>
    <row r="1266" spans="1:67" s="74" customFormat="1">
      <c r="A1266" s="15"/>
      <c r="B1266" s="15"/>
      <c r="C1266" s="15"/>
      <c r="D1266" s="15"/>
      <c r="E1266" s="6"/>
      <c r="F1266" s="6"/>
      <c r="G1266" s="6"/>
      <c r="K1266" s="223"/>
      <c r="M1266" s="889"/>
      <c r="P1266" s="890"/>
      <c r="T1266" s="889"/>
      <c r="X1266" s="15"/>
      <c r="Y1266" s="1935"/>
      <c r="Z1266" s="1086"/>
      <c r="AA1266" s="230"/>
      <c r="AB1266" s="230"/>
      <c r="AC1266" s="1936"/>
      <c r="AD1266" s="230"/>
      <c r="AE1266" s="230"/>
      <c r="AF1266" s="230"/>
      <c r="AG1266" s="890"/>
      <c r="AJ1266" s="890"/>
      <c r="AN1266" s="223"/>
      <c r="AO1266" s="952"/>
      <c r="AP1266" s="1066"/>
      <c r="AQ1266" s="972"/>
      <c r="AR1266" s="1917"/>
      <c r="AS1266" s="222"/>
      <c r="AZ1266" s="889"/>
      <c r="BC1266" s="890"/>
      <c r="BD1266" s="952"/>
      <c r="BE1266" s="75"/>
      <c r="BF1266" s="572"/>
      <c r="BG1266" s="983"/>
      <c r="BH1266" s="222"/>
      <c r="BL1266" s="889"/>
      <c r="BO1266" s="223"/>
    </row>
    <row r="1267" spans="1:67" s="74" customFormat="1">
      <c r="A1267" s="15"/>
      <c r="B1267" s="15"/>
      <c r="C1267" s="15"/>
      <c r="D1267" s="15"/>
      <c r="E1267" s="6"/>
      <c r="F1267" s="6"/>
      <c r="G1267" s="6"/>
      <c r="K1267" s="223"/>
      <c r="M1267" s="889"/>
      <c r="P1267" s="890"/>
      <c r="T1267" s="889"/>
      <c r="X1267" s="15"/>
      <c r="Y1267" s="1935"/>
      <c r="Z1267" s="1086"/>
      <c r="AA1267" s="230"/>
      <c r="AB1267" s="230"/>
      <c r="AC1267" s="1936"/>
      <c r="AD1267" s="230"/>
      <c r="AE1267" s="230"/>
      <c r="AF1267" s="230"/>
      <c r="AG1267" s="890"/>
      <c r="AJ1267" s="890"/>
      <c r="AN1267" s="223"/>
      <c r="AO1267" s="952"/>
      <c r="AP1267" s="1066"/>
      <c r="AQ1267" s="972"/>
      <c r="AR1267" s="1917"/>
      <c r="AS1267" s="222"/>
      <c r="AZ1267" s="889"/>
      <c r="BC1267" s="890"/>
      <c r="BD1267" s="952"/>
      <c r="BE1267" s="75"/>
      <c r="BF1267" s="572"/>
      <c r="BG1267" s="983"/>
      <c r="BH1267" s="222"/>
      <c r="BL1267" s="889"/>
      <c r="BO1267" s="223"/>
    </row>
    <row r="1268" spans="1:67" s="74" customFormat="1">
      <c r="A1268" s="15"/>
      <c r="B1268" s="15"/>
      <c r="C1268" s="15"/>
      <c r="D1268" s="15"/>
      <c r="E1268" s="6"/>
      <c r="F1268" s="6"/>
      <c r="G1268" s="6"/>
      <c r="K1268" s="223"/>
      <c r="M1268" s="889"/>
      <c r="P1268" s="890"/>
      <c r="T1268" s="889"/>
      <c r="X1268" s="15"/>
      <c r="Y1268" s="1935"/>
      <c r="Z1268" s="1086"/>
      <c r="AA1268" s="230"/>
      <c r="AB1268" s="230"/>
      <c r="AC1268" s="1936"/>
      <c r="AD1268" s="230"/>
      <c r="AE1268" s="230"/>
      <c r="AF1268" s="230"/>
      <c r="AG1268" s="890"/>
      <c r="AJ1268" s="890"/>
      <c r="AN1268" s="223"/>
      <c r="AO1268" s="952"/>
      <c r="AP1268" s="1066"/>
      <c r="AQ1268" s="972"/>
      <c r="AR1268" s="1917"/>
      <c r="AS1268" s="222"/>
      <c r="AZ1268" s="889"/>
      <c r="BC1268" s="890"/>
      <c r="BD1268" s="952"/>
      <c r="BE1268" s="75"/>
      <c r="BF1268" s="572"/>
      <c r="BG1268" s="983"/>
      <c r="BH1268" s="222"/>
      <c r="BL1268" s="889"/>
      <c r="BO1268" s="223"/>
    </row>
    <row r="1269" spans="1:67" s="74" customFormat="1">
      <c r="A1269" s="15"/>
      <c r="B1269" s="15"/>
      <c r="C1269" s="15"/>
      <c r="D1269" s="15"/>
      <c r="E1269" s="6"/>
      <c r="F1269" s="6"/>
      <c r="G1269" s="6"/>
      <c r="K1269" s="223"/>
      <c r="M1269" s="889"/>
      <c r="P1269" s="890"/>
      <c r="T1269" s="889"/>
      <c r="X1269" s="15"/>
      <c r="Y1269" s="1935"/>
      <c r="Z1269" s="1086"/>
      <c r="AA1269" s="230"/>
      <c r="AB1269" s="230"/>
      <c r="AC1269" s="1936"/>
      <c r="AD1269" s="230"/>
      <c r="AE1269" s="230"/>
      <c r="AF1269" s="230"/>
      <c r="AG1269" s="890"/>
      <c r="AJ1269" s="890"/>
      <c r="AN1269" s="223"/>
      <c r="AO1269" s="952"/>
      <c r="AP1269" s="1066"/>
      <c r="AQ1269" s="972"/>
      <c r="AR1269" s="1917"/>
      <c r="AS1269" s="222"/>
      <c r="AZ1269" s="889"/>
      <c r="BC1269" s="890"/>
      <c r="BD1269" s="952"/>
      <c r="BE1269" s="75"/>
      <c r="BF1269" s="572"/>
      <c r="BG1269" s="983"/>
      <c r="BH1269" s="222"/>
      <c r="BL1269" s="889"/>
      <c r="BO1269" s="223"/>
    </row>
    <row r="1270" spans="1:67" s="74" customFormat="1">
      <c r="A1270" s="15"/>
      <c r="B1270" s="15"/>
      <c r="C1270" s="15"/>
      <c r="D1270" s="15"/>
      <c r="E1270" s="6"/>
      <c r="F1270" s="6"/>
      <c r="G1270" s="6"/>
      <c r="K1270" s="223"/>
      <c r="M1270" s="889"/>
      <c r="P1270" s="890"/>
      <c r="T1270" s="889"/>
      <c r="X1270" s="15"/>
      <c r="Y1270" s="1935"/>
      <c r="Z1270" s="1086"/>
      <c r="AA1270" s="230"/>
      <c r="AB1270" s="230"/>
      <c r="AC1270" s="1936"/>
      <c r="AD1270" s="230"/>
      <c r="AE1270" s="230"/>
      <c r="AF1270" s="230"/>
      <c r="AG1270" s="890"/>
      <c r="AJ1270" s="890"/>
      <c r="AN1270" s="223"/>
      <c r="AO1270" s="952"/>
      <c r="AP1270" s="1066"/>
      <c r="AQ1270" s="972"/>
      <c r="AR1270" s="1917"/>
      <c r="AS1270" s="222"/>
      <c r="AZ1270" s="889"/>
      <c r="BC1270" s="890"/>
      <c r="BD1270" s="952"/>
      <c r="BE1270" s="75"/>
      <c r="BF1270" s="572"/>
      <c r="BG1270" s="983"/>
      <c r="BH1270" s="222"/>
      <c r="BL1270" s="889"/>
      <c r="BO1270" s="223"/>
    </row>
    <row r="1271" spans="1:67" s="74" customFormat="1">
      <c r="A1271" s="15"/>
      <c r="B1271" s="15"/>
      <c r="C1271" s="15"/>
      <c r="D1271" s="15"/>
      <c r="E1271" s="6"/>
      <c r="F1271" s="6"/>
      <c r="G1271" s="6"/>
      <c r="K1271" s="223"/>
      <c r="M1271" s="889"/>
      <c r="P1271" s="890"/>
      <c r="T1271" s="889"/>
      <c r="X1271" s="15"/>
      <c r="Y1271" s="1935"/>
      <c r="Z1271" s="1086"/>
      <c r="AA1271" s="230"/>
      <c r="AB1271" s="230"/>
      <c r="AC1271" s="1936"/>
      <c r="AD1271" s="230"/>
      <c r="AE1271" s="230"/>
      <c r="AF1271" s="230"/>
      <c r="AG1271" s="890"/>
      <c r="AJ1271" s="890"/>
      <c r="AN1271" s="223"/>
      <c r="AO1271" s="952"/>
      <c r="AP1271" s="1066"/>
      <c r="AQ1271" s="972"/>
      <c r="AR1271" s="1917"/>
      <c r="AS1271" s="222"/>
      <c r="AZ1271" s="889"/>
      <c r="BC1271" s="890"/>
      <c r="BD1271" s="952"/>
      <c r="BE1271" s="75"/>
      <c r="BF1271" s="572"/>
      <c r="BG1271" s="983"/>
      <c r="BH1271" s="222"/>
      <c r="BL1271" s="889"/>
      <c r="BO1271" s="223"/>
    </row>
    <row r="1272" spans="1:67" s="74" customFormat="1">
      <c r="A1272" s="15"/>
      <c r="B1272" s="15"/>
      <c r="C1272" s="15"/>
      <c r="D1272" s="15"/>
      <c r="E1272" s="6"/>
      <c r="F1272" s="6"/>
      <c r="G1272" s="6"/>
      <c r="K1272" s="223"/>
      <c r="M1272" s="889"/>
      <c r="P1272" s="890"/>
      <c r="T1272" s="889"/>
      <c r="X1272" s="15"/>
      <c r="Y1272" s="1935"/>
      <c r="Z1272" s="1086"/>
      <c r="AA1272" s="230"/>
      <c r="AB1272" s="230"/>
      <c r="AC1272" s="1936"/>
      <c r="AD1272" s="230"/>
      <c r="AE1272" s="230"/>
      <c r="AF1272" s="230"/>
      <c r="AG1272" s="890"/>
      <c r="AJ1272" s="890"/>
      <c r="AN1272" s="223"/>
      <c r="AO1272" s="952"/>
      <c r="AP1272" s="1066"/>
      <c r="AQ1272" s="972"/>
      <c r="AR1272" s="1917"/>
      <c r="AS1272" s="222"/>
      <c r="AZ1272" s="889"/>
      <c r="BC1272" s="890"/>
      <c r="BD1272" s="952"/>
      <c r="BE1272" s="75"/>
      <c r="BF1272" s="572"/>
      <c r="BG1272" s="983"/>
      <c r="BH1272" s="222"/>
      <c r="BL1272" s="889"/>
      <c r="BO1272" s="223"/>
    </row>
    <row r="1273" spans="1:67" s="74" customFormat="1">
      <c r="A1273" s="15"/>
      <c r="B1273" s="15"/>
      <c r="C1273" s="15"/>
      <c r="D1273" s="15"/>
      <c r="E1273" s="6"/>
      <c r="F1273" s="6"/>
      <c r="G1273" s="6"/>
      <c r="K1273" s="223"/>
      <c r="M1273" s="889"/>
      <c r="P1273" s="890"/>
      <c r="T1273" s="889"/>
      <c r="X1273" s="15"/>
      <c r="Y1273" s="1935"/>
      <c r="Z1273" s="1086"/>
      <c r="AA1273" s="230"/>
      <c r="AB1273" s="230"/>
      <c r="AC1273" s="1936"/>
      <c r="AD1273" s="230"/>
      <c r="AE1273" s="230"/>
      <c r="AF1273" s="230"/>
      <c r="AG1273" s="890"/>
      <c r="AJ1273" s="890"/>
      <c r="AN1273" s="223"/>
      <c r="AO1273" s="952"/>
      <c r="AP1273" s="1066"/>
      <c r="AQ1273" s="972"/>
      <c r="AR1273" s="1917"/>
      <c r="AS1273" s="222"/>
      <c r="AZ1273" s="889"/>
      <c r="BC1273" s="890"/>
      <c r="BD1273" s="952"/>
      <c r="BE1273" s="75"/>
      <c r="BF1273" s="572"/>
      <c r="BG1273" s="983"/>
      <c r="BH1273" s="222"/>
      <c r="BL1273" s="889"/>
      <c r="BO1273" s="223"/>
    </row>
    <row r="1274" spans="1:67" s="74" customFormat="1">
      <c r="A1274" s="15"/>
      <c r="B1274" s="15"/>
      <c r="C1274" s="15"/>
      <c r="D1274" s="15"/>
      <c r="E1274" s="6"/>
      <c r="F1274" s="6"/>
      <c r="G1274" s="6"/>
      <c r="K1274" s="223"/>
      <c r="M1274" s="889"/>
      <c r="P1274" s="890"/>
      <c r="T1274" s="889"/>
      <c r="X1274" s="15"/>
      <c r="Y1274" s="1935"/>
      <c r="Z1274" s="1086"/>
      <c r="AA1274" s="230"/>
      <c r="AB1274" s="230"/>
      <c r="AC1274" s="1936"/>
      <c r="AD1274" s="230"/>
      <c r="AE1274" s="230"/>
      <c r="AF1274" s="230"/>
      <c r="AG1274" s="890"/>
      <c r="AJ1274" s="890"/>
      <c r="AN1274" s="223"/>
      <c r="AO1274" s="952"/>
      <c r="AP1274" s="1066"/>
      <c r="AQ1274" s="972"/>
      <c r="AR1274" s="1917"/>
      <c r="AS1274" s="222"/>
      <c r="AZ1274" s="889"/>
      <c r="BC1274" s="890"/>
      <c r="BD1274" s="952"/>
      <c r="BE1274" s="75"/>
      <c r="BF1274" s="572"/>
      <c r="BG1274" s="983"/>
      <c r="BH1274" s="222"/>
      <c r="BL1274" s="889"/>
      <c r="BO1274" s="223"/>
    </row>
    <row r="1275" spans="1:67" s="74" customFormat="1">
      <c r="A1275" s="15"/>
      <c r="B1275" s="15"/>
      <c r="C1275" s="15"/>
      <c r="D1275" s="15"/>
      <c r="E1275" s="6"/>
      <c r="F1275" s="6"/>
      <c r="G1275" s="6"/>
      <c r="K1275" s="223"/>
      <c r="M1275" s="889"/>
      <c r="P1275" s="890"/>
      <c r="T1275" s="889"/>
      <c r="X1275" s="15"/>
      <c r="Y1275" s="1935"/>
      <c r="Z1275" s="1086"/>
      <c r="AA1275" s="230"/>
      <c r="AB1275" s="230"/>
      <c r="AC1275" s="1936"/>
      <c r="AD1275" s="230"/>
      <c r="AE1275" s="230"/>
      <c r="AF1275" s="230"/>
      <c r="AG1275" s="890"/>
      <c r="AJ1275" s="890"/>
      <c r="AN1275" s="223"/>
      <c r="AO1275" s="952"/>
      <c r="AP1275" s="1066"/>
      <c r="AQ1275" s="972"/>
      <c r="AR1275" s="1917"/>
      <c r="AS1275" s="222"/>
      <c r="AZ1275" s="889"/>
      <c r="BC1275" s="890"/>
      <c r="BD1275" s="952"/>
      <c r="BE1275" s="75"/>
      <c r="BF1275" s="572"/>
      <c r="BG1275" s="983"/>
      <c r="BH1275" s="222"/>
      <c r="BL1275" s="889"/>
      <c r="BO1275" s="223"/>
    </row>
    <row r="1276" spans="1:67" s="74" customFormat="1">
      <c r="A1276" s="15"/>
      <c r="B1276" s="15"/>
      <c r="C1276" s="15"/>
      <c r="D1276" s="15"/>
      <c r="E1276" s="6"/>
      <c r="F1276" s="6"/>
      <c r="G1276" s="6"/>
      <c r="K1276" s="223"/>
      <c r="M1276" s="889"/>
      <c r="P1276" s="890"/>
      <c r="T1276" s="889"/>
      <c r="X1276" s="15"/>
      <c r="Y1276" s="1935"/>
      <c r="Z1276" s="1086"/>
      <c r="AA1276" s="230"/>
      <c r="AB1276" s="230"/>
      <c r="AC1276" s="1936"/>
      <c r="AD1276" s="230"/>
      <c r="AE1276" s="230"/>
      <c r="AF1276" s="230"/>
      <c r="AG1276" s="890"/>
      <c r="AJ1276" s="890"/>
      <c r="AN1276" s="223"/>
      <c r="AO1276" s="952"/>
      <c r="AP1276" s="1066"/>
      <c r="AQ1276" s="972"/>
      <c r="AR1276" s="1917"/>
      <c r="AS1276" s="222"/>
      <c r="AZ1276" s="889"/>
      <c r="BC1276" s="890"/>
      <c r="BD1276" s="952"/>
      <c r="BE1276" s="75"/>
      <c r="BF1276" s="572"/>
      <c r="BG1276" s="983"/>
      <c r="BH1276" s="222"/>
      <c r="BL1276" s="889"/>
      <c r="BO1276" s="223"/>
    </row>
    <row r="1277" spans="1:67" s="74" customFormat="1">
      <c r="A1277" s="15"/>
      <c r="B1277" s="15"/>
      <c r="C1277" s="15"/>
      <c r="D1277" s="15"/>
      <c r="E1277" s="6"/>
      <c r="F1277" s="6"/>
      <c r="G1277" s="6"/>
      <c r="K1277" s="223"/>
      <c r="M1277" s="889"/>
      <c r="P1277" s="890"/>
      <c r="T1277" s="889"/>
      <c r="X1277" s="15"/>
      <c r="Y1277" s="1935"/>
      <c r="Z1277" s="1086"/>
      <c r="AA1277" s="230"/>
      <c r="AB1277" s="230"/>
      <c r="AC1277" s="1936"/>
      <c r="AD1277" s="230"/>
      <c r="AE1277" s="230"/>
      <c r="AF1277" s="230"/>
      <c r="AG1277" s="890"/>
      <c r="AJ1277" s="890"/>
      <c r="AN1277" s="223"/>
      <c r="AO1277" s="952"/>
      <c r="AP1277" s="1066"/>
      <c r="AQ1277" s="972"/>
      <c r="AR1277" s="1917"/>
      <c r="AS1277" s="222"/>
      <c r="AZ1277" s="889"/>
      <c r="BC1277" s="890"/>
      <c r="BD1277" s="952"/>
      <c r="BE1277" s="75"/>
      <c r="BF1277" s="572"/>
      <c r="BG1277" s="983"/>
      <c r="BH1277" s="222"/>
      <c r="BL1277" s="889"/>
      <c r="BO1277" s="223"/>
    </row>
    <row r="1278" spans="1:67" s="74" customFormat="1">
      <c r="A1278" s="15"/>
      <c r="B1278" s="15"/>
      <c r="C1278" s="15"/>
      <c r="D1278" s="15"/>
      <c r="E1278" s="6"/>
      <c r="F1278" s="6"/>
      <c r="G1278" s="6"/>
      <c r="K1278" s="223"/>
      <c r="M1278" s="889"/>
      <c r="P1278" s="890"/>
      <c r="T1278" s="889"/>
      <c r="X1278" s="15"/>
      <c r="Y1278" s="1935"/>
      <c r="Z1278" s="1086"/>
      <c r="AA1278" s="230"/>
      <c r="AB1278" s="230"/>
      <c r="AC1278" s="1936"/>
      <c r="AD1278" s="230"/>
      <c r="AE1278" s="230"/>
      <c r="AF1278" s="230"/>
      <c r="AG1278" s="890"/>
      <c r="AJ1278" s="890"/>
      <c r="AN1278" s="223"/>
      <c r="AO1278" s="952"/>
      <c r="AP1278" s="1066"/>
      <c r="AQ1278" s="972"/>
      <c r="AR1278" s="1917"/>
      <c r="AS1278" s="222"/>
      <c r="AZ1278" s="889"/>
      <c r="BC1278" s="890"/>
      <c r="BD1278" s="952"/>
      <c r="BE1278" s="75"/>
      <c r="BF1278" s="572"/>
      <c r="BG1278" s="983"/>
      <c r="BH1278" s="222"/>
      <c r="BL1278" s="889"/>
      <c r="BO1278" s="223"/>
    </row>
    <row r="1279" spans="1:67" s="74" customFormat="1">
      <c r="A1279" s="15"/>
      <c r="B1279" s="15"/>
      <c r="C1279" s="15"/>
      <c r="D1279" s="15"/>
      <c r="E1279" s="6"/>
      <c r="F1279" s="6"/>
      <c r="G1279" s="6"/>
      <c r="K1279" s="223"/>
      <c r="M1279" s="889"/>
      <c r="P1279" s="890"/>
      <c r="T1279" s="889"/>
      <c r="X1279" s="15"/>
      <c r="Y1279" s="1935"/>
      <c r="Z1279" s="1086"/>
      <c r="AA1279" s="230"/>
      <c r="AB1279" s="230"/>
      <c r="AC1279" s="1936"/>
      <c r="AD1279" s="230"/>
      <c r="AE1279" s="230"/>
      <c r="AF1279" s="230"/>
      <c r="AG1279" s="890"/>
      <c r="AJ1279" s="890"/>
      <c r="AN1279" s="223"/>
      <c r="AO1279" s="952"/>
      <c r="AP1279" s="1066"/>
      <c r="AQ1279" s="972"/>
      <c r="AR1279" s="1917"/>
      <c r="AS1279" s="222"/>
      <c r="AZ1279" s="889"/>
      <c r="BC1279" s="890"/>
      <c r="BD1279" s="952"/>
      <c r="BE1279" s="75"/>
      <c r="BF1279" s="572"/>
      <c r="BG1279" s="983"/>
      <c r="BH1279" s="222"/>
      <c r="BL1279" s="889"/>
      <c r="BO1279" s="223"/>
    </row>
    <row r="1280" spans="1:67" s="74" customFormat="1">
      <c r="A1280" s="15"/>
      <c r="B1280" s="15"/>
      <c r="C1280" s="15"/>
      <c r="D1280" s="15"/>
      <c r="E1280" s="6"/>
      <c r="F1280" s="6"/>
      <c r="G1280" s="6"/>
      <c r="K1280" s="223"/>
      <c r="M1280" s="889"/>
      <c r="P1280" s="890"/>
      <c r="T1280" s="889"/>
      <c r="X1280" s="15"/>
      <c r="Y1280" s="1935"/>
      <c r="Z1280" s="1086"/>
      <c r="AA1280" s="230"/>
      <c r="AB1280" s="230"/>
      <c r="AC1280" s="1936"/>
      <c r="AD1280" s="230"/>
      <c r="AE1280" s="230"/>
      <c r="AF1280" s="230"/>
      <c r="AG1280" s="890"/>
      <c r="AJ1280" s="890"/>
      <c r="AN1280" s="223"/>
      <c r="AO1280" s="952"/>
      <c r="AP1280" s="1066"/>
      <c r="AQ1280" s="972"/>
      <c r="AR1280" s="1917"/>
      <c r="AS1280" s="222"/>
      <c r="AZ1280" s="889"/>
      <c r="BC1280" s="890"/>
      <c r="BD1280" s="952"/>
      <c r="BE1280" s="75"/>
      <c r="BF1280" s="572"/>
      <c r="BG1280" s="983"/>
      <c r="BH1280" s="222"/>
      <c r="BL1280" s="889"/>
      <c r="BO1280" s="223"/>
    </row>
    <row r="1281" spans="1:67" s="74" customFormat="1">
      <c r="A1281" s="15"/>
      <c r="B1281" s="15"/>
      <c r="C1281" s="15"/>
      <c r="D1281" s="15"/>
      <c r="E1281" s="6"/>
      <c r="F1281" s="6"/>
      <c r="G1281" s="6"/>
      <c r="K1281" s="223"/>
      <c r="M1281" s="889"/>
      <c r="P1281" s="890"/>
      <c r="T1281" s="889"/>
      <c r="X1281" s="15"/>
      <c r="Y1281" s="1935"/>
      <c r="Z1281" s="1086"/>
      <c r="AA1281" s="230"/>
      <c r="AB1281" s="230"/>
      <c r="AC1281" s="1936"/>
      <c r="AD1281" s="230"/>
      <c r="AE1281" s="230"/>
      <c r="AF1281" s="230"/>
      <c r="AG1281" s="890"/>
      <c r="AJ1281" s="890"/>
      <c r="AN1281" s="223"/>
      <c r="AO1281" s="952"/>
      <c r="AP1281" s="1066"/>
      <c r="AQ1281" s="972"/>
      <c r="AR1281" s="1917"/>
      <c r="AS1281" s="222"/>
      <c r="AZ1281" s="889"/>
      <c r="BC1281" s="890"/>
      <c r="BD1281" s="952"/>
      <c r="BE1281" s="75"/>
      <c r="BF1281" s="572"/>
      <c r="BG1281" s="983"/>
      <c r="BH1281" s="222"/>
      <c r="BL1281" s="889"/>
      <c r="BO1281" s="223"/>
    </row>
    <row r="1282" spans="1:67" s="74" customFormat="1">
      <c r="A1282" s="15"/>
      <c r="B1282" s="15"/>
      <c r="C1282" s="15"/>
      <c r="D1282" s="15"/>
      <c r="E1282" s="6"/>
      <c r="F1282" s="6"/>
      <c r="G1282" s="6"/>
      <c r="K1282" s="223"/>
      <c r="M1282" s="889"/>
      <c r="P1282" s="890"/>
      <c r="T1282" s="889"/>
      <c r="X1282" s="15"/>
      <c r="Y1282" s="1935"/>
      <c r="Z1282" s="1086"/>
      <c r="AA1282" s="230"/>
      <c r="AB1282" s="230"/>
      <c r="AC1282" s="1936"/>
      <c r="AD1282" s="230"/>
      <c r="AE1282" s="230"/>
      <c r="AF1282" s="230"/>
      <c r="AG1282" s="890"/>
      <c r="AJ1282" s="890"/>
      <c r="AN1282" s="223"/>
      <c r="AO1282" s="952"/>
      <c r="AP1282" s="1066"/>
      <c r="AQ1282" s="972"/>
      <c r="AR1282" s="1917"/>
      <c r="AS1282" s="222"/>
      <c r="AZ1282" s="889"/>
      <c r="BC1282" s="890"/>
      <c r="BD1282" s="952"/>
      <c r="BE1282" s="75"/>
      <c r="BF1282" s="572"/>
      <c r="BG1282" s="983"/>
      <c r="BH1282" s="222"/>
      <c r="BL1282" s="889"/>
      <c r="BO1282" s="223"/>
    </row>
    <row r="1283" spans="1:67" s="74" customFormat="1">
      <c r="A1283" s="15"/>
      <c r="B1283" s="15"/>
      <c r="C1283" s="15"/>
      <c r="D1283" s="15"/>
      <c r="E1283" s="6"/>
      <c r="F1283" s="6"/>
      <c r="G1283" s="6"/>
      <c r="K1283" s="223"/>
      <c r="M1283" s="889"/>
      <c r="P1283" s="890"/>
      <c r="T1283" s="889"/>
      <c r="X1283" s="15"/>
      <c r="Y1283" s="1935"/>
      <c r="Z1283" s="1086"/>
      <c r="AA1283" s="230"/>
      <c r="AB1283" s="230"/>
      <c r="AC1283" s="1936"/>
      <c r="AD1283" s="230"/>
      <c r="AE1283" s="230"/>
      <c r="AF1283" s="230"/>
      <c r="AG1283" s="890"/>
      <c r="AJ1283" s="890"/>
      <c r="AN1283" s="223"/>
      <c r="AO1283" s="952"/>
      <c r="AP1283" s="1066"/>
      <c r="AQ1283" s="972"/>
      <c r="AR1283" s="1917"/>
      <c r="AS1283" s="222"/>
      <c r="AZ1283" s="889"/>
      <c r="BC1283" s="890"/>
      <c r="BD1283" s="952"/>
      <c r="BE1283" s="75"/>
      <c r="BF1283" s="572"/>
      <c r="BG1283" s="983"/>
      <c r="BH1283" s="222"/>
      <c r="BL1283" s="889"/>
      <c r="BO1283" s="223"/>
    </row>
    <row r="1284" spans="1:67" s="74" customFormat="1">
      <c r="A1284" s="15"/>
      <c r="B1284" s="15"/>
      <c r="C1284" s="15"/>
      <c r="D1284" s="15"/>
      <c r="E1284" s="6"/>
      <c r="F1284" s="6"/>
      <c r="G1284" s="6"/>
      <c r="K1284" s="223"/>
      <c r="M1284" s="889"/>
      <c r="P1284" s="890"/>
      <c r="T1284" s="889"/>
      <c r="X1284" s="15"/>
      <c r="Y1284" s="1935"/>
      <c r="Z1284" s="1086"/>
      <c r="AA1284" s="230"/>
      <c r="AB1284" s="230"/>
      <c r="AC1284" s="1936"/>
      <c r="AD1284" s="230"/>
      <c r="AE1284" s="230"/>
      <c r="AF1284" s="230"/>
      <c r="AG1284" s="890"/>
      <c r="AJ1284" s="890"/>
      <c r="AN1284" s="223"/>
      <c r="AO1284" s="952"/>
      <c r="AP1284" s="1066"/>
      <c r="AQ1284" s="972"/>
      <c r="AR1284" s="1917"/>
      <c r="AS1284" s="222"/>
      <c r="AZ1284" s="889"/>
      <c r="BC1284" s="890"/>
      <c r="BD1284" s="952"/>
      <c r="BE1284" s="75"/>
      <c r="BF1284" s="572"/>
      <c r="BG1284" s="983"/>
      <c r="BH1284" s="222"/>
      <c r="BL1284" s="889"/>
      <c r="BO1284" s="223"/>
    </row>
    <row r="1285" spans="1:67" s="74" customFormat="1">
      <c r="A1285" s="15"/>
      <c r="B1285" s="15"/>
      <c r="C1285" s="15"/>
      <c r="D1285" s="15"/>
      <c r="E1285" s="6"/>
      <c r="F1285" s="6"/>
      <c r="G1285" s="6"/>
      <c r="K1285" s="223"/>
      <c r="M1285" s="889"/>
      <c r="P1285" s="890"/>
      <c r="T1285" s="889"/>
      <c r="X1285" s="15"/>
      <c r="Y1285" s="1935"/>
      <c r="Z1285" s="1086"/>
      <c r="AA1285" s="230"/>
      <c r="AB1285" s="230"/>
      <c r="AC1285" s="1936"/>
      <c r="AD1285" s="230"/>
      <c r="AE1285" s="230"/>
      <c r="AF1285" s="230"/>
      <c r="AG1285" s="890"/>
      <c r="AJ1285" s="890"/>
      <c r="AN1285" s="223"/>
      <c r="AO1285" s="952"/>
      <c r="AP1285" s="1066"/>
      <c r="AQ1285" s="972"/>
      <c r="AR1285" s="1917"/>
      <c r="AS1285" s="222"/>
      <c r="AZ1285" s="889"/>
      <c r="BC1285" s="890"/>
      <c r="BD1285" s="952"/>
      <c r="BE1285" s="75"/>
      <c r="BF1285" s="572"/>
      <c r="BG1285" s="983"/>
      <c r="BH1285" s="222"/>
      <c r="BL1285" s="889"/>
      <c r="BO1285" s="223"/>
    </row>
    <row r="1286" spans="1:67" s="74" customFormat="1">
      <c r="A1286" s="15"/>
      <c r="B1286" s="15"/>
      <c r="C1286" s="15"/>
      <c r="D1286" s="15"/>
      <c r="E1286" s="6"/>
      <c r="F1286" s="6"/>
      <c r="G1286" s="6"/>
      <c r="K1286" s="223"/>
      <c r="M1286" s="889"/>
      <c r="P1286" s="890"/>
      <c r="T1286" s="889"/>
      <c r="X1286" s="15"/>
      <c r="Y1286" s="1935"/>
      <c r="Z1286" s="1086"/>
      <c r="AA1286" s="230"/>
      <c r="AB1286" s="230"/>
      <c r="AC1286" s="1936"/>
      <c r="AD1286" s="230"/>
      <c r="AE1286" s="230"/>
      <c r="AF1286" s="230"/>
      <c r="AG1286" s="890"/>
      <c r="AJ1286" s="890"/>
      <c r="AN1286" s="223"/>
      <c r="AO1286" s="952"/>
      <c r="AP1286" s="1066"/>
      <c r="AQ1286" s="972"/>
      <c r="AR1286" s="1917"/>
      <c r="AS1286" s="222"/>
      <c r="AZ1286" s="889"/>
      <c r="BC1286" s="890"/>
      <c r="BD1286" s="952"/>
      <c r="BE1286" s="75"/>
      <c r="BF1286" s="572"/>
      <c r="BG1286" s="983"/>
      <c r="BH1286" s="222"/>
      <c r="BL1286" s="889"/>
      <c r="BO1286" s="223"/>
    </row>
    <row r="1287" spans="1:67" s="74" customFormat="1">
      <c r="A1287" s="15"/>
      <c r="B1287" s="15"/>
      <c r="C1287" s="15"/>
      <c r="D1287" s="15"/>
      <c r="E1287" s="6"/>
      <c r="F1287" s="6"/>
      <c r="G1287" s="6"/>
      <c r="K1287" s="223"/>
      <c r="M1287" s="889"/>
      <c r="P1287" s="890"/>
      <c r="T1287" s="889"/>
      <c r="X1287" s="15"/>
      <c r="Y1287" s="1935"/>
      <c r="Z1287" s="1086"/>
      <c r="AA1287" s="230"/>
      <c r="AB1287" s="230"/>
      <c r="AC1287" s="1936"/>
      <c r="AD1287" s="230"/>
      <c r="AE1287" s="230"/>
      <c r="AF1287" s="230"/>
      <c r="AG1287" s="890"/>
      <c r="AJ1287" s="890"/>
      <c r="AN1287" s="223"/>
      <c r="AO1287" s="952"/>
      <c r="AP1287" s="1066"/>
      <c r="AQ1287" s="972"/>
      <c r="AR1287" s="1917"/>
      <c r="AS1287" s="222"/>
      <c r="AZ1287" s="889"/>
      <c r="BC1287" s="890"/>
      <c r="BD1287" s="952"/>
      <c r="BE1287" s="75"/>
      <c r="BF1287" s="572"/>
      <c r="BG1287" s="983"/>
      <c r="BH1287" s="222"/>
      <c r="BL1287" s="889"/>
      <c r="BO1287" s="223"/>
    </row>
    <row r="1288" spans="1:67" s="74" customFormat="1">
      <c r="A1288" s="15"/>
      <c r="B1288" s="15"/>
      <c r="C1288" s="15"/>
      <c r="D1288" s="15"/>
      <c r="E1288" s="6"/>
      <c r="F1288" s="6"/>
      <c r="G1288" s="6"/>
      <c r="K1288" s="223"/>
      <c r="M1288" s="889"/>
      <c r="P1288" s="890"/>
      <c r="T1288" s="889"/>
      <c r="X1288" s="15"/>
      <c r="Y1288" s="1935"/>
      <c r="Z1288" s="1086"/>
      <c r="AA1288" s="230"/>
      <c r="AB1288" s="230"/>
      <c r="AC1288" s="1936"/>
      <c r="AD1288" s="230"/>
      <c r="AE1288" s="230"/>
      <c r="AF1288" s="230"/>
      <c r="AG1288" s="890"/>
      <c r="AJ1288" s="890"/>
      <c r="AN1288" s="223"/>
      <c r="AO1288" s="952"/>
      <c r="AP1288" s="1066"/>
      <c r="AQ1288" s="972"/>
      <c r="AR1288" s="1917"/>
      <c r="AS1288" s="222"/>
      <c r="AZ1288" s="889"/>
      <c r="BC1288" s="890"/>
      <c r="BD1288" s="952"/>
      <c r="BE1288" s="75"/>
      <c r="BF1288" s="572"/>
      <c r="BG1288" s="983"/>
      <c r="BH1288" s="222"/>
      <c r="BL1288" s="889"/>
      <c r="BO1288" s="223"/>
    </row>
    <row r="1289" spans="1:67" s="74" customFormat="1">
      <c r="A1289" s="15"/>
      <c r="B1289" s="15"/>
      <c r="C1289" s="15"/>
      <c r="D1289" s="15"/>
      <c r="E1289" s="6"/>
      <c r="F1289" s="6"/>
      <c r="G1289" s="6"/>
      <c r="K1289" s="223"/>
      <c r="M1289" s="889"/>
      <c r="P1289" s="890"/>
      <c r="T1289" s="889"/>
      <c r="X1289" s="15"/>
      <c r="Y1289" s="1935"/>
      <c r="Z1289" s="1086"/>
      <c r="AA1289" s="230"/>
      <c r="AB1289" s="230"/>
      <c r="AC1289" s="1936"/>
      <c r="AD1289" s="230"/>
      <c r="AE1289" s="230"/>
      <c r="AF1289" s="230"/>
      <c r="AG1289" s="890"/>
      <c r="AJ1289" s="890"/>
      <c r="AN1289" s="223"/>
      <c r="AO1289" s="952"/>
      <c r="AP1289" s="1066"/>
      <c r="AQ1289" s="972"/>
      <c r="AR1289" s="1917"/>
      <c r="AS1289" s="222"/>
      <c r="AZ1289" s="889"/>
      <c r="BC1289" s="890"/>
      <c r="BD1289" s="952"/>
      <c r="BE1289" s="75"/>
      <c r="BF1289" s="572"/>
      <c r="BG1289" s="983"/>
      <c r="BH1289" s="222"/>
      <c r="BL1289" s="889"/>
      <c r="BO1289" s="223"/>
    </row>
    <row r="1290" spans="1:67" s="74" customFormat="1">
      <c r="A1290" s="15"/>
      <c r="B1290" s="15"/>
      <c r="C1290" s="15"/>
      <c r="D1290" s="15"/>
      <c r="E1290" s="6"/>
      <c r="F1290" s="6"/>
      <c r="G1290" s="6"/>
      <c r="K1290" s="223"/>
      <c r="M1290" s="889"/>
      <c r="P1290" s="890"/>
      <c r="T1290" s="889"/>
      <c r="X1290" s="15"/>
      <c r="Y1290" s="1935"/>
      <c r="Z1290" s="1086"/>
      <c r="AA1290" s="230"/>
      <c r="AB1290" s="230"/>
      <c r="AC1290" s="1936"/>
      <c r="AD1290" s="230"/>
      <c r="AE1290" s="230"/>
      <c r="AF1290" s="230"/>
      <c r="AG1290" s="890"/>
      <c r="AJ1290" s="890"/>
      <c r="AN1290" s="223"/>
      <c r="AO1290" s="952"/>
      <c r="AP1290" s="1066"/>
      <c r="AQ1290" s="972"/>
      <c r="AR1290" s="1917"/>
      <c r="AS1290" s="222"/>
      <c r="AZ1290" s="889"/>
      <c r="BC1290" s="890"/>
      <c r="BD1290" s="952"/>
      <c r="BE1290" s="75"/>
      <c r="BF1290" s="572"/>
      <c r="BG1290" s="983"/>
      <c r="BH1290" s="222"/>
      <c r="BL1290" s="889"/>
      <c r="BO1290" s="223"/>
    </row>
    <row r="1291" spans="1:67" s="74" customFormat="1">
      <c r="A1291" s="15"/>
      <c r="B1291" s="15"/>
      <c r="C1291" s="15"/>
      <c r="D1291" s="15"/>
      <c r="E1291" s="6"/>
      <c r="F1291" s="6"/>
      <c r="G1291" s="6"/>
      <c r="K1291" s="223"/>
      <c r="M1291" s="889"/>
      <c r="P1291" s="890"/>
      <c r="T1291" s="889"/>
      <c r="X1291" s="15"/>
      <c r="Y1291" s="1935"/>
      <c r="Z1291" s="1086"/>
      <c r="AA1291" s="230"/>
      <c r="AB1291" s="230"/>
      <c r="AC1291" s="1936"/>
      <c r="AD1291" s="230"/>
      <c r="AE1291" s="230"/>
      <c r="AF1291" s="230"/>
      <c r="AG1291" s="890"/>
      <c r="AJ1291" s="890"/>
      <c r="AN1291" s="223"/>
      <c r="AO1291" s="952"/>
      <c r="AP1291" s="1066"/>
      <c r="AQ1291" s="972"/>
      <c r="AR1291" s="1917"/>
      <c r="AS1291" s="222"/>
      <c r="AZ1291" s="889"/>
      <c r="BC1291" s="890"/>
      <c r="BD1291" s="952"/>
      <c r="BE1291" s="75"/>
      <c r="BF1291" s="572"/>
      <c r="BG1291" s="983"/>
      <c r="BH1291" s="222"/>
      <c r="BL1291" s="889"/>
      <c r="BO1291" s="223"/>
    </row>
    <row r="1292" spans="1:67" s="74" customFormat="1">
      <c r="A1292" s="15"/>
      <c r="B1292" s="15"/>
      <c r="C1292" s="15"/>
      <c r="D1292" s="15"/>
      <c r="E1292" s="6"/>
      <c r="F1292" s="6"/>
      <c r="G1292" s="6"/>
      <c r="K1292" s="223"/>
      <c r="M1292" s="889"/>
      <c r="P1292" s="890"/>
      <c r="T1292" s="889"/>
      <c r="X1292" s="15"/>
      <c r="Y1292" s="1935"/>
      <c r="Z1292" s="1086"/>
      <c r="AA1292" s="230"/>
      <c r="AB1292" s="230"/>
      <c r="AC1292" s="1936"/>
      <c r="AD1292" s="230"/>
      <c r="AE1292" s="230"/>
      <c r="AF1292" s="230"/>
      <c r="AG1292" s="890"/>
      <c r="AJ1292" s="890"/>
      <c r="AN1292" s="223"/>
      <c r="AO1292" s="952"/>
      <c r="AP1292" s="1066"/>
      <c r="AQ1292" s="972"/>
      <c r="AR1292" s="1917"/>
      <c r="AS1292" s="222"/>
      <c r="AZ1292" s="889"/>
      <c r="BC1292" s="890"/>
      <c r="BD1292" s="952"/>
      <c r="BE1292" s="75"/>
      <c r="BF1292" s="572"/>
      <c r="BG1292" s="983"/>
      <c r="BH1292" s="222"/>
      <c r="BL1292" s="889"/>
      <c r="BO1292" s="223"/>
    </row>
    <row r="1293" spans="1:67" s="74" customFormat="1">
      <c r="A1293" s="15"/>
      <c r="B1293" s="15"/>
      <c r="C1293" s="15"/>
      <c r="D1293" s="15"/>
      <c r="E1293" s="6"/>
      <c r="F1293" s="6"/>
      <c r="G1293" s="6"/>
      <c r="K1293" s="223"/>
      <c r="M1293" s="889"/>
      <c r="P1293" s="890"/>
      <c r="T1293" s="889"/>
      <c r="X1293" s="15"/>
      <c r="Y1293" s="1935"/>
      <c r="Z1293" s="1086"/>
      <c r="AA1293" s="230"/>
      <c r="AB1293" s="230"/>
      <c r="AC1293" s="1936"/>
      <c r="AD1293" s="230"/>
      <c r="AE1293" s="230"/>
      <c r="AF1293" s="230"/>
      <c r="AG1293" s="890"/>
      <c r="AJ1293" s="890"/>
      <c r="AN1293" s="223"/>
      <c r="AO1293" s="952"/>
      <c r="AP1293" s="1066"/>
      <c r="AQ1293" s="972"/>
      <c r="AR1293" s="1917"/>
      <c r="AS1293" s="222"/>
      <c r="AZ1293" s="889"/>
      <c r="BC1293" s="890"/>
      <c r="BD1293" s="952"/>
      <c r="BE1293" s="75"/>
      <c r="BF1293" s="572"/>
      <c r="BG1293" s="983"/>
      <c r="BH1293" s="222"/>
      <c r="BL1293" s="889"/>
      <c r="BO1293" s="223"/>
    </row>
    <row r="1294" spans="1:67" s="74" customFormat="1">
      <c r="A1294" s="15"/>
      <c r="B1294" s="15"/>
      <c r="C1294" s="15"/>
      <c r="D1294" s="15"/>
      <c r="E1294" s="6"/>
      <c r="F1294" s="6"/>
      <c r="G1294" s="6"/>
      <c r="K1294" s="223"/>
      <c r="M1294" s="889"/>
      <c r="P1294" s="890"/>
      <c r="T1294" s="889"/>
      <c r="X1294" s="15"/>
      <c r="Y1294" s="1935"/>
      <c r="Z1294" s="1086"/>
      <c r="AA1294" s="230"/>
      <c r="AB1294" s="230"/>
      <c r="AC1294" s="1936"/>
      <c r="AD1294" s="230"/>
      <c r="AE1294" s="230"/>
      <c r="AF1294" s="230"/>
      <c r="AG1294" s="890"/>
      <c r="AJ1294" s="890"/>
      <c r="AN1294" s="223"/>
      <c r="AO1294" s="952"/>
      <c r="AP1294" s="1066"/>
      <c r="AQ1294" s="972"/>
      <c r="AR1294" s="1917"/>
      <c r="AS1294" s="222"/>
      <c r="AZ1294" s="889"/>
      <c r="BC1294" s="890"/>
      <c r="BD1294" s="952"/>
      <c r="BE1294" s="75"/>
      <c r="BF1294" s="572"/>
      <c r="BG1294" s="983"/>
      <c r="BH1294" s="222"/>
      <c r="BL1294" s="889"/>
      <c r="BO1294" s="223"/>
    </row>
    <row r="1295" spans="1:67" s="74" customFormat="1">
      <c r="A1295" s="15"/>
      <c r="B1295" s="15"/>
      <c r="C1295" s="15"/>
      <c r="D1295" s="15"/>
      <c r="E1295" s="6"/>
      <c r="F1295" s="6"/>
      <c r="G1295" s="6"/>
      <c r="K1295" s="223"/>
      <c r="M1295" s="889"/>
      <c r="P1295" s="890"/>
      <c r="T1295" s="889"/>
      <c r="X1295" s="15"/>
      <c r="Y1295" s="1935"/>
      <c r="Z1295" s="1086"/>
      <c r="AA1295" s="230"/>
      <c r="AB1295" s="230"/>
      <c r="AC1295" s="1936"/>
      <c r="AD1295" s="230"/>
      <c r="AE1295" s="230"/>
      <c r="AF1295" s="230"/>
      <c r="AG1295" s="890"/>
      <c r="AJ1295" s="890"/>
      <c r="AN1295" s="223"/>
      <c r="AO1295" s="952"/>
      <c r="AP1295" s="1066"/>
      <c r="AQ1295" s="972"/>
      <c r="AR1295" s="1917"/>
      <c r="AS1295" s="222"/>
      <c r="AZ1295" s="889"/>
      <c r="BC1295" s="890"/>
      <c r="BD1295" s="952"/>
      <c r="BE1295" s="75"/>
      <c r="BF1295" s="572"/>
      <c r="BG1295" s="983"/>
      <c r="BH1295" s="222"/>
      <c r="BL1295" s="889"/>
      <c r="BO1295" s="223"/>
    </row>
    <row r="1296" spans="1:67" s="74" customFormat="1">
      <c r="A1296" s="15"/>
      <c r="B1296" s="15"/>
      <c r="C1296" s="15"/>
      <c r="D1296" s="15"/>
      <c r="E1296" s="6"/>
      <c r="F1296" s="6"/>
      <c r="G1296" s="6"/>
      <c r="K1296" s="223"/>
      <c r="M1296" s="889"/>
      <c r="P1296" s="890"/>
      <c r="T1296" s="889"/>
      <c r="X1296" s="15"/>
      <c r="Y1296" s="1935"/>
      <c r="Z1296" s="1086"/>
      <c r="AA1296" s="230"/>
      <c r="AB1296" s="230"/>
      <c r="AC1296" s="1936"/>
      <c r="AD1296" s="230"/>
      <c r="AE1296" s="230"/>
      <c r="AF1296" s="230"/>
      <c r="AG1296" s="890"/>
      <c r="AJ1296" s="890"/>
      <c r="AN1296" s="223"/>
      <c r="AO1296" s="952"/>
      <c r="AP1296" s="1066"/>
      <c r="AQ1296" s="972"/>
      <c r="AR1296" s="1917"/>
      <c r="AS1296" s="222"/>
      <c r="AZ1296" s="889"/>
      <c r="BC1296" s="890"/>
      <c r="BD1296" s="952"/>
      <c r="BE1296" s="75"/>
      <c r="BF1296" s="572"/>
      <c r="BG1296" s="983"/>
      <c r="BH1296" s="222"/>
      <c r="BL1296" s="889"/>
      <c r="BO1296" s="223"/>
    </row>
    <row r="1297" spans="1:67" s="74" customFormat="1">
      <c r="A1297" s="15"/>
      <c r="B1297" s="15"/>
      <c r="C1297" s="15"/>
      <c r="D1297" s="15"/>
      <c r="E1297" s="6"/>
      <c r="F1297" s="6"/>
      <c r="G1297" s="6"/>
      <c r="K1297" s="223"/>
      <c r="M1297" s="889"/>
      <c r="P1297" s="890"/>
      <c r="T1297" s="889"/>
      <c r="X1297" s="15"/>
      <c r="Y1297" s="1935"/>
      <c r="Z1297" s="1086"/>
      <c r="AA1297" s="230"/>
      <c r="AB1297" s="230"/>
      <c r="AC1297" s="1936"/>
      <c r="AD1297" s="230"/>
      <c r="AE1297" s="230"/>
      <c r="AF1297" s="230"/>
      <c r="AG1297" s="890"/>
      <c r="AJ1297" s="890"/>
      <c r="AN1297" s="223"/>
      <c r="AO1297" s="952"/>
      <c r="AP1297" s="1066"/>
      <c r="AQ1297" s="972"/>
      <c r="AR1297" s="1917"/>
      <c r="AS1297" s="222"/>
      <c r="AZ1297" s="889"/>
      <c r="BC1297" s="890"/>
      <c r="BD1297" s="952"/>
      <c r="BE1297" s="75"/>
      <c r="BF1297" s="572"/>
      <c r="BG1297" s="983"/>
      <c r="BH1297" s="222"/>
      <c r="BL1297" s="889"/>
      <c r="BO1297" s="223"/>
    </row>
    <row r="1298" spans="1:67" s="74" customFormat="1">
      <c r="A1298" s="15"/>
      <c r="B1298" s="15"/>
      <c r="C1298" s="15"/>
      <c r="D1298" s="15"/>
      <c r="E1298" s="6"/>
      <c r="F1298" s="6"/>
      <c r="G1298" s="6"/>
      <c r="K1298" s="223"/>
      <c r="M1298" s="889"/>
      <c r="P1298" s="890"/>
      <c r="T1298" s="889"/>
      <c r="X1298" s="15"/>
      <c r="Y1298" s="1935"/>
      <c r="Z1298" s="1086"/>
      <c r="AA1298" s="230"/>
      <c r="AB1298" s="230"/>
      <c r="AC1298" s="1936"/>
      <c r="AD1298" s="230"/>
      <c r="AE1298" s="230"/>
      <c r="AF1298" s="230"/>
      <c r="AG1298" s="890"/>
      <c r="AJ1298" s="890"/>
      <c r="AN1298" s="223"/>
      <c r="AO1298" s="952"/>
      <c r="AP1298" s="1066"/>
      <c r="AQ1298" s="972"/>
      <c r="AR1298" s="1917"/>
      <c r="AS1298" s="222"/>
      <c r="AZ1298" s="889"/>
      <c r="BC1298" s="890"/>
      <c r="BD1298" s="952"/>
      <c r="BE1298" s="75"/>
      <c r="BF1298" s="572"/>
      <c r="BG1298" s="983"/>
      <c r="BH1298" s="222"/>
      <c r="BL1298" s="889"/>
      <c r="BO1298" s="223"/>
    </row>
    <row r="1299" spans="1:67" s="74" customFormat="1">
      <c r="A1299" s="15"/>
      <c r="B1299" s="15"/>
      <c r="C1299" s="15"/>
      <c r="D1299" s="15"/>
      <c r="E1299" s="6"/>
      <c r="F1299" s="6"/>
      <c r="G1299" s="6"/>
      <c r="K1299" s="223"/>
      <c r="M1299" s="889"/>
      <c r="P1299" s="890"/>
      <c r="T1299" s="889"/>
      <c r="X1299" s="15"/>
      <c r="Y1299" s="1935"/>
      <c r="Z1299" s="1086"/>
      <c r="AA1299" s="230"/>
      <c r="AB1299" s="230"/>
      <c r="AC1299" s="1936"/>
      <c r="AD1299" s="230"/>
      <c r="AE1299" s="230"/>
      <c r="AF1299" s="230"/>
      <c r="AG1299" s="890"/>
      <c r="AJ1299" s="890"/>
      <c r="AN1299" s="223"/>
      <c r="AO1299" s="952"/>
      <c r="AP1299" s="1066"/>
      <c r="AQ1299" s="972"/>
      <c r="AR1299" s="1917"/>
      <c r="AS1299" s="222"/>
      <c r="AZ1299" s="889"/>
      <c r="BC1299" s="890"/>
      <c r="BD1299" s="952"/>
      <c r="BE1299" s="75"/>
      <c r="BF1299" s="572"/>
      <c r="BG1299" s="983"/>
      <c r="BH1299" s="222"/>
      <c r="BL1299" s="889"/>
      <c r="BO1299" s="223"/>
    </row>
    <row r="1300" spans="1:67" s="74" customFormat="1">
      <c r="A1300" s="15"/>
      <c r="B1300" s="15"/>
      <c r="C1300" s="15"/>
      <c r="D1300" s="15"/>
      <c r="E1300" s="6"/>
      <c r="F1300" s="6"/>
      <c r="G1300" s="6"/>
      <c r="K1300" s="223"/>
      <c r="M1300" s="889"/>
      <c r="P1300" s="890"/>
      <c r="T1300" s="889"/>
      <c r="X1300" s="15"/>
      <c r="Y1300" s="1935"/>
      <c r="Z1300" s="1086"/>
      <c r="AA1300" s="230"/>
      <c r="AB1300" s="230"/>
      <c r="AC1300" s="1936"/>
      <c r="AD1300" s="230"/>
      <c r="AE1300" s="230"/>
      <c r="AF1300" s="230"/>
      <c r="AG1300" s="890"/>
      <c r="AJ1300" s="890"/>
      <c r="AN1300" s="223"/>
      <c r="AO1300" s="952"/>
      <c r="AP1300" s="1066"/>
      <c r="AQ1300" s="972"/>
      <c r="AR1300" s="1917"/>
      <c r="AS1300" s="222"/>
      <c r="AZ1300" s="889"/>
      <c r="BC1300" s="890"/>
      <c r="BD1300" s="952"/>
      <c r="BE1300" s="75"/>
      <c r="BF1300" s="572"/>
      <c r="BG1300" s="983"/>
      <c r="BH1300" s="222"/>
      <c r="BL1300" s="889"/>
      <c r="BO1300" s="223"/>
    </row>
    <row r="1301" spans="1:67" s="74" customFormat="1">
      <c r="A1301" s="15"/>
      <c r="B1301" s="15"/>
      <c r="C1301" s="15"/>
      <c r="D1301" s="15"/>
      <c r="E1301" s="6"/>
      <c r="F1301" s="6"/>
      <c r="G1301" s="6"/>
      <c r="K1301" s="223"/>
      <c r="M1301" s="889"/>
      <c r="P1301" s="890"/>
      <c r="T1301" s="889"/>
      <c r="X1301" s="15"/>
      <c r="Y1301" s="1935"/>
      <c r="Z1301" s="1086"/>
      <c r="AA1301" s="230"/>
      <c r="AB1301" s="230"/>
      <c r="AC1301" s="1936"/>
      <c r="AD1301" s="230"/>
      <c r="AE1301" s="230"/>
      <c r="AF1301" s="230"/>
      <c r="AG1301" s="890"/>
      <c r="AJ1301" s="890"/>
      <c r="AN1301" s="223"/>
      <c r="AO1301" s="952"/>
      <c r="AP1301" s="1066"/>
      <c r="AQ1301" s="972"/>
      <c r="AR1301" s="1917"/>
      <c r="AS1301" s="222"/>
      <c r="AZ1301" s="889"/>
      <c r="BC1301" s="890"/>
      <c r="BD1301" s="952"/>
      <c r="BE1301" s="75"/>
      <c r="BF1301" s="572"/>
      <c r="BG1301" s="983"/>
      <c r="BH1301" s="222"/>
      <c r="BL1301" s="889"/>
      <c r="BO1301" s="223"/>
    </row>
    <row r="1302" spans="1:67" s="74" customFormat="1">
      <c r="A1302" s="15"/>
      <c r="B1302" s="15"/>
      <c r="C1302" s="15"/>
      <c r="D1302" s="15"/>
      <c r="E1302" s="6"/>
      <c r="F1302" s="6"/>
      <c r="G1302" s="6"/>
      <c r="K1302" s="223"/>
      <c r="M1302" s="889"/>
      <c r="P1302" s="890"/>
      <c r="T1302" s="889"/>
      <c r="X1302" s="15"/>
      <c r="Y1302" s="1935"/>
      <c r="Z1302" s="1086"/>
      <c r="AA1302" s="230"/>
      <c r="AB1302" s="230"/>
      <c r="AC1302" s="1936"/>
      <c r="AD1302" s="230"/>
      <c r="AE1302" s="230"/>
      <c r="AF1302" s="230"/>
      <c r="AG1302" s="890"/>
      <c r="AJ1302" s="890"/>
      <c r="AN1302" s="223"/>
      <c r="AO1302" s="952"/>
      <c r="AP1302" s="1066"/>
      <c r="AQ1302" s="972"/>
      <c r="AR1302" s="1917"/>
      <c r="AS1302" s="222"/>
      <c r="AZ1302" s="889"/>
      <c r="BC1302" s="890"/>
      <c r="BD1302" s="952"/>
      <c r="BE1302" s="75"/>
      <c r="BF1302" s="572"/>
      <c r="BG1302" s="983"/>
      <c r="BH1302" s="222"/>
      <c r="BL1302" s="889"/>
      <c r="BO1302" s="223"/>
    </row>
    <row r="1303" spans="1:67" s="74" customFormat="1">
      <c r="A1303" s="15"/>
      <c r="B1303" s="15"/>
      <c r="C1303" s="15"/>
      <c r="D1303" s="15"/>
      <c r="E1303" s="6"/>
      <c r="F1303" s="6"/>
      <c r="G1303" s="6"/>
      <c r="K1303" s="223"/>
      <c r="M1303" s="889"/>
      <c r="P1303" s="890"/>
      <c r="T1303" s="889"/>
      <c r="X1303" s="15"/>
      <c r="Y1303" s="1935"/>
      <c r="Z1303" s="1086"/>
      <c r="AA1303" s="230"/>
      <c r="AB1303" s="230"/>
      <c r="AC1303" s="1936"/>
      <c r="AD1303" s="230"/>
      <c r="AE1303" s="230"/>
      <c r="AF1303" s="230"/>
      <c r="AG1303" s="890"/>
      <c r="AJ1303" s="890"/>
      <c r="AN1303" s="223"/>
      <c r="AO1303" s="952"/>
      <c r="AP1303" s="1066"/>
      <c r="AQ1303" s="972"/>
      <c r="AR1303" s="1917"/>
      <c r="AS1303" s="222"/>
      <c r="AZ1303" s="889"/>
      <c r="BC1303" s="890"/>
      <c r="BD1303" s="952"/>
      <c r="BE1303" s="75"/>
      <c r="BF1303" s="572"/>
      <c r="BG1303" s="983"/>
      <c r="BH1303" s="222"/>
      <c r="BL1303" s="889"/>
      <c r="BO1303" s="223"/>
    </row>
    <row r="1304" spans="1:67" s="74" customFormat="1">
      <c r="A1304" s="15"/>
      <c r="B1304" s="15"/>
      <c r="C1304" s="15"/>
      <c r="D1304" s="15"/>
      <c r="E1304" s="6"/>
      <c r="F1304" s="6"/>
      <c r="G1304" s="6"/>
      <c r="K1304" s="223"/>
      <c r="M1304" s="889"/>
      <c r="P1304" s="890"/>
      <c r="T1304" s="889"/>
      <c r="X1304" s="15"/>
      <c r="Y1304" s="1935"/>
      <c r="Z1304" s="1086"/>
      <c r="AA1304" s="230"/>
      <c r="AB1304" s="230"/>
      <c r="AC1304" s="1936"/>
      <c r="AD1304" s="230"/>
      <c r="AE1304" s="230"/>
      <c r="AF1304" s="230"/>
      <c r="AG1304" s="890"/>
      <c r="AJ1304" s="890"/>
      <c r="AN1304" s="223"/>
      <c r="AO1304" s="952"/>
      <c r="AP1304" s="1066"/>
      <c r="AQ1304" s="972"/>
      <c r="AR1304" s="1917"/>
      <c r="AS1304" s="222"/>
      <c r="AZ1304" s="889"/>
      <c r="BC1304" s="890"/>
      <c r="BD1304" s="952"/>
      <c r="BE1304" s="75"/>
      <c r="BF1304" s="572"/>
      <c r="BG1304" s="983"/>
      <c r="BH1304" s="222"/>
      <c r="BL1304" s="889"/>
      <c r="BO1304" s="223"/>
    </row>
    <row r="1305" spans="1:67" s="74" customFormat="1">
      <c r="A1305" s="15"/>
      <c r="B1305" s="15"/>
      <c r="C1305" s="15"/>
      <c r="D1305" s="15"/>
      <c r="E1305" s="6"/>
      <c r="F1305" s="6"/>
      <c r="G1305" s="6"/>
      <c r="K1305" s="223"/>
      <c r="M1305" s="889"/>
      <c r="P1305" s="890"/>
      <c r="T1305" s="889"/>
      <c r="X1305" s="15"/>
      <c r="Y1305" s="1935"/>
      <c r="Z1305" s="1086"/>
      <c r="AA1305" s="230"/>
      <c r="AB1305" s="230"/>
      <c r="AC1305" s="1936"/>
      <c r="AD1305" s="230"/>
      <c r="AE1305" s="230"/>
      <c r="AF1305" s="230"/>
      <c r="AG1305" s="890"/>
      <c r="AJ1305" s="890"/>
      <c r="AN1305" s="223"/>
      <c r="AO1305" s="952"/>
      <c r="AP1305" s="1066"/>
      <c r="AQ1305" s="972"/>
      <c r="AR1305" s="1917"/>
      <c r="AS1305" s="222"/>
      <c r="AZ1305" s="889"/>
      <c r="BC1305" s="890"/>
      <c r="BD1305" s="952"/>
      <c r="BE1305" s="75"/>
      <c r="BF1305" s="572"/>
      <c r="BG1305" s="983"/>
      <c r="BH1305" s="222"/>
      <c r="BL1305" s="889"/>
      <c r="BO1305" s="223"/>
    </row>
    <row r="1306" spans="1:67" s="74" customFormat="1">
      <c r="A1306" s="15"/>
      <c r="B1306" s="15"/>
      <c r="C1306" s="15"/>
      <c r="D1306" s="15"/>
      <c r="E1306" s="6"/>
      <c r="F1306" s="6"/>
      <c r="G1306" s="6"/>
      <c r="K1306" s="223"/>
      <c r="M1306" s="889"/>
      <c r="P1306" s="890"/>
      <c r="T1306" s="889"/>
      <c r="X1306" s="15"/>
      <c r="Y1306" s="1935"/>
      <c r="Z1306" s="1086"/>
      <c r="AA1306" s="230"/>
      <c r="AB1306" s="230"/>
      <c r="AC1306" s="1936"/>
      <c r="AD1306" s="230"/>
      <c r="AE1306" s="230"/>
      <c r="AF1306" s="230"/>
      <c r="AG1306" s="890"/>
      <c r="AJ1306" s="890"/>
      <c r="AN1306" s="223"/>
      <c r="AO1306" s="952"/>
      <c r="AP1306" s="1066"/>
      <c r="AQ1306" s="972"/>
      <c r="AR1306" s="1917"/>
      <c r="AS1306" s="222"/>
      <c r="AZ1306" s="889"/>
      <c r="BC1306" s="890"/>
      <c r="BD1306" s="952"/>
      <c r="BE1306" s="75"/>
      <c r="BF1306" s="572"/>
      <c r="BG1306" s="983"/>
      <c r="BH1306" s="222"/>
      <c r="BL1306" s="889"/>
      <c r="BO1306" s="223"/>
    </row>
    <row r="1307" spans="1:67" s="74" customFormat="1">
      <c r="A1307" s="15"/>
      <c r="B1307" s="15"/>
      <c r="C1307" s="15"/>
      <c r="D1307" s="15"/>
      <c r="E1307" s="6"/>
      <c r="F1307" s="6"/>
      <c r="G1307" s="6"/>
      <c r="K1307" s="223"/>
      <c r="M1307" s="889"/>
      <c r="P1307" s="890"/>
      <c r="T1307" s="889"/>
      <c r="X1307" s="15"/>
      <c r="Y1307" s="1935"/>
      <c r="Z1307" s="1086"/>
      <c r="AA1307" s="230"/>
      <c r="AB1307" s="230"/>
      <c r="AC1307" s="1936"/>
      <c r="AD1307" s="230"/>
      <c r="AE1307" s="230"/>
      <c r="AF1307" s="230"/>
      <c r="AG1307" s="890"/>
      <c r="AJ1307" s="890"/>
      <c r="AN1307" s="223"/>
      <c r="AO1307" s="952"/>
      <c r="AP1307" s="1066"/>
      <c r="AQ1307" s="972"/>
      <c r="AR1307" s="1917"/>
      <c r="AS1307" s="222"/>
      <c r="AZ1307" s="889"/>
      <c r="BC1307" s="890"/>
      <c r="BD1307" s="952"/>
      <c r="BE1307" s="75"/>
      <c r="BF1307" s="572"/>
      <c r="BG1307" s="983"/>
      <c r="BH1307" s="222"/>
      <c r="BL1307" s="889"/>
      <c r="BO1307" s="223"/>
    </row>
    <row r="1308" spans="1:67" s="74" customFormat="1">
      <c r="A1308" s="15"/>
      <c r="B1308" s="15"/>
      <c r="C1308" s="15"/>
      <c r="D1308" s="15"/>
      <c r="E1308" s="6"/>
      <c r="F1308" s="6"/>
      <c r="G1308" s="6"/>
      <c r="K1308" s="223"/>
      <c r="M1308" s="889"/>
      <c r="P1308" s="890"/>
      <c r="T1308" s="889"/>
      <c r="X1308" s="15"/>
      <c r="Y1308" s="1935"/>
      <c r="Z1308" s="1086"/>
      <c r="AA1308" s="230"/>
      <c r="AB1308" s="230"/>
      <c r="AC1308" s="1936"/>
      <c r="AD1308" s="230"/>
      <c r="AE1308" s="230"/>
      <c r="AF1308" s="230"/>
      <c r="AG1308" s="890"/>
      <c r="AJ1308" s="890"/>
      <c r="AN1308" s="223"/>
      <c r="AO1308" s="952"/>
      <c r="AP1308" s="1066"/>
      <c r="AQ1308" s="972"/>
      <c r="AR1308" s="1917"/>
      <c r="AS1308" s="222"/>
      <c r="AZ1308" s="889"/>
      <c r="BC1308" s="890"/>
      <c r="BD1308" s="952"/>
      <c r="BE1308" s="75"/>
      <c r="BF1308" s="572"/>
      <c r="BG1308" s="983"/>
      <c r="BH1308" s="222"/>
      <c r="BL1308" s="889"/>
      <c r="BO1308" s="223"/>
    </row>
    <row r="1309" spans="1:67" s="74" customFormat="1">
      <c r="A1309" s="15"/>
      <c r="B1309" s="15"/>
      <c r="C1309" s="15"/>
      <c r="D1309" s="15"/>
      <c r="E1309" s="6"/>
      <c r="F1309" s="6"/>
      <c r="G1309" s="6"/>
      <c r="K1309" s="223"/>
      <c r="M1309" s="889"/>
      <c r="P1309" s="890"/>
      <c r="T1309" s="889"/>
      <c r="X1309" s="15"/>
      <c r="Y1309" s="1935"/>
      <c r="Z1309" s="1086"/>
      <c r="AA1309" s="230"/>
      <c r="AB1309" s="230"/>
      <c r="AC1309" s="1936"/>
      <c r="AD1309" s="230"/>
      <c r="AE1309" s="230"/>
      <c r="AF1309" s="230"/>
      <c r="AG1309" s="890"/>
      <c r="AJ1309" s="890"/>
      <c r="AN1309" s="223"/>
      <c r="AO1309" s="952"/>
      <c r="AP1309" s="1066"/>
      <c r="AQ1309" s="972"/>
      <c r="AR1309" s="1917"/>
      <c r="AS1309" s="222"/>
      <c r="AZ1309" s="889"/>
      <c r="BC1309" s="890"/>
      <c r="BD1309" s="952"/>
      <c r="BE1309" s="75"/>
      <c r="BF1309" s="572"/>
      <c r="BG1309" s="983"/>
      <c r="BH1309" s="222"/>
      <c r="BL1309" s="889"/>
      <c r="BO1309" s="223"/>
    </row>
    <row r="1310" spans="1:67" s="74" customFormat="1">
      <c r="A1310" s="15"/>
      <c r="B1310" s="15"/>
      <c r="C1310" s="15"/>
      <c r="D1310" s="15"/>
      <c r="E1310" s="6"/>
      <c r="F1310" s="6"/>
      <c r="G1310" s="6"/>
      <c r="K1310" s="223"/>
      <c r="M1310" s="889"/>
      <c r="P1310" s="890"/>
      <c r="T1310" s="889"/>
      <c r="X1310" s="15"/>
      <c r="Y1310" s="1935"/>
      <c r="Z1310" s="1086"/>
      <c r="AA1310" s="230"/>
      <c r="AB1310" s="230"/>
      <c r="AC1310" s="1936"/>
      <c r="AD1310" s="230"/>
      <c r="AE1310" s="230"/>
      <c r="AF1310" s="230"/>
      <c r="AG1310" s="890"/>
      <c r="AJ1310" s="890"/>
      <c r="AN1310" s="223"/>
      <c r="AO1310" s="952"/>
      <c r="AP1310" s="1066"/>
      <c r="AQ1310" s="972"/>
      <c r="AR1310" s="1917"/>
      <c r="AS1310" s="222"/>
      <c r="AZ1310" s="889"/>
      <c r="BC1310" s="890"/>
      <c r="BD1310" s="952"/>
      <c r="BE1310" s="75"/>
      <c r="BF1310" s="572"/>
      <c r="BG1310" s="983"/>
      <c r="BH1310" s="222"/>
      <c r="BL1310" s="889"/>
      <c r="BO1310" s="223"/>
    </row>
    <row r="1311" spans="1:67" s="74" customFormat="1">
      <c r="A1311" s="15"/>
      <c r="B1311" s="15"/>
      <c r="C1311" s="15"/>
      <c r="D1311" s="15"/>
      <c r="E1311" s="6"/>
      <c r="F1311" s="6"/>
      <c r="G1311" s="6"/>
      <c r="K1311" s="223"/>
      <c r="M1311" s="889"/>
      <c r="P1311" s="890"/>
      <c r="T1311" s="889"/>
      <c r="X1311" s="15"/>
      <c r="Y1311" s="1935"/>
      <c r="Z1311" s="1086"/>
      <c r="AA1311" s="230"/>
      <c r="AB1311" s="230"/>
      <c r="AC1311" s="1936"/>
      <c r="AD1311" s="230"/>
      <c r="AE1311" s="230"/>
      <c r="AF1311" s="230"/>
      <c r="AG1311" s="890"/>
      <c r="AJ1311" s="890"/>
      <c r="AN1311" s="223"/>
      <c r="AO1311" s="952"/>
      <c r="AP1311" s="1066"/>
      <c r="AQ1311" s="972"/>
      <c r="AR1311" s="1917"/>
      <c r="AS1311" s="222"/>
      <c r="AZ1311" s="889"/>
      <c r="BC1311" s="890"/>
      <c r="BD1311" s="952"/>
      <c r="BE1311" s="75"/>
      <c r="BF1311" s="572"/>
      <c r="BG1311" s="983"/>
      <c r="BH1311" s="222"/>
      <c r="BL1311" s="889"/>
      <c r="BO1311" s="223"/>
    </row>
    <row r="1312" spans="1:67" s="74" customFormat="1">
      <c r="A1312" s="15"/>
      <c r="B1312" s="15"/>
      <c r="C1312" s="15"/>
      <c r="D1312" s="15"/>
      <c r="E1312" s="6"/>
      <c r="F1312" s="6"/>
      <c r="G1312" s="6"/>
      <c r="K1312" s="223"/>
      <c r="M1312" s="889"/>
      <c r="P1312" s="890"/>
      <c r="T1312" s="889"/>
      <c r="X1312" s="15"/>
      <c r="Y1312" s="1935"/>
      <c r="Z1312" s="1086"/>
      <c r="AA1312" s="230"/>
      <c r="AB1312" s="230"/>
      <c r="AC1312" s="1936"/>
      <c r="AD1312" s="230"/>
      <c r="AE1312" s="230"/>
      <c r="AF1312" s="230"/>
      <c r="AG1312" s="890"/>
      <c r="AJ1312" s="890"/>
      <c r="AN1312" s="223"/>
      <c r="AO1312" s="952"/>
      <c r="AP1312" s="1066"/>
      <c r="AQ1312" s="972"/>
      <c r="AR1312" s="1917"/>
      <c r="AS1312" s="222"/>
      <c r="AZ1312" s="889"/>
      <c r="BC1312" s="890"/>
      <c r="BD1312" s="952"/>
      <c r="BE1312" s="75"/>
      <c r="BF1312" s="572"/>
      <c r="BG1312" s="983"/>
      <c r="BH1312" s="222"/>
      <c r="BL1312" s="889"/>
      <c r="BO1312" s="223"/>
    </row>
    <row r="1313" spans="1:67" s="74" customFormat="1">
      <c r="A1313" s="15"/>
      <c r="B1313" s="15"/>
      <c r="C1313" s="15"/>
      <c r="D1313" s="15"/>
      <c r="E1313" s="6"/>
      <c r="F1313" s="6"/>
      <c r="G1313" s="6"/>
      <c r="K1313" s="223"/>
      <c r="M1313" s="889"/>
      <c r="P1313" s="890"/>
      <c r="T1313" s="889"/>
      <c r="X1313" s="15"/>
      <c r="Y1313" s="1935"/>
      <c r="Z1313" s="1086"/>
      <c r="AA1313" s="230"/>
      <c r="AB1313" s="230"/>
      <c r="AC1313" s="1936"/>
      <c r="AD1313" s="230"/>
      <c r="AE1313" s="230"/>
      <c r="AF1313" s="230"/>
      <c r="AG1313" s="890"/>
      <c r="AJ1313" s="890"/>
      <c r="AN1313" s="223"/>
      <c r="AO1313" s="952"/>
      <c r="AP1313" s="1066"/>
      <c r="AQ1313" s="972"/>
      <c r="AR1313" s="1917"/>
      <c r="AS1313" s="222"/>
      <c r="AZ1313" s="889"/>
      <c r="BC1313" s="890"/>
      <c r="BD1313" s="952"/>
      <c r="BE1313" s="75"/>
      <c r="BF1313" s="572"/>
      <c r="BG1313" s="983"/>
      <c r="BH1313" s="222"/>
      <c r="BL1313" s="889"/>
      <c r="BO1313" s="223"/>
    </row>
    <row r="1314" spans="1:67" s="74" customFormat="1">
      <c r="A1314" s="15"/>
      <c r="B1314" s="15"/>
      <c r="C1314" s="15"/>
      <c r="D1314" s="15"/>
      <c r="E1314" s="6"/>
      <c r="F1314" s="6"/>
      <c r="G1314" s="6"/>
      <c r="K1314" s="223"/>
      <c r="M1314" s="889"/>
      <c r="P1314" s="890"/>
      <c r="T1314" s="889"/>
      <c r="X1314" s="15"/>
      <c r="Y1314" s="1935"/>
      <c r="Z1314" s="1086"/>
      <c r="AA1314" s="230"/>
      <c r="AB1314" s="230"/>
      <c r="AC1314" s="1936"/>
      <c r="AD1314" s="230"/>
      <c r="AE1314" s="230"/>
      <c r="AF1314" s="230"/>
      <c r="AG1314" s="890"/>
      <c r="AJ1314" s="890"/>
      <c r="AN1314" s="223"/>
      <c r="AO1314" s="952"/>
      <c r="AP1314" s="1066"/>
      <c r="AQ1314" s="972"/>
      <c r="AR1314" s="1917"/>
      <c r="AS1314" s="222"/>
      <c r="AZ1314" s="889"/>
      <c r="BC1314" s="890"/>
      <c r="BD1314" s="952"/>
      <c r="BE1314" s="75"/>
      <c r="BF1314" s="572"/>
      <c r="BG1314" s="983"/>
      <c r="BH1314" s="222"/>
      <c r="BL1314" s="889"/>
      <c r="BO1314" s="223"/>
    </row>
    <row r="1315" spans="1:67" s="74" customFormat="1">
      <c r="A1315" s="15"/>
      <c r="B1315" s="15"/>
      <c r="C1315" s="15"/>
      <c r="D1315" s="15"/>
      <c r="E1315" s="6"/>
      <c r="F1315" s="6"/>
      <c r="G1315" s="6"/>
      <c r="K1315" s="223"/>
      <c r="M1315" s="889"/>
      <c r="P1315" s="890"/>
      <c r="T1315" s="889"/>
      <c r="X1315" s="15"/>
      <c r="Y1315" s="1935"/>
      <c r="Z1315" s="1086"/>
      <c r="AA1315" s="230"/>
      <c r="AB1315" s="230"/>
      <c r="AC1315" s="1936"/>
      <c r="AD1315" s="230"/>
      <c r="AE1315" s="230"/>
      <c r="AF1315" s="230"/>
      <c r="AG1315" s="890"/>
      <c r="AJ1315" s="890"/>
      <c r="AN1315" s="223"/>
      <c r="AO1315" s="952"/>
      <c r="AP1315" s="1066"/>
      <c r="AQ1315" s="972"/>
      <c r="AR1315" s="1917"/>
      <c r="AS1315" s="222"/>
      <c r="AZ1315" s="889"/>
      <c r="BC1315" s="890"/>
      <c r="BD1315" s="952"/>
      <c r="BE1315" s="75"/>
      <c r="BF1315" s="572"/>
      <c r="BG1315" s="983"/>
      <c r="BH1315" s="222"/>
      <c r="BL1315" s="889"/>
      <c r="BO1315" s="223"/>
    </row>
    <row r="1316" spans="1:67" s="74" customFormat="1">
      <c r="A1316" s="15"/>
      <c r="B1316" s="15"/>
      <c r="C1316" s="15"/>
      <c r="D1316" s="15"/>
      <c r="E1316" s="6"/>
      <c r="F1316" s="6"/>
      <c r="G1316" s="6"/>
      <c r="K1316" s="223"/>
      <c r="M1316" s="889"/>
      <c r="P1316" s="890"/>
      <c r="T1316" s="889"/>
      <c r="X1316" s="15"/>
      <c r="Y1316" s="1935"/>
      <c r="Z1316" s="1086"/>
      <c r="AA1316" s="230"/>
      <c r="AB1316" s="230"/>
      <c r="AC1316" s="1936"/>
      <c r="AD1316" s="230"/>
      <c r="AE1316" s="230"/>
      <c r="AF1316" s="230"/>
      <c r="AG1316" s="890"/>
      <c r="AJ1316" s="890"/>
      <c r="AN1316" s="223"/>
      <c r="AO1316" s="952"/>
      <c r="AP1316" s="1066"/>
      <c r="AQ1316" s="972"/>
      <c r="AR1316" s="1917"/>
      <c r="AS1316" s="222"/>
      <c r="AZ1316" s="889"/>
      <c r="BC1316" s="890"/>
      <c r="BD1316" s="952"/>
      <c r="BE1316" s="75"/>
      <c r="BF1316" s="572"/>
      <c r="BG1316" s="983"/>
      <c r="BH1316" s="222"/>
      <c r="BL1316" s="889"/>
      <c r="BO1316" s="223"/>
    </row>
    <row r="1317" spans="1:67" s="74" customFormat="1">
      <c r="A1317" s="15"/>
      <c r="B1317" s="15"/>
      <c r="C1317" s="15"/>
      <c r="D1317" s="15"/>
      <c r="E1317" s="6"/>
      <c r="F1317" s="6"/>
      <c r="G1317" s="6"/>
      <c r="K1317" s="223"/>
      <c r="M1317" s="889"/>
      <c r="P1317" s="890"/>
      <c r="T1317" s="889"/>
      <c r="X1317" s="15"/>
      <c r="Y1317" s="1935"/>
      <c r="Z1317" s="1086"/>
      <c r="AA1317" s="230"/>
      <c r="AB1317" s="230"/>
      <c r="AC1317" s="1936"/>
      <c r="AD1317" s="230"/>
      <c r="AE1317" s="230"/>
      <c r="AF1317" s="230"/>
      <c r="AG1317" s="890"/>
      <c r="AJ1317" s="890"/>
      <c r="AN1317" s="223"/>
      <c r="AO1317" s="952"/>
      <c r="AP1317" s="1066"/>
      <c r="AQ1317" s="972"/>
      <c r="AR1317" s="1917"/>
      <c r="AS1317" s="222"/>
      <c r="AZ1317" s="889"/>
      <c r="BC1317" s="890"/>
      <c r="BD1317" s="952"/>
      <c r="BE1317" s="75"/>
      <c r="BF1317" s="572"/>
      <c r="BG1317" s="983"/>
      <c r="BH1317" s="222"/>
      <c r="BL1317" s="889"/>
      <c r="BO1317" s="223"/>
    </row>
    <row r="1318" spans="1:67" s="74" customFormat="1">
      <c r="A1318" s="15"/>
      <c r="B1318" s="15"/>
      <c r="C1318" s="15"/>
      <c r="D1318" s="15"/>
      <c r="E1318" s="6"/>
      <c r="F1318" s="6"/>
      <c r="G1318" s="6"/>
      <c r="K1318" s="223"/>
      <c r="M1318" s="889"/>
      <c r="P1318" s="890"/>
      <c r="T1318" s="889"/>
      <c r="X1318" s="15"/>
      <c r="Y1318" s="1935"/>
      <c r="Z1318" s="1086"/>
      <c r="AA1318" s="230"/>
      <c r="AB1318" s="230"/>
      <c r="AC1318" s="1936"/>
      <c r="AD1318" s="230"/>
      <c r="AE1318" s="230"/>
      <c r="AF1318" s="230"/>
      <c r="AG1318" s="890"/>
      <c r="AJ1318" s="890"/>
      <c r="AN1318" s="223"/>
      <c r="AO1318" s="952"/>
      <c r="AP1318" s="1066"/>
      <c r="AQ1318" s="972"/>
      <c r="AR1318" s="1917"/>
      <c r="AS1318" s="222"/>
      <c r="AZ1318" s="889"/>
      <c r="BC1318" s="890"/>
      <c r="BD1318" s="952"/>
      <c r="BE1318" s="75"/>
      <c r="BF1318" s="572"/>
      <c r="BG1318" s="983"/>
      <c r="BH1318" s="222"/>
      <c r="BL1318" s="889"/>
      <c r="BO1318" s="223"/>
    </row>
    <row r="1319" spans="1:67" s="74" customFormat="1">
      <c r="A1319" s="15"/>
      <c r="B1319" s="15"/>
      <c r="C1319" s="15"/>
      <c r="D1319" s="15"/>
      <c r="E1319" s="6"/>
      <c r="F1319" s="6"/>
      <c r="G1319" s="6"/>
      <c r="K1319" s="223"/>
      <c r="M1319" s="889"/>
      <c r="P1319" s="890"/>
      <c r="T1319" s="889"/>
      <c r="X1319" s="15"/>
      <c r="Y1319" s="1935"/>
      <c r="Z1319" s="1086"/>
      <c r="AA1319" s="230"/>
      <c r="AB1319" s="230"/>
      <c r="AC1319" s="1936"/>
      <c r="AD1319" s="230"/>
      <c r="AE1319" s="230"/>
      <c r="AF1319" s="230"/>
      <c r="AG1319" s="890"/>
      <c r="AJ1319" s="890"/>
      <c r="AN1319" s="223"/>
      <c r="AO1319" s="952"/>
      <c r="AP1319" s="1066"/>
      <c r="AQ1319" s="972"/>
      <c r="AR1319" s="1917"/>
      <c r="AS1319" s="222"/>
      <c r="AZ1319" s="889"/>
      <c r="BC1319" s="890"/>
      <c r="BD1319" s="952"/>
      <c r="BE1319" s="75"/>
      <c r="BF1319" s="572"/>
      <c r="BG1319" s="983"/>
      <c r="BH1319" s="222"/>
      <c r="BL1319" s="889"/>
      <c r="BO1319" s="223"/>
    </row>
    <row r="1320" spans="1:67" s="74" customFormat="1">
      <c r="A1320" s="15"/>
      <c r="B1320" s="15"/>
      <c r="C1320" s="15"/>
      <c r="D1320" s="15"/>
      <c r="E1320" s="6"/>
      <c r="F1320" s="6"/>
      <c r="G1320" s="6"/>
      <c r="K1320" s="223"/>
      <c r="M1320" s="889"/>
      <c r="P1320" s="890"/>
      <c r="T1320" s="889"/>
      <c r="X1320" s="15"/>
      <c r="Y1320" s="1935"/>
      <c r="Z1320" s="1086"/>
      <c r="AA1320" s="230"/>
      <c r="AB1320" s="230"/>
      <c r="AC1320" s="1936"/>
      <c r="AD1320" s="230"/>
      <c r="AE1320" s="230"/>
      <c r="AF1320" s="230"/>
      <c r="AG1320" s="890"/>
      <c r="AJ1320" s="890"/>
      <c r="AN1320" s="223"/>
      <c r="AO1320" s="952"/>
      <c r="AP1320" s="1066"/>
      <c r="AQ1320" s="972"/>
      <c r="AR1320" s="1917"/>
      <c r="AS1320" s="222"/>
      <c r="AZ1320" s="889"/>
      <c r="BC1320" s="890"/>
      <c r="BD1320" s="952"/>
      <c r="BE1320" s="75"/>
      <c r="BF1320" s="572"/>
      <c r="BG1320" s="983"/>
      <c r="BH1320" s="222"/>
      <c r="BL1320" s="889"/>
      <c r="BO1320" s="223"/>
    </row>
    <row r="1321" spans="1:67" s="74" customFormat="1">
      <c r="A1321" s="15"/>
      <c r="B1321" s="15"/>
      <c r="C1321" s="15"/>
      <c r="D1321" s="15"/>
      <c r="E1321" s="6"/>
      <c r="F1321" s="6"/>
      <c r="G1321" s="6"/>
      <c r="K1321" s="223"/>
      <c r="M1321" s="889"/>
      <c r="P1321" s="890"/>
      <c r="T1321" s="889"/>
      <c r="X1321" s="15"/>
      <c r="Y1321" s="1935"/>
      <c r="Z1321" s="1086"/>
      <c r="AA1321" s="230"/>
      <c r="AB1321" s="230"/>
      <c r="AC1321" s="1936"/>
      <c r="AD1321" s="230"/>
      <c r="AE1321" s="230"/>
      <c r="AF1321" s="230"/>
      <c r="AG1321" s="890"/>
      <c r="AJ1321" s="890"/>
      <c r="AN1321" s="223"/>
      <c r="AO1321" s="952"/>
      <c r="AP1321" s="1066"/>
      <c r="AQ1321" s="972"/>
      <c r="AR1321" s="1917"/>
      <c r="AS1321" s="222"/>
      <c r="AZ1321" s="889"/>
      <c r="BC1321" s="890"/>
      <c r="BD1321" s="952"/>
      <c r="BE1321" s="75"/>
      <c r="BF1321" s="572"/>
      <c r="BG1321" s="983"/>
      <c r="BH1321" s="222"/>
      <c r="BL1321" s="889"/>
      <c r="BO1321" s="223"/>
    </row>
    <row r="1322" spans="1:67" s="74" customFormat="1">
      <c r="A1322" s="15"/>
      <c r="B1322" s="15"/>
      <c r="C1322" s="15"/>
      <c r="D1322" s="15"/>
      <c r="E1322" s="6"/>
      <c r="F1322" s="6"/>
      <c r="G1322" s="6"/>
      <c r="K1322" s="223"/>
      <c r="M1322" s="889"/>
      <c r="P1322" s="890"/>
      <c r="T1322" s="889"/>
      <c r="X1322" s="15"/>
      <c r="Y1322" s="1935"/>
      <c r="Z1322" s="1086"/>
      <c r="AA1322" s="230"/>
      <c r="AB1322" s="230"/>
      <c r="AC1322" s="1936"/>
      <c r="AD1322" s="230"/>
      <c r="AE1322" s="230"/>
      <c r="AF1322" s="230"/>
      <c r="AG1322" s="890"/>
      <c r="AJ1322" s="890"/>
      <c r="AN1322" s="223"/>
      <c r="AO1322" s="952"/>
      <c r="AP1322" s="1066"/>
      <c r="AQ1322" s="972"/>
      <c r="AR1322" s="1917"/>
      <c r="AS1322" s="222"/>
      <c r="AZ1322" s="889"/>
      <c r="BC1322" s="890"/>
      <c r="BD1322" s="952"/>
      <c r="BE1322" s="75"/>
      <c r="BF1322" s="572"/>
      <c r="BG1322" s="983"/>
      <c r="BH1322" s="222"/>
      <c r="BL1322" s="889"/>
      <c r="BO1322" s="223"/>
    </row>
    <row r="1323" spans="1:67" s="74" customFormat="1">
      <c r="A1323" s="15"/>
      <c r="B1323" s="15"/>
      <c r="C1323" s="15"/>
      <c r="D1323" s="15"/>
      <c r="E1323" s="6"/>
      <c r="F1323" s="6"/>
      <c r="G1323" s="6"/>
      <c r="K1323" s="223"/>
      <c r="M1323" s="889"/>
      <c r="P1323" s="890"/>
      <c r="T1323" s="889"/>
      <c r="X1323" s="15"/>
      <c r="Y1323" s="1935"/>
      <c r="Z1323" s="1086"/>
      <c r="AA1323" s="230"/>
      <c r="AB1323" s="230"/>
      <c r="AC1323" s="1936"/>
      <c r="AD1323" s="230"/>
      <c r="AE1323" s="230"/>
      <c r="AF1323" s="230"/>
      <c r="AG1323" s="890"/>
      <c r="AJ1323" s="890"/>
      <c r="AN1323" s="223"/>
      <c r="AO1323" s="952"/>
      <c r="AP1323" s="1066"/>
      <c r="AQ1323" s="972"/>
      <c r="AR1323" s="1917"/>
      <c r="AS1323" s="222"/>
      <c r="AZ1323" s="889"/>
      <c r="BC1323" s="890"/>
      <c r="BD1323" s="952"/>
      <c r="BE1323" s="75"/>
      <c r="BF1323" s="572"/>
      <c r="BG1323" s="983"/>
      <c r="BH1323" s="222"/>
      <c r="BL1323" s="889"/>
      <c r="BO1323" s="223"/>
    </row>
    <row r="1324" spans="1:67" s="74" customFormat="1">
      <c r="A1324" s="15"/>
      <c r="B1324" s="15"/>
      <c r="C1324" s="15"/>
      <c r="D1324" s="15"/>
      <c r="E1324" s="6"/>
      <c r="F1324" s="6"/>
      <c r="G1324" s="6"/>
      <c r="K1324" s="223"/>
      <c r="M1324" s="889"/>
      <c r="P1324" s="890"/>
      <c r="T1324" s="889"/>
      <c r="X1324" s="15"/>
      <c r="Y1324" s="1935"/>
      <c r="Z1324" s="1086"/>
      <c r="AA1324" s="230"/>
      <c r="AB1324" s="230"/>
      <c r="AC1324" s="1936"/>
      <c r="AD1324" s="230"/>
      <c r="AE1324" s="230"/>
      <c r="AF1324" s="230"/>
      <c r="AG1324" s="890"/>
      <c r="AJ1324" s="890"/>
      <c r="AN1324" s="223"/>
      <c r="AO1324" s="952"/>
      <c r="AP1324" s="1066"/>
      <c r="AQ1324" s="972"/>
      <c r="AR1324" s="1917"/>
      <c r="AS1324" s="222"/>
      <c r="AZ1324" s="889"/>
      <c r="BC1324" s="890"/>
      <c r="BD1324" s="952"/>
      <c r="BE1324" s="75"/>
      <c r="BF1324" s="572"/>
      <c r="BG1324" s="983"/>
      <c r="BH1324" s="222"/>
      <c r="BL1324" s="889"/>
      <c r="BO1324" s="223"/>
    </row>
    <row r="1325" spans="1:67" s="74" customFormat="1">
      <c r="A1325" s="15"/>
      <c r="B1325" s="15"/>
      <c r="C1325" s="15"/>
      <c r="D1325" s="15"/>
      <c r="E1325" s="6"/>
      <c r="F1325" s="6"/>
      <c r="G1325" s="6"/>
      <c r="K1325" s="223"/>
      <c r="M1325" s="889"/>
      <c r="P1325" s="890"/>
      <c r="T1325" s="889"/>
      <c r="X1325" s="15"/>
      <c r="Y1325" s="1935"/>
      <c r="Z1325" s="1086"/>
      <c r="AA1325" s="230"/>
      <c r="AB1325" s="230"/>
      <c r="AC1325" s="1936"/>
      <c r="AD1325" s="230"/>
      <c r="AE1325" s="230"/>
      <c r="AF1325" s="230"/>
      <c r="AG1325" s="890"/>
      <c r="AJ1325" s="890"/>
      <c r="AN1325" s="223"/>
      <c r="AO1325" s="952"/>
      <c r="AP1325" s="1066"/>
      <c r="AQ1325" s="972"/>
      <c r="AR1325" s="1917"/>
      <c r="AS1325" s="222"/>
      <c r="AZ1325" s="889"/>
      <c r="BC1325" s="890"/>
      <c r="BD1325" s="952"/>
      <c r="BE1325" s="75"/>
      <c r="BF1325" s="572"/>
      <c r="BG1325" s="983"/>
      <c r="BH1325" s="222"/>
      <c r="BL1325" s="889"/>
      <c r="BO1325" s="223"/>
    </row>
    <row r="1326" spans="1:67" s="74" customFormat="1">
      <c r="A1326" s="15"/>
      <c r="B1326" s="15"/>
      <c r="C1326" s="15"/>
      <c r="D1326" s="15"/>
      <c r="E1326" s="6"/>
      <c r="F1326" s="6"/>
      <c r="G1326" s="6"/>
      <c r="K1326" s="223"/>
      <c r="M1326" s="889"/>
      <c r="P1326" s="890"/>
      <c r="T1326" s="889"/>
      <c r="X1326" s="15"/>
      <c r="Y1326" s="1935"/>
      <c r="Z1326" s="1086"/>
      <c r="AA1326" s="230"/>
      <c r="AB1326" s="230"/>
      <c r="AC1326" s="1936"/>
      <c r="AD1326" s="230"/>
      <c r="AE1326" s="230"/>
      <c r="AF1326" s="230"/>
      <c r="AG1326" s="890"/>
      <c r="AJ1326" s="890"/>
      <c r="AN1326" s="223"/>
      <c r="AO1326" s="952"/>
      <c r="AP1326" s="1066"/>
      <c r="AQ1326" s="972"/>
      <c r="AR1326" s="1917"/>
      <c r="AS1326" s="222"/>
      <c r="AZ1326" s="889"/>
      <c r="BC1326" s="890"/>
      <c r="BD1326" s="952"/>
      <c r="BE1326" s="75"/>
      <c r="BF1326" s="572"/>
      <c r="BG1326" s="983"/>
      <c r="BH1326" s="222"/>
      <c r="BL1326" s="889"/>
      <c r="BO1326" s="223"/>
    </row>
    <row r="1327" spans="1:67" s="74" customFormat="1">
      <c r="A1327" s="15"/>
      <c r="B1327" s="15"/>
      <c r="C1327" s="15"/>
      <c r="D1327" s="15"/>
      <c r="E1327" s="6"/>
      <c r="F1327" s="6"/>
      <c r="G1327" s="6"/>
      <c r="K1327" s="223"/>
      <c r="M1327" s="889"/>
      <c r="P1327" s="890"/>
      <c r="T1327" s="889"/>
      <c r="X1327" s="15"/>
      <c r="Y1327" s="1935"/>
      <c r="Z1327" s="1086"/>
      <c r="AA1327" s="230"/>
      <c r="AB1327" s="230"/>
      <c r="AC1327" s="1936"/>
      <c r="AD1327" s="230"/>
      <c r="AE1327" s="230"/>
      <c r="AF1327" s="230"/>
      <c r="AG1327" s="890"/>
      <c r="AJ1327" s="890"/>
      <c r="AN1327" s="223"/>
      <c r="AO1327" s="952"/>
      <c r="AP1327" s="1066"/>
      <c r="AQ1327" s="972"/>
      <c r="AR1327" s="1917"/>
      <c r="AS1327" s="222"/>
      <c r="AZ1327" s="889"/>
      <c r="BC1327" s="890"/>
      <c r="BD1327" s="952"/>
      <c r="BE1327" s="75"/>
      <c r="BF1327" s="572"/>
      <c r="BG1327" s="983"/>
      <c r="BH1327" s="222"/>
      <c r="BL1327" s="889"/>
      <c r="BO1327" s="223"/>
    </row>
    <row r="1328" spans="1:67" s="74" customFormat="1">
      <c r="A1328" s="15"/>
      <c r="B1328" s="15"/>
      <c r="C1328" s="15"/>
      <c r="D1328" s="15"/>
      <c r="E1328" s="6"/>
      <c r="F1328" s="6"/>
      <c r="G1328" s="6"/>
      <c r="K1328" s="223"/>
      <c r="M1328" s="889"/>
      <c r="P1328" s="890"/>
      <c r="T1328" s="889"/>
      <c r="X1328" s="15"/>
      <c r="Y1328" s="1935"/>
      <c r="Z1328" s="1086"/>
      <c r="AA1328" s="230"/>
      <c r="AB1328" s="230"/>
      <c r="AC1328" s="1936"/>
      <c r="AD1328" s="230"/>
      <c r="AE1328" s="230"/>
      <c r="AF1328" s="230"/>
      <c r="AG1328" s="890"/>
      <c r="AJ1328" s="890"/>
      <c r="AN1328" s="223"/>
      <c r="AO1328" s="952"/>
      <c r="AP1328" s="1066"/>
      <c r="AQ1328" s="972"/>
      <c r="AR1328" s="1917"/>
      <c r="AS1328" s="222"/>
      <c r="AZ1328" s="889"/>
      <c r="BC1328" s="890"/>
      <c r="BD1328" s="952"/>
      <c r="BE1328" s="75"/>
      <c r="BF1328" s="572"/>
      <c r="BG1328" s="983"/>
      <c r="BH1328" s="222"/>
      <c r="BL1328" s="889"/>
      <c r="BO1328" s="223"/>
    </row>
    <row r="1329" spans="1:67" s="74" customFormat="1">
      <c r="A1329" s="15"/>
      <c r="B1329" s="15"/>
      <c r="C1329" s="15"/>
      <c r="D1329" s="15"/>
      <c r="E1329" s="6"/>
      <c r="F1329" s="6"/>
      <c r="G1329" s="6"/>
      <c r="K1329" s="223"/>
      <c r="M1329" s="889"/>
      <c r="P1329" s="890"/>
      <c r="T1329" s="889"/>
      <c r="X1329" s="15"/>
      <c r="Y1329" s="1935"/>
      <c r="Z1329" s="1086"/>
      <c r="AA1329" s="230"/>
      <c r="AB1329" s="230"/>
      <c r="AC1329" s="1936"/>
      <c r="AD1329" s="230"/>
      <c r="AE1329" s="230"/>
      <c r="AF1329" s="230"/>
      <c r="AG1329" s="890"/>
      <c r="AJ1329" s="890"/>
      <c r="AN1329" s="223"/>
      <c r="AO1329" s="952"/>
      <c r="AP1329" s="1066"/>
      <c r="AQ1329" s="972"/>
      <c r="AR1329" s="1917"/>
      <c r="AS1329" s="222"/>
      <c r="AZ1329" s="889"/>
      <c r="BC1329" s="890"/>
      <c r="BD1329" s="952"/>
      <c r="BE1329" s="75"/>
      <c r="BF1329" s="572"/>
      <c r="BG1329" s="983"/>
      <c r="BH1329" s="222"/>
      <c r="BL1329" s="889"/>
      <c r="BO1329" s="223"/>
    </row>
    <row r="1330" spans="1:67" s="74" customFormat="1">
      <c r="A1330" s="15"/>
      <c r="B1330" s="15"/>
      <c r="C1330" s="15"/>
      <c r="D1330" s="15"/>
      <c r="E1330" s="6"/>
      <c r="F1330" s="6"/>
      <c r="G1330" s="6"/>
      <c r="K1330" s="223"/>
      <c r="M1330" s="889"/>
      <c r="P1330" s="890"/>
      <c r="T1330" s="889"/>
      <c r="X1330" s="15"/>
      <c r="Y1330" s="1935"/>
      <c r="Z1330" s="1086"/>
      <c r="AA1330" s="230"/>
      <c r="AB1330" s="230"/>
      <c r="AC1330" s="1936"/>
      <c r="AD1330" s="230"/>
      <c r="AE1330" s="230"/>
      <c r="AF1330" s="230"/>
      <c r="AG1330" s="890"/>
      <c r="AJ1330" s="890"/>
      <c r="AN1330" s="223"/>
      <c r="AO1330" s="952"/>
      <c r="AP1330" s="1066"/>
      <c r="AQ1330" s="972"/>
      <c r="AR1330" s="1917"/>
      <c r="AS1330" s="222"/>
      <c r="AZ1330" s="889"/>
      <c r="BC1330" s="890"/>
      <c r="BD1330" s="952"/>
      <c r="BE1330" s="75"/>
      <c r="BF1330" s="572"/>
      <c r="BG1330" s="983"/>
      <c r="BH1330" s="222"/>
      <c r="BL1330" s="889"/>
      <c r="BO1330" s="223"/>
    </row>
    <row r="1331" spans="1:67" s="74" customFormat="1">
      <c r="A1331" s="15"/>
      <c r="B1331" s="15"/>
      <c r="C1331" s="15"/>
      <c r="D1331" s="15"/>
      <c r="E1331" s="6"/>
      <c r="F1331" s="6"/>
      <c r="G1331" s="6"/>
      <c r="K1331" s="223"/>
      <c r="M1331" s="889"/>
      <c r="P1331" s="890"/>
      <c r="T1331" s="889"/>
      <c r="X1331" s="15"/>
      <c r="Y1331" s="1935"/>
      <c r="Z1331" s="1086"/>
      <c r="AA1331" s="230"/>
      <c r="AB1331" s="230"/>
      <c r="AC1331" s="1936"/>
      <c r="AD1331" s="230"/>
      <c r="AE1331" s="230"/>
      <c r="AF1331" s="230"/>
      <c r="AG1331" s="890"/>
      <c r="AJ1331" s="890"/>
      <c r="AN1331" s="223"/>
      <c r="AO1331" s="952"/>
      <c r="AP1331" s="1066"/>
      <c r="AQ1331" s="972"/>
      <c r="AR1331" s="1917"/>
      <c r="AS1331" s="222"/>
      <c r="AZ1331" s="889"/>
      <c r="BC1331" s="890"/>
      <c r="BD1331" s="952"/>
      <c r="BE1331" s="75"/>
      <c r="BF1331" s="572"/>
      <c r="BG1331" s="983"/>
      <c r="BH1331" s="222"/>
      <c r="BL1331" s="889"/>
      <c r="BO1331" s="223"/>
    </row>
    <row r="1332" spans="1:67" s="74" customFormat="1">
      <c r="A1332" s="15"/>
      <c r="B1332" s="15"/>
      <c r="C1332" s="15"/>
      <c r="D1332" s="15"/>
      <c r="E1332" s="6"/>
      <c r="F1332" s="6"/>
      <c r="G1332" s="6"/>
      <c r="K1332" s="223"/>
      <c r="M1332" s="889"/>
      <c r="P1332" s="890"/>
      <c r="T1332" s="889"/>
      <c r="X1332" s="15"/>
      <c r="Y1332" s="1935"/>
      <c r="Z1332" s="1086"/>
      <c r="AA1332" s="230"/>
      <c r="AB1332" s="230"/>
      <c r="AC1332" s="1936"/>
      <c r="AD1332" s="230"/>
      <c r="AE1332" s="230"/>
      <c r="AF1332" s="230"/>
      <c r="AG1332" s="890"/>
      <c r="AJ1332" s="890"/>
      <c r="AN1332" s="223"/>
      <c r="AO1332" s="952"/>
      <c r="AP1332" s="1066"/>
      <c r="AQ1332" s="972"/>
      <c r="AR1332" s="1917"/>
      <c r="AS1332" s="222"/>
      <c r="AZ1332" s="889"/>
      <c r="BC1332" s="890"/>
      <c r="BD1332" s="952"/>
      <c r="BE1332" s="75"/>
      <c r="BF1332" s="572"/>
      <c r="BG1332" s="983"/>
      <c r="BH1332" s="222"/>
      <c r="BL1332" s="889"/>
      <c r="BO1332" s="223"/>
    </row>
    <row r="1333" spans="1:67" s="74" customFormat="1">
      <c r="A1333" s="15"/>
      <c r="B1333" s="15"/>
      <c r="C1333" s="15"/>
      <c r="D1333" s="15"/>
      <c r="E1333" s="6"/>
      <c r="F1333" s="6"/>
      <c r="G1333" s="6"/>
      <c r="K1333" s="223"/>
      <c r="M1333" s="889"/>
      <c r="P1333" s="890"/>
      <c r="T1333" s="889"/>
      <c r="X1333" s="15"/>
      <c r="Y1333" s="1935"/>
      <c r="Z1333" s="1086"/>
      <c r="AA1333" s="230"/>
      <c r="AB1333" s="230"/>
      <c r="AC1333" s="1936"/>
      <c r="AD1333" s="230"/>
      <c r="AE1333" s="230"/>
      <c r="AF1333" s="230"/>
      <c r="AG1333" s="890"/>
      <c r="AJ1333" s="890"/>
      <c r="AN1333" s="223"/>
      <c r="AO1333" s="952"/>
      <c r="AP1333" s="1066"/>
      <c r="AQ1333" s="972"/>
      <c r="AR1333" s="1917"/>
      <c r="AS1333" s="222"/>
      <c r="AZ1333" s="889"/>
      <c r="BC1333" s="890"/>
      <c r="BD1333" s="952"/>
      <c r="BE1333" s="75"/>
      <c r="BF1333" s="572"/>
      <c r="BG1333" s="983"/>
      <c r="BH1333" s="222"/>
      <c r="BL1333" s="889"/>
      <c r="BO1333" s="223"/>
    </row>
    <row r="1334" spans="1:67" s="74" customFormat="1">
      <c r="A1334" s="15"/>
      <c r="B1334" s="15"/>
      <c r="C1334" s="15"/>
      <c r="D1334" s="15"/>
      <c r="E1334" s="6"/>
      <c r="F1334" s="6"/>
      <c r="G1334" s="6"/>
      <c r="K1334" s="223"/>
      <c r="M1334" s="889"/>
      <c r="P1334" s="890"/>
      <c r="T1334" s="889"/>
      <c r="X1334" s="15"/>
      <c r="Y1334" s="1935"/>
      <c r="Z1334" s="1086"/>
      <c r="AA1334" s="230"/>
      <c r="AB1334" s="230"/>
      <c r="AC1334" s="1936"/>
      <c r="AD1334" s="230"/>
      <c r="AE1334" s="230"/>
      <c r="AF1334" s="230"/>
      <c r="AG1334" s="890"/>
      <c r="AJ1334" s="890"/>
      <c r="AN1334" s="223"/>
      <c r="AO1334" s="952"/>
      <c r="AP1334" s="1066"/>
      <c r="AQ1334" s="972"/>
      <c r="AR1334" s="1917"/>
      <c r="AS1334" s="222"/>
      <c r="AZ1334" s="889"/>
      <c r="BC1334" s="890"/>
      <c r="BD1334" s="952"/>
      <c r="BE1334" s="75"/>
      <c r="BF1334" s="572"/>
      <c r="BG1334" s="983"/>
      <c r="BH1334" s="222"/>
      <c r="BL1334" s="889"/>
      <c r="BO1334" s="223"/>
    </row>
    <row r="1335" spans="1:67" s="74" customFormat="1">
      <c r="A1335" s="15"/>
      <c r="B1335" s="15"/>
      <c r="C1335" s="15"/>
      <c r="D1335" s="15"/>
      <c r="E1335" s="6"/>
      <c r="F1335" s="6"/>
      <c r="G1335" s="6"/>
      <c r="K1335" s="223"/>
      <c r="M1335" s="889"/>
      <c r="P1335" s="890"/>
      <c r="T1335" s="889"/>
      <c r="X1335" s="15"/>
      <c r="Y1335" s="1935"/>
      <c r="Z1335" s="1086"/>
      <c r="AA1335" s="230"/>
      <c r="AB1335" s="230"/>
      <c r="AC1335" s="1936"/>
      <c r="AD1335" s="230"/>
      <c r="AE1335" s="230"/>
      <c r="AF1335" s="230"/>
      <c r="AG1335" s="890"/>
      <c r="AJ1335" s="890"/>
      <c r="AN1335" s="223"/>
      <c r="AO1335" s="952"/>
      <c r="AP1335" s="1066"/>
      <c r="AQ1335" s="972"/>
      <c r="AR1335" s="1917"/>
      <c r="AS1335" s="222"/>
      <c r="AZ1335" s="889"/>
      <c r="BC1335" s="890"/>
      <c r="BD1335" s="952"/>
      <c r="BE1335" s="75"/>
      <c r="BF1335" s="572"/>
      <c r="BG1335" s="983"/>
      <c r="BH1335" s="222"/>
      <c r="BL1335" s="889"/>
      <c r="BO1335" s="223"/>
    </row>
    <row r="1336" spans="1:67" s="74" customFormat="1">
      <c r="A1336" s="15"/>
      <c r="B1336" s="15"/>
      <c r="C1336" s="15"/>
      <c r="D1336" s="15"/>
      <c r="E1336" s="6"/>
      <c r="F1336" s="6"/>
      <c r="G1336" s="6"/>
      <c r="K1336" s="223"/>
      <c r="M1336" s="889"/>
      <c r="P1336" s="890"/>
      <c r="T1336" s="889"/>
      <c r="X1336" s="15"/>
      <c r="Y1336" s="1935"/>
      <c r="Z1336" s="1086"/>
      <c r="AA1336" s="230"/>
      <c r="AB1336" s="230"/>
      <c r="AC1336" s="1936"/>
      <c r="AD1336" s="230"/>
      <c r="AE1336" s="230"/>
      <c r="AF1336" s="230"/>
      <c r="AG1336" s="890"/>
      <c r="AJ1336" s="890"/>
      <c r="AN1336" s="223"/>
      <c r="AO1336" s="952"/>
      <c r="AP1336" s="1066"/>
      <c r="AQ1336" s="972"/>
      <c r="AR1336" s="1917"/>
      <c r="AS1336" s="222"/>
      <c r="AZ1336" s="889"/>
      <c r="BC1336" s="890"/>
      <c r="BD1336" s="952"/>
      <c r="BE1336" s="75"/>
      <c r="BF1336" s="572"/>
      <c r="BG1336" s="983"/>
      <c r="BH1336" s="222"/>
      <c r="BL1336" s="889"/>
      <c r="BO1336" s="223"/>
    </row>
    <row r="1337" spans="1:67" s="74" customFormat="1">
      <c r="A1337" s="15"/>
      <c r="B1337" s="15"/>
      <c r="C1337" s="15"/>
      <c r="D1337" s="15"/>
      <c r="E1337" s="6"/>
      <c r="F1337" s="6"/>
      <c r="G1337" s="6"/>
      <c r="K1337" s="223"/>
      <c r="M1337" s="889"/>
      <c r="P1337" s="890"/>
      <c r="T1337" s="889"/>
      <c r="X1337" s="15"/>
      <c r="Y1337" s="1935"/>
      <c r="Z1337" s="1086"/>
      <c r="AA1337" s="230"/>
      <c r="AB1337" s="230"/>
      <c r="AC1337" s="1936"/>
      <c r="AD1337" s="230"/>
      <c r="AE1337" s="230"/>
      <c r="AF1337" s="230"/>
      <c r="AG1337" s="890"/>
      <c r="AJ1337" s="890"/>
      <c r="AN1337" s="223"/>
      <c r="AO1337" s="952"/>
      <c r="AP1337" s="1066"/>
      <c r="AQ1337" s="972"/>
      <c r="AR1337" s="1917"/>
      <c r="AS1337" s="222"/>
      <c r="AZ1337" s="889"/>
      <c r="BC1337" s="890"/>
      <c r="BD1337" s="952"/>
      <c r="BE1337" s="75"/>
      <c r="BF1337" s="572"/>
      <c r="BG1337" s="983"/>
      <c r="BH1337" s="222"/>
      <c r="BL1337" s="889"/>
      <c r="BO1337" s="223"/>
    </row>
    <row r="1338" spans="1:67" s="74" customFormat="1">
      <c r="A1338" s="15"/>
      <c r="B1338" s="15"/>
      <c r="C1338" s="15"/>
      <c r="D1338" s="15"/>
      <c r="E1338" s="6"/>
      <c r="F1338" s="6"/>
      <c r="G1338" s="6"/>
      <c r="K1338" s="223"/>
      <c r="M1338" s="889"/>
      <c r="P1338" s="890"/>
      <c r="T1338" s="889"/>
      <c r="X1338" s="15"/>
      <c r="Y1338" s="1935"/>
      <c r="Z1338" s="1086"/>
      <c r="AA1338" s="230"/>
      <c r="AB1338" s="230"/>
      <c r="AC1338" s="1936"/>
      <c r="AD1338" s="230"/>
      <c r="AE1338" s="230"/>
      <c r="AF1338" s="230"/>
      <c r="AG1338" s="890"/>
      <c r="AJ1338" s="890"/>
      <c r="AN1338" s="223"/>
      <c r="AO1338" s="952"/>
      <c r="AP1338" s="1066"/>
      <c r="AQ1338" s="972"/>
      <c r="AR1338" s="1917"/>
      <c r="AS1338" s="222"/>
      <c r="AZ1338" s="889"/>
      <c r="BC1338" s="890"/>
      <c r="BD1338" s="952"/>
      <c r="BE1338" s="75"/>
      <c r="BF1338" s="572"/>
      <c r="BG1338" s="983"/>
      <c r="BH1338" s="222"/>
      <c r="BL1338" s="889"/>
      <c r="BO1338" s="223"/>
    </row>
    <row r="1339" spans="1:67" s="74" customFormat="1">
      <c r="A1339" s="15"/>
      <c r="B1339" s="15"/>
      <c r="C1339" s="15"/>
      <c r="D1339" s="15"/>
      <c r="E1339" s="6"/>
      <c r="F1339" s="6"/>
      <c r="G1339" s="6"/>
      <c r="K1339" s="223"/>
      <c r="M1339" s="889"/>
      <c r="P1339" s="890"/>
      <c r="T1339" s="889"/>
      <c r="X1339" s="15"/>
      <c r="Y1339" s="1935"/>
      <c r="Z1339" s="1086"/>
      <c r="AA1339" s="230"/>
      <c r="AB1339" s="230"/>
      <c r="AC1339" s="1936"/>
      <c r="AD1339" s="230"/>
      <c r="AE1339" s="230"/>
      <c r="AF1339" s="230"/>
      <c r="AG1339" s="890"/>
      <c r="AJ1339" s="890"/>
      <c r="AN1339" s="223"/>
      <c r="AO1339" s="952"/>
      <c r="AP1339" s="1066"/>
      <c r="AQ1339" s="972"/>
      <c r="AR1339" s="1917"/>
      <c r="AS1339" s="222"/>
      <c r="AZ1339" s="889"/>
      <c r="BC1339" s="890"/>
      <c r="BD1339" s="952"/>
      <c r="BE1339" s="75"/>
      <c r="BF1339" s="572"/>
      <c r="BG1339" s="983"/>
      <c r="BH1339" s="222"/>
      <c r="BL1339" s="889"/>
      <c r="BO1339" s="223"/>
    </row>
    <row r="1340" spans="1:67" s="74" customFormat="1">
      <c r="A1340" s="15"/>
      <c r="B1340" s="15"/>
      <c r="C1340" s="15"/>
      <c r="D1340" s="15"/>
      <c r="E1340" s="6"/>
      <c r="F1340" s="6"/>
      <c r="G1340" s="6"/>
      <c r="K1340" s="223"/>
      <c r="M1340" s="889"/>
      <c r="P1340" s="890"/>
      <c r="T1340" s="889"/>
      <c r="X1340" s="15"/>
      <c r="Y1340" s="1935"/>
      <c r="Z1340" s="1086"/>
      <c r="AA1340" s="230"/>
      <c r="AB1340" s="230"/>
      <c r="AC1340" s="1936"/>
      <c r="AD1340" s="230"/>
      <c r="AE1340" s="230"/>
      <c r="AF1340" s="230"/>
      <c r="AG1340" s="890"/>
      <c r="AJ1340" s="890"/>
      <c r="AN1340" s="223"/>
      <c r="AO1340" s="952"/>
      <c r="AP1340" s="1066"/>
      <c r="AQ1340" s="972"/>
      <c r="AR1340" s="1917"/>
      <c r="AS1340" s="222"/>
      <c r="AZ1340" s="889"/>
      <c r="BC1340" s="890"/>
      <c r="BD1340" s="952"/>
      <c r="BE1340" s="75"/>
      <c r="BF1340" s="572"/>
      <c r="BG1340" s="983"/>
      <c r="BH1340" s="222"/>
      <c r="BL1340" s="889"/>
      <c r="BO1340" s="223"/>
    </row>
    <row r="1341" spans="1:67" s="74" customFormat="1">
      <c r="A1341" s="15"/>
      <c r="B1341" s="15"/>
      <c r="C1341" s="15"/>
      <c r="D1341" s="15"/>
      <c r="E1341" s="6"/>
      <c r="F1341" s="6"/>
      <c r="G1341" s="6"/>
      <c r="K1341" s="223"/>
      <c r="M1341" s="889"/>
      <c r="P1341" s="890"/>
      <c r="T1341" s="889"/>
      <c r="X1341" s="15"/>
      <c r="Y1341" s="1935"/>
      <c r="Z1341" s="1086"/>
      <c r="AA1341" s="230"/>
      <c r="AB1341" s="230"/>
      <c r="AC1341" s="1936"/>
      <c r="AD1341" s="230"/>
      <c r="AE1341" s="230"/>
      <c r="AF1341" s="230"/>
      <c r="AG1341" s="890"/>
      <c r="AJ1341" s="890"/>
      <c r="AN1341" s="223"/>
      <c r="AO1341" s="952"/>
      <c r="AP1341" s="1066"/>
      <c r="AQ1341" s="972"/>
      <c r="AR1341" s="1917"/>
      <c r="AS1341" s="222"/>
      <c r="AZ1341" s="889"/>
      <c r="BC1341" s="890"/>
      <c r="BD1341" s="952"/>
      <c r="BE1341" s="75"/>
      <c r="BF1341" s="572"/>
      <c r="BG1341" s="983"/>
      <c r="BH1341" s="222"/>
      <c r="BL1341" s="889"/>
      <c r="BO1341" s="223"/>
    </row>
    <row r="1342" spans="1:67" s="74" customFormat="1">
      <c r="A1342" s="15"/>
      <c r="B1342" s="15"/>
      <c r="C1342" s="15"/>
      <c r="D1342" s="15"/>
      <c r="E1342" s="6"/>
      <c r="F1342" s="6"/>
      <c r="G1342" s="6"/>
      <c r="K1342" s="223"/>
      <c r="M1342" s="889"/>
      <c r="P1342" s="890"/>
      <c r="T1342" s="889"/>
      <c r="X1342" s="15"/>
      <c r="Y1342" s="1935"/>
      <c r="Z1342" s="1086"/>
      <c r="AA1342" s="230"/>
      <c r="AB1342" s="230"/>
      <c r="AC1342" s="1936"/>
      <c r="AD1342" s="230"/>
      <c r="AE1342" s="230"/>
      <c r="AF1342" s="230"/>
      <c r="AG1342" s="890"/>
      <c r="AJ1342" s="890"/>
      <c r="AN1342" s="223"/>
      <c r="AO1342" s="952"/>
      <c r="AP1342" s="1066"/>
      <c r="AQ1342" s="972"/>
      <c r="AR1342" s="1917"/>
      <c r="AS1342" s="222"/>
      <c r="AZ1342" s="889"/>
      <c r="BC1342" s="890"/>
      <c r="BD1342" s="952"/>
      <c r="BE1342" s="75"/>
      <c r="BF1342" s="572"/>
      <c r="BG1342" s="983"/>
      <c r="BH1342" s="222"/>
      <c r="BL1342" s="889"/>
      <c r="BO1342" s="223"/>
    </row>
    <row r="1343" spans="1:67" s="74" customFormat="1">
      <c r="A1343" s="15"/>
      <c r="B1343" s="15"/>
      <c r="C1343" s="15"/>
      <c r="D1343" s="15"/>
      <c r="E1343" s="6"/>
      <c r="F1343" s="6"/>
      <c r="G1343" s="6"/>
      <c r="K1343" s="223"/>
      <c r="M1343" s="889"/>
      <c r="P1343" s="890"/>
      <c r="T1343" s="889"/>
      <c r="X1343" s="15"/>
      <c r="Y1343" s="1935"/>
      <c r="Z1343" s="1086"/>
      <c r="AA1343" s="230"/>
      <c r="AB1343" s="230"/>
      <c r="AC1343" s="1936"/>
      <c r="AD1343" s="230"/>
      <c r="AE1343" s="230"/>
      <c r="AF1343" s="230"/>
      <c r="AG1343" s="890"/>
      <c r="AJ1343" s="890"/>
      <c r="AN1343" s="223"/>
      <c r="AO1343" s="952"/>
      <c r="AP1343" s="1066"/>
      <c r="AQ1343" s="972"/>
      <c r="AR1343" s="1917"/>
      <c r="AS1343" s="222"/>
      <c r="AZ1343" s="889"/>
      <c r="BC1343" s="890"/>
      <c r="BD1343" s="952"/>
      <c r="BE1343" s="75"/>
      <c r="BF1343" s="572"/>
      <c r="BG1343" s="983"/>
      <c r="BH1343" s="222"/>
      <c r="BL1343" s="889"/>
      <c r="BO1343" s="223"/>
    </row>
    <row r="1344" spans="1:67" s="74" customFormat="1">
      <c r="A1344" s="15"/>
      <c r="B1344" s="15"/>
      <c r="C1344" s="15"/>
      <c r="D1344" s="15"/>
      <c r="E1344" s="6"/>
      <c r="F1344" s="6"/>
      <c r="G1344" s="6"/>
      <c r="K1344" s="223"/>
      <c r="M1344" s="889"/>
      <c r="P1344" s="890"/>
      <c r="T1344" s="889"/>
      <c r="X1344" s="15"/>
      <c r="Y1344" s="1935"/>
      <c r="Z1344" s="1086"/>
      <c r="AA1344" s="230"/>
      <c r="AB1344" s="230"/>
      <c r="AC1344" s="1936"/>
      <c r="AD1344" s="230"/>
      <c r="AE1344" s="230"/>
      <c r="AF1344" s="230"/>
      <c r="AG1344" s="890"/>
      <c r="AJ1344" s="890"/>
      <c r="AN1344" s="223"/>
      <c r="AO1344" s="952"/>
      <c r="AP1344" s="1066"/>
      <c r="AQ1344" s="972"/>
      <c r="AR1344" s="1917"/>
      <c r="AS1344" s="222"/>
      <c r="AZ1344" s="889"/>
      <c r="BC1344" s="890"/>
      <c r="BD1344" s="952"/>
      <c r="BE1344" s="75"/>
      <c r="BF1344" s="572"/>
      <c r="BG1344" s="983"/>
      <c r="BH1344" s="222"/>
      <c r="BL1344" s="889"/>
      <c r="BO1344" s="223"/>
    </row>
    <row r="1345" spans="1:67" s="74" customFormat="1">
      <c r="A1345" s="15"/>
      <c r="B1345" s="15"/>
      <c r="C1345" s="15"/>
      <c r="D1345" s="15"/>
      <c r="E1345" s="6"/>
      <c r="F1345" s="6"/>
      <c r="G1345" s="6"/>
      <c r="K1345" s="223"/>
      <c r="M1345" s="889"/>
      <c r="P1345" s="890"/>
      <c r="T1345" s="889"/>
      <c r="X1345" s="15"/>
      <c r="Y1345" s="1935"/>
      <c r="Z1345" s="1086"/>
      <c r="AA1345" s="230"/>
      <c r="AB1345" s="230"/>
      <c r="AC1345" s="1936"/>
      <c r="AD1345" s="230"/>
      <c r="AE1345" s="230"/>
      <c r="AF1345" s="230"/>
      <c r="AG1345" s="890"/>
      <c r="AJ1345" s="890"/>
      <c r="AN1345" s="223"/>
      <c r="AO1345" s="952"/>
      <c r="AP1345" s="1066"/>
      <c r="AQ1345" s="972"/>
      <c r="AR1345" s="1917"/>
      <c r="AS1345" s="222"/>
      <c r="AZ1345" s="889"/>
      <c r="BC1345" s="890"/>
      <c r="BD1345" s="952"/>
      <c r="BE1345" s="75"/>
      <c r="BF1345" s="572"/>
      <c r="BG1345" s="983"/>
      <c r="BH1345" s="222"/>
      <c r="BL1345" s="889"/>
      <c r="BO1345" s="223"/>
    </row>
    <row r="1346" spans="1:67" s="74" customFormat="1">
      <c r="A1346" s="15"/>
      <c r="B1346" s="15"/>
      <c r="C1346" s="15"/>
      <c r="D1346" s="15"/>
      <c r="E1346" s="6"/>
      <c r="F1346" s="6"/>
      <c r="G1346" s="6"/>
      <c r="K1346" s="223"/>
      <c r="M1346" s="889"/>
      <c r="P1346" s="890"/>
      <c r="T1346" s="889"/>
      <c r="X1346" s="15"/>
      <c r="Y1346" s="1935"/>
      <c r="Z1346" s="1086"/>
      <c r="AA1346" s="230"/>
      <c r="AB1346" s="230"/>
      <c r="AC1346" s="1936"/>
      <c r="AD1346" s="230"/>
      <c r="AE1346" s="230"/>
      <c r="AF1346" s="230"/>
      <c r="AG1346" s="890"/>
      <c r="AJ1346" s="890"/>
      <c r="AN1346" s="223"/>
      <c r="AO1346" s="952"/>
      <c r="AP1346" s="1066"/>
      <c r="AQ1346" s="972"/>
      <c r="AR1346" s="1917"/>
      <c r="AS1346" s="222"/>
      <c r="AZ1346" s="889"/>
      <c r="BC1346" s="890"/>
      <c r="BD1346" s="952"/>
      <c r="BE1346" s="75"/>
      <c r="BF1346" s="572"/>
      <c r="BG1346" s="983"/>
      <c r="BH1346" s="222"/>
      <c r="BL1346" s="889"/>
      <c r="BO1346" s="223"/>
    </row>
    <row r="1347" spans="1:67" s="74" customFormat="1">
      <c r="A1347" s="15"/>
      <c r="B1347" s="15"/>
      <c r="C1347" s="15"/>
      <c r="D1347" s="15"/>
      <c r="E1347" s="6"/>
      <c r="F1347" s="6"/>
      <c r="G1347" s="6"/>
      <c r="K1347" s="223"/>
      <c r="M1347" s="889"/>
      <c r="P1347" s="890"/>
      <c r="T1347" s="889"/>
      <c r="X1347" s="15"/>
      <c r="Y1347" s="1935"/>
      <c r="Z1347" s="1086"/>
      <c r="AA1347" s="230"/>
      <c r="AB1347" s="230"/>
      <c r="AC1347" s="1936"/>
      <c r="AD1347" s="230"/>
      <c r="AE1347" s="230"/>
      <c r="AF1347" s="230"/>
      <c r="AG1347" s="890"/>
      <c r="AJ1347" s="890"/>
      <c r="AN1347" s="223"/>
      <c r="AO1347" s="952"/>
      <c r="AP1347" s="1066"/>
      <c r="AQ1347" s="972"/>
      <c r="AR1347" s="1917"/>
      <c r="AS1347" s="222"/>
      <c r="AZ1347" s="889"/>
      <c r="BC1347" s="890"/>
      <c r="BD1347" s="952"/>
      <c r="BE1347" s="75"/>
      <c r="BF1347" s="572"/>
      <c r="BG1347" s="983"/>
      <c r="BH1347" s="222"/>
      <c r="BL1347" s="889"/>
      <c r="BO1347" s="223"/>
    </row>
    <row r="1348" spans="1:67" s="74" customFormat="1">
      <c r="A1348" s="15"/>
      <c r="B1348" s="15"/>
      <c r="C1348" s="15"/>
      <c r="D1348" s="15"/>
      <c r="E1348" s="6"/>
      <c r="F1348" s="6"/>
      <c r="G1348" s="6"/>
      <c r="K1348" s="223"/>
      <c r="M1348" s="889"/>
      <c r="P1348" s="890"/>
      <c r="T1348" s="889"/>
      <c r="X1348" s="15"/>
      <c r="Y1348" s="1935"/>
      <c r="Z1348" s="1086"/>
      <c r="AA1348" s="230"/>
      <c r="AB1348" s="230"/>
      <c r="AC1348" s="1936"/>
      <c r="AD1348" s="230"/>
      <c r="AE1348" s="230"/>
      <c r="AF1348" s="230"/>
      <c r="AG1348" s="890"/>
      <c r="AJ1348" s="890"/>
      <c r="AN1348" s="223"/>
      <c r="AO1348" s="952"/>
      <c r="AP1348" s="1066"/>
      <c r="AQ1348" s="972"/>
      <c r="AR1348" s="1917"/>
      <c r="AS1348" s="222"/>
      <c r="AZ1348" s="889"/>
      <c r="BC1348" s="890"/>
      <c r="BD1348" s="952"/>
      <c r="BE1348" s="75"/>
      <c r="BF1348" s="572"/>
      <c r="BG1348" s="983"/>
      <c r="BH1348" s="222"/>
      <c r="BL1348" s="889"/>
      <c r="BO1348" s="223"/>
    </row>
    <row r="1349" spans="1:67" s="74" customFormat="1">
      <c r="A1349" s="15"/>
      <c r="B1349" s="15"/>
      <c r="C1349" s="15"/>
      <c r="D1349" s="15"/>
      <c r="E1349" s="6"/>
      <c r="F1349" s="6"/>
      <c r="G1349" s="6"/>
      <c r="K1349" s="223"/>
      <c r="M1349" s="889"/>
      <c r="P1349" s="890"/>
      <c r="T1349" s="889"/>
      <c r="X1349" s="15"/>
      <c r="Y1349" s="1935"/>
      <c r="Z1349" s="1086"/>
      <c r="AA1349" s="230"/>
      <c r="AB1349" s="230"/>
      <c r="AC1349" s="1936"/>
      <c r="AD1349" s="230"/>
      <c r="AE1349" s="230"/>
      <c r="AF1349" s="230"/>
      <c r="AG1349" s="890"/>
      <c r="AJ1349" s="890"/>
      <c r="AN1349" s="223"/>
      <c r="AO1349" s="952"/>
      <c r="AP1349" s="1066"/>
      <c r="AQ1349" s="972"/>
      <c r="AR1349" s="1917"/>
      <c r="AS1349" s="222"/>
      <c r="AZ1349" s="889"/>
      <c r="BC1349" s="890"/>
      <c r="BD1349" s="952"/>
      <c r="BE1349" s="75"/>
      <c r="BF1349" s="572"/>
      <c r="BG1349" s="983"/>
      <c r="BH1349" s="222"/>
      <c r="BL1349" s="889"/>
      <c r="BO1349" s="223"/>
    </row>
    <row r="1350" spans="1:67" s="74" customFormat="1">
      <c r="A1350" s="15"/>
      <c r="B1350" s="15"/>
      <c r="C1350" s="15"/>
      <c r="D1350" s="15"/>
      <c r="E1350" s="6"/>
      <c r="F1350" s="6"/>
      <c r="G1350" s="6"/>
      <c r="K1350" s="223"/>
      <c r="M1350" s="889"/>
      <c r="P1350" s="890"/>
      <c r="T1350" s="889"/>
      <c r="X1350" s="15"/>
      <c r="Y1350" s="1935"/>
      <c r="Z1350" s="1086"/>
      <c r="AA1350" s="230"/>
      <c r="AB1350" s="230"/>
      <c r="AC1350" s="1936"/>
      <c r="AD1350" s="230"/>
      <c r="AE1350" s="230"/>
      <c r="AF1350" s="230"/>
      <c r="AG1350" s="890"/>
      <c r="AJ1350" s="890"/>
      <c r="AN1350" s="223"/>
      <c r="AO1350" s="952"/>
      <c r="AP1350" s="1066"/>
      <c r="AQ1350" s="972"/>
      <c r="AR1350" s="1917"/>
      <c r="AS1350" s="222"/>
      <c r="AZ1350" s="889"/>
      <c r="BC1350" s="890"/>
      <c r="BD1350" s="952"/>
      <c r="BE1350" s="75"/>
      <c r="BF1350" s="572"/>
      <c r="BG1350" s="983"/>
      <c r="BH1350" s="222"/>
      <c r="BL1350" s="889"/>
      <c r="BO1350" s="223"/>
    </row>
    <row r="1351" spans="1:67" s="74" customFormat="1">
      <c r="A1351" s="15"/>
      <c r="B1351" s="15"/>
      <c r="C1351" s="15"/>
      <c r="D1351" s="15"/>
      <c r="E1351" s="6"/>
      <c r="F1351" s="6"/>
      <c r="G1351" s="6"/>
      <c r="K1351" s="223"/>
      <c r="M1351" s="889"/>
      <c r="P1351" s="890"/>
      <c r="T1351" s="889"/>
      <c r="X1351" s="15"/>
      <c r="Y1351" s="1935"/>
      <c r="Z1351" s="1086"/>
      <c r="AA1351" s="230"/>
      <c r="AB1351" s="230"/>
      <c r="AC1351" s="1936"/>
      <c r="AD1351" s="230"/>
      <c r="AE1351" s="230"/>
      <c r="AF1351" s="230"/>
      <c r="AG1351" s="890"/>
      <c r="AJ1351" s="890"/>
      <c r="AN1351" s="223"/>
      <c r="AO1351" s="952"/>
      <c r="AP1351" s="1066"/>
      <c r="AQ1351" s="972"/>
      <c r="AR1351" s="1917"/>
      <c r="AS1351" s="222"/>
      <c r="AZ1351" s="889"/>
      <c r="BC1351" s="890"/>
      <c r="BD1351" s="952"/>
      <c r="BE1351" s="75"/>
      <c r="BF1351" s="572"/>
      <c r="BG1351" s="983"/>
      <c r="BH1351" s="222"/>
      <c r="BL1351" s="889"/>
      <c r="BO1351" s="223"/>
    </row>
    <row r="1352" spans="1:67" s="74" customFormat="1">
      <c r="A1352" s="15"/>
      <c r="B1352" s="15"/>
      <c r="C1352" s="15"/>
      <c r="D1352" s="15"/>
      <c r="E1352" s="6"/>
      <c r="F1352" s="6"/>
      <c r="G1352" s="6"/>
      <c r="K1352" s="223"/>
      <c r="M1352" s="889"/>
      <c r="P1352" s="890"/>
      <c r="T1352" s="889"/>
      <c r="X1352" s="15"/>
      <c r="Y1352" s="1935"/>
      <c r="Z1352" s="1086"/>
      <c r="AA1352" s="230"/>
      <c r="AB1352" s="230"/>
      <c r="AC1352" s="1936"/>
      <c r="AD1352" s="230"/>
      <c r="AE1352" s="230"/>
      <c r="AF1352" s="230"/>
      <c r="AG1352" s="890"/>
      <c r="AJ1352" s="890"/>
      <c r="AN1352" s="223"/>
      <c r="AO1352" s="952"/>
      <c r="AP1352" s="1066"/>
      <c r="AQ1352" s="972"/>
      <c r="AR1352" s="1917"/>
      <c r="AS1352" s="222"/>
      <c r="AZ1352" s="889"/>
      <c r="BC1352" s="890"/>
      <c r="BD1352" s="952"/>
      <c r="BE1352" s="75"/>
      <c r="BF1352" s="572"/>
      <c r="BG1352" s="983"/>
      <c r="BH1352" s="222"/>
      <c r="BL1352" s="889"/>
      <c r="BO1352" s="223"/>
    </row>
    <row r="1353" spans="1:67" s="74" customFormat="1">
      <c r="A1353" s="15"/>
      <c r="B1353" s="15"/>
      <c r="C1353" s="15"/>
      <c r="D1353" s="15"/>
      <c r="E1353" s="6"/>
      <c r="F1353" s="6"/>
      <c r="G1353" s="6"/>
      <c r="K1353" s="223"/>
      <c r="M1353" s="889"/>
      <c r="P1353" s="890"/>
      <c r="T1353" s="889"/>
      <c r="X1353" s="15"/>
      <c r="Y1353" s="1935"/>
      <c r="Z1353" s="1086"/>
      <c r="AA1353" s="230"/>
      <c r="AB1353" s="230"/>
      <c r="AC1353" s="1936"/>
      <c r="AD1353" s="230"/>
      <c r="AE1353" s="230"/>
      <c r="AF1353" s="230"/>
      <c r="AG1353" s="890"/>
      <c r="AJ1353" s="890"/>
      <c r="AN1353" s="223"/>
      <c r="AO1353" s="952"/>
      <c r="AP1353" s="1066"/>
      <c r="AQ1353" s="972"/>
      <c r="AR1353" s="1917"/>
      <c r="AS1353" s="222"/>
      <c r="AZ1353" s="889"/>
      <c r="BC1353" s="890"/>
      <c r="BD1353" s="952"/>
      <c r="BE1353" s="75"/>
      <c r="BF1353" s="572"/>
      <c r="BG1353" s="983"/>
      <c r="BH1353" s="222"/>
      <c r="BL1353" s="889"/>
      <c r="BO1353" s="223"/>
    </row>
    <row r="1354" spans="1:67" s="74" customFormat="1">
      <c r="A1354" s="15"/>
      <c r="B1354" s="15"/>
      <c r="C1354" s="15"/>
      <c r="D1354" s="15"/>
      <c r="E1354" s="6"/>
      <c r="F1354" s="6"/>
      <c r="G1354" s="6"/>
      <c r="K1354" s="223"/>
      <c r="M1354" s="889"/>
      <c r="P1354" s="890"/>
      <c r="T1354" s="889"/>
      <c r="X1354" s="15"/>
      <c r="Y1354" s="1935"/>
      <c r="Z1354" s="1086"/>
      <c r="AA1354" s="230"/>
      <c r="AB1354" s="230"/>
      <c r="AC1354" s="1936"/>
      <c r="AD1354" s="230"/>
      <c r="AE1354" s="230"/>
      <c r="AF1354" s="230"/>
      <c r="AG1354" s="890"/>
      <c r="AJ1354" s="890"/>
      <c r="AN1354" s="223"/>
      <c r="AO1354" s="952"/>
      <c r="AP1354" s="1066"/>
      <c r="AQ1354" s="972"/>
      <c r="AR1354" s="1917"/>
      <c r="AS1354" s="222"/>
      <c r="AZ1354" s="889"/>
      <c r="BC1354" s="890"/>
      <c r="BD1354" s="952"/>
      <c r="BE1354" s="75"/>
      <c r="BF1354" s="572"/>
      <c r="BG1354" s="983"/>
      <c r="BH1354" s="222"/>
      <c r="BL1354" s="889"/>
      <c r="BO1354" s="223"/>
    </row>
    <row r="1355" spans="1:67" s="74" customFormat="1">
      <c r="A1355" s="15"/>
      <c r="B1355" s="15"/>
      <c r="C1355" s="15"/>
      <c r="D1355" s="15"/>
      <c r="E1355" s="6"/>
      <c r="F1355" s="6"/>
      <c r="G1355" s="6"/>
      <c r="K1355" s="223"/>
      <c r="M1355" s="889"/>
      <c r="P1355" s="890"/>
      <c r="T1355" s="889"/>
      <c r="X1355" s="15"/>
      <c r="Y1355" s="1935"/>
      <c r="Z1355" s="1086"/>
      <c r="AA1355" s="230"/>
      <c r="AB1355" s="230"/>
      <c r="AC1355" s="1936"/>
      <c r="AD1355" s="230"/>
      <c r="AE1355" s="230"/>
      <c r="AF1355" s="230"/>
      <c r="AG1355" s="890"/>
      <c r="AJ1355" s="890"/>
      <c r="AN1355" s="223"/>
      <c r="AO1355" s="952"/>
      <c r="AP1355" s="1066"/>
      <c r="AQ1355" s="972"/>
      <c r="AR1355" s="1917"/>
      <c r="AS1355" s="222"/>
      <c r="AZ1355" s="889"/>
      <c r="BC1355" s="890"/>
      <c r="BD1355" s="952"/>
      <c r="BE1355" s="75"/>
      <c r="BF1355" s="572"/>
      <c r="BG1355" s="983"/>
      <c r="BH1355" s="222"/>
      <c r="BL1355" s="889"/>
      <c r="BO1355" s="223"/>
    </row>
    <row r="1356" spans="1:67" s="74" customFormat="1">
      <c r="A1356" s="15"/>
      <c r="B1356" s="15"/>
      <c r="C1356" s="15"/>
      <c r="D1356" s="15"/>
      <c r="E1356" s="6"/>
      <c r="F1356" s="6"/>
      <c r="G1356" s="6"/>
      <c r="K1356" s="223"/>
      <c r="M1356" s="889"/>
      <c r="P1356" s="890"/>
      <c r="T1356" s="889"/>
      <c r="X1356" s="15"/>
      <c r="Y1356" s="1935"/>
      <c r="Z1356" s="1086"/>
      <c r="AA1356" s="230"/>
      <c r="AB1356" s="230"/>
      <c r="AC1356" s="1936"/>
      <c r="AD1356" s="230"/>
      <c r="AE1356" s="230"/>
      <c r="AF1356" s="230"/>
      <c r="AG1356" s="890"/>
      <c r="AJ1356" s="890"/>
      <c r="AN1356" s="223"/>
      <c r="AO1356" s="952"/>
      <c r="AP1356" s="1066"/>
      <c r="AQ1356" s="972"/>
      <c r="AR1356" s="1917"/>
      <c r="AS1356" s="222"/>
      <c r="AZ1356" s="889"/>
      <c r="BC1356" s="890"/>
      <c r="BD1356" s="952"/>
      <c r="BE1356" s="75"/>
      <c r="BF1356" s="572"/>
      <c r="BG1356" s="983"/>
      <c r="BH1356" s="222"/>
      <c r="BL1356" s="889"/>
      <c r="BO1356" s="223"/>
    </row>
    <row r="1357" spans="1:67" s="74" customFormat="1">
      <c r="A1357" s="15"/>
      <c r="B1357" s="15"/>
      <c r="C1357" s="15"/>
      <c r="D1357" s="15"/>
      <c r="E1357" s="6"/>
      <c r="F1357" s="6"/>
      <c r="G1357" s="6"/>
      <c r="K1357" s="223"/>
      <c r="M1357" s="889"/>
      <c r="P1357" s="890"/>
      <c r="T1357" s="889"/>
      <c r="X1357" s="15"/>
      <c r="Y1357" s="1935"/>
      <c r="Z1357" s="1086"/>
      <c r="AA1357" s="230"/>
      <c r="AB1357" s="230"/>
      <c r="AC1357" s="1936"/>
      <c r="AD1357" s="230"/>
      <c r="AE1357" s="230"/>
      <c r="AF1357" s="230"/>
      <c r="AG1357" s="890"/>
      <c r="AJ1357" s="890"/>
      <c r="AN1357" s="223"/>
      <c r="AO1357" s="952"/>
      <c r="AP1357" s="1066"/>
      <c r="AQ1357" s="972"/>
      <c r="AR1357" s="1917"/>
      <c r="AS1357" s="222"/>
      <c r="AZ1357" s="889"/>
      <c r="BC1357" s="890"/>
      <c r="BD1357" s="952"/>
      <c r="BE1357" s="75"/>
      <c r="BF1357" s="572"/>
      <c r="BG1357" s="983"/>
      <c r="BH1357" s="222"/>
      <c r="BL1357" s="889"/>
      <c r="BO1357" s="223"/>
    </row>
    <row r="1358" spans="1:67" s="74" customFormat="1">
      <c r="A1358" s="15"/>
      <c r="B1358" s="15"/>
      <c r="C1358" s="15"/>
      <c r="D1358" s="15"/>
      <c r="E1358" s="6"/>
      <c r="F1358" s="6"/>
      <c r="G1358" s="6"/>
      <c r="K1358" s="223"/>
      <c r="M1358" s="889"/>
      <c r="P1358" s="890"/>
      <c r="T1358" s="889"/>
      <c r="X1358" s="15"/>
      <c r="Y1358" s="1935"/>
      <c r="Z1358" s="1086"/>
      <c r="AA1358" s="230"/>
      <c r="AB1358" s="230"/>
      <c r="AC1358" s="1936"/>
      <c r="AD1358" s="230"/>
      <c r="AE1358" s="230"/>
      <c r="AF1358" s="230"/>
      <c r="AG1358" s="890"/>
      <c r="AJ1358" s="890"/>
      <c r="AN1358" s="223"/>
      <c r="AO1358" s="952"/>
      <c r="AP1358" s="1066"/>
      <c r="AQ1358" s="972"/>
      <c r="AR1358" s="1917"/>
      <c r="AS1358" s="222"/>
      <c r="AZ1358" s="889"/>
      <c r="BC1358" s="890"/>
      <c r="BD1358" s="952"/>
      <c r="BE1358" s="75"/>
      <c r="BF1358" s="572"/>
      <c r="BG1358" s="983"/>
      <c r="BH1358" s="222"/>
      <c r="BL1358" s="889"/>
      <c r="BO1358" s="223"/>
    </row>
    <row r="1359" spans="1:67" s="74" customFormat="1">
      <c r="A1359" s="15"/>
      <c r="B1359" s="15"/>
      <c r="C1359" s="15"/>
      <c r="D1359" s="15"/>
      <c r="E1359" s="6"/>
      <c r="F1359" s="6"/>
      <c r="G1359" s="6"/>
      <c r="K1359" s="223"/>
      <c r="M1359" s="889"/>
      <c r="P1359" s="890"/>
      <c r="T1359" s="889"/>
      <c r="X1359" s="15"/>
      <c r="Y1359" s="1935"/>
      <c r="Z1359" s="1086"/>
      <c r="AA1359" s="230"/>
      <c r="AB1359" s="230"/>
      <c r="AC1359" s="1936"/>
      <c r="AD1359" s="230"/>
      <c r="AE1359" s="230"/>
      <c r="AF1359" s="230"/>
      <c r="AG1359" s="890"/>
      <c r="AJ1359" s="890"/>
      <c r="AN1359" s="223"/>
      <c r="AO1359" s="952"/>
      <c r="AP1359" s="1066"/>
      <c r="AQ1359" s="972"/>
      <c r="AR1359" s="1917"/>
      <c r="AS1359" s="222"/>
      <c r="AZ1359" s="889"/>
      <c r="BC1359" s="890"/>
      <c r="BD1359" s="952"/>
      <c r="BE1359" s="75"/>
      <c r="BF1359" s="572"/>
      <c r="BG1359" s="983"/>
      <c r="BH1359" s="222"/>
      <c r="BL1359" s="889"/>
      <c r="BO1359" s="223"/>
    </row>
    <row r="1360" spans="1:67" s="74" customFormat="1">
      <c r="A1360" s="15"/>
      <c r="B1360" s="15"/>
      <c r="C1360" s="15"/>
      <c r="D1360" s="15"/>
      <c r="E1360" s="6"/>
      <c r="F1360" s="6"/>
      <c r="G1360" s="6"/>
      <c r="K1360" s="223"/>
      <c r="M1360" s="889"/>
      <c r="P1360" s="890"/>
      <c r="T1360" s="889"/>
      <c r="X1360" s="15"/>
      <c r="Y1360" s="1935"/>
      <c r="Z1360" s="1086"/>
      <c r="AA1360" s="230"/>
      <c r="AB1360" s="230"/>
      <c r="AC1360" s="1936"/>
      <c r="AD1360" s="230"/>
      <c r="AE1360" s="230"/>
      <c r="AF1360" s="230"/>
      <c r="AG1360" s="890"/>
      <c r="AJ1360" s="890"/>
      <c r="AN1360" s="223"/>
      <c r="AO1360" s="952"/>
      <c r="AP1360" s="1066"/>
      <c r="AQ1360" s="972"/>
      <c r="AR1360" s="1917"/>
      <c r="AS1360" s="222"/>
      <c r="AZ1360" s="889"/>
      <c r="BC1360" s="890"/>
      <c r="BD1360" s="952"/>
      <c r="BE1360" s="75"/>
      <c r="BF1360" s="572"/>
      <c r="BG1360" s="983"/>
      <c r="BH1360" s="222"/>
      <c r="BL1360" s="889"/>
      <c r="BO1360" s="223"/>
    </row>
    <row r="1361" spans="1:67" s="74" customFormat="1">
      <c r="A1361" s="15"/>
      <c r="B1361" s="15"/>
      <c r="C1361" s="15"/>
      <c r="D1361" s="15"/>
      <c r="E1361" s="6"/>
      <c r="F1361" s="6"/>
      <c r="G1361" s="6"/>
      <c r="K1361" s="223"/>
      <c r="M1361" s="889"/>
      <c r="P1361" s="890"/>
      <c r="T1361" s="889"/>
      <c r="X1361" s="15"/>
      <c r="Y1361" s="1935"/>
      <c r="Z1361" s="1086"/>
      <c r="AA1361" s="230"/>
      <c r="AB1361" s="230"/>
      <c r="AC1361" s="1936"/>
      <c r="AD1361" s="230"/>
      <c r="AE1361" s="230"/>
      <c r="AF1361" s="230"/>
      <c r="AG1361" s="890"/>
      <c r="AJ1361" s="890"/>
      <c r="AN1361" s="223"/>
      <c r="AO1361" s="952"/>
      <c r="AP1361" s="1066"/>
      <c r="AQ1361" s="972"/>
      <c r="AR1361" s="1917"/>
      <c r="AS1361" s="222"/>
      <c r="AZ1361" s="889"/>
      <c r="BC1361" s="890"/>
      <c r="BD1361" s="952"/>
      <c r="BE1361" s="75"/>
      <c r="BF1361" s="572"/>
      <c r="BG1361" s="983"/>
      <c r="BH1361" s="222"/>
      <c r="BL1361" s="889"/>
      <c r="BO1361" s="223"/>
    </row>
    <row r="1362" spans="1:67" s="74" customFormat="1">
      <c r="A1362" s="15"/>
      <c r="B1362" s="15"/>
      <c r="C1362" s="15"/>
      <c r="D1362" s="15"/>
      <c r="E1362" s="6"/>
      <c r="F1362" s="6"/>
      <c r="G1362" s="6"/>
      <c r="K1362" s="223"/>
      <c r="M1362" s="889"/>
      <c r="P1362" s="890"/>
      <c r="T1362" s="889"/>
      <c r="X1362" s="15"/>
      <c r="Y1362" s="1935"/>
      <c r="Z1362" s="1086"/>
      <c r="AA1362" s="230"/>
      <c r="AB1362" s="230"/>
      <c r="AC1362" s="1936"/>
      <c r="AD1362" s="230"/>
      <c r="AE1362" s="230"/>
      <c r="AF1362" s="230"/>
      <c r="AG1362" s="890"/>
      <c r="AJ1362" s="890"/>
      <c r="AN1362" s="223"/>
      <c r="AO1362" s="952"/>
      <c r="AP1362" s="1066"/>
      <c r="AQ1362" s="972"/>
      <c r="AR1362" s="1917"/>
      <c r="AS1362" s="222"/>
      <c r="AZ1362" s="889"/>
      <c r="BC1362" s="890"/>
      <c r="BD1362" s="952"/>
      <c r="BE1362" s="75"/>
      <c r="BF1362" s="572"/>
      <c r="BG1362" s="983"/>
      <c r="BH1362" s="222"/>
      <c r="BL1362" s="889"/>
      <c r="BO1362" s="223"/>
    </row>
    <row r="1363" spans="1:67" s="74" customFormat="1">
      <c r="A1363" s="15"/>
      <c r="B1363" s="15"/>
      <c r="C1363" s="15"/>
      <c r="D1363" s="15"/>
      <c r="E1363" s="6"/>
      <c r="F1363" s="6"/>
      <c r="G1363" s="6"/>
      <c r="K1363" s="223"/>
      <c r="M1363" s="889"/>
      <c r="P1363" s="890"/>
      <c r="T1363" s="889"/>
      <c r="X1363" s="15"/>
      <c r="Y1363" s="1935"/>
      <c r="Z1363" s="1086"/>
      <c r="AA1363" s="230"/>
      <c r="AB1363" s="230"/>
      <c r="AC1363" s="1936"/>
      <c r="AD1363" s="230"/>
      <c r="AE1363" s="230"/>
      <c r="AF1363" s="230"/>
      <c r="AG1363" s="890"/>
      <c r="AJ1363" s="890"/>
      <c r="AN1363" s="223"/>
      <c r="AO1363" s="952"/>
      <c r="AP1363" s="1066"/>
      <c r="AQ1363" s="972"/>
      <c r="AR1363" s="1917"/>
      <c r="AS1363" s="222"/>
      <c r="AZ1363" s="889"/>
      <c r="BC1363" s="890"/>
      <c r="BD1363" s="952"/>
      <c r="BE1363" s="75"/>
      <c r="BF1363" s="572"/>
      <c r="BG1363" s="983"/>
      <c r="BH1363" s="222"/>
      <c r="BL1363" s="889"/>
      <c r="BO1363" s="223"/>
    </row>
    <row r="1364" spans="1:67" s="74" customFormat="1">
      <c r="A1364" s="15"/>
      <c r="B1364" s="15"/>
      <c r="C1364" s="15"/>
      <c r="D1364" s="15"/>
      <c r="E1364" s="6"/>
      <c r="F1364" s="6"/>
      <c r="G1364" s="6"/>
      <c r="K1364" s="223"/>
      <c r="M1364" s="889"/>
      <c r="P1364" s="890"/>
      <c r="T1364" s="889"/>
      <c r="X1364" s="15"/>
      <c r="Y1364" s="1935"/>
      <c r="Z1364" s="1086"/>
      <c r="AA1364" s="230"/>
      <c r="AB1364" s="230"/>
      <c r="AC1364" s="1936"/>
      <c r="AD1364" s="230"/>
      <c r="AE1364" s="230"/>
      <c r="AF1364" s="230"/>
      <c r="AG1364" s="890"/>
      <c r="AJ1364" s="890"/>
      <c r="AN1364" s="223"/>
      <c r="AO1364" s="952"/>
      <c r="AP1364" s="1066"/>
      <c r="AQ1364" s="972"/>
      <c r="AR1364" s="1917"/>
      <c r="AS1364" s="222"/>
      <c r="AZ1364" s="889"/>
      <c r="BC1364" s="890"/>
      <c r="BD1364" s="952"/>
      <c r="BE1364" s="75"/>
      <c r="BF1364" s="572"/>
      <c r="BG1364" s="983"/>
      <c r="BH1364" s="222"/>
      <c r="BL1364" s="889"/>
      <c r="BO1364" s="223"/>
    </row>
    <row r="1365" spans="1:67" s="74" customFormat="1">
      <c r="A1365" s="15"/>
      <c r="B1365" s="15"/>
      <c r="C1365" s="15"/>
      <c r="D1365" s="15"/>
      <c r="E1365" s="6"/>
      <c r="F1365" s="6"/>
      <c r="G1365" s="6"/>
      <c r="K1365" s="223"/>
      <c r="M1365" s="889"/>
      <c r="P1365" s="890"/>
      <c r="T1365" s="889"/>
      <c r="X1365" s="15"/>
      <c r="Y1365" s="1935"/>
      <c r="Z1365" s="1086"/>
      <c r="AA1365" s="230"/>
      <c r="AB1365" s="230"/>
      <c r="AC1365" s="1936"/>
      <c r="AD1365" s="230"/>
      <c r="AE1365" s="230"/>
      <c r="AF1365" s="230"/>
      <c r="AG1365" s="890"/>
      <c r="AJ1365" s="890"/>
      <c r="AN1365" s="223"/>
      <c r="AO1365" s="952"/>
      <c r="AP1365" s="1066"/>
      <c r="AQ1365" s="972"/>
      <c r="AR1365" s="1917"/>
      <c r="AS1365" s="222"/>
      <c r="AZ1365" s="889"/>
      <c r="BC1365" s="890"/>
      <c r="BD1365" s="952"/>
      <c r="BE1365" s="75"/>
      <c r="BF1365" s="572"/>
      <c r="BG1365" s="983"/>
      <c r="BH1365" s="222"/>
      <c r="BL1365" s="889"/>
      <c r="BO1365" s="223"/>
    </row>
    <row r="1366" spans="1:67" s="74" customFormat="1">
      <c r="A1366" s="15"/>
      <c r="B1366" s="15"/>
      <c r="C1366" s="15"/>
      <c r="D1366" s="15"/>
      <c r="E1366" s="6"/>
      <c r="F1366" s="6"/>
      <c r="G1366" s="6"/>
      <c r="K1366" s="223"/>
      <c r="M1366" s="889"/>
      <c r="P1366" s="890"/>
      <c r="T1366" s="889"/>
      <c r="X1366" s="15"/>
      <c r="Y1366" s="1935"/>
      <c r="Z1366" s="1086"/>
      <c r="AA1366" s="230"/>
      <c r="AB1366" s="230"/>
      <c r="AC1366" s="1936"/>
      <c r="AD1366" s="230"/>
      <c r="AE1366" s="230"/>
      <c r="AF1366" s="230"/>
      <c r="AG1366" s="890"/>
      <c r="AJ1366" s="890"/>
      <c r="AN1366" s="223"/>
      <c r="AO1366" s="952"/>
      <c r="AP1366" s="1066"/>
      <c r="AQ1366" s="972"/>
      <c r="AR1366" s="1917"/>
      <c r="AS1366" s="222"/>
      <c r="AZ1366" s="889"/>
      <c r="BC1366" s="890"/>
      <c r="BD1366" s="952"/>
      <c r="BE1366" s="75"/>
      <c r="BF1366" s="572"/>
      <c r="BG1366" s="983"/>
      <c r="BH1366" s="222"/>
      <c r="BL1366" s="889"/>
      <c r="BO1366" s="223"/>
    </row>
    <row r="1367" spans="1:67" s="74" customFormat="1">
      <c r="A1367" s="15"/>
      <c r="B1367" s="15"/>
      <c r="C1367" s="15"/>
      <c r="D1367" s="15"/>
      <c r="E1367" s="6"/>
      <c r="F1367" s="6"/>
      <c r="G1367" s="6"/>
      <c r="K1367" s="223"/>
      <c r="M1367" s="889"/>
      <c r="P1367" s="890"/>
      <c r="T1367" s="889"/>
      <c r="X1367" s="15"/>
      <c r="Y1367" s="1935"/>
      <c r="Z1367" s="1086"/>
      <c r="AA1367" s="230"/>
      <c r="AB1367" s="230"/>
      <c r="AC1367" s="1936"/>
      <c r="AD1367" s="230"/>
      <c r="AE1367" s="230"/>
      <c r="AF1367" s="230"/>
      <c r="AG1367" s="890"/>
      <c r="AJ1367" s="890"/>
      <c r="AN1367" s="223"/>
      <c r="AO1367" s="952"/>
      <c r="AP1367" s="1066"/>
      <c r="AQ1367" s="972"/>
      <c r="AR1367" s="1917"/>
      <c r="AS1367" s="222"/>
      <c r="AZ1367" s="889"/>
      <c r="BC1367" s="890"/>
      <c r="BD1367" s="952"/>
      <c r="BE1367" s="75"/>
      <c r="BF1367" s="572"/>
      <c r="BG1367" s="983"/>
      <c r="BH1367" s="222"/>
      <c r="BL1367" s="889"/>
      <c r="BO1367" s="223"/>
    </row>
    <row r="1368" spans="1:67" s="74" customFormat="1">
      <c r="A1368" s="15"/>
      <c r="B1368" s="15"/>
      <c r="C1368" s="15"/>
      <c r="D1368" s="15"/>
      <c r="E1368" s="6"/>
      <c r="F1368" s="6"/>
      <c r="G1368" s="6"/>
      <c r="K1368" s="223"/>
      <c r="M1368" s="889"/>
      <c r="P1368" s="890"/>
      <c r="T1368" s="889"/>
      <c r="X1368" s="15"/>
      <c r="Y1368" s="1935"/>
      <c r="Z1368" s="1086"/>
      <c r="AA1368" s="230"/>
      <c r="AB1368" s="230"/>
      <c r="AC1368" s="1936"/>
      <c r="AD1368" s="230"/>
      <c r="AE1368" s="230"/>
      <c r="AF1368" s="230"/>
      <c r="AG1368" s="890"/>
      <c r="AJ1368" s="890"/>
      <c r="AN1368" s="223"/>
      <c r="AO1368" s="952"/>
      <c r="AP1368" s="1066"/>
      <c r="AQ1368" s="972"/>
      <c r="AR1368" s="1917"/>
      <c r="AS1368" s="222"/>
      <c r="AZ1368" s="889"/>
      <c r="BC1368" s="890"/>
      <c r="BD1368" s="952"/>
      <c r="BE1368" s="75"/>
      <c r="BF1368" s="572"/>
      <c r="BG1368" s="983"/>
      <c r="BH1368" s="222"/>
      <c r="BL1368" s="889"/>
      <c r="BO1368" s="223"/>
    </row>
    <row r="1369" spans="1:67" s="74" customFormat="1">
      <c r="A1369" s="15"/>
      <c r="B1369" s="15"/>
      <c r="C1369" s="15"/>
      <c r="D1369" s="15"/>
      <c r="E1369" s="6"/>
      <c r="F1369" s="6"/>
      <c r="G1369" s="6"/>
      <c r="K1369" s="223"/>
      <c r="M1369" s="889"/>
      <c r="P1369" s="890"/>
      <c r="T1369" s="889"/>
      <c r="X1369" s="15"/>
      <c r="Y1369" s="1935"/>
      <c r="Z1369" s="1086"/>
      <c r="AA1369" s="230"/>
      <c r="AB1369" s="230"/>
      <c r="AC1369" s="1936"/>
      <c r="AD1369" s="230"/>
      <c r="AE1369" s="230"/>
      <c r="AF1369" s="230"/>
      <c r="AG1369" s="890"/>
      <c r="AJ1369" s="890"/>
      <c r="AN1369" s="223"/>
      <c r="AO1369" s="952"/>
      <c r="AP1369" s="1066"/>
      <c r="AQ1369" s="972"/>
      <c r="AR1369" s="1917"/>
      <c r="AS1369" s="222"/>
      <c r="AZ1369" s="889"/>
      <c r="BC1369" s="890"/>
      <c r="BD1369" s="952"/>
      <c r="BE1369" s="75"/>
      <c r="BF1369" s="572"/>
      <c r="BG1369" s="983"/>
      <c r="BH1369" s="222"/>
      <c r="BL1369" s="889"/>
      <c r="BO1369" s="223"/>
    </row>
    <row r="1370" spans="1:67" s="74" customFormat="1">
      <c r="A1370" s="15"/>
      <c r="B1370" s="15"/>
      <c r="C1370" s="15"/>
      <c r="D1370" s="15"/>
      <c r="E1370" s="6"/>
      <c r="F1370" s="6"/>
      <c r="G1370" s="6"/>
      <c r="K1370" s="223"/>
      <c r="M1370" s="889"/>
      <c r="P1370" s="890"/>
      <c r="T1370" s="889"/>
      <c r="X1370" s="15"/>
      <c r="Y1370" s="1935"/>
      <c r="Z1370" s="1086"/>
      <c r="AA1370" s="230"/>
      <c r="AB1370" s="230"/>
      <c r="AC1370" s="1936"/>
      <c r="AD1370" s="230"/>
      <c r="AE1370" s="230"/>
      <c r="AF1370" s="230"/>
      <c r="AG1370" s="890"/>
      <c r="AJ1370" s="890"/>
      <c r="AN1370" s="223"/>
      <c r="AO1370" s="952"/>
      <c r="AP1370" s="1066"/>
      <c r="AQ1370" s="972"/>
      <c r="AR1370" s="1917"/>
      <c r="AS1370" s="222"/>
      <c r="AZ1370" s="889"/>
      <c r="BC1370" s="890"/>
      <c r="BD1370" s="952"/>
      <c r="BE1370" s="75"/>
      <c r="BF1370" s="572"/>
      <c r="BG1370" s="983"/>
      <c r="BH1370" s="222"/>
      <c r="BL1370" s="889"/>
      <c r="BO1370" s="223"/>
    </row>
    <row r="1371" spans="1:67" s="74" customFormat="1">
      <c r="A1371" s="15"/>
      <c r="B1371" s="15"/>
      <c r="C1371" s="15"/>
      <c r="D1371" s="15"/>
      <c r="E1371" s="6"/>
      <c r="F1371" s="6"/>
      <c r="G1371" s="6"/>
      <c r="K1371" s="223"/>
      <c r="M1371" s="889"/>
      <c r="P1371" s="890"/>
      <c r="T1371" s="889"/>
      <c r="X1371" s="15"/>
      <c r="Y1371" s="1935"/>
      <c r="Z1371" s="1086"/>
      <c r="AA1371" s="230"/>
      <c r="AB1371" s="230"/>
      <c r="AC1371" s="1936"/>
      <c r="AD1371" s="230"/>
      <c r="AE1371" s="230"/>
      <c r="AF1371" s="230"/>
      <c r="AG1371" s="890"/>
      <c r="AJ1371" s="890"/>
      <c r="AN1371" s="223"/>
      <c r="AO1371" s="952"/>
      <c r="AP1371" s="1066"/>
      <c r="AQ1371" s="972"/>
      <c r="AR1371" s="1917"/>
      <c r="AS1371" s="222"/>
      <c r="AZ1371" s="889"/>
      <c r="BC1371" s="890"/>
      <c r="BD1371" s="952"/>
      <c r="BE1371" s="75"/>
      <c r="BF1371" s="572"/>
      <c r="BG1371" s="983"/>
      <c r="BH1371" s="222"/>
      <c r="BL1371" s="889"/>
      <c r="BO1371" s="223"/>
    </row>
    <row r="1372" spans="1:67" s="74" customFormat="1">
      <c r="A1372" s="15"/>
      <c r="B1372" s="15"/>
      <c r="C1372" s="15"/>
      <c r="D1372" s="15"/>
      <c r="E1372" s="6"/>
      <c r="F1372" s="6"/>
      <c r="G1372" s="6"/>
      <c r="K1372" s="223"/>
      <c r="M1372" s="889"/>
      <c r="P1372" s="890"/>
      <c r="T1372" s="889"/>
      <c r="X1372" s="15"/>
      <c r="Y1372" s="1935"/>
      <c r="Z1372" s="1086"/>
      <c r="AA1372" s="230"/>
      <c r="AB1372" s="230"/>
      <c r="AC1372" s="1936"/>
      <c r="AD1372" s="230"/>
      <c r="AE1372" s="230"/>
      <c r="AF1372" s="230"/>
      <c r="AG1372" s="890"/>
      <c r="AJ1372" s="890"/>
      <c r="AN1372" s="223"/>
      <c r="AO1372" s="952"/>
      <c r="AP1372" s="1066"/>
      <c r="AQ1372" s="972"/>
      <c r="AR1372" s="1917"/>
      <c r="AS1372" s="222"/>
      <c r="AZ1372" s="889"/>
      <c r="BC1372" s="890"/>
      <c r="BD1372" s="952"/>
      <c r="BE1372" s="75"/>
      <c r="BF1372" s="572"/>
      <c r="BG1372" s="983"/>
      <c r="BH1372" s="222"/>
      <c r="BL1372" s="889"/>
      <c r="BO1372" s="223"/>
    </row>
    <row r="1373" spans="1:67" s="74" customFormat="1">
      <c r="A1373" s="15"/>
      <c r="B1373" s="15"/>
      <c r="C1373" s="15"/>
      <c r="D1373" s="15"/>
      <c r="E1373" s="6"/>
      <c r="F1373" s="6"/>
      <c r="G1373" s="6"/>
      <c r="K1373" s="223"/>
      <c r="M1373" s="889"/>
      <c r="P1373" s="890"/>
      <c r="T1373" s="889"/>
      <c r="X1373" s="15"/>
      <c r="Y1373" s="1935"/>
      <c r="Z1373" s="1086"/>
      <c r="AA1373" s="230"/>
      <c r="AB1373" s="230"/>
      <c r="AC1373" s="1936"/>
      <c r="AD1373" s="230"/>
      <c r="AE1373" s="230"/>
      <c r="AF1373" s="230"/>
      <c r="AG1373" s="890"/>
      <c r="AJ1373" s="890"/>
      <c r="AN1373" s="223"/>
      <c r="AO1373" s="952"/>
      <c r="AP1373" s="1066"/>
      <c r="AQ1373" s="972"/>
      <c r="AR1373" s="1917"/>
      <c r="AS1373" s="222"/>
      <c r="AZ1373" s="889"/>
      <c r="BC1373" s="890"/>
      <c r="BD1373" s="952"/>
      <c r="BE1373" s="75"/>
      <c r="BF1373" s="572"/>
      <c r="BG1373" s="983"/>
      <c r="BH1373" s="222"/>
      <c r="BL1373" s="889"/>
      <c r="BO1373" s="223"/>
    </row>
    <row r="1374" spans="1:67" s="74" customFormat="1">
      <c r="A1374" s="15"/>
      <c r="B1374" s="15"/>
      <c r="C1374" s="15"/>
      <c r="D1374" s="15"/>
      <c r="E1374" s="6"/>
      <c r="F1374" s="6"/>
      <c r="G1374" s="6"/>
      <c r="K1374" s="223"/>
      <c r="M1374" s="889"/>
      <c r="P1374" s="890"/>
      <c r="T1374" s="889"/>
      <c r="X1374" s="15"/>
      <c r="Y1374" s="1935"/>
      <c r="Z1374" s="1086"/>
      <c r="AA1374" s="230"/>
      <c r="AB1374" s="230"/>
      <c r="AC1374" s="1936"/>
      <c r="AD1374" s="230"/>
      <c r="AE1374" s="230"/>
      <c r="AF1374" s="230"/>
      <c r="AG1374" s="890"/>
      <c r="AJ1374" s="890"/>
      <c r="AN1374" s="223"/>
      <c r="AO1374" s="952"/>
      <c r="AP1374" s="1066"/>
      <c r="AQ1374" s="972"/>
      <c r="AR1374" s="1917"/>
      <c r="AS1374" s="222"/>
      <c r="AZ1374" s="889"/>
      <c r="BC1374" s="890"/>
      <c r="BD1374" s="952"/>
      <c r="BE1374" s="75"/>
      <c r="BF1374" s="572"/>
      <c r="BG1374" s="983"/>
      <c r="BH1374" s="222"/>
      <c r="BL1374" s="889"/>
      <c r="BO1374" s="223"/>
    </row>
    <row r="1375" spans="1:67" s="74" customFormat="1">
      <c r="A1375" s="15"/>
      <c r="B1375" s="15"/>
      <c r="C1375" s="15"/>
      <c r="D1375" s="15"/>
      <c r="E1375" s="6"/>
      <c r="F1375" s="6"/>
      <c r="G1375" s="6"/>
      <c r="K1375" s="223"/>
      <c r="M1375" s="889"/>
      <c r="P1375" s="890"/>
      <c r="T1375" s="889"/>
      <c r="X1375" s="15"/>
      <c r="Y1375" s="1935"/>
      <c r="Z1375" s="1086"/>
      <c r="AA1375" s="230"/>
      <c r="AB1375" s="230"/>
      <c r="AC1375" s="1936"/>
      <c r="AD1375" s="230"/>
      <c r="AE1375" s="230"/>
      <c r="AF1375" s="230"/>
      <c r="AG1375" s="890"/>
      <c r="AJ1375" s="890"/>
      <c r="AN1375" s="223"/>
      <c r="AO1375" s="952"/>
      <c r="AP1375" s="1066"/>
      <c r="AQ1375" s="972"/>
      <c r="AR1375" s="1917"/>
      <c r="AS1375" s="222"/>
      <c r="AZ1375" s="889"/>
      <c r="BC1375" s="890"/>
      <c r="BD1375" s="952"/>
      <c r="BE1375" s="75"/>
      <c r="BF1375" s="572"/>
      <c r="BG1375" s="983"/>
      <c r="BH1375" s="222"/>
      <c r="BL1375" s="889"/>
      <c r="BO1375" s="223"/>
    </row>
    <row r="1376" spans="1:67" s="74" customFormat="1">
      <c r="A1376" s="15"/>
      <c r="B1376" s="15"/>
      <c r="C1376" s="15"/>
      <c r="D1376" s="15"/>
      <c r="E1376" s="6"/>
      <c r="F1376" s="6"/>
      <c r="G1376" s="6"/>
      <c r="K1376" s="223"/>
      <c r="M1376" s="889"/>
      <c r="P1376" s="890"/>
      <c r="T1376" s="889"/>
      <c r="X1376" s="15"/>
      <c r="Y1376" s="1935"/>
      <c r="Z1376" s="1086"/>
      <c r="AA1376" s="230"/>
      <c r="AB1376" s="230"/>
      <c r="AC1376" s="1936"/>
      <c r="AD1376" s="230"/>
      <c r="AE1376" s="230"/>
      <c r="AF1376" s="230"/>
      <c r="AG1376" s="890"/>
      <c r="AJ1376" s="890"/>
      <c r="AN1376" s="223"/>
      <c r="AO1376" s="952"/>
      <c r="AP1376" s="1066"/>
      <c r="AQ1376" s="972"/>
      <c r="AR1376" s="1917"/>
      <c r="AS1376" s="222"/>
      <c r="AZ1376" s="889"/>
      <c r="BC1376" s="890"/>
      <c r="BD1376" s="952"/>
      <c r="BE1376" s="75"/>
      <c r="BF1376" s="572"/>
      <c r="BG1376" s="983"/>
      <c r="BH1376" s="222"/>
      <c r="BL1376" s="889"/>
      <c r="BO1376" s="223"/>
    </row>
    <row r="1377" spans="1:67" s="74" customFormat="1">
      <c r="A1377" s="15"/>
      <c r="B1377" s="15"/>
      <c r="C1377" s="15"/>
      <c r="D1377" s="15"/>
      <c r="E1377" s="6"/>
      <c r="F1377" s="6"/>
      <c r="G1377" s="6"/>
      <c r="K1377" s="223"/>
      <c r="M1377" s="889"/>
      <c r="P1377" s="890"/>
      <c r="T1377" s="889"/>
      <c r="X1377" s="15"/>
      <c r="Y1377" s="1935"/>
      <c r="Z1377" s="1086"/>
      <c r="AA1377" s="230"/>
      <c r="AB1377" s="230"/>
      <c r="AC1377" s="1936"/>
      <c r="AD1377" s="230"/>
      <c r="AE1377" s="230"/>
      <c r="AF1377" s="230"/>
      <c r="AG1377" s="890"/>
      <c r="AJ1377" s="890"/>
      <c r="AN1377" s="223"/>
      <c r="AO1377" s="952"/>
      <c r="AP1377" s="1066"/>
      <c r="AQ1377" s="972"/>
      <c r="AR1377" s="1917"/>
      <c r="AS1377" s="222"/>
      <c r="AZ1377" s="889"/>
      <c r="BC1377" s="890"/>
      <c r="BD1377" s="952"/>
      <c r="BE1377" s="75"/>
      <c r="BF1377" s="572"/>
      <c r="BG1377" s="983"/>
      <c r="BH1377" s="222"/>
      <c r="BL1377" s="889"/>
      <c r="BO1377" s="223"/>
    </row>
    <row r="1378" spans="1:67" s="74" customFormat="1">
      <c r="A1378" s="15"/>
      <c r="B1378" s="15"/>
      <c r="C1378" s="15"/>
      <c r="D1378" s="15"/>
      <c r="E1378" s="6"/>
      <c r="F1378" s="6"/>
      <c r="G1378" s="6"/>
      <c r="K1378" s="223"/>
      <c r="M1378" s="889"/>
      <c r="P1378" s="890"/>
      <c r="T1378" s="889"/>
      <c r="X1378" s="15"/>
      <c r="Y1378" s="1935"/>
      <c r="Z1378" s="1086"/>
      <c r="AA1378" s="230"/>
      <c r="AB1378" s="230"/>
      <c r="AC1378" s="1936"/>
      <c r="AD1378" s="230"/>
      <c r="AE1378" s="230"/>
      <c r="AF1378" s="230"/>
      <c r="AG1378" s="890"/>
      <c r="AJ1378" s="890"/>
      <c r="AN1378" s="223"/>
      <c r="AO1378" s="952"/>
      <c r="AP1378" s="1066"/>
      <c r="AQ1378" s="972"/>
      <c r="AR1378" s="1917"/>
      <c r="AS1378" s="222"/>
      <c r="AZ1378" s="889"/>
      <c r="BC1378" s="890"/>
      <c r="BD1378" s="952"/>
      <c r="BE1378" s="75"/>
      <c r="BF1378" s="572"/>
      <c r="BG1378" s="983"/>
      <c r="BH1378" s="222"/>
      <c r="BL1378" s="889"/>
      <c r="BO1378" s="223"/>
    </row>
    <row r="1379" spans="1:67" s="74" customFormat="1">
      <c r="A1379" s="15"/>
      <c r="B1379" s="15"/>
      <c r="C1379" s="15"/>
      <c r="D1379" s="15"/>
      <c r="E1379" s="6"/>
      <c r="F1379" s="6"/>
      <c r="G1379" s="6"/>
      <c r="K1379" s="223"/>
      <c r="M1379" s="889"/>
      <c r="P1379" s="890"/>
      <c r="T1379" s="889"/>
      <c r="X1379" s="15"/>
      <c r="Y1379" s="1935"/>
      <c r="Z1379" s="1086"/>
      <c r="AA1379" s="230"/>
      <c r="AB1379" s="230"/>
      <c r="AC1379" s="1936"/>
      <c r="AD1379" s="230"/>
      <c r="AE1379" s="230"/>
      <c r="AF1379" s="230"/>
      <c r="AG1379" s="890"/>
      <c r="AJ1379" s="890"/>
      <c r="AN1379" s="223"/>
      <c r="AO1379" s="952"/>
      <c r="AP1379" s="1066"/>
      <c r="AQ1379" s="972"/>
      <c r="AR1379" s="1917"/>
      <c r="AS1379" s="222"/>
      <c r="AZ1379" s="889"/>
      <c r="BC1379" s="890"/>
      <c r="BD1379" s="952"/>
      <c r="BE1379" s="75"/>
      <c r="BF1379" s="572"/>
      <c r="BG1379" s="983"/>
      <c r="BH1379" s="222"/>
      <c r="BL1379" s="889"/>
      <c r="BO1379" s="223"/>
    </row>
    <row r="1380" spans="1:67" s="74" customFormat="1">
      <c r="A1380" s="15"/>
      <c r="B1380" s="15"/>
      <c r="C1380" s="15"/>
      <c r="D1380" s="15"/>
      <c r="E1380" s="6"/>
      <c r="F1380" s="6"/>
      <c r="G1380" s="6"/>
      <c r="K1380" s="223"/>
      <c r="M1380" s="889"/>
      <c r="P1380" s="890"/>
      <c r="T1380" s="889"/>
      <c r="X1380" s="15"/>
      <c r="Y1380" s="1935"/>
      <c r="Z1380" s="1086"/>
      <c r="AA1380" s="230"/>
      <c r="AB1380" s="230"/>
      <c r="AC1380" s="1936"/>
      <c r="AD1380" s="230"/>
      <c r="AE1380" s="230"/>
      <c r="AF1380" s="230"/>
      <c r="AG1380" s="890"/>
      <c r="AJ1380" s="890"/>
      <c r="AN1380" s="223"/>
      <c r="AO1380" s="952"/>
      <c r="AP1380" s="1066"/>
      <c r="AQ1380" s="972"/>
      <c r="AR1380" s="1917"/>
      <c r="AS1380" s="222"/>
      <c r="AZ1380" s="889"/>
      <c r="BC1380" s="890"/>
      <c r="BD1380" s="952"/>
      <c r="BE1380" s="75"/>
      <c r="BF1380" s="572"/>
      <c r="BG1380" s="983"/>
      <c r="BH1380" s="222"/>
      <c r="BL1380" s="889"/>
      <c r="BO1380" s="223"/>
    </row>
    <row r="1381" spans="1:67" s="74" customFormat="1">
      <c r="A1381" s="15"/>
      <c r="B1381" s="15"/>
      <c r="C1381" s="15"/>
      <c r="D1381" s="15"/>
      <c r="E1381" s="6"/>
      <c r="F1381" s="6"/>
      <c r="G1381" s="6"/>
      <c r="K1381" s="223"/>
      <c r="M1381" s="889"/>
      <c r="P1381" s="890"/>
      <c r="T1381" s="889"/>
      <c r="X1381" s="15"/>
      <c r="Y1381" s="1935"/>
      <c r="Z1381" s="1086"/>
      <c r="AA1381" s="230"/>
      <c r="AB1381" s="230"/>
      <c r="AC1381" s="1936"/>
      <c r="AD1381" s="230"/>
      <c r="AE1381" s="230"/>
      <c r="AF1381" s="230"/>
      <c r="AG1381" s="890"/>
      <c r="AJ1381" s="890"/>
      <c r="AN1381" s="223"/>
      <c r="AO1381" s="952"/>
      <c r="AP1381" s="1066"/>
      <c r="AQ1381" s="972"/>
      <c r="AR1381" s="1917"/>
      <c r="AS1381" s="222"/>
      <c r="AZ1381" s="889"/>
      <c r="BC1381" s="890"/>
      <c r="BD1381" s="952"/>
      <c r="BE1381" s="75"/>
      <c r="BF1381" s="572"/>
      <c r="BG1381" s="983"/>
      <c r="BH1381" s="222"/>
      <c r="BL1381" s="889"/>
      <c r="BO1381" s="223"/>
    </row>
    <row r="1382" spans="1:67" s="74" customFormat="1">
      <c r="A1382" s="15"/>
      <c r="B1382" s="15"/>
      <c r="C1382" s="15"/>
      <c r="D1382" s="15"/>
      <c r="E1382" s="6"/>
      <c r="F1382" s="6"/>
      <c r="G1382" s="6"/>
      <c r="K1382" s="223"/>
      <c r="M1382" s="889"/>
      <c r="P1382" s="890"/>
      <c r="T1382" s="889"/>
      <c r="X1382" s="15"/>
      <c r="Y1382" s="1935"/>
      <c r="Z1382" s="1086"/>
      <c r="AA1382" s="230"/>
      <c r="AB1382" s="230"/>
      <c r="AC1382" s="1936"/>
      <c r="AD1382" s="230"/>
      <c r="AE1382" s="230"/>
      <c r="AF1382" s="230"/>
      <c r="AG1382" s="890"/>
      <c r="AJ1382" s="890"/>
      <c r="AN1382" s="223"/>
      <c r="AO1382" s="952"/>
      <c r="AP1382" s="1066"/>
      <c r="AQ1382" s="972"/>
      <c r="AR1382" s="1917"/>
      <c r="AS1382" s="222"/>
      <c r="AZ1382" s="889"/>
      <c r="BC1382" s="890"/>
      <c r="BD1382" s="952"/>
      <c r="BE1382" s="75"/>
      <c r="BF1382" s="572"/>
      <c r="BG1382" s="983"/>
      <c r="BH1382" s="222"/>
      <c r="BL1382" s="889"/>
      <c r="BO1382" s="223"/>
    </row>
    <row r="1383" spans="1:67" s="74" customFormat="1">
      <c r="A1383" s="15"/>
      <c r="B1383" s="15"/>
      <c r="C1383" s="15"/>
      <c r="D1383" s="15"/>
      <c r="E1383" s="6"/>
      <c r="F1383" s="6"/>
      <c r="G1383" s="6"/>
      <c r="K1383" s="223"/>
      <c r="M1383" s="889"/>
      <c r="P1383" s="890"/>
      <c r="T1383" s="889"/>
      <c r="X1383" s="15"/>
      <c r="Y1383" s="1935"/>
      <c r="Z1383" s="1086"/>
      <c r="AA1383" s="230"/>
      <c r="AB1383" s="230"/>
      <c r="AC1383" s="1936"/>
      <c r="AD1383" s="230"/>
      <c r="AE1383" s="230"/>
      <c r="AF1383" s="230"/>
      <c r="AG1383" s="890"/>
      <c r="AJ1383" s="890"/>
      <c r="AN1383" s="223"/>
      <c r="AO1383" s="952"/>
      <c r="AP1383" s="1066"/>
      <c r="AQ1383" s="972"/>
      <c r="AR1383" s="1917"/>
      <c r="AS1383" s="222"/>
      <c r="AZ1383" s="889"/>
      <c r="BC1383" s="890"/>
      <c r="BD1383" s="952"/>
      <c r="BE1383" s="75"/>
      <c r="BF1383" s="572"/>
      <c r="BG1383" s="983"/>
      <c r="BH1383" s="222"/>
      <c r="BL1383" s="889"/>
      <c r="BO1383" s="223"/>
    </row>
    <row r="1384" spans="1:67" s="74" customFormat="1">
      <c r="A1384" s="15"/>
      <c r="B1384" s="15"/>
      <c r="C1384" s="15"/>
      <c r="D1384" s="15"/>
      <c r="E1384" s="6"/>
      <c r="F1384" s="6"/>
      <c r="G1384" s="6"/>
      <c r="K1384" s="223"/>
      <c r="M1384" s="889"/>
      <c r="P1384" s="890"/>
      <c r="T1384" s="889"/>
      <c r="X1384" s="15"/>
      <c r="Y1384" s="1935"/>
      <c r="Z1384" s="1086"/>
      <c r="AA1384" s="230"/>
      <c r="AB1384" s="230"/>
      <c r="AC1384" s="1936"/>
      <c r="AD1384" s="230"/>
      <c r="AE1384" s="230"/>
      <c r="AF1384" s="230"/>
      <c r="AG1384" s="890"/>
      <c r="AJ1384" s="890"/>
      <c r="AN1384" s="223"/>
      <c r="AO1384" s="952"/>
      <c r="AP1384" s="1066"/>
      <c r="AQ1384" s="972"/>
      <c r="AR1384" s="1917"/>
      <c r="AS1384" s="222"/>
      <c r="AZ1384" s="889"/>
      <c r="BC1384" s="890"/>
      <c r="BD1384" s="952"/>
      <c r="BE1384" s="75"/>
      <c r="BF1384" s="572"/>
      <c r="BG1384" s="983"/>
      <c r="BH1384" s="222"/>
      <c r="BL1384" s="889"/>
      <c r="BO1384" s="223"/>
    </row>
    <row r="1385" spans="1:67" s="74" customFormat="1">
      <c r="A1385" s="15"/>
      <c r="B1385" s="15"/>
      <c r="C1385" s="15"/>
      <c r="D1385" s="15"/>
      <c r="E1385" s="6"/>
      <c r="F1385" s="6"/>
      <c r="G1385" s="6"/>
      <c r="K1385" s="223"/>
      <c r="M1385" s="889"/>
      <c r="P1385" s="890"/>
      <c r="T1385" s="889"/>
      <c r="X1385" s="15"/>
      <c r="Y1385" s="1935"/>
      <c r="Z1385" s="1086"/>
      <c r="AA1385" s="230"/>
      <c r="AB1385" s="230"/>
      <c r="AC1385" s="1936"/>
      <c r="AD1385" s="230"/>
      <c r="AE1385" s="230"/>
      <c r="AF1385" s="230"/>
      <c r="AG1385" s="890"/>
      <c r="AJ1385" s="890"/>
      <c r="AN1385" s="223"/>
      <c r="AO1385" s="952"/>
      <c r="AP1385" s="1066"/>
      <c r="AQ1385" s="972"/>
      <c r="AR1385" s="1917"/>
      <c r="AS1385" s="222"/>
      <c r="AZ1385" s="889"/>
      <c r="BC1385" s="890"/>
      <c r="BD1385" s="952"/>
      <c r="BE1385" s="75"/>
      <c r="BF1385" s="572"/>
      <c r="BG1385" s="983"/>
      <c r="BH1385" s="222"/>
      <c r="BL1385" s="889"/>
      <c r="BO1385" s="223"/>
    </row>
    <row r="1386" spans="1:67" s="74" customFormat="1">
      <c r="A1386" s="15"/>
      <c r="B1386" s="15"/>
      <c r="C1386" s="15"/>
      <c r="D1386" s="15"/>
      <c r="E1386" s="6"/>
      <c r="F1386" s="6"/>
      <c r="G1386" s="6"/>
      <c r="K1386" s="223"/>
      <c r="M1386" s="889"/>
      <c r="P1386" s="890"/>
      <c r="T1386" s="889"/>
      <c r="X1386" s="15"/>
      <c r="Y1386" s="1935"/>
      <c r="Z1386" s="1086"/>
      <c r="AA1386" s="230"/>
      <c r="AB1386" s="230"/>
      <c r="AC1386" s="1936"/>
      <c r="AD1386" s="230"/>
      <c r="AE1386" s="230"/>
      <c r="AF1386" s="230"/>
      <c r="AG1386" s="890"/>
      <c r="AJ1386" s="890"/>
      <c r="AN1386" s="223"/>
      <c r="AO1386" s="952"/>
      <c r="AP1386" s="1066"/>
      <c r="AQ1386" s="972"/>
      <c r="AR1386" s="1917"/>
      <c r="AS1386" s="222"/>
      <c r="AZ1386" s="889"/>
      <c r="BC1386" s="890"/>
      <c r="BD1386" s="952"/>
      <c r="BE1386" s="75"/>
      <c r="BF1386" s="572"/>
      <c r="BG1386" s="983"/>
      <c r="BH1386" s="222"/>
      <c r="BL1386" s="889"/>
      <c r="BO1386" s="223"/>
    </row>
    <row r="1387" spans="1:67" s="74" customFormat="1">
      <c r="A1387" s="15"/>
      <c r="B1387" s="15"/>
      <c r="C1387" s="15"/>
      <c r="D1387" s="15"/>
      <c r="E1387" s="6"/>
      <c r="F1387" s="6"/>
      <c r="G1387" s="6"/>
      <c r="K1387" s="223"/>
      <c r="M1387" s="889"/>
      <c r="P1387" s="890"/>
      <c r="T1387" s="889"/>
      <c r="X1387" s="15"/>
      <c r="Y1387" s="1935"/>
      <c r="Z1387" s="1086"/>
      <c r="AA1387" s="230"/>
      <c r="AB1387" s="230"/>
      <c r="AC1387" s="1936"/>
      <c r="AD1387" s="230"/>
      <c r="AE1387" s="230"/>
      <c r="AF1387" s="230"/>
      <c r="AG1387" s="890"/>
      <c r="AJ1387" s="890"/>
      <c r="AN1387" s="223"/>
      <c r="AO1387" s="952"/>
      <c r="AP1387" s="1066"/>
      <c r="AQ1387" s="972"/>
      <c r="AR1387" s="1917"/>
      <c r="AS1387" s="222"/>
      <c r="AZ1387" s="889"/>
      <c r="BC1387" s="890"/>
      <c r="BD1387" s="952"/>
      <c r="BE1387" s="75"/>
      <c r="BF1387" s="572"/>
      <c r="BG1387" s="983"/>
      <c r="BH1387" s="222"/>
      <c r="BL1387" s="889"/>
      <c r="BO1387" s="223"/>
    </row>
    <row r="1388" spans="1:67" s="74" customFormat="1">
      <c r="A1388" s="15"/>
      <c r="B1388" s="15"/>
      <c r="C1388" s="15"/>
      <c r="D1388" s="15"/>
      <c r="E1388" s="6"/>
      <c r="F1388" s="6"/>
      <c r="G1388" s="6"/>
      <c r="K1388" s="223"/>
      <c r="M1388" s="889"/>
      <c r="P1388" s="890"/>
      <c r="T1388" s="889"/>
      <c r="X1388" s="15"/>
      <c r="Y1388" s="1935"/>
      <c r="Z1388" s="1086"/>
      <c r="AA1388" s="230"/>
      <c r="AB1388" s="230"/>
      <c r="AC1388" s="1936"/>
      <c r="AD1388" s="230"/>
      <c r="AE1388" s="230"/>
      <c r="AF1388" s="230"/>
      <c r="AG1388" s="890"/>
      <c r="AJ1388" s="890"/>
      <c r="AN1388" s="223"/>
      <c r="AO1388" s="952"/>
      <c r="AP1388" s="1066"/>
      <c r="AQ1388" s="972"/>
      <c r="AR1388" s="1917"/>
      <c r="AS1388" s="222"/>
      <c r="AZ1388" s="889"/>
      <c r="BC1388" s="890"/>
      <c r="BD1388" s="952"/>
      <c r="BE1388" s="75"/>
      <c r="BF1388" s="572"/>
      <c r="BG1388" s="983"/>
      <c r="BH1388" s="222"/>
      <c r="BL1388" s="889"/>
      <c r="BO1388" s="223"/>
    </row>
    <row r="1389" spans="1:67" s="74" customFormat="1">
      <c r="A1389" s="15"/>
      <c r="B1389" s="15"/>
      <c r="C1389" s="15"/>
      <c r="D1389" s="15"/>
      <c r="E1389" s="6"/>
      <c r="F1389" s="6"/>
      <c r="G1389" s="6"/>
      <c r="K1389" s="223"/>
      <c r="M1389" s="889"/>
      <c r="P1389" s="890"/>
      <c r="T1389" s="889"/>
      <c r="X1389" s="15"/>
      <c r="Y1389" s="1935"/>
      <c r="Z1389" s="1086"/>
      <c r="AA1389" s="230"/>
      <c r="AB1389" s="230"/>
      <c r="AC1389" s="1936"/>
      <c r="AD1389" s="230"/>
      <c r="AE1389" s="230"/>
      <c r="AF1389" s="230"/>
      <c r="AG1389" s="890"/>
      <c r="AJ1389" s="890"/>
      <c r="AN1389" s="223"/>
      <c r="AO1389" s="952"/>
      <c r="AP1389" s="1066"/>
      <c r="AQ1389" s="972"/>
      <c r="AR1389" s="1917"/>
      <c r="AS1389" s="222"/>
      <c r="AZ1389" s="889"/>
      <c r="BC1389" s="890"/>
      <c r="BD1389" s="952"/>
      <c r="BE1389" s="75"/>
      <c r="BF1389" s="572"/>
      <c r="BG1389" s="983"/>
      <c r="BH1389" s="222"/>
      <c r="BL1389" s="889"/>
      <c r="BO1389" s="223"/>
    </row>
    <row r="1390" spans="1:67" s="74" customFormat="1">
      <c r="A1390" s="15"/>
      <c r="B1390" s="15"/>
      <c r="C1390" s="15"/>
      <c r="D1390" s="15"/>
      <c r="E1390" s="6"/>
      <c r="F1390" s="6"/>
      <c r="G1390" s="6"/>
      <c r="K1390" s="223"/>
      <c r="M1390" s="889"/>
      <c r="P1390" s="890"/>
      <c r="T1390" s="889"/>
      <c r="X1390" s="15"/>
      <c r="Y1390" s="1935"/>
      <c r="Z1390" s="1086"/>
      <c r="AA1390" s="230"/>
      <c r="AB1390" s="230"/>
      <c r="AC1390" s="1936"/>
      <c r="AD1390" s="230"/>
      <c r="AE1390" s="230"/>
      <c r="AF1390" s="230"/>
      <c r="AG1390" s="890"/>
      <c r="AJ1390" s="890"/>
      <c r="AN1390" s="223"/>
      <c r="AO1390" s="952"/>
      <c r="AP1390" s="1066"/>
      <c r="AQ1390" s="972"/>
      <c r="AR1390" s="1917"/>
      <c r="AS1390" s="222"/>
      <c r="AZ1390" s="889"/>
      <c r="BC1390" s="890"/>
      <c r="BD1390" s="952"/>
      <c r="BE1390" s="75"/>
      <c r="BF1390" s="572"/>
      <c r="BG1390" s="983"/>
      <c r="BH1390" s="222"/>
      <c r="BL1390" s="889"/>
      <c r="BO1390" s="223"/>
    </row>
    <row r="1391" spans="1:67" s="74" customFormat="1">
      <c r="A1391" s="15"/>
      <c r="B1391" s="15"/>
      <c r="C1391" s="15"/>
      <c r="D1391" s="15"/>
      <c r="E1391" s="6"/>
      <c r="F1391" s="6"/>
      <c r="G1391" s="6"/>
      <c r="K1391" s="223"/>
      <c r="M1391" s="889"/>
      <c r="P1391" s="890"/>
      <c r="T1391" s="889"/>
      <c r="X1391" s="15"/>
      <c r="Y1391" s="1935"/>
      <c r="Z1391" s="1086"/>
      <c r="AA1391" s="230"/>
      <c r="AB1391" s="230"/>
      <c r="AC1391" s="1936"/>
      <c r="AD1391" s="230"/>
      <c r="AE1391" s="230"/>
      <c r="AF1391" s="230"/>
      <c r="AG1391" s="890"/>
      <c r="AJ1391" s="890"/>
      <c r="AN1391" s="223"/>
      <c r="AO1391" s="952"/>
      <c r="AP1391" s="1066"/>
      <c r="AQ1391" s="972"/>
      <c r="AR1391" s="1917"/>
      <c r="AS1391" s="222"/>
      <c r="AZ1391" s="889"/>
      <c r="BC1391" s="890"/>
      <c r="BD1391" s="952"/>
      <c r="BE1391" s="75"/>
      <c r="BF1391" s="572"/>
      <c r="BG1391" s="983"/>
      <c r="BH1391" s="222"/>
      <c r="BL1391" s="889"/>
      <c r="BO1391" s="223"/>
    </row>
    <row r="1392" spans="1:67" s="74" customFormat="1">
      <c r="A1392" s="15"/>
      <c r="B1392" s="15"/>
      <c r="C1392" s="15"/>
      <c r="D1392" s="15"/>
      <c r="E1392" s="6"/>
      <c r="F1392" s="6"/>
      <c r="G1392" s="6"/>
      <c r="K1392" s="223"/>
      <c r="M1392" s="889"/>
      <c r="P1392" s="890"/>
      <c r="T1392" s="889"/>
      <c r="X1392" s="15"/>
      <c r="Y1392" s="1935"/>
      <c r="Z1392" s="1086"/>
      <c r="AA1392" s="230"/>
      <c r="AB1392" s="230"/>
      <c r="AC1392" s="1936"/>
      <c r="AD1392" s="230"/>
      <c r="AE1392" s="230"/>
      <c r="AF1392" s="230"/>
      <c r="AG1392" s="890"/>
      <c r="AJ1392" s="890"/>
      <c r="AN1392" s="223"/>
      <c r="AO1392" s="952"/>
      <c r="AP1392" s="1066"/>
      <c r="AQ1392" s="972"/>
      <c r="AR1392" s="1917"/>
      <c r="AS1392" s="222"/>
      <c r="AZ1392" s="889"/>
      <c r="BC1392" s="890"/>
      <c r="BD1392" s="952"/>
      <c r="BE1392" s="75"/>
      <c r="BF1392" s="572"/>
      <c r="BG1392" s="983"/>
      <c r="BH1392" s="222"/>
      <c r="BL1392" s="889"/>
      <c r="BO1392" s="223"/>
    </row>
    <row r="1393" spans="1:67" s="74" customFormat="1">
      <c r="A1393" s="15"/>
      <c r="B1393" s="15"/>
      <c r="C1393" s="15"/>
      <c r="D1393" s="15"/>
      <c r="E1393" s="6"/>
      <c r="F1393" s="6"/>
      <c r="G1393" s="6"/>
      <c r="K1393" s="223"/>
      <c r="M1393" s="889"/>
      <c r="P1393" s="890"/>
      <c r="T1393" s="889"/>
      <c r="X1393" s="15"/>
      <c r="Y1393" s="1935"/>
      <c r="Z1393" s="1086"/>
      <c r="AA1393" s="230"/>
      <c r="AB1393" s="230"/>
      <c r="AC1393" s="1936"/>
      <c r="AD1393" s="230"/>
      <c r="AE1393" s="230"/>
      <c r="AF1393" s="230"/>
      <c r="AG1393" s="890"/>
      <c r="AJ1393" s="890"/>
      <c r="AN1393" s="223"/>
      <c r="AO1393" s="952"/>
      <c r="AP1393" s="1066"/>
      <c r="AQ1393" s="972"/>
      <c r="AR1393" s="1917"/>
      <c r="AS1393" s="222"/>
      <c r="AZ1393" s="889"/>
      <c r="BC1393" s="890"/>
      <c r="BD1393" s="952"/>
      <c r="BE1393" s="75"/>
      <c r="BF1393" s="572"/>
      <c r="BG1393" s="983"/>
      <c r="BH1393" s="222"/>
      <c r="BL1393" s="889"/>
      <c r="BO1393" s="223"/>
    </row>
    <row r="1394" spans="1:67" s="74" customFormat="1">
      <c r="A1394" s="15"/>
      <c r="B1394" s="15"/>
      <c r="C1394" s="15"/>
      <c r="D1394" s="15"/>
      <c r="E1394" s="6"/>
      <c r="F1394" s="6"/>
      <c r="G1394" s="6"/>
      <c r="K1394" s="223"/>
      <c r="M1394" s="889"/>
      <c r="P1394" s="890"/>
      <c r="T1394" s="889"/>
      <c r="X1394" s="15"/>
      <c r="Y1394" s="1935"/>
      <c r="Z1394" s="1086"/>
      <c r="AA1394" s="230"/>
      <c r="AB1394" s="230"/>
      <c r="AC1394" s="1936"/>
      <c r="AD1394" s="230"/>
      <c r="AE1394" s="230"/>
      <c r="AF1394" s="230"/>
      <c r="AG1394" s="890"/>
      <c r="AJ1394" s="890"/>
      <c r="AN1394" s="223"/>
      <c r="AO1394" s="952"/>
      <c r="AP1394" s="1066"/>
      <c r="AQ1394" s="972"/>
      <c r="AR1394" s="1917"/>
      <c r="AS1394" s="222"/>
      <c r="AZ1394" s="889"/>
      <c r="BC1394" s="890"/>
      <c r="BD1394" s="952"/>
      <c r="BE1394" s="75"/>
      <c r="BF1394" s="572"/>
      <c r="BG1394" s="983"/>
      <c r="BH1394" s="222"/>
      <c r="BL1394" s="889"/>
      <c r="BO1394" s="223"/>
    </row>
    <row r="1395" spans="1:67" s="74" customFormat="1">
      <c r="A1395" s="15"/>
      <c r="B1395" s="15"/>
      <c r="C1395" s="15"/>
      <c r="D1395" s="15"/>
      <c r="E1395" s="6"/>
      <c r="F1395" s="6"/>
      <c r="G1395" s="6"/>
      <c r="K1395" s="223"/>
      <c r="M1395" s="889"/>
      <c r="P1395" s="890"/>
      <c r="T1395" s="889"/>
      <c r="X1395" s="15"/>
      <c r="Y1395" s="1935"/>
      <c r="Z1395" s="1086"/>
      <c r="AA1395" s="230"/>
      <c r="AB1395" s="230"/>
      <c r="AC1395" s="1936"/>
      <c r="AD1395" s="230"/>
      <c r="AE1395" s="230"/>
      <c r="AF1395" s="230"/>
      <c r="AG1395" s="890"/>
      <c r="AJ1395" s="890"/>
      <c r="AN1395" s="223"/>
      <c r="AO1395" s="952"/>
      <c r="AP1395" s="1066"/>
      <c r="AQ1395" s="972"/>
      <c r="AR1395" s="1917"/>
      <c r="AS1395" s="222"/>
      <c r="AZ1395" s="889"/>
      <c r="BC1395" s="890"/>
      <c r="BD1395" s="952"/>
      <c r="BE1395" s="75"/>
      <c r="BF1395" s="572"/>
      <c r="BG1395" s="983"/>
      <c r="BH1395" s="222"/>
      <c r="BL1395" s="889"/>
      <c r="BO1395" s="223"/>
    </row>
    <row r="1396" spans="1:67" s="74" customFormat="1">
      <c r="A1396" s="15"/>
      <c r="B1396" s="15"/>
      <c r="C1396" s="15"/>
      <c r="D1396" s="15"/>
      <c r="E1396" s="6"/>
      <c r="F1396" s="6"/>
      <c r="G1396" s="6"/>
      <c r="K1396" s="223"/>
      <c r="M1396" s="889"/>
      <c r="P1396" s="890"/>
      <c r="T1396" s="889"/>
      <c r="X1396" s="15"/>
      <c r="Y1396" s="1935"/>
      <c r="Z1396" s="1086"/>
      <c r="AA1396" s="230"/>
      <c r="AB1396" s="230"/>
      <c r="AC1396" s="1936"/>
      <c r="AD1396" s="230"/>
      <c r="AE1396" s="230"/>
      <c r="AF1396" s="230"/>
      <c r="AG1396" s="890"/>
      <c r="AJ1396" s="890"/>
      <c r="AN1396" s="223"/>
      <c r="AO1396" s="952"/>
      <c r="AP1396" s="1066"/>
      <c r="AQ1396" s="972"/>
      <c r="AR1396" s="1917"/>
      <c r="AS1396" s="222"/>
      <c r="AZ1396" s="889"/>
      <c r="BC1396" s="890"/>
      <c r="BD1396" s="952"/>
      <c r="BE1396" s="75"/>
      <c r="BF1396" s="572"/>
      <c r="BG1396" s="983"/>
      <c r="BH1396" s="222"/>
      <c r="BL1396" s="889"/>
      <c r="BO1396" s="223"/>
    </row>
    <row r="1397" spans="1:67" s="74" customFormat="1">
      <c r="A1397" s="15"/>
      <c r="B1397" s="15"/>
      <c r="C1397" s="15"/>
      <c r="D1397" s="15"/>
      <c r="E1397" s="6"/>
      <c r="F1397" s="6"/>
      <c r="G1397" s="6"/>
      <c r="K1397" s="223"/>
      <c r="M1397" s="889"/>
      <c r="P1397" s="890"/>
      <c r="T1397" s="889"/>
      <c r="X1397" s="15"/>
      <c r="Y1397" s="1935"/>
      <c r="Z1397" s="1086"/>
      <c r="AA1397" s="230"/>
      <c r="AB1397" s="230"/>
      <c r="AC1397" s="1936"/>
      <c r="AD1397" s="230"/>
      <c r="AE1397" s="230"/>
      <c r="AF1397" s="230"/>
      <c r="AG1397" s="890"/>
      <c r="AJ1397" s="890"/>
      <c r="AN1397" s="223"/>
      <c r="AO1397" s="952"/>
      <c r="AP1397" s="1066"/>
      <c r="AQ1397" s="972"/>
      <c r="AR1397" s="1917"/>
      <c r="AS1397" s="222"/>
      <c r="AZ1397" s="889"/>
      <c r="BC1397" s="890"/>
      <c r="BD1397" s="952"/>
      <c r="BE1397" s="75"/>
      <c r="BF1397" s="572"/>
      <c r="BG1397" s="983"/>
      <c r="BH1397" s="222"/>
      <c r="BL1397" s="889"/>
      <c r="BO1397" s="223"/>
    </row>
    <row r="1398" spans="1:67" s="74" customFormat="1">
      <c r="A1398" s="15"/>
      <c r="B1398" s="15"/>
      <c r="C1398" s="15"/>
      <c r="D1398" s="15"/>
      <c r="E1398" s="6"/>
      <c r="F1398" s="6"/>
      <c r="G1398" s="6"/>
      <c r="K1398" s="223"/>
      <c r="M1398" s="889"/>
      <c r="P1398" s="890"/>
      <c r="T1398" s="889"/>
      <c r="X1398" s="15"/>
      <c r="Y1398" s="1935"/>
      <c r="Z1398" s="1086"/>
      <c r="AA1398" s="230"/>
      <c r="AB1398" s="230"/>
      <c r="AC1398" s="1936"/>
      <c r="AD1398" s="230"/>
      <c r="AE1398" s="230"/>
      <c r="AF1398" s="230"/>
      <c r="AG1398" s="890"/>
      <c r="AJ1398" s="890"/>
      <c r="AN1398" s="223"/>
      <c r="AO1398" s="952"/>
      <c r="AP1398" s="1066"/>
      <c r="AQ1398" s="972"/>
      <c r="AR1398" s="1917"/>
      <c r="AS1398" s="222"/>
      <c r="AZ1398" s="889"/>
      <c r="BC1398" s="890"/>
      <c r="BD1398" s="952"/>
      <c r="BE1398" s="75"/>
      <c r="BF1398" s="572"/>
      <c r="BG1398" s="983"/>
      <c r="BH1398" s="222"/>
      <c r="BL1398" s="889"/>
      <c r="BO1398" s="223"/>
    </row>
    <row r="1399" spans="1:67" s="74" customFormat="1">
      <c r="A1399" s="15"/>
      <c r="B1399" s="15"/>
      <c r="C1399" s="15"/>
      <c r="D1399" s="15"/>
      <c r="E1399" s="6"/>
      <c r="F1399" s="6"/>
      <c r="G1399" s="6"/>
      <c r="K1399" s="223"/>
      <c r="M1399" s="889"/>
      <c r="P1399" s="890"/>
      <c r="T1399" s="889"/>
      <c r="X1399" s="15"/>
      <c r="Y1399" s="1935"/>
      <c r="Z1399" s="1086"/>
      <c r="AA1399" s="230"/>
      <c r="AB1399" s="230"/>
      <c r="AC1399" s="1936"/>
      <c r="AD1399" s="230"/>
      <c r="AE1399" s="230"/>
      <c r="AF1399" s="230"/>
      <c r="AG1399" s="890"/>
      <c r="AJ1399" s="890"/>
      <c r="AN1399" s="223"/>
      <c r="AO1399" s="952"/>
      <c r="AP1399" s="1066"/>
      <c r="AQ1399" s="972"/>
      <c r="AR1399" s="1917"/>
      <c r="AS1399" s="222"/>
      <c r="AZ1399" s="889"/>
      <c r="BC1399" s="890"/>
      <c r="BD1399" s="952"/>
      <c r="BE1399" s="75"/>
      <c r="BF1399" s="572"/>
      <c r="BG1399" s="983"/>
      <c r="BH1399" s="222"/>
      <c r="BL1399" s="889"/>
      <c r="BO1399" s="223"/>
    </row>
    <row r="1400" spans="1:67" s="74" customFormat="1">
      <c r="A1400" s="15"/>
      <c r="B1400" s="15"/>
      <c r="C1400" s="15"/>
      <c r="D1400" s="15"/>
      <c r="E1400" s="6"/>
      <c r="F1400" s="6"/>
      <c r="G1400" s="6"/>
      <c r="K1400" s="223"/>
      <c r="M1400" s="889"/>
      <c r="P1400" s="890"/>
      <c r="T1400" s="889"/>
      <c r="X1400" s="15"/>
      <c r="Y1400" s="1935"/>
      <c r="Z1400" s="1086"/>
      <c r="AA1400" s="230"/>
      <c r="AB1400" s="230"/>
      <c r="AC1400" s="1936"/>
      <c r="AD1400" s="230"/>
      <c r="AE1400" s="230"/>
      <c r="AF1400" s="230"/>
      <c r="AG1400" s="890"/>
      <c r="AJ1400" s="890"/>
      <c r="AN1400" s="223"/>
      <c r="AO1400" s="952"/>
      <c r="AP1400" s="1066"/>
      <c r="AQ1400" s="972"/>
      <c r="AR1400" s="1917"/>
      <c r="AS1400" s="222"/>
      <c r="AZ1400" s="889"/>
      <c r="BC1400" s="890"/>
      <c r="BD1400" s="952"/>
      <c r="BE1400" s="75"/>
      <c r="BF1400" s="572"/>
      <c r="BG1400" s="983"/>
      <c r="BH1400" s="222"/>
      <c r="BL1400" s="889"/>
      <c r="BO1400" s="223"/>
    </row>
    <row r="1401" spans="1:67" s="74" customFormat="1">
      <c r="A1401" s="15"/>
      <c r="B1401" s="15"/>
      <c r="C1401" s="15"/>
      <c r="D1401" s="15"/>
      <c r="E1401" s="6"/>
      <c r="F1401" s="6"/>
      <c r="G1401" s="6"/>
      <c r="K1401" s="223"/>
      <c r="M1401" s="889"/>
      <c r="P1401" s="890"/>
      <c r="T1401" s="889"/>
      <c r="X1401" s="15"/>
      <c r="Y1401" s="1935"/>
      <c r="Z1401" s="1086"/>
      <c r="AA1401" s="230"/>
      <c r="AB1401" s="230"/>
      <c r="AC1401" s="1936"/>
      <c r="AD1401" s="230"/>
      <c r="AE1401" s="230"/>
      <c r="AF1401" s="230"/>
      <c r="AG1401" s="890"/>
      <c r="AJ1401" s="890"/>
      <c r="AN1401" s="223"/>
      <c r="AO1401" s="952"/>
      <c r="AP1401" s="1066"/>
      <c r="AQ1401" s="972"/>
      <c r="AR1401" s="1917"/>
      <c r="AS1401" s="222"/>
      <c r="AZ1401" s="889"/>
      <c r="BC1401" s="890"/>
      <c r="BD1401" s="952"/>
      <c r="BE1401" s="75"/>
      <c r="BF1401" s="572"/>
      <c r="BG1401" s="983"/>
      <c r="BH1401" s="222"/>
      <c r="BL1401" s="889"/>
      <c r="BO1401" s="223"/>
    </row>
    <row r="1402" spans="1:67" s="74" customFormat="1">
      <c r="A1402" s="15"/>
      <c r="B1402" s="15"/>
      <c r="C1402" s="15"/>
      <c r="D1402" s="15"/>
      <c r="E1402" s="6"/>
      <c r="F1402" s="6"/>
      <c r="G1402" s="6"/>
      <c r="K1402" s="223"/>
      <c r="M1402" s="889"/>
      <c r="P1402" s="890"/>
      <c r="T1402" s="889"/>
      <c r="X1402" s="15"/>
      <c r="Y1402" s="1935"/>
      <c r="Z1402" s="1086"/>
      <c r="AA1402" s="230"/>
      <c r="AB1402" s="230"/>
      <c r="AC1402" s="1936"/>
      <c r="AD1402" s="230"/>
      <c r="AE1402" s="230"/>
      <c r="AF1402" s="230"/>
      <c r="AG1402" s="890"/>
      <c r="AJ1402" s="890"/>
      <c r="AN1402" s="223"/>
      <c r="AO1402" s="952"/>
      <c r="AP1402" s="1066"/>
      <c r="AQ1402" s="972"/>
      <c r="AR1402" s="1917"/>
      <c r="AS1402" s="222"/>
      <c r="AZ1402" s="889"/>
      <c r="BC1402" s="890"/>
      <c r="BD1402" s="952"/>
      <c r="BE1402" s="75"/>
      <c r="BF1402" s="572"/>
      <c r="BG1402" s="983"/>
      <c r="BH1402" s="222"/>
      <c r="BL1402" s="889"/>
      <c r="BO1402" s="223"/>
    </row>
    <row r="1403" spans="1:67" s="74" customFormat="1">
      <c r="A1403" s="15"/>
      <c r="B1403" s="15"/>
      <c r="C1403" s="15"/>
      <c r="D1403" s="15"/>
      <c r="E1403" s="6"/>
      <c r="F1403" s="6"/>
      <c r="G1403" s="6"/>
      <c r="K1403" s="223"/>
      <c r="M1403" s="889"/>
      <c r="P1403" s="890"/>
      <c r="T1403" s="889"/>
      <c r="X1403" s="15"/>
      <c r="Y1403" s="1935"/>
      <c r="Z1403" s="1086"/>
      <c r="AA1403" s="230"/>
      <c r="AB1403" s="230"/>
      <c r="AC1403" s="1936"/>
      <c r="AD1403" s="230"/>
      <c r="AE1403" s="230"/>
      <c r="AF1403" s="230"/>
      <c r="AG1403" s="890"/>
      <c r="AJ1403" s="890"/>
      <c r="AN1403" s="223"/>
      <c r="AO1403" s="952"/>
      <c r="AP1403" s="1066"/>
      <c r="AQ1403" s="972"/>
      <c r="AR1403" s="1917"/>
      <c r="AS1403" s="222"/>
      <c r="AZ1403" s="889"/>
      <c r="BC1403" s="890"/>
      <c r="BD1403" s="952"/>
      <c r="BE1403" s="75"/>
      <c r="BF1403" s="572"/>
      <c r="BG1403" s="983"/>
      <c r="BH1403" s="222"/>
      <c r="BL1403" s="889"/>
      <c r="BO1403" s="223"/>
    </row>
    <row r="1404" spans="1:67" s="74" customFormat="1">
      <c r="A1404" s="15"/>
      <c r="B1404" s="15"/>
      <c r="C1404" s="15"/>
      <c r="D1404" s="15"/>
      <c r="E1404" s="6"/>
      <c r="F1404" s="6"/>
      <c r="G1404" s="6"/>
      <c r="K1404" s="223"/>
      <c r="M1404" s="889"/>
      <c r="P1404" s="890"/>
      <c r="T1404" s="889"/>
      <c r="X1404" s="15"/>
      <c r="Y1404" s="1935"/>
      <c r="Z1404" s="1086"/>
      <c r="AA1404" s="230"/>
      <c r="AB1404" s="230"/>
      <c r="AC1404" s="1936"/>
      <c r="AD1404" s="230"/>
      <c r="AE1404" s="230"/>
      <c r="AF1404" s="230"/>
      <c r="AG1404" s="890"/>
      <c r="AJ1404" s="890"/>
      <c r="AN1404" s="223"/>
      <c r="AO1404" s="952"/>
      <c r="AP1404" s="1066"/>
      <c r="AQ1404" s="972"/>
      <c r="AR1404" s="1917"/>
      <c r="AS1404" s="222"/>
      <c r="AZ1404" s="889"/>
      <c r="BC1404" s="890"/>
      <c r="BD1404" s="952"/>
      <c r="BE1404" s="75"/>
      <c r="BF1404" s="572"/>
      <c r="BG1404" s="983"/>
      <c r="BH1404" s="222"/>
      <c r="BL1404" s="889"/>
      <c r="BO1404" s="223"/>
    </row>
    <row r="1405" spans="1:67" s="74" customFormat="1">
      <c r="A1405" s="15"/>
      <c r="B1405" s="15"/>
      <c r="C1405" s="15"/>
      <c r="D1405" s="15"/>
      <c r="E1405" s="6"/>
      <c r="F1405" s="6"/>
      <c r="G1405" s="6"/>
      <c r="K1405" s="223"/>
      <c r="M1405" s="889"/>
      <c r="P1405" s="890"/>
      <c r="T1405" s="889"/>
      <c r="X1405" s="15"/>
      <c r="Y1405" s="1935"/>
      <c r="Z1405" s="1086"/>
      <c r="AA1405" s="230"/>
      <c r="AB1405" s="230"/>
      <c r="AC1405" s="1936"/>
      <c r="AD1405" s="230"/>
      <c r="AE1405" s="230"/>
      <c r="AF1405" s="230"/>
      <c r="AG1405" s="890"/>
      <c r="AJ1405" s="890"/>
      <c r="AN1405" s="223"/>
      <c r="AO1405" s="952"/>
      <c r="AP1405" s="1066"/>
      <c r="AQ1405" s="972"/>
      <c r="AR1405" s="1917"/>
      <c r="AS1405" s="222"/>
      <c r="AZ1405" s="889"/>
      <c r="BC1405" s="890"/>
      <c r="BD1405" s="952"/>
      <c r="BE1405" s="75"/>
      <c r="BF1405" s="572"/>
      <c r="BG1405" s="983"/>
      <c r="BH1405" s="222"/>
      <c r="BL1405" s="889"/>
      <c r="BO1405" s="223"/>
    </row>
    <row r="1406" spans="1:67" s="74" customFormat="1">
      <c r="A1406" s="15"/>
      <c r="B1406" s="15"/>
      <c r="C1406" s="15"/>
      <c r="D1406" s="15"/>
      <c r="E1406" s="6"/>
      <c r="F1406" s="6"/>
      <c r="G1406" s="6"/>
      <c r="K1406" s="223"/>
      <c r="M1406" s="889"/>
      <c r="P1406" s="890"/>
      <c r="T1406" s="889"/>
      <c r="X1406" s="15"/>
      <c r="Y1406" s="1935"/>
      <c r="Z1406" s="1086"/>
      <c r="AA1406" s="230"/>
      <c r="AB1406" s="230"/>
      <c r="AC1406" s="1936"/>
      <c r="AD1406" s="230"/>
      <c r="AE1406" s="230"/>
      <c r="AF1406" s="230"/>
      <c r="AG1406" s="890"/>
      <c r="AJ1406" s="890"/>
      <c r="AN1406" s="223"/>
      <c r="AO1406" s="952"/>
      <c r="AP1406" s="1066"/>
      <c r="AQ1406" s="972"/>
      <c r="AR1406" s="1917"/>
      <c r="AS1406" s="222"/>
      <c r="AZ1406" s="889"/>
      <c r="BC1406" s="890"/>
      <c r="BD1406" s="952"/>
      <c r="BE1406" s="75"/>
      <c r="BF1406" s="572"/>
      <c r="BG1406" s="983"/>
      <c r="BH1406" s="222"/>
      <c r="BL1406" s="889"/>
      <c r="BO1406" s="223"/>
    </row>
    <row r="1407" spans="1:67" s="74" customFormat="1">
      <c r="A1407" s="15"/>
      <c r="B1407" s="15"/>
      <c r="C1407" s="15"/>
      <c r="D1407" s="15"/>
      <c r="E1407" s="6"/>
      <c r="F1407" s="6"/>
      <c r="G1407" s="6"/>
      <c r="K1407" s="223"/>
      <c r="M1407" s="889"/>
      <c r="P1407" s="890"/>
      <c r="T1407" s="889"/>
      <c r="X1407" s="15"/>
      <c r="Y1407" s="1935"/>
      <c r="Z1407" s="1086"/>
      <c r="AA1407" s="230"/>
      <c r="AB1407" s="230"/>
      <c r="AC1407" s="1936"/>
      <c r="AD1407" s="230"/>
      <c r="AE1407" s="230"/>
      <c r="AF1407" s="230"/>
      <c r="AG1407" s="890"/>
      <c r="AJ1407" s="890"/>
      <c r="AN1407" s="223"/>
      <c r="AO1407" s="952"/>
      <c r="AP1407" s="1066"/>
      <c r="AQ1407" s="972"/>
      <c r="AR1407" s="1917"/>
      <c r="AS1407" s="222"/>
      <c r="AZ1407" s="889"/>
      <c r="BC1407" s="890"/>
      <c r="BD1407" s="952"/>
      <c r="BE1407" s="75"/>
      <c r="BF1407" s="572"/>
      <c r="BG1407" s="983"/>
      <c r="BH1407" s="222"/>
      <c r="BL1407" s="889"/>
      <c r="BO1407" s="223"/>
    </row>
    <row r="1408" spans="1:67" s="74" customFormat="1">
      <c r="A1408" s="15"/>
      <c r="B1408" s="15"/>
      <c r="C1408" s="15"/>
      <c r="D1408" s="15"/>
      <c r="E1408" s="6"/>
      <c r="F1408" s="6"/>
      <c r="G1408" s="6"/>
      <c r="K1408" s="223"/>
      <c r="M1408" s="889"/>
      <c r="P1408" s="890"/>
      <c r="T1408" s="889"/>
      <c r="X1408" s="15"/>
      <c r="Y1408" s="1935"/>
      <c r="Z1408" s="1086"/>
      <c r="AA1408" s="230"/>
      <c r="AB1408" s="230"/>
      <c r="AC1408" s="1936"/>
      <c r="AD1408" s="230"/>
      <c r="AE1408" s="230"/>
      <c r="AF1408" s="230"/>
      <c r="AG1408" s="890"/>
      <c r="AJ1408" s="890"/>
      <c r="AN1408" s="223"/>
      <c r="AO1408" s="952"/>
      <c r="AP1408" s="1066"/>
      <c r="AQ1408" s="972"/>
      <c r="AR1408" s="1917"/>
      <c r="AS1408" s="222"/>
      <c r="AZ1408" s="889"/>
      <c r="BC1408" s="890"/>
      <c r="BD1408" s="952"/>
      <c r="BE1408" s="75"/>
      <c r="BF1408" s="572"/>
      <c r="BG1408" s="983"/>
      <c r="BH1408" s="222"/>
      <c r="BL1408" s="889"/>
      <c r="BO1408" s="223"/>
    </row>
    <row r="1409" spans="1:67" s="74" customFormat="1">
      <c r="A1409" s="15"/>
      <c r="B1409" s="15"/>
      <c r="C1409" s="15"/>
      <c r="D1409" s="15"/>
      <c r="E1409" s="6"/>
      <c r="F1409" s="6"/>
      <c r="G1409" s="6"/>
      <c r="K1409" s="223"/>
      <c r="M1409" s="889"/>
      <c r="P1409" s="890"/>
      <c r="T1409" s="889"/>
      <c r="X1409" s="15"/>
      <c r="Y1409" s="1935"/>
      <c r="Z1409" s="1086"/>
      <c r="AA1409" s="230"/>
      <c r="AB1409" s="230"/>
      <c r="AC1409" s="1936"/>
      <c r="AD1409" s="230"/>
      <c r="AE1409" s="230"/>
      <c r="AF1409" s="230"/>
      <c r="AG1409" s="890"/>
      <c r="AJ1409" s="890"/>
      <c r="AN1409" s="223"/>
      <c r="AO1409" s="952"/>
      <c r="AP1409" s="1066"/>
      <c r="AQ1409" s="972"/>
      <c r="AR1409" s="1917"/>
      <c r="AS1409" s="222"/>
      <c r="AZ1409" s="889"/>
      <c r="BC1409" s="890"/>
      <c r="BD1409" s="952"/>
      <c r="BE1409" s="75"/>
      <c r="BF1409" s="572"/>
      <c r="BG1409" s="983"/>
      <c r="BH1409" s="222"/>
      <c r="BL1409" s="889"/>
      <c r="BO1409" s="223"/>
    </row>
    <row r="1410" spans="1:67" s="74" customFormat="1">
      <c r="A1410" s="15"/>
      <c r="B1410" s="15"/>
      <c r="C1410" s="15"/>
      <c r="D1410" s="15"/>
      <c r="E1410" s="6"/>
      <c r="F1410" s="6"/>
      <c r="G1410" s="6"/>
      <c r="K1410" s="223"/>
      <c r="M1410" s="889"/>
      <c r="P1410" s="890"/>
      <c r="T1410" s="889"/>
      <c r="X1410" s="15"/>
      <c r="Y1410" s="1935"/>
      <c r="Z1410" s="1086"/>
      <c r="AA1410" s="230"/>
      <c r="AB1410" s="230"/>
      <c r="AC1410" s="1936"/>
      <c r="AD1410" s="230"/>
      <c r="AE1410" s="230"/>
      <c r="AF1410" s="230"/>
      <c r="AG1410" s="890"/>
      <c r="AJ1410" s="890"/>
      <c r="AN1410" s="223"/>
      <c r="AO1410" s="952"/>
      <c r="AP1410" s="1066"/>
      <c r="AQ1410" s="972"/>
      <c r="AR1410" s="1917"/>
      <c r="AS1410" s="222"/>
      <c r="AZ1410" s="889"/>
      <c r="BC1410" s="890"/>
      <c r="BD1410" s="952"/>
      <c r="BE1410" s="75"/>
      <c r="BF1410" s="572"/>
      <c r="BG1410" s="983"/>
      <c r="BH1410" s="222"/>
      <c r="BL1410" s="889"/>
      <c r="BO1410" s="223"/>
    </row>
    <row r="1411" spans="1:67" s="74" customFormat="1">
      <c r="A1411" s="15"/>
      <c r="B1411" s="15"/>
      <c r="C1411" s="15"/>
      <c r="D1411" s="15"/>
      <c r="E1411" s="6"/>
      <c r="F1411" s="6"/>
      <c r="G1411" s="6"/>
      <c r="K1411" s="223"/>
      <c r="M1411" s="889"/>
      <c r="P1411" s="890"/>
      <c r="T1411" s="889"/>
      <c r="X1411" s="15"/>
      <c r="Y1411" s="1935"/>
      <c r="Z1411" s="1086"/>
      <c r="AA1411" s="230"/>
      <c r="AB1411" s="230"/>
      <c r="AC1411" s="1936"/>
      <c r="AD1411" s="230"/>
      <c r="AE1411" s="230"/>
      <c r="AF1411" s="230"/>
      <c r="AG1411" s="890"/>
      <c r="AJ1411" s="890"/>
      <c r="AN1411" s="223"/>
      <c r="AO1411" s="952"/>
      <c r="AP1411" s="1066"/>
      <c r="AQ1411" s="972"/>
      <c r="AR1411" s="1917"/>
      <c r="AS1411" s="222"/>
      <c r="AZ1411" s="889"/>
      <c r="BC1411" s="890"/>
      <c r="BD1411" s="952"/>
      <c r="BE1411" s="75"/>
      <c r="BF1411" s="572"/>
      <c r="BG1411" s="983"/>
      <c r="BH1411" s="222"/>
      <c r="BL1411" s="889"/>
      <c r="BO1411" s="223"/>
    </row>
    <row r="1412" spans="1:67" s="74" customFormat="1">
      <c r="A1412" s="15"/>
      <c r="B1412" s="15"/>
      <c r="C1412" s="15"/>
      <c r="D1412" s="15"/>
      <c r="E1412" s="6"/>
      <c r="F1412" s="6"/>
      <c r="G1412" s="6"/>
      <c r="K1412" s="223"/>
      <c r="M1412" s="889"/>
      <c r="P1412" s="890"/>
      <c r="T1412" s="889"/>
      <c r="X1412" s="15"/>
      <c r="Y1412" s="1935"/>
      <c r="Z1412" s="1086"/>
      <c r="AA1412" s="230"/>
      <c r="AB1412" s="230"/>
      <c r="AC1412" s="1936"/>
      <c r="AD1412" s="230"/>
      <c r="AE1412" s="230"/>
      <c r="AF1412" s="230"/>
      <c r="AG1412" s="890"/>
      <c r="AJ1412" s="890"/>
      <c r="AN1412" s="223"/>
      <c r="AO1412" s="952"/>
      <c r="AP1412" s="1066"/>
      <c r="AQ1412" s="972"/>
      <c r="AR1412" s="1917"/>
      <c r="AS1412" s="222"/>
      <c r="AZ1412" s="889"/>
      <c r="BC1412" s="890"/>
      <c r="BD1412" s="952"/>
      <c r="BE1412" s="75"/>
      <c r="BF1412" s="572"/>
      <c r="BG1412" s="983"/>
      <c r="BH1412" s="222"/>
      <c r="BL1412" s="889"/>
      <c r="BO1412" s="223"/>
    </row>
    <row r="1413" spans="1:67" s="74" customFormat="1">
      <c r="A1413" s="15"/>
      <c r="B1413" s="15"/>
      <c r="C1413" s="15"/>
      <c r="D1413" s="15"/>
      <c r="E1413" s="6"/>
      <c r="F1413" s="6"/>
      <c r="G1413" s="6"/>
      <c r="K1413" s="223"/>
      <c r="M1413" s="889"/>
      <c r="P1413" s="890"/>
      <c r="T1413" s="889"/>
      <c r="X1413" s="15"/>
      <c r="Y1413" s="1935"/>
      <c r="Z1413" s="1086"/>
      <c r="AA1413" s="230"/>
      <c r="AB1413" s="230"/>
      <c r="AC1413" s="1936"/>
      <c r="AD1413" s="230"/>
      <c r="AE1413" s="230"/>
      <c r="AF1413" s="230"/>
      <c r="AG1413" s="890"/>
      <c r="AJ1413" s="890"/>
      <c r="AN1413" s="223"/>
      <c r="AO1413" s="952"/>
      <c r="AP1413" s="1066"/>
      <c r="AQ1413" s="972"/>
      <c r="AR1413" s="1917"/>
      <c r="AS1413" s="222"/>
      <c r="AZ1413" s="889"/>
      <c r="BC1413" s="890"/>
      <c r="BD1413" s="952"/>
      <c r="BE1413" s="75"/>
      <c r="BF1413" s="572"/>
      <c r="BG1413" s="983"/>
      <c r="BH1413" s="222"/>
      <c r="BL1413" s="889"/>
      <c r="BO1413" s="223"/>
    </row>
    <row r="1414" spans="1:67" s="74" customFormat="1">
      <c r="A1414" s="15"/>
      <c r="B1414" s="15"/>
      <c r="C1414" s="15"/>
      <c r="D1414" s="15"/>
      <c r="E1414" s="6"/>
      <c r="F1414" s="6"/>
      <c r="G1414" s="6"/>
      <c r="K1414" s="223"/>
      <c r="M1414" s="889"/>
      <c r="P1414" s="890"/>
      <c r="T1414" s="889"/>
      <c r="X1414" s="15"/>
      <c r="Y1414" s="1935"/>
      <c r="Z1414" s="1086"/>
      <c r="AA1414" s="230"/>
      <c r="AB1414" s="230"/>
      <c r="AC1414" s="1936"/>
      <c r="AD1414" s="230"/>
      <c r="AE1414" s="230"/>
      <c r="AF1414" s="230"/>
      <c r="AG1414" s="890"/>
      <c r="AJ1414" s="890"/>
      <c r="AN1414" s="223"/>
      <c r="AO1414" s="952"/>
      <c r="AP1414" s="1066"/>
      <c r="AQ1414" s="972"/>
      <c r="AR1414" s="1917"/>
      <c r="AS1414" s="222"/>
      <c r="AZ1414" s="889"/>
      <c r="BC1414" s="890"/>
      <c r="BD1414" s="952"/>
      <c r="BE1414" s="75"/>
      <c r="BF1414" s="572"/>
      <c r="BG1414" s="983"/>
      <c r="BH1414" s="222"/>
      <c r="BL1414" s="889"/>
      <c r="BO1414" s="223"/>
    </row>
    <row r="1415" spans="1:67" s="74" customFormat="1">
      <c r="A1415" s="15"/>
      <c r="B1415" s="15"/>
      <c r="C1415" s="15"/>
      <c r="D1415" s="15"/>
      <c r="E1415" s="6"/>
      <c r="F1415" s="6"/>
      <c r="G1415" s="6"/>
      <c r="K1415" s="223"/>
      <c r="M1415" s="889"/>
      <c r="P1415" s="890"/>
      <c r="T1415" s="889"/>
      <c r="X1415" s="15"/>
      <c r="Y1415" s="1935"/>
      <c r="Z1415" s="1086"/>
      <c r="AA1415" s="230"/>
      <c r="AB1415" s="230"/>
      <c r="AC1415" s="1936"/>
      <c r="AD1415" s="230"/>
      <c r="AE1415" s="230"/>
      <c r="AF1415" s="230"/>
      <c r="AG1415" s="890"/>
      <c r="AJ1415" s="890"/>
      <c r="AN1415" s="223"/>
      <c r="AO1415" s="952"/>
      <c r="AP1415" s="1066"/>
      <c r="AQ1415" s="972"/>
      <c r="AR1415" s="1917"/>
      <c r="AS1415" s="222"/>
      <c r="AZ1415" s="889"/>
      <c r="BC1415" s="890"/>
      <c r="BD1415" s="952"/>
      <c r="BE1415" s="75"/>
      <c r="BF1415" s="572"/>
      <c r="BG1415" s="983"/>
      <c r="BH1415" s="222"/>
      <c r="BL1415" s="889"/>
      <c r="BO1415" s="223"/>
    </row>
    <row r="1416" spans="1:67" s="74" customFormat="1">
      <c r="A1416" s="15"/>
      <c r="B1416" s="15"/>
      <c r="C1416" s="15"/>
      <c r="D1416" s="15"/>
      <c r="E1416" s="6"/>
      <c r="F1416" s="6"/>
      <c r="G1416" s="6"/>
      <c r="K1416" s="223"/>
      <c r="M1416" s="889"/>
      <c r="P1416" s="890"/>
      <c r="T1416" s="889"/>
      <c r="X1416" s="15"/>
      <c r="Y1416" s="1935"/>
      <c r="Z1416" s="1086"/>
      <c r="AA1416" s="230"/>
      <c r="AB1416" s="230"/>
      <c r="AC1416" s="1936"/>
      <c r="AD1416" s="230"/>
      <c r="AE1416" s="230"/>
      <c r="AF1416" s="230"/>
      <c r="AG1416" s="890"/>
      <c r="AJ1416" s="890"/>
      <c r="AN1416" s="223"/>
      <c r="AO1416" s="952"/>
      <c r="AP1416" s="1066"/>
      <c r="AQ1416" s="972"/>
      <c r="AR1416" s="1917"/>
      <c r="AS1416" s="222"/>
      <c r="AZ1416" s="889"/>
      <c r="BC1416" s="890"/>
      <c r="BD1416" s="952"/>
      <c r="BE1416" s="75"/>
      <c r="BF1416" s="572"/>
      <c r="BG1416" s="983"/>
      <c r="BH1416" s="222"/>
      <c r="BL1416" s="889"/>
      <c r="BO1416" s="223"/>
    </row>
    <row r="1417" spans="1:67" s="74" customFormat="1">
      <c r="A1417" s="15"/>
      <c r="B1417" s="15"/>
      <c r="C1417" s="15"/>
      <c r="D1417" s="15"/>
      <c r="E1417" s="6"/>
      <c r="F1417" s="6"/>
      <c r="G1417" s="6"/>
      <c r="K1417" s="223"/>
      <c r="M1417" s="889"/>
      <c r="P1417" s="890"/>
      <c r="T1417" s="889"/>
      <c r="X1417" s="15"/>
      <c r="Y1417" s="1935"/>
      <c r="Z1417" s="1086"/>
      <c r="AA1417" s="230"/>
      <c r="AB1417" s="230"/>
      <c r="AC1417" s="1936"/>
      <c r="AD1417" s="230"/>
      <c r="AE1417" s="230"/>
      <c r="AF1417" s="230"/>
      <c r="AG1417" s="890"/>
      <c r="AJ1417" s="890"/>
      <c r="AN1417" s="223"/>
      <c r="AO1417" s="952"/>
      <c r="AP1417" s="1066"/>
      <c r="AQ1417" s="972"/>
      <c r="AR1417" s="1917"/>
      <c r="AS1417" s="222"/>
      <c r="AZ1417" s="889"/>
      <c r="BC1417" s="890"/>
      <c r="BD1417" s="952"/>
      <c r="BE1417" s="75"/>
      <c r="BF1417" s="572"/>
      <c r="BG1417" s="983"/>
      <c r="BH1417" s="222"/>
      <c r="BL1417" s="889"/>
      <c r="BO1417" s="223"/>
    </row>
    <row r="1418" spans="1:67" s="74" customFormat="1">
      <c r="A1418" s="15"/>
      <c r="B1418" s="15"/>
      <c r="C1418" s="15"/>
      <c r="D1418" s="15"/>
      <c r="E1418" s="6"/>
      <c r="F1418" s="6"/>
      <c r="G1418" s="6"/>
      <c r="K1418" s="223"/>
      <c r="M1418" s="889"/>
      <c r="P1418" s="890"/>
      <c r="T1418" s="889"/>
      <c r="X1418" s="15"/>
      <c r="Y1418" s="1935"/>
      <c r="Z1418" s="1086"/>
      <c r="AA1418" s="230"/>
      <c r="AB1418" s="230"/>
      <c r="AC1418" s="1936"/>
      <c r="AD1418" s="230"/>
      <c r="AE1418" s="230"/>
      <c r="AF1418" s="230"/>
      <c r="AG1418" s="890"/>
      <c r="AJ1418" s="890"/>
      <c r="AN1418" s="223"/>
      <c r="AO1418" s="952"/>
      <c r="AP1418" s="1066"/>
      <c r="AQ1418" s="972"/>
      <c r="AR1418" s="1917"/>
      <c r="AS1418" s="222"/>
      <c r="AZ1418" s="889"/>
      <c r="BC1418" s="890"/>
      <c r="BD1418" s="952"/>
      <c r="BE1418" s="75"/>
      <c r="BF1418" s="572"/>
      <c r="BG1418" s="983"/>
      <c r="BH1418" s="222"/>
      <c r="BL1418" s="889"/>
      <c r="BO1418" s="223"/>
    </row>
    <row r="1419" spans="1:67" s="74" customFormat="1">
      <c r="A1419" s="15"/>
      <c r="B1419" s="15"/>
      <c r="C1419" s="15"/>
      <c r="D1419" s="15"/>
      <c r="E1419" s="6"/>
      <c r="F1419" s="6"/>
      <c r="G1419" s="6"/>
      <c r="K1419" s="223"/>
      <c r="M1419" s="889"/>
      <c r="P1419" s="890"/>
      <c r="T1419" s="889"/>
      <c r="X1419" s="15"/>
      <c r="Y1419" s="1935"/>
      <c r="Z1419" s="1086"/>
      <c r="AA1419" s="230"/>
      <c r="AB1419" s="230"/>
      <c r="AC1419" s="1936"/>
      <c r="AD1419" s="230"/>
      <c r="AE1419" s="230"/>
      <c r="AF1419" s="230"/>
      <c r="AG1419" s="890"/>
      <c r="AJ1419" s="890"/>
      <c r="AN1419" s="223"/>
      <c r="AO1419" s="952"/>
      <c r="AP1419" s="1066"/>
      <c r="AQ1419" s="972"/>
      <c r="AR1419" s="1917"/>
      <c r="AS1419" s="222"/>
      <c r="AZ1419" s="889"/>
      <c r="BC1419" s="890"/>
      <c r="BD1419" s="952"/>
      <c r="BE1419" s="75"/>
      <c r="BF1419" s="572"/>
      <c r="BG1419" s="983"/>
      <c r="BH1419" s="222"/>
      <c r="BL1419" s="889"/>
      <c r="BO1419" s="223"/>
    </row>
    <row r="1420" spans="1:67" s="74" customFormat="1">
      <c r="A1420" s="15"/>
      <c r="B1420" s="15"/>
      <c r="C1420" s="15"/>
      <c r="D1420" s="15"/>
      <c r="E1420" s="6"/>
      <c r="F1420" s="6"/>
      <c r="G1420" s="6"/>
      <c r="K1420" s="223"/>
      <c r="M1420" s="889"/>
      <c r="P1420" s="890"/>
      <c r="T1420" s="889"/>
      <c r="X1420" s="15"/>
      <c r="Y1420" s="1935"/>
      <c r="Z1420" s="1086"/>
      <c r="AA1420" s="230"/>
      <c r="AB1420" s="230"/>
      <c r="AC1420" s="1936"/>
      <c r="AD1420" s="230"/>
      <c r="AE1420" s="230"/>
      <c r="AF1420" s="230"/>
      <c r="AG1420" s="890"/>
      <c r="AJ1420" s="890"/>
      <c r="AN1420" s="223"/>
      <c r="AO1420" s="952"/>
      <c r="AP1420" s="1066"/>
      <c r="AQ1420" s="972"/>
      <c r="AR1420" s="1917"/>
      <c r="AS1420" s="222"/>
      <c r="AZ1420" s="889"/>
      <c r="BC1420" s="890"/>
      <c r="BD1420" s="952"/>
      <c r="BE1420" s="75"/>
      <c r="BF1420" s="572"/>
      <c r="BG1420" s="983"/>
      <c r="BH1420" s="222"/>
      <c r="BL1420" s="889"/>
      <c r="BO1420" s="223"/>
    </row>
    <row r="1421" spans="1:67" s="74" customFormat="1">
      <c r="A1421" s="15"/>
      <c r="B1421" s="15"/>
      <c r="C1421" s="15"/>
      <c r="D1421" s="15"/>
      <c r="E1421" s="6"/>
      <c r="F1421" s="6"/>
      <c r="G1421" s="6"/>
      <c r="K1421" s="223"/>
      <c r="M1421" s="889"/>
      <c r="P1421" s="890"/>
      <c r="T1421" s="889"/>
      <c r="X1421" s="15"/>
      <c r="Y1421" s="1935"/>
      <c r="Z1421" s="1086"/>
      <c r="AA1421" s="230"/>
      <c r="AB1421" s="230"/>
      <c r="AC1421" s="1936"/>
      <c r="AD1421" s="230"/>
      <c r="AE1421" s="230"/>
      <c r="AF1421" s="230"/>
      <c r="AG1421" s="890"/>
      <c r="AJ1421" s="890"/>
      <c r="AN1421" s="223"/>
      <c r="AO1421" s="952"/>
      <c r="AP1421" s="1066"/>
      <c r="AQ1421" s="972"/>
      <c r="AR1421" s="1917"/>
      <c r="AS1421" s="222"/>
      <c r="AZ1421" s="889"/>
      <c r="BC1421" s="890"/>
      <c r="BD1421" s="952"/>
      <c r="BE1421" s="75"/>
      <c r="BF1421" s="572"/>
      <c r="BG1421" s="983"/>
      <c r="BH1421" s="222"/>
      <c r="BL1421" s="889"/>
      <c r="BO1421" s="223"/>
    </row>
    <row r="1422" spans="1:67" s="74" customFormat="1">
      <c r="A1422" s="15"/>
      <c r="B1422" s="15"/>
      <c r="C1422" s="15"/>
      <c r="D1422" s="15"/>
      <c r="E1422" s="6"/>
      <c r="F1422" s="6"/>
      <c r="G1422" s="6"/>
      <c r="K1422" s="223"/>
      <c r="M1422" s="889"/>
      <c r="P1422" s="890"/>
      <c r="T1422" s="889"/>
      <c r="X1422" s="15"/>
      <c r="Y1422" s="1935"/>
      <c r="Z1422" s="1086"/>
      <c r="AA1422" s="230"/>
      <c r="AB1422" s="230"/>
      <c r="AC1422" s="1936"/>
      <c r="AD1422" s="230"/>
      <c r="AE1422" s="230"/>
      <c r="AF1422" s="230"/>
      <c r="AG1422" s="890"/>
      <c r="AJ1422" s="890"/>
      <c r="AN1422" s="223"/>
      <c r="AO1422" s="952"/>
      <c r="AP1422" s="1066"/>
      <c r="AQ1422" s="972"/>
      <c r="AR1422" s="1917"/>
      <c r="AS1422" s="222"/>
      <c r="AZ1422" s="889"/>
      <c r="BC1422" s="890"/>
      <c r="BD1422" s="952"/>
      <c r="BE1422" s="75"/>
      <c r="BF1422" s="572"/>
      <c r="BG1422" s="983"/>
      <c r="BH1422" s="222"/>
      <c r="BL1422" s="889"/>
      <c r="BO1422" s="223"/>
    </row>
    <row r="1423" spans="1:67" s="74" customFormat="1">
      <c r="A1423" s="15"/>
      <c r="B1423" s="15"/>
      <c r="C1423" s="15"/>
      <c r="D1423" s="15"/>
      <c r="E1423" s="6"/>
      <c r="F1423" s="6"/>
      <c r="G1423" s="6"/>
      <c r="K1423" s="223"/>
      <c r="M1423" s="889"/>
      <c r="P1423" s="890"/>
      <c r="T1423" s="889"/>
      <c r="X1423" s="15"/>
      <c r="Y1423" s="1935"/>
      <c r="Z1423" s="1086"/>
      <c r="AA1423" s="230"/>
      <c r="AB1423" s="230"/>
      <c r="AC1423" s="1936"/>
      <c r="AD1423" s="230"/>
      <c r="AE1423" s="230"/>
      <c r="AF1423" s="230"/>
      <c r="AG1423" s="890"/>
      <c r="AJ1423" s="890"/>
      <c r="AN1423" s="223"/>
      <c r="AO1423" s="952"/>
      <c r="AP1423" s="1066"/>
      <c r="AQ1423" s="972"/>
      <c r="AR1423" s="1917"/>
      <c r="AS1423" s="222"/>
      <c r="AZ1423" s="889"/>
      <c r="BC1423" s="890"/>
      <c r="BD1423" s="952"/>
      <c r="BE1423" s="75"/>
      <c r="BF1423" s="572"/>
      <c r="BG1423" s="983"/>
      <c r="BH1423" s="222"/>
      <c r="BL1423" s="889"/>
      <c r="BO1423" s="223"/>
    </row>
    <row r="1424" spans="1:67" s="74" customFormat="1">
      <c r="A1424" s="15"/>
      <c r="B1424" s="15"/>
      <c r="C1424" s="15"/>
      <c r="D1424" s="15"/>
      <c r="E1424" s="6"/>
      <c r="F1424" s="6"/>
      <c r="G1424" s="6"/>
      <c r="K1424" s="223"/>
      <c r="M1424" s="889"/>
      <c r="P1424" s="890"/>
      <c r="T1424" s="889"/>
      <c r="X1424" s="15"/>
      <c r="Y1424" s="1935"/>
      <c r="Z1424" s="1086"/>
      <c r="AA1424" s="230"/>
      <c r="AB1424" s="230"/>
      <c r="AC1424" s="1936"/>
      <c r="AD1424" s="230"/>
      <c r="AE1424" s="230"/>
      <c r="AF1424" s="230"/>
      <c r="AG1424" s="890"/>
      <c r="AJ1424" s="890"/>
      <c r="AN1424" s="223"/>
      <c r="AO1424" s="952"/>
      <c r="AP1424" s="1066"/>
      <c r="AQ1424" s="972"/>
      <c r="AR1424" s="1917"/>
      <c r="AS1424" s="222"/>
      <c r="AZ1424" s="889"/>
      <c r="BC1424" s="890"/>
      <c r="BD1424" s="952"/>
      <c r="BE1424" s="75"/>
      <c r="BF1424" s="572"/>
      <c r="BG1424" s="983"/>
      <c r="BH1424" s="222"/>
      <c r="BL1424" s="889"/>
      <c r="BO1424" s="223"/>
    </row>
    <row r="1425" spans="1:67" s="74" customFormat="1">
      <c r="A1425" s="15"/>
      <c r="B1425" s="15"/>
      <c r="C1425" s="15"/>
      <c r="D1425" s="15"/>
      <c r="E1425" s="6"/>
      <c r="F1425" s="6"/>
      <c r="G1425" s="6"/>
      <c r="K1425" s="223"/>
      <c r="M1425" s="889"/>
      <c r="P1425" s="890"/>
      <c r="T1425" s="889"/>
      <c r="X1425" s="15"/>
      <c r="Y1425" s="1935"/>
      <c r="Z1425" s="1086"/>
      <c r="AA1425" s="230"/>
      <c r="AB1425" s="230"/>
      <c r="AC1425" s="1936"/>
      <c r="AD1425" s="230"/>
      <c r="AE1425" s="230"/>
      <c r="AF1425" s="230"/>
      <c r="AG1425" s="890"/>
      <c r="AJ1425" s="890"/>
      <c r="AN1425" s="223"/>
      <c r="AO1425" s="952"/>
      <c r="AP1425" s="1066"/>
      <c r="AQ1425" s="972"/>
      <c r="AR1425" s="1917"/>
      <c r="AS1425" s="222"/>
      <c r="AZ1425" s="889"/>
      <c r="BC1425" s="890"/>
      <c r="BD1425" s="952"/>
      <c r="BE1425" s="75"/>
      <c r="BF1425" s="572"/>
      <c r="BG1425" s="983"/>
      <c r="BH1425" s="222"/>
      <c r="BL1425" s="889"/>
      <c r="BO1425" s="223"/>
    </row>
    <row r="1426" spans="1:67" s="74" customFormat="1">
      <c r="A1426" s="15"/>
      <c r="B1426" s="15"/>
      <c r="C1426" s="15"/>
      <c r="D1426" s="15"/>
      <c r="E1426" s="6"/>
      <c r="F1426" s="6"/>
      <c r="G1426" s="6"/>
      <c r="K1426" s="223"/>
      <c r="M1426" s="889"/>
      <c r="P1426" s="890"/>
      <c r="T1426" s="889"/>
      <c r="X1426" s="15"/>
      <c r="Y1426" s="1935"/>
      <c r="Z1426" s="1086"/>
      <c r="AA1426" s="230"/>
      <c r="AB1426" s="230"/>
      <c r="AC1426" s="1936"/>
      <c r="AD1426" s="230"/>
      <c r="AE1426" s="230"/>
      <c r="AF1426" s="230"/>
      <c r="AG1426" s="890"/>
      <c r="AJ1426" s="890"/>
      <c r="AN1426" s="223"/>
      <c r="AO1426" s="952"/>
      <c r="AP1426" s="1066"/>
      <c r="AQ1426" s="972"/>
      <c r="AR1426" s="1917"/>
      <c r="AS1426" s="222"/>
      <c r="AZ1426" s="889"/>
      <c r="BC1426" s="890"/>
      <c r="BD1426" s="952"/>
      <c r="BE1426" s="75"/>
      <c r="BF1426" s="572"/>
      <c r="BG1426" s="983"/>
      <c r="BH1426" s="222"/>
      <c r="BL1426" s="889"/>
      <c r="BO1426" s="223"/>
    </row>
    <row r="1427" spans="1:67" s="74" customFormat="1">
      <c r="A1427" s="15"/>
      <c r="B1427" s="15"/>
      <c r="C1427" s="15"/>
      <c r="D1427" s="15"/>
      <c r="E1427" s="6"/>
      <c r="F1427" s="6"/>
      <c r="G1427" s="6"/>
      <c r="K1427" s="223"/>
      <c r="M1427" s="889"/>
      <c r="P1427" s="890"/>
      <c r="T1427" s="889"/>
      <c r="X1427" s="15"/>
      <c r="Y1427" s="1935"/>
      <c r="Z1427" s="1086"/>
      <c r="AA1427" s="230"/>
      <c r="AB1427" s="230"/>
      <c r="AC1427" s="1936"/>
      <c r="AD1427" s="230"/>
      <c r="AE1427" s="230"/>
      <c r="AF1427" s="230"/>
      <c r="AG1427" s="890"/>
      <c r="AJ1427" s="890"/>
      <c r="AN1427" s="223"/>
      <c r="AO1427" s="952"/>
      <c r="AP1427" s="1066"/>
      <c r="AQ1427" s="972"/>
      <c r="AR1427" s="1917"/>
      <c r="AS1427" s="222"/>
      <c r="AZ1427" s="889"/>
      <c r="BC1427" s="890"/>
      <c r="BD1427" s="952"/>
      <c r="BE1427" s="75"/>
      <c r="BF1427" s="572"/>
      <c r="BG1427" s="983"/>
      <c r="BH1427" s="222"/>
      <c r="BL1427" s="889"/>
      <c r="BO1427" s="223"/>
    </row>
    <row r="1428" spans="1:67" s="74" customFormat="1">
      <c r="A1428" s="15"/>
      <c r="B1428" s="15"/>
      <c r="C1428" s="15"/>
      <c r="D1428" s="15"/>
      <c r="E1428" s="6"/>
      <c r="F1428" s="6"/>
      <c r="G1428" s="6"/>
      <c r="K1428" s="223"/>
      <c r="M1428" s="889"/>
      <c r="P1428" s="890"/>
      <c r="T1428" s="889"/>
      <c r="X1428" s="15"/>
      <c r="Y1428" s="1935"/>
      <c r="Z1428" s="1086"/>
      <c r="AA1428" s="230"/>
      <c r="AB1428" s="230"/>
      <c r="AC1428" s="1936"/>
      <c r="AD1428" s="230"/>
      <c r="AE1428" s="230"/>
      <c r="AF1428" s="230"/>
      <c r="AG1428" s="890"/>
      <c r="AJ1428" s="890"/>
      <c r="AN1428" s="223"/>
      <c r="AO1428" s="952"/>
      <c r="AP1428" s="1066"/>
      <c r="AQ1428" s="972"/>
      <c r="AR1428" s="1917"/>
      <c r="AS1428" s="222"/>
      <c r="AZ1428" s="889"/>
      <c r="BC1428" s="890"/>
      <c r="BD1428" s="952"/>
      <c r="BE1428" s="75"/>
      <c r="BF1428" s="572"/>
      <c r="BG1428" s="983"/>
      <c r="BH1428" s="222"/>
      <c r="BL1428" s="889"/>
      <c r="BO1428" s="223"/>
    </row>
    <row r="1429" spans="1:67" s="74" customFormat="1">
      <c r="A1429" s="15"/>
      <c r="B1429" s="15"/>
      <c r="C1429" s="15"/>
      <c r="D1429" s="15"/>
      <c r="E1429" s="6"/>
      <c r="F1429" s="6"/>
      <c r="G1429" s="6"/>
      <c r="K1429" s="223"/>
      <c r="M1429" s="889"/>
      <c r="P1429" s="890"/>
      <c r="T1429" s="889"/>
      <c r="X1429" s="15"/>
      <c r="Y1429" s="1935"/>
      <c r="Z1429" s="1086"/>
      <c r="AA1429" s="230"/>
      <c r="AB1429" s="230"/>
      <c r="AC1429" s="1936"/>
      <c r="AD1429" s="230"/>
      <c r="AE1429" s="230"/>
      <c r="AF1429" s="230"/>
      <c r="AG1429" s="890"/>
      <c r="AJ1429" s="890"/>
      <c r="AN1429" s="223"/>
      <c r="AO1429" s="952"/>
      <c r="AP1429" s="1066"/>
      <c r="AQ1429" s="972"/>
      <c r="AR1429" s="1917"/>
      <c r="AS1429" s="222"/>
      <c r="AZ1429" s="889"/>
      <c r="BC1429" s="890"/>
      <c r="BD1429" s="952"/>
      <c r="BE1429" s="75"/>
      <c r="BF1429" s="572"/>
      <c r="BG1429" s="983"/>
      <c r="BH1429" s="222"/>
      <c r="BL1429" s="889"/>
      <c r="BO1429" s="223"/>
    </row>
    <row r="1430" spans="1:67" s="74" customFormat="1">
      <c r="A1430" s="15"/>
      <c r="B1430" s="15"/>
      <c r="C1430" s="15"/>
      <c r="D1430" s="15"/>
      <c r="E1430" s="6"/>
      <c r="F1430" s="6"/>
      <c r="G1430" s="6"/>
      <c r="K1430" s="223"/>
      <c r="M1430" s="889"/>
      <c r="P1430" s="890"/>
      <c r="T1430" s="889"/>
      <c r="X1430" s="15"/>
      <c r="Y1430" s="1935"/>
      <c r="Z1430" s="1086"/>
      <c r="AA1430" s="230"/>
      <c r="AB1430" s="230"/>
      <c r="AC1430" s="1936"/>
      <c r="AD1430" s="230"/>
      <c r="AE1430" s="230"/>
      <c r="AF1430" s="230"/>
      <c r="AG1430" s="890"/>
      <c r="AJ1430" s="890"/>
      <c r="AN1430" s="223"/>
      <c r="AO1430" s="952"/>
      <c r="AP1430" s="1066"/>
      <c r="AQ1430" s="972"/>
      <c r="AR1430" s="1917"/>
      <c r="AS1430" s="222"/>
      <c r="AZ1430" s="889"/>
      <c r="BC1430" s="890"/>
      <c r="BD1430" s="952"/>
      <c r="BE1430" s="75"/>
      <c r="BF1430" s="572"/>
      <c r="BG1430" s="983"/>
      <c r="BH1430" s="222"/>
      <c r="BL1430" s="889"/>
      <c r="BO1430" s="223"/>
    </row>
    <row r="1431" spans="1:67" s="74" customFormat="1">
      <c r="A1431" s="15"/>
      <c r="B1431" s="15"/>
      <c r="C1431" s="15"/>
      <c r="D1431" s="15"/>
      <c r="E1431" s="6"/>
      <c r="F1431" s="6"/>
      <c r="G1431" s="6"/>
      <c r="K1431" s="223"/>
      <c r="M1431" s="889"/>
      <c r="P1431" s="890"/>
      <c r="T1431" s="889"/>
      <c r="X1431" s="15"/>
      <c r="Y1431" s="1935"/>
      <c r="Z1431" s="1086"/>
      <c r="AA1431" s="230"/>
      <c r="AB1431" s="230"/>
      <c r="AC1431" s="1936"/>
      <c r="AD1431" s="230"/>
      <c r="AE1431" s="230"/>
      <c r="AF1431" s="230"/>
      <c r="AG1431" s="890"/>
      <c r="AJ1431" s="890"/>
      <c r="AN1431" s="223"/>
      <c r="AO1431" s="952"/>
      <c r="AP1431" s="1066"/>
      <c r="AQ1431" s="972"/>
      <c r="AR1431" s="1917"/>
      <c r="AS1431" s="222"/>
      <c r="AZ1431" s="889"/>
      <c r="BC1431" s="890"/>
      <c r="BD1431" s="952"/>
      <c r="BE1431" s="75"/>
      <c r="BF1431" s="572"/>
      <c r="BG1431" s="983"/>
      <c r="BH1431" s="222"/>
      <c r="BL1431" s="889"/>
      <c r="BO1431" s="223"/>
    </row>
    <row r="1432" spans="1:67" s="74" customFormat="1">
      <c r="A1432" s="15"/>
      <c r="B1432" s="15"/>
      <c r="C1432" s="15"/>
      <c r="D1432" s="15"/>
      <c r="E1432" s="6"/>
      <c r="F1432" s="6"/>
      <c r="G1432" s="6"/>
      <c r="K1432" s="223"/>
      <c r="M1432" s="889"/>
      <c r="P1432" s="890"/>
      <c r="T1432" s="889"/>
      <c r="X1432" s="15"/>
      <c r="Y1432" s="1935"/>
      <c r="Z1432" s="1086"/>
      <c r="AA1432" s="230"/>
      <c r="AB1432" s="230"/>
      <c r="AC1432" s="1936"/>
      <c r="AD1432" s="230"/>
      <c r="AE1432" s="230"/>
      <c r="AF1432" s="230"/>
      <c r="AG1432" s="890"/>
      <c r="AJ1432" s="890"/>
      <c r="AN1432" s="223"/>
      <c r="AO1432" s="952"/>
      <c r="AP1432" s="1066"/>
      <c r="AQ1432" s="972"/>
      <c r="AR1432" s="1917"/>
      <c r="AS1432" s="222"/>
      <c r="AZ1432" s="889"/>
      <c r="BC1432" s="890"/>
      <c r="BD1432" s="952"/>
      <c r="BE1432" s="75"/>
      <c r="BF1432" s="572"/>
      <c r="BG1432" s="983"/>
      <c r="BH1432" s="222"/>
      <c r="BL1432" s="889"/>
      <c r="BO1432" s="223"/>
    </row>
    <row r="1433" spans="1:67" s="74" customFormat="1">
      <c r="A1433" s="15"/>
      <c r="B1433" s="15"/>
      <c r="C1433" s="15"/>
      <c r="D1433" s="15"/>
      <c r="E1433" s="6"/>
      <c r="F1433" s="6"/>
      <c r="G1433" s="6"/>
      <c r="K1433" s="223"/>
      <c r="M1433" s="889"/>
      <c r="P1433" s="890"/>
      <c r="T1433" s="889"/>
      <c r="X1433" s="15"/>
      <c r="Y1433" s="1935"/>
      <c r="Z1433" s="1086"/>
      <c r="AA1433" s="230"/>
      <c r="AB1433" s="230"/>
      <c r="AC1433" s="1936"/>
      <c r="AD1433" s="230"/>
      <c r="AE1433" s="230"/>
      <c r="AF1433" s="230"/>
      <c r="AG1433" s="890"/>
      <c r="AJ1433" s="890"/>
      <c r="AN1433" s="223"/>
      <c r="AO1433" s="952"/>
      <c r="AP1433" s="1066"/>
      <c r="AQ1433" s="972"/>
      <c r="AR1433" s="1917"/>
      <c r="AS1433" s="222"/>
      <c r="AZ1433" s="889"/>
      <c r="BC1433" s="890"/>
      <c r="BD1433" s="952"/>
      <c r="BE1433" s="75"/>
      <c r="BF1433" s="572"/>
      <c r="BG1433" s="983"/>
      <c r="BH1433" s="222"/>
      <c r="BL1433" s="889"/>
      <c r="BO1433" s="223"/>
    </row>
    <row r="1434" spans="1:67" s="74" customFormat="1">
      <c r="A1434" s="15"/>
      <c r="B1434" s="15"/>
      <c r="C1434" s="15"/>
      <c r="D1434" s="15"/>
      <c r="E1434" s="6"/>
      <c r="F1434" s="6"/>
      <c r="G1434" s="6"/>
      <c r="K1434" s="223"/>
      <c r="M1434" s="889"/>
      <c r="P1434" s="890"/>
      <c r="T1434" s="889"/>
      <c r="X1434" s="15"/>
      <c r="Y1434" s="1935"/>
      <c r="Z1434" s="1086"/>
      <c r="AA1434" s="230"/>
      <c r="AB1434" s="230"/>
      <c r="AC1434" s="1936"/>
      <c r="AD1434" s="230"/>
      <c r="AE1434" s="230"/>
      <c r="AF1434" s="230"/>
      <c r="AG1434" s="890"/>
      <c r="AJ1434" s="890"/>
      <c r="AN1434" s="223"/>
      <c r="AO1434" s="952"/>
      <c r="AP1434" s="1066"/>
      <c r="AQ1434" s="972"/>
      <c r="AR1434" s="1917"/>
      <c r="AS1434" s="222"/>
      <c r="AZ1434" s="889"/>
      <c r="BC1434" s="890"/>
      <c r="BD1434" s="952"/>
      <c r="BE1434" s="75"/>
      <c r="BF1434" s="572"/>
      <c r="BG1434" s="983"/>
      <c r="BH1434" s="222"/>
      <c r="BL1434" s="889"/>
      <c r="BO1434" s="223"/>
    </row>
    <row r="1435" spans="1:67" s="74" customFormat="1">
      <c r="A1435" s="15"/>
      <c r="B1435" s="15"/>
      <c r="C1435" s="15"/>
      <c r="D1435" s="15"/>
      <c r="E1435" s="6"/>
      <c r="F1435" s="6"/>
      <c r="G1435" s="6"/>
      <c r="K1435" s="223"/>
      <c r="M1435" s="889"/>
      <c r="P1435" s="890"/>
      <c r="T1435" s="889"/>
      <c r="X1435" s="15"/>
      <c r="Y1435" s="1935"/>
      <c r="Z1435" s="1086"/>
      <c r="AA1435" s="230"/>
      <c r="AB1435" s="230"/>
      <c r="AC1435" s="1936"/>
      <c r="AD1435" s="230"/>
      <c r="AE1435" s="230"/>
      <c r="AF1435" s="230"/>
      <c r="AG1435" s="890"/>
      <c r="AJ1435" s="890"/>
      <c r="AN1435" s="223"/>
      <c r="AO1435" s="952"/>
      <c r="AP1435" s="1066"/>
      <c r="AQ1435" s="972"/>
      <c r="AR1435" s="1917"/>
      <c r="AS1435" s="222"/>
      <c r="AZ1435" s="889"/>
      <c r="BC1435" s="890"/>
      <c r="BD1435" s="952"/>
      <c r="BE1435" s="75"/>
      <c r="BF1435" s="572"/>
      <c r="BG1435" s="983"/>
      <c r="BH1435" s="222"/>
      <c r="BL1435" s="889"/>
      <c r="BO1435" s="223"/>
    </row>
    <row r="1436" spans="1:67" s="74" customFormat="1">
      <c r="A1436" s="15"/>
      <c r="B1436" s="15"/>
      <c r="C1436" s="15"/>
      <c r="D1436" s="15"/>
      <c r="E1436" s="6"/>
      <c r="F1436" s="6"/>
      <c r="G1436" s="6"/>
      <c r="K1436" s="223"/>
      <c r="M1436" s="889"/>
      <c r="P1436" s="890"/>
      <c r="T1436" s="889"/>
      <c r="X1436" s="15"/>
      <c r="Y1436" s="1935"/>
      <c r="Z1436" s="1086"/>
      <c r="AA1436" s="230"/>
      <c r="AB1436" s="230"/>
      <c r="AC1436" s="1936"/>
      <c r="AD1436" s="230"/>
      <c r="AE1436" s="230"/>
      <c r="AF1436" s="230"/>
      <c r="AG1436" s="890"/>
      <c r="AJ1436" s="890"/>
      <c r="AN1436" s="223"/>
      <c r="AO1436" s="952"/>
      <c r="AP1436" s="1066"/>
      <c r="AQ1436" s="972"/>
      <c r="AR1436" s="1917"/>
      <c r="AS1436" s="222"/>
      <c r="AZ1436" s="889"/>
      <c r="BC1436" s="890"/>
      <c r="BD1436" s="952"/>
      <c r="BE1436" s="75"/>
      <c r="BF1436" s="572"/>
      <c r="BG1436" s="983"/>
      <c r="BH1436" s="222"/>
      <c r="BL1436" s="889"/>
      <c r="BO1436" s="223"/>
    </row>
    <row r="1437" spans="1:67" s="74" customFormat="1">
      <c r="A1437" s="15"/>
      <c r="B1437" s="15"/>
      <c r="C1437" s="15"/>
      <c r="D1437" s="15"/>
      <c r="E1437" s="6"/>
      <c r="F1437" s="6"/>
      <c r="G1437" s="6"/>
      <c r="K1437" s="223"/>
      <c r="M1437" s="889"/>
      <c r="P1437" s="890"/>
      <c r="T1437" s="889"/>
      <c r="X1437" s="15"/>
      <c r="Y1437" s="1935"/>
      <c r="Z1437" s="1086"/>
      <c r="AA1437" s="230"/>
      <c r="AB1437" s="230"/>
      <c r="AC1437" s="1936"/>
      <c r="AD1437" s="230"/>
      <c r="AE1437" s="230"/>
      <c r="AF1437" s="230"/>
      <c r="AG1437" s="890"/>
      <c r="AJ1437" s="890"/>
      <c r="AN1437" s="223"/>
      <c r="AO1437" s="952"/>
      <c r="AP1437" s="1066"/>
      <c r="AQ1437" s="972"/>
      <c r="AR1437" s="1917"/>
      <c r="AS1437" s="222"/>
      <c r="AZ1437" s="889"/>
      <c r="BC1437" s="890"/>
      <c r="BD1437" s="952"/>
      <c r="BE1437" s="75"/>
      <c r="BF1437" s="572"/>
      <c r="BG1437" s="983"/>
      <c r="BH1437" s="222"/>
      <c r="BL1437" s="889"/>
      <c r="BO1437" s="223"/>
    </row>
    <row r="1438" spans="1:67" s="74" customFormat="1">
      <c r="A1438" s="15"/>
      <c r="B1438" s="15"/>
      <c r="C1438" s="15"/>
      <c r="D1438" s="15"/>
      <c r="E1438" s="6"/>
      <c r="F1438" s="6"/>
      <c r="G1438" s="6"/>
      <c r="K1438" s="223"/>
      <c r="M1438" s="889"/>
      <c r="P1438" s="890"/>
      <c r="T1438" s="889"/>
      <c r="X1438" s="15"/>
      <c r="Y1438" s="1935"/>
      <c r="Z1438" s="1086"/>
      <c r="AA1438" s="230"/>
      <c r="AB1438" s="230"/>
      <c r="AC1438" s="1936"/>
      <c r="AD1438" s="230"/>
      <c r="AE1438" s="230"/>
      <c r="AF1438" s="230"/>
      <c r="AG1438" s="890"/>
      <c r="AJ1438" s="890"/>
      <c r="AN1438" s="223"/>
      <c r="AO1438" s="952"/>
      <c r="AP1438" s="1066"/>
      <c r="AQ1438" s="972"/>
      <c r="AR1438" s="1917"/>
      <c r="AS1438" s="222"/>
      <c r="AZ1438" s="889"/>
      <c r="BC1438" s="890"/>
      <c r="BD1438" s="952"/>
      <c r="BE1438" s="75"/>
      <c r="BF1438" s="572"/>
      <c r="BG1438" s="983"/>
      <c r="BH1438" s="222"/>
      <c r="BL1438" s="889"/>
      <c r="BO1438" s="223"/>
    </row>
    <row r="1439" spans="1:67" s="74" customFormat="1">
      <c r="A1439" s="15"/>
      <c r="B1439" s="15"/>
      <c r="C1439" s="15"/>
      <c r="D1439" s="15"/>
      <c r="E1439" s="6"/>
      <c r="F1439" s="6"/>
      <c r="G1439" s="6"/>
      <c r="K1439" s="223"/>
      <c r="M1439" s="889"/>
      <c r="P1439" s="890"/>
      <c r="T1439" s="889"/>
      <c r="X1439" s="15"/>
      <c r="Y1439" s="1935"/>
      <c r="Z1439" s="1086"/>
      <c r="AA1439" s="230"/>
      <c r="AB1439" s="230"/>
      <c r="AC1439" s="1936"/>
      <c r="AD1439" s="230"/>
      <c r="AE1439" s="230"/>
      <c r="AF1439" s="230"/>
      <c r="AG1439" s="890"/>
      <c r="AJ1439" s="890"/>
      <c r="AN1439" s="223"/>
      <c r="AO1439" s="952"/>
      <c r="AP1439" s="1066"/>
      <c r="AQ1439" s="972"/>
      <c r="AR1439" s="1917"/>
      <c r="AS1439" s="222"/>
      <c r="AZ1439" s="889"/>
      <c r="BC1439" s="890"/>
      <c r="BD1439" s="952"/>
      <c r="BE1439" s="75"/>
      <c r="BF1439" s="572"/>
      <c r="BG1439" s="983"/>
      <c r="BH1439" s="222"/>
      <c r="BL1439" s="889"/>
      <c r="BO1439" s="223"/>
    </row>
    <row r="1440" spans="1:67" s="74" customFormat="1">
      <c r="A1440" s="15"/>
      <c r="B1440" s="15"/>
      <c r="C1440" s="15"/>
      <c r="D1440" s="15"/>
      <c r="E1440" s="6"/>
      <c r="F1440" s="6"/>
      <c r="G1440" s="6"/>
      <c r="K1440" s="223"/>
      <c r="M1440" s="889"/>
      <c r="P1440" s="890"/>
      <c r="T1440" s="889"/>
      <c r="X1440" s="15"/>
      <c r="Y1440" s="1935"/>
      <c r="Z1440" s="1086"/>
      <c r="AA1440" s="230"/>
      <c r="AB1440" s="230"/>
      <c r="AC1440" s="1936"/>
      <c r="AD1440" s="230"/>
      <c r="AE1440" s="230"/>
      <c r="AF1440" s="230"/>
      <c r="AG1440" s="890"/>
      <c r="AJ1440" s="890"/>
      <c r="AN1440" s="223"/>
      <c r="AO1440" s="952"/>
      <c r="AP1440" s="1066"/>
      <c r="AQ1440" s="972"/>
      <c r="AR1440" s="1917"/>
      <c r="AS1440" s="222"/>
      <c r="AZ1440" s="889"/>
      <c r="BC1440" s="890"/>
      <c r="BD1440" s="952"/>
      <c r="BE1440" s="75"/>
      <c r="BF1440" s="572"/>
      <c r="BG1440" s="983"/>
      <c r="BH1440" s="222"/>
      <c r="BL1440" s="889"/>
      <c r="BO1440" s="223"/>
    </row>
    <row r="1441" spans="1:67" s="74" customFormat="1">
      <c r="A1441" s="15"/>
      <c r="B1441" s="15"/>
      <c r="C1441" s="15"/>
      <c r="D1441" s="15"/>
      <c r="E1441" s="6"/>
      <c r="F1441" s="6"/>
      <c r="G1441" s="6"/>
      <c r="K1441" s="223"/>
      <c r="M1441" s="889"/>
      <c r="P1441" s="890"/>
      <c r="T1441" s="889"/>
      <c r="X1441" s="15"/>
      <c r="Y1441" s="1935"/>
      <c r="Z1441" s="1086"/>
      <c r="AA1441" s="230"/>
      <c r="AB1441" s="230"/>
      <c r="AC1441" s="1936"/>
      <c r="AD1441" s="230"/>
      <c r="AE1441" s="230"/>
      <c r="AF1441" s="230"/>
      <c r="AG1441" s="890"/>
      <c r="AJ1441" s="890"/>
      <c r="AN1441" s="223"/>
      <c r="AO1441" s="952"/>
      <c r="AP1441" s="1066"/>
      <c r="AQ1441" s="972"/>
      <c r="AR1441" s="1917"/>
      <c r="AS1441" s="222"/>
      <c r="AZ1441" s="889"/>
      <c r="BC1441" s="890"/>
      <c r="BD1441" s="952"/>
      <c r="BE1441" s="75"/>
      <c r="BF1441" s="572"/>
      <c r="BG1441" s="983"/>
      <c r="BH1441" s="222"/>
      <c r="BL1441" s="889"/>
      <c r="BO1441" s="223"/>
    </row>
    <row r="1442" spans="1:67" s="74" customFormat="1">
      <c r="A1442" s="15"/>
      <c r="B1442" s="15"/>
      <c r="C1442" s="15"/>
      <c r="D1442" s="15"/>
      <c r="E1442" s="6"/>
      <c r="F1442" s="6"/>
      <c r="G1442" s="6"/>
      <c r="K1442" s="223"/>
      <c r="M1442" s="889"/>
      <c r="P1442" s="890"/>
      <c r="T1442" s="889"/>
      <c r="X1442" s="15"/>
      <c r="Y1442" s="1935"/>
      <c r="Z1442" s="1086"/>
      <c r="AA1442" s="230"/>
      <c r="AB1442" s="230"/>
      <c r="AC1442" s="1936"/>
      <c r="AD1442" s="230"/>
      <c r="AE1442" s="230"/>
      <c r="AF1442" s="230"/>
      <c r="AG1442" s="890"/>
      <c r="AJ1442" s="890"/>
      <c r="AN1442" s="223"/>
      <c r="AO1442" s="952"/>
      <c r="AP1442" s="1066"/>
      <c r="AQ1442" s="972"/>
      <c r="AR1442" s="1917"/>
      <c r="AS1442" s="222"/>
      <c r="AZ1442" s="889"/>
      <c r="BC1442" s="890"/>
      <c r="BD1442" s="952"/>
      <c r="BE1442" s="75"/>
      <c r="BF1442" s="572"/>
      <c r="BG1442" s="983"/>
      <c r="BH1442" s="222"/>
      <c r="BL1442" s="889"/>
      <c r="BO1442" s="223"/>
    </row>
    <row r="1443" spans="1:67" s="74" customFormat="1">
      <c r="A1443" s="15"/>
      <c r="B1443" s="15"/>
      <c r="C1443" s="15"/>
      <c r="D1443" s="15"/>
      <c r="E1443" s="6"/>
      <c r="F1443" s="6"/>
      <c r="G1443" s="6"/>
      <c r="K1443" s="223"/>
      <c r="M1443" s="889"/>
      <c r="P1443" s="890"/>
      <c r="T1443" s="889"/>
      <c r="X1443" s="15"/>
      <c r="Y1443" s="1935"/>
      <c r="Z1443" s="1086"/>
      <c r="AA1443" s="230"/>
      <c r="AB1443" s="230"/>
      <c r="AC1443" s="1936"/>
      <c r="AD1443" s="230"/>
      <c r="AE1443" s="230"/>
      <c r="AF1443" s="230"/>
      <c r="AG1443" s="890"/>
      <c r="AJ1443" s="890"/>
      <c r="AN1443" s="223"/>
      <c r="AO1443" s="952"/>
      <c r="AP1443" s="1066"/>
      <c r="AQ1443" s="972"/>
      <c r="AR1443" s="1917"/>
      <c r="AS1443" s="222"/>
      <c r="AZ1443" s="889"/>
      <c r="BC1443" s="890"/>
      <c r="BD1443" s="952"/>
      <c r="BE1443" s="75"/>
      <c r="BF1443" s="572"/>
      <c r="BG1443" s="983"/>
      <c r="BH1443" s="222"/>
      <c r="BL1443" s="889"/>
      <c r="BO1443" s="223"/>
    </row>
    <row r="1444" spans="1:67" s="74" customFormat="1">
      <c r="A1444" s="15"/>
      <c r="B1444" s="15"/>
      <c r="C1444" s="15"/>
      <c r="D1444" s="15"/>
      <c r="E1444" s="6"/>
      <c r="F1444" s="6"/>
      <c r="G1444" s="6"/>
      <c r="K1444" s="223"/>
      <c r="M1444" s="889"/>
      <c r="P1444" s="890"/>
      <c r="T1444" s="889"/>
      <c r="X1444" s="15"/>
      <c r="Y1444" s="1935"/>
      <c r="Z1444" s="1086"/>
      <c r="AA1444" s="230"/>
      <c r="AB1444" s="230"/>
      <c r="AC1444" s="1936"/>
      <c r="AD1444" s="230"/>
      <c r="AE1444" s="230"/>
      <c r="AF1444" s="230"/>
      <c r="AG1444" s="890"/>
      <c r="AJ1444" s="890"/>
      <c r="AN1444" s="223"/>
      <c r="AO1444" s="952"/>
      <c r="AP1444" s="1066"/>
      <c r="AQ1444" s="972"/>
      <c r="AR1444" s="1917"/>
      <c r="AS1444" s="222"/>
      <c r="AZ1444" s="889"/>
      <c r="BC1444" s="890"/>
      <c r="BD1444" s="952"/>
      <c r="BE1444" s="75"/>
      <c r="BF1444" s="572"/>
      <c r="BG1444" s="983"/>
      <c r="BH1444" s="222"/>
      <c r="BL1444" s="889"/>
      <c r="BO1444" s="223"/>
    </row>
    <row r="1445" spans="1:67" s="74" customFormat="1">
      <c r="A1445" s="15"/>
      <c r="B1445" s="15"/>
      <c r="C1445" s="15"/>
      <c r="D1445" s="15"/>
      <c r="E1445" s="6"/>
      <c r="F1445" s="6"/>
      <c r="G1445" s="6"/>
      <c r="K1445" s="223"/>
      <c r="M1445" s="889"/>
      <c r="P1445" s="890"/>
      <c r="T1445" s="889"/>
      <c r="X1445" s="15"/>
      <c r="Y1445" s="1935"/>
      <c r="Z1445" s="1086"/>
      <c r="AA1445" s="230"/>
      <c r="AB1445" s="230"/>
      <c r="AC1445" s="1936"/>
      <c r="AD1445" s="230"/>
      <c r="AE1445" s="230"/>
      <c r="AF1445" s="230"/>
      <c r="AG1445" s="890"/>
      <c r="AJ1445" s="890"/>
      <c r="AN1445" s="223"/>
      <c r="AO1445" s="952"/>
      <c r="AP1445" s="1066"/>
      <c r="AQ1445" s="972"/>
      <c r="AR1445" s="1917"/>
      <c r="AS1445" s="222"/>
      <c r="AZ1445" s="889"/>
      <c r="BC1445" s="890"/>
      <c r="BD1445" s="952"/>
      <c r="BE1445" s="75"/>
      <c r="BF1445" s="572"/>
      <c r="BG1445" s="983"/>
      <c r="BH1445" s="222"/>
      <c r="BL1445" s="889"/>
      <c r="BO1445" s="223"/>
    </row>
    <row r="1446" spans="1:67" s="74" customFormat="1">
      <c r="A1446" s="15"/>
      <c r="B1446" s="15"/>
      <c r="C1446" s="15"/>
      <c r="D1446" s="15"/>
      <c r="E1446" s="6"/>
      <c r="F1446" s="6"/>
      <c r="G1446" s="6"/>
      <c r="K1446" s="223"/>
      <c r="M1446" s="889"/>
      <c r="P1446" s="890"/>
      <c r="T1446" s="889"/>
      <c r="X1446" s="15"/>
      <c r="Y1446" s="1935"/>
      <c r="Z1446" s="1086"/>
      <c r="AA1446" s="230"/>
      <c r="AB1446" s="230"/>
      <c r="AC1446" s="1936"/>
      <c r="AD1446" s="230"/>
      <c r="AE1446" s="230"/>
      <c r="AF1446" s="230"/>
      <c r="AG1446" s="890"/>
      <c r="AJ1446" s="890"/>
      <c r="AN1446" s="223"/>
      <c r="AO1446" s="952"/>
      <c r="AP1446" s="1066"/>
      <c r="AQ1446" s="972"/>
      <c r="AR1446" s="1917"/>
      <c r="AS1446" s="222"/>
      <c r="AZ1446" s="889"/>
      <c r="BC1446" s="890"/>
      <c r="BD1446" s="952"/>
      <c r="BE1446" s="75"/>
      <c r="BF1446" s="572"/>
      <c r="BG1446" s="983"/>
      <c r="BH1446" s="222"/>
      <c r="BL1446" s="889"/>
      <c r="BO1446" s="223"/>
    </row>
    <row r="1447" spans="1:67" s="74" customFormat="1">
      <c r="A1447" s="15"/>
      <c r="B1447" s="15"/>
      <c r="C1447" s="15"/>
      <c r="D1447" s="15"/>
      <c r="E1447" s="6"/>
      <c r="F1447" s="6"/>
      <c r="G1447" s="6"/>
      <c r="K1447" s="223"/>
      <c r="M1447" s="889"/>
      <c r="P1447" s="890"/>
      <c r="T1447" s="889"/>
      <c r="X1447" s="15"/>
      <c r="Y1447" s="1935"/>
      <c r="Z1447" s="1086"/>
      <c r="AA1447" s="230"/>
      <c r="AB1447" s="230"/>
      <c r="AC1447" s="1936"/>
      <c r="AD1447" s="230"/>
      <c r="AE1447" s="230"/>
      <c r="AF1447" s="230"/>
      <c r="AG1447" s="890"/>
      <c r="AJ1447" s="890"/>
      <c r="AN1447" s="223"/>
      <c r="AO1447" s="952"/>
      <c r="AP1447" s="1066"/>
      <c r="AQ1447" s="972"/>
      <c r="AR1447" s="1917"/>
      <c r="AS1447" s="222"/>
      <c r="AZ1447" s="889"/>
      <c r="BC1447" s="890"/>
      <c r="BD1447" s="952"/>
      <c r="BE1447" s="75"/>
      <c r="BF1447" s="572"/>
      <c r="BG1447" s="983"/>
      <c r="BH1447" s="222"/>
      <c r="BL1447" s="889"/>
      <c r="BO1447" s="223"/>
    </row>
    <row r="1448" spans="1:67" s="74" customFormat="1">
      <c r="A1448" s="15"/>
      <c r="B1448" s="15"/>
      <c r="C1448" s="15"/>
      <c r="D1448" s="15"/>
      <c r="E1448" s="6"/>
      <c r="F1448" s="6"/>
      <c r="G1448" s="6"/>
      <c r="K1448" s="223"/>
      <c r="M1448" s="889"/>
      <c r="P1448" s="890"/>
      <c r="T1448" s="889"/>
      <c r="X1448" s="15"/>
      <c r="Y1448" s="1935"/>
      <c r="Z1448" s="1086"/>
      <c r="AA1448" s="230"/>
      <c r="AB1448" s="230"/>
      <c r="AC1448" s="1936"/>
      <c r="AD1448" s="230"/>
      <c r="AE1448" s="230"/>
      <c r="AF1448" s="230"/>
      <c r="AG1448" s="890"/>
      <c r="AJ1448" s="890"/>
      <c r="AN1448" s="223"/>
      <c r="AO1448" s="952"/>
      <c r="AP1448" s="1066"/>
      <c r="AQ1448" s="972"/>
      <c r="AR1448" s="1917"/>
      <c r="AS1448" s="222"/>
      <c r="AZ1448" s="889"/>
      <c r="BC1448" s="890"/>
      <c r="BD1448" s="952"/>
      <c r="BE1448" s="75"/>
      <c r="BF1448" s="572"/>
      <c r="BG1448" s="983"/>
      <c r="BH1448" s="222"/>
      <c r="BL1448" s="889"/>
      <c r="BO1448" s="223"/>
    </row>
    <row r="1449" spans="1:67" s="74" customFormat="1">
      <c r="A1449" s="15"/>
      <c r="B1449" s="15"/>
      <c r="C1449" s="15"/>
      <c r="D1449" s="15"/>
      <c r="E1449" s="6"/>
      <c r="F1449" s="6"/>
      <c r="G1449" s="6"/>
      <c r="K1449" s="223"/>
      <c r="M1449" s="889"/>
      <c r="P1449" s="890"/>
      <c r="T1449" s="889"/>
      <c r="X1449" s="15"/>
      <c r="Y1449" s="1935"/>
      <c r="Z1449" s="1086"/>
      <c r="AA1449" s="230"/>
      <c r="AB1449" s="230"/>
      <c r="AC1449" s="1936"/>
      <c r="AD1449" s="230"/>
      <c r="AE1449" s="230"/>
      <c r="AF1449" s="230"/>
      <c r="AG1449" s="890"/>
      <c r="AJ1449" s="890"/>
      <c r="AN1449" s="223"/>
      <c r="AO1449" s="952"/>
      <c r="AP1449" s="1066"/>
      <c r="AQ1449" s="972"/>
      <c r="AR1449" s="1917"/>
      <c r="AS1449" s="222"/>
      <c r="AZ1449" s="889"/>
      <c r="BC1449" s="890"/>
      <c r="BD1449" s="952"/>
      <c r="BE1449" s="75"/>
      <c r="BF1449" s="572"/>
      <c r="BG1449" s="983"/>
      <c r="BH1449" s="222"/>
      <c r="BL1449" s="889"/>
      <c r="BO1449" s="223"/>
    </row>
    <row r="1450" spans="1:67" s="74" customFormat="1">
      <c r="A1450" s="15"/>
      <c r="B1450" s="15"/>
      <c r="C1450" s="15"/>
      <c r="D1450" s="15"/>
      <c r="E1450" s="6"/>
      <c r="F1450" s="6"/>
      <c r="G1450" s="6"/>
      <c r="K1450" s="223"/>
      <c r="M1450" s="889"/>
      <c r="P1450" s="890"/>
      <c r="T1450" s="889"/>
      <c r="X1450" s="15"/>
      <c r="Y1450" s="1935"/>
      <c r="Z1450" s="1086"/>
      <c r="AA1450" s="230"/>
      <c r="AB1450" s="230"/>
      <c r="AC1450" s="1936"/>
      <c r="AD1450" s="230"/>
      <c r="AE1450" s="230"/>
      <c r="AF1450" s="230"/>
      <c r="AG1450" s="890"/>
      <c r="AJ1450" s="890"/>
      <c r="AN1450" s="223"/>
      <c r="AO1450" s="952"/>
      <c r="AP1450" s="1066"/>
      <c r="AQ1450" s="972"/>
      <c r="AR1450" s="1917"/>
      <c r="AS1450" s="222"/>
      <c r="AZ1450" s="889"/>
      <c r="BC1450" s="890"/>
      <c r="BD1450" s="952"/>
      <c r="BE1450" s="75"/>
      <c r="BF1450" s="572"/>
      <c r="BG1450" s="983"/>
      <c r="BH1450" s="222"/>
      <c r="BL1450" s="889"/>
      <c r="BO1450" s="223"/>
    </row>
    <row r="1451" spans="1:67" s="74" customFormat="1">
      <c r="A1451" s="15"/>
      <c r="B1451" s="15"/>
      <c r="C1451" s="15"/>
      <c r="D1451" s="15"/>
      <c r="E1451" s="6"/>
      <c r="F1451" s="6"/>
      <c r="G1451" s="6"/>
      <c r="K1451" s="223"/>
      <c r="M1451" s="889"/>
      <c r="P1451" s="890"/>
      <c r="T1451" s="889"/>
      <c r="X1451" s="15"/>
      <c r="Y1451" s="1935"/>
      <c r="Z1451" s="1086"/>
      <c r="AA1451" s="230"/>
      <c r="AB1451" s="230"/>
      <c r="AC1451" s="1936"/>
      <c r="AD1451" s="230"/>
      <c r="AE1451" s="230"/>
      <c r="AF1451" s="230"/>
      <c r="AG1451" s="890"/>
      <c r="AJ1451" s="890"/>
      <c r="AN1451" s="223"/>
      <c r="AO1451" s="952"/>
      <c r="AP1451" s="1066"/>
      <c r="AQ1451" s="972"/>
      <c r="AR1451" s="1917"/>
      <c r="AS1451" s="222"/>
      <c r="AZ1451" s="889"/>
      <c r="BC1451" s="890"/>
      <c r="BD1451" s="952"/>
      <c r="BE1451" s="75"/>
      <c r="BF1451" s="572"/>
      <c r="BG1451" s="983"/>
      <c r="BH1451" s="222"/>
      <c r="BL1451" s="889"/>
      <c r="BO1451" s="223"/>
    </row>
    <row r="1452" spans="1:67" s="74" customFormat="1">
      <c r="A1452" s="15"/>
      <c r="B1452" s="15"/>
      <c r="C1452" s="15"/>
      <c r="D1452" s="15"/>
      <c r="E1452" s="6"/>
      <c r="F1452" s="6"/>
      <c r="G1452" s="6"/>
      <c r="K1452" s="223"/>
      <c r="M1452" s="889"/>
      <c r="P1452" s="890"/>
      <c r="T1452" s="889"/>
      <c r="X1452" s="15"/>
      <c r="Y1452" s="1935"/>
      <c r="Z1452" s="1086"/>
      <c r="AA1452" s="230"/>
      <c r="AB1452" s="230"/>
      <c r="AC1452" s="1936"/>
      <c r="AD1452" s="230"/>
      <c r="AE1452" s="230"/>
      <c r="AF1452" s="230"/>
      <c r="AG1452" s="890"/>
      <c r="AJ1452" s="890"/>
      <c r="AN1452" s="223"/>
      <c r="AO1452" s="952"/>
      <c r="AP1452" s="1066"/>
      <c r="AQ1452" s="972"/>
      <c r="AR1452" s="1917"/>
      <c r="AS1452" s="222"/>
      <c r="AZ1452" s="889"/>
      <c r="BC1452" s="890"/>
      <c r="BD1452" s="952"/>
      <c r="BE1452" s="75"/>
      <c r="BF1452" s="572"/>
      <c r="BG1452" s="983"/>
      <c r="BH1452" s="222"/>
      <c r="BL1452" s="889"/>
      <c r="BO1452" s="223"/>
    </row>
    <row r="1453" spans="1:67" s="74" customFormat="1">
      <c r="A1453" s="15"/>
      <c r="B1453" s="15"/>
      <c r="C1453" s="15"/>
      <c r="D1453" s="15"/>
      <c r="E1453" s="6"/>
      <c r="F1453" s="6"/>
      <c r="G1453" s="6"/>
      <c r="K1453" s="223"/>
      <c r="M1453" s="889"/>
      <c r="P1453" s="890"/>
      <c r="T1453" s="889"/>
      <c r="X1453" s="15"/>
      <c r="Y1453" s="1935"/>
      <c r="Z1453" s="1086"/>
      <c r="AA1453" s="230"/>
      <c r="AB1453" s="230"/>
      <c r="AC1453" s="1936"/>
      <c r="AD1453" s="230"/>
      <c r="AE1453" s="230"/>
      <c r="AF1453" s="230"/>
      <c r="AG1453" s="890"/>
      <c r="AJ1453" s="890"/>
      <c r="AN1453" s="223"/>
      <c r="AO1453" s="952"/>
      <c r="AP1453" s="1066"/>
      <c r="AQ1453" s="972"/>
      <c r="AR1453" s="1917"/>
      <c r="AS1453" s="222"/>
      <c r="AZ1453" s="889"/>
      <c r="BC1453" s="890"/>
      <c r="BD1453" s="952"/>
      <c r="BE1453" s="75"/>
      <c r="BF1453" s="572"/>
      <c r="BG1453" s="983"/>
      <c r="BH1453" s="222"/>
      <c r="BL1453" s="889"/>
      <c r="BO1453" s="223"/>
    </row>
    <row r="1454" spans="1:67" s="74" customFormat="1">
      <c r="A1454" s="15"/>
      <c r="B1454" s="15"/>
      <c r="C1454" s="15"/>
      <c r="D1454" s="15"/>
      <c r="E1454" s="6"/>
      <c r="F1454" s="6"/>
      <c r="G1454" s="6"/>
      <c r="K1454" s="223"/>
      <c r="M1454" s="889"/>
      <c r="P1454" s="890"/>
      <c r="T1454" s="889"/>
      <c r="X1454" s="15"/>
      <c r="Y1454" s="1935"/>
      <c r="Z1454" s="1086"/>
      <c r="AA1454" s="230"/>
      <c r="AB1454" s="230"/>
      <c r="AC1454" s="1936"/>
      <c r="AD1454" s="230"/>
      <c r="AE1454" s="230"/>
      <c r="AF1454" s="230"/>
      <c r="AG1454" s="890"/>
      <c r="AJ1454" s="890"/>
      <c r="AN1454" s="223"/>
      <c r="AO1454" s="952"/>
      <c r="AP1454" s="1066"/>
      <c r="AQ1454" s="972"/>
      <c r="AR1454" s="1917"/>
      <c r="AS1454" s="222"/>
      <c r="AZ1454" s="889"/>
      <c r="BC1454" s="890"/>
      <c r="BD1454" s="952"/>
      <c r="BE1454" s="75"/>
      <c r="BF1454" s="572"/>
      <c r="BG1454" s="983"/>
      <c r="BH1454" s="222"/>
      <c r="BL1454" s="889"/>
      <c r="BO1454" s="223"/>
    </row>
    <row r="1455" spans="1:67" s="74" customFormat="1">
      <c r="A1455" s="15"/>
      <c r="B1455" s="15"/>
      <c r="C1455" s="15"/>
      <c r="D1455" s="15"/>
      <c r="E1455" s="6"/>
      <c r="F1455" s="6"/>
      <c r="G1455" s="6"/>
      <c r="K1455" s="223"/>
      <c r="M1455" s="889"/>
      <c r="P1455" s="890"/>
      <c r="T1455" s="889"/>
      <c r="X1455" s="15"/>
      <c r="Y1455" s="1935"/>
      <c r="Z1455" s="1086"/>
      <c r="AA1455" s="230"/>
      <c r="AB1455" s="230"/>
      <c r="AC1455" s="1936"/>
      <c r="AD1455" s="230"/>
      <c r="AE1455" s="230"/>
      <c r="AF1455" s="230"/>
      <c r="AG1455" s="890"/>
      <c r="AJ1455" s="890"/>
      <c r="AN1455" s="223"/>
      <c r="AO1455" s="952"/>
      <c r="AP1455" s="1066"/>
      <c r="AQ1455" s="972"/>
      <c r="AR1455" s="1917"/>
      <c r="AS1455" s="222"/>
      <c r="AZ1455" s="889"/>
      <c r="BC1455" s="890"/>
      <c r="BD1455" s="952"/>
      <c r="BE1455" s="75"/>
      <c r="BF1455" s="572"/>
      <c r="BG1455" s="983"/>
      <c r="BH1455" s="222"/>
      <c r="BL1455" s="889"/>
      <c r="BO1455" s="223"/>
    </row>
    <row r="1456" spans="1:67" s="74" customFormat="1">
      <c r="A1456" s="15"/>
      <c r="B1456" s="15"/>
      <c r="C1456" s="15"/>
      <c r="D1456" s="15"/>
      <c r="E1456" s="6"/>
      <c r="F1456" s="6"/>
      <c r="G1456" s="6"/>
      <c r="K1456" s="223"/>
      <c r="M1456" s="889"/>
      <c r="P1456" s="890"/>
      <c r="T1456" s="889"/>
      <c r="X1456" s="15"/>
      <c r="Y1456" s="1935"/>
      <c r="Z1456" s="1086"/>
      <c r="AA1456" s="230"/>
      <c r="AB1456" s="230"/>
      <c r="AC1456" s="1936"/>
      <c r="AD1456" s="230"/>
      <c r="AE1456" s="230"/>
      <c r="AF1456" s="230"/>
      <c r="AG1456" s="890"/>
      <c r="AJ1456" s="890"/>
      <c r="AN1456" s="223"/>
      <c r="AO1456" s="952"/>
      <c r="AP1456" s="1066"/>
      <c r="AQ1456" s="972"/>
      <c r="AR1456" s="1917"/>
      <c r="AS1456" s="222"/>
      <c r="AZ1456" s="889"/>
      <c r="BC1456" s="890"/>
      <c r="BD1456" s="952"/>
      <c r="BE1456" s="75"/>
      <c r="BF1456" s="572"/>
      <c r="BG1456" s="983"/>
      <c r="BH1456" s="222"/>
      <c r="BL1456" s="889"/>
      <c r="BO1456" s="223"/>
    </row>
    <row r="1457" spans="1:67" s="74" customFormat="1">
      <c r="A1457" s="15"/>
      <c r="B1457" s="15"/>
      <c r="C1457" s="15"/>
      <c r="D1457" s="15"/>
      <c r="E1457" s="6"/>
      <c r="F1457" s="6"/>
      <c r="G1457" s="6"/>
      <c r="K1457" s="223"/>
      <c r="M1457" s="889"/>
      <c r="P1457" s="890"/>
      <c r="T1457" s="889"/>
      <c r="X1457" s="15"/>
      <c r="Y1457" s="1935"/>
      <c r="Z1457" s="1086"/>
      <c r="AA1457" s="230"/>
      <c r="AB1457" s="230"/>
      <c r="AC1457" s="1936"/>
      <c r="AD1457" s="230"/>
      <c r="AE1457" s="230"/>
      <c r="AF1457" s="230"/>
      <c r="AG1457" s="890"/>
      <c r="AJ1457" s="890"/>
      <c r="AN1457" s="223"/>
      <c r="AO1457" s="952"/>
      <c r="AP1457" s="1066"/>
      <c r="AQ1457" s="972"/>
      <c r="AR1457" s="1917"/>
      <c r="AS1457" s="222"/>
      <c r="AZ1457" s="889"/>
      <c r="BC1457" s="890"/>
      <c r="BD1457" s="952"/>
      <c r="BE1457" s="75"/>
      <c r="BF1457" s="572"/>
      <c r="BG1457" s="983"/>
      <c r="BH1457" s="222"/>
      <c r="BL1457" s="889"/>
      <c r="BO1457" s="223"/>
    </row>
    <row r="1458" spans="1:67" s="74" customFormat="1">
      <c r="A1458" s="15"/>
      <c r="B1458" s="15"/>
      <c r="C1458" s="15"/>
      <c r="D1458" s="15"/>
      <c r="E1458" s="6"/>
      <c r="F1458" s="6"/>
      <c r="G1458" s="6"/>
      <c r="K1458" s="223"/>
      <c r="M1458" s="889"/>
      <c r="P1458" s="890"/>
      <c r="T1458" s="889"/>
      <c r="X1458" s="15"/>
      <c r="Y1458" s="1935"/>
      <c r="Z1458" s="1086"/>
      <c r="AA1458" s="230"/>
      <c r="AB1458" s="230"/>
      <c r="AC1458" s="1936"/>
      <c r="AD1458" s="230"/>
      <c r="AE1458" s="230"/>
      <c r="AF1458" s="230"/>
      <c r="AG1458" s="890"/>
      <c r="AJ1458" s="890"/>
      <c r="AN1458" s="223"/>
      <c r="AO1458" s="952"/>
      <c r="AP1458" s="1066"/>
      <c r="AQ1458" s="972"/>
      <c r="AR1458" s="1917"/>
      <c r="AS1458" s="222"/>
      <c r="AZ1458" s="889"/>
      <c r="BC1458" s="890"/>
      <c r="BD1458" s="952"/>
      <c r="BE1458" s="75"/>
      <c r="BF1458" s="572"/>
      <c r="BG1458" s="983"/>
      <c r="BH1458" s="222"/>
      <c r="BL1458" s="889"/>
      <c r="BO1458" s="223"/>
    </row>
    <row r="1459" spans="1:67" s="74" customFormat="1">
      <c r="A1459" s="15"/>
      <c r="B1459" s="15"/>
      <c r="C1459" s="15"/>
      <c r="D1459" s="15"/>
      <c r="E1459" s="6"/>
      <c r="F1459" s="6"/>
      <c r="G1459" s="6"/>
      <c r="K1459" s="223"/>
      <c r="M1459" s="889"/>
      <c r="P1459" s="890"/>
      <c r="T1459" s="889"/>
      <c r="X1459" s="15"/>
      <c r="Y1459" s="1935"/>
      <c r="Z1459" s="1086"/>
      <c r="AA1459" s="230"/>
      <c r="AB1459" s="230"/>
      <c r="AC1459" s="1936"/>
      <c r="AD1459" s="230"/>
      <c r="AE1459" s="230"/>
      <c r="AF1459" s="230"/>
      <c r="AG1459" s="890"/>
      <c r="AJ1459" s="890"/>
      <c r="AN1459" s="223"/>
      <c r="AO1459" s="952"/>
      <c r="AP1459" s="1066"/>
      <c r="AQ1459" s="972"/>
      <c r="AR1459" s="1917"/>
      <c r="AS1459" s="222"/>
      <c r="AZ1459" s="889"/>
      <c r="BC1459" s="890"/>
      <c r="BD1459" s="952"/>
      <c r="BE1459" s="75"/>
      <c r="BF1459" s="572"/>
      <c r="BG1459" s="983"/>
      <c r="BH1459" s="222"/>
      <c r="BL1459" s="889"/>
      <c r="BO1459" s="223"/>
    </row>
    <row r="1460" spans="1:67" s="74" customFormat="1">
      <c r="A1460" s="15"/>
      <c r="B1460" s="15"/>
      <c r="C1460" s="15"/>
      <c r="D1460" s="15"/>
      <c r="E1460" s="6"/>
      <c r="F1460" s="6"/>
      <c r="G1460" s="6"/>
      <c r="K1460" s="223"/>
      <c r="M1460" s="889"/>
      <c r="P1460" s="890"/>
      <c r="T1460" s="889"/>
      <c r="X1460" s="15"/>
      <c r="Y1460" s="1935"/>
      <c r="Z1460" s="1086"/>
      <c r="AA1460" s="230"/>
      <c r="AB1460" s="230"/>
      <c r="AC1460" s="1936"/>
      <c r="AD1460" s="230"/>
      <c r="AE1460" s="230"/>
      <c r="AF1460" s="230"/>
      <c r="AG1460" s="890"/>
      <c r="AJ1460" s="890"/>
      <c r="AN1460" s="223"/>
      <c r="AO1460" s="952"/>
      <c r="AP1460" s="1066"/>
      <c r="AQ1460" s="972"/>
      <c r="AR1460" s="1917"/>
      <c r="AS1460" s="222"/>
      <c r="AZ1460" s="889"/>
      <c r="BC1460" s="890"/>
      <c r="BD1460" s="952"/>
      <c r="BE1460" s="75"/>
      <c r="BF1460" s="572"/>
      <c r="BG1460" s="983"/>
      <c r="BH1460" s="222"/>
      <c r="BL1460" s="889"/>
      <c r="BO1460" s="223"/>
    </row>
    <row r="1461" spans="1:67" s="74" customFormat="1">
      <c r="A1461" s="15"/>
      <c r="B1461" s="15"/>
      <c r="C1461" s="15"/>
      <c r="D1461" s="15"/>
      <c r="E1461" s="6"/>
      <c r="F1461" s="6"/>
      <c r="G1461" s="6"/>
      <c r="K1461" s="223"/>
      <c r="M1461" s="889"/>
      <c r="P1461" s="890"/>
      <c r="T1461" s="889"/>
      <c r="X1461" s="15"/>
      <c r="Y1461" s="1935"/>
      <c r="Z1461" s="1086"/>
      <c r="AA1461" s="230"/>
      <c r="AB1461" s="230"/>
      <c r="AC1461" s="1936"/>
      <c r="AD1461" s="230"/>
      <c r="AE1461" s="230"/>
      <c r="AF1461" s="230"/>
      <c r="AG1461" s="890"/>
      <c r="AJ1461" s="890"/>
      <c r="AN1461" s="223"/>
      <c r="AO1461" s="952"/>
      <c r="AP1461" s="1066"/>
      <c r="AQ1461" s="972"/>
      <c r="AR1461" s="1917"/>
      <c r="AS1461" s="222"/>
      <c r="AZ1461" s="889"/>
      <c r="BC1461" s="890"/>
      <c r="BD1461" s="952"/>
      <c r="BE1461" s="75"/>
      <c r="BF1461" s="572"/>
      <c r="BG1461" s="983"/>
      <c r="BH1461" s="222"/>
      <c r="BL1461" s="889"/>
      <c r="BO1461" s="223"/>
    </row>
    <row r="1462" spans="1:67" s="74" customFormat="1">
      <c r="A1462" s="15"/>
      <c r="B1462" s="15"/>
      <c r="C1462" s="15"/>
      <c r="D1462" s="15"/>
      <c r="E1462" s="6"/>
      <c r="F1462" s="6"/>
      <c r="G1462" s="6"/>
      <c r="K1462" s="223"/>
      <c r="M1462" s="889"/>
      <c r="P1462" s="890"/>
      <c r="T1462" s="889"/>
      <c r="X1462" s="15"/>
      <c r="Y1462" s="1935"/>
      <c r="Z1462" s="1086"/>
      <c r="AA1462" s="230"/>
      <c r="AB1462" s="230"/>
      <c r="AC1462" s="1936"/>
      <c r="AD1462" s="230"/>
      <c r="AE1462" s="230"/>
      <c r="AF1462" s="230"/>
      <c r="AG1462" s="890"/>
      <c r="AJ1462" s="890"/>
      <c r="AN1462" s="223"/>
      <c r="AO1462" s="952"/>
      <c r="AP1462" s="1066"/>
      <c r="AQ1462" s="972"/>
      <c r="AR1462" s="1917"/>
      <c r="AS1462" s="222"/>
      <c r="AZ1462" s="889"/>
      <c r="BC1462" s="890"/>
      <c r="BD1462" s="952"/>
      <c r="BE1462" s="75"/>
      <c r="BF1462" s="572"/>
      <c r="BG1462" s="983"/>
      <c r="BH1462" s="222"/>
      <c r="BL1462" s="889"/>
      <c r="BO1462" s="223"/>
    </row>
    <row r="1463" spans="1:67" s="74" customFormat="1">
      <c r="A1463" s="15"/>
      <c r="B1463" s="15"/>
      <c r="C1463" s="15"/>
      <c r="D1463" s="15"/>
      <c r="E1463" s="6"/>
      <c r="F1463" s="6"/>
      <c r="G1463" s="6"/>
      <c r="K1463" s="223"/>
      <c r="M1463" s="889"/>
      <c r="P1463" s="890"/>
      <c r="T1463" s="889"/>
      <c r="X1463" s="15"/>
      <c r="Y1463" s="1935"/>
      <c r="Z1463" s="1086"/>
      <c r="AA1463" s="230"/>
      <c r="AB1463" s="230"/>
      <c r="AC1463" s="1936"/>
      <c r="AD1463" s="230"/>
      <c r="AE1463" s="230"/>
      <c r="AF1463" s="230"/>
      <c r="AG1463" s="890"/>
      <c r="AJ1463" s="890"/>
      <c r="AN1463" s="223"/>
      <c r="AO1463" s="952"/>
      <c r="AP1463" s="1066"/>
      <c r="AQ1463" s="972"/>
      <c r="AR1463" s="1917"/>
      <c r="AS1463" s="222"/>
      <c r="AZ1463" s="889"/>
      <c r="BC1463" s="890"/>
      <c r="BD1463" s="952"/>
      <c r="BE1463" s="75"/>
      <c r="BF1463" s="572"/>
      <c r="BG1463" s="983"/>
      <c r="BH1463" s="222"/>
      <c r="BL1463" s="889"/>
      <c r="BO1463" s="223"/>
    </row>
    <row r="1464" spans="1:67" s="74" customFormat="1">
      <c r="A1464" s="15"/>
      <c r="B1464" s="15"/>
      <c r="C1464" s="15"/>
      <c r="D1464" s="15"/>
      <c r="E1464" s="6"/>
      <c r="F1464" s="6"/>
      <c r="G1464" s="6"/>
      <c r="K1464" s="223"/>
      <c r="M1464" s="889"/>
      <c r="P1464" s="890"/>
      <c r="T1464" s="889"/>
      <c r="X1464" s="15"/>
      <c r="Y1464" s="1935"/>
      <c r="Z1464" s="1086"/>
      <c r="AA1464" s="230"/>
      <c r="AB1464" s="230"/>
      <c r="AC1464" s="1936"/>
      <c r="AD1464" s="230"/>
      <c r="AE1464" s="230"/>
      <c r="AF1464" s="230"/>
      <c r="AG1464" s="890"/>
      <c r="AJ1464" s="890"/>
      <c r="AN1464" s="223"/>
      <c r="AO1464" s="952"/>
      <c r="AP1464" s="1066"/>
      <c r="AQ1464" s="972"/>
      <c r="AR1464" s="1917"/>
      <c r="AS1464" s="222"/>
      <c r="AZ1464" s="889"/>
      <c r="BC1464" s="890"/>
      <c r="BD1464" s="952"/>
      <c r="BE1464" s="75"/>
      <c r="BF1464" s="572"/>
      <c r="BG1464" s="983"/>
      <c r="BH1464" s="222"/>
      <c r="BL1464" s="889"/>
      <c r="BO1464" s="223"/>
    </row>
    <row r="1465" spans="1:67" s="74" customFormat="1">
      <c r="A1465" s="15"/>
      <c r="B1465" s="15"/>
      <c r="C1465" s="15"/>
      <c r="D1465" s="15"/>
      <c r="E1465" s="6"/>
      <c r="F1465" s="6"/>
      <c r="G1465" s="6"/>
      <c r="K1465" s="223"/>
      <c r="M1465" s="889"/>
      <c r="P1465" s="890"/>
      <c r="T1465" s="889"/>
      <c r="X1465" s="15"/>
      <c r="Y1465" s="1935"/>
      <c r="Z1465" s="1086"/>
      <c r="AA1465" s="230"/>
      <c r="AB1465" s="230"/>
      <c r="AC1465" s="1936"/>
      <c r="AD1465" s="230"/>
      <c r="AE1465" s="230"/>
      <c r="AF1465" s="230"/>
      <c r="AG1465" s="890"/>
      <c r="AJ1465" s="890"/>
      <c r="AN1465" s="223"/>
      <c r="AO1465" s="952"/>
      <c r="AP1465" s="1066"/>
      <c r="AQ1465" s="972"/>
      <c r="AR1465" s="1917"/>
      <c r="AS1465" s="222"/>
      <c r="AZ1465" s="889"/>
      <c r="BC1465" s="890"/>
      <c r="BD1465" s="952"/>
      <c r="BE1465" s="75"/>
      <c r="BF1465" s="572"/>
      <c r="BG1465" s="983"/>
      <c r="BH1465" s="222"/>
      <c r="BL1465" s="889"/>
      <c r="BO1465" s="223"/>
    </row>
    <row r="1466" spans="1:67" s="74" customFormat="1">
      <c r="A1466" s="15"/>
      <c r="B1466" s="15"/>
      <c r="C1466" s="15"/>
      <c r="D1466" s="15"/>
      <c r="E1466" s="6"/>
      <c r="F1466" s="6"/>
      <c r="G1466" s="6"/>
      <c r="K1466" s="223"/>
      <c r="M1466" s="889"/>
      <c r="P1466" s="890"/>
      <c r="T1466" s="889"/>
      <c r="X1466" s="15"/>
      <c r="Y1466" s="1935"/>
      <c r="Z1466" s="1086"/>
      <c r="AA1466" s="230"/>
      <c r="AB1466" s="230"/>
      <c r="AC1466" s="1936"/>
      <c r="AD1466" s="230"/>
      <c r="AE1466" s="230"/>
      <c r="AF1466" s="230"/>
      <c r="AG1466" s="890"/>
      <c r="AJ1466" s="890"/>
      <c r="AN1466" s="223"/>
      <c r="AO1466" s="952"/>
      <c r="AP1466" s="1066"/>
      <c r="AQ1466" s="972"/>
      <c r="AR1466" s="1917"/>
      <c r="AS1466" s="222"/>
      <c r="AZ1466" s="889"/>
      <c r="BC1466" s="890"/>
      <c r="BD1466" s="952"/>
      <c r="BE1466" s="75"/>
      <c r="BF1466" s="572"/>
      <c r="BG1466" s="983"/>
      <c r="BH1466" s="222"/>
      <c r="BL1466" s="889"/>
      <c r="BO1466" s="223"/>
    </row>
    <row r="1467" spans="1:67" s="74" customFormat="1">
      <c r="A1467" s="15"/>
      <c r="B1467" s="15"/>
      <c r="C1467" s="15"/>
      <c r="D1467" s="15"/>
      <c r="E1467" s="6"/>
      <c r="F1467" s="6"/>
      <c r="G1467" s="6"/>
      <c r="K1467" s="223"/>
      <c r="M1467" s="889"/>
      <c r="P1467" s="890"/>
      <c r="T1467" s="889"/>
      <c r="X1467" s="15"/>
      <c r="Y1467" s="1935"/>
      <c r="Z1467" s="1086"/>
      <c r="AA1467" s="230"/>
      <c r="AB1467" s="230"/>
      <c r="AC1467" s="1936"/>
      <c r="AD1467" s="230"/>
      <c r="AE1467" s="230"/>
      <c r="AF1467" s="230"/>
      <c r="AG1467" s="890"/>
      <c r="AJ1467" s="890"/>
      <c r="AN1467" s="223"/>
      <c r="AO1467" s="952"/>
      <c r="AP1467" s="1066"/>
      <c r="AQ1467" s="972"/>
      <c r="AR1467" s="1917"/>
      <c r="AS1467" s="222"/>
      <c r="AZ1467" s="889"/>
      <c r="BC1467" s="890"/>
      <c r="BD1467" s="952"/>
      <c r="BE1467" s="75"/>
      <c r="BF1467" s="572"/>
      <c r="BG1467" s="983"/>
      <c r="BH1467" s="222"/>
      <c r="BL1467" s="889"/>
      <c r="BO1467" s="223"/>
    </row>
    <row r="1468" spans="1:67" s="74" customFormat="1">
      <c r="A1468" s="15"/>
      <c r="B1468" s="15"/>
      <c r="C1468" s="15"/>
      <c r="D1468" s="15"/>
      <c r="E1468" s="6"/>
      <c r="F1468" s="6"/>
      <c r="G1468" s="6"/>
      <c r="K1468" s="223"/>
      <c r="M1468" s="889"/>
      <c r="P1468" s="890"/>
      <c r="T1468" s="889"/>
      <c r="X1468" s="15"/>
      <c r="Y1468" s="1935"/>
      <c r="Z1468" s="1086"/>
      <c r="AA1468" s="230"/>
      <c r="AB1468" s="230"/>
      <c r="AC1468" s="1936"/>
      <c r="AD1468" s="230"/>
      <c r="AE1468" s="230"/>
      <c r="AF1468" s="230"/>
      <c r="AG1468" s="890"/>
      <c r="AJ1468" s="890"/>
      <c r="AN1468" s="223"/>
      <c r="AO1468" s="952"/>
      <c r="AP1468" s="1066"/>
      <c r="AQ1468" s="972"/>
      <c r="AR1468" s="1917"/>
      <c r="AS1468" s="222"/>
      <c r="AZ1468" s="889"/>
      <c r="BC1468" s="890"/>
      <c r="BD1468" s="952"/>
      <c r="BE1468" s="75"/>
      <c r="BF1468" s="572"/>
      <c r="BG1468" s="983"/>
      <c r="BH1468" s="222"/>
      <c r="BL1468" s="889"/>
      <c r="BO1468" s="223"/>
    </row>
    <row r="1469" spans="1:67" s="74" customFormat="1">
      <c r="A1469" s="15"/>
      <c r="B1469" s="15"/>
      <c r="C1469" s="15"/>
      <c r="D1469" s="15"/>
      <c r="E1469" s="6"/>
      <c r="F1469" s="6"/>
      <c r="G1469" s="6"/>
      <c r="K1469" s="223"/>
      <c r="M1469" s="889"/>
      <c r="P1469" s="890"/>
      <c r="T1469" s="889"/>
      <c r="X1469" s="15"/>
      <c r="Y1469" s="1935"/>
      <c r="Z1469" s="1086"/>
      <c r="AA1469" s="230"/>
      <c r="AB1469" s="230"/>
      <c r="AC1469" s="1936"/>
      <c r="AD1469" s="230"/>
      <c r="AE1469" s="230"/>
      <c r="AF1469" s="230"/>
      <c r="AG1469" s="890"/>
      <c r="AJ1469" s="890"/>
      <c r="AN1469" s="223"/>
      <c r="AO1469" s="952"/>
      <c r="AP1469" s="1066"/>
      <c r="AQ1469" s="972"/>
      <c r="AR1469" s="1917"/>
      <c r="AS1469" s="222"/>
      <c r="AZ1469" s="889"/>
      <c r="BC1469" s="890"/>
      <c r="BD1469" s="952"/>
      <c r="BE1469" s="75"/>
      <c r="BF1469" s="572"/>
      <c r="BG1469" s="983"/>
      <c r="BH1469" s="222"/>
      <c r="BL1469" s="889"/>
      <c r="BO1469" s="223"/>
    </row>
    <row r="1470" spans="1:67" s="74" customFormat="1">
      <c r="A1470" s="15"/>
      <c r="B1470" s="15"/>
      <c r="C1470" s="15"/>
      <c r="D1470" s="15"/>
      <c r="E1470" s="6"/>
      <c r="F1470" s="6"/>
      <c r="G1470" s="6"/>
      <c r="K1470" s="223"/>
      <c r="M1470" s="889"/>
      <c r="P1470" s="890"/>
      <c r="T1470" s="889"/>
      <c r="X1470" s="15"/>
      <c r="Y1470" s="1935"/>
      <c r="Z1470" s="1086"/>
      <c r="AA1470" s="230"/>
      <c r="AB1470" s="230"/>
      <c r="AC1470" s="1936"/>
      <c r="AD1470" s="230"/>
      <c r="AE1470" s="230"/>
      <c r="AF1470" s="230"/>
      <c r="AG1470" s="890"/>
      <c r="AJ1470" s="890"/>
      <c r="AN1470" s="223"/>
      <c r="AO1470" s="952"/>
      <c r="AP1470" s="1066"/>
      <c r="AQ1470" s="972"/>
      <c r="AR1470" s="1917"/>
      <c r="AS1470" s="222"/>
      <c r="AZ1470" s="889"/>
      <c r="BC1470" s="890"/>
      <c r="BD1470" s="952"/>
      <c r="BE1470" s="75"/>
      <c r="BF1470" s="572"/>
      <c r="BG1470" s="983"/>
      <c r="BH1470" s="222"/>
      <c r="BL1470" s="889"/>
      <c r="BO1470" s="223"/>
    </row>
    <row r="1471" spans="1:67" s="74" customFormat="1">
      <c r="A1471" s="15"/>
      <c r="B1471" s="15"/>
      <c r="C1471" s="15"/>
      <c r="D1471" s="15"/>
      <c r="E1471" s="6"/>
      <c r="F1471" s="6"/>
      <c r="G1471" s="6"/>
      <c r="K1471" s="223"/>
      <c r="M1471" s="889"/>
      <c r="P1471" s="890"/>
      <c r="T1471" s="889"/>
      <c r="X1471" s="15"/>
      <c r="Y1471" s="1935"/>
      <c r="Z1471" s="1086"/>
      <c r="AA1471" s="230"/>
      <c r="AB1471" s="230"/>
      <c r="AC1471" s="1936"/>
      <c r="AD1471" s="230"/>
      <c r="AE1471" s="230"/>
      <c r="AF1471" s="230"/>
      <c r="AG1471" s="890"/>
      <c r="AJ1471" s="890"/>
      <c r="AN1471" s="223"/>
      <c r="AO1471" s="952"/>
      <c r="AP1471" s="1066"/>
      <c r="AQ1471" s="972"/>
      <c r="AR1471" s="1917"/>
      <c r="AS1471" s="222"/>
      <c r="AZ1471" s="889"/>
      <c r="BC1471" s="890"/>
      <c r="BD1471" s="952"/>
      <c r="BE1471" s="75"/>
      <c r="BF1471" s="572"/>
      <c r="BG1471" s="983"/>
      <c r="BH1471" s="222"/>
      <c r="BL1471" s="889"/>
      <c r="BO1471" s="223"/>
    </row>
    <row r="1472" spans="1:67" s="74" customFormat="1">
      <c r="A1472" s="15"/>
      <c r="B1472" s="15"/>
      <c r="C1472" s="15"/>
      <c r="D1472" s="15"/>
      <c r="E1472" s="6"/>
      <c r="F1472" s="6"/>
      <c r="G1472" s="6"/>
      <c r="K1472" s="223"/>
      <c r="M1472" s="889"/>
      <c r="P1472" s="890"/>
      <c r="T1472" s="889"/>
      <c r="X1472" s="15"/>
      <c r="Y1472" s="1935"/>
      <c r="Z1472" s="1086"/>
      <c r="AA1472" s="230"/>
      <c r="AB1472" s="230"/>
      <c r="AC1472" s="1936"/>
      <c r="AD1472" s="230"/>
      <c r="AE1472" s="230"/>
      <c r="AF1472" s="230"/>
      <c r="AG1472" s="890"/>
      <c r="AJ1472" s="890"/>
      <c r="AN1472" s="223"/>
      <c r="AO1472" s="952"/>
      <c r="AP1472" s="1066"/>
      <c r="AQ1472" s="972"/>
      <c r="AR1472" s="1917"/>
      <c r="AS1472" s="222"/>
      <c r="AZ1472" s="889"/>
      <c r="BC1472" s="890"/>
      <c r="BD1472" s="952"/>
      <c r="BE1472" s="75"/>
      <c r="BF1472" s="572"/>
      <c r="BG1472" s="983"/>
      <c r="BH1472" s="222"/>
      <c r="BL1472" s="889"/>
      <c r="BO1472" s="223"/>
    </row>
    <row r="1473" spans="1:67" s="74" customFormat="1">
      <c r="A1473" s="15"/>
      <c r="B1473" s="15"/>
      <c r="C1473" s="15"/>
      <c r="D1473" s="15"/>
      <c r="E1473" s="6"/>
      <c r="F1473" s="6"/>
      <c r="G1473" s="6"/>
      <c r="K1473" s="223"/>
      <c r="M1473" s="889"/>
      <c r="P1473" s="890"/>
      <c r="T1473" s="889"/>
      <c r="X1473" s="15"/>
      <c r="Y1473" s="1935"/>
      <c r="Z1473" s="1086"/>
      <c r="AA1473" s="230"/>
      <c r="AB1473" s="230"/>
      <c r="AC1473" s="1936"/>
      <c r="AD1473" s="230"/>
      <c r="AE1473" s="230"/>
      <c r="AF1473" s="230"/>
      <c r="AG1473" s="890"/>
      <c r="AJ1473" s="890"/>
      <c r="AN1473" s="223"/>
      <c r="AO1473" s="952"/>
      <c r="AP1473" s="1066"/>
      <c r="AQ1473" s="972"/>
      <c r="AR1473" s="1917"/>
      <c r="AS1473" s="222"/>
      <c r="AZ1473" s="889"/>
      <c r="BC1473" s="890"/>
      <c r="BD1473" s="952"/>
      <c r="BE1473" s="75"/>
      <c r="BF1473" s="572"/>
      <c r="BG1473" s="983"/>
      <c r="BH1473" s="222"/>
      <c r="BL1473" s="889"/>
      <c r="BO1473" s="223"/>
    </row>
    <row r="1474" spans="1:67" s="74" customFormat="1">
      <c r="A1474" s="15"/>
      <c r="B1474" s="15"/>
      <c r="C1474" s="15"/>
      <c r="D1474" s="15"/>
      <c r="E1474" s="6"/>
      <c r="F1474" s="6"/>
      <c r="G1474" s="6"/>
      <c r="K1474" s="223"/>
      <c r="M1474" s="889"/>
      <c r="P1474" s="890"/>
      <c r="T1474" s="889"/>
      <c r="X1474" s="15"/>
      <c r="Y1474" s="1935"/>
      <c r="Z1474" s="1086"/>
      <c r="AA1474" s="230"/>
      <c r="AB1474" s="230"/>
      <c r="AC1474" s="1936"/>
      <c r="AD1474" s="230"/>
      <c r="AE1474" s="230"/>
      <c r="AF1474" s="230"/>
      <c r="AG1474" s="890"/>
      <c r="AJ1474" s="890"/>
      <c r="AN1474" s="223"/>
      <c r="AO1474" s="952"/>
      <c r="AP1474" s="1066"/>
      <c r="AQ1474" s="972"/>
      <c r="AR1474" s="1917"/>
      <c r="AS1474" s="222"/>
      <c r="AZ1474" s="889"/>
      <c r="BC1474" s="890"/>
      <c r="BD1474" s="952"/>
      <c r="BE1474" s="75"/>
      <c r="BF1474" s="572"/>
      <c r="BG1474" s="983"/>
      <c r="BH1474" s="222"/>
      <c r="BL1474" s="889"/>
      <c r="BO1474" s="223"/>
    </row>
    <row r="1475" spans="1:67" s="74" customFormat="1">
      <c r="A1475" s="15"/>
      <c r="B1475" s="15"/>
      <c r="C1475" s="15"/>
      <c r="D1475" s="15"/>
      <c r="E1475" s="6"/>
      <c r="F1475" s="6"/>
      <c r="G1475" s="6"/>
      <c r="K1475" s="223"/>
      <c r="M1475" s="889"/>
      <c r="P1475" s="890"/>
      <c r="T1475" s="889"/>
      <c r="X1475" s="15"/>
      <c r="Y1475" s="1935"/>
      <c r="Z1475" s="1086"/>
      <c r="AA1475" s="230"/>
      <c r="AB1475" s="230"/>
      <c r="AC1475" s="1936"/>
      <c r="AD1475" s="230"/>
      <c r="AE1475" s="230"/>
      <c r="AF1475" s="230"/>
      <c r="AG1475" s="890"/>
      <c r="AJ1475" s="890"/>
      <c r="AN1475" s="223"/>
      <c r="AO1475" s="952"/>
      <c r="AP1475" s="1066"/>
      <c r="AQ1475" s="972"/>
      <c r="AR1475" s="1917"/>
      <c r="AS1475" s="222"/>
      <c r="AZ1475" s="889"/>
      <c r="BC1475" s="890"/>
      <c r="BD1475" s="952"/>
      <c r="BE1475" s="75"/>
      <c r="BF1475" s="572"/>
      <c r="BG1475" s="983"/>
      <c r="BH1475" s="222"/>
      <c r="BL1475" s="889"/>
      <c r="BO1475" s="223"/>
    </row>
    <row r="1476" spans="1:67" s="74" customFormat="1">
      <c r="A1476" s="15"/>
      <c r="B1476" s="15"/>
      <c r="C1476" s="15"/>
      <c r="D1476" s="15"/>
      <c r="E1476" s="6"/>
      <c r="F1476" s="6"/>
      <c r="G1476" s="6"/>
      <c r="K1476" s="223"/>
      <c r="M1476" s="889"/>
      <c r="P1476" s="890"/>
      <c r="T1476" s="889"/>
      <c r="X1476" s="15"/>
      <c r="Y1476" s="1935"/>
      <c r="Z1476" s="1086"/>
      <c r="AA1476" s="230"/>
      <c r="AB1476" s="230"/>
      <c r="AC1476" s="1936"/>
      <c r="AD1476" s="230"/>
      <c r="AE1476" s="230"/>
      <c r="AF1476" s="230"/>
      <c r="AG1476" s="890"/>
      <c r="AJ1476" s="890"/>
      <c r="AN1476" s="223"/>
      <c r="AO1476" s="952"/>
      <c r="AP1476" s="1066"/>
      <c r="AQ1476" s="972"/>
      <c r="AR1476" s="1917"/>
      <c r="AS1476" s="222"/>
      <c r="AZ1476" s="889"/>
      <c r="BC1476" s="890"/>
      <c r="BD1476" s="952"/>
      <c r="BE1476" s="75"/>
      <c r="BF1476" s="572"/>
      <c r="BG1476" s="983"/>
      <c r="BH1476" s="222"/>
      <c r="BL1476" s="889"/>
      <c r="BO1476" s="223"/>
    </row>
    <row r="1477" spans="1:67" s="74" customFormat="1">
      <c r="A1477" s="15"/>
      <c r="B1477" s="15"/>
      <c r="C1477" s="15"/>
      <c r="D1477" s="15"/>
      <c r="E1477" s="6"/>
      <c r="F1477" s="6"/>
      <c r="G1477" s="6"/>
      <c r="K1477" s="223"/>
      <c r="M1477" s="889"/>
      <c r="P1477" s="890"/>
      <c r="T1477" s="889"/>
      <c r="X1477" s="15"/>
      <c r="Y1477" s="1935"/>
      <c r="Z1477" s="1086"/>
      <c r="AA1477" s="230"/>
      <c r="AB1477" s="230"/>
      <c r="AC1477" s="1936"/>
      <c r="AD1477" s="230"/>
      <c r="AE1477" s="230"/>
      <c r="AF1477" s="230"/>
      <c r="AG1477" s="890"/>
      <c r="AJ1477" s="890"/>
      <c r="AN1477" s="223"/>
      <c r="AO1477" s="952"/>
      <c r="AP1477" s="1066"/>
      <c r="AQ1477" s="972"/>
      <c r="AR1477" s="1917"/>
      <c r="AS1477" s="222"/>
      <c r="AZ1477" s="889"/>
      <c r="BC1477" s="890"/>
      <c r="BD1477" s="952"/>
      <c r="BE1477" s="75"/>
      <c r="BF1477" s="572"/>
      <c r="BG1477" s="983"/>
      <c r="BH1477" s="222"/>
      <c r="BL1477" s="889"/>
      <c r="BO1477" s="223"/>
    </row>
    <row r="1478" spans="1:67" s="74" customFormat="1">
      <c r="A1478" s="15"/>
      <c r="B1478" s="15"/>
      <c r="C1478" s="15"/>
      <c r="D1478" s="15"/>
      <c r="E1478" s="6"/>
      <c r="F1478" s="6"/>
      <c r="G1478" s="6"/>
      <c r="K1478" s="223"/>
      <c r="M1478" s="889"/>
      <c r="P1478" s="890"/>
      <c r="T1478" s="889"/>
      <c r="X1478" s="15"/>
      <c r="Y1478" s="1935"/>
      <c r="Z1478" s="1086"/>
      <c r="AA1478" s="230"/>
      <c r="AB1478" s="230"/>
      <c r="AC1478" s="1936"/>
      <c r="AD1478" s="230"/>
      <c r="AE1478" s="230"/>
      <c r="AF1478" s="230"/>
      <c r="AG1478" s="890"/>
      <c r="AJ1478" s="890"/>
      <c r="AN1478" s="223"/>
      <c r="AO1478" s="952"/>
      <c r="AP1478" s="1066"/>
      <c r="AQ1478" s="972"/>
      <c r="AR1478" s="1917"/>
      <c r="AS1478" s="222"/>
      <c r="AZ1478" s="889"/>
      <c r="BC1478" s="890"/>
      <c r="BD1478" s="952"/>
      <c r="BE1478" s="75"/>
      <c r="BF1478" s="572"/>
      <c r="BG1478" s="983"/>
      <c r="BH1478" s="222"/>
      <c r="BL1478" s="889"/>
      <c r="BO1478" s="223"/>
    </row>
    <row r="1479" spans="1:67" s="74" customFormat="1">
      <c r="A1479" s="15"/>
      <c r="B1479" s="15"/>
      <c r="C1479" s="15"/>
      <c r="D1479" s="15"/>
      <c r="E1479" s="6"/>
      <c r="F1479" s="6"/>
      <c r="G1479" s="6"/>
      <c r="K1479" s="223"/>
      <c r="M1479" s="889"/>
      <c r="P1479" s="890"/>
      <c r="T1479" s="889"/>
      <c r="X1479" s="15"/>
      <c r="Y1479" s="1935"/>
      <c r="Z1479" s="1086"/>
      <c r="AA1479" s="230"/>
      <c r="AB1479" s="230"/>
      <c r="AC1479" s="1936"/>
      <c r="AD1479" s="230"/>
      <c r="AE1479" s="230"/>
      <c r="AF1479" s="230"/>
      <c r="AG1479" s="890"/>
      <c r="AJ1479" s="890"/>
      <c r="AN1479" s="223"/>
      <c r="AO1479" s="952"/>
      <c r="AP1479" s="1066"/>
      <c r="AQ1479" s="972"/>
      <c r="AR1479" s="1917"/>
      <c r="AS1479" s="222"/>
      <c r="AZ1479" s="889"/>
      <c r="BC1479" s="890"/>
      <c r="BD1479" s="952"/>
      <c r="BE1479" s="75"/>
      <c r="BF1479" s="572"/>
      <c r="BG1479" s="983"/>
      <c r="BH1479" s="222"/>
      <c r="BL1479" s="889"/>
      <c r="BO1479" s="223"/>
    </row>
    <row r="1480" spans="1:67" s="74" customFormat="1">
      <c r="A1480" s="15"/>
      <c r="B1480" s="15"/>
      <c r="C1480" s="15"/>
      <c r="D1480" s="15"/>
      <c r="E1480" s="6"/>
      <c r="F1480" s="6"/>
      <c r="G1480" s="6"/>
      <c r="K1480" s="223"/>
      <c r="M1480" s="889"/>
      <c r="P1480" s="890"/>
      <c r="T1480" s="889"/>
      <c r="X1480" s="15"/>
      <c r="Y1480" s="1935"/>
      <c r="Z1480" s="1086"/>
      <c r="AA1480" s="230"/>
      <c r="AB1480" s="230"/>
      <c r="AC1480" s="1936"/>
      <c r="AD1480" s="230"/>
      <c r="AE1480" s="230"/>
      <c r="AF1480" s="230"/>
      <c r="AG1480" s="890"/>
      <c r="AJ1480" s="890"/>
      <c r="AN1480" s="223"/>
      <c r="AO1480" s="952"/>
      <c r="AP1480" s="1066"/>
      <c r="AQ1480" s="972"/>
      <c r="AR1480" s="1917"/>
      <c r="AS1480" s="222"/>
      <c r="AZ1480" s="889"/>
      <c r="BC1480" s="890"/>
      <c r="BD1480" s="952"/>
      <c r="BE1480" s="75"/>
      <c r="BF1480" s="572"/>
      <c r="BG1480" s="983"/>
      <c r="BH1480" s="222"/>
      <c r="BL1480" s="889"/>
      <c r="BO1480" s="223"/>
    </row>
    <row r="1481" spans="1:67" s="74" customFormat="1">
      <c r="A1481" s="15"/>
      <c r="B1481" s="15"/>
      <c r="C1481" s="15"/>
      <c r="D1481" s="15"/>
      <c r="E1481" s="6"/>
      <c r="F1481" s="6"/>
      <c r="G1481" s="6"/>
      <c r="K1481" s="223"/>
      <c r="M1481" s="889"/>
      <c r="P1481" s="890"/>
      <c r="T1481" s="889"/>
      <c r="X1481" s="15"/>
      <c r="Y1481" s="1935"/>
      <c r="Z1481" s="1086"/>
      <c r="AA1481" s="230"/>
      <c r="AB1481" s="230"/>
      <c r="AC1481" s="1936"/>
      <c r="AD1481" s="230"/>
      <c r="AE1481" s="230"/>
      <c r="AF1481" s="230"/>
      <c r="AG1481" s="890"/>
      <c r="AJ1481" s="890"/>
      <c r="AN1481" s="223"/>
      <c r="AO1481" s="952"/>
      <c r="AP1481" s="1066"/>
      <c r="AQ1481" s="972"/>
      <c r="AR1481" s="1917"/>
      <c r="AS1481" s="222"/>
      <c r="AZ1481" s="889"/>
      <c r="BC1481" s="890"/>
      <c r="BD1481" s="952"/>
      <c r="BE1481" s="75"/>
      <c r="BF1481" s="572"/>
      <c r="BG1481" s="983"/>
      <c r="BH1481" s="222"/>
      <c r="BL1481" s="889"/>
      <c r="BO1481" s="223"/>
    </row>
    <row r="1482" spans="1:67" s="74" customFormat="1">
      <c r="A1482" s="15"/>
      <c r="B1482" s="15"/>
      <c r="C1482" s="15"/>
      <c r="D1482" s="15"/>
      <c r="E1482" s="6"/>
      <c r="F1482" s="6"/>
      <c r="G1482" s="6"/>
      <c r="K1482" s="223"/>
      <c r="M1482" s="889"/>
      <c r="P1482" s="890"/>
      <c r="T1482" s="889"/>
      <c r="X1482" s="15"/>
      <c r="Y1482" s="1935"/>
      <c r="Z1482" s="1086"/>
      <c r="AA1482" s="230"/>
      <c r="AB1482" s="230"/>
      <c r="AC1482" s="1936"/>
      <c r="AD1482" s="230"/>
      <c r="AE1482" s="230"/>
      <c r="AF1482" s="230"/>
      <c r="AG1482" s="890"/>
      <c r="AJ1482" s="890"/>
      <c r="AN1482" s="223"/>
      <c r="AO1482" s="952"/>
      <c r="AP1482" s="1066"/>
      <c r="AQ1482" s="972"/>
      <c r="AR1482" s="1917"/>
      <c r="AS1482" s="222"/>
      <c r="AZ1482" s="889"/>
      <c r="BC1482" s="890"/>
      <c r="BD1482" s="952"/>
      <c r="BE1482" s="75"/>
      <c r="BF1482" s="572"/>
      <c r="BG1482" s="983"/>
      <c r="BH1482" s="222"/>
      <c r="BL1482" s="889"/>
      <c r="BO1482" s="223"/>
    </row>
    <row r="1483" spans="1:67" s="74" customFormat="1">
      <c r="A1483" s="15"/>
      <c r="B1483" s="15"/>
      <c r="C1483" s="15"/>
      <c r="D1483" s="15"/>
      <c r="E1483" s="6"/>
      <c r="F1483" s="6"/>
      <c r="G1483" s="6"/>
      <c r="K1483" s="223"/>
      <c r="M1483" s="889"/>
      <c r="P1483" s="890"/>
      <c r="T1483" s="889"/>
      <c r="X1483" s="15"/>
      <c r="Y1483" s="1935"/>
      <c r="Z1483" s="1086"/>
      <c r="AA1483" s="230"/>
      <c r="AB1483" s="230"/>
      <c r="AC1483" s="1936"/>
      <c r="AD1483" s="230"/>
      <c r="AE1483" s="230"/>
      <c r="AF1483" s="230"/>
      <c r="AG1483" s="890"/>
      <c r="AJ1483" s="890"/>
      <c r="AN1483" s="223"/>
      <c r="AO1483" s="952"/>
      <c r="AP1483" s="1066"/>
      <c r="AQ1483" s="972"/>
      <c r="AR1483" s="1917"/>
      <c r="AS1483" s="222"/>
      <c r="AZ1483" s="889"/>
      <c r="BC1483" s="890"/>
      <c r="BD1483" s="952"/>
      <c r="BE1483" s="75"/>
      <c r="BF1483" s="572"/>
      <c r="BG1483" s="983"/>
      <c r="BH1483" s="222"/>
      <c r="BL1483" s="889"/>
      <c r="BO1483" s="223"/>
    </row>
    <row r="1484" spans="1:67" s="74" customFormat="1">
      <c r="A1484" s="15"/>
      <c r="B1484" s="15"/>
      <c r="C1484" s="15"/>
      <c r="D1484" s="15"/>
      <c r="E1484" s="6"/>
      <c r="F1484" s="6"/>
      <c r="G1484" s="6"/>
      <c r="K1484" s="223"/>
      <c r="M1484" s="889"/>
      <c r="P1484" s="890"/>
      <c r="T1484" s="889"/>
      <c r="X1484" s="15"/>
      <c r="Y1484" s="1935"/>
      <c r="Z1484" s="1086"/>
      <c r="AA1484" s="230"/>
      <c r="AB1484" s="230"/>
      <c r="AC1484" s="1936"/>
      <c r="AD1484" s="230"/>
      <c r="AE1484" s="230"/>
      <c r="AF1484" s="230"/>
      <c r="AG1484" s="890"/>
      <c r="AJ1484" s="890"/>
      <c r="AN1484" s="223"/>
      <c r="AO1484" s="952"/>
      <c r="AP1484" s="1066"/>
      <c r="AQ1484" s="972"/>
      <c r="AR1484" s="1917"/>
      <c r="AS1484" s="222"/>
      <c r="AZ1484" s="889"/>
      <c r="BC1484" s="890"/>
      <c r="BD1484" s="952"/>
      <c r="BE1484" s="75"/>
      <c r="BF1484" s="572"/>
      <c r="BG1484" s="983"/>
      <c r="BH1484" s="222"/>
      <c r="BL1484" s="889"/>
      <c r="BO1484" s="223"/>
    </row>
    <row r="1485" spans="1:67" s="74" customFormat="1">
      <c r="A1485" s="15"/>
      <c r="B1485" s="15"/>
      <c r="C1485" s="15"/>
      <c r="D1485" s="15"/>
      <c r="E1485" s="6"/>
      <c r="F1485" s="6"/>
      <c r="G1485" s="6"/>
      <c r="K1485" s="223"/>
      <c r="M1485" s="889"/>
      <c r="P1485" s="890"/>
      <c r="T1485" s="889"/>
      <c r="X1485" s="15"/>
      <c r="Y1485" s="1935"/>
      <c r="Z1485" s="1086"/>
      <c r="AA1485" s="230"/>
      <c r="AB1485" s="230"/>
      <c r="AC1485" s="1936"/>
      <c r="AD1485" s="230"/>
      <c r="AE1485" s="230"/>
      <c r="AF1485" s="230"/>
      <c r="AG1485" s="890"/>
      <c r="AJ1485" s="890"/>
      <c r="AN1485" s="223"/>
      <c r="AO1485" s="952"/>
      <c r="AP1485" s="1066"/>
      <c r="AQ1485" s="972"/>
      <c r="AR1485" s="1917"/>
      <c r="AS1485" s="222"/>
      <c r="AZ1485" s="889"/>
      <c r="BC1485" s="890"/>
      <c r="BD1485" s="952"/>
      <c r="BE1485" s="75"/>
      <c r="BF1485" s="572"/>
      <c r="BG1485" s="983"/>
      <c r="BH1485" s="222"/>
      <c r="BL1485" s="889"/>
      <c r="BO1485" s="223"/>
    </row>
    <row r="1486" spans="1:67" s="74" customFormat="1">
      <c r="A1486" s="15"/>
      <c r="B1486" s="15"/>
      <c r="C1486" s="15"/>
      <c r="D1486" s="15"/>
      <c r="E1486" s="6"/>
      <c r="F1486" s="6"/>
      <c r="G1486" s="6"/>
      <c r="K1486" s="223"/>
      <c r="M1486" s="889"/>
      <c r="P1486" s="890"/>
      <c r="T1486" s="889"/>
      <c r="X1486" s="15"/>
      <c r="Y1486" s="1935"/>
      <c r="Z1486" s="1086"/>
      <c r="AA1486" s="230"/>
      <c r="AB1486" s="230"/>
      <c r="AC1486" s="1936"/>
      <c r="AD1486" s="230"/>
      <c r="AE1486" s="230"/>
      <c r="AF1486" s="230"/>
      <c r="AG1486" s="890"/>
      <c r="AJ1486" s="890"/>
      <c r="AN1486" s="223"/>
      <c r="AO1486" s="952"/>
      <c r="AP1486" s="1066"/>
      <c r="AQ1486" s="972"/>
      <c r="AR1486" s="1917"/>
      <c r="AS1486" s="222"/>
      <c r="AZ1486" s="889"/>
      <c r="BC1486" s="890"/>
      <c r="BD1486" s="952"/>
      <c r="BE1486" s="75"/>
      <c r="BF1486" s="572"/>
      <c r="BG1486" s="983"/>
      <c r="BH1486" s="222"/>
      <c r="BL1486" s="889"/>
      <c r="BO1486" s="223"/>
    </row>
    <row r="1487" spans="1:67" s="74" customFormat="1">
      <c r="A1487" s="15"/>
      <c r="B1487" s="15"/>
      <c r="C1487" s="15"/>
      <c r="D1487" s="15"/>
      <c r="E1487" s="6"/>
      <c r="F1487" s="6"/>
      <c r="G1487" s="6"/>
      <c r="K1487" s="223"/>
      <c r="M1487" s="889"/>
      <c r="P1487" s="890"/>
      <c r="T1487" s="889"/>
      <c r="X1487" s="15"/>
      <c r="Y1487" s="1935"/>
      <c r="Z1487" s="1086"/>
      <c r="AA1487" s="230"/>
      <c r="AB1487" s="230"/>
      <c r="AC1487" s="1936"/>
      <c r="AD1487" s="230"/>
      <c r="AE1487" s="230"/>
      <c r="AF1487" s="230"/>
      <c r="AG1487" s="890"/>
      <c r="AJ1487" s="890"/>
      <c r="AN1487" s="223"/>
      <c r="AO1487" s="952"/>
      <c r="AP1487" s="1066"/>
      <c r="AQ1487" s="972"/>
      <c r="AR1487" s="1917"/>
      <c r="AS1487" s="222"/>
      <c r="AZ1487" s="889"/>
      <c r="BC1487" s="890"/>
      <c r="BD1487" s="952"/>
      <c r="BE1487" s="75"/>
      <c r="BF1487" s="572"/>
      <c r="BG1487" s="983"/>
      <c r="BH1487" s="222"/>
      <c r="BL1487" s="889"/>
      <c r="BO1487" s="223"/>
    </row>
    <row r="1488" spans="1:67" s="74" customFormat="1">
      <c r="A1488" s="15"/>
      <c r="B1488" s="15"/>
      <c r="C1488" s="15"/>
      <c r="D1488" s="15"/>
      <c r="E1488" s="6"/>
      <c r="F1488" s="6"/>
      <c r="G1488" s="6"/>
      <c r="K1488" s="223"/>
      <c r="M1488" s="889"/>
      <c r="P1488" s="890"/>
      <c r="T1488" s="889"/>
      <c r="X1488" s="15"/>
      <c r="Y1488" s="1935"/>
      <c r="Z1488" s="1086"/>
      <c r="AA1488" s="230"/>
      <c r="AB1488" s="230"/>
      <c r="AC1488" s="1936"/>
      <c r="AD1488" s="230"/>
      <c r="AE1488" s="230"/>
      <c r="AF1488" s="230"/>
      <c r="AG1488" s="890"/>
      <c r="AJ1488" s="890"/>
      <c r="AN1488" s="223"/>
      <c r="AO1488" s="952"/>
      <c r="AP1488" s="1066"/>
      <c r="AQ1488" s="972"/>
      <c r="AR1488" s="1917"/>
      <c r="AS1488" s="222"/>
      <c r="AZ1488" s="889"/>
      <c r="BC1488" s="890"/>
      <c r="BD1488" s="952"/>
      <c r="BE1488" s="75"/>
      <c r="BF1488" s="572"/>
      <c r="BG1488" s="983"/>
      <c r="BH1488" s="222"/>
      <c r="BL1488" s="889"/>
      <c r="BO1488" s="223"/>
    </row>
    <row r="1489" spans="1:67" s="74" customFormat="1">
      <c r="A1489" s="15"/>
      <c r="B1489" s="15"/>
      <c r="C1489" s="15"/>
      <c r="D1489" s="15"/>
      <c r="E1489" s="6"/>
      <c r="F1489" s="6"/>
      <c r="G1489" s="6"/>
      <c r="K1489" s="223"/>
      <c r="M1489" s="889"/>
      <c r="P1489" s="890"/>
      <c r="T1489" s="889"/>
      <c r="X1489" s="15"/>
      <c r="Y1489" s="1935"/>
      <c r="Z1489" s="1086"/>
      <c r="AA1489" s="230"/>
      <c r="AB1489" s="230"/>
      <c r="AC1489" s="1936"/>
      <c r="AD1489" s="230"/>
      <c r="AE1489" s="230"/>
      <c r="AF1489" s="230"/>
      <c r="AG1489" s="890"/>
      <c r="AJ1489" s="890"/>
      <c r="AN1489" s="223"/>
      <c r="AO1489" s="952"/>
      <c r="AP1489" s="1066"/>
      <c r="AQ1489" s="972"/>
      <c r="AR1489" s="1917"/>
      <c r="AS1489" s="222"/>
      <c r="AZ1489" s="889"/>
      <c r="BC1489" s="890"/>
      <c r="BD1489" s="952"/>
      <c r="BE1489" s="75"/>
      <c r="BF1489" s="572"/>
      <c r="BG1489" s="983"/>
      <c r="BH1489" s="222"/>
      <c r="BL1489" s="889"/>
      <c r="BO1489" s="223"/>
    </row>
    <row r="1490" spans="1:67" s="74" customFormat="1">
      <c r="A1490" s="15"/>
      <c r="B1490" s="15"/>
      <c r="C1490" s="15"/>
      <c r="D1490" s="15"/>
      <c r="E1490" s="6"/>
      <c r="F1490" s="6"/>
      <c r="G1490" s="6"/>
      <c r="K1490" s="223"/>
      <c r="M1490" s="889"/>
      <c r="P1490" s="890"/>
      <c r="T1490" s="889"/>
      <c r="X1490" s="15"/>
      <c r="Y1490" s="1935"/>
      <c r="Z1490" s="1086"/>
      <c r="AA1490" s="230"/>
      <c r="AB1490" s="230"/>
      <c r="AC1490" s="1936"/>
      <c r="AD1490" s="230"/>
      <c r="AE1490" s="230"/>
      <c r="AF1490" s="230"/>
      <c r="AG1490" s="890"/>
      <c r="AJ1490" s="890"/>
      <c r="AN1490" s="223"/>
      <c r="AO1490" s="952"/>
      <c r="AP1490" s="1066"/>
      <c r="AQ1490" s="972"/>
      <c r="AR1490" s="1917"/>
      <c r="AS1490" s="222"/>
      <c r="AZ1490" s="889"/>
      <c r="BC1490" s="890"/>
      <c r="BD1490" s="952"/>
      <c r="BE1490" s="75"/>
      <c r="BF1490" s="572"/>
      <c r="BG1490" s="983"/>
      <c r="BH1490" s="222"/>
      <c r="BL1490" s="889"/>
      <c r="BO1490" s="223"/>
    </row>
    <row r="1491" spans="1:67" s="74" customFormat="1">
      <c r="A1491" s="15"/>
      <c r="B1491" s="15"/>
      <c r="C1491" s="15"/>
      <c r="D1491" s="15"/>
      <c r="E1491" s="6"/>
      <c r="F1491" s="6"/>
      <c r="G1491" s="6"/>
      <c r="K1491" s="223"/>
      <c r="M1491" s="889"/>
      <c r="P1491" s="890"/>
      <c r="T1491" s="889"/>
      <c r="X1491" s="15"/>
      <c r="Y1491" s="1935"/>
      <c r="Z1491" s="1086"/>
      <c r="AA1491" s="230"/>
      <c r="AB1491" s="230"/>
      <c r="AC1491" s="1936"/>
      <c r="AD1491" s="230"/>
      <c r="AE1491" s="230"/>
      <c r="AF1491" s="230"/>
      <c r="AG1491" s="890"/>
      <c r="AJ1491" s="890"/>
      <c r="AN1491" s="223"/>
      <c r="AO1491" s="952"/>
      <c r="AP1491" s="1066"/>
      <c r="AQ1491" s="972"/>
      <c r="AR1491" s="1917"/>
      <c r="AS1491" s="222"/>
      <c r="AZ1491" s="889"/>
      <c r="BC1491" s="890"/>
      <c r="BD1491" s="952"/>
      <c r="BE1491" s="75"/>
      <c r="BF1491" s="572"/>
      <c r="BG1491" s="983"/>
      <c r="BH1491" s="222"/>
      <c r="BL1491" s="889"/>
      <c r="BO1491" s="223"/>
    </row>
    <row r="1492" spans="1:67" s="74" customFormat="1">
      <c r="A1492" s="15"/>
      <c r="B1492" s="15"/>
      <c r="C1492" s="15"/>
      <c r="D1492" s="15"/>
      <c r="E1492" s="6"/>
      <c r="F1492" s="6"/>
      <c r="G1492" s="6"/>
      <c r="K1492" s="223"/>
      <c r="M1492" s="889"/>
      <c r="P1492" s="890"/>
      <c r="T1492" s="889"/>
      <c r="X1492" s="15"/>
      <c r="Y1492" s="1935"/>
      <c r="Z1492" s="1086"/>
      <c r="AA1492" s="230"/>
      <c r="AB1492" s="230"/>
      <c r="AC1492" s="1936"/>
      <c r="AD1492" s="230"/>
      <c r="AE1492" s="230"/>
      <c r="AF1492" s="230"/>
      <c r="AG1492" s="890"/>
      <c r="AJ1492" s="890"/>
      <c r="AN1492" s="223"/>
      <c r="AO1492" s="952"/>
      <c r="AP1492" s="1066"/>
      <c r="AQ1492" s="972"/>
      <c r="AR1492" s="1917"/>
      <c r="AS1492" s="222"/>
      <c r="AZ1492" s="889"/>
      <c r="BC1492" s="890"/>
      <c r="BD1492" s="952"/>
      <c r="BE1492" s="75"/>
      <c r="BF1492" s="572"/>
      <c r="BG1492" s="983"/>
      <c r="BH1492" s="222"/>
      <c r="BL1492" s="889"/>
      <c r="BO1492" s="223"/>
    </row>
    <row r="1493" spans="1:67" s="74" customFormat="1">
      <c r="A1493" s="15"/>
      <c r="B1493" s="15"/>
      <c r="C1493" s="15"/>
      <c r="D1493" s="15"/>
      <c r="E1493" s="6"/>
      <c r="F1493" s="6"/>
      <c r="G1493" s="6"/>
      <c r="K1493" s="223"/>
      <c r="M1493" s="889"/>
      <c r="P1493" s="890"/>
      <c r="T1493" s="889"/>
      <c r="X1493" s="15"/>
      <c r="Y1493" s="1935"/>
      <c r="Z1493" s="1086"/>
      <c r="AA1493" s="230"/>
      <c r="AB1493" s="230"/>
      <c r="AC1493" s="1936"/>
      <c r="AD1493" s="230"/>
      <c r="AE1493" s="230"/>
      <c r="AF1493" s="230"/>
      <c r="AG1493" s="890"/>
      <c r="AJ1493" s="890"/>
      <c r="AN1493" s="223"/>
      <c r="AO1493" s="952"/>
      <c r="AP1493" s="1066"/>
      <c r="AQ1493" s="972"/>
      <c r="AR1493" s="1917"/>
      <c r="AS1493" s="222"/>
      <c r="AZ1493" s="889"/>
      <c r="BC1493" s="890"/>
      <c r="BD1493" s="952"/>
      <c r="BE1493" s="75"/>
      <c r="BF1493" s="572"/>
      <c r="BG1493" s="983"/>
      <c r="BH1493" s="222"/>
      <c r="BL1493" s="889"/>
      <c r="BO1493" s="223"/>
    </row>
    <row r="1494" spans="1:67" s="74" customFormat="1">
      <c r="A1494" s="15"/>
      <c r="B1494" s="15"/>
      <c r="C1494" s="15"/>
      <c r="D1494" s="15"/>
      <c r="E1494" s="6"/>
      <c r="F1494" s="6"/>
      <c r="G1494" s="6"/>
      <c r="K1494" s="223"/>
      <c r="M1494" s="889"/>
      <c r="P1494" s="890"/>
      <c r="T1494" s="889"/>
      <c r="X1494" s="15"/>
      <c r="Y1494" s="1935"/>
      <c r="Z1494" s="1086"/>
      <c r="AA1494" s="230"/>
      <c r="AB1494" s="230"/>
      <c r="AC1494" s="1936"/>
      <c r="AD1494" s="230"/>
      <c r="AE1494" s="230"/>
      <c r="AF1494" s="230"/>
      <c r="AG1494" s="890"/>
      <c r="AJ1494" s="890"/>
      <c r="AN1494" s="223"/>
      <c r="AO1494" s="952"/>
      <c r="AP1494" s="1066"/>
      <c r="AQ1494" s="972"/>
      <c r="AR1494" s="1917"/>
      <c r="AS1494" s="222"/>
      <c r="AZ1494" s="889"/>
      <c r="BC1494" s="890"/>
      <c r="BD1494" s="952"/>
      <c r="BE1494" s="75"/>
      <c r="BF1494" s="572"/>
      <c r="BG1494" s="983"/>
      <c r="BH1494" s="222"/>
      <c r="BL1494" s="889"/>
      <c r="BO1494" s="223"/>
    </row>
    <row r="1495" spans="1:67" s="74" customFormat="1">
      <c r="A1495" s="15"/>
      <c r="B1495" s="15"/>
      <c r="C1495" s="15"/>
      <c r="D1495" s="15"/>
      <c r="E1495" s="6"/>
      <c r="F1495" s="6"/>
      <c r="G1495" s="6"/>
      <c r="K1495" s="223"/>
      <c r="M1495" s="889"/>
      <c r="P1495" s="890"/>
      <c r="T1495" s="889"/>
      <c r="X1495" s="15"/>
      <c r="Y1495" s="1935"/>
      <c r="Z1495" s="1086"/>
      <c r="AA1495" s="230"/>
      <c r="AB1495" s="230"/>
      <c r="AC1495" s="1936"/>
      <c r="AD1495" s="230"/>
      <c r="AE1495" s="230"/>
      <c r="AF1495" s="230"/>
      <c r="AG1495" s="890"/>
      <c r="AJ1495" s="890"/>
      <c r="AN1495" s="223"/>
      <c r="AO1495" s="952"/>
      <c r="AP1495" s="1066"/>
      <c r="AQ1495" s="972"/>
      <c r="AR1495" s="1917"/>
      <c r="AS1495" s="222"/>
      <c r="AZ1495" s="889"/>
      <c r="BC1495" s="890"/>
      <c r="BD1495" s="952"/>
      <c r="BE1495" s="75"/>
      <c r="BF1495" s="572"/>
      <c r="BG1495" s="983"/>
      <c r="BH1495" s="222"/>
      <c r="BL1495" s="889"/>
      <c r="BO1495" s="223"/>
    </row>
    <row r="1496" spans="1:67" s="74" customFormat="1">
      <c r="A1496" s="15"/>
      <c r="B1496" s="15"/>
      <c r="C1496" s="15"/>
      <c r="D1496" s="15"/>
      <c r="E1496" s="6"/>
      <c r="F1496" s="6"/>
      <c r="G1496" s="6"/>
      <c r="K1496" s="223"/>
      <c r="M1496" s="889"/>
      <c r="P1496" s="890"/>
      <c r="T1496" s="889"/>
      <c r="X1496" s="15"/>
      <c r="Y1496" s="1935"/>
      <c r="Z1496" s="1086"/>
      <c r="AA1496" s="230"/>
      <c r="AB1496" s="230"/>
      <c r="AC1496" s="1936"/>
      <c r="AD1496" s="230"/>
      <c r="AE1496" s="230"/>
      <c r="AF1496" s="230"/>
      <c r="AG1496" s="890"/>
      <c r="AJ1496" s="890"/>
      <c r="AN1496" s="223"/>
      <c r="AO1496" s="952"/>
      <c r="AP1496" s="1066"/>
      <c r="AQ1496" s="972"/>
      <c r="AR1496" s="1917"/>
      <c r="AS1496" s="222"/>
      <c r="AZ1496" s="889"/>
      <c r="BC1496" s="890"/>
      <c r="BD1496" s="952"/>
      <c r="BE1496" s="75"/>
      <c r="BF1496" s="572"/>
      <c r="BG1496" s="983"/>
      <c r="BH1496" s="222"/>
      <c r="BL1496" s="889"/>
      <c r="BO1496" s="223"/>
    </row>
    <row r="1497" spans="1:67" s="74" customFormat="1">
      <c r="A1497" s="15"/>
      <c r="B1497" s="15"/>
      <c r="C1497" s="15"/>
      <c r="D1497" s="15"/>
      <c r="E1497" s="6"/>
      <c r="F1497" s="6"/>
      <c r="G1497" s="6"/>
      <c r="K1497" s="223"/>
      <c r="M1497" s="889"/>
      <c r="P1497" s="890"/>
      <c r="T1497" s="889"/>
      <c r="X1497" s="15"/>
      <c r="Y1497" s="1935"/>
      <c r="Z1497" s="1086"/>
      <c r="AA1497" s="230"/>
      <c r="AB1497" s="230"/>
      <c r="AC1497" s="1936"/>
      <c r="AD1497" s="230"/>
      <c r="AE1497" s="230"/>
      <c r="AF1497" s="230"/>
      <c r="AG1497" s="890"/>
      <c r="AJ1497" s="890"/>
      <c r="AN1497" s="223"/>
      <c r="AO1497" s="952"/>
      <c r="AP1497" s="1066"/>
      <c r="AQ1497" s="972"/>
      <c r="AR1497" s="1917"/>
      <c r="AS1497" s="222"/>
      <c r="AZ1497" s="889"/>
      <c r="BC1497" s="890"/>
      <c r="BD1497" s="952"/>
      <c r="BE1497" s="75"/>
      <c r="BF1497" s="572"/>
      <c r="BG1497" s="983"/>
      <c r="BH1497" s="222"/>
      <c r="BL1497" s="889"/>
      <c r="BO1497" s="223"/>
    </row>
    <row r="1498" spans="1:67" s="74" customFormat="1">
      <c r="A1498" s="15"/>
      <c r="B1498" s="15"/>
      <c r="C1498" s="15"/>
      <c r="D1498" s="15"/>
      <c r="E1498" s="6"/>
      <c r="F1498" s="6"/>
      <c r="G1498" s="6"/>
      <c r="K1498" s="223"/>
      <c r="M1498" s="889"/>
      <c r="P1498" s="890"/>
      <c r="T1498" s="889"/>
      <c r="X1498" s="15"/>
      <c r="Y1498" s="1935"/>
      <c r="Z1498" s="1086"/>
      <c r="AA1498" s="230"/>
      <c r="AB1498" s="230"/>
      <c r="AC1498" s="1936"/>
      <c r="AD1498" s="230"/>
      <c r="AE1498" s="230"/>
      <c r="AF1498" s="230"/>
      <c r="AG1498" s="890"/>
      <c r="AJ1498" s="890"/>
      <c r="AN1498" s="223"/>
      <c r="AO1498" s="952"/>
      <c r="AP1498" s="1066"/>
      <c r="AQ1498" s="972"/>
      <c r="AR1498" s="1917"/>
      <c r="AS1498" s="222"/>
      <c r="AZ1498" s="889"/>
      <c r="BC1498" s="890"/>
      <c r="BD1498" s="952"/>
      <c r="BE1498" s="75"/>
      <c r="BF1498" s="572"/>
      <c r="BG1498" s="983"/>
      <c r="BH1498" s="222"/>
      <c r="BL1498" s="889"/>
      <c r="BO1498" s="223"/>
    </row>
    <row r="1499" spans="1:67" s="74" customFormat="1">
      <c r="A1499" s="15"/>
      <c r="B1499" s="15"/>
      <c r="C1499" s="15"/>
      <c r="D1499" s="15"/>
      <c r="E1499" s="6"/>
      <c r="F1499" s="6"/>
      <c r="G1499" s="6"/>
      <c r="K1499" s="223"/>
      <c r="M1499" s="889"/>
      <c r="P1499" s="890"/>
      <c r="T1499" s="889"/>
      <c r="X1499" s="15"/>
      <c r="Y1499" s="1935"/>
      <c r="Z1499" s="1086"/>
      <c r="AA1499" s="230"/>
      <c r="AB1499" s="230"/>
      <c r="AC1499" s="1936"/>
      <c r="AD1499" s="230"/>
      <c r="AE1499" s="230"/>
      <c r="AF1499" s="230"/>
      <c r="AG1499" s="890"/>
      <c r="AJ1499" s="890"/>
      <c r="AN1499" s="223"/>
      <c r="AO1499" s="952"/>
      <c r="AP1499" s="1066"/>
      <c r="AQ1499" s="972"/>
      <c r="AR1499" s="1917"/>
      <c r="AS1499" s="222"/>
      <c r="AZ1499" s="889"/>
      <c r="BC1499" s="890"/>
      <c r="BD1499" s="952"/>
      <c r="BE1499" s="75"/>
      <c r="BF1499" s="572"/>
      <c r="BG1499" s="983"/>
      <c r="BH1499" s="222"/>
      <c r="BL1499" s="889"/>
      <c r="BO1499" s="223"/>
    </row>
    <row r="1500" spans="1:67" s="74" customFormat="1">
      <c r="A1500" s="15"/>
      <c r="B1500" s="15"/>
      <c r="C1500" s="15"/>
      <c r="D1500" s="15"/>
      <c r="E1500" s="6"/>
      <c r="F1500" s="6"/>
      <c r="G1500" s="6"/>
      <c r="K1500" s="223"/>
      <c r="M1500" s="889"/>
      <c r="P1500" s="890"/>
      <c r="T1500" s="889"/>
      <c r="X1500" s="15"/>
      <c r="Y1500" s="1935"/>
      <c r="Z1500" s="1086"/>
      <c r="AA1500" s="230"/>
      <c r="AB1500" s="230"/>
      <c r="AC1500" s="1936"/>
      <c r="AD1500" s="230"/>
      <c r="AE1500" s="230"/>
      <c r="AF1500" s="230"/>
      <c r="AG1500" s="890"/>
      <c r="AJ1500" s="890"/>
      <c r="AN1500" s="223"/>
      <c r="AO1500" s="952"/>
      <c r="AP1500" s="1066"/>
      <c r="AQ1500" s="972"/>
      <c r="AR1500" s="1917"/>
      <c r="AS1500" s="222"/>
      <c r="AZ1500" s="889"/>
      <c r="BC1500" s="890"/>
      <c r="BD1500" s="952"/>
      <c r="BE1500" s="75"/>
      <c r="BF1500" s="572"/>
      <c r="BG1500" s="983"/>
      <c r="BH1500" s="222"/>
      <c r="BL1500" s="889"/>
      <c r="BO1500" s="223"/>
    </row>
    <row r="1501" spans="1:67" s="74" customFormat="1">
      <c r="A1501" s="15"/>
      <c r="B1501" s="15"/>
      <c r="C1501" s="15"/>
      <c r="D1501" s="15"/>
      <c r="E1501" s="6"/>
      <c r="F1501" s="6"/>
      <c r="G1501" s="6"/>
      <c r="K1501" s="223"/>
      <c r="M1501" s="889"/>
      <c r="P1501" s="890"/>
      <c r="T1501" s="889"/>
      <c r="X1501" s="15"/>
      <c r="Y1501" s="1935"/>
      <c r="Z1501" s="1086"/>
      <c r="AA1501" s="230"/>
      <c r="AB1501" s="230"/>
      <c r="AC1501" s="1936"/>
      <c r="AD1501" s="230"/>
      <c r="AE1501" s="230"/>
      <c r="AF1501" s="230"/>
      <c r="AG1501" s="890"/>
      <c r="AJ1501" s="890"/>
      <c r="AN1501" s="223"/>
      <c r="AO1501" s="952"/>
      <c r="AP1501" s="1066"/>
      <c r="AQ1501" s="972"/>
      <c r="AR1501" s="1917"/>
      <c r="AS1501" s="222"/>
      <c r="AZ1501" s="889"/>
      <c r="BC1501" s="890"/>
      <c r="BD1501" s="952"/>
      <c r="BE1501" s="75"/>
      <c r="BF1501" s="572"/>
      <c r="BG1501" s="983"/>
      <c r="BH1501" s="222"/>
      <c r="BL1501" s="889"/>
      <c r="BO1501" s="223"/>
    </row>
    <row r="1502" spans="1:67" s="74" customFormat="1">
      <c r="A1502" s="15"/>
      <c r="B1502" s="15"/>
      <c r="C1502" s="15"/>
      <c r="D1502" s="15"/>
      <c r="E1502" s="6"/>
      <c r="F1502" s="6"/>
      <c r="G1502" s="6"/>
      <c r="K1502" s="223"/>
      <c r="M1502" s="889"/>
      <c r="P1502" s="890"/>
      <c r="T1502" s="889"/>
      <c r="X1502" s="15"/>
      <c r="Y1502" s="1935"/>
      <c r="Z1502" s="1086"/>
      <c r="AA1502" s="230"/>
      <c r="AB1502" s="230"/>
      <c r="AC1502" s="1936"/>
      <c r="AD1502" s="230"/>
      <c r="AE1502" s="230"/>
      <c r="AF1502" s="230"/>
      <c r="AG1502" s="890"/>
      <c r="AJ1502" s="890"/>
      <c r="AN1502" s="223"/>
      <c r="AO1502" s="952"/>
      <c r="AP1502" s="1066"/>
      <c r="AQ1502" s="972"/>
      <c r="AR1502" s="1917"/>
      <c r="AS1502" s="222"/>
      <c r="AZ1502" s="889"/>
      <c r="BC1502" s="890"/>
      <c r="BD1502" s="952"/>
      <c r="BE1502" s="75"/>
      <c r="BF1502" s="572"/>
      <c r="BG1502" s="983"/>
      <c r="BH1502" s="222"/>
      <c r="BL1502" s="889"/>
      <c r="BO1502" s="223"/>
    </row>
    <row r="1503" spans="1:67" s="74" customFormat="1">
      <c r="A1503" s="15"/>
      <c r="B1503" s="15"/>
      <c r="C1503" s="15"/>
      <c r="D1503" s="15"/>
      <c r="E1503" s="6"/>
      <c r="F1503" s="6"/>
      <c r="G1503" s="6"/>
      <c r="K1503" s="223"/>
      <c r="M1503" s="889"/>
      <c r="P1503" s="890"/>
      <c r="T1503" s="889"/>
      <c r="X1503" s="15"/>
      <c r="Y1503" s="1935"/>
      <c r="Z1503" s="1086"/>
      <c r="AA1503" s="230"/>
      <c r="AB1503" s="230"/>
      <c r="AC1503" s="1936"/>
      <c r="AD1503" s="230"/>
      <c r="AE1503" s="230"/>
      <c r="AF1503" s="230"/>
      <c r="AG1503" s="890"/>
      <c r="AJ1503" s="890"/>
      <c r="AN1503" s="223"/>
      <c r="AO1503" s="952"/>
      <c r="AP1503" s="1066"/>
      <c r="AQ1503" s="972"/>
      <c r="AR1503" s="1917"/>
      <c r="AS1503" s="222"/>
      <c r="AZ1503" s="889"/>
      <c r="BC1503" s="890"/>
      <c r="BD1503" s="952"/>
      <c r="BE1503" s="75"/>
      <c r="BF1503" s="572"/>
      <c r="BG1503" s="983"/>
      <c r="BH1503" s="222"/>
      <c r="BL1503" s="889"/>
      <c r="BO1503" s="223"/>
    </row>
    <row r="1504" spans="1:67" s="74" customFormat="1">
      <c r="A1504" s="15"/>
      <c r="B1504" s="15"/>
      <c r="C1504" s="15"/>
      <c r="D1504" s="15"/>
      <c r="E1504" s="6"/>
      <c r="F1504" s="6"/>
      <c r="G1504" s="6"/>
      <c r="K1504" s="223"/>
      <c r="M1504" s="889"/>
      <c r="P1504" s="890"/>
      <c r="T1504" s="889"/>
      <c r="X1504" s="15"/>
      <c r="Y1504" s="1935"/>
      <c r="Z1504" s="1086"/>
      <c r="AA1504" s="230"/>
      <c r="AB1504" s="230"/>
      <c r="AC1504" s="1936"/>
      <c r="AD1504" s="230"/>
      <c r="AE1504" s="230"/>
      <c r="AF1504" s="230"/>
      <c r="AG1504" s="890"/>
      <c r="AJ1504" s="890"/>
      <c r="AN1504" s="223"/>
      <c r="AO1504" s="952"/>
      <c r="AP1504" s="1066"/>
      <c r="AQ1504" s="972"/>
      <c r="AR1504" s="1917"/>
      <c r="AS1504" s="222"/>
      <c r="AZ1504" s="889"/>
      <c r="BC1504" s="890"/>
      <c r="BD1504" s="952"/>
      <c r="BE1504" s="75"/>
      <c r="BF1504" s="572"/>
      <c r="BG1504" s="983"/>
      <c r="BH1504" s="222"/>
      <c r="BL1504" s="889"/>
      <c r="BO1504" s="223"/>
    </row>
    <row r="1505" spans="1:67" s="74" customFormat="1">
      <c r="A1505" s="15"/>
      <c r="B1505" s="15"/>
      <c r="C1505" s="15"/>
      <c r="D1505" s="15"/>
      <c r="E1505" s="6"/>
      <c r="F1505" s="6"/>
      <c r="G1505" s="6"/>
      <c r="K1505" s="223"/>
      <c r="M1505" s="889"/>
      <c r="P1505" s="890"/>
      <c r="T1505" s="889"/>
      <c r="X1505" s="15"/>
      <c r="Y1505" s="1935"/>
      <c r="Z1505" s="1086"/>
      <c r="AA1505" s="230"/>
      <c r="AB1505" s="230"/>
      <c r="AC1505" s="1936"/>
      <c r="AD1505" s="230"/>
      <c r="AE1505" s="230"/>
      <c r="AF1505" s="230"/>
      <c r="AG1505" s="890"/>
      <c r="AJ1505" s="890"/>
      <c r="AN1505" s="223"/>
      <c r="AO1505" s="952"/>
      <c r="AP1505" s="1066"/>
      <c r="AQ1505" s="972"/>
      <c r="AR1505" s="1917"/>
      <c r="AS1505" s="222"/>
      <c r="AZ1505" s="889"/>
      <c r="BC1505" s="890"/>
      <c r="BD1505" s="952"/>
      <c r="BE1505" s="75"/>
      <c r="BF1505" s="572"/>
      <c r="BG1505" s="983"/>
      <c r="BH1505" s="222"/>
      <c r="BL1505" s="889"/>
      <c r="BO1505" s="223"/>
    </row>
    <row r="1506" spans="1:67" s="74" customFormat="1">
      <c r="A1506" s="15"/>
      <c r="B1506" s="15"/>
      <c r="C1506" s="15"/>
      <c r="D1506" s="15"/>
      <c r="E1506" s="6"/>
      <c r="F1506" s="6"/>
      <c r="G1506" s="6"/>
      <c r="K1506" s="223"/>
      <c r="M1506" s="889"/>
      <c r="P1506" s="890"/>
      <c r="T1506" s="889"/>
      <c r="X1506" s="15"/>
      <c r="Y1506" s="1935"/>
      <c r="Z1506" s="1086"/>
      <c r="AA1506" s="230"/>
      <c r="AB1506" s="230"/>
      <c r="AC1506" s="1936"/>
      <c r="AD1506" s="230"/>
      <c r="AE1506" s="230"/>
      <c r="AF1506" s="230"/>
      <c r="AG1506" s="890"/>
      <c r="AJ1506" s="890"/>
      <c r="AN1506" s="223"/>
      <c r="AO1506" s="952"/>
      <c r="AP1506" s="1066"/>
      <c r="AQ1506" s="972"/>
      <c r="AR1506" s="1917"/>
      <c r="AS1506" s="222"/>
      <c r="AZ1506" s="889"/>
      <c r="BC1506" s="890"/>
      <c r="BD1506" s="952"/>
      <c r="BE1506" s="75"/>
      <c r="BF1506" s="572"/>
      <c r="BG1506" s="983"/>
      <c r="BH1506" s="222"/>
      <c r="BL1506" s="889"/>
      <c r="BO1506" s="223"/>
    </row>
    <row r="1507" spans="1:67" s="74" customFormat="1">
      <c r="A1507" s="15"/>
      <c r="B1507" s="15"/>
      <c r="C1507" s="15"/>
      <c r="D1507" s="15"/>
      <c r="E1507" s="6"/>
      <c r="F1507" s="6"/>
      <c r="G1507" s="6"/>
      <c r="K1507" s="223"/>
      <c r="M1507" s="889"/>
      <c r="P1507" s="890"/>
      <c r="T1507" s="889"/>
      <c r="X1507" s="15"/>
      <c r="Y1507" s="1935"/>
      <c r="Z1507" s="1086"/>
      <c r="AA1507" s="230"/>
      <c r="AB1507" s="230"/>
      <c r="AC1507" s="1936"/>
      <c r="AD1507" s="230"/>
      <c r="AE1507" s="230"/>
      <c r="AF1507" s="230"/>
      <c r="AG1507" s="890"/>
      <c r="AJ1507" s="890"/>
      <c r="AN1507" s="223"/>
      <c r="AO1507" s="952"/>
      <c r="AP1507" s="1066"/>
      <c r="AQ1507" s="972"/>
      <c r="AR1507" s="1917"/>
      <c r="AS1507" s="222"/>
      <c r="AZ1507" s="889"/>
      <c r="BC1507" s="890"/>
      <c r="BD1507" s="952"/>
      <c r="BE1507" s="75"/>
      <c r="BF1507" s="572"/>
      <c r="BG1507" s="983"/>
      <c r="BH1507" s="222"/>
      <c r="BL1507" s="889"/>
      <c r="BO1507" s="223"/>
    </row>
    <row r="1508" spans="1:67" s="74" customFormat="1">
      <c r="A1508" s="15"/>
      <c r="B1508" s="15"/>
      <c r="C1508" s="15"/>
      <c r="D1508" s="15"/>
      <c r="E1508" s="6"/>
      <c r="F1508" s="6"/>
      <c r="G1508" s="6"/>
      <c r="K1508" s="223"/>
      <c r="M1508" s="889"/>
      <c r="P1508" s="890"/>
      <c r="T1508" s="889"/>
      <c r="X1508" s="15"/>
      <c r="Y1508" s="1935"/>
      <c r="Z1508" s="1086"/>
      <c r="AA1508" s="230"/>
      <c r="AB1508" s="230"/>
      <c r="AC1508" s="1936"/>
      <c r="AD1508" s="230"/>
      <c r="AE1508" s="230"/>
      <c r="AF1508" s="230"/>
      <c r="AG1508" s="890"/>
      <c r="AJ1508" s="890"/>
      <c r="AN1508" s="223"/>
      <c r="AO1508" s="952"/>
      <c r="AP1508" s="1066"/>
      <c r="AQ1508" s="972"/>
      <c r="AR1508" s="1917"/>
      <c r="AS1508" s="222"/>
      <c r="AZ1508" s="889"/>
      <c r="BC1508" s="890"/>
      <c r="BD1508" s="952"/>
      <c r="BE1508" s="75"/>
      <c r="BF1508" s="572"/>
      <c r="BG1508" s="983"/>
      <c r="BH1508" s="222"/>
      <c r="BL1508" s="889"/>
      <c r="BO1508" s="223"/>
    </row>
    <row r="1509" spans="1:67" s="74" customFormat="1">
      <c r="A1509" s="15"/>
      <c r="B1509" s="15"/>
      <c r="C1509" s="15"/>
      <c r="D1509" s="15"/>
      <c r="E1509" s="6"/>
      <c r="F1509" s="6"/>
      <c r="G1509" s="6"/>
      <c r="K1509" s="223"/>
      <c r="M1509" s="889"/>
      <c r="P1509" s="890"/>
      <c r="T1509" s="889"/>
      <c r="X1509" s="15"/>
      <c r="Y1509" s="1935"/>
      <c r="Z1509" s="1086"/>
      <c r="AA1509" s="230"/>
      <c r="AB1509" s="230"/>
      <c r="AC1509" s="1936"/>
      <c r="AD1509" s="230"/>
      <c r="AE1509" s="230"/>
      <c r="AF1509" s="230"/>
      <c r="AG1509" s="890"/>
      <c r="AJ1509" s="890"/>
      <c r="AN1509" s="223"/>
      <c r="AO1509" s="952"/>
      <c r="AP1509" s="1066"/>
      <c r="AQ1509" s="972"/>
      <c r="AR1509" s="1917"/>
      <c r="AS1509" s="222"/>
      <c r="AZ1509" s="889"/>
      <c r="BC1509" s="890"/>
      <c r="BD1509" s="952"/>
      <c r="BE1509" s="75"/>
      <c r="BF1509" s="572"/>
      <c r="BG1509" s="983"/>
      <c r="BH1509" s="222"/>
      <c r="BL1509" s="889"/>
      <c r="BO1509" s="223"/>
    </row>
    <row r="1510" spans="1:67" s="74" customFormat="1">
      <c r="A1510" s="15"/>
      <c r="B1510" s="15"/>
      <c r="C1510" s="15"/>
      <c r="D1510" s="15"/>
      <c r="E1510" s="6"/>
      <c r="F1510" s="6"/>
      <c r="G1510" s="6"/>
      <c r="K1510" s="223"/>
      <c r="M1510" s="889"/>
      <c r="P1510" s="890"/>
      <c r="T1510" s="889"/>
      <c r="X1510" s="15"/>
      <c r="Y1510" s="1935"/>
      <c r="Z1510" s="1086"/>
      <c r="AA1510" s="230"/>
      <c r="AB1510" s="230"/>
      <c r="AC1510" s="1936"/>
      <c r="AD1510" s="230"/>
      <c r="AE1510" s="230"/>
      <c r="AF1510" s="230"/>
      <c r="AG1510" s="890"/>
      <c r="AJ1510" s="890"/>
      <c r="AN1510" s="223"/>
      <c r="AO1510" s="952"/>
      <c r="AP1510" s="1066"/>
      <c r="AQ1510" s="972"/>
      <c r="AR1510" s="1917"/>
      <c r="AS1510" s="222"/>
      <c r="AZ1510" s="889"/>
      <c r="BC1510" s="890"/>
      <c r="BD1510" s="952"/>
      <c r="BE1510" s="75"/>
      <c r="BF1510" s="572"/>
      <c r="BG1510" s="983"/>
      <c r="BH1510" s="222"/>
      <c r="BL1510" s="889"/>
      <c r="BO1510" s="223"/>
    </row>
    <row r="1511" spans="1:67" s="74" customFormat="1">
      <c r="A1511" s="15"/>
      <c r="B1511" s="15"/>
      <c r="C1511" s="15"/>
      <c r="D1511" s="15"/>
      <c r="E1511" s="6"/>
      <c r="F1511" s="6"/>
      <c r="G1511" s="6"/>
      <c r="K1511" s="223"/>
      <c r="M1511" s="889"/>
      <c r="P1511" s="890"/>
      <c r="T1511" s="889"/>
      <c r="X1511" s="15"/>
      <c r="Y1511" s="1935"/>
      <c r="Z1511" s="1086"/>
      <c r="AA1511" s="230"/>
      <c r="AB1511" s="230"/>
      <c r="AC1511" s="1936"/>
      <c r="AD1511" s="230"/>
      <c r="AE1511" s="230"/>
      <c r="AF1511" s="230"/>
      <c r="AG1511" s="890"/>
      <c r="AJ1511" s="890"/>
      <c r="AN1511" s="223"/>
      <c r="AO1511" s="952"/>
      <c r="AP1511" s="1066"/>
      <c r="AQ1511" s="972"/>
      <c r="AR1511" s="1917"/>
      <c r="AS1511" s="222"/>
      <c r="AZ1511" s="889"/>
      <c r="BC1511" s="890"/>
      <c r="BD1511" s="952"/>
      <c r="BE1511" s="75"/>
      <c r="BF1511" s="572"/>
      <c r="BG1511" s="983"/>
      <c r="BH1511" s="222"/>
      <c r="BL1511" s="889"/>
      <c r="BO1511" s="223"/>
    </row>
    <row r="1512" spans="1:67" s="74" customFormat="1">
      <c r="A1512" s="15"/>
      <c r="B1512" s="15"/>
      <c r="C1512" s="15"/>
      <c r="D1512" s="15"/>
      <c r="E1512" s="6"/>
      <c r="F1512" s="6"/>
      <c r="G1512" s="6"/>
      <c r="K1512" s="223"/>
      <c r="M1512" s="889"/>
      <c r="P1512" s="890"/>
      <c r="T1512" s="889"/>
      <c r="X1512" s="15"/>
      <c r="Y1512" s="1935"/>
      <c r="Z1512" s="1086"/>
      <c r="AA1512" s="230"/>
      <c r="AB1512" s="230"/>
      <c r="AC1512" s="1936"/>
      <c r="AD1512" s="230"/>
      <c r="AE1512" s="230"/>
      <c r="AF1512" s="230"/>
      <c r="AG1512" s="890"/>
      <c r="AJ1512" s="890"/>
      <c r="AN1512" s="223"/>
      <c r="AO1512" s="952"/>
      <c r="AP1512" s="1066"/>
      <c r="AQ1512" s="972"/>
      <c r="AR1512" s="1917"/>
      <c r="AS1512" s="222"/>
      <c r="AZ1512" s="889"/>
      <c r="BC1512" s="890"/>
      <c r="BD1512" s="952"/>
      <c r="BE1512" s="75"/>
      <c r="BF1512" s="572"/>
      <c r="BG1512" s="983"/>
      <c r="BH1512" s="222"/>
      <c r="BL1512" s="889"/>
      <c r="BO1512" s="223"/>
    </row>
    <row r="1513" spans="1:67" s="74" customFormat="1">
      <c r="A1513" s="15"/>
      <c r="B1513" s="15"/>
      <c r="C1513" s="15"/>
      <c r="D1513" s="15"/>
      <c r="E1513" s="6"/>
      <c r="F1513" s="6"/>
      <c r="G1513" s="6"/>
      <c r="K1513" s="223"/>
      <c r="M1513" s="889"/>
      <c r="P1513" s="890"/>
      <c r="T1513" s="889"/>
      <c r="X1513" s="15"/>
      <c r="Y1513" s="1935"/>
      <c r="Z1513" s="1086"/>
      <c r="AA1513" s="230"/>
      <c r="AB1513" s="230"/>
      <c r="AC1513" s="1936"/>
      <c r="AD1513" s="230"/>
      <c r="AE1513" s="230"/>
      <c r="AF1513" s="230"/>
      <c r="AG1513" s="890"/>
      <c r="AJ1513" s="890"/>
      <c r="AN1513" s="223"/>
      <c r="AO1513" s="952"/>
      <c r="AP1513" s="1066"/>
      <c r="AQ1513" s="972"/>
      <c r="AR1513" s="1917"/>
      <c r="AS1513" s="222"/>
      <c r="AZ1513" s="889"/>
      <c r="BC1513" s="890"/>
      <c r="BD1513" s="952"/>
      <c r="BE1513" s="75"/>
      <c r="BF1513" s="572"/>
      <c r="BG1513" s="983"/>
      <c r="BH1513" s="222"/>
      <c r="BL1513" s="889"/>
      <c r="BO1513" s="223"/>
    </row>
    <row r="1514" spans="1:67" s="74" customFormat="1">
      <c r="A1514" s="15"/>
      <c r="B1514" s="15"/>
      <c r="C1514" s="15"/>
      <c r="D1514" s="15"/>
      <c r="E1514" s="6"/>
      <c r="F1514" s="6"/>
      <c r="G1514" s="6"/>
      <c r="K1514" s="223"/>
      <c r="M1514" s="889"/>
      <c r="P1514" s="890"/>
      <c r="T1514" s="889"/>
      <c r="X1514" s="15"/>
      <c r="Y1514" s="1935"/>
      <c r="Z1514" s="1086"/>
      <c r="AA1514" s="230"/>
      <c r="AB1514" s="230"/>
      <c r="AC1514" s="1936"/>
      <c r="AD1514" s="230"/>
      <c r="AE1514" s="230"/>
      <c r="AF1514" s="230"/>
      <c r="AG1514" s="890"/>
      <c r="AJ1514" s="890"/>
      <c r="AN1514" s="223"/>
      <c r="AO1514" s="952"/>
      <c r="AP1514" s="1066"/>
      <c r="AQ1514" s="972"/>
      <c r="AR1514" s="1917"/>
      <c r="AS1514" s="222"/>
      <c r="AZ1514" s="889"/>
      <c r="BC1514" s="890"/>
      <c r="BD1514" s="952"/>
      <c r="BE1514" s="75"/>
      <c r="BF1514" s="572"/>
      <c r="BG1514" s="983"/>
      <c r="BH1514" s="222"/>
      <c r="BL1514" s="889"/>
      <c r="BO1514" s="223"/>
    </row>
    <row r="1515" spans="1:67" s="74" customFormat="1">
      <c r="A1515" s="15"/>
      <c r="B1515" s="15"/>
      <c r="C1515" s="15"/>
      <c r="D1515" s="15"/>
      <c r="E1515" s="6"/>
      <c r="F1515" s="6"/>
      <c r="G1515" s="6"/>
      <c r="K1515" s="223"/>
      <c r="M1515" s="889"/>
      <c r="P1515" s="890"/>
      <c r="T1515" s="889"/>
      <c r="X1515" s="15"/>
      <c r="Y1515" s="1935"/>
      <c r="Z1515" s="1086"/>
      <c r="AA1515" s="230"/>
      <c r="AB1515" s="230"/>
      <c r="AC1515" s="1936"/>
      <c r="AD1515" s="230"/>
      <c r="AE1515" s="230"/>
      <c r="AF1515" s="230"/>
      <c r="AG1515" s="890"/>
      <c r="AJ1515" s="890"/>
      <c r="AN1515" s="223"/>
      <c r="AO1515" s="952"/>
      <c r="AP1515" s="1066"/>
      <c r="AQ1515" s="972"/>
      <c r="AR1515" s="1917"/>
      <c r="AS1515" s="222"/>
      <c r="AZ1515" s="889"/>
      <c r="BC1515" s="890"/>
      <c r="BD1515" s="952"/>
      <c r="BE1515" s="75"/>
      <c r="BF1515" s="572"/>
      <c r="BG1515" s="983"/>
      <c r="BH1515" s="222"/>
      <c r="BL1515" s="889"/>
      <c r="BO1515" s="223"/>
    </row>
    <row r="1516" spans="1:67" s="74" customFormat="1">
      <c r="A1516" s="15"/>
      <c r="B1516" s="15"/>
      <c r="C1516" s="15"/>
      <c r="D1516" s="15"/>
      <c r="E1516" s="6"/>
      <c r="F1516" s="6"/>
      <c r="G1516" s="6"/>
      <c r="K1516" s="223"/>
      <c r="M1516" s="889"/>
      <c r="P1516" s="890"/>
      <c r="T1516" s="889"/>
      <c r="X1516" s="15"/>
      <c r="Y1516" s="1935"/>
      <c r="Z1516" s="1086"/>
      <c r="AA1516" s="230"/>
      <c r="AB1516" s="230"/>
      <c r="AC1516" s="1936"/>
      <c r="AD1516" s="230"/>
      <c r="AE1516" s="230"/>
      <c r="AF1516" s="230"/>
      <c r="AG1516" s="890"/>
      <c r="AJ1516" s="890"/>
      <c r="AN1516" s="223"/>
      <c r="AO1516" s="952"/>
      <c r="AP1516" s="1066"/>
      <c r="AQ1516" s="972"/>
      <c r="AR1516" s="1917"/>
      <c r="AS1516" s="222"/>
      <c r="AZ1516" s="889"/>
      <c r="BC1516" s="890"/>
      <c r="BD1516" s="952"/>
      <c r="BE1516" s="75"/>
      <c r="BF1516" s="572"/>
      <c r="BG1516" s="983"/>
      <c r="BH1516" s="222"/>
      <c r="BL1516" s="889"/>
      <c r="BO1516" s="223"/>
    </row>
    <row r="1517" spans="1:67" s="74" customFormat="1">
      <c r="A1517" s="15"/>
      <c r="B1517" s="15"/>
      <c r="C1517" s="15"/>
      <c r="D1517" s="15"/>
      <c r="E1517" s="6"/>
      <c r="F1517" s="6"/>
      <c r="G1517" s="6"/>
      <c r="K1517" s="223"/>
      <c r="M1517" s="889"/>
      <c r="P1517" s="890"/>
      <c r="T1517" s="889"/>
      <c r="X1517" s="15"/>
      <c r="Y1517" s="1935"/>
      <c r="Z1517" s="1086"/>
      <c r="AA1517" s="230"/>
      <c r="AB1517" s="230"/>
      <c r="AC1517" s="1936"/>
      <c r="AD1517" s="230"/>
      <c r="AE1517" s="230"/>
      <c r="AF1517" s="230"/>
      <c r="AG1517" s="890"/>
      <c r="AJ1517" s="890"/>
      <c r="AN1517" s="223"/>
      <c r="AO1517" s="952"/>
      <c r="AP1517" s="1066"/>
      <c r="AQ1517" s="972"/>
      <c r="AR1517" s="1917"/>
      <c r="AS1517" s="222"/>
      <c r="AZ1517" s="889"/>
      <c r="BC1517" s="890"/>
      <c r="BD1517" s="952"/>
      <c r="BE1517" s="75"/>
      <c r="BF1517" s="572"/>
      <c r="BG1517" s="983"/>
      <c r="BH1517" s="222"/>
      <c r="BL1517" s="889"/>
      <c r="BO1517" s="223"/>
    </row>
    <row r="1518" spans="1:67" s="74" customFormat="1">
      <c r="A1518" s="15"/>
      <c r="B1518" s="15"/>
      <c r="C1518" s="15"/>
      <c r="D1518" s="15"/>
      <c r="E1518" s="6"/>
      <c r="F1518" s="6"/>
      <c r="G1518" s="6"/>
      <c r="K1518" s="223"/>
      <c r="M1518" s="889"/>
      <c r="P1518" s="890"/>
      <c r="T1518" s="889"/>
      <c r="X1518" s="15"/>
      <c r="Y1518" s="1935"/>
      <c r="Z1518" s="1086"/>
      <c r="AA1518" s="230"/>
      <c r="AB1518" s="230"/>
      <c r="AC1518" s="1936"/>
      <c r="AD1518" s="230"/>
      <c r="AE1518" s="230"/>
      <c r="AF1518" s="230"/>
      <c r="AG1518" s="890"/>
      <c r="AJ1518" s="890"/>
      <c r="AN1518" s="223"/>
      <c r="AO1518" s="952"/>
      <c r="AP1518" s="1066"/>
      <c r="AQ1518" s="972"/>
      <c r="AR1518" s="1917"/>
      <c r="AS1518" s="222"/>
      <c r="AZ1518" s="889"/>
      <c r="BC1518" s="890"/>
      <c r="BD1518" s="952"/>
      <c r="BE1518" s="75"/>
      <c r="BF1518" s="572"/>
      <c r="BG1518" s="983"/>
      <c r="BH1518" s="222"/>
      <c r="BL1518" s="889"/>
      <c r="BO1518" s="223"/>
    </row>
    <row r="1519" spans="1:67" s="74" customFormat="1">
      <c r="A1519" s="15"/>
      <c r="B1519" s="15"/>
      <c r="C1519" s="15"/>
      <c r="D1519" s="15"/>
      <c r="E1519" s="6"/>
      <c r="F1519" s="6"/>
      <c r="G1519" s="6"/>
      <c r="K1519" s="223"/>
      <c r="M1519" s="889"/>
      <c r="P1519" s="890"/>
      <c r="T1519" s="889"/>
      <c r="X1519" s="15"/>
      <c r="Y1519" s="1935"/>
      <c r="Z1519" s="1086"/>
      <c r="AA1519" s="230"/>
      <c r="AB1519" s="230"/>
      <c r="AC1519" s="1936"/>
      <c r="AD1519" s="230"/>
      <c r="AE1519" s="230"/>
      <c r="AF1519" s="230"/>
      <c r="AG1519" s="890"/>
      <c r="AJ1519" s="890"/>
      <c r="AN1519" s="223"/>
      <c r="AO1519" s="952"/>
      <c r="AP1519" s="1066"/>
      <c r="AQ1519" s="972"/>
      <c r="AR1519" s="1917"/>
      <c r="AS1519" s="222"/>
      <c r="AZ1519" s="889"/>
      <c r="BC1519" s="890"/>
      <c r="BD1519" s="952"/>
      <c r="BE1519" s="75"/>
      <c r="BF1519" s="572"/>
      <c r="BG1519" s="983"/>
      <c r="BH1519" s="222"/>
      <c r="BL1519" s="889"/>
      <c r="BO1519" s="223"/>
    </row>
    <row r="1520" spans="1:67" s="74" customFormat="1">
      <c r="A1520" s="15"/>
      <c r="B1520" s="15"/>
      <c r="C1520" s="15"/>
      <c r="D1520" s="15"/>
      <c r="E1520" s="6"/>
      <c r="F1520" s="6"/>
      <c r="G1520" s="6"/>
      <c r="K1520" s="223"/>
      <c r="M1520" s="889"/>
      <c r="P1520" s="890"/>
      <c r="T1520" s="889"/>
      <c r="X1520" s="15"/>
      <c r="Y1520" s="1935"/>
      <c r="Z1520" s="1086"/>
      <c r="AA1520" s="230"/>
      <c r="AB1520" s="230"/>
      <c r="AC1520" s="1936"/>
      <c r="AD1520" s="230"/>
      <c r="AE1520" s="230"/>
      <c r="AF1520" s="230"/>
      <c r="AG1520" s="890"/>
      <c r="AJ1520" s="890"/>
      <c r="AN1520" s="223"/>
      <c r="AO1520" s="952"/>
      <c r="AP1520" s="1066"/>
      <c r="AQ1520" s="972"/>
      <c r="AR1520" s="1917"/>
      <c r="AS1520" s="222"/>
      <c r="AZ1520" s="889"/>
      <c r="BC1520" s="890"/>
      <c r="BD1520" s="952"/>
      <c r="BE1520" s="75"/>
      <c r="BF1520" s="572"/>
      <c r="BG1520" s="983"/>
      <c r="BH1520" s="222"/>
      <c r="BL1520" s="889"/>
      <c r="BO1520" s="223"/>
    </row>
    <row r="1521" spans="1:67" s="74" customFormat="1">
      <c r="A1521" s="15"/>
      <c r="B1521" s="15"/>
      <c r="C1521" s="15"/>
      <c r="D1521" s="15"/>
      <c r="E1521" s="6"/>
      <c r="F1521" s="6"/>
      <c r="G1521" s="6"/>
      <c r="K1521" s="223"/>
      <c r="M1521" s="889"/>
      <c r="P1521" s="890"/>
      <c r="T1521" s="889"/>
      <c r="X1521" s="15"/>
      <c r="Y1521" s="1935"/>
      <c r="Z1521" s="1086"/>
      <c r="AA1521" s="230"/>
      <c r="AB1521" s="230"/>
      <c r="AC1521" s="1936"/>
      <c r="AD1521" s="230"/>
      <c r="AE1521" s="230"/>
      <c r="AF1521" s="230"/>
      <c r="AG1521" s="890"/>
      <c r="AJ1521" s="890"/>
      <c r="AN1521" s="223"/>
      <c r="AO1521" s="952"/>
      <c r="AP1521" s="1066"/>
      <c r="AQ1521" s="972"/>
      <c r="AR1521" s="1917"/>
      <c r="AS1521" s="222"/>
      <c r="AZ1521" s="889"/>
      <c r="BC1521" s="890"/>
      <c r="BD1521" s="952"/>
      <c r="BE1521" s="75"/>
      <c r="BF1521" s="572"/>
      <c r="BG1521" s="983"/>
      <c r="BH1521" s="222"/>
      <c r="BL1521" s="889"/>
      <c r="BO1521" s="223"/>
    </row>
    <row r="1522" spans="1:67" s="74" customFormat="1">
      <c r="A1522" s="15"/>
      <c r="B1522" s="15"/>
      <c r="C1522" s="15"/>
      <c r="D1522" s="15"/>
      <c r="E1522" s="6"/>
      <c r="F1522" s="6"/>
      <c r="G1522" s="6"/>
      <c r="K1522" s="223"/>
      <c r="M1522" s="889"/>
      <c r="P1522" s="890"/>
      <c r="T1522" s="889"/>
      <c r="X1522" s="15"/>
      <c r="Y1522" s="1935"/>
      <c r="Z1522" s="1086"/>
      <c r="AA1522" s="230"/>
      <c r="AB1522" s="230"/>
      <c r="AC1522" s="1936"/>
      <c r="AD1522" s="230"/>
      <c r="AE1522" s="230"/>
      <c r="AF1522" s="230"/>
      <c r="AG1522" s="890"/>
      <c r="AJ1522" s="890"/>
      <c r="AN1522" s="223"/>
      <c r="AO1522" s="952"/>
      <c r="AP1522" s="1066"/>
      <c r="AQ1522" s="972"/>
      <c r="AR1522" s="1917"/>
      <c r="AS1522" s="222"/>
      <c r="AZ1522" s="889"/>
      <c r="BC1522" s="890"/>
      <c r="BD1522" s="952"/>
      <c r="BE1522" s="75"/>
      <c r="BF1522" s="572"/>
      <c r="BG1522" s="983"/>
      <c r="BH1522" s="222"/>
      <c r="BL1522" s="889"/>
      <c r="BO1522" s="223"/>
    </row>
    <row r="1523" spans="1:67" s="74" customFormat="1">
      <c r="A1523" s="15"/>
      <c r="B1523" s="15"/>
      <c r="C1523" s="15"/>
      <c r="D1523" s="15"/>
      <c r="E1523" s="6"/>
      <c r="F1523" s="6"/>
      <c r="G1523" s="6"/>
      <c r="K1523" s="223"/>
      <c r="M1523" s="889"/>
      <c r="P1523" s="890"/>
      <c r="T1523" s="889"/>
      <c r="X1523" s="15"/>
      <c r="Y1523" s="1935"/>
      <c r="Z1523" s="1086"/>
      <c r="AA1523" s="230"/>
      <c r="AB1523" s="230"/>
      <c r="AC1523" s="1936"/>
      <c r="AD1523" s="230"/>
      <c r="AE1523" s="230"/>
      <c r="AF1523" s="230"/>
      <c r="AG1523" s="890"/>
      <c r="AJ1523" s="890"/>
      <c r="AN1523" s="223"/>
      <c r="AO1523" s="952"/>
      <c r="AP1523" s="1066"/>
      <c r="AQ1523" s="972"/>
      <c r="AR1523" s="1917"/>
      <c r="AS1523" s="222"/>
      <c r="AZ1523" s="889"/>
      <c r="BC1523" s="890"/>
      <c r="BD1523" s="952"/>
      <c r="BE1523" s="75"/>
      <c r="BF1523" s="572"/>
      <c r="BG1523" s="983"/>
      <c r="BH1523" s="222"/>
      <c r="BL1523" s="889"/>
      <c r="BO1523" s="223"/>
    </row>
    <row r="1524" spans="1:67" s="74" customFormat="1">
      <c r="A1524" s="15"/>
      <c r="B1524" s="15"/>
      <c r="C1524" s="15"/>
      <c r="D1524" s="15"/>
      <c r="E1524" s="6"/>
      <c r="F1524" s="6"/>
      <c r="G1524" s="6"/>
      <c r="K1524" s="223"/>
      <c r="M1524" s="889"/>
      <c r="P1524" s="890"/>
      <c r="T1524" s="889"/>
      <c r="X1524" s="15"/>
      <c r="Y1524" s="1935"/>
      <c r="Z1524" s="1086"/>
      <c r="AA1524" s="230"/>
      <c r="AB1524" s="230"/>
      <c r="AC1524" s="1936"/>
      <c r="AD1524" s="230"/>
      <c r="AE1524" s="230"/>
      <c r="AF1524" s="230"/>
      <c r="AG1524" s="890"/>
      <c r="AJ1524" s="890"/>
      <c r="AN1524" s="223"/>
      <c r="AO1524" s="952"/>
      <c r="AP1524" s="1066"/>
      <c r="AQ1524" s="972"/>
      <c r="AR1524" s="1917"/>
      <c r="AS1524" s="222"/>
      <c r="AZ1524" s="889"/>
      <c r="BC1524" s="890"/>
      <c r="BD1524" s="952"/>
      <c r="BE1524" s="75"/>
      <c r="BF1524" s="572"/>
      <c r="BG1524" s="983"/>
      <c r="BH1524" s="222"/>
      <c r="BL1524" s="889"/>
      <c r="BO1524" s="223"/>
    </row>
    <row r="1525" spans="1:67" s="74" customFormat="1">
      <c r="A1525" s="15"/>
      <c r="B1525" s="15"/>
      <c r="C1525" s="15"/>
      <c r="D1525" s="15"/>
      <c r="E1525" s="6"/>
      <c r="F1525" s="6"/>
      <c r="G1525" s="6"/>
      <c r="K1525" s="223"/>
      <c r="M1525" s="889"/>
      <c r="P1525" s="890"/>
      <c r="T1525" s="889"/>
      <c r="X1525" s="15"/>
      <c r="Y1525" s="1935"/>
      <c r="Z1525" s="1086"/>
      <c r="AA1525" s="230"/>
      <c r="AB1525" s="230"/>
      <c r="AC1525" s="1936"/>
      <c r="AD1525" s="230"/>
      <c r="AE1525" s="230"/>
      <c r="AF1525" s="230"/>
      <c r="AG1525" s="890"/>
      <c r="AJ1525" s="890"/>
      <c r="AN1525" s="223"/>
      <c r="AO1525" s="952"/>
      <c r="AP1525" s="1066"/>
      <c r="AQ1525" s="972"/>
      <c r="AR1525" s="1917"/>
      <c r="AS1525" s="222"/>
      <c r="AZ1525" s="889"/>
      <c r="BC1525" s="890"/>
      <c r="BD1525" s="952"/>
      <c r="BE1525" s="75"/>
      <c r="BF1525" s="572"/>
      <c r="BG1525" s="983"/>
      <c r="BH1525" s="222"/>
      <c r="BL1525" s="889"/>
      <c r="BO1525" s="223"/>
    </row>
    <row r="1526" spans="1:67" s="74" customFormat="1">
      <c r="A1526" s="15"/>
      <c r="B1526" s="15"/>
      <c r="C1526" s="15"/>
      <c r="D1526" s="15"/>
      <c r="E1526" s="6"/>
      <c r="F1526" s="6"/>
      <c r="G1526" s="6"/>
      <c r="K1526" s="223"/>
      <c r="M1526" s="889"/>
      <c r="P1526" s="890"/>
      <c r="T1526" s="889"/>
      <c r="X1526" s="15"/>
      <c r="Y1526" s="1935"/>
      <c r="Z1526" s="1086"/>
      <c r="AA1526" s="230"/>
      <c r="AB1526" s="230"/>
      <c r="AC1526" s="1936"/>
      <c r="AD1526" s="230"/>
      <c r="AE1526" s="230"/>
      <c r="AF1526" s="230"/>
      <c r="AG1526" s="890"/>
      <c r="AJ1526" s="890"/>
      <c r="AN1526" s="223"/>
      <c r="AO1526" s="952"/>
      <c r="AP1526" s="1066"/>
      <c r="AQ1526" s="972"/>
      <c r="AR1526" s="1917"/>
      <c r="AS1526" s="222"/>
      <c r="AZ1526" s="889"/>
      <c r="BC1526" s="890"/>
      <c r="BD1526" s="952"/>
      <c r="BE1526" s="75"/>
      <c r="BF1526" s="572"/>
      <c r="BG1526" s="983"/>
      <c r="BH1526" s="222"/>
      <c r="BL1526" s="889"/>
      <c r="BO1526" s="223"/>
    </row>
    <row r="1527" spans="1:67" s="74" customFormat="1">
      <c r="A1527" s="15"/>
      <c r="B1527" s="15"/>
      <c r="C1527" s="15"/>
      <c r="D1527" s="15"/>
      <c r="E1527" s="6"/>
      <c r="F1527" s="6"/>
      <c r="G1527" s="6"/>
      <c r="K1527" s="223"/>
      <c r="M1527" s="889"/>
      <c r="P1527" s="890"/>
      <c r="T1527" s="889"/>
      <c r="X1527" s="15"/>
      <c r="Y1527" s="1935"/>
      <c r="Z1527" s="1086"/>
      <c r="AA1527" s="230"/>
      <c r="AB1527" s="230"/>
      <c r="AC1527" s="1936"/>
      <c r="AD1527" s="230"/>
      <c r="AE1527" s="230"/>
      <c r="AF1527" s="230"/>
      <c r="AG1527" s="890"/>
      <c r="AJ1527" s="890"/>
      <c r="AN1527" s="223"/>
      <c r="AO1527" s="952"/>
      <c r="AP1527" s="1066"/>
      <c r="AQ1527" s="972"/>
      <c r="AR1527" s="1917"/>
      <c r="AS1527" s="222"/>
      <c r="AZ1527" s="889"/>
      <c r="BC1527" s="890"/>
      <c r="BD1527" s="952"/>
      <c r="BE1527" s="75"/>
      <c r="BF1527" s="572"/>
      <c r="BG1527" s="983"/>
      <c r="BH1527" s="222"/>
      <c r="BL1527" s="889"/>
      <c r="BO1527" s="223"/>
    </row>
    <row r="1528" spans="1:67" s="74" customFormat="1">
      <c r="A1528" s="15"/>
      <c r="B1528" s="15"/>
      <c r="C1528" s="15"/>
      <c r="D1528" s="15"/>
      <c r="E1528" s="6"/>
      <c r="F1528" s="6"/>
      <c r="G1528" s="6"/>
      <c r="K1528" s="223"/>
      <c r="M1528" s="889"/>
      <c r="P1528" s="890"/>
      <c r="T1528" s="889"/>
      <c r="X1528" s="15"/>
      <c r="Y1528" s="1935"/>
      <c r="Z1528" s="1086"/>
      <c r="AA1528" s="230"/>
      <c r="AB1528" s="230"/>
      <c r="AC1528" s="1936"/>
      <c r="AD1528" s="230"/>
      <c r="AE1528" s="230"/>
      <c r="AF1528" s="230"/>
      <c r="AG1528" s="890"/>
      <c r="AJ1528" s="890"/>
      <c r="AN1528" s="223"/>
      <c r="AO1528" s="952"/>
      <c r="AP1528" s="1066"/>
      <c r="AQ1528" s="972"/>
      <c r="AR1528" s="1917"/>
      <c r="AS1528" s="222"/>
      <c r="AZ1528" s="889"/>
      <c r="BC1528" s="890"/>
      <c r="BD1528" s="952"/>
      <c r="BE1528" s="75"/>
      <c r="BF1528" s="572"/>
      <c r="BG1528" s="983"/>
      <c r="BH1528" s="222"/>
      <c r="BL1528" s="889"/>
      <c r="BO1528" s="223"/>
    </row>
    <row r="1529" spans="1:67" s="74" customFormat="1">
      <c r="A1529" s="15"/>
      <c r="B1529" s="15"/>
      <c r="C1529" s="15"/>
      <c r="D1529" s="15"/>
      <c r="E1529" s="6"/>
      <c r="F1529" s="6"/>
      <c r="G1529" s="6"/>
      <c r="K1529" s="223"/>
      <c r="M1529" s="889"/>
      <c r="P1529" s="890"/>
      <c r="T1529" s="889"/>
      <c r="X1529" s="15"/>
      <c r="Y1529" s="1935"/>
      <c r="Z1529" s="1086"/>
      <c r="AA1529" s="230"/>
      <c r="AB1529" s="230"/>
      <c r="AC1529" s="1936"/>
      <c r="AD1529" s="230"/>
      <c r="AE1529" s="230"/>
      <c r="AF1529" s="230"/>
      <c r="AG1529" s="890"/>
      <c r="AJ1529" s="890"/>
      <c r="AN1529" s="223"/>
      <c r="AO1529" s="952"/>
      <c r="AP1529" s="1066"/>
      <c r="AQ1529" s="972"/>
      <c r="AR1529" s="1917"/>
      <c r="AS1529" s="222"/>
      <c r="AZ1529" s="889"/>
      <c r="BC1529" s="890"/>
      <c r="BD1529" s="952"/>
      <c r="BE1529" s="75"/>
      <c r="BF1529" s="572"/>
      <c r="BG1529" s="983"/>
      <c r="BH1529" s="222"/>
      <c r="BL1529" s="889"/>
      <c r="BO1529" s="223"/>
    </row>
    <row r="1530" spans="1:67" s="74" customFormat="1">
      <c r="A1530" s="15"/>
      <c r="B1530" s="15"/>
      <c r="C1530" s="15"/>
      <c r="D1530" s="15"/>
      <c r="E1530" s="6"/>
      <c r="F1530" s="6"/>
      <c r="G1530" s="6"/>
      <c r="K1530" s="223"/>
      <c r="M1530" s="889"/>
      <c r="P1530" s="890"/>
      <c r="T1530" s="889"/>
      <c r="X1530" s="15"/>
      <c r="Y1530" s="1935"/>
      <c r="Z1530" s="1086"/>
      <c r="AA1530" s="230"/>
      <c r="AB1530" s="230"/>
      <c r="AC1530" s="1936"/>
      <c r="AD1530" s="230"/>
      <c r="AE1530" s="230"/>
      <c r="AF1530" s="230"/>
      <c r="AG1530" s="890"/>
      <c r="AJ1530" s="890"/>
      <c r="AN1530" s="223"/>
      <c r="AO1530" s="952"/>
      <c r="AP1530" s="1066"/>
      <c r="AQ1530" s="972"/>
      <c r="AR1530" s="1917"/>
      <c r="AS1530" s="222"/>
      <c r="AZ1530" s="889"/>
      <c r="BC1530" s="890"/>
      <c r="BD1530" s="952"/>
      <c r="BE1530" s="75"/>
      <c r="BF1530" s="572"/>
      <c r="BG1530" s="983"/>
      <c r="BH1530" s="222"/>
      <c r="BL1530" s="889"/>
      <c r="BO1530" s="223"/>
    </row>
    <row r="1531" spans="1:67" s="74" customFormat="1">
      <c r="A1531" s="15"/>
      <c r="B1531" s="15"/>
      <c r="C1531" s="15"/>
      <c r="D1531" s="15"/>
      <c r="E1531" s="6"/>
      <c r="F1531" s="6"/>
      <c r="G1531" s="6"/>
      <c r="K1531" s="223"/>
      <c r="M1531" s="889"/>
      <c r="P1531" s="890"/>
      <c r="T1531" s="889"/>
      <c r="X1531" s="15"/>
      <c r="Y1531" s="1935"/>
      <c r="Z1531" s="1086"/>
      <c r="AA1531" s="230"/>
      <c r="AB1531" s="230"/>
      <c r="AC1531" s="1936"/>
      <c r="AD1531" s="230"/>
      <c r="AE1531" s="230"/>
      <c r="AF1531" s="230"/>
      <c r="AG1531" s="890"/>
      <c r="AJ1531" s="890"/>
      <c r="AN1531" s="223"/>
      <c r="AO1531" s="952"/>
      <c r="AP1531" s="1066"/>
      <c r="AQ1531" s="972"/>
      <c r="AR1531" s="1917"/>
      <c r="AS1531" s="222"/>
      <c r="AZ1531" s="889"/>
      <c r="BC1531" s="890"/>
      <c r="BD1531" s="952"/>
      <c r="BE1531" s="75"/>
      <c r="BF1531" s="572"/>
      <c r="BG1531" s="983"/>
      <c r="BH1531" s="222"/>
      <c r="BL1531" s="889"/>
      <c r="BO1531" s="223"/>
    </row>
    <row r="1532" spans="1:67" s="74" customFormat="1">
      <c r="A1532" s="15"/>
      <c r="B1532" s="15"/>
      <c r="C1532" s="15"/>
      <c r="D1532" s="15"/>
      <c r="E1532" s="6"/>
      <c r="F1532" s="6"/>
      <c r="G1532" s="6"/>
      <c r="K1532" s="223"/>
      <c r="M1532" s="889"/>
      <c r="P1532" s="890"/>
      <c r="T1532" s="889"/>
      <c r="X1532" s="15"/>
      <c r="Y1532" s="1935"/>
      <c r="Z1532" s="1086"/>
      <c r="AA1532" s="230"/>
      <c r="AB1532" s="230"/>
      <c r="AC1532" s="1936"/>
      <c r="AD1532" s="230"/>
      <c r="AE1532" s="230"/>
      <c r="AF1532" s="230"/>
      <c r="AG1532" s="890"/>
      <c r="AJ1532" s="890"/>
      <c r="AN1532" s="223"/>
      <c r="AO1532" s="952"/>
      <c r="AP1532" s="1066"/>
      <c r="AQ1532" s="972"/>
      <c r="AR1532" s="1917"/>
      <c r="AS1532" s="222"/>
      <c r="AZ1532" s="889"/>
      <c r="BC1532" s="890"/>
      <c r="BD1532" s="952"/>
      <c r="BE1532" s="75"/>
      <c r="BF1532" s="572"/>
      <c r="BG1532" s="983"/>
      <c r="BH1532" s="222"/>
      <c r="BL1532" s="889"/>
      <c r="BO1532" s="223"/>
    </row>
    <row r="1533" spans="1:67" s="74" customFormat="1">
      <c r="A1533" s="15"/>
      <c r="B1533" s="15"/>
      <c r="C1533" s="15"/>
      <c r="D1533" s="15"/>
      <c r="E1533" s="6"/>
      <c r="F1533" s="6"/>
      <c r="G1533" s="6"/>
      <c r="K1533" s="223"/>
      <c r="M1533" s="889"/>
      <c r="P1533" s="890"/>
      <c r="T1533" s="889"/>
      <c r="X1533" s="15"/>
      <c r="Y1533" s="1935"/>
      <c r="Z1533" s="1086"/>
      <c r="AA1533" s="230"/>
      <c r="AB1533" s="230"/>
      <c r="AC1533" s="1936"/>
      <c r="AD1533" s="230"/>
      <c r="AE1533" s="230"/>
      <c r="AF1533" s="230"/>
      <c r="AG1533" s="890"/>
      <c r="AJ1533" s="890"/>
      <c r="AN1533" s="223"/>
      <c r="AO1533" s="952"/>
      <c r="AP1533" s="1066"/>
      <c r="AQ1533" s="972"/>
      <c r="AR1533" s="1917"/>
      <c r="AS1533" s="222"/>
      <c r="AZ1533" s="889"/>
      <c r="BC1533" s="890"/>
      <c r="BD1533" s="952"/>
      <c r="BE1533" s="75"/>
      <c r="BF1533" s="572"/>
      <c r="BG1533" s="983"/>
      <c r="BH1533" s="222"/>
      <c r="BL1533" s="889"/>
      <c r="BO1533" s="223"/>
    </row>
    <row r="1534" spans="1:67" s="74" customFormat="1">
      <c r="A1534" s="15"/>
      <c r="B1534" s="15"/>
      <c r="C1534" s="15"/>
      <c r="D1534" s="15"/>
      <c r="E1534" s="6"/>
      <c r="F1534" s="6"/>
      <c r="G1534" s="6"/>
      <c r="K1534" s="223"/>
      <c r="M1534" s="889"/>
      <c r="P1534" s="890"/>
      <c r="T1534" s="889"/>
      <c r="X1534" s="15"/>
      <c r="Y1534" s="1935"/>
      <c r="Z1534" s="1086"/>
      <c r="AA1534" s="230"/>
      <c r="AB1534" s="230"/>
      <c r="AC1534" s="1936"/>
      <c r="AD1534" s="230"/>
      <c r="AE1534" s="230"/>
      <c r="AF1534" s="230"/>
      <c r="AG1534" s="890"/>
      <c r="AJ1534" s="890"/>
      <c r="AN1534" s="223"/>
      <c r="AO1534" s="952"/>
      <c r="AP1534" s="1066"/>
      <c r="AQ1534" s="972"/>
      <c r="AR1534" s="1917"/>
      <c r="AS1534" s="222"/>
      <c r="AZ1534" s="889"/>
      <c r="BC1534" s="890"/>
      <c r="BD1534" s="952"/>
      <c r="BE1534" s="75"/>
      <c r="BF1534" s="572"/>
      <c r="BG1534" s="983"/>
      <c r="BH1534" s="222"/>
      <c r="BL1534" s="889"/>
      <c r="BO1534" s="223"/>
    </row>
    <row r="1535" spans="1:67" s="74" customFormat="1">
      <c r="A1535" s="15"/>
      <c r="B1535" s="15"/>
      <c r="C1535" s="15"/>
      <c r="D1535" s="15"/>
      <c r="E1535" s="6"/>
      <c r="F1535" s="6"/>
      <c r="G1535" s="6"/>
      <c r="K1535" s="223"/>
      <c r="M1535" s="889"/>
      <c r="P1535" s="890"/>
      <c r="T1535" s="889"/>
      <c r="X1535" s="15"/>
      <c r="Y1535" s="1935"/>
      <c r="Z1535" s="1086"/>
      <c r="AA1535" s="230"/>
      <c r="AB1535" s="230"/>
      <c r="AC1535" s="1936"/>
      <c r="AD1535" s="230"/>
      <c r="AE1535" s="230"/>
      <c r="AF1535" s="230"/>
      <c r="AG1535" s="890"/>
      <c r="AJ1535" s="890"/>
      <c r="AN1535" s="223"/>
      <c r="AO1535" s="952"/>
      <c r="AP1535" s="1066"/>
      <c r="AQ1535" s="972"/>
      <c r="AR1535" s="1917"/>
      <c r="AS1535" s="222"/>
      <c r="AZ1535" s="889"/>
      <c r="BC1535" s="890"/>
      <c r="BD1535" s="952"/>
      <c r="BE1535" s="75"/>
      <c r="BF1535" s="572"/>
      <c r="BG1535" s="983"/>
      <c r="BH1535" s="222"/>
      <c r="BL1535" s="889"/>
      <c r="BO1535" s="223"/>
    </row>
    <row r="1536" spans="1:67" s="74" customFormat="1">
      <c r="A1536" s="15"/>
      <c r="B1536" s="15"/>
      <c r="C1536" s="15"/>
      <c r="D1536" s="15"/>
      <c r="E1536" s="6"/>
      <c r="F1536" s="6"/>
      <c r="G1536" s="6"/>
      <c r="K1536" s="223"/>
      <c r="M1536" s="889"/>
      <c r="P1536" s="890"/>
      <c r="T1536" s="889"/>
      <c r="X1536" s="15"/>
      <c r="Y1536" s="1935"/>
      <c r="Z1536" s="1086"/>
      <c r="AA1536" s="230"/>
      <c r="AB1536" s="230"/>
      <c r="AC1536" s="1936"/>
      <c r="AD1536" s="230"/>
      <c r="AE1536" s="230"/>
      <c r="AF1536" s="230"/>
      <c r="AG1536" s="890"/>
      <c r="AJ1536" s="890"/>
      <c r="AN1536" s="223"/>
      <c r="AO1536" s="952"/>
      <c r="AP1536" s="1066"/>
      <c r="AQ1536" s="972"/>
      <c r="AR1536" s="1917"/>
      <c r="AS1536" s="222"/>
      <c r="AZ1536" s="889"/>
      <c r="BC1536" s="890"/>
      <c r="BD1536" s="952"/>
      <c r="BE1536" s="75"/>
      <c r="BF1536" s="572"/>
      <c r="BG1536" s="983"/>
      <c r="BH1536" s="222"/>
      <c r="BL1536" s="889"/>
      <c r="BO1536" s="223"/>
    </row>
    <row r="1537" spans="1:67" s="74" customFormat="1">
      <c r="A1537" s="15"/>
      <c r="B1537" s="15"/>
      <c r="C1537" s="15"/>
      <c r="D1537" s="15"/>
      <c r="E1537" s="6"/>
      <c r="F1537" s="6"/>
      <c r="G1537" s="6"/>
      <c r="K1537" s="223"/>
      <c r="M1537" s="889"/>
      <c r="P1537" s="890"/>
      <c r="T1537" s="889"/>
      <c r="X1537" s="15"/>
      <c r="Y1537" s="1935"/>
      <c r="Z1537" s="1086"/>
      <c r="AA1537" s="230"/>
      <c r="AB1537" s="230"/>
      <c r="AC1537" s="1936"/>
      <c r="AD1537" s="230"/>
      <c r="AE1537" s="230"/>
      <c r="AF1537" s="230"/>
      <c r="AG1537" s="890"/>
      <c r="AJ1537" s="890"/>
      <c r="AN1537" s="223"/>
      <c r="AO1537" s="952"/>
      <c r="AP1537" s="1066"/>
      <c r="AQ1537" s="972"/>
      <c r="AR1537" s="1917"/>
      <c r="AS1537" s="222"/>
      <c r="AZ1537" s="889"/>
      <c r="BC1537" s="890"/>
      <c r="BD1537" s="952"/>
      <c r="BE1537" s="75"/>
      <c r="BF1537" s="572"/>
      <c r="BG1537" s="983"/>
      <c r="BH1537" s="222"/>
      <c r="BL1537" s="889"/>
      <c r="BO1537" s="223"/>
    </row>
    <row r="1538" spans="1:67" s="74" customFormat="1">
      <c r="A1538" s="15"/>
      <c r="B1538" s="15"/>
      <c r="C1538" s="15"/>
      <c r="D1538" s="15"/>
      <c r="E1538" s="6"/>
      <c r="F1538" s="6"/>
      <c r="G1538" s="6"/>
      <c r="K1538" s="223"/>
      <c r="M1538" s="889"/>
      <c r="P1538" s="890"/>
      <c r="T1538" s="889"/>
      <c r="X1538" s="15"/>
      <c r="Y1538" s="1935"/>
      <c r="Z1538" s="1086"/>
      <c r="AA1538" s="230"/>
      <c r="AB1538" s="230"/>
      <c r="AC1538" s="1936"/>
      <c r="AD1538" s="230"/>
      <c r="AE1538" s="230"/>
      <c r="AF1538" s="230"/>
      <c r="AG1538" s="890"/>
      <c r="AJ1538" s="890"/>
      <c r="AN1538" s="223"/>
      <c r="AO1538" s="952"/>
      <c r="AP1538" s="1066"/>
      <c r="AQ1538" s="972"/>
      <c r="AR1538" s="1917"/>
      <c r="AS1538" s="222"/>
      <c r="AZ1538" s="889"/>
      <c r="BC1538" s="890"/>
      <c r="BD1538" s="952"/>
      <c r="BE1538" s="75"/>
      <c r="BF1538" s="572"/>
      <c r="BG1538" s="983"/>
      <c r="BH1538" s="222"/>
      <c r="BL1538" s="889"/>
      <c r="BO1538" s="223"/>
    </row>
    <row r="1539" spans="1:67" s="74" customFormat="1">
      <c r="A1539" s="15"/>
      <c r="B1539" s="15"/>
      <c r="C1539" s="15"/>
      <c r="D1539" s="15"/>
      <c r="E1539" s="6"/>
      <c r="F1539" s="6"/>
      <c r="G1539" s="6"/>
      <c r="K1539" s="223"/>
      <c r="M1539" s="889"/>
      <c r="P1539" s="890"/>
      <c r="T1539" s="889"/>
      <c r="X1539" s="15"/>
      <c r="Y1539" s="1935"/>
      <c r="Z1539" s="1086"/>
      <c r="AA1539" s="230"/>
      <c r="AB1539" s="230"/>
      <c r="AC1539" s="1936"/>
      <c r="AD1539" s="230"/>
      <c r="AE1539" s="230"/>
      <c r="AF1539" s="230"/>
      <c r="AG1539" s="890"/>
      <c r="AJ1539" s="890"/>
      <c r="AN1539" s="223"/>
      <c r="AO1539" s="952"/>
      <c r="AP1539" s="1066"/>
      <c r="AQ1539" s="972"/>
      <c r="AR1539" s="1917"/>
      <c r="AS1539" s="222"/>
      <c r="AZ1539" s="889"/>
      <c r="BC1539" s="890"/>
      <c r="BD1539" s="952"/>
      <c r="BE1539" s="75"/>
      <c r="BF1539" s="572"/>
      <c r="BG1539" s="983"/>
      <c r="BH1539" s="222"/>
      <c r="BL1539" s="889"/>
      <c r="BO1539" s="223"/>
    </row>
    <row r="1540" spans="1:67" s="74" customFormat="1">
      <c r="A1540" s="15"/>
      <c r="B1540" s="15"/>
      <c r="C1540" s="15"/>
      <c r="D1540" s="15"/>
      <c r="E1540" s="6"/>
      <c r="F1540" s="6"/>
      <c r="G1540" s="6"/>
      <c r="K1540" s="223"/>
      <c r="M1540" s="889"/>
      <c r="P1540" s="890"/>
      <c r="T1540" s="889"/>
      <c r="X1540" s="15"/>
      <c r="Y1540" s="1935"/>
      <c r="Z1540" s="1086"/>
      <c r="AA1540" s="230"/>
      <c r="AB1540" s="230"/>
      <c r="AC1540" s="1936"/>
      <c r="AD1540" s="230"/>
      <c r="AE1540" s="230"/>
      <c r="AF1540" s="230"/>
      <c r="AG1540" s="890"/>
      <c r="AJ1540" s="890"/>
      <c r="AN1540" s="223"/>
      <c r="AO1540" s="952"/>
      <c r="AP1540" s="1066"/>
      <c r="AQ1540" s="972"/>
      <c r="AR1540" s="1917"/>
      <c r="AS1540" s="222"/>
      <c r="AZ1540" s="889"/>
      <c r="BC1540" s="890"/>
      <c r="BD1540" s="952"/>
      <c r="BE1540" s="75"/>
      <c r="BF1540" s="572"/>
      <c r="BG1540" s="983"/>
      <c r="BH1540" s="222"/>
      <c r="BL1540" s="889"/>
      <c r="BO1540" s="223"/>
    </row>
    <row r="1541" spans="1:67" s="74" customFormat="1">
      <c r="A1541" s="15"/>
      <c r="B1541" s="15"/>
      <c r="C1541" s="15"/>
      <c r="D1541" s="15"/>
      <c r="E1541" s="6"/>
      <c r="F1541" s="6"/>
      <c r="G1541" s="6"/>
      <c r="K1541" s="223"/>
      <c r="M1541" s="889"/>
      <c r="P1541" s="890"/>
      <c r="T1541" s="889"/>
      <c r="X1541" s="15"/>
      <c r="Y1541" s="1935"/>
      <c r="Z1541" s="1086"/>
      <c r="AA1541" s="230"/>
      <c r="AB1541" s="230"/>
      <c r="AC1541" s="1936"/>
      <c r="AD1541" s="230"/>
      <c r="AE1541" s="230"/>
      <c r="AF1541" s="230"/>
      <c r="AG1541" s="890"/>
      <c r="AJ1541" s="890"/>
      <c r="AN1541" s="223"/>
      <c r="AO1541" s="952"/>
      <c r="AP1541" s="1066"/>
      <c r="AQ1541" s="972"/>
      <c r="AR1541" s="1917"/>
      <c r="AS1541" s="222"/>
      <c r="AZ1541" s="889"/>
      <c r="BC1541" s="890"/>
      <c r="BD1541" s="952"/>
      <c r="BE1541" s="75"/>
      <c r="BF1541" s="572"/>
      <c r="BG1541" s="983"/>
      <c r="BH1541" s="222"/>
      <c r="BL1541" s="889"/>
      <c r="BO1541" s="223"/>
    </row>
    <row r="1542" spans="1:67" s="74" customFormat="1">
      <c r="A1542" s="15"/>
      <c r="B1542" s="15"/>
      <c r="C1542" s="15"/>
      <c r="D1542" s="15"/>
      <c r="E1542" s="6"/>
      <c r="F1542" s="6"/>
      <c r="G1542" s="6"/>
      <c r="K1542" s="223"/>
      <c r="M1542" s="889"/>
      <c r="P1542" s="890"/>
      <c r="T1542" s="889"/>
      <c r="X1542" s="15"/>
      <c r="Y1542" s="1935"/>
      <c r="Z1542" s="1086"/>
      <c r="AA1542" s="230"/>
      <c r="AB1542" s="230"/>
      <c r="AC1542" s="1936"/>
      <c r="AD1542" s="230"/>
      <c r="AE1542" s="230"/>
      <c r="AF1542" s="230"/>
      <c r="AG1542" s="890"/>
      <c r="AJ1542" s="890"/>
      <c r="AN1542" s="223"/>
      <c r="AO1542" s="952"/>
      <c r="AP1542" s="1066"/>
      <c r="AQ1542" s="972"/>
      <c r="AR1542" s="1917"/>
      <c r="AS1542" s="222"/>
      <c r="AZ1542" s="889"/>
      <c r="BC1542" s="890"/>
      <c r="BD1542" s="952"/>
      <c r="BE1542" s="75"/>
      <c r="BF1542" s="572"/>
      <c r="BG1542" s="983"/>
      <c r="BH1542" s="222"/>
      <c r="BL1542" s="889"/>
      <c r="BO1542" s="223"/>
    </row>
    <row r="1543" spans="1:67" s="74" customFormat="1">
      <c r="A1543" s="15"/>
      <c r="B1543" s="15"/>
      <c r="C1543" s="15"/>
      <c r="D1543" s="15"/>
      <c r="E1543" s="6"/>
      <c r="F1543" s="6"/>
      <c r="G1543" s="6"/>
      <c r="K1543" s="223"/>
      <c r="M1543" s="889"/>
      <c r="P1543" s="890"/>
      <c r="T1543" s="889"/>
      <c r="X1543" s="15"/>
      <c r="Y1543" s="1935"/>
      <c r="Z1543" s="1086"/>
      <c r="AA1543" s="230"/>
      <c r="AB1543" s="230"/>
      <c r="AC1543" s="1936"/>
      <c r="AD1543" s="230"/>
      <c r="AE1543" s="230"/>
      <c r="AF1543" s="230"/>
      <c r="AG1543" s="890"/>
      <c r="AJ1543" s="890"/>
      <c r="AN1543" s="223"/>
      <c r="AO1543" s="952"/>
      <c r="AP1543" s="1066"/>
      <c r="AQ1543" s="972"/>
      <c r="AR1543" s="1917"/>
      <c r="AS1543" s="222"/>
      <c r="AZ1543" s="889"/>
      <c r="BC1543" s="890"/>
      <c r="BD1543" s="952"/>
      <c r="BE1543" s="75"/>
      <c r="BF1543" s="572"/>
      <c r="BG1543" s="983"/>
      <c r="BH1543" s="222"/>
      <c r="BL1543" s="889"/>
      <c r="BO1543" s="223"/>
    </row>
    <row r="1544" spans="1:67" s="74" customFormat="1">
      <c r="A1544" s="15"/>
      <c r="B1544" s="15"/>
      <c r="C1544" s="15"/>
      <c r="D1544" s="15"/>
      <c r="E1544" s="6"/>
      <c r="F1544" s="6"/>
      <c r="G1544" s="6"/>
      <c r="K1544" s="223"/>
      <c r="M1544" s="889"/>
      <c r="P1544" s="890"/>
      <c r="T1544" s="889"/>
      <c r="X1544" s="15"/>
      <c r="Y1544" s="1935"/>
      <c r="Z1544" s="1086"/>
      <c r="AA1544" s="230"/>
      <c r="AB1544" s="230"/>
      <c r="AC1544" s="1936"/>
      <c r="AD1544" s="230"/>
      <c r="AE1544" s="230"/>
      <c r="AF1544" s="230"/>
      <c r="AG1544" s="890"/>
      <c r="AJ1544" s="890"/>
      <c r="AN1544" s="223"/>
      <c r="AO1544" s="952"/>
      <c r="AP1544" s="1066"/>
      <c r="AQ1544" s="972"/>
      <c r="AR1544" s="1917"/>
      <c r="AS1544" s="222"/>
      <c r="AZ1544" s="889"/>
      <c r="BC1544" s="890"/>
      <c r="BD1544" s="952"/>
      <c r="BE1544" s="75"/>
      <c r="BF1544" s="572"/>
      <c r="BG1544" s="983"/>
      <c r="BH1544" s="222"/>
      <c r="BL1544" s="889"/>
      <c r="BO1544" s="223"/>
    </row>
    <row r="1545" spans="1:67" s="74" customFormat="1">
      <c r="A1545" s="15"/>
      <c r="B1545" s="15"/>
      <c r="C1545" s="15"/>
      <c r="D1545" s="15"/>
      <c r="E1545" s="6"/>
      <c r="F1545" s="6"/>
      <c r="G1545" s="6"/>
      <c r="K1545" s="223"/>
      <c r="M1545" s="889"/>
      <c r="P1545" s="890"/>
      <c r="T1545" s="889"/>
      <c r="X1545" s="15"/>
      <c r="Y1545" s="1935"/>
      <c r="Z1545" s="1086"/>
      <c r="AA1545" s="230"/>
      <c r="AB1545" s="230"/>
      <c r="AC1545" s="1936"/>
      <c r="AD1545" s="230"/>
      <c r="AE1545" s="230"/>
      <c r="AF1545" s="230"/>
      <c r="AG1545" s="890"/>
      <c r="AJ1545" s="890"/>
      <c r="AN1545" s="223"/>
      <c r="AO1545" s="952"/>
      <c r="AP1545" s="1066"/>
      <c r="AQ1545" s="972"/>
      <c r="AR1545" s="1917"/>
      <c r="AS1545" s="222"/>
      <c r="AZ1545" s="889"/>
      <c r="BC1545" s="890"/>
      <c r="BD1545" s="952"/>
      <c r="BE1545" s="75"/>
      <c r="BF1545" s="572"/>
      <c r="BG1545" s="983"/>
      <c r="BH1545" s="222"/>
      <c r="BL1545" s="889"/>
      <c r="BO1545" s="223"/>
    </row>
    <row r="1546" spans="1:67" s="74" customFormat="1">
      <c r="A1546" s="15"/>
      <c r="B1546" s="15"/>
      <c r="C1546" s="15"/>
      <c r="D1546" s="15"/>
      <c r="E1546" s="6"/>
      <c r="F1546" s="6"/>
      <c r="G1546" s="6"/>
      <c r="K1546" s="223"/>
      <c r="M1546" s="889"/>
      <c r="P1546" s="890"/>
      <c r="T1546" s="889"/>
      <c r="X1546" s="15"/>
      <c r="Y1546" s="1935"/>
      <c r="Z1546" s="1086"/>
      <c r="AA1546" s="230"/>
      <c r="AB1546" s="230"/>
      <c r="AC1546" s="1936"/>
      <c r="AD1546" s="230"/>
      <c r="AE1546" s="230"/>
      <c r="AF1546" s="230"/>
      <c r="AG1546" s="890"/>
      <c r="AJ1546" s="890"/>
      <c r="AN1546" s="223"/>
      <c r="AO1546" s="952"/>
      <c r="AP1546" s="1066"/>
      <c r="AQ1546" s="972"/>
      <c r="AR1546" s="1917"/>
      <c r="AS1546" s="222"/>
      <c r="AZ1546" s="889"/>
      <c r="BC1546" s="890"/>
      <c r="BD1546" s="952"/>
      <c r="BE1546" s="75"/>
      <c r="BF1546" s="572"/>
      <c r="BG1546" s="983"/>
      <c r="BH1546" s="222"/>
      <c r="BL1546" s="889"/>
      <c r="BO1546" s="223"/>
    </row>
    <row r="1547" spans="1:67" s="74" customFormat="1">
      <c r="A1547" s="15"/>
      <c r="B1547" s="15"/>
      <c r="C1547" s="15"/>
      <c r="D1547" s="15"/>
      <c r="E1547" s="6"/>
      <c r="F1547" s="6"/>
      <c r="G1547" s="6"/>
      <c r="K1547" s="223"/>
      <c r="M1547" s="889"/>
      <c r="P1547" s="890"/>
      <c r="T1547" s="889"/>
      <c r="X1547" s="15"/>
      <c r="Y1547" s="1935"/>
      <c r="Z1547" s="1086"/>
      <c r="AA1547" s="230"/>
      <c r="AB1547" s="230"/>
      <c r="AC1547" s="1936"/>
      <c r="AD1547" s="230"/>
      <c r="AE1547" s="230"/>
      <c r="AF1547" s="230"/>
      <c r="AG1547" s="890"/>
      <c r="AJ1547" s="890"/>
      <c r="AN1547" s="223"/>
      <c r="AO1547" s="952"/>
      <c r="AP1547" s="1066"/>
      <c r="AQ1547" s="972"/>
      <c r="AR1547" s="1917"/>
      <c r="AS1547" s="222"/>
      <c r="AZ1547" s="889"/>
      <c r="BC1547" s="890"/>
      <c r="BD1547" s="952"/>
      <c r="BE1547" s="75"/>
      <c r="BF1547" s="572"/>
      <c r="BG1547" s="983"/>
      <c r="BH1547" s="222"/>
      <c r="BL1547" s="889"/>
      <c r="BO1547" s="223"/>
    </row>
    <row r="1548" spans="1:67" s="74" customFormat="1">
      <c r="A1548" s="15"/>
      <c r="B1548" s="15"/>
      <c r="C1548" s="15"/>
      <c r="D1548" s="15"/>
      <c r="E1548" s="6"/>
      <c r="F1548" s="6"/>
      <c r="G1548" s="6"/>
      <c r="K1548" s="223"/>
      <c r="M1548" s="889"/>
      <c r="P1548" s="890"/>
      <c r="T1548" s="889"/>
      <c r="X1548" s="15"/>
      <c r="Y1548" s="1935"/>
      <c r="Z1548" s="1086"/>
      <c r="AA1548" s="230"/>
      <c r="AB1548" s="230"/>
      <c r="AC1548" s="1936"/>
      <c r="AD1548" s="230"/>
      <c r="AE1548" s="230"/>
      <c r="AF1548" s="230"/>
      <c r="AG1548" s="890"/>
      <c r="AJ1548" s="890"/>
      <c r="AN1548" s="223"/>
      <c r="AO1548" s="952"/>
      <c r="AP1548" s="1066"/>
      <c r="AQ1548" s="972"/>
      <c r="AR1548" s="1917"/>
      <c r="AS1548" s="222"/>
      <c r="AZ1548" s="889"/>
      <c r="BC1548" s="890"/>
      <c r="BD1548" s="952"/>
      <c r="BE1548" s="75"/>
      <c r="BF1548" s="572"/>
      <c r="BG1548" s="983"/>
      <c r="BH1548" s="222"/>
      <c r="BL1548" s="889"/>
      <c r="BO1548" s="223"/>
    </row>
    <row r="1549" spans="1:67" s="74" customFormat="1">
      <c r="A1549" s="15"/>
      <c r="B1549" s="15"/>
      <c r="C1549" s="15"/>
      <c r="D1549" s="15"/>
      <c r="E1549" s="6"/>
      <c r="F1549" s="6"/>
      <c r="G1549" s="6"/>
      <c r="K1549" s="223"/>
      <c r="M1549" s="889"/>
      <c r="P1549" s="890"/>
      <c r="T1549" s="889"/>
      <c r="X1549" s="15"/>
      <c r="Y1549" s="1935"/>
      <c r="Z1549" s="1086"/>
      <c r="AA1549" s="230"/>
      <c r="AB1549" s="230"/>
      <c r="AC1549" s="1936"/>
      <c r="AD1549" s="230"/>
      <c r="AE1549" s="230"/>
      <c r="AF1549" s="230"/>
      <c r="AG1549" s="890"/>
      <c r="AJ1549" s="890"/>
      <c r="AN1549" s="223"/>
      <c r="AO1549" s="952"/>
      <c r="AP1549" s="1066"/>
      <c r="AQ1549" s="972"/>
      <c r="AR1549" s="1917"/>
      <c r="AS1549" s="222"/>
      <c r="AZ1549" s="889"/>
      <c r="BC1549" s="890"/>
      <c r="BD1549" s="952"/>
      <c r="BE1549" s="75"/>
      <c r="BF1549" s="572"/>
      <c r="BG1549" s="983"/>
      <c r="BH1549" s="222"/>
      <c r="BL1549" s="889"/>
      <c r="BO1549" s="223"/>
    </row>
    <row r="1550" spans="1:67" s="74" customFormat="1">
      <c r="A1550" s="15"/>
      <c r="B1550" s="15"/>
      <c r="C1550" s="15"/>
      <c r="D1550" s="15"/>
      <c r="E1550" s="6"/>
      <c r="F1550" s="6"/>
      <c r="G1550" s="6"/>
      <c r="K1550" s="223"/>
      <c r="M1550" s="889"/>
      <c r="P1550" s="890"/>
      <c r="T1550" s="889"/>
      <c r="X1550" s="15"/>
      <c r="Y1550" s="1935"/>
      <c r="Z1550" s="1086"/>
      <c r="AA1550" s="230"/>
      <c r="AB1550" s="230"/>
      <c r="AC1550" s="1936"/>
      <c r="AD1550" s="230"/>
      <c r="AE1550" s="230"/>
      <c r="AF1550" s="230"/>
      <c r="AG1550" s="890"/>
      <c r="AJ1550" s="890"/>
      <c r="AN1550" s="223"/>
      <c r="AO1550" s="952"/>
      <c r="AP1550" s="1066"/>
      <c r="AQ1550" s="972"/>
      <c r="AR1550" s="1917"/>
      <c r="AS1550" s="222"/>
      <c r="AZ1550" s="889"/>
      <c r="BC1550" s="890"/>
      <c r="BD1550" s="952"/>
      <c r="BE1550" s="75"/>
      <c r="BF1550" s="572"/>
      <c r="BG1550" s="983"/>
      <c r="BH1550" s="222"/>
      <c r="BL1550" s="889"/>
      <c r="BO1550" s="223"/>
    </row>
    <row r="1551" spans="1:67" s="74" customFormat="1">
      <c r="A1551" s="15"/>
      <c r="B1551" s="15"/>
      <c r="C1551" s="15"/>
      <c r="D1551" s="15"/>
      <c r="E1551" s="6"/>
      <c r="F1551" s="6"/>
      <c r="G1551" s="6"/>
      <c r="K1551" s="223"/>
      <c r="M1551" s="889"/>
      <c r="P1551" s="890"/>
      <c r="T1551" s="889"/>
      <c r="X1551" s="15"/>
      <c r="Y1551" s="1935"/>
      <c r="Z1551" s="1086"/>
      <c r="AA1551" s="230"/>
      <c r="AB1551" s="230"/>
      <c r="AC1551" s="1936"/>
      <c r="AD1551" s="230"/>
      <c r="AE1551" s="230"/>
      <c r="AF1551" s="230"/>
      <c r="AG1551" s="890"/>
      <c r="AJ1551" s="890"/>
      <c r="AN1551" s="223"/>
      <c r="AO1551" s="952"/>
      <c r="AP1551" s="1066"/>
      <c r="AQ1551" s="972"/>
      <c r="AR1551" s="1917"/>
      <c r="AS1551" s="222"/>
      <c r="AZ1551" s="889"/>
      <c r="BC1551" s="890"/>
      <c r="BD1551" s="952"/>
      <c r="BE1551" s="75"/>
      <c r="BF1551" s="572"/>
      <c r="BG1551" s="983"/>
      <c r="BH1551" s="222"/>
      <c r="BL1551" s="889"/>
      <c r="BO1551" s="223"/>
    </row>
    <row r="1552" spans="1:67" s="74" customFormat="1">
      <c r="A1552" s="15"/>
      <c r="B1552" s="15"/>
      <c r="C1552" s="15"/>
      <c r="D1552" s="15"/>
      <c r="E1552" s="6"/>
      <c r="F1552" s="6"/>
      <c r="G1552" s="6"/>
      <c r="K1552" s="223"/>
      <c r="M1552" s="889"/>
      <c r="P1552" s="890"/>
      <c r="T1552" s="889"/>
      <c r="X1552" s="15"/>
      <c r="Y1552" s="1935"/>
      <c r="Z1552" s="1086"/>
      <c r="AA1552" s="230"/>
      <c r="AB1552" s="230"/>
      <c r="AC1552" s="1936"/>
      <c r="AD1552" s="230"/>
      <c r="AE1552" s="230"/>
      <c r="AF1552" s="230"/>
      <c r="AG1552" s="890"/>
      <c r="AJ1552" s="890"/>
      <c r="AN1552" s="223"/>
      <c r="AO1552" s="952"/>
      <c r="AP1552" s="1066"/>
      <c r="AQ1552" s="972"/>
      <c r="AR1552" s="1917"/>
      <c r="AS1552" s="222"/>
      <c r="AZ1552" s="889"/>
      <c r="BC1552" s="890"/>
      <c r="BD1552" s="952"/>
      <c r="BE1552" s="75"/>
      <c r="BF1552" s="572"/>
      <c r="BG1552" s="983"/>
      <c r="BH1552" s="222"/>
      <c r="BL1552" s="889"/>
      <c r="BO1552" s="223"/>
    </row>
    <row r="1553" spans="1:67" s="74" customFormat="1">
      <c r="A1553" s="15"/>
      <c r="B1553" s="15"/>
      <c r="C1553" s="15"/>
      <c r="D1553" s="15"/>
      <c r="E1553" s="6"/>
      <c r="F1553" s="6"/>
      <c r="G1553" s="6"/>
      <c r="K1553" s="223"/>
      <c r="M1553" s="889"/>
      <c r="P1553" s="890"/>
      <c r="T1553" s="889"/>
      <c r="X1553" s="15"/>
      <c r="Y1553" s="1935"/>
      <c r="Z1553" s="1086"/>
      <c r="AA1553" s="230"/>
      <c r="AB1553" s="230"/>
      <c r="AC1553" s="1936"/>
      <c r="AD1553" s="230"/>
      <c r="AE1553" s="230"/>
      <c r="AF1553" s="230"/>
      <c r="AG1553" s="890"/>
      <c r="AJ1553" s="890"/>
      <c r="AN1553" s="223"/>
      <c r="AO1553" s="952"/>
      <c r="AP1553" s="1066"/>
      <c r="AQ1553" s="972"/>
      <c r="AR1553" s="1917"/>
      <c r="AS1553" s="222"/>
      <c r="AZ1553" s="889"/>
      <c r="BC1553" s="890"/>
      <c r="BD1553" s="952"/>
      <c r="BE1553" s="75"/>
      <c r="BF1553" s="572"/>
      <c r="BG1553" s="983"/>
      <c r="BH1553" s="222"/>
      <c r="BL1553" s="889"/>
      <c r="BO1553" s="223"/>
    </row>
    <row r="1554" spans="1:67" s="74" customFormat="1">
      <c r="A1554" s="15"/>
      <c r="B1554" s="15"/>
      <c r="C1554" s="15"/>
      <c r="D1554" s="15"/>
      <c r="E1554" s="6"/>
      <c r="F1554" s="6"/>
      <c r="G1554" s="6"/>
      <c r="K1554" s="223"/>
      <c r="M1554" s="889"/>
      <c r="P1554" s="890"/>
      <c r="T1554" s="889"/>
      <c r="X1554" s="15"/>
      <c r="Y1554" s="1935"/>
      <c r="Z1554" s="1086"/>
      <c r="AA1554" s="230"/>
      <c r="AB1554" s="230"/>
      <c r="AC1554" s="1936"/>
      <c r="AD1554" s="230"/>
      <c r="AE1554" s="230"/>
      <c r="AF1554" s="230"/>
      <c r="AG1554" s="890"/>
      <c r="AJ1554" s="890"/>
      <c r="AN1554" s="223"/>
      <c r="AO1554" s="952"/>
      <c r="AP1554" s="1066"/>
      <c r="AQ1554" s="972"/>
      <c r="AR1554" s="1917"/>
      <c r="AS1554" s="222"/>
      <c r="AZ1554" s="889"/>
      <c r="BC1554" s="890"/>
      <c r="BD1554" s="952"/>
      <c r="BE1554" s="75"/>
      <c r="BF1554" s="572"/>
      <c r="BG1554" s="983"/>
      <c r="BH1554" s="222"/>
      <c r="BL1554" s="889"/>
      <c r="BO1554" s="223"/>
    </row>
    <row r="1555" spans="1:67" s="74" customFormat="1">
      <c r="A1555" s="15"/>
      <c r="B1555" s="15"/>
      <c r="C1555" s="15"/>
      <c r="D1555" s="15"/>
      <c r="E1555" s="6"/>
      <c r="F1555" s="6"/>
      <c r="G1555" s="6"/>
      <c r="K1555" s="223"/>
      <c r="M1555" s="889"/>
      <c r="P1555" s="890"/>
      <c r="T1555" s="889"/>
      <c r="X1555" s="15"/>
      <c r="Y1555" s="1935"/>
      <c r="Z1555" s="1086"/>
      <c r="AA1555" s="230"/>
      <c r="AB1555" s="230"/>
      <c r="AC1555" s="1936"/>
      <c r="AD1555" s="230"/>
      <c r="AE1555" s="230"/>
      <c r="AF1555" s="230"/>
      <c r="AG1555" s="890"/>
      <c r="AJ1555" s="890"/>
      <c r="AN1555" s="223"/>
      <c r="AO1555" s="952"/>
      <c r="AP1555" s="1066"/>
      <c r="AQ1555" s="972"/>
      <c r="AR1555" s="1917"/>
      <c r="AS1555" s="222"/>
      <c r="AZ1555" s="889"/>
      <c r="BC1555" s="890"/>
      <c r="BD1555" s="952"/>
      <c r="BE1555" s="75"/>
      <c r="BF1555" s="572"/>
      <c r="BG1555" s="983"/>
      <c r="BH1555" s="222"/>
      <c r="BL1555" s="889"/>
      <c r="BO1555" s="223"/>
    </row>
    <row r="1556" spans="1:67" s="74" customFormat="1">
      <c r="A1556" s="15"/>
      <c r="B1556" s="15"/>
      <c r="C1556" s="15"/>
      <c r="D1556" s="15"/>
      <c r="E1556" s="6"/>
      <c r="F1556" s="6"/>
      <c r="G1556" s="6"/>
      <c r="K1556" s="223"/>
      <c r="M1556" s="889"/>
      <c r="P1556" s="890"/>
      <c r="T1556" s="889"/>
      <c r="X1556" s="15"/>
      <c r="Y1556" s="1935"/>
      <c r="Z1556" s="1086"/>
      <c r="AA1556" s="230"/>
      <c r="AB1556" s="230"/>
      <c r="AC1556" s="1936"/>
      <c r="AD1556" s="230"/>
      <c r="AE1556" s="230"/>
      <c r="AF1556" s="230"/>
      <c r="AG1556" s="890"/>
      <c r="AJ1556" s="890"/>
      <c r="AN1556" s="223"/>
      <c r="AO1556" s="952"/>
      <c r="AP1556" s="1066"/>
      <c r="AQ1556" s="972"/>
      <c r="AR1556" s="1917"/>
      <c r="AS1556" s="222"/>
      <c r="AZ1556" s="889"/>
      <c r="BC1556" s="890"/>
      <c r="BD1556" s="952"/>
      <c r="BE1556" s="75"/>
      <c r="BF1556" s="572"/>
      <c r="BG1556" s="983"/>
      <c r="BH1556" s="222"/>
      <c r="BL1556" s="889"/>
      <c r="BO1556" s="223"/>
    </row>
    <row r="1557" spans="1:67" s="74" customFormat="1">
      <c r="A1557" s="15"/>
      <c r="B1557" s="15"/>
      <c r="C1557" s="15"/>
      <c r="D1557" s="15"/>
      <c r="E1557" s="6"/>
      <c r="F1557" s="6"/>
      <c r="G1557" s="6"/>
      <c r="K1557" s="223"/>
      <c r="M1557" s="889"/>
      <c r="P1557" s="890"/>
      <c r="T1557" s="889"/>
      <c r="X1557" s="15"/>
      <c r="Y1557" s="1935"/>
      <c r="Z1557" s="1086"/>
      <c r="AA1557" s="230"/>
      <c r="AB1557" s="230"/>
      <c r="AC1557" s="1936"/>
      <c r="AD1557" s="230"/>
      <c r="AE1557" s="230"/>
      <c r="AF1557" s="230"/>
      <c r="AG1557" s="890"/>
      <c r="AJ1557" s="890"/>
      <c r="AN1557" s="223"/>
      <c r="AO1557" s="952"/>
      <c r="AP1557" s="1066"/>
      <c r="AQ1557" s="972"/>
      <c r="AR1557" s="1917"/>
      <c r="AS1557" s="222"/>
      <c r="AZ1557" s="889"/>
      <c r="BC1557" s="890"/>
      <c r="BD1557" s="952"/>
      <c r="BE1557" s="75"/>
      <c r="BF1557" s="572"/>
      <c r="BG1557" s="983"/>
      <c r="BH1557" s="222"/>
      <c r="BL1557" s="889"/>
      <c r="BO1557" s="223"/>
    </row>
    <row r="1558" spans="1:67" s="74" customFormat="1">
      <c r="A1558" s="15"/>
      <c r="B1558" s="15"/>
      <c r="C1558" s="15"/>
      <c r="D1558" s="15"/>
      <c r="E1558" s="6"/>
      <c r="F1558" s="6"/>
      <c r="G1558" s="6"/>
      <c r="K1558" s="223"/>
      <c r="M1558" s="889"/>
      <c r="P1558" s="890"/>
      <c r="T1558" s="889"/>
      <c r="X1558" s="15"/>
      <c r="Y1558" s="1935"/>
      <c r="Z1558" s="1086"/>
      <c r="AA1558" s="230"/>
      <c r="AB1558" s="230"/>
      <c r="AC1558" s="1936"/>
      <c r="AD1558" s="230"/>
      <c r="AE1558" s="230"/>
      <c r="AF1558" s="230"/>
      <c r="AG1558" s="890"/>
      <c r="AJ1558" s="890"/>
      <c r="AN1558" s="223"/>
      <c r="AO1558" s="952"/>
      <c r="AP1558" s="1066"/>
      <c r="AQ1558" s="972"/>
      <c r="AR1558" s="1917"/>
      <c r="AS1558" s="222"/>
      <c r="AZ1558" s="889"/>
      <c r="BC1558" s="890"/>
      <c r="BD1558" s="952"/>
      <c r="BE1558" s="75"/>
      <c r="BF1558" s="572"/>
      <c r="BG1558" s="983"/>
      <c r="BH1558" s="222"/>
      <c r="BL1558" s="889"/>
      <c r="BO1558" s="223"/>
    </row>
    <row r="1559" spans="1:67" s="74" customFormat="1">
      <c r="A1559" s="15"/>
      <c r="B1559" s="15"/>
      <c r="C1559" s="15"/>
      <c r="D1559" s="15"/>
      <c r="E1559" s="6"/>
      <c r="F1559" s="6"/>
      <c r="G1559" s="6"/>
      <c r="K1559" s="223"/>
      <c r="M1559" s="889"/>
      <c r="P1559" s="890"/>
      <c r="T1559" s="889"/>
      <c r="X1559" s="15"/>
      <c r="Y1559" s="1935"/>
      <c r="Z1559" s="1086"/>
      <c r="AA1559" s="230"/>
      <c r="AB1559" s="230"/>
      <c r="AC1559" s="1936"/>
      <c r="AD1559" s="230"/>
      <c r="AE1559" s="230"/>
      <c r="AF1559" s="230"/>
      <c r="AG1559" s="890"/>
      <c r="AJ1559" s="890"/>
      <c r="AN1559" s="223"/>
      <c r="AO1559" s="952"/>
      <c r="AP1559" s="1066"/>
      <c r="AQ1559" s="972"/>
      <c r="AR1559" s="1917"/>
      <c r="AS1559" s="222"/>
      <c r="AZ1559" s="889"/>
      <c r="BC1559" s="890"/>
      <c r="BD1559" s="952"/>
      <c r="BE1559" s="75"/>
      <c r="BF1559" s="572"/>
      <c r="BG1559" s="983"/>
      <c r="BH1559" s="222"/>
      <c r="BL1559" s="889"/>
      <c r="BO1559" s="223"/>
    </row>
    <row r="1560" spans="1:67" s="74" customFormat="1">
      <c r="A1560" s="15"/>
      <c r="B1560" s="15"/>
      <c r="C1560" s="15"/>
      <c r="D1560" s="15"/>
      <c r="E1560" s="6"/>
      <c r="F1560" s="6"/>
      <c r="G1560" s="6"/>
      <c r="K1560" s="223"/>
      <c r="M1560" s="889"/>
      <c r="P1560" s="890"/>
      <c r="T1560" s="889"/>
      <c r="X1560" s="15"/>
      <c r="Y1560" s="1935"/>
      <c r="Z1560" s="1086"/>
      <c r="AA1560" s="230"/>
      <c r="AB1560" s="230"/>
      <c r="AC1560" s="1936"/>
      <c r="AD1560" s="230"/>
      <c r="AE1560" s="230"/>
      <c r="AF1560" s="230"/>
      <c r="AG1560" s="890"/>
      <c r="AJ1560" s="890"/>
      <c r="AN1560" s="223"/>
      <c r="AO1560" s="952"/>
      <c r="AP1560" s="1066"/>
      <c r="AQ1560" s="972"/>
      <c r="AR1560" s="1917"/>
      <c r="AS1560" s="222"/>
      <c r="AZ1560" s="889"/>
      <c r="BC1560" s="890"/>
      <c r="BD1560" s="952"/>
      <c r="BE1560" s="75"/>
      <c r="BF1560" s="572"/>
      <c r="BG1560" s="983"/>
      <c r="BH1560" s="222"/>
      <c r="BL1560" s="889"/>
      <c r="BO1560" s="223"/>
    </row>
    <row r="1561" spans="1:67" s="74" customFormat="1">
      <c r="A1561" s="15"/>
      <c r="B1561" s="15"/>
      <c r="C1561" s="15"/>
      <c r="D1561" s="15"/>
      <c r="E1561" s="6"/>
      <c r="F1561" s="6"/>
      <c r="G1561" s="6"/>
      <c r="K1561" s="223"/>
      <c r="M1561" s="889"/>
      <c r="P1561" s="890"/>
      <c r="T1561" s="889"/>
      <c r="X1561" s="15"/>
      <c r="Y1561" s="1935"/>
      <c r="Z1561" s="1086"/>
      <c r="AA1561" s="230"/>
      <c r="AB1561" s="230"/>
      <c r="AC1561" s="1936"/>
      <c r="AD1561" s="230"/>
      <c r="AE1561" s="230"/>
      <c r="AF1561" s="230"/>
      <c r="AG1561" s="890"/>
      <c r="AJ1561" s="890"/>
      <c r="AN1561" s="223"/>
      <c r="AO1561" s="952"/>
      <c r="AP1561" s="1066"/>
      <c r="AQ1561" s="972"/>
      <c r="AR1561" s="1917"/>
      <c r="AS1561" s="222"/>
      <c r="AZ1561" s="889"/>
      <c r="BC1561" s="890"/>
      <c r="BD1561" s="952"/>
      <c r="BE1561" s="75"/>
      <c r="BF1561" s="572"/>
      <c r="BG1561" s="983"/>
      <c r="BH1561" s="222"/>
      <c r="BL1561" s="889"/>
      <c r="BO1561" s="223"/>
    </row>
    <row r="1562" spans="1:67" s="74" customFormat="1">
      <c r="A1562" s="15"/>
      <c r="B1562" s="15"/>
      <c r="C1562" s="15"/>
      <c r="D1562" s="15"/>
      <c r="E1562" s="6"/>
      <c r="F1562" s="6"/>
      <c r="G1562" s="6"/>
      <c r="K1562" s="223"/>
      <c r="M1562" s="889"/>
      <c r="P1562" s="890"/>
      <c r="T1562" s="889"/>
      <c r="X1562" s="15"/>
      <c r="Y1562" s="1935"/>
      <c r="Z1562" s="1086"/>
      <c r="AA1562" s="230"/>
      <c r="AB1562" s="230"/>
      <c r="AC1562" s="1936"/>
      <c r="AD1562" s="230"/>
      <c r="AE1562" s="230"/>
      <c r="AF1562" s="230"/>
      <c r="AG1562" s="890"/>
      <c r="AJ1562" s="890"/>
      <c r="AN1562" s="223"/>
      <c r="AO1562" s="952"/>
      <c r="AP1562" s="1066"/>
      <c r="AQ1562" s="972"/>
      <c r="AR1562" s="1917"/>
      <c r="AS1562" s="222"/>
      <c r="AZ1562" s="889"/>
      <c r="BC1562" s="890"/>
      <c r="BD1562" s="952"/>
      <c r="BE1562" s="75"/>
      <c r="BF1562" s="572"/>
      <c r="BG1562" s="983"/>
      <c r="BH1562" s="222"/>
      <c r="BL1562" s="889"/>
      <c r="BO1562" s="223"/>
    </row>
    <row r="1563" spans="1:67" s="74" customFormat="1">
      <c r="A1563" s="15"/>
      <c r="B1563" s="15"/>
      <c r="C1563" s="15"/>
      <c r="D1563" s="15"/>
      <c r="E1563" s="6"/>
      <c r="F1563" s="6"/>
      <c r="G1563" s="6"/>
      <c r="K1563" s="223"/>
      <c r="M1563" s="889"/>
      <c r="P1563" s="890"/>
      <c r="T1563" s="889"/>
      <c r="X1563" s="15"/>
      <c r="Y1563" s="1935"/>
      <c r="Z1563" s="1086"/>
      <c r="AA1563" s="230"/>
      <c r="AB1563" s="230"/>
      <c r="AC1563" s="1936"/>
      <c r="AD1563" s="230"/>
      <c r="AE1563" s="230"/>
      <c r="AF1563" s="230"/>
      <c r="AG1563" s="890"/>
      <c r="AJ1563" s="890"/>
      <c r="AN1563" s="223"/>
      <c r="AO1563" s="952"/>
      <c r="AP1563" s="1066"/>
      <c r="AQ1563" s="972"/>
      <c r="AR1563" s="1917"/>
      <c r="AS1563" s="222"/>
      <c r="AZ1563" s="889"/>
      <c r="BC1563" s="890"/>
      <c r="BD1563" s="952"/>
      <c r="BE1563" s="75"/>
      <c r="BF1563" s="572"/>
      <c r="BG1563" s="983"/>
      <c r="BH1563" s="222"/>
      <c r="BL1563" s="889"/>
      <c r="BO1563" s="223"/>
    </row>
    <row r="1564" spans="1:67" s="74" customFormat="1">
      <c r="A1564" s="15"/>
      <c r="B1564" s="15"/>
      <c r="C1564" s="15"/>
      <c r="D1564" s="15"/>
      <c r="E1564" s="6"/>
      <c r="F1564" s="6"/>
      <c r="G1564" s="6"/>
      <c r="K1564" s="223"/>
      <c r="M1564" s="889"/>
      <c r="P1564" s="890"/>
      <c r="T1564" s="889"/>
      <c r="X1564" s="15"/>
      <c r="Y1564" s="1935"/>
      <c r="Z1564" s="1086"/>
      <c r="AA1564" s="230"/>
      <c r="AB1564" s="230"/>
      <c r="AC1564" s="1936"/>
      <c r="AD1564" s="230"/>
      <c r="AE1564" s="230"/>
      <c r="AF1564" s="230"/>
      <c r="AG1564" s="890"/>
      <c r="AJ1564" s="890"/>
      <c r="AN1564" s="223"/>
      <c r="AO1564" s="952"/>
      <c r="AP1564" s="1066"/>
      <c r="AQ1564" s="972"/>
      <c r="AR1564" s="1917"/>
      <c r="AS1564" s="222"/>
      <c r="AZ1564" s="889"/>
      <c r="BC1564" s="890"/>
      <c r="BD1564" s="952"/>
      <c r="BE1564" s="75"/>
      <c r="BF1564" s="572"/>
      <c r="BG1564" s="983"/>
      <c r="BH1564" s="222"/>
      <c r="BL1564" s="889"/>
      <c r="BO1564" s="223"/>
    </row>
    <row r="1565" spans="1:67" s="74" customFormat="1">
      <c r="A1565" s="15"/>
      <c r="B1565" s="15"/>
      <c r="C1565" s="15"/>
      <c r="D1565" s="15"/>
      <c r="E1565" s="6"/>
      <c r="F1565" s="6"/>
      <c r="G1565" s="6"/>
      <c r="K1565" s="223"/>
      <c r="M1565" s="889"/>
      <c r="P1565" s="890"/>
      <c r="T1565" s="889"/>
      <c r="X1565" s="15"/>
      <c r="Y1565" s="1935"/>
      <c r="Z1565" s="1086"/>
      <c r="AA1565" s="230"/>
      <c r="AB1565" s="230"/>
      <c r="AC1565" s="1936"/>
      <c r="AD1565" s="230"/>
      <c r="AE1565" s="230"/>
      <c r="AF1565" s="230"/>
      <c r="AG1565" s="890"/>
      <c r="AJ1565" s="890"/>
      <c r="AN1565" s="223"/>
      <c r="AO1565" s="952"/>
      <c r="AP1565" s="1066"/>
      <c r="AQ1565" s="972"/>
      <c r="AR1565" s="1917"/>
      <c r="AS1565" s="222"/>
      <c r="AZ1565" s="889"/>
      <c r="BC1565" s="890"/>
      <c r="BD1565" s="952"/>
      <c r="BE1565" s="75"/>
      <c r="BF1565" s="572"/>
      <c r="BG1565" s="983"/>
      <c r="BH1565" s="222"/>
      <c r="BL1565" s="889"/>
      <c r="BO1565" s="223"/>
    </row>
    <row r="1566" spans="1:67" s="74" customFormat="1">
      <c r="A1566" s="15"/>
      <c r="B1566" s="15"/>
      <c r="C1566" s="15"/>
      <c r="D1566" s="15"/>
      <c r="E1566" s="6"/>
      <c r="F1566" s="6"/>
      <c r="G1566" s="6"/>
      <c r="K1566" s="223"/>
      <c r="M1566" s="889"/>
      <c r="P1566" s="890"/>
      <c r="T1566" s="889"/>
      <c r="X1566" s="15"/>
      <c r="Y1566" s="1935"/>
      <c r="Z1566" s="1086"/>
      <c r="AA1566" s="230"/>
      <c r="AB1566" s="230"/>
      <c r="AC1566" s="1936"/>
      <c r="AD1566" s="230"/>
      <c r="AE1566" s="230"/>
      <c r="AF1566" s="230"/>
      <c r="AG1566" s="890"/>
      <c r="AJ1566" s="890"/>
      <c r="AN1566" s="223"/>
      <c r="AO1566" s="952"/>
      <c r="AP1566" s="1066"/>
      <c r="AQ1566" s="972"/>
      <c r="AR1566" s="1917"/>
      <c r="AS1566" s="222"/>
      <c r="AZ1566" s="889"/>
      <c r="BC1566" s="890"/>
      <c r="BD1566" s="952"/>
      <c r="BE1566" s="75"/>
      <c r="BF1566" s="572"/>
      <c r="BG1566" s="983"/>
      <c r="BH1566" s="222"/>
      <c r="BL1566" s="889"/>
      <c r="BO1566" s="223"/>
    </row>
    <row r="1567" spans="1:67" s="74" customFormat="1">
      <c r="A1567" s="15"/>
      <c r="B1567" s="15"/>
      <c r="C1567" s="15"/>
      <c r="D1567" s="15"/>
      <c r="E1567" s="6"/>
      <c r="F1567" s="6"/>
      <c r="G1567" s="6"/>
      <c r="K1567" s="223"/>
      <c r="M1567" s="889"/>
      <c r="P1567" s="890"/>
      <c r="T1567" s="889"/>
      <c r="X1567" s="15"/>
      <c r="Y1567" s="1935"/>
      <c r="Z1567" s="1086"/>
      <c r="AA1567" s="230"/>
      <c r="AB1567" s="230"/>
      <c r="AC1567" s="1936"/>
      <c r="AD1567" s="230"/>
      <c r="AE1567" s="230"/>
      <c r="AF1567" s="230"/>
      <c r="AG1567" s="890"/>
      <c r="AJ1567" s="890"/>
      <c r="AN1567" s="223"/>
      <c r="AO1567" s="952"/>
      <c r="AP1567" s="1066"/>
      <c r="AQ1567" s="972"/>
      <c r="AR1567" s="1917"/>
      <c r="AS1567" s="222"/>
      <c r="AZ1567" s="889"/>
      <c r="BC1567" s="890"/>
      <c r="BD1567" s="952"/>
      <c r="BE1567" s="75"/>
      <c r="BF1567" s="572"/>
      <c r="BG1567" s="983"/>
      <c r="BH1567" s="222"/>
      <c r="BL1567" s="889"/>
      <c r="BO1567" s="223"/>
    </row>
    <row r="1568" spans="1:67" s="74" customFormat="1">
      <c r="A1568" s="15"/>
      <c r="B1568" s="15"/>
      <c r="C1568" s="15"/>
      <c r="D1568" s="15"/>
      <c r="E1568" s="6"/>
      <c r="F1568" s="6"/>
      <c r="G1568" s="6"/>
      <c r="K1568" s="223"/>
      <c r="M1568" s="889"/>
      <c r="P1568" s="890"/>
      <c r="T1568" s="889"/>
      <c r="X1568" s="15"/>
      <c r="Y1568" s="1935"/>
      <c r="Z1568" s="1086"/>
      <c r="AA1568" s="230"/>
      <c r="AB1568" s="230"/>
      <c r="AC1568" s="1936"/>
      <c r="AD1568" s="230"/>
      <c r="AE1568" s="230"/>
      <c r="AF1568" s="230"/>
      <c r="AG1568" s="890"/>
      <c r="AJ1568" s="890"/>
      <c r="AN1568" s="223"/>
      <c r="AO1568" s="952"/>
      <c r="AP1568" s="1066"/>
      <c r="AQ1568" s="972"/>
      <c r="AR1568" s="1917"/>
      <c r="AS1568" s="222"/>
      <c r="AZ1568" s="889"/>
      <c r="BC1568" s="890"/>
      <c r="BD1568" s="952"/>
      <c r="BE1568" s="75"/>
      <c r="BF1568" s="572"/>
      <c r="BG1568" s="983"/>
      <c r="BH1568" s="222"/>
      <c r="BL1568" s="889"/>
      <c r="BO1568" s="223"/>
    </row>
    <row r="1569" spans="1:67" s="74" customFormat="1">
      <c r="A1569" s="15"/>
      <c r="B1569" s="15"/>
      <c r="C1569" s="15"/>
      <c r="D1569" s="15"/>
      <c r="E1569" s="6"/>
      <c r="F1569" s="6"/>
      <c r="G1569" s="6"/>
      <c r="K1569" s="223"/>
      <c r="M1569" s="889"/>
      <c r="P1569" s="890"/>
      <c r="T1569" s="889"/>
      <c r="X1569" s="15"/>
      <c r="Y1569" s="1935"/>
      <c r="Z1569" s="1086"/>
      <c r="AA1569" s="230"/>
      <c r="AB1569" s="230"/>
      <c r="AC1569" s="1936"/>
      <c r="AD1569" s="230"/>
      <c r="AE1569" s="230"/>
      <c r="AF1569" s="230"/>
      <c r="AG1569" s="890"/>
      <c r="AJ1569" s="890"/>
      <c r="AN1569" s="223"/>
      <c r="AO1569" s="952"/>
      <c r="AP1569" s="1066"/>
      <c r="AQ1569" s="972"/>
      <c r="AR1569" s="1917"/>
      <c r="AS1569" s="222"/>
      <c r="AZ1569" s="889"/>
      <c r="BC1569" s="890"/>
      <c r="BD1569" s="952"/>
      <c r="BE1569" s="75"/>
      <c r="BF1569" s="572"/>
      <c r="BG1569" s="983"/>
      <c r="BH1569" s="222"/>
      <c r="BL1569" s="889"/>
      <c r="BO1569" s="223"/>
    </row>
    <row r="1570" spans="1:67" s="74" customFormat="1">
      <c r="A1570" s="15"/>
      <c r="B1570" s="15"/>
      <c r="C1570" s="15"/>
      <c r="D1570" s="15"/>
      <c r="E1570" s="6"/>
      <c r="F1570" s="6"/>
      <c r="G1570" s="6"/>
      <c r="K1570" s="223"/>
      <c r="M1570" s="889"/>
      <c r="P1570" s="890"/>
      <c r="T1570" s="889"/>
      <c r="X1570" s="15"/>
      <c r="Y1570" s="1935"/>
      <c r="Z1570" s="1086"/>
      <c r="AA1570" s="230"/>
      <c r="AB1570" s="230"/>
      <c r="AC1570" s="1936"/>
      <c r="AD1570" s="230"/>
      <c r="AE1570" s="230"/>
      <c r="AF1570" s="230"/>
      <c r="AG1570" s="890"/>
      <c r="AJ1570" s="890"/>
      <c r="AN1570" s="223"/>
      <c r="AO1570" s="952"/>
      <c r="AP1570" s="1066"/>
      <c r="AQ1570" s="972"/>
      <c r="AR1570" s="1917"/>
      <c r="AS1570" s="222"/>
      <c r="AZ1570" s="889"/>
      <c r="BC1570" s="890"/>
      <c r="BD1570" s="952"/>
      <c r="BE1570" s="75"/>
      <c r="BF1570" s="572"/>
      <c r="BG1570" s="983"/>
      <c r="BH1570" s="222"/>
      <c r="BL1570" s="889"/>
      <c r="BO1570" s="223"/>
    </row>
    <row r="1571" spans="1:67" s="74" customFormat="1">
      <c r="A1571" s="15"/>
      <c r="B1571" s="15"/>
      <c r="C1571" s="15"/>
      <c r="D1571" s="15"/>
      <c r="E1571" s="6"/>
      <c r="F1571" s="6"/>
      <c r="G1571" s="6"/>
      <c r="K1571" s="223"/>
      <c r="M1571" s="889"/>
      <c r="P1571" s="890"/>
      <c r="T1571" s="889"/>
      <c r="X1571" s="15"/>
      <c r="Y1571" s="1935"/>
      <c r="Z1571" s="1086"/>
      <c r="AA1571" s="230"/>
      <c r="AB1571" s="230"/>
      <c r="AC1571" s="1936"/>
      <c r="AD1571" s="230"/>
      <c r="AE1571" s="230"/>
      <c r="AF1571" s="230"/>
      <c r="AG1571" s="890"/>
      <c r="AJ1571" s="890"/>
      <c r="AN1571" s="223"/>
      <c r="AO1571" s="952"/>
      <c r="AP1571" s="1066"/>
      <c r="AQ1571" s="972"/>
      <c r="AR1571" s="1917"/>
      <c r="AS1571" s="222"/>
      <c r="AZ1571" s="889"/>
      <c r="BC1571" s="890"/>
      <c r="BD1571" s="952"/>
      <c r="BE1571" s="75"/>
      <c r="BF1571" s="572"/>
      <c r="BG1571" s="983"/>
      <c r="BH1571" s="222"/>
      <c r="BL1571" s="889"/>
      <c r="BO1571" s="223"/>
    </row>
    <row r="1572" spans="1:67" s="74" customFormat="1">
      <c r="A1572" s="15"/>
      <c r="B1572" s="15"/>
      <c r="C1572" s="15"/>
      <c r="D1572" s="15"/>
      <c r="E1572" s="6"/>
      <c r="F1572" s="6"/>
      <c r="G1572" s="6"/>
      <c r="K1572" s="223"/>
      <c r="M1572" s="889"/>
      <c r="P1572" s="890"/>
      <c r="T1572" s="889"/>
      <c r="X1572" s="15"/>
      <c r="Y1572" s="1935"/>
      <c r="Z1572" s="1086"/>
      <c r="AA1572" s="230"/>
      <c r="AB1572" s="230"/>
      <c r="AC1572" s="1936"/>
      <c r="AD1572" s="230"/>
      <c r="AE1572" s="230"/>
      <c r="AF1572" s="230"/>
      <c r="AG1572" s="890"/>
      <c r="AJ1572" s="890"/>
      <c r="AN1572" s="223"/>
      <c r="AO1572" s="952"/>
      <c r="AP1572" s="1066"/>
      <c r="AQ1572" s="972"/>
      <c r="AR1572" s="1917"/>
      <c r="AS1572" s="222"/>
      <c r="AZ1572" s="889"/>
      <c r="BC1572" s="890"/>
      <c r="BD1572" s="952"/>
      <c r="BE1572" s="75"/>
      <c r="BF1572" s="572"/>
      <c r="BG1572" s="983"/>
      <c r="BH1572" s="222"/>
      <c r="BL1572" s="889"/>
      <c r="BO1572" s="223"/>
    </row>
    <row r="1573" spans="1:67" s="74" customFormat="1">
      <c r="A1573" s="15"/>
      <c r="B1573" s="15"/>
      <c r="C1573" s="15"/>
      <c r="D1573" s="15"/>
      <c r="E1573" s="6"/>
      <c r="F1573" s="6"/>
      <c r="G1573" s="6"/>
      <c r="K1573" s="223"/>
      <c r="M1573" s="889"/>
      <c r="P1573" s="890"/>
      <c r="T1573" s="889"/>
      <c r="X1573" s="15"/>
      <c r="Y1573" s="1935"/>
      <c r="Z1573" s="1086"/>
      <c r="AA1573" s="230"/>
      <c r="AB1573" s="230"/>
      <c r="AC1573" s="1936"/>
      <c r="AD1573" s="230"/>
      <c r="AE1573" s="230"/>
      <c r="AF1573" s="230"/>
      <c r="AG1573" s="890"/>
      <c r="AJ1573" s="890"/>
      <c r="AN1573" s="223"/>
      <c r="AO1573" s="952"/>
      <c r="AP1573" s="1066"/>
      <c r="AQ1573" s="972"/>
      <c r="AR1573" s="1917"/>
      <c r="AS1573" s="222"/>
      <c r="AZ1573" s="889"/>
      <c r="BC1573" s="890"/>
      <c r="BD1573" s="952"/>
      <c r="BE1573" s="75"/>
      <c r="BF1573" s="572"/>
      <c r="BG1573" s="983"/>
      <c r="BH1573" s="222"/>
      <c r="BL1573" s="889"/>
      <c r="BO1573" s="223"/>
    </row>
    <row r="1574" spans="1:67" s="74" customFormat="1">
      <c r="A1574" s="15"/>
      <c r="B1574" s="15"/>
      <c r="C1574" s="15"/>
      <c r="D1574" s="15"/>
      <c r="E1574" s="6"/>
      <c r="F1574" s="6"/>
      <c r="G1574" s="6"/>
      <c r="K1574" s="223"/>
      <c r="M1574" s="889"/>
      <c r="P1574" s="890"/>
      <c r="T1574" s="889"/>
      <c r="X1574" s="15"/>
      <c r="Y1574" s="1935"/>
      <c r="Z1574" s="1086"/>
      <c r="AA1574" s="230"/>
      <c r="AB1574" s="230"/>
      <c r="AC1574" s="1936"/>
      <c r="AD1574" s="230"/>
      <c r="AE1574" s="230"/>
      <c r="AF1574" s="230"/>
      <c r="AG1574" s="890"/>
      <c r="AJ1574" s="890"/>
      <c r="AN1574" s="223"/>
      <c r="AO1574" s="952"/>
      <c r="AP1574" s="1066"/>
      <c r="AQ1574" s="972"/>
      <c r="AR1574" s="1917"/>
      <c r="AS1574" s="222"/>
      <c r="AZ1574" s="889"/>
      <c r="BC1574" s="890"/>
      <c r="BD1574" s="952"/>
      <c r="BE1574" s="75"/>
      <c r="BF1574" s="572"/>
      <c r="BG1574" s="983"/>
      <c r="BH1574" s="222"/>
      <c r="BL1574" s="889"/>
      <c r="BO1574" s="223"/>
    </row>
    <row r="1575" spans="1:67" s="74" customFormat="1">
      <c r="A1575" s="15"/>
      <c r="B1575" s="15"/>
      <c r="C1575" s="15"/>
      <c r="D1575" s="15"/>
      <c r="E1575" s="6"/>
      <c r="F1575" s="6"/>
      <c r="G1575" s="6"/>
      <c r="K1575" s="223"/>
      <c r="M1575" s="889"/>
      <c r="P1575" s="890"/>
      <c r="T1575" s="889"/>
      <c r="X1575" s="15"/>
      <c r="Y1575" s="1935"/>
      <c r="Z1575" s="1086"/>
      <c r="AA1575" s="230"/>
      <c r="AB1575" s="230"/>
      <c r="AC1575" s="1936"/>
      <c r="AD1575" s="230"/>
      <c r="AE1575" s="230"/>
      <c r="AF1575" s="230"/>
      <c r="AG1575" s="890"/>
      <c r="AJ1575" s="890"/>
      <c r="AN1575" s="223"/>
      <c r="AO1575" s="952"/>
      <c r="AP1575" s="1066"/>
      <c r="AQ1575" s="972"/>
      <c r="AR1575" s="1917"/>
      <c r="AS1575" s="222"/>
      <c r="AZ1575" s="889"/>
      <c r="BC1575" s="890"/>
      <c r="BD1575" s="952"/>
      <c r="BE1575" s="75"/>
      <c r="BF1575" s="572"/>
      <c r="BG1575" s="983"/>
      <c r="BH1575" s="222"/>
      <c r="BL1575" s="889"/>
      <c r="BO1575" s="223"/>
    </row>
    <row r="1576" spans="1:67" s="74" customFormat="1">
      <c r="A1576" s="15"/>
      <c r="B1576" s="15"/>
      <c r="C1576" s="15"/>
      <c r="D1576" s="15"/>
      <c r="E1576" s="6"/>
      <c r="F1576" s="6"/>
      <c r="G1576" s="6"/>
      <c r="K1576" s="223"/>
      <c r="M1576" s="889"/>
      <c r="P1576" s="890"/>
      <c r="T1576" s="889"/>
      <c r="X1576" s="15"/>
      <c r="Y1576" s="1935"/>
      <c r="Z1576" s="1086"/>
      <c r="AA1576" s="230"/>
      <c r="AB1576" s="230"/>
      <c r="AC1576" s="1936"/>
      <c r="AD1576" s="230"/>
      <c r="AE1576" s="230"/>
      <c r="AF1576" s="230"/>
      <c r="AG1576" s="890"/>
      <c r="AJ1576" s="890"/>
      <c r="AN1576" s="223"/>
      <c r="AO1576" s="952"/>
      <c r="AP1576" s="1066"/>
      <c r="AQ1576" s="972"/>
      <c r="AR1576" s="1917"/>
      <c r="AS1576" s="222"/>
      <c r="AZ1576" s="889"/>
      <c r="BC1576" s="890"/>
      <c r="BD1576" s="952"/>
      <c r="BE1576" s="75"/>
      <c r="BF1576" s="572"/>
      <c r="BG1576" s="983"/>
      <c r="BH1576" s="222"/>
      <c r="BL1576" s="889"/>
      <c r="BO1576" s="223"/>
    </row>
    <row r="1577" spans="1:67" s="74" customFormat="1">
      <c r="A1577" s="15"/>
      <c r="B1577" s="15"/>
      <c r="C1577" s="15"/>
      <c r="D1577" s="15"/>
      <c r="E1577" s="6"/>
      <c r="F1577" s="6"/>
      <c r="G1577" s="6"/>
      <c r="K1577" s="223"/>
      <c r="M1577" s="889"/>
      <c r="P1577" s="890"/>
      <c r="T1577" s="889"/>
      <c r="X1577" s="15"/>
      <c r="Y1577" s="1935"/>
      <c r="Z1577" s="1086"/>
      <c r="AA1577" s="230"/>
      <c r="AB1577" s="230"/>
      <c r="AC1577" s="1936"/>
      <c r="AD1577" s="230"/>
      <c r="AE1577" s="230"/>
      <c r="AF1577" s="230"/>
      <c r="AG1577" s="890"/>
      <c r="AJ1577" s="890"/>
      <c r="AN1577" s="223"/>
      <c r="AO1577" s="952"/>
      <c r="AP1577" s="1066"/>
      <c r="AQ1577" s="972"/>
      <c r="AR1577" s="1917"/>
      <c r="AS1577" s="222"/>
      <c r="AZ1577" s="889"/>
      <c r="BC1577" s="890"/>
      <c r="BD1577" s="952"/>
      <c r="BE1577" s="75"/>
      <c r="BF1577" s="572"/>
      <c r="BG1577" s="983"/>
      <c r="BH1577" s="222"/>
      <c r="BL1577" s="889"/>
      <c r="BO1577" s="223"/>
    </row>
    <row r="1578" spans="1:67" s="74" customFormat="1">
      <c r="A1578" s="15"/>
      <c r="B1578" s="15"/>
      <c r="C1578" s="15"/>
      <c r="D1578" s="15"/>
      <c r="E1578" s="6"/>
      <c r="F1578" s="6"/>
      <c r="G1578" s="6"/>
      <c r="K1578" s="223"/>
      <c r="M1578" s="889"/>
      <c r="P1578" s="890"/>
      <c r="T1578" s="889"/>
      <c r="X1578" s="15"/>
      <c r="Y1578" s="1935"/>
      <c r="Z1578" s="1086"/>
      <c r="AA1578" s="230"/>
      <c r="AB1578" s="230"/>
      <c r="AC1578" s="1936"/>
      <c r="AD1578" s="230"/>
      <c r="AE1578" s="230"/>
      <c r="AF1578" s="230"/>
      <c r="AG1578" s="890"/>
      <c r="AJ1578" s="890"/>
      <c r="AN1578" s="223"/>
      <c r="AO1578" s="952"/>
      <c r="AP1578" s="1066"/>
      <c r="AQ1578" s="972"/>
      <c r="AR1578" s="1917"/>
      <c r="AS1578" s="222"/>
      <c r="AZ1578" s="889"/>
      <c r="BC1578" s="890"/>
      <c r="BD1578" s="952"/>
      <c r="BE1578" s="75"/>
      <c r="BF1578" s="572"/>
      <c r="BG1578" s="983"/>
      <c r="BH1578" s="222"/>
      <c r="BL1578" s="889"/>
      <c r="BO1578" s="223"/>
    </row>
    <row r="1579" spans="1:67" s="74" customFormat="1">
      <c r="A1579" s="15"/>
      <c r="B1579" s="15"/>
      <c r="C1579" s="15"/>
      <c r="D1579" s="15"/>
      <c r="E1579" s="6"/>
      <c r="F1579" s="6"/>
      <c r="G1579" s="6"/>
      <c r="K1579" s="223"/>
      <c r="M1579" s="889"/>
      <c r="P1579" s="890"/>
      <c r="T1579" s="889"/>
      <c r="X1579" s="15"/>
      <c r="Y1579" s="1935"/>
      <c r="Z1579" s="1086"/>
      <c r="AA1579" s="230"/>
      <c r="AB1579" s="230"/>
      <c r="AC1579" s="1936"/>
      <c r="AD1579" s="230"/>
      <c r="AE1579" s="230"/>
      <c r="AF1579" s="230"/>
      <c r="AG1579" s="890"/>
      <c r="AJ1579" s="890"/>
      <c r="AN1579" s="223"/>
      <c r="AO1579" s="952"/>
      <c r="AP1579" s="1066"/>
      <c r="AQ1579" s="972"/>
      <c r="AR1579" s="1917"/>
      <c r="AS1579" s="222"/>
      <c r="AZ1579" s="889"/>
      <c r="BC1579" s="890"/>
      <c r="BD1579" s="952"/>
      <c r="BE1579" s="75"/>
      <c r="BF1579" s="572"/>
      <c r="BG1579" s="983"/>
      <c r="BH1579" s="222"/>
      <c r="BL1579" s="889"/>
      <c r="BO1579" s="223"/>
    </row>
    <row r="1580" spans="1:67" s="74" customFormat="1">
      <c r="A1580" s="15"/>
      <c r="B1580" s="15"/>
      <c r="C1580" s="15"/>
      <c r="D1580" s="15"/>
      <c r="E1580" s="6"/>
      <c r="F1580" s="6"/>
      <c r="G1580" s="6"/>
      <c r="K1580" s="223"/>
      <c r="M1580" s="889"/>
      <c r="P1580" s="890"/>
      <c r="T1580" s="889"/>
      <c r="X1580" s="15"/>
      <c r="Y1580" s="1935"/>
      <c r="Z1580" s="1086"/>
      <c r="AA1580" s="230"/>
      <c r="AB1580" s="230"/>
      <c r="AC1580" s="1936"/>
      <c r="AD1580" s="230"/>
      <c r="AE1580" s="230"/>
      <c r="AF1580" s="230"/>
      <c r="AG1580" s="890"/>
      <c r="AJ1580" s="890"/>
      <c r="AN1580" s="223"/>
      <c r="AO1580" s="952"/>
      <c r="AP1580" s="1066"/>
      <c r="AQ1580" s="972"/>
      <c r="AR1580" s="1917"/>
      <c r="AS1580" s="222"/>
      <c r="AZ1580" s="889"/>
      <c r="BC1580" s="890"/>
      <c r="BD1580" s="952"/>
      <c r="BE1580" s="75"/>
      <c r="BF1580" s="572"/>
      <c r="BG1580" s="983"/>
      <c r="BH1580" s="222"/>
      <c r="BL1580" s="889"/>
      <c r="BO1580" s="223"/>
    </row>
    <row r="1581" spans="1:67" s="74" customFormat="1">
      <c r="A1581" s="15"/>
      <c r="B1581" s="15"/>
      <c r="C1581" s="15"/>
      <c r="D1581" s="15"/>
      <c r="E1581" s="6"/>
      <c r="F1581" s="6"/>
      <c r="G1581" s="6"/>
      <c r="K1581" s="223"/>
      <c r="M1581" s="889"/>
      <c r="P1581" s="890"/>
      <c r="T1581" s="889"/>
      <c r="X1581" s="15"/>
      <c r="Y1581" s="1935"/>
      <c r="Z1581" s="1086"/>
      <c r="AA1581" s="230"/>
      <c r="AB1581" s="230"/>
      <c r="AC1581" s="1936"/>
      <c r="AD1581" s="230"/>
      <c r="AE1581" s="230"/>
      <c r="AF1581" s="230"/>
      <c r="AG1581" s="890"/>
      <c r="AJ1581" s="890"/>
      <c r="AN1581" s="223"/>
      <c r="AO1581" s="952"/>
      <c r="AP1581" s="1066"/>
      <c r="AQ1581" s="972"/>
      <c r="AR1581" s="1917"/>
      <c r="AS1581" s="222"/>
      <c r="AZ1581" s="889"/>
      <c r="BC1581" s="890"/>
      <c r="BD1581" s="952"/>
      <c r="BE1581" s="75"/>
      <c r="BF1581" s="572"/>
      <c r="BG1581" s="983"/>
      <c r="BH1581" s="222"/>
      <c r="BL1581" s="889"/>
      <c r="BO1581" s="223"/>
    </row>
    <row r="1582" spans="1:67" s="74" customFormat="1">
      <c r="A1582" s="15"/>
      <c r="B1582" s="15"/>
      <c r="C1582" s="15"/>
      <c r="D1582" s="15"/>
      <c r="E1582" s="6"/>
      <c r="F1582" s="6"/>
      <c r="G1582" s="6"/>
      <c r="K1582" s="223"/>
      <c r="M1582" s="889"/>
      <c r="P1582" s="890"/>
      <c r="T1582" s="889"/>
      <c r="X1582" s="15"/>
      <c r="Y1582" s="1935"/>
      <c r="Z1582" s="1086"/>
      <c r="AA1582" s="230"/>
      <c r="AB1582" s="230"/>
      <c r="AC1582" s="1936"/>
      <c r="AD1582" s="230"/>
      <c r="AE1582" s="230"/>
      <c r="AF1582" s="230"/>
      <c r="AG1582" s="890"/>
      <c r="AJ1582" s="890"/>
      <c r="AN1582" s="223"/>
      <c r="AO1582" s="952"/>
      <c r="AP1582" s="1066"/>
      <c r="AQ1582" s="972"/>
      <c r="AR1582" s="1917"/>
      <c r="AS1582" s="222"/>
      <c r="AZ1582" s="889"/>
      <c r="BC1582" s="890"/>
      <c r="BD1582" s="952"/>
      <c r="BE1582" s="75"/>
      <c r="BF1582" s="572"/>
      <c r="BG1582" s="983"/>
      <c r="BH1582" s="222"/>
      <c r="BL1582" s="889"/>
      <c r="BO1582" s="223"/>
    </row>
    <row r="1583" spans="1:67" s="74" customFormat="1">
      <c r="A1583" s="15"/>
      <c r="B1583" s="15"/>
      <c r="C1583" s="15"/>
      <c r="D1583" s="15"/>
      <c r="E1583" s="6"/>
      <c r="F1583" s="6"/>
      <c r="G1583" s="6"/>
      <c r="K1583" s="223"/>
      <c r="M1583" s="889"/>
      <c r="P1583" s="890"/>
      <c r="T1583" s="889"/>
      <c r="X1583" s="15"/>
      <c r="Y1583" s="1935"/>
      <c r="Z1583" s="1086"/>
      <c r="AA1583" s="230"/>
      <c r="AB1583" s="230"/>
      <c r="AC1583" s="1936"/>
      <c r="AD1583" s="230"/>
      <c r="AE1583" s="230"/>
      <c r="AF1583" s="230"/>
      <c r="AG1583" s="890"/>
      <c r="AJ1583" s="890"/>
      <c r="AN1583" s="223"/>
      <c r="AO1583" s="952"/>
      <c r="AP1583" s="1066"/>
      <c r="AQ1583" s="972"/>
      <c r="AR1583" s="1917"/>
      <c r="AS1583" s="222"/>
      <c r="AZ1583" s="889"/>
      <c r="BC1583" s="890"/>
      <c r="BD1583" s="952"/>
      <c r="BE1583" s="75"/>
      <c r="BF1583" s="572"/>
      <c r="BG1583" s="983"/>
      <c r="BH1583" s="222"/>
      <c r="BL1583" s="889"/>
      <c r="BO1583" s="223"/>
    </row>
    <row r="1584" spans="1:67" s="74" customFormat="1">
      <c r="A1584" s="15"/>
      <c r="B1584" s="15"/>
      <c r="C1584" s="15"/>
      <c r="D1584" s="15"/>
      <c r="E1584" s="6"/>
      <c r="F1584" s="6"/>
      <c r="G1584" s="6"/>
      <c r="K1584" s="223"/>
      <c r="M1584" s="889"/>
      <c r="P1584" s="890"/>
      <c r="T1584" s="889"/>
      <c r="X1584" s="15"/>
      <c r="Y1584" s="1935"/>
      <c r="Z1584" s="1086"/>
      <c r="AA1584" s="230"/>
      <c r="AB1584" s="230"/>
      <c r="AC1584" s="1936"/>
      <c r="AD1584" s="230"/>
      <c r="AE1584" s="230"/>
      <c r="AF1584" s="230"/>
      <c r="AG1584" s="890"/>
      <c r="AJ1584" s="890"/>
      <c r="AN1584" s="223"/>
      <c r="AO1584" s="952"/>
      <c r="AP1584" s="1066"/>
      <c r="AQ1584" s="972"/>
      <c r="AR1584" s="1917"/>
      <c r="AS1584" s="222"/>
      <c r="AZ1584" s="889"/>
      <c r="BC1584" s="890"/>
      <c r="BD1584" s="952"/>
      <c r="BE1584" s="75"/>
      <c r="BF1584" s="572"/>
      <c r="BG1584" s="983"/>
      <c r="BH1584" s="222"/>
      <c r="BL1584" s="889"/>
      <c r="BO1584" s="223"/>
    </row>
    <row r="1585" spans="1:67" s="74" customFormat="1">
      <c r="A1585" s="15"/>
      <c r="B1585" s="15"/>
      <c r="C1585" s="15"/>
      <c r="D1585" s="15"/>
      <c r="E1585" s="6"/>
      <c r="F1585" s="6"/>
      <c r="G1585" s="6"/>
      <c r="K1585" s="223"/>
      <c r="M1585" s="889"/>
      <c r="P1585" s="890"/>
      <c r="T1585" s="889"/>
      <c r="X1585" s="15"/>
      <c r="Y1585" s="1935"/>
      <c r="Z1585" s="1086"/>
      <c r="AA1585" s="230"/>
      <c r="AB1585" s="230"/>
      <c r="AC1585" s="1936"/>
      <c r="AD1585" s="230"/>
      <c r="AE1585" s="230"/>
      <c r="AF1585" s="230"/>
      <c r="AG1585" s="890"/>
      <c r="AJ1585" s="890"/>
      <c r="AN1585" s="223"/>
      <c r="AO1585" s="952"/>
      <c r="AP1585" s="1066"/>
      <c r="AQ1585" s="972"/>
      <c r="AR1585" s="1917"/>
      <c r="AS1585" s="222"/>
      <c r="AZ1585" s="889"/>
      <c r="BC1585" s="890"/>
      <c r="BD1585" s="952"/>
      <c r="BE1585" s="75"/>
      <c r="BF1585" s="572"/>
      <c r="BG1585" s="983"/>
      <c r="BH1585" s="222"/>
      <c r="BL1585" s="889"/>
      <c r="BO1585" s="223"/>
    </row>
    <row r="1586" spans="1:67" s="74" customFormat="1">
      <c r="A1586" s="15"/>
      <c r="B1586" s="15"/>
      <c r="C1586" s="15"/>
      <c r="D1586" s="15"/>
      <c r="E1586" s="6"/>
      <c r="F1586" s="6"/>
      <c r="G1586" s="6"/>
      <c r="K1586" s="223"/>
      <c r="M1586" s="889"/>
      <c r="P1586" s="890"/>
      <c r="T1586" s="889"/>
      <c r="X1586" s="15"/>
      <c r="Y1586" s="1935"/>
      <c r="Z1586" s="1086"/>
      <c r="AA1586" s="230"/>
      <c r="AB1586" s="230"/>
      <c r="AC1586" s="1936"/>
      <c r="AD1586" s="230"/>
      <c r="AE1586" s="230"/>
      <c r="AF1586" s="230"/>
      <c r="AG1586" s="890"/>
      <c r="AJ1586" s="890"/>
      <c r="AN1586" s="223"/>
      <c r="AO1586" s="952"/>
      <c r="AP1586" s="1066"/>
      <c r="AQ1586" s="972"/>
      <c r="AR1586" s="1917"/>
      <c r="AS1586" s="222"/>
      <c r="AZ1586" s="889"/>
      <c r="BC1586" s="890"/>
      <c r="BD1586" s="952"/>
      <c r="BE1586" s="75"/>
      <c r="BF1586" s="572"/>
      <c r="BG1586" s="983"/>
      <c r="BH1586" s="222"/>
      <c r="BL1586" s="889"/>
      <c r="BO1586" s="223"/>
    </row>
    <row r="1587" spans="1:67" s="74" customFormat="1">
      <c r="A1587" s="15"/>
      <c r="B1587" s="15"/>
      <c r="C1587" s="15"/>
      <c r="D1587" s="15"/>
      <c r="E1587" s="6"/>
      <c r="F1587" s="6"/>
      <c r="G1587" s="6"/>
      <c r="K1587" s="223"/>
      <c r="M1587" s="889"/>
      <c r="P1587" s="890"/>
      <c r="T1587" s="889"/>
      <c r="X1587" s="15"/>
      <c r="Y1587" s="1935"/>
      <c r="Z1587" s="1086"/>
      <c r="AA1587" s="230"/>
      <c r="AB1587" s="230"/>
      <c r="AC1587" s="1936"/>
      <c r="AD1587" s="230"/>
      <c r="AE1587" s="230"/>
      <c r="AF1587" s="230"/>
      <c r="AG1587" s="890"/>
      <c r="AJ1587" s="890"/>
      <c r="AN1587" s="223"/>
      <c r="AO1587" s="952"/>
      <c r="AP1587" s="1066"/>
      <c r="AQ1587" s="972"/>
      <c r="AR1587" s="1917"/>
      <c r="AS1587" s="222"/>
      <c r="AZ1587" s="889"/>
      <c r="BC1587" s="890"/>
      <c r="BD1587" s="952"/>
      <c r="BE1587" s="75"/>
      <c r="BF1587" s="572"/>
      <c r="BG1587" s="983"/>
      <c r="BH1587" s="222"/>
      <c r="BL1587" s="889"/>
      <c r="BO1587" s="223"/>
    </row>
    <row r="1588" spans="1:67" s="74" customFormat="1">
      <c r="A1588" s="15"/>
      <c r="B1588" s="15"/>
      <c r="C1588" s="15"/>
      <c r="D1588" s="15"/>
      <c r="E1588" s="6"/>
      <c r="F1588" s="6"/>
      <c r="G1588" s="6"/>
      <c r="K1588" s="223"/>
      <c r="M1588" s="889"/>
      <c r="P1588" s="890"/>
      <c r="T1588" s="889"/>
      <c r="X1588" s="15"/>
      <c r="Y1588" s="1935"/>
      <c r="Z1588" s="1086"/>
      <c r="AA1588" s="230"/>
      <c r="AB1588" s="230"/>
      <c r="AC1588" s="1936"/>
      <c r="AD1588" s="230"/>
      <c r="AE1588" s="230"/>
      <c r="AF1588" s="230"/>
      <c r="AG1588" s="890"/>
      <c r="AJ1588" s="890"/>
      <c r="AN1588" s="223"/>
      <c r="AO1588" s="952"/>
      <c r="AP1588" s="1066"/>
      <c r="AQ1588" s="972"/>
      <c r="AR1588" s="1917"/>
      <c r="AS1588" s="222"/>
      <c r="AZ1588" s="889"/>
      <c r="BC1588" s="890"/>
      <c r="BD1588" s="952"/>
      <c r="BE1588" s="75"/>
      <c r="BF1588" s="572"/>
      <c r="BG1588" s="983"/>
      <c r="BH1588" s="222"/>
      <c r="BL1588" s="889"/>
      <c r="BO1588" s="223"/>
    </row>
    <row r="1589" spans="1:67" s="74" customFormat="1">
      <c r="A1589" s="15"/>
      <c r="B1589" s="15"/>
      <c r="C1589" s="15"/>
      <c r="D1589" s="15"/>
      <c r="E1589" s="6"/>
      <c r="F1589" s="6"/>
      <c r="G1589" s="6"/>
      <c r="K1589" s="223"/>
      <c r="M1589" s="889"/>
      <c r="P1589" s="890"/>
      <c r="T1589" s="889"/>
      <c r="X1589" s="15"/>
      <c r="Y1589" s="1935"/>
      <c r="Z1589" s="1086"/>
      <c r="AA1589" s="230"/>
      <c r="AB1589" s="230"/>
      <c r="AC1589" s="1936"/>
      <c r="AD1589" s="230"/>
      <c r="AE1589" s="230"/>
      <c r="AF1589" s="230"/>
      <c r="AG1589" s="890"/>
      <c r="AJ1589" s="890"/>
      <c r="AN1589" s="223"/>
      <c r="AO1589" s="952"/>
      <c r="AP1589" s="1066"/>
      <c r="AQ1589" s="972"/>
      <c r="AR1589" s="1917"/>
      <c r="AS1589" s="222"/>
      <c r="AZ1589" s="889"/>
      <c r="BC1589" s="890"/>
      <c r="BD1589" s="952"/>
      <c r="BE1589" s="75"/>
      <c r="BF1589" s="572"/>
      <c r="BG1589" s="983"/>
      <c r="BH1589" s="222"/>
      <c r="BL1589" s="889"/>
      <c r="BO1589" s="223"/>
    </row>
    <row r="1590" spans="1:67" s="74" customFormat="1">
      <c r="A1590" s="15"/>
      <c r="B1590" s="15"/>
      <c r="C1590" s="15"/>
      <c r="D1590" s="15"/>
      <c r="E1590" s="6"/>
      <c r="F1590" s="6"/>
      <c r="G1590" s="6"/>
      <c r="K1590" s="223"/>
      <c r="M1590" s="889"/>
      <c r="P1590" s="890"/>
      <c r="T1590" s="889"/>
      <c r="X1590" s="15"/>
      <c r="Y1590" s="1935"/>
      <c r="Z1590" s="1086"/>
      <c r="AA1590" s="230"/>
      <c r="AB1590" s="230"/>
      <c r="AC1590" s="1936"/>
      <c r="AD1590" s="230"/>
      <c r="AE1590" s="230"/>
      <c r="AF1590" s="230"/>
      <c r="AG1590" s="890"/>
      <c r="AJ1590" s="890"/>
      <c r="AN1590" s="223"/>
      <c r="AO1590" s="952"/>
      <c r="AP1590" s="1066"/>
      <c r="AQ1590" s="972"/>
      <c r="AR1590" s="1917"/>
      <c r="AS1590" s="222"/>
      <c r="AZ1590" s="889"/>
      <c r="BC1590" s="890"/>
      <c r="BD1590" s="952"/>
      <c r="BE1590" s="75"/>
      <c r="BF1590" s="572"/>
      <c r="BG1590" s="983"/>
      <c r="BH1590" s="222"/>
      <c r="BL1590" s="889"/>
      <c r="BO1590" s="223"/>
    </row>
    <row r="1591" spans="1:67" s="74" customFormat="1">
      <c r="A1591" s="15"/>
      <c r="B1591" s="15"/>
      <c r="C1591" s="15"/>
      <c r="D1591" s="15"/>
      <c r="E1591" s="6"/>
      <c r="F1591" s="6"/>
      <c r="G1591" s="6"/>
      <c r="K1591" s="223"/>
      <c r="M1591" s="889"/>
      <c r="P1591" s="890"/>
      <c r="T1591" s="889"/>
      <c r="X1591" s="15"/>
      <c r="Y1591" s="1935"/>
      <c r="Z1591" s="1086"/>
      <c r="AA1591" s="230"/>
      <c r="AB1591" s="230"/>
      <c r="AC1591" s="1936"/>
      <c r="AD1591" s="230"/>
      <c r="AE1591" s="230"/>
      <c r="AF1591" s="230"/>
      <c r="AG1591" s="890"/>
      <c r="AJ1591" s="890"/>
      <c r="AN1591" s="223"/>
      <c r="AO1591" s="952"/>
      <c r="AP1591" s="1066"/>
      <c r="AQ1591" s="972"/>
      <c r="AR1591" s="1917"/>
      <c r="AS1591" s="222"/>
      <c r="AZ1591" s="889"/>
      <c r="BC1591" s="890"/>
      <c r="BD1591" s="952"/>
      <c r="BE1591" s="75"/>
      <c r="BF1591" s="572"/>
      <c r="BG1591" s="983"/>
      <c r="BH1591" s="222"/>
      <c r="BL1591" s="889"/>
      <c r="BO1591" s="223"/>
    </row>
    <row r="1592" spans="1:67" s="74" customFormat="1">
      <c r="A1592" s="15"/>
      <c r="B1592" s="15"/>
      <c r="C1592" s="15"/>
      <c r="D1592" s="15"/>
      <c r="E1592" s="6"/>
      <c r="F1592" s="6"/>
      <c r="G1592" s="6"/>
      <c r="K1592" s="223"/>
      <c r="M1592" s="889"/>
      <c r="P1592" s="890"/>
      <c r="T1592" s="889"/>
      <c r="X1592" s="15"/>
      <c r="Y1592" s="1935"/>
      <c r="Z1592" s="1086"/>
      <c r="AA1592" s="230"/>
      <c r="AB1592" s="230"/>
      <c r="AC1592" s="1936"/>
      <c r="AD1592" s="230"/>
      <c r="AE1592" s="230"/>
      <c r="AF1592" s="230"/>
      <c r="AG1592" s="890"/>
      <c r="AJ1592" s="890"/>
      <c r="AN1592" s="223"/>
      <c r="AO1592" s="952"/>
      <c r="AP1592" s="1066"/>
      <c r="AQ1592" s="972"/>
      <c r="AR1592" s="1917"/>
      <c r="AS1592" s="222"/>
      <c r="AZ1592" s="889"/>
      <c r="BC1592" s="890"/>
      <c r="BD1592" s="952"/>
      <c r="BE1592" s="75"/>
      <c r="BF1592" s="572"/>
      <c r="BG1592" s="983"/>
      <c r="BH1592" s="222"/>
      <c r="BL1592" s="889"/>
      <c r="BO1592" s="223"/>
    </row>
    <row r="1593" spans="1:67" s="74" customFormat="1">
      <c r="A1593" s="15"/>
      <c r="B1593" s="15"/>
      <c r="C1593" s="15"/>
      <c r="D1593" s="15"/>
      <c r="E1593" s="6"/>
      <c r="F1593" s="6"/>
      <c r="G1593" s="6"/>
      <c r="K1593" s="223"/>
      <c r="M1593" s="889"/>
      <c r="P1593" s="890"/>
      <c r="T1593" s="889"/>
      <c r="X1593" s="15"/>
      <c r="Y1593" s="1935"/>
      <c r="Z1593" s="1086"/>
      <c r="AA1593" s="230"/>
      <c r="AB1593" s="230"/>
      <c r="AC1593" s="1936"/>
      <c r="AD1593" s="230"/>
      <c r="AE1593" s="230"/>
      <c r="AF1593" s="230"/>
      <c r="AG1593" s="890"/>
      <c r="AJ1593" s="890"/>
      <c r="AN1593" s="223"/>
      <c r="AO1593" s="952"/>
      <c r="AP1593" s="1066"/>
      <c r="AQ1593" s="972"/>
      <c r="AR1593" s="1917"/>
      <c r="AS1593" s="222"/>
      <c r="AZ1593" s="889"/>
      <c r="BC1593" s="890"/>
      <c r="BD1593" s="952"/>
      <c r="BE1593" s="75"/>
      <c r="BF1593" s="572"/>
      <c r="BG1593" s="983"/>
      <c r="BH1593" s="222"/>
      <c r="BL1593" s="889"/>
      <c r="BO1593" s="223"/>
    </row>
    <row r="1594" spans="1:67" s="74" customFormat="1">
      <c r="A1594" s="15"/>
      <c r="B1594" s="15"/>
      <c r="C1594" s="15"/>
      <c r="D1594" s="15"/>
      <c r="E1594" s="6"/>
      <c r="F1594" s="6"/>
      <c r="G1594" s="6"/>
      <c r="K1594" s="223"/>
      <c r="M1594" s="889"/>
      <c r="P1594" s="890"/>
      <c r="T1594" s="889"/>
      <c r="X1594" s="15"/>
      <c r="Y1594" s="1935"/>
      <c r="Z1594" s="1086"/>
      <c r="AA1594" s="230"/>
      <c r="AB1594" s="230"/>
      <c r="AC1594" s="1936"/>
      <c r="AD1594" s="230"/>
      <c r="AE1594" s="230"/>
      <c r="AF1594" s="230"/>
      <c r="AG1594" s="890"/>
      <c r="AJ1594" s="890"/>
      <c r="AN1594" s="223"/>
      <c r="AO1594" s="952"/>
      <c r="AP1594" s="1066"/>
      <c r="AQ1594" s="972"/>
      <c r="AR1594" s="1917"/>
      <c r="AS1594" s="222"/>
      <c r="AZ1594" s="889"/>
      <c r="BC1594" s="890"/>
      <c r="BD1594" s="952"/>
      <c r="BE1594" s="75"/>
      <c r="BF1594" s="572"/>
      <c r="BG1594" s="983"/>
      <c r="BH1594" s="222"/>
      <c r="BL1594" s="889"/>
      <c r="BO1594" s="223"/>
    </row>
    <row r="1595" spans="1:67" s="74" customFormat="1">
      <c r="A1595" s="15"/>
      <c r="B1595" s="15"/>
      <c r="C1595" s="15"/>
      <c r="D1595" s="15"/>
      <c r="E1595" s="6"/>
      <c r="F1595" s="6"/>
      <c r="G1595" s="6"/>
      <c r="K1595" s="223"/>
      <c r="M1595" s="889"/>
      <c r="P1595" s="890"/>
      <c r="T1595" s="889"/>
      <c r="X1595" s="15"/>
      <c r="Y1595" s="1935"/>
      <c r="Z1595" s="1086"/>
      <c r="AA1595" s="230"/>
      <c r="AB1595" s="230"/>
      <c r="AC1595" s="1936"/>
      <c r="AD1595" s="230"/>
      <c r="AE1595" s="230"/>
      <c r="AF1595" s="230"/>
      <c r="AG1595" s="890"/>
      <c r="AJ1595" s="890"/>
      <c r="AN1595" s="223"/>
      <c r="AO1595" s="952"/>
      <c r="AP1595" s="1066"/>
      <c r="AQ1595" s="972"/>
      <c r="AR1595" s="1917"/>
      <c r="AS1595" s="222"/>
      <c r="AZ1595" s="889"/>
      <c r="BC1595" s="890"/>
      <c r="BD1595" s="952"/>
      <c r="BE1595" s="75"/>
      <c r="BF1595" s="572"/>
      <c r="BG1595" s="983"/>
      <c r="BH1595" s="222"/>
      <c r="BL1595" s="889"/>
      <c r="BO1595" s="223"/>
    </row>
    <row r="1596" spans="1:67" s="74" customFormat="1">
      <c r="A1596" s="15"/>
      <c r="B1596" s="15"/>
      <c r="C1596" s="15"/>
      <c r="D1596" s="15"/>
      <c r="E1596" s="6"/>
      <c r="F1596" s="6"/>
      <c r="G1596" s="6"/>
      <c r="K1596" s="223"/>
      <c r="M1596" s="889"/>
      <c r="P1596" s="890"/>
      <c r="T1596" s="889"/>
      <c r="X1596" s="15"/>
      <c r="Y1596" s="1935"/>
      <c r="Z1596" s="1086"/>
      <c r="AA1596" s="230"/>
      <c r="AB1596" s="230"/>
      <c r="AC1596" s="1936"/>
      <c r="AD1596" s="230"/>
      <c r="AE1596" s="230"/>
      <c r="AF1596" s="230"/>
      <c r="AG1596" s="890"/>
      <c r="AJ1596" s="890"/>
      <c r="AN1596" s="223"/>
      <c r="AO1596" s="952"/>
      <c r="AP1596" s="1066"/>
      <c r="AQ1596" s="972"/>
      <c r="AR1596" s="1917"/>
      <c r="AS1596" s="222"/>
      <c r="AZ1596" s="889"/>
      <c r="BC1596" s="890"/>
      <c r="BD1596" s="952"/>
      <c r="BE1596" s="75"/>
      <c r="BF1596" s="572"/>
      <c r="BG1596" s="983"/>
      <c r="BH1596" s="222"/>
      <c r="BL1596" s="889"/>
      <c r="BO1596" s="223"/>
    </row>
    <row r="1597" spans="1:67" s="74" customFormat="1">
      <c r="A1597" s="15"/>
      <c r="B1597" s="15"/>
      <c r="C1597" s="15"/>
      <c r="D1597" s="15"/>
      <c r="E1597" s="6"/>
      <c r="F1597" s="6"/>
      <c r="G1597" s="6"/>
      <c r="K1597" s="223"/>
      <c r="M1597" s="889"/>
      <c r="P1597" s="890"/>
      <c r="T1597" s="889"/>
      <c r="X1597" s="15"/>
      <c r="Y1597" s="1935"/>
      <c r="Z1597" s="1086"/>
      <c r="AA1597" s="230"/>
      <c r="AB1597" s="230"/>
      <c r="AC1597" s="1936"/>
      <c r="AD1597" s="230"/>
      <c r="AE1597" s="230"/>
      <c r="AF1597" s="230"/>
      <c r="AG1597" s="890"/>
      <c r="AJ1597" s="890"/>
      <c r="AN1597" s="223"/>
      <c r="AO1597" s="952"/>
      <c r="AP1597" s="1066"/>
      <c r="AQ1597" s="972"/>
      <c r="AR1597" s="1917"/>
      <c r="AS1597" s="222"/>
      <c r="AZ1597" s="889"/>
      <c r="BC1597" s="890"/>
      <c r="BD1597" s="952"/>
      <c r="BE1597" s="75"/>
      <c r="BF1597" s="572"/>
      <c r="BG1597" s="983"/>
      <c r="BH1597" s="222"/>
      <c r="BL1597" s="889"/>
      <c r="BO1597" s="223"/>
    </row>
    <row r="1598" spans="1:67" s="74" customFormat="1">
      <c r="A1598" s="15"/>
      <c r="B1598" s="15"/>
      <c r="C1598" s="15"/>
      <c r="D1598" s="15"/>
      <c r="E1598" s="6"/>
      <c r="F1598" s="6"/>
      <c r="G1598" s="6"/>
      <c r="K1598" s="223"/>
      <c r="M1598" s="889"/>
      <c r="P1598" s="890"/>
      <c r="T1598" s="889"/>
      <c r="X1598" s="15"/>
      <c r="Y1598" s="1935"/>
      <c r="Z1598" s="1086"/>
      <c r="AA1598" s="230"/>
      <c r="AB1598" s="230"/>
      <c r="AC1598" s="1936"/>
      <c r="AD1598" s="230"/>
      <c r="AE1598" s="230"/>
      <c r="AF1598" s="230"/>
      <c r="AG1598" s="890"/>
      <c r="AJ1598" s="890"/>
      <c r="AN1598" s="223"/>
      <c r="AO1598" s="952"/>
      <c r="AP1598" s="1066"/>
      <c r="AQ1598" s="972"/>
      <c r="AR1598" s="1917"/>
      <c r="AS1598" s="222"/>
      <c r="AZ1598" s="889"/>
      <c r="BC1598" s="890"/>
      <c r="BD1598" s="952"/>
      <c r="BE1598" s="75"/>
      <c r="BF1598" s="572"/>
      <c r="BG1598" s="983"/>
      <c r="BH1598" s="222"/>
      <c r="BL1598" s="889"/>
      <c r="BO1598" s="223"/>
    </row>
    <row r="1599" spans="1:67" s="74" customFormat="1">
      <c r="A1599" s="15"/>
      <c r="B1599" s="15"/>
      <c r="C1599" s="15"/>
      <c r="D1599" s="15"/>
      <c r="E1599" s="6"/>
      <c r="F1599" s="6"/>
      <c r="G1599" s="6"/>
      <c r="K1599" s="223"/>
      <c r="M1599" s="889"/>
      <c r="P1599" s="890"/>
      <c r="T1599" s="889"/>
      <c r="X1599" s="15"/>
      <c r="Y1599" s="1935"/>
      <c r="Z1599" s="1086"/>
      <c r="AA1599" s="230"/>
      <c r="AB1599" s="230"/>
      <c r="AC1599" s="1936"/>
      <c r="AD1599" s="230"/>
      <c r="AE1599" s="230"/>
      <c r="AF1599" s="230"/>
      <c r="AG1599" s="890"/>
      <c r="AJ1599" s="890"/>
      <c r="AN1599" s="223"/>
      <c r="AO1599" s="952"/>
      <c r="AP1599" s="1066"/>
      <c r="AQ1599" s="972"/>
      <c r="AR1599" s="1917"/>
      <c r="AS1599" s="222"/>
      <c r="AZ1599" s="889"/>
      <c r="BC1599" s="890"/>
      <c r="BD1599" s="952"/>
      <c r="BE1599" s="75"/>
      <c r="BF1599" s="572"/>
      <c r="BG1599" s="983"/>
      <c r="BH1599" s="222"/>
      <c r="BL1599" s="889"/>
      <c r="BO1599" s="223"/>
    </row>
    <row r="1600" spans="1:67" s="74" customFormat="1">
      <c r="A1600" s="15"/>
      <c r="B1600" s="15"/>
      <c r="C1600" s="15"/>
      <c r="D1600" s="15"/>
      <c r="E1600" s="6"/>
      <c r="F1600" s="6"/>
      <c r="G1600" s="6"/>
      <c r="K1600" s="223"/>
      <c r="M1600" s="889"/>
      <c r="P1600" s="890"/>
      <c r="T1600" s="889"/>
      <c r="X1600" s="15"/>
      <c r="Y1600" s="1935"/>
      <c r="Z1600" s="1086"/>
      <c r="AA1600" s="230"/>
      <c r="AB1600" s="230"/>
      <c r="AC1600" s="1936"/>
      <c r="AD1600" s="230"/>
      <c r="AE1600" s="230"/>
      <c r="AF1600" s="230"/>
      <c r="AG1600" s="890"/>
      <c r="AJ1600" s="890"/>
      <c r="AN1600" s="223"/>
      <c r="AO1600" s="952"/>
      <c r="AP1600" s="1066"/>
      <c r="AQ1600" s="972"/>
      <c r="AR1600" s="1917"/>
      <c r="AS1600" s="222"/>
      <c r="AZ1600" s="889"/>
      <c r="BC1600" s="890"/>
      <c r="BD1600" s="952"/>
      <c r="BE1600" s="75"/>
      <c r="BF1600" s="572"/>
      <c r="BG1600" s="983"/>
      <c r="BH1600" s="222"/>
      <c r="BL1600" s="889"/>
      <c r="BO1600" s="223"/>
    </row>
    <row r="1601" spans="1:67" s="74" customFormat="1">
      <c r="A1601" s="15"/>
      <c r="B1601" s="15"/>
      <c r="C1601" s="15"/>
      <c r="D1601" s="15"/>
      <c r="E1601" s="6"/>
      <c r="F1601" s="6"/>
      <c r="G1601" s="6"/>
      <c r="K1601" s="223"/>
      <c r="M1601" s="889"/>
      <c r="P1601" s="890"/>
      <c r="T1601" s="889"/>
      <c r="X1601" s="15"/>
      <c r="Y1601" s="1935"/>
      <c r="Z1601" s="1086"/>
      <c r="AA1601" s="230"/>
      <c r="AB1601" s="230"/>
      <c r="AC1601" s="1936"/>
      <c r="AD1601" s="230"/>
      <c r="AE1601" s="230"/>
      <c r="AF1601" s="230"/>
      <c r="AG1601" s="890"/>
      <c r="AJ1601" s="890"/>
      <c r="AN1601" s="223"/>
      <c r="AO1601" s="952"/>
      <c r="AP1601" s="1066"/>
      <c r="AQ1601" s="972"/>
      <c r="AR1601" s="1917"/>
      <c r="AS1601" s="222"/>
      <c r="AZ1601" s="889"/>
      <c r="BC1601" s="890"/>
      <c r="BD1601" s="952"/>
      <c r="BE1601" s="75"/>
      <c r="BF1601" s="572"/>
      <c r="BG1601" s="983"/>
      <c r="BH1601" s="222"/>
      <c r="BL1601" s="889"/>
      <c r="BO1601" s="223"/>
    </row>
    <row r="1602" spans="1:67" s="74" customFormat="1">
      <c r="A1602" s="15"/>
      <c r="B1602" s="15"/>
      <c r="C1602" s="15"/>
      <c r="D1602" s="15"/>
      <c r="E1602" s="6"/>
      <c r="F1602" s="6"/>
      <c r="G1602" s="6"/>
      <c r="K1602" s="223"/>
      <c r="M1602" s="889"/>
      <c r="P1602" s="890"/>
      <c r="T1602" s="889"/>
      <c r="X1602" s="15"/>
      <c r="Y1602" s="1935"/>
      <c r="Z1602" s="1086"/>
      <c r="AA1602" s="230"/>
      <c r="AB1602" s="230"/>
      <c r="AC1602" s="1936"/>
      <c r="AD1602" s="230"/>
      <c r="AE1602" s="230"/>
      <c r="AF1602" s="230"/>
      <c r="AG1602" s="890"/>
      <c r="AJ1602" s="890"/>
      <c r="AN1602" s="223"/>
      <c r="AO1602" s="952"/>
      <c r="AP1602" s="1066"/>
      <c r="AQ1602" s="972"/>
      <c r="AR1602" s="1917"/>
      <c r="AS1602" s="222"/>
      <c r="AZ1602" s="889"/>
      <c r="BC1602" s="890"/>
      <c r="BD1602" s="952"/>
      <c r="BE1602" s="75"/>
      <c r="BF1602" s="572"/>
      <c r="BG1602" s="983"/>
      <c r="BH1602" s="222"/>
      <c r="BL1602" s="889"/>
      <c r="BO1602" s="223"/>
    </row>
    <row r="1603" spans="1:67" s="74" customFormat="1">
      <c r="A1603" s="15"/>
      <c r="B1603" s="15"/>
      <c r="C1603" s="15"/>
      <c r="D1603" s="15"/>
      <c r="E1603" s="6"/>
      <c r="F1603" s="6"/>
      <c r="G1603" s="6"/>
      <c r="K1603" s="223"/>
      <c r="M1603" s="889"/>
      <c r="P1603" s="890"/>
      <c r="T1603" s="889"/>
      <c r="X1603" s="15"/>
      <c r="Y1603" s="1935"/>
      <c r="Z1603" s="1086"/>
      <c r="AA1603" s="230"/>
      <c r="AB1603" s="230"/>
      <c r="AC1603" s="1936"/>
      <c r="AD1603" s="230"/>
      <c r="AE1603" s="230"/>
      <c r="AF1603" s="230"/>
      <c r="AG1603" s="890"/>
      <c r="AJ1603" s="890"/>
      <c r="AN1603" s="223"/>
      <c r="AO1603" s="952"/>
      <c r="AP1603" s="1066"/>
      <c r="AQ1603" s="972"/>
      <c r="AR1603" s="1917"/>
      <c r="AS1603" s="222"/>
      <c r="AZ1603" s="889"/>
      <c r="BC1603" s="890"/>
      <c r="BD1603" s="952"/>
      <c r="BE1603" s="75"/>
      <c r="BF1603" s="572"/>
      <c r="BG1603" s="983"/>
      <c r="BH1603" s="222"/>
      <c r="BL1603" s="889"/>
      <c r="BO1603" s="223"/>
    </row>
    <row r="1604" spans="1:67" s="74" customFormat="1">
      <c r="A1604" s="15"/>
      <c r="B1604" s="15"/>
      <c r="C1604" s="15"/>
      <c r="D1604" s="15"/>
      <c r="E1604" s="6"/>
      <c r="F1604" s="6"/>
      <c r="G1604" s="6"/>
      <c r="K1604" s="223"/>
      <c r="M1604" s="889"/>
      <c r="P1604" s="890"/>
      <c r="T1604" s="889"/>
      <c r="X1604" s="15"/>
      <c r="Y1604" s="1935"/>
      <c r="Z1604" s="1086"/>
      <c r="AA1604" s="230"/>
      <c r="AB1604" s="230"/>
      <c r="AC1604" s="1936"/>
      <c r="AD1604" s="230"/>
      <c r="AE1604" s="230"/>
      <c r="AF1604" s="230"/>
      <c r="AG1604" s="890"/>
      <c r="AJ1604" s="890"/>
      <c r="AN1604" s="223"/>
      <c r="AO1604" s="952"/>
      <c r="AP1604" s="1066"/>
      <c r="AQ1604" s="972"/>
      <c r="AR1604" s="1917"/>
      <c r="AS1604" s="222"/>
      <c r="AZ1604" s="889"/>
      <c r="BC1604" s="890"/>
      <c r="BD1604" s="952"/>
      <c r="BE1604" s="75"/>
      <c r="BF1604" s="572"/>
      <c r="BG1604" s="983"/>
      <c r="BH1604" s="222"/>
      <c r="BL1604" s="889"/>
      <c r="BO1604" s="223"/>
    </row>
    <row r="1605" spans="1:67" s="74" customFormat="1">
      <c r="A1605" s="15"/>
      <c r="B1605" s="15"/>
      <c r="C1605" s="15"/>
      <c r="D1605" s="15"/>
      <c r="E1605" s="6"/>
      <c r="F1605" s="6"/>
      <c r="G1605" s="6"/>
      <c r="K1605" s="223"/>
      <c r="M1605" s="889"/>
      <c r="P1605" s="890"/>
      <c r="T1605" s="889"/>
      <c r="X1605" s="15"/>
      <c r="Y1605" s="1935"/>
      <c r="Z1605" s="1086"/>
      <c r="AA1605" s="230"/>
      <c r="AB1605" s="230"/>
      <c r="AC1605" s="1936"/>
      <c r="AD1605" s="230"/>
      <c r="AE1605" s="230"/>
      <c r="AF1605" s="230"/>
      <c r="AG1605" s="890"/>
      <c r="AJ1605" s="890"/>
      <c r="AN1605" s="223"/>
      <c r="AO1605" s="952"/>
      <c r="AP1605" s="1066"/>
      <c r="AQ1605" s="972"/>
      <c r="AR1605" s="1917"/>
      <c r="AS1605" s="222"/>
      <c r="AZ1605" s="889"/>
      <c r="BC1605" s="890"/>
      <c r="BD1605" s="952"/>
      <c r="BE1605" s="75"/>
      <c r="BF1605" s="572"/>
      <c r="BG1605" s="983"/>
      <c r="BH1605" s="222"/>
      <c r="BL1605" s="889"/>
      <c r="BO1605" s="223"/>
    </row>
    <row r="1606" spans="1:67" s="74" customFormat="1">
      <c r="A1606" s="15"/>
      <c r="B1606" s="15"/>
      <c r="C1606" s="15"/>
      <c r="D1606" s="15"/>
      <c r="E1606" s="6"/>
      <c r="F1606" s="6"/>
      <c r="G1606" s="6"/>
      <c r="K1606" s="223"/>
      <c r="M1606" s="889"/>
      <c r="P1606" s="890"/>
      <c r="T1606" s="889"/>
      <c r="X1606" s="15"/>
      <c r="Y1606" s="1935"/>
      <c r="Z1606" s="1086"/>
      <c r="AA1606" s="230"/>
      <c r="AB1606" s="230"/>
      <c r="AC1606" s="1936"/>
      <c r="AD1606" s="230"/>
      <c r="AE1606" s="230"/>
      <c r="AF1606" s="230"/>
      <c r="AG1606" s="890"/>
      <c r="AJ1606" s="890"/>
      <c r="AN1606" s="223"/>
      <c r="AO1606" s="952"/>
      <c r="AP1606" s="1066"/>
      <c r="AQ1606" s="972"/>
      <c r="AR1606" s="1917"/>
      <c r="AS1606" s="222"/>
      <c r="AZ1606" s="889"/>
      <c r="BC1606" s="890"/>
      <c r="BD1606" s="952"/>
      <c r="BE1606" s="75"/>
      <c r="BF1606" s="572"/>
      <c r="BG1606" s="983"/>
      <c r="BH1606" s="222"/>
      <c r="BL1606" s="889"/>
      <c r="BO1606" s="223"/>
    </row>
    <row r="1607" spans="1:67" s="74" customFormat="1">
      <c r="A1607" s="15"/>
      <c r="B1607" s="15"/>
      <c r="C1607" s="15"/>
      <c r="D1607" s="15"/>
      <c r="E1607" s="6"/>
      <c r="F1607" s="6"/>
      <c r="G1607" s="6"/>
      <c r="K1607" s="223"/>
      <c r="M1607" s="889"/>
      <c r="P1607" s="890"/>
      <c r="T1607" s="889"/>
      <c r="X1607" s="15"/>
      <c r="Y1607" s="1935"/>
      <c r="Z1607" s="1086"/>
      <c r="AA1607" s="230"/>
      <c r="AB1607" s="230"/>
      <c r="AC1607" s="1936"/>
      <c r="AD1607" s="230"/>
      <c r="AE1607" s="230"/>
      <c r="AF1607" s="230"/>
      <c r="AG1607" s="890"/>
      <c r="AJ1607" s="890"/>
      <c r="AN1607" s="223"/>
      <c r="AO1607" s="952"/>
      <c r="AP1607" s="1066"/>
      <c r="AQ1607" s="972"/>
      <c r="AR1607" s="1917"/>
      <c r="AS1607" s="222"/>
      <c r="AZ1607" s="889"/>
      <c r="BC1607" s="890"/>
      <c r="BD1607" s="952"/>
      <c r="BE1607" s="75"/>
      <c r="BF1607" s="572"/>
      <c r="BG1607" s="983"/>
      <c r="BH1607" s="222"/>
      <c r="BL1607" s="889"/>
      <c r="BO1607" s="223"/>
    </row>
    <row r="1608" spans="1:67" s="74" customFormat="1">
      <c r="A1608" s="15"/>
      <c r="B1608" s="15"/>
      <c r="C1608" s="15"/>
      <c r="D1608" s="15"/>
      <c r="E1608" s="6"/>
      <c r="F1608" s="6"/>
      <c r="G1608" s="6"/>
      <c r="K1608" s="223"/>
      <c r="M1608" s="889"/>
      <c r="P1608" s="890"/>
      <c r="T1608" s="889"/>
      <c r="X1608" s="15"/>
      <c r="Y1608" s="1935"/>
      <c r="Z1608" s="1086"/>
      <c r="AA1608" s="230"/>
      <c r="AB1608" s="230"/>
      <c r="AC1608" s="1936"/>
      <c r="AD1608" s="230"/>
      <c r="AE1608" s="230"/>
      <c r="AF1608" s="230"/>
      <c r="AG1608" s="890"/>
      <c r="AJ1608" s="890"/>
      <c r="AN1608" s="223"/>
      <c r="AO1608" s="952"/>
      <c r="AP1608" s="1066"/>
      <c r="AQ1608" s="972"/>
      <c r="AR1608" s="1917"/>
      <c r="AS1608" s="222"/>
      <c r="AZ1608" s="889"/>
      <c r="BC1608" s="890"/>
      <c r="BD1608" s="952"/>
      <c r="BE1608" s="75"/>
      <c r="BF1608" s="572"/>
      <c r="BG1608" s="983"/>
      <c r="BH1608" s="222"/>
      <c r="BL1608" s="889"/>
      <c r="BO1608" s="223"/>
    </row>
    <row r="1609" spans="1:67" s="74" customFormat="1">
      <c r="A1609" s="15"/>
      <c r="B1609" s="15"/>
      <c r="C1609" s="15"/>
      <c r="D1609" s="15"/>
      <c r="E1609" s="6"/>
      <c r="F1609" s="6"/>
      <c r="G1609" s="6"/>
      <c r="K1609" s="223"/>
      <c r="M1609" s="889"/>
      <c r="P1609" s="890"/>
      <c r="T1609" s="889"/>
      <c r="X1609" s="15"/>
      <c r="Y1609" s="1935"/>
      <c r="Z1609" s="1086"/>
      <c r="AA1609" s="230"/>
      <c r="AB1609" s="230"/>
      <c r="AC1609" s="1936"/>
      <c r="AD1609" s="230"/>
      <c r="AE1609" s="230"/>
      <c r="AF1609" s="230"/>
      <c r="AG1609" s="890"/>
      <c r="AJ1609" s="890"/>
      <c r="AN1609" s="223"/>
      <c r="AO1609" s="952"/>
      <c r="AP1609" s="1066"/>
      <c r="AQ1609" s="972"/>
      <c r="AR1609" s="1917"/>
      <c r="AS1609" s="222"/>
      <c r="AZ1609" s="889"/>
      <c r="BC1609" s="890"/>
      <c r="BD1609" s="952"/>
      <c r="BE1609" s="75"/>
      <c r="BF1609" s="572"/>
      <c r="BG1609" s="983"/>
      <c r="BH1609" s="222"/>
      <c r="BL1609" s="889"/>
      <c r="BO1609" s="223"/>
    </row>
    <row r="1610" spans="1:67" s="74" customFormat="1">
      <c r="A1610" s="15"/>
      <c r="B1610" s="15"/>
      <c r="C1610" s="15"/>
      <c r="D1610" s="15"/>
      <c r="E1610" s="6"/>
      <c r="F1610" s="6"/>
      <c r="G1610" s="6"/>
      <c r="K1610" s="223"/>
      <c r="M1610" s="889"/>
      <c r="P1610" s="890"/>
      <c r="T1610" s="889"/>
      <c r="X1610" s="15"/>
      <c r="Y1610" s="1935"/>
      <c r="Z1610" s="1086"/>
      <c r="AA1610" s="230"/>
      <c r="AB1610" s="230"/>
      <c r="AC1610" s="1936"/>
      <c r="AD1610" s="230"/>
      <c r="AE1610" s="230"/>
      <c r="AF1610" s="230"/>
      <c r="AG1610" s="890"/>
      <c r="AJ1610" s="890"/>
      <c r="AN1610" s="223"/>
      <c r="AO1610" s="952"/>
      <c r="AP1610" s="1066"/>
      <c r="AQ1610" s="972"/>
      <c r="AR1610" s="1917"/>
      <c r="AS1610" s="222"/>
      <c r="AZ1610" s="889"/>
      <c r="BC1610" s="890"/>
      <c r="BD1610" s="952"/>
      <c r="BE1610" s="75"/>
      <c r="BF1610" s="572"/>
      <c r="BG1610" s="983"/>
      <c r="BH1610" s="222"/>
      <c r="BL1610" s="889"/>
      <c r="BO1610" s="223"/>
    </row>
    <row r="1611" spans="1:67" s="74" customFormat="1">
      <c r="A1611" s="15"/>
      <c r="B1611" s="15"/>
      <c r="C1611" s="15"/>
      <c r="D1611" s="15"/>
      <c r="E1611" s="6"/>
      <c r="F1611" s="6"/>
      <c r="G1611" s="6"/>
      <c r="K1611" s="223"/>
      <c r="M1611" s="889"/>
      <c r="P1611" s="890"/>
      <c r="T1611" s="889"/>
      <c r="X1611" s="15"/>
      <c r="Y1611" s="1935"/>
      <c r="Z1611" s="1086"/>
      <c r="AA1611" s="230"/>
      <c r="AB1611" s="230"/>
      <c r="AC1611" s="1936"/>
      <c r="AD1611" s="230"/>
      <c r="AE1611" s="230"/>
      <c r="AF1611" s="230"/>
      <c r="AG1611" s="890"/>
      <c r="AJ1611" s="890"/>
      <c r="AN1611" s="223"/>
      <c r="AO1611" s="952"/>
      <c r="AP1611" s="1066"/>
      <c r="AQ1611" s="972"/>
      <c r="AR1611" s="1917"/>
      <c r="AS1611" s="222"/>
      <c r="AZ1611" s="889"/>
      <c r="BC1611" s="890"/>
      <c r="BD1611" s="952"/>
      <c r="BE1611" s="75"/>
      <c r="BF1611" s="572"/>
      <c r="BG1611" s="983"/>
      <c r="BH1611" s="222"/>
      <c r="BL1611" s="889"/>
      <c r="BO1611" s="223"/>
    </row>
    <row r="1612" spans="1:67" s="74" customFormat="1">
      <c r="A1612" s="15"/>
      <c r="B1612" s="15"/>
      <c r="C1612" s="15"/>
      <c r="D1612" s="15"/>
      <c r="E1612" s="6"/>
      <c r="F1612" s="6"/>
      <c r="G1612" s="6"/>
      <c r="K1612" s="223"/>
      <c r="M1612" s="889"/>
      <c r="P1612" s="890"/>
      <c r="T1612" s="889"/>
      <c r="X1612" s="15"/>
      <c r="Y1612" s="1935"/>
      <c r="Z1612" s="1086"/>
      <c r="AA1612" s="230"/>
      <c r="AB1612" s="230"/>
      <c r="AC1612" s="1936"/>
      <c r="AD1612" s="230"/>
      <c r="AE1612" s="230"/>
      <c r="AF1612" s="230"/>
      <c r="AG1612" s="890"/>
      <c r="AJ1612" s="890"/>
      <c r="AN1612" s="223"/>
      <c r="AO1612" s="952"/>
      <c r="AP1612" s="1066"/>
      <c r="AQ1612" s="972"/>
      <c r="AR1612" s="1917"/>
      <c r="AS1612" s="222"/>
      <c r="AZ1612" s="889"/>
      <c r="BC1612" s="890"/>
      <c r="BD1612" s="952"/>
      <c r="BE1612" s="75"/>
      <c r="BF1612" s="572"/>
      <c r="BG1612" s="983"/>
      <c r="BH1612" s="222"/>
      <c r="BL1612" s="889"/>
      <c r="BO1612" s="223"/>
    </row>
    <row r="1613" spans="1:67" s="74" customFormat="1">
      <c r="A1613" s="15"/>
      <c r="B1613" s="15"/>
      <c r="C1613" s="15"/>
      <c r="D1613" s="15"/>
      <c r="E1613" s="6"/>
      <c r="F1613" s="6"/>
      <c r="G1613" s="6"/>
      <c r="K1613" s="223"/>
      <c r="M1613" s="889"/>
      <c r="P1613" s="890"/>
      <c r="T1613" s="889"/>
      <c r="X1613" s="15"/>
      <c r="Y1613" s="1935"/>
      <c r="Z1613" s="1086"/>
      <c r="AA1613" s="230"/>
      <c r="AB1613" s="230"/>
      <c r="AC1613" s="1936"/>
      <c r="AD1613" s="230"/>
      <c r="AE1613" s="230"/>
      <c r="AF1613" s="230"/>
      <c r="AG1613" s="890"/>
      <c r="AJ1613" s="890"/>
      <c r="AN1613" s="223"/>
      <c r="AO1613" s="952"/>
      <c r="AP1613" s="1066"/>
      <c r="AQ1613" s="972"/>
      <c r="AR1613" s="1917"/>
      <c r="AS1613" s="222"/>
      <c r="AZ1613" s="889"/>
      <c r="BC1613" s="890"/>
      <c r="BD1613" s="952"/>
      <c r="BE1613" s="75"/>
      <c r="BF1613" s="572"/>
      <c r="BG1613" s="983"/>
      <c r="BH1613" s="222"/>
      <c r="BL1613" s="889"/>
      <c r="BO1613" s="223"/>
    </row>
    <row r="1614" spans="1:67" s="74" customFormat="1">
      <c r="A1614" s="15"/>
      <c r="B1614" s="15"/>
      <c r="C1614" s="15"/>
      <c r="D1614" s="15"/>
      <c r="E1614" s="6"/>
      <c r="F1614" s="6"/>
      <c r="G1614" s="6"/>
      <c r="K1614" s="223"/>
      <c r="M1614" s="889"/>
      <c r="P1614" s="890"/>
      <c r="T1614" s="889"/>
      <c r="X1614" s="15"/>
      <c r="Y1614" s="1935"/>
      <c r="Z1614" s="1086"/>
      <c r="AA1614" s="230"/>
      <c r="AB1614" s="230"/>
      <c r="AC1614" s="1936"/>
      <c r="AD1614" s="230"/>
      <c r="AE1614" s="230"/>
      <c r="AF1614" s="230"/>
      <c r="AG1614" s="890"/>
      <c r="AJ1614" s="890"/>
      <c r="AN1614" s="223"/>
      <c r="AO1614" s="952"/>
      <c r="AP1614" s="1066"/>
      <c r="AQ1614" s="972"/>
      <c r="AR1614" s="1917"/>
      <c r="AS1614" s="222"/>
      <c r="AZ1614" s="889"/>
      <c r="BC1614" s="890"/>
      <c r="BD1614" s="952"/>
      <c r="BE1614" s="75"/>
      <c r="BF1614" s="572"/>
      <c r="BG1614" s="983"/>
      <c r="BH1614" s="222"/>
      <c r="BL1614" s="889"/>
      <c r="BO1614" s="223"/>
    </row>
    <row r="1615" spans="1:67" s="74" customFormat="1">
      <c r="A1615" s="15"/>
      <c r="B1615" s="15"/>
      <c r="C1615" s="15"/>
      <c r="D1615" s="15"/>
      <c r="E1615" s="6"/>
      <c r="F1615" s="6"/>
      <c r="G1615" s="6"/>
      <c r="K1615" s="223"/>
      <c r="M1615" s="889"/>
      <c r="P1615" s="890"/>
      <c r="T1615" s="889"/>
      <c r="X1615" s="15"/>
      <c r="Y1615" s="1935"/>
      <c r="Z1615" s="1086"/>
      <c r="AA1615" s="230"/>
      <c r="AB1615" s="230"/>
      <c r="AC1615" s="1936"/>
      <c r="AD1615" s="230"/>
      <c r="AE1615" s="230"/>
      <c r="AF1615" s="230"/>
      <c r="AG1615" s="890"/>
      <c r="AJ1615" s="890"/>
      <c r="AN1615" s="223"/>
      <c r="AO1615" s="952"/>
      <c r="AP1615" s="1066"/>
      <c r="AQ1615" s="972"/>
      <c r="AR1615" s="1917"/>
      <c r="AS1615" s="222"/>
      <c r="AZ1615" s="889"/>
      <c r="BC1615" s="890"/>
      <c r="BD1615" s="952"/>
      <c r="BE1615" s="75"/>
      <c r="BF1615" s="572"/>
      <c r="BG1615" s="983"/>
      <c r="BH1615" s="222"/>
      <c r="BL1615" s="889"/>
      <c r="BO1615" s="223"/>
    </row>
    <row r="1616" spans="1:67" s="74" customFormat="1">
      <c r="A1616" s="15"/>
      <c r="B1616" s="15"/>
      <c r="C1616" s="15"/>
      <c r="D1616" s="15"/>
      <c r="E1616" s="6"/>
      <c r="F1616" s="6"/>
      <c r="G1616" s="6"/>
      <c r="K1616" s="223"/>
      <c r="M1616" s="889"/>
      <c r="P1616" s="890"/>
      <c r="T1616" s="889"/>
      <c r="X1616" s="15"/>
      <c r="Y1616" s="1935"/>
      <c r="Z1616" s="1086"/>
      <c r="AA1616" s="230"/>
      <c r="AB1616" s="230"/>
      <c r="AC1616" s="1936"/>
      <c r="AD1616" s="230"/>
      <c r="AE1616" s="230"/>
      <c r="AF1616" s="230"/>
      <c r="AG1616" s="890"/>
      <c r="AJ1616" s="890"/>
      <c r="AN1616" s="223"/>
      <c r="AO1616" s="952"/>
      <c r="AP1616" s="1066"/>
      <c r="AQ1616" s="972"/>
      <c r="AR1616" s="1917"/>
      <c r="AS1616" s="222"/>
      <c r="AZ1616" s="889"/>
      <c r="BC1616" s="890"/>
      <c r="BD1616" s="952"/>
      <c r="BE1616" s="75"/>
      <c r="BF1616" s="572"/>
      <c r="BG1616" s="983"/>
      <c r="BH1616" s="222"/>
      <c r="BL1616" s="889"/>
      <c r="BO1616" s="223"/>
    </row>
    <row r="1617" spans="1:67" s="74" customFormat="1">
      <c r="A1617" s="15"/>
      <c r="B1617" s="15"/>
      <c r="C1617" s="15"/>
      <c r="D1617" s="15"/>
      <c r="E1617" s="6"/>
      <c r="F1617" s="6"/>
      <c r="G1617" s="6"/>
      <c r="K1617" s="223"/>
      <c r="M1617" s="889"/>
      <c r="P1617" s="890"/>
      <c r="T1617" s="889"/>
      <c r="X1617" s="15"/>
      <c r="Y1617" s="1935"/>
      <c r="Z1617" s="1086"/>
      <c r="AA1617" s="230"/>
      <c r="AB1617" s="230"/>
      <c r="AC1617" s="1936"/>
      <c r="AD1617" s="230"/>
      <c r="AE1617" s="230"/>
      <c r="AF1617" s="230"/>
      <c r="AG1617" s="890"/>
      <c r="AJ1617" s="890"/>
      <c r="AN1617" s="223"/>
      <c r="AO1617" s="952"/>
      <c r="AP1617" s="1066"/>
      <c r="AQ1617" s="972"/>
      <c r="AR1617" s="1917"/>
      <c r="AS1617" s="222"/>
      <c r="AZ1617" s="889"/>
      <c r="BC1617" s="890"/>
      <c r="BD1617" s="952"/>
      <c r="BE1617" s="75"/>
      <c r="BF1617" s="572"/>
      <c r="BG1617" s="983"/>
      <c r="BH1617" s="222"/>
      <c r="BL1617" s="889"/>
      <c r="BO1617" s="223"/>
    </row>
    <row r="1618" spans="1:67" s="74" customFormat="1">
      <c r="A1618" s="15"/>
      <c r="B1618" s="15"/>
      <c r="C1618" s="15"/>
      <c r="D1618" s="15"/>
      <c r="E1618" s="6"/>
      <c r="F1618" s="6"/>
      <c r="G1618" s="6"/>
      <c r="K1618" s="223"/>
      <c r="M1618" s="889"/>
      <c r="P1618" s="890"/>
      <c r="T1618" s="889"/>
      <c r="X1618" s="15"/>
      <c r="Y1618" s="1935"/>
      <c r="Z1618" s="1086"/>
      <c r="AA1618" s="230"/>
      <c r="AB1618" s="230"/>
      <c r="AC1618" s="1936"/>
      <c r="AD1618" s="230"/>
      <c r="AE1618" s="230"/>
      <c r="AF1618" s="230"/>
      <c r="AG1618" s="890"/>
      <c r="AJ1618" s="890"/>
      <c r="AN1618" s="223"/>
      <c r="AO1618" s="952"/>
      <c r="AP1618" s="1066"/>
      <c r="AQ1618" s="972"/>
      <c r="AR1618" s="1917"/>
      <c r="AS1618" s="222"/>
      <c r="AZ1618" s="889"/>
      <c r="BC1618" s="890"/>
      <c r="BD1618" s="952"/>
      <c r="BE1618" s="75"/>
      <c r="BF1618" s="572"/>
      <c r="BG1618" s="983"/>
      <c r="BH1618" s="222"/>
      <c r="BL1618" s="889"/>
      <c r="BO1618" s="223"/>
    </row>
    <row r="1619" spans="1:67" s="74" customFormat="1">
      <c r="A1619" s="15"/>
      <c r="B1619" s="15"/>
      <c r="C1619" s="15"/>
      <c r="D1619" s="15"/>
      <c r="E1619" s="6"/>
      <c r="F1619" s="6"/>
      <c r="G1619" s="6"/>
      <c r="K1619" s="223"/>
      <c r="M1619" s="889"/>
      <c r="P1619" s="890"/>
      <c r="T1619" s="889"/>
      <c r="X1619" s="15"/>
      <c r="Y1619" s="1935"/>
      <c r="Z1619" s="1086"/>
      <c r="AA1619" s="230"/>
      <c r="AB1619" s="230"/>
      <c r="AC1619" s="1936"/>
      <c r="AD1619" s="230"/>
      <c r="AE1619" s="230"/>
      <c r="AF1619" s="230"/>
      <c r="AG1619" s="890"/>
      <c r="AJ1619" s="890"/>
      <c r="AN1619" s="223"/>
      <c r="AO1619" s="952"/>
      <c r="AP1619" s="1066"/>
      <c r="AQ1619" s="972"/>
      <c r="AR1619" s="1917"/>
      <c r="AS1619" s="222"/>
      <c r="AZ1619" s="889"/>
      <c r="BC1619" s="890"/>
      <c r="BD1619" s="952"/>
      <c r="BE1619" s="75"/>
      <c r="BF1619" s="572"/>
      <c r="BG1619" s="983"/>
      <c r="BH1619" s="222"/>
      <c r="BL1619" s="889"/>
      <c r="BO1619" s="223"/>
    </row>
    <row r="1620" spans="1:67" s="74" customFormat="1">
      <c r="A1620" s="15"/>
      <c r="B1620" s="15"/>
      <c r="C1620" s="15"/>
      <c r="D1620" s="15"/>
      <c r="E1620" s="6"/>
      <c r="F1620" s="6"/>
      <c r="G1620" s="6"/>
      <c r="K1620" s="223"/>
      <c r="M1620" s="889"/>
      <c r="P1620" s="890"/>
      <c r="T1620" s="889"/>
      <c r="X1620" s="15"/>
      <c r="Y1620" s="1935"/>
      <c r="Z1620" s="1086"/>
      <c r="AA1620" s="230"/>
      <c r="AB1620" s="230"/>
      <c r="AC1620" s="1936"/>
      <c r="AD1620" s="230"/>
      <c r="AE1620" s="230"/>
      <c r="AF1620" s="230"/>
      <c r="AG1620" s="890"/>
      <c r="AJ1620" s="890"/>
      <c r="AN1620" s="223"/>
      <c r="AO1620" s="952"/>
      <c r="AP1620" s="1066"/>
      <c r="AQ1620" s="972"/>
      <c r="AR1620" s="1917"/>
      <c r="AS1620" s="222"/>
      <c r="AZ1620" s="889"/>
      <c r="BC1620" s="890"/>
      <c r="BD1620" s="952"/>
      <c r="BE1620" s="75"/>
      <c r="BF1620" s="572"/>
      <c r="BG1620" s="983"/>
      <c r="BH1620" s="222"/>
      <c r="BL1620" s="889"/>
      <c r="BO1620" s="223"/>
    </row>
    <row r="1621" spans="1:67" s="74" customFormat="1">
      <c r="A1621" s="15"/>
      <c r="B1621" s="15"/>
      <c r="C1621" s="15"/>
      <c r="D1621" s="15"/>
      <c r="E1621" s="6"/>
      <c r="F1621" s="6"/>
      <c r="G1621" s="6"/>
      <c r="K1621" s="223"/>
      <c r="M1621" s="889"/>
      <c r="P1621" s="890"/>
      <c r="T1621" s="889"/>
      <c r="X1621" s="15"/>
      <c r="Y1621" s="1935"/>
      <c r="Z1621" s="1086"/>
      <c r="AA1621" s="230"/>
      <c r="AB1621" s="230"/>
      <c r="AC1621" s="1936"/>
      <c r="AD1621" s="230"/>
      <c r="AE1621" s="230"/>
      <c r="AF1621" s="230"/>
      <c r="AG1621" s="890"/>
      <c r="AJ1621" s="890"/>
      <c r="AN1621" s="223"/>
      <c r="AO1621" s="952"/>
      <c r="AP1621" s="1066"/>
      <c r="AQ1621" s="972"/>
      <c r="AR1621" s="1917"/>
      <c r="AS1621" s="222"/>
      <c r="AZ1621" s="889"/>
      <c r="BC1621" s="890"/>
      <c r="BD1621" s="952"/>
      <c r="BE1621" s="75"/>
      <c r="BF1621" s="572"/>
      <c r="BG1621" s="983"/>
      <c r="BH1621" s="222"/>
      <c r="BL1621" s="889"/>
      <c r="BO1621" s="223"/>
    </row>
    <row r="1622" spans="1:67" s="74" customFormat="1">
      <c r="A1622" s="15"/>
      <c r="B1622" s="15"/>
      <c r="C1622" s="15"/>
      <c r="D1622" s="15"/>
      <c r="E1622" s="6"/>
      <c r="F1622" s="6"/>
      <c r="G1622" s="6"/>
      <c r="K1622" s="223"/>
      <c r="M1622" s="889"/>
      <c r="P1622" s="890"/>
      <c r="T1622" s="889"/>
      <c r="X1622" s="15"/>
      <c r="Y1622" s="1935"/>
      <c r="Z1622" s="1086"/>
      <c r="AA1622" s="230"/>
      <c r="AB1622" s="230"/>
      <c r="AC1622" s="1936"/>
      <c r="AD1622" s="230"/>
      <c r="AE1622" s="230"/>
      <c r="AF1622" s="230"/>
      <c r="AG1622" s="890"/>
      <c r="AJ1622" s="890"/>
      <c r="AN1622" s="223"/>
      <c r="AO1622" s="952"/>
      <c r="AP1622" s="1066"/>
      <c r="AQ1622" s="972"/>
      <c r="AR1622" s="1917"/>
      <c r="AS1622" s="222"/>
      <c r="AZ1622" s="889"/>
      <c r="BC1622" s="890"/>
      <c r="BD1622" s="952"/>
      <c r="BE1622" s="75"/>
      <c r="BF1622" s="572"/>
      <c r="BG1622" s="983"/>
      <c r="BH1622" s="222"/>
      <c r="BL1622" s="889"/>
      <c r="BO1622" s="223"/>
    </row>
    <row r="1623" spans="1:67" s="74" customFormat="1">
      <c r="A1623" s="15"/>
      <c r="B1623" s="15"/>
      <c r="C1623" s="15"/>
      <c r="D1623" s="15"/>
      <c r="E1623" s="6"/>
      <c r="F1623" s="6"/>
      <c r="G1623" s="6"/>
      <c r="K1623" s="223"/>
      <c r="M1623" s="889"/>
      <c r="P1623" s="890"/>
      <c r="T1623" s="889"/>
      <c r="X1623" s="15"/>
      <c r="Y1623" s="1935"/>
      <c r="Z1623" s="1086"/>
      <c r="AA1623" s="230"/>
      <c r="AB1623" s="230"/>
      <c r="AC1623" s="1936"/>
      <c r="AD1623" s="230"/>
      <c r="AE1623" s="230"/>
      <c r="AF1623" s="230"/>
      <c r="AG1623" s="890"/>
      <c r="AJ1623" s="890"/>
      <c r="AN1623" s="223"/>
      <c r="AO1623" s="952"/>
      <c r="AP1623" s="1066"/>
      <c r="AQ1623" s="972"/>
      <c r="AR1623" s="1917"/>
      <c r="AS1623" s="222"/>
      <c r="AZ1623" s="889"/>
      <c r="BC1623" s="890"/>
      <c r="BD1623" s="952"/>
      <c r="BE1623" s="75"/>
      <c r="BF1623" s="572"/>
      <c r="BG1623" s="983"/>
      <c r="BH1623" s="222"/>
      <c r="BL1623" s="889"/>
      <c r="BO1623" s="223"/>
    </row>
    <row r="1624" spans="1:67" s="74" customFormat="1">
      <c r="A1624" s="15"/>
      <c r="B1624" s="15"/>
      <c r="C1624" s="15"/>
      <c r="D1624" s="15"/>
      <c r="E1624" s="6"/>
      <c r="F1624" s="6"/>
      <c r="G1624" s="6"/>
      <c r="K1624" s="223"/>
      <c r="M1624" s="889"/>
      <c r="P1624" s="890"/>
      <c r="T1624" s="889"/>
      <c r="X1624" s="15"/>
      <c r="Y1624" s="1935"/>
      <c r="Z1624" s="1086"/>
      <c r="AA1624" s="230"/>
      <c r="AB1624" s="230"/>
      <c r="AC1624" s="1936"/>
      <c r="AD1624" s="230"/>
      <c r="AE1624" s="230"/>
      <c r="AF1624" s="230"/>
      <c r="AG1624" s="890"/>
      <c r="AJ1624" s="890"/>
      <c r="AN1624" s="223"/>
      <c r="AO1624" s="952"/>
      <c r="AP1624" s="1066"/>
      <c r="AQ1624" s="972"/>
      <c r="AR1624" s="1917"/>
      <c r="AS1624" s="222"/>
      <c r="AZ1624" s="889"/>
      <c r="BC1624" s="890"/>
      <c r="BD1624" s="952"/>
      <c r="BE1624" s="75"/>
      <c r="BF1624" s="572"/>
      <c r="BG1624" s="983"/>
      <c r="BH1624" s="222"/>
      <c r="BL1624" s="889"/>
      <c r="BO1624" s="223"/>
    </row>
    <row r="1625" spans="1:67" s="74" customFormat="1">
      <c r="A1625" s="15"/>
      <c r="B1625" s="15"/>
      <c r="C1625" s="15"/>
      <c r="D1625" s="15"/>
      <c r="E1625" s="6"/>
      <c r="F1625" s="6"/>
      <c r="G1625" s="6"/>
      <c r="K1625" s="223"/>
      <c r="M1625" s="889"/>
      <c r="P1625" s="890"/>
      <c r="T1625" s="889"/>
      <c r="X1625" s="15"/>
      <c r="Y1625" s="1935"/>
      <c r="Z1625" s="1086"/>
      <c r="AA1625" s="230"/>
      <c r="AB1625" s="230"/>
      <c r="AC1625" s="1936"/>
      <c r="AD1625" s="230"/>
      <c r="AE1625" s="230"/>
      <c r="AF1625" s="230"/>
      <c r="AG1625" s="890"/>
      <c r="AJ1625" s="890"/>
      <c r="AN1625" s="223"/>
      <c r="AO1625" s="952"/>
      <c r="AP1625" s="1066"/>
      <c r="AQ1625" s="972"/>
      <c r="AR1625" s="1917"/>
      <c r="AS1625" s="222"/>
      <c r="AZ1625" s="889"/>
      <c r="BC1625" s="890"/>
      <c r="BD1625" s="952"/>
      <c r="BE1625" s="75"/>
      <c r="BF1625" s="572"/>
      <c r="BG1625" s="983"/>
      <c r="BH1625" s="222"/>
      <c r="BL1625" s="889"/>
      <c r="BO1625" s="223"/>
    </row>
    <row r="1626" spans="1:67" s="74" customFormat="1">
      <c r="A1626" s="15"/>
      <c r="B1626" s="15"/>
      <c r="C1626" s="15"/>
      <c r="D1626" s="15"/>
      <c r="E1626" s="6"/>
      <c r="F1626" s="6"/>
      <c r="G1626" s="6"/>
      <c r="K1626" s="223"/>
      <c r="M1626" s="889"/>
      <c r="P1626" s="890"/>
      <c r="T1626" s="889"/>
      <c r="X1626" s="15"/>
      <c r="Y1626" s="1935"/>
      <c r="Z1626" s="1086"/>
      <c r="AA1626" s="230"/>
      <c r="AB1626" s="230"/>
      <c r="AC1626" s="1936"/>
      <c r="AD1626" s="230"/>
      <c r="AE1626" s="230"/>
      <c r="AF1626" s="230"/>
      <c r="AG1626" s="890"/>
      <c r="AJ1626" s="890"/>
      <c r="AN1626" s="223"/>
      <c r="AO1626" s="952"/>
      <c r="AP1626" s="1066"/>
      <c r="AQ1626" s="972"/>
      <c r="AR1626" s="1917"/>
      <c r="AS1626" s="222"/>
      <c r="AZ1626" s="889"/>
      <c r="BC1626" s="890"/>
      <c r="BD1626" s="952"/>
      <c r="BE1626" s="75"/>
      <c r="BF1626" s="572"/>
      <c r="BG1626" s="983"/>
      <c r="BH1626" s="222"/>
      <c r="BL1626" s="889"/>
      <c r="BO1626" s="223"/>
    </row>
    <row r="1627" spans="1:67" s="74" customFormat="1">
      <c r="A1627" s="15"/>
      <c r="B1627" s="15"/>
      <c r="C1627" s="15"/>
      <c r="D1627" s="15"/>
      <c r="E1627" s="6"/>
      <c r="F1627" s="6"/>
      <c r="G1627" s="6"/>
      <c r="K1627" s="223"/>
      <c r="M1627" s="889"/>
      <c r="P1627" s="890"/>
      <c r="T1627" s="889"/>
      <c r="X1627" s="15"/>
      <c r="Y1627" s="1935"/>
      <c r="Z1627" s="1086"/>
      <c r="AA1627" s="230"/>
      <c r="AB1627" s="230"/>
      <c r="AC1627" s="1936"/>
      <c r="AD1627" s="230"/>
      <c r="AE1627" s="230"/>
      <c r="AF1627" s="230"/>
      <c r="AG1627" s="890"/>
      <c r="AJ1627" s="890"/>
      <c r="AN1627" s="223"/>
      <c r="AO1627" s="952"/>
      <c r="AP1627" s="1066"/>
      <c r="AQ1627" s="972"/>
      <c r="AR1627" s="1917"/>
      <c r="AS1627" s="222"/>
      <c r="AZ1627" s="889"/>
      <c r="BC1627" s="890"/>
      <c r="BD1627" s="952"/>
      <c r="BE1627" s="75"/>
      <c r="BF1627" s="572"/>
      <c r="BG1627" s="983"/>
      <c r="BH1627" s="222"/>
      <c r="BL1627" s="889"/>
      <c r="BO1627" s="223"/>
    </row>
    <row r="1628" spans="1:67" s="74" customFormat="1">
      <c r="A1628" s="15"/>
      <c r="B1628" s="15"/>
      <c r="C1628" s="15"/>
      <c r="D1628" s="15"/>
      <c r="E1628" s="6"/>
      <c r="F1628" s="6"/>
      <c r="G1628" s="6"/>
      <c r="K1628" s="223"/>
      <c r="M1628" s="889"/>
      <c r="P1628" s="890"/>
      <c r="T1628" s="889"/>
      <c r="X1628" s="15"/>
      <c r="Y1628" s="1935"/>
      <c r="Z1628" s="1086"/>
      <c r="AA1628" s="230"/>
      <c r="AB1628" s="230"/>
      <c r="AC1628" s="1936"/>
      <c r="AD1628" s="230"/>
      <c r="AE1628" s="230"/>
      <c r="AF1628" s="230"/>
      <c r="AG1628" s="890"/>
      <c r="AJ1628" s="890"/>
      <c r="AN1628" s="223"/>
      <c r="AO1628" s="952"/>
      <c r="AP1628" s="1066"/>
      <c r="AQ1628" s="972"/>
      <c r="AR1628" s="1917"/>
      <c r="AS1628" s="222"/>
      <c r="AZ1628" s="889"/>
      <c r="BC1628" s="890"/>
      <c r="BD1628" s="952"/>
      <c r="BE1628" s="75"/>
      <c r="BF1628" s="572"/>
      <c r="BG1628" s="983"/>
      <c r="BH1628" s="222"/>
      <c r="BL1628" s="889"/>
      <c r="BO1628" s="223"/>
    </row>
    <row r="1629" spans="1:67" s="74" customFormat="1">
      <c r="A1629" s="15"/>
      <c r="B1629" s="15"/>
      <c r="C1629" s="15"/>
      <c r="D1629" s="15"/>
      <c r="E1629" s="6"/>
      <c r="F1629" s="6"/>
      <c r="G1629" s="6"/>
      <c r="K1629" s="223"/>
      <c r="M1629" s="889"/>
      <c r="P1629" s="890"/>
      <c r="T1629" s="889"/>
      <c r="X1629" s="15"/>
      <c r="Y1629" s="1935"/>
      <c r="Z1629" s="1086"/>
      <c r="AA1629" s="230"/>
      <c r="AB1629" s="230"/>
      <c r="AC1629" s="1936"/>
      <c r="AD1629" s="230"/>
      <c r="AE1629" s="230"/>
      <c r="AF1629" s="230"/>
      <c r="AG1629" s="890"/>
      <c r="AJ1629" s="890"/>
      <c r="AN1629" s="223"/>
      <c r="AO1629" s="952"/>
      <c r="AP1629" s="1066"/>
      <c r="AQ1629" s="972"/>
      <c r="AR1629" s="1917"/>
      <c r="AS1629" s="222"/>
      <c r="AZ1629" s="889"/>
      <c r="BC1629" s="890"/>
      <c r="BD1629" s="952"/>
      <c r="BE1629" s="75"/>
      <c r="BF1629" s="572"/>
      <c r="BG1629" s="983"/>
      <c r="BH1629" s="222"/>
      <c r="BL1629" s="889"/>
      <c r="BO1629" s="223"/>
    </row>
    <row r="1630" spans="1:67" s="74" customFormat="1">
      <c r="A1630" s="15"/>
      <c r="B1630" s="15"/>
      <c r="C1630" s="15"/>
      <c r="D1630" s="15"/>
      <c r="E1630" s="6"/>
      <c r="F1630" s="6"/>
      <c r="G1630" s="6"/>
      <c r="K1630" s="223"/>
      <c r="M1630" s="889"/>
      <c r="P1630" s="890"/>
      <c r="T1630" s="889"/>
      <c r="X1630" s="15"/>
      <c r="Y1630" s="1935"/>
      <c r="Z1630" s="1086"/>
      <c r="AA1630" s="230"/>
      <c r="AB1630" s="230"/>
      <c r="AC1630" s="1936"/>
      <c r="AD1630" s="230"/>
      <c r="AE1630" s="230"/>
      <c r="AF1630" s="230"/>
      <c r="AG1630" s="890"/>
      <c r="AJ1630" s="890"/>
      <c r="AN1630" s="223"/>
      <c r="AO1630" s="952"/>
      <c r="AP1630" s="1066"/>
      <c r="AQ1630" s="972"/>
      <c r="AR1630" s="1917"/>
      <c r="AS1630" s="222"/>
      <c r="AZ1630" s="889"/>
      <c r="BC1630" s="890"/>
      <c r="BD1630" s="952"/>
      <c r="BE1630" s="75"/>
      <c r="BF1630" s="572"/>
      <c r="BG1630" s="983"/>
      <c r="BH1630" s="222"/>
      <c r="BL1630" s="889"/>
      <c r="BO1630" s="223"/>
    </row>
    <row r="1631" spans="1:67" s="74" customFormat="1">
      <c r="A1631" s="15"/>
      <c r="B1631" s="15"/>
      <c r="C1631" s="15"/>
      <c r="D1631" s="15"/>
      <c r="E1631" s="6"/>
      <c r="F1631" s="6"/>
      <c r="G1631" s="6"/>
      <c r="K1631" s="223"/>
      <c r="M1631" s="889"/>
      <c r="P1631" s="890"/>
      <c r="T1631" s="889"/>
      <c r="X1631" s="15"/>
      <c r="Y1631" s="1935"/>
      <c r="Z1631" s="1086"/>
      <c r="AA1631" s="230"/>
      <c r="AB1631" s="230"/>
      <c r="AC1631" s="1936"/>
      <c r="AD1631" s="230"/>
      <c r="AE1631" s="230"/>
      <c r="AF1631" s="230"/>
      <c r="AG1631" s="890"/>
      <c r="AJ1631" s="890"/>
      <c r="AN1631" s="223"/>
      <c r="AO1631" s="952"/>
      <c r="AP1631" s="1066"/>
      <c r="AQ1631" s="972"/>
      <c r="AR1631" s="1917"/>
      <c r="AS1631" s="222"/>
      <c r="AZ1631" s="889"/>
      <c r="BC1631" s="890"/>
      <c r="BD1631" s="952"/>
      <c r="BE1631" s="75"/>
      <c r="BF1631" s="572"/>
      <c r="BG1631" s="983"/>
      <c r="BH1631" s="222"/>
      <c r="BL1631" s="889"/>
      <c r="BO1631" s="223"/>
    </row>
    <row r="1632" spans="1:67" s="74" customFormat="1">
      <c r="A1632" s="15"/>
      <c r="B1632" s="15"/>
      <c r="C1632" s="15"/>
      <c r="D1632" s="15"/>
      <c r="E1632" s="6"/>
      <c r="F1632" s="6"/>
      <c r="G1632" s="6"/>
      <c r="K1632" s="223"/>
      <c r="M1632" s="889"/>
      <c r="P1632" s="890"/>
      <c r="T1632" s="889"/>
      <c r="X1632" s="15"/>
      <c r="Y1632" s="1935"/>
      <c r="Z1632" s="1086"/>
      <c r="AA1632" s="230"/>
      <c r="AB1632" s="230"/>
      <c r="AC1632" s="1936"/>
      <c r="AD1632" s="230"/>
      <c r="AE1632" s="230"/>
      <c r="AF1632" s="230"/>
      <c r="AG1632" s="890"/>
      <c r="AJ1632" s="890"/>
      <c r="AN1632" s="223"/>
      <c r="AO1632" s="952"/>
      <c r="AP1632" s="1066"/>
      <c r="AQ1632" s="972"/>
      <c r="AR1632" s="1917"/>
      <c r="AS1632" s="222"/>
      <c r="AZ1632" s="889"/>
      <c r="BC1632" s="890"/>
      <c r="BD1632" s="952"/>
      <c r="BE1632" s="75"/>
      <c r="BF1632" s="572"/>
      <c r="BG1632" s="983"/>
      <c r="BH1632" s="222"/>
      <c r="BL1632" s="889"/>
      <c r="BO1632" s="223"/>
    </row>
    <row r="1633" spans="1:67" s="74" customFormat="1">
      <c r="A1633" s="15"/>
      <c r="B1633" s="15"/>
      <c r="C1633" s="15"/>
      <c r="D1633" s="15"/>
      <c r="E1633" s="6"/>
      <c r="F1633" s="6"/>
      <c r="G1633" s="6"/>
      <c r="K1633" s="223"/>
      <c r="M1633" s="889"/>
      <c r="P1633" s="890"/>
      <c r="T1633" s="889"/>
      <c r="X1633" s="15"/>
      <c r="Y1633" s="1935"/>
      <c r="Z1633" s="1086"/>
      <c r="AA1633" s="230"/>
      <c r="AB1633" s="230"/>
      <c r="AC1633" s="1936"/>
      <c r="AD1633" s="230"/>
      <c r="AE1633" s="230"/>
      <c r="AF1633" s="230"/>
      <c r="AG1633" s="890"/>
      <c r="AJ1633" s="890"/>
      <c r="AN1633" s="223"/>
      <c r="AO1633" s="952"/>
      <c r="AP1633" s="1066"/>
      <c r="AQ1633" s="972"/>
      <c r="AR1633" s="1917"/>
      <c r="AS1633" s="222"/>
      <c r="AZ1633" s="889"/>
      <c r="BC1633" s="890"/>
      <c r="BD1633" s="952"/>
      <c r="BE1633" s="75"/>
      <c r="BF1633" s="572"/>
      <c r="BG1633" s="983"/>
      <c r="BH1633" s="222"/>
      <c r="BL1633" s="889"/>
      <c r="BO1633" s="223"/>
    </row>
    <row r="1634" spans="1:67" s="74" customFormat="1">
      <c r="A1634" s="15"/>
      <c r="B1634" s="15"/>
      <c r="C1634" s="15"/>
      <c r="D1634" s="15"/>
      <c r="E1634" s="6"/>
      <c r="F1634" s="6"/>
      <c r="G1634" s="6"/>
      <c r="K1634" s="223"/>
      <c r="M1634" s="889"/>
      <c r="P1634" s="890"/>
      <c r="T1634" s="889"/>
      <c r="X1634" s="15"/>
      <c r="Y1634" s="1935"/>
      <c r="Z1634" s="1086"/>
      <c r="AA1634" s="230"/>
      <c r="AB1634" s="230"/>
      <c r="AC1634" s="1936"/>
      <c r="AD1634" s="230"/>
      <c r="AE1634" s="230"/>
      <c r="AF1634" s="230"/>
      <c r="AG1634" s="890"/>
      <c r="AJ1634" s="890"/>
      <c r="AN1634" s="223"/>
      <c r="AO1634" s="952"/>
      <c r="AP1634" s="1066"/>
      <c r="AQ1634" s="972"/>
      <c r="AR1634" s="1917"/>
      <c r="AS1634" s="222"/>
      <c r="AZ1634" s="889"/>
      <c r="BC1634" s="890"/>
      <c r="BD1634" s="952"/>
      <c r="BE1634" s="75"/>
      <c r="BF1634" s="572"/>
      <c r="BG1634" s="983"/>
      <c r="BH1634" s="222"/>
      <c r="BL1634" s="889"/>
      <c r="BO1634" s="223"/>
    </row>
    <row r="1635" spans="1:67" s="74" customFormat="1">
      <c r="A1635" s="15"/>
      <c r="B1635" s="15"/>
      <c r="C1635" s="15"/>
      <c r="D1635" s="15"/>
      <c r="E1635" s="6"/>
      <c r="F1635" s="6"/>
      <c r="G1635" s="6"/>
      <c r="K1635" s="223"/>
      <c r="M1635" s="889"/>
      <c r="P1635" s="890"/>
      <c r="T1635" s="889"/>
      <c r="X1635" s="15"/>
      <c r="Y1635" s="1935"/>
      <c r="Z1635" s="1086"/>
      <c r="AA1635" s="230"/>
      <c r="AB1635" s="230"/>
      <c r="AC1635" s="1936"/>
      <c r="AD1635" s="230"/>
      <c r="AE1635" s="230"/>
      <c r="AF1635" s="230"/>
      <c r="AG1635" s="890"/>
      <c r="AJ1635" s="890"/>
      <c r="AN1635" s="223"/>
      <c r="AO1635" s="952"/>
      <c r="AP1635" s="1066"/>
      <c r="AQ1635" s="972"/>
      <c r="AR1635" s="1917"/>
      <c r="AS1635" s="222"/>
      <c r="AZ1635" s="889"/>
      <c r="BC1635" s="890"/>
      <c r="BD1635" s="952"/>
      <c r="BE1635" s="75"/>
      <c r="BF1635" s="572"/>
      <c r="BG1635" s="983"/>
      <c r="BH1635" s="222"/>
      <c r="BL1635" s="889"/>
      <c r="BO1635" s="223"/>
    </row>
    <row r="1636" spans="1:67" s="74" customFormat="1">
      <c r="A1636" s="15"/>
      <c r="B1636" s="15"/>
      <c r="C1636" s="15"/>
      <c r="D1636" s="15"/>
      <c r="E1636" s="6"/>
      <c r="F1636" s="6"/>
      <c r="G1636" s="6"/>
      <c r="K1636" s="223"/>
      <c r="M1636" s="889"/>
      <c r="P1636" s="890"/>
      <c r="T1636" s="889"/>
      <c r="X1636" s="15"/>
      <c r="Y1636" s="1935"/>
      <c r="Z1636" s="1086"/>
      <c r="AA1636" s="230"/>
      <c r="AB1636" s="230"/>
      <c r="AC1636" s="1936"/>
      <c r="AD1636" s="230"/>
      <c r="AE1636" s="230"/>
      <c r="AF1636" s="230"/>
      <c r="AG1636" s="890"/>
      <c r="AJ1636" s="890"/>
      <c r="AN1636" s="223"/>
      <c r="AO1636" s="952"/>
      <c r="AP1636" s="1066"/>
      <c r="AQ1636" s="972"/>
      <c r="AR1636" s="1917"/>
      <c r="AS1636" s="222"/>
      <c r="AZ1636" s="889"/>
      <c r="BC1636" s="890"/>
      <c r="BD1636" s="952"/>
      <c r="BE1636" s="75"/>
      <c r="BF1636" s="572"/>
      <c r="BG1636" s="983"/>
      <c r="BH1636" s="222"/>
      <c r="BL1636" s="889"/>
      <c r="BO1636" s="223"/>
    </row>
    <row r="1637" spans="1:67" s="74" customFormat="1">
      <c r="A1637" s="15"/>
      <c r="B1637" s="15"/>
      <c r="C1637" s="15"/>
      <c r="D1637" s="15"/>
      <c r="E1637" s="6"/>
      <c r="F1637" s="6"/>
      <c r="G1637" s="6"/>
      <c r="K1637" s="223"/>
      <c r="M1637" s="889"/>
      <c r="P1637" s="890"/>
      <c r="T1637" s="889"/>
      <c r="X1637" s="15"/>
      <c r="Y1637" s="1935"/>
      <c r="Z1637" s="1086"/>
      <c r="AA1637" s="230"/>
      <c r="AB1637" s="230"/>
      <c r="AC1637" s="1936"/>
      <c r="AD1637" s="230"/>
      <c r="AE1637" s="230"/>
      <c r="AF1637" s="230"/>
      <c r="AG1637" s="890"/>
      <c r="AJ1637" s="890"/>
      <c r="AN1637" s="223"/>
      <c r="AO1637" s="952"/>
      <c r="AP1637" s="1066"/>
      <c r="AQ1637" s="972"/>
      <c r="AR1637" s="1917"/>
      <c r="AS1637" s="222"/>
      <c r="AZ1637" s="889"/>
      <c r="BC1637" s="890"/>
      <c r="BD1637" s="952"/>
      <c r="BE1637" s="75"/>
      <c r="BF1637" s="572"/>
      <c r="BG1637" s="983"/>
      <c r="BH1637" s="222"/>
      <c r="BL1637" s="889"/>
      <c r="BO1637" s="223"/>
    </row>
    <row r="1638" spans="1:67" s="74" customFormat="1">
      <c r="A1638" s="15"/>
      <c r="B1638" s="15"/>
      <c r="C1638" s="15"/>
      <c r="D1638" s="15"/>
      <c r="E1638" s="6"/>
      <c r="F1638" s="6"/>
      <c r="G1638" s="6"/>
      <c r="K1638" s="223"/>
      <c r="M1638" s="889"/>
      <c r="P1638" s="890"/>
      <c r="T1638" s="889"/>
      <c r="X1638" s="15"/>
      <c r="Y1638" s="1935"/>
      <c r="Z1638" s="1086"/>
      <c r="AA1638" s="230"/>
      <c r="AB1638" s="230"/>
      <c r="AC1638" s="1936"/>
      <c r="AD1638" s="230"/>
      <c r="AE1638" s="230"/>
      <c r="AF1638" s="230"/>
      <c r="AG1638" s="890"/>
      <c r="AJ1638" s="890"/>
      <c r="AN1638" s="223"/>
      <c r="AO1638" s="952"/>
      <c r="AP1638" s="1066"/>
      <c r="AQ1638" s="972"/>
      <c r="AR1638" s="1917"/>
      <c r="AS1638" s="222"/>
      <c r="AZ1638" s="889"/>
      <c r="BC1638" s="890"/>
      <c r="BD1638" s="952"/>
      <c r="BE1638" s="75"/>
      <c r="BF1638" s="572"/>
      <c r="BG1638" s="983"/>
      <c r="BH1638" s="222"/>
      <c r="BL1638" s="889"/>
      <c r="BO1638" s="223"/>
    </row>
    <row r="1639" spans="1:67" s="74" customFormat="1">
      <c r="A1639" s="15"/>
      <c r="B1639" s="15"/>
      <c r="C1639" s="15"/>
      <c r="D1639" s="15"/>
      <c r="E1639" s="6"/>
      <c r="F1639" s="6"/>
      <c r="G1639" s="6"/>
      <c r="K1639" s="223"/>
      <c r="M1639" s="889"/>
      <c r="P1639" s="890"/>
      <c r="T1639" s="889"/>
      <c r="X1639" s="15"/>
      <c r="Y1639" s="1935"/>
      <c r="Z1639" s="1086"/>
      <c r="AA1639" s="230"/>
      <c r="AB1639" s="230"/>
      <c r="AC1639" s="1936"/>
      <c r="AD1639" s="230"/>
      <c r="AE1639" s="230"/>
      <c r="AF1639" s="230"/>
      <c r="AG1639" s="890"/>
      <c r="AJ1639" s="890"/>
      <c r="AN1639" s="223"/>
      <c r="AO1639" s="952"/>
      <c r="AP1639" s="1066"/>
      <c r="AQ1639" s="972"/>
      <c r="AR1639" s="1917"/>
      <c r="AS1639" s="222"/>
      <c r="AZ1639" s="889"/>
      <c r="BC1639" s="890"/>
      <c r="BD1639" s="952"/>
      <c r="BE1639" s="75"/>
      <c r="BF1639" s="572"/>
      <c r="BG1639" s="983"/>
      <c r="BH1639" s="222"/>
      <c r="BL1639" s="889"/>
      <c r="BO1639" s="223"/>
    </row>
    <row r="1640" spans="1:67" s="74" customFormat="1">
      <c r="A1640" s="15"/>
      <c r="B1640" s="15"/>
      <c r="C1640" s="15"/>
      <c r="D1640" s="15"/>
      <c r="E1640" s="6"/>
      <c r="F1640" s="6"/>
      <c r="G1640" s="6"/>
      <c r="K1640" s="223"/>
      <c r="M1640" s="889"/>
      <c r="P1640" s="890"/>
      <c r="T1640" s="889"/>
      <c r="X1640" s="15"/>
      <c r="Y1640" s="1935"/>
      <c r="Z1640" s="1086"/>
      <c r="AA1640" s="230"/>
      <c r="AB1640" s="230"/>
      <c r="AC1640" s="1936"/>
      <c r="AD1640" s="230"/>
      <c r="AE1640" s="230"/>
      <c r="AF1640" s="230"/>
      <c r="AG1640" s="890"/>
      <c r="AJ1640" s="890"/>
      <c r="AN1640" s="223"/>
      <c r="AO1640" s="952"/>
      <c r="AP1640" s="1066"/>
      <c r="AQ1640" s="972"/>
      <c r="AR1640" s="1917"/>
      <c r="AS1640" s="222"/>
      <c r="AZ1640" s="889"/>
      <c r="BC1640" s="890"/>
      <c r="BD1640" s="952"/>
      <c r="BE1640" s="75"/>
      <c r="BF1640" s="572"/>
      <c r="BG1640" s="983"/>
      <c r="BH1640" s="222"/>
      <c r="BL1640" s="889"/>
      <c r="BO1640" s="223"/>
    </row>
    <row r="1641" spans="1:67" s="74" customFormat="1">
      <c r="A1641" s="15"/>
      <c r="B1641" s="15"/>
      <c r="C1641" s="15"/>
      <c r="D1641" s="15"/>
      <c r="E1641" s="6"/>
      <c r="F1641" s="6"/>
      <c r="G1641" s="6"/>
      <c r="K1641" s="223"/>
      <c r="M1641" s="889"/>
      <c r="P1641" s="890"/>
      <c r="T1641" s="889"/>
      <c r="X1641" s="15"/>
      <c r="Y1641" s="1935"/>
      <c r="Z1641" s="1086"/>
      <c r="AA1641" s="230"/>
      <c r="AB1641" s="230"/>
      <c r="AC1641" s="1936"/>
      <c r="AD1641" s="230"/>
      <c r="AE1641" s="230"/>
      <c r="AF1641" s="230"/>
      <c r="AG1641" s="890"/>
      <c r="AJ1641" s="890"/>
      <c r="AN1641" s="223"/>
      <c r="AO1641" s="952"/>
      <c r="AP1641" s="1066"/>
      <c r="AQ1641" s="972"/>
      <c r="AR1641" s="1917"/>
      <c r="AS1641" s="222"/>
      <c r="AZ1641" s="889"/>
      <c r="BC1641" s="890"/>
      <c r="BD1641" s="952"/>
      <c r="BE1641" s="75"/>
      <c r="BF1641" s="572"/>
      <c r="BG1641" s="983"/>
      <c r="BH1641" s="222"/>
      <c r="BL1641" s="889"/>
      <c r="BO1641" s="223"/>
    </row>
    <row r="1642" spans="1:67" s="74" customFormat="1">
      <c r="A1642" s="15"/>
      <c r="B1642" s="15"/>
      <c r="C1642" s="15"/>
      <c r="D1642" s="15"/>
      <c r="E1642" s="6"/>
      <c r="F1642" s="6"/>
      <c r="G1642" s="6"/>
      <c r="K1642" s="223"/>
      <c r="M1642" s="889"/>
      <c r="P1642" s="890"/>
      <c r="T1642" s="889"/>
      <c r="X1642" s="15"/>
      <c r="Y1642" s="1935"/>
      <c r="Z1642" s="1086"/>
      <c r="AA1642" s="230"/>
      <c r="AB1642" s="230"/>
      <c r="AC1642" s="1936"/>
      <c r="AD1642" s="230"/>
      <c r="AE1642" s="230"/>
      <c r="AF1642" s="230"/>
      <c r="AG1642" s="890"/>
      <c r="AJ1642" s="890"/>
      <c r="AN1642" s="223"/>
      <c r="AO1642" s="952"/>
      <c r="AP1642" s="1066"/>
      <c r="AQ1642" s="972"/>
      <c r="AR1642" s="1917"/>
      <c r="AS1642" s="222"/>
      <c r="AZ1642" s="889"/>
      <c r="BC1642" s="890"/>
      <c r="BD1642" s="952"/>
      <c r="BE1642" s="75"/>
      <c r="BF1642" s="572"/>
      <c r="BG1642" s="983"/>
      <c r="BH1642" s="222"/>
      <c r="BL1642" s="889"/>
      <c r="BO1642" s="223"/>
    </row>
    <row r="1643" spans="1:67" s="74" customFormat="1">
      <c r="A1643" s="15"/>
      <c r="B1643" s="15"/>
      <c r="C1643" s="15"/>
      <c r="D1643" s="15"/>
      <c r="E1643" s="6"/>
      <c r="F1643" s="6"/>
      <c r="G1643" s="6"/>
      <c r="K1643" s="223"/>
      <c r="M1643" s="889"/>
      <c r="P1643" s="890"/>
      <c r="T1643" s="889"/>
      <c r="X1643" s="15"/>
      <c r="Y1643" s="1935"/>
      <c r="Z1643" s="1086"/>
      <c r="AA1643" s="230"/>
      <c r="AB1643" s="230"/>
      <c r="AC1643" s="1936"/>
      <c r="AD1643" s="230"/>
      <c r="AE1643" s="230"/>
      <c r="AF1643" s="230"/>
      <c r="AG1643" s="890"/>
      <c r="AJ1643" s="890"/>
      <c r="AN1643" s="223"/>
      <c r="AO1643" s="952"/>
      <c r="AP1643" s="1066"/>
      <c r="AQ1643" s="972"/>
      <c r="AR1643" s="1917"/>
      <c r="AS1643" s="222"/>
      <c r="AZ1643" s="889"/>
      <c r="BC1643" s="890"/>
      <c r="BD1643" s="952"/>
      <c r="BE1643" s="75"/>
      <c r="BF1643" s="572"/>
      <c r="BG1643" s="983"/>
      <c r="BH1643" s="222"/>
      <c r="BL1643" s="889"/>
      <c r="BO1643" s="223"/>
    </row>
    <row r="1644" spans="1:67" s="74" customFormat="1">
      <c r="A1644" s="15"/>
      <c r="B1644" s="15"/>
      <c r="C1644" s="15"/>
      <c r="D1644" s="15"/>
      <c r="E1644" s="6"/>
      <c r="F1644" s="6"/>
      <c r="G1644" s="6"/>
      <c r="K1644" s="223"/>
      <c r="M1644" s="889"/>
      <c r="P1644" s="890"/>
      <c r="T1644" s="889"/>
      <c r="X1644" s="15"/>
      <c r="Y1644" s="1935"/>
      <c r="Z1644" s="1086"/>
      <c r="AA1644" s="230"/>
      <c r="AB1644" s="230"/>
      <c r="AC1644" s="1936"/>
      <c r="AD1644" s="230"/>
      <c r="AE1644" s="230"/>
      <c r="AF1644" s="230"/>
      <c r="AG1644" s="890"/>
      <c r="AJ1644" s="890"/>
      <c r="AN1644" s="223"/>
      <c r="AO1644" s="952"/>
      <c r="AP1644" s="1066"/>
      <c r="AQ1644" s="972"/>
      <c r="AR1644" s="1917"/>
      <c r="AS1644" s="222"/>
      <c r="AZ1644" s="889"/>
      <c r="BC1644" s="890"/>
      <c r="BD1644" s="952"/>
      <c r="BE1644" s="75"/>
      <c r="BF1644" s="572"/>
      <c r="BG1644" s="983"/>
      <c r="BH1644" s="222"/>
      <c r="BL1644" s="889"/>
      <c r="BO1644" s="223"/>
    </row>
    <row r="1645" spans="1:67" s="74" customFormat="1">
      <c r="A1645" s="15"/>
      <c r="B1645" s="15"/>
      <c r="C1645" s="15"/>
      <c r="D1645" s="15"/>
      <c r="E1645" s="6"/>
      <c r="F1645" s="6"/>
      <c r="G1645" s="6"/>
      <c r="K1645" s="223"/>
      <c r="M1645" s="889"/>
      <c r="P1645" s="890"/>
      <c r="T1645" s="889"/>
      <c r="X1645" s="15"/>
      <c r="Y1645" s="1935"/>
      <c r="Z1645" s="1086"/>
      <c r="AA1645" s="230"/>
      <c r="AB1645" s="230"/>
      <c r="AC1645" s="1936"/>
      <c r="AD1645" s="230"/>
      <c r="AE1645" s="230"/>
      <c r="AF1645" s="230"/>
      <c r="AG1645" s="890"/>
      <c r="AJ1645" s="890"/>
      <c r="AN1645" s="223"/>
      <c r="AO1645" s="952"/>
      <c r="AP1645" s="1066"/>
      <c r="AQ1645" s="972"/>
      <c r="AR1645" s="1917"/>
      <c r="AS1645" s="222"/>
      <c r="AZ1645" s="889"/>
      <c r="BC1645" s="890"/>
      <c r="BD1645" s="952"/>
      <c r="BE1645" s="75"/>
      <c r="BF1645" s="572"/>
      <c r="BG1645" s="983"/>
      <c r="BH1645" s="222"/>
      <c r="BL1645" s="889"/>
      <c r="BO1645" s="223"/>
    </row>
    <row r="1646" spans="1:67" s="74" customFormat="1">
      <c r="A1646" s="15"/>
      <c r="B1646" s="15"/>
      <c r="C1646" s="15"/>
      <c r="D1646" s="15"/>
      <c r="E1646" s="6"/>
      <c r="F1646" s="6"/>
      <c r="G1646" s="6"/>
      <c r="K1646" s="223"/>
      <c r="M1646" s="889"/>
      <c r="P1646" s="890"/>
      <c r="T1646" s="889"/>
      <c r="X1646" s="15"/>
      <c r="Y1646" s="1935"/>
      <c r="Z1646" s="1086"/>
      <c r="AA1646" s="230"/>
      <c r="AB1646" s="230"/>
      <c r="AC1646" s="1936"/>
      <c r="AD1646" s="230"/>
      <c r="AE1646" s="230"/>
      <c r="AF1646" s="230"/>
      <c r="AG1646" s="890"/>
      <c r="AJ1646" s="890"/>
      <c r="AN1646" s="223"/>
      <c r="AO1646" s="952"/>
      <c r="AP1646" s="1066"/>
      <c r="AQ1646" s="972"/>
      <c r="AR1646" s="1917"/>
      <c r="AS1646" s="222"/>
      <c r="AZ1646" s="889"/>
      <c r="BC1646" s="890"/>
      <c r="BD1646" s="952"/>
      <c r="BE1646" s="75"/>
      <c r="BF1646" s="572"/>
      <c r="BG1646" s="983"/>
      <c r="BH1646" s="222"/>
      <c r="BL1646" s="889"/>
      <c r="BO1646" s="223"/>
    </row>
    <row r="1647" spans="1:67" s="74" customFormat="1">
      <c r="A1647" s="15"/>
      <c r="B1647" s="15"/>
      <c r="C1647" s="15"/>
      <c r="D1647" s="15"/>
      <c r="E1647" s="6"/>
      <c r="F1647" s="6"/>
      <c r="G1647" s="6"/>
      <c r="K1647" s="223"/>
      <c r="M1647" s="889"/>
      <c r="P1647" s="890"/>
      <c r="T1647" s="889"/>
      <c r="X1647" s="15"/>
      <c r="Y1647" s="1935"/>
      <c r="Z1647" s="1086"/>
      <c r="AA1647" s="230"/>
      <c r="AB1647" s="230"/>
      <c r="AC1647" s="1936"/>
      <c r="AD1647" s="230"/>
      <c r="AE1647" s="230"/>
      <c r="AF1647" s="230"/>
      <c r="AG1647" s="890"/>
      <c r="AJ1647" s="890"/>
      <c r="AN1647" s="223"/>
      <c r="AO1647" s="952"/>
      <c r="AP1647" s="1066"/>
      <c r="AQ1647" s="972"/>
      <c r="AR1647" s="1917"/>
      <c r="AS1647" s="222"/>
      <c r="AZ1647" s="889"/>
      <c r="BC1647" s="890"/>
      <c r="BD1647" s="952"/>
      <c r="BE1647" s="75"/>
      <c r="BF1647" s="572"/>
      <c r="BG1647" s="983"/>
      <c r="BH1647" s="222"/>
      <c r="BL1647" s="889"/>
      <c r="BO1647" s="223"/>
    </row>
    <row r="1648" spans="1:67" s="74" customFormat="1">
      <c r="A1648" s="15"/>
      <c r="B1648" s="15"/>
      <c r="C1648" s="15"/>
      <c r="D1648" s="15"/>
      <c r="E1648" s="6"/>
      <c r="F1648" s="6"/>
      <c r="G1648" s="6"/>
      <c r="K1648" s="223"/>
      <c r="M1648" s="889"/>
      <c r="P1648" s="890"/>
      <c r="T1648" s="889"/>
      <c r="X1648" s="15"/>
      <c r="Y1648" s="1935"/>
      <c r="Z1648" s="1086"/>
      <c r="AA1648" s="230"/>
      <c r="AB1648" s="230"/>
      <c r="AC1648" s="1936"/>
      <c r="AD1648" s="230"/>
      <c r="AE1648" s="230"/>
      <c r="AF1648" s="230"/>
      <c r="AG1648" s="890"/>
      <c r="AJ1648" s="890"/>
      <c r="AN1648" s="223"/>
      <c r="AO1648" s="952"/>
      <c r="AP1648" s="1066"/>
      <c r="AQ1648" s="972"/>
      <c r="AR1648" s="1917"/>
      <c r="AS1648" s="222"/>
      <c r="AZ1648" s="889"/>
      <c r="BC1648" s="890"/>
      <c r="BD1648" s="952"/>
      <c r="BE1648" s="75"/>
      <c r="BF1648" s="572"/>
      <c r="BG1648" s="983"/>
      <c r="BH1648" s="222"/>
      <c r="BL1648" s="889"/>
      <c r="BO1648" s="223"/>
    </row>
    <row r="1649" spans="1:67" s="74" customFormat="1">
      <c r="A1649" s="15"/>
      <c r="B1649" s="15"/>
      <c r="C1649" s="15"/>
      <c r="D1649" s="15"/>
      <c r="E1649" s="6"/>
      <c r="F1649" s="6"/>
      <c r="G1649" s="6"/>
      <c r="K1649" s="223"/>
      <c r="M1649" s="889"/>
      <c r="P1649" s="890"/>
      <c r="T1649" s="889"/>
      <c r="X1649" s="15"/>
      <c r="Y1649" s="1935"/>
      <c r="Z1649" s="1086"/>
      <c r="AA1649" s="230"/>
      <c r="AB1649" s="230"/>
      <c r="AC1649" s="1936"/>
      <c r="AD1649" s="230"/>
      <c r="AE1649" s="230"/>
      <c r="AF1649" s="230"/>
      <c r="AG1649" s="890"/>
      <c r="AJ1649" s="890"/>
      <c r="AN1649" s="223"/>
      <c r="AO1649" s="952"/>
      <c r="AP1649" s="1066"/>
      <c r="AQ1649" s="972"/>
      <c r="AR1649" s="1917"/>
      <c r="AS1649" s="222"/>
      <c r="AZ1649" s="889"/>
      <c r="BC1649" s="890"/>
      <c r="BD1649" s="952"/>
      <c r="BE1649" s="75"/>
      <c r="BF1649" s="572"/>
      <c r="BG1649" s="983"/>
      <c r="BH1649" s="222"/>
      <c r="BL1649" s="889"/>
      <c r="BO1649" s="223"/>
    </row>
    <row r="1650" spans="1:67" s="74" customFormat="1">
      <c r="A1650" s="15"/>
      <c r="B1650" s="15"/>
      <c r="C1650" s="15"/>
      <c r="D1650" s="15"/>
      <c r="E1650" s="6"/>
      <c r="F1650" s="6"/>
      <c r="G1650" s="6"/>
      <c r="K1650" s="223"/>
      <c r="M1650" s="889"/>
      <c r="P1650" s="890"/>
      <c r="T1650" s="889"/>
      <c r="X1650" s="15"/>
      <c r="Y1650" s="1935"/>
      <c r="Z1650" s="1086"/>
      <c r="AA1650" s="230"/>
      <c r="AB1650" s="230"/>
      <c r="AC1650" s="1936"/>
      <c r="AD1650" s="230"/>
      <c r="AE1650" s="230"/>
      <c r="AF1650" s="230"/>
      <c r="AG1650" s="890"/>
      <c r="AJ1650" s="890"/>
      <c r="AN1650" s="223"/>
      <c r="AO1650" s="952"/>
      <c r="AP1650" s="1066"/>
      <c r="AQ1650" s="972"/>
      <c r="AR1650" s="1917"/>
      <c r="AS1650" s="222"/>
      <c r="AZ1650" s="889"/>
      <c r="BC1650" s="890"/>
      <c r="BD1650" s="952"/>
      <c r="BE1650" s="75"/>
      <c r="BF1650" s="572"/>
      <c r="BG1650" s="983"/>
      <c r="BH1650" s="222"/>
      <c r="BL1650" s="889"/>
      <c r="BO1650" s="223"/>
    </row>
    <row r="1651" spans="1:67" s="74" customFormat="1">
      <c r="A1651" s="15"/>
      <c r="B1651" s="15"/>
      <c r="C1651" s="15"/>
      <c r="D1651" s="15"/>
      <c r="E1651" s="6"/>
      <c r="F1651" s="6"/>
      <c r="G1651" s="6"/>
      <c r="K1651" s="223"/>
      <c r="M1651" s="889"/>
      <c r="P1651" s="890"/>
      <c r="T1651" s="889"/>
      <c r="X1651" s="15"/>
      <c r="Y1651" s="1935"/>
      <c r="Z1651" s="1086"/>
      <c r="AA1651" s="230"/>
      <c r="AB1651" s="230"/>
      <c r="AC1651" s="1936"/>
      <c r="AD1651" s="230"/>
      <c r="AE1651" s="230"/>
      <c r="AF1651" s="230"/>
      <c r="AG1651" s="890"/>
      <c r="AJ1651" s="890"/>
      <c r="AN1651" s="223"/>
      <c r="AO1651" s="952"/>
      <c r="AP1651" s="1066"/>
      <c r="AQ1651" s="972"/>
      <c r="AR1651" s="1917"/>
      <c r="AS1651" s="222"/>
      <c r="AZ1651" s="889"/>
      <c r="BC1651" s="890"/>
      <c r="BD1651" s="952"/>
      <c r="BE1651" s="75"/>
      <c r="BF1651" s="572"/>
      <c r="BG1651" s="983"/>
      <c r="BH1651" s="222"/>
      <c r="BL1651" s="889"/>
      <c r="BO1651" s="223"/>
    </row>
    <row r="1652" spans="1:67" s="74" customFormat="1">
      <c r="A1652" s="15"/>
      <c r="B1652" s="15"/>
      <c r="C1652" s="15"/>
      <c r="D1652" s="15"/>
      <c r="E1652" s="6"/>
      <c r="F1652" s="6"/>
      <c r="G1652" s="6"/>
      <c r="K1652" s="223"/>
      <c r="M1652" s="889"/>
      <c r="P1652" s="890"/>
      <c r="T1652" s="889"/>
      <c r="X1652" s="15"/>
      <c r="Y1652" s="1935"/>
      <c r="Z1652" s="1086"/>
      <c r="AA1652" s="230"/>
      <c r="AB1652" s="230"/>
      <c r="AC1652" s="1936"/>
      <c r="AD1652" s="230"/>
      <c r="AE1652" s="230"/>
      <c r="AF1652" s="230"/>
      <c r="AG1652" s="890"/>
      <c r="AJ1652" s="890"/>
      <c r="AN1652" s="223"/>
      <c r="AO1652" s="952"/>
      <c r="AP1652" s="1066"/>
      <c r="AQ1652" s="972"/>
      <c r="AR1652" s="1917"/>
      <c r="AS1652" s="222"/>
      <c r="AZ1652" s="889"/>
      <c r="BC1652" s="890"/>
      <c r="BD1652" s="952"/>
      <c r="BE1652" s="75"/>
      <c r="BF1652" s="572"/>
      <c r="BG1652" s="983"/>
      <c r="BH1652" s="222"/>
      <c r="BL1652" s="889"/>
      <c r="BO1652" s="223"/>
    </row>
    <row r="1653" spans="1:67" s="74" customFormat="1">
      <c r="A1653" s="15"/>
      <c r="B1653" s="15"/>
      <c r="C1653" s="15"/>
      <c r="D1653" s="15"/>
      <c r="E1653" s="6"/>
      <c r="F1653" s="6"/>
      <c r="G1653" s="6"/>
      <c r="K1653" s="223"/>
      <c r="M1653" s="889"/>
      <c r="P1653" s="890"/>
      <c r="T1653" s="889"/>
      <c r="X1653" s="15"/>
      <c r="Y1653" s="1935"/>
      <c r="Z1653" s="1086"/>
      <c r="AA1653" s="230"/>
      <c r="AB1653" s="230"/>
      <c r="AC1653" s="1936"/>
      <c r="AD1653" s="230"/>
      <c r="AE1653" s="230"/>
      <c r="AF1653" s="230"/>
      <c r="AG1653" s="890"/>
      <c r="AJ1653" s="890"/>
      <c r="AN1653" s="223"/>
      <c r="AO1653" s="952"/>
      <c r="AP1653" s="1066"/>
      <c r="AQ1653" s="972"/>
      <c r="AR1653" s="1917"/>
      <c r="AS1653" s="222"/>
      <c r="AZ1653" s="889"/>
      <c r="BC1653" s="890"/>
      <c r="BD1653" s="952"/>
      <c r="BE1653" s="75"/>
      <c r="BF1653" s="572"/>
      <c r="BG1653" s="983"/>
      <c r="BH1653" s="222"/>
      <c r="BL1653" s="889"/>
      <c r="BO1653" s="223"/>
    </row>
    <row r="1654" spans="1:67" s="74" customFormat="1">
      <c r="A1654" s="15"/>
      <c r="B1654" s="15"/>
      <c r="C1654" s="15"/>
      <c r="D1654" s="15"/>
      <c r="E1654" s="6"/>
      <c r="F1654" s="6"/>
      <c r="G1654" s="6"/>
      <c r="K1654" s="223"/>
      <c r="M1654" s="889"/>
      <c r="P1654" s="890"/>
      <c r="T1654" s="889"/>
      <c r="X1654" s="15"/>
      <c r="Y1654" s="1935"/>
      <c r="Z1654" s="1086"/>
      <c r="AA1654" s="230"/>
      <c r="AB1654" s="230"/>
      <c r="AC1654" s="1936"/>
      <c r="AD1654" s="230"/>
      <c r="AE1654" s="230"/>
      <c r="AF1654" s="230"/>
      <c r="AG1654" s="890"/>
      <c r="AJ1654" s="890"/>
      <c r="AN1654" s="223"/>
      <c r="AO1654" s="952"/>
      <c r="AP1654" s="1066"/>
      <c r="AQ1654" s="972"/>
      <c r="AR1654" s="1917"/>
      <c r="AS1654" s="222"/>
      <c r="AZ1654" s="889"/>
      <c r="BC1654" s="890"/>
      <c r="BD1654" s="952"/>
      <c r="BE1654" s="75"/>
      <c r="BF1654" s="572"/>
      <c r="BG1654" s="983"/>
      <c r="BH1654" s="222"/>
      <c r="BL1654" s="889"/>
      <c r="BO1654" s="223"/>
    </row>
    <row r="1655" spans="1:67" s="74" customFormat="1">
      <c r="A1655" s="15"/>
      <c r="B1655" s="15"/>
      <c r="C1655" s="15"/>
      <c r="D1655" s="15"/>
      <c r="E1655" s="6"/>
      <c r="F1655" s="6"/>
      <c r="G1655" s="6"/>
      <c r="K1655" s="223"/>
      <c r="M1655" s="889"/>
      <c r="P1655" s="890"/>
      <c r="T1655" s="889"/>
      <c r="X1655" s="15"/>
      <c r="Y1655" s="1935"/>
      <c r="Z1655" s="1086"/>
      <c r="AA1655" s="230"/>
      <c r="AB1655" s="230"/>
      <c r="AC1655" s="1936"/>
      <c r="AD1655" s="230"/>
      <c r="AE1655" s="230"/>
      <c r="AF1655" s="230"/>
      <c r="AG1655" s="890"/>
      <c r="AJ1655" s="890"/>
      <c r="AN1655" s="223"/>
      <c r="AO1655" s="952"/>
      <c r="AP1655" s="1066"/>
      <c r="AQ1655" s="972"/>
      <c r="AR1655" s="1917"/>
      <c r="AS1655" s="222"/>
      <c r="AZ1655" s="889"/>
      <c r="BC1655" s="890"/>
      <c r="BD1655" s="952"/>
      <c r="BE1655" s="75"/>
      <c r="BF1655" s="572"/>
      <c r="BG1655" s="983"/>
      <c r="BH1655" s="222"/>
      <c r="BL1655" s="889"/>
      <c r="BO1655" s="223"/>
    </row>
    <row r="1656" spans="1:67" s="74" customFormat="1">
      <c r="A1656" s="15"/>
      <c r="B1656" s="15"/>
      <c r="C1656" s="15"/>
      <c r="D1656" s="15"/>
      <c r="E1656" s="6"/>
      <c r="F1656" s="6"/>
      <c r="G1656" s="6"/>
      <c r="K1656" s="223"/>
      <c r="M1656" s="889"/>
      <c r="P1656" s="890"/>
      <c r="T1656" s="889"/>
      <c r="X1656" s="15"/>
      <c r="Y1656" s="1935"/>
      <c r="Z1656" s="1086"/>
      <c r="AA1656" s="230"/>
      <c r="AB1656" s="230"/>
      <c r="AC1656" s="1936"/>
      <c r="AD1656" s="230"/>
      <c r="AE1656" s="230"/>
      <c r="AF1656" s="230"/>
      <c r="AG1656" s="890"/>
      <c r="AJ1656" s="890"/>
      <c r="AN1656" s="223"/>
      <c r="AO1656" s="952"/>
      <c r="AP1656" s="1066"/>
      <c r="AQ1656" s="972"/>
      <c r="AR1656" s="1917"/>
      <c r="AS1656" s="222"/>
      <c r="AZ1656" s="889"/>
      <c r="BC1656" s="890"/>
      <c r="BD1656" s="952"/>
      <c r="BE1656" s="75"/>
      <c r="BF1656" s="572"/>
      <c r="BG1656" s="983"/>
      <c r="BH1656" s="222"/>
      <c r="BL1656" s="889"/>
      <c r="BO1656" s="223"/>
    </row>
    <row r="1657" spans="1:67" s="74" customFormat="1">
      <c r="A1657" s="15"/>
      <c r="B1657" s="15"/>
      <c r="C1657" s="15"/>
      <c r="D1657" s="15"/>
      <c r="E1657" s="6"/>
      <c r="F1657" s="6"/>
      <c r="G1657" s="6"/>
      <c r="K1657" s="223"/>
      <c r="M1657" s="889"/>
      <c r="P1657" s="890"/>
      <c r="T1657" s="889"/>
      <c r="X1657" s="15"/>
      <c r="Y1657" s="1935"/>
      <c r="Z1657" s="1086"/>
      <c r="AA1657" s="230"/>
      <c r="AB1657" s="230"/>
      <c r="AC1657" s="1936"/>
      <c r="AD1657" s="230"/>
      <c r="AE1657" s="230"/>
      <c r="AF1657" s="230"/>
      <c r="AG1657" s="890"/>
      <c r="AJ1657" s="890"/>
      <c r="AN1657" s="223"/>
      <c r="AO1657" s="952"/>
      <c r="AP1657" s="1066"/>
      <c r="AQ1657" s="972"/>
      <c r="AR1657" s="1917"/>
      <c r="AS1657" s="222"/>
      <c r="AZ1657" s="889"/>
      <c r="BC1657" s="890"/>
      <c r="BD1657" s="952"/>
      <c r="BE1657" s="75"/>
      <c r="BF1657" s="572"/>
      <c r="BG1657" s="983"/>
      <c r="BH1657" s="222"/>
      <c r="BL1657" s="889"/>
      <c r="BO1657" s="223"/>
    </row>
    <row r="1658" spans="1:67" s="74" customFormat="1">
      <c r="A1658" s="15"/>
      <c r="B1658" s="15"/>
      <c r="C1658" s="15"/>
      <c r="D1658" s="15"/>
      <c r="E1658" s="6"/>
      <c r="F1658" s="6"/>
      <c r="G1658" s="6"/>
      <c r="K1658" s="223"/>
      <c r="M1658" s="889"/>
      <c r="P1658" s="890"/>
      <c r="T1658" s="889"/>
      <c r="X1658" s="15"/>
      <c r="Y1658" s="1935"/>
      <c r="Z1658" s="1086"/>
      <c r="AA1658" s="230"/>
      <c r="AB1658" s="230"/>
      <c r="AC1658" s="1936"/>
      <c r="AD1658" s="230"/>
      <c r="AE1658" s="230"/>
      <c r="AF1658" s="230"/>
      <c r="AG1658" s="890"/>
      <c r="AJ1658" s="890"/>
      <c r="AN1658" s="223"/>
      <c r="AO1658" s="952"/>
      <c r="AP1658" s="1066"/>
      <c r="AQ1658" s="972"/>
      <c r="AR1658" s="1917"/>
      <c r="AS1658" s="222"/>
      <c r="AZ1658" s="889"/>
      <c r="BC1658" s="890"/>
      <c r="BD1658" s="952"/>
      <c r="BE1658" s="75"/>
      <c r="BF1658" s="572"/>
      <c r="BG1658" s="983"/>
      <c r="BH1658" s="222"/>
      <c r="BL1658" s="889"/>
      <c r="BO1658" s="223"/>
    </row>
    <row r="1659" spans="1:67" s="74" customFormat="1">
      <c r="A1659" s="15"/>
      <c r="B1659" s="15"/>
      <c r="C1659" s="15"/>
      <c r="D1659" s="15"/>
      <c r="E1659" s="6"/>
      <c r="F1659" s="6"/>
      <c r="G1659" s="6"/>
      <c r="K1659" s="223"/>
      <c r="M1659" s="889"/>
      <c r="P1659" s="890"/>
      <c r="T1659" s="889"/>
      <c r="X1659" s="15"/>
      <c r="Y1659" s="1935"/>
      <c r="Z1659" s="1086"/>
      <c r="AA1659" s="230"/>
      <c r="AB1659" s="230"/>
      <c r="AC1659" s="1936"/>
      <c r="AD1659" s="230"/>
      <c r="AE1659" s="230"/>
      <c r="AF1659" s="230"/>
      <c r="AG1659" s="890"/>
      <c r="AJ1659" s="890"/>
      <c r="AN1659" s="223"/>
      <c r="AO1659" s="952"/>
      <c r="AP1659" s="1066"/>
      <c r="AQ1659" s="972"/>
      <c r="AR1659" s="1917"/>
      <c r="AS1659" s="222"/>
      <c r="AZ1659" s="889"/>
      <c r="BC1659" s="890"/>
      <c r="BD1659" s="952"/>
      <c r="BE1659" s="75"/>
      <c r="BF1659" s="572"/>
      <c r="BG1659" s="983"/>
      <c r="BH1659" s="222"/>
      <c r="BL1659" s="889"/>
      <c r="BO1659" s="223"/>
    </row>
    <row r="1660" spans="1:67" s="74" customFormat="1">
      <c r="A1660" s="15"/>
      <c r="B1660" s="15"/>
      <c r="C1660" s="15"/>
      <c r="D1660" s="15"/>
      <c r="E1660" s="6"/>
      <c r="F1660" s="6"/>
      <c r="G1660" s="6"/>
      <c r="K1660" s="223"/>
      <c r="M1660" s="889"/>
      <c r="P1660" s="890"/>
      <c r="T1660" s="889"/>
      <c r="X1660" s="15"/>
      <c r="Y1660" s="1935"/>
      <c r="Z1660" s="1086"/>
      <c r="AA1660" s="230"/>
      <c r="AB1660" s="230"/>
      <c r="AC1660" s="1936"/>
      <c r="AD1660" s="230"/>
      <c r="AE1660" s="230"/>
      <c r="AF1660" s="230"/>
      <c r="AG1660" s="890"/>
      <c r="AJ1660" s="890"/>
      <c r="AN1660" s="223"/>
      <c r="AO1660" s="952"/>
      <c r="AP1660" s="1066"/>
      <c r="AQ1660" s="972"/>
      <c r="AR1660" s="1917"/>
      <c r="AS1660" s="222"/>
      <c r="AZ1660" s="889"/>
      <c r="BC1660" s="890"/>
      <c r="BD1660" s="952"/>
      <c r="BE1660" s="75"/>
      <c r="BF1660" s="572"/>
      <c r="BG1660" s="983"/>
      <c r="BH1660" s="222"/>
      <c r="BL1660" s="889"/>
      <c r="BO1660" s="223"/>
    </row>
    <row r="1661" spans="1:67" s="74" customFormat="1">
      <c r="A1661" s="15"/>
      <c r="B1661" s="15"/>
      <c r="C1661" s="15"/>
      <c r="D1661" s="15"/>
      <c r="E1661" s="6"/>
      <c r="F1661" s="6"/>
      <c r="G1661" s="6"/>
      <c r="K1661" s="223"/>
      <c r="M1661" s="889"/>
      <c r="P1661" s="890"/>
      <c r="T1661" s="889"/>
      <c r="X1661" s="15"/>
      <c r="Y1661" s="1935"/>
      <c r="Z1661" s="1086"/>
      <c r="AA1661" s="230"/>
      <c r="AB1661" s="230"/>
      <c r="AC1661" s="1936"/>
      <c r="AD1661" s="230"/>
      <c r="AE1661" s="230"/>
      <c r="AF1661" s="230"/>
      <c r="AG1661" s="890"/>
      <c r="AJ1661" s="890"/>
      <c r="AN1661" s="223"/>
      <c r="AO1661" s="952"/>
      <c r="AP1661" s="1066"/>
      <c r="AQ1661" s="972"/>
      <c r="AR1661" s="1917"/>
      <c r="AS1661" s="222"/>
      <c r="AZ1661" s="889"/>
      <c r="BC1661" s="890"/>
      <c r="BD1661" s="952"/>
      <c r="BE1661" s="75"/>
      <c r="BF1661" s="572"/>
      <c r="BG1661" s="983"/>
      <c r="BH1661" s="222"/>
      <c r="BL1661" s="889"/>
      <c r="BO1661" s="223"/>
    </row>
    <row r="1662" spans="1:67" s="74" customFormat="1">
      <c r="A1662" s="15"/>
      <c r="B1662" s="15"/>
      <c r="C1662" s="15"/>
      <c r="D1662" s="15"/>
      <c r="E1662" s="6"/>
      <c r="F1662" s="6"/>
      <c r="G1662" s="6"/>
      <c r="K1662" s="223"/>
      <c r="M1662" s="889"/>
      <c r="P1662" s="890"/>
      <c r="T1662" s="889"/>
      <c r="X1662" s="15"/>
      <c r="Y1662" s="1935"/>
      <c r="Z1662" s="1086"/>
      <c r="AA1662" s="230"/>
      <c r="AB1662" s="230"/>
      <c r="AC1662" s="1936"/>
      <c r="AD1662" s="230"/>
      <c r="AE1662" s="230"/>
      <c r="AF1662" s="230"/>
      <c r="AG1662" s="890"/>
      <c r="AJ1662" s="890"/>
      <c r="AN1662" s="223"/>
      <c r="AO1662" s="952"/>
      <c r="AP1662" s="1066"/>
      <c r="AQ1662" s="972"/>
      <c r="AR1662" s="1917"/>
      <c r="AS1662" s="222"/>
      <c r="AZ1662" s="889"/>
      <c r="BC1662" s="890"/>
      <c r="BD1662" s="952"/>
      <c r="BE1662" s="75"/>
      <c r="BF1662" s="572"/>
      <c r="BG1662" s="983"/>
      <c r="BH1662" s="222"/>
      <c r="BL1662" s="889"/>
      <c r="BO1662" s="223"/>
    </row>
    <row r="1663" spans="1:67" s="74" customFormat="1">
      <c r="A1663" s="15"/>
      <c r="B1663" s="15"/>
      <c r="C1663" s="15"/>
      <c r="D1663" s="15"/>
      <c r="E1663" s="6"/>
      <c r="F1663" s="6"/>
      <c r="G1663" s="6"/>
      <c r="K1663" s="223"/>
      <c r="M1663" s="889"/>
      <c r="P1663" s="890"/>
      <c r="T1663" s="889"/>
      <c r="X1663" s="15"/>
      <c r="Y1663" s="1935"/>
      <c r="Z1663" s="1086"/>
      <c r="AA1663" s="230"/>
      <c r="AB1663" s="230"/>
      <c r="AC1663" s="1936"/>
      <c r="AD1663" s="230"/>
      <c r="AE1663" s="230"/>
      <c r="AF1663" s="230"/>
      <c r="AG1663" s="890"/>
      <c r="AJ1663" s="890"/>
      <c r="AN1663" s="223"/>
      <c r="AO1663" s="952"/>
      <c r="AP1663" s="1066"/>
      <c r="AQ1663" s="972"/>
      <c r="AR1663" s="1917"/>
      <c r="AS1663" s="222"/>
      <c r="AZ1663" s="889"/>
      <c r="BC1663" s="890"/>
      <c r="BD1663" s="952"/>
      <c r="BE1663" s="75"/>
      <c r="BF1663" s="572"/>
      <c r="BG1663" s="983"/>
      <c r="BH1663" s="222"/>
      <c r="BL1663" s="889"/>
      <c r="BO1663" s="223"/>
    </row>
    <row r="1664" spans="1:67" s="74" customFormat="1">
      <c r="A1664" s="15"/>
      <c r="B1664" s="15"/>
      <c r="C1664" s="15"/>
      <c r="D1664" s="15"/>
      <c r="E1664" s="6"/>
      <c r="F1664" s="6"/>
      <c r="G1664" s="6"/>
      <c r="K1664" s="223"/>
      <c r="M1664" s="889"/>
      <c r="P1664" s="890"/>
      <c r="T1664" s="889"/>
      <c r="X1664" s="15"/>
      <c r="Y1664" s="1935"/>
      <c r="Z1664" s="1086"/>
      <c r="AA1664" s="230"/>
      <c r="AB1664" s="230"/>
      <c r="AC1664" s="1936"/>
      <c r="AD1664" s="230"/>
      <c r="AE1664" s="230"/>
      <c r="AF1664" s="230"/>
      <c r="AG1664" s="890"/>
      <c r="AJ1664" s="890"/>
      <c r="AN1664" s="223"/>
      <c r="AO1664" s="952"/>
      <c r="AP1664" s="1066"/>
      <c r="AQ1664" s="972"/>
      <c r="AR1664" s="1917"/>
      <c r="AS1664" s="222"/>
      <c r="AZ1664" s="889"/>
      <c r="BC1664" s="890"/>
      <c r="BD1664" s="952"/>
      <c r="BE1664" s="75"/>
      <c r="BF1664" s="572"/>
      <c r="BG1664" s="983"/>
      <c r="BH1664" s="222"/>
      <c r="BL1664" s="889"/>
      <c r="BO1664" s="223"/>
    </row>
    <row r="1665" spans="1:67" s="74" customFormat="1">
      <c r="A1665" s="15"/>
      <c r="B1665" s="15"/>
      <c r="C1665" s="15"/>
      <c r="D1665" s="15"/>
      <c r="E1665" s="6"/>
      <c r="F1665" s="6"/>
      <c r="G1665" s="6"/>
      <c r="K1665" s="223"/>
      <c r="M1665" s="889"/>
      <c r="P1665" s="890"/>
      <c r="T1665" s="889"/>
      <c r="X1665" s="15"/>
      <c r="Y1665" s="1935"/>
      <c r="Z1665" s="1086"/>
      <c r="AA1665" s="230"/>
      <c r="AB1665" s="230"/>
      <c r="AC1665" s="1936"/>
      <c r="AD1665" s="230"/>
      <c r="AE1665" s="230"/>
      <c r="AF1665" s="230"/>
      <c r="AG1665" s="890"/>
      <c r="AJ1665" s="890"/>
      <c r="AN1665" s="223"/>
      <c r="AO1665" s="952"/>
      <c r="AP1665" s="1066"/>
      <c r="AQ1665" s="972"/>
      <c r="AR1665" s="1917"/>
      <c r="AS1665" s="222"/>
      <c r="AZ1665" s="889"/>
      <c r="BC1665" s="890"/>
      <c r="BD1665" s="952"/>
      <c r="BE1665" s="75"/>
      <c r="BF1665" s="572"/>
      <c r="BG1665" s="983"/>
      <c r="BH1665" s="222"/>
      <c r="BL1665" s="889"/>
      <c r="BO1665" s="223"/>
    </row>
    <row r="1666" spans="1:67" s="74" customFormat="1">
      <c r="A1666" s="15"/>
      <c r="B1666" s="15"/>
      <c r="C1666" s="15"/>
      <c r="D1666" s="15"/>
      <c r="E1666" s="6"/>
      <c r="F1666" s="6"/>
      <c r="G1666" s="6"/>
      <c r="K1666" s="223"/>
      <c r="M1666" s="889"/>
      <c r="P1666" s="890"/>
      <c r="T1666" s="889"/>
      <c r="X1666" s="15"/>
      <c r="Y1666" s="1935"/>
      <c r="Z1666" s="1086"/>
      <c r="AA1666" s="230"/>
      <c r="AB1666" s="230"/>
      <c r="AC1666" s="1936"/>
      <c r="AD1666" s="230"/>
      <c r="AE1666" s="230"/>
      <c r="AF1666" s="230"/>
      <c r="AG1666" s="890"/>
      <c r="AJ1666" s="890"/>
      <c r="AN1666" s="223"/>
      <c r="AO1666" s="952"/>
      <c r="AP1666" s="1066"/>
      <c r="AQ1666" s="972"/>
      <c r="AR1666" s="1917"/>
      <c r="AS1666" s="222"/>
      <c r="AZ1666" s="889"/>
      <c r="BC1666" s="890"/>
      <c r="BD1666" s="952"/>
      <c r="BE1666" s="75"/>
      <c r="BF1666" s="572"/>
      <c r="BG1666" s="983"/>
      <c r="BH1666" s="222"/>
      <c r="BL1666" s="889"/>
      <c r="BO1666" s="223"/>
    </row>
    <row r="1667" spans="1:67" s="74" customFormat="1">
      <c r="A1667" s="15"/>
      <c r="B1667" s="15"/>
      <c r="C1667" s="15"/>
      <c r="D1667" s="15"/>
      <c r="E1667" s="6"/>
      <c r="F1667" s="6"/>
      <c r="G1667" s="6"/>
      <c r="K1667" s="223"/>
      <c r="M1667" s="889"/>
      <c r="P1667" s="890"/>
      <c r="T1667" s="889"/>
      <c r="X1667" s="15"/>
      <c r="Y1667" s="1935"/>
      <c r="Z1667" s="1086"/>
      <c r="AA1667" s="230"/>
      <c r="AB1667" s="230"/>
      <c r="AC1667" s="1936"/>
      <c r="AD1667" s="230"/>
      <c r="AE1667" s="230"/>
      <c r="AF1667" s="230"/>
      <c r="AG1667" s="890"/>
      <c r="AJ1667" s="890"/>
      <c r="AN1667" s="223"/>
      <c r="AO1667" s="952"/>
      <c r="AP1667" s="1066"/>
      <c r="AQ1667" s="972"/>
      <c r="AR1667" s="1917"/>
      <c r="AS1667" s="222"/>
      <c r="AZ1667" s="889"/>
      <c r="BC1667" s="890"/>
      <c r="BD1667" s="952"/>
      <c r="BE1667" s="75"/>
      <c r="BF1667" s="572"/>
      <c r="BG1667" s="983"/>
      <c r="BH1667" s="222"/>
      <c r="BL1667" s="889"/>
      <c r="BO1667" s="223"/>
    </row>
    <row r="1668" spans="1:67" s="74" customFormat="1">
      <c r="A1668" s="15"/>
      <c r="B1668" s="15"/>
      <c r="C1668" s="15"/>
      <c r="D1668" s="15"/>
      <c r="E1668" s="6"/>
      <c r="F1668" s="6"/>
      <c r="G1668" s="6"/>
      <c r="K1668" s="223"/>
      <c r="M1668" s="889"/>
      <c r="P1668" s="890"/>
      <c r="T1668" s="889"/>
      <c r="X1668" s="15"/>
      <c r="Y1668" s="1935"/>
      <c r="Z1668" s="1086"/>
      <c r="AA1668" s="230"/>
      <c r="AB1668" s="230"/>
      <c r="AC1668" s="1936"/>
      <c r="AD1668" s="230"/>
      <c r="AE1668" s="230"/>
      <c r="AF1668" s="230"/>
      <c r="AG1668" s="890"/>
      <c r="AJ1668" s="890"/>
      <c r="AN1668" s="223"/>
      <c r="AO1668" s="952"/>
      <c r="AP1668" s="1066"/>
      <c r="AQ1668" s="972"/>
      <c r="AR1668" s="1917"/>
      <c r="AS1668" s="222"/>
      <c r="AZ1668" s="889"/>
      <c r="BC1668" s="890"/>
      <c r="BD1668" s="952"/>
      <c r="BE1668" s="75"/>
      <c r="BF1668" s="572"/>
      <c r="BG1668" s="983"/>
      <c r="BH1668" s="222"/>
      <c r="BL1668" s="889"/>
      <c r="BO1668" s="223"/>
    </row>
    <row r="1669" spans="1:67" s="74" customFormat="1">
      <c r="A1669" s="15"/>
      <c r="B1669" s="15"/>
      <c r="C1669" s="15"/>
      <c r="D1669" s="15"/>
      <c r="E1669" s="6"/>
      <c r="F1669" s="6"/>
      <c r="G1669" s="6"/>
      <c r="K1669" s="223"/>
      <c r="M1669" s="889"/>
      <c r="P1669" s="890"/>
      <c r="T1669" s="889"/>
      <c r="X1669" s="15"/>
      <c r="Y1669" s="1935"/>
      <c r="Z1669" s="1086"/>
      <c r="AA1669" s="230"/>
      <c r="AB1669" s="230"/>
      <c r="AC1669" s="1936"/>
      <c r="AD1669" s="230"/>
      <c r="AE1669" s="230"/>
      <c r="AF1669" s="230"/>
      <c r="AG1669" s="890"/>
      <c r="AJ1669" s="890"/>
      <c r="AN1669" s="223"/>
      <c r="AO1669" s="952"/>
      <c r="AP1669" s="1066"/>
      <c r="AQ1669" s="972"/>
      <c r="AR1669" s="1917"/>
      <c r="AS1669" s="222"/>
      <c r="AZ1669" s="889"/>
      <c r="BC1669" s="890"/>
      <c r="BD1669" s="952"/>
      <c r="BE1669" s="75"/>
      <c r="BF1669" s="572"/>
      <c r="BG1669" s="983"/>
      <c r="BH1669" s="222"/>
      <c r="BL1669" s="889"/>
      <c r="BO1669" s="223"/>
    </row>
    <row r="1670" spans="1:67" s="74" customFormat="1">
      <c r="A1670" s="15"/>
      <c r="B1670" s="15"/>
      <c r="C1670" s="15"/>
      <c r="D1670" s="15"/>
      <c r="E1670" s="6"/>
      <c r="F1670" s="6"/>
      <c r="G1670" s="6"/>
      <c r="K1670" s="223"/>
      <c r="M1670" s="889"/>
      <c r="P1670" s="890"/>
      <c r="T1670" s="889"/>
      <c r="X1670" s="15"/>
      <c r="Y1670" s="1935"/>
      <c r="Z1670" s="1086"/>
      <c r="AA1670" s="230"/>
      <c r="AB1670" s="230"/>
      <c r="AC1670" s="1936"/>
      <c r="AD1670" s="230"/>
      <c r="AE1670" s="230"/>
      <c r="AF1670" s="230"/>
      <c r="AG1670" s="890"/>
      <c r="AJ1670" s="890"/>
      <c r="AN1670" s="223"/>
      <c r="AO1670" s="952"/>
      <c r="AP1670" s="1066"/>
      <c r="AQ1670" s="972"/>
      <c r="AR1670" s="1917"/>
      <c r="AS1670" s="222"/>
      <c r="AZ1670" s="889"/>
      <c r="BC1670" s="890"/>
      <c r="BD1670" s="952"/>
      <c r="BE1670" s="75"/>
      <c r="BF1670" s="572"/>
      <c r="BG1670" s="983"/>
      <c r="BH1670" s="222"/>
      <c r="BL1670" s="889"/>
      <c r="BO1670" s="223"/>
    </row>
    <row r="1671" spans="1:67" s="74" customFormat="1">
      <c r="A1671" s="15"/>
      <c r="B1671" s="15"/>
      <c r="C1671" s="15"/>
      <c r="D1671" s="15"/>
      <c r="E1671" s="6"/>
      <c r="F1671" s="6"/>
      <c r="G1671" s="6"/>
      <c r="K1671" s="223"/>
      <c r="M1671" s="889"/>
      <c r="P1671" s="890"/>
      <c r="T1671" s="889"/>
      <c r="X1671" s="15"/>
      <c r="Y1671" s="1935"/>
      <c r="Z1671" s="1086"/>
      <c r="AA1671" s="230"/>
      <c r="AB1671" s="230"/>
      <c r="AC1671" s="1936"/>
      <c r="AD1671" s="230"/>
      <c r="AE1671" s="230"/>
      <c r="AF1671" s="230"/>
      <c r="AG1671" s="890"/>
      <c r="AJ1671" s="890"/>
      <c r="AN1671" s="223"/>
      <c r="AO1671" s="952"/>
      <c r="AP1671" s="1066"/>
      <c r="AQ1671" s="972"/>
      <c r="AR1671" s="1917"/>
      <c r="AS1671" s="222"/>
      <c r="AZ1671" s="889"/>
      <c r="BC1671" s="890"/>
      <c r="BD1671" s="952"/>
      <c r="BE1671" s="75"/>
      <c r="BF1671" s="572"/>
      <c r="BG1671" s="983"/>
      <c r="BH1671" s="222"/>
      <c r="BL1671" s="889"/>
      <c r="BO1671" s="223"/>
    </row>
    <row r="1672" spans="1:67" s="74" customFormat="1">
      <c r="A1672" s="15"/>
      <c r="B1672" s="15"/>
      <c r="C1672" s="15"/>
      <c r="D1672" s="15"/>
      <c r="E1672" s="6"/>
      <c r="F1672" s="6"/>
      <c r="G1672" s="6"/>
      <c r="K1672" s="223"/>
      <c r="M1672" s="889"/>
      <c r="P1672" s="890"/>
      <c r="T1672" s="889"/>
      <c r="X1672" s="15"/>
      <c r="Y1672" s="1935"/>
      <c r="Z1672" s="1086"/>
      <c r="AA1672" s="230"/>
      <c r="AB1672" s="230"/>
      <c r="AC1672" s="1936"/>
      <c r="AD1672" s="230"/>
      <c r="AE1672" s="230"/>
      <c r="AF1672" s="230"/>
      <c r="AG1672" s="890"/>
      <c r="AJ1672" s="890"/>
      <c r="AN1672" s="223"/>
      <c r="AO1672" s="952"/>
      <c r="AP1672" s="1066"/>
      <c r="AQ1672" s="972"/>
      <c r="AR1672" s="1917"/>
      <c r="AS1672" s="222"/>
      <c r="AZ1672" s="889"/>
      <c r="BC1672" s="890"/>
      <c r="BD1672" s="952"/>
      <c r="BE1672" s="75"/>
      <c r="BF1672" s="572"/>
      <c r="BG1672" s="983"/>
      <c r="BH1672" s="222"/>
      <c r="BL1672" s="889"/>
      <c r="BO1672" s="223"/>
    </row>
    <row r="1673" spans="1:67" s="74" customFormat="1">
      <c r="A1673" s="15"/>
      <c r="B1673" s="15"/>
      <c r="C1673" s="15"/>
      <c r="D1673" s="15"/>
      <c r="E1673" s="6"/>
      <c r="F1673" s="6"/>
      <c r="G1673" s="6"/>
      <c r="K1673" s="223"/>
      <c r="M1673" s="889"/>
      <c r="P1673" s="890"/>
      <c r="T1673" s="889"/>
      <c r="X1673" s="15"/>
      <c r="Y1673" s="1935"/>
      <c r="Z1673" s="1086"/>
      <c r="AA1673" s="230"/>
      <c r="AB1673" s="230"/>
      <c r="AC1673" s="1936"/>
      <c r="AD1673" s="230"/>
      <c r="AE1673" s="230"/>
      <c r="AF1673" s="230"/>
      <c r="AG1673" s="890"/>
      <c r="AJ1673" s="890"/>
      <c r="AN1673" s="223"/>
      <c r="AO1673" s="952"/>
      <c r="AP1673" s="1066"/>
      <c r="AQ1673" s="972"/>
      <c r="AR1673" s="1917"/>
      <c r="AS1673" s="222"/>
      <c r="AZ1673" s="889"/>
      <c r="BC1673" s="890"/>
      <c r="BD1673" s="952"/>
      <c r="BE1673" s="75"/>
      <c r="BF1673" s="572"/>
      <c r="BG1673" s="983"/>
      <c r="BH1673" s="222"/>
      <c r="BL1673" s="889"/>
      <c r="BO1673" s="223"/>
    </row>
    <row r="1674" spans="1:67" s="74" customFormat="1">
      <c r="A1674" s="15"/>
      <c r="B1674" s="15"/>
      <c r="C1674" s="15"/>
      <c r="D1674" s="15"/>
      <c r="E1674" s="6"/>
      <c r="F1674" s="6"/>
      <c r="G1674" s="6"/>
      <c r="K1674" s="223"/>
      <c r="M1674" s="889"/>
      <c r="P1674" s="890"/>
      <c r="T1674" s="889"/>
      <c r="X1674" s="15"/>
      <c r="Y1674" s="1935"/>
      <c r="Z1674" s="1086"/>
      <c r="AA1674" s="230"/>
      <c r="AB1674" s="230"/>
      <c r="AC1674" s="1936"/>
      <c r="AD1674" s="230"/>
      <c r="AE1674" s="230"/>
      <c r="AF1674" s="230"/>
      <c r="AG1674" s="890"/>
      <c r="AJ1674" s="890"/>
      <c r="AN1674" s="223"/>
      <c r="AO1674" s="952"/>
      <c r="AP1674" s="1066"/>
      <c r="AQ1674" s="972"/>
      <c r="AR1674" s="1917"/>
      <c r="AS1674" s="222"/>
      <c r="AZ1674" s="889"/>
      <c r="BC1674" s="890"/>
      <c r="BD1674" s="952"/>
      <c r="BE1674" s="75"/>
      <c r="BF1674" s="572"/>
      <c r="BG1674" s="983"/>
      <c r="BH1674" s="222"/>
      <c r="BL1674" s="889"/>
      <c r="BO1674" s="223"/>
    </row>
    <row r="1675" spans="1:67" s="74" customFormat="1">
      <c r="A1675" s="15"/>
      <c r="B1675" s="15"/>
      <c r="C1675" s="15"/>
      <c r="D1675" s="15"/>
      <c r="E1675" s="6"/>
      <c r="F1675" s="6"/>
      <c r="G1675" s="6"/>
      <c r="K1675" s="223"/>
      <c r="M1675" s="889"/>
      <c r="P1675" s="890"/>
      <c r="T1675" s="889"/>
      <c r="X1675" s="15"/>
      <c r="Y1675" s="1935"/>
      <c r="Z1675" s="1086"/>
      <c r="AA1675" s="230"/>
      <c r="AB1675" s="230"/>
      <c r="AC1675" s="1936"/>
      <c r="AD1675" s="230"/>
      <c r="AE1675" s="230"/>
      <c r="AF1675" s="230"/>
      <c r="AG1675" s="890"/>
      <c r="AJ1675" s="890"/>
      <c r="AN1675" s="223"/>
      <c r="AO1675" s="952"/>
      <c r="AP1675" s="1066"/>
      <c r="AQ1675" s="972"/>
      <c r="AR1675" s="1917"/>
      <c r="AS1675" s="222"/>
      <c r="AZ1675" s="889"/>
      <c r="BC1675" s="890"/>
      <c r="BD1675" s="952"/>
      <c r="BE1675" s="75"/>
      <c r="BF1675" s="572"/>
      <c r="BG1675" s="983"/>
      <c r="BH1675" s="222"/>
      <c r="BL1675" s="889"/>
      <c r="BO1675" s="223"/>
    </row>
    <row r="1676" spans="1:67" s="74" customFormat="1">
      <c r="A1676" s="15"/>
      <c r="B1676" s="15"/>
      <c r="C1676" s="15"/>
      <c r="D1676" s="15"/>
      <c r="E1676" s="6"/>
      <c r="F1676" s="6"/>
      <c r="G1676" s="6"/>
      <c r="K1676" s="223"/>
      <c r="M1676" s="889"/>
      <c r="P1676" s="890"/>
      <c r="T1676" s="889"/>
      <c r="X1676" s="15"/>
      <c r="Y1676" s="1935"/>
      <c r="Z1676" s="1086"/>
      <c r="AA1676" s="230"/>
      <c r="AB1676" s="230"/>
      <c r="AC1676" s="1936"/>
      <c r="AD1676" s="230"/>
      <c r="AE1676" s="230"/>
      <c r="AF1676" s="230"/>
      <c r="AG1676" s="890"/>
      <c r="AJ1676" s="890"/>
      <c r="AN1676" s="223"/>
      <c r="AO1676" s="952"/>
      <c r="AP1676" s="1066"/>
      <c r="AQ1676" s="972"/>
      <c r="AR1676" s="1917"/>
      <c r="AS1676" s="222"/>
      <c r="AZ1676" s="889"/>
      <c r="BC1676" s="890"/>
      <c r="BD1676" s="952"/>
      <c r="BE1676" s="75"/>
      <c r="BF1676" s="572"/>
      <c r="BG1676" s="983"/>
      <c r="BH1676" s="222"/>
      <c r="BL1676" s="889"/>
      <c r="BO1676" s="223"/>
    </row>
    <row r="1677" spans="1:67" s="74" customFormat="1">
      <c r="A1677" s="15"/>
      <c r="B1677" s="15"/>
      <c r="C1677" s="15"/>
      <c r="D1677" s="15"/>
      <c r="E1677" s="6"/>
      <c r="F1677" s="6"/>
      <c r="G1677" s="6"/>
      <c r="K1677" s="223"/>
      <c r="M1677" s="889"/>
      <c r="P1677" s="890"/>
      <c r="T1677" s="889"/>
      <c r="X1677" s="15"/>
      <c r="Y1677" s="1935"/>
      <c r="Z1677" s="1086"/>
      <c r="AA1677" s="230"/>
      <c r="AB1677" s="230"/>
      <c r="AC1677" s="1936"/>
      <c r="AD1677" s="230"/>
      <c r="AE1677" s="230"/>
      <c r="AF1677" s="230"/>
      <c r="AG1677" s="890"/>
      <c r="AJ1677" s="890"/>
      <c r="AN1677" s="223"/>
      <c r="AO1677" s="952"/>
      <c r="AP1677" s="1066"/>
      <c r="AQ1677" s="972"/>
      <c r="AR1677" s="1917"/>
      <c r="AS1677" s="222"/>
      <c r="AZ1677" s="889"/>
      <c r="BC1677" s="890"/>
      <c r="BD1677" s="952"/>
      <c r="BE1677" s="75"/>
      <c r="BF1677" s="572"/>
      <c r="BG1677" s="983"/>
      <c r="BH1677" s="222"/>
      <c r="BL1677" s="889"/>
      <c r="BO1677" s="223"/>
    </row>
    <row r="1678" spans="1:67" s="74" customFormat="1">
      <c r="A1678" s="15"/>
      <c r="B1678" s="15"/>
      <c r="C1678" s="15"/>
      <c r="D1678" s="15"/>
      <c r="E1678" s="6"/>
      <c r="F1678" s="6"/>
      <c r="G1678" s="6"/>
      <c r="K1678" s="223"/>
      <c r="M1678" s="889"/>
      <c r="P1678" s="890"/>
      <c r="T1678" s="889"/>
      <c r="X1678" s="15"/>
      <c r="Y1678" s="1935"/>
      <c r="Z1678" s="1086"/>
      <c r="AA1678" s="230"/>
      <c r="AB1678" s="230"/>
      <c r="AC1678" s="1936"/>
      <c r="AD1678" s="230"/>
      <c r="AE1678" s="230"/>
      <c r="AF1678" s="230"/>
      <c r="AG1678" s="890"/>
      <c r="AJ1678" s="890"/>
      <c r="AN1678" s="223"/>
      <c r="AO1678" s="952"/>
      <c r="AP1678" s="1066"/>
      <c r="AQ1678" s="972"/>
      <c r="AR1678" s="1917"/>
      <c r="AS1678" s="222"/>
      <c r="AZ1678" s="889"/>
      <c r="BC1678" s="890"/>
      <c r="BD1678" s="952"/>
      <c r="BE1678" s="75"/>
      <c r="BF1678" s="572"/>
      <c r="BG1678" s="983"/>
      <c r="BH1678" s="222"/>
      <c r="BL1678" s="889"/>
      <c r="BO1678" s="223"/>
    </row>
    <row r="1679" spans="1:67" s="74" customFormat="1">
      <c r="A1679" s="15"/>
      <c r="B1679" s="15"/>
      <c r="C1679" s="15"/>
      <c r="D1679" s="15"/>
      <c r="E1679" s="6"/>
      <c r="F1679" s="6"/>
      <c r="G1679" s="6"/>
      <c r="K1679" s="223"/>
      <c r="M1679" s="889"/>
      <c r="P1679" s="890"/>
      <c r="T1679" s="889"/>
      <c r="X1679" s="15"/>
      <c r="Y1679" s="1935"/>
      <c r="Z1679" s="1086"/>
      <c r="AA1679" s="230"/>
      <c r="AB1679" s="230"/>
      <c r="AC1679" s="1936"/>
      <c r="AD1679" s="230"/>
      <c r="AE1679" s="230"/>
      <c r="AF1679" s="230"/>
      <c r="AG1679" s="890"/>
      <c r="AJ1679" s="890"/>
      <c r="AN1679" s="223"/>
      <c r="AO1679" s="952"/>
      <c r="AP1679" s="1066"/>
      <c r="AQ1679" s="972"/>
      <c r="AR1679" s="1917"/>
      <c r="AS1679" s="222"/>
      <c r="AZ1679" s="889"/>
      <c r="BC1679" s="890"/>
      <c r="BD1679" s="952"/>
      <c r="BE1679" s="75"/>
      <c r="BF1679" s="572"/>
      <c r="BG1679" s="983"/>
      <c r="BH1679" s="222"/>
      <c r="BL1679" s="889"/>
      <c r="BO1679" s="223"/>
    </row>
    <row r="1680" spans="1:67" s="74" customFormat="1">
      <c r="A1680" s="15"/>
      <c r="B1680" s="15"/>
      <c r="C1680" s="15"/>
      <c r="D1680" s="15"/>
      <c r="E1680" s="6"/>
      <c r="F1680" s="6"/>
      <c r="G1680" s="6"/>
      <c r="K1680" s="223"/>
      <c r="M1680" s="889"/>
      <c r="P1680" s="890"/>
      <c r="T1680" s="889"/>
      <c r="X1680" s="15"/>
      <c r="Y1680" s="1935"/>
      <c r="Z1680" s="1086"/>
      <c r="AA1680" s="230"/>
      <c r="AB1680" s="230"/>
      <c r="AC1680" s="1936"/>
      <c r="AD1680" s="230"/>
      <c r="AE1680" s="230"/>
      <c r="AF1680" s="230"/>
      <c r="AG1680" s="890"/>
      <c r="AJ1680" s="890"/>
      <c r="AN1680" s="223"/>
      <c r="AO1680" s="952"/>
      <c r="AP1680" s="1066"/>
      <c r="AQ1680" s="972"/>
      <c r="AR1680" s="1917"/>
      <c r="AS1680" s="222"/>
      <c r="AZ1680" s="889"/>
      <c r="BC1680" s="890"/>
      <c r="BD1680" s="952"/>
      <c r="BE1680" s="75"/>
      <c r="BF1680" s="572"/>
      <c r="BG1680" s="983"/>
      <c r="BH1680" s="222"/>
      <c r="BL1680" s="889"/>
      <c r="BO1680" s="223"/>
    </row>
    <row r="1681" spans="1:67" s="74" customFormat="1">
      <c r="A1681" s="15"/>
      <c r="B1681" s="15"/>
      <c r="C1681" s="15"/>
      <c r="D1681" s="15"/>
      <c r="E1681" s="6"/>
      <c r="F1681" s="6"/>
      <c r="G1681" s="6"/>
      <c r="K1681" s="223"/>
      <c r="M1681" s="889"/>
      <c r="P1681" s="890"/>
      <c r="T1681" s="889"/>
      <c r="X1681" s="15"/>
      <c r="Y1681" s="1935"/>
      <c r="Z1681" s="1086"/>
      <c r="AA1681" s="230"/>
      <c r="AB1681" s="230"/>
      <c r="AC1681" s="1936"/>
      <c r="AD1681" s="230"/>
      <c r="AE1681" s="230"/>
      <c r="AF1681" s="230"/>
      <c r="AG1681" s="890"/>
      <c r="AJ1681" s="890"/>
      <c r="AN1681" s="223"/>
      <c r="AO1681" s="952"/>
      <c r="AP1681" s="1066"/>
      <c r="AQ1681" s="972"/>
      <c r="AR1681" s="1917"/>
      <c r="AS1681" s="222"/>
      <c r="AZ1681" s="889"/>
      <c r="BC1681" s="890"/>
      <c r="BD1681" s="952"/>
      <c r="BE1681" s="75"/>
      <c r="BF1681" s="572"/>
      <c r="BG1681" s="983"/>
      <c r="BH1681" s="222"/>
      <c r="BL1681" s="889"/>
      <c r="BO1681" s="223"/>
    </row>
    <row r="1682" spans="1:67" s="74" customFormat="1">
      <c r="A1682" s="15"/>
      <c r="B1682" s="15"/>
      <c r="C1682" s="15"/>
      <c r="D1682" s="15"/>
      <c r="E1682" s="6"/>
      <c r="F1682" s="6"/>
      <c r="G1682" s="6"/>
      <c r="K1682" s="223"/>
      <c r="M1682" s="889"/>
      <c r="P1682" s="890"/>
      <c r="T1682" s="889"/>
      <c r="X1682" s="15"/>
      <c r="Y1682" s="1935"/>
      <c r="Z1682" s="1086"/>
      <c r="AA1682" s="230"/>
      <c r="AB1682" s="230"/>
      <c r="AC1682" s="1936"/>
      <c r="AD1682" s="230"/>
      <c r="AE1682" s="230"/>
      <c r="AF1682" s="230"/>
      <c r="AG1682" s="890"/>
      <c r="AJ1682" s="890"/>
      <c r="AN1682" s="223"/>
      <c r="AO1682" s="952"/>
      <c r="AP1682" s="1066"/>
      <c r="AQ1682" s="972"/>
      <c r="AR1682" s="1917"/>
      <c r="AS1682" s="222"/>
      <c r="AZ1682" s="889"/>
      <c r="BC1682" s="890"/>
      <c r="BD1682" s="952"/>
      <c r="BE1682" s="75"/>
      <c r="BF1682" s="572"/>
      <c r="BG1682" s="983"/>
      <c r="BH1682" s="222"/>
      <c r="BL1682" s="889"/>
      <c r="BO1682" s="223"/>
    </row>
    <row r="1683" spans="1:67" s="74" customFormat="1">
      <c r="A1683" s="15"/>
      <c r="B1683" s="15"/>
      <c r="C1683" s="15"/>
      <c r="D1683" s="15"/>
      <c r="E1683" s="6"/>
      <c r="F1683" s="6"/>
      <c r="G1683" s="6"/>
      <c r="K1683" s="223"/>
      <c r="M1683" s="889"/>
      <c r="P1683" s="890"/>
      <c r="T1683" s="889"/>
      <c r="X1683" s="15"/>
      <c r="Y1683" s="1935"/>
      <c r="Z1683" s="1086"/>
      <c r="AA1683" s="230"/>
      <c r="AB1683" s="230"/>
      <c r="AC1683" s="1936"/>
      <c r="AD1683" s="230"/>
      <c r="AE1683" s="230"/>
      <c r="AF1683" s="230"/>
      <c r="AG1683" s="890"/>
      <c r="AJ1683" s="890"/>
      <c r="AN1683" s="223"/>
      <c r="AO1683" s="952"/>
      <c r="AP1683" s="1066"/>
      <c r="AQ1683" s="972"/>
      <c r="AR1683" s="1917"/>
      <c r="AS1683" s="222"/>
      <c r="AZ1683" s="889"/>
      <c r="BC1683" s="890"/>
      <c r="BD1683" s="952"/>
      <c r="BE1683" s="75"/>
      <c r="BF1683" s="572"/>
      <c r="BG1683" s="983"/>
      <c r="BH1683" s="222"/>
      <c r="BL1683" s="889"/>
      <c r="BO1683" s="223"/>
    </row>
    <row r="1684" spans="1:67" s="74" customFormat="1">
      <c r="A1684" s="15"/>
      <c r="B1684" s="15"/>
      <c r="C1684" s="15"/>
      <c r="D1684" s="15"/>
      <c r="E1684" s="6"/>
      <c r="F1684" s="6"/>
      <c r="G1684" s="6"/>
      <c r="K1684" s="223"/>
      <c r="M1684" s="889"/>
      <c r="P1684" s="890"/>
      <c r="T1684" s="889"/>
      <c r="X1684" s="15"/>
      <c r="Y1684" s="1935"/>
      <c r="Z1684" s="1086"/>
      <c r="AA1684" s="230"/>
      <c r="AB1684" s="230"/>
      <c r="AC1684" s="1936"/>
      <c r="AD1684" s="230"/>
      <c r="AE1684" s="230"/>
      <c r="AF1684" s="230"/>
      <c r="AG1684" s="890"/>
      <c r="AJ1684" s="890"/>
      <c r="AN1684" s="223"/>
      <c r="AO1684" s="952"/>
      <c r="AP1684" s="1066"/>
      <c r="AQ1684" s="972"/>
      <c r="AR1684" s="1917"/>
      <c r="AS1684" s="222"/>
      <c r="AZ1684" s="889"/>
      <c r="BC1684" s="890"/>
      <c r="BD1684" s="952"/>
      <c r="BE1684" s="75"/>
      <c r="BF1684" s="572"/>
      <c r="BG1684" s="983"/>
      <c r="BH1684" s="222"/>
      <c r="BL1684" s="889"/>
      <c r="BO1684" s="223"/>
    </row>
    <row r="1685" spans="1:67" s="74" customFormat="1">
      <c r="A1685" s="15"/>
      <c r="B1685" s="15"/>
      <c r="C1685" s="15"/>
      <c r="D1685" s="15"/>
      <c r="E1685" s="6"/>
      <c r="F1685" s="6"/>
      <c r="G1685" s="6"/>
      <c r="K1685" s="223"/>
      <c r="M1685" s="889"/>
      <c r="P1685" s="890"/>
      <c r="T1685" s="889"/>
      <c r="X1685" s="15"/>
      <c r="Y1685" s="1935"/>
      <c r="Z1685" s="1086"/>
      <c r="AA1685" s="230"/>
      <c r="AB1685" s="230"/>
      <c r="AC1685" s="1936"/>
      <c r="AD1685" s="230"/>
      <c r="AE1685" s="230"/>
      <c r="AF1685" s="230"/>
      <c r="AG1685" s="890"/>
      <c r="AJ1685" s="890"/>
      <c r="AN1685" s="223"/>
      <c r="AO1685" s="952"/>
      <c r="AP1685" s="1066"/>
      <c r="AQ1685" s="972"/>
      <c r="AR1685" s="1917"/>
      <c r="AS1685" s="222"/>
      <c r="AZ1685" s="889"/>
      <c r="BC1685" s="890"/>
      <c r="BD1685" s="952"/>
      <c r="BE1685" s="75"/>
      <c r="BF1685" s="572"/>
      <c r="BG1685" s="983"/>
      <c r="BH1685" s="222"/>
      <c r="BL1685" s="889"/>
      <c r="BO1685" s="223"/>
    </row>
    <row r="1686" spans="1:67" s="74" customFormat="1">
      <c r="A1686" s="15"/>
      <c r="B1686" s="15"/>
      <c r="C1686" s="15"/>
      <c r="D1686" s="15"/>
      <c r="E1686" s="6"/>
      <c r="F1686" s="6"/>
      <c r="G1686" s="6"/>
      <c r="K1686" s="223"/>
      <c r="M1686" s="889"/>
      <c r="P1686" s="890"/>
      <c r="T1686" s="889"/>
      <c r="X1686" s="15"/>
      <c r="Y1686" s="1935"/>
      <c r="Z1686" s="1086"/>
      <c r="AA1686" s="230"/>
      <c r="AB1686" s="230"/>
      <c r="AC1686" s="1936"/>
      <c r="AD1686" s="230"/>
      <c r="AE1686" s="230"/>
      <c r="AF1686" s="230"/>
      <c r="AG1686" s="890"/>
      <c r="AJ1686" s="890"/>
      <c r="AN1686" s="223"/>
      <c r="AO1686" s="952"/>
      <c r="AP1686" s="1066"/>
      <c r="AQ1686" s="972"/>
      <c r="AR1686" s="1917"/>
      <c r="AS1686" s="222"/>
      <c r="AZ1686" s="889"/>
      <c r="BC1686" s="890"/>
      <c r="BD1686" s="952"/>
      <c r="BE1686" s="75"/>
      <c r="BF1686" s="572"/>
      <c r="BG1686" s="983"/>
      <c r="BH1686" s="222"/>
      <c r="BL1686" s="889"/>
      <c r="BO1686" s="223"/>
    </row>
    <row r="1687" spans="1:67" s="74" customFormat="1">
      <c r="A1687" s="15"/>
      <c r="B1687" s="15"/>
      <c r="C1687" s="15"/>
      <c r="D1687" s="15"/>
      <c r="E1687" s="6"/>
      <c r="F1687" s="6"/>
      <c r="G1687" s="6"/>
      <c r="K1687" s="223"/>
      <c r="M1687" s="889"/>
      <c r="P1687" s="890"/>
      <c r="T1687" s="889"/>
      <c r="X1687" s="15"/>
      <c r="Y1687" s="1935"/>
      <c r="Z1687" s="1086"/>
      <c r="AA1687" s="230"/>
      <c r="AB1687" s="230"/>
      <c r="AC1687" s="1936"/>
      <c r="AD1687" s="230"/>
      <c r="AE1687" s="230"/>
      <c r="AF1687" s="230"/>
      <c r="AG1687" s="890"/>
      <c r="AJ1687" s="890"/>
      <c r="AN1687" s="223"/>
      <c r="AO1687" s="952"/>
      <c r="AP1687" s="1066"/>
      <c r="AQ1687" s="972"/>
      <c r="AR1687" s="1917"/>
      <c r="AS1687" s="222"/>
      <c r="AZ1687" s="889"/>
      <c r="BC1687" s="890"/>
      <c r="BD1687" s="952"/>
      <c r="BE1687" s="75"/>
      <c r="BF1687" s="572"/>
      <c r="BG1687" s="983"/>
      <c r="BH1687" s="222"/>
      <c r="BL1687" s="889"/>
      <c r="BO1687" s="223"/>
    </row>
    <row r="1688" spans="1:67" s="74" customFormat="1">
      <c r="A1688" s="15"/>
      <c r="B1688" s="15"/>
      <c r="C1688" s="15"/>
      <c r="D1688" s="15"/>
      <c r="E1688" s="6"/>
      <c r="F1688" s="6"/>
      <c r="G1688" s="6"/>
      <c r="K1688" s="223"/>
      <c r="M1688" s="889"/>
      <c r="P1688" s="890"/>
      <c r="T1688" s="889"/>
      <c r="X1688" s="15"/>
      <c r="Y1688" s="1935"/>
      <c r="Z1688" s="1086"/>
      <c r="AA1688" s="230"/>
      <c r="AB1688" s="230"/>
      <c r="AC1688" s="1936"/>
      <c r="AD1688" s="230"/>
      <c r="AE1688" s="230"/>
      <c r="AF1688" s="230"/>
      <c r="AG1688" s="890"/>
      <c r="AJ1688" s="890"/>
      <c r="AN1688" s="223"/>
      <c r="AO1688" s="952"/>
      <c r="AP1688" s="1066"/>
      <c r="AQ1688" s="972"/>
      <c r="AR1688" s="1917"/>
      <c r="AS1688" s="222"/>
      <c r="AZ1688" s="889"/>
      <c r="BC1688" s="890"/>
      <c r="BD1688" s="952"/>
      <c r="BE1688" s="75"/>
      <c r="BF1688" s="572"/>
      <c r="BG1688" s="983"/>
      <c r="BH1688" s="222"/>
      <c r="BL1688" s="889"/>
      <c r="BO1688" s="223"/>
    </row>
    <row r="1689" spans="1:67" s="74" customFormat="1">
      <c r="A1689" s="15"/>
      <c r="B1689" s="15"/>
      <c r="C1689" s="15"/>
      <c r="D1689" s="15"/>
      <c r="E1689" s="6"/>
      <c r="F1689" s="6"/>
      <c r="G1689" s="6"/>
      <c r="K1689" s="223"/>
      <c r="M1689" s="889"/>
      <c r="P1689" s="890"/>
      <c r="T1689" s="889"/>
      <c r="X1689" s="15"/>
      <c r="Y1689" s="1935"/>
      <c r="Z1689" s="1086"/>
      <c r="AA1689" s="230"/>
      <c r="AB1689" s="230"/>
      <c r="AC1689" s="1936"/>
      <c r="AD1689" s="230"/>
      <c r="AE1689" s="230"/>
      <c r="AF1689" s="230"/>
      <c r="AG1689" s="890"/>
      <c r="AJ1689" s="890"/>
      <c r="AN1689" s="223"/>
      <c r="AO1689" s="952"/>
      <c r="AP1689" s="1066"/>
      <c r="AQ1689" s="972"/>
      <c r="AR1689" s="1917"/>
      <c r="AS1689" s="222"/>
      <c r="AZ1689" s="889"/>
      <c r="BC1689" s="890"/>
      <c r="BD1689" s="952"/>
      <c r="BE1689" s="75"/>
      <c r="BF1689" s="572"/>
      <c r="BG1689" s="983"/>
      <c r="BH1689" s="222"/>
      <c r="BL1689" s="889"/>
      <c r="BO1689" s="223"/>
    </row>
    <row r="1690" spans="1:67" s="74" customFormat="1">
      <c r="A1690" s="15"/>
      <c r="B1690" s="15"/>
      <c r="C1690" s="15"/>
      <c r="D1690" s="15"/>
      <c r="E1690" s="6"/>
      <c r="F1690" s="6"/>
      <c r="G1690" s="6"/>
      <c r="K1690" s="223"/>
      <c r="M1690" s="889"/>
      <c r="P1690" s="890"/>
      <c r="T1690" s="889"/>
      <c r="X1690" s="15"/>
      <c r="Y1690" s="1935"/>
      <c r="Z1690" s="1086"/>
      <c r="AA1690" s="230"/>
      <c r="AB1690" s="230"/>
      <c r="AC1690" s="1936"/>
      <c r="AD1690" s="230"/>
      <c r="AE1690" s="230"/>
      <c r="AF1690" s="230"/>
      <c r="AG1690" s="890"/>
      <c r="AJ1690" s="890"/>
      <c r="AN1690" s="223"/>
      <c r="AO1690" s="952"/>
      <c r="AP1690" s="1066"/>
      <c r="AQ1690" s="972"/>
      <c r="AR1690" s="1917"/>
      <c r="AS1690" s="222"/>
      <c r="AZ1690" s="889"/>
      <c r="BC1690" s="890"/>
      <c r="BD1690" s="952"/>
      <c r="BE1690" s="75"/>
      <c r="BF1690" s="572"/>
      <c r="BG1690" s="983"/>
      <c r="BH1690" s="222"/>
      <c r="BL1690" s="889"/>
      <c r="BO1690" s="223"/>
    </row>
    <row r="1691" spans="1:67" s="74" customFormat="1">
      <c r="A1691" s="15"/>
      <c r="B1691" s="15"/>
      <c r="C1691" s="15"/>
      <c r="D1691" s="15"/>
      <c r="E1691" s="6"/>
      <c r="F1691" s="6"/>
      <c r="G1691" s="6"/>
      <c r="K1691" s="223"/>
      <c r="M1691" s="889"/>
      <c r="P1691" s="890"/>
      <c r="T1691" s="889"/>
      <c r="X1691" s="15"/>
      <c r="Y1691" s="1935"/>
      <c r="Z1691" s="1086"/>
      <c r="AA1691" s="230"/>
      <c r="AB1691" s="230"/>
      <c r="AC1691" s="1936"/>
      <c r="AD1691" s="230"/>
      <c r="AE1691" s="230"/>
      <c r="AF1691" s="230"/>
      <c r="AG1691" s="890"/>
      <c r="AJ1691" s="890"/>
      <c r="AN1691" s="223"/>
      <c r="AO1691" s="952"/>
      <c r="AP1691" s="1066"/>
      <c r="AQ1691" s="972"/>
      <c r="AR1691" s="1917"/>
      <c r="AS1691" s="222"/>
      <c r="AZ1691" s="889"/>
      <c r="BC1691" s="890"/>
      <c r="BD1691" s="952"/>
      <c r="BE1691" s="75"/>
      <c r="BF1691" s="572"/>
      <c r="BG1691" s="983"/>
      <c r="BH1691" s="222"/>
      <c r="BL1691" s="889"/>
      <c r="BO1691" s="223"/>
    </row>
    <row r="1692" spans="1:67" s="74" customFormat="1">
      <c r="A1692" s="15"/>
      <c r="B1692" s="15"/>
      <c r="C1692" s="15"/>
      <c r="D1692" s="15"/>
      <c r="E1692" s="6"/>
      <c r="F1692" s="6"/>
      <c r="G1692" s="6"/>
      <c r="K1692" s="223"/>
      <c r="M1692" s="889"/>
      <c r="P1692" s="890"/>
      <c r="T1692" s="889"/>
      <c r="X1692" s="15"/>
      <c r="Y1692" s="1935"/>
      <c r="Z1692" s="1086"/>
      <c r="AA1692" s="230"/>
      <c r="AB1692" s="230"/>
      <c r="AC1692" s="1936"/>
      <c r="AD1692" s="230"/>
      <c r="AE1692" s="230"/>
      <c r="AF1692" s="230"/>
      <c r="AG1692" s="890"/>
      <c r="AJ1692" s="890"/>
      <c r="AN1692" s="223"/>
      <c r="AO1692" s="952"/>
      <c r="AP1692" s="1066"/>
      <c r="AQ1692" s="972"/>
      <c r="AR1692" s="1917"/>
      <c r="AS1692" s="222"/>
      <c r="AZ1692" s="889"/>
      <c r="BC1692" s="890"/>
      <c r="BD1692" s="952"/>
      <c r="BE1692" s="75"/>
      <c r="BF1692" s="572"/>
      <c r="BG1692" s="983"/>
      <c r="BH1692" s="222"/>
      <c r="BL1692" s="889"/>
      <c r="BO1692" s="223"/>
    </row>
    <row r="1693" spans="1:67" s="74" customFormat="1">
      <c r="A1693" s="15"/>
      <c r="B1693" s="15"/>
      <c r="C1693" s="15"/>
      <c r="D1693" s="15"/>
      <c r="E1693" s="6"/>
      <c r="F1693" s="6"/>
      <c r="G1693" s="6"/>
      <c r="K1693" s="223"/>
      <c r="M1693" s="889"/>
      <c r="P1693" s="890"/>
      <c r="T1693" s="889"/>
      <c r="X1693" s="15"/>
      <c r="Y1693" s="1935"/>
      <c r="Z1693" s="1086"/>
      <c r="AA1693" s="230"/>
      <c r="AB1693" s="230"/>
      <c r="AC1693" s="1936"/>
      <c r="AD1693" s="230"/>
      <c r="AE1693" s="230"/>
      <c r="AF1693" s="230"/>
      <c r="AG1693" s="890"/>
      <c r="AJ1693" s="890"/>
      <c r="AN1693" s="223"/>
      <c r="AO1693" s="952"/>
      <c r="AP1693" s="1066"/>
      <c r="AQ1693" s="972"/>
      <c r="AR1693" s="1917"/>
      <c r="AS1693" s="222"/>
      <c r="AZ1693" s="889"/>
      <c r="BC1693" s="890"/>
      <c r="BD1693" s="952"/>
      <c r="BE1693" s="75"/>
      <c r="BF1693" s="572"/>
      <c r="BG1693" s="983"/>
      <c r="BH1693" s="222"/>
      <c r="BL1693" s="889"/>
      <c r="BO1693" s="223"/>
    </row>
    <row r="1694" spans="1:67" s="74" customFormat="1">
      <c r="A1694" s="15"/>
      <c r="B1694" s="15"/>
      <c r="C1694" s="15"/>
      <c r="D1694" s="15"/>
      <c r="E1694" s="6"/>
      <c r="F1694" s="6"/>
      <c r="G1694" s="6"/>
      <c r="K1694" s="223"/>
      <c r="M1694" s="889"/>
      <c r="P1694" s="890"/>
      <c r="T1694" s="889"/>
      <c r="X1694" s="15"/>
      <c r="Y1694" s="1935"/>
      <c r="Z1694" s="1086"/>
      <c r="AA1694" s="230"/>
      <c r="AB1694" s="230"/>
      <c r="AC1694" s="1936"/>
      <c r="AD1694" s="230"/>
      <c r="AE1694" s="230"/>
      <c r="AF1694" s="230"/>
      <c r="AG1694" s="890"/>
      <c r="AJ1694" s="890"/>
      <c r="AN1694" s="223"/>
      <c r="AO1694" s="952"/>
      <c r="AP1694" s="1066"/>
      <c r="AQ1694" s="972"/>
      <c r="AR1694" s="1917"/>
      <c r="AS1694" s="222"/>
      <c r="AZ1694" s="889"/>
      <c r="BC1694" s="890"/>
      <c r="BD1694" s="952"/>
      <c r="BE1694" s="75"/>
      <c r="BF1694" s="572"/>
      <c r="BG1694" s="983"/>
      <c r="BH1694" s="222"/>
      <c r="BL1694" s="889"/>
      <c r="BO1694" s="223"/>
    </row>
    <row r="1695" spans="1:67" s="74" customFormat="1">
      <c r="A1695" s="15"/>
      <c r="B1695" s="15"/>
      <c r="C1695" s="15"/>
      <c r="D1695" s="15"/>
      <c r="E1695" s="6"/>
      <c r="F1695" s="6"/>
      <c r="G1695" s="6"/>
      <c r="K1695" s="223"/>
      <c r="M1695" s="889"/>
      <c r="P1695" s="890"/>
      <c r="T1695" s="889"/>
      <c r="X1695" s="15"/>
      <c r="Y1695" s="1935"/>
      <c r="Z1695" s="1086"/>
      <c r="AA1695" s="230"/>
      <c r="AB1695" s="230"/>
      <c r="AC1695" s="1936"/>
      <c r="AD1695" s="230"/>
      <c r="AE1695" s="230"/>
      <c r="AF1695" s="230"/>
      <c r="AG1695" s="890"/>
      <c r="AJ1695" s="890"/>
      <c r="AN1695" s="223"/>
      <c r="AO1695" s="952"/>
      <c r="AP1695" s="1066"/>
      <c r="AQ1695" s="972"/>
      <c r="AR1695" s="1917"/>
      <c r="AS1695" s="222"/>
      <c r="AZ1695" s="889"/>
      <c r="BC1695" s="890"/>
      <c r="BD1695" s="952"/>
      <c r="BE1695" s="75"/>
      <c r="BF1695" s="572"/>
      <c r="BG1695" s="983"/>
      <c r="BH1695" s="222"/>
      <c r="BL1695" s="889"/>
      <c r="BO1695" s="223"/>
    </row>
    <row r="1696" spans="1:67" s="74" customFormat="1">
      <c r="A1696" s="15"/>
      <c r="B1696" s="15"/>
      <c r="C1696" s="15"/>
      <c r="D1696" s="15"/>
      <c r="E1696" s="6"/>
      <c r="F1696" s="6"/>
      <c r="G1696" s="6"/>
      <c r="K1696" s="223"/>
      <c r="M1696" s="889"/>
      <c r="P1696" s="890"/>
      <c r="T1696" s="889"/>
      <c r="X1696" s="15"/>
      <c r="Y1696" s="1935"/>
      <c r="Z1696" s="1086"/>
      <c r="AA1696" s="230"/>
      <c r="AB1696" s="230"/>
      <c r="AC1696" s="1936"/>
      <c r="AD1696" s="230"/>
      <c r="AE1696" s="230"/>
      <c r="AF1696" s="230"/>
      <c r="AG1696" s="890"/>
      <c r="AJ1696" s="890"/>
      <c r="AN1696" s="223"/>
      <c r="AO1696" s="952"/>
      <c r="AP1696" s="1066"/>
      <c r="AQ1696" s="972"/>
      <c r="AR1696" s="1917"/>
      <c r="AS1696" s="222"/>
      <c r="AZ1696" s="889"/>
      <c r="BC1696" s="890"/>
      <c r="BD1696" s="952"/>
      <c r="BE1696" s="75"/>
      <c r="BF1696" s="572"/>
      <c r="BG1696" s="983"/>
      <c r="BH1696" s="222"/>
      <c r="BL1696" s="889"/>
      <c r="BO1696" s="223"/>
    </row>
    <row r="1697" spans="1:67" s="74" customFormat="1">
      <c r="A1697" s="15"/>
      <c r="B1697" s="15"/>
      <c r="C1697" s="15"/>
      <c r="D1697" s="15"/>
      <c r="E1697" s="6"/>
      <c r="F1697" s="6"/>
      <c r="G1697" s="6"/>
      <c r="K1697" s="223"/>
      <c r="M1697" s="889"/>
      <c r="P1697" s="890"/>
      <c r="T1697" s="889"/>
      <c r="X1697" s="15"/>
      <c r="Y1697" s="1935"/>
      <c r="Z1697" s="1086"/>
      <c r="AA1697" s="230"/>
      <c r="AB1697" s="230"/>
      <c r="AC1697" s="1936"/>
      <c r="AD1697" s="230"/>
      <c r="AE1697" s="230"/>
      <c r="AF1697" s="230"/>
      <c r="AG1697" s="890"/>
      <c r="AJ1697" s="890"/>
      <c r="AN1697" s="223"/>
      <c r="AO1697" s="952"/>
      <c r="AP1697" s="1066"/>
      <c r="AQ1697" s="972"/>
      <c r="AR1697" s="1917"/>
      <c r="AS1697" s="222"/>
      <c r="AZ1697" s="889"/>
      <c r="BC1697" s="890"/>
      <c r="BD1697" s="952"/>
      <c r="BE1697" s="75"/>
      <c r="BF1697" s="572"/>
      <c r="BG1697" s="983"/>
      <c r="BH1697" s="222"/>
      <c r="BL1697" s="889"/>
      <c r="BO1697" s="223"/>
    </row>
    <row r="1698" spans="1:67" s="74" customFormat="1">
      <c r="A1698" s="15"/>
      <c r="B1698" s="15"/>
      <c r="C1698" s="15"/>
      <c r="D1698" s="15"/>
      <c r="E1698" s="6"/>
      <c r="F1698" s="6"/>
      <c r="G1698" s="6"/>
      <c r="K1698" s="223"/>
      <c r="M1698" s="889"/>
      <c r="P1698" s="890"/>
      <c r="T1698" s="889"/>
      <c r="X1698" s="15"/>
      <c r="Y1698" s="1935"/>
      <c r="Z1698" s="1086"/>
      <c r="AA1698" s="230"/>
      <c r="AB1698" s="230"/>
      <c r="AC1698" s="1936"/>
      <c r="AD1698" s="230"/>
      <c r="AE1698" s="230"/>
      <c r="AF1698" s="230"/>
      <c r="AG1698" s="890"/>
      <c r="AJ1698" s="890"/>
      <c r="AN1698" s="223"/>
      <c r="AO1698" s="952"/>
      <c r="AP1698" s="1066"/>
      <c r="AQ1698" s="972"/>
      <c r="AR1698" s="1917"/>
      <c r="AS1698" s="222"/>
      <c r="AZ1698" s="889"/>
      <c r="BC1698" s="890"/>
      <c r="BD1698" s="952"/>
      <c r="BE1698" s="75"/>
      <c r="BF1698" s="572"/>
      <c r="BG1698" s="983"/>
      <c r="BH1698" s="222"/>
      <c r="BL1698" s="889"/>
      <c r="BO1698" s="223"/>
    </row>
    <row r="1699" spans="1:67" s="74" customFormat="1">
      <c r="A1699" s="15"/>
      <c r="B1699" s="15"/>
      <c r="C1699" s="15"/>
      <c r="D1699" s="15"/>
      <c r="E1699" s="6"/>
      <c r="F1699" s="6"/>
      <c r="G1699" s="6"/>
      <c r="K1699" s="223"/>
      <c r="M1699" s="889"/>
      <c r="P1699" s="890"/>
      <c r="T1699" s="889"/>
      <c r="X1699" s="15"/>
      <c r="Y1699" s="1935"/>
      <c r="Z1699" s="1086"/>
      <c r="AA1699" s="230"/>
      <c r="AB1699" s="230"/>
      <c r="AC1699" s="1936"/>
      <c r="AD1699" s="230"/>
      <c r="AE1699" s="230"/>
      <c r="AF1699" s="230"/>
      <c r="AG1699" s="890"/>
      <c r="AJ1699" s="890"/>
      <c r="AN1699" s="223"/>
      <c r="AO1699" s="952"/>
      <c r="AP1699" s="1066"/>
      <c r="AQ1699" s="972"/>
      <c r="AR1699" s="1917"/>
      <c r="AS1699" s="222"/>
      <c r="AZ1699" s="889"/>
      <c r="BC1699" s="890"/>
      <c r="BD1699" s="952"/>
      <c r="BE1699" s="75"/>
      <c r="BF1699" s="572"/>
      <c r="BG1699" s="983"/>
      <c r="BH1699" s="222"/>
      <c r="BL1699" s="889"/>
      <c r="BO1699" s="223"/>
    </row>
    <row r="1700" spans="1:67" s="74" customFormat="1">
      <c r="A1700" s="15"/>
      <c r="B1700" s="15"/>
      <c r="C1700" s="15"/>
      <c r="D1700" s="15"/>
      <c r="E1700" s="6"/>
      <c r="F1700" s="6"/>
      <c r="G1700" s="6"/>
      <c r="K1700" s="223"/>
      <c r="M1700" s="889"/>
      <c r="P1700" s="890"/>
      <c r="T1700" s="889"/>
      <c r="X1700" s="15"/>
      <c r="Y1700" s="1935"/>
      <c r="Z1700" s="1086"/>
      <c r="AA1700" s="230"/>
      <c r="AB1700" s="230"/>
      <c r="AC1700" s="1936"/>
      <c r="AD1700" s="230"/>
      <c r="AE1700" s="230"/>
      <c r="AF1700" s="230"/>
      <c r="AG1700" s="890"/>
      <c r="AJ1700" s="890"/>
      <c r="AN1700" s="223"/>
      <c r="AO1700" s="952"/>
      <c r="AP1700" s="1066"/>
      <c r="AQ1700" s="972"/>
      <c r="AR1700" s="1917"/>
      <c r="AS1700" s="222"/>
      <c r="AZ1700" s="889"/>
      <c r="BC1700" s="890"/>
      <c r="BD1700" s="952"/>
      <c r="BE1700" s="75"/>
      <c r="BF1700" s="572"/>
      <c r="BG1700" s="983"/>
      <c r="BH1700" s="222"/>
      <c r="BL1700" s="889"/>
      <c r="BO1700" s="223"/>
    </row>
    <row r="1701" spans="1:67" s="74" customFormat="1">
      <c r="A1701" s="15"/>
      <c r="B1701" s="15"/>
      <c r="C1701" s="15"/>
      <c r="D1701" s="15"/>
      <c r="E1701" s="6"/>
      <c r="F1701" s="6"/>
      <c r="G1701" s="6"/>
      <c r="K1701" s="223"/>
      <c r="M1701" s="889"/>
      <c r="P1701" s="890"/>
      <c r="T1701" s="889"/>
      <c r="X1701" s="15"/>
      <c r="Y1701" s="1935"/>
      <c r="Z1701" s="1086"/>
      <c r="AA1701" s="230"/>
      <c r="AB1701" s="230"/>
      <c r="AC1701" s="1936"/>
      <c r="AD1701" s="230"/>
      <c r="AE1701" s="230"/>
      <c r="AF1701" s="230"/>
      <c r="AG1701" s="890"/>
      <c r="AJ1701" s="890"/>
      <c r="AN1701" s="223"/>
      <c r="AO1701" s="952"/>
      <c r="AP1701" s="1066"/>
      <c r="AQ1701" s="972"/>
      <c r="AR1701" s="1917"/>
      <c r="AS1701" s="222"/>
      <c r="AZ1701" s="889"/>
      <c r="BC1701" s="890"/>
      <c r="BD1701" s="952"/>
      <c r="BE1701" s="75"/>
      <c r="BF1701" s="572"/>
      <c r="BG1701" s="983"/>
      <c r="BH1701" s="222"/>
      <c r="BL1701" s="889"/>
      <c r="BO1701" s="223"/>
    </row>
    <row r="1702" spans="1:67" s="74" customFormat="1">
      <c r="A1702" s="15"/>
      <c r="B1702" s="15"/>
      <c r="C1702" s="15"/>
      <c r="D1702" s="15"/>
      <c r="E1702" s="6"/>
      <c r="F1702" s="6"/>
      <c r="G1702" s="6"/>
      <c r="K1702" s="223"/>
      <c r="M1702" s="889"/>
      <c r="P1702" s="890"/>
      <c r="T1702" s="889"/>
      <c r="X1702" s="15"/>
      <c r="Y1702" s="1935"/>
      <c r="Z1702" s="1086"/>
      <c r="AA1702" s="230"/>
      <c r="AB1702" s="230"/>
      <c r="AC1702" s="1936"/>
      <c r="AD1702" s="230"/>
      <c r="AE1702" s="230"/>
      <c r="AF1702" s="230"/>
      <c r="AG1702" s="890"/>
      <c r="AJ1702" s="890"/>
      <c r="AN1702" s="223"/>
      <c r="AO1702" s="952"/>
      <c r="AP1702" s="1066"/>
      <c r="AQ1702" s="972"/>
      <c r="AR1702" s="1917"/>
      <c r="AS1702" s="222"/>
      <c r="AZ1702" s="889"/>
      <c r="BC1702" s="890"/>
      <c r="BD1702" s="952"/>
      <c r="BE1702" s="75"/>
      <c r="BF1702" s="572"/>
      <c r="BG1702" s="983"/>
      <c r="BH1702" s="222"/>
      <c r="BL1702" s="889"/>
      <c r="BO1702" s="223"/>
    </row>
    <row r="1703" spans="1:67" s="74" customFormat="1">
      <c r="A1703" s="15"/>
      <c r="B1703" s="15"/>
      <c r="C1703" s="15"/>
      <c r="D1703" s="15"/>
      <c r="E1703" s="6"/>
      <c r="F1703" s="6"/>
      <c r="G1703" s="6"/>
      <c r="K1703" s="223"/>
      <c r="M1703" s="889"/>
      <c r="P1703" s="890"/>
      <c r="T1703" s="889"/>
      <c r="X1703" s="15"/>
      <c r="Y1703" s="1935"/>
      <c r="Z1703" s="1086"/>
      <c r="AA1703" s="230"/>
      <c r="AB1703" s="230"/>
      <c r="AC1703" s="1936"/>
      <c r="AD1703" s="230"/>
      <c r="AE1703" s="230"/>
      <c r="AF1703" s="230"/>
      <c r="AG1703" s="890"/>
      <c r="AJ1703" s="890"/>
      <c r="AN1703" s="223"/>
      <c r="AO1703" s="952"/>
      <c r="AP1703" s="1066"/>
      <c r="AQ1703" s="972"/>
      <c r="AR1703" s="1917"/>
      <c r="AS1703" s="222"/>
      <c r="AZ1703" s="889"/>
      <c r="BC1703" s="890"/>
      <c r="BD1703" s="952"/>
      <c r="BE1703" s="75"/>
      <c r="BF1703" s="572"/>
      <c r="BG1703" s="983"/>
      <c r="BH1703" s="222"/>
      <c r="BL1703" s="889"/>
      <c r="BO1703" s="223"/>
    </row>
    <row r="1704" spans="1:67" s="74" customFormat="1">
      <c r="A1704" s="15"/>
      <c r="B1704" s="15"/>
      <c r="C1704" s="15"/>
      <c r="D1704" s="15"/>
      <c r="E1704" s="6"/>
      <c r="F1704" s="6"/>
      <c r="G1704" s="6"/>
      <c r="K1704" s="223"/>
      <c r="M1704" s="889"/>
      <c r="P1704" s="890"/>
      <c r="T1704" s="889"/>
      <c r="X1704" s="15"/>
      <c r="Y1704" s="1935"/>
      <c r="Z1704" s="1086"/>
      <c r="AA1704" s="230"/>
      <c r="AB1704" s="230"/>
      <c r="AC1704" s="1936"/>
      <c r="AD1704" s="230"/>
      <c r="AE1704" s="230"/>
      <c r="AF1704" s="230"/>
      <c r="AG1704" s="890"/>
      <c r="AJ1704" s="890"/>
      <c r="AN1704" s="223"/>
      <c r="AO1704" s="952"/>
      <c r="AP1704" s="1066"/>
      <c r="AQ1704" s="972"/>
      <c r="AR1704" s="1917"/>
      <c r="AS1704" s="222"/>
      <c r="AZ1704" s="889"/>
      <c r="BC1704" s="890"/>
      <c r="BD1704" s="952"/>
      <c r="BE1704" s="75"/>
      <c r="BF1704" s="572"/>
      <c r="BG1704" s="983"/>
      <c r="BH1704" s="222"/>
      <c r="BL1704" s="889"/>
      <c r="BO1704" s="223"/>
    </row>
    <row r="1705" spans="1:67" s="74" customFormat="1">
      <c r="A1705" s="15"/>
      <c r="B1705" s="15"/>
      <c r="C1705" s="15"/>
      <c r="D1705" s="15"/>
      <c r="E1705" s="6"/>
      <c r="F1705" s="6"/>
      <c r="G1705" s="6"/>
      <c r="K1705" s="223"/>
      <c r="M1705" s="889"/>
      <c r="P1705" s="890"/>
      <c r="T1705" s="889"/>
      <c r="X1705" s="15"/>
      <c r="Y1705" s="1935"/>
      <c r="Z1705" s="1086"/>
      <c r="AA1705" s="230"/>
      <c r="AB1705" s="230"/>
      <c r="AC1705" s="1936"/>
      <c r="AD1705" s="230"/>
      <c r="AE1705" s="230"/>
      <c r="AF1705" s="230"/>
      <c r="AG1705" s="890"/>
      <c r="AJ1705" s="890"/>
      <c r="AN1705" s="223"/>
      <c r="AO1705" s="952"/>
      <c r="AP1705" s="1066"/>
      <c r="AQ1705" s="972"/>
      <c r="AR1705" s="1917"/>
      <c r="AS1705" s="222"/>
      <c r="AZ1705" s="889"/>
      <c r="BC1705" s="890"/>
      <c r="BD1705" s="952"/>
      <c r="BE1705" s="75"/>
      <c r="BF1705" s="572"/>
      <c r="BG1705" s="983"/>
      <c r="BH1705" s="222"/>
      <c r="BL1705" s="889"/>
      <c r="BO1705" s="223"/>
    </row>
    <row r="1706" spans="1:67" s="74" customFormat="1">
      <c r="A1706" s="15"/>
      <c r="B1706" s="15"/>
      <c r="C1706" s="15"/>
      <c r="D1706" s="15"/>
      <c r="E1706" s="6"/>
      <c r="F1706" s="6"/>
      <c r="G1706" s="6"/>
      <c r="K1706" s="223"/>
      <c r="M1706" s="889"/>
      <c r="P1706" s="890"/>
      <c r="T1706" s="889"/>
      <c r="X1706" s="15"/>
      <c r="Y1706" s="1935"/>
      <c r="Z1706" s="1086"/>
      <c r="AA1706" s="230"/>
      <c r="AB1706" s="230"/>
      <c r="AC1706" s="1936"/>
      <c r="AD1706" s="230"/>
      <c r="AE1706" s="230"/>
      <c r="AF1706" s="230"/>
      <c r="AG1706" s="890"/>
      <c r="AJ1706" s="890"/>
      <c r="AN1706" s="223"/>
      <c r="AO1706" s="952"/>
      <c r="AP1706" s="1066"/>
      <c r="AQ1706" s="972"/>
      <c r="AR1706" s="1917"/>
      <c r="AS1706" s="222"/>
      <c r="AZ1706" s="889"/>
      <c r="BC1706" s="890"/>
      <c r="BD1706" s="952"/>
      <c r="BE1706" s="75"/>
      <c r="BF1706" s="572"/>
      <c r="BG1706" s="983"/>
      <c r="BH1706" s="222"/>
      <c r="BL1706" s="889"/>
      <c r="BO1706" s="223"/>
    </row>
    <row r="1707" spans="1:67" s="74" customFormat="1">
      <c r="A1707" s="15"/>
      <c r="B1707" s="15"/>
      <c r="C1707" s="15"/>
      <c r="D1707" s="15"/>
      <c r="E1707" s="6"/>
      <c r="F1707" s="6"/>
      <c r="G1707" s="6"/>
      <c r="K1707" s="223"/>
      <c r="M1707" s="889"/>
      <c r="P1707" s="890"/>
      <c r="T1707" s="889"/>
      <c r="X1707" s="15"/>
      <c r="Y1707" s="1935"/>
      <c r="Z1707" s="1086"/>
      <c r="AA1707" s="230"/>
      <c r="AB1707" s="230"/>
      <c r="AC1707" s="1936"/>
      <c r="AD1707" s="230"/>
      <c r="AE1707" s="230"/>
      <c r="AF1707" s="230"/>
      <c r="AG1707" s="890"/>
      <c r="AJ1707" s="890"/>
      <c r="AN1707" s="223"/>
      <c r="AO1707" s="952"/>
      <c r="AP1707" s="1066"/>
      <c r="AQ1707" s="972"/>
      <c r="AR1707" s="1917"/>
      <c r="AS1707" s="222"/>
      <c r="AZ1707" s="889"/>
      <c r="BC1707" s="890"/>
      <c r="BD1707" s="952"/>
      <c r="BE1707" s="75"/>
      <c r="BF1707" s="572"/>
      <c r="BG1707" s="983"/>
      <c r="BH1707" s="222"/>
      <c r="BL1707" s="889"/>
      <c r="BO1707" s="223"/>
    </row>
    <row r="1708" spans="1:67" s="74" customFormat="1">
      <c r="A1708" s="15"/>
      <c r="B1708" s="15"/>
      <c r="C1708" s="15"/>
      <c r="D1708" s="15"/>
      <c r="E1708" s="6"/>
      <c r="F1708" s="6"/>
      <c r="G1708" s="6"/>
      <c r="K1708" s="223"/>
      <c r="M1708" s="889"/>
      <c r="P1708" s="890"/>
      <c r="T1708" s="889"/>
      <c r="X1708" s="15"/>
      <c r="Y1708" s="1935"/>
      <c r="Z1708" s="1086"/>
      <c r="AA1708" s="230"/>
      <c r="AB1708" s="230"/>
      <c r="AC1708" s="1936"/>
      <c r="AD1708" s="230"/>
      <c r="AE1708" s="230"/>
      <c r="AF1708" s="230"/>
      <c r="AG1708" s="890"/>
      <c r="AJ1708" s="890"/>
      <c r="AN1708" s="223"/>
      <c r="AO1708" s="952"/>
      <c r="AP1708" s="1066"/>
      <c r="AQ1708" s="972"/>
      <c r="AR1708" s="1917"/>
      <c r="AS1708" s="222"/>
      <c r="AZ1708" s="889"/>
      <c r="BC1708" s="890"/>
      <c r="BD1708" s="952"/>
      <c r="BE1708" s="75"/>
      <c r="BF1708" s="572"/>
      <c r="BG1708" s="983"/>
      <c r="BH1708" s="222"/>
      <c r="BL1708" s="889"/>
      <c r="BO1708" s="223"/>
    </row>
    <row r="1709" spans="1:67" s="74" customFormat="1">
      <c r="A1709" s="15"/>
      <c r="B1709" s="15"/>
      <c r="C1709" s="15"/>
      <c r="D1709" s="15"/>
      <c r="E1709" s="6"/>
      <c r="F1709" s="6"/>
      <c r="G1709" s="6"/>
      <c r="K1709" s="223"/>
      <c r="M1709" s="889"/>
      <c r="P1709" s="890"/>
      <c r="T1709" s="889"/>
      <c r="X1709" s="15"/>
      <c r="Y1709" s="1935"/>
      <c r="Z1709" s="1086"/>
      <c r="AA1709" s="230"/>
      <c r="AB1709" s="230"/>
      <c r="AC1709" s="1936"/>
      <c r="AD1709" s="230"/>
      <c r="AE1709" s="230"/>
      <c r="AF1709" s="230"/>
      <c r="AG1709" s="890"/>
      <c r="AJ1709" s="890"/>
      <c r="AN1709" s="223"/>
      <c r="AO1709" s="952"/>
      <c r="AP1709" s="1066"/>
      <c r="AQ1709" s="972"/>
      <c r="AR1709" s="1917"/>
      <c r="AS1709" s="222"/>
      <c r="AZ1709" s="889"/>
      <c r="BC1709" s="890"/>
      <c r="BD1709" s="952"/>
      <c r="BE1709" s="75"/>
      <c r="BF1709" s="572"/>
      <c r="BG1709" s="983"/>
      <c r="BH1709" s="222"/>
      <c r="BL1709" s="889"/>
      <c r="BO1709" s="223"/>
    </row>
    <row r="1710" spans="1:67" s="74" customFormat="1">
      <c r="A1710" s="15"/>
      <c r="B1710" s="15"/>
      <c r="C1710" s="15"/>
      <c r="D1710" s="15"/>
      <c r="E1710" s="6"/>
      <c r="F1710" s="6"/>
      <c r="G1710" s="6"/>
      <c r="K1710" s="223"/>
      <c r="M1710" s="889"/>
      <c r="P1710" s="890"/>
      <c r="T1710" s="889"/>
      <c r="X1710" s="15"/>
      <c r="Y1710" s="1935"/>
      <c r="Z1710" s="1086"/>
      <c r="AA1710" s="230"/>
      <c r="AB1710" s="230"/>
      <c r="AC1710" s="1936"/>
      <c r="AD1710" s="230"/>
      <c r="AE1710" s="230"/>
      <c r="AF1710" s="230"/>
      <c r="AG1710" s="890"/>
      <c r="AJ1710" s="890"/>
      <c r="AN1710" s="223"/>
      <c r="AO1710" s="952"/>
      <c r="AP1710" s="1066"/>
      <c r="AQ1710" s="972"/>
      <c r="AR1710" s="1917"/>
      <c r="AS1710" s="222"/>
      <c r="AZ1710" s="889"/>
      <c r="BC1710" s="890"/>
      <c r="BD1710" s="952"/>
      <c r="BE1710" s="75"/>
      <c r="BF1710" s="572"/>
      <c r="BG1710" s="983"/>
      <c r="BH1710" s="222"/>
      <c r="BL1710" s="889"/>
      <c r="BO1710" s="223"/>
    </row>
    <row r="1711" spans="1:67" s="74" customFormat="1">
      <c r="A1711" s="15"/>
      <c r="B1711" s="15"/>
      <c r="C1711" s="15"/>
      <c r="D1711" s="15"/>
      <c r="E1711" s="6"/>
      <c r="F1711" s="6"/>
      <c r="G1711" s="6"/>
      <c r="K1711" s="223"/>
      <c r="M1711" s="889"/>
      <c r="P1711" s="890"/>
      <c r="T1711" s="889"/>
      <c r="X1711" s="15"/>
      <c r="Y1711" s="1935"/>
      <c r="Z1711" s="1086"/>
      <c r="AA1711" s="230"/>
      <c r="AB1711" s="230"/>
      <c r="AC1711" s="1936"/>
      <c r="AD1711" s="230"/>
      <c r="AE1711" s="230"/>
      <c r="AF1711" s="230"/>
      <c r="AG1711" s="890"/>
      <c r="AJ1711" s="890"/>
      <c r="AN1711" s="223"/>
      <c r="AO1711" s="952"/>
      <c r="AP1711" s="1066"/>
      <c r="AQ1711" s="972"/>
      <c r="AR1711" s="1917"/>
      <c r="AS1711" s="222"/>
      <c r="AZ1711" s="889"/>
      <c r="BC1711" s="890"/>
      <c r="BD1711" s="952"/>
      <c r="BE1711" s="75"/>
      <c r="BF1711" s="572"/>
      <c r="BG1711" s="983"/>
      <c r="BH1711" s="222"/>
      <c r="BL1711" s="889"/>
      <c r="BO1711" s="223"/>
    </row>
    <row r="1712" spans="1:67" s="74" customFormat="1">
      <c r="A1712" s="15"/>
      <c r="B1712" s="15"/>
      <c r="C1712" s="15"/>
      <c r="D1712" s="15"/>
      <c r="E1712" s="6"/>
      <c r="F1712" s="6"/>
      <c r="G1712" s="6"/>
      <c r="K1712" s="223"/>
      <c r="M1712" s="889"/>
      <c r="P1712" s="890"/>
      <c r="T1712" s="889"/>
      <c r="X1712" s="15"/>
      <c r="Y1712" s="1935"/>
      <c r="Z1712" s="1086"/>
      <c r="AA1712" s="230"/>
      <c r="AB1712" s="230"/>
      <c r="AC1712" s="1936"/>
      <c r="AD1712" s="230"/>
      <c r="AE1712" s="230"/>
      <c r="AF1712" s="230"/>
      <c r="AG1712" s="890"/>
      <c r="AJ1712" s="890"/>
      <c r="AN1712" s="223"/>
      <c r="AO1712" s="952"/>
      <c r="AP1712" s="1066"/>
      <c r="AQ1712" s="972"/>
      <c r="AR1712" s="1917"/>
      <c r="AS1712" s="222"/>
      <c r="AZ1712" s="889"/>
      <c r="BC1712" s="890"/>
      <c r="BD1712" s="952"/>
      <c r="BE1712" s="75"/>
      <c r="BF1712" s="572"/>
      <c r="BG1712" s="983"/>
      <c r="BH1712" s="222"/>
      <c r="BL1712" s="889"/>
      <c r="BO1712" s="223"/>
    </row>
    <row r="1713" spans="1:67" s="74" customFormat="1">
      <c r="A1713" s="15"/>
      <c r="B1713" s="15"/>
      <c r="C1713" s="15"/>
      <c r="D1713" s="15"/>
      <c r="E1713" s="6"/>
      <c r="F1713" s="6"/>
      <c r="G1713" s="6"/>
      <c r="K1713" s="223"/>
      <c r="M1713" s="889"/>
      <c r="P1713" s="890"/>
      <c r="T1713" s="889"/>
      <c r="X1713" s="15"/>
      <c r="Y1713" s="1935"/>
      <c r="Z1713" s="1086"/>
      <c r="AA1713" s="230"/>
      <c r="AB1713" s="230"/>
      <c r="AC1713" s="1936"/>
      <c r="AD1713" s="230"/>
      <c r="AE1713" s="230"/>
      <c r="AF1713" s="230"/>
      <c r="AG1713" s="890"/>
      <c r="AJ1713" s="890"/>
      <c r="AN1713" s="223"/>
      <c r="AO1713" s="952"/>
      <c r="AP1713" s="1066"/>
      <c r="AQ1713" s="972"/>
      <c r="AR1713" s="1917"/>
      <c r="AS1713" s="222"/>
      <c r="AZ1713" s="889"/>
      <c r="BC1713" s="890"/>
      <c r="BD1713" s="952"/>
      <c r="BE1713" s="75"/>
      <c r="BF1713" s="572"/>
      <c r="BG1713" s="983"/>
      <c r="BH1713" s="222"/>
      <c r="BL1713" s="889"/>
      <c r="BO1713" s="223"/>
    </row>
    <row r="1714" spans="1:67" s="74" customFormat="1">
      <c r="A1714" s="15"/>
      <c r="B1714" s="15"/>
      <c r="C1714" s="15"/>
      <c r="D1714" s="15"/>
      <c r="E1714" s="6"/>
      <c r="F1714" s="6"/>
      <c r="G1714" s="6"/>
      <c r="K1714" s="223"/>
      <c r="M1714" s="889"/>
      <c r="P1714" s="890"/>
      <c r="T1714" s="889"/>
      <c r="X1714" s="15"/>
      <c r="Y1714" s="1935"/>
      <c r="Z1714" s="1086"/>
      <c r="AA1714" s="230"/>
      <c r="AB1714" s="230"/>
      <c r="AC1714" s="1936"/>
      <c r="AD1714" s="230"/>
      <c r="AE1714" s="230"/>
      <c r="AF1714" s="230"/>
      <c r="AG1714" s="890"/>
      <c r="AJ1714" s="890"/>
      <c r="AN1714" s="223"/>
      <c r="AO1714" s="952"/>
      <c r="AP1714" s="1066"/>
      <c r="AQ1714" s="972"/>
      <c r="AR1714" s="1917"/>
      <c r="AS1714" s="222"/>
      <c r="AZ1714" s="889"/>
      <c r="BC1714" s="890"/>
      <c r="BD1714" s="952"/>
      <c r="BE1714" s="75"/>
      <c r="BF1714" s="572"/>
      <c r="BG1714" s="983"/>
      <c r="BH1714" s="222"/>
      <c r="BL1714" s="889"/>
      <c r="BO1714" s="223"/>
    </row>
    <row r="1715" spans="1:67" s="74" customFormat="1">
      <c r="A1715" s="15"/>
      <c r="B1715" s="15"/>
      <c r="C1715" s="15"/>
      <c r="D1715" s="15"/>
      <c r="E1715" s="6"/>
      <c r="F1715" s="6"/>
      <c r="G1715" s="6"/>
      <c r="K1715" s="223"/>
      <c r="M1715" s="889"/>
      <c r="P1715" s="890"/>
      <c r="T1715" s="889"/>
      <c r="X1715" s="15"/>
      <c r="Y1715" s="1935"/>
      <c r="Z1715" s="1086"/>
      <c r="AA1715" s="230"/>
      <c r="AB1715" s="230"/>
      <c r="AC1715" s="1936"/>
      <c r="AD1715" s="230"/>
      <c r="AE1715" s="230"/>
      <c r="AF1715" s="230"/>
      <c r="AG1715" s="890"/>
      <c r="AJ1715" s="890"/>
      <c r="AN1715" s="223"/>
      <c r="AO1715" s="952"/>
      <c r="AP1715" s="1066"/>
      <c r="AQ1715" s="972"/>
      <c r="AR1715" s="1917"/>
      <c r="AS1715" s="222"/>
      <c r="AZ1715" s="889"/>
      <c r="BC1715" s="890"/>
      <c r="BD1715" s="952"/>
      <c r="BE1715" s="75"/>
      <c r="BF1715" s="572"/>
      <c r="BG1715" s="983"/>
      <c r="BH1715" s="222"/>
      <c r="BL1715" s="889"/>
      <c r="BO1715" s="223"/>
    </row>
    <row r="1716" spans="1:67" s="74" customFormat="1">
      <c r="A1716" s="15"/>
      <c r="B1716" s="15"/>
      <c r="C1716" s="15"/>
      <c r="D1716" s="15"/>
      <c r="E1716" s="6"/>
      <c r="F1716" s="6"/>
      <c r="G1716" s="6"/>
      <c r="K1716" s="223"/>
      <c r="M1716" s="889"/>
      <c r="P1716" s="890"/>
      <c r="T1716" s="889"/>
      <c r="X1716" s="15"/>
      <c r="Y1716" s="1935"/>
      <c r="Z1716" s="1086"/>
      <c r="AA1716" s="230"/>
      <c r="AB1716" s="230"/>
      <c r="AC1716" s="1936"/>
      <c r="AD1716" s="230"/>
      <c r="AE1716" s="230"/>
      <c r="AF1716" s="230"/>
      <c r="AG1716" s="890"/>
      <c r="AJ1716" s="890"/>
      <c r="AN1716" s="223"/>
      <c r="AO1716" s="952"/>
      <c r="AP1716" s="1066"/>
      <c r="AQ1716" s="972"/>
      <c r="AR1716" s="1917"/>
      <c r="AS1716" s="222"/>
      <c r="AZ1716" s="889"/>
      <c r="BC1716" s="890"/>
      <c r="BD1716" s="952"/>
      <c r="BE1716" s="75"/>
      <c r="BF1716" s="572"/>
      <c r="BG1716" s="983"/>
      <c r="BH1716" s="222"/>
      <c r="BL1716" s="889"/>
      <c r="BO1716" s="223"/>
    </row>
    <row r="1717" spans="1:67" s="74" customFormat="1">
      <c r="A1717" s="15"/>
      <c r="B1717" s="15"/>
      <c r="C1717" s="15"/>
      <c r="D1717" s="15"/>
      <c r="E1717" s="6"/>
      <c r="F1717" s="6"/>
      <c r="G1717" s="6"/>
      <c r="K1717" s="223"/>
      <c r="M1717" s="889"/>
      <c r="P1717" s="890"/>
      <c r="T1717" s="889"/>
      <c r="X1717" s="15"/>
      <c r="Y1717" s="1935"/>
      <c r="Z1717" s="1086"/>
      <c r="AA1717" s="230"/>
      <c r="AB1717" s="230"/>
      <c r="AC1717" s="1936"/>
      <c r="AD1717" s="230"/>
      <c r="AE1717" s="230"/>
      <c r="AF1717" s="230"/>
      <c r="AG1717" s="890"/>
      <c r="AJ1717" s="890"/>
      <c r="AN1717" s="223"/>
      <c r="AO1717" s="952"/>
      <c r="AP1717" s="1066"/>
      <c r="AQ1717" s="972"/>
      <c r="AR1717" s="1917"/>
      <c r="AS1717" s="222"/>
      <c r="AZ1717" s="889"/>
      <c r="BC1717" s="890"/>
      <c r="BD1717" s="952"/>
      <c r="BE1717" s="75"/>
      <c r="BF1717" s="572"/>
      <c r="BG1717" s="983"/>
      <c r="BH1717" s="222"/>
      <c r="BL1717" s="889"/>
      <c r="BO1717" s="223"/>
    </row>
    <row r="1718" spans="1:67" s="74" customFormat="1">
      <c r="A1718" s="15"/>
      <c r="B1718" s="15"/>
      <c r="C1718" s="15"/>
      <c r="D1718" s="15"/>
      <c r="E1718" s="6"/>
      <c r="F1718" s="6"/>
      <c r="G1718" s="6"/>
      <c r="K1718" s="223"/>
      <c r="M1718" s="889"/>
      <c r="P1718" s="890"/>
      <c r="T1718" s="889"/>
      <c r="X1718" s="15"/>
      <c r="Y1718" s="1935"/>
      <c r="Z1718" s="1086"/>
      <c r="AA1718" s="230"/>
      <c r="AB1718" s="230"/>
      <c r="AC1718" s="1936"/>
      <c r="AD1718" s="230"/>
      <c r="AE1718" s="230"/>
      <c r="AF1718" s="230"/>
      <c r="AG1718" s="890"/>
      <c r="AJ1718" s="890"/>
      <c r="AN1718" s="223"/>
      <c r="AO1718" s="952"/>
      <c r="AP1718" s="1066"/>
      <c r="AQ1718" s="972"/>
      <c r="AR1718" s="1917"/>
      <c r="AS1718" s="222"/>
      <c r="AZ1718" s="889"/>
      <c r="BC1718" s="890"/>
      <c r="BD1718" s="952"/>
      <c r="BE1718" s="75"/>
      <c r="BF1718" s="572"/>
      <c r="BG1718" s="983"/>
      <c r="BH1718" s="222"/>
      <c r="BL1718" s="889"/>
      <c r="BO1718" s="223"/>
    </row>
    <row r="1719" spans="1:67" s="74" customFormat="1">
      <c r="A1719" s="15"/>
      <c r="B1719" s="15"/>
      <c r="C1719" s="15"/>
      <c r="D1719" s="15"/>
      <c r="E1719" s="6"/>
      <c r="F1719" s="6"/>
      <c r="G1719" s="6"/>
      <c r="K1719" s="223"/>
      <c r="M1719" s="889"/>
      <c r="P1719" s="890"/>
      <c r="T1719" s="889"/>
      <c r="X1719" s="15"/>
      <c r="Y1719" s="1935"/>
      <c r="Z1719" s="1086"/>
      <c r="AA1719" s="230"/>
      <c r="AB1719" s="230"/>
      <c r="AC1719" s="1936"/>
      <c r="AD1719" s="230"/>
      <c r="AE1719" s="230"/>
      <c r="AF1719" s="230"/>
      <c r="AG1719" s="890"/>
      <c r="AJ1719" s="890"/>
      <c r="AN1719" s="223"/>
      <c r="AO1719" s="952"/>
      <c r="AP1719" s="1066"/>
      <c r="AQ1719" s="972"/>
      <c r="AR1719" s="1917"/>
      <c r="AS1719" s="222"/>
      <c r="AZ1719" s="889"/>
      <c r="BC1719" s="890"/>
      <c r="BD1719" s="952"/>
      <c r="BE1719" s="75"/>
      <c r="BF1719" s="572"/>
      <c r="BG1719" s="983"/>
      <c r="BH1719" s="222"/>
      <c r="BL1719" s="889"/>
      <c r="BO1719" s="223"/>
    </row>
    <row r="1720" spans="1:67" s="74" customFormat="1">
      <c r="A1720" s="15"/>
      <c r="B1720" s="15"/>
      <c r="C1720" s="15"/>
      <c r="D1720" s="15"/>
      <c r="E1720" s="6"/>
      <c r="F1720" s="6"/>
      <c r="G1720" s="6"/>
      <c r="K1720" s="223"/>
      <c r="M1720" s="889"/>
      <c r="P1720" s="890"/>
      <c r="T1720" s="889"/>
      <c r="X1720" s="15"/>
      <c r="Y1720" s="1935"/>
      <c r="Z1720" s="1086"/>
      <c r="AA1720" s="230"/>
      <c r="AB1720" s="230"/>
      <c r="AC1720" s="1936"/>
      <c r="AD1720" s="230"/>
      <c r="AE1720" s="230"/>
      <c r="AF1720" s="230"/>
      <c r="AG1720" s="890"/>
      <c r="AJ1720" s="890"/>
      <c r="AN1720" s="223"/>
      <c r="AO1720" s="952"/>
      <c r="AP1720" s="1066"/>
      <c r="AQ1720" s="972"/>
      <c r="AR1720" s="1917"/>
      <c r="AS1720" s="222"/>
      <c r="AZ1720" s="889"/>
      <c r="BC1720" s="890"/>
      <c r="BD1720" s="952"/>
      <c r="BE1720" s="75"/>
      <c r="BF1720" s="572"/>
      <c r="BG1720" s="983"/>
      <c r="BH1720" s="222"/>
      <c r="BL1720" s="889"/>
      <c r="BO1720" s="223"/>
    </row>
    <row r="1721" spans="1:67" s="74" customFormat="1">
      <c r="A1721" s="15"/>
      <c r="B1721" s="15"/>
      <c r="C1721" s="15"/>
      <c r="D1721" s="15"/>
      <c r="E1721" s="6"/>
      <c r="F1721" s="6"/>
      <c r="G1721" s="6"/>
      <c r="K1721" s="223"/>
      <c r="M1721" s="889"/>
      <c r="P1721" s="890"/>
      <c r="T1721" s="889"/>
      <c r="X1721" s="15"/>
      <c r="Y1721" s="1935"/>
      <c r="Z1721" s="1086"/>
      <c r="AA1721" s="230"/>
      <c r="AB1721" s="230"/>
      <c r="AC1721" s="1936"/>
      <c r="AD1721" s="230"/>
      <c r="AE1721" s="230"/>
      <c r="AF1721" s="230"/>
      <c r="AG1721" s="890"/>
      <c r="AJ1721" s="890"/>
      <c r="AN1721" s="223"/>
      <c r="AO1721" s="952"/>
      <c r="AP1721" s="1066"/>
      <c r="AQ1721" s="972"/>
      <c r="AR1721" s="1917"/>
      <c r="AS1721" s="222"/>
      <c r="AZ1721" s="889"/>
      <c r="BC1721" s="890"/>
      <c r="BD1721" s="952"/>
      <c r="BE1721" s="75"/>
      <c r="BF1721" s="572"/>
      <c r="BG1721" s="983"/>
      <c r="BH1721" s="222"/>
      <c r="BL1721" s="889"/>
      <c r="BO1721" s="223"/>
    </row>
    <row r="1722" spans="1:67" s="74" customFormat="1">
      <c r="A1722" s="15"/>
      <c r="B1722" s="15"/>
      <c r="C1722" s="15"/>
      <c r="D1722" s="15"/>
      <c r="E1722" s="6"/>
      <c r="F1722" s="6"/>
      <c r="G1722" s="6"/>
      <c r="K1722" s="223"/>
      <c r="M1722" s="889"/>
      <c r="P1722" s="890"/>
      <c r="T1722" s="889"/>
      <c r="X1722" s="15"/>
      <c r="Y1722" s="1935"/>
      <c r="Z1722" s="1086"/>
      <c r="AA1722" s="230"/>
      <c r="AB1722" s="230"/>
      <c r="AC1722" s="1936"/>
      <c r="AD1722" s="230"/>
      <c r="AE1722" s="230"/>
      <c r="AF1722" s="230"/>
      <c r="AG1722" s="890"/>
      <c r="AJ1722" s="890"/>
      <c r="AN1722" s="223"/>
      <c r="AO1722" s="952"/>
      <c r="AP1722" s="1066"/>
      <c r="AQ1722" s="972"/>
      <c r="AR1722" s="1917"/>
      <c r="AS1722" s="222"/>
      <c r="AZ1722" s="889"/>
      <c r="BC1722" s="890"/>
      <c r="BD1722" s="952"/>
      <c r="BE1722" s="75"/>
      <c r="BF1722" s="572"/>
      <c r="BG1722" s="983"/>
      <c r="BH1722" s="222"/>
      <c r="BL1722" s="889"/>
      <c r="BO1722" s="223"/>
    </row>
    <row r="1723" spans="1:67" s="74" customFormat="1">
      <c r="A1723" s="15"/>
      <c r="B1723" s="15"/>
      <c r="C1723" s="15"/>
      <c r="D1723" s="15"/>
      <c r="E1723" s="6"/>
      <c r="F1723" s="6"/>
      <c r="G1723" s="6"/>
      <c r="K1723" s="223"/>
      <c r="M1723" s="889"/>
      <c r="P1723" s="890"/>
      <c r="T1723" s="889"/>
      <c r="X1723" s="15"/>
      <c r="Y1723" s="1935"/>
      <c r="Z1723" s="1086"/>
      <c r="AA1723" s="230"/>
      <c r="AB1723" s="230"/>
      <c r="AC1723" s="1936"/>
      <c r="AD1723" s="230"/>
      <c r="AE1723" s="230"/>
      <c r="AF1723" s="230"/>
      <c r="AG1723" s="890"/>
      <c r="AJ1723" s="890"/>
      <c r="AN1723" s="223"/>
      <c r="AO1723" s="952"/>
      <c r="AP1723" s="1066"/>
      <c r="AQ1723" s="972"/>
      <c r="AR1723" s="1917"/>
      <c r="AS1723" s="222"/>
      <c r="AZ1723" s="889"/>
      <c r="BC1723" s="890"/>
      <c r="BD1723" s="952"/>
      <c r="BE1723" s="75"/>
      <c r="BF1723" s="572"/>
      <c r="BG1723" s="983"/>
      <c r="BH1723" s="222"/>
      <c r="BL1723" s="889"/>
      <c r="BO1723" s="223"/>
    </row>
    <row r="1724" spans="1:67" s="74" customFormat="1">
      <c r="A1724" s="15"/>
      <c r="B1724" s="15"/>
      <c r="C1724" s="15"/>
      <c r="D1724" s="15"/>
      <c r="E1724" s="6"/>
      <c r="F1724" s="6"/>
      <c r="G1724" s="6"/>
      <c r="K1724" s="223"/>
      <c r="M1724" s="889"/>
      <c r="P1724" s="890"/>
      <c r="T1724" s="889"/>
      <c r="X1724" s="15"/>
      <c r="Y1724" s="1935"/>
      <c r="Z1724" s="1086"/>
      <c r="AA1724" s="230"/>
      <c r="AB1724" s="230"/>
      <c r="AC1724" s="1936"/>
      <c r="AD1724" s="230"/>
      <c r="AE1724" s="230"/>
      <c r="AF1724" s="230"/>
      <c r="AG1724" s="890"/>
      <c r="AJ1724" s="890"/>
      <c r="AN1724" s="223"/>
      <c r="AO1724" s="952"/>
      <c r="AP1724" s="1066"/>
      <c r="AQ1724" s="972"/>
      <c r="AR1724" s="1917"/>
      <c r="AS1724" s="222"/>
      <c r="AZ1724" s="889"/>
      <c r="BC1724" s="890"/>
      <c r="BD1724" s="952"/>
      <c r="BE1724" s="75"/>
      <c r="BF1724" s="572"/>
      <c r="BG1724" s="983"/>
      <c r="BH1724" s="222"/>
      <c r="BL1724" s="889"/>
      <c r="BO1724" s="223"/>
    </row>
    <row r="1725" spans="1:67" s="74" customFormat="1">
      <c r="A1725" s="15"/>
      <c r="B1725" s="15"/>
      <c r="C1725" s="15"/>
      <c r="D1725" s="15"/>
      <c r="E1725" s="6"/>
      <c r="F1725" s="6"/>
      <c r="G1725" s="6"/>
      <c r="K1725" s="223"/>
      <c r="M1725" s="889"/>
      <c r="P1725" s="890"/>
      <c r="T1725" s="889"/>
      <c r="X1725" s="15"/>
      <c r="Y1725" s="1935"/>
      <c r="Z1725" s="1086"/>
      <c r="AA1725" s="230"/>
      <c r="AB1725" s="230"/>
      <c r="AC1725" s="1936"/>
      <c r="AD1725" s="230"/>
      <c r="AE1725" s="230"/>
      <c r="AF1725" s="230"/>
      <c r="AG1725" s="890"/>
      <c r="AJ1725" s="890"/>
      <c r="AN1725" s="223"/>
      <c r="AO1725" s="952"/>
      <c r="AP1725" s="1066"/>
      <c r="AQ1725" s="972"/>
      <c r="AR1725" s="1917"/>
      <c r="AS1725" s="222"/>
      <c r="AZ1725" s="889"/>
      <c r="BC1725" s="890"/>
      <c r="BD1725" s="952"/>
      <c r="BE1725" s="75"/>
      <c r="BF1725" s="572"/>
      <c r="BG1725" s="983"/>
      <c r="BH1725" s="222"/>
      <c r="BL1725" s="889"/>
      <c r="BO1725" s="223"/>
    </row>
    <row r="1726" spans="1:67" s="74" customFormat="1">
      <c r="A1726" s="15"/>
      <c r="B1726" s="15"/>
      <c r="C1726" s="15"/>
      <c r="D1726" s="15"/>
      <c r="E1726" s="6"/>
      <c r="F1726" s="6"/>
      <c r="G1726" s="6"/>
      <c r="K1726" s="223"/>
      <c r="M1726" s="889"/>
      <c r="P1726" s="890"/>
      <c r="T1726" s="889"/>
      <c r="X1726" s="15"/>
      <c r="Y1726" s="1935"/>
      <c r="Z1726" s="1086"/>
      <c r="AA1726" s="230"/>
      <c r="AB1726" s="230"/>
      <c r="AC1726" s="1936"/>
      <c r="AD1726" s="230"/>
      <c r="AE1726" s="230"/>
      <c r="AF1726" s="230"/>
      <c r="AG1726" s="890"/>
      <c r="AJ1726" s="890"/>
      <c r="AN1726" s="223"/>
      <c r="AO1726" s="952"/>
      <c r="AP1726" s="1066"/>
      <c r="AQ1726" s="972"/>
      <c r="AR1726" s="1917"/>
      <c r="AS1726" s="222"/>
      <c r="AZ1726" s="889"/>
      <c r="BC1726" s="890"/>
      <c r="BD1726" s="952"/>
      <c r="BE1726" s="75"/>
      <c r="BF1726" s="572"/>
      <c r="BG1726" s="983"/>
      <c r="BH1726" s="222"/>
      <c r="BL1726" s="889"/>
      <c r="BO1726" s="223"/>
    </row>
    <row r="1727" spans="1:67" s="74" customFormat="1">
      <c r="A1727" s="15"/>
      <c r="B1727" s="15"/>
      <c r="C1727" s="15"/>
      <c r="D1727" s="15"/>
      <c r="E1727" s="6"/>
      <c r="F1727" s="6"/>
      <c r="G1727" s="6"/>
      <c r="K1727" s="223"/>
      <c r="M1727" s="889"/>
      <c r="P1727" s="890"/>
      <c r="T1727" s="889"/>
      <c r="X1727" s="15"/>
      <c r="Y1727" s="1935"/>
      <c r="Z1727" s="1086"/>
      <c r="AA1727" s="230"/>
      <c r="AB1727" s="230"/>
      <c r="AC1727" s="1936"/>
      <c r="AD1727" s="230"/>
      <c r="AE1727" s="230"/>
      <c r="AF1727" s="230"/>
      <c r="AG1727" s="890"/>
      <c r="AJ1727" s="890"/>
      <c r="AN1727" s="223"/>
      <c r="AO1727" s="952"/>
      <c r="AP1727" s="1066"/>
      <c r="AQ1727" s="972"/>
      <c r="AR1727" s="1917"/>
      <c r="AS1727" s="222"/>
      <c r="AZ1727" s="889"/>
      <c r="BC1727" s="890"/>
      <c r="BD1727" s="952"/>
      <c r="BE1727" s="75"/>
      <c r="BF1727" s="572"/>
      <c r="BG1727" s="983"/>
      <c r="BH1727" s="222"/>
      <c r="BL1727" s="889"/>
      <c r="BO1727" s="223"/>
    </row>
    <row r="1728" spans="1:67" s="74" customFormat="1">
      <c r="A1728" s="15"/>
      <c r="B1728" s="15"/>
      <c r="C1728" s="15"/>
      <c r="D1728" s="15"/>
      <c r="E1728" s="6"/>
      <c r="F1728" s="6"/>
      <c r="G1728" s="6"/>
      <c r="K1728" s="223"/>
      <c r="M1728" s="889"/>
      <c r="P1728" s="890"/>
      <c r="T1728" s="889"/>
      <c r="X1728" s="15"/>
      <c r="Y1728" s="1935"/>
      <c r="Z1728" s="1086"/>
      <c r="AA1728" s="230"/>
      <c r="AB1728" s="230"/>
      <c r="AC1728" s="1936"/>
      <c r="AD1728" s="230"/>
      <c r="AE1728" s="230"/>
      <c r="AF1728" s="230"/>
      <c r="AG1728" s="890"/>
      <c r="AJ1728" s="890"/>
      <c r="AN1728" s="223"/>
      <c r="AO1728" s="952"/>
      <c r="AP1728" s="1066"/>
      <c r="AQ1728" s="972"/>
      <c r="AR1728" s="1917"/>
      <c r="AS1728" s="222"/>
      <c r="AZ1728" s="889"/>
      <c r="BC1728" s="890"/>
      <c r="BD1728" s="952"/>
      <c r="BE1728" s="75"/>
      <c r="BF1728" s="572"/>
      <c r="BG1728" s="983"/>
      <c r="BH1728" s="222"/>
      <c r="BL1728" s="889"/>
      <c r="BO1728" s="223"/>
    </row>
    <row r="1729" spans="1:67" s="74" customFormat="1">
      <c r="A1729" s="15"/>
      <c r="B1729" s="15"/>
      <c r="C1729" s="15"/>
      <c r="D1729" s="15"/>
      <c r="E1729" s="6"/>
      <c r="F1729" s="6"/>
      <c r="G1729" s="6"/>
      <c r="K1729" s="223"/>
      <c r="M1729" s="889"/>
      <c r="P1729" s="890"/>
      <c r="T1729" s="889"/>
      <c r="X1729" s="15"/>
      <c r="Y1729" s="1935"/>
      <c r="Z1729" s="1086"/>
      <c r="AA1729" s="230"/>
      <c r="AB1729" s="230"/>
      <c r="AC1729" s="1936"/>
      <c r="AD1729" s="230"/>
      <c r="AE1729" s="230"/>
      <c r="AF1729" s="230"/>
      <c r="AG1729" s="890"/>
      <c r="AJ1729" s="890"/>
      <c r="AN1729" s="223"/>
      <c r="AO1729" s="952"/>
      <c r="AP1729" s="1066"/>
      <c r="AQ1729" s="972"/>
      <c r="AR1729" s="1917"/>
      <c r="AS1729" s="222"/>
      <c r="AZ1729" s="889"/>
      <c r="BC1729" s="890"/>
      <c r="BD1729" s="952"/>
      <c r="BE1729" s="75"/>
      <c r="BF1729" s="572"/>
      <c r="BG1729" s="983"/>
      <c r="BH1729" s="222"/>
      <c r="BL1729" s="889"/>
      <c r="BO1729" s="223"/>
    </row>
    <row r="1730" spans="1:67" s="74" customFormat="1">
      <c r="A1730" s="15"/>
      <c r="B1730" s="15"/>
      <c r="C1730" s="15"/>
      <c r="D1730" s="15"/>
      <c r="E1730" s="6"/>
      <c r="F1730" s="6"/>
      <c r="G1730" s="6"/>
      <c r="K1730" s="223"/>
      <c r="M1730" s="889"/>
      <c r="P1730" s="890"/>
      <c r="T1730" s="889"/>
      <c r="X1730" s="15"/>
      <c r="Y1730" s="1935"/>
      <c r="Z1730" s="1086"/>
      <c r="AA1730" s="230"/>
      <c r="AB1730" s="230"/>
      <c r="AC1730" s="1936"/>
      <c r="AD1730" s="230"/>
      <c r="AE1730" s="230"/>
      <c r="AF1730" s="230"/>
      <c r="AG1730" s="890"/>
      <c r="AJ1730" s="890"/>
      <c r="AN1730" s="223"/>
      <c r="AO1730" s="952"/>
      <c r="AP1730" s="1066"/>
      <c r="AQ1730" s="972"/>
      <c r="AR1730" s="1917"/>
      <c r="AS1730" s="222"/>
      <c r="AZ1730" s="889"/>
      <c r="BC1730" s="890"/>
      <c r="BD1730" s="952"/>
      <c r="BE1730" s="75"/>
      <c r="BF1730" s="572"/>
      <c r="BG1730" s="983"/>
      <c r="BH1730" s="222"/>
      <c r="BL1730" s="889"/>
      <c r="BO1730" s="223"/>
    </row>
    <row r="1731" spans="1:67" s="74" customFormat="1">
      <c r="A1731" s="15"/>
      <c r="B1731" s="15"/>
      <c r="C1731" s="15"/>
      <c r="D1731" s="15"/>
      <c r="E1731" s="6"/>
      <c r="F1731" s="6"/>
      <c r="G1731" s="6"/>
      <c r="K1731" s="223"/>
      <c r="M1731" s="889"/>
      <c r="P1731" s="890"/>
      <c r="T1731" s="889"/>
      <c r="X1731" s="15"/>
      <c r="Y1731" s="1935"/>
      <c r="Z1731" s="1086"/>
      <c r="AA1731" s="230"/>
      <c r="AB1731" s="230"/>
      <c r="AC1731" s="1936"/>
      <c r="AD1731" s="230"/>
      <c r="AE1731" s="230"/>
      <c r="AF1731" s="230"/>
      <c r="AG1731" s="890"/>
      <c r="AJ1731" s="890"/>
      <c r="AN1731" s="223"/>
      <c r="AO1731" s="952"/>
      <c r="AP1731" s="1066"/>
      <c r="AQ1731" s="972"/>
      <c r="AR1731" s="1917"/>
      <c r="AS1731" s="222"/>
      <c r="AZ1731" s="889"/>
      <c r="BC1731" s="890"/>
      <c r="BD1731" s="952"/>
      <c r="BE1731" s="75"/>
      <c r="BF1731" s="572"/>
      <c r="BG1731" s="983"/>
      <c r="BH1731" s="222"/>
      <c r="BL1731" s="889"/>
      <c r="BO1731" s="223"/>
    </row>
    <row r="1732" spans="1:67" s="74" customFormat="1">
      <c r="A1732" s="15"/>
      <c r="B1732" s="15"/>
      <c r="C1732" s="15"/>
      <c r="D1732" s="15"/>
      <c r="E1732" s="6"/>
      <c r="F1732" s="6"/>
      <c r="G1732" s="6"/>
      <c r="K1732" s="223"/>
      <c r="M1732" s="889"/>
      <c r="P1732" s="890"/>
      <c r="T1732" s="889"/>
      <c r="X1732" s="15"/>
      <c r="Y1732" s="1935"/>
      <c r="Z1732" s="1086"/>
      <c r="AA1732" s="230"/>
      <c r="AB1732" s="230"/>
      <c r="AC1732" s="1936"/>
      <c r="AD1732" s="230"/>
      <c r="AE1732" s="230"/>
      <c r="AF1732" s="230"/>
      <c r="AG1732" s="890"/>
      <c r="AJ1732" s="890"/>
      <c r="AN1732" s="223"/>
      <c r="AO1732" s="952"/>
      <c r="AP1732" s="1066"/>
      <c r="AQ1732" s="972"/>
      <c r="AR1732" s="1917"/>
      <c r="AS1732" s="222"/>
      <c r="AZ1732" s="889"/>
      <c r="BC1732" s="890"/>
      <c r="BD1732" s="952"/>
      <c r="BE1732" s="75"/>
      <c r="BF1732" s="572"/>
      <c r="BG1732" s="983"/>
      <c r="BH1732" s="222"/>
      <c r="BL1732" s="889"/>
      <c r="BO1732" s="223"/>
    </row>
    <row r="1733" spans="1:67" s="74" customFormat="1">
      <c r="A1733" s="15"/>
      <c r="B1733" s="15"/>
      <c r="C1733" s="15"/>
      <c r="D1733" s="15"/>
      <c r="E1733" s="6"/>
      <c r="F1733" s="6"/>
      <c r="G1733" s="6"/>
      <c r="K1733" s="223"/>
      <c r="M1733" s="889"/>
      <c r="P1733" s="890"/>
      <c r="T1733" s="889"/>
      <c r="X1733" s="15"/>
      <c r="Y1733" s="1935"/>
      <c r="Z1733" s="1086"/>
      <c r="AA1733" s="230"/>
      <c r="AB1733" s="230"/>
      <c r="AC1733" s="1936"/>
      <c r="AD1733" s="230"/>
      <c r="AE1733" s="230"/>
      <c r="AF1733" s="230"/>
      <c r="AG1733" s="890"/>
      <c r="AJ1733" s="890"/>
      <c r="AN1733" s="223"/>
      <c r="AO1733" s="952"/>
      <c r="AP1733" s="1066"/>
      <c r="AQ1733" s="972"/>
      <c r="AR1733" s="1917"/>
      <c r="AS1733" s="222"/>
      <c r="AZ1733" s="889"/>
      <c r="BC1733" s="890"/>
      <c r="BD1733" s="952"/>
      <c r="BE1733" s="75"/>
      <c r="BF1733" s="572"/>
      <c r="BG1733" s="983"/>
      <c r="BH1733" s="222"/>
      <c r="BL1733" s="889"/>
      <c r="BO1733" s="223"/>
    </row>
    <row r="1734" spans="1:67" s="74" customFormat="1">
      <c r="A1734" s="15"/>
      <c r="B1734" s="15"/>
      <c r="C1734" s="15"/>
      <c r="D1734" s="15"/>
      <c r="E1734" s="6"/>
      <c r="F1734" s="6"/>
      <c r="G1734" s="6"/>
      <c r="K1734" s="223"/>
      <c r="M1734" s="889"/>
      <c r="P1734" s="890"/>
      <c r="T1734" s="889"/>
      <c r="X1734" s="15"/>
      <c r="Y1734" s="1935"/>
      <c r="Z1734" s="1086"/>
      <c r="AA1734" s="230"/>
      <c r="AB1734" s="230"/>
      <c r="AC1734" s="1936"/>
      <c r="AD1734" s="230"/>
      <c r="AE1734" s="230"/>
      <c r="AF1734" s="230"/>
      <c r="AG1734" s="890"/>
      <c r="AJ1734" s="890"/>
      <c r="AN1734" s="223"/>
      <c r="AO1734" s="952"/>
      <c r="AP1734" s="1066"/>
      <c r="AQ1734" s="972"/>
      <c r="AR1734" s="1917"/>
      <c r="AS1734" s="222"/>
      <c r="AZ1734" s="889"/>
      <c r="BC1734" s="890"/>
      <c r="BD1734" s="952"/>
      <c r="BE1734" s="75"/>
      <c r="BF1734" s="572"/>
      <c r="BG1734" s="983"/>
      <c r="BH1734" s="222"/>
      <c r="BL1734" s="889"/>
      <c r="BO1734" s="223"/>
    </row>
    <row r="1735" spans="1:67" s="74" customFormat="1">
      <c r="A1735" s="15"/>
      <c r="B1735" s="15"/>
      <c r="C1735" s="15"/>
      <c r="D1735" s="15"/>
      <c r="E1735" s="6"/>
      <c r="F1735" s="6"/>
      <c r="G1735" s="6"/>
      <c r="K1735" s="223"/>
      <c r="M1735" s="889"/>
      <c r="P1735" s="890"/>
      <c r="T1735" s="889"/>
      <c r="X1735" s="15"/>
      <c r="Y1735" s="1935"/>
      <c r="Z1735" s="1086"/>
      <c r="AA1735" s="230"/>
      <c r="AB1735" s="230"/>
      <c r="AC1735" s="1936"/>
      <c r="AD1735" s="230"/>
      <c r="AE1735" s="230"/>
      <c r="AF1735" s="230"/>
      <c r="AG1735" s="890"/>
      <c r="AJ1735" s="890"/>
      <c r="AN1735" s="223"/>
      <c r="AO1735" s="952"/>
      <c r="AP1735" s="1066"/>
      <c r="AQ1735" s="972"/>
      <c r="AR1735" s="1917"/>
      <c r="AS1735" s="222"/>
      <c r="AZ1735" s="889"/>
      <c r="BC1735" s="890"/>
      <c r="BD1735" s="952"/>
      <c r="BE1735" s="75"/>
      <c r="BF1735" s="572"/>
      <c r="BG1735" s="983"/>
      <c r="BH1735" s="222"/>
      <c r="BL1735" s="889"/>
      <c r="BO1735" s="223"/>
    </row>
    <row r="1736" spans="1:67" s="74" customFormat="1">
      <c r="A1736" s="15"/>
      <c r="B1736" s="15"/>
      <c r="C1736" s="15"/>
      <c r="D1736" s="15"/>
      <c r="E1736" s="6"/>
      <c r="F1736" s="6"/>
      <c r="G1736" s="6"/>
      <c r="K1736" s="223"/>
      <c r="M1736" s="889"/>
      <c r="P1736" s="890"/>
      <c r="T1736" s="889"/>
      <c r="X1736" s="15"/>
      <c r="Y1736" s="1935"/>
      <c r="Z1736" s="1086"/>
      <c r="AA1736" s="230"/>
      <c r="AB1736" s="230"/>
      <c r="AC1736" s="1936"/>
      <c r="AD1736" s="230"/>
      <c r="AE1736" s="230"/>
      <c r="AF1736" s="230"/>
      <c r="AG1736" s="890"/>
      <c r="AJ1736" s="890"/>
      <c r="AN1736" s="223"/>
      <c r="AO1736" s="952"/>
      <c r="AP1736" s="1066"/>
      <c r="AQ1736" s="972"/>
      <c r="AR1736" s="1917"/>
      <c r="AS1736" s="222"/>
      <c r="AZ1736" s="889"/>
      <c r="BC1736" s="890"/>
      <c r="BD1736" s="952"/>
      <c r="BE1736" s="75"/>
      <c r="BF1736" s="572"/>
      <c r="BG1736" s="983"/>
      <c r="BH1736" s="222"/>
      <c r="BL1736" s="889"/>
      <c r="BO1736" s="223"/>
    </row>
    <row r="1737" spans="1:67" s="74" customFormat="1">
      <c r="A1737" s="15"/>
      <c r="B1737" s="15"/>
      <c r="C1737" s="15"/>
      <c r="D1737" s="15"/>
      <c r="E1737" s="6"/>
      <c r="F1737" s="6"/>
      <c r="G1737" s="6"/>
      <c r="K1737" s="223"/>
      <c r="M1737" s="889"/>
      <c r="P1737" s="890"/>
      <c r="T1737" s="889"/>
      <c r="X1737" s="15"/>
      <c r="Y1737" s="1935"/>
      <c r="Z1737" s="1086"/>
      <c r="AA1737" s="230"/>
      <c r="AB1737" s="230"/>
      <c r="AC1737" s="1936"/>
      <c r="AD1737" s="230"/>
      <c r="AE1737" s="230"/>
      <c r="AF1737" s="230"/>
      <c r="AG1737" s="890"/>
      <c r="AJ1737" s="890"/>
      <c r="AN1737" s="223"/>
      <c r="AO1737" s="952"/>
      <c r="AP1737" s="1066"/>
      <c r="AQ1737" s="972"/>
      <c r="AR1737" s="1917"/>
      <c r="AS1737" s="222"/>
      <c r="AZ1737" s="889"/>
      <c r="BC1737" s="890"/>
      <c r="BD1737" s="952"/>
      <c r="BE1737" s="75"/>
      <c r="BF1737" s="572"/>
      <c r="BG1737" s="983"/>
      <c r="BH1737" s="222"/>
      <c r="BL1737" s="889"/>
      <c r="BO1737" s="223"/>
    </row>
    <row r="1738" spans="1:67" s="74" customFormat="1">
      <c r="A1738" s="15"/>
      <c r="B1738" s="15"/>
      <c r="C1738" s="15"/>
      <c r="D1738" s="15"/>
      <c r="E1738" s="6"/>
      <c r="F1738" s="6"/>
      <c r="G1738" s="6"/>
      <c r="K1738" s="223"/>
      <c r="M1738" s="889"/>
      <c r="P1738" s="890"/>
      <c r="T1738" s="889"/>
      <c r="X1738" s="15"/>
      <c r="Y1738" s="1935"/>
      <c r="Z1738" s="1086"/>
      <c r="AA1738" s="230"/>
      <c r="AB1738" s="230"/>
      <c r="AC1738" s="1936"/>
      <c r="AD1738" s="230"/>
      <c r="AE1738" s="230"/>
      <c r="AF1738" s="230"/>
      <c r="AG1738" s="890"/>
      <c r="AJ1738" s="890"/>
      <c r="AN1738" s="223"/>
      <c r="AO1738" s="952"/>
      <c r="AP1738" s="1066"/>
      <c r="AQ1738" s="972"/>
      <c r="AR1738" s="1917"/>
      <c r="AS1738" s="222"/>
      <c r="AZ1738" s="889"/>
      <c r="BC1738" s="890"/>
      <c r="BD1738" s="952"/>
      <c r="BE1738" s="75"/>
      <c r="BF1738" s="572"/>
      <c r="BG1738" s="983"/>
      <c r="BH1738" s="222"/>
      <c r="BL1738" s="889"/>
      <c r="BO1738" s="223"/>
    </row>
    <row r="1739" spans="1:67" s="74" customFormat="1">
      <c r="A1739" s="15"/>
      <c r="B1739" s="15"/>
      <c r="C1739" s="15"/>
      <c r="D1739" s="15"/>
      <c r="E1739" s="6"/>
      <c r="F1739" s="6"/>
      <c r="G1739" s="6"/>
      <c r="K1739" s="223"/>
      <c r="M1739" s="889"/>
      <c r="P1739" s="890"/>
      <c r="T1739" s="889"/>
      <c r="X1739" s="15"/>
      <c r="Y1739" s="1935"/>
      <c r="Z1739" s="1086"/>
      <c r="AA1739" s="230"/>
      <c r="AB1739" s="230"/>
      <c r="AC1739" s="1936"/>
      <c r="AD1739" s="230"/>
      <c r="AE1739" s="230"/>
      <c r="AF1739" s="230"/>
      <c r="AG1739" s="890"/>
      <c r="AJ1739" s="890"/>
      <c r="AN1739" s="223"/>
      <c r="AO1739" s="952"/>
      <c r="AP1739" s="1066"/>
      <c r="AQ1739" s="972"/>
      <c r="AR1739" s="1917"/>
      <c r="AS1739" s="222"/>
      <c r="AZ1739" s="889"/>
      <c r="BC1739" s="890"/>
      <c r="BD1739" s="952"/>
      <c r="BE1739" s="75"/>
      <c r="BF1739" s="572"/>
      <c r="BG1739" s="983"/>
      <c r="BH1739" s="222"/>
      <c r="BL1739" s="889"/>
      <c r="BO1739" s="223"/>
    </row>
    <row r="1740" spans="1:67" s="74" customFormat="1">
      <c r="A1740" s="15"/>
      <c r="B1740" s="15"/>
      <c r="C1740" s="15"/>
      <c r="D1740" s="15"/>
      <c r="E1740" s="6"/>
      <c r="F1740" s="6"/>
      <c r="G1740" s="6"/>
      <c r="K1740" s="223"/>
      <c r="M1740" s="889"/>
      <c r="P1740" s="890"/>
      <c r="T1740" s="889"/>
      <c r="X1740" s="15"/>
      <c r="Y1740" s="1935"/>
      <c r="Z1740" s="1086"/>
      <c r="AA1740" s="230"/>
      <c r="AB1740" s="230"/>
      <c r="AC1740" s="1936"/>
      <c r="AD1740" s="230"/>
      <c r="AE1740" s="230"/>
      <c r="AF1740" s="230"/>
      <c r="AG1740" s="890"/>
      <c r="AJ1740" s="890"/>
      <c r="AN1740" s="223"/>
      <c r="AO1740" s="952"/>
      <c r="AP1740" s="1066"/>
      <c r="AQ1740" s="972"/>
      <c r="AR1740" s="1917"/>
      <c r="AS1740" s="222"/>
      <c r="AZ1740" s="889"/>
      <c r="BC1740" s="890"/>
      <c r="BD1740" s="952"/>
      <c r="BE1740" s="75"/>
      <c r="BF1740" s="572"/>
      <c r="BG1740" s="983"/>
      <c r="BH1740" s="222"/>
      <c r="BL1740" s="889"/>
      <c r="BO1740" s="223"/>
    </row>
    <row r="1741" spans="1:67" s="74" customFormat="1">
      <c r="A1741" s="15"/>
      <c r="B1741" s="15"/>
      <c r="C1741" s="15"/>
      <c r="D1741" s="15"/>
      <c r="E1741" s="6"/>
      <c r="F1741" s="6"/>
      <c r="G1741" s="6"/>
      <c r="K1741" s="223"/>
      <c r="M1741" s="889"/>
      <c r="P1741" s="890"/>
      <c r="T1741" s="889"/>
      <c r="X1741" s="15"/>
      <c r="Y1741" s="1935"/>
      <c r="Z1741" s="1086"/>
      <c r="AA1741" s="230"/>
      <c r="AB1741" s="230"/>
      <c r="AC1741" s="1936"/>
      <c r="AD1741" s="230"/>
      <c r="AE1741" s="230"/>
      <c r="AF1741" s="230"/>
      <c r="AG1741" s="890"/>
      <c r="AJ1741" s="890"/>
      <c r="AN1741" s="223"/>
      <c r="AO1741" s="952"/>
      <c r="AP1741" s="1066"/>
      <c r="AQ1741" s="972"/>
      <c r="AR1741" s="1917"/>
      <c r="AS1741" s="222"/>
      <c r="AZ1741" s="889"/>
      <c r="BC1741" s="890"/>
      <c r="BD1741" s="952"/>
      <c r="BE1741" s="75"/>
      <c r="BF1741" s="572"/>
      <c r="BG1741" s="983"/>
      <c r="BH1741" s="222"/>
      <c r="BL1741" s="889"/>
      <c r="BO1741" s="223"/>
    </row>
    <row r="1742" spans="1:67" s="74" customFormat="1">
      <c r="A1742" s="15"/>
      <c r="B1742" s="15"/>
      <c r="C1742" s="15"/>
      <c r="D1742" s="15"/>
      <c r="E1742" s="6"/>
      <c r="F1742" s="6"/>
      <c r="G1742" s="6"/>
      <c r="K1742" s="223"/>
      <c r="M1742" s="889"/>
      <c r="P1742" s="890"/>
      <c r="T1742" s="889"/>
      <c r="X1742" s="15"/>
      <c r="Y1742" s="1935"/>
      <c r="Z1742" s="1086"/>
      <c r="AA1742" s="230"/>
      <c r="AB1742" s="230"/>
      <c r="AC1742" s="1936"/>
      <c r="AD1742" s="230"/>
      <c r="AE1742" s="230"/>
      <c r="AF1742" s="230"/>
      <c r="AG1742" s="890"/>
      <c r="AJ1742" s="890"/>
      <c r="AN1742" s="223"/>
      <c r="AO1742" s="952"/>
      <c r="AP1742" s="1066"/>
      <c r="AQ1742" s="972"/>
      <c r="AR1742" s="1917"/>
      <c r="AS1742" s="222"/>
      <c r="AZ1742" s="889"/>
      <c r="BC1742" s="890"/>
      <c r="BD1742" s="952"/>
      <c r="BE1742" s="75"/>
      <c r="BF1742" s="572"/>
      <c r="BG1742" s="983"/>
      <c r="BH1742" s="222"/>
      <c r="BL1742" s="889"/>
      <c r="BO1742" s="223"/>
    </row>
    <row r="1743" spans="1:67" s="74" customFormat="1">
      <c r="A1743" s="15"/>
      <c r="B1743" s="15"/>
      <c r="C1743" s="15"/>
      <c r="D1743" s="15"/>
      <c r="E1743" s="6"/>
      <c r="F1743" s="6"/>
      <c r="G1743" s="6"/>
      <c r="K1743" s="223"/>
      <c r="M1743" s="889"/>
      <c r="P1743" s="890"/>
      <c r="T1743" s="889"/>
      <c r="X1743" s="15"/>
      <c r="Y1743" s="1935"/>
      <c r="Z1743" s="1086"/>
      <c r="AA1743" s="230"/>
      <c r="AB1743" s="230"/>
      <c r="AC1743" s="1936"/>
      <c r="AD1743" s="230"/>
      <c r="AE1743" s="230"/>
      <c r="AF1743" s="230"/>
      <c r="AG1743" s="890"/>
      <c r="AJ1743" s="890"/>
      <c r="AN1743" s="223"/>
      <c r="AO1743" s="952"/>
      <c r="AP1743" s="1066"/>
      <c r="AQ1743" s="972"/>
      <c r="AR1743" s="1917"/>
      <c r="AS1743" s="222"/>
      <c r="AZ1743" s="889"/>
      <c r="BC1743" s="890"/>
      <c r="BD1743" s="952"/>
      <c r="BE1743" s="75"/>
      <c r="BF1743" s="572"/>
      <c r="BG1743" s="983"/>
      <c r="BH1743" s="222"/>
      <c r="BL1743" s="889"/>
      <c r="BO1743" s="223"/>
    </row>
    <row r="1744" spans="1:67" s="74" customFormat="1">
      <c r="A1744" s="15"/>
      <c r="B1744" s="15"/>
      <c r="C1744" s="15"/>
      <c r="D1744" s="15"/>
      <c r="E1744" s="6"/>
      <c r="F1744" s="6"/>
      <c r="G1744" s="6"/>
      <c r="K1744" s="223"/>
      <c r="M1744" s="889"/>
      <c r="P1744" s="890"/>
      <c r="T1744" s="889"/>
      <c r="X1744" s="15"/>
      <c r="Y1744" s="1935"/>
      <c r="Z1744" s="1086"/>
      <c r="AA1744" s="230"/>
      <c r="AB1744" s="230"/>
      <c r="AC1744" s="1936"/>
      <c r="AD1744" s="230"/>
      <c r="AE1744" s="230"/>
      <c r="AF1744" s="230"/>
      <c r="AG1744" s="890"/>
      <c r="AJ1744" s="890"/>
      <c r="AN1744" s="223"/>
      <c r="AO1744" s="952"/>
      <c r="AP1744" s="1066"/>
      <c r="AQ1744" s="972"/>
      <c r="AR1744" s="1917"/>
      <c r="AS1744" s="222"/>
      <c r="AZ1744" s="889"/>
      <c r="BC1744" s="890"/>
      <c r="BD1744" s="952"/>
      <c r="BE1744" s="75"/>
      <c r="BF1744" s="572"/>
      <c r="BG1744" s="983"/>
      <c r="BH1744" s="222"/>
      <c r="BL1744" s="889"/>
      <c r="BO1744" s="223"/>
    </row>
    <row r="1745" spans="1:67" s="74" customFormat="1">
      <c r="A1745" s="15"/>
      <c r="B1745" s="15"/>
      <c r="C1745" s="15"/>
      <c r="D1745" s="15"/>
      <c r="E1745" s="6"/>
      <c r="F1745" s="6"/>
      <c r="G1745" s="6"/>
      <c r="K1745" s="223"/>
      <c r="M1745" s="889"/>
      <c r="P1745" s="890"/>
      <c r="T1745" s="889"/>
      <c r="X1745" s="15"/>
      <c r="Y1745" s="1935"/>
      <c r="Z1745" s="1086"/>
      <c r="AA1745" s="230"/>
      <c r="AB1745" s="230"/>
      <c r="AC1745" s="1936"/>
      <c r="AD1745" s="230"/>
      <c r="AE1745" s="230"/>
      <c r="AF1745" s="230"/>
      <c r="AG1745" s="890"/>
      <c r="AJ1745" s="890"/>
      <c r="AN1745" s="223"/>
      <c r="AO1745" s="952"/>
      <c r="AP1745" s="1066"/>
      <c r="AQ1745" s="972"/>
      <c r="AR1745" s="1917"/>
      <c r="AS1745" s="222"/>
      <c r="AZ1745" s="889"/>
      <c r="BC1745" s="890"/>
      <c r="BD1745" s="952"/>
      <c r="BE1745" s="75"/>
      <c r="BF1745" s="572"/>
      <c r="BG1745" s="983"/>
      <c r="BH1745" s="222"/>
      <c r="BL1745" s="889"/>
      <c r="BO1745" s="223"/>
    </row>
    <row r="1746" spans="1:67" s="74" customFormat="1">
      <c r="A1746" s="15"/>
      <c r="B1746" s="15"/>
      <c r="C1746" s="15"/>
      <c r="D1746" s="15"/>
      <c r="E1746" s="6"/>
      <c r="F1746" s="6"/>
      <c r="G1746" s="6"/>
      <c r="K1746" s="223"/>
      <c r="M1746" s="889"/>
      <c r="P1746" s="890"/>
      <c r="T1746" s="889"/>
      <c r="X1746" s="15"/>
      <c r="Y1746" s="1935"/>
      <c r="Z1746" s="1086"/>
      <c r="AA1746" s="230"/>
      <c r="AB1746" s="230"/>
      <c r="AC1746" s="1936"/>
      <c r="AD1746" s="230"/>
      <c r="AE1746" s="230"/>
      <c r="AF1746" s="230"/>
      <c r="AG1746" s="890"/>
      <c r="AJ1746" s="890"/>
      <c r="AN1746" s="223"/>
      <c r="AO1746" s="952"/>
      <c r="AP1746" s="1066"/>
      <c r="AQ1746" s="972"/>
      <c r="AR1746" s="1917"/>
      <c r="AS1746" s="222"/>
      <c r="AZ1746" s="889"/>
      <c r="BC1746" s="890"/>
      <c r="BD1746" s="952"/>
      <c r="BE1746" s="75"/>
      <c r="BF1746" s="572"/>
      <c r="BG1746" s="983"/>
      <c r="BH1746" s="222"/>
      <c r="BL1746" s="889"/>
      <c r="BO1746" s="223"/>
    </row>
    <row r="1747" spans="1:67" s="74" customFormat="1">
      <c r="A1747" s="15"/>
      <c r="B1747" s="15"/>
      <c r="C1747" s="15"/>
      <c r="D1747" s="15"/>
      <c r="E1747" s="6"/>
      <c r="F1747" s="6"/>
      <c r="G1747" s="6"/>
      <c r="K1747" s="223"/>
      <c r="M1747" s="889"/>
      <c r="P1747" s="890"/>
      <c r="T1747" s="889"/>
      <c r="X1747" s="15"/>
      <c r="Y1747" s="1935"/>
      <c r="Z1747" s="1086"/>
      <c r="AA1747" s="230"/>
      <c r="AB1747" s="230"/>
      <c r="AC1747" s="1936"/>
      <c r="AD1747" s="230"/>
      <c r="AE1747" s="230"/>
      <c r="AF1747" s="230"/>
      <c r="AG1747" s="890"/>
      <c r="AJ1747" s="890"/>
      <c r="AN1747" s="223"/>
      <c r="AO1747" s="952"/>
      <c r="AP1747" s="1066"/>
      <c r="AQ1747" s="972"/>
      <c r="AR1747" s="1917"/>
      <c r="AS1747" s="222"/>
      <c r="AZ1747" s="889"/>
      <c r="BC1747" s="890"/>
      <c r="BD1747" s="952"/>
      <c r="BE1747" s="75"/>
      <c r="BF1747" s="572"/>
      <c r="BG1747" s="983"/>
      <c r="BH1747" s="222"/>
      <c r="BL1747" s="889"/>
      <c r="BO1747" s="223"/>
    </row>
    <row r="1748" spans="1:67" s="74" customFormat="1">
      <c r="A1748" s="15"/>
      <c r="B1748" s="15"/>
      <c r="C1748" s="15"/>
      <c r="D1748" s="15"/>
      <c r="E1748" s="6"/>
      <c r="F1748" s="6"/>
      <c r="G1748" s="6"/>
      <c r="K1748" s="223"/>
      <c r="M1748" s="889"/>
      <c r="P1748" s="890"/>
      <c r="T1748" s="889"/>
      <c r="X1748" s="15"/>
      <c r="Y1748" s="1935"/>
      <c r="Z1748" s="1086"/>
      <c r="AA1748" s="230"/>
      <c r="AB1748" s="230"/>
      <c r="AC1748" s="1936"/>
      <c r="AD1748" s="230"/>
      <c r="AE1748" s="230"/>
      <c r="AF1748" s="230"/>
      <c r="AG1748" s="890"/>
      <c r="AJ1748" s="890"/>
      <c r="AN1748" s="223"/>
      <c r="AO1748" s="952"/>
      <c r="AP1748" s="1066"/>
      <c r="AQ1748" s="972"/>
      <c r="AR1748" s="1917"/>
      <c r="AS1748" s="222"/>
      <c r="AZ1748" s="889"/>
      <c r="BC1748" s="890"/>
      <c r="BD1748" s="952"/>
      <c r="BE1748" s="75"/>
      <c r="BF1748" s="572"/>
      <c r="BG1748" s="983"/>
      <c r="BH1748" s="222"/>
      <c r="BL1748" s="889"/>
      <c r="BO1748" s="223"/>
    </row>
    <row r="1749" spans="1:67" s="74" customFormat="1">
      <c r="A1749" s="15"/>
      <c r="B1749" s="15"/>
      <c r="C1749" s="15"/>
      <c r="D1749" s="15"/>
      <c r="E1749" s="6"/>
      <c r="F1749" s="6"/>
      <c r="G1749" s="6"/>
      <c r="K1749" s="223"/>
      <c r="M1749" s="889"/>
      <c r="P1749" s="890"/>
      <c r="T1749" s="889"/>
      <c r="X1749" s="15"/>
      <c r="Y1749" s="1935"/>
      <c r="Z1749" s="1086"/>
      <c r="AA1749" s="230"/>
      <c r="AB1749" s="230"/>
      <c r="AC1749" s="1936"/>
      <c r="AD1749" s="230"/>
      <c r="AE1749" s="230"/>
      <c r="AF1749" s="230"/>
      <c r="AG1749" s="890"/>
      <c r="AJ1749" s="890"/>
      <c r="AN1749" s="223"/>
      <c r="AO1749" s="952"/>
      <c r="AP1749" s="1066"/>
      <c r="AQ1749" s="972"/>
      <c r="AR1749" s="1917"/>
      <c r="AS1749" s="222"/>
      <c r="AZ1749" s="889"/>
      <c r="BC1749" s="890"/>
      <c r="BD1749" s="952"/>
      <c r="BE1749" s="75"/>
      <c r="BF1749" s="572"/>
      <c r="BG1749" s="983"/>
      <c r="BH1749" s="222"/>
      <c r="BL1749" s="889"/>
      <c r="BO1749" s="223"/>
    </row>
    <row r="1750" spans="1:67" s="74" customFormat="1">
      <c r="A1750" s="15"/>
      <c r="B1750" s="15"/>
      <c r="C1750" s="15"/>
      <c r="D1750" s="15"/>
      <c r="E1750" s="6"/>
      <c r="F1750" s="6"/>
      <c r="G1750" s="6"/>
      <c r="K1750" s="223"/>
      <c r="M1750" s="889"/>
      <c r="P1750" s="890"/>
      <c r="T1750" s="889"/>
      <c r="X1750" s="15"/>
      <c r="Y1750" s="1935"/>
      <c r="Z1750" s="1086"/>
      <c r="AA1750" s="230"/>
      <c r="AB1750" s="230"/>
      <c r="AC1750" s="1936"/>
      <c r="AD1750" s="230"/>
      <c r="AE1750" s="230"/>
      <c r="AF1750" s="230"/>
      <c r="AG1750" s="890"/>
      <c r="AJ1750" s="890"/>
      <c r="AN1750" s="223"/>
      <c r="AO1750" s="952"/>
      <c r="AP1750" s="1066"/>
      <c r="AQ1750" s="972"/>
      <c r="AR1750" s="1917"/>
      <c r="AS1750" s="222"/>
      <c r="AZ1750" s="889"/>
      <c r="BC1750" s="890"/>
      <c r="BD1750" s="952"/>
      <c r="BE1750" s="75"/>
      <c r="BF1750" s="572"/>
      <c r="BG1750" s="983"/>
      <c r="BH1750" s="222"/>
      <c r="BL1750" s="889"/>
      <c r="BO1750" s="223"/>
    </row>
    <row r="1751" spans="1:67" s="74" customFormat="1">
      <c r="A1751" s="15"/>
      <c r="B1751" s="15"/>
      <c r="C1751" s="15"/>
      <c r="D1751" s="15"/>
      <c r="E1751" s="6"/>
      <c r="F1751" s="6"/>
      <c r="G1751" s="6"/>
      <c r="K1751" s="223"/>
      <c r="M1751" s="889"/>
      <c r="P1751" s="890"/>
      <c r="T1751" s="889"/>
      <c r="X1751" s="15"/>
      <c r="Y1751" s="1935"/>
      <c r="Z1751" s="1086"/>
      <c r="AA1751" s="230"/>
      <c r="AB1751" s="230"/>
      <c r="AC1751" s="1936"/>
      <c r="AD1751" s="230"/>
      <c r="AE1751" s="230"/>
      <c r="AF1751" s="230"/>
      <c r="AG1751" s="890"/>
      <c r="AJ1751" s="890"/>
      <c r="AN1751" s="223"/>
      <c r="AO1751" s="952"/>
      <c r="AP1751" s="1066"/>
      <c r="AQ1751" s="972"/>
      <c r="AR1751" s="1917"/>
      <c r="AS1751" s="222"/>
      <c r="AZ1751" s="889"/>
      <c r="BC1751" s="890"/>
      <c r="BD1751" s="952"/>
      <c r="BE1751" s="75"/>
      <c r="BF1751" s="572"/>
      <c r="BG1751" s="983"/>
      <c r="BH1751" s="222"/>
      <c r="BL1751" s="889"/>
      <c r="BO1751" s="223"/>
    </row>
    <row r="1752" spans="1:67" s="74" customFormat="1">
      <c r="A1752" s="15"/>
      <c r="B1752" s="15"/>
      <c r="C1752" s="15"/>
      <c r="D1752" s="15"/>
      <c r="E1752" s="6"/>
      <c r="F1752" s="6"/>
      <c r="G1752" s="6"/>
      <c r="K1752" s="223"/>
      <c r="M1752" s="889"/>
      <c r="P1752" s="890"/>
      <c r="T1752" s="889"/>
      <c r="X1752" s="15"/>
      <c r="Y1752" s="1935"/>
      <c r="Z1752" s="1086"/>
      <c r="AA1752" s="230"/>
      <c r="AB1752" s="230"/>
      <c r="AC1752" s="1936"/>
      <c r="AD1752" s="230"/>
      <c r="AE1752" s="230"/>
      <c r="AF1752" s="230"/>
      <c r="AG1752" s="890"/>
      <c r="AJ1752" s="890"/>
      <c r="AN1752" s="223"/>
      <c r="AO1752" s="952"/>
      <c r="AP1752" s="1066"/>
      <c r="AQ1752" s="972"/>
      <c r="AR1752" s="1917"/>
      <c r="AS1752" s="222"/>
      <c r="AZ1752" s="889"/>
      <c r="BC1752" s="890"/>
      <c r="BD1752" s="952"/>
      <c r="BE1752" s="75"/>
      <c r="BF1752" s="572"/>
      <c r="BG1752" s="983"/>
      <c r="BH1752" s="222"/>
      <c r="BL1752" s="889"/>
      <c r="BO1752" s="223"/>
    </row>
    <row r="1753" spans="1:67" s="74" customFormat="1">
      <c r="A1753" s="15"/>
      <c r="B1753" s="15"/>
      <c r="C1753" s="15"/>
      <c r="D1753" s="15"/>
      <c r="E1753" s="6"/>
      <c r="F1753" s="6"/>
      <c r="G1753" s="6"/>
      <c r="K1753" s="223"/>
      <c r="M1753" s="889"/>
      <c r="P1753" s="890"/>
      <c r="T1753" s="889"/>
      <c r="X1753" s="15"/>
      <c r="Y1753" s="1935"/>
      <c r="Z1753" s="1086"/>
      <c r="AA1753" s="230"/>
      <c r="AB1753" s="230"/>
      <c r="AC1753" s="1936"/>
      <c r="AD1753" s="230"/>
      <c r="AE1753" s="230"/>
      <c r="AF1753" s="230"/>
      <c r="AG1753" s="890"/>
      <c r="AJ1753" s="890"/>
      <c r="AN1753" s="223"/>
      <c r="AO1753" s="952"/>
      <c r="AP1753" s="1066"/>
      <c r="AQ1753" s="972"/>
      <c r="AR1753" s="1917"/>
      <c r="AS1753" s="222"/>
      <c r="AZ1753" s="889"/>
      <c r="BC1753" s="890"/>
      <c r="BD1753" s="952"/>
      <c r="BE1753" s="75"/>
      <c r="BF1753" s="572"/>
      <c r="BG1753" s="983"/>
      <c r="BH1753" s="222"/>
      <c r="BL1753" s="889"/>
      <c r="BO1753" s="223"/>
    </row>
    <row r="1754" spans="1:67" s="74" customFormat="1">
      <c r="A1754" s="15"/>
      <c r="B1754" s="15"/>
      <c r="C1754" s="15"/>
      <c r="D1754" s="15"/>
      <c r="E1754" s="6"/>
      <c r="F1754" s="6"/>
      <c r="G1754" s="6"/>
      <c r="K1754" s="223"/>
      <c r="M1754" s="889"/>
      <c r="P1754" s="890"/>
      <c r="T1754" s="889"/>
      <c r="X1754" s="15"/>
      <c r="Y1754" s="1935"/>
      <c r="Z1754" s="1086"/>
      <c r="AA1754" s="230"/>
      <c r="AB1754" s="230"/>
      <c r="AC1754" s="1936"/>
      <c r="AD1754" s="230"/>
      <c r="AE1754" s="230"/>
      <c r="AF1754" s="230"/>
      <c r="AG1754" s="890"/>
      <c r="AJ1754" s="890"/>
      <c r="AN1754" s="223"/>
      <c r="AO1754" s="952"/>
      <c r="AP1754" s="1066"/>
      <c r="AQ1754" s="972"/>
      <c r="AR1754" s="1917"/>
      <c r="AS1754" s="222"/>
      <c r="AZ1754" s="889"/>
      <c r="BC1754" s="890"/>
      <c r="BD1754" s="952"/>
      <c r="BE1754" s="75"/>
      <c r="BF1754" s="572"/>
      <c r="BG1754" s="983"/>
      <c r="BH1754" s="222"/>
      <c r="BL1754" s="889"/>
      <c r="BO1754" s="223"/>
    </row>
    <row r="1755" spans="1:67" s="74" customFormat="1">
      <c r="A1755" s="15"/>
      <c r="B1755" s="15"/>
      <c r="C1755" s="15"/>
      <c r="D1755" s="15"/>
      <c r="E1755" s="6"/>
      <c r="F1755" s="6"/>
      <c r="G1755" s="6"/>
      <c r="K1755" s="223"/>
      <c r="M1755" s="889"/>
      <c r="P1755" s="890"/>
      <c r="T1755" s="889"/>
      <c r="X1755" s="15"/>
      <c r="Y1755" s="1935"/>
      <c r="Z1755" s="1086"/>
      <c r="AA1755" s="230"/>
      <c r="AB1755" s="230"/>
      <c r="AC1755" s="1936"/>
      <c r="AD1755" s="230"/>
      <c r="AE1755" s="230"/>
      <c r="AF1755" s="230"/>
      <c r="AG1755" s="890"/>
      <c r="AJ1755" s="890"/>
      <c r="AN1755" s="223"/>
      <c r="AO1755" s="952"/>
      <c r="AP1755" s="1066"/>
      <c r="AQ1755" s="972"/>
      <c r="AR1755" s="1917"/>
      <c r="AS1755" s="222"/>
      <c r="AZ1755" s="889"/>
      <c r="BC1755" s="890"/>
      <c r="BD1755" s="952"/>
      <c r="BE1755" s="75"/>
      <c r="BF1755" s="572"/>
      <c r="BG1755" s="983"/>
      <c r="BH1755" s="222"/>
      <c r="BL1755" s="889"/>
      <c r="BO1755" s="223"/>
    </row>
    <row r="1756" spans="1:67" s="74" customFormat="1">
      <c r="A1756" s="15"/>
      <c r="B1756" s="15"/>
      <c r="C1756" s="15"/>
      <c r="D1756" s="15"/>
      <c r="E1756" s="6"/>
      <c r="F1756" s="6"/>
      <c r="G1756" s="6"/>
      <c r="K1756" s="223"/>
      <c r="M1756" s="889"/>
      <c r="P1756" s="890"/>
      <c r="T1756" s="889"/>
      <c r="X1756" s="15"/>
      <c r="Y1756" s="1935"/>
      <c r="Z1756" s="1086"/>
      <c r="AA1756" s="230"/>
      <c r="AB1756" s="230"/>
      <c r="AC1756" s="1936"/>
      <c r="AD1756" s="230"/>
      <c r="AE1756" s="230"/>
      <c r="AF1756" s="230"/>
      <c r="AG1756" s="890"/>
      <c r="AJ1756" s="890"/>
      <c r="AN1756" s="223"/>
      <c r="AO1756" s="952"/>
      <c r="AP1756" s="1066"/>
      <c r="AQ1756" s="972"/>
      <c r="AR1756" s="1917"/>
      <c r="AS1756" s="222"/>
      <c r="AZ1756" s="889"/>
      <c r="BC1756" s="890"/>
      <c r="BD1756" s="952"/>
      <c r="BE1756" s="75"/>
      <c r="BF1756" s="572"/>
      <c r="BG1756" s="983"/>
      <c r="BH1756" s="222"/>
      <c r="BL1756" s="889"/>
      <c r="BO1756" s="223"/>
    </row>
    <row r="1757" spans="1:67" s="74" customFormat="1">
      <c r="A1757" s="15"/>
      <c r="B1757" s="15"/>
      <c r="C1757" s="15"/>
      <c r="D1757" s="15"/>
      <c r="E1757" s="6"/>
      <c r="F1757" s="6"/>
      <c r="G1757" s="6"/>
      <c r="K1757" s="223"/>
      <c r="M1757" s="889"/>
      <c r="P1757" s="890"/>
      <c r="T1757" s="889"/>
      <c r="X1757" s="15"/>
      <c r="Y1757" s="1935"/>
      <c r="Z1757" s="1086"/>
      <c r="AA1757" s="230"/>
      <c r="AB1757" s="230"/>
      <c r="AC1757" s="1936"/>
      <c r="AD1757" s="230"/>
      <c r="AE1757" s="230"/>
      <c r="AF1757" s="230"/>
      <c r="AG1757" s="890"/>
      <c r="AJ1757" s="890"/>
      <c r="AN1757" s="223"/>
      <c r="AO1757" s="952"/>
      <c r="AP1757" s="1066"/>
      <c r="AQ1757" s="972"/>
      <c r="AR1757" s="1917"/>
      <c r="AS1757" s="222"/>
      <c r="AZ1757" s="889"/>
      <c r="BC1757" s="890"/>
      <c r="BD1757" s="952"/>
      <c r="BE1757" s="75"/>
      <c r="BF1757" s="572"/>
      <c r="BG1757" s="983"/>
      <c r="BH1757" s="222"/>
      <c r="BL1757" s="889"/>
      <c r="BO1757" s="223"/>
    </row>
    <row r="1758" spans="1:67" s="74" customFormat="1">
      <c r="A1758" s="15"/>
      <c r="B1758" s="15"/>
      <c r="C1758" s="15"/>
      <c r="D1758" s="15"/>
      <c r="E1758" s="6"/>
      <c r="F1758" s="6"/>
      <c r="G1758" s="6"/>
      <c r="K1758" s="223"/>
      <c r="M1758" s="889"/>
      <c r="P1758" s="890"/>
      <c r="T1758" s="889"/>
      <c r="X1758" s="15"/>
      <c r="Y1758" s="1935"/>
      <c r="Z1758" s="1086"/>
      <c r="AA1758" s="230"/>
      <c r="AB1758" s="230"/>
      <c r="AC1758" s="1936"/>
      <c r="AD1758" s="230"/>
      <c r="AE1758" s="230"/>
      <c r="AF1758" s="230"/>
      <c r="AG1758" s="890"/>
      <c r="AJ1758" s="890"/>
      <c r="AN1758" s="223"/>
      <c r="AO1758" s="952"/>
      <c r="AP1758" s="1066"/>
      <c r="AQ1758" s="972"/>
      <c r="AR1758" s="1917"/>
      <c r="AS1758" s="222"/>
      <c r="AZ1758" s="889"/>
      <c r="BC1758" s="890"/>
      <c r="BD1758" s="952"/>
      <c r="BE1758" s="75"/>
      <c r="BF1758" s="572"/>
      <c r="BG1758" s="983"/>
      <c r="BH1758" s="222"/>
      <c r="BL1758" s="889"/>
      <c r="BO1758" s="223"/>
    </row>
    <row r="1759" spans="1:67" s="74" customFormat="1">
      <c r="A1759" s="15"/>
      <c r="B1759" s="15"/>
      <c r="C1759" s="15"/>
      <c r="D1759" s="15"/>
      <c r="E1759" s="6"/>
      <c r="F1759" s="6"/>
      <c r="G1759" s="6"/>
      <c r="K1759" s="223"/>
      <c r="M1759" s="889"/>
      <c r="P1759" s="890"/>
      <c r="T1759" s="889"/>
      <c r="X1759" s="15"/>
      <c r="Y1759" s="1935"/>
      <c r="Z1759" s="1086"/>
      <c r="AA1759" s="230"/>
      <c r="AB1759" s="230"/>
      <c r="AC1759" s="1936"/>
      <c r="AD1759" s="230"/>
      <c r="AE1759" s="230"/>
      <c r="AF1759" s="230"/>
      <c r="AG1759" s="890"/>
      <c r="AJ1759" s="890"/>
      <c r="AN1759" s="223"/>
      <c r="AO1759" s="952"/>
      <c r="AP1759" s="1066"/>
      <c r="AQ1759" s="972"/>
      <c r="AR1759" s="1917"/>
      <c r="AS1759" s="222"/>
      <c r="AZ1759" s="889"/>
      <c r="BC1759" s="890"/>
      <c r="BD1759" s="952"/>
      <c r="BE1759" s="75"/>
      <c r="BF1759" s="572"/>
      <c r="BG1759" s="983"/>
      <c r="BH1759" s="222"/>
      <c r="BL1759" s="889"/>
      <c r="BO1759" s="223"/>
    </row>
    <row r="1760" spans="1:67" s="74" customFormat="1">
      <c r="A1760" s="15"/>
      <c r="B1760" s="15"/>
      <c r="C1760" s="15"/>
      <c r="D1760" s="15"/>
      <c r="E1760" s="6"/>
      <c r="F1760" s="6"/>
      <c r="G1760" s="6"/>
      <c r="K1760" s="223"/>
      <c r="M1760" s="889"/>
      <c r="P1760" s="890"/>
      <c r="T1760" s="889"/>
      <c r="X1760" s="15"/>
      <c r="Y1760" s="1935"/>
      <c r="Z1760" s="1086"/>
      <c r="AA1760" s="230"/>
      <c r="AB1760" s="230"/>
      <c r="AC1760" s="1936"/>
      <c r="AD1760" s="230"/>
      <c r="AE1760" s="230"/>
      <c r="AF1760" s="230"/>
      <c r="AG1760" s="890"/>
      <c r="AJ1760" s="890"/>
      <c r="AN1760" s="223"/>
      <c r="AO1760" s="952"/>
      <c r="AP1760" s="1066"/>
      <c r="AQ1760" s="972"/>
      <c r="AR1760" s="1917"/>
      <c r="AS1760" s="222"/>
      <c r="AZ1760" s="889"/>
      <c r="BC1760" s="890"/>
      <c r="BD1760" s="952"/>
      <c r="BE1760" s="75"/>
      <c r="BF1760" s="572"/>
      <c r="BG1760" s="983"/>
      <c r="BH1760" s="222"/>
      <c r="BL1760" s="889"/>
      <c r="BO1760" s="223"/>
    </row>
    <row r="1761" spans="1:67" s="74" customFormat="1">
      <c r="A1761" s="15"/>
      <c r="B1761" s="15"/>
      <c r="C1761" s="15"/>
      <c r="D1761" s="15"/>
      <c r="E1761" s="6"/>
      <c r="F1761" s="6"/>
      <c r="G1761" s="6"/>
      <c r="K1761" s="223"/>
      <c r="M1761" s="889"/>
      <c r="P1761" s="890"/>
      <c r="T1761" s="889"/>
      <c r="X1761" s="15"/>
      <c r="Y1761" s="1935"/>
      <c r="Z1761" s="1086"/>
      <c r="AA1761" s="230"/>
      <c r="AB1761" s="230"/>
      <c r="AC1761" s="1936"/>
      <c r="AD1761" s="230"/>
      <c r="AE1761" s="230"/>
      <c r="AF1761" s="230"/>
      <c r="AG1761" s="890"/>
      <c r="AJ1761" s="890"/>
      <c r="AN1761" s="223"/>
      <c r="AO1761" s="952"/>
      <c r="AP1761" s="1066"/>
      <c r="AQ1761" s="972"/>
      <c r="AR1761" s="1917"/>
      <c r="AS1761" s="222"/>
      <c r="AZ1761" s="889"/>
      <c r="BC1761" s="890"/>
      <c r="BD1761" s="952"/>
      <c r="BE1761" s="75"/>
      <c r="BF1761" s="572"/>
      <c r="BG1761" s="983"/>
      <c r="BH1761" s="222"/>
      <c r="BL1761" s="889"/>
      <c r="BO1761" s="223"/>
    </row>
    <row r="1762" spans="1:67" s="74" customFormat="1">
      <c r="A1762" s="15"/>
      <c r="B1762" s="15"/>
      <c r="C1762" s="15"/>
      <c r="D1762" s="15"/>
      <c r="E1762" s="6"/>
      <c r="F1762" s="6"/>
      <c r="G1762" s="6"/>
      <c r="K1762" s="223"/>
      <c r="M1762" s="889"/>
      <c r="P1762" s="890"/>
      <c r="T1762" s="889"/>
      <c r="X1762" s="15"/>
      <c r="Y1762" s="1935"/>
      <c r="Z1762" s="1086"/>
      <c r="AA1762" s="230"/>
      <c r="AB1762" s="230"/>
      <c r="AC1762" s="1936"/>
      <c r="AD1762" s="230"/>
      <c r="AE1762" s="230"/>
      <c r="AF1762" s="230"/>
      <c r="AG1762" s="890"/>
      <c r="AJ1762" s="890"/>
      <c r="AN1762" s="223"/>
      <c r="AO1762" s="952"/>
      <c r="AP1762" s="1066"/>
      <c r="AQ1762" s="972"/>
      <c r="AR1762" s="1917"/>
      <c r="AS1762" s="222"/>
      <c r="AZ1762" s="889"/>
      <c r="BC1762" s="890"/>
      <c r="BD1762" s="952"/>
      <c r="BE1762" s="75"/>
      <c r="BF1762" s="572"/>
      <c r="BG1762" s="983"/>
      <c r="BH1762" s="222"/>
      <c r="BL1762" s="889"/>
      <c r="BO1762" s="223"/>
    </row>
    <row r="1763" spans="1:67" s="74" customFormat="1">
      <c r="A1763" s="15"/>
      <c r="B1763" s="15"/>
      <c r="C1763" s="15"/>
      <c r="D1763" s="15"/>
      <c r="E1763" s="6"/>
      <c r="F1763" s="6"/>
      <c r="G1763" s="6"/>
      <c r="K1763" s="223"/>
      <c r="M1763" s="889"/>
      <c r="P1763" s="890"/>
      <c r="T1763" s="889"/>
      <c r="X1763" s="15"/>
      <c r="Y1763" s="1935"/>
      <c r="Z1763" s="1086"/>
      <c r="AA1763" s="230"/>
      <c r="AB1763" s="230"/>
      <c r="AC1763" s="1936"/>
      <c r="AD1763" s="230"/>
      <c r="AE1763" s="230"/>
      <c r="AF1763" s="230"/>
      <c r="AG1763" s="890"/>
      <c r="AJ1763" s="890"/>
      <c r="AN1763" s="223"/>
      <c r="AO1763" s="952"/>
      <c r="AP1763" s="1066"/>
      <c r="AQ1763" s="972"/>
      <c r="AR1763" s="1917"/>
      <c r="AS1763" s="222"/>
      <c r="AZ1763" s="889"/>
      <c r="BC1763" s="890"/>
      <c r="BD1763" s="952"/>
      <c r="BE1763" s="75"/>
      <c r="BF1763" s="572"/>
      <c r="BG1763" s="983"/>
      <c r="BH1763" s="222"/>
      <c r="BL1763" s="889"/>
      <c r="BO1763" s="223"/>
    </row>
    <row r="1764" spans="1:67" s="74" customFormat="1">
      <c r="A1764" s="15"/>
      <c r="B1764" s="15"/>
      <c r="C1764" s="15"/>
      <c r="D1764" s="15"/>
      <c r="E1764" s="6"/>
      <c r="F1764" s="6"/>
      <c r="G1764" s="6"/>
      <c r="K1764" s="223"/>
      <c r="M1764" s="889"/>
      <c r="P1764" s="890"/>
      <c r="T1764" s="889"/>
      <c r="X1764" s="15"/>
      <c r="Y1764" s="1935"/>
      <c r="Z1764" s="1086"/>
      <c r="AA1764" s="230"/>
      <c r="AB1764" s="230"/>
      <c r="AC1764" s="1936"/>
      <c r="AD1764" s="230"/>
      <c r="AE1764" s="230"/>
      <c r="AF1764" s="230"/>
      <c r="AG1764" s="890"/>
      <c r="AJ1764" s="890"/>
      <c r="AN1764" s="223"/>
      <c r="AO1764" s="952"/>
      <c r="AP1764" s="1066"/>
      <c r="AQ1764" s="972"/>
      <c r="AR1764" s="1917"/>
      <c r="AS1764" s="222"/>
      <c r="AZ1764" s="889"/>
      <c r="BC1764" s="890"/>
      <c r="BD1764" s="952"/>
      <c r="BE1764" s="75"/>
      <c r="BF1764" s="572"/>
      <c r="BG1764" s="983"/>
      <c r="BH1764" s="222"/>
      <c r="BL1764" s="889"/>
      <c r="BO1764" s="223"/>
    </row>
    <row r="1765" spans="1:67" s="74" customFormat="1">
      <c r="A1765" s="15"/>
      <c r="B1765" s="15"/>
      <c r="C1765" s="15"/>
      <c r="D1765" s="15"/>
      <c r="E1765" s="6"/>
      <c r="F1765" s="6"/>
      <c r="G1765" s="6"/>
      <c r="K1765" s="223"/>
      <c r="M1765" s="889"/>
      <c r="P1765" s="890"/>
      <c r="T1765" s="889"/>
      <c r="X1765" s="15"/>
      <c r="Y1765" s="1935"/>
      <c r="Z1765" s="1086"/>
      <c r="AA1765" s="230"/>
      <c r="AB1765" s="230"/>
      <c r="AC1765" s="1936"/>
      <c r="AD1765" s="230"/>
      <c r="AE1765" s="230"/>
      <c r="AF1765" s="230"/>
      <c r="AG1765" s="890"/>
      <c r="AJ1765" s="890"/>
      <c r="AN1765" s="223"/>
      <c r="AO1765" s="952"/>
      <c r="AP1765" s="1066"/>
      <c r="AQ1765" s="972"/>
      <c r="AR1765" s="1917"/>
      <c r="AS1765" s="222"/>
      <c r="AZ1765" s="889"/>
      <c r="BC1765" s="890"/>
      <c r="BD1765" s="952"/>
      <c r="BE1765" s="75"/>
      <c r="BF1765" s="572"/>
      <c r="BG1765" s="983"/>
      <c r="BH1765" s="222"/>
      <c r="BL1765" s="889"/>
      <c r="BO1765" s="223"/>
    </row>
    <row r="1766" spans="1:67" s="74" customFormat="1">
      <c r="A1766" s="15"/>
      <c r="B1766" s="15"/>
      <c r="C1766" s="15"/>
      <c r="D1766" s="15"/>
      <c r="E1766" s="6"/>
      <c r="F1766" s="6"/>
      <c r="G1766" s="6"/>
      <c r="K1766" s="223"/>
      <c r="M1766" s="889"/>
      <c r="P1766" s="890"/>
      <c r="T1766" s="889"/>
      <c r="X1766" s="15"/>
      <c r="Y1766" s="1935"/>
      <c r="Z1766" s="1086"/>
      <c r="AA1766" s="230"/>
      <c r="AB1766" s="230"/>
      <c r="AC1766" s="1936"/>
      <c r="AD1766" s="230"/>
      <c r="AE1766" s="230"/>
      <c r="AF1766" s="230"/>
      <c r="AG1766" s="890"/>
      <c r="AJ1766" s="890"/>
      <c r="AN1766" s="223"/>
      <c r="AO1766" s="952"/>
      <c r="AP1766" s="1066"/>
      <c r="AQ1766" s="972"/>
      <c r="AR1766" s="1917"/>
      <c r="AS1766" s="222"/>
      <c r="AZ1766" s="889"/>
      <c r="BC1766" s="890"/>
      <c r="BD1766" s="952"/>
      <c r="BE1766" s="75"/>
      <c r="BF1766" s="572"/>
      <c r="BG1766" s="983"/>
      <c r="BH1766" s="222"/>
      <c r="BL1766" s="889"/>
      <c r="BO1766" s="223"/>
    </row>
    <row r="1767" spans="1:67" s="74" customFormat="1">
      <c r="A1767" s="15"/>
      <c r="B1767" s="15"/>
      <c r="C1767" s="15"/>
      <c r="D1767" s="15"/>
      <c r="E1767" s="6"/>
      <c r="F1767" s="6"/>
      <c r="G1767" s="6"/>
      <c r="K1767" s="223"/>
      <c r="M1767" s="889"/>
      <c r="P1767" s="890"/>
      <c r="T1767" s="889"/>
      <c r="X1767" s="15"/>
      <c r="Y1767" s="1935"/>
      <c r="Z1767" s="1086"/>
      <c r="AA1767" s="230"/>
      <c r="AB1767" s="230"/>
      <c r="AC1767" s="1936"/>
      <c r="AD1767" s="230"/>
      <c r="AE1767" s="230"/>
      <c r="AF1767" s="230"/>
      <c r="AG1767" s="890"/>
      <c r="AJ1767" s="890"/>
      <c r="AN1767" s="223"/>
      <c r="AO1767" s="952"/>
      <c r="AP1767" s="1066"/>
      <c r="AQ1767" s="972"/>
      <c r="AR1767" s="1917"/>
      <c r="AS1767" s="222"/>
      <c r="AZ1767" s="889"/>
      <c r="BC1767" s="890"/>
      <c r="BD1767" s="952"/>
      <c r="BE1767" s="75"/>
      <c r="BF1767" s="572"/>
      <c r="BG1767" s="983"/>
      <c r="BH1767" s="222"/>
      <c r="BL1767" s="889"/>
      <c r="BO1767" s="223"/>
    </row>
    <row r="1768" spans="1:67" s="74" customFormat="1">
      <c r="A1768" s="15"/>
      <c r="B1768" s="15"/>
      <c r="C1768" s="15"/>
      <c r="D1768" s="15"/>
      <c r="E1768" s="6"/>
      <c r="F1768" s="6"/>
      <c r="G1768" s="6"/>
      <c r="K1768" s="223"/>
      <c r="M1768" s="889"/>
      <c r="P1768" s="890"/>
      <c r="T1768" s="889"/>
      <c r="X1768" s="15"/>
      <c r="Y1768" s="1935"/>
      <c r="Z1768" s="1086"/>
      <c r="AA1768" s="230"/>
      <c r="AB1768" s="230"/>
      <c r="AC1768" s="1936"/>
      <c r="AD1768" s="230"/>
      <c r="AE1768" s="230"/>
      <c r="AF1768" s="230"/>
      <c r="AG1768" s="890"/>
      <c r="AJ1768" s="890"/>
      <c r="AN1768" s="223"/>
      <c r="AO1768" s="952"/>
      <c r="AP1768" s="1066"/>
      <c r="AQ1768" s="972"/>
      <c r="AR1768" s="1917"/>
      <c r="AS1768" s="222"/>
      <c r="AZ1768" s="889"/>
      <c r="BC1768" s="890"/>
      <c r="BD1768" s="952"/>
      <c r="BE1768" s="75"/>
      <c r="BF1768" s="572"/>
      <c r="BG1768" s="983"/>
      <c r="BH1768" s="222"/>
      <c r="BL1768" s="889"/>
      <c r="BO1768" s="223"/>
    </row>
    <row r="1769" spans="1:67" s="74" customFormat="1">
      <c r="A1769" s="15"/>
      <c r="B1769" s="15"/>
      <c r="C1769" s="15"/>
      <c r="D1769" s="15"/>
      <c r="E1769" s="6"/>
      <c r="F1769" s="6"/>
      <c r="G1769" s="6"/>
      <c r="K1769" s="223"/>
      <c r="M1769" s="889"/>
      <c r="P1769" s="890"/>
      <c r="T1769" s="889"/>
      <c r="X1769" s="15"/>
      <c r="Y1769" s="1935"/>
      <c r="Z1769" s="1086"/>
      <c r="AA1769" s="230"/>
      <c r="AB1769" s="230"/>
      <c r="AC1769" s="1936"/>
      <c r="AD1769" s="230"/>
      <c r="AE1769" s="230"/>
      <c r="AF1769" s="230"/>
      <c r="AG1769" s="890"/>
      <c r="AJ1769" s="890"/>
      <c r="AN1769" s="223"/>
      <c r="AO1769" s="952"/>
      <c r="AP1769" s="1066"/>
      <c r="AQ1769" s="972"/>
      <c r="AR1769" s="1917"/>
      <c r="AS1769" s="222"/>
      <c r="AZ1769" s="889"/>
      <c r="BC1769" s="890"/>
      <c r="BD1769" s="952"/>
      <c r="BE1769" s="75"/>
      <c r="BF1769" s="572"/>
      <c r="BG1769" s="983"/>
      <c r="BH1769" s="222"/>
      <c r="BL1769" s="889"/>
      <c r="BO1769" s="223"/>
    </row>
    <row r="1770" spans="1:67" s="74" customFormat="1">
      <c r="A1770" s="15"/>
      <c r="B1770" s="15"/>
      <c r="C1770" s="15"/>
      <c r="D1770" s="15"/>
      <c r="E1770" s="6"/>
      <c r="F1770" s="6"/>
      <c r="G1770" s="6"/>
      <c r="K1770" s="223"/>
      <c r="M1770" s="889"/>
      <c r="P1770" s="890"/>
      <c r="T1770" s="889"/>
      <c r="X1770" s="15"/>
      <c r="Y1770" s="1935"/>
      <c r="Z1770" s="1086"/>
      <c r="AA1770" s="230"/>
      <c r="AB1770" s="230"/>
      <c r="AC1770" s="1936"/>
      <c r="AD1770" s="230"/>
      <c r="AE1770" s="230"/>
      <c r="AF1770" s="230"/>
      <c r="AG1770" s="890"/>
      <c r="AJ1770" s="890"/>
      <c r="AN1770" s="223"/>
      <c r="AO1770" s="952"/>
      <c r="AP1770" s="1066"/>
      <c r="AQ1770" s="972"/>
      <c r="AR1770" s="1917"/>
      <c r="AS1770" s="222"/>
      <c r="AZ1770" s="889"/>
      <c r="BC1770" s="890"/>
      <c r="BD1770" s="952"/>
      <c r="BE1770" s="75"/>
      <c r="BF1770" s="572"/>
      <c r="BG1770" s="983"/>
      <c r="BH1770" s="222"/>
      <c r="BL1770" s="889"/>
      <c r="BO1770" s="223"/>
    </row>
    <row r="1771" spans="1:67" s="74" customFormat="1">
      <c r="A1771" s="15"/>
      <c r="B1771" s="15"/>
      <c r="C1771" s="15"/>
      <c r="D1771" s="15"/>
      <c r="E1771" s="6"/>
      <c r="F1771" s="6"/>
      <c r="G1771" s="6"/>
      <c r="K1771" s="223"/>
      <c r="M1771" s="889"/>
      <c r="P1771" s="890"/>
      <c r="T1771" s="889"/>
      <c r="X1771" s="15"/>
      <c r="Y1771" s="1935"/>
      <c r="Z1771" s="1086"/>
      <c r="AA1771" s="230"/>
      <c r="AB1771" s="230"/>
      <c r="AC1771" s="1936"/>
      <c r="AD1771" s="230"/>
      <c r="AE1771" s="230"/>
      <c r="AF1771" s="230"/>
      <c r="AG1771" s="890"/>
      <c r="AJ1771" s="890"/>
      <c r="AN1771" s="223"/>
      <c r="AO1771" s="952"/>
      <c r="AP1771" s="1066"/>
      <c r="AQ1771" s="972"/>
      <c r="AR1771" s="1917"/>
      <c r="AS1771" s="222"/>
      <c r="AZ1771" s="889"/>
      <c r="BC1771" s="890"/>
      <c r="BD1771" s="952"/>
      <c r="BE1771" s="75"/>
      <c r="BF1771" s="572"/>
      <c r="BG1771" s="983"/>
      <c r="BH1771" s="222"/>
      <c r="BL1771" s="889"/>
      <c r="BO1771" s="223"/>
    </row>
    <row r="1772" spans="1:67" s="74" customFormat="1">
      <c r="A1772" s="15"/>
      <c r="B1772" s="15"/>
      <c r="C1772" s="15"/>
      <c r="D1772" s="15"/>
      <c r="E1772" s="6"/>
      <c r="F1772" s="6"/>
      <c r="G1772" s="6"/>
      <c r="K1772" s="223"/>
      <c r="M1772" s="889"/>
      <c r="P1772" s="890"/>
      <c r="T1772" s="889"/>
      <c r="X1772" s="15"/>
      <c r="Y1772" s="1935"/>
      <c r="Z1772" s="1086"/>
      <c r="AA1772" s="230"/>
      <c r="AB1772" s="230"/>
      <c r="AC1772" s="1936"/>
      <c r="AD1772" s="230"/>
      <c r="AE1772" s="230"/>
      <c r="AF1772" s="230"/>
      <c r="AG1772" s="890"/>
      <c r="AJ1772" s="890"/>
      <c r="AN1772" s="223"/>
      <c r="AO1772" s="952"/>
      <c r="AP1772" s="1066"/>
      <c r="AQ1772" s="972"/>
      <c r="AR1772" s="1917"/>
      <c r="AS1772" s="222"/>
      <c r="AZ1772" s="889"/>
      <c r="BC1772" s="890"/>
      <c r="BD1772" s="952"/>
      <c r="BE1772" s="75"/>
      <c r="BF1772" s="572"/>
      <c r="BG1772" s="983"/>
      <c r="BH1772" s="222"/>
      <c r="BL1772" s="889"/>
      <c r="BO1772" s="223"/>
    </row>
    <row r="1773" spans="1:67" s="74" customFormat="1">
      <c r="A1773" s="15"/>
      <c r="B1773" s="15"/>
      <c r="C1773" s="15"/>
      <c r="D1773" s="15"/>
      <c r="E1773" s="6"/>
      <c r="F1773" s="6"/>
      <c r="G1773" s="6"/>
      <c r="K1773" s="223"/>
      <c r="M1773" s="889"/>
      <c r="P1773" s="890"/>
      <c r="T1773" s="889"/>
      <c r="X1773" s="15"/>
      <c r="Y1773" s="1935"/>
      <c r="Z1773" s="1086"/>
      <c r="AA1773" s="230"/>
      <c r="AB1773" s="230"/>
      <c r="AC1773" s="1936"/>
      <c r="AD1773" s="230"/>
      <c r="AE1773" s="230"/>
      <c r="AF1773" s="230"/>
      <c r="AG1773" s="890"/>
      <c r="AJ1773" s="890"/>
      <c r="AN1773" s="223"/>
      <c r="AO1773" s="952"/>
      <c r="AP1773" s="1066"/>
      <c r="AQ1773" s="972"/>
      <c r="AR1773" s="1917"/>
      <c r="AS1773" s="222"/>
      <c r="AZ1773" s="889"/>
      <c r="BC1773" s="890"/>
      <c r="BD1773" s="952"/>
      <c r="BE1773" s="75"/>
      <c r="BF1773" s="572"/>
      <c r="BG1773" s="983"/>
      <c r="BH1773" s="222"/>
      <c r="BL1773" s="889"/>
      <c r="BO1773" s="223"/>
    </row>
    <row r="1774" spans="1:67" s="74" customFormat="1">
      <c r="A1774" s="15"/>
      <c r="B1774" s="15"/>
      <c r="C1774" s="15"/>
      <c r="D1774" s="15"/>
      <c r="E1774" s="6"/>
      <c r="F1774" s="6"/>
      <c r="G1774" s="6"/>
      <c r="K1774" s="223"/>
      <c r="M1774" s="889"/>
      <c r="P1774" s="890"/>
      <c r="T1774" s="889"/>
      <c r="X1774" s="15"/>
      <c r="Y1774" s="1935"/>
      <c r="Z1774" s="1086"/>
      <c r="AA1774" s="230"/>
      <c r="AB1774" s="230"/>
      <c r="AC1774" s="1936"/>
      <c r="AD1774" s="230"/>
      <c r="AE1774" s="230"/>
      <c r="AF1774" s="230"/>
      <c r="AG1774" s="890"/>
      <c r="AJ1774" s="890"/>
      <c r="AN1774" s="223"/>
      <c r="AO1774" s="952"/>
      <c r="AP1774" s="1066"/>
      <c r="AQ1774" s="972"/>
      <c r="AR1774" s="1917"/>
      <c r="AS1774" s="222"/>
      <c r="AZ1774" s="889"/>
      <c r="BC1774" s="890"/>
      <c r="BD1774" s="952"/>
      <c r="BE1774" s="75"/>
      <c r="BF1774" s="572"/>
      <c r="BG1774" s="983"/>
      <c r="BH1774" s="222"/>
      <c r="BL1774" s="889"/>
      <c r="BO1774" s="223"/>
    </row>
    <row r="1775" spans="1:67" s="74" customFormat="1">
      <c r="A1775" s="15"/>
      <c r="B1775" s="15"/>
      <c r="C1775" s="15"/>
      <c r="D1775" s="15"/>
      <c r="E1775" s="6"/>
      <c r="F1775" s="6"/>
      <c r="G1775" s="6"/>
      <c r="K1775" s="223"/>
      <c r="M1775" s="889"/>
      <c r="P1775" s="890"/>
      <c r="T1775" s="889"/>
      <c r="X1775" s="15"/>
      <c r="Y1775" s="1935"/>
      <c r="Z1775" s="1086"/>
      <c r="AA1775" s="230"/>
      <c r="AB1775" s="230"/>
      <c r="AC1775" s="1936"/>
      <c r="AD1775" s="230"/>
      <c r="AE1775" s="230"/>
      <c r="AF1775" s="230"/>
      <c r="AG1775" s="890"/>
      <c r="AJ1775" s="890"/>
      <c r="AN1775" s="223"/>
      <c r="AO1775" s="952"/>
      <c r="AP1775" s="1066"/>
      <c r="AQ1775" s="972"/>
      <c r="AR1775" s="1917"/>
      <c r="AS1775" s="222"/>
      <c r="AZ1775" s="889"/>
      <c r="BC1775" s="890"/>
      <c r="BD1775" s="952"/>
      <c r="BE1775" s="75"/>
      <c r="BF1775" s="572"/>
      <c r="BG1775" s="983"/>
      <c r="BH1775" s="222"/>
      <c r="BL1775" s="889"/>
      <c r="BO1775" s="223"/>
    </row>
    <row r="1776" spans="1:67" s="74" customFormat="1">
      <c r="A1776" s="15"/>
      <c r="B1776" s="15"/>
      <c r="C1776" s="15"/>
      <c r="D1776" s="15"/>
      <c r="E1776" s="6"/>
      <c r="F1776" s="6"/>
      <c r="G1776" s="6"/>
      <c r="K1776" s="223"/>
      <c r="M1776" s="889"/>
      <c r="P1776" s="890"/>
      <c r="T1776" s="889"/>
      <c r="X1776" s="15"/>
      <c r="Y1776" s="1935"/>
      <c r="Z1776" s="1086"/>
      <c r="AA1776" s="230"/>
      <c r="AB1776" s="230"/>
      <c r="AC1776" s="1936"/>
      <c r="AD1776" s="230"/>
      <c r="AE1776" s="230"/>
      <c r="AF1776" s="230"/>
      <c r="AG1776" s="890"/>
      <c r="AJ1776" s="890"/>
      <c r="AN1776" s="223"/>
      <c r="AO1776" s="952"/>
      <c r="AP1776" s="1066"/>
      <c r="AQ1776" s="972"/>
      <c r="AR1776" s="1917"/>
      <c r="AS1776" s="222"/>
      <c r="AZ1776" s="889"/>
      <c r="BC1776" s="890"/>
      <c r="BD1776" s="952"/>
      <c r="BE1776" s="75"/>
      <c r="BF1776" s="572"/>
      <c r="BG1776" s="983"/>
      <c r="BH1776" s="222"/>
      <c r="BL1776" s="889"/>
      <c r="BO1776" s="223"/>
    </row>
    <row r="1777" spans="1:67" s="74" customFormat="1">
      <c r="A1777" s="15"/>
      <c r="B1777" s="15"/>
      <c r="C1777" s="15"/>
      <c r="D1777" s="15"/>
      <c r="E1777" s="6"/>
      <c r="F1777" s="6"/>
      <c r="G1777" s="6"/>
      <c r="K1777" s="223"/>
      <c r="M1777" s="889"/>
      <c r="P1777" s="890"/>
      <c r="T1777" s="889"/>
      <c r="X1777" s="15"/>
      <c r="Y1777" s="1935"/>
      <c r="Z1777" s="1086"/>
      <c r="AA1777" s="230"/>
      <c r="AB1777" s="230"/>
      <c r="AC1777" s="1936"/>
      <c r="AD1777" s="230"/>
      <c r="AE1777" s="230"/>
      <c r="AF1777" s="230"/>
      <c r="AG1777" s="890"/>
      <c r="AJ1777" s="890"/>
      <c r="AN1777" s="223"/>
      <c r="AO1777" s="952"/>
      <c r="AP1777" s="1066"/>
      <c r="AQ1777" s="972"/>
      <c r="AR1777" s="1917"/>
      <c r="AS1777" s="222"/>
      <c r="AZ1777" s="889"/>
      <c r="BC1777" s="890"/>
      <c r="BD1777" s="952"/>
      <c r="BE1777" s="75"/>
      <c r="BF1777" s="572"/>
      <c r="BG1777" s="983"/>
      <c r="BH1777" s="222"/>
      <c r="BL1777" s="889"/>
      <c r="BO1777" s="223"/>
    </row>
    <row r="1778" spans="1:67" s="74" customFormat="1">
      <c r="A1778" s="15"/>
      <c r="B1778" s="15"/>
      <c r="C1778" s="15"/>
      <c r="D1778" s="15"/>
      <c r="E1778" s="6"/>
      <c r="F1778" s="6"/>
      <c r="G1778" s="6"/>
      <c r="K1778" s="223"/>
      <c r="M1778" s="889"/>
      <c r="P1778" s="890"/>
      <c r="T1778" s="889"/>
      <c r="X1778" s="15"/>
      <c r="Y1778" s="1935"/>
      <c r="Z1778" s="1086"/>
      <c r="AA1778" s="230"/>
      <c r="AB1778" s="230"/>
      <c r="AC1778" s="1936"/>
      <c r="AD1778" s="230"/>
      <c r="AE1778" s="230"/>
      <c r="AF1778" s="230"/>
      <c r="AG1778" s="890"/>
      <c r="AJ1778" s="890"/>
      <c r="AN1778" s="223"/>
      <c r="AO1778" s="952"/>
      <c r="AP1778" s="1066"/>
      <c r="AQ1778" s="972"/>
      <c r="AR1778" s="1917"/>
      <c r="AS1778" s="222"/>
      <c r="AZ1778" s="889"/>
      <c r="BC1778" s="890"/>
      <c r="BD1778" s="952"/>
      <c r="BE1778" s="75"/>
      <c r="BF1778" s="572"/>
      <c r="BG1778" s="983"/>
      <c r="BH1778" s="222"/>
      <c r="BL1778" s="889"/>
      <c r="BO1778" s="223"/>
    </row>
    <row r="1779" spans="1:67" s="74" customFormat="1">
      <c r="A1779" s="15"/>
      <c r="B1779" s="15"/>
      <c r="C1779" s="15"/>
      <c r="D1779" s="15"/>
      <c r="E1779" s="6"/>
      <c r="F1779" s="6"/>
      <c r="G1779" s="6"/>
      <c r="K1779" s="223"/>
      <c r="M1779" s="889"/>
      <c r="P1779" s="890"/>
      <c r="T1779" s="889"/>
      <c r="X1779" s="15"/>
      <c r="Y1779" s="1935"/>
      <c r="Z1779" s="1086"/>
      <c r="AA1779" s="230"/>
      <c r="AB1779" s="230"/>
      <c r="AC1779" s="1936"/>
      <c r="AD1779" s="230"/>
      <c r="AE1779" s="230"/>
      <c r="AF1779" s="230"/>
      <c r="AG1779" s="890"/>
      <c r="AJ1779" s="890"/>
      <c r="AN1779" s="223"/>
      <c r="AO1779" s="952"/>
      <c r="AP1779" s="1066"/>
      <c r="AQ1779" s="972"/>
      <c r="AR1779" s="1917"/>
      <c r="AS1779" s="222"/>
      <c r="AZ1779" s="889"/>
      <c r="BC1779" s="890"/>
      <c r="BD1779" s="952"/>
      <c r="BE1779" s="75"/>
      <c r="BF1779" s="572"/>
      <c r="BG1779" s="983"/>
      <c r="BH1779" s="222"/>
      <c r="BL1779" s="889"/>
      <c r="BO1779" s="223"/>
    </row>
    <row r="1780" spans="1:67" s="74" customFormat="1">
      <c r="A1780" s="15"/>
      <c r="B1780" s="15"/>
      <c r="C1780" s="15"/>
      <c r="D1780" s="15"/>
      <c r="E1780" s="6"/>
      <c r="F1780" s="6"/>
      <c r="G1780" s="6"/>
      <c r="K1780" s="223"/>
      <c r="M1780" s="889"/>
      <c r="P1780" s="890"/>
      <c r="T1780" s="889"/>
      <c r="X1780" s="15"/>
      <c r="Y1780" s="1935"/>
      <c r="Z1780" s="1086"/>
      <c r="AA1780" s="230"/>
      <c r="AB1780" s="230"/>
      <c r="AC1780" s="1936"/>
      <c r="AD1780" s="230"/>
      <c r="AE1780" s="230"/>
      <c r="AF1780" s="230"/>
      <c r="AG1780" s="890"/>
      <c r="AJ1780" s="890"/>
      <c r="AN1780" s="223"/>
      <c r="AO1780" s="952"/>
      <c r="AP1780" s="1066"/>
      <c r="AQ1780" s="972"/>
      <c r="AR1780" s="1917"/>
      <c r="AS1780" s="222"/>
      <c r="AZ1780" s="889"/>
      <c r="BC1780" s="890"/>
      <c r="BD1780" s="952"/>
      <c r="BE1780" s="75"/>
      <c r="BF1780" s="572"/>
      <c r="BG1780" s="983"/>
      <c r="BH1780" s="222"/>
      <c r="BL1780" s="889"/>
      <c r="BO1780" s="223"/>
    </row>
    <row r="1781" spans="1:67" s="74" customFormat="1">
      <c r="A1781" s="15"/>
      <c r="B1781" s="15"/>
      <c r="C1781" s="15"/>
      <c r="D1781" s="15"/>
      <c r="E1781" s="6"/>
      <c r="F1781" s="6"/>
      <c r="G1781" s="6"/>
      <c r="K1781" s="223"/>
      <c r="M1781" s="889"/>
      <c r="P1781" s="890"/>
      <c r="T1781" s="889"/>
      <c r="X1781" s="15"/>
      <c r="Y1781" s="1935"/>
      <c r="Z1781" s="1086"/>
      <c r="AA1781" s="230"/>
      <c r="AB1781" s="230"/>
      <c r="AC1781" s="1936"/>
      <c r="AD1781" s="230"/>
      <c r="AE1781" s="230"/>
      <c r="AF1781" s="230"/>
      <c r="AG1781" s="890"/>
      <c r="AJ1781" s="890"/>
      <c r="AN1781" s="223"/>
      <c r="AO1781" s="952"/>
      <c r="AP1781" s="1066"/>
      <c r="AQ1781" s="972"/>
      <c r="AR1781" s="1917"/>
      <c r="AS1781" s="222"/>
      <c r="AZ1781" s="889"/>
      <c r="BC1781" s="890"/>
      <c r="BD1781" s="952"/>
      <c r="BE1781" s="75"/>
      <c r="BF1781" s="572"/>
      <c r="BG1781" s="983"/>
      <c r="BH1781" s="222"/>
      <c r="BL1781" s="889"/>
      <c r="BO1781" s="223"/>
    </row>
    <row r="1782" spans="1:67" s="74" customFormat="1">
      <c r="A1782" s="15"/>
      <c r="B1782" s="15"/>
      <c r="C1782" s="15"/>
      <c r="D1782" s="15"/>
      <c r="E1782" s="6"/>
      <c r="F1782" s="6"/>
      <c r="G1782" s="6"/>
      <c r="K1782" s="223"/>
      <c r="M1782" s="889"/>
      <c r="P1782" s="890"/>
      <c r="T1782" s="889"/>
      <c r="X1782" s="15"/>
      <c r="Y1782" s="1935"/>
      <c r="Z1782" s="1086"/>
      <c r="AA1782" s="230"/>
      <c r="AB1782" s="230"/>
      <c r="AC1782" s="1936"/>
      <c r="AD1782" s="230"/>
      <c r="AE1782" s="230"/>
      <c r="AF1782" s="230"/>
      <c r="AG1782" s="890"/>
      <c r="AJ1782" s="890"/>
      <c r="AN1782" s="223"/>
      <c r="AO1782" s="952"/>
      <c r="AP1782" s="1066"/>
      <c r="AQ1782" s="972"/>
      <c r="AR1782" s="1917"/>
      <c r="AS1782" s="222"/>
      <c r="AZ1782" s="889"/>
      <c r="BC1782" s="890"/>
      <c r="BD1782" s="952"/>
      <c r="BE1782" s="75"/>
      <c r="BF1782" s="572"/>
      <c r="BG1782" s="983"/>
      <c r="BH1782" s="222"/>
      <c r="BL1782" s="889"/>
      <c r="BO1782" s="223"/>
    </row>
    <row r="1783" spans="1:67" s="74" customFormat="1">
      <c r="A1783" s="15"/>
      <c r="B1783" s="15"/>
      <c r="C1783" s="15"/>
      <c r="D1783" s="15"/>
      <c r="E1783" s="6"/>
      <c r="F1783" s="6"/>
      <c r="G1783" s="6"/>
      <c r="K1783" s="223"/>
      <c r="M1783" s="889"/>
      <c r="P1783" s="890"/>
      <c r="T1783" s="889"/>
      <c r="X1783" s="15"/>
      <c r="Y1783" s="1935"/>
      <c r="Z1783" s="1086"/>
      <c r="AA1783" s="230"/>
      <c r="AB1783" s="230"/>
      <c r="AC1783" s="1936"/>
      <c r="AD1783" s="230"/>
      <c r="AE1783" s="230"/>
      <c r="AF1783" s="230"/>
      <c r="AG1783" s="890"/>
      <c r="AJ1783" s="890"/>
      <c r="AN1783" s="223"/>
      <c r="AO1783" s="952"/>
      <c r="AP1783" s="1066"/>
      <c r="AQ1783" s="972"/>
      <c r="AR1783" s="1917"/>
      <c r="AS1783" s="222"/>
      <c r="AZ1783" s="889"/>
      <c r="BC1783" s="890"/>
      <c r="BD1783" s="952"/>
      <c r="BE1783" s="75"/>
      <c r="BF1783" s="572"/>
      <c r="BG1783" s="983"/>
      <c r="BH1783" s="222"/>
      <c r="BL1783" s="889"/>
      <c r="BO1783" s="223"/>
    </row>
    <row r="1784" spans="1:67" s="74" customFormat="1">
      <c r="A1784" s="15"/>
      <c r="B1784" s="15"/>
      <c r="C1784" s="15"/>
      <c r="D1784" s="15"/>
      <c r="E1784" s="6"/>
      <c r="F1784" s="6"/>
      <c r="G1784" s="6"/>
      <c r="K1784" s="223"/>
      <c r="M1784" s="889"/>
      <c r="P1784" s="890"/>
      <c r="T1784" s="889"/>
      <c r="X1784" s="15"/>
      <c r="Y1784" s="1935"/>
      <c r="Z1784" s="1086"/>
      <c r="AA1784" s="230"/>
      <c r="AB1784" s="230"/>
      <c r="AC1784" s="1936"/>
      <c r="AD1784" s="230"/>
      <c r="AE1784" s="230"/>
      <c r="AF1784" s="230"/>
      <c r="AG1784" s="890"/>
      <c r="AJ1784" s="890"/>
      <c r="AN1784" s="223"/>
      <c r="AO1784" s="952"/>
      <c r="AP1784" s="1066"/>
      <c r="AQ1784" s="972"/>
      <c r="AR1784" s="1917"/>
      <c r="AS1784" s="222"/>
      <c r="AZ1784" s="889"/>
      <c r="BC1784" s="890"/>
      <c r="BD1784" s="952"/>
      <c r="BE1784" s="75"/>
      <c r="BF1784" s="572"/>
      <c r="BG1784" s="983"/>
      <c r="BH1784" s="222"/>
      <c r="BL1784" s="889"/>
      <c r="BO1784" s="223"/>
    </row>
    <row r="1785" spans="1:67" s="74" customFormat="1">
      <c r="A1785" s="15"/>
      <c r="B1785" s="15"/>
      <c r="C1785" s="15"/>
      <c r="D1785" s="15"/>
      <c r="E1785" s="6"/>
      <c r="F1785" s="6"/>
      <c r="G1785" s="6"/>
      <c r="K1785" s="223"/>
      <c r="M1785" s="889"/>
      <c r="P1785" s="890"/>
      <c r="T1785" s="889"/>
      <c r="X1785" s="15"/>
      <c r="Y1785" s="1935"/>
      <c r="Z1785" s="1086"/>
      <c r="AA1785" s="230"/>
      <c r="AB1785" s="230"/>
      <c r="AC1785" s="1936"/>
      <c r="AD1785" s="230"/>
      <c r="AE1785" s="230"/>
      <c r="AF1785" s="230"/>
      <c r="AG1785" s="890"/>
      <c r="AJ1785" s="890"/>
      <c r="AN1785" s="223"/>
      <c r="AO1785" s="952"/>
      <c r="AP1785" s="1066"/>
      <c r="AQ1785" s="972"/>
      <c r="AR1785" s="1917"/>
      <c r="AS1785" s="222"/>
      <c r="AZ1785" s="889"/>
      <c r="BC1785" s="890"/>
      <c r="BD1785" s="952"/>
      <c r="BE1785" s="75"/>
      <c r="BF1785" s="572"/>
      <c r="BG1785" s="983"/>
      <c r="BH1785" s="222"/>
      <c r="BL1785" s="889"/>
      <c r="BO1785" s="223"/>
    </row>
    <row r="1786" spans="1:67" s="74" customFormat="1">
      <c r="A1786" s="15"/>
      <c r="B1786" s="15"/>
      <c r="C1786" s="15"/>
      <c r="D1786" s="15"/>
      <c r="E1786" s="6"/>
      <c r="F1786" s="6"/>
      <c r="G1786" s="6"/>
      <c r="K1786" s="223"/>
      <c r="M1786" s="889"/>
      <c r="P1786" s="890"/>
      <c r="T1786" s="889"/>
      <c r="X1786" s="15"/>
      <c r="Y1786" s="1935"/>
      <c r="Z1786" s="1086"/>
      <c r="AA1786" s="230"/>
      <c r="AB1786" s="230"/>
      <c r="AC1786" s="1936"/>
      <c r="AD1786" s="230"/>
      <c r="AE1786" s="230"/>
      <c r="AF1786" s="230"/>
      <c r="AG1786" s="890"/>
      <c r="AJ1786" s="890"/>
      <c r="AN1786" s="223"/>
      <c r="AO1786" s="952"/>
      <c r="AP1786" s="1066"/>
      <c r="AQ1786" s="972"/>
      <c r="AR1786" s="1917"/>
      <c r="AS1786" s="222"/>
      <c r="AZ1786" s="889"/>
      <c r="BC1786" s="890"/>
      <c r="BD1786" s="952"/>
      <c r="BE1786" s="75"/>
      <c r="BF1786" s="572"/>
      <c r="BG1786" s="983"/>
      <c r="BH1786" s="222"/>
      <c r="BL1786" s="889"/>
      <c r="BO1786" s="223"/>
    </row>
    <row r="1787" spans="1:67" s="74" customFormat="1">
      <c r="A1787" s="15"/>
      <c r="B1787" s="15"/>
      <c r="C1787" s="15"/>
      <c r="D1787" s="15"/>
      <c r="E1787" s="6"/>
      <c r="F1787" s="6"/>
      <c r="G1787" s="6"/>
      <c r="K1787" s="223"/>
      <c r="M1787" s="889"/>
      <c r="P1787" s="890"/>
      <c r="T1787" s="889"/>
      <c r="X1787" s="15"/>
      <c r="Y1787" s="1935"/>
      <c r="Z1787" s="1086"/>
      <c r="AA1787" s="230"/>
      <c r="AB1787" s="230"/>
      <c r="AC1787" s="1936"/>
      <c r="AD1787" s="230"/>
      <c r="AE1787" s="230"/>
      <c r="AF1787" s="230"/>
      <c r="AG1787" s="890"/>
      <c r="AJ1787" s="890"/>
      <c r="AN1787" s="223"/>
      <c r="AO1787" s="952"/>
      <c r="AP1787" s="1066"/>
      <c r="AQ1787" s="972"/>
      <c r="AR1787" s="1917"/>
      <c r="AS1787" s="222"/>
      <c r="AZ1787" s="889"/>
      <c r="BC1787" s="890"/>
      <c r="BD1787" s="952"/>
      <c r="BE1787" s="75"/>
      <c r="BF1787" s="572"/>
      <c r="BG1787" s="983"/>
      <c r="BH1787" s="222"/>
      <c r="BL1787" s="889"/>
      <c r="BO1787" s="223"/>
    </row>
    <row r="1788" spans="1:67" s="74" customFormat="1">
      <c r="A1788" s="15"/>
      <c r="B1788" s="15"/>
      <c r="C1788" s="15"/>
      <c r="D1788" s="15"/>
      <c r="E1788" s="6"/>
      <c r="F1788" s="6"/>
      <c r="G1788" s="6"/>
      <c r="K1788" s="223"/>
      <c r="M1788" s="889"/>
      <c r="P1788" s="890"/>
      <c r="T1788" s="889"/>
      <c r="X1788" s="15"/>
      <c r="Y1788" s="1935"/>
      <c r="Z1788" s="1086"/>
      <c r="AA1788" s="230"/>
      <c r="AB1788" s="230"/>
      <c r="AC1788" s="1936"/>
      <c r="AD1788" s="230"/>
      <c r="AE1788" s="230"/>
      <c r="AF1788" s="230"/>
      <c r="AG1788" s="890"/>
      <c r="AJ1788" s="890"/>
      <c r="AN1788" s="223"/>
      <c r="AO1788" s="952"/>
      <c r="AP1788" s="1066"/>
      <c r="AQ1788" s="972"/>
      <c r="AR1788" s="1917"/>
      <c r="AS1788" s="222"/>
      <c r="AZ1788" s="889"/>
      <c r="BC1788" s="890"/>
      <c r="BD1788" s="952"/>
      <c r="BE1788" s="75"/>
      <c r="BF1788" s="572"/>
      <c r="BG1788" s="983"/>
      <c r="BH1788" s="222"/>
      <c r="BL1788" s="889"/>
      <c r="BO1788" s="223"/>
    </row>
    <row r="1789" spans="1:67" s="74" customFormat="1">
      <c r="A1789" s="15"/>
      <c r="B1789" s="15"/>
      <c r="C1789" s="15"/>
      <c r="D1789" s="15"/>
      <c r="E1789" s="6"/>
      <c r="F1789" s="6"/>
      <c r="G1789" s="6"/>
      <c r="K1789" s="223"/>
      <c r="M1789" s="889"/>
      <c r="P1789" s="890"/>
      <c r="T1789" s="889"/>
      <c r="X1789" s="15"/>
      <c r="Y1789" s="1935"/>
      <c r="Z1789" s="1086"/>
      <c r="AA1789" s="230"/>
      <c r="AB1789" s="230"/>
      <c r="AC1789" s="1936"/>
      <c r="AD1789" s="230"/>
      <c r="AE1789" s="230"/>
      <c r="AF1789" s="230"/>
      <c r="AG1789" s="890"/>
      <c r="AJ1789" s="890"/>
      <c r="AN1789" s="223"/>
      <c r="AO1789" s="952"/>
      <c r="AP1789" s="1066"/>
      <c r="AQ1789" s="972"/>
      <c r="AR1789" s="1917"/>
      <c r="AS1789" s="222"/>
      <c r="AZ1789" s="889"/>
      <c r="BC1789" s="890"/>
      <c r="BD1789" s="952"/>
      <c r="BE1789" s="75"/>
      <c r="BF1789" s="572"/>
      <c r="BG1789" s="983"/>
      <c r="BH1789" s="222"/>
      <c r="BL1789" s="889"/>
      <c r="BO1789" s="223"/>
    </row>
    <row r="1790" spans="1:67" s="74" customFormat="1">
      <c r="A1790" s="15"/>
      <c r="B1790" s="15"/>
      <c r="C1790" s="15"/>
      <c r="D1790" s="15"/>
      <c r="E1790" s="6"/>
      <c r="F1790" s="6"/>
      <c r="G1790" s="6"/>
      <c r="K1790" s="223"/>
      <c r="M1790" s="889"/>
      <c r="P1790" s="890"/>
      <c r="T1790" s="889"/>
      <c r="X1790" s="15"/>
      <c r="Y1790" s="1935"/>
      <c r="Z1790" s="1086"/>
      <c r="AA1790" s="230"/>
      <c r="AB1790" s="230"/>
      <c r="AC1790" s="1936"/>
      <c r="AD1790" s="230"/>
      <c r="AE1790" s="230"/>
      <c r="AF1790" s="230"/>
      <c r="AG1790" s="890"/>
      <c r="AJ1790" s="890"/>
      <c r="AN1790" s="223"/>
      <c r="AO1790" s="952"/>
      <c r="AP1790" s="1066"/>
      <c r="AQ1790" s="972"/>
      <c r="AR1790" s="1917"/>
      <c r="AS1790" s="222"/>
      <c r="AZ1790" s="889"/>
      <c r="BC1790" s="890"/>
      <c r="BD1790" s="952"/>
      <c r="BE1790" s="75"/>
      <c r="BF1790" s="572"/>
      <c r="BG1790" s="983"/>
      <c r="BH1790" s="222"/>
      <c r="BL1790" s="889"/>
      <c r="BO1790" s="223"/>
    </row>
    <row r="1791" spans="1:67" s="74" customFormat="1">
      <c r="A1791" s="15"/>
      <c r="B1791" s="15"/>
      <c r="C1791" s="15"/>
      <c r="D1791" s="15"/>
      <c r="E1791" s="6"/>
      <c r="F1791" s="6"/>
      <c r="G1791" s="6"/>
      <c r="K1791" s="223"/>
      <c r="M1791" s="889"/>
      <c r="P1791" s="890"/>
      <c r="T1791" s="889"/>
      <c r="X1791" s="15"/>
      <c r="Y1791" s="1935"/>
      <c r="Z1791" s="1086"/>
      <c r="AA1791" s="230"/>
      <c r="AB1791" s="230"/>
      <c r="AC1791" s="1936"/>
      <c r="AD1791" s="230"/>
      <c r="AE1791" s="230"/>
      <c r="AF1791" s="230"/>
      <c r="AG1791" s="890"/>
      <c r="AJ1791" s="890"/>
      <c r="AN1791" s="223"/>
      <c r="AO1791" s="952"/>
      <c r="AP1791" s="1066"/>
      <c r="AQ1791" s="972"/>
      <c r="AR1791" s="1917"/>
      <c r="AS1791" s="222"/>
      <c r="AZ1791" s="889"/>
      <c r="BC1791" s="890"/>
      <c r="BD1791" s="952"/>
      <c r="BE1791" s="75"/>
      <c r="BF1791" s="572"/>
      <c r="BG1791" s="983"/>
      <c r="BH1791" s="222"/>
      <c r="BL1791" s="889"/>
      <c r="BO1791" s="223"/>
    </row>
    <row r="1792" spans="1:67" s="74" customFormat="1">
      <c r="A1792" s="15"/>
      <c r="B1792" s="15"/>
      <c r="C1792" s="15"/>
      <c r="D1792" s="15"/>
      <c r="E1792" s="6"/>
      <c r="F1792" s="6"/>
      <c r="G1792" s="6"/>
      <c r="K1792" s="223"/>
      <c r="M1792" s="889"/>
      <c r="P1792" s="890"/>
      <c r="T1792" s="889"/>
      <c r="X1792" s="15"/>
      <c r="Y1792" s="1935"/>
      <c r="Z1792" s="1086"/>
      <c r="AA1792" s="230"/>
      <c r="AB1792" s="230"/>
      <c r="AC1792" s="1936"/>
      <c r="AD1792" s="230"/>
      <c r="AE1792" s="230"/>
      <c r="AF1792" s="230"/>
      <c r="AG1792" s="890"/>
      <c r="AJ1792" s="890"/>
      <c r="AN1792" s="223"/>
      <c r="AO1792" s="952"/>
      <c r="AP1792" s="1066"/>
      <c r="AQ1792" s="972"/>
      <c r="AR1792" s="1917"/>
      <c r="AS1792" s="222"/>
      <c r="AZ1792" s="889"/>
      <c r="BC1792" s="890"/>
      <c r="BD1792" s="952"/>
      <c r="BE1792" s="75"/>
      <c r="BF1792" s="572"/>
      <c r="BG1792" s="983"/>
      <c r="BH1792" s="222"/>
      <c r="BL1792" s="889"/>
      <c r="BO1792" s="223"/>
    </row>
    <row r="1793" spans="1:67" s="74" customFormat="1">
      <c r="A1793" s="15"/>
      <c r="B1793" s="15"/>
      <c r="C1793" s="15"/>
      <c r="D1793" s="15"/>
      <c r="E1793" s="6"/>
      <c r="F1793" s="6"/>
      <c r="G1793" s="6"/>
      <c r="K1793" s="223"/>
      <c r="M1793" s="889"/>
      <c r="P1793" s="890"/>
      <c r="T1793" s="889"/>
      <c r="X1793" s="15"/>
      <c r="Y1793" s="1935"/>
      <c r="Z1793" s="1086"/>
      <c r="AA1793" s="230"/>
      <c r="AB1793" s="230"/>
      <c r="AC1793" s="1936"/>
      <c r="AD1793" s="230"/>
      <c r="AE1793" s="230"/>
      <c r="AF1793" s="230"/>
      <c r="AG1793" s="890"/>
      <c r="AJ1793" s="890"/>
      <c r="AN1793" s="223"/>
      <c r="AO1793" s="952"/>
      <c r="AP1793" s="1066"/>
      <c r="AQ1793" s="972"/>
      <c r="AR1793" s="1917"/>
      <c r="AS1793" s="222"/>
      <c r="AZ1793" s="889"/>
      <c r="BC1793" s="890"/>
      <c r="BD1793" s="952"/>
      <c r="BE1793" s="75"/>
      <c r="BF1793" s="572"/>
      <c r="BG1793" s="983"/>
      <c r="BH1793" s="222"/>
      <c r="BL1793" s="889"/>
      <c r="BO1793" s="223"/>
    </row>
    <row r="1794" spans="1:67" s="74" customFormat="1">
      <c r="A1794" s="15"/>
      <c r="B1794" s="15"/>
      <c r="C1794" s="15"/>
      <c r="D1794" s="15"/>
      <c r="E1794" s="6"/>
      <c r="F1794" s="6"/>
      <c r="G1794" s="6"/>
      <c r="K1794" s="223"/>
      <c r="M1794" s="889"/>
      <c r="P1794" s="890"/>
      <c r="T1794" s="889"/>
      <c r="X1794" s="15"/>
      <c r="Y1794" s="1935"/>
      <c r="Z1794" s="1086"/>
      <c r="AA1794" s="230"/>
      <c r="AB1794" s="230"/>
      <c r="AC1794" s="1936"/>
      <c r="AD1794" s="230"/>
      <c r="AE1794" s="230"/>
      <c r="AF1794" s="230"/>
      <c r="AG1794" s="890"/>
      <c r="AJ1794" s="890"/>
      <c r="AN1794" s="223"/>
      <c r="AO1794" s="952"/>
      <c r="AP1794" s="1066"/>
      <c r="AQ1794" s="972"/>
      <c r="AR1794" s="1917"/>
      <c r="AS1794" s="222"/>
      <c r="AZ1794" s="889"/>
      <c r="BC1794" s="890"/>
      <c r="BD1794" s="952"/>
      <c r="BE1794" s="75"/>
      <c r="BF1794" s="572"/>
      <c r="BG1794" s="983"/>
      <c r="BH1794" s="222"/>
      <c r="BL1794" s="889"/>
      <c r="BO1794" s="223"/>
    </row>
    <row r="1795" spans="1:67" s="74" customFormat="1">
      <c r="A1795" s="15"/>
      <c r="B1795" s="15"/>
      <c r="C1795" s="15"/>
      <c r="D1795" s="15"/>
      <c r="E1795" s="6"/>
      <c r="F1795" s="6"/>
      <c r="G1795" s="6"/>
      <c r="K1795" s="223"/>
      <c r="M1795" s="889"/>
      <c r="P1795" s="890"/>
      <c r="T1795" s="889"/>
      <c r="X1795" s="15"/>
      <c r="Y1795" s="1935"/>
      <c r="Z1795" s="1086"/>
      <c r="AA1795" s="230"/>
      <c r="AB1795" s="230"/>
      <c r="AC1795" s="1936"/>
      <c r="AD1795" s="230"/>
      <c r="AE1795" s="230"/>
      <c r="AF1795" s="230"/>
      <c r="AG1795" s="890"/>
      <c r="AJ1795" s="890"/>
      <c r="AN1795" s="223"/>
      <c r="AO1795" s="952"/>
      <c r="AP1795" s="1066"/>
      <c r="AQ1795" s="972"/>
      <c r="AR1795" s="1917"/>
      <c r="AS1795" s="222"/>
      <c r="AZ1795" s="889"/>
      <c r="BC1795" s="890"/>
      <c r="BD1795" s="952"/>
      <c r="BE1795" s="75"/>
      <c r="BF1795" s="572"/>
      <c r="BG1795" s="983"/>
      <c r="BH1795" s="222"/>
      <c r="BL1795" s="889"/>
      <c r="BO1795" s="223"/>
    </row>
    <row r="1796" spans="1:67" s="74" customFormat="1">
      <c r="A1796" s="15"/>
      <c r="B1796" s="15"/>
      <c r="C1796" s="15"/>
      <c r="D1796" s="15"/>
      <c r="E1796" s="6"/>
      <c r="F1796" s="6"/>
      <c r="G1796" s="6"/>
      <c r="K1796" s="223"/>
      <c r="M1796" s="889"/>
      <c r="P1796" s="890"/>
      <c r="T1796" s="889"/>
      <c r="X1796" s="15"/>
      <c r="Y1796" s="1935"/>
      <c r="Z1796" s="1086"/>
      <c r="AA1796" s="230"/>
      <c r="AB1796" s="230"/>
      <c r="AC1796" s="1936"/>
      <c r="AD1796" s="230"/>
      <c r="AE1796" s="230"/>
      <c r="AF1796" s="230"/>
      <c r="AG1796" s="890"/>
      <c r="AJ1796" s="890"/>
      <c r="AN1796" s="223"/>
      <c r="AO1796" s="952"/>
      <c r="AP1796" s="1066"/>
      <c r="AQ1796" s="972"/>
      <c r="AR1796" s="1917"/>
      <c r="AS1796" s="222"/>
      <c r="AZ1796" s="889"/>
      <c r="BC1796" s="890"/>
      <c r="BD1796" s="952"/>
      <c r="BE1796" s="75"/>
      <c r="BF1796" s="572"/>
      <c r="BG1796" s="983"/>
      <c r="BH1796" s="222"/>
      <c r="BL1796" s="889"/>
      <c r="BO1796" s="223"/>
    </row>
    <row r="1797" spans="1:67" s="74" customFormat="1">
      <c r="A1797" s="15"/>
      <c r="B1797" s="15"/>
      <c r="C1797" s="15"/>
      <c r="D1797" s="15"/>
      <c r="E1797" s="6"/>
      <c r="F1797" s="6"/>
      <c r="G1797" s="6"/>
      <c r="K1797" s="223"/>
      <c r="M1797" s="889"/>
      <c r="P1797" s="890"/>
      <c r="T1797" s="889"/>
      <c r="X1797" s="15"/>
      <c r="Y1797" s="1935"/>
      <c r="Z1797" s="1086"/>
      <c r="AA1797" s="230"/>
      <c r="AB1797" s="230"/>
      <c r="AC1797" s="1936"/>
      <c r="AD1797" s="230"/>
      <c r="AE1797" s="230"/>
      <c r="AF1797" s="230"/>
      <c r="AG1797" s="890"/>
      <c r="AJ1797" s="890"/>
      <c r="AN1797" s="223"/>
      <c r="AO1797" s="952"/>
      <c r="AP1797" s="1066"/>
      <c r="AQ1797" s="972"/>
      <c r="AR1797" s="1917"/>
      <c r="AS1797" s="222"/>
      <c r="AZ1797" s="889"/>
      <c r="BC1797" s="890"/>
      <c r="BD1797" s="952"/>
      <c r="BE1797" s="75"/>
      <c r="BF1797" s="572"/>
      <c r="BG1797" s="983"/>
      <c r="BH1797" s="222"/>
      <c r="BL1797" s="889"/>
      <c r="BO1797" s="223"/>
    </row>
    <row r="1798" spans="1:67" s="74" customFormat="1">
      <c r="A1798" s="15"/>
      <c r="B1798" s="15"/>
      <c r="C1798" s="15"/>
      <c r="D1798" s="15"/>
      <c r="E1798" s="6"/>
      <c r="F1798" s="6"/>
      <c r="G1798" s="6"/>
      <c r="K1798" s="223"/>
      <c r="M1798" s="889"/>
      <c r="P1798" s="890"/>
      <c r="T1798" s="889"/>
      <c r="X1798" s="15"/>
      <c r="Y1798" s="1935"/>
      <c r="Z1798" s="1086"/>
      <c r="AA1798" s="230"/>
      <c r="AB1798" s="230"/>
      <c r="AC1798" s="1936"/>
      <c r="AD1798" s="230"/>
      <c r="AE1798" s="230"/>
      <c r="AF1798" s="230"/>
      <c r="AG1798" s="890"/>
      <c r="AJ1798" s="890"/>
      <c r="AN1798" s="223"/>
      <c r="AO1798" s="952"/>
      <c r="AP1798" s="1066"/>
      <c r="AQ1798" s="972"/>
      <c r="AR1798" s="1917"/>
      <c r="AS1798" s="222"/>
      <c r="AZ1798" s="889"/>
      <c r="BC1798" s="890"/>
      <c r="BD1798" s="952"/>
      <c r="BE1798" s="75"/>
      <c r="BF1798" s="572"/>
      <c r="BG1798" s="983"/>
      <c r="BH1798" s="222"/>
      <c r="BL1798" s="889"/>
      <c r="BO1798" s="223"/>
    </row>
    <row r="1799" spans="1:67" s="74" customFormat="1">
      <c r="A1799" s="15"/>
      <c r="B1799" s="15"/>
      <c r="C1799" s="15"/>
      <c r="D1799" s="15"/>
      <c r="E1799" s="6"/>
      <c r="F1799" s="6"/>
      <c r="G1799" s="6"/>
      <c r="K1799" s="223"/>
      <c r="M1799" s="889"/>
      <c r="P1799" s="890"/>
      <c r="T1799" s="889"/>
      <c r="X1799" s="15"/>
      <c r="Y1799" s="1935"/>
      <c r="Z1799" s="1086"/>
      <c r="AA1799" s="230"/>
      <c r="AB1799" s="230"/>
      <c r="AC1799" s="1936"/>
      <c r="AD1799" s="230"/>
      <c r="AE1799" s="230"/>
      <c r="AF1799" s="230"/>
      <c r="AG1799" s="890"/>
      <c r="AJ1799" s="890"/>
      <c r="AN1799" s="223"/>
      <c r="AO1799" s="952"/>
      <c r="AP1799" s="1066"/>
      <c r="AQ1799" s="972"/>
      <c r="AR1799" s="1917"/>
      <c r="AS1799" s="222"/>
      <c r="AZ1799" s="889"/>
      <c r="BC1799" s="890"/>
      <c r="BD1799" s="952"/>
      <c r="BE1799" s="75"/>
      <c r="BF1799" s="572"/>
      <c r="BG1799" s="983"/>
      <c r="BH1799" s="222"/>
      <c r="BL1799" s="889"/>
      <c r="BO1799" s="223"/>
    </row>
    <row r="1800" spans="1:67" s="74" customFormat="1">
      <c r="A1800" s="15"/>
      <c r="B1800" s="15"/>
      <c r="C1800" s="15"/>
      <c r="D1800" s="15"/>
      <c r="E1800" s="6"/>
      <c r="F1800" s="6"/>
      <c r="G1800" s="6"/>
      <c r="K1800" s="223"/>
      <c r="M1800" s="889"/>
      <c r="P1800" s="890"/>
      <c r="T1800" s="889"/>
      <c r="X1800" s="15"/>
      <c r="Y1800" s="1935"/>
      <c r="Z1800" s="1086"/>
      <c r="AA1800" s="230"/>
      <c r="AB1800" s="230"/>
      <c r="AC1800" s="1936"/>
      <c r="AD1800" s="230"/>
      <c r="AE1800" s="230"/>
      <c r="AF1800" s="230"/>
      <c r="AG1800" s="890"/>
      <c r="AJ1800" s="890"/>
      <c r="AN1800" s="223"/>
      <c r="AO1800" s="952"/>
      <c r="AP1800" s="1066"/>
      <c r="AQ1800" s="972"/>
      <c r="AR1800" s="1917"/>
      <c r="AS1800" s="222"/>
      <c r="AZ1800" s="889"/>
      <c r="BC1800" s="890"/>
      <c r="BD1800" s="952"/>
      <c r="BE1800" s="75"/>
      <c r="BF1800" s="572"/>
      <c r="BG1800" s="983"/>
      <c r="BH1800" s="222"/>
      <c r="BL1800" s="889"/>
      <c r="BO1800" s="223"/>
    </row>
    <row r="1801" spans="1:67" s="74" customFormat="1">
      <c r="A1801" s="15"/>
      <c r="B1801" s="15"/>
      <c r="C1801" s="15"/>
      <c r="D1801" s="15"/>
      <c r="E1801" s="6"/>
      <c r="F1801" s="6"/>
      <c r="G1801" s="6"/>
      <c r="K1801" s="223"/>
      <c r="M1801" s="889"/>
      <c r="P1801" s="890"/>
      <c r="T1801" s="889"/>
      <c r="X1801" s="15"/>
      <c r="Y1801" s="1935"/>
      <c r="Z1801" s="1086"/>
      <c r="AA1801" s="230"/>
      <c r="AB1801" s="230"/>
      <c r="AC1801" s="1936"/>
      <c r="AD1801" s="230"/>
      <c r="AE1801" s="230"/>
      <c r="AF1801" s="230"/>
      <c r="AG1801" s="890"/>
      <c r="AJ1801" s="890"/>
      <c r="AN1801" s="223"/>
      <c r="AO1801" s="952"/>
      <c r="AP1801" s="1066"/>
      <c r="AQ1801" s="972"/>
      <c r="AR1801" s="1917"/>
      <c r="AS1801" s="222"/>
      <c r="AZ1801" s="889"/>
      <c r="BC1801" s="890"/>
      <c r="BD1801" s="952"/>
      <c r="BE1801" s="75"/>
      <c r="BF1801" s="572"/>
      <c r="BG1801" s="983"/>
      <c r="BH1801" s="222"/>
      <c r="BL1801" s="889"/>
      <c r="BO1801" s="223"/>
    </row>
    <row r="1802" spans="1:67" s="74" customFormat="1">
      <c r="A1802" s="15"/>
      <c r="B1802" s="15"/>
      <c r="C1802" s="15"/>
      <c r="D1802" s="15"/>
      <c r="E1802" s="6"/>
      <c r="F1802" s="6"/>
      <c r="G1802" s="6"/>
      <c r="K1802" s="223"/>
      <c r="M1802" s="889"/>
      <c r="P1802" s="890"/>
      <c r="T1802" s="889"/>
      <c r="X1802" s="15"/>
      <c r="Y1802" s="1935"/>
      <c r="Z1802" s="1086"/>
      <c r="AA1802" s="230"/>
      <c r="AB1802" s="230"/>
      <c r="AC1802" s="1936"/>
      <c r="AD1802" s="230"/>
      <c r="AE1802" s="230"/>
      <c r="AF1802" s="230"/>
      <c r="AG1802" s="890"/>
      <c r="AJ1802" s="890"/>
      <c r="AN1802" s="223"/>
      <c r="AO1802" s="952"/>
      <c r="AP1802" s="1066"/>
      <c r="AQ1802" s="972"/>
      <c r="AR1802" s="1917"/>
      <c r="AS1802" s="222"/>
      <c r="AZ1802" s="889"/>
      <c r="BC1802" s="890"/>
      <c r="BD1802" s="952"/>
      <c r="BE1802" s="75"/>
      <c r="BF1802" s="572"/>
      <c r="BG1802" s="983"/>
      <c r="BH1802" s="222"/>
      <c r="BL1802" s="889"/>
      <c r="BO1802" s="223"/>
    </row>
    <row r="1803" spans="1:67" s="74" customFormat="1">
      <c r="A1803" s="15"/>
      <c r="B1803" s="15"/>
      <c r="C1803" s="15"/>
      <c r="D1803" s="15"/>
      <c r="E1803" s="6"/>
      <c r="F1803" s="6"/>
      <c r="G1803" s="6"/>
      <c r="K1803" s="223"/>
      <c r="M1803" s="889"/>
      <c r="P1803" s="890"/>
      <c r="T1803" s="889"/>
      <c r="X1803" s="15"/>
      <c r="Y1803" s="1935"/>
      <c r="Z1803" s="1086"/>
      <c r="AA1803" s="230"/>
      <c r="AB1803" s="230"/>
      <c r="AC1803" s="1936"/>
      <c r="AD1803" s="230"/>
      <c r="AE1803" s="230"/>
      <c r="AF1803" s="230"/>
      <c r="AG1803" s="890"/>
      <c r="AJ1803" s="890"/>
      <c r="AN1803" s="223"/>
      <c r="AO1803" s="952"/>
      <c r="AP1803" s="1066"/>
      <c r="AQ1803" s="972"/>
      <c r="AR1803" s="1917"/>
      <c r="AS1803" s="222"/>
      <c r="AZ1803" s="889"/>
      <c r="BC1803" s="890"/>
      <c r="BD1803" s="952"/>
      <c r="BE1803" s="75"/>
      <c r="BF1803" s="572"/>
      <c r="BG1803" s="983"/>
      <c r="BH1803" s="222"/>
      <c r="BL1803" s="889"/>
      <c r="BO1803" s="223"/>
    </row>
    <row r="1804" spans="1:67" s="74" customFormat="1">
      <c r="A1804" s="15"/>
      <c r="B1804" s="15"/>
      <c r="C1804" s="15"/>
      <c r="D1804" s="15"/>
      <c r="E1804" s="6"/>
      <c r="F1804" s="6"/>
      <c r="G1804" s="6"/>
      <c r="K1804" s="223"/>
      <c r="M1804" s="889"/>
      <c r="P1804" s="890"/>
      <c r="T1804" s="889"/>
      <c r="X1804" s="15"/>
      <c r="Y1804" s="1935"/>
      <c r="Z1804" s="1086"/>
      <c r="AA1804" s="230"/>
      <c r="AB1804" s="230"/>
      <c r="AC1804" s="1936"/>
      <c r="AD1804" s="230"/>
      <c r="AE1804" s="230"/>
      <c r="AF1804" s="230"/>
      <c r="AG1804" s="890"/>
      <c r="AJ1804" s="890"/>
      <c r="AN1804" s="223"/>
      <c r="AO1804" s="952"/>
      <c r="AP1804" s="1066"/>
      <c r="AQ1804" s="972"/>
      <c r="AR1804" s="1917"/>
      <c r="AS1804" s="222"/>
      <c r="AZ1804" s="889"/>
      <c r="BC1804" s="890"/>
      <c r="BD1804" s="952"/>
      <c r="BE1804" s="75"/>
      <c r="BF1804" s="572"/>
      <c r="BG1804" s="983"/>
      <c r="BH1804" s="222"/>
      <c r="BL1804" s="889"/>
      <c r="BO1804" s="223"/>
    </row>
    <row r="1805" spans="1:67" s="74" customFormat="1">
      <c r="A1805" s="15"/>
      <c r="B1805" s="15"/>
      <c r="C1805" s="15"/>
      <c r="D1805" s="15"/>
      <c r="E1805" s="6"/>
      <c r="F1805" s="6"/>
      <c r="G1805" s="6"/>
      <c r="K1805" s="223"/>
      <c r="M1805" s="889"/>
      <c r="P1805" s="890"/>
      <c r="T1805" s="889"/>
      <c r="X1805" s="15"/>
      <c r="Y1805" s="1935"/>
      <c r="Z1805" s="1086"/>
      <c r="AA1805" s="230"/>
      <c r="AB1805" s="230"/>
      <c r="AC1805" s="1936"/>
      <c r="AD1805" s="230"/>
      <c r="AE1805" s="230"/>
      <c r="AF1805" s="230"/>
      <c r="AG1805" s="890"/>
      <c r="AJ1805" s="890"/>
      <c r="AN1805" s="223"/>
      <c r="AO1805" s="952"/>
      <c r="AP1805" s="1066"/>
      <c r="AQ1805" s="972"/>
      <c r="AR1805" s="1917"/>
      <c r="AS1805" s="222"/>
      <c r="AZ1805" s="889"/>
      <c r="BC1805" s="890"/>
      <c r="BD1805" s="952"/>
      <c r="BE1805" s="75"/>
      <c r="BF1805" s="572"/>
      <c r="BG1805" s="983"/>
      <c r="BH1805" s="222"/>
      <c r="BL1805" s="889"/>
      <c r="BO1805" s="223"/>
    </row>
    <row r="1806" spans="1:67" s="74" customFormat="1">
      <c r="A1806" s="15"/>
      <c r="B1806" s="15"/>
      <c r="C1806" s="15"/>
      <c r="D1806" s="15"/>
      <c r="E1806" s="6"/>
      <c r="F1806" s="6"/>
      <c r="G1806" s="6"/>
      <c r="K1806" s="223"/>
      <c r="M1806" s="889"/>
      <c r="P1806" s="890"/>
      <c r="T1806" s="889"/>
      <c r="X1806" s="15"/>
      <c r="Y1806" s="1935"/>
      <c r="Z1806" s="1086"/>
      <c r="AA1806" s="230"/>
      <c r="AB1806" s="230"/>
      <c r="AC1806" s="1936"/>
      <c r="AD1806" s="230"/>
      <c r="AE1806" s="230"/>
      <c r="AF1806" s="230"/>
      <c r="AG1806" s="890"/>
      <c r="AJ1806" s="890"/>
      <c r="AN1806" s="223"/>
      <c r="AO1806" s="952"/>
      <c r="AP1806" s="1066"/>
      <c r="AQ1806" s="972"/>
      <c r="AR1806" s="1917"/>
      <c r="AS1806" s="222"/>
      <c r="AZ1806" s="889"/>
      <c r="BC1806" s="890"/>
      <c r="BD1806" s="952"/>
      <c r="BE1806" s="75"/>
      <c r="BF1806" s="572"/>
      <c r="BG1806" s="983"/>
      <c r="BH1806" s="222"/>
      <c r="BL1806" s="889"/>
      <c r="BO1806" s="223"/>
    </row>
    <row r="1807" spans="1:67" s="74" customFormat="1">
      <c r="A1807" s="15"/>
      <c r="B1807" s="15"/>
      <c r="C1807" s="15"/>
      <c r="D1807" s="15"/>
      <c r="E1807" s="6"/>
      <c r="F1807" s="6"/>
      <c r="G1807" s="6"/>
      <c r="K1807" s="223"/>
      <c r="M1807" s="889"/>
      <c r="P1807" s="890"/>
      <c r="T1807" s="889"/>
      <c r="X1807" s="15"/>
      <c r="Y1807" s="1935"/>
      <c r="Z1807" s="1086"/>
      <c r="AA1807" s="230"/>
      <c r="AB1807" s="230"/>
      <c r="AC1807" s="1936"/>
      <c r="AD1807" s="230"/>
      <c r="AE1807" s="230"/>
      <c r="AF1807" s="230"/>
      <c r="AG1807" s="890"/>
      <c r="AJ1807" s="890"/>
      <c r="AN1807" s="223"/>
      <c r="AO1807" s="952"/>
      <c r="AP1807" s="1066"/>
      <c r="AQ1807" s="972"/>
      <c r="AR1807" s="1917"/>
      <c r="AS1807" s="222"/>
      <c r="AZ1807" s="889"/>
      <c r="BC1807" s="890"/>
      <c r="BD1807" s="952"/>
      <c r="BE1807" s="75"/>
      <c r="BF1807" s="572"/>
      <c r="BG1807" s="983"/>
      <c r="BH1807" s="222"/>
      <c r="BL1807" s="889"/>
      <c r="BO1807" s="223"/>
    </row>
    <row r="1808" spans="1:67" s="74" customFormat="1">
      <c r="A1808" s="15"/>
      <c r="B1808" s="15"/>
      <c r="C1808" s="15"/>
      <c r="D1808" s="15"/>
      <c r="E1808" s="6"/>
      <c r="F1808" s="6"/>
      <c r="G1808" s="6"/>
      <c r="K1808" s="223"/>
      <c r="M1808" s="889"/>
      <c r="P1808" s="890"/>
      <c r="T1808" s="889"/>
      <c r="X1808" s="15"/>
      <c r="Y1808" s="1935"/>
      <c r="Z1808" s="1086"/>
      <c r="AA1808" s="230"/>
      <c r="AB1808" s="230"/>
      <c r="AC1808" s="1936"/>
      <c r="AD1808" s="230"/>
      <c r="AE1808" s="230"/>
      <c r="AF1808" s="230"/>
      <c r="AG1808" s="890"/>
      <c r="AJ1808" s="890"/>
      <c r="AN1808" s="223"/>
      <c r="AO1808" s="952"/>
      <c r="AP1808" s="1066"/>
      <c r="AQ1808" s="972"/>
      <c r="AR1808" s="1917"/>
      <c r="AS1808" s="222"/>
      <c r="AZ1808" s="889"/>
      <c r="BC1808" s="890"/>
      <c r="BD1808" s="952"/>
      <c r="BE1808" s="75"/>
      <c r="BF1808" s="572"/>
      <c r="BG1808" s="983"/>
      <c r="BH1808" s="222"/>
      <c r="BL1808" s="889"/>
      <c r="BO1808" s="223"/>
    </row>
    <row r="1809" spans="1:67" s="74" customFormat="1">
      <c r="A1809" s="15"/>
      <c r="B1809" s="15"/>
      <c r="C1809" s="15"/>
      <c r="D1809" s="15"/>
      <c r="E1809" s="6"/>
      <c r="F1809" s="6"/>
      <c r="G1809" s="6"/>
      <c r="K1809" s="223"/>
      <c r="M1809" s="889"/>
      <c r="P1809" s="890"/>
      <c r="T1809" s="889"/>
      <c r="X1809" s="15"/>
      <c r="Y1809" s="1935"/>
      <c r="Z1809" s="1086"/>
      <c r="AA1809" s="230"/>
      <c r="AB1809" s="230"/>
      <c r="AC1809" s="1936"/>
      <c r="AD1809" s="230"/>
      <c r="AE1809" s="230"/>
      <c r="AF1809" s="230"/>
      <c r="AG1809" s="890"/>
      <c r="AJ1809" s="890"/>
      <c r="AN1809" s="223"/>
      <c r="AO1809" s="952"/>
      <c r="AP1809" s="1066"/>
      <c r="AQ1809" s="972"/>
      <c r="AR1809" s="1917"/>
      <c r="AS1809" s="222"/>
      <c r="AZ1809" s="889"/>
      <c r="BC1809" s="890"/>
      <c r="BD1809" s="952"/>
      <c r="BE1809" s="75"/>
      <c r="BF1809" s="572"/>
      <c r="BG1809" s="983"/>
      <c r="BH1809" s="222"/>
      <c r="BL1809" s="889"/>
      <c r="BO1809" s="223"/>
    </row>
    <row r="1810" spans="1:67" s="74" customFormat="1">
      <c r="A1810" s="15"/>
      <c r="B1810" s="15"/>
      <c r="C1810" s="15"/>
      <c r="D1810" s="15"/>
      <c r="E1810" s="6"/>
      <c r="F1810" s="6"/>
      <c r="G1810" s="6"/>
      <c r="K1810" s="223"/>
      <c r="M1810" s="889"/>
      <c r="P1810" s="890"/>
      <c r="T1810" s="889"/>
      <c r="X1810" s="15"/>
      <c r="Y1810" s="1935"/>
      <c r="Z1810" s="1086"/>
      <c r="AA1810" s="230"/>
      <c r="AB1810" s="230"/>
      <c r="AC1810" s="1936"/>
      <c r="AD1810" s="230"/>
      <c r="AE1810" s="230"/>
      <c r="AF1810" s="230"/>
      <c r="AG1810" s="890"/>
      <c r="AJ1810" s="890"/>
      <c r="AN1810" s="223"/>
      <c r="AO1810" s="952"/>
      <c r="AP1810" s="1066"/>
      <c r="AQ1810" s="972"/>
      <c r="AR1810" s="1917"/>
      <c r="AS1810" s="222"/>
      <c r="AZ1810" s="889"/>
      <c r="BC1810" s="890"/>
      <c r="BD1810" s="952"/>
      <c r="BE1810" s="75"/>
      <c r="BF1810" s="572"/>
      <c r="BG1810" s="983"/>
      <c r="BH1810" s="222"/>
      <c r="BL1810" s="889"/>
      <c r="BO1810" s="223"/>
    </row>
    <row r="1811" spans="1:67" s="74" customFormat="1">
      <c r="A1811" s="15"/>
      <c r="B1811" s="15"/>
      <c r="C1811" s="15"/>
      <c r="D1811" s="15"/>
      <c r="E1811" s="6"/>
      <c r="F1811" s="6"/>
      <c r="G1811" s="6"/>
      <c r="K1811" s="223"/>
      <c r="M1811" s="889"/>
      <c r="P1811" s="890"/>
      <c r="T1811" s="889"/>
      <c r="X1811" s="15"/>
      <c r="Y1811" s="1935"/>
      <c r="Z1811" s="1086"/>
      <c r="AA1811" s="230"/>
      <c r="AB1811" s="230"/>
      <c r="AC1811" s="1936"/>
      <c r="AD1811" s="230"/>
      <c r="AE1811" s="230"/>
      <c r="AF1811" s="230"/>
      <c r="AG1811" s="890"/>
      <c r="AJ1811" s="890"/>
      <c r="AN1811" s="223"/>
      <c r="AO1811" s="952"/>
      <c r="AP1811" s="1066"/>
      <c r="AQ1811" s="972"/>
      <c r="AR1811" s="1917"/>
      <c r="AS1811" s="222"/>
      <c r="AZ1811" s="889"/>
      <c r="BC1811" s="890"/>
      <c r="BD1811" s="952"/>
      <c r="BE1811" s="75"/>
      <c r="BF1811" s="572"/>
      <c r="BG1811" s="983"/>
      <c r="BH1811" s="222"/>
      <c r="BL1811" s="889"/>
      <c r="BO1811" s="223"/>
    </row>
    <row r="1812" spans="1:67" s="74" customFormat="1">
      <c r="A1812" s="15"/>
      <c r="B1812" s="15"/>
      <c r="C1812" s="15"/>
      <c r="D1812" s="15"/>
      <c r="E1812" s="6"/>
      <c r="F1812" s="6"/>
      <c r="G1812" s="6"/>
      <c r="K1812" s="223"/>
      <c r="M1812" s="889"/>
      <c r="P1812" s="890"/>
      <c r="T1812" s="889"/>
      <c r="X1812" s="15"/>
      <c r="Y1812" s="1935"/>
      <c r="Z1812" s="1086"/>
      <c r="AA1812" s="230"/>
      <c r="AB1812" s="230"/>
      <c r="AC1812" s="1936"/>
      <c r="AD1812" s="230"/>
      <c r="AE1812" s="230"/>
      <c r="AF1812" s="230"/>
      <c r="AG1812" s="890"/>
      <c r="AJ1812" s="890"/>
      <c r="AN1812" s="223"/>
      <c r="AO1812" s="952"/>
      <c r="AP1812" s="1066"/>
      <c r="AQ1812" s="972"/>
      <c r="AR1812" s="1917"/>
      <c r="AS1812" s="222"/>
      <c r="AZ1812" s="889"/>
      <c r="BC1812" s="890"/>
      <c r="BD1812" s="952"/>
      <c r="BE1812" s="75"/>
      <c r="BF1812" s="572"/>
      <c r="BG1812" s="983"/>
      <c r="BH1812" s="222"/>
      <c r="BL1812" s="889"/>
      <c r="BO1812" s="223"/>
    </row>
    <row r="1813" spans="1:67" s="74" customFormat="1">
      <c r="A1813" s="15"/>
      <c r="B1813" s="15"/>
      <c r="C1813" s="15"/>
      <c r="D1813" s="15"/>
      <c r="E1813" s="6"/>
      <c r="F1813" s="6"/>
      <c r="G1813" s="6"/>
      <c r="K1813" s="223"/>
      <c r="M1813" s="889"/>
      <c r="P1813" s="890"/>
      <c r="T1813" s="889"/>
      <c r="X1813" s="15"/>
      <c r="Y1813" s="1935"/>
      <c r="Z1813" s="1086"/>
      <c r="AA1813" s="230"/>
      <c r="AB1813" s="230"/>
      <c r="AC1813" s="1936"/>
      <c r="AD1813" s="230"/>
      <c r="AE1813" s="230"/>
      <c r="AF1813" s="230"/>
      <c r="AG1813" s="890"/>
      <c r="AJ1813" s="890"/>
      <c r="AN1813" s="223"/>
      <c r="AO1813" s="952"/>
      <c r="AP1813" s="1066"/>
      <c r="AQ1813" s="972"/>
      <c r="AR1813" s="1917"/>
      <c r="AS1813" s="222"/>
      <c r="AZ1813" s="889"/>
      <c r="BC1813" s="890"/>
      <c r="BD1813" s="952"/>
      <c r="BE1813" s="75"/>
      <c r="BF1813" s="572"/>
      <c r="BG1813" s="983"/>
      <c r="BH1813" s="222"/>
      <c r="BL1813" s="889"/>
      <c r="BO1813" s="223"/>
    </row>
    <row r="1814" spans="1:67" s="74" customFormat="1">
      <c r="A1814" s="15"/>
      <c r="B1814" s="15"/>
      <c r="C1814" s="15"/>
      <c r="D1814" s="15"/>
      <c r="E1814" s="6"/>
      <c r="F1814" s="6"/>
      <c r="G1814" s="6"/>
      <c r="K1814" s="223"/>
      <c r="M1814" s="889"/>
      <c r="P1814" s="890"/>
      <c r="T1814" s="889"/>
      <c r="X1814" s="15"/>
      <c r="Y1814" s="1935"/>
      <c r="Z1814" s="1086"/>
      <c r="AA1814" s="230"/>
      <c r="AB1814" s="230"/>
      <c r="AC1814" s="1936"/>
      <c r="AD1814" s="230"/>
      <c r="AE1814" s="230"/>
      <c r="AF1814" s="230"/>
      <c r="AG1814" s="890"/>
      <c r="AJ1814" s="890"/>
      <c r="AN1814" s="223"/>
      <c r="AO1814" s="952"/>
      <c r="AP1814" s="1066"/>
      <c r="AQ1814" s="972"/>
      <c r="AR1814" s="1917"/>
      <c r="AS1814" s="222"/>
      <c r="AZ1814" s="889"/>
      <c r="BC1814" s="890"/>
      <c r="BD1814" s="952"/>
      <c r="BE1814" s="75"/>
      <c r="BF1814" s="572"/>
      <c r="BG1814" s="983"/>
      <c r="BH1814" s="222"/>
      <c r="BL1814" s="889"/>
      <c r="BO1814" s="223"/>
    </row>
    <row r="1815" spans="1:67" s="74" customFormat="1">
      <c r="A1815" s="15"/>
      <c r="B1815" s="15"/>
      <c r="C1815" s="15"/>
      <c r="D1815" s="15"/>
      <c r="E1815" s="6"/>
      <c r="F1815" s="6"/>
      <c r="G1815" s="6"/>
      <c r="K1815" s="223"/>
      <c r="M1815" s="889"/>
      <c r="P1815" s="890"/>
      <c r="T1815" s="889"/>
      <c r="X1815" s="15"/>
      <c r="Y1815" s="1935"/>
      <c r="Z1815" s="1086"/>
      <c r="AA1815" s="230"/>
      <c r="AB1815" s="230"/>
      <c r="AC1815" s="1936"/>
      <c r="AD1815" s="230"/>
      <c r="AE1815" s="230"/>
      <c r="AF1815" s="230"/>
      <c r="AG1815" s="890"/>
      <c r="AJ1815" s="890"/>
      <c r="AN1815" s="223"/>
      <c r="AO1815" s="952"/>
      <c r="AP1815" s="1066"/>
      <c r="AQ1815" s="972"/>
      <c r="AR1815" s="1917"/>
      <c r="AS1815" s="222"/>
      <c r="AZ1815" s="889"/>
      <c r="BC1815" s="890"/>
      <c r="BD1815" s="952"/>
      <c r="BE1815" s="75"/>
      <c r="BF1815" s="572"/>
      <c r="BG1815" s="983"/>
      <c r="BH1815" s="222"/>
      <c r="BL1815" s="889"/>
      <c r="BO1815" s="223"/>
    </row>
    <row r="1816" spans="1:67" s="74" customFormat="1">
      <c r="A1816" s="15"/>
      <c r="B1816" s="15"/>
      <c r="C1816" s="15"/>
      <c r="D1816" s="15"/>
      <c r="E1816" s="6"/>
      <c r="F1816" s="6"/>
      <c r="G1816" s="6"/>
      <c r="K1816" s="223"/>
      <c r="M1816" s="889"/>
      <c r="P1816" s="890"/>
      <c r="T1816" s="889"/>
      <c r="X1816" s="15"/>
      <c r="Y1816" s="1935"/>
      <c r="Z1816" s="1086"/>
      <c r="AA1816" s="230"/>
      <c r="AB1816" s="230"/>
      <c r="AC1816" s="1936"/>
      <c r="AD1816" s="230"/>
      <c r="AE1816" s="230"/>
      <c r="AF1816" s="230"/>
      <c r="AG1816" s="890"/>
      <c r="AJ1816" s="890"/>
      <c r="AN1816" s="223"/>
      <c r="AO1816" s="952"/>
      <c r="AP1816" s="1066"/>
      <c r="AQ1816" s="972"/>
      <c r="AR1816" s="1917"/>
      <c r="AS1816" s="222"/>
      <c r="AZ1816" s="889"/>
      <c r="BC1816" s="890"/>
      <c r="BD1816" s="952"/>
      <c r="BE1816" s="75"/>
      <c r="BF1816" s="572"/>
      <c r="BG1816" s="983"/>
      <c r="BH1816" s="222"/>
      <c r="BL1816" s="889"/>
      <c r="BO1816" s="223"/>
    </row>
    <row r="1817" spans="1:67" s="74" customFormat="1">
      <c r="A1817" s="15"/>
      <c r="B1817" s="15"/>
      <c r="C1817" s="15"/>
      <c r="D1817" s="15"/>
      <c r="E1817" s="6"/>
      <c r="F1817" s="6"/>
      <c r="G1817" s="6"/>
      <c r="K1817" s="223"/>
      <c r="M1817" s="889"/>
      <c r="P1817" s="890"/>
      <c r="T1817" s="889"/>
      <c r="X1817" s="15"/>
      <c r="Y1817" s="1935"/>
      <c r="Z1817" s="1086"/>
      <c r="AA1817" s="230"/>
      <c r="AB1817" s="230"/>
      <c r="AC1817" s="1936"/>
      <c r="AD1817" s="230"/>
      <c r="AE1817" s="230"/>
      <c r="AF1817" s="230"/>
      <c r="AG1817" s="890"/>
      <c r="AJ1817" s="890"/>
      <c r="AN1817" s="223"/>
      <c r="AO1817" s="952"/>
      <c r="AP1817" s="1066"/>
      <c r="AQ1817" s="972"/>
      <c r="AR1817" s="1917"/>
      <c r="AS1817" s="222"/>
      <c r="AZ1817" s="889"/>
      <c r="BC1817" s="890"/>
      <c r="BD1817" s="952"/>
      <c r="BE1817" s="75"/>
      <c r="BF1817" s="572"/>
      <c r="BG1817" s="983"/>
      <c r="BH1817" s="222"/>
      <c r="BL1817" s="889"/>
      <c r="BO1817" s="223"/>
    </row>
    <row r="1818" spans="1:67" s="74" customFormat="1">
      <c r="A1818" s="15"/>
      <c r="B1818" s="15"/>
      <c r="C1818" s="15"/>
      <c r="D1818" s="15"/>
      <c r="E1818" s="6"/>
      <c r="F1818" s="6"/>
      <c r="G1818" s="6"/>
      <c r="K1818" s="223"/>
      <c r="M1818" s="889"/>
      <c r="P1818" s="890"/>
      <c r="T1818" s="889"/>
      <c r="X1818" s="15"/>
      <c r="Y1818" s="1935"/>
      <c r="Z1818" s="1086"/>
      <c r="AA1818" s="230"/>
      <c r="AB1818" s="230"/>
      <c r="AC1818" s="1936"/>
      <c r="AD1818" s="230"/>
      <c r="AE1818" s="230"/>
      <c r="AF1818" s="230"/>
      <c r="AG1818" s="890"/>
      <c r="AJ1818" s="890"/>
      <c r="AN1818" s="223"/>
      <c r="AO1818" s="952"/>
      <c r="AP1818" s="1066"/>
      <c r="AQ1818" s="972"/>
      <c r="AR1818" s="1917"/>
      <c r="AS1818" s="222"/>
      <c r="AZ1818" s="889"/>
      <c r="BC1818" s="890"/>
      <c r="BD1818" s="952"/>
      <c r="BE1818" s="75"/>
      <c r="BF1818" s="572"/>
      <c r="BG1818" s="983"/>
      <c r="BH1818" s="222"/>
      <c r="BL1818" s="889"/>
      <c r="BO1818" s="223"/>
    </row>
    <row r="1819" spans="1:67" s="74" customFormat="1">
      <c r="A1819" s="15"/>
      <c r="B1819" s="15"/>
      <c r="C1819" s="15"/>
      <c r="D1819" s="15"/>
      <c r="E1819" s="6"/>
      <c r="F1819" s="6"/>
      <c r="G1819" s="6"/>
      <c r="K1819" s="223"/>
      <c r="M1819" s="889"/>
      <c r="P1819" s="890"/>
      <c r="T1819" s="889"/>
      <c r="X1819" s="15"/>
      <c r="Y1819" s="1935"/>
      <c r="Z1819" s="1086"/>
      <c r="AA1819" s="230"/>
      <c r="AB1819" s="230"/>
      <c r="AC1819" s="1936"/>
      <c r="AD1819" s="230"/>
      <c r="AE1819" s="230"/>
      <c r="AF1819" s="230"/>
      <c r="AG1819" s="890"/>
      <c r="AJ1819" s="890"/>
      <c r="AN1819" s="223"/>
      <c r="AO1819" s="952"/>
      <c r="AP1819" s="1066"/>
      <c r="AQ1819" s="972"/>
      <c r="AR1819" s="1917"/>
      <c r="AS1819" s="222"/>
      <c r="AZ1819" s="889"/>
      <c r="BC1819" s="890"/>
      <c r="BD1819" s="952"/>
      <c r="BE1819" s="75"/>
      <c r="BF1819" s="572"/>
      <c r="BG1819" s="983"/>
      <c r="BH1819" s="222"/>
      <c r="BL1819" s="889"/>
      <c r="BO1819" s="223"/>
    </row>
    <row r="1820" spans="1:67" s="74" customFormat="1">
      <c r="A1820" s="15"/>
      <c r="B1820" s="15"/>
      <c r="C1820" s="15"/>
      <c r="D1820" s="15"/>
      <c r="E1820" s="6"/>
      <c r="F1820" s="6"/>
      <c r="G1820" s="6"/>
      <c r="K1820" s="223"/>
      <c r="M1820" s="889"/>
      <c r="P1820" s="890"/>
      <c r="T1820" s="889"/>
      <c r="X1820" s="15"/>
      <c r="Y1820" s="1935"/>
      <c r="Z1820" s="1086"/>
      <c r="AA1820" s="230"/>
      <c r="AB1820" s="230"/>
      <c r="AC1820" s="1936"/>
      <c r="AD1820" s="230"/>
      <c r="AE1820" s="230"/>
      <c r="AF1820" s="230"/>
      <c r="AG1820" s="890"/>
      <c r="AJ1820" s="890"/>
      <c r="AN1820" s="223"/>
      <c r="AO1820" s="952"/>
      <c r="AP1820" s="1066"/>
      <c r="AQ1820" s="972"/>
      <c r="AR1820" s="1917"/>
      <c r="AS1820" s="222"/>
      <c r="AZ1820" s="889"/>
      <c r="BC1820" s="890"/>
      <c r="BD1820" s="952"/>
      <c r="BE1820" s="75"/>
      <c r="BF1820" s="572"/>
      <c r="BG1820" s="983"/>
      <c r="BH1820" s="222"/>
      <c r="BL1820" s="889"/>
      <c r="BO1820" s="223"/>
    </row>
    <row r="1821" spans="1:67" s="74" customFormat="1">
      <c r="A1821" s="15"/>
      <c r="B1821" s="15"/>
      <c r="C1821" s="15"/>
      <c r="D1821" s="15"/>
      <c r="E1821" s="6"/>
      <c r="F1821" s="6"/>
      <c r="G1821" s="6"/>
      <c r="K1821" s="223"/>
      <c r="M1821" s="889"/>
      <c r="P1821" s="890"/>
      <c r="T1821" s="889"/>
      <c r="X1821" s="15"/>
      <c r="Y1821" s="1935"/>
      <c r="Z1821" s="1086"/>
      <c r="AA1821" s="230"/>
      <c r="AB1821" s="230"/>
      <c r="AC1821" s="1936"/>
      <c r="AD1821" s="230"/>
      <c r="AE1821" s="230"/>
      <c r="AF1821" s="230"/>
      <c r="AG1821" s="890"/>
      <c r="AJ1821" s="890"/>
      <c r="AN1821" s="223"/>
      <c r="AO1821" s="952"/>
      <c r="AP1821" s="1066"/>
      <c r="AQ1821" s="972"/>
      <c r="AR1821" s="1917"/>
      <c r="AS1821" s="222"/>
      <c r="AZ1821" s="889"/>
      <c r="BC1821" s="890"/>
      <c r="BD1821" s="952"/>
      <c r="BE1821" s="75"/>
      <c r="BF1821" s="572"/>
      <c r="BG1821" s="983"/>
      <c r="BH1821" s="222"/>
      <c r="BL1821" s="889"/>
      <c r="BO1821" s="223"/>
    </row>
    <row r="1822" spans="1:67" s="74" customFormat="1">
      <c r="A1822" s="15"/>
      <c r="B1822" s="15"/>
      <c r="C1822" s="15"/>
      <c r="D1822" s="15"/>
      <c r="E1822" s="6"/>
      <c r="F1822" s="6"/>
      <c r="G1822" s="6"/>
      <c r="K1822" s="223"/>
      <c r="M1822" s="889"/>
      <c r="P1822" s="890"/>
      <c r="T1822" s="889"/>
      <c r="X1822" s="15"/>
      <c r="Y1822" s="1935"/>
      <c r="Z1822" s="1086"/>
      <c r="AA1822" s="230"/>
      <c r="AB1822" s="230"/>
      <c r="AC1822" s="1936"/>
      <c r="AD1822" s="230"/>
      <c r="AE1822" s="230"/>
      <c r="AF1822" s="230"/>
      <c r="AG1822" s="890"/>
      <c r="AJ1822" s="890"/>
      <c r="AN1822" s="223"/>
      <c r="AO1822" s="952"/>
      <c r="AP1822" s="1066"/>
      <c r="AQ1822" s="972"/>
      <c r="AR1822" s="1917"/>
      <c r="AS1822" s="222"/>
      <c r="AZ1822" s="889"/>
      <c r="BC1822" s="890"/>
      <c r="BD1822" s="952"/>
      <c r="BE1822" s="75"/>
      <c r="BF1822" s="572"/>
      <c r="BG1822" s="983"/>
      <c r="BH1822" s="222"/>
      <c r="BL1822" s="889"/>
      <c r="BO1822" s="223"/>
    </row>
    <row r="1823" spans="1:67" s="74" customFormat="1">
      <c r="A1823" s="15"/>
      <c r="B1823" s="15"/>
      <c r="C1823" s="15"/>
      <c r="D1823" s="15"/>
      <c r="E1823" s="6"/>
      <c r="F1823" s="6"/>
      <c r="G1823" s="6"/>
      <c r="K1823" s="223"/>
      <c r="M1823" s="889"/>
      <c r="P1823" s="890"/>
      <c r="T1823" s="889"/>
      <c r="X1823" s="15"/>
      <c r="Y1823" s="1935"/>
      <c r="Z1823" s="1086"/>
      <c r="AA1823" s="230"/>
      <c r="AB1823" s="230"/>
      <c r="AC1823" s="1936"/>
      <c r="AD1823" s="230"/>
      <c r="AE1823" s="230"/>
      <c r="AF1823" s="230"/>
      <c r="AG1823" s="890"/>
      <c r="AJ1823" s="890"/>
      <c r="AN1823" s="223"/>
      <c r="AO1823" s="952"/>
      <c r="AP1823" s="1066"/>
      <c r="AQ1823" s="972"/>
      <c r="AR1823" s="1917"/>
      <c r="AS1823" s="222"/>
      <c r="AZ1823" s="889"/>
      <c r="BC1823" s="890"/>
      <c r="BD1823" s="952"/>
      <c r="BE1823" s="75"/>
      <c r="BF1823" s="572"/>
      <c r="BG1823" s="983"/>
      <c r="BH1823" s="222"/>
      <c r="BL1823" s="889"/>
      <c r="BO1823" s="223"/>
    </row>
    <row r="1824" spans="1:67" s="74" customFormat="1">
      <c r="A1824" s="15"/>
      <c r="B1824" s="15"/>
      <c r="C1824" s="15"/>
      <c r="D1824" s="15"/>
      <c r="E1824" s="6"/>
      <c r="F1824" s="6"/>
      <c r="G1824" s="6"/>
      <c r="K1824" s="223"/>
      <c r="M1824" s="889"/>
      <c r="P1824" s="890"/>
      <c r="T1824" s="889"/>
      <c r="X1824" s="15"/>
      <c r="Y1824" s="1935"/>
      <c r="Z1824" s="1086"/>
      <c r="AA1824" s="230"/>
      <c r="AB1824" s="230"/>
      <c r="AC1824" s="1936"/>
      <c r="AD1824" s="230"/>
      <c r="AE1824" s="230"/>
      <c r="AF1824" s="230"/>
      <c r="AG1824" s="890"/>
      <c r="AJ1824" s="890"/>
      <c r="AN1824" s="223"/>
      <c r="AO1824" s="952"/>
      <c r="AP1824" s="1066"/>
      <c r="AQ1824" s="972"/>
      <c r="AR1824" s="1917"/>
      <c r="AS1824" s="222"/>
      <c r="AZ1824" s="889"/>
      <c r="BC1824" s="890"/>
      <c r="BD1824" s="952"/>
      <c r="BE1824" s="75"/>
      <c r="BF1824" s="572"/>
      <c r="BG1824" s="983"/>
      <c r="BH1824" s="222"/>
      <c r="BL1824" s="889"/>
      <c r="BO1824" s="223"/>
    </row>
    <row r="1825" spans="1:67" s="74" customFormat="1">
      <c r="A1825" s="15"/>
      <c r="B1825" s="15"/>
      <c r="C1825" s="15"/>
      <c r="D1825" s="15"/>
      <c r="E1825" s="6"/>
      <c r="F1825" s="6"/>
      <c r="G1825" s="6"/>
      <c r="K1825" s="223"/>
      <c r="M1825" s="889"/>
      <c r="P1825" s="890"/>
      <c r="T1825" s="889"/>
      <c r="X1825" s="15"/>
      <c r="Y1825" s="1935"/>
      <c r="Z1825" s="1086"/>
      <c r="AA1825" s="230"/>
      <c r="AB1825" s="230"/>
      <c r="AC1825" s="1936"/>
      <c r="AD1825" s="230"/>
      <c r="AE1825" s="230"/>
      <c r="AF1825" s="230"/>
      <c r="AG1825" s="890"/>
      <c r="AJ1825" s="890"/>
      <c r="AN1825" s="223"/>
      <c r="AO1825" s="952"/>
      <c r="AP1825" s="1066"/>
      <c r="AQ1825" s="972"/>
      <c r="AR1825" s="1917"/>
      <c r="AS1825" s="222"/>
      <c r="AZ1825" s="889"/>
      <c r="BC1825" s="890"/>
      <c r="BD1825" s="952"/>
      <c r="BE1825" s="75"/>
      <c r="BF1825" s="572"/>
      <c r="BG1825" s="983"/>
      <c r="BH1825" s="222"/>
      <c r="BL1825" s="889"/>
      <c r="BO1825" s="223"/>
    </row>
    <row r="1826" spans="1:67" s="74" customFormat="1">
      <c r="A1826" s="15"/>
      <c r="B1826" s="15"/>
      <c r="C1826" s="15"/>
      <c r="D1826" s="15"/>
      <c r="E1826" s="6"/>
      <c r="F1826" s="6"/>
      <c r="G1826" s="6"/>
      <c r="K1826" s="223"/>
      <c r="M1826" s="889"/>
      <c r="P1826" s="890"/>
      <c r="T1826" s="889"/>
      <c r="X1826" s="15"/>
      <c r="Y1826" s="1935"/>
      <c r="Z1826" s="1086"/>
      <c r="AA1826" s="230"/>
      <c r="AB1826" s="230"/>
      <c r="AC1826" s="1936"/>
      <c r="AD1826" s="230"/>
      <c r="AE1826" s="230"/>
      <c r="AF1826" s="230"/>
      <c r="AG1826" s="890"/>
      <c r="AJ1826" s="890"/>
      <c r="AN1826" s="223"/>
      <c r="AO1826" s="952"/>
      <c r="AP1826" s="1066"/>
      <c r="AQ1826" s="972"/>
      <c r="AR1826" s="1917"/>
      <c r="AS1826" s="222"/>
      <c r="AZ1826" s="889"/>
      <c r="BC1826" s="890"/>
      <c r="BD1826" s="952"/>
      <c r="BE1826" s="75"/>
      <c r="BF1826" s="572"/>
      <c r="BG1826" s="983"/>
      <c r="BH1826" s="222"/>
      <c r="BL1826" s="889"/>
      <c r="BO1826" s="223"/>
    </row>
    <row r="1827" spans="1:67" s="74" customFormat="1">
      <c r="A1827" s="15"/>
      <c r="B1827" s="15"/>
      <c r="C1827" s="15"/>
      <c r="D1827" s="15"/>
      <c r="E1827" s="6"/>
      <c r="F1827" s="6"/>
      <c r="G1827" s="6"/>
      <c r="K1827" s="223"/>
      <c r="M1827" s="889"/>
      <c r="P1827" s="890"/>
      <c r="T1827" s="889"/>
      <c r="X1827" s="15"/>
      <c r="Y1827" s="1935"/>
      <c r="Z1827" s="1086"/>
      <c r="AA1827" s="230"/>
      <c r="AB1827" s="230"/>
      <c r="AC1827" s="1936"/>
      <c r="AD1827" s="230"/>
      <c r="AE1827" s="230"/>
      <c r="AF1827" s="230"/>
      <c r="AG1827" s="890"/>
      <c r="AJ1827" s="890"/>
      <c r="AN1827" s="223"/>
      <c r="AO1827" s="952"/>
      <c r="AP1827" s="1066"/>
      <c r="AQ1827" s="972"/>
      <c r="AR1827" s="1917"/>
      <c r="AS1827" s="222"/>
      <c r="AZ1827" s="889"/>
      <c r="BC1827" s="890"/>
      <c r="BD1827" s="952"/>
      <c r="BE1827" s="75"/>
      <c r="BF1827" s="572"/>
      <c r="BG1827" s="983"/>
      <c r="BH1827" s="222"/>
      <c r="BL1827" s="889"/>
      <c r="BO1827" s="223"/>
    </row>
    <row r="1828" spans="1:67" s="74" customFormat="1">
      <c r="A1828" s="15"/>
      <c r="B1828" s="15"/>
      <c r="C1828" s="15"/>
      <c r="D1828" s="15"/>
      <c r="E1828" s="6"/>
      <c r="F1828" s="6"/>
      <c r="G1828" s="6"/>
      <c r="K1828" s="223"/>
      <c r="M1828" s="889"/>
      <c r="P1828" s="890"/>
      <c r="T1828" s="889"/>
      <c r="X1828" s="15"/>
      <c r="Y1828" s="1935"/>
      <c r="Z1828" s="1086"/>
      <c r="AA1828" s="230"/>
      <c r="AB1828" s="230"/>
      <c r="AC1828" s="1936"/>
      <c r="AD1828" s="230"/>
      <c r="AE1828" s="230"/>
      <c r="AF1828" s="230"/>
      <c r="AG1828" s="890"/>
      <c r="AJ1828" s="890"/>
      <c r="AN1828" s="223"/>
      <c r="AO1828" s="952"/>
      <c r="AP1828" s="1066"/>
      <c r="AQ1828" s="972"/>
      <c r="AR1828" s="1917"/>
      <c r="AS1828" s="222"/>
      <c r="AZ1828" s="889"/>
      <c r="BC1828" s="890"/>
      <c r="BD1828" s="952"/>
      <c r="BE1828" s="75"/>
      <c r="BF1828" s="572"/>
      <c r="BG1828" s="983"/>
      <c r="BH1828" s="222"/>
      <c r="BL1828" s="889"/>
      <c r="BO1828" s="223"/>
    </row>
    <row r="1829" spans="1:67" s="74" customFormat="1">
      <c r="A1829" s="15"/>
      <c r="B1829" s="15"/>
      <c r="C1829" s="15"/>
      <c r="D1829" s="15"/>
      <c r="E1829" s="6"/>
      <c r="F1829" s="6"/>
      <c r="G1829" s="6"/>
      <c r="K1829" s="223"/>
      <c r="M1829" s="889"/>
      <c r="P1829" s="890"/>
      <c r="T1829" s="889"/>
      <c r="X1829" s="15"/>
      <c r="Y1829" s="1935"/>
      <c r="Z1829" s="1086"/>
      <c r="AA1829" s="230"/>
      <c r="AB1829" s="230"/>
      <c r="AC1829" s="1936"/>
      <c r="AD1829" s="230"/>
      <c r="AE1829" s="230"/>
      <c r="AF1829" s="230"/>
      <c r="AG1829" s="890"/>
      <c r="AJ1829" s="890"/>
      <c r="AN1829" s="223"/>
      <c r="AO1829" s="952"/>
      <c r="AP1829" s="1066"/>
      <c r="AQ1829" s="972"/>
      <c r="AR1829" s="1917"/>
      <c r="AS1829" s="222"/>
      <c r="AZ1829" s="889"/>
      <c r="BC1829" s="890"/>
      <c r="BD1829" s="952"/>
      <c r="BE1829" s="75"/>
      <c r="BF1829" s="572"/>
      <c r="BG1829" s="983"/>
      <c r="BH1829" s="222"/>
      <c r="BL1829" s="889"/>
      <c r="BO1829" s="223"/>
    </row>
    <row r="1830" spans="1:67" s="74" customFormat="1">
      <c r="A1830" s="15"/>
      <c r="B1830" s="15"/>
      <c r="C1830" s="15"/>
      <c r="D1830" s="15"/>
      <c r="E1830" s="6"/>
      <c r="F1830" s="6"/>
      <c r="G1830" s="6"/>
      <c r="K1830" s="223"/>
      <c r="M1830" s="889"/>
      <c r="P1830" s="890"/>
      <c r="T1830" s="889"/>
      <c r="X1830" s="15"/>
      <c r="Y1830" s="1935"/>
      <c r="Z1830" s="1086"/>
      <c r="AA1830" s="230"/>
      <c r="AB1830" s="230"/>
      <c r="AC1830" s="1936"/>
      <c r="AD1830" s="230"/>
      <c r="AE1830" s="230"/>
      <c r="AF1830" s="230"/>
      <c r="AG1830" s="890"/>
      <c r="AJ1830" s="890"/>
      <c r="AN1830" s="223"/>
      <c r="AO1830" s="952"/>
      <c r="AP1830" s="1066"/>
      <c r="AQ1830" s="972"/>
      <c r="AR1830" s="1917"/>
      <c r="AS1830" s="222"/>
      <c r="AZ1830" s="889"/>
      <c r="BC1830" s="890"/>
      <c r="BD1830" s="952"/>
      <c r="BE1830" s="75"/>
      <c r="BF1830" s="572"/>
      <c r="BG1830" s="983"/>
      <c r="BH1830" s="222"/>
      <c r="BL1830" s="889"/>
      <c r="BO1830" s="223"/>
    </row>
    <row r="1831" spans="1:67" s="74" customFormat="1">
      <c r="A1831" s="15"/>
      <c r="B1831" s="15"/>
      <c r="C1831" s="15"/>
      <c r="D1831" s="15"/>
      <c r="E1831" s="6"/>
      <c r="F1831" s="6"/>
      <c r="G1831" s="6"/>
      <c r="K1831" s="223"/>
      <c r="M1831" s="889"/>
      <c r="P1831" s="890"/>
      <c r="T1831" s="889"/>
      <c r="X1831" s="15"/>
      <c r="Y1831" s="1935"/>
      <c r="Z1831" s="1086"/>
      <c r="AA1831" s="230"/>
      <c r="AB1831" s="230"/>
      <c r="AC1831" s="1936"/>
      <c r="AD1831" s="230"/>
      <c r="AE1831" s="230"/>
      <c r="AF1831" s="230"/>
      <c r="AG1831" s="890"/>
      <c r="AJ1831" s="890"/>
      <c r="AN1831" s="223"/>
      <c r="AO1831" s="952"/>
      <c r="AP1831" s="1066"/>
      <c r="AQ1831" s="972"/>
      <c r="AR1831" s="1917"/>
      <c r="AS1831" s="222"/>
      <c r="AZ1831" s="889"/>
      <c r="BC1831" s="890"/>
      <c r="BD1831" s="952"/>
      <c r="BE1831" s="75"/>
      <c r="BF1831" s="572"/>
      <c r="BG1831" s="983"/>
      <c r="BH1831" s="222"/>
      <c r="BL1831" s="889"/>
      <c r="BO1831" s="223"/>
    </row>
    <row r="1832" spans="1:67" s="74" customFormat="1">
      <c r="A1832" s="15"/>
      <c r="B1832" s="15"/>
      <c r="C1832" s="15"/>
      <c r="D1832" s="15"/>
      <c r="E1832" s="6"/>
      <c r="F1832" s="6"/>
      <c r="G1832" s="6"/>
      <c r="K1832" s="223"/>
      <c r="M1832" s="889"/>
      <c r="P1832" s="890"/>
      <c r="T1832" s="889"/>
      <c r="X1832" s="15"/>
      <c r="Y1832" s="1935"/>
      <c r="Z1832" s="1086"/>
      <c r="AA1832" s="230"/>
      <c r="AB1832" s="230"/>
      <c r="AC1832" s="1936"/>
      <c r="AD1832" s="230"/>
      <c r="AE1832" s="230"/>
      <c r="AF1832" s="230"/>
      <c r="AG1832" s="890"/>
      <c r="AJ1832" s="890"/>
      <c r="AN1832" s="223"/>
      <c r="AO1832" s="952"/>
      <c r="AP1832" s="1066"/>
      <c r="AQ1832" s="972"/>
      <c r="AR1832" s="1917"/>
      <c r="AS1832" s="222"/>
      <c r="AZ1832" s="889"/>
      <c r="BC1832" s="890"/>
      <c r="BD1832" s="952"/>
      <c r="BE1832" s="75"/>
      <c r="BF1832" s="572"/>
      <c r="BG1832" s="983"/>
      <c r="BH1832" s="222"/>
      <c r="BL1832" s="889"/>
      <c r="BO1832" s="223"/>
    </row>
    <row r="1833" spans="1:67" s="74" customFormat="1">
      <c r="A1833" s="15"/>
      <c r="B1833" s="15"/>
      <c r="C1833" s="15"/>
      <c r="D1833" s="15"/>
      <c r="E1833" s="6"/>
      <c r="F1833" s="6"/>
      <c r="G1833" s="6"/>
      <c r="K1833" s="223"/>
      <c r="M1833" s="889"/>
      <c r="P1833" s="890"/>
      <c r="T1833" s="889"/>
      <c r="X1833" s="15"/>
      <c r="Y1833" s="1935"/>
      <c r="Z1833" s="1086"/>
      <c r="AA1833" s="230"/>
      <c r="AB1833" s="230"/>
      <c r="AC1833" s="1936"/>
      <c r="AD1833" s="230"/>
      <c r="AE1833" s="230"/>
      <c r="AF1833" s="230"/>
      <c r="AG1833" s="890"/>
      <c r="AJ1833" s="890"/>
      <c r="AN1833" s="223"/>
      <c r="AO1833" s="952"/>
      <c r="AP1833" s="1066"/>
      <c r="AQ1833" s="972"/>
      <c r="AR1833" s="1917"/>
      <c r="AS1833" s="222"/>
      <c r="AZ1833" s="889"/>
      <c r="BC1833" s="890"/>
      <c r="BD1833" s="952"/>
      <c r="BE1833" s="75"/>
      <c r="BF1833" s="572"/>
      <c r="BG1833" s="983"/>
      <c r="BH1833" s="222"/>
      <c r="BL1833" s="889"/>
      <c r="BO1833" s="223"/>
    </row>
    <row r="1834" spans="1:67" s="74" customFormat="1">
      <c r="A1834" s="15"/>
      <c r="B1834" s="15"/>
      <c r="C1834" s="15"/>
      <c r="D1834" s="15"/>
      <c r="E1834" s="6"/>
      <c r="F1834" s="6"/>
      <c r="G1834" s="6"/>
      <c r="K1834" s="223"/>
      <c r="M1834" s="889"/>
      <c r="P1834" s="890"/>
      <c r="T1834" s="889"/>
      <c r="X1834" s="15"/>
      <c r="Y1834" s="1935"/>
      <c r="Z1834" s="1086"/>
      <c r="AA1834" s="230"/>
      <c r="AB1834" s="230"/>
      <c r="AC1834" s="1936"/>
      <c r="AD1834" s="230"/>
      <c r="AE1834" s="230"/>
      <c r="AF1834" s="230"/>
      <c r="AG1834" s="890"/>
      <c r="AJ1834" s="890"/>
      <c r="AN1834" s="223"/>
      <c r="AO1834" s="952"/>
      <c r="AP1834" s="1066"/>
      <c r="AQ1834" s="972"/>
      <c r="AR1834" s="1917"/>
      <c r="AS1834" s="222"/>
      <c r="AZ1834" s="889"/>
      <c r="BC1834" s="890"/>
      <c r="BD1834" s="952"/>
      <c r="BE1834" s="75"/>
      <c r="BF1834" s="572"/>
      <c r="BG1834" s="983"/>
      <c r="BH1834" s="222"/>
      <c r="BL1834" s="889"/>
      <c r="BO1834" s="223"/>
    </row>
    <row r="1835" spans="1:67" s="74" customFormat="1">
      <c r="A1835" s="15"/>
      <c r="B1835" s="15"/>
      <c r="C1835" s="15"/>
      <c r="D1835" s="15"/>
      <c r="E1835" s="6"/>
      <c r="F1835" s="6"/>
      <c r="G1835" s="6"/>
      <c r="K1835" s="223"/>
      <c r="M1835" s="889"/>
      <c r="P1835" s="890"/>
      <c r="T1835" s="889"/>
      <c r="X1835" s="15"/>
      <c r="Y1835" s="1935"/>
      <c r="Z1835" s="1086"/>
      <c r="AA1835" s="230"/>
      <c r="AB1835" s="230"/>
      <c r="AC1835" s="1936"/>
      <c r="AD1835" s="230"/>
      <c r="AE1835" s="230"/>
      <c r="AF1835" s="230"/>
      <c r="AG1835" s="890"/>
      <c r="AJ1835" s="890"/>
      <c r="AN1835" s="223"/>
      <c r="AO1835" s="952"/>
      <c r="AP1835" s="1066"/>
      <c r="AQ1835" s="972"/>
      <c r="AR1835" s="1917"/>
      <c r="AS1835" s="222"/>
      <c r="AZ1835" s="889"/>
      <c r="BC1835" s="890"/>
      <c r="BD1835" s="952"/>
      <c r="BE1835" s="75"/>
      <c r="BF1835" s="572"/>
      <c r="BG1835" s="983"/>
      <c r="BH1835" s="222"/>
      <c r="BL1835" s="889"/>
      <c r="BO1835" s="223"/>
    </row>
    <row r="1836" spans="1:67" s="74" customFormat="1">
      <c r="A1836" s="15"/>
      <c r="B1836" s="15"/>
      <c r="C1836" s="15"/>
      <c r="D1836" s="15"/>
      <c r="E1836" s="6"/>
      <c r="F1836" s="6"/>
      <c r="G1836" s="6"/>
      <c r="K1836" s="223"/>
      <c r="M1836" s="889"/>
      <c r="P1836" s="890"/>
      <c r="T1836" s="889"/>
      <c r="X1836" s="15"/>
      <c r="Y1836" s="1935"/>
      <c r="Z1836" s="1086"/>
      <c r="AA1836" s="230"/>
      <c r="AB1836" s="230"/>
      <c r="AC1836" s="1936"/>
      <c r="AD1836" s="230"/>
      <c r="AE1836" s="230"/>
      <c r="AF1836" s="230"/>
      <c r="AG1836" s="890"/>
      <c r="AJ1836" s="890"/>
      <c r="AN1836" s="223"/>
      <c r="AO1836" s="952"/>
      <c r="AP1836" s="1066"/>
      <c r="AQ1836" s="972"/>
      <c r="AR1836" s="1917"/>
      <c r="AS1836" s="222"/>
      <c r="AZ1836" s="889"/>
      <c r="BC1836" s="890"/>
      <c r="BD1836" s="952"/>
      <c r="BE1836" s="75"/>
      <c r="BF1836" s="572"/>
      <c r="BG1836" s="983"/>
      <c r="BH1836" s="222"/>
      <c r="BL1836" s="889"/>
      <c r="BO1836" s="223"/>
    </row>
    <row r="1837" spans="1:67" s="74" customFormat="1">
      <c r="A1837" s="15"/>
      <c r="B1837" s="15"/>
      <c r="C1837" s="15"/>
      <c r="D1837" s="15"/>
      <c r="E1837" s="6"/>
      <c r="F1837" s="6"/>
      <c r="G1837" s="6"/>
      <c r="K1837" s="223"/>
      <c r="M1837" s="889"/>
      <c r="P1837" s="890"/>
      <c r="T1837" s="889"/>
      <c r="X1837" s="15"/>
      <c r="Y1837" s="1935"/>
      <c r="Z1837" s="1086"/>
      <c r="AA1837" s="230"/>
      <c r="AB1837" s="230"/>
      <c r="AC1837" s="1936"/>
      <c r="AD1837" s="230"/>
      <c r="AE1837" s="230"/>
      <c r="AF1837" s="230"/>
      <c r="AG1837" s="890"/>
      <c r="AJ1837" s="890"/>
      <c r="AN1837" s="223"/>
      <c r="AO1837" s="952"/>
      <c r="AP1837" s="1066"/>
      <c r="AQ1837" s="972"/>
      <c r="AR1837" s="1917"/>
      <c r="AS1837" s="222"/>
      <c r="AZ1837" s="889"/>
      <c r="BC1837" s="890"/>
      <c r="BD1837" s="952"/>
      <c r="BE1837" s="75"/>
      <c r="BF1837" s="572"/>
      <c r="BG1837" s="983"/>
      <c r="BH1837" s="222"/>
      <c r="BL1837" s="889"/>
      <c r="BO1837" s="223"/>
    </row>
    <row r="1838" spans="1:67" s="74" customFormat="1">
      <c r="A1838" s="15"/>
      <c r="B1838" s="15"/>
      <c r="C1838" s="15"/>
      <c r="D1838" s="15"/>
      <c r="E1838" s="6"/>
      <c r="F1838" s="6"/>
      <c r="G1838" s="6"/>
      <c r="K1838" s="223"/>
      <c r="M1838" s="889"/>
      <c r="P1838" s="890"/>
      <c r="T1838" s="889"/>
      <c r="X1838" s="15"/>
      <c r="Y1838" s="1935"/>
      <c r="Z1838" s="1086"/>
      <c r="AA1838" s="230"/>
      <c r="AB1838" s="230"/>
      <c r="AC1838" s="1936"/>
      <c r="AD1838" s="230"/>
      <c r="AE1838" s="230"/>
      <c r="AF1838" s="230"/>
      <c r="AG1838" s="890"/>
      <c r="AJ1838" s="890"/>
      <c r="AN1838" s="223"/>
      <c r="AO1838" s="952"/>
      <c r="AP1838" s="1066"/>
      <c r="AQ1838" s="972"/>
      <c r="AR1838" s="1917"/>
      <c r="AS1838" s="222"/>
      <c r="AZ1838" s="889"/>
      <c r="BC1838" s="890"/>
      <c r="BD1838" s="952"/>
      <c r="BE1838" s="75"/>
      <c r="BF1838" s="572"/>
      <c r="BG1838" s="983"/>
      <c r="BH1838" s="222"/>
      <c r="BL1838" s="889"/>
      <c r="BO1838" s="223"/>
    </row>
    <row r="1839" spans="1:67" s="74" customFormat="1">
      <c r="A1839" s="15"/>
      <c r="B1839" s="15"/>
      <c r="C1839" s="15"/>
      <c r="D1839" s="15"/>
      <c r="E1839" s="6"/>
      <c r="F1839" s="6"/>
      <c r="G1839" s="6"/>
      <c r="K1839" s="223"/>
      <c r="M1839" s="889"/>
      <c r="P1839" s="890"/>
      <c r="T1839" s="889"/>
      <c r="X1839" s="15"/>
      <c r="Y1839" s="1935"/>
      <c r="Z1839" s="1086"/>
      <c r="AA1839" s="230"/>
      <c r="AB1839" s="230"/>
      <c r="AC1839" s="1936"/>
      <c r="AD1839" s="230"/>
      <c r="AE1839" s="230"/>
      <c r="AF1839" s="230"/>
      <c r="AG1839" s="890"/>
      <c r="AJ1839" s="890"/>
      <c r="AN1839" s="223"/>
      <c r="AO1839" s="952"/>
      <c r="AP1839" s="1066"/>
      <c r="AQ1839" s="972"/>
      <c r="AR1839" s="1917"/>
      <c r="AS1839" s="222"/>
      <c r="AZ1839" s="889"/>
      <c r="BC1839" s="890"/>
      <c r="BD1839" s="952"/>
      <c r="BE1839" s="75"/>
      <c r="BF1839" s="572"/>
      <c r="BG1839" s="983"/>
      <c r="BH1839" s="222"/>
      <c r="BL1839" s="889"/>
      <c r="BO1839" s="223"/>
    </row>
    <row r="1840" spans="1:67" s="74" customFormat="1">
      <c r="A1840" s="15"/>
      <c r="B1840" s="15"/>
      <c r="C1840" s="15"/>
      <c r="D1840" s="15"/>
      <c r="E1840" s="6"/>
      <c r="F1840" s="6"/>
      <c r="G1840" s="6"/>
      <c r="K1840" s="223"/>
      <c r="M1840" s="889"/>
      <c r="P1840" s="890"/>
      <c r="T1840" s="889"/>
      <c r="X1840" s="15"/>
      <c r="Y1840" s="1935"/>
      <c r="Z1840" s="1086"/>
      <c r="AA1840" s="230"/>
      <c r="AB1840" s="230"/>
      <c r="AC1840" s="1936"/>
      <c r="AD1840" s="230"/>
      <c r="AE1840" s="230"/>
      <c r="AF1840" s="230"/>
      <c r="AG1840" s="890"/>
      <c r="AJ1840" s="890"/>
      <c r="AN1840" s="223"/>
      <c r="AO1840" s="952"/>
      <c r="AP1840" s="1066"/>
      <c r="AQ1840" s="972"/>
      <c r="AR1840" s="1917"/>
      <c r="AS1840" s="222"/>
      <c r="AZ1840" s="889"/>
      <c r="BC1840" s="890"/>
      <c r="BD1840" s="952"/>
      <c r="BE1840" s="75"/>
      <c r="BF1840" s="572"/>
      <c r="BG1840" s="983"/>
      <c r="BH1840" s="222"/>
      <c r="BL1840" s="889"/>
      <c r="BO1840" s="223"/>
    </row>
    <row r="1841" spans="1:67" s="74" customFormat="1">
      <c r="A1841" s="15"/>
      <c r="B1841" s="15"/>
      <c r="C1841" s="15"/>
      <c r="D1841" s="15"/>
      <c r="E1841" s="6"/>
      <c r="F1841" s="6"/>
      <c r="G1841" s="6"/>
      <c r="K1841" s="223"/>
      <c r="M1841" s="889"/>
      <c r="P1841" s="890"/>
      <c r="T1841" s="889"/>
      <c r="X1841" s="15"/>
      <c r="Y1841" s="1935"/>
      <c r="Z1841" s="1086"/>
      <c r="AA1841" s="230"/>
      <c r="AB1841" s="230"/>
      <c r="AC1841" s="1936"/>
      <c r="AD1841" s="230"/>
      <c r="AE1841" s="230"/>
      <c r="AF1841" s="230"/>
      <c r="AG1841" s="890"/>
      <c r="AJ1841" s="890"/>
      <c r="AN1841" s="223"/>
      <c r="AO1841" s="952"/>
      <c r="AP1841" s="1066"/>
      <c r="AQ1841" s="972"/>
      <c r="AR1841" s="1917"/>
      <c r="AS1841" s="222"/>
      <c r="AZ1841" s="889"/>
      <c r="BC1841" s="890"/>
      <c r="BD1841" s="952"/>
      <c r="BE1841" s="75"/>
      <c r="BF1841" s="572"/>
      <c r="BG1841" s="983"/>
      <c r="BH1841" s="222"/>
      <c r="BL1841" s="889"/>
      <c r="BO1841" s="223"/>
    </row>
    <row r="1842" spans="1:67" s="74" customFormat="1">
      <c r="A1842" s="15"/>
      <c r="B1842" s="15"/>
      <c r="C1842" s="15"/>
      <c r="D1842" s="15"/>
      <c r="E1842" s="6"/>
      <c r="F1842" s="6"/>
      <c r="G1842" s="6"/>
      <c r="K1842" s="223"/>
      <c r="M1842" s="889"/>
      <c r="P1842" s="890"/>
      <c r="T1842" s="889"/>
      <c r="X1842" s="15"/>
      <c r="Y1842" s="1935"/>
      <c r="Z1842" s="1086"/>
      <c r="AA1842" s="230"/>
      <c r="AB1842" s="230"/>
      <c r="AC1842" s="1936"/>
      <c r="AD1842" s="230"/>
      <c r="AE1842" s="230"/>
      <c r="AF1842" s="230"/>
      <c r="AG1842" s="890"/>
      <c r="AJ1842" s="890"/>
      <c r="AN1842" s="223"/>
      <c r="AO1842" s="952"/>
      <c r="AP1842" s="1066"/>
      <c r="AQ1842" s="972"/>
      <c r="AR1842" s="1917"/>
      <c r="AS1842" s="222"/>
      <c r="AZ1842" s="889"/>
      <c r="BC1842" s="890"/>
      <c r="BD1842" s="952"/>
      <c r="BE1842" s="75"/>
      <c r="BF1842" s="572"/>
      <c r="BG1842" s="983"/>
      <c r="BH1842" s="222"/>
      <c r="BL1842" s="889"/>
      <c r="BO1842" s="223"/>
    </row>
    <row r="1843" spans="1:67" s="74" customFormat="1">
      <c r="A1843" s="15"/>
      <c r="B1843" s="15"/>
      <c r="C1843" s="15"/>
      <c r="D1843" s="15"/>
      <c r="E1843" s="6"/>
      <c r="F1843" s="6"/>
      <c r="G1843" s="6"/>
      <c r="K1843" s="223"/>
      <c r="M1843" s="889"/>
      <c r="P1843" s="890"/>
      <c r="T1843" s="889"/>
      <c r="X1843" s="15"/>
      <c r="Y1843" s="1935"/>
      <c r="Z1843" s="1086"/>
      <c r="AA1843" s="230"/>
      <c r="AB1843" s="230"/>
      <c r="AC1843" s="1936"/>
      <c r="AD1843" s="230"/>
      <c r="AE1843" s="230"/>
      <c r="AF1843" s="230"/>
      <c r="AG1843" s="890"/>
      <c r="AJ1843" s="890"/>
      <c r="AN1843" s="223"/>
      <c r="AO1843" s="952"/>
      <c r="AP1843" s="1066"/>
      <c r="AQ1843" s="972"/>
      <c r="AR1843" s="1917"/>
      <c r="AS1843" s="222"/>
      <c r="AZ1843" s="889"/>
      <c r="BC1843" s="890"/>
      <c r="BD1843" s="952"/>
      <c r="BE1843" s="75"/>
      <c r="BF1843" s="572"/>
      <c r="BG1843" s="983"/>
      <c r="BH1843" s="222"/>
      <c r="BL1843" s="889"/>
      <c r="BO1843" s="223"/>
    </row>
    <row r="1844" spans="1:67" s="74" customFormat="1">
      <c r="A1844" s="15"/>
      <c r="B1844" s="15"/>
      <c r="C1844" s="15"/>
      <c r="D1844" s="15"/>
      <c r="E1844" s="6"/>
      <c r="F1844" s="6"/>
      <c r="G1844" s="6"/>
      <c r="K1844" s="223"/>
      <c r="M1844" s="889"/>
      <c r="P1844" s="890"/>
      <c r="T1844" s="889"/>
      <c r="X1844" s="15"/>
      <c r="Y1844" s="1935"/>
      <c r="Z1844" s="1086"/>
      <c r="AA1844" s="230"/>
      <c r="AB1844" s="230"/>
      <c r="AC1844" s="1936"/>
      <c r="AD1844" s="230"/>
      <c r="AE1844" s="230"/>
      <c r="AF1844" s="230"/>
      <c r="AG1844" s="890"/>
      <c r="AJ1844" s="890"/>
      <c r="AN1844" s="223"/>
      <c r="AO1844" s="952"/>
      <c r="AP1844" s="1066"/>
      <c r="AQ1844" s="972"/>
      <c r="AR1844" s="1917"/>
      <c r="AS1844" s="222"/>
      <c r="AZ1844" s="889"/>
      <c r="BC1844" s="890"/>
      <c r="BD1844" s="952"/>
      <c r="BE1844" s="75"/>
      <c r="BF1844" s="572"/>
      <c r="BG1844" s="983"/>
      <c r="BH1844" s="222"/>
      <c r="BL1844" s="889"/>
      <c r="BO1844" s="223"/>
    </row>
    <row r="1845" spans="1:67" s="74" customFormat="1">
      <c r="A1845" s="15"/>
      <c r="B1845" s="15"/>
      <c r="C1845" s="15"/>
      <c r="D1845" s="15"/>
      <c r="E1845" s="6"/>
      <c r="F1845" s="6"/>
      <c r="G1845" s="6"/>
      <c r="K1845" s="223"/>
      <c r="M1845" s="889"/>
      <c r="P1845" s="890"/>
      <c r="T1845" s="889"/>
      <c r="X1845" s="15"/>
      <c r="Y1845" s="1935"/>
      <c r="Z1845" s="1086"/>
      <c r="AA1845" s="230"/>
      <c r="AB1845" s="230"/>
      <c r="AC1845" s="1936"/>
      <c r="AD1845" s="230"/>
      <c r="AE1845" s="230"/>
      <c r="AF1845" s="230"/>
      <c r="AG1845" s="890"/>
      <c r="AJ1845" s="890"/>
      <c r="AN1845" s="223"/>
      <c r="AO1845" s="952"/>
      <c r="AP1845" s="1066"/>
      <c r="AQ1845" s="972"/>
      <c r="AR1845" s="1917"/>
      <c r="AS1845" s="222"/>
      <c r="AZ1845" s="889"/>
      <c r="BC1845" s="890"/>
      <c r="BD1845" s="952"/>
      <c r="BE1845" s="75"/>
      <c r="BF1845" s="572"/>
      <c r="BG1845" s="983"/>
      <c r="BH1845" s="222"/>
      <c r="BL1845" s="889"/>
      <c r="BO1845" s="223"/>
    </row>
    <row r="1846" spans="1:67" s="74" customFormat="1">
      <c r="A1846" s="15"/>
      <c r="B1846" s="15"/>
      <c r="C1846" s="15"/>
      <c r="D1846" s="15"/>
      <c r="E1846" s="6"/>
      <c r="F1846" s="6"/>
      <c r="G1846" s="6"/>
      <c r="K1846" s="223"/>
      <c r="M1846" s="889"/>
      <c r="P1846" s="890"/>
      <c r="T1846" s="889"/>
      <c r="X1846" s="15"/>
      <c r="Y1846" s="1935"/>
      <c r="Z1846" s="1086"/>
      <c r="AA1846" s="230"/>
      <c r="AB1846" s="230"/>
      <c r="AC1846" s="1936"/>
      <c r="AD1846" s="230"/>
      <c r="AE1846" s="230"/>
      <c r="AF1846" s="230"/>
      <c r="AG1846" s="890"/>
      <c r="AJ1846" s="890"/>
      <c r="AN1846" s="223"/>
      <c r="AO1846" s="952"/>
      <c r="AP1846" s="1066"/>
      <c r="AQ1846" s="972"/>
      <c r="AR1846" s="1917"/>
      <c r="AS1846" s="222"/>
      <c r="AZ1846" s="889"/>
      <c r="BC1846" s="890"/>
      <c r="BD1846" s="952"/>
      <c r="BE1846" s="75"/>
      <c r="BF1846" s="572"/>
      <c r="BG1846" s="983"/>
      <c r="BH1846" s="222"/>
      <c r="BL1846" s="889"/>
      <c r="BO1846" s="223"/>
    </row>
    <row r="1847" spans="1:67" s="74" customFormat="1">
      <c r="A1847" s="15"/>
      <c r="B1847" s="15"/>
      <c r="C1847" s="15"/>
      <c r="D1847" s="15"/>
      <c r="E1847" s="6"/>
      <c r="F1847" s="6"/>
      <c r="G1847" s="6"/>
      <c r="K1847" s="223"/>
      <c r="M1847" s="889"/>
      <c r="P1847" s="890"/>
      <c r="T1847" s="889"/>
      <c r="X1847" s="15"/>
      <c r="Y1847" s="1935"/>
      <c r="Z1847" s="1086"/>
      <c r="AA1847" s="230"/>
      <c r="AB1847" s="230"/>
      <c r="AC1847" s="1936"/>
      <c r="AD1847" s="230"/>
      <c r="AE1847" s="230"/>
      <c r="AF1847" s="230"/>
      <c r="AG1847" s="890"/>
      <c r="AJ1847" s="890"/>
      <c r="AN1847" s="223"/>
      <c r="AO1847" s="952"/>
      <c r="AP1847" s="1066"/>
      <c r="AQ1847" s="972"/>
      <c r="AR1847" s="1917"/>
      <c r="AS1847" s="222"/>
      <c r="AZ1847" s="889"/>
      <c r="BC1847" s="890"/>
      <c r="BD1847" s="952"/>
      <c r="BE1847" s="75"/>
      <c r="BF1847" s="572"/>
      <c r="BG1847" s="983"/>
      <c r="BH1847" s="222"/>
      <c r="BL1847" s="889"/>
      <c r="BO1847" s="223"/>
    </row>
    <row r="1848" spans="1:67" s="74" customFormat="1">
      <c r="A1848" s="15"/>
      <c r="B1848" s="15"/>
      <c r="C1848" s="15"/>
      <c r="D1848" s="15"/>
      <c r="E1848" s="6"/>
      <c r="F1848" s="6"/>
      <c r="G1848" s="6"/>
      <c r="K1848" s="223"/>
      <c r="M1848" s="889"/>
      <c r="P1848" s="890"/>
      <c r="T1848" s="889"/>
      <c r="X1848" s="15"/>
      <c r="Y1848" s="1935"/>
      <c r="Z1848" s="1086"/>
      <c r="AA1848" s="230"/>
      <c r="AB1848" s="230"/>
      <c r="AC1848" s="1936"/>
      <c r="AD1848" s="230"/>
      <c r="AE1848" s="230"/>
      <c r="AF1848" s="230"/>
      <c r="AG1848" s="890"/>
      <c r="AJ1848" s="890"/>
      <c r="AN1848" s="223"/>
      <c r="AO1848" s="952"/>
      <c r="AP1848" s="1066"/>
      <c r="AQ1848" s="972"/>
      <c r="AR1848" s="1917"/>
      <c r="AS1848" s="222"/>
      <c r="AZ1848" s="889"/>
      <c r="BC1848" s="890"/>
      <c r="BD1848" s="952"/>
      <c r="BE1848" s="75"/>
      <c r="BF1848" s="572"/>
      <c r="BG1848" s="983"/>
      <c r="BH1848" s="222"/>
      <c r="BL1848" s="889"/>
      <c r="BO1848" s="223"/>
    </row>
    <row r="1849" spans="1:67" s="74" customFormat="1">
      <c r="A1849" s="15"/>
      <c r="B1849" s="15"/>
      <c r="C1849" s="15"/>
      <c r="D1849" s="15"/>
      <c r="E1849" s="6"/>
      <c r="F1849" s="6"/>
      <c r="G1849" s="6"/>
      <c r="K1849" s="223"/>
      <c r="M1849" s="889"/>
      <c r="P1849" s="890"/>
      <c r="T1849" s="889"/>
      <c r="X1849" s="15"/>
      <c r="Y1849" s="1935"/>
      <c r="Z1849" s="1086"/>
      <c r="AA1849" s="230"/>
      <c r="AB1849" s="230"/>
      <c r="AC1849" s="1936"/>
      <c r="AD1849" s="230"/>
      <c r="AE1849" s="230"/>
      <c r="AF1849" s="230"/>
      <c r="AG1849" s="890"/>
      <c r="AJ1849" s="890"/>
      <c r="AN1849" s="223"/>
      <c r="AO1849" s="952"/>
      <c r="AP1849" s="1066"/>
      <c r="AQ1849" s="972"/>
      <c r="AR1849" s="1917"/>
      <c r="AS1849" s="222"/>
      <c r="AZ1849" s="889"/>
      <c r="BC1849" s="890"/>
      <c r="BD1849" s="952"/>
      <c r="BE1849" s="75"/>
      <c r="BF1849" s="572"/>
      <c r="BG1849" s="983"/>
      <c r="BH1849" s="222"/>
      <c r="BL1849" s="889"/>
      <c r="BO1849" s="223"/>
    </row>
    <row r="1850" spans="1:67" s="74" customFormat="1">
      <c r="A1850" s="15"/>
      <c r="B1850" s="15"/>
      <c r="C1850" s="15"/>
      <c r="D1850" s="15"/>
      <c r="E1850" s="6"/>
      <c r="F1850" s="6"/>
      <c r="G1850" s="6"/>
      <c r="K1850" s="223"/>
      <c r="M1850" s="889"/>
      <c r="P1850" s="890"/>
      <c r="T1850" s="889"/>
      <c r="X1850" s="15"/>
      <c r="Y1850" s="1935"/>
      <c r="Z1850" s="1086"/>
      <c r="AA1850" s="230"/>
      <c r="AB1850" s="230"/>
      <c r="AC1850" s="1936"/>
      <c r="AD1850" s="230"/>
      <c r="AE1850" s="230"/>
      <c r="AF1850" s="230"/>
      <c r="AG1850" s="890"/>
      <c r="AJ1850" s="890"/>
      <c r="AN1850" s="223"/>
      <c r="AO1850" s="952"/>
      <c r="AP1850" s="1066"/>
      <c r="AQ1850" s="972"/>
      <c r="AR1850" s="1917"/>
      <c r="AS1850" s="222"/>
      <c r="AZ1850" s="889"/>
      <c r="BC1850" s="890"/>
      <c r="BD1850" s="952"/>
      <c r="BE1850" s="75"/>
      <c r="BF1850" s="572"/>
      <c r="BG1850" s="983"/>
      <c r="BH1850" s="222"/>
      <c r="BL1850" s="889"/>
      <c r="BO1850" s="223"/>
    </row>
    <row r="1851" spans="1:67" s="74" customFormat="1">
      <c r="A1851" s="15"/>
      <c r="B1851" s="15"/>
      <c r="C1851" s="15"/>
      <c r="D1851" s="15"/>
      <c r="E1851" s="6"/>
      <c r="F1851" s="6"/>
      <c r="G1851" s="6"/>
      <c r="K1851" s="223"/>
      <c r="M1851" s="889"/>
      <c r="P1851" s="890"/>
      <c r="T1851" s="889"/>
      <c r="X1851" s="15"/>
      <c r="Y1851" s="1935"/>
      <c r="Z1851" s="1086"/>
      <c r="AA1851" s="230"/>
      <c r="AB1851" s="230"/>
      <c r="AC1851" s="1936"/>
      <c r="AD1851" s="230"/>
      <c r="AE1851" s="230"/>
      <c r="AF1851" s="230"/>
      <c r="AG1851" s="890"/>
      <c r="AJ1851" s="890"/>
      <c r="AN1851" s="223"/>
      <c r="AO1851" s="952"/>
      <c r="AP1851" s="1066"/>
      <c r="AQ1851" s="972"/>
      <c r="AR1851" s="1917"/>
      <c r="AS1851" s="222"/>
      <c r="AZ1851" s="889"/>
      <c r="BC1851" s="890"/>
      <c r="BD1851" s="952"/>
      <c r="BE1851" s="75"/>
      <c r="BF1851" s="572"/>
      <c r="BG1851" s="983"/>
      <c r="BH1851" s="222"/>
      <c r="BL1851" s="889"/>
      <c r="BO1851" s="223"/>
    </row>
    <row r="1852" spans="1:67" s="74" customFormat="1">
      <c r="A1852" s="15"/>
      <c r="B1852" s="15"/>
      <c r="C1852" s="15"/>
      <c r="D1852" s="15"/>
      <c r="E1852" s="6"/>
      <c r="F1852" s="6"/>
      <c r="G1852" s="6"/>
      <c r="K1852" s="223"/>
      <c r="M1852" s="889"/>
      <c r="P1852" s="890"/>
      <c r="T1852" s="889"/>
      <c r="X1852" s="15"/>
      <c r="Y1852" s="1935"/>
      <c r="Z1852" s="1086"/>
      <c r="AA1852" s="230"/>
      <c r="AB1852" s="230"/>
      <c r="AC1852" s="1936"/>
      <c r="AD1852" s="230"/>
      <c r="AE1852" s="230"/>
      <c r="AF1852" s="230"/>
      <c r="AG1852" s="890"/>
      <c r="AJ1852" s="890"/>
      <c r="AN1852" s="223"/>
      <c r="AO1852" s="952"/>
      <c r="AP1852" s="1066"/>
      <c r="AQ1852" s="972"/>
      <c r="AR1852" s="1917"/>
      <c r="AS1852" s="222"/>
      <c r="AZ1852" s="889"/>
      <c r="BC1852" s="890"/>
      <c r="BD1852" s="952"/>
      <c r="BE1852" s="75"/>
      <c r="BF1852" s="572"/>
      <c r="BG1852" s="983"/>
      <c r="BH1852" s="222"/>
      <c r="BL1852" s="889"/>
      <c r="BO1852" s="223"/>
    </row>
    <row r="1853" spans="1:67" s="74" customFormat="1">
      <c r="A1853" s="15"/>
      <c r="B1853" s="15"/>
      <c r="C1853" s="15"/>
      <c r="D1853" s="15"/>
      <c r="E1853" s="6"/>
      <c r="F1853" s="6"/>
      <c r="G1853" s="6"/>
      <c r="K1853" s="223"/>
      <c r="M1853" s="889"/>
      <c r="P1853" s="890"/>
      <c r="T1853" s="889"/>
      <c r="X1853" s="15"/>
      <c r="Y1853" s="1935"/>
      <c r="Z1853" s="1086"/>
      <c r="AA1853" s="230"/>
      <c r="AB1853" s="230"/>
      <c r="AC1853" s="1936"/>
      <c r="AD1853" s="230"/>
      <c r="AE1853" s="230"/>
      <c r="AF1853" s="230"/>
      <c r="AG1853" s="890"/>
      <c r="AJ1853" s="890"/>
      <c r="AN1853" s="223"/>
      <c r="AO1853" s="952"/>
      <c r="AP1853" s="1066"/>
      <c r="AQ1853" s="972"/>
      <c r="AR1853" s="1917"/>
      <c r="AS1853" s="222"/>
      <c r="AZ1853" s="889"/>
      <c r="BC1853" s="890"/>
      <c r="BD1853" s="952"/>
      <c r="BE1853" s="75"/>
      <c r="BF1853" s="572"/>
      <c r="BG1853" s="983"/>
      <c r="BH1853" s="222"/>
      <c r="BL1853" s="889"/>
      <c r="BO1853" s="223"/>
    </row>
    <row r="1854" spans="1:67" s="74" customFormat="1">
      <c r="A1854" s="15"/>
      <c r="B1854" s="15"/>
      <c r="C1854" s="15"/>
      <c r="D1854" s="15"/>
      <c r="E1854" s="6"/>
      <c r="F1854" s="6"/>
      <c r="G1854" s="6"/>
      <c r="K1854" s="223"/>
      <c r="M1854" s="889"/>
      <c r="P1854" s="890"/>
      <c r="T1854" s="889"/>
      <c r="X1854" s="15"/>
      <c r="Y1854" s="1935"/>
      <c r="Z1854" s="1086"/>
      <c r="AA1854" s="230"/>
      <c r="AB1854" s="230"/>
      <c r="AC1854" s="1936"/>
      <c r="AD1854" s="230"/>
      <c r="AE1854" s="230"/>
      <c r="AF1854" s="230"/>
      <c r="AG1854" s="890"/>
      <c r="AJ1854" s="890"/>
      <c r="AN1854" s="223"/>
      <c r="AO1854" s="952"/>
      <c r="AP1854" s="1066"/>
      <c r="AQ1854" s="972"/>
      <c r="AR1854" s="1917"/>
      <c r="AS1854" s="222"/>
      <c r="AZ1854" s="889"/>
      <c r="BC1854" s="890"/>
      <c r="BD1854" s="952"/>
      <c r="BE1854" s="75"/>
      <c r="BF1854" s="572"/>
      <c r="BG1854" s="983"/>
      <c r="BH1854" s="222"/>
      <c r="BL1854" s="889"/>
      <c r="BO1854" s="223"/>
    </row>
    <row r="1855" spans="1:67" s="74" customFormat="1">
      <c r="A1855" s="15"/>
      <c r="B1855" s="15"/>
      <c r="C1855" s="15"/>
      <c r="D1855" s="15"/>
      <c r="E1855" s="6"/>
      <c r="F1855" s="6"/>
      <c r="G1855" s="6"/>
      <c r="K1855" s="223"/>
      <c r="M1855" s="889"/>
      <c r="P1855" s="890"/>
      <c r="T1855" s="889"/>
      <c r="X1855" s="15"/>
      <c r="Y1855" s="1935"/>
      <c r="Z1855" s="1086"/>
      <c r="AA1855" s="230"/>
      <c r="AB1855" s="230"/>
      <c r="AC1855" s="1936"/>
      <c r="AD1855" s="230"/>
      <c r="AE1855" s="230"/>
      <c r="AF1855" s="230"/>
      <c r="AG1855" s="890"/>
      <c r="AJ1855" s="890"/>
      <c r="AN1855" s="223"/>
      <c r="AO1855" s="952"/>
      <c r="AP1855" s="1066"/>
      <c r="AQ1855" s="972"/>
      <c r="AR1855" s="1917"/>
      <c r="AS1855" s="222"/>
      <c r="AZ1855" s="889"/>
      <c r="BC1855" s="890"/>
      <c r="BD1855" s="952"/>
      <c r="BE1855" s="75"/>
      <c r="BF1855" s="572"/>
      <c r="BG1855" s="983"/>
      <c r="BH1855" s="222"/>
      <c r="BL1855" s="889"/>
      <c r="BO1855" s="223"/>
    </row>
    <row r="1856" spans="1:67" s="74" customFormat="1">
      <c r="A1856" s="15"/>
      <c r="B1856" s="15"/>
      <c r="C1856" s="15"/>
      <c r="D1856" s="15"/>
      <c r="E1856" s="6"/>
      <c r="F1856" s="6"/>
      <c r="G1856" s="6"/>
      <c r="K1856" s="223"/>
      <c r="M1856" s="889"/>
      <c r="P1856" s="890"/>
      <c r="T1856" s="889"/>
      <c r="X1856" s="15"/>
      <c r="Y1856" s="1935"/>
      <c r="Z1856" s="1086"/>
      <c r="AA1856" s="230"/>
      <c r="AB1856" s="230"/>
      <c r="AC1856" s="1936"/>
      <c r="AD1856" s="230"/>
      <c r="AE1856" s="230"/>
      <c r="AF1856" s="230"/>
      <c r="AG1856" s="890"/>
      <c r="AJ1856" s="890"/>
      <c r="AN1856" s="223"/>
      <c r="AO1856" s="952"/>
      <c r="AP1856" s="1066"/>
      <c r="AQ1856" s="972"/>
      <c r="AR1856" s="1917"/>
      <c r="AS1856" s="222"/>
      <c r="AZ1856" s="889"/>
      <c r="BC1856" s="890"/>
      <c r="BD1856" s="952"/>
      <c r="BE1856" s="75"/>
      <c r="BF1856" s="572"/>
      <c r="BG1856" s="983"/>
      <c r="BH1856" s="222"/>
      <c r="BL1856" s="889"/>
      <c r="BO1856" s="223"/>
    </row>
    <row r="1857" spans="1:67" s="74" customFormat="1">
      <c r="A1857" s="15"/>
      <c r="B1857" s="15"/>
      <c r="C1857" s="15"/>
      <c r="D1857" s="15"/>
      <c r="E1857" s="6"/>
      <c r="F1857" s="6"/>
      <c r="G1857" s="6"/>
      <c r="K1857" s="223"/>
      <c r="M1857" s="889"/>
      <c r="P1857" s="890"/>
      <c r="T1857" s="889"/>
      <c r="X1857" s="15"/>
      <c r="Y1857" s="1935"/>
      <c r="Z1857" s="1086"/>
      <c r="AA1857" s="230"/>
      <c r="AB1857" s="230"/>
      <c r="AC1857" s="1936"/>
      <c r="AD1857" s="230"/>
      <c r="AE1857" s="230"/>
      <c r="AF1857" s="230"/>
      <c r="AG1857" s="890"/>
      <c r="AJ1857" s="890"/>
      <c r="AN1857" s="223"/>
      <c r="AO1857" s="952"/>
      <c r="AP1857" s="1066"/>
      <c r="AQ1857" s="972"/>
      <c r="AR1857" s="1917"/>
      <c r="AS1857" s="222"/>
      <c r="AZ1857" s="889"/>
      <c r="BC1857" s="890"/>
      <c r="BD1857" s="952"/>
      <c r="BE1857" s="75"/>
      <c r="BF1857" s="572"/>
      <c r="BG1857" s="983"/>
      <c r="BH1857" s="222"/>
      <c r="BL1857" s="889"/>
      <c r="BO1857" s="223"/>
    </row>
    <row r="1858" spans="1:67" s="74" customFormat="1">
      <c r="A1858" s="15"/>
      <c r="B1858" s="15"/>
      <c r="C1858" s="15"/>
      <c r="D1858" s="15"/>
      <c r="E1858" s="6"/>
      <c r="F1858" s="6"/>
      <c r="G1858" s="6"/>
      <c r="K1858" s="223"/>
      <c r="M1858" s="889"/>
      <c r="P1858" s="890"/>
      <c r="T1858" s="889"/>
      <c r="X1858" s="15"/>
      <c r="Y1858" s="1935"/>
      <c r="Z1858" s="1086"/>
      <c r="AA1858" s="230"/>
      <c r="AB1858" s="230"/>
      <c r="AC1858" s="1936"/>
      <c r="AD1858" s="230"/>
      <c r="AE1858" s="230"/>
      <c r="AF1858" s="230"/>
      <c r="AG1858" s="890"/>
      <c r="AJ1858" s="890"/>
      <c r="AN1858" s="223"/>
      <c r="AO1858" s="952"/>
      <c r="AP1858" s="1066"/>
      <c r="AQ1858" s="972"/>
      <c r="AR1858" s="1917"/>
      <c r="AS1858" s="222"/>
      <c r="AZ1858" s="889"/>
      <c r="BC1858" s="890"/>
      <c r="BD1858" s="952"/>
      <c r="BE1858" s="75"/>
      <c r="BF1858" s="572"/>
      <c r="BG1858" s="983"/>
      <c r="BH1858" s="222"/>
      <c r="BL1858" s="889"/>
      <c r="BO1858" s="223"/>
    </row>
    <row r="1859" spans="1:67" s="74" customFormat="1">
      <c r="A1859" s="15"/>
      <c r="B1859" s="15"/>
      <c r="C1859" s="15"/>
      <c r="D1859" s="15"/>
      <c r="E1859" s="6"/>
      <c r="F1859" s="6"/>
      <c r="G1859" s="6"/>
      <c r="K1859" s="223"/>
      <c r="M1859" s="889"/>
      <c r="P1859" s="890"/>
      <c r="T1859" s="889"/>
      <c r="X1859" s="15"/>
      <c r="Y1859" s="1935"/>
      <c r="Z1859" s="1086"/>
      <c r="AA1859" s="230"/>
      <c r="AB1859" s="230"/>
      <c r="AC1859" s="1936"/>
      <c r="AD1859" s="230"/>
      <c r="AE1859" s="230"/>
      <c r="AF1859" s="230"/>
      <c r="AG1859" s="890"/>
      <c r="AJ1859" s="890"/>
      <c r="AN1859" s="223"/>
      <c r="AO1859" s="952"/>
      <c r="AP1859" s="1066"/>
      <c r="AQ1859" s="972"/>
      <c r="AR1859" s="1917"/>
      <c r="AS1859" s="222"/>
      <c r="AZ1859" s="889"/>
      <c r="BC1859" s="890"/>
      <c r="BD1859" s="952"/>
      <c r="BE1859" s="75"/>
      <c r="BF1859" s="572"/>
      <c r="BG1859" s="983"/>
      <c r="BH1859" s="222"/>
      <c r="BL1859" s="889"/>
      <c r="BO1859" s="223"/>
    </row>
    <row r="1860" spans="1:67" s="74" customFormat="1">
      <c r="A1860" s="15"/>
      <c r="B1860" s="15"/>
      <c r="C1860" s="15"/>
      <c r="D1860" s="15"/>
      <c r="E1860" s="6"/>
      <c r="F1860" s="6"/>
      <c r="G1860" s="6"/>
      <c r="K1860" s="223"/>
      <c r="M1860" s="889"/>
      <c r="P1860" s="890"/>
      <c r="T1860" s="889"/>
      <c r="X1860" s="15"/>
      <c r="Y1860" s="1935"/>
      <c r="Z1860" s="1086"/>
      <c r="AA1860" s="230"/>
      <c r="AB1860" s="230"/>
      <c r="AC1860" s="1936"/>
      <c r="AD1860" s="230"/>
      <c r="AE1860" s="230"/>
      <c r="AF1860" s="230"/>
      <c r="AG1860" s="890"/>
      <c r="AJ1860" s="890"/>
      <c r="AN1860" s="223"/>
      <c r="AO1860" s="952"/>
      <c r="AP1860" s="1066"/>
      <c r="AQ1860" s="972"/>
      <c r="AR1860" s="1917"/>
      <c r="AS1860" s="222"/>
      <c r="AZ1860" s="889"/>
      <c r="BC1860" s="890"/>
      <c r="BD1860" s="952"/>
      <c r="BE1860" s="75"/>
      <c r="BF1860" s="572"/>
      <c r="BG1860" s="983"/>
      <c r="BH1860" s="222"/>
      <c r="BL1860" s="889"/>
      <c r="BO1860" s="223"/>
    </row>
    <row r="1861" spans="1:67" s="74" customFormat="1">
      <c r="A1861" s="15"/>
      <c r="B1861" s="15"/>
      <c r="C1861" s="15"/>
      <c r="D1861" s="15"/>
      <c r="E1861" s="6"/>
      <c r="F1861" s="6"/>
      <c r="G1861" s="6"/>
      <c r="K1861" s="223"/>
      <c r="M1861" s="889"/>
      <c r="P1861" s="890"/>
      <c r="T1861" s="889"/>
      <c r="X1861" s="15"/>
      <c r="Y1861" s="1935"/>
      <c r="Z1861" s="1086"/>
      <c r="AA1861" s="230"/>
      <c r="AB1861" s="230"/>
      <c r="AC1861" s="1936"/>
      <c r="AD1861" s="230"/>
      <c r="AE1861" s="230"/>
      <c r="AF1861" s="230"/>
      <c r="AG1861" s="890"/>
      <c r="AJ1861" s="890"/>
      <c r="AN1861" s="223"/>
      <c r="AO1861" s="952"/>
      <c r="AP1861" s="1066"/>
      <c r="AQ1861" s="972"/>
      <c r="AR1861" s="1917"/>
      <c r="AS1861" s="222"/>
      <c r="AZ1861" s="889"/>
      <c r="BC1861" s="890"/>
      <c r="BD1861" s="952"/>
      <c r="BE1861" s="75"/>
      <c r="BF1861" s="572"/>
      <c r="BG1861" s="983"/>
      <c r="BH1861" s="222"/>
      <c r="BL1861" s="889"/>
      <c r="BO1861" s="223"/>
    </row>
    <row r="1862" spans="1:67" s="74" customFormat="1">
      <c r="A1862" s="15"/>
      <c r="B1862" s="15"/>
      <c r="C1862" s="15"/>
      <c r="D1862" s="15"/>
      <c r="E1862" s="6"/>
      <c r="F1862" s="6"/>
      <c r="G1862" s="6"/>
      <c r="K1862" s="223"/>
      <c r="M1862" s="889"/>
      <c r="P1862" s="890"/>
      <c r="T1862" s="889"/>
      <c r="X1862" s="15"/>
      <c r="Y1862" s="1935"/>
      <c r="Z1862" s="1086"/>
      <c r="AA1862" s="230"/>
      <c r="AB1862" s="230"/>
      <c r="AC1862" s="1936"/>
      <c r="AD1862" s="230"/>
      <c r="AE1862" s="230"/>
      <c r="AF1862" s="230"/>
      <c r="AG1862" s="890"/>
      <c r="AJ1862" s="890"/>
      <c r="AN1862" s="223"/>
      <c r="AO1862" s="952"/>
      <c r="AP1862" s="1066"/>
      <c r="AQ1862" s="972"/>
      <c r="AR1862" s="1917"/>
      <c r="AS1862" s="222"/>
      <c r="AZ1862" s="889"/>
      <c r="BC1862" s="890"/>
      <c r="BD1862" s="952"/>
      <c r="BE1862" s="75"/>
      <c r="BF1862" s="572"/>
      <c r="BG1862" s="983"/>
      <c r="BH1862" s="222"/>
      <c r="BL1862" s="889"/>
      <c r="BO1862" s="223"/>
    </row>
    <row r="1863" spans="1:67" s="74" customFormat="1">
      <c r="A1863" s="15"/>
      <c r="B1863" s="15"/>
      <c r="C1863" s="15"/>
      <c r="D1863" s="15"/>
      <c r="E1863" s="6"/>
      <c r="F1863" s="6"/>
      <c r="G1863" s="6"/>
      <c r="K1863" s="223"/>
      <c r="M1863" s="889"/>
      <c r="P1863" s="890"/>
      <c r="T1863" s="889"/>
      <c r="X1863" s="15"/>
      <c r="Y1863" s="1935"/>
      <c r="Z1863" s="1086"/>
      <c r="AA1863" s="230"/>
      <c r="AB1863" s="230"/>
      <c r="AC1863" s="1936"/>
      <c r="AD1863" s="230"/>
      <c r="AE1863" s="230"/>
      <c r="AF1863" s="230"/>
      <c r="AG1863" s="890"/>
      <c r="AJ1863" s="890"/>
      <c r="AN1863" s="223"/>
      <c r="AO1863" s="952"/>
      <c r="AP1863" s="1066"/>
      <c r="AQ1863" s="972"/>
      <c r="AR1863" s="1917"/>
      <c r="AS1863" s="222"/>
      <c r="AZ1863" s="889"/>
      <c r="BC1863" s="890"/>
      <c r="BD1863" s="952"/>
      <c r="BE1863" s="75"/>
      <c r="BF1863" s="572"/>
      <c r="BG1863" s="983"/>
      <c r="BH1863" s="222"/>
      <c r="BL1863" s="889"/>
      <c r="BO1863" s="223"/>
    </row>
    <row r="1864" spans="1:67" s="74" customFormat="1">
      <c r="A1864" s="15"/>
      <c r="B1864" s="15"/>
      <c r="C1864" s="15"/>
      <c r="D1864" s="15"/>
      <c r="E1864" s="6"/>
      <c r="F1864" s="6"/>
      <c r="G1864" s="6"/>
      <c r="K1864" s="223"/>
      <c r="M1864" s="889"/>
      <c r="P1864" s="890"/>
      <c r="T1864" s="889"/>
      <c r="X1864" s="15"/>
      <c r="Y1864" s="1935"/>
      <c r="Z1864" s="1086"/>
      <c r="AA1864" s="230"/>
      <c r="AB1864" s="230"/>
      <c r="AC1864" s="1936"/>
      <c r="AD1864" s="230"/>
      <c r="AE1864" s="230"/>
      <c r="AF1864" s="230"/>
      <c r="AG1864" s="890"/>
      <c r="AJ1864" s="890"/>
      <c r="AN1864" s="223"/>
      <c r="AO1864" s="952"/>
      <c r="AP1864" s="1066"/>
      <c r="AQ1864" s="972"/>
      <c r="AR1864" s="1917"/>
      <c r="AS1864" s="222"/>
      <c r="AZ1864" s="889"/>
      <c r="BC1864" s="890"/>
      <c r="BD1864" s="952"/>
      <c r="BE1864" s="75"/>
      <c r="BF1864" s="572"/>
      <c r="BG1864" s="983"/>
      <c r="BH1864" s="222"/>
      <c r="BL1864" s="889"/>
      <c r="BO1864" s="223"/>
    </row>
    <row r="1865" spans="1:67" s="74" customFormat="1">
      <c r="A1865" s="15"/>
      <c r="B1865" s="15"/>
      <c r="C1865" s="15"/>
      <c r="D1865" s="15"/>
      <c r="E1865" s="6"/>
      <c r="F1865" s="6"/>
      <c r="G1865" s="6"/>
      <c r="K1865" s="223"/>
      <c r="M1865" s="889"/>
      <c r="P1865" s="890"/>
      <c r="T1865" s="889"/>
      <c r="X1865" s="15"/>
      <c r="Y1865" s="1935"/>
      <c r="Z1865" s="1086"/>
      <c r="AA1865" s="230"/>
      <c r="AB1865" s="230"/>
      <c r="AC1865" s="1936"/>
      <c r="AD1865" s="230"/>
      <c r="AE1865" s="230"/>
      <c r="AF1865" s="230"/>
      <c r="AG1865" s="890"/>
      <c r="AJ1865" s="890"/>
      <c r="AN1865" s="223"/>
      <c r="AO1865" s="952"/>
      <c r="AP1865" s="1066"/>
      <c r="AQ1865" s="972"/>
      <c r="AR1865" s="1917"/>
      <c r="AS1865" s="222"/>
      <c r="AZ1865" s="889"/>
      <c r="BC1865" s="890"/>
      <c r="BD1865" s="952"/>
      <c r="BE1865" s="75"/>
      <c r="BF1865" s="572"/>
      <c r="BG1865" s="983"/>
      <c r="BH1865" s="222"/>
      <c r="BL1865" s="889"/>
      <c r="BO1865" s="223"/>
    </row>
    <row r="1866" spans="1:67" s="74" customFormat="1">
      <c r="A1866" s="15"/>
      <c r="B1866" s="15"/>
      <c r="C1866" s="15"/>
      <c r="D1866" s="15"/>
      <c r="E1866" s="6"/>
      <c r="F1866" s="6"/>
      <c r="G1866" s="6"/>
      <c r="K1866" s="223"/>
      <c r="M1866" s="889"/>
      <c r="P1866" s="890"/>
      <c r="T1866" s="889"/>
      <c r="X1866" s="15"/>
      <c r="Y1866" s="1935"/>
      <c r="Z1866" s="1086"/>
      <c r="AA1866" s="230"/>
      <c r="AB1866" s="230"/>
      <c r="AC1866" s="1936"/>
      <c r="AD1866" s="230"/>
      <c r="AE1866" s="230"/>
      <c r="AF1866" s="230"/>
      <c r="AG1866" s="890"/>
      <c r="AJ1866" s="890"/>
      <c r="AN1866" s="223"/>
      <c r="AO1866" s="952"/>
      <c r="AP1866" s="1066"/>
      <c r="AQ1866" s="972"/>
      <c r="AR1866" s="1917"/>
      <c r="AS1866" s="222"/>
      <c r="AZ1866" s="889"/>
      <c r="BC1866" s="890"/>
      <c r="BD1866" s="952"/>
      <c r="BE1866" s="75"/>
      <c r="BF1866" s="572"/>
      <c r="BG1866" s="983"/>
      <c r="BH1866" s="222"/>
      <c r="BL1866" s="889"/>
      <c r="BO1866" s="223"/>
    </row>
    <row r="1867" spans="1:67" s="74" customFormat="1">
      <c r="A1867" s="15"/>
      <c r="B1867" s="15"/>
      <c r="C1867" s="15"/>
      <c r="D1867" s="15"/>
      <c r="E1867" s="6"/>
      <c r="F1867" s="6"/>
      <c r="G1867" s="6"/>
      <c r="K1867" s="223"/>
      <c r="M1867" s="889"/>
      <c r="P1867" s="890"/>
      <c r="T1867" s="889"/>
      <c r="X1867" s="15"/>
      <c r="Y1867" s="1935"/>
      <c r="Z1867" s="1086"/>
      <c r="AA1867" s="230"/>
      <c r="AB1867" s="230"/>
      <c r="AC1867" s="1936"/>
      <c r="AD1867" s="230"/>
      <c r="AE1867" s="230"/>
      <c r="AF1867" s="230"/>
      <c r="AG1867" s="890"/>
      <c r="AJ1867" s="890"/>
      <c r="AN1867" s="223"/>
      <c r="AO1867" s="952"/>
      <c r="AP1867" s="1066"/>
      <c r="AQ1867" s="972"/>
      <c r="AR1867" s="1917"/>
      <c r="AS1867" s="222"/>
      <c r="AZ1867" s="889"/>
      <c r="BC1867" s="890"/>
      <c r="BD1867" s="952"/>
      <c r="BE1867" s="75"/>
      <c r="BF1867" s="572"/>
      <c r="BG1867" s="983"/>
      <c r="BH1867" s="222"/>
      <c r="BL1867" s="889"/>
      <c r="BO1867" s="223"/>
    </row>
    <row r="1868" spans="1:67" s="74" customFormat="1">
      <c r="A1868" s="15"/>
      <c r="B1868" s="15"/>
      <c r="C1868" s="15"/>
      <c r="D1868" s="15"/>
      <c r="E1868" s="6"/>
      <c r="F1868" s="6"/>
      <c r="G1868" s="6"/>
      <c r="K1868" s="223"/>
      <c r="M1868" s="889"/>
      <c r="P1868" s="890"/>
      <c r="T1868" s="889"/>
      <c r="X1868" s="15"/>
      <c r="Y1868" s="1935"/>
      <c r="Z1868" s="1086"/>
      <c r="AA1868" s="230"/>
      <c r="AB1868" s="230"/>
      <c r="AC1868" s="1936"/>
      <c r="AD1868" s="230"/>
      <c r="AE1868" s="230"/>
      <c r="AF1868" s="230"/>
      <c r="AG1868" s="890"/>
      <c r="AJ1868" s="890"/>
      <c r="AN1868" s="223"/>
      <c r="AO1868" s="952"/>
      <c r="AP1868" s="1066"/>
      <c r="AQ1868" s="972"/>
      <c r="AR1868" s="1917"/>
      <c r="AS1868" s="222"/>
      <c r="AZ1868" s="889"/>
      <c r="BC1868" s="890"/>
      <c r="BD1868" s="952"/>
      <c r="BE1868" s="75"/>
      <c r="BF1868" s="572"/>
      <c r="BG1868" s="983"/>
      <c r="BH1868" s="222"/>
      <c r="BL1868" s="889"/>
      <c r="BO1868" s="223"/>
    </row>
    <row r="1869" spans="1:67" s="74" customFormat="1">
      <c r="A1869" s="15"/>
      <c r="B1869" s="15"/>
      <c r="C1869" s="15"/>
      <c r="D1869" s="15"/>
      <c r="E1869" s="6"/>
      <c r="F1869" s="6"/>
      <c r="G1869" s="6"/>
      <c r="K1869" s="223"/>
      <c r="M1869" s="889"/>
      <c r="P1869" s="890"/>
      <c r="T1869" s="889"/>
      <c r="X1869" s="15"/>
      <c r="Y1869" s="1935"/>
      <c r="Z1869" s="1086"/>
      <c r="AA1869" s="230"/>
      <c r="AB1869" s="230"/>
      <c r="AC1869" s="1936"/>
      <c r="AD1869" s="230"/>
      <c r="AE1869" s="230"/>
      <c r="AF1869" s="230"/>
      <c r="AG1869" s="890"/>
      <c r="AJ1869" s="890"/>
      <c r="AN1869" s="223"/>
      <c r="AO1869" s="952"/>
      <c r="AP1869" s="1066"/>
      <c r="AQ1869" s="972"/>
      <c r="AR1869" s="1917"/>
      <c r="AS1869" s="222"/>
      <c r="AZ1869" s="889"/>
      <c r="BC1869" s="890"/>
      <c r="BD1869" s="952"/>
      <c r="BE1869" s="75"/>
      <c r="BF1869" s="572"/>
      <c r="BG1869" s="983"/>
      <c r="BH1869" s="222"/>
      <c r="BL1869" s="889"/>
      <c r="BO1869" s="223"/>
    </row>
    <row r="1870" spans="1:67" s="74" customFormat="1">
      <c r="A1870" s="15"/>
      <c r="B1870" s="15"/>
      <c r="C1870" s="15"/>
      <c r="D1870" s="15"/>
      <c r="E1870" s="6"/>
      <c r="F1870" s="6"/>
      <c r="G1870" s="6"/>
      <c r="K1870" s="223"/>
      <c r="M1870" s="889"/>
      <c r="P1870" s="890"/>
      <c r="T1870" s="889"/>
      <c r="X1870" s="15"/>
      <c r="Y1870" s="1935"/>
      <c r="Z1870" s="1086"/>
      <c r="AA1870" s="230"/>
      <c r="AB1870" s="230"/>
      <c r="AC1870" s="1936"/>
      <c r="AD1870" s="230"/>
      <c r="AE1870" s="230"/>
      <c r="AF1870" s="230"/>
      <c r="AG1870" s="890"/>
      <c r="AJ1870" s="890"/>
      <c r="AN1870" s="223"/>
      <c r="AO1870" s="952"/>
      <c r="AP1870" s="1066"/>
      <c r="AQ1870" s="972"/>
      <c r="AR1870" s="1917"/>
      <c r="AS1870" s="222"/>
      <c r="AZ1870" s="889"/>
      <c r="BC1870" s="890"/>
      <c r="BD1870" s="952"/>
      <c r="BE1870" s="75"/>
      <c r="BF1870" s="572"/>
      <c r="BG1870" s="983"/>
      <c r="BH1870" s="222"/>
      <c r="BL1870" s="889"/>
      <c r="BO1870" s="223"/>
    </row>
    <row r="1871" spans="1:67" s="74" customFormat="1">
      <c r="A1871" s="15"/>
      <c r="B1871" s="15"/>
      <c r="C1871" s="15"/>
      <c r="D1871" s="15"/>
      <c r="E1871" s="6"/>
      <c r="F1871" s="6"/>
      <c r="G1871" s="6"/>
      <c r="K1871" s="223"/>
      <c r="M1871" s="889"/>
      <c r="P1871" s="890"/>
      <c r="T1871" s="889"/>
      <c r="X1871" s="15"/>
      <c r="Y1871" s="1935"/>
      <c r="Z1871" s="1086"/>
      <c r="AA1871" s="230"/>
      <c r="AB1871" s="230"/>
      <c r="AC1871" s="1936"/>
      <c r="AD1871" s="230"/>
      <c r="AE1871" s="230"/>
      <c r="AF1871" s="230"/>
      <c r="AG1871" s="890"/>
      <c r="AJ1871" s="890"/>
      <c r="AN1871" s="223"/>
      <c r="AO1871" s="952"/>
      <c r="AP1871" s="1066"/>
      <c r="AQ1871" s="972"/>
      <c r="AR1871" s="1917"/>
      <c r="AS1871" s="222"/>
      <c r="AZ1871" s="889"/>
      <c r="BC1871" s="890"/>
      <c r="BD1871" s="952"/>
      <c r="BE1871" s="75"/>
      <c r="BF1871" s="572"/>
      <c r="BG1871" s="983"/>
      <c r="BH1871" s="222"/>
      <c r="BL1871" s="889"/>
      <c r="BO1871" s="223"/>
    </row>
    <row r="1872" spans="1:67" s="74" customFormat="1">
      <c r="A1872" s="15"/>
      <c r="B1872" s="15"/>
      <c r="C1872" s="15"/>
      <c r="D1872" s="15"/>
      <c r="E1872" s="6"/>
      <c r="F1872" s="6"/>
      <c r="G1872" s="6"/>
      <c r="K1872" s="223"/>
      <c r="M1872" s="889"/>
      <c r="P1872" s="890"/>
      <c r="T1872" s="889"/>
      <c r="X1872" s="15"/>
      <c r="Y1872" s="1935"/>
      <c r="Z1872" s="1086"/>
      <c r="AA1872" s="230"/>
      <c r="AB1872" s="230"/>
      <c r="AC1872" s="1936"/>
      <c r="AD1872" s="230"/>
      <c r="AE1872" s="230"/>
      <c r="AF1872" s="230"/>
      <c r="AG1872" s="890"/>
      <c r="AJ1872" s="890"/>
      <c r="AN1872" s="223"/>
      <c r="AO1872" s="952"/>
      <c r="AP1872" s="1066"/>
      <c r="AQ1872" s="972"/>
      <c r="AR1872" s="1917"/>
      <c r="AS1872" s="222"/>
      <c r="AZ1872" s="889"/>
      <c r="BC1872" s="890"/>
      <c r="BD1872" s="952"/>
      <c r="BE1872" s="75"/>
      <c r="BF1872" s="572"/>
      <c r="BG1872" s="983"/>
      <c r="BH1872" s="222"/>
      <c r="BL1872" s="889"/>
      <c r="BO1872" s="223"/>
    </row>
    <row r="1873" spans="1:67" s="74" customFormat="1">
      <c r="A1873" s="15"/>
      <c r="B1873" s="15"/>
      <c r="C1873" s="15"/>
      <c r="D1873" s="15"/>
      <c r="E1873" s="6"/>
      <c r="F1873" s="6"/>
      <c r="G1873" s="6"/>
      <c r="K1873" s="223"/>
      <c r="M1873" s="889"/>
      <c r="P1873" s="890"/>
      <c r="T1873" s="889"/>
      <c r="X1873" s="15"/>
      <c r="Y1873" s="1935"/>
      <c r="Z1873" s="1086"/>
      <c r="AA1873" s="230"/>
      <c r="AB1873" s="230"/>
      <c r="AC1873" s="1936"/>
      <c r="AD1873" s="230"/>
      <c r="AE1873" s="230"/>
      <c r="AF1873" s="230"/>
      <c r="AG1873" s="890"/>
      <c r="AJ1873" s="890"/>
      <c r="AN1873" s="223"/>
      <c r="AO1873" s="952"/>
      <c r="AP1873" s="1066"/>
      <c r="AQ1873" s="972"/>
      <c r="AR1873" s="1917"/>
      <c r="AS1873" s="222"/>
      <c r="AZ1873" s="889"/>
      <c r="BC1873" s="890"/>
      <c r="BD1873" s="952"/>
      <c r="BE1873" s="75"/>
      <c r="BF1873" s="572"/>
      <c r="BG1873" s="983"/>
      <c r="BH1873" s="222"/>
      <c r="BL1873" s="889"/>
      <c r="BO1873" s="223"/>
    </row>
    <row r="1874" spans="1:67" s="74" customFormat="1">
      <c r="A1874" s="15"/>
      <c r="B1874" s="15"/>
      <c r="C1874" s="15"/>
      <c r="D1874" s="15"/>
      <c r="E1874" s="6"/>
      <c r="F1874" s="6"/>
      <c r="G1874" s="6"/>
      <c r="K1874" s="223"/>
      <c r="M1874" s="889"/>
      <c r="P1874" s="890"/>
      <c r="T1874" s="889"/>
      <c r="X1874" s="15"/>
      <c r="Y1874" s="1935"/>
      <c r="Z1874" s="1086"/>
      <c r="AA1874" s="230"/>
      <c r="AB1874" s="230"/>
      <c r="AC1874" s="1936"/>
      <c r="AD1874" s="230"/>
      <c r="AE1874" s="230"/>
      <c r="AF1874" s="230"/>
      <c r="AG1874" s="890"/>
      <c r="AJ1874" s="890"/>
      <c r="AN1874" s="223"/>
      <c r="AO1874" s="952"/>
      <c r="AP1874" s="1066"/>
      <c r="AQ1874" s="972"/>
      <c r="AR1874" s="1917"/>
      <c r="AS1874" s="222"/>
      <c r="AZ1874" s="889"/>
      <c r="BC1874" s="890"/>
      <c r="BD1874" s="952"/>
      <c r="BE1874" s="75"/>
      <c r="BF1874" s="572"/>
      <c r="BG1874" s="983"/>
      <c r="BH1874" s="222"/>
      <c r="BL1874" s="889"/>
      <c r="BO1874" s="223"/>
    </row>
    <row r="1875" spans="1:67" s="74" customFormat="1">
      <c r="A1875" s="15"/>
      <c r="B1875" s="15"/>
      <c r="C1875" s="15"/>
      <c r="D1875" s="15"/>
      <c r="E1875" s="6"/>
      <c r="F1875" s="6"/>
      <c r="G1875" s="6"/>
      <c r="K1875" s="223"/>
      <c r="M1875" s="889"/>
      <c r="P1875" s="890"/>
      <c r="T1875" s="889"/>
      <c r="X1875" s="15"/>
      <c r="Y1875" s="1935"/>
      <c r="Z1875" s="1086"/>
      <c r="AA1875" s="230"/>
      <c r="AB1875" s="230"/>
      <c r="AC1875" s="1936"/>
      <c r="AD1875" s="230"/>
      <c r="AE1875" s="230"/>
      <c r="AF1875" s="230"/>
      <c r="AG1875" s="890"/>
      <c r="AJ1875" s="890"/>
      <c r="AN1875" s="223"/>
      <c r="AO1875" s="952"/>
      <c r="AP1875" s="1066"/>
      <c r="AQ1875" s="972"/>
      <c r="AR1875" s="1917"/>
      <c r="AS1875" s="222"/>
      <c r="AZ1875" s="889"/>
      <c r="BC1875" s="890"/>
      <c r="BD1875" s="952"/>
      <c r="BE1875" s="75"/>
      <c r="BF1875" s="572"/>
      <c r="BG1875" s="983"/>
      <c r="BH1875" s="222"/>
      <c r="BL1875" s="889"/>
      <c r="BO1875" s="223"/>
    </row>
    <row r="1876" spans="1:67" s="74" customFormat="1">
      <c r="A1876" s="15"/>
      <c r="B1876" s="15"/>
      <c r="C1876" s="15"/>
      <c r="D1876" s="15"/>
      <c r="E1876" s="6"/>
      <c r="F1876" s="6"/>
      <c r="G1876" s="6"/>
      <c r="K1876" s="223"/>
      <c r="M1876" s="889"/>
      <c r="P1876" s="890"/>
      <c r="T1876" s="889"/>
      <c r="X1876" s="15"/>
      <c r="Y1876" s="1935"/>
      <c r="Z1876" s="1086"/>
      <c r="AA1876" s="230"/>
      <c r="AB1876" s="230"/>
      <c r="AC1876" s="1936"/>
      <c r="AD1876" s="230"/>
      <c r="AE1876" s="230"/>
      <c r="AF1876" s="230"/>
      <c r="AG1876" s="890"/>
      <c r="AJ1876" s="890"/>
      <c r="AN1876" s="223"/>
      <c r="AO1876" s="952"/>
      <c r="AP1876" s="1066"/>
      <c r="AQ1876" s="972"/>
      <c r="AR1876" s="1917"/>
      <c r="AS1876" s="222"/>
      <c r="AZ1876" s="889"/>
      <c r="BC1876" s="890"/>
      <c r="BD1876" s="952"/>
      <c r="BE1876" s="75"/>
      <c r="BF1876" s="572"/>
      <c r="BG1876" s="983"/>
      <c r="BH1876" s="222"/>
      <c r="BL1876" s="889"/>
      <c r="BO1876" s="223"/>
    </row>
    <row r="1877" spans="1:67" s="74" customFormat="1">
      <c r="A1877" s="15"/>
      <c r="B1877" s="15"/>
      <c r="C1877" s="15"/>
      <c r="D1877" s="15"/>
      <c r="E1877" s="6"/>
      <c r="F1877" s="6"/>
      <c r="G1877" s="6"/>
      <c r="K1877" s="223"/>
      <c r="M1877" s="889"/>
      <c r="P1877" s="890"/>
      <c r="T1877" s="889"/>
      <c r="X1877" s="15"/>
      <c r="Y1877" s="1935"/>
      <c r="Z1877" s="1086"/>
      <c r="AA1877" s="230"/>
      <c r="AB1877" s="230"/>
      <c r="AC1877" s="1936"/>
      <c r="AD1877" s="230"/>
      <c r="AE1877" s="230"/>
      <c r="AF1877" s="230"/>
      <c r="AG1877" s="890"/>
      <c r="AJ1877" s="890"/>
      <c r="AN1877" s="223"/>
      <c r="AO1877" s="952"/>
      <c r="AP1877" s="1066"/>
      <c r="AQ1877" s="972"/>
      <c r="AR1877" s="1917"/>
      <c r="AS1877" s="222"/>
      <c r="AZ1877" s="889"/>
      <c r="BC1877" s="890"/>
      <c r="BD1877" s="952"/>
      <c r="BE1877" s="75"/>
      <c r="BF1877" s="572"/>
      <c r="BG1877" s="983"/>
      <c r="BH1877" s="222"/>
      <c r="BL1877" s="889"/>
      <c r="BO1877" s="223"/>
    </row>
    <row r="1878" spans="1:67" s="74" customFormat="1">
      <c r="A1878" s="15"/>
      <c r="B1878" s="15"/>
      <c r="C1878" s="15"/>
      <c r="D1878" s="15"/>
      <c r="E1878" s="6"/>
      <c r="F1878" s="6"/>
      <c r="G1878" s="6"/>
      <c r="K1878" s="223"/>
      <c r="M1878" s="889"/>
      <c r="P1878" s="890"/>
      <c r="T1878" s="889"/>
      <c r="X1878" s="15"/>
      <c r="Y1878" s="1935"/>
      <c r="Z1878" s="1086"/>
      <c r="AA1878" s="230"/>
      <c r="AB1878" s="230"/>
      <c r="AC1878" s="1936"/>
      <c r="AD1878" s="230"/>
      <c r="AE1878" s="230"/>
      <c r="AF1878" s="230"/>
      <c r="AG1878" s="890"/>
      <c r="AJ1878" s="890"/>
      <c r="AN1878" s="223"/>
      <c r="AO1878" s="952"/>
      <c r="AP1878" s="1066"/>
      <c r="AQ1878" s="972"/>
      <c r="AR1878" s="1917"/>
      <c r="AS1878" s="222"/>
      <c r="AZ1878" s="889"/>
      <c r="BC1878" s="890"/>
      <c r="BD1878" s="952"/>
      <c r="BE1878" s="75"/>
      <c r="BF1878" s="572"/>
      <c r="BG1878" s="983"/>
      <c r="BH1878" s="222"/>
      <c r="BL1878" s="889"/>
      <c r="BO1878" s="223"/>
    </row>
    <row r="1879" spans="1:67" s="74" customFormat="1">
      <c r="A1879" s="15"/>
      <c r="B1879" s="15"/>
      <c r="C1879" s="15"/>
      <c r="D1879" s="15"/>
      <c r="E1879" s="6"/>
      <c r="F1879" s="6"/>
      <c r="G1879" s="6"/>
      <c r="K1879" s="223"/>
      <c r="M1879" s="889"/>
      <c r="P1879" s="890"/>
      <c r="T1879" s="889"/>
      <c r="X1879" s="15"/>
      <c r="Y1879" s="1935"/>
      <c r="Z1879" s="1086"/>
      <c r="AA1879" s="230"/>
      <c r="AB1879" s="230"/>
      <c r="AC1879" s="1936"/>
      <c r="AD1879" s="230"/>
      <c r="AE1879" s="230"/>
      <c r="AF1879" s="230"/>
      <c r="AG1879" s="890"/>
      <c r="AJ1879" s="890"/>
      <c r="AN1879" s="223"/>
      <c r="AO1879" s="952"/>
      <c r="AP1879" s="1066"/>
      <c r="AQ1879" s="972"/>
      <c r="AR1879" s="1917"/>
      <c r="AS1879" s="222"/>
      <c r="AZ1879" s="889"/>
      <c r="BC1879" s="890"/>
      <c r="BD1879" s="952"/>
      <c r="BE1879" s="75"/>
      <c r="BF1879" s="572"/>
      <c r="BG1879" s="983"/>
      <c r="BH1879" s="222"/>
      <c r="BL1879" s="889"/>
      <c r="BO1879" s="223"/>
    </row>
    <row r="1880" spans="1:67" s="74" customFormat="1">
      <c r="A1880" s="15"/>
      <c r="B1880" s="15"/>
      <c r="C1880" s="15"/>
      <c r="D1880" s="15"/>
      <c r="E1880" s="6"/>
      <c r="F1880" s="6"/>
      <c r="G1880" s="6"/>
      <c r="K1880" s="223"/>
      <c r="M1880" s="889"/>
      <c r="P1880" s="890"/>
      <c r="T1880" s="889"/>
      <c r="X1880" s="15"/>
      <c r="Y1880" s="1935"/>
      <c r="Z1880" s="1086"/>
      <c r="AA1880" s="230"/>
      <c r="AB1880" s="230"/>
      <c r="AC1880" s="1936"/>
      <c r="AD1880" s="230"/>
      <c r="AE1880" s="230"/>
      <c r="AF1880" s="230"/>
      <c r="AG1880" s="890"/>
      <c r="AJ1880" s="890"/>
      <c r="AN1880" s="223"/>
      <c r="AO1880" s="952"/>
      <c r="AP1880" s="1066"/>
      <c r="AQ1880" s="972"/>
      <c r="AR1880" s="1917"/>
      <c r="AS1880" s="222"/>
      <c r="AZ1880" s="889"/>
      <c r="BC1880" s="890"/>
      <c r="BD1880" s="952"/>
      <c r="BE1880" s="75"/>
      <c r="BF1880" s="572"/>
      <c r="BG1880" s="983"/>
      <c r="BH1880" s="222"/>
      <c r="BL1880" s="889"/>
      <c r="BO1880" s="223"/>
    </row>
    <row r="1881" spans="1:67" s="74" customFormat="1">
      <c r="A1881" s="15"/>
      <c r="B1881" s="15"/>
      <c r="C1881" s="15"/>
      <c r="D1881" s="15"/>
      <c r="E1881" s="6"/>
      <c r="F1881" s="6"/>
      <c r="G1881" s="6"/>
      <c r="K1881" s="223"/>
      <c r="M1881" s="889"/>
      <c r="P1881" s="890"/>
      <c r="T1881" s="889"/>
      <c r="X1881" s="15"/>
      <c r="Y1881" s="1935"/>
      <c r="Z1881" s="1086"/>
      <c r="AA1881" s="230"/>
      <c r="AB1881" s="230"/>
      <c r="AC1881" s="1936"/>
      <c r="AD1881" s="230"/>
      <c r="AE1881" s="230"/>
      <c r="AF1881" s="230"/>
      <c r="AG1881" s="890"/>
      <c r="AJ1881" s="890"/>
      <c r="AN1881" s="223"/>
      <c r="AO1881" s="952"/>
      <c r="AP1881" s="1066"/>
      <c r="AQ1881" s="972"/>
      <c r="AR1881" s="1917"/>
      <c r="AS1881" s="222"/>
      <c r="AZ1881" s="889"/>
      <c r="BC1881" s="890"/>
      <c r="BD1881" s="952"/>
      <c r="BE1881" s="75"/>
      <c r="BF1881" s="572"/>
      <c r="BG1881" s="983"/>
      <c r="BH1881" s="222"/>
      <c r="BL1881" s="889"/>
      <c r="BO1881" s="223"/>
    </row>
    <row r="1882" spans="1:67" s="74" customFormat="1">
      <c r="A1882" s="15"/>
      <c r="B1882" s="15"/>
      <c r="C1882" s="15"/>
      <c r="D1882" s="15"/>
      <c r="E1882" s="6"/>
      <c r="F1882" s="6"/>
      <c r="G1882" s="6"/>
      <c r="K1882" s="223"/>
      <c r="M1882" s="889"/>
      <c r="P1882" s="890"/>
      <c r="T1882" s="889"/>
      <c r="X1882" s="15"/>
      <c r="Y1882" s="1935"/>
      <c r="Z1882" s="1086"/>
      <c r="AA1882" s="230"/>
      <c r="AB1882" s="230"/>
      <c r="AC1882" s="1936"/>
      <c r="AD1882" s="230"/>
      <c r="AE1882" s="230"/>
      <c r="AF1882" s="230"/>
      <c r="AG1882" s="890"/>
      <c r="AJ1882" s="890"/>
      <c r="AN1882" s="223"/>
      <c r="AO1882" s="952"/>
      <c r="AP1882" s="1066"/>
      <c r="AQ1882" s="972"/>
      <c r="AR1882" s="1917"/>
      <c r="AS1882" s="222"/>
      <c r="AZ1882" s="889"/>
      <c r="BC1882" s="890"/>
      <c r="BD1882" s="952"/>
      <c r="BE1882" s="75"/>
      <c r="BF1882" s="572"/>
      <c r="BG1882" s="983"/>
      <c r="BH1882" s="222"/>
      <c r="BL1882" s="889"/>
      <c r="BO1882" s="223"/>
    </row>
    <row r="1883" spans="1:67" s="74" customFormat="1">
      <c r="A1883" s="15"/>
      <c r="B1883" s="15"/>
      <c r="C1883" s="15"/>
      <c r="D1883" s="15"/>
      <c r="E1883" s="6"/>
      <c r="F1883" s="6"/>
      <c r="G1883" s="6"/>
      <c r="K1883" s="223"/>
      <c r="M1883" s="889"/>
      <c r="P1883" s="890"/>
      <c r="T1883" s="889"/>
      <c r="X1883" s="15"/>
      <c r="Y1883" s="1935"/>
      <c r="Z1883" s="1086"/>
      <c r="AA1883" s="230"/>
      <c r="AB1883" s="230"/>
      <c r="AC1883" s="1936"/>
      <c r="AD1883" s="230"/>
      <c r="AE1883" s="230"/>
      <c r="AF1883" s="230"/>
      <c r="AG1883" s="890"/>
      <c r="AJ1883" s="890"/>
      <c r="AN1883" s="223"/>
      <c r="AO1883" s="952"/>
      <c r="AP1883" s="1066"/>
      <c r="AQ1883" s="972"/>
      <c r="AR1883" s="1917"/>
      <c r="AS1883" s="222"/>
      <c r="AZ1883" s="889"/>
      <c r="BC1883" s="890"/>
      <c r="BD1883" s="952"/>
      <c r="BE1883" s="75"/>
      <c r="BF1883" s="572"/>
      <c r="BG1883" s="983"/>
      <c r="BH1883" s="222"/>
      <c r="BL1883" s="889"/>
      <c r="BO1883" s="223"/>
    </row>
    <row r="1884" spans="1:67" s="74" customFormat="1">
      <c r="A1884" s="15"/>
      <c r="B1884" s="15"/>
      <c r="C1884" s="15"/>
      <c r="D1884" s="15"/>
      <c r="E1884" s="6"/>
      <c r="F1884" s="6"/>
      <c r="G1884" s="6"/>
      <c r="K1884" s="223"/>
      <c r="M1884" s="889"/>
      <c r="P1884" s="890"/>
      <c r="T1884" s="889"/>
      <c r="X1884" s="15"/>
      <c r="Y1884" s="1935"/>
      <c r="Z1884" s="1086"/>
      <c r="AA1884" s="230"/>
      <c r="AB1884" s="230"/>
      <c r="AC1884" s="1936"/>
      <c r="AD1884" s="230"/>
      <c r="AE1884" s="230"/>
      <c r="AF1884" s="230"/>
      <c r="AG1884" s="890"/>
      <c r="AJ1884" s="890"/>
      <c r="AN1884" s="223"/>
      <c r="AO1884" s="952"/>
      <c r="AP1884" s="1066"/>
      <c r="AQ1884" s="972"/>
      <c r="AR1884" s="1917"/>
      <c r="AS1884" s="222"/>
      <c r="AZ1884" s="889"/>
      <c r="BC1884" s="890"/>
      <c r="BD1884" s="952"/>
      <c r="BE1884" s="75"/>
      <c r="BF1884" s="572"/>
      <c r="BG1884" s="983"/>
      <c r="BH1884" s="222"/>
      <c r="BL1884" s="889"/>
      <c r="BO1884" s="223"/>
    </row>
    <row r="1885" spans="1:67" s="74" customFormat="1">
      <c r="A1885" s="15"/>
      <c r="B1885" s="15"/>
      <c r="C1885" s="15"/>
      <c r="D1885" s="15"/>
      <c r="E1885" s="6"/>
      <c r="F1885" s="6"/>
      <c r="G1885" s="6"/>
      <c r="K1885" s="223"/>
      <c r="M1885" s="889"/>
      <c r="P1885" s="890"/>
      <c r="T1885" s="889"/>
      <c r="X1885" s="15"/>
      <c r="Y1885" s="1935"/>
      <c r="Z1885" s="1086"/>
      <c r="AA1885" s="230"/>
      <c r="AB1885" s="230"/>
      <c r="AC1885" s="1936"/>
      <c r="AD1885" s="230"/>
      <c r="AE1885" s="230"/>
      <c r="AF1885" s="230"/>
      <c r="AG1885" s="890"/>
      <c r="AJ1885" s="890"/>
      <c r="AN1885" s="223"/>
      <c r="AO1885" s="952"/>
      <c r="AP1885" s="1066"/>
      <c r="AQ1885" s="972"/>
      <c r="AR1885" s="1917"/>
      <c r="AS1885" s="222"/>
      <c r="AZ1885" s="889"/>
      <c r="BC1885" s="890"/>
      <c r="BD1885" s="952"/>
      <c r="BE1885" s="75"/>
      <c r="BF1885" s="572"/>
      <c r="BG1885" s="983"/>
      <c r="BH1885" s="222"/>
      <c r="BL1885" s="889"/>
      <c r="BO1885" s="223"/>
    </row>
    <row r="1886" spans="1:67" s="74" customFormat="1">
      <c r="A1886" s="15"/>
      <c r="B1886" s="15"/>
      <c r="C1886" s="15"/>
      <c r="D1886" s="15"/>
      <c r="E1886" s="6"/>
      <c r="F1886" s="6"/>
      <c r="G1886" s="6"/>
      <c r="K1886" s="223"/>
      <c r="M1886" s="889"/>
      <c r="P1886" s="890"/>
      <c r="T1886" s="889"/>
      <c r="X1886" s="15"/>
      <c r="Y1886" s="1935"/>
      <c r="Z1886" s="1086"/>
      <c r="AA1886" s="230"/>
      <c r="AB1886" s="230"/>
      <c r="AC1886" s="1936"/>
      <c r="AD1886" s="230"/>
      <c r="AE1886" s="230"/>
      <c r="AF1886" s="230"/>
      <c r="AG1886" s="890"/>
      <c r="AJ1886" s="890"/>
      <c r="AN1886" s="223"/>
      <c r="AO1886" s="952"/>
      <c r="AP1886" s="1066"/>
      <c r="AQ1886" s="972"/>
      <c r="AR1886" s="1917"/>
      <c r="AS1886" s="222"/>
      <c r="AZ1886" s="889"/>
      <c r="BC1886" s="890"/>
      <c r="BD1886" s="952"/>
      <c r="BE1886" s="75"/>
      <c r="BF1886" s="572"/>
      <c r="BG1886" s="983"/>
      <c r="BH1886" s="222"/>
      <c r="BL1886" s="889"/>
      <c r="BO1886" s="223"/>
    </row>
    <row r="1887" spans="1:67" s="74" customFormat="1">
      <c r="A1887" s="15"/>
      <c r="B1887" s="15"/>
      <c r="C1887" s="15"/>
      <c r="D1887" s="15"/>
      <c r="E1887" s="6"/>
      <c r="F1887" s="6"/>
      <c r="G1887" s="6"/>
      <c r="K1887" s="223"/>
      <c r="M1887" s="889"/>
      <c r="P1887" s="890"/>
      <c r="T1887" s="889"/>
      <c r="X1887" s="15"/>
      <c r="Y1887" s="1935"/>
      <c r="Z1887" s="1086"/>
      <c r="AA1887" s="230"/>
      <c r="AB1887" s="230"/>
      <c r="AC1887" s="1936"/>
      <c r="AD1887" s="230"/>
      <c r="AE1887" s="230"/>
      <c r="AF1887" s="230"/>
      <c r="AG1887" s="890"/>
      <c r="AJ1887" s="890"/>
      <c r="AN1887" s="223"/>
      <c r="AO1887" s="952"/>
      <c r="AP1887" s="1066"/>
      <c r="AQ1887" s="972"/>
      <c r="AR1887" s="1917"/>
      <c r="AS1887" s="222"/>
      <c r="AZ1887" s="889"/>
      <c r="BC1887" s="890"/>
      <c r="BD1887" s="952"/>
      <c r="BE1887" s="75"/>
      <c r="BF1887" s="572"/>
      <c r="BG1887" s="983"/>
      <c r="BH1887" s="222"/>
      <c r="BL1887" s="889"/>
      <c r="BO1887" s="223"/>
    </row>
    <row r="1888" spans="1:67" s="74" customFormat="1">
      <c r="A1888" s="15"/>
      <c r="B1888" s="15"/>
      <c r="C1888" s="15"/>
      <c r="D1888" s="15"/>
      <c r="E1888" s="6"/>
      <c r="F1888" s="6"/>
      <c r="G1888" s="6"/>
      <c r="K1888" s="223"/>
      <c r="M1888" s="889"/>
      <c r="P1888" s="890"/>
      <c r="T1888" s="889"/>
      <c r="X1888" s="15"/>
      <c r="Y1888" s="1935"/>
      <c r="Z1888" s="1086"/>
      <c r="AA1888" s="230"/>
      <c r="AB1888" s="230"/>
      <c r="AC1888" s="1936"/>
      <c r="AD1888" s="230"/>
      <c r="AE1888" s="230"/>
      <c r="AF1888" s="230"/>
      <c r="AG1888" s="890"/>
      <c r="AJ1888" s="890"/>
      <c r="AN1888" s="223"/>
      <c r="AO1888" s="952"/>
      <c r="AP1888" s="1066"/>
      <c r="AQ1888" s="972"/>
      <c r="AR1888" s="1917"/>
      <c r="AS1888" s="222"/>
      <c r="AZ1888" s="889"/>
      <c r="BC1888" s="890"/>
      <c r="BD1888" s="952"/>
      <c r="BE1888" s="75"/>
      <c r="BF1888" s="572"/>
      <c r="BG1888" s="983"/>
      <c r="BH1888" s="222"/>
      <c r="BL1888" s="889"/>
      <c r="BO1888" s="223"/>
    </row>
    <row r="1889" spans="1:67" s="74" customFormat="1">
      <c r="A1889" s="15"/>
      <c r="B1889" s="15"/>
      <c r="C1889" s="15"/>
      <c r="D1889" s="15"/>
      <c r="E1889" s="6"/>
      <c r="F1889" s="6"/>
      <c r="G1889" s="6"/>
      <c r="K1889" s="223"/>
      <c r="M1889" s="889"/>
      <c r="P1889" s="890"/>
      <c r="T1889" s="889"/>
      <c r="X1889" s="15"/>
      <c r="Y1889" s="1935"/>
      <c r="Z1889" s="1086"/>
      <c r="AA1889" s="230"/>
      <c r="AB1889" s="230"/>
      <c r="AC1889" s="1936"/>
      <c r="AD1889" s="230"/>
      <c r="AE1889" s="230"/>
      <c r="AF1889" s="230"/>
      <c r="AG1889" s="890"/>
      <c r="AJ1889" s="890"/>
      <c r="AN1889" s="223"/>
      <c r="AO1889" s="952"/>
      <c r="AP1889" s="1066"/>
      <c r="AQ1889" s="972"/>
      <c r="AR1889" s="1917"/>
      <c r="AS1889" s="222"/>
      <c r="AZ1889" s="889"/>
      <c r="BC1889" s="890"/>
      <c r="BD1889" s="952"/>
      <c r="BE1889" s="75"/>
      <c r="BF1889" s="572"/>
      <c r="BG1889" s="983"/>
      <c r="BH1889" s="222"/>
      <c r="BL1889" s="889"/>
      <c r="BO1889" s="223"/>
    </row>
    <row r="1890" spans="1:67" s="74" customFormat="1">
      <c r="A1890" s="15"/>
      <c r="B1890" s="15"/>
      <c r="C1890" s="15"/>
      <c r="D1890" s="15"/>
      <c r="E1890" s="6"/>
      <c r="F1890" s="6"/>
      <c r="G1890" s="6"/>
      <c r="K1890" s="223"/>
      <c r="M1890" s="889"/>
      <c r="P1890" s="890"/>
      <c r="T1890" s="889"/>
      <c r="X1890" s="15"/>
      <c r="Y1890" s="1935"/>
      <c r="Z1890" s="1086"/>
      <c r="AA1890" s="230"/>
      <c r="AB1890" s="230"/>
      <c r="AC1890" s="1936"/>
      <c r="AD1890" s="230"/>
      <c r="AE1890" s="230"/>
      <c r="AF1890" s="230"/>
      <c r="AG1890" s="890"/>
      <c r="AJ1890" s="890"/>
      <c r="AN1890" s="223"/>
      <c r="AO1890" s="952"/>
      <c r="AP1890" s="1066"/>
      <c r="AQ1890" s="972"/>
      <c r="AR1890" s="1917"/>
      <c r="AS1890" s="222"/>
      <c r="AZ1890" s="889"/>
      <c r="BC1890" s="890"/>
      <c r="BD1890" s="952"/>
      <c r="BE1890" s="75"/>
      <c r="BF1890" s="572"/>
      <c r="BG1890" s="983"/>
      <c r="BH1890" s="222"/>
      <c r="BL1890" s="889"/>
      <c r="BO1890" s="223"/>
    </row>
    <row r="1891" spans="1:67" s="74" customFormat="1">
      <c r="A1891" s="15"/>
      <c r="B1891" s="15"/>
      <c r="C1891" s="15"/>
      <c r="D1891" s="15"/>
      <c r="E1891" s="6"/>
      <c r="F1891" s="6"/>
      <c r="G1891" s="6"/>
      <c r="K1891" s="223"/>
      <c r="M1891" s="889"/>
      <c r="P1891" s="890"/>
      <c r="T1891" s="889"/>
      <c r="X1891" s="15"/>
      <c r="Y1891" s="1935"/>
      <c r="Z1891" s="1086"/>
      <c r="AA1891" s="230"/>
      <c r="AB1891" s="230"/>
      <c r="AC1891" s="1936"/>
      <c r="AD1891" s="230"/>
      <c r="AE1891" s="230"/>
      <c r="AF1891" s="230"/>
      <c r="AG1891" s="890"/>
      <c r="AJ1891" s="890"/>
      <c r="AN1891" s="223"/>
      <c r="AO1891" s="952"/>
      <c r="AP1891" s="1066"/>
      <c r="AQ1891" s="972"/>
      <c r="AR1891" s="1917"/>
      <c r="AS1891" s="222"/>
      <c r="AZ1891" s="889"/>
      <c r="BC1891" s="890"/>
      <c r="BD1891" s="952"/>
      <c r="BE1891" s="75"/>
      <c r="BF1891" s="572"/>
      <c r="BG1891" s="983"/>
      <c r="BH1891" s="222"/>
      <c r="BL1891" s="889"/>
      <c r="BO1891" s="223"/>
    </row>
    <row r="1892" spans="1:67" s="74" customFormat="1">
      <c r="A1892" s="15"/>
      <c r="B1892" s="15"/>
      <c r="C1892" s="15"/>
      <c r="D1892" s="15"/>
      <c r="E1892" s="6"/>
      <c r="F1892" s="6"/>
      <c r="G1892" s="6"/>
      <c r="K1892" s="223"/>
      <c r="M1892" s="889"/>
      <c r="P1892" s="890"/>
      <c r="T1892" s="889"/>
      <c r="X1892" s="15"/>
      <c r="Y1892" s="1935"/>
      <c r="Z1892" s="1086"/>
      <c r="AA1892" s="230"/>
      <c r="AB1892" s="230"/>
      <c r="AC1892" s="1936"/>
      <c r="AD1892" s="230"/>
      <c r="AE1892" s="230"/>
      <c r="AF1892" s="230"/>
      <c r="AG1892" s="890"/>
      <c r="AJ1892" s="890"/>
      <c r="AN1892" s="223"/>
      <c r="AO1892" s="952"/>
      <c r="AP1892" s="1066"/>
      <c r="AQ1892" s="972"/>
      <c r="AR1892" s="1917"/>
      <c r="AS1892" s="222"/>
      <c r="AZ1892" s="889"/>
      <c r="BC1892" s="890"/>
      <c r="BD1892" s="952"/>
      <c r="BE1892" s="75"/>
      <c r="BF1892" s="572"/>
      <c r="BG1892" s="983"/>
      <c r="BH1892" s="222"/>
      <c r="BL1892" s="889"/>
      <c r="BO1892" s="223"/>
    </row>
    <row r="1893" spans="1:67" s="74" customFormat="1">
      <c r="A1893" s="15"/>
      <c r="B1893" s="15"/>
      <c r="C1893" s="15"/>
      <c r="D1893" s="15"/>
      <c r="E1893" s="6"/>
      <c r="F1893" s="6"/>
      <c r="G1893" s="6"/>
      <c r="K1893" s="223"/>
      <c r="M1893" s="889"/>
      <c r="P1893" s="890"/>
      <c r="T1893" s="889"/>
      <c r="X1893" s="15"/>
      <c r="Y1893" s="1935"/>
      <c r="Z1893" s="1086"/>
      <c r="AA1893" s="230"/>
      <c r="AB1893" s="230"/>
      <c r="AC1893" s="1936"/>
      <c r="AD1893" s="230"/>
      <c r="AE1893" s="230"/>
      <c r="AF1893" s="230"/>
      <c r="AG1893" s="890"/>
      <c r="AJ1893" s="890"/>
      <c r="AN1893" s="223"/>
      <c r="AO1893" s="952"/>
      <c r="AP1893" s="1066"/>
      <c r="AQ1893" s="972"/>
      <c r="AR1893" s="1917"/>
      <c r="AS1893" s="222"/>
      <c r="AZ1893" s="889"/>
      <c r="BC1893" s="890"/>
      <c r="BD1893" s="952"/>
      <c r="BE1893" s="75"/>
      <c r="BF1893" s="572"/>
      <c r="BG1893" s="983"/>
      <c r="BH1893" s="222"/>
      <c r="BL1893" s="889"/>
      <c r="BO1893" s="223"/>
    </row>
    <row r="1894" spans="1:67" s="74" customFormat="1">
      <c r="A1894" s="15"/>
      <c r="B1894" s="15"/>
      <c r="C1894" s="15"/>
      <c r="D1894" s="15"/>
      <c r="E1894" s="6"/>
      <c r="F1894" s="6"/>
      <c r="G1894" s="6"/>
      <c r="K1894" s="223"/>
      <c r="M1894" s="889"/>
      <c r="P1894" s="890"/>
      <c r="T1894" s="889"/>
      <c r="X1894" s="15"/>
      <c r="Y1894" s="1935"/>
      <c r="Z1894" s="1086"/>
      <c r="AA1894" s="230"/>
      <c r="AB1894" s="230"/>
      <c r="AC1894" s="1936"/>
      <c r="AD1894" s="230"/>
      <c r="AE1894" s="230"/>
      <c r="AF1894" s="230"/>
      <c r="AG1894" s="890"/>
      <c r="AJ1894" s="890"/>
      <c r="AN1894" s="223"/>
      <c r="AO1894" s="952"/>
      <c r="AP1894" s="1066"/>
      <c r="AQ1894" s="972"/>
      <c r="AR1894" s="1917"/>
      <c r="AS1894" s="222"/>
      <c r="AZ1894" s="889"/>
      <c r="BC1894" s="890"/>
      <c r="BD1894" s="952"/>
      <c r="BE1894" s="75"/>
      <c r="BF1894" s="572"/>
      <c r="BG1894" s="983"/>
      <c r="BH1894" s="222"/>
      <c r="BL1894" s="889"/>
      <c r="BO1894" s="223"/>
    </row>
    <row r="1895" spans="1:67" s="74" customFormat="1">
      <c r="A1895" s="15"/>
      <c r="B1895" s="15"/>
      <c r="C1895" s="15"/>
      <c r="D1895" s="15"/>
      <c r="E1895" s="6"/>
      <c r="F1895" s="6"/>
      <c r="G1895" s="6"/>
      <c r="K1895" s="223"/>
      <c r="M1895" s="889"/>
      <c r="P1895" s="890"/>
      <c r="T1895" s="889"/>
      <c r="X1895" s="15"/>
      <c r="Y1895" s="1935"/>
      <c r="Z1895" s="1086"/>
      <c r="AA1895" s="230"/>
      <c r="AB1895" s="230"/>
      <c r="AC1895" s="1936"/>
      <c r="AD1895" s="230"/>
      <c r="AE1895" s="230"/>
      <c r="AF1895" s="230"/>
      <c r="AG1895" s="890"/>
      <c r="AJ1895" s="890"/>
      <c r="AN1895" s="223"/>
      <c r="AO1895" s="952"/>
      <c r="AP1895" s="1066"/>
      <c r="AQ1895" s="972"/>
      <c r="AR1895" s="1917"/>
      <c r="AS1895" s="222"/>
      <c r="AZ1895" s="889"/>
      <c r="BC1895" s="890"/>
      <c r="BD1895" s="952"/>
      <c r="BE1895" s="75"/>
      <c r="BF1895" s="572"/>
      <c r="BG1895" s="983"/>
      <c r="BH1895" s="222"/>
      <c r="BL1895" s="889"/>
      <c r="BO1895" s="223"/>
    </row>
    <row r="1896" spans="1:67" s="74" customFormat="1">
      <c r="A1896" s="15"/>
      <c r="B1896" s="15"/>
      <c r="C1896" s="15"/>
      <c r="D1896" s="15"/>
      <c r="E1896" s="6"/>
      <c r="F1896" s="6"/>
      <c r="G1896" s="6"/>
      <c r="K1896" s="223"/>
      <c r="M1896" s="889"/>
      <c r="P1896" s="890"/>
      <c r="T1896" s="889"/>
      <c r="X1896" s="15"/>
      <c r="Y1896" s="1935"/>
      <c r="Z1896" s="1086"/>
      <c r="AA1896" s="230"/>
      <c r="AB1896" s="230"/>
      <c r="AC1896" s="1936"/>
      <c r="AD1896" s="230"/>
      <c r="AE1896" s="230"/>
      <c r="AF1896" s="230"/>
      <c r="AG1896" s="890"/>
      <c r="AJ1896" s="890"/>
      <c r="AN1896" s="223"/>
      <c r="AO1896" s="952"/>
      <c r="AP1896" s="1066"/>
      <c r="AQ1896" s="972"/>
      <c r="AR1896" s="1917"/>
      <c r="AS1896" s="222"/>
      <c r="AZ1896" s="889"/>
      <c r="BC1896" s="890"/>
      <c r="BD1896" s="952"/>
      <c r="BE1896" s="75"/>
      <c r="BF1896" s="572"/>
      <c r="BG1896" s="983"/>
      <c r="BH1896" s="222"/>
      <c r="BL1896" s="889"/>
      <c r="BO1896" s="223"/>
    </row>
    <row r="1897" spans="1:67" s="74" customFormat="1">
      <c r="A1897" s="15"/>
      <c r="B1897" s="15"/>
      <c r="C1897" s="15"/>
      <c r="D1897" s="15"/>
      <c r="E1897" s="6"/>
      <c r="F1897" s="6"/>
      <c r="G1897" s="6"/>
      <c r="K1897" s="223"/>
      <c r="M1897" s="889"/>
      <c r="P1897" s="890"/>
      <c r="T1897" s="889"/>
      <c r="X1897" s="15"/>
      <c r="Y1897" s="1935"/>
      <c r="Z1897" s="1086"/>
      <c r="AA1897" s="230"/>
      <c r="AB1897" s="230"/>
      <c r="AC1897" s="1936"/>
      <c r="AD1897" s="230"/>
      <c r="AE1897" s="230"/>
      <c r="AF1897" s="230"/>
      <c r="AG1897" s="890"/>
      <c r="AJ1897" s="890"/>
      <c r="AN1897" s="223"/>
      <c r="AO1897" s="952"/>
      <c r="AP1897" s="1066"/>
      <c r="AQ1897" s="972"/>
      <c r="AR1897" s="1917"/>
      <c r="AS1897" s="222"/>
      <c r="AZ1897" s="889"/>
      <c r="BC1897" s="890"/>
      <c r="BD1897" s="952"/>
      <c r="BE1897" s="75"/>
      <c r="BF1897" s="572"/>
      <c r="BG1897" s="983"/>
      <c r="BH1897" s="222"/>
      <c r="BL1897" s="889"/>
      <c r="BO1897" s="223"/>
    </row>
    <row r="1898" spans="1:67" s="74" customFormat="1">
      <c r="A1898" s="15"/>
      <c r="B1898" s="15"/>
      <c r="C1898" s="15"/>
      <c r="D1898" s="15"/>
      <c r="E1898" s="6"/>
      <c r="F1898" s="6"/>
      <c r="G1898" s="6"/>
      <c r="K1898" s="223"/>
      <c r="M1898" s="889"/>
      <c r="P1898" s="890"/>
      <c r="T1898" s="889"/>
      <c r="X1898" s="15"/>
      <c r="Y1898" s="1935"/>
      <c r="Z1898" s="1086"/>
      <c r="AA1898" s="230"/>
      <c r="AB1898" s="230"/>
      <c r="AC1898" s="1936"/>
      <c r="AD1898" s="230"/>
      <c r="AE1898" s="230"/>
      <c r="AF1898" s="230"/>
      <c r="AG1898" s="890"/>
      <c r="AJ1898" s="890"/>
      <c r="AN1898" s="223"/>
      <c r="AO1898" s="952"/>
      <c r="AP1898" s="1066"/>
      <c r="AQ1898" s="972"/>
      <c r="AR1898" s="1917"/>
      <c r="AS1898" s="222"/>
      <c r="AZ1898" s="889"/>
      <c r="BC1898" s="890"/>
      <c r="BD1898" s="952"/>
      <c r="BE1898" s="75"/>
      <c r="BF1898" s="572"/>
      <c r="BG1898" s="983"/>
      <c r="BH1898" s="222"/>
      <c r="BL1898" s="889"/>
      <c r="BO1898" s="223"/>
    </row>
    <row r="1899" spans="1:67" s="74" customFormat="1">
      <c r="A1899" s="15"/>
      <c r="B1899" s="15"/>
      <c r="C1899" s="15"/>
      <c r="D1899" s="15"/>
      <c r="E1899" s="6"/>
      <c r="F1899" s="6"/>
      <c r="G1899" s="6"/>
      <c r="K1899" s="223"/>
      <c r="M1899" s="889"/>
      <c r="P1899" s="890"/>
      <c r="T1899" s="889"/>
      <c r="X1899" s="15"/>
      <c r="Y1899" s="1935"/>
      <c r="Z1899" s="1086"/>
      <c r="AA1899" s="230"/>
      <c r="AB1899" s="230"/>
      <c r="AC1899" s="1936"/>
      <c r="AD1899" s="230"/>
      <c r="AE1899" s="230"/>
      <c r="AF1899" s="230"/>
      <c r="AG1899" s="890"/>
      <c r="AJ1899" s="890"/>
      <c r="AN1899" s="223"/>
      <c r="AO1899" s="952"/>
      <c r="AP1899" s="1066"/>
      <c r="AQ1899" s="972"/>
      <c r="AR1899" s="1917"/>
      <c r="AS1899" s="222"/>
      <c r="AZ1899" s="889"/>
      <c r="BC1899" s="890"/>
      <c r="BD1899" s="952"/>
      <c r="BE1899" s="75"/>
      <c r="BF1899" s="572"/>
      <c r="BG1899" s="983"/>
      <c r="BH1899" s="222"/>
      <c r="BL1899" s="889"/>
      <c r="BO1899" s="223"/>
    </row>
    <row r="1900" spans="1:67" s="74" customFormat="1">
      <c r="A1900" s="15"/>
      <c r="B1900" s="15"/>
      <c r="C1900" s="15"/>
      <c r="D1900" s="15"/>
      <c r="E1900" s="6"/>
      <c r="F1900" s="6"/>
      <c r="G1900" s="6"/>
      <c r="K1900" s="223"/>
      <c r="M1900" s="889"/>
      <c r="P1900" s="890"/>
      <c r="T1900" s="889"/>
      <c r="X1900" s="15"/>
      <c r="Y1900" s="1935"/>
      <c r="Z1900" s="1086"/>
      <c r="AA1900" s="230"/>
      <c r="AB1900" s="230"/>
      <c r="AC1900" s="1936"/>
      <c r="AD1900" s="230"/>
      <c r="AE1900" s="230"/>
      <c r="AF1900" s="230"/>
      <c r="AG1900" s="890"/>
      <c r="AJ1900" s="890"/>
      <c r="AN1900" s="223"/>
      <c r="AO1900" s="952"/>
      <c r="AP1900" s="1066"/>
      <c r="AQ1900" s="972"/>
      <c r="AR1900" s="1917"/>
      <c r="AS1900" s="222"/>
      <c r="AZ1900" s="889"/>
      <c r="BC1900" s="890"/>
      <c r="BD1900" s="952"/>
      <c r="BE1900" s="75"/>
      <c r="BF1900" s="572"/>
      <c r="BG1900" s="983"/>
      <c r="BH1900" s="222"/>
      <c r="BL1900" s="889"/>
      <c r="BO1900" s="223"/>
    </row>
    <row r="1901" spans="1:67" s="74" customFormat="1">
      <c r="A1901" s="15"/>
      <c r="B1901" s="15"/>
      <c r="C1901" s="15"/>
      <c r="D1901" s="15"/>
      <c r="E1901" s="6"/>
      <c r="F1901" s="6"/>
      <c r="G1901" s="6"/>
      <c r="K1901" s="223"/>
      <c r="M1901" s="889"/>
      <c r="P1901" s="890"/>
      <c r="T1901" s="889"/>
      <c r="X1901" s="15"/>
      <c r="Y1901" s="1935"/>
      <c r="Z1901" s="1086"/>
      <c r="AA1901" s="230"/>
      <c r="AB1901" s="230"/>
      <c r="AC1901" s="1936"/>
      <c r="AD1901" s="230"/>
      <c r="AE1901" s="230"/>
      <c r="AF1901" s="230"/>
      <c r="AG1901" s="890"/>
      <c r="AJ1901" s="890"/>
      <c r="AN1901" s="223"/>
      <c r="AO1901" s="952"/>
      <c r="AP1901" s="1066"/>
      <c r="AQ1901" s="972"/>
      <c r="AR1901" s="1917"/>
      <c r="AS1901" s="222"/>
      <c r="AZ1901" s="889"/>
      <c r="BC1901" s="890"/>
      <c r="BD1901" s="952"/>
      <c r="BE1901" s="75"/>
      <c r="BF1901" s="572"/>
      <c r="BG1901" s="983"/>
      <c r="BH1901" s="222"/>
      <c r="BL1901" s="889"/>
      <c r="BO1901" s="223"/>
    </row>
    <row r="1902" spans="1:67" s="74" customFormat="1">
      <c r="A1902" s="15"/>
      <c r="B1902" s="15"/>
      <c r="C1902" s="15"/>
      <c r="D1902" s="15"/>
      <c r="E1902" s="6"/>
      <c r="F1902" s="6"/>
      <c r="G1902" s="6"/>
      <c r="K1902" s="223"/>
      <c r="M1902" s="889"/>
      <c r="P1902" s="890"/>
      <c r="T1902" s="889"/>
      <c r="X1902" s="15"/>
      <c r="Y1902" s="1935"/>
      <c r="Z1902" s="1086"/>
      <c r="AA1902" s="230"/>
      <c r="AB1902" s="230"/>
      <c r="AC1902" s="1936"/>
      <c r="AD1902" s="230"/>
      <c r="AE1902" s="230"/>
      <c r="AF1902" s="230"/>
      <c r="AG1902" s="890"/>
      <c r="AJ1902" s="890"/>
      <c r="AN1902" s="223"/>
      <c r="AO1902" s="952"/>
      <c r="AP1902" s="1066"/>
      <c r="AQ1902" s="972"/>
      <c r="AR1902" s="1917"/>
      <c r="AS1902" s="222"/>
      <c r="AZ1902" s="889"/>
      <c r="BC1902" s="890"/>
      <c r="BD1902" s="952"/>
      <c r="BE1902" s="75"/>
      <c r="BF1902" s="572"/>
      <c r="BG1902" s="983"/>
      <c r="BH1902" s="222"/>
      <c r="BL1902" s="889"/>
      <c r="BO1902" s="223"/>
    </row>
    <row r="1903" spans="1:67" s="74" customFormat="1">
      <c r="A1903" s="15"/>
      <c r="B1903" s="15"/>
      <c r="C1903" s="15"/>
      <c r="D1903" s="15"/>
      <c r="E1903" s="6"/>
      <c r="F1903" s="6"/>
      <c r="G1903" s="6"/>
      <c r="K1903" s="223"/>
      <c r="M1903" s="889"/>
      <c r="P1903" s="890"/>
      <c r="T1903" s="889"/>
      <c r="X1903" s="15"/>
      <c r="Y1903" s="1935"/>
      <c r="Z1903" s="1086"/>
      <c r="AA1903" s="230"/>
      <c r="AB1903" s="230"/>
      <c r="AC1903" s="1936"/>
      <c r="AD1903" s="230"/>
      <c r="AE1903" s="230"/>
      <c r="AF1903" s="230"/>
      <c r="AG1903" s="890"/>
      <c r="AJ1903" s="890"/>
      <c r="AN1903" s="223"/>
      <c r="AO1903" s="952"/>
      <c r="AP1903" s="1066"/>
      <c r="AQ1903" s="972"/>
      <c r="AR1903" s="1917"/>
      <c r="AS1903" s="222"/>
      <c r="AZ1903" s="889"/>
      <c r="BC1903" s="890"/>
      <c r="BD1903" s="952"/>
      <c r="BE1903" s="75"/>
      <c r="BF1903" s="572"/>
      <c r="BG1903" s="983"/>
      <c r="BH1903" s="222"/>
      <c r="BL1903" s="889"/>
      <c r="BO1903" s="223"/>
    </row>
    <row r="1904" spans="1:67" s="74" customFormat="1">
      <c r="A1904" s="15"/>
      <c r="B1904" s="15"/>
      <c r="C1904" s="15"/>
      <c r="D1904" s="15"/>
      <c r="E1904" s="6"/>
      <c r="F1904" s="6"/>
      <c r="G1904" s="6"/>
      <c r="K1904" s="223"/>
      <c r="M1904" s="889"/>
      <c r="P1904" s="890"/>
      <c r="T1904" s="889"/>
      <c r="X1904" s="15"/>
      <c r="Y1904" s="1935"/>
      <c r="Z1904" s="1086"/>
      <c r="AA1904" s="230"/>
      <c r="AB1904" s="230"/>
      <c r="AC1904" s="1936"/>
      <c r="AD1904" s="230"/>
      <c r="AE1904" s="230"/>
      <c r="AF1904" s="230"/>
      <c r="AG1904" s="890"/>
      <c r="AJ1904" s="890"/>
      <c r="AN1904" s="223"/>
      <c r="AO1904" s="952"/>
      <c r="AP1904" s="1066"/>
      <c r="AQ1904" s="972"/>
      <c r="AR1904" s="1917"/>
      <c r="AS1904" s="222"/>
      <c r="AZ1904" s="889"/>
      <c r="BC1904" s="890"/>
      <c r="BD1904" s="952"/>
      <c r="BE1904" s="75"/>
      <c r="BF1904" s="572"/>
      <c r="BG1904" s="983"/>
      <c r="BH1904" s="222"/>
      <c r="BL1904" s="889"/>
      <c r="BO1904" s="223"/>
    </row>
    <row r="1905" spans="1:67" s="74" customFormat="1">
      <c r="A1905" s="15"/>
      <c r="B1905" s="15"/>
      <c r="C1905" s="15"/>
      <c r="D1905" s="15"/>
      <c r="E1905" s="6"/>
      <c r="F1905" s="6"/>
      <c r="G1905" s="6"/>
      <c r="K1905" s="223"/>
      <c r="M1905" s="889"/>
      <c r="P1905" s="890"/>
      <c r="T1905" s="889"/>
      <c r="X1905" s="15"/>
      <c r="Y1905" s="1935"/>
      <c r="Z1905" s="1086"/>
      <c r="AA1905" s="230"/>
      <c r="AB1905" s="230"/>
      <c r="AC1905" s="1936"/>
      <c r="AD1905" s="230"/>
      <c r="AE1905" s="230"/>
      <c r="AF1905" s="230"/>
      <c r="AG1905" s="890"/>
      <c r="AJ1905" s="890"/>
      <c r="AN1905" s="223"/>
      <c r="AO1905" s="952"/>
      <c r="AP1905" s="1066"/>
      <c r="AQ1905" s="972"/>
      <c r="AR1905" s="1917"/>
      <c r="AS1905" s="222"/>
      <c r="AZ1905" s="889"/>
      <c r="BC1905" s="890"/>
      <c r="BD1905" s="952"/>
      <c r="BE1905" s="75"/>
      <c r="BF1905" s="572"/>
      <c r="BG1905" s="983"/>
      <c r="BH1905" s="222"/>
      <c r="BL1905" s="889"/>
      <c r="BO1905" s="223"/>
    </row>
    <row r="1906" spans="1:67" s="74" customFormat="1">
      <c r="A1906" s="15"/>
      <c r="B1906" s="15"/>
      <c r="C1906" s="15"/>
      <c r="D1906" s="15"/>
      <c r="E1906" s="6"/>
      <c r="F1906" s="6"/>
      <c r="G1906" s="6"/>
      <c r="K1906" s="223"/>
      <c r="M1906" s="889"/>
      <c r="P1906" s="890"/>
      <c r="T1906" s="889"/>
      <c r="X1906" s="15"/>
      <c r="Y1906" s="1935"/>
      <c r="Z1906" s="1086"/>
      <c r="AA1906" s="230"/>
      <c r="AB1906" s="230"/>
      <c r="AC1906" s="1936"/>
      <c r="AD1906" s="230"/>
      <c r="AE1906" s="230"/>
      <c r="AF1906" s="230"/>
      <c r="AG1906" s="890"/>
      <c r="AJ1906" s="890"/>
      <c r="AN1906" s="223"/>
      <c r="AO1906" s="952"/>
      <c r="AP1906" s="1066"/>
      <c r="AQ1906" s="972"/>
      <c r="AR1906" s="1917"/>
      <c r="AS1906" s="222"/>
      <c r="AZ1906" s="889"/>
      <c r="BC1906" s="890"/>
      <c r="BD1906" s="952"/>
      <c r="BE1906" s="75"/>
      <c r="BF1906" s="572"/>
      <c r="BG1906" s="983"/>
      <c r="BH1906" s="222"/>
      <c r="BL1906" s="889"/>
      <c r="BO1906" s="223"/>
    </row>
    <row r="1907" spans="1:67" s="74" customFormat="1">
      <c r="A1907" s="15"/>
      <c r="B1907" s="15"/>
      <c r="C1907" s="15"/>
      <c r="D1907" s="15"/>
      <c r="E1907" s="6"/>
      <c r="F1907" s="6"/>
      <c r="G1907" s="6"/>
      <c r="K1907" s="223"/>
      <c r="M1907" s="889"/>
      <c r="P1907" s="890"/>
      <c r="T1907" s="889"/>
      <c r="X1907" s="15"/>
      <c r="Y1907" s="1935"/>
      <c r="Z1907" s="1086"/>
      <c r="AA1907" s="230"/>
      <c r="AB1907" s="230"/>
      <c r="AC1907" s="1936"/>
      <c r="AD1907" s="230"/>
      <c r="AE1907" s="230"/>
      <c r="AF1907" s="230"/>
      <c r="AG1907" s="890"/>
      <c r="AJ1907" s="890"/>
      <c r="AN1907" s="223"/>
      <c r="AO1907" s="952"/>
      <c r="AP1907" s="1066"/>
      <c r="AQ1907" s="972"/>
      <c r="AR1907" s="1917"/>
      <c r="AS1907" s="222"/>
      <c r="AZ1907" s="889"/>
      <c r="BC1907" s="890"/>
      <c r="BD1907" s="952"/>
      <c r="BE1907" s="75"/>
      <c r="BF1907" s="572"/>
      <c r="BG1907" s="983"/>
      <c r="BH1907" s="222"/>
      <c r="BL1907" s="889"/>
      <c r="BO1907" s="223"/>
    </row>
    <row r="1908" spans="1:67" s="74" customFormat="1">
      <c r="A1908" s="15"/>
      <c r="B1908" s="15"/>
      <c r="C1908" s="15"/>
      <c r="D1908" s="15"/>
      <c r="E1908" s="6"/>
      <c r="F1908" s="6"/>
      <c r="G1908" s="6"/>
      <c r="K1908" s="223"/>
      <c r="M1908" s="889"/>
      <c r="P1908" s="890"/>
      <c r="T1908" s="889"/>
      <c r="X1908" s="15"/>
      <c r="Y1908" s="1935"/>
      <c r="Z1908" s="1086"/>
      <c r="AA1908" s="230"/>
      <c r="AB1908" s="230"/>
      <c r="AC1908" s="1936"/>
      <c r="AD1908" s="230"/>
      <c r="AE1908" s="230"/>
      <c r="AF1908" s="230"/>
      <c r="AG1908" s="890"/>
      <c r="AJ1908" s="890"/>
      <c r="AN1908" s="223"/>
      <c r="AO1908" s="952"/>
      <c r="AP1908" s="1066"/>
      <c r="AQ1908" s="972"/>
      <c r="AR1908" s="1917"/>
      <c r="AS1908" s="222"/>
      <c r="AZ1908" s="889"/>
      <c r="BC1908" s="890"/>
      <c r="BD1908" s="952"/>
      <c r="BE1908" s="75"/>
      <c r="BF1908" s="572"/>
      <c r="BG1908" s="983"/>
      <c r="BH1908" s="222"/>
      <c r="BL1908" s="889"/>
      <c r="BO1908" s="223"/>
    </row>
    <row r="1909" spans="1:67" s="74" customFormat="1">
      <c r="A1909" s="15"/>
      <c r="B1909" s="15"/>
      <c r="C1909" s="15"/>
      <c r="D1909" s="15"/>
      <c r="E1909" s="6"/>
      <c r="F1909" s="6"/>
      <c r="G1909" s="6"/>
      <c r="K1909" s="223"/>
      <c r="M1909" s="889"/>
      <c r="P1909" s="890"/>
      <c r="T1909" s="889"/>
      <c r="X1909" s="15"/>
      <c r="Y1909" s="1935"/>
      <c r="Z1909" s="1086"/>
      <c r="AA1909" s="230"/>
      <c r="AB1909" s="230"/>
      <c r="AC1909" s="1936"/>
      <c r="AD1909" s="230"/>
      <c r="AE1909" s="230"/>
      <c r="AF1909" s="230"/>
      <c r="AG1909" s="890"/>
      <c r="AJ1909" s="890"/>
      <c r="AN1909" s="223"/>
      <c r="AO1909" s="952"/>
      <c r="AP1909" s="1066"/>
      <c r="AQ1909" s="972"/>
      <c r="AR1909" s="1917"/>
      <c r="AS1909" s="222"/>
      <c r="AZ1909" s="889"/>
      <c r="BC1909" s="890"/>
      <c r="BD1909" s="952"/>
      <c r="BE1909" s="75"/>
      <c r="BF1909" s="572"/>
      <c r="BG1909" s="983"/>
      <c r="BH1909" s="222"/>
      <c r="BL1909" s="889"/>
      <c r="BO1909" s="223"/>
    </row>
    <row r="1910" spans="1:67" s="74" customFormat="1">
      <c r="A1910" s="15"/>
      <c r="B1910" s="15"/>
      <c r="C1910" s="15"/>
      <c r="D1910" s="15"/>
      <c r="E1910" s="6"/>
      <c r="F1910" s="6"/>
      <c r="G1910" s="6"/>
      <c r="K1910" s="223"/>
      <c r="M1910" s="889"/>
      <c r="P1910" s="890"/>
      <c r="T1910" s="889"/>
      <c r="X1910" s="15"/>
      <c r="Y1910" s="1935"/>
      <c r="Z1910" s="1086"/>
      <c r="AA1910" s="230"/>
      <c r="AB1910" s="230"/>
      <c r="AC1910" s="1936"/>
      <c r="AD1910" s="230"/>
      <c r="AE1910" s="230"/>
      <c r="AF1910" s="230"/>
      <c r="AG1910" s="890"/>
      <c r="AJ1910" s="890"/>
      <c r="AN1910" s="223"/>
      <c r="AO1910" s="952"/>
      <c r="AP1910" s="1066"/>
      <c r="AQ1910" s="972"/>
      <c r="AR1910" s="1917"/>
      <c r="AS1910" s="222"/>
      <c r="AZ1910" s="889"/>
      <c r="BC1910" s="890"/>
      <c r="BD1910" s="952"/>
      <c r="BE1910" s="75"/>
      <c r="BF1910" s="572"/>
      <c r="BG1910" s="983"/>
      <c r="BH1910" s="222"/>
      <c r="BL1910" s="889"/>
      <c r="BO1910" s="223"/>
    </row>
    <row r="1911" spans="1:67" s="74" customFormat="1">
      <c r="A1911" s="15"/>
      <c r="B1911" s="15"/>
      <c r="C1911" s="15"/>
      <c r="D1911" s="15"/>
      <c r="E1911" s="6"/>
      <c r="F1911" s="6"/>
      <c r="G1911" s="6"/>
      <c r="K1911" s="223"/>
      <c r="M1911" s="889"/>
      <c r="P1911" s="890"/>
      <c r="T1911" s="889"/>
      <c r="X1911" s="15"/>
      <c r="Y1911" s="1935"/>
      <c r="Z1911" s="1086"/>
      <c r="AA1911" s="230"/>
      <c r="AB1911" s="230"/>
      <c r="AC1911" s="1936"/>
      <c r="AD1911" s="230"/>
      <c r="AE1911" s="230"/>
      <c r="AF1911" s="230"/>
      <c r="AG1911" s="890"/>
      <c r="AJ1911" s="890"/>
      <c r="AN1911" s="223"/>
      <c r="AO1911" s="952"/>
      <c r="AP1911" s="1066"/>
      <c r="AQ1911" s="972"/>
      <c r="AR1911" s="1917"/>
      <c r="AS1911" s="222"/>
      <c r="AZ1911" s="889"/>
      <c r="BC1911" s="890"/>
      <c r="BD1911" s="952"/>
      <c r="BE1911" s="75"/>
      <c r="BF1911" s="572"/>
      <c r="BG1911" s="983"/>
      <c r="BH1911" s="222"/>
      <c r="BL1911" s="889"/>
      <c r="BO1911" s="223"/>
    </row>
    <row r="1912" spans="1:67" s="74" customFormat="1">
      <c r="A1912" s="15"/>
      <c r="B1912" s="15"/>
      <c r="C1912" s="15"/>
      <c r="D1912" s="15"/>
      <c r="E1912" s="6"/>
      <c r="F1912" s="6"/>
      <c r="G1912" s="6"/>
      <c r="K1912" s="223"/>
      <c r="M1912" s="889"/>
      <c r="P1912" s="890"/>
      <c r="T1912" s="889"/>
      <c r="X1912" s="15"/>
      <c r="Y1912" s="1935"/>
      <c r="Z1912" s="1086"/>
      <c r="AA1912" s="230"/>
      <c r="AB1912" s="230"/>
      <c r="AC1912" s="1936"/>
      <c r="AD1912" s="230"/>
      <c r="AE1912" s="230"/>
      <c r="AF1912" s="230"/>
      <c r="AG1912" s="890"/>
      <c r="AJ1912" s="890"/>
      <c r="AN1912" s="223"/>
      <c r="AO1912" s="952"/>
      <c r="AP1912" s="1066"/>
      <c r="AQ1912" s="972"/>
      <c r="AR1912" s="1917"/>
      <c r="AS1912" s="222"/>
      <c r="AZ1912" s="889"/>
      <c r="BC1912" s="890"/>
      <c r="BD1912" s="952"/>
      <c r="BE1912" s="75"/>
      <c r="BF1912" s="572"/>
      <c r="BG1912" s="983"/>
      <c r="BH1912" s="222"/>
      <c r="BL1912" s="889"/>
      <c r="BO1912" s="223"/>
    </row>
    <row r="1913" spans="1:67" s="74" customFormat="1">
      <c r="A1913" s="15"/>
      <c r="B1913" s="15"/>
      <c r="C1913" s="15"/>
      <c r="D1913" s="15"/>
      <c r="E1913" s="6"/>
      <c r="F1913" s="6"/>
      <c r="G1913" s="6"/>
      <c r="K1913" s="223"/>
      <c r="M1913" s="889"/>
      <c r="P1913" s="890"/>
      <c r="T1913" s="889"/>
      <c r="X1913" s="15"/>
      <c r="Y1913" s="1935"/>
      <c r="Z1913" s="1086"/>
      <c r="AA1913" s="230"/>
      <c r="AB1913" s="230"/>
      <c r="AC1913" s="1936"/>
      <c r="AD1913" s="230"/>
      <c r="AE1913" s="230"/>
      <c r="AF1913" s="230"/>
      <c r="AG1913" s="890"/>
      <c r="AJ1913" s="890"/>
      <c r="AN1913" s="223"/>
      <c r="AO1913" s="952"/>
      <c r="AP1913" s="1066"/>
      <c r="AQ1913" s="972"/>
      <c r="AR1913" s="1917"/>
      <c r="AS1913" s="222"/>
      <c r="AZ1913" s="889"/>
      <c r="BC1913" s="890"/>
      <c r="BD1913" s="952"/>
      <c r="BE1913" s="75"/>
      <c r="BF1913" s="572"/>
      <c r="BG1913" s="983"/>
      <c r="BH1913" s="222"/>
      <c r="BL1913" s="889"/>
      <c r="BO1913" s="223"/>
    </row>
    <row r="1914" spans="1:67" s="74" customFormat="1">
      <c r="A1914" s="15"/>
      <c r="B1914" s="15"/>
      <c r="C1914" s="15"/>
      <c r="D1914" s="15"/>
      <c r="E1914" s="6"/>
      <c r="F1914" s="6"/>
      <c r="G1914" s="6"/>
      <c r="K1914" s="223"/>
      <c r="M1914" s="889"/>
      <c r="P1914" s="890"/>
      <c r="T1914" s="889"/>
      <c r="X1914" s="15"/>
      <c r="Y1914" s="1935"/>
      <c r="Z1914" s="1086"/>
      <c r="AA1914" s="230"/>
      <c r="AB1914" s="230"/>
      <c r="AC1914" s="1936"/>
      <c r="AD1914" s="230"/>
      <c r="AE1914" s="230"/>
      <c r="AF1914" s="230"/>
      <c r="AG1914" s="890"/>
      <c r="AJ1914" s="890"/>
      <c r="AN1914" s="223"/>
      <c r="AO1914" s="952"/>
      <c r="AP1914" s="1066"/>
      <c r="AQ1914" s="972"/>
      <c r="AR1914" s="1917"/>
      <c r="AS1914" s="222"/>
      <c r="AZ1914" s="889"/>
      <c r="BC1914" s="890"/>
      <c r="BD1914" s="952"/>
      <c r="BE1914" s="75"/>
      <c r="BF1914" s="572"/>
      <c r="BG1914" s="983"/>
      <c r="BH1914" s="222"/>
      <c r="BL1914" s="889"/>
      <c r="BO1914" s="223"/>
    </row>
    <row r="1915" spans="1:67" s="74" customFormat="1">
      <c r="A1915" s="15"/>
      <c r="B1915" s="15"/>
      <c r="C1915" s="15"/>
      <c r="D1915" s="15"/>
      <c r="E1915" s="6"/>
      <c r="F1915" s="6"/>
      <c r="G1915" s="6"/>
      <c r="K1915" s="223"/>
      <c r="M1915" s="889"/>
      <c r="P1915" s="890"/>
      <c r="T1915" s="889"/>
      <c r="X1915" s="15"/>
      <c r="Y1915" s="1935"/>
      <c r="Z1915" s="1086"/>
      <c r="AA1915" s="230"/>
      <c r="AB1915" s="230"/>
      <c r="AC1915" s="1936"/>
      <c r="AD1915" s="230"/>
      <c r="AE1915" s="230"/>
      <c r="AF1915" s="230"/>
      <c r="AG1915" s="890"/>
      <c r="AJ1915" s="890"/>
      <c r="AN1915" s="223"/>
      <c r="AO1915" s="952"/>
      <c r="AP1915" s="1066"/>
      <c r="AQ1915" s="972"/>
      <c r="AR1915" s="1917"/>
      <c r="AS1915" s="222"/>
      <c r="AZ1915" s="889"/>
      <c r="BC1915" s="890"/>
      <c r="BD1915" s="952"/>
      <c r="BE1915" s="75"/>
      <c r="BF1915" s="572"/>
      <c r="BG1915" s="983"/>
      <c r="BH1915" s="222"/>
      <c r="BL1915" s="889"/>
      <c r="BO1915" s="223"/>
    </row>
    <row r="1916" spans="1:67" s="74" customFormat="1">
      <c r="A1916" s="15"/>
      <c r="B1916" s="15"/>
      <c r="C1916" s="15"/>
      <c r="D1916" s="15"/>
      <c r="E1916" s="6"/>
      <c r="F1916" s="6"/>
      <c r="G1916" s="6"/>
      <c r="K1916" s="223"/>
      <c r="M1916" s="889"/>
      <c r="P1916" s="890"/>
      <c r="T1916" s="889"/>
      <c r="X1916" s="15"/>
      <c r="Y1916" s="1935"/>
      <c r="Z1916" s="1086"/>
      <c r="AA1916" s="230"/>
      <c r="AB1916" s="230"/>
      <c r="AC1916" s="1936"/>
      <c r="AD1916" s="230"/>
      <c r="AE1916" s="230"/>
      <c r="AF1916" s="230"/>
      <c r="AG1916" s="890"/>
      <c r="AJ1916" s="890"/>
      <c r="AN1916" s="223"/>
      <c r="AO1916" s="952"/>
      <c r="AP1916" s="1066"/>
      <c r="AQ1916" s="972"/>
      <c r="AR1916" s="1917"/>
      <c r="AS1916" s="222"/>
      <c r="AZ1916" s="889"/>
      <c r="BC1916" s="890"/>
      <c r="BD1916" s="952"/>
      <c r="BE1916" s="75"/>
      <c r="BF1916" s="572"/>
      <c r="BG1916" s="983"/>
      <c r="BH1916" s="222"/>
      <c r="BL1916" s="889"/>
      <c r="BO1916" s="223"/>
    </row>
    <row r="1917" spans="1:67" s="74" customFormat="1">
      <c r="A1917" s="15"/>
      <c r="B1917" s="15"/>
      <c r="C1917" s="15"/>
      <c r="D1917" s="15"/>
      <c r="E1917" s="6"/>
      <c r="F1917" s="6"/>
      <c r="G1917" s="6"/>
      <c r="K1917" s="223"/>
      <c r="M1917" s="889"/>
      <c r="P1917" s="890"/>
      <c r="T1917" s="889"/>
      <c r="X1917" s="15"/>
      <c r="Y1917" s="1935"/>
      <c r="Z1917" s="1086"/>
      <c r="AA1917" s="230"/>
      <c r="AB1917" s="230"/>
      <c r="AC1917" s="1936"/>
      <c r="AD1917" s="230"/>
      <c r="AE1917" s="230"/>
      <c r="AF1917" s="230"/>
      <c r="AG1917" s="890"/>
      <c r="AJ1917" s="890"/>
      <c r="AN1917" s="223"/>
      <c r="AO1917" s="952"/>
      <c r="AP1917" s="1066"/>
      <c r="AQ1917" s="972"/>
      <c r="AR1917" s="1917"/>
      <c r="AS1917" s="222"/>
      <c r="AZ1917" s="889"/>
      <c r="BC1917" s="890"/>
      <c r="BD1917" s="952"/>
      <c r="BE1917" s="75"/>
      <c r="BF1917" s="572"/>
      <c r="BG1917" s="983"/>
      <c r="BH1917" s="222"/>
      <c r="BL1917" s="889"/>
      <c r="BO1917" s="223"/>
    </row>
    <row r="1918" spans="1:67" s="74" customFormat="1">
      <c r="A1918" s="15"/>
      <c r="B1918" s="15"/>
      <c r="C1918" s="15"/>
      <c r="D1918" s="15"/>
      <c r="E1918" s="6"/>
      <c r="F1918" s="6"/>
      <c r="G1918" s="6"/>
      <c r="K1918" s="223"/>
      <c r="M1918" s="889"/>
      <c r="P1918" s="890"/>
      <c r="T1918" s="889"/>
      <c r="X1918" s="15"/>
      <c r="Y1918" s="1935"/>
      <c r="Z1918" s="1086"/>
      <c r="AA1918" s="230"/>
      <c r="AB1918" s="230"/>
      <c r="AC1918" s="1936"/>
      <c r="AD1918" s="230"/>
      <c r="AE1918" s="230"/>
      <c r="AF1918" s="230"/>
      <c r="AG1918" s="890"/>
      <c r="AJ1918" s="890"/>
      <c r="AN1918" s="223"/>
      <c r="AO1918" s="952"/>
      <c r="AP1918" s="1066"/>
      <c r="AQ1918" s="972"/>
      <c r="AR1918" s="1917"/>
      <c r="AS1918" s="222"/>
      <c r="AZ1918" s="889"/>
      <c r="BC1918" s="890"/>
      <c r="BD1918" s="952"/>
      <c r="BE1918" s="75"/>
      <c r="BF1918" s="572"/>
      <c r="BG1918" s="983"/>
      <c r="BH1918" s="222"/>
      <c r="BL1918" s="889"/>
      <c r="BO1918" s="223"/>
    </row>
    <row r="1919" spans="1:67" s="74" customFormat="1">
      <c r="A1919" s="15"/>
      <c r="B1919" s="15"/>
      <c r="C1919" s="15"/>
      <c r="D1919" s="15"/>
      <c r="E1919" s="6"/>
      <c r="F1919" s="6"/>
      <c r="G1919" s="6"/>
      <c r="K1919" s="223"/>
      <c r="M1919" s="889"/>
      <c r="P1919" s="890"/>
      <c r="T1919" s="889"/>
      <c r="X1919" s="15"/>
      <c r="Y1919" s="1935"/>
      <c r="Z1919" s="1086"/>
      <c r="AA1919" s="230"/>
      <c r="AB1919" s="230"/>
      <c r="AC1919" s="1936"/>
      <c r="AD1919" s="230"/>
      <c r="AE1919" s="230"/>
      <c r="AF1919" s="230"/>
      <c r="AG1919" s="890"/>
      <c r="AJ1919" s="890"/>
      <c r="AN1919" s="223"/>
      <c r="AO1919" s="952"/>
      <c r="AP1919" s="1066"/>
      <c r="AQ1919" s="972"/>
      <c r="AR1919" s="1917"/>
      <c r="AS1919" s="222"/>
      <c r="AZ1919" s="889"/>
      <c r="BC1919" s="890"/>
      <c r="BD1919" s="952"/>
      <c r="BE1919" s="75"/>
      <c r="BF1919" s="572"/>
      <c r="BG1919" s="983"/>
      <c r="BH1919" s="222"/>
      <c r="BL1919" s="889"/>
      <c r="BO1919" s="223"/>
    </row>
    <row r="1920" spans="1:67" s="74" customFormat="1">
      <c r="A1920" s="15"/>
      <c r="B1920" s="15"/>
      <c r="C1920" s="15"/>
      <c r="D1920" s="15"/>
      <c r="E1920" s="6"/>
      <c r="F1920" s="6"/>
      <c r="G1920" s="6"/>
      <c r="K1920" s="223"/>
      <c r="M1920" s="889"/>
      <c r="P1920" s="890"/>
      <c r="T1920" s="889"/>
      <c r="X1920" s="15"/>
      <c r="Y1920" s="1935"/>
      <c r="Z1920" s="1086"/>
      <c r="AA1920" s="230"/>
      <c r="AB1920" s="230"/>
      <c r="AC1920" s="1936"/>
      <c r="AD1920" s="230"/>
      <c r="AE1920" s="230"/>
      <c r="AF1920" s="230"/>
      <c r="AG1920" s="890"/>
      <c r="AJ1920" s="890"/>
      <c r="AN1920" s="223"/>
      <c r="AO1920" s="952"/>
      <c r="AP1920" s="1066"/>
      <c r="AQ1920" s="972"/>
      <c r="AR1920" s="1917"/>
      <c r="AS1920" s="222"/>
      <c r="AZ1920" s="889"/>
      <c r="BC1920" s="890"/>
      <c r="BD1920" s="952"/>
      <c r="BE1920" s="75"/>
      <c r="BF1920" s="572"/>
      <c r="BG1920" s="983"/>
      <c r="BH1920" s="222"/>
      <c r="BL1920" s="889"/>
      <c r="BO1920" s="223"/>
    </row>
    <row r="1921" spans="1:67" s="74" customFormat="1">
      <c r="A1921" s="15"/>
      <c r="B1921" s="15"/>
      <c r="C1921" s="15"/>
      <c r="D1921" s="15"/>
      <c r="E1921" s="6"/>
      <c r="F1921" s="6"/>
      <c r="G1921" s="6"/>
      <c r="K1921" s="223"/>
      <c r="M1921" s="889"/>
      <c r="P1921" s="890"/>
      <c r="T1921" s="889"/>
      <c r="X1921" s="15"/>
      <c r="Y1921" s="1935"/>
      <c r="Z1921" s="1086"/>
      <c r="AA1921" s="230"/>
      <c r="AB1921" s="230"/>
      <c r="AC1921" s="1936"/>
      <c r="AD1921" s="230"/>
      <c r="AE1921" s="230"/>
      <c r="AF1921" s="230"/>
      <c r="AG1921" s="890"/>
      <c r="AJ1921" s="890"/>
      <c r="AN1921" s="223"/>
      <c r="AO1921" s="952"/>
      <c r="AP1921" s="1066"/>
      <c r="AQ1921" s="972"/>
      <c r="AR1921" s="1917"/>
      <c r="AS1921" s="222"/>
      <c r="AZ1921" s="889"/>
      <c r="BC1921" s="890"/>
      <c r="BD1921" s="952"/>
      <c r="BE1921" s="75"/>
      <c r="BF1921" s="572"/>
      <c r="BG1921" s="983"/>
      <c r="BH1921" s="222"/>
      <c r="BL1921" s="889"/>
      <c r="BO1921" s="223"/>
    </row>
    <row r="1922" spans="1:67" s="74" customFormat="1">
      <c r="A1922" s="15"/>
      <c r="B1922" s="15"/>
      <c r="C1922" s="15"/>
      <c r="D1922" s="15"/>
      <c r="E1922" s="6"/>
      <c r="F1922" s="6"/>
      <c r="G1922" s="6"/>
      <c r="K1922" s="223"/>
      <c r="M1922" s="889"/>
      <c r="P1922" s="890"/>
      <c r="T1922" s="889"/>
      <c r="X1922" s="15"/>
      <c r="Y1922" s="1935"/>
      <c r="Z1922" s="1086"/>
      <c r="AA1922" s="230"/>
      <c r="AB1922" s="230"/>
      <c r="AC1922" s="1936"/>
      <c r="AD1922" s="230"/>
      <c r="AE1922" s="230"/>
      <c r="AF1922" s="230"/>
      <c r="AG1922" s="890"/>
      <c r="AJ1922" s="890"/>
      <c r="AN1922" s="223"/>
      <c r="AO1922" s="952"/>
      <c r="AP1922" s="1066"/>
      <c r="AQ1922" s="972"/>
      <c r="AR1922" s="1917"/>
      <c r="AS1922" s="222"/>
      <c r="AZ1922" s="889"/>
      <c r="BC1922" s="890"/>
      <c r="BD1922" s="952"/>
      <c r="BE1922" s="75"/>
      <c r="BF1922" s="572"/>
      <c r="BG1922" s="983"/>
      <c r="BH1922" s="222"/>
      <c r="BL1922" s="889"/>
      <c r="BO1922" s="223"/>
    </row>
    <row r="1923" spans="1:67" s="74" customFormat="1">
      <c r="A1923" s="15"/>
      <c r="B1923" s="15"/>
      <c r="C1923" s="15"/>
      <c r="D1923" s="15"/>
      <c r="E1923" s="6"/>
      <c r="F1923" s="6"/>
      <c r="G1923" s="6"/>
      <c r="K1923" s="223"/>
      <c r="M1923" s="889"/>
      <c r="P1923" s="890"/>
      <c r="T1923" s="889"/>
      <c r="X1923" s="15"/>
      <c r="Y1923" s="1935"/>
      <c r="Z1923" s="1086"/>
      <c r="AA1923" s="230"/>
      <c r="AB1923" s="230"/>
      <c r="AC1923" s="1936"/>
      <c r="AD1923" s="230"/>
      <c r="AE1923" s="230"/>
      <c r="AF1923" s="230"/>
      <c r="AG1923" s="890"/>
      <c r="AJ1923" s="890"/>
      <c r="AN1923" s="223"/>
      <c r="AO1923" s="952"/>
      <c r="AP1923" s="1066"/>
      <c r="AQ1923" s="972"/>
      <c r="AR1923" s="1917"/>
      <c r="AS1923" s="222"/>
      <c r="AZ1923" s="889"/>
      <c r="BC1923" s="890"/>
      <c r="BD1923" s="952"/>
      <c r="BE1923" s="75"/>
      <c r="BF1923" s="572"/>
      <c r="BG1923" s="983"/>
      <c r="BH1923" s="222"/>
      <c r="BL1923" s="889"/>
      <c r="BO1923" s="223"/>
    </row>
    <row r="1924" spans="1:67" s="74" customFormat="1">
      <c r="A1924" s="15"/>
      <c r="B1924" s="15"/>
      <c r="C1924" s="15"/>
      <c r="D1924" s="15"/>
      <c r="E1924" s="6"/>
      <c r="F1924" s="6"/>
      <c r="G1924" s="6"/>
      <c r="K1924" s="223"/>
      <c r="M1924" s="889"/>
      <c r="P1924" s="890"/>
      <c r="T1924" s="889"/>
      <c r="X1924" s="15"/>
      <c r="Y1924" s="1935"/>
      <c r="Z1924" s="1086"/>
      <c r="AA1924" s="230"/>
      <c r="AB1924" s="230"/>
      <c r="AC1924" s="1936"/>
      <c r="AD1924" s="230"/>
      <c r="AE1924" s="230"/>
      <c r="AF1924" s="230"/>
      <c r="AG1924" s="890"/>
      <c r="AJ1924" s="890"/>
      <c r="AN1924" s="223"/>
      <c r="AO1924" s="952"/>
      <c r="AP1924" s="1066"/>
      <c r="AQ1924" s="972"/>
      <c r="AR1924" s="1917"/>
      <c r="AS1924" s="222"/>
      <c r="AZ1924" s="889"/>
      <c r="BC1924" s="890"/>
      <c r="BD1924" s="952"/>
      <c r="BE1924" s="75"/>
      <c r="BF1924" s="572"/>
      <c r="BG1924" s="983"/>
      <c r="BH1924" s="222"/>
      <c r="BL1924" s="889"/>
      <c r="BO1924" s="223"/>
    </row>
    <row r="1925" spans="1:67" s="74" customFormat="1">
      <c r="A1925" s="15"/>
      <c r="B1925" s="15"/>
      <c r="C1925" s="15"/>
      <c r="D1925" s="15"/>
      <c r="E1925" s="6"/>
      <c r="F1925" s="6"/>
      <c r="G1925" s="6"/>
      <c r="K1925" s="223"/>
      <c r="M1925" s="889"/>
      <c r="P1925" s="890"/>
      <c r="T1925" s="889"/>
      <c r="X1925" s="15"/>
      <c r="Y1925" s="1935"/>
      <c r="Z1925" s="1086"/>
      <c r="AA1925" s="230"/>
      <c r="AB1925" s="230"/>
      <c r="AC1925" s="1936"/>
      <c r="AD1925" s="230"/>
      <c r="AE1925" s="230"/>
      <c r="AF1925" s="230"/>
      <c r="AG1925" s="890"/>
      <c r="AJ1925" s="890"/>
      <c r="AN1925" s="223"/>
      <c r="AO1925" s="952"/>
      <c r="AP1925" s="1066"/>
      <c r="AQ1925" s="972"/>
      <c r="AR1925" s="1917"/>
      <c r="AS1925" s="222"/>
      <c r="AZ1925" s="889"/>
      <c r="BC1925" s="890"/>
      <c r="BD1925" s="952"/>
      <c r="BE1925" s="75"/>
      <c r="BF1925" s="572"/>
      <c r="BG1925" s="983"/>
      <c r="BH1925" s="222"/>
      <c r="BL1925" s="889"/>
      <c r="BO1925" s="223"/>
    </row>
    <row r="1926" spans="1:67" s="74" customFormat="1">
      <c r="A1926" s="15"/>
      <c r="B1926" s="15"/>
      <c r="C1926" s="15"/>
      <c r="D1926" s="15"/>
      <c r="E1926" s="6"/>
      <c r="F1926" s="6"/>
      <c r="G1926" s="6"/>
      <c r="K1926" s="223"/>
      <c r="M1926" s="889"/>
      <c r="P1926" s="890"/>
      <c r="T1926" s="889"/>
      <c r="X1926" s="15"/>
      <c r="Y1926" s="1935"/>
      <c r="Z1926" s="1086"/>
      <c r="AA1926" s="230"/>
      <c r="AB1926" s="230"/>
      <c r="AC1926" s="1936"/>
      <c r="AD1926" s="230"/>
      <c r="AE1926" s="230"/>
      <c r="AF1926" s="230"/>
      <c r="AG1926" s="890"/>
      <c r="AJ1926" s="890"/>
      <c r="AN1926" s="223"/>
      <c r="AO1926" s="952"/>
      <c r="AP1926" s="1066"/>
      <c r="AQ1926" s="972"/>
      <c r="AR1926" s="1917"/>
      <c r="AS1926" s="222"/>
      <c r="AZ1926" s="889"/>
      <c r="BC1926" s="890"/>
      <c r="BD1926" s="952"/>
      <c r="BE1926" s="75"/>
      <c r="BF1926" s="572"/>
      <c r="BG1926" s="983"/>
      <c r="BH1926" s="222"/>
      <c r="BL1926" s="889"/>
      <c r="BO1926" s="223"/>
    </row>
    <row r="1927" spans="1:67" s="74" customFormat="1">
      <c r="A1927" s="15"/>
      <c r="B1927" s="15"/>
      <c r="C1927" s="15"/>
      <c r="D1927" s="15"/>
      <c r="E1927" s="6"/>
      <c r="F1927" s="6"/>
      <c r="G1927" s="6"/>
      <c r="K1927" s="223"/>
      <c r="M1927" s="889"/>
      <c r="P1927" s="890"/>
      <c r="T1927" s="889"/>
      <c r="X1927" s="15"/>
      <c r="Y1927" s="1935"/>
      <c r="Z1927" s="1086"/>
      <c r="AA1927" s="230"/>
      <c r="AB1927" s="230"/>
      <c r="AC1927" s="1936"/>
      <c r="AD1927" s="230"/>
      <c r="AE1927" s="230"/>
      <c r="AF1927" s="230"/>
      <c r="AG1927" s="890"/>
      <c r="AJ1927" s="890"/>
      <c r="AN1927" s="223"/>
      <c r="AO1927" s="952"/>
      <c r="AP1927" s="1066"/>
      <c r="AQ1927" s="972"/>
      <c r="AR1927" s="1917"/>
      <c r="AS1927" s="222"/>
      <c r="AZ1927" s="889"/>
      <c r="BC1927" s="890"/>
      <c r="BD1927" s="952"/>
      <c r="BE1927" s="75"/>
      <c r="BF1927" s="572"/>
      <c r="BG1927" s="983"/>
      <c r="BH1927" s="222"/>
      <c r="BL1927" s="889"/>
      <c r="BO1927" s="223"/>
    </row>
    <row r="1928" spans="1:67" s="74" customFormat="1">
      <c r="A1928" s="15"/>
      <c r="B1928" s="15"/>
      <c r="C1928" s="15"/>
      <c r="D1928" s="15"/>
      <c r="E1928" s="6"/>
      <c r="F1928" s="6"/>
      <c r="G1928" s="6"/>
      <c r="K1928" s="223"/>
      <c r="M1928" s="889"/>
      <c r="P1928" s="890"/>
      <c r="T1928" s="889"/>
      <c r="X1928" s="15"/>
      <c r="Y1928" s="1935"/>
      <c r="Z1928" s="1086"/>
      <c r="AA1928" s="230"/>
      <c r="AB1928" s="230"/>
      <c r="AC1928" s="1936"/>
      <c r="AD1928" s="230"/>
      <c r="AE1928" s="230"/>
      <c r="AF1928" s="230"/>
      <c r="AG1928" s="890"/>
      <c r="AJ1928" s="890"/>
      <c r="AN1928" s="223"/>
      <c r="AO1928" s="952"/>
      <c r="AP1928" s="1066"/>
      <c r="AQ1928" s="972"/>
      <c r="AR1928" s="1917"/>
      <c r="AS1928" s="222"/>
      <c r="AZ1928" s="889"/>
      <c r="BC1928" s="890"/>
      <c r="BD1928" s="952"/>
      <c r="BE1928" s="75"/>
      <c r="BF1928" s="572"/>
      <c r="BG1928" s="983"/>
      <c r="BH1928" s="222"/>
      <c r="BL1928" s="889"/>
      <c r="BO1928" s="223"/>
    </row>
    <row r="1929" spans="1:67" s="74" customFormat="1">
      <c r="A1929" s="15"/>
      <c r="B1929" s="15"/>
      <c r="C1929" s="15"/>
      <c r="D1929" s="15"/>
      <c r="E1929" s="6"/>
      <c r="F1929" s="6"/>
      <c r="G1929" s="6"/>
      <c r="K1929" s="223"/>
      <c r="M1929" s="889"/>
      <c r="P1929" s="890"/>
      <c r="T1929" s="889"/>
      <c r="X1929" s="15"/>
      <c r="Y1929" s="1935"/>
      <c r="Z1929" s="1086"/>
      <c r="AA1929" s="230"/>
      <c r="AB1929" s="230"/>
      <c r="AC1929" s="1936"/>
      <c r="AD1929" s="230"/>
      <c r="AE1929" s="230"/>
      <c r="AF1929" s="230"/>
      <c r="AG1929" s="890"/>
      <c r="AJ1929" s="890"/>
      <c r="AN1929" s="223"/>
      <c r="AO1929" s="952"/>
      <c r="AP1929" s="1066"/>
      <c r="AQ1929" s="972"/>
      <c r="AR1929" s="1917"/>
      <c r="AS1929" s="222"/>
      <c r="AZ1929" s="889"/>
      <c r="BC1929" s="890"/>
      <c r="BD1929" s="952"/>
      <c r="BE1929" s="75"/>
      <c r="BF1929" s="572"/>
      <c r="BG1929" s="983"/>
      <c r="BH1929" s="222"/>
      <c r="BL1929" s="889"/>
      <c r="BO1929" s="223"/>
    </row>
    <row r="1930" spans="1:67" s="74" customFormat="1">
      <c r="A1930" s="15"/>
      <c r="B1930" s="15"/>
      <c r="C1930" s="15"/>
      <c r="D1930" s="15"/>
      <c r="E1930" s="6"/>
      <c r="F1930" s="6"/>
      <c r="G1930" s="6"/>
      <c r="K1930" s="223"/>
      <c r="M1930" s="889"/>
      <c r="P1930" s="890"/>
      <c r="T1930" s="889"/>
      <c r="X1930" s="15"/>
      <c r="Y1930" s="1935"/>
      <c r="Z1930" s="1086"/>
      <c r="AA1930" s="230"/>
      <c r="AB1930" s="230"/>
      <c r="AC1930" s="1936"/>
      <c r="AD1930" s="230"/>
      <c r="AE1930" s="230"/>
      <c r="AF1930" s="230"/>
      <c r="AG1930" s="890"/>
      <c r="AJ1930" s="890"/>
      <c r="AN1930" s="223"/>
      <c r="AO1930" s="952"/>
      <c r="AP1930" s="1066"/>
      <c r="AQ1930" s="972"/>
      <c r="AR1930" s="1917"/>
      <c r="AS1930" s="222"/>
      <c r="AZ1930" s="889"/>
      <c r="BC1930" s="890"/>
      <c r="BD1930" s="952"/>
      <c r="BE1930" s="75"/>
      <c r="BF1930" s="572"/>
      <c r="BG1930" s="983"/>
      <c r="BH1930" s="222"/>
      <c r="BL1930" s="889"/>
      <c r="BO1930" s="223"/>
    </row>
    <row r="1931" spans="1:67" s="74" customFormat="1">
      <c r="A1931" s="15"/>
      <c r="B1931" s="15"/>
      <c r="C1931" s="15"/>
      <c r="D1931" s="15"/>
      <c r="E1931" s="6"/>
      <c r="F1931" s="6"/>
      <c r="G1931" s="6"/>
      <c r="K1931" s="223"/>
      <c r="M1931" s="889"/>
      <c r="P1931" s="890"/>
      <c r="T1931" s="889"/>
      <c r="X1931" s="15"/>
      <c r="Y1931" s="1935"/>
      <c r="Z1931" s="1086"/>
      <c r="AA1931" s="230"/>
      <c r="AB1931" s="230"/>
      <c r="AC1931" s="1936"/>
      <c r="AD1931" s="230"/>
      <c r="AE1931" s="230"/>
      <c r="AF1931" s="230"/>
      <c r="AG1931" s="890"/>
      <c r="AJ1931" s="890"/>
      <c r="AN1931" s="223"/>
      <c r="AO1931" s="952"/>
      <c r="AP1931" s="1066"/>
      <c r="AQ1931" s="972"/>
      <c r="AR1931" s="1917"/>
      <c r="AS1931" s="222"/>
      <c r="AZ1931" s="889"/>
      <c r="BC1931" s="890"/>
      <c r="BD1931" s="952"/>
      <c r="BE1931" s="75"/>
      <c r="BF1931" s="572"/>
      <c r="BG1931" s="983"/>
      <c r="BH1931" s="222"/>
      <c r="BL1931" s="889"/>
      <c r="BO1931" s="223"/>
    </row>
    <row r="1932" spans="1:67" s="74" customFormat="1">
      <c r="A1932" s="15"/>
      <c r="B1932" s="15"/>
      <c r="C1932" s="15"/>
      <c r="D1932" s="15"/>
      <c r="E1932" s="6"/>
      <c r="F1932" s="6"/>
      <c r="G1932" s="6"/>
      <c r="K1932" s="223"/>
      <c r="M1932" s="889"/>
      <c r="P1932" s="890"/>
      <c r="T1932" s="889"/>
      <c r="X1932" s="15"/>
      <c r="Y1932" s="1935"/>
      <c r="Z1932" s="1086"/>
      <c r="AA1932" s="230"/>
      <c r="AB1932" s="230"/>
      <c r="AC1932" s="1936"/>
      <c r="AD1932" s="230"/>
      <c r="AE1932" s="230"/>
      <c r="AF1932" s="230"/>
      <c r="AG1932" s="890"/>
      <c r="AJ1932" s="890"/>
      <c r="AN1932" s="223"/>
      <c r="AO1932" s="952"/>
      <c r="AP1932" s="1066"/>
      <c r="AQ1932" s="972"/>
      <c r="AR1932" s="1917"/>
      <c r="AS1932" s="222"/>
      <c r="AZ1932" s="889"/>
      <c r="BC1932" s="890"/>
      <c r="BD1932" s="952"/>
      <c r="BE1932" s="75"/>
      <c r="BF1932" s="572"/>
      <c r="BG1932" s="983"/>
      <c r="BH1932" s="222"/>
      <c r="BL1932" s="889"/>
      <c r="BO1932" s="223"/>
    </row>
    <row r="1933" spans="1:67" s="74" customFormat="1">
      <c r="A1933" s="15"/>
      <c r="B1933" s="15"/>
      <c r="C1933" s="15"/>
      <c r="D1933" s="15"/>
      <c r="E1933" s="6"/>
      <c r="F1933" s="6"/>
      <c r="G1933" s="6"/>
      <c r="K1933" s="223"/>
      <c r="M1933" s="889"/>
      <c r="P1933" s="890"/>
      <c r="T1933" s="889"/>
      <c r="X1933" s="15"/>
      <c r="Y1933" s="1935"/>
      <c r="Z1933" s="1086"/>
      <c r="AA1933" s="230"/>
      <c r="AB1933" s="230"/>
      <c r="AC1933" s="1936"/>
      <c r="AD1933" s="230"/>
      <c r="AE1933" s="230"/>
      <c r="AF1933" s="230"/>
      <c r="AG1933" s="890"/>
      <c r="AJ1933" s="890"/>
      <c r="AN1933" s="223"/>
      <c r="AO1933" s="952"/>
      <c r="AP1933" s="1066"/>
      <c r="AQ1933" s="972"/>
      <c r="AR1933" s="1917"/>
      <c r="AS1933" s="222"/>
      <c r="AZ1933" s="889"/>
      <c r="BC1933" s="890"/>
      <c r="BD1933" s="952"/>
      <c r="BE1933" s="75"/>
      <c r="BF1933" s="572"/>
      <c r="BG1933" s="983"/>
      <c r="BH1933" s="222"/>
      <c r="BL1933" s="889"/>
      <c r="BO1933" s="223"/>
    </row>
    <row r="1934" spans="1:67" s="74" customFormat="1">
      <c r="A1934" s="15"/>
      <c r="B1934" s="15"/>
      <c r="C1934" s="15"/>
      <c r="D1934" s="15"/>
      <c r="E1934" s="6"/>
      <c r="F1934" s="6"/>
      <c r="G1934" s="6"/>
      <c r="K1934" s="223"/>
      <c r="M1934" s="889"/>
      <c r="P1934" s="890"/>
      <c r="T1934" s="889"/>
      <c r="X1934" s="15"/>
      <c r="Y1934" s="1935"/>
      <c r="Z1934" s="1086"/>
      <c r="AA1934" s="230"/>
      <c r="AB1934" s="230"/>
      <c r="AC1934" s="1936"/>
      <c r="AD1934" s="230"/>
      <c r="AE1934" s="230"/>
      <c r="AF1934" s="230"/>
      <c r="AG1934" s="890"/>
      <c r="AJ1934" s="890"/>
      <c r="AN1934" s="223"/>
      <c r="AO1934" s="952"/>
      <c r="AP1934" s="1066"/>
      <c r="AQ1934" s="972"/>
      <c r="AR1934" s="1917"/>
      <c r="AS1934" s="222"/>
      <c r="AZ1934" s="889"/>
      <c r="BC1934" s="890"/>
      <c r="BD1934" s="952"/>
      <c r="BE1934" s="75"/>
      <c r="BF1934" s="572"/>
      <c r="BG1934" s="983"/>
      <c r="BH1934" s="222"/>
      <c r="BL1934" s="889"/>
      <c r="BO1934" s="223"/>
    </row>
    <row r="1935" spans="1:67" s="74" customFormat="1">
      <c r="A1935" s="15"/>
      <c r="B1935" s="15"/>
      <c r="C1935" s="15"/>
      <c r="D1935" s="15"/>
      <c r="E1935" s="6"/>
      <c r="F1935" s="6"/>
      <c r="G1935" s="6"/>
      <c r="K1935" s="223"/>
      <c r="M1935" s="889"/>
      <c r="P1935" s="890"/>
      <c r="T1935" s="889"/>
      <c r="X1935" s="15"/>
      <c r="Y1935" s="1935"/>
      <c r="Z1935" s="1086"/>
      <c r="AA1935" s="230"/>
      <c r="AB1935" s="230"/>
      <c r="AC1935" s="1936"/>
      <c r="AD1935" s="230"/>
      <c r="AE1935" s="230"/>
      <c r="AF1935" s="230"/>
      <c r="AG1935" s="890"/>
      <c r="AJ1935" s="890"/>
      <c r="AN1935" s="223"/>
      <c r="AO1935" s="952"/>
      <c r="AP1935" s="1066"/>
      <c r="AQ1935" s="972"/>
      <c r="AR1935" s="1917"/>
      <c r="AS1935" s="222"/>
      <c r="AZ1935" s="889"/>
      <c r="BC1935" s="890"/>
      <c r="BD1935" s="952"/>
      <c r="BE1935" s="75"/>
      <c r="BF1935" s="572"/>
      <c r="BG1935" s="983"/>
      <c r="BH1935" s="222"/>
      <c r="BL1935" s="889"/>
      <c r="BO1935" s="223"/>
    </row>
    <row r="1936" spans="1:67" s="74" customFormat="1">
      <c r="A1936" s="15"/>
      <c r="B1936" s="15"/>
      <c r="C1936" s="15"/>
      <c r="D1936" s="15"/>
      <c r="E1936" s="6"/>
      <c r="F1936" s="6"/>
      <c r="G1936" s="6"/>
      <c r="K1936" s="223"/>
      <c r="M1936" s="889"/>
      <c r="P1936" s="890"/>
      <c r="T1936" s="889"/>
      <c r="X1936" s="15"/>
      <c r="Y1936" s="1935"/>
      <c r="Z1936" s="1086"/>
      <c r="AA1936" s="230"/>
      <c r="AB1936" s="230"/>
      <c r="AC1936" s="1936"/>
      <c r="AD1936" s="230"/>
      <c r="AE1936" s="230"/>
      <c r="AF1936" s="230"/>
      <c r="AG1936" s="890"/>
      <c r="AJ1936" s="890"/>
      <c r="AN1936" s="223"/>
      <c r="AO1936" s="952"/>
      <c r="AP1936" s="1066"/>
      <c r="AQ1936" s="972"/>
      <c r="AR1936" s="1917"/>
      <c r="AS1936" s="222"/>
      <c r="AZ1936" s="889"/>
      <c r="BC1936" s="890"/>
      <c r="BD1936" s="952"/>
      <c r="BE1936" s="75"/>
      <c r="BF1936" s="572"/>
      <c r="BG1936" s="983"/>
      <c r="BH1936" s="222"/>
      <c r="BL1936" s="889"/>
      <c r="BO1936" s="223"/>
    </row>
    <row r="1937" spans="1:67" s="74" customFormat="1">
      <c r="A1937" s="15"/>
      <c r="B1937" s="15"/>
      <c r="C1937" s="15"/>
      <c r="D1937" s="15"/>
      <c r="E1937" s="6"/>
      <c r="F1937" s="6"/>
      <c r="G1937" s="6"/>
      <c r="K1937" s="223"/>
      <c r="M1937" s="889"/>
      <c r="P1937" s="890"/>
      <c r="T1937" s="889"/>
      <c r="X1937" s="15"/>
      <c r="Y1937" s="1935"/>
      <c r="Z1937" s="1086"/>
      <c r="AA1937" s="230"/>
      <c r="AB1937" s="230"/>
      <c r="AC1937" s="1936"/>
      <c r="AD1937" s="230"/>
      <c r="AE1937" s="230"/>
      <c r="AF1937" s="230"/>
      <c r="AG1937" s="890"/>
      <c r="AJ1937" s="890"/>
      <c r="AN1937" s="223"/>
      <c r="AO1937" s="952"/>
      <c r="AP1937" s="1066"/>
      <c r="AQ1937" s="972"/>
      <c r="AR1937" s="1917"/>
      <c r="AS1937" s="222"/>
      <c r="AZ1937" s="889"/>
      <c r="BC1937" s="890"/>
      <c r="BD1937" s="952"/>
      <c r="BE1937" s="75"/>
      <c r="BF1937" s="572"/>
      <c r="BG1937" s="983"/>
      <c r="BH1937" s="222"/>
      <c r="BL1937" s="889"/>
      <c r="BO1937" s="223"/>
    </row>
    <row r="1938" spans="1:67" s="74" customFormat="1">
      <c r="A1938" s="15"/>
      <c r="B1938" s="15"/>
      <c r="C1938" s="15"/>
      <c r="D1938" s="15"/>
      <c r="E1938" s="6"/>
      <c r="F1938" s="6"/>
      <c r="G1938" s="6"/>
      <c r="K1938" s="223"/>
      <c r="M1938" s="889"/>
      <c r="P1938" s="890"/>
      <c r="T1938" s="889"/>
      <c r="X1938" s="15"/>
      <c r="Y1938" s="1935"/>
      <c r="Z1938" s="1086"/>
      <c r="AA1938" s="230"/>
      <c r="AB1938" s="230"/>
      <c r="AC1938" s="1936"/>
      <c r="AD1938" s="230"/>
      <c r="AE1938" s="230"/>
      <c r="AF1938" s="230"/>
      <c r="AG1938" s="890"/>
      <c r="AJ1938" s="890"/>
      <c r="AN1938" s="223"/>
      <c r="AO1938" s="952"/>
      <c r="AP1938" s="1066"/>
      <c r="AQ1938" s="972"/>
      <c r="AR1938" s="1917"/>
      <c r="AS1938" s="222"/>
      <c r="AZ1938" s="889"/>
      <c r="BC1938" s="890"/>
      <c r="BD1938" s="952"/>
      <c r="BE1938" s="75"/>
      <c r="BF1938" s="572"/>
      <c r="BG1938" s="983"/>
      <c r="BH1938" s="222"/>
      <c r="BL1938" s="889"/>
      <c r="BO1938" s="223"/>
    </row>
    <row r="1939" spans="1:67" s="74" customFormat="1">
      <c r="A1939" s="15"/>
      <c r="B1939" s="15"/>
      <c r="C1939" s="15"/>
      <c r="D1939" s="15"/>
      <c r="E1939" s="6"/>
      <c r="F1939" s="6"/>
      <c r="G1939" s="6"/>
      <c r="K1939" s="223"/>
      <c r="M1939" s="889"/>
      <c r="P1939" s="890"/>
      <c r="T1939" s="889"/>
      <c r="X1939" s="15"/>
      <c r="Y1939" s="1935"/>
      <c r="Z1939" s="1086"/>
      <c r="AA1939" s="230"/>
      <c r="AB1939" s="230"/>
      <c r="AC1939" s="1936"/>
      <c r="AD1939" s="230"/>
      <c r="AE1939" s="230"/>
      <c r="AF1939" s="230"/>
      <c r="AG1939" s="890"/>
      <c r="AJ1939" s="890"/>
      <c r="AN1939" s="223"/>
      <c r="AO1939" s="952"/>
      <c r="AP1939" s="1066"/>
      <c r="AQ1939" s="972"/>
      <c r="AR1939" s="1917"/>
      <c r="AS1939" s="222"/>
      <c r="AZ1939" s="889"/>
      <c r="BC1939" s="890"/>
      <c r="BD1939" s="952"/>
      <c r="BE1939" s="75"/>
      <c r="BF1939" s="572"/>
      <c r="BG1939" s="983"/>
      <c r="BH1939" s="222"/>
      <c r="BL1939" s="889"/>
      <c r="BO1939" s="223"/>
    </row>
    <row r="1940" spans="1:67" s="74" customFormat="1">
      <c r="A1940" s="15"/>
      <c r="B1940" s="15"/>
      <c r="C1940" s="15"/>
      <c r="D1940" s="15"/>
      <c r="E1940" s="6"/>
      <c r="F1940" s="6"/>
      <c r="G1940" s="6"/>
      <c r="K1940" s="223"/>
      <c r="M1940" s="889"/>
      <c r="P1940" s="890"/>
      <c r="T1940" s="889"/>
      <c r="X1940" s="15"/>
      <c r="Y1940" s="1935"/>
      <c r="Z1940" s="1086"/>
      <c r="AA1940" s="230"/>
      <c r="AB1940" s="230"/>
      <c r="AC1940" s="1936"/>
      <c r="AD1940" s="230"/>
      <c r="AE1940" s="230"/>
      <c r="AF1940" s="230"/>
      <c r="AG1940" s="890"/>
      <c r="AJ1940" s="890"/>
      <c r="AN1940" s="223"/>
      <c r="AO1940" s="952"/>
      <c r="AP1940" s="1066"/>
      <c r="AQ1940" s="972"/>
      <c r="AR1940" s="1917"/>
      <c r="AS1940" s="222"/>
      <c r="AZ1940" s="889"/>
      <c r="BC1940" s="890"/>
      <c r="BD1940" s="952"/>
      <c r="BE1940" s="75"/>
      <c r="BF1940" s="572"/>
      <c r="BG1940" s="983"/>
      <c r="BH1940" s="222"/>
      <c r="BL1940" s="889"/>
      <c r="BO1940" s="223"/>
    </row>
    <row r="1941" spans="1:67" s="74" customFormat="1">
      <c r="A1941" s="15"/>
      <c r="B1941" s="15"/>
      <c r="C1941" s="15"/>
      <c r="D1941" s="15"/>
      <c r="E1941" s="6"/>
      <c r="F1941" s="6"/>
      <c r="G1941" s="6"/>
      <c r="K1941" s="223"/>
      <c r="M1941" s="889"/>
      <c r="P1941" s="890"/>
      <c r="T1941" s="889"/>
      <c r="X1941" s="15"/>
      <c r="Y1941" s="1935"/>
      <c r="Z1941" s="1086"/>
      <c r="AA1941" s="230"/>
      <c r="AB1941" s="230"/>
      <c r="AC1941" s="1936"/>
      <c r="AD1941" s="230"/>
      <c r="AE1941" s="230"/>
      <c r="AF1941" s="230"/>
      <c r="AG1941" s="890"/>
      <c r="AJ1941" s="890"/>
      <c r="AN1941" s="223"/>
      <c r="AO1941" s="952"/>
      <c r="AP1941" s="1066"/>
      <c r="AQ1941" s="972"/>
      <c r="AR1941" s="1917"/>
      <c r="AS1941" s="222"/>
      <c r="AZ1941" s="889"/>
      <c r="BC1941" s="890"/>
      <c r="BD1941" s="952"/>
      <c r="BE1941" s="75"/>
      <c r="BF1941" s="572"/>
      <c r="BG1941" s="983"/>
      <c r="BH1941" s="222"/>
      <c r="BL1941" s="889"/>
      <c r="BO1941" s="223"/>
    </row>
    <row r="1942" spans="1:67" s="74" customFormat="1">
      <c r="A1942" s="15"/>
      <c r="B1942" s="15"/>
      <c r="C1942" s="15"/>
      <c r="D1942" s="15"/>
      <c r="E1942" s="6"/>
      <c r="F1942" s="6"/>
      <c r="G1942" s="6"/>
      <c r="K1942" s="223"/>
      <c r="M1942" s="889"/>
      <c r="P1942" s="890"/>
      <c r="T1942" s="889"/>
      <c r="X1942" s="15"/>
      <c r="Y1942" s="1935"/>
      <c r="Z1942" s="1086"/>
      <c r="AA1942" s="230"/>
      <c r="AB1942" s="230"/>
      <c r="AC1942" s="1936"/>
      <c r="AD1942" s="230"/>
      <c r="AE1942" s="230"/>
      <c r="AF1942" s="230"/>
      <c r="AG1942" s="890"/>
      <c r="AJ1942" s="890"/>
      <c r="AN1942" s="223"/>
      <c r="AO1942" s="952"/>
      <c r="AP1942" s="1066"/>
      <c r="AQ1942" s="972"/>
      <c r="AR1942" s="1917"/>
      <c r="AS1942" s="222"/>
      <c r="AZ1942" s="889"/>
      <c r="BC1942" s="890"/>
      <c r="BD1942" s="952"/>
      <c r="BE1942" s="75"/>
      <c r="BF1942" s="572"/>
      <c r="BG1942" s="983"/>
      <c r="BH1942" s="222"/>
      <c r="BL1942" s="889"/>
      <c r="BO1942" s="223"/>
    </row>
    <row r="1943" spans="1:67" s="74" customFormat="1">
      <c r="A1943" s="15"/>
      <c r="B1943" s="15"/>
      <c r="C1943" s="15"/>
      <c r="D1943" s="15"/>
      <c r="E1943" s="6"/>
      <c r="F1943" s="6"/>
      <c r="G1943" s="6"/>
      <c r="K1943" s="223"/>
      <c r="M1943" s="889"/>
      <c r="P1943" s="890"/>
      <c r="T1943" s="889"/>
      <c r="X1943" s="15"/>
      <c r="Y1943" s="1935"/>
      <c r="Z1943" s="1086"/>
      <c r="AA1943" s="230"/>
      <c r="AB1943" s="230"/>
      <c r="AC1943" s="1936"/>
      <c r="AD1943" s="230"/>
      <c r="AE1943" s="230"/>
      <c r="AF1943" s="230"/>
      <c r="AG1943" s="890"/>
      <c r="AJ1943" s="890"/>
      <c r="AN1943" s="223"/>
      <c r="AO1943" s="952"/>
      <c r="AP1943" s="1066"/>
      <c r="AQ1943" s="972"/>
      <c r="AR1943" s="1917"/>
      <c r="AS1943" s="222"/>
      <c r="AZ1943" s="889"/>
      <c r="BC1943" s="890"/>
      <c r="BD1943" s="952"/>
      <c r="BE1943" s="75"/>
      <c r="BF1943" s="572"/>
      <c r="BG1943" s="983"/>
      <c r="BH1943" s="222"/>
      <c r="BL1943" s="889"/>
      <c r="BO1943" s="223"/>
    </row>
    <row r="1944" spans="1:67" s="74" customFormat="1">
      <c r="A1944" s="15"/>
      <c r="B1944" s="15"/>
      <c r="C1944" s="15"/>
      <c r="D1944" s="15"/>
      <c r="E1944" s="6"/>
      <c r="F1944" s="6"/>
      <c r="G1944" s="6"/>
      <c r="K1944" s="223"/>
      <c r="M1944" s="889"/>
      <c r="P1944" s="890"/>
      <c r="T1944" s="889"/>
      <c r="X1944" s="15"/>
      <c r="Y1944" s="1935"/>
      <c r="Z1944" s="1086"/>
      <c r="AA1944" s="230"/>
      <c r="AB1944" s="230"/>
      <c r="AC1944" s="1936"/>
      <c r="AD1944" s="230"/>
      <c r="AE1944" s="230"/>
      <c r="AF1944" s="230"/>
      <c r="AG1944" s="890"/>
      <c r="AJ1944" s="890"/>
      <c r="AN1944" s="223"/>
      <c r="AO1944" s="952"/>
      <c r="AP1944" s="1066"/>
      <c r="AQ1944" s="972"/>
      <c r="AR1944" s="1917"/>
      <c r="AS1944" s="222"/>
      <c r="AZ1944" s="889"/>
      <c r="BC1944" s="890"/>
      <c r="BD1944" s="952"/>
      <c r="BE1944" s="75"/>
      <c r="BF1944" s="572"/>
      <c r="BG1944" s="983"/>
      <c r="BH1944" s="222"/>
      <c r="BL1944" s="889"/>
      <c r="BO1944" s="223"/>
    </row>
    <row r="1945" spans="1:67" s="74" customFormat="1">
      <c r="A1945" s="15"/>
      <c r="B1945" s="15"/>
      <c r="C1945" s="15"/>
      <c r="D1945" s="15"/>
      <c r="E1945" s="6"/>
      <c r="F1945" s="6"/>
      <c r="G1945" s="6"/>
      <c r="K1945" s="223"/>
      <c r="M1945" s="889"/>
      <c r="P1945" s="890"/>
      <c r="T1945" s="889"/>
      <c r="X1945" s="15"/>
      <c r="Y1945" s="1935"/>
      <c r="Z1945" s="1086"/>
      <c r="AA1945" s="230"/>
      <c r="AB1945" s="230"/>
      <c r="AC1945" s="1936"/>
      <c r="AD1945" s="230"/>
      <c r="AE1945" s="230"/>
      <c r="AF1945" s="230"/>
      <c r="AG1945" s="890"/>
      <c r="AJ1945" s="890"/>
      <c r="AN1945" s="223"/>
      <c r="AO1945" s="952"/>
      <c r="AP1945" s="1066"/>
      <c r="AQ1945" s="972"/>
      <c r="AR1945" s="1917"/>
      <c r="AS1945" s="222"/>
      <c r="AZ1945" s="889"/>
      <c r="BC1945" s="890"/>
      <c r="BD1945" s="952"/>
      <c r="BE1945" s="75"/>
      <c r="BF1945" s="572"/>
      <c r="BG1945" s="983"/>
      <c r="BH1945" s="222"/>
      <c r="BL1945" s="889"/>
      <c r="BO1945" s="223"/>
    </row>
    <row r="1946" spans="1:67" s="74" customFormat="1">
      <c r="A1946" s="15"/>
      <c r="B1946" s="15"/>
      <c r="C1946" s="15"/>
      <c r="D1946" s="15"/>
      <c r="E1946" s="6"/>
      <c r="F1946" s="6"/>
      <c r="G1946" s="6"/>
      <c r="K1946" s="223"/>
      <c r="M1946" s="889"/>
      <c r="P1946" s="890"/>
      <c r="T1946" s="889"/>
      <c r="X1946" s="15"/>
      <c r="Y1946" s="1935"/>
      <c r="Z1946" s="1086"/>
      <c r="AA1946" s="230"/>
      <c r="AB1946" s="230"/>
      <c r="AC1946" s="1936"/>
      <c r="AD1946" s="230"/>
      <c r="AE1946" s="230"/>
      <c r="AF1946" s="230"/>
      <c r="AG1946" s="890"/>
      <c r="AJ1946" s="890"/>
      <c r="AN1946" s="223"/>
      <c r="AO1946" s="952"/>
      <c r="AP1946" s="1066"/>
      <c r="AQ1946" s="972"/>
      <c r="AR1946" s="1917"/>
      <c r="AS1946" s="222"/>
      <c r="AZ1946" s="889"/>
      <c r="BC1946" s="890"/>
      <c r="BD1946" s="952"/>
      <c r="BE1946" s="75"/>
      <c r="BF1946" s="572"/>
      <c r="BG1946" s="983"/>
      <c r="BH1946" s="222"/>
      <c r="BL1946" s="889"/>
      <c r="BO1946" s="223"/>
    </row>
    <row r="1947" spans="1:67" s="74" customFormat="1">
      <c r="A1947" s="15"/>
      <c r="B1947" s="15"/>
      <c r="C1947" s="15"/>
      <c r="D1947" s="15"/>
      <c r="E1947" s="6"/>
      <c r="F1947" s="6"/>
      <c r="G1947" s="6"/>
      <c r="K1947" s="223"/>
      <c r="M1947" s="889"/>
      <c r="P1947" s="890"/>
      <c r="T1947" s="889"/>
      <c r="X1947" s="15"/>
      <c r="Y1947" s="1935"/>
      <c r="Z1947" s="1086"/>
      <c r="AA1947" s="230"/>
      <c r="AB1947" s="230"/>
      <c r="AC1947" s="1936"/>
      <c r="AD1947" s="230"/>
      <c r="AE1947" s="230"/>
      <c r="AF1947" s="230"/>
      <c r="AG1947" s="890"/>
      <c r="AJ1947" s="890"/>
      <c r="AN1947" s="223"/>
      <c r="AO1947" s="952"/>
      <c r="AP1947" s="1066"/>
      <c r="AQ1947" s="972"/>
      <c r="AR1947" s="1917"/>
      <c r="AS1947" s="222"/>
      <c r="AZ1947" s="889"/>
      <c r="BC1947" s="890"/>
      <c r="BD1947" s="952"/>
      <c r="BE1947" s="75"/>
      <c r="BF1947" s="572"/>
      <c r="BG1947" s="983"/>
      <c r="BH1947" s="222"/>
      <c r="BL1947" s="889"/>
      <c r="BO1947" s="223"/>
    </row>
    <row r="1948" spans="1:67" s="74" customFormat="1">
      <c r="A1948" s="15"/>
      <c r="B1948" s="15"/>
      <c r="C1948" s="15"/>
      <c r="D1948" s="15"/>
      <c r="E1948" s="6"/>
      <c r="F1948" s="6"/>
      <c r="G1948" s="6"/>
      <c r="K1948" s="223"/>
      <c r="M1948" s="889"/>
      <c r="P1948" s="890"/>
      <c r="T1948" s="889"/>
      <c r="X1948" s="15"/>
      <c r="Y1948" s="1935"/>
      <c r="Z1948" s="1086"/>
      <c r="AA1948" s="230"/>
      <c r="AB1948" s="230"/>
      <c r="AC1948" s="1936"/>
      <c r="AD1948" s="230"/>
      <c r="AE1948" s="230"/>
      <c r="AF1948" s="230"/>
      <c r="AG1948" s="890"/>
      <c r="AJ1948" s="890"/>
      <c r="AN1948" s="223"/>
      <c r="AO1948" s="952"/>
      <c r="AP1948" s="1066"/>
      <c r="AQ1948" s="972"/>
      <c r="AR1948" s="1917"/>
      <c r="AS1948" s="222"/>
      <c r="AZ1948" s="889"/>
      <c r="BC1948" s="890"/>
      <c r="BD1948" s="952"/>
      <c r="BE1948" s="75"/>
      <c r="BF1948" s="572"/>
      <c r="BG1948" s="983"/>
      <c r="BH1948" s="222"/>
      <c r="BL1948" s="889"/>
      <c r="BO1948" s="223"/>
    </row>
    <row r="1949" spans="1:67" s="74" customFormat="1">
      <c r="A1949" s="15"/>
      <c r="B1949" s="15"/>
      <c r="C1949" s="15"/>
      <c r="D1949" s="15"/>
      <c r="E1949" s="6"/>
      <c r="F1949" s="6"/>
      <c r="G1949" s="6"/>
      <c r="K1949" s="223"/>
      <c r="M1949" s="889"/>
      <c r="P1949" s="890"/>
      <c r="T1949" s="889"/>
      <c r="X1949" s="15"/>
      <c r="Y1949" s="1935"/>
      <c r="Z1949" s="1086"/>
      <c r="AA1949" s="230"/>
      <c r="AB1949" s="230"/>
      <c r="AC1949" s="1936"/>
      <c r="AD1949" s="230"/>
      <c r="AE1949" s="230"/>
      <c r="AF1949" s="230"/>
      <c r="AG1949" s="890"/>
      <c r="AJ1949" s="890"/>
      <c r="AN1949" s="223"/>
      <c r="AO1949" s="952"/>
      <c r="AP1949" s="1066"/>
      <c r="AQ1949" s="972"/>
      <c r="AR1949" s="1917"/>
      <c r="AS1949" s="222"/>
      <c r="AZ1949" s="889"/>
      <c r="BC1949" s="890"/>
      <c r="BD1949" s="952"/>
      <c r="BE1949" s="75"/>
      <c r="BF1949" s="572"/>
      <c r="BG1949" s="983"/>
      <c r="BH1949" s="222"/>
      <c r="BL1949" s="889"/>
      <c r="BO1949" s="223"/>
    </row>
    <row r="1950" spans="1:67" s="74" customFormat="1">
      <c r="A1950" s="15"/>
      <c r="B1950" s="15"/>
      <c r="C1950" s="15"/>
      <c r="D1950" s="15"/>
      <c r="E1950" s="6"/>
      <c r="F1950" s="6"/>
      <c r="G1950" s="6"/>
      <c r="K1950" s="223"/>
      <c r="M1950" s="889"/>
      <c r="P1950" s="890"/>
      <c r="T1950" s="889"/>
      <c r="X1950" s="15"/>
      <c r="Y1950" s="1935"/>
      <c r="Z1950" s="1086"/>
      <c r="AA1950" s="230"/>
      <c r="AB1950" s="230"/>
      <c r="AC1950" s="1936"/>
      <c r="AD1950" s="230"/>
      <c r="AE1950" s="230"/>
      <c r="AF1950" s="230"/>
      <c r="AG1950" s="890"/>
      <c r="AJ1950" s="890"/>
      <c r="AN1950" s="223"/>
      <c r="AO1950" s="952"/>
      <c r="AP1950" s="1066"/>
      <c r="AQ1950" s="972"/>
      <c r="AR1950" s="1917"/>
      <c r="AS1950" s="222"/>
      <c r="AZ1950" s="889"/>
      <c r="BC1950" s="890"/>
      <c r="BD1950" s="952"/>
      <c r="BE1950" s="75"/>
      <c r="BF1950" s="572"/>
      <c r="BG1950" s="983"/>
      <c r="BH1950" s="222"/>
      <c r="BL1950" s="889"/>
      <c r="BO1950" s="223"/>
    </row>
    <row r="1951" spans="1:67" s="74" customFormat="1">
      <c r="A1951" s="15"/>
      <c r="B1951" s="15"/>
      <c r="C1951" s="15"/>
      <c r="D1951" s="15"/>
      <c r="E1951" s="6"/>
      <c r="F1951" s="6"/>
      <c r="G1951" s="6"/>
      <c r="K1951" s="223"/>
      <c r="M1951" s="889"/>
      <c r="P1951" s="890"/>
      <c r="T1951" s="889"/>
      <c r="X1951" s="15"/>
      <c r="Y1951" s="1935"/>
      <c r="Z1951" s="1086"/>
      <c r="AA1951" s="230"/>
      <c r="AB1951" s="230"/>
      <c r="AC1951" s="1936"/>
      <c r="AD1951" s="230"/>
      <c r="AE1951" s="230"/>
      <c r="AF1951" s="230"/>
      <c r="AG1951" s="890"/>
      <c r="AJ1951" s="890"/>
      <c r="AN1951" s="223"/>
      <c r="AO1951" s="952"/>
      <c r="AP1951" s="1066"/>
      <c r="AQ1951" s="972"/>
      <c r="AR1951" s="1917"/>
      <c r="AS1951" s="222"/>
      <c r="AZ1951" s="889"/>
      <c r="BC1951" s="890"/>
      <c r="BD1951" s="952"/>
      <c r="BE1951" s="75"/>
      <c r="BF1951" s="572"/>
      <c r="BG1951" s="983"/>
      <c r="BH1951" s="222"/>
      <c r="BL1951" s="889"/>
      <c r="BO1951" s="223"/>
    </row>
    <row r="1952" spans="1:67" s="74" customFormat="1">
      <c r="A1952" s="15"/>
      <c r="B1952" s="15"/>
      <c r="C1952" s="15"/>
      <c r="D1952" s="15"/>
      <c r="E1952" s="6"/>
      <c r="F1952" s="6"/>
      <c r="G1952" s="6"/>
      <c r="K1952" s="223"/>
      <c r="M1952" s="889"/>
      <c r="P1952" s="890"/>
      <c r="T1952" s="889"/>
      <c r="X1952" s="15"/>
      <c r="Y1952" s="1935"/>
      <c r="Z1952" s="1086"/>
      <c r="AA1952" s="230"/>
      <c r="AB1952" s="230"/>
      <c r="AC1952" s="1936"/>
      <c r="AD1952" s="230"/>
      <c r="AE1952" s="230"/>
      <c r="AF1952" s="230"/>
      <c r="AG1952" s="890"/>
      <c r="AJ1952" s="890"/>
      <c r="AN1952" s="223"/>
      <c r="AO1952" s="952"/>
      <c r="AP1952" s="1066"/>
      <c r="AQ1952" s="972"/>
      <c r="AR1952" s="1917"/>
      <c r="AS1952" s="222"/>
      <c r="AZ1952" s="889"/>
      <c r="BC1952" s="890"/>
      <c r="BD1952" s="952"/>
      <c r="BE1952" s="75"/>
      <c r="BF1952" s="572"/>
      <c r="BG1952" s="983"/>
      <c r="BH1952" s="222"/>
      <c r="BL1952" s="889"/>
      <c r="BO1952" s="223"/>
    </row>
    <row r="1953" spans="1:67" s="74" customFormat="1">
      <c r="A1953" s="15"/>
      <c r="B1953" s="15"/>
      <c r="C1953" s="15"/>
      <c r="D1953" s="15"/>
      <c r="E1953" s="6"/>
      <c r="F1953" s="6"/>
      <c r="G1953" s="6"/>
      <c r="K1953" s="223"/>
      <c r="M1953" s="889"/>
      <c r="P1953" s="890"/>
      <c r="T1953" s="889"/>
      <c r="X1953" s="15"/>
      <c r="Y1953" s="1935"/>
      <c r="Z1953" s="1086"/>
      <c r="AA1953" s="230"/>
      <c r="AB1953" s="230"/>
      <c r="AC1953" s="1936"/>
      <c r="AD1953" s="230"/>
      <c r="AE1953" s="230"/>
      <c r="AF1953" s="230"/>
      <c r="AG1953" s="890"/>
      <c r="AJ1953" s="890"/>
      <c r="AN1953" s="223"/>
      <c r="AO1953" s="952"/>
      <c r="AP1953" s="1066"/>
      <c r="AQ1953" s="972"/>
      <c r="AR1953" s="1917"/>
      <c r="AS1953" s="222"/>
      <c r="AZ1953" s="889"/>
      <c r="BC1953" s="890"/>
      <c r="BD1953" s="952"/>
      <c r="BE1953" s="75"/>
      <c r="BF1953" s="572"/>
      <c r="BG1953" s="983"/>
      <c r="BH1953" s="222"/>
      <c r="BL1953" s="889"/>
      <c r="BO1953" s="223"/>
    </row>
    <row r="1954" spans="1:67" s="74" customFormat="1">
      <c r="A1954" s="15"/>
      <c r="B1954" s="15"/>
      <c r="C1954" s="15"/>
      <c r="D1954" s="15"/>
      <c r="E1954" s="6"/>
      <c r="F1954" s="6"/>
      <c r="G1954" s="6"/>
      <c r="K1954" s="223"/>
      <c r="M1954" s="889"/>
      <c r="P1954" s="890"/>
      <c r="T1954" s="889"/>
      <c r="X1954" s="15"/>
      <c r="Y1954" s="1935"/>
      <c r="Z1954" s="1086"/>
      <c r="AA1954" s="230"/>
      <c r="AB1954" s="230"/>
      <c r="AC1954" s="1936"/>
      <c r="AD1954" s="230"/>
      <c r="AE1954" s="230"/>
      <c r="AF1954" s="230"/>
      <c r="AG1954" s="890"/>
      <c r="AJ1954" s="890"/>
      <c r="AN1954" s="223"/>
      <c r="AO1954" s="952"/>
      <c r="AP1954" s="1066"/>
      <c r="AQ1954" s="972"/>
      <c r="AR1954" s="1917"/>
      <c r="AS1954" s="222"/>
      <c r="AZ1954" s="889"/>
      <c r="BC1954" s="890"/>
      <c r="BD1954" s="952"/>
      <c r="BE1954" s="75"/>
      <c r="BF1954" s="572"/>
      <c r="BG1954" s="983"/>
      <c r="BH1954" s="222"/>
      <c r="BL1954" s="889"/>
      <c r="BO1954" s="223"/>
    </row>
    <row r="1955" spans="1:67" s="74" customFormat="1">
      <c r="A1955" s="15"/>
      <c r="B1955" s="15"/>
      <c r="C1955" s="15"/>
      <c r="D1955" s="15"/>
      <c r="E1955" s="6"/>
      <c r="F1955" s="6"/>
      <c r="G1955" s="6"/>
      <c r="K1955" s="223"/>
      <c r="M1955" s="889"/>
      <c r="P1955" s="890"/>
      <c r="T1955" s="889"/>
      <c r="X1955" s="15"/>
      <c r="Y1955" s="1935"/>
      <c r="Z1955" s="1086"/>
      <c r="AA1955" s="230"/>
      <c r="AB1955" s="230"/>
      <c r="AC1955" s="1936"/>
      <c r="AD1955" s="230"/>
      <c r="AE1955" s="230"/>
      <c r="AF1955" s="230"/>
      <c r="AG1955" s="890"/>
      <c r="AJ1955" s="890"/>
      <c r="AN1955" s="223"/>
      <c r="AO1955" s="952"/>
      <c r="AP1955" s="1066"/>
      <c r="AQ1955" s="972"/>
      <c r="AR1955" s="1917"/>
      <c r="AS1955" s="222"/>
      <c r="AZ1955" s="889"/>
      <c r="BC1955" s="890"/>
      <c r="BD1955" s="952"/>
      <c r="BE1955" s="75"/>
      <c r="BF1955" s="572"/>
      <c r="BG1955" s="983"/>
      <c r="BH1955" s="222"/>
      <c r="BL1955" s="889"/>
      <c r="BO1955" s="223"/>
    </row>
    <row r="1956" spans="1:67" s="74" customFormat="1">
      <c r="A1956" s="15"/>
      <c r="B1956" s="15"/>
      <c r="C1956" s="15"/>
      <c r="D1956" s="15"/>
      <c r="E1956" s="6"/>
      <c r="F1956" s="6"/>
      <c r="G1956" s="6"/>
      <c r="K1956" s="223"/>
      <c r="M1956" s="889"/>
      <c r="P1956" s="890"/>
      <c r="T1956" s="889"/>
      <c r="X1956" s="15"/>
      <c r="Y1956" s="1935"/>
      <c r="Z1956" s="1086"/>
      <c r="AA1956" s="230"/>
      <c r="AB1956" s="230"/>
      <c r="AC1956" s="1936"/>
      <c r="AD1956" s="230"/>
      <c r="AE1956" s="230"/>
      <c r="AF1956" s="230"/>
      <c r="AG1956" s="890"/>
      <c r="AJ1956" s="890"/>
      <c r="AN1956" s="223"/>
      <c r="AO1956" s="952"/>
      <c r="AP1956" s="1066"/>
      <c r="AQ1956" s="972"/>
      <c r="AR1956" s="1917"/>
      <c r="AS1956" s="222"/>
      <c r="AZ1956" s="889"/>
      <c r="BC1956" s="890"/>
      <c r="BD1956" s="952"/>
      <c r="BE1956" s="75"/>
      <c r="BF1956" s="572"/>
      <c r="BG1956" s="983"/>
      <c r="BH1956" s="222"/>
      <c r="BL1956" s="889"/>
      <c r="BO1956" s="223"/>
    </row>
    <row r="1957" spans="1:67" s="74" customFormat="1">
      <c r="A1957" s="15"/>
      <c r="B1957" s="15"/>
      <c r="C1957" s="15"/>
      <c r="D1957" s="15"/>
      <c r="E1957" s="6"/>
      <c r="F1957" s="6"/>
      <c r="G1957" s="6"/>
      <c r="K1957" s="223"/>
      <c r="M1957" s="889"/>
      <c r="P1957" s="890"/>
      <c r="T1957" s="889"/>
      <c r="X1957" s="15"/>
      <c r="Y1957" s="1935"/>
      <c r="Z1957" s="1086"/>
      <c r="AA1957" s="230"/>
      <c r="AB1957" s="230"/>
      <c r="AC1957" s="1936"/>
      <c r="AD1957" s="230"/>
      <c r="AE1957" s="230"/>
      <c r="AF1957" s="230"/>
      <c r="AG1957" s="890"/>
      <c r="AJ1957" s="890"/>
      <c r="AN1957" s="223"/>
      <c r="AO1957" s="952"/>
      <c r="AP1957" s="1066"/>
      <c r="AQ1957" s="972"/>
      <c r="AR1957" s="1917"/>
      <c r="AS1957" s="222"/>
      <c r="AZ1957" s="889"/>
      <c r="BC1957" s="890"/>
      <c r="BD1957" s="952"/>
      <c r="BE1957" s="75"/>
      <c r="BF1957" s="572"/>
      <c r="BG1957" s="983"/>
      <c r="BH1957" s="222"/>
      <c r="BL1957" s="889"/>
      <c r="BO1957" s="223"/>
    </row>
    <row r="1958" spans="1:67" s="74" customFormat="1">
      <c r="A1958" s="15"/>
      <c r="B1958" s="15"/>
      <c r="C1958" s="15"/>
      <c r="D1958" s="15"/>
      <c r="E1958" s="6"/>
      <c r="F1958" s="6"/>
      <c r="G1958" s="6"/>
      <c r="K1958" s="223"/>
      <c r="M1958" s="889"/>
      <c r="P1958" s="890"/>
      <c r="T1958" s="889"/>
      <c r="X1958" s="15"/>
      <c r="Y1958" s="1935"/>
      <c r="Z1958" s="1086"/>
      <c r="AA1958" s="230"/>
      <c r="AB1958" s="230"/>
      <c r="AC1958" s="1936"/>
      <c r="AD1958" s="230"/>
      <c r="AE1958" s="230"/>
      <c r="AF1958" s="230"/>
      <c r="AG1958" s="890"/>
      <c r="AJ1958" s="890"/>
      <c r="AN1958" s="223"/>
      <c r="AO1958" s="952"/>
      <c r="AP1958" s="1066"/>
      <c r="AQ1958" s="972"/>
      <c r="AR1958" s="1917"/>
      <c r="AS1958" s="222"/>
      <c r="AZ1958" s="889"/>
      <c r="BC1958" s="890"/>
      <c r="BD1958" s="952"/>
      <c r="BE1958" s="75"/>
      <c r="BF1958" s="572"/>
      <c r="BG1958" s="983"/>
      <c r="BH1958" s="222"/>
      <c r="BL1958" s="889"/>
      <c r="BO1958" s="223"/>
    </row>
    <row r="1959" spans="1:67" s="74" customFormat="1">
      <c r="A1959" s="15"/>
      <c r="B1959" s="15"/>
      <c r="C1959" s="15"/>
      <c r="D1959" s="15"/>
      <c r="E1959" s="6"/>
      <c r="F1959" s="6"/>
      <c r="G1959" s="6"/>
      <c r="K1959" s="223"/>
      <c r="M1959" s="889"/>
      <c r="P1959" s="890"/>
      <c r="T1959" s="889"/>
      <c r="X1959" s="15"/>
      <c r="Y1959" s="1935"/>
      <c r="Z1959" s="1086"/>
      <c r="AA1959" s="230"/>
      <c r="AB1959" s="230"/>
      <c r="AC1959" s="1936"/>
      <c r="AD1959" s="230"/>
      <c r="AE1959" s="230"/>
      <c r="AF1959" s="230"/>
      <c r="AG1959" s="890"/>
      <c r="AJ1959" s="890"/>
      <c r="AN1959" s="223"/>
      <c r="AO1959" s="952"/>
      <c r="AP1959" s="1066"/>
      <c r="AQ1959" s="972"/>
      <c r="AR1959" s="1917"/>
      <c r="AS1959" s="222"/>
      <c r="AZ1959" s="889"/>
      <c r="BC1959" s="890"/>
      <c r="BD1959" s="952"/>
      <c r="BE1959" s="75"/>
      <c r="BF1959" s="572"/>
      <c r="BG1959" s="983"/>
      <c r="BH1959" s="222"/>
      <c r="BL1959" s="889"/>
      <c r="BO1959" s="223"/>
    </row>
    <row r="1960" spans="1:67" s="74" customFormat="1">
      <c r="A1960" s="15"/>
      <c r="B1960" s="15"/>
      <c r="C1960" s="15"/>
      <c r="D1960" s="15"/>
      <c r="E1960" s="6"/>
      <c r="F1960" s="6"/>
      <c r="G1960" s="6"/>
      <c r="K1960" s="223"/>
      <c r="M1960" s="889"/>
      <c r="P1960" s="890"/>
      <c r="T1960" s="889"/>
      <c r="X1960" s="15"/>
      <c r="Y1960" s="1935"/>
      <c r="Z1960" s="1086"/>
      <c r="AA1960" s="230"/>
      <c r="AB1960" s="230"/>
      <c r="AC1960" s="1936"/>
      <c r="AD1960" s="230"/>
      <c r="AE1960" s="230"/>
      <c r="AF1960" s="230"/>
      <c r="AG1960" s="890"/>
      <c r="AJ1960" s="890"/>
      <c r="AN1960" s="223"/>
      <c r="AO1960" s="952"/>
      <c r="AP1960" s="1066"/>
      <c r="AQ1960" s="972"/>
      <c r="AR1960" s="1917"/>
      <c r="AS1960" s="222"/>
      <c r="AZ1960" s="889"/>
      <c r="BC1960" s="890"/>
      <c r="BD1960" s="952"/>
      <c r="BE1960" s="75"/>
      <c r="BF1960" s="572"/>
      <c r="BG1960" s="983"/>
      <c r="BH1960" s="222"/>
      <c r="BL1960" s="889"/>
      <c r="BO1960" s="223"/>
    </row>
    <row r="1961" spans="1:67" s="74" customFormat="1">
      <c r="A1961" s="15"/>
      <c r="B1961" s="15"/>
      <c r="C1961" s="15"/>
      <c r="D1961" s="15"/>
      <c r="E1961" s="6"/>
      <c r="F1961" s="6"/>
      <c r="G1961" s="6"/>
      <c r="K1961" s="223"/>
      <c r="M1961" s="889"/>
      <c r="P1961" s="890"/>
      <c r="T1961" s="889"/>
      <c r="X1961" s="15"/>
      <c r="Y1961" s="1935"/>
      <c r="Z1961" s="1086"/>
      <c r="AA1961" s="230"/>
      <c r="AB1961" s="230"/>
      <c r="AC1961" s="1936"/>
      <c r="AD1961" s="230"/>
      <c r="AE1961" s="230"/>
      <c r="AF1961" s="230"/>
      <c r="AG1961" s="890"/>
      <c r="AJ1961" s="890"/>
      <c r="AN1961" s="223"/>
      <c r="AO1961" s="952"/>
      <c r="AP1961" s="1066"/>
      <c r="AQ1961" s="972"/>
      <c r="AR1961" s="1917"/>
      <c r="AS1961" s="222"/>
      <c r="AZ1961" s="889"/>
      <c r="BC1961" s="890"/>
      <c r="BD1961" s="952"/>
      <c r="BE1961" s="75"/>
      <c r="BF1961" s="572"/>
      <c r="BG1961" s="983"/>
      <c r="BH1961" s="222"/>
      <c r="BL1961" s="889"/>
      <c r="BO1961" s="223"/>
    </row>
    <row r="1962" spans="1:67" s="74" customFormat="1">
      <c r="A1962" s="15"/>
      <c r="B1962" s="15"/>
      <c r="C1962" s="15"/>
      <c r="D1962" s="15"/>
      <c r="E1962" s="6"/>
      <c r="F1962" s="6"/>
      <c r="G1962" s="6"/>
      <c r="K1962" s="223"/>
      <c r="M1962" s="889"/>
      <c r="P1962" s="890"/>
      <c r="T1962" s="889"/>
      <c r="X1962" s="15"/>
      <c r="Y1962" s="1935"/>
      <c r="Z1962" s="1086"/>
      <c r="AA1962" s="230"/>
      <c r="AB1962" s="230"/>
      <c r="AC1962" s="1936"/>
      <c r="AD1962" s="230"/>
      <c r="AE1962" s="230"/>
      <c r="AF1962" s="230"/>
      <c r="AG1962" s="890"/>
      <c r="AJ1962" s="890"/>
      <c r="AN1962" s="223"/>
      <c r="AO1962" s="952"/>
      <c r="AP1962" s="1066"/>
      <c r="AQ1962" s="972"/>
      <c r="AR1962" s="1917"/>
      <c r="AS1962" s="222"/>
      <c r="AZ1962" s="889"/>
      <c r="BC1962" s="890"/>
      <c r="BD1962" s="952"/>
      <c r="BE1962" s="75"/>
      <c r="BF1962" s="572"/>
      <c r="BG1962" s="983"/>
      <c r="BH1962" s="222"/>
      <c r="BL1962" s="889"/>
      <c r="BO1962" s="223"/>
    </row>
    <row r="1963" spans="1:67" s="74" customFormat="1">
      <c r="A1963" s="15"/>
      <c r="B1963" s="15"/>
      <c r="C1963" s="15"/>
      <c r="D1963" s="15"/>
      <c r="E1963" s="6"/>
      <c r="F1963" s="6"/>
      <c r="G1963" s="6"/>
      <c r="K1963" s="223"/>
      <c r="M1963" s="889"/>
      <c r="P1963" s="890"/>
      <c r="T1963" s="889"/>
      <c r="X1963" s="15"/>
      <c r="Y1963" s="1935"/>
      <c r="Z1963" s="1086"/>
      <c r="AA1963" s="230"/>
      <c r="AB1963" s="230"/>
      <c r="AC1963" s="1936"/>
      <c r="AD1963" s="230"/>
      <c r="AE1963" s="230"/>
      <c r="AF1963" s="230"/>
      <c r="AG1963" s="890"/>
      <c r="AJ1963" s="890"/>
      <c r="AN1963" s="223"/>
      <c r="AO1963" s="952"/>
      <c r="AP1963" s="1066"/>
      <c r="AQ1963" s="972"/>
      <c r="AR1963" s="1917"/>
      <c r="AS1963" s="222"/>
      <c r="AZ1963" s="889"/>
      <c r="BC1963" s="890"/>
      <c r="BD1963" s="952"/>
      <c r="BE1963" s="75"/>
      <c r="BF1963" s="572"/>
      <c r="BG1963" s="983"/>
      <c r="BH1963" s="222"/>
      <c r="BL1963" s="889"/>
      <c r="BO1963" s="223"/>
    </row>
    <row r="1964" spans="1:67" s="74" customFormat="1">
      <c r="A1964" s="15"/>
      <c r="B1964" s="15"/>
      <c r="C1964" s="15"/>
      <c r="D1964" s="15"/>
      <c r="E1964" s="6"/>
      <c r="F1964" s="6"/>
      <c r="G1964" s="6"/>
      <c r="K1964" s="223"/>
      <c r="M1964" s="889"/>
      <c r="P1964" s="890"/>
      <c r="T1964" s="889"/>
      <c r="X1964" s="15"/>
      <c r="Y1964" s="1935"/>
      <c r="Z1964" s="1086"/>
      <c r="AA1964" s="230"/>
      <c r="AB1964" s="230"/>
      <c r="AC1964" s="1936"/>
      <c r="AD1964" s="230"/>
      <c r="AE1964" s="230"/>
      <c r="AF1964" s="230"/>
      <c r="AG1964" s="890"/>
      <c r="AJ1964" s="890"/>
      <c r="AN1964" s="223"/>
      <c r="AO1964" s="952"/>
      <c r="AP1964" s="1066"/>
      <c r="AQ1964" s="972"/>
      <c r="AR1964" s="1917"/>
      <c r="AS1964" s="222"/>
      <c r="AZ1964" s="889"/>
      <c r="BC1964" s="890"/>
      <c r="BD1964" s="952"/>
      <c r="BE1964" s="75"/>
      <c r="BF1964" s="572"/>
      <c r="BG1964" s="983"/>
      <c r="BH1964" s="222"/>
      <c r="BL1964" s="889"/>
      <c r="BO1964" s="223"/>
    </row>
    <row r="1965" spans="1:67" s="74" customFormat="1">
      <c r="A1965" s="15"/>
      <c r="B1965" s="15"/>
      <c r="C1965" s="15"/>
      <c r="D1965" s="15"/>
      <c r="E1965" s="6"/>
      <c r="F1965" s="6"/>
      <c r="G1965" s="6"/>
      <c r="K1965" s="223"/>
      <c r="M1965" s="889"/>
      <c r="P1965" s="890"/>
      <c r="T1965" s="889"/>
      <c r="X1965" s="15"/>
      <c r="Y1965" s="1935"/>
      <c r="Z1965" s="1086"/>
      <c r="AA1965" s="230"/>
      <c r="AB1965" s="230"/>
      <c r="AC1965" s="1936"/>
      <c r="AD1965" s="230"/>
      <c r="AE1965" s="230"/>
      <c r="AF1965" s="230"/>
      <c r="AG1965" s="890"/>
      <c r="AJ1965" s="890"/>
      <c r="AN1965" s="223"/>
      <c r="AO1965" s="952"/>
      <c r="AP1965" s="1066"/>
      <c r="AQ1965" s="972"/>
      <c r="AR1965" s="1917"/>
      <c r="AS1965" s="222"/>
      <c r="AZ1965" s="889"/>
      <c r="BC1965" s="890"/>
      <c r="BD1965" s="952"/>
      <c r="BE1965" s="75"/>
      <c r="BF1965" s="572"/>
      <c r="BG1965" s="983"/>
      <c r="BH1965" s="222"/>
      <c r="BL1965" s="889"/>
      <c r="BO1965" s="223"/>
    </row>
    <row r="1966" spans="1:67" s="74" customFormat="1">
      <c r="A1966" s="15"/>
      <c r="B1966" s="15"/>
      <c r="C1966" s="15"/>
      <c r="D1966" s="15"/>
      <c r="E1966" s="6"/>
      <c r="F1966" s="6"/>
      <c r="G1966" s="6"/>
      <c r="K1966" s="223"/>
      <c r="M1966" s="889"/>
      <c r="P1966" s="890"/>
      <c r="T1966" s="889"/>
      <c r="X1966" s="15"/>
      <c r="Y1966" s="1935"/>
      <c r="Z1966" s="1086"/>
      <c r="AA1966" s="230"/>
      <c r="AB1966" s="230"/>
      <c r="AC1966" s="1936"/>
      <c r="AD1966" s="230"/>
      <c r="AE1966" s="230"/>
      <c r="AF1966" s="230"/>
      <c r="AG1966" s="890"/>
      <c r="AJ1966" s="890"/>
      <c r="AN1966" s="223"/>
      <c r="AO1966" s="952"/>
      <c r="AP1966" s="1066"/>
      <c r="AQ1966" s="972"/>
      <c r="AR1966" s="1917"/>
      <c r="AS1966" s="222"/>
      <c r="AZ1966" s="889"/>
      <c r="BC1966" s="890"/>
      <c r="BD1966" s="952"/>
      <c r="BE1966" s="75"/>
      <c r="BF1966" s="572"/>
      <c r="BG1966" s="983"/>
      <c r="BH1966" s="222"/>
      <c r="BL1966" s="889"/>
      <c r="BO1966" s="223"/>
    </row>
    <row r="1967" spans="1:67" s="74" customFormat="1">
      <c r="A1967" s="15"/>
      <c r="B1967" s="15"/>
      <c r="C1967" s="15"/>
      <c r="D1967" s="15"/>
      <c r="E1967" s="6"/>
      <c r="F1967" s="6"/>
      <c r="G1967" s="6"/>
      <c r="K1967" s="223"/>
      <c r="M1967" s="889"/>
      <c r="P1967" s="890"/>
      <c r="T1967" s="889"/>
      <c r="X1967" s="15"/>
      <c r="Y1967" s="1935"/>
      <c r="Z1967" s="1086"/>
      <c r="AA1967" s="230"/>
      <c r="AB1967" s="230"/>
      <c r="AC1967" s="1936"/>
      <c r="AD1967" s="230"/>
      <c r="AE1967" s="230"/>
      <c r="AF1967" s="230"/>
      <c r="AG1967" s="890"/>
      <c r="AJ1967" s="890"/>
      <c r="AN1967" s="223"/>
      <c r="AO1967" s="952"/>
      <c r="AP1967" s="1066"/>
      <c r="AQ1967" s="972"/>
      <c r="AR1967" s="1917"/>
      <c r="AS1967" s="222"/>
      <c r="AZ1967" s="889"/>
      <c r="BC1967" s="890"/>
      <c r="BD1967" s="952"/>
      <c r="BE1967" s="75"/>
      <c r="BF1967" s="572"/>
      <c r="BG1967" s="983"/>
      <c r="BH1967" s="222"/>
      <c r="BL1967" s="889"/>
      <c r="BO1967" s="223"/>
    </row>
    <row r="1968" spans="1:67" s="74" customFormat="1">
      <c r="A1968" s="15"/>
      <c r="B1968" s="15"/>
      <c r="C1968" s="15"/>
      <c r="D1968" s="15"/>
      <c r="E1968" s="6"/>
      <c r="F1968" s="6"/>
      <c r="G1968" s="6"/>
      <c r="K1968" s="223"/>
      <c r="M1968" s="889"/>
      <c r="P1968" s="890"/>
      <c r="T1968" s="889"/>
      <c r="X1968" s="15"/>
      <c r="Y1968" s="1935"/>
      <c r="Z1968" s="1086"/>
      <c r="AA1968" s="230"/>
      <c r="AB1968" s="230"/>
      <c r="AC1968" s="1936"/>
      <c r="AD1968" s="230"/>
      <c r="AE1968" s="230"/>
      <c r="AF1968" s="230"/>
      <c r="AG1968" s="890"/>
      <c r="AJ1968" s="890"/>
      <c r="AN1968" s="223"/>
      <c r="AO1968" s="952"/>
      <c r="AP1968" s="1066"/>
      <c r="AQ1968" s="972"/>
      <c r="AR1968" s="1917"/>
      <c r="AS1968" s="222"/>
      <c r="AZ1968" s="889"/>
      <c r="BC1968" s="890"/>
      <c r="BD1968" s="952"/>
      <c r="BE1968" s="75"/>
      <c r="BF1968" s="572"/>
      <c r="BG1968" s="983"/>
      <c r="BH1968" s="222"/>
      <c r="BL1968" s="889"/>
      <c r="BO1968" s="223"/>
    </row>
    <row r="1969" spans="1:67" s="74" customFormat="1">
      <c r="A1969" s="15"/>
      <c r="B1969" s="15"/>
      <c r="C1969" s="15"/>
      <c r="D1969" s="15"/>
      <c r="E1969" s="6"/>
      <c r="F1969" s="6"/>
      <c r="G1969" s="6"/>
      <c r="K1969" s="223"/>
      <c r="M1969" s="889"/>
      <c r="P1969" s="890"/>
      <c r="T1969" s="889"/>
      <c r="X1969" s="15"/>
      <c r="Y1969" s="1935"/>
      <c r="Z1969" s="1086"/>
      <c r="AA1969" s="230"/>
      <c r="AB1969" s="230"/>
      <c r="AC1969" s="1936"/>
      <c r="AD1969" s="230"/>
      <c r="AE1969" s="230"/>
      <c r="AF1969" s="230"/>
      <c r="AG1969" s="890"/>
      <c r="AJ1969" s="890"/>
      <c r="AN1969" s="223"/>
      <c r="AO1969" s="952"/>
      <c r="AP1969" s="1066"/>
      <c r="AQ1969" s="972"/>
      <c r="AR1969" s="1917"/>
      <c r="AS1969" s="222"/>
      <c r="AZ1969" s="889"/>
      <c r="BC1969" s="890"/>
      <c r="BD1969" s="952"/>
      <c r="BE1969" s="75"/>
      <c r="BF1969" s="572"/>
      <c r="BG1969" s="983"/>
      <c r="BH1969" s="222"/>
      <c r="BL1969" s="889"/>
      <c r="BO1969" s="223"/>
    </row>
    <row r="1970" spans="1:67" s="74" customFormat="1">
      <c r="A1970" s="15"/>
      <c r="B1970" s="15"/>
      <c r="C1970" s="15"/>
      <c r="D1970" s="15"/>
      <c r="E1970" s="6"/>
      <c r="F1970" s="6"/>
      <c r="G1970" s="6"/>
      <c r="K1970" s="223"/>
      <c r="M1970" s="889"/>
      <c r="P1970" s="890"/>
      <c r="T1970" s="889"/>
      <c r="X1970" s="15"/>
      <c r="Y1970" s="1935"/>
      <c r="Z1970" s="1086"/>
      <c r="AA1970" s="230"/>
      <c r="AB1970" s="230"/>
      <c r="AC1970" s="1936"/>
      <c r="AD1970" s="230"/>
      <c r="AE1970" s="230"/>
      <c r="AF1970" s="230"/>
      <c r="AG1970" s="890"/>
      <c r="AJ1970" s="890"/>
      <c r="AN1970" s="223"/>
      <c r="AO1970" s="952"/>
      <c r="AP1970" s="1066"/>
      <c r="AQ1970" s="972"/>
      <c r="AR1970" s="1917"/>
      <c r="AS1970" s="222"/>
      <c r="AZ1970" s="889"/>
      <c r="BC1970" s="890"/>
      <c r="BD1970" s="952"/>
      <c r="BE1970" s="75"/>
      <c r="BF1970" s="572"/>
      <c r="BG1970" s="983"/>
      <c r="BH1970" s="222"/>
      <c r="BL1970" s="889"/>
      <c r="BO1970" s="223"/>
    </row>
    <row r="1971" spans="1:67" s="74" customFormat="1">
      <c r="A1971" s="15"/>
      <c r="B1971" s="15"/>
      <c r="C1971" s="15"/>
      <c r="D1971" s="15"/>
      <c r="E1971" s="6"/>
      <c r="F1971" s="6"/>
      <c r="G1971" s="6"/>
      <c r="K1971" s="223"/>
      <c r="M1971" s="889"/>
      <c r="P1971" s="890"/>
      <c r="T1971" s="889"/>
      <c r="X1971" s="15"/>
      <c r="Y1971" s="1935"/>
      <c r="Z1971" s="1086"/>
      <c r="AA1971" s="230"/>
      <c r="AB1971" s="230"/>
      <c r="AC1971" s="1936"/>
      <c r="AD1971" s="230"/>
      <c r="AE1971" s="230"/>
      <c r="AF1971" s="230"/>
      <c r="AG1971" s="890"/>
      <c r="AJ1971" s="890"/>
      <c r="AN1971" s="223"/>
      <c r="AO1971" s="952"/>
      <c r="AP1971" s="1066"/>
      <c r="AQ1971" s="972"/>
      <c r="AR1971" s="1917"/>
      <c r="AS1971" s="222"/>
      <c r="AZ1971" s="889"/>
      <c r="BC1971" s="890"/>
      <c r="BD1971" s="952"/>
      <c r="BE1971" s="75"/>
      <c r="BF1971" s="572"/>
      <c r="BG1971" s="983"/>
      <c r="BH1971" s="222"/>
      <c r="BL1971" s="889"/>
      <c r="BO1971" s="223"/>
    </row>
    <row r="1972" spans="1:67" s="74" customFormat="1">
      <c r="A1972" s="15"/>
      <c r="B1972" s="15"/>
      <c r="C1972" s="15"/>
      <c r="D1972" s="15"/>
      <c r="E1972" s="6"/>
      <c r="F1972" s="6"/>
      <c r="G1972" s="6"/>
      <c r="K1972" s="223"/>
      <c r="M1972" s="889"/>
      <c r="P1972" s="890"/>
      <c r="T1972" s="889"/>
      <c r="X1972" s="15"/>
      <c r="Y1972" s="1935"/>
      <c r="Z1972" s="1086"/>
      <c r="AA1972" s="230"/>
      <c r="AB1972" s="230"/>
      <c r="AC1972" s="1936"/>
      <c r="AD1972" s="230"/>
      <c r="AE1972" s="230"/>
      <c r="AF1972" s="230"/>
      <c r="AG1972" s="890"/>
      <c r="AJ1972" s="890"/>
      <c r="AN1972" s="223"/>
      <c r="AO1972" s="952"/>
      <c r="AP1972" s="1066"/>
      <c r="AQ1972" s="972"/>
      <c r="AR1972" s="1917"/>
      <c r="AS1972" s="222"/>
      <c r="AZ1972" s="889"/>
      <c r="BC1972" s="890"/>
      <c r="BD1972" s="952"/>
      <c r="BE1972" s="75"/>
      <c r="BF1972" s="572"/>
      <c r="BG1972" s="983"/>
      <c r="BH1972" s="222"/>
      <c r="BL1972" s="889"/>
      <c r="BO1972" s="223"/>
    </row>
    <row r="1973" spans="1:67" s="74" customFormat="1">
      <c r="A1973" s="15"/>
      <c r="B1973" s="15"/>
      <c r="C1973" s="15"/>
      <c r="D1973" s="15"/>
      <c r="E1973" s="6"/>
      <c r="F1973" s="6"/>
      <c r="G1973" s="6"/>
      <c r="K1973" s="223"/>
      <c r="M1973" s="889"/>
      <c r="P1973" s="890"/>
      <c r="T1973" s="889"/>
      <c r="X1973" s="15"/>
      <c r="Y1973" s="1935"/>
      <c r="Z1973" s="1086"/>
      <c r="AA1973" s="230"/>
      <c r="AB1973" s="230"/>
      <c r="AC1973" s="1936"/>
      <c r="AD1973" s="230"/>
      <c r="AE1973" s="230"/>
      <c r="AF1973" s="230"/>
      <c r="AG1973" s="890"/>
      <c r="AJ1973" s="890"/>
      <c r="AN1973" s="223"/>
      <c r="AO1973" s="952"/>
      <c r="AP1973" s="1066"/>
      <c r="AQ1973" s="972"/>
      <c r="AR1973" s="1917"/>
      <c r="AS1973" s="222"/>
      <c r="AZ1973" s="889"/>
      <c r="BC1973" s="890"/>
      <c r="BD1973" s="952"/>
      <c r="BE1973" s="75"/>
      <c r="BF1973" s="572"/>
      <c r="BG1973" s="983"/>
      <c r="BH1973" s="222"/>
      <c r="BL1973" s="889"/>
      <c r="BO1973" s="223"/>
    </row>
    <row r="1974" spans="1:67" s="74" customFormat="1">
      <c r="A1974" s="15"/>
      <c r="B1974" s="15"/>
      <c r="C1974" s="15"/>
      <c r="D1974" s="15"/>
      <c r="E1974" s="6"/>
      <c r="F1974" s="6"/>
      <c r="G1974" s="6"/>
      <c r="K1974" s="223"/>
      <c r="M1974" s="889"/>
      <c r="P1974" s="890"/>
      <c r="T1974" s="889"/>
      <c r="X1974" s="15"/>
      <c r="Y1974" s="1935"/>
      <c r="Z1974" s="1086"/>
      <c r="AA1974" s="230"/>
      <c r="AB1974" s="230"/>
      <c r="AC1974" s="1936"/>
      <c r="AD1974" s="230"/>
      <c r="AE1974" s="230"/>
      <c r="AF1974" s="230"/>
      <c r="AG1974" s="890"/>
      <c r="AJ1974" s="890"/>
      <c r="AN1974" s="223"/>
      <c r="AO1974" s="952"/>
      <c r="AP1974" s="1066"/>
      <c r="AQ1974" s="972"/>
      <c r="AR1974" s="1917"/>
      <c r="AS1974" s="222"/>
      <c r="AZ1974" s="889"/>
      <c r="BC1974" s="890"/>
      <c r="BD1974" s="952"/>
      <c r="BE1974" s="75"/>
      <c r="BF1974" s="572"/>
      <c r="BG1974" s="983"/>
      <c r="BH1974" s="222"/>
      <c r="BL1974" s="889"/>
      <c r="BO1974" s="223"/>
    </row>
    <row r="1975" spans="1:67" s="74" customFormat="1">
      <c r="A1975" s="15"/>
      <c r="B1975" s="15"/>
      <c r="C1975" s="15"/>
      <c r="D1975" s="15"/>
      <c r="E1975" s="6"/>
      <c r="F1975" s="6"/>
      <c r="G1975" s="6"/>
      <c r="K1975" s="223"/>
      <c r="M1975" s="889"/>
      <c r="P1975" s="890"/>
      <c r="T1975" s="889"/>
      <c r="X1975" s="15"/>
      <c r="Y1975" s="1935"/>
      <c r="Z1975" s="1086"/>
      <c r="AA1975" s="230"/>
      <c r="AB1975" s="230"/>
      <c r="AC1975" s="1936"/>
      <c r="AD1975" s="230"/>
      <c r="AE1975" s="230"/>
      <c r="AF1975" s="230"/>
      <c r="AG1975" s="890"/>
      <c r="AJ1975" s="890"/>
      <c r="AN1975" s="223"/>
      <c r="AO1975" s="952"/>
      <c r="AP1975" s="1066"/>
      <c r="AQ1975" s="972"/>
      <c r="AR1975" s="1917"/>
      <c r="AS1975" s="222"/>
      <c r="AZ1975" s="889"/>
      <c r="BC1975" s="890"/>
      <c r="BD1975" s="952"/>
      <c r="BE1975" s="75"/>
      <c r="BF1975" s="572"/>
      <c r="BG1975" s="983"/>
      <c r="BH1975" s="222"/>
      <c r="BL1975" s="889"/>
      <c r="BO1975" s="223"/>
    </row>
    <row r="1976" spans="1:67" s="74" customFormat="1">
      <c r="A1976" s="15"/>
      <c r="B1976" s="15"/>
      <c r="C1976" s="15"/>
      <c r="D1976" s="15"/>
      <c r="E1976" s="6"/>
      <c r="F1976" s="6"/>
      <c r="G1976" s="6"/>
      <c r="K1976" s="223"/>
      <c r="M1976" s="889"/>
      <c r="P1976" s="890"/>
      <c r="T1976" s="889"/>
      <c r="X1976" s="15"/>
      <c r="Y1976" s="1935"/>
      <c r="Z1976" s="1086"/>
      <c r="AA1976" s="230"/>
      <c r="AB1976" s="230"/>
      <c r="AC1976" s="1936"/>
      <c r="AD1976" s="230"/>
      <c r="AE1976" s="230"/>
      <c r="AF1976" s="230"/>
      <c r="AG1976" s="890"/>
      <c r="AJ1976" s="890"/>
      <c r="AN1976" s="223"/>
      <c r="AO1976" s="952"/>
      <c r="AP1976" s="1066"/>
      <c r="AQ1976" s="972"/>
      <c r="AR1976" s="1917"/>
      <c r="AS1976" s="222"/>
      <c r="AZ1976" s="889"/>
      <c r="BC1976" s="890"/>
      <c r="BD1976" s="952"/>
      <c r="BE1976" s="75"/>
      <c r="BF1976" s="572"/>
      <c r="BG1976" s="983"/>
      <c r="BH1976" s="222"/>
      <c r="BL1976" s="889"/>
      <c r="BO1976" s="223"/>
    </row>
    <row r="1977" spans="1:67" s="74" customFormat="1">
      <c r="A1977" s="15"/>
      <c r="B1977" s="15"/>
      <c r="C1977" s="15"/>
      <c r="D1977" s="15"/>
      <c r="E1977" s="6"/>
      <c r="F1977" s="6"/>
      <c r="G1977" s="6"/>
      <c r="K1977" s="223"/>
      <c r="M1977" s="889"/>
      <c r="P1977" s="890"/>
      <c r="T1977" s="889"/>
      <c r="X1977" s="15"/>
      <c r="Y1977" s="1935"/>
      <c r="Z1977" s="1086"/>
      <c r="AA1977" s="230"/>
      <c r="AB1977" s="230"/>
      <c r="AC1977" s="1936"/>
      <c r="AD1977" s="230"/>
      <c r="AE1977" s="230"/>
      <c r="AF1977" s="230"/>
      <c r="AG1977" s="890"/>
      <c r="AJ1977" s="890"/>
      <c r="AN1977" s="223"/>
      <c r="AO1977" s="952"/>
      <c r="AP1977" s="1066"/>
      <c r="AQ1977" s="972"/>
      <c r="AR1977" s="1917"/>
      <c r="AS1977" s="222"/>
      <c r="AZ1977" s="889"/>
      <c r="BC1977" s="890"/>
      <c r="BD1977" s="952"/>
      <c r="BE1977" s="75"/>
      <c r="BF1977" s="572"/>
      <c r="BG1977" s="983"/>
      <c r="BH1977" s="222"/>
      <c r="BL1977" s="889"/>
      <c r="BO1977" s="223"/>
    </row>
    <row r="1978" spans="1:67" s="74" customFormat="1">
      <c r="A1978" s="15"/>
      <c r="B1978" s="15"/>
      <c r="C1978" s="15"/>
      <c r="D1978" s="15"/>
      <c r="E1978" s="6"/>
      <c r="F1978" s="6"/>
      <c r="G1978" s="6"/>
      <c r="K1978" s="223"/>
      <c r="M1978" s="889"/>
      <c r="P1978" s="890"/>
      <c r="T1978" s="889"/>
      <c r="X1978" s="15"/>
      <c r="Y1978" s="1935"/>
      <c r="Z1978" s="1086"/>
      <c r="AA1978" s="230"/>
      <c r="AB1978" s="230"/>
      <c r="AC1978" s="1936"/>
      <c r="AD1978" s="230"/>
      <c r="AE1978" s="230"/>
      <c r="AF1978" s="230"/>
      <c r="AG1978" s="890"/>
      <c r="AJ1978" s="890"/>
      <c r="AN1978" s="223"/>
      <c r="AO1978" s="952"/>
      <c r="AP1978" s="1066"/>
      <c r="AQ1978" s="972"/>
      <c r="AR1978" s="1917"/>
      <c r="AS1978" s="222"/>
      <c r="AZ1978" s="889"/>
      <c r="BC1978" s="890"/>
      <c r="BD1978" s="952"/>
      <c r="BE1978" s="75"/>
      <c r="BF1978" s="572"/>
      <c r="BG1978" s="983"/>
      <c r="BH1978" s="222"/>
      <c r="BL1978" s="889"/>
      <c r="BO1978" s="223"/>
    </row>
    <row r="1979" spans="1:67" s="74" customFormat="1">
      <c r="A1979" s="15"/>
      <c r="B1979" s="15"/>
      <c r="C1979" s="15"/>
      <c r="D1979" s="15"/>
      <c r="E1979" s="6"/>
      <c r="F1979" s="6"/>
      <c r="G1979" s="6"/>
      <c r="K1979" s="223"/>
      <c r="M1979" s="889"/>
      <c r="P1979" s="890"/>
      <c r="T1979" s="889"/>
      <c r="X1979" s="15"/>
      <c r="Y1979" s="1935"/>
      <c r="Z1979" s="1086"/>
      <c r="AA1979" s="230"/>
      <c r="AB1979" s="230"/>
      <c r="AC1979" s="1936"/>
      <c r="AD1979" s="230"/>
      <c r="AE1979" s="230"/>
      <c r="AF1979" s="230"/>
      <c r="AG1979" s="890"/>
      <c r="AJ1979" s="890"/>
      <c r="AN1979" s="223"/>
      <c r="AO1979" s="952"/>
      <c r="AP1979" s="1066"/>
      <c r="AQ1979" s="972"/>
      <c r="AR1979" s="1917"/>
      <c r="AS1979" s="222"/>
      <c r="AZ1979" s="889"/>
      <c r="BC1979" s="890"/>
      <c r="BD1979" s="952"/>
      <c r="BE1979" s="75"/>
      <c r="BF1979" s="572"/>
      <c r="BG1979" s="983"/>
      <c r="BH1979" s="222"/>
      <c r="BL1979" s="889"/>
      <c r="BO1979" s="223"/>
    </row>
    <row r="1980" spans="1:67" s="74" customFormat="1">
      <c r="A1980" s="15"/>
      <c r="B1980" s="15"/>
      <c r="C1980" s="15"/>
      <c r="D1980" s="15"/>
      <c r="E1980" s="6"/>
      <c r="F1980" s="6"/>
      <c r="G1980" s="6"/>
      <c r="K1980" s="223"/>
      <c r="M1980" s="889"/>
      <c r="P1980" s="890"/>
      <c r="T1980" s="889"/>
      <c r="X1980" s="15"/>
      <c r="Y1980" s="1935"/>
      <c r="Z1980" s="1086"/>
      <c r="AA1980" s="230"/>
      <c r="AB1980" s="230"/>
      <c r="AC1980" s="1936"/>
      <c r="AD1980" s="230"/>
      <c r="AE1980" s="230"/>
      <c r="AF1980" s="230"/>
      <c r="AG1980" s="890"/>
      <c r="AJ1980" s="890"/>
      <c r="AN1980" s="223"/>
      <c r="AO1980" s="952"/>
      <c r="AP1980" s="1066"/>
      <c r="AQ1980" s="972"/>
      <c r="AR1980" s="1917"/>
      <c r="AS1980" s="222"/>
      <c r="AZ1980" s="889"/>
      <c r="BC1980" s="890"/>
      <c r="BD1980" s="952"/>
      <c r="BE1980" s="75"/>
      <c r="BF1980" s="572"/>
      <c r="BG1980" s="983"/>
      <c r="BH1980" s="222"/>
      <c r="BL1980" s="889"/>
      <c r="BO1980" s="223"/>
    </row>
    <row r="1981" spans="1:67" s="74" customFormat="1">
      <c r="A1981" s="15"/>
      <c r="B1981" s="15"/>
      <c r="C1981" s="15"/>
      <c r="D1981" s="15"/>
      <c r="E1981" s="6"/>
      <c r="F1981" s="6"/>
      <c r="G1981" s="6"/>
      <c r="K1981" s="223"/>
      <c r="M1981" s="889"/>
      <c r="P1981" s="890"/>
      <c r="T1981" s="889"/>
      <c r="X1981" s="15"/>
      <c r="Y1981" s="1935"/>
      <c r="Z1981" s="1086"/>
      <c r="AA1981" s="230"/>
      <c r="AB1981" s="230"/>
      <c r="AC1981" s="1936"/>
      <c r="AD1981" s="230"/>
      <c r="AE1981" s="230"/>
      <c r="AF1981" s="230"/>
      <c r="AG1981" s="890"/>
      <c r="AJ1981" s="890"/>
      <c r="AN1981" s="223"/>
      <c r="AO1981" s="952"/>
      <c r="AP1981" s="1066"/>
      <c r="AQ1981" s="972"/>
      <c r="AR1981" s="1917"/>
      <c r="AS1981" s="222"/>
      <c r="AZ1981" s="889"/>
      <c r="BC1981" s="890"/>
      <c r="BD1981" s="952"/>
      <c r="BE1981" s="75"/>
      <c r="BF1981" s="572"/>
      <c r="BG1981" s="983"/>
      <c r="BH1981" s="222"/>
      <c r="BL1981" s="889"/>
      <c r="BO1981" s="223"/>
    </row>
    <row r="1982" spans="1:67" s="74" customFormat="1">
      <c r="A1982" s="15"/>
      <c r="B1982" s="15"/>
      <c r="C1982" s="15"/>
      <c r="D1982" s="15"/>
      <c r="E1982" s="6"/>
      <c r="F1982" s="6"/>
      <c r="G1982" s="6"/>
      <c r="K1982" s="223"/>
      <c r="M1982" s="889"/>
      <c r="P1982" s="890"/>
      <c r="T1982" s="889"/>
      <c r="X1982" s="15"/>
      <c r="Y1982" s="1935"/>
      <c r="Z1982" s="1086"/>
      <c r="AA1982" s="230"/>
      <c r="AB1982" s="230"/>
      <c r="AC1982" s="1936"/>
      <c r="AD1982" s="230"/>
      <c r="AE1982" s="230"/>
      <c r="AF1982" s="230"/>
      <c r="AG1982" s="890"/>
      <c r="AJ1982" s="890"/>
      <c r="AN1982" s="223"/>
      <c r="AO1982" s="952"/>
      <c r="AP1982" s="1066"/>
      <c r="AQ1982" s="972"/>
      <c r="AR1982" s="1917"/>
      <c r="AS1982" s="222"/>
      <c r="AZ1982" s="889"/>
      <c r="BC1982" s="890"/>
      <c r="BD1982" s="952"/>
      <c r="BE1982" s="75"/>
      <c r="BF1982" s="572"/>
      <c r="BG1982" s="983"/>
      <c r="BH1982" s="222"/>
      <c r="BL1982" s="889"/>
      <c r="BO1982" s="223"/>
    </row>
    <row r="1983" spans="1:67" s="74" customFormat="1">
      <c r="A1983" s="15"/>
      <c r="B1983" s="15"/>
      <c r="C1983" s="15"/>
      <c r="D1983" s="15"/>
      <c r="E1983" s="6"/>
      <c r="F1983" s="6"/>
      <c r="G1983" s="6"/>
      <c r="K1983" s="223"/>
      <c r="M1983" s="889"/>
      <c r="P1983" s="890"/>
      <c r="T1983" s="889"/>
      <c r="X1983" s="15"/>
      <c r="Y1983" s="1935"/>
      <c r="Z1983" s="1086"/>
      <c r="AA1983" s="230"/>
      <c r="AB1983" s="230"/>
      <c r="AC1983" s="1936"/>
      <c r="AD1983" s="230"/>
      <c r="AE1983" s="230"/>
      <c r="AF1983" s="230"/>
      <c r="AG1983" s="890"/>
      <c r="AJ1983" s="890"/>
      <c r="AN1983" s="223"/>
      <c r="AO1983" s="952"/>
      <c r="AP1983" s="1066"/>
      <c r="AQ1983" s="972"/>
      <c r="AR1983" s="1917"/>
      <c r="AS1983" s="222"/>
      <c r="AZ1983" s="889"/>
      <c r="BC1983" s="890"/>
      <c r="BD1983" s="952"/>
      <c r="BE1983" s="75"/>
      <c r="BF1983" s="572"/>
      <c r="BG1983" s="983"/>
      <c r="BH1983" s="222"/>
      <c r="BL1983" s="889"/>
      <c r="BO1983" s="223"/>
    </row>
    <row r="1984" spans="1:67" s="74" customFormat="1">
      <c r="A1984" s="15"/>
      <c r="B1984" s="15"/>
      <c r="C1984" s="15"/>
      <c r="D1984" s="15"/>
      <c r="E1984" s="6"/>
      <c r="F1984" s="6"/>
      <c r="G1984" s="6"/>
      <c r="K1984" s="223"/>
      <c r="M1984" s="889"/>
      <c r="P1984" s="890"/>
      <c r="T1984" s="889"/>
      <c r="X1984" s="15"/>
      <c r="Y1984" s="1935"/>
      <c r="Z1984" s="1086"/>
      <c r="AA1984" s="230"/>
      <c r="AB1984" s="230"/>
      <c r="AC1984" s="1936"/>
      <c r="AD1984" s="230"/>
      <c r="AE1984" s="230"/>
      <c r="AF1984" s="230"/>
      <c r="AG1984" s="890"/>
      <c r="AJ1984" s="890"/>
      <c r="AN1984" s="223"/>
      <c r="AO1984" s="952"/>
      <c r="AP1984" s="1066"/>
      <c r="AQ1984" s="972"/>
      <c r="AR1984" s="1917"/>
      <c r="AS1984" s="222"/>
      <c r="AZ1984" s="889"/>
      <c r="BC1984" s="890"/>
      <c r="BD1984" s="952"/>
      <c r="BE1984" s="75"/>
      <c r="BF1984" s="572"/>
      <c r="BG1984" s="983"/>
      <c r="BH1984" s="222"/>
      <c r="BL1984" s="889"/>
      <c r="BO1984" s="223"/>
    </row>
    <row r="1985" spans="1:67" s="74" customFormat="1">
      <c r="A1985" s="15"/>
      <c r="B1985" s="15"/>
      <c r="C1985" s="15"/>
      <c r="D1985" s="15"/>
      <c r="E1985" s="6"/>
      <c r="F1985" s="6"/>
      <c r="G1985" s="6"/>
      <c r="K1985" s="223"/>
      <c r="M1985" s="889"/>
      <c r="P1985" s="890"/>
      <c r="T1985" s="889"/>
      <c r="X1985" s="15"/>
      <c r="Y1985" s="1935"/>
      <c r="Z1985" s="1086"/>
      <c r="AA1985" s="230"/>
      <c r="AB1985" s="230"/>
      <c r="AC1985" s="1936"/>
      <c r="AD1985" s="230"/>
      <c r="AE1985" s="230"/>
      <c r="AF1985" s="230"/>
      <c r="AG1985" s="890"/>
      <c r="AJ1985" s="890"/>
      <c r="AN1985" s="223"/>
      <c r="AO1985" s="952"/>
      <c r="AP1985" s="1066"/>
      <c r="AQ1985" s="972"/>
      <c r="AR1985" s="1917"/>
      <c r="AS1985" s="222"/>
      <c r="AZ1985" s="889"/>
      <c r="BC1985" s="890"/>
      <c r="BD1985" s="952"/>
      <c r="BE1985" s="75"/>
      <c r="BF1985" s="572"/>
      <c r="BG1985" s="983"/>
      <c r="BH1985" s="222"/>
      <c r="BL1985" s="889"/>
      <c r="BO1985" s="223"/>
    </row>
    <row r="1986" spans="1:67" s="74" customFormat="1">
      <c r="A1986" s="15"/>
      <c r="B1986" s="15"/>
      <c r="C1986" s="15"/>
      <c r="D1986" s="15"/>
      <c r="E1986" s="6"/>
      <c r="F1986" s="6"/>
      <c r="G1986" s="6"/>
      <c r="K1986" s="223"/>
      <c r="M1986" s="889"/>
      <c r="P1986" s="890"/>
      <c r="T1986" s="889"/>
      <c r="X1986" s="15"/>
      <c r="Y1986" s="1935"/>
      <c r="Z1986" s="1086"/>
      <c r="AA1986" s="230"/>
      <c r="AB1986" s="230"/>
      <c r="AC1986" s="1936"/>
      <c r="AD1986" s="230"/>
      <c r="AE1986" s="230"/>
      <c r="AF1986" s="230"/>
      <c r="AG1986" s="890"/>
      <c r="AJ1986" s="890"/>
      <c r="AN1986" s="223"/>
      <c r="AO1986" s="952"/>
      <c r="AP1986" s="1066"/>
      <c r="AQ1986" s="972"/>
      <c r="AR1986" s="1917"/>
      <c r="AS1986" s="222"/>
      <c r="AZ1986" s="889"/>
      <c r="BC1986" s="890"/>
      <c r="BD1986" s="952"/>
      <c r="BE1986" s="75"/>
      <c r="BF1986" s="572"/>
      <c r="BG1986" s="983"/>
      <c r="BH1986" s="222"/>
      <c r="BL1986" s="889"/>
      <c r="BO1986" s="223"/>
    </row>
    <row r="1987" spans="1:67" s="74" customFormat="1">
      <c r="A1987" s="15"/>
      <c r="B1987" s="15"/>
      <c r="C1987" s="15"/>
      <c r="D1987" s="15"/>
      <c r="E1987" s="6"/>
      <c r="F1987" s="6"/>
      <c r="G1987" s="6"/>
      <c r="K1987" s="223"/>
      <c r="M1987" s="889"/>
      <c r="P1987" s="890"/>
      <c r="T1987" s="889"/>
      <c r="X1987" s="15"/>
      <c r="Y1987" s="1935"/>
      <c r="Z1987" s="1086"/>
      <c r="AA1987" s="230"/>
      <c r="AB1987" s="230"/>
      <c r="AC1987" s="1936"/>
      <c r="AD1987" s="230"/>
      <c r="AE1987" s="230"/>
      <c r="AF1987" s="230"/>
      <c r="AG1987" s="890"/>
      <c r="AJ1987" s="890"/>
      <c r="AN1987" s="223"/>
      <c r="AO1987" s="952"/>
      <c r="AP1987" s="1066"/>
      <c r="AQ1987" s="972"/>
      <c r="AR1987" s="1917"/>
      <c r="AS1987" s="222"/>
      <c r="AZ1987" s="889"/>
      <c r="BC1987" s="890"/>
      <c r="BD1987" s="952"/>
      <c r="BE1987" s="75"/>
      <c r="BF1987" s="572"/>
      <c r="BG1987" s="983"/>
      <c r="BH1987" s="222"/>
      <c r="BL1987" s="889"/>
      <c r="BO1987" s="223"/>
    </row>
    <row r="1988" spans="1:67" s="74" customFormat="1">
      <c r="A1988" s="15"/>
      <c r="B1988" s="15"/>
      <c r="C1988" s="15"/>
      <c r="D1988" s="15"/>
      <c r="E1988" s="6"/>
      <c r="F1988" s="6"/>
      <c r="G1988" s="6"/>
      <c r="K1988" s="223"/>
      <c r="M1988" s="889"/>
      <c r="P1988" s="890"/>
      <c r="T1988" s="889"/>
      <c r="X1988" s="15"/>
      <c r="Y1988" s="1935"/>
      <c r="Z1988" s="1086"/>
      <c r="AA1988" s="230"/>
      <c r="AB1988" s="230"/>
      <c r="AC1988" s="1936"/>
      <c r="AD1988" s="230"/>
      <c r="AE1988" s="230"/>
      <c r="AF1988" s="230"/>
      <c r="AG1988" s="890"/>
      <c r="AJ1988" s="890"/>
      <c r="AN1988" s="223"/>
      <c r="AO1988" s="952"/>
      <c r="AP1988" s="1066"/>
      <c r="AQ1988" s="972"/>
      <c r="AR1988" s="1917"/>
      <c r="AS1988" s="222"/>
      <c r="AZ1988" s="889"/>
      <c r="BC1988" s="890"/>
      <c r="BD1988" s="952"/>
      <c r="BE1988" s="75"/>
      <c r="BF1988" s="572"/>
      <c r="BG1988" s="983"/>
      <c r="BH1988" s="222"/>
      <c r="BL1988" s="889"/>
      <c r="BO1988" s="223"/>
    </row>
    <row r="1989" spans="1:67" s="74" customFormat="1">
      <c r="A1989" s="15"/>
      <c r="B1989" s="15"/>
      <c r="C1989" s="15"/>
      <c r="D1989" s="15"/>
      <c r="E1989" s="6"/>
      <c r="F1989" s="6"/>
      <c r="G1989" s="6"/>
      <c r="K1989" s="223"/>
      <c r="M1989" s="889"/>
      <c r="P1989" s="890"/>
      <c r="T1989" s="889"/>
      <c r="X1989" s="15"/>
      <c r="Y1989" s="1935"/>
      <c r="Z1989" s="1086"/>
      <c r="AA1989" s="230"/>
      <c r="AB1989" s="230"/>
      <c r="AC1989" s="1936"/>
      <c r="AD1989" s="230"/>
      <c r="AE1989" s="230"/>
      <c r="AF1989" s="230"/>
      <c r="AG1989" s="890"/>
      <c r="AJ1989" s="890"/>
      <c r="AN1989" s="223"/>
      <c r="AO1989" s="952"/>
      <c r="AP1989" s="1066"/>
      <c r="AQ1989" s="972"/>
      <c r="AR1989" s="1917"/>
      <c r="AS1989" s="222"/>
      <c r="AZ1989" s="889"/>
      <c r="BC1989" s="890"/>
      <c r="BD1989" s="952"/>
      <c r="BE1989" s="75"/>
      <c r="BF1989" s="572"/>
      <c r="BG1989" s="983"/>
      <c r="BH1989" s="222"/>
      <c r="BL1989" s="889"/>
      <c r="BO1989" s="223"/>
    </row>
    <row r="1990" spans="1:67" s="74" customFormat="1">
      <c r="A1990" s="15"/>
      <c r="B1990" s="15"/>
      <c r="C1990" s="15"/>
      <c r="D1990" s="15"/>
      <c r="E1990" s="6"/>
      <c r="F1990" s="6"/>
      <c r="G1990" s="6"/>
      <c r="K1990" s="223"/>
      <c r="M1990" s="889"/>
      <c r="P1990" s="890"/>
      <c r="T1990" s="889"/>
      <c r="X1990" s="15"/>
      <c r="Y1990" s="1935"/>
      <c r="Z1990" s="1086"/>
      <c r="AA1990" s="230"/>
      <c r="AB1990" s="230"/>
      <c r="AC1990" s="1936"/>
      <c r="AD1990" s="230"/>
      <c r="AE1990" s="230"/>
      <c r="AF1990" s="230"/>
      <c r="AG1990" s="890"/>
      <c r="AJ1990" s="890"/>
      <c r="AN1990" s="223"/>
      <c r="AO1990" s="952"/>
      <c r="AP1990" s="1066"/>
      <c r="AQ1990" s="972"/>
      <c r="AR1990" s="1917"/>
      <c r="AS1990" s="222"/>
      <c r="AZ1990" s="889"/>
      <c r="BC1990" s="890"/>
      <c r="BD1990" s="952"/>
      <c r="BE1990" s="75"/>
      <c r="BF1990" s="572"/>
      <c r="BG1990" s="983"/>
      <c r="BH1990" s="222"/>
      <c r="BL1990" s="889"/>
      <c r="BO1990" s="223"/>
    </row>
    <row r="1991" spans="1:67" s="74" customFormat="1">
      <c r="A1991" s="15"/>
      <c r="B1991" s="15"/>
      <c r="C1991" s="15"/>
      <c r="D1991" s="15"/>
      <c r="E1991" s="6"/>
      <c r="F1991" s="6"/>
      <c r="G1991" s="6"/>
      <c r="K1991" s="223"/>
      <c r="M1991" s="889"/>
      <c r="P1991" s="890"/>
      <c r="T1991" s="889"/>
      <c r="X1991" s="15"/>
      <c r="Y1991" s="1935"/>
      <c r="Z1991" s="1086"/>
      <c r="AA1991" s="230"/>
      <c r="AB1991" s="230"/>
      <c r="AC1991" s="1936"/>
      <c r="AD1991" s="230"/>
      <c r="AE1991" s="230"/>
      <c r="AF1991" s="230"/>
      <c r="AG1991" s="890"/>
      <c r="AJ1991" s="890"/>
      <c r="AN1991" s="223"/>
      <c r="AO1991" s="952"/>
      <c r="AP1991" s="1066"/>
      <c r="AQ1991" s="972"/>
      <c r="AR1991" s="1917"/>
      <c r="AS1991" s="222"/>
      <c r="AZ1991" s="889"/>
      <c r="BC1991" s="890"/>
      <c r="BD1991" s="952"/>
      <c r="BE1991" s="75"/>
      <c r="BF1991" s="572"/>
      <c r="BG1991" s="983"/>
      <c r="BH1991" s="222"/>
      <c r="BL1991" s="889"/>
      <c r="BO1991" s="223"/>
    </row>
    <row r="1992" spans="1:67" s="74" customFormat="1">
      <c r="A1992" s="15"/>
      <c r="B1992" s="15"/>
      <c r="C1992" s="15"/>
      <c r="D1992" s="15"/>
      <c r="E1992" s="6"/>
      <c r="F1992" s="6"/>
      <c r="G1992" s="6"/>
      <c r="K1992" s="223"/>
      <c r="M1992" s="889"/>
      <c r="P1992" s="890"/>
      <c r="T1992" s="889"/>
      <c r="X1992" s="15"/>
      <c r="Y1992" s="1935"/>
      <c r="Z1992" s="1086"/>
      <c r="AA1992" s="230"/>
      <c r="AB1992" s="230"/>
      <c r="AC1992" s="1936"/>
      <c r="AD1992" s="230"/>
      <c r="AE1992" s="230"/>
      <c r="AF1992" s="230"/>
      <c r="AG1992" s="890"/>
      <c r="AJ1992" s="890"/>
      <c r="AN1992" s="223"/>
      <c r="AO1992" s="952"/>
      <c r="AP1992" s="1066"/>
      <c r="AQ1992" s="972"/>
      <c r="AR1992" s="1917"/>
      <c r="AS1992" s="222"/>
      <c r="AZ1992" s="889"/>
      <c r="BC1992" s="890"/>
      <c r="BD1992" s="952"/>
      <c r="BE1992" s="75"/>
      <c r="BF1992" s="572"/>
      <c r="BG1992" s="983"/>
      <c r="BH1992" s="222"/>
      <c r="BL1992" s="889"/>
      <c r="BO1992" s="223"/>
    </row>
    <row r="1993" spans="1:67" s="74" customFormat="1">
      <c r="A1993" s="15"/>
      <c r="B1993" s="15"/>
      <c r="C1993" s="15"/>
      <c r="D1993" s="15"/>
      <c r="E1993" s="6"/>
      <c r="F1993" s="6"/>
      <c r="G1993" s="6"/>
      <c r="K1993" s="223"/>
      <c r="M1993" s="889"/>
      <c r="P1993" s="890"/>
      <c r="T1993" s="889"/>
      <c r="X1993" s="15"/>
      <c r="Y1993" s="1935"/>
      <c r="Z1993" s="1086"/>
      <c r="AA1993" s="230"/>
      <c r="AB1993" s="230"/>
      <c r="AC1993" s="1936"/>
      <c r="AD1993" s="230"/>
      <c r="AE1993" s="230"/>
      <c r="AF1993" s="230"/>
      <c r="AG1993" s="890"/>
      <c r="AJ1993" s="890"/>
      <c r="AN1993" s="223"/>
      <c r="AO1993" s="952"/>
      <c r="AP1993" s="1066"/>
      <c r="AQ1993" s="972"/>
      <c r="AR1993" s="1917"/>
      <c r="AS1993" s="222"/>
      <c r="AZ1993" s="889"/>
      <c r="BC1993" s="890"/>
      <c r="BD1993" s="952"/>
      <c r="BE1993" s="75"/>
      <c r="BF1993" s="572"/>
      <c r="BG1993" s="983"/>
      <c r="BH1993" s="222"/>
      <c r="BL1993" s="889"/>
      <c r="BO1993" s="223"/>
    </row>
    <row r="1994" spans="1:67" s="74" customFormat="1">
      <c r="A1994" s="15"/>
      <c r="B1994" s="15"/>
      <c r="C1994" s="15"/>
      <c r="D1994" s="15"/>
      <c r="E1994" s="6"/>
      <c r="F1994" s="6"/>
      <c r="G1994" s="6"/>
      <c r="K1994" s="223"/>
      <c r="M1994" s="889"/>
      <c r="P1994" s="890"/>
      <c r="T1994" s="889"/>
      <c r="X1994" s="15"/>
      <c r="Y1994" s="1935"/>
      <c r="Z1994" s="1086"/>
      <c r="AA1994" s="230"/>
      <c r="AB1994" s="230"/>
      <c r="AC1994" s="1936"/>
      <c r="AD1994" s="230"/>
      <c r="AE1994" s="230"/>
      <c r="AF1994" s="230"/>
      <c r="AG1994" s="890"/>
      <c r="AJ1994" s="890"/>
      <c r="AN1994" s="223"/>
      <c r="AO1994" s="952"/>
      <c r="AP1994" s="1066"/>
      <c r="AQ1994" s="972"/>
      <c r="AR1994" s="1917"/>
      <c r="AS1994" s="222"/>
      <c r="AZ1994" s="889"/>
      <c r="BC1994" s="890"/>
      <c r="BD1994" s="952"/>
      <c r="BE1994" s="75"/>
      <c r="BF1994" s="572"/>
      <c r="BG1994" s="983"/>
      <c r="BH1994" s="222"/>
      <c r="BL1994" s="889"/>
      <c r="BO1994" s="223"/>
    </row>
    <row r="1995" spans="1:67" s="74" customFormat="1">
      <c r="A1995" s="15"/>
      <c r="B1995" s="15"/>
      <c r="C1995" s="15"/>
      <c r="D1995" s="15"/>
      <c r="E1995" s="6"/>
      <c r="F1995" s="6"/>
      <c r="G1995" s="6"/>
      <c r="K1995" s="223"/>
      <c r="M1995" s="889"/>
      <c r="P1995" s="890"/>
      <c r="T1995" s="889"/>
      <c r="X1995" s="15"/>
      <c r="Y1995" s="1935"/>
      <c r="Z1995" s="1086"/>
      <c r="AA1995" s="230"/>
      <c r="AB1995" s="230"/>
      <c r="AC1995" s="1936"/>
      <c r="AD1995" s="230"/>
      <c r="AE1995" s="230"/>
      <c r="AF1995" s="230"/>
      <c r="AG1995" s="890"/>
      <c r="AJ1995" s="890"/>
      <c r="AN1995" s="223"/>
      <c r="AO1995" s="952"/>
      <c r="AP1995" s="1066"/>
      <c r="AQ1995" s="972"/>
      <c r="AR1995" s="1917"/>
      <c r="AS1995" s="222"/>
      <c r="AZ1995" s="889"/>
      <c r="BC1995" s="890"/>
      <c r="BD1995" s="952"/>
      <c r="BE1995" s="75"/>
      <c r="BF1995" s="572"/>
      <c r="BG1995" s="983"/>
      <c r="BH1995" s="222"/>
      <c r="BL1995" s="889"/>
      <c r="BO1995" s="223"/>
    </row>
    <row r="1996" spans="1:67" s="74" customFormat="1">
      <c r="A1996" s="15"/>
      <c r="B1996" s="15"/>
      <c r="C1996" s="15"/>
      <c r="D1996" s="15"/>
      <c r="E1996" s="6"/>
      <c r="F1996" s="6"/>
      <c r="G1996" s="6"/>
      <c r="K1996" s="223"/>
      <c r="M1996" s="889"/>
      <c r="P1996" s="890"/>
      <c r="T1996" s="889"/>
      <c r="X1996" s="15"/>
      <c r="Y1996" s="1935"/>
      <c r="Z1996" s="1086"/>
      <c r="AA1996" s="230"/>
      <c r="AB1996" s="230"/>
      <c r="AC1996" s="1936"/>
      <c r="AD1996" s="230"/>
      <c r="AE1996" s="230"/>
      <c r="AF1996" s="230"/>
      <c r="AG1996" s="890"/>
      <c r="AJ1996" s="890"/>
      <c r="AN1996" s="223"/>
      <c r="AO1996" s="952"/>
      <c r="AP1996" s="1066"/>
      <c r="AQ1996" s="972"/>
      <c r="AR1996" s="1917"/>
      <c r="AS1996" s="222"/>
      <c r="AZ1996" s="889"/>
      <c r="BC1996" s="890"/>
      <c r="BD1996" s="952"/>
      <c r="BE1996" s="75"/>
      <c r="BF1996" s="572"/>
      <c r="BG1996" s="983"/>
      <c r="BH1996" s="222"/>
      <c r="BL1996" s="889"/>
      <c r="BO1996" s="223"/>
    </row>
    <row r="1997" spans="1:67" s="74" customFormat="1">
      <c r="A1997" s="15"/>
      <c r="B1997" s="15"/>
      <c r="C1997" s="15"/>
      <c r="D1997" s="15"/>
      <c r="E1997" s="6"/>
      <c r="F1997" s="6"/>
      <c r="G1997" s="6"/>
      <c r="K1997" s="223"/>
      <c r="M1997" s="889"/>
      <c r="P1997" s="890"/>
      <c r="T1997" s="889"/>
      <c r="X1997" s="15"/>
      <c r="Y1997" s="1935"/>
      <c r="Z1997" s="1086"/>
      <c r="AA1997" s="230"/>
      <c r="AB1997" s="230"/>
      <c r="AC1997" s="1936"/>
      <c r="AD1997" s="230"/>
      <c r="AE1997" s="230"/>
      <c r="AF1997" s="230"/>
      <c r="AG1997" s="890"/>
      <c r="AJ1997" s="890"/>
      <c r="AN1997" s="223"/>
      <c r="AO1997" s="952"/>
      <c r="AP1997" s="1066"/>
      <c r="AQ1997" s="972"/>
      <c r="AR1997" s="1917"/>
      <c r="AS1997" s="222"/>
      <c r="AZ1997" s="889"/>
      <c r="BC1997" s="890"/>
      <c r="BD1997" s="952"/>
      <c r="BE1997" s="75"/>
      <c r="BF1997" s="572"/>
      <c r="BG1997" s="983"/>
      <c r="BH1997" s="222"/>
      <c r="BL1997" s="889"/>
      <c r="BO1997" s="223"/>
    </row>
    <row r="1998" spans="1:67" s="74" customFormat="1">
      <c r="A1998" s="15"/>
      <c r="B1998" s="15"/>
      <c r="C1998" s="15"/>
      <c r="D1998" s="15"/>
      <c r="E1998" s="6"/>
      <c r="F1998" s="6"/>
      <c r="G1998" s="6"/>
      <c r="K1998" s="223"/>
      <c r="M1998" s="889"/>
      <c r="P1998" s="890"/>
      <c r="T1998" s="889"/>
      <c r="X1998" s="15"/>
      <c r="Y1998" s="1935"/>
      <c r="Z1998" s="1086"/>
      <c r="AA1998" s="230"/>
      <c r="AB1998" s="230"/>
      <c r="AC1998" s="1936"/>
      <c r="AD1998" s="230"/>
      <c r="AE1998" s="230"/>
      <c r="AF1998" s="230"/>
      <c r="AG1998" s="890"/>
      <c r="AJ1998" s="890"/>
      <c r="AN1998" s="223"/>
      <c r="AO1998" s="952"/>
      <c r="AP1998" s="1066"/>
      <c r="AQ1998" s="972"/>
      <c r="AR1998" s="1917"/>
      <c r="AS1998" s="222"/>
      <c r="AZ1998" s="889"/>
      <c r="BC1998" s="890"/>
      <c r="BD1998" s="952"/>
      <c r="BE1998" s="75"/>
      <c r="BF1998" s="572"/>
      <c r="BG1998" s="983"/>
      <c r="BH1998" s="222"/>
      <c r="BL1998" s="889"/>
      <c r="BO1998" s="223"/>
    </row>
    <row r="1999" spans="1:67" s="74" customFormat="1">
      <c r="A1999" s="15"/>
      <c r="B1999" s="15"/>
      <c r="C1999" s="15"/>
      <c r="D1999" s="15"/>
      <c r="E1999" s="6"/>
      <c r="F1999" s="6"/>
      <c r="G1999" s="6"/>
      <c r="K1999" s="223"/>
      <c r="M1999" s="889"/>
      <c r="P1999" s="890"/>
      <c r="T1999" s="889"/>
      <c r="X1999" s="15"/>
      <c r="Y1999" s="1935"/>
      <c r="Z1999" s="1086"/>
      <c r="AA1999" s="230"/>
      <c r="AB1999" s="230"/>
      <c r="AC1999" s="1936"/>
      <c r="AD1999" s="230"/>
      <c r="AE1999" s="230"/>
      <c r="AF1999" s="230"/>
      <c r="AG1999" s="890"/>
      <c r="AJ1999" s="890"/>
      <c r="AN1999" s="223"/>
      <c r="AO1999" s="952"/>
      <c r="AP1999" s="1066"/>
      <c r="AQ1999" s="972"/>
      <c r="AR1999" s="1917"/>
      <c r="AS1999" s="222"/>
      <c r="AZ1999" s="889"/>
      <c r="BC1999" s="890"/>
      <c r="BD1999" s="952"/>
      <c r="BE1999" s="75"/>
      <c r="BF1999" s="572"/>
      <c r="BG1999" s="983"/>
      <c r="BH1999" s="222"/>
      <c r="BL1999" s="889"/>
      <c r="BO1999" s="223"/>
    </row>
    <row r="2000" spans="1:67" s="74" customFormat="1">
      <c r="A2000" s="15"/>
      <c r="B2000" s="15"/>
      <c r="C2000" s="15"/>
      <c r="D2000" s="15"/>
      <c r="E2000" s="6"/>
      <c r="F2000" s="6"/>
      <c r="G2000" s="6"/>
      <c r="K2000" s="223"/>
      <c r="M2000" s="889"/>
      <c r="P2000" s="890"/>
      <c r="T2000" s="889"/>
      <c r="X2000" s="15"/>
      <c r="Y2000" s="1935"/>
      <c r="Z2000" s="1086"/>
      <c r="AA2000" s="230"/>
      <c r="AB2000" s="230"/>
      <c r="AC2000" s="1936"/>
      <c r="AD2000" s="230"/>
      <c r="AE2000" s="230"/>
      <c r="AF2000" s="230"/>
      <c r="AG2000" s="890"/>
      <c r="AJ2000" s="890"/>
      <c r="AN2000" s="223"/>
      <c r="AO2000" s="952"/>
      <c r="AP2000" s="1066"/>
      <c r="AQ2000" s="972"/>
      <c r="AR2000" s="1917"/>
      <c r="AS2000" s="222"/>
      <c r="AZ2000" s="889"/>
      <c r="BC2000" s="890"/>
      <c r="BD2000" s="952"/>
      <c r="BE2000" s="75"/>
      <c r="BF2000" s="572"/>
      <c r="BG2000" s="983"/>
      <c r="BH2000" s="222"/>
      <c r="BL2000" s="889"/>
      <c r="BO2000" s="223"/>
    </row>
    <row r="2001" spans="1:67" s="74" customFormat="1">
      <c r="A2001" s="15"/>
      <c r="B2001" s="15"/>
      <c r="C2001" s="15"/>
      <c r="D2001" s="15"/>
      <c r="E2001" s="6"/>
      <c r="F2001" s="6"/>
      <c r="G2001" s="6"/>
      <c r="K2001" s="223"/>
      <c r="M2001" s="889"/>
      <c r="P2001" s="890"/>
      <c r="T2001" s="889"/>
      <c r="X2001" s="15"/>
      <c r="Y2001" s="1935"/>
      <c r="Z2001" s="1086"/>
      <c r="AA2001" s="230"/>
      <c r="AB2001" s="230"/>
      <c r="AC2001" s="1936"/>
      <c r="AD2001" s="230"/>
      <c r="AE2001" s="230"/>
      <c r="AF2001" s="230"/>
      <c r="AG2001" s="890"/>
      <c r="AJ2001" s="890"/>
      <c r="AN2001" s="223"/>
      <c r="AO2001" s="952"/>
      <c r="AP2001" s="1066"/>
      <c r="AQ2001" s="972"/>
      <c r="AR2001" s="1917"/>
      <c r="AS2001" s="222"/>
      <c r="AZ2001" s="889"/>
      <c r="BC2001" s="890"/>
      <c r="BD2001" s="952"/>
      <c r="BE2001" s="75"/>
      <c r="BF2001" s="572"/>
      <c r="BG2001" s="983"/>
      <c r="BH2001" s="222"/>
      <c r="BL2001" s="889"/>
      <c r="BO2001" s="223"/>
    </row>
    <row r="2002" spans="1:67" s="74" customFormat="1">
      <c r="A2002" s="15"/>
      <c r="B2002" s="15"/>
      <c r="C2002" s="15"/>
      <c r="D2002" s="15"/>
      <c r="E2002" s="6"/>
      <c r="F2002" s="6"/>
      <c r="G2002" s="6"/>
      <c r="K2002" s="223"/>
      <c r="M2002" s="889"/>
      <c r="P2002" s="890"/>
      <c r="T2002" s="889"/>
      <c r="X2002" s="15"/>
      <c r="Y2002" s="1935"/>
      <c r="Z2002" s="1086"/>
      <c r="AA2002" s="230"/>
      <c r="AB2002" s="230"/>
      <c r="AC2002" s="1936"/>
      <c r="AD2002" s="230"/>
      <c r="AE2002" s="230"/>
      <c r="AF2002" s="230"/>
      <c r="AG2002" s="890"/>
      <c r="AJ2002" s="890"/>
      <c r="AN2002" s="223"/>
      <c r="AO2002" s="952"/>
      <c r="AP2002" s="1066"/>
      <c r="AQ2002" s="972"/>
      <c r="AR2002" s="1917"/>
      <c r="AS2002" s="222"/>
      <c r="AZ2002" s="889"/>
      <c r="BC2002" s="890"/>
      <c r="BD2002" s="952"/>
      <c r="BE2002" s="75"/>
      <c r="BF2002" s="572"/>
      <c r="BG2002" s="983"/>
      <c r="BH2002" s="222"/>
      <c r="BL2002" s="889"/>
      <c r="BO2002" s="223"/>
    </row>
    <row r="2003" spans="1:67" s="74" customFormat="1">
      <c r="A2003" s="15"/>
      <c r="B2003" s="15"/>
      <c r="C2003" s="15"/>
      <c r="D2003" s="15"/>
      <c r="E2003" s="6"/>
      <c r="F2003" s="6"/>
      <c r="G2003" s="6"/>
      <c r="K2003" s="223"/>
      <c r="M2003" s="889"/>
      <c r="P2003" s="890"/>
      <c r="T2003" s="889"/>
      <c r="X2003" s="15"/>
      <c r="Y2003" s="1935"/>
      <c r="Z2003" s="1086"/>
      <c r="AA2003" s="230"/>
      <c r="AB2003" s="230"/>
      <c r="AC2003" s="1936"/>
      <c r="AD2003" s="230"/>
      <c r="AE2003" s="230"/>
      <c r="AF2003" s="230"/>
      <c r="AG2003" s="890"/>
      <c r="AJ2003" s="890"/>
      <c r="AN2003" s="223"/>
      <c r="AO2003" s="952"/>
      <c r="AP2003" s="1066"/>
      <c r="AQ2003" s="972"/>
      <c r="AR2003" s="1917"/>
      <c r="AS2003" s="222"/>
      <c r="AZ2003" s="889"/>
      <c r="BC2003" s="890"/>
      <c r="BD2003" s="952"/>
      <c r="BE2003" s="75"/>
      <c r="BF2003" s="572"/>
      <c r="BG2003" s="983"/>
      <c r="BH2003" s="222"/>
      <c r="BL2003" s="889"/>
      <c r="BO2003" s="223"/>
    </row>
    <row r="2004" spans="1:67" s="74" customFormat="1">
      <c r="A2004" s="15"/>
      <c r="B2004" s="15"/>
      <c r="C2004" s="15"/>
      <c r="D2004" s="15"/>
      <c r="E2004" s="6"/>
      <c r="F2004" s="6"/>
      <c r="G2004" s="6"/>
      <c r="K2004" s="223"/>
      <c r="M2004" s="889"/>
      <c r="P2004" s="890"/>
      <c r="T2004" s="889"/>
      <c r="X2004" s="15"/>
      <c r="Y2004" s="1935"/>
      <c r="Z2004" s="1086"/>
      <c r="AA2004" s="230"/>
      <c r="AB2004" s="230"/>
      <c r="AC2004" s="1936"/>
      <c r="AD2004" s="230"/>
      <c r="AE2004" s="230"/>
      <c r="AF2004" s="230"/>
      <c r="AG2004" s="890"/>
      <c r="AJ2004" s="890"/>
      <c r="AN2004" s="223"/>
      <c r="AO2004" s="952"/>
      <c r="AP2004" s="1066"/>
      <c r="AQ2004" s="972"/>
      <c r="AR2004" s="1917"/>
      <c r="AS2004" s="222"/>
      <c r="AZ2004" s="889"/>
      <c r="BC2004" s="890"/>
      <c r="BD2004" s="952"/>
      <c r="BE2004" s="75"/>
      <c r="BF2004" s="572"/>
      <c r="BG2004" s="983"/>
      <c r="BH2004" s="222"/>
      <c r="BL2004" s="889"/>
      <c r="BO2004" s="223"/>
    </row>
    <row r="2005" spans="1:67" s="74" customFormat="1">
      <c r="A2005" s="15"/>
      <c r="B2005" s="15"/>
      <c r="C2005" s="15"/>
      <c r="D2005" s="15"/>
      <c r="E2005" s="6"/>
      <c r="F2005" s="6"/>
      <c r="G2005" s="6"/>
      <c r="K2005" s="223"/>
      <c r="M2005" s="889"/>
      <c r="P2005" s="890"/>
      <c r="T2005" s="889"/>
      <c r="X2005" s="15"/>
      <c r="Y2005" s="1935"/>
      <c r="Z2005" s="1086"/>
      <c r="AA2005" s="230"/>
      <c r="AB2005" s="230"/>
      <c r="AC2005" s="1936"/>
      <c r="AD2005" s="230"/>
      <c r="AE2005" s="230"/>
      <c r="AF2005" s="230"/>
      <c r="AG2005" s="890"/>
      <c r="AJ2005" s="890"/>
      <c r="AN2005" s="223"/>
      <c r="AO2005" s="952"/>
      <c r="AP2005" s="1066"/>
      <c r="AQ2005" s="972"/>
      <c r="AR2005" s="1917"/>
      <c r="AS2005" s="222"/>
      <c r="AZ2005" s="889"/>
      <c r="BC2005" s="890"/>
      <c r="BD2005" s="952"/>
      <c r="BE2005" s="75"/>
      <c r="BF2005" s="572"/>
      <c r="BG2005" s="983"/>
      <c r="BH2005" s="222"/>
      <c r="BL2005" s="889"/>
      <c r="BO2005" s="223"/>
    </row>
    <row r="2006" spans="1:67" s="74" customFormat="1">
      <c r="A2006" s="15"/>
      <c r="B2006" s="15"/>
      <c r="C2006" s="15"/>
      <c r="D2006" s="15"/>
      <c r="E2006" s="6"/>
      <c r="F2006" s="6"/>
      <c r="G2006" s="6"/>
      <c r="K2006" s="223"/>
      <c r="M2006" s="889"/>
      <c r="P2006" s="890"/>
      <c r="T2006" s="889"/>
      <c r="X2006" s="15"/>
      <c r="Y2006" s="1935"/>
      <c r="Z2006" s="1086"/>
      <c r="AA2006" s="230"/>
      <c r="AB2006" s="230"/>
      <c r="AC2006" s="1936"/>
      <c r="AD2006" s="230"/>
      <c r="AE2006" s="230"/>
      <c r="AF2006" s="230"/>
      <c r="AG2006" s="890"/>
      <c r="AJ2006" s="890"/>
      <c r="AN2006" s="223"/>
      <c r="AO2006" s="952"/>
      <c r="AP2006" s="1066"/>
      <c r="AQ2006" s="972"/>
      <c r="AR2006" s="1917"/>
      <c r="AS2006" s="222"/>
      <c r="AZ2006" s="889"/>
      <c r="BC2006" s="890"/>
      <c r="BD2006" s="952"/>
      <c r="BE2006" s="75"/>
      <c r="BF2006" s="572"/>
      <c r="BG2006" s="983"/>
      <c r="BH2006" s="222"/>
      <c r="BL2006" s="889"/>
      <c r="BO2006" s="223"/>
    </row>
    <row r="2007" spans="1:67" s="74" customFormat="1">
      <c r="A2007" s="15"/>
      <c r="B2007" s="15"/>
      <c r="C2007" s="15"/>
      <c r="D2007" s="15"/>
      <c r="E2007" s="6"/>
      <c r="F2007" s="6"/>
      <c r="G2007" s="6"/>
      <c r="K2007" s="223"/>
      <c r="M2007" s="889"/>
      <c r="P2007" s="890"/>
      <c r="T2007" s="889"/>
      <c r="X2007" s="15"/>
      <c r="Y2007" s="1935"/>
      <c r="Z2007" s="1086"/>
      <c r="AA2007" s="230"/>
      <c r="AB2007" s="230"/>
      <c r="AC2007" s="1936"/>
      <c r="AD2007" s="230"/>
      <c r="AE2007" s="230"/>
      <c r="AF2007" s="230"/>
      <c r="AG2007" s="890"/>
      <c r="AJ2007" s="890"/>
      <c r="AN2007" s="223"/>
      <c r="AO2007" s="952"/>
      <c r="AP2007" s="1066"/>
      <c r="AQ2007" s="972"/>
      <c r="AR2007" s="1917"/>
      <c r="AS2007" s="222"/>
      <c r="AZ2007" s="889"/>
      <c r="BC2007" s="890"/>
      <c r="BD2007" s="952"/>
      <c r="BE2007" s="75"/>
      <c r="BF2007" s="572"/>
      <c r="BG2007" s="983"/>
      <c r="BH2007" s="222"/>
      <c r="BL2007" s="889"/>
      <c r="BO2007" s="223"/>
    </row>
    <row r="2008" spans="1:67" s="74" customFormat="1">
      <c r="A2008" s="15"/>
      <c r="B2008" s="15"/>
      <c r="C2008" s="15"/>
      <c r="D2008" s="15"/>
      <c r="E2008" s="6"/>
      <c r="F2008" s="6"/>
      <c r="G2008" s="6"/>
      <c r="K2008" s="223"/>
      <c r="M2008" s="889"/>
      <c r="P2008" s="890"/>
      <c r="T2008" s="889"/>
      <c r="X2008" s="15"/>
      <c r="Y2008" s="1935"/>
      <c r="Z2008" s="1086"/>
      <c r="AA2008" s="230"/>
      <c r="AB2008" s="230"/>
      <c r="AC2008" s="1936"/>
      <c r="AD2008" s="230"/>
      <c r="AE2008" s="230"/>
      <c r="AF2008" s="230"/>
      <c r="AG2008" s="890"/>
      <c r="AJ2008" s="890"/>
      <c r="AN2008" s="223"/>
      <c r="AO2008" s="952"/>
      <c r="AP2008" s="1066"/>
      <c r="AQ2008" s="972"/>
      <c r="AR2008" s="1917"/>
      <c r="AS2008" s="222"/>
      <c r="AZ2008" s="889"/>
      <c r="BC2008" s="890"/>
      <c r="BD2008" s="952"/>
      <c r="BE2008" s="75"/>
      <c r="BF2008" s="572"/>
      <c r="BG2008" s="983"/>
      <c r="BH2008" s="222"/>
      <c r="BL2008" s="889"/>
      <c r="BO2008" s="223"/>
    </row>
    <row r="2009" spans="1:67" s="74" customFormat="1">
      <c r="A2009" s="15"/>
      <c r="B2009" s="15"/>
      <c r="C2009" s="15"/>
      <c r="D2009" s="15"/>
      <c r="E2009" s="6"/>
      <c r="F2009" s="6"/>
      <c r="G2009" s="6"/>
      <c r="K2009" s="223"/>
      <c r="M2009" s="889"/>
      <c r="P2009" s="890"/>
      <c r="T2009" s="889"/>
      <c r="X2009" s="15"/>
      <c r="Y2009" s="1935"/>
      <c r="Z2009" s="1086"/>
      <c r="AA2009" s="230"/>
      <c r="AB2009" s="230"/>
      <c r="AC2009" s="1936"/>
      <c r="AD2009" s="230"/>
      <c r="AE2009" s="230"/>
      <c r="AF2009" s="230"/>
      <c r="AG2009" s="890"/>
      <c r="AJ2009" s="890"/>
      <c r="AN2009" s="223"/>
      <c r="AO2009" s="952"/>
      <c r="AP2009" s="1066"/>
      <c r="AQ2009" s="972"/>
      <c r="AR2009" s="1917"/>
      <c r="AS2009" s="222"/>
      <c r="AZ2009" s="889"/>
      <c r="BC2009" s="890"/>
      <c r="BD2009" s="952"/>
      <c r="BE2009" s="75"/>
      <c r="BF2009" s="572"/>
      <c r="BG2009" s="983"/>
      <c r="BH2009" s="222"/>
      <c r="BL2009" s="889"/>
      <c r="BO2009" s="223"/>
    </row>
    <row r="2010" spans="1:67" s="74" customFormat="1">
      <c r="A2010" s="15"/>
      <c r="B2010" s="15"/>
      <c r="C2010" s="15"/>
      <c r="D2010" s="15"/>
      <c r="E2010" s="6"/>
      <c r="F2010" s="6"/>
      <c r="G2010" s="6"/>
      <c r="K2010" s="223"/>
      <c r="M2010" s="889"/>
      <c r="P2010" s="890"/>
      <c r="T2010" s="889"/>
      <c r="X2010" s="15"/>
      <c r="Y2010" s="1935"/>
      <c r="Z2010" s="1086"/>
      <c r="AA2010" s="230"/>
      <c r="AB2010" s="230"/>
      <c r="AC2010" s="1936"/>
      <c r="AD2010" s="230"/>
      <c r="AE2010" s="230"/>
      <c r="AF2010" s="230"/>
      <c r="AG2010" s="890"/>
      <c r="AJ2010" s="890"/>
      <c r="AN2010" s="223"/>
      <c r="AO2010" s="952"/>
      <c r="AP2010" s="1066"/>
      <c r="AQ2010" s="972"/>
      <c r="AR2010" s="1917"/>
      <c r="AS2010" s="222"/>
      <c r="AZ2010" s="889"/>
      <c r="BC2010" s="890"/>
      <c r="BD2010" s="952"/>
      <c r="BE2010" s="75"/>
      <c r="BF2010" s="572"/>
      <c r="BG2010" s="983"/>
      <c r="BH2010" s="222"/>
      <c r="BL2010" s="889"/>
      <c r="BO2010" s="223"/>
    </row>
    <row r="2011" spans="1:67" s="74" customFormat="1">
      <c r="A2011" s="15"/>
      <c r="B2011" s="15"/>
      <c r="C2011" s="15"/>
      <c r="D2011" s="15"/>
      <c r="E2011" s="6"/>
      <c r="F2011" s="6"/>
      <c r="G2011" s="6"/>
      <c r="K2011" s="223"/>
      <c r="M2011" s="889"/>
      <c r="P2011" s="890"/>
      <c r="T2011" s="889"/>
      <c r="X2011" s="15"/>
      <c r="Y2011" s="1935"/>
      <c r="Z2011" s="1086"/>
      <c r="AA2011" s="230"/>
      <c r="AB2011" s="230"/>
      <c r="AC2011" s="1936"/>
      <c r="AD2011" s="230"/>
      <c r="AE2011" s="230"/>
      <c r="AF2011" s="230"/>
      <c r="AG2011" s="890"/>
      <c r="AJ2011" s="890"/>
      <c r="AN2011" s="223"/>
      <c r="AO2011" s="952"/>
      <c r="AP2011" s="1066"/>
      <c r="AQ2011" s="972"/>
      <c r="AR2011" s="1917"/>
      <c r="AS2011" s="222"/>
      <c r="AZ2011" s="889"/>
      <c r="BC2011" s="890"/>
      <c r="BD2011" s="952"/>
      <c r="BE2011" s="75"/>
      <c r="BF2011" s="572"/>
      <c r="BG2011" s="983"/>
      <c r="BH2011" s="222"/>
      <c r="BL2011" s="889"/>
      <c r="BO2011" s="223"/>
    </row>
    <row r="2012" spans="1:67" s="74" customFormat="1">
      <c r="A2012" s="15"/>
      <c r="B2012" s="15"/>
      <c r="C2012" s="15"/>
      <c r="D2012" s="15"/>
      <c r="E2012" s="6"/>
      <c r="F2012" s="6"/>
      <c r="G2012" s="6"/>
      <c r="K2012" s="223"/>
      <c r="M2012" s="889"/>
      <c r="P2012" s="890"/>
      <c r="T2012" s="889"/>
      <c r="X2012" s="15"/>
      <c r="Y2012" s="1935"/>
      <c r="Z2012" s="1086"/>
      <c r="AA2012" s="230"/>
      <c r="AB2012" s="230"/>
      <c r="AC2012" s="1936"/>
      <c r="AD2012" s="230"/>
      <c r="AE2012" s="230"/>
      <c r="AF2012" s="230"/>
      <c r="AG2012" s="890"/>
      <c r="AJ2012" s="890"/>
      <c r="AN2012" s="223"/>
      <c r="AO2012" s="952"/>
      <c r="AP2012" s="1066"/>
      <c r="AQ2012" s="972"/>
      <c r="AR2012" s="1917"/>
      <c r="AS2012" s="222"/>
      <c r="AZ2012" s="889"/>
      <c r="BC2012" s="890"/>
      <c r="BD2012" s="952"/>
      <c r="BE2012" s="75"/>
      <c r="BF2012" s="572"/>
      <c r="BG2012" s="983"/>
      <c r="BH2012" s="222"/>
      <c r="BL2012" s="889"/>
      <c r="BO2012" s="223"/>
    </row>
    <row r="2013" spans="1:67" s="74" customFormat="1">
      <c r="A2013" s="15"/>
      <c r="B2013" s="15"/>
      <c r="C2013" s="15"/>
      <c r="D2013" s="15"/>
      <c r="E2013" s="6"/>
      <c r="F2013" s="6"/>
      <c r="G2013" s="6"/>
      <c r="K2013" s="223"/>
      <c r="M2013" s="889"/>
      <c r="P2013" s="890"/>
      <c r="T2013" s="889"/>
      <c r="X2013" s="15"/>
      <c r="Y2013" s="1935"/>
      <c r="Z2013" s="1086"/>
      <c r="AA2013" s="230"/>
      <c r="AB2013" s="230"/>
      <c r="AC2013" s="1936"/>
      <c r="AD2013" s="230"/>
      <c r="AE2013" s="230"/>
      <c r="AF2013" s="230"/>
      <c r="AG2013" s="890"/>
      <c r="AJ2013" s="890"/>
      <c r="AN2013" s="223"/>
      <c r="AO2013" s="952"/>
      <c r="AP2013" s="1066"/>
      <c r="AQ2013" s="972"/>
      <c r="AR2013" s="1917"/>
      <c r="AS2013" s="222"/>
      <c r="AZ2013" s="889"/>
      <c r="BC2013" s="890"/>
      <c r="BD2013" s="952"/>
      <c r="BE2013" s="75"/>
      <c r="BF2013" s="572"/>
      <c r="BG2013" s="983"/>
      <c r="BH2013" s="222"/>
      <c r="BL2013" s="889"/>
      <c r="BO2013" s="223"/>
    </row>
    <row r="2014" spans="1:67" s="74" customFormat="1">
      <c r="A2014" s="15"/>
      <c r="B2014" s="15"/>
      <c r="C2014" s="15"/>
      <c r="D2014" s="15"/>
      <c r="E2014" s="6"/>
      <c r="F2014" s="6"/>
      <c r="G2014" s="6"/>
      <c r="K2014" s="223"/>
      <c r="M2014" s="889"/>
      <c r="P2014" s="890"/>
      <c r="T2014" s="889"/>
      <c r="X2014" s="15"/>
      <c r="Y2014" s="1935"/>
      <c r="Z2014" s="1086"/>
      <c r="AA2014" s="230"/>
      <c r="AB2014" s="230"/>
      <c r="AC2014" s="1936"/>
      <c r="AD2014" s="230"/>
      <c r="AE2014" s="230"/>
      <c r="AF2014" s="230"/>
      <c r="AG2014" s="890"/>
      <c r="AJ2014" s="890"/>
      <c r="AN2014" s="223"/>
      <c r="AO2014" s="952"/>
      <c r="AP2014" s="1066"/>
      <c r="AQ2014" s="972"/>
      <c r="AR2014" s="1917"/>
      <c r="AS2014" s="222"/>
      <c r="AZ2014" s="889"/>
      <c r="BC2014" s="890"/>
      <c r="BD2014" s="952"/>
      <c r="BE2014" s="75"/>
      <c r="BF2014" s="572"/>
      <c r="BG2014" s="983"/>
      <c r="BH2014" s="222"/>
      <c r="BL2014" s="889"/>
      <c r="BO2014" s="223"/>
    </row>
    <row r="2015" spans="1:67" s="74" customFormat="1">
      <c r="A2015" s="15"/>
      <c r="B2015" s="15"/>
      <c r="C2015" s="15"/>
      <c r="D2015" s="15"/>
      <c r="E2015" s="6"/>
      <c r="F2015" s="6"/>
      <c r="G2015" s="6"/>
      <c r="K2015" s="223"/>
      <c r="M2015" s="889"/>
      <c r="P2015" s="890"/>
      <c r="T2015" s="889"/>
      <c r="X2015" s="15"/>
      <c r="Y2015" s="1935"/>
      <c r="Z2015" s="1086"/>
      <c r="AA2015" s="230"/>
      <c r="AB2015" s="230"/>
      <c r="AC2015" s="1936"/>
      <c r="AD2015" s="230"/>
      <c r="AE2015" s="230"/>
      <c r="AF2015" s="230"/>
      <c r="AG2015" s="890"/>
      <c r="AJ2015" s="890"/>
      <c r="AN2015" s="223"/>
      <c r="AO2015" s="952"/>
      <c r="AP2015" s="1066"/>
      <c r="AQ2015" s="972"/>
      <c r="AR2015" s="1917"/>
      <c r="AS2015" s="222"/>
      <c r="AZ2015" s="889"/>
      <c r="BC2015" s="890"/>
      <c r="BD2015" s="952"/>
      <c r="BE2015" s="75"/>
      <c r="BF2015" s="572"/>
      <c r="BG2015" s="983"/>
      <c r="BH2015" s="222"/>
      <c r="BL2015" s="889"/>
      <c r="BO2015" s="223"/>
    </row>
    <row r="2016" spans="1:67" s="74" customFormat="1">
      <c r="A2016" s="15"/>
      <c r="B2016" s="15"/>
      <c r="C2016" s="15"/>
      <c r="D2016" s="15"/>
      <c r="E2016" s="6"/>
      <c r="F2016" s="6"/>
      <c r="G2016" s="6"/>
      <c r="K2016" s="223"/>
      <c r="M2016" s="889"/>
      <c r="P2016" s="890"/>
      <c r="T2016" s="889"/>
      <c r="X2016" s="15"/>
      <c r="Y2016" s="1935"/>
      <c r="Z2016" s="1086"/>
      <c r="AA2016" s="230"/>
      <c r="AB2016" s="230"/>
      <c r="AC2016" s="1936"/>
      <c r="AD2016" s="230"/>
      <c r="AE2016" s="230"/>
      <c r="AF2016" s="230"/>
      <c r="AG2016" s="890"/>
      <c r="AJ2016" s="890"/>
      <c r="AN2016" s="223"/>
      <c r="AO2016" s="952"/>
      <c r="AP2016" s="1066"/>
      <c r="AQ2016" s="972"/>
      <c r="AR2016" s="1917"/>
      <c r="AS2016" s="222"/>
      <c r="AZ2016" s="889"/>
      <c r="BC2016" s="890"/>
      <c r="BD2016" s="952"/>
      <c r="BE2016" s="75"/>
      <c r="BF2016" s="572"/>
      <c r="BG2016" s="983"/>
      <c r="BH2016" s="222"/>
      <c r="BL2016" s="889"/>
      <c r="BO2016" s="223"/>
    </row>
    <row r="2017" spans="1:67" s="74" customFormat="1">
      <c r="A2017" s="15"/>
      <c r="B2017" s="15"/>
      <c r="C2017" s="15"/>
      <c r="D2017" s="15"/>
      <c r="E2017" s="6"/>
      <c r="F2017" s="6"/>
      <c r="G2017" s="6"/>
      <c r="K2017" s="223"/>
      <c r="M2017" s="889"/>
      <c r="P2017" s="890"/>
      <c r="T2017" s="889"/>
      <c r="X2017" s="15"/>
      <c r="Y2017" s="1935"/>
      <c r="Z2017" s="1086"/>
      <c r="AA2017" s="230"/>
      <c r="AB2017" s="230"/>
      <c r="AC2017" s="1936"/>
      <c r="AD2017" s="230"/>
      <c r="AE2017" s="230"/>
      <c r="AF2017" s="230"/>
      <c r="AG2017" s="890"/>
      <c r="AJ2017" s="890"/>
      <c r="AN2017" s="223"/>
      <c r="AO2017" s="952"/>
      <c r="AP2017" s="1066"/>
      <c r="AQ2017" s="972"/>
      <c r="AR2017" s="1917"/>
      <c r="AS2017" s="222"/>
      <c r="AZ2017" s="889"/>
      <c r="BC2017" s="890"/>
      <c r="BD2017" s="952"/>
      <c r="BE2017" s="75"/>
      <c r="BF2017" s="572"/>
      <c r="BG2017" s="983"/>
      <c r="BH2017" s="222"/>
      <c r="BL2017" s="889"/>
      <c r="BO2017" s="223"/>
    </row>
    <row r="2018" spans="1:67" s="74" customFormat="1">
      <c r="A2018" s="15"/>
      <c r="B2018" s="15"/>
      <c r="C2018" s="15"/>
      <c r="D2018" s="15"/>
      <c r="E2018" s="6"/>
      <c r="F2018" s="6"/>
      <c r="G2018" s="6"/>
      <c r="K2018" s="223"/>
      <c r="M2018" s="889"/>
      <c r="P2018" s="890"/>
      <c r="T2018" s="889"/>
      <c r="X2018" s="15"/>
      <c r="Y2018" s="1935"/>
      <c r="Z2018" s="1086"/>
      <c r="AA2018" s="230"/>
      <c r="AB2018" s="230"/>
      <c r="AC2018" s="1936"/>
      <c r="AD2018" s="230"/>
      <c r="AE2018" s="230"/>
      <c r="AF2018" s="230"/>
      <c r="AG2018" s="890"/>
      <c r="AJ2018" s="890"/>
      <c r="AN2018" s="223"/>
      <c r="AO2018" s="952"/>
      <c r="AP2018" s="1066"/>
      <c r="AQ2018" s="972"/>
      <c r="AR2018" s="1917"/>
      <c r="AS2018" s="222"/>
      <c r="AZ2018" s="889"/>
      <c r="BC2018" s="890"/>
      <c r="BD2018" s="952"/>
      <c r="BE2018" s="75"/>
      <c r="BF2018" s="572"/>
      <c r="BG2018" s="983"/>
      <c r="BH2018" s="222"/>
      <c r="BL2018" s="889"/>
      <c r="BO2018" s="223"/>
    </row>
    <row r="2019" spans="1:67" s="74" customFormat="1">
      <c r="A2019" s="15"/>
      <c r="B2019" s="15"/>
      <c r="C2019" s="15"/>
      <c r="D2019" s="15"/>
      <c r="E2019" s="6"/>
      <c r="F2019" s="6"/>
      <c r="G2019" s="6"/>
      <c r="K2019" s="223"/>
      <c r="M2019" s="889"/>
      <c r="P2019" s="890"/>
      <c r="T2019" s="889"/>
      <c r="X2019" s="15"/>
      <c r="Y2019" s="1935"/>
      <c r="Z2019" s="1086"/>
      <c r="AA2019" s="230"/>
      <c r="AB2019" s="230"/>
      <c r="AC2019" s="1936"/>
      <c r="AD2019" s="230"/>
      <c r="AE2019" s="230"/>
      <c r="AF2019" s="230"/>
      <c r="AG2019" s="890"/>
      <c r="AJ2019" s="890"/>
      <c r="AN2019" s="223"/>
      <c r="AO2019" s="952"/>
      <c r="AP2019" s="1066"/>
      <c r="AQ2019" s="972"/>
      <c r="AR2019" s="1917"/>
      <c r="AS2019" s="222"/>
      <c r="AZ2019" s="889"/>
      <c r="BC2019" s="890"/>
      <c r="BD2019" s="952"/>
      <c r="BE2019" s="75"/>
      <c r="BF2019" s="572"/>
      <c r="BG2019" s="983"/>
      <c r="BH2019" s="222"/>
      <c r="BL2019" s="889"/>
      <c r="BO2019" s="223"/>
    </row>
    <row r="2020" spans="1:67" s="74" customFormat="1">
      <c r="A2020" s="15"/>
      <c r="B2020" s="15"/>
      <c r="C2020" s="15"/>
      <c r="D2020" s="15"/>
      <c r="E2020" s="6"/>
      <c r="F2020" s="6"/>
      <c r="G2020" s="6"/>
      <c r="K2020" s="223"/>
      <c r="M2020" s="889"/>
      <c r="P2020" s="890"/>
      <c r="T2020" s="889"/>
      <c r="X2020" s="15"/>
      <c r="Y2020" s="1935"/>
      <c r="Z2020" s="1086"/>
      <c r="AA2020" s="230"/>
      <c r="AB2020" s="230"/>
      <c r="AC2020" s="1936"/>
      <c r="AD2020" s="230"/>
      <c r="AE2020" s="230"/>
      <c r="AF2020" s="230"/>
      <c r="AG2020" s="890"/>
      <c r="AJ2020" s="890"/>
      <c r="AN2020" s="223"/>
      <c r="AO2020" s="952"/>
      <c r="AP2020" s="1066"/>
      <c r="AQ2020" s="972"/>
      <c r="AR2020" s="1917"/>
      <c r="AS2020" s="222"/>
      <c r="AZ2020" s="889"/>
      <c r="BC2020" s="890"/>
      <c r="BD2020" s="952"/>
      <c r="BE2020" s="75"/>
      <c r="BF2020" s="572"/>
      <c r="BG2020" s="983"/>
      <c r="BH2020" s="222"/>
      <c r="BL2020" s="889"/>
      <c r="BO2020" s="223"/>
    </row>
    <row r="2021" spans="1:67" s="74" customFormat="1">
      <c r="A2021" s="15"/>
      <c r="B2021" s="15"/>
      <c r="C2021" s="15"/>
      <c r="D2021" s="15"/>
      <c r="E2021" s="6"/>
      <c r="F2021" s="6"/>
      <c r="G2021" s="6"/>
      <c r="K2021" s="223"/>
      <c r="M2021" s="889"/>
      <c r="P2021" s="890"/>
      <c r="T2021" s="889"/>
      <c r="X2021" s="15"/>
      <c r="Y2021" s="1935"/>
      <c r="Z2021" s="1086"/>
      <c r="AA2021" s="230"/>
      <c r="AB2021" s="230"/>
      <c r="AC2021" s="1936"/>
      <c r="AD2021" s="230"/>
      <c r="AE2021" s="230"/>
      <c r="AF2021" s="230"/>
      <c r="AG2021" s="890"/>
      <c r="AJ2021" s="890"/>
      <c r="AN2021" s="223"/>
      <c r="AO2021" s="952"/>
      <c r="AP2021" s="1066"/>
      <c r="AQ2021" s="972"/>
      <c r="AR2021" s="1917"/>
      <c r="AS2021" s="222"/>
      <c r="AZ2021" s="889"/>
      <c r="BC2021" s="890"/>
      <c r="BD2021" s="952"/>
      <c r="BE2021" s="75"/>
      <c r="BF2021" s="572"/>
      <c r="BG2021" s="983"/>
      <c r="BH2021" s="222"/>
      <c r="BL2021" s="889"/>
      <c r="BO2021" s="223"/>
    </row>
    <row r="2022" spans="1:67" s="74" customFormat="1">
      <c r="A2022" s="15"/>
      <c r="B2022" s="15"/>
      <c r="C2022" s="15"/>
      <c r="D2022" s="15"/>
      <c r="E2022" s="6"/>
      <c r="F2022" s="6"/>
      <c r="G2022" s="6"/>
      <c r="K2022" s="223"/>
      <c r="M2022" s="889"/>
      <c r="P2022" s="890"/>
      <c r="T2022" s="889"/>
      <c r="X2022" s="15"/>
      <c r="Y2022" s="1935"/>
      <c r="Z2022" s="1086"/>
      <c r="AA2022" s="230"/>
      <c r="AB2022" s="230"/>
      <c r="AC2022" s="1936"/>
      <c r="AD2022" s="230"/>
      <c r="AE2022" s="230"/>
      <c r="AF2022" s="230"/>
      <c r="AG2022" s="890"/>
      <c r="AJ2022" s="890"/>
      <c r="AN2022" s="223"/>
      <c r="AO2022" s="952"/>
      <c r="AP2022" s="1066"/>
      <c r="AQ2022" s="972"/>
      <c r="AR2022" s="1917"/>
      <c r="AS2022" s="222"/>
      <c r="AZ2022" s="889"/>
      <c r="BC2022" s="890"/>
      <c r="BD2022" s="952"/>
      <c r="BE2022" s="75"/>
      <c r="BF2022" s="572"/>
      <c r="BG2022" s="983"/>
      <c r="BH2022" s="222"/>
      <c r="BL2022" s="889"/>
      <c r="BO2022" s="223"/>
    </row>
    <row r="2023" spans="1:67" s="74" customFormat="1">
      <c r="A2023" s="15"/>
      <c r="B2023" s="15"/>
      <c r="C2023" s="15"/>
      <c r="D2023" s="15"/>
      <c r="E2023" s="6"/>
      <c r="F2023" s="6"/>
      <c r="G2023" s="6"/>
      <c r="K2023" s="223"/>
      <c r="M2023" s="889"/>
      <c r="P2023" s="890"/>
      <c r="T2023" s="889"/>
      <c r="X2023" s="15"/>
      <c r="Y2023" s="1935"/>
      <c r="Z2023" s="1086"/>
      <c r="AA2023" s="230"/>
      <c r="AB2023" s="230"/>
      <c r="AC2023" s="1936"/>
      <c r="AD2023" s="230"/>
      <c r="AE2023" s="230"/>
      <c r="AF2023" s="230"/>
      <c r="AG2023" s="890"/>
      <c r="AJ2023" s="890"/>
      <c r="AN2023" s="223"/>
      <c r="AO2023" s="952"/>
      <c r="AP2023" s="1066"/>
      <c r="AQ2023" s="972"/>
      <c r="AR2023" s="1917"/>
      <c r="AS2023" s="222"/>
      <c r="AZ2023" s="889"/>
      <c r="BC2023" s="890"/>
      <c r="BD2023" s="952"/>
      <c r="BE2023" s="75"/>
      <c r="BF2023" s="572"/>
      <c r="BG2023" s="983"/>
      <c r="BH2023" s="222"/>
      <c r="BL2023" s="889"/>
      <c r="BO2023" s="223"/>
    </row>
    <row r="2024" spans="1:67" s="74" customFormat="1">
      <c r="A2024" s="15"/>
      <c r="B2024" s="15"/>
      <c r="C2024" s="15"/>
      <c r="D2024" s="15"/>
      <c r="E2024" s="6"/>
      <c r="F2024" s="6"/>
      <c r="G2024" s="6"/>
      <c r="K2024" s="223"/>
      <c r="M2024" s="889"/>
      <c r="P2024" s="890"/>
      <c r="T2024" s="889"/>
      <c r="X2024" s="15"/>
      <c r="Y2024" s="1935"/>
      <c r="Z2024" s="1086"/>
      <c r="AA2024" s="230"/>
      <c r="AB2024" s="230"/>
      <c r="AC2024" s="1936"/>
      <c r="AD2024" s="230"/>
      <c r="AE2024" s="230"/>
      <c r="AF2024" s="230"/>
      <c r="AG2024" s="890"/>
      <c r="AJ2024" s="890"/>
      <c r="AN2024" s="223"/>
      <c r="AO2024" s="952"/>
      <c r="AP2024" s="1066"/>
      <c r="AQ2024" s="972"/>
      <c r="AR2024" s="1917"/>
      <c r="AS2024" s="222"/>
      <c r="AZ2024" s="889"/>
      <c r="BC2024" s="890"/>
      <c r="BD2024" s="952"/>
      <c r="BE2024" s="75"/>
      <c r="BF2024" s="572"/>
      <c r="BG2024" s="983"/>
      <c r="BH2024" s="222"/>
      <c r="BL2024" s="889"/>
      <c r="BO2024" s="223"/>
    </row>
    <row r="2025" spans="1:67" s="74" customFormat="1">
      <c r="A2025" s="15"/>
      <c r="B2025" s="15"/>
      <c r="C2025" s="15"/>
      <c r="D2025" s="15"/>
      <c r="E2025" s="6"/>
      <c r="F2025" s="6"/>
      <c r="G2025" s="6"/>
      <c r="K2025" s="223"/>
      <c r="M2025" s="889"/>
      <c r="P2025" s="890"/>
      <c r="T2025" s="889"/>
      <c r="X2025" s="15"/>
      <c r="Y2025" s="1935"/>
      <c r="Z2025" s="1086"/>
      <c r="AA2025" s="230"/>
      <c r="AB2025" s="230"/>
      <c r="AC2025" s="1936"/>
      <c r="AD2025" s="230"/>
      <c r="AE2025" s="230"/>
      <c r="AF2025" s="230"/>
      <c r="AG2025" s="890"/>
      <c r="AJ2025" s="890"/>
      <c r="AN2025" s="223"/>
      <c r="AO2025" s="952"/>
      <c r="AP2025" s="1066"/>
      <c r="AQ2025" s="972"/>
      <c r="AR2025" s="1917"/>
      <c r="AS2025" s="222"/>
      <c r="AZ2025" s="889"/>
      <c r="BC2025" s="890"/>
      <c r="BD2025" s="952"/>
      <c r="BE2025" s="75"/>
      <c r="BF2025" s="572"/>
      <c r="BG2025" s="983"/>
      <c r="BH2025" s="222"/>
      <c r="BL2025" s="889"/>
      <c r="BO2025" s="223"/>
    </row>
    <row r="2026" spans="1:67" s="74" customFormat="1">
      <c r="A2026" s="15"/>
      <c r="B2026" s="15"/>
      <c r="C2026" s="15"/>
      <c r="D2026" s="15"/>
      <c r="E2026" s="6"/>
      <c r="F2026" s="6"/>
      <c r="G2026" s="6"/>
      <c r="K2026" s="223"/>
      <c r="M2026" s="889"/>
      <c r="P2026" s="890"/>
      <c r="T2026" s="889"/>
      <c r="X2026" s="15"/>
      <c r="Y2026" s="1935"/>
      <c r="Z2026" s="1086"/>
      <c r="AA2026" s="230"/>
      <c r="AB2026" s="230"/>
      <c r="AC2026" s="1936"/>
      <c r="AD2026" s="230"/>
      <c r="AE2026" s="230"/>
      <c r="AF2026" s="230"/>
      <c r="AG2026" s="890"/>
      <c r="AJ2026" s="890"/>
      <c r="AN2026" s="223"/>
      <c r="AO2026" s="952"/>
      <c r="AP2026" s="1066"/>
      <c r="AQ2026" s="972"/>
      <c r="AR2026" s="1917"/>
      <c r="AS2026" s="222"/>
      <c r="AZ2026" s="889"/>
      <c r="BC2026" s="890"/>
      <c r="BD2026" s="952"/>
      <c r="BE2026" s="75"/>
      <c r="BF2026" s="572"/>
      <c r="BG2026" s="983"/>
      <c r="BH2026" s="222"/>
      <c r="BL2026" s="889"/>
      <c r="BO2026" s="223"/>
    </row>
    <row r="2027" spans="1:67" s="74" customFormat="1">
      <c r="A2027" s="15"/>
      <c r="B2027" s="15"/>
      <c r="C2027" s="15"/>
      <c r="D2027" s="15"/>
      <c r="E2027" s="6"/>
      <c r="F2027" s="6"/>
      <c r="G2027" s="6"/>
      <c r="K2027" s="223"/>
      <c r="M2027" s="889"/>
      <c r="P2027" s="890"/>
      <c r="T2027" s="889"/>
      <c r="X2027" s="15"/>
      <c r="Y2027" s="1935"/>
      <c r="Z2027" s="1086"/>
      <c r="AA2027" s="230"/>
      <c r="AB2027" s="230"/>
      <c r="AC2027" s="1936"/>
      <c r="AD2027" s="230"/>
      <c r="AE2027" s="230"/>
      <c r="AF2027" s="230"/>
      <c r="AG2027" s="890"/>
      <c r="AJ2027" s="890"/>
      <c r="AN2027" s="223"/>
      <c r="AO2027" s="952"/>
      <c r="AP2027" s="1066"/>
      <c r="AQ2027" s="972"/>
      <c r="AR2027" s="1917"/>
      <c r="AS2027" s="222"/>
      <c r="AZ2027" s="889"/>
      <c r="BC2027" s="890"/>
      <c r="BD2027" s="952"/>
      <c r="BE2027" s="75"/>
      <c r="BF2027" s="572"/>
      <c r="BG2027" s="983"/>
      <c r="BH2027" s="222"/>
      <c r="BL2027" s="889"/>
      <c r="BO2027" s="223"/>
    </row>
    <row r="2028" spans="1:67" s="74" customFormat="1">
      <c r="A2028" s="15"/>
      <c r="B2028" s="15"/>
      <c r="C2028" s="15"/>
      <c r="D2028" s="15"/>
      <c r="E2028" s="6"/>
      <c r="F2028" s="6"/>
      <c r="G2028" s="6"/>
      <c r="K2028" s="223"/>
      <c r="M2028" s="889"/>
      <c r="P2028" s="890"/>
      <c r="T2028" s="889"/>
      <c r="X2028" s="15"/>
      <c r="Y2028" s="1935"/>
      <c r="Z2028" s="1086"/>
      <c r="AA2028" s="230"/>
      <c r="AB2028" s="230"/>
      <c r="AC2028" s="1936"/>
      <c r="AD2028" s="230"/>
      <c r="AE2028" s="230"/>
      <c r="AF2028" s="230"/>
      <c r="AG2028" s="890"/>
      <c r="AJ2028" s="890"/>
      <c r="AN2028" s="223"/>
      <c r="AO2028" s="952"/>
      <c r="AP2028" s="1066"/>
      <c r="AQ2028" s="972"/>
      <c r="AR2028" s="1917"/>
      <c r="AS2028" s="222"/>
      <c r="AZ2028" s="889"/>
      <c r="BC2028" s="890"/>
      <c r="BD2028" s="952"/>
      <c r="BE2028" s="75"/>
      <c r="BF2028" s="572"/>
      <c r="BG2028" s="983"/>
      <c r="BH2028" s="222"/>
      <c r="BL2028" s="889"/>
      <c r="BO2028" s="223"/>
    </row>
    <row r="2029" spans="1:67" s="74" customFormat="1">
      <c r="A2029" s="15"/>
      <c r="B2029" s="15"/>
      <c r="C2029" s="15"/>
      <c r="D2029" s="15"/>
      <c r="E2029" s="6"/>
      <c r="F2029" s="6"/>
      <c r="G2029" s="6"/>
      <c r="K2029" s="223"/>
      <c r="M2029" s="889"/>
      <c r="P2029" s="890"/>
      <c r="T2029" s="889"/>
      <c r="X2029" s="15"/>
      <c r="Y2029" s="1935"/>
      <c r="Z2029" s="1086"/>
      <c r="AA2029" s="230"/>
      <c r="AB2029" s="230"/>
      <c r="AC2029" s="1936"/>
      <c r="AD2029" s="230"/>
      <c r="AE2029" s="230"/>
      <c r="AF2029" s="230"/>
      <c r="AG2029" s="890"/>
      <c r="AJ2029" s="890"/>
      <c r="AN2029" s="223"/>
      <c r="AO2029" s="952"/>
      <c r="AP2029" s="1066"/>
      <c r="AQ2029" s="972"/>
      <c r="AR2029" s="1917"/>
      <c r="AS2029" s="222"/>
      <c r="AZ2029" s="889"/>
      <c r="BC2029" s="890"/>
      <c r="BD2029" s="952"/>
      <c r="BE2029" s="75"/>
      <c r="BF2029" s="572"/>
      <c r="BG2029" s="983"/>
      <c r="BH2029" s="222"/>
      <c r="BL2029" s="889"/>
      <c r="BO2029" s="223"/>
    </row>
    <row r="2030" spans="1:67" s="74" customFormat="1">
      <c r="A2030" s="15"/>
      <c r="B2030" s="15"/>
      <c r="C2030" s="15"/>
      <c r="D2030" s="15"/>
      <c r="E2030" s="6"/>
      <c r="F2030" s="6"/>
      <c r="G2030" s="6"/>
      <c r="K2030" s="223"/>
      <c r="M2030" s="889"/>
      <c r="P2030" s="890"/>
      <c r="T2030" s="889"/>
      <c r="X2030" s="15"/>
      <c r="Y2030" s="1935"/>
      <c r="Z2030" s="1086"/>
      <c r="AA2030" s="230"/>
      <c r="AB2030" s="230"/>
      <c r="AC2030" s="1936"/>
      <c r="AD2030" s="230"/>
      <c r="AE2030" s="230"/>
      <c r="AF2030" s="230"/>
      <c r="AG2030" s="890"/>
      <c r="AJ2030" s="890"/>
      <c r="AN2030" s="223"/>
      <c r="AO2030" s="952"/>
      <c r="AP2030" s="1066"/>
      <c r="AQ2030" s="972"/>
      <c r="AR2030" s="1917"/>
      <c r="AS2030" s="222"/>
      <c r="AZ2030" s="889"/>
      <c r="BC2030" s="890"/>
      <c r="BD2030" s="952"/>
      <c r="BE2030" s="75"/>
      <c r="BF2030" s="572"/>
      <c r="BG2030" s="983"/>
      <c r="BH2030" s="222"/>
      <c r="BL2030" s="889"/>
      <c r="BO2030" s="223"/>
    </row>
    <row r="2031" spans="1:67" s="74" customFormat="1">
      <c r="A2031" s="15"/>
      <c r="B2031" s="15"/>
      <c r="C2031" s="15"/>
      <c r="D2031" s="15"/>
      <c r="E2031" s="6"/>
      <c r="F2031" s="6"/>
      <c r="G2031" s="6"/>
      <c r="K2031" s="223"/>
      <c r="M2031" s="889"/>
      <c r="P2031" s="890"/>
      <c r="T2031" s="889"/>
      <c r="X2031" s="15"/>
      <c r="Y2031" s="1935"/>
      <c r="Z2031" s="1086"/>
      <c r="AA2031" s="230"/>
      <c r="AB2031" s="230"/>
      <c r="AC2031" s="1936"/>
      <c r="AD2031" s="230"/>
      <c r="AE2031" s="230"/>
      <c r="AF2031" s="230"/>
      <c r="AG2031" s="890"/>
      <c r="AJ2031" s="890"/>
      <c r="AN2031" s="223"/>
      <c r="AO2031" s="952"/>
      <c r="AP2031" s="1066"/>
      <c r="AQ2031" s="972"/>
      <c r="AR2031" s="1917"/>
      <c r="AS2031" s="222"/>
      <c r="AZ2031" s="889"/>
      <c r="BC2031" s="890"/>
      <c r="BD2031" s="952"/>
      <c r="BE2031" s="75"/>
      <c r="BF2031" s="572"/>
      <c r="BG2031" s="983"/>
      <c r="BH2031" s="222"/>
      <c r="BL2031" s="889"/>
      <c r="BO2031" s="223"/>
    </row>
    <row r="2032" spans="1:67" s="74" customFormat="1">
      <c r="A2032" s="15"/>
      <c r="B2032" s="15"/>
      <c r="C2032" s="15"/>
      <c r="D2032" s="15"/>
      <c r="E2032" s="6"/>
      <c r="F2032" s="6"/>
      <c r="G2032" s="6"/>
      <c r="K2032" s="223"/>
      <c r="M2032" s="889"/>
      <c r="P2032" s="890"/>
      <c r="T2032" s="889"/>
      <c r="X2032" s="15"/>
      <c r="Y2032" s="1935"/>
      <c r="Z2032" s="1086"/>
      <c r="AA2032" s="230"/>
      <c r="AB2032" s="230"/>
      <c r="AC2032" s="1936"/>
      <c r="AD2032" s="230"/>
      <c r="AE2032" s="230"/>
      <c r="AF2032" s="230"/>
      <c r="AG2032" s="890"/>
      <c r="AJ2032" s="890"/>
      <c r="AN2032" s="223"/>
      <c r="AO2032" s="952"/>
      <c r="AP2032" s="1066"/>
      <c r="AQ2032" s="972"/>
      <c r="AR2032" s="1917"/>
      <c r="AS2032" s="222"/>
      <c r="AZ2032" s="889"/>
      <c r="BC2032" s="890"/>
      <c r="BD2032" s="952"/>
      <c r="BE2032" s="75"/>
      <c r="BF2032" s="572"/>
      <c r="BG2032" s="983"/>
      <c r="BH2032" s="222"/>
      <c r="BL2032" s="889"/>
      <c r="BO2032" s="223"/>
    </row>
    <row r="2033" spans="1:67" s="74" customFormat="1">
      <c r="A2033" s="15"/>
      <c r="B2033" s="15"/>
      <c r="C2033" s="15"/>
      <c r="D2033" s="15"/>
      <c r="E2033" s="6"/>
      <c r="F2033" s="6"/>
      <c r="G2033" s="6"/>
      <c r="K2033" s="223"/>
      <c r="M2033" s="889"/>
      <c r="P2033" s="890"/>
      <c r="T2033" s="889"/>
      <c r="X2033" s="15"/>
      <c r="Y2033" s="1935"/>
      <c r="Z2033" s="1086"/>
      <c r="AA2033" s="230"/>
      <c r="AB2033" s="230"/>
      <c r="AC2033" s="1936"/>
      <c r="AD2033" s="230"/>
      <c r="AE2033" s="230"/>
      <c r="AF2033" s="230"/>
      <c r="AG2033" s="890"/>
      <c r="AJ2033" s="890"/>
      <c r="AN2033" s="223"/>
      <c r="AO2033" s="952"/>
      <c r="AP2033" s="1066"/>
      <c r="AQ2033" s="972"/>
      <c r="AR2033" s="1917"/>
      <c r="AS2033" s="222"/>
      <c r="AZ2033" s="889"/>
      <c r="BC2033" s="890"/>
      <c r="BD2033" s="952"/>
      <c r="BE2033" s="75"/>
      <c r="BF2033" s="572"/>
      <c r="BG2033" s="983"/>
      <c r="BH2033" s="222"/>
      <c r="BL2033" s="889"/>
      <c r="BO2033" s="223"/>
    </row>
    <row r="2034" spans="1:67" s="74" customFormat="1">
      <c r="A2034" s="15"/>
      <c r="B2034" s="15"/>
      <c r="C2034" s="15"/>
      <c r="D2034" s="15"/>
      <c r="E2034" s="6"/>
      <c r="F2034" s="6"/>
      <c r="G2034" s="6"/>
      <c r="K2034" s="223"/>
      <c r="M2034" s="889"/>
      <c r="P2034" s="890"/>
      <c r="T2034" s="889"/>
      <c r="X2034" s="15"/>
      <c r="Y2034" s="1935"/>
      <c r="Z2034" s="1086"/>
      <c r="AA2034" s="230"/>
      <c r="AB2034" s="230"/>
      <c r="AC2034" s="1936"/>
      <c r="AD2034" s="230"/>
      <c r="AE2034" s="230"/>
      <c r="AF2034" s="230"/>
      <c r="AG2034" s="890"/>
      <c r="AJ2034" s="890"/>
      <c r="AN2034" s="223"/>
      <c r="AO2034" s="952"/>
      <c r="AP2034" s="1066"/>
      <c r="AQ2034" s="972"/>
      <c r="AR2034" s="1917"/>
      <c r="AS2034" s="222"/>
      <c r="AZ2034" s="889"/>
      <c r="BC2034" s="890"/>
      <c r="BD2034" s="952"/>
      <c r="BE2034" s="75"/>
      <c r="BF2034" s="572"/>
      <c r="BG2034" s="983"/>
      <c r="BH2034" s="222"/>
      <c r="BL2034" s="889"/>
      <c r="BO2034" s="223"/>
    </row>
    <row r="2035" spans="1:67" s="74" customFormat="1">
      <c r="A2035" s="15"/>
      <c r="B2035" s="15"/>
      <c r="C2035" s="15"/>
      <c r="D2035" s="15"/>
      <c r="E2035" s="6"/>
      <c r="F2035" s="6"/>
      <c r="G2035" s="6"/>
      <c r="K2035" s="223"/>
      <c r="M2035" s="889"/>
      <c r="P2035" s="890"/>
      <c r="T2035" s="889"/>
      <c r="X2035" s="15"/>
      <c r="Y2035" s="1935"/>
      <c r="Z2035" s="1086"/>
      <c r="AA2035" s="230"/>
      <c r="AB2035" s="230"/>
      <c r="AC2035" s="1936"/>
      <c r="AD2035" s="230"/>
      <c r="AE2035" s="230"/>
      <c r="AF2035" s="230"/>
      <c r="AG2035" s="890"/>
      <c r="AJ2035" s="890"/>
      <c r="AN2035" s="223"/>
      <c r="AO2035" s="952"/>
      <c r="AP2035" s="1066"/>
      <c r="AQ2035" s="972"/>
      <c r="AR2035" s="1917"/>
      <c r="AS2035" s="222"/>
      <c r="AZ2035" s="889"/>
      <c r="BC2035" s="890"/>
      <c r="BD2035" s="952"/>
      <c r="BE2035" s="75"/>
      <c r="BF2035" s="572"/>
      <c r="BG2035" s="983"/>
      <c r="BH2035" s="222"/>
      <c r="BL2035" s="889"/>
      <c r="BO2035" s="223"/>
    </row>
    <row r="2036" spans="1:67" s="74" customFormat="1">
      <c r="A2036" s="15"/>
      <c r="B2036" s="15"/>
      <c r="C2036" s="15"/>
      <c r="D2036" s="15"/>
      <c r="E2036" s="6"/>
      <c r="F2036" s="6"/>
      <c r="G2036" s="6"/>
      <c r="K2036" s="223"/>
      <c r="M2036" s="889"/>
      <c r="P2036" s="890"/>
      <c r="T2036" s="889"/>
      <c r="X2036" s="15"/>
      <c r="Y2036" s="1935"/>
      <c r="Z2036" s="1086"/>
      <c r="AA2036" s="230"/>
      <c r="AB2036" s="230"/>
      <c r="AC2036" s="1936"/>
      <c r="AD2036" s="230"/>
      <c r="AE2036" s="230"/>
      <c r="AF2036" s="230"/>
      <c r="AG2036" s="890"/>
      <c r="AJ2036" s="890"/>
      <c r="AN2036" s="223"/>
      <c r="AO2036" s="952"/>
      <c r="AP2036" s="1066"/>
      <c r="AQ2036" s="972"/>
      <c r="AR2036" s="1917"/>
      <c r="AS2036" s="222"/>
      <c r="AZ2036" s="889"/>
      <c r="BC2036" s="890"/>
      <c r="BD2036" s="952"/>
      <c r="BE2036" s="75"/>
      <c r="BF2036" s="572"/>
      <c r="BG2036" s="983"/>
      <c r="BH2036" s="222"/>
      <c r="BL2036" s="889"/>
      <c r="BO2036" s="223"/>
    </row>
    <row r="2037" spans="1:67" s="74" customFormat="1">
      <c r="A2037" s="15"/>
      <c r="B2037" s="15"/>
      <c r="C2037" s="15"/>
      <c r="D2037" s="15"/>
      <c r="E2037" s="6"/>
      <c r="F2037" s="6"/>
      <c r="G2037" s="6"/>
      <c r="K2037" s="223"/>
      <c r="M2037" s="889"/>
      <c r="P2037" s="890"/>
      <c r="T2037" s="889"/>
      <c r="X2037" s="15"/>
      <c r="Y2037" s="1935"/>
      <c r="Z2037" s="1086"/>
      <c r="AA2037" s="230"/>
      <c r="AB2037" s="230"/>
      <c r="AC2037" s="1936"/>
      <c r="AD2037" s="230"/>
      <c r="AE2037" s="230"/>
      <c r="AF2037" s="230"/>
      <c r="AG2037" s="890"/>
      <c r="AJ2037" s="890"/>
      <c r="AN2037" s="223"/>
      <c r="AO2037" s="952"/>
      <c r="AP2037" s="1066"/>
      <c r="AQ2037" s="972"/>
      <c r="AR2037" s="1917"/>
      <c r="AS2037" s="222"/>
      <c r="AZ2037" s="889"/>
      <c r="BC2037" s="890"/>
      <c r="BD2037" s="952"/>
      <c r="BE2037" s="75"/>
      <c r="BF2037" s="572"/>
      <c r="BG2037" s="983"/>
      <c r="BH2037" s="222"/>
      <c r="BL2037" s="889"/>
      <c r="BO2037" s="223"/>
    </row>
    <row r="2038" spans="1:67" s="74" customFormat="1">
      <c r="A2038" s="15"/>
      <c r="B2038" s="15"/>
      <c r="C2038" s="15"/>
      <c r="D2038" s="15"/>
      <c r="E2038" s="6"/>
      <c r="F2038" s="6"/>
      <c r="G2038" s="6"/>
      <c r="K2038" s="223"/>
      <c r="M2038" s="889"/>
      <c r="P2038" s="890"/>
      <c r="T2038" s="889"/>
      <c r="X2038" s="15"/>
      <c r="Y2038" s="1935"/>
      <c r="Z2038" s="1086"/>
      <c r="AA2038" s="230"/>
      <c r="AB2038" s="230"/>
      <c r="AC2038" s="1936"/>
      <c r="AD2038" s="230"/>
      <c r="AE2038" s="230"/>
      <c r="AF2038" s="230"/>
      <c r="AG2038" s="890"/>
      <c r="AJ2038" s="890"/>
      <c r="AN2038" s="223"/>
      <c r="AO2038" s="952"/>
      <c r="AP2038" s="1066"/>
      <c r="AQ2038" s="972"/>
      <c r="AR2038" s="1917"/>
      <c r="AS2038" s="222"/>
      <c r="AZ2038" s="889"/>
      <c r="BC2038" s="890"/>
      <c r="BD2038" s="952"/>
      <c r="BE2038" s="75"/>
      <c r="BF2038" s="572"/>
      <c r="BG2038" s="983"/>
      <c r="BH2038" s="222"/>
      <c r="BL2038" s="889"/>
      <c r="BO2038" s="223"/>
    </row>
    <row r="2039" spans="1:67" s="74" customFormat="1">
      <c r="A2039" s="15"/>
      <c r="B2039" s="15"/>
      <c r="C2039" s="15"/>
      <c r="D2039" s="15"/>
      <c r="E2039" s="6"/>
      <c r="F2039" s="6"/>
      <c r="G2039" s="6"/>
      <c r="K2039" s="223"/>
      <c r="M2039" s="889"/>
      <c r="P2039" s="890"/>
      <c r="T2039" s="889"/>
      <c r="X2039" s="15"/>
      <c r="Y2039" s="1935"/>
      <c r="Z2039" s="1086"/>
      <c r="AA2039" s="230"/>
      <c r="AB2039" s="230"/>
      <c r="AC2039" s="1936"/>
      <c r="AD2039" s="230"/>
      <c r="AE2039" s="230"/>
      <c r="AF2039" s="230"/>
      <c r="AG2039" s="890"/>
      <c r="AJ2039" s="890"/>
      <c r="AN2039" s="223"/>
      <c r="AO2039" s="952"/>
      <c r="AP2039" s="1066"/>
      <c r="AQ2039" s="972"/>
      <c r="AR2039" s="1917"/>
      <c r="AS2039" s="222"/>
      <c r="AZ2039" s="889"/>
      <c r="BC2039" s="890"/>
      <c r="BD2039" s="952"/>
      <c r="BE2039" s="75"/>
      <c r="BF2039" s="572"/>
      <c r="BG2039" s="983"/>
      <c r="BH2039" s="222"/>
      <c r="BL2039" s="889"/>
      <c r="BO2039" s="223"/>
    </row>
    <row r="2040" spans="1:67" s="74" customFormat="1">
      <c r="A2040" s="15"/>
      <c r="B2040" s="15"/>
      <c r="C2040" s="15"/>
      <c r="D2040" s="15"/>
      <c r="E2040" s="6"/>
      <c r="F2040" s="6"/>
      <c r="G2040" s="6"/>
      <c r="K2040" s="223"/>
      <c r="M2040" s="889"/>
      <c r="P2040" s="890"/>
      <c r="T2040" s="889"/>
      <c r="X2040" s="15"/>
      <c r="Y2040" s="1935"/>
      <c r="Z2040" s="1086"/>
      <c r="AA2040" s="230"/>
      <c r="AB2040" s="230"/>
      <c r="AC2040" s="1936"/>
      <c r="AD2040" s="230"/>
      <c r="AE2040" s="230"/>
      <c r="AF2040" s="230"/>
      <c r="AG2040" s="890"/>
      <c r="AJ2040" s="890"/>
      <c r="AN2040" s="223"/>
      <c r="AO2040" s="952"/>
      <c r="AP2040" s="1066"/>
      <c r="AQ2040" s="972"/>
      <c r="AR2040" s="1917"/>
      <c r="AS2040" s="222"/>
      <c r="AZ2040" s="889"/>
      <c r="BC2040" s="890"/>
      <c r="BD2040" s="952"/>
      <c r="BE2040" s="75"/>
      <c r="BF2040" s="572"/>
      <c r="BG2040" s="983"/>
      <c r="BH2040" s="222"/>
      <c r="BL2040" s="889"/>
      <c r="BO2040" s="223"/>
    </row>
    <row r="2041" spans="1:67" s="74" customFormat="1">
      <c r="A2041" s="15"/>
      <c r="B2041" s="15"/>
      <c r="C2041" s="15"/>
      <c r="D2041" s="15"/>
      <c r="E2041" s="6"/>
      <c r="F2041" s="6"/>
      <c r="G2041" s="6"/>
      <c r="K2041" s="223"/>
      <c r="M2041" s="889"/>
      <c r="P2041" s="890"/>
      <c r="T2041" s="889"/>
      <c r="X2041" s="15"/>
      <c r="Y2041" s="1935"/>
      <c r="Z2041" s="1086"/>
      <c r="AA2041" s="230"/>
      <c r="AB2041" s="230"/>
      <c r="AC2041" s="1936"/>
      <c r="AD2041" s="230"/>
      <c r="AE2041" s="230"/>
      <c r="AF2041" s="230"/>
      <c r="AG2041" s="890"/>
      <c r="AJ2041" s="890"/>
      <c r="AN2041" s="223"/>
      <c r="AO2041" s="952"/>
      <c r="AP2041" s="1066"/>
      <c r="AQ2041" s="972"/>
      <c r="AR2041" s="1917"/>
      <c r="AS2041" s="222"/>
      <c r="AZ2041" s="889"/>
      <c r="BC2041" s="890"/>
      <c r="BD2041" s="952"/>
      <c r="BE2041" s="75"/>
      <c r="BF2041" s="572"/>
      <c r="BG2041" s="983"/>
      <c r="BH2041" s="222"/>
      <c r="BL2041" s="889"/>
      <c r="BO2041" s="223"/>
    </row>
    <row r="2042" spans="1:67" s="74" customFormat="1">
      <c r="A2042" s="15"/>
      <c r="B2042" s="15"/>
      <c r="C2042" s="15"/>
      <c r="D2042" s="15"/>
      <c r="E2042" s="6"/>
      <c r="F2042" s="6"/>
      <c r="G2042" s="6"/>
      <c r="K2042" s="223"/>
      <c r="M2042" s="889"/>
      <c r="P2042" s="890"/>
      <c r="T2042" s="889"/>
      <c r="X2042" s="15"/>
      <c r="Y2042" s="1935"/>
      <c r="Z2042" s="1086"/>
      <c r="AA2042" s="230"/>
      <c r="AB2042" s="230"/>
      <c r="AC2042" s="1936"/>
      <c r="AD2042" s="230"/>
      <c r="AE2042" s="230"/>
      <c r="AF2042" s="230"/>
      <c r="AG2042" s="890"/>
      <c r="AJ2042" s="890"/>
      <c r="AN2042" s="223"/>
      <c r="AO2042" s="952"/>
      <c r="AP2042" s="1066"/>
      <c r="AQ2042" s="972"/>
      <c r="AR2042" s="1917"/>
      <c r="AS2042" s="222"/>
      <c r="AZ2042" s="889"/>
      <c r="BC2042" s="890"/>
      <c r="BD2042" s="952"/>
      <c r="BE2042" s="75"/>
      <c r="BF2042" s="572"/>
      <c r="BG2042" s="983"/>
      <c r="BH2042" s="222"/>
      <c r="BL2042" s="889"/>
      <c r="BO2042" s="223"/>
    </row>
    <row r="2043" spans="1:67" s="74" customFormat="1">
      <c r="A2043" s="15"/>
      <c r="B2043" s="15"/>
      <c r="C2043" s="15"/>
      <c r="D2043" s="15"/>
      <c r="E2043" s="6"/>
      <c r="F2043" s="6"/>
      <c r="G2043" s="6"/>
      <c r="K2043" s="223"/>
      <c r="M2043" s="889"/>
      <c r="P2043" s="890"/>
      <c r="T2043" s="889"/>
      <c r="X2043" s="15"/>
      <c r="Y2043" s="1935"/>
      <c r="Z2043" s="1086"/>
      <c r="AA2043" s="230"/>
      <c r="AB2043" s="230"/>
      <c r="AC2043" s="1936"/>
      <c r="AD2043" s="230"/>
      <c r="AE2043" s="230"/>
      <c r="AF2043" s="230"/>
      <c r="AG2043" s="890"/>
      <c r="AJ2043" s="890"/>
      <c r="AN2043" s="223"/>
      <c r="AO2043" s="952"/>
      <c r="AP2043" s="1066"/>
      <c r="AQ2043" s="972"/>
      <c r="AR2043" s="1917"/>
      <c r="AS2043" s="222"/>
      <c r="AZ2043" s="889"/>
      <c r="BC2043" s="890"/>
      <c r="BD2043" s="952"/>
      <c r="BE2043" s="75"/>
      <c r="BF2043" s="572"/>
      <c r="BG2043" s="983"/>
      <c r="BH2043" s="222"/>
      <c r="BL2043" s="889"/>
      <c r="BO2043" s="223"/>
    </row>
    <row r="2044" spans="1:67" s="74" customFormat="1">
      <c r="A2044" s="15"/>
      <c r="B2044" s="15"/>
      <c r="C2044" s="15"/>
      <c r="D2044" s="15"/>
      <c r="E2044" s="6"/>
      <c r="F2044" s="6"/>
      <c r="G2044" s="6"/>
      <c r="K2044" s="223"/>
      <c r="M2044" s="889"/>
      <c r="P2044" s="890"/>
      <c r="T2044" s="889"/>
      <c r="X2044" s="15"/>
      <c r="Y2044" s="1935"/>
      <c r="Z2044" s="1086"/>
      <c r="AA2044" s="230"/>
      <c r="AB2044" s="230"/>
      <c r="AC2044" s="1936"/>
      <c r="AD2044" s="230"/>
      <c r="AE2044" s="230"/>
      <c r="AF2044" s="230"/>
      <c r="AG2044" s="890"/>
      <c r="AJ2044" s="890"/>
      <c r="AN2044" s="223"/>
      <c r="AO2044" s="952"/>
      <c r="AP2044" s="1066"/>
      <c r="AQ2044" s="972"/>
      <c r="AR2044" s="1917"/>
      <c r="AS2044" s="222"/>
      <c r="AZ2044" s="889"/>
      <c r="BC2044" s="890"/>
      <c r="BD2044" s="952"/>
      <c r="BE2044" s="75"/>
      <c r="BF2044" s="572"/>
      <c r="BG2044" s="983"/>
      <c r="BH2044" s="222"/>
      <c r="BL2044" s="889"/>
      <c r="BO2044" s="223"/>
    </row>
    <row r="2045" spans="1:67" s="74" customFormat="1">
      <c r="A2045" s="15"/>
      <c r="B2045" s="15"/>
      <c r="C2045" s="15"/>
      <c r="D2045" s="15"/>
      <c r="E2045" s="6"/>
      <c r="F2045" s="6"/>
      <c r="G2045" s="6"/>
      <c r="K2045" s="223"/>
      <c r="M2045" s="889"/>
      <c r="P2045" s="890"/>
      <c r="T2045" s="889"/>
      <c r="X2045" s="15"/>
      <c r="Y2045" s="1935"/>
      <c r="Z2045" s="1086"/>
      <c r="AA2045" s="230"/>
      <c r="AB2045" s="230"/>
      <c r="AC2045" s="1936"/>
      <c r="AD2045" s="230"/>
      <c r="AE2045" s="230"/>
      <c r="AF2045" s="230"/>
      <c r="AG2045" s="890"/>
      <c r="AJ2045" s="890"/>
      <c r="AN2045" s="223"/>
      <c r="AO2045" s="952"/>
      <c r="AP2045" s="1066"/>
      <c r="AQ2045" s="972"/>
      <c r="AR2045" s="1917"/>
      <c r="AS2045" s="222"/>
      <c r="AZ2045" s="889"/>
      <c r="BC2045" s="890"/>
      <c r="BD2045" s="952"/>
      <c r="BE2045" s="75"/>
      <c r="BF2045" s="572"/>
      <c r="BG2045" s="983"/>
      <c r="BH2045" s="222"/>
      <c r="BL2045" s="889"/>
      <c r="BO2045" s="223"/>
    </row>
    <row r="2046" spans="1:67" s="74" customFormat="1">
      <c r="A2046" s="15"/>
      <c r="B2046" s="15"/>
      <c r="C2046" s="15"/>
      <c r="D2046" s="15"/>
      <c r="E2046" s="6"/>
      <c r="F2046" s="6"/>
      <c r="G2046" s="6"/>
      <c r="K2046" s="223"/>
      <c r="M2046" s="889"/>
      <c r="P2046" s="890"/>
      <c r="T2046" s="889"/>
      <c r="X2046" s="15"/>
      <c r="Y2046" s="1935"/>
      <c r="Z2046" s="1086"/>
      <c r="AA2046" s="230"/>
      <c r="AB2046" s="230"/>
      <c r="AC2046" s="1936"/>
      <c r="AD2046" s="230"/>
      <c r="AE2046" s="230"/>
      <c r="AF2046" s="230"/>
      <c r="AG2046" s="890"/>
      <c r="AJ2046" s="890"/>
      <c r="AN2046" s="223"/>
      <c r="AO2046" s="952"/>
      <c r="AP2046" s="1066"/>
      <c r="AQ2046" s="972"/>
      <c r="AR2046" s="1917"/>
      <c r="AS2046" s="222"/>
      <c r="AZ2046" s="889"/>
      <c r="BC2046" s="890"/>
      <c r="BD2046" s="952"/>
      <c r="BE2046" s="75"/>
      <c r="BF2046" s="572"/>
      <c r="BG2046" s="983"/>
      <c r="BH2046" s="222"/>
      <c r="BL2046" s="889"/>
      <c r="BO2046" s="223"/>
    </row>
    <row r="2047" spans="1:67" s="74" customFormat="1">
      <c r="A2047" s="15"/>
      <c r="B2047" s="15"/>
      <c r="C2047" s="15"/>
      <c r="D2047" s="15"/>
      <c r="E2047" s="6"/>
      <c r="F2047" s="6"/>
      <c r="G2047" s="6"/>
      <c r="K2047" s="223"/>
      <c r="M2047" s="889"/>
      <c r="P2047" s="890"/>
      <c r="T2047" s="889"/>
      <c r="X2047" s="15"/>
      <c r="Y2047" s="1935"/>
      <c r="Z2047" s="1086"/>
      <c r="AA2047" s="230"/>
      <c r="AB2047" s="230"/>
      <c r="AC2047" s="1936"/>
      <c r="AD2047" s="230"/>
      <c r="AE2047" s="230"/>
      <c r="AF2047" s="230"/>
      <c r="AG2047" s="890"/>
      <c r="AJ2047" s="890"/>
      <c r="AN2047" s="223"/>
      <c r="AO2047" s="952"/>
      <c r="AP2047" s="1066"/>
      <c r="AQ2047" s="972"/>
      <c r="AR2047" s="1917"/>
      <c r="AS2047" s="222"/>
      <c r="AZ2047" s="889"/>
      <c r="BC2047" s="890"/>
      <c r="BD2047" s="952"/>
      <c r="BE2047" s="75"/>
      <c r="BF2047" s="572"/>
      <c r="BG2047" s="983"/>
      <c r="BH2047" s="222"/>
      <c r="BL2047" s="889"/>
      <c r="BO2047" s="223"/>
    </row>
    <row r="2048" spans="1:67" s="74" customFormat="1">
      <c r="A2048" s="15"/>
      <c r="B2048" s="15"/>
      <c r="C2048" s="15"/>
      <c r="D2048" s="15"/>
      <c r="E2048" s="6"/>
      <c r="F2048" s="6"/>
      <c r="G2048" s="6"/>
      <c r="K2048" s="223"/>
      <c r="M2048" s="889"/>
      <c r="P2048" s="890"/>
      <c r="T2048" s="889"/>
      <c r="X2048" s="15"/>
      <c r="Y2048" s="1935"/>
      <c r="Z2048" s="1086"/>
      <c r="AA2048" s="230"/>
      <c r="AB2048" s="230"/>
      <c r="AC2048" s="1936"/>
      <c r="AD2048" s="230"/>
      <c r="AE2048" s="230"/>
      <c r="AF2048" s="230"/>
      <c r="AG2048" s="890"/>
      <c r="AJ2048" s="890"/>
      <c r="AN2048" s="223"/>
      <c r="AO2048" s="952"/>
      <c r="AP2048" s="1066"/>
      <c r="AQ2048" s="972"/>
      <c r="AR2048" s="1917"/>
      <c r="AS2048" s="222"/>
      <c r="AZ2048" s="889"/>
      <c r="BC2048" s="890"/>
      <c r="BD2048" s="952"/>
      <c r="BE2048" s="75"/>
      <c r="BF2048" s="572"/>
      <c r="BG2048" s="983"/>
      <c r="BH2048" s="222"/>
      <c r="BL2048" s="889"/>
      <c r="BO2048" s="223"/>
    </row>
    <row r="2049" spans="1:67" s="74" customFormat="1">
      <c r="A2049" s="15"/>
      <c r="B2049" s="15"/>
      <c r="C2049" s="15"/>
      <c r="D2049" s="15"/>
      <c r="E2049" s="6"/>
      <c r="F2049" s="6"/>
      <c r="G2049" s="6"/>
      <c r="K2049" s="223"/>
      <c r="M2049" s="889"/>
      <c r="P2049" s="890"/>
      <c r="T2049" s="889"/>
      <c r="X2049" s="15"/>
      <c r="Y2049" s="1935"/>
      <c r="Z2049" s="1086"/>
      <c r="AA2049" s="230"/>
      <c r="AB2049" s="230"/>
      <c r="AC2049" s="1936"/>
      <c r="AD2049" s="230"/>
      <c r="AE2049" s="230"/>
      <c r="AF2049" s="230"/>
      <c r="AG2049" s="890"/>
      <c r="AJ2049" s="890"/>
      <c r="AN2049" s="223"/>
      <c r="AO2049" s="952"/>
      <c r="AP2049" s="1066"/>
      <c r="AQ2049" s="972"/>
      <c r="AR2049" s="1917"/>
      <c r="AS2049" s="222"/>
      <c r="AZ2049" s="889"/>
      <c r="BC2049" s="890"/>
      <c r="BD2049" s="952"/>
      <c r="BE2049" s="75"/>
      <c r="BF2049" s="572"/>
      <c r="BG2049" s="983"/>
      <c r="BH2049" s="222"/>
      <c r="BL2049" s="889"/>
      <c r="BO2049" s="223"/>
    </row>
    <row r="2050" spans="1:67" s="74" customFormat="1">
      <c r="A2050" s="15"/>
      <c r="B2050" s="15"/>
      <c r="C2050" s="15"/>
      <c r="D2050" s="15"/>
      <c r="E2050" s="6"/>
      <c r="F2050" s="6"/>
      <c r="G2050" s="6"/>
      <c r="K2050" s="223"/>
      <c r="M2050" s="889"/>
      <c r="P2050" s="890"/>
      <c r="T2050" s="889"/>
      <c r="X2050" s="15"/>
      <c r="Y2050" s="1935"/>
      <c r="Z2050" s="1086"/>
      <c r="AA2050" s="230"/>
      <c r="AB2050" s="230"/>
      <c r="AC2050" s="1936"/>
      <c r="AD2050" s="230"/>
      <c r="AE2050" s="230"/>
      <c r="AF2050" s="230"/>
      <c r="AG2050" s="890"/>
      <c r="AJ2050" s="890"/>
      <c r="AN2050" s="223"/>
      <c r="AO2050" s="952"/>
      <c r="AP2050" s="1066"/>
      <c r="AQ2050" s="972"/>
      <c r="AR2050" s="1917"/>
      <c r="AS2050" s="222"/>
      <c r="AZ2050" s="889"/>
      <c r="BC2050" s="890"/>
      <c r="BD2050" s="952"/>
      <c r="BE2050" s="75"/>
      <c r="BF2050" s="572"/>
      <c r="BG2050" s="983"/>
      <c r="BH2050" s="222"/>
      <c r="BL2050" s="889"/>
      <c r="BO2050" s="223"/>
    </row>
    <row r="2051" spans="1:67" s="74" customFormat="1">
      <c r="A2051" s="15"/>
      <c r="B2051" s="15"/>
      <c r="C2051" s="15"/>
      <c r="D2051" s="15"/>
      <c r="E2051" s="6"/>
      <c r="F2051" s="6"/>
      <c r="G2051" s="6"/>
      <c r="K2051" s="223"/>
      <c r="M2051" s="889"/>
      <c r="P2051" s="890"/>
      <c r="T2051" s="889"/>
      <c r="X2051" s="15"/>
      <c r="Y2051" s="1935"/>
      <c r="Z2051" s="1086"/>
      <c r="AA2051" s="230"/>
      <c r="AB2051" s="230"/>
      <c r="AC2051" s="1936"/>
      <c r="AD2051" s="230"/>
      <c r="AE2051" s="230"/>
      <c r="AF2051" s="230"/>
      <c r="AG2051" s="890"/>
      <c r="AJ2051" s="890"/>
      <c r="AN2051" s="223"/>
      <c r="AO2051" s="952"/>
      <c r="AP2051" s="1066"/>
      <c r="AQ2051" s="972"/>
      <c r="AR2051" s="1917"/>
      <c r="AS2051" s="222"/>
      <c r="AZ2051" s="889"/>
      <c r="BC2051" s="890"/>
      <c r="BD2051" s="952"/>
      <c r="BE2051" s="75"/>
      <c r="BF2051" s="572"/>
      <c r="BG2051" s="983"/>
      <c r="BH2051" s="222"/>
      <c r="BL2051" s="889"/>
      <c r="BO2051" s="223"/>
    </row>
    <row r="2052" spans="1:67" s="74" customFormat="1">
      <c r="A2052" s="15"/>
      <c r="B2052" s="15"/>
      <c r="C2052" s="15"/>
      <c r="D2052" s="15"/>
      <c r="E2052" s="6"/>
      <c r="F2052" s="6"/>
      <c r="G2052" s="6"/>
      <c r="K2052" s="223"/>
      <c r="M2052" s="889"/>
      <c r="P2052" s="890"/>
      <c r="T2052" s="889"/>
      <c r="X2052" s="15"/>
      <c r="Y2052" s="1935"/>
      <c r="Z2052" s="1086"/>
      <c r="AA2052" s="230"/>
      <c r="AB2052" s="230"/>
      <c r="AC2052" s="1936"/>
      <c r="AD2052" s="230"/>
      <c r="AE2052" s="230"/>
      <c r="AF2052" s="230"/>
      <c r="AG2052" s="890"/>
      <c r="AJ2052" s="890"/>
      <c r="AN2052" s="223"/>
      <c r="AO2052" s="952"/>
      <c r="AP2052" s="1066"/>
      <c r="AQ2052" s="972"/>
      <c r="AR2052" s="1917"/>
      <c r="AS2052" s="222"/>
      <c r="AZ2052" s="889"/>
      <c r="BC2052" s="890"/>
      <c r="BD2052" s="952"/>
      <c r="BE2052" s="75"/>
      <c r="BF2052" s="572"/>
      <c r="BG2052" s="983"/>
      <c r="BH2052" s="222"/>
      <c r="BL2052" s="889"/>
      <c r="BO2052" s="223"/>
    </row>
    <row r="2053" spans="1:67" s="74" customFormat="1">
      <c r="A2053" s="15"/>
      <c r="B2053" s="15"/>
      <c r="C2053" s="15"/>
      <c r="D2053" s="15"/>
      <c r="E2053" s="6"/>
      <c r="F2053" s="6"/>
      <c r="G2053" s="6"/>
      <c r="K2053" s="223"/>
      <c r="M2053" s="889"/>
      <c r="P2053" s="890"/>
      <c r="T2053" s="889"/>
      <c r="X2053" s="15"/>
      <c r="Y2053" s="1935"/>
      <c r="Z2053" s="1086"/>
      <c r="AA2053" s="230"/>
      <c r="AB2053" s="230"/>
      <c r="AC2053" s="1936"/>
      <c r="AD2053" s="230"/>
      <c r="AE2053" s="230"/>
      <c r="AF2053" s="230"/>
      <c r="AG2053" s="890"/>
      <c r="AJ2053" s="890"/>
      <c r="AN2053" s="223"/>
      <c r="AO2053" s="952"/>
      <c r="AP2053" s="1066"/>
      <c r="AQ2053" s="972"/>
      <c r="AR2053" s="1917"/>
      <c r="AS2053" s="222"/>
      <c r="AZ2053" s="889"/>
      <c r="BC2053" s="890"/>
      <c r="BD2053" s="952"/>
      <c r="BE2053" s="75"/>
      <c r="BF2053" s="572"/>
      <c r="BG2053" s="983"/>
      <c r="BH2053" s="222"/>
      <c r="BL2053" s="889"/>
      <c r="BO2053" s="223"/>
    </row>
    <row r="2054" spans="1:67" s="74" customFormat="1">
      <c r="A2054" s="15"/>
      <c r="B2054" s="15"/>
      <c r="C2054" s="15"/>
      <c r="D2054" s="15"/>
      <c r="E2054" s="6"/>
      <c r="F2054" s="6"/>
      <c r="G2054" s="6"/>
      <c r="K2054" s="223"/>
      <c r="M2054" s="889"/>
      <c r="P2054" s="890"/>
      <c r="T2054" s="889"/>
      <c r="X2054" s="15"/>
      <c r="Y2054" s="1935"/>
      <c r="Z2054" s="1086"/>
      <c r="AA2054" s="230"/>
      <c r="AB2054" s="230"/>
      <c r="AC2054" s="1936"/>
      <c r="AD2054" s="230"/>
      <c r="AE2054" s="230"/>
      <c r="AF2054" s="230"/>
      <c r="AG2054" s="890"/>
      <c r="AJ2054" s="890"/>
      <c r="AN2054" s="223"/>
      <c r="AO2054" s="952"/>
      <c r="AP2054" s="1066"/>
      <c r="AQ2054" s="972"/>
      <c r="AR2054" s="1917"/>
      <c r="AS2054" s="222"/>
      <c r="AZ2054" s="889"/>
      <c r="BC2054" s="890"/>
      <c r="BD2054" s="952"/>
      <c r="BE2054" s="75"/>
      <c r="BF2054" s="572"/>
      <c r="BG2054" s="983"/>
      <c r="BH2054" s="222"/>
      <c r="BL2054" s="889"/>
      <c r="BO2054" s="223"/>
    </row>
    <row r="2055" spans="1:67" s="74" customFormat="1">
      <c r="A2055" s="15"/>
      <c r="B2055" s="15"/>
      <c r="C2055" s="15"/>
      <c r="D2055" s="15"/>
      <c r="E2055" s="6"/>
      <c r="F2055" s="6"/>
      <c r="G2055" s="6"/>
      <c r="K2055" s="223"/>
      <c r="M2055" s="889"/>
      <c r="P2055" s="890"/>
      <c r="T2055" s="889"/>
      <c r="X2055" s="15"/>
      <c r="Y2055" s="1935"/>
      <c r="Z2055" s="1086"/>
      <c r="AA2055" s="230"/>
      <c r="AB2055" s="230"/>
      <c r="AC2055" s="1936"/>
      <c r="AD2055" s="230"/>
      <c r="AE2055" s="230"/>
      <c r="AF2055" s="230"/>
      <c r="AG2055" s="890"/>
      <c r="AJ2055" s="890"/>
      <c r="AN2055" s="223"/>
      <c r="AO2055" s="952"/>
      <c r="AP2055" s="1066"/>
      <c r="AQ2055" s="972"/>
      <c r="AR2055" s="1917"/>
      <c r="AS2055" s="222"/>
      <c r="AZ2055" s="889"/>
      <c r="BC2055" s="890"/>
      <c r="BD2055" s="952"/>
      <c r="BE2055" s="75"/>
      <c r="BF2055" s="572"/>
      <c r="BG2055" s="983"/>
      <c r="BH2055" s="222"/>
      <c r="BL2055" s="889"/>
      <c r="BO2055" s="223"/>
    </row>
    <row r="2056" spans="1:67" s="74" customFormat="1">
      <c r="A2056" s="15"/>
      <c r="B2056" s="15"/>
      <c r="C2056" s="15"/>
      <c r="D2056" s="15"/>
      <c r="E2056" s="6"/>
      <c r="F2056" s="6"/>
      <c r="G2056" s="6"/>
      <c r="K2056" s="223"/>
      <c r="M2056" s="889"/>
      <c r="P2056" s="890"/>
      <c r="T2056" s="889"/>
      <c r="X2056" s="15"/>
      <c r="Y2056" s="1935"/>
      <c r="Z2056" s="1086"/>
      <c r="AA2056" s="230"/>
      <c r="AB2056" s="230"/>
      <c r="AC2056" s="1936"/>
      <c r="AD2056" s="230"/>
      <c r="AE2056" s="230"/>
      <c r="AF2056" s="230"/>
      <c r="AG2056" s="890"/>
      <c r="AJ2056" s="890"/>
      <c r="AN2056" s="223"/>
      <c r="AO2056" s="952"/>
      <c r="AP2056" s="1066"/>
      <c r="AQ2056" s="972"/>
      <c r="AR2056" s="1917"/>
      <c r="AS2056" s="222"/>
      <c r="AZ2056" s="889"/>
      <c r="BC2056" s="890"/>
      <c r="BD2056" s="952"/>
      <c r="BE2056" s="75"/>
      <c r="BF2056" s="572"/>
      <c r="BG2056" s="983"/>
      <c r="BH2056" s="222"/>
      <c r="BL2056" s="889"/>
      <c r="BO2056" s="223"/>
    </row>
    <row r="2057" spans="1:67" s="74" customFormat="1">
      <c r="A2057" s="15"/>
      <c r="B2057" s="15"/>
      <c r="C2057" s="15"/>
      <c r="D2057" s="15"/>
      <c r="E2057" s="6"/>
      <c r="F2057" s="6"/>
      <c r="G2057" s="6"/>
      <c r="K2057" s="223"/>
      <c r="M2057" s="889"/>
      <c r="P2057" s="890"/>
      <c r="T2057" s="889"/>
      <c r="X2057" s="15"/>
      <c r="Y2057" s="1935"/>
      <c r="Z2057" s="1086"/>
      <c r="AA2057" s="230"/>
      <c r="AB2057" s="230"/>
      <c r="AC2057" s="1936"/>
      <c r="AD2057" s="230"/>
      <c r="AE2057" s="230"/>
      <c r="AF2057" s="230"/>
      <c r="AG2057" s="890"/>
      <c r="AJ2057" s="890"/>
      <c r="AN2057" s="223"/>
      <c r="AO2057" s="952"/>
      <c r="AP2057" s="1066"/>
      <c r="AQ2057" s="972"/>
      <c r="AR2057" s="1917"/>
      <c r="AS2057" s="222"/>
      <c r="AZ2057" s="889"/>
      <c r="BC2057" s="890"/>
      <c r="BD2057" s="952"/>
      <c r="BE2057" s="75"/>
      <c r="BF2057" s="572"/>
      <c r="BG2057" s="983"/>
      <c r="BH2057" s="222"/>
      <c r="BL2057" s="889"/>
      <c r="BO2057" s="223"/>
    </row>
    <row r="2058" spans="1:67" s="74" customFormat="1">
      <c r="A2058" s="15"/>
      <c r="B2058" s="15"/>
      <c r="C2058" s="15"/>
      <c r="D2058" s="15"/>
      <c r="E2058" s="6"/>
      <c r="F2058" s="6"/>
      <c r="G2058" s="6"/>
      <c r="K2058" s="223"/>
      <c r="M2058" s="889"/>
      <c r="P2058" s="890"/>
      <c r="T2058" s="889"/>
      <c r="X2058" s="15"/>
      <c r="Y2058" s="1935"/>
      <c r="Z2058" s="1086"/>
      <c r="AA2058" s="230"/>
      <c r="AB2058" s="230"/>
      <c r="AC2058" s="1936"/>
      <c r="AD2058" s="230"/>
      <c r="AE2058" s="230"/>
      <c r="AF2058" s="230"/>
      <c r="AG2058" s="890"/>
      <c r="AJ2058" s="890"/>
      <c r="AN2058" s="223"/>
      <c r="AO2058" s="952"/>
      <c r="AP2058" s="1066"/>
      <c r="AQ2058" s="972"/>
      <c r="AR2058" s="1917"/>
      <c r="AS2058" s="222"/>
      <c r="AZ2058" s="889"/>
      <c r="BC2058" s="890"/>
      <c r="BD2058" s="952"/>
      <c r="BE2058" s="75"/>
      <c r="BF2058" s="572"/>
      <c r="BG2058" s="983"/>
      <c r="BH2058" s="222"/>
      <c r="BL2058" s="889"/>
      <c r="BO2058" s="223"/>
    </row>
    <row r="2059" spans="1:67" s="74" customFormat="1">
      <c r="A2059" s="15"/>
      <c r="B2059" s="15"/>
      <c r="C2059" s="15"/>
      <c r="D2059" s="15"/>
      <c r="E2059" s="6"/>
      <c r="F2059" s="6"/>
      <c r="G2059" s="6"/>
      <c r="K2059" s="223"/>
      <c r="M2059" s="889"/>
      <c r="P2059" s="890"/>
      <c r="T2059" s="889"/>
      <c r="X2059" s="15"/>
      <c r="Y2059" s="1935"/>
      <c r="Z2059" s="1086"/>
      <c r="AA2059" s="230"/>
      <c r="AB2059" s="230"/>
      <c r="AC2059" s="1936"/>
      <c r="AD2059" s="230"/>
      <c r="AE2059" s="230"/>
      <c r="AF2059" s="230"/>
      <c r="AG2059" s="890"/>
      <c r="AJ2059" s="890"/>
      <c r="AN2059" s="223"/>
      <c r="AO2059" s="952"/>
      <c r="AP2059" s="1066"/>
      <c r="AQ2059" s="972"/>
      <c r="AR2059" s="1917"/>
      <c r="AS2059" s="222"/>
      <c r="AZ2059" s="889"/>
      <c r="BC2059" s="890"/>
      <c r="BD2059" s="952"/>
      <c r="BE2059" s="75"/>
      <c r="BF2059" s="572"/>
      <c r="BG2059" s="983"/>
      <c r="BH2059" s="222"/>
      <c r="BL2059" s="889"/>
      <c r="BO2059" s="223"/>
    </row>
    <row r="2060" spans="1:67" s="74" customFormat="1">
      <c r="A2060" s="15"/>
      <c r="B2060" s="15"/>
      <c r="C2060" s="15"/>
      <c r="D2060" s="15"/>
      <c r="E2060" s="6"/>
      <c r="F2060" s="6"/>
      <c r="G2060" s="6"/>
      <c r="K2060" s="223"/>
      <c r="M2060" s="889"/>
      <c r="P2060" s="890"/>
      <c r="T2060" s="889"/>
      <c r="X2060" s="15"/>
      <c r="Y2060" s="1935"/>
      <c r="Z2060" s="1086"/>
      <c r="AA2060" s="230"/>
      <c r="AB2060" s="230"/>
      <c r="AC2060" s="1936"/>
      <c r="AD2060" s="230"/>
      <c r="AE2060" s="230"/>
      <c r="AF2060" s="230"/>
      <c r="AG2060" s="890"/>
      <c r="AJ2060" s="890"/>
      <c r="AN2060" s="223"/>
      <c r="AO2060" s="952"/>
      <c r="AP2060" s="1066"/>
      <c r="AQ2060" s="972"/>
      <c r="AR2060" s="1917"/>
      <c r="AS2060" s="222"/>
      <c r="AZ2060" s="889"/>
      <c r="BC2060" s="890"/>
      <c r="BD2060" s="952"/>
      <c r="BE2060" s="75"/>
      <c r="BF2060" s="572"/>
      <c r="BG2060" s="983"/>
      <c r="BH2060" s="222"/>
      <c r="BL2060" s="889"/>
      <c r="BO2060" s="223"/>
    </row>
    <row r="2061" spans="1:67" s="74" customFormat="1">
      <c r="A2061" s="15"/>
      <c r="B2061" s="15"/>
      <c r="C2061" s="15"/>
      <c r="D2061" s="15"/>
      <c r="E2061" s="6"/>
      <c r="F2061" s="6"/>
      <c r="G2061" s="6"/>
      <c r="K2061" s="223"/>
      <c r="M2061" s="889"/>
      <c r="P2061" s="890"/>
      <c r="T2061" s="889"/>
      <c r="X2061" s="15"/>
      <c r="Y2061" s="1935"/>
      <c r="Z2061" s="1086"/>
      <c r="AA2061" s="230"/>
      <c r="AB2061" s="230"/>
      <c r="AC2061" s="1936"/>
      <c r="AD2061" s="230"/>
      <c r="AE2061" s="230"/>
      <c r="AF2061" s="230"/>
      <c r="AG2061" s="890"/>
      <c r="AJ2061" s="890"/>
      <c r="AN2061" s="223"/>
      <c r="AO2061" s="952"/>
      <c r="AP2061" s="1066"/>
      <c r="AQ2061" s="972"/>
      <c r="AR2061" s="1917"/>
      <c r="AS2061" s="222"/>
      <c r="AZ2061" s="889"/>
      <c r="BC2061" s="890"/>
      <c r="BD2061" s="952"/>
      <c r="BE2061" s="75"/>
      <c r="BF2061" s="572"/>
      <c r="BG2061" s="983"/>
      <c r="BH2061" s="222"/>
      <c r="BL2061" s="889"/>
      <c r="BO2061" s="223"/>
    </row>
    <row r="2062" spans="1:67" s="74" customFormat="1">
      <c r="A2062" s="15"/>
      <c r="B2062" s="15"/>
      <c r="C2062" s="15"/>
      <c r="D2062" s="15"/>
      <c r="E2062" s="6"/>
      <c r="F2062" s="6"/>
      <c r="G2062" s="6"/>
      <c r="K2062" s="223"/>
      <c r="M2062" s="889"/>
      <c r="P2062" s="890"/>
      <c r="T2062" s="889"/>
      <c r="X2062" s="15"/>
      <c r="Y2062" s="1935"/>
      <c r="Z2062" s="1086"/>
      <c r="AA2062" s="230"/>
      <c r="AB2062" s="230"/>
      <c r="AC2062" s="1936"/>
      <c r="AD2062" s="230"/>
      <c r="AE2062" s="230"/>
      <c r="AF2062" s="230"/>
      <c r="AG2062" s="890"/>
      <c r="AJ2062" s="890"/>
      <c r="AN2062" s="223"/>
      <c r="AO2062" s="952"/>
      <c r="AP2062" s="1066"/>
      <c r="AQ2062" s="972"/>
      <c r="AR2062" s="1917"/>
      <c r="AS2062" s="222"/>
      <c r="AZ2062" s="889"/>
      <c r="BC2062" s="890"/>
      <c r="BD2062" s="952"/>
      <c r="BE2062" s="75"/>
      <c r="BF2062" s="572"/>
      <c r="BG2062" s="983"/>
      <c r="BH2062" s="222"/>
      <c r="BL2062" s="889"/>
      <c r="BO2062" s="223"/>
    </row>
    <row r="2063" spans="1:67" s="74" customFormat="1">
      <c r="A2063" s="15"/>
      <c r="B2063" s="15"/>
      <c r="C2063" s="15"/>
      <c r="D2063" s="15"/>
      <c r="E2063" s="6"/>
      <c r="F2063" s="6"/>
      <c r="G2063" s="6"/>
      <c r="K2063" s="223"/>
      <c r="M2063" s="889"/>
      <c r="P2063" s="890"/>
      <c r="T2063" s="889"/>
      <c r="X2063" s="15"/>
      <c r="Y2063" s="1935"/>
      <c r="Z2063" s="1086"/>
      <c r="AA2063" s="230"/>
      <c r="AB2063" s="230"/>
      <c r="AC2063" s="1936"/>
      <c r="AD2063" s="230"/>
      <c r="AE2063" s="230"/>
      <c r="AF2063" s="230"/>
      <c r="AG2063" s="890"/>
      <c r="AJ2063" s="890"/>
      <c r="AN2063" s="223"/>
      <c r="AO2063" s="952"/>
      <c r="AP2063" s="1066"/>
      <c r="AQ2063" s="972"/>
      <c r="AR2063" s="1917"/>
      <c r="AS2063" s="222"/>
      <c r="AZ2063" s="889"/>
      <c r="BC2063" s="890"/>
      <c r="BD2063" s="952"/>
      <c r="BE2063" s="75"/>
      <c r="BF2063" s="572"/>
      <c r="BG2063" s="983"/>
      <c r="BH2063" s="222"/>
      <c r="BL2063" s="889"/>
      <c r="BO2063" s="223"/>
    </row>
    <row r="2064" spans="1:67" s="74" customFormat="1">
      <c r="A2064" s="15"/>
      <c r="B2064" s="15"/>
      <c r="C2064" s="15"/>
      <c r="D2064" s="15"/>
      <c r="E2064" s="6"/>
      <c r="F2064" s="6"/>
      <c r="G2064" s="6"/>
      <c r="K2064" s="223"/>
      <c r="M2064" s="889"/>
      <c r="P2064" s="890"/>
      <c r="T2064" s="889"/>
      <c r="X2064" s="15"/>
      <c r="Y2064" s="1935"/>
      <c r="Z2064" s="1086"/>
      <c r="AA2064" s="230"/>
      <c r="AB2064" s="230"/>
      <c r="AC2064" s="1936"/>
      <c r="AD2064" s="230"/>
      <c r="AE2064" s="230"/>
      <c r="AF2064" s="230"/>
      <c r="AG2064" s="890"/>
      <c r="AJ2064" s="890"/>
      <c r="AN2064" s="223"/>
      <c r="AO2064" s="952"/>
      <c r="AP2064" s="1066"/>
      <c r="AQ2064" s="972"/>
      <c r="AR2064" s="1917"/>
      <c r="AS2064" s="222"/>
      <c r="AZ2064" s="889"/>
      <c r="BC2064" s="890"/>
      <c r="BD2064" s="952"/>
      <c r="BE2064" s="75"/>
      <c r="BF2064" s="572"/>
      <c r="BG2064" s="983"/>
      <c r="BH2064" s="222"/>
      <c r="BL2064" s="889"/>
      <c r="BO2064" s="223"/>
    </row>
    <row r="2065" spans="1:67" s="74" customFormat="1">
      <c r="A2065" s="15"/>
      <c r="B2065" s="15"/>
      <c r="C2065" s="15"/>
      <c r="D2065" s="15"/>
      <c r="E2065" s="6"/>
      <c r="F2065" s="6"/>
      <c r="G2065" s="6"/>
      <c r="K2065" s="223"/>
      <c r="M2065" s="889"/>
      <c r="P2065" s="890"/>
      <c r="T2065" s="889"/>
      <c r="X2065" s="15"/>
      <c r="Y2065" s="1935"/>
      <c r="Z2065" s="1086"/>
      <c r="AA2065" s="230"/>
      <c r="AB2065" s="230"/>
      <c r="AC2065" s="1936"/>
      <c r="AD2065" s="230"/>
      <c r="AE2065" s="230"/>
      <c r="AF2065" s="230"/>
      <c r="AG2065" s="890"/>
      <c r="AJ2065" s="890"/>
      <c r="AN2065" s="223"/>
      <c r="AO2065" s="952"/>
      <c r="AP2065" s="1066"/>
      <c r="AQ2065" s="972"/>
      <c r="AR2065" s="1917"/>
      <c r="AS2065" s="222"/>
      <c r="AZ2065" s="889"/>
      <c r="BC2065" s="890"/>
      <c r="BD2065" s="952"/>
      <c r="BE2065" s="75"/>
      <c r="BF2065" s="572"/>
      <c r="BG2065" s="983"/>
      <c r="BH2065" s="222"/>
      <c r="BL2065" s="889"/>
      <c r="BO2065" s="223"/>
    </row>
    <row r="2066" spans="1:67" s="74" customFormat="1">
      <c r="A2066" s="15"/>
      <c r="B2066" s="15"/>
      <c r="C2066" s="15"/>
      <c r="D2066" s="15"/>
      <c r="E2066" s="6"/>
      <c r="F2066" s="6"/>
      <c r="G2066" s="6"/>
      <c r="K2066" s="223"/>
      <c r="M2066" s="889"/>
      <c r="P2066" s="890"/>
      <c r="T2066" s="889"/>
      <c r="X2066" s="15"/>
      <c r="Y2066" s="1935"/>
      <c r="Z2066" s="1086"/>
      <c r="AA2066" s="230"/>
      <c r="AB2066" s="230"/>
      <c r="AC2066" s="1936"/>
      <c r="AD2066" s="230"/>
      <c r="AE2066" s="230"/>
      <c r="AF2066" s="230"/>
      <c r="AG2066" s="890"/>
      <c r="AJ2066" s="890"/>
      <c r="AN2066" s="223"/>
      <c r="AO2066" s="952"/>
      <c r="AP2066" s="1066"/>
      <c r="AQ2066" s="972"/>
      <c r="AR2066" s="1917"/>
      <c r="AS2066" s="222"/>
      <c r="AZ2066" s="889"/>
      <c r="BC2066" s="890"/>
      <c r="BD2066" s="952"/>
      <c r="BE2066" s="75"/>
      <c r="BF2066" s="572"/>
      <c r="BG2066" s="983"/>
      <c r="BH2066" s="222"/>
      <c r="BL2066" s="889"/>
      <c r="BO2066" s="223"/>
    </row>
    <row r="2067" spans="1:67" s="74" customFormat="1">
      <c r="A2067" s="15"/>
      <c r="B2067" s="15"/>
      <c r="C2067" s="15"/>
      <c r="D2067" s="15"/>
      <c r="E2067" s="6"/>
      <c r="F2067" s="6"/>
      <c r="G2067" s="6"/>
      <c r="K2067" s="223"/>
      <c r="M2067" s="889"/>
      <c r="P2067" s="890"/>
      <c r="T2067" s="889"/>
      <c r="X2067" s="15"/>
      <c r="Y2067" s="1935"/>
      <c r="Z2067" s="1086"/>
      <c r="AA2067" s="230"/>
      <c r="AB2067" s="230"/>
      <c r="AC2067" s="1936"/>
      <c r="AD2067" s="230"/>
      <c r="AE2067" s="230"/>
      <c r="AF2067" s="230"/>
      <c r="AG2067" s="890"/>
      <c r="AJ2067" s="890"/>
      <c r="AN2067" s="223"/>
      <c r="AO2067" s="952"/>
      <c r="AP2067" s="1066"/>
      <c r="AQ2067" s="972"/>
      <c r="AR2067" s="1917"/>
      <c r="AS2067" s="222"/>
      <c r="AZ2067" s="889"/>
      <c r="BC2067" s="890"/>
      <c r="BD2067" s="952"/>
      <c r="BE2067" s="75"/>
      <c r="BF2067" s="572"/>
      <c r="BG2067" s="983"/>
      <c r="BH2067" s="222"/>
      <c r="BL2067" s="889"/>
      <c r="BO2067" s="223"/>
    </row>
    <row r="2068" spans="1:67" s="74" customFormat="1">
      <c r="A2068" s="15"/>
      <c r="B2068" s="15"/>
      <c r="C2068" s="15"/>
      <c r="D2068" s="15"/>
      <c r="E2068" s="6"/>
      <c r="F2068" s="6"/>
      <c r="G2068" s="6"/>
      <c r="K2068" s="223"/>
      <c r="M2068" s="889"/>
      <c r="P2068" s="890"/>
      <c r="T2068" s="889"/>
      <c r="X2068" s="15"/>
      <c r="Y2068" s="1935"/>
      <c r="Z2068" s="1086"/>
      <c r="AA2068" s="230"/>
      <c r="AB2068" s="230"/>
      <c r="AC2068" s="1936"/>
      <c r="AD2068" s="230"/>
      <c r="AE2068" s="230"/>
      <c r="AF2068" s="230"/>
      <c r="AG2068" s="890"/>
      <c r="AJ2068" s="890"/>
      <c r="AN2068" s="223"/>
      <c r="AO2068" s="952"/>
      <c r="AP2068" s="1066"/>
      <c r="AQ2068" s="972"/>
      <c r="AR2068" s="1917"/>
      <c r="AS2068" s="222"/>
      <c r="AZ2068" s="889"/>
      <c r="BC2068" s="890"/>
      <c r="BD2068" s="952"/>
      <c r="BE2068" s="75"/>
      <c r="BF2068" s="572"/>
      <c r="BG2068" s="983"/>
      <c r="BH2068" s="222"/>
      <c r="BL2068" s="889"/>
      <c r="BO2068" s="223"/>
    </row>
    <row r="2069" spans="1:67" s="74" customFormat="1">
      <c r="A2069" s="15"/>
      <c r="B2069" s="15"/>
      <c r="C2069" s="15"/>
      <c r="D2069" s="15"/>
      <c r="E2069" s="6"/>
      <c r="F2069" s="6"/>
      <c r="G2069" s="6"/>
      <c r="K2069" s="223"/>
      <c r="M2069" s="889"/>
      <c r="P2069" s="890"/>
      <c r="T2069" s="889"/>
      <c r="X2069" s="15"/>
      <c r="Y2069" s="1935"/>
      <c r="Z2069" s="1086"/>
      <c r="AA2069" s="230"/>
      <c r="AB2069" s="230"/>
      <c r="AC2069" s="1936"/>
      <c r="AD2069" s="230"/>
      <c r="AE2069" s="230"/>
      <c r="AF2069" s="230"/>
      <c r="AG2069" s="890"/>
      <c r="AJ2069" s="890"/>
      <c r="AN2069" s="223"/>
      <c r="AO2069" s="952"/>
      <c r="AP2069" s="1066"/>
      <c r="AQ2069" s="972"/>
      <c r="AR2069" s="1917"/>
      <c r="AS2069" s="222"/>
      <c r="AZ2069" s="889"/>
      <c r="BC2069" s="890"/>
      <c r="BD2069" s="952"/>
      <c r="BE2069" s="75"/>
      <c r="BF2069" s="572"/>
      <c r="BG2069" s="983"/>
      <c r="BH2069" s="222"/>
      <c r="BL2069" s="889"/>
      <c r="BO2069" s="223"/>
    </row>
    <row r="2070" spans="1:67" s="74" customFormat="1">
      <c r="A2070" s="15"/>
      <c r="B2070" s="15"/>
      <c r="C2070" s="15"/>
      <c r="D2070" s="15"/>
      <c r="E2070" s="6"/>
      <c r="F2070" s="6"/>
      <c r="G2070" s="6"/>
      <c r="K2070" s="223"/>
      <c r="M2070" s="889"/>
      <c r="P2070" s="890"/>
      <c r="T2070" s="889"/>
      <c r="X2070" s="15"/>
      <c r="Y2070" s="1935"/>
      <c r="Z2070" s="1086"/>
      <c r="AA2070" s="230"/>
      <c r="AB2070" s="230"/>
      <c r="AC2070" s="1936"/>
      <c r="AD2070" s="230"/>
      <c r="AE2070" s="230"/>
      <c r="AF2070" s="230"/>
      <c r="AG2070" s="890"/>
      <c r="AJ2070" s="890"/>
      <c r="AN2070" s="223"/>
      <c r="AO2070" s="952"/>
      <c r="AP2070" s="1066"/>
      <c r="AQ2070" s="972"/>
      <c r="AR2070" s="1917"/>
      <c r="AS2070" s="222"/>
      <c r="AZ2070" s="889"/>
      <c r="BC2070" s="890"/>
      <c r="BD2070" s="952"/>
      <c r="BE2070" s="75"/>
      <c r="BF2070" s="572"/>
      <c r="BG2070" s="983"/>
      <c r="BH2070" s="222"/>
      <c r="BL2070" s="889"/>
      <c r="BO2070" s="223"/>
    </row>
    <row r="2071" spans="1:67" s="74" customFormat="1">
      <c r="A2071" s="15"/>
      <c r="B2071" s="15"/>
      <c r="C2071" s="15"/>
      <c r="D2071" s="15"/>
      <c r="E2071" s="6"/>
      <c r="F2071" s="6"/>
      <c r="G2071" s="6"/>
      <c r="K2071" s="223"/>
      <c r="M2071" s="889"/>
      <c r="P2071" s="890"/>
      <c r="T2071" s="889"/>
      <c r="X2071" s="15"/>
      <c r="Y2071" s="1935"/>
      <c r="Z2071" s="1086"/>
      <c r="AA2071" s="230"/>
      <c r="AB2071" s="230"/>
      <c r="AC2071" s="1936"/>
      <c r="AD2071" s="230"/>
      <c r="AE2071" s="230"/>
      <c r="AF2071" s="230"/>
      <c r="AG2071" s="890"/>
      <c r="AJ2071" s="890"/>
      <c r="AN2071" s="223"/>
      <c r="AO2071" s="952"/>
      <c r="AP2071" s="1066"/>
      <c r="AQ2071" s="972"/>
      <c r="AR2071" s="1917"/>
      <c r="AS2071" s="222"/>
      <c r="AZ2071" s="889"/>
      <c r="BC2071" s="890"/>
      <c r="BD2071" s="952"/>
      <c r="BE2071" s="75"/>
      <c r="BF2071" s="572"/>
      <c r="BG2071" s="983"/>
      <c r="BH2071" s="222"/>
      <c r="BL2071" s="889"/>
      <c r="BO2071" s="223"/>
    </row>
    <row r="2072" spans="1:67" s="74" customFormat="1">
      <c r="A2072" s="15"/>
      <c r="B2072" s="15"/>
      <c r="C2072" s="15"/>
      <c r="D2072" s="15"/>
      <c r="E2072" s="6"/>
      <c r="F2072" s="6"/>
      <c r="G2072" s="6"/>
      <c r="K2072" s="223"/>
      <c r="M2072" s="889"/>
      <c r="P2072" s="890"/>
      <c r="T2072" s="889"/>
      <c r="X2072" s="15"/>
      <c r="Y2072" s="1935"/>
      <c r="Z2072" s="1086"/>
      <c r="AA2072" s="230"/>
      <c r="AB2072" s="230"/>
      <c r="AC2072" s="1936"/>
      <c r="AD2072" s="230"/>
      <c r="AE2072" s="230"/>
      <c r="AF2072" s="230"/>
      <c r="AG2072" s="890"/>
      <c r="AJ2072" s="890"/>
      <c r="AN2072" s="223"/>
      <c r="AO2072" s="952"/>
      <c r="AP2072" s="1066"/>
      <c r="AQ2072" s="972"/>
      <c r="AR2072" s="1917"/>
      <c r="AS2072" s="222"/>
      <c r="AZ2072" s="889"/>
      <c r="BC2072" s="890"/>
      <c r="BD2072" s="952"/>
      <c r="BE2072" s="75"/>
      <c r="BF2072" s="572"/>
      <c r="BG2072" s="983"/>
      <c r="BH2072" s="222"/>
      <c r="BL2072" s="889"/>
      <c r="BO2072" s="223"/>
    </row>
    <row r="2073" spans="1:67" s="74" customFormat="1">
      <c r="A2073" s="15"/>
      <c r="B2073" s="15"/>
      <c r="C2073" s="15"/>
      <c r="D2073" s="15"/>
      <c r="E2073" s="6"/>
      <c r="F2073" s="6"/>
      <c r="G2073" s="6"/>
      <c r="K2073" s="223"/>
      <c r="M2073" s="889"/>
      <c r="P2073" s="890"/>
      <c r="T2073" s="889"/>
      <c r="X2073" s="15"/>
      <c r="Y2073" s="1935"/>
      <c r="Z2073" s="1086"/>
      <c r="AA2073" s="230"/>
      <c r="AB2073" s="230"/>
      <c r="AC2073" s="1936"/>
      <c r="AD2073" s="230"/>
      <c r="AE2073" s="230"/>
      <c r="AF2073" s="230"/>
      <c r="AG2073" s="890"/>
      <c r="AJ2073" s="890"/>
      <c r="AN2073" s="223"/>
      <c r="AO2073" s="952"/>
      <c r="AP2073" s="1066"/>
      <c r="AQ2073" s="972"/>
      <c r="AR2073" s="1917"/>
      <c r="AS2073" s="222"/>
      <c r="AZ2073" s="889"/>
      <c r="BC2073" s="890"/>
      <c r="BD2073" s="952"/>
      <c r="BE2073" s="75"/>
      <c r="BF2073" s="572"/>
      <c r="BG2073" s="983"/>
      <c r="BH2073" s="222"/>
      <c r="BL2073" s="889"/>
      <c r="BO2073" s="223"/>
    </row>
    <row r="2074" spans="1:67" s="74" customFormat="1">
      <c r="A2074" s="15"/>
      <c r="B2074" s="15"/>
      <c r="C2074" s="15"/>
      <c r="D2074" s="15"/>
      <c r="E2074" s="6"/>
      <c r="F2074" s="6"/>
      <c r="G2074" s="6"/>
      <c r="K2074" s="223"/>
      <c r="M2074" s="889"/>
      <c r="P2074" s="890"/>
      <c r="T2074" s="889"/>
      <c r="X2074" s="15"/>
      <c r="Y2074" s="1935"/>
      <c r="Z2074" s="1086"/>
      <c r="AA2074" s="230"/>
      <c r="AB2074" s="230"/>
      <c r="AC2074" s="1936"/>
      <c r="AD2074" s="230"/>
      <c r="AE2074" s="230"/>
      <c r="AF2074" s="230"/>
      <c r="AG2074" s="890"/>
      <c r="AJ2074" s="890"/>
      <c r="AN2074" s="223"/>
      <c r="AO2074" s="952"/>
      <c r="AP2074" s="1066"/>
      <c r="AQ2074" s="972"/>
      <c r="AR2074" s="1917"/>
      <c r="AS2074" s="222"/>
      <c r="AZ2074" s="889"/>
      <c r="BC2074" s="890"/>
      <c r="BD2074" s="952"/>
      <c r="BE2074" s="75"/>
      <c r="BF2074" s="572"/>
      <c r="BG2074" s="983"/>
      <c r="BH2074" s="222"/>
      <c r="BL2074" s="889"/>
      <c r="BO2074" s="223"/>
    </row>
    <row r="2075" spans="1:67" s="74" customFormat="1">
      <c r="A2075" s="15"/>
      <c r="B2075" s="15"/>
      <c r="C2075" s="15"/>
      <c r="D2075" s="15"/>
      <c r="E2075" s="6"/>
      <c r="F2075" s="6"/>
      <c r="G2075" s="6"/>
      <c r="K2075" s="223"/>
      <c r="M2075" s="889"/>
      <c r="P2075" s="890"/>
      <c r="T2075" s="889"/>
      <c r="X2075" s="15"/>
      <c r="Y2075" s="1935"/>
      <c r="Z2075" s="1086"/>
      <c r="AA2075" s="230"/>
      <c r="AB2075" s="230"/>
      <c r="AC2075" s="1936"/>
      <c r="AD2075" s="230"/>
      <c r="AE2075" s="230"/>
      <c r="AF2075" s="230"/>
      <c r="AG2075" s="890"/>
      <c r="AJ2075" s="890"/>
      <c r="AN2075" s="223"/>
      <c r="AO2075" s="952"/>
      <c r="AP2075" s="1066"/>
      <c r="AQ2075" s="972"/>
      <c r="AR2075" s="1917"/>
      <c r="AS2075" s="222"/>
      <c r="AZ2075" s="889"/>
      <c r="BC2075" s="890"/>
      <c r="BD2075" s="952"/>
      <c r="BE2075" s="75"/>
      <c r="BF2075" s="572"/>
      <c r="BG2075" s="983"/>
      <c r="BH2075" s="222"/>
      <c r="BL2075" s="889"/>
      <c r="BO2075" s="223"/>
    </row>
    <row r="2076" spans="1:67" s="74" customFormat="1">
      <c r="A2076" s="15"/>
      <c r="B2076" s="15"/>
      <c r="C2076" s="15"/>
      <c r="D2076" s="15"/>
      <c r="E2076" s="6"/>
      <c r="F2076" s="6"/>
      <c r="G2076" s="6"/>
      <c r="K2076" s="223"/>
      <c r="M2076" s="889"/>
      <c r="P2076" s="890"/>
      <c r="T2076" s="889"/>
      <c r="X2076" s="15"/>
      <c r="Y2076" s="1935"/>
      <c r="Z2076" s="1086"/>
      <c r="AA2076" s="230"/>
      <c r="AB2076" s="230"/>
      <c r="AC2076" s="1936"/>
      <c r="AD2076" s="230"/>
      <c r="AE2076" s="230"/>
      <c r="AF2076" s="230"/>
      <c r="AG2076" s="890"/>
      <c r="AJ2076" s="890"/>
      <c r="AN2076" s="223"/>
      <c r="AO2076" s="952"/>
      <c r="AP2076" s="1066"/>
      <c r="AQ2076" s="972"/>
      <c r="AR2076" s="1917"/>
      <c r="AS2076" s="222"/>
      <c r="AZ2076" s="889"/>
      <c r="BC2076" s="890"/>
      <c r="BD2076" s="952"/>
      <c r="BE2076" s="75"/>
      <c r="BF2076" s="572"/>
      <c r="BG2076" s="983"/>
      <c r="BH2076" s="222"/>
      <c r="BL2076" s="889"/>
      <c r="BO2076" s="223"/>
    </row>
    <row r="2077" spans="1:67" s="74" customFormat="1">
      <c r="A2077" s="15"/>
      <c r="B2077" s="15"/>
      <c r="C2077" s="15"/>
      <c r="D2077" s="15"/>
      <c r="E2077" s="6"/>
      <c r="F2077" s="6"/>
      <c r="G2077" s="6"/>
      <c r="K2077" s="223"/>
      <c r="M2077" s="889"/>
      <c r="P2077" s="890"/>
      <c r="T2077" s="889"/>
      <c r="X2077" s="15"/>
      <c r="Y2077" s="1935"/>
      <c r="Z2077" s="1086"/>
      <c r="AA2077" s="230"/>
      <c r="AB2077" s="230"/>
      <c r="AC2077" s="1936"/>
      <c r="AD2077" s="230"/>
      <c r="AE2077" s="230"/>
      <c r="AF2077" s="230"/>
      <c r="AG2077" s="890"/>
      <c r="AJ2077" s="890"/>
      <c r="AN2077" s="223"/>
      <c r="AO2077" s="952"/>
      <c r="AP2077" s="1066"/>
      <c r="AQ2077" s="972"/>
      <c r="AR2077" s="1917"/>
      <c r="AS2077" s="222"/>
      <c r="AZ2077" s="889"/>
      <c r="BC2077" s="890"/>
      <c r="BD2077" s="952"/>
      <c r="BE2077" s="75"/>
      <c r="BF2077" s="572"/>
      <c r="BG2077" s="983"/>
      <c r="BH2077" s="222"/>
      <c r="BL2077" s="889"/>
      <c r="BO2077" s="223"/>
    </row>
    <row r="2078" spans="1:67" s="74" customFormat="1">
      <c r="A2078" s="15"/>
      <c r="B2078" s="15"/>
      <c r="C2078" s="15"/>
      <c r="D2078" s="15"/>
      <c r="E2078" s="6"/>
      <c r="F2078" s="6"/>
      <c r="G2078" s="6"/>
      <c r="K2078" s="223"/>
      <c r="M2078" s="889"/>
      <c r="P2078" s="890"/>
      <c r="T2078" s="889"/>
      <c r="X2078" s="15"/>
      <c r="Y2078" s="1935"/>
      <c r="Z2078" s="1086"/>
      <c r="AA2078" s="230"/>
      <c r="AB2078" s="230"/>
      <c r="AC2078" s="1936"/>
      <c r="AD2078" s="230"/>
      <c r="AE2078" s="230"/>
      <c r="AF2078" s="230"/>
      <c r="AG2078" s="890"/>
      <c r="AJ2078" s="890"/>
      <c r="AN2078" s="223"/>
      <c r="AO2078" s="952"/>
      <c r="AP2078" s="1066"/>
      <c r="AQ2078" s="972"/>
      <c r="AR2078" s="1917"/>
      <c r="AS2078" s="222"/>
      <c r="AZ2078" s="889"/>
      <c r="BC2078" s="890"/>
      <c r="BD2078" s="952"/>
      <c r="BE2078" s="75"/>
      <c r="BF2078" s="572"/>
      <c r="BG2078" s="983"/>
      <c r="BH2078" s="222"/>
      <c r="BL2078" s="889"/>
      <c r="BO2078" s="223"/>
    </row>
    <row r="2079" spans="1:67" s="74" customFormat="1">
      <c r="A2079" s="15"/>
      <c r="B2079" s="15"/>
      <c r="C2079" s="15"/>
      <c r="D2079" s="15"/>
      <c r="E2079" s="6"/>
      <c r="F2079" s="6"/>
      <c r="G2079" s="6"/>
      <c r="K2079" s="223"/>
      <c r="M2079" s="889"/>
      <c r="P2079" s="890"/>
      <c r="T2079" s="889"/>
      <c r="X2079" s="15"/>
      <c r="Y2079" s="1935"/>
      <c r="Z2079" s="1086"/>
      <c r="AA2079" s="230"/>
      <c r="AB2079" s="230"/>
      <c r="AC2079" s="1936"/>
      <c r="AD2079" s="230"/>
      <c r="AE2079" s="230"/>
      <c r="AF2079" s="230"/>
      <c r="AG2079" s="890"/>
      <c r="AJ2079" s="890"/>
      <c r="AN2079" s="223"/>
      <c r="AO2079" s="952"/>
      <c r="AP2079" s="1066"/>
      <c r="AQ2079" s="972"/>
      <c r="AR2079" s="1917"/>
      <c r="AS2079" s="222"/>
      <c r="AZ2079" s="889"/>
      <c r="BC2079" s="890"/>
      <c r="BD2079" s="952"/>
      <c r="BE2079" s="75"/>
      <c r="BF2079" s="572"/>
      <c r="BG2079" s="983"/>
      <c r="BH2079" s="222"/>
      <c r="BL2079" s="889"/>
      <c r="BO2079" s="223"/>
    </row>
    <row r="2080" spans="1:67" s="74" customFormat="1">
      <c r="A2080" s="15"/>
      <c r="B2080" s="15"/>
      <c r="C2080" s="15"/>
      <c r="D2080" s="15"/>
      <c r="E2080" s="6"/>
      <c r="F2080" s="6"/>
      <c r="G2080" s="6"/>
      <c r="K2080" s="223"/>
      <c r="M2080" s="889"/>
      <c r="P2080" s="890"/>
      <c r="T2080" s="889"/>
      <c r="X2080" s="15"/>
      <c r="Y2080" s="1935"/>
      <c r="Z2080" s="1086"/>
      <c r="AA2080" s="230"/>
      <c r="AB2080" s="230"/>
      <c r="AC2080" s="1936"/>
      <c r="AD2080" s="230"/>
      <c r="AE2080" s="230"/>
      <c r="AF2080" s="230"/>
      <c r="AG2080" s="890"/>
      <c r="AJ2080" s="890"/>
      <c r="AN2080" s="223"/>
      <c r="AO2080" s="952"/>
      <c r="AP2080" s="1066"/>
      <c r="AQ2080" s="972"/>
      <c r="AR2080" s="1917"/>
      <c r="AS2080" s="222"/>
      <c r="AZ2080" s="889"/>
      <c r="BC2080" s="890"/>
      <c r="BD2080" s="952"/>
      <c r="BE2080" s="75"/>
      <c r="BF2080" s="572"/>
      <c r="BG2080" s="983"/>
      <c r="BH2080" s="222"/>
      <c r="BL2080" s="889"/>
      <c r="BO2080" s="223"/>
    </row>
    <row r="2081" spans="1:67" s="74" customFormat="1">
      <c r="A2081" s="15"/>
      <c r="B2081" s="15"/>
      <c r="C2081" s="15"/>
      <c r="D2081" s="15"/>
      <c r="E2081" s="6"/>
      <c r="F2081" s="6"/>
      <c r="G2081" s="6"/>
      <c r="K2081" s="223"/>
      <c r="M2081" s="889"/>
      <c r="P2081" s="890"/>
      <c r="T2081" s="889"/>
      <c r="X2081" s="15"/>
      <c r="Y2081" s="1935"/>
      <c r="Z2081" s="1086"/>
      <c r="AA2081" s="230"/>
      <c r="AB2081" s="230"/>
      <c r="AC2081" s="1936"/>
      <c r="AD2081" s="230"/>
      <c r="AE2081" s="230"/>
      <c r="AF2081" s="230"/>
      <c r="AG2081" s="890"/>
      <c r="AJ2081" s="890"/>
      <c r="AN2081" s="223"/>
      <c r="AO2081" s="952"/>
      <c r="AP2081" s="1066"/>
      <c r="AQ2081" s="972"/>
      <c r="AR2081" s="1917"/>
      <c r="AS2081" s="222"/>
      <c r="AZ2081" s="889"/>
      <c r="BC2081" s="890"/>
      <c r="BD2081" s="952"/>
      <c r="BE2081" s="75"/>
      <c r="BF2081" s="572"/>
      <c r="BG2081" s="983"/>
      <c r="BH2081" s="222"/>
      <c r="BL2081" s="889"/>
      <c r="BO2081" s="223"/>
    </row>
    <row r="2082" spans="1:67" s="74" customFormat="1">
      <c r="A2082" s="15"/>
      <c r="B2082" s="15"/>
      <c r="C2082" s="15"/>
      <c r="D2082" s="15"/>
      <c r="E2082" s="6"/>
      <c r="F2082" s="6"/>
      <c r="G2082" s="6"/>
      <c r="K2082" s="223"/>
      <c r="M2082" s="889"/>
      <c r="P2082" s="890"/>
      <c r="T2082" s="889"/>
      <c r="X2082" s="15"/>
      <c r="Y2082" s="1935"/>
      <c r="Z2082" s="1086"/>
      <c r="AA2082" s="230"/>
      <c r="AB2082" s="230"/>
      <c r="AC2082" s="1936"/>
      <c r="AD2082" s="230"/>
      <c r="AE2082" s="230"/>
      <c r="AF2082" s="230"/>
      <c r="AG2082" s="890"/>
      <c r="AJ2082" s="890"/>
      <c r="AN2082" s="223"/>
      <c r="AO2082" s="952"/>
      <c r="AP2082" s="1066"/>
      <c r="AQ2082" s="972"/>
      <c r="AR2082" s="1917"/>
      <c r="AS2082" s="222"/>
      <c r="AZ2082" s="889"/>
      <c r="BC2082" s="890"/>
      <c r="BD2082" s="952"/>
      <c r="BE2082" s="75"/>
      <c r="BF2082" s="572"/>
      <c r="BG2082" s="983"/>
      <c r="BH2082" s="222"/>
      <c r="BL2082" s="889"/>
      <c r="BO2082" s="223"/>
    </row>
    <row r="2083" spans="1:67" s="74" customFormat="1">
      <c r="A2083" s="15"/>
      <c r="B2083" s="15"/>
      <c r="C2083" s="15"/>
      <c r="D2083" s="15"/>
      <c r="E2083" s="6"/>
      <c r="F2083" s="6"/>
      <c r="G2083" s="6"/>
      <c r="K2083" s="223"/>
      <c r="M2083" s="889"/>
      <c r="P2083" s="890"/>
      <c r="T2083" s="889"/>
      <c r="X2083" s="15"/>
      <c r="Y2083" s="1935"/>
      <c r="Z2083" s="1086"/>
      <c r="AA2083" s="230"/>
      <c r="AB2083" s="230"/>
      <c r="AC2083" s="1936"/>
      <c r="AD2083" s="230"/>
      <c r="AE2083" s="230"/>
      <c r="AF2083" s="230"/>
      <c r="AG2083" s="890"/>
      <c r="AJ2083" s="890"/>
      <c r="AN2083" s="223"/>
      <c r="AO2083" s="952"/>
      <c r="AP2083" s="1066"/>
      <c r="AQ2083" s="972"/>
      <c r="AR2083" s="1917"/>
      <c r="AS2083" s="222"/>
      <c r="AZ2083" s="889"/>
      <c r="BC2083" s="890"/>
      <c r="BD2083" s="952"/>
      <c r="BE2083" s="75"/>
      <c r="BF2083" s="572"/>
      <c r="BG2083" s="983"/>
      <c r="BH2083" s="222"/>
      <c r="BL2083" s="889"/>
      <c r="BO2083" s="223"/>
    </row>
    <row r="2084" spans="1:67" s="74" customFormat="1">
      <c r="A2084" s="15"/>
      <c r="B2084" s="15"/>
      <c r="C2084" s="15"/>
      <c r="D2084" s="15"/>
      <c r="E2084" s="6"/>
      <c r="F2084" s="6"/>
      <c r="G2084" s="6"/>
      <c r="K2084" s="223"/>
      <c r="M2084" s="889"/>
      <c r="P2084" s="890"/>
      <c r="T2084" s="889"/>
      <c r="X2084" s="15"/>
      <c r="Y2084" s="1935"/>
      <c r="Z2084" s="1086"/>
      <c r="AA2084" s="230"/>
      <c r="AB2084" s="230"/>
      <c r="AC2084" s="1936"/>
      <c r="AD2084" s="230"/>
      <c r="AE2084" s="230"/>
      <c r="AF2084" s="230"/>
      <c r="AG2084" s="890"/>
      <c r="AJ2084" s="890"/>
      <c r="AN2084" s="223"/>
      <c r="AO2084" s="952"/>
      <c r="AP2084" s="1066"/>
      <c r="AQ2084" s="972"/>
      <c r="AR2084" s="1917"/>
      <c r="AS2084" s="222"/>
      <c r="AZ2084" s="889"/>
      <c r="BC2084" s="890"/>
      <c r="BD2084" s="952"/>
      <c r="BE2084" s="75"/>
      <c r="BF2084" s="572"/>
      <c r="BG2084" s="983"/>
      <c r="BH2084" s="222"/>
      <c r="BL2084" s="889"/>
      <c r="BO2084" s="223"/>
    </row>
    <row r="2085" spans="1:67" s="74" customFormat="1">
      <c r="A2085" s="15"/>
      <c r="B2085" s="15"/>
      <c r="C2085" s="15"/>
      <c r="D2085" s="15"/>
      <c r="E2085" s="6"/>
      <c r="F2085" s="6"/>
      <c r="G2085" s="6"/>
      <c r="K2085" s="223"/>
      <c r="M2085" s="889"/>
      <c r="P2085" s="890"/>
      <c r="T2085" s="889"/>
      <c r="X2085" s="15"/>
      <c r="Y2085" s="1935"/>
      <c r="Z2085" s="1086"/>
      <c r="AA2085" s="230"/>
      <c r="AB2085" s="230"/>
      <c r="AC2085" s="1936"/>
      <c r="AD2085" s="230"/>
      <c r="AE2085" s="230"/>
      <c r="AF2085" s="230"/>
      <c r="AG2085" s="890"/>
      <c r="AJ2085" s="890"/>
      <c r="AN2085" s="223"/>
      <c r="AO2085" s="952"/>
      <c r="AP2085" s="1066"/>
      <c r="AQ2085" s="972"/>
      <c r="AR2085" s="1917"/>
      <c r="AS2085" s="222"/>
      <c r="AZ2085" s="889"/>
      <c r="BC2085" s="890"/>
      <c r="BD2085" s="952"/>
      <c r="BE2085" s="75"/>
      <c r="BF2085" s="572"/>
      <c r="BG2085" s="983"/>
      <c r="BH2085" s="222"/>
      <c r="BL2085" s="889"/>
      <c r="BO2085" s="223"/>
    </row>
    <row r="2086" spans="1:67" s="74" customFormat="1">
      <c r="A2086" s="15"/>
      <c r="B2086" s="15"/>
      <c r="C2086" s="15"/>
      <c r="D2086" s="15"/>
      <c r="E2086" s="6"/>
      <c r="F2086" s="6"/>
      <c r="G2086" s="6"/>
      <c r="K2086" s="223"/>
      <c r="M2086" s="889"/>
      <c r="P2086" s="890"/>
      <c r="T2086" s="889"/>
      <c r="X2086" s="15"/>
      <c r="Y2086" s="1935"/>
      <c r="Z2086" s="1086"/>
      <c r="AA2086" s="230"/>
      <c r="AB2086" s="230"/>
      <c r="AC2086" s="1936"/>
      <c r="AD2086" s="230"/>
      <c r="AE2086" s="230"/>
      <c r="AF2086" s="230"/>
      <c r="AG2086" s="890"/>
      <c r="AJ2086" s="890"/>
      <c r="AN2086" s="223"/>
      <c r="AO2086" s="952"/>
      <c r="AP2086" s="1066"/>
      <c r="AQ2086" s="972"/>
      <c r="AR2086" s="1917"/>
      <c r="AS2086" s="222"/>
      <c r="AZ2086" s="889"/>
      <c r="BC2086" s="890"/>
      <c r="BD2086" s="952"/>
      <c r="BE2086" s="75"/>
      <c r="BF2086" s="572"/>
      <c r="BG2086" s="983"/>
      <c r="BH2086" s="222"/>
      <c r="BL2086" s="889"/>
      <c r="BO2086" s="223"/>
    </row>
    <row r="2087" spans="1:67" s="74" customFormat="1">
      <c r="A2087" s="15"/>
      <c r="B2087" s="15"/>
      <c r="C2087" s="15"/>
      <c r="D2087" s="15"/>
      <c r="E2087" s="6"/>
      <c r="F2087" s="6"/>
      <c r="G2087" s="6"/>
      <c r="K2087" s="223"/>
      <c r="M2087" s="889"/>
      <c r="P2087" s="890"/>
      <c r="T2087" s="889"/>
      <c r="X2087" s="15"/>
      <c r="Y2087" s="1935"/>
      <c r="Z2087" s="1086"/>
      <c r="AA2087" s="230"/>
      <c r="AB2087" s="230"/>
      <c r="AC2087" s="1936"/>
      <c r="AD2087" s="230"/>
      <c r="AE2087" s="230"/>
      <c r="AF2087" s="230"/>
      <c r="AG2087" s="890"/>
      <c r="AJ2087" s="890"/>
      <c r="AN2087" s="223"/>
      <c r="AO2087" s="952"/>
      <c r="AP2087" s="1066"/>
      <c r="AQ2087" s="972"/>
      <c r="AR2087" s="1917"/>
      <c r="AS2087" s="222"/>
      <c r="AZ2087" s="889"/>
      <c r="BC2087" s="890"/>
      <c r="BD2087" s="952"/>
      <c r="BE2087" s="75"/>
      <c r="BF2087" s="572"/>
      <c r="BG2087" s="983"/>
      <c r="BH2087" s="222"/>
      <c r="BL2087" s="889"/>
      <c r="BO2087" s="223"/>
    </row>
    <row r="2088" spans="1:67" s="74" customFormat="1">
      <c r="A2088" s="15"/>
      <c r="B2088" s="15"/>
      <c r="C2088" s="15"/>
      <c r="D2088" s="15"/>
      <c r="E2088" s="6"/>
      <c r="F2088" s="6"/>
      <c r="G2088" s="6"/>
      <c r="K2088" s="223"/>
      <c r="M2088" s="889"/>
      <c r="P2088" s="890"/>
      <c r="T2088" s="889"/>
      <c r="X2088" s="15"/>
      <c r="Y2088" s="1935"/>
      <c r="Z2088" s="1086"/>
      <c r="AA2088" s="230"/>
      <c r="AB2088" s="230"/>
      <c r="AC2088" s="1936"/>
      <c r="AD2088" s="230"/>
      <c r="AE2088" s="230"/>
      <c r="AF2088" s="230"/>
      <c r="AG2088" s="890"/>
      <c r="AJ2088" s="890"/>
      <c r="AN2088" s="223"/>
      <c r="AO2088" s="952"/>
      <c r="AP2088" s="1066"/>
      <c r="AQ2088" s="972"/>
      <c r="AR2088" s="1917"/>
      <c r="AS2088" s="222"/>
      <c r="AZ2088" s="889"/>
      <c r="BC2088" s="890"/>
      <c r="BD2088" s="952"/>
      <c r="BE2088" s="75"/>
      <c r="BF2088" s="572"/>
      <c r="BG2088" s="983"/>
      <c r="BH2088" s="222"/>
      <c r="BL2088" s="889"/>
      <c r="BO2088" s="223"/>
    </row>
    <row r="2089" spans="1:67" s="74" customFormat="1">
      <c r="A2089" s="15"/>
      <c r="B2089" s="15"/>
      <c r="C2089" s="15"/>
      <c r="D2089" s="15"/>
      <c r="E2089" s="6"/>
      <c r="F2089" s="6"/>
      <c r="G2089" s="6"/>
      <c r="K2089" s="223"/>
      <c r="M2089" s="889"/>
      <c r="P2089" s="890"/>
      <c r="T2089" s="889"/>
      <c r="X2089" s="15"/>
      <c r="Y2089" s="1935"/>
      <c r="Z2089" s="1086"/>
      <c r="AA2089" s="230"/>
      <c r="AB2089" s="230"/>
      <c r="AC2089" s="1936"/>
      <c r="AD2089" s="230"/>
      <c r="AE2089" s="230"/>
      <c r="AF2089" s="230"/>
      <c r="AG2089" s="890"/>
      <c r="AJ2089" s="890"/>
      <c r="AN2089" s="223"/>
      <c r="AO2089" s="952"/>
      <c r="AP2089" s="1066"/>
      <c r="AQ2089" s="972"/>
      <c r="AR2089" s="1917"/>
      <c r="AS2089" s="222"/>
      <c r="AZ2089" s="889"/>
      <c r="BC2089" s="890"/>
      <c r="BD2089" s="952"/>
      <c r="BE2089" s="75"/>
      <c r="BF2089" s="572"/>
      <c r="BG2089" s="983"/>
      <c r="BH2089" s="222"/>
      <c r="BL2089" s="889"/>
      <c r="BO2089" s="223"/>
    </row>
    <row r="2090" spans="1:67" s="74" customFormat="1">
      <c r="A2090" s="15"/>
      <c r="B2090" s="15"/>
      <c r="C2090" s="15"/>
      <c r="D2090" s="15"/>
      <c r="E2090" s="6"/>
      <c r="F2090" s="6"/>
      <c r="G2090" s="6"/>
      <c r="K2090" s="223"/>
      <c r="M2090" s="889"/>
      <c r="P2090" s="890"/>
      <c r="T2090" s="889"/>
      <c r="X2090" s="15"/>
      <c r="Y2090" s="1935"/>
      <c r="Z2090" s="1086"/>
      <c r="AA2090" s="230"/>
      <c r="AB2090" s="230"/>
      <c r="AC2090" s="1936"/>
      <c r="AD2090" s="230"/>
      <c r="AE2090" s="230"/>
      <c r="AF2090" s="230"/>
      <c r="AG2090" s="890"/>
      <c r="AJ2090" s="890"/>
      <c r="AN2090" s="223"/>
      <c r="AO2090" s="952"/>
      <c r="AP2090" s="1066"/>
      <c r="AQ2090" s="972"/>
      <c r="AR2090" s="1917"/>
      <c r="AS2090" s="222"/>
      <c r="AZ2090" s="889"/>
      <c r="BC2090" s="890"/>
      <c r="BD2090" s="952"/>
      <c r="BE2090" s="75"/>
      <c r="BF2090" s="572"/>
      <c r="BG2090" s="983"/>
      <c r="BH2090" s="222"/>
      <c r="BL2090" s="889"/>
      <c r="BO2090" s="223"/>
    </row>
    <row r="2091" spans="1:67" s="74" customFormat="1">
      <c r="A2091" s="15"/>
      <c r="B2091" s="15"/>
      <c r="C2091" s="15"/>
      <c r="D2091" s="15"/>
      <c r="E2091" s="6"/>
      <c r="F2091" s="6"/>
      <c r="G2091" s="6"/>
      <c r="K2091" s="223"/>
      <c r="M2091" s="889"/>
      <c r="P2091" s="890"/>
      <c r="T2091" s="889"/>
      <c r="X2091" s="15"/>
      <c r="Y2091" s="1935"/>
      <c r="Z2091" s="1086"/>
      <c r="AA2091" s="230"/>
      <c r="AB2091" s="230"/>
      <c r="AC2091" s="1936"/>
      <c r="AD2091" s="230"/>
      <c r="AE2091" s="230"/>
      <c r="AF2091" s="230"/>
      <c r="AG2091" s="890"/>
      <c r="AJ2091" s="890"/>
      <c r="AN2091" s="223"/>
      <c r="AO2091" s="952"/>
      <c r="AP2091" s="1066"/>
      <c r="AQ2091" s="972"/>
      <c r="AR2091" s="1917"/>
      <c r="AS2091" s="222"/>
      <c r="AZ2091" s="889"/>
      <c r="BC2091" s="890"/>
      <c r="BD2091" s="952"/>
      <c r="BE2091" s="75"/>
      <c r="BF2091" s="572"/>
      <c r="BG2091" s="983"/>
      <c r="BH2091" s="222"/>
      <c r="BL2091" s="889"/>
      <c r="BO2091" s="223"/>
    </row>
    <row r="2092" spans="1:67" s="74" customFormat="1">
      <c r="A2092" s="15"/>
      <c r="B2092" s="15"/>
      <c r="C2092" s="15"/>
      <c r="D2092" s="15"/>
      <c r="E2092" s="6"/>
      <c r="F2092" s="6"/>
      <c r="G2092" s="6"/>
      <c r="K2092" s="223"/>
      <c r="M2092" s="889"/>
      <c r="P2092" s="890"/>
      <c r="T2092" s="889"/>
      <c r="X2092" s="15"/>
      <c r="Y2092" s="1935"/>
      <c r="Z2092" s="1086"/>
      <c r="AA2092" s="230"/>
      <c r="AB2092" s="230"/>
      <c r="AC2092" s="1936"/>
      <c r="AD2092" s="230"/>
      <c r="AE2092" s="230"/>
      <c r="AF2092" s="230"/>
      <c r="AG2092" s="890"/>
      <c r="AJ2092" s="890"/>
      <c r="AN2092" s="223"/>
      <c r="AO2092" s="952"/>
      <c r="AP2092" s="1066"/>
      <c r="AQ2092" s="972"/>
      <c r="AR2092" s="1917"/>
      <c r="AS2092" s="222"/>
      <c r="AZ2092" s="889"/>
      <c r="BC2092" s="890"/>
      <c r="BD2092" s="952"/>
      <c r="BE2092" s="75"/>
      <c r="BF2092" s="572"/>
      <c r="BG2092" s="983"/>
      <c r="BH2092" s="222"/>
      <c r="BL2092" s="889"/>
      <c r="BO2092" s="223"/>
    </row>
    <row r="2093" spans="1:67" s="74" customFormat="1">
      <c r="A2093" s="15"/>
      <c r="B2093" s="15"/>
      <c r="C2093" s="15"/>
      <c r="D2093" s="15"/>
      <c r="E2093" s="6"/>
      <c r="F2093" s="6"/>
      <c r="G2093" s="6"/>
      <c r="K2093" s="223"/>
      <c r="M2093" s="889"/>
      <c r="P2093" s="890"/>
      <c r="T2093" s="889"/>
      <c r="X2093" s="15"/>
      <c r="Y2093" s="1935"/>
      <c r="Z2093" s="1086"/>
      <c r="AA2093" s="230"/>
      <c r="AB2093" s="230"/>
      <c r="AC2093" s="1936"/>
      <c r="AD2093" s="230"/>
      <c r="AE2093" s="230"/>
      <c r="AF2093" s="230"/>
      <c r="AG2093" s="890"/>
      <c r="AJ2093" s="890"/>
      <c r="AN2093" s="223"/>
      <c r="AO2093" s="952"/>
      <c r="AP2093" s="1066"/>
      <c r="AQ2093" s="972"/>
      <c r="AR2093" s="1917"/>
      <c r="AS2093" s="222"/>
      <c r="AZ2093" s="889"/>
      <c r="BC2093" s="890"/>
      <c r="BD2093" s="952"/>
      <c r="BE2093" s="75"/>
      <c r="BF2093" s="572"/>
      <c r="BG2093" s="983"/>
      <c r="BH2093" s="222"/>
      <c r="BL2093" s="889"/>
      <c r="BO2093" s="223"/>
    </row>
    <row r="2094" spans="1:67" s="74" customFormat="1">
      <c r="A2094" s="15"/>
      <c r="B2094" s="15"/>
      <c r="C2094" s="15"/>
      <c r="D2094" s="15"/>
      <c r="E2094" s="6"/>
      <c r="F2094" s="6"/>
      <c r="G2094" s="6"/>
      <c r="K2094" s="223"/>
      <c r="M2094" s="889"/>
      <c r="P2094" s="890"/>
      <c r="T2094" s="889"/>
      <c r="X2094" s="15"/>
      <c r="Y2094" s="1935"/>
      <c r="Z2094" s="1086"/>
      <c r="AA2094" s="230"/>
      <c r="AB2094" s="230"/>
      <c r="AC2094" s="1936"/>
      <c r="AD2094" s="230"/>
      <c r="AE2094" s="230"/>
      <c r="AF2094" s="230"/>
      <c r="AG2094" s="890"/>
      <c r="AJ2094" s="890"/>
      <c r="AN2094" s="223"/>
      <c r="AO2094" s="952"/>
      <c r="AP2094" s="1066"/>
      <c r="AQ2094" s="972"/>
      <c r="AR2094" s="1917"/>
      <c r="AS2094" s="222"/>
      <c r="AZ2094" s="889"/>
      <c r="BC2094" s="890"/>
      <c r="BD2094" s="952"/>
      <c r="BE2094" s="75"/>
      <c r="BF2094" s="572"/>
      <c r="BG2094" s="983"/>
      <c r="BH2094" s="222"/>
      <c r="BL2094" s="889"/>
      <c r="BO2094" s="223"/>
    </row>
    <row r="2095" spans="1:67" s="74" customFormat="1">
      <c r="A2095" s="15"/>
      <c r="B2095" s="15"/>
      <c r="C2095" s="15"/>
      <c r="D2095" s="15"/>
      <c r="E2095" s="6"/>
      <c r="F2095" s="6"/>
      <c r="G2095" s="6"/>
      <c r="K2095" s="223"/>
      <c r="M2095" s="889"/>
      <c r="P2095" s="890"/>
      <c r="T2095" s="889"/>
      <c r="X2095" s="15"/>
      <c r="Y2095" s="1935"/>
      <c r="Z2095" s="1086"/>
      <c r="AA2095" s="230"/>
      <c r="AB2095" s="230"/>
      <c r="AC2095" s="1936"/>
      <c r="AD2095" s="230"/>
      <c r="AE2095" s="230"/>
      <c r="AF2095" s="230"/>
      <c r="AG2095" s="890"/>
      <c r="AJ2095" s="890"/>
      <c r="AN2095" s="223"/>
      <c r="AO2095" s="952"/>
      <c r="AP2095" s="1066"/>
      <c r="AQ2095" s="972"/>
      <c r="AR2095" s="1917"/>
      <c r="AS2095" s="222"/>
      <c r="AZ2095" s="889"/>
      <c r="BC2095" s="890"/>
      <c r="BD2095" s="952"/>
      <c r="BE2095" s="75"/>
      <c r="BF2095" s="572"/>
      <c r="BG2095" s="983"/>
      <c r="BH2095" s="222"/>
      <c r="BL2095" s="889"/>
      <c r="BO2095" s="223"/>
    </row>
    <row r="2096" spans="1:67" s="74" customFormat="1">
      <c r="A2096" s="15"/>
      <c r="B2096" s="15"/>
      <c r="C2096" s="15"/>
      <c r="D2096" s="15"/>
      <c r="E2096" s="6"/>
      <c r="F2096" s="6"/>
      <c r="G2096" s="6"/>
      <c r="K2096" s="223"/>
      <c r="M2096" s="889"/>
      <c r="P2096" s="890"/>
      <c r="T2096" s="889"/>
      <c r="X2096" s="15"/>
      <c r="Y2096" s="1935"/>
      <c r="Z2096" s="1086"/>
      <c r="AA2096" s="230"/>
      <c r="AB2096" s="230"/>
      <c r="AC2096" s="1936"/>
      <c r="AD2096" s="230"/>
      <c r="AE2096" s="230"/>
      <c r="AF2096" s="230"/>
      <c r="AG2096" s="890"/>
      <c r="AJ2096" s="890"/>
      <c r="AN2096" s="223"/>
      <c r="AO2096" s="952"/>
      <c r="AP2096" s="1066"/>
      <c r="AQ2096" s="972"/>
      <c r="AR2096" s="1917"/>
      <c r="AS2096" s="222"/>
      <c r="AZ2096" s="889"/>
      <c r="BC2096" s="890"/>
      <c r="BD2096" s="952"/>
      <c r="BE2096" s="75"/>
      <c r="BF2096" s="572"/>
      <c r="BG2096" s="983"/>
      <c r="BH2096" s="222"/>
      <c r="BL2096" s="889"/>
      <c r="BO2096" s="223"/>
    </row>
    <row r="2097" spans="1:67" s="74" customFormat="1">
      <c r="A2097" s="15"/>
      <c r="B2097" s="15"/>
      <c r="C2097" s="15"/>
      <c r="D2097" s="15"/>
      <c r="E2097" s="6"/>
      <c r="F2097" s="6"/>
      <c r="G2097" s="6"/>
      <c r="K2097" s="223"/>
      <c r="M2097" s="889"/>
      <c r="P2097" s="890"/>
      <c r="T2097" s="889"/>
      <c r="X2097" s="15"/>
      <c r="Y2097" s="1935"/>
      <c r="Z2097" s="1086"/>
      <c r="AA2097" s="230"/>
      <c r="AB2097" s="230"/>
      <c r="AC2097" s="1936"/>
      <c r="AD2097" s="230"/>
      <c r="AE2097" s="230"/>
      <c r="AF2097" s="230"/>
      <c r="AG2097" s="890"/>
      <c r="AJ2097" s="890"/>
      <c r="AN2097" s="223"/>
      <c r="AO2097" s="952"/>
      <c r="AP2097" s="1066"/>
      <c r="AQ2097" s="972"/>
      <c r="AR2097" s="1917"/>
      <c r="AS2097" s="222"/>
      <c r="AZ2097" s="889"/>
      <c r="BC2097" s="890"/>
      <c r="BD2097" s="952"/>
      <c r="BE2097" s="75"/>
      <c r="BF2097" s="572"/>
      <c r="BG2097" s="983"/>
      <c r="BH2097" s="222"/>
      <c r="BL2097" s="889"/>
      <c r="BO2097" s="223"/>
    </row>
    <row r="2098" spans="1:67" s="74" customFormat="1">
      <c r="A2098" s="15"/>
      <c r="B2098" s="15"/>
      <c r="C2098" s="15"/>
      <c r="D2098" s="15"/>
      <c r="E2098" s="6"/>
      <c r="F2098" s="6"/>
      <c r="G2098" s="6"/>
      <c r="K2098" s="223"/>
      <c r="M2098" s="889"/>
      <c r="P2098" s="890"/>
      <c r="T2098" s="889"/>
      <c r="X2098" s="15"/>
      <c r="Y2098" s="1935"/>
      <c r="Z2098" s="1086"/>
      <c r="AA2098" s="230"/>
      <c r="AB2098" s="230"/>
      <c r="AC2098" s="1936"/>
      <c r="AD2098" s="230"/>
      <c r="AE2098" s="230"/>
      <c r="AF2098" s="230"/>
      <c r="AG2098" s="890"/>
      <c r="AJ2098" s="890"/>
      <c r="AN2098" s="223"/>
      <c r="AO2098" s="952"/>
      <c r="AP2098" s="1066"/>
      <c r="AQ2098" s="972"/>
      <c r="AR2098" s="1917"/>
      <c r="AS2098" s="222"/>
      <c r="AZ2098" s="889"/>
      <c r="BC2098" s="890"/>
      <c r="BD2098" s="952"/>
      <c r="BE2098" s="75"/>
      <c r="BF2098" s="572"/>
      <c r="BG2098" s="983"/>
      <c r="BH2098" s="222"/>
      <c r="BL2098" s="889"/>
      <c r="BO2098" s="223"/>
    </row>
    <row r="2099" spans="1:67" s="74" customFormat="1">
      <c r="A2099" s="15"/>
      <c r="B2099" s="15"/>
      <c r="C2099" s="15"/>
      <c r="D2099" s="15"/>
      <c r="E2099" s="6"/>
      <c r="F2099" s="6"/>
      <c r="G2099" s="6"/>
      <c r="K2099" s="223"/>
      <c r="M2099" s="889"/>
      <c r="P2099" s="890"/>
      <c r="T2099" s="889"/>
      <c r="X2099" s="15"/>
      <c r="Y2099" s="1935"/>
      <c r="Z2099" s="1086"/>
      <c r="AA2099" s="230"/>
      <c r="AB2099" s="230"/>
      <c r="AC2099" s="1936"/>
      <c r="AD2099" s="230"/>
      <c r="AE2099" s="230"/>
      <c r="AF2099" s="230"/>
      <c r="AG2099" s="890"/>
      <c r="AJ2099" s="890"/>
      <c r="AN2099" s="223"/>
      <c r="AO2099" s="952"/>
      <c r="AP2099" s="1066"/>
      <c r="AQ2099" s="972"/>
      <c r="AR2099" s="1917"/>
      <c r="AS2099" s="222"/>
      <c r="AZ2099" s="889"/>
      <c r="BC2099" s="890"/>
      <c r="BD2099" s="952"/>
      <c r="BE2099" s="75"/>
      <c r="BF2099" s="572"/>
      <c r="BG2099" s="983"/>
      <c r="BH2099" s="222"/>
      <c r="BL2099" s="889"/>
      <c r="BO2099" s="223"/>
    </row>
    <row r="2100" spans="1:67" s="74" customFormat="1">
      <c r="A2100" s="15"/>
      <c r="B2100" s="15"/>
      <c r="C2100" s="15"/>
      <c r="D2100" s="15"/>
      <c r="E2100" s="6"/>
      <c r="F2100" s="6"/>
      <c r="G2100" s="6"/>
      <c r="K2100" s="223"/>
      <c r="M2100" s="889"/>
      <c r="P2100" s="890"/>
      <c r="T2100" s="889"/>
      <c r="X2100" s="15"/>
      <c r="Y2100" s="1935"/>
      <c r="Z2100" s="1086"/>
      <c r="AA2100" s="230"/>
      <c r="AB2100" s="230"/>
      <c r="AC2100" s="1936"/>
      <c r="AD2100" s="230"/>
      <c r="AE2100" s="230"/>
      <c r="AF2100" s="230"/>
      <c r="AG2100" s="890"/>
      <c r="AJ2100" s="890"/>
      <c r="AN2100" s="223"/>
      <c r="AO2100" s="952"/>
      <c r="AP2100" s="1066"/>
      <c r="AQ2100" s="972"/>
      <c r="AR2100" s="1917"/>
      <c r="AS2100" s="222"/>
      <c r="AZ2100" s="889"/>
      <c r="BC2100" s="890"/>
      <c r="BD2100" s="952"/>
      <c r="BE2100" s="75"/>
      <c r="BF2100" s="572"/>
      <c r="BG2100" s="983"/>
      <c r="BH2100" s="222"/>
      <c r="BL2100" s="889"/>
      <c r="BO2100" s="223"/>
    </row>
    <row r="2101" spans="1:67" s="74" customFormat="1">
      <c r="A2101" s="15"/>
      <c r="B2101" s="15"/>
      <c r="C2101" s="15"/>
      <c r="D2101" s="15"/>
      <c r="E2101" s="6"/>
      <c r="F2101" s="6"/>
      <c r="G2101" s="6"/>
      <c r="K2101" s="223"/>
      <c r="M2101" s="889"/>
      <c r="P2101" s="890"/>
      <c r="T2101" s="889"/>
      <c r="X2101" s="15"/>
      <c r="Y2101" s="1935"/>
      <c r="Z2101" s="1086"/>
      <c r="AA2101" s="230"/>
      <c r="AB2101" s="230"/>
      <c r="AC2101" s="1936"/>
      <c r="AD2101" s="230"/>
      <c r="AE2101" s="230"/>
      <c r="AF2101" s="230"/>
      <c r="AG2101" s="890"/>
      <c r="AJ2101" s="890"/>
      <c r="AN2101" s="223"/>
      <c r="AO2101" s="952"/>
      <c r="AP2101" s="1066"/>
      <c r="AQ2101" s="972"/>
      <c r="AR2101" s="1917"/>
      <c r="AS2101" s="222"/>
      <c r="AZ2101" s="889"/>
      <c r="BC2101" s="890"/>
      <c r="BD2101" s="952"/>
      <c r="BE2101" s="75"/>
      <c r="BF2101" s="572"/>
      <c r="BG2101" s="983"/>
      <c r="BH2101" s="222"/>
      <c r="BL2101" s="889"/>
      <c r="BO2101" s="223"/>
    </row>
    <row r="2102" spans="1:67" s="74" customFormat="1">
      <c r="A2102" s="15"/>
      <c r="B2102" s="15"/>
      <c r="C2102" s="15"/>
      <c r="D2102" s="15"/>
      <c r="E2102" s="6"/>
      <c r="F2102" s="6"/>
      <c r="G2102" s="6"/>
      <c r="K2102" s="223"/>
      <c r="M2102" s="889"/>
      <c r="P2102" s="890"/>
      <c r="T2102" s="889"/>
      <c r="X2102" s="15"/>
      <c r="Y2102" s="1935"/>
      <c r="Z2102" s="1086"/>
      <c r="AA2102" s="230"/>
      <c r="AB2102" s="230"/>
      <c r="AC2102" s="1936"/>
      <c r="AD2102" s="230"/>
      <c r="AE2102" s="230"/>
      <c r="AF2102" s="230"/>
      <c r="AG2102" s="890"/>
      <c r="AJ2102" s="890"/>
      <c r="AN2102" s="223"/>
      <c r="AO2102" s="952"/>
      <c r="AP2102" s="1066"/>
      <c r="AQ2102" s="972"/>
      <c r="AR2102" s="1917"/>
      <c r="AS2102" s="222"/>
      <c r="AZ2102" s="889"/>
      <c r="BC2102" s="890"/>
      <c r="BD2102" s="952"/>
      <c r="BE2102" s="75"/>
      <c r="BF2102" s="572"/>
      <c r="BG2102" s="983"/>
      <c r="BH2102" s="222"/>
      <c r="BL2102" s="889"/>
      <c r="BO2102" s="223"/>
    </row>
    <row r="2103" spans="1:67" s="74" customFormat="1">
      <c r="A2103" s="15"/>
      <c r="B2103" s="15"/>
      <c r="C2103" s="15"/>
      <c r="D2103" s="15"/>
      <c r="E2103" s="6"/>
      <c r="F2103" s="6"/>
      <c r="G2103" s="6"/>
      <c r="K2103" s="223"/>
      <c r="M2103" s="889"/>
      <c r="P2103" s="890"/>
      <c r="T2103" s="889"/>
      <c r="X2103" s="15"/>
      <c r="Y2103" s="1935"/>
      <c r="Z2103" s="1086"/>
      <c r="AA2103" s="230"/>
      <c r="AB2103" s="230"/>
      <c r="AC2103" s="1936"/>
      <c r="AD2103" s="230"/>
      <c r="AE2103" s="230"/>
      <c r="AF2103" s="230"/>
      <c r="AG2103" s="890"/>
      <c r="AJ2103" s="890"/>
      <c r="AN2103" s="223"/>
      <c r="AO2103" s="952"/>
      <c r="AP2103" s="1066"/>
      <c r="AQ2103" s="972"/>
      <c r="AR2103" s="1917"/>
      <c r="AS2103" s="222"/>
      <c r="AZ2103" s="889"/>
      <c r="BC2103" s="890"/>
      <c r="BD2103" s="952"/>
      <c r="BE2103" s="75"/>
      <c r="BF2103" s="572"/>
      <c r="BG2103" s="983"/>
      <c r="BH2103" s="222"/>
      <c r="BL2103" s="889"/>
      <c r="BO2103" s="223"/>
    </row>
    <row r="2104" spans="1:67" s="74" customFormat="1">
      <c r="A2104" s="15"/>
      <c r="B2104" s="15"/>
      <c r="C2104" s="15"/>
      <c r="D2104" s="15"/>
      <c r="E2104" s="6"/>
      <c r="F2104" s="6"/>
      <c r="G2104" s="6"/>
      <c r="K2104" s="223"/>
      <c r="M2104" s="889"/>
      <c r="P2104" s="890"/>
      <c r="T2104" s="889"/>
      <c r="X2104" s="15"/>
      <c r="Y2104" s="1935"/>
      <c r="Z2104" s="1086"/>
      <c r="AA2104" s="230"/>
      <c r="AB2104" s="230"/>
      <c r="AC2104" s="1936"/>
      <c r="AD2104" s="230"/>
      <c r="AE2104" s="230"/>
      <c r="AF2104" s="230"/>
      <c r="AG2104" s="890"/>
      <c r="AJ2104" s="890"/>
      <c r="AN2104" s="223"/>
      <c r="AO2104" s="952"/>
      <c r="AP2104" s="1066"/>
      <c r="AQ2104" s="972"/>
      <c r="AR2104" s="1917"/>
      <c r="AS2104" s="222"/>
      <c r="AZ2104" s="889"/>
      <c r="BC2104" s="890"/>
      <c r="BD2104" s="952"/>
      <c r="BE2104" s="75"/>
      <c r="BF2104" s="572"/>
      <c r="BG2104" s="983"/>
      <c r="BH2104" s="222"/>
      <c r="BL2104" s="889"/>
      <c r="BO2104" s="223"/>
    </row>
    <row r="2105" spans="1:67" s="74" customFormat="1">
      <c r="A2105" s="15"/>
      <c r="B2105" s="15"/>
      <c r="C2105" s="15"/>
      <c r="D2105" s="15"/>
      <c r="E2105" s="6"/>
      <c r="F2105" s="6"/>
      <c r="G2105" s="6"/>
      <c r="K2105" s="223"/>
      <c r="M2105" s="889"/>
      <c r="P2105" s="890"/>
      <c r="T2105" s="889"/>
      <c r="X2105" s="15"/>
      <c r="Y2105" s="1935"/>
      <c r="Z2105" s="1086"/>
      <c r="AA2105" s="230"/>
      <c r="AB2105" s="230"/>
      <c r="AC2105" s="1936"/>
      <c r="AD2105" s="230"/>
      <c r="AE2105" s="230"/>
      <c r="AF2105" s="230"/>
      <c r="AG2105" s="890"/>
      <c r="AJ2105" s="890"/>
      <c r="AN2105" s="223"/>
      <c r="AO2105" s="952"/>
      <c r="AP2105" s="1066"/>
      <c r="AQ2105" s="972"/>
      <c r="AR2105" s="1917"/>
      <c r="AS2105" s="222"/>
      <c r="AZ2105" s="889"/>
      <c r="BC2105" s="890"/>
      <c r="BD2105" s="952"/>
      <c r="BE2105" s="75"/>
      <c r="BF2105" s="572"/>
      <c r="BG2105" s="983"/>
      <c r="BH2105" s="222"/>
      <c r="BL2105" s="889"/>
      <c r="BO2105" s="223"/>
    </row>
    <row r="2106" spans="1:67" s="74" customFormat="1">
      <c r="A2106" s="15"/>
      <c r="B2106" s="15"/>
      <c r="C2106" s="15"/>
      <c r="D2106" s="15"/>
      <c r="E2106" s="6"/>
      <c r="F2106" s="6"/>
      <c r="G2106" s="6"/>
      <c r="K2106" s="223"/>
      <c r="M2106" s="889"/>
      <c r="P2106" s="890"/>
      <c r="T2106" s="889"/>
      <c r="X2106" s="15"/>
      <c r="Y2106" s="1935"/>
      <c r="Z2106" s="1086"/>
      <c r="AA2106" s="230"/>
      <c r="AB2106" s="230"/>
      <c r="AC2106" s="1936"/>
      <c r="AD2106" s="230"/>
      <c r="AE2106" s="230"/>
      <c r="AF2106" s="230"/>
      <c r="AG2106" s="890"/>
      <c r="AJ2106" s="890"/>
      <c r="AN2106" s="223"/>
      <c r="AO2106" s="952"/>
      <c r="AP2106" s="1066"/>
      <c r="AQ2106" s="972"/>
      <c r="AR2106" s="1917"/>
      <c r="AS2106" s="222"/>
      <c r="AZ2106" s="889"/>
      <c r="BC2106" s="890"/>
      <c r="BD2106" s="952"/>
      <c r="BE2106" s="75"/>
      <c r="BF2106" s="572"/>
      <c r="BG2106" s="983"/>
      <c r="BH2106" s="222"/>
      <c r="BL2106" s="889"/>
      <c r="BO2106" s="223"/>
    </row>
    <row r="2107" spans="1:67" s="74" customFormat="1">
      <c r="A2107" s="15"/>
      <c r="B2107" s="15"/>
      <c r="C2107" s="15"/>
      <c r="D2107" s="15"/>
      <c r="E2107" s="6"/>
      <c r="F2107" s="6"/>
      <c r="G2107" s="6"/>
      <c r="K2107" s="223"/>
      <c r="M2107" s="889"/>
      <c r="P2107" s="890"/>
      <c r="T2107" s="889"/>
      <c r="X2107" s="15"/>
      <c r="Y2107" s="1935"/>
      <c r="Z2107" s="1086"/>
      <c r="AA2107" s="230"/>
      <c r="AB2107" s="230"/>
      <c r="AC2107" s="1936"/>
      <c r="AD2107" s="230"/>
      <c r="AE2107" s="230"/>
      <c r="AF2107" s="230"/>
      <c r="AG2107" s="890"/>
      <c r="AJ2107" s="890"/>
      <c r="AN2107" s="223"/>
      <c r="AO2107" s="952"/>
      <c r="AP2107" s="1066"/>
      <c r="AQ2107" s="972"/>
      <c r="AR2107" s="1917"/>
      <c r="AS2107" s="222"/>
      <c r="AZ2107" s="889"/>
      <c r="BC2107" s="890"/>
      <c r="BD2107" s="952"/>
      <c r="BE2107" s="75"/>
      <c r="BF2107" s="572"/>
      <c r="BG2107" s="983"/>
      <c r="BH2107" s="222"/>
      <c r="BL2107" s="889"/>
      <c r="BO2107" s="223"/>
    </row>
    <row r="2108" spans="1:67" s="74" customFormat="1">
      <c r="A2108" s="15"/>
      <c r="B2108" s="15"/>
      <c r="C2108" s="15"/>
      <c r="D2108" s="15"/>
      <c r="E2108" s="6"/>
      <c r="F2108" s="6"/>
      <c r="G2108" s="6"/>
      <c r="K2108" s="223"/>
      <c r="M2108" s="889"/>
      <c r="P2108" s="890"/>
      <c r="T2108" s="889"/>
      <c r="X2108" s="15"/>
      <c r="Y2108" s="1935"/>
      <c r="Z2108" s="1086"/>
      <c r="AA2108" s="230"/>
      <c r="AB2108" s="230"/>
      <c r="AC2108" s="1936"/>
      <c r="AD2108" s="230"/>
      <c r="AE2108" s="230"/>
      <c r="AF2108" s="230"/>
      <c r="AG2108" s="890"/>
      <c r="AJ2108" s="890"/>
      <c r="AN2108" s="223"/>
      <c r="AO2108" s="952"/>
      <c r="AP2108" s="1066"/>
      <c r="AQ2108" s="972"/>
      <c r="AR2108" s="1917"/>
      <c r="AS2108" s="222"/>
      <c r="AZ2108" s="889"/>
      <c r="BC2108" s="890"/>
      <c r="BD2108" s="952"/>
      <c r="BE2108" s="75"/>
      <c r="BF2108" s="572"/>
      <c r="BG2108" s="983"/>
      <c r="BH2108" s="222"/>
      <c r="BL2108" s="889"/>
      <c r="BO2108" s="223"/>
    </row>
    <row r="2109" spans="1:67" s="74" customFormat="1">
      <c r="A2109" s="15"/>
      <c r="B2109" s="15"/>
      <c r="C2109" s="15"/>
      <c r="D2109" s="15"/>
      <c r="E2109" s="6"/>
      <c r="F2109" s="6"/>
      <c r="G2109" s="6"/>
      <c r="K2109" s="223"/>
      <c r="M2109" s="889"/>
      <c r="P2109" s="890"/>
      <c r="T2109" s="889"/>
      <c r="X2109" s="15"/>
      <c r="Y2109" s="1935"/>
      <c r="Z2109" s="1086"/>
      <c r="AA2109" s="230"/>
      <c r="AB2109" s="230"/>
      <c r="AC2109" s="1936"/>
      <c r="AD2109" s="230"/>
      <c r="AE2109" s="230"/>
      <c r="AF2109" s="230"/>
      <c r="AG2109" s="890"/>
      <c r="AJ2109" s="890"/>
      <c r="AN2109" s="223"/>
      <c r="AO2109" s="952"/>
      <c r="AP2109" s="1066"/>
      <c r="AQ2109" s="972"/>
      <c r="AR2109" s="1917"/>
      <c r="AS2109" s="222"/>
      <c r="AZ2109" s="889"/>
      <c r="BC2109" s="890"/>
      <c r="BD2109" s="952"/>
      <c r="BE2109" s="75"/>
      <c r="BF2109" s="572"/>
      <c r="BG2109" s="983"/>
      <c r="BH2109" s="222"/>
      <c r="BL2109" s="889"/>
      <c r="BO2109" s="223"/>
    </row>
    <row r="2110" spans="1:67" s="74" customFormat="1">
      <c r="A2110" s="15"/>
      <c r="B2110" s="15"/>
      <c r="C2110" s="15"/>
      <c r="D2110" s="15"/>
      <c r="E2110" s="6"/>
      <c r="F2110" s="6"/>
      <c r="G2110" s="6"/>
      <c r="K2110" s="223"/>
      <c r="M2110" s="889"/>
      <c r="P2110" s="890"/>
      <c r="T2110" s="889"/>
      <c r="X2110" s="15"/>
      <c r="Y2110" s="1935"/>
      <c r="Z2110" s="1086"/>
      <c r="AA2110" s="230"/>
      <c r="AB2110" s="230"/>
      <c r="AC2110" s="1936"/>
      <c r="AD2110" s="230"/>
      <c r="AE2110" s="230"/>
      <c r="AF2110" s="230"/>
      <c r="AG2110" s="890"/>
      <c r="AJ2110" s="890"/>
      <c r="AN2110" s="223"/>
      <c r="AO2110" s="952"/>
      <c r="AP2110" s="1066"/>
      <c r="AQ2110" s="972"/>
      <c r="AR2110" s="1917"/>
      <c r="AS2110" s="222"/>
      <c r="AZ2110" s="889"/>
      <c r="BC2110" s="890"/>
      <c r="BD2110" s="952"/>
      <c r="BE2110" s="75"/>
      <c r="BF2110" s="572"/>
      <c r="BG2110" s="983"/>
      <c r="BH2110" s="222"/>
      <c r="BL2110" s="889"/>
      <c r="BO2110" s="223"/>
    </row>
    <row r="2111" spans="1:67" s="74" customFormat="1">
      <c r="A2111" s="15"/>
      <c r="B2111" s="15"/>
      <c r="C2111" s="15"/>
      <c r="D2111" s="15"/>
      <c r="E2111" s="6"/>
      <c r="F2111" s="6"/>
      <c r="G2111" s="6"/>
      <c r="K2111" s="223"/>
      <c r="M2111" s="889"/>
      <c r="P2111" s="890"/>
      <c r="T2111" s="889"/>
      <c r="X2111" s="15"/>
      <c r="Y2111" s="1935"/>
      <c r="Z2111" s="1086"/>
      <c r="AA2111" s="230"/>
      <c r="AB2111" s="230"/>
      <c r="AC2111" s="1936"/>
      <c r="AD2111" s="230"/>
      <c r="AE2111" s="230"/>
      <c r="AF2111" s="230"/>
      <c r="AG2111" s="890"/>
      <c r="AJ2111" s="890"/>
      <c r="AN2111" s="223"/>
      <c r="AO2111" s="952"/>
      <c r="AP2111" s="1066"/>
      <c r="AQ2111" s="972"/>
      <c r="AR2111" s="1917"/>
      <c r="AS2111" s="222"/>
      <c r="AZ2111" s="889"/>
      <c r="BC2111" s="890"/>
      <c r="BD2111" s="952"/>
      <c r="BE2111" s="75"/>
      <c r="BF2111" s="572"/>
      <c r="BG2111" s="983"/>
      <c r="BH2111" s="222"/>
      <c r="BL2111" s="889"/>
      <c r="BO2111" s="223"/>
    </row>
    <row r="2112" spans="1:67" s="74" customFormat="1">
      <c r="A2112" s="15"/>
      <c r="B2112" s="15"/>
      <c r="C2112" s="15"/>
      <c r="D2112" s="15"/>
      <c r="E2112" s="6"/>
      <c r="F2112" s="6"/>
      <c r="G2112" s="6"/>
      <c r="K2112" s="223"/>
      <c r="M2112" s="889"/>
      <c r="P2112" s="890"/>
      <c r="T2112" s="889"/>
      <c r="X2112" s="15"/>
      <c r="Y2112" s="1935"/>
      <c r="Z2112" s="1086"/>
      <c r="AA2112" s="230"/>
      <c r="AB2112" s="230"/>
      <c r="AC2112" s="1936"/>
      <c r="AD2112" s="230"/>
      <c r="AE2112" s="230"/>
      <c r="AF2112" s="230"/>
      <c r="AG2112" s="890"/>
      <c r="AJ2112" s="890"/>
      <c r="AN2112" s="223"/>
      <c r="AO2112" s="952"/>
      <c r="AP2112" s="1066"/>
      <c r="AQ2112" s="972"/>
      <c r="AR2112" s="1917"/>
      <c r="AS2112" s="222"/>
      <c r="AZ2112" s="889"/>
      <c r="BC2112" s="890"/>
      <c r="BD2112" s="952"/>
      <c r="BE2112" s="75"/>
      <c r="BF2112" s="572"/>
      <c r="BG2112" s="983"/>
      <c r="BH2112" s="222"/>
      <c r="BL2112" s="889"/>
      <c r="BO2112" s="223"/>
    </row>
    <row r="2113" spans="1:67" s="74" customFormat="1">
      <c r="A2113" s="15"/>
      <c r="B2113" s="15"/>
      <c r="C2113" s="15"/>
      <c r="D2113" s="15"/>
      <c r="E2113" s="6"/>
      <c r="F2113" s="6"/>
      <c r="G2113" s="6"/>
      <c r="K2113" s="223"/>
      <c r="M2113" s="889"/>
      <c r="P2113" s="890"/>
      <c r="T2113" s="889"/>
      <c r="X2113" s="15"/>
      <c r="Y2113" s="1935"/>
      <c r="Z2113" s="1086"/>
      <c r="AA2113" s="230"/>
      <c r="AB2113" s="230"/>
      <c r="AC2113" s="1936"/>
      <c r="AD2113" s="230"/>
      <c r="AE2113" s="230"/>
      <c r="AF2113" s="230"/>
      <c r="AG2113" s="890"/>
      <c r="AJ2113" s="890"/>
      <c r="AN2113" s="223"/>
      <c r="AO2113" s="952"/>
      <c r="AP2113" s="1066"/>
      <c r="AQ2113" s="972"/>
      <c r="AR2113" s="1917"/>
      <c r="AS2113" s="222"/>
      <c r="AZ2113" s="889"/>
      <c r="BC2113" s="890"/>
      <c r="BD2113" s="952"/>
      <c r="BE2113" s="75"/>
      <c r="BF2113" s="572"/>
      <c r="BG2113" s="983"/>
      <c r="BH2113" s="222"/>
      <c r="BL2113" s="889"/>
      <c r="BO2113" s="223"/>
    </row>
    <row r="2114" spans="1:67" s="74" customFormat="1">
      <c r="A2114" s="15"/>
      <c r="B2114" s="15"/>
      <c r="C2114" s="15"/>
      <c r="D2114" s="15"/>
      <c r="E2114" s="6"/>
      <c r="F2114" s="6"/>
      <c r="G2114" s="6"/>
      <c r="K2114" s="223"/>
      <c r="M2114" s="889"/>
      <c r="P2114" s="890"/>
      <c r="T2114" s="889"/>
      <c r="X2114" s="15"/>
      <c r="Y2114" s="1935"/>
      <c r="Z2114" s="1086"/>
      <c r="AA2114" s="230"/>
      <c r="AB2114" s="230"/>
      <c r="AC2114" s="1936"/>
      <c r="AD2114" s="230"/>
      <c r="AE2114" s="230"/>
      <c r="AF2114" s="230"/>
      <c r="AG2114" s="890"/>
      <c r="AJ2114" s="890"/>
      <c r="AN2114" s="223"/>
      <c r="AO2114" s="952"/>
      <c r="AP2114" s="1066"/>
      <c r="AQ2114" s="972"/>
      <c r="AR2114" s="1917"/>
      <c r="AS2114" s="222"/>
      <c r="AZ2114" s="889"/>
      <c r="BC2114" s="890"/>
      <c r="BD2114" s="952"/>
      <c r="BE2114" s="75"/>
      <c r="BF2114" s="572"/>
      <c r="BG2114" s="983"/>
      <c r="BH2114" s="222"/>
      <c r="BL2114" s="889"/>
      <c r="BO2114" s="223"/>
    </row>
    <row r="2115" spans="1:67" s="74" customFormat="1">
      <c r="A2115" s="15"/>
      <c r="B2115" s="15"/>
      <c r="C2115" s="15"/>
      <c r="D2115" s="15"/>
      <c r="E2115" s="6"/>
      <c r="F2115" s="6"/>
      <c r="G2115" s="6"/>
      <c r="K2115" s="223"/>
      <c r="M2115" s="889"/>
      <c r="P2115" s="890"/>
      <c r="T2115" s="889"/>
      <c r="X2115" s="15"/>
      <c r="Y2115" s="1935"/>
      <c r="Z2115" s="1086"/>
      <c r="AA2115" s="230"/>
      <c r="AB2115" s="230"/>
      <c r="AC2115" s="1936"/>
      <c r="AD2115" s="230"/>
      <c r="AE2115" s="230"/>
      <c r="AF2115" s="230"/>
      <c r="AG2115" s="890"/>
      <c r="AJ2115" s="890"/>
      <c r="AN2115" s="223"/>
      <c r="AO2115" s="952"/>
      <c r="AP2115" s="1066"/>
      <c r="AQ2115" s="972"/>
      <c r="AR2115" s="1917"/>
      <c r="AS2115" s="222"/>
      <c r="AZ2115" s="889"/>
      <c r="BC2115" s="890"/>
      <c r="BD2115" s="952"/>
      <c r="BE2115" s="75"/>
      <c r="BF2115" s="572"/>
      <c r="BG2115" s="983"/>
      <c r="BH2115" s="222"/>
      <c r="BL2115" s="889"/>
      <c r="BO2115" s="223"/>
    </row>
    <row r="2116" spans="1:67" s="74" customFormat="1">
      <c r="A2116" s="15"/>
      <c r="B2116" s="15"/>
      <c r="C2116" s="15"/>
      <c r="D2116" s="15"/>
      <c r="E2116" s="6"/>
      <c r="F2116" s="6"/>
      <c r="G2116" s="6"/>
      <c r="K2116" s="223"/>
      <c r="M2116" s="889"/>
      <c r="P2116" s="890"/>
      <c r="T2116" s="889"/>
      <c r="X2116" s="15"/>
      <c r="Y2116" s="1935"/>
      <c r="Z2116" s="1086"/>
      <c r="AA2116" s="230"/>
      <c r="AB2116" s="230"/>
      <c r="AC2116" s="1936"/>
      <c r="AD2116" s="230"/>
      <c r="AE2116" s="230"/>
      <c r="AF2116" s="230"/>
      <c r="AG2116" s="890"/>
      <c r="AJ2116" s="890"/>
      <c r="AN2116" s="223"/>
      <c r="AO2116" s="952"/>
      <c r="AP2116" s="1066"/>
      <c r="AQ2116" s="972"/>
      <c r="AR2116" s="1917"/>
      <c r="AS2116" s="222"/>
      <c r="AZ2116" s="889"/>
      <c r="BC2116" s="890"/>
      <c r="BD2116" s="952"/>
      <c r="BE2116" s="75"/>
      <c r="BF2116" s="572"/>
      <c r="BG2116" s="983"/>
      <c r="BH2116" s="222"/>
      <c r="BL2116" s="889"/>
      <c r="BO2116" s="223"/>
    </row>
    <row r="2117" spans="1:67" s="74" customFormat="1">
      <c r="A2117" s="15"/>
      <c r="B2117" s="15"/>
      <c r="C2117" s="15"/>
      <c r="D2117" s="15"/>
      <c r="E2117" s="6"/>
      <c r="F2117" s="6"/>
      <c r="G2117" s="6"/>
      <c r="K2117" s="223"/>
      <c r="M2117" s="889"/>
      <c r="P2117" s="890"/>
      <c r="T2117" s="889"/>
      <c r="X2117" s="15"/>
      <c r="Y2117" s="1935"/>
      <c r="Z2117" s="1086"/>
      <c r="AA2117" s="230"/>
      <c r="AB2117" s="230"/>
      <c r="AC2117" s="1936"/>
      <c r="AD2117" s="230"/>
      <c r="AE2117" s="230"/>
      <c r="AF2117" s="230"/>
      <c r="AG2117" s="890"/>
      <c r="AJ2117" s="890"/>
      <c r="AN2117" s="223"/>
      <c r="AO2117" s="952"/>
      <c r="AP2117" s="1066"/>
      <c r="AQ2117" s="972"/>
      <c r="AR2117" s="1917"/>
      <c r="AS2117" s="222"/>
      <c r="AZ2117" s="889"/>
      <c r="BC2117" s="890"/>
      <c r="BD2117" s="952"/>
      <c r="BE2117" s="75"/>
      <c r="BF2117" s="572"/>
      <c r="BG2117" s="983"/>
      <c r="BH2117" s="222"/>
      <c r="BL2117" s="889"/>
      <c r="BO2117" s="223"/>
    </row>
    <row r="2118" spans="1:67" s="74" customFormat="1">
      <c r="A2118" s="15"/>
      <c r="B2118" s="15"/>
      <c r="C2118" s="15"/>
      <c r="D2118" s="15"/>
      <c r="E2118" s="6"/>
      <c r="F2118" s="6"/>
      <c r="G2118" s="6"/>
      <c r="K2118" s="223"/>
      <c r="M2118" s="889"/>
      <c r="P2118" s="890"/>
      <c r="T2118" s="889"/>
      <c r="X2118" s="15"/>
      <c r="Y2118" s="1935"/>
      <c r="Z2118" s="1086"/>
      <c r="AA2118" s="230"/>
      <c r="AB2118" s="230"/>
      <c r="AC2118" s="1936"/>
      <c r="AD2118" s="230"/>
      <c r="AE2118" s="230"/>
      <c r="AF2118" s="230"/>
      <c r="AG2118" s="890"/>
      <c r="AJ2118" s="890"/>
      <c r="AN2118" s="223"/>
      <c r="AO2118" s="952"/>
      <c r="AP2118" s="1066"/>
      <c r="AQ2118" s="972"/>
      <c r="AR2118" s="1917"/>
      <c r="AS2118" s="222"/>
      <c r="AZ2118" s="889"/>
      <c r="BC2118" s="890"/>
      <c r="BD2118" s="952"/>
      <c r="BE2118" s="75"/>
      <c r="BF2118" s="572"/>
      <c r="BG2118" s="983"/>
      <c r="BH2118" s="222"/>
      <c r="BL2118" s="889"/>
      <c r="BO2118" s="223"/>
    </row>
    <row r="2119" spans="1:67" s="74" customFormat="1">
      <c r="A2119" s="15"/>
      <c r="B2119" s="15"/>
      <c r="C2119" s="15"/>
      <c r="D2119" s="15"/>
      <c r="E2119" s="6"/>
      <c r="F2119" s="6"/>
      <c r="G2119" s="6"/>
      <c r="K2119" s="223"/>
      <c r="M2119" s="889"/>
      <c r="P2119" s="890"/>
      <c r="T2119" s="889"/>
      <c r="X2119" s="15"/>
      <c r="Y2119" s="1935"/>
      <c r="Z2119" s="1086"/>
      <c r="AA2119" s="230"/>
      <c r="AB2119" s="230"/>
      <c r="AC2119" s="1936"/>
      <c r="AD2119" s="230"/>
      <c r="AE2119" s="230"/>
      <c r="AF2119" s="230"/>
      <c r="AG2119" s="890"/>
      <c r="AJ2119" s="890"/>
      <c r="AN2119" s="223"/>
      <c r="AO2119" s="952"/>
      <c r="AP2119" s="1066"/>
      <c r="AQ2119" s="972"/>
      <c r="AR2119" s="1917"/>
      <c r="AS2119" s="222"/>
      <c r="AZ2119" s="889"/>
      <c r="BC2119" s="890"/>
      <c r="BD2119" s="952"/>
      <c r="BE2119" s="75"/>
      <c r="BF2119" s="572"/>
      <c r="BG2119" s="983"/>
      <c r="BH2119" s="222"/>
      <c r="BL2119" s="889"/>
      <c r="BO2119" s="223"/>
    </row>
    <row r="2120" spans="1:67" s="74" customFormat="1">
      <c r="A2120" s="15"/>
      <c r="B2120" s="15"/>
      <c r="C2120" s="15"/>
      <c r="D2120" s="15"/>
      <c r="E2120" s="6"/>
      <c r="F2120" s="6"/>
      <c r="G2120" s="6"/>
      <c r="K2120" s="223"/>
      <c r="M2120" s="889"/>
      <c r="P2120" s="890"/>
      <c r="T2120" s="889"/>
      <c r="X2120" s="15"/>
      <c r="Y2120" s="1935"/>
      <c r="Z2120" s="1086"/>
      <c r="AA2120" s="230"/>
      <c r="AB2120" s="230"/>
      <c r="AC2120" s="1936"/>
      <c r="AD2120" s="230"/>
      <c r="AE2120" s="230"/>
      <c r="AF2120" s="230"/>
      <c r="AG2120" s="890"/>
      <c r="AJ2120" s="890"/>
      <c r="AN2120" s="223"/>
      <c r="AO2120" s="952"/>
      <c r="AP2120" s="1066"/>
      <c r="AQ2120" s="972"/>
      <c r="AR2120" s="1917"/>
      <c r="AS2120" s="222"/>
      <c r="AZ2120" s="889"/>
      <c r="BC2120" s="890"/>
      <c r="BD2120" s="952"/>
      <c r="BE2120" s="75"/>
      <c r="BF2120" s="572"/>
      <c r="BG2120" s="983"/>
      <c r="BH2120" s="222"/>
      <c r="BL2120" s="889"/>
      <c r="BO2120" s="223"/>
    </row>
    <row r="2121" spans="1:67" s="74" customFormat="1">
      <c r="A2121" s="15"/>
      <c r="B2121" s="15"/>
      <c r="C2121" s="15"/>
      <c r="D2121" s="15"/>
      <c r="E2121" s="6"/>
      <c r="F2121" s="6"/>
      <c r="G2121" s="6"/>
      <c r="K2121" s="223"/>
      <c r="M2121" s="889"/>
      <c r="P2121" s="890"/>
      <c r="T2121" s="889"/>
      <c r="X2121" s="15"/>
      <c r="Y2121" s="1935"/>
      <c r="Z2121" s="1086"/>
      <c r="AA2121" s="230"/>
      <c r="AB2121" s="230"/>
      <c r="AC2121" s="1936"/>
      <c r="AD2121" s="230"/>
      <c r="AE2121" s="230"/>
      <c r="AF2121" s="230"/>
      <c r="AG2121" s="890"/>
      <c r="AJ2121" s="890"/>
      <c r="AN2121" s="223"/>
      <c r="AO2121" s="952"/>
      <c r="AP2121" s="1066"/>
      <c r="AQ2121" s="972"/>
      <c r="AR2121" s="1917"/>
      <c r="AS2121" s="222"/>
      <c r="AZ2121" s="889"/>
      <c r="BC2121" s="890"/>
      <c r="BD2121" s="952"/>
      <c r="BE2121" s="75"/>
      <c r="BF2121" s="572"/>
      <c r="BG2121" s="983"/>
      <c r="BH2121" s="222"/>
      <c r="BL2121" s="889"/>
      <c r="BO2121" s="223"/>
    </row>
    <row r="2122" spans="1:67" s="74" customFormat="1">
      <c r="A2122" s="15"/>
      <c r="B2122" s="15"/>
      <c r="C2122" s="15"/>
      <c r="D2122" s="15"/>
      <c r="E2122" s="6"/>
      <c r="F2122" s="6"/>
      <c r="G2122" s="6"/>
      <c r="K2122" s="223"/>
      <c r="M2122" s="889"/>
      <c r="P2122" s="890"/>
      <c r="T2122" s="889"/>
      <c r="X2122" s="15"/>
      <c r="Y2122" s="1935"/>
      <c r="Z2122" s="1086"/>
      <c r="AA2122" s="230"/>
      <c r="AB2122" s="230"/>
      <c r="AC2122" s="1936"/>
      <c r="AD2122" s="230"/>
      <c r="AE2122" s="230"/>
      <c r="AF2122" s="230"/>
      <c r="AG2122" s="890"/>
      <c r="AJ2122" s="890"/>
      <c r="AN2122" s="223"/>
      <c r="AO2122" s="952"/>
      <c r="AP2122" s="1066"/>
      <c r="AQ2122" s="972"/>
      <c r="AR2122" s="1917"/>
      <c r="AS2122" s="222"/>
      <c r="AZ2122" s="889"/>
      <c r="BC2122" s="890"/>
      <c r="BD2122" s="952"/>
      <c r="BE2122" s="75"/>
      <c r="BF2122" s="572"/>
      <c r="BG2122" s="983"/>
      <c r="BH2122" s="222"/>
      <c r="BL2122" s="889"/>
      <c r="BO2122" s="223"/>
    </row>
    <row r="2123" spans="1:67" s="74" customFormat="1">
      <c r="A2123" s="15"/>
      <c r="B2123" s="15"/>
      <c r="C2123" s="15"/>
      <c r="D2123" s="15"/>
      <c r="E2123" s="6"/>
      <c r="F2123" s="6"/>
      <c r="G2123" s="6"/>
      <c r="K2123" s="223"/>
      <c r="M2123" s="889"/>
      <c r="P2123" s="890"/>
      <c r="T2123" s="889"/>
      <c r="X2123" s="15"/>
      <c r="Y2123" s="1935"/>
      <c r="Z2123" s="1086"/>
      <c r="AA2123" s="230"/>
      <c r="AB2123" s="230"/>
      <c r="AC2123" s="1936"/>
      <c r="AD2123" s="230"/>
      <c r="AE2123" s="230"/>
      <c r="AF2123" s="230"/>
      <c r="AG2123" s="890"/>
      <c r="AJ2123" s="890"/>
      <c r="AN2123" s="223"/>
      <c r="AO2123" s="952"/>
      <c r="AP2123" s="1066"/>
      <c r="AQ2123" s="972"/>
      <c r="AR2123" s="1917"/>
      <c r="AS2123" s="222"/>
      <c r="AZ2123" s="889"/>
      <c r="BC2123" s="890"/>
      <c r="BD2123" s="952"/>
      <c r="BE2123" s="75"/>
      <c r="BF2123" s="572"/>
      <c r="BG2123" s="983"/>
      <c r="BH2123" s="222"/>
      <c r="BL2123" s="889"/>
      <c r="BO2123" s="223"/>
    </row>
    <row r="2124" spans="1:67" s="74" customFormat="1">
      <c r="A2124" s="15"/>
      <c r="B2124" s="15"/>
      <c r="C2124" s="15"/>
      <c r="D2124" s="15"/>
      <c r="E2124" s="6"/>
      <c r="F2124" s="6"/>
      <c r="G2124" s="6"/>
      <c r="K2124" s="223"/>
      <c r="M2124" s="889"/>
      <c r="P2124" s="890"/>
      <c r="T2124" s="889"/>
      <c r="X2124" s="15"/>
      <c r="Y2124" s="1935"/>
      <c r="Z2124" s="1086"/>
      <c r="AA2124" s="230"/>
      <c r="AB2124" s="230"/>
      <c r="AC2124" s="1936"/>
      <c r="AD2124" s="230"/>
      <c r="AE2124" s="230"/>
      <c r="AF2124" s="230"/>
      <c r="AG2124" s="890"/>
      <c r="AJ2124" s="890"/>
      <c r="AN2124" s="223"/>
      <c r="AO2124" s="952"/>
      <c r="AP2124" s="1066"/>
      <c r="AQ2124" s="972"/>
      <c r="AR2124" s="1917"/>
      <c r="AS2124" s="222"/>
      <c r="AZ2124" s="889"/>
      <c r="BC2124" s="890"/>
      <c r="BD2124" s="952"/>
      <c r="BE2124" s="75"/>
      <c r="BF2124" s="572"/>
      <c r="BG2124" s="983"/>
      <c r="BH2124" s="222"/>
      <c r="BL2124" s="889"/>
      <c r="BO2124" s="223"/>
    </row>
    <row r="2125" spans="1:67" s="74" customFormat="1">
      <c r="A2125" s="15"/>
      <c r="B2125" s="15"/>
      <c r="C2125" s="15"/>
      <c r="D2125" s="15"/>
      <c r="E2125" s="6"/>
      <c r="F2125" s="6"/>
      <c r="G2125" s="6"/>
      <c r="K2125" s="223"/>
      <c r="M2125" s="889"/>
      <c r="P2125" s="890"/>
      <c r="T2125" s="889"/>
      <c r="X2125" s="15"/>
      <c r="Y2125" s="1935"/>
      <c r="Z2125" s="1086"/>
      <c r="AA2125" s="230"/>
      <c r="AB2125" s="230"/>
      <c r="AC2125" s="1936"/>
      <c r="AD2125" s="230"/>
      <c r="AE2125" s="230"/>
      <c r="AF2125" s="230"/>
      <c r="AG2125" s="890"/>
      <c r="AJ2125" s="890"/>
      <c r="AN2125" s="223"/>
      <c r="AO2125" s="952"/>
      <c r="AP2125" s="1066"/>
      <c r="AQ2125" s="972"/>
      <c r="AR2125" s="1917"/>
      <c r="AS2125" s="222"/>
      <c r="AZ2125" s="889"/>
      <c r="BC2125" s="890"/>
      <c r="BD2125" s="952"/>
      <c r="BE2125" s="75"/>
      <c r="BF2125" s="572"/>
      <c r="BG2125" s="983"/>
      <c r="BH2125" s="222"/>
      <c r="BL2125" s="889"/>
      <c r="BO2125" s="223"/>
    </row>
    <row r="2126" spans="1:67" s="74" customFormat="1">
      <c r="A2126" s="15"/>
      <c r="B2126" s="15"/>
      <c r="C2126" s="15"/>
      <c r="D2126" s="15"/>
      <c r="E2126" s="6"/>
      <c r="F2126" s="6"/>
      <c r="G2126" s="6"/>
      <c r="K2126" s="223"/>
      <c r="M2126" s="889"/>
      <c r="P2126" s="890"/>
      <c r="T2126" s="889"/>
      <c r="X2126" s="15"/>
      <c r="Y2126" s="1935"/>
      <c r="Z2126" s="1086"/>
      <c r="AA2126" s="230"/>
      <c r="AB2126" s="230"/>
      <c r="AC2126" s="1936"/>
      <c r="AD2126" s="230"/>
      <c r="AE2126" s="230"/>
      <c r="AF2126" s="230"/>
      <c r="AG2126" s="890"/>
      <c r="AJ2126" s="890"/>
      <c r="AN2126" s="223"/>
      <c r="AO2126" s="952"/>
      <c r="AP2126" s="1066"/>
      <c r="AQ2126" s="972"/>
      <c r="AR2126" s="1917"/>
      <c r="AS2126" s="222"/>
      <c r="AZ2126" s="889"/>
      <c r="BC2126" s="890"/>
      <c r="BD2126" s="952"/>
      <c r="BE2126" s="75"/>
      <c r="BF2126" s="572"/>
      <c r="BG2126" s="983"/>
      <c r="BH2126" s="222"/>
      <c r="BL2126" s="889"/>
      <c r="BO2126" s="223"/>
    </row>
    <row r="2127" spans="1:67" s="74" customFormat="1">
      <c r="A2127" s="15"/>
      <c r="B2127" s="15"/>
      <c r="C2127" s="15"/>
      <c r="D2127" s="15"/>
      <c r="E2127" s="6"/>
      <c r="F2127" s="6"/>
      <c r="G2127" s="6"/>
      <c r="K2127" s="223"/>
      <c r="M2127" s="889"/>
      <c r="P2127" s="890"/>
      <c r="T2127" s="889"/>
      <c r="X2127" s="15"/>
      <c r="Y2127" s="1935"/>
      <c r="Z2127" s="1086"/>
      <c r="AA2127" s="230"/>
      <c r="AB2127" s="230"/>
      <c r="AC2127" s="1936"/>
      <c r="AD2127" s="230"/>
      <c r="AE2127" s="230"/>
      <c r="AF2127" s="230"/>
      <c r="AG2127" s="890"/>
      <c r="AJ2127" s="890"/>
      <c r="AN2127" s="223"/>
      <c r="AO2127" s="952"/>
      <c r="AP2127" s="1066"/>
      <c r="AQ2127" s="972"/>
      <c r="AR2127" s="1917"/>
      <c r="AS2127" s="222"/>
      <c r="AZ2127" s="889"/>
      <c r="BC2127" s="890"/>
      <c r="BD2127" s="952"/>
      <c r="BE2127" s="75"/>
      <c r="BF2127" s="572"/>
      <c r="BG2127" s="983"/>
      <c r="BH2127" s="222"/>
      <c r="BL2127" s="889"/>
      <c r="BO2127" s="223"/>
    </row>
    <row r="2128" spans="1:67" s="74" customFormat="1">
      <c r="A2128" s="15"/>
      <c r="B2128" s="15"/>
      <c r="C2128" s="15"/>
      <c r="D2128" s="15"/>
      <c r="E2128" s="6"/>
      <c r="F2128" s="6"/>
      <c r="G2128" s="6"/>
      <c r="K2128" s="223"/>
      <c r="M2128" s="889"/>
      <c r="P2128" s="890"/>
      <c r="T2128" s="889"/>
      <c r="X2128" s="15"/>
      <c r="Y2128" s="1935"/>
      <c r="Z2128" s="1086"/>
      <c r="AA2128" s="230"/>
      <c r="AB2128" s="230"/>
      <c r="AC2128" s="1936"/>
      <c r="AD2128" s="230"/>
      <c r="AE2128" s="230"/>
      <c r="AF2128" s="230"/>
      <c r="AG2128" s="890"/>
      <c r="AJ2128" s="890"/>
      <c r="AN2128" s="223"/>
      <c r="AO2128" s="952"/>
      <c r="AP2128" s="1066"/>
      <c r="AQ2128" s="972"/>
      <c r="AR2128" s="1917"/>
      <c r="AS2128" s="222"/>
      <c r="AZ2128" s="889"/>
      <c r="BC2128" s="890"/>
      <c r="BD2128" s="952"/>
      <c r="BE2128" s="75"/>
      <c r="BF2128" s="572"/>
      <c r="BG2128" s="983"/>
      <c r="BH2128" s="222"/>
      <c r="BL2128" s="889"/>
      <c r="BO2128" s="223"/>
    </row>
    <row r="2129" spans="1:67" s="74" customFormat="1">
      <c r="A2129" s="15"/>
      <c r="B2129" s="15"/>
      <c r="C2129" s="15"/>
      <c r="D2129" s="15"/>
      <c r="E2129" s="6"/>
      <c r="F2129" s="6"/>
      <c r="G2129" s="6"/>
      <c r="K2129" s="223"/>
      <c r="M2129" s="889"/>
      <c r="P2129" s="890"/>
      <c r="T2129" s="889"/>
      <c r="X2129" s="15"/>
      <c r="Y2129" s="1935"/>
      <c r="Z2129" s="1086"/>
      <c r="AA2129" s="230"/>
      <c r="AB2129" s="230"/>
      <c r="AC2129" s="1936"/>
      <c r="AD2129" s="230"/>
      <c r="AE2129" s="230"/>
      <c r="AF2129" s="230"/>
      <c r="AG2129" s="890"/>
      <c r="AJ2129" s="890"/>
      <c r="AN2129" s="223"/>
      <c r="AO2129" s="952"/>
      <c r="AP2129" s="1066"/>
      <c r="AQ2129" s="972"/>
      <c r="AR2129" s="1917"/>
      <c r="AS2129" s="222"/>
      <c r="AZ2129" s="889"/>
      <c r="BC2129" s="890"/>
      <c r="BD2129" s="952"/>
      <c r="BE2129" s="75"/>
      <c r="BF2129" s="572"/>
      <c r="BG2129" s="983"/>
      <c r="BH2129" s="222"/>
      <c r="BL2129" s="889"/>
      <c r="BO2129" s="223"/>
    </row>
    <row r="2130" spans="1:67" s="74" customFormat="1">
      <c r="A2130" s="15"/>
      <c r="B2130" s="15"/>
      <c r="C2130" s="15"/>
      <c r="D2130" s="15"/>
      <c r="E2130" s="6"/>
      <c r="F2130" s="6"/>
      <c r="G2130" s="6"/>
      <c r="K2130" s="223"/>
      <c r="M2130" s="889"/>
      <c r="P2130" s="890"/>
      <c r="T2130" s="889"/>
      <c r="X2130" s="15"/>
      <c r="Y2130" s="1935"/>
      <c r="Z2130" s="1086"/>
      <c r="AA2130" s="230"/>
      <c r="AB2130" s="230"/>
      <c r="AC2130" s="1936"/>
      <c r="AD2130" s="230"/>
      <c r="AE2130" s="230"/>
      <c r="AF2130" s="230"/>
      <c r="AG2130" s="890"/>
      <c r="AJ2130" s="890"/>
      <c r="AN2130" s="223"/>
      <c r="AO2130" s="952"/>
      <c r="AP2130" s="1066"/>
      <c r="AQ2130" s="972"/>
      <c r="AR2130" s="1917"/>
      <c r="AS2130" s="222"/>
      <c r="AZ2130" s="889"/>
      <c r="BC2130" s="890"/>
      <c r="BD2130" s="952"/>
      <c r="BE2130" s="75"/>
      <c r="BF2130" s="572"/>
      <c r="BG2130" s="983"/>
      <c r="BH2130" s="222"/>
      <c r="BL2130" s="889"/>
      <c r="BO2130" s="223"/>
    </row>
    <row r="2131" spans="1:67" s="74" customFormat="1">
      <c r="A2131" s="15"/>
      <c r="B2131" s="15"/>
      <c r="C2131" s="15"/>
      <c r="D2131" s="15"/>
      <c r="E2131" s="6"/>
      <c r="F2131" s="6"/>
      <c r="G2131" s="6"/>
      <c r="K2131" s="223"/>
      <c r="M2131" s="889"/>
      <c r="P2131" s="890"/>
      <c r="T2131" s="889"/>
      <c r="X2131" s="15"/>
      <c r="Y2131" s="1935"/>
      <c r="Z2131" s="1086"/>
      <c r="AA2131" s="230"/>
      <c r="AB2131" s="230"/>
      <c r="AC2131" s="1936"/>
      <c r="AD2131" s="230"/>
      <c r="AE2131" s="230"/>
      <c r="AF2131" s="230"/>
      <c r="AG2131" s="890"/>
      <c r="AJ2131" s="890"/>
      <c r="AN2131" s="223"/>
      <c r="AO2131" s="952"/>
      <c r="AP2131" s="1066"/>
      <c r="AQ2131" s="972"/>
      <c r="AR2131" s="1917"/>
      <c r="AS2131" s="222"/>
      <c r="AZ2131" s="889"/>
      <c r="BC2131" s="890"/>
      <c r="BD2131" s="952"/>
      <c r="BE2131" s="75"/>
      <c r="BF2131" s="572"/>
      <c r="BG2131" s="983"/>
      <c r="BH2131" s="222"/>
      <c r="BL2131" s="889"/>
      <c r="BO2131" s="223"/>
    </row>
    <row r="2132" spans="1:67" s="74" customFormat="1">
      <c r="A2132" s="15"/>
      <c r="B2132" s="15"/>
      <c r="C2132" s="15"/>
      <c r="D2132" s="15"/>
      <c r="E2132" s="6"/>
      <c r="F2132" s="6"/>
      <c r="G2132" s="6"/>
      <c r="K2132" s="223"/>
      <c r="M2132" s="889"/>
      <c r="P2132" s="890"/>
      <c r="T2132" s="889"/>
      <c r="X2132" s="15"/>
      <c r="Y2132" s="1935"/>
      <c r="Z2132" s="1086"/>
      <c r="AA2132" s="230"/>
      <c r="AB2132" s="230"/>
      <c r="AC2132" s="1936"/>
      <c r="AD2132" s="230"/>
      <c r="AE2132" s="230"/>
      <c r="AF2132" s="230"/>
      <c r="AG2132" s="890"/>
      <c r="AJ2132" s="890"/>
      <c r="AN2132" s="223"/>
      <c r="AO2132" s="952"/>
      <c r="AP2132" s="1066"/>
      <c r="AQ2132" s="972"/>
      <c r="AR2132" s="1917"/>
      <c r="AS2132" s="222"/>
      <c r="AZ2132" s="889"/>
      <c r="BC2132" s="890"/>
      <c r="BD2132" s="952"/>
      <c r="BE2132" s="75"/>
      <c r="BF2132" s="572"/>
      <c r="BG2132" s="983"/>
      <c r="BH2132" s="222"/>
      <c r="BL2132" s="889"/>
      <c r="BO2132" s="223"/>
    </row>
    <row r="2133" spans="1:67" s="74" customFormat="1">
      <c r="A2133" s="15"/>
      <c r="B2133" s="15"/>
      <c r="C2133" s="15"/>
      <c r="D2133" s="15"/>
      <c r="E2133" s="6"/>
      <c r="F2133" s="6"/>
      <c r="G2133" s="6"/>
      <c r="K2133" s="223"/>
      <c r="M2133" s="889"/>
      <c r="P2133" s="890"/>
      <c r="T2133" s="889"/>
      <c r="X2133" s="15"/>
      <c r="Y2133" s="1935"/>
      <c r="Z2133" s="1086"/>
      <c r="AA2133" s="230"/>
      <c r="AB2133" s="230"/>
      <c r="AC2133" s="1936"/>
      <c r="AD2133" s="230"/>
      <c r="AE2133" s="230"/>
      <c r="AF2133" s="230"/>
      <c r="AG2133" s="890"/>
      <c r="AJ2133" s="890"/>
      <c r="AN2133" s="223"/>
      <c r="AO2133" s="952"/>
      <c r="AP2133" s="1066"/>
      <c r="AQ2133" s="972"/>
      <c r="AR2133" s="1917"/>
      <c r="AS2133" s="222"/>
      <c r="AZ2133" s="889"/>
      <c r="BC2133" s="890"/>
      <c r="BD2133" s="952"/>
      <c r="BE2133" s="75"/>
      <c r="BF2133" s="572"/>
      <c r="BG2133" s="983"/>
      <c r="BH2133" s="222"/>
      <c r="BL2133" s="889"/>
      <c r="BO2133" s="223"/>
    </row>
    <row r="2134" spans="1:67" s="74" customFormat="1">
      <c r="A2134" s="15"/>
      <c r="B2134" s="15"/>
      <c r="C2134" s="15"/>
      <c r="D2134" s="15"/>
      <c r="E2134" s="6"/>
      <c r="F2134" s="6"/>
      <c r="G2134" s="6"/>
      <c r="K2134" s="223"/>
      <c r="M2134" s="889"/>
      <c r="P2134" s="890"/>
      <c r="T2134" s="889"/>
      <c r="X2134" s="15"/>
      <c r="Y2134" s="1935"/>
      <c r="Z2134" s="1086"/>
      <c r="AA2134" s="230"/>
      <c r="AB2134" s="230"/>
      <c r="AC2134" s="1936"/>
      <c r="AD2134" s="230"/>
      <c r="AE2134" s="230"/>
      <c r="AF2134" s="230"/>
      <c r="AG2134" s="890"/>
      <c r="AJ2134" s="890"/>
      <c r="AN2134" s="223"/>
      <c r="AO2134" s="952"/>
      <c r="AP2134" s="1066"/>
      <c r="AQ2134" s="972"/>
      <c r="AR2134" s="1917"/>
      <c r="AS2134" s="222"/>
      <c r="AZ2134" s="889"/>
      <c r="BC2134" s="890"/>
      <c r="BD2134" s="952"/>
      <c r="BE2134" s="75"/>
      <c r="BF2134" s="572"/>
      <c r="BG2134" s="983"/>
      <c r="BH2134" s="222"/>
      <c r="BL2134" s="889"/>
      <c r="BO2134" s="223"/>
    </row>
    <row r="2135" spans="1:67" s="74" customFormat="1">
      <c r="A2135" s="15"/>
      <c r="B2135" s="15"/>
      <c r="C2135" s="15"/>
      <c r="D2135" s="15"/>
      <c r="E2135" s="6"/>
      <c r="F2135" s="6"/>
      <c r="G2135" s="6"/>
      <c r="K2135" s="223"/>
      <c r="M2135" s="889"/>
      <c r="P2135" s="890"/>
      <c r="T2135" s="889"/>
      <c r="X2135" s="15"/>
      <c r="Y2135" s="1935"/>
      <c r="Z2135" s="1086"/>
      <c r="AA2135" s="230"/>
      <c r="AB2135" s="230"/>
      <c r="AC2135" s="1936"/>
      <c r="AD2135" s="230"/>
      <c r="AE2135" s="230"/>
      <c r="AF2135" s="230"/>
      <c r="AG2135" s="890"/>
      <c r="AJ2135" s="890"/>
      <c r="AN2135" s="223"/>
      <c r="AO2135" s="952"/>
      <c r="AP2135" s="1066"/>
      <c r="AQ2135" s="972"/>
      <c r="AR2135" s="1917"/>
      <c r="AS2135" s="222"/>
      <c r="AZ2135" s="889"/>
      <c r="BC2135" s="890"/>
      <c r="BD2135" s="952"/>
      <c r="BE2135" s="75"/>
      <c r="BF2135" s="572"/>
      <c r="BG2135" s="983"/>
      <c r="BH2135" s="222"/>
      <c r="BL2135" s="889"/>
      <c r="BO2135" s="223"/>
    </row>
    <row r="2136" spans="1:67" s="74" customFormat="1">
      <c r="A2136" s="15"/>
      <c r="B2136" s="15"/>
      <c r="C2136" s="15"/>
      <c r="D2136" s="15"/>
      <c r="E2136" s="6"/>
      <c r="F2136" s="6"/>
      <c r="G2136" s="6"/>
      <c r="K2136" s="223"/>
      <c r="M2136" s="889"/>
      <c r="P2136" s="890"/>
      <c r="T2136" s="889"/>
      <c r="X2136" s="15"/>
      <c r="Y2136" s="1935"/>
      <c r="Z2136" s="1086"/>
      <c r="AA2136" s="230"/>
      <c r="AB2136" s="230"/>
      <c r="AC2136" s="1936"/>
      <c r="AD2136" s="230"/>
      <c r="AE2136" s="230"/>
      <c r="AF2136" s="230"/>
      <c r="AG2136" s="890"/>
      <c r="AJ2136" s="890"/>
      <c r="AN2136" s="223"/>
      <c r="AO2136" s="952"/>
      <c r="AP2136" s="1066"/>
      <c r="AQ2136" s="972"/>
      <c r="AR2136" s="1917"/>
      <c r="AS2136" s="222"/>
      <c r="AZ2136" s="889"/>
      <c r="BC2136" s="890"/>
      <c r="BD2136" s="952"/>
      <c r="BE2136" s="75"/>
      <c r="BF2136" s="572"/>
      <c r="BG2136" s="983"/>
      <c r="BH2136" s="222"/>
      <c r="BL2136" s="889"/>
      <c r="BO2136" s="223"/>
    </row>
    <row r="2137" spans="1:67" s="74" customFormat="1">
      <c r="A2137" s="15"/>
      <c r="B2137" s="15"/>
      <c r="C2137" s="15"/>
      <c r="D2137" s="15"/>
      <c r="E2137" s="6"/>
      <c r="F2137" s="6"/>
      <c r="G2137" s="6"/>
      <c r="K2137" s="223"/>
      <c r="M2137" s="889"/>
      <c r="P2137" s="890"/>
      <c r="T2137" s="889"/>
      <c r="X2137" s="15"/>
      <c r="Y2137" s="1935"/>
      <c r="Z2137" s="1086"/>
      <c r="AA2137" s="230"/>
      <c r="AB2137" s="230"/>
      <c r="AC2137" s="1936"/>
      <c r="AD2137" s="230"/>
      <c r="AE2137" s="230"/>
      <c r="AF2137" s="230"/>
      <c r="AG2137" s="890"/>
      <c r="AJ2137" s="890"/>
      <c r="AN2137" s="223"/>
      <c r="AO2137" s="952"/>
      <c r="AP2137" s="1066"/>
      <c r="AQ2137" s="972"/>
      <c r="AR2137" s="1917"/>
      <c r="AS2137" s="222"/>
      <c r="AZ2137" s="889"/>
      <c r="BC2137" s="890"/>
      <c r="BD2137" s="952"/>
      <c r="BE2137" s="75"/>
      <c r="BF2137" s="572"/>
      <c r="BG2137" s="983"/>
      <c r="BH2137" s="222"/>
      <c r="BL2137" s="889"/>
      <c r="BO2137" s="223"/>
    </row>
    <row r="2138" spans="1:67" s="74" customFormat="1">
      <c r="A2138" s="15"/>
      <c r="B2138" s="15"/>
      <c r="C2138" s="15"/>
      <c r="D2138" s="15"/>
      <c r="E2138" s="6"/>
      <c r="F2138" s="6"/>
      <c r="G2138" s="6"/>
      <c r="K2138" s="223"/>
      <c r="M2138" s="889"/>
      <c r="P2138" s="890"/>
      <c r="T2138" s="889"/>
      <c r="X2138" s="15"/>
      <c r="Y2138" s="1935"/>
      <c r="Z2138" s="1086"/>
      <c r="AA2138" s="230"/>
      <c r="AB2138" s="230"/>
      <c r="AC2138" s="1936"/>
      <c r="AD2138" s="230"/>
      <c r="AE2138" s="230"/>
      <c r="AF2138" s="230"/>
      <c r="AG2138" s="890"/>
      <c r="AJ2138" s="890"/>
      <c r="AN2138" s="223"/>
      <c r="AO2138" s="952"/>
      <c r="AP2138" s="1066"/>
      <c r="AQ2138" s="972"/>
      <c r="AR2138" s="1917"/>
      <c r="AS2138" s="222"/>
      <c r="AZ2138" s="889"/>
      <c r="BC2138" s="890"/>
      <c r="BD2138" s="952"/>
      <c r="BE2138" s="75"/>
      <c r="BF2138" s="572"/>
      <c r="BG2138" s="983"/>
      <c r="BH2138" s="222"/>
      <c r="BL2138" s="889"/>
      <c r="BO2138" s="223"/>
    </row>
    <row r="2139" spans="1:67" s="74" customFormat="1">
      <c r="A2139" s="15"/>
      <c r="B2139" s="15"/>
      <c r="C2139" s="15"/>
      <c r="D2139" s="15"/>
      <c r="E2139" s="6"/>
      <c r="F2139" s="6"/>
      <c r="G2139" s="6"/>
      <c r="K2139" s="223"/>
      <c r="M2139" s="889"/>
      <c r="P2139" s="890"/>
      <c r="T2139" s="889"/>
      <c r="X2139" s="15"/>
      <c r="Y2139" s="1935"/>
      <c r="Z2139" s="1086"/>
      <c r="AA2139" s="230"/>
      <c r="AB2139" s="230"/>
      <c r="AC2139" s="1936"/>
      <c r="AD2139" s="230"/>
      <c r="AE2139" s="230"/>
      <c r="AF2139" s="230"/>
      <c r="AG2139" s="890"/>
      <c r="AJ2139" s="890"/>
      <c r="AN2139" s="223"/>
      <c r="AO2139" s="952"/>
      <c r="AP2139" s="1066"/>
      <c r="AQ2139" s="972"/>
      <c r="AR2139" s="1917"/>
      <c r="AS2139" s="222"/>
      <c r="AZ2139" s="889"/>
      <c r="BC2139" s="890"/>
      <c r="BD2139" s="952"/>
      <c r="BE2139" s="75"/>
      <c r="BF2139" s="572"/>
      <c r="BG2139" s="983"/>
      <c r="BH2139" s="222"/>
      <c r="BL2139" s="889"/>
      <c r="BO2139" s="223"/>
    </row>
    <row r="2140" spans="1:67" s="74" customFormat="1">
      <c r="A2140" s="15"/>
      <c r="B2140" s="15"/>
      <c r="C2140" s="15"/>
      <c r="D2140" s="15"/>
      <c r="E2140" s="6"/>
      <c r="F2140" s="6"/>
      <c r="G2140" s="6"/>
      <c r="K2140" s="223"/>
      <c r="M2140" s="889"/>
      <c r="P2140" s="890"/>
      <c r="T2140" s="889"/>
      <c r="X2140" s="15"/>
      <c r="Y2140" s="1935"/>
      <c r="Z2140" s="1086"/>
      <c r="AA2140" s="230"/>
      <c r="AB2140" s="230"/>
      <c r="AC2140" s="1936"/>
      <c r="AD2140" s="230"/>
      <c r="AE2140" s="230"/>
      <c r="AF2140" s="230"/>
      <c r="AG2140" s="890"/>
      <c r="AJ2140" s="890"/>
      <c r="AN2140" s="223"/>
      <c r="AO2140" s="952"/>
      <c r="AP2140" s="1066"/>
      <c r="AQ2140" s="972"/>
      <c r="AR2140" s="1917"/>
      <c r="AS2140" s="222"/>
      <c r="AZ2140" s="889"/>
      <c r="BC2140" s="890"/>
      <c r="BD2140" s="952"/>
      <c r="BE2140" s="75"/>
      <c r="BF2140" s="572"/>
      <c r="BG2140" s="983"/>
      <c r="BH2140" s="222"/>
      <c r="BL2140" s="889"/>
      <c r="BO2140" s="223"/>
    </row>
    <row r="2141" spans="1:67" s="74" customFormat="1">
      <c r="A2141" s="15"/>
      <c r="B2141" s="15"/>
      <c r="C2141" s="15"/>
      <c r="D2141" s="15"/>
      <c r="E2141" s="6"/>
      <c r="F2141" s="6"/>
      <c r="G2141" s="6"/>
      <c r="K2141" s="223"/>
      <c r="M2141" s="889"/>
      <c r="P2141" s="890"/>
      <c r="T2141" s="889"/>
      <c r="X2141" s="15"/>
      <c r="Y2141" s="1935"/>
      <c r="Z2141" s="1086"/>
      <c r="AA2141" s="230"/>
      <c r="AB2141" s="230"/>
      <c r="AC2141" s="1936"/>
      <c r="AD2141" s="230"/>
      <c r="AE2141" s="230"/>
      <c r="AF2141" s="230"/>
      <c r="AG2141" s="890"/>
      <c r="AJ2141" s="890"/>
      <c r="AN2141" s="223"/>
      <c r="AO2141" s="952"/>
      <c r="AP2141" s="1066"/>
      <c r="AQ2141" s="972"/>
      <c r="AR2141" s="1917"/>
      <c r="AS2141" s="222"/>
      <c r="AZ2141" s="889"/>
      <c r="BC2141" s="890"/>
      <c r="BD2141" s="952"/>
      <c r="BE2141" s="75"/>
      <c r="BF2141" s="572"/>
      <c r="BG2141" s="983"/>
      <c r="BH2141" s="222"/>
      <c r="BL2141" s="889"/>
      <c r="BO2141" s="223"/>
    </row>
    <row r="2142" spans="1:67" s="74" customFormat="1">
      <c r="A2142" s="15"/>
      <c r="B2142" s="15"/>
      <c r="C2142" s="15"/>
      <c r="D2142" s="15"/>
      <c r="E2142" s="6"/>
      <c r="F2142" s="6"/>
      <c r="G2142" s="6"/>
      <c r="K2142" s="223"/>
      <c r="M2142" s="889"/>
      <c r="P2142" s="890"/>
      <c r="T2142" s="889"/>
      <c r="X2142" s="15"/>
      <c r="Y2142" s="1935"/>
      <c r="Z2142" s="1086"/>
      <c r="AA2142" s="230"/>
      <c r="AB2142" s="230"/>
      <c r="AC2142" s="1936"/>
      <c r="AD2142" s="230"/>
      <c r="AE2142" s="230"/>
      <c r="AF2142" s="230"/>
      <c r="AG2142" s="890"/>
      <c r="AJ2142" s="890"/>
      <c r="AN2142" s="223"/>
      <c r="AO2142" s="952"/>
      <c r="AP2142" s="1066"/>
      <c r="AQ2142" s="972"/>
      <c r="AR2142" s="1917"/>
      <c r="AS2142" s="222"/>
      <c r="AZ2142" s="889"/>
      <c r="BC2142" s="890"/>
      <c r="BD2142" s="952"/>
      <c r="BE2142" s="75"/>
      <c r="BF2142" s="572"/>
      <c r="BG2142" s="983"/>
      <c r="BH2142" s="222"/>
      <c r="BL2142" s="889"/>
      <c r="BO2142" s="223"/>
    </row>
    <row r="2143" spans="1:67" s="74" customFormat="1">
      <c r="A2143" s="15"/>
      <c r="B2143" s="15"/>
      <c r="C2143" s="15"/>
      <c r="D2143" s="15"/>
      <c r="E2143" s="6"/>
      <c r="F2143" s="6"/>
      <c r="G2143" s="6"/>
      <c r="K2143" s="223"/>
      <c r="M2143" s="889"/>
      <c r="P2143" s="890"/>
      <c r="T2143" s="889"/>
      <c r="X2143" s="15"/>
      <c r="Y2143" s="1935"/>
      <c r="Z2143" s="1086"/>
      <c r="AA2143" s="230"/>
      <c r="AB2143" s="230"/>
      <c r="AC2143" s="1936"/>
      <c r="AD2143" s="230"/>
      <c r="AE2143" s="230"/>
      <c r="AF2143" s="230"/>
      <c r="AG2143" s="890"/>
      <c r="AJ2143" s="890"/>
      <c r="AN2143" s="223"/>
      <c r="AO2143" s="952"/>
      <c r="AP2143" s="1066"/>
      <c r="AQ2143" s="972"/>
      <c r="AR2143" s="1917"/>
      <c r="AS2143" s="222"/>
      <c r="AZ2143" s="889"/>
      <c r="BC2143" s="890"/>
      <c r="BD2143" s="952"/>
      <c r="BE2143" s="75"/>
      <c r="BF2143" s="572"/>
      <c r="BG2143" s="983"/>
      <c r="BH2143" s="222"/>
      <c r="BL2143" s="889"/>
      <c r="BO2143" s="223"/>
    </row>
    <row r="2144" spans="1:67" s="74" customFormat="1">
      <c r="A2144" s="15"/>
      <c r="B2144" s="15"/>
      <c r="C2144" s="15"/>
      <c r="D2144" s="15"/>
      <c r="E2144" s="6"/>
      <c r="F2144" s="6"/>
      <c r="G2144" s="6"/>
      <c r="K2144" s="223"/>
      <c r="M2144" s="889"/>
      <c r="P2144" s="890"/>
      <c r="T2144" s="889"/>
      <c r="X2144" s="15"/>
      <c r="Y2144" s="1935"/>
      <c r="Z2144" s="1086"/>
      <c r="AA2144" s="230"/>
      <c r="AB2144" s="230"/>
      <c r="AC2144" s="1936"/>
      <c r="AD2144" s="230"/>
      <c r="AE2144" s="230"/>
      <c r="AF2144" s="230"/>
      <c r="AG2144" s="890"/>
      <c r="AJ2144" s="890"/>
      <c r="AN2144" s="223"/>
      <c r="AO2144" s="952"/>
      <c r="AP2144" s="1066"/>
      <c r="AQ2144" s="972"/>
      <c r="AR2144" s="1917"/>
      <c r="AS2144" s="222"/>
      <c r="AZ2144" s="889"/>
      <c r="BC2144" s="890"/>
      <c r="BD2144" s="952"/>
      <c r="BE2144" s="75"/>
      <c r="BF2144" s="572"/>
      <c r="BG2144" s="983"/>
      <c r="BH2144" s="222"/>
      <c r="BL2144" s="889"/>
      <c r="BO2144" s="223"/>
    </row>
    <row r="2145" spans="1:67" s="74" customFormat="1">
      <c r="A2145" s="15"/>
      <c r="B2145" s="15"/>
      <c r="C2145" s="15"/>
      <c r="D2145" s="15"/>
      <c r="E2145" s="6"/>
      <c r="F2145" s="6"/>
      <c r="G2145" s="6"/>
      <c r="K2145" s="223"/>
      <c r="M2145" s="889"/>
      <c r="P2145" s="890"/>
      <c r="T2145" s="889"/>
      <c r="X2145" s="15"/>
      <c r="Y2145" s="1935"/>
      <c r="Z2145" s="1086"/>
      <c r="AA2145" s="230"/>
      <c r="AB2145" s="230"/>
      <c r="AC2145" s="1936"/>
      <c r="AD2145" s="230"/>
      <c r="AE2145" s="230"/>
      <c r="AF2145" s="230"/>
      <c r="AG2145" s="890"/>
      <c r="AJ2145" s="890"/>
      <c r="AN2145" s="223"/>
      <c r="AO2145" s="952"/>
      <c r="AP2145" s="1066"/>
      <c r="AQ2145" s="972"/>
      <c r="AR2145" s="1917"/>
      <c r="AS2145" s="222"/>
      <c r="AZ2145" s="889"/>
      <c r="BC2145" s="890"/>
      <c r="BD2145" s="952"/>
      <c r="BE2145" s="75"/>
      <c r="BF2145" s="572"/>
      <c r="BG2145" s="983"/>
      <c r="BH2145" s="222"/>
      <c r="BL2145" s="889"/>
      <c r="BO2145" s="223"/>
    </row>
    <row r="2146" spans="1:67" s="74" customFormat="1">
      <c r="A2146" s="15"/>
      <c r="B2146" s="15"/>
      <c r="C2146" s="15"/>
      <c r="D2146" s="15"/>
      <c r="E2146" s="6"/>
      <c r="F2146" s="6"/>
      <c r="G2146" s="6"/>
      <c r="K2146" s="223"/>
      <c r="M2146" s="889"/>
      <c r="P2146" s="890"/>
      <c r="T2146" s="889"/>
      <c r="X2146" s="15"/>
      <c r="Y2146" s="1935"/>
      <c r="Z2146" s="1086"/>
      <c r="AA2146" s="230"/>
      <c r="AB2146" s="230"/>
      <c r="AC2146" s="1936"/>
      <c r="AD2146" s="230"/>
      <c r="AE2146" s="230"/>
      <c r="AF2146" s="230"/>
      <c r="AG2146" s="890"/>
      <c r="AJ2146" s="890"/>
      <c r="AN2146" s="223"/>
      <c r="AO2146" s="952"/>
      <c r="AP2146" s="1066"/>
      <c r="AQ2146" s="972"/>
      <c r="AR2146" s="1917"/>
      <c r="AS2146" s="222"/>
      <c r="AZ2146" s="889"/>
      <c r="BC2146" s="890"/>
      <c r="BD2146" s="952"/>
      <c r="BE2146" s="75"/>
      <c r="BF2146" s="572"/>
      <c r="BG2146" s="983"/>
      <c r="BH2146" s="222"/>
      <c r="BL2146" s="889"/>
      <c r="BO2146" s="223"/>
    </row>
    <row r="2147" spans="1:67" s="74" customFormat="1">
      <c r="A2147" s="15"/>
      <c r="B2147" s="15"/>
      <c r="C2147" s="15"/>
      <c r="D2147" s="15"/>
      <c r="E2147" s="6"/>
      <c r="F2147" s="6"/>
      <c r="G2147" s="6"/>
      <c r="K2147" s="223"/>
      <c r="M2147" s="889"/>
      <c r="P2147" s="890"/>
      <c r="T2147" s="889"/>
      <c r="X2147" s="15"/>
      <c r="Y2147" s="1935"/>
      <c r="Z2147" s="1086"/>
      <c r="AA2147" s="230"/>
      <c r="AB2147" s="230"/>
      <c r="AC2147" s="1936"/>
      <c r="AD2147" s="230"/>
      <c r="AE2147" s="230"/>
      <c r="AF2147" s="230"/>
      <c r="AG2147" s="890"/>
      <c r="AJ2147" s="890"/>
      <c r="AN2147" s="223"/>
      <c r="AO2147" s="952"/>
      <c r="AP2147" s="1066"/>
      <c r="AQ2147" s="972"/>
      <c r="AR2147" s="1917"/>
      <c r="AS2147" s="222"/>
      <c r="AZ2147" s="889"/>
      <c r="BC2147" s="890"/>
      <c r="BD2147" s="952"/>
      <c r="BE2147" s="75"/>
      <c r="BF2147" s="572"/>
      <c r="BG2147" s="983"/>
      <c r="BH2147" s="222"/>
      <c r="BL2147" s="889"/>
      <c r="BO2147" s="223"/>
    </row>
    <row r="2148" spans="1:67" s="74" customFormat="1">
      <c r="A2148" s="15"/>
      <c r="B2148" s="15"/>
      <c r="C2148" s="15"/>
      <c r="D2148" s="15"/>
      <c r="E2148" s="6"/>
      <c r="F2148" s="6"/>
      <c r="G2148" s="6"/>
      <c r="K2148" s="223"/>
      <c r="M2148" s="889"/>
      <c r="P2148" s="890"/>
      <c r="T2148" s="889"/>
      <c r="X2148" s="15"/>
      <c r="Y2148" s="1935"/>
      <c r="Z2148" s="1086"/>
      <c r="AA2148" s="230"/>
      <c r="AB2148" s="230"/>
      <c r="AC2148" s="1936"/>
      <c r="AD2148" s="230"/>
      <c r="AE2148" s="230"/>
      <c r="AF2148" s="230"/>
      <c r="AG2148" s="890"/>
      <c r="AJ2148" s="890"/>
      <c r="AN2148" s="223"/>
      <c r="AO2148" s="952"/>
      <c r="AP2148" s="1066"/>
      <c r="AQ2148" s="972"/>
      <c r="AR2148" s="1917"/>
      <c r="AS2148" s="222"/>
      <c r="AZ2148" s="889"/>
      <c r="BC2148" s="890"/>
      <c r="BD2148" s="952"/>
      <c r="BE2148" s="75"/>
      <c r="BF2148" s="572"/>
      <c r="BG2148" s="983"/>
      <c r="BH2148" s="222"/>
      <c r="BL2148" s="889"/>
      <c r="BO2148" s="223"/>
    </row>
    <row r="2149" spans="1:67" s="74" customFormat="1">
      <c r="A2149" s="15"/>
      <c r="B2149" s="15"/>
      <c r="C2149" s="15"/>
      <c r="D2149" s="15"/>
      <c r="E2149" s="6"/>
      <c r="F2149" s="6"/>
      <c r="G2149" s="6"/>
      <c r="K2149" s="223"/>
      <c r="M2149" s="889"/>
      <c r="P2149" s="890"/>
      <c r="T2149" s="889"/>
      <c r="X2149" s="15"/>
      <c r="Y2149" s="1935"/>
      <c r="Z2149" s="1086"/>
      <c r="AA2149" s="230"/>
      <c r="AB2149" s="230"/>
      <c r="AC2149" s="1936"/>
      <c r="AD2149" s="230"/>
      <c r="AE2149" s="230"/>
      <c r="AF2149" s="230"/>
      <c r="AG2149" s="890"/>
      <c r="AJ2149" s="890"/>
      <c r="AN2149" s="223"/>
      <c r="AO2149" s="952"/>
      <c r="AP2149" s="1066"/>
      <c r="AQ2149" s="972"/>
      <c r="AR2149" s="1917"/>
      <c r="AS2149" s="222"/>
      <c r="AZ2149" s="889"/>
      <c r="BC2149" s="890"/>
      <c r="BD2149" s="952"/>
      <c r="BE2149" s="75"/>
      <c r="BF2149" s="572"/>
      <c r="BG2149" s="983"/>
      <c r="BH2149" s="222"/>
      <c r="BL2149" s="889"/>
      <c r="BO2149" s="223"/>
    </row>
    <row r="2150" spans="1:67" s="74" customFormat="1">
      <c r="A2150" s="15"/>
      <c r="B2150" s="15"/>
      <c r="C2150" s="15"/>
      <c r="D2150" s="15"/>
      <c r="E2150" s="6"/>
      <c r="F2150" s="6"/>
      <c r="G2150" s="6"/>
      <c r="K2150" s="223"/>
      <c r="M2150" s="889"/>
      <c r="P2150" s="890"/>
      <c r="T2150" s="889"/>
      <c r="X2150" s="15"/>
      <c r="Y2150" s="1935"/>
      <c r="Z2150" s="1086"/>
      <c r="AA2150" s="230"/>
      <c r="AB2150" s="230"/>
      <c r="AC2150" s="1936"/>
      <c r="AD2150" s="230"/>
      <c r="AE2150" s="230"/>
      <c r="AF2150" s="230"/>
      <c r="AG2150" s="890"/>
      <c r="AJ2150" s="890"/>
      <c r="AN2150" s="223"/>
      <c r="AO2150" s="952"/>
      <c r="AP2150" s="1066"/>
      <c r="AQ2150" s="972"/>
      <c r="AR2150" s="1917"/>
      <c r="AS2150" s="222"/>
      <c r="AZ2150" s="889"/>
      <c r="BC2150" s="890"/>
      <c r="BD2150" s="952"/>
      <c r="BE2150" s="75"/>
      <c r="BF2150" s="572"/>
      <c r="BG2150" s="983"/>
      <c r="BH2150" s="222"/>
      <c r="BL2150" s="889"/>
      <c r="BO2150" s="223"/>
    </row>
    <row r="2151" spans="1:67" s="74" customFormat="1">
      <c r="A2151" s="15"/>
      <c r="B2151" s="15"/>
      <c r="C2151" s="15"/>
      <c r="D2151" s="15"/>
      <c r="E2151" s="6"/>
      <c r="F2151" s="6"/>
      <c r="G2151" s="6"/>
      <c r="K2151" s="223"/>
      <c r="M2151" s="889"/>
      <c r="P2151" s="890"/>
      <c r="T2151" s="889"/>
      <c r="X2151" s="15"/>
      <c r="Y2151" s="1935"/>
      <c r="Z2151" s="1086"/>
      <c r="AA2151" s="230"/>
      <c r="AB2151" s="230"/>
      <c r="AC2151" s="1936"/>
      <c r="AD2151" s="230"/>
      <c r="AE2151" s="230"/>
      <c r="AF2151" s="230"/>
      <c r="AG2151" s="890"/>
      <c r="AJ2151" s="890"/>
      <c r="AN2151" s="223"/>
      <c r="AO2151" s="952"/>
      <c r="AP2151" s="1066"/>
      <c r="AQ2151" s="972"/>
      <c r="AR2151" s="1917"/>
      <c r="AS2151" s="222"/>
      <c r="AZ2151" s="889"/>
      <c r="BC2151" s="890"/>
      <c r="BD2151" s="952"/>
      <c r="BE2151" s="75"/>
      <c r="BF2151" s="572"/>
      <c r="BG2151" s="983"/>
      <c r="BH2151" s="222"/>
      <c r="BL2151" s="889"/>
      <c r="BO2151" s="223"/>
    </row>
    <row r="2152" spans="1:67" s="74" customFormat="1">
      <c r="A2152" s="15"/>
      <c r="B2152" s="15"/>
      <c r="C2152" s="15"/>
      <c r="D2152" s="15"/>
      <c r="E2152" s="6"/>
      <c r="F2152" s="6"/>
      <c r="G2152" s="6"/>
      <c r="K2152" s="223"/>
      <c r="M2152" s="889"/>
      <c r="P2152" s="890"/>
      <c r="T2152" s="889"/>
      <c r="X2152" s="15"/>
      <c r="Y2152" s="1935"/>
      <c r="Z2152" s="1086"/>
      <c r="AA2152" s="230"/>
      <c r="AB2152" s="230"/>
      <c r="AC2152" s="1936"/>
      <c r="AD2152" s="230"/>
      <c r="AE2152" s="230"/>
      <c r="AF2152" s="230"/>
      <c r="AG2152" s="890"/>
      <c r="AJ2152" s="890"/>
      <c r="AN2152" s="223"/>
      <c r="AO2152" s="952"/>
      <c r="AP2152" s="1066"/>
      <c r="AQ2152" s="972"/>
      <c r="AR2152" s="1917"/>
      <c r="AS2152" s="222"/>
      <c r="AZ2152" s="889"/>
      <c r="BC2152" s="890"/>
      <c r="BD2152" s="952"/>
      <c r="BE2152" s="75"/>
      <c r="BF2152" s="572"/>
      <c r="BG2152" s="983"/>
      <c r="BH2152" s="222"/>
      <c r="BL2152" s="889"/>
      <c r="BO2152" s="223"/>
    </row>
    <row r="2153" spans="1:67" s="74" customFormat="1">
      <c r="A2153" s="15"/>
      <c r="B2153" s="15"/>
      <c r="C2153" s="15"/>
      <c r="D2153" s="15"/>
      <c r="E2153" s="6"/>
      <c r="F2153" s="6"/>
      <c r="G2153" s="6"/>
      <c r="K2153" s="223"/>
      <c r="M2153" s="889"/>
      <c r="P2153" s="890"/>
      <c r="T2153" s="889"/>
      <c r="X2153" s="15"/>
      <c r="Y2153" s="1935"/>
      <c r="Z2153" s="1086"/>
      <c r="AA2153" s="230"/>
      <c r="AB2153" s="230"/>
      <c r="AC2153" s="1936"/>
      <c r="AD2153" s="230"/>
      <c r="AE2153" s="230"/>
      <c r="AF2153" s="230"/>
      <c r="AG2153" s="890"/>
      <c r="AJ2153" s="890"/>
      <c r="AN2153" s="223"/>
      <c r="AO2153" s="952"/>
      <c r="AP2153" s="1066"/>
      <c r="AQ2153" s="972"/>
      <c r="AR2153" s="1917"/>
      <c r="AS2153" s="222"/>
      <c r="AZ2153" s="889"/>
      <c r="BC2153" s="890"/>
      <c r="BD2153" s="952"/>
      <c r="BE2153" s="75"/>
      <c r="BF2153" s="572"/>
      <c r="BG2153" s="983"/>
      <c r="BH2153" s="222"/>
      <c r="BL2153" s="889"/>
      <c r="BO2153" s="223"/>
    </row>
    <row r="2154" spans="1:67" s="74" customFormat="1">
      <c r="A2154" s="15"/>
      <c r="B2154" s="15"/>
      <c r="C2154" s="15"/>
      <c r="D2154" s="15"/>
      <c r="E2154" s="6"/>
      <c r="F2154" s="6"/>
      <c r="G2154" s="6"/>
      <c r="K2154" s="223"/>
      <c r="M2154" s="889"/>
      <c r="P2154" s="890"/>
      <c r="T2154" s="889"/>
      <c r="X2154" s="15"/>
      <c r="Y2154" s="1935"/>
      <c r="Z2154" s="1086"/>
      <c r="AA2154" s="230"/>
      <c r="AB2154" s="230"/>
      <c r="AC2154" s="1936"/>
      <c r="AD2154" s="230"/>
      <c r="AE2154" s="230"/>
      <c r="AF2154" s="230"/>
      <c r="AG2154" s="890"/>
      <c r="AJ2154" s="890"/>
      <c r="AN2154" s="223"/>
      <c r="AO2154" s="952"/>
      <c r="AP2154" s="1066"/>
      <c r="AQ2154" s="972"/>
      <c r="AR2154" s="1917"/>
      <c r="AS2154" s="222"/>
      <c r="AZ2154" s="889"/>
      <c r="BC2154" s="890"/>
      <c r="BD2154" s="952"/>
      <c r="BE2154" s="75"/>
      <c r="BF2154" s="572"/>
      <c r="BG2154" s="983"/>
      <c r="BH2154" s="222"/>
      <c r="BL2154" s="889"/>
      <c r="BO2154" s="223"/>
    </row>
    <row r="2155" spans="1:67" s="74" customFormat="1">
      <c r="A2155" s="15"/>
      <c r="B2155" s="15"/>
      <c r="C2155" s="15"/>
      <c r="D2155" s="15"/>
      <c r="E2155" s="6"/>
      <c r="F2155" s="6"/>
      <c r="G2155" s="6"/>
      <c r="K2155" s="223"/>
      <c r="M2155" s="889"/>
      <c r="P2155" s="890"/>
      <c r="T2155" s="889"/>
      <c r="X2155" s="15"/>
      <c r="Y2155" s="1935"/>
      <c r="Z2155" s="1086"/>
      <c r="AA2155" s="230"/>
      <c r="AB2155" s="230"/>
      <c r="AC2155" s="1936"/>
      <c r="AD2155" s="230"/>
      <c r="AE2155" s="230"/>
      <c r="AF2155" s="230"/>
      <c r="AG2155" s="890"/>
      <c r="AJ2155" s="890"/>
      <c r="AN2155" s="223"/>
      <c r="AO2155" s="952"/>
      <c r="AP2155" s="1066"/>
      <c r="AQ2155" s="972"/>
      <c r="AR2155" s="1917"/>
      <c r="AS2155" s="222"/>
      <c r="AZ2155" s="889"/>
      <c r="BC2155" s="890"/>
      <c r="BD2155" s="952"/>
      <c r="BE2155" s="75"/>
      <c r="BF2155" s="572"/>
      <c r="BG2155" s="983"/>
      <c r="BH2155" s="222"/>
      <c r="BL2155" s="889"/>
      <c r="BO2155" s="223"/>
    </row>
    <row r="2156" spans="1:67" s="74" customFormat="1">
      <c r="A2156" s="15"/>
      <c r="B2156" s="15"/>
      <c r="C2156" s="15"/>
      <c r="D2156" s="15"/>
      <c r="E2156" s="6"/>
      <c r="F2156" s="6"/>
      <c r="G2156" s="6"/>
      <c r="K2156" s="223"/>
      <c r="M2156" s="889"/>
      <c r="P2156" s="890"/>
      <c r="T2156" s="889"/>
      <c r="X2156" s="15"/>
      <c r="Y2156" s="1935"/>
      <c r="Z2156" s="1086"/>
      <c r="AA2156" s="230"/>
      <c r="AB2156" s="230"/>
      <c r="AC2156" s="1936"/>
      <c r="AD2156" s="230"/>
      <c r="AE2156" s="230"/>
      <c r="AF2156" s="230"/>
      <c r="AG2156" s="890"/>
      <c r="AJ2156" s="890"/>
      <c r="AN2156" s="223"/>
      <c r="AO2156" s="952"/>
      <c r="AP2156" s="1066"/>
      <c r="AQ2156" s="972"/>
      <c r="AR2156" s="1917"/>
      <c r="AS2156" s="222"/>
      <c r="AZ2156" s="889"/>
      <c r="BC2156" s="890"/>
      <c r="BD2156" s="952"/>
      <c r="BE2156" s="75"/>
      <c r="BF2156" s="572"/>
      <c r="BG2156" s="983"/>
      <c r="BH2156" s="222"/>
      <c r="BL2156" s="889"/>
      <c r="BO2156" s="223"/>
    </row>
    <row r="2157" spans="1:67" s="74" customFormat="1">
      <c r="A2157" s="15"/>
      <c r="B2157" s="15"/>
      <c r="C2157" s="15"/>
      <c r="D2157" s="15"/>
      <c r="E2157" s="6"/>
      <c r="F2157" s="6"/>
      <c r="G2157" s="6"/>
      <c r="K2157" s="223"/>
      <c r="M2157" s="889"/>
      <c r="P2157" s="890"/>
      <c r="T2157" s="889"/>
      <c r="X2157" s="15"/>
      <c r="Y2157" s="1935"/>
      <c r="Z2157" s="1086"/>
      <c r="AA2157" s="230"/>
      <c r="AB2157" s="230"/>
      <c r="AC2157" s="1936"/>
      <c r="AD2157" s="230"/>
      <c r="AE2157" s="230"/>
      <c r="AF2157" s="230"/>
      <c r="AG2157" s="890"/>
      <c r="AJ2157" s="890"/>
      <c r="AN2157" s="223"/>
      <c r="AO2157" s="952"/>
      <c r="AP2157" s="1066"/>
      <c r="AQ2157" s="972"/>
      <c r="AR2157" s="1917"/>
      <c r="AS2157" s="222"/>
      <c r="AZ2157" s="889"/>
      <c r="BC2157" s="890"/>
      <c r="BD2157" s="952"/>
      <c r="BE2157" s="75"/>
      <c r="BF2157" s="572"/>
      <c r="BG2157" s="983"/>
      <c r="BH2157" s="222"/>
      <c r="BL2157" s="889"/>
      <c r="BO2157" s="223"/>
    </row>
    <row r="2158" spans="1:67" s="74" customFormat="1">
      <c r="A2158" s="15"/>
      <c r="B2158" s="15"/>
      <c r="C2158" s="15"/>
      <c r="D2158" s="15"/>
      <c r="E2158" s="6"/>
      <c r="F2158" s="6"/>
      <c r="G2158" s="6"/>
      <c r="K2158" s="223"/>
      <c r="M2158" s="889"/>
      <c r="P2158" s="890"/>
      <c r="T2158" s="889"/>
      <c r="X2158" s="15"/>
      <c r="Y2158" s="1935"/>
      <c r="Z2158" s="1086"/>
      <c r="AA2158" s="230"/>
      <c r="AB2158" s="230"/>
      <c r="AC2158" s="1936"/>
      <c r="AD2158" s="230"/>
      <c r="AE2158" s="230"/>
      <c r="AF2158" s="230"/>
      <c r="AG2158" s="890"/>
      <c r="AJ2158" s="890"/>
      <c r="AN2158" s="223"/>
      <c r="AO2158" s="952"/>
      <c r="AP2158" s="1066"/>
      <c r="AQ2158" s="972"/>
      <c r="AR2158" s="1917"/>
      <c r="AS2158" s="222"/>
      <c r="AZ2158" s="889"/>
      <c r="BC2158" s="890"/>
      <c r="BD2158" s="952"/>
      <c r="BE2158" s="75"/>
      <c r="BF2158" s="572"/>
      <c r="BG2158" s="983"/>
      <c r="BH2158" s="222"/>
      <c r="BL2158" s="889"/>
      <c r="BO2158" s="223"/>
    </row>
    <row r="2159" spans="1:67" s="74" customFormat="1">
      <c r="A2159" s="15"/>
      <c r="B2159" s="15"/>
      <c r="C2159" s="15"/>
      <c r="D2159" s="15"/>
      <c r="E2159" s="6"/>
      <c r="F2159" s="6"/>
      <c r="G2159" s="6"/>
      <c r="K2159" s="223"/>
      <c r="M2159" s="889"/>
      <c r="P2159" s="890"/>
      <c r="T2159" s="889"/>
      <c r="X2159" s="15"/>
      <c r="Y2159" s="1935"/>
      <c r="Z2159" s="1086"/>
      <c r="AA2159" s="230"/>
      <c r="AB2159" s="230"/>
      <c r="AC2159" s="1936"/>
      <c r="AD2159" s="230"/>
      <c r="AE2159" s="230"/>
      <c r="AF2159" s="230"/>
      <c r="AG2159" s="890"/>
      <c r="AJ2159" s="890"/>
      <c r="AN2159" s="223"/>
      <c r="AO2159" s="952"/>
      <c r="AP2159" s="1066"/>
      <c r="AQ2159" s="972"/>
      <c r="AR2159" s="1917"/>
      <c r="AS2159" s="222"/>
      <c r="AZ2159" s="889"/>
      <c r="BC2159" s="890"/>
      <c r="BD2159" s="952"/>
      <c r="BE2159" s="75"/>
      <c r="BF2159" s="572"/>
      <c r="BG2159" s="983"/>
      <c r="BH2159" s="222"/>
      <c r="BL2159" s="889"/>
      <c r="BO2159" s="223"/>
    </row>
    <row r="2160" spans="1:67" s="74" customFormat="1">
      <c r="A2160" s="15"/>
      <c r="B2160" s="15"/>
      <c r="C2160" s="15"/>
      <c r="D2160" s="15"/>
      <c r="E2160" s="6"/>
      <c r="F2160" s="6"/>
      <c r="G2160" s="6"/>
      <c r="K2160" s="223"/>
      <c r="M2160" s="889"/>
      <c r="P2160" s="890"/>
      <c r="T2160" s="889"/>
      <c r="X2160" s="15"/>
      <c r="Y2160" s="1935"/>
      <c r="Z2160" s="1086"/>
      <c r="AA2160" s="230"/>
      <c r="AB2160" s="230"/>
      <c r="AC2160" s="1936"/>
      <c r="AD2160" s="230"/>
      <c r="AE2160" s="230"/>
      <c r="AF2160" s="230"/>
      <c r="AG2160" s="890"/>
      <c r="AJ2160" s="890"/>
      <c r="AN2160" s="223"/>
      <c r="AO2160" s="952"/>
      <c r="AP2160" s="1066"/>
      <c r="AQ2160" s="972"/>
      <c r="AR2160" s="1917"/>
      <c r="AS2160" s="222"/>
      <c r="AZ2160" s="889"/>
      <c r="BC2160" s="890"/>
      <c r="BD2160" s="952"/>
      <c r="BE2160" s="75"/>
      <c r="BF2160" s="572"/>
      <c r="BG2160" s="983"/>
      <c r="BH2160" s="222"/>
      <c r="BL2160" s="889"/>
      <c r="BO2160" s="223"/>
    </row>
    <row r="2161" spans="1:67" s="74" customFormat="1">
      <c r="A2161" s="15"/>
      <c r="B2161" s="15"/>
      <c r="C2161" s="15"/>
      <c r="D2161" s="15"/>
      <c r="E2161" s="6"/>
      <c r="F2161" s="6"/>
      <c r="G2161" s="6"/>
      <c r="K2161" s="223"/>
      <c r="M2161" s="889"/>
      <c r="P2161" s="890"/>
      <c r="T2161" s="889"/>
      <c r="X2161" s="15"/>
      <c r="Y2161" s="1935"/>
      <c r="Z2161" s="1086"/>
      <c r="AA2161" s="230"/>
      <c r="AB2161" s="230"/>
      <c r="AC2161" s="1936"/>
      <c r="AD2161" s="230"/>
      <c r="AE2161" s="230"/>
      <c r="AF2161" s="230"/>
      <c r="AG2161" s="890"/>
      <c r="AJ2161" s="890"/>
      <c r="AN2161" s="223"/>
      <c r="AO2161" s="952"/>
      <c r="AP2161" s="1066"/>
      <c r="AQ2161" s="972"/>
      <c r="AR2161" s="1917"/>
      <c r="AS2161" s="222"/>
      <c r="AZ2161" s="889"/>
      <c r="BC2161" s="890"/>
      <c r="BD2161" s="952"/>
      <c r="BE2161" s="75"/>
      <c r="BF2161" s="572"/>
      <c r="BG2161" s="983"/>
      <c r="BH2161" s="222"/>
      <c r="BL2161" s="889"/>
      <c r="BO2161" s="223"/>
    </row>
    <row r="2162" spans="1:67" s="74" customFormat="1">
      <c r="A2162" s="15"/>
      <c r="B2162" s="15"/>
      <c r="C2162" s="15"/>
      <c r="D2162" s="15"/>
      <c r="E2162" s="6"/>
      <c r="F2162" s="6"/>
      <c r="G2162" s="6"/>
      <c r="K2162" s="223"/>
      <c r="M2162" s="889"/>
      <c r="P2162" s="890"/>
      <c r="T2162" s="889"/>
      <c r="X2162" s="15"/>
      <c r="Y2162" s="1935"/>
      <c r="Z2162" s="1086"/>
      <c r="AA2162" s="230"/>
      <c r="AB2162" s="230"/>
      <c r="AC2162" s="1936"/>
      <c r="AD2162" s="230"/>
      <c r="AE2162" s="230"/>
      <c r="AF2162" s="230"/>
      <c r="AG2162" s="890"/>
      <c r="AJ2162" s="890"/>
      <c r="AN2162" s="223"/>
      <c r="AO2162" s="952"/>
      <c r="AP2162" s="1066"/>
      <c r="AQ2162" s="972"/>
      <c r="AR2162" s="1917"/>
      <c r="AS2162" s="222"/>
      <c r="AZ2162" s="889"/>
      <c r="BC2162" s="890"/>
      <c r="BD2162" s="952"/>
      <c r="BE2162" s="75"/>
      <c r="BF2162" s="572"/>
      <c r="BG2162" s="983"/>
      <c r="BH2162" s="222"/>
      <c r="BL2162" s="889"/>
      <c r="BO2162" s="223"/>
    </row>
    <row r="2163" spans="1:67" s="74" customFormat="1">
      <c r="A2163" s="15"/>
      <c r="B2163" s="15"/>
      <c r="C2163" s="15"/>
      <c r="D2163" s="15"/>
      <c r="E2163" s="6"/>
      <c r="F2163" s="6"/>
      <c r="G2163" s="6"/>
      <c r="K2163" s="223"/>
      <c r="M2163" s="889"/>
      <c r="P2163" s="890"/>
      <c r="T2163" s="889"/>
      <c r="X2163" s="15"/>
      <c r="Y2163" s="1935"/>
      <c r="Z2163" s="1086"/>
      <c r="AA2163" s="230"/>
      <c r="AB2163" s="230"/>
      <c r="AC2163" s="1936"/>
      <c r="AD2163" s="230"/>
      <c r="AE2163" s="230"/>
      <c r="AF2163" s="230"/>
      <c r="AG2163" s="890"/>
      <c r="AJ2163" s="890"/>
      <c r="AN2163" s="223"/>
      <c r="AO2163" s="952"/>
      <c r="AP2163" s="1066"/>
      <c r="AQ2163" s="972"/>
      <c r="AR2163" s="1917"/>
      <c r="AS2163" s="222"/>
      <c r="AZ2163" s="889"/>
      <c r="BC2163" s="890"/>
      <c r="BD2163" s="952"/>
      <c r="BE2163" s="75"/>
      <c r="BF2163" s="572"/>
      <c r="BG2163" s="983"/>
      <c r="BH2163" s="222"/>
      <c r="BL2163" s="889"/>
      <c r="BO2163" s="223"/>
    </row>
    <row r="2164" spans="1:67" s="74" customFormat="1">
      <c r="A2164" s="15"/>
      <c r="B2164" s="15"/>
      <c r="C2164" s="15"/>
      <c r="D2164" s="15"/>
      <c r="E2164" s="6"/>
      <c r="F2164" s="6"/>
      <c r="G2164" s="6"/>
      <c r="K2164" s="223"/>
      <c r="M2164" s="889"/>
      <c r="P2164" s="890"/>
      <c r="T2164" s="889"/>
      <c r="X2164" s="15"/>
      <c r="Y2164" s="1935"/>
      <c r="Z2164" s="1086"/>
      <c r="AA2164" s="230"/>
      <c r="AB2164" s="230"/>
      <c r="AC2164" s="1936"/>
      <c r="AD2164" s="230"/>
      <c r="AE2164" s="230"/>
      <c r="AF2164" s="230"/>
      <c r="AG2164" s="890"/>
      <c r="AJ2164" s="890"/>
      <c r="AN2164" s="223"/>
      <c r="AO2164" s="952"/>
      <c r="AP2164" s="1066"/>
      <c r="AQ2164" s="972"/>
      <c r="AR2164" s="1917"/>
      <c r="AS2164" s="222"/>
      <c r="AZ2164" s="889"/>
      <c r="BC2164" s="890"/>
      <c r="BD2164" s="952"/>
      <c r="BE2164" s="75"/>
      <c r="BF2164" s="572"/>
      <c r="BG2164" s="983"/>
      <c r="BH2164" s="222"/>
      <c r="BL2164" s="889"/>
      <c r="BO2164" s="223"/>
    </row>
    <row r="2165" spans="1:67" s="74" customFormat="1">
      <c r="A2165" s="15"/>
      <c r="B2165" s="15"/>
      <c r="C2165" s="15"/>
      <c r="D2165" s="15"/>
      <c r="E2165" s="6"/>
      <c r="F2165" s="6"/>
      <c r="G2165" s="6"/>
      <c r="K2165" s="223"/>
      <c r="M2165" s="889"/>
      <c r="P2165" s="890"/>
      <c r="T2165" s="889"/>
      <c r="X2165" s="15"/>
      <c r="Y2165" s="1935"/>
      <c r="Z2165" s="1086"/>
      <c r="AA2165" s="230"/>
      <c r="AB2165" s="230"/>
      <c r="AC2165" s="1936"/>
      <c r="AD2165" s="230"/>
      <c r="AE2165" s="230"/>
      <c r="AF2165" s="230"/>
      <c r="AG2165" s="890"/>
      <c r="AJ2165" s="890"/>
      <c r="AN2165" s="223"/>
      <c r="AO2165" s="952"/>
      <c r="AP2165" s="1066"/>
      <c r="AQ2165" s="972"/>
      <c r="AR2165" s="1917"/>
      <c r="AS2165" s="222"/>
      <c r="AZ2165" s="889"/>
      <c r="BC2165" s="890"/>
      <c r="BD2165" s="952"/>
      <c r="BE2165" s="75"/>
      <c r="BF2165" s="572"/>
      <c r="BG2165" s="983"/>
      <c r="BH2165" s="222"/>
      <c r="BL2165" s="889"/>
      <c r="BO2165" s="223"/>
    </row>
    <row r="2166" spans="1:67" s="74" customFormat="1">
      <c r="A2166" s="15"/>
      <c r="B2166" s="15"/>
      <c r="C2166" s="15"/>
      <c r="D2166" s="15"/>
      <c r="E2166" s="6"/>
      <c r="F2166" s="6"/>
      <c r="G2166" s="6"/>
      <c r="K2166" s="223"/>
      <c r="M2166" s="889"/>
      <c r="P2166" s="890"/>
      <c r="T2166" s="889"/>
      <c r="X2166" s="15"/>
      <c r="Y2166" s="1935"/>
      <c r="Z2166" s="1086"/>
      <c r="AA2166" s="230"/>
      <c r="AB2166" s="230"/>
      <c r="AC2166" s="1936"/>
      <c r="AD2166" s="230"/>
      <c r="AE2166" s="230"/>
      <c r="AF2166" s="230"/>
      <c r="AG2166" s="890"/>
      <c r="AJ2166" s="890"/>
      <c r="AN2166" s="223"/>
      <c r="AO2166" s="952"/>
      <c r="AP2166" s="1066"/>
      <c r="AQ2166" s="972"/>
      <c r="AR2166" s="1917"/>
      <c r="AS2166" s="222"/>
      <c r="AZ2166" s="889"/>
      <c r="BC2166" s="890"/>
      <c r="BD2166" s="952"/>
      <c r="BE2166" s="75"/>
      <c r="BF2166" s="572"/>
      <c r="BG2166" s="983"/>
      <c r="BH2166" s="222"/>
      <c r="BL2166" s="889"/>
      <c r="BO2166" s="223"/>
    </row>
    <row r="2167" spans="1:67" s="74" customFormat="1">
      <c r="A2167" s="15"/>
      <c r="B2167" s="15"/>
      <c r="C2167" s="15"/>
      <c r="D2167" s="15"/>
      <c r="E2167" s="6"/>
      <c r="F2167" s="6"/>
      <c r="G2167" s="6"/>
      <c r="K2167" s="223"/>
      <c r="M2167" s="889"/>
      <c r="P2167" s="890"/>
      <c r="T2167" s="889"/>
      <c r="X2167" s="15"/>
      <c r="Y2167" s="1935"/>
      <c r="Z2167" s="1086"/>
      <c r="AA2167" s="230"/>
      <c r="AB2167" s="230"/>
      <c r="AC2167" s="1936"/>
      <c r="AD2167" s="230"/>
      <c r="AE2167" s="230"/>
      <c r="AF2167" s="230"/>
      <c r="AG2167" s="890"/>
      <c r="AJ2167" s="890"/>
      <c r="AN2167" s="223"/>
      <c r="AO2167" s="952"/>
      <c r="AP2167" s="1066"/>
      <c r="AQ2167" s="972"/>
      <c r="AR2167" s="1917"/>
      <c r="AS2167" s="222"/>
      <c r="AZ2167" s="889"/>
      <c r="BC2167" s="890"/>
      <c r="BD2167" s="952"/>
      <c r="BE2167" s="75"/>
      <c r="BF2167" s="572"/>
      <c r="BG2167" s="983"/>
      <c r="BH2167" s="222"/>
      <c r="BL2167" s="889"/>
      <c r="BO2167" s="223"/>
    </row>
    <row r="2168" spans="1:67" s="74" customFormat="1">
      <c r="A2168" s="15"/>
      <c r="B2168" s="15"/>
      <c r="C2168" s="15"/>
      <c r="D2168" s="15"/>
      <c r="E2168" s="6"/>
      <c r="F2168" s="6"/>
      <c r="G2168" s="6"/>
      <c r="K2168" s="223"/>
      <c r="M2168" s="889"/>
      <c r="P2168" s="890"/>
      <c r="T2168" s="889"/>
      <c r="X2168" s="15"/>
      <c r="Y2168" s="1935"/>
      <c r="Z2168" s="1086"/>
      <c r="AA2168" s="230"/>
      <c r="AB2168" s="230"/>
      <c r="AC2168" s="1936"/>
      <c r="AD2168" s="230"/>
      <c r="AE2168" s="230"/>
      <c r="AF2168" s="230"/>
      <c r="AG2168" s="890"/>
      <c r="AJ2168" s="890"/>
      <c r="AN2168" s="223"/>
      <c r="AO2168" s="952"/>
      <c r="AP2168" s="1066"/>
      <c r="AQ2168" s="972"/>
      <c r="AR2168" s="1917"/>
      <c r="AS2168" s="222"/>
      <c r="AZ2168" s="889"/>
      <c r="BC2168" s="890"/>
      <c r="BD2168" s="952"/>
      <c r="BE2168" s="75"/>
      <c r="BF2168" s="572"/>
      <c r="BG2168" s="983"/>
      <c r="BH2168" s="222"/>
      <c r="BL2168" s="889"/>
      <c r="BO2168" s="223"/>
    </row>
    <row r="2169" spans="1:67" s="74" customFormat="1">
      <c r="A2169" s="15"/>
      <c r="B2169" s="15"/>
      <c r="C2169" s="15"/>
      <c r="D2169" s="15"/>
      <c r="E2169" s="6"/>
      <c r="F2169" s="6"/>
      <c r="G2169" s="6"/>
      <c r="K2169" s="223"/>
      <c r="M2169" s="889"/>
      <c r="P2169" s="890"/>
      <c r="T2169" s="889"/>
      <c r="X2169" s="15"/>
      <c r="Y2169" s="1935"/>
      <c r="Z2169" s="1086"/>
      <c r="AA2169" s="230"/>
      <c r="AB2169" s="230"/>
      <c r="AC2169" s="1936"/>
      <c r="AD2169" s="230"/>
      <c r="AE2169" s="230"/>
      <c r="AF2169" s="230"/>
      <c r="AG2169" s="890"/>
      <c r="AJ2169" s="890"/>
      <c r="AN2169" s="223"/>
      <c r="AO2169" s="952"/>
      <c r="AP2169" s="1066"/>
      <c r="AQ2169" s="972"/>
      <c r="AR2169" s="1917"/>
      <c r="AS2169" s="222"/>
      <c r="AZ2169" s="889"/>
      <c r="BC2169" s="890"/>
      <c r="BD2169" s="952"/>
      <c r="BE2169" s="75"/>
      <c r="BF2169" s="572"/>
      <c r="BG2169" s="983"/>
      <c r="BH2169" s="222"/>
      <c r="BL2169" s="889"/>
      <c r="BO2169" s="223"/>
    </row>
    <row r="2170" spans="1:67" s="74" customFormat="1">
      <c r="A2170" s="15"/>
      <c r="B2170" s="15"/>
      <c r="C2170" s="15"/>
      <c r="D2170" s="15"/>
      <c r="E2170" s="6"/>
      <c r="F2170" s="6"/>
      <c r="G2170" s="6"/>
      <c r="K2170" s="223"/>
      <c r="M2170" s="889"/>
      <c r="P2170" s="890"/>
      <c r="T2170" s="889"/>
      <c r="X2170" s="15"/>
      <c r="Y2170" s="1935"/>
      <c r="Z2170" s="1086"/>
      <c r="AA2170" s="230"/>
      <c r="AB2170" s="230"/>
      <c r="AC2170" s="1936"/>
      <c r="AD2170" s="230"/>
      <c r="AE2170" s="230"/>
      <c r="AF2170" s="230"/>
      <c r="AG2170" s="890"/>
      <c r="AJ2170" s="890"/>
      <c r="AN2170" s="223"/>
      <c r="AO2170" s="952"/>
      <c r="AP2170" s="1066"/>
      <c r="AQ2170" s="972"/>
      <c r="AR2170" s="1917"/>
      <c r="AS2170" s="222"/>
      <c r="AZ2170" s="889"/>
      <c r="BC2170" s="890"/>
      <c r="BD2170" s="952"/>
      <c r="BE2170" s="75"/>
      <c r="BF2170" s="572"/>
      <c r="BG2170" s="983"/>
      <c r="BH2170" s="222"/>
      <c r="BL2170" s="889"/>
      <c r="BO2170" s="223"/>
    </row>
    <row r="2171" spans="1:67" s="74" customFormat="1">
      <c r="A2171" s="15"/>
      <c r="B2171" s="15"/>
      <c r="C2171" s="15"/>
      <c r="D2171" s="15"/>
      <c r="E2171" s="6"/>
      <c r="F2171" s="6"/>
      <c r="G2171" s="6"/>
      <c r="K2171" s="223"/>
      <c r="M2171" s="889"/>
      <c r="P2171" s="890"/>
      <c r="T2171" s="889"/>
      <c r="X2171" s="15"/>
      <c r="Y2171" s="1935"/>
      <c r="Z2171" s="1086"/>
      <c r="AA2171" s="230"/>
      <c r="AB2171" s="230"/>
      <c r="AC2171" s="1936"/>
      <c r="AD2171" s="230"/>
      <c r="AE2171" s="230"/>
      <c r="AF2171" s="230"/>
      <c r="AG2171" s="890"/>
      <c r="AJ2171" s="890"/>
      <c r="AN2171" s="223"/>
      <c r="AO2171" s="952"/>
      <c r="AP2171" s="1066"/>
      <c r="AQ2171" s="972"/>
      <c r="AR2171" s="1917"/>
      <c r="AS2171" s="222"/>
      <c r="AZ2171" s="889"/>
      <c r="BC2171" s="890"/>
      <c r="BD2171" s="952"/>
      <c r="BE2171" s="75"/>
      <c r="BF2171" s="572"/>
      <c r="BG2171" s="983"/>
      <c r="BH2171" s="222"/>
      <c r="BL2171" s="889"/>
      <c r="BO2171" s="223"/>
    </row>
    <row r="2172" spans="1:67" s="74" customFormat="1">
      <c r="A2172" s="15"/>
      <c r="B2172" s="15"/>
      <c r="C2172" s="15"/>
      <c r="D2172" s="15"/>
      <c r="E2172" s="6"/>
      <c r="F2172" s="6"/>
      <c r="G2172" s="6"/>
      <c r="K2172" s="223"/>
      <c r="M2172" s="889"/>
      <c r="P2172" s="890"/>
      <c r="T2172" s="889"/>
      <c r="X2172" s="15"/>
      <c r="Y2172" s="1935"/>
      <c r="Z2172" s="1086"/>
      <c r="AA2172" s="230"/>
      <c r="AB2172" s="230"/>
      <c r="AC2172" s="1936"/>
      <c r="AD2172" s="230"/>
      <c r="AE2172" s="230"/>
      <c r="AF2172" s="230"/>
      <c r="AG2172" s="890"/>
      <c r="AJ2172" s="890"/>
      <c r="AN2172" s="223"/>
      <c r="AO2172" s="952"/>
      <c r="AP2172" s="1066"/>
      <c r="AQ2172" s="972"/>
      <c r="AR2172" s="1917"/>
      <c r="AS2172" s="222"/>
      <c r="AZ2172" s="889"/>
      <c r="BC2172" s="890"/>
      <c r="BD2172" s="952"/>
      <c r="BE2172" s="75"/>
      <c r="BF2172" s="572"/>
      <c r="BG2172" s="983"/>
      <c r="BH2172" s="222"/>
      <c r="BL2172" s="889"/>
      <c r="BO2172" s="223"/>
    </row>
    <row r="2173" spans="1:67" s="74" customFormat="1">
      <c r="A2173" s="15"/>
      <c r="B2173" s="15"/>
      <c r="C2173" s="15"/>
      <c r="D2173" s="15"/>
      <c r="E2173" s="6"/>
      <c r="F2173" s="6"/>
      <c r="G2173" s="6"/>
      <c r="K2173" s="223"/>
      <c r="M2173" s="889"/>
      <c r="P2173" s="890"/>
      <c r="T2173" s="889"/>
      <c r="X2173" s="15"/>
      <c r="Y2173" s="1935"/>
      <c r="Z2173" s="1086"/>
      <c r="AA2173" s="230"/>
      <c r="AB2173" s="230"/>
      <c r="AC2173" s="1936"/>
      <c r="AD2173" s="230"/>
      <c r="AE2173" s="230"/>
      <c r="AF2173" s="230"/>
      <c r="AG2173" s="890"/>
      <c r="AJ2173" s="890"/>
      <c r="AN2173" s="223"/>
      <c r="AO2173" s="952"/>
      <c r="AP2173" s="1066"/>
      <c r="AQ2173" s="972"/>
      <c r="AR2173" s="1917"/>
      <c r="AS2173" s="222"/>
      <c r="AZ2173" s="889"/>
      <c r="BC2173" s="890"/>
      <c r="BD2173" s="952"/>
      <c r="BE2173" s="75"/>
      <c r="BF2173" s="572"/>
      <c r="BG2173" s="983"/>
      <c r="BH2173" s="222"/>
      <c r="BL2173" s="889"/>
      <c r="BO2173" s="223"/>
    </row>
    <row r="2174" spans="1:67" s="74" customFormat="1">
      <c r="A2174" s="15"/>
      <c r="B2174" s="15"/>
      <c r="C2174" s="15"/>
      <c r="D2174" s="15"/>
      <c r="E2174" s="6"/>
      <c r="F2174" s="6"/>
      <c r="G2174" s="6"/>
      <c r="K2174" s="223"/>
      <c r="M2174" s="889"/>
      <c r="P2174" s="890"/>
      <c r="T2174" s="889"/>
      <c r="X2174" s="15"/>
      <c r="Y2174" s="1935"/>
      <c r="Z2174" s="1086"/>
      <c r="AA2174" s="230"/>
      <c r="AB2174" s="230"/>
      <c r="AC2174" s="1936"/>
      <c r="AD2174" s="230"/>
      <c r="AE2174" s="230"/>
      <c r="AF2174" s="230"/>
      <c r="AG2174" s="890"/>
      <c r="AJ2174" s="890"/>
      <c r="AN2174" s="223"/>
      <c r="AO2174" s="952"/>
      <c r="AP2174" s="1066"/>
      <c r="AQ2174" s="972"/>
      <c r="AR2174" s="1917"/>
      <c r="AS2174" s="222"/>
      <c r="AZ2174" s="889"/>
      <c r="BC2174" s="890"/>
      <c r="BD2174" s="952"/>
      <c r="BE2174" s="75"/>
      <c r="BF2174" s="572"/>
      <c r="BG2174" s="983"/>
      <c r="BH2174" s="222"/>
      <c r="BL2174" s="889"/>
      <c r="BO2174" s="223"/>
    </row>
    <row r="2175" spans="1:67" s="74" customFormat="1">
      <c r="A2175" s="15"/>
      <c r="B2175" s="15"/>
      <c r="C2175" s="15"/>
      <c r="D2175" s="15"/>
      <c r="E2175" s="6"/>
      <c r="F2175" s="6"/>
      <c r="G2175" s="6"/>
      <c r="K2175" s="223"/>
      <c r="M2175" s="889"/>
      <c r="P2175" s="890"/>
      <c r="T2175" s="889"/>
      <c r="X2175" s="15"/>
      <c r="Y2175" s="1935"/>
      <c r="Z2175" s="1086"/>
      <c r="AA2175" s="230"/>
      <c r="AB2175" s="230"/>
      <c r="AC2175" s="1936"/>
      <c r="AD2175" s="230"/>
      <c r="AE2175" s="230"/>
      <c r="AF2175" s="230"/>
      <c r="AG2175" s="890"/>
      <c r="AJ2175" s="890"/>
      <c r="AN2175" s="223"/>
      <c r="AO2175" s="952"/>
      <c r="AP2175" s="1066"/>
      <c r="AQ2175" s="972"/>
      <c r="AR2175" s="1917"/>
      <c r="AS2175" s="222"/>
      <c r="AZ2175" s="889"/>
      <c r="BC2175" s="890"/>
      <c r="BD2175" s="952"/>
      <c r="BE2175" s="75"/>
      <c r="BF2175" s="572"/>
      <c r="BG2175" s="983"/>
      <c r="BH2175" s="222"/>
      <c r="BL2175" s="889"/>
      <c r="BO2175" s="223"/>
    </row>
    <row r="2176" spans="1:67" s="74" customFormat="1">
      <c r="A2176" s="15"/>
      <c r="B2176" s="15"/>
      <c r="C2176" s="15"/>
      <c r="D2176" s="15"/>
      <c r="E2176" s="6"/>
      <c r="F2176" s="6"/>
      <c r="G2176" s="6"/>
      <c r="K2176" s="223"/>
      <c r="M2176" s="889"/>
      <c r="P2176" s="890"/>
      <c r="T2176" s="889"/>
      <c r="X2176" s="15"/>
      <c r="Y2176" s="1935"/>
      <c r="Z2176" s="1086"/>
      <c r="AA2176" s="230"/>
      <c r="AB2176" s="230"/>
      <c r="AC2176" s="1936"/>
      <c r="AD2176" s="230"/>
      <c r="AE2176" s="230"/>
      <c r="AF2176" s="230"/>
      <c r="AG2176" s="890"/>
      <c r="AJ2176" s="890"/>
      <c r="AN2176" s="223"/>
      <c r="AO2176" s="952"/>
      <c r="AP2176" s="1066"/>
      <c r="AQ2176" s="972"/>
      <c r="AR2176" s="1917"/>
      <c r="AS2176" s="222"/>
      <c r="AZ2176" s="889"/>
      <c r="BC2176" s="890"/>
      <c r="BD2176" s="952"/>
      <c r="BE2176" s="75"/>
      <c r="BF2176" s="572"/>
      <c r="BG2176" s="983"/>
      <c r="BH2176" s="222"/>
      <c r="BL2176" s="889"/>
      <c r="BO2176" s="223"/>
    </row>
    <row r="2177" spans="1:67" s="74" customFormat="1">
      <c r="A2177" s="15"/>
      <c r="B2177" s="15"/>
      <c r="C2177" s="15"/>
      <c r="D2177" s="15"/>
      <c r="E2177" s="6"/>
      <c r="F2177" s="6"/>
      <c r="G2177" s="6"/>
      <c r="K2177" s="223"/>
      <c r="M2177" s="889"/>
      <c r="P2177" s="890"/>
      <c r="T2177" s="889"/>
      <c r="X2177" s="15"/>
      <c r="Y2177" s="1935"/>
      <c r="Z2177" s="1086"/>
      <c r="AA2177" s="230"/>
      <c r="AB2177" s="230"/>
      <c r="AC2177" s="1936"/>
      <c r="AD2177" s="230"/>
      <c r="AE2177" s="230"/>
      <c r="AF2177" s="230"/>
      <c r="AG2177" s="890"/>
      <c r="AJ2177" s="890"/>
      <c r="AN2177" s="223"/>
      <c r="AO2177" s="952"/>
      <c r="AP2177" s="1066"/>
      <c r="AQ2177" s="972"/>
      <c r="AR2177" s="1917"/>
      <c r="AS2177" s="222"/>
      <c r="AZ2177" s="889"/>
      <c r="BC2177" s="890"/>
      <c r="BD2177" s="952"/>
      <c r="BE2177" s="75"/>
      <c r="BF2177" s="572"/>
      <c r="BG2177" s="983"/>
      <c r="BH2177" s="222"/>
      <c r="BL2177" s="889"/>
      <c r="BO2177" s="223"/>
    </row>
    <row r="2178" spans="1:67" s="74" customFormat="1">
      <c r="A2178" s="15"/>
      <c r="B2178" s="15"/>
      <c r="C2178" s="15"/>
      <c r="D2178" s="15"/>
      <c r="E2178" s="6"/>
      <c r="F2178" s="6"/>
      <c r="G2178" s="6"/>
      <c r="K2178" s="223"/>
      <c r="M2178" s="889"/>
      <c r="P2178" s="890"/>
      <c r="T2178" s="889"/>
      <c r="X2178" s="15"/>
      <c r="Y2178" s="1935"/>
      <c r="Z2178" s="1086"/>
      <c r="AA2178" s="230"/>
      <c r="AB2178" s="230"/>
      <c r="AC2178" s="1936"/>
      <c r="AD2178" s="230"/>
      <c r="AE2178" s="230"/>
      <c r="AF2178" s="230"/>
      <c r="AG2178" s="890"/>
      <c r="AJ2178" s="890"/>
      <c r="AN2178" s="223"/>
      <c r="AO2178" s="952"/>
      <c r="AP2178" s="1066"/>
      <c r="AQ2178" s="972"/>
      <c r="AR2178" s="1917"/>
      <c r="AS2178" s="222"/>
      <c r="AZ2178" s="889"/>
      <c r="BC2178" s="890"/>
      <c r="BD2178" s="952"/>
      <c r="BE2178" s="75"/>
      <c r="BF2178" s="572"/>
      <c r="BG2178" s="983"/>
      <c r="BH2178" s="222"/>
      <c r="BL2178" s="889"/>
      <c r="BO2178" s="223"/>
    </row>
    <row r="2179" spans="1:67" s="74" customFormat="1">
      <c r="A2179" s="15"/>
      <c r="B2179" s="15"/>
      <c r="C2179" s="15"/>
      <c r="D2179" s="15"/>
      <c r="E2179" s="6"/>
      <c r="F2179" s="6"/>
      <c r="G2179" s="6"/>
      <c r="K2179" s="223"/>
      <c r="M2179" s="889"/>
      <c r="P2179" s="890"/>
      <c r="T2179" s="889"/>
      <c r="X2179" s="15"/>
      <c r="Y2179" s="1935"/>
      <c r="Z2179" s="1086"/>
      <c r="AA2179" s="230"/>
      <c r="AB2179" s="230"/>
      <c r="AC2179" s="1936"/>
      <c r="AD2179" s="230"/>
      <c r="AE2179" s="230"/>
      <c r="AF2179" s="230"/>
      <c r="AG2179" s="890"/>
      <c r="AJ2179" s="890"/>
      <c r="AN2179" s="223"/>
      <c r="AO2179" s="952"/>
      <c r="AP2179" s="1066"/>
      <c r="AQ2179" s="972"/>
      <c r="AR2179" s="1917"/>
      <c r="AS2179" s="222"/>
      <c r="AZ2179" s="889"/>
      <c r="BC2179" s="890"/>
      <c r="BD2179" s="952"/>
      <c r="BE2179" s="75"/>
      <c r="BF2179" s="572"/>
      <c r="BG2179" s="983"/>
      <c r="BH2179" s="222"/>
      <c r="BL2179" s="889"/>
      <c r="BO2179" s="223"/>
    </row>
    <row r="2180" spans="1:67" s="74" customFormat="1">
      <c r="A2180" s="15"/>
      <c r="B2180" s="15"/>
      <c r="C2180" s="15"/>
      <c r="D2180" s="15"/>
      <c r="E2180" s="6"/>
      <c r="F2180" s="6"/>
      <c r="G2180" s="6"/>
      <c r="K2180" s="223"/>
      <c r="M2180" s="889"/>
      <c r="P2180" s="890"/>
      <c r="T2180" s="889"/>
      <c r="X2180" s="15"/>
      <c r="Y2180" s="1935"/>
      <c r="Z2180" s="1086"/>
      <c r="AA2180" s="230"/>
      <c r="AB2180" s="230"/>
      <c r="AC2180" s="1936"/>
      <c r="AD2180" s="230"/>
      <c r="AE2180" s="230"/>
      <c r="AF2180" s="230"/>
      <c r="AG2180" s="890"/>
      <c r="AJ2180" s="890"/>
      <c r="AN2180" s="223"/>
      <c r="AO2180" s="952"/>
      <c r="AP2180" s="1066"/>
      <c r="AQ2180" s="972"/>
      <c r="AR2180" s="1917"/>
      <c r="AS2180" s="222"/>
      <c r="AZ2180" s="889"/>
      <c r="BC2180" s="890"/>
      <c r="BD2180" s="952"/>
      <c r="BE2180" s="75"/>
      <c r="BF2180" s="572"/>
      <c r="BG2180" s="983"/>
      <c r="BH2180" s="222"/>
      <c r="BL2180" s="889"/>
      <c r="BO2180" s="223"/>
    </row>
    <row r="2181" spans="1:67" s="74" customFormat="1">
      <c r="A2181" s="15"/>
      <c r="B2181" s="15"/>
      <c r="C2181" s="15"/>
      <c r="D2181" s="15"/>
      <c r="E2181" s="6"/>
      <c r="F2181" s="6"/>
      <c r="G2181" s="6"/>
      <c r="K2181" s="223"/>
      <c r="M2181" s="889"/>
      <c r="P2181" s="890"/>
      <c r="T2181" s="889"/>
      <c r="X2181" s="15"/>
      <c r="Y2181" s="1935"/>
      <c r="Z2181" s="1086"/>
      <c r="AA2181" s="230"/>
      <c r="AB2181" s="230"/>
      <c r="AC2181" s="1936"/>
      <c r="AD2181" s="230"/>
      <c r="AE2181" s="230"/>
      <c r="AF2181" s="230"/>
      <c r="AG2181" s="890"/>
      <c r="AJ2181" s="890"/>
      <c r="AN2181" s="223"/>
      <c r="AO2181" s="952"/>
      <c r="AP2181" s="1066"/>
      <c r="AQ2181" s="972"/>
      <c r="AR2181" s="1917"/>
      <c r="AS2181" s="222"/>
      <c r="AZ2181" s="889"/>
      <c r="BC2181" s="890"/>
      <c r="BD2181" s="952"/>
      <c r="BE2181" s="75"/>
      <c r="BF2181" s="572"/>
      <c r="BG2181" s="983"/>
      <c r="BH2181" s="222"/>
      <c r="BL2181" s="889"/>
      <c r="BO2181" s="223"/>
    </row>
    <row r="2182" spans="1:67" s="74" customFormat="1">
      <c r="A2182" s="15"/>
      <c r="B2182" s="15"/>
      <c r="C2182" s="15"/>
      <c r="D2182" s="15"/>
      <c r="E2182" s="6"/>
      <c r="F2182" s="6"/>
      <c r="G2182" s="6"/>
      <c r="K2182" s="223"/>
      <c r="M2182" s="889"/>
      <c r="P2182" s="890"/>
      <c r="T2182" s="889"/>
      <c r="X2182" s="15"/>
      <c r="Y2182" s="1935"/>
      <c r="Z2182" s="1086"/>
      <c r="AA2182" s="230"/>
      <c r="AB2182" s="230"/>
      <c r="AC2182" s="1936"/>
      <c r="AD2182" s="230"/>
      <c r="AE2182" s="230"/>
      <c r="AF2182" s="230"/>
      <c r="AG2182" s="890"/>
      <c r="AJ2182" s="890"/>
      <c r="AN2182" s="223"/>
      <c r="AO2182" s="952"/>
      <c r="AP2182" s="1066"/>
      <c r="AQ2182" s="972"/>
      <c r="AR2182" s="1917"/>
      <c r="AS2182" s="222"/>
      <c r="AZ2182" s="889"/>
      <c r="BC2182" s="890"/>
      <c r="BD2182" s="952"/>
      <c r="BE2182" s="75"/>
      <c r="BF2182" s="572"/>
      <c r="BG2182" s="983"/>
      <c r="BH2182" s="222"/>
      <c r="BL2182" s="889"/>
      <c r="BO2182" s="223"/>
    </row>
    <row r="2183" spans="1:67" s="74" customFormat="1">
      <c r="A2183" s="15"/>
      <c r="B2183" s="15"/>
      <c r="C2183" s="15"/>
      <c r="D2183" s="15"/>
      <c r="E2183" s="6"/>
      <c r="F2183" s="6"/>
      <c r="G2183" s="6"/>
      <c r="K2183" s="223"/>
      <c r="M2183" s="889"/>
      <c r="P2183" s="890"/>
      <c r="T2183" s="889"/>
      <c r="X2183" s="15"/>
      <c r="Y2183" s="1935"/>
      <c r="Z2183" s="1086"/>
      <c r="AA2183" s="230"/>
      <c r="AB2183" s="230"/>
      <c r="AC2183" s="1936"/>
      <c r="AD2183" s="230"/>
      <c r="AE2183" s="230"/>
      <c r="AF2183" s="230"/>
      <c r="AG2183" s="890"/>
      <c r="AJ2183" s="890"/>
      <c r="AN2183" s="223"/>
      <c r="AO2183" s="952"/>
      <c r="AP2183" s="1066"/>
      <c r="AQ2183" s="972"/>
      <c r="AR2183" s="1917"/>
      <c r="AS2183" s="222"/>
      <c r="AZ2183" s="889"/>
      <c r="BC2183" s="890"/>
      <c r="BD2183" s="952"/>
      <c r="BE2183" s="75"/>
      <c r="BF2183" s="572"/>
      <c r="BG2183" s="983"/>
      <c r="BH2183" s="222"/>
      <c r="BL2183" s="889"/>
      <c r="BO2183" s="223"/>
    </row>
    <row r="2184" spans="1:67" s="74" customFormat="1">
      <c r="A2184" s="15"/>
      <c r="B2184" s="15"/>
      <c r="C2184" s="15"/>
      <c r="D2184" s="15"/>
      <c r="E2184" s="6"/>
      <c r="F2184" s="6"/>
      <c r="G2184" s="6"/>
      <c r="K2184" s="223"/>
      <c r="M2184" s="889"/>
      <c r="P2184" s="890"/>
      <c r="T2184" s="889"/>
      <c r="X2184" s="15"/>
      <c r="Y2184" s="1935"/>
      <c r="Z2184" s="1086"/>
      <c r="AA2184" s="230"/>
      <c r="AB2184" s="230"/>
      <c r="AC2184" s="1936"/>
      <c r="AD2184" s="230"/>
      <c r="AE2184" s="230"/>
      <c r="AF2184" s="230"/>
      <c r="AG2184" s="890"/>
      <c r="AJ2184" s="890"/>
      <c r="AN2184" s="223"/>
      <c r="AO2184" s="952"/>
      <c r="AP2184" s="1066"/>
      <c r="AQ2184" s="972"/>
      <c r="AR2184" s="1917"/>
      <c r="AS2184" s="222"/>
      <c r="AZ2184" s="889"/>
      <c r="BC2184" s="890"/>
      <c r="BD2184" s="952"/>
      <c r="BE2184" s="75"/>
      <c r="BF2184" s="572"/>
      <c r="BG2184" s="983"/>
      <c r="BH2184" s="222"/>
      <c r="BL2184" s="889"/>
      <c r="BO2184" s="223"/>
    </row>
    <row r="2185" spans="1:67" s="74" customFormat="1">
      <c r="A2185" s="15"/>
      <c r="B2185" s="15"/>
      <c r="C2185" s="15"/>
      <c r="D2185" s="15"/>
      <c r="E2185" s="6"/>
      <c r="F2185" s="6"/>
      <c r="G2185" s="6"/>
      <c r="K2185" s="223"/>
      <c r="M2185" s="889"/>
      <c r="P2185" s="890"/>
      <c r="T2185" s="889"/>
      <c r="X2185" s="15"/>
      <c r="Y2185" s="1935"/>
      <c r="Z2185" s="1086"/>
      <c r="AA2185" s="230"/>
      <c r="AB2185" s="230"/>
      <c r="AC2185" s="1936"/>
      <c r="AD2185" s="230"/>
      <c r="AE2185" s="230"/>
      <c r="AF2185" s="230"/>
      <c r="AG2185" s="890"/>
      <c r="AJ2185" s="890"/>
      <c r="AN2185" s="223"/>
      <c r="AO2185" s="952"/>
      <c r="AP2185" s="1066"/>
      <c r="AQ2185" s="972"/>
      <c r="AR2185" s="1917"/>
      <c r="AS2185" s="222"/>
      <c r="AZ2185" s="889"/>
      <c r="BC2185" s="890"/>
      <c r="BD2185" s="952"/>
      <c r="BE2185" s="75"/>
      <c r="BF2185" s="572"/>
      <c r="BG2185" s="983"/>
      <c r="BH2185" s="222"/>
      <c r="BL2185" s="889"/>
      <c r="BO2185" s="223"/>
    </row>
    <row r="2186" spans="1:67" s="74" customFormat="1">
      <c r="A2186" s="15"/>
      <c r="B2186" s="15"/>
      <c r="C2186" s="15"/>
      <c r="D2186" s="15"/>
      <c r="E2186" s="6"/>
      <c r="F2186" s="6"/>
      <c r="G2186" s="6"/>
      <c r="K2186" s="223"/>
      <c r="M2186" s="889"/>
      <c r="P2186" s="890"/>
      <c r="T2186" s="889"/>
      <c r="X2186" s="15"/>
      <c r="Y2186" s="1935"/>
      <c r="Z2186" s="1086"/>
      <c r="AA2186" s="230"/>
      <c r="AB2186" s="230"/>
      <c r="AC2186" s="1936"/>
      <c r="AD2186" s="230"/>
      <c r="AE2186" s="230"/>
      <c r="AF2186" s="230"/>
      <c r="AG2186" s="890"/>
      <c r="AJ2186" s="890"/>
      <c r="AN2186" s="223"/>
      <c r="AO2186" s="952"/>
      <c r="AP2186" s="1066"/>
      <c r="AQ2186" s="972"/>
      <c r="AR2186" s="1917"/>
      <c r="AS2186" s="222"/>
      <c r="AZ2186" s="889"/>
      <c r="BC2186" s="890"/>
      <c r="BD2186" s="952"/>
      <c r="BE2186" s="75"/>
      <c r="BF2186" s="572"/>
      <c r="BG2186" s="983"/>
      <c r="BH2186" s="222"/>
      <c r="BL2186" s="889"/>
      <c r="BO2186" s="223"/>
    </row>
    <row r="2187" spans="1:67" s="74" customFormat="1">
      <c r="A2187" s="15"/>
      <c r="B2187" s="15"/>
      <c r="C2187" s="15"/>
      <c r="D2187" s="15"/>
      <c r="E2187" s="6"/>
      <c r="F2187" s="6"/>
      <c r="G2187" s="6"/>
      <c r="K2187" s="223"/>
      <c r="M2187" s="889"/>
      <c r="P2187" s="890"/>
      <c r="T2187" s="889"/>
      <c r="X2187" s="15"/>
      <c r="Y2187" s="1935"/>
      <c r="Z2187" s="1086"/>
      <c r="AA2187" s="230"/>
      <c r="AB2187" s="230"/>
      <c r="AC2187" s="1936"/>
      <c r="AD2187" s="230"/>
      <c r="AE2187" s="230"/>
      <c r="AF2187" s="230"/>
      <c r="AG2187" s="890"/>
      <c r="AJ2187" s="890"/>
      <c r="AN2187" s="223"/>
      <c r="AO2187" s="952"/>
      <c r="AP2187" s="1066"/>
      <c r="AQ2187" s="972"/>
      <c r="AR2187" s="1917"/>
      <c r="AS2187" s="222"/>
      <c r="AZ2187" s="889"/>
      <c r="BC2187" s="890"/>
      <c r="BD2187" s="952"/>
      <c r="BE2187" s="75"/>
      <c r="BF2187" s="572"/>
      <c r="BG2187" s="983"/>
      <c r="BH2187" s="222"/>
      <c r="BL2187" s="889"/>
      <c r="BO2187" s="223"/>
    </row>
    <row r="2188" spans="1:67" s="74" customFormat="1">
      <c r="A2188" s="15"/>
      <c r="B2188" s="15"/>
      <c r="C2188" s="15"/>
      <c r="D2188" s="15"/>
      <c r="E2188" s="6"/>
      <c r="F2188" s="6"/>
      <c r="G2188" s="6"/>
      <c r="K2188" s="223"/>
      <c r="M2188" s="889"/>
      <c r="P2188" s="890"/>
      <c r="T2188" s="889"/>
      <c r="X2188" s="15"/>
      <c r="Y2188" s="1935"/>
      <c r="Z2188" s="1086"/>
      <c r="AA2188" s="230"/>
      <c r="AB2188" s="230"/>
      <c r="AC2188" s="1936"/>
      <c r="AD2188" s="230"/>
      <c r="AE2188" s="230"/>
      <c r="AF2188" s="230"/>
      <c r="AG2188" s="890"/>
      <c r="AJ2188" s="890"/>
      <c r="AN2188" s="223"/>
      <c r="AO2188" s="952"/>
      <c r="AP2188" s="1066"/>
      <c r="AQ2188" s="972"/>
      <c r="AR2188" s="1917"/>
      <c r="AS2188" s="222"/>
      <c r="AZ2188" s="889"/>
      <c r="BC2188" s="890"/>
      <c r="BD2188" s="952"/>
      <c r="BE2188" s="75"/>
      <c r="BF2188" s="572"/>
      <c r="BG2188" s="983"/>
      <c r="BH2188" s="222"/>
      <c r="BL2188" s="889"/>
      <c r="BO2188" s="223"/>
    </row>
    <row r="2189" spans="1:67" s="74" customFormat="1">
      <c r="A2189" s="15"/>
      <c r="B2189" s="15"/>
      <c r="C2189" s="15"/>
      <c r="D2189" s="15"/>
      <c r="E2189" s="6"/>
      <c r="F2189" s="6"/>
      <c r="G2189" s="6"/>
      <c r="K2189" s="223"/>
      <c r="M2189" s="889"/>
      <c r="P2189" s="890"/>
      <c r="T2189" s="889"/>
      <c r="X2189" s="15"/>
      <c r="Y2189" s="1935"/>
      <c r="Z2189" s="1086"/>
      <c r="AA2189" s="230"/>
      <c r="AB2189" s="230"/>
      <c r="AC2189" s="1936"/>
      <c r="AD2189" s="230"/>
      <c r="AE2189" s="230"/>
      <c r="AF2189" s="230"/>
      <c r="AG2189" s="890"/>
      <c r="AJ2189" s="890"/>
      <c r="AN2189" s="223"/>
      <c r="AO2189" s="952"/>
      <c r="AP2189" s="1066"/>
      <c r="AQ2189" s="972"/>
      <c r="AR2189" s="1917"/>
      <c r="AS2189" s="222"/>
      <c r="AZ2189" s="889"/>
      <c r="BC2189" s="890"/>
      <c r="BD2189" s="952"/>
      <c r="BE2189" s="75"/>
      <c r="BF2189" s="572"/>
      <c r="BG2189" s="983"/>
      <c r="BH2189" s="222"/>
      <c r="BL2189" s="889"/>
      <c r="BO2189" s="223"/>
    </row>
    <row r="2190" spans="1:67" s="74" customFormat="1">
      <c r="A2190" s="15"/>
      <c r="B2190" s="15"/>
      <c r="C2190" s="15"/>
      <c r="D2190" s="15"/>
      <c r="E2190" s="6"/>
      <c r="F2190" s="6"/>
      <c r="G2190" s="6"/>
      <c r="K2190" s="223"/>
      <c r="M2190" s="889"/>
      <c r="P2190" s="890"/>
      <c r="T2190" s="889"/>
      <c r="X2190" s="15"/>
      <c r="Y2190" s="1935"/>
      <c r="Z2190" s="1086"/>
      <c r="AA2190" s="230"/>
      <c r="AB2190" s="230"/>
      <c r="AC2190" s="1936"/>
      <c r="AD2190" s="230"/>
      <c r="AE2190" s="230"/>
      <c r="AF2190" s="230"/>
      <c r="AG2190" s="890"/>
      <c r="AJ2190" s="890"/>
      <c r="AN2190" s="223"/>
      <c r="AO2190" s="952"/>
      <c r="AP2190" s="1066"/>
      <c r="AQ2190" s="972"/>
      <c r="AR2190" s="1917"/>
      <c r="AS2190" s="222"/>
      <c r="AZ2190" s="889"/>
      <c r="BC2190" s="890"/>
      <c r="BD2190" s="952"/>
      <c r="BE2190" s="75"/>
      <c r="BF2190" s="572"/>
      <c r="BG2190" s="983"/>
      <c r="BH2190" s="222"/>
      <c r="BL2190" s="889"/>
      <c r="BO2190" s="223"/>
    </row>
    <row r="2191" spans="1:67" s="74" customFormat="1">
      <c r="A2191" s="15"/>
      <c r="B2191" s="15"/>
      <c r="C2191" s="15"/>
      <c r="D2191" s="15"/>
      <c r="E2191" s="6"/>
      <c r="F2191" s="6"/>
      <c r="G2191" s="6"/>
      <c r="K2191" s="223"/>
      <c r="M2191" s="889"/>
      <c r="P2191" s="890"/>
      <c r="T2191" s="889"/>
      <c r="X2191" s="15"/>
      <c r="Y2191" s="1935"/>
      <c r="Z2191" s="1086"/>
      <c r="AA2191" s="230"/>
      <c r="AB2191" s="230"/>
      <c r="AC2191" s="1936"/>
      <c r="AD2191" s="230"/>
      <c r="AE2191" s="230"/>
      <c r="AF2191" s="230"/>
      <c r="AG2191" s="890"/>
      <c r="AJ2191" s="890"/>
      <c r="AN2191" s="223"/>
      <c r="AO2191" s="952"/>
      <c r="AP2191" s="1066"/>
      <c r="AQ2191" s="972"/>
      <c r="AR2191" s="1917"/>
      <c r="AS2191" s="222"/>
      <c r="AZ2191" s="889"/>
      <c r="BC2191" s="890"/>
      <c r="BD2191" s="952"/>
      <c r="BE2191" s="75"/>
      <c r="BF2191" s="572"/>
      <c r="BG2191" s="983"/>
      <c r="BH2191" s="222"/>
      <c r="BL2191" s="889"/>
      <c r="BO2191" s="223"/>
    </row>
    <row r="2192" spans="1:67" s="74" customFormat="1">
      <c r="A2192" s="15"/>
      <c r="B2192" s="15"/>
      <c r="C2192" s="15"/>
      <c r="D2192" s="15"/>
      <c r="E2192" s="6"/>
      <c r="F2192" s="6"/>
      <c r="G2192" s="6"/>
      <c r="K2192" s="223"/>
      <c r="M2192" s="889"/>
      <c r="P2192" s="890"/>
      <c r="T2192" s="889"/>
      <c r="X2192" s="15"/>
      <c r="Y2192" s="1935"/>
      <c r="Z2192" s="1086"/>
      <c r="AA2192" s="230"/>
      <c r="AB2192" s="230"/>
      <c r="AC2192" s="1936"/>
      <c r="AD2192" s="230"/>
      <c r="AE2192" s="230"/>
      <c r="AF2192" s="230"/>
      <c r="AG2192" s="890"/>
      <c r="AJ2192" s="890"/>
      <c r="AN2192" s="223"/>
      <c r="AO2192" s="952"/>
      <c r="AP2192" s="1066"/>
      <c r="AQ2192" s="972"/>
      <c r="AR2192" s="1917"/>
      <c r="AS2192" s="222"/>
      <c r="AZ2192" s="889"/>
      <c r="BC2192" s="890"/>
      <c r="BD2192" s="952"/>
      <c r="BE2192" s="75"/>
      <c r="BF2192" s="572"/>
      <c r="BG2192" s="983"/>
      <c r="BH2192" s="222"/>
      <c r="BL2192" s="889"/>
      <c r="BO2192" s="223"/>
    </row>
    <row r="2193" spans="1:67" s="74" customFormat="1">
      <c r="A2193" s="15"/>
      <c r="B2193" s="15"/>
      <c r="C2193" s="15"/>
      <c r="D2193" s="15"/>
      <c r="E2193" s="6"/>
      <c r="F2193" s="6"/>
      <c r="G2193" s="6"/>
      <c r="K2193" s="223"/>
      <c r="M2193" s="889"/>
      <c r="P2193" s="890"/>
      <c r="T2193" s="889"/>
      <c r="X2193" s="15"/>
      <c r="Y2193" s="1935"/>
      <c r="Z2193" s="1086"/>
      <c r="AA2193" s="230"/>
      <c r="AB2193" s="230"/>
      <c r="AC2193" s="1936"/>
      <c r="AD2193" s="230"/>
      <c r="AE2193" s="230"/>
      <c r="AF2193" s="230"/>
      <c r="AG2193" s="890"/>
      <c r="AJ2193" s="890"/>
      <c r="AN2193" s="223"/>
      <c r="AO2193" s="952"/>
      <c r="AP2193" s="1066"/>
      <c r="AQ2193" s="972"/>
      <c r="AR2193" s="1917"/>
      <c r="AS2193" s="222"/>
      <c r="AZ2193" s="889"/>
      <c r="BC2193" s="890"/>
      <c r="BD2193" s="952"/>
      <c r="BE2193" s="75"/>
      <c r="BF2193" s="572"/>
      <c r="BG2193" s="983"/>
      <c r="BH2193" s="222"/>
      <c r="BL2193" s="889"/>
      <c r="BO2193" s="223"/>
    </row>
    <row r="2194" spans="1:67" s="74" customFormat="1">
      <c r="A2194" s="15"/>
      <c r="B2194" s="15"/>
      <c r="C2194" s="15"/>
      <c r="D2194" s="15"/>
      <c r="E2194" s="6"/>
      <c r="F2194" s="6"/>
      <c r="G2194" s="6"/>
      <c r="K2194" s="223"/>
      <c r="M2194" s="889"/>
      <c r="P2194" s="890"/>
      <c r="T2194" s="889"/>
      <c r="X2194" s="15"/>
      <c r="Y2194" s="1935"/>
      <c r="Z2194" s="1086"/>
      <c r="AA2194" s="230"/>
      <c r="AB2194" s="230"/>
      <c r="AC2194" s="1936"/>
      <c r="AD2194" s="230"/>
      <c r="AE2194" s="230"/>
      <c r="AF2194" s="230"/>
      <c r="AG2194" s="890"/>
      <c r="AJ2194" s="890"/>
      <c r="AN2194" s="223"/>
      <c r="AO2194" s="952"/>
      <c r="AP2194" s="1066"/>
      <c r="AQ2194" s="972"/>
      <c r="AR2194" s="1917"/>
      <c r="AS2194" s="222"/>
      <c r="AZ2194" s="889"/>
      <c r="BC2194" s="890"/>
      <c r="BD2194" s="952"/>
      <c r="BE2194" s="75"/>
      <c r="BF2194" s="572"/>
      <c r="BG2194" s="983"/>
      <c r="BH2194" s="222"/>
      <c r="BL2194" s="889"/>
      <c r="BO2194" s="223"/>
    </row>
    <row r="2195" spans="1:67" s="74" customFormat="1">
      <c r="A2195" s="15"/>
      <c r="B2195" s="15"/>
      <c r="C2195" s="15"/>
      <c r="D2195" s="15"/>
      <c r="E2195" s="6"/>
      <c r="F2195" s="6"/>
      <c r="G2195" s="6"/>
      <c r="K2195" s="223"/>
      <c r="M2195" s="889"/>
      <c r="P2195" s="890"/>
      <c r="T2195" s="889"/>
      <c r="X2195" s="15"/>
      <c r="Y2195" s="1935"/>
      <c r="Z2195" s="1086"/>
      <c r="AA2195" s="230"/>
      <c r="AB2195" s="230"/>
      <c r="AC2195" s="1936"/>
      <c r="AD2195" s="230"/>
      <c r="AE2195" s="230"/>
      <c r="AF2195" s="230"/>
      <c r="AG2195" s="890"/>
      <c r="AJ2195" s="890"/>
      <c r="AN2195" s="223"/>
      <c r="AO2195" s="952"/>
      <c r="AP2195" s="1066"/>
      <c r="AQ2195" s="972"/>
      <c r="AR2195" s="1917"/>
      <c r="AS2195" s="222"/>
      <c r="AZ2195" s="889"/>
      <c r="BC2195" s="890"/>
      <c r="BD2195" s="952"/>
      <c r="BE2195" s="75"/>
      <c r="BF2195" s="572"/>
      <c r="BG2195" s="983"/>
      <c r="BH2195" s="222"/>
      <c r="BL2195" s="889"/>
      <c r="BO2195" s="223"/>
    </row>
    <row r="2196" spans="1:67" s="74" customFormat="1">
      <c r="A2196" s="15"/>
      <c r="B2196" s="15"/>
      <c r="C2196" s="15"/>
      <c r="D2196" s="15"/>
      <c r="E2196" s="6"/>
      <c r="F2196" s="6"/>
      <c r="G2196" s="6"/>
      <c r="K2196" s="223"/>
      <c r="M2196" s="889"/>
      <c r="P2196" s="890"/>
      <c r="T2196" s="889"/>
      <c r="X2196" s="15"/>
      <c r="Y2196" s="1935"/>
      <c r="Z2196" s="1086"/>
      <c r="AA2196" s="230"/>
      <c r="AB2196" s="230"/>
      <c r="AC2196" s="1936"/>
      <c r="AD2196" s="230"/>
      <c r="AE2196" s="230"/>
      <c r="AF2196" s="230"/>
      <c r="AG2196" s="890"/>
      <c r="AJ2196" s="890"/>
      <c r="AN2196" s="223"/>
      <c r="AO2196" s="952"/>
      <c r="AP2196" s="1066"/>
      <c r="AQ2196" s="972"/>
      <c r="AR2196" s="1917"/>
      <c r="AS2196" s="222"/>
      <c r="AZ2196" s="889"/>
      <c r="BC2196" s="890"/>
      <c r="BD2196" s="952"/>
      <c r="BE2196" s="75"/>
      <c r="BF2196" s="572"/>
      <c r="BG2196" s="983"/>
      <c r="BH2196" s="222"/>
      <c r="BL2196" s="889"/>
      <c r="BO2196" s="223"/>
    </row>
    <row r="2197" spans="1:67" s="74" customFormat="1">
      <c r="A2197" s="15"/>
      <c r="B2197" s="15"/>
      <c r="C2197" s="15"/>
      <c r="D2197" s="15"/>
      <c r="E2197" s="6"/>
      <c r="F2197" s="6"/>
      <c r="G2197" s="6"/>
      <c r="K2197" s="223"/>
      <c r="M2197" s="889"/>
      <c r="P2197" s="890"/>
      <c r="T2197" s="889"/>
      <c r="X2197" s="15"/>
      <c r="Y2197" s="1935"/>
      <c r="Z2197" s="1086"/>
      <c r="AA2197" s="230"/>
      <c r="AB2197" s="230"/>
      <c r="AC2197" s="1936"/>
      <c r="AD2197" s="230"/>
      <c r="AE2197" s="230"/>
      <c r="AF2197" s="230"/>
      <c r="AG2197" s="890"/>
      <c r="AJ2197" s="890"/>
      <c r="AN2197" s="223"/>
      <c r="AO2197" s="952"/>
      <c r="AP2197" s="1066"/>
      <c r="AQ2197" s="972"/>
      <c r="AR2197" s="1917"/>
      <c r="AS2197" s="222"/>
      <c r="AZ2197" s="889"/>
      <c r="BC2197" s="890"/>
      <c r="BD2197" s="952"/>
      <c r="BE2197" s="75"/>
      <c r="BF2197" s="572"/>
      <c r="BG2197" s="983"/>
      <c r="BH2197" s="222"/>
      <c r="BL2197" s="889"/>
      <c r="BO2197" s="223"/>
    </row>
    <row r="2198" spans="1:67" s="74" customFormat="1">
      <c r="A2198" s="15"/>
      <c r="B2198" s="15"/>
      <c r="C2198" s="15"/>
      <c r="D2198" s="15"/>
      <c r="E2198" s="6"/>
      <c r="F2198" s="6"/>
      <c r="G2198" s="6"/>
      <c r="K2198" s="223"/>
      <c r="M2198" s="889"/>
      <c r="P2198" s="890"/>
      <c r="T2198" s="889"/>
      <c r="X2198" s="15"/>
      <c r="Y2198" s="1935"/>
      <c r="Z2198" s="1086"/>
      <c r="AA2198" s="230"/>
      <c r="AB2198" s="230"/>
      <c r="AC2198" s="1936"/>
      <c r="AD2198" s="230"/>
      <c r="AE2198" s="230"/>
      <c r="AF2198" s="230"/>
      <c r="AG2198" s="890"/>
      <c r="AJ2198" s="890"/>
      <c r="AN2198" s="223"/>
      <c r="AO2198" s="952"/>
      <c r="AP2198" s="1066"/>
      <c r="AQ2198" s="972"/>
      <c r="AR2198" s="1917"/>
      <c r="AS2198" s="222"/>
      <c r="AZ2198" s="889"/>
      <c r="BC2198" s="890"/>
      <c r="BD2198" s="952"/>
      <c r="BE2198" s="75"/>
      <c r="BF2198" s="572"/>
      <c r="BG2198" s="983"/>
      <c r="BH2198" s="222"/>
      <c r="BL2198" s="889"/>
      <c r="BO2198" s="223"/>
    </row>
    <row r="2199" spans="1:67" s="74" customFormat="1">
      <c r="A2199" s="15"/>
      <c r="B2199" s="15"/>
      <c r="C2199" s="15"/>
      <c r="D2199" s="15"/>
      <c r="E2199" s="6"/>
      <c r="F2199" s="6"/>
      <c r="G2199" s="6"/>
      <c r="K2199" s="223"/>
      <c r="M2199" s="889"/>
      <c r="P2199" s="890"/>
      <c r="T2199" s="889"/>
      <c r="X2199" s="15"/>
      <c r="Y2199" s="1935"/>
      <c r="Z2199" s="1086"/>
      <c r="AA2199" s="230"/>
      <c r="AB2199" s="230"/>
      <c r="AC2199" s="1936"/>
      <c r="AD2199" s="230"/>
      <c r="AE2199" s="230"/>
      <c r="AF2199" s="230"/>
      <c r="AG2199" s="890"/>
      <c r="AJ2199" s="890"/>
      <c r="AN2199" s="223"/>
      <c r="AO2199" s="952"/>
      <c r="AP2199" s="1066"/>
      <c r="AQ2199" s="972"/>
      <c r="AR2199" s="1917"/>
      <c r="AS2199" s="222"/>
      <c r="AZ2199" s="889"/>
      <c r="BC2199" s="890"/>
      <c r="BD2199" s="952"/>
      <c r="BE2199" s="75"/>
      <c r="BF2199" s="572"/>
      <c r="BG2199" s="983"/>
      <c r="BH2199" s="222"/>
      <c r="BL2199" s="889"/>
      <c r="BO2199" s="223"/>
    </row>
    <row r="2200" spans="1:67" s="74" customFormat="1">
      <c r="A2200" s="15"/>
      <c r="B2200" s="15"/>
      <c r="C2200" s="15"/>
      <c r="D2200" s="15"/>
      <c r="E2200" s="6"/>
      <c r="F2200" s="6"/>
      <c r="G2200" s="6"/>
      <c r="K2200" s="223"/>
      <c r="M2200" s="889"/>
      <c r="P2200" s="890"/>
      <c r="T2200" s="889"/>
      <c r="X2200" s="15"/>
      <c r="Y2200" s="1935"/>
      <c r="Z2200" s="1086"/>
      <c r="AA2200" s="230"/>
      <c r="AB2200" s="230"/>
      <c r="AC2200" s="1936"/>
      <c r="AD2200" s="230"/>
      <c r="AE2200" s="230"/>
      <c r="AF2200" s="230"/>
      <c r="AG2200" s="890"/>
      <c r="AJ2200" s="890"/>
      <c r="AN2200" s="223"/>
      <c r="AO2200" s="952"/>
      <c r="AP2200" s="1066"/>
      <c r="AQ2200" s="972"/>
      <c r="AR2200" s="1917"/>
      <c r="AS2200" s="222"/>
      <c r="AZ2200" s="889"/>
      <c r="BC2200" s="890"/>
      <c r="BD2200" s="952"/>
      <c r="BE2200" s="75"/>
      <c r="BF2200" s="572"/>
      <c r="BG2200" s="983"/>
      <c r="BH2200" s="222"/>
      <c r="BL2200" s="889"/>
      <c r="BO2200" s="223"/>
    </row>
    <row r="2201" spans="1:67" s="74" customFormat="1">
      <c r="A2201" s="15"/>
      <c r="B2201" s="15"/>
      <c r="C2201" s="15"/>
      <c r="D2201" s="15"/>
      <c r="E2201" s="6"/>
      <c r="F2201" s="6"/>
      <c r="G2201" s="6"/>
      <c r="K2201" s="223"/>
      <c r="M2201" s="889"/>
      <c r="P2201" s="890"/>
      <c r="T2201" s="889"/>
      <c r="X2201" s="15"/>
      <c r="Y2201" s="1935"/>
      <c r="Z2201" s="1086"/>
      <c r="AA2201" s="230"/>
      <c r="AB2201" s="230"/>
      <c r="AC2201" s="1936"/>
      <c r="AD2201" s="230"/>
      <c r="AE2201" s="230"/>
      <c r="AF2201" s="230"/>
      <c r="AG2201" s="890"/>
      <c r="AJ2201" s="890"/>
      <c r="AN2201" s="223"/>
      <c r="AO2201" s="952"/>
      <c r="AP2201" s="1066"/>
      <c r="AQ2201" s="972"/>
      <c r="AR2201" s="1917"/>
      <c r="AS2201" s="222"/>
      <c r="AZ2201" s="889"/>
      <c r="BC2201" s="890"/>
      <c r="BD2201" s="952"/>
      <c r="BE2201" s="75"/>
      <c r="BF2201" s="572"/>
      <c r="BG2201" s="983"/>
      <c r="BH2201" s="222"/>
      <c r="BL2201" s="889"/>
      <c r="BO2201" s="223"/>
    </row>
    <row r="2202" spans="1:67" s="74" customFormat="1">
      <c r="A2202" s="15"/>
      <c r="B2202" s="15"/>
      <c r="C2202" s="15"/>
      <c r="D2202" s="15"/>
      <c r="E2202" s="6"/>
      <c r="F2202" s="6"/>
      <c r="G2202" s="6"/>
      <c r="K2202" s="223"/>
      <c r="M2202" s="889"/>
      <c r="P2202" s="890"/>
      <c r="T2202" s="889"/>
      <c r="X2202" s="15"/>
      <c r="Y2202" s="1935"/>
      <c r="Z2202" s="1086"/>
      <c r="AA2202" s="230"/>
      <c r="AB2202" s="230"/>
      <c r="AC2202" s="1936"/>
      <c r="AD2202" s="230"/>
      <c r="AE2202" s="230"/>
      <c r="AF2202" s="230"/>
      <c r="AG2202" s="890"/>
      <c r="AJ2202" s="890"/>
      <c r="AN2202" s="223"/>
      <c r="AO2202" s="952"/>
      <c r="AP2202" s="1066"/>
      <c r="AQ2202" s="972"/>
      <c r="AR2202" s="1917"/>
      <c r="AS2202" s="222"/>
      <c r="AZ2202" s="889"/>
      <c r="BC2202" s="890"/>
      <c r="BD2202" s="952"/>
      <c r="BE2202" s="75"/>
      <c r="BF2202" s="572"/>
      <c r="BG2202" s="983"/>
      <c r="BH2202" s="222"/>
      <c r="BL2202" s="889"/>
      <c r="BO2202" s="223"/>
    </row>
    <row r="2203" spans="1:67" s="74" customFormat="1">
      <c r="A2203" s="15"/>
      <c r="B2203" s="15"/>
      <c r="C2203" s="15"/>
      <c r="D2203" s="15"/>
      <c r="E2203" s="6"/>
      <c r="F2203" s="6"/>
      <c r="G2203" s="6"/>
      <c r="K2203" s="223"/>
      <c r="M2203" s="889"/>
      <c r="P2203" s="890"/>
      <c r="T2203" s="889"/>
      <c r="X2203" s="15"/>
      <c r="Y2203" s="1935"/>
      <c r="Z2203" s="1086"/>
      <c r="AA2203" s="230"/>
      <c r="AB2203" s="230"/>
      <c r="AC2203" s="1936"/>
      <c r="AD2203" s="230"/>
      <c r="AE2203" s="230"/>
      <c r="AF2203" s="230"/>
      <c r="AG2203" s="890"/>
      <c r="AJ2203" s="890"/>
      <c r="AN2203" s="223"/>
      <c r="AO2203" s="952"/>
      <c r="AP2203" s="1066"/>
      <c r="AQ2203" s="972"/>
      <c r="AR2203" s="1917"/>
      <c r="AS2203" s="222"/>
      <c r="AZ2203" s="889"/>
      <c r="BC2203" s="890"/>
      <c r="BD2203" s="952"/>
      <c r="BE2203" s="75"/>
      <c r="BF2203" s="572"/>
      <c r="BG2203" s="983"/>
      <c r="BH2203" s="222"/>
      <c r="BL2203" s="889"/>
      <c r="BO2203" s="223"/>
    </row>
    <row r="2204" spans="1:67" s="74" customFormat="1">
      <c r="A2204" s="15"/>
      <c r="B2204" s="15"/>
      <c r="C2204" s="15"/>
      <c r="D2204" s="15"/>
      <c r="E2204" s="6"/>
      <c r="F2204" s="6"/>
      <c r="G2204" s="6"/>
      <c r="K2204" s="223"/>
      <c r="M2204" s="889"/>
      <c r="P2204" s="890"/>
      <c r="T2204" s="889"/>
      <c r="X2204" s="15"/>
      <c r="Y2204" s="1935"/>
      <c r="Z2204" s="1086"/>
      <c r="AA2204" s="230"/>
      <c r="AB2204" s="230"/>
      <c r="AC2204" s="1936"/>
      <c r="AD2204" s="230"/>
      <c r="AE2204" s="230"/>
      <c r="AF2204" s="230"/>
      <c r="AG2204" s="890"/>
      <c r="AJ2204" s="890"/>
      <c r="AN2204" s="223"/>
      <c r="AO2204" s="952"/>
      <c r="AP2204" s="1066"/>
      <c r="AQ2204" s="972"/>
      <c r="AR2204" s="1917"/>
      <c r="AS2204" s="222"/>
      <c r="AZ2204" s="889"/>
      <c r="BC2204" s="890"/>
      <c r="BD2204" s="952"/>
      <c r="BE2204" s="75"/>
      <c r="BF2204" s="572"/>
      <c r="BG2204" s="983"/>
      <c r="BH2204" s="222"/>
      <c r="BL2204" s="889"/>
      <c r="BO2204" s="223"/>
    </row>
    <row r="2205" spans="1:67" s="74" customFormat="1">
      <c r="A2205" s="15"/>
      <c r="B2205" s="15"/>
      <c r="C2205" s="15"/>
      <c r="D2205" s="15"/>
      <c r="E2205" s="6"/>
      <c r="F2205" s="6"/>
      <c r="G2205" s="6"/>
      <c r="K2205" s="223"/>
      <c r="M2205" s="889"/>
      <c r="P2205" s="890"/>
      <c r="T2205" s="889"/>
      <c r="X2205" s="15"/>
      <c r="Y2205" s="1935"/>
      <c r="Z2205" s="1086"/>
      <c r="AA2205" s="230"/>
      <c r="AB2205" s="230"/>
      <c r="AC2205" s="1936"/>
      <c r="AD2205" s="230"/>
      <c r="AE2205" s="230"/>
      <c r="AF2205" s="230"/>
      <c r="AG2205" s="890"/>
      <c r="AJ2205" s="890"/>
      <c r="AN2205" s="223"/>
      <c r="AO2205" s="952"/>
      <c r="AP2205" s="1066"/>
      <c r="AQ2205" s="972"/>
      <c r="AR2205" s="1917"/>
      <c r="AS2205" s="222"/>
      <c r="AZ2205" s="889"/>
      <c r="BC2205" s="890"/>
      <c r="BD2205" s="952"/>
      <c r="BE2205" s="75"/>
      <c r="BF2205" s="572"/>
      <c r="BG2205" s="983"/>
      <c r="BH2205" s="222"/>
      <c r="BL2205" s="889"/>
      <c r="BO2205" s="223"/>
    </row>
    <row r="2206" spans="1:67" s="74" customFormat="1">
      <c r="A2206" s="15"/>
      <c r="B2206" s="15"/>
      <c r="C2206" s="15"/>
      <c r="D2206" s="15"/>
      <c r="E2206" s="6"/>
      <c r="F2206" s="6"/>
      <c r="G2206" s="6"/>
      <c r="K2206" s="223"/>
      <c r="M2206" s="889"/>
      <c r="P2206" s="890"/>
      <c r="T2206" s="889"/>
      <c r="X2206" s="15"/>
      <c r="Y2206" s="1935"/>
      <c r="Z2206" s="1086"/>
      <c r="AA2206" s="230"/>
      <c r="AB2206" s="230"/>
      <c r="AC2206" s="1936"/>
      <c r="AD2206" s="230"/>
      <c r="AE2206" s="230"/>
      <c r="AF2206" s="230"/>
      <c r="AG2206" s="890"/>
      <c r="AJ2206" s="890"/>
      <c r="AN2206" s="223"/>
      <c r="AO2206" s="952"/>
      <c r="AP2206" s="1066"/>
      <c r="AQ2206" s="972"/>
      <c r="AR2206" s="1917"/>
      <c r="AS2206" s="222"/>
      <c r="AZ2206" s="889"/>
      <c r="BC2206" s="890"/>
      <c r="BD2206" s="952"/>
      <c r="BE2206" s="75"/>
      <c r="BF2206" s="572"/>
      <c r="BG2206" s="983"/>
      <c r="BH2206" s="222"/>
      <c r="BL2206" s="889"/>
      <c r="BO2206" s="223"/>
    </row>
    <row r="2207" spans="1:67" s="74" customFormat="1">
      <c r="A2207" s="15"/>
      <c r="B2207" s="15"/>
      <c r="C2207" s="15"/>
      <c r="D2207" s="15"/>
      <c r="E2207" s="6"/>
      <c r="F2207" s="6"/>
      <c r="G2207" s="6"/>
      <c r="K2207" s="223"/>
      <c r="M2207" s="889"/>
      <c r="P2207" s="890"/>
      <c r="T2207" s="889"/>
      <c r="X2207" s="15"/>
      <c r="Y2207" s="1935"/>
      <c r="Z2207" s="1086"/>
      <c r="AA2207" s="230"/>
      <c r="AB2207" s="230"/>
      <c r="AC2207" s="1936"/>
      <c r="AD2207" s="230"/>
      <c r="AE2207" s="230"/>
      <c r="AF2207" s="230"/>
      <c r="AG2207" s="890"/>
      <c r="AJ2207" s="890"/>
      <c r="AN2207" s="223"/>
      <c r="AO2207" s="952"/>
      <c r="AP2207" s="1066"/>
      <c r="AQ2207" s="972"/>
      <c r="AR2207" s="1917"/>
      <c r="AS2207" s="222"/>
      <c r="AZ2207" s="889"/>
      <c r="BC2207" s="890"/>
      <c r="BD2207" s="952"/>
      <c r="BE2207" s="75"/>
      <c r="BF2207" s="572"/>
      <c r="BG2207" s="983"/>
      <c r="BH2207" s="222"/>
      <c r="BL2207" s="889"/>
      <c r="BO2207" s="223"/>
    </row>
    <row r="2208" spans="1:67" s="74" customFormat="1">
      <c r="A2208" s="15"/>
      <c r="B2208" s="15"/>
      <c r="C2208" s="15"/>
      <c r="D2208" s="15"/>
      <c r="E2208" s="6"/>
      <c r="F2208" s="6"/>
      <c r="G2208" s="6"/>
      <c r="K2208" s="223"/>
      <c r="M2208" s="889"/>
      <c r="P2208" s="890"/>
      <c r="T2208" s="889"/>
      <c r="X2208" s="15"/>
      <c r="Y2208" s="1935"/>
      <c r="Z2208" s="1086"/>
      <c r="AA2208" s="230"/>
      <c r="AB2208" s="230"/>
      <c r="AC2208" s="1936"/>
      <c r="AD2208" s="230"/>
      <c r="AE2208" s="230"/>
      <c r="AF2208" s="230"/>
      <c r="AG2208" s="890"/>
      <c r="AJ2208" s="890"/>
      <c r="AN2208" s="223"/>
      <c r="AO2208" s="952"/>
      <c r="AP2208" s="1066"/>
      <c r="AQ2208" s="972"/>
      <c r="AR2208" s="1917"/>
      <c r="AS2208" s="222"/>
      <c r="AZ2208" s="889"/>
      <c r="BC2208" s="890"/>
      <c r="BD2208" s="952"/>
      <c r="BE2208" s="75"/>
      <c r="BF2208" s="572"/>
      <c r="BG2208" s="983"/>
      <c r="BH2208" s="222"/>
      <c r="BL2208" s="889"/>
      <c r="BO2208" s="223"/>
    </row>
    <row r="2209" spans="1:67" s="74" customFormat="1">
      <c r="A2209" s="15"/>
      <c r="B2209" s="15"/>
      <c r="C2209" s="15"/>
      <c r="D2209" s="15"/>
      <c r="E2209" s="6"/>
      <c r="F2209" s="6"/>
      <c r="G2209" s="6"/>
      <c r="K2209" s="223"/>
      <c r="M2209" s="889"/>
      <c r="P2209" s="890"/>
      <c r="T2209" s="889"/>
      <c r="X2209" s="15"/>
      <c r="Y2209" s="1935"/>
      <c r="Z2209" s="1086"/>
      <c r="AA2209" s="230"/>
      <c r="AB2209" s="230"/>
      <c r="AC2209" s="1936"/>
      <c r="AD2209" s="230"/>
      <c r="AE2209" s="230"/>
      <c r="AF2209" s="230"/>
      <c r="AG2209" s="890"/>
      <c r="AJ2209" s="890"/>
      <c r="AN2209" s="223"/>
      <c r="AO2209" s="952"/>
      <c r="AP2209" s="1066"/>
      <c r="AQ2209" s="972"/>
      <c r="AR2209" s="1917"/>
      <c r="AS2209" s="222"/>
      <c r="AZ2209" s="889"/>
      <c r="BC2209" s="890"/>
      <c r="BD2209" s="952"/>
      <c r="BE2209" s="75"/>
      <c r="BF2209" s="572"/>
      <c r="BG2209" s="983"/>
      <c r="BH2209" s="222"/>
      <c r="BL2209" s="889"/>
      <c r="BO2209" s="223"/>
    </row>
    <row r="2210" spans="1:67" s="74" customFormat="1">
      <c r="A2210" s="15"/>
      <c r="B2210" s="15"/>
      <c r="C2210" s="15"/>
      <c r="D2210" s="15"/>
      <c r="E2210" s="6"/>
      <c r="F2210" s="6"/>
      <c r="G2210" s="6"/>
      <c r="K2210" s="223"/>
      <c r="M2210" s="889"/>
      <c r="P2210" s="890"/>
      <c r="T2210" s="889"/>
      <c r="X2210" s="15"/>
      <c r="Y2210" s="1935"/>
      <c r="Z2210" s="1086"/>
      <c r="AA2210" s="230"/>
      <c r="AB2210" s="230"/>
      <c r="AC2210" s="1936"/>
      <c r="AD2210" s="230"/>
      <c r="AE2210" s="230"/>
      <c r="AF2210" s="230"/>
      <c r="AG2210" s="890"/>
      <c r="AJ2210" s="890"/>
      <c r="AN2210" s="223"/>
      <c r="AO2210" s="952"/>
      <c r="AP2210" s="1066"/>
      <c r="AQ2210" s="972"/>
      <c r="AR2210" s="1917"/>
      <c r="AS2210" s="222"/>
      <c r="AZ2210" s="889"/>
      <c r="BC2210" s="890"/>
      <c r="BD2210" s="952"/>
      <c r="BE2210" s="75"/>
      <c r="BF2210" s="572"/>
      <c r="BG2210" s="983"/>
      <c r="BH2210" s="222"/>
      <c r="BL2210" s="889"/>
      <c r="BO2210" s="223"/>
    </row>
    <row r="2211" spans="1:67" s="74" customFormat="1">
      <c r="A2211" s="15"/>
      <c r="B2211" s="15"/>
      <c r="C2211" s="15"/>
      <c r="D2211" s="15"/>
      <c r="E2211" s="6"/>
      <c r="F2211" s="6"/>
      <c r="G2211" s="6"/>
      <c r="K2211" s="223"/>
      <c r="M2211" s="889"/>
      <c r="P2211" s="890"/>
      <c r="T2211" s="889"/>
      <c r="X2211" s="15"/>
      <c r="Y2211" s="1935"/>
      <c r="Z2211" s="1086"/>
      <c r="AA2211" s="230"/>
      <c r="AB2211" s="230"/>
      <c r="AC2211" s="1936"/>
      <c r="AD2211" s="230"/>
      <c r="AE2211" s="230"/>
      <c r="AF2211" s="230"/>
      <c r="AG2211" s="890"/>
      <c r="AJ2211" s="890"/>
      <c r="AN2211" s="223"/>
      <c r="AO2211" s="952"/>
      <c r="AP2211" s="1066"/>
      <c r="AQ2211" s="972"/>
      <c r="AR2211" s="1917"/>
      <c r="AS2211" s="222"/>
      <c r="AZ2211" s="889"/>
      <c r="BC2211" s="890"/>
      <c r="BD2211" s="952"/>
      <c r="BE2211" s="75"/>
      <c r="BF2211" s="572"/>
      <c r="BG2211" s="983"/>
      <c r="BH2211" s="222"/>
      <c r="BL2211" s="889"/>
      <c r="BO2211" s="223"/>
    </row>
    <row r="2212" spans="1:67" s="74" customFormat="1">
      <c r="A2212" s="15"/>
      <c r="B2212" s="15"/>
      <c r="C2212" s="15"/>
      <c r="D2212" s="15"/>
      <c r="E2212" s="6"/>
      <c r="F2212" s="6"/>
      <c r="G2212" s="6"/>
      <c r="K2212" s="223"/>
      <c r="M2212" s="889"/>
      <c r="P2212" s="890"/>
      <c r="T2212" s="889"/>
      <c r="X2212" s="15"/>
      <c r="Y2212" s="1935"/>
      <c r="Z2212" s="1086"/>
      <c r="AA2212" s="230"/>
      <c r="AB2212" s="230"/>
      <c r="AC2212" s="1936"/>
      <c r="AD2212" s="230"/>
      <c r="AE2212" s="230"/>
      <c r="AF2212" s="230"/>
      <c r="AG2212" s="890"/>
      <c r="AJ2212" s="890"/>
      <c r="AN2212" s="223"/>
      <c r="AO2212" s="952"/>
      <c r="AP2212" s="1066"/>
      <c r="AQ2212" s="972"/>
      <c r="AR2212" s="1917"/>
      <c r="AS2212" s="222"/>
      <c r="AZ2212" s="889"/>
      <c r="BC2212" s="890"/>
      <c r="BD2212" s="952"/>
      <c r="BE2212" s="75"/>
      <c r="BF2212" s="572"/>
      <c r="BG2212" s="983"/>
      <c r="BH2212" s="222"/>
      <c r="BL2212" s="889"/>
      <c r="BO2212" s="223"/>
    </row>
    <row r="2213" spans="1:67" s="74" customFormat="1">
      <c r="A2213" s="15"/>
      <c r="B2213" s="15"/>
      <c r="C2213" s="15"/>
      <c r="D2213" s="15"/>
      <c r="E2213" s="6"/>
      <c r="F2213" s="6"/>
      <c r="G2213" s="6"/>
      <c r="K2213" s="223"/>
      <c r="M2213" s="889"/>
      <c r="P2213" s="890"/>
      <c r="T2213" s="889"/>
      <c r="X2213" s="15"/>
      <c r="Y2213" s="1935"/>
      <c r="Z2213" s="1086"/>
      <c r="AA2213" s="230"/>
      <c r="AB2213" s="230"/>
      <c r="AC2213" s="1936"/>
      <c r="AD2213" s="230"/>
      <c r="AE2213" s="230"/>
      <c r="AF2213" s="230"/>
      <c r="AG2213" s="890"/>
      <c r="AJ2213" s="890"/>
      <c r="AN2213" s="223"/>
      <c r="AO2213" s="952"/>
      <c r="AP2213" s="1066"/>
      <c r="AQ2213" s="972"/>
      <c r="AR2213" s="1917"/>
      <c r="AS2213" s="222"/>
      <c r="AZ2213" s="889"/>
      <c r="BC2213" s="890"/>
      <c r="BD2213" s="952"/>
      <c r="BE2213" s="75"/>
      <c r="BF2213" s="572"/>
      <c r="BG2213" s="983"/>
      <c r="BH2213" s="222"/>
      <c r="BL2213" s="889"/>
      <c r="BO2213" s="223"/>
    </row>
    <row r="2214" spans="1:67" s="74" customFormat="1">
      <c r="A2214" s="15"/>
      <c r="B2214" s="15"/>
      <c r="C2214" s="15"/>
      <c r="D2214" s="15"/>
      <c r="E2214" s="6"/>
      <c r="F2214" s="6"/>
      <c r="G2214" s="6"/>
      <c r="K2214" s="223"/>
      <c r="M2214" s="889"/>
      <c r="P2214" s="890"/>
      <c r="T2214" s="889"/>
      <c r="X2214" s="15"/>
      <c r="Y2214" s="1935"/>
      <c r="Z2214" s="1086"/>
      <c r="AA2214" s="230"/>
      <c r="AB2214" s="230"/>
      <c r="AC2214" s="1936"/>
      <c r="AD2214" s="230"/>
      <c r="AE2214" s="230"/>
      <c r="AF2214" s="230"/>
      <c r="AG2214" s="890"/>
      <c r="AJ2214" s="890"/>
      <c r="AN2214" s="223"/>
      <c r="AO2214" s="952"/>
      <c r="AP2214" s="1066"/>
      <c r="AQ2214" s="972"/>
      <c r="AR2214" s="1917"/>
      <c r="AS2214" s="222"/>
      <c r="AZ2214" s="889"/>
      <c r="BC2214" s="890"/>
      <c r="BD2214" s="952"/>
      <c r="BE2214" s="75"/>
      <c r="BF2214" s="572"/>
      <c r="BG2214" s="983"/>
      <c r="BH2214" s="222"/>
      <c r="BL2214" s="889"/>
      <c r="BO2214" s="223"/>
    </row>
    <row r="2215" spans="1:67" s="74" customFormat="1">
      <c r="A2215" s="15"/>
      <c r="B2215" s="15"/>
      <c r="C2215" s="15"/>
      <c r="D2215" s="15"/>
      <c r="E2215" s="6"/>
      <c r="F2215" s="6"/>
      <c r="G2215" s="6"/>
      <c r="K2215" s="223"/>
      <c r="M2215" s="889"/>
      <c r="P2215" s="890"/>
      <c r="T2215" s="889"/>
      <c r="X2215" s="15"/>
      <c r="Y2215" s="1935"/>
      <c r="Z2215" s="1086"/>
      <c r="AA2215" s="230"/>
      <c r="AB2215" s="230"/>
      <c r="AC2215" s="1936"/>
      <c r="AD2215" s="230"/>
      <c r="AE2215" s="230"/>
      <c r="AF2215" s="230"/>
      <c r="AG2215" s="890"/>
      <c r="AJ2215" s="890"/>
      <c r="AN2215" s="223"/>
      <c r="AO2215" s="952"/>
      <c r="AP2215" s="1066"/>
      <c r="AQ2215" s="972"/>
      <c r="AR2215" s="1917"/>
      <c r="AS2215" s="222"/>
      <c r="AZ2215" s="889"/>
      <c r="BC2215" s="890"/>
      <c r="BD2215" s="952"/>
      <c r="BE2215" s="75"/>
      <c r="BF2215" s="572"/>
      <c r="BG2215" s="983"/>
      <c r="BH2215" s="222"/>
      <c r="BL2215" s="889"/>
      <c r="BO2215" s="223"/>
    </row>
    <row r="2216" spans="1:67" s="74" customFormat="1">
      <c r="A2216" s="15"/>
      <c r="B2216" s="15"/>
      <c r="C2216" s="15"/>
      <c r="D2216" s="15"/>
      <c r="E2216" s="6"/>
      <c r="F2216" s="6"/>
      <c r="G2216" s="6"/>
      <c r="K2216" s="223"/>
      <c r="M2216" s="889"/>
      <c r="P2216" s="890"/>
      <c r="T2216" s="889"/>
      <c r="X2216" s="15"/>
      <c r="Y2216" s="1935"/>
      <c r="Z2216" s="1086"/>
      <c r="AA2216" s="230"/>
      <c r="AB2216" s="230"/>
      <c r="AC2216" s="1936"/>
      <c r="AD2216" s="230"/>
      <c r="AE2216" s="230"/>
      <c r="AF2216" s="230"/>
      <c r="AG2216" s="890"/>
      <c r="AJ2216" s="890"/>
      <c r="AN2216" s="223"/>
      <c r="AO2216" s="952"/>
      <c r="AP2216" s="1066"/>
      <c r="AQ2216" s="972"/>
      <c r="AR2216" s="1917"/>
      <c r="AS2216" s="222"/>
      <c r="AZ2216" s="889"/>
      <c r="BC2216" s="890"/>
      <c r="BD2216" s="952"/>
      <c r="BE2216" s="75"/>
      <c r="BF2216" s="572"/>
      <c r="BG2216" s="983"/>
      <c r="BH2216" s="222"/>
      <c r="BL2216" s="889"/>
      <c r="BO2216" s="223"/>
    </row>
    <row r="2217" spans="1:67" s="74" customFormat="1">
      <c r="A2217" s="15"/>
      <c r="B2217" s="15"/>
      <c r="C2217" s="15"/>
      <c r="D2217" s="15"/>
      <c r="E2217" s="6"/>
      <c r="F2217" s="6"/>
      <c r="G2217" s="6"/>
      <c r="K2217" s="223"/>
      <c r="M2217" s="889"/>
      <c r="P2217" s="890"/>
      <c r="T2217" s="889"/>
      <c r="X2217" s="15"/>
      <c r="Y2217" s="1935"/>
      <c r="Z2217" s="1086"/>
      <c r="AA2217" s="230"/>
      <c r="AB2217" s="230"/>
      <c r="AC2217" s="1936"/>
      <c r="AD2217" s="230"/>
      <c r="AE2217" s="230"/>
      <c r="AF2217" s="230"/>
      <c r="AG2217" s="890"/>
      <c r="AJ2217" s="890"/>
      <c r="AN2217" s="223"/>
      <c r="AO2217" s="952"/>
      <c r="AP2217" s="1066"/>
      <c r="AQ2217" s="972"/>
      <c r="AR2217" s="1917"/>
      <c r="AS2217" s="222"/>
      <c r="AZ2217" s="889"/>
      <c r="BC2217" s="890"/>
      <c r="BD2217" s="952"/>
      <c r="BE2217" s="75"/>
      <c r="BF2217" s="572"/>
      <c r="BG2217" s="983"/>
      <c r="BH2217" s="222"/>
      <c r="BL2217" s="889"/>
      <c r="BO2217" s="223"/>
    </row>
    <row r="2218" spans="1:67" s="74" customFormat="1">
      <c r="A2218" s="15"/>
      <c r="B2218" s="15"/>
      <c r="C2218" s="15"/>
      <c r="D2218" s="15"/>
      <c r="E2218" s="6"/>
      <c r="F2218" s="6"/>
      <c r="G2218" s="6"/>
      <c r="K2218" s="223"/>
      <c r="M2218" s="889"/>
      <c r="P2218" s="890"/>
      <c r="T2218" s="889"/>
      <c r="X2218" s="15"/>
      <c r="Y2218" s="1935"/>
      <c r="Z2218" s="1086"/>
      <c r="AA2218" s="230"/>
      <c r="AB2218" s="230"/>
      <c r="AC2218" s="1936"/>
      <c r="AD2218" s="230"/>
      <c r="AE2218" s="230"/>
      <c r="AF2218" s="230"/>
      <c r="AG2218" s="890"/>
      <c r="AJ2218" s="890"/>
      <c r="AN2218" s="223"/>
      <c r="AO2218" s="952"/>
      <c r="AP2218" s="1066"/>
      <c r="AQ2218" s="972"/>
      <c r="AR2218" s="1917"/>
      <c r="AS2218" s="222"/>
      <c r="AZ2218" s="889"/>
      <c r="BC2218" s="890"/>
      <c r="BD2218" s="952"/>
      <c r="BE2218" s="75"/>
      <c r="BF2218" s="572"/>
      <c r="BG2218" s="983"/>
      <c r="BH2218" s="222"/>
      <c r="BL2218" s="889"/>
      <c r="BO2218" s="223"/>
    </row>
    <row r="2219" spans="1:67" s="74" customFormat="1">
      <c r="A2219" s="15"/>
      <c r="B2219" s="15"/>
      <c r="C2219" s="15"/>
      <c r="D2219" s="15"/>
      <c r="E2219" s="6"/>
      <c r="F2219" s="6"/>
      <c r="G2219" s="6"/>
      <c r="K2219" s="223"/>
      <c r="M2219" s="889"/>
      <c r="P2219" s="890"/>
      <c r="T2219" s="889"/>
      <c r="X2219" s="15"/>
      <c r="Y2219" s="1935"/>
      <c r="Z2219" s="1086"/>
      <c r="AA2219" s="230"/>
      <c r="AB2219" s="230"/>
      <c r="AC2219" s="1936"/>
      <c r="AD2219" s="230"/>
      <c r="AE2219" s="230"/>
      <c r="AF2219" s="230"/>
      <c r="AG2219" s="890"/>
      <c r="AJ2219" s="890"/>
      <c r="AN2219" s="223"/>
      <c r="AO2219" s="952"/>
      <c r="AP2219" s="1066"/>
      <c r="AQ2219" s="972"/>
      <c r="AR2219" s="1917"/>
      <c r="AS2219" s="222"/>
      <c r="AZ2219" s="889"/>
      <c r="BC2219" s="890"/>
      <c r="BD2219" s="952"/>
      <c r="BE2219" s="75"/>
      <c r="BF2219" s="572"/>
      <c r="BG2219" s="983"/>
      <c r="BH2219" s="222"/>
      <c r="BL2219" s="889"/>
      <c r="BO2219" s="223"/>
    </row>
    <row r="2220" spans="1:67" s="74" customFormat="1">
      <c r="A2220" s="15"/>
      <c r="B2220" s="15"/>
      <c r="C2220" s="15"/>
      <c r="D2220" s="15"/>
      <c r="E2220" s="6"/>
      <c r="F2220" s="6"/>
      <c r="G2220" s="6"/>
      <c r="K2220" s="223"/>
      <c r="M2220" s="889"/>
      <c r="P2220" s="890"/>
      <c r="T2220" s="889"/>
      <c r="X2220" s="15"/>
      <c r="Y2220" s="1935"/>
      <c r="Z2220" s="1086"/>
      <c r="AA2220" s="230"/>
      <c r="AB2220" s="230"/>
      <c r="AC2220" s="1936"/>
      <c r="AD2220" s="230"/>
      <c r="AE2220" s="230"/>
      <c r="AF2220" s="230"/>
      <c r="AG2220" s="890"/>
      <c r="AJ2220" s="890"/>
      <c r="AN2220" s="223"/>
      <c r="AO2220" s="952"/>
      <c r="AP2220" s="1066"/>
      <c r="AQ2220" s="972"/>
      <c r="AR2220" s="1917"/>
      <c r="AS2220" s="222"/>
      <c r="AZ2220" s="889"/>
      <c r="BC2220" s="890"/>
      <c r="BD2220" s="952"/>
      <c r="BE2220" s="75"/>
      <c r="BF2220" s="572"/>
      <c r="BG2220" s="983"/>
      <c r="BH2220" s="222"/>
      <c r="BL2220" s="889"/>
      <c r="BO2220" s="223"/>
    </row>
    <row r="2221" spans="1:67" s="74" customFormat="1">
      <c r="A2221" s="15"/>
      <c r="B2221" s="15"/>
      <c r="C2221" s="15"/>
      <c r="D2221" s="15"/>
      <c r="E2221" s="6"/>
      <c r="F2221" s="6"/>
      <c r="G2221" s="6"/>
      <c r="K2221" s="223"/>
      <c r="M2221" s="889"/>
      <c r="P2221" s="890"/>
      <c r="T2221" s="889"/>
      <c r="X2221" s="15"/>
      <c r="Y2221" s="1935"/>
      <c r="Z2221" s="1086"/>
      <c r="AA2221" s="230"/>
      <c r="AB2221" s="230"/>
      <c r="AC2221" s="1936"/>
      <c r="AD2221" s="230"/>
      <c r="AE2221" s="230"/>
      <c r="AF2221" s="230"/>
      <c r="AG2221" s="890"/>
      <c r="AJ2221" s="890"/>
      <c r="AN2221" s="223"/>
      <c r="AO2221" s="952"/>
      <c r="AP2221" s="1066"/>
      <c r="AQ2221" s="972"/>
      <c r="AR2221" s="1917"/>
      <c r="AS2221" s="222"/>
      <c r="AZ2221" s="889"/>
      <c r="BC2221" s="890"/>
      <c r="BD2221" s="952"/>
      <c r="BE2221" s="75"/>
      <c r="BF2221" s="572"/>
      <c r="BG2221" s="983"/>
      <c r="BH2221" s="222"/>
      <c r="BL2221" s="889"/>
      <c r="BO2221" s="223"/>
    </row>
    <row r="2222" spans="1:67" s="74" customFormat="1">
      <c r="A2222" s="15"/>
      <c r="B2222" s="15"/>
      <c r="C2222" s="15"/>
      <c r="D2222" s="15"/>
      <c r="E2222" s="6"/>
      <c r="F2222" s="6"/>
      <c r="G2222" s="6"/>
      <c r="K2222" s="223"/>
      <c r="M2222" s="889"/>
      <c r="P2222" s="890"/>
      <c r="T2222" s="889"/>
      <c r="X2222" s="15"/>
      <c r="Y2222" s="1935"/>
      <c r="Z2222" s="1086"/>
      <c r="AA2222" s="230"/>
      <c r="AB2222" s="230"/>
      <c r="AC2222" s="1936"/>
      <c r="AD2222" s="230"/>
      <c r="AE2222" s="230"/>
      <c r="AF2222" s="230"/>
      <c r="AG2222" s="890"/>
      <c r="AJ2222" s="890"/>
      <c r="AN2222" s="223"/>
      <c r="AO2222" s="952"/>
      <c r="AP2222" s="1066"/>
      <c r="AQ2222" s="972"/>
      <c r="AR2222" s="1917"/>
      <c r="AS2222" s="222"/>
      <c r="AZ2222" s="889"/>
      <c r="BC2222" s="890"/>
      <c r="BD2222" s="952"/>
      <c r="BE2222" s="75"/>
      <c r="BF2222" s="572"/>
      <c r="BG2222" s="983"/>
      <c r="BH2222" s="222"/>
      <c r="BL2222" s="889"/>
      <c r="BO2222" s="223"/>
    </row>
    <row r="2223" spans="1:67" s="74" customFormat="1">
      <c r="A2223" s="15"/>
      <c r="B2223" s="15"/>
      <c r="C2223" s="15"/>
      <c r="D2223" s="15"/>
      <c r="E2223" s="6"/>
      <c r="F2223" s="6"/>
      <c r="G2223" s="6"/>
      <c r="K2223" s="223"/>
      <c r="M2223" s="889"/>
      <c r="P2223" s="890"/>
      <c r="T2223" s="889"/>
      <c r="X2223" s="15"/>
      <c r="Y2223" s="1935"/>
      <c r="Z2223" s="1086"/>
      <c r="AA2223" s="230"/>
      <c r="AB2223" s="230"/>
      <c r="AC2223" s="1936"/>
      <c r="AD2223" s="230"/>
      <c r="AE2223" s="230"/>
      <c r="AF2223" s="230"/>
      <c r="AG2223" s="890"/>
      <c r="AJ2223" s="890"/>
      <c r="AN2223" s="223"/>
      <c r="AO2223" s="952"/>
      <c r="AP2223" s="1066"/>
      <c r="AQ2223" s="972"/>
      <c r="AR2223" s="1917"/>
      <c r="AS2223" s="222"/>
      <c r="AZ2223" s="889"/>
      <c r="BC2223" s="890"/>
      <c r="BD2223" s="952"/>
      <c r="BE2223" s="75"/>
      <c r="BF2223" s="572"/>
      <c r="BG2223" s="983"/>
      <c r="BH2223" s="222"/>
      <c r="BL2223" s="889"/>
      <c r="BO2223" s="223"/>
    </row>
    <row r="2224" spans="1:67" s="74" customFormat="1">
      <c r="A2224" s="15"/>
      <c r="B2224" s="15"/>
      <c r="C2224" s="15"/>
      <c r="D2224" s="15"/>
      <c r="E2224" s="6"/>
      <c r="F2224" s="6"/>
      <c r="G2224" s="6"/>
      <c r="K2224" s="223"/>
      <c r="M2224" s="889"/>
      <c r="P2224" s="890"/>
      <c r="T2224" s="889"/>
      <c r="X2224" s="15"/>
      <c r="Y2224" s="1935"/>
      <c r="Z2224" s="1086"/>
      <c r="AA2224" s="230"/>
      <c r="AB2224" s="230"/>
      <c r="AC2224" s="1936"/>
      <c r="AD2224" s="230"/>
      <c r="AE2224" s="230"/>
      <c r="AF2224" s="230"/>
      <c r="AG2224" s="890"/>
      <c r="AJ2224" s="890"/>
      <c r="AN2224" s="223"/>
      <c r="AO2224" s="952"/>
      <c r="AP2224" s="1066"/>
      <c r="AQ2224" s="972"/>
      <c r="AR2224" s="1917"/>
      <c r="AS2224" s="222"/>
      <c r="AZ2224" s="889"/>
      <c r="BC2224" s="890"/>
      <c r="BD2224" s="952"/>
      <c r="BE2224" s="75"/>
      <c r="BF2224" s="572"/>
      <c r="BG2224" s="983"/>
      <c r="BH2224" s="222"/>
      <c r="BL2224" s="889"/>
      <c r="BO2224" s="223"/>
    </row>
    <row r="2225" spans="1:67" s="74" customFormat="1">
      <c r="A2225" s="15"/>
      <c r="B2225" s="15"/>
      <c r="C2225" s="15"/>
      <c r="D2225" s="15"/>
      <c r="E2225" s="6"/>
      <c r="F2225" s="6"/>
      <c r="G2225" s="6"/>
      <c r="K2225" s="223"/>
      <c r="M2225" s="889"/>
      <c r="P2225" s="890"/>
      <c r="T2225" s="889"/>
      <c r="X2225" s="15"/>
      <c r="Y2225" s="1935"/>
      <c r="Z2225" s="1086"/>
      <c r="AA2225" s="230"/>
      <c r="AB2225" s="230"/>
      <c r="AC2225" s="1936"/>
      <c r="AD2225" s="230"/>
      <c r="AE2225" s="230"/>
      <c r="AF2225" s="230"/>
      <c r="AG2225" s="890"/>
      <c r="AJ2225" s="890"/>
      <c r="AN2225" s="223"/>
      <c r="AO2225" s="952"/>
      <c r="AP2225" s="1066"/>
      <c r="AQ2225" s="972"/>
      <c r="AR2225" s="1917"/>
      <c r="AS2225" s="222"/>
      <c r="AZ2225" s="889"/>
      <c r="BC2225" s="890"/>
      <c r="BD2225" s="952"/>
      <c r="BE2225" s="75"/>
      <c r="BF2225" s="572"/>
      <c r="BG2225" s="983"/>
      <c r="BH2225" s="222"/>
      <c r="BL2225" s="889"/>
      <c r="BO2225" s="223"/>
    </row>
    <row r="2226" spans="1:67" s="74" customFormat="1">
      <c r="A2226" s="15"/>
      <c r="B2226" s="15"/>
      <c r="C2226" s="15"/>
      <c r="D2226" s="15"/>
      <c r="E2226" s="6"/>
      <c r="F2226" s="6"/>
      <c r="G2226" s="6"/>
      <c r="K2226" s="223"/>
      <c r="M2226" s="889"/>
      <c r="P2226" s="890"/>
      <c r="T2226" s="889"/>
      <c r="X2226" s="15"/>
      <c r="Y2226" s="1935"/>
      <c r="Z2226" s="1086"/>
      <c r="AA2226" s="230"/>
      <c r="AB2226" s="230"/>
      <c r="AC2226" s="1936"/>
      <c r="AD2226" s="230"/>
      <c r="AE2226" s="230"/>
      <c r="AF2226" s="230"/>
      <c r="AG2226" s="890"/>
      <c r="AJ2226" s="890"/>
      <c r="AN2226" s="223"/>
      <c r="AO2226" s="952"/>
      <c r="AP2226" s="1066"/>
      <c r="AQ2226" s="972"/>
      <c r="AR2226" s="1917"/>
      <c r="AS2226" s="222"/>
      <c r="AZ2226" s="889"/>
      <c r="BC2226" s="890"/>
      <c r="BD2226" s="952"/>
      <c r="BE2226" s="75"/>
      <c r="BF2226" s="572"/>
      <c r="BG2226" s="983"/>
      <c r="BH2226" s="222"/>
      <c r="BL2226" s="889"/>
      <c r="BO2226" s="223"/>
    </row>
    <row r="2227" spans="1:67" s="74" customFormat="1">
      <c r="A2227" s="15"/>
      <c r="B2227" s="15"/>
      <c r="C2227" s="15"/>
      <c r="D2227" s="15"/>
      <c r="E2227" s="6"/>
      <c r="F2227" s="6"/>
      <c r="G2227" s="6"/>
      <c r="K2227" s="223"/>
      <c r="M2227" s="889"/>
      <c r="P2227" s="890"/>
      <c r="T2227" s="889"/>
      <c r="X2227" s="15"/>
      <c r="Y2227" s="1935"/>
      <c r="Z2227" s="1086"/>
      <c r="AA2227" s="230"/>
      <c r="AB2227" s="230"/>
      <c r="AC2227" s="1936"/>
      <c r="AD2227" s="230"/>
      <c r="AE2227" s="230"/>
      <c r="AF2227" s="230"/>
      <c r="AG2227" s="890"/>
      <c r="AJ2227" s="890"/>
      <c r="AN2227" s="223"/>
      <c r="AO2227" s="952"/>
      <c r="AP2227" s="1066"/>
      <c r="AQ2227" s="972"/>
      <c r="AR2227" s="1917"/>
      <c r="AS2227" s="222"/>
      <c r="AZ2227" s="889"/>
      <c r="BC2227" s="890"/>
      <c r="BD2227" s="952"/>
      <c r="BE2227" s="75"/>
      <c r="BF2227" s="572"/>
      <c r="BG2227" s="983"/>
      <c r="BH2227" s="222"/>
      <c r="BL2227" s="889"/>
      <c r="BO2227" s="223"/>
    </row>
    <row r="2228" spans="1:67" s="74" customFormat="1">
      <c r="A2228" s="15"/>
      <c r="B2228" s="15"/>
      <c r="C2228" s="15"/>
      <c r="D2228" s="15"/>
      <c r="E2228" s="6"/>
      <c r="F2228" s="6"/>
      <c r="G2228" s="6"/>
      <c r="K2228" s="223"/>
      <c r="M2228" s="889"/>
      <c r="P2228" s="890"/>
      <c r="T2228" s="889"/>
      <c r="X2228" s="15"/>
      <c r="Y2228" s="1935"/>
      <c r="Z2228" s="1086"/>
      <c r="AA2228" s="230"/>
      <c r="AB2228" s="230"/>
      <c r="AC2228" s="1936"/>
      <c r="AD2228" s="230"/>
      <c r="AE2228" s="230"/>
      <c r="AF2228" s="230"/>
      <c r="AG2228" s="890"/>
      <c r="AJ2228" s="890"/>
      <c r="AN2228" s="223"/>
      <c r="AO2228" s="952"/>
      <c r="AP2228" s="1066"/>
      <c r="AQ2228" s="972"/>
      <c r="AR2228" s="1917"/>
      <c r="AS2228" s="222"/>
      <c r="AZ2228" s="889"/>
      <c r="BC2228" s="890"/>
      <c r="BD2228" s="952"/>
      <c r="BE2228" s="75"/>
      <c r="BF2228" s="572"/>
      <c r="BG2228" s="983"/>
      <c r="BH2228" s="222"/>
      <c r="BL2228" s="889"/>
      <c r="BO2228" s="223"/>
    </row>
    <row r="2229" spans="1:67" s="74" customFormat="1">
      <c r="A2229" s="15"/>
      <c r="B2229" s="15"/>
      <c r="C2229" s="15"/>
      <c r="D2229" s="15"/>
      <c r="E2229" s="6"/>
      <c r="F2229" s="6"/>
      <c r="G2229" s="6"/>
      <c r="K2229" s="223"/>
      <c r="M2229" s="889"/>
      <c r="P2229" s="890"/>
      <c r="T2229" s="889"/>
      <c r="X2229" s="15"/>
      <c r="Y2229" s="1935"/>
      <c r="Z2229" s="1086"/>
      <c r="AA2229" s="230"/>
      <c r="AB2229" s="230"/>
      <c r="AC2229" s="1936"/>
      <c r="AD2229" s="230"/>
      <c r="AE2229" s="230"/>
      <c r="AF2229" s="230"/>
      <c r="AG2229" s="890"/>
      <c r="AJ2229" s="890"/>
      <c r="AN2229" s="223"/>
      <c r="AO2229" s="952"/>
      <c r="AP2229" s="1066"/>
      <c r="AQ2229" s="972"/>
      <c r="AR2229" s="1917"/>
      <c r="AS2229" s="222"/>
      <c r="AZ2229" s="889"/>
      <c r="BC2229" s="890"/>
      <c r="BD2229" s="952"/>
      <c r="BE2229" s="75"/>
      <c r="BF2229" s="572"/>
      <c r="BG2229" s="983"/>
      <c r="BH2229" s="222"/>
      <c r="BL2229" s="889"/>
      <c r="BO2229" s="223"/>
    </row>
    <row r="2230" spans="1:67" s="74" customFormat="1">
      <c r="A2230" s="15"/>
      <c r="B2230" s="15"/>
      <c r="C2230" s="15"/>
      <c r="D2230" s="15"/>
      <c r="E2230" s="6"/>
      <c r="F2230" s="6"/>
      <c r="G2230" s="6"/>
      <c r="K2230" s="223"/>
      <c r="M2230" s="889"/>
      <c r="P2230" s="890"/>
      <c r="T2230" s="889"/>
      <c r="X2230" s="15"/>
      <c r="Y2230" s="1935"/>
      <c r="Z2230" s="1086"/>
      <c r="AA2230" s="230"/>
      <c r="AB2230" s="230"/>
      <c r="AC2230" s="1936"/>
      <c r="AD2230" s="230"/>
      <c r="AE2230" s="230"/>
      <c r="AF2230" s="230"/>
      <c r="AG2230" s="890"/>
      <c r="AJ2230" s="890"/>
      <c r="AN2230" s="223"/>
      <c r="AO2230" s="952"/>
      <c r="AP2230" s="1066"/>
      <c r="AQ2230" s="972"/>
      <c r="AR2230" s="1917"/>
      <c r="AS2230" s="222"/>
      <c r="AZ2230" s="889"/>
      <c r="BC2230" s="890"/>
      <c r="BD2230" s="952"/>
      <c r="BE2230" s="75"/>
      <c r="BF2230" s="572"/>
      <c r="BG2230" s="983"/>
      <c r="BH2230" s="222"/>
      <c r="BL2230" s="889"/>
      <c r="BO2230" s="223"/>
    </row>
    <row r="2231" spans="1:67" s="74" customFormat="1">
      <c r="A2231" s="15"/>
      <c r="B2231" s="15"/>
      <c r="C2231" s="15"/>
      <c r="D2231" s="15"/>
      <c r="E2231" s="6"/>
      <c r="F2231" s="6"/>
      <c r="G2231" s="6"/>
      <c r="K2231" s="223"/>
      <c r="M2231" s="889"/>
      <c r="P2231" s="890"/>
      <c r="T2231" s="889"/>
      <c r="X2231" s="15"/>
      <c r="Y2231" s="1935"/>
      <c r="Z2231" s="1086"/>
      <c r="AA2231" s="230"/>
      <c r="AB2231" s="230"/>
      <c r="AC2231" s="1936"/>
      <c r="AD2231" s="230"/>
      <c r="AE2231" s="230"/>
      <c r="AF2231" s="230"/>
      <c r="AG2231" s="890"/>
      <c r="AJ2231" s="890"/>
      <c r="AN2231" s="223"/>
      <c r="AO2231" s="952"/>
      <c r="AP2231" s="1066"/>
      <c r="AQ2231" s="972"/>
      <c r="AR2231" s="1917"/>
      <c r="AS2231" s="222"/>
      <c r="AZ2231" s="889"/>
      <c r="BC2231" s="890"/>
      <c r="BD2231" s="952"/>
      <c r="BE2231" s="75"/>
      <c r="BF2231" s="572"/>
      <c r="BG2231" s="983"/>
      <c r="BH2231" s="222"/>
      <c r="BL2231" s="889"/>
      <c r="BO2231" s="223"/>
    </row>
    <row r="2232" spans="1:67" s="74" customFormat="1">
      <c r="A2232" s="15"/>
      <c r="B2232" s="15"/>
      <c r="C2232" s="15"/>
      <c r="D2232" s="15"/>
      <c r="E2232" s="6"/>
      <c r="F2232" s="6"/>
      <c r="G2232" s="6"/>
      <c r="K2232" s="223"/>
      <c r="M2232" s="889"/>
      <c r="P2232" s="890"/>
      <c r="T2232" s="889"/>
      <c r="X2232" s="15"/>
      <c r="Y2232" s="1935"/>
      <c r="Z2232" s="1086"/>
      <c r="AA2232" s="230"/>
      <c r="AB2232" s="230"/>
      <c r="AC2232" s="1936"/>
      <c r="AD2232" s="230"/>
      <c r="AE2232" s="230"/>
      <c r="AF2232" s="230"/>
      <c r="AG2232" s="890"/>
      <c r="AJ2232" s="890"/>
      <c r="AN2232" s="223"/>
      <c r="AO2232" s="952"/>
      <c r="AP2232" s="1066"/>
      <c r="AQ2232" s="972"/>
      <c r="AR2232" s="1917"/>
      <c r="AS2232" s="222"/>
      <c r="AZ2232" s="889"/>
      <c r="BC2232" s="890"/>
      <c r="BD2232" s="952"/>
      <c r="BE2232" s="75"/>
      <c r="BF2232" s="572"/>
      <c r="BG2232" s="983"/>
      <c r="BH2232" s="222"/>
      <c r="BL2232" s="889"/>
      <c r="BO2232" s="223"/>
    </row>
    <row r="2233" spans="1:67" s="74" customFormat="1">
      <c r="A2233" s="15"/>
      <c r="B2233" s="15"/>
      <c r="C2233" s="15"/>
      <c r="D2233" s="15"/>
      <c r="E2233" s="6"/>
      <c r="F2233" s="6"/>
      <c r="G2233" s="6"/>
      <c r="K2233" s="223"/>
      <c r="M2233" s="889"/>
      <c r="P2233" s="890"/>
      <c r="T2233" s="889"/>
      <c r="X2233" s="15"/>
      <c r="Y2233" s="1935"/>
      <c r="Z2233" s="1086"/>
      <c r="AA2233" s="230"/>
      <c r="AB2233" s="230"/>
      <c r="AC2233" s="1936"/>
      <c r="AD2233" s="230"/>
      <c r="AE2233" s="230"/>
      <c r="AF2233" s="230"/>
      <c r="AG2233" s="890"/>
      <c r="AJ2233" s="890"/>
      <c r="AN2233" s="223"/>
      <c r="AO2233" s="952"/>
      <c r="AP2233" s="1066"/>
      <c r="AQ2233" s="972"/>
      <c r="AR2233" s="1917"/>
      <c r="AS2233" s="222"/>
      <c r="AZ2233" s="889"/>
      <c r="BC2233" s="890"/>
      <c r="BD2233" s="952"/>
      <c r="BE2233" s="75"/>
      <c r="BF2233" s="572"/>
      <c r="BG2233" s="983"/>
      <c r="BH2233" s="222"/>
      <c r="BL2233" s="889"/>
      <c r="BO2233" s="223"/>
    </row>
    <row r="2234" spans="1:67" s="74" customFormat="1">
      <c r="A2234" s="15"/>
      <c r="B2234" s="15"/>
      <c r="C2234" s="15"/>
      <c r="D2234" s="15"/>
      <c r="E2234" s="6"/>
      <c r="F2234" s="6"/>
      <c r="G2234" s="6"/>
      <c r="K2234" s="223"/>
      <c r="M2234" s="889"/>
      <c r="P2234" s="890"/>
      <c r="T2234" s="889"/>
      <c r="X2234" s="15"/>
      <c r="Y2234" s="1935"/>
      <c r="Z2234" s="1086"/>
      <c r="AA2234" s="230"/>
      <c r="AB2234" s="230"/>
      <c r="AC2234" s="1936"/>
      <c r="AD2234" s="230"/>
      <c r="AE2234" s="230"/>
      <c r="AF2234" s="230"/>
      <c r="AG2234" s="890"/>
      <c r="AJ2234" s="890"/>
      <c r="AN2234" s="223"/>
      <c r="AO2234" s="952"/>
      <c r="AP2234" s="1066"/>
      <c r="AQ2234" s="972"/>
      <c r="AR2234" s="1917"/>
      <c r="AS2234" s="222"/>
      <c r="AZ2234" s="889"/>
      <c r="BC2234" s="890"/>
      <c r="BD2234" s="952"/>
      <c r="BE2234" s="75"/>
      <c r="BF2234" s="572"/>
      <c r="BG2234" s="983"/>
      <c r="BH2234" s="222"/>
      <c r="BL2234" s="889"/>
      <c r="BO2234" s="223"/>
    </row>
    <row r="2235" spans="1:67" s="74" customFormat="1">
      <c r="A2235" s="15"/>
      <c r="B2235" s="15"/>
      <c r="C2235" s="15"/>
      <c r="D2235" s="15"/>
      <c r="E2235" s="6"/>
      <c r="F2235" s="6"/>
      <c r="G2235" s="6"/>
      <c r="K2235" s="223"/>
      <c r="M2235" s="889"/>
      <c r="P2235" s="890"/>
      <c r="T2235" s="889"/>
      <c r="X2235" s="15"/>
      <c r="Y2235" s="1935"/>
      <c r="Z2235" s="1086"/>
      <c r="AA2235" s="230"/>
      <c r="AB2235" s="230"/>
      <c r="AC2235" s="1936"/>
      <c r="AD2235" s="230"/>
      <c r="AE2235" s="230"/>
      <c r="AF2235" s="230"/>
      <c r="AG2235" s="890"/>
      <c r="AJ2235" s="890"/>
      <c r="AN2235" s="223"/>
      <c r="AO2235" s="952"/>
      <c r="AP2235" s="1066"/>
      <c r="AQ2235" s="972"/>
      <c r="AR2235" s="1917"/>
      <c r="AS2235" s="222"/>
      <c r="AZ2235" s="889"/>
      <c r="BC2235" s="890"/>
      <c r="BD2235" s="952"/>
      <c r="BE2235" s="75"/>
      <c r="BF2235" s="572"/>
      <c r="BG2235" s="983"/>
      <c r="BH2235" s="222"/>
      <c r="BL2235" s="889"/>
      <c r="BO2235" s="223"/>
    </row>
    <row r="2236" spans="1:67" s="74" customFormat="1">
      <c r="A2236" s="15"/>
      <c r="B2236" s="15"/>
      <c r="C2236" s="15"/>
      <c r="D2236" s="15"/>
      <c r="E2236" s="6"/>
      <c r="F2236" s="6"/>
      <c r="G2236" s="6"/>
      <c r="K2236" s="223"/>
      <c r="M2236" s="889"/>
      <c r="P2236" s="890"/>
      <c r="T2236" s="889"/>
      <c r="X2236" s="15"/>
      <c r="Y2236" s="1935"/>
      <c r="Z2236" s="1086"/>
      <c r="AA2236" s="230"/>
      <c r="AB2236" s="230"/>
      <c r="AC2236" s="1936"/>
      <c r="AD2236" s="230"/>
      <c r="AE2236" s="230"/>
      <c r="AF2236" s="230"/>
      <c r="AG2236" s="890"/>
      <c r="AJ2236" s="890"/>
      <c r="AN2236" s="223"/>
      <c r="AO2236" s="952"/>
      <c r="AP2236" s="1066"/>
      <c r="AQ2236" s="972"/>
      <c r="AR2236" s="1917"/>
      <c r="AS2236" s="222"/>
      <c r="AZ2236" s="889"/>
      <c r="BC2236" s="890"/>
      <c r="BD2236" s="952"/>
      <c r="BE2236" s="75"/>
      <c r="BF2236" s="572"/>
      <c r="BG2236" s="983"/>
      <c r="BH2236" s="222"/>
      <c r="BL2236" s="889"/>
      <c r="BO2236" s="223"/>
    </row>
    <row r="2237" spans="1:67" s="74" customFormat="1">
      <c r="A2237" s="15"/>
      <c r="B2237" s="15"/>
      <c r="C2237" s="15"/>
      <c r="D2237" s="15"/>
      <c r="E2237" s="6"/>
      <c r="F2237" s="6"/>
      <c r="G2237" s="6"/>
      <c r="K2237" s="223"/>
      <c r="M2237" s="889"/>
      <c r="P2237" s="890"/>
      <c r="T2237" s="889"/>
      <c r="X2237" s="15"/>
      <c r="Y2237" s="1935"/>
      <c r="Z2237" s="1086"/>
      <c r="AA2237" s="230"/>
      <c r="AB2237" s="230"/>
      <c r="AC2237" s="1936"/>
      <c r="AD2237" s="230"/>
      <c r="AE2237" s="230"/>
      <c r="AF2237" s="230"/>
      <c r="AG2237" s="890"/>
      <c r="AJ2237" s="890"/>
      <c r="AN2237" s="223"/>
      <c r="AO2237" s="952"/>
      <c r="AP2237" s="1066"/>
      <c r="AQ2237" s="972"/>
      <c r="AR2237" s="1917"/>
      <c r="AS2237" s="222"/>
      <c r="AZ2237" s="889"/>
      <c r="BC2237" s="890"/>
      <c r="BD2237" s="952"/>
      <c r="BE2237" s="75"/>
      <c r="BF2237" s="572"/>
      <c r="BG2237" s="983"/>
      <c r="BH2237" s="222"/>
      <c r="BL2237" s="889"/>
      <c r="BO2237" s="223"/>
    </row>
    <row r="2238" spans="1:67" s="74" customFormat="1">
      <c r="A2238" s="15"/>
      <c r="B2238" s="15"/>
      <c r="C2238" s="15"/>
      <c r="D2238" s="15"/>
      <c r="E2238" s="6"/>
      <c r="F2238" s="6"/>
      <c r="G2238" s="6"/>
      <c r="K2238" s="223"/>
      <c r="M2238" s="889"/>
      <c r="P2238" s="890"/>
      <c r="T2238" s="889"/>
      <c r="X2238" s="15"/>
      <c r="Y2238" s="1935"/>
      <c r="Z2238" s="1086"/>
      <c r="AA2238" s="230"/>
      <c r="AB2238" s="230"/>
      <c r="AC2238" s="1936"/>
      <c r="AD2238" s="230"/>
      <c r="AE2238" s="230"/>
      <c r="AF2238" s="230"/>
      <c r="AG2238" s="890"/>
      <c r="AJ2238" s="890"/>
      <c r="AN2238" s="223"/>
      <c r="AO2238" s="952"/>
      <c r="AP2238" s="1066"/>
      <c r="AQ2238" s="972"/>
      <c r="AR2238" s="1917"/>
      <c r="AS2238" s="222"/>
      <c r="AZ2238" s="889"/>
      <c r="BC2238" s="890"/>
      <c r="BD2238" s="952"/>
      <c r="BE2238" s="75"/>
      <c r="BF2238" s="572"/>
      <c r="BG2238" s="983"/>
      <c r="BH2238" s="222"/>
      <c r="BL2238" s="889"/>
      <c r="BO2238" s="223"/>
    </row>
    <row r="2239" spans="1:67" s="74" customFormat="1">
      <c r="A2239" s="15"/>
      <c r="B2239" s="15"/>
      <c r="C2239" s="15"/>
      <c r="D2239" s="15"/>
      <c r="E2239" s="6"/>
      <c r="F2239" s="6"/>
      <c r="G2239" s="6"/>
      <c r="K2239" s="223"/>
      <c r="M2239" s="889"/>
      <c r="P2239" s="890"/>
      <c r="T2239" s="889"/>
      <c r="X2239" s="15"/>
      <c r="Y2239" s="1935"/>
      <c r="Z2239" s="1086"/>
      <c r="AA2239" s="230"/>
      <c r="AB2239" s="230"/>
      <c r="AC2239" s="1936"/>
      <c r="AD2239" s="230"/>
      <c r="AE2239" s="230"/>
      <c r="AF2239" s="230"/>
      <c r="AG2239" s="890"/>
      <c r="AJ2239" s="890"/>
      <c r="AN2239" s="223"/>
      <c r="AO2239" s="952"/>
      <c r="AP2239" s="1066"/>
      <c r="AQ2239" s="972"/>
      <c r="AR2239" s="1917"/>
      <c r="AS2239" s="222"/>
      <c r="AZ2239" s="889"/>
      <c r="BC2239" s="890"/>
      <c r="BD2239" s="952"/>
      <c r="BE2239" s="75"/>
      <c r="BF2239" s="572"/>
      <c r="BG2239" s="983"/>
      <c r="BH2239" s="222"/>
      <c r="BL2239" s="889"/>
      <c r="BO2239" s="223"/>
    </row>
    <row r="2240" spans="1:67" s="74" customFormat="1">
      <c r="A2240" s="15"/>
      <c r="B2240" s="15"/>
      <c r="C2240" s="15"/>
      <c r="D2240" s="15"/>
      <c r="E2240" s="6"/>
      <c r="F2240" s="6"/>
      <c r="G2240" s="6"/>
      <c r="K2240" s="223"/>
      <c r="M2240" s="889"/>
      <c r="P2240" s="890"/>
      <c r="T2240" s="889"/>
      <c r="X2240" s="15"/>
      <c r="Y2240" s="1935"/>
      <c r="Z2240" s="1086"/>
      <c r="AA2240" s="230"/>
      <c r="AB2240" s="230"/>
      <c r="AC2240" s="1936"/>
      <c r="AD2240" s="230"/>
      <c r="AE2240" s="230"/>
      <c r="AF2240" s="230"/>
      <c r="AG2240" s="890"/>
      <c r="AJ2240" s="890"/>
      <c r="AN2240" s="223"/>
      <c r="AO2240" s="952"/>
      <c r="AP2240" s="1066"/>
      <c r="AQ2240" s="972"/>
      <c r="AR2240" s="1917"/>
      <c r="AS2240" s="222"/>
      <c r="AZ2240" s="889"/>
      <c r="BC2240" s="890"/>
      <c r="BD2240" s="952"/>
      <c r="BE2240" s="75"/>
      <c r="BF2240" s="572"/>
      <c r="BG2240" s="983"/>
      <c r="BH2240" s="222"/>
      <c r="BL2240" s="889"/>
      <c r="BO2240" s="223"/>
    </row>
    <row r="2241" spans="1:67" s="74" customFormat="1">
      <c r="A2241" s="15"/>
      <c r="B2241" s="15"/>
      <c r="C2241" s="15"/>
      <c r="D2241" s="15"/>
      <c r="E2241" s="6"/>
      <c r="F2241" s="6"/>
      <c r="G2241" s="6"/>
      <c r="K2241" s="223"/>
      <c r="M2241" s="889"/>
      <c r="P2241" s="890"/>
      <c r="T2241" s="889"/>
      <c r="X2241" s="15"/>
      <c r="Y2241" s="1935"/>
      <c r="Z2241" s="1086"/>
      <c r="AA2241" s="230"/>
      <c r="AB2241" s="230"/>
      <c r="AC2241" s="1936"/>
      <c r="AD2241" s="230"/>
      <c r="AE2241" s="230"/>
      <c r="AF2241" s="230"/>
      <c r="AG2241" s="890"/>
      <c r="AJ2241" s="890"/>
      <c r="AN2241" s="223"/>
      <c r="AO2241" s="952"/>
      <c r="AP2241" s="1066"/>
      <c r="AQ2241" s="972"/>
      <c r="AR2241" s="1917"/>
      <c r="AS2241" s="222"/>
      <c r="AZ2241" s="889"/>
      <c r="BC2241" s="890"/>
      <c r="BD2241" s="952"/>
      <c r="BE2241" s="75"/>
      <c r="BF2241" s="572"/>
      <c r="BG2241" s="983"/>
      <c r="BH2241" s="222"/>
      <c r="BL2241" s="889"/>
      <c r="BO2241" s="223"/>
    </row>
    <row r="2242" spans="1:67" s="74" customFormat="1">
      <c r="A2242" s="15"/>
      <c r="B2242" s="15"/>
      <c r="C2242" s="15"/>
      <c r="D2242" s="15"/>
      <c r="E2242" s="6"/>
      <c r="F2242" s="6"/>
      <c r="G2242" s="6"/>
      <c r="K2242" s="223"/>
      <c r="M2242" s="889"/>
      <c r="P2242" s="890"/>
      <c r="T2242" s="889"/>
      <c r="X2242" s="15"/>
      <c r="Y2242" s="1935"/>
      <c r="Z2242" s="1086"/>
      <c r="AA2242" s="230"/>
      <c r="AB2242" s="230"/>
      <c r="AC2242" s="1936"/>
      <c r="AD2242" s="230"/>
      <c r="AE2242" s="230"/>
      <c r="AF2242" s="230"/>
      <c r="AG2242" s="890"/>
      <c r="AJ2242" s="890"/>
      <c r="AN2242" s="223"/>
      <c r="AO2242" s="952"/>
      <c r="AP2242" s="1066"/>
      <c r="AQ2242" s="972"/>
      <c r="AR2242" s="1917"/>
      <c r="AS2242" s="222"/>
      <c r="AZ2242" s="889"/>
      <c r="BC2242" s="890"/>
      <c r="BD2242" s="952"/>
      <c r="BE2242" s="75"/>
      <c r="BF2242" s="572"/>
      <c r="BG2242" s="983"/>
      <c r="BH2242" s="222"/>
      <c r="BL2242" s="889"/>
      <c r="BO2242" s="223"/>
    </row>
    <row r="2243" spans="1:67" s="74" customFormat="1">
      <c r="A2243" s="15"/>
      <c r="B2243" s="15"/>
      <c r="C2243" s="15"/>
      <c r="D2243" s="15"/>
      <c r="E2243" s="6"/>
      <c r="F2243" s="6"/>
      <c r="G2243" s="6"/>
      <c r="K2243" s="223"/>
      <c r="M2243" s="889"/>
      <c r="P2243" s="890"/>
      <c r="T2243" s="889"/>
      <c r="X2243" s="15"/>
      <c r="Y2243" s="1935"/>
      <c r="Z2243" s="1086"/>
      <c r="AA2243" s="230"/>
      <c r="AB2243" s="230"/>
      <c r="AC2243" s="1936"/>
      <c r="AD2243" s="230"/>
      <c r="AE2243" s="230"/>
      <c r="AF2243" s="230"/>
      <c r="AG2243" s="890"/>
      <c r="AJ2243" s="890"/>
      <c r="AN2243" s="223"/>
      <c r="AO2243" s="952"/>
      <c r="AP2243" s="1066"/>
      <c r="AQ2243" s="972"/>
      <c r="AR2243" s="1917"/>
      <c r="AS2243" s="222"/>
      <c r="AZ2243" s="889"/>
      <c r="BC2243" s="890"/>
      <c r="BD2243" s="952"/>
      <c r="BE2243" s="75"/>
      <c r="BF2243" s="572"/>
      <c r="BG2243" s="983"/>
      <c r="BH2243" s="222"/>
      <c r="BL2243" s="889"/>
      <c r="BO2243" s="223"/>
    </row>
    <row r="2244" spans="1:67" s="74" customFormat="1">
      <c r="A2244" s="15"/>
      <c r="B2244" s="15"/>
      <c r="C2244" s="15"/>
      <c r="D2244" s="15"/>
      <c r="E2244" s="6"/>
      <c r="F2244" s="6"/>
      <c r="G2244" s="6"/>
      <c r="K2244" s="223"/>
      <c r="M2244" s="889"/>
      <c r="P2244" s="890"/>
      <c r="T2244" s="889"/>
      <c r="X2244" s="15"/>
      <c r="Y2244" s="1935"/>
      <c r="Z2244" s="1086"/>
      <c r="AA2244" s="230"/>
      <c r="AB2244" s="230"/>
      <c r="AC2244" s="1936"/>
      <c r="AD2244" s="230"/>
      <c r="AE2244" s="230"/>
      <c r="AF2244" s="230"/>
      <c r="AG2244" s="890"/>
      <c r="AJ2244" s="890"/>
      <c r="AN2244" s="223"/>
      <c r="AO2244" s="952"/>
      <c r="AP2244" s="1066"/>
      <c r="AQ2244" s="972"/>
      <c r="AR2244" s="1917"/>
      <c r="AS2244" s="222"/>
      <c r="AZ2244" s="889"/>
      <c r="BC2244" s="890"/>
      <c r="BD2244" s="952"/>
      <c r="BE2244" s="75"/>
      <c r="BF2244" s="572"/>
      <c r="BG2244" s="983"/>
      <c r="BH2244" s="222"/>
      <c r="BL2244" s="889"/>
      <c r="BO2244" s="223"/>
    </row>
    <row r="2245" spans="1:67" s="74" customFormat="1">
      <c r="A2245" s="15"/>
      <c r="B2245" s="15"/>
      <c r="C2245" s="15"/>
      <c r="D2245" s="15"/>
      <c r="E2245" s="6"/>
      <c r="F2245" s="6"/>
      <c r="G2245" s="6"/>
      <c r="K2245" s="223"/>
      <c r="M2245" s="889"/>
      <c r="P2245" s="890"/>
      <c r="T2245" s="889"/>
      <c r="X2245" s="15"/>
      <c r="Y2245" s="1935"/>
      <c r="Z2245" s="1086"/>
      <c r="AA2245" s="230"/>
      <c r="AB2245" s="230"/>
      <c r="AC2245" s="1936"/>
      <c r="AD2245" s="230"/>
      <c r="AE2245" s="230"/>
      <c r="AF2245" s="230"/>
      <c r="AG2245" s="890"/>
      <c r="AJ2245" s="890"/>
      <c r="AN2245" s="223"/>
      <c r="AO2245" s="952"/>
      <c r="AP2245" s="1066"/>
      <c r="AQ2245" s="972"/>
      <c r="AR2245" s="1917"/>
      <c r="AS2245" s="222"/>
      <c r="AZ2245" s="889"/>
      <c r="BC2245" s="890"/>
      <c r="BD2245" s="952"/>
      <c r="BE2245" s="75"/>
      <c r="BF2245" s="572"/>
      <c r="BG2245" s="983"/>
      <c r="BH2245" s="222"/>
      <c r="BL2245" s="889"/>
      <c r="BO2245" s="223"/>
    </row>
    <row r="2246" spans="1:67" s="74" customFormat="1">
      <c r="A2246" s="15"/>
      <c r="B2246" s="15"/>
      <c r="C2246" s="15"/>
      <c r="D2246" s="15"/>
      <c r="E2246" s="6"/>
      <c r="F2246" s="6"/>
      <c r="G2246" s="6"/>
      <c r="K2246" s="223"/>
      <c r="M2246" s="889"/>
      <c r="P2246" s="890"/>
      <c r="T2246" s="889"/>
      <c r="X2246" s="15"/>
      <c r="Y2246" s="1935"/>
      <c r="Z2246" s="1086"/>
      <c r="AA2246" s="230"/>
      <c r="AB2246" s="230"/>
      <c r="AC2246" s="1936"/>
      <c r="AD2246" s="230"/>
      <c r="AE2246" s="230"/>
      <c r="AF2246" s="230"/>
      <c r="AG2246" s="890"/>
      <c r="AJ2246" s="890"/>
      <c r="AN2246" s="223"/>
      <c r="AO2246" s="952"/>
      <c r="AP2246" s="1066"/>
      <c r="AQ2246" s="972"/>
      <c r="AR2246" s="1917"/>
      <c r="AS2246" s="222"/>
      <c r="AZ2246" s="889"/>
      <c r="BC2246" s="890"/>
      <c r="BD2246" s="952"/>
      <c r="BE2246" s="75"/>
      <c r="BF2246" s="572"/>
      <c r="BG2246" s="983"/>
      <c r="BH2246" s="222"/>
      <c r="BL2246" s="889"/>
      <c r="BO2246" s="223"/>
    </row>
    <row r="2247" spans="1:67" s="74" customFormat="1">
      <c r="A2247" s="15"/>
      <c r="B2247" s="15"/>
      <c r="C2247" s="15"/>
      <c r="D2247" s="15"/>
      <c r="E2247" s="6"/>
      <c r="F2247" s="6"/>
      <c r="G2247" s="6"/>
      <c r="K2247" s="223"/>
      <c r="M2247" s="889"/>
      <c r="P2247" s="890"/>
      <c r="T2247" s="889"/>
      <c r="X2247" s="15"/>
      <c r="Y2247" s="1935"/>
      <c r="Z2247" s="1086"/>
      <c r="AA2247" s="230"/>
      <c r="AB2247" s="230"/>
      <c r="AC2247" s="1936"/>
      <c r="AD2247" s="230"/>
      <c r="AE2247" s="230"/>
      <c r="AF2247" s="230"/>
      <c r="AG2247" s="890"/>
      <c r="AJ2247" s="890"/>
      <c r="AN2247" s="223"/>
      <c r="AO2247" s="952"/>
      <c r="AP2247" s="1066"/>
      <c r="AQ2247" s="972"/>
      <c r="AR2247" s="1917"/>
      <c r="AS2247" s="222"/>
      <c r="AZ2247" s="889"/>
      <c r="BC2247" s="890"/>
      <c r="BD2247" s="952"/>
      <c r="BE2247" s="75"/>
      <c r="BF2247" s="572"/>
      <c r="BG2247" s="983"/>
      <c r="BH2247" s="222"/>
      <c r="BL2247" s="889"/>
      <c r="BO2247" s="223"/>
    </row>
    <row r="2248" spans="1:67" s="74" customFormat="1">
      <c r="A2248" s="15"/>
      <c r="B2248" s="15"/>
      <c r="C2248" s="15"/>
      <c r="D2248" s="15"/>
      <c r="E2248" s="6"/>
      <c r="F2248" s="6"/>
      <c r="G2248" s="6"/>
      <c r="K2248" s="223"/>
      <c r="M2248" s="889"/>
      <c r="P2248" s="890"/>
      <c r="T2248" s="889"/>
      <c r="X2248" s="15"/>
      <c r="Y2248" s="1935"/>
      <c r="Z2248" s="1086"/>
      <c r="AA2248" s="230"/>
      <c r="AB2248" s="230"/>
      <c r="AC2248" s="1936"/>
      <c r="AD2248" s="230"/>
      <c r="AE2248" s="230"/>
      <c r="AF2248" s="230"/>
      <c r="AG2248" s="890"/>
      <c r="AJ2248" s="890"/>
      <c r="AN2248" s="223"/>
      <c r="AO2248" s="952"/>
      <c r="AP2248" s="1066"/>
      <c r="AQ2248" s="972"/>
      <c r="AR2248" s="1917"/>
      <c r="AS2248" s="222"/>
      <c r="AZ2248" s="889"/>
      <c r="BC2248" s="890"/>
      <c r="BD2248" s="952"/>
      <c r="BE2248" s="75"/>
      <c r="BF2248" s="572"/>
      <c r="BG2248" s="983"/>
      <c r="BH2248" s="222"/>
      <c r="BL2248" s="889"/>
      <c r="BO2248" s="223"/>
    </row>
    <row r="2249" spans="1:67" s="74" customFormat="1">
      <c r="A2249" s="15"/>
      <c r="B2249" s="15"/>
      <c r="C2249" s="15"/>
      <c r="D2249" s="15"/>
      <c r="E2249" s="6"/>
      <c r="F2249" s="6"/>
      <c r="G2249" s="6"/>
      <c r="K2249" s="223"/>
      <c r="M2249" s="889"/>
      <c r="P2249" s="890"/>
      <c r="T2249" s="889"/>
      <c r="X2249" s="15"/>
      <c r="Y2249" s="1935"/>
      <c r="Z2249" s="1086"/>
      <c r="AA2249" s="230"/>
      <c r="AB2249" s="230"/>
      <c r="AC2249" s="1936"/>
      <c r="AD2249" s="230"/>
      <c r="AE2249" s="230"/>
      <c r="AF2249" s="230"/>
      <c r="AG2249" s="890"/>
      <c r="AJ2249" s="890"/>
      <c r="AN2249" s="223"/>
      <c r="AO2249" s="952"/>
      <c r="AP2249" s="1066"/>
      <c r="AQ2249" s="972"/>
      <c r="AR2249" s="1917"/>
      <c r="AS2249" s="222"/>
      <c r="AZ2249" s="889"/>
      <c r="BC2249" s="890"/>
      <c r="BD2249" s="952"/>
      <c r="BE2249" s="75"/>
      <c r="BF2249" s="572"/>
      <c r="BG2249" s="983"/>
      <c r="BH2249" s="222"/>
      <c r="BL2249" s="889"/>
      <c r="BO2249" s="223"/>
    </row>
    <row r="2250" spans="1:67" s="74" customFormat="1">
      <c r="A2250" s="15"/>
      <c r="B2250" s="15"/>
      <c r="C2250" s="15"/>
      <c r="D2250" s="15"/>
      <c r="E2250" s="6"/>
      <c r="F2250" s="6"/>
      <c r="G2250" s="6"/>
      <c r="K2250" s="223"/>
      <c r="M2250" s="889"/>
      <c r="P2250" s="890"/>
      <c r="T2250" s="889"/>
      <c r="X2250" s="15"/>
      <c r="Y2250" s="1935"/>
      <c r="Z2250" s="1086"/>
      <c r="AA2250" s="230"/>
      <c r="AB2250" s="230"/>
      <c r="AC2250" s="1936"/>
      <c r="AD2250" s="230"/>
      <c r="AE2250" s="230"/>
      <c r="AF2250" s="230"/>
      <c r="AG2250" s="890"/>
      <c r="AJ2250" s="890"/>
      <c r="AN2250" s="223"/>
      <c r="AO2250" s="952"/>
      <c r="AP2250" s="1066"/>
      <c r="AQ2250" s="972"/>
      <c r="AR2250" s="1917"/>
      <c r="AS2250" s="222"/>
      <c r="AZ2250" s="889"/>
      <c r="BC2250" s="890"/>
      <c r="BD2250" s="952"/>
      <c r="BE2250" s="75"/>
      <c r="BF2250" s="572"/>
      <c r="BG2250" s="983"/>
      <c r="BH2250" s="222"/>
      <c r="BL2250" s="889"/>
      <c r="BO2250" s="223"/>
    </row>
    <row r="2251" spans="1:67" s="74" customFormat="1">
      <c r="A2251" s="15"/>
      <c r="B2251" s="15"/>
      <c r="C2251" s="15"/>
      <c r="D2251" s="15"/>
      <c r="E2251" s="6"/>
      <c r="F2251" s="6"/>
      <c r="G2251" s="6"/>
      <c r="K2251" s="223"/>
      <c r="M2251" s="889"/>
      <c r="P2251" s="890"/>
      <c r="T2251" s="889"/>
      <c r="X2251" s="15"/>
      <c r="Y2251" s="1935"/>
      <c r="Z2251" s="1086"/>
      <c r="AA2251" s="230"/>
      <c r="AB2251" s="230"/>
      <c r="AC2251" s="1936"/>
      <c r="AD2251" s="230"/>
      <c r="AE2251" s="230"/>
      <c r="AF2251" s="230"/>
      <c r="AG2251" s="890"/>
      <c r="AJ2251" s="890"/>
      <c r="AN2251" s="223"/>
      <c r="AO2251" s="952"/>
      <c r="AP2251" s="1066"/>
      <c r="AQ2251" s="972"/>
      <c r="AR2251" s="1917"/>
      <c r="AS2251" s="222"/>
      <c r="AZ2251" s="889"/>
      <c r="BC2251" s="890"/>
      <c r="BD2251" s="952"/>
      <c r="BE2251" s="75"/>
      <c r="BF2251" s="572"/>
      <c r="BG2251" s="983"/>
      <c r="BH2251" s="222"/>
      <c r="BL2251" s="889"/>
      <c r="BO2251" s="223"/>
    </row>
    <row r="2252" spans="1:67" s="74" customFormat="1">
      <c r="A2252" s="15"/>
      <c r="B2252" s="15"/>
      <c r="C2252" s="15"/>
      <c r="D2252" s="15"/>
      <c r="E2252" s="6"/>
      <c r="F2252" s="6"/>
      <c r="G2252" s="6"/>
      <c r="K2252" s="223"/>
      <c r="M2252" s="889"/>
      <c r="P2252" s="890"/>
      <c r="T2252" s="889"/>
      <c r="X2252" s="15"/>
      <c r="Y2252" s="1935"/>
      <c r="Z2252" s="1086"/>
      <c r="AA2252" s="230"/>
      <c r="AB2252" s="230"/>
      <c r="AC2252" s="1936"/>
      <c r="AD2252" s="230"/>
      <c r="AE2252" s="230"/>
      <c r="AF2252" s="230"/>
      <c r="AG2252" s="890"/>
      <c r="AJ2252" s="890"/>
      <c r="AN2252" s="223"/>
      <c r="AO2252" s="952"/>
      <c r="AP2252" s="1066"/>
      <c r="AQ2252" s="972"/>
      <c r="AR2252" s="1917"/>
      <c r="AS2252" s="222"/>
      <c r="AZ2252" s="889"/>
      <c r="BC2252" s="890"/>
      <c r="BD2252" s="952"/>
      <c r="BE2252" s="75"/>
      <c r="BF2252" s="572"/>
      <c r="BG2252" s="983"/>
      <c r="BH2252" s="222"/>
      <c r="BL2252" s="889"/>
      <c r="BO2252" s="223"/>
    </row>
    <row r="2253" spans="1:67" s="74" customFormat="1">
      <c r="A2253" s="15"/>
      <c r="B2253" s="15"/>
      <c r="C2253" s="15"/>
      <c r="D2253" s="15"/>
      <c r="E2253" s="6"/>
      <c r="F2253" s="6"/>
      <c r="G2253" s="6"/>
      <c r="K2253" s="223"/>
      <c r="M2253" s="889"/>
      <c r="P2253" s="890"/>
      <c r="T2253" s="889"/>
      <c r="X2253" s="15"/>
      <c r="Y2253" s="1935"/>
      <c r="Z2253" s="1086"/>
      <c r="AA2253" s="230"/>
      <c r="AB2253" s="230"/>
      <c r="AC2253" s="1936"/>
      <c r="AD2253" s="230"/>
      <c r="AE2253" s="230"/>
      <c r="AF2253" s="230"/>
      <c r="AG2253" s="890"/>
      <c r="AJ2253" s="890"/>
      <c r="AN2253" s="223"/>
      <c r="AO2253" s="952"/>
      <c r="AP2253" s="1066"/>
      <c r="AQ2253" s="972"/>
      <c r="AR2253" s="1917"/>
      <c r="AS2253" s="222"/>
      <c r="AZ2253" s="889"/>
      <c r="BC2253" s="890"/>
      <c r="BD2253" s="952"/>
      <c r="BE2253" s="75"/>
      <c r="BF2253" s="572"/>
      <c r="BG2253" s="983"/>
      <c r="BH2253" s="222"/>
      <c r="BL2253" s="889"/>
      <c r="BO2253" s="223"/>
    </row>
    <row r="2254" spans="1:67" s="74" customFormat="1">
      <c r="A2254" s="15"/>
      <c r="B2254" s="15"/>
      <c r="C2254" s="15"/>
      <c r="D2254" s="15"/>
      <c r="E2254" s="6"/>
      <c r="F2254" s="6"/>
      <c r="G2254" s="6"/>
      <c r="K2254" s="223"/>
      <c r="M2254" s="889"/>
      <c r="P2254" s="890"/>
      <c r="T2254" s="889"/>
      <c r="X2254" s="15"/>
      <c r="Y2254" s="1935"/>
      <c r="Z2254" s="1086"/>
      <c r="AA2254" s="230"/>
      <c r="AB2254" s="230"/>
      <c r="AC2254" s="1936"/>
      <c r="AD2254" s="230"/>
      <c r="AE2254" s="230"/>
      <c r="AF2254" s="230"/>
      <c r="AG2254" s="890"/>
      <c r="AJ2254" s="890"/>
      <c r="AN2254" s="223"/>
      <c r="AO2254" s="952"/>
      <c r="AP2254" s="1066"/>
      <c r="AQ2254" s="972"/>
      <c r="AR2254" s="1917"/>
      <c r="AS2254" s="222"/>
      <c r="AZ2254" s="889"/>
      <c r="BC2254" s="890"/>
      <c r="BD2254" s="952"/>
      <c r="BE2254" s="75"/>
      <c r="BF2254" s="572"/>
      <c r="BG2254" s="983"/>
      <c r="BH2254" s="222"/>
      <c r="BL2254" s="889"/>
      <c r="BO2254" s="223"/>
    </row>
    <row r="2255" spans="1:67" s="74" customFormat="1">
      <c r="A2255" s="15"/>
      <c r="B2255" s="15"/>
      <c r="C2255" s="15"/>
      <c r="D2255" s="15"/>
      <c r="E2255" s="6"/>
      <c r="F2255" s="6"/>
      <c r="G2255" s="6"/>
      <c r="K2255" s="223"/>
      <c r="M2255" s="889"/>
      <c r="P2255" s="890"/>
      <c r="T2255" s="889"/>
      <c r="X2255" s="15"/>
      <c r="Y2255" s="1935"/>
      <c r="Z2255" s="1086"/>
      <c r="AA2255" s="230"/>
      <c r="AB2255" s="230"/>
      <c r="AC2255" s="1936"/>
      <c r="AD2255" s="230"/>
      <c r="AE2255" s="230"/>
      <c r="AF2255" s="230"/>
      <c r="AG2255" s="890"/>
      <c r="AJ2255" s="890"/>
      <c r="AN2255" s="223"/>
      <c r="AO2255" s="952"/>
      <c r="AP2255" s="1066"/>
      <c r="AQ2255" s="972"/>
      <c r="AR2255" s="1917"/>
      <c r="AS2255" s="222"/>
      <c r="AZ2255" s="889"/>
      <c r="BC2255" s="890"/>
      <c r="BD2255" s="952"/>
      <c r="BE2255" s="75"/>
      <c r="BF2255" s="572"/>
      <c r="BG2255" s="983"/>
      <c r="BH2255" s="222"/>
      <c r="BL2255" s="889"/>
      <c r="BO2255" s="223"/>
    </row>
    <row r="2256" spans="1:67" s="74" customFormat="1">
      <c r="A2256" s="15"/>
      <c r="B2256" s="15"/>
      <c r="C2256" s="15"/>
      <c r="D2256" s="15"/>
      <c r="E2256" s="6"/>
      <c r="F2256" s="6"/>
      <c r="G2256" s="6"/>
      <c r="K2256" s="223"/>
      <c r="M2256" s="889"/>
      <c r="P2256" s="890"/>
      <c r="T2256" s="889"/>
      <c r="X2256" s="15"/>
      <c r="Y2256" s="1935"/>
      <c r="Z2256" s="1086"/>
      <c r="AA2256" s="230"/>
      <c r="AB2256" s="230"/>
      <c r="AC2256" s="1936"/>
      <c r="AD2256" s="230"/>
      <c r="AE2256" s="230"/>
      <c r="AF2256" s="230"/>
      <c r="AG2256" s="890"/>
      <c r="AJ2256" s="890"/>
      <c r="AN2256" s="223"/>
      <c r="AO2256" s="952"/>
      <c r="AP2256" s="1066"/>
      <c r="AQ2256" s="972"/>
      <c r="AR2256" s="1917"/>
      <c r="AS2256" s="222"/>
      <c r="AZ2256" s="889"/>
      <c r="BC2256" s="890"/>
      <c r="BD2256" s="952"/>
      <c r="BE2256" s="75"/>
      <c r="BF2256" s="572"/>
      <c r="BG2256" s="983"/>
      <c r="BH2256" s="222"/>
      <c r="BL2256" s="889"/>
      <c r="BO2256" s="223"/>
    </row>
    <row r="2257" spans="1:67" s="74" customFormat="1">
      <c r="A2257" s="15"/>
      <c r="B2257" s="15"/>
      <c r="C2257" s="15"/>
      <c r="D2257" s="15"/>
      <c r="E2257" s="6"/>
      <c r="F2257" s="6"/>
      <c r="G2257" s="6"/>
      <c r="K2257" s="223"/>
      <c r="M2257" s="889"/>
      <c r="P2257" s="890"/>
      <c r="T2257" s="889"/>
      <c r="X2257" s="15"/>
      <c r="Y2257" s="1935"/>
      <c r="Z2257" s="1086"/>
      <c r="AA2257" s="230"/>
      <c r="AB2257" s="230"/>
      <c r="AC2257" s="1936"/>
      <c r="AD2257" s="230"/>
      <c r="AE2257" s="230"/>
      <c r="AF2257" s="230"/>
      <c r="AG2257" s="890"/>
      <c r="AJ2257" s="890"/>
      <c r="AN2257" s="223"/>
      <c r="AO2257" s="952"/>
      <c r="AP2257" s="1066"/>
      <c r="AQ2257" s="972"/>
      <c r="AR2257" s="1917"/>
      <c r="AS2257" s="222"/>
      <c r="AZ2257" s="889"/>
      <c r="BC2257" s="890"/>
      <c r="BD2257" s="952"/>
      <c r="BE2257" s="75"/>
      <c r="BF2257" s="572"/>
      <c r="BG2257" s="983"/>
      <c r="BH2257" s="222"/>
      <c r="BL2257" s="889"/>
      <c r="BO2257" s="223"/>
    </row>
    <row r="2258" spans="1:67" s="74" customFormat="1">
      <c r="A2258" s="15"/>
      <c r="B2258" s="15"/>
      <c r="C2258" s="15"/>
      <c r="D2258" s="15"/>
      <c r="E2258" s="6"/>
      <c r="F2258" s="6"/>
      <c r="G2258" s="6"/>
      <c r="K2258" s="223"/>
      <c r="M2258" s="889"/>
      <c r="P2258" s="890"/>
      <c r="T2258" s="889"/>
      <c r="X2258" s="15"/>
      <c r="Y2258" s="1935"/>
      <c r="Z2258" s="1086"/>
      <c r="AA2258" s="230"/>
      <c r="AB2258" s="230"/>
      <c r="AC2258" s="1936"/>
      <c r="AD2258" s="230"/>
      <c r="AE2258" s="230"/>
      <c r="AF2258" s="230"/>
      <c r="AG2258" s="890"/>
      <c r="AJ2258" s="890"/>
      <c r="AN2258" s="223"/>
      <c r="AO2258" s="952"/>
      <c r="AP2258" s="1066"/>
      <c r="AQ2258" s="972"/>
      <c r="AR2258" s="1917"/>
      <c r="AS2258" s="222"/>
      <c r="AZ2258" s="889"/>
      <c r="BC2258" s="890"/>
      <c r="BD2258" s="952"/>
      <c r="BE2258" s="75"/>
      <c r="BF2258" s="572"/>
      <c r="BG2258" s="983"/>
      <c r="BH2258" s="222"/>
      <c r="BL2258" s="889"/>
      <c r="BO2258" s="223"/>
    </row>
    <row r="2259" spans="1:67" s="74" customFormat="1">
      <c r="A2259" s="15"/>
      <c r="B2259" s="15"/>
      <c r="C2259" s="15"/>
      <c r="D2259" s="15"/>
      <c r="E2259" s="6"/>
      <c r="F2259" s="6"/>
      <c r="G2259" s="6"/>
      <c r="K2259" s="223"/>
      <c r="M2259" s="889"/>
      <c r="P2259" s="890"/>
      <c r="T2259" s="889"/>
      <c r="X2259" s="15"/>
      <c r="Y2259" s="1935"/>
      <c r="Z2259" s="1086"/>
      <c r="AA2259" s="230"/>
      <c r="AB2259" s="230"/>
      <c r="AC2259" s="1936"/>
      <c r="AD2259" s="230"/>
      <c r="AE2259" s="230"/>
      <c r="AF2259" s="230"/>
      <c r="AG2259" s="890"/>
      <c r="AJ2259" s="890"/>
      <c r="AN2259" s="223"/>
      <c r="AO2259" s="952"/>
      <c r="AP2259" s="1066"/>
      <c r="AQ2259" s="972"/>
      <c r="AR2259" s="1917"/>
      <c r="AS2259" s="222"/>
      <c r="AZ2259" s="889"/>
      <c r="BC2259" s="890"/>
      <c r="BD2259" s="952"/>
      <c r="BE2259" s="75"/>
      <c r="BF2259" s="572"/>
      <c r="BG2259" s="983"/>
      <c r="BH2259" s="222"/>
      <c r="BL2259" s="889"/>
      <c r="BO2259" s="223"/>
    </row>
    <row r="2260" spans="1:67" s="74" customFormat="1">
      <c r="A2260" s="15"/>
      <c r="B2260" s="15"/>
      <c r="C2260" s="15"/>
      <c r="D2260" s="15"/>
      <c r="E2260" s="6"/>
      <c r="F2260" s="6"/>
      <c r="G2260" s="6"/>
      <c r="K2260" s="223"/>
      <c r="M2260" s="889"/>
      <c r="P2260" s="890"/>
      <c r="T2260" s="889"/>
      <c r="X2260" s="15"/>
      <c r="Y2260" s="1935"/>
      <c r="Z2260" s="1086"/>
      <c r="AA2260" s="230"/>
      <c r="AB2260" s="230"/>
      <c r="AC2260" s="1936"/>
      <c r="AD2260" s="230"/>
      <c r="AE2260" s="230"/>
      <c r="AF2260" s="230"/>
      <c r="AG2260" s="890"/>
      <c r="AJ2260" s="890"/>
      <c r="AN2260" s="223"/>
      <c r="AO2260" s="952"/>
      <c r="AP2260" s="1066"/>
      <c r="AQ2260" s="972"/>
      <c r="AR2260" s="1917"/>
      <c r="AS2260" s="222"/>
      <c r="AZ2260" s="889"/>
      <c r="BC2260" s="890"/>
      <c r="BD2260" s="952"/>
      <c r="BE2260" s="75"/>
      <c r="BF2260" s="572"/>
      <c r="BG2260" s="983"/>
      <c r="BH2260" s="222"/>
      <c r="BL2260" s="889"/>
      <c r="BO2260" s="223"/>
    </row>
    <row r="2261" spans="1:67" s="74" customFormat="1">
      <c r="A2261" s="15"/>
      <c r="B2261" s="15"/>
      <c r="C2261" s="15"/>
      <c r="D2261" s="15"/>
      <c r="E2261" s="6"/>
      <c r="F2261" s="6"/>
      <c r="G2261" s="6"/>
      <c r="K2261" s="223"/>
      <c r="M2261" s="889"/>
      <c r="P2261" s="890"/>
      <c r="T2261" s="889"/>
      <c r="X2261" s="15"/>
      <c r="Y2261" s="1935"/>
      <c r="Z2261" s="1086"/>
      <c r="AA2261" s="230"/>
      <c r="AB2261" s="230"/>
      <c r="AC2261" s="1936"/>
      <c r="AD2261" s="230"/>
      <c r="AE2261" s="230"/>
      <c r="AF2261" s="230"/>
      <c r="AG2261" s="890"/>
      <c r="AJ2261" s="890"/>
      <c r="AN2261" s="223"/>
      <c r="AO2261" s="952"/>
      <c r="AP2261" s="1066"/>
      <c r="AQ2261" s="972"/>
      <c r="AR2261" s="1917"/>
      <c r="AS2261" s="222"/>
      <c r="AZ2261" s="889"/>
      <c r="BC2261" s="890"/>
      <c r="BD2261" s="952"/>
      <c r="BE2261" s="75"/>
      <c r="BF2261" s="572"/>
      <c r="BG2261" s="983"/>
      <c r="BH2261" s="222"/>
      <c r="BL2261" s="889"/>
      <c r="BO2261" s="223"/>
    </row>
    <row r="2262" spans="1:67" s="74" customFormat="1">
      <c r="A2262" s="15"/>
      <c r="B2262" s="15"/>
      <c r="C2262" s="15"/>
      <c r="D2262" s="15"/>
      <c r="E2262" s="6"/>
      <c r="F2262" s="6"/>
      <c r="G2262" s="6"/>
      <c r="K2262" s="223"/>
      <c r="M2262" s="889"/>
      <c r="P2262" s="890"/>
      <c r="T2262" s="889"/>
      <c r="X2262" s="15"/>
      <c r="Y2262" s="1935"/>
      <c r="Z2262" s="1086"/>
      <c r="AA2262" s="230"/>
      <c r="AB2262" s="230"/>
      <c r="AC2262" s="1936"/>
      <c r="AD2262" s="230"/>
      <c r="AE2262" s="230"/>
      <c r="AF2262" s="230"/>
      <c r="AG2262" s="890"/>
      <c r="AJ2262" s="890"/>
      <c r="AN2262" s="223"/>
      <c r="AO2262" s="952"/>
      <c r="AP2262" s="1066"/>
      <c r="AQ2262" s="972"/>
      <c r="AR2262" s="1917"/>
      <c r="AS2262" s="222"/>
      <c r="AZ2262" s="889"/>
      <c r="BC2262" s="890"/>
      <c r="BD2262" s="952"/>
      <c r="BE2262" s="75"/>
      <c r="BF2262" s="572"/>
      <c r="BG2262" s="983"/>
      <c r="BH2262" s="222"/>
      <c r="BL2262" s="889"/>
      <c r="BO2262" s="223"/>
    </row>
    <row r="2263" spans="1:67" s="74" customFormat="1">
      <c r="A2263" s="15"/>
      <c r="B2263" s="15"/>
      <c r="C2263" s="15"/>
      <c r="D2263" s="15"/>
      <c r="E2263" s="6"/>
      <c r="F2263" s="6"/>
      <c r="G2263" s="6"/>
      <c r="K2263" s="223"/>
      <c r="M2263" s="889"/>
      <c r="P2263" s="890"/>
      <c r="T2263" s="889"/>
      <c r="X2263" s="15"/>
      <c r="Y2263" s="1935"/>
      <c r="Z2263" s="1086"/>
      <c r="AA2263" s="230"/>
      <c r="AB2263" s="230"/>
      <c r="AC2263" s="1936"/>
      <c r="AD2263" s="230"/>
      <c r="AE2263" s="230"/>
      <c r="AF2263" s="230"/>
      <c r="AG2263" s="890"/>
      <c r="AJ2263" s="890"/>
      <c r="AN2263" s="223"/>
      <c r="AO2263" s="952"/>
      <c r="AP2263" s="1066"/>
      <c r="AQ2263" s="972"/>
      <c r="AR2263" s="1917"/>
      <c r="AS2263" s="222"/>
      <c r="AZ2263" s="889"/>
      <c r="BC2263" s="890"/>
      <c r="BD2263" s="952"/>
      <c r="BE2263" s="75"/>
      <c r="BF2263" s="572"/>
      <c r="BG2263" s="983"/>
      <c r="BH2263" s="222"/>
      <c r="BL2263" s="889"/>
      <c r="BO2263" s="223"/>
    </row>
    <row r="2264" spans="1:67" s="74" customFormat="1">
      <c r="A2264" s="15"/>
      <c r="B2264" s="15"/>
      <c r="C2264" s="15"/>
      <c r="D2264" s="15"/>
      <c r="E2264" s="6"/>
      <c r="F2264" s="6"/>
      <c r="G2264" s="6"/>
      <c r="K2264" s="223"/>
      <c r="M2264" s="889"/>
      <c r="P2264" s="890"/>
      <c r="T2264" s="889"/>
      <c r="X2264" s="15"/>
      <c r="Y2264" s="1935"/>
      <c r="Z2264" s="1086"/>
      <c r="AA2264" s="230"/>
      <c r="AB2264" s="230"/>
      <c r="AC2264" s="1936"/>
      <c r="AD2264" s="230"/>
      <c r="AE2264" s="230"/>
      <c r="AF2264" s="230"/>
      <c r="AG2264" s="890"/>
      <c r="AJ2264" s="890"/>
      <c r="AN2264" s="223"/>
      <c r="AO2264" s="952"/>
      <c r="AP2264" s="1066"/>
      <c r="AQ2264" s="972"/>
      <c r="AR2264" s="1917"/>
      <c r="AS2264" s="222"/>
      <c r="AZ2264" s="889"/>
      <c r="BC2264" s="890"/>
      <c r="BD2264" s="952"/>
      <c r="BE2264" s="75"/>
      <c r="BF2264" s="572"/>
      <c r="BG2264" s="983"/>
      <c r="BH2264" s="222"/>
      <c r="BL2264" s="889"/>
      <c r="BO2264" s="223"/>
    </row>
    <row r="2265" spans="1:67" s="74" customFormat="1">
      <c r="A2265" s="15"/>
      <c r="B2265" s="15"/>
      <c r="C2265" s="15"/>
      <c r="D2265" s="15"/>
      <c r="E2265" s="6"/>
      <c r="F2265" s="6"/>
      <c r="G2265" s="6"/>
      <c r="K2265" s="223"/>
      <c r="M2265" s="889"/>
      <c r="P2265" s="890"/>
      <c r="T2265" s="889"/>
      <c r="X2265" s="15"/>
      <c r="Y2265" s="1935"/>
      <c r="Z2265" s="1086"/>
      <c r="AA2265" s="230"/>
      <c r="AB2265" s="230"/>
      <c r="AC2265" s="1936"/>
      <c r="AD2265" s="230"/>
      <c r="AE2265" s="230"/>
      <c r="AF2265" s="230"/>
      <c r="AG2265" s="890"/>
      <c r="AJ2265" s="890"/>
      <c r="AN2265" s="223"/>
      <c r="AO2265" s="952"/>
      <c r="AP2265" s="1066"/>
      <c r="AQ2265" s="972"/>
      <c r="AR2265" s="1917"/>
      <c r="AS2265" s="222"/>
      <c r="AZ2265" s="889"/>
      <c r="BC2265" s="890"/>
      <c r="BD2265" s="952"/>
      <c r="BE2265" s="75"/>
      <c r="BF2265" s="572"/>
      <c r="BG2265" s="983"/>
      <c r="BH2265" s="222"/>
      <c r="BL2265" s="889"/>
      <c r="BO2265" s="223"/>
    </row>
    <row r="2266" spans="1:67" s="74" customFormat="1">
      <c r="A2266" s="15"/>
      <c r="B2266" s="15"/>
      <c r="C2266" s="15"/>
      <c r="D2266" s="15"/>
      <c r="E2266" s="6"/>
      <c r="F2266" s="6"/>
      <c r="G2266" s="6"/>
      <c r="K2266" s="223"/>
      <c r="M2266" s="889"/>
      <c r="P2266" s="890"/>
      <c r="T2266" s="889"/>
      <c r="X2266" s="15"/>
      <c r="Y2266" s="1935"/>
      <c r="Z2266" s="1086"/>
      <c r="AA2266" s="230"/>
      <c r="AB2266" s="230"/>
      <c r="AC2266" s="1936"/>
      <c r="AD2266" s="230"/>
      <c r="AE2266" s="230"/>
      <c r="AF2266" s="230"/>
      <c r="AG2266" s="890"/>
      <c r="AJ2266" s="890"/>
      <c r="AN2266" s="223"/>
      <c r="AO2266" s="952"/>
      <c r="AP2266" s="1066"/>
      <c r="AQ2266" s="972"/>
      <c r="AR2266" s="1917"/>
      <c r="AS2266" s="222"/>
      <c r="AZ2266" s="889"/>
      <c r="BC2266" s="890"/>
      <c r="BD2266" s="952"/>
      <c r="BE2266" s="75"/>
      <c r="BF2266" s="572"/>
      <c r="BG2266" s="983"/>
      <c r="BH2266" s="222"/>
      <c r="BL2266" s="889"/>
      <c r="BO2266" s="223"/>
    </row>
    <row r="2267" spans="1:67" s="74" customFormat="1">
      <c r="A2267" s="15"/>
      <c r="B2267" s="15"/>
      <c r="C2267" s="15"/>
      <c r="D2267" s="15"/>
      <c r="E2267" s="6"/>
      <c r="F2267" s="6"/>
      <c r="G2267" s="6"/>
      <c r="K2267" s="223"/>
      <c r="M2267" s="889"/>
      <c r="P2267" s="890"/>
      <c r="T2267" s="889"/>
      <c r="X2267" s="15"/>
      <c r="Y2267" s="1935"/>
      <c r="Z2267" s="1086"/>
      <c r="AA2267" s="230"/>
      <c r="AB2267" s="230"/>
      <c r="AC2267" s="1936"/>
      <c r="AD2267" s="230"/>
      <c r="AE2267" s="230"/>
      <c r="AF2267" s="230"/>
      <c r="AG2267" s="890"/>
      <c r="AJ2267" s="890"/>
      <c r="AN2267" s="223"/>
      <c r="AO2267" s="952"/>
      <c r="AP2267" s="1066"/>
      <c r="AQ2267" s="972"/>
      <c r="AR2267" s="1917"/>
      <c r="AS2267" s="222"/>
      <c r="AZ2267" s="889"/>
      <c r="BC2267" s="890"/>
      <c r="BD2267" s="952"/>
      <c r="BE2267" s="75"/>
      <c r="BF2267" s="572"/>
      <c r="BG2267" s="983"/>
      <c r="BH2267" s="222"/>
      <c r="BL2267" s="889"/>
      <c r="BO2267" s="223"/>
    </row>
    <row r="2268" spans="1:67" s="74" customFormat="1">
      <c r="A2268" s="15"/>
      <c r="B2268" s="15"/>
      <c r="C2268" s="15"/>
      <c r="D2268" s="15"/>
      <c r="E2268" s="6"/>
      <c r="F2268" s="6"/>
      <c r="G2268" s="6"/>
      <c r="K2268" s="223"/>
      <c r="M2268" s="889"/>
      <c r="P2268" s="890"/>
      <c r="T2268" s="889"/>
      <c r="X2268" s="15"/>
      <c r="Y2268" s="1935"/>
      <c r="Z2268" s="1086"/>
      <c r="AA2268" s="230"/>
      <c r="AB2268" s="230"/>
      <c r="AC2268" s="1936"/>
      <c r="AD2268" s="230"/>
      <c r="AE2268" s="230"/>
      <c r="AF2268" s="230"/>
      <c r="AG2268" s="890"/>
      <c r="AJ2268" s="890"/>
      <c r="AN2268" s="223"/>
      <c r="AO2268" s="952"/>
      <c r="AP2268" s="1066"/>
      <c r="AQ2268" s="972"/>
      <c r="AR2268" s="1917"/>
      <c r="AS2268" s="222"/>
      <c r="AZ2268" s="889"/>
      <c r="BC2268" s="890"/>
      <c r="BD2268" s="952"/>
      <c r="BE2268" s="75"/>
      <c r="BF2268" s="572"/>
      <c r="BG2268" s="983"/>
      <c r="BH2268" s="222"/>
      <c r="BL2268" s="889"/>
      <c r="BO2268" s="223"/>
    </row>
    <row r="2269" spans="1:67" s="74" customFormat="1">
      <c r="A2269" s="15"/>
      <c r="B2269" s="15"/>
      <c r="C2269" s="15"/>
      <c r="D2269" s="15"/>
      <c r="E2269" s="6"/>
      <c r="F2269" s="6"/>
      <c r="G2269" s="6"/>
      <c r="K2269" s="223"/>
      <c r="M2269" s="889"/>
      <c r="P2269" s="890"/>
      <c r="T2269" s="889"/>
      <c r="X2269" s="15"/>
      <c r="Y2269" s="1935"/>
      <c r="Z2269" s="1086"/>
      <c r="AA2269" s="230"/>
      <c r="AB2269" s="230"/>
      <c r="AC2269" s="1936"/>
      <c r="AD2269" s="230"/>
      <c r="AE2269" s="230"/>
      <c r="AF2269" s="230"/>
      <c r="AG2269" s="890"/>
      <c r="AJ2269" s="890"/>
      <c r="AN2269" s="223"/>
      <c r="AO2269" s="952"/>
      <c r="AP2269" s="1066"/>
      <c r="AQ2269" s="972"/>
      <c r="AR2269" s="1917"/>
      <c r="AS2269" s="222"/>
      <c r="AZ2269" s="889"/>
      <c r="BC2269" s="890"/>
      <c r="BD2269" s="952"/>
      <c r="BE2269" s="75"/>
      <c r="BF2269" s="572"/>
      <c r="BG2269" s="983"/>
      <c r="BH2269" s="222"/>
      <c r="BL2269" s="889"/>
      <c r="BO2269" s="223"/>
    </row>
    <row r="2270" spans="1:67" s="74" customFormat="1">
      <c r="A2270" s="15"/>
      <c r="B2270" s="15"/>
      <c r="C2270" s="15"/>
      <c r="D2270" s="15"/>
      <c r="E2270" s="6"/>
      <c r="F2270" s="6"/>
      <c r="G2270" s="6"/>
      <c r="K2270" s="223"/>
      <c r="M2270" s="889"/>
      <c r="P2270" s="890"/>
      <c r="T2270" s="889"/>
      <c r="X2270" s="15"/>
      <c r="Y2270" s="1935"/>
      <c r="Z2270" s="1086"/>
      <c r="AA2270" s="230"/>
      <c r="AB2270" s="230"/>
      <c r="AC2270" s="1936"/>
      <c r="AD2270" s="230"/>
      <c r="AE2270" s="230"/>
      <c r="AF2270" s="230"/>
      <c r="AG2270" s="890"/>
      <c r="AJ2270" s="890"/>
      <c r="AN2270" s="223"/>
      <c r="AO2270" s="952"/>
      <c r="AP2270" s="1066"/>
      <c r="AQ2270" s="972"/>
      <c r="AR2270" s="1917"/>
      <c r="AS2270" s="222"/>
      <c r="AZ2270" s="889"/>
      <c r="BC2270" s="890"/>
      <c r="BD2270" s="952"/>
      <c r="BE2270" s="75"/>
      <c r="BF2270" s="572"/>
      <c r="BG2270" s="983"/>
      <c r="BH2270" s="222"/>
      <c r="BL2270" s="889"/>
      <c r="BO2270" s="223"/>
    </row>
    <row r="2271" spans="1:67" s="74" customFormat="1">
      <c r="A2271" s="15"/>
      <c r="B2271" s="15"/>
      <c r="C2271" s="15"/>
      <c r="D2271" s="15"/>
      <c r="E2271" s="6"/>
      <c r="F2271" s="6"/>
      <c r="G2271" s="6"/>
      <c r="K2271" s="223"/>
      <c r="M2271" s="889"/>
      <c r="P2271" s="890"/>
      <c r="T2271" s="889"/>
      <c r="X2271" s="15"/>
      <c r="Y2271" s="1935"/>
      <c r="Z2271" s="1086"/>
      <c r="AA2271" s="230"/>
      <c r="AB2271" s="230"/>
      <c r="AC2271" s="1936"/>
      <c r="AD2271" s="230"/>
      <c r="AE2271" s="230"/>
      <c r="AF2271" s="230"/>
      <c r="AG2271" s="890"/>
      <c r="AJ2271" s="890"/>
      <c r="AN2271" s="223"/>
      <c r="AO2271" s="952"/>
      <c r="AP2271" s="1066"/>
      <c r="AQ2271" s="972"/>
      <c r="AR2271" s="1917"/>
      <c r="AS2271" s="222"/>
      <c r="AZ2271" s="889"/>
      <c r="BC2271" s="890"/>
      <c r="BD2271" s="952"/>
      <c r="BE2271" s="75"/>
      <c r="BF2271" s="572"/>
      <c r="BG2271" s="983"/>
      <c r="BH2271" s="222"/>
      <c r="BL2271" s="889"/>
      <c r="BO2271" s="223"/>
    </row>
    <row r="2272" spans="1:67" s="74" customFormat="1">
      <c r="A2272" s="15"/>
      <c r="B2272" s="15"/>
      <c r="C2272" s="15"/>
      <c r="D2272" s="15"/>
      <c r="E2272" s="6"/>
      <c r="F2272" s="6"/>
      <c r="G2272" s="6"/>
      <c r="K2272" s="223"/>
      <c r="M2272" s="889"/>
      <c r="P2272" s="890"/>
      <c r="T2272" s="889"/>
      <c r="X2272" s="15"/>
      <c r="Y2272" s="1935"/>
      <c r="Z2272" s="1086"/>
      <c r="AA2272" s="230"/>
      <c r="AB2272" s="230"/>
      <c r="AC2272" s="1936"/>
      <c r="AD2272" s="230"/>
      <c r="AE2272" s="230"/>
      <c r="AF2272" s="230"/>
      <c r="AG2272" s="890"/>
      <c r="AJ2272" s="890"/>
      <c r="AN2272" s="223"/>
      <c r="AO2272" s="952"/>
      <c r="AP2272" s="1066"/>
      <c r="AQ2272" s="972"/>
      <c r="AR2272" s="1917"/>
      <c r="AS2272" s="222"/>
      <c r="AZ2272" s="889"/>
      <c r="BC2272" s="890"/>
      <c r="BD2272" s="952"/>
      <c r="BE2272" s="75"/>
      <c r="BF2272" s="572"/>
      <c r="BG2272" s="983"/>
      <c r="BH2272" s="222"/>
      <c r="BL2272" s="889"/>
      <c r="BO2272" s="223"/>
    </row>
    <row r="2273" spans="1:67" s="74" customFormat="1">
      <c r="A2273" s="15"/>
      <c r="B2273" s="15"/>
      <c r="C2273" s="15"/>
      <c r="D2273" s="15"/>
      <c r="E2273" s="6"/>
      <c r="F2273" s="6"/>
      <c r="G2273" s="6"/>
      <c r="K2273" s="223"/>
      <c r="M2273" s="889"/>
      <c r="P2273" s="890"/>
      <c r="T2273" s="889"/>
      <c r="X2273" s="15"/>
      <c r="Y2273" s="1935"/>
      <c r="Z2273" s="1086"/>
      <c r="AA2273" s="230"/>
      <c r="AB2273" s="230"/>
      <c r="AC2273" s="1936"/>
      <c r="AD2273" s="230"/>
      <c r="AE2273" s="230"/>
      <c r="AF2273" s="230"/>
      <c r="AG2273" s="890"/>
      <c r="AJ2273" s="890"/>
      <c r="AN2273" s="223"/>
      <c r="AO2273" s="952"/>
      <c r="AP2273" s="1066"/>
      <c r="AQ2273" s="972"/>
      <c r="AR2273" s="1917"/>
      <c r="AS2273" s="222"/>
      <c r="AZ2273" s="889"/>
      <c r="BC2273" s="890"/>
      <c r="BD2273" s="952"/>
      <c r="BE2273" s="75"/>
      <c r="BF2273" s="572"/>
      <c r="BG2273" s="983"/>
      <c r="BH2273" s="222"/>
      <c r="BL2273" s="889"/>
      <c r="BO2273" s="223"/>
    </row>
    <row r="2274" spans="1:67" s="74" customFormat="1">
      <c r="A2274" s="15"/>
      <c r="B2274" s="15"/>
      <c r="C2274" s="15"/>
      <c r="D2274" s="15"/>
      <c r="E2274" s="6"/>
      <c r="F2274" s="6"/>
      <c r="G2274" s="6"/>
      <c r="K2274" s="223"/>
      <c r="M2274" s="889"/>
      <c r="P2274" s="890"/>
      <c r="T2274" s="889"/>
      <c r="X2274" s="15"/>
      <c r="Y2274" s="1935"/>
      <c r="Z2274" s="1086"/>
      <c r="AA2274" s="230"/>
      <c r="AB2274" s="230"/>
      <c r="AC2274" s="1936"/>
      <c r="AD2274" s="230"/>
      <c r="AE2274" s="230"/>
      <c r="AF2274" s="230"/>
      <c r="AG2274" s="890"/>
      <c r="AJ2274" s="890"/>
      <c r="AN2274" s="223"/>
      <c r="AO2274" s="952"/>
      <c r="AP2274" s="1066"/>
      <c r="AQ2274" s="972"/>
      <c r="AR2274" s="1917"/>
      <c r="AS2274" s="222"/>
      <c r="AZ2274" s="889"/>
      <c r="BC2274" s="890"/>
      <c r="BD2274" s="952"/>
      <c r="BE2274" s="75"/>
      <c r="BF2274" s="572"/>
      <c r="BG2274" s="983"/>
      <c r="BH2274" s="222"/>
      <c r="BL2274" s="889"/>
      <c r="BO2274" s="223"/>
    </row>
    <row r="2275" spans="1:67" s="74" customFormat="1">
      <c r="A2275" s="15"/>
      <c r="B2275" s="15"/>
      <c r="C2275" s="15"/>
      <c r="D2275" s="15"/>
      <c r="E2275" s="6"/>
      <c r="F2275" s="6"/>
      <c r="G2275" s="6"/>
      <c r="K2275" s="223"/>
      <c r="M2275" s="889"/>
      <c r="P2275" s="890"/>
      <c r="T2275" s="889"/>
      <c r="X2275" s="15"/>
      <c r="Y2275" s="1935"/>
      <c r="Z2275" s="1086"/>
      <c r="AA2275" s="230"/>
      <c r="AB2275" s="230"/>
      <c r="AC2275" s="1936"/>
      <c r="AD2275" s="230"/>
      <c r="AE2275" s="230"/>
      <c r="AF2275" s="230"/>
      <c r="AG2275" s="890"/>
      <c r="AJ2275" s="890"/>
      <c r="AN2275" s="223"/>
      <c r="AO2275" s="952"/>
      <c r="AP2275" s="1066"/>
      <c r="AQ2275" s="972"/>
      <c r="AR2275" s="1917"/>
      <c r="AS2275" s="222"/>
      <c r="AZ2275" s="889"/>
      <c r="BC2275" s="890"/>
      <c r="BD2275" s="952"/>
      <c r="BE2275" s="75"/>
      <c r="BF2275" s="572"/>
      <c r="BG2275" s="983"/>
      <c r="BH2275" s="222"/>
      <c r="BL2275" s="889"/>
      <c r="BO2275" s="223"/>
    </row>
    <row r="2276" spans="1:67" s="74" customFormat="1">
      <c r="A2276" s="15"/>
      <c r="B2276" s="15"/>
      <c r="C2276" s="15"/>
      <c r="D2276" s="15"/>
      <c r="E2276" s="6"/>
      <c r="F2276" s="6"/>
      <c r="G2276" s="6"/>
      <c r="K2276" s="223"/>
      <c r="M2276" s="889"/>
      <c r="P2276" s="890"/>
      <c r="T2276" s="889"/>
      <c r="X2276" s="15"/>
      <c r="Y2276" s="1935"/>
      <c r="Z2276" s="1086"/>
      <c r="AA2276" s="230"/>
      <c r="AB2276" s="230"/>
      <c r="AC2276" s="1936"/>
      <c r="AD2276" s="230"/>
      <c r="AE2276" s="230"/>
      <c r="AF2276" s="230"/>
      <c r="AG2276" s="890"/>
      <c r="AJ2276" s="890"/>
      <c r="AN2276" s="223"/>
      <c r="AO2276" s="952"/>
      <c r="AP2276" s="1066"/>
      <c r="AQ2276" s="972"/>
      <c r="AR2276" s="1917"/>
      <c r="AS2276" s="222"/>
      <c r="AZ2276" s="889"/>
      <c r="BC2276" s="890"/>
      <c r="BD2276" s="952"/>
      <c r="BE2276" s="75"/>
      <c r="BF2276" s="572"/>
      <c r="BG2276" s="983"/>
      <c r="BH2276" s="222"/>
      <c r="BL2276" s="889"/>
      <c r="BO2276" s="223"/>
    </row>
    <row r="2277" spans="1:67" s="74" customFormat="1">
      <c r="A2277" s="15"/>
      <c r="B2277" s="15"/>
      <c r="C2277" s="15"/>
      <c r="D2277" s="15"/>
      <c r="E2277" s="6"/>
      <c r="F2277" s="6"/>
      <c r="G2277" s="6"/>
      <c r="K2277" s="223"/>
      <c r="M2277" s="889"/>
      <c r="P2277" s="890"/>
      <c r="T2277" s="889"/>
      <c r="X2277" s="15"/>
      <c r="Y2277" s="1935"/>
      <c r="Z2277" s="1086"/>
      <c r="AA2277" s="230"/>
      <c r="AB2277" s="230"/>
      <c r="AC2277" s="1936"/>
      <c r="AD2277" s="230"/>
      <c r="AE2277" s="230"/>
      <c r="AF2277" s="230"/>
      <c r="AG2277" s="890"/>
      <c r="AJ2277" s="890"/>
      <c r="AN2277" s="223"/>
      <c r="AO2277" s="952"/>
      <c r="AP2277" s="1066"/>
      <c r="AQ2277" s="972"/>
      <c r="AR2277" s="1917"/>
      <c r="AS2277" s="222"/>
      <c r="AZ2277" s="889"/>
      <c r="BC2277" s="890"/>
      <c r="BD2277" s="952"/>
      <c r="BE2277" s="75"/>
      <c r="BF2277" s="572"/>
      <c r="BG2277" s="983"/>
      <c r="BH2277" s="222"/>
      <c r="BL2277" s="889"/>
      <c r="BO2277" s="223"/>
    </row>
    <row r="2278" spans="1:67" s="74" customFormat="1">
      <c r="A2278" s="15"/>
      <c r="B2278" s="15"/>
      <c r="C2278" s="15"/>
      <c r="D2278" s="15"/>
      <c r="E2278" s="6"/>
      <c r="F2278" s="6"/>
      <c r="G2278" s="6"/>
      <c r="K2278" s="223"/>
      <c r="M2278" s="889"/>
      <c r="P2278" s="890"/>
      <c r="T2278" s="889"/>
      <c r="X2278" s="15"/>
      <c r="Y2278" s="1935"/>
      <c r="Z2278" s="1086"/>
      <c r="AA2278" s="230"/>
      <c r="AB2278" s="230"/>
      <c r="AC2278" s="1936"/>
      <c r="AD2278" s="230"/>
      <c r="AE2278" s="230"/>
      <c r="AF2278" s="230"/>
      <c r="AG2278" s="890"/>
      <c r="AJ2278" s="890"/>
      <c r="AN2278" s="223"/>
      <c r="AO2278" s="952"/>
      <c r="AP2278" s="1066"/>
      <c r="AQ2278" s="972"/>
      <c r="AR2278" s="1917"/>
      <c r="AS2278" s="222"/>
      <c r="AZ2278" s="889"/>
      <c r="BC2278" s="890"/>
      <c r="BD2278" s="952"/>
      <c r="BE2278" s="75"/>
      <c r="BF2278" s="572"/>
      <c r="BG2278" s="983"/>
      <c r="BH2278" s="222"/>
      <c r="BL2278" s="889"/>
      <c r="BO2278" s="223"/>
    </row>
    <row r="2279" spans="1:67" s="74" customFormat="1">
      <c r="A2279" s="15"/>
      <c r="B2279" s="15"/>
      <c r="C2279" s="15"/>
      <c r="D2279" s="15"/>
      <c r="E2279" s="6"/>
      <c r="F2279" s="6"/>
      <c r="G2279" s="6"/>
      <c r="K2279" s="223"/>
      <c r="M2279" s="889"/>
      <c r="P2279" s="890"/>
      <c r="T2279" s="889"/>
      <c r="X2279" s="15"/>
      <c r="Y2279" s="1935"/>
      <c r="Z2279" s="1086"/>
      <c r="AA2279" s="230"/>
      <c r="AB2279" s="230"/>
      <c r="AC2279" s="1936"/>
      <c r="AD2279" s="230"/>
      <c r="AE2279" s="230"/>
      <c r="AF2279" s="230"/>
      <c r="AG2279" s="890"/>
      <c r="AJ2279" s="890"/>
      <c r="AN2279" s="223"/>
      <c r="AO2279" s="952"/>
      <c r="AP2279" s="1066"/>
      <c r="AQ2279" s="972"/>
      <c r="AR2279" s="1917"/>
      <c r="AS2279" s="222"/>
      <c r="AZ2279" s="889"/>
      <c r="BC2279" s="890"/>
      <c r="BD2279" s="952"/>
      <c r="BE2279" s="75"/>
      <c r="BF2279" s="572"/>
      <c r="BG2279" s="983"/>
      <c r="BH2279" s="222"/>
      <c r="BL2279" s="889"/>
      <c r="BO2279" s="223"/>
    </row>
    <row r="2280" spans="1:67" s="74" customFormat="1">
      <c r="A2280" s="15"/>
      <c r="B2280" s="15"/>
      <c r="C2280" s="15"/>
      <c r="D2280" s="15"/>
      <c r="E2280" s="6"/>
      <c r="F2280" s="6"/>
      <c r="G2280" s="6"/>
      <c r="K2280" s="223"/>
      <c r="M2280" s="889"/>
      <c r="P2280" s="890"/>
      <c r="T2280" s="889"/>
      <c r="X2280" s="15"/>
      <c r="Y2280" s="1935"/>
      <c r="Z2280" s="1086"/>
      <c r="AA2280" s="230"/>
      <c r="AB2280" s="230"/>
      <c r="AC2280" s="1936"/>
      <c r="AD2280" s="230"/>
      <c r="AE2280" s="230"/>
      <c r="AF2280" s="230"/>
      <c r="AG2280" s="890"/>
      <c r="AJ2280" s="890"/>
      <c r="AN2280" s="223"/>
      <c r="AO2280" s="952"/>
      <c r="AP2280" s="1066"/>
      <c r="AQ2280" s="972"/>
      <c r="AR2280" s="1917"/>
      <c r="AS2280" s="222"/>
      <c r="AZ2280" s="889"/>
      <c r="BC2280" s="890"/>
      <c r="BD2280" s="952"/>
      <c r="BE2280" s="75"/>
      <c r="BF2280" s="572"/>
      <c r="BG2280" s="983"/>
      <c r="BH2280" s="222"/>
      <c r="BL2280" s="889"/>
      <c r="BO2280" s="223"/>
    </row>
    <row r="2281" spans="1:67" s="74" customFormat="1">
      <c r="A2281" s="15"/>
      <c r="B2281" s="15"/>
      <c r="C2281" s="15"/>
      <c r="D2281" s="15"/>
      <c r="E2281" s="6"/>
      <c r="F2281" s="6"/>
      <c r="G2281" s="6"/>
      <c r="K2281" s="223"/>
      <c r="M2281" s="889"/>
      <c r="P2281" s="890"/>
      <c r="T2281" s="889"/>
      <c r="X2281" s="15"/>
      <c r="Y2281" s="1935"/>
      <c r="Z2281" s="1086"/>
      <c r="AA2281" s="230"/>
      <c r="AB2281" s="230"/>
      <c r="AC2281" s="1936"/>
      <c r="AD2281" s="230"/>
      <c r="AE2281" s="230"/>
      <c r="AF2281" s="230"/>
      <c r="AG2281" s="890"/>
      <c r="AJ2281" s="890"/>
      <c r="AN2281" s="223"/>
      <c r="AO2281" s="952"/>
      <c r="AP2281" s="1066"/>
      <c r="AQ2281" s="972"/>
      <c r="AR2281" s="1917"/>
      <c r="AS2281" s="222"/>
      <c r="AZ2281" s="889"/>
      <c r="BC2281" s="890"/>
      <c r="BD2281" s="952"/>
      <c r="BE2281" s="75"/>
      <c r="BF2281" s="572"/>
      <c r="BG2281" s="983"/>
      <c r="BH2281" s="222"/>
      <c r="BL2281" s="889"/>
      <c r="BO2281" s="223"/>
    </row>
    <row r="2282" spans="1:67" s="74" customFormat="1">
      <c r="A2282" s="15"/>
      <c r="B2282" s="15"/>
      <c r="C2282" s="15"/>
      <c r="D2282" s="15"/>
      <c r="E2282" s="6"/>
      <c r="F2282" s="6"/>
      <c r="G2282" s="6"/>
      <c r="K2282" s="223"/>
      <c r="M2282" s="889"/>
      <c r="P2282" s="890"/>
      <c r="T2282" s="889"/>
      <c r="X2282" s="15"/>
      <c r="Y2282" s="1935"/>
      <c r="Z2282" s="1086"/>
      <c r="AA2282" s="230"/>
      <c r="AB2282" s="230"/>
      <c r="AC2282" s="1936"/>
      <c r="AD2282" s="230"/>
      <c r="AE2282" s="230"/>
      <c r="AF2282" s="230"/>
      <c r="AG2282" s="890"/>
      <c r="AJ2282" s="890"/>
      <c r="AN2282" s="223"/>
      <c r="AO2282" s="952"/>
      <c r="AP2282" s="1066"/>
      <c r="AQ2282" s="972"/>
      <c r="AR2282" s="1917"/>
      <c r="AS2282" s="222"/>
      <c r="AZ2282" s="889"/>
      <c r="BC2282" s="890"/>
      <c r="BD2282" s="952"/>
      <c r="BE2282" s="75"/>
      <c r="BF2282" s="572"/>
      <c r="BG2282" s="983"/>
      <c r="BH2282" s="222"/>
      <c r="BL2282" s="889"/>
      <c r="BO2282" s="223"/>
    </row>
    <row r="2283" spans="1:67" s="74" customFormat="1">
      <c r="A2283" s="15"/>
      <c r="B2283" s="15"/>
      <c r="C2283" s="15"/>
      <c r="D2283" s="15"/>
      <c r="E2283" s="6"/>
      <c r="F2283" s="6"/>
      <c r="G2283" s="6"/>
      <c r="K2283" s="223"/>
      <c r="M2283" s="889"/>
      <c r="P2283" s="890"/>
      <c r="T2283" s="889"/>
      <c r="X2283" s="15"/>
      <c r="Y2283" s="1935"/>
      <c r="Z2283" s="1086"/>
      <c r="AA2283" s="230"/>
      <c r="AB2283" s="230"/>
      <c r="AC2283" s="1936"/>
      <c r="AD2283" s="230"/>
      <c r="AE2283" s="230"/>
      <c r="AF2283" s="230"/>
      <c r="AG2283" s="890"/>
      <c r="AJ2283" s="890"/>
      <c r="AN2283" s="223"/>
      <c r="AO2283" s="952"/>
      <c r="AP2283" s="1066"/>
      <c r="AQ2283" s="972"/>
      <c r="AR2283" s="1917"/>
      <c r="AS2283" s="222"/>
      <c r="AZ2283" s="889"/>
      <c r="BC2283" s="890"/>
      <c r="BD2283" s="952"/>
      <c r="BE2283" s="75"/>
      <c r="BF2283" s="572"/>
      <c r="BG2283" s="983"/>
      <c r="BH2283" s="222"/>
      <c r="BL2283" s="889"/>
      <c r="BO2283" s="223"/>
    </row>
    <row r="2284" spans="1:67" s="74" customFormat="1">
      <c r="A2284" s="15"/>
      <c r="B2284" s="15"/>
      <c r="C2284" s="15"/>
      <c r="D2284" s="15"/>
      <c r="E2284" s="6"/>
      <c r="F2284" s="6"/>
      <c r="G2284" s="6"/>
      <c r="K2284" s="223"/>
      <c r="M2284" s="889"/>
      <c r="P2284" s="890"/>
      <c r="T2284" s="889"/>
      <c r="X2284" s="15"/>
      <c r="Y2284" s="1935"/>
      <c r="Z2284" s="1086"/>
      <c r="AA2284" s="230"/>
      <c r="AB2284" s="230"/>
      <c r="AC2284" s="1936"/>
      <c r="AD2284" s="230"/>
      <c r="AE2284" s="230"/>
      <c r="AF2284" s="230"/>
      <c r="AG2284" s="890"/>
      <c r="AJ2284" s="890"/>
      <c r="AN2284" s="223"/>
      <c r="AO2284" s="952"/>
      <c r="AP2284" s="1066"/>
      <c r="AQ2284" s="972"/>
      <c r="AR2284" s="1917"/>
      <c r="AS2284" s="222"/>
      <c r="AZ2284" s="889"/>
      <c r="BC2284" s="890"/>
      <c r="BD2284" s="952"/>
      <c r="BE2284" s="75"/>
      <c r="BF2284" s="572"/>
      <c r="BG2284" s="983"/>
      <c r="BH2284" s="222"/>
      <c r="BL2284" s="889"/>
      <c r="BO2284" s="223"/>
    </row>
    <row r="2285" spans="1:67" s="74" customFormat="1">
      <c r="A2285" s="15"/>
      <c r="B2285" s="15"/>
      <c r="C2285" s="15"/>
      <c r="D2285" s="15"/>
      <c r="E2285" s="6"/>
      <c r="F2285" s="6"/>
      <c r="G2285" s="6"/>
      <c r="K2285" s="223"/>
      <c r="M2285" s="889"/>
      <c r="P2285" s="890"/>
      <c r="T2285" s="889"/>
      <c r="X2285" s="15"/>
      <c r="Y2285" s="1935"/>
      <c r="Z2285" s="1086"/>
      <c r="AA2285" s="230"/>
      <c r="AB2285" s="230"/>
      <c r="AC2285" s="1936"/>
      <c r="AD2285" s="230"/>
      <c r="AE2285" s="230"/>
      <c r="AF2285" s="230"/>
      <c r="AG2285" s="890"/>
      <c r="AJ2285" s="890"/>
      <c r="AN2285" s="223"/>
      <c r="AO2285" s="952"/>
      <c r="AP2285" s="1066"/>
      <c r="AQ2285" s="972"/>
      <c r="AR2285" s="1917"/>
      <c r="AS2285" s="222"/>
      <c r="AZ2285" s="889"/>
      <c r="BC2285" s="890"/>
      <c r="BD2285" s="952"/>
      <c r="BE2285" s="75"/>
      <c r="BF2285" s="572"/>
      <c r="BG2285" s="983"/>
      <c r="BH2285" s="222"/>
      <c r="BL2285" s="889"/>
      <c r="BO2285" s="223"/>
    </row>
    <row r="2286" spans="1:67" s="74" customFormat="1">
      <c r="A2286" s="15"/>
      <c r="B2286" s="15"/>
      <c r="C2286" s="15"/>
      <c r="D2286" s="15"/>
      <c r="E2286" s="6"/>
      <c r="F2286" s="6"/>
      <c r="G2286" s="6"/>
      <c r="K2286" s="223"/>
      <c r="M2286" s="889"/>
      <c r="P2286" s="890"/>
      <c r="T2286" s="889"/>
      <c r="X2286" s="15"/>
      <c r="Y2286" s="1935"/>
      <c r="Z2286" s="1086"/>
      <c r="AA2286" s="230"/>
      <c r="AB2286" s="230"/>
      <c r="AC2286" s="1936"/>
      <c r="AD2286" s="230"/>
      <c r="AE2286" s="230"/>
      <c r="AF2286" s="230"/>
      <c r="AG2286" s="890"/>
      <c r="AJ2286" s="890"/>
      <c r="AN2286" s="223"/>
      <c r="AO2286" s="952"/>
      <c r="AP2286" s="1066"/>
      <c r="AQ2286" s="972"/>
      <c r="AR2286" s="1917"/>
      <c r="AS2286" s="222"/>
      <c r="AZ2286" s="889"/>
      <c r="BC2286" s="890"/>
      <c r="BD2286" s="952"/>
      <c r="BE2286" s="75"/>
      <c r="BF2286" s="572"/>
      <c r="BG2286" s="983"/>
      <c r="BH2286" s="222"/>
      <c r="BL2286" s="889"/>
      <c r="BO2286" s="223"/>
    </row>
    <row r="2287" spans="1:67" s="74" customFormat="1">
      <c r="A2287" s="15"/>
      <c r="B2287" s="15"/>
      <c r="C2287" s="15"/>
      <c r="D2287" s="15"/>
      <c r="E2287" s="6"/>
      <c r="F2287" s="6"/>
      <c r="G2287" s="6"/>
      <c r="K2287" s="223"/>
      <c r="M2287" s="889"/>
      <c r="P2287" s="890"/>
      <c r="T2287" s="889"/>
      <c r="X2287" s="15"/>
      <c r="Y2287" s="1935"/>
      <c r="Z2287" s="1086"/>
      <c r="AA2287" s="230"/>
      <c r="AB2287" s="230"/>
      <c r="AC2287" s="1936"/>
      <c r="AD2287" s="230"/>
      <c r="AE2287" s="230"/>
      <c r="AF2287" s="230"/>
      <c r="AG2287" s="890"/>
      <c r="AJ2287" s="890"/>
      <c r="AN2287" s="223"/>
      <c r="AO2287" s="952"/>
      <c r="AP2287" s="1066"/>
      <c r="AQ2287" s="972"/>
      <c r="AR2287" s="1917"/>
      <c r="AS2287" s="222"/>
      <c r="AZ2287" s="889"/>
      <c r="BC2287" s="890"/>
      <c r="BD2287" s="952"/>
      <c r="BE2287" s="75"/>
      <c r="BF2287" s="572"/>
      <c r="BG2287" s="983"/>
      <c r="BH2287" s="222"/>
      <c r="BL2287" s="889"/>
      <c r="BO2287" s="223"/>
    </row>
    <row r="2288" spans="1:67" s="74" customFormat="1">
      <c r="A2288" s="15"/>
      <c r="B2288" s="15"/>
      <c r="C2288" s="15"/>
      <c r="D2288" s="15"/>
      <c r="E2288" s="6"/>
      <c r="F2288" s="6"/>
      <c r="G2288" s="6"/>
      <c r="K2288" s="223"/>
      <c r="M2288" s="889"/>
      <c r="P2288" s="890"/>
      <c r="T2288" s="889"/>
      <c r="X2288" s="15"/>
      <c r="Y2288" s="1935"/>
      <c r="Z2288" s="1086"/>
      <c r="AA2288" s="230"/>
      <c r="AB2288" s="230"/>
      <c r="AC2288" s="1936"/>
      <c r="AD2288" s="230"/>
      <c r="AE2288" s="230"/>
      <c r="AF2288" s="230"/>
      <c r="AG2288" s="890"/>
      <c r="AJ2288" s="890"/>
      <c r="AN2288" s="223"/>
      <c r="AO2288" s="952"/>
      <c r="AP2288" s="1066"/>
      <c r="AQ2288" s="972"/>
      <c r="AR2288" s="1917"/>
      <c r="AS2288" s="222"/>
      <c r="AZ2288" s="889"/>
      <c r="BC2288" s="890"/>
      <c r="BD2288" s="952"/>
      <c r="BE2288" s="75"/>
      <c r="BF2288" s="572"/>
      <c r="BG2288" s="983"/>
      <c r="BH2288" s="222"/>
      <c r="BL2288" s="889"/>
      <c r="BO2288" s="223"/>
    </row>
    <row r="2289" spans="1:67" s="74" customFormat="1">
      <c r="A2289" s="15"/>
      <c r="B2289" s="15"/>
      <c r="C2289" s="15"/>
      <c r="D2289" s="15"/>
      <c r="E2289" s="6"/>
      <c r="F2289" s="6"/>
      <c r="G2289" s="6"/>
      <c r="K2289" s="223"/>
      <c r="M2289" s="889"/>
      <c r="P2289" s="890"/>
      <c r="T2289" s="889"/>
      <c r="X2289" s="15"/>
      <c r="Y2289" s="1935"/>
      <c r="Z2289" s="1086"/>
      <c r="AA2289" s="230"/>
      <c r="AB2289" s="230"/>
      <c r="AC2289" s="1936"/>
      <c r="AD2289" s="230"/>
      <c r="AE2289" s="230"/>
      <c r="AF2289" s="230"/>
      <c r="AG2289" s="890"/>
      <c r="AJ2289" s="890"/>
      <c r="AN2289" s="223"/>
      <c r="AO2289" s="952"/>
      <c r="AP2289" s="1066"/>
      <c r="AQ2289" s="972"/>
      <c r="AR2289" s="1917"/>
      <c r="AS2289" s="222"/>
      <c r="AZ2289" s="889"/>
      <c r="BC2289" s="890"/>
      <c r="BD2289" s="952"/>
      <c r="BE2289" s="75"/>
      <c r="BF2289" s="572"/>
      <c r="BG2289" s="983"/>
      <c r="BH2289" s="222"/>
      <c r="BL2289" s="889"/>
      <c r="BO2289" s="223"/>
    </row>
    <row r="2290" spans="1:67" s="74" customFormat="1">
      <c r="A2290" s="15"/>
      <c r="B2290" s="15"/>
      <c r="C2290" s="15"/>
      <c r="D2290" s="15"/>
      <c r="E2290" s="6"/>
      <c r="F2290" s="6"/>
      <c r="G2290" s="6"/>
      <c r="K2290" s="223"/>
      <c r="M2290" s="889"/>
      <c r="P2290" s="890"/>
      <c r="T2290" s="889"/>
      <c r="X2290" s="15"/>
      <c r="Y2290" s="1935"/>
      <c r="Z2290" s="1086"/>
      <c r="AA2290" s="230"/>
      <c r="AB2290" s="230"/>
      <c r="AC2290" s="1936"/>
      <c r="AD2290" s="230"/>
      <c r="AE2290" s="230"/>
      <c r="AF2290" s="230"/>
      <c r="AG2290" s="890"/>
      <c r="AJ2290" s="890"/>
      <c r="AN2290" s="223"/>
      <c r="AO2290" s="952"/>
      <c r="AP2290" s="1066"/>
      <c r="AQ2290" s="972"/>
      <c r="AR2290" s="1917"/>
      <c r="AS2290" s="222"/>
      <c r="AZ2290" s="889"/>
      <c r="BC2290" s="890"/>
      <c r="BD2290" s="952"/>
      <c r="BE2290" s="75"/>
      <c r="BF2290" s="572"/>
      <c r="BG2290" s="983"/>
      <c r="BH2290" s="222"/>
      <c r="BL2290" s="889"/>
      <c r="BO2290" s="223"/>
    </row>
    <row r="2291" spans="1:67" s="74" customFormat="1">
      <c r="A2291" s="15"/>
      <c r="B2291" s="15"/>
      <c r="C2291" s="15"/>
      <c r="D2291" s="15"/>
      <c r="E2291" s="6"/>
      <c r="F2291" s="6"/>
      <c r="G2291" s="6"/>
      <c r="K2291" s="223"/>
      <c r="M2291" s="889"/>
      <c r="P2291" s="890"/>
      <c r="T2291" s="889"/>
      <c r="X2291" s="15"/>
      <c r="Y2291" s="1935"/>
      <c r="Z2291" s="1086"/>
      <c r="AA2291" s="230"/>
      <c r="AB2291" s="230"/>
      <c r="AC2291" s="1936"/>
      <c r="AD2291" s="230"/>
      <c r="AE2291" s="230"/>
      <c r="AF2291" s="230"/>
      <c r="AG2291" s="890"/>
      <c r="AJ2291" s="890"/>
      <c r="AN2291" s="223"/>
      <c r="AO2291" s="952"/>
      <c r="AP2291" s="1066"/>
      <c r="AQ2291" s="972"/>
      <c r="AR2291" s="1917"/>
      <c r="AS2291" s="222"/>
      <c r="AZ2291" s="889"/>
      <c r="BC2291" s="890"/>
      <c r="BD2291" s="952"/>
      <c r="BE2291" s="75"/>
      <c r="BF2291" s="572"/>
      <c r="BG2291" s="983"/>
      <c r="BH2291" s="222"/>
      <c r="BL2291" s="889"/>
      <c r="BO2291" s="223"/>
    </row>
    <row r="2292" spans="1:67" s="74" customFormat="1">
      <c r="A2292" s="15"/>
      <c r="B2292" s="15"/>
      <c r="C2292" s="15"/>
      <c r="D2292" s="15"/>
      <c r="E2292" s="6"/>
      <c r="F2292" s="6"/>
      <c r="G2292" s="6"/>
      <c r="K2292" s="223"/>
      <c r="M2292" s="889"/>
      <c r="P2292" s="890"/>
      <c r="T2292" s="889"/>
      <c r="X2292" s="15"/>
      <c r="Y2292" s="1935"/>
      <c r="Z2292" s="1086"/>
      <c r="AA2292" s="230"/>
      <c r="AB2292" s="230"/>
      <c r="AC2292" s="1936"/>
      <c r="AD2292" s="230"/>
      <c r="AE2292" s="230"/>
      <c r="AF2292" s="230"/>
      <c r="AG2292" s="890"/>
      <c r="AJ2292" s="890"/>
      <c r="AN2292" s="223"/>
      <c r="AO2292" s="952"/>
      <c r="AP2292" s="1066"/>
      <c r="AQ2292" s="972"/>
      <c r="AR2292" s="1917"/>
      <c r="AS2292" s="222"/>
      <c r="AZ2292" s="889"/>
      <c r="BC2292" s="890"/>
      <c r="BD2292" s="952"/>
      <c r="BE2292" s="75"/>
      <c r="BF2292" s="572"/>
      <c r="BG2292" s="983"/>
      <c r="BH2292" s="222"/>
      <c r="BL2292" s="889"/>
      <c r="BO2292" s="223"/>
    </row>
    <row r="2293" spans="1:67" s="74" customFormat="1">
      <c r="A2293" s="15"/>
      <c r="B2293" s="15"/>
      <c r="C2293" s="15"/>
      <c r="D2293" s="15"/>
      <c r="E2293" s="6"/>
      <c r="F2293" s="6"/>
      <c r="G2293" s="6"/>
      <c r="K2293" s="223"/>
      <c r="M2293" s="889"/>
      <c r="P2293" s="890"/>
      <c r="T2293" s="889"/>
      <c r="X2293" s="15"/>
      <c r="Y2293" s="1935"/>
      <c r="Z2293" s="1086"/>
      <c r="AA2293" s="230"/>
      <c r="AB2293" s="230"/>
      <c r="AC2293" s="1936"/>
      <c r="AD2293" s="230"/>
      <c r="AE2293" s="230"/>
      <c r="AF2293" s="230"/>
      <c r="AG2293" s="890"/>
      <c r="AJ2293" s="890"/>
      <c r="AN2293" s="223"/>
      <c r="AO2293" s="952"/>
      <c r="AP2293" s="1066"/>
      <c r="AQ2293" s="972"/>
      <c r="AR2293" s="1917"/>
      <c r="AS2293" s="222"/>
      <c r="AZ2293" s="889"/>
      <c r="BC2293" s="890"/>
      <c r="BD2293" s="952"/>
      <c r="BE2293" s="75"/>
      <c r="BF2293" s="572"/>
      <c r="BG2293" s="983"/>
      <c r="BH2293" s="222"/>
      <c r="BL2293" s="889"/>
      <c r="BO2293" s="223"/>
    </row>
    <row r="2294" spans="1:67" s="74" customFormat="1">
      <c r="A2294" s="15"/>
      <c r="B2294" s="15"/>
      <c r="C2294" s="15"/>
      <c r="D2294" s="15"/>
      <c r="E2294" s="6"/>
      <c r="F2294" s="6"/>
      <c r="G2294" s="6"/>
      <c r="K2294" s="223"/>
      <c r="M2294" s="889"/>
      <c r="P2294" s="890"/>
      <c r="T2294" s="889"/>
      <c r="X2294" s="15"/>
      <c r="Y2294" s="1935"/>
      <c r="Z2294" s="1086"/>
      <c r="AA2294" s="230"/>
      <c r="AB2294" s="230"/>
      <c r="AC2294" s="1936"/>
      <c r="AD2294" s="230"/>
      <c r="AE2294" s="230"/>
      <c r="AF2294" s="230"/>
      <c r="AG2294" s="890"/>
      <c r="AJ2294" s="890"/>
      <c r="AN2294" s="223"/>
      <c r="AO2294" s="952"/>
      <c r="AP2294" s="1066"/>
      <c r="AQ2294" s="972"/>
      <c r="AR2294" s="1917"/>
      <c r="AS2294" s="222"/>
      <c r="AZ2294" s="889"/>
      <c r="BC2294" s="890"/>
      <c r="BD2294" s="952"/>
      <c r="BE2294" s="75"/>
      <c r="BF2294" s="572"/>
      <c r="BG2294" s="983"/>
      <c r="BH2294" s="222"/>
      <c r="BL2294" s="889"/>
      <c r="BO2294" s="223"/>
    </row>
    <row r="2295" spans="1:67" s="74" customFormat="1">
      <c r="A2295" s="15"/>
      <c r="B2295" s="15"/>
      <c r="C2295" s="15"/>
      <c r="D2295" s="15"/>
      <c r="E2295" s="6"/>
      <c r="F2295" s="6"/>
      <c r="G2295" s="6"/>
      <c r="K2295" s="223"/>
      <c r="M2295" s="889"/>
      <c r="P2295" s="890"/>
      <c r="T2295" s="889"/>
      <c r="X2295" s="15"/>
      <c r="Y2295" s="1935"/>
      <c r="Z2295" s="1086"/>
      <c r="AA2295" s="230"/>
      <c r="AB2295" s="230"/>
      <c r="AC2295" s="1936"/>
      <c r="AD2295" s="230"/>
      <c r="AE2295" s="230"/>
      <c r="AF2295" s="230"/>
      <c r="AG2295" s="890"/>
      <c r="AJ2295" s="890"/>
      <c r="AN2295" s="223"/>
      <c r="AO2295" s="952"/>
      <c r="AP2295" s="1066"/>
      <c r="AQ2295" s="972"/>
      <c r="AR2295" s="1917"/>
      <c r="AS2295" s="222"/>
      <c r="AZ2295" s="889"/>
      <c r="BC2295" s="890"/>
      <c r="BD2295" s="952"/>
      <c r="BE2295" s="75"/>
      <c r="BF2295" s="572"/>
      <c r="BG2295" s="983"/>
      <c r="BH2295" s="222"/>
      <c r="BL2295" s="889"/>
      <c r="BO2295" s="223"/>
    </row>
    <row r="2296" spans="1:67" s="74" customFormat="1">
      <c r="A2296" s="15"/>
      <c r="B2296" s="15"/>
      <c r="C2296" s="15"/>
      <c r="D2296" s="15"/>
      <c r="E2296" s="6"/>
      <c r="F2296" s="6"/>
      <c r="G2296" s="6"/>
      <c r="K2296" s="223"/>
      <c r="M2296" s="889"/>
      <c r="P2296" s="890"/>
      <c r="T2296" s="889"/>
      <c r="X2296" s="15"/>
      <c r="Y2296" s="1935"/>
      <c r="Z2296" s="1086"/>
      <c r="AA2296" s="230"/>
      <c r="AB2296" s="230"/>
      <c r="AC2296" s="1936"/>
      <c r="AD2296" s="230"/>
      <c r="AE2296" s="230"/>
      <c r="AF2296" s="230"/>
      <c r="AG2296" s="890"/>
      <c r="AJ2296" s="890"/>
      <c r="AN2296" s="223"/>
      <c r="AO2296" s="952"/>
      <c r="AP2296" s="1066"/>
      <c r="AQ2296" s="972"/>
      <c r="AR2296" s="1917"/>
      <c r="AS2296" s="222"/>
      <c r="AZ2296" s="889"/>
      <c r="BC2296" s="890"/>
      <c r="BD2296" s="952"/>
      <c r="BE2296" s="75"/>
      <c r="BF2296" s="572"/>
      <c r="BG2296" s="983"/>
      <c r="BH2296" s="222"/>
      <c r="BL2296" s="889"/>
      <c r="BO2296" s="223"/>
    </row>
    <row r="2297" spans="1:67" s="74" customFormat="1">
      <c r="A2297" s="15"/>
      <c r="B2297" s="15"/>
      <c r="C2297" s="15"/>
      <c r="D2297" s="15"/>
      <c r="E2297" s="6"/>
      <c r="F2297" s="6"/>
      <c r="G2297" s="6"/>
      <c r="K2297" s="223"/>
      <c r="M2297" s="889"/>
      <c r="P2297" s="890"/>
      <c r="T2297" s="889"/>
      <c r="X2297" s="15"/>
      <c r="Y2297" s="1935"/>
      <c r="Z2297" s="1086"/>
      <c r="AA2297" s="230"/>
      <c r="AB2297" s="230"/>
      <c r="AC2297" s="1936"/>
      <c r="AD2297" s="230"/>
      <c r="AE2297" s="230"/>
      <c r="AF2297" s="230"/>
      <c r="AG2297" s="890"/>
      <c r="AJ2297" s="890"/>
      <c r="AN2297" s="223"/>
      <c r="AO2297" s="952"/>
      <c r="AP2297" s="1066"/>
      <c r="AQ2297" s="972"/>
      <c r="AR2297" s="1917"/>
      <c r="AS2297" s="222"/>
      <c r="AZ2297" s="889"/>
      <c r="BC2297" s="890"/>
      <c r="BD2297" s="952"/>
      <c r="BE2297" s="75"/>
      <c r="BF2297" s="572"/>
      <c r="BG2297" s="983"/>
      <c r="BH2297" s="222"/>
      <c r="BL2297" s="889"/>
      <c r="BO2297" s="223"/>
    </row>
    <row r="2298" spans="1:67" s="74" customFormat="1">
      <c r="A2298" s="15"/>
      <c r="B2298" s="15"/>
      <c r="C2298" s="15"/>
      <c r="D2298" s="15"/>
      <c r="E2298" s="6"/>
      <c r="F2298" s="6"/>
      <c r="G2298" s="6"/>
      <c r="K2298" s="223"/>
      <c r="M2298" s="889"/>
      <c r="P2298" s="890"/>
      <c r="T2298" s="889"/>
      <c r="X2298" s="15"/>
      <c r="Y2298" s="1935"/>
      <c r="Z2298" s="1086"/>
      <c r="AA2298" s="230"/>
      <c r="AB2298" s="230"/>
      <c r="AC2298" s="1936"/>
      <c r="AD2298" s="230"/>
      <c r="AE2298" s="230"/>
      <c r="AF2298" s="230"/>
      <c r="AG2298" s="890"/>
      <c r="AJ2298" s="890"/>
      <c r="AN2298" s="223"/>
      <c r="AO2298" s="952"/>
      <c r="AP2298" s="1066"/>
      <c r="AQ2298" s="972"/>
      <c r="AR2298" s="1917"/>
      <c r="AS2298" s="222"/>
      <c r="AZ2298" s="889"/>
      <c r="BC2298" s="890"/>
      <c r="BD2298" s="952"/>
      <c r="BE2298" s="75"/>
      <c r="BF2298" s="572"/>
      <c r="BG2298" s="983"/>
      <c r="BH2298" s="222"/>
      <c r="BL2298" s="889"/>
      <c r="BO2298" s="223"/>
    </row>
    <row r="2299" spans="1:67" s="74" customFormat="1">
      <c r="A2299" s="15"/>
      <c r="B2299" s="15"/>
      <c r="C2299" s="15"/>
      <c r="D2299" s="15"/>
      <c r="E2299" s="6"/>
      <c r="F2299" s="6"/>
      <c r="G2299" s="6"/>
      <c r="K2299" s="223"/>
      <c r="M2299" s="889"/>
      <c r="P2299" s="890"/>
      <c r="T2299" s="889"/>
      <c r="X2299" s="15"/>
      <c r="Y2299" s="1935"/>
      <c r="Z2299" s="1086"/>
      <c r="AA2299" s="230"/>
      <c r="AB2299" s="230"/>
      <c r="AC2299" s="1936"/>
      <c r="AD2299" s="230"/>
      <c r="AE2299" s="230"/>
      <c r="AF2299" s="230"/>
      <c r="AG2299" s="890"/>
      <c r="AJ2299" s="890"/>
      <c r="AN2299" s="223"/>
      <c r="AO2299" s="952"/>
      <c r="AP2299" s="1066"/>
      <c r="AQ2299" s="972"/>
      <c r="AR2299" s="1917"/>
      <c r="AS2299" s="222"/>
      <c r="AZ2299" s="889"/>
      <c r="BC2299" s="890"/>
      <c r="BD2299" s="952"/>
      <c r="BE2299" s="75"/>
      <c r="BF2299" s="572"/>
      <c r="BG2299" s="983"/>
      <c r="BH2299" s="222"/>
      <c r="BL2299" s="889"/>
      <c r="BO2299" s="223"/>
    </row>
    <row r="2300" spans="1:67" s="74" customFormat="1">
      <c r="A2300" s="15"/>
      <c r="B2300" s="15"/>
      <c r="C2300" s="15"/>
      <c r="D2300" s="15"/>
      <c r="E2300" s="6"/>
      <c r="F2300" s="6"/>
      <c r="G2300" s="6"/>
      <c r="K2300" s="223"/>
      <c r="M2300" s="889"/>
      <c r="P2300" s="890"/>
      <c r="T2300" s="889"/>
      <c r="X2300" s="15"/>
      <c r="Y2300" s="1935"/>
      <c r="Z2300" s="1086"/>
      <c r="AA2300" s="230"/>
      <c r="AB2300" s="230"/>
      <c r="AC2300" s="1936"/>
      <c r="AD2300" s="230"/>
      <c r="AE2300" s="230"/>
      <c r="AF2300" s="230"/>
      <c r="AG2300" s="890"/>
      <c r="AJ2300" s="890"/>
      <c r="AN2300" s="223"/>
      <c r="AO2300" s="952"/>
      <c r="AP2300" s="1066"/>
      <c r="AQ2300" s="972"/>
      <c r="AR2300" s="1917"/>
      <c r="AS2300" s="222"/>
      <c r="AZ2300" s="889"/>
      <c r="BC2300" s="890"/>
      <c r="BD2300" s="952"/>
      <c r="BE2300" s="75"/>
      <c r="BF2300" s="572"/>
      <c r="BG2300" s="983"/>
      <c r="BH2300" s="222"/>
      <c r="BL2300" s="889"/>
      <c r="BO2300" s="223"/>
    </row>
    <row r="2301" spans="1:67" s="74" customFormat="1">
      <c r="A2301" s="15"/>
      <c r="B2301" s="15"/>
      <c r="C2301" s="15"/>
      <c r="D2301" s="15"/>
      <c r="E2301" s="6"/>
      <c r="F2301" s="6"/>
      <c r="G2301" s="6"/>
      <c r="K2301" s="223"/>
      <c r="M2301" s="889"/>
      <c r="P2301" s="890"/>
      <c r="T2301" s="889"/>
      <c r="X2301" s="15"/>
      <c r="Y2301" s="1935"/>
      <c r="Z2301" s="1086"/>
      <c r="AA2301" s="230"/>
      <c r="AB2301" s="230"/>
      <c r="AC2301" s="1936"/>
      <c r="AD2301" s="230"/>
      <c r="AE2301" s="230"/>
      <c r="AF2301" s="230"/>
      <c r="AG2301" s="890"/>
      <c r="AJ2301" s="890"/>
      <c r="AN2301" s="223"/>
      <c r="AO2301" s="952"/>
      <c r="AP2301" s="1066"/>
      <c r="AQ2301" s="972"/>
      <c r="AR2301" s="1917"/>
      <c r="AS2301" s="222"/>
      <c r="AZ2301" s="889"/>
      <c r="BC2301" s="890"/>
      <c r="BD2301" s="952"/>
      <c r="BE2301" s="75"/>
      <c r="BF2301" s="572"/>
      <c r="BG2301" s="983"/>
      <c r="BH2301" s="222"/>
      <c r="BL2301" s="889"/>
      <c r="BO2301" s="223"/>
    </row>
    <row r="2302" spans="1:67" s="74" customFormat="1">
      <c r="A2302" s="15"/>
      <c r="B2302" s="15"/>
      <c r="C2302" s="15"/>
      <c r="D2302" s="15"/>
      <c r="E2302" s="6"/>
      <c r="F2302" s="6"/>
      <c r="G2302" s="6"/>
      <c r="K2302" s="223"/>
      <c r="M2302" s="889"/>
      <c r="P2302" s="890"/>
      <c r="T2302" s="889"/>
      <c r="X2302" s="15"/>
      <c r="Y2302" s="1935"/>
      <c r="Z2302" s="1086"/>
      <c r="AA2302" s="230"/>
      <c r="AB2302" s="230"/>
      <c r="AC2302" s="1936"/>
      <c r="AD2302" s="230"/>
      <c r="AE2302" s="230"/>
      <c r="AF2302" s="230"/>
      <c r="AG2302" s="890"/>
      <c r="AJ2302" s="890"/>
      <c r="AN2302" s="223"/>
      <c r="AO2302" s="952"/>
      <c r="AP2302" s="1066"/>
      <c r="AQ2302" s="972"/>
      <c r="AR2302" s="1917"/>
      <c r="AS2302" s="222"/>
      <c r="AZ2302" s="889"/>
      <c r="BC2302" s="890"/>
      <c r="BD2302" s="952"/>
      <c r="BE2302" s="75"/>
      <c r="BF2302" s="572"/>
      <c r="BG2302" s="983"/>
      <c r="BH2302" s="222"/>
      <c r="BL2302" s="889"/>
      <c r="BO2302" s="223"/>
    </row>
    <row r="2303" spans="1:67" s="74" customFormat="1">
      <c r="A2303" s="15"/>
      <c r="B2303" s="15"/>
      <c r="C2303" s="15"/>
      <c r="D2303" s="15"/>
      <c r="E2303" s="6"/>
      <c r="F2303" s="6"/>
      <c r="G2303" s="6"/>
      <c r="K2303" s="223"/>
      <c r="M2303" s="889"/>
      <c r="P2303" s="890"/>
      <c r="T2303" s="889"/>
      <c r="X2303" s="15"/>
      <c r="Y2303" s="1935"/>
      <c r="Z2303" s="1086"/>
      <c r="AA2303" s="230"/>
      <c r="AB2303" s="230"/>
      <c r="AC2303" s="1936"/>
      <c r="AD2303" s="230"/>
      <c r="AE2303" s="230"/>
      <c r="AF2303" s="230"/>
      <c r="AG2303" s="890"/>
      <c r="AJ2303" s="890"/>
      <c r="AN2303" s="223"/>
      <c r="AO2303" s="952"/>
      <c r="AP2303" s="1066"/>
      <c r="AQ2303" s="972"/>
      <c r="AR2303" s="1917"/>
      <c r="AS2303" s="222"/>
      <c r="AZ2303" s="889"/>
      <c r="BC2303" s="890"/>
      <c r="BD2303" s="952"/>
      <c r="BE2303" s="75"/>
      <c r="BF2303" s="572"/>
      <c r="BG2303" s="983"/>
      <c r="BH2303" s="222"/>
      <c r="BL2303" s="889"/>
      <c r="BO2303" s="223"/>
    </row>
    <row r="2304" spans="1:67" s="74" customFormat="1">
      <c r="A2304" s="15"/>
      <c r="B2304" s="15"/>
      <c r="C2304" s="15"/>
      <c r="D2304" s="15"/>
      <c r="E2304" s="6"/>
      <c r="F2304" s="6"/>
      <c r="G2304" s="6"/>
      <c r="K2304" s="223"/>
      <c r="M2304" s="889"/>
      <c r="P2304" s="890"/>
      <c r="T2304" s="889"/>
      <c r="X2304" s="15"/>
      <c r="Y2304" s="1935"/>
      <c r="Z2304" s="1086"/>
      <c r="AA2304" s="230"/>
      <c r="AB2304" s="230"/>
      <c r="AC2304" s="1936"/>
      <c r="AD2304" s="230"/>
      <c r="AE2304" s="230"/>
      <c r="AF2304" s="230"/>
      <c r="AG2304" s="890"/>
      <c r="AJ2304" s="890"/>
      <c r="AN2304" s="223"/>
      <c r="AO2304" s="952"/>
      <c r="AP2304" s="1066"/>
      <c r="AQ2304" s="972"/>
      <c r="AR2304" s="1917"/>
      <c r="AS2304" s="222"/>
      <c r="AZ2304" s="889"/>
      <c r="BC2304" s="890"/>
      <c r="BD2304" s="952"/>
      <c r="BE2304" s="75"/>
      <c r="BF2304" s="572"/>
      <c r="BG2304" s="983"/>
      <c r="BH2304" s="222"/>
      <c r="BL2304" s="889"/>
      <c r="BO2304" s="223"/>
    </row>
    <row r="2305" spans="1:67" s="74" customFormat="1">
      <c r="A2305" s="15"/>
      <c r="B2305" s="15"/>
      <c r="C2305" s="15"/>
      <c r="D2305" s="15"/>
      <c r="E2305" s="6"/>
      <c r="F2305" s="6"/>
      <c r="G2305" s="6"/>
      <c r="K2305" s="223"/>
      <c r="M2305" s="889"/>
      <c r="P2305" s="890"/>
      <c r="T2305" s="889"/>
      <c r="X2305" s="15"/>
      <c r="Y2305" s="1935"/>
      <c r="Z2305" s="1086"/>
      <c r="AA2305" s="230"/>
      <c r="AB2305" s="230"/>
      <c r="AC2305" s="1936"/>
      <c r="AD2305" s="230"/>
      <c r="AE2305" s="230"/>
      <c r="AF2305" s="230"/>
      <c r="AG2305" s="890"/>
      <c r="AJ2305" s="890"/>
      <c r="AN2305" s="223"/>
      <c r="AO2305" s="952"/>
      <c r="AP2305" s="1066"/>
      <c r="AQ2305" s="972"/>
      <c r="AR2305" s="1917"/>
      <c r="AS2305" s="222"/>
      <c r="AZ2305" s="889"/>
      <c r="BC2305" s="890"/>
      <c r="BD2305" s="952"/>
      <c r="BE2305" s="75"/>
      <c r="BF2305" s="572"/>
      <c r="BG2305" s="983"/>
      <c r="BH2305" s="222"/>
      <c r="BL2305" s="889"/>
      <c r="BO2305" s="223"/>
    </row>
    <row r="2306" spans="1:67" s="74" customFormat="1">
      <c r="A2306" s="15"/>
      <c r="B2306" s="15"/>
      <c r="C2306" s="15"/>
      <c r="D2306" s="15"/>
      <c r="E2306" s="6"/>
      <c r="F2306" s="6"/>
      <c r="G2306" s="6"/>
      <c r="K2306" s="223"/>
      <c r="M2306" s="889"/>
      <c r="P2306" s="890"/>
      <c r="T2306" s="889"/>
      <c r="X2306" s="15"/>
      <c r="Y2306" s="1935"/>
      <c r="Z2306" s="1086"/>
      <c r="AA2306" s="230"/>
      <c r="AB2306" s="230"/>
      <c r="AC2306" s="1936"/>
      <c r="AD2306" s="230"/>
      <c r="AE2306" s="230"/>
      <c r="AF2306" s="230"/>
      <c r="AG2306" s="890"/>
      <c r="AJ2306" s="890"/>
      <c r="AN2306" s="223"/>
      <c r="AO2306" s="952"/>
      <c r="AP2306" s="1066"/>
      <c r="AQ2306" s="972"/>
      <c r="AR2306" s="1917"/>
      <c r="AS2306" s="222"/>
      <c r="AZ2306" s="889"/>
      <c r="BC2306" s="890"/>
      <c r="BD2306" s="952"/>
      <c r="BE2306" s="75"/>
      <c r="BF2306" s="572"/>
      <c r="BG2306" s="983"/>
      <c r="BH2306" s="222"/>
      <c r="BL2306" s="889"/>
      <c r="BO2306" s="223"/>
    </row>
    <row r="2307" spans="1:67" s="74" customFormat="1">
      <c r="A2307" s="15"/>
      <c r="B2307" s="15"/>
      <c r="C2307" s="15"/>
      <c r="D2307" s="15"/>
      <c r="E2307" s="6"/>
      <c r="F2307" s="6"/>
      <c r="G2307" s="6"/>
      <c r="K2307" s="223"/>
      <c r="M2307" s="889"/>
      <c r="P2307" s="890"/>
      <c r="T2307" s="889"/>
      <c r="X2307" s="15"/>
      <c r="Y2307" s="1935"/>
      <c r="Z2307" s="1086"/>
      <c r="AA2307" s="230"/>
      <c r="AB2307" s="230"/>
      <c r="AC2307" s="1936"/>
      <c r="AD2307" s="230"/>
      <c r="AE2307" s="230"/>
      <c r="AF2307" s="230"/>
      <c r="AG2307" s="890"/>
      <c r="AJ2307" s="890"/>
      <c r="AN2307" s="223"/>
      <c r="AO2307" s="952"/>
      <c r="AP2307" s="1066"/>
      <c r="AQ2307" s="972"/>
      <c r="AR2307" s="1917"/>
      <c r="AS2307" s="222"/>
      <c r="AZ2307" s="889"/>
      <c r="BC2307" s="890"/>
      <c r="BD2307" s="952"/>
      <c r="BE2307" s="75"/>
      <c r="BF2307" s="572"/>
      <c r="BG2307" s="983"/>
      <c r="BH2307" s="222"/>
      <c r="BL2307" s="889"/>
      <c r="BO2307" s="223"/>
    </row>
    <row r="2308" spans="1:67" s="74" customFormat="1">
      <c r="A2308" s="15"/>
      <c r="B2308" s="15"/>
      <c r="C2308" s="15"/>
      <c r="D2308" s="15"/>
      <c r="E2308" s="6"/>
      <c r="F2308" s="6"/>
      <c r="G2308" s="6"/>
      <c r="K2308" s="223"/>
      <c r="M2308" s="889"/>
      <c r="P2308" s="890"/>
      <c r="T2308" s="889"/>
      <c r="X2308" s="15"/>
      <c r="Y2308" s="1935"/>
      <c r="Z2308" s="1086"/>
      <c r="AA2308" s="230"/>
      <c r="AB2308" s="230"/>
      <c r="AC2308" s="1936"/>
      <c r="AD2308" s="230"/>
      <c r="AE2308" s="230"/>
      <c r="AF2308" s="230"/>
      <c r="AG2308" s="890"/>
      <c r="AJ2308" s="890"/>
      <c r="AN2308" s="223"/>
      <c r="AO2308" s="952"/>
      <c r="AP2308" s="1066"/>
      <c r="AQ2308" s="972"/>
      <c r="AR2308" s="1917"/>
      <c r="AS2308" s="222"/>
      <c r="AZ2308" s="889"/>
      <c r="BC2308" s="890"/>
      <c r="BD2308" s="952"/>
      <c r="BE2308" s="75"/>
      <c r="BF2308" s="572"/>
      <c r="BG2308" s="983"/>
      <c r="BH2308" s="222"/>
      <c r="BL2308" s="889"/>
      <c r="BO2308" s="223"/>
    </row>
    <row r="2309" spans="1:67" s="74" customFormat="1">
      <c r="A2309" s="15"/>
      <c r="B2309" s="15"/>
      <c r="C2309" s="15"/>
      <c r="D2309" s="15"/>
      <c r="E2309" s="6"/>
      <c r="F2309" s="6"/>
      <c r="G2309" s="6"/>
      <c r="K2309" s="223"/>
      <c r="M2309" s="889"/>
      <c r="P2309" s="890"/>
      <c r="T2309" s="889"/>
      <c r="X2309" s="15"/>
      <c r="Y2309" s="1935"/>
      <c r="Z2309" s="1086"/>
      <c r="AA2309" s="230"/>
      <c r="AB2309" s="230"/>
      <c r="AC2309" s="1936"/>
      <c r="AD2309" s="230"/>
      <c r="AE2309" s="230"/>
      <c r="AF2309" s="230"/>
      <c r="AG2309" s="890"/>
      <c r="AJ2309" s="890"/>
      <c r="AN2309" s="223"/>
      <c r="AO2309" s="952"/>
      <c r="AP2309" s="1066"/>
      <c r="AQ2309" s="972"/>
      <c r="AR2309" s="1917"/>
      <c r="AS2309" s="222"/>
      <c r="AZ2309" s="889"/>
      <c r="BC2309" s="890"/>
      <c r="BD2309" s="952"/>
      <c r="BE2309" s="75"/>
      <c r="BF2309" s="572"/>
      <c r="BG2309" s="983"/>
      <c r="BH2309" s="222"/>
      <c r="BL2309" s="889"/>
      <c r="BO2309" s="223"/>
    </row>
    <row r="2310" spans="1:67" s="74" customFormat="1">
      <c r="A2310" s="15"/>
      <c r="B2310" s="15"/>
      <c r="C2310" s="15"/>
      <c r="D2310" s="15"/>
      <c r="E2310" s="6"/>
      <c r="F2310" s="6"/>
      <c r="G2310" s="6"/>
      <c r="K2310" s="223"/>
      <c r="M2310" s="889"/>
      <c r="P2310" s="890"/>
      <c r="T2310" s="889"/>
      <c r="X2310" s="15"/>
      <c r="Y2310" s="1935"/>
      <c r="Z2310" s="1086"/>
      <c r="AA2310" s="230"/>
      <c r="AB2310" s="230"/>
      <c r="AC2310" s="1936"/>
      <c r="AD2310" s="230"/>
      <c r="AE2310" s="230"/>
      <c r="AF2310" s="230"/>
      <c r="AG2310" s="890"/>
      <c r="AJ2310" s="890"/>
      <c r="AN2310" s="223"/>
      <c r="AO2310" s="952"/>
      <c r="AP2310" s="1066"/>
      <c r="AQ2310" s="972"/>
      <c r="AR2310" s="1917"/>
      <c r="AS2310" s="222"/>
      <c r="AZ2310" s="889"/>
      <c r="BC2310" s="890"/>
      <c r="BD2310" s="952"/>
      <c r="BE2310" s="75"/>
      <c r="BF2310" s="572"/>
      <c r="BG2310" s="983"/>
      <c r="BH2310" s="222"/>
      <c r="BL2310" s="889"/>
      <c r="BO2310" s="223"/>
    </row>
    <row r="2311" spans="1:67" s="74" customFormat="1">
      <c r="A2311" s="15"/>
      <c r="B2311" s="15"/>
      <c r="C2311" s="15"/>
      <c r="D2311" s="15"/>
      <c r="E2311" s="6"/>
      <c r="F2311" s="6"/>
      <c r="G2311" s="6"/>
      <c r="K2311" s="223"/>
      <c r="M2311" s="889"/>
      <c r="P2311" s="890"/>
      <c r="T2311" s="889"/>
      <c r="X2311" s="15"/>
      <c r="Y2311" s="1935"/>
      <c r="Z2311" s="1086"/>
      <c r="AA2311" s="230"/>
      <c r="AB2311" s="230"/>
      <c r="AC2311" s="1936"/>
      <c r="AD2311" s="230"/>
      <c r="AE2311" s="230"/>
      <c r="AF2311" s="230"/>
      <c r="AG2311" s="890"/>
      <c r="AJ2311" s="890"/>
      <c r="AN2311" s="223"/>
      <c r="AO2311" s="952"/>
      <c r="AP2311" s="1066"/>
      <c r="AQ2311" s="972"/>
      <c r="AR2311" s="1917"/>
      <c r="AS2311" s="222"/>
      <c r="AZ2311" s="889"/>
      <c r="BC2311" s="890"/>
      <c r="BD2311" s="952"/>
      <c r="BE2311" s="75"/>
      <c r="BF2311" s="572"/>
      <c r="BG2311" s="983"/>
      <c r="BH2311" s="222"/>
      <c r="BL2311" s="889"/>
      <c r="BO2311" s="223"/>
    </row>
    <row r="2312" spans="1:67" s="74" customFormat="1">
      <c r="A2312" s="15"/>
      <c r="B2312" s="15"/>
      <c r="C2312" s="15"/>
      <c r="D2312" s="15"/>
      <c r="E2312" s="6"/>
      <c r="F2312" s="6"/>
      <c r="G2312" s="6"/>
      <c r="K2312" s="223"/>
      <c r="M2312" s="889"/>
      <c r="P2312" s="890"/>
      <c r="T2312" s="889"/>
      <c r="X2312" s="15"/>
      <c r="Y2312" s="1935"/>
      <c r="Z2312" s="1086"/>
      <c r="AA2312" s="230"/>
      <c r="AB2312" s="230"/>
      <c r="AC2312" s="1936"/>
      <c r="AD2312" s="230"/>
      <c r="AE2312" s="230"/>
      <c r="AF2312" s="230"/>
      <c r="AG2312" s="890"/>
      <c r="AJ2312" s="890"/>
      <c r="AN2312" s="223"/>
      <c r="AO2312" s="952"/>
      <c r="AP2312" s="1066"/>
      <c r="AQ2312" s="972"/>
      <c r="AR2312" s="1917"/>
      <c r="AS2312" s="222"/>
      <c r="AZ2312" s="889"/>
      <c r="BC2312" s="890"/>
      <c r="BD2312" s="952"/>
      <c r="BE2312" s="75"/>
      <c r="BF2312" s="572"/>
      <c r="BG2312" s="983"/>
      <c r="BH2312" s="222"/>
      <c r="BL2312" s="889"/>
      <c r="BO2312" s="223"/>
    </row>
    <row r="2313" spans="1:67" s="74" customFormat="1">
      <c r="A2313" s="15"/>
      <c r="B2313" s="15"/>
      <c r="C2313" s="15"/>
      <c r="D2313" s="15"/>
      <c r="E2313" s="6"/>
      <c r="F2313" s="6"/>
      <c r="G2313" s="6"/>
      <c r="K2313" s="223"/>
      <c r="M2313" s="889"/>
      <c r="P2313" s="890"/>
      <c r="T2313" s="889"/>
      <c r="X2313" s="15"/>
      <c r="Y2313" s="1935"/>
      <c r="Z2313" s="1086"/>
      <c r="AA2313" s="230"/>
      <c r="AB2313" s="230"/>
      <c r="AC2313" s="1936"/>
      <c r="AD2313" s="230"/>
      <c r="AE2313" s="230"/>
      <c r="AF2313" s="230"/>
      <c r="AG2313" s="890"/>
      <c r="AJ2313" s="890"/>
      <c r="AN2313" s="223"/>
      <c r="AO2313" s="952"/>
      <c r="AP2313" s="1066"/>
      <c r="AQ2313" s="972"/>
      <c r="AR2313" s="1917"/>
      <c r="AS2313" s="222"/>
      <c r="AZ2313" s="889"/>
      <c r="BC2313" s="890"/>
      <c r="BD2313" s="952"/>
      <c r="BE2313" s="75"/>
      <c r="BF2313" s="572"/>
      <c r="BG2313" s="983"/>
      <c r="BH2313" s="222"/>
      <c r="BL2313" s="889"/>
      <c r="BO2313" s="223"/>
    </row>
    <row r="2314" spans="1:67" s="74" customFormat="1">
      <c r="A2314" s="15"/>
      <c r="B2314" s="15"/>
      <c r="C2314" s="15"/>
      <c r="D2314" s="15"/>
      <c r="E2314" s="6"/>
      <c r="F2314" s="6"/>
      <c r="G2314" s="6"/>
      <c r="K2314" s="223"/>
      <c r="M2314" s="889"/>
      <c r="P2314" s="890"/>
      <c r="T2314" s="889"/>
      <c r="X2314" s="15"/>
      <c r="Y2314" s="1935"/>
      <c r="Z2314" s="1086"/>
      <c r="AA2314" s="230"/>
      <c r="AB2314" s="230"/>
      <c r="AC2314" s="1936"/>
      <c r="AD2314" s="230"/>
      <c r="AE2314" s="230"/>
      <c r="AF2314" s="230"/>
      <c r="AG2314" s="890"/>
      <c r="AJ2314" s="890"/>
      <c r="AN2314" s="223"/>
      <c r="AO2314" s="952"/>
      <c r="AP2314" s="1066"/>
      <c r="AQ2314" s="972"/>
      <c r="AR2314" s="1917"/>
      <c r="AS2314" s="222"/>
      <c r="AZ2314" s="889"/>
      <c r="BC2314" s="890"/>
      <c r="BD2314" s="952"/>
      <c r="BE2314" s="75"/>
      <c r="BF2314" s="572"/>
      <c r="BG2314" s="983"/>
      <c r="BH2314" s="222"/>
      <c r="BL2314" s="889"/>
      <c r="BO2314" s="223"/>
    </row>
    <row r="2315" spans="1:67" s="74" customFormat="1">
      <c r="A2315" s="15"/>
      <c r="B2315" s="15"/>
      <c r="C2315" s="15"/>
      <c r="D2315" s="15"/>
      <c r="E2315" s="6"/>
      <c r="F2315" s="6"/>
      <c r="G2315" s="6"/>
      <c r="K2315" s="223"/>
      <c r="M2315" s="889"/>
      <c r="P2315" s="890"/>
      <c r="T2315" s="889"/>
      <c r="X2315" s="15"/>
      <c r="Y2315" s="1935"/>
      <c r="Z2315" s="1086"/>
      <c r="AA2315" s="230"/>
      <c r="AB2315" s="230"/>
      <c r="AC2315" s="1936"/>
      <c r="AD2315" s="230"/>
      <c r="AE2315" s="230"/>
      <c r="AF2315" s="230"/>
      <c r="AG2315" s="890"/>
      <c r="AJ2315" s="890"/>
      <c r="AN2315" s="223"/>
      <c r="AO2315" s="952"/>
      <c r="AP2315" s="1066"/>
      <c r="AQ2315" s="972"/>
      <c r="AR2315" s="1917"/>
      <c r="AS2315" s="222"/>
      <c r="AZ2315" s="889"/>
      <c r="BC2315" s="890"/>
      <c r="BD2315" s="952"/>
      <c r="BE2315" s="75"/>
      <c r="BF2315" s="572"/>
      <c r="BG2315" s="983"/>
      <c r="BH2315" s="222"/>
      <c r="BL2315" s="889"/>
      <c r="BO2315" s="223"/>
    </row>
    <row r="2316" spans="1:67" s="74" customFormat="1">
      <c r="A2316" s="15"/>
      <c r="B2316" s="15"/>
      <c r="C2316" s="15"/>
      <c r="D2316" s="15"/>
      <c r="E2316" s="6"/>
      <c r="F2316" s="6"/>
      <c r="G2316" s="6"/>
      <c r="K2316" s="223"/>
      <c r="M2316" s="889"/>
      <c r="P2316" s="890"/>
      <c r="T2316" s="889"/>
      <c r="X2316" s="15"/>
      <c r="Y2316" s="1935"/>
      <c r="Z2316" s="1086"/>
      <c r="AA2316" s="230"/>
      <c r="AB2316" s="230"/>
      <c r="AC2316" s="1936"/>
      <c r="AD2316" s="230"/>
      <c r="AE2316" s="230"/>
      <c r="AF2316" s="230"/>
      <c r="AG2316" s="890"/>
      <c r="AJ2316" s="890"/>
      <c r="AN2316" s="223"/>
      <c r="AO2316" s="952"/>
      <c r="AP2316" s="1066"/>
      <c r="AQ2316" s="972"/>
      <c r="AR2316" s="1917"/>
      <c r="AS2316" s="222"/>
      <c r="AZ2316" s="889"/>
      <c r="BC2316" s="890"/>
      <c r="BD2316" s="952"/>
      <c r="BE2316" s="75"/>
      <c r="BF2316" s="572"/>
      <c r="BG2316" s="983"/>
      <c r="BH2316" s="222"/>
      <c r="BL2316" s="889"/>
      <c r="BO2316" s="223"/>
    </row>
    <row r="2317" spans="1:67" s="74" customFormat="1">
      <c r="A2317" s="15"/>
      <c r="B2317" s="15"/>
      <c r="C2317" s="15"/>
      <c r="D2317" s="15"/>
      <c r="E2317" s="6"/>
      <c r="F2317" s="6"/>
      <c r="G2317" s="6"/>
      <c r="K2317" s="223"/>
      <c r="M2317" s="889"/>
      <c r="P2317" s="890"/>
      <c r="T2317" s="889"/>
      <c r="X2317" s="15"/>
      <c r="Y2317" s="1935"/>
      <c r="Z2317" s="1086"/>
      <c r="AA2317" s="230"/>
      <c r="AB2317" s="230"/>
      <c r="AC2317" s="1936"/>
      <c r="AD2317" s="230"/>
      <c r="AE2317" s="230"/>
      <c r="AF2317" s="230"/>
      <c r="AG2317" s="890"/>
      <c r="AJ2317" s="890"/>
      <c r="AN2317" s="223"/>
      <c r="AO2317" s="952"/>
      <c r="AP2317" s="1066"/>
      <c r="AQ2317" s="972"/>
      <c r="AR2317" s="1917"/>
      <c r="AS2317" s="222"/>
      <c r="AZ2317" s="889"/>
      <c r="BC2317" s="890"/>
      <c r="BD2317" s="952"/>
      <c r="BE2317" s="75"/>
      <c r="BF2317" s="572"/>
      <c r="BG2317" s="983"/>
      <c r="BH2317" s="222"/>
      <c r="BL2317" s="889"/>
      <c r="BO2317" s="223"/>
    </row>
    <row r="2318" spans="1:67" s="74" customFormat="1">
      <c r="A2318" s="15"/>
      <c r="B2318" s="15"/>
      <c r="C2318" s="15"/>
      <c r="D2318" s="15"/>
      <c r="E2318" s="6"/>
      <c r="F2318" s="6"/>
      <c r="G2318" s="6"/>
      <c r="K2318" s="223"/>
      <c r="M2318" s="889"/>
      <c r="P2318" s="890"/>
      <c r="T2318" s="889"/>
      <c r="X2318" s="15"/>
      <c r="Y2318" s="1935"/>
      <c r="Z2318" s="1086"/>
      <c r="AA2318" s="230"/>
      <c r="AB2318" s="230"/>
      <c r="AC2318" s="1936"/>
      <c r="AD2318" s="230"/>
      <c r="AE2318" s="230"/>
      <c r="AF2318" s="230"/>
      <c r="AG2318" s="890"/>
      <c r="AJ2318" s="890"/>
      <c r="AN2318" s="223"/>
      <c r="AO2318" s="952"/>
      <c r="AP2318" s="1066"/>
      <c r="AQ2318" s="972"/>
      <c r="AR2318" s="1917"/>
      <c r="AS2318" s="222"/>
      <c r="AZ2318" s="889"/>
      <c r="BC2318" s="890"/>
      <c r="BD2318" s="952"/>
      <c r="BE2318" s="75"/>
      <c r="BF2318" s="572"/>
      <c r="BG2318" s="983"/>
      <c r="BH2318" s="222"/>
      <c r="BL2318" s="889"/>
      <c r="BO2318" s="223"/>
    </row>
    <row r="2319" spans="1:67" s="74" customFormat="1">
      <c r="A2319" s="15"/>
      <c r="B2319" s="15"/>
      <c r="C2319" s="15"/>
      <c r="D2319" s="15"/>
      <c r="E2319" s="6"/>
      <c r="F2319" s="6"/>
      <c r="G2319" s="6"/>
      <c r="K2319" s="223"/>
      <c r="M2319" s="889"/>
      <c r="P2319" s="890"/>
      <c r="T2319" s="889"/>
      <c r="X2319" s="15"/>
      <c r="Y2319" s="1935"/>
      <c r="Z2319" s="1086"/>
      <c r="AA2319" s="230"/>
      <c r="AB2319" s="230"/>
      <c r="AC2319" s="1936"/>
      <c r="AD2319" s="230"/>
      <c r="AE2319" s="230"/>
      <c r="AF2319" s="230"/>
      <c r="AG2319" s="890"/>
      <c r="AJ2319" s="890"/>
      <c r="AN2319" s="223"/>
      <c r="AO2319" s="952"/>
      <c r="AP2319" s="1066"/>
      <c r="AQ2319" s="972"/>
      <c r="AR2319" s="1917"/>
      <c r="AS2319" s="222"/>
      <c r="AZ2319" s="889"/>
      <c r="BC2319" s="890"/>
      <c r="BD2319" s="952"/>
      <c r="BE2319" s="75"/>
      <c r="BF2319" s="572"/>
      <c r="BG2319" s="983"/>
      <c r="BH2319" s="222"/>
      <c r="BL2319" s="889"/>
      <c r="BO2319" s="223"/>
    </row>
    <row r="2320" spans="1:67" s="74" customFormat="1">
      <c r="A2320" s="15"/>
      <c r="B2320" s="15"/>
      <c r="C2320" s="15"/>
      <c r="D2320" s="15"/>
      <c r="E2320" s="6"/>
      <c r="F2320" s="6"/>
      <c r="G2320" s="6"/>
      <c r="K2320" s="223"/>
      <c r="M2320" s="889"/>
      <c r="P2320" s="890"/>
      <c r="T2320" s="889"/>
      <c r="X2320" s="15"/>
      <c r="Y2320" s="1935"/>
      <c r="Z2320" s="1086"/>
      <c r="AA2320" s="230"/>
      <c r="AB2320" s="230"/>
      <c r="AC2320" s="1936"/>
      <c r="AD2320" s="230"/>
      <c r="AE2320" s="230"/>
      <c r="AF2320" s="230"/>
      <c r="AG2320" s="890"/>
      <c r="AJ2320" s="890"/>
      <c r="AN2320" s="223"/>
      <c r="AO2320" s="952"/>
      <c r="AP2320" s="1066"/>
      <c r="AQ2320" s="972"/>
      <c r="AR2320" s="1917"/>
      <c r="AS2320" s="222"/>
      <c r="AZ2320" s="889"/>
      <c r="BC2320" s="890"/>
      <c r="BD2320" s="952"/>
      <c r="BE2320" s="75"/>
      <c r="BF2320" s="572"/>
      <c r="BG2320" s="983"/>
      <c r="BH2320" s="222"/>
      <c r="BL2320" s="889"/>
      <c r="BO2320" s="223"/>
    </row>
    <row r="2321" spans="1:67" s="74" customFormat="1">
      <c r="A2321" s="15"/>
      <c r="B2321" s="15"/>
      <c r="C2321" s="15"/>
      <c r="D2321" s="15"/>
      <c r="E2321" s="6"/>
      <c r="F2321" s="6"/>
      <c r="G2321" s="6"/>
      <c r="K2321" s="223"/>
      <c r="M2321" s="889"/>
      <c r="P2321" s="890"/>
      <c r="T2321" s="889"/>
      <c r="X2321" s="15"/>
      <c r="Y2321" s="1935"/>
      <c r="Z2321" s="1086"/>
      <c r="AA2321" s="230"/>
      <c r="AB2321" s="230"/>
      <c r="AC2321" s="1936"/>
      <c r="AD2321" s="230"/>
      <c r="AE2321" s="230"/>
      <c r="AF2321" s="230"/>
      <c r="AG2321" s="890"/>
      <c r="AJ2321" s="890"/>
      <c r="AN2321" s="223"/>
      <c r="AO2321" s="952"/>
      <c r="AP2321" s="1066"/>
      <c r="AQ2321" s="972"/>
      <c r="AR2321" s="1917"/>
      <c r="AS2321" s="222"/>
      <c r="AZ2321" s="889"/>
      <c r="BC2321" s="890"/>
      <c r="BD2321" s="952"/>
      <c r="BE2321" s="75"/>
      <c r="BF2321" s="572"/>
      <c r="BG2321" s="983"/>
      <c r="BH2321" s="222"/>
      <c r="BL2321" s="889"/>
      <c r="BO2321" s="223"/>
    </row>
    <row r="2322" spans="1:67" s="74" customFormat="1">
      <c r="A2322" s="15"/>
      <c r="B2322" s="15"/>
      <c r="C2322" s="15"/>
      <c r="D2322" s="15"/>
      <c r="E2322" s="6"/>
      <c r="F2322" s="6"/>
      <c r="G2322" s="6"/>
      <c r="K2322" s="223"/>
      <c r="M2322" s="889"/>
      <c r="P2322" s="890"/>
      <c r="T2322" s="889"/>
      <c r="X2322" s="15"/>
      <c r="Y2322" s="1935"/>
      <c r="Z2322" s="1086"/>
      <c r="AA2322" s="230"/>
      <c r="AB2322" s="230"/>
      <c r="AC2322" s="1936"/>
      <c r="AD2322" s="230"/>
      <c r="AE2322" s="230"/>
      <c r="AF2322" s="230"/>
      <c r="AG2322" s="890"/>
      <c r="AJ2322" s="890"/>
      <c r="AN2322" s="223"/>
      <c r="AO2322" s="952"/>
      <c r="AP2322" s="1066"/>
      <c r="AQ2322" s="972"/>
      <c r="AR2322" s="1917"/>
      <c r="AS2322" s="222"/>
      <c r="AZ2322" s="889"/>
      <c r="BC2322" s="890"/>
      <c r="BD2322" s="952"/>
      <c r="BE2322" s="75"/>
      <c r="BF2322" s="572"/>
      <c r="BG2322" s="983"/>
      <c r="BH2322" s="222"/>
      <c r="BL2322" s="889"/>
      <c r="BO2322" s="223"/>
    </row>
    <row r="2323" spans="1:67" s="74" customFormat="1">
      <c r="A2323" s="15"/>
      <c r="B2323" s="15"/>
      <c r="C2323" s="15"/>
      <c r="D2323" s="15"/>
      <c r="E2323" s="6"/>
      <c r="F2323" s="6"/>
      <c r="G2323" s="6"/>
      <c r="K2323" s="223"/>
      <c r="M2323" s="889"/>
      <c r="P2323" s="890"/>
      <c r="T2323" s="889"/>
      <c r="X2323" s="15"/>
      <c r="Y2323" s="1935"/>
      <c r="Z2323" s="1086"/>
      <c r="AA2323" s="230"/>
      <c r="AB2323" s="230"/>
      <c r="AC2323" s="1936"/>
      <c r="AD2323" s="230"/>
      <c r="AE2323" s="230"/>
      <c r="AF2323" s="230"/>
      <c r="AG2323" s="890"/>
      <c r="AJ2323" s="890"/>
      <c r="AN2323" s="223"/>
      <c r="AO2323" s="952"/>
      <c r="AP2323" s="1066"/>
      <c r="AQ2323" s="972"/>
      <c r="AR2323" s="1917"/>
      <c r="AS2323" s="222"/>
      <c r="AZ2323" s="889"/>
      <c r="BC2323" s="890"/>
      <c r="BD2323" s="952"/>
      <c r="BE2323" s="75"/>
      <c r="BF2323" s="572"/>
      <c r="BG2323" s="983"/>
      <c r="BH2323" s="222"/>
      <c r="BL2323" s="889"/>
      <c r="BO2323" s="223"/>
    </row>
    <row r="2324" spans="1:67" s="74" customFormat="1">
      <c r="A2324" s="15"/>
      <c r="B2324" s="15"/>
      <c r="C2324" s="15"/>
      <c r="D2324" s="15"/>
      <c r="E2324" s="6"/>
      <c r="F2324" s="6"/>
      <c r="G2324" s="6"/>
      <c r="K2324" s="223"/>
      <c r="M2324" s="889"/>
      <c r="P2324" s="890"/>
      <c r="T2324" s="889"/>
      <c r="X2324" s="15"/>
      <c r="Y2324" s="1935"/>
      <c r="Z2324" s="1086"/>
      <c r="AA2324" s="230"/>
      <c r="AB2324" s="230"/>
      <c r="AC2324" s="1936"/>
      <c r="AD2324" s="230"/>
      <c r="AE2324" s="230"/>
      <c r="AF2324" s="230"/>
      <c r="AG2324" s="890"/>
      <c r="AJ2324" s="890"/>
      <c r="AN2324" s="223"/>
      <c r="AO2324" s="952"/>
      <c r="AP2324" s="1066"/>
      <c r="AQ2324" s="972"/>
      <c r="AR2324" s="1917"/>
      <c r="AS2324" s="222"/>
      <c r="AZ2324" s="889"/>
      <c r="BC2324" s="890"/>
      <c r="BD2324" s="952"/>
      <c r="BE2324" s="75"/>
      <c r="BF2324" s="572"/>
      <c r="BG2324" s="983"/>
      <c r="BH2324" s="222"/>
      <c r="BL2324" s="889"/>
      <c r="BO2324" s="223"/>
    </row>
    <row r="2325" spans="1:67" s="74" customFormat="1">
      <c r="A2325" s="15"/>
      <c r="B2325" s="15"/>
      <c r="C2325" s="15"/>
      <c r="D2325" s="15"/>
      <c r="E2325" s="6"/>
      <c r="F2325" s="6"/>
      <c r="G2325" s="6"/>
      <c r="K2325" s="223"/>
      <c r="M2325" s="889"/>
      <c r="P2325" s="890"/>
      <c r="T2325" s="889"/>
      <c r="X2325" s="15"/>
      <c r="Y2325" s="1935"/>
      <c r="Z2325" s="1086"/>
      <c r="AA2325" s="230"/>
      <c r="AB2325" s="230"/>
      <c r="AC2325" s="1936"/>
      <c r="AD2325" s="230"/>
      <c r="AE2325" s="230"/>
      <c r="AF2325" s="230"/>
      <c r="AG2325" s="890"/>
      <c r="AJ2325" s="890"/>
      <c r="AN2325" s="223"/>
      <c r="AO2325" s="952"/>
      <c r="AP2325" s="1066"/>
      <c r="AQ2325" s="972"/>
      <c r="AR2325" s="1917"/>
      <c r="AS2325" s="222"/>
      <c r="AZ2325" s="889"/>
      <c r="BC2325" s="890"/>
      <c r="BD2325" s="952"/>
      <c r="BE2325" s="75"/>
      <c r="BF2325" s="572"/>
      <c r="BG2325" s="983"/>
      <c r="BH2325" s="222"/>
      <c r="BL2325" s="889"/>
      <c r="BO2325" s="223"/>
    </row>
    <row r="2326" spans="1:67" s="74" customFormat="1">
      <c r="A2326" s="15"/>
      <c r="B2326" s="15"/>
      <c r="C2326" s="15"/>
      <c r="D2326" s="15"/>
      <c r="E2326" s="6"/>
      <c r="F2326" s="6"/>
      <c r="G2326" s="6"/>
      <c r="K2326" s="223"/>
      <c r="M2326" s="889"/>
      <c r="P2326" s="890"/>
      <c r="T2326" s="889"/>
      <c r="X2326" s="15"/>
      <c r="Y2326" s="1935"/>
      <c r="Z2326" s="1086"/>
      <c r="AA2326" s="230"/>
      <c r="AB2326" s="230"/>
      <c r="AC2326" s="1936"/>
      <c r="AD2326" s="230"/>
      <c r="AE2326" s="230"/>
      <c r="AF2326" s="230"/>
      <c r="AG2326" s="890"/>
      <c r="AJ2326" s="890"/>
      <c r="AN2326" s="223"/>
      <c r="AO2326" s="952"/>
      <c r="AP2326" s="1066"/>
      <c r="AQ2326" s="972"/>
      <c r="AR2326" s="1917"/>
      <c r="AS2326" s="222"/>
      <c r="AZ2326" s="889"/>
      <c r="BC2326" s="890"/>
      <c r="BD2326" s="952"/>
      <c r="BE2326" s="75"/>
      <c r="BF2326" s="572"/>
      <c r="BG2326" s="983"/>
      <c r="BH2326" s="222"/>
      <c r="BL2326" s="889"/>
      <c r="BO2326" s="223"/>
    </row>
    <row r="2327" spans="1:67" s="74" customFormat="1">
      <c r="A2327" s="15"/>
      <c r="B2327" s="15"/>
      <c r="C2327" s="15"/>
      <c r="D2327" s="15"/>
      <c r="E2327" s="6"/>
      <c r="F2327" s="6"/>
      <c r="G2327" s="6"/>
      <c r="K2327" s="223"/>
      <c r="M2327" s="889"/>
      <c r="P2327" s="890"/>
      <c r="T2327" s="889"/>
      <c r="X2327" s="15"/>
      <c r="Y2327" s="1935"/>
      <c r="Z2327" s="1086"/>
      <c r="AA2327" s="230"/>
      <c r="AB2327" s="230"/>
      <c r="AC2327" s="1936"/>
      <c r="AD2327" s="230"/>
      <c r="AE2327" s="230"/>
      <c r="AF2327" s="230"/>
      <c r="AG2327" s="890"/>
      <c r="AJ2327" s="890"/>
      <c r="AN2327" s="223"/>
      <c r="AO2327" s="952"/>
      <c r="AP2327" s="1066"/>
      <c r="AQ2327" s="972"/>
      <c r="AR2327" s="1917"/>
      <c r="AS2327" s="222"/>
      <c r="AZ2327" s="889"/>
      <c r="BC2327" s="890"/>
      <c r="BD2327" s="952"/>
      <c r="BE2327" s="75"/>
      <c r="BF2327" s="572"/>
      <c r="BG2327" s="983"/>
      <c r="BH2327" s="222"/>
      <c r="BL2327" s="889"/>
      <c r="BO2327" s="223"/>
    </row>
    <row r="2328" spans="1:67" s="74" customFormat="1">
      <c r="A2328" s="15"/>
      <c r="B2328" s="15"/>
      <c r="C2328" s="15"/>
      <c r="D2328" s="15"/>
      <c r="E2328" s="6"/>
      <c r="F2328" s="6"/>
      <c r="G2328" s="6"/>
      <c r="K2328" s="223"/>
      <c r="M2328" s="889"/>
      <c r="P2328" s="890"/>
      <c r="T2328" s="889"/>
      <c r="X2328" s="15"/>
      <c r="Y2328" s="1935"/>
      <c r="Z2328" s="1086"/>
      <c r="AA2328" s="230"/>
      <c r="AB2328" s="230"/>
      <c r="AC2328" s="1936"/>
      <c r="AD2328" s="230"/>
      <c r="AE2328" s="230"/>
      <c r="AF2328" s="230"/>
      <c r="AG2328" s="890"/>
      <c r="AJ2328" s="890"/>
      <c r="AN2328" s="223"/>
      <c r="AO2328" s="952"/>
      <c r="AP2328" s="1066"/>
      <c r="AQ2328" s="972"/>
      <c r="AR2328" s="1917"/>
      <c r="AS2328" s="222"/>
      <c r="AZ2328" s="889"/>
      <c r="BC2328" s="890"/>
      <c r="BD2328" s="952"/>
      <c r="BE2328" s="75"/>
      <c r="BF2328" s="572"/>
      <c r="BG2328" s="983"/>
      <c r="BH2328" s="222"/>
      <c r="BL2328" s="889"/>
      <c r="BO2328" s="223"/>
    </row>
    <row r="2329" spans="1:67" s="74" customFormat="1">
      <c r="A2329" s="15"/>
      <c r="B2329" s="15"/>
      <c r="C2329" s="15"/>
      <c r="D2329" s="15"/>
      <c r="E2329" s="6"/>
      <c r="F2329" s="6"/>
      <c r="G2329" s="6"/>
      <c r="K2329" s="223"/>
      <c r="M2329" s="889"/>
      <c r="P2329" s="890"/>
      <c r="T2329" s="889"/>
      <c r="X2329" s="15"/>
      <c r="Y2329" s="1935"/>
      <c r="Z2329" s="1086"/>
      <c r="AA2329" s="230"/>
      <c r="AB2329" s="230"/>
      <c r="AC2329" s="1936"/>
      <c r="AD2329" s="230"/>
      <c r="AE2329" s="230"/>
      <c r="AF2329" s="230"/>
      <c r="AG2329" s="890"/>
      <c r="AJ2329" s="890"/>
      <c r="AN2329" s="223"/>
      <c r="AO2329" s="952"/>
      <c r="AP2329" s="1066"/>
      <c r="AQ2329" s="972"/>
      <c r="AR2329" s="1917"/>
      <c r="AS2329" s="222"/>
      <c r="AZ2329" s="889"/>
      <c r="BC2329" s="890"/>
      <c r="BD2329" s="952"/>
      <c r="BE2329" s="75"/>
      <c r="BF2329" s="572"/>
      <c r="BG2329" s="983"/>
      <c r="BH2329" s="222"/>
      <c r="BL2329" s="889"/>
      <c r="BO2329" s="223"/>
    </row>
    <row r="2330" spans="1:67" s="74" customFormat="1">
      <c r="A2330" s="15"/>
      <c r="B2330" s="15"/>
      <c r="C2330" s="15"/>
      <c r="D2330" s="15"/>
      <c r="E2330" s="6"/>
      <c r="F2330" s="6"/>
      <c r="G2330" s="6"/>
      <c r="K2330" s="223"/>
      <c r="M2330" s="889"/>
      <c r="P2330" s="890"/>
      <c r="T2330" s="889"/>
      <c r="X2330" s="15"/>
      <c r="Y2330" s="1935"/>
      <c r="Z2330" s="1086"/>
      <c r="AA2330" s="230"/>
      <c r="AB2330" s="230"/>
      <c r="AC2330" s="1936"/>
      <c r="AD2330" s="230"/>
      <c r="AE2330" s="230"/>
      <c r="AF2330" s="230"/>
      <c r="AG2330" s="890"/>
      <c r="AJ2330" s="890"/>
      <c r="AN2330" s="223"/>
      <c r="AO2330" s="952"/>
      <c r="AP2330" s="1066"/>
      <c r="AQ2330" s="972"/>
      <c r="AR2330" s="1917"/>
      <c r="AS2330" s="222"/>
      <c r="AZ2330" s="889"/>
      <c r="BC2330" s="890"/>
      <c r="BD2330" s="952"/>
      <c r="BE2330" s="75"/>
      <c r="BF2330" s="572"/>
      <c r="BG2330" s="983"/>
      <c r="BH2330" s="222"/>
      <c r="BL2330" s="889"/>
      <c r="BO2330" s="223"/>
    </row>
    <row r="2331" spans="1:67" s="74" customFormat="1">
      <c r="A2331" s="15"/>
      <c r="B2331" s="15"/>
      <c r="C2331" s="15"/>
      <c r="D2331" s="15"/>
      <c r="E2331" s="6"/>
      <c r="F2331" s="6"/>
      <c r="G2331" s="6"/>
      <c r="K2331" s="223"/>
      <c r="M2331" s="889"/>
      <c r="P2331" s="890"/>
      <c r="T2331" s="889"/>
      <c r="X2331" s="15"/>
      <c r="Y2331" s="1935"/>
      <c r="Z2331" s="1086"/>
      <c r="AA2331" s="230"/>
      <c r="AB2331" s="230"/>
      <c r="AC2331" s="1936"/>
      <c r="AD2331" s="230"/>
      <c r="AE2331" s="230"/>
      <c r="AF2331" s="230"/>
      <c r="AG2331" s="890"/>
      <c r="AJ2331" s="890"/>
      <c r="AN2331" s="223"/>
      <c r="AO2331" s="952"/>
      <c r="AP2331" s="1066"/>
      <c r="AQ2331" s="972"/>
      <c r="AR2331" s="1917"/>
      <c r="AS2331" s="222"/>
      <c r="AZ2331" s="889"/>
      <c r="BC2331" s="890"/>
      <c r="BD2331" s="952"/>
      <c r="BE2331" s="75"/>
      <c r="BF2331" s="572"/>
      <c r="BG2331" s="983"/>
      <c r="BH2331" s="222"/>
      <c r="BL2331" s="889"/>
      <c r="BO2331" s="223"/>
    </row>
    <row r="2332" spans="1:67" s="74" customFormat="1">
      <c r="A2332" s="15"/>
      <c r="B2332" s="15"/>
      <c r="C2332" s="15"/>
      <c r="D2332" s="15"/>
      <c r="E2332" s="6"/>
      <c r="F2332" s="6"/>
      <c r="G2332" s="6"/>
      <c r="K2332" s="223"/>
      <c r="M2332" s="889"/>
      <c r="P2332" s="890"/>
      <c r="T2332" s="889"/>
      <c r="X2332" s="15"/>
      <c r="Y2332" s="1935"/>
      <c r="Z2332" s="1086"/>
      <c r="AA2332" s="230"/>
      <c r="AB2332" s="230"/>
      <c r="AC2332" s="1936"/>
      <c r="AD2332" s="230"/>
      <c r="AE2332" s="230"/>
      <c r="AF2332" s="230"/>
      <c r="AG2332" s="890"/>
      <c r="AJ2332" s="890"/>
      <c r="AN2332" s="223"/>
      <c r="AO2332" s="952"/>
      <c r="AP2332" s="1066"/>
      <c r="AQ2332" s="972"/>
      <c r="AR2332" s="1917"/>
      <c r="AS2332" s="222"/>
      <c r="AZ2332" s="889"/>
      <c r="BC2332" s="890"/>
      <c r="BD2332" s="952"/>
      <c r="BE2332" s="75"/>
      <c r="BF2332" s="572"/>
      <c r="BG2332" s="983"/>
      <c r="BH2332" s="222"/>
      <c r="BL2332" s="889"/>
      <c r="BO2332" s="223"/>
    </row>
    <row r="2333" spans="1:67" s="74" customFormat="1">
      <c r="A2333" s="15"/>
      <c r="B2333" s="15"/>
      <c r="C2333" s="15"/>
      <c r="D2333" s="15"/>
      <c r="E2333" s="6"/>
      <c r="F2333" s="6"/>
      <c r="G2333" s="6"/>
      <c r="K2333" s="223"/>
      <c r="M2333" s="889"/>
      <c r="P2333" s="890"/>
      <c r="T2333" s="889"/>
      <c r="X2333" s="15"/>
      <c r="Y2333" s="1935"/>
      <c r="Z2333" s="1086"/>
      <c r="AA2333" s="230"/>
      <c r="AB2333" s="230"/>
      <c r="AC2333" s="1936"/>
      <c r="AD2333" s="230"/>
      <c r="AE2333" s="230"/>
      <c r="AF2333" s="230"/>
      <c r="AG2333" s="890"/>
      <c r="AJ2333" s="890"/>
      <c r="AN2333" s="223"/>
      <c r="AO2333" s="952"/>
      <c r="AP2333" s="1066"/>
      <c r="AQ2333" s="972"/>
      <c r="AR2333" s="1917"/>
      <c r="AS2333" s="222"/>
      <c r="AZ2333" s="889"/>
      <c r="BC2333" s="890"/>
      <c r="BD2333" s="952"/>
      <c r="BE2333" s="75"/>
      <c r="BF2333" s="572"/>
      <c r="BG2333" s="983"/>
      <c r="BH2333" s="222"/>
      <c r="BL2333" s="889"/>
      <c r="BO2333" s="223"/>
    </row>
    <row r="2334" spans="1:67" s="74" customFormat="1">
      <c r="A2334" s="15"/>
      <c r="B2334" s="15"/>
      <c r="C2334" s="15"/>
      <c r="D2334" s="15"/>
      <c r="E2334" s="6"/>
      <c r="F2334" s="6"/>
      <c r="G2334" s="6"/>
      <c r="K2334" s="223"/>
      <c r="M2334" s="889"/>
      <c r="P2334" s="890"/>
      <c r="T2334" s="889"/>
      <c r="X2334" s="15"/>
      <c r="Y2334" s="1935"/>
      <c r="Z2334" s="1086"/>
      <c r="AA2334" s="230"/>
      <c r="AB2334" s="230"/>
      <c r="AC2334" s="1936"/>
      <c r="AD2334" s="230"/>
      <c r="AE2334" s="230"/>
      <c r="AF2334" s="230"/>
      <c r="AG2334" s="890"/>
      <c r="AJ2334" s="890"/>
      <c r="AN2334" s="223"/>
      <c r="AO2334" s="952"/>
      <c r="AP2334" s="1066"/>
      <c r="AQ2334" s="972"/>
      <c r="AR2334" s="1917"/>
      <c r="AS2334" s="222"/>
      <c r="AZ2334" s="889"/>
      <c r="BC2334" s="890"/>
      <c r="BD2334" s="952"/>
      <c r="BE2334" s="75"/>
      <c r="BF2334" s="572"/>
      <c r="BG2334" s="983"/>
      <c r="BH2334" s="222"/>
      <c r="BL2334" s="889"/>
      <c r="BO2334" s="223"/>
    </row>
    <row r="2335" spans="1:67" s="74" customFormat="1">
      <c r="A2335" s="15"/>
      <c r="B2335" s="15"/>
      <c r="C2335" s="15"/>
      <c r="D2335" s="15"/>
      <c r="E2335" s="6"/>
      <c r="F2335" s="6"/>
      <c r="G2335" s="6"/>
      <c r="K2335" s="223"/>
      <c r="M2335" s="889"/>
      <c r="P2335" s="890"/>
      <c r="T2335" s="889"/>
      <c r="X2335" s="15"/>
      <c r="Y2335" s="1935"/>
      <c r="Z2335" s="1086"/>
      <c r="AA2335" s="230"/>
      <c r="AB2335" s="230"/>
      <c r="AC2335" s="1936"/>
      <c r="AD2335" s="230"/>
      <c r="AE2335" s="230"/>
      <c r="AF2335" s="230"/>
      <c r="AG2335" s="890"/>
      <c r="AJ2335" s="890"/>
      <c r="AN2335" s="223"/>
      <c r="AO2335" s="952"/>
      <c r="AP2335" s="1066"/>
      <c r="AQ2335" s="972"/>
      <c r="AR2335" s="1917"/>
      <c r="AS2335" s="222"/>
      <c r="AZ2335" s="889"/>
      <c r="BC2335" s="890"/>
      <c r="BD2335" s="952"/>
      <c r="BE2335" s="75"/>
      <c r="BF2335" s="572"/>
      <c r="BG2335" s="983"/>
      <c r="BH2335" s="222"/>
      <c r="BL2335" s="889"/>
      <c r="BO2335" s="223"/>
    </row>
    <row r="2336" spans="1:67" s="74" customFormat="1">
      <c r="A2336" s="15"/>
      <c r="B2336" s="15"/>
      <c r="C2336" s="15"/>
      <c r="D2336" s="15"/>
      <c r="E2336" s="6"/>
      <c r="F2336" s="6"/>
      <c r="G2336" s="6"/>
      <c r="K2336" s="223"/>
      <c r="M2336" s="889"/>
      <c r="P2336" s="890"/>
      <c r="T2336" s="889"/>
      <c r="X2336" s="15"/>
      <c r="Y2336" s="1935"/>
      <c r="Z2336" s="1086"/>
      <c r="AA2336" s="230"/>
      <c r="AB2336" s="230"/>
      <c r="AC2336" s="1936"/>
      <c r="AD2336" s="230"/>
      <c r="AE2336" s="230"/>
      <c r="AF2336" s="230"/>
      <c r="AG2336" s="890"/>
      <c r="AJ2336" s="890"/>
      <c r="AN2336" s="223"/>
      <c r="AO2336" s="952"/>
      <c r="AP2336" s="1066"/>
      <c r="AQ2336" s="972"/>
      <c r="AR2336" s="1917"/>
      <c r="AS2336" s="222"/>
      <c r="AZ2336" s="889"/>
      <c r="BC2336" s="890"/>
      <c r="BD2336" s="952"/>
      <c r="BE2336" s="75"/>
      <c r="BF2336" s="572"/>
      <c r="BG2336" s="983"/>
      <c r="BH2336" s="222"/>
      <c r="BL2336" s="889"/>
      <c r="BO2336" s="223"/>
    </row>
    <row r="2337" spans="1:67" s="74" customFormat="1">
      <c r="A2337" s="15"/>
      <c r="B2337" s="15"/>
      <c r="C2337" s="15"/>
      <c r="D2337" s="15"/>
      <c r="E2337" s="6"/>
      <c r="F2337" s="6"/>
      <c r="G2337" s="6"/>
      <c r="K2337" s="223"/>
      <c r="M2337" s="889"/>
      <c r="P2337" s="890"/>
      <c r="T2337" s="889"/>
      <c r="X2337" s="15"/>
      <c r="Y2337" s="1935"/>
      <c r="Z2337" s="1086"/>
      <c r="AA2337" s="230"/>
      <c r="AB2337" s="230"/>
      <c r="AC2337" s="1936"/>
      <c r="AD2337" s="230"/>
      <c r="AE2337" s="230"/>
      <c r="AF2337" s="230"/>
      <c r="AG2337" s="890"/>
      <c r="AJ2337" s="890"/>
      <c r="AN2337" s="223"/>
      <c r="AO2337" s="952"/>
      <c r="AP2337" s="1066"/>
      <c r="AQ2337" s="972"/>
      <c r="AR2337" s="1917"/>
      <c r="AS2337" s="222"/>
      <c r="AZ2337" s="889"/>
      <c r="BC2337" s="890"/>
      <c r="BD2337" s="952"/>
      <c r="BE2337" s="75"/>
      <c r="BF2337" s="572"/>
      <c r="BG2337" s="983"/>
      <c r="BH2337" s="222"/>
      <c r="BL2337" s="889"/>
      <c r="BO2337" s="223"/>
    </row>
    <row r="2338" spans="1:67" s="74" customFormat="1">
      <c r="A2338" s="15"/>
      <c r="B2338" s="15"/>
      <c r="C2338" s="15"/>
      <c r="D2338" s="15"/>
      <c r="E2338" s="6"/>
      <c r="F2338" s="6"/>
      <c r="G2338" s="6"/>
      <c r="K2338" s="223"/>
      <c r="M2338" s="889"/>
      <c r="P2338" s="890"/>
      <c r="T2338" s="889"/>
      <c r="X2338" s="15"/>
      <c r="Y2338" s="1935"/>
      <c r="Z2338" s="1086"/>
      <c r="AA2338" s="230"/>
      <c r="AB2338" s="230"/>
      <c r="AC2338" s="1936"/>
      <c r="AD2338" s="230"/>
      <c r="AE2338" s="230"/>
      <c r="AF2338" s="230"/>
      <c r="AG2338" s="890"/>
      <c r="AJ2338" s="890"/>
      <c r="AN2338" s="223"/>
      <c r="AO2338" s="952"/>
      <c r="AP2338" s="1066"/>
      <c r="AQ2338" s="972"/>
      <c r="AR2338" s="1917"/>
      <c r="AS2338" s="222"/>
      <c r="AZ2338" s="889"/>
      <c r="BC2338" s="890"/>
      <c r="BD2338" s="952"/>
      <c r="BE2338" s="75"/>
      <c r="BF2338" s="572"/>
      <c r="BG2338" s="983"/>
      <c r="BH2338" s="222"/>
      <c r="BL2338" s="889"/>
      <c r="BO2338" s="223"/>
    </row>
    <row r="2339" spans="1:67" s="74" customFormat="1">
      <c r="A2339" s="15"/>
      <c r="B2339" s="15"/>
      <c r="C2339" s="15"/>
      <c r="D2339" s="15"/>
      <c r="E2339" s="6"/>
      <c r="F2339" s="6"/>
      <c r="G2339" s="6"/>
      <c r="K2339" s="223"/>
      <c r="M2339" s="889"/>
      <c r="P2339" s="890"/>
      <c r="T2339" s="889"/>
      <c r="X2339" s="15"/>
      <c r="Y2339" s="1935"/>
      <c r="Z2339" s="1086"/>
      <c r="AA2339" s="230"/>
      <c r="AB2339" s="230"/>
      <c r="AC2339" s="1936"/>
      <c r="AD2339" s="230"/>
      <c r="AE2339" s="230"/>
      <c r="AF2339" s="230"/>
      <c r="AG2339" s="890"/>
      <c r="AJ2339" s="890"/>
      <c r="AN2339" s="223"/>
      <c r="AO2339" s="952"/>
      <c r="AP2339" s="1066"/>
      <c r="AQ2339" s="972"/>
      <c r="AR2339" s="1917"/>
      <c r="AS2339" s="222"/>
      <c r="AZ2339" s="889"/>
      <c r="BC2339" s="890"/>
      <c r="BD2339" s="952"/>
      <c r="BE2339" s="75"/>
      <c r="BF2339" s="572"/>
      <c r="BG2339" s="983"/>
      <c r="BH2339" s="222"/>
      <c r="BL2339" s="889"/>
      <c r="BO2339" s="223"/>
    </row>
    <row r="2340" spans="1:67" s="74" customFormat="1">
      <c r="A2340" s="15"/>
      <c r="B2340" s="15"/>
      <c r="C2340" s="15"/>
      <c r="D2340" s="15"/>
      <c r="E2340" s="6"/>
      <c r="F2340" s="6"/>
      <c r="G2340" s="6"/>
      <c r="K2340" s="223"/>
      <c r="M2340" s="889"/>
      <c r="P2340" s="890"/>
      <c r="T2340" s="889"/>
      <c r="X2340" s="15"/>
      <c r="Y2340" s="1935"/>
      <c r="Z2340" s="1086"/>
      <c r="AA2340" s="230"/>
      <c r="AB2340" s="230"/>
      <c r="AC2340" s="1936"/>
      <c r="AD2340" s="230"/>
      <c r="AE2340" s="230"/>
      <c r="AF2340" s="230"/>
      <c r="AG2340" s="890"/>
      <c r="AJ2340" s="890"/>
      <c r="AN2340" s="223"/>
      <c r="AO2340" s="952"/>
      <c r="AP2340" s="1066"/>
      <c r="AQ2340" s="972"/>
      <c r="AR2340" s="1917"/>
      <c r="AS2340" s="222"/>
      <c r="AZ2340" s="889"/>
      <c r="BC2340" s="890"/>
      <c r="BD2340" s="952"/>
      <c r="BE2340" s="75"/>
      <c r="BF2340" s="572"/>
      <c r="BG2340" s="983"/>
      <c r="BH2340" s="222"/>
      <c r="BL2340" s="889"/>
      <c r="BO2340" s="223"/>
    </row>
    <row r="2341" spans="1:67" s="74" customFormat="1">
      <c r="A2341" s="15"/>
      <c r="B2341" s="15"/>
      <c r="C2341" s="15"/>
      <c r="D2341" s="15"/>
      <c r="E2341" s="6"/>
      <c r="F2341" s="6"/>
      <c r="G2341" s="6"/>
      <c r="K2341" s="223"/>
      <c r="M2341" s="889"/>
      <c r="P2341" s="890"/>
      <c r="T2341" s="889"/>
      <c r="X2341" s="15"/>
      <c r="Y2341" s="1935"/>
      <c r="Z2341" s="1086"/>
      <c r="AA2341" s="230"/>
      <c r="AB2341" s="230"/>
      <c r="AC2341" s="1936"/>
      <c r="AD2341" s="230"/>
      <c r="AE2341" s="230"/>
      <c r="AF2341" s="230"/>
      <c r="AG2341" s="890"/>
      <c r="AJ2341" s="890"/>
      <c r="AN2341" s="223"/>
      <c r="AO2341" s="952"/>
      <c r="AP2341" s="1066"/>
      <c r="AQ2341" s="972"/>
      <c r="AR2341" s="1917"/>
      <c r="AS2341" s="222"/>
      <c r="AZ2341" s="889"/>
      <c r="BC2341" s="890"/>
      <c r="BD2341" s="952"/>
      <c r="BE2341" s="75"/>
      <c r="BF2341" s="572"/>
      <c r="BG2341" s="983"/>
      <c r="BH2341" s="222"/>
      <c r="BL2341" s="889"/>
      <c r="BO2341" s="223"/>
    </row>
    <row r="2342" spans="1:67" s="74" customFormat="1">
      <c r="A2342" s="15"/>
      <c r="B2342" s="15"/>
      <c r="C2342" s="15"/>
      <c r="D2342" s="15"/>
      <c r="E2342" s="6"/>
      <c r="F2342" s="6"/>
      <c r="G2342" s="6"/>
      <c r="K2342" s="223"/>
      <c r="M2342" s="889"/>
      <c r="P2342" s="890"/>
      <c r="T2342" s="889"/>
      <c r="X2342" s="15"/>
      <c r="Y2342" s="1935"/>
      <c r="Z2342" s="1086"/>
      <c r="AA2342" s="230"/>
      <c r="AB2342" s="230"/>
      <c r="AC2342" s="1936"/>
      <c r="AD2342" s="230"/>
      <c r="AE2342" s="230"/>
      <c r="AF2342" s="230"/>
      <c r="AG2342" s="890"/>
      <c r="AJ2342" s="890"/>
      <c r="AN2342" s="223"/>
      <c r="AO2342" s="952"/>
      <c r="AP2342" s="1066"/>
      <c r="AQ2342" s="972"/>
      <c r="AR2342" s="1917"/>
      <c r="AS2342" s="222"/>
      <c r="AZ2342" s="889"/>
      <c r="BC2342" s="890"/>
      <c r="BD2342" s="952"/>
      <c r="BE2342" s="75"/>
      <c r="BF2342" s="572"/>
      <c r="BG2342" s="983"/>
      <c r="BH2342" s="222"/>
      <c r="BL2342" s="889"/>
      <c r="BO2342" s="223"/>
    </row>
    <row r="2343" spans="1:67" s="74" customFormat="1">
      <c r="A2343" s="15"/>
      <c r="B2343" s="15"/>
      <c r="C2343" s="15"/>
      <c r="D2343" s="15"/>
      <c r="E2343" s="6"/>
      <c r="F2343" s="6"/>
      <c r="G2343" s="6"/>
      <c r="K2343" s="223"/>
      <c r="M2343" s="889"/>
      <c r="P2343" s="890"/>
      <c r="T2343" s="889"/>
      <c r="X2343" s="15"/>
      <c r="Y2343" s="1935"/>
      <c r="Z2343" s="1086"/>
      <c r="AA2343" s="230"/>
      <c r="AB2343" s="230"/>
      <c r="AC2343" s="1936"/>
      <c r="AD2343" s="230"/>
      <c r="AE2343" s="230"/>
      <c r="AF2343" s="230"/>
      <c r="AG2343" s="890"/>
      <c r="AJ2343" s="890"/>
      <c r="AN2343" s="223"/>
      <c r="AO2343" s="952"/>
      <c r="AP2343" s="1066"/>
      <c r="AQ2343" s="972"/>
      <c r="AR2343" s="1917"/>
      <c r="AS2343" s="222"/>
      <c r="AZ2343" s="889"/>
      <c r="BC2343" s="890"/>
      <c r="BD2343" s="952"/>
      <c r="BE2343" s="75"/>
      <c r="BF2343" s="572"/>
      <c r="BG2343" s="983"/>
      <c r="BH2343" s="222"/>
      <c r="BL2343" s="889"/>
      <c r="BO2343" s="223"/>
    </row>
    <row r="2344" spans="1:67" s="74" customFormat="1">
      <c r="A2344" s="15"/>
      <c r="B2344" s="15"/>
      <c r="C2344" s="15"/>
      <c r="D2344" s="15"/>
      <c r="E2344" s="6"/>
      <c r="F2344" s="6"/>
      <c r="G2344" s="6"/>
      <c r="K2344" s="223"/>
      <c r="M2344" s="889"/>
      <c r="P2344" s="890"/>
      <c r="T2344" s="889"/>
      <c r="X2344" s="15"/>
      <c r="Y2344" s="1935"/>
      <c r="Z2344" s="1086"/>
      <c r="AA2344" s="230"/>
      <c r="AB2344" s="230"/>
      <c r="AC2344" s="1936"/>
      <c r="AD2344" s="230"/>
      <c r="AE2344" s="230"/>
      <c r="AF2344" s="230"/>
      <c r="AG2344" s="890"/>
      <c r="AJ2344" s="890"/>
      <c r="AN2344" s="223"/>
      <c r="AO2344" s="952"/>
      <c r="AP2344" s="1066"/>
      <c r="AQ2344" s="972"/>
      <c r="AR2344" s="1917"/>
      <c r="AS2344" s="222"/>
      <c r="AZ2344" s="889"/>
      <c r="BC2344" s="890"/>
      <c r="BD2344" s="952"/>
      <c r="BE2344" s="75"/>
      <c r="BF2344" s="572"/>
      <c r="BG2344" s="983"/>
      <c r="BH2344" s="222"/>
      <c r="BL2344" s="889"/>
      <c r="BO2344" s="223"/>
    </row>
    <row r="2345" spans="1:67" s="74" customFormat="1">
      <c r="A2345" s="15"/>
      <c r="B2345" s="15"/>
      <c r="C2345" s="15"/>
      <c r="D2345" s="15"/>
      <c r="E2345" s="6"/>
      <c r="F2345" s="6"/>
      <c r="G2345" s="6"/>
      <c r="K2345" s="223"/>
      <c r="M2345" s="889"/>
      <c r="P2345" s="890"/>
      <c r="T2345" s="889"/>
      <c r="X2345" s="15"/>
      <c r="Y2345" s="1935"/>
      <c r="Z2345" s="1086"/>
      <c r="AA2345" s="230"/>
      <c r="AB2345" s="230"/>
      <c r="AC2345" s="1936"/>
      <c r="AD2345" s="230"/>
      <c r="AE2345" s="230"/>
      <c r="AF2345" s="230"/>
      <c r="AG2345" s="890"/>
      <c r="AJ2345" s="890"/>
      <c r="AN2345" s="223"/>
      <c r="AO2345" s="952"/>
      <c r="AP2345" s="1066"/>
      <c r="AQ2345" s="972"/>
      <c r="AR2345" s="1917"/>
      <c r="AS2345" s="222"/>
      <c r="AZ2345" s="889"/>
      <c r="BC2345" s="890"/>
      <c r="BD2345" s="952"/>
      <c r="BE2345" s="75"/>
      <c r="BF2345" s="572"/>
      <c r="BG2345" s="983"/>
      <c r="BH2345" s="222"/>
      <c r="BL2345" s="889"/>
      <c r="BO2345" s="223"/>
    </row>
    <row r="2346" spans="1:67" s="74" customFormat="1">
      <c r="A2346" s="15"/>
      <c r="B2346" s="15"/>
      <c r="C2346" s="15"/>
      <c r="D2346" s="15"/>
      <c r="E2346" s="6"/>
      <c r="F2346" s="6"/>
      <c r="G2346" s="6"/>
      <c r="K2346" s="223"/>
      <c r="M2346" s="889"/>
      <c r="P2346" s="890"/>
      <c r="T2346" s="889"/>
      <c r="X2346" s="15"/>
      <c r="Y2346" s="1935"/>
      <c r="Z2346" s="1086"/>
      <c r="AA2346" s="230"/>
      <c r="AB2346" s="230"/>
      <c r="AC2346" s="1936"/>
      <c r="AD2346" s="230"/>
      <c r="AE2346" s="230"/>
      <c r="AF2346" s="230"/>
      <c r="AG2346" s="890"/>
      <c r="AJ2346" s="890"/>
      <c r="AN2346" s="223"/>
      <c r="AO2346" s="952"/>
      <c r="AP2346" s="1066"/>
      <c r="AQ2346" s="972"/>
      <c r="AR2346" s="1917"/>
      <c r="AS2346" s="222"/>
      <c r="AZ2346" s="889"/>
      <c r="BC2346" s="890"/>
      <c r="BD2346" s="952"/>
      <c r="BE2346" s="75"/>
      <c r="BF2346" s="572"/>
      <c r="BG2346" s="983"/>
      <c r="BH2346" s="222"/>
      <c r="BL2346" s="889"/>
      <c r="BO2346" s="223"/>
    </row>
    <row r="2347" spans="1:67" s="74" customFormat="1">
      <c r="A2347" s="15"/>
      <c r="B2347" s="15"/>
      <c r="C2347" s="15"/>
      <c r="D2347" s="15"/>
      <c r="E2347" s="6"/>
      <c r="F2347" s="6"/>
      <c r="G2347" s="6"/>
      <c r="K2347" s="223"/>
      <c r="M2347" s="889"/>
      <c r="P2347" s="890"/>
      <c r="T2347" s="889"/>
      <c r="X2347" s="15"/>
      <c r="Y2347" s="1935"/>
      <c r="Z2347" s="1086"/>
      <c r="AA2347" s="230"/>
      <c r="AB2347" s="230"/>
      <c r="AC2347" s="1936"/>
      <c r="AD2347" s="230"/>
      <c r="AE2347" s="230"/>
      <c r="AF2347" s="230"/>
      <c r="AG2347" s="890"/>
      <c r="AJ2347" s="890"/>
      <c r="AN2347" s="223"/>
      <c r="AO2347" s="952"/>
      <c r="AP2347" s="1066"/>
      <c r="AQ2347" s="972"/>
      <c r="AR2347" s="1917"/>
      <c r="AS2347" s="222"/>
      <c r="AZ2347" s="889"/>
      <c r="BC2347" s="890"/>
      <c r="BD2347" s="952"/>
      <c r="BE2347" s="75"/>
      <c r="BF2347" s="572"/>
      <c r="BG2347" s="983"/>
      <c r="BH2347" s="222"/>
      <c r="BL2347" s="889"/>
      <c r="BO2347" s="223"/>
    </row>
    <row r="2348" spans="1:67" s="74" customFormat="1">
      <c r="A2348" s="15"/>
      <c r="B2348" s="15"/>
      <c r="C2348" s="15"/>
      <c r="D2348" s="15"/>
      <c r="E2348" s="6"/>
      <c r="F2348" s="6"/>
      <c r="G2348" s="6"/>
      <c r="K2348" s="223"/>
      <c r="M2348" s="889"/>
      <c r="P2348" s="890"/>
      <c r="T2348" s="889"/>
      <c r="X2348" s="15"/>
      <c r="Y2348" s="1935"/>
      <c r="Z2348" s="1086"/>
      <c r="AA2348" s="230"/>
      <c r="AB2348" s="230"/>
      <c r="AC2348" s="1936"/>
      <c r="AD2348" s="230"/>
      <c r="AE2348" s="230"/>
      <c r="AF2348" s="230"/>
      <c r="AG2348" s="890"/>
      <c r="AJ2348" s="890"/>
      <c r="AN2348" s="223"/>
      <c r="AO2348" s="952"/>
      <c r="AP2348" s="1066"/>
      <c r="AQ2348" s="972"/>
      <c r="AR2348" s="1917"/>
      <c r="AS2348" s="222"/>
      <c r="AZ2348" s="889"/>
      <c r="BC2348" s="890"/>
      <c r="BD2348" s="952"/>
      <c r="BE2348" s="75"/>
      <c r="BF2348" s="572"/>
      <c r="BG2348" s="983"/>
      <c r="BH2348" s="222"/>
      <c r="BL2348" s="889"/>
      <c r="BO2348" s="223"/>
    </row>
    <row r="2349" spans="1:67" s="74" customFormat="1">
      <c r="A2349" s="15"/>
      <c r="B2349" s="15"/>
      <c r="C2349" s="15"/>
      <c r="D2349" s="15"/>
      <c r="E2349" s="6"/>
      <c r="F2349" s="6"/>
      <c r="G2349" s="6"/>
      <c r="K2349" s="223"/>
      <c r="M2349" s="889"/>
      <c r="P2349" s="890"/>
      <c r="T2349" s="889"/>
      <c r="X2349" s="15"/>
      <c r="Y2349" s="1935"/>
      <c r="Z2349" s="1086"/>
      <c r="AA2349" s="230"/>
      <c r="AB2349" s="230"/>
      <c r="AC2349" s="1936"/>
      <c r="AD2349" s="230"/>
      <c r="AE2349" s="230"/>
      <c r="AF2349" s="230"/>
      <c r="AG2349" s="890"/>
      <c r="AJ2349" s="890"/>
      <c r="AN2349" s="223"/>
      <c r="AO2349" s="952"/>
      <c r="AP2349" s="1066"/>
      <c r="AQ2349" s="972"/>
      <c r="AR2349" s="1917"/>
      <c r="AS2349" s="222"/>
      <c r="AZ2349" s="889"/>
      <c r="BC2349" s="890"/>
      <c r="BD2349" s="952"/>
      <c r="BE2349" s="75"/>
      <c r="BF2349" s="572"/>
      <c r="BG2349" s="983"/>
      <c r="BH2349" s="222"/>
      <c r="BL2349" s="889"/>
      <c r="BO2349" s="223"/>
    </row>
    <row r="2350" spans="1:67" s="74" customFormat="1">
      <c r="A2350" s="15"/>
      <c r="B2350" s="15"/>
      <c r="C2350" s="15"/>
      <c r="D2350" s="15"/>
      <c r="E2350" s="6"/>
      <c r="F2350" s="6"/>
      <c r="G2350" s="6"/>
      <c r="K2350" s="223"/>
      <c r="M2350" s="889"/>
      <c r="P2350" s="890"/>
      <c r="T2350" s="889"/>
      <c r="X2350" s="15"/>
      <c r="Y2350" s="1935"/>
      <c r="Z2350" s="1086"/>
      <c r="AA2350" s="230"/>
      <c r="AB2350" s="230"/>
      <c r="AC2350" s="1936"/>
      <c r="AD2350" s="230"/>
      <c r="AE2350" s="230"/>
      <c r="AF2350" s="230"/>
      <c r="AG2350" s="890"/>
      <c r="AJ2350" s="890"/>
      <c r="AN2350" s="223"/>
      <c r="AO2350" s="952"/>
      <c r="AP2350" s="1066"/>
      <c r="AQ2350" s="972"/>
      <c r="AR2350" s="1917"/>
      <c r="AS2350" s="222"/>
      <c r="AZ2350" s="889"/>
      <c r="BC2350" s="890"/>
      <c r="BD2350" s="952"/>
      <c r="BE2350" s="75"/>
      <c r="BF2350" s="572"/>
      <c r="BG2350" s="983"/>
      <c r="BH2350" s="222"/>
      <c r="BL2350" s="889"/>
      <c r="BO2350" s="223"/>
    </row>
    <row r="2351" spans="1:67" s="74" customFormat="1">
      <c r="A2351" s="15"/>
      <c r="B2351" s="15"/>
      <c r="C2351" s="15"/>
      <c r="D2351" s="15"/>
      <c r="E2351" s="6"/>
      <c r="F2351" s="6"/>
      <c r="G2351" s="6"/>
      <c r="K2351" s="223"/>
      <c r="M2351" s="889"/>
      <c r="P2351" s="890"/>
      <c r="T2351" s="889"/>
      <c r="X2351" s="15"/>
      <c r="Y2351" s="1935"/>
      <c r="Z2351" s="1086"/>
      <c r="AA2351" s="230"/>
      <c r="AB2351" s="230"/>
      <c r="AC2351" s="1936"/>
      <c r="AD2351" s="230"/>
      <c r="AE2351" s="230"/>
      <c r="AF2351" s="230"/>
      <c r="AG2351" s="890"/>
      <c r="AJ2351" s="890"/>
      <c r="AN2351" s="223"/>
      <c r="AO2351" s="952"/>
      <c r="AP2351" s="1066"/>
      <c r="AQ2351" s="972"/>
      <c r="AR2351" s="1917"/>
      <c r="AS2351" s="222"/>
      <c r="AZ2351" s="889"/>
      <c r="BC2351" s="890"/>
      <c r="BD2351" s="952"/>
      <c r="BE2351" s="75"/>
      <c r="BF2351" s="572"/>
      <c r="BG2351" s="983"/>
      <c r="BH2351" s="222"/>
      <c r="BL2351" s="889"/>
      <c r="BO2351" s="223"/>
    </row>
    <row r="2352" spans="1:67" s="74" customFormat="1">
      <c r="A2352" s="15"/>
      <c r="B2352" s="15"/>
      <c r="C2352" s="15"/>
      <c r="D2352" s="15"/>
      <c r="E2352" s="6"/>
      <c r="F2352" s="6"/>
      <c r="G2352" s="6"/>
      <c r="K2352" s="223"/>
      <c r="M2352" s="889"/>
      <c r="P2352" s="890"/>
      <c r="T2352" s="889"/>
      <c r="X2352" s="15"/>
      <c r="Y2352" s="1935"/>
      <c r="Z2352" s="1086"/>
      <c r="AA2352" s="230"/>
      <c r="AB2352" s="230"/>
      <c r="AC2352" s="1936"/>
      <c r="AD2352" s="230"/>
      <c r="AE2352" s="230"/>
      <c r="AF2352" s="230"/>
      <c r="AG2352" s="890"/>
      <c r="AJ2352" s="890"/>
      <c r="AN2352" s="223"/>
      <c r="AO2352" s="952"/>
      <c r="AP2352" s="1066"/>
      <c r="AQ2352" s="972"/>
      <c r="AR2352" s="1917"/>
      <c r="AS2352" s="222"/>
      <c r="AZ2352" s="889"/>
      <c r="BC2352" s="890"/>
      <c r="BD2352" s="952"/>
      <c r="BE2352" s="75"/>
      <c r="BF2352" s="572"/>
      <c r="BG2352" s="983"/>
      <c r="BH2352" s="222"/>
      <c r="BL2352" s="889"/>
      <c r="BO2352" s="223"/>
    </row>
    <row r="2353" spans="1:67" s="74" customFormat="1">
      <c r="A2353" s="15"/>
      <c r="B2353" s="15"/>
      <c r="C2353" s="15"/>
      <c r="D2353" s="15"/>
      <c r="E2353" s="6"/>
      <c r="F2353" s="6"/>
      <c r="G2353" s="6"/>
      <c r="K2353" s="223"/>
      <c r="M2353" s="889"/>
      <c r="P2353" s="890"/>
      <c r="T2353" s="889"/>
      <c r="X2353" s="15"/>
      <c r="Y2353" s="1935"/>
      <c r="Z2353" s="1086"/>
      <c r="AA2353" s="230"/>
      <c r="AB2353" s="230"/>
      <c r="AC2353" s="1936"/>
      <c r="AD2353" s="230"/>
      <c r="AE2353" s="230"/>
      <c r="AF2353" s="230"/>
      <c r="AG2353" s="890"/>
      <c r="AJ2353" s="890"/>
      <c r="AN2353" s="223"/>
      <c r="AO2353" s="952"/>
      <c r="AP2353" s="1066"/>
      <c r="AQ2353" s="972"/>
      <c r="AR2353" s="1917"/>
      <c r="AS2353" s="222"/>
      <c r="AZ2353" s="889"/>
      <c r="BC2353" s="890"/>
      <c r="BD2353" s="952"/>
      <c r="BE2353" s="75"/>
      <c r="BF2353" s="572"/>
      <c r="BG2353" s="983"/>
      <c r="BH2353" s="222"/>
      <c r="BL2353" s="889"/>
      <c r="BO2353" s="223"/>
    </row>
    <row r="2354" spans="1:67" s="74" customFormat="1">
      <c r="A2354" s="15"/>
      <c r="B2354" s="15"/>
      <c r="C2354" s="15"/>
      <c r="D2354" s="15"/>
      <c r="E2354" s="6"/>
      <c r="F2354" s="6"/>
      <c r="G2354" s="6"/>
      <c r="K2354" s="223"/>
      <c r="M2354" s="889"/>
      <c r="P2354" s="890"/>
      <c r="T2354" s="889"/>
      <c r="X2354" s="15"/>
      <c r="Y2354" s="1935"/>
      <c r="Z2354" s="1086"/>
      <c r="AA2354" s="230"/>
      <c r="AB2354" s="230"/>
      <c r="AC2354" s="1936"/>
      <c r="AD2354" s="230"/>
      <c r="AE2354" s="230"/>
      <c r="AF2354" s="230"/>
      <c r="AG2354" s="890"/>
      <c r="AJ2354" s="890"/>
      <c r="AN2354" s="223"/>
      <c r="AO2354" s="952"/>
      <c r="AP2354" s="1066"/>
      <c r="AQ2354" s="972"/>
      <c r="AR2354" s="1917"/>
      <c r="AS2354" s="222"/>
      <c r="AZ2354" s="889"/>
      <c r="BC2354" s="890"/>
      <c r="BD2354" s="952"/>
      <c r="BE2354" s="75"/>
      <c r="BF2354" s="572"/>
      <c r="BG2354" s="983"/>
      <c r="BH2354" s="222"/>
      <c r="BL2354" s="889"/>
      <c r="BO2354" s="223"/>
    </row>
    <row r="2355" spans="1:67" s="74" customFormat="1">
      <c r="A2355" s="15"/>
      <c r="B2355" s="15"/>
      <c r="C2355" s="15"/>
      <c r="D2355" s="15"/>
      <c r="E2355" s="6"/>
      <c r="F2355" s="6"/>
      <c r="G2355" s="6"/>
      <c r="K2355" s="223"/>
      <c r="M2355" s="889"/>
      <c r="P2355" s="890"/>
      <c r="T2355" s="889"/>
      <c r="X2355" s="15"/>
      <c r="Y2355" s="1935"/>
      <c r="Z2355" s="1086"/>
      <c r="AA2355" s="230"/>
      <c r="AB2355" s="230"/>
      <c r="AC2355" s="1936"/>
      <c r="AD2355" s="230"/>
      <c r="AE2355" s="230"/>
      <c r="AF2355" s="230"/>
      <c r="AG2355" s="890"/>
      <c r="AJ2355" s="890"/>
      <c r="AN2355" s="223"/>
      <c r="AO2355" s="952"/>
      <c r="AP2355" s="1066"/>
      <c r="AQ2355" s="972"/>
      <c r="AR2355" s="1917"/>
      <c r="AS2355" s="222"/>
      <c r="AZ2355" s="889"/>
      <c r="BC2355" s="890"/>
      <c r="BD2355" s="952"/>
      <c r="BE2355" s="75"/>
      <c r="BF2355" s="572"/>
      <c r="BG2355" s="983"/>
      <c r="BH2355" s="222"/>
      <c r="BL2355" s="889"/>
      <c r="BO2355" s="223"/>
    </row>
    <row r="2356" spans="1:67" s="74" customFormat="1">
      <c r="A2356" s="15"/>
      <c r="B2356" s="15"/>
      <c r="C2356" s="15"/>
      <c r="D2356" s="15"/>
      <c r="E2356" s="6"/>
      <c r="F2356" s="6"/>
      <c r="G2356" s="6"/>
      <c r="K2356" s="223"/>
      <c r="M2356" s="889"/>
      <c r="P2356" s="890"/>
      <c r="T2356" s="889"/>
      <c r="X2356" s="15"/>
      <c r="Y2356" s="1935"/>
      <c r="Z2356" s="1086"/>
      <c r="AA2356" s="230"/>
      <c r="AB2356" s="230"/>
      <c r="AC2356" s="1936"/>
      <c r="AD2356" s="230"/>
      <c r="AE2356" s="230"/>
      <c r="AF2356" s="230"/>
      <c r="AG2356" s="890"/>
      <c r="AJ2356" s="890"/>
      <c r="AN2356" s="223"/>
      <c r="AO2356" s="952"/>
      <c r="AP2356" s="1066"/>
      <c r="AQ2356" s="972"/>
      <c r="AR2356" s="1917"/>
      <c r="AS2356" s="222"/>
      <c r="AZ2356" s="889"/>
      <c r="BC2356" s="890"/>
      <c r="BD2356" s="952"/>
      <c r="BE2356" s="75"/>
      <c r="BF2356" s="572"/>
      <c r="BG2356" s="983"/>
      <c r="BH2356" s="222"/>
      <c r="BL2356" s="889"/>
      <c r="BO2356" s="223"/>
    </row>
    <row r="2357" spans="1:67" s="74" customFormat="1">
      <c r="A2357" s="15"/>
      <c r="B2357" s="15"/>
      <c r="C2357" s="15"/>
      <c r="D2357" s="15"/>
      <c r="E2357" s="6"/>
      <c r="F2357" s="6"/>
      <c r="G2357" s="6"/>
      <c r="K2357" s="223"/>
      <c r="M2357" s="889"/>
      <c r="P2357" s="890"/>
      <c r="T2357" s="889"/>
      <c r="X2357" s="15"/>
      <c r="Y2357" s="1935"/>
      <c r="Z2357" s="1086"/>
      <c r="AA2357" s="230"/>
      <c r="AB2357" s="230"/>
      <c r="AC2357" s="1936"/>
      <c r="AD2357" s="230"/>
      <c r="AE2357" s="230"/>
      <c r="AF2357" s="230"/>
      <c r="AG2357" s="890"/>
      <c r="AJ2357" s="890"/>
      <c r="AN2357" s="223"/>
      <c r="AO2357" s="952"/>
      <c r="AP2357" s="1066"/>
      <c r="AQ2357" s="972"/>
      <c r="AR2357" s="1917"/>
      <c r="AS2357" s="222"/>
      <c r="AZ2357" s="889"/>
      <c r="BC2357" s="890"/>
      <c r="BD2357" s="952"/>
      <c r="BE2357" s="75"/>
      <c r="BF2357" s="572"/>
      <c r="BG2357" s="983"/>
      <c r="BH2357" s="222"/>
      <c r="BL2357" s="889"/>
      <c r="BO2357" s="223"/>
    </row>
    <row r="2358" spans="1:67" s="74" customFormat="1">
      <c r="A2358" s="15"/>
      <c r="B2358" s="15"/>
      <c r="C2358" s="15"/>
      <c r="D2358" s="15"/>
      <c r="E2358" s="6"/>
      <c r="F2358" s="6"/>
      <c r="G2358" s="6"/>
      <c r="K2358" s="223"/>
      <c r="M2358" s="889"/>
      <c r="P2358" s="890"/>
      <c r="T2358" s="889"/>
      <c r="X2358" s="15"/>
      <c r="Y2358" s="1935"/>
      <c r="Z2358" s="1086"/>
      <c r="AA2358" s="230"/>
      <c r="AB2358" s="230"/>
      <c r="AC2358" s="1936"/>
      <c r="AD2358" s="230"/>
      <c r="AE2358" s="230"/>
      <c r="AF2358" s="230"/>
      <c r="AG2358" s="890"/>
      <c r="AJ2358" s="890"/>
      <c r="AN2358" s="223"/>
      <c r="AO2358" s="952"/>
      <c r="AP2358" s="1066"/>
      <c r="AQ2358" s="972"/>
      <c r="AR2358" s="1917"/>
      <c r="AS2358" s="222"/>
      <c r="AZ2358" s="889"/>
      <c r="BC2358" s="890"/>
      <c r="BD2358" s="952"/>
      <c r="BE2358" s="75"/>
      <c r="BF2358" s="572"/>
      <c r="BG2358" s="983"/>
      <c r="BH2358" s="222"/>
      <c r="BL2358" s="889"/>
      <c r="BO2358" s="223"/>
    </row>
    <row r="2359" spans="1:67" s="74" customFormat="1">
      <c r="A2359" s="15"/>
      <c r="B2359" s="15"/>
      <c r="C2359" s="15"/>
      <c r="D2359" s="15"/>
      <c r="E2359" s="6"/>
      <c r="F2359" s="6"/>
      <c r="G2359" s="6"/>
      <c r="K2359" s="223"/>
      <c r="M2359" s="889"/>
      <c r="P2359" s="890"/>
      <c r="T2359" s="889"/>
      <c r="X2359" s="15"/>
      <c r="Y2359" s="1935"/>
      <c r="Z2359" s="1086"/>
      <c r="AA2359" s="230"/>
      <c r="AB2359" s="230"/>
      <c r="AC2359" s="1936"/>
      <c r="AD2359" s="230"/>
      <c r="AE2359" s="230"/>
      <c r="AF2359" s="230"/>
      <c r="AG2359" s="890"/>
      <c r="AJ2359" s="890"/>
      <c r="AN2359" s="223"/>
      <c r="AO2359" s="952"/>
      <c r="AP2359" s="1066"/>
      <c r="AQ2359" s="972"/>
      <c r="AR2359" s="1917"/>
      <c r="AS2359" s="222"/>
      <c r="AZ2359" s="889"/>
      <c r="BC2359" s="890"/>
      <c r="BD2359" s="952"/>
      <c r="BE2359" s="75"/>
      <c r="BF2359" s="572"/>
      <c r="BG2359" s="983"/>
      <c r="BH2359" s="222"/>
      <c r="BL2359" s="889"/>
      <c r="BO2359" s="223"/>
    </row>
    <row r="2360" spans="1:67" s="74" customFormat="1">
      <c r="A2360" s="15"/>
      <c r="B2360" s="15"/>
      <c r="C2360" s="15"/>
      <c r="D2360" s="15"/>
      <c r="E2360" s="6"/>
      <c r="F2360" s="6"/>
      <c r="G2360" s="6"/>
      <c r="K2360" s="223"/>
      <c r="M2360" s="889"/>
      <c r="P2360" s="890"/>
      <c r="T2360" s="889"/>
      <c r="X2360" s="15"/>
      <c r="Y2360" s="1935"/>
      <c r="Z2360" s="1086"/>
      <c r="AA2360" s="230"/>
      <c r="AB2360" s="230"/>
      <c r="AC2360" s="1936"/>
      <c r="AD2360" s="230"/>
      <c r="AE2360" s="230"/>
      <c r="AF2360" s="230"/>
      <c r="AG2360" s="890"/>
      <c r="AJ2360" s="890"/>
      <c r="AN2360" s="223"/>
      <c r="AO2360" s="952"/>
      <c r="AP2360" s="1066"/>
      <c r="AQ2360" s="972"/>
      <c r="AR2360" s="1917"/>
      <c r="AS2360" s="222"/>
      <c r="AZ2360" s="889"/>
      <c r="BC2360" s="890"/>
      <c r="BD2360" s="952"/>
      <c r="BE2360" s="75"/>
      <c r="BF2360" s="572"/>
      <c r="BG2360" s="983"/>
      <c r="BH2360" s="222"/>
      <c r="BL2360" s="889"/>
      <c r="BO2360" s="223"/>
    </row>
    <row r="2361" spans="1:67" s="74" customFormat="1">
      <c r="A2361" s="15"/>
      <c r="B2361" s="15"/>
      <c r="C2361" s="15"/>
      <c r="D2361" s="15"/>
      <c r="E2361" s="6"/>
      <c r="F2361" s="6"/>
      <c r="G2361" s="6"/>
      <c r="K2361" s="223"/>
      <c r="M2361" s="889"/>
      <c r="P2361" s="890"/>
      <c r="T2361" s="889"/>
      <c r="X2361" s="15"/>
      <c r="Y2361" s="1935"/>
      <c r="Z2361" s="1086"/>
      <c r="AA2361" s="230"/>
      <c r="AB2361" s="230"/>
      <c r="AC2361" s="1936"/>
      <c r="AD2361" s="230"/>
      <c r="AE2361" s="230"/>
      <c r="AF2361" s="230"/>
      <c r="AG2361" s="890"/>
      <c r="AJ2361" s="890"/>
      <c r="AN2361" s="223"/>
      <c r="AO2361" s="952"/>
      <c r="AP2361" s="1066"/>
      <c r="AQ2361" s="972"/>
      <c r="AR2361" s="1917"/>
      <c r="AS2361" s="222"/>
      <c r="AZ2361" s="889"/>
      <c r="BC2361" s="890"/>
      <c r="BD2361" s="952"/>
      <c r="BE2361" s="75"/>
      <c r="BF2361" s="572"/>
      <c r="BG2361" s="983"/>
      <c r="BH2361" s="222"/>
      <c r="BL2361" s="889"/>
      <c r="BO2361" s="223"/>
    </row>
    <row r="2362" spans="1:67" s="74" customFormat="1">
      <c r="A2362" s="15"/>
      <c r="B2362" s="15"/>
      <c r="C2362" s="15"/>
      <c r="D2362" s="15"/>
      <c r="E2362" s="6"/>
      <c r="F2362" s="6"/>
      <c r="G2362" s="6"/>
      <c r="K2362" s="223"/>
      <c r="M2362" s="889"/>
      <c r="P2362" s="890"/>
      <c r="T2362" s="889"/>
      <c r="X2362" s="15"/>
      <c r="Y2362" s="1935"/>
      <c r="Z2362" s="1086"/>
      <c r="AA2362" s="230"/>
      <c r="AB2362" s="230"/>
      <c r="AC2362" s="1936"/>
      <c r="AD2362" s="230"/>
      <c r="AE2362" s="230"/>
      <c r="AF2362" s="230"/>
      <c r="AG2362" s="890"/>
      <c r="AJ2362" s="890"/>
      <c r="AN2362" s="223"/>
      <c r="AO2362" s="952"/>
      <c r="AP2362" s="1066"/>
      <c r="AQ2362" s="972"/>
      <c r="AR2362" s="1917"/>
      <c r="AS2362" s="222"/>
      <c r="AZ2362" s="889"/>
      <c r="BC2362" s="890"/>
      <c r="BD2362" s="952"/>
      <c r="BE2362" s="75"/>
      <c r="BF2362" s="572"/>
      <c r="BG2362" s="983"/>
      <c r="BH2362" s="222"/>
      <c r="BL2362" s="889"/>
      <c r="BO2362" s="223"/>
    </row>
    <row r="2363" spans="1:67" s="74" customFormat="1">
      <c r="A2363" s="15"/>
      <c r="B2363" s="15"/>
      <c r="C2363" s="15"/>
      <c r="D2363" s="15"/>
      <c r="E2363" s="6"/>
      <c r="F2363" s="6"/>
      <c r="G2363" s="6"/>
      <c r="K2363" s="223"/>
      <c r="M2363" s="889"/>
      <c r="P2363" s="890"/>
      <c r="T2363" s="889"/>
      <c r="X2363" s="15"/>
      <c r="Y2363" s="1935"/>
      <c r="Z2363" s="1086"/>
      <c r="AA2363" s="230"/>
      <c r="AB2363" s="230"/>
      <c r="AC2363" s="1936"/>
      <c r="AD2363" s="230"/>
      <c r="AE2363" s="230"/>
      <c r="AF2363" s="230"/>
      <c r="AG2363" s="890"/>
      <c r="AJ2363" s="890"/>
      <c r="AN2363" s="223"/>
      <c r="AO2363" s="952"/>
      <c r="AP2363" s="1066"/>
      <c r="AQ2363" s="972"/>
      <c r="AR2363" s="1917"/>
      <c r="AS2363" s="222"/>
      <c r="AZ2363" s="889"/>
      <c r="BC2363" s="890"/>
      <c r="BD2363" s="952"/>
      <c r="BE2363" s="75"/>
      <c r="BF2363" s="572"/>
      <c r="BG2363" s="983"/>
      <c r="BH2363" s="222"/>
      <c r="BL2363" s="889"/>
      <c r="BO2363" s="223"/>
    </row>
    <row r="2364" spans="1:67" s="74" customFormat="1">
      <c r="A2364" s="15"/>
      <c r="B2364" s="15"/>
      <c r="C2364" s="15"/>
      <c r="D2364" s="15"/>
      <c r="E2364" s="6"/>
      <c r="F2364" s="6"/>
      <c r="G2364" s="6"/>
      <c r="K2364" s="223"/>
      <c r="M2364" s="889"/>
      <c r="P2364" s="890"/>
      <c r="T2364" s="889"/>
      <c r="X2364" s="15"/>
      <c r="Y2364" s="1935"/>
      <c r="Z2364" s="1086"/>
      <c r="AA2364" s="230"/>
      <c r="AB2364" s="230"/>
      <c r="AC2364" s="1936"/>
      <c r="AD2364" s="230"/>
      <c r="AE2364" s="230"/>
      <c r="AF2364" s="230"/>
      <c r="AG2364" s="890"/>
      <c r="AJ2364" s="890"/>
      <c r="AN2364" s="223"/>
      <c r="AO2364" s="952"/>
      <c r="AP2364" s="1066"/>
      <c r="AQ2364" s="972"/>
      <c r="AR2364" s="1917"/>
      <c r="AS2364" s="222"/>
      <c r="AZ2364" s="889"/>
      <c r="BC2364" s="890"/>
      <c r="BD2364" s="952"/>
      <c r="BE2364" s="75"/>
      <c r="BF2364" s="572"/>
      <c r="BG2364" s="983"/>
      <c r="BH2364" s="222"/>
      <c r="BL2364" s="889"/>
      <c r="BO2364" s="223"/>
    </row>
    <row r="2365" spans="1:67" s="74" customFormat="1">
      <c r="A2365" s="15"/>
      <c r="B2365" s="15"/>
      <c r="C2365" s="15"/>
      <c r="D2365" s="15"/>
      <c r="E2365" s="6"/>
      <c r="F2365" s="6"/>
      <c r="G2365" s="6"/>
      <c r="K2365" s="223"/>
      <c r="M2365" s="889"/>
      <c r="P2365" s="890"/>
      <c r="T2365" s="889"/>
      <c r="X2365" s="15"/>
      <c r="Y2365" s="1935"/>
      <c r="Z2365" s="1086"/>
      <c r="AA2365" s="230"/>
      <c r="AB2365" s="230"/>
      <c r="AC2365" s="1936"/>
      <c r="AD2365" s="230"/>
      <c r="AE2365" s="230"/>
      <c r="AF2365" s="230"/>
      <c r="AG2365" s="890"/>
      <c r="AJ2365" s="890"/>
      <c r="AN2365" s="223"/>
      <c r="AO2365" s="952"/>
      <c r="AP2365" s="1066"/>
      <c r="AQ2365" s="972"/>
      <c r="AR2365" s="1917"/>
      <c r="AS2365" s="222"/>
      <c r="AZ2365" s="889"/>
      <c r="BC2365" s="890"/>
      <c r="BD2365" s="952"/>
      <c r="BE2365" s="75"/>
      <c r="BF2365" s="572"/>
      <c r="BG2365" s="983"/>
      <c r="BH2365" s="222"/>
      <c r="BL2365" s="889"/>
      <c r="BO2365" s="223"/>
    </row>
    <row r="2366" spans="1:67" s="74" customFormat="1">
      <c r="A2366" s="15"/>
      <c r="B2366" s="15"/>
      <c r="C2366" s="15"/>
      <c r="D2366" s="15"/>
      <c r="E2366" s="6"/>
      <c r="F2366" s="6"/>
      <c r="G2366" s="6"/>
      <c r="K2366" s="223"/>
      <c r="M2366" s="889"/>
      <c r="P2366" s="890"/>
      <c r="T2366" s="889"/>
      <c r="X2366" s="15"/>
      <c r="Y2366" s="1935"/>
      <c r="Z2366" s="1086"/>
      <c r="AA2366" s="230"/>
      <c r="AB2366" s="230"/>
      <c r="AC2366" s="1936"/>
      <c r="AD2366" s="230"/>
      <c r="AE2366" s="230"/>
      <c r="AF2366" s="230"/>
      <c r="AG2366" s="890"/>
      <c r="AJ2366" s="890"/>
      <c r="AN2366" s="223"/>
      <c r="AO2366" s="952"/>
      <c r="AP2366" s="1066"/>
      <c r="AQ2366" s="972"/>
      <c r="AR2366" s="1917"/>
      <c r="AS2366" s="222"/>
      <c r="AZ2366" s="889"/>
      <c r="BC2366" s="890"/>
      <c r="BD2366" s="952"/>
      <c r="BE2366" s="75"/>
      <c r="BF2366" s="572"/>
      <c r="BG2366" s="983"/>
      <c r="BH2366" s="222"/>
      <c r="BL2366" s="889"/>
      <c r="BO2366" s="223"/>
    </row>
    <row r="2367" spans="1:67" s="74" customFormat="1">
      <c r="A2367" s="15"/>
      <c r="B2367" s="15"/>
      <c r="C2367" s="15"/>
      <c r="D2367" s="15"/>
      <c r="E2367" s="6"/>
      <c r="F2367" s="6"/>
      <c r="G2367" s="6"/>
      <c r="K2367" s="223"/>
      <c r="M2367" s="889"/>
      <c r="P2367" s="890"/>
      <c r="T2367" s="889"/>
      <c r="X2367" s="15"/>
      <c r="Y2367" s="1935"/>
      <c r="Z2367" s="1086"/>
      <c r="AA2367" s="230"/>
      <c r="AB2367" s="230"/>
      <c r="AC2367" s="1936"/>
      <c r="AD2367" s="230"/>
      <c r="AE2367" s="230"/>
      <c r="AF2367" s="230"/>
      <c r="AG2367" s="890"/>
      <c r="AJ2367" s="890"/>
      <c r="AN2367" s="223"/>
      <c r="AO2367" s="952"/>
      <c r="AP2367" s="1066"/>
      <c r="AQ2367" s="972"/>
      <c r="AR2367" s="1917"/>
      <c r="AS2367" s="222"/>
      <c r="AZ2367" s="889"/>
      <c r="BC2367" s="890"/>
      <c r="BD2367" s="952"/>
      <c r="BE2367" s="75"/>
      <c r="BF2367" s="572"/>
      <c r="BG2367" s="983"/>
      <c r="BH2367" s="222"/>
      <c r="BL2367" s="889"/>
      <c r="BO2367" s="223"/>
    </row>
    <row r="2368" spans="1:67" s="74" customFormat="1">
      <c r="A2368" s="15"/>
      <c r="B2368" s="15"/>
      <c r="C2368" s="15"/>
      <c r="D2368" s="15"/>
      <c r="E2368" s="6"/>
      <c r="F2368" s="6"/>
      <c r="G2368" s="6"/>
      <c r="K2368" s="223"/>
      <c r="M2368" s="889"/>
      <c r="P2368" s="890"/>
      <c r="T2368" s="889"/>
      <c r="X2368" s="15"/>
      <c r="Y2368" s="1935"/>
      <c r="Z2368" s="1086"/>
      <c r="AA2368" s="230"/>
      <c r="AB2368" s="230"/>
      <c r="AC2368" s="1936"/>
      <c r="AD2368" s="230"/>
      <c r="AE2368" s="230"/>
      <c r="AF2368" s="230"/>
      <c r="AG2368" s="890"/>
      <c r="AJ2368" s="890"/>
      <c r="AN2368" s="223"/>
      <c r="AO2368" s="952"/>
      <c r="AP2368" s="1066"/>
      <c r="AQ2368" s="972"/>
      <c r="AR2368" s="1917"/>
      <c r="AS2368" s="222"/>
      <c r="AZ2368" s="889"/>
      <c r="BC2368" s="890"/>
      <c r="BD2368" s="952"/>
      <c r="BE2368" s="75"/>
      <c r="BF2368" s="572"/>
      <c r="BG2368" s="983"/>
      <c r="BH2368" s="222"/>
      <c r="BL2368" s="889"/>
      <c r="BO2368" s="223"/>
    </row>
    <row r="2369" spans="1:67" s="74" customFormat="1">
      <c r="A2369" s="15"/>
      <c r="B2369" s="15"/>
      <c r="C2369" s="15"/>
      <c r="D2369" s="15"/>
      <c r="E2369" s="6"/>
      <c r="F2369" s="6"/>
      <c r="G2369" s="6"/>
      <c r="K2369" s="223"/>
      <c r="M2369" s="889"/>
      <c r="P2369" s="890"/>
      <c r="T2369" s="889"/>
      <c r="X2369" s="15"/>
      <c r="Y2369" s="1935"/>
      <c r="Z2369" s="1086"/>
      <c r="AA2369" s="230"/>
      <c r="AB2369" s="230"/>
      <c r="AC2369" s="1936"/>
      <c r="AD2369" s="230"/>
      <c r="AE2369" s="230"/>
      <c r="AF2369" s="230"/>
      <c r="AG2369" s="890"/>
      <c r="AJ2369" s="890"/>
      <c r="AN2369" s="223"/>
      <c r="AO2369" s="952"/>
      <c r="AP2369" s="1066"/>
      <c r="AQ2369" s="972"/>
      <c r="AR2369" s="1917"/>
      <c r="AS2369" s="222"/>
      <c r="AZ2369" s="889"/>
      <c r="BC2369" s="890"/>
      <c r="BD2369" s="952"/>
      <c r="BE2369" s="75"/>
      <c r="BF2369" s="572"/>
      <c r="BG2369" s="983"/>
      <c r="BH2369" s="222"/>
      <c r="BL2369" s="889"/>
      <c r="BO2369" s="223"/>
    </row>
    <row r="2370" spans="1:67" s="74" customFormat="1">
      <c r="A2370" s="15"/>
      <c r="B2370" s="15"/>
      <c r="C2370" s="15"/>
      <c r="D2370" s="15"/>
      <c r="E2370" s="6"/>
      <c r="F2370" s="6"/>
      <c r="G2370" s="6"/>
      <c r="K2370" s="223"/>
      <c r="M2370" s="889"/>
      <c r="P2370" s="890"/>
      <c r="T2370" s="889"/>
      <c r="X2370" s="15"/>
      <c r="Y2370" s="1935"/>
      <c r="Z2370" s="1086"/>
      <c r="AA2370" s="230"/>
      <c r="AB2370" s="230"/>
      <c r="AC2370" s="1936"/>
      <c r="AD2370" s="230"/>
      <c r="AE2370" s="230"/>
      <c r="AF2370" s="230"/>
      <c r="AG2370" s="890"/>
      <c r="AJ2370" s="890"/>
      <c r="AN2370" s="223"/>
      <c r="AO2370" s="952"/>
      <c r="AP2370" s="1066"/>
      <c r="AQ2370" s="972"/>
      <c r="AR2370" s="1917"/>
      <c r="AS2370" s="222"/>
      <c r="AZ2370" s="889"/>
      <c r="BC2370" s="890"/>
      <c r="BD2370" s="952"/>
      <c r="BE2370" s="75"/>
      <c r="BF2370" s="572"/>
      <c r="BG2370" s="983"/>
      <c r="BH2370" s="222"/>
      <c r="BL2370" s="889"/>
      <c r="BO2370" s="223"/>
    </row>
    <row r="2371" spans="1:67" s="74" customFormat="1">
      <c r="A2371" s="15"/>
      <c r="B2371" s="15"/>
      <c r="C2371" s="15"/>
      <c r="D2371" s="15"/>
      <c r="E2371" s="6"/>
      <c r="F2371" s="6"/>
      <c r="G2371" s="6"/>
      <c r="K2371" s="223"/>
      <c r="M2371" s="889"/>
      <c r="P2371" s="890"/>
      <c r="T2371" s="889"/>
      <c r="X2371" s="15"/>
      <c r="Y2371" s="1935"/>
      <c r="Z2371" s="1086"/>
      <c r="AA2371" s="230"/>
      <c r="AB2371" s="230"/>
      <c r="AC2371" s="1936"/>
      <c r="AD2371" s="230"/>
      <c r="AE2371" s="230"/>
      <c r="AF2371" s="230"/>
      <c r="AG2371" s="890"/>
      <c r="AJ2371" s="890"/>
      <c r="AN2371" s="223"/>
      <c r="AO2371" s="952"/>
      <c r="AP2371" s="1066"/>
      <c r="AQ2371" s="972"/>
      <c r="AR2371" s="1917"/>
      <c r="AS2371" s="222"/>
      <c r="AZ2371" s="889"/>
      <c r="BC2371" s="890"/>
      <c r="BD2371" s="952"/>
      <c r="BE2371" s="75"/>
      <c r="BF2371" s="572"/>
      <c r="BG2371" s="983"/>
      <c r="BH2371" s="222"/>
      <c r="BL2371" s="889"/>
      <c r="BO2371" s="223"/>
    </row>
    <row r="2372" spans="1:67" s="74" customFormat="1">
      <c r="A2372" s="15"/>
      <c r="B2372" s="15"/>
      <c r="C2372" s="15"/>
      <c r="D2372" s="15"/>
      <c r="E2372" s="6"/>
      <c r="F2372" s="6"/>
      <c r="G2372" s="6"/>
      <c r="K2372" s="223"/>
      <c r="M2372" s="889"/>
      <c r="P2372" s="890"/>
      <c r="T2372" s="889"/>
      <c r="X2372" s="15"/>
      <c r="Y2372" s="1935"/>
      <c r="Z2372" s="1086"/>
      <c r="AA2372" s="230"/>
      <c r="AB2372" s="230"/>
      <c r="AC2372" s="1936"/>
      <c r="AD2372" s="230"/>
      <c r="AE2372" s="230"/>
      <c r="AF2372" s="230"/>
      <c r="AG2372" s="890"/>
      <c r="AJ2372" s="890"/>
      <c r="AN2372" s="223"/>
      <c r="AO2372" s="952"/>
      <c r="AP2372" s="1066"/>
      <c r="AQ2372" s="972"/>
      <c r="AR2372" s="1917"/>
      <c r="AS2372" s="222"/>
      <c r="AZ2372" s="889"/>
      <c r="BC2372" s="890"/>
      <c r="BD2372" s="952"/>
      <c r="BE2372" s="75"/>
      <c r="BF2372" s="572"/>
      <c r="BG2372" s="983"/>
      <c r="BH2372" s="222"/>
      <c r="BL2372" s="889"/>
      <c r="BO2372" s="223"/>
    </row>
    <row r="2373" spans="1:67" s="74" customFormat="1">
      <c r="A2373" s="15"/>
      <c r="B2373" s="15"/>
      <c r="C2373" s="15"/>
      <c r="D2373" s="15"/>
      <c r="E2373" s="6"/>
      <c r="F2373" s="6"/>
      <c r="G2373" s="6"/>
      <c r="K2373" s="223"/>
      <c r="M2373" s="889"/>
      <c r="P2373" s="890"/>
      <c r="T2373" s="889"/>
      <c r="X2373" s="15"/>
      <c r="Y2373" s="1935"/>
      <c r="Z2373" s="1086"/>
      <c r="AA2373" s="230"/>
      <c r="AB2373" s="230"/>
      <c r="AC2373" s="1936"/>
      <c r="AD2373" s="230"/>
      <c r="AE2373" s="230"/>
      <c r="AF2373" s="230"/>
      <c r="AG2373" s="890"/>
      <c r="AJ2373" s="890"/>
      <c r="AN2373" s="223"/>
      <c r="AO2373" s="952"/>
      <c r="AP2373" s="1066"/>
      <c r="AQ2373" s="972"/>
      <c r="AR2373" s="1917"/>
      <c r="AS2373" s="222"/>
      <c r="AZ2373" s="889"/>
      <c r="BC2373" s="890"/>
      <c r="BD2373" s="952"/>
      <c r="BE2373" s="75"/>
      <c r="BF2373" s="572"/>
      <c r="BG2373" s="983"/>
      <c r="BH2373" s="222"/>
      <c r="BL2373" s="889"/>
      <c r="BO2373" s="223"/>
    </row>
    <row r="2374" spans="1:67" s="74" customFormat="1">
      <c r="A2374" s="15"/>
      <c r="B2374" s="15"/>
      <c r="C2374" s="15"/>
      <c r="D2374" s="15"/>
      <c r="E2374" s="6"/>
      <c r="F2374" s="6"/>
      <c r="G2374" s="6"/>
      <c r="K2374" s="223"/>
      <c r="M2374" s="889"/>
      <c r="P2374" s="890"/>
      <c r="T2374" s="889"/>
      <c r="X2374" s="15"/>
      <c r="Y2374" s="1935"/>
      <c r="Z2374" s="1086"/>
      <c r="AA2374" s="230"/>
      <c r="AB2374" s="230"/>
      <c r="AC2374" s="1936"/>
      <c r="AD2374" s="230"/>
      <c r="AE2374" s="230"/>
      <c r="AF2374" s="230"/>
      <c r="AG2374" s="890"/>
      <c r="AJ2374" s="890"/>
      <c r="AN2374" s="223"/>
      <c r="AO2374" s="952"/>
      <c r="AP2374" s="1066"/>
      <c r="AQ2374" s="972"/>
      <c r="AR2374" s="1917"/>
      <c r="AS2374" s="222"/>
      <c r="AZ2374" s="889"/>
      <c r="BC2374" s="890"/>
      <c r="BD2374" s="952"/>
      <c r="BE2374" s="75"/>
      <c r="BF2374" s="572"/>
      <c r="BG2374" s="983"/>
      <c r="BH2374" s="222"/>
      <c r="BL2374" s="889"/>
      <c r="BO2374" s="223"/>
    </row>
    <row r="2375" spans="1:67" s="74" customFormat="1">
      <c r="A2375" s="15"/>
      <c r="B2375" s="15"/>
      <c r="C2375" s="15"/>
      <c r="D2375" s="15"/>
      <c r="E2375" s="6"/>
      <c r="F2375" s="6"/>
      <c r="G2375" s="6"/>
      <c r="K2375" s="223"/>
      <c r="M2375" s="889"/>
      <c r="P2375" s="890"/>
      <c r="T2375" s="889"/>
      <c r="X2375" s="15"/>
      <c r="Y2375" s="1935"/>
      <c r="Z2375" s="1086"/>
      <c r="AA2375" s="230"/>
      <c r="AB2375" s="230"/>
      <c r="AC2375" s="1936"/>
      <c r="AD2375" s="230"/>
      <c r="AE2375" s="230"/>
      <c r="AF2375" s="230"/>
      <c r="AG2375" s="890"/>
      <c r="AJ2375" s="890"/>
      <c r="AN2375" s="223"/>
      <c r="AO2375" s="952"/>
      <c r="AP2375" s="1066"/>
      <c r="AQ2375" s="972"/>
      <c r="AR2375" s="1917"/>
      <c r="AS2375" s="222"/>
      <c r="AZ2375" s="889"/>
      <c r="BC2375" s="890"/>
      <c r="BD2375" s="952"/>
      <c r="BE2375" s="75"/>
      <c r="BF2375" s="572"/>
      <c r="BG2375" s="983"/>
      <c r="BH2375" s="222"/>
      <c r="BL2375" s="889"/>
      <c r="BO2375" s="223"/>
    </row>
    <row r="2376" spans="1:67" s="74" customFormat="1">
      <c r="A2376" s="15"/>
      <c r="B2376" s="15"/>
      <c r="C2376" s="15"/>
      <c r="D2376" s="15"/>
      <c r="E2376" s="6"/>
      <c r="F2376" s="6"/>
      <c r="G2376" s="6"/>
      <c r="K2376" s="223"/>
      <c r="M2376" s="889"/>
      <c r="P2376" s="890"/>
      <c r="T2376" s="889"/>
      <c r="X2376" s="15"/>
      <c r="Y2376" s="1935"/>
      <c r="Z2376" s="1086"/>
      <c r="AA2376" s="230"/>
      <c r="AB2376" s="230"/>
      <c r="AC2376" s="1936"/>
      <c r="AD2376" s="230"/>
      <c r="AE2376" s="230"/>
      <c r="AF2376" s="230"/>
      <c r="AG2376" s="890"/>
      <c r="AJ2376" s="890"/>
      <c r="AN2376" s="223"/>
      <c r="AO2376" s="952"/>
      <c r="AP2376" s="1066"/>
      <c r="AQ2376" s="972"/>
      <c r="AR2376" s="1917"/>
      <c r="AS2376" s="222"/>
      <c r="AZ2376" s="889"/>
      <c r="BC2376" s="890"/>
      <c r="BD2376" s="952"/>
      <c r="BE2376" s="75"/>
      <c r="BF2376" s="572"/>
      <c r="BG2376" s="983"/>
      <c r="BH2376" s="222"/>
      <c r="BL2376" s="889"/>
      <c r="BO2376" s="223"/>
    </row>
    <row r="2377" spans="1:67" s="74" customFormat="1">
      <c r="A2377" s="15"/>
      <c r="B2377" s="15"/>
      <c r="C2377" s="15"/>
      <c r="D2377" s="15"/>
      <c r="E2377" s="6"/>
      <c r="F2377" s="6"/>
      <c r="G2377" s="6"/>
      <c r="K2377" s="223"/>
      <c r="M2377" s="889"/>
      <c r="P2377" s="890"/>
      <c r="T2377" s="889"/>
      <c r="X2377" s="15"/>
      <c r="Y2377" s="1935"/>
      <c r="Z2377" s="1086"/>
      <c r="AA2377" s="230"/>
      <c r="AB2377" s="230"/>
      <c r="AC2377" s="1936"/>
      <c r="AD2377" s="230"/>
      <c r="AE2377" s="230"/>
      <c r="AF2377" s="230"/>
      <c r="AG2377" s="890"/>
      <c r="AJ2377" s="890"/>
      <c r="AN2377" s="223"/>
      <c r="AO2377" s="952"/>
      <c r="AP2377" s="1066"/>
      <c r="AQ2377" s="972"/>
      <c r="AR2377" s="1917"/>
      <c r="AS2377" s="222"/>
      <c r="AZ2377" s="889"/>
      <c r="BC2377" s="890"/>
      <c r="BD2377" s="952"/>
      <c r="BE2377" s="75"/>
      <c r="BF2377" s="572"/>
      <c r="BG2377" s="983"/>
      <c r="BH2377" s="222"/>
      <c r="BL2377" s="889"/>
      <c r="BO2377" s="223"/>
    </row>
    <row r="2378" spans="1:67" s="74" customFormat="1">
      <c r="A2378" s="15"/>
      <c r="B2378" s="15"/>
      <c r="C2378" s="15"/>
      <c r="D2378" s="15"/>
      <c r="E2378" s="6"/>
      <c r="F2378" s="6"/>
      <c r="G2378" s="6"/>
      <c r="K2378" s="223"/>
      <c r="M2378" s="889"/>
      <c r="P2378" s="890"/>
      <c r="T2378" s="889"/>
      <c r="X2378" s="15"/>
      <c r="Y2378" s="1935"/>
      <c r="Z2378" s="1086"/>
      <c r="AA2378" s="230"/>
      <c r="AB2378" s="230"/>
      <c r="AC2378" s="1936"/>
      <c r="AD2378" s="230"/>
      <c r="AE2378" s="230"/>
      <c r="AF2378" s="230"/>
      <c r="AG2378" s="890"/>
      <c r="AJ2378" s="890"/>
      <c r="AN2378" s="223"/>
      <c r="AO2378" s="952"/>
      <c r="AP2378" s="1066"/>
      <c r="AQ2378" s="972"/>
      <c r="AR2378" s="1917"/>
      <c r="AS2378" s="222"/>
      <c r="AZ2378" s="889"/>
      <c r="BC2378" s="890"/>
      <c r="BD2378" s="952"/>
      <c r="BE2378" s="75"/>
      <c r="BF2378" s="572"/>
      <c r="BG2378" s="983"/>
      <c r="BH2378" s="222"/>
      <c r="BL2378" s="889"/>
      <c r="BO2378" s="223"/>
    </row>
    <row r="2379" spans="1:67" s="74" customFormat="1">
      <c r="A2379" s="15"/>
      <c r="B2379" s="15"/>
      <c r="C2379" s="15"/>
      <c r="D2379" s="15"/>
      <c r="E2379" s="6"/>
      <c r="F2379" s="6"/>
      <c r="G2379" s="6"/>
      <c r="K2379" s="223"/>
      <c r="M2379" s="889"/>
      <c r="P2379" s="890"/>
      <c r="T2379" s="889"/>
      <c r="X2379" s="15"/>
      <c r="Y2379" s="1935"/>
      <c r="Z2379" s="1086"/>
      <c r="AA2379" s="230"/>
      <c r="AB2379" s="230"/>
      <c r="AC2379" s="1936"/>
      <c r="AD2379" s="230"/>
      <c r="AE2379" s="230"/>
      <c r="AF2379" s="230"/>
      <c r="AG2379" s="890"/>
      <c r="AJ2379" s="890"/>
      <c r="AN2379" s="223"/>
      <c r="AO2379" s="952"/>
      <c r="AP2379" s="1066"/>
      <c r="AQ2379" s="972"/>
      <c r="AR2379" s="1917"/>
      <c r="AS2379" s="222"/>
      <c r="AZ2379" s="889"/>
      <c r="BC2379" s="890"/>
      <c r="BD2379" s="952"/>
      <c r="BE2379" s="75"/>
      <c r="BF2379" s="572"/>
      <c r="BG2379" s="983"/>
      <c r="BH2379" s="222"/>
      <c r="BL2379" s="889"/>
      <c r="BO2379" s="223"/>
    </row>
    <row r="2380" spans="1:67" s="74" customFormat="1">
      <c r="A2380" s="15"/>
      <c r="B2380" s="15"/>
      <c r="C2380" s="15"/>
      <c r="D2380" s="15"/>
      <c r="E2380" s="6"/>
      <c r="F2380" s="6"/>
      <c r="G2380" s="6"/>
      <c r="K2380" s="223"/>
      <c r="M2380" s="889"/>
      <c r="P2380" s="890"/>
      <c r="T2380" s="889"/>
      <c r="X2380" s="15"/>
      <c r="Y2380" s="1935"/>
      <c r="Z2380" s="1086"/>
      <c r="AA2380" s="230"/>
      <c r="AB2380" s="230"/>
      <c r="AC2380" s="1936"/>
      <c r="AD2380" s="230"/>
      <c r="AE2380" s="230"/>
      <c r="AF2380" s="230"/>
      <c r="AG2380" s="890"/>
      <c r="AJ2380" s="890"/>
      <c r="AN2380" s="223"/>
      <c r="AO2380" s="952"/>
      <c r="AP2380" s="1066"/>
      <c r="AQ2380" s="972"/>
      <c r="AR2380" s="1917"/>
      <c r="AS2380" s="222"/>
      <c r="AZ2380" s="889"/>
      <c r="BC2380" s="890"/>
      <c r="BD2380" s="952"/>
      <c r="BE2380" s="75"/>
      <c r="BF2380" s="572"/>
      <c r="BG2380" s="983"/>
      <c r="BH2380" s="222"/>
      <c r="BL2380" s="889"/>
      <c r="BO2380" s="223"/>
    </row>
    <row r="2381" spans="1:67" s="74" customFormat="1">
      <c r="A2381" s="15"/>
      <c r="B2381" s="15"/>
      <c r="C2381" s="15"/>
      <c r="D2381" s="15"/>
      <c r="E2381" s="6"/>
      <c r="F2381" s="6"/>
      <c r="G2381" s="6"/>
      <c r="K2381" s="223"/>
      <c r="M2381" s="889"/>
      <c r="P2381" s="890"/>
      <c r="T2381" s="889"/>
      <c r="X2381" s="15"/>
      <c r="Y2381" s="1935"/>
      <c r="Z2381" s="1086"/>
      <c r="AA2381" s="230"/>
      <c r="AB2381" s="230"/>
      <c r="AC2381" s="1936"/>
      <c r="AD2381" s="230"/>
      <c r="AE2381" s="230"/>
      <c r="AF2381" s="230"/>
      <c r="AG2381" s="890"/>
      <c r="AJ2381" s="890"/>
      <c r="AN2381" s="223"/>
      <c r="AO2381" s="952"/>
      <c r="AP2381" s="1066"/>
      <c r="AQ2381" s="972"/>
      <c r="AR2381" s="1917"/>
      <c r="AS2381" s="222"/>
      <c r="AZ2381" s="889"/>
      <c r="BC2381" s="890"/>
      <c r="BD2381" s="952"/>
      <c r="BE2381" s="75"/>
      <c r="BF2381" s="572"/>
      <c r="BG2381" s="983"/>
      <c r="BH2381" s="222"/>
      <c r="BL2381" s="889"/>
      <c r="BO2381" s="223"/>
    </row>
    <row r="2382" spans="1:67" s="74" customFormat="1">
      <c r="A2382" s="15"/>
      <c r="B2382" s="15"/>
      <c r="C2382" s="15"/>
      <c r="D2382" s="15"/>
      <c r="E2382" s="6"/>
      <c r="F2382" s="6"/>
      <c r="G2382" s="6"/>
      <c r="K2382" s="223"/>
      <c r="M2382" s="889"/>
      <c r="P2382" s="890"/>
      <c r="T2382" s="889"/>
      <c r="X2382" s="15"/>
      <c r="Y2382" s="1935"/>
      <c r="Z2382" s="1086"/>
      <c r="AA2382" s="230"/>
      <c r="AB2382" s="230"/>
      <c r="AC2382" s="1936"/>
      <c r="AD2382" s="230"/>
      <c r="AE2382" s="230"/>
      <c r="AF2382" s="230"/>
      <c r="AG2382" s="890"/>
      <c r="AJ2382" s="890"/>
      <c r="AN2382" s="223"/>
      <c r="AO2382" s="952"/>
      <c r="AP2382" s="1066"/>
      <c r="AQ2382" s="972"/>
      <c r="AR2382" s="1917"/>
      <c r="AS2382" s="222"/>
      <c r="AZ2382" s="889"/>
      <c r="BC2382" s="890"/>
      <c r="BD2382" s="952"/>
      <c r="BE2382" s="75"/>
      <c r="BF2382" s="572"/>
      <c r="BG2382" s="983"/>
      <c r="BH2382" s="222"/>
      <c r="BL2382" s="889"/>
      <c r="BO2382" s="223"/>
    </row>
    <row r="2383" spans="1:67" s="74" customFormat="1">
      <c r="A2383" s="15"/>
      <c r="B2383" s="15"/>
      <c r="C2383" s="15"/>
      <c r="D2383" s="15"/>
      <c r="E2383" s="6"/>
      <c r="F2383" s="6"/>
      <c r="G2383" s="6"/>
      <c r="K2383" s="223"/>
      <c r="M2383" s="889"/>
      <c r="P2383" s="890"/>
      <c r="T2383" s="889"/>
      <c r="X2383" s="15"/>
      <c r="Y2383" s="1935"/>
      <c r="Z2383" s="1086"/>
      <c r="AA2383" s="230"/>
      <c r="AB2383" s="230"/>
      <c r="AC2383" s="1936"/>
      <c r="AD2383" s="230"/>
      <c r="AE2383" s="230"/>
      <c r="AF2383" s="230"/>
      <c r="AG2383" s="890"/>
      <c r="AJ2383" s="890"/>
      <c r="AN2383" s="223"/>
      <c r="AO2383" s="952"/>
      <c r="AP2383" s="1066"/>
      <c r="AQ2383" s="972"/>
      <c r="AR2383" s="1917"/>
      <c r="AS2383" s="222"/>
      <c r="AZ2383" s="889"/>
      <c r="BC2383" s="890"/>
      <c r="BD2383" s="952"/>
      <c r="BE2383" s="75"/>
      <c r="BF2383" s="572"/>
      <c r="BG2383" s="983"/>
      <c r="BH2383" s="222"/>
      <c r="BL2383" s="889"/>
      <c r="BO2383" s="223"/>
    </row>
    <row r="2384" spans="1:67" s="74" customFormat="1">
      <c r="A2384" s="15"/>
      <c r="B2384" s="15"/>
      <c r="C2384" s="15"/>
      <c r="D2384" s="15"/>
      <c r="E2384" s="6"/>
      <c r="F2384" s="6"/>
      <c r="G2384" s="6"/>
      <c r="K2384" s="223"/>
      <c r="M2384" s="889"/>
      <c r="P2384" s="890"/>
      <c r="T2384" s="889"/>
      <c r="X2384" s="15"/>
      <c r="Y2384" s="1935"/>
      <c r="Z2384" s="1086"/>
      <c r="AA2384" s="230"/>
      <c r="AB2384" s="230"/>
      <c r="AC2384" s="1936"/>
      <c r="AD2384" s="230"/>
      <c r="AE2384" s="230"/>
      <c r="AF2384" s="230"/>
      <c r="AG2384" s="890"/>
      <c r="AJ2384" s="890"/>
      <c r="AN2384" s="223"/>
      <c r="AO2384" s="952"/>
      <c r="AP2384" s="1066"/>
      <c r="AQ2384" s="972"/>
      <c r="AR2384" s="1917"/>
      <c r="AS2384" s="222"/>
      <c r="AZ2384" s="889"/>
      <c r="BC2384" s="890"/>
      <c r="BD2384" s="952"/>
      <c r="BE2384" s="75"/>
      <c r="BF2384" s="572"/>
      <c r="BG2384" s="983"/>
      <c r="BH2384" s="222"/>
      <c r="BL2384" s="889"/>
      <c r="BO2384" s="223"/>
    </row>
    <row r="2385" spans="1:67" s="74" customFormat="1">
      <c r="A2385" s="15"/>
      <c r="B2385" s="15"/>
      <c r="C2385" s="15"/>
      <c r="D2385" s="15"/>
      <c r="E2385" s="6"/>
      <c r="F2385" s="6"/>
      <c r="G2385" s="6"/>
      <c r="K2385" s="223"/>
      <c r="M2385" s="889"/>
      <c r="P2385" s="890"/>
      <c r="T2385" s="889"/>
      <c r="X2385" s="15"/>
      <c r="Y2385" s="1935"/>
      <c r="Z2385" s="1086"/>
      <c r="AA2385" s="230"/>
      <c r="AB2385" s="230"/>
      <c r="AC2385" s="1936"/>
      <c r="AD2385" s="230"/>
      <c r="AE2385" s="230"/>
      <c r="AF2385" s="230"/>
      <c r="AG2385" s="890"/>
      <c r="AJ2385" s="890"/>
      <c r="AN2385" s="223"/>
      <c r="AO2385" s="952"/>
      <c r="AP2385" s="1066"/>
      <c r="AQ2385" s="972"/>
      <c r="AR2385" s="1917"/>
      <c r="AS2385" s="222"/>
      <c r="AZ2385" s="889"/>
      <c r="BC2385" s="890"/>
      <c r="BD2385" s="952"/>
      <c r="BE2385" s="75"/>
      <c r="BF2385" s="572"/>
      <c r="BG2385" s="983"/>
      <c r="BH2385" s="222"/>
      <c r="BL2385" s="889"/>
      <c r="BO2385" s="223"/>
    </row>
    <row r="2386" spans="1:67" s="74" customFormat="1">
      <c r="A2386" s="15"/>
      <c r="B2386" s="15"/>
      <c r="C2386" s="15"/>
      <c r="D2386" s="15"/>
      <c r="E2386" s="6"/>
      <c r="F2386" s="6"/>
      <c r="G2386" s="6"/>
      <c r="K2386" s="223"/>
      <c r="M2386" s="889"/>
      <c r="P2386" s="890"/>
      <c r="T2386" s="889"/>
      <c r="X2386" s="15"/>
      <c r="Y2386" s="1935"/>
      <c r="Z2386" s="1086"/>
      <c r="AA2386" s="230"/>
      <c r="AB2386" s="230"/>
      <c r="AC2386" s="1936"/>
      <c r="AD2386" s="230"/>
      <c r="AE2386" s="230"/>
      <c r="AF2386" s="230"/>
      <c r="AG2386" s="890"/>
      <c r="AJ2386" s="890"/>
      <c r="AN2386" s="223"/>
      <c r="AO2386" s="952"/>
      <c r="AP2386" s="1066"/>
      <c r="AQ2386" s="972"/>
      <c r="AR2386" s="1917"/>
      <c r="AS2386" s="222"/>
      <c r="AZ2386" s="889"/>
      <c r="BC2386" s="890"/>
      <c r="BD2386" s="952"/>
      <c r="BE2386" s="75"/>
      <c r="BF2386" s="572"/>
      <c r="BG2386" s="983"/>
      <c r="BH2386" s="222"/>
      <c r="BL2386" s="889"/>
      <c r="BO2386" s="223"/>
    </row>
    <row r="2387" spans="1:67" s="74" customFormat="1">
      <c r="A2387" s="15"/>
      <c r="B2387" s="15"/>
      <c r="C2387" s="15"/>
      <c r="D2387" s="15"/>
      <c r="E2387" s="6"/>
      <c r="F2387" s="6"/>
      <c r="G2387" s="6"/>
      <c r="K2387" s="223"/>
      <c r="M2387" s="889"/>
      <c r="P2387" s="890"/>
      <c r="T2387" s="889"/>
      <c r="X2387" s="15"/>
      <c r="Y2387" s="1935"/>
      <c r="Z2387" s="1086"/>
      <c r="AA2387" s="230"/>
      <c r="AB2387" s="230"/>
      <c r="AC2387" s="1936"/>
      <c r="AD2387" s="230"/>
      <c r="AE2387" s="230"/>
      <c r="AF2387" s="230"/>
      <c r="AG2387" s="890"/>
      <c r="AJ2387" s="890"/>
      <c r="AN2387" s="223"/>
      <c r="AO2387" s="952"/>
      <c r="AP2387" s="1066"/>
      <c r="AQ2387" s="972"/>
      <c r="AR2387" s="1917"/>
      <c r="AS2387" s="222"/>
      <c r="AZ2387" s="889"/>
      <c r="BC2387" s="890"/>
      <c r="BD2387" s="952"/>
      <c r="BE2387" s="75"/>
      <c r="BF2387" s="572"/>
      <c r="BG2387" s="983"/>
      <c r="BH2387" s="222"/>
      <c r="BL2387" s="889"/>
      <c r="BO2387" s="223"/>
    </row>
    <row r="2388" spans="1:67" s="74" customFormat="1">
      <c r="A2388" s="15"/>
      <c r="B2388" s="15"/>
      <c r="C2388" s="15"/>
      <c r="D2388" s="15"/>
      <c r="E2388" s="6"/>
      <c r="F2388" s="6"/>
      <c r="G2388" s="6"/>
      <c r="K2388" s="223"/>
      <c r="M2388" s="889"/>
      <c r="P2388" s="890"/>
      <c r="T2388" s="889"/>
      <c r="X2388" s="15"/>
      <c r="Y2388" s="1935"/>
      <c r="Z2388" s="1086"/>
      <c r="AA2388" s="230"/>
      <c r="AB2388" s="230"/>
      <c r="AC2388" s="1936"/>
      <c r="AD2388" s="230"/>
      <c r="AE2388" s="230"/>
      <c r="AF2388" s="230"/>
      <c r="AG2388" s="890"/>
      <c r="AJ2388" s="890"/>
      <c r="AN2388" s="223"/>
      <c r="AO2388" s="952"/>
      <c r="AP2388" s="1066"/>
      <c r="AQ2388" s="972"/>
      <c r="AR2388" s="1917"/>
      <c r="AS2388" s="222"/>
      <c r="AZ2388" s="889"/>
      <c r="BC2388" s="890"/>
      <c r="BD2388" s="952"/>
      <c r="BE2388" s="75"/>
      <c r="BF2388" s="572"/>
      <c r="BG2388" s="983"/>
      <c r="BH2388" s="222"/>
      <c r="BL2388" s="889"/>
      <c r="BO2388" s="223"/>
    </row>
    <row r="2389" spans="1:67" s="74" customFormat="1">
      <c r="A2389" s="15"/>
      <c r="B2389" s="15"/>
      <c r="C2389" s="15"/>
      <c r="D2389" s="15"/>
      <c r="E2389" s="6"/>
      <c r="F2389" s="6"/>
      <c r="G2389" s="6"/>
      <c r="K2389" s="223"/>
      <c r="M2389" s="889"/>
      <c r="P2389" s="890"/>
      <c r="T2389" s="889"/>
      <c r="X2389" s="15"/>
      <c r="Y2389" s="1935"/>
      <c r="Z2389" s="1086"/>
      <c r="AA2389" s="230"/>
      <c r="AB2389" s="230"/>
      <c r="AC2389" s="1936"/>
      <c r="AD2389" s="230"/>
      <c r="AE2389" s="230"/>
      <c r="AF2389" s="230"/>
      <c r="AG2389" s="890"/>
      <c r="AJ2389" s="890"/>
      <c r="AN2389" s="223"/>
      <c r="AO2389" s="952"/>
      <c r="AP2389" s="1066"/>
      <c r="AQ2389" s="972"/>
      <c r="AR2389" s="1917"/>
      <c r="AS2389" s="222"/>
      <c r="AZ2389" s="889"/>
      <c r="BC2389" s="890"/>
      <c r="BD2389" s="952"/>
      <c r="BE2389" s="75"/>
      <c r="BF2389" s="572"/>
      <c r="BG2389" s="983"/>
      <c r="BH2389" s="222"/>
      <c r="BL2389" s="889"/>
      <c r="BO2389" s="223"/>
    </row>
    <row r="2390" spans="1:67" s="74" customFormat="1">
      <c r="A2390" s="15"/>
      <c r="B2390" s="15"/>
      <c r="C2390" s="15"/>
      <c r="D2390" s="15"/>
      <c r="E2390" s="6"/>
      <c r="F2390" s="6"/>
      <c r="G2390" s="6"/>
      <c r="K2390" s="223"/>
      <c r="M2390" s="889"/>
      <c r="P2390" s="890"/>
      <c r="T2390" s="889"/>
      <c r="X2390" s="15"/>
      <c r="Y2390" s="1935"/>
      <c r="Z2390" s="1086"/>
      <c r="AA2390" s="230"/>
      <c r="AB2390" s="230"/>
      <c r="AC2390" s="1936"/>
      <c r="AD2390" s="230"/>
      <c r="AE2390" s="230"/>
      <c r="AF2390" s="230"/>
      <c r="AG2390" s="890"/>
      <c r="AJ2390" s="890"/>
      <c r="AN2390" s="223"/>
      <c r="AO2390" s="952"/>
      <c r="AP2390" s="1066"/>
      <c r="AQ2390" s="972"/>
      <c r="AR2390" s="1917"/>
      <c r="AS2390" s="222"/>
      <c r="AZ2390" s="889"/>
      <c r="BC2390" s="890"/>
      <c r="BD2390" s="952"/>
      <c r="BE2390" s="75"/>
      <c r="BF2390" s="572"/>
      <c r="BG2390" s="983"/>
      <c r="BH2390" s="222"/>
      <c r="BL2390" s="889"/>
      <c r="BO2390" s="223"/>
    </row>
    <row r="2391" spans="1:67" s="74" customFormat="1">
      <c r="A2391" s="15"/>
      <c r="B2391" s="15"/>
      <c r="C2391" s="15"/>
      <c r="D2391" s="15"/>
      <c r="E2391" s="6"/>
      <c r="F2391" s="6"/>
      <c r="G2391" s="6"/>
      <c r="K2391" s="223"/>
      <c r="M2391" s="889"/>
      <c r="P2391" s="890"/>
      <c r="T2391" s="889"/>
      <c r="X2391" s="15"/>
      <c r="Y2391" s="1935"/>
      <c r="Z2391" s="1086"/>
      <c r="AA2391" s="230"/>
      <c r="AB2391" s="230"/>
      <c r="AC2391" s="1936"/>
      <c r="AD2391" s="230"/>
      <c r="AE2391" s="230"/>
      <c r="AF2391" s="230"/>
      <c r="AG2391" s="890"/>
      <c r="AJ2391" s="890"/>
      <c r="AN2391" s="223"/>
      <c r="AO2391" s="952"/>
      <c r="AP2391" s="1066"/>
      <c r="AQ2391" s="972"/>
      <c r="AR2391" s="1917"/>
      <c r="AS2391" s="222"/>
      <c r="AZ2391" s="889"/>
      <c r="BC2391" s="890"/>
      <c r="BD2391" s="952"/>
      <c r="BE2391" s="75"/>
      <c r="BF2391" s="572"/>
      <c r="BG2391" s="983"/>
      <c r="BH2391" s="222"/>
      <c r="BL2391" s="889"/>
      <c r="BO2391" s="223"/>
    </row>
    <row r="2392" spans="1:67" s="74" customFormat="1">
      <c r="A2392" s="15"/>
      <c r="B2392" s="15"/>
      <c r="C2392" s="15"/>
      <c r="D2392" s="15"/>
      <c r="E2392" s="6"/>
      <c r="F2392" s="6"/>
      <c r="G2392" s="6"/>
      <c r="K2392" s="223"/>
      <c r="M2392" s="889"/>
      <c r="P2392" s="890"/>
      <c r="T2392" s="889"/>
      <c r="X2392" s="15"/>
      <c r="Y2392" s="1935"/>
      <c r="Z2392" s="1086"/>
      <c r="AA2392" s="230"/>
      <c r="AB2392" s="230"/>
      <c r="AC2392" s="1936"/>
      <c r="AD2392" s="230"/>
      <c r="AE2392" s="230"/>
      <c r="AF2392" s="230"/>
      <c r="AG2392" s="890"/>
      <c r="AJ2392" s="890"/>
      <c r="AN2392" s="223"/>
      <c r="AO2392" s="952"/>
      <c r="AP2392" s="1066"/>
      <c r="AQ2392" s="972"/>
      <c r="AR2392" s="1917"/>
      <c r="AS2392" s="222"/>
      <c r="AZ2392" s="889"/>
      <c r="BC2392" s="890"/>
      <c r="BD2392" s="952"/>
      <c r="BE2392" s="75"/>
      <c r="BF2392" s="572"/>
      <c r="BG2392" s="983"/>
      <c r="BH2392" s="222"/>
      <c r="BL2392" s="889"/>
      <c r="BO2392" s="223"/>
    </row>
    <row r="2393" spans="1:67" s="74" customFormat="1">
      <c r="A2393" s="15"/>
      <c r="B2393" s="15"/>
      <c r="C2393" s="15"/>
      <c r="D2393" s="15"/>
      <c r="E2393" s="6"/>
      <c r="F2393" s="6"/>
      <c r="G2393" s="6"/>
      <c r="K2393" s="223"/>
      <c r="M2393" s="889"/>
      <c r="P2393" s="890"/>
      <c r="T2393" s="889"/>
      <c r="X2393" s="15"/>
      <c r="Y2393" s="1935"/>
      <c r="Z2393" s="1086"/>
      <c r="AA2393" s="230"/>
      <c r="AB2393" s="230"/>
      <c r="AC2393" s="1936"/>
      <c r="AD2393" s="230"/>
      <c r="AE2393" s="230"/>
      <c r="AF2393" s="230"/>
      <c r="AG2393" s="890"/>
      <c r="AJ2393" s="890"/>
      <c r="AN2393" s="223"/>
      <c r="AO2393" s="952"/>
      <c r="AP2393" s="1066"/>
      <c r="AQ2393" s="972"/>
      <c r="AR2393" s="1917"/>
      <c r="AS2393" s="222"/>
      <c r="AZ2393" s="889"/>
      <c r="BC2393" s="890"/>
      <c r="BD2393" s="952"/>
      <c r="BE2393" s="75"/>
      <c r="BF2393" s="572"/>
      <c r="BG2393" s="983"/>
      <c r="BH2393" s="222"/>
      <c r="BL2393" s="889"/>
      <c r="BO2393" s="223"/>
    </row>
    <row r="2394" spans="1:67" s="74" customFormat="1">
      <c r="A2394" s="15"/>
      <c r="B2394" s="15"/>
      <c r="C2394" s="15"/>
      <c r="D2394" s="15"/>
      <c r="E2394" s="6"/>
      <c r="F2394" s="6"/>
      <c r="G2394" s="6"/>
      <c r="K2394" s="223"/>
      <c r="M2394" s="889"/>
      <c r="P2394" s="890"/>
      <c r="T2394" s="889"/>
      <c r="X2394" s="15"/>
      <c r="Y2394" s="1935"/>
      <c r="Z2394" s="1086"/>
      <c r="AA2394" s="230"/>
      <c r="AB2394" s="230"/>
      <c r="AC2394" s="1936"/>
      <c r="AD2394" s="230"/>
      <c r="AE2394" s="230"/>
      <c r="AF2394" s="230"/>
      <c r="AG2394" s="890"/>
      <c r="AJ2394" s="890"/>
      <c r="AN2394" s="223"/>
      <c r="AO2394" s="952"/>
      <c r="AP2394" s="1066"/>
      <c r="AQ2394" s="972"/>
      <c r="AR2394" s="1917"/>
      <c r="AS2394" s="222"/>
      <c r="AZ2394" s="889"/>
      <c r="BC2394" s="890"/>
      <c r="BD2394" s="952"/>
      <c r="BE2394" s="75"/>
      <c r="BF2394" s="572"/>
      <c r="BG2394" s="983"/>
      <c r="BH2394" s="222"/>
      <c r="BL2394" s="889"/>
      <c r="BO2394" s="223"/>
    </row>
    <row r="2395" spans="1:67" s="74" customFormat="1">
      <c r="A2395" s="15"/>
      <c r="B2395" s="15"/>
      <c r="C2395" s="15"/>
      <c r="D2395" s="15"/>
      <c r="E2395" s="6"/>
      <c r="F2395" s="6"/>
      <c r="G2395" s="6"/>
      <c r="K2395" s="223"/>
      <c r="M2395" s="889"/>
      <c r="P2395" s="890"/>
      <c r="T2395" s="889"/>
      <c r="X2395" s="15"/>
      <c r="Y2395" s="1935"/>
      <c r="Z2395" s="1086"/>
      <c r="AA2395" s="230"/>
      <c r="AB2395" s="230"/>
      <c r="AC2395" s="1936"/>
      <c r="AD2395" s="230"/>
      <c r="AE2395" s="230"/>
      <c r="AF2395" s="230"/>
      <c r="AG2395" s="890"/>
      <c r="AJ2395" s="890"/>
      <c r="AN2395" s="223"/>
      <c r="AO2395" s="952"/>
      <c r="AP2395" s="1066"/>
      <c r="AQ2395" s="972"/>
      <c r="AR2395" s="1917"/>
      <c r="AS2395" s="222"/>
      <c r="AZ2395" s="889"/>
      <c r="BC2395" s="890"/>
      <c r="BD2395" s="952"/>
      <c r="BE2395" s="75"/>
      <c r="BF2395" s="572"/>
      <c r="BG2395" s="983"/>
      <c r="BH2395" s="222"/>
      <c r="BL2395" s="889"/>
      <c r="BO2395" s="223"/>
    </row>
    <row r="2396" spans="1:67" s="74" customFormat="1">
      <c r="A2396" s="15"/>
      <c r="B2396" s="15"/>
      <c r="C2396" s="15"/>
      <c r="D2396" s="15"/>
      <c r="E2396" s="6"/>
      <c r="F2396" s="6"/>
      <c r="G2396" s="6"/>
      <c r="K2396" s="223"/>
      <c r="M2396" s="889"/>
      <c r="P2396" s="890"/>
      <c r="T2396" s="889"/>
      <c r="X2396" s="15"/>
      <c r="Y2396" s="1935"/>
      <c r="Z2396" s="1086"/>
      <c r="AA2396" s="230"/>
      <c r="AB2396" s="230"/>
      <c r="AC2396" s="1936"/>
      <c r="AD2396" s="230"/>
      <c r="AE2396" s="230"/>
      <c r="AF2396" s="230"/>
      <c r="AG2396" s="890"/>
      <c r="AJ2396" s="890"/>
      <c r="AN2396" s="223"/>
      <c r="AO2396" s="952"/>
      <c r="AP2396" s="1066"/>
      <c r="AQ2396" s="972"/>
      <c r="AR2396" s="1917"/>
      <c r="AS2396" s="222"/>
      <c r="AZ2396" s="889"/>
      <c r="BC2396" s="890"/>
      <c r="BD2396" s="952"/>
      <c r="BE2396" s="75"/>
      <c r="BF2396" s="572"/>
      <c r="BG2396" s="983"/>
      <c r="BH2396" s="222"/>
      <c r="BL2396" s="889"/>
      <c r="BO2396" s="223"/>
    </row>
    <row r="2397" spans="1:67" s="74" customFormat="1">
      <c r="A2397" s="15"/>
      <c r="B2397" s="15"/>
      <c r="C2397" s="15"/>
      <c r="D2397" s="15"/>
      <c r="E2397" s="6"/>
      <c r="F2397" s="6"/>
      <c r="G2397" s="6"/>
      <c r="K2397" s="223"/>
      <c r="M2397" s="889"/>
      <c r="P2397" s="890"/>
      <c r="T2397" s="889"/>
      <c r="X2397" s="15"/>
      <c r="Y2397" s="1935"/>
      <c r="Z2397" s="1086"/>
      <c r="AA2397" s="230"/>
      <c r="AB2397" s="230"/>
      <c r="AC2397" s="1936"/>
      <c r="AD2397" s="230"/>
      <c r="AE2397" s="230"/>
      <c r="AF2397" s="230"/>
      <c r="AG2397" s="890"/>
      <c r="AJ2397" s="890"/>
      <c r="AN2397" s="223"/>
      <c r="AO2397" s="952"/>
      <c r="AP2397" s="1066"/>
      <c r="AQ2397" s="972"/>
      <c r="AR2397" s="1917"/>
      <c r="AS2397" s="222"/>
      <c r="AZ2397" s="889"/>
      <c r="BC2397" s="890"/>
      <c r="BD2397" s="952"/>
      <c r="BE2397" s="75"/>
      <c r="BF2397" s="572"/>
      <c r="BG2397" s="983"/>
      <c r="BH2397" s="222"/>
      <c r="BL2397" s="889"/>
      <c r="BO2397" s="223"/>
    </row>
    <row r="2398" spans="1:67" s="74" customFormat="1">
      <c r="A2398" s="15"/>
      <c r="B2398" s="15"/>
      <c r="C2398" s="15"/>
      <c r="D2398" s="15"/>
      <c r="E2398" s="6"/>
      <c r="F2398" s="6"/>
      <c r="G2398" s="6"/>
      <c r="K2398" s="223"/>
      <c r="M2398" s="889"/>
      <c r="P2398" s="890"/>
      <c r="T2398" s="889"/>
      <c r="X2398" s="15"/>
      <c r="Y2398" s="1935"/>
      <c r="Z2398" s="1086"/>
      <c r="AA2398" s="230"/>
      <c r="AB2398" s="230"/>
      <c r="AC2398" s="1936"/>
      <c r="AD2398" s="230"/>
      <c r="AE2398" s="230"/>
      <c r="AF2398" s="230"/>
      <c r="AG2398" s="890"/>
      <c r="AJ2398" s="890"/>
      <c r="AN2398" s="223"/>
      <c r="AO2398" s="952"/>
      <c r="AP2398" s="1066"/>
      <c r="AQ2398" s="972"/>
      <c r="AR2398" s="1917"/>
      <c r="AS2398" s="222"/>
      <c r="AZ2398" s="889"/>
      <c r="BC2398" s="890"/>
      <c r="BD2398" s="952"/>
      <c r="BE2398" s="75"/>
      <c r="BF2398" s="572"/>
      <c r="BG2398" s="983"/>
      <c r="BH2398" s="222"/>
      <c r="BL2398" s="889"/>
      <c r="BO2398" s="223"/>
    </row>
    <row r="2399" spans="1:67" s="74" customFormat="1">
      <c r="A2399" s="15"/>
      <c r="B2399" s="15"/>
      <c r="C2399" s="15"/>
      <c r="D2399" s="15"/>
      <c r="E2399" s="6"/>
      <c r="F2399" s="6"/>
      <c r="G2399" s="6"/>
      <c r="K2399" s="223"/>
      <c r="M2399" s="889"/>
      <c r="P2399" s="890"/>
      <c r="T2399" s="889"/>
      <c r="X2399" s="15"/>
      <c r="Y2399" s="1935"/>
      <c r="Z2399" s="1086"/>
      <c r="AA2399" s="230"/>
      <c r="AB2399" s="230"/>
      <c r="AC2399" s="1936"/>
      <c r="AD2399" s="230"/>
      <c r="AE2399" s="230"/>
      <c r="AF2399" s="230"/>
      <c r="AG2399" s="890"/>
      <c r="AJ2399" s="890"/>
      <c r="AN2399" s="223"/>
      <c r="AO2399" s="952"/>
      <c r="AP2399" s="1066"/>
      <c r="AQ2399" s="972"/>
      <c r="AR2399" s="1917"/>
      <c r="AS2399" s="222"/>
      <c r="AZ2399" s="889"/>
      <c r="BC2399" s="890"/>
      <c r="BD2399" s="952"/>
      <c r="BE2399" s="75"/>
      <c r="BF2399" s="572"/>
      <c r="BG2399" s="983"/>
      <c r="BH2399" s="222"/>
      <c r="BL2399" s="889"/>
      <c r="BO2399" s="223"/>
    </row>
    <row r="2400" spans="1:67" s="74" customFormat="1">
      <c r="A2400" s="15"/>
      <c r="B2400" s="15"/>
      <c r="C2400" s="15"/>
      <c r="D2400" s="15"/>
      <c r="E2400" s="6"/>
      <c r="F2400" s="6"/>
      <c r="G2400" s="6"/>
      <c r="K2400" s="223"/>
      <c r="M2400" s="889"/>
      <c r="P2400" s="890"/>
      <c r="T2400" s="889"/>
      <c r="X2400" s="15"/>
      <c r="Y2400" s="1935"/>
      <c r="Z2400" s="1086"/>
      <c r="AA2400" s="230"/>
      <c r="AB2400" s="230"/>
      <c r="AC2400" s="1936"/>
      <c r="AD2400" s="230"/>
      <c r="AE2400" s="230"/>
      <c r="AF2400" s="230"/>
      <c r="AG2400" s="890"/>
      <c r="AJ2400" s="890"/>
      <c r="AN2400" s="223"/>
      <c r="AO2400" s="952"/>
      <c r="AP2400" s="1066"/>
      <c r="AQ2400" s="972"/>
      <c r="AR2400" s="1917"/>
      <c r="AS2400" s="222"/>
      <c r="AZ2400" s="889"/>
      <c r="BC2400" s="890"/>
      <c r="BD2400" s="952"/>
      <c r="BE2400" s="75"/>
      <c r="BF2400" s="572"/>
      <c r="BG2400" s="983"/>
      <c r="BH2400" s="222"/>
      <c r="BL2400" s="889"/>
      <c r="BO2400" s="223"/>
    </row>
    <row r="2401" spans="1:67" s="74" customFormat="1">
      <c r="A2401" s="15"/>
      <c r="B2401" s="15"/>
      <c r="C2401" s="15"/>
      <c r="D2401" s="15"/>
      <c r="E2401" s="6"/>
      <c r="F2401" s="6"/>
      <c r="G2401" s="6"/>
      <c r="K2401" s="223"/>
      <c r="M2401" s="889"/>
      <c r="P2401" s="890"/>
      <c r="T2401" s="889"/>
      <c r="X2401" s="15"/>
      <c r="Y2401" s="1935"/>
      <c r="Z2401" s="1086"/>
      <c r="AA2401" s="230"/>
      <c r="AB2401" s="230"/>
      <c r="AC2401" s="1936"/>
      <c r="AD2401" s="230"/>
      <c r="AE2401" s="230"/>
      <c r="AF2401" s="230"/>
      <c r="AG2401" s="890"/>
      <c r="AJ2401" s="890"/>
      <c r="AN2401" s="223"/>
      <c r="AO2401" s="952"/>
      <c r="AP2401" s="1066"/>
      <c r="AQ2401" s="972"/>
      <c r="AR2401" s="1917"/>
      <c r="AS2401" s="222"/>
      <c r="AZ2401" s="889"/>
      <c r="BC2401" s="890"/>
      <c r="BD2401" s="952"/>
      <c r="BE2401" s="75"/>
      <c r="BF2401" s="572"/>
      <c r="BG2401" s="983"/>
      <c r="BH2401" s="222"/>
      <c r="BL2401" s="889"/>
      <c r="BO2401" s="223"/>
    </row>
    <row r="2402" spans="1:67" s="74" customFormat="1">
      <c r="A2402" s="15"/>
      <c r="B2402" s="15"/>
      <c r="C2402" s="15"/>
      <c r="D2402" s="15"/>
      <c r="E2402" s="6"/>
      <c r="F2402" s="6"/>
      <c r="G2402" s="6"/>
      <c r="K2402" s="223"/>
      <c r="M2402" s="889"/>
      <c r="P2402" s="890"/>
      <c r="T2402" s="889"/>
      <c r="X2402" s="15"/>
      <c r="Y2402" s="1935"/>
      <c r="Z2402" s="1086"/>
      <c r="AA2402" s="230"/>
      <c r="AB2402" s="230"/>
      <c r="AC2402" s="1936"/>
      <c r="AD2402" s="230"/>
      <c r="AE2402" s="230"/>
      <c r="AF2402" s="230"/>
      <c r="AG2402" s="890"/>
      <c r="AJ2402" s="890"/>
      <c r="AN2402" s="223"/>
      <c r="AO2402" s="952"/>
      <c r="AP2402" s="1066"/>
      <c r="AQ2402" s="972"/>
      <c r="AR2402" s="1917"/>
      <c r="AS2402" s="222"/>
      <c r="AZ2402" s="889"/>
      <c r="BC2402" s="890"/>
      <c r="BD2402" s="952"/>
      <c r="BE2402" s="75"/>
      <c r="BF2402" s="572"/>
      <c r="BG2402" s="983"/>
      <c r="BH2402" s="222"/>
      <c r="BL2402" s="889"/>
      <c r="BO2402" s="223"/>
    </row>
    <row r="2403" spans="1:67" s="74" customFormat="1">
      <c r="A2403" s="15"/>
      <c r="B2403" s="15"/>
      <c r="C2403" s="15"/>
      <c r="D2403" s="15"/>
      <c r="E2403" s="6"/>
      <c r="F2403" s="6"/>
      <c r="G2403" s="6"/>
      <c r="K2403" s="223"/>
      <c r="M2403" s="889"/>
      <c r="P2403" s="890"/>
      <c r="T2403" s="889"/>
      <c r="X2403" s="15"/>
      <c r="Y2403" s="1935"/>
      <c r="Z2403" s="1086"/>
      <c r="AA2403" s="230"/>
      <c r="AB2403" s="230"/>
      <c r="AC2403" s="1936"/>
      <c r="AD2403" s="230"/>
      <c r="AE2403" s="230"/>
      <c r="AF2403" s="230"/>
      <c r="AG2403" s="890"/>
      <c r="AJ2403" s="890"/>
      <c r="AN2403" s="223"/>
      <c r="AO2403" s="952"/>
      <c r="AP2403" s="1066"/>
      <c r="AQ2403" s="972"/>
      <c r="AR2403" s="1917"/>
      <c r="AS2403" s="222"/>
      <c r="AZ2403" s="889"/>
      <c r="BC2403" s="890"/>
      <c r="BD2403" s="952"/>
      <c r="BE2403" s="75"/>
      <c r="BF2403" s="572"/>
      <c r="BG2403" s="983"/>
      <c r="BH2403" s="222"/>
      <c r="BL2403" s="889"/>
      <c r="BO2403" s="223"/>
    </row>
    <row r="2404" spans="1:67" s="74" customFormat="1">
      <c r="A2404" s="15"/>
      <c r="B2404" s="15"/>
      <c r="C2404" s="15"/>
      <c r="D2404" s="15"/>
      <c r="E2404" s="6"/>
      <c r="F2404" s="6"/>
      <c r="G2404" s="6"/>
      <c r="K2404" s="223"/>
      <c r="M2404" s="889"/>
      <c r="P2404" s="890"/>
      <c r="T2404" s="889"/>
      <c r="X2404" s="15"/>
      <c r="Y2404" s="1935"/>
      <c r="Z2404" s="1086"/>
      <c r="AA2404" s="230"/>
      <c r="AB2404" s="230"/>
      <c r="AC2404" s="1936"/>
      <c r="AD2404" s="230"/>
      <c r="AE2404" s="230"/>
      <c r="AF2404" s="230"/>
      <c r="AG2404" s="890"/>
      <c r="AJ2404" s="890"/>
      <c r="AN2404" s="223"/>
      <c r="AO2404" s="952"/>
      <c r="AP2404" s="1066"/>
      <c r="AQ2404" s="972"/>
      <c r="AR2404" s="1917"/>
      <c r="AS2404" s="222"/>
      <c r="AZ2404" s="889"/>
      <c r="BC2404" s="890"/>
      <c r="BD2404" s="952"/>
      <c r="BE2404" s="75"/>
      <c r="BF2404" s="572"/>
      <c r="BG2404" s="983"/>
      <c r="BH2404" s="222"/>
      <c r="BL2404" s="889"/>
      <c r="BO2404" s="223"/>
    </row>
    <row r="2405" spans="1:67" s="74" customFormat="1">
      <c r="A2405" s="15"/>
      <c r="B2405" s="15"/>
      <c r="C2405" s="15"/>
      <c r="D2405" s="15"/>
      <c r="E2405" s="6"/>
      <c r="F2405" s="6"/>
      <c r="G2405" s="6"/>
      <c r="K2405" s="223"/>
      <c r="M2405" s="889"/>
      <c r="P2405" s="890"/>
      <c r="T2405" s="889"/>
      <c r="X2405" s="15"/>
      <c r="Y2405" s="1935"/>
      <c r="Z2405" s="1086"/>
      <c r="AA2405" s="230"/>
      <c r="AB2405" s="230"/>
      <c r="AC2405" s="1936"/>
      <c r="AD2405" s="230"/>
      <c r="AE2405" s="230"/>
      <c r="AF2405" s="230"/>
      <c r="AG2405" s="890"/>
      <c r="AJ2405" s="890"/>
      <c r="AN2405" s="223"/>
      <c r="AO2405" s="952"/>
      <c r="AP2405" s="1066"/>
      <c r="AQ2405" s="972"/>
      <c r="AR2405" s="1917"/>
      <c r="AS2405" s="222"/>
      <c r="AZ2405" s="889"/>
      <c r="BC2405" s="890"/>
      <c r="BD2405" s="952"/>
      <c r="BE2405" s="75"/>
      <c r="BF2405" s="572"/>
      <c r="BG2405" s="983"/>
      <c r="BH2405" s="222"/>
      <c r="BL2405" s="889"/>
      <c r="BO2405" s="223"/>
    </row>
    <row r="2406" spans="1:67" s="74" customFormat="1">
      <c r="A2406" s="15"/>
      <c r="B2406" s="15"/>
      <c r="C2406" s="15"/>
      <c r="D2406" s="15"/>
      <c r="E2406" s="6"/>
      <c r="F2406" s="6"/>
      <c r="G2406" s="6"/>
      <c r="K2406" s="223"/>
      <c r="M2406" s="889"/>
      <c r="P2406" s="890"/>
      <c r="T2406" s="889"/>
      <c r="X2406" s="15"/>
      <c r="Y2406" s="1935"/>
      <c r="Z2406" s="1086"/>
      <c r="AA2406" s="230"/>
      <c r="AB2406" s="230"/>
      <c r="AC2406" s="1936"/>
      <c r="AD2406" s="230"/>
      <c r="AE2406" s="230"/>
      <c r="AF2406" s="230"/>
      <c r="AG2406" s="890"/>
      <c r="AJ2406" s="890"/>
      <c r="AN2406" s="223"/>
      <c r="AO2406" s="952"/>
      <c r="AP2406" s="1066"/>
      <c r="AQ2406" s="972"/>
      <c r="AR2406" s="1917"/>
      <c r="AS2406" s="222"/>
      <c r="AZ2406" s="889"/>
      <c r="BC2406" s="890"/>
      <c r="BD2406" s="952"/>
      <c r="BE2406" s="75"/>
      <c r="BF2406" s="572"/>
      <c r="BG2406" s="983"/>
      <c r="BH2406" s="222"/>
      <c r="BL2406" s="889"/>
      <c r="BO2406" s="223"/>
    </row>
    <row r="2407" spans="1:67" s="74" customFormat="1">
      <c r="A2407" s="15"/>
      <c r="B2407" s="15"/>
      <c r="C2407" s="15"/>
      <c r="D2407" s="15"/>
      <c r="E2407" s="6"/>
      <c r="F2407" s="6"/>
      <c r="G2407" s="6"/>
      <c r="K2407" s="223"/>
      <c r="M2407" s="889"/>
      <c r="P2407" s="890"/>
      <c r="T2407" s="889"/>
      <c r="X2407" s="15"/>
      <c r="Y2407" s="1935"/>
      <c r="Z2407" s="1086"/>
      <c r="AA2407" s="230"/>
      <c r="AB2407" s="230"/>
      <c r="AC2407" s="1936"/>
      <c r="AD2407" s="230"/>
      <c r="AE2407" s="230"/>
      <c r="AF2407" s="230"/>
      <c r="AG2407" s="890"/>
      <c r="AJ2407" s="890"/>
      <c r="AN2407" s="223"/>
      <c r="AO2407" s="952"/>
      <c r="AP2407" s="1066"/>
      <c r="AQ2407" s="972"/>
      <c r="AR2407" s="1917"/>
      <c r="AS2407" s="222"/>
      <c r="AZ2407" s="889"/>
      <c r="BC2407" s="890"/>
      <c r="BD2407" s="952"/>
      <c r="BE2407" s="75"/>
      <c r="BF2407" s="572"/>
      <c r="BG2407" s="983"/>
      <c r="BH2407" s="222"/>
      <c r="BL2407" s="889"/>
      <c r="BO2407" s="223"/>
    </row>
    <row r="2408" spans="1:67" s="74" customFormat="1">
      <c r="A2408" s="15"/>
      <c r="B2408" s="15"/>
      <c r="C2408" s="15"/>
      <c r="D2408" s="15"/>
      <c r="E2408" s="6"/>
      <c r="F2408" s="6"/>
      <c r="G2408" s="6"/>
      <c r="K2408" s="223"/>
      <c r="M2408" s="889"/>
      <c r="P2408" s="890"/>
      <c r="T2408" s="889"/>
      <c r="X2408" s="15"/>
      <c r="Y2408" s="1935"/>
      <c r="Z2408" s="1086"/>
      <c r="AA2408" s="230"/>
      <c r="AB2408" s="230"/>
      <c r="AC2408" s="1936"/>
      <c r="AD2408" s="230"/>
      <c r="AE2408" s="230"/>
      <c r="AF2408" s="230"/>
      <c r="AG2408" s="890"/>
      <c r="AJ2408" s="890"/>
      <c r="AN2408" s="223"/>
      <c r="AO2408" s="952"/>
      <c r="AP2408" s="1066"/>
      <c r="AQ2408" s="972"/>
      <c r="AR2408" s="1917"/>
      <c r="AS2408" s="222"/>
      <c r="AZ2408" s="889"/>
      <c r="BC2408" s="890"/>
      <c r="BD2408" s="952"/>
      <c r="BE2408" s="75"/>
      <c r="BF2408" s="572"/>
      <c r="BG2408" s="983"/>
      <c r="BH2408" s="222"/>
      <c r="BL2408" s="889"/>
      <c r="BO2408" s="223"/>
    </row>
    <row r="2409" spans="1:67" s="74" customFormat="1">
      <c r="A2409" s="15"/>
      <c r="B2409" s="15"/>
      <c r="C2409" s="15"/>
      <c r="D2409" s="15"/>
      <c r="E2409" s="6"/>
      <c r="F2409" s="6"/>
      <c r="G2409" s="6"/>
      <c r="K2409" s="223"/>
      <c r="M2409" s="889"/>
      <c r="P2409" s="890"/>
      <c r="T2409" s="889"/>
      <c r="X2409" s="15"/>
      <c r="Y2409" s="1935"/>
      <c r="Z2409" s="1086"/>
      <c r="AA2409" s="230"/>
      <c r="AB2409" s="230"/>
      <c r="AC2409" s="1936"/>
      <c r="AD2409" s="230"/>
      <c r="AE2409" s="230"/>
      <c r="AF2409" s="230"/>
      <c r="AG2409" s="890"/>
      <c r="AJ2409" s="890"/>
      <c r="AN2409" s="223"/>
      <c r="AO2409" s="952"/>
      <c r="AP2409" s="1066"/>
      <c r="AQ2409" s="972"/>
      <c r="AR2409" s="1917"/>
      <c r="AS2409" s="222"/>
      <c r="AZ2409" s="889"/>
      <c r="BC2409" s="890"/>
      <c r="BD2409" s="952"/>
      <c r="BE2409" s="75"/>
      <c r="BF2409" s="572"/>
      <c r="BG2409" s="983"/>
      <c r="BH2409" s="222"/>
      <c r="BL2409" s="889"/>
      <c r="BO2409" s="223"/>
    </row>
    <row r="2410" spans="1:67" s="74" customFormat="1">
      <c r="A2410" s="15"/>
      <c r="B2410" s="15"/>
      <c r="C2410" s="15"/>
      <c r="D2410" s="15"/>
      <c r="E2410" s="6"/>
      <c r="F2410" s="6"/>
      <c r="G2410" s="6"/>
      <c r="K2410" s="223"/>
      <c r="M2410" s="889"/>
      <c r="P2410" s="890"/>
      <c r="T2410" s="889"/>
      <c r="X2410" s="15"/>
      <c r="Y2410" s="1935"/>
      <c r="Z2410" s="1086"/>
      <c r="AA2410" s="230"/>
      <c r="AB2410" s="230"/>
      <c r="AC2410" s="1936"/>
      <c r="AD2410" s="230"/>
      <c r="AE2410" s="230"/>
      <c r="AF2410" s="230"/>
      <c r="AG2410" s="890"/>
      <c r="AJ2410" s="890"/>
      <c r="AN2410" s="223"/>
      <c r="AO2410" s="952"/>
      <c r="AP2410" s="1066"/>
      <c r="AQ2410" s="972"/>
      <c r="AR2410" s="1917"/>
      <c r="AS2410" s="222"/>
      <c r="AZ2410" s="889"/>
      <c r="BC2410" s="890"/>
      <c r="BD2410" s="952"/>
      <c r="BE2410" s="75"/>
      <c r="BF2410" s="572"/>
      <c r="BG2410" s="983"/>
      <c r="BH2410" s="222"/>
      <c r="BL2410" s="889"/>
      <c r="BO2410" s="223"/>
    </row>
    <row r="2411" spans="1:67" s="74" customFormat="1">
      <c r="A2411" s="15"/>
      <c r="B2411" s="15"/>
      <c r="C2411" s="15"/>
      <c r="D2411" s="15"/>
      <c r="E2411" s="6"/>
      <c r="F2411" s="6"/>
      <c r="G2411" s="6"/>
      <c r="K2411" s="223"/>
      <c r="M2411" s="889"/>
      <c r="P2411" s="890"/>
      <c r="T2411" s="889"/>
      <c r="X2411" s="15"/>
      <c r="Y2411" s="1935"/>
      <c r="Z2411" s="1086"/>
      <c r="AA2411" s="230"/>
      <c r="AB2411" s="230"/>
      <c r="AC2411" s="1936"/>
      <c r="AD2411" s="230"/>
      <c r="AE2411" s="230"/>
      <c r="AF2411" s="230"/>
      <c r="AG2411" s="890"/>
      <c r="AJ2411" s="890"/>
      <c r="AN2411" s="223"/>
      <c r="AO2411" s="952"/>
      <c r="AP2411" s="1066"/>
      <c r="AQ2411" s="972"/>
      <c r="AR2411" s="1917"/>
      <c r="AS2411" s="222"/>
      <c r="AZ2411" s="889"/>
      <c r="BC2411" s="890"/>
      <c r="BD2411" s="952"/>
      <c r="BE2411" s="75"/>
      <c r="BF2411" s="572"/>
      <c r="BG2411" s="983"/>
      <c r="BH2411" s="222"/>
      <c r="BL2411" s="889"/>
      <c r="BO2411" s="223"/>
    </row>
    <row r="2412" spans="1:67" s="74" customFormat="1">
      <c r="A2412" s="15"/>
      <c r="B2412" s="15"/>
      <c r="C2412" s="15"/>
      <c r="D2412" s="15"/>
      <c r="E2412" s="6"/>
      <c r="F2412" s="6"/>
      <c r="G2412" s="6"/>
      <c r="K2412" s="223"/>
      <c r="M2412" s="889"/>
      <c r="P2412" s="890"/>
      <c r="T2412" s="889"/>
      <c r="X2412" s="15"/>
      <c r="Y2412" s="1935"/>
      <c r="Z2412" s="1086"/>
      <c r="AA2412" s="230"/>
      <c r="AB2412" s="230"/>
      <c r="AC2412" s="1936"/>
      <c r="AD2412" s="230"/>
      <c r="AE2412" s="230"/>
      <c r="AF2412" s="230"/>
      <c r="AG2412" s="890"/>
      <c r="AJ2412" s="890"/>
      <c r="AN2412" s="223"/>
      <c r="AO2412" s="952"/>
      <c r="AP2412" s="1066"/>
      <c r="AQ2412" s="972"/>
      <c r="AR2412" s="1917"/>
      <c r="AS2412" s="222"/>
      <c r="AZ2412" s="889"/>
      <c r="BC2412" s="890"/>
      <c r="BD2412" s="952"/>
      <c r="BE2412" s="75"/>
      <c r="BF2412" s="572"/>
      <c r="BG2412" s="983"/>
      <c r="BH2412" s="222"/>
      <c r="BL2412" s="889"/>
      <c r="BO2412" s="223"/>
    </row>
    <row r="2413" spans="1:67" s="74" customFormat="1">
      <c r="A2413" s="15"/>
      <c r="B2413" s="15"/>
      <c r="C2413" s="15"/>
      <c r="D2413" s="15"/>
      <c r="E2413" s="6"/>
      <c r="F2413" s="6"/>
      <c r="G2413" s="6"/>
      <c r="K2413" s="223"/>
      <c r="M2413" s="889"/>
      <c r="P2413" s="890"/>
      <c r="T2413" s="889"/>
      <c r="X2413" s="15"/>
      <c r="Y2413" s="1935"/>
      <c r="Z2413" s="1086"/>
      <c r="AA2413" s="230"/>
      <c r="AB2413" s="230"/>
      <c r="AC2413" s="1936"/>
      <c r="AD2413" s="230"/>
      <c r="AE2413" s="230"/>
      <c r="AF2413" s="230"/>
      <c r="AG2413" s="890"/>
      <c r="AJ2413" s="890"/>
      <c r="AN2413" s="223"/>
      <c r="AO2413" s="952"/>
      <c r="AP2413" s="1066"/>
      <c r="AQ2413" s="972"/>
      <c r="AR2413" s="1917"/>
      <c r="AS2413" s="222"/>
      <c r="AZ2413" s="889"/>
      <c r="BC2413" s="890"/>
      <c r="BD2413" s="952"/>
      <c r="BE2413" s="75"/>
      <c r="BF2413" s="572"/>
      <c r="BG2413" s="983"/>
      <c r="BH2413" s="222"/>
      <c r="BL2413" s="889"/>
      <c r="BO2413" s="223"/>
    </row>
    <row r="2414" spans="1:67" s="74" customFormat="1">
      <c r="A2414" s="15"/>
      <c r="B2414" s="15"/>
      <c r="C2414" s="15"/>
      <c r="D2414" s="15"/>
      <c r="E2414" s="6"/>
      <c r="F2414" s="6"/>
      <c r="G2414" s="6"/>
      <c r="K2414" s="223"/>
      <c r="M2414" s="889"/>
      <c r="P2414" s="890"/>
      <c r="T2414" s="889"/>
      <c r="X2414" s="15"/>
      <c r="Y2414" s="1935"/>
      <c r="Z2414" s="1086"/>
      <c r="AA2414" s="230"/>
      <c r="AB2414" s="230"/>
      <c r="AC2414" s="1936"/>
      <c r="AD2414" s="230"/>
      <c r="AE2414" s="230"/>
      <c r="AF2414" s="230"/>
      <c r="AG2414" s="890"/>
      <c r="AJ2414" s="890"/>
      <c r="AN2414" s="223"/>
      <c r="AO2414" s="952"/>
      <c r="AP2414" s="1066"/>
      <c r="AQ2414" s="972"/>
      <c r="AR2414" s="1917"/>
      <c r="AS2414" s="222"/>
      <c r="AZ2414" s="889"/>
      <c r="BC2414" s="890"/>
      <c r="BD2414" s="952"/>
      <c r="BE2414" s="75"/>
      <c r="BF2414" s="572"/>
      <c r="BG2414" s="983"/>
      <c r="BH2414" s="222"/>
      <c r="BL2414" s="889"/>
      <c r="BO2414" s="223"/>
    </row>
    <row r="2415" spans="1:67" s="74" customFormat="1">
      <c r="A2415" s="15"/>
      <c r="B2415" s="15"/>
      <c r="C2415" s="15"/>
      <c r="D2415" s="15"/>
      <c r="E2415" s="6"/>
      <c r="F2415" s="6"/>
      <c r="G2415" s="6"/>
      <c r="K2415" s="223"/>
      <c r="M2415" s="889"/>
      <c r="P2415" s="890"/>
      <c r="T2415" s="889"/>
      <c r="X2415" s="15"/>
      <c r="Y2415" s="1935"/>
      <c r="Z2415" s="1086"/>
      <c r="AA2415" s="230"/>
      <c r="AB2415" s="230"/>
      <c r="AC2415" s="1936"/>
      <c r="AD2415" s="230"/>
      <c r="AE2415" s="230"/>
      <c r="AF2415" s="230"/>
      <c r="AG2415" s="890"/>
      <c r="AJ2415" s="890"/>
      <c r="AN2415" s="223"/>
      <c r="AO2415" s="952"/>
      <c r="AP2415" s="1066"/>
      <c r="AQ2415" s="972"/>
      <c r="AR2415" s="1917"/>
      <c r="AS2415" s="222"/>
      <c r="AZ2415" s="889"/>
      <c r="BC2415" s="890"/>
      <c r="BD2415" s="952"/>
      <c r="BE2415" s="75"/>
      <c r="BF2415" s="572"/>
      <c r="BG2415" s="983"/>
      <c r="BH2415" s="222"/>
      <c r="BL2415" s="889"/>
      <c r="BO2415" s="223"/>
    </row>
    <row r="2416" spans="1:67" s="74" customFormat="1">
      <c r="A2416" s="15"/>
      <c r="B2416" s="15"/>
      <c r="C2416" s="15"/>
      <c r="D2416" s="15"/>
      <c r="E2416" s="6"/>
      <c r="F2416" s="6"/>
      <c r="G2416" s="6"/>
      <c r="K2416" s="223"/>
      <c r="M2416" s="889"/>
      <c r="P2416" s="890"/>
      <c r="T2416" s="889"/>
      <c r="X2416" s="15"/>
      <c r="Y2416" s="1935"/>
      <c r="Z2416" s="1086"/>
      <c r="AA2416" s="230"/>
      <c r="AB2416" s="230"/>
      <c r="AC2416" s="1936"/>
      <c r="AD2416" s="230"/>
      <c r="AE2416" s="230"/>
      <c r="AF2416" s="230"/>
      <c r="AG2416" s="890"/>
      <c r="AJ2416" s="890"/>
      <c r="AN2416" s="223"/>
      <c r="AO2416" s="952"/>
      <c r="AP2416" s="1066"/>
      <c r="AQ2416" s="972"/>
      <c r="AR2416" s="1917"/>
      <c r="AS2416" s="222"/>
      <c r="AZ2416" s="889"/>
      <c r="BC2416" s="890"/>
      <c r="BD2416" s="952"/>
      <c r="BE2416" s="75"/>
      <c r="BF2416" s="572"/>
      <c r="BG2416" s="983"/>
      <c r="BH2416" s="222"/>
      <c r="BL2416" s="889"/>
      <c r="BO2416" s="223"/>
    </row>
    <row r="2417" spans="1:67" s="74" customFormat="1">
      <c r="A2417" s="15"/>
      <c r="B2417" s="15"/>
      <c r="C2417" s="15"/>
      <c r="D2417" s="15"/>
      <c r="E2417" s="6"/>
      <c r="F2417" s="6"/>
      <c r="G2417" s="6"/>
      <c r="K2417" s="223"/>
      <c r="M2417" s="889"/>
      <c r="P2417" s="890"/>
      <c r="T2417" s="889"/>
      <c r="X2417" s="15"/>
      <c r="Y2417" s="1935"/>
      <c r="Z2417" s="1086"/>
      <c r="AA2417" s="230"/>
      <c r="AB2417" s="230"/>
      <c r="AC2417" s="1936"/>
      <c r="AD2417" s="230"/>
      <c r="AE2417" s="230"/>
      <c r="AF2417" s="230"/>
      <c r="AG2417" s="890"/>
      <c r="AJ2417" s="890"/>
      <c r="AN2417" s="223"/>
      <c r="AO2417" s="952"/>
      <c r="AP2417" s="1066"/>
      <c r="AQ2417" s="972"/>
      <c r="AR2417" s="1917"/>
      <c r="AS2417" s="222"/>
      <c r="AZ2417" s="889"/>
      <c r="BC2417" s="890"/>
      <c r="BD2417" s="952"/>
      <c r="BE2417" s="75"/>
      <c r="BF2417" s="572"/>
      <c r="BG2417" s="983"/>
      <c r="BH2417" s="222"/>
      <c r="BL2417" s="889"/>
      <c r="BO2417" s="223"/>
    </row>
    <row r="2418" spans="1:67" s="74" customFormat="1">
      <c r="A2418" s="15"/>
      <c r="B2418" s="15"/>
      <c r="C2418" s="15"/>
      <c r="D2418" s="15"/>
      <c r="E2418" s="6"/>
      <c r="F2418" s="6"/>
      <c r="G2418" s="6"/>
      <c r="K2418" s="223"/>
      <c r="M2418" s="889"/>
      <c r="P2418" s="890"/>
      <c r="T2418" s="889"/>
      <c r="X2418" s="15"/>
      <c r="Y2418" s="1935"/>
      <c r="Z2418" s="1086"/>
      <c r="AA2418" s="230"/>
      <c r="AB2418" s="230"/>
      <c r="AC2418" s="1936"/>
      <c r="AD2418" s="230"/>
      <c r="AE2418" s="230"/>
      <c r="AF2418" s="230"/>
      <c r="AG2418" s="890"/>
      <c r="AJ2418" s="890"/>
      <c r="AN2418" s="223"/>
      <c r="AO2418" s="952"/>
      <c r="AP2418" s="1066"/>
      <c r="AQ2418" s="972"/>
      <c r="AR2418" s="1917"/>
      <c r="AS2418" s="222"/>
      <c r="AZ2418" s="889"/>
      <c r="BC2418" s="890"/>
      <c r="BD2418" s="952"/>
      <c r="BE2418" s="75"/>
      <c r="BF2418" s="572"/>
      <c r="BG2418" s="983"/>
      <c r="BH2418" s="222"/>
      <c r="BL2418" s="889"/>
      <c r="BO2418" s="223"/>
    </row>
    <row r="2419" spans="1:67" s="74" customFormat="1">
      <c r="A2419" s="15"/>
      <c r="B2419" s="15"/>
      <c r="C2419" s="15"/>
      <c r="D2419" s="15"/>
      <c r="E2419" s="6"/>
      <c r="F2419" s="6"/>
      <c r="G2419" s="6"/>
      <c r="K2419" s="223"/>
      <c r="M2419" s="889"/>
      <c r="P2419" s="890"/>
      <c r="T2419" s="889"/>
      <c r="X2419" s="15"/>
      <c r="Y2419" s="1935"/>
      <c r="Z2419" s="1086"/>
      <c r="AA2419" s="230"/>
      <c r="AB2419" s="230"/>
      <c r="AC2419" s="1936"/>
      <c r="AD2419" s="230"/>
      <c r="AE2419" s="230"/>
      <c r="AF2419" s="230"/>
      <c r="AG2419" s="890"/>
      <c r="AJ2419" s="890"/>
      <c r="AN2419" s="223"/>
      <c r="AO2419" s="952"/>
      <c r="AP2419" s="1066"/>
      <c r="AQ2419" s="972"/>
      <c r="AR2419" s="1917"/>
      <c r="AS2419" s="222"/>
      <c r="AZ2419" s="889"/>
      <c r="BC2419" s="890"/>
      <c r="BD2419" s="952"/>
      <c r="BE2419" s="75"/>
      <c r="BF2419" s="572"/>
      <c r="BG2419" s="983"/>
      <c r="BH2419" s="222"/>
      <c r="BL2419" s="889"/>
      <c r="BO2419" s="223"/>
    </row>
    <row r="2420" spans="1:67" s="74" customFormat="1">
      <c r="A2420" s="15"/>
      <c r="B2420" s="15"/>
      <c r="C2420" s="15"/>
      <c r="D2420" s="15"/>
      <c r="E2420" s="6"/>
      <c r="F2420" s="6"/>
      <c r="G2420" s="6"/>
      <c r="K2420" s="223"/>
      <c r="M2420" s="889"/>
      <c r="P2420" s="890"/>
      <c r="T2420" s="889"/>
      <c r="X2420" s="15"/>
      <c r="Y2420" s="1935"/>
      <c r="Z2420" s="1086"/>
      <c r="AA2420" s="230"/>
      <c r="AB2420" s="230"/>
      <c r="AC2420" s="1936"/>
      <c r="AD2420" s="230"/>
      <c r="AE2420" s="230"/>
      <c r="AF2420" s="230"/>
      <c r="AG2420" s="890"/>
      <c r="AJ2420" s="890"/>
      <c r="AN2420" s="223"/>
      <c r="AO2420" s="952"/>
      <c r="AP2420" s="1066"/>
      <c r="AQ2420" s="972"/>
      <c r="AR2420" s="1917"/>
      <c r="AS2420" s="222"/>
      <c r="AZ2420" s="889"/>
      <c r="BC2420" s="890"/>
      <c r="BD2420" s="952"/>
      <c r="BE2420" s="75"/>
      <c r="BF2420" s="572"/>
      <c r="BG2420" s="983"/>
      <c r="BH2420" s="222"/>
      <c r="BL2420" s="889"/>
      <c r="BO2420" s="223"/>
    </row>
    <row r="2421" spans="1:67" s="74" customFormat="1">
      <c r="A2421" s="15"/>
      <c r="B2421" s="15"/>
      <c r="C2421" s="15"/>
      <c r="D2421" s="15"/>
      <c r="E2421" s="6"/>
      <c r="F2421" s="6"/>
      <c r="G2421" s="6"/>
      <c r="K2421" s="223"/>
      <c r="M2421" s="889"/>
      <c r="P2421" s="890"/>
      <c r="T2421" s="889"/>
      <c r="X2421" s="15"/>
      <c r="Y2421" s="1935"/>
      <c r="Z2421" s="1086"/>
      <c r="AA2421" s="230"/>
      <c r="AB2421" s="230"/>
      <c r="AC2421" s="1936"/>
      <c r="AD2421" s="230"/>
      <c r="AE2421" s="230"/>
      <c r="AF2421" s="230"/>
      <c r="AG2421" s="890"/>
      <c r="AJ2421" s="890"/>
      <c r="AN2421" s="223"/>
      <c r="AO2421" s="952"/>
      <c r="AP2421" s="1066"/>
      <c r="AQ2421" s="972"/>
      <c r="AR2421" s="1917"/>
      <c r="AS2421" s="222"/>
      <c r="AZ2421" s="889"/>
      <c r="BC2421" s="890"/>
      <c r="BD2421" s="952"/>
      <c r="BE2421" s="75"/>
      <c r="BF2421" s="572"/>
      <c r="BG2421" s="983"/>
      <c r="BH2421" s="222"/>
      <c r="BL2421" s="889"/>
      <c r="BO2421" s="223"/>
    </row>
    <row r="2422" spans="1:67" s="74" customFormat="1">
      <c r="A2422" s="15"/>
      <c r="B2422" s="15"/>
      <c r="C2422" s="15"/>
      <c r="D2422" s="15"/>
      <c r="E2422" s="6"/>
      <c r="F2422" s="6"/>
      <c r="G2422" s="6"/>
      <c r="K2422" s="223"/>
      <c r="M2422" s="889"/>
      <c r="P2422" s="890"/>
      <c r="T2422" s="889"/>
      <c r="X2422" s="15"/>
      <c r="Y2422" s="1935"/>
      <c r="Z2422" s="1086"/>
      <c r="AA2422" s="230"/>
      <c r="AB2422" s="230"/>
      <c r="AC2422" s="1936"/>
      <c r="AD2422" s="230"/>
      <c r="AE2422" s="230"/>
      <c r="AF2422" s="230"/>
      <c r="AG2422" s="890"/>
      <c r="AJ2422" s="890"/>
      <c r="AN2422" s="223"/>
      <c r="AO2422" s="952"/>
      <c r="AP2422" s="1066"/>
      <c r="AQ2422" s="972"/>
      <c r="AR2422" s="1917"/>
      <c r="AS2422" s="222"/>
      <c r="AZ2422" s="889"/>
      <c r="BC2422" s="890"/>
      <c r="BD2422" s="952"/>
      <c r="BE2422" s="75"/>
      <c r="BF2422" s="572"/>
      <c r="BG2422" s="983"/>
      <c r="BH2422" s="222"/>
      <c r="BL2422" s="889"/>
      <c r="BO2422" s="223"/>
    </row>
    <row r="2423" spans="1:67" s="74" customFormat="1">
      <c r="A2423" s="15"/>
      <c r="B2423" s="15"/>
      <c r="C2423" s="15"/>
      <c r="D2423" s="15"/>
      <c r="E2423" s="6"/>
      <c r="F2423" s="6"/>
      <c r="G2423" s="6"/>
      <c r="K2423" s="223"/>
      <c r="M2423" s="889"/>
      <c r="P2423" s="890"/>
      <c r="T2423" s="889"/>
      <c r="X2423" s="15"/>
      <c r="Y2423" s="1935"/>
      <c r="Z2423" s="1086"/>
      <c r="AA2423" s="230"/>
      <c r="AB2423" s="230"/>
      <c r="AC2423" s="1936"/>
      <c r="AD2423" s="230"/>
      <c r="AE2423" s="230"/>
      <c r="AF2423" s="230"/>
      <c r="AG2423" s="890"/>
      <c r="AJ2423" s="890"/>
      <c r="AN2423" s="223"/>
      <c r="AO2423" s="952"/>
      <c r="AP2423" s="1066"/>
      <c r="AQ2423" s="972"/>
      <c r="AR2423" s="1917"/>
      <c r="AS2423" s="222"/>
      <c r="AZ2423" s="889"/>
      <c r="BC2423" s="890"/>
      <c r="BD2423" s="952"/>
      <c r="BE2423" s="75"/>
      <c r="BF2423" s="572"/>
      <c r="BG2423" s="983"/>
      <c r="BH2423" s="222"/>
      <c r="BL2423" s="889"/>
      <c r="BO2423" s="223"/>
    </row>
    <row r="2424" spans="1:67" s="74" customFormat="1">
      <c r="A2424" s="15"/>
      <c r="B2424" s="15"/>
      <c r="C2424" s="15"/>
      <c r="D2424" s="15"/>
      <c r="E2424" s="6"/>
      <c r="F2424" s="6"/>
      <c r="G2424" s="6"/>
      <c r="K2424" s="223"/>
      <c r="M2424" s="889"/>
      <c r="P2424" s="890"/>
      <c r="T2424" s="889"/>
      <c r="X2424" s="15"/>
      <c r="Y2424" s="1935"/>
      <c r="Z2424" s="1086"/>
      <c r="AA2424" s="230"/>
      <c r="AB2424" s="230"/>
      <c r="AC2424" s="1936"/>
      <c r="AD2424" s="230"/>
      <c r="AE2424" s="230"/>
      <c r="AF2424" s="230"/>
      <c r="AG2424" s="890"/>
      <c r="AJ2424" s="890"/>
      <c r="AN2424" s="223"/>
      <c r="AO2424" s="952"/>
      <c r="AP2424" s="1066"/>
      <c r="AQ2424" s="972"/>
      <c r="AR2424" s="1917"/>
      <c r="AS2424" s="222"/>
      <c r="AZ2424" s="889"/>
      <c r="BC2424" s="890"/>
      <c r="BD2424" s="952"/>
      <c r="BE2424" s="75"/>
      <c r="BF2424" s="572"/>
      <c r="BG2424" s="983"/>
      <c r="BH2424" s="222"/>
      <c r="BL2424" s="889"/>
      <c r="BO2424" s="223"/>
    </row>
    <row r="2425" spans="1:67" s="74" customFormat="1">
      <c r="A2425" s="15"/>
      <c r="B2425" s="15"/>
      <c r="C2425" s="15"/>
      <c r="D2425" s="15"/>
      <c r="E2425" s="6"/>
      <c r="F2425" s="6"/>
      <c r="G2425" s="6"/>
      <c r="K2425" s="223"/>
      <c r="M2425" s="889"/>
      <c r="P2425" s="890"/>
      <c r="T2425" s="889"/>
      <c r="X2425" s="15"/>
      <c r="Y2425" s="1935"/>
      <c r="Z2425" s="1086"/>
      <c r="AA2425" s="230"/>
      <c r="AB2425" s="230"/>
      <c r="AC2425" s="1936"/>
      <c r="AD2425" s="230"/>
      <c r="AE2425" s="230"/>
      <c r="AF2425" s="230"/>
      <c r="AG2425" s="890"/>
      <c r="AJ2425" s="890"/>
      <c r="AN2425" s="223"/>
      <c r="AO2425" s="952"/>
      <c r="AP2425" s="1066"/>
      <c r="AQ2425" s="972"/>
      <c r="AR2425" s="1917"/>
      <c r="AS2425" s="222"/>
      <c r="AZ2425" s="889"/>
      <c r="BC2425" s="890"/>
      <c r="BD2425" s="952"/>
      <c r="BE2425" s="75"/>
      <c r="BF2425" s="572"/>
      <c r="BG2425" s="983"/>
      <c r="BH2425" s="222"/>
      <c r="BL2425" s="889"/>
      <c r="BO2425" s="223"/>
    </row>
    <row r="2426" spans="1:67" s="74" customFormat="1">
      <c r="A2426" s="15"/>
      <c r="B2426" s="15"/>
      <c r="C2426" s="15"/>
      <c r="D2426" s="15"/>
      <c r="E2426" s="6"/>
      <c r="F2426" s="6"/>
      <c r="G2426" s="6"/>
      <c r="K2426" s="223"/>
      <c r="M2426" s="889"/>
      <c r="P2426" s="890"/>
      <c r="T2426" s="889"/>
      <c r="X2426" s="15"/>
      <c r="Y2426" s="1935"/>
      <c r="Z2426" s="1086"/>
      <c r="AA2426" s="230"/>
      <c r="AB2426" s="230"/>
      <c r="AC2426" s="1936"/>
      <c r="AD2426" s="230"/>
      <c r="AE2426" s="230"/>
      <c r="AF2426" s="230"/>
      <c r="AG2426" s="890"/>
      <c r="AJ2426" s="890"/>
      <c r="AN2426" s="223"/>
      <c r="AO2426" s="952"/>
      <c r="AP2426" s="1066"/>
      <c r="AQ2426" s="972"/>
      <c r="AR2426" s="1917"/>
      <c r="AS2426" s="222"/>
      <c r="AZ2426" s="889"/>
      <c r="BC2426" s="890"/>
      <c r="BD2426" s="952"/>
      <c r="BE2426" s="75"/>
      <c r="BF2426" s="572"/>
      <c r="BG2426" s="983"/>
      <c r="BH2426" s="222"/>
      <c r="BL2426" s="889"/>
      <c r="BO2426" s="223"/>
    </row>
    <row r="2427" spans="1:67" s="74" customFormat="1">
      <c r="A2427" s="15"/>
      <c r="B2427" s="15"/>
      <c r="C2427" s="15"/>
      <c r="D2427" s="15"/>
      <c r="E2427" s="6"/>
      <c r="F2427" s="6"/>
      <c r="G2427" s="6"/>
      <c r="K2427" s="223"/>
      <c r="M2427" s="889"/>
      <c r="P2427" s="890"/>
      <c r="T2427" s="889"/>
      <c r="X2427" s="15"/>
      <c r="Y2427" s="1935"/>
      <c r="Z2427" s="1086"/>
      <c r="AA2427" s="230"/>
      <c r="AB2427" s="230"/>
      <c r="AC2427" s="1936"/>
      <c r="AD2427" s="230"/>
      <c r="AE2427" s="230"/>
      <c r="AF2427" s="230"/>
      <c r="AG2427" s="890"/>
      <c r="AJ2427" s="890"/>
      <c r="AN2427" s="223"/>
      <c r="AO2427" s="952"/>
      <c r="AP2427" s="1066"/>
      <c r="AQ2427" s="972"/>
      <c r="AR2427" s="1917"/>
      <c r="AS2427" s="222"/>
      <c r="AZ2427" s="889"/>
      <c r="BC2427" s="890"/>
      <c r="BD2427" s="952"/>
      <c r="BE2427" s="75"/>
      <c r="BF2427" s="572"/>
      <c r="BG2427" s="983"/>
      <c r="BH2427" s="222"/>
      <c r="BL2427" s="889"/>
      <c r="BO2427" s="223"/>
    </row>
    <row r="2428" spans="1:67" s="74" customFormat="1">
      <c r="A2428" s="15"/>
      <c r="B2428" s="15"/>
      <c r="C2428" s="15"/>
      <c r="D2428" s="15"/>
      <c r="E2428" s="6"/>
      <c r="F2428" s="6"/>
      <c r="G2428" s="6"/>
      <c r="K2428" s="223"/>
      <c r="M2428" s="889"/>
      <c r="P2428" s="890"/>
      <c r="T2428" s="889"/>
      <c r="X2428" s="15"/>
      <c r="Y2428" s="1935"/>
      <c r="Z2428" s="1086"/>
      <c r="AA2428" s="230"/>
      <c r="AB2428" s="230"/>
      <c r="AC2428" s="1936"/>
      <c r="AD2428" s="230"/>
      <c r="AE2428" s="230"/>
      <c r="AF2428" s="230"/>
      <c r="AG2428" s="890"/>
      <c r="AJ2428" s="890"/>
      <c r="AN2428" s="223"/>
      <c r="AO2428" s="952"/>
      <c r="AP2428" s="1066"/>
      <c r="AQ2428" s="972"/>
      <c r="AR2428" s="1917"/>
      <c r="AS2428" s="222"/>
      <c r="AZ2428" s="889"/>
      <c r="BC2428" s="890"/>
      <c r="BD2428" s="952"/>
      <c r="BE2428" s="75"/>
      <c r="BF2428" s="572"/>
      <c r="BG2428" s="983"/>
      <c r="BH2428" s="222"/>
      <c r="BL2428" s="889"/>
      <c r="BO2428" s="223"/>
    </row>
    <row r="2429" spans="1:67" s="74" customFormat="1">
      <c r="A2429" s="15"/>
      <c r="B2429" s="15"/>
      <c r="C2429" s="15"/>
      <c r="D2429" s="15"/>
      <c r="E2429" s="6"/>
      <c r="F2429" s="6"/>
      <c r="G2429" s="6"/>
      <c r="K2429" s="223"/>
      <c r="M2429" s="889"/>
      <c r="P2429" s="890"/>
      <c r="T2429" s="889"/>
      <c r="X2429" s="15"/>
      <c r="Y2429" s="1935"/>
      <c r="Z2429" s="1086"/>
      <c r="AA2429" s="230"/>
      <c r="AB2429" s="230"/>
      <c r="AC2429" s="1936"/>
      <c r="AD2429" s="230"/>
      <c r="AE2429" s="230"/>
      <c r="AF2429" s="230"/>
      <c r="AG2429" s="890"/>
      <c r="AJ2429" s="890"/>
      <c r="AN2429" s="223"/>
      <c r="AO2429" s="952"/>
      <c r="AP2429" s="1066"/>
      <c r="AQ2429" s="972"/>
      <c r="AR2429" s="1917"/>
      <c r="AS2429" s="222"/>
      <c r="AZ2429" s="889"/>
      <c r="BC2429" s="890"/>
      <c r="BD2429" s="952"/>
      <c r="BE2429" s="75"/>
      <c r="BF2429" s="572"/>
      <c r="BG2429" s="983"/>
      <c r="BH2429" s="222"/>
      <c r="BL2429" s="889"/>
      <c r="BO2429" s="223"/>
    </row>
    <row r="2430" spans="1:67" s="74" customFormat="1">
      <c r="A2430" s="15"/>
      <c r="B2430" s="15"/>
      <c r="C2430" s="15"/>
      <c r="D2430" s="15"/>
      <c r="E2430" s="6"/>
      <c r="F2430" s="6"/>
      <c r="G2430" s="6"/>
      <c r="K2430" s="223"/>
      <c r="M2430" s="889"/>
      <c r="P2430" s="890"/>
      <c r="T2430" s="889"/>
      <c r="X2430" s="15"/>
      <c r="Y2430" s="1935"/>
      <c r="Z2430" s="1086"/>
      <c r="AA2430" s="230"/>
      <c r="AB2430" s="230"/>
      <c r="AC2430" s="1936"/>
      <c r="AD2430" s="230"/>
      <c r="AE2430" s="230"/>
      <c r="AF2430" s="230"/>
      <c r="AG2430" s="890"/>
      <c r="AJ2430" s="890"/>
      <c r="AN2430" s="223"/>
      <c r="AO2430" s="952"/>
      <c r="AP2430" s="1066"/>
      <c r="AQ2430" s="972"/>
      <c r="AR2430" s="1917"/>
      <c r="AS2430" s="222"/>
      <c r="AZ2430" s="889"/>
      <c r="BC2430" s="890"/>
      <c r="BD2430" s="952"/>
      <c r="BE2430" s="75"/>
      <c r="BF2430" s="572"/>
      <c r="BG2430" s="983"/>
      <c r="BH2430" s="222"/>
      <c r="BL2430" s="889"/>
      <c r="BO2430" s="223"/>
    </row>
    <row r="2431" spans="1:67" s="74" customFormat="1">
      <c r="A2431" s="15"/>
      <c r="B2431" s="15"/>
      <c r="C2431" s="15"/>
      <c r="D2431" s="15"/>
      <c r="E2431" s="6"/>
      <c r="F2431" s="6"/>
      <c r="G2431" s="6"/>
      <c r="K2431" s="223"/>
      <c r="M2431" s="889"/>
      <c r="P2431" s="890"/>
      <c r="T2431" s="889"/>
      <c r="X2431" s="15"/>
      <c r="Y2431" s="1935"/>
      <c r="Z2431" s="1086"/>
      <c r="AA2431" s="230"/>
      <c r="AB2431" s="230"/>
      <c r="AC2431" s="1936"/>
      <c r="AD2431" s="230"/>
      <c r="AE2431" s="230"/>
      <c r="AF2431" s="230"/>
      <c r="AG2431" s="890"/>
      <c r="AJ2431" s="890"/>
      <c r="AN2431" s="223"/>
      <c r="AO2431" s="952"/>
      <c r="AP2431" s="1066"/>
      <c r="AQ2431" s="972"/>
      <c r="AR2431" s="1917"/>
      <c r="AS2431" s="222"/>
      <c r="AZ2431" s="889"/>
      <c r="BC2431" s="890"/>
      <c r="BD2431" s="952"/>
      <c r="BE2431" s="75"/>
      <c r="BF2431" s="572"/>
      <c r="BG2431" s="983"/>
      <c r="BH2431" s="222"/>
      <c r="BL2431" s="889"/>
      <c r="BO2431" s="223"/>
    </row>
    <row r="2432" spans="1:67" s="74" customFormat="1">
      <c r="A2432" s="15"/>
      <c r="B2432" s="15"/>
      <c r="C2432" s="15"/>
      <c r="D2432" s="15"/>
      <c r="E2432" s="6"/>
      <c r="F2432" s="6"/>
      <c r="G2432" s="6"/>
      <c r="K2432" s="223"/>
      <c r="M2432" s="889"/>
      <c r="P2432" s="890"/>
      <c r="T2432" s="889"/>
      <c r="X2432" s="15"/>
      <c r="Y2432" s="1935"/>
      <c r="Z2432" s="1086"/>
      <c r="AA2432" s="230"/>
      <c r="AB2432" s="230"/>
      <c r="AC2432" s="1936"/>
      <c r="AD2432" s="230"/>
      <c r="AE2432" s="230"/>
      <c r="AF2432" s="230"/>
      <c r="AG2432" s="890"/>
      <c r="AJ2432" s="890"/>
      <c r="AN2432" s="223"/>
      <c r="AO2432" s="952"/>
      <c r="AP2432" s="1066"/>
      <c r="AQ2432" s="972"/>
      <c r="AR2432" s="1917"/>
      <c r="AS2432" s="222"/>
      <c r="AZ2432" s="889"/>
      <c r="BC2432" s="890"/>
      <c r="BD2432" s="952"/>
      <c r="BE2432" s="75"/>
      <c r="BF2432" s="572"/>
      <c r="BG2432" s="983"/>
      <c r="BH2432" s="222"/>
      <c r="BL2432" s="889"/>
      <c r="BO2432" s="223"/>
    </row>
    <row r="2433" spans="1:67" s="74" customFormat="1">
      <c r="A2433" s="15"/>
      <c r="B2433" s="15"/>
      <c r="C2433" s="15"/>
      <c r="D2433" s="15"/>
      <c r="E2433" s="6"/>
      <c r="F2433" s="6"/>
      <c r="G2433" s="6"/>
      <c r="K2433" s="223"/>
      <c r="M2433" s="889"/>
      <c r="P2433" s="890"/>
      <c r="T2433" s="889"/>
      <c r="X2433" s="15"/>
      <c r="Y2433" s="1935"/>
      <c r="Z2433" s="1086"/>
      <c r="AA2433" s="230"/>
      <c r="AB2433" s="230"/>
      <c r="AC2433" s="1936"/>
      <c r="AD2433" s="230"/>
      <c r="AE2433" s="230"/>
      <c r="AF2433" s="230"/>
      <c r="AG2433" s="890"/>
      <c r="AJ2433" s="890"/>
      <c r="AN2433" s="223"/>
      <c r="AO2433" s="952"/>
      <c r="AP2433" s="1066"/>
      <c r="AQ2433" s="972"/>
      <c r="AR2433" s="1917"/>
      <c r="AS2433" s="222"/>
      <c r="AZ2433" s="889"/>
      <c r="BC2433" s="890"/>
      <c r="BD2433" s="952"/>
      <c r="BE2433" s="75"/>
      <c r="BF2433" s="572"/>
      <c r="BG2433" s="983"/>
      <c r="BH2433" s="222"/>
      <c r="BL2433" s="889"/>
      <c r="BO2433" s="223"/>
    </row>
    <row r="2434" spans="1:67" s="74" customFormat="1">
      <c r="A2434" s="15"/>
      <c r="B2434" s="15"/>
      <c r="C2434" s="15"/>
      <c r="D2434" s="15"/>
      <c r="E2434" s="6"/>
      <c r="F2434" s="6"/>
      <c r="G2434" s="6"/>
      <c r="K2434" s="223"/>
      <c r="M2434" s="889"/>
      <c r="P2434" s="890"/>
      <c r="T2434" s="889"/>
      <c r="X2434" s="15"/>
      <c r="Y2434" s="1935"/>
      <c r="Z2434" s="1086"/>
      <c r="AA2434" s="230"/>
      <c r="AB2434" s="230"/>
      <c r="AC2434" s="1936"/>
      <c r="AD2434" s="230"/>
      <c r="AE2434" s="230"/>
      <c r="AF2434" s="230"/>
      <c r="AG2434" s="890"/>
      <c r="AJ2434" s="890"/>
      <c r="AN2434" s="223"/>
      <c r="AO2434" s="952"/>
      <c r="AP2434" s="1066"/>
      <c r="AQ2434" s="972"/>
      <c r="AR2434" s="1917"/>
      <c r="AS2434" s="222"/>
      <c r="AZ2434" s="889"/>
      <c r="BC2434" s="890"/>
      <c r="BD2434" s="952"/>
      <c r="BE2434" s="75"/>
      <c r="BF2434" s="572"/>
      <c r="BG2434" s="983"/>
      <c r="BH2434" s="222"/>
      <c r="BL2434" s="889"/>
      <c r="BO2434" s="223"/>
    </row>
    <row r="2435" spans="1:67" s="74" customFormat="1">
      <c r="A2435" s="15"/>
      <c r="B2435" s="15"/>
      <c r="C2435" s="15"/>
      <c r="D2435" s="15"/>
      <c r="E2435" s="6"/>
      <c r="F2435" s="6"/>
      <c r="G2435" s="6"/>
      <c r="K2435" s="223"/>
      <c r="M2435" s="889"/>
      <c r="P2435" s="890"/>
      <c r="T2435" s="889"/>
      <c r="X2435" s="15"/>
      <c r="Y2435" s="1935"/>
      <c r="Z2435" s="1086"/>
      <c r="AA2435" s="230"/>
      <c r="AB2435" s="230"/>
      <c r="AC2435" s="1936"/>
      <c r="AD2435" s="230"/>
      <c r="AE2435" s="230"/>
      <c r="AF2435" s="230"/>
      <c r="AG2435" s="890"/>
      <c r="AJ2435" s="890"/>
      <c r="AN2435" s="223"/>
      <c r="AO2435" s="952"/>
      <c r="AP2435" s="1066"/>
      <c r="AQ2435" s="972"/>
      <c r="AR2435" s="1917"/>
      <c r="AS2435" s="222"/>
      <c r="AZ2435" s="889"/>
      <c r="BC2435" s="890"/>
      <c r="BD2435" s="952"/>
      <c r="BE2435" s="75"/>
      <c r="BF2435" s="572"/>
      <c r="BG2435" s="983"/>
      <c r="BH2435" s="222"/>
      <c r="BL2435" s="889"/>
      <c r="BO2435" s="223"/>
    </row>
    <row r="2436" spans="1:67" s="74" customFormat="1">
      <c r="A2436" s="15"/>
      <c r="B2436" s="15"/>
      <c r="C2436" s="15"/>
      <c r="D2436" s="15"/>
      <c r="E2436" s="6"/>
      <c r="F2436" s="6"/>
      <c r="G2436" s="6"/>
      <c r="K2436" s="223"/>
      <c r="M2436" s="889"/>
      <c r="P2436" s="890"/>
      <c r="T2436" s="889"/>
      <c r="X2436" s="15"/>
      <c r="Y2436" s="1935"/>
      <c r="Z2436" s="1086"/>
      <c r="AA2436" s="230"/>
      <c r="AB2436" s="230"/>
      <c r="AC2436" s="1936"/>
      <c r="AD2436" s="230"/>
      <c r="AE2436" s="230"/>
      <c r="AF2436" s="230"/>
      <c r="AG2436" s="890"/>
      <c r="AJ2436" s="890"/>
      <c r="AN2436" s="223"/>
      <c r="AO2436" s="952"/>
      <c r="AP2436" s="1066"/>
      <c r="AQ2436" s="972"/>
      <c r="AR2436" s="1917"/>
      <c r="AS2436" s="222"/>
      <c r="AZ2436" s="889"/>
      <c r="BC2436" s="890"/>
      <c r="BD2436" s="952"/>
      <c r="BE2436" s="75"/>
      <c r="BF2436" s="572"/>
      <c r="BG2436" s="983"/>
      <c r="BH2436" s="222"/>
      <c r="BL2436" s="889"/>
      <c r="BO2436" s="223"/>
    </row>
    <row r="2437" spans="1:67" s="74" customFormat="1">
      <c r="A2437" s="15"/>
      <c r="B2437" s="15"/>
      <c r="C2437" s="15"/>
      <c r="D2437" s="15"/>
      <c r="E2437" s="6"/>
      <c r="F2437" s="6"/>
      <c r="G2437" s="6"/>
      <c r="K2437" s="223"/>
      <c r="M2437" s="889"/>
      <c r="P2437" s="890"/>
      <c r="T2437" s="889"/>
      <c r="X2437" s="15"/>
      <c r="Y2437" s="1935"/>
      <c r="Z2437" s="1086"/>
      <c r="AA2437" s="230"/>
      <c r="AB2437" s="230"/>
      <c r="AC2437" s="1936"/>
      <c r="AD2437" s="230"/>
      <c r="AE2437" s="230"/>
      <c r="AF2437" s="230"/>
      <c r="AG2437" s="890"/>
      <c r="AJ2437" s="890"/>
      <c r="AN2437" s="223"/>
      <c r="AO2437" s="952"/>
      <c r="AP2437" s="1066"/>
      <c r="AQ2437" s="972"/>
      <c r="AR2437" s="1917"/>
      <c r="AS2437" s="222"/>
      <c r="AZ2437" s="889"/>
      <c r="BC2437" s="890"/>
      <c r="BD2437" s="952"/>
      <c r="BE2437" s="75"/>
      <c r="BF2437" s="572"/>
      <c r="BG2437" s="983"/>
      <c r="BH2437" s="222"/>
      <c r="BL2437" s="889"/>
      <c r="BO2437" s="223"/>
    </row>
    <row r="2438" spans="1:67" s="74" customFormat="1">
      <c r="A2438" s="15"/>
      <c r="B2438" s="15"/>
      <c r="C2438" s="15"/>
      <c r="D2438" s="15"/>
      <c r="E2438" s="6"/>
      <c r="F2438" s="6"/>
      <c r="G2438" s="6"/>
      <c r="K2438" s="223"/>
      <c r="M2438" s="889"/>
      <c r="P2438" s="890"/>
      <c r="T2438" s="889"/>
      <c r="X2438" s="15"/>
      <c r="Y2438" s="1935"/>
      <c r="Z2438" s="1086"/>
      <c r="AA2438" s="230"/>
      <c r="AB2438" s="230"/>
      <c r="AC2438" s="1936"/>
      <c r="AD2438" s="230"/>
      <c r="AE2438" s="230"/>
      <c r="AF2438" s="230"/>
      <c r="AG2438" s="890"/>
      <c r="AJ2438" s="890"/>
      <c r="AN2438" s="223"/>
      <c r="AO2438" s="952"/>
      <c r="AP2438" s="1066"/>
      <c r="AQ2438" s="972"/>
      <c r="AR2438" s="1917"/>
      <c r="AS2438" s="222"/>
      <c r="AZ2438" s="889"/>
      <c r="BC2438" s="890"/>
      <c r="BD2438" s="952"/>
      <c r="BE2438" s="75"/>
      <c r="BF2438" s="572"/>
      <c r="BG2438" s="983"/>
      <c r="BH2438" s="222"/>
      <c r="BL2438" s="889"/>
      <c r="BO2438" s="223"/>
    </row>
    <row r="2439" spans="1:67" s="74" customFormat="1">
      <c r="A2439" s="15"/>
      <c r="B2439" s="15"/>
      <c r="C2439" s="15"/>
      <c r="D2439" s="15"/>
      <c r="E2439" s="6"/>
      <c r="F2439" s="6"/>
      <c r="G2439" s="6"/>
      <c r="K2439" s="223"/>
      <c r="M2439" s="889"/>
      <c r="P2439" s="890"/>
      <c r="T2439" s="889"/>
      <c r="X2439" s="15"/>
      <c r="Y2439" s="1935"/>
      <c r="Z2439" s="1086"/>
      <c r="AA2439" s="230"/>
      <c r="AB2439" s="230"/>
      <c r="AC2439" s="1936"/>
      <c r="AD2439" s="230"/>
      <c r="AE2439" s="230"/>
      <c r="AF2439" s="230"/>
      <c r="AG2439" s="890"/>
      <c r="AJ2439" s="890"/>
      <c r="AN2439" s="223"/>
      <c r="AO2439" s="952"/>
      <c r="AP2439" s="1066"/>
      <c r="AQ2439" s="972"/>
      <c r="AR2439" s="1917"/>
      <c r="AS2439" s="222"/>
      <c r="AZ2439" s="889"/>
      <c r="BC2439" s="890"/>
      <c r="BD2439" s="952"/>
      <c r="BE2439" s="75"/>
      <c r="BF2439" s="572"/>
      <c r="BG2439" s="983"/>
      <c r="BH2439" s="222"/>
      <c r="BL2439" s="889"/>
      <c r="BO2439" s="223"/>
    </row>
    <row r="2440" spans="1:67" s="74" customFormat="1">
      <c r="A2440" s="15"/>
      <c r="B2440" s="15"/>
      <c r="C2440" s="15"/>
      <c r="D2440" s="15"/>
      <c r="E2440" s="6"/>
      <c r="F2440" s="6"/>
      <c r="G2440" s="6"/>
      <c r="K2440" s="223"/>
      <c r="M2440" s="889"/>
      <c r="P2440" s="890"/>
      <c r="T2440" s="889"/>
      <c r="X2440" s="15"/>
      <c r="Y2440" s="1935"/>
      <c r="Z2440" s="1086"/>
      <c r="AA2440" s="230"/>
      <c r="AB2440" s="230"/>
      <c r="AC2440" s="1936"/>
      <c r="AD2440" s="230"/>
      <c r="AE2440" s="230"/>
      <c r="AF2440" s="230"/>
      <c r="AG2440" s="890"/>
      <c r="AJ2440" s="890"/>
      <c r="AN2440" s="223"/>
      <c r="AO2440" s="952"/>
      <c r="AP2440" s="1066"/>
      <c r="AQ2440" s="972"/>
      <c r="AR2440" s="1917"/>
      <c r="AS2440" s="222"/>
      <c r="AZ2440" s="889"/>
      <c r="BC2440" s="890"/>
      <c r="BD2440" s="952"/>
      <c r="BE2440" s="75"/>
      <c r="BF2440" s="572"/>
      <c r="BG2440" s="983"/>
      <c r="BH2440" s="222"/>
      <c r="BL2440" s="889"/>
      <c r="BO2440" s="223"/>
    </row>
    <row r="2441" spans="1:67" s="74" customFormat="1">
      <c r="A2441" s="15"/>
      <c r="B2441" s="15"/>
      <c r="C2441" s="15"/>
      <c r="D2441" s="15"/>
      <c r="E2441" s="6"/>
      <c r="F2441" s="6"/>
      <c r="G2441" s="6"/>
      <c r="K2441" s="223"/>
      <c r="M2441" s="889"/>
      <c r="P2441" s="890"/>
      <c r="T2441" s="889"/>
      <c r="X2441" s="15"/>
      <c r="Y2441" s="1935"/>
      <c r="Z2441" s="1086"/>
      <c r="AA2441" s="230"/>
      <c r="AB2441" s="230"/>
      <c r="AC2441" s="1936"/>
      <c r="AD2441" s="230"/>
      <c r="AE2441" s="230"/>
      <c r="AF2441" s="230"/>
      <c r="AG2441" s="890"/>
      <c r="AJ2441" s="890"/>
      <c r="AN2441" s="223"/>
      <c r="AO2441" s="952"/>
      <c r="AP2441" s="1066"/>
      <c r="AQ2441" s="972"/>
      <c r="AR2441" s="1917"/>
      <c r="AS2441" s="222"/>
      <c r="AZ2441" s="889"/>
      <c r="BC2441" s="890"/>
      <c r="BD2441" s="952"/>
      <c r="BE2441" s="75"/>
      <c r="BF2441" s="572"/>
      <c r="BG2441" s="983"/>
      <c r="BH2441" s="222"/>
      <c r="BL2441" s="889"/>
      <c r="BO2441" s="223"/>
    </row>
    <row r="2442" spans="1:67" s="74" customFormat="1">
      <c r="A2442" s="15"/>
      <c r="B2442" s="15"/>
      <c r="C2442" s="15"/>
      <c r="D2442" s="15"/>
      <c r="E2442" s="6"/>
      <c r="F2442" s="6"/>
      <c r="G2442" s="6"/>
      <c r="K2442" s="223"/>
      <c r="M2442" s="889"/>
      <c r="P2442" s="890"/>
      <c r="T2442" s="889"/>
      <c r="X2442" s="15"/>
      <c r="Y2442" s="1935"/>
      <c r="Z2442" s="1086"/>
      <c r="AA2442" s="230"/>
      <c r="AB2442" s="230"/>
      <c r="AC2442" s="1936"/>
      <c r="AD2442" s="230"/>
      <c r="AE2442" s="230"/>
      <c r="AF2442" s="230"/>
      <c r="AG2442" s="890"/>
      <c r="AJ2442" s="890"/>
      <c r="AN2442" s="223"/>
      <c r="AO2442" s="952"/>
      <c r="AP2442" s="1066"/>
      <c r="AQ2442" s="972"/>
      <c r="AR2442" s="1917"/>
      <c r="AS2442" s="222"/>
      <c r="AZ2442" s="889"/>
      <c r="BC2442" s="890"/>
      <c r="BD2442" s="952"/>
      <c r="BE2442" s="75"/>
      <c r="BF2442" s="572"/>
      <c r="BG2442" s="983"/>
      <c r="BH2442" s="222"/>
      <c r="BL2442" s="889"/>
      <c r="BO2442" s="223"/>
    </row>
    <row r="2443" spans="1:67" s="74" customFormat="1">
      <c r="A2443" s="15"/>
      <c r="B2443" s="15"/>
      <c r="C2443" s="15"/>
      <c r="D2443" s="15"/>
      <c r="E2443" s="6"/>
      <c r="F2443" s="6"/>
      <c r="G2443" s="6"/>
      <c r="K2443" s="223"/>
      <c r="M2443" s="889"/>
      <c r="P2443" s="890"/>
      <c r="T2443" s="889"/>
      <c r="X2443" s="15"/>
      <c r="Y2443" s="1935"/>
      <c r="Z2443" s="1086"/>
      <c r="AA2443" s="230"/>
      <c r="AB2443" s="230"/>
      <c r="AC2443" s="1936"/>
      <c r="AD2443" s="230"/>
      <c r="AE2443" s="230"/>
      <c r="AF2443" s="230"/>
      <c r="AG2443" s="890"/>
      <c r="AJ2443" s="890"/>
      <c r="AN2443" s="223"/>
      <c r="AO2443" s="952"/>
      <c r="AP2443" s="1066"/>
      <c r="AQ2443" s="972"/>
      <c r="AR2443" s="1917"/>
      <c r="AS2443" s="222"/>
      <c r="AZ2443" s="889"/>
      <c r="BC2443" s="890"/>
      <c r="BD2443" s="952"/>
      <c r="BE2443" s="75"/>
      <c r="BF2443" s="572"/>
      <c r="BG2443" s="983"/>
      <c r="BH2443" s="222"/>
      <c r="BL2443" s="889"/>
      <c r="BO2443" s="223"/>
    </row>
    <row r="2444" spans="1:67" s="74" customFormat="1">
      <c r="A2444" s="15"/>
      <c r="B2444" s="15"/>
      <c r="C2444" s="15"/>
      <c r="D2444" s="15"/>
      <c r="E2444" s="6"/>
      <c r="F2444" s="6"/>
      <c r="G2444" s="6"/>
      <c r="K2444" s="223"/>
      <c r="M2444" s="889"/>
      <c r="P2444" s="890"/>
      <c r="T2444" s="889"/>
      <c r="X2444" s="15"/>
      <c r="Y2444" s="1935"/>
      <c r="Z2444" s="1086"/>
      <c r="AA2444" s="230"/>
      <c r="AB2444" s="230"/>
      <c r="AC2444" s="1936"/>
      <c r="AD2444" s="230"/>
      <c r="AE2444" s="230"/>
      <c r="AF2444" s="230"/>
      <c r="AG2444" s="890"/>
      <c r="AJ2444" s="890"/>
      <c r="AN2444" s="223"/>
      <c r="AO2444" s="952"/>
      <c r="AP2444" s="1066"/>
      <c r="AQ2444" s="972"/>
      <c r="AR2444" s="1917"/>
      <c r="AS2444" s="222"/>
      <c r="AZ2444" s="889"/>
      <c r="BC2444" s="890"/>
      <c r="BD2444" s="952"/>
      <c r="BE2444" s="75"/>
      <c r="BF2444" s="572"/>
      <c r="BG2444" s="983"/>
      <c r="BH2444" s="222"/>
      <c r="BL2444" s="889"/>
      <c r="BO2444" s="223"/>
    </row>
    <row r="2445" spans="1:67" s="74" customFormat="1">
      <c r="A2445" s="15"/>
      <c r="B2445" s="15"/>
      <c r="C2445" s="15"/>
      <c r="D2445" s="15"/>
      <c r="E2445" s="6"/>
      <c r="F2445" s="6"/>
      <c r="G2445" s="6"/>
      <c r="K2445" s="223"/>
      <c r="M2445" s="889"/>
      <c r="P2445" s="890"/>
      <c r="T2445" s="889"/>
      <c r="X2445" s="15"/>
      <c r="Y2445" s="1935"/>
      <c r="Z2445" s="1086"/>
      <c r="AA2445" s="230"/>
      <c r="AB2445" s="230"/>
      <c r="AC2445" s="1936"/>
      <c r="AD2445" s="230"/>
      <c r="AE2445" s="230"/>
      <c r="AF2445" s="230"/>
      <c r="AG2445" s="890"/>
      <c r="AJ2445" s="890"/>
      <c r="AN2445" s="223"/>
      <c r="AO2445" s="952"/>
      <c r="AP2445" s="1066"/>
      <c r="AQ2445" s="972"/>
      <c r="AR2445" s="1917"/>
      <c r="AS2445" s="222"/>
      <c r="AZ2445" s="889"/>
      <c r="BC2445" s="890"/>
      <c r="BD2445" s="952"/>
      <c r="BE2445" s="75"/>
      <c r="BF2445" s="572"/>
      <c r="BG2445" s="983"/>
      <c r="BH2445" s="222"/>
      <c r="BL2445" s="889"/>
      <c r="BO2445" s="223"/>
    </row>
    <row r="2446" spans="1:67" s="74" customFormat="1">
      <c r="A2446" s="15"/>
      <c r="B2446" s="15"/>
      <c r="C2446" s="15"/>
      <c r="D2446" s="15"/>
      <c r="E2446" s="6"/>
      <c r="F2446" s="6"/>
      <c r="G2446" s="6"/>
      <c r="K2446" s="223"/>
      <c r="M2446" s="889"/>
      <c r="P2446" s="890"/>
      <c r="T2446" s="889"/>
      <c r="X2446" s="15"/>
      <c r="Y2446" s="1935"/>
      <c r="Z2446" s="1086"/>
      <c r="AA2446" s="230"/>
      <c r="AB2446" s="230"/>
      <c r="AC2446" s="1936"/>
      <c r="AD2446" s="230"/>
      <c r="AE2446" s="230"/>
      <c r="AF2446" s="230"/>
      <c r="AG2446" s="890"/>
      <c r="AJ2446" s="890"/>
      <c r="AN2446" s="223"/>
      <c r="AO2446" s="952"/>
      <c r="AP2446" s="1066"/>
      <c r="AQ2446" s="972"/>
      <c r="AR2446" s="1917"/>
      <c r="AS2446" s="222"/>
      <c r="AZ2446" s="889"/>
      <c r="BC2446" s="890"/>
      <c r="BD2446" s="952"/>
      <c r="BE2446" s="75"/>
      <c r="BF2446" s="572"/>
      <c r="BG2446" s="983"/>
      <c r="BH2446" s="222"/>
      <c r="BL2446" s="889"/>
      <c r="BO2446" s="223"/>
    </row>
    <row r="2447" spans="1:67" s="74" customFormat="1">
      <c r="A2447" s="15"/>
      <c r="B2447" s="15"/>
      <c r="C2447" s="15"/>
      <c r="D2447" s="15"/>
      <c r="E2447" s="6"/>
      <c r="F2447" s="6"/>
      <c r="G2447" s="6"/>
      <c r="K2447" s="223"/>
      <c r="M2447" s="889"/>
      <c r="P2447" s="890"/>
      <c r="T2447" s="889"/>
      <c r="X2447" s="15"/>
      <c r="Y2447" s="1935"/>
      <c r="Z2447" s="1086"/>
      <c r="AA2447" s="230"/>
      <c r="AB2447" s="230"/>
      <c r="AC2447" s="1936"/>
      <c r="AD2447" s="230"/>
      <c r="AE2447" s="230"/>
      <c r="AF2447" s="230"/>
      <c r="AG2447" s="890"/>
      <c r="AJ2447" s="890"/>
      <c r="AN2447" s="223"/>
      <c r="AO2447" s="952"/>
      <c r="AP2447" s="1066"/>
      <c r="AQ2447" s="972"/>
      <c r="AR2447" s="1917"/>
      <c r="AS2447" s="222"/>
      <c r="AZ2447" s="889"/>
      <c r="BC2447" s="890"/>
      <c r="BD2447" s="952"/>
      <c r="BE2447" s="75"/>
      <c r="BF2447" s="572"/>
      <c r="BG2447" s="983"/>
      <c r="BH2447" s="222"/>
      <c r="BL2447" s="889"/>
      <c r="BO2447" s="223"/>
    </row>
    <row r="2448" spans="1:67" s="74" customFormat="1">
      <c r="A2448" s="15"/>
      <c r="B2448" s="15"/>
      <c r="C2448" s="15"/>
      <c r="D2448" s="15"/>
      <c r="E2448" s="6"/>
      <c r="F2448" s="6"/>
      <c r="G2448" s="6"/>
      <c r="K2448" s="223"/>
      <c r="M2448" s="889"/>
      <c r="P2448" s="890"/>
      <c r="T2448" s="889"/>
      <c r="X2448" s="15"/>
      <c r="Y2448" s="1935"/>
      <c r="Z2448" s="1086"/>
      <c r="AA2448" s="230"/>
      <c r="AB2448" s="230"/>
      <c r="AC2448" s="1936"/>
      <c r="AD2448" s="230"/>
      <c r="AE2448" s="230"/>
      <c r="AF2448" s="230"/>
      <c r="AG2448" s="890"/>
      <c r="AJ2448" s="890"/>
      <c r="AN2448" s="223"/>
      <c r="AO2448" s="952"/>
      <c r="AP2448" s="1066"/>
      <c r="AQ2448" s="972"/>
      <c r="AR2448" s="1917"/>
      <c r="AS2448" s="222"/>
      <c r="AZ2448" s="889"/>
      <c r="BC2448" s="890"/>
      <c r="BD2448" s="952"/>
      <c r="BE2448" s="75"/>
      <c r="BF2448" s="572"/>
      <c r="BG2448" s="983"/>
      <c r="BH2448" s="222"/>
      <c r="BL2448" s="889"/>
      <c r="BO2448" s="223"/>
    </row>
    <row r="2449" spans="1:67" s="74" customFormat="1">
      <c r="A2449" s="15"/>
      <c r="B2449" s="15"/>
      <c r="C2449" s="15"/>
      <c r="D2449" s="15"/>
      <c r="E2449" s="6"/>
      <c r="F2449" s="6"/>
      <c r="G2449" s="6"/>
      <c r="K2449" s="223"/>
      <c r="M2449" s="889"/>
      <c r="P2449" s="890"/>
      <c r="T2449" s="889"/>
      <c r="X2449" s="15"/>
      <c r="Y2449" s="1935"/>
      <c r="Z2449" s="1086"/>
      <c r="AA2449" s="230"/>
      <c r="AB2449" s="230"/>
      <c r="AC2449" s="1936"/>
      <c r="AD2449" s="230"/>
      <c r="AE2449" s="230"/>
      <c r="AF2449" s="230"/>
      <c r="AG2449" s="890"/>
      <c r="AJ2449" s="890"/>
      <c r="AN2449" s="223"/>
      <c r="AO2449" s="952"/>
      <c r="AP2449" s="1066"/>
      <c r="AQ2449" s="972"/>
      <c r="AR2449" s="1917"/>
      <c r="AS2449" s="222"/>
      <c r="AZ2449" s="889"/>
      <c r="BC2449" s="890"/>
      <c r="BD2449" s="952"/>
      <c r="BE2449" s="75"/>
      <c r="BF2449" s="572"/>
      <c r="BG2449" s="983"/>
      <c r="BH2449" s="222"/>
      <c r="BL2449" s="889"/>
      <c r="BO2449" s="223"/>
    </row>
    <row r="2450" spans="1:67" s="74" customFormat="1">
      <c r="A2450" s="15"/>
      <c r="B2450" s="15"/>
      <c r="C2450" s="15"/>
      <c r="D2450" s="15"/>
      <c r="E2450" s="6"/>
      <c r="F2450" s="6"/>
      <c r="G2450" s="6"/>
      <c r="K2450" s="223"/>
      <c r="M2450" s="889"/>
      <c r="P2450" s="890"/>
      <c r="T2450" s="889"/>
      <c r="X2450" s="15"/>
      <c r="Y2450" s="1935"/>
      <c r="Z2450" s="1086"/>
      <c r="AA2450" s="230"/>
      <c r="AB2450" s="230"/>
      <c r="AC2450" s="1936"/>
      <c r="AD2450" s="230"/>
      <c r="AE2450" s="230"/>
      <c r="AF2450" s="230"/>
      <c r="AG2450" s="890"/>
      <c r="AJ2450" s="890"/>
      <c r="AN2450" s="223"/>
      <c r="AO2450" s="952"/>
      <c r="AP2450" s="1066"/>
      <c r="AQ2450" s="972"/>
      <c r="AR2450" s="1917"/>
      <c r="AS2450" s="222"/>
      <c r="AZ2450" s="889"/>
      <c r="BC2450" s="890"/>
      <c r="BD2450" s="952"/>
      <c r="BE2450" s="75"/>
      <c r="BF2450" s="572"/>
      <c r="BG2450" s="983"/>
      <c r="BH2450" s="222"/>
      <c r="BL2450" s="889"/>
      <c r="BO2450" s="223"/>
    </row>
    <row r="2451" spans="1:67" s="74" customFormat="1">
      <c r="A2451" s="15"/>
      <c r="B2451" s="15"/>
      <c r="C2451" s="15"/>
      <c r="D2451" s="15"/>
      <c r="E2451" s="6"/>
      <c r="F2451" s="6"/>
      <c r="G2451" s="6"/>
      <c r="K2451" s="223"/>
      <c r="M2451" s="889"/>
      <c r="P2451" s="890"/>
      <c r="T2451" s="889"/>
      <c r="X2451" s="15"/>
      <c r="Y2451" s="1935"/>
      <c r="Z2451" s="1086"/>
      <c r="AA2451" s="230"/>
      <c r="AB2451" s="230"/>
      <c r="AC2451" s="1936"/>
      <c r="AD2451" s="230"/>
      <c r="AE2451" s="230"/>
      <c r="AF2451" s="230"/>
      <c r="AG2451" s="890"/>
      <c r="AJ2451" s="890"/>
      <c r="AN2451" s="223"/>
      <c r="AO2451" s="952"/>
      <c r="AP2451" s="1066"/>
      <c r="AQ2451" s="972"/>
      <c r="AR2451" s="1917"/>
      <c r="AS2451" s="222"/>
      <c r="AZ2451" s="889"/>
      <c r="BC2451" s="890"/>
      <c r="BD2451" s="952"/>
      <c r="BE2451" s="75"/>
      <c r="BF2451" s="572"/>
      <c r="BG2451" s="983"/>
      <c r="BH2451" s="222"/>
      <c r="BL2451" s="889"/>
      <c r="BO2451" s="223"/>
    </row>
    <row r="2452" spans="1:67" s="74" customFormat="1">
      <c r="A2452" s="15"/>
      <c r="B2452" s="15"/>
      <c r="C2452" s="15"/>
      <c r="D2452" s="15"/>
      <c r="E2452" s="6"/>
      <c r="F2452" s="6"/>
      <c r="G2452" s="6"/>
      <c r="K2452" s="223"/>
      <c r="M2452" s="889"/>
      <c r="P2452" s="890"/>
      <c r="T2452" s="889"/>
      <c r="X2452" s="15"/>
      <c r="Y2452" s="1935"/>
      <c r="Z2452" s="1086"/>
      <c r="AA2452" s="230"/>
      <c r="AB2452" s="230"/>
      <c r="AC2452" s="1936"/>
      <c r="AD2452" s="230"/>
      <c r="AE2452" s="230"/>
      <c r="AF2452" s="230"/>
      <c r="AG2452" s="890"/>
      <c r="AJ2452" s="890"/>
      <c r="AN2452" s="223"/>
      <c r="AO2452" s="952"/>
      <c r="AP2452" s="1066"/>
      <c r="AQ2452" s="972"/>
      <c r="AR2452" s="1917"/>
      <c r="AS2452" s="222"/>
      <c r="AZ2452" s="889"/>
      <c r="BC2452" s="890"/>
      <c r="BD2452" s="952"/>
      <c r="BE2452" s="75"/>
      <c r="BF2452" s="572"/>
      <c r="BG2452" s="983"/>
      <c r="BH2452" s="222"/>
      <c r="BL2452" s="889"/>
      <c r="BO2452" s="223"/>
    </row>
    <row r="2453" spans="1:67" s="74" customFormat="1">
      <c r="A2453" s="15"/>
      <c r="B2453" s="15"/>
      <c r="C2453" s="15"/>
      <c r="D2453" s="15"/>
      <c r="E2453" s="6"/>
      <c r="F2453" s="6"/>
      <c r="G2453" s="6"/>
      <c r="K2453" s="223"/>
      <c r="M2453" s="889"/>
      <c r="P2453" s="890"/>
      <c r="T2453" s="889"/>
      <c r="X2453" s="15"/>
      <c r="Y2453" s="1935"/>
      <c r="Z2453" s="1086"/>
      <c r="AA2453" s="230"/>
      <c r="AB2453" s="230"/>
      <c r="AC2453" s="1936"/>
      <c r="AD2453" s="230"/>
      <c r="AE2453" s="230"/>
      <c r="AF2453" s="230"/>
      <c r="AG2453" s="890"/>
      <c r="AJ2453" s="890"/>
      <c r="AN2453" s="223"/>
      <c r="AO2453" s="952"/>
      <c r="AP2453" s="1066"/>
      <c r="AQ2453" s="972"/>
      <c r="AR2453" s="1917"/>
      <c r="AS2453" s="222"/>
      <c r="AZ2453" s="889"/>
      <c r="BC2453" s="890"/>
      <c r="BD2453" s="952"/>
      <c r="BE2453" s="75"/>
      <c r="BF2453" s="572"/>
      <c r="BG2453" s="983"/>
      <c r="BH2453" s="222"/>
      <c r="BL2453" s="889"/>
      <c r="BO2453" s="223"/>
    </row>
    <row r="2454" spans="1:67" s="74" customFormat="1">
      <c r="A2454" s="15"/>
      <c r="B2454" s="15"/>
      <c r="C2454" s="15"/>
      <c r="D2454" s="15"/>
      <c r="E2454" s="6"/>
      <c r="F2454" s="6"/>
      <c r="G2454" s="6"/>
      <c r="K2454" s="223"/>
      <c r="M2454" s="889"/>
      <c r="P2454" s="890"/>
      <c r="T2454" s="889"/>
      <c r="X2454" s="15"/>
      <c r="Y2454" s="1935"/>
      <c r="Z2454" s="1086"/>
      <c r="AA2454" s="230"/>
      <c r="AB2454" s="230"/>
      <c r="AC2454" s="1936"/>
      <c r="AD2454" s="230"/>
      <c r="AE2454" s="230"/>
      <c r="AF2454" s="230"/>
      <c r="AG2454" s="890"/>
      <c r="AJ2454" s="890"/>
      <c r="AN2454" s="223"/>
      <c r="AO2454" s="952"/>
      <c r="AP2454" s="1066"/>
      <c r="AQ2454" s="972"/>
      <c r="AR2454" s="1917"/>
      <c r="AS2454" s="222"/>
      <c r="AZ2454" s="889"/>
      <c r="BC2454" s="890"/>
      <c r="BD2454" s="952"/>
      <c r="BE2454" s="75"/>
      <c r="BF2454" s="572"/>
      <c r="BG2454" s="983"/>
      <c r="BH2454" s="222"/>
      <c r="BL2454" s="889"/>
      <c r="BO2454" s="223"/>
    </row>
    <row r="2455" spans="1:67" s="74" customFormat="1">
      <c r="A2455" s="15"/>
      <c r="B2455" s="15"/>
      <c r="C2455" s="15"/>
      <c r="D2455" s="15"/>
      <c r="E2455" s="6"/>
      <c r="F2455" s="6"/>
      <c r="G2455" s="6"/>
      <c r="K2455" s="223"/>
      <c r="M2455" s="889"/>
      <c r="P2455" s="890"/>
      <c r="T2455" s="889"/>
      <c r="X2455" s="15"/>
      <c r="Y2455" s="1935"/>
      <c r="Z2455" s="1086"/>
      <c r="AA2455" s="230"/>
      <c r="AB2455" s="230"/>
      <c r="AC2455" s="1936"/>
      <c r="AD2455" s="230"/>
      <c r="AE2455" s="230"/>
      <c r="AF2455" s="230"/>
      <c r="AG2455" s="890"/>
      <c r="AJ2455" s="890"/>
      <c r="AN2455" s="223"/>
      <c r="AO2455" s="952"/>
      <c r="AP2455" s="1066"/>
      <c r="AQ2455" s="972"/>
      <c r="AR2455" s="1917"/>
      <c r="AS2455" s="222"/>
      <c r="AZ2455" s="889"/>
      <c r="BC2455" s="890"/>
      <c r="BD2455" s="952"/>
      <c r="BE2455" s="75"/>
      <c r="BF2455" s="572"/>
      <c r="BG2455" s="983"/>
      <c r="BH2455" s="222"/>
      <c r="BL2455" s="889"/>
      <c r="BO2455" s="223"/>
    </row>
    <row r="2456" spans="1:67" s="74" customFormat="1">
      <c r="A2456" s="15"/>
      <c r="B2456" s="15"/>
      <c r="C2456" s="15"/>
      <c r="D2456" s="15"/>
      <c r="E2456" s="6"/>
      <c r="F2456" s="6"/>
      <c r="G2456" s="6"/>
      <c r="K2456" s="223"/>
      <c r="M2456" s="889"/>
      <c r="P2456" s="890"/>
      <c r="T2456" s="889"/>
      <c r="X2456" s="15"/>
      <c r="Y2456" s="1935"/>
      <c r="Z2456" s="1086"/>
      <c r="AA2456" s="230"/>
      <c r="AB2456" s="230"/>
      <c r="AC2456" s="1936"/>
      <c r="AD2456" s="230"/>
      <c r="AE2456" s="230"/>
      <c r="AF2456" s="230"/>
      <c r="AG2456" s="890"/>
      <c r="AJ2456" s="890"/>
      <c r="AN2456" s="223"/>
      <c r="AO2456" s="952"/>
      <c r="AP2456" s="1066"/>
      <c r="AQ2456" s="972"/>
      <c r="AR2456" s="1917"/>
      <c r="AS2456" s="222"/>
      <c r="AZ2456" s="889"/>
      <c r="BC2456" s="890"/>
      <c r="BD2456" s="952"/>
      <c r="BE2456" s="75"/>
      <c r="BF2456" s="572"/>
      <c r="BG2456" s="983"/>
      <c r="BH2456" s="222"/>
      <c r="BL2456" s="889"/>
      <c r="BO2456" s="223"/>
    </row>
    <row r="2457" spans="1:67" s="74" customFormat="1">
      <c r="A2457" s="15"/>
      <c r="B2457" s="15"/>
      <c r="C2457" s="15"/>
      <c r="D2457" s="15"/>
      <c r="E2457" s="6"/>
      <c r="F2457" s="6"/>
      <c r="G2457" s="6"/>
      <c r="K2457" s="223"/>
      <c r="M2457" s="889"/>
      <c r="P2457" s="890"/>
      <c r="T2457" s="889"/>
      <c r="X2457" s="15"/>
      <c r="Y2457" s="1935"/>
      <c r="Z2457" s="1086"/>
      <c r="AA2457" s="230"/>
      <c r="AB2457" s="230"/>
      <c r="AC2457" s="1936"/>
      <c r="AD2457" s="230"/>
      <c r="AE2457" s="230"/>
      <c r="AF2457" s="230"/>
      <c r="AG2457" s="890"/>
      <c r="AJ2457" s="890"/>
      <c r="AN2457" s="223"/>
      <c r="AO2457" s="952"/>
      <c r="AP2457" s="1066"/>
      <c r="AQ2457" s="972"/>
      <c r="AR2457" s="1917"/>
      <c r="AS2457" s="222"/>
      <c r="AZ2457" s="889"/>
      <c r="BC2457" s="890"/>
      <c r="BD2457" s="952"/>
      <c r="BE2457" s="75"/>
      <c r="BF2457" s="572"/>
      <c r="BG2457" s="983"/>
      <c r="BH2457" s="222"/>
      <c r="BL2457" s="889"/>
      <c r="BO2457" s="223"/>
    </row>
    <row r="2458" spans="1:67" s="74" customFormat="1">
      <c r="A2458" s="15"/>
      <c r="B2458" s="15"/>
      <c r="C2458" s="15"/>
      <c r="D2458" s="15"/>
      <c r="E2458" s="6"/>
      <c r="F2458" s="6"/>
      <c r="G2458" s="6"/>
      <c r="K2458" s="223"/>
      <c r="M2458" s="889"/>
      <c r="P2458" s="890"/>
      <c r="T2458" s="889"/>
      <c r="X2458" s="15"/>
      <c r="Y2458" s="1935"/>
      <c r="Z2458" s="1086"/>
      <c r="AA2458" s="230"/>
      <c r="AB2458" s="230"/>
      <c r="AC2458" s="1936"/>
      <c r="AD2458" s="230"/>
      <c r="AE2458" s="230"/>
      <c r="AF2458" s="230"/>
      <c r="AG2458" s="890"/>
      <c r="AJ2458" s="890"/>
      <c r="AN2458" s="223"/>
      <c r="AO2458" s="952"/>
      <c r="AP2458" s="1066"/>
      <c r="AQ2458" s="972"/>
      <c r="AR2458" s="1917"/>
      <c r="AS2458" s="222"/>
      <c r="AZ2458" s="889"/>
      <c r="BC2458" s="890"/>
      <c r="BD2458" s="952"/>
      <c r="BE2458" s="75"/>
      <c r="BF2458" s="572"/>
      <c r="BG2458" s="983"/>
      <c r="BH2458" s="222"/>
      <c r="BL2458" s="889"/>
      <c r="BO2458" s="223"/>
    </row>
    <row r="2459" spans="1:67" s="74" customFormat="1">
      <c r="A2459" s="15"/>
      <c r="B2459" s="15"/>
      <c r="C2459" s="15"/>
      <c r="D2459" s="15"/>
      <c r="E2459" s="6"/>
      <c r="F2459" s="6"/>
      <c r="G2459" s="6"/>
      <c r="K2459" s="223"/>
      <c r="M2459" s="889"/>
      <c r="P2459" s="890"/>
      <c r="T2459" s="889"/>
      <c r="X2459" s="15"/>
      <c r="Y2459" s="1935"/>
      <c r="Z2459" s="1086"/>
      <c r="AA2459" s="230"/>
      <c r="AB2459" s="230"/>
      <c r="AC2459" s="1936"/>
      <c r="AD2459" s="230"/>
      <c r="AE2459" s="230"/>
      <c r="AF2459" s="230"/>
      <c r="AG2459" s="890"/>
      <c r="AJ2459" s="890"/>
      <c r="AN2459" s="223"/>
      <c r="AO2459" s="952"/>
      <c r="AP2459" s="1066"/>
      <c r="AQ2459" s="972"/>
      <c r="AR2459" s="1917"/>
      <c r="AS2459" s="222"/>
      <c r="AZ2459" s="889"/>
      <c r="BC2459" s="890"/>
      <c r="BD2459" s="952"/>
      <c r="BE2459" s="75"/>
      <c r="BF2459" s="572"/>
      <c r="BG2459" s="983"/>
      <c r="BH2459" s="222"/>
      <c r="BL2459" s="889"/>
      <c r="BO2459" s="223"/>
    </row>
    <row r="2460" spans="1:67" s="74" customFormat="1">
      <c r="A2460" s="15"/>
      <c r="B2460" s="15"/>
      <c r="C2460" s="15"/>
      <c r="D2460" s="15"/>
      <c r="E2460" s="6"/>
      <c r="F2460" s="6"/>
      <c r="G2460" s="6"/>
      <c r="K2460" s="223"/>
      <c r="M2460" s="889"/>
      <c r="P2460" s="890"/>
      <c r="T2460" s="889"/>
      <c r="X2460" s="15"/>
      <c r="Y2460" s="1935"/>
      <c r="Z2460" s="1086"/>
      <c r="AA2460" s="230"/>
      <c r="AB2460" s="230"/>
      <c r="AC2460" s="1936"/>
      <c r="AD2460" s="230"/>
      <c r="AE2460" s="230"/>
      <c r="AF2460" s="230"/>
      <c r="AG2460" s="890"/>
      <c r="AJ2460" s="890"/>
      <c r="AN2460" s="223"/>
      <c r="AO2460" s="952"/>
      <c r="AP2460" s="1066"/>
      <c r="AQ2460" s="972"/>
      <c r="AR2460" s="1917"/>
      <c r="AS2460" s="222"/>
      <c r="AZ2460" s="889"/>
      <c r="BC2460" s="890"/>
      <c r="BD2460" s="952"/>
      <c r="BE2460" s="75"/>
      <c r="BF2460" s="572"/>
      <c r="BG2460" s="983"/>
      <c r="BH2460" s="222"/>
      <c r="BL2460" s="889"/>
      <c r="BO2460" s="223"/>
    </row>
    <row r="2461" spans="1:67" s="74" customFormat="1">
      <c r="A2461" s="15"/>
      <c r="B2461" s="15"/>
      <c r="C2461" s="15"/>
      <c r="D2461" s="15"/>
      <c r="E2461" s="6"/>
      <c r="F2461" s="6"/>
      <c r="G2461" s="6"/>
      <c r="K2461" s="223"/>
      <c r="M2461" s="889"/>
      <c r="P2461" s="890"/>
      <c r="T2461" s="889"/>
      <c r="X2461" s="15"/>
      <c r="Y2461" s="1935"/>
      <c r="Z2461" s="1086"/>
      <c r="AA2461" s="230"/>
      <c r="AB2461" s="230"/>
      <c r="AC2461" s="1936"/>
      <c r="AD2461" s="230"/>
      <c r="AE2461" s="230"/>
      <c r="AF2461" s="230"/>
      <c r="AG2461" s="890"/>
      <c r="AJ2461" s="890"/>
      <c r="AN2461" s="223"/>
      <c r="AO2461" s="952"/>
      <c r="AP2461" s="1066"/>
      <c r="AQ2461" s="972"/>
      <c r="AR2461" s="1917"/>
      <c r="AS2461" s="222"/>
      <c r="AZ2461" s="889"/>
      <c r="BC2461" s="890"/>
      <c r="BD2461" s="952"/>
      <c r="BE2461" s="75"/>
      <c r="BF2461" s="572"/>
      <c r="BG2461" s="983"/>
      <c r="BH2461" s="222"/>
      <c r="BL2461" s="889"/>
      <c r="BO2461" s="223"/>
    </row>
    <row r="2462" spans="1:67" s="74" customFormat="1">
      <c r="A2462" s="15"/>
      <c r="B2462" s="15"/>
      <c r="C2462" s="15"/>
      <c r="D2462" s="15"/>
      <c r="E2462" s="6"/>
      <c r="F2462" s="6"/>
      <c r="G2462" s="6"/>
      <c r="K2462" s="223"/>
      <c r="M2462" s="889"/>
      <c r="P2462" s="890"/>
      <c r="T2462" s="889"/>
      <c r="X2462" s="15"/>
      <c r="Y2462" s="1935"/>
      <c r="Z2462" s="1086"/>
      <c r="AA2462" s="230"/>
      <c r="AB2462" s="230"/>
      <c r="AC2462" s="1936"/>
      <c r="AD2462" s="230"/>
      <c r="AE2462" s="230"/>
      <c r="AF2462" s="230"/>
      <c r="AG2462" s="890"/>
      <c r="AJ2462" s="890"/>
      <c r="AN2462" s="223"/>
      <c r="AO2462" s="952"/>
      <c r="AP2462" s="1066"/>
      <c r="AQ2462" s="972"/>
      <c r="AR2462" s="1917"/>
      <c r="AS2462" s="222"/>
      <c r="AZ2462" s="889"/>
      <c r="BC2462" s="890"/>
      <c r="BD2462" s="952"/>
      <c r="BE2462" s="75"/>
      <c r="BF2462" s="572"/>
      <c r="BG2462" s="983"/>
      <c r="BH2462" s="222"/>
      <c r="BL2462" s="889"/>
      <c r="BO2462" s="223"/>
    </row>
    <row r="2463" spans="1:67" s="74" customFormat="1">
      <c r="A2463" s="15"/>
      <c r="B2463" s="15"/>
      <c r="C2463" s="15"/>
      <c r="D2463" s="15"/>
      <c r="E2463" s="6"/>
      <c r="F2463" s="6"/>
      <c r="G2463" s="6"/>
      <c r="K2463" s="223"/>
      <c r="M2463" s="889"/>
      <c r="P2463" s="890"/>
      <c r="T2463" s="889"/>
      <c r="X2463" s="15"/>
      <c r="Y2463" s="1935"/>
      <c r="Z2463" s="1086"/>
      <c r="AA2463" s="230"/>
      <c r="AB2463" s="230"/>
      <c r="AC2463" s="1936"/>
      <c r="AD2463" s="230"/>
      <c r="AE2463" s="230"/>
      <c r="AF2463" s="230"/>
      <c r="AG2463" s="890"/>
      <c r="AJ2463" s="890"/>
      <c r="AN2463" s="223"/>
      <c r="AO2463" s="952"/>
      <c r="AP2463" s="1066"/>
      <c r="AQ2463" s="972"/>
      <c r="AR2463" s="1917"/>
      <c r="AS2463" s="222"/>
      <c r="AZ2463" s="889"/>
      <c r="BC2463" s="890"/>
      <c r="BD2463" s="952"/>
      <c r="BE2463" s="75"/>
      <c r="BF2463" s="572"/>
      <c r="BG2463" s="983"/>
      <c r="BH2463" s="222"/>
      <c r="BL2463" s="889"/>
      <c r="BO2463" s="223"/>
    </row>
    <row r="2464" spans="1:67" s="74" customFormat="1">
      <c r="A2464" s="15"/>
      <c r="B2464" s="15"/>
      <c r="C2464" s="15"/>
      <c r="D2464" s="15"/>
      <c r="E2464" s="6"/>
      <c r="F2464" s="6"/>
      <c r="G2464" s="6"/>
      <c r="K2464" s="223"/>
      <c r="M2464" s="889"/>
      <c r="P2464" s="890"/>
      <c r="T2464" s="889"/>
      <c r="X2464" s="15"/>
      <c r="Y2464" s="1935"/>
      <c r="Z2464" s="1086"/>
      <c r="AA2464" s="230"/>
      <c r="AB2464" s="230"/>
      <c r="AC2464" s="1936"/>
      <c r="AD2464" s="230"/>
      <c r="AE2464" s="230"/>
      <c r="AF2464" s="230"/>
      <c r="AG2464" s="890"/>
      <c r="AJ2464" s="890"/>
      <c r="AN2464" s="223"/>
      <c r="AO2464" s="952"/>
      <c r="AP2464" s="1066"/>
      <c r="AQ2464" s="972"/>
      <c r="AR2464" s="1917"/>
      <c r="AS2464" s="222"/>
      <c r="AZ2464" s="889"/>
      <c r="BC2464" s="890"/>
      <c r="BD2464" s="952"/>
      <c r="BE2464" s="75"/>
      <c r="BF2464" s="572"/>
      <c r="BG2464" s="983"/>
      <c r="BH2464" s="222"/>
      <c r="BL2464" s="889"/>
      <c r="BO2464" s="223"/>
    </row>
    <row r="2465" spans="1:67" s="74" customFormat="1">
      <c r="A2465" s="15"/>
      <c r="B2465" s="15"/>
      <c r="C2465" s="15"/>
      <c r="D2465" s="15"/>
      <c r="E2465" s="6"/>
      <c r="F2465" s="6"/>
      <c r="G2465" s="6"/>
      <c r="K2465" s="223"/>
      <c r="M2465" s="889"/>
      <c r="P2465" s="890"/>
      <c r="T2465" s="889"/>
      <c r="X2465" s="15"/>
      <c r="Y2465" s="1935"/>
      <c r="Z2465" s="1086"/>
      <c r="AA2465" s="230"/>
      <c r="AB2465" s="230"/>
      <c r="AC2465" s="1936"/>
      <c r="AD2465" s="230"/>
      <c r="AE2465" s="230"/>
      <c r="AF2465" s="230"/>
      <c r="AG2465" s="890"/>
      <c r="AJ2465" s="890"/>
      <c r="AN2465" s="223"/>
      <c r="AO2465" s="952"/>
      <c r="AP2465" s="1066"/>
      <c r="AQ2465" s="972"/>
      <c r="AR2465" s="1917"/>
      <c r="AS2465" s="222"/>
      <c r="AZ2465" s="889"/>
      <c r="BC2465" s="890"/>
      <c r="BD2465" s="952"/>
      <c r="BE2465" s="75"/>
      <c r="BF2465" s="572"/>
      <c r="BG2465" s="983"/>
      <c r="BH2465" s="222"/>
      <c r="BL2465" s="889"/>
      <c r="BO2465" s="223"/>
    </row>
    <row r="2466" spans="1:67" s="74" customFormat="1">
      <c r="A2466" s="15"/>
      <c r="B2466" s="15"/>
      <c r="C2466" s="15"/>
      <c r="D2466" s="15"/>
      <c r="E2466" s="6"/>
      <c r="F2466" s="6"/>
      <c r="G2466" s="6"/>
      <c r="K2466" s="223"/>
      <c r="M2466" s="889"/>
      <c r="P2466" s="890"/>
      <c r="T2466" s="889"/>
      <c r="X2466" s="15"/>
      <c r="Y2466" s="1935"/>
      <c r="Z2466" s="1086"/>
      <c r="AA2466" s="230"/>
      <c r="AB2466" s="230"/>
      <c r="AC2466" s="1936"/>
      <c r="AD2466" s="230"/>
      <c r="AE2466" s="230"/>
      <c r="AF2466" s="230"/>
      <c r="AG2466" s="890"/>
      <c r="AJ2466" s="890"/>
      <c r="AN2466" s="223"/>
      <c r="AO2466" s="952"/>
      <c r="AP2466" s="1066"/>
      <c r="AQ2466" s="972"/>
      <c r="AR2466" s="1917"/>
      <c r="AS2466" s="222"/>
      <c r="AZ2466" s="889"/>
      <c r="BC2466" s="890"/>
      <c r="BD2466" s="952"/>
      <c r="BE2466" s="75"/>
      <c r="BF2466" s="572"/>
      <c r="BG2466" s="983"/>
      <c r="BH2466" s="222"/>
      <c r="BL2466" s="889"/>
      <c r="BO2466" s="223"/>
    </row>
    <row r="2467" spans="1:67" s="74" customFormat="1">
      <c r="A2467" s="15"/>
      <c r="B2467" s="15"/>
      <c r="C2467" s="15"/>
      <c r="D2467" s="15"/>
      <c r="E2467" s="6"/>
      <c r="F2467" s="6"/>
      <c r="G2467" s="6"/>
      <c r="K2467" s="223"/>
      <c r="M2467" s="889"/>
      <c r="P2467" s="890"/>
      <c r="T2467" s="889"/>
      <c r="X2467" s="15"/>
      <c r="Y2467" s="1935"/>
      <c r="Z2467" s="1086"/>
      <c r="AA2467" s="230"/>
      <c r="AB2467" s="230"/>
      <c r="AC2467" s="1936"/>
      <c r="AD2467" s="230"/>
      <c r="AE2467" s="230"/>
      <c r="AF2467" s="230"/>
      <c r="AG2467" s="890"/>
      <c r="AJ2467" s="890"/>
      <c r="AN2467" s="223"/>
      <c r="AO2467" s="952"/>
      <c r="AP2467" s="1066"/>
      <c r="AQ2467" s="972"/>
      <c r="AR2467" s="1917"/>
      <c r="AS2467" s="222"/>
      <c r="AZ2467" s="889"/>
      <c r="BC2467" s="890"/>
      <c r="BD2467" s="952"/>
      <c r="BE2467" s="75"/>
      <c r="BF2467" s="572"/>
      <c r="BG2467" s="983"/>
      <c r="BH2467" s="222"/>
      <c r="BL2467" s="889"/>
      <c r="BO2467" s="223"/>
    </row>
    <row r="2468" spans="1:67" s="74" customFormat="1">
      <c r="A2468" s="15"/>
      <c r="B2468" s="15"/>
      <c r="C2468" s="15"/>
      <c r="D2468" s="15"/>
      <c r="E2468" s="6"/>
      <c r="F2468" s="6"/>
      <c r="G2468" s="6"/>
      <c r="K2468" s="223"/>
      <c r="M2468" s="889"/>
      <c r="P2468" s="890"/>
      <c r="T2468" s="889"/>
      <c r="X2468" s="15"/>
      <c r="Y2468" s="1935"/>
      <c r="Z2468" s="1086"/>
      <c r="AA2468" s="230"/>
      <c r="AB2468" s="230"/>
      <c r="AC2468" s="1936"/>
      <c r="AD2468" s="230"/>
      <c r="AE2468" s="230"/>
      <c r="AF2468" s="230"/>
      <c r="AG2468" s="890"/>
      <c r="AJ2468" s="890"/>
      <c r="AN2468" s="223"/>
      <c r="AO2468" s="952"/>
      <c r="AP2468" s="1066"/>
      <c r="AQ2468" s="972"/>
      <c r="AR2468" s="1917"/>
      <c r="AS2468" s="222"/>
      <c r="AZ2468" s="889"/>
      <c r="BC2468" s="890"/>
      <c r="BD2468" s="952"/>
      <c r="BE2468" s="75"/>
      <c r="BF2468" s="572"/>
      <c r="BG2468" s="983"/>
      <c r="BH2468" s="222"/>
      <c r="BL2468" s="889"/>
      <c r="BO2468" s="223"/>
    </row>
    <row r="2469" spans="1:67" s="74" customFormat="1">
      <c r="A2469" s="15"/>
      <c r="B2469" s="15"/>
      <c r="C2469" s="15"/>
      <c r="D2469" s="15"/>
      <c r="E2469" s="6"/>
      <c r="F2469" s="6"/>
      <c r="G2469" s="6"/>
      <c r="K2469" s="223"/>
      <c r="M2469" s="889"/>
      <c r="P2469" s="890"/>
      <c r="T2469" s="889"/>
      <c r="X2469" s="15"/>
      <c r="Y2469" s="1935"/>
      <c r="Z2469" s="1086"/>
      <c r="AA2469" s="230"/>
      <c r="AB2469" s="230"/>
      <c r="AC2469" s="1936"/>
      <c r="AD2469" s="230"/>
      <c r="AE2469" s="230"/>
      <c r="AF2469" s="230"/>
      <c r="AG2469" s="890"/>
      <c r="AJ2469" s="890"/>
      <c r="AN2469" s="223"/>
      <c r="AO2469" s="952"/>
      <c r="AP2469" s="1066"/>
      <c r="AQ2469" s="972"/>
      <c r="AR2469" s="1917"/>
      <c r="AS2469" s="222"/>
      <c r="AZ2469" s="889"/>
      <c r="BC2469" s="890"/>
      <c r="BD2469" s="952"/>
      <c r="BE2469" s="75"/>
      <c r="BF2469" s="572"/>
      <c r="BG2469" s="983"/>
      <c r="BH2469" s="222"/>
      <c r="BL2469" s="889"/>
      <c r="BO2469" s="223"/>
    </row>
    <row r="2470" spans="1:67" s="74" customFormat="1">
      <c r="A2470" s="15"/>
      <c r="B2470" s="15"/>
      <c r="C2470" s="15"/>
      <c r="D2470" s="15"/>
      <c r="E2470" s="6"/>
      <c r="F2470" s="6"/>
      <c r="G2470" s="6"/>
      <c r="K2470" s="223"/>
      <c r="M2470" s="889"/>
      <c r="P2470" s="890"/>
      <c r="T2470" s="889"/>
      <c r="X2470" s="15"/>
      <c r="Y2470" s="1935"/>
      <c r="Z2470" s="1086"/>
      <c r="AA2470" s="230"/>
      <c r="AB2470" s="230"/>
      <c r="AC2470" s="1936"/>
      <c r="AD2470" s="230"/>
      <c r="AE2470" s="230"/>
      <c r="AF2470" s="230"/>
      <c r="AG2470" s="890"/>
      <c r="AJ2470" s="890"/>
      <c r="AN2470" s="223"/>
      <c r="AO2470" s="952"/>
      <c r="AP2470" s="1066"/>
      <c r="AQ2470" s="972"/>
      <c r="AR2470" s="1917"/>
      <c r="AS2470" s="222"/>
      <c r="AZ2470" s="889"/>
      <c r="BC2470" s="890"/>
      <c r="BD2470" s="952"/>
      <c r="BE2470" s="75"/>
      <c r="BF2470" s="572"/>
      <c r="BG2470" s="983"/>
      <c r="BH2470" s="222"/>
      <c r="BL2470" s="889"/>
      <c r="BO2470" s="223"/>
    </row>
    <row r="2471" spans="1:67" s="74" customFormat="1">
      <c r="A2471" s="15"/>
      <c r="B2471" s="15"/>
      <c r="C2471" s="15"/>
      <c r="D2471" s="15"/>
      <c r="E2471" s="6"/>
      <c r="F2471" s="6"/>
      <c r="G2471" s="6"/>
      <c r="K2471" s="223"/>
      <c r="M2471" s="889"/>
      <c r="P2471" s="890"/>
      <c r="T2471" s="889"/>
      <c r="X2471" s="15"/>
      <c r="Y2471" s="1935"/>
      <c r="Z2471" s="1086"/>
      <c r="AA2471" s="230"/>
      <c r="AB2471" s="230"/>
      <c r="AC2471" s="1936"/>
      <c r="AD2471" s="230"/>
      <c r="AE2471" s="230"/>
      <c r="AF2471" s="230"/>
      <c r="AG2471" s="890"/>
      <c r="AJ2471" s="890"/>
      <c r="AN2471" s="223"/>
      <c r="AO2471" s="952"/>
      <c r="AP2471" s="1066"/>
      <c r="AQ2471" s="972"/>
      <c r="AR2471" s="1917"/>
      <c r="AS2471" s="222"/>
      <c r="AZ2471" s="889"/>
      <c r="BC2471" s="890"/>
      <c r="BD2471" s="952"/>
      <c r="BE2471" s="75"/>
      <c r="BF2471" s="572"/>
      <c r="BG2471" s="983"/>
      <c r="BH2471" s="222"/>
      <c r="BL2471" s="889"/>
      <c r="BO2471" s="223"/>
    </row>
    <row r="2472" spans="1:67" s="74" customFormat="1">
      <c r="A2472" s="15"/>
      <c r="B2472" s="15"/>
      <c r="C2472" s="15"/>
      <c r="D2472" s="15"/>
      <c r="E2472" s="6"/>
      <c r="F2472" s="6"/>
      <c r="G2472" s="6"/>
      <c r="K2472" s="223"/>
      <c r="M2472" s="889"/>
      <c r="P2472" s="890"/>
      <c r="T2472" s="889"/>
      <c r="X2472" s="15"/>
      <c r="Y2472" s="1935"/>
      <c r="Z2472" s="1086"/>
      <c r="AA2472" s="230"/>
      <c r="AB2472" s="230"/>
      <c r="AC2472" s="1936"/>
      <c r="AD2472" s="230"/>
      <c r="AE2472" s="230"/>
      <c r="AF2472" s="230"/>
      <c r="AG2472" s="890"/>
      <c r="AJ2472" s="890"/>
      <c r="AN2472" s="223"/>
      <c r="AO2472" s="952"/>
      <c r="AP2472" s="1066"/>
      <c r="AQ2472" s="972"/>
      <c r="AR2472" s="1917"/>
      <c r="AS2472" s="222"/>
      <c r="AZ2472" s="889"/>
      <c r="BC2472" s="890"/>
      <c r="BD2472" s="952"/>
      <c r="BE2472" s="75"/>
      <c r="BF2472" s="572"/>
      <c r="BG2472" s="983"/>
      <c r="BH2472" s="222"/>
      <c r="BL2472" s="889"/>
      <c r="BO2472" s="223"/>
    </row>
    <row r="2473" spans="1:67" s="74" customFormat="1">
      <c r="A2473" s="15"/>
      <c r="B2473" s="15"/>
      <c r="C2473" s="15"/>
      <c r="D2473" s="15"/>
      <c r="E2473" s="6"/>
      <c r="F2473" s="6"/>
      <c r="G2473" s="6"/>
      <c r="K2473" s="223"/>
      <c r="M2473" s="889"/>
      <c r="P2473" s="890"/>
      <c r="T2473" s="889"/>
      <c r="X2473" s="15"/>
      <c r="Y2473" s="1935"/>
      <c r="Z2473" s="1086"/>
      <c r="AA2473" s="230"/>
      <c r="AB2473" s="230"/>
      <c r="AC2473" s="1936"/>
      <c r="AD2473" s="230"/>
      <c r="AE2473" s="230"/>
      <c r="AF2473" s="230"/>
      <c r="AG2473" s="890"/>
      <c r="AJ2473" s="890"/>
      <c r="AN2473" s="223"/>
      <c r="AO2473" s="952"/>
      <c r="AP2473" s="1066"/>
      <c r="AQ2473" s="972"/>
      <c r="AR2473" s="1917"/>
      <c r="AS2473" s="222"/>
      <c r="AZ2473" s="889"/>
      <c r="BC2473" s="890"/>
      <c r="BD2473" s="952"/>
      <c r="BE2473" s="75"/>
      <c r="BF2473" s="572"/>
      <c r="BG2473" s="983"/>
      <c r="BH2473" s="222"/>
      <c r="BL2473" s="889"/>
      <c r="BO2473" s="223"/>
    </row>
    <row r="2474" spans="1:67" s="74" customFormat="1">
      <c r="A2474" s="15"/>
      <c r="B2474" s="15"/>
      <c r="C2474" s="15"/>
      <c r="D2474" s="15"/>
      <c r="E2474" s="6"/>
      <c r="F2474" s="6"/>
      <c r="G2474" s="6"/>
      <c r="K2474" s="223"/>
      <c r="M2474" s="889"/>
      <c r="P2474" s="890"/>
      <c r="T2474" s="889"/>
      <c r="X2474" s="15"/>
      <c r="Y2474" s="1935"/>
      <c r="Z2474" s="1086"/>
      <c r="AA2474" s="230"/>
      <c r="AB2474" s="230"/>
      <c r="AC2474" s="1936"/>
      <c r="AD2474" s="230"/>
      <c r="AE2474" s="230"/>
      <c r="AF2474" s="230"/>
      <c r="AG2474" s="890"/>
      <c r="AJ2474" s="890"/>
      <c r="AN2474" s="223"/>
      <c r="AO2474" s="952"/>
      <c r="AP2474" s="1066"/>
      <c r="AQ2474" s="972"/>
      <c r="AR2474" s="1917"/>
      <c r="AS2474" s="222"/>
      <c r="AZ2474" s="889"/>
      <c r="BC2474" s="890"/>
      <c r="BD2474" s="952"/>
      <c r="BE2474" s="75"/>
      <c r="BF2474" s="572"/>
      <c r="BG2474" s="983"/>
      <c r="BH2474" s="222"/>
      <c r="BL2474" s="889"/>
      <c r="BO2474" s="223"/>
    </row>
    <row r="2475" spans="1:67" s="74" customFormat="1">
      <c r="A2475" s="15"/>
      <c r="B2475" s="15"/>
      <c r="C2475" s="15"/>
      <c r="D2475" s="15"/>
      <c r="E2475" s="6"/>
      <c r="F2475" s="6"/>
      <c r="G2475" s="6"/>
      <c r="K2475" s="223"/>
      <c r="M2475" s="889"/>
      <c r="P2475" s="890"/>
      <c r="T2475" s="889"/>
      <c r="X2475" s="15"/>
      <c r="Y2475" s="1935"/>
      <c r="Z2475" s="1086"/>
      <c r="AA2475" s="230"/>
      <c r="AB2475" s="230"/>
      <c r="AC2475" s="1936"/>
      <c r="AD2475" s="230"/>
      <c r="AE2475" s="230"/>
      <c r="AF2475" s="230"/>
      <c r="AG2475" s="890"/>
      <c r="AJ2475" s="890"/>
      <c r="AN2475" s="223"/>
      <c r="AO2475" s="952"/>
      <c r="AP2475" s="1066"/>
      <c r="AQ2475" s="972"/>
      <c r="AR2475" s="1917"/>
      <c r="AS2475" s="222"/>
      <c r="AZ2475" s="889"/>
      <c r="BC2475" s="890"/>
      <c r="BD2475" s="952"/>
      <c r="BE2475" s="75"/>
      <c r="BF2475" s="572"/>
      <c r="BG2475" s="983"/>
      <c r="BH2475" s="222"/>
      <c r="BL2475" s="889"/>
      <c r="BO2475" s="223"/>
    </row>
    <row r="2476" spans="1:67" s="74" customFormat="1">
      <c r="A2476" s="15"/>
      <c r="B2476" s="15"/>
      <c r="C2476" s="15"/>
      <c r="D2476" s="15"/>
      <c r="E2476" s="6"/>
      <c r="F2476" s="6"/>
      <c r="G2476" s="6"/>
      <c r="K2476" s="223"/>
      <c r="M2476" s="889"/>
      <c r="P2476" s="890"/>
      <c r="T2476" s="889"/>
      <c r="X2476" s="15"/>
      <c r="Y2476" s="1935"/>
      <c r="Z2476" s="1086"/>
      <c r="AA2476" s="230"/>
      <c r="AB2476" s="230"/>
      <c r="AC2476" s="1936"/>
      <c r="AD2476" s="230"/>
      <c r="AE2476" s="230"/>
      <c r="AF2476" s="230"/>
      <c r="AG2476" s="890"/>
      <c r="AJ2476" s="890"/>
      <c r="AN2476" s="223"/>
      <c r="AO2476" s="952"/>
      <c r="AP2476" s="1066"/>
      <c r="AQ2476" s="972"/>
      <c r="AR2476" s="1917"/>
      <c r="AS2476" s="222"/>
      <c r="AZ2476" s="889"/>
      <c r="BC2476" s="890"/>
      <c r="BD2476" s="952"/>
      <c r="BE2476" s="75"/>
      <c r="BF2476" s="572"/>
      <c r="BG2476" s="983"/>
      <c r="BH2476" s="222"/>
      <c r="BL2476" s="889"/>
      <c r="BO2476" s="223"/>
    </row>
    <row r="2477" spans="1:67" s="74" customFormat="1">
      <c r="A2477" s="15"/>
      <c r="B2477" s="15"/>
      <c r="C2477" s="15"/>
      <c r="D2477" s="15"/>
      <c r="E2477" s="6"/>
      <c r="F2477" s="6"/>
      <c r="G2477" s="6"/>
      <c r="K2477" s="223"/>
      <c r="M2477" s="889"/>
      <c r="P2477" s="890"/>
      <c r="T2477" s="889"/>
      <c r="X2477" s="15"/>
      <c r="Y2477" s="1935"/>
      <c r="Z2477" s="1086"/>
      <c r="AA2477" s="230"/>
      <c r="AB2477" s="230"/>
      <c r="AC2477" s="1936"/>
      <c r="AD2477" s="230"/>
      <c r="AE2477" s="230"/>
      <c r="AF2477" s="230"/>
      <c r="AG2477" s="890"/>
      <c r="AJ2477" s="890"/>
      <c r="AN2477" s="223"/>
      <c r="AO2477" s="952"/>
      <c r="AP2477" s="1066"/>
      <c r="AQ2477" s="972"/>
      <c r="AR2477" s="1917"/>
      <c r="AS2477" s="222"/>
      <c r="AZ2477" s="889"/>
      <c r="BC2477" s="890"/>
      <c r="BD2477" s="952"/>
      <c r="BE2477" s="75"/>
      <c r="BF2477" s="572"/>
      <c r="BG2477" s="983"/>
      <c r="BH2477" s="222"/>
      <c r="BL2477" s="889"/>
      <c r="BO2477" s="223"/>
    </row>
    <row r="2478" spans="1:67" s="74" customFormat="1">
      <c r="A2478" s="15"/>
      <c r="B2478" s="15"/>
      <c r="C2478" s="15"/>
      <c r="D2478" s="15"/>
      <c r="E2478" s="6"/>
      <c r="F2478" s="6"/>
      <c r="G2478" s="6"/>
      <c r="K2478" s="223"/>
      <c r="M2478" s="889"/>
      <c r="P2478" s="890"/>
      <c r="T2478" s="889"/>
      <c r="X2478" s="15"/>
      <c r="Y2478" s="1935"/>
      <c r="Z2478" s="1086"/>
      <c r="AA2478" s="230"/>
      <c r="AB2478" s="230"/>
      <c r="AC2478" s="1936"/>
      <c r="AD2478" s="230"/>
      <c r="AE2478" s="230"/>
      <c r="AF2478" s="230"/>
      <c r="AG2478" s="890"/>
      <c r="AJ2478" s="890"/>
      <c r="AN2478" s="223"/>
      <c r="AO2478" s="952"/>
      <c r="AP2478" s="1066"/>
      <c r="AQ2478" s="972"/>
      <c r="AR2478" s="1917"/>
      <c r="AS2478" s="222"/>
      <c r="AZ2478" s="889"/>
      <c r="BC2478" s="890"/>
      <c r="BD2478" s="952"/>
      <c r="BE2478" s="75"/>
      <c r="BF2478" s="572"/>
      <c r="BG2478" s="983"/>
      <c r="BH2478" s="222"/>
      <c r="BL2478" s="889"/>
      <c r="BO2478" s="223"/>
    </row>
    <row r="2479" spans="1:67" s="74" customFormat="1">
      <c r="A2479" s="15"/>
      <c r="B2479" s="15"/>
      <c r="C2479" s="15"/>
      <c r="D2479" s="15"/>
      <c r="E2479" s="6"/>
      <c r="F2479" s="6"/>
      <c r="G2479" s="6"/>
      <c r="K2479" s="223"/>
      <c r="M2479" s="889"/>
      <c r="P2479" s="890"/>
      <c r="T2479" s="889"/>
      <c r="X2479" s="15"/>
      <c r="Y2479" s="1935"/>
      <c r="Z2479" s="1086"/>
      <c r="AA2479" s="230"/>
      <c r="AB2479" s="230"/>
      <c r="AC2479" s="1936"/>
      <c r="AD2479" s="230"/>
      <c r="AE2479" s="230"/>
      <c r="AF2479" s="230"/>
      <c r="AG2479" s="890"/>
      <c r="AJ2479" s="890"/>
      <c r="AN2479" s="223"/>
      <c r="AO2479" s="952"/>
      <c r="AP2479" s="1066"/>
      <c r="AQ2479" s="972"/>
      <c r="AR2479" s="1917"/>
      <c r="AS2479" s="222"/>
      <c r="AZ2479" s="889"/>
      <c r="BC2479" s="890"/>
      <c r="BD2479" s="952"/>
      <c r="BE2479" s="75"/>
      <c r="BF2479" s="572"/>
      <c r="BG2479" s="983"/>
      <c r="BH2479" s="222"/>
      <c r="BL2479" s="889"/>
      <c r="BO2479" s="223"/>
    </row>
    <row r="2480" spans="1:67" s="74" customFormat="1">
      <c r="A2480" s="15"/>
      <c r="B2480" s="15"/>
      <c r="C2480" s="15"/>
      <c r="D2480" s="15"/>
      <c r="E2480" s="6"/>
      <c r="F2480" s="6"/>
      <c r="G2480" s="6"/>
      <c r="K2480" s="223"/>
      <c r="M2480" s="889"/>
      <c r="P2480" s="890"/>
      <c r="T2480" s="889"/>
      <c r="X2480" s="15"/>
      <c r="Y2480" s="1935"/>
      <c r="Z2480" s="1086"/>
      <c r="AA2480" s="230"/>
      <c r="AB2480" s="230"/>
      <c r="AC2480" s="1936"/>
      <c r="AD2480" s="230"/>
      <c r="AE2480" s="230"/>
      <c r="AF2480" s="230"/>
      <c r="AG2480" s="890"/>
      <c r="AJ2480" s="890"/>
      <c r="AN2480" s="223"/>
      <c r="AO2480" s="952"/>
      <c r="AP2480" s="1066"/>
      <c r="AQ2480" s="972"/>
      <c r="AR2480" s="1917"/>
      <c r="AS2480" s="222"/>
      <c r="AZ2480" s="889"/>
      <c r="BC2480" s="890"/>
      <c r="BD2480" s="952"/>
      <c r="BE2480" s="75"/>
      <c r="BF2480" s="572"/>
      <c r="BG2480" s="983"/>
      <c r="BH2480" s="222"/>
      <c r="BL2480" s="889"/>
      <c r="BO2480" s="223"/>
    </row>
    <row r="2481" spans="1:67" s="74" customFormat="1">
      <c r="A2481" s="15"/>
      <c r="B2481" s="15"/>
      <c r="C2481" s="15"/>
      <c r="D2481" s="15"/>
      <c r="E2481" s="6"/>
      <c r="F2481" s="6"/>
      <c r="G2481" s="6"/>
      <c r="K2481" s="223"/>
      <c r="M2481" s="889"/>
      <c r="P2481" s="890"/>
      <c r="T2481" s="889"/>
      <c r="X2481" s="15"/>
      <c r="Y2481" s="1935"/>
      <c r="Z2481" s="1086"/>
      <c r="AA2481" s="230"/>
      <c r="AB2481" s="230"/>
      <c r="AC2481" s="1936"/>
      <c r="AD2481" s="230"/>
      <c r="AE2481" s="230"/>
      <c r="AF2481" s="230"/>
      <c r="AG2481" s="890"/>
      <c r="AJ2481" s="890"/>
      <c r="AN2481" s="223"/>
      <c r="AO2481" s="952"/>
      <c r="AP2481" s="1066"/>
      <c r="AQ2481" s="972"/>
      <c r="AR2481" s="1917"/>
      <c r="AS2481" s="222"/>
      <c r="AZ2481" s="889"/>
      <c r="BC2481" s="890"/>
      <c r="BD2481" s="952"/>
      <c r="BE2481" s="75"/>
      <c r="BF2481" s="572"/>
      <c r="BG2481" s="983"/>
      <c r="BH2481" s="222"/>
      <c r="BL2481" s="889"/>
      <c r="BO2481" s="223"/>
    </row>
    <row r="2482" spans="1:67" s="74" customFormat="1">
      <c r="A2482" s="15"/>
      <c r="B2482" s="15"/>
      <c r="C2482" s="15"/>
      <c r="D2482" s="15"/>
      <c r="E2482" s="6"/>
      <c r="F2482" s="6"/>
      <c r="G2482" s="6"/>
      <c r="K2482" s="223"/>
      <c r="M2482" s="889"/>
      <c r="P2482" s="890"/>
      <c r="T2482" s="889"/>
      <c r="X2482" s="15"/>
      <c r="Y2482" s="1935"/>
      <c r="Z2482" s="1086"/>
      <c r="AA2482" s="230"/>
      <c r="AB2482" s="230"/>
      <c r="AC2482" s="1936"/>
      <c r="AD2482" s="230"/>
      <c r="AE2482" s="230"/>
      <c r="AF2482" s="230"/>
      <c r="AG2482" s="890"/>
      <c r="AJ2482" s="890"/>
      <c r="AN2482" s="223"/>
      <c r="AO2482" s="952"/>
      <c r="AP2482" s="1066"/>
      <c r="AQ2482" s="972"/>
      <c r="AR2482" s="1917"/>
      <c r="AS2482" s="222"/>
      <c r="AZ2482" s="889"/>
      <c r="BC2482" s="890"/>
      <c r="BD2482" s="952"/>
      <c r="BE2482" s="75"/>
      <c r="BF2482" s="572"/>
      <c r="BG2482" s="983"/>
      <c r="BH2482" s="222"/>
      <c r="BL2482" s="889"/>
      <c r="BO2482" s="223"/>
    </row>
    <row r="2483" spans="1:67" s="74" customFormat="1">
      <c r="A2483" s="15"/>
      <c r="B2483" s="15"/>
      <c r="C2483" s="15"/>
      <c r="D2483" s="15"/>
      <c r="E2483" s="6"/>
      <c r="F2483" s="6"/>
      <c r="G2483" s="6"/>
      <c r="K2483" s="223"/>
      <c r="M2483" s="889"/>
      <c r="P2483" s="890"/>
      <c r="T2483" s="889"/>
      <c r="X2483" s="15"/>
      <c r="Y2483" s="1935"/>
      <c r="Z2483" s="1086"/>
      <c r="AA2483" s="230"/>
      <c r="AB2483" s="230"/>
      <c r="AC2483" s="1936"/>
      <c r="AD2483" s="230"/>
      <c r="AE2483" s="230"/>
      <c r="AF2483" s="230"/>
      <c r="AG2483" s="890"/>
      <c r="AJ2483" s="890"/>
      <c r="AN2483" s="223"/>
      <c r="AO2483" s="952"/>
      <c r="AP2483" s="1066"/>
      <c r="AQ2483" s="972"/>
      <c r="AR2483" s="1917"/>
      <c r="AS2483" s="222"/>
      <c r="AZ2483" s="889"/>
      <c r="BC2483" s="890"/>
      <c r="BD2483" s="952"/>
      <c r="BE2483" s="75"/>
      <c r="BF2483" s="572"/>
      <c r="BG2483" s="983"/>
      <c r="BH2483" s="222"/>
      <c r="BL2483" s="889"/>
      <c r="BO2483" s="223"/>
    </row>
    <row r="2484" spans="1:67" s="74" customFormat="1">
      <c r="A2484" s="15"/>
      <c r="B2484" s="15"/>
      <c r="C2484" s="15"/>
      <c r="D2484" s="15"/>
      <c r="E2484" s="6"/>
      <c r="F2484" s="6"/>
      <c r="G2484" s="6"/>
      <c r="K2484" s="223"/>
      <c r="M2484" s="889"/>
      <c r="P2484" s="890"/>
      <c r="T2484" s="889"/>
      <c r="X2484" s="15"/>
      <c r="Y2484" s="1935"/>
      <c r="Z2484" s="1086"/>
      <c r="AA2484" s="230"/>
      <c r="AB2484" s="230"/>
      <c r="AC2484" s="1936"/>
      <c r="AD2484" s="230"/>
      <c r="AE2484" s="230"/>
      <c r="AF2484" s="230"/>
      <c r="AG2484" s="890"/>
      <c r="AJ2484" s="890"/>
      <c r="AN2484" s="223"/>
      <c r="AO2484" s="952"/>
      <c r="AP2484" s="1066"/>
      <c r="AQ2484" s="972"/>
      <c r="AR2484" s="1917"/>
      <c r="AS2484" s="222"/>
      <c r="AZ2484" s="889"/>
      <c r="BC2484" s="890"/>
      <c r="BD2484" s="952"/>
      <c r="BE2484" s="75"/>
      <c r="BF2484" s="572"/>
      <c r="BG2484" s="983"/>
      <c r="BH2484" s="222"/>
      <c r="BL2484" s="889"/>
      <c r="BO2484" s="223"/>
    </row>
    <row r="2485" spans="1:67" s="74" customFormat="1">
      <c r="A2485" s="15"/>
      <c r="B2485" s="15"/>
      <c r="C2485" s="15"/>
      <c r="D2485" s="15"/>
      <c r="E2485" s="6"/>
      <c r="F2485" s="6"/>
      <c r="G2485" s="6"/>
      <c r="K2485" s="223"/>
      <c r="M2485" s="889"/>
      <c r="P2485" s="890"/>
      <c r="T2485" s="889"/>
      <c r="X2485" s="15"/>
      <c r="Y2485" s="1935"/>
      <c r="Z2485" s="1086"/>
      <c r="AA2485" s="230"/>
      <c r="AB2485" s="230"/>
      <c r="AC2485" s="1936"/>
      <c r="AD2485" s="230"/>
      <c r="AE2485" s="230"/>
      <c r="AF2485" s="230"/>
      <c r="AG2485" s="890"/>
      <c r="AJ2485" s="890"/>
      <c r="AN2485" s="223"/>
      <c r="AO2485" s="952"/>
      <c r="AP2485" s="1066"/>
      <c r="AQ2485" s="972"/>
      <c r="AR2485" s="1917"/>
      <c r="AS2485" s="222"/>
      <c r="AZ2485" s="889"/>
      <c r="BC2485" s="890"/>
      <c r="BD2485" s="952"/>
      <c r="BE2485" s="75"/>
      <c r="BF2485" s="572"/>
      <c r="BG2485" s="983"/>
      <c r="BH2485" s="222"/>
      <c r="BL2485" s="889"/>
      <c r="BO2485" s="223"/>
    </row>
    <row r="2486" spans="1:67" s="74" customFormat="1">
      <c r="A2486" s="15"/>
      <c r="B2486" s="15"/>
      <c r="C2486" s="15"/>
      <c r="D2486" s="15"/>
      <c r="E2486" s="6"/>
      <c r="F2486" s="6"/>
      <c r="G2486" s="6"/>
      <c r="K2486" s="223"/>
      <c r="M2486" s="889"/>
      <c r="P2486" s="890"/>
      <c r="T2486" s="889"/>
      <c r="X2486" s="15"/>
      <c r="Y2486" s="1935"/>
      <c r="Z2486" s="1086"/>
      <c r="AA2486" s="230"/>
      <c r="AB2486" s="230"/>
      <c r="AC2486" s="1936"/>
      <c r="AD2486" s="230"/>
      <c r="AE2486" s="230"/>
      <c r="AF2486" s="230"/>
      <c r="AG2486" s="890"/>
      <c r="AJ2486" s="890"/>
      <c r="AN2486" s="223"/>
      <c r="AO2486" s="952"/>
      <c r="AP2486" s="1066"/>
      <c r="AQ2486" s="972"/>
      <c r="AR2486" s="1917"/>
      <c r="AS2486" s="222"/>
      <c r="AZ2486" s="889"/>
      <c r="BC2486" s="890"/>
      <c r="BD2486" s="952"/>
      <c r="BE2486" s="75"/>
      <c r="BF2486" s="572"/>
      <c r="BG2486" s="983"/>
      <c r="BH2486" s="222"/>
      <c r="BL2486" s="889"/>
      <c r="BO2486" s="223"/>
    </row>
    <row r="2487" spans="1:67" s="74" customFormat="1">
      <c r="A2487" s="15"/>
      <c r="B2487" s="15"/>
      <c r="C2487" s="15"/>
      <c r="D2487" s="15"/>
      <c r="E2487" s="6"/>
      <c r="F2487" s="6"/>
      <c r="G2487" s="6"/>
      <c r="K2487" s="223"/>
      <c r="M2487" s="889"/>
      <c r="P2487" s="890"/>
      <c r="T2487" s="889"/>
      <c r="X2487" s="15"/>
      <c r="Y2487" s="1935"/>
      <c r="Z2487" s="1086"/>
      <c r="AA2487" s="230"/>
      <c r="AB2487" s="230"/>
      <c r="AC2487" s="1936"/>
      <c r="AD2487" s="230"/>
      <c r="AE2487" s="230"/>
      <c r="AF2487" s="230"/>
      <c r="AG2487" s="890"/>
      <c r="AJ2487" s="890"/>
      <c r="AN2487" s="223"/>
      <c r="AO2487" s="952"/>
      <c r="AP2487" s="1066"/>
      <c r="AQ2487" s="972"/>
      <c r="AR2487" s="1917"/>
      <c r="AS2487" s="222"/>
      <c r="AZ2487" s="889"/>
      <c r="BC2487" s="890"/>
      <c r="BD2487" s="952"/>
      <c r="BE2487" s="75"/>
      <c r="BF2487" s="572"/>
      <c r="BG2487" s="983"/>
      <c r="BH2487" s="222"/>
      <c r="BL2487" s="889"/>
      <c r="BO2487" s="223"/>
    </row>
    <row r="2488" spans="1:67" s="74" customFormat="1">
      <c r="A2488" s="15"/>
      <c r="B2488" s="15"/>
      <c r="C2488" s="15"/>
      <c r="D2488" s="15"/>
      <c r="E2488" s="6"/>
      <c r="F2488" s="6"/>
      <c r="G2488" s="6"/>
      <c r="K2488" s="223"/>
      <c r="M2488" s="889"/>
      <c r="P2488" s="890"/>
      <c r="T2488" s="889"/>
      <c r="X2488" s="15"/>
      <c r="Y2488" s="1935"/>
      <c r="Z2488" s="1086"/>
      <c r="AA2488" s="230"/>
      <c r="AB2488" s="230"/>
      <c r="AC2488" s="1936"/>
      <c r="AD2488" s="230"/>
      <c r="AE2488" s="230"/>
      <c r="AF2488" s="230"/>
      <c r="AG2488" s="890"/>
      <c r="AJ2488" s="890"/>
      <c r="AN2488" s="223"/>
      <c r="AO2488" s="952"/>
      <c r="AP2488" s="1066"/>
      <c r="AQ2488" s="972"/>
      <c r="AR2488" s="1917"/>
      <c r="AS2488" s="222"/>
      <c r="AZ2488" s="889"/>
      <c r="BC2488" s="890"/>
      <c r="BD2488" s="952"/>
      <c r="BE2488" s="75"/>
      <c r="BF2488" s="572"/>
      <c r="BG2488" s="983"/>
      <c r="BH2488" s="222"/>
      <c r="BL2488" s="889"/>
      <c r="BO2488" s="223"/>
    </row>
    <row r="2489" spans="1:67" s="74" customFormat="1">
      <c r="A2489" s="15"/>
      <c r="B2489" s="15"/>
      <c r="C2489" s="15"/>
      <c r="D2489" s="15"/>
      <c r="E2489" s="6"/>
      <c r="F2489" s="6"/>
      <c r="G2489" s="6"/>
      <c r="K2489" s="223"/>
      <c r="M2489" s="889"/>
      <c r="P2489" s="890"/>
      <c r="T2489" s="889"/>
      <c r="X2489" s="15"/>
      <c r="Y2489" s="1935"/>
      <c r="Z2489" s="1086"/>
      <c r="AA2489" s="230"/>
      <c r="AB2489" s="230"/>
      <c r="AC2489" s="1936"/>
      <c r="AD2489" s="230"/>
      <c r="AE2489" s="230"/>
      <c r="AF2489" s="230"/>
      <c r="AG2489" s="890"/>
      <c r="AJ2489" s="890"/>
      <c r="AN2489" s="223"/>
      <c r="AO2489" s="952"/>
      <c r="AP2489" s="1066"/>
      <c r="AQ2489" s="972"/>
      <c r="AR2489" s="1917"/>
      <c r="AS2489" s="222"/>
      <c r="AZ2489" s="889"/>
      <c r="BC2489" s="890"/>
      <c r="BD2489" s="952"/>
      <c r="BE2489" s="75"/>
      <c r="BF2489" s="572"/>
      <c r="BG2489" s="983"/>
      <c r="BH2489" s="222"/>
      <c r="BL2489" s="889"/>
      <c r="BO2489" s="223"/>
    </row>
    <row r="2490" spans="1:67" s="74" customFormat="1">
      <c r="A2490" s="15"/>
      <c r="B2490" s="15"/>
      <c r="C2490" s="15"/>
      <c r="D2490" s="15"/>
      <c r="E2490" s="6"/>
      <c r="F2490" s="6"/>
      <c r="G2490" s="6"/>
      <c r="K2490" s="223"/>
      <c r="M2490" s="889"/>
      <c r="P2490" s="890"/>
      <c r="T2490" s="889"/>
      <c r="X2490" s="15"/>
      <c r="Y2490" s="1935"/>
      <c r="Z2490" s="1086"/>
      <c r="AA2490" s="230"/>
      <c r="AB2490" s="230"/>
      <c r="AC2490" s="1936"/>
      <c r="AD2490" s="230"/>
      <c r="AE2490" s="230"/>
      <c r="AF2490" s="230"/>
      <c r="AG2490" s="890"/>
      <c r="AJ2490" s="890"/>
      <c r="AN2490" s="223"/>
      <c r="AO2490" s="952"/>
      <c r="AP2490" s="1066"/>
      <c r="AQ2490" s="972"/>
      <c r="AR2490" s="1917"/>
      <c r="AS2490" s="222"/>
      <c r="AZ2490" s="889"/>
      <c r="BC2490" s="890"/>
      <c r="BD2490" s="952"/>
      <c r="BE2490" s="75"/>
      <c r="BF2490" s="572"/>
      <c r="BG2490" s="983"/>
      <c r="BH2490" s="222"/>
      <c r="BL2490" s="889"/>
      <c r="BO2490" s="223"/>
    </row>
    <row r="2491" spans="1:67" s="74" customFormat="1">
      <c r="A2491" s="15"/>
      <c r="B2491" s="15"/>
      <c r="C2491" s="15"/>
      <c r="D2491" s="15"/>
      <c r="E2491" s="6"/>
      <c r="F2491" s="6"/>
      <c r="G2491" s="6"/>
      <c r="K2491" s="223"/>
      <c r="M2491" s="889"/>
      <c r="P2491" s="890"/>
      <c r="T2491" s="889"/>
      <c r="X2491" s="15"/>
      <c r="Y2491" s="1935"/>
      <c r="Z2491" s="1086"/>
      <c r="AA2491" s="230"/>
      <c r="AB2491" s="230"/>
      <c r="AC2491" s="1936"/>
      <c r="AD2491" s="230"/>
      <c r="AE2491" s="230"/>
      <c r="AF2491" s="230"/>
      <c r="AG2491" s="890"/>
      <c r="AJ2491" s="890"/>
      <c r="AN2491" s="223"/>
      <c r="AO2491" s="952"/>
      <c r="AP2491" s="1066"/>
      <c r="AQ2491" s="972"/>
      <c r="AR2491" s="1917"/>
      <c r="AS2491" s="222"/>
      <c r="AZ2491" s="889"/>
      <c r="BC2491" s="890"/>
      <c r="BD2491" s="952"/>
      <c r="BE2491" s="75"/>
      <c r="BF2491" s="572"/>
      <c r="BG2491" s="983"/>
      <c r="BH2491" s="222"/>
      <c r="BL2491" s="889"/>
      <c r="BO2491" s="223"/>
    </row>
    <row r="2492" spans="1:67" s="74" customFormat="1">
      <c r="A2492" s="15"/>
      <c r="B2492" s="15"/>
      <c r="C2492" s="15"/>
      <c r="D2492" s="15"/>
      <c r="E2492" s="6"/>
      <c r="F2492" s="6"/>
      <c r="G2492" s="6"/>
      <c r="K2492" s="223"/>
      <c r="M2492" s="889"/>
      <c r="P2492" s="890"/>
      <c r="T2492" s="889"/>
      <c r="X2492" s="15"/>
      <c r="Y2492" s="1935"/>
      <c r="Z2492" s="1086"/>
      <c r="AA2492" s="230"/>
      <c r="AB2492" s="230"/>
      <c r="AC2492" s="1936"/>
      <c r="AD2492" s="230"/>
      <c r="AE2492" s="230"/>
      <c r="AF2492" s="230"/>
      <c r="AG2492" s="890"/>
      <c r="AJ2492" s="890"/>
      <c r="AN2492" s="223"/>
      <c r="AO2492" s="952"/>
      <c r="AP2492" s="1066"/>
      <c r="AQ2492" s="972"/>
      <c r="AR2492" s="1917"/>
      <c r="AS2492" s="222"/>
      <c r="AZ2492" s="889"/>
      <c r="BC2492" s="890"/>
      <c r="BD2492" s="952"/>
      <c r="BE2492" s="75"/>
      <c r="BF2492" s="572"/>
      <c r="BG2492" s="983"/>
      <c r="BH2492" s="222"/>
      <c r="BL2492" s="889"/>
      <c r="BO2492" s="223"/>
    </row>
    <row r="2493" spans="1:67" s="74" customFormat="1">
      <c r="A2493" s="15"/>
      <c r="B2493" s="15"/>
      <c r="C2493" s="15"/>
      <c r="D2493" s="15"/>
      <c r="E2493" s="6"/>
      <c r="F2493" s="6"/>
      <c r="G2493" s="6"/>
      <c r="K2493" s="223"/>
      <c r="M2493" s="889"/>
      <c r="P2493" s="890"/>
      <c r="T2493" s="889"/>
      <c r="X2493" s="15"/>
      <c r="Y2493" s="1935"/>
      <c r="Z2493" s="1086"/>
      <c r="AA2493" s="230"/>
      <c r="AB2493" s="230"/>
      <c r="AC2493" s="1936"/>
      <c r="AD2493" s="230"/>
      <c r="AE2493" s="230"/>
      <c r="AF2493" s="230"/>
      <c r="AG2493" s="890"/>
      <c r="AJ2493" s="890"/>
      <c r="AN2493" s="223"/>
      <c r="AO2493" s="952"/>
      <c r="AP2493" s="1066"/>
      <c r="AQ2493" s="972"/>
      <c r="AR2493" s="1917"/>
      <c r="AS2493" s="222"/>
      <c r="AZ2493" s="889"/>
      <c r="BC2493" s="890"/>
      <c r="BD2493" s="952"/>
      <c r="BE2493" s="75"/>
      <c r="BF2493" s="572"/>
      <c r="BG2493" s="983"/>
      <c r="BH2493" s="222"/>
      <c r="BL2493" s="889"/>
      <c r="BO2493" s="223"/>
    </row>
    <row r="2494" spans="1:67" s="74" customFormat="1">
      <c r="A2494" s="15"/>
      <c r="B2494" s="15"/>
      <c r="C2494" s="15"/>
      <c r="D2494" s="15"/>
      <c r="E2494" s="6"/>
      <c r="F2494" s="6"/>
      <c r="G2494" s="6"/>
      <c r="K2494" s="223"/>
      <c r="M2494" s="889"/>
      <c r="P2494" s="890"/>
      <c r="T2494" s="889"/>
      <c r="X2494" s="15"/>
      <c r="Y2494" s="1935"/>
      <c r="Z2494" s="1086"/>
      <c r="AA2494" s="230"/>
      <c r="AB2494" s="230"/>
      <c r="AC2494" s="1936"/>
      <c r="AD2494" s="230"/>
      <c r="AE2494" s="230"/>
      <c r="AF2494" s="230"/>
      <c r="AG2494" s="890"/>
      <c r="AJ2494" s="890"/>
      <c r="AN2494" s="223"/>
      <c r="AO2494" s="952"/>
      <c r="AP2494" s="1066"/>
      <c r="AQ2494" s="972"/>
      <c r="AR2494" s="1917"/>
      <c r="AS2494" s="222"/>
      <c r="AZ2494" s="889"/>
      <c r="BC2494" s="890"/>
      <c r="BD2494" s="952"/>
      <c r="BE2494" s="75"/>
      <c r="BF2494" s="572"/>
      <c r="BG2494" s="983"/>
      <c r="BH2494" s="222"/>
      <c r="BL2494" s="889"/>
      <c r="BO2494" s="223"/>
    </row>
    <row r="2495" spans="1:67" s="74" customFormat="1">
      <c r="A2495" s="15"/>
      <c r="B2495" s="15"/>
      <c r="C2495" s="15"/>
      <c r="D2495" s="15"/>
      <c r="E2495" s="6"/>
      <c r="F2495" s="6"/>
      <c r="G2495" s="6"/>
      <c r="K2495" s="223"/>
      <c r="M2495" s="889"/>
      <c r="P2495" s="890"/>
      <c r="T2495" s="889"/>
      <c r="X2495" s="15"/>
      <c r="Y2495" s="1935"/>
      <c r="Z2495" s="1086"/>
      <c r="AA2495" s="230"/>
      <c r="AB2495" s="230"/>
      <c r="AC2495" s="1936"/>
      <c r="AD2495" s="230"/>
      <c r="AE2495" s="230"/>
      <c r="AF2495" s="230"/>
      <c r="AG2495" s="890"/>
      <c r="AJ2495" s="890"/>
      <c r="AN2495" s="223"/>
      <c r="AO2495" s="952"/>
      <c r="AP2495" s="1066"/>
      <c r="AQ2495" s="972"/>
      <c r="AR2495" s="1917"/>
      <c r="AS2495" s="222"/>
      <c r="AZ2495" s="889"/>
      <c r="BC2495" s="890"/>
      <c r="BD2495" s="952"/>
      <c r="BE2495" s="75"/>
      <c r="BF2495" s="572"/>
      <c r="BG2495" s="983"/>
      <c r="BH2495" s="222"/>
      <c r="BL2495" s="889"/>
      <c r="BO2495" s="223"/>
    </row>
    <row r="2496" spans="1:67" s="74" customFormat="1">
      <c r="A2496" s="15"/>
      <c r="B2496" s="15"/>
      <c r="C2496" s="15"/>
      <c r="D2496" s="15"/>
      <c r="E2496" s="6"/>
      <c r="F2496" s="6"/>
      <c r="G2496" s="6"/>
      <c r="K2496" s="223"/>
      <c r="M2496" s="889"/>
      <c r="P2496" s="890"/>
      <c r="T2496" s="889"/>
      <c r="X2496" s="15"/>
      <c r="Y2496" s="1935"/>
      <c r="Z2496" s="1086"/>
      <c r="AA2496" s="230"/>
      <c r="AB2496" s="230"/>
      <c r="AC2496" s="1936"/>
      <c r="AD2496" s="230"/>
      <c r="AE2496" s="230"/>
      <c r="AF2496" s="230"/>
      <c r="AG2496" s="890"/>
      <c r="AJ2496" s="890"/>
      <c r="AN2496" s="223"/>
      <c r="AO2496" s="952"/>
      <c r="AP2496" s="1066"/>
      <c r="AQ2496" s="972"/>
      <c r="AR2496" s="1917"/>
      <c r="AS2496" s="222"/>
      <c r="AZ2496" s="889"/>
      <c r="BC2496" s="890"/>
      <c r="BD2496" s="952"/>
      <c r="BE2496" s="75"/>
      <c r="BF2496" s="572"/>
      <c r="BG2496" s="983"/>
      <c r="BH2496" s="222"/>
      <c r="BL2496" s="889"/>
      <c r="BO2496" s="223"/>
    </row>
    <row r="2497" spans="1:67" s="74" customFormat="1">
      <c r="A2497" s="15"/>
      <c r="B2497" s="15"/>
      <c r="C2497" s="15"/>
      <c r="D2497" s="15"/>
      <c r="E2497" s="6"/>
      <c r="F2497" s="6"/>
      <c r="G2497" s="6"/>
      <c r="K2497" s="223"/>
      <c r="M2497" s="889"/>
      <c r="P2497" s="890"/>
      <c r="T2497" s="889"/>
      <c r="X2497" s="15"/>
      <c r="Y2497" s="1935"/>
      <c r="Z2497" s="1086"/>
      <c r="AA2497" s="230"/>
      <c r="AB2497" s="230"/>
      <c r="AC2497" s="1936"/>
      <c r="AD2497" s="230"/>
      <c r="AE2497" s="230"/>
      <c r="AF2497" s="230"/>
      <c r="AG2497" s="890"/>
      <c r="AJ2497" s="890"/>
      <c r="AN2497" s="223"/>
      <c r="AO2497" s="952"/>
      <c r="AP2497" s="1066"/>
      <c r="AQ2497" s="972"/>
      <c r="AR2497" s="1917"/>
      <c r="AS2497" s="222"/>
      <c r="AZ2497" s="889"/>
      <c r="BC2497" s="890"/>
      <c r="BD2497" s="952"/>
      <c r="BE2497" s="75"/>
      <c r="BF2497" s="572"/>
      <c r="BG2497" s="983"/>
      <c r="BH2497" s="222"/>
      <c r="BL2497" s="889"/>
      <c r="BO2497" s="223"/>
    </row>
    <row r="2498" spans="1:67" s="74" customFormat="1">
      <c r="A2498" s="15"/>
      <c r="B2498" s="15"/>
      <c r="C2498" s="15"/>
      <c r="D2498" s="15"/>
      <c r="E2498" s="6"/>
      <c r="F2498" s="6"/>
      <c r="G2498" s="6"/>
      <c r="K2498" s="223"/>
      <c r="M2498" s="889"/>
      <c r="P2498" s="890"/>
      <c r="T2498" s="889"/>
      <c r="X2498" s="15"/>
      <c r="Y2498" s="1935"/>
      <c r="Z2498" s="1086"/>
      <c r="AA2498" s="230"/>
      <c r="AB2498" s="230"/>
      <c r="AC2498" s="1936"/>
      <c r="AD2498" s="230"/>
      <c r="AE2498" s="230"/>
      <c r="AF2498" s="230"/>
      <c r="AG2498" s="890"/>
      <c r="AJ2498" s="890"/>
      <c r="AN2498" s="223"/>
      <c r="AO2498" s="952"/>
      <c r="AP2498" s="1066"/>
      <c r="AQ2498" s="972"/>
      <c r="AR2498" s="1917"/>
      <c r="AS2498" s="222"/>
      <c r="AZ2498" s="889"/>
      <c r="BC2498" s="890"/>
      <c r="BD2498" s="952"/>
      <c r="BE2498" s="75"/>
      <c r="BF2498" s="572"/>
      <c r="BG2498" s="983"/>
      <c r="BH2498" s="222"/>
      <c r="BL2498" s="889"/>
      <c r="BO2498" s="223"/>
    </row>
    <row r="2499" spans="1:67" s="74" customFormat="1">
      <c r="A2499" s="15"/>
      <c r="B2499" s="15"/>
      <c r="C2499" s="15"/>
      <c r="D2499" s="15"/>
      <c r="E2499" s="6"/>
      <c r="F2499" s="6"/>
      <c r="G2499" s="6"/>
      <c r="K2499" s="223"/>
      <c r="M2499" s="889"/>
      <c r="P2499" s="890"/>
      <c r="T2499" s="889"/>
      <c r="X2499" s="15"/>
      <c r="Y2499" s="1935"/>
      <c r="Z2499" s="1086"/>
      <c r="AA2499" s="230"/>
      <c r="AB2499" s="230"/>
      <c r="AC2499" s="1936"/>
      <c r="AD2499" s="230"/>
      <c r="AE2499" s="230"/>
      <c r="AF2499" s="230"/>
      <c r="AG2499" s="890"/>
      <c r="AJ2499" s="890"/>
      <c r="AN2499" s="223"/>
      <c r="AO2499" s="952"/>
      <c r="AP2499" s="1066"/>
      <c r="AQ2499" s="972"/>
      <c r="AR2499" s="1917"/>
      <c r="AS2499" s="222"/>
      <c r="AZ2499" s="889"/>
      <c r="BC2499" s="890"/>
      <c r="BD2499" s="952"/>
      <c r="BE2499" s="75"/>
      <c r="BF2499" s="572"/>
      <c r="BG2499" s="983"/>
      <c r="BH2499" s="222"/>
      <c r="BL2499" s="889"/>
      <c r="BO2499" s="223"/>
    </row>
    <row r="2500" spans="1:67" s="74" customFormat="1">
      <c r="A2500" s="15"/>
      <c r="B2500" s="15"/>
      <c r="C2500" s="15"/>
      <c r="D2500" s="15"/>
      <c r="E2500" s="6"/>
      <c r="F2500" s="6"/>
      <c r="G2500" s="6"/>
      <c r="K2500" s="223"/>
      <c r="M2500" s="889"/>
      <c r="P2500" s="890"/>
      <c r="T2500" s="889"/>
      <c r="X2500" s="15"/>
      <c r="Y2500" s="1935"/>
      <c r="Z2500" s="1086"/>
      <c r="AA2500" s="230"/>
      <c r="AB2500" s="230"/>
      <c r="AC2500" s="1936"/>
      <c r="AD2500" s="230"/>
      <c r="AE2500" s="230"/>
      <c r="AF2500" s="230"/>
      <c r="AG2500" s="890"/>
      <c r="AJ2500" s="890"/>
      <c r="AN2500" s="223"/>
      <c r="AO2500" s="952"/>
      <c r="AP2500" s="1066"/>
      <c r="AQ2500" s="972"/>
      <c r="AR2500" s="1917"/>
      <c r="AS2500" s="222"/>
      <c r="AZ2500" s="889"/>
      <c r="BC2500" s="890"/>
      <c r="BD2500" s="952"/>
      <c r="BE2500" s="75"/>
      <c r="BF2500" s="572"/>
      <c r="BG2500" s="983"/>
      <c r="BH2500" s="222"/>
      <c r="BL2500" s="889"/>
      <c r="BO2500" s="223"/>
    </row>
    <row r="2501" spans="1:67" s="74" customFormat="1">
      <c r="A2501" s="15"/>
      <c r="B2501" s="15"/>
      <c r="C2501" s="15"/>
      <c r="D2501" s="15"/>
      <c r="E2501" s="6"/>
      <c r="F2501" s="6"/>
      <c r="G2501" s="6"/>
      <c r="K2501" s="223"/>
      <c r="M2501" s="889"/>
      <c r="P2501" s="890"/>
      <c r="T2501" s="889"/>
      <c r="X2501" s="15"/>
      <c r="Y2501" s="1935"/>
      <c r="Z2501" s="1086"/>
      <c r="AA2501" s="230"/>
      <c r="AB2501" s="230"/>
      <c r="AC2501" s="1936"/>
      <c r="AD2501" s="230"/>
      <c r="AE2501" s="230"/>
      <c r="AF2501" s="230"/>
      <c r="AG2501" s="890"/>
      <c r="AJ2501" s="890"/>
      <c r="AN2501" s="223"/>
      <c r="AO2501" s="952"/>
      <c r="AP2501" s="1066"/>
      <c r="AQ2501" s="972"/>
      <c r="AR2501" s="1917"/>
      <c r="AS2501" s="222"/>
      <c r="AZ2501" s="889"/>
      <c r="BC2501" s="890"/>
      <c r="BD2501" s="952"/>
      <c r="BE2501" s="75"/>
      <c r="BF2501" s="572"/>
      <c r="BG2501" s="983"/>
      <c r="BH2501" s="222"/>
      <c r="BL2501" s="889"/>
      <c r="BO2501" s="223"/>
    </row>
    <row r="2502" spans="1:67" s="74" customFormat="1">
      <c r="A2502" s="15"/>
      <c r="B2502" s="15"/>
      <c r="C2502" s="15"/>
      <c r="D2502" s="15"/>
      <c r="E2502" s="6"/>
      <c r="F2502" s="6"/>
      <c r="G2502" s="6"/>
      <c r="K2502" s="223"/>
      <c r="M2502" s="889"/>
      <c r="P2502" s="890"/>
      <c r="T2502" s="889"/>
      <c r="X2502" s="15"/>
      <c r="Y2502" s="1935"/>
      <c r="Z2502" s="1086"/>
      <c r="AA2502" s="230"/>
      <c r="AB2502" s="230"/>
      <c r="AC2502" s="1936"/>
      <c r="AD2502" s="230"/>
      <c r="AE2502" s="230"/>
      <c r="AF2502" s="230"/>
      <c r="AG2502" s="890"/>
      <c r="AJ2502" s="890"/>
      <c r="AN2502" s="223"/>
      <c r="AO2502" s="952"/>
      <c r="AP2502" s="1066"/>
      <c r="AQ2502" s="972"/>
      <c r="AR2502" s="1917"/>
      <c r="AS2502" s="222"/>
      <c r="AZ2502" s="889"/>
      <c r="BC2502" s="890"/>
      <c r="BD2502" s="952"/>
      <c r="BE2502" s="75"/>
      <c r="BF2502" s="572"/>
      <c r="BG2502" s="983"/>
      <c r="BH2502" s="222"/>
      <c r="BL2502" s="889"/>
      <c r="BO2502" s="223"/>
    </row>
    <row r="2503" spans="1:67" s="74" customFormat="1">
      <c r="A2503" s="15"/>
      <c r="B2503" s="15"/>
      <c r="C2503" s="15"/>
      <c r="D2503" s="15"/>
      <c r="E2503" s="6"/>
      <c r="F2503" s="6"/>
      <c r="G2503" s="6"/>
      <c r="K2503" s="223"/>
      <c r="M2503" s="889"/>
      <c r="P2503" s="890"/>
      <c r="T2503" s="889"/>
      <c r="X2503" s="15"/>
      <c r="Y2503" s="1935"/>
      <c r="Z2503" s="1086"/>
      <c r="AA2503" s="230"/>
      <c r="AB2503" s="230"/>
      <c r="AC2503" s="1936"/>
      <c r="AD2503" s="230"/>
      <c r="AE2503" s="230"/>
      <c r="AF2503" s="230"/>
      <c r="AG2503" s="890"/>
      <c r="AJ2503" s="890"/>
      <c r="AN2503" s="223"/>
      <c r="AO2503" s="952"/>
      <c r="AP2503" s="1066"/>
      <c r="AQ2503" s="972"/>
      <c r="AR2503" s="1917"/>
      <c r="AS2503" s="222"/>
      <c r="AZ2503" s="889"/>
      <c r="BC2503" s="890"/>
      <c r="BD2503" s="952"/>
      <c r="BE2503" s="75"/>
      <c r="BF2503" s="572"/>
      <c r="BG2503" s="983"/>
      <c r="BH2503" s="222"/>
      <c r="BL2503" s="889"/>
      <c r="BO2503" s="223"/>
    </row>
    <row r="2504" spans="1:67" s="74" customFormat="1">
      <c r="A2504" s="15"/>
      <c r="B2504" s="15"/>
      <c r="C2504" s="15"/>
      <c r="D2504" s="15"/>
      <c r="E2504" s="6"/>
      <c r="F2504" s="6"/>
      <c r="G2504" s="6"/>
      <c r="K2504" s="223"/>
      <c r="M2504" s="889"/>
      <c r="P2504" s="890"/>
      <c r="T2504" s="889"/>
      <c r="X2504" s="15"/>
      <c r="Y2504" s="1935"/>
      <c r="Z2504" s="1086"/>
      <c r="AA2504" s="230"/>
      <c r="AB2504" s="230"/>
      <c r="AC2504" s="1936"/>
      <c r="AD2504" s="230"/>
      <c r="AE2504" s="230"/>
      <c r="AF2504" s="230"/>
      <c r="AG2504" s="890"/>
      <c r="AJ2504" s="890"/>
      <c r="AN2504" s="223"/>
      <c r="AO2504" s="952"/>
      <c r="AP2504" s="1066"/>
      <c r="AQ2504" s="972"/>
      <c r="AR2504" s="1917"/>
      <c r="AS2504" s="222"/>
      <c r="AZ2504" s="889"/>
      <c r="BC2504" s="890"/>
      <c r="BD2504" s="952"/>
      <c r="BE2504" s="75"/>
      <c r="BF2504" s="572"/>
      <c r="BG2504" s="983"/>
      <c r="BH2504" s="222"/>
      <c r="BL2504" s="889"/>
      <c r="BO2504" s="223"/>
    </row>
    <row r="2505" spans="1:67" s="74" customFormat="1">
      <c r="A2505" s="15"/>
      <c r="B2505" s="15"/>
      <c r="C2505" s="15"/>
      <c r="D2505" s="15"/>
      <c r="E2505" s="6"/>
      <c r="F2505" s="6"/>
      <c r="G2505" s="6"/>
      <c r="K2505" s="223"/>
      <c r="M2505" s="889"/>
      <c r="P2505" s="890"/>
      <c r="T2505" s="889"/>
      <c r="X2505" s="15"/>
      <c r="Y2505" s="1935"/>
      <c r="Z2505" s="1086"/>
      <c r="AA2505" s="230"/>
      <c r="AB2505" s="230"/>
      <c r="AC2505" s="1936"/>
      <c r="AD2505" s="230"/>
      <c r="AE2505" s="230"/>
      <c r="AF2505" s="230"/>
      <c r="AG2505" s="890"/>
      <c r="AJ2505" s="890"/>
      <c r="AN2505" s="223"/>
      <c r="AO2505" s="952"/>
      <c r="AP2505" s="1066"/>
      <c r="AQ2505" s="972"/>
      <c r="AR2505" s="1917"/>
      <c r="AS2505" s="222"/>
      <c r="AZ2505" s="889"/>
      <c r="BC2505" s="890"/>
      <c r="BD2505" s="952"/>
      <c r="BE2505" s="75"/>
      <c r="BF2505" s="572"/>
      <c r="BG2505" s="983"/>
      <c r="BH2505" s="222"/>
      <c r="BL2505" s="889"/>
      <c r="BO2505" s="223"/>
    </row>
    <row r="2506" spans="1:67" s="74" customFormat="1">
      <c r="A2506" s="15"/>
      <c r="B2506" s="15"/>
      <c r="C2506" s="15"/>
      <c r="D2506" s="15"/>
      <c r="E2506" s="6"/>
      <c r="F2506" s="6"/>
      <c r="G2506" s="6"/>
      <c r="K2506" s="223"/>
      <c r="M2506" s="889"/>
      <c r="P2506" s="890"/>
      <c r="T2506" s="889"/>
      <c r="X2506" s="15"/>
      <c r="Y2506" s="1935"/>
      <c r="Z2506" s="1086"/>
      <c r="AA2506" s="230"/>
      <c r="AB2506" s="230"/>
      <c r="AC2506" s="1936"/>
      <c r="AD2506" s="230"/>
      <c r="AE2506" s="230"/>
      <c r="AF2506" s="230"/>
      <c r="AG2506" s="890"/>
      <c r="AJ2506" s="890"/>
      <c r="AN2506" s="223"/>
      <c r="AO2506" s="952"/>
      <c r="AP2506" s="1066"/>
      <c r="AQ2506" s="972"/>
      <c r="AR2506" s="1917"/>
      <c r="AS2506" s="222"/>
      <c r="AZ2506" s="889"/>
      <c r="BC2506" s="890"/>
      <c r="BD2506" s="952"/>
      <c r="BE2506" s="75"/>
      <c r="BF2506" s="572"/>
      <c r="BG2506" s="983"/>
      <c r="BH2506" s="222"/>
      <c r="BL2506" s="889"/>
      <c r="BO2506" s="223"/>
    </row>
    <row r="2507" spans="1:67" s="74" customFormat="1">
      <c r="A2507" s="15"/>
      <c r="B2507" s="15"/>
      <c r="C2507" s="15"/>
      <c r="D2507" s="15"/>
      <c r="E2507" s="6"/>
      <c r="F2507" s="6"/>
      <c r="G2507" s="6"/>
      <c r="K2507" s="223"/>
      <c r="M2507" s="889"/>
      <c r="P2507" s="890"/>
      <c r="T2507" s="889"/>
      <c r="X2507" s="15"/>
      <c r="Y2507" s="1935"/>
      <c r="Z2507" s="1086"/>
      <c r="AA2507" s="230"/>
      <c r="AB2507" s="230"/>
      <c r="AC2507" s="1936"/>
      <c r="AD2507" s="230"/>
      <c r="AE2507" s="230"/>
      <c r="AF2507" s="230"/>
      <c r="AG2507" s="890"/>
      <c r="AJ2507" s="890"/>
      <c r="AN2507" s="223"/>
      <c r="AO2507" s="952"/>
      <c r="AP2507" s="1066"/>
      <c r="AQ2507" s="972"/>
      <c r="AR2507" s="1917"/>
      <c r="AS2507" s="222"/>
      <c r="AZ2507" s="889"/>
      <c r="BC2507" s="890"/>
      <c r="BD2507" s="952"/>
      <c r="BE2507" s="75"/>
      <c r="BF2507" s="572"/>
      <c r="BG2507" s="983"/>
      <c r="BH2507" s="222"/>
      <c r="BL2507" s="889"/>
      <c r="BO2507" s="223"/>
    </row>
    <row r="2508" spans="1:67" s="74" customFormat="1">
      <c r="A2508" s="15"/>
      <c r="B2508" s="15"/>
      <c r="C2508" s="15"/>
      <c r="D2508" s="15"/>
      <c r="E2508" s="6"/>
      <c r="F2508" s="6"/>
      <c r="G2508" s="6"/>
      <c r="K2508" s="223"/>
      <c r="M2508" s="889"/>
      <c r="P2508" s="890"/>
      <c r="T2508" s="889"/>
      <c r="X2508" s="15"/>
      <c r="Y2508" s="1935"/>
      <c r="Z2508" s="1086"/>
      <c r="AA2508" s="230"/>
      <c r="AB2508" s="230"/>
      <c r="AC2508" s="1936"/>
      <c r="AD2508" s="230"/>
      <c r="AE2508" s="230"/>
      <c r="AF2508" s="230"/>
      <c r="AG2508" s="890"/>
      <c r="AJ2508" s="890"/>
      <c r="AN2508" s="223"/>
      <c r="AO2508" s="952"/>
      <c r="AP2508" s="1066"/>
      <c r="AQ2508" s="972"/>
      <c r="AR2508" s="1917"/>
      <c r="AS2508" s="222"/>
      <c r="AZ2508" s="889"/>
      <c r="BC2508" s="890"/>
      <c r="BD2508" s="952"/>
      <c r="BE2508" s="75"/>
      <c r="BF2508" s="572"/>
      <c r="BG2508" s="983"/>
      <c r="BH2508" s="222"/>
      <c r="BL2508" s="889"/>
      <c r="BO2508" s="223"/>
    </row>
    <row r="2509" spans="1:67" s="74" customFormat="1">
      <c r="A2509" s="15"/>
      <c r="B2509" s="15"/>
      <c r="C2509" s="15"/>
      <c r="D2509" s="15"/>
      <c r="E2509" s="6"/>
      <c r="F2509" s="6"/>
      <c r="G2509" s="6"/>
      <c r="K2509" s="223"/>
      <c r="M2509" s="889"/>
      <c r="P2509" s="890"/>
      <c r="T2509" s="889"/>
      <c r="X2509" s="15"/>
      <c r="Y2509" s="1935"/>
      <c r="Z2509" s="1086"/>
      <c r="AA2509" s="230"/>
      <c r="AB2509" s="230"/>
      <c r="AC2509" s="1936"/>
      <c r="AD2509" s="230"/>
      <c r="AE2509" s="230"/>
      <c r="AF2509" s="230"/>
      <c r="AG2509" s="890"/>
      <c r="AJ2509" s="890"/>
      <c r="AN2509" s="223"/>
      <c r="AO2509" s="952"/>
      <c r="AP2509" s="1066"/>
      <c r="AQ2509" s="972"/>
      <c r="AR2509" s="1917"/>
      <c r="AS2509" s="222"/>
      <c r="AZ2509" s="889"/>
      <c r="BC2509" s="890"/>
      <c r="BD2509" s="952"/>
      <c r="BE2509" s="75"/>
      <c r="BF2509" s="572"/>
      <c r="BG2509" s="983"/>
      <c r="BH2509" s="222"/>
      <c r="BL2509" s="889"/>
      <c r="BO2509" s="223"/>
    </row>
    <row r="2510" spans="1:67" s="74" customFormat="1">
      <c r="A2510" s="15"/>
      <c r="B2510" s="15"/>
      <c r="C2510" s="15"/>
      <c r="D2510" s="15"/>
      <c r="E2510" s="6"/>
      <c r="F2510" s="6"/>
      <c r="G2510" s="6"/>
      <c r="K2510" s="223"/>
      <c r="M2510" s="889"/>
      <c r="P2510" s="890"/>
      <c r="T2510" s="889"/>
      <c r="X2510" s="15"/>
      <c r="Y2510" s="1935"/>
      <c r="Z2510" s="1086"/>
      <c r="AA2510" s="230"/>
      <c r="AB2510" s="230"/>
      <c r="AC2510" s="1936"/>
      <c r="AD2510" s="230"/>
      <c r="AE2510" s="230"/>
      <c r="AF2510" s="230"/>
      <c r="AG2510" s="890"/>
      <c r="AJ2510" s="890"/>
      <c r="AN2510" s="223"/>
      <c r="AO2510" s="952"/>
      <c r="AP2510" s="1066"/>
      <c r="AQ2510" s="972"/>
      <c r="AR2510" s="1917"/>
      <c r="AS2510" s="222"/>
      <c r="AZ2510" s="889"/>
      <c r="BC2510" s="890"/>
      <c r="BD2510" s="952"/>
      <c r="BE2510" s="75"/>
      <c r="BF2510" s="572"/>
      <c r="BG2510" s="983"/>
      <c r="BH2510" s="222"/>
      <c r="BL2510" s="889"/>
      <c r="BO2510" s="223"/>
    </row>
    <row r="2511" spans="1:67" s="74" customFormat="1">
      <c r="A2511" s="15"/>
      <c r="B2511" s="15"/>
      <c r="C2511" s="15"/>
      <c r="D2511" s="15"/>
      <c r="E2511" s="6"/>
      <c r="F2511" s="6"/>
      <c r="G2511" s="6"/>
      <c r="K2511" s="223"/>
      <c r="M2511" s="889"/>
      <c r="P2511" s="890"/>
      <c r="T2511" s="889"/>
      <c r="X2511" s="15"/>
      <c r="Y2511" s="1935"/>
      <c r="Z2511" s="1086"/>
      <c r="AA2511" s="230"/>
      <c r="AB2511" s="230"/>
      <c r="AC2511" s="1936"/>
      <c r="AD2511" s="230"/>
      <c r="AE2511" s="230"/>
      <c r="AF2511" s="230"/>
      <c r="AG2511" s="890"/>
      <c r="AJ2511" s="890"/>
      <c r="AN2511" s="223"/>
      <c r="AO2511" s="952"/>
      <c r="AP2511" s="1066"/>
      <c r="AQ2511" s="972"/>
      <c r="AR2511" s="1917"/>
      <c r="AS2511" s="222"/>
      <c r="AZ2511" s="889"/>
      <c r="BC2511" s="890"/>
      <c r="BD2511" s="952"/>
      <c r="BE2511" s="75"/>
      <c r="BF2511" s="572"/>
      <c r="BG2511" s="983"/>
      <c r="BH2511" s="222"/>
      <c r="BL2511" s="889"/>
      <c r="BO2511" s="223"/>
    </row>
    <row r="2512" spans="1:67" s="74" customFormat="1">
      <c r="A2512" s="15"/>
      <c r="B2512" s="15"/>
      <c r="C2512" s="15"/>
      <c r="D2512" s="15"/>
      <c r="E2512" s="6"/>
      <c r="F2512" s="6"/>
      <c r="G2512" s="6"/>
      <c r="K2512" s="223"/>
      <c r="M2512" s="889"/>
      <c r="P2512" s="890"/>
      <c r="T2512" s="889"/>
      <c r="X2512" s="15"/>
      <c r="Y2512" s="1935"/>
      <c r="Z2512" s="1086"/>
      <c r="AA2512" s="230"/>
      <c r="AB2512" s="230"/>
      <c r="AC2512" s="1936"/>
      <c r="AD2512" s="230"/>
      <c r="AE2512" s="230"/>
      <c r="AF2512" s="230"/>
      <c r="AG2512" s="890"/>
      <c r="AJ2512" s="890"/>
      <c r="AN2512" s="223"/>
      <c r="AO2512" s="952"/>
      <c r="AP2512" s="1066"/>
      <c r="AQ2512" s="972"/>
      <c r="AR2512" s="1917"/>
      <c r="AS2512" s="222"/>
      <c r="AZ2512" s="889"/>
      <c r="BC2512" s="890"/>
      <c r="BD2512" s="952"/>
      <c r="BE2512" s="75"/>
      <c r="BF2512" s="572"/>
      <c r="BG2512" s="983"/>
      <c r="BH2512" s="222"/>
      <c r="BL2512" s="889"/>
      <c r="BO2512" s="223"/>
    </row>
    <row r="2513" spans="1:67" s="74" customFormat="1">
      <c r="A2513" s="15"/>
      <c r="B2513" s="15"/>
      <c r="C2513" s="15"/>
      <c r="D2513" s="15"/>
      <c r="E2513" s="6"/>
      <c r="F2513" s="6"/>
      <c r="G2513" s="6"/>
      <c r="K2513" s="223"/>
      <c r="M2513" s="889"/>
      <c r="P2513" s="890"/>
      <c r="T2513" s="889"/>
      <c r="X2513" s="15"/>
      <c r="Y2513" s="1935"/>
      <c r="Z2513" s="1086"/>
      <c r="AA2513" s="230"/>
      <c r="AB2513" s="230"/>
      <c r="AC2513" s="1936"/>
      <c r="AD2513" s="230"/>
      <c r="AE2513" s="230"/>
      <c r="AF2513" s="230"/>
      <c r="AG2513" s="890"/>
      <c r="AJ2513" s="890"/>
      <c r="AN2513" s="223"/>
      <c r="AO2513" s="952"/>
      <c r="AP2513" s="1066"/>
      <c r="AQ2513" s="972"/>
      <c r="AR2513" s="1917"/>
      <c r="AS2513" s="222"/>
      <c r="AZ2513" s="889"/>
      <c r="BC2513" s="890"/>
      <c r="BD2513" s="952"/>
      <c r="BE2513" s="75"/>
      <c r="BF2513" s="572"/>
      <c r="BG2513" s="983"/>
      <c r="BH2513" s="222"/>
      <c r="BL2513" s="889"/>
      <c r="BO2513" s="223"/>
    </row>
    <row r="2514" spans="1:67" s="74" customFormat="1">
      <c r="A2514" s="15"/>
      <c r="B2514" s="15"/>
      <c r="C2514" s="15"/>
      <c r="D2514" s="15"/>
      <c r="E2514" s="6"/>
      <c r="F2514" s="6"/>
      <c r="G2514" s="6"/>
      <c r="K2514" s="223"/>
      <c r="M2514" s="889"/>
      <c r="P2514" s="890"/>
      <c r="T2514" s="889"/>
      <c r="X2514" s="15"/>
      <c r="Y2514" s="1935"/>
      <c r="Z2514" s="1086"/>
      <c r="AA2514" s="230"/>
      <c r="AB2514" s="230"/>
      <c r="AC2514" s="1936"/>
      <c r="AD2514" s="230"/>
      <c r="AE2514" s="230"/>
      <c r="AF2514" s="230"/>
      <c r="AG2514" s="890"/>
      <c r="AJ2514" s="890"/>
      <c r="AN2514" s="223"/>
      <c r="AO2514" s="952"/>
      <c r="AP2514" s="1066"/>
      <c r="AQ2514" s="972"/>
      <c r="AR2514" s="1917"/>
      <c r="AS2514" s="222"/>
      <c r="AZ2514" s="889"/>
      <c r="BC2514" s="890"/>
      <c r="BD2514" s="952"/>
      <c r="BE2514" s="75"/>
      <c r="BF2514" s="572"/>
      <c r="BG2514" s="983"/>
      <c r="BH2514" s="222"/>
      <c r="BL2514" s="889"/>
      <c r="BO2514" s="223"/>
    </row>
    <row r="2515" spans="1:67" s="74" customFormat="1">
      <c r="A2515" s="15"/>
      <c r="B2515" s="15"/>
      <c r="C2515" s="15"/>
      <c r="D2515" s="15"/>
      <c r="E2515" s="6"/>
      <c r="F2515" s="6"/>
      <c r="G2515" s="6"/>
      <c r="K2515" s="223"/>
      <c r="M2515" s="889"/>
      <c r="P2515" s="890"/>
      <c r="T2515" s="889"/>
      <c r="X2515" s="15"/>
      <c r="Y2515" s="1935"/>
      <c r="Z2515" s="1086"/>
      <c r="AA2515" s="230"/>
      <c r="AB2515" s="230"/>
      <c r="AC2515" s="1936"/>
      <c r="AD2515" s="230"/>
      <c r="AE2515" s="230"/>
      <c r="AF2515" s="230"/>
      <c r="AG2515" s="890"/>
      <c r="AJ2515" s="890"/>
      <c r="AN2515" s="223"/>
      <c r="AO2515" s="952"/>
      <c r="AP2515" s="1066"/>
      <c r="AQ2515" s="972"/>
      <c r="AR2515" s="1917"/>
      <c r="AS2515" s="222"/>
      <c r="AZ2515" s="889"/>
      <c r="BC2515" s="890"/>
      <c r="BD2515" s="952"/>
      <c r="BE2515" s="75"/>
      <c r="BF2515" s="572"/>
      <c r="BG2515" s="983"/>
      <c r="BH2515" s="222"/>
      <c r="BL2515" s="889"/>
      <c r="BO2515" s="223"/>
    </row>
    <row r="2516" spans="1:67" s="74" customFormat="1">
      <c r="A2516" s="15"/>
      <c r="B2516" s="15"/>
      <c r="C2516" s="15"/>
      <c r="D2516" s="15"/>
      <c r="E2516" s="6"/>
      <c r="F2516" s="6"/>
      <c r="G2516" s="6"/>
      <c r="K2516" s="223"/>
      <c r="M2516" s="889"/>
      <c r="P2516" s="890"/>
      <c r="T2516" s="889"/>
      <c r="X2516" s="15"/>
      <c r="Y2516" s="1935"/>
      <c r="Z2516" s="1086"/>
      <c r="AA2516" s="230"/>
      <c r="AB2516" s="230"/>
      <c r="AC2516" s="1936"/>
      <c r="AD2516" s="230"/>
      <c r="AE2516" s="230"/>
      <c r="AF2516" s="230"/>
      <c r="AG2516" s="890"/>
      <c r="AJ2516" s="890"/>
      <c r="AN2516" s="223"/>
      <c r="AO2516" s="952"/>
      <c r="AP2516" s="1066"/>
      <c r="AQ2516" s="972"/>
      <c r="AR2516" s="1917"/>
      <c r="AS2516" s="222"/>
      <c r="AZ2516" s="889"/>
      <c r="BC2516" s="890"/>
      <c r="BD2516" s="952"/>
      <c r="BE2516" s="75"/>
      <c r="BF2516" s="572"/>
      <c r="BG2516" s="983"/>
      <c r="BH2516" s="222"/>
      <c r="BL2516" s="889"/>
      <c r="BO2516" s="223"/>
    </row>
    <row r="2517" spans="1:67" s="74" customFormat="1">
      <c r="A2517" s="15"/>
      <c r="B2517" s="15"/>
      <c r="C2517" s="15"/>
      <c r="D2517" s="15"/>
      <c r="E2517" s="6"/>
      <c r="F2517" s="6"/>
      <c r="G2517" s="6"/>
      <c r="K2517" s="223"/>
      <c r="M2517" s="889"/>
      <c r="P2517" s="890"/>
      <c r="T2517" s="889"/>
      <c r="X2517" s="15"/>
      <c r="Y2517" s="1935"/>
      <c r="Z2517" s="1086"/>
      <c r="AA2517" s="230"/>
      <c r="AB2517" s="230"/>
      <c r="AC2517" s="1936"/>
      <c r="AD2517" s="230"/>
      <c r="AE2517" s="230"/>
      <c r="AF2517" s="230"/>
      <c r="AG2517" s="890"/>
      <c r="AJ2517" s="890"/>
      <c r="AN2517" s="223"/>
      <c r="AO2517" s="952"/>
      <c r="AP2517" s="1066"/>
      <c r="AQ2517" s="972"/>
      <c r="AR2517" s="1917"/>
      <c r="AS2517" s="222"/>
      <c r="AZ2517" s="889"/>
      <c r="BC2517" s="890"/>
      <c r="BD2517" s="952"/>
      <c r="BE2517" s="75"/>
      <c r="BF2517" s="572"/>
      <c r="BG2517" s="983"/>
      <c r="BH2517" s="222"/>
      <c r="BL2517" s="889"/>
      <c r="BO2517" s="223"/>
    </row>
    <row r="2518" spans="1:67" s="74" customFormat="1">
      <c r="A2518" s="15"/>
      <c r="B2518" s="15"/>
      <c r="C2518" s="15"/>
      <c r="D2518" s="15"/>
      <c r="E2518" s="6"/>
      <c r="F2518" s="6"/>
      <c r="G2518" s="6"/>
      <c r="K2518" s="223"/>
      <c r="M2518" s="889"/>
      <c r="P2518" s="890"/>
      <c r="T2518" s="889"/>
      <c r="X2518" s="15"/>
      <c r="Y2518" s="1935"/>
      <c r="Z2518" s="1086"/>
      <c r="AA2518" s="230"/>
      <c r="AB2518" s="230"/>
      <c r="AC2518" s="1936"/>
      <c r="AD2518" s="230"/>
      <c r="AE2518" s="230"/>
      <c r="AF2518" s="230"/>
      <c r="AG2518" s="890"/>
      <c r="AJ2518" s="890"/>
      <c r="AN2518" s="223"/>
      <c r="AO2518" s="952"/>
      <c r="AP2518" s="1066"/>
      <c r="AQ2518" s="972"/>
      <c r="AR2518" s="1917"/>
      <c r="AS2518" s="222"/>
      <c r="AZ2518" s="889"/>
      <c r="BC2518" s="890"/>
      <c r="BD2518" s="952"/>
      <c r="BE2518" s="75"/>
      <c r="BF2518" s="572"/>
      <c r="BG2518" s="983"/>
      <c r="BH2518" s="222"/>
      <c r="BL2518" s="889"/>
      <c r="BO2518" s="223"/>
    </row>
    <row r="2519" spans="1:67" s="74" customFormat="1">
      <c r="A2519" s="15"/>
      <c r="B2519" s="15"/>
      <c r="C2519" s="15"/>
      <c r="D2519" s="15"/>
      <c r="E2519" s="6"/>
      <c r="F2519" s="6"/>
      <c r="G2519" s="6"/>
      <c r="K2519" s="223"/>
      <c r="M2519" s="889"/>
      <c r="P2519" s="890"/>
      <c r="T2519" s="889"/>
      <c r="X2519" s="15"/>
      <c r="Y2519" s="1935"/>
      <c r="Z2519" s="1086"/>
      <c r="AA2519" s="230"/>
      <c r="AB2519" s="230"/>
      <c r="AC2519" s="1936"/>
      <c r="AD2519" s="230"/>
      <c r="AE2519" s="230"/>
      <c r="AF2519" s="230"/>
      <c r="AG2519" s="890"/>
      <c r="AJ2519" s="890"/>
      <c r="AN2519" s="223"/>
      <c r="AO2519" s="952"/>
      <c r="AP2519" s="1066"/>
      <c r="AQ2519" s="972"/>
      <c r="AR2519" s="1917"/>
      <c r="AS2519" s="222"/>
      <c r="AZ2519" s="889"/>
      <c r="BC2519" s="890"/>
      <c r="BD2519" s="952"/>
      <c r="BE2519" s="75"/>
      <c r="BF2519" s="572"/>
      <c r="BG2519" s="983"/>
      <c r="BH2519" s="222"/>
      <c r="BL2519" s="889"/>
      <c r="BO2519" s="223"/>
    </row>
    <row r="2520" spans="1:67" s="74" customFormat="1">
      <c r="A2520" s="15"/>
      <c r="B2520" s="15"/>
      <c r="C2520" s="15"/>
      <c r="D2520" s="15"/>
      <c r="E2520" s="6"/>
      <c r="F2520" s="6"/>
      <c r="G2520" s="6"/>
      <c r="K2520" s="223"/>
      <c r="M2520" s="889"/>
      <c r="P2520" s="890"/>
      <c r="T2520" s="889"/>
      <c r="X2520" s="15"/>
      <c r="Y2520" s="1935"/>
      <c r="Z2520" s="1086"/>
      <c r="AA2520" s="230"/>
      <c r="AB2520" s="230"/>
      <c r="AC2520" s="1936"/>
      <c r="AD2520" s="230"/>
      <c r="AE2520" s="230"/>
      <c r="AF2520" s="230"/>
      <c r="AG2520" s="890"/>
      <c r="AJ2520" s="890"/>
      <c r="AN2520" s="223"/>
      <c r="AO2520" s="952"/>
      <c r="AP2520" s="1066"/>
      <c r="AQ2520" s="972"/>
      <c r="AR2520" s="1917"/>
      <c r="AS2520" s="222"/>
      <c r="AZ2520" s="889"/>
      <c r="BC2520" s="890"/>
      <c r="BD2520" s="952"/>
      <c r="BE2520" s="75"/>
      <c r="BF2520" s="572"/>
      <c r="BG2520" s="983"/>
      <c r="BH2520" s="222"/>
      <c r="BL2520" s="889"/>
      <c r="BO2520" s="223"/>
    </row>
    <row r="2521" spans="1:67" s="74" customFormat="1">
      <c r="A2521" s="15"/>
      <c r="B2521" s="15"/>
      <c r="C2521" s="15"/>
      <c r="D2521" s="15"/>
      <c r="E2521" s="6"/>
      <c r="F2521" s="6"/>
      <c r="G2521" s="6"/>
      <c r="K2521" s="223"/>
      <c r="M2521" s="889"/>
      <c r="P2521" s="890"/>
      <c r="T2521" s="889"/>
      <c r="X2521" s="15"/>
      <c r="Y2521" s="1935"/>
      <c r="Z2521" s="1086"/>
      <c r="AA2521" s="230"/>
      <c r="AB2521" s="230"/>
      <c r="AC2521" s="1936"/>
      <c r="AD2521" s="230"/>
      <c r="AE2521" s="230"/>
      <c r="AF2521" s="230"/>
      <c r="AG2521" s="890"/>
      <c r="AJ2521" s="890"/>
      <c r="AN2521" s="223"/>
      <c r="AO2521" s="952"/>
      <c r="AP2521" s="1066"/>
      <c r="AQ2521" s="972"/>
      <c r="AR2521" s="1917"/>
      <c r="AS2521" s="222"/>
      <c r="AZ2521" s="889"/>
      <c r="BC2521" s="890"/>
      <c r="BD2521" s="952"/>
      <c r="BE2521" s="75"/>
      <c r="BF2521" s="572"/>
      <c r="BG2521" s="983"/>
      <c r="BH2521" s="222"/>
      <c r="BL2521" s="889"/>
      <c r="BO2521" s="223"/>
    </row>
    <row r="2522" spans="1:67" s="74" customFormat="1">
      <c r="A2522" s="15"/>
      <c r="B2522" s="15"/>
      <c r="C2522" s="15"/>
      <c r="D2522" s="15"/>
      <c r="E2522" s="6"/>
      <c r="F2522" s="6"/>
      <c r="G2522" s="6"/>
      <c r="K2522" s="223"/>
      <c r="M2522" s="889"/>
      <c r="P2522" s="890"/>
      <c r="T2522" s="889"/>
      <c r="X2522" s="15"/>
      <c r="Y2522" s="1935"/>
      <c r="Z2522" s="1086"/>
      <c r="AA2522" s="230"/>
      <c r="AB2522" s="230"/>
      <c r="AC2522" s="1936"/>
      <c r="AD2522" s="230"/>
      <c r="AE2522" s="230"/>
      <c r="AF2522" s="230"/>
      <c r="AG2522" s="890"/>
      <c r="AJ2522" s="890"/>
      <c r="AN2522" s="223"/>
      <c r="AO2522" s="952"/>
      <c r="AP2522" s="1066"/>
      <c r="AQ2522" s="972"/>
      <c r="AR2522" s="1917"/>
      <c r="AS2522" s="222"/>
      <c r="AZ2522" s="889"/>
      <c r="BC2522" s="890"/>
      <c r="BD2522" s="952"/>
      <c r="BE2522" s="75"/>
      <c r="BF2522" s="572"/>
      <c r="BG2522" s="983"/>
      <c r="BH2522" s="222"/>
      <c r="BL2522" s="889"/>
      <c r="BO2522" s="223"/>
    </row>
    <row r="2523" spans="1:67" s="74" customFormat="1">
      <c r="A2523" s="15"/>
      <c r="B2523" s="15"/>
      <c r="C2523" s="15"/>
      <c r="D2523" s="15"/>
      <c r="E2523" s="6"/>
      <c r="F2523" s="6"/>
      <c r="G2523" s="6"/>
      <c r="K2523" s="223"/>
      <c r="M2523" s="889"/>
      <c r="P2523" s="890"/>
      <c r="T2523" s="889"/>
      <c r="X2523" s="15"/>
      <c r="Y2523" s="1935"/>
      <c r="Z2523" s="1086"/>
      <c r="AA2523" s="230"/>
      <c r="AB2523" s="230"/>
      <c r="AC2523" s="1936"/>
      <c r="AD2523" s="230"/>
      <c r="AE2523" s="230"/>
      <c r="AF2523" s="230"/>
      <c r="AG2523" s="890"/>
      <c r="AJ2523" s="890"/>
      <c r="AN2523" s="223"/>
      <c r="AO2523" s="952"/>
      <c r="AP2523" s="1066"/>
      <c r="AQ2523" s="972"/>
      <c r="AR2523" s="1917"/>
      <c r="AS2523" s="222"/>
      <c r="AZ2523" s="889"/>
      <c r="BC2523" s="890"/>
      <c r="BD2523" s="952"/>
      <c r="BE2523" s="75"/>
      <c r="BF2523" s="572"/>
      <c r="BG2523" s="983"/>
      <c r="BH2523" s="222"/>
      <c r="BL2523" s="889"/>
      <c r="BO2523" s="223"/>
    </row>
    <row r="2524" spans="1:67" s="74" customFormat="1">
      <c r="A2524" s="15"/>
      <c r="B2524" s="15"/>
      <c r="C2524" s="15"/>
      <c r="D2524" s="15"/>
      <c r="E2524" s="6"/>
      <c r="F2524" s="6"/>
      <c r="G2524" s="6"/>
      <c r="K2524" s="223"/>
      <c r="M2524" s="889"/>
      <c r="P2524" s="890"/>
      <c r="T2524" s="889"/>
      <c r="X2524" s="15"/>
      <c r="Y2524" s="1935"/>
      <c r="Z2524" s="1086"/>
      <c r="AA2524" s="230"/>
      <c r="AB2524" s="230"/>
      <c r="AC2524" s="1936"/>
      <c r="AD2524" s="230"/>
      <c r="AE2524" s="230"/>
      <c r="AF2524" s="230"/>
      <c r="AG2524" s="890"/>
      <c r="AJ2524" s="890"/>
      <c r="AN2524" s="223"/>
      <c r="AO2524" s="952"/>
      <c r="AP2524" s="1066"/>
      <c r="AQ2524" s="972"/>
      <c r="AR2524" s="1917"/>
      <c r="AS2524" s="222"/>
      <c r="AZ2524" s="889"/>
      <c r="BC2524" s="890"/>
      <c r="BD2524" s="952"/>
      <c r="BE2524" s="75"/>
      <c r="BF2524" s="572"/>
      <c r="BG2524" s="983"/>
      <c r="BH2524" s="222"/>
      <c r="BL2524" s="889"/>
      <c r="BO2524" s="223"/>
    </row>
    <row r="2525" spans="1:67" s="74" customFormat="1">
      <c r="A2525" s="15"/>
      <c r="B2525" s="15"/>
      <c r="C2525" s="15"/>
      <c r="D2525" s="15"/>
      <c r="E2525" s="6"/>
      <c r="F2525" s="6"/>
      <c r="G2525" s="6"/>
      <c r="K2525" s="223"/>
      <c r="M2525" s="889"/>
      <c r="P2525" s="890"/>
      <c r="T2525" s="889"/>
      <c r="X2525" s="15"/>
      <c r="Y2525" s="1935"/>
      <c r="Z2525" s="1086"/>
      <c r="AA2525" s="230"/>
      <c r="AB2525" s="230"/>
      <c r="AC2525" s="1936"/>
      <c r="AD2525" s="230"/>
      <c r="AE2525" s="230"/>
      <c r="AF2525" s="230"/>
      <c r="AG2525" s="890"/>
      <c r="AJ2525" s="890"/>
      <c r="AN2525" s="223"/>
      <c r="AO2525" s="952"/>
      <c r="AP2525" s="1066"/>
      <c r="AQ2525" s="972"/>
      <c r="AR2525" s="1917"/>
      <c r="AS2525" s="222"/>
      <c r="AZ2525" s="889"/>
      <c r="BC2525" s="890"/>
      <c r="BD2525" s="952"/>
      <c r="BE2525" s="75"/>
      <c r="BF2525" s="572"/>
      <c r="BG2525" s="983"/>
      <c r="BH2525" s="222"/>
      <c r="BL2525" s="889"/>
      <c r="BO2525" s="223"/>
    </row>
    <row r="2526" spans="1:67" s="74" customFormat="1">
      <c r="A2526" s="15"/>
      <c r="B2526" s="15"/>
      <c r="C2526" s="15"/>
      <c r="D2526" s="15"/>
      <c r="E2526" s="6"/>
      <c r="F2526" s="6"/>
      <c r="G2526" s="6"/>
      <c r="K2526" s="223"/>
      <c r="M2526" s="889"/>
      <c r="P2526" s="890"/>
      <c r="T2526" s="889"/>
      <c r="X2526" s="15"/>
      <c r="Y2526" s="1935"/>
      <c r="Z2526" s="1086"/>
      <c r="AA2526" s="230"/>
      <c r="AB2526" s="230"/>
      <c r="AC2526" s="1936"/>
      <c r="AD2526" s="230"/>
      <c r="AE2526" s="230"/>
      <c r="AF2526" s="230"/>
      <c r="AG2526" s="890"/>
      <c r="AJ2526" s="890"/>
      <c r="AN2526" s="223"/>
      <c r="AO2526" s="952"/>
      <c r="AP2526" s="1066"/>
      <c r="AQ2526" s="972"/>
      <c r="AR2526" s="1917"/>
      <c r="AS2526" s="222"/>
      <c r="AZ2526" s="889"/>
      <c r="BC2526" s="890"/>
      <c r="BD2526" s="952"/>
      <c r="BE2526" s="75"/>
      <c r="BF2526" s="572"/>
      <c r="BG2526" s="983"/>
      <c r="BH2526" s="222"/>
      <c r="BL2526" s="889"/>
      <c r="BO2526" s="223"/>
    </row>
    <row r="2527" spans="1:67" s="74" customFormat="1">
      <c r="A2527" s="15"/>
      <c r="B2527" s="15"/>
      <c r="C2527" s="15"/>
      <c r="D2527" s="15"/>
      <c r="E2527" s="6"/>
      <c r="F2527" s="6"/>
      <c r="G2527" s="6"/>
      <c r="K2527" s="223"/>
      <c r="M2527" s="889"/>
      <c r="P2527" s="890"/>
      <c r="T2527" s="889"/>
      <c r="X2527" s="15"/>
      <c r="Y2527" s="1935"/>
      <c r="Z2527" s="1086"/>
      <c r="AA2527" s="230"/>
      <c r="AB2527" s="230"/>
      <c r="AC2527" s="1936"/>
      <c r="AD2527" s="230"/>
      <c r="AE2527" s="230"/>
      <c r="AF2527" s="230"/>
      <c r="AG2527" s="890"/>
      <c r="AJ2527" s="890"/>
      <c r="AN2527" s="223"/>
      <c r="AO2527" s="952"/>
      <c r="AP2527" s="1066"/>
      <c r="AQ2527" s="972"/>
      <c r="AR2527" s="1917"/>
      <c r="AS2527" s="222"/>
      <c r="AZ2527" s="889"/>
      <c r="BC2527" s="890"/>
      <c r="BD2527" s="952"/>
      <c r="BE2527" s="75"/>
      <c r="BF2527" s="572"/>
      <c r="BG2527" s="983"/>
      <c r="BH2527" s="222"/>
      <c r="BL2527" s="889"/>
      <c r="BO2527" s="223"/>
    </row>
    <row r="2528" spans="1:67" s="74" customFormat="1">
      <c r="A2528" s="15"/>
      <c r="B2528" s="15"/>
      <c r="C2528" s="15"/>
      <c r="D2528" s="15"/>
      <c r="E2528" s="6"/>
      <c r="F2528" s="6"/>
      <c r="G2528" s="6"/>
      <c r="K2528" s="223"/>
      <c r="M2528" s="889"/>
      <c r="P2528" s="890"/>
      <c r="T2528" s="889"/>
      <c r="X2528" s="15"/>
      <c r="Y2528" s="1935"/>
      <c r="Z2528" s="1086"/>
      <c r="AA2528" s="230"/>
      <c r="AB2528" s="230"/>
      <c r="AC2528" s="1936"/>
      <c r="AD2528" s="230"/>
      <c r="AE2528" s="230"/>
      <c r="AF2528" s="230"/>
      <c r="AG2528" s="890"/>
      <c r="AJ2528" s="890"/>
      <c r="AN2528" s="223"/>
      <c r="AO2528" s="952"/>
      <c r="AP2528" s="1066"/>
      <c r="AQ2528" s="972"/>
      <c r="AR2528" s="1917"/>
      <c r="AS2528" s="222"/>
      <c r="AZ2528" s="889"/>
      <c r="BC2528" s="890"/>
      <c r="BD2528" s="952"/>
      <c r="BE2528" s="75"/>
      <c r="BF2528" s="572"/>
      <c r="BG2528" s="983"/>
      <c r="BH2528" s="222"/>
      <c r="BL2528" s="889"/>
      <c r="BO2528" s="223"/>
    </row>
    <row r="2529" spans="1:67" s="74" customFormat="1">
      <c r="A2529" s="15"/>
      <c r="B2529" s="15"/>
      <c r="C2529" s="15"/>
      <c r="D2529" s="15"/>
      <c r="E2529" s="6"/>
      <c r="F2529" s="6"/>
      <c r="G2529" s="6"/>
      <c r="K2529" s="223"/>
      <c r="M2529" s="889"/>
      <c r="P2529" s="890"/>
      <c r="T2529" s="889"/>
      <c r="X2529" s="15"/>
      <c r="Y2529" s="1935"/>
      <c r="Z2529" s="1086"/>
      <c r="AA2529" s="230"/>
      <c r="AB2529" s="230"/>
      <c r="AC2529" s="1936"/>
      <c r="AD2529" s="230"/>
      <c r="AE2529" s="230"/>
      <c r="AF2529" s="230"/>
      <c r="AG2529" s="890"/>
      <c r="AJ2529" s="890"/>
      <c r="AN2529" s="223"/>
      <c r="AO2529" s="952"/>
      <c r="AP2529" s="1066"/>
      <c r="AQ2529" s="972"/>
      <c r="AR2529" s="1917"/>
      <c r="AS2529" s="222"/>
      <c r="AZ2529" s="889"/>
      <c r="BC2529" s="890"/>
      <c r="BD2529" s="952"/>
      <c r="BE2529" s="75"/>
      <c r="BF2529" s="572"/>
      <c r="BG2529" s="983"/>
      <c r="BH2529" s="222"/>
      <c r="BL2529" s="889"/>
      <c r="BO2529" s="223"/>
    </row>
    <row r="2530" spans="1:67" s="74" customFormat="1">
      <c r="A2530" s="15"/>
      <c r="B2530" s="15"/>
      <c r="C2530" s="15"/>
      <c r="D2530" s="15"/>
      <c r="E2530" s="6"/>
      <c r="F2530" s="6"/>
      <c r="G2530" s="6"/>
      <c r="K2530" s="223"/>
      <c r="M2530" s="889"/>
      <c r="P2530" s="890"/>
      <c r="T2530" s="889"/>
      <c r="X2530" s="15"/>
      <c r="Y2530" s="1935"/>
      <c r="Z2530" s="1086"/>
      <c r="AA2530" s="230"/>
      <c r="AB2530" s="230"/>
      <c r="AC2530" s="1936"/>
      <c r="AD2530" s="230"/>
      <c r="AE2530" s="230"/>
      <c r="AF2530" s="230"/>
      <c r="AG2530" s="890"/>
      <c r="AJ2530" s="890"/>
      <c r="AN2530" s="223"/>
      <c r="AO2530" s="952"/>
      <c r="AP2530" s="1066"/>
      <c r="AQ2530" s="972"/>
      <c r="AR2530" s="1917"/>
      <c r="AS2530" s="222"/>
      <c r="AZ2530" s="889"/>
      <c r="BC2530" s="890"/>
      <c r="BD2530" s="952"/>
      <c r="BE2530" s="75"/>
      <c r="BF2530" s="572"/>
      <c r="BG2530" s="983"/>
      <c r="BH2530" s="222"/>
      <c r="BL2530" s="889"/>
      <c r="BO2530" s="223"/>
    </row>
    <row r="2531" spans="1:67" s="74" customFormat="1">
      <c r="A2531" s="15"/>
      <c r="B2531" s="15"/>
      <c r="C2531" s="15"/>
      <c r="D2531" s="15"/>
      <c r="E2531" s="6"/>
      <c r="F2531" s="6"/>
      <c r="G2531" s="6"/>
      <c r="K2531" s="223"/>
      <c r="M2531" s="889"/>
      <c r="P2531" s="890"/>
      <c r="T2531" s="889"/>
      <c r="X2531" s="15"/>
      <c r="Y2531" s="1935"/>
      <c r="Z2531" s="1086"/>
      <c r="AA2531" s="230"/>
      <c r="AB2531" s="230"/>
      <c r="AC2531" s="1936"/>
      <c r="AD2531" s="230"/>
      <c r="AE2531" s="230"/>
      <c r="AF2531" s="230"/>
      <c r="AG2531" s="890"/>
      <c r="AJ2531" s="890"/>
      <c r="AN2531" s="223"/>
      <c r="AO2531" s="952"/>
      <c r="AP2531" s="1066"/>
      <c r="AQ2531" s="972"/>
      <c r="AR2531" s="1917"/>
      <c r="AS2531" s="222"/>
      <c r="AZ2531" s="889"/>
      <c r="BC2531" s="890"/>
      <c r="BD2531" s="952"/>
      <c r="BE2531" s="75"/>
      <c r="BF2531" s="572"/>
      <c r="BG2531" s="983"/>
      <c r="BH2531" s="222"/>
      <c r="BL2531" s="889"/>
      <c r="BO2531" s="223"/>
    </row>
    <row r="2532" spans="1:67" s="74" customFormat="1">
      <c r="A2532" s="15"/>
      <c r="B2532" s="15"/>
      <c r="C2532" s="15"/>
      <c r="D2532" s="15"/>
      <c r="E2532" s="6"/>
      <c r="F2532" s="6"/>
      <c r="G2532" s="6"/>
      <c r="K2532" s="223"/>
      <c r="M2532" s="889"/>
      <c r="P2532" s="890"/>
      <c r="T2532" s="889"/>
      <c r="X2532" s="15"/>
      <c r="Y2532" s="1935"/>
      <c r="Z2532" s="1086"/>
      <c r="AA2532" s="230"/>
      <c r="AB2532" s="230"/>
      <c r="AC2532" s="1936"/>
      <c r="AD2532" s="230"/>
      <c r="AE2532" s="230"/>
      <c r="AF2532" s="230"/>
      <c r="AG2532" s="890"/>
      <c r="AJ2532" s="890"/>
      <c r="AN2532" s="223"/>
      <c r="AO2532" s="952"/>
      <c r="AP2532" s="1066"/>
      <c r="AQ2532" s="972"/>
      <c r="AR2532" s="1917"/>
      <c r="AS2532" s="222"/>
      <c r="AZ2532" s="889"/>
      <c r="BC2532" s="890"/>
      <c r="BD2532" s="952"/>
      <c r="BE2532" s="75"/>
      <c r="BF2532" s="572"/>
      <c r="BG2532" s="983"/>
      <c r="BH2532" s="222"/>
      <c r="BL2532" s="889"/>
      <c r="BO2532" s="223"/>
    </row>
    <row r="2533" spans="1:67" s="74" customFormat="1">
      <c r="A2533" s="15"/>
      <c r="B2533" s="15"/>
      <c r="C2533" s="15"/>
      <c r="D2533" s="15"/>
      <c r="E2533" s="6"/>
      <c r="F2533" s="6"/>
      <c r="G2533" s="6"/>
      <c r="K2533" s="223"/>
      <c r="M2533" s="889"/>
      <c r="P2533" s="890"/>
      <c r="T2533" s="889"/>
      <c r="X2533" s="15"/>
      <c r="Y2533" s="1935"/>
      <c r="Z2533" s="1086"/>
      <c r="AA2533" s="230"/>
      <c r="AB2533" s="230"/>
      <c r="AC2533" s="1936"/>
      <c r="AD2533" s="230"/>
      <c r="AE2533" s="230"/>
      <c r="AF2533" s="230"/>
      <c r="AG2533" s="890"/>
      <c r="AJ2533" s="890"/>
      <c r="AN2533" s="223"/>
      <c r="AO2533" s="952"/>
      <c r="AP2533" s="1066"/>
      <c r="AQ2533" s="972"/>
      <c r="AR2533" s="1917"/>
      <c r="AS2533" s="222"/>
      <c r="AZ2533" s="889"/>
      <c r="BC2533" s="890"/>
      <c r="BD2533" s="952"/>
      <c r="BE2533" s="75"/>
      <c r="BF2533" s="572"/>
      <c r="BG2533" s="983"/>
      <c r="BH2533" s="222"/>
      <c r="BL2533" s="889"/>
      <c r="BO2533" s="223"/>
    </row>
    <row r="2534" spans="1:67" s="74" customFormat="1">
      <c r="A2534" s="15"/>
      <c r="B2534" s="15"/>
      <c r="C2534" s="15"/>
      <c r="D2534" s="15"/>
      <c r="E2534" s="6"/>
      <c r="F2534" s="6"/>
      <c r="G2534" s="6"/>
      <c r="K2534" s="223"/>
      <c r="M2534" s="889"/>
      <c r="P2534" s="890"/>
      <c r="T2534" s="889"/>
      <c r="X2534" s="15"/>
      <c r="Y2534" s="1935"/>
      <c r="Z2534" s="1086"/>
      <c r="AA2534" s="230"/>
      <c r="AB2534" s="230"/>
      <c r="AC2534" s="1936"/>
      <c r="AD2534" s="230"/>
      <c r="AE2534" s="230"/>
      <c r="AF2534" s="230"/>
      <c r="AG2534" s="890"/>
      <c r="AJ2534" s="890"/>
      <c r="AN2534" s="223"/>
      <c r="AO2534" s="952"/>
      <c r="AP2534" s="1066"/>
      <c r="AQ2534" s="972"/>
      <c r="AR2534" s="1917"/>
      <c r="AS2534" s="222"/>
      <c r="AZ2534" s="889"/>
      <c r="BC2534" s="890"/>
      <c r="BD2534" s="952"/>
      <c r="BE2534" s="75"/>
      <c r="BF2534" s="572"/>
      <c r="BG2534" s="983"/>
      <c r="BH2534" s="222"/>
      <c r="BL2534" s="889"/>
      <c r="BO2534" s="223"/>
    </row>
    <row r="2535" spans="1:67" s="74" customFormat="1">
      <c r="A2535" s="15"/>
      <c r="B2535" s="15"/>
      <c r="C2535" s="15"/>
      <c r="D2535" s="15"/>
      <c r="E2535" s="6"/>
      <c r="F2535" s="6"/>
      <c r="G2535" s="6"/>
      <c r="K2535" s="223"/>
      <c r="M2535" s="889"/>
      <c r="P2535" s="890"/>
      <c r="T2535" s="889"/>
      <c r="X2535" s="15"/>
      <c r="Y2535" s="1935"/>
      <c r="Z2535" s="1086"/>
      <c r="AA2535" s="230"/>
      <c r="AB2535" s="230"/>
      <c r="AC2535" s="1936"/>
      <c r="AD2535" s="230"/>
      <c r="AE2535" s="230"/>
      <c r="AF2535" s="230"/>
      <c r="AG2535" s="890"/>
      <c r="AJ2535" s="890"/>
      <c r="AN2535" s="223"/>
      <c r="AO2535" s="952"/>
      <c r="AP2535" s="1066"/>
      <c r="AQ2535" s="972"/>
      <c r="AR2535" s="1917"/>
      <c r="AS2535" s="222"/>
      <c r="AZ2535" s="889"/>
      <c r="BC2535" s="890"/>
      <c r="BD2535" s="952"/>
      <c r="BE2535" s="75"/>
      <c r="BF2535" s="572"/>
      <c r="BG2535" s="983"/>
      <c r="BH2535" s="222"/>
      <c r="BL2535" s="889"/>
      <c r="BO2535" s="223"/>
    </row>
    <row r="2536" spans="1:67" s="74" customFormat="1">
      <c r="A2536" s="15"/>
      <c r="B2536" s="15"/>
      <c r="C2536" s="15"/>
      <c r="D2536" s="15"/>
      <c r="E2536" s="6"/>
      <c r="F2536" s="6"/>
      <c r="G2536" s="6"/>
      <c r="K2536" s="223"/>
      <c r="M2536" s="889"/>
      <c r="P2536" s="890"/>
      <c r="T2536" s="889"/>
      <c r="X2536" s="15"/>
      <c r="Y2536" s="1935"/>
      <c r="Z2536" s="1086"/>
      <c r="AA2536" s="230"/>
      <c r="AB2536" s="230"/>
      <c r="AC2536" s="1936"/>
      <c r="AD2536" s="230"/>
      <c r="AE2536" s="230"/>
      <c r="AF2536" s="230"/>
      <c r="AG2536" s="890"/>
      <c r="AJ2536" s="890"/>
      <c r="AN2536" s="223"/>
      <c r="AO2536" s="952"/>
      <c r="AP2536" s="1066"/>
      <c r="AQ2536" s="972"/>
      <c r="AR2536" s="1917"/>
      <c r="AS2536" s="222"/>
      <c r="AZ2536" s="889"/>
      <c r="BC2536" s="890"/>
      <c r="BD2536" s="952"/>
      <c r="BE2536" s="75"/>
      <c r="BF2536" s="572"/>
      <c r="BG2536" s="983"/>
      <c r="BH2536" s="222"/>
      <c r="BL2536" s="889"/>
      <c r="BO2536" s="223"/>
    </row>
    <row r="2537" spans="1:67" s="74" customFormat="1">
      <c r="A2537" s="15"/>
      <c r="B2537" s="15"/>
      <c r="C2537" s="15"/>
      <c r="D2537" s="15"/>
      <c r="E2537" s="6"/>
      <c r="F2537" s="6"/>
      <c r="G2537" s="6"/>
      <c r="K2537" s="223"/>
      <c r="M2537" s="889"/>
      <c r="P2537" s="890"/>
      <c r="T2537" s="889"/>
      <c r="X2537" s="15"/>
      <c r="Y2537" s="1935"/>
      <c r="Z2537" s="1086"/>
      <c r="AA2537" s="230"/>
      <c r="AB2537" s="230"/>
      <c r="AC2537" s="1936"/>
      <c r="AD2537" s="230"/>
      <c r="AE2537" s="230"/>
      <c r="AF2537" s="230"/>
      <c r="AG2537" s="890"/>
      <c r="AJ2537" s="890"/>
      <c r="AN2537" s="223"/>
      <c r="AO2537" s="952"/>
      <c r="AP2537" s="1066"/>
      <c r="AQ2537" s="972"/>
      <c r="AR2537" s="1917"/>
      <c r="AS2537" s="222"/>
      <c r="AZ2537" s="889"/>
      <c r="BC2537" s="890"/>
      <c r="BD2537" s="952"/>
      <c r="BE2537" s="75"/>
      <c r="BF2537" s="572"/>
      <c r="BG2537" s="983"/>
      <c r="BH2537" s="222"/>
      <c r="BL2537" s="889"/>
      <c r="BO2537" s="223"/>
    </row>
    <row r="2538" spans="1:67" s="74" customFormat="1">
      <c r="A2538" s="15"/>
      <c r="B2538" s="15"/>
      <c r="C2538" s="15"/>
      <c r="D2538" s="15"/>
      <c r="E2538" s="6"/>
      <c r="F2538" s="6"/>
      <c r="G2538" s="6"/>
      <c r="K2538" s="223"/>
      <c r="M2538" s="889"/>
      <c r="P2538" s="890"/>
      <c r="T2538" s="889"/>
      <c r="X2538" s="15"/>
      <c r="Y2538" s="1935"/>
      <c r="Z2538" s="1086"/>
      <c r="AA2538" s="230"/>
      <c r="AB2538" s="230"/>
      <c r="AC2538" s="1936"/>
      <c r="AD2538" s="230"/>
      <c r="AE2538" s="230"/>
      <c r="AF2538" s="230"/>
      <c r="AG2538" s="890"/>
      <c r="AJ2538" s="890"/>
      <c r="AN2538" s="223"/>
      <c r="AO2538" s="952"/>
      <c r="AP2538" s="1066"/>
      <c r="AQ2538" s="972"/>
      <c r="AR2538" s="1917"/>
      <c r="AS2538" s="222"/>
      <c r="AZ2538" s="889"/>
      <c r="BC2538" s="890"/>
      <c r="BD2538" s="952"/>
      <c r="BE2538" s="75"/>
      <c r="BF2538" s="572"/>
      <c r="BG2538" s="983"/>
      <c r="BH2538" s="222"/>
      <c r="BL2538" s="889"/>
      <c r="BO2538" s="223"/>
    </row>
    <row r="2539" spans="1:67" s="74" customFormat="1">
      <c r="A2539" s="15"/>
      <c r="B2539" s="15"/>
      <c r="C2539" s="15"/>
      <c r="D2539" s="15"/>
      <c r="E2539" s="6"/>
      <c r="F2539" s="6"/>
      <c r="G2539" s="6"/>
      <c r="K2539" s="223"/>
      <c r="M2539" s="889"/>
      <c r="P2539" s="890"/>
      <c r="T2539" s="889"/>
      <c r="X2539" s="15"/>
      <c r="Y2539" s="1935"/>
      <c r="Z2539" s="1086"/>
      <c r="AA2539" s="230"/>
      <c r="AB2539" s="230"/>
      <c r="AC2539" s="1936"/>
      <c r="AD2539" s="230"/>
      <c r="AE2539" s="230"/>
      <c r="AF2539" s="230"/>
      <c r="AG2539" s="890"/>
      <c r="AJ2539" s="890"/>
      <c r="AN2539" s="223"/>
      <c r="AO2539" s="952"/>
      <c r="AP2539" s="1066"/>
      <c r="AQ2539" s="972"/>
      <c r="AR2539" s="1917"/>
      <c r="AS2539" s="222"/>
      <c r="AZ2539" s="889"/>
      <c r="BC2539" s="890"/>
      <c r="BD2539" s="952"/>
      <c r="BE2539" s="75"/>
      <c r="BF2539" s="572"/>
      <c r="BG2539" s="983"/>
      <c r="BH2539" s="222"/>
      <c r="BL2539" s="889"/>
      <c r="BO2539" s="223"/>
    </row>
    <row r="2540" spans="1:67" s="74" customFormat="1">
      <c r="A2540" s="15"/>
      <c r="B2540" s="15"/>
      <c r="C2540" s="15"/>
      <c r="D2540" s="15"/>
      <c r="E2540" s="6"/>
      <c r="F2540" s="6"/>
      <c r="G2540" s="6"/>
      <c r="K2540" s="223"/>
      <c r="M2540" s="889"/>
      <c r="P2540" s="890"/>
      <c r="T2540" s="889"/>
      <c r="X2540" s="15"/>
      <c r="Y2540" s="1935"/>
      <c r="Z2540" s="1086"/>
      <c r="AA2540" s="230"/>
      <c r="AB2540" s="230"/>
      <c r="AC2540" s="1936"/>
      <c r="AD2540" s="230"/>
      <c r="AE2540" s="230"/>
      <c r="AF2540" s="230"/>
      <c r="AG2540" s="890"/>
      <c r="AJ2540" s="890"/>
      <c r="AN2540" s="223"/>
      <c r="AO2540" s="952"/>
      <c r="AP2540" s="1066"/>
      <c r="AQ2540" s="972"/>
      <c r="AR2540" s="1917"/>
      <c r="AS2540" s="222"/>
      <c r="AZ2540" s="889"/>
      <c r="BC2540" s="890"/>
      <c r="BD2540" s="952"/>
      <c r="BE2540" s="75"/>
      <c r="BF2540" s="572"/>
      <c r="BG2540" s="983"/>
      <c r="BH2540" s="222"/>
      <c r="BL2540" s="889"/>
      <c r="BO2540" s="223"/>
    </row>
    <row r="2541" spans="1:67" s="74" customFormat="1">
      <c r="A2541" s="15"/>
      <c r="B2541" s="15"/>
      <c r="C2541" s="15"/>
      <c r="D2541" s="15"/>
      <c r="E2541" s="6"/>
      <c r="F2541" s="6"/>
      <c r="G2541" s="6"/>
      <c r="K2541" s="223"/>
      <c r="M2541" s="889"/>
      <c r="P2541" s="890"/>
      <c r="T2541" s="889"/>
      <c r="X2541" s="15"/>
      <c r="Y2541" s="1935"/>
      <c r="Z2541" s="1086"/>
      <c r="AA2541" s="230"/>
      <c r="AB2541" s="230"/>
      <c r="AC2541" s="1936"/>
      <c r="AD2541" s="230"/>
      <c r="AE2541" s="230"/>
      <c r="AF2541" s="230"/>
      <c r="AG2541" s="890"/>
      <c r="AJ2541" s="890"/>
      <c r="AN2541" s="223"/>
      <c r="AO2541" s="952"/>
      <c r="AP2541" s="1066"/>
      <c r="AQ2541" s="972"/>
      <c r="AR2541" s="1917"/>
      <c r="AS2541" s="222"/>
      <c r="AZ2541" s="889"/>
      <c r="BC2541" s="890"/>
      <c r="BD2541" s="952"/>
      <c r="BE2541" s="75"/>
      <c r="BF2541" s="572"/>
      <c r="BG2541" s="983"/>
      <c r="BH2541" s="222"/>
      <c r="BL2541" s="889"/>
      <c r="BO2541" s="223"/>
    </row>
    <row r="2542" spans="1:67" s="74" customFormat="1">
      <c r="A2542" s="15"/>
      <c r="B2542" s="15"/>
      <c r="C2542" s="15"/>
      <c r="D2542" s="15"/>
      <c r="E2542" s="6"/>
      <c r="F2542" s="6"/>
      <c r="G2542" s="6"/>
      <c r="K2542" s="223"/>
      <c r="M2542" s="889"/>
      <c r="P2542" s="890"/>
      <c r="T2542" s="889"/>
      <c r="X2542" s="15"/>
      <c r="Y2542" s="1935"/>
      <c r="Z2542" s="1086"/>
      <c r="AA2542" s="230"/>
      <c r="AB2542" s="230"/>
      <c r="AC2542" s="1936"/>
      <c r="AD2542" s="230"/>
      <c r="AE2542" s="230"/>
      <c r="AF2542" s="230"/>
      <c r="AG2542" s="890"/>
      <c r="AJ2542" s="890"/>
      <c r="AN2542" s="223"/>
      <c r="AO2542" s="952"/>
      <c r="AP2542" s="1066"/>
      <c r="AQ2542" s="972"/>
      <c r="AR2542" s="1917"/>
      <c r="AS2542" s="222"/>
      <c r="AZ2542" s="889"/>
      <c r="BC2542" s="890"/>
      <c r="BD2542" s="952"/>
      <c r="BE2542" s="75"/>
      <c r="BF2542" s="572"/>
      <c r="BG2542" s="983"/>
      <c r="BH2542" s="222"/>
      <c r="BL2542" s="889"/>
      <c r="BO2542" s="223"/>
    </row>
    <row r="2543" spans="1:67" s="74" customFormat="1">
      <c r="A2543" s="15"/>
      <c r="B2543" s="15"/>
      <c r="C2543" s="15"/>
      <c r="D2543" s="15"/>
      <c r="E2543" s="6"/>
      <c r="F2543" s="6"/>
      <c r="G2543" s="6"/>
      <c r="K2543" s="223"/>
      <c r="M2543" s="889"/>
      <c r="P2543" s="890"/>
      <c r="T2543" s="889"/>
      <c r="X2543" s="15"/>
      <c r="Y2543" s="1935"/>
      <c r="Z2543" s="1086"/>
      <c r="AA2543" s="230"/>
      <c r="AB2543" s="230"/>
      <c r="AC2543" s="1936"/>
      <c r="AD2543" s="230"/>
      <c r="AE2543" s="230"/>
      <c r="AF2543" s="230"/>
      <c r="AG2543" s="890"/>
      <c r="AJ2543" s="890"/>
      <c r="AN2543" s="223"/>
      <c r="AO2543" s="952"/>
      <c r="AP2543" s="1066"/>
      <c r="AQ2543" s="972"/>
      <c r="AR2543" s="1917"/>
      <c r="AS2543" s="222"/>
      <c r="AZ2543" s="889"/>
      <c r="BC2543" s="890"/>
      <c r="BD2543" s="952"/>
      <c r="BE2543" s="75"/>
      <c r="BF2543" s="572"/>
      <c r="BG2543" s="983"/>
      <c r="BH2543" s="222"/>
      <c r="BL2543" s="889"/>
      <c r="BO2543" s="223"/>
    </row>
    <row r="2544" spans="1:67" s="74" customFormat="1">
      <c r="A2544" s="15"/>
      <c r="B2544" s="15"/>
      <c r="C2544" s="15"/>
      <c r="D2544" s="15"/>
      <c r="E2544" s="6"/>
      <c r="F2544" s="6"/>
      <c r="G2544" s="6"/>
      <c r="K2544" s="223"/>
      <c r="M2544" s="889"/>
      <c r="P2544" s="890"/>
      <c r="T2544" s="889"/>
      <c r="X2544" s="15"/>
      <c r="Y2544" s="1935"/>
      <c r="Z2544" s="1086"/>
      <c r="AA2544" s="230"/>
      <c r="AB2544" s="230"/>
      <c r="AC2544" s="1936"/>
      <c r="AD2544" s="230"/>
      <c r="AE2544" s="230"/>
      <c r="AF2544" s="230"/>
      <c r="AG2544" s="890"/>
      <c r="AJ2544" s="890"/>
      <c r="AN2544" s="223"/>
      <c r="AO2544" s="952"/>
      <c r="AP2544" s="1066"/>
      <c r="AQ2544" s="972"/>
      <c r="AR2544" s="1917"/>
      <c r="AS2544" s="222"/>
      <c r="AZ2544" s="889"/>
      <c r="BC2544" s="890"/>
      <c r="BD2544" s="952"/>
      <c r="BE2544" s="75"/>
      <c r="BF2544" s="572"/>
      <c r="BG2544" s="983"/>
      <c r="BH2544" s="222"/>
      <c r="BL2544" s="889"/>
      <c r="BO2544" s="223"/>
    </row>
    <row r="2545" spans="1:67" s="74" customFormat="1">
      <c r="A2545" s="15"/>
      <c r="B2545" s="15"/>
      <c r="C2545" s="15"/>
      <c r="D2545" s="15"/>
      <c r="E2545" s="6"/>
      <c r="F2545" s="6"/>
      <c r="G2545" s="6"/>
      <c r="K2545" s="223"/>
      <c r="M2545" s="889"/>
      <c r="P2545" s="890"/>
      <c r="T2545" s="889"/>
      <c r="X2545" s="15"/>
      <c r="Y2545" s="1935"/>
      <c r="Z2545" s="1086"/>
      <c r="AA2545" s="230"/>
      <c r="AB2545" s="230"/>
      <c r="AC2545" s="1936"/>
      <c r="AD2545" s="230"/>
      <c r="AE2545" s="230"/>
      <c r="AF2545" s="230"/>
      <c r="AG2545" s="890"/>
      <c r="AJ2545" s="890"/>
      <c r="AN2545" s="223"/>
      <c r="AO2545" s="952"/>
      <c r="AP2545" s="1066"/>
      <c r="AQ2545" s="972"/>
      <c r="AR2545" s="1917"/>
      <c r="AS2545" s="222"/>
      <c r="AZ2545" s="889"/>
      <c r="BC2545" s="890"/>
      <c r="BD2545" s="952"/>
      <c r="BE2545" s="75"/>
      <c r="BF2545" s="572"/>
      <c r="BG2545" s="983"/>
      <c r="BH2545" s="222"/>
      <c r="BL2545" s="889"/>
      <c r="BO2545" s="223"/>
    </row>
    <row r="2546" spans="1:67" s="74" customFormat="1">
      <c r="A2546" s="15"/>
      <c r="B2546" s="15"/>
      <c r="C2546" s="15"/>
      <c r="D2546" s="15"/>
      <c r="E2546" s="6"/>
      <c r="F2546" s="6"/>
      <c r="G2546" s="6"/>
      <c r="K2546" s="223"/>
      <c r="M2546" s="889"/>
      <c r="P2546" s="890"/>
      <c r="T2546" s="889"/>
      <c r="X2546" s="15"/>
      <c r="Y2546" s="1935"/>
      <c r="Z2546" s="1086"/>
      <c r="AA2546" s="230"/>
      <c r="AB2546" s="230"/>
      <c r="AC2546" s="1936"/>
      <c r="AD2546" s="230"/>
      <c r="AE2546" s="230"/>
      <c r="AF2546" s="230"/>
      <c r="AG2546" s="890"/>
      <c r="AJ2546" s="890"/>
      <c r="AN2546" s="223"/>
      <c r="AO2546" s="952"/>
      <c r="AP2546" s="1066"/>
      <c r="AQ2546" s="972"/>
      <c r="AR2546" s="1917"/>
      <c r="AS2546" s="222"/>
      <c r="AZ2546" s="889"/>
      <c r="BC2546" s="890"/>
      <c r="BD2546" s="952"/>
      <c r="BE2546" s="75"/>
      <c r="BF2546" s="572"/>
      <c r="BG2546" s="983"/>
      <c r="BH2546" s="222"/>
      <c r="BL2546" s="889"/>
      <c r="BO2546" s="223"/>
    </row>
    <row r="2547" spans="1:67" s="74" customFormat="1">
      <c r="A2547" s="15"/>
      <c r="B2547" s="15"/>
      <c r="C2547" s="15"/>
      <c r="D2547" s="15"/>
      <c r="E2547" s="6"/>
      <c r="F2547" s="6"/>
      <c r="G2547" s="6"/>
      <c r="K2547" s="223"/>
      <c r="M2547" s="889"/>
      <c r="P2547" s="890"/>
      <c r="T2547" s="889"/>
      <c r="X2547" s="15"/>
      <c r="Y2547" s="1935"/>
      <c r="Z2547" s="1086"/>
      <c r="AA2547" s="230"/>
      <c r="AB2547" s="230"/>
      <c r="AC2547" s="1936"/>
      <c r="AD2547" s="230"/>
      <c r="AE2547" s="230"/>
      <c r="AF2547" s="230"/>
      <c r="AG2547" s="890"/>
      <c r="AJ2547" s="890"/>
      <c r="AN2547" s="223"/>
      <c r="AO2547" s="952"/>
      <c r="AP2547" s="1066"/>
      <c r="AQ2547" s="972"/>
      <c r="AR2547" s="1917"/>
      <c r="AS2547" s="222"/>
      <c r="AZ2547" s="889"/>
      <c r="BC2547" s="890"/>
      <c r="BD2547" s="952"/>
      <c r="BE2547" s="75"/>
      <c r="BF2547" s="572"/>
      <c r="BG2547" s="983"/>
      <c r="BH2547" s="222"/>
      <c r="BL2547" s="889"/>
      <c r="BO2547" s="223"/>
    </row>
    <row r="2548" spans="1:67" s="74" customFormat="1">
      <c r="A2548" s="15"/>
      <c r="B2548" s="15"/>
      <c r="C2548" s="15"/>
      <c r="D2548" s="15"/>
      <c r="E2548" s="6"/>
      <c r="F2548" s="6"/>
      <c r="G2548" s="6"/>
      <c r="K2548" s="223"/>
      <c r="M2548" s="889"/>
      <c r="P2548" s="890"/>
      <c r="T2548" s="889"/>
      <c r="X2548" s="15"/>
      <c r="Y2548" s="1935"/>
      <c r="Z2548" s="1086"/>
      <c r="AA2548" s="230"/>
      <c r="AB2548" s="230"/>
      <c r="AC2548" s="1936"/>
      <c r="AD2548" s="230"/>
      <c r="AE2548" s="230"/>
      <c r="AF2548" s="230"/>
      <c r="AG2548" s="890"/>
      <c r="AJ2548" s="890"/>
      <c r="AN2548" s="223"/>
      <c r="AO2548" s="952"/>
      <c r="AP2548" s="1066"/>
      <c r="AQ2548" s="972"/>
      <c r="AR2548" s="1917"/>
      <c r="AS2548" s="222"/>
      <c r="AZ2548" s="889"/>
      <c r="BC2548" s="890"/>
      <c r="BD2548" s="952"/>
      <c r="BE2548" s="75"/>
      <c r="BF2548" s="572"/>
      <c r="BG2548" s="983"/>
      <c r="BH2548" s="222"/>
      <c r="BL2548" s="889"/>
      <c r="BO2548" s="223"/>
    </row>
    <row r="2549" spans="1:67" s="74" customFormat="1">
      <c r="A2549" s="15"/>
      <c r="B2549" s="15"/>
      <c r="C2549" s="15"/>
      <c r="D2549" s="15"/>
      <c r="E2549" s="6"/>
      <c r="F2549" s="6"/>
      <c r="G2549" s="6"/>
      <c r="K2549" s="223"/>
      <c r="M2549" s="889"/>
      <c r="P2549" s="890"/>
      <c r="T2549" s="889"/>
      <c r="X2549" s="15"/>
      <c r="Y2549" s="1935"/>
      <c r="Z2549" s="1086"/>
      <c r="AA2549" s="230"/>
      <c r="AB2549" s="230"/>
      <c r="AC2549" s="1936"/>
      <c r="AD2549" s="230"/>
      <c r="AE2549" s="230"/>
      <c r="AF2549" s="230"/>
      <c r="AG2549" s="890"/>
      <c r="AJ2549" s="890"/>
      <c r="AN2549" s="223"/>
      <c r="AO2549" s="952"/>
      <c r="AP2549" s="1066"/>
      <c r="AQ2549" s="972"/>
      <c r="AR2549" s="1917"/>
      <c r="AS2549" s="222"/>
      <c r="AZ2549" s="889"/>
      <c r="BC2549" s="890"/>
      <c r="BD2549" s="952"/>
      <c r="BE2549" s="75"/>
      <c r="BF2549" s="572"/>
      <c r="BG2549" s="983"/>
      <c r="BH2549" s="222"/>
      <c r="BL2549" s="889"/>
      <c r="BO2549" s="223"/>
    </row>
    <row r="2550" spans="1:67" s="74" customFormat="1">
      <c r="A2550" s="15"/>
      <c r="B2550" s="15"/>
      <c r="C2550" s="15"/>
      <c r="D2550" s="15"/>
      <c r="E2550" s="6"/>
      <c r="F2550" s="6"/>
      <c r="G2550" s="6"/>
      <c r="K2550" s="223"/>
      <c r="M2550" s="889"/>
      <c r="P2550" s="890"/>
      <c r="T2550" s="889"/>
      <c r="X2550" s="15"/>
      <c r="Y2550" s="1935"/>
      <c r="Z2550" s="1086"/>
      <c r="AA2550" s="230"/>
      <c r="AB2550" s="230"/>
      <c r="AC2550" s="1936"/>
      <c r="AD2550" s="230"/>
      <c r="AE2550" s="230"/>
      <c r="AF2550" s="230"/>
      <c r="AG2550" s="890"/>
      <c r="AJ2550" s="890"/>
      <c r="AN2550" s="223"/>
      <c r="AO2550" s="952"/>
      <c r="AP2550" s="1066"/>
      <c r="AQ2550" s="972"/>
      <c r="AR2550" s="1917"/>
      <c r="AS2550" s="222"/>
      <c r="AZ2550" s="889"/>
      <c r="BC2550" s="890"/>
      <c r="BD2550" s="952"/>
      <c r="BE2550" s="75"/>
      <c r="BF2550" s="572"/>
      <c r="BG2550" s="983"/>
      <c r="BH2550" s="222"/>
      <c r="BL2550" s="889"/>
      <c r="BO2550" s="223"/>
    </row>
    <row r="2551" spans="1:67" s="74" customFormat="1">
      <c r="A2551" s="15"/>
      <c r="B2551" s="15"/>
      <c r="C2551" s="15"/>
      <c r="D2551" s="15"/>
      <c r="E2551" s="6"/>
      <c r="F2551" s="6"/>
      <c r="G2551" s="6"/>
      <c r="K2551" s="223"/>
      <c r="M2551" s="889"/>
      <c r="P2551" s="890"/>
      <c r="T2551" s="889"/>
      <c r="X2551" s="15"/>
      <c r="Y2551" s="1935"/>
      <c r="Z2551" s="1086"/>
      <c r="AA2551" s="230"/>
      <c r="AB2551" s="230"/>
      <c r="AC2551" s="1936"/>
      <c r="AD2551" s="230"/>
      <c r="AE2551" s="230"/>
      <c r="AF2551" s="230"/>
      <c r="AG2551" s="890"/>
      <c r="AJ2551" s="890"/>
      <c r="AN2551" s="223"/>
      <c r="AO2551" s="952"/>
      <c r="AP2551" s="1066"/>
      <c r="AQ2551" s="972"/>
      <c r="AR2551" s="1917"/>
      <c r="AS2551" s="222"/>
      <c r="AZ2551" s="889"/>
      <c r="BC2551" s="890"/>
      <c r="BD2551" s="952"/>
      <c r="BE2551" s="75"/>
      <c r="BF2551" s="572"/>
      <c r="BG2551" s="983"/>
      <c r="BH2551" s="222"/>
      <c r="BL2551" s="889"/>
      <c r="BO2551" s="223"/>
    </row>
    <row r="2552" spans="1:67" s="74" customFormat="1">
      <c r="A2552" s="15"/>
      <c r="B2552" s="15"/>
      <c r="C2552" s="15"/>
      <c r="D2552" s="15"/>
      <c r="E2552" s="6"/>
      <c r="F2552" s="6"/>
      <c r="G2552" s="6"/>
      <c r="K2552" s="223"/>
      <c r="M2552" s="889"/>
      <c r="P2552" s="890"/>
      <c r="T2552" s="889"/>
      <c r="X2552" s="15"/>
      <c r="Y2552" s="1935"/>
      <c r="Z2552" s="1086"/>
      <c r="AA2552" s="230"/>
      <c r="AB2552" s="230"/>
      <c r="AC2552" s="1936"/>
      <c r="AD2552" s="230"/>
      <c r="AE2552" s="230"/>
      <c r="AF2552" s="230"/>
      <c r="AG2552" s="890"/>
      <c r="AJ2552" s="890"/>
      <c r="AN2552" s="223"/>
      <c r="AO2552" s="952"/>
      <c r="AP2552" s="1066"/>
      <c r="AQ2552" s="972"/>
      <c r="AR2552" s="1917"/>
      <c r="AS2552" s="222"/>
      <c r="AZ2552" s="889"/>
      <c r="BC2552" s="890"/>
      <c r="BD2552" s="952"/>
      <c r="BE2552" s="75"/>
      <c r="BF2552" s="572"/>
      <c r="BG2552" s="983"/>
      <c r="BH2552" s="222"/>
      <c r="BL2552" s="889"/>
      <c r="BO2552" s="223"/>
    </row>
    <row r="2553" spans="1:67" s="74" customFormat="1">
      <c r="A2553" s="15"/>
      <c r="B2553" s="15"/>
      <c r="C2553" s="15"/>
      <c r="D2553" s="15"/>
      <c r="E2553" s="6"/>
      <c r="F2553" s="6"/>
      <c r="G2553" s="6"/>
      <c r="K2553" s="223"/>
      <c r="M2553" s="889"/>
      <c r="P2553" s="890"/>
      <c r="T2553" s="889"/>
      <c r="X2553" s="15"/>
      <c r="Y2553" s="1935"/>
      <c r="Z2553" s="1086"/>
      <c r="AA2553" s="230"/>
      <c r="AB2553" s="230"/>
      <c r="AC2553" s="1936"/>
      <c r="AD2553" s="230"/>
      <c r="AE2553" s="230"/>
      <c r="AF2553" s="230"/>
      <c r="AG2553" s="890"/>
      <c r="AJ2553" s="890"/>
      <c r="AN2553" s="223"/>
      <c r="AO2553" s="952"/>
      <c r="AP2553" s="1066"/>
      <c r="AQ2553" s="972"/>
      <c r="AR2553" s="1917"/>
      <c r="AS2553" s="222"/>
      <c r="AZ2553" s="889"/>
      <c r="BC2553" s="890"/>
      <c r="BD2553" s="952"/>
      <c r="BE2553" s="75"/>
      <c r="BF2553" s="572"/>
      <c r="BG2553" s="983"/>
      <c r="BH2553" s="222"/>
      <c r="BL2553" s="889"/>
      <c r="BO2553" s="223"/>
    </row>
    <row r="2554" spans="1:67" s="74" customFormat="1">
      <c r="A2554" s="15"/>
      <c r="B2554" s="15"/>
      <c r="C2554" s="15"/>
      <c r="D2554" s="15"/>
      <c r="E2554" s="6"/>
      <c r="F2554" s="6"/>
      <c r="G2554" s="6"/>
      <c r="K2554" s="223"/>
      <c r="M2554" s="889"/>
      <c r="P2554" s="890"/>
      <c r="T2554" s="889"/>
      <c r="X2554" s="15"/>
      <c r="Y2554" s="1935"/>
      <c r="Z2554" s="1086"/>
      <c r="AA2554" s="230"/>
      <c r="AB2554" s="230"/>
      <c r="AC2554" s="1936"/>
      <c r="AD2554" s="230"/>
      <c r="AE2554" s="230"/>
      <c r="AF2554" s="230"/>
      <c r="AG2554" s="890"/>
      <c r="AJ2554" s="890"/>
      <c r="AN2554" s="223"/>
      <c r="AO2554" s="952"/>
      <c r="AP2554" s="1066"/>
      <c r="AQ2554" s="972"/>
      <c r="AR2554" s="1917"/>
      <c r="AS2554" s="222"/>
      <c r="AZ2554" s="889"/>
      <c r="BC2554" s="890"/>
      <c r="BD2554" s="952"/>
      <c r="BE2554" s="75"/>
      <c r="BF2554" s="572"/>
      <c r="BG2554" s="983"/>
      <c r="BH2554" s="222"/>
      <c r="BL2554" s="889"/>
      <c r="BO2554" s="223"/>
    </row>
    <row r="2555" spans="1:67" s="74" customFormat="1">
      <c r="A2555" s="15"/>
      <c r="B2555" s="15"/>
      <c r="C2555" s="15"/>
      <c r="D2555" s="15"/>
      <c r="E2555" s="6"/>
      <c r="F2555" s="6"/>
      <c r="G2555" s="6"/>
      <c r="K2555" s="223"/>
      <c r="M2555" s="889"/>
      <c r="P2555" s="890"/>
      <c r="T2555" s="889"/>
      <c r="X2555" s="15"/>
      <c r="Y2555" s="1935"/>
      <c r="Z2555" s="1086"/>
      <c r="AA2555" s="230"/>
      <c r="AB2555" s="230"/>
      <c r="AC2555" s="1936"/>
      <c r="AD2555" s="230"/>
      <c r="AE2555" s="230"/>
      <c r="AF2555" s="230"/>
      <c r="AG2555" s="890"/>
      <c r="AJ2555" s="890"/>
      <c r="AN2555" s="223"/>
      <c r="AO2555" s="952"/>
      <c r="AP2555" s="1066"/>
      <c r="AQ2555" s="972"/>
      <c r="AR2555" s="1917"/>
      <c r="AS2555" s="222"/>
      <c r="AZ2555" s="889"/>
      <c r="BC2555" s="890"/>
      <c r="BD2555" s="952"/>
      <c r="BE2555" s="75"/>
      <c r="BF2555" s="572"/>
      <c r="BG2555" s="983"/>
      <c r="BH2555" s="222"/>
      <c r="BL2555" s="889"/>
      <c r="BO2555" s="223"/>
    </row>
    <row r="2556" spans="1:67" s="74" customFormat="1">
      <c r="A2556" s="15"/>
      <c r="B2556" s="15"/>
      <c r="C2556" s="15"/>
      <c r="D2556" s="15"/>
      <c r="E2556" s="6"/>
      <c r="F2556" s="6"/>
      <c r="G2556" s="6"/>
      <c r="K2556" s="223"/>
      <c r="M2556" s="889"/>
      <c r="P2556" s="890"/>
      <c r="T2556" s="889"/>
      <c r="X2556" s="15"/>
      <c r="Y2556" s="1935"/>
      <c r="Z2556" s="1086"/>
      <c r="AA2556" s="230"/>
      <c r="AB2556" s="230"/>
      <c r="AC2556" s="1936"/>
      <c r="AD2556" s="230"/>
      <c r="AE2556" s="230"/>
      <c r="AF2556" s="230"/>
      <c r="AG2556" s="890"/>
      <c r="AJ2556" s="890"/>
      <c r="AN2556" s="223"/>
      <c r="AO2556" s="952"/>
      <c r="AP2556" s="1066"/>
      <c r="AQ2556" s="972"/>
      <c r="AR2556" s="1917"/>
      <c r="AS2556" s="222"/>
      <c r="AZ2556" s="889"/>
      <c r="BC2556" s="890"/>
      <c r="BD2556" s="952"/>
      <c r="BE2556" s="75"/>
      <c r="BF2556" s="572"/>
      <c r="BG2556" s="983"/>
      <c r="BH2556" s="222"/>
      <c r="BL2556" s="889"/>
      <c r="BO2556" s="223"/>
    </row>
    <row r="2557" spans="1:67" s="74" customFormat="1">
      <c r="A2557" s="15"/>
      <c r="B2557" s="15"/>
      <c r="C2557" s="15"/>
      <c r="D2557" s="15"/>
      <c r="E2557" s="6"/>
      <c r="F2557" s="6"/>
      <c r="G2557" s="6"/>
      <c r="K2557" s="223"/>
      <c r="M2557" s="889"/>
      <c r="P2557" s="890"/>
      <c r="T2557" s="889"/>
      <c r="X2557" s="15"/>
      <c r="Y2557" s="1935"/>
      <c r="Z2557" s="1086"/>
      <c r="AA2557" s="230"/>
      <c r="AB2557" s="230"/>
      <c r="AC2557" s="1936"/>
      <c r="AD2557" s="230"/>
      <c r="AE2557" s="230"/>
      <c r="AF2557" s="230"/>
      <c r="AG2557" s="890"/>
      <c r="AJ2557" s="890"/>
      <c r="AN2557" s="223"/>
      <c r="AO2557" s="952"/>
      <c r="AP2557" s="1066"/>
      <c r="AQ2557" s="972"/>
      <c r="AR2557" s="1917"/>
      <c r="AS2557" s="222"/>
      <c r="AZ2557" s="889"/>
      <c r="BC2557" s="890"/>
      <c r="BD2557" s="952"/>
      <c r="BE2557" s="75"/>
      <c r="BF2557" s="572"/>
      <c r="BG2557" s="983"/>
      <c r="BH2557" s="222"/>
      <c r="BL2557" s="889"/>
      <c r="BO2557" s="223"/>
    </row>
    <row r="2558" spans="1:67" s="74" customFormat="1">
      <c r="A2558" s="15"/>
      <c r="B2558" s="15"/>
      <c r="C2558" s="15"/>
      <c r="D2558" s="15"/>
      <c r="E2558" s="6"/>
      <c r="F2558" s="6"/>
      <c r="G2558" s="6"/>
      <c r="K2558" s="223"/>
      <c r="M2558" s="889"/>
      <c r="P2558" s="890"/>
      <c r="T2558" s="889"/>
      <c r="X2558" s="15"/>
      <c r="Y2558" s="1935"/>
      <c r="Z2558" s="1086"/>
      <c r="AA2558" s="230"/>
      <c r="AB2558" s="230"/>
      <c r="AC2558" s="1936"/>
      <c r="AD2558" s="230"/>
      <c r="AE2558" s="230"/>
      <c r="AF2558" s="230"/>
      <c r="AG2558" s="890"/>
      <c r="AJ2558" s="890"/>
      <c r="AN2558" s="223"/>
      <c r="AO2558" s="952"/>
      <c r="AP2558" s="1066"/>
      <c r="AQ2558" s="972"/>
      <c r="AR2558" s="1917"/>
      <c r="AS2558" s="222"/>
      <c r="AZ2558" s="889"/>
      <c r="BC2558" s="890"/>
      <c r="BD2558" s="952"/>
      <c r="BE2558" s="75"/>
      <c r="BF2558" s="572"/>
      <c r="BG2558" s="983"/>
      <c r="BH2558" s="222"/>
      <c r="BL2558" s="889"/>
      <c r="BO2558" s="223"/>
    </row>
  </sheetData>
  <mergeCells count="6">
    <mergeCell ref="H8:W8"/>
    <mergeCell ref="Y8:AR8"/>
    <mergeCell ref="AS8:BG8"/>
    <mergeCell ref="BI8:BO8"/>
    <mergeCell ref="AP9:AQ9"/>
    <mergeCell ref="BE9:BF9"/>
  </mergeCells>
  <printOptions horizontalCentered="1"/>
  <pageMargins left="0.59055118110236227" right="0.59055118110236227" top="1.1811023622047245" bottom="0.98425196850393704" header="0" footer="0.47244094488188981"/>
  <pageSetup paperSize="9" scale="60" fitToHeight="3" orientation="landscape" r:id="rId1"/>
  <headerFooter alignWithMargins="0">
    <oddFooter>&amp;C&amp;"Times New Roman,Normal"&amp;12&amp;F   -   &amp;A&amp;R&amp;"Times New Roman,Normal"&amp;12&amp;P/&amp;N</oddFooter>
  </headerFooter>
  <rowBreaks count="1" manualBreakCount="1">
    <brk id="14" max="20" man="1"/>
  </rowBreaks>
  <legacyDrawing r:id="rId2"/>
</worksheet>
</file>

<file path=xl/worksheets/sheet14.xml><?xml version="1.0" encoding="utf-8"?>
<worksheet xmlns="http://schemas.openxmlformats.org/spreadsheetml/2006/main" xmlns:r="http://schemas.openxmlformats.org/officeDocument/2006/relationships">
  <dimension ref="A1:EA2728"/>
  <sheetViews>
    <sheetView topLeftCell="C8" zoomScale="70" zoomScaleNormal="70" workbookViewId="0">
      <pane xSplit="5" ySplit="2" topLeftCell="H10" activePane="bottomRight" state="frozen"/>
      <selection activeCell="C8" sqref="C8"/>
      <selection pane="topRight" activeCell="H8" sqref="H8"/>
      <selection pane="bottomLeft" activeCell="C10" sqref="C10"/>
      <selection pane="bottomRight" activeCell="E119" sqref="E119"/>
    </sheetView>
  </sheetViews>
  <sheetFormatPr baseColWidth="10" defaultRowHeight="12.75"/>
  <cols>
    <col min="1" max="1" width="10.5703125" style="94" bestFit="1" customWidth="1"/>
    <col min="2" max="2" width="9.7109375" style="99" customWidth="1"/>
    <col min="3" max="3" width="4.140625" style="194" hidden="1" customWidth="1"/>
    <col min="4" max="4" width="5.85546875" style="110" hidden="1" customWidth="1"/>
    <col min="5" max="5" width="41.42578125" style="11" customWidth="1"/>
    <col min="6" max="6" width="9.5703125" style="6" hidden="1" customWidth="1"/>
    <col min="7" max="7" width="11.42578125" style="7" customWidth="1"/>
    <col min="8" max="8" width="8.42578125" style="222" hidden="1" customWidth="1"/>
    <col min="9" max="10" width="8.42578125" style="74" hidden="1" customWidth="1"/>
    <col min="11" max="11" width="8.42578125" style="222" customWidth="1"/>
    <col min="12" max="12" width="8.42578125" style="74" customWidth="1"/>
    <col min="13" max="13" width="8.42578125" style="74" hidden="1" customWidth="1"/>
    <col min="14" max="14" width="8.42578125" style="74" customWidth="1"/>
    <col min="15" max="15" width="8.42578125" style="74" hidden="1" customWidth="1"/>
    <col min="16" max="16" width="8.42578125" style="74" customWidth="1"/>
    <col min="17" max="21" width="8.42578125" style="74" hidden="1" customWidth="1"/>
    <col min="22" max="22" width="8.42578125" style="1430" hidden="1" customWidth="1"/>
    <col min="23" max="23" width="8.42578125" style="74" hidden="1" customWidth="1"/>
    <col min="24" max="26" width="8.42578125" style="74" customWidth="1"/>
    <col min="27" max="27" width="8.42578125" style="223" customWidth="1"/>
    <col min="28" max="28" width="8.42578125" style="74" hidden="1" customWidth="1"/>
    <col min="29" max="29" width="8.42578125" style="889" hidden="1" customWidth="1"/>
    <col min="30" max="31" width="8.42578125" style="74" hidden="1" customWidth="1"/>
    <col min="32" max="32" width="8.42578125" style="890" hidden="1" customWidth="1"/>
    <col min="33" max="35" width="8.42578125" style="74" hidden="1" customWidth="1"/>
    <col min="36" max="36" width="8.42578125" style="889" hidden="1" customWidth="1"/>
    <col min="37" max="39" width="8.42578125" style="74" hidden="1" customWidth="1"/>
    <col min="40" max="40" width="8.42578125" style="222" customWidth="1"/>
    <col min="41" max="54" width="8.42578125" style="74" hidden="1" customWidth="1"/>
    <col min="55" max="55" width="8.42578125" style="223" hidden="1" customWidth="1"/>
    <col min="56" max="56" width="8.42578125" style="222" customWidth="1"/>
    <col min="57" max="57" width="8.42578125" style="74" customWidth="1"/>
    <col min="58" max="59" width="8.42578125" style="74" hidden="1" customWidth="1"/>
    <col min="60" max="60" width="9.140625" style="611" hidden="1" customWidth="1"/>
    <col min="61" max="61" width="8.42578125" style="74" hidden="1" customWidth="1"/>
    <col min="62" max="62" width="11.42578125" style="15" hidden="1" customWidth="1"/>
    <col min="63" max="63" width="3.7109375" style="15" hidden="1" customWidth="1"/>
    <col min="64" max="66" width="8.42578125" style="74" hidden="1" customWidth="1"/>
    <col min="67" max="67" width="8.42578125" style="223" hidden="1" customWidth="1"/>
    <col min="68" max="68" width="8.42578125" style="74" hidden="1" customWidth="1"/>
    <col min="69" max="69" width="8.42578125" style="889" hidden="1" customWidth="1"/>
    <col min="70" max="71" width="8.42578125" style="74" hidden="1" customWidth="1"/>
    <col min="72" max="72" width="8.42578125" style="890" hidden="1" customWidth="1"/>
    <col min="73" max="75" width="8.42578125" style="74" hidden="1" customWidth="1"/>
    <col min="76" max="76" width="8.42578125" style="889" hidden="1" customWidth="1"/>
    <col min="77" max="79" width="8.42578125" style="74" hidden="1" customWidth="1"/>
    <col min="80" max="80" width="4.7109375" style="15" hidden="1" customWidth="1"/>
    <col min="81" max="81" width="8.28515625" style="697" hidden="1" customWidth="1"/>
    <col min="82" max="82" width="8.5703125" style="1086" hidden="1" customWidth="1"/>
    <col min="83" max="83" width="3.140625" style="15" hidden="1" customWidth="1"/>
    <col min="84" max="84" width="2.5703125" style="15" hidden="1" customWidth="1"/>
    <col min="85" max="85" width="7.7109375" style="936" hidden="1" customWidth="1"/>
    <col min="86" max="88" width="6.7109375" style="15" hidden="1" customWidth="1"/>
    <col min="89" max="89" width="6.7109375" style="893" hidden="1" customWidth="1"/>
    <col min="90" max="90" width="7.5703125" style="15" hidden="1" customWidth="1"/>
    <col min="91" max="91" width="7.42578125" style="15" hidden="1" customWidth="1"/>
    <col min="92" max="92" width="7.7109375" style="893" hidden="1" customWidth="1"/>
    <col min="93" max="95" width="6.7109375" style="15" hidden="1" customWidth="1"/>
    <col min="96" max="96" width="6.7109375" style="914" hidden="1" customWidth="1"/>
    <col min="97" max="97" width="8" style="1110" hidden="1" customWidth="1"/>
    <col min="98" max="98" width="7" style="1111" hidden="1" customWidth="1"/>
    <col min="99" max="99" width="9" style="964" customWidth="1"/>
    <col min="100" max="100" width="8" style="1131" hidden="1" customWidth="1"/>
    <col min="101" max="101" width="2.42578125" style="822" hidden="1" customWidth="1"/>
    <col min="102" max="102" width="6.7109375" style="697" hidden="1" customWidth="1"/>
    <col min="103" max="106" width="6.7109375" style="15" hidden="1" customWidth="1"/>
    <col min="107" max="107" width="7.42578125" style="697" hidden="1" customWidth="1"/>
    <col min="108" max="108" width="7.85546875" style="15" hidden="1" customWidth="1"/>
    <col min="109" max="109" width="7.42578125" style="15" hidden="1" customWidth="1"/>
    <col min="110" max="110" width="7.28515625" style="15" hidden="1" customWidth="1"/>
    <col min="111" max="113" width="6.7109375" style="15" hidden="1" customWidth="1"/>
    <col min="114" max="114" width="7.5703125" style="892" hidden="1" customWidth="1"/>
    <col min="115" max="115" width="7.42578125" style="15" hidden="1" customWidth="1"/>
    <col min="116" max="116" width="7.7109375" style="15" hidden="1" customWidth="1"/>
    <col min="117" max="117" width="7.42578125" style="893" hidden="1" customWidth="1"/>
    <col min="118" max="118" width="8" style="946" hidden="1" customWidth="1"/>
    <col min="119" max="119" width="8" style="1076" hidden="1" customWidth="1"/>
    <col min="120" max="120" width="8.140625" style="955" customWidth="1"/>
    <col min="121" max="121" width="8" style="974" hidden="1" customWidth="1"/>
    <col min="122" max="122" width="0" hidden="1" customWidth="1"/>
    <col min="123" max="125" width="8.42578125" style="74" hidden="1" customWidth="1"/>
    <col min="126" max="126" width="8.42578125" style="889" hidden="1" customWidth="1"/>
    <col min="127" max="129" width="8.42578125" style="74" hidden="1" customWidth="1"/>
    <col min="130" max="131" width="6.7109375" style="15" hidden="1" customWidth="1"/>
    <col min="132" max="140" width="6.7109375" style="15" customWidth="1"/>
    <col min="141" max="16384" width="11.42578125" style="15"/>
  </cols>
  <sheetData>
    <row r="1" spans="1:129">
      <c r="E1" s="10"/>
      <c r="F1" s="8"/>
      <c r="G1" s="9"/>
      <c r="H1" s="211"/>
      <c r="I1" s="212"/>
      <c r="J1" s="212"/>
      <c r="K1" s="211"/>
      <c r="L1" s="212"/>
      <c r="M1" s="212"/>
      <c r="N1" s="212"/>
      <c r="O1" s="212"/>
      <c r="P1" s="212"/>
      <c r="Q1" s="212"/>
      <c r="R1" s="212"/>
      <c r="S1" s="212"/>
      <c r="T1" s="212"/>
      <c r="U1" s="212"/>
      <c r="V1" s="1428"/>
      <c r="W1" s="212"/>
      <c r="X1" s="212"/>
      <c r="Y1" s="212"/>
      <c r="Z1" s="212"/>
      <c r="AA1" s="605"/>
      <c r="AB1" s="212"/>
      <c r="AC1" s="68"/>
      <c r="AD1" s="865"/>
      <c r="AE1" s="865"/>
      <c r="AF1" s="69"/>
      <c r="AG1" s="212"/>
      <c r="AH1" s="212"/>
      <c r="AI1" s="212"/>
      <c r="AJ1" s="891"/>
      <c r="AK1" s="212"/>
      <c r="AL1" s="212"/>
      <c r="AM1" s="212"/>
      <c r="AN1" s="211"/>
      <c r="AO1" s="212"/>
      <c r="AP1" s="212"/>
      <c r="AQ1" s="212"/>
      <c r="AR1" s="212"/>
      <c r="AS1" s="212"/>
      <c r="AT1" s="212"/>
      <c r="AU1" s="212"/>
      <c r="AV1" s="212"/>
      <c r="AW1" s="212"/>
      <c r="AX1" s="212"/>
      <c r="AY1" s="212"/>
      <c r="AZ1" s="212"/>
      <c r="BA1" s="212"/>
      <c r="BB1" s="212"/>
      <c r="BC1" s="605"/>
      <c r="BD1" s="211"/>
      <c r="BE1" s="212"/>
      <c r="BF1" s="212"/>
      <c r="BG1" s="212"/>
      <c r="BH1" s="605"/>
      <c r="BI1" s="212"/>
      <c r="BJ1" s="245"/>
      <c r="BK1" s="245"/>
      <c r="BL1" s="212"/>
      <c r="BM1" s="212"/>
      <c r="BN1" s="212"/>
      <c r="BO1" s="605"/>
      <c r="BP1" s="212"/>
      <c r="BQ1" s="68"/>
      <c r="BR1" s="865"/>
      <c r="BS1" s="865"/>
      <c r="BT1" s="69"/>
      <c r="BU1" s="212"/>
      <c r="BV1" s="212"/>
      <c r="BW1" s="212"/>
      <c r="BX1" s="891"/>
      <c r="BY1" s="212"/>
      <c r="BZ1" s="212"/>
      <c r="CA1" s="212"/>
      <c r="CB1" s="245"/>
      <c r="CC1" s="907"/>
      <c r="CD1" s="228"/>
      <c r="CE1" s="908"/>
      <c r="CF1" s="908"/>
      <c r="CG1" s="1129"/>
      <c r="CH1" s="908"/>
      <c r="CI1" s="908"/>
      <c r="CJ1" s="908"/>
      <c r="CK1" s="909"/>
      <c r="CL1" s="910"/>
      <c r="CM1" s="910"/>
      <c r="CN1" s="909"/>
      <c r="CO1" s="910"/>
      <c r="CP1" s="910"/>
      <c r="CQ1" s="910"/>
      <c r="CR1" s="912"/>
      <c r="CS1" s="1108"/>
      <c r="CT1" s="1109"/>
      <c r="CU1" s="963"/>
      <c r="CV1" s="1130"/>
      <c r="CW1" s="851"/>
      <c r="CX1" s="907"/>
      <c r="CY1" s="910"/>
      <c r="CZ1" s="910"/>
      <c r="DA1" s="910"/>
      <c r="DB1" s="910"/>
      <c r="DC1" s="924"/>
      <c r="DD1" s="910"/>
      <c r="DE1" s="910"/>
      <c r="DF1" s="910"/>
      <c r="DG1" s="910"/>
      <c r="DH1" s="910"/>
      <c r="DI1" s="910"/>
      <c r="DJ1" s="911"/>
      <c r="DK1" s="910"/>
      <c r="DL1" s="910"/>
      <c r="DM1" s="909"/>
      <c r="DN1" s="945"/>
      <c r="DO1" s="1075"/>
      <c r="DP1" s="954"/>
      <c r="DQ1" s="973"/>
      <c r="DS1" s="212"/>
      <c r="DT1" s="212"/>
      <c r="DU1" s="212"/>
      <c r="DV1" s="891"/>
      <c r="DW1" s="212"/>
      <c r="DX1" s="212"/>
      <c r="DY1" s="212"/>
    </row>
    <row r="2" spans="1:129">
      <c r="H2" s="215"/>
      <c r="I2" s="214"/>
      <c r="J2" s="214"/>
      <c r="K2" s="215"/>
      <c r="L2" s="214"/>
      <c r="M2" s="214"/>
      <c r="N2" s="214"/>
      <c r="O2" s="214"/>
      <c r="P2" s="214"/>
      <c r="Q2" s="214"/>
      <c r="R2" s="214"/>
      <c r="S2" s="214"/>
      <c r="T2" s="214"/>
      <c r="U2" s="214"/>
      <c r="V2" s="1429"/>
      <c r="W2" s="214"/>
      <c r="X2" s="214"/>
      <c r="Y2" s="214"/>
      <c r="Z2" s="214"/>
      <c r="AA2" s="213"/>
      <c r="AB2" s="214"/>
      <c r="AC2" s="70"/>
      <c r="AD2" s="214"/>
      <c r="AE2" s="214"/>
      <c r="AF2" s="71"/>
      <c r="AG2" s="214"/>
      <c r="AH2" s="214"/>
      <c r="AI2" s="214"/>
      <c r="AJ2" s="70"/>
      <c r="AK2" s="214"/>
      <c r="AL2" s="214"/>
      <c r="AM2" s="214"/>
      <c r="AN2" s="215"/>
      <c r="AO2" s="214"/>
      <c r="AP2" s="214"/>
      <c r="AQ2" s="214"/>
      <c r="AR2" s="214"/>
      <c r="AS2" s="214"/>
      <c r="AT2" s="214"/>
      <c r="AU2" s="214"/>
      <c r="AV2" s="214"/>
      <c r="AW2" s="214"/>
      <c r="AX2" s="214"/>
      <c r="AY2" s="214"/>
      <c r="AZ2" s="214"/>
      <c r="BA2" s="214"/>
      <c r="BB2" s="214"/>
      <c r="BC2" s="213"/>
      <c r="BD2" s="215"/>
      <c r="BE2" s="214"/>
      <c r="BF2" s="214"/>
      <c r="BG2" s="214"/>
      <c r="BH2" s="213"/>
      <c r="BI2" s="214"/>
      <c r="BJ2" s="245"/>
      <c r="BK2" s="245"/>
      <c r="BL2" s="214"/>
      <c r="BM2" s="214"/>
      <c r="BN2" s="214"/>
      <c r="BO2" s="213"/>
      <c r="BP2" s="214"/>
      <c r="BQ2" s="70"/>
      <c r="BR2" s="214"/>
      <c r="BS2" s="214"/>
      <c r="BT2" s="71"/>
      <c r="BU2" s="214"/>
      <c r="BV2" s="214"/>
      <c r="BW2" s="214"/>
      <c r="BX2" s="70"/>
      <c r="BY2" s="214"/>
      <c r="BZ2" s="214"/>
      <c r="CA2" s="214"/>
      <c r="CB2" s="245"/>
      <c r="CC2" s="913"/>
      <c r="CD2" s="229"/>
      <c r="CE2" s="245"/>
      <c r="CF2" s="245"/>
      <c r="CG2" s="935"/>
      <c r="CH2" s="245"/>
      <c r="CI2" s="245"/>
      <c r="CJ2" s="245"/>
      <c r="CX2" s="913"/>
      <c r="DS2" s="214"/>
      <c r="DT2" s="214"/>
      <c r="DU2" s="214"/>
      <c r="DV2" s="70"/>
      <c r="DW2" s="214"/>
      <c r="DX2" s="214"/>
      <c r="DY2" s="214"/>
    </row>
    <row r="3" spans="1:129">
      <c r="H3" s="215"/>
      <c r="I3" s="214"/>
      <c r="J3" s="214"/>
      <c r="K3" s="215"/>
      <c r="L3" s="214"/>
      <c r="M3" s="214"/>
      <c r="N3" s="214"/>
      <c r="O3" s="214"/>
      <c r="P3" s="214"/>
      <c r="Q3" s="214"/>
      <c r="R3" s="214"/>
      <c r="S3" s="214"/>
      <c r="T3" s="214"/>
      <c r="U3" s="214"/>
      <c r="V3" s="1429"/>
      <c r="W3" s="214"/>
      <c r="X3" s="214"/>
      <c r="Y3" s="214"/>
      <c r="Z3" s="214"/>
      <c r="AA3" s="213"/>
      <c r="AB3" s="214"/>
      <c r="AC3" s="70"/>
      <c r="AD3" s="214"/>
      <c r="AE3" s="214"/>
      <c r="AF3" s="71"/>
      <c r="AG3" s="214"/>
      <c r="AH3" s="214"/>
      <c r="AI3" s="214"/>
      <c r="AJ3" s="70"/>
      <c r="AK3" s="214"/>
      <c r="AL3" s="214"/>
      <c r="AM3" s="214"/>
      <c r="AN3" s="215"/>
      <c r="AO3" s="214"/>
      <c r="AP3" s="214"/>
      <c r="AQ3" s="214"/>
      <c r="AR3" s="214"/>
      <c r="AS3" s="214"/>
      <c r="AT3" s="214"/>
      <c r="AU3" s="214"/>
      <c r="AV3" s="214"/>
      <c r="AW3" s="214"/>
      <c r="AX3" s="214"/>
      <c r="AY3" s="214"/>
      <c r="AZ3" s="214"/>
      <c r="BA3" s="214"/>
      <c r="BB3" s="214"/>
      <c r="BC3" s="213"/>
      <c r="BD3" s="215"/>
      <c r="BE3" s="214"/>
      <c r="BF3" s="214"/>
      <c r="BG3" s="214"/>
      <c r="BH3" s="213"/>
      <c r="BI3" s="214"/>
      <c r="BJ3" s="245"/>
      <c r="BK3" s="245"/>
      <c r="BL3" s="214"/>
      <c r="BM3" s="214"/>
      <c r="BN3" s="214"/>
      <c r="BO3" s="213"/>
      <c r="BP3" s="214"/>
      <c r="BQ3" s="70"/>
      <c r="BR3" s="214"/>
      <c r="BS3" s="214"/>
      <c r="BT3" s="71"/>
      <c r="BU3" s="214"/>
      <c r="BV3" s="214"/>
      <c r="BW3" s="214"/>
      <c r="BX3" s="70"/>
      <c r="BY3" s="214"/>
      <c r="BZ3" s="214"/>
      <c r="CA3" s="214"/>
      <c r="CB3" s="245"/>
      <c r="CC3" s="913"/>
      <c r="CD3" s="229"/>
      <c r="CE3" s="245"/>
      <c r="CF3" s="245"/>
      <c r="CG3" s="935"/>
      <c r="CH3" s="245"/>
      <c r="CI3" s="245"/>
      <c r="CJ3" s="245"/>
      <c r="CX3" s="913"/>
      <c r="DS3" s="214"/>
      <c r="DT3" s="214"/>
      <c r="DU3" s="214"/>
      <c r="DV3" s="70"/>
      <c r="DW3" s="214"/>
      <c r="DX3" s="214"/>
      <c r="DY3" s="214"/>
    </row>
    <row r="4" spans="1:129">
      <c r="H4" s="215"/>
      <c r="I4" s="214"/>
      <c r="J4" s="214"/>
      <c r="K4" s="215"/>
      <c r="L4" s="214"/>
      <c r="M4" s="214"/>
      <c r="N4" s="214"/>
      <c r="O4" s="214"/>
      <c r="P4" s="214"/>
      <c r="Q4" s="214"/>
      <c r="R4" s="214"/>
      <c r="S4" s="214"/>
      <c r="T4" s="214"/>
      <c r="U4" s="214"/>
      <c r="V4" s="1429"/>
      <c r="W4" s="214"/>
      <c r="X4" s="214"/>
      <c r="Y4" s="214"/>
      <c r="Z4" s="214"/>
      <c r="AA4" s="213"/>
      <c r="AB4" s="214"/>
      <c r="AC4" s="70"/>
      <c r="AD4" s="214"/>
      <c r="AE4" s="214"/>
      <c r="AF4" s="71"/>
      <c r="AG4" s="214"/>
      <c r="AH4" s="214"/>
      <c r="AI4" s="214"/>
      <c r="AJ4" s="70"/>
      <c r="AK4" s="214"/>
      <c r="AL4" s="214"/>
      <c r="AM4" s="214"/>
      <c r="AN4" s="215"/>
      <c r="AO4" s="214"/>
      <c r="AP4" s="214"/>
      <c r="AQ4" s="214"/>
      <c r="AR4" s="214"/>
      <c r="AS4" s="214"/>
      <c r="AT4" s="214"/>
      <c r="AU4" s="214"/>
      <c r="AV4" s="214"/>
      <c r="AW4" s="214"/>
      <c r="AX4" s="214"/>
      <c r="AY4" s="214"/>
      <c r="AZ4" s="214"/>
      <c r="BA4" s="214"/>
      <c r="BB4" s="214"/>
      <c r="BC4" s="213"/>
      <c r="BD4" s="215"/>
      <c r="BE4" s="214"/>
      <c r="BF4" s="214"/>
      <c r="BG4" s="214"/>
      <c r="BH4" s="213"/>
      <c r="BI4" s="214"/>
      <c r="BJ4" s="245"/>
      <c r="BK4" s="245"/>
      <c r="BL4" s="214"/>
      <c r="BM4" s="214"/>
      <c r="BN4" s="214"/>
      <c r="BO4" s="213"/>
      <c r="BP4" s="214"/>
      <c r="BQ4" s="70"/>
      <c r="BR4" s="214"/>
      <c r="BS4" s="214"/>
      <c r="BT4" s="71"/>
      <c r="BU4" s="214"/>
      <c r="BV4" s="214"/>
      <c r="BW4" s="214"/>
      <c r="BX4" s="70"/>
      <c r="BY4" s="214"/>
      <c r="BZ4" s="214"/>
      <c r="CA4" s="214"/>
      <c r="CB4" s="245"/>
      <c r="CC4" s="913"/>
      <c r="CD4" s="229"/>
      <c r="CE4" s="245"/>
      <c r="CF4" s="245"/>
      <c r="CG4" s="935"/>
      <c r="CH4" s="245"/>
      <c r="CI4" s="245"/>
      <c r="CJ4" s="245"/>
      <c r="CX4" s="913"/>
      <c r="DS4" s="214"/>
      <c r="DT4" s="214"/>
      <c r="DU4" s="214"/>
      <c r="DV4" s="70"/>
      <c r="DW4" s="214"/>
      <c r="DX4" s="214"/>
      <c r="DY4" s="214"/>
    </row>
    <row r="5" spans="1:129" ht="25.5">
      <c r="G5" s="104"/>
      <c r="H5" s="216"/>
      <c r="I5" s="217"/>
      <c r="J5" s="217"/>
      <c r="K5" s="216"/>
      <c r="L5" s="217"/>
      <c r="M5" s="217"/>
      <c r="N5" s="217"/>
      <c r="O5" s="217"/>
      <c r="P5" s="217"/>
      <c r="Q5" s="217"/>
      <c r="R5" s="217"/>
      <c r="S5" s="217"/>
      <c r="T5" s="217"/>
      <c r="U5" s="217"/>
      <c r="W5" s="217"/>
      <c r="X5" s="217"/>
      <c r="Y5" s="217"/>
      <c r="Z5" s="217"/>
      <c r="AA5" s="218"/>
      <c r="AB5" s="217"/>
      <c r="AC5" s="72"/>
      <c r="AD5" s="217"/>
      <c r="AE5" s="217"/>
      <c r="AF5" s="73"/>
      <c r="AG5" s="217"/>
      <c r="AH5" s="217"/>
      <c r="AI5" s="217"/>
      <c r="AJ5" s="72"/>
      <c r="AK5" s="217"/>
      <c r="AL5" s="217"/>
      <c r="AM5" s="217"/>
      <c r="AN5" s="216"/>
      <c r="AO5" s="217"/>
      <c r="AP5" s="217"/>
      <c r="AQ5" s="217"/>
      <c r="AR5" s="217"/>
      <c r="AS5" s="217"/>
      <c r="AT5" s="217"/>
      <c r="AU5" s="217"/>
      <c r="AV5" s="217"/>
      <c r="AW5" s="217"/>
      <c r="AX5" s="217"/>
      <c r="AY5" s="217"/>
      <c r="AZ5" s="217"/>
      <c r="BA5" s="217"/>
      <c r="BB5" s="217"/>
      <c r="BC5" s="218"/>
      <c r="BD5" s="216"/>
      <c r="BE5" s="217"/>
      <c r="BF5" s="217"/>
      <c r="BG5" s="217"/>
      <c r="BH5" s="606"/>
      <c r="BI5" s="217"/>
      <c r="BL5" s="217"/>
      <c r="BM5" s="217"/>
      <c r="BN5" s="217"/>
      <c r="BO5" s="218"/>
      <c r="BP5" s="217"/>
      <c r="BQ5" s="72"/>
      <c r="BR5" s="217"/>
      <c r="BS5" s="217"/>
      <c r="BT5" s="73"/>
      <c r="BU5" s="217"/>
      <c r="BV5" s="217"/>
      <c r="BW5" s="217"/>
      <c r="BX5" s="72"/>
      <c r="BY5" s="217"/>
      <c r="BZ5" s="217"/>
      <c r="CA5" s="217"/>
      <c r="DS5" s="217"/>
      <c r="DT5" s="217"/>
      <c r="DU5" s="217"/>
      <c r="DV5" s="72"/>
      <c r="DW5" s="217"/>
      <c r="DX5" s="217"/>
      <c r="DY5" s="217"/>
    </row>
    <row r="6" spans="1:129" ht="13.5" thickBot="1">
      <c r="H6" s="216"/>
      <c r="I6" s="217"/>
      <c r="J6" s="217"/>
      <c r="K6" s="216"/>
      <c r="L6" s="217"/>
      <c r="M6" s="217"/>
      <c r="N6" s="217"/>
      <c r="O6" s="217"/>
      <c r="P6" s="217"/>
      <c r="Q6" s="217"/>
      <c r="R6" s="217"/>
      <c r="S6" s="217"/>
      <c r="T6" s="217"/>
      <c r="U6" s="217"/>
      <c r="W6" s="217"/>
      <c r="X6" s="217"/>
      <c r="Y6" s="217"/>
      <c r="Z6" s="217"/>
      <c r="AA6" s="218"/>
      <c r="AB6" s="217"/>
      <c r="AC6" s="72"/>
      <c r="AD6" s="217"/>
      <c r="AE6" s="217"/>
      <c r="AF6" s="73"/>
      <c r="AG6" s="217"/>
      <c r="AH6" s="217"/>
      <c r="AI6" s="217"/>
      <c r="AJ6" s="72"/>
      <c r="AK6" s="217"/>
      <c r="AL6" s="217"/>
      <c r="AM6" s="217"/>
      <c r="AN6" s="216"/>
      <c r="AO6" s="217"/>
      <c r="AP6" s="217"/>
      <c r="AQ6" s="217"/>
      <c r="AR6" s="217"/>
      <c r="AS6" s="217"/>
      <c r="AT6" s="217"/>
      <c r="AU6" s="217"/>
      <c r="AV6" s="217"/>
      <c r="AW6" s="217"/>
      <c r="AX6" s="217"/>
      <c r="AY6" s="217"/>
      <c r="AZ6" s="217"/>
      <c r="BA6" s="217"/>
      <c r="BB6" s="217"/>
      <c r="BC6" s="218"/>
      <c r="BD6" s="216"/>
      <c r="BE6" s="217"/>
      <c r="BF6" s="217"/>
      <c r="BG6" s="217"/>
      <c r="BH6" s="606"/>
      <c r="BI6" s="217"/>
      <c r="BL6" s="217"/>
      <c r="BM6" s="217"/>
      <c r="BN6" s="217"/>
      <c r="BO6" s="218"/>
      <c r="BP6" s="217"/>
      <c r="BQ6" s="72"/>
      <c r="BR6" s="217"/>
      <c r="BS6" s="217"/>
      <c r="BT6" s="73"/>
      <c r="BU6" s="217"/>
      <c r="BV6" s="217"/>
      <c r="BW6" s="217"/>
      <c r="BX6" s="72"/>
      <c r="BY6" s="217"/>
      <c r="BZ6" s="217"/>
      <c r="CA6" s="217"/>
      <c r="DS6" s="217"/>
      <c r="DT6" s="217"/>
      <c r="DU6" s="217"/>
      <c r="DV6" s="72"/>
      <c r="DW6" s="217"/>
      <c r="DX6" s="217"/>
      <c r="DY6" s="217"/>
    </row>
    <row r="7" spans="1:129">
      <c r="E7" s="10"/>
      <c r="F7" s="8"/>
      <c r="G7" s="9"/>
      <c r="H7" s="216"/>
      <c r="I7" s="217"/>
      <c r="J7" s="217"/>
      <c r="K7" s="216"/>
      <c r="L7" s="217"/>
      <c r="M7" s="217"/>
      <c r="N7" s="217"/>
      <c r="O7" s="217"/>
      <c r="P7" s="217"/>
      <c r="Q7" s="217"/>
      <c r="R7" s="217"/>
      <c r="S7" s="217"/>
      <c r="T7" s="217"/>
      <c r="U7" s="217"/>
      <c r="W7" s="217"/>
      <c r="X7" s="217"/>
      <c r="Y7" s="217"/>
      <c r="Z7" s="217"/>
      <c r="AA7" s="218"/>
      <c r="AB7" s="217"/>
      <c r="AC7" s="72"/>
      <c r="AD7" s="217"/>
      <c r="AE7" s="217"/>
      <c r="AF7" s="73"/>
      <c r="AG7" s="217"/>
      <c r="AH7" s="217"/>
      <c r="AI7" s="217"/>
      <c r="AJ7" s="72"/>
      <c r="AK7" s="217"/>
      <c r="AL7" s="217"/>
      <c r="AM7" s="217"/>
      <c r="AN7" s="216"/>
      <c r="AO7" s="217"/>
      <c r="AP7" s="217"/>
      <c r="AQ7" s="217"/>
      <c r="AR7" s="217"/>
      <c r="AS7" s="217"/>
      <c r="AT7" s="217"/>
      <c r="AU7" s="217"/>
      <c r="AV7" s="217"/>
      <c r="AW7" s="217"/>
      <c r="AX7" s="217"/>
      <c r="AY7" s="217"/>
      <c r="AZ7" s="217"/>
      <c r="BA7" s="217"/>
      <c r="BB7" s="217"/>
      <c r="BC7" s="218"/>
      <c r="BD7" s="216"/>
      <c r="BE7" s="217"/>
      <c r="BF7" s="217"/>
      <c r="BG7" s="217"/>
      <c r="BH7" s="606"/>
      <c r="BI7" s="217"/>
      <c r="BL7" s="217"/>
      <c r="BM7" s="217"/>
      <c r="BN7" s="217"/>
      <c r="BO7" s="218"/>
      <c r="BP7" s="217"/>
      <c r="BQ7" s="72"/>
      <c r="BR7" s="217"/>
      <c r="BS7" s="217"/>
      <c r="BT7" s="73"/>
      <c r="BU7" s="217"/>
      <c r="BV7" s="217"/>
      <c r="BW7" s="217"/>
      <c r="BX7" s="72"/>
      <c r="BY7" s="217"/>
      <c r="BZ7" s="217"/>
      <c r="CA7" s="217"/>
      <c r="CX7" s="697" t="s">
        <v>958</v>
      </c>
      <c r="DS7" s="217"/>
      <c r="DT7" s="217"/>
      <c r="DU7" s="217"/>
      <c r="DV7" s="72"/>
      <c r="DW7" s="217"/>
      <c r="DX7" s="217"/>
      <c r="DY7" s="217"/>
    </row>
    <row r="8" spans="1:129" ht="16.5" thickBot="1">
      <c r="E8" s="351" t="s">
        <v>973</v>
      </c>
      <c r="H8" s="216"/>
      <c r="I8" s="217"/>
      <c r="J8" s="217"/>
      <c r="K8" s="216"/>
      <c r="L8" s="217"/>
      <c r="M8" s="217"/>
      <c r="N8" s="217"/>
      <c r="O8" s="217"/>
      <c r="P8" s="217"/>
      <c r="Q8" s="217"/>
      <c r="R8" s="217"/>
      <c r="S8" s="217"/>
      <c r="T8" s="217"/>
      <c r="U8" s="217"/>
      <c r="W8" s="217"/>
      <c r="X8" s="217"/>
      <c r="Y8" s="217"/>
      <c r="Z8" s="217"/>
      <c r="AA8" s="218"/>
      <c r="AB8" s="217"/>
      <c r="AC8" s="72"/>
      <c r="AD8" s="217"/>
      <c r="AE8" s="217"/>
      <c r="AF8" s="73"/>
      <c r="AG8" s="217"/>
      <c r="AH8" s="217"/>
      <c r="AI8" s="217"/>
      <c r="AJ8" s="72"/>
      <c r="AK8" s="217"/>
      <c r="AL8" s="217"/>
      <c r="AM8" s="217"/>
      <c r="AN8" s="216"/>
      <c r="AO8" s="217"/>
      <c r="AP8" s="217"/>
      <c r="AQ8" s="217"/>
      <c r="AR8" s="217"/>
      <c r="AS8" s="217"/>
      <c r="AT8" s="217"/>
      <c r="AU8" s="217"/>
      <c r="AV8" s="217"/>
      <c r="AW8" s="217"/>
      <c r="AX8" s="217"/>
      <c r="AY8" s="217"/>
      <c r="AZ8" s="217"/>
      <c r="BA8" s="217"/>
      <c r="BB8" s="217"/>
      <c r="BC8" s="218"/>
      <c r="BD8" s="216"/>
      <c r="BE8" s="217"/>
      <c r="BF8" s="217"/>
      <c r="BG8" s="217"/>
      <c r="BH8" s="606"/>
      <c r="BI8" s="217"/>
      <c r="BL8" s="4194" t="s">
        <v>961</v>
      </c>
      <c r="BM8" s="4194"/>
      <c r="BN8" s="4194"/>
      <c r="BO8" s="4194"/>
      <c r="BP8" s="4194"/>
      <c r="BQ8" s="4194"/>
      <c r="BR8" s="4194"/>
      <c r="BS8" s="4194"/>
      <c r="BT8" s="4194"/>
      <c r="BU8" s="4194"/>
      <c r="BV8" s="4194"/>
      <c r="BW8" s="4194"/>
      <c r="BX8" s="4194"/>
      <c r="BY8" s="4194"/>
      <c r="BZ8" s="4194"/>
      <c r="CA8" s="4194"/>
      <c r="CC8" s="4195" t="s">
        <v>972</v>
      </c>
      <c r="CD8" s="4196"/>
      <c r="CE8" s="4196"/>
      <c r="CF8" s="4196"/>
      <c r="CG8" s="4196"/>
      <c r="CH8" s="4196"/>
      <c r="CI8" s="4196"/>
      <c r="CJ8" s="4196"/>
      <c r="CK8" s="4196"/>
      <c r="CL8" s="4196"/>
      <c r="CM8" s="4196"/>
      <c r="CN8" s="4196"/>
      <c r="CO8" s="4196"/>
      <c r="CP8" s="4196"/>
      <c r="CQ8" s="4196"/>
      <c r="CR8" s="4196"/>
      <c r="CS8" s="4196"/>
      <c r="CT8" s="4196"/>
      <c r="CU8" s="4196"/>
      <c r="CV8" s="4197"/>
      <c r="CX8" s="4198" t="s">
        <v>971</v>
      </c>
      <c r="CY8" s="4199"/>
      <c r="CZ8" s="4199"/>
      <c r="DA8" s="4199"/>
      <c r="DB8" s="4199"/>
      <c r="DC8" s="4199"/>
      <c r="DD8" s="4199"/>
      <c r="DE8" s="4199"/>
      <c r="DF8" s="4199"/>
      <c r="DG8" s="4199"/>
      <c r="DH8" s="4199"/>
      <c r="DI8" s="4199"/>
      <c r="DJ8" s="4199"/>
      <c r="DK8" s="4199"/>
      <c r="DL8" s="4199"/>
      <c r="DM8" s="4199"/>
      <c r="DN8" s="4199"/>
      <c r="DO8" s="4199"/>
      <c r="DP8" s="4199"/>
      <c r="DQ8" s="4200"/>
      <c r="DS8" s="4188" t="s">
        <v>970</v>
      </c>
      <c r="DT8" s="4188"/>
      <c r="DU8" s="4188"/>
      <c r="DV8" s="4188"/>
      <c r="DW8" s="4188"/>
      <c r="DX8" s="4188"/>
      <c r="DY8" s="4188"/>
    </row>
    <row r="9" spans="1:129" s="416" customFormat="1" ht="51.75" thickBot="1">
      <c r="A9" s="410"/>
      <c r="B9" s="411"/>
      <c r="C9" s="724"/>
      <c r="D9" s="725"/>
      <c r="E9" s="854" t="s">
        <v>955</v>
      </c>
      <c r="F9" s="414" t="str">
        <f>IF(ISBLANK(Récap1!F9),"",Récap1!F9)</f>
        <v>Symbole</v>
      </c>
      <c r="G9" s="414" t="str">
        <f>IF(ISBLANK(Récap1!G9),"",Récap1!G9)</f>
        <v>Unité</v>
      </c>
      <c r="H9" s="407" t="str">
        <f>IF(ISBLANK(Récap1!H9),"",Récap1!H9)</f>
        <v>butanol</v>
      </c>
      <c r="I9" s="415" t="str">
        <f>IF(ISBLANK(Récap1!I9),"",Récap1!I9)</f>
        <v>butanol</v>
      </c>
      <c r="J9" s="415" t="str">
        <f>IF(ISBLANK(Récap1!J9),"",Récap1!J9)</f>
        <v>MEK</v>
      </c>
      <c r="K9" s="407" t="str">
        <f>IF(ISBLANK(Récap1!K9),"",Récap1!K9)</f>
        <v>CV</v>
      </c>
      <c r="L9" s="415" t="str">
        <f>IF(ISBLANK(Récap1!L9),"",Récap1!L9)</f>
        <v>cis-DCE</v>
      </c>
      <c r="M9" s="415" t="str">
        <f>IF(ISBLANK(Récap1!M9),"",Récap1!M9)</f>
        <v>cis-DCE</v>
      </c>
      <c r="N9" s="415" t="str">
        <f>IF(ISBLANK(Récap1!N9),"",Récap1!N9)</f>
        <v>TCE</v>
      </c>
      <c r="O9" s="415" t="str">
        <f>IF(ISBLANK(Récap1!O9),"",Récap1!O9)</f>
        <v>TCE</v>
      </c>
      <c r="P9" s="415" t="str">
        <f>IF(ISBLANK(Récap1!P9),"",Récap1!P9)</f>
        <v>PCE</v>
      </c>
      <c r="Q9" s="415" t="str">
        <f>IF(ISBLANK(Récap1!Q9),"",Récap1!Q9)</f>
        <v>PCE</v>
      </c>
      <c r="R9" s="415" t="str">
        <f>IF(ISBLANK(Récap1!R9),"",Récap1!R9)</f>
        <v>DCMA</v>
      </c>
      <c r="S9" s="415" t="str">
        <f>IF(ISBLANK(Récap1!S9),"",Récap1!S9)</f>
        <v>chloroforme</v>
      </c>
      <c r="T9" s="415" t="str">
        <f>IF(ISBLANK(Récap1!T9),"",Récap1!T9)</f>
        <v>chloroforme</v>
      </c>
      <c r="U9" s="415" t="str">
        <f>IF(ISBLANK(Récap1!U9),"",Récap1!U9)</f>
        <v>PCMA</v>
      </c>
      <c r="V9" s="1431" t="str">
        <f>IF(ISBLANK(Récap1!V9),"",Récap1!V9)</f>
        <v>1,1,1-TCA</v>
      </c>
      <c r="W9" s="415" t="str">
        <f>IF(ISBLANK(Récap1!W9),"",Récap1!W9)</f>
        <v>1,1,1-TCA</v>
      </c>
      <c r="X9" s="415" t="str">
        <f>IF(ISBLANK(Récap1!X9),"",Récap1!X9)</f>
        <v>B</v>
      </c>
      <c r="Y9" s="415" t="str">
        <f>IF(ISBLANK(Récap1!Y9),"",Récap1!Y9)</f>
        <v>T</v>
      </c>
      <c r="Z9" s="415" t="str">
        <f>IF(ISBLANK(Récap1!Z9),"",Récap1!Z9)</f>
        <v>E</v>
      </c>
      <c r="AA9" s="500" t="str">
        <f>IF(ISBLANK(Récap1!AA9),"",Récap1!AA9)</f>
        <v>X</v>
      </c>
      <c r="AB9" s="415" t="str">
        <f>IF(ISBLANK(Récap1!AB9),"",Récap1!AB9)</f>
        <v>Ar 
&gt;EC8-EC10</v>
      </c>
      <c r="AC9" s="866" t="str">
        <f>IF(ISBLANK(Récap1!AC9),"",Récap1!AC9)</f>
        <v>Ar
&gt;EC10-EC12</v>
      </c>
      <c r="AD9" s="415" t="str">
        <f>IF(ISBLANK(Récap1!AD9),"",Récap1!AD9)</f>
        <v>Ar
 &gt;EC12 - EC16</v>
      </c>
      <c r="AE9" s="415" t="str">
        <f>IF(ISBLANK(Récap1!AE9),"",Récap1!AE9)</f>
        <v>Ar
 &gt;EC16 - EC21</v>
      </c>
      <c r="AF9" s="867" t="str">
        <f>IF(ISBLANK(Récap1!AF9),"",Récap1!AF9)</f>
        <v>Ar
 &gt;EC21 - EC35</v>
      </c>
      <c r="AG9" s="415" t="str">
        <f>IF(ISBLANK(Récap1!AG9),"",Récap1!AG9)</f>
        <v>Al 
EC5-EC6</v>
      </c>
      <c r="AH9" s="415" t="str">
        <f>IF(ISBLANK(Récap1!AH9),"",Récap1!AH9)</f>
        <v>Al
&gt;EC6-EC8</v>
      </c>
      <c r="AI9" s="415" t="str">
        <f>IF(ISBLANK(Récap1!AI9),"",Récap1!AI9)</f>
        <v>Al 
&gt;EC8-EC10</v>
      </c>
      <c r="AJ9" s="866" t="str">
        <f>IF(ISBLANK(Récap1!AJ9),"",Récap1!AJ9)</f>
        <v>Al &gt;
EC10-EC12</v>
      </c>
      <c r="AK9" s="415" t="str">
        <f>IF(ISBLANK(Récap1!AK9),"",Récap1!AK9)</f>
        <v>Al 
&gt;EC12-EC16</v>
      </c>
      <c r="AL9" s="415" t="str">
        <f>IF(ISBLANK(Récap1!AL9),"",Récap1!AL9)</f>
        <v>Al 
&gt;EC16- EC21</v>
      </c>
      <c r="AM9" s="415" t="str">
        <f>IF(ISBLANK(Récap1!AM9),"",Récap1!AM9)</f>
        <v>Al  &gt;EC21</v>
      </c>
      <c r="AN9" s="407" t="str">
        <f>IF(ISBLANK(Récap1!AN9),"",Récap1!AN9)</f>
        <v>Naphtalène</v>
      </c>
      <c r="AO9" s="415" t="str">
        <f>IF(ISBLANK(Récap1!AO9),"",Récap1!AO9)</f>
        <v>Acénaphthylène</v>
      </c>
      <c r="AP9" s="415" t="str">
        <f>IF(ISBLANK(Récap1!AP9),"",Récap1!AP9)</f>
        <v>Acénaphtène</v>
      </c>
      <c r="AQ9" s="415" t="str">
        <f>IF(ISBLANK(Récap1!AQ9),"",Récap1!AQ9)</f>
        <v>Fluorène</v>
      </c>
      <c r="AR9" s="415" t="str">
        <f>IF(ISBLANK(Récap1!AR9),"",Récap1!AR9)</f>
        <v>Phénanthrène</v>
      </c>
      <c r="AS9" s="415" t="str">
        <f>IF(ISBLANK(Récap1!AS9),"",Récap1!AS9)</f>
        <v>Anthracène</v>
      </c>
      <c r="AT9" s="415" t="str">
        <f>IF(ISBLANK(Récap1!AT9),"",Récap1!AT9)</f>
        <v>Fluoranthène</v>
      </c>
      <c r="AU9" s="415" t="str">
        <f>IF(ISBLANK(Récap1!AU9),"",Récap1!AU9)</f>
        <v>Pyrène</v>
      </c>
      <c r="AV9" s="415" t="str">
        <f>IF(ISBLANK(Récap1!AV9),"",Récap1!AV9)</f>
        <v>BaA</v>
      </c>
      <c r="AW9" s="415" t="str">
        <f>IF(ISBLANK(Récap1!AW9),"",Récap1!AW9)</f>
        <v>Chrysène</v>
      </c>
      <c r="AX9" s="415" t="str">
        <f>IF(ISBLANK(Récap1!AX9),"",Récap1!AX9)</f>
        <v>BbF</v>
      </c>
      <c r="AY9" s="415" t="str">
        <f>IF(ISBLANK(Récap1!AY9),"",Récap1!AY9)</f>
        <v>BkF</v>
      </c>
      <c r="AZ9" s="415" t="str">
        <f>IF(ISBLANK(Récap1!AZ9),"",Récap1!AZ9)</f>
        <v>BaP</v>
      </c>
      <c r="BA9" s="415" t="str">
        <f>IF(ISBLANK(Récap1!BA9),"",Récap1!BA9)</f>
        <v>DahA</v>
      </c>
      <c r="BB9" s="415" t="str">
        <f>IF(ISBLANK(Récap1!BB9),"",Récap1!BB9)</f>
        <v>BghP</v>
      </c>
      <c r="BC9" s="500" t="str">
        <f>IF(ISBLANK(Récap1!BC9),"",Récap1!BC9)</f>
        <v>IcdP</v>
      </c>
      <c r="BD9" s="407" t="s">
        <v>981</v>
      </c>
      <c r="BE9" s="415" t="s">
        <v>982</v>
      </c>
      <c r="BF9" s="415" t="str">
        <f>IF(ISBLANK(Récap1!BF9),"",Récap1!BF9)</f>
        <v>PCB-A1254</v>
      </c>
      <c r="BG9" s="415" t="str">
        <f>IF(ISBLANK(Récap1!BG9),"",Récap1!BG9)</f>
        <v>Hg0</v>
      </c>
      <c r="BH9" s="607" t="str">
        <f>IF(ISBLANK(Récap1!BH9),"",Récap1!BH9)</f>
        <v>CH3HgCl</v>
      </c>
      <c r="BI9" s="415" t="str">
        <f>IF(ISBLANK(Récap1!BI9),"",Récap1!BI9)</f>
        <v>CN/HCN</v>
      </c>
      <c r="BJ9" s="416" t="e">
        <f>IF(ISBLANK(Récap1!#REF!),"",Récap1!#REF!)</f>
        <v>#REF!</v>
      </c>
      <c r="BK9" s="416" t="e">
        <f>IF(ISBLANK(Récap1!#REF!),"",Récap1!#REF!)</f>
        <v>#REF!</v>
      </c>
      <c r="BL9" s="415" t="str">
        <f>IF(ISBLANK('HCT2'!H9),"",'HCT2'!H9)</f>
        <v>B</v>
      </c>
      <c r="BM9" s="415" t="str">
        <f>IF(ISBLANK('HCT2'!I9),"",'HCT2'!I9)</f>
        <v>T</v>
      </c>
      <c r="BN9" s="415" t="str">
        <f>IF(ISBLANK('HCT2'!J9),"",'HCT2'!J9)</f>
        <v>E</v>
      </c>
      <c r="BO9" s="500" t="str">
        <f>IF(ISBLANK('HCT2'!K9),"",'HCT2'!K9)</f>
        <v>X</v>
      </c>
      <c r="BP9" s="415" t="str">
        <f>IF(ISBLANK('HCT2'!L9),"",'HCT2'!L9)</f>
        <v>Ar 
&gt;EC8-EC10</v>
      </c>
      <c r="BQ9" s="866" t="str">
        <f>IF(ISBLANK('HCT2'!M9),"",'HCT2'!M9)</f>
        <v>Ar
&gt;EC10-EC12</v>
      </c>
      <c r="BR9" s="415" t="str">
        <f>IF(ISBLANK('HCT2'!N9),"",'HCT2'!N9)</f>
        <v>Ar
 &gt;EC12 - EC16</v>
      </c>
      <c r="BS9" s="415" t="str">
        <f>IF(ISBLANK('HCT2'!O9),"",'HCT2'!O9)</f>
        <v>Ar
 &gt;EC16 - EC21</v>
      </c>
      <c r="BT9" s="867" t="str">
        <f>IF(ISBLANK('HCT2'!P9),"",'HCT2'!P9)</f>
        <v>Ar
 &gt;EC21 - EC35</v>
      </c>
      <c r="BU9" s="415" t="str">
        <f>IF(ISBLANK('HCT2'!Q9),"",'HCT2'!Q9)</f>
        <v>Al 
EC5-EC6</v>
      </c>
      <c r="BV9" s="415" t="str">
        <f>IF(ISBLANK('HCT2'!R9),"",'HCT2'!R9)</f>
        <v>Al
&gt;EC6-EC8</v>
      </c>
      <c r="BW9" s="415" t="str">
        <f>IF(ISBLANK('HCT2'!S9),"",'HCT2'!S9)</f>
        <v>Al 
&gt;EC8-EC10</v>
      </c>
      <c r="BX9" s="866" t="str">
        <f>IF(ISBLANK('HCT2'!T9),"",'HCT2'!T9)</f>
        <v>Al &gt;
EC10-EC12</v>
      </c>
      <c r="BY9" s="415" t="str">
        <f>IF(ISBLANK('HCT2'!U9),"",'HCT2'!U9)</f>
        <v>Al 
&gt;EC12-EC16</v>
      </c>
      <c r="BZ9" s="415" t="str">
        <f>IF(ISBLANK('HCT2'!V9),"",'HCT2'!V9)</f>
        <v>Al 
&gt;EC16- EC21</v>
      </c>
      <c r="CA9" s="415" t="str">
        <f>IF(ISBLANK('HCT2'!W9),"",'HCT2'!W9)</f>
        <v>Al  &gt;EC21</v>
      </c>
      <c r="CB9" s="416" t="str">
        <f>IF(ISBLANK('HCT2'!X9),"",'HCT2'!X9)</f>
        <v/>
      </c>
      <c r="CC9" s="747" t="str">
        <f>IF(ISBLANK('HCT2'!Y9),"",'HCT2'!Y9)</f>
        <v>B</v>
      </c>
      <c r="CD9" s="953" t="str">
        <f>IF(ISBLANK('HCT2'!Z9),"",'HCT2'!Z9)</f>
        <v>T</v>
      </c>
      <c r="CE9" s="416" t="str">
        <f>IF(ISBLANK('HCT2'!AA9),"",'HCT2'!AA9)</f>
        <v>E</v>
      </c>
      <c r="CF9" s="416" t="str">
        <f>IF(ISBLANK('HCT2'!AB9),"",'HCT2'!AB9)</f>
        <v>X</v>
      </c>
      <c r="CG9" s="937" t="str">
        <f>IF(ISBLANK('HCT2'!AC9),"",'HCT2'!AC9)</f>
        <v>Ar 
&gt;EC8-EC10</v>
      </c>
      <c r="CH9" s="904" t="str">
        <f>IF(ISBLANK('HCT2'!AD9),"",'HCT2'!AD9)</f>
        <v>Ar
&gt;EC10-EC12</v>
      </c>
      <c r="CI9" s="904" t="str">
        <f>IF(ISBLANK('HCT2'!AE9),"",'HCT2'!AE9)</f>
        <v>Ar
 &gt;EC12 - EC16</v>
      </c>
      <c r="CJ9" s="904" t="str">
        <f>IF(ISBLANK('HCT2'!AF9),"",'HCT2'!AF9)</f>
        <v>Ar
 &gt;EC16 - EC21</v>
      </c>
      <c r="CK9" s="905" t="str">
        <f>IF(ISBLANK('HCT2'!AG9),"",'HCT2'!AG9)</f>
        <v>Ar
 &gt;EC21 - EC35</v>
      </c>
      <c r="CL9" s="934" t="str">
        <f>IF(ISBLANK('HCT2'!AH9),"",'HCT2'!AH9)</f>
        <v>Al 
EC5-EC6</v>
      </c>
      <c r="CM9" s="904" t="str">
        <f>IF(ISBLANK('HCT2'!AI9),"",'HCT2'!AI9)</f>
        <v>Al
&gt;EC6-EC8</v>
      </c>
      <c r="CN9" s="905" t="str">
        <f>IF(ISBLANK('HCT2'!AJ9),"",'HCT2'!AJ9)</f>
        <v>Al 
&gt;EC8-EC10</v>
      </c>
      <c r="CO9" s="904" t="str">
        <f>IF(ISBLANK('HCT2'!AK9),"",'HCT2'!AK9)</f>
        <v>Al &gt;
EC10-EC12</v>
      </c>
      <c r="CP9" s="904" t="str">
        <f>IF(ISBLANK('HCT2'!AL9),"",'HCT2'!AL9)</f>
        <v>Al 
&gt;EC12-EC16</v>
      </c>
      <c r="CQ9" s="904" t="str">
        <f>IF(ISBLANK('HCT2'!AM9),"",'HCT2'!AM9)</f>
        <v>Al 
&gt;EC16- EC21</v>
      </c>
      <c r="CR9" s="915" t="str">
        <f>IF(ISBLANK('HCT2'!AN9),"",'HCT2'!AN9)</f>
        <v>Al  &gt;EC21</v>
      </c>
      <c r="CS9" s="1112" t="str">
        <f>IF(ISBLANK('HCT2'!AO9),"",'HCT2'!AO9)</f>
        <v>Min hors B,T</v>
      </c>
      <c r="CT9" s="4201" t="s">
        <v>957</v>
      </c>
      <c r="CU9" s="4202" t="str">
        <f>IF(ISBLANK('HCT2'!AQ9),"",'HCT2'!AQ9)</f>
        <v/>
      </c>
      <c r="CV9" s="1132" t="str">
        <f>IF(ISBLANK('HCT2'!AR9),"",'HCT2'!AR9)</f>
        <v>Somme des teneurs (extrap)</v>
      </c>
      <c r="CW9" s="747" t="e">
        <f>IF(ISBLANK(Récap1!#REF!),"",Récap1!#REF!)</f>
        <v>#REF!</v>
      </c>
      <c r="CX9" s="747" t="e">
        <f>IF(ISBLANK(Récap1!#REF!),"",Récap1!#REF!)</f>
        <v>#REF!</v>
      </c>
      <c r="CY9" s="904" t="e">
        <f>IF(ISBLANK(Récap1!#REF!),"",Récap1!#REF!)</f>
        <v>#REF!</v>
      </c>
      <c r="CZ9" s="904" t="e">
        <f>IF(ISBLANK(Récap1!#REF!),"",Récap1!#REF!)</f>
        <v>#REF!</v>
      </c>
      <c r="DA9" s="904" t="e">
        <f>IF(ISBLANK(Récap1!#REF!),"",Récap1!#REF!)</f>
        <v>#REF!</v>
      </c>
      <c r="DB9" s="904" t="e">
        <f>IF(ISBLANK(Récap1!#REF!),"",Récap1!#REF!)</f>
        <v>#REF!</v>
      </c>
      <c r="DC9" s="925" t="str">
        <f>IF(ISBLANK('HCT2'!AS9),"",'HCT2'!AS9)</f>
        <v>Ar
&gt;EC10-EC12</v>
      </c>
      <c r="DD9" s="904" t="str">
        <f>IF(ISBLANK('HCT2'!AT9),"",'HCT2'!AT9)</f>
        <v>Ar
 &gt;EC12 - EC16</v>
      </c>
      <c r="DE9" s="904" t="str">
        <f>IF(ISBLANK('HCT2'!AU9),"",'HCT2'!AU9)</f>
        <v>Ar
 &gt;EC16 - EC21</v>
      </c>
      <c r="DF9" s="904" t="str">
        <f>IF(ISBLANK('HCT2'!AV9),"",'HCT2'!AV9)</f>
        <v>Ar
 &gt;EC21 - EC35</v>
      </c>
      <c r="DG9" s="904" t="str">
        <f>IF(ISBLANK('HCT2'!AW9),"",'HCT2'!AW9)</f>
        <v/>
      </c>
      <c r="DH9" s="904" t="str">
        <f>IF(ISBLANK('HCT2'!AX9),"",'HCT2'!AX9)</f>
        <v/>
      </c>
      <c r="DI9" s="904" t="str">
        <f>IF(ISBLANK('HCT2'!AY9),"",'HCT2'!AY9)</f>
        <v/>
      </c>
      <c r="DJ9" s="906" t="str">
        <f>IF(ISBLANK('HCT2'!AZ9),"",'HCT2'!AZ9)</f>
        <v>Al &gt;
EC10-EC12</v>
      </c>
      <c r="DK9" s="904" t="str">
        <f>IF(ISBLANK('HCT2'!BA9),"",'HCT2'!BA9)</f>
        <v>Al 
&gt;EC12-EC16</v>
      </c>
      <c r="DL9" s="904" t="str">
        <f>IF(ISBLANK('HCT2'!BB9),"",'HCT2'!BB9)</f>
        <v>Al 
&gt;EC16- EC21</v>
      </c>
      <c r="DM9" s="905" t="str">
        <f>IF(ISBLANK('HCT2'!BC9),"",'HCT2'!BC9)</f>
        <v>Al  &gt;EC21</v>
      </c>
      <c r="DN9" s="947" t="str">
        <f>IF(ISBLANK('HCT2'!BD9),"",'HCT2'!BD9)</f>
        <v>Min</v>
      </c>
      <c r="DO9" s="4192" t="s">
        <v>974</v>
      </c>
      <c r="DP9" s="4203" t="str">
        <f>IF(ISBLANK('HCT2'!BF9),"",'HCT2'!BF9)</f>
        <v/>
      </c>
      <c r="DQ9" s="975" t="s">
        <v>962</v>
      </c>
      <c r="DS9" s="415" t="s">
        <v>963</v>
      </c>
      <c r="DT9" s="415" t="s">
        <v>964</v>
      </c>
      <c r="DU9" s="415" t="s">
        <v>965</v>
      </c>
      <c r="DV9" s="866" t="s">
        <v>966</v>
      </c>
      <c r="DW9" s="415" t="s">
        <v>967</v>
      </c>
      <c r="DX9" s="415" t="s">
        <v>968</v>
      </c>
      <c r="DY9" s="415" t="s">
        <v>969</v>
      </c>
    </row>
    <row r="10" spans="1:129" s="775" customFormat="1" ht="13.5" hidden="1">
      <c r="A10" s="767"/>
      <c r="B10" s="768"/>
      <c r="C10" s="769"/>
      <c r="D10" s="770"/>
      <c r="E10" s="771" t="str">
        <f>IF(ISBLANK(Récap1!E10),"",Récap1!E10)</f>
        <v>Seuil pour détection olfactive air du sol</v>
      </c>
      <c r="F10" s="772" t="str">
        <f>IF(ISBLANK(Récap1!F10),"",Récap1!F10)</f>
        <v>Cs</v>
      </c>
      <c r="G10" s="772" t="str">
        <f>IF(ISBLANK(Récap1!G10),"",Récap1!G10)</f>
        <v>mg/kgms</v>
      </c>
      <c r="H10" s="773" t="str">
        <f>IF(ISBLANK(Récap1!H10),"",Récap1!H10)</f>
        <v>nd</v>
      </c>
      <c r="I10" s="774" t="str">
        <f>IF(ISBLANK(Récap1!I10),"",Récap1!I10)</f>
        <v>nd</v>
      </c>
      <c r="J10" s="774" t="str">
        <f>IF(ISBLANK(Récap1!J10),"",Récap1!J10)</f>
        <v>nd</v>
      </c>
      <c r="K10" s="773">
        <f>IF(ISBLANK(Récap1!K10),"",Récap1!K10)</f>
        <v>6.7474391639365076E-3</v>
      </c>
      <c r="L10" s="774">
        <f>IF(ISBLANK(Récap1!L10),"",Récap1!L10)</f>
        <v>9.5069987104584891E-2</v>
      </c>
      <c r="M10" s="774">
        <f>IF(ISBLANK(Récap1!M10),"",Récap1!M10)</f>
        <v>9.5069987104584891E-2</v>
      </c>
      <c r="N10" s="774">
        <f>IF(ISBLANK(Récap1!N10),"",Récap1!N10)</f>
        <v>0.10760591893278754</v>
      </c>
      <c r="O10" s="774">
        <f>IF(ISBLANK(Récap1!O10),"",Récap1!O10)</f>
        <v>0.10760591893278754</v>
      </c>
      <c r="P10" s="774">
        <f>IF(ISBLANK(Récap1!P10),"",Récap1!P10)</f>
        <v>0.1199562906395495</v>
      </c>
      <c r="Q10" s="774">
        <f>IF(ISBLANK(Récap1!Q10),"",Récap1!Q10)</f>
        <v>0.1199562906395495</v>
      </c>
      <c r="R10" s="774">
        <f>IF(ISBLANK(Récap1!R10),"",Récap1!R10)</f>
        <v>0.14151448202581743</v>
      </c>
      <c r="S10" s="774">
        <f>IF(ISBLANK(Récap1!S10),"",Récap1!S10)</f>
        <v>2.0354402069204962E-2</v>
      </c>
      <c r="T10" s="774">
        <f>IF(ISBLANK(Récap1!T10),"",Récap1!T10)</f>
        <v>2.0354402069204962E-2</v>
      </c>
      <c r="U10" s="774">
        <f>IF(ISBLANK(Récap1!U10),"",Récap1!U10)</f>
        <v>0.22282665960017883</v>
      </c>
      <c r="V10" s="1432">
        <f>IF(ISBLANK(Récap1!V10),"",Récap1!V10)</f>
        <v>0.12300081894181439</v>
      </c>
      <c r="W10" s="774">
        <f>IF(ISBLANK(Récap1!W10),"",Récap1!W10)</f>
        <v>0.12300081894181439</v>
      </c>
      <c r="X10" s="774">
        <f>IF(ISBLANK(Récap1!X10),"",Récap1!X10)</f>
        <v>1.754223700777784E-2</v>
      </c>
      <c r="Y10" s="774">
        <f>IF(ISBLANK(Récap1!Y10),"",Récap1!Y10)</f>
        <v>1.5601159508858542E-2</v>
      </c>
      <c r="Z10" s="774">
        <f>IF(ISBLANK(Récap1!Z10),"",Récap1!Z10)</f>
        <v>2.7467644250260864E-2</v>
      </c>
      <c r="AA10" s="746">
        <f>IF(ISBLANK(Récap1!AA10),"",Récap1!AA10)</f>
        <v>1.2461201679065631E-3</v>
      </c>
      <c r="AB10" s="774">
        <f>IF(ISBLANK(Récap1!AB10),"",Récap1!AB10)</f>
        <v>6.315727857926912E-3</v>
      </c>
      <c r="AC10" s="868">
        <f>IF(ISBLANK(Récap1!AC10),"",Récap1!AC10)</f>
        <v>8.5154918231512226E-3</v>
      </c>
      <c r="AD10" s="774">
        <f>IF(ISBLANK(Récap1!AD10),"",Récap1!AD10)</f>
        <v>4.3505584443829494E-2</v>
      </c>
      <c r="AE10" s="774">
        <f>IF(ISBLANK(Récap1!AE10),"",Récap1!AE10)</f>
        <v>0.34890349802377557</v>
      </c>
      <c r="AF10" s="869" t="str">
        <f>IF(ISBLANK(Récap1!AF10),"",Récap1!AF10)</f>
        <v>PVL</v>
      </c>
      <c r="AG10" s="774">
        <f>IF(ISBLANK(Récap1!AG10),"",Récap1!AG10)</f>
        <v>6.29011484708197E-3</v>
      </c>
      <c r="AH10" s="774">
        <f>IF(ISBLANK(Récap1!AH10),"",Récap1!AH10)</f>
        <v>4.7819012449342634E-2</v>
      </c>
      <c r="AI10" s="774">
        <f>IF(ISBLANK(Récap1!AI10),"",Récap1!AI10)</f>
        <v>9.5103001942881699E-3</v>
      </c>
      <c r="AJ10" s="868">
        <f>IF(ISBLANK(Récap1!AJ10),"",Récap1!AJ10)</f>
        <v>1.5332408405335814E-2</v>
      </c>
      <c r="AK10" s="774">
        <f>IF(ISBLANK(Récap1!AK10),"",Récap1!AK10)</f>
        <v>0.37132861944557133</v>
      </c>
      <c r="AL10" s="774" t="str">
        <f>IF(ISBLANK(Récap1!AL10),"",Récap1!AL10)</f>
        <v>PVL</v>
      </c>
      <c r="AM10" s="774" t="str">
        <f>IF(ISBLANK(Récap1!AM10),"",Récap1!AM10)</f>
        <v>PVL</v>
      </c>
      <c r="AN10" s="773">
        <f>IF(ISBLANK(Récap1!AN10),"",Récap1!AN10)</f>
        <v>0.10469744549099785</v>
      </c>
      <c r="AO10" s="774">
        <f>IF(ISBLANK(Récap1!AO10),"",Récap1!AO10)</f>
        <v>0.38334241569623678</v>
      </c>
      <c r="AP10" s="774">
        <f>IF(ISBLANK(Récap1!AP10),"",Récap1!AP10)</f>
        <v>0.22914151194741517</v>
      </c>
      <c r="AQ10" s="774">
        <f>IF(ISBLANK(Récap1!AQ10),"",Récap1!AQ10)</f>
        <v>0.56590208573839795</v>
      </c>
      <c r="AR10" s="774">
        <f>IF(ISBLANK(Récap1!AR10),"",Récap1!AR10)</f>
        <v>2.8264444973650038</v>
      </c>
      <c r="AS10" s="774" t="str">
        <f>IF(ISBLANK(Récap1!AS10),"",Récap1!AS10)</f>
        <v>PVL</v>
      </c>
      <c r="AT10" s="774" t="str">
        <f>IF(ISBLANK(Récap1!AT10),"",Récap1!AT10)</f>
        <v>PVL</v>
      </c>
      <c r="AU10" s="774" t="str">
        <f>IF(ISBLANK(Récap1!AU10),"",Récap1!AU10)</f>
        <v>PVL</v>
      </c>
      <c r="AV10" s="774" t="str">
        <f>IF(ISBLANK(Récap1!AV10),"",Récap1!AV10)</f>
        <v>PVL</v>
      </c>
      <c r="AW10" s="774" t="str">
        <f>IF(ISBLANK(Récap1!AW10),"",Récap1!AW10)</f>
        <v>PVL</v>
      </c>
      <c r="AX10" s="774" t="str">
        <f>IF(ISBLANK(Récap1!AX10),"",Récap1!AX10)</f>
        <v>PVL</v>
      </c>
      <c r="AY10" s="774" t="str">
        <f>IF(ISBLANK(Récap1!AY10),"",Récap1!AY10)</f>
        <v>PVL</v>
      </c>
      <c r="AZ10" s="774" t="str">
        <f>IF(ISBLANK(Récap1!AZ10),"",Récap1!AZ10)</f>
        <v>PVL</v>
      </c>
      <c r="BA10" s="774" t="str">
        <f>IF(ISBLANK(Récap1!BA10),"",Récap1!BA10)</f>
        <v>PVL</v>
      </c>
      <c r="BB10" s="774" t="str">
        <f>IF(ISBLANK(Récap1!BB10),"",Récap1!BB10)</f>
        <v>PVL</v>
      </c>
      <c r="BC10" s="746" t="str">
        <f>IF(ISBLANK(Récap1!BC10),"",Récap1!BC10)</f>
        <v>PVL</v>
      </c>
      <c r="BD10" s="773">
        <f>IF(ISBLANK(Récap1!BD10),"",Récap1!BD10)</f>
        <v>1.6724525926359499</v>
      </c>
      <c r="BE10" s="774" t="str">
        <f>IF(ISBLANK(Récap1!BE10),"",Récap1!BE10)</f>
        <v>nd</v>
      </c>
      <c r="BF10" s="774" t="str">
        <f>IF(ISBLANK(Récap1!BF10),"",Récap1!BF10)</f>
        <v>nd</v>
      </c>
      <c r="BG10" s="774" t="str">
        <f>IF(ISBLANK(Récap1!BG10),"",Récap1!BG10)</f>
        <v>nd</v>
      </c>
      <c r="BH10" s="746" t="str">
        <f>IF(ISBLANK(Récap1!BH10),"",Récap1!BH10)</f>
        <v>nd</v>
      </c>
      <c r="BI10" s="774" t="str">
        <f>IF(ISBLANK(Récap1!BI10),"",Récap1!BI10)</f>
        <v>nd</v>
      </c>
      <c r="BJ10" s="775" t="e">
        <f>IF(ISBLANK(Récap1!#REF!),"",Récap1!#REF!)</f>
        <v>#REF!</v>
      </c>
      <c r="BK10" s="775" t="e">
        <f>IF(ISBLANK(Récap1!#REF!),"",Récap1!#REF!)</f>
        <v>#REF!</v>
      </c>
      <c r="BL10" s="774" t="str">
        <f>IF(ISBLANK('HCT2'!H10),"",'HCT2'!H10)</f>
        <v/>
      </c>
      <c r="BM10" s="774" t="str">
        <f>IF(ISBLANK('HCT2'!I10),"",'HCT2'!I10)</f>
        <v/>
      </c>
      <c r="BN10" s="774" t="str">
        <f>IF(ISBLANK('HCT2'!J10),"",'HCT2'!J10)</f>
        <v/>
      </c>
      <c r="BO10" s="746" t="str">
        <f>IF(ISBLANK('HCT2'!K10),"",'HCT2'!K10)</f>
        <v/>
      </c>
      <c r="BP10" s="774" t="str">
        <f>IF(ISBLANK('HCT2'!L10),"",'HCT2'!L10)</f>
        <v/>
      </c>
      <c r="BQ10" s="868" t="str">
        <f>IF(ISBLANK('HCT2'!M10),"",'HCT2'!M10)</f>
        <v/>
      </c>
      <c r="BR10" s="774" t="str">
        <f>IF(ISBLANK('HCT2'!N10),"",'HCT2'!N10)</f>
        <v/>
      </c>
      <c r="BS10" s="774" t="str">
        <f>IF(ISBLANK('HCT2'!O10),"",'HCT2'!O10)</f>
        <v/>
      </c>
      <c r="BT10" s="869" t="str">
        <f>IF(ISBLANK('HCT2'!P10),"",'HCT2'!P10)</f>
        <v/>
      </c>
      <c r="BU10" s="774" t="str">
        <f>IF(ISBLANK('HCT2'!Q10),"",'HCT2'!Q10)</f>
        <v/>
      </c>
      <c r="BV10" s="774" t="str">
        <f>IF(ISBLANK('HCT2'!R10),"",'HCT2'!R10)</f>
        <v/>
      </c>
      <c r="BW10" s="774" t="str">
        <f>IF(ISBLANK('HCT2'!S10),"",'HCT2'!S10)</f>
        <v/>
      </c>
      <c r="BX10" s="868" t="str">
        <f>IF(ISBLANK('HCT2'!T10),"",'HCT2'!T10)</f>
        <v/>
      </c>
      <c r="BY10" s="774" t="str">
        <f>IF(ISBLANK('HCT2'!U10),"",'HCT2'!U10)</f>
        <v/>
      </c>
      <c r="BZ10" s="774" t="str">
        <f>IF(ISBLANK('HCT2'!V10),"",'HCT2'!V10)</f>
        <v/>
      </c>
      <c r="CA10" s="774" t="str">
        <f>IF(ISBLANK('HCT2'!W10),"",'HCT2'!W10)</f>
        <v/>
      </c>
      <c r="CB10" s="775" t="str">
        <f>IF(ISBLANK('HCT2'!X10),"",'HCT2'!X10)</f>
        <v/>
      </c>
      <c r="CC10" s="916" t="str">
        <f>IF(ISBLANK('HCT2'!Y10),"",'HCT2'!Y10)</f>
        <v/>
      </c>
      <c r="CD10" s="1087" t="str">
        <f>IF(ISBLANK('HCT2'!Z10),"",'HCT2'!Z10)</f>
        <v/>
      </c>
      <c r="CE10" s="775" t="str">
        <f>IF(ISBLANK('HCT2'!AA10),"",'HCT2'!AA10)</f>
        <v/>
      </c>
      <c r="CF10" s="775" t="str">
        <f>IF(ISBLANK('HCT2'!AB10),"",'HCT2'!AB10)</f>
        <v/>
      </c>
      <c r="CG10" s="938" t="str">
        <f>IF(ISBLANK('HCT2'!AC10),"",'HCT2'!AC10)</f>
        <v/>
      </c>
      <c r="CH10" s="775" t="str">
        <f>IF(ISBLANK('HCT2'!AD10),"",'HCT2'!AD10)</f>
        <v/>
      </c>
      <c r="CI10" s="775" t="str">
        <f>IF(ISBLANK('HCT2'!AE10),"",'HCT2'!AE10)</f>
        <v/>
      </c>
      <c r="CJ10" s="775" t="str">
        <f>IF(ISBLANK('HCT2'!AF10),"",'HCT2'!AF10)</f>
        <v/>
      </c>
      <c r="CK10" s="895" t="str">
        <f>IF(ISBLANK('HCT2'!AG10),"",'HCT2'!AG10)</f>
        <v/>
      </c>
      <c r="CL10" s="775" t="str">
        <f>IF(ISBLANK('HCT2'!AH10),"",'HCT2'!AH10)</f>
        <v/>
      </c>
      <c r="CM10" s="775" t="str">
        <f>IF(ISBLANK('HCT2'!AI10),"",'HCT2'!AI10)</f>
        <v/>
      </c>
      <c r="CN10" s="895" t="str">
        <f>IF(ISBLANK('HCT2'!AJ10),"",'HCT2'!AJ10)</f>
        <v/>
      </c>
      <c r="CO10" s="775" t="str">
        <f>IF(ISBLANK('HCT2'!AK10),"",'HCT2'!AK10)</f>
        <v/>
      </c>
      <c r="CP10" s="775" t="str">
        <f>IF(ISBLANK('HCT2'!AL10),"",'HCT2'!AL10)</f>
        <v/>
      </c>
      <c r="CQ10" s="775" t="str">
        <f>IF(ISBLANK('HCT2'!AM10),"",'HCT2'!AM10)</f>
        <v/>
      </c>
      <c r="CR10" s="917" t="str">
        <f>IF(ISBLANK('HCT2'!AN10),"",'HCT2'!AN10)</f>
        <v/>
      </c>
      <c r="CS10" s="1113" t="str">
        <f>IF(ISBLANK('HCT2'!AO10),"",'HCT2'!AO10)</f>
        <v/>
      </c>
      <c r="CT10" s="1114" t="str">
        <f>IF(ISBLANK('HCT2'!AP10),"",'HCT2'!AP10)</f>
        <v/>
      </c>
      <c r="CU10" s="965" t="str">
        <f>IF(ISBLANK('HCT2'!AQ10),"",'HCT2'!AQ10)</f>
        <v/>
      </c>
      <c r="CV10" s="1133" t="str">
        <f>IF(ISBLANK('HCT2'!AR10),"",'HCT2'!AR10)</f>
        <v/>
      </c>
      <c r="CW10" s="916" t="e">
        <f>IF(ISBLANK(Récap1!#REF!),"",Récap1!#REF!)</f>
        <v>#REF!</v>
      </c>
      <c r="CX10" s="916" t="e">
        <f>IF(ISBLANK(Récap1!#REF!),"",Récap1!#REF!)</f>
        <v>#REF!</v>
      </c>
      <c r="CY10" s="775" t="e">
        <f>IF(ISBLANK(Récap1!#REF!),"",Récap1!#REF!)</f>
        <v>#REF!</v>
      </c>
      <c r="CZ10" s="775" t="e">
        <f>IF(ISBLANK(Récap1!#REF!),"",Récap1!#REF!)</f>
        <v>#REF!</v>
      </c>
      <c r="DA10" s="775" t="e">
        <f>IF(ISBLANK(Récap1!#REF!),"",Récap1!#REF!)</f>
        <v>#REF!</v>
      </c>
      <c r="DB10" s="775" t="e">
        <f>IF(ISBLANK(Récap1!#REF!),"",Récap1!#REF!)</f>
        <v>#REF!</v>
      </c>
      <c r="DC10" s="916" t="str">
        <f>IF(ISBLANK('HCT2'!AS10),"",'HCT2'!AS10)</f>
        <v/>
      </c>
      <c r="DD10" s="775" t="str">
        <f>IF(ISBLANK('HCT2'!AT10),"",'HCT2'!AT10)</f>
        <v/>
      </c>
      <c r="DE10" s="775" t="str">
        <f>IF(ISBLANK('HCT2'!AU10),"",'HCT2'!AU10)</f>
        <v/>
      </c>
      <c r="DF10" s="775" t="str">
        <f>IF(ISBLANK('HCT2'!AV10),"",'HCT2'!AV10)</f>
        <v/>
      </c>
      <c r="DG10" s="775" t="str">
        <f>IF(ISBLANK('HCT2'!AW10),"",'HCT2'!AW10)</f>
        <v/>
      </c>
      <c r="DH10" s="775" t="str">
        <f>IF(ISBLANK('HCT2'!AX10),"",'HCT2'!AX10)</f>
        <v/>
      </c>
      <c r="DI10" s="775" t="str">
        <f>IF(ISBLANK('HCT2'!AY10),"",'HCT2'!AY10)</f>
        <v/>
      </c>
      <c r="DJ10" s="894" t="str">
        <f>IF(ISBLANK('HCT2'!AZ10),"",'HCT2'!AZ10)</f>
        <v/>
      </c>
      <c r="DK10" s="775" t="str">
        <f>IF(ISBLANK('HCT2'!BA10),"",'HCT2'!BA10)</f>
        <v/>
      </c>
      <c r="DL10" s="775" t="str">
        <f>IF(ISBLANK('HCT2'!BB10),"",'HCT2'!BB10)</f>
        <v/>
      </c>
      <c r="DM10" s="895" t="str">
        <f>IF(ISBLANK('HCT2'!BC10),"",'HCT2'!BC10)</f>
        <v/>
      </c>
      <c r="DN10" s="948" t="str">
        <f>IF(ISBLANK('HCT2'!BD10),"",'HCT2'!BD10)</f>
        <v/>
      </c>
      <c r="DO10" s="1077" t="str">
        <f>IF(ISBLANK('HCT2'!BE10),"",'HCT2'!BE10)</f>
        <v/>
      </c>
      <c r="DP10" s="956" t="str">
        <f>IF(ISBLANK('HCT2'!BF10),"",'HCT2'!BF10)</f>
        <v/>
      </c>
      <c r="DQ10" s="917"/>
      <c r="DS10" s="774"/>
      <c r="DT10" s="774"/>
      <c r="DU10" s="774"/>
      <c r="DV10" s="868"/>
      <c r="DW10" s="774"/>
      <c r="DX10" s="774"/>
      <c r="DY10" s="774"/>
    </row>
    <row r="11" spans="1:129" s="293" customFormat="1" hidden="1">
      <c r="B11" s="294"/>
      <c r="C11" s="634"/>
      <c r="D11" s="635"/>
      <c r="E11" s="509" t="str">
        <f>IF(ISBLANK(Récap1!E11),"",Récap1!E11)</f>
        <v>Sous bâtiment RESIDENTIEL</v>
      </c>
      <c r="F11" s="745" t="str">
        <f>IF(ISBLANK(Récap1!F11),"",Récap1!F11)</f>
        <v/>
      </c>
      <c r="G11" s="745" t="str">
        <f>IF(ISBLANK(Récap1!G11),"",Récap1!G11)</f>
        <v/>
      </c>
      <c r="H11" s="627" t="str">
        <f>IF(ISBLANK(Récap1!H11),"",Récap1!H11)</f>
        <v/>
      </c>
      <c r="I11" s="530" t="str">
        <f>IF(ISBLANK(Récap1!I11),"",Récap1!I11)</f>
        <v/>
      </c>
      <c r="J11" s="530" t="str">
        <f>IF(ISBLANK(Récap1!J11),"",Récap1!J11)</f>
        <v/>
      </c>
      <c r="K11" s="627" t="str">
        <f>IF(ISBLANK(Récap1!K11),"",Récap1!K11)</f>
        <v/>
      </c>
      <c r="L11" s="530" t="str">
        <f>IF(ISBLANK(Récap1!L11),"",Récap1!L11)</f>
        <v/>
      </c>
      <c r="M11" s="530" t="str">
        <f>IF(ISBLANK(Récap1!M11),"",Récap1!M11)</f>
        <v/>
      </c>
      <c r="N11" s="530" t="str">
        <f>IF(ISBLANK(Récap1!N11),"",Récap1!N11)</f>
        <v/>
      </c>
      <c r="O11" s="530" t="str">
        <f>IF(ISBLANK(Récap1!O11),"",Récap1!O11)</f>
        <v/>
      </c>
      <c r="P11" s="530" t="str">
        <f>IF(ISBLANK(Récap1!P11),"",Récap1!P11)</f>
        <v/>
      </c>
      <c r="Q11" s="530" t="str">
        <f>IF(ISBLANK(Récap1!Q11),"",Récap1!Q11)</f>
        <v/>
      </c>
      <c r="R11" s="530" t="str">
        <f>IF(ISBLANK(Récap1!R11),"",Récap1!R11)</f>
        <v/>
      </c>
      <c r="S11" s="530" t="str">
        <f>IF(ISBLANK(Récap1!S11),"",Récap1!S11)</f>
        <v/>
      </c>
      <c r="T11" s="530" t="str">
        <f>IF(ISBLANK(Récap1!T11),"",Récap1!T11)</f>
        <v/>
      </c>
      <c r="U11" s="530" t="str">
        <f>IF(ISBLANK(Récap1!U11),"",Récap1!U11)</f>
        <v/>
      </c>
      <c r="V11" s="1433" t="str">
        <f>IF(ISBLANK(Récap1!V11),"",Récap1!V11)</f>
        <v/>
      </c>
      <c r="W11" s="530" t="str">
        <f>IF(ISBLANK(Récap1!W11),"",Récap1!W11)</f>
        <v/>
      </c>
      <c r="X11" s="530" t="str">
        <f>IF(ISBLANK(Récap1!X11),"",Récap1!X11)</f>
        <v/>
      </c>
      <c r="Y11" s="530" t="str">
        <f>IF(ISBLANK(Récap1!Y11),"",Récap1!Y11)</f>
        <v/>
      </c>
      <c r="Z11" s="530" t="str">
        <f>IF(ISBLANK(Récap1!Z11),"",Récap1!Z11)</f>
        <v/>
      </c>
      <c r="AA11" s="628" t="str">
        <f>IF(ISBLANK(Récap1!AA11),"",Récap1!AA11)</f>
        <v/>
      </c>
      <c r="AB11" s="530" t="str">
        <f>IF(ISBLANK(Récap1!AB11),"",Récap1!AB11)</f>
        <v/>
      </c>
      <c r="AC11" s="829" t="str">
        <f>IF(ISBLANK(Récap1!AC11),"",Récap1!AC11)</f>
        <v/>
      </c>
      <c r="AD11" s="530" t="str">
        <f>IF(ISBLANK(Récap1!AD11),"",Récap1!AD11)</f>
        <v/>
      </c>
      <c r="AE11" s="530" t="str">
        <f>IF(ISBLANK(Récap1!AE11),"",Récap1!AE11)</f>
        <v/>
      </c>
      <c r="AF11" s="830" t="str">
        <f>IF(ISBLANK(Récap1!AF11),"",Récap1!AF11)</f>
        <v/>
      </c>
      <c r="AG11" s="530" t="str">
        <f>IF(ISBLANK(Récap1!AG11),"",Récap1!AG11)</f>
        <v/>
      </c>
      <c r="AH11" s="530" t="str">
        <f>IF(ISBLANK(Récap1!AH11),"",Récap1!AH11)</f>
        <v/>
      </c>
      <c r="AI11" s="530" t="str">
        <f>IF(ISBLANK(Récap1!AI11),"",Récap1!AI11)</f>
        <v/>
      </c>
      <c r="AJ11" s="829" t="str">
        <f>IF(ISBLANK(Récap1!AJ11),"",Récap1!AJ11)</f>
        <v/>
      </c>
      <c r="AK11" s="530" t="str">
        <f>IF(ISBLANK(Récap1!AK11),"",Récap1!AK11)</f>
        <v/>
      </c>
      <c r="AL11" s="530" t="str">
        <f>IF(ISBLANK(Récap1!AL11),"",Récap1!AL11)</f>
        <v/>
      </c>
      <c r="AM11" s="530" t="str">
        <f>IF(ISBLANK(Récap1!AM11),"",Récap1!AM11)</f>
        <v/>
      </c>
      <c r="AN11" s="627" t="str">
        <f>IF(ISBLANK(Récap1!AN11),"",Récap1!AN11)</f>
        <v/>
      </c>
      <c r="AO11" s="530" t="str">
        <f>IF(ISBLANK(Récap1!AO11),"",Récap1!AO11)</f>
        <v/>
      </c>
      <c r="AP11" s="530" t="str">
        <f>IF(ISBLANK(Récap1!AP11),"",Récap1!AP11)</f>
        <v/>
      </c>
      <c r="AQ11" s="530" t="str">
        <f>IF(ISBLANK(Récap1!AQ11),"",Récap1!AQ11)</f>
        <v/>
      </c>
      <c r="AR11" s="530" t="str">
        <f>IF(ISBLANK(Récap1!AR11),"",Récap1!AR11)</f>
        <v/>
      </c>
      <c r="AS11" s="530" t="str">
        <f>IF(ISBLANK(Récap1!AS11),"",Récap1!AS11)</f>
        <v/>
      </c>
      <c r="AT11" s="530" t="str">
        <f>IF(ISBLANK(Récap1!AT11),"",Récap1!AT11)</f>
        <v/>
      </c>
      <c r="AU11" s="530" t="str">
        <f>IF(ISBLANK(Récap1!AU11),"",Récap1!AU11)</f>
        <v/>
      </c>
      <c r="AV11" s="530" t="str">
        <f>IF(ISBLANK(Récap1!AV11),"",Récap1!AV11)</f>
        <v/>
      </c>
      <c r="AW11" s="530" t="str">
        <f>IF(ISBLANK(Récap1!AW11),"",Récap1!AW11)</f>
        <v/>
      </c>
      <c r="AX11" s="530" t="str">
        <f>IF(ISBLANK(Récap1!AX11),"",Récap1!AX11)</f>
        <v/>
      </c>
      <c r="AY11" s="530" t="str">
        <f>IF(ISBLANK(Récap1!AY11),"",Récap1!AY11)</f>
        <v/>
      </c>
      <c r="AZ11" s="530" t="str">
        <f>IF(ISBLANK(Récap1!AZ11),"",Récap1!AZ11)</f>
        <v/>
      </c>
      <c r="BA11" s="530" t="str">
        <f>IF(ISBLANK(Récap1!BA11),"",Récap1!BA11)</f>
        <v/>
      </c>
      <c r="BB11" s="530" t="str">
        <f>IF(ISBLANK(Récap1!BB11),"",Récap1!BB11)</f>
        <v/>
      </c>
      <c r="BC11" s="628" t="str">
        <f>IF(ISBLANK(Récap1!BC11),"",Récap1!BC11)</f>
        <v/>
      </c>
      <c r="BD11" s="627" t="str">
        <f>IF(ISBLANK(Récap1!BD11),"",Récap1!BD11)</f>
        <v/>
      </c>
      <c r="BE11" s="530" t="str">
        <f>IF(ISBLANK(Récap1!BE11),"",Récap1!BE11)</f>
        <v/>
      </c>
      <c r="BF11" s="530" t="str">
        <f>IF(ISBLANK(Récap1!BF11),"",Récap1!BF11)</f>
        <v/>
      </c>
      <c r="BG11" s="530" t="str">
        <f>IF(ISBLANK(Récap1!BG11),"",Récap1!BG11)</f>
        <v/>
      </c>
      <c r="BH11" s="629" t="str">
        <f>IF(ISBLANK(Récap1!BH11),"",Récap1!BH11)</f>
        <v/>
      </c>
      <c r="BI11" s="530" t="str">
        <f>IF(ISBLANK(Récap1!BI11),"",Récap1!BI11)</f>
        <v/>
      </c>
      <c r="BJ11" s="293" t="e">
        <f>IF(ISBLANK(Récap1!#REF!),"",Récap1!#REF!)</f>
        <v>#REF!</v>
      </c>
      <c r="BK11" s="293" t="e">
        <f>IF(ISBLANK(Récap1!#REF!),"",Récap1!#REF!)</f>
        <v>#REF!</v>
      </c>
      <c r="BL11" s="530" t="str">
        <f>IF(ISBLANK('HCT2'!H11),"",'HCT2'!H11)</f>
        <v/>
      </c>
      <c r="BM11" s="530" t="str">
        <f>IF(ISBLANK('HCT2'!I11),"",'HCT2'!I11)</f>
        <v/>
      </c>
      <c r="BN11" s="530" t="str">
        <f>IF(ISBLANK('HCT2'!J11),"",'HCT2'!J11)</f>
        <v/>
      </c>
      <c r="BO11" s="628" t="str">
        <f>IF(ISBLANK('HCT2'!K11),"",'HCT2'!K11)</f>
        <v/>
      </c>
      <c r="BP11" s="530" t="str">
        <f>IF(ISBLANK('HCT2'!L11),"",'HCT2'!L11)</f>
        <v/>
      </c>
      <c r="BQ11" s="829" t="str">
        <f>IF(ISBLANK('HCT2'!M11),"",'HCT2'!M11)</f>
        <v/>
      </c>
      <c r="BR11" s="530" t="str">
        <f>IF(ISBLANK('HCT2'!N11),"",'HCT2'!N11)</f>
        <v/>
      </c>
      <c r="BS11" s="530" t="str">
        <f>IF(ISBLANK('HCT2'!O11),"",'HCT2'!O11)</f>
        <v/>
      </c>
      <c r="BT11" s="830" t="str">
        <f>IF(ISBLANK('HCT2'!P11),"",'HCT2'!P11)</f>
        <v/>
      </c>
      <c r="BU11" s="530" t="str">
        <f>IF(ISBLANK('HCT2'!Q11),"",'HCT2'!Q11)</f>
        <v/>
      </c>
      <c r="BV11" s="530" t="str">
        <f>IF(ISBLANK('HCT2'!R11),"",'HCT2'!R11)</f>
        <v/>
      </c>
      <c r="BW11" s="530" t="str">
        <f>IF(ISBLANK('HCT2'!S11),"",'HCT2'!S11)</f>
        <v/>
      </c>
      <c r="BX11" s="829" t="str">
        <f>IF(ISBLANK('HCT2'!T11),"",'HCT2'!T11)</f>
        <v/>
      </c>
      <c r="BY11" s="530" t="str">
        <f>IF(ISBLANK('HCT2'!U11),"",'HCT2'!U11)</f>
        <v/>
      </c>
      <c r="BZ11" s="530" t="str">
        <f>IF(ISBLANK('HCT2'!V11),"",'HCT2'!V11)</f>
        <v/>
      </c>
      <c r="CA11" s="530" t="str">
        <f>IF(ISBLANK('HCT2'!W11),"",'HCT2'!W11)</f>
        <v/>
      </c>
      <c r="CB11" s="293" t="str">
        <f>IF(ISBLANK('HCT2'!X11),"",'HCT2'!X11)</f>
        <v/>
      </c>
      <c r="CC11" s="305" t="str">
        <f>IF(ISBLANK('HCT2'!Y11),"",'HCT2'!Y11)</f>
        <v/>
      </c>
      <c r="CD11" s="1088" t="str">
        <f>IF(ISBLANK('HCT2'!Z11),"",'HCT2'!Z11)</f>
        <v/>
      </c>
      <c r="CE11" s="293" t="str">
        <f>IF(ISBLANK('HCT2'!AA11),"",'HCT2'!AA11)</f>
        <v/>
      </c>
      <c r="CF11" s="293" t="str">
        <f>IF(ISBLANK('HCT2'!AB11),"",'HCT2'!AB11)</f>
        <v/>
      </c>
      <c r="CG11" s="939" t="str">
        <f>IF(ISBLANK('HCT2'!AC11),"",'HCT2'!AC11)</f>
        <v/>
      </c>
      <c r="CH11" s="293" t="str">
        <f>IF(ISBLANK('HCT2'!AD11),"",'HCT2'!AD11)</f>
        <v/>
      </c>
      <c r="CI11" s="293" t="str">
        <f>IF(ISBLANK('HCT2'!AE11),"",'HCT2'!AE11)</f>
        <v/>
      </c>
      <c r="CJ11" s="293" t="str">
        <f>IF(ISBLANK('HCT2'!AF11),"",'HCT2'!AF11)</f>
        <v/>
      </c>
      <c r="CK11" s="897" t="str">
        <f>IF(ISBLANK('HCT2'!AG11),"",'HCT2'!AG11)</f>
        <v/>
      </c>
      <c r="CL11" s="293" t="str">
        <f>IF(ISBLANK('HCT2'!AH11),"",'HCT2'!AH11)</f>
        <v/>
      </c>
      <c r="CM11" s="293" t="str">
        <f>IF(ISBLANK('HCT2'!AI11),"",'HCT2'!AI11)</f>
        <v/>
      </c>
      <c r="CN11" s="897" t="str">
        <f>IF(ISBLANK('HCT2'!AJ11),"",'HCT2'!AJ11)</f>
        <v/>
      </c>
      <c r="CO11" s="293" t="str">
        <f>IF(ISBLANK('HCT2'!AK11),"",'HCT2'!AK11)</f>
        <v/>
      </c>
      <c r="CP11" s="293" t="str">
        <f>IF(ISBLANK('HCT2'!AL11),"",'HCT2'!AL11)</f>
        <v/>
      </c>
      <c r="CQ11" s="293" t="str">
        <f>IF(ISBLANK('HCT2'!AM11),"",'HCT2'!AM11)</f>
        <v/>
      </c>
      <c r="CR11" s="918" t="str">
        <f>IF(ISBLANK('HCT2'!AN11),"",'HCT2'!AN11)</f>
        <v/>
      </c>
      <c r="CS11" s="1115" t="str">
        <f>IF(ISBLANK('HCT2'!AO11),"",'HCT2'!AO11)</f>
        <v/>
      </c>
      <c r="CT11" s="1116" t="str">
        <f>IF(ISBLANK('HCT2'!AP11),"",'HCT2'!AP11)</f>
        <v/>
      </c>
      <c r="CU11" s="966" t="str">
        <f>IF(ISBLANK('HCT2'!AQ11),"",'HCT2'!AQ11)</f>
        <v/>
      </c>
      <c r="CV11" s="1134" t="str">
        <f>IF(ISBLANK('HCT2'!AR11),"",'HCT2'!AR11)</f>
        <v/>
      </c>
      <c r="CW11" s="305" t="e">
        <f>IF(ISBLANK(Récap1!#REF!),"",Récap1!#REF!)</f>
        <v>#REF!</v>
      </c>
      <c r="CX11" s="305" t="e">
        <f>IF(ISBLANK(Récap1!#REF!),"",Récap1!#REF!)</f>
        <v>#REF!</v>
      </c>
      <c r="CY11" s="293" t="e">
        <f>IF(ISBLANK(Récap1!#REF!),"",Récap1!#REF!)</f>
        <v>#REF!</v>
      </c>
      <c r="CZ11" s="293" t="e">
        <f>IF(ISBLANK(Récap1!#REF!),"",Récap1!#REF!)</f>
        <v>#REF!</v>
      </c>
      <c r="DA11" s="293" t="e">
        <f>IF(ISBLANK(Récap1!#REF!),"",Récap1!#REF!)</f>
        <v>#REF!</v>
      </c>
      <c r="DB11" s="293" t="e">
        <f>IF(ISBLANK(Récap1!#REF!),"",Récap1!#REF!)</f>
        <v>#REF!</v>
      </c>
      <c r="DC11" s="305" t="str">
        <f>IF(ISBLANK('HCT2'!AS11),"",'HCT2'!AS11)</f>
        <v/>
      </c>
      <c r="DD11" s="293" t="str">
        <f>IF(ISBLANK('HCT2'!AT11),"",'HCT2'!AT11)</f>
        <v/>
      </c>
      <c r="DE11" s="293" t="str">
        <f>IF(ISBLANK('HCT2'!AU11),"",'HCT2'!AU11)</f>
        <v/>
      </c>
      <c r="DF11" s="293" t="str">
        <f>IF(ISBLANK('HCT2'!AV11),"",'HCT2'!AV11)</f>
        <v/>
      </c>
      <c r="DG11" s="293" t="str">
        <f>IF(ISBLANK('HCT2'!AW11),"",'HCT2'!AW11)</f>
        <v/>
      </c>
      <c r="DH11" s="293" t="str">
        <f>IF(ISBLANK('HCT2'!AX11),"",'HCT2'!AX11)</f>
        <v/>
      </c>
      <c r="DI11" s="293" t="str">
        <f>IF(ISBLANK('HCT2'!AY11),"",'HCT2'!AY11)</f>
        <v/>
      </c>
      <c r="DJ11" s="896" t="str">
        <f>IF(ISBLANK('HCT2'!AZ11),"",'HCT2'!AZ11)</f>
        <v/>
      </c>
      <c r="DK11" s="293" t="str">
        <f>IF(ISBLANK('HCT2'!BA11),"",'HCT2'!BA11)</f>
        <v/>
      </c>
      <c r="DL11" s="293" t="str">
        <f>IF(ISBLANK('HCT2'!BB11),"",'HCT2'!BB11)</f>
        <v/>
      </c>
      <c r="DM11" s="897" t="str">
        <f>IF(ISBLANK('HCT2'!BC11),"",'HCT2'!BC11)</f>
        <v/>
      </c>
      <c r="DN11" s="949" t="str">
        <f>IF(ISBLANK('HCT2'!BD11),"",'HCT2'!BD11)</f>
        <v/>
      </c>
      <c r="DO11" s="1078" t="str">
        <f>IF(ISBLANK('HCT2'!BE11),"",'HCT2'!BE11)</f>
        <v/>
      </c>
      <c r="DP11" s="957" t="str">
        <f>IF(ISBLANK('HCT2'!BF11),"",'HCT2'!BF11)</f>
        <v/>
      </c>
      <c r="DQ11" s="976"/>
      <c r="DS11" s="530"/>
      <c r="DT11" s="530"/>
      <c r="DU11" s="530"/>
      <c r="DV11" s="829"/>
      <c r="DW11" s="530"/>
      <c r="DX11" s="530"/>
      <c r="DY11" s="530"/>
    </row>
    <row r="12" spans="1:129" s="26" customFormat="1" hidden="1">
      <c r="A12" s="482"/>
      <c r="B12" s="27"/>
      <c r="C12" s="138"/>
      <c r="D12" s="195"/>
      <c r="E12" s="14" t="str">
        <f>IF(ISBLANK(Récap1!E12),"",Récap1!E12)</f>
        <v>Teneur limite (effet à seuil)</v>
      </c>
      <c r="F12" s="14" t="str">
        <f>IF(ISBLANK(Récap1!F12),"",Récap1!F12)</f>
        <v>Cs</v>
      </c>
      <c r="G12" s="14" t="str">
        <f>IF(ISBLANK(Récap1!G12),"",Récap1!G12)</f>
        <v>mg/kg ms</v>
      </c>
      <c r="H12" s="85">
        <f>IF(ISBLANK(Récap1!H12),"",Récap1!H12)</f>
        <v>2.6862521347215629</v>
      </c>
      <c r="I12" s="56">
        <f>IF(ISBLANK(Récap1!I12),"",Récap1!I12)</f>
        <v>2.6862521347215629</v>
      </c>
      <c r="J12" s="56">
        <f>IF(ISBLANK(Récap1!J12),"",Récap1!J12)</f>
        <v>23.689265099920028</v>
      </c>
      <c r="K12" s="85">
        <f>IF(ISBLANK(Récap1!K12),"",Récap1!K12)</f>
        <v>3.5778735042735051E-2</v>
      </c>
      <c r="L12" s="56">
        <f>IF(ISBLANK(Récap1!L12),"",Récap1!L12)</f>
        <v>3.8334358974358967E-2</v>
      </c>
      <c r="M12" s="56">
        <f>IF(ISBLANK(Récap1!M12),"",Récap1!M12)</f>
        <v>3.8334358974358967E-2</v>
      </c>
      <c r="N12" s="56">
        <f>IF(ISBLANK(Récap1!N12),"",Récap1!N12)</f>
        <v>0.1277811965811966</v>
      </c>
      <c r="O12" s="56">
        <f>IF(ISBLANK(Récap1!O12),"",Récap1!O12)</f>
        <v>0.1277811965811966</v>
      </c>
      <c r="P12" s="56">
        <f>IF(ISBLANK(Récap1!P12),"",Récap1!P12)</f>
        <v>2.2361709401709406E-2</v>
      </c>
      <c r="Q12" s="56">
        <f>IF(ISBLANK(Récap1!Q12),"",Récap1!Q12)</f>
        <v>2.2361709401709406E-2</v>
      </c>
      <c r="R12" s="56">
        <f>IF(ISBLANK(Récap1!R12),"",Récap1!R12)</f>
        <v>0.25556239316239321</v>
      </c>
      <c r="S12" s="56">
        <f>IF(ISBLANK(Récap1!S12),"",Récap1!S12)</f>
        <v>4.025107692307691E-2</v>
      </c>
      <c r="T12" s="56">
        <f>IF(ISBLANK(Récap1!T12),"",Récap1!T12)</f>
        <v>4.025107692307691E-2</v>
      </c>
      <c r="U12" s="56">
        <f>IF(ISBLANK(Récap1!U12),"",Récap1!U12)</f>
        <v>2.4278427350427356E-2</v>
      </c>
      <c r="V12" s="681">
        <f>IF(ISBLANK(Récap1!V12),"",Récap1!V12)</f>
        <v>0.63890598290598299</v>
      </c>
      <c r="W12" s="56">
        <f>IF(ISBLANK(Récap1!W12),"",Récap1!W12)</f>
        <v>0.63890598290598299</v>
      </c>
      <c r="X12" s="56">
        <f>IF(ISBLANK(Récap1!X12),"",Récap1!X12)</f>
        <v>6.133497435897437E-3</v>
      </c>
      <c r="Y12" s="56">
        <f>IF(ISBLANK(Récap1!Y12),"",Récap1!Y12)</f>
        <v>0.1661155555555556</v>
      </c>
      <c r="Z12" s="56">
        <f>IF(ISBLANK(Récap1!Z12),"",Récap1!Z12)</f>
        <v>0.1693100854700855</v>
      </c>
      <c r="AA12" s="57">
        <f>IF(ISBLANK(Récap1!AA12),"",Récap1!AA12)</f>
        <v>0.44723418803418796</v>
      </c>
      <c r="AB12" s="56">
        <f>IF(ISBLANK(Récap1!AB12),"",Récap1!AB12)</f>
        <v>0.1277811965811966</v>
      </c>
      <c r="AC12" s="870">
        <f>IF(ISBLANK(Récap1!AC12),"",Récap1!AC12)</f>
        <v>0.22469249961757626</v>
      </c>
      <c r="AD12" s="56">
        <f>IF(ISBLANK(Récap1!AD12),"",Récap1!AD12)</f>
        <v>0.54361022992838193</v>
      </c>
      <c r="AE12" s="56" t="str">
        <f>IF(ISBLANK(Récap1!AE12),"",Récap1!AE12)</f>
        <v>PVL</v>
      </c>
      <c r="AF12" s="871" t="str">
        <f>IF(ISBLANK(Récap1!AF12),"",Récap1!AF12)</f>
        <v>PVL</v>
      </c>
      <c r="AG12" s="56">
        <f>IF(ISBLANK(Récap1!AG12),"",Récap1!AG12)</f>
        <v>11.755870085470084</v>
      </c>
      <c r="AH12" s="56">
        <f>IF(ISBLANK(Récap1!AH12),"",Récap1!AH12)</f>
        <v>11.755870085470086</v>
      </c>
      <c r="AI12" s="56">
        <f>IF(ISBLANK(Récap1!AI12),"",Récap1!AI12)</f>
        <v>0.63890598290598288</v>
      </c>
      <c r="AJ12" s="870">
        <f>IF(ISBLANK(Récap1!AJ12),"",Récap1!AJ12)</f>
        <v>0.63890598290598299</v>
      </c>
      <c r="AK12" s="56">
        <f>IF(ISBLANK(Récap1!AK12),"",Récap1!AK12)</f>
        <v>0.80502312779519747</v>
      </c>
      <c r="AL12" s="56" t="str">
        <f>IF(ISBLANK(Récap1!AL12),"",Récap1!AL12)</f>
        <v>PVL</v>
      </c>
      <c r="AM12" s="56" t="str">
        <f>IF(ISBLANK(Récap1!AM12),"",Récap1!AM12)</f>
        <v>PVL</v>
      </c>
      <c r="AN12" s="85">
        <f>IF(ISBLANK(Récap1!AN12),"",Récap1!AN12)</f>
        <v>3.1932812735482666E-2</v>
      </c>
      <c r="AO12" s="56" t="str">
        <f>IF(ISBLANK(Récap1!AO12),"",Récap1!AO12)</f>
        <v>PVL</v>
      </c>
      <c r="AP12" s="56" t="str">
        <f>IF(ISBLANK(Récap1!AP12),"",Récap1!AP12)</f>
        <v>PVL</v>
      </c>
      <c r="AQ12" s="56" t="str">
        <f>IF(ISBLANK(Récap1!AQ12),"",Récap1!AQ12)</f>
        <v>PVL</v>
      </c>
      <c r="AR12" s="56" t="str">
        <f>IF(ISBLANK(Récap1!AR12),"",Récap1!AR12)</f>
        <v>PVL</v>
      </c>
      <c r="AS12" s="56" t="str">
        <f>IF(ISBLANK(Récap1!AS12),"",Récap1!AS12)</f>
        <v>PVL</v>
      </c>
      <c r="AT12" s="56" t="str">
        <f>IF(ISBLANK(Récap1!AT12),"",Récap1!AT12)</f>
        <v>PVL</v>
      </c>
      <c r="AU12" s="56" t="str">
        <f>IF(ISBLANK(Récap1!AU12),"",Récap1!AU12)</f>
        <v>PVL</v>
      </c>
      <c r="AV12" s="56" t="str">
        <f>IF(ISBLANK(Récap1!AV12),"",Récap1!AV12)</f>
        <v>PVL</v>
      </c>
      <c r="AW12" s="56" t="str">
        <f>IF(ISBLANK(Récap1!AW12),"",Récap1!AW12)</f>
        <v>PVL</v>
      </c>
      <c r="AX12" s="56" t="str">
        <f>IF(ISBLANK(Récap1!AX12),"",Récap1!AX12)</f>
        <v>PVL</v>
      </c>
      <c r="AY12" s="56" t="str">
        <f>IF(ISBLANK(Récap1!AY12),"",Récap1!AY12)</f>
        <v>PVL</v>
      </c>
      <c r="AZ12" s="56" t="str">
        <f>IF(ISBLANK(Récap1!AZ12),"",Récap1!AZ12)</f>
        <v>PVL</v>
      </c>
      <c r="BA12" s="56" t="str">
        <f>IF(ISBLANK(Récap1!BA12),"",Récap1!BA12)</f>
        <v>PVL</v>
      </c>
      <c r="BB12" s="56" t="str">
        <f>IF(ISBLANK(Récap1!BB12),"",Récap1!BB12)</f>
        <v>PVL</v>
      </c>
      <c r="BC12" s="57" t="str">
        <f>IF(ISBLANK(Récap1!BC12),"",Récap1!BC12)</f>
        <v>PVL</v>
      </c>
      <c r="BD12" s="85">
        <f>IF(ISBLANK(Récap1!BD12),"",Récap1!BD12)</f>
        <v>0.95542172863999142</v>
      </c>
      <c r="BE12" s="56">
        <f>IF(ISBLANK(Récap1!BE12),"",Récap1!BE12)</f>
        <v>0.74529121407963383</v>
      </c>
      <c r="BF12" s="56">
        <f>IF(ISBLANK(Récap1!BF12),"",Récap1!BF12)</f>
        <v>1.4905824281592677</v>
      </c>
      <c r="BG12" s="56">
        <f>IF(ISBLANK(Récap1!BG12),"",Récap1!BG12)</f>
        <v>1.9167179487179488E-5</v>
      </c>
      <c r="BH12" s="608">
        <f>IF(ISBLANK(Récap1!BH12),"",Récap1!BH12)</f>
        <v>1.2264462146081359E-2</v>
      </c>
      <c r="BI12" s="56">
        <f>IF(ISBLANK(Récap1!BI12),"",Récap1!BI12)</f>
        <v>1.7081245590240702E-2</v>
      </c>
      <c r="BJ12" s="26" t="e">
        <f>IF(ISBLANK(Récap1!#REF!),"",Récap1!#REF!)</f>
        <v>#REF!</v>
      </c>
      <c r="BK12" s="26" t="e">
        <f>IF(ISBLANK(Récap1!#REF!),"",Récap1!#REF!)</f>
        <v>#REF!</v>
      </c>
      <c r="BL12" s="56">
        <f>IF(ISBLANK('HCT2'!H12),"",'HCT2'!H12)</f>
        <v>0</v>
      </c>
      <c r="BM12" s="56">
        <f>IF(ISBLANK('HCT2'!I12),"",'HCT2'!I12)</f>
        <v>0</v>
      </c>
      <c r="BN12" s="56">
        <f>IF(ISBLANK('HCT2'!J12),"",'HCT2'!J12)</f>
        <v>0</v>
      </c>
      <c r="BO12" s="57">
        <f>IF(ISBLANK('HCT2'!K12),"",'HCT2'!K12)</f>
        <v>0</v>
      </c>
      <c r="BP12" s="56">
        <f>IF(ISBLANK('HCT2'!L12),"",'HCT2'!L12)</f>
        <v>0</v>
      </c>
      <c r="BQ12" s="870">
        <f>IF(ISBLANK('HCT2'!M12),"",'HCT2'!M12)</f>
        <v>0</v>
      </c>
      <c r="BR12" s="56">
        <f>IF(ISBLANK('HCT2'!N12),"",'HCT2'!N12)</f>
        <v>0</v>
      </c>
      <c r="BS12" s="56">
        <f>IF(ISBLANK('HCT2'!O12),"",'HCT2'!O12)</f>
        <v>0</v>
      </c>
      <c r="BT12" s="871">
        <f>IF(ISBLANK('HCT2'!P12),"",'HCT2'!P12)</f>
        <v>0</v>
      </c>
      <c r="BU12" s="56">
        <f>IF(ISBLANK('HCT2'!Q12),"",'HCT2'!Q12)</f>
        <v>0</v>
      </c>
      <c r="BV12" s="56">
        <f>IF(ISBLANK('HCT2'!R12),"",'HCT2'!R12)</f>
        <v>0</v>
      </c>
      <c r="BW12" s="56">
        <f>IF(ISBLANK('HCT2'!S12),"",'HCT2'!S12)</f>
        <v>0</v>
      </c>
      <c r="BX12" s="870">
        <f>IF(ISBLANK('HCT2'!T12),"",'HCT2'!T12)</f>
        <v>0</v>
      </c>
      <c r="BY12" s="56">
        <f>IF(ISBLANK('HCT2'!U12),"",'HCT2'!U12)</f>
        <v>0</v>
      </c>
      <c r="BZ12" s="56">
        <f>IF(ISBLANK('HCT2'!V12),"",'HCT2'!V12)</f>
        <v>0</v>
      </c>
      <c r="CA12" s="56">
        <f>IF(ISBLANK('HCT2'!W12),"",'HCT2'!W12)</f>
        <v>0</v>
      </c>
      <c r="CB12" s="26" t="str">
        <f>IF(ISBLANK('HCT2'!X12),"",'HCT2'!X12)</f>
        <v/>
      </c>
      <c r="CC12" s="77" t="str">
        <f>IF(ISBLANK('HCT2'!Y12),"",'HCT2'!Y12)</f>
        <v/>
      </c>
      <c r="CD12" s="1086" t="str">
        <f>IF(ISBLANK('HCT2'!Z12),"",'HCT2'!Z12)</f>
        <v/>
      </c>
      <c r="CE12" s="26" t="str">
        <f>IF(ISBLANK('HCT2'!AA12),"",'HCT2'!AA12)</f>
        <v/>
      </c>
      <c r="CF12" s="26" t="str">
        <f>IF(ISBLANK('HCT2'!AB12),"",'HCT2'!AB12)</f>
        <v/>
      </c>
      <c r="CG12" s="940" t="str">
        <f>IF(ISBLANK('HCT2'!AC12),"",'HCT2'!AC12)</f>
        <v/>
      </c>
      <c r="CH12" s="26" t="str">
        <f>IF(ISBLANK('HCT2'!AD12),"",'HCT2'!AD12)</f>
        <v/>
      </c>
      <c r="CI12" s="26" t="str">
        <f>IF(ISBLANK('HCT2'!AE12),"",'HCT2'!AE12)</f>
        <v/>
      </c>
      <c r="CJ12" s="26" t="str">
        <f>IF(ISBLANK('HCT2'!AF12),"",'HCT2'!AF12)</f>
        <v/>
      </c>
      <c r="CK12" s="899" t="str">
        <f>IF(ISBLANK('HCT2'!AG12),"",'HCT2'!AG12)</f>
        <v/>
      </c>
      <c r="CL12" s="26" t="str">
        <f>IF(ISBLANK('HCT2'!AH12),"",'HCT2'!AH12)</f>
        <v/>
      </c>
      <c r="CM12" s="26" t="str">
        <f>IF(ISBLANK('HCT2'!AI12),"",'HCT2'!AI12)</f>
        <v/>
      </c>
      <c r="CN12" s="899" t="str">
        <f>IF(ISBLANK('HCT2'!AJ12),"",'HCT2'!AJ12)</f>
        <v/>
      </c>
      <c r="CO12" s="26" t="str">
        <f>IF(ISBLANK('HCT2'!AK12),"",'HCT2'!AK12)</f>
        <v/>
      </c>
      <c r="CP12" s="26" t="str">
        <f>IF(ISBLANK('HCT2'!AL12),"",'HCT2'!AL12)</f>
        <v/>
      </c>
      <c r="CQ12" s="26" t="str">
        <f>IF(ISBLANK('HCT2'!AM12),"",'HCT2'!AM12)</f>
        <v/>
      </c>
      <c r="CR12" s="502" t="str">
        <f>IF(ISBLANK('HCT2'!AN12),"",'HCT2'!AN12)</f>
        <v/>
      </c>
      <c r="CS12" s="1117" t="str">
        <f>IF(ISBLANK('HCT2'!AO12),"",'HCT2'!AO12)</f>
        <v/>
      </c>
      <c r="CT12" s="1118" t="str">
        <f>IF(ISBLANK('HCT2'!AP12),"",'HCT2'!AP12)</f>
        <v/>
      </c>
      <c r="CU12" s="967" t="str">
        <f>IF(ISBLANK('HCT2'!AQ12),"",'HCT2'!AQ12)</f>
        <v/>
      </c>
      <c r="CV12" s="1135" t="str">
        <f>IF(ISBLANK('HCT2'!AR12),"",'HCT2'!AR12)</f>
        <v/>
      </c>
      <c r="CW12" s="77" t="e">
        <f>IF(ISBLANK(Récap1!#REF!),"",Récap1!#REF!)</f>
        <v>#REF!</v>
      </c>
      <c r="CX12" s="77" t="e">
        <f>IF(ISBLANK(Récap1!#REF!),"",Récap1!#REF!)</f>
        <v>#REF!</v>
      </c>
      <c r="CY12" s="26" t="e">
        <f>IF(ISBLANK(Récap1!#REF!),"",Récap1!#REF!)</f>
        <v>#REF!</v>
      </c>
      <c r="CZ12" s="26" t="e">
        <f>IF(ISBLANK(Récap1!#REF!),"",Récap1!#REF!)</f>
        <v>#REF!</v>
      </c>
      <c r="DA12" s="26" t="e">
        <f>IF(ISBLANK(Récap1!#REF!),"",Récap1!#REF!)</f>
        <v>#REF!</v>
      </c>
      <c r="DB12" s="26" t="e">
        <f>IF(ISBLANK(Récap1!#REF!),"",Récap1!#REF!)</f>
        <v>#REF!</v>
      </c>
      <c r="DC12" s="77" t="str">
        <f>IF(ISBLANK('HCT2'!AS12),"",'HCT2'!AS12)</f>
        <v/>
      </c>
      <c r="DD12" s="26" t="str">
        <f>IF(ISBLANK('HCT2'!AT12),"",'HCT2'!AT12)</f>
        <v/>
      </c>
      <c r="DE12" s="26" t="str">
        <f>IF(ISBLANK('HCT2'!AU12),"",'HCT2'!AU12)</f>
        <v/>
      </c>
      <c r="DF12" s="26" t="str">
        <f>IF(ISBLANK('HCT2'!AV12),"",'HCT2'!AV12)</f>
        <v/>
      </c>
      <c r="DG12" s="26" t="str">
        <f>IF(ISBLANK('HCT2'!AW12),"",'HCT2'!AW12)</f>
        <v/>
      </c>
      <c r="DH12" s="26" t="str">
        <f>IF(ISBLANK('HCT2'!AX12),"",'HCT2'!AX12)</f>
        <v/>
      </c>
      <c r="DI12" s="26" t="str">
        <f>IF(ISBLANK('HCT2'!AY12),"",'HCT2'!AY12)</f>
        <v/>
      </c>
      <c r="DJ12" s="898" t="str">
        <f>IF(ISBLANK('HCT2'!AZ12),"",'HCT2'!AZ12)</f>
        <v/>
      </c>
      <c r="DK12" s="26" t="str">
        <f>IF(ISBLANK('HCT2'!BA12),"",'HCT2'!BA12)</f>
        <v/>
      </c>
      <c r="DL12" s="26" t="str">
        <f>IF(ISBLANK('HCT2'!BB12),"",'HCT2'!BB12)</f>
        <v/>
      </c>
      <c r="DM12" s="899" t="str">
        <f>IF(ISBLANK('HCT2'!BC12),"",'HCT2'!BC12)</f>
        <v/>
      </c>
      <c r="DN12" s="950" t="str">
        <f>IF(ISBLANK('HCT2'!BD12),"",'HCT2'!BD12)</f>
        <v/>
      </c>
      <c r="DO12" s="59" t="str">
        <f>IF(ISBLANK('HCT2'!BE12),"",'HCT2'!BE12)</f>
        <v/>
      </c>
      <c r="DP12" s="958" t="str">
        <f>IF(ISBLANK('HCT2'!BF12),"",'HCT2'!BF12)</f>
        <v/>
      </c>
      <c r="DQ12" s="920"/>
      <c r="DS12" s="56">
        <f>ExpoRisk!DQ408</f>
        <v>0</v>
      </c>
      <c r="DT12" s="56">
        <f>ExpoRisk!DR408</f>
        <v>0</v>
      </c>
      <c r="DU12" s="56">
        <f>ExpoRisk!DS408</f>
        <v>0</v>
      </c>
      <c r="DV12" s="870">
        <f>ExpoRisk!DT408</f>
        <v>0</v>
      </c>
      <c r="DW12" s="56">
        <f>ExpoRisk!DU408</f>
        <v>0</v>
      </c>
      <c r="DX12" s="56">
        <f>ExpoRisk!DV408</f>
        <v>0</v>
      </c>
      <c r="DY12" s="56">
        <f>ExpoRisk!DW408</f>
        <v>0</v>
      </c>
    </row>
    <row r="13" spans="1:129" s="26" customFormat="1" hidden="1">
      <c r="A13" s="482"/>
      <c r="B13" s="27"/>
      <c r="C13" s="138"/>
      <c r="D13" s="195"/>
      <c r="E13" s="14" t="str">
        <f>IF(ISBLANK(Récap1!E13),"",Récap1!E13)</f>
        <v>Teneur limite (effet sans seuil)</v>
      </c>
      <c r="F13" s="14" t="str">
        <f>IF(ISBLANK(Récap1!F13),"",Récap1!F13)</f>
        <v>Cs</v>
      </c>
      <c r="G13" s="14" t="str">
        <f>IF(ISBLANK(Récap1!G13),"",Récap1!G13)</f>
        <v>mg/kg ms</v>
      </c>
      <c r="H13" s="85" t="str">
        <f>IF(ISBLANK(Récap1!H13),"",Récap1!H13)</f>
        <v>PVL</v>
      </c>
      <c r="I13" s="56" t="str">
        <f>IF(ISBLANK(Récap1!I13),"",Récap1!I13)</f>
        <v>PVL</v>
      </c>
      <c r="J13" s="56" t="str">
        <f>IF(ISBLANK(Récap1!J13),"",Récap1!J13)</f>
        <v>PVL</v>
      </c>
      <c r="K13" s="85">
        <f>IF(ISBLANK(Récap1!K13),"",Récap1!K13)</f>
        <v>0.22361709401709404</v>
      </c>
      <c r="L13" s="56" t="str">
        <f>IF(ISBLANK(Récap1!L13),"",Récap1!L13)</f>
        <v>PVL</v>
      </c>
      <c r="M13" s="56" t="str">
        <f>IF(ISBLANK(Récap1!M13),"",Récap1!M13)</f>
        <v>PVL</v>
      </c>
      <c r="N13" s="56">
        <f>IF(ISBLANK(Récap1!N13),"",Récap1!N13)</f>
        <v>0.111808547008547</v>
      </c>
      <c r="O13" s="56">
        <f>IF(ISBLANK(Récap1!O13),"",Récap1!O13)</f>
        <v>0.111808547008547</v>
      </c>
      <c r="P13" s="56">
        <f>IF(ISBLANK(Récap1!P13),"",Récap1!P13)</f>
        <v>3.7901202375778646E-2</v>
      </c>
      <c r="Q13" s="56">
        <f>IF(ISBLANK(Récap1!Q13),"",Récap1!Q13)</f>
        <v>3.7901202375778646E-2</v>
      </c>
      <c r="R13" s="56">
        <f>IF(ISBLANK(Récap1!R13),"",Récap1!R13)</f>
        <v>0.22361709401709401</v>
      </c>
      <c r="S13" s="56">
        <f>IF(ISBLANK(Récap1!S13),"",Récap1!S13)</f>
        <v>9.7224823485693047E-3</v>
      </c>
      <c r="T13" s="56">
        <f>IF(ISBLANK(Récap1!T13),"",Récap1!T13)</f>
        <v>9.7224823485693047E-3</v>
      </c>
      <c r="U13" s="56">
        <f>IF(ISBLANK(Récap1!U13),"",Récap1!U13)</f>
        <v>5.3242165242165249E-3</v>
      </c>
      <c r="V13" s="681" t="str">
        <f>IF(ISBLANK(Récap1!V13),"",Récap1!V13)</f>
        <v>PVL</v>
      </c>
      <c r="W13" s="56" t="str">
        <f>IF(ISBLANK(Récap1!W13),"",Récap1!W13)</f>
        <v>PVL</v>
      </c>
      <c r="X13" s="56">
        <f>IF(ISBLANK(Récap1!X13),"",Récap1!X13)</f>
        <v>3.7269515669515668E-2</v>
      </c>
      <c r="Y13" s="56" t="str">
        <f>IF(ISBLANK(Récap1!Y13),"",Récap1!Y13)</f>
        <v>PVL</v>
      </c>
      <c r="Z13" s="56">
        <f>IF(ISBLANK(Récap1!Z13),"",Récap1!Z13)</f>
        <v>8.9446837606837595E-2</v>
      </c>
      <c r="AA13" s="57" t="str">
        <f>IF(ISBLANK(Récap1!AA13),"",Récap1!AA13)</f>
        <v>PVL</v>
      </c>
      <c r="AB13" s="56" t="str">
        <f>IF(ISBLANK(Récap1!AB13),"",Récap1!AB13)</f>
        <v>PVL</v>
      </c>
      <c r="AC13" s="870" t="str">
        <f>IF(ISBLANK(Récap1!AC13),"",Récap1!AC13)</f>
        <v>PVL</v>
      </c>
      <c r="AD13" s="56" t="str">
        <f>IF(ISBLANK(Récap1!AD13),"",Récap1!AD13)</f>
        <v>PVL</v>
      </c>
      <c r="AE13" s="56" t="str">
        <f>IF(ISBLANK(Récap1!AE13),"",Récap1!AE13)</f>
        <v>PVL</v>
      </c>
      <c r="AF13" s="871" t="str">
        <f>IF(ISBLANK(Récap1!AF13),"",Récap1!AF13)</f>
        <v>PVL</v>
      </c>
      <c r="AG13" s="56" t="str">
        <f>IF(ISBLANK(Récap1!AG13),"",Récap1!AG13)</f>
        <v>PVL</v>
      </c>
      <c r="AH13" s="56" t="str">
        <f>IF(ISBLANK(Récap1!AH13),"",Récap1!AH13)</f>
        <v>PVL</v>
      </c>
      <c r="AI13" s="56" t="str">
        <f>IF(ISBLANK(Récap1!AI13),"",Récap1!AI13)</f>
        <v>PVL</v>
      </c>
      <c r="AJ13" s="870" t="str">
        <f>IF(ISBLANK(Récap1!AJ13),"",Récap1!AJ13)</f>
        <v>PVL</v>
      </c>
      <c r="AK13" s="56" t="str">
        <f>IF(ISBLANK(Récap1!AK13),"",Récap1!AK13)</f>
        <v>PVL</v>
      </c>
      <c r="AL13" s="56" t="str">
        <f>IF(ISBLANK(Récap1!AL13),"",Récap1!AL13)</f>
        <v>PVL</v>
      </c>
      <c r="AM13" s="56" t="str">
        <f>IF(ISBLANK(Récap1!AM13),"",Récap1!AM13)</f>
        <v>PVL</v>
      </c>
      <c r="AN13" s="85">
        <f>IF(ISBLANK(Récap1!AN13),"",Récap1!AN13)</f>
        <v>7.8671982858851946E-3</v>
      </c>
      <c r="AO13" s="56">
        <f>IF(ISBLANK(Récap1!AO13),"",Récap1!AO13)</f>
        <v>0.35385182692510897</v>
      </c>
      <c r="AP13" s="56">
        <f>IF(ISBLANK(Récap1!AP13),"",Récap1!AP13)</f>
        <v>0.26853169254744086</v>
      </c>
      <c r="AQ13" s="56">
        <f>IF(ISBLANK(Récap1!AQ13),"",Récap1!AQ13)</f>
        <v>0.43806740620290796</v>
      </c>
      <c r="AR13" s="56">
        <f>IF(ISBLANK(Récap1!AR13),"",Récap1!AR13)</f>
        <v>1.042442704850131</v>
      </c>
      <c r="AS13" s="56">
        <f>IF(ISBLANK(Récap1!AS13),"",Récap1!AS13)</f>
        <v>9.0760915771406867E-2</v>
      </c>
      <c r="AT13" s="56">
        <f>IF(ISBLANK(Récap1!AT13),"",Récap1!AT13)</f>
        <v>3.971021830234843</v>
      </c>
      <c r="AU13" s="56">
        <f>IF(ISBLANK(Récap1!AU13),"",Récap1!AU13)</f>
        <v>4.0646858248000601</v>
      </c>
      <c r="AV13" s="56">
        <f>IF(ISBLANK(Récap1!AV13),"",Récap1!AV13)</f>
        <v>0.1349434602334901</v>
      </c>
      <c r="AW13" s="56">
        <f>IF(ISBLANK(Récap1!AW13),"",Récap1!AW13)</f>
        <v>1.3858432594362644</v>
      </c>
      <c r="AX13" s="56">
        <f>IF(ISBLANK(Récap1!AX13),"",Récap1!AX13)</f>
        <v>2.4510511694421173</v>
      </c>
      <c r="AY13" s="56">
        <f>IF(ISBLANK(Récap1!AY13),"",Récap1!AY13)</f>
        <v>3.5304807806879701</v>
      </c>
      <c r="AZ13" s="56">
        <f>IF(ISBLANK(Récap1!AZ13),"",Récap1!AZ13)</f>
        <v>0.524139860570214</v>
      </c>
      <c r="BA13" s="56">
        <f>IF(ISBLANK(Récap1!BA13),"",Récap1!BA13)</f>
        <v>2.9905080727559969</v>
      </c>
      <c r="BB13" s="56">
        <f>IF(ISBLANK(Récap1!BB13),"",Récap1!BB13)</f>
        <v>19.73690234573062</v>
      </c>
      <c r="BC13" s="57">
        <f>IF(ISBLANK(Récap1!BC13),"",Récap1!BC13)</f>
        <v>7098030.9905891037</v>
      </c>
      <c r="BD13" s="85" t="str">
        <f>IF(ISBLANK(Récap1!BD13),"",Récap1!BD13)</f>
        <v>PVL</v>
      </c>
      <c r="BE13" s="56">
        <f>IF(ISBLANK(Récap1!BE13),"",Récap1!BE13)</f>
        <v>1.3982805611102714E-2</v>
      </c>
      <c r="BF13" s="56">
        <f>IF(ISBLANK(Récap1!BF13),"",Récap1!BF13)</f>
        <v>2.7965611222205429E-2</v>
      </c>
      <c r="BG13" s="56" t="str">
        <f>IF(ISBLANK(Récap1!BG13),"",Récap1!BG13)</f>
        <v>PVL</v>
      </c>
      <c r="BH13" s="608" t="str">
        <f>IF(ISBLANK(Récap1!BH13),"",Récap1!BH13)</f>
        <v>PVL</v>
      </c>
      <c r="BI13" s="56" t="str">
        <f>IF(ISBLANK(Récap1!BI13),"",Récap1!BI13)</f>
        <v>PVL</v>
      </c>
      <c r="BJ13" s="26" t="e">
        <f>IF(ISBLANK(Récap1!#REF!),"",Récap1!#REF!)</f>
        <v>#REF!</v>
      </c>
      <c r="BK13" s="26" t="e">
        <f>IF(ISBLANK(Récap1!#REF!),"",Récap1!#REF!)</f>
        <v>#REF!</v>
      </c>
      <c r="BL13" s="56">
        <f>IF(ISBLANK('HCT2'!H13),"",'HCT2'!H13)</f>
        <v>0</v>
      </c>
      <c r="BM13" s="56">
        <f>IF(ISBLANK('HCT2'!I13),"",'HCT2'!I13)</f>
        <v>0</v>
      </c>
      <c r="BN13" s="56">
        <f>IF(ISBLANK('HCT2'!J13),"",'HCT2'!J13)</f>
        <v>0</v>
      </c>
      <c r="BO13" s="57">
        <f>IF(ISBLANK('HCT2'!K13),"",'HCT2'!K13)</f>
        <v>0</v>
      </c>
      <c r="BP13" s="56">
        <f>IF(ISBLANK('HCT2'!L13),"",'HCT2'!L13)</f>
        <v>0</v>
      </c>
      <c r="BQ13" s="870">
        <f>IF(ISBLANK('HCT2'!M13),"",'HCT2'!M13)</f>
        <v>0</v>
      </c>
      <c r="BR13" s="56">
        <f>IF(ISBLANK('HCT2'!N13),"",'HCT2'!N13)</f>
        <v>0</v>
      </c>
      <c r="BS13" s="56">
        <f>IF(ISBLANK('HCT2'!O13),"",'HCT2'!O13)</f>
        <v>0</v>
      </c>
      <c r="BT13" s="871">
        <f>IF(ISBLANK('HCT2'!P13),"",'HCT2'!P13)</f>
        <v>0</v>
      </c>
      <c r="BU13" s="56">
        <f>IF(ISBLANK('HCT2'!Q13),"",'HCT2'!Q13)</f>
        <v>0</v>
      </c>
      <c r="BV13" s="56">
        <f>IF(ISBLANK('HCT2'!R13),"",'HCT2'!R13)</f>
        <v>0</v>
      </c>
      <c r="BW13" s="56">
        <f>IF(ISBLANK('HCT2'!S13),"",'HCT2'!S13)</f>
        <v>0</v>
      </c>
      <c r="BX13" s="870">
        <f>IF(ISBLANK('HCT2'!T13),"",'HCT2'!T13)</f>
        <v>0</v>
      </c>
      <c r="BY13" s="56">
        <f>IF(ISBLANK('HCT2'!U13),"",'HCT2'!U13)</f>
        <v>0</v>
      </c>
      <c r="BZ13" s="56">
        <f>IF(ISBLANK('HCT2'!V13),"",'HCT2'!V13)</f>
        <v>0</v>
      </c>
      <c r="CA13" s="56">
        <f>IF(ISBLANK('HCT2'!W13),"",'HCT2'!W13)</f>
        <v>0</v>
      </c>
      <c r="CB13" s="26" t="str">
        <f>IF(ISBLANK('HCT2'!X13),"",'HCT2'!X13)</f>
        <v/>
      </c>
      <c r="CC13" s="77" t="str">
        <f>IF(ISBLANK('HCT2'!Y13),"",'HCT2'!Y13)</f>
        <v/>
      </c>
      <c r="CD13" s="1086" t="str">
        <f>IF(ISBLANK('HCT2'!Z13),"",'HCT2'!Z13)</f>
        <v/>
      </c>
      <c r="CE13" s="26" t="str">
        <f>IF(ISBLANK('HCT2'!AA13),"",'HCT2'!AA13)</f>
        <v/>
      </c>
      <c r="CF13" s="26" t="str">
        <f>IF(ISBLANK('HCT2'!AB13),"",'HCT2'!AB13)</f>
        <v/>
      </c>
      <c r="CG13" s="940" t="str">
        <f>IF(ISBLANK('HCT2'!AC13),"",'HCT2'!AC13)</f>
        <v/>
      </c>
      <c r="CH13" s="26" t="str">
        <f>IF(ISBLANK('HCT2'!AD13),"",'HCT2'!AD13)</f>
        <v/>
      </c>
      <c r="CI13" s="26" t="str">
        <f>IF(ISBLANK('HCT2'!AE13),"",'HCT2'!AE13)</f>
        <v/>
      </c>
      <c r="CJ13" s="26" t="str">
        <f>IF(ISBLANK('HCT2'!AF13),"",'HCT2'!AF13)</f>
        <v/>
      </c>
      <c r="CK13" s="899" t="str">
        <f>IF(ISBLANK('HCT2'!AG13),"",'HCT2'!AG13)</f>
        <v/>
      </c>
      <c r="CL13" s="26" t="str">
        <f>IF(ISBLANK('HCT2'!AH13),"",'HCT2'!AH13)</f>
        <v/>
      </c>
      <c r="CM13" s="26" t="str">
        <f>IF(ISBLANK('HCT2'!AI13),"",'HCT2'!AI13)</f>
        <v/>
      </c>
      <c r="CN13" s="899" t="str">
        <f>IF(ISBLANK('HCT2'!AJ13),"",'HCT2'!AJ13)</f>
        <v/>
      </c>
      <c r="CO13" s="26" t="str">
        <f>IF(ISBLANK('HCT2'!AK13),"",'HCT2'!AK13)</f>
        <v/>
      </c>
      <c r="CP13" s="26" t="str">
        <f>IF(ISBLANK('HCT2'!AL13),"",'HCT2'!AL13)</f>
        <v/>
      </c>
      <c r="CQ13" s="26" t="str">
        <f>IF(ISBLANK('HCT2'!AM13),"",'HCT2'!AM13)</f>
        <v/>
      </c>
      <c r="CR13" s="502" t="str">
        <f>IF(ISBLANK('HCT2'!AN13),"",'HCT2'!AN13)</f>
        <v/>
      </c>
      <c r="CS13" s="1117" t="str">
        <f>IF(ISBLANK('HCT2'!AO13),"",'HCT2'!AO13)</f>
        <v/>
      </c>
      <c r="CT13" s="1118" t="str">
        <f>IF(ISBLANK('HCT2'!AP13),"",'HCT2'!AP13)</f>
        <v/>
      </c>
      <c r="CU13" s="967" t="str">
        <f>IF(ISBLANK('HCT2'!AQ13),"",'HCT2'!AQ13)</f>
        <v/>
      </c>
      <c r="CV13" s="1135" t="str">
        <f>IF(ISBLANK('HCT2'!AR13),"",'HCT2'!AR13)</f>
        <v/>
      </c>
      <c r="CW13" s="77" t="e">
        <f>IF(ISBLANK(Récap1!#REF!),"",Récap1!#REF!)</f>
        <v>#REF!</v>
      </c>
      <c r="CX13" s="77" t="e">
        <f>IF(ISBLANK(Récap1!#REF!),"",Récap1!#REF!)</f>
        <v>#REF!</v>
      </c>
      <c r="CY13" s="26" t="e">
        <f>IF(ISBLANK(Récap1!#REF!),"",Récap1!#REF!)</f>
        <v>#REF!</v>
      </c>
      <c r="CZ13" s="26" t="e">
        <f>IF(ISBLANK(Récap1!#REF!),"",Récap1!#REF!)</f>
        <v>#REF!</v>
      </c>
      <c r="DA13" s="26" t="e">
        <f>IF(ISBLANK(Récap1!#REF!),"",Récap1!#REF!)</f>
        <v>#REF!</v>
      </c>
      <c r="DB13" s="26" t="e">
        <f>IF(ISBLANK(Récap1!#REF!),"",Récap1!#REF!)</f>
        <v>#REF!</v>
      </c>
      <c r="DC13" s="77" t="str">
        <f>IF(ISBLANK('HCT2'!AS13),"",'HCT2'!AS13)</f>
        <v/>
      </c>
      <c r="DD13" s="26" t="str">
        <f>IF(ISBLANK('HCT2'!AT13),"",'HCT2'!AT13)</f>
        <v/>
      </c>
      <c r="DE13" s="26" t="str">
        <f>IF(ISBLANK('HCT2'!AU13),"",'HCT2'!AU13)</f>
        <v/>
      </c>
      <c r="DF13" s="26" t="str">
        <f>IF(ISBLANK('HCT2'!AV13),"",'HCT2'!AV13)</f>
        <v/>
      </c>
      <c r="DG13" s="26" t="str">
        <f>IF(ISBLANK('HCT2'!AW13),"",'HCT2'!AW13)</f>
        <v/>
      </c>
      <c r="DH13" s="26" t="str">
        <f>IF(ISBLANK('HCT2'!AX13),"",'HCT2'!AX13)</f>
        <v/>
      </c>
      <c r="DI13" s="26" t="str">
        <f>IF(ISBLANK('HCT2'!AY13),"",'HCT2'!AY13)</f>
        <v/>
      </c>
      <c r="DJ13" s="898" t="str">
        <f>IF(ISBLANK('HCT2'!AZ13),"",'HCT2'!AZ13)</f>
        <v/>
      </c>
      <c r="DK13" s="26" t="str">
        <f>IF(ISBLANK('HCT2'!BA13),"",'HCT2'!BA13)</f>
        <v/>
      </c>
      <c r="DL13" s="26" t="str">
        <f>IF(ISBLANK('HCT2'!BB13),"",'HCT2'!BB13)</f>
        <v/>
      </c>
      <c r="DM13" s="899" t="str">
        <f>IF(ISBLANK('HCT2'!BC13),"",'HCT2'!BC13)</f>
        <v/>
      </c>
      <c r="DN13" s="950" t="str">
        <f>IF(ISBLANK('HCT2'!BD13),"",'HCT2'!BD13)</f>
        <v/>
      </c>
      <c r="DO13" s="59" t="str">
        <f>IF(ISBLANK('HCT2'!BE13),"",'HCT2'!BE13)</f>
        <v/>
      </c>
      <c r="DP13" s="958" t="str">
        <f>IF(ISBLANK('HCT2'!BF13),"",'HCT2'!BF13)</f>
        <v/>
      </c>
      <c r="DQ13" s="920"/>
      <c r="DS13" s="56">
        <f>ExpoRisk!DQ409</f>
        <v>0</v>
      </c>
      <c r="DT13" s="56">
        <f>ExpoRisk!DR409</f>
        <v>0</v>
      </c>
      <c r="DU13" s="56">
        <f>ExpoRisk!DS409</f>
        <v>0</v>
      </c>
      <c r="DV13" s="870">
        <f>ExpoRisk!DT409</f>
        <v>0</v>
      </c>
      <c r="DW13" s="56">
        <f>ExpoRisk!DU409</f>
        <v>0</v>
      </c>
      <c r="DX13" s="56">
        <f>ExpoRisk!DV409</f>
        <v>0</v>
      </c>
      <c r="DY13" s="56">
        <f>ExpoRisk!DW409</f>
        <v>0</v>
      </c>
    </row>
    <row r="14" spans="1:129" s="26" customFormat="1" hidden="1">
      <c r="A14" s="17"/>
      <c r="B14" s="27"/>
      <c r="C14" s="138"/>
      <c r="D14" s="195"/>
      <c r="E14" s="14" t="str">
        <f>IF(ISBLANK(Récap1!E14),"",Récap1!E14)</f>
        <v>Teneur limite avant contrôle de la saturation</v>
      </c>
      <c r="F14" s="14" t="str">
        <f>IF(ISBLANK(Récap1!F14),"",Récap1!F14)</f>
        <v>Cs</v>
      </c>
      <c r="G14" s="14" t="str">
        <f>IF(ISBLANK(Récap1!G14),"",Récap1!G14)</f>
        <v>mg/kg ms</v>
      </c>
      <c r="H14" s="119">
        <f>IF(ISBLANK(Récap1!H14),"",Récap1!H14)</f>
        <v>2.6862521347215629</v>
      </c>
      <c r="I14" s="113">
        <f>IF(ISBLANK(Récap1!I14),"",Récap1!I14)</f>
        <v>2.6862521347215629</v>
      </c>
      <c r="J14" s="113">
        <f>IF(ISBLANK(Récap1!J14),"",Récap1!J14)</f>
        <v>23.689265099920028</v>
      </c>
      <c r="K14" s="119">
        <f>IF(ISBLANK(Récap1!K14),"",Récap1!K14)</f>
        <v>3.5778735042735051E-2</v>
      </c>
      <c r="L14" s="113">
        <f>IF(ISBLANK(Récap1!L14),"",Récap1!L14)</f>
        <v>3.8334358974358967E-2</v>
      </c>
      <c r="M14" s="113">
        <f>IF(ISBLANK(Récap1!M14),"",Récap1!M14)</f>
        <v>3.8334358974358967E-2</v>
      </c>
      <c r="N14" s="113">
        <f>IF(ISBLANK(Récap1!N14),"",Récap1!N14)</f>
        <v>0.111808547008547</v>
      </c>
      <c r="O14" s="113">
        <f>IF(ISBLANK(Récap1!O14),"",Récap1!O14)</f>
        <v>0.111808547008547</v>
      </c>
      <c r="P14" s="113">
        <f>IF(ISBLANK(Récap1!P14),"",Récap1!P14)</f>
        <v>2.2361709401709406E-2</v>
      </c>
      <c r="Q14" s="113">
        <f>IF(ISBLANK(Récap1!Q14),"",Récap1!Q14)</f>
        <v>2.2361709401709406E-2</v>
      </c>
      <c r="R14" s="113">
        <f>IF(ISBLANK(Récap1!R14),"",Récap1!R14)</f>
        <v>0.22361709401709401</v>
      </c>
      <c r="S14" s="113">
        <f>IF(ISBLANK(Récap1!S14),"",Récap1!S14)</f>
        <v>9.7224823485693047E-3</v>
      </c>
      <c r="T14" s="113">
        <f>IF(ISBLANK(Récap1!T14),"",Récap1!T14)</f>
        <v>9.7224823485693047E-3</v>
      </c>
      <c r="U14" s="113">
        <f>IF(ISBLANK(Récap1!U14),"",Récap1!U14)</f>
        <v>5.3242165242165249E-3</v>
      </c>
      <c r="V14" s="670">
        <f>IF(ISBLANK(Récap1!V14),"",Récap1!V14)</f>
        <v>0.63890598290598299</v>
      </c>
      <c r="W14" s="113">
        <f>IF(ISBLANK(Récap1!W14),"",Récap1!W14)</f>
        <v>0.63890598290598299</v>
      </c>
      <c r="X14" s="113">
        <f>IF(ISBLANK(Récap1!X14),"",Récap1!X14)</f>
        <v>6.133497435897437E-3</v>
      </c>
      <c r="Y14" s="113">
        <f>IF(ISBLANK(Récap1!Y14),"",Récap1!Y14)</f>
        <v>0.1661155555555556</v>
      </c>
      <c r="Z14" s="113">
        <f>IF(ISBLANK(Récap1!Z14),"",Récap1!Z14)</f>
        <v>8.9446837606837595E-2</v>
      </c>
      <c r="AA14" s="120">
        <f>IF(ISBLANK(Récap1!AA14),"",Récap1!AA14)</f>
        <v>0.44723418803418796</v>
      </c>
      <c r="AB14" s="113">
        <f>IF(ISBLANK(Récap1!AB14),"",Récap1!AB14)</f>
        <v>0.1277811965811966</v>
      </c>
      <c r="AC14" s="872">
        <f>IF(ISBLANK(Récap1!AC14),"",Récap1!AC14)</f>
        <v>0.22469249961757626</v>
      </c>
      <c r="AD14" s="113">
        <f>IF(ISBLANK(Récap1!AD14),"",Récap1!AD14)</f>
        <v>0.54361022992838193</v>
      </c>
      <c r="AE14" s="113" t="str">
        <f>IF(ISBLANK(Récap1!AE14),"",Récap1!AE14)</f>
        <v>PVL</v>
      </c>
      <c r="AF14" s="873" t="str">
        <f>IF(ISBLANK(Récap1!AF14),"",Récap1!AF14)</f>
        <v>PVL</v>
      </c>
      <c r="AG14" s="113">
        <f>IF(ISBLANK(Récap1!AG14),"",Récap1!AG14)</f>
        <v>11.755870085470084</v>
      </c>
      <c r="AH14" s="113">
        <f>IF(ISBLANK(Récap1!AH14),"",Récap1!AH14)</f>
        <v>11.755870085470086</v>
      </c>
      <c r="AI14" s="113">
        <f>IF(ISBLANK(Récap1!AI14),"",Récap1!AI14)</f>
        <v>0.63890598290598288</v>
      </c>
      <c r="AJ14" s="872">
        <f>IF(ISBLANK(Récap1!AJ14),"",Récap1!AJ14)</f>
        <v>0.63890598290598299</v>
      </c>
      <c r="AK14" s="113">
        <f>IF(ISBLANK(Récap1!AK14),"",Récap1!AK14)</f>
        <v>0.80502312779519747</v>
      </c>
      <c r="AL14" s="113" t="str">
        <f>IF(ISBLANK(Récap1!AL14),"",Récap1!AL14)</f>
        <v>PVL</v>
      </c>
      <c r="AM14" s="113" t="str">
        <f>IF(ISBLANK(Récap1!AM14),"",Récap1!AM14)</f>
        <v>PVL</v>
      </c>
      <c r="AN14" s="119">
        <f>IF(ISBLANK(Récap1!AN14),"",Récap1!AN14)</f>
        <v>7.8671982858851946E-3</v>
      </c>
      <c r="AO14" s="113">
        <f>IF(ISBLANK(Récap1!AO14),"",Récap1!AO14)</f>
        <v>0.35385182692510897</v>
      </c>
      <c r="AP14" s="113">
        <f>IF(ISBLANK(Récap1!AP14),"",Récap1!AP14)</f>
        <v>0.26853169254744086</v>
      </c>
      <c r="AQ14" s="113">
        <f>IF(ISBLANK(Récap1!AQ14),"",Récap1!AQ14)</f>
        <v>0.43806740620290796</v>
      </c>
      <c r="AR14" s="113">
        <f>IF(ISBLANK(Récap1!AR14),"",Récap1!AR14)</f>
        <v>1.042442704850131</v>
      </c>
      <c r="AS14" s="113">
        <f>IF(ISBLANK(Récap1!AS14),"",Récap1!AS14)</f>
        <v>9.0760915771406867E-2</v>
      </c>
      <c r="AT14" s="113">
        <f>IF(ISBLANK(Récap1!AT14),"",Récap1!AT14)</f>
        <v>3.971021830234843</v>
      </c>
      <c r="AU14" s="113">
        <f>IF(ISBLANK(Récap1!AU14),"",Récap1!AU14)</f>
        <v>4.0646858248000601</v>
      </c>
      <c r="AV14" s="113">
        <f>IF(ISBLANK(Récap1!AV14),"",Récap1!AV14)</f>
        <v>0.1349434602334901</v>
      </c>
      <c r="AW14" s="113">
        <f>IF(ISBLANK(Récap1!AW14),"",Récap1!AW14)</f>
        <v>1.3858432594362644</v>
      </c>
      <c r="AX14" s="113">
        <f>IF(ISBLANK(Récap1!AX14),"",Récap1!AX14)</f>
        <v>2.4510511694421173</v>
      </c>
      <c r="AY14" s="113">
        <f>IF(ISBLANK(Récap1!AY14),"",Récap1!AY14)</f>
        <v>3.5304807806879701</v>
      </c>
      <c r="AZ14" s="113">
        <f>IF(ISBLANK(Récap1!AZ14),"",Récap1!AZ14)</f>
        <v>0.524139860570214</v>
      </c>
      <c r="BA14" s="113">
        <f>IF(ISBLANK(Récap1!BA14),"",Récap1!BA14)</f>
        <v>2.9905080727559969</v>
      </c>
      <c r="BB14" s="113">
        <f>IF(ISBLANK(Récap1!BB14),"",Récap1!BB14)</f>
        <v>19.73690234573062</v>
      </c>
      <c r="BC14" s="120">
        <f>IF(ISBLANK(Récap1!BC14),"",Récap1!BC14)</f>
        <v>7098030.9905891037</v>
      </c>
      <c r="BD14" s="119">
        <f>IF(ISBLANK(Récap1!BD14),"",Récap1!BD14)</f>
        <v>0.95542172863999142</v>
      </c>
      <c r="BE14" s="113">
        <f>IF(ISBLANK(Récap1!BE14),"",Récap1!BE14)</f>
        <v>1.3982805611102714E-2</v>
      </c>
      <c r="BF14" s="113">
        <f>IF(ISBLANK(Récap1!BF14),"",Récap1!BF14)</f>
        <v>2.7965611222205429E-2</v>
      </c>
      <c r="BG14" s="113">
        <f>IF(ISBLANK(Récap1!BG14),"",Récap1!BG14)</f>
        <v>1.9167179487179488E-5</v>
      </c>
      <c r="BH14" s="608">
        <f>IF(ISBLANK(Récap1!BH14),"",Récap1!BH14)</f>
        <v>1.2264462146081359E-2</v>
      </c>
      <c r="BI14" s="113">
        <f>IF(ISBLANK(Récap1!BI14),"",Récap1!BI14)</f>
        <v>1.7081245590240702E-2</v>
      </c>
      <c r="BJ14" s="26" t="e">
        <f>IF(ISBLANK(Récap1!#REF!),"",Récap1!#REF!)</f>
        <v>#REF!</v>
      </c>
      <c r="BK14" s="26" t="e">
        <f>IF(ISBLANK(Récap1!#REF!),"",Récap1!#REF!)</f>
        <v>#REF!</v>
      </c>
      <c r="BL14" s="113">
        <f>IF(ISBLANK('HCT2'!H14),"",'HCT2'!H14)</f>
        <v>0</v>
      </c>
      <c r="BM14" s="113">
        <f>IF(ISBLANK('HCT2'!I14),"",'HCT2'!I14)</f>
        <v>0</v>
      </c>
      <c r="BN14" s="113">
        <f>IF(ISBLANK('HCT2'!J14),"",'HCT2'!J14)</f>
        <v>0</v>
      </c>
      <c r="BO14" s="120">
        <f>IF(ISBLANK('HCT2'!K14),"",'HCT2'!K14)</f>
        <v>0</v>
      </c>
      <c r="BP14" s="113">
        <f>IF(ISBLANK('HCT2'!L14),"",'HCT2'!L14)</f>
        <v>0</v>
      </c>
      <c r="BQ14" s="872">
        <f>IF(ISBLANK('HCT2'!M14),"",'HCT2'!M14)</f>
        <v>0</v>
      </c>
      <c r="BR14" s="113">
        <f>IF(ISBLANK('HCT2'!N14),"",'HCT2'!N14)</f>
        <v>0</v>
      </c>
      <c r="BS14" s="113">
        <f>IF(ISBLANK('HCT2'!O14),"",'HCT2'!O14)</f>
        <v>0</v>
      </c>
      <c r="BT14" s="873">
        <f>IF(ISBLANK('HCT2'!P14),"",'HCT2'!P14)</f>
        <v>0</v>
      </c>
      <c r="BU14" s="113">
        <f>IF(ISBLANK('HCT2'!Q14),"",'HCT2'!Q14)</f>
        <v>0</v>
      </c>
      <c r="BV14" s="113">
        <f>IF(ISBLANK('HCT2'!R14),"",'HCT2'!R14)</f>
        <v>0</v>
      </c>
      <c r="BW14" s="113">
        <f>IF(ISBLANK('HCT2'!S14),"",'HCT2'!S14)</f>
        <v>0</v>
      </c>
      <c r="BX14" s="872">
        <f>IF(ISBLANK('HCT2'!T14),"",'HCT2'!T14)</f>
        <v>0</v>
      </c>
      <c r="BY14" s="113">
        <f>IF(ISBLANK('HCT2'!U14),"",'HCT2'!U14)</f>
        <v>0</v>
      </c>
      <c r="BZ14" s="113">
        <f>IF(ISBLANK('HCT2'!V14),"",'HCT2'!V14)</f>
        <v>0</v>
      </c>
      <c r="CA14" s="113">
        <f>IF(ISBLANK('HCT2'!W14),"",'HCT2'!W14)</f>
        <v>0</v>
      </c>
      <c r="CB14" s="26" t="str">
        <f>IF(ISBLANK('HCT2'!X14),"",'HCT2'!X14)</f>
        <v/>
      </c>
      <c r="CC14" s="77" t="str">
        <f>IF(ISBLANK('HCT2'!Y14),"",'HCT2'!Y14)</f>
        <v/>
      </c>
      <c r="CD14" s="1086" t="str">
        <f>IF(ISBLANK('HCT2'!Z14),"",'HCT2'!Z14)</f>
        <v/>
      </c>
      <c r="CE14" s="26" t="str">
        <f>IF(ISBLANK('HCT2'!AA14),"",'HCT2'!AA14)</f>
        <v/>
      </c>
      <c r="CF14" s="26" t="str">
        <f>IF(ISBLANK('HCT2'!AB14),"",'HCT2'!AB14)</f>
        <v/>
      </c>
      <c r="CG14" s="940" t="str">
        <f>IF(ISBLANK('HCT2'!AC14),"",'HCT2'!AC14)</f>
        <v/>
      </c>
      <c r="CH14" s="26" t="str">
        <f>IF(ISBLANK('HCT2'!AD14),"",'HCT2'!AD14)</f>
        <v/>
      </c>
      <c r="CI14" s="26" t="str">
        <f>IF(ISBLANK('HCT2'!AE14),"",'HCT2'!AE14)</f>
        <v/>
      </c>
      <c r="CJ14" s="26" t="str">
        <f>IF(ISBLANK('HCT2'!AF14),"",'HCT2'!AF14)</f>
        <v/>
      </c>
      <c r="CK14" s="899" t="str">
        <f>IF(ISBLANK('HCT2'!AG14),"",'HCT2'!AG14)</f>
        <v/>
      </c>
      <c r="CL14" s="26" t="str">
        <f>IF(ISBLANK('HCT2'!AH14),"",'HCT2'!AH14)</f>
        <v/>
      </c>
      <c r="CM14" s="26" t="str">
        <f>IF(ISBLANK('HCT2'!AI14),"",'HCT2'!AI14)</f>
        <v/>
      </c>
      <c r="CN14" s="899" t="str">
        <f>IF(ISBLANK('HCT2'!AJ14),"",'HCT2'!AJ14)</f>
        <v/>
      </c>
      <c r="CO14" s="26" t="str">
        <f>IF(ISBLANK('HCT2'!AK14),"",'HCT2'!AK14)</f>
        <v/>
      </c>
      <c r="CP14" s="26" t="str">
        <f>IF(ISBLANK('HCT2'!AL14),"",'HCT2'!AL14)</f>
        <v/>
      </c>
      <c r="CQ14" s="26" t="str">
        <f>IF(ISBLANK('HCT2'!AM14),"",'HCT2'!AM14)</f>
        <v/>
      </c>
      <c r="CR14" s="502" t="str">
        <f>IF(ISBLANK('HCT2'!AN14),"",'HCT2'!AN14)</f>
        <v/>
      </c>
      <c r="CS14" s="1117" t="str">
        <f>IF(ISBLANK('HCT2'!AO14),"",'HCT2'!AO14)</f>
        <v/>
      </c>
      <c r="CT14" s="1118" t="str">
        <f>IF(ISBLANK('HCT2'!AP14),"",'HCT2'!AP14)</f>
        <v/>
      </c>
      <c r="CU14" s="967" t="str">
        <f>IF(ISBLANK('HCT2'!AQ14),"",'HCT2'!AQ14)</f>
        <v/>
      </c>
      <c r="CV14" s="1135" t="str">
        <f>IF(ISBLANK('HCT2'!AR14),"",'HCT2'!AR14)</f>
        <v/>
      </c>
      <c r="CW14" s="77" t="e">
        <f>IF(ISBLANK(Récap1!#REF!),"",Récap1!#REF!)</f>
        <v>#REF!</v>
      </c>
      <c r="CX14" s="77" t="e">
        <f>IF(ISBLANK(Récap1!#REF!),"",Récap1!#REF!)</f>
        <v>#REF!</v>
      </c>
      <c r="CY14" s="26" t="e">
        <f>IF(ISBLANK(Récap1!#REF!),"",Récap1!#REF!)</f>
        <v>#REF!</v>
      </c>
      <c r="CZ14" s="26" t="e">
        <f>IF(ISBLANK(Récap1!#REF!),"",Récap1!#REF!)</f>
        <v>#REF!</v>
      </c>
      <c r="DA14" s="26" t="e">
        <f>IF(ISBLANK(Récap1!#REF!),"",Récap1!#REF!)</f>
        <v>#REF!</v>
      </c>
      <c r="DB14" s="26" t="e">
        <f>IF(ISBLANK(Récap1!#REF!),"",Récap1!#REF!)</f>
        <v>#REF!</v>
      </c>
      <c r="DC14" s="77" t="str">
        <f>IF(ISBLANK('HCT2'!AS14),"",'HCT2'!AS14)</f>
        <v/>
      </c>
      <c r="DD14" s="26" t="str">
        <f>IF(ISBLANK('HCT2'!AT14),"",'HCT2'!AT14)</f>
        <v/>
      </c>
      <c r="DE14" s="26" t="str">
        <f>IF(ISBLANK('HCT2'!AU14),"",'HCT2'!AU14)</f>
        <v/>
      </c>
      <c r="DF14" s="26" t="str">
        <f>IF(ISBLANK('HCT2'!AV14),"",'HCT2'!AV14)</f>
        <v/>
      </c>
      <c r="DG14" s="26" t="str">
        <f>IF(ISBLANK('HCT2'!AW14),"",'HCT2'!AW14)</f>
        <v/>
      </c>
      <c r="DH14" s="26" t="str">
        <f>IF(ISBLANK('HCT2'!AX14),"",'HCT2'!AX14)</f>
        <v/>
      </c>
      <c r="DI14" s="26" t="str">
        <f>IF(ISBLANK('HCT2'!AY14),"",'HCT2'!AY14)</f>
        <v/>
      </c>
      <c r="DJ14" s="898" t="str">
        <f>IF(ISBLANK('HCT2'!AZ14),"",'HCT2'!AZ14)</f>
        <v/>
      </c>
      <c r="DK14" s="26" t="str">
        <f>IF(ISBLANK('HCT2'!BA14),"",'HCT2'!BA14)</f>
        <v/>
      </c>
      <c r="DL14" s="26" t="str">
        <f>IF(ISBLANK('HCT2'!BB14),"",'HCT2'!BB14)</f>
        <v/>
      </c>
      <c r="DM14" s="899" t="str">
        <f>IF(ISBLANK('HCT2'!BC14),"",'HCT2'!BC14)</f>
        <v/>
      </c>
      <c r="DN14" s="950" t="str">
        <f>IF(ISBLANK('HCT2'!BD14),"",'HCT2'!BD14)</f>
        <v/>
      </c>
      <c r="DO14" s="59" t="str">
        <f>IF(ISBLANK('HCT2'!BE14),"",'HCT2'!BE14)</f>
        <v/>
      </c>
      <c r="DP14" s="958" t="str">
        <f>IF(ISBLANK('HCT2'!BF14),"",'HCT2'!BF14)</f>
        <v/>
      </c>
      <c r="DQ14" s="920"/>
      <c r="DS14" s="113">
        <f>ExpoRisk!DQ410</f>
        <v>0</v>
      </c>
      <c r="DT14" s="113">
        <f>ExpoRisk!DR410</f>
        <v>0</v>
      </c>
      <c r="DU14" s="113">
        <f>ExpoRisk!DS410</f>
        <v>0</v>
      </c>
      <c r="DV14" s="872">
        <f>ExpoRisk!DT410</f>
        <v>0</v>
      </c>
      <c r="DW14" s="113">
        <f>ExpoRisk!DU410</f>
        <v>0</v>
      </c>
      <c r="DX14" s="113">
        <f>ExpoRisk!DV410</f>
        <v>0</v>
      </c>
      <c r="DY14" s="113">
        <f>ExpoRisk!DW410</f>
        <v>0</v>
      </c>
    </row>
    <row r="15" spans="1:129" s="495" customFormat="1" hidden="1">
      <c r="A15" s="398"/>
      <c r="B15" s="492"/>
      <c r="C15" s="138"/>
      <c r="D15" s="195"/>
      <c r="E15" s="493" t="str">
        <f>IF(ISBLANK(Récap1!E15),"",Récap1!E15)</f>
        <v>Teneur limite</v>
      </c>
      <c r="F15" s="493" t="str">
        <f>IF(ISBLANK(Récap1!F15),"",Récap1!F15)</f>
        <v>Cs</v>
      </c>
      <c r="G15" s="493" t="str">
        <f>IF(ISBLANK(Récap1!G15),"",Récap1!G15)</f>
        <v>mg/kg ms</v>
      </c>
      <c r="H15" s="494">
        <f>IF(ISBLANK(Récap1!H15),"",Récap1!H15)</f>
        <v>2.6862521347215629</v>
      </c>
      <c r="I15" s="343">
        <f>IF(ISBLANK(Récap1!I15),"",Récap1!I15)</f>
        <v>2.6862521347215629</v>
      </c>
      <c r="J15" s="343">
        <f>IF(ISBLANK(Récap1!J15),"",Récap1!J15)</f>
        <v>23.689265099920028</v>
      </c>
      <c r="K15" s="494">
        <f>IF(ISBLANK(Récap1!K15),"",Récap1!K15)</f>
        <v>3.5778735042735051E-2</v>
      </c>
      <c r="L15" s="343">
        <f>IF(ISBLANK(Récap1!L15),"",Récap1!L15)</f>
        <v>3.8334358974358967E-2</v>
      </c>
      <c r="M15" s="343">
        <f>IF(ISBLANK(Récap1!M15),"",Récap1!M15)</f>
        <v>3.8334358974358967E-2</v>
      </c>
      <c r="N15" s="343">
        <f>IF(ISBLANK(Récap1!N15),"",Récap1!N15)</f>
        <v>0.111808547008547</v>
      </c>
      <c r="O15" s="343">
        <f>IF(ISBLANK(Récap1!O15),"",Récap1!O15)</f>
        <v>0.111808547008547</v>
      </c>
      <c r="P15" s="343">
        <f>IF(ISBLANK(Récap1!P15),"",Récap1!P15)</f>
        <v>2.2361709401709406E-2</v>
      </c>
      <c r="Q15" s="343">
        <f>IF(ISBLANK(Récap1!Q15),"",Récap1!Q15)</f>
        <v>2.2361709401709406E-2</v>
      </c>
      <c r="R15" s="343">
        <f>IF(ISBLANK(Récap1!R15),"",Récap1!R15)</f>
        <v>0.22361709401709401</v>
      </c>
      <c r="S15" s="343">
        <f>IF(ISBLANK(Récap1!S15),"",Récap1!S15)</f>
        <v>9.7224823485693047E-3</v>
      </c>
      <c r="T15" s="343">
        <f>IF(ISBLANK(Récap1!T15),"",Récap1!T15)</f>
        <v>9.7224823485693047E-3</v>
      </c>
      <c r="U15" s="343">
        <f>IF(ISBLANK(Récap1!U15),"",Récap1!U15)</f>
        <v>5.3242165242165249E-3</v>
      </c>
      <c r="V15" s="675">
        <f>IF(ISBLANK(Récap1!V15),"",Récap1!V15)</f>
        <v>0.63890598290598299</v>
      </c>
      <c r="W15" s="343">
        <f>IF(ISBLANK(Récap1!W15),"",Récap1!W15)</f>
        <v>0.63890598290598299</v>
      </c>
      <c r="X15" s="343">
        <f>IF(ISBLANK(Récap1!X15),"",Récap1!X15)</f>
        <v>6.133497435897437E-3</v>
      </c>
      <c r="Y15" s="343">
        <f>IF(ISBLANK(Récap1!Y15),"",Récap1!Y15)</f>
        <v>0.1661155555555556</v>
      </c>
      <c r="Z15" s="343">
        <f>IF(ISBLANK(Récap1!Z15),"",Récap1!Z15)</f>
        <v>8.9446837606837595E-2</v>
      </c>
      <c r="AA15" s="346">
        <f>IF(ISBLANK(Récap1!AA15),"",Récap1!AA15)</f>
        <v>0.44723418803418796</v>
      </c>
      <c r="AB15" s="343">
        <f>IF(ISBLANK(Récap1!AB15),"",Récap1!AB15)</f>
        <v>0.1277811965811966</v>
      </c>
      <c r="AC15" s="874">
        <f>IF(ISBLANK(Récap1!AC15),"",Récap1!AC15)</f>
        <v>0.22469249961757626</v>
      </c>
      <c r="AD15" s="343">
        <f>IF(ISBLANK(Récap1!AD15),"",Récap1!AD15)</f>
        <v>0.54361022992838193</v>
      </c>
      <c r="AE15" s="343" t="str">
        <f>IF(ISBLANK(Récap1!AE15),"",Récap1!AE15)</f>
        <v>PVL</v>
      </c>
      <c r="AF15" s="875" t="str">
        <f>IF(ISBLANK(Récap1!AF15),"",Récap1!AF15)</f>
        <v>PVL</v>
      </c>
      <c r="AG15" s="343">
        <f>IF(ISBLANK(Récap1!AG15),"",Récap1!AG15)</f>
        <v>11.755870085470084</v>
      </c>
      <c r="AH15" s="343">
        <f>IF(ISBLANK(Récap1!AH15),"",Récap1!AH15)</f>
        <v>11.755870085470086</v>
      </c>
      <c r="AI15" s="343">
        <f>IF(ISBLANK(Récap1!AI15),"",Récap1!AI15)</f>
        <v>0.63890598290598288</v>
      </c>
      <c r="AJ15" s="874">
        <f>IF(ISBLANK(Récap1!AJ15),"",Récap1!AJ15)</f>
        <v>0.63890598290598299</v>
      </c>
      <c r="AK15" s="343">
        <f>IF(ISBLANK(Récap1!AK15),"",Récap1!AK15)</f>
        <v>0.80502312779519747</v>
      </c>
      <c r="AL15" s="343" t="str">
        <f>IF(ISBLANK(Récap1!AL15),"",Récap1!AL15)</f>
        <v>PVL</v>
      </c>
      <c r="AM15" s="343" t="str">
        <f>IF(ISBLANK(Récap1!AM15),"",Récap1!AM15)</f>
        <v>PVL</v>
      </c>
      <c r="AN15" s="494">
        <f>IF(ISBLANK(Récap1!AN15),"",Récap1!AN15)</f>
        <v>7.8671982858851946E-3</v>
      </c>
      <c r="AO15" s="343">
        <f>IF(ISBLANK(Récap1!AO15),"",Récap1!AO15)</f>
        <v>0.35385182692510897</v>
      </c>
      <c r="AP15" s="343">
        <f>IF(ISBLANK(Récap1!AP15),"",Récap1!AP15)</f>
        <v>0.26853169254744086</v>
      </c>
      <c r="AQ15" s="343">
        <f>IF(ISBLANK(Récap1!AQ15),"",Récap1!AQ15)</f>
        <v>0.43806740620290796</v>
      </c>
      <c r="AR15" s="343">
        <f>IF(ISBLANK(Récap1!AR15),"",Récap1!AR15)</f>
        <v>1.042442704850131</v>
      </c>
      <c r="AS15" s="343">
        <f>IF(ISBLANK(Récap1!AS15),"",Récap1!AS15)</f>
        <v>9.0760915771406867E-2</v>
      </c>
      <c r="AT15" s="343">
        <f>IF(ISBLANK(Récap1!AT15),"",Récap1!AT15)</f>
        <v>3.971021830234843</v>
      </c>
      <c r="AU15" s="343" t="str">
        <f>IF(ISBLANK(Récap1!AU15),"",Récap1!AU15)</f>
        <v>PVL</v>
      </c>
      <c r="AV15" s="343">
        <f>IF(ISBLANK(Récap1!AV15),"",Récap1!AV15)</f>
        <v>0.1349434602334901</v>
      </c>
      <c r="AW15" s="343" t="str">
        <f>IF(ISBLANK(Récap1!AW15),"",Récap1!AW15)</f>
        <v>PVL</v>
      </c>
      <c r="AX15" s="343" t="str">
        <f>IF(ISBLANK(Récap1!AX15),"",Récap1!AX15)</f>
        <v>PVL</v>
      </c>
      <c r="AY15" s="343" t="str">
        <f>IF(ISBLANK(Récap1!AY15),"",Récap1!AY15)</f>
        <v>PVL</v>
      </c>
      <c r="AZ15" s="343" t="str">
        <f>IF(ISBLANK(Récap1!AZ15),"",Récap1!AZ15)</f>
        <v>PVL</v>
      </c>
      <c r="BA15" s="343" t="str">
        <f>IF(ISBLANK(Récap1!BA15),"",Récap1!BA15)</f>
        <v>PVL</v>
      </c>
      <c r="BB15" s="343" t="str">
        <f>IF(ISBLANK(Récap1!BB15),"",Récap1!BB15)</f>
        <v>PVL</v>
      </c>
      <c r="BC15" s="346" t="str">
        <f>IF(ISBLANK(Récap1!BC15),"",Récap1!BC15)</f>
        <v>PVL</v>
      </c>
      <c r="BD15" s="494">
        <f>IF(ISBLANK(Récap1!BD15),"",Récap1!BD15)</f>
        <v>0.95542172863999142</v>
      </c>
      <c r="BE15" s="343">
        <f>IF(ISBLANK(Récap1!BE15),"",Récap1!BE15)</f>
        <v>1.3982805611102714E-2</v>
      </c>
      <c r="BF15" s="343">
        <f>IF(ISBLANK(Récap1!BF15),"",Récap1!BF15)</f>
        <v>2.7965611222205429E-2</v>
      </c>
      <c r="BG15" s="343">
        <f>IF(ISBLANK(Récap1!BG15),"",Récap1!BG15)</f>
        <v>1.9167179487179488E-5</v>
      </c>
      <c r="BH15" s="609">
        <f>IF(ISBLANK(Récap1!BH15),"",Récap1!BH15)</f>
        <v>1.2264462146081359E-2</v>
      </c>
      <c r="BI15" s="343">
        <f>IF(ISBLANK(Récap1!BI15),"",Récap1!BI15)</f>
        <v>1.7081245590240702E-2</v>
      </c>
      <c r="BJ15" s="495" t="e">
        <f>IF(ISBLANK(Récap1!#REF!),"",Récap1!#REF!)</f>
        <v>#REF!</v>
      </c>
      <c r="BK15" s="495" t="e">
        <f>IF(ISBLANK(Récap1!#REF!),"",Récap1!#REF!)</f>
        <v>#REF!</v>
      </c>
      <c r="BL15" s="343">
        <f>IF(ISBLANK('HCT2'!H15),"",'HCT2'!H15)</f>
        <v>0</v>
      </c>
      <c r="BM15" s="343">
        <f>IF(ISBLANK('HCT2'!I15),"",'HCT2'!I15)</f>
        <v>0</v>
      </c>
      <c r="BN15" s="343">
        <f>IF(ISBLANK('HCT2'!J15),"",'HCT2'!J15)</f>
        <v>0</v>
      </c>
      <c r="BO15" s="346">
        <f>IF(ISBLANK('HCT2'!K15),"",'HCT2'!K15)</f>
        <v>0</v>
      </c>
      <c r="BP15" s="343">
        <f>IF(ISBLANK('HCT2'!L15),"",'HCT2'!L15)</f>
        <v>0</v>
      </c>
      <c r="BQ15" s="874">
        <f>IF(ISBLANK('HCT2'!M15),"",'HCT2'!M15)</f>
        <v>0</v>
      </c>
      <c r="BR15" s="343">
        <f>IF(ISBLANK('HCT2'!N15),"",'HCT2'!N15)</f>
        <v>0</v>
      </c>
      <c r="BS15" s="343">
        <f>IF(ISBLANK('HCT2'!O15),"",'HCT2'!O15)</f>
        <v>0</v>
      </c>
      <c r="BT15" s="875">
        <f>IF(ISBLANK('HCT2'!P15),"",'HCT2'!P15)</f>
        <v>0</v>
      </c>
      <c r="BU15" s="343">
        <f>IF(ISBLANK('HCT2'!Q15),"",'HCT2'!Q15)</f>
        <v>0</v>
      </c>
      <c r="BV15" s="343">
        <f>IF(ISBLANK('HCT2'!R15),"",'HCT2'!R15)</f>
        <v>0</v>
      </c>
      <c r="BW15" s="343">
        <f>IF(ISBLANK('HCT2'!S15),"",'HCT2'!S15)</f>
        <v>0</v>
      </c>
      <c r="BX15" s="874">
        <f>IF(ISBLANK('HCT2'!T15),"",'HCT2'!T15)</f>
        <v>0</v>
      </c>
      <c r="BY15" s="343">
        <f>IF(ISBLANK('HCT2'!U15),"",'HCT2'!U15)</f>
        <v>0</v>
      </c>
      <c r="BZ15" s="343">
        <f>IF(ISBLANK('HCT2'!V15),"",'HCT2'!V15)</f>
        <v>0</v>
      </c>
      <c r="CA15" s="343">
        <f>IF(ISBLANK('HCT2'!W15),"",'HCT2'!W15)</f>
        <v>0</v>
      </c>
      <c r="CB15" s="495" t="str">
        <f>IF(ISBLANK('HCT2'!X15),"",'HCT2'!X15)</f>
        <v/>
      </c>
      <c r="CC15" s="919" t="str">
        <f>IF(ISBLANK('HCT2'!Y15),"",'HCT2'!Y15)</f>
        <v/>
      </c>
      <c r="CD15" s="1089" t="str">
        <f>IF(ISBLANK('HCT2'!Z15),"",'HCT2'!Z15)</f>
        <v/>
      </c>
      <c r="CE15" s="495" t="str">
        <f>IF(ISBLANK('HCT2'!AA15),"",'HCT2'!AA15)</f>
        <v/>
      </c>
      <c r="CF15" s="495" t="str">
        <f>IF(ISBLANK('HCT2'!AB15),"",'HCT2'!AB15)</f>
        <v/>
      </c>
      <c r="CG15" s="941" t="str">
        <f>IF(ISBLANK('HCT2'!AC15),"",'HCT2'!AC15)</f>
        <v/>
      </c>
      <c r="CH15" s="495" t="str">
        <f>IF(ISBLANK('HCT2'!AD15),"",'HCT2'!AD15)</f>
        <v/>
      </c>
      <c r="CI15" s="495" t="str">
        <f>IF(ISBLANK('HCT2'!AE15),"",'HCT2'!AE15)</f>
        <v/>
      </c>
      <c r="CJ15" s="495" t="str">
        <f>IF(ISBLANK('HCT2'!AF15),"",'HCT2'!AF15)</f>
        <v/>
      </c>
      <c r="CK15" s="901" t="str">
        <f>IF(ISBLANK('HCT2'!AG15),"",'HCT2'!AG15)</f>
        <v/>
      </c>
      <c r="CL15" s="495" t="str">
        <f>IF(ISBLANK('HCT2'!AH15),"",'HCT2'!AH15)</f>
        <v/>
      </c>
      <c r="CM15" s="495" t="str">
        <f>IF(ISBLANK('HCT2'!AI15),"",'HCT2'!AI15)</f>
        <v/>
      </c>
      <c r="CN15" s="901" t="str">
        <f>IF(ISBLANK('HCT2'!AJ15),"",'HCT2'!AJ15)</f>
        <v/>
      </c>
      <c r="CO15" s="495" t="str">
        <f>IF(ISBLANK('HCT2'!AK15),"",'HCT2'!AK15)</f>
        <v/>
      </c>
      <c r="CP15" s="495" t="str">
        <f>IF(ISBLANK('HCT2'!AL15),"",'HCT2'!AL15)</f>
        <v/>
      </c>
      <c r="CQ15" s="495" t="str">
        <f>IF(ISBLANK('HCT2'!AM15),"",'HCT2'!AM15)</f>
        <v/>
      </c>
      <c r="CR15" s="920" t="str">
        <f>IF(ISBLANK('HCT2'!AN15),"",'HCT2'!AN15)</f>
        <v/>
      </c>
      <c r="CS15" s="1117" t="str">
        <f>IF(ISBLANK('HCT2'!AO15),"",'HCT2'!AO15)</f>
        <v/>
      </c>
      <c r="CT15" s="1118" t="str">
        <f>IF(ISBLANK('HCT2'!AP15),"",'HCT2'!AP15)</f>
        <v/>
      </c>
      <c r="CU15" s="967" t="str">
        <f>IF(ISBLANK('HCT2'!AQ15),"",'HCT2'!AQ15)</f>
        <v/>
      </c>
      <c r="CV15" s="1135" t="str">
        <f>IF(ISBLANK('HCT2'!AR15),"",'HCT2'!AR15)</f>
        <v/>
      </c>
      <c r="CW15" s="919" t="e">
        <f>IF(ISBLANK(Récap1!#REF!),"",Récap1!#REF!)</f>
        <v>#REF!</v>
      </c>
      <c r="CX15" s="919" t="e">
        <f>IF(ISBLANK(Récap1!#REF!),"",Récap1!#REF!)</f>
        <v>#REF!</v>
      </c>
      <c r="CY15" s="495" t="e">
        <f>IF(ISBLANK(Récap1!#REF!),"",Récap1!#REF!)</f>
        <v>#REF!</v>
      </c>
      <c r="CZ15" s="495" t="e">
        <f>IF(ISBLANK(Récap1!#REF!),"",Récap1!#REF!)</f>
        <v>#REF!</v>
      </c>
      <c r="DA15" s="495" t="e">
        <f>IF(ISBLANK(Récap1!#REF!),"",Récap1!#REF!)</f>
        <v>#REF!</v>
      </c>
      <c r="DB15" s="495" t="e">
        <f>IF(ISBLANK(Récap1!#REF!),"",Récap1!#REF!)</f>
        <v>#REF!</v>
      </c>
      <c r="DC15" s="919" t="str">
        <f>IF(ISBLANK('HCT2'!AS15),"",'HCT2'!AS15)</f>
        <v/>
      </c>
      <c r="DD15" s="495" t="str">
        <f>IF(ISBLANK('HCT2'!AT15),"",'HCT2'!AT15)</f>
        <v/>
      </c>
      <c r="DE15" s="495" t="str">
        <f>IF(ISBLANK('HCT2'!AU15),"",'HCT2'!AU15)</f>
        <v/>
      </c>
      <c r="DF15" s="495" t="str">
        <f>IF(ISBLANK('HCT2'!AV15),"",'HCT2'!AV15)</f>
        <v/>
      </c>
      <c r="DG15" s="495" t="str">
        <f>IF(ISBLANK('HCT2'!AW15),"",'HCT2'!AW15)</f>
        <v/>
      </c>
      <c r="DH15" s="495" t="str">
        <f>IF(ISBLANK('HCT2'!AX15),"",'HCT2'!AX15)</f>
        <v/>
      </c>
      <c r="DI15" s="495" t="str">
        <f>IF(ISBLANK('HCT2'!AY15),"",'HCT2'!AY15)</f>
        <v/>
      </c>
      <c r="DJ15" s="900" t="str">
        <f>IF(ISBLANK('HCT2'!AZ15),"",'HCT2'!AZ15)</f>
        <v/>
      </c>
      <c r="DK15" s="495" t="str">
        <f>IF(ISBLANK('HCT2'!BA15),"",'HCT2'!BA15)</f>
        <v/>
      </c>
      <c r="DL15" s="495" t="str">
        <f>IF(ISBLANK('HCT2'!BB15),"",'HCT2'!BB15)</f>
        <v/>
      </c>
      <c r="DM15" s="901" t="str">
        <f>IF(ISBLANK('HCT2'!BC15),"",'HCT2'!BC15)</f>
        <v/>
      </c>
      <c r="DN15" s="950" t="str">
        <f>IF(ISBLANK('HCT2'!BD15),"",'HCT2'!BD15)</f>
        <v/>
      </c>
      <c r="DO15" s="59" t="str">
        <f>IF(ISBLANK('HCT2'!BE15),"",'HCT2'!BE15)</f>
        <v/>
      </c>
      <c r="DP15" s="958" t="str">
        <f>IF(ISBLANK('HCT2'!BF15),"",'HCT2'!BF15)</f>
        <v/>
      </c>
      <c r="DQ15" s="920"/>
      <c r="DS15" s="343">
        <f>ExpoRisk!DQ411</f>
        <v>0</v>
      </c>
      <c r="DT15" s="343">
        <f>ExpoRisk!DR411</f>
        <v>0</v>
      </c>
      <c r="DU15" s="343">
        <f>ExpoRisk!DS411</f>
        <v>0</v>
      </c>
      <c r="DV15" s="874">
        <f>ExpoRisk!DT411</f>
        <v>0</v>
      </c>
      <c r="DW15" s="343">
        <f>ExpoRisk!DU411</f>
        <v>0</v>
      </c>
      <c r="DX15" s="343">
        <f>ExpoRisk!DV411</f>
        <v>0</v>
      </c>
      <c r="DY15" s="343">
        <f>ExpoRisk!DW411</f>
        <v>0</v>
      </c>
    </row>
    <row r="16" spans="1:129" s="403" customFormat="1" ht="13.5" hidden="1" thickBot="1">
      <c r="A16" s="402"/>
      <c r="B16" s="257"/>
      <c r="C16" s="138"/>
      <c r="D16" s="195"/>
      <c r="E16" s="352" t="str">
        <f>IF(ISBLANK(Récap1!E16),"",Récap1!E16)</f>
        <v>Equivalent air du sol</v>
      </c>
      <c r="F16" s="63" t="str">
        <f>IF(ISBLANK(Récap1!F16),"",Récap1!F16)</f>
        <v>Csao</v>
      </c>
      <c r="G16" s="63" t="str">
        <f>IF(ISBLANK(Récap1!G16),"",Récap1!G16)</f>
        <v>mg/m3</v>
      </c>
      <c r="H16" s="511">
        <f>IF(ISBLANK(Récap1!H16),"",Récap1!H16)</f>
        <v>7.0769085483735958</v>
      </c>
      <c r="I16" s="237">
        <f>IF(ISBLANK(Récap1!I16),"",Récap1!I16)</f>
        <v>7.0769085483735958</v>
      </c>
      <c r="J16" s="237">
        <f>IF(ISBLANK(Récap1!J16),"",Récap1!J16)</f>
        <v>409.69790803974536</v>
      </c>
      <c r="K16" s="511">
        <f>IF(ISBLANK(Récap1!K16),"",Récap1!K16)</f>
        <v>137.86669112677083</v>
      </c>
      <c r="L16" s="237">
        <f>IF(ISBLANK(Récap1!L16),"",Récap1!L16)</f>
        <v>27.617562131763879</v>
      </c>
      <c r="M16" s="237">
        <f>IF(ISBLANK(Récap1!M16),"",Récap1!M16)</f>
        <v>27.617562131763879</v>
      </c>
      <c r="N16" s="237">
        <f>IF(ISBLANK(Récap1!N16),"",Récap1!N16)</f>
        <v>158.87216710596022</v>
      </c>
      <c r="O16" s="237">
        <f>IF(ISBLANK(Récap1!O16),"",Récap1!O16)</f>
        <v>158.87216710596022</v>
      </c>
      <c r="P16" s="237">
        <f>IF(ISBLANK(Récap1!P16),"",Récap1!P16)</f>
        <v>34.68945438262449</v>
      </c>
      <c r="Q16" s="237">
        <f>IF(ISBLANK(Récap1!Q16),"",Récap1!Q16)</f>
        <v>34.68945438262449</v>
      </c>
      <c r="R16" s="237">
        <f>IF(ISBLANK(Récap1!R16),"",Récap1!R16)</f>
        <v>139.44208842715477</v>
      </c>
      <c r="S16" s="237">
        <f>IF(ISBLANK(Récap1!S16),"",Récap1!S16)</f>
        <v>5.6878778758315311</v>
      </c>
      <c r="T16" s="237">
        <f>IF(ISBLANK(Récap1!T16),"",Récap1!T16)</f>
        <v>5.6878778758315311</v>
      </c>
      <c r="U16" s="237">
        <f>IF(ISBLANK(Récap1!U16),"",Récap1!U16)</f>
        <v>14.664296454710792</v>
      </c>
      <c r="V16" s="668">
        <f>IF(ISBLANK(Récap1!V16),"",Récap1!V16)</f>
        <v>2880.305282435917</v>
      </c>
      <c r="W16" s="237">
        <f>IF(ISBLANK(Récap1!W16),"",Récap1!W16)</f>
        <v>2880.305282435917</v>
      </c>
      <c r="X16" s="237">
        <f>IF(ISBLANK(Récap1!X16),"",Récap1!X16)</f>
        <v>5.3045958605153256</v>
      </c>
      <c r="Y16" s="237">
        <f>IF(ISBLANK(Récap1!Y16),"",Récap1!Y16)</f>
        <v>99.569098831452294</v>
      </c>
      <c r="Z16" s="237">
        <f>IF(ISBLANK(Récap1!Z16),"",Récap1!Z16)</f>
        <v>31.751205372279408</v>
      </c>
      <c r="AA16" s="512">
        <f>IF(ISBLANK(Récap1!AA16),"",Récap1!AA16)</f>
        <v>106.50301794477247</v>
      </c>
      <c r="AB16" s="237">
        <f>IF(ISBLANK(Récap1!AB16),"",Récap1!AB16)</f>
        <v>34.414802760066408</v>
      </c>
      <c r="AC16" s="876">
        <f>IF(ISBLANK(Récap1!AC16),"",Récap1!AC16)</f>
        <v>11.808667807446481</v>
      </c>
      <c r="AD16" s="237">
        <f>IF(ISBLANK(Récap1!AD16),"",Récap1!AD16)</f>
        <v>5.5919680299832519</v>
      </c>
      <c r="AE16" s="237" t="str">
        <f>IF(ISBLANK(Récap1!AE16),"",Récap1!AE16)</f>
        <v>PVL</v>
      </c>
      <c r="AF16" s="877" t="str">
        <f>IF(ISBLANK(Récap1!AF16),"",Récap1!AF16)</f>
        <v>PVL</v>
      </c>
      <c r="AG16" s="237">
        <f>IF(ISBLANK(Récap1!AG16),"",Récap1!AG16)</f>
        <v>72816.88370493683</v>
      </c>
      <c r="AH16" s="237">
        <f>IF(ISBLANK(Récap1!AH16),"",Récap1!AH16)</f>
        <v>54520.878844700805</v>
      </c>
      <c r="AI16" s="237">
        <f>IF(ISBLANK(Récap1!AI16),"",Récap1!AI16)</f>
        <v>1204.8357681154205</v>
      </c>
      <c r="AJ16" s="876">
        <f>IF(ISBLANK(Récap1!AJ16),"",Récap1!AJ16)</f>
        <v>286.80289947363582</v>
      </c>
      <c r="AK16" s="237">
        <f>IF(ISBLANK(Récap1!AK16),"",Récap1!AK16)</f>
        <v>82.382227639476255</v>
      </c>
      <c r="AL16" s="237" t="str">
        <f>IF(ISBLANK(Récap1!AL16),"",Récap1!AL16)</f>
        <v>PVL</v>
      </c>
      <c r="AM16" s="237" t="str">
        <f>IF(ISBLANK(Récap1!AM16),"",Récap1!AM16)</f>
        <v>PVL</v>
      </c>
      <c r="AN16" s="511">
        <f>IF(ISBLANK(Récap1!AN16),"",Récap1!AN16)</f>
        <v>3.3628390121663347E-2</v>
      </c>
      <c r="AO16" s="237">
        <f>IF(ISBLANK(Récap1!AO16),"",Récap1!AO16)</f>
        <v>0.41310136789592322</v>
      </c>
      <c r="AP16" s="237">
        <f>IF(ISBLANK(Récap1!AP16),"",Récap1!AP16)</f>
        <v>0.52446177563613461</v>
      </c>
      <c r="AQ16" s="237">
        <f>IF(ISBLANK(Récap1!AQ16),"",Récap1!AQ16)</f>
        <v>0.34643496085551878</v>
      </c>
      <c r="AR16" s="237">
        <f>IF(ISBLANK(Récap1!AR16),"",Récap1!AR16)</f>
        <v>0.16505694360284315</v>
      </c>
      <c r="AS16" s="237">
        <f>IF(ISBLANK(Récap1!AS16),"",Récap1!AS16)</f>
        <v>1.8561589956761E-2</v>
      </c>
      <c r="AT16" s="237">
        <f>IF(ISBLANK(Récap1!AT16),"",Récap1!AT16)</f>
        <v>5.9280888085580623E-2</v>
      </c>
      <c r="AU16" s="237" t="str">
        <f>IF(ISBLANK(Récap1!AU16),"",Récap1!AU16)</f>
        <v>PVL</v>
      </c>
      <c r="AV16" s="237">
        <f>IF(ISBLANK(Récap1!AV16),"",Récap1!AV16)</f>
        <v>3.0917193258948162E-4</v>
      </c>
      <c r="AW16" s="237" t="str">
        <f>IF(ISBLANK(Récap1!AW16),"",Récap1!AW16)</f>
        <v>PVL</v>
      </c>
      <c r="AX16" s="237" t="str">
        <f>IF(ISBLANK(Récap1!AX16),"",Récap1!AX16)</f>
        <v>PVL</v>
      </c>
      <c r="AY16" s="237" t="str">
        <f>IF(ISBLANK(Récap1!AY16),"",Récap1!AY16)</f>
        <v>PVL</v>
      </c>
      <c r="AZ16" s="237" t="str">
        <f>IF(ISBLANK(Récap1!AZ16),"",Récap1!AZ16)</f>
        <v>PVL</v>
      </c>
      <c r="BA16" s="237" t="str">
        <f>IF(ISBLANK(Récap1!BA16),"",Récap1!BA16)</f>
        <v>PVL</v>
      </c>
      <c r="BB16" s="237" t="str">
        <f>IF(ISBLANK(Récap1!BB16),"",Récap1!BB16)</f>
        <v>PVL</v>
      </c>
      <c r="BC16" s="512" t="str">
        <f>IF(ISBLANK(Récap1!BC16),"",Récap1!BC16)</f>
        <v>PVL</v>
      </c>
      <c r="BD16" s="511">
        <f>IF(ISBLANK(Récap1!BD16),"",Récap1!BD16)</f>
        <v>8.9376983950961456E-2</v>
      </c>
      <c r="BE16" s="237">
        <f>IF(ISBLANK(Récap1!BE16),"",Récap1!BE16)</f>
        <v>2.9032039003226764E-5</v>
      </c>
      <c r="BF16" s="237">
        <f>IF(ISBLANK(Récap1!BF16),"",Récap1!BF16)</f>
        <v>5.8064078006453529E-5</v>
      </c>
      <c r="BG16" s="237" t="str">
        <f>IF(ISBLANK(Récap1!BG16),"",Récap1!BG16)</f>
        <v>Saturation</v>
      </c>
      <c r="BH16" s="610">
        <f>IF(ISBLANK(Récap1!BH16),"",Récap1!BH16)</f>
        <v>1.52567368814915E-3</v>
      </c>
      <c r="BI16" s="164">
        <f>IF(ISBLANK(Récap1!BI16),"",Récap1!BI16)</f>
        <v>1.6440927628076897E-2</v>
      </c>
      <c r="BJ16" s="403" t="e">
        <f>IF(ISBLANK(Récap1!#REF!),"",Récap1!#REF!)</f>
        <v>#REF!</v>
      </c>
      <c r="BK16" s="403" t="e">
        <f>IF(ISBLANK(Récap1!#REF!),"",Récap1!#REF!)</f>
        <v>#REF!</v>
      </c>
      <c r="BL16" s="237">
        <f>IF(ISBLANK('HCT2'!H16),"",'HCT2'!H16)</f>
        <v>0</v>
      </c>
      <c r="BM16" s="237">
        <f>IF(ISBLANK('HCT2'!I16),"",'HCT2'!I16)</f>
        <v>0</v>
      </c>
      <c r="BN16" s="237">
        <f>IF(ISBLANK('HCT2'!J16),"",'HCT2'!J16)</f>
        <v>0</v>
      </c>
      <c r="BO16" s="512">
        <f>IF(ISBLANK('HCT2'!K16),"",'HCT2'!K16)</f>
        <v>0</v>
      </c>
      <c r="BP16" s="237">
        <f>IF(ISBLANK('HCT2'!L16),"",'HCT2'!L16)</f>
        <v>0</v>
      </c>
      <c r="BQ16" s="876">
        <f>IF(ISBLANK('HCT2'!M16),"",'HCT2'!M16)</f>
        <v>0</v>
      </c>
      <c r="BR16" s="237">
        <f>IF(ISBLANK('HCT2'!N16),"",'HCT2'!N16)</f>
        <v>0</v>
      </c>
      <c r="BS16" s="237">
        <f>IF(ISBLANK('HCT2'!O16),"",'HCT2'!O16)</f>
        <v>0</v>
      </c>
      <c r="BT16" s="877">
        <f>IF(ISBLANK('HCT2'!P16),"",'HCT2'!P16)</f>
        <v>0</v>
      </c>
      <c r="BU16" s="237">
        <f>IF(ISBLANK('HCT2'!Q16),"",'HCT2'!Q16)</f>
        <v>0</v>
      </c>
      <c r="BV16" s="237">
        <f>IF(ISBLANK('HCT2'!R16),"",'HCT2'!R16)</f>
        <v>0</v>
      </c>
      <c r="BW16" s="237">
        <f>IF(ISBLANK('HCT2'!S16),"",'HCT2'!S16)</f>
        <v>0</v>
      </c>
      <c r="BX16" s="876">
        <f>IF(ISBLANK('HCT2'!T16),"",'HCT2'!T16)</f>
        <v>0</v>
      </c>
      <c r="BY16" s="237">
        <f>IF(ISBLANK('HCT2'!U16),"",'HCT2'!U16)</f>
        <v>0</v>
      </c>
      <c r="BZ16" s="237">
        <f>IF(ISBLANK('HCT2'!V16),"",'HCT2'!V16)</f>
        <v>0</v>
      </c>
      <c r="CA16" s="237">
        <f>IF(ISBLANK('HCT2'!W16),"",'HCT2'!W16)</f>
        <v>0</v>
      </c>
      <c r="CB16" s="403" t="str">
        <f>IF(ISBLANK('HCT2'!X16),"",'HCT2'!X16)</f>
        <v/>
      </c>
      <c r="CC16" s="748" t="str">
        <f>IF(ISBLANK('HCT2'!Y16),"",'HCT2'!Y16)</f>
        <v/>
      </c>
      <c r="CD16" s="1090" t="str">
        <f>IF(ISBLANK('HCT2'!Z16),"",'HCT2'!Z16)</f>
        <v/>
      </c>
      <c r="CE16" s="403" t="str">
        <f>IF(ISBLANK('HCT2'!AA16),"",'HCT2'!AA16)</f>
        <v/>
      </c>
      <c r="CF16" s="403" t="str">
        <f>IF(ISBLANK('HCT2'!AB16),"",'HCT2'!AB16)</f>
        <v/>
      </c>
      <c r="CG16" s="942" t="str">
        <f>IF(ISBLANK('HCT2'!AC16),"",'HCT2'!AC16)</f>
        <v/>
      </c>
      <c r="CH16" s="403" t="str">
        <f>IF(ISBLANK('HCT2'!AD16),"",'HCT2'!AD16)</f>
        <v/>
      </c>
      <c r="CI16" s="403" t="str">
        <f>IF(ISBLANK('HCT2'!AE16),"",'HCT2'!AE16)</f>
        <v/>
      </c>
      <c r="CJ16" s="403" t="str">
        <f>IF(ISBLANK('HCT2'!AF16),"",'HCT2'!AF16)</f>
        <v/>
      </c>
      <c r="CK16" s="903" t="str">
        <f>IF(ISBLANK('HCT2'!AG16),"",'HCT2'!AG16)</f>
        <v/>
      </c>
      <c r="CL16" s="403" t="str">
        <f>IF(ISBLANK('HCT2'!AH16),"",'HCT2'!AH16)</f>
        <v/>
      </c>
      <c r="CM16" s="403" t="str">
        <f>IF(ISBLANK('HCT2'!AI16),"",'HCT2'!AI16)</f>
        <v/>
      </c>
      <c r="CN16" s="903" t="str">
        <f>IF(ISBLANK('HCT2'!AJ16),"",'HCT2'!AJ16)</f>
        <v/>
      </c>
      <c r="CO16" s="403" t="str">
        <f>IF(ISBLANK('HCT2'!AK16),"",'HCT2'!AK16)</f>
        <v/>
      </c>
      <c r="CP16" s="403" t="str">
        <f>IF(ISBLANK('HCT2'!AL16),"",'HCT2'!AL16)</f>
        <v/>
      </c>
      <c r="CQ16" s="403" t="str">
        <f>IF(ISBLANK('HCT2'!AM16),"",'HCT2'!AM16)</f>
        <v/>
      </c>
      <c r="CR16" s="749" t="str">
        <f>IF(ISBLANK('HCT2'!AN16),"",'HCT2'!AN16)</f>
        <v/>
      </c>
      <c r="CS16" s="1119" t="str">
        <f>IF(ISBLANK('HCT2'!AO16),"",'HCT2'!AO16)</f>
        <v/>
      </c>
      <c r="CT16" s="1120" t="str">
        <f>IF(ISBLANK('HCT2'!AP16),"",'HCT2'!AP16)</f>
        <v/>
      </c>
      <c r="CU16" s="968" t="str">
        <f>IF(ISBLANK('HCT2'!AQ16),"",'HCT2'!AQ16)</f>
        <v/>
      </c>
      <c r="CV16" s="1136" t="str">
        <f>IF(ISBLANK('HCT2'!AR16),"",'HCT2'!AR16)</f>
        <v/>
      </c>
      <c r="CW16" s="748" t="e">
        <f>IF(ISBLANK(Récap1!#REF!),"",Récap1!#REF!)</f>
        <v>#REF!</v>
      </c>
      <c r="CX16" s="748" t="e">
        <f>IF(ISBLANK(Récap1!#REF!),"",Récap1!#REF!)</f>
        <v>#REF!</v>
      </c>
      <c r="CY16" s="403" t="e">
        <f>IF(ISBLANK(Récap1!#REF!),"",Récap1!#REF!)</f>
        <v>#REF!</v>
      </c>
      <c r="CZ16" s="403" t="e">
        <f>IF(ISBLANK(Récap1!#REF!),"",Récap1!#REF!)</f>
        <v>#REF!</v>
      </c>
      <c r="DA16" s="403" t="e">
        <f>IF(ISBLANK(Récap1!#REF!),"",Récap1!#REF!)</f>
        <v>#REF!</v>
      </c>
      <c r="DB16" s="403" t="e">
        <f>IF(ISBLANK(Récap1!#REF!),"",Récap1!#REF!)</f>
        <v>#REF!</v>
      </c>
      <c r="DC16" s="748" t="str">
        <f>IF(ISBLANK('HCT2'!AS16),"",'HCT2'!AS16)</f>
        <v/>
      </c>
      <c r="DD16" s="403" t="str">
        <f>IF(ISBLANK('HCT2'!AT16),"",'HCT2'!AT16)</f>
        <v/>
      </c>
      <c r="DE16" s="403" t="str">
        <f>IF(ISBLANK('HCT2'!AU16),"",'HCT2'!AU16)</f>
        <v/>
      </c>
      <c r="DF16" s="403" t="str">
        <f>IF(ISBLANK('HCT2'!AV16),"",'HCT2'!AV16)</f>
        <v/>
      </c>
      <c r="DG16" s="403" t="str">
        <f>IF(ISBLANK('HCT2'!AW16),"",'HCT2'!AW16)</f>
        <v/>
      </c>
      <c r="DH16" s="403" t="str">
        <f>IF(ISBLANK('HCT2'!AX16),"",'HCT2'!AX16)</f>
        <v/>
      </c>
      <c r="DI16" s="403" t="str">
        <f>IF(ISBLANK('HCT2'!AY16),"",'HCT2'!AY16)</f>
        <v/>
      </c>
      <c r="DJ16" s="902" t="str">
        <f>IF(ISBLANK('HCT2'!AZ16),"",'HCT2'!AZ16)</f>
        <v/>
      </c>
      <c r="DK16" s="403" t="str">
        <f>IF(ISBLANK('HCT2'!BA16),"",'HCT2'!BA16)</f>
        <v/>
      </c>
      <c r="DL16" s="403" t="str">
        <f>IF(ISBLANK('HCT2'!BB16),"",'HCT2'!BB16)</f>
        <v/>
      </c>
      <c r="DM16" s="903" t="str">
        <f>IF(ISBLANK('HCT2'!BC16),"",'HCT2'!BC16)</f>
        <v/>
      </c>
      <c r="DN16" s="951" t="str">
        <f>IF(ISBLANK('HCT2'!BD16),"",'HCT2'!BD16)</f>
        <v/>
      </c>
      <c r="DO16" s="1079" t="str">
        <f>IF(ISBLANK('HCT2'!BE16),"",'HCT2'!BE16)</f>
        <v/>
      </c>
      <c r="DP16" s="959" t="str">
        <f>IF(ISBLANK('HCT2'!BF16),"",'HCT2'!BF16)</f>
        <v/>
      </c>
      <c r="DQ16" s="977"/>
      <c r="DS16" s="237">
        <f>ExpoRisk!DQ412</f>
        <v>0</v>
      </c>
      <c r="DT16" s="237">
        <f>ExpoRisk!DR412</f>
        <v>0</v>
      </c>
      <c r="DU16" s="237">
        <f>ExpoRisk!DS412</f>
        <v>0</v>
      </c>
      <c r="DV16" s="876">
        <f>ExpoRisk!DT412</f>
        <v>0</v>
      </c>
      <c r="DW16" s="237">
        <f>ExpoRisk!DU412</f>
        <v>0</v>
      </c>
      <c r="DX16" s="237">
        <f>ExpoRisk!DV412</f>
        <v>0</v>
      </c>
      <c r="DY16" s="237">
        <f>ExpoRisk!DW412</f>
        <v>0</v>
      </c>
    </row>
    <row r="17" spans="1:131" s="26" customFormat="1" hidden="1">
      <c r="A17" s="482"/>
      <c r="B17" s="27"/>
      <c r="C17" s="138"/>
      <c r="D17" s="195"/>
      <c r="E17" s="625" t="str">
        <f>IF(ISBLANK(Récap1!E17),"",Récap1!E17)</f>
        <v>Sous bâtiment BUREAUX</v>
      </c>
      <c r="F17" s="14" t="str">
        <f>IF(ISBLANK(Récap1!F17),"",Récap1!F17)</f>
        <v/>
      </c>
      <c r="G17" s="14" t="str">
        <f>IF(ISBLANK(Récap1!G17),"",Récap1!G17)</f>
        <v/>
      </c>
      <c r="H17" s="119" t="str">
        <f>IF(ISBLANK(Récap1!H17),"",Récap1!H17)</f>
        <v/>
      </c>
      <c r="I17" s="113" t="str">
        <f>IF(ISBLANK(Récap1!I17),"",Récap1!I17)</f>
        <v/>
      </c>
      <c r="J17" s="113" t="str">
        <f>IF(ISBLANK(Récap1!J17),"",Récap1!J17)</f>
        <v/>
      </c>
      <c r="K17" s="119" t="str">
        <f>IF(ISBLANK(Récap1!K17),"",Récap1!K17)</f>
        <v/>
      </c>
      <c r="L17" s="113" t="str">
        <f>IF(ISBLANK(Récap1!L17),"",Récap1!L17)</f>
        <v/>
      </c>
      <c r="M17" s="113" t="str">
        <f>IF(ISBLANK(Récap1!M17),"",Récap1!M17)</f>
        <v/>
      </c>
      <c r="N17" s="113" t="str">
        <f>IF(ISBLANK(Récap1!N17),"",Récap1!N17)</f>
        <v/>
      </c>
      <c r="O17" s="113" t="str">
        <f>IF(ISBLANK(Récap1!O17),"",Récap1!O17)</f>
        <v/>
      </c>
      <c r="P17" s="113" t="str">
        <f>IF(ISBLANK(Récap1!P17),"",Récap1!P17)</f>
        <v/>
      </c>
      <c r="Q17" s="113" t="str">
        <f>IF(ISBLANK(Récap1!Q17),"",Récap1!Q17)</f>
        <v/>
      </c>
      <c r="R17" s="113" t="str">
        <f>IF(ISBLANK(Récap1!R17),"",Récap1!R17)</f>
        <v/>
      </c>
      <c r="S17" s="113" t="str">
        <f>IF(ISBLANK(Récap1!S17),"",Récap1!S17)</f>
        <v/>
      </c>
      <c r="T17" s="113" t="str">
        <f>IF(ISBLANK(Récap1!T17),"",Récap1!T17)</f>
        <v/>
      </c>
      <c r="U17" s="113" t="str">
        <f>IF(ISBLANK(Récap1!U17),"",Récap1!U17)</f>
        <v/>
      </c>
      <c r="V17" s="670" t="str">
        <f>IF(ISBLANK(Récap1!V17),"",Récap1!V17)</f>
        <v/>
      </c>
      <c r="W17" s="113" t="str">
        <f>IF(ISBLANK(Récap1!W17),"",Récap1!W17)</f>
        <v/>
      </c>
      <c r="X17" s="113" t="str">
        <f>IF(ISBLANK(Récap1!X17),"",Récap1!X17)</f>
        <v/>
      </c>
      <c r="Y17" s="113" t="str">
        <f>IF(ISBLANK(Récap1!Y17),"",Récap1!Y17)</f>
        <v/>
      </c>
      <c r="Z17" s="113" t="str">
        <f>IF(ISBLANK(Récap1!Z17),"",Récap1!Z17)</f>
        <v/>
      </c>
      <c r="AA17" s="120" t="str">
        <f>IF(ISBLANK(Récap1!AA17),"",Récap1!AA17)</f>
        <v/>
      </c>
      <c r="AB17" s="113" t="str">
        <f>IF(ISBLANK(Récap1!AB17),"",Récap1!AB17)</f>
        <v/>
      </c>
      <c r="AC17" s="872" t="str">
        <f>IF(ISBLANK(Récap1!AC17),"",Récap1!AC17)</f>
        <v/>
      </c>
      <c r="AD17" s="113" t="str">
        <f>IF(ISBLANK(Récap1!AD17),"",Récap1!AD17)</f>
        <v/>
      </c>
      <c r="AE17" s="113" t="str">
        <f>IF(ISBLANK(Récap1!AE17),"",Récap1!AE17)</f>
        <v/>
      </c>
      <c r="AF17" s="873" t="str">
        <f>IF(ISBLANK(Récap1!AF17),"",Récap1!AF17)</f>
        <v/>
      </c>
      <c r="AG17" s="113" t="str">
        <f>IF(ISBLANK(Récap1!AG17),"",Récap1!AG17)</f>
        <v/>
      </c>
      <c r="AH17" s="113" t="str">
        <f>IF(ISBLANK(Récap1!AH17),"",Récap1!AH17)</f>
        <v/>
      </c>
      <c r="AI17" s="113" t="str">
        <f>IF(ISBLANK(Récap1!AI17),"",Récap1!AI17)</f>
        <v/>
      </c>
      <c r="AJ17" s="872" t="str">
        <f>IF(ISBLANK(Récap1!AJ17),"",Récap1!AJ17)</f>
        <v/>
      </c>
      <c r="AK17" s="113" t="str">
        <f>IF(ISBLANK(Récap1!AK17),"",Récap1!AK17)</f>
        <v/>
      </c>
      <c r="AL17" s="113" t="str">
        <f>IF(ISBLANK(Récap1!AL17),"",Récap1!AL17)</f>
        <v/>
      </c>
      <c r="AM17" s="113" t="str">
        <f>IF(ISBLANK(Récap1!AM17),"",Récap1!AM17)</f>
        <v/>
      </c>
      <c r="AN17" s="119" t="str">
        <f>IF(ISBLANK(Récap1!AN17),"",Récap1!AN17)</f>
        <v/>
      </c>
      <c r="AO17" s="113" t="str">
        <f>IF(ISBLANK(Récap1!AO17),"",Récap1!AO17)</f>
        <v/>
      </c>
      <c r="AP17" s="113" t="str">
        <f>IF(ISBLANK(Récap1!AP17),"",Récap1!AP17)</f>
        <v/>
      </c>
      <c r="AQ17" s="113" t="str">
        <f>IF(ISBLANK(Récap1!AQ17),"",Récap1!AQ17)</f>
        <v/>
      </c>
      <c r="AR17" s="113" t="str">
        <f>IF(ISBLANK(Récap1!AR17),"",Récap1!AR17)</f>
        <v/>
      </c>
      <c r="AS17" s="113" t="str">
        <f>IF(ISBLANK(Récap1!AS17),"",Récap1!AS17)</f>
        <v/>
      </c>
      <c r="AT17" s="113" t="str">
        <f>IF(ISBLANK(Récap1!AT17),"",Récap1!AT17)</f>
        <v/>
      </c>
      <c r="AU17" s="113" t="str">
        <f>IF(ISBLANK(Récap1!AU17),"",Récap1!AU17)</f>
        <v/>
      </c>
      <c r="AV17" s="113" t="str">
        <f>IF(ISBLANK(Récap1!AV17),"",Récap1!AV17)</f>
        <v/>
      </c>
      <c r="AW17" s="113" t="str">
        <f>IF(ISBLANK(Récap1!AW17),"",Récap1!AW17)</f>
        <v/>
      </c>
      <c r="AX17" s="113" t="str">
        <f>IF(ISBLANK(Récap1!AX17),"",Récap1!AX17)</f>
        <v/>
      </c>
      <c r="AY17" s="113" t="str">
        <f>IF(ISBLANK(Récap1!AY17),"",Récap1!AY17)</f>
        <v/>
      </c>
      <c r="AZ17" s="113" t="str">
        <f>IF(ISBLANK(Récap1!AZ17),"",Récap1!AZ17)</f>
        <v/>
      </c>
      <c r="BA17" s="113" t="str">
        <f>IF(ISBLANK(Récap1!BA17),"",Récap1!BA17)</f>
        <v/>
      </c>
      <c r="BB17" s="113" t="str">
        <f>IF(ISBLANK(Récap1!BB17),"",Récap1!BB17)</f>
        <v/>
      </c>
      <c r="BC17" s="120" t="str">
        <f>IF(ISBLANK(Récap1!BC17),"",Récap1!BC17)</f>
        <v/>
      </c>
      <c r="BD17" s="119" t="str">
        <f>IF(ISBLANK(Récap1!BD17),"",Récap1!BD17)</f>
        <v/>
      </c>
      <c r="BE17" s="113" t="str">
        <f>IF(ISBLANK(Récap1!BE17),"",Récap1!BE17)</f>
        <v/>
      </c>
      <c r="BF17" s="113" t="str">
        <f>IF(ISBLANK(Récap1!BF17),"",Récap1!BF17)</f>
        <v/>
      </c>
      <c r="BG17" s="113" t="str">
        <f>IF(ISBLANK(Récap1!BG17),"",Récap1!BG17)</f>
        <v/>
      </c>
      <c r="BH17" s="608" t="str">
        <f>IF(ISBLANK(Récap1!BH17),"",Récap1!BH17)</f>
        <v/>
      </c>
      <c r="BI17" s="113" t="str">
        <f>IF(ISBLANK(Récap1!BI17),"",Récap1!BI17)</f>
        <v/>
      </c>
      <c r="BJ17" s="26" t="e">
        <f>IF(ISBLANK(Récap1!#REF!),"",Récap1!#REF!)</f>
        <v>#REF!</v>
      </c>
      <c r="BK17" s="26" t="e">
        <f>IF(ISBLANK(Récap1!#REF!),"",Récap1!#REF!)</f>
        <v>#REF!</v>
      </c>
      <c r="BL17" s="113" t="str">
        <f>IF(ISBLANK('HCT2'!H17),"",'HCT2'!H17)</f>
        <v/>
      </c>
      <c r="BM17" s="113" t="str">
        <f>IF(ISBLANK('HCT2'!I17),"",'HCT2'!I17)</f>
        <v/>
      </c>
      <c r="BN17" s="113" t="str">
        <f>IF(ISBLANK('HCT2'!J17),"",'HCT2'!J17)</f>
        <v/>
      </c>
      <c r="BO17" s="120" t="str">
        <f>IF(ISBLANK('HCT2'!K17),"",'HCT2'!K17)</f>
        <v/>
      </c>
      <c r="BP17" s="113" t="str">
        <f>IF(ISBLANK('HCT2'!L17),"",'HCT2'!L17)</f>
        <v/>
      </c>
      <c r="BQ17" s="872" t="str">
        <f>IF(ISBLANK('HCT2'!M17),"",'HCT2'!M17)</f>
        <v/>
      </c>
      <c r="BR17" s="113" t="str">
        <f>IF(ISBLANK('HCT2'!N17),"",'HCT2'!N17)</f>
        <v/>
      </c>
      <c r="BS17" s="113" t="str">
        <f>IF(ISBLANK('HCT2'!O17),"",'HCT2'!O17)</f>
        <v/>
      </c>
      <c r="BT17" s="873" t="str">
        <f>IF(ISBLANK('HCT2'!P17),"",'HCT2'!P17)</f>
        <v/>
      </c>
      <c r="BU17" s="113" t="str">
        <f>IF(ISBLANK('HCT2'!Q17),"",'HCT2'!Q17)</f>
        <v/>
      </c>
      <c r="BV17" s="113" t="str">
        <f>IF(ISBLANK('HCT2'!R17),"",'HCT2'!R17)</f>
        <v/>
      </c>
      <c r="BW17" s="113" t="str">
        <f>IF(ISBLANK('HCT2'!S17),"",'HCT2'!S17)</f>
        <v/>
      </c>
      <c r="BX17" s="872" t="str">
        <f>IF(ISBLANK('HCT2'!T17),"",'HCT2'!T17)</f>
        <v/>
      </c>
      <c r="BY17" s="113" t="str">
        <f>IF(ISBLANK('HCT2'!U17),"",'HCT2'!U17)</f>
        <v/>
      </c>
      <c r="BZ17" s="113" t="str">
        <f>IF(ISBLANK('HCT2'!V17),"",'HCT2'!V17)</f>
        <v/>
      </c>
      <c r="CA17" s="113" t="str">
        <f>IF(ISBLANK('HCT2'!W17),"",'HCT2'!W17)</f>
        <v/>
      </c>
      <c r="CB17" s="26" t="str">
        <f>IF(ISBLANK('HCT2'!X17),"",'HCT2'!X17)</f>
        <v/>
      </c>
      <c r="CC17" s="77" t="str">
        <f>IF(ISBLANK('HCT2'!Y17),"",'HCT2'!Y17)</f>
        <v/>
      </c>
      <c r="CD17" s="1086" t="str">
        <f>IF(ISBLANK('HCT2'!Z17),"",'HCT2'!Z17)</f>
        <v/>
      </c>
      <c r="CE17" s="26" t="str">
        <f>IF(ISBLANK('HCT2'!AA17),"",'HCT2'!AA17)</f>
        <v/>
      </c>
      <c r="CF17" s="26" t="str">
        <f>IF(ISBLANK('HCT2'!AB17),"",'HCT2'!AB17)</f>
        <v/>
      </c>
      <c r="CG17" s="940" t="str">
        <f>IF(ISBLANK('HCT2'!AC17),"",'HCT2'!AC17)</f>
        <v/>
      </c>
      <c r="CH17" s="26" t="str">
        <f>IF(ISBLANK('HCT2'!AD17),"",'HCT2'!AD17)</f>
        <v/>
      </c>
      <c r="CI17" s="26" t="str">
        <f>IF(ISBLANK('HCT2'!AE17),"",'HCT2'!AE17)</f>
        <v/>
      </c>
      <c r="CJ17" s="26" t="str">
        <f>IF(ISBLANK('HCT2'!AF17),"",'HCT2'!AF17)</f>
        <v/>
      </c>
      <c r="CK17" s="899" t="str">
        <f>IF(ISBLANK('HCT2'!AG17),"",'HCT2'!AG17)</f>
        <v/>
      </c>
      <c r="CL17" s="26" t="str">
        <f>IF(ISBLANK('HCT2'!AH17),"",'HCT2'!AH17)</f>
        <v/>
      </c>
      <c r="CM17" s="26" t="str">
        <f>IF(ISBLANK('HCT2'!AI17),"",'HCT2'!AI17)</f>
        <v/>
      </c>
      <c r="CN17" s="899" t="str">
        <f>IF(ISBLANK('HCT2'!AJ17),"",'HCT2'!AJ17)</f>
        <v/>
      </c>
      <c r="CO17" s="26" t="str">
        <f>IF(ISBLANK('HCT2'!AK17),"",'HCT2'!AK17)</f>
        <v/>
      </c>
      <c r="CP17" s="26" t="str">
        <f>IF(ISBLANK('HCT2'!AL17),"",'HCT2'!AL17)</f>
        <v/>
      </c>
      <c r="CQ17" s="26" t="str">
        <f>IF(ISBLANK('HCT2'!AM17),"",'HCT2'!AM17)</f>
        <v/>
      </c>
      <c r="CR17" s="502" t="str">
        <f>IF(ISBLANK('HCT2'!AN17),"",'HCT2'!AN17)</f>
        <v/>
      </c>
      <c r="CS17" s="1117" t="str">
        <f>IF(ISBLANK('HCT2'!AO17),"",'HCT2'!AO17)</f>
        <v/>
      </c>
      <c r="CT17" s="1118" t="str">
        <f>IF(ISBLANK('HCT2'!AP17),"",'HCT2'!AP17)</f>
        <v/>
      </c>
      <c r="CU17" s="967" t="str">
        <f>IF(ISBLANK('HCT2'!AQ17),"",'HCT2'!AQ17)</f>
        <v/>
      </c>
      <c r="CV17" s="1135" t="str">
        <f>IF(ISBLANK('HCT2'!AR17),"",'HCT2'!AR17)</f>
        <v/>
      </c>
      <c r="CW17" s="77" t="e">
        <f>IF(ISBLANK(Récap1!#REF!),"",Récap1!#REF!)</f>
        <v>#REF!</v>
      </c>
      <c r="CX17" s="77" t="e">
        <f>IF(ISBLANK(Récap1!#REF!),"",Récap1!#REF!)</f>
        <v>#REF!</v>
      </c>
      <c r="CY17" s="26" t="e">
        <f>IF(ISBLANK(Récap1!#REF!),"",Récap1!#REF!)</f>
        <v>#REF!</v>
      </c>
      <c r="CZ17" s="26" t="e">
        <f>IF(ISBLANK(Récap1!#REF!),"",Récap1!#REF!)</f>
        <v>#REF!</v>
      </c>
      <c r="DA17" s="26" t="e">
        <f>IF(ISBLANK(Récap1!#REF!),"",Récap1!#REF!)</f>
        <v>#REF!</v>
      </c>
      <c r="DB17" s="26" t="e">
        <f>IF(ISBLANK(Récap1!#REF!),"",Récap1!#REF!)</f>
        <v>#REF!</v>
      </c>
      <c r="DC17" s="77" t="str">
        <f>IF(ISBLANK('HCT2'!AS17),"",'HCT2'!AS17)</f>
        <v/>
      </c>
      <c r="DD17" s="26" t="str">
        <f>IF(ISBLANK('HCT2'!AT17),"",'HCT2'!AT17)</f>
        <v/>
      </c>
      <c r="DE17" s="26" t="str">
        <f>IF(ISBLANK('HCT2'!AU17),"",'HCT2'!AU17)</f>
        <v/>
      </c>
      <c r="DF17" s="26" t="str">
        <f>IF(ISBLANK('HCT2'!AV17),"",'HCT2'!AV17)</f>
        <v/>
      </c>
      <c r="DG17" s="26" t="str">
        <f>IF(ISBLANK('HCT2'!AW17),"",'HCT2'!AW17)</f>
        <v/>
      </c>
      <c r="DH17" s="26" t="str">
        <f>IF(ISBLANK('HCT2'!AX17),"",'HCT2'!AX17)</f>
        <v/>
      </c>
      <c r="DI17" s="26" t="str">
        <f>IF(ISBLANK('HCT2'!AY17),"",'HCT2'!AY17)</f>
        <v/>
      </c>
      <c r="DJ17" s="898" t="str">
        <f>IF(ISBLANK('HCT2'!AZ17),"",'HCT2'!AZ17)</f>
        <v/>
      </c>
      <c r="DK17" s="26" t="str">
        <f>IF(ISBLANK('HCT2'!BA17),"",'HCT2'!BA17)</f>
        <v/>
      </c>
      <c r="DL17" s="26" t="str">
        <f>IF(ISBLANK('HCT2'!BB17),"",'HCT2'!BB17)</f>
        <v/>
      </c>
      <c r="DM17" s="899" t="str">
        <f>IF(ISBLANK('HCT2'!BC17),"",'HCT2'!BC17)</f>
        <v/>
      </c>
      <c r="DN17" s="950" t="str">
        <f>IF(ISBLANK('HCT2'!BD17),"",'HCT2'!BD17)</f>
        <v/>
      </c>
      <c r="DO17" s="59" t="str">
        <f>IF(ISBLANK('HCT2'!BE17),"",'HCT2'!BE17)</f>
        <v/>
      </c>
      <c r="DP17" s="958" t="str">
        <f>IF(ISBLANK('HCT2'!BF17),"",'HCT2'!BF17)</f>
        <v/>
      </c>
      <c r="DQ17" s="920"/>
      <c r="DS17" s="113"/>
      <c r="DT17" s="113"/>
      <c r="DU17" s="113"/>
      <c r="DV17" s="872"/>
      <c r="DW17" s="113"/>
      <c r="DX17" s="113"/>
      <c r="DY17" s="113"/>
    </row>
    <row r="18" spans="1:131" s="26" customFormat="1" hidden="1">
      <c r="A18" s="482"/>
      <c r="B18" s="27"/>
      <c r="C18" s="138"/>
      <c r="D18" s="195"/>
      <c r="E18" s="103" t="str">
        <f>IF(ISBLANK(Récap1!E18),"",Récap1!E18)</f>
        <v>Teneur limite (effet à seuil)</v>
      </c>
      <c r="F18" s="14" t="str">
        <f>IF(ISBLANK(Récap1!F18),"",Récap1!F18)</f>
        <v>Cs</v>
      </c>
      <c r="G18" s="105" t="str">
        <f>IF(ISBLANK(Récap1!G18),"",Récap1!G18)</f>
        <v>mg/kg ms</v>
      </c>
      <c r="H18" s="85">
        <f>IF(ISBLANK(Récap1!H18),"",Récap1!H18)</f>
        <v>21.726590419182642</v>
      </c>
      <c r="I18" s="56">
        <f>IF(ISBLANK(Récap1!I18),"",Récap1!I18)</f>
        <v>21.726590419182642</v>
      </c>
      <c r="J18" s="56">
        <f>IF(ISBLANK(Récap1!J18),"",Récap1!J18)</f>
        <v>191.60039130531911</v>
      </c>
      <c r="K18" s="85">
        <f>IF(ISBLANK(Récap1!K18),"",Récap1!K18)</f>
        <v>0.28938084848484852</v>
      </c>
      <c r="L18" s="56">
        <f>IF(ISBLANK(Récap1!L18),"",Récap1!L18)</f>
        <v>0.3100509090909091</v>
      </c>
      <c r="M18" s="56">
        <f>IF(ISBLANK(Récap1!M18),"",Récap1!M18)</f>
        <v>0.3100509090909091</v>
      </c>
      <c r="N18" s="56">
        <f>IF(ISBLANK(Récap1!N18),"",Récap1!N18)</f>
        <v>1.0335030303030306</v>
      </c>
      <c r="O18" s="56">
        <f>IF(ISBLANK(Récap1!O18),"",Récap1!O18)</f>
        <v>1.0335030303030306</v>
      </c>
      <c r="P18" s="56">
        <f>IF(ISBLANK(Récap1!P18),"",Récap1!P18)</f>
        <v>0.18086303030303036</v>
      </c>
      <c r="Q18" s="56">
        <f>IF(ISBLANK(Récap1!Q18),"",Récap1!Q18)</f>
        <v>0.18086303030303036</v>
      </c>
      <c r="R18" s="56">
        <f>IF(ISBLANK(Récap1!R18),"",Récap1!R18)</f>
        <v>2.0670060606060612</v>
      </c>
      <c r="S18" s="56">
        <f>IF(ISBLANK(Récap1!S18),"",Récap1!S18)</f>
        <v>0.32555345454545448</v>
      </c>
      <c r="T18" s="56">
        <f>IF(ISBLANK(Récap1!T18),"",Récap1!T18)</f>
        <v>0.32555345454545448</v>
      </c>
      <c r="U18" s="56">
        <f>IF(ISBLANK(Récap1!U18),"",Récap1!U18)</f>
        <v>0.19636557575757582</v>
      </c>
      <c r="V18" s="681">
        <f>IF(ISBLANK(Récap1!V18),"",Récap1!V18)</f>
        <v>5.1675151515151523</v>
      </c>
      <c r="W18" s="56">
        <f>IF(ISBLANK(Récap1!W18),"",Récap1!W18)</f>
        <v>5.1675151515151523</v>
      </c>
      <c r="X18" s="56">
        <f>IF(ISBLANK(Récap1!X18),"",Récap1!X18)</f>
        <v>4.960814545454547E-2</v>
      </c>
      <c r="Y18" s="56">
        <f>IF(ISBLANK(Récap1!Y18),"",Récap1!Y18)</f>
        <v>1.3435539393939397</v>
      </c>
      <c r="Z18" s="56">
        <f>IF(ISBLANK(Récap1!Z18),"",Récap1!Z18)</f>
        <v>1.3693915151515152</v>
      </c>
      <c r="AA18" s="57">
        <f>IF(ISBLANK(Récap1!AA18),"",Récap1!AA18)</f>
        <v>3.6172606060606061</v>
      </c>
      <c r="AB18" s="56">
        <f>IF(ISBLANK(Récap1!AB18),"",Récap1!AB18)</f>
        <v>1.0335030303030304</v>
      </c>
      <c r="AC18" s="870">
        <f>IF(ISBLANK(Récap1!AC18),"",Récap1!AC18)</f>
        <v>1.8173282568501126</v>
      </c>
      <c r="AD18" s="56">
        <f>IF(ISBLANK(Récap1!AD18),"",Récap1!AD18)</f>
        <v>4.3967566039946124</v>
      </c>
      <c r="AE18" s="56" t="str">
        <f>IF(ISBLANK(Récap1!AE18),"",Récap1!AE18)</f>
        <v>PVL</v>
      </c>
      <c r="AF18" s="871" t="str">
        <f>IF(ISBLANK(Récap1!AF18),"",Récap1!AF18)</f>
        <v>PVL</v>
      </c>
      <c r="AG18" s="56">
        <f>IF(ISBLANK(Récap1!AG18),"",Récap1!AG18)</f>
        <v>95.082278787878806</v>
      </c>
      <c r="AH18" s="56">
        <f>IF(ISBLANK(Récap1!AH18),"",Récap1!AH18)</f>
        <v>95.082278787878792</v>
      </c>
      <c r="AI18" s="56">
        <f>IF(ISBLANK(Récap1!AI18),"",Récap1!AI18)</f>
        <v>5.1675151515151514</v>
      </c>
      <c r="AJ18" s="870">
        <f>IF(ISBLANK(Récap1!AJ18),"",Récap1!AJ18)</f>
        <v>5.1675151515151523</v>
      </c>
      <c r="AK18" s="56">
        <f>IF(ISBLANK(Récap1!AK18),"",Récap1!AK18)</f>
        <v>6.5110819455480886</v>
      </c>
      <c r="AL18" s="56" t="str">
        <f>IF(ISBLANK(Récap1!AL18),"",Récap1!AL18)</f>
        <v>PVL</v>
      </c>
      <c r="AM18" s="56" t="str">
        <f>IF(ISBLANK(Récap1!AM18),"",Récap1!AM18)</f>
        <v>PVL</v>
      </c>
      <c r="AN18" s="85">
        <f>IF(ISBLANK(Récap1!AN18),"",Récap1!AN18)</f>
        <v>0.2582747666418157</v>
      </c>
      <c r="AO18" s="56" t="str">
        <f>IF(ISBLANK(Récap1!AO18),"",Récap1!AO18)</f>
        <v>PVL</v>
      </c>
      <c r="AP18" s="56" t="str">
        <f>IF(ISBLANK(Récap1!AP18),"",Récap1!AP18)</f>
        <v>PVL</v>
      </c>
      <c r="AQ18" s="56" t="str">
        <f>IF(ISBLANK(Récap1!AQ18),"",Récap1!AQ18)</f>
        <v>PVL</v>
      </c>
      <c r="AR18" s="56" t="str">
        <f>IF(ISBLANK(Récap1!AR18),"",Récap1!AR18)</f>
        <v>PVL</v>
      </c>
      <c r="AS18" s="56" t="str">
        <f>IF(ISBLANK(Récap1!AS18),"",Récap1!AS18)</f>
        <v>PVL</v>
      </c>
      <c r="AT18" s="56" t="str">
        <f>IF(ISBLANK(Récap1!AT18),"",Récap1!AT18)</f>
        <v>PVL</v>
      </c>
      <c r="AU18" s="56" t="str">
        <f>IF(ISBLANK(Récap1!AU18),"",Récap1!AU18)</f>
        <v>PVL</v>
      </c>
      <c r="AV18" s="56" t="str">
        <f>IF(ISBLANK(Récap1!AV18),"",Récap1!AV18)</f>
        <v>PVL</v>
      </c>
      <c r="AW18" s="56" t="str">
        <f>IF(ISBLANK(Récap1!AW18),"",Récap1!AW18)</f>
        <v>PVL</v>
      </c>
      <c r="AX18" s="56" t="str">
        <f>IF(ISBLANK(Récap1!AX18),"",Récap1!AX18)</f>
        <v>PVL</v>
      </c>
      <c r="AY18" s="56" t="str">
        <f>IF(ISBLANK(Récap1!AY18),"",Récap1!AY18)</f>
        <v>PVL</v>
      </c>
      <c r="AZ18" s="56" t="str">
        <f>IF(ISBLANK(Récap1!AZ18),"",Récap1!AZ18)</f>
        <v>PVL</v>
      </c>
      <c r="BA18" s="56" t="str">
        <f>IF(ISBLANK(Récap1!BA18),"",Récap1!BA18)</f>
        <v>PVL</v>
      </c>
      <c r="BB18" s="56" t="str">
        <f>IF(ISBLANK(Récap1!BB18),"",Récap1!BB18)</f>
        <v>PVL</v>
      </c>
      <c r="BC18" s="57" t="str">
        <f>IF(ISBLANK(Récap1!BC18),"",Récap1!BC18)</f>
        <v>PVL</v>
      </c>
      <c r="BD18" s="85">
        <f>IF(ISBLANK(Récap1!BD18),"",Récap1!BD18)</f>
        <v>7.7275160836308379</v>
      </c>
      <c r="BE18" s="56">
        <f>IF(ISBLANK(Récap1!BE18),"",Récap1!BE18)</f>
        <v>6.0279661547861298</v>
      </c>
      <c r="BF18" s="56">
        <f>IF(ISBLANK(Récap1!BF18),"",Récap1!BF18)</f>
        <v>12.05593230957226</v>
      </c>
      <c r="BG18" s="631">
        <f>IF(ISBLANK(Récap1!BG18),"",Récap1!BG18)</f>
        <v>1.5502545454545454E-4</v>
      </c>
      <c r="BH18" s="608">
        <f>IF(ISBLANK(Récap1!BH18),"",Récap1!BH18)</f>
        <v>9.9195806050834195E-2</v>
      </c>
      <c r="BI18" s="56">
        <f>IF(ISBLANK(Récap1!BI18),"",Récap1!BI18)</f>
        <v>0.13815427896424801</v>
      </c>
      <c r="BJ18" s="26" t="e">
        <f>IF(ISBLANK(Récap1!#REF!),"",Récap1!#REF!)</f>
        <v>#REF!</v>
      </c>
      <c r="BK18" s="26" t="e">
        <f>IF(ISBLANK(Récap1!#REF!),"",Récap1!#REF!)</f>
        <v>#REF!</v>
      </c>
      <c r="BL18" s="56">
        <f>IF(ISBLANK('HCT2'!H18),"",'HCT2'!H18)</f>
        <v>4.960814545454547E-2</v>
      </c>
      <c r="BM18" s="56">
        <f>IF(ISBLANK('HCT2'!I18),"",'HCT2'!I18)</f>
        <v>1.3435539393939397</v>
      </c>
      <c r="BN18" s="56">
        <f>IF(ISBLANK('HCT2'!J18),"",'HCT2'!J18)</f>
        <v>1.3693915151515152</v>
      </c>
      <c r="BO18" s="57">
        <f>IF(ISBLANK('HCT2'!K18),"",'HCT2'!K18)</f>
        <v>3.6172606060606061</v>
      </c>
      <c r="BP18" s="56">
        <f>IF(ISBLANK('HCT2'!L18),"",'HCT2'!L18)</f>
        <v>1.0335030303030304</v>
      </c>
      <c r="BQ18" s="870">
        <f>IF(ISBLANK('HCT2'!M18),"",'HCT2'!M18)</f>
        <v>1.8173282568501126</v>
      </c>
      <c r="BR18" s="56">
        <f>IF(ISBLANK('HCT2'!N18),"",'HCT2'!N18)</f>
        <v>4.3967566039946124</v>
      </c>
      <c r="BS18" s="56">
        <f>IF(ISBLANK('HCT2'!O18),"",'HCT2'!O18)</f>
        <v>0.41748622577804639</v>
      </c>
      <c r="BT18" s="871">
        <f>IF(ISBLANK('HCT2'!P18),"",'HCT2'!P18)</f>
        <v>2.8694602483743843E-3</v>
      </c>
      <c r="BU18" s="56">
        <f>IF(ISBLANK('HCT2'!Q18),"",'HCT2'!Q18)</f>
        <v>95.082278787878806</v>
      </c>
      <c r="BV18" s="56">
        <f>IF(ISBLANK('HCT2'!R18),"",'HCT2'!R18)</f>
        <v>95.082278787878792</v>
      </c>
      <c r="BW18" s="56">
        <f>IF(ISBLANK('HCT2'!S18),"",'HCT2'!S18)</f>
        <v>5.1675151515151514</v>
      </c>
      <c r="BX18" s="870">
        <f>IF(ISBLANK('HCT2'!T18),"",'HCT2'!T18)</f>
        <v>5.1675151515151523</v>
      </c>
      <c r="BY18" s="56">
        <f>IF(ISBLANK('HCT2'!U18),"",'HCT2'!U18)</f>
        <v>6.5110819455480886</v>
      </c>
      <c r="BZ18" s="56">
        <f>IF(ISBLANK('HCT2'!V18),"",'HCT2'!V18)</f>
        <v>4.1561976560685148</v>
      </c>
      <c r="CA18" s="56">
        <f>IF(ISBLANK('HCT2'!W18),"",'HCT2'!W18)</f>
        <v>0.43726420171359354</v>
      </c>
      <c r="CB18" s="26" t="str">
        <f>IF(ISBLANK('HCT2'!X18),"",'HCT2'!X18)</f>
        <v/>
      </c>
      <c r="CC18" s="1019">
        <f>IF(ISBLANK('HCT2'!Y18),"",'HCT2'!Y18)</f>
        <v>4.3308066298187207</v>
      </c>
      <c r="CD18" s="1091">
        <f>IF(ISBLANK('HCT2'!Z18),"",'HCT2'!Z18)</f>
        <v>9.8533970362072285</v>
      </c>
      <c r="CE18" s="26" t="str">
        <f>IF(ISBLANK('HCT2'!AA18),"",'HCT2'!AA18)</f>
        <v/>
      </c>
      <c r="CF18" s="26" t="str">
        <f>IF(ISBLANK('HCT2'!AB18),"",'HCT2'!AB18)</f>
        <v/>
      </c>
      <c r="CG18" s="940">
        <f>IF(ISBLANK('HCT2'!AC18),"",'HCT2'!AC18)</f>
        <v>5.7845951831445577</v>
      </c>
      <c r="CH18" s="26" t="str">
        <f>IF(ISBLANK('HCT2'!AD18),"",'HCT2'!AD18)</f>
        <v/>
      </c>
      <c r="CI18" s="26" t="str">
        <f>IF(ISBLANK('HCT2'!AE18),"",'HCT2'!AE18)</f>
        <v/>
      </c>
      <c r="CJ18" s="26" t="str">
        <f>IF(ISBLANK('HCT2'!AF18),"",'HCT2'!AF18)</f>
        <v/>
      </c>
      <c r="CK18" s="26" t="str">
        <f>IF(ISBLANK('HCT2'!AG18),"",'HCT2'!AG18)</f>
        <v/>
      </c>
      <c r="CL18" s="26">
        <f>IF(ISBLANK('HCT2'!AH18),"",'HCT2'!AH18)</f>
        <v>279.75820837698785</v>
      </c>
      <c r="CM18" s="26">
        <f>IF(ISBLANK('HCT2'!AI18),"",'HCT2'!AI18)</f>
        <v>361.87469891816528</v>
      </c>
      <c r="CN18" s="899">
        <f>IF(ISBLANK('HCT2'!AJ18),"",'HCT2'!AJ18)</f>
        <v>72.880498653627569</v>
      </c>
      <c r="CO18" s="26" t="str">
        <f>IF(ISBLANK('HCT2'!AK18),"",'HCT2'!AK18)</f>
        <v/>
      </c>
      <c r="CP18" s="26" t="str">
        <f>IF(ISBLANK('HCT2'!AL18),"",'HCT2'!AL18)</f>
        <v/>
      </c>
      <c r="CQ18" s="26" t="str">
        <f>IF(ISBLANK('HCT2'!AM18),"",'HCT2'!AM18)</f>
        <v/>
      </c>
      <c r="CR18" s="502" t="str">
        <f>IF(ISBLANK('HCT2'!AN18),"",'HCT2'!AN18)</f>
        <v/>
      </c>
      <c r="CS18" s="1117">
        <f>IF(ISBLANK('HCT2'!AO18),"",'HCT2'!AO18)</f>
        <v>5.7845951831445577</v>
      </c>
      <c r="CT18" s="1069">
        <f>IF(ISBLANK('HCT2'!AP18),"",'HCT2'!AP18)</f>
        <v>1</v>
      </c>
      <c r="CU18" s="1147">
        <f>IF(ISBLANK('HCT2'!AQ18),"",'HCT2'!AQ18)</f>
        <v>197.75873784242427</v>
      </c>
      <c r="CV18" s="1135">
        <f>IF(ISBLANK('HCT2'!AR18),"",'HCT2'!AR18)</f>
        <v>197.75873784242427</v>
      </c>
      <c r="CW18" s="77" t="e">
        <f>IF(ISBLANK(Récap1!#REF!),"",Récap1!#REF!)</f>
        <v>#REF!</v>
      </c>
      <c r="CX18" s="77" t="e">
        <f>IF(ISBLANK(Récap1!#REF!),"",Récap1!#REF!)</f>
        <v>#REF!</v>
      </c>
      <c r="CY18" s="26" t="e">
        <f>IF(ISBLANK(Récap1!#REF!),"",Récap1!#REF!)</f>
        <v>#REF!</v>
      </c>
      <c r="CZ18" s="26" t="e">
        <f>IF(ISBLANK(Récap1!#REF!),"",Récap1!#REF!)</f>
        <v>#REF!</v>
      </c>
      <c r="DA18" s="26" t="e">
        <f>IF(ISBLANK(Récap1!#REF!),"",Récap1!#REF!)</f>
        <v>#REF!</v>
      </c>
      <c r="DB18" s="26" t="e">
        <f>IF(ISBLANK(Récap1!#REF!),"",Récap1!#REF!)</f>
        <v>#REF!</v>
      </c>
      <c r="DC18" s="77">
        <f>IF(ISBLANK('HCT2'!AS18),"",'HCT2'!AS18)</f>
        <v>48.583748982634312</v>
      </c>
      <c r="DD18" s="26">
        <f>IF(ISBLANK('HCT2'!AT18),"",'HCT2'!AT18)</f>
        <v>66.087975022722887</v>
      </c>
      <c r="DE18" s="26" t="str">
        <f>IF(ISBLANK('HCT2'!AU18),"",'HCT2'!AU18)</f>
        <v>PVL</v>
      </c>
      <c r="DF18" s="26" t="str">
        <f>IF(ISBLANK('HCT2'!AV18),"",'HCT2'!AV18)</f>
        <v>PVL</v>
      </c>
      <c r="DG18" s="26" t="str">
        <f>IF(ISBLANK('HCT2'!AW18),"",'HCT2'!AW18)</f>
        <v/>
      </c>
      <c r="DH18" s="26" t="str">
        <f>IF(ISBLANK('HCT2'!AX18),"",'HCT2'!AX18)</f>
        <v/>
      </c>
      <c r="DI18" s="26" t="str">
        <f>IF(ISBLANK('HCT2'!AY18),"",'HCT2'!AY18)</f>
        <v/>
      </c>
      <c r="DJ18" s="898">
        <f>IF(ISBLANK('HCT2'!AZ18),"",'HCT2'!AZ18)</f>
        <v>38.174063482164321</v>
      </c>
      <c r="DK18" s="26">
        <f>IF(ISBLANK('HCT2'!BA18),"",'HCT2'!BA18)</f>
        <v>14.720925537116788</v>
      </c>
      <c r="DL18" s="26" t="str">
        <f>IF(ISBLANK('HCT2'!BB18),"",'HCT2'!BB18)</f>
        <v>PVL</v>
      </c>
      <c r="DM18" s="899" t="str">
        <f>IF(ISBLANK('HCT2'!BC18),"",'HCT2'!BC18)</f>
        <v>PVL</v>
      </c>
      <c r="DN18" s="950">
        <f>IF(ISBLANK('HCT2'!BD18),"",'HCT2'!BD18)</f>
        <v>14.720925537116788</v>
      </c>
      <c r="DO18" s="1080">
        <f>IF(ISBLANK('HCT2'!BE18),"",'HCT2'!BE18)</f>
        <v>0.68160323968664671</v>
      </c>
      <c r="DP18" s="958">
        <f>IF(ISBLANK('HCT2'!BF18),"",'HCT2'!BF18)</f>
        <v>26.250875753075597</v>
      </c>
      <c r="DQ18" s="920">
        <f>SUM(BQ18:BT18,BX18:CA18)</f>
        <v>22.906499501716493</v>
      </c>
      <c r="DS18" s="56">
        <f>SUM(BU18:BU18)+SUM(BL18:BL18)</f>
        <v>95.131886933333348</v>
      </c>
      <c r="DT18" s="56">
        <f>SUM(BV18:BV18)+SUM(BM18:BM18)</f>
        <v>96.425832727272734</v>
      </c>
      <c r="DU18" s="56">
        <f>SUM(BW18:BW18)+SUM(BP18:BP18)</f>
        <v>6.2010181818181813</v>
      </c>
      <c r="DV18" s="870">
        <f>SUM(BX18:BX18)+SUM(BQ18:BQ18)</f>
        <v>6.9848434083652648</v>
      </c>
      <c r="DW18" s="56">
        <f>SUM(BY18:BY18)+SUM(BR18:BR18)</f>
        <v>10.907838549542701</v>
      </c>
      <c r="DX18" s="56">
        <f>SUM(BZ18:BZ18)+SUM(BS18:BS18)</f>
        <v>4.5736838818465611</v>
      </c>
      <c r="DY18" s="56">
        <f>SUM(CA18:CA18)+SUM(BT18:BT18)</f>
        <v>0.4401336619619679</v>
      </c>
    </row>
    <row r="19" spans="1:131" s="26" customFormat="1" hidden="1">
      <c r="A19" s="482"/>
      <c r="B19" s="27"/>
      <c r="C19" s="77"/>
      <c r="D19" s="502"/>
      <c r="E19" s="103" t="str">
        <f>IF(ISBLANK(Récap1!E19),"",Récap1!E19)</f>
        <v>Teneur limite (effet sans seuil)</v>
      </c>
      <c r="F19" s="14" t="str">
        <f>IF(ISBLANK(Récap1!F19),"",Récap1!F19)</f>
        <v>Cs</v>
      </c>
      <c r="G19" s="105" t="str">
        <f>IF(ISBLANK(Récap1!G19),"",Récap1!G19)</f>
        <v>mg/kg ms</v>
      </c>
      <c r="H19" s="85" t="str">
        <f>IF(ISBLANK(Récap1!H19),"",Récap1!H19)</f>
        <v>PVL</v>
      </c>
      <c r="I19" s="56" t="str">
        <f>IF(ISBLANK(Récap1!I19),"",Récap1!I19)</f>
        <v>PVL</v>
      </c>
      <c r="J19" s="56" t="str">
        <f>IF(ISBLANK(Récap1!J19),"",Récap1!J19)</f>
        <v>PVL</v>
      </c>
      <c r="K19" s="85">
        <f>IF(ISBLANK(Récap1!K19),"",Récap1!K19)</f>
        <v>1.8086303030303033</v>
      </c>
      <c r="L19" s="56" t="str">
        <f>IF(ISBLANK(Récap1!L19),"",Récap1!L19)</f>
        <v>PVL</v>
      </c>
      <c r="M19" s="56" t="str">
        <f>IF(ISBLANK(Récap1!M19),"",Récap1!M19)</f>
        <v>PVL</v>
      </c>
      <c r="N19" s="56">
        <f>IF(ISBLANK(Récap1!N19),"",Récap1!N19)</f>
        <v>0.90431515151515141</v>
      </c>
      <c r="O19" s="56">
        <f>IF(ISBLANK(Récap1!O19),"",Récap1!O19)</f>
        <v>0.90431515151515141</v>
      </c>
      <c r="P19" s="56">
        <f>IF(ISBLANK(Récap1!P19),"",Récap1!P19)</f>
        <v>0.30654750898818695</v>
      </c>
      <c r="Q19" s="56">
        <f>IF(ISBLANK(Récap1!Q19),"",Récap1!Q19)</f>
        <v>0.30654750898818695</v>
      </c>
      <c r="R19" s="56">
        <f>IF(ISBLANK(Récap1!R19),"",Récap1!R19)</f>
        <v>1.8086303030303033</v>
      </c>
      <c r="S19" s="56">
        <f>IF(ISBLANK(Récap1!S19),"",Récap1!S19)</f>
        <v>7.863610013175229E-2</v>
      </c>
      <c r="T19" s="56">
        <f>IF(ISBLANK(Récap1!T19),"",Récap1!T19)</f>
        <v>7.863610013175229E-2</v>
      </c>
      <c r="U19" s="56">
        <f>IF(ISBLANK(Récap1!U19),"",Récap1!U19)</f>
        <v>4.3062626262626261E-2</v>
      </c>
      <c r="V19" s="681" t="str">
        <f>IF(ISBLANK(Récap1!V19),"",Récap1!V19)</f>
        <v>PVL</v>
      </c>
      <c r="W19" s="56" t="str">
        <f>IF(ISBLANK(Récap1!W19),"",Récap1!W19)</f>
        <v>PVL</v>
      </c>
      <c r="X19" s="56">
        <f>IF(ISBLANK(Récap1!X19),"",Récap1!X19)</f>
        <v>0.30143838383838378</v>
      </c>
      <c r="Y19" s="56" t="str">
        <f>IF(ISBLANK(Récap1!Y19),"",Récap1!Y19)</f>
        <v>PVL</v>
      </c>
      <c r="Z19" s="56">
        <f>IF(ISBLANK(Récap1!Z19),"",Récap1!Z19)</f>
        <v>0.72345212121212132</v>
      </c>
      <c r="AA19" s="57" t="str">
        <f>IF(ISBLANK(Récap1!AA19),"",Récap1!AA19)</f>
        <v>PVL</v>
      </c>
      <c r="AB19" s="56" t="str">
        <f>IF(ISBLANK(Récap1!AB19),"",Récap1!AB19)</f>
        <v>PVL</v>
      </c>
      <c r="AC19" s="870" t="str">
        <f>IF(ISBLANK(Récap1!AC19),"",Récap1!AC19)</f>
        <v>PVL</v>
      </c>
      <c r="AD19" s="56" t="str">
        <f>IF(ISBLANK(Récap1!AD19),"",Récap1!AD19)</f>
        <v>PVL</v>
      </c>
      <c r="AE19" s="56" t="str">
        <f>IF(ISBLANK(Récap1!AE19),"",Récap1!AE19)</f>
        <v>PVL</v>
      </c>
      <c r="AF19" s="871" t="str">
        <f>IF(ISBLANK(Récap1!AF19),"",Récap1!AF19)</f>
        <v>PVL</v>
      </c>
      <c r="AG19" s="56" t="str">
        <f>IF(ISBLANK(Récap1!AG19),"",Récap1!AG19)</f>
        <v>PVL</v>
      </c>
      <c r="AH19" s="56" t="str">
        <f>IF(ISBLANK(Récap1!AH19),"",Récap1!AH19)</f>
        <v>PVL</v>
      </c>
      <c r="AI19" s="56" t="str">
        <f>IF(ISBLANK(Récap1!AI19),"",Récap1!AI19)</f>
        <v>PVL</v>
      </c>
      <c r="AJ19" s="870" t="str">
        <f>IF(ISBLANK(Récap1!AJ19),"",Récap1!AJ19)</f>
        <v>PVL</v>
      </c>
      <c r="AK19" s="56" t="str">
        <f>IF(ISBLANK(Récap1!AK19),"",Récap1!AK19)</f>
        <v>PVL</v>
      </c>
      <c r="AL19" s="56" t="str">
        <f>IF(ISBLANK(Récap1!AL19),"",Récap1!AL19)</f>
        <v>PVL</v>
      </c>
      <c r="AM19" s="56" t="str">
        <f>IF(ISBLANK(Récap1!AM19),"",Récap1!AM19)</f>
        <v>PVL</v>
      </c>
      <c r="AN19" s="85">
        <f>IF(ISBLANK(Récap1!AN19),"",Récap1!AN19)</f>
        <v>5.4657193234831106E-2</v>
      </c>
      <c r="AO19" s="56">
        <f>IF(ISBLANK(Récap1!AO19),"",Récap1!AO19)</f>
        <v>3.2736081774919841</v>
      </c>
      <c r="AP19" s="56">
        <f>IF(ISBLANK(Récap1!AP19),"",Récap1!AP19)</f>
        <v>2.5158632155480651</v>
      </c>
      <c r="AQ19" s="56">
        <f>IF(ISBLANK(Récap1!AQ19),"",Récap1!AQ19)</f>
        <v>4.0000540500248984</v>
      </c>
      <c r="AR19" s="56">
        <f>IF(ISBLANK(Récap1!AR19),"",Récap1!AR19)</f>
        <v>9.299913277035321</v>
      </c>
      <c r="AS19" s="56">
        <f>IF(ISBLANK(Récap1!AS19),"",Récap1!AS19)</f>
        <v>0.81130487583452282</v>
      </c>
      <c r="AT19" s="56">
        <f>IF(ISBLANK(Récap1!AT19),"",Récap1!AT19)</f>
        <v>35.52976496968072</v>
      </c>
      <c r="AU19" s="56">
        <f>IF(ISBLANK(Récap1!AU19),"",Récap1!AU19)</f>
        <v>36.385664955652977</v>
      </c>
      <c r="AV19" s="56">
        <f>IF(ISBLANK(Récap1!AV19),"",Récap1!AV19)</f>
        <v>1.2661929454148575</v>
      </c>
      <c r="AW19" s="56">
        <f>IF(ISBLANK(Récap1!AW19),"",Récap1!AW19)</f>
        <v>13.022816301201384</v>
      </c>
      <c r="AX19" s="56">
        <f>IF(ISBLANK(Récap1!AX19),"",Récap1!AX19)</f>
        <v>25.861298922701501</v>
      </c>
      <c r="AY19" s="56">
        <f>IF(ISBLANK(Récap1!AY19),"",Récap1!AY19)</f>
        <v>37.416668079564445</v>
      </c>
      <c r="AZ19" s="56">
        <f>IF(ISBLANK(Récap1!AZ19),"",Récap1!AZ19)</f>
        <v>5.5738464851434175</v>
      </c>
      <c r="BA19" s="56">
        <f>IF(ISBLANK(Récap1!BA19),"",Récap1!BA19)</f>
        <v>31.986967206047492</v>
      </c>
      <c r="BB19" s="56">
        <f>IF(ISBLANK(Récap1!BB19),"",Récap1!BB19)</f>
        <v>207.51375486344185</v>
      </c>
      <c r="BC19" s="57">
        <f>IF(ISBLANK(Récap1!BC19),"",Récap1!BC19)</f>
        <v>75904424.211020678</v>
      </c>
      <c r="BD19" s="85" t="str">
        <f>IF(ISBLANK(Récap1!BD19),"",Récap1!BD19)</f>
        <v>PVL</v>
      </c>
      <c r="BE19" s="56">
        <f>IF(ISBLANK(Récap1!BE19),"",Récap1!BE19)</f>
        <v>0.68232498837884525</v>
      </c>
      <c r="BF19" s="56">
        <f>IF(ISBLANK(Récap1!BF19),"",Récap1!BF19)</f>
        <v>1.3646499767576905</v>
      </c>
      <c r="BG19" s="56" t="str">
        <f>IF(ISBLANK(Récap1!BG19),"",Récap1!BG19)</f>
        <v>PVL</v>
      </c>
      <c r="BH19" s="608" t="str">
        <f>IF(ISBLANK(Récap1!BH19),"",Récap1!BH19)</f>
        <v>PVL</v>
      </c>
      <c r="BI19" s="56" t="str">
        <f>IF(ISBLANK(Récap1!BI19),"",Récap1!BI19)</f>
        <v>PVL</v>
      </c>
      <c r="BJ19" s="26" t="e">
        <f>IF(ISBLANK(Récap1!#REF!),"",Récap1!#REF!)</f>
        <v>#REF!</v>
      </c>
      <c r="BK19" s="26" t="e">
        <f>IF(ISBLANK(Récap1!#REF!),"",Récap1!#REF!)</f>
        <v>#REF!</v>
      </c>
      <c r="BL19" s="56">
        <f>IF(ISBLANK('HCT2'!H19),"",'HCT2'!H19)</f>
        <v>0.30143838383838378</v>
      </c>
      <c r="BM19" s="56" t="str">
        <f>IF(ISBLANK('HCT2'!I19),"",'HCT2'!I19)</f>
        <v>PVL</v>
      </c>
      <c r="BN19" s="56">
        <f>IF(ISBLANK('HCT2'!J19),"",'HCT2'!J19)</f>
        <v>0.72345212121212132</v>
      </c>
      <c r="BO19" s="57" t="str">
        <f>IF(ISBLANK('HCT2'!K19),"",'HCT2'!K19)</f>
        <v>PVL</v>
      </c>
      <c r="BP19" s="56" t="e">
        <f>IF(ISBLANK('HCT2'!L19),"",'HCT2'!L19)</f>
        <v>#VALUE!</v>
      </c>
      <c r="BQ19" s="870" t="e">
        <f>IF(ISBLANK('HCT2'!M19),"",'HCT2'!M19)</f>
        <v>#VALUE!</v>
      </c>
      <c r="BR19" s="56" t="e">
        <f>IF(ISBLANK('HCT2'!N19),"",'HCT2'!N19)</f>
        <v>#VALUE!</v>
      </c>
      <c r="BS19" s="56" t="e">
        <f>IF(ISBLANK('HCT2'!O19),"",'HCT2'!O19)</f>
        <v>#VALUE!</v>
      </c>
      <c r="BT19" s="871" t="e">
        <f>IF(ISBLANK('HCT2'!P19),"",'HCT2'!P19)</f>
        <v>#VALUE!</v>
      </c>
      <c r="BU19" s="56" t="e">
        <f>IF(ISBLANK('HCT2'!Q19),"",'HCT2'!Q19)</f>
        <v>#VALUE!</v>
      </c>
      <c r="BV19" s="56" t="e">
        <f>IF(ISBLANK('HCT2'!R19),"",'HCT2'!R19)</f>
        <v>#VALUE!</v>
      </c>
      <c r="BW19" s="56" t="e">
        <f>IF(ISBLANK('HCT2'!S19),"",'HCT2'!S19)</f>
        <v>#VALUE!</v>
      </c>
      <c r="BX19" s="870" t="e">
        <f>IF(ISBLANK('HCT2'!T19),"",'HCT2'!T19)</f>
        <v>#VALUE!</v>
      </c>
      <c r="BY19" s="56" t="e">
        <f>IF(ISBLANK('HCT2'!U19),"",'HCT2'!U19)</f>
        <v>#VALUE!</v>
      </c>
      <c r="BZ19" s="56" t="e">
        <f>IF(ISBLANK('HCT2'!V19),"",'HCT2'!V19)</f>
        <v>#VALUE!</v>
      </c>
      <c r="CA19" s="56" t="e">
        <f>IF(ISBLANK('HCT2'!W19),"",'HCT2'!W19)</f>
        <v>#VALUE!</v>
      </c>
      <c r="CB19" s="26" t="str">
        <f>IF(ISBLANK('HCT2'!X19),"",'HCT2'!X19)</f>
        <v/>
      </c>
      <c r="CC19" s="1019">
        <f>IF(ISBLANK('HCT2'!Y19),"",'HCT2'!Y19)</f>
        <v>26.315665285356793</v>
      </c>
      <c r="CD19" s="1091" t="str">
        <f>IF(ISBLANK('HCT2'!Z19),"",'HCT2'!Z19)</f>
        <v>PVL</v>
      </c>
      <c r="CE19" s="26" t="str">
        <f>IF(ISBLANK('HCT2'!AA19),"",'HCT2'!AA19)</f>
        <v/>
      </c>
      <c r="CF19" s="26" t="str">
        <f>IF(ISBLANK('HCT2'!AB19),"",'HCT2'!AB19)</f>
        <v/>
      </c>
      <c r="CG19" s="940" t="str">
        <f>IF(ISBLANK('HCT2'!AC19),"",'HCT2'!AC19)</f>
        <v>PVL</v>
      </c>
      <c r="CH19" s="26" t="str">
        <f>IF(ISBLANK('HCT2'!AD19),"",'HCT2'!AD19)</f>
        <v/>
      </c>
      <c r="CI19" s="26" t="str">
        <f>IF(ISBLANK('HCT2'!AE19),"",'HCT2'!AE19)</f>
        <v/>
      </c>
      <c r="CJ19" s="26" t="str">
        <f>IF(ISBLANK('HCT2'!AF19),"",'HCT2'!AF19)</f>
        <v/>
      </c>
      <c r="CK19" s="899" t="str">
        <f>IF(ISBLANK('HCT2'!AG19),"",'HCT2'!AG19)</f>
        <v/>
      </c>
      <c r="CL19" s="26" t="str">
        <f>IF(ISBLANK('HCT2'!AH19),"",'HCT2'!AH19)</f>
        <v>PVL</v>
      </c>
      <c r="CM19" s="26" t="str">
        <f>IF(ISBLANK('HCT2'!AI19),"",'HCT2'!AI19)</f>
        <v>PVL</v>
      </c>
      <c r="CN19" s="899" t="str">
        <f>IF(ISBLANK('HCT2'!AJ19),"",'HCT2'!AJ19)</f>
        <v>PVL</v>
      </c>
      <c r="CO19" s="26" t="str">
        <f>IF(ISBLANK('HCT2'!AK19),"",'HCT2'!AK19)</f>
        <v/>
      </c>
      <c r="CP19" s="26" t="str">
        <f>IF(ISBLANK('HCT2'!AL19),"",'HCT2'!AL19)</f>
        <v/>
      </c>
      <c r="CQ19" s="26" t="str">
        <f>IF(ISBLANK('HCT2'!AM19),"",'HCT2'!AM19)</f>
        <v/>
      </c>
      <c r="CR19" s="502" t="str">
        <f>IF(ISBLANK('HCT2'!AN19),"",'HCT2'!AN19)</f>
        <v/>
      </c>
      <c r="CS19" s="1117" t="str">
        <f>IF(ISBLANK('HCT2'!AO19),"",'HCT2'!AO19)</f>
        <v>PVL</v>
      </c>
      <c r="CT19" s="1069">
        <f>IF(ISBLANK('HCT2'!AP19),"",'HCT2'!AP19)</f>
        <v>1.145471264243954E-2</v>
      </c>
      <c r="CU19" s="1147">
        <f>IF(ISBLANK('HCT2'!AQ19),"",'HCT2'!AQ19)</f>
        <v>26.315665285356793</v>
      </c>
      <c r="CV19" s="1135" t="e">
        <f>IF(ISBLANK('HCT2'!AR19),"",'HCT2'!AR19)</f>
        <v>#VALUE!</v>
      </c>
      <c r="CW19" s="77" t="e">
        <f>IF(ISBLANK(Récap1!#REF!),"",Récap1!#REF!)</f>
        <v>#REF!</v>
      </c>
      <c r="CX19" s="77" t="e">
        <f>IF(ISBLANK(Récap1!#REF!),"",Récap1!#REF!)</f>
        <v>#REF!</v>
      </c>
      <c r="CY19" s="26" t="e">
        <f>IF(ISBLANK(Récap1!#REF!),"",Récap1!#REF!)</f>
        <v>#REF!</v>
      </c>
      <c r="CZ19" s="26" t="e">
        <f>IF(ISBLANK(Récap1!#REF!),"",Récap1!#REF!)</f>
        <v>#REF!</v>
      </c>
      <c r="DA19" s="26" t="e">
        <f>IF(ISBLANK(Récap1!#REF!),"",Récap1!#REF!)</f>
        <v>#REF!</v>
      </c>
      <c r="DB19" s="26" t="e">
        <f>IF(ISBLANK(Récap1!#REF!),"",Récap1!#REF!)</f>
        <v>#REF!</v>
      </c>
      <c r="DC19" s="77" t="str">
        <f>IF(ISBLANK('HCT2'!AS19),"",'HCT2'!AS19)</f>
        <v>PVL</v>
      </c>
      <c r="DD19" s="26" t="str">
        <f>IF(ISBLANK('HCT2'!AT19),"",'HCT2'!AT19)</f>
        <v>PVL</v>
      </c>
      <c r="DE19" s="26" t="str">
        <f>IF(ISBLANK('HCT2'!AU19),"",'HCT2'!AU19)</f>
        <v>PVL</v>
      </c>
      <c r="DF19" s="26" t="str">
        <f>IF(ISBLANK('HCT2'!AV19),"",'HCT2'!AV19)</f>
        <v>PVL</v>
      </c>
      <c r="DG19" s="26" t="str">
        <f>IF(ISBLANK('HCT2'!AW19),"",'HCT2'!AW19)</f>
        <v/>
      </c>
      <c r="DH19" s="26" t="str">
        <f>IF(ISBLANK('HCT2'!AX19),"",'HCT2'!AX19)</f>
        <v/>
      </c>
      <c r="DI19" s="26" t="str">
        <f>IF(ISBLANK('HCT2'!AY19),"",'HCT2'!AY19)</f>
        <v/>
      </c>
      <c r="DJ19" s="898" t="str">
        <f>IF(ISBLANK('HCT2'!AZ19),"",'HCT2'!AZ19)</f>
        <v>PVL</v>
      </c>
      <c r="DK19" s="26" t="str">
        <f>IF(ISBLANK('HCT2'!BA19),"",'HCT2'!BA19)</f>
        <v>PVL</v>
      </c>
      <c r="DL19" s="26" t="str">
        <f>IF(ISBLANK('HCT2'!BB19),"",'HCT2'!BB19)</f>
        <v>PVL</v>
      </c>
      <c r="DM19" s="899" t="str">
        <f>IF(ISBLANK('HCT2'!BC19),"",'HCT2'!BC19)</f>
        <v>PVL</v>
      </c>
      <c r="DN19" s="950" t="str">
        <f>IF(ISBLANK('HCT2'!BD19),"",'HCT2'!BD19)</f>
        <v>PVL</v>
      </c>
      <c r="DO19" s="1080">
        <f>IF(ISBLANK('HCT2'!BE19),"",'HCT2'!BE19)</f>
        <v>0</v>
      </c>
      <c r="DP19" s="960" t="str">
        <f>IF(ISBLANK('HCT2'!BF19),"",'HCT2'!BF19)</f>
        <v>PVL</v>
      </c>
      <c r="DQ19" s="920" t="e">
        <f t="shared" ref="DQ19:DQ82" si="0">SUM(BQ19:BT19,BX19:CA19)</f>
        <v>#VALUE!</v>
      </c>
      <c r="DS19" s="56" t="e">
        <f t="shared" ref="DS19:DT82" si="1">SUM(BU19:BU19)+SUM(BL19:BL19)</f>
        <v>#VALUE!</v>
      </c>
      <c r="DT19" s="56" t="e">
        <f t="shared" si="1"/>
        <v>#VALUE!</v>
      </c>
      <c r="DU19" s="56" t="e">
        <f t="shared" ref="DU19:DY71" si="2">SUM(BW19:BW19)+SUM(BP19:BP19)</f>
        <v>#VALUE!</v>
      </c>
      <c r="DV19" s="870" t="e">
        <f t="shared" si="2"/>
        <v>#VALUE!</v>
      </c>
      <c r="DW19" s="56" t="e">
        <f t="shared" si="2"/>
        <v>#VALUE!</v>
      </c>
      <c r="DX19" s="56" t="e">
        <f t="shared" si="2"/>
        <v>#VALUE!</v>
      </c>
      <c r="DY19" s="56" t="e">
        <f t="shared" si="2"/>
        <v>#VALUE!</v>
      </c>
    </row>
    <row r="20" spans="1:131" s="26" customFormat="1" hidden="1">
      <c r="A20" s="482"/>
      <c r="B20" s="27"/>
      <c r="C20" s="77"/>
      <c r="D20" s="502"/>
      <c r="E20" s="103" t="str">
        <f>IF(ISBLANK(Récap1!E20),"",Récap1!E20)</f>
        <v>Teneur limite avant contrôle de la saturation</v>
      </c>
      <c r="F20" s="14" t="str">
        <f>IF(ISBLANK(Récap1!F20),"",Récap1!F20)</f>
        <v>Cs</v>
      </c>
      <c r="G20" s="14" t="str">
        <f>IF(ISBLANK(Récap1!G20),"",Récap1!G20)</f>
        <v>mg/kg ms</v>
      </c>
      <c r="H20" s="85">
        <f>IF(ISBLANK(Récap1!H20),"",Récap1!H20)</f>
        <v>21.726590419182642</v>
      </c>
      <c r="I20" s="56">
        <f>IF(ISBLANK(Récap1!I20),"",Récap1!I20)</f>
        <v>21.726590419182642</v>
      </c>
      <c r="J20" s="56">
        <f>IF(ISBLANK(Récap1!J20),"",Récap1!J20)</f>
        <v>191.60039130531911</v>
      </c>
      <c r="K20" s="85">
        <f>IF(ISBLANK(Récap1!K20),"",Récap1!K20)</f>
        <v>0.28938084848484852</v>
      </c>
      <c r="L20" s="56">
        <f>IF(ISBLANK(Récap1!L20),"",Récap1!L20)</f>
        <v>0.3100509090909091</v>
      </c>
      <c r="M20" s="56">
        <f>IF(ISBLANK(Récap1!M20),"",Récap1!M20)</f>
        <v>0.3100509090909091</v>
      </c>
      <c r="N20" s="56">
        <f>IF(ISBLANK(Récap1!N20),"",Récap1!N20)</f>
        <v>0.90431515151515141</v>
      </c>
      <c r="O20" s="56">
        <f>IF(ISBLANK(Récap1!O20),"",Récap1!O20)</f>
        <v>0.90431515151515141</v>
      </c>
      <c r="P20" s="56">
        <f>IF(ISBLANK(Récap1!P20),"",Récap1!P20)</f>
        <v>0.18086303030303036</v>
      </c>
      <c r="Q20" s="56">
        <f>IF(ISBLANK(Récap1!Q20),"",Récap1!Q20)</f>
        <v>0.18086303030303036</v>
      </c>
      <c r="R20" s="56">
        <f>IF(ISBLANK(Récap1!R20),"",Récap1!R20)</f>
        <v>1.8086303030303033</v>
      </c>
      <c r="S20" s="56">
        <f>IF(ISBLANK(Récap1!S20),"",Récap1!S20)</f>
        <v>7.863610013175229E-2</v>
      </c>
      <c r="T20" s="56">
        <f>IF(ISBLANK(Récap1!T20),"",Récap1!T20)</f>
        <v>7.863610013175229E-2</v>
      </c>
      <c r="U20" s="56">
        <f>IF(ISBLANK(Récap1!U20),"",Récap1!U20)</f>
        <v>4.3062626262626261E-2</v>
      </c>
      <c r="V20" s="681">
        <f>IF(ISBLANK(Récap1!V20),"",Récap1!V20)</f>
        <v>5.1675151515151523</v>
      </c>
      <c r="W20" s="56">
        <f>IF(ISBLANK(Récap1!W20),"",Récap1!W20)</f>
        <v>5.1675151515151523</v>
      </c>
      <c r="X20" s="56">
        <f>IF(ISBLANK(Récap1!X20),"",Récap1!X20)</f>
        <v>4.960814545454547E-2</v>
      </c>
      <c r="Y20" s="56">
        <f>IF(ISBLANK(Récap1!Y20),"",Récap1!Y20)</f>
        <v>1.3435539393939397</v>
      </c>
      <c r="Z20" s="56">
        <f>IF(ISBLANK(Récap1!Z20),"",Récap1!Z20)</f>
        <v>0.72345212121212132</v>
      </c>
      <c r="AA20" s="57">
        <f>IF(ISBLANK(Récap1!AA20),"",Récap1!AA20)</f>
        <v>3.6172606060606061</v>
      </c>
      <c r="AB20" s="56">
        <f>IF(ISBLANK(Récap1!AB20),"",Récap1!AB20)</f>
        <v>1.0335030303030304</v>
      </c>
      <c r="AC20" s="870">
        <f>IF(ISBLANK(Récap1!AC20),"",Récap1!AC20)</f>
        <v>1.8173282568501126</v>
      </c>
      <c r="AD20" s="56">
        <f>IF(ISBLANK(Récap1!AD20),"",Récap1!AD20)</f>
        <v>4.3967566039946124</v>
      </c>
      <c r="AE20" s="56" t="str">
        <f>IF(ISBLANK(Récap1!AE20),"",Récap1!AE20)</f>
        <v>PVL</v>
      </c>
      <c r="AF20" s="871" t="str">
        <f>IF(ISBLANK(Récap1!AF20),"",Récap1!AF20)</f>
        <v>PVL</v>
      </c>
      <c r="AG20" s="56">
        <f>IF(ISBLANK(Récap1!AG20),"",Récap1!AG20)</f>
        <v>95.082278787878806</v>
      </c>
      <c r="AH20" s="56">
        <f>IF(ISBLANK(Récap1!AH20),"",Récap1!AH20)</f>
        <v>95.082278787878792</v>
      </c>
      <c r="AI20" s="56">
        <f>IF(ISBLANK(Récap1!AI20),"",Récap1!AI20)</f>
        <v>5.1675151515151514</v>
      </c>
      <c r="AJ20" s="870">
        <f>IF(ISBLANK(Récap1!AJ20),"",Récap1!AJ20)</f>
        <v>5.1675151515151523</v>
      </c>
      <c r="AK20" s="56">
        <f>IF(ISBLANK(Récap1!AK20),"",Récap1!AK20)</f>
        <v>6.5110819455480886</v>
      </c>
      <c r="AL20" s="56" t="str">
        <f>IF(ISBLANK(Récap1!AL20),"",Récap1!AL20)</f>
        <v>PVL</v>
      </c>
      <c r="AM20" s="56" t="str">
        <f>IF(ISBLANK(Récap1!AM20),"",Récap1!AM20)</f>
        <v>PVL</v>
      </c>
      <c r="AN20" s="85">
        <f>IF(ISBLANK(Récap1!AN20),"",Récap1!AN20)</f>
        <v>5.4657193234831106E-2</v>
      </c>
      <c r="AO20" s="56">
        <f>IF(ISBLANK(Récap1!AO20),"",Récap1!AO20)</f>
        <v>3.2736081774919841</v>
      </c>
      <c r="AP20" s="56">
        <f>IF(ISBLANK(Récap1!AP20),"",Récap1!AP20)</f>
        <v>2.5158632155480651</v>
      </c>
      <c r="AQ20" s="56">
        <f>IF(ISBLANK(Récap1!AQ20),"",Récap1!AQ20)</f>
        <v>4.0000540500248984</v>
      </c>
      <c r="AR20" s="56">
        <f>IF(ISBLANK(Récap1!AR20),"",Récap1!AR20)</f>
        <v>9.299913277035321</v>
      </c>
      <c r="AS20" s="56">
        <f>IF(ISBLANK(Récap1!AS20),"",Récap1!AS20)</f>
        <v>0.81130487583452282</v>
      </c>
      <c r="AT20" s="56">
        <f>IF(ISBLANK(Récap1!AT20),"",Récap1!AT20)</f>
        <v>35.52976496968072</v>
      </c>
      <c r="AU20" s="56">
        <f>IF(ISBLANK(Récap1!AU20),"",Récap1!AU20)</f>
        <v>36.385664955652977</v>
      </c>
      <c r="AV20" s="56">
        <f>IF(ISBLANK(Récap1!AV20),"",Récap1!AV20)</f>
        <v>1.2661929454148575</v>
      </c>
      <c r="AW20" s="56">
        <f>IF(ISBLANK(Récap1!AW20),"",Récap1!AW20)</f>
        <v>13.022816301201384</v>
      </c>
      <c r="AX20" s="56">
        <f>IF(ISBLANK(Récap1!AX20),"",Récap1!AX20)</f>
        <v>25.861298922701501</v>
      </c>
      <c r="AY20" s="56">
        <f>IF(ISBLANK(Récap1!AY20),"",Récap1!AY20)</f>
        <v>37.416668079564445</v>
      </c>
      <c r="AZ20" s="56">
        <f>IF(ISBLANK(Récap1!AZ20),"",Récap1!AZ20)</f>
        <v>5.5738464851434175</v>
      </c>
      <c r="BA20" s="56">
        <f>IF(ISBLANK(Récap1!BA20),"",Récap1!BA20)</f>
        <v>31.986967206047492</v>
      </c>
      <c r="BB20" s="56">
        <f>IF(ISBLANK(Récap1!BB20),"",Récap1!BB20)</f>
        <v>207.51375486344185</v>
      </c>
      <c r="BC20" s="57">
        <f>IF(ISBLANK(Récap1!BC20),"",Récap1!BC20)</f>
        <v>75904424.211020678</v>
      </c>
      <c r="BD20" s="85">
        <f>IF(ISBLANK(Récap1!BD20),"",Récap1!BD20)</f>
        <v>7.7275160836308379</v>
      </c>
      <c r="BE20" s="56">
        <f>IF(ISBLANK(Récap1!BE20),"",Récap1!BE20)</f>
        <v>0.68232498837884525</v>
      </c>
      <c r="BF20" s="56">
        <f>IF(ISBLANK(Récap1!BF20),"",Récap1!BF20)</f>
        <v>1.3646499767576905</v>
      </c>
      <c r="BG20" s="56">
        <f>IF(ISBLANK(Récap1!BG20),"",Récap1!BG20)</f>
        <v>1.5502545454545454E-4</v>
      </c>
      <c r="BH20" s="608">
        <f>IF(ISBLANK(Récap1!BH20),"",Récap1!BH20)</f>
        <v>9.9195806050834195E-2</v>
      </c>
      <c r="BI20" s="56">
        <f>IF(ISBLANK(Récap1!BI20),"",Récap1!BI20)</f>
        <v>0.13815427896424801</v>
      </c>
      <c r="BJ20" s="26" t="e">
        <f>IF(ISBLANK(Récap1!#REF!),"",Récap1!#REF!)</f>
        <v>#REF!</v>
      </c>
      <c r="BK20" s="26" t="e">
        <f>IF(ISBLANK(Récap1!#REF!),"",Récap1!#REF!)</f>
        <v>#REF!</v>
      </c>
      <c r="BL20" s="56">
        <f>IF(ISBLANK('HCT2'!H20),"",'HCT2'!H20)</f>
        <v>4.960814545454547E-2</v>
      </c>
      <c r="BM20" s="56">
        <f>IF(ISBLANK('HCT2'!I20),"",'HCT2'!I20)</f>
        <v>1.3435539393939397</v>
      </c>
      <c r="BN20" s="56">
        <f>IF(ISBLANK('HCT2'!J20),"",'HCT2'!J20)</f>
        <v>0.72345212121212132</v>
      </c>
      <c r="BO20" s="57">
        <f>IF(ISBLANK('HCT2'!K20),"",'HCT2'!K20)</f>
        <v>3.6172606060606061</v>
      </c>
      <c r="BP20" s="56">
        <f>IF(ISBLANK('HCT2'!L20),"",'HCT2'!L20)</f>
        <v>1.0335030303030304</v>
      </c>
      <c r="BQ20" s="870">
        <f>IF(ISBLANK('HCT2'!M20),"",'HCT2'!M20)</f>
        <v>1.8173282568501126</v>
      </c>
      <c r="BR20" s="56">
        <f>IF(ISBLANK('HCT2'!N20),"",'HCT2'!N20)</f>
        <v>4.3967566039946124</v>
      </c>
      <c r="BS20" s="56">
        <f>IF(ISBLANK('HCT2'!O20),"",'HCT2'!O20)</f>
        <v>0.41748622577804639</v>
      </c>
      <c r="BT20" s="871">
        <f>IF(ISBLANK('HCT2'!P20),"",'HCT2'!P20)</f>
        <v>2.8694602483743843E-3</v>
      </c>
      <c r="BU20" s="56">
        <f>IF(ISBLANK('HCT2'!Q20),"",'HCT2'!Q20)</f>
        <v>95.082278787878806</v>
      </c>
      <c r="BV20" s="56">
        <f>IF(ISBLANK('HCT2'!R20),"",'HCT2'!R20)</f>
        <v>95.082278787878792</v>
      </c>
      <c r="BW20" s="56">
        <f>IF(ISBLANK('HCT2'!S20),"",'HCT2'!S20)</f>
        <v>5.1675151515151514</v>
      </c>
      <c r="BX20" s="870">
        <f>IF(ISBLANK('HCT2'!T20),"",'HCT2'!T20)</f>
        <v>5.1675151515151523</v>
      </c>
      <c r="BY20" s="56">
        <f>IF(ISBLANK('HCT2'!U20),"",'HCT2'!U20)</f>
        <v>6.5110819455480886</v>
      </c>
      <c r="BZ20" s="56">
        <f>IF(ISBLANK('HCT2'!V20),"",'HCT2'!V20)</f>
        <v>4.1561976560685148</v>
      </c>
      <c r="CA20" s="56">
        <f>IF(ISBLANK('HCT2'!W20),"",'HCT2'!W20)</f>
        <v>0.43726420171359354</v>
      </c>
      <c r="CB20" s="26" t="str">
        <f>IF(ISBLANK('HCT2'!X20),"",'HCT2'!X20)</f>
        <v/>
      </c>
      <c r="CC20" s="1019">
        <f>IF(ISBLANK('HCT2'!Y20),"",'HCT2'!Y20)</f>
        <v>4.3308066298187207</v>
      </c>
      <c r="CD20" s="1091">
        <f>IF(ISBLANK('HCT2'!Z20),"",'HCT2'!Z20)</f>
        <v>9.8533970362072285</v>
      </c>
      <c r="CE20" s="26" t="str">
        <f>IF(ISBLANK('HCT2'!AA20),"",'HCT2'!AA20)</f>
        <v/>
      </c>
      <c r="CF20" s="26" t="str">
        <f>IF(ISBLANK('HCT2'!AB20),"",'HCT2'!AB20)</f>
        <v/>
      </c>
      <c r="CG20" s="940">
        <f>IF(ISBLANK('HCT2'!AC20),"",'HCT2'!AC20)</f>
        <v>5.7845951831445577</v>
      </c>
      <c r="CH20" s="26" t="str">
        <f>IF(ISBLANK('HCT2'!AD20),"",'HCT2'!AD20)</f>
        <v/>
      </c>
      <c r="CI20" s="26" t="str">
        <f>IF(ISBLANK('HCT2'!AE20),"",'HCT2'!AE20)</f>
        <v/>
      </c>
      <c r="CJ20" s="26" t="str">
        <f>IF(ISBLANK('HCT2'!AF20),"",'HCT2'!AF20)</f>
        <v/>
      </c>
      <c r="CK20" s="899" t="str">
        <f>IF(ISBLANK('HCT2'!AG20),"",'HCT2'!AG20)</f>
        <v/>
      </c>
      <c r="CL20" s="26">
        <f>IF(ISBLANK('HCT2'!AH20),"",'HCT2'!AH20)</f>
        <v>279.75820837698785</v>
      </c>
      <c r="CM20" s="26">
        <f>IF(ISBLANK('HCT2'!AI20),"",'HCT2'!AI20)</f>
        <v>361.87469891816528</v>
      </c>
      <c r="CN20" s="899">
        <f>IF(ISBLANK('HCT2'!AJ20),"",'HCT2'!AJ20)</f>
        <v>72.880498653627569</v>
      </c>
      <c r="CO20" s="26" t="str">
        <f>IF(ISBLANK('HCT2'!AK20),"",'HCT2'!AK20)</f>
        <v/>
      </c>
      <c r="CP20" s="26" t="str">
        <f>IF(ISBLANK('HCT2'!AL20),"",'HCT2'!AL20)</f>
        <v/>
      </c>
      <c r="CQ20" s="26" t="str">
        <f>IF(ISBLANK('HCT2'!AM20),"",'HCT2'!AM20)</f>
        <v/>
      </c>
      <c r="CR20" s="502" t="str">
        <f>IF(ISBLANK('HCT2'!AN20),"",'HCT2'!AN20)</f>
        <v/>
      </c>
      <c r="CS20" s="1117">
        <f>IF(ISBLANK('HCT2'!AO20),"",'HCT2'!AO20)</f>
        <v>5.7845951831445577</v>
      </c>
      <c r="CT20" s="1069">
        <f>IF(ISBLANK('HCT2'!AP20),"",'HCT2'!AP20)</f>
        <v>1</v>
      </c>
      <c r="CU20" s="1147">
        <f>IF(ISBLANK('HCT2'!AQ20),"",'HCT2'!AQ20)</f>
        <v>197.75873784242427</v>
      </c>
      <c r="CV20" s="1137">
        <f>IF(ISBLANK('HCT2'!AR20),"",'HCT2'!AR20)</f>
        <v>197.75873784242427</v>
      </c>
      <c r="CW20" s="77" t="e">
        <f>IF(ISBLANK(Récap1!#REF!),"",Récap1!#REF!)</f>
        <v>#REF!</v>
      </c>
      <c r="CX20" s="77" t="e">
        <f>IF(ISBLANK(Récap1!#REF!),"",Récap1!#REF!)</f>
        <v>#REF!</v>
      </c>
      <c r="CY20" s="26" t="e">
        <f>IF(ISBLANK(Récap1!#REF!),"",Récap1!#REF!)</f>
        <v>#REF!</v>
      </c>
      <c r="CZ20" s="26" t="e">
        <f>IF(ISBLANK(Récap1!#REF!),"",Récap1!#REF!)</f>
        <v>#REF!</v>
      </c>
      <c r="DA20" s="26" t="e">
        <f>IF(ISBLANK(Récap1!#REF!),"",Récap1!#REF!)</f>
        <v>#REF!</v>
      </c>
      <c r="DB20" s="26" t="e">
        <f>IF(ISBLANK(Récap1!#REF!),"",Récap1!#REF!)</f>
        <v>#REF!</v>
      </c>
      <c r="DC20" s="77">
        <f>IF(ISBLANK('HCT2'!AS20),"",'HCT2'!AS20)</f>
        <v>48.583748982634312</v>
      </c>
      <c r="DD20" s="26">
        <f>IF(ISBLANK('HCT2'!AT20),"",'HCT2'!AT20)</f>
        <v>66.087975022722887</v>
      </c>
      <c r="DE20" s="26" t="str">
        <f>IF(ISBLANK('HCT2'!AU20),"",'HCT2'!AU20)</f>
        <v>PVL</v>
      </c>
      <c r="DF20" s="26" t="str">
        <f>IF(ISBLANK('HCT2'!AV20),"",'HCT2'!AV20)</f>
        <v>PVL</v>
      </c>
      <c r="DG20" s="26" t="str">
        <f>IF(ISBLANK('HCT2'!AW20),"",'HCT2'!AW20)</f>
        <v/>
      </c>
      <c r="DH20" s="26" t="str">
        <f>IF(ISBLANK('HCT2'!AX20),"",'HCT2'!AX20)</f>
        <v/>
      </c>
      <c r="DI20" s="26" t="str">
        <f>IF(ISBLANK('HCT2'!AY20),"",'HCT2'!AY20)</f>
        <v/>
      </c>
      <c r="DJ20" s="898">
        <f>IF(ISBLANK('HCT2'!AZ20),"",'HCT2'!AZ20)</f>
        <v>38.174063482164321</v>
      </c>
      <c r="DK20" s="26">
        <f>IF(ISBLANK('HCT2'!BA20),"",'HCT2'!BA20)</f>
        <v>14.720925537116788</v>
      </c>
      <c r="DL20" s="26" t="str">
        <f>IF(ISBLANK('HCT2'!BB20),"",'HCT2'!BB20)</f>
        <v>PVL</v>
      </c>
      <c r="DM20" s="899" t="str">
        <f>IF(ISBLANK('HCT2'!BC20),"",'HCT2'!BC20)</f>
        <v>PVL</v>
      </c>
      <c r="DN20" s="950">
        <f>IF(ISBLANK('HCT2'!BD20),"",'HCT2'!BD20)</f>
        <v>14.720925537116788</v>
      </c>
      <c r="DO20" s="1080">
        <f>IF(ISBLANK('HCT2'!BE20),"",'HCT2'!BE20)</f>
        <v>0.68160323968664671</v>
      </c>
      <c r="DP20" s="961">
        <f>IF(ISBLANK('HCT2'!BF20),"",'HCT2'!BF20)</f>
        <v>26.250875753075597</v>
      </c>
      <c r="DQ20" s="1063">
        <f t="shared" si="0"/>
        <v>22.906499501716493</v>
      </c>
      <c r="DS20" s="56">
        <f t="shared" si="1"/>
        <v>95.131886933333348</v>
      </c>
      <c r="DT20" s="56">
        <f t="shared" si="1"/>
        <v>96.425832727272734</v>
      </c>
      <c r="DU20" s="56">
        <f t="shared" si="2"/>
        <v>6.2010181818181813</v>
      </c>
      <c r="DV20" s="870">
        <f t="shared" si="2"/>
        <v>6.9848434083652648</v>
      </c>
      <c r="DW20" s="56">
        <f t="shared" si="2"/>
        <v>10.907838549542701</v>
      </c>
      <c r="DX20" s="56">
        <f t="shared" si="2"/>
        <v>4.5736838818465611</v>
      </c>
      <c r="DY20" s="56">
        <f t="shared" si="2"/>
        <v>0.4401336619619679</v>
      </c>
    </row>
    <row r="21" spans="1:131" s="495" customFormat="1">
      <c r="A21" s="398"/>
      <c r="B21" s="492"/>
      <c r="C21" s="984"/>
      <c r="D21" s="281"/>
      <c r="E21" s="103" t="s">
        <v>597</v>
      </c>
      <c r="F21" s="493" t="str">
        <f>IF(ISBLANK(Récap1!F21),"",Récap1!F21)</f>
        <v>Cs</v>
      </c>
      <c r="G21" s="493" t="str">
        <f>IF(ISBLANK(Récap1!G21),"",Récap1!G21)</f>
        <v>mg/kg ms</v>
      </c>
      <c r="H21" s="494">
        <f>IF(ISBLANK(Récap1!H21),"",Récap1!H21)</f>
        <v>21.726590419182642</v>
      </c>
      <c r="I21" s="343">
        <f>IF(ISBLANK(Récap1!I21),"",Récap1!I21)</f>
        <v>21.726590419182642</v>
      </c>
      <c r="J21" s="650">
        <f>IF(ISBLANK(Récap1!J21),"",Récap1!J21)</f>
        <v>191.60039130531911</v>
      </c>
      <c r="K21" s="649">
        <f>IF(ISBLANK(Récap1!K21),"",Récap1!K21)</f>
        <v>0.28938084848484852</v>
      </c>
      <c r="L21" s="650">
        <f>IF(ISBLANK(Récap1!L21),"",Récap1!L21)</f>
        <v>0.3100509090909091</v>
      </c>
      <c r="M21" s="650">
        <f>IF(ISBLANK(Récap1!M21),"",Récap1!M21)</f>
        <v>0.3100509090909091</v>
      </c>
      <c r="N21" s="674">
        <f>IF(ISBLANK(Récap1!N21),"",Récap1!N21)</f>
        <v>0.90431515151515141</v>
      </c>
      <c r="O21" s="650">
        <f>IF(ISBLANK(Récap1!O21),"",Récap1!O21)</f>
        <v>0.90431515151515141</v>
      </c>
      <c r="P21" s="650">
        <f>IF(ISBLANK(Récap1!P21),"",Récap1!P21)</f>
        <v>0.18086303030303036</v>
      </c>
      <c r="Q21" s="650">
        <f>IF(ISBLANK(Récap1!Q21),"",Récap1!Q21)</f>
        <v>0.18086303030303036</v>
      </c>
      <c r="R21" s="650">
        <f>IF(ISBLANK(Récap1!R21),"",Récap1!R21)</f>
        <v>1.8086303030303033</v>
      </c>
      <c r="S21" s="650">
        <f>IF(ISBLANK(Récap1!S21),"",Récap1!S21)</f>
        <v>7.863610013175229E-2</v>
      </c>
      <c r="T21" s="650">
        <f>IF(ISBLANK(Récap1!T21),"",Récap1!T21)</f>
        <v>7.863610013175229E-2</v>
      </c>
      <c r="U21" s="650">
        <f>IF(ISBLANK(Récap1!U21),"",Récap1!U21)</f>
        <v>4.3062626262626261E-2</v>
      </c>
      <c r="V21" s="675">
        <f>IF(ISBLANK(Récap1!V21),"",Récap1!V21)</f>
        <v>5.1675151515151523</v>
      </c>
      <c r="W21" s="650">
        <f>IF(ISBLANK(Récap1!W21),"",Récap1!W21)</f>
        <v>5.1675151515151523</v>
      </c>
      <c r="X21" s="650">
        <f>IF(ISBLANK(Récap1!X21),"",Récap1!X21)</f>
        <v>4.960814545454547E-2</v>
      </c>
      <c r="Y21" s="674">
        <f>IF(ISBLANK(Récap1!Y21),"",Récap1!Y21)</f>
        <v>1.3435539393939397</v>
      </c>
      <c r="Z21" s="674">
        <f>IF(ISBLANK(Récap1!Z21),"",Récap1!Z21)</f>
        <v>0.72345212121212132</v>
      </c>
      <c r="AA21" s="676">
        <f>IF(ISBLANK(Récap1!AA21),"",Récap1!AA21)</f>
        <v>3.6172606060606061</v>
      </c>
      <c r="AB21" s="650">
        <f>IF(ISBLANK(Récap1!AB21),"",Récap1!AB21)</f>
        <v>1.0335030303030304</v>
      </c>
      <c r="AC21" s="1168">
        <f>IF(ISBLANK(Récap1!AC21),"",Récap1!AC21)</f>
        <v>1.8173282568501126</v>
      </c>
      <c r="AD21" s="650">
        <f>IF(ISBLANK(Récap1!AD21),"",Récap1!AD21)</f>
        <v>4.3967566039946124</v>
      </c>
      <c r="AE21" s="650" t="str">
        <f>IF(ISBLANK(Récap1!AE21),"",Récap1!AE21)</f>
        <v>PVL</v>
      </c>
      <c r="AF21" s="1169" t="str">
        <f>IF(ISBLANK(Récap1!AF21),"",Récap1!AF21)</f>
        <v>PVL</v>
      </c>
      <c r="AG21" s="650">
        <f>IF(ISBLANK(Récap1!AG21),"",Récap1!AG21)</f>
        <v>95.082278787878806</v>
      </c>
      <c r="AH21" s="650" t="str">
        <f>IF(ISBLANK(Récap1!AH21),"",Récap1!AH21)</f>
        <v>PVL</v>
      </c>
      <c r="AI21" s="650">
        <f>IF(ISBLANK(Récap1!AI21),"",Récap1!AI21)</f>
        <v>5.1675151515151514</v>
      </c>
      <c r="AJ21" s="1168">
        <f>IF(ISBLANK(Récap1!AJ21),"",Récap1!AJ21)</f>
        <v>5.1675151515151523</v>
      </c>
      <c r="AK21" s="650" t="str">
        <f>IF(ISBLANK(Récap1!AK21),"",Récap1!AK21)</f>
        <v>PVL</v>
      </c>
      <c r="AL21" s="650" t="str">
        <f>IF(ISBLANK(Récap1!AL21),"",Récap1!AL21)</f>
        <v>PVL</v>
      </c>
      <c r="AM21" s="650" t="str">
        <f>IF(ISBLANK(Récap1!AM21),"",Récap1!AM21)</f>
        <v>PVL</v>
      </c>
      <c r="AN21" s="649">
        <f>IF(ISBLANK(Récap1!AN21),"",Récap1!AN21)</f>
        <v>5.4657193234831106E-2</v>
      </c>
      <c r="AO21" s="650">
        <f>IF(ISBLANK(Récap1!AO21),"",Récap1!AO21)</f>
        <v>3.2736081774919841</v>
      </c>
      <c r="AP21" s="650">
        <f>IF(ISBLANK(Récap1!AP21),"",Récap1!AP21)</f>
        <v>2.5158632155480651</v>
      </c>
      <c r="AQ21" s="650">
        <f>IF(ISBLANK(Récap1!AQ21),"",Récap1!AQ21)</f>
        <v>4.0000540500248984</v>
      </c>
      <c r="AR21" s="650" t="str">
        <f>IF(ISBLANK(Récap1!AR21),"",Récap1!AR21)</f>
        <v>PVL</v>
      </c>
      <c r="AS21" s="650" t="str">
        <f>IF(ISBLANK(Récap1!AS21),"",Récap1!AS21)</f>
        <v>PVL</v>
      </c>
      <c r="AT21" s="650" t="str">
        <f>IF(ISBLANK(Récap1!AT21),"",Récap1!AT21)</f>
        <v>PVL</v>
      </c>
      <c r="AU21" s="650" t="str">
        <f>IF(ISBLANK(Récap1!AU21),"",Récap1!AU21)</f>
        <v>PVL</v>
      </c>
      <c r="AV21" s="650" t="str">
        <f>IF(ISBLANK(Récap1!AV21),"",Récap1!AV21)</f>
        <v>PVL</v>
      </c>
      <c r="AW21" s="650" t="str">
        <f>IF(ISBLANK(Récap1!AW21),"",Récap1!AW21)</f>
        <v>PVL</v>
      </c>
      <c r="AX21" s="650" t="str">
        <f>IF(ISBLANK(Récap1!AX21),"",Récap1!AX21)</f>
        <v>PVL</v>
      </c>
      <c r="AY21" s="650" t="str">
        <f>IF(ISBLANK(Récap1!AY21),"",Récap1!AY21)</f>
        <v>PVL</v>
      </c>
      <c r="AZ21" s="650" t="str">
        <f>IF(ISBLANK(Récap1!AZ21),"",Récap1!AZ21)</f>
        <v>PVL</v>
      </c>
      <c r="BA21" s="650" t="str">
        <f>IF(ISBLANK(Récap1!BA21),"",Récap1!BA21)</f>
        <v>PVL</v>
      </c>
      <c r="BB21" s="650" t="str">
        <f>IF(ISBLANK(Récap1!BB21),"",Récap1!BB21)</f>
        <v>PVL</v>
      </c>
      <c r="BC21" s="651" t="str">
        <f>IF(ISBLANK(Récap1!BC21),"",Récap1!BC21)</f>
        <v>PVL</v>
      </c>
      <c r="BD21" s="679">
        <f>IF(ISBLANK(Récap1!BD21),"",Récap1!BD21)</f>
        <v>7.7275160836308379</v>
      </c>
      <c r="BE21" s="674">
        <v>0.1</v>
      </c>
      <c r="BF21" s="650">
        <f>IF(ISBLANK(Récap1!BF21),"",Récap1!BF21)</f>
        <v>1.3646499767576905</v>
      </c>
      <c r="BG21" s="650">
        <f>IF(ISBLANK(Récap1!BG21),"",Récap1!BG21)</f>
        <v>1.5502545454545454E-4</v>
      </c>
      <c r="BH21" s="652">
        <f>IF(ISBLANK(Récap1!BH21),"",Récap1!BH21)</f>
        <v>9.9195806050834195E-2</v>
      </c>
      <c r="BI21" s="650">
        <f>IF(ISBLANK(Récap1!BI21),"",Récap1!BI21)</f>
        <v>0.13815427896424801</v>
      </c>
      <c r="BJ21" s="653" t="e">
        <f>IF(ISBLANK(Récap1!#REF!),"",Récap1!#REF!)</f>
        <v>#REF!</v>
      </c>
      <c r="BK21" s="653" t="e">
        <f>IF(ISBLANK(Récap1!#REF!),"",Récap1!#REF!)</f>
        <v>#REF!</v>
      </c>
      <c r="BL21" s="650">
        <f>IF(ISBLANK('HCT2'!H21),"",'HCT2'!H21)</f>
        <v>4.960814545454547E-2</v>
      </c>
      <c r="BM21" s="650">
        <f>IF(ISBLANK('HCT2'!I21),"",'HCT2'!I21)</f>
        <v>1.3435539393939397</v>
      </c>
      <c r="BN21" s="650">
        <f>IF(ISBLANK('HCT2'!J21),"",'HCT2'!J21)</f>
        <v>0.72345212121212132</v>
      </c>
      <c r="BO21" s="651">
        <f>IF(ISBLANK('HCT2'!K21),"",'HCT2'!K21)</f>
        <v>3.6172606060606061</v>
      </c>
      <c r="BP21" s="650">
        <f>IF(ISBLANK('HCT2'!L21),"",'HCT2'!L21)</f>
        <v>1.0335030303030304</v>
      </c>
      <c r="BQ21" s="1168">
        <f>IF(ISBLANK('HCT2'!M21),"",'HCT2'!M21)</f>
        <v>1.8173282568501126</v>
      </c>
      <c r="BR21" s="650">
        <f>IF(ISBLANK('HCT2'!N21),"",'HCT2'!N21)</f>
        <v>4.3967566039946124</v>
      </c>
      <c r="BS21" s="650">
        <f>IF(ISBLANK('HCT2'!O21),"",'HCT2'!O21)</f>
        <v>0.41748622577804639</v>
      </c>
      <c r="BT21" s="1169">
        <f>IF(ISBLANK('HCT2'!P21),"",'HCT2'!P21)</f>
        <v>2.8694602483743843E-3</v>
      </c>
      <c r="BU21" s="650">
        <f>IF(ISBLANK('HCT2'!Q21),"",'HCT2'!Q21)</f>
        <v>95.082278787878806</v>
      </c>
      <c r="BV21" s="650">
        <f>IF(ISBLANK('HCT2'!R21),"",'HCT2'!R21)</f>
        <v>73.506238600321737</v>
      </c>
      <c r="BW21" s="650">
        <f>IF(ISBLANK('HCT2'!S21),"",'HCT2'!S21)</f>
        <v>5.1675151515151514</v>
      </c>
      <c r="BX21" s="1168">
        <f>IF(ISBLANK('HCT2'!T21),"",'HCT2'!T21)</f>
        <v>5.1675151515151523</v>
      </c>
      <c r="BY21" s="650">
        <f>IF(ISBLANK('HCT2'!U21),"",'HCT2'!U21)</f>
        <v>16.884431274394458</v>
      </c>
      <c r="BZ21" s="650">
        <f>IF(ISBLANK('HCT2'!V21),"",'HCT2'!V21)</f>
        <v>10.777783826644958</v>
      </c>
      <c r="CA21" s="650">
        <f>IF(ISBLANK('HCT2'!W21),"",'HCT2'!W21)</f>
        <v>1.133906380587665</v>
      </c>
      <c r="CB21" s="653" t="str">
        <f>IF(ISBLANK('HCT2'!X21),"",'HCT2'!X21)</f>
        <v/>
      </c>
      <c r="CC21" s="1170">
        <f>IF(ISBLANK('HCT2'!Y21),"",'HCT2'!Y21)</f>
        <v>4.3308066298187207</v>
      </c>
      <c r="CD21" s="1171">
        <f>IF(ISBLANK('HCT2'!Z21),"",'HCT2'!Z21)</f>
        <v>9.8533970362072285</v>
      </c>
      <c r="CE21" s="653" t="str">
        <f>IF(ISBLANK('HCT2'!AA21),"",'HCT2'!AA21)</f>
        <v/>
      </c>
      <c r="CF21" s="653" t="str">
        <f>IF(ISBLANK('HCT2'!AB21),"",'HCT2'!AB21)</f>
        <v/>
      </c>
      <c r="CG21" s="1172">
        <f>IF(ISBLANK('HCT2'!AC21),"",'HCT2'!AC21)</f>
        <v>5.7845951831445577</v>
      </c>
      <c r="CH21" s="653" t="str">
        <f>IF(ISBLANK('HCT2'!AD21),"",'HCT2'!AD21)</f>
        <v/>
      </c>
      <c r="CI21" s="653" t="str">
        <f>IF(ISBLANK('HCT2'!AE21),"",'HCT2'!AE21)</f>
        <v/>
      </c>
      <c r="CJ21" s="653" t="str">
        <f>IF(ISBLANK('HCT2'!AF21),"",'HCT2'!AF21)</f>
        <v/>
      </c>
      <c r="CK21" s="1173" t="str">
        <f>IF(ISBLANK('HCT2'!AG21),"",'HCT2'!AG21)</f>
        <v/>
      </c>
      <c r="CL21" s="653">
        <f>IF(ISBLANK('HCT2'!AH21),"",'HCT2'!AH21)</f>
        <v>279.75820837698785</v>
      </c>
      <c r="CM21" s="653" t="str">
        <f>IF(ISBLANK('HCT2'!AI21),"",'HCT2'!AI21)</f>
        <v>PVL</v>
      </c>
      <c r="CN21" s="1173">
        <f>IF(ISBLANK('HCT2'!AJ21),"",'HCT2'!AJ21)</f>
        <v>72.880498653627569</v>
      </c>
      <c r="CO21" s="653" t="str">
        <f>IF(ISBLANK('HCT2'!AK21),"",'HCT2'!AK21)</f>
        <v/>
      </c>
      <c r="CP21" s="653" t="str">
        <f>IF(ISBLANK('HCT2'!AL21),"",'HCT2'!AL21)</f>
        <v/>
      </c>
      <c r="CQ21" s="653" t="str">
        <f>IF(ISBLANK('HCT2'!AM21),"",'HCT2'!AM21)</f>
        <v/>
      </c>
      <c r="CR21" s="690" t="str">
        <f>IF(ISBLANK('HCT2'!AN21),"",'HCT2'!AN21)</f>
        <v/>
      </c>
      <c r="CS21" s="684">
        <f>IF(ISBLANK('HCT2'!AO21),"",'HCT2'!AO21)</f>
        <v>5.7845951831445577</v>
      </c>
      <c r="CT21" s="1174">
        <f>IF(ISBLANK('HCT2'!AP21),"",'HCT2'!AP21)</f>
        <v>0.73725082446457313</v>
      </c>
      <c r="CU21" s="1148">
        <f>MAX('HCT2'!AQ21,'HCT2'!AQ20)</f>
        <v>197.75873784242427</v>
      </c>
      <c r="CV21" s="686">
        <f>IF(ISBLANK('HCT2'!AR21),"",'HCT2'!AR21)</f>
        <v>176.18269765486721</v>
      </c>
      <c r="CW21" s="1473" t="e">
        <f>IF(ISBLANK(Récap1!#REF!),"",Récap1!#REF!)</f>
        <v>#REF!</v>
      </c>
      <c r="CX21" s="1473" t="e">
        <f>IF(ISBLANK(Récap1!#REF!),"",Récap1!#REF!)</f>
        <v>#REF!</v>
      </c>
      <c r="CY21" s="1461" t="e">
        <f>IF(ISBLANK(Récap1!#REF!),"",Récap1!#REF!)</f>
        <v>#REF!</v>
      </c>
      <c r="CZ21" s="1461" t="e">
        <f>IF(ISBLANK(Récap1!#REF!),"",Récap1!#REF!)</f>
        <v>#REF!</v>
      </c>
      <c r="DA21" s="1461" t="e">
        <f>IF(ISBLANK(Récap1!#REF!),"",Récap1!#REF!)</f>
        <v>#REF!</v>
      </c>
      <c r="DB21" s="1461" t="e">
        <f>IF(ISBLANK(Récap1!#REF!),"",Récap1!#REF!)</f>
        <v>#REF!</v>
      </c>
      <c r="DC21" s="1473">
        <f>IF(ISBLANK('HCT2'!AS21),"",'HCT2'!AS21)</f>
        <v>48.583748982634312</v>
      </c>
      <c r="DD21" s="1461">
        <f>IF(ISBLANK('HCT2'!AT21),"",'HCT2'!AT21)</f>
        <v>66.087975022722887</v>
      </c>
      <c r="DE21" s="1461" t="str">
        <f>IF(ISBLANK('HCT2'!AU21),"",'HCT2'!AU21)</f>
        <v>PVL</v>
      </c>
      <c r="DF21" s="1461" t="str">
        <f>IF(ISBLANK('HCT2'!AV21),"",'HCT2'!AV21)</f>
        <v>PVL</v>
      </c>
      <c r="DG21" s="1461" t="str">
        <f>IF(ISBLANK('HCT2'!AW21),"",'HCT2'!AW21)</f>
        <v/>
      </c>
      <c r="DH21" s="1461" t="str">
        <f>IF(ISBLANK('HCT2'!AX21),"",'HCT2'!AX21)</f>
        <v/>
      </c>
      <c r="DI21" s="1461" t="str">
        <f>IF(ISBLANK('HCT2'!AY21),"",'HCT2'!AY21)</f>
        <v/>
      </c>
      <c r="DJ21" s="1474">
        <f>IF(ISBLANK('HCT2'!AZ21),"",'HCT2'!AZ21)</f>
        <v>38.174063482164321</v>
      </c>
      <c r="DK21" s="1461" t="str">
        <f>IF(ISBLANK('HCT2'!BA21),"",'HCT2'!BA21)</f>
        <v>PVL</v>
      </c>
      <c r="DL21" s="1461" t="str">
        <f>IF(ISBLANK('HCT2'!BB21),"",'HCT2'!BB21)</f>
        <v>PVL</v>
      </c>
      <c r="DM21" s="1462" t="str">
        <f>IF(ISBLANK('HCT2'!BC21),"",'HCT2'!BC21)</f>
        <v>PVL</v>
      </c>
      <c r="DN21" s="1461">
        <f>IF(ISBLANK('HCT2'!BD21),"",'HCT2'!BD21)</f>
        <v>38.174063482164321</v>
      </c>
      <c r="DO21" s="1475">
        <f>IF(ISBLANK('HCT2'!BE21),"",'HCT2'!BE21)</f>
        <v>0.23930211336607046</v>
      </c>
      <c r="DP21" s="1462">
        <f>MAX('HCT2'!BF21,'HCT2'!BF20)</f>
        <v>47.561636010079724</v>
      </c>
      <c r="DQ21" s="920">
        <f t="shared" si="0"/>
        <v>40.598077180013384</v>
      </c>
      <c r="DS21" s="343">
        <f t="shared" si="1"/>
        <v>95.131886933333348</v>
      </c>
      <c r="DT21" s="343">
        <f t="shared" si="1"/>
        <v>74.849792539715679</v>
      </c>
      <c r="DU21" s="343">
        <f t="shared" si="2"/>
        <v>6.2010181818181813</v>
      </c>
      <c r="DV21" s="874">
        <f t="shared" si="2"/>
        <v>6.9848434083652648</v>
      </c>
      <c r="DW21" s="343">
        <f t="shared" si="2"/>
        <v>21.281187878389069</v>
      </c>
      <c r="DX21" s="343">
        <f t="shared" si="2"/>
        <v>11.195270052423005</v>
      </c>
      <c r="DY21" s="343">
        <f t="shared" si="2"/>
        <v>1.1367758408360393</v>
      </c>
      <c r="DZ21" s="1064">
        <f>SUM(DS21:DU21)</f>
        <v>176.18269765486721</v>
      </c>
      <c r="EA21" s="1064">
        <f>SUM(DV21:DY21)</f>
        <v>40.598077180013377</v>
      </c>
    </row>
    <row r="22" spans="1:131" s="742" customFormat="1" hidden="1">
      <c r="A22" s="732"/>
      <c r="B22" s="733"/>
      <c r="C22" s="503"/>
      <c r="D22" s="507"/>
      <c r="E22" s="736" t="str">
        <f>IF(ISBLANK(Récap1!E22),"",Récap1!E22)</f>
        <v>Equivalent air du sol</v>
      </c>
      <c r="F22" s="737" t="str">
        <f>IF(ISBLANK(Récap1!F22),"",Récap1!F22)</f>
        <v>Csao</v>
      </c>
      <c r="G22" s="737" t="str">
        <f>IF(ISBLANK(Récap1!G22),"",Récap1!G22)</f>
        <v>mg/m3</v>
      </c>
      <c r="H22" s="739">
        <f>IF(ISBLANK(Récap1!H22),"",Récap1!H22)</f>
        <v>57.238518855737574</v>
      </c>
      <c r="I22" s="740">
        <f>IF(ISBLANK(Récap1!I22),"",Récap1!I22)</f>
        <v>57.238518855737574</v>
      </c>
      <c r="J22" s="1177">
        <f>IF(ISBLANK(Récap1!J22),"",Récap1!J22)</f>
        <v>3313.6646141737365</v>
      </c>
      <c r="K22" s="1176">
        <f>IF(ISBLANK(Récap1!K22),"",Récap1!K22)</f>
        <v>1115.0751978349901</v>
      </c>
      <c r="L22" s="1177">
        <f>IF(ISBLANK(Récap1!L22),"",Récap1!L22)</f>
        <v>223.3727255373062</v>
      </c>
      <c r="M22" s="1177">
        <f>IF(ISBLANK(Récap1!M22),"",Récap1!M22)</f>
        <v>223.3727255373062</v>
      </c>
      <c r="N22" s="1177">
        <f>IF(ISBLANK(Récap1!N22),"",Récap1!N22)</f>
        <v>1284.968919746218</v>
      </c>
      <c r="O22" s="1177">
        <f>IF(ISBLANK(Récap1!O22),"",Récap1!O22)</f>
        <v>1284.968919746218</v>
      </c>
      <c r="P22" s="1177">
        <f>IF(ISBLANK(Récap1!P22),"",Récap1!P22)</f>
        <v>280.5706722367384</v>
      </c>
      <c r="Q22" s="1177">
        <f>IF(ISBLANK(Récap1!Q22),"",Récap1!Q22)</f>
        <v>280.5706722367384</v>
      </c>
      <c r="R22" s="1177">
        <f>IF(ISBLANK(Récap1!R22),"",Récap1!R22)</f>
        <v>1127.817118613948</v>
      </c>
      <c r="S22" s="1177">
        <f>IF(ISBLANK(Récap1!S22),"",Récap1!S22)</f>
        <v>46.003944069580591</v>
      </c>
      <c r="T22" s="1177">
        <f>IF(ISBLANK(Récap1!T22),"",Récap1!T22)</f>
        <v>46.003944069580591</v>
      </c>
      <c r="U22" s="1177">
        <f>IF(ISBLANK(Récap1!U22),"",Récap1!U22)</f>
        <v>118.6058295640955</v>
      </c>
      <c r="V22" s="1434">
        <f>IF(ISBLANK(Récap1!V22),"",Récap1!V22)</f>
        <v>23296.105508792771</v>
      </c>
      <c r="W22" s="1177">
        <f>IF(ISBLANK(Récap1!W22),"",Récap1!W22)</f>
        <v>23296.105508792771</v>
      </c>
      <c r="X22" s="1177">
        <f>IF(ISBLANK(Récap1!X22),"",Récap1!X22)</f>
        <v>42.903932996838442</v>
      </c>
      <c r="Y22" s="1424">
        <f>IF(ISBLANK(Récap1!Y22),"",Récap1!Y22)</f>
        <v>805.32166015097914</v>
      </c>
      <c r="Z22" s="1177">
        <f>IF(ISBLANK(Récap1!Z22),"",Récap1!Z22)</f>
        <v>256.80591390590763</v>
      </c>
      <c r="AA22" s="1178">
        <f>IF(ISBLANK(Récap1!AA22),"",Récap1!AA22)</f>
        <v>861.40367070672505</v>
      </c>
      <c r="AB22" s="1177">
        <f>IF(ISBLANK(Récap1!AB22),"",Récap1!AB22)</f>
        <v>278.34927118724164</v>
      </c>
      <c r="AC22" s="1179">
        <f>IF(ISBLANK(Récap1!AC22),"",Récap1!AC22)</f>
        <v>95.509310363068565</v>
      </c>
      <c r="AD22" s="1177">
        <f>IF(ISBLANK(Récap1!AD22),"",Récap1!AD22)</f>
        <v>45.22821869705205</v>
      </c>
      <c r="AE22" s="1177" t="str">
        <f>IF(ISBLANK(Récap1!AE22),"",Récap1!AE22)</f>
        <v>PVL</v>
      </c>
      <c r="AF22" s="1180" t="str">
        <f>IF(ISBLANK(Récap1!AF22),"",Récap1!AF22)</f>
        <v>PVL</v>
      </c>
      <c r="AG22" s="1177">
        <f>IF(ISBLANK(Récap1!AG22),"",Récap1!AG22)</f>
        <v>588947.92019305448</v>
      </c>
      <c r="AH22" s="1177" t="str">
        <f>IF(ISBLANK(Récap1!AH22),"",Récap1!AH22)</f>
        <v>PVL</v>
      </c>
      <c r="AI22" s="1177">
        <f>IF(ISBLANK(Récap1!AI22),"",Récap1!AI22)</f>
        <v>9744.7938404108027</v>
      </c>
      <c r="AJ22" s="1179">
        <f>IF(ISBLANK(Récap1!AJ22),"",Récap1!AJ22)</f>
        <v>2319.6814056859121</v>
      </c>
      <c r="AK22" s="1177" t="str">
        <f>IF(ISBLANK(Récap1!AK22),"",Récap1!AK22)</f>
        <v>PVL</v>
      </c>
      <c r="AL22" s="1177" t="str">
        <f>IF(ISBLANK(Récap1!AL22),"",Récap1!AL22)</f>
        <v>PVL</v>
      </c>
      <c r="AM22" s="1177" t="str">
        <f>IF(ISBLANK(Récap1!AM22),"",Récap1!AM22)</f>
        <v>PVL</v>
      </c>
      <c r="AN22" s="1176">
        <f>IF(ISBLANK(Récap1!AN22),"",Récap1!AN22)</f>
        <v>0.23363252714167848</v>
      </c>
      <c r="AO22" s="1177">
        <f>IF(ISBLANK(Récap1!AO22),"",Récap1!AO22)</f>
        <v>3.8217465989328727</v>
      </c>
      <c r="AP22" s="1177">
        <f>IF(ISBLANK(Récap1!AP22),"",Récap1!AP22)</f>
        <v>4.9136624313007857</v>
      </c>
      <c r="AQ22" s="1177">
        <f>IF(ISBLANK(Récap1!AQ22),"",Récap1!AQ22)</f>
        <v>3.1633455231281626</v>
      </c>
      <c r="AR22" s="1177" t="str">
        <f>IF(ISBLANK(Récap1!AR22),"",Récap1!AR22)</f>
        <v>PVL</v>
      </c>
      <c r="AS22" s="1177" t="str">
        <f>IF(ISBLANK(Récap1!AS22),"",Récap1!AS22)</f>
        <v>PVL</v>
      </c>
      <c r="AT22" s="1177" t="str">
        <f>IF(ISBLANK(Récap1!AT22),"",Récap1!AT22)</f>
        <v>PVL</v>
      </c>
      <c r="AU22" s="1177" t="str">
        <f>IF(ISBLANK(Récap1!AU22),"",Récap1!AU22)</f>
        <v>PVL</v>
      </c>
      <c r="AV22" s="1177" t="str">
        <f>IF(ISBLANK(Récap1!AV22),"",Récap1!AV22)</f>
        <v>PVL</v>
      </c>
      <c r="AW22" s="1177" t="str">
        <f>IF(ISBLANK(Récap1!AW22),"",Récap1!AW22)</f>
        <v>PVL</v>
      </c>
      <c r="AX22" s="1177" t="str">
        <f>IF(ISBLANK(Récap1!AX22),"",Récap1!AX22)</f>
        <v>PVL</v>
      </c>
      <c r="AY22" s="1177" t="str">
        <f>IF(ISBLANK(Récap1!AY22),"",Récap1!AY22)</f>
        <v>PVL</v>
      </c>
      <c r="AZ22" s="1177" t="str">
        <f>IF(ISBLANK(Récap1!AZ22),"",Récap1!AZ22)</f>
        <v>PVL</v>
      </c>
      <c r="BA22" s="1177" t="str">
        <f>IF(ISBLANK(Récap1!BA22),"",Récap1!BA22)</f>
        <v>PVL</v>
      </c>
      <c r="BB22" s="1177" t="str">
        <f>IF(ISBLANK(Récap1!BB22),"",Récap1!BB22)</f>
        <v>PVL</v>
      </c>
      <c r="BC22" s="1178" t="str">
        <f>IF(ISBLANK(Récap1!BC22),"",Récap1!BC22)</f>
        <v>PVL</v>
      </c>
      <c r="BD22" s="1463">
        <f>IF(ISBLANK(Récap1!BD22),"",Récap1!BD22)</f>
        <v>0.72288714008064547</v>
      </c>
      <c r="BE22" s="1424">
        <f>IF(ISBLANK(Récap1!BE22),"",Récap1!BE22)</f>
        <v>1.4166889125428299E-3</v>
      </c>
      <c r="BF22" s="1177">
        <f>IF(ISBLANK(Récap1!BF22),"",Récap1!BF22)</f>
        <v>2.8333778250856597E-3</v>
      </c>
      <c r="BG22" s="1177" t="str">
        <f>IF(ISBLANK(Récap1!BG22),"",Récap1!BG22)</f>
        <v>Saturation</v>
      </c>
      <c r="BH22" s="1181">
        <f>IF(ISBLANK(Récap1!BH22),"",Récap1!BH22)</f>
        <v>1.2339752812956338E-2</v>
      </c>
      <c r="BI22" s="1177">
        <f>IF(ISBLANK(Récap1!BI22),"",Récap1!BI22)</f>
        <v>0.13297534362822425</v>
      </c>
      <c r="BJ22" s="1182" t="e">
        <f>IF(ISBLANK(Récap1!#REF!),"",Récap1!#REF!)</f>
        <v>#REF!</v>
      </c>
      <c r="BK22" s="1182" t="e">
        <f>IF(ISBLANK(Récap1!#REF!),"",Récap1!#REF!)</f>
        <v>#REF!</v>
      </c>
      <c r="BL22" s="1177">
        <f>IF(ISBLANK('HCT2'!H22),"",'HCT2'!H22)</f>
        <v>42.903932996838442</v>
      </c>
      <c r="BM22" s="1177">
        <f>IF(ISBLANK('HCT2'!I22),"",'HCT2'!I22)</f>
        <v>805.32166015097914</v>
      </c>
      <c r="BN22" s="1177">
        <f>IF(ISBLANK('HCT2'!J22),"",'HCT2'!J22)</f>
        <v>256.80591390590763</v>
      </c>
      <c r="BO22" s="1178">
        <f>IF(ISBLANK('HCT2'!K22),"",'HCT2'!K22)</f>
        <v>861.40367070672505</v>
      </c>
      <c r="BP22" s="1177">
        <f>IF(ISBLANK('HCT2'!L22),"",'HCT2'!L22)</f>
        <v>278.34927118724164</v>
      </c>
      <c r="BQ22" s="1179">
        <f>IF(ISBLANK('HCT2'!M22),"",'HCT2'!M22)</f>
        <v>95.509310363068565</v>
      </c>
      <c r="BR22" s="1177">
        <f>IF(ISBLANK('HCT2'!N22),"",'HCT2'!N22)</f>
        <v>45.22821869705205</v>
      </c>
      <c r="BS22" s="1177">
        <f>IF(ISBLANK('HCT2'!O22),"",'HCT2'!O22)</f>
        <v>4.2945652950952997</v>
      </c>
      <c r="BT22" s="1180">
        <f>IF(ISBLANK('HCT2'!P22),"",'HCT2'!P22)</f>
        <v>2.9517343656927382E-2</v>
      </c>
      <c r="BU22" s="1177">
        <f>IF(ISBLANK('HCT2'!Q22),"",'HCT2'!Q22)</f>
        <v>588947.92019305448</v>
      </c>
      <c r="BV22" s="1177">
        <f>IF(ISBLANK('HCT2'!R22),"",'HCT2'!R22)</f>
        <v>455304.04715534375</v>
      </c>
      <c r="BW22" s="1177">
        <f>IF(ISBLANK('HCT2'!S22),"",'HCT2'!S22)</f>
        <v>9744.7938404108027</v>
      </c>
      <c r="BX22" s="1179">
        <f>IF(ISBLANK('HCT2'!T22),"",'HCT2'!T22)</f>
        <v>2319.6814056859121</v>
      </c>
      <c r="BY22" s="1177">
        <f>IF(ISBLANK('HCT2'!U22),"",'HCT2'!U22)</f>
        <v>7579.3684439049221</v>
      </c>
      <c r="BZ22" s="1177">
        <f>IF(ISBLANK('HCT2'!V22),"",'HCT2'!V22)</f>
        <v>4838.1134847452131</v>
      </c>
      <c r="CA22" s="1177">
        <f>IF(ISBLANK('HCT2'!W22),"",'HCT2'!W22)</f>
        <v>509.00703137108292</v>
      </c>
      <c r="CB22" s="1182" t="str">
        <f>IF(ISBLANK('HCT2'!X22),"",'HCT2'!X22)</f>
        <v/>
      </c>
      <c r="CC22" s="1183">
        <f>IF(ISBLANK('HCT2'!Y22),"",'HCT2'!Y22)</f>
        <v>3745.5267832629875</v>
      </c>
      <c r="CD22" s="1184">
        <f>IF(ISBLANK('HCT2'!Z22),"",'HCT2'!Z22)</f>
        <v>5906.0926596699137</v>
      </c>
      <c r="CE22" s="1182" t="str">
        <f>IF(ISBLANK('HCT2'!AA22),"",'HCT2'!AA22)</f>
        <v/>
      </c>
      <c r="CF22" s="1182" t="str">
        <f>IF(ISBLANK('HCT2'!AB22),"",'HCT2'!AB22)</f>
        <v/>
      </c>
      <c r="CG22" s="1185">
        <f>IF(ISBLANK('HCT2'!AC22),"",'HCT2'!AC22)</f>
        <v>1557.9420728639882</v>
      </c>
      <c r="CH22" s="1182" t="str">
        <f>IF(ISBLANK('HCT2'!AD22),"",'HCT2'!AD22)</f>
        <v/>
      </c>
      <c r="CI22" s="1182" t="str">
        <f>IF(ISBLANK('HCT2'!AE22),"",'HCT2'!AE22)</f>
        <v/>
      </c>
      <c r="CJ22" s="1182" t="str">
        <f>IF(ISBLANK('HCT2'!AF22),"",'HCT2'!AF22)</f>
        <v/>
      </c>
      <c r="CK22" s="1186" t="str">
        <f>IF(ISBLANK('HCT2'!AG22),"",'HCT2'!AG22)</f>
        <v/>
      </c>
      <c r="CL22" s="1182">
        <f>IF(ISBLANK('HCT2'!AH22),"",'HCT2'!AH22)</f>
        <v>1732846.7205559479</v>
      </c>
      <c r="CM22" s="1182" t="str">
        <f>IF(ISBLANK('HCT2'!AI22),"",'HCT2'!AI22)</f>
        <v>PVL</v>
      </c>
      <c r="CN22" s="1186">
        <f>IF(ISBLANK('HCT2'!AJ22),"",'HCT2'!AJ22)</f>
        <v>137436.54610431098</v>
      </c>
      <c r="CO22" s="1182" t="str">
        <f>IF(ISBLANK('HCT2'!AK22),"",'HCT2'!AK22)</f>
        <v/>
      </c>
      <c r="CP22" s="1182" t="str">
        <f>IF(ISBLANK('HCT2'!AL22),"",'HCT2'!AL22)</f>
        <v/>
      </c>
      <c r="CQ22" s="1182" t="str">
        <f>IF(ISBLANK('HCT2'!AM22),"",'HCT2'!AM22)</f>
        <v/>
      </c>
      <c r="CR22" s="1187" t="str">
        <f>IF(ISBLANK('HCT2'!AN22),"",'HCT2'!AN22)</f>
        <v/>
      </c>
      <c r="CS22" s="1188">
        <f>IF(ISBLANK('HCT2'!AO22),"",'HCT2'!AO22)</f>
        <v>1557.9420728639882</v>
      </c>
      <c r="CT22" s="1189">
        <f>IF(ISBLANK('HCT2'!AP22),"",'HCT2'!AP22)</f>
        <v>0.73725082446457313</v>
      </c>
      <c r="CU22" s="1149">
        <f>IF(ISBLANK('HCT2'!AQ22),"",'HCT2'!AQ22)</f>
        <v>813589.17344503186</v>
      </c>
      <c r="CV22" s="1476">
        <f>IF(ISBLANK('HCT2'!AR22),"",'HCT2'!AR22)</f>
        <v>1055123.3360531442</v>
      </c>
      <c r="CW22" s="1477" t="e">
        <f>IF(ISBLANK(Récap1!#REF!),"",Récap1!#REF!)</f>
        <v>#REF!</v>
      </c>
      <c r="CX22" s="1477" t="e">
        <f>IF(ISBLANK(Récap1!#REF!),"",Récap1!#REF!)</f>
        <v>#REF!</v>
      </c>
      <c r="CY22" s="1478" t="e">
        <f>IF(ISBLANK(Récap1!#REF!),"",Récap1!#REF!)</f>
        <v>#REF!</v>
      </c>
      <c r="CZ22" s="1478" t="e">
        <f>IF(ISBLANK(Récap1!#REF!),"",Récap1!#REF!)</f>
        <v>#REF!</v>
      </c>
      <c r="DA22" s="1478" t="e">
        <f>IF(ISBLANK(Récap1!#REF!),"",Récap1!#REF!)</f>
        <v>#REF!</v>
      </c>
      <c r="DB22" s="1478" t="e">
        <f>IF(ISBLANK(Récap1!#REF!),"",Récap1!#REF!)</f>
        <v>#REF!</v>
      </c>
      <c r="DC22" s="1477">
        <f>IF(ISBLANK('HCT2'!AS22),"",'HCT2'!AS22)</f>
        <v>2553.3088712473291</v>
      </c>
      <c r="DD22" s="1478">
        <f>IF(ISBLANK('HCT2'!AT22),"",'HCT2'!AT22)</f>
        <v>679.82871393366918</v>
      </c>
      <c r="DE22" s="1478" t="str">
        <f>IF(ISBLANK('HCT2'!AU22),"",'HCT2'!AU22)</f>
        <v>PVL</v>
      </c>
      <c r="DF22" s="1478" t="str">
        <f>IF(ISBLANK('HCT2'!AV22),"",'HCT2'!AV22)</f>
        <v>PVL</v>
      </c>
      <c r="DG22" s="1478" t="str">
        <f>IF(ISBLANK('HCT2'!AW22),"",'HCT2'!AW22)</f>
        <v/>
      </c>
      <c r="DH22" s="1478" t="str">
        <f>IF(ISBLANK('HCT2'!AX22),"",'HCT2'!AX22)</f>
        <v/>
      </c>
      <c r="DI22" s="1478" t="str">
        <f>IF(ISBLANK('HCT2'!AY22),"",'HCT2'!AY22)</f>
        <v/>
      </c>
      <c r="DJ22" s="1479">
        <f>IF(ISBLANK('HCT2'!AZ22),"",'HCT2'!AZ22)</f>
        <v>17136.217822813</v>
      </c>
      <c r="DK22" s="1478" t="str">
        <f>IF(ISBLANK('HCT2'!BA22),"",'HCT2'!BA22)</f>
        <v>PVL</v>
      </c>
      <c r="DL22" s="1478" t="str">
        <f>IF(ISBLANK('HCT2'!BB22),"",'HCT2'!BB22)</f>
        <v>PVL</v>
      </c>
      <c r="DM22" s="1480" t="str">
        <f>IF(ISBLANK('HCT2'!BC22),"",'HCT2'!BC22)</f>
        <v>PVL</v>
      </c>
      <c r="DN22" s="1481">
        <f>IF(ISBLANK('HCT2'!BD22),"",'HCT2'!BD22)</f>
        <v>679.82871393366918</v>
      </c>
      <c r="DO22" s="1482">
        <f>IF(ISBLANK('HCT2'!BE22),"",'HCT2'!BE22)</f>
        <v>0.23930211336607046</v>
      </c>
      <c r="DP22" s="1483">
        <f>IF(ISBLANK('HCT2'!BF22),"",'HCT2'!BF22)</f>
        <v>10281.643150314458</v>
      </c>
      <c r="DQ22" s="978">
        <f t="shared" si="0"/>
        <v>15391.231977406002</v>
      </c>
      <c r="DS22" s="740">
        <f t="shared" si="1"/>
        <v>588990.82412605127</v>
      </c>
      <c r="DT22" s="740">
        <f t="shared" si="1"/>
        <v>456109.36881549476</v>
      </c>
      <c r="DU22" s="740">
        <f t="shared" si="2"/>
        <v>10023.143111598045</v>
      </c>
      <c r="DV22" s="878">
        <f t="shared" si="2"/>
        <v>2415.1907160489804</v>
      </c>
      <c r="DW22" s="740">
        <f t="shared" si="2"/>
        <v>7624.5966626019745</v>
      </c>
      <c r="DX22" s="740">
        <f t="shared" si="2"/>
        <v>4842.4080500403088</v>
      </c>
      <c r="DY22" s="740">
        <f t="shared" si="2"/>
        <v>509.03654871473987</v>
      </c>
    </row>
    <row r="23" spans="1:131" s="782" customFormat="1" ht="13.5" hidden="1">
      <c r="A23" s="776"/>
      <c r="B23" s="245"/>
      <c r="C23" s="777"/>
      <c r="D23" s="778"/>
      <c r="E23" s="853" t="str">
        <f>IF(ISBLANK(Récap1!E23),"",Récap1!E23)</f>
        <v>Seuil pour détection olfactive air ambiant immédiate</v>
      </c>
      <c r="F23" s="779" t="str">
        <f>IF(ISBLANK(Récap1!F23),"",Récap1!F23)</f>
        <v>Cs</v>
      </c>
      <c r="G23" s="779" t="str">
        <f>IF(ISBLANK(Récap1!G23),"",Récap1!G23)</f>
        <v>mg/kg ms</v>
      </c>
      <c r="H23" s="780" t="str">
        <f>IF(ISBLANK(Récap1!H23),"",Récap1!H23)</f>
        <v>PVL</v>
      </c>
      <c r="I23" s="781" t="str">
        <f>IF(ISBLANK(Récap1!I23),"",Récap1!I23)</f>
        <v>PVL</v>
      </c>
      <c r="J23" s="1197" t="str">
        <f>IF(ISBLANK(Récap1!J23),"",Récap1!J23)</f>
        <v>PVL</v>
      </c>
      <c r="K23" s="1196">
        <f>IF(ISBLANK(Récap1!K23),"",Récap1!K23)</f>
        <v>0.16733132321493815</v>
      </c>
      <c r="L23" s="1197">
        <f>IF(ISBLANK(Récap1!L23),"",Récap1!L23)</f>
        <v>2.3576628634553467</v>
      </c>
      <c r="M23" s="1197">
        <f>IF(ISBLANK(Récap1!M23),"",Récap1!M23)</f>
        <v>2.3576628634553467</v>
      </c>
      <c r="N23" s="1197">
        <f>IF(ISBLANK(Récap1!N23),"",Récap1!N23)</f>
        <v>2.6685443711771026</v>
      </c>
      <c r="O23" s="1197">
        <f>IF(ISBLANK(Récap1!O23),"",Récap1!O23)</f>
        <v>2.6685443711771026</v>
      </c>
      <c r="P23" s="1197">
        <f>IF(ISBLANK(Récap1!P23),"",Récap1!P23)</f>
        <v>2.9748241300127707</v>
      </c>
      <c r="Q23" s="1197">
        <f>IF(ISBLANK(Récap1!Q23),"",Récap1!Q23)</f>
        <v>2.9748241300127707</v>
      </c>
      <c r="R23" s="1197">
        <f>IF(ISBLANK(Récap1!R23),"",Récap1!R23)</f>
        <v>3.5087125601480218</v>
      </c>
      <c r="S23" s="1197">
        <f>IF(ISBLANK(Récap1!S23),"",Récap1!S23)</f>
        <v>0.50477358131553673</v>
      </c>
      <c r="T23" s="1197">
        <f>IF(ISBLANK(Récap1!T23),"",Récap1!T23)</f>
        <v>0.50477358131553673</v>
      </c>
      <c r="U23" s="1197">
        <f>IF(ISBLANK(Récap1!U23),"",Récap1!U23)</f>
        <v>5.5259304889693377</v>
      </c>
      <c r="V23" s="1435">
        <f>IF(ISBLANK(Récap1!V23),"",Récap1!V23)</f>
        <v>3.0503261000203228</v>
      </c>
      <c r="W23" s="1197">
        <f>IF(ISBLANK(Récap1!W23),"",Récap1!W23)</f>
        <v>3.0503261000203228</v>
      </c>
      <c r="X23" s="1197">
        <f>IF(ISBLANK(Récap1!X23),"",Récap1!X23)</f>
        <v>0.43503404170731469</v>
      </c>
      <c r="Y23" s="1425">
        <f>IF(ISBLANK(Récap1!Y23),"",Récap1!Y23)</f>
        <v>0.38689680645917712</v>
      </c>
      <c r="Z23" s="1197">
        <f>IF(ISBLANK(Récap1!Z23),"",Récap1!Z23)</f>
        <v>0.68117653917636534</v>
      </c>
      <c r="AA23" s="646">
        <f>IF(ISBLANK(Récap1!AA23),"",Récap1!AA23)</f>
        <v>3.0902825726105098E-2</v>
      </c>
      <c r="AB23" s="1197">
        <f>IF(ISBLANK(Récap1!AB23),"",Récap1!AB23)</f>
        <v>0.15662521348555603</v>
      </c>
      <c r="AC23" s="1198">
        <f>IF(ISBLANK(Récap1!AC23),"",Récap1!AC23)</f>
        <v>0.21117767496292295</v>
      </c>
      <c r="AD23" s="1197">
        <f>IF(ISBLANK(Récap1!AD23),"",Récap1!AD23)</f>
        <v>1.0789051720739191</v>
      </c>
      <c r="AE23" s="1197" t="str">
        <f>IF(ISBLANK(Récap1!AE23),"",Récap1!AE23)</f>
        <v>PVL</v>
      </c>
      <c r="AF23" s="1199" t="str">
        <f>IF(ISBLANK(Récap1!AF23),"",Récap1!AF23)</f>
        <v>PVL</v>
      </c>
      <c r="AG23" s="1197">
        <f>IF(ISBLANK(Récap1!AG23),"",Récap1!AG23)</f>
        <v>0.15599003043431645</v>
      </c>
      <c r="AH23" s="1197">
        <f>IF(ISBLANK(Récap1!AH23),"",Récap1!AH23)</f>
        <v>1.1858748828365722</v>
      </c>
      <c r="AI23" s="1197">
        <f>IF(ISBLANK(Récap1!AI23),"",Récap1!AI23)</f>
        <v>0.23584816061581279</v>
      </c>
      <c r="AJ23" s="1198">
        <f>IF(ISBLANK(Récap1!AJ23),"",Récap1!AJ23)</f>
        <v>0.38023198493573312</v>
      </c>
      <c r="AK23" s="1197" t="str">
        <f>IF(ISBLANK(Récap1!AK23),"",Récap1!AK23)</f>
        <v>PVL</v>
      </c>
      <c r="AL23" s="1197" t="str">
        <f>IF(ISBLANK(Récap1!AL23),"",Récap1!AL23)</f>
        <v>PVL</v>
      </c>
      <c r="AM23" s="1197" t="str">
        <f>IF(ISBLANK(Récap1!AM23),"",Récap1!AM23)</f>
        <v>PVL</v>
      </c>
      <c r="AN23" s="1196">
        <f>IF(ISBLANK(Récap1!AN23),"",Récap1!AN23)</f>
        <v>2.5964164575011477</v>
      </c>
      <c r="AO23" s="1197">
        <f>IF(ISBLANK(Récap1!AO23),"",Récap1!AO23)</f>
        <v>9.5065982966846629</v>
      </c>
      <c r="AP23" s="1197">
        <f>IF(ISBLANK(Récap1!AP23),"",Récap1!AP23)</f>
        <v>5.682533990460346</v>
      </c>
      <c r="AQ23" s="1197" t="str">
        <f>IF(ISBLANK(Récap1!AQ23),"",Récap1!AQ23)</f>
        <v>PVL</v>
      </c>
      <c r="AR23" s="1197" t="str">
        <f>IF(ISBLANK(Récap1!AR23),"",Récap1!AR23)</f>
        <v>PVL</v>
      </c>
      <c r="AS23" s="1197" t="str">
        <f>IF(ISBLANK(Récap1!AS23),"",Récap1!AS23)</f>
        <v>PVL</v>
      </c>
      <c r="AT23" s="1197" t="str">
        <f>IF(ISBLANK(Récap1!AT23),"",Récap1!AT23)</f>
        <v>PVL</v>
      </c>
      <c r="AU23" s="1197" t="str">
        <f>IF(ISBLANK(Récap1!AU23),"",Récap1!AU23)</f>
        <v>PVL</v>
      </c>
      <c r="AV23" s="1197" t="str">
        <f>IF(ISBLANK(Récap1!AV23),"",Récap1!AV23)</f>
        <v>PVL</v>
      </c>
      <c r="AW23" s="1197" t="str">
        <f>IF(ISBLANK(Récap1!AW23),"",Récap1!AW23)</f>
        <v>PVL</v>
      </c>
      <c r="AX23" s="1197" t="str">
        <f>IF(ISBLANK(Récap1!AX23),"",Récap1!AX23)</f>
        <v>PVL</v>
      </c>
      <c r="AY23" s="1197" t="str">
        <f>IF(ISBLANK(Récap1!AY23),"",Récap1!AY23)</f>
        <v>PVL</v>
      </c>
      <c r="AZ23" s="1197" t="str">
        <f>IF(ISBLANK(Récap1!AZ23),"",Récap1!AZ23)</f>
        <v>PVL</v>
      </c>
      <c r="BA23" s="1197" t="str">
        <f>IF(ISBLANK(Récap1!BA23),"",Récap1!BA23)</f>
        <v>PVL</v>
      </c>
      <c r="BB23" s="1197" t="str">
        <f>IF(ISBLANK(Récap1!BB23),"",Récap1!BB23)</f>
        <v>PVL</v>
      </c>
      <c r="BC23" s="646" t="str">
        <f>IF(ISBLANK(Récap1!BC23),"",Récap1!BC23)</f>
        <v>PVL</v>
      </c>
      <c r="BD23" s="1464">
        <f>IF(ISBLANK(Récap1!BD23),"",Récap1!BD23)</f>
        <v>41.475543319572317</v>
      </c>
      <c r="BE23" s="1425" t="str">
        <f>IF(ISBLANK(Récap1!BE23),"",Récap1!BE23)</f>
        <v>PVL</v>
      </c>
      <c r="BF23" s="1197" t="str">
        <f>IF(ISBLANK(Récap1!BF23),"",Récap1!BF23)</f>
        <v>PVL</v>
      </c>
      <c r="BG23" s="1197" t="str">
        <f>IF(ISBLANK(Récap1!BG23),"",Récap1!BG23)</f>
        <v>nd</v>
      </c>
      <c r="BH23" s="646" t="str">
        <f>IF(ISBLANK(Récap1!BH23),"",Récap1!BH23)</f>
        <v>PVL</v>
      </c>
      <c r="BI23" s="1197" t="str">
        <f>IF(ISBLANK(Récap1!BI23),"",Récap1!BI23)</f>
        <v>PVL</v>
      </c>
      <c r="BJ23" s="1200" t="e">
        <f>IF(ISBLANK(Récap1!#REF!),"",Récap1!#REF!)</f>
        <v>#REF!</v>
      </c>
      <c r="BK23" s="1200" t="e">
        <f>IF(ISBLANK(Récap1!#REF!),"",Récap1!#REF!)</f>
        <v>#REF!</v>
      </c>
      <c r="BL23" s="1197">
        <f>IF(ISBLANK('HCT2'!H23),"",'HCT2'!H23)</f>
        <v>0.43503404170731469</v>
      </c>
      <c r="BM23" s="1197">
        <f>IF(ISBLANK('HCT2'!I23),"",'HCT2'!I23)</f>
        <v>0.38689680645917712</v>
      </c>
      <c r="BN23" s="1197">
        <f>IF(ISBLANK('HCT2'!J23),"",'HCT2'!J23)</f>
        <v>0.68117653917636534</v>
      </c>
      <c r="BO23" s="646">
        <f>IF(ISBLANK('HCT2'!K23),"",'HCT2'!K23)</f>
        <v>3.0902825726105098E-2</v>
      </c>
      <c r="BP23" s="1197">
        <f>IF(ISBLANK('HCT2'!L23),"",'HCT2'!L23)</f>
        <v>0.15662521348555603</v>
      </c>
      <c r="BQ23" s="1198">
        <f>IF(ISBLANK('HCT2'!M23),"",'HCT2'!M23)</f>
        <v>0.21117767496292295</v>
      </c>
      <c r="BR23" s="1197">
        <f>IF(ISBLANK('HCT2'!N23),"",'HCT2'!N23)</f>
        <v>1.0789051720739191</v>
      </c>
      <c r="BS23" s="1197">
        <f>IF(ISBLANK('HCT2'!O23),"",'HCT2'!O23)</f>
        <v>0.10244552719891839</v>
      </c>
      <c r="BT23" s="1199">
        <f>IF(ISBLANK('HCT2'!P23),"",'HCT2'!P23)</f>
        <v>7.0412710592597288E-4</v>
      </c>
      <c r="BU23" s="1197">
        <f>IF(ISBLANK('HCT2'!Q23),"",'HCT2'!Q23)</f>
        <v>0.15599003043431645</v>
      </c>
      <c r="BV23" s="1197">
        <f>IF(ISBLANK('HCT2'!R23),"",'HCT2'!R23)</f>
        <v>1.1858748828365722</v>
      </c>
      <c r="BW23" s="1197">
        <f>IF(ISBLANK('HCT2'!S23),"",'HCT2'!S23)</f>
        <v>0.23584816061581279</v>
      </c>
      <c r="BX23" s="1198">
        <f>IF(ISBLANK('HCT2'!T23),"",'HCT2'!T23)</f>
        <v>0.38023198493573312</v>
      </c>
      <c r="BY23" s="1197">
        <f>IF(ISBLANK('HCT2'!U23),"",'HCT2'!U23)</f>
        <v>1.2423767767940816</v>
      </c>
      <c r="BZ23" s="1197">
        <f>IF(ISBLANK('HCT2'!V23),"",'HCT2'!V23)</f>
        <v>0.79304230707710144</v>
      </c>
      <c r="CA23" s="1197">
        <f>IF(ISBLANK('HCT2'!W23),"",'HCT2'!W23)</f>
        <v>8.3434196355616927E-2</v>
      </c>
      <c r="CB23" s="1200" t="str">
        <f>IF(ISBLANK('HCT2'!X23),"",'HCT2'!X23)</f>
        <v/>
      </c>
      <c r="CC23" s="1201">
        <f>IF(ISBLANK('HCT2'!Y23),"",'HCT2'!Y23)</f>
        <v>37.978608044301353</v>
      </c>
      <c r="CD23" s="1202">
        <f>IF(ISBLANK('HCT2'!Z23),"",'HCT2'!Z23)</f>
        <v>2.8374356505571745</v>
      </c>
      <c r="CE23" s="1200" t="str">
        <f>IF(ISBLANK('HCT2'!AA23),"",'HCT2'!AA23)</f>
        <v/>
      </c>
      <c r="CF23" s="1200" t="str">
        <f>IF(ISBLANK('HCT2'!AB23),"",'HCT2'!AB23)</f>
        <v/>
      </c>
      <c r="CG23" s="1203">
        <f>IF(ISBLANK('HCT2'!AC23),"",'HCT2'!AC23)</f>
        <v>0.87664325011401845</v>
      </c>
      <c r="CH23" s="1200" t="str">
        <f>IF(ISBLANK('HCT2'!AD23),"",'HCT2'!AD23)</f>
        <v/>
      </c>
      <c r="CI23" s="1200" t="str">
        <f>IF(ISBLANK('HCT2'!AE23),"",'HCT2'!AE23)</f>
        <v/>
      </c>
      <c r="CJ23" s="1200" t="str">
        <f>IF(ISBLANK('HCT2'!AF23),"",'HCT2'!AF23)</f>
        <v/>
      </c>
      <c r="CK23" s="1204" t="str">
        <f>IF(ISBLANK('HCT2'!AG23),"",'HCT2'!AG23)</f>
        <v/>
      </c>
      <c r="CL23" s="1200">
        <f>IF(ISBLANK('HCT2'!AH23),"",'HCT2'!AH23)</f>
        <v>0.45896556114659914</v>
      </c>
      <c r="CM23" s="1200">
        <f>IF(ISBLANK('HCT2'!AI23),"",'HCT2'!AI23)</f>
        <v>4.5133343631621727</v>
      </c>
      <c r="CN23" s="1204">
        <f>IF(ISBLANK('HCT2'!AJ23),"",'HCT2'!AJ23)</f>
        <v>3.3263050128031897</v>
      </c>
      <c r="CO23" s="1200" t="str">
        <f>IF(ISBLANK('HCT2'!AK23),"",'HCT2'!AK23)</f>
        <v/>
      </c>
      <c r="CP23" s="1200" t="str">
        <f>IF(ISBLANK('HCT2'!AL23),"",'HCT2'!AL23)</f>
        <v/>
      </c>
      <c r="CQ23" s="1200" t="str">
        <f>IF(ISBLANK('HCT2'!AM23),"",'HCT2'!AM23)</f>
        <v/>
      </c>
      <c r="CR23" s="1205" t="str">
        <f>IF(ISBLANK('HCT2'!AN23),"",'HCT2'!AN23)</f>
        <v/>
      </c>
      <c r="CS23" s="1206">
        <f>IF(ISBLANK('HCT2'!AO23),"",'HCT2'!AO23)</f>
        <v>0.45896556114659914</v>
      </c>
      <c r="CT23" s="1207">
        <f>IF(ISBLANK('HCT2'!AP23),"",'HCT2'!AP23)</f>
        <v>1</v>
      </c>
      <c r="CU23" s="1150">
        <f>IF(ISBLANK('HCT2'!AQ23),"",'HCT2'!AQ23)</f>
        <v>2.5562691355387495</v>
      </c>
      <c r="CV23" s="673">
        <f>IF(ISBLANK('HCT2'!AR23),"",'HCT2'!AR23)</f>
        <v>2.5562691355387495</v>
      </c>
      <c r="CW23" s="1484" t="e">
        <f>IF(ISBLANK(Récap1!#REF!),"",Récap1!#REF!)</f>
        <v>#REF!</v>
      </c>
      <c r="CX23" s="1484" t="e">
        <f>IF(ISBLANK(Récap1!#REF!),"",Récap1!#REF!)</f>
        <v>#REF!</v>
      </c>
      <c r="CY23" s="1485" t="e">
        <f>IF(ISBLANK(Récap1!#REF!),"",Récap1!#REF!)</f>
        <v>#REF!</v>
      </c>
      <c r="CZ23" s="1485" t="e">
        <f>IF(ISBLANK(Récap1!#REF!),"",Récap1!#REF!)</f>
        <v>#REF!</v>
      </c>
      <c r="DA23" s="1485" t="e">
        <f>IF(ISBLANK(Récap1!#REF!),"",Récap1!#REF!)</f>
        <v>#REF!</v>
      </c>
      <c r="DB23" s="1485" t="e">
        <f>IF(ISBLANK(Récap1!#REF!),"",Récap1!#REF!)</f>
        <v>#REF!</v>
      </c>
      <c r="DC23" s="1484">
        <f>IF(ISBLANK('HCT2'!AS23),"",'HCT2'!AS23)</f>
        <v>5.6455420821540567</v>
      </c>
      <c r="DD23" s="1485">
        <f>IF(ISBLANK('HCT2'!AT23),"",'HCT2'!AT23)</f>
        <v>16.217103762152004</v>
      </c>
      <c r="DE23" s="1485" t="str">
        <f>IF(ISBLANK('HCT2'!AU23),"",'HCT2'!AU23)</f>
        <v>PVL</v>
      </c>
      <c r="DF23" s="1485" t="str">
        <f>IF(ISBLANK('HCT2'!AV23),"",'HCT2'!AV23)</f>
        <v>PVL</v>
      </c>
      <c r="DG23" s="1485" t="str">
        <f>IF(ISBLANK('HCT2'!AW23),"",'HCT2'!AW23)</f>
        <v/>
      </c>
      <c r="DH23" s="1485" t="str">
        <f>IF(ISBLANK('HCT2'!AX23),"",'HCT2'!AX23)</f>
        <v/>
      </c>
      <c r="DI23" s="1485" t="str">
        <f>IF(ISBLANK('HCT2'!AY23),"",'HCT2'!AY23)</f>
        <v/>
      </c>
      <c r="DJ23" s="1486">
        <f>IF(ISBLANK('HCT2'!AZ23),"",'HCT2'!AZ23)</f>
        <v>2.8088935407630347</v>
      </c>
      <c r="DK23" s="1485" t="str">
        <f>IF(ISBLANK('HCT2'!BA23),"",'HCT2'!BA23)</f>
        <v>PVL</v>
      </c>
      <c r="DL23" s="1485" t="str">
        <f>IF(ISBLANK('HCT2'!BB23),"",'HCT2'!BB23)</f>
        <v>PVL</v>
      </c>
      <c r="DM23" s="1487" t="str">
        <f>IF(ISBLANK('HCT2'!BC23),"",'HCT2'!BC23)</f>
        <v>PVL</v>
      </c>
      <c r="DN23" s="1488">
        <f>IF(ISBLANK('HCT2'!BD23),"",'HCT2'!BD23)</f>
        <v>2.8088935407630347</v>
      </c>
      <c r="DO23" s="1489">
        <f>IF(ISBLANK('HCT2'!BE23),"",'HCT2'!BE23)</f>
        <v>0.23930211336607046</v>
      </c>
      <c r="DP23" s="1490">
        <f>IF(ISBLANK('HCT2'!BF23),"",'HCT2'!BF23)</f>
        <v>6.9799418336829504</v>
      </c>
      <c r="DQ23" s="979">
        <f t="shared" si="0"/>
        <v>3.8923177665042199</v>
      </c>
      <c r="DS23" s="781">
        <f t="shared" si="1"/>
        <v>0.59102407214163111</v>
      </c>
      <c r="DT23" s="781">
        <f t="shared" si="1"/>
        <v>1.5727716892957493</v>
      </c>
      <c r="DU23" s="781">
        <f t="shared" si="2"/>
        <v>0.39247337410136884</v>
      </c>
      <c r="DV23" s="880">
        <f t="shared" si="2"/>
        <v>0.59140965989865601</v>
      </c>
      <c r="DW23" s="781">
        <f t="shared" si="2"/>
        <v>2.321281948868001</v>
      </c>
      <c r="DX23" s="781">
        <f t="shared" si="2"/>
        <v>0.89548783427601986</v>
      </c>
      <c r="DY23" s="781">
        <f t="shared" si="2"/>
        <v>8.4138323461542902E-2</v>
      </c>
    </row>
    <row r="24" spans="1:131" s="782" customFormat="1" ht="13.5" hidden="1">
      <c r="A24" s="776"/>
      <c r="B24" s="245"/>
      <c r="C24" s="777"/>
      <c r="D24" s="778"/>
      <c r="E24" s="853" t="str">
        <f>IF(ISBLANK(Récap1!E24),"",Récap1!E24)</f>
        <v>Seuil pour détection olfactive air ambiant 2 mois</v>
      </c>
      <c r="F24" s="779" t="str">
        <f>IF(ISBLANK(Récap1!F24),"",Récap1!F24)</f>
        <v>Cs</v>
      </c>
      <c r="G24" s="779" t="str">
        <f>IF(ISBLANK(Récap1!G24),"",Récap1!G24)</f>
        <v>mg/kg ms</v>
      </c>
      <c r="H24" s="780" t="str">
        <f>IF(ISBLANK(Récap1!H24),"",Récap1!H24)</f>
        <v>PVL</v>
      </c>
      <c r="I24" s="781" t="str">
        <f>IF(ISBLANK(Récap1!I24),"",Récap1!I24)</f>
        <v>PVL</v>
      </c>
      <c r="J24" s="1197" t="str">
        <f>IF(ISBLANK(Récap1!J24),"",Récap1!J24)</f>
        <v>PVL</v>
      </c>
      <c r="K24" s="1196">
        <f>IF(ISBLANK(Récap1!K24),"",Récap1!K24)</f>
        <v>22.556444444444448</v>
      </c>
      <c r="L24" s="1197">
        <f>IF(ISBLANK(Récap1!L24),"",Récap1!L24)</f>
        <v>59.420713802836858</v>
      </c>
      <c r="M24" s="1197">
        <f>IF(ISBLANK(Récap1!M24),"",Récap1!M24)</f>
        <v>59.420713802836858</v>
      </c>
      <c r="N24" s="1197">
        <f>IF(ISBLANK(Récap1!N24),"",Récap1!N24)</f>
        <v>132.64969988927811</v>
      </c>
      <c r="O24" s="1197">
        <f>IF(ISBLANK(Récap1!O24),"",Récap1!O24)</f>
        <v>132.64969988927811</v>
      </c>
      <c r="P24" s="1197" t="str">
        <f>IF(ISBLANK(Récap1!P24),"",Récap1!P24)</f>
        <v>PVL</v>
      </c>
      <c r="Q24" s="1197" t="str">
        <f>IF(ISBLANK(Récap1!Q24),"",Récap1!Q24)</f>
        <v>PVL</v>
      </c>
      <c r="R24" s="1197">
        <f>IF(ISBLANK(Récap1!R24),"",Récap1!R24)</f>
        <v>76.557379690210681</v>
      </c>
      <c r="S24" s="1197">
        <f>IF(ISBLANK(Récap1!S24),"",Récap1!S24)</f>
        <v>10.330676071965918</v>
      </c>
      <c r="T24" s="1197">
        <f>IF(ISBLANK(Récap1!T24),"",Récap1!T24)</f>
        <v>10.330676071965918</v>
      </c>
      <c r="U24" s="1197" t="str">
        <f>IF(ISBLANK(Récap1!U24),"",Récap1!U24)</f>
        <v>PVL</v>
      </c>
      <c r="V24" s="1435">
        <f>IF(ISBLANK(Récap1!V24),"",Récap1!V24)</f>
        <v>481.06843745521746</v>
      </c>
      <c r="W24" s="1197">
        <f>IF(ISBLANK(Récap1!W24),"",Récap1!W24)</f>
        <v>481.06843745521746</v>
      </c>
      <c r="X24" s="1197">
        <f>IF(ISBLANK(Récap1!X24),"",Récap1!X24)</f>
        <v>13.162136292059106</v>
      </c>
      <c r="Y24" s="1425">
        <f>IF(ISBLANK(Récap1!Y24),"",Récap1!Y24)</f>
        <v>8.1127565902731202</v>
      </c>
      <c r="Z24" s="1197">
        <f>IF(ISBLANK(Récap1!Z24),"",Récap1!Z24)</f>
        <v>8.4589008714581055</v>
      </c>
      <c r="AA24" s="646">
        <f>IF(ISBLANK(Récap1!AA24),"",Récap1!AA24)</f>
        <v>0.25744480913133366</v>
      </c>
      <c r="AB24" s="1197">
        <f>IF(ISBLANK(Récap1!AB24),"",Récap1!AB24)</f>
        <v>1.4757032629608855</v>
      </c>
      <c r="AC24" s="1198">
        <f>IF(ISBLANK(Récap1!AC24),"",Récap1!AC24)</f>
        <v>0.38825705979465486</v>
      </c>
      <c r="AD24" s="1197">
        <f>IF(ISBLANK(Récap1!AD24),"",Récap1!AD24)</f>
        <v>1.0789051720739191</v>
      </c>
      <c r="AE24" s="1197" t="str">
        <f>IF(ISBLANK(Récap1!AE24),"",Récap1!AE24)</f>
        <v>PVL</v>
      </c>
      <c r="AF24" s="1199" t="str">
        <f>IF(ISBLANK(Récap1!AF24),"",Récap1!AF24)</f>
        <v>PVL</v>
      </c>
      <c r="AG24" s="1197">
        <f>IF(ISBLANK(Récap1!AG24),"",Récap1!AG24)</f>
        <v>33.80128267563996</v>
      </c>
      <c r="AH24" s="1197" t="str">
        <f>IF(ISBLANK(Récap1!AH24),"",Récap1!AH24)</f>
        <v>PVL</v>
      </c>
      <c r="AI24" s="1197">
        <f>IF(ISBLANK(Récap1!AI24),"",Récap1!AI24)</f>
        <v>15.559026408899966</v>
      </c>
      <c r="AJ24" s="1198">
        <f>IF(ISBLANK(Récap1!AJ24),"",Récap1!AJ24)</f>
        <v>5.9710987927148196</v>
      </c>
      <c r="AK24" s="1197" t="str">
        <f>IF(ISBLANK(Récap1!AK24),"",Récap1!AK24)</f>
        <v>PVL</v>
      </c>
      <c r="AL24" s="1197" t="str">
        <f>IF(ISBLANK(Récap1!AL24),"",Récap1!AL24)</f>
        <v>PVL</v>
      </c>
      <c r="AM24" s="1197" t="str">
        <f>IF(ISBLANK(Récap1!AM24),"",Récap1!AM24)</f>
        <v>PVL</v>
      </c>
      <c r="AN24" s="1196">
        <f>IF(ISBLANK(Récap1!AN24),"",Récap1!AN24)</f>
        <v>2.5964164575011477</v>
      </c>
      <c r="AO24" s="1197">
        <f>IF(ISBLANK(Récap1!AO24),"",Récap1!AO24)</f>
        <v>9.5065982966846629</v>
      </c>
      <c r="AP24" s="1197">
        <f>IF(ISBLANK(Récap1!AP24),"",Récap1!AP24)</f>
        <v>5.682533990460346</v>
      </c>
      <c r="AQ24" s="1197" t="str">
        <f>IF(ISBLANK(Récap1!AQ24),"",Récap1!AQ24)</f>
        <v>PVL</v>
      </c>
      <c r="AR24" s="1197" t="str">
        <f>IF(ISBLANK(Récap1!AR24),"",Récap1!AR24)</f>
        <v>PVL</v>
      </c>
      <c r="AS24" s="1197" t="str">
        <f>IF(ISBLANK(Récap1!AS24),"",Récap1!AS24)</f>
        <v>PVL</v>
      </c>
      <c r="AT24" s="1197" t="str">
        <f>IF(ISBLANK(Récap1!AT24),"",Récap1!AT24)</f>
        <v>PVL</v>
      </c>
      <c r="AU24" s="1197" t="str">
        <f>IF(ISBLANK(Récap1!AU24),"",Récap1!AU24)</f>
        <v>PVL</v>
      </c>
      <c r="AV24" s="1197" t="str">
        <f>IF(ISBLANK(Récap1!AV24),"",Récap1!AV24)</f>
        <v>PVL</v>
      </c>
      <c r="AW24" s="1197" t="str">
        <f>IF(ISBLANK(Récap1!AW24),"",Récap1!AW24)</f>
        <v>PVL</v>
      </c>
      <c r="AX24" s="1197" t="str">
        <f>IF(ISBLANK(Récap1!AX24),"",Récap1!AX24)</f>
        <v>PVL</v>
      </c>
      <c r="AY24" s="1197" t="str">
        <f>IF(ISBLANK(Récap1!AY24),"",Récap1!AY24)</f>
        <v>PVL</v>
      </c>
      <c r="AZ24" s="1197" t="str">
        <f>IF(ISBLANK(Récap1!AZ24),"",Récap1!AZ24)</f>
        <v>PVL</v>
      </c>
      <c r="BA24" s="1197" t="str">
        <f>IF(ISBLANK(Récap1!BA24),"",Récap1!BA24)</f>
        <v>PVL</v>
      </c>
      <c r="BB24" s="1197" t="str">
        <f>IF(ISBLANK(Récap1!BB24),"",Récap1!BB24)</f>
        <v>PVL</v>
      </c>
      <c r="BC24" s="646" t="str">
        <f>IF(ISBLANK(Récap1!BC24),"",Récap1!BC24)</f>
        <v>PVL</v>
      </c>
      <c r="BD24" s="1464">
        <f>IF(ISBLANK(Récap1!BD24),"",Récap1!BD24)</f>
        <v>41.475543319572317</v>
      </c>
      <c r="BE24" s="1425" t="str">
        <f>IF(ISBLANK(Récap1!BE24),"",Récap1!BE24)</f>
        <v>PVL</v>
      </c>
      <c r="BF24" s="1197" t="str">
        <f>IF(ISBLANK(Récap1!BF24),"",Récap1!BF24)</f>
        <v>PVL</v>
      </c>
      <c r="BG24" s="1197" t="str">
        <f>IF(ISBLANK(Récap1!BG24),"",Récap1!BG24)</f>
        <v>nd</v>
      </c>
      <c r="BH24" s="646" t="str">
        <f>IF(ISBLANK(Récap1!BH24),"",Récap1!BH24)</f>
        <v>PVL</v>
      </c>
      <c r="BI24" s="1197" t="str">
        <f>IF(ISBLANK(Récap1!BI24),"",Récap1!BI24)</f>
        <v>PVL</v>
      </c>
      <c r="BJ24" s="1200" t="e">
        <f>IF(ISBLANK(Récap1!#REF!),"",Récap1!#REF!)</f>
        <v>#REF!</v>
      </c>
      <c r="BK24" s="1200" t="e">
        <f>IF(ISBLANK(Récap1!#REF!),"",Récap1!#REF!)</f>
        <v>#REF!</v>
      </c>
      <c r="BL24" s="1197">
        <f>IF(ISBLANK('HCT2'!H24),"",'HCT2'!H24)</f>
        <v>13.162136292059106</v>
      </c>
      <c r="BM24" s="1197">
        <f>IF(ISBLANK('HCT2'!I24),"",'HCT2'!I24)</f>
        <v>8.1127565902731202</v>
      </c>
      <c r="BN24" s="1197">
        <f>IF(ISBLANK('HCT2'!J24),"",'HCT2'!J24)</f>
        <v>8.4589008714581055</v>
      </c>
      <c r="BO24" s="646">
        <f>IF(ISBLANK('HCT2'!K24),"",'HCT2'!K24)</f>
        <v>0.25744480913133366</v>
      </c>
      <c r="BP24" s="1197">
        <f>IF(ISBLANK('HCT2'!L24),"",'HCT2'!L24)</f>
        <v>1.4757032629608855</v>
      </c>
      <c r="BQ24" s="1198">
        <f>IF(ISBLANK('HCT2'!M24),"",'HCT2'!M24)</f>
        <v>0.38825705979465486</v>
      </c>
      <c r="BR24" s="1197">
        <f>IF(ISBLANK('HCT2'!N24),"",'HCT2'!N24)</f>
        <v>1.0789051720739191</v>
      </c>
      <c r="BS24" s="1197">
        <f>IF(ISBLANK('HCT2'!O24),"",'HCT2'!O24)</f>
        <v>0.10244552719891839</v>
      </c>
      <c r="BT24" s="1199">
        <f>IF(ISBLANK('HCT2'!P24),"",'HCT2'!P24)</f>
        <v>7.0412710592597288E-4</v>
      </c>
      <c r="BU24" s="1197">
        <f>IF(ISBLANK('HCT2'!Q24),"",'HCT2'!Q24)</f>
        <v>33.80128267563996</v>
      </c>
      <c r="BV24" s="1197">
        <f>IF(ISBLANK('HCT2'!R24),"",'HCT2'!R24)</f>
        <v>26.131106458812102</v>
      </c>
      <c r="BW24" s="1197">
        <f>IF(ISBLANK('HCT2'!S24),"",'HCT2'!S24)</f>
        <v>15.559026408899966</v>
      </c>
      <c r="BX24" s="1198">
        <f>IF(ISBLANK('HCT2'!T24),"",'HCT2'!T24)</f>
        <v>5.9710987927148196</v>
      </c>
      <c r="BY24" s="1197">
        <f>IF(ISBLANK('HCT2'!U24),"",'HCT2'!U24)</f>
        <v>19.510074812001733</v>
      </c>
      <c r="BZ24" s="1197">
        <f>IF(ISBLANK('HCT2'!V24),"",'HCT2'!V24)</f>
        <v>12.453802283782682</v>
      </c>
      <c r="CA24" s="1197">
        <f>IF(ISBLANK('HCT2'!W24),"",'HCT2'!W24)</f>
        <v>1.310236510519651</v>
      </c>
      <c r="CB24" s="1200" t="str">
        <f>IF(ISBLANK('HCT2'!X24),"",'HCT2'!X24)</f>
        <v/>
      </c>
      <c r="CC24" s="1201">
        <f>IF(ISBLANK('HCT2'!Y24),"",'HCT2'!Y24)</f>
        <v>1149.0586191829543</v>
      </c>
      <c r="CD24" s="1202">
        <f>IF(ISBLANK('HCT2'!Z24),"",'HCT2'!Z24)</f>
        <v>59.497582790108858</v>
      </c>
      <c r="CE24" s="1200" t="str">
        <f>IF(ISBLANK('HCT2'!AA24),"",'HCT2'!AA24)</f>
        <v/>
      </c>
      <c r="CF24" s="1200" t="str">
        <f>IF(ISBLANK('HCT2'!AB24),"",'HCT2'!AB24)</f>
        <v/>
      </c>
      <c r="CG24" s="1203">
        <f>IF(ISBLANK('HCT2'!AC24),"",'HCT2'!AC24)</f>
        <v>8.2596235679844376</v>
      </c>
      <c r="CH24" s="1200" t="str">
        <f>IF(ISBLANK('HCT2'!AD24),"",'HCT2'!AD24)</f>
        <v/>
      </c>
      <c r="CI24" s="1200" t="str">
        <f>IF(ISBLANK('HCT2'!AE24),"",'HCT2'!AE24)</f>
        <v/>
      </c>
      <c r="CJ24" s="1200" t="str">
        <f>IF(ISBLANK('HCT2'!AF24),"",'HCT2'!AF24)</f>
        <v/>
      </c>
      <c r="CK24" s="1204" t="str">
        <f>IF(ISBLANK('HCT2'!AG24),"",'HCT2'!AG24)</f>
        <v/>
      </c>
      <c r="CL24" s="1200">
        <f>IF(ISBLANK('HCT2'!AH24),"",'HCT2'!AH24)</f>
        <v>99.452667760279212</v>
      </c>
      <c r="CM24" s="1200" t="str">
        <f>IF(ISBLANK('HCT2'!AI24),"",'HCT2'!AI24)</f>
        <v>PVL</v>
      </c>
      <c r="CN24" s="1204">
        <f>IF(ISBLANK('HCT2'!AJ24),"",'HCT2'!AJ24)</f>
        <v>219.43808000506931</v>
      </c>
      <c r="CO24" s="1200" t="str">
        <f>IF(ISBLANK('HCT2'!AK24),"",'HCT2'!AK24)</f>
        <v/>
      </c>
      <c r="CP24" s="1200" t="str">
        <f>IF(ISBLANK('HCT2'!AL24),"",'HCT2'!AL24)</f>
        <v/>
      </c>
      <c r="CQ24" s="1200" t="str">
        <f>IF(ISBLANK('HCT2'!AM24),"",'HCT2'!AM24)</f>
        <v/>
      </c>
      <c r="CR24" s="1205" t="str">
        <f>IF(ISBLANK('HCT2'!AN24),"",'HCT2'!AN24)</f>
        <v/>
      </c>
      <c r="CS24" s="1206">
        <f>IF(ISBLANK('HCT2'!AO24),"",'HCT2'!AO24)</f>
        <v>8.2596235679844376</v>
      </c>
      <c r="CT24" s="1207">
        <f>IF(ISBLANK('HCT2'!AP24),"",'HCT2'!AP24)</f>
        <v>0.73725082446457313</v>
      </c>
      <c r="CU24" s="1150">
        <f>IF(ISBLANK('HCT2'!AQ24),"",'HCT2'!AQ24)</f>
        <v>97.810545389628345</v>
      </c>
      <c r="CV24" s="673">
        <f>IF(ISBLANK('HCT2'!AR24),"",'HCT2'!AR24)</f>
        <v>98.242011688645135</v>
      </c>
      <c r="CW24" s="1484" t="e">
        <f>IF(ISBLANK(Récap1!#REF!),"",Récap1!#REF!)</f>
        <v>#REF!</v>
      </c>
      <c r="CX24" s="1484" t="e">
        <f>IF(ISBLANK(Récap1!#REF!),"",Récap1!#REF!)</f>
        <v>#REF!</v>
      </c>
      <c r="CY24" s="1485" t="e">
        <f>IF(ISBLANK(Récap1!#REF!),"",Récap1!#REF!)</f>
        <v>#REF!</v>
      </c>
      <c r="CZ24" s="1485" t="e">
        <f>IF(ISBLANK(Récap1!#REF!),"",Récap1!#REF!)</f>
        <v>#REF!</v>
      </c>
      <c r="DA24" s="1485" t="e">
        <f>IF(ISBLANK(Récap1!#REF!),"",Récap1!#REF!)</f>
        <v>#REF!</v>
      </c>
      <c r="DB24" s="1485" t="e">
        <f>IF(ISBLANK(Récap1!#REF!),"",Récap1!#REF!)</f>
        <v>#REF!</v>
      </c>
      <c r="DC24" s="1484">
        <f>IF(ISBLANK('HCT2'!AS24),"",'HCT2'!AS24)</f>
        <v>10.379513696933021</v>
      </c>
      <c r="DD24" s="1485">
        <f>IF(ISBLANK('HCT2'!AT24),"",'HCT2'!AT24)</f>
        <v>16.217103762152004</v>
      </c>
      <c r="DE24" s="1485" t="str">
        <f>IF(ISBLANK('HCT2'!AU24),"",'HCT2'!AU24)</f>
        <v>PVL</v>
      </c>
      <c r="DF24" s="1485" t="str">
        <f>IF(ISBLANK('HCT2'!AV24),"",'HCT2'!AV24)</f>
        <v>PVL</v>
      </c>
      <c r="DG24" s="1485" t="str">
        <f>IF(ISBLANK('HCT2'!AW24),"",'HCT2'!AW24)</f>
        <v/>
      </c>
      <c r="DH24" s="1485" t="str">
        <f>IF(ISBLANK('HCT2'!AX24),"",'HCT2'!AX24)</f>
        <v/>
      </c>
      <c r="DI24" s="1485" t="str">
        <f>IF(ISBLANK('HCT2'!AY24),"",'HCT2'!AY24)</f>
        <v/>
      </c>
      <c r="DJ24" s="1486">
        <f>IF(ISBLANK('HCT2'!AZ24),"",'HCT2'!AZ24)</f>
        <v>44.110389169257942</v>
      </c>
      <c r="DK24" s="1485" t="str">
        <f>IF(ISBLANK('HCT2'!BA24),"",'HCT2'!BA24)</f>
        <v>PVL</v>
      </c>
      <c r="DL24" s="1485" t="str">
        <f>IF(ISBLANK('HCT2'!BB24),"",'HCT2'!BB24)</f>
        <v>PVL</v>
      </c>
      <c r="DM24" s="1487" t="str">
        <f>IF(ISBLANK('HCT2'!BC24),"",'HCT2'!BC24)</f>
        <v>PVL</v>
      </c>
      <c r="DN24" s="1488">
        <f>IF(ISBLANK('HCT2'!BD24),"",'HCT2'!BD24)</f>
        <v>10.379513696933021</v>
      </c>
      <c r="DO24" s="1489">
        <f>IF(ISBLANK('HCT2'!BE24),"",'HCT2'!BE24)</f>
        <v>0.23930211336607046</v>
      </c>
      <c r="DP24" s="1490">
        <f>IF(ISBLANK('HCT2'!BF24),"",'HCT2'!BF24)</f>
        <v>31.083139718054955</v>
      </c>
      <c r="DQ24" s="979">
        <f t="shared" si="0"/>
        <v>40.815524285192303</v>
      </c>
      <c r="DS24" s="781">
        <f t="shared" si="1"/>
        <v>46.96341896769907</v>
      </c>
      <c r="DT24" s="781">
        <f t="shared" si="1"/>
        <v>34.24386304908522</v>
      </c>
      <c r="DU24" s="781">
        <f t="shared" si="2"/>
        <v>17.034729671860852</v>
      </c>
      <c r="DV24" s="880">
        <f t="shared" si="2"/>
        <v>6.3593558525094744</v>
      </c>
      <c r="DW24" s="781">
        <f t="shared" si="2"/>
        <v>20.588979984075653</v>
      </c>
      <c r="DX24" s="781">
        <f t="shared" si="2"/>
        <v>12.556247810981601</v>
      </c>
      <c r="DY24" s="781">
        <f t="shared" si="2"/>
        <v>1.310940637625577</v>
      </c>
    </row>
    <row r="25" spans="1:131" s="998" customFormat="1" hidden="1">
      <c r="A25" s="988"/>
      <c r="B25" s="988"/>
      <c r="C25" s="989"/>
      <c r="D25" s="1011"/>
      <c r="E25" s="991" t="str">
        <f>IF(ISBLANK(Récap1!E25),"",Récap1!E25)</f>
        <v>Seuil dont détection olfactive air ambiant immédiat</v>
      </c>
      <c r="F25" s="992" t="str">
        <f>IF(ISBLANK(Récap1!F25),"",Récap1!F25)</f>
        <v>Cs</v>
      </c>
      <c r="G25" s="992" t="str">
        <f>IF(ISBLANK(Récap1!G25),"",Récap1!G25)</f>
        <v>mg/kg ms</v>
      </c>
      <c r="H25" s="993">
        <f>IF(ISBLANK(Récap1!H25),"",Récap1!H25)</f>
        <v>21.726590419182642</v>
      </c>
      <c r="I25" s="994">
        <f>IF(ISBLANK(Récap1!I25),"",Récap1!I25)</f>
        <v>21.726590419182642</v>
      </c>
      <c r="J25" s="1214">
        <f>IF(ISBLANK(Récap1!J25),"",Récap1!J25)</f>
        <v>191.60039130531911</v>
      </c>
      <c r="K25" s="1213">
        <f>IF(ISBLANK(Récap1!K25),"",Récap1!K25)</f>
        <v>0.16733132321493815</v>
      </c>
      <c r="L25" s="1214">
        <f>IF(ISBLANK(Récap1!L25),"",Récap1!L25)</f>
        <v>0.3100509090909091</v>
      </c>
      <c r="M25" s="1214">
        <f>IF(ISBLANK(Récap1!M25),"",Récap1!M25)</f>
        <v>0.3100509090909091</v>
      </c>
      <c r="N25" s="1214">
        <f>IF(ISBLANK(Récap1!N25),"",Récap1!N25)</f>
        <v>0.90431515151515141</v>
      </c>
      <c r="O25" s="1214">
        <f>IF(ISBLANK(Récap1!O25),"",Récap1!O25)</f>
        <v>0.90431515151515141</v>
      </c>
      <c r="P25" s="1214">
        <f>IF(ISBLANK(Récap1!P25),"",Récap1!P25)</f>
        <v>0.18086303030303036</v>
      </c>
      <c r="Q25" s="1214">
        <f>IF(ISBLANK(Récap1!Q25),"",Récap1!Q25)</f>
        <v>0.18086303030303036</v>
      </c>
      <c r="R25" s="1214">
        <f>IF(ISBLANK(Récap1!R25),"",Récap1!R25)</f>
        <v>1.8086303030303033</v>
      </c>
      <c r="S25" s="1214">
        <f>IF(ISBLANK(Récap1!S25),"",Récap1!S25)</f>
        <v>7.863610013175229E-2</v>
      </c>
      <c r="T25" s="1214">
        <f>IF(ISBLANK(Récap1!T25),"",Récap1!T25)</f>
        <v>7.863610013175229E-2</v>
      </c>
      <c r="U25" s="1214">
        <f>IF(ISBLANK(Récap1!U25),"",Récap1!U25)</f>
        <v>4.3062626262626261E-2</v>
      </c>
      <c r="V25" s="1436">
        <f>IF(ISBLANK(Récap1!V25),"",Récap1!V25)</f>
        <v>3.0503261000203228</v>
      </c>
      <c r="W25" s="1214">
        <f>IF(ISBLANK(Récap1!W25),"",Récap1!W25)</f>
        <v>3.0503261000203228</v>
      </c>
      <c r="X25" s="1214">
        <f>IF(ISBLANK(Récap1!X25),"",Récap1!X25)</f>
        <v>4.960814545454547E-2</v>
      </c>
      <c r="Y25" s="1426">
        <f>IF(ISBLANK(Récap1!Y25),"",Récap1!Y25)</f>
        <v>0.38689680645917712</v>
      </c>
      <c r="Z25" s="1214">
        <f>IF(ISBLANK(Récap1!Z25),"",Récap1!Z25)</f>
        <v>0.68117653917636534</v>
      </c>
      <c r="AA25" s="1215">
        <f>IF(ISBLANK(Récap1!AA25),"",Récap1!AA25)</f>
        <v>3.0902825726105098E-2</v>
      </c>
      <c r="AB25" s="1214">
        <f>IF(ISBLANK(Récap1!AB25),"",Récap1!AB25)</f>
        <v>0.15662521348555603</v>
      </c>
      <c r="AC25" s="1216">
        <f>IF(ISBLANK(Récap1!AC25),"",Récap1!AC25)</f>
        <v>0.21117767496292295</v>
      </c>
      <c r="AD25" s="1214">
        <f>IF(ISBLANK(Récap1!AD25),"",Récap1!AD25)</f>
        <v>1.0789051720739191</v>
      </c>
      <c r="AE25" s="1214" t="str">
        <f>IF(ISBLANK(Récap1!AE25),"",Récap1!AE25)</f>
        <v>PVL</v>
      </c>
      <c r="AF25" s="1143" t="str">
        <f>IF(ISBLANK(Récap1!AF25),"",Récap1!AF25)</f>
        <v>PVL</v>
      </c>
      <c r="AG25" s="1214">
        <f>IF(ISBLANK(Récap1!AG25),"",Récap1!AG25)</f>
        <v>0.15599003043431645</v>
      </c>
      <c r="AH25" s="1214">
        <f>IF(ISBLANK(Récap1!AH25),"",Récap1!AH25)</f>
        <v>1.1858748828365722</v>
      </c>
      <c r="AI25" s="1214">
        <f>IF(ISBLANK(Récap1!AI25),"",Récap1!AI25)</f>
        <v>0.23584816061581279</v>
      </c>
      <c r="AJ25" s="1216">
        <f>IF(ISBLANK(Récap1!AJ25),"",Récap1!AJ25)</f>
        <v>0.38023198493573312</v>
      </c>
      <c r="AK25" s="1214" t="str">
        <f>IF(ISBLANK(Récap1!AK25),"",Récap1!AK25)</f>
        <v>PVL</v>
      </c>
      <c r="AL25" s="1214" t="str">
        <f>IF(ISBLANK(Récap1!AL25),"",Récap1!AL25)</f>
        <v>PVL</v>
      </c>
      <c r="AM25" s="1214" t="str">
        <f>IF(ISBLANK(Récap1!AM25),"",Récap1!AM25)</f>
        <v>PVL</v>
      </c>
      <c r="AN25" s="1213">
        <f>IF(ISBLANK(Récap1!AN25),"",Récap1!AN25)</f>
        <v>5.4657193234831106E-2</v>
      </c>
      <c r="AO25" s="1214">
        <f>IF(ISBLANK(Récap1!AO25),"",Récap1!AO25)</f>
        <v>3.2736081774919841</v>
      </c>
      <c r="AP25" s="1214">
        <f>IF(ISBLANK(Récap1!AP25),"",Récap1!AP25)</f>
        <v>2.5158632155480651</v>
      </c>
      <c r="AQ25" s="1214">
        <f>IF(ISBLANK(Récap1!AQ25),"",Récap1!AQ25)</f>
        <v>4.0000540500248984</v>
      </c>
      <c r="AR25" s="1214" t="str">
        <f>IF(ISBLANK(Récap1!AR25),"",Récap1!AR25)</f>
        <v>PVL</v>
      </c>
      <c r="AS25" s="1214" t="str">
        <f>IF(ISBLANK(Récap1!AS25),"",Récap1!AS25)</f>
        <v>PVL</v>
      </c>
      <c r="AT25" s="1214" t="str">
        <f>IF(ISBLANK(Récap1!AT25),"",Récap1!AT25)</f>
        <v>PVL</v>
      </c>
      <c r="AU25" s="1214" t="str">
        <f>IF(ISBLANK(Récap1!AU25),"",Récap1!AU25)</f>
        <v>PVL</v>
      </c>
      <c r="AV25" s="1214" t="str">
        <f>IF(ISBLANK(Récap1!AV25),"",Récap1!AV25)</f>
        <v>PVL</v>
      </c>
      <c r="AW25" s="1214" t="str">
        <f>IF(ISBLANK(Récap1!AW25),"",Récap1!AW25)</f>
        <v>PVL</v>
      </c>
      <c r="AX25" s="1214" t="str">
        <f>IF(ISBLANK(Récap1!AX25),"",Récap1!AX25)</f>
        <v>PVL</v>
      </c>
      <c r="AY25" s="1214" t="str">
        <f>IF(ISBLANK(Récap1!AY25),"",Récap1!AY25)</f>
        <v>PVL</v>
      </c>
      <c r="AZ25" s="1214" t="str">
        <f>IF(ISBLANK(Récap1!AZ25),"",Récap1!AZ25)</f>
        <v>PVL</v>
      </c>
      <c r="BA25" s="1214" t="str">
        <f>IF(ISBLANK(Récap1!BA25),"",Récap1!BA25)</f>
        <v>PVL</v>
      </c>
      <c r="BB25" s="1214" t="str">
        <f>IF(ISBLANK(Récap1!BB25),"",Récap1!BB25)</f>
        <v>PVL</v>
      </c>
      <c r="BC25" s="1215" t="str">
        <f>IF(ISBLANK(Récap1!BC25),"",Récap1!BC25)</f>
        <v>PVL</v>
      </c>
      <c r="BD25" s="1465">
        <f>IF(ISBLANK(Récap1!BD25),"",Récap1!BD25)</f>
        <v>7.7275160836308379</v>
      </c>
      <c r="BE25" s="1426">
        <f>IF(ISBLANK(Récap1!BE25),"",Récap1!BE25)</f>
        <v>0.68232498837884525</v>
      </c>
      <c r="BF25" s="1214">
        <f>IF(ISBLANK(Récap1!BF25),"",Récap1!BF25)</f>
        <v>1.3646499767576905</v>
      </c>
      <c r="BG25" s="1214">
        <f>IF(ISBLANK(Récap1!BG25),"",Récap1!BG25)</f>
        <v>1.5502545454545454E-4</v>
      </c>
      <c r="BH25" s="1217">
        <f>IF(ISBLANK(Récap1!BH25),"",Récap1!BH25)</f>
        <v>9.9195806050834195E-2</v>
      </c>
      <c r="BI25" s="1214">
        <f>IF(ISBLANK(Récap1!BI25),"",Récap1!BI25)</f>
        <v>0.13815427896424801</v>
      </c>
      <c r="BJ25" s="1218" t="e">
        <f>IF(ISBLANK(Récap1!#REF!),"",Récap1!#REF!)</f>
        <v>#REF!</v>
      </c>
      <c r="BK25" s="1218" t="e">
        <f>IF(ISBLANK(Récap1!#REF!),"",Récap1!#REF!)</f>
        <v>#REF!</v>
      </c>
      <c r="BL25" s="1214">
        <f>IF(ISBLANK('HCT2'!H25),"",'HCT2'!H25)</f>
        <v>4.960814545454547E-2</v>
      </c>
      <c r="BM25" s="1214">
        <f>IF(ISBLANK('HCT2'!I25),"",'HCT2'!I25)</f>
        <v>0.38689680645917712</v>
      </c>
      <c r="BN25" s="1214">
        <f>IF(ISBLANK('HCT2'!J25),"",'HCT2'!J25)</f>
        <v>0.68117653917636534</v>
      </c>
      <c r="BO25" s="1215">
        <f>IF(ISBLANK('HCT2'!K25),"",'HCT2'!K25)</f>
        <v>3.0902825726105098E-2</v>
      </c>
      <c r="BP25" s="1214">
        <f>IF(ISBLANK('HCT2'!L25),"",'HCT2'!L25)</f>
        <v>0.15662521348555603</v>
      </c>
      <c r="BQ25" s="1216">
        <f>IF(ISBLANK('HCT2'!M25),"",'HCT2'!M25)</f>
        <v>0.21117767496292295</v>
      </c>
      <c r="BR25" s="1214">
        <f>IF(ISBLANK('HCT2'!N25),"",'HCT2'!N25)</f>
        <v>1.0789051720739191</v>
      </c>
      <c r="BS25" s="1214">
        <f>IF(ISBLANK('HCT2'!O25),"",'HCT2'!O25)</f>
        <v>0.10244552719891839</v>
      </c>
      <c r="BT25" s="1143">
        <f>IF(ISBLANK('HCT2'!P25),"",'HCT2'!P25)</f>
        <v>7.0412710592597288E-4</v>
      </c>
      <c r="BU25" s="1214">
        <f>IF(ISBLANK('HCT2'!Q25),"",'HCT2'!Q25)</f>
        <v>0.15599003043431645</v>
      </c>
      <c r="BV25" s="1214">
        <f>IF(ISBLANK('HCT2'!R25),"",'HCT2'!R25)</f>
        <v>1.1858748828365722</v>
      </c>
      <c r="BW25" s="1214">
        <f>IF(ISBLANK('HCT2'!S25),"",'HCT2'!S25)</f>
        <v>0.23584816061581279</v>
      </c>
      <c r="BX25" s="1216">
        <f>IF(ISBLANK('HCT2'!T25),"",'HCT2'!T25)</f>
        <v>0.38023198493573312</v>
      </c>
      <c r="BY25" s="1214">
        <f>IF(ISBLANK('HCT2'!U25),"",'HCT2'!U25)</f>
        <v>1.2423767767940816</v>
      </c>
      <c r="BZ25" s="1214">
        <f>IF(ISBLANK('HCT2'!V25),"",'HCT2'!V25)</f>
        <v>0.79304230707710144</v>
      </c>
      <c r="CA25" s="1214">
        <f>IF(ISBLANK('HCT2'!W25),"",'HCT2'!W25)</f>
        <v>8.3434196355616927E-2</v>
      </c>
      <c r="CB25" s="1218" t="str">
        <f>IF(ISBLANK('HCT2'!X25),"",'HCT2'!X25)</f>
        <v/>
      </c>
      <c r="CC25" s="1219">
        <f>IF(ISBLANK('HCT2'!Y25),"",'HCT2'!Y25)</f>
        <v>4.3308066298187207</v>
      </c>
      <c r="CD25" s="1220">
        <f>IF(ISBLANK('HCT2'!Z25),"",'HCT2'!Z25)</f>
        <v>2.8374356505571745</v>
      </c>
      <c r="CE25" s="1218" t="str">
        <f>IF(ISBLANK('HCT2'!AA25),"",'HCT2'!AA25)</f>
        <v/>
      </c>
      <c r="CF25" s="1218" t="str">
        <f>IF(ISBLANK('HCT2'!AB25),"",'HCT2'!AB25)</f>
        <v/>
      </c>
      <c r="CG25" s="1221">
        <f>IF(ISBLANK('HCT2'!AC25),"",'HCT2'!AC25)</f>
        <v>0.87664325011401845</v>
      </c>
      <c r="CH25" s="1218" t="str">
        <f>IF(ISBLANK('HCT2'!AD25),"",'HCT2'!AD25)</f>
        <v/>
      </c>
      <c r="CI25" s="1218" t="str">
        <f>IF(ISBLANK('HCT2'!AE25),"",'HCT2'!AE25)</f>
        <v/>
      </c>
      <c r="CJ25" s="1218" t="str">
        <f>IF(ISBLANK('HCT2'!AF25),"",'HCT2'!AF25)</f>
        <v/>
      </c>
      <c r="CK25" s="1222" t="str">
        <f>IF(ISBLANK('HCT2'!AG25),"",'HCT2'!AG25)</f>
        <v/>
      </c>
      <c r="CL25" s="1218">
        <f>IF(ISBLANK('HCT2'!AH25),"",'HCT2'!AH25)</f>
        <v>0.45896556114659914</v>
      </c>
      <c r="CM25" s="1218">
        <f>IF(ISBLANK('HCT2'!AI25),"",'HCT2'!AI25)</f>
        <v>4.5133343631621727</v>
      </c>
      <c r="CN25" s="1222">
        <f>IF(ISBLANK('HCT2'!AJ25),"",'HCT2'!AJ25)</f>
        <v>3.3263050128031897</v>
      </c>
      <c r="CO25" s="1218" t="str">
        <f>IF(ISBLANK('HCT2'!AK25),"",'HCT2'!AK25)</f>
        <v/>
      </c>
      <c r="CP25" s="1218" t="str">
        <f>IF(ISBLANK('HCT2'!AL25),"",'HCT2'!AL25)</f>
        <v/>
      </c>
      <c r="CQ25" s="1218" t="str">
        <f>IF(ISBLANK('HCT2'!AM25),"",'HCT2'!AM25)</f>
        <v/>
      </c>
      <c r="CR25" s="1223" t="str">
        <f>IF(ISBLANK('HCT2'!AN25),"",'HCT2'!AN25)</f>
        <v/>
      </c>
      <c r="CS25" s="1214">
        <f>IF(ISBLANK('HCT2'!AO25),"",'HCT2'!AO25)</f>
        <v>0.45896556114659914</v>
      </c>
      <c r="CT25" s="1174">
        <f>IF(ISBLANK('HCT2'!AP25),"",'HCT2'!AP25)</f>
        <v>1</v>
      </c>
      <c r="CU25" s="1151">
        <f>IF(ISBLANK('HCT2'!AQ25),"",'HCT2'!AQ25)</f>
        <v>2.17084323928598</v>
      </c>
      <c r="CV25" s="1491">
        <f>IF(ISBLANK('HCT2'!AR25),"",'HCT2'!AR25)</f>
        <v>2.17084323928598</v>
      </c>
      <c r="CW25" s="1492" t="e">
        <f>IF(ISBLANK(Récap1!#REF!),"",Récap1!#REF!)</f>
        <v>#REF!</v>
      </c>
      <c r="CX25" s="1492" t="e">
        <f>IF(ISBLANK(Récap1!#REF!),"",Récap1!#REF!)</f>
        <v>#REF!</v>
      </c>
      <c r="CY25" s="1493" t="e">
        <f>IF(ISBLANK(Récap1!#REF!),"",Récap1!#REF!)</f>
        <v>#REF!</v>
      </c>
      <c r="CZ25" s="1493" t="e">
        <f>IF(ISBLANK(Récap1!#REF!),"",Récap1!#REF!)</f>
        <v>#REF!</v>
      </c>
      <c r="DA25" s="1493" t="e">
        <f>IF(ISBLANK(Récap1!#REF!),"",Récap1!#REF!)</f>
        <v>#REF!</v>
      </c>
      <c r="DB25" s="1493" t="e">
        <f>IF(ISBLANK(Récap1!#REF!),"",Récap1!#REF!)</f>
        <v>#REF!</v>
      </c>
      <c r="DC25" s="1492">
        <f>IF(ISBLANK('HCT2'!AS25),"",'HCT2'!AS25)</f>
        <v>5.6455420821540567</v>
      </c>
      <c r="DD25" s="1493">
        <f>IF(ISBLANK('HCT2'!AT25),"",'HCT2'!AT25)</f>
        <v>16.217103762152004</v>
      </c>
      <c r="DE25" s="1493" t="str">
        <f>IF(ISBLANK('HCT2'!AU25),"",'HCT2'!AU25)</f>
        <v>PVL</v>
      </c>
      <c r="DF25" s="1493" t="str">
        <f>IF(ISBLANK('HCT2'!AV25),"",'HCT2'!AV25)</f>
        <v>PVL</v>
      </c>
      <c r="DG25" s="1493" t="str">
        <f>IF(ISBLANK('HCT2'!AW25),"",'HCT2'!AW25)</f>
        <v/>
      </c>
      <c r="DH25" s="1493" t="str">
        <f>IF(ISBLANK('HCT2'!AX25),"",'HCT2'!AX25)</f>
        <v/>
      </c>
      <c r="DI25" s="1493" t="str">
        <f>IF(ISBLANK('HCT2'!AY25),"",'HCT2'!AY25)</f>
        <v/>
      </c>
      <c r="DJ25" s="1494">
        <f>IF(ISBLANK('HCT2'!AZ25),"",'HCT2'!AZ25)</f>
        <v>2.8088935407630347</v>
      </c>
      <c r="DK25" s="1493" t="str">
        <f>IF(ISBLANK('HCT2'!BA25),"",'HCT2'!BA25)</f>
        <v>PVL</v>
      </c>
      <c r="DL25" s="1493" t="str">
        <f>IF(ISBLANK('HCT2'!BB25),"",'HCT2'!BB25)</f>
        <v>PVL</v>
      </c>
      <c r="DM25" s="1495" t="str">
        <f>IF(ISBLANK('HCT2'!BC25),"",'HCT2'!BC25)</f>
        <v>PVL</v>
      </c>
      <c r="DN25" s="1493">
        <f>IF(ISBLANK('HCT2'!BD25),"",'HCT2'!BD25)</f>
        <v>2.8088935407630347</v>
      </c>
      <c r="DO25" s="1475">
        <f>IF(ISBLANK('HCT2'!BE25),"",'HCT2'!BE25)</f>
        <v>0.23930211336607046</v>
      </c>
      <c r="DP25" s="1495">
        <f>IF(ISBLANK('HCT2'!BF25),"",'HCT2'!BF25)</f>
        <v>6.9799418336829504</v>
      </c>
      <c r="DQ25" s="990">
        <f t="shared" si="0"/>
        <v>3.8923177665042199</v>
      </c>
      <c r="DS25" s="994">
        <f t="shared" si="1"/>
        <v>0.20559817588886192</v>
      </c>
      <c r="DT25" s="994">
        <f t="shared" si="1"/>
        <v>1.5727716892957493</v>
      </c>
      <c r="DU25" s="994">
        <f t="shared" si="2"/>
        <v>0.39247337410136884</v>
      </c>
      <c r="DV25" s="996">
        <f t="shared" si="2"/>
        <v>0.59140965989865601</v>
      </c>
      <c r="DW25" s="994">
        <f t="shared" si="2"/>
        <v>2.321281948868001</v>
      </c>
      <c r="DX25" s="994">
        <f t="shared" si="2"/>
        <v>0.89548783427601986</v>
      </c>
      <c r="DY25" s="994">
        <f t="shared" si="2"/>
        <v>8.4138323461542902E-2</v>
      </c>
    </row>
    <row r="26" spans="1:131" s="998" customFormat="1" hidden="1">
      <c r="A26" s="988"/>
      <c r="B26" s="988"/>
      <c r="C26" s="989"/>
      <c r="D26" s="1011"/>
      <c r="E26" s="991" t="str">
        <f>IF(ISBLANK(Récap1!E26),"",Récap1!E26)</f>
        <v>Seuil dont détection olfactive air ambiant 2 mois</v>
      </c>
      <c r="F26" s="992" t="str">
        <f>IF(ISBLANK(Récap1!F26),"",Récap1!F26)</f>
        <v>Cs</v>
      </c>
      <c r="G26" s="992" t="str">
        <f>IF(ISBLANK(Récap1!G26),"",Récap1!G26)</f>
        <v>mg/kg ms</v>
      </c>
      <c r="H26" s="993">
        <f>IF(ISBLANK(Récap1!H26),"",Récap1!H26)</f>
        <v>21.726590419182642</v>
      </c>
      <c r="I26" s="994">
        <f>IF(ISBLANK(Récap1!I26),"",Récap1!I26)</f>
        <v>21.726590419182642</v>
      </c>
      <c r="J26" s="1214">
        <f>IF(ISBLANK(Récap1!J26),"",Récap1!J26)</f>
        <v>191.60039130531911</v>
      </c>
      <c r="K26" s="1213">
        <f>IF(ISBLANK(Récap1!K26),"",Récap1!K26)</f>
        <v>0.28938084848484852</v>
      </c>
      <c r="L26" s="1214">
        <f>IF(ISBLANK(Récap1!L26),"",Récap1!L26)</f>
        <v>0.3100509090909091</v>
      </c>
      <c r="M26" s="1214">
        <f>IF(ISBLANK(Récap1!M26),"",Récap1!M26)</f>
        <v>0.3100509090909091</v>
      </c>
      <c r="N26" s="1214">
        <f>IF(ISBLANK(Récap1!N26),"",Récap1!N26)</f>
        <v>0.90431515151515141</v>
      </c>
      <c r="O26" s="1214">
        <f>IF(ISBLANK(Récap1!O26),"",Récap1!O26)</f>
        <v>0.90431515151515141</v>
      </c>
      <c r="P26" s="1214">
        <f>IF(ISBLANK(Récap1!P26),"",Récap1!P26)</f>
        <v>0.18086303030303036</v>
      </c>
      <c r="Q26" s="1214">
        <f>IF(ISBLANK(Récap1!Q26),"",Récap1!Q26)</f>
        <v>0.18086303030303036</v>
      </c>
      <c r="R26" s="1214">
        <f>IF(ISBLANK(Récap1!R26),"",Récap1!R26)</f>
        <v>1.8086303030303033</v>
      </c>
      <c r="S26" s="1214">
        <f>IF(ISBLANK(Récap1!S26),"",Récap1!S26)</f>
        <v>7.863610013175229E-2</v>
      </c>
      <c r="T26" s="1214">
        <f>IF(ISBLANK(Récap1!T26),"",Récap1!T26)</f>
        <v>7.863610013175229E-2</v>
      </c>
      <c r="U26" s="1214">
        <f>IF(ISBLANK(Récap1!U26),"",Récap1!U26)</f>
        <v>4.3062626262626261E-2</v>
      </c>
      <c r="V26" s="1436">
        <f>IF(ISBLANK(Récap1!V26),"",Récap1!V26)</f>
        <v>5.1675151515151523</v>
      </c>
      <c r="W26" s="1214">
        <f>IF(ISBLANK(Récap1!W26),"",Récap1!W26)</f>
        <v>5.1675151515151523</v>
      </c>
      <c r="X26" s="1214">
        <f>IF(ISBLANK(Récap1!X26),"",Récap1!X26)</f>
        <v>4.960814545454547E-2</v>
      </c>
      <c r="Y26" s="1426">
        <f>IF(ISBLANK(Récap1!Y26),"",Récap1!Y26)</f>
        <v>1.3435539393939397</v>
      </c>
      <c r="Z26" s="1214">
        <f>IF(ISBLANK(Récap1!Z26),"",Récap1!Z26)</f>
        <v>0.72345212121212132</v>
      </c>
      <c r="AA26" s="1226">
        <f>IF(ISBLANK(Récap1!AA26),"",Récap1!AA26)</f>
        <v>0.25744480913133366</v>
      </c>
      <c r="AB26" s="1214">
        <f>IF(ISBLANK(Récap1!AB26),"",Récap1!AB26)</f>
        <v>1.0335030303030304</v>
      </c>
      <c r="AC26" s="1216">
        <f>IF(ISBLANK(Récap1!AC26),"",Récap1!AC26)</f>
        <v>0.38825705979465486</v>
      </c>
      <c r="AD26" s="1214">
        <f>IF(ISBLANK(Récap1!AD26),"",Récap1!AD26)</f>
        <v>1.0789051720739191</v>
      </c>
      <c r="AE26" s="1214" t="str">
        <f>IF(ISBLANK(Récap1!AE26),"",Récap1!AE26)</f>
        <v>PVL</v>
      </c>
      <c r="AF26" s="1143" t="str">
        <f>IF(ISBLANK(Récap1!AF26),"",Récap1!AF26)</f>
        <v>PVL</v>
      </c>
      <c r="AG26" s="1227">
        <f>IF(ISBLANK(Récap1!AG26),"",Récap1!AG26)</f>
        <v>33.80128267563996</v>
      </c>
      <c r="AH26" s="1214" t="str">
        <f>IF(ISBLANK(Récap1!AH26),"",Récap1!AH26)</f>
        <v>PVL</v>
      </c>
      <c r="AI26" s="1214">
        <f>IF(ISBLANK(Récap1!AI26),"",Récap1!AI26)</f>
        <v>5.1675151515151514</v>
      </c>
      <c r="AJ26" s="1216">
        <f>IF(ISBLANK(Récap1!AJ26),"",Récap1!AJ26)</f>
        <v>5.1675151515151523</v>
      </c>
      <c r="AK26" s="1214" t="str">
        <f>IF(ISBLANK(Récap1!AK26),"",Récap1!AK26)</f>
        <v>PVL</v>
      </c>
      <c r="AL26" s="1214" t="str">
        <f>IF(ISBLANK(Récap1!AL26),"",Récap1!AL26)</f>
        <v>PVL</v>
      </c>
      <c r="AM26" s="1214" t="str">
        <f>IF(ISBLANK(Récap1!AM26),"",Récap1!AM26)</f>
        <v>PVL</v>
      </c>
      <c r="AN26" s="1213">
        <f>IF(ISBLANK(Récap1!AN26),"",Récap1!AN26)</f>
        <v>5.4657193234831106E-2</v>
      </c>
      <c r="AO26" s="1214">
        <f>IF(ISBLANK(Récap1!AO26),"",Récap1!AO26)</f>
        <v>3.2736081774919841</v>
      </c>
      <c r="AP26" s="1214">
        <f>IF(ISBLANK(Récap1!AP26),"",Récap1!AP26)</f>
        <v>2.5158632155480651</v>
      </c>
      <c r="AQ26" s="1214">
        <f>IF(ISBLANK(Récap1!AQ26),"",Récap1!AQ26)</f>
        <v>4.0000540500248984</v>
      </c>
      <c r="AR26" s="1214" t="str">
        <f>IF(ISBLANK(Récap1!AR26),"",Récap1!AR26)</f>
        <v>PVL</v>
      </c>
      <c r="AS26" s="1214" t="str">
        <f>IF(ISBLANK(Récap1!AS26),"",Récap1!AS26)</f>
        <v>PVL</v>
      </c>
      <c r="AT26" s="1214" t="str">
        <f>IF(ISBLANK(Récap1!AT26),"",Récap1!AT26)</f>
        <v>PVL</v>
      </c>
      <c r="AU26" s="1214" t="str">
        <f>IF(ISBLANK(Récap1!AU26),"",Récap1!AU26)</f>
        <v>PVL</v>
      </c>
      <c r="AV26" s="1214" t="str">
        <f>IF(ISBLANK(Récap1!AV26),"",Récap1!AV26)</f>
        <v>PVL</v>
      </c>
      <c r="AW26" s="1214" t="str">
        <f>IF(ISBLANK(Récap1!AW26),"",Récap1!AW26)</f>
        <v>PVL</v>
      </c>
      <c r="AX26" s="1214" t="str">
        <f>IF(ISBLANK(Récap1!AX26),"",Récap1!AX26)</f>
        <v>PVL</v>
      </c>
      <c r="AY26" s="1214" t="str">
        <f>IF(ISBLANK(Récap1!AY26),"",Récap1!AY26)</f>
        <v>PVL</v>
      </c>
      <c r="AZ26" s="1214" t="str">
        <f>IF(ISBLANK(Récap1!AZ26),"",Récap1!AZ26)</f>
        <v>PVL</v>
      </c>
      <c r="BA26" s="1214" t="str">
        <f>IF(ISBLANK(Récap1!BA26),"",Récap1!BA26)</f>
        <v>PVL</v>
      </c>
      <c r="BB26" s="1214" t="str">
        <f>IF(ISBLANK(Récap1!BB26),"",Récap1!BB26)</f>
        <v>PVL</v>
      </c>
      <c r="BC26" s="1215" t="str">
        <f>IF(ISBLANK(Récap1!BC26),"",Récap1!BC26)</f>
        <v>PVL</v>
      </c>
      <c r="BD26" s="1465">
        <f>IF(ISBLANK(Récap1!BD26),"",Récap1!BD26)</f>
        <v>7.7275160836308379</v>
      </c>
      <c r="BE26" s="1426">
        <f>IF(ISBLANK(Récap1!BE26),"",Récap1!BE26)</f>
        <v>0.68232498837884525</v>
      </c>
      <c r="BF26" s="1214">
        <f>IF(ISBLANK(Récap1!BF26),"",Récap1!BF26)</f>
        <v>1.3646499767576905</v>
      </c>
      <c r="BG26" s="1214">
        <f>IF(ISBLANK(Récap1!BG26),"",Récap1!BG26)</f>
        <v>1.5502545454545454E-4</v>
      </c>
      <c r="BH26" s="1217">
        <f>IF(ISBLANK(Récap1!BH26),"",Récap1!BH26)</f>
        <v>9.9195806050834195E-2</v>
      </c>
      <c r="BI26" s="1214">
        <f>IF(ISBLANK(Récap1!BI26),"",Récap1!BI26)</f>
        <v>0.13815427896424801</v>
      </c>
      <c r="BJ26" s="1218" t="e">
        <f>IF(ISBLANK(Récap1!#REF!),"",Récap1!#REF!)</f>
        <v>#REF!</v>
      </c>
      <c r="BK26" s="1218" t="e">
        <f>IF(ISBLANK(Récap1!#REF!),"",Récap1!#REF!)</f>
        <v>#REF!</v>
      </c>
      <c r="BL26" s="1214">
        <f>IF(ISBLANK('HCT2'!H26),"",'HCT2'!H26)</f>
        <v>4.960814545454547E-2</v>
      </c>
      <c r="BM26" s="1214">
        <f>IF(ISBLANK('HCT2'!I26),"",'HCT2'!I26)</f>
        <v>1.3435539393939397</v>
      </c>
      <c r="BN26" s="1214">
        <f>IF(ISBLANK('HCT2'!J26),"",'HCT2'!J26)</f>
        <v>0.72345212121212132</v>
      </c>
      <c r="BO26" s="1215">
        <f>IF(ISBLANK('HCT2'!K26),"",'HCT2'!K26)</f>
        <v>0.25744480913133366</v>
      </c>
      <c r="BP26" s="1214">
        <f>IF(ISBLANK('HCT2'!L26),"",'HCT2'!L26)</f>
        <v>1.0335030303030304</v>
      </c>
      <c r="BQ26" s="1216">
        <f>IF(ISBLANK('HCT2'!M26),"",'HCT2'!M26)</f>
        <v>0.38825705979465486</v>
      </c>
      <c r="BR26" s="1214">
        <f>IF(ISBLANK('HCT2'!N26),"",'HCT2'!N26)</f>
        <v>1.0789051720739191</v>
      </c>
      <c r="BS26" s="1214">
        <f>IF(ISBLANK('HCT2'!O26),"",'HCT2'!O26)</f>
        <v>0.10244552719891839</v>
      </c>
      <c r="BT26" s="1143">
        <f>IF(ISBLANK('HCT2'!P26),"",'HCT2'!P26)</f>
        <v>7.0412710592597288E-4</v>
      </c>
      <c r="BU26" s="1214">
        <f>IF(ISBLANK('HCT2'!Q26),"",'HCT2'!Q26)</f>
        <v>33.80128267563996</v>
      </c>
      <c r="BV26" s="1214">
        <f>IF(ISBLANK('HCT2'!R26),"",'HCT2'!R26)</f>
        <v>26.131106458812102</v>
      </c>
      <c r="BW26" s="1214">
        <f>IF(ISBLANK('HCT2'!S26),"",'HCT2'!S26)</f>
        <v>5.1675151515151514</v>
      </c>
      <c r="BX26" s="1216">
        <f>IF(ISBLANK('HCT2'!T26),"",'HCT2'!T26)</f>
        <v>5.1675151515151523</v>
      </c>
      <c r="BY26" s="1214">
        <f>IF(ISBLANK('HCT2'!U26),"",'HCT2'!U26)</f>
        <v>16.884431274394458</v>
      </c>
      <c r="BZ26" s="1214">
        <f>IF(ISBLANK('HCT2'!V26),"",'HCT2'!V26)</f>
        <v>10.777783826644958</v>
      </c>
      <c r="CA26" s="1214">
        <f>IF(ISBLANK('HCT2'!W26),"",'HCT2'!W26)</f>
        <v>1.133906380587665</v>
      </c>
      <c r="CB26" s="1218" t="str">
        <f>IF(ISBLANK('HCT2'!X26),"",'HCT2'!X26)</f>
        <v/>
      </c>
      <c r="CC26" s="1219">
        <f>IF(ISBLANK('HCT2'!Y26),"",'HCT2'!Y26)</f>
        <v>4.3308066298187207</v>
      </c>
      <c r="CD26" s="1220">
        <f>IF(ISBLANK('HCT2'!Z26),"",'HCT2'!Z26)</f>
        <v>9.8533970362072285</v>
      </c>
      <c r="CE26" s="1218" t="str">
        <f>IF(ISBLANK('HCT2'!AA26),"",'HCT2'!AA26)</f>
        <v/>
      </c>
      <c r="CF26" s="1218" t="str">
        <f>IF(ISBLANK('HCT2'!AB26),"",'HCT2'!AB26)</f>
        <v/>
      </c>
      <c r="CG26" s="1221">
        <f>IF(ISBLANK('HCT2'!AC26),"",'HCT2'!AC26)</f>
        <v>5.7845951831445577</v>
      </c>
      <c r="CH26" s="1218" t="str">
        <f>IF(ISBLANK('HCT2'!AD26),"",'HCT2'!AD26)</f>
        <v/>
      </c>
      <c r="CI26" s="1218" t="str">
        <f>IF(ISBLANK('HCT2'!AE26),"",'HCT2'!AE26)</f>
        <v/>
      </c>
      <c r="CJ26" s="1218" t="str">
        <f>IF(ISBLANK('HCT2'!AF26),"",'HCT2'!AF26)</f>
        <v/>
      </c>
      <c r="CK26" s="1222" t="str">
        <f>IF(ISBLANK('HCT2'!AG26),"",'HCT2'!AG26)</f>
        <v/>
      </c>
      <c r="CL26" s="1218">
        <f>IF(ISBLANK('HCT2'!AH26),"",'HCT2'!AH26)</f>
        <v>99.452667760279212</v>
      </c>
      <c r="CM26" s="1218" t="str">
        <f>IF(ISBLANK('HCT2'!AI26),"",'HCT2'!AI26)</f>
        <v>PVL</v>
      </c>
      <c r="CN26" s="1222">
        <f>IF(ISBLANK('HCT2'!AJ26),"",'HCT2'!AJ26)</f>
        <v>72.880498653627569</v>
      </c>
      <c r="CO26" s="1218" t="str">
        <f>IF(ISBLANK('HCT2'!AK26),"",'HCT2'!AK26)</f>
        <v/>
      </c>
      <c r="CP26" s="1218" t="str">
        <f>IF(ISBLANK('HCT2'!AL26),"",'HCT2'!AL26)</f>
        <v/>
      </c>
      <c r="CQ26" s="1218" t="str">
        <f>IF(ISBLANK('HCT2'!AM26),"",'HCT2'!AM26)</f>
        <v/>
      </c>
      <c r="CR26" s="1223" t="str">
        <f>IF(ISBLANK('HCT2'!AN26),"",'HCT2'!AN26)</f>
        <v/>
      </c>
      <c r="CS26" s="1214">
        <f>IF(ISBLANK('HCT2'!AO26),"",'HCT2'!AO26)</f>
        <v>5.7845951831445577</v>
      </c>
      <c r="CT26" s="1174">
        <f>IF(ISBLANK('HCT2'!AP26),"",'HCT2'!AP26)</f>
        <v>0.73725082446457313</v>
      </c>
      <c r="CU26" s="1151">
        <f>IF(ISBLANK('HCT2'!AQ26),"",'HCT2'!AQ26)</f>
        <v>56.148411868335316</v>
      </c>
      <c r="CV26" s="1491">
        <f>IF(ISBLANK('HCT2'!AR26),"",'HCT2'!AR26)</f>
        <v>67.526569401118721</v>
      </c>
      <c r="CW26" s="1492" t="e">
        <f>IF(ISBLANK(Récap1!#REF!),"",Récap1!#REF!)</f>
        <v>#REF!</v>
      </c>
      <c r="CX26" s="1492" t="e">
        <f>IF(ISBLANK(Récap1!#REF!),"",Récap1!#REF!)</f>
        <v>#REF!</v>
      </c>
      <c r="CY26" s="1493" t="e">
        <f>IF(ISBLANK(Récap1!#REF!),"",Récap1!#REF!)</f>
        <v>#REF!</v>
      </c>
      <c r="CZ26" s="1493" t="e">
        <f>IF(ISBLANK(Récap1!#REF!),"",Récap1!#REF!)</f>
        <v>#REF!</v>
      </c>
      <c r="DA26" s="1493" t="e">
        <f>IF(ISBLANK(Récap1!#REF!),"",Récap1!#REF!)</f>
        <v>#REF!</v>
      </c>
      <c r="DB26" s="1493" t="e">
        <f>IF(ISBLANK(Récap1!#REF!),"",Récap1!#REF!)</f>
        <v>#REF!</v>
      </c>
      <c r="DC26" s="1492">
        <f>IF(ISBLANK('HCT2'!AS26),"",'HCT2'!AS26)</f>
        <v>10.379513696933021</v>
      </c>
      <c r="DD26" s="1493">
        <f>IF(ISBLANK('HCT2'!AT26),"",'HCT2'!AT26)</f>
        <v>16.217103762152004</v>
      </c>
      <c r="DE26" s="1493" t="str">
        <f>IF(ISBLANK('HCT2'!AU26),"",'HCT2'!AU26)</f>
        <v>PVL</v>
      </c>
      <c r="DF26" s="1493" t="str">
        <f>IF(ISBLANK('HCT2'!AV26),"",'HCT2'!AV26)</f>
        <v>PVL</v>
      </c>
      <c r="DG26" s="1493" t="str">
        <f>IF(ISBLANK('HCT2'!AW26),"",'HCT2'!AW26)</f>
        <v/>
      </c>
      <c r="DH26" s="1493" t="str">
        <f>IF(ISBLANK('HCT2'!AX26),"",'HCT2'!AX26)</f>
        <v/>
      </c>
      <c r="DI26" s="1493" t="str">
        <f>IF(ISBLANK('HCT2'!AY26),"",'HCT2'!AY26)</f>
        <v/>
      </c>
      <c r="DJ26" s="1494">
        <f>IF(ISBLANK('HCT2'!AZ26),"",'HCT2'!AZ26)</f>
        <v>38.174063482164321</v>
      </c>
      <c r="DK26" s="1493" t="str">
        <f>IF(ISBLANK('HCT2'!BA26),"",'HCT2'!BA26)</f>
        <v>PVL</v>
      </c>
      <c r="DL26" s="1493" t="str">
        <f>IF(ISBLANK('HCT2'!BB26),"",'HCT2'!BB26)</f>
        <v>PVL</v>
      </c>
      <c r="DM26" s="1495" t="str">
        <f>IF(ISBLANK('HCT2'!BC26),"",'HCT2'!BC26)</f>
        <v>PVL</v>
      </c>
      <c r="DN26" s="1493">
        <f>IF(ISBLANK('HCT2'!BD26),"",'HCT2'!BD26)</f>
        <v>10.379513696933021</v>
      </c>
      <c r="DO26" s="1475">
        <f>IF(ISBLANK('HCT2'!BE26),"",'HCT2'!BE26)</f>
        <v>0.23930211336607046</v>
      </c>
      <c r="DP26" s="1495">
        <f>IF(ISBLANK('HCT2'!BF26),"",'HCT2'!BF26)</f>
        <v>27.725109862420574</v>
      </c>
      <c r="DQ26" s="990">
        <f t="shared" si="0"/>
        <v>35.533948519315658</v>
      </c>
      <c r="DS26" s="994">
        <f t="shared" si="1"/>
        <v>33.850890821094509</v>
      </c>
      <c r="DT26" s="994">
        <f t="shared" si="1"/>
        <v>27.474660398206041</v>
      </c>
      <c r="DU26" s="994">
        <f t="shared" si="2"/>
        <v>6.2010181818181813</v>
      </c>
      <c r="DV26" s="996">
        <f t="shared" si="2"/>
        <v>5.5557722113098071</v>
      </c>
      <c r="DW26" s="994">
        <f t="shared" si="2"/>
        <v>17.963336446468379</v>
      </c>
      <c r="DX26" s="994">
        <f t="shared" si="2"/>
        <v>10.880229353843877</v>
      </c>
      <c r="DY26" s="994">
        <f t="shared" si="2"/>
        <v>1.1346105076935911</v>
      </c>
    </row>
    <row r="27" spans="1:131" s="26" customFormat="1" hidden="1">
      <c r="A27" s="27"/>
      <c r="B27" s="27"/>
      <c r="C27" s="77"/>
      <c r="D27" s="502"/>
      <c r="E27" s="103" t="str">
        <f>IF(ISBLANK(Récap1!E27),"",Récap1!E27)</f>
        <v>Seuil dont détection olfactive air du sol</v>
      </c>
      <c r="F27" s="147" t="str">
        <f>IF(ISBLANK(Récap1!F27),"",Récap1!F27)</f>
        <v>Cs</v>
      </c>
      <c r="G27" s="147" t="str">
        <f>IF(ISBLANK(Récap1!G27),"",Récap1!G27)</f>
        <v>mg/kg ms</v>
      </c>
      <c r="H27" s="85">
        <f>IF(ISBLANK(Récap1!H27),"",Récap1!H27)</f>
        <v>21.726590419182642</v>
      </c>
      <c r="I27" s="56">
        <f>IF(ISBLANK(Récap1!I27),"",Récap1!I27)</f>
        <v>21.726590419182642</v>
      </c>
      <c r="J27" s="644">
        <f>IF(ISBLANK(Récap1!J27),"",Récap1!J27)</f>
        <v>191.60039130531911</v>
      </c>
      <c r="K27" s="643">
        <f>IF(ISBLANK(Récap1!K27),"",Récap1!K27)</f>
        <v>6.7474391639365076E-3</v>
      </c>
      <c r="L27" s="644">
        <f>IF(ISBLANK(Récap1!L27),"",Récap1!L27)</f>
        <v>9.5069987104584891E-2</v>
      </c>
      <c r="M27" s="644">
        <f>IF(ISBLANK(Récap1!M27),"",Récap1!M27)</f>
        <v>9.5069987104584891E-2</v>
      </c>
      <c r="N27" s="644">
        <f>IF(ISBLANK(Récap1!N27),"",Récap1!N27)</f>
        <v>0.10760591893278754</v>
      </c>
      <c r="O27" s="644">
        <f>IF(ISBLANK(Récap1!O27),"",Récap1!O27)</f>
        <v>0.10760591893278754</v>
      </c>
      <c r="P27" s="644">
        <f>IF(ISBLANK(Récap1!P27),"",Récap1!P27)</f>
        <v>0.1199562906395495</v>
      </c>
      <c r="Q27" s="644">
        <f>IF(ISBLANK(Récap1!Q27),"",Récap1!Q27)</f>
        <v>0.1199562906395495</v>
      </c>
      <c r="R27" s="644">
        <f>IF(ISBLANK(Récap1!R27),"",Récap1!R27)</f>
        <v>0.14151448202581743</v>
      </c>
      <c r="S27" s="644">
        <f>IF(ISBLANK(Récap1!S27),"",Récap1!S27)</f>
        <v>2.0354402069204962E-2</v>
      </c>
      <c r="T27" s="644">
        <f>IF(ISBLANK(Récap1!T27),"",Récap1!T27)</f>
        <v>2.0354402069204962E-2</v>
      </c>
      <c r="U27" s="644">
        <f>IF(ISBLANK(Récap1!U27),"",Récap1!U27)</f>
        <v>4.3062626262626261E-2</v>
      </c>
      <c r="V27" s="681">
        <f>IF(ISBLANK(Récap1!V27),"",Récap1!V27)</f>
        <v>0.12300081894181439</v>
      </c>
      <c r="W27" s="644">
        <f>IF(ISBLANK(Récap1!W27),"",Récap1!W27)</f>
        <v>0.12300081894181439</v>
      </c>
      <c r="X27" s="644">
        <f>IF(ISBLANK(Récap1!X27),"",Récap1!X27)</f>
        <v>1.754223700777784E-2</v>
      </c>
      <c r="Y27" s="683">
        <f>IF(ISBLANK(Récap1!Y27),"",Récap1!Y27)</f>
        <v>1.5601159508858542E-2</v>
      </c>
      <c r="Z27" s="644">
        <f>IF(ISBLANK(Récap1!Z27),"",Récap1!Z27)</f>
        <v>2.7467644250260864E-2</v>
      </c>
      <c r="AA27" s="645">
        <f>IF(ISBLANK(Récap1!AA27),"",Récap1!AA27)</f>
        <v>1.2461201679065631E-3</v>
      </c>
      <c r="AB27" s="644">
        <f>IF(ISBLANK(Récap1!AB27),"",Récap1!AB27)</f>
        <v>6.315727857926912E-3</v>
      </c>
      <c r="AC27" s="1228">
        <f>IF(ISBLANK(Récap1!AC27),"",Récap1!AC27)</f>
        <v>8.5154918231512226E-3</v>
      </c>
      <c r="AD27" s="644">
        <f>IF(ISBLANK(Récap1!AD27),"",Récap1!AD27)</f>
        <v>4.3505584443829494E-2</v>
      </c>
      <c r="AE27" s="644">
        <f>IF(ISBLANK(Récap1!AE27),"",Récap1!AE27)</f>
        <v>0.34890349802377557</v>
      </c>
      <c r="AF27" s="1229" t="str">
        <f>IF(ISBLANK(Récap1!AF27),"",Récap1!AF27)</f>
        <v>PVL</v>
      </c>
      <c r="AG27" s="644">
        <f>IF(ISBLANK(Récap1!AG27),"",Récap1!AG27)</f>
        <v>6.29011484708197E-3</v>
      </c>
      <c r="AH27" s="644">
        <f>IF(ISBLANK(Récap1!AH27),"",Récap1!AH27)</f>
        <v>4.7819012449342634E-2</v>
      </c>
      <c r="AI27" s="644">
        <f>IF(ISBLANK(Récap1!AI27),"",Récap1!AI27)</f>
        <v>9.5103001942881699E-3</v>
      </c>
      <c r="AJ27" s="1228">
        <f>IF(ISBLANK(Récap1!AJ27),"",Récap1!AJ27)</f>
        <v>1.5332408405335814E-2</v>
      </c>
      <c r="AK27" s="644">
        <f>IF(ISBLANK(Récap1!AK27),"",Récap1!AK27)</f>
        <v>0.37132861944557133</v>
      </c>
      <c r="AL27" s="644" t="str">
        <f>IF(ISBLANK(Récap1!AL27),"",Récap1!AL27)</f>
        <v>PVL</v>
      </c>
      <c r="AM27" s="644" t="str">
        <f>IF(ISBLANK(Récap1!AM27),"",Récap1!AM27)</f>
        <v>PVL</v>
      </c>
      <c r="AN27" s="643">
        <f>IF(ISBLANK(Récap1!AN27),"",Récap1!AN27)</f>
        <v>5.4657193234831106E-2</v>
      </c>
      <c r="AO27" s="644">
        <f>IF(ISBLANK(Récap1!AO27),"",Récap1!AO27)</f>
        <v>0.38334241569623678</v>
      </c>
      <c r="AP27" s="644">
        <f>IF(ISBLANK(Récap1!AP27),"",Récap1!AP27)</f>
        <v>0.22914151194741517</v>
      </c>
      <c r="AQ27" s="644">
        <f>IF(ISBLANK(Récap1!AQ27),"",Récap1!AQ27)</f>
        <v>0.56590208573839795</v>
      </c>
      <c r="AR27" s="644">
        <f>IF(ISBLANK(Récap1!AR27),"",Récap1!AR27)</f>
        <v>2.8264444973650038</v>
      </c>
      <c r="AS27" s="644" t="str">
        <f>IF(ISBLANK(Récap1!AS27),"",Récap1!AS27)</f>
        <v>PVL</v>
      </c>
      <c r="AT27" s="644" t="str">
        <f>IF(ISBLANK(Récap1!AT27),"",Récap1!AT27)</f>
        <v>PVL</v>
      </c>
      <c r="AU27" s="644" t="str">
        <f>IF(ISBLANK(Récap1!AU27),"",Récap1!AU27)</f>
        <v>PVL</v>
      </c>
      <c r="AV27" s="644" t="str">
        <f>IF(ISBLANK(Récap1!AV27),"",Récap1!AV27)</f>
        <v>PVL</v>
      </c>
      <c r="AW27" s="644" t="str">
        <f>IF(ISBLANK(Récap1!AW27),"",Récap1!AW27)</f>
        <v>PVL</v>
      </c>
      <c r="AX27" s="644" t="str">
        <f>IF(ISBLANK(Récap1!AX27),"",Récap1!AX27)</f>
        <v>PVL</v>
      </c>
      <c r="AY27" s="644" t="str">
        <f>IF(ISBLANK(Récap1!AY27),"",Récap1!AY27)</f>
        <v>PVL</v>
      </c>
      <c r="AZ27" s="644" t="str">
        <f>IF(ISBLANK(Récap1!AZ27),"",Récap1!AZ27)</f>
        <v>PVL</v>
      </c>
      <c r="BA27" s="644" t="str">
        <f>IF(ISBLANK(Récap1!BA27),"",Récap1!BA27)</f>
        <v>PVL</v>
      </c>
      <c r="BB27" s="644" t="str">
        <f>IF(ISBLANK(Récap1!BB27),"",Récap1!BB27)</f>
        <v>PVL</v>
      </c>
      <c r="BC27" s="645" t="str">
        <f>IF(ISBLANK(Récap1!BC27),"",Récap1!BC27)</f>
        <v>PVL</v>
      </c>
      <c r="BD27" s="682">
        <f>IF(ISBLANK(Récap1!BD27),"",Récap1!BD27)</f>
        <v>1.6724525926359499</v>
      </c>
      <c r="BE27" s="683">
        <f>IF(ISBLANK(Récap1!BE27),"",Récap1!BE27)</f>
        <v>0.68232498837884525</v>
      </c>
      <c r="BF27" s="644">
        <f>IF(ISBLANK(Récap1!BF27),"",Récap1!BF27)</f>
        <v>1.3646499767576905</v>
      </c>
      <c r="BG27" s="644">
        <f>IF(ISBLANK(Récap1!BG27),"",Récap1!BG27)</f>
        <v>1.5502545454545454E-4</v>
      </c>
      <c r="BH27" s="646">
        <f>IF(ISBLANK(Récap1!BH27),"",Récap1!BH27)</f>
        <v>9.9195806050834195E-2</v>
      </c>
      <c r="BI27" s="644" t="str">
        <f>IF(ISBLANK(Récap1!BI27),"",Récap1!BI27)</f>
        <v/>
      </c>
      <c r="BJ27" s="647" t="e">
        <f>IF(ISBLANK(Récap1!#REF!),"",Récap1!#REF!)</f>
        <v>#REF!</v>
      </c>
      <c r="BK27" s="647" t="e">
        <f>IF(ISBLANK(Récap1!#REF!),"",Récap1!#REF!)</f>
        <v>#REF!</v>
      </c>
      <c r="BL27" s="644">
        <f>IF(ISBLANK('HCT2'!H27),"",'HCT2'!H27)</f>
        <v>1.754223700777784E-2</v>
      </c>
      <c r="BM27" s="644">
        <f>IF(ISBLANK('HCT2'!I27),"",'HCT2'!I27)</f>
        <v>1.5601159508858542E-2</v>
      </c>
      <c r="BN27" s="644">
        <f>IF(ISBLANK('HCT2'!J27),"",'HCT2'!J27)</f>
        <v>2.7467644250260864E-2</v>
      </c>
      <c r="BO27" s="645">
        <f>IF(ISBLANK('HCT2'!K27),"",'HCT2'!K27)</f>
        <v>1.2461201679065631E-3</v>
      </c>
      <c r="BP27" s="644">
        <f>IF(ISBLANK('HCT2'!L27),"",'HCT2'!L27)</f>
        <v>6.315727857926912E-3</v>
      </c>
      <c r="BQ27" s="1228">
        <f>IF(ISBLANK('HCT2'!M27),"",'HCT2'!M27)</f>
        <v>8.5154918231512226E-3</v>
      </c>
      <c r="BR27" s="644">
        <f>IF(ISBLANK('HCT2'!N27),"",'HCT2'!N27)</f>
        <v>4.3505584443829494E-2</v>
      </c>
      <c r="BS27" s="644">
        <f>IF(ISBLANK('HCT2'!O27),"",'HCT2'!O27)</f>
        <v>0.34890349802377557</v>
      </c>
      <c r="BT27" s="1229">
        <f>IF(ISBLANK('HCT2'!P27),"",'HCT2'!P27)</f>
        <v>2.3980784425454474E-3</v>
      </c>
      <c r="BU27" s="644">
        <f>IF(ISBLANK('HCT2'!Q27),"",'HCT2'!Q27)</f>
        <v>6.29011484708197E-3</v>
      </c>
      <c r="BV27" s="644">
        <f>IF(ISBLANK('HCT2'!R27),"",'HCT2'!R27)</f>
        <v>4.7819012449342634E-2</v>
      </c>
      <c r="BW27" s="644">
        <f>IF(ISBLANK('HCT2'!S27),"",'HCT2'!S27)</f>
        <v>9.5103001942881699E-3</v>
      </c>
      <c r="BX27" s="1228">
        <f>IF(ISBLANK('HCT2'!T27),"",'HCT2'!T27)</f>
        <v>1.5332408405335814E-2</v>
      </c>
      <c r="BY27" s="644">
        <f>IF(ISBLANK('HCT2'!U27),"",'HCT2'!U27)</f>
        <v>0.37132861944557133</v>
      </c>
      <c r="BZ27" s="644">
        <f>IF(ISBLANK('HCT2'!V27),"",'HCT2'!V27)</f>
        <v>0.23702898391964997</v>
      </c>
      <c r="CA27" s="644">
        <f>IF(ISBLANK('HCT2'!W27),"",'HCT2'!W27)</f>
        <v>2.493728595541592E-2</v>
      </c>
      <c r="CB27" s="647" t="str">
        <f>IF(ISBLANK('HCT2'!X27),"",'HCT2'!X27)</f>
        <v/>
      </c>
      <c r="CC27" s="1230">
        <f>IF(ISBLANK('HCT2'!Y27),"",'HCT2'!Y27)</f>
        <v>1.531442783015273</v>
      </c>
      <c r="CD27" s="1231">
        <f>IF(ISBLANK('HCT2'!Z27),"",'HCT2'!Z27)</f>
        <v>0.11441626149771564</v>
      </c>
      <c r="CE27" s="647" t="str">
        <f>IF(ISBLANK('HCT2'!AA27),"",'HCT2'!AA27)</f>
        <v/>
      </c>
      <c r="CF27" s="647" t="str">
        <f>IF(ISBLANK('HCT2'!AB27),"",'HCT2'!AB27)</f>
        <v/>
      </c>
      <c r="CG27" s="1232">
        <f>IF(ISBLANK('HCT2'!AC27),"",'HCT2'!AC27)</f>
        <v>3.5349609893551938E-2</v>
      </c>
      <c r="CH27" s="647" t="str">
        <f>IF(ISBLANK('HCT2'!AD27),"",'HCT2'!AD27)</f>
        <v/>
      </c>
      <c r="CI27" s="647" t="str">
        <f>IF(ISBLANK('HCT2'!AE27),"",'HCT2'!AE27)</f>
        <v/>
      </c>
      <c r="CJ27" s="647" t="str">
        <f>IF(ISBLANK('HCT2'!AF27),"",'HCT2'!AF27)</f>
        <v/>
      </c>
      <c r="CK27" s="1233" t="str">
        <f>IF(ISBLANK('HCT2'!AG27),"",'HCT2'!AG27)</f>
        <v/>
      </c>
      <c r="CL27" s="647">
        <f>IF(ISBLANK('HCT2'!AH27),"",'HCT2'!AH27)</f>
        <v>1.8507247433887469E-2</v>
      </c>
      <c r="CM27" s="647">
        <f>IF(ISBLANK('HCT2'!AI27),"",'HCT2'!AI27)</f>
        <v>0.18199490960113443</v>
      </c>
      <c r="CN27" s="1233">
        <f>IF(ISBLANK('HCT2'!AJ27),"",'HCT2'!AJ27)</f>
        <v>0.1341293446042798</v>
      </c>
      <c r="CO27" s="647" t="str">
        <f>IF(ISBLANK('HCT2'!AK27),"",'HCT2'!AK27)</f>
        <v/>
      </c>
      <c r="CP27" s="647" t="str">
        <f>IF(ISBLANK('HCT2'!AL27),"",'HCT2'!AL27)</f>
        <v/>
      </c>
      <c r="CQ27" s="647" t="str">
        <f>IF(ISBLANK('HCT2'!AM27),"",'HCT2'!AM27)</f>
        <v/>
      </c>
      <c r="CR27" s="688" t="str">
        <f>IF(ISBLANK('HCT2'!AN27),"",'HCT2'!AN27)</f>
        <v/>
      </c>
      <c r="CS27" s="1234">
        <f>IF(ISBLANK('HCT2'!AO27),"",'HCT2'!AO27)</f>
        <v>1.8507247433887469E-2</v>
      </c>
      <c r="CT27" s="1174">
        <f>IF(ISBLANK('HCT2'!AP27),"",'HCT2'!AP27)</f>
        <v>1</v>
      </c>
      <c r="CU27" s="1147">
        <f>IF(ISBLANK('HCT2'!AQ27),"",'HCT2'!AQ27)</f>
        <v>0.10307855186527606</v>
      </c>
      <c r="CV27" s="686">
        <f>IF(ISBLANK('HCT2'!AR27),"",'HCT2'!AR27)</f>
        <v>0.10307855186527606</v>
      </c>
      <c r="CW27" s="1496" t="e">
        <f>IF(ISBLANK(Récap1!#REF!),"",Récap1!#REF!)</f>
        <v>#REF!</v>
      </c>
      <c r="CX27" s="1496" t="e">
        <f>IF(ISBLANK(Récap1!#REF!),"",Récap1!#REF!)</f>
        <v>#REF!</v>
      </c>
      <c r="CY27" s="1064" t="e">
        <f>IF(ISBLANK(Récap1!#REF!),"",Récap1!#REF!)</f>
        <v>#REF!</v>
      </c>
      <c r="CZ27" s="1064" t="e">
        <f>IF(ISBLANK(Récap1!#REF!),"",Récap1!#REF!)</f>
        <v>#REF!</v>
      </c>
      <c r="DA27" s="1064" t="e">
        <f>IF(ISBLANK(Récap1!#REF!),"",Récap1!#REF!)</f>
        <v>#REF!</v>
      </c>
      <c r="DB27" s="1064" t="e">
        <f>IF(ISBLANK(Récap1!#REF!),"",Récap1!#REF!)</f>
        <v>#REF!</v>
      </c>
      <c r="DC27" s="1496">
        <f>IF(ISBLANK('HCT2'!AS27),"",'HCT2'!AS27)</f>
        <v>0.22764985667296311</v>
      </c>
      <c r="DD27" s="1064">
        <f>IF(ISBLANK('HCT2'!AT27),"",'HCT2'!AT27)</f>
        <v>0.65393567054872792</v>
      </c>
      <c r="DE27" s="1064">
        <f>IF(ISBLANK('HCT2'!AU27),"",'HCT2'!AU27)</f>
        <v>55.231344746197017</v>
      </c>
      <c r="DF27" s="1064" t="str">
        <f>IF(ISBLANK('HCT2'!AV27),"",'HCT2'!AV27)</f>
        <v>PVL</v>
      </c>
      <c r="DG27" s="1064" t="str">
        <f>IF(ISBLANK('HCT2'!AW27),"",'HCT2'!AW27)</f>
        <v/>
      </c>
      <c r="DH27" s="1064" t="str">
        <f>IF(ISBLANK('HCT2'!AX27),"",'HCT2'!AX27)</f>
        <v/>
      </c>
      <c r="DI27" s="1064" t="str">
        <f>IF(ISBLANK('HCT2'!AY27),"",'HCT2'!AY27)</f>
        <v/>
      </c>
      <c r="DJ27" s="1497">
        <f>IF(ISBLANK('HCT2'!AZ27),"",'HCT2'!AZ27)</f>
        <v>0.11326533442831706</v>
      </c>
      <c r="DK27" s="1064">
        <f>IF(ISBLANK('HCT2'!BA27),"",'HCT2'!BA27)</f>
        <v>0.83953803720688558</v>
      </c>
      <c r="DL27" s="1064" t="str">
        <f>IF(ISBLANK('HCT2'!BB27),"",'HCT2'!BB27)</f>
        <v>PVL</v>
      </c>
      <c r="DM27" s="1498" t="str">
        <f>IF(ISBLANK('HCT2'!BC27),"",'HCT2'!BC27)</f>
        <v>PVL</v>
      </c>
      <c r="DN27" s="1499">
        <f>IF(ISBLANK('HCT2'!BD27),"",'HCT2'!BD27)</f>
        <v>0.11326533442831706</v>
      </c>
      <c r="DO27" s="1475">
        <f>IF(ISBLANK('HCT2'!BE27),"",'HCT2'!BE27)</f>
        <v>0.68792036811484414</v>
      </c>
      <c r="DP27" s="1500">
        <f>IF(ISBLANK('HCT2'!BF27),"",'HCT2'!BF27)</f>
        <v>1.1448790276408574</v>
      </c>
      <c r="DQ27" s="920">
        <f t="shared" si="0"/>
        <v>1.0519499504592749</v>
      </c>
      <c r="DS27" s="56">
        <f t="shared" si="1"/>
        <v>2.383235185485981E-2</v>
      </c>
      <c r="DT27" s="56">
        <f t="shared" si="1"/>
        <v>6.3420171958201182E-2</v>
      </c>
      <c r="DU27" s="56">
        <f t="shared" si="2"/>
        <v>1.5826028052215082E-2</v>
      </c>
      <c r="DV27" s="870">
        <f t="shared" si="2"/>
        <v>2.3847900228487037E-2</v>
      </c>
      <c r="DW27" s="56">
        <f t="shared" si="2"/>
        <v>0.41483420388940084</v>
      </c>
      <c r="DX27" s="56">
        <f t="shared" si="2"/>
        <v>0.58593248194342551</v>
      </c>
      <c r="DY27" s="56">
        <f t="shared" si="2"/>
        <v>2.7335364397961366E-2</v>
      </c>
    </row>
    <row r="28" spans="1:131" s="1057" customFormat="1" hidden="1">
      <c r="A28" s="1049"/>
      <c r="B28" s="1050"/>
      <c r="C28" s="1036"/>
      <c r="D28" s="1051"/>
      <c r="E28" s="596" t="str">
        <f>IF(ISBLANK(Récap1!E28),"",Récap1!E28)</f>
        <v>Sous bâtiment INDUSTRIEL / COMMERCIAL</v>
      </c>
      <c r="F28" s="597" t="str">
        <f>IF(ISBLANK(Récap1!F28),"",Récap1!F28)</f>
        <v/>
      </c>
      <c r="G28" s="514" t="str">
        <f>IF(ISBLANK(Récap1!G28),"",Récap1!G28)</f>
        <v/>
      </c>
      <c r="H28" s="1052" t="str">
        <f>IF(ISBLANK(Récap1!H28),"",Récap1!H28)</f>
        <v/>
      </c>
      <c r="I28" s="1053" t="str">
        <f>IF(ISBLANK(Récap1!I28),"",Récap1!I28)</f>
        <v/>
      </c>
      <c r="J28" s="1240" t="str">
        <f>IF(ISBLANK(Récap1!J28),"",Récap1!J28)</f>
        <v/>
      </c>
      <c r="K28" s="1239" t="str">
        <f>IF(ISBLANK(Récap1!K28),"",Récap1!K28)</f>
        <v/>
      </c>
      <c r="L28" s="1240" t="str">
        <f>IF(ISBLANK(Récap1!L28),"",Récap1!L28)</f>
        <v/>
      </c>
      <c r="M28" s="1240" t="str">
        <f>IF(ISBLANK(Récap1!M28),"",Récap1!M28)</f>
        <v/>
      </c>
      <c r="N28" s="1240" t="str">
        <f>IF(ISBLANK(Récap1!N28),"",Récap1!N28)</f>
        <v/>
      </c>
      <c r="O28" s="1240" t="str">
        <f>IF(ISBLANK(Récap1!O28),"",Récap1!O28)</f>
        <v/>
      </c>
      <c r="P28" s="1240" t="str">
        <f>IF(ISBLANK(Récap1!P28),"",Récap1!P28)</f>
        <v/>
      </c>
      <c r="Q28" s="1240" t="str">
        <f>IF(ISBLANK(Récap1!Q28),"",Récap1!Q28)</f>
        <v/>
      </c>
      <c r="R28" s="1240" t="str">
        <f>IF(ISBLANK(Récap1!R28),"",Récap1!R28)</f>
        <v/>
      </c>
      <c r="S28" s="1240" t="str">
        <f>IF(ISBLANK(Récap1!S28),"",Récap1!S28)</f>
        <v/>
      </c>
      <c r="T28" s="1240" t="str">
        <f>IF(ISBLANK(Récap1!T28),"",Récap1!T28)</f>
        <v/>
      </c>
      <c r="U28" s="1240" t="str">
        <f>IF(ISBLANK(Récap1!U28),"",Récap1!U28)</f>
        <v/>
      </c>
      <c r="V28" s="1437" t="str">
        <f>IF(ISBLANK(Récap1!V28),"",Récap1!V28)</f>
        <v/>
      </c>
      <c r="W28" s="1240" t="str">
        <f>IF(ISBLANK(Récap1!W28),"",Récap1!W28)</f>
        <v/>
      </c>
      <c r="X28" s="1240" t="str">
        <f>IF(ISBLANK(Récap1!X28),"",Récap1!X28)</f>
        <v/>
      </c>
      <c r="Y28" s="1427" t="str">
        <f>IF(ISBLANK(Récap1!Y28),"",Récap1!Y28)</f>
        <v/>
      </c>
      <c r="Z28" s="1240" t="str">
        <f>IF(ISBLANK(Récap1!Z28),"",Récap1!Z28)</f>
        <v/>
      </c>
      <c r="AA28" s="1241" t="str">
        <f>IF(ISBLANK(Récap1!AA28),"",Récap1!AA28)</f>
        <v/>
      </c>
      <c r="AB28" s="1240" t="str">
        <f>IF(ISBLANK(Récap1!AB28),"",Récap1!AB28)</f>
        <v/>
      </c>
      <c r="AC28" s="1242" t="str">
        <f>IF(ISBLANK(Récap1!AC28),"",Récap1!AC28)</f>
        <v/>
      </c>
      <c r="AD28" s="1240" t="str">
        <f>IF(ISBLANK(Récap1!AD28),"",Récap1!AD28)</f>
        <v/>
      </c>
      <c r="AE28" s="1240" t="str">
        <f>IF(ISBLANK(Récap1!AE28),"",Récap1!AE28)</f>
        <v/>
      </c>
      <c r="AF28" s="1243" t="str">
        <f>IF(ISBLANK(Récap1!AF28),"",Récap1!AF28)</f>
        <v/>
      </c>
      <c r="AG28" s="1240" t="str">
        <f>IF(ISBLANK(Récap1!AG28),"",Récap1!AG28)</f>
        <v/>
      </c>
      <c r="AH28" s="1240" t="str">
        <f>IF(ISBLANK(Récap1!AH28),"",Récap1!AH28)</f>
        <v/>
      </c>
      <c r="AI28" s="1240" t="str">
        <f>IF(ISBLANK(Récap1!AI28),"",Récap1!AI28)</f>
        <v/>
      </c>
      <c r="AJ28" s="1242" t="str">
        <f>IF(ISBLANK(Récap1!AJ28),"",Récap1!AJ28)</f>
        <v/>
      </c>
      <c r="AK28" s="1240" t="str">
        <f>IF(ISBLANK(Récap1!AK28),"",Récap1!AK28)</f>
        <v/>
      </c>
      <c r="AL28" s="1240" t="str">
        <f>IF(ISBLANK(Récap1!AL28),"",Récap1!AL28)</f>
        <v/>
      </c>
      <c r="AM28" s="1240" t="str">
        <f>IF(ISBLANK(Récap1!AM28),"",Récap1!AM28)</f>
        <v/>
      </c>
      <c r="AN28" s="1239" t="str">
        <f>IF(ISBLANK(Récap1!AN28),"",Récap1!AN28)</f>
        <v/>
      </c>
      <c r="AO28" s="1240" t="str">
        <f>IF(ISBLANK(Récap1!AO28),"",Récap1!AO28)</f>
        <v/>
      </c>
      <c r="AP28" s="1240" t="str">
        <f>IF(ISBLANK(Récap1!AP28),"",Récap1!AP28)</f>
        <v/>
      </c>
      <c r="AQ28" s="1240" t="str">
        <f>IF(ISBLANK(Récap1!AQ28),"",Récap1!AQ28)</f>
        <v/>
      </c>
      <c r="AR28" s="1240" t="str">
        <f>IF(ISBLANK(Récap1!AR28),"",Récap1!AR28)</f>
        <v/>
      </c>
      <c r="AS28" s="1240" t="str">
        <f>IF(ISBLANK(Récap1!AS28),"",Récap1!AS28)</f>
        <v/>
      </c>
      <c r="AT28" s="1240" t="str">
        <f>IF(ISBLANK(Récap1!AT28),"",Récap1!AT28)</f>
        <v/>
      </c>
      <c r="AU28" s="1240" t="str">
        <f>IF(ISBLANK(Récap1!AU28),"",Récap1!AU28)</f>
        <v/>
      </c>
      <c r="AV28" s="1240" t="str">
        <f>IF(ISBLANK(Récap1!AV28),"",Récap1!AV28)</f>
        <v/>
      </c>
      <c r="AW28" s="1240" t="str">
        <f>IF(ISBLANK(Récap1!AW28),"",Récap1!AW28)</f>
        <v/>
      </c>
      <c r="AX28" s="1240" t="str">
        <f>IF(ISBLANK(Récap1!AX28),"",Récap1!AX28)</f>
        <v/>
      </c>
      <c r="AY28" s="1240" t="str">
        <f>IF(ISBLANK(Récap1!AY28),"",Récap1!AY28)</f>
        <v/>
      </c>
      <c r="AZ28" s="1240" t="str">
        <f>IF(ISBLANK(Récap1!AZ28),"",Récap1!AZ28)</f>
        <v/>
      </c>
      <c r="BA28" s="1240" t="str">
        <f>IF(ISBLANK(Récap1!BA28),"",Récap1!BA28)</f>
        <v/>
      </c>
      <c r="BB28" s="1240" t="str">
        <f>IF(ISBLANK(Récap1!BB28),"",Récap1!BB28)</f>
        <v/>
      </c>
      <c r="BC28" s="1241" t="str">
        <f>IF(ISBLANK(Récap1!BC28),"",Récap1!BC28)</f>
        <v/>
      </c>
      <c r="BD28" s="1466" t="str">
        <f>IF(ISBLANK(Récap1!BD28),"",Récap1!BD28)</f>
        <v/>
      </c>
      <c r="BE28" s="1427" t="str">
        <f>IF(ISBLANK(Récap1!BE28),"",Récap1!BE28)</f>
        <v/>
      </c>
      <c r="BF28" s="1240" t="str">
        <f>IF(ISBLANK(Récap1!BF28),"",Récap1!BF28)</f>
        <v/>
      </c>
      <c r="BG28" s="1240" t="str">
        <f>IF(ISBLANK(Récap1!BG28),"",Récap1!BG28)</f>
        <v/>
      </c>
      <c r="BH28" s="1244" t="str">
        <f>IF(ISBLANK(Récap1!BH28),"",Récap1!BH28)</f>
        <v/>
      </c>
      <c r="BI28" s="1240" t="str">
        <f>IF(ISBLANK(Récap1!BI28),"",Récap1!BI28)</f>
        <v/>
      </c>
      <c r="BJ28" s="1245" t="e">
        <f>IF(ISBLANK(Récap1!#REF!),"",Récap1!#REF!)</f>
        <v>#REF!</v>
      </c>
      <c r="BK28" s="1245" t="e">
        <f>IF(ISBLANK(Récap1!#REF!),"",Récap1!#REF!)</f>
        <v>#REF!</v>
      </c>
      <c r="BL28" s="1240">
        <f>IF(ISBLANK('HCT2'!H28),"",'HCT2'!H28)</f>
        <v>0</v>
      </c>
      <c r="BM28" s="1240">
        <f>IF(ISBLANK('HCT2'!I28),"",'HCT2'!I28)</f>
        <v>0</v>
      </c>
      <c r="BN28" s="1240">
        <f>IF(ISBLANK('HCT2'!J28),"",'HCT2'!J28)</f>
        <v>0</v>
      </c>
      <c r="BO28" s="1241">
        <f>IF(ISBLANK('HCT2'!K28),"",'HCT2'!K28)</f>
        <v>0</v>
      </c>
      <c r="BP28" s="1240">
        <f>IF(ISBLANK('HCT2'!L28),"",'HCT2'!L28)</f>
        <v>0</v>
      </c>
      <c r="BQ28" s="1242">
        <f>IF(ISBLANK('HCT2'!M28),"",'HCT2'!M28)</f>
        <v>0</v>
      </c>
      <c r="BR28" s="1240">
        <f>IF(ISBLANK('HCT2'!N28),"",'HCT2'!N28)</f>
        <v>0</v>
      </c>
      <c r="BS28" s="1240">
        <f>IF(ISBLANK('HCT2'!O28),"",'HCT2'!O28)</f>
        <v>0</v>
      </c>
      <c r="BT28" s="1243">
        <f>IF(ISBLANK('HCT2'!P28),"",'HCT2'!P28)</f>
        <v>0</v>
      </c>
      <c r="BU28" s="1240">
        <f>IF(ISBLANK('HCT2'!Q28),"",'HCT2'!Q28)</f>
        <v>0</v>
      </c>
      <c r="BV28" s="1240">
        <f>IF(ISBLANK('HCT2'!R28),"",'HCT2'!R28)</f>
        <v>0</v>
      </c>
      <c r="BW28" s="1240">
        <f>IF(ISBLANK('HCT2'!S28),"",'HCT2'!S28)</f>
        <v>0</v>
      </c>
      <c r="BX28" s="1242">
        <f>IF(ISBLANK('HCT2'!T28),"",'HCT2'!T28)</f>
        <v>0</v>
      </c>
      <c r="BY28" s="1240">
        <f>IF(ISBLANK('HCT2'!U28),"",'HCT2'!U28)</f>
        <v>0</v>
      </c>
      <c r="BZ28" s="1240">
        <f>IF(ISBLANK('HCT2'!V28),"",'HCT2'!V28)</f>
        <v>0</v>
      </c>
      <c r="CA28" s="1240">
        <f>IF(ISBLANK('HCT2'!W28),"",'HCT2'!W28)</f>
        <v>0</v>
      </c>
      <c r="CB28" s="1245" t="str">
        <f>IF(ISBLANK('HCT2'!X28),"",'HCT2'!X28)</f>
        <v/>
      </c>
      <c r="CC28" s="1246" t="str">
        <f>IF(ISBLANK('HCT2'!Y28),"",'HCT2'!Y28)</f>
        <v/>
      </c>
      <c r="CD28" s="1247" t="str">
        <f>IF(ISBLANK('HCT2'!Z28),"",'HCT2'!Z28)</f>
        <v/>
      </c>
      <c r="CE28" s="1245" t="str">
        <f>IF(ISBLANK('HCT2'!AA28),"",'HCT2'!AA28)</f>
        <v/>
      </c>
      <c r="CF28" s="1245" t="str">
        <f>IF(ISBLANK('HCT2'!AB28),"",'HCT2'!AB28)</f>
        <v/>
      </c>
      <c r="CG28" s="1248" t="str">
        <f>IF(ISBLANK('HCT2'!AC28),"",'HCT2'!AC28)</f>
        <v/>
      </c>
      <c r="CH28" s="1245" t="str">
        <f>IF(ISBLANK('HCT2'!AD28),"",'HCT2'!AD28)</f>
        <v/>
      </c>
      <c r="CI28" s="1245" t="str">
        <f>IF(ISBLANK('HCT2'!AE28),"",'HCT2'!AE28)</f>
        <v/>
      </c>
      <c r="CJ28" s="1245" t="str">
        <f>IF(ISBLANK('HCT2'!AF28),"",'HCT2'!AF28)</f>
        <v/>
      </c>
      <c r="CK28" s="1249" t="str">
        <f>IF(ISBLANK('HCT2'!AG28),"",'HCT2'!AG28)</f>
        <v/>
      </c>
      <c r="CL28" s="1245" t="str">
        <f>IF(ISBLANK('HCT2'!AH28),"",'HCT2'!AH28)</f>
        <v/>
      </c>
      <c r="CM28" s="1245" t="str">
        <f>IF(ISBLANK('HCT2'!AI28),"",'HCT2'!AI28)</f>
        <v/>
      </c>
      <c r="CN28" s="1249" t="str">
        <f>IF(ISBLANK('HCT2'!AJ28),"",'HCT2'!AJ28)</f>
        <v/>
      </c>
      <c r="CO28" s="1245" t="str">
        <f>IF(ISBLANK('HCT2'!AK28),"",'HCT2'!AK28)</f>
        <v/>
      </c>
      <c r="CP28" s="1245" t="str">
        <f>IF(ISBLANK('HCT2'!AL28),"",'HCT2'!AL28)</f>
        <v/>
      </c>
      <c r="CQ28" s="1245" t="str">
        <f>IF(ISBLANK('HCT2'!AM28),"",'HCT2'!AM28)</f>
        <v/>
      </c>
      <c r="CR28" s="1250" t="str">
        <f>IF(ISBLANK('HCT2'!AN28),"",'HCT2'!AN28)</f>
        <v/>
      </c>
      <c r="CS28" s="1251" t="str">
        <f>IF(ISBLANK('HCT2'!AO28),"",'HCT2'!AO28)</f>
        <v/>
      </c>
      <c r="CT28" s="1252" t="str">
        <f>IF(ISBLANK('HCT2'!AP28),"",'HCT2'!AP28)</f>
        <v/>
      </c>
      <c r="CU28" s="1152" t="str">
        <f>IF(ISBLANK('HCT2'!AQ28),"",'HCT2'!AQ28)</f>
        <v/>
      </c>
      <c r="CV28" s="1501" t="str">
        <f>IF(ISBLANK('HCT2'!AR28),"",'HCT2'!AR28)</f>
        <v/>
      </c>
      <c r="CW28" s="1502" t="e">
        <f>IF(ISBLANK(Récap1!#REF!),"",Récap1!#REF!)</f>
        <v>#REF!</v>
      </c>
      <c r="CX28" s="1502" t="e">
        <f>IF(ISBLANK(Récap1!#REF!),"",Récap1!#REF!)</f>
        <v>#REF!</v>
      </c>
      <c r="CY28" s="1503" t="e">
        <f>IF(ISBLANK(Récap1!#REF!),"",Récap1!#REF!)</f>
        <v>#REF!</v>
      </c>
      <c r="CZ28" s="1503" t="e">
        <f>IF(ISBLANK(Récap1!#REF!),"",Récap1!#REF!)</f>
        <v>#REF!</v>
      </c>
      <c r="DA28" s="1503" t="e">
        <f>IF(ISBLANK(Récap1!#REF!),"",Récap1!#REF!)</f>
        <v>#REF!</v>
      </c>
      <c r="DB28" s="1503" t="e">
        <f>IF(ISBLANK(Récap1!#REF!),"",Récap1!#REF!)</f>
        <v>#REF!</v>
      </c>
      <c r="DC28" s="1502" t="str">
        <f>IF(ISBLANK('HCT2'!AS28),"",'HCT2'!AS28)</f>
        <v/>
      </c>
      <c r="DD28" s="1503" t="str">
        <f>IF(ISBLANK('HCT2'!AT28),"",'HCT2'!AT28)</f>
        <v/>
      </c>
      <c r="DE28" s="1503" t="str">
        <f>IF(ISBLANK('HCT2'!AU28),"",'HCT2'!AU28)</f>
        <v/>
      </c>
      <c r="DF28" s="1503" t="str">
        <f>IF(ISBLANK('HCT2'!AV28),"",'HCT2'!AV28)</f>
        <v/>
      </c>
      <c r="DG28" s="1503" t="str">
        <f>IF(ISBLANK('HCT2'!AW28),"",'HCT2'!AW28)</f>
        <v/>
      </c>
      <c r="DH28" s="1503" t="str">
        <f>IF(ISBLANK('HCT2'!AX28),"",'HCT2'!AX28)</f>
        <v/>
      </c>
      <c r="DI28" s="1503" t="str">
        <f>IF(ISBLANK('HCT2'!AY28),"",'HCT2'!AY28)</f>
        <v/>
      </c>
      <c r="DJ28" s="1504" t="str">
        <f>IF(ISBLANK('HCT2'!AZ28),"",'HCT2'!AZ28)</f>
        <v/>
      </c>
      <c r="DK28" s="1503" t="str">
        <f>IF(ISBLANK('HCT2'!BA28),"",'HCT2'!BA28)</f>
        <v/>
      </c>
      <c r="DL28" s="1503" t="str">
        <f>IF(ISBLANK('HCT2'!BB28),"",'HCT2'!BB28)</f>
        <v/>
      </c>
      <c r="DM28" s="1505" t="str">
        <f>IF(ISBLANK('HCT2'!BC28),"",'HCT2'!BC28)</f>
        <v/>
      </c>
      <c r="DN28" s="1506" t="str">
        <f>IF(ISBLANK('HCT2'!BD28),"",'HCT2'!BD28)</f>
        <v/>
      </c>
      <c r="DO28" s="1507" t="str">
        <f>IF(ISBLANK('HCT2'!BE28),"",'HCT2'!BE28)</f>
        <v/>
      </c>
      <c r="DP28" s="1508" t="str">
        <f>IF(ISBLANK('HCT2'!BF28),"",'HCT2'!BF28)</f>
        <v/>
      </c>
      <c r="DQ28" s="1059">
        <f t="shared" si="0"/>
        <v>0</v>
      </c>
      <c r="DS28" s="1053">
        <f t="shared" si="1"/>
        <v>0</v>
      </c>
      <c r="DT28" s="1053">
        <f t="shared" si="1"/>
        <v>0</v>
      </c>
      <c r="DU28" s="1053">
        <f t="shared" si="2"/>
        <v>0</v>
      </c>
      <c r="DV28" s="1055">
        <f t="shared" si="2"/>
        <v>0</v>
      </c>
      <c r="DW28" s="1053">
        <f t="shared" si="2"/>
        <v>0</v>
      </c>
      <c r="DX28" s="1053">
        <f t="shared" si="2"/>
        <v>0</v>
      </c>
      <c r="DY28" s="1053">
        <f t="shared" si="2"/>
        <v>0</v>
      </c>
    </row>
    <row r="29" spans="1:131" s="26" customFormat="1" hidden="1">
      <c r="A29" s="482"/>
      <c r="B29" s="27"/>
      <c r="C29" s="503" t="s">
        <v>162</v>
      </c>
      <c r="D29" s="507">
        <f>Sols!Q9</f>
        <v>0.01</v>
      </c>
      <c r="E29" s="1061" t="str">
        <f>IF(ISBLANK(Récap1!E29),"",Récap1!E29)</f>
        <v>Teneur limite avant contrôle de la saturation</v>
      </c>
      <c r="F29" s="618" t="str">
        <f>IF(ISBLANK(Récap1!F29),"",Récap1!F29)</f>
        <v>Cs</v>
      </c>
      <c r="G29" s="14" t="str">
        <f>IF(ISBLANK(Récap1!G29),"",Récap1!G29)</f>
        <v>mg/kg ms</v>
      </c>
      <c r="H29" s="119">
        <f>IF(ISBLANK(Récap1!H29),"",Récap1!H29)</f>
        <v>60.834453173711402</v>
      </c>
      <c r="I29" s="113">
        <f>IF(ISBLANK(Récap1!I29),"",Récap1!I29)</f>
        <v>60.834453173711402</v>
      </c>
      <c r="J29" s="231">
        <f>IF(ISBLANK(Récap1!J29),"",Récap1!J29)</f>
        <v>536.48109565489358</v>
      </c>
      <c r="K29" s="648">
        <f>IF(ISBLANK(Récap1!K29),"",Récap1!K29)</f>
        <v>0.81026637575757599</v>
      </c>
      <c r="L29" s="231">
        <f>IF(ISBLANK(Récap1!L29),"",Récap1!L29)</f>
        <v>0.86814254545454572</v>
      </c>
      <c r="M29" s="231">
        <f>IF(ISBLANK(Récap1!M29),"",Récap1!M29)</f>
        <v>0.86814254545454572</v>
      </c>
      <c r="N29" s="231">
        <f>IF(ISBLANK(Récap1!N29),"",Récap1!N29)</f>
        <v>2.5320824242424247</v>
      </c>
      <c r="O29" s="231">
        <f>IF(ISBLANK(Récap1!O29),"",Récap1!O29)</f>
        <v>2.5320824242424247</v>
      </c>
      <c r="P29" s="231">
        <f>IF(ISBLANK(Récap1!P29),"",Récap1!P29)</f>
        <v>0.50641648484848489</v>
      </c>
      <c r="Q29" s="231">
        <f>IF(ISBLANK(Récap1!Q29),"",Récap1!Q29)</f>
        <v>0.50641648484848489</v>
      </c>
      <c r="R29" s="231">
        <f>IF(ISBLANK(Récap1!R29),"",Récap1!R29)</f>
        <v>5.0641648484848494</v>
      </c>
      <c r="S29" s="231">
        <f>IF(ISBLANK(Récap1!S29),"",Récap1!S29)</f>
        <v>0.22018108036890641</v>
      </c>
      <c r="T29" s="231">
        <f>IF(ISBLANK(Récap1!T29),"",Récap1!T29)</f>
        <v>0.22018108036890641</v>
      </c>
      <c r="U29" s="231">
        <f>IF(ISBLANK(Récap1!U29),"",Récap1!U29)</f>
        <v>0.12057535353535354</v>
      </c>
      <c r="V29" s="670">
        <f>IF(ISBLANK(Récap1!V29),"",Récap1!V29)</f>
        <v>14.469042424242426</v>
      </c>
      <c r="W29" s="231">
        <f>IF(ISBLANK(Récap1!W29),"",Récap1!W29)</f>
        <v>14.469042424242426</v>
      </c>
      <c r="X29" s="231">
        <f>IF(ISBLANK(Récap1!X29),"",Récap1!X29)</f>
        <v>0.1389028072727273</v>
      </c>
      <c r="Y29" s="669">
        <f>IF(ISBLANK(Récap1!Y29),"",Récap1!Y29)</f>
        <v>3.7619510303030315</v>
      </c>
      <c r="Z29" s="231">
        <f>IF(ISBLANK(Récap1!Z29),"",Récap1!Z29)</f>
        <v>2.0256659393939396</v>
      </c>
      <c r="AA29" s="232">
        <f>IF(ISBLANK(Récap1!AA29),"",Récap1!AA29)</f>
        <v>10.128329696969697</v>
      </c>
      <c r="AB29" s="231">
        <f>IF(ISBLANK(Récap1!AB29),"",Récap1!AB29)</f>
        <v>2.8938084848484857</v>
      </c>
      <c r="AC29" s="1253">
        <f>IF(ISBLANK(Récap1!AC29),"",Récap1!AC29)</f>
        <v>5.0885191191803161</v>
      </c>
      <c r="AD29" s="231">
        <f>IF(ISBLANK(Récap1!AD29),"",Récap1!AD29)</f>
        <v>12.310918491184916</v>
      </c>
      <c r="AE29" s="231" t="str">
        <f>IF(ISBLANK(Récap1!AE29),"",Récap1!AE29)</f>
        <v>PVL</v>
      </c>
      <c r="AF29" s="1254" t="str">
        <f>IF(ISBLANK(Récap1!AF29),"",Récap1!AF29)</f>
        <v>PVL</v>
      </c>
      <c r="AG29" s="231">
        <f>IF(ISBLANK(Récap1!AG29),"",Récap1!AG29)</f>
        <v>266.23038060606058</v>
      </c>
      <c r="AH29" s="231">
        <f>IF(ISBLANK(Récap1!AH29),"",Récap1!AH29)</f>
        <v>266.23038060606058</v>
      </c>
      <c r="AI29" s="231">
        <f>IF(ISBLANK(Récap1!AI29),"",Récap1!AI29)</f>
        <v>14.469042424242426</v>
      </c>
      <c r="AJ29" s="1253">
        <f>IF(ISBLANK(Récap1!AJ29),"",Récap1!AJ29)</f>
        <v>14.469042424242428</v>
      </c>
      <c r="AK29" s="231">
        <f>IF(ISBLANK(Récap1!AK29),"",Récap1!AK29)</f>
        <v>18.231029447534649</v>
      </c>
      <c r="AL29" s="231" t="str">
        <f>IF(ISBLANK(Récap1!AL29),"",Récap1!AL29)</f>
        <v>PVL</v>
      </c>
      <c r="AM29" s="231" t="str">
        <f>IF(ISBLANK(Récap1!AM29),"",Récap1!AM29)</f>
        <v>PVL</v>
      </c>
      <c r="AN29" s="648">
        <f>IF(ISBLANK(Récap1!AN29),"",Récap1!AN29)</f>
        <v>0.15304014105752708</v>
      </c>
      <c r="AO29" s="231">
        <f>IF(ISBLANK(Récap1!AO29),"",Récap1!AO29)</f>
        <v>9.1661028969775558</v>
      </c>
      <c r="AP29" s="231">
        <f>IF(ISBLANK(Récap1!AP29),"",Récap1!AP29)</f>
        <v>7.0444170035345826</v>
      </c>
      <c r="AQ29" s="231">
        <f>IF(ISBLANK(Récap1!AQ29),"",Récap1!AQ29)</f>
        <v>11.200151340069718</v>
      </c>
      <c r="AR29" s="231">
        <f>IF(ISBLANK(Récap1!AR29),"",Récap1!AR29)</f>
        <v>26.039757175698902</v>
      </c>
      <c r="AS29" s="231">
        <f>IF(ISBLANK(Récap1!AS29),"",Récap1!AS29)</f>
        <v>2.2716536523366644</v>
      </c>
      <c r="AT29" s="231">
        <f>IF(ISBLANK(Récap1!AT29),"",Récap1!AT29)</f>
        <v>99.483341915106038</v>
      </c>
      <c r="AU29" s="231">
        <f>IF(ISBLANK(Récap1!AU29),"",Récap1!AU29)</f>
        <v>101.87986187582833</v>
      </c>
      <c r="AV29" s="231">
        <f>IF(ISBLANK(Récap1!AV29),"",Récap1!AV29)</f>
        <v>3.5453402471616013</v>
      </c>
      <c r="AW29" s="231">
        <f>IF(ISBLANK(Récap1!AW29),"",Récap1!AW29)</f>
        <v>36.463885643363888</v>
      </c>
      <c r="AX29" s="231">
        <f>IF(ISBLANK(Récap1!AX29),"",Récap1!AX29)</f>
        <v>72.411636983564208</v>
      </c>
      <c r="AY29" s="231">
        <f>IF(ISBLANK(Récap1!AY29),"",Récap1!AY29)</f>
        <v>104.76667062278047</v>
      </c>
      <c r="AZ29" s="231">
        <f>IF(ISBLANK(Récap1!AZ29),"",Récap1!AZ29)</f>
        <v>15.606770158401572</v>
      </c>
      <c r="BA29" s="231">
        <f>IF(ISBLANK(Récap1!BA29),"",Récap1!BA29)</f>
        <v>89.56350817693297</v>
      </c>
      <c r="BB29" s="231">
        <f>IF(ISBLANK(Récap1!BB29),"",Récap1!BB29)</f>
        <v>581.03851361763725</v>
      </c>
      <c r="BC29" s="232">
        <f>IF(ISBLANK(Récap1!BC29),"",Récap1!BC29)</f>
        <v>212532387.79085788</v>
      </c>
      <c r="BD29" s="671">
        <f>IF(ISBLANK(Récap1!BD29),"",Récap1!BD29)</f>
        <v>21.637045034166349</v>
      </c>
      <c r="BE29" s="669">
        <f>IF(ISBLANK(Récap1!BE29),"",Récap1!BE29)</f>
        <v>1.9105099674607666</v>
      </c>
      <c r="BF29" s="231">
        <f>IF(ISBLANK(Récap1!BF29),"",Récap1!BF29)</f>
        <v>3.8210199349215332</v>
      </c>
      <c r="BG29" s="231">
        <f>IF(ISBLANK(Récap1!BG29),"",Récap1!BG29)</f>
        <v>4.3407127272727285E-4</v>
      </c>
      <c r="BH29" s="646">
        <f>IF(ISBLANK(Récap1!BH29),"",Récap1!BH29)</f>
        <v>0.27774825694233579</v>
      </c>
      <c r="BI29" s="231">
        <f>IF(ISBLANK(Récap1!BI29),"",Récap1!BI29)</f>
        <v>0.38683198109989436</v>
      </c>
      <c r="BJ29" s="647" t="e">
        <f>IF(ISBLANK(Récap1!#REF!),"",Récap1!#REF!)</f>
        <v>#REF!</v>
      </c>
      <c r="BK29" s="647" t="e">
        <f>IF(ISBLANK(Récap1!#REF!),"",Récap1!#REF!)</f>
        <v>#REF!</v>
      </c>
      <c r="BL29" s="231">
        <f>IF(ISBLANK('HCT2'!H29),"",'HCT2'!H29)</f>
        <v>0.1389028072727273</v>
      </c>
      <c r="BM29" s="231">
        <f>IF(ISBLANK('HCT2'!I29),"",'HCT2'!I29)</f>
        <v>3.7619510303030315</v>
      </c>
      <c r="BN29" s="231">
        <f>IF(ISBLANK('HCT2'!J29),"",'HCT2'!J29)</f>
        <v>2.0256659393939396</v>
      </c>
      <c r="BO29" s="232">
        <f>IF(ISBLANK('HCT2'!K29),"",'HCT2'!K29)</f>
        <v>10.128329696969697</v>
      </c>
      <c r="BP29" s="231">
        <f>IF(ISBLANK('HCT2'!L29),"",'HCT2'!L29)</f>
        <v>2.8938084848484857</v>
      </c>
      <c r="BQ29" s="1253">
        <f>IF(ISBLANK('HCT2'!M29),"",'HCT2'!M29)</f>
        <v>5.0885191191803161</v>
      </c>
      <c r="BR29" s="231">
        <f>IF(ISBLANK('HCT2'!N29),"",'HCT2'!N29)</f>
        <v>12.310918491184916</v>
      </c>
      <c r="BS29" s="231">
        <f>IF(ISBLANK('HCT2'!O29),"",'HCT2'!O29)</f>
        <v>1.1689614321785298</v>
      </c>
      <c r="BT29" s="1254">
        <f>IF(ISBLANK('HCT2'!P29),"",'HCT2'!P29)</f>
        <v>8.0344886954482764E-3</v>
      </c>
      <c r="BU29" s="231">
        <f>IF(ISBLANK('HCT2'!Q29),"",'HCT2'!Q29)</f>
        <v>266.23038060606058</v>
      </c>
      <c r="BV29" s="231">
        <f>IF(ISBLANK('HCT2'!R29),"",'HCT2'!R29)</f>
        <v>266.23038060606058</v>
      </c>
      <c r="BW29" s="231">
        <f>IF(ISBLANK('HCT2'!S29),"",'HCT2'!S29)</f>
        <v>14.469042424242426</v>
      </c>
      <c r="BX29" s="1253">
        <f>IF(ISBLANK('HCT2'!T29),"",'HCT2'!T29)</f>
        <v>14.469042424242428</v>
      </c>
      <c r="BY29" s="231">
        <f>IF(ISBLANK('HCT2'!U29),"",'HCT2'!U29)</f>
        <v>18.231029447534649</v>
      </c>
      <c r="BZ29" s="231">
        <f>IF(ISBLANK('HCT2'!V29),"",'HCT2'!V29)</f>
        <v>11.637353436991843</v>
      </c>
      <c r="CA29" s="231">
        <f>IF(ISBLANK('HCT2'!W29),"",'HCT2'!W29)</f>
        <v>1.2243397647980621</v>
      </c>
      <c r="CB29" s="647" t="str">
        <f>IF(ISBLANK('HCT2'!X29),"",'HCT2'!X29)</f>
        <v/>
      </c>
      <c r="CC29" s="1230">
        <f>IF(ISBLANK('HCT2'!Y29),"",'HCT2'!Y29)</f>
        <v>12.126258563492415</v>
      </c>
      <c r="CD29" s="1231">
        <f>IF(ISBLANK('HCT2'!Z29),"",'HCT2'!Z29)</f>
        <v>27.589511701380243</v>
      </c>
      <c r="CE29" s="647" t="str">
        <f>IF(ISBLANK('HCT2'!AA29),"",'HCT2'!AA29)</f>
        <v/>
      </c>
      <c r="CF29" s="647" t="str">
        <f>IF(ISBLANK('HCT2'!AB29),"",'HCT2'!AB29)</f>
        <v/>
      </c>
      <c r="CG29" s="1232">
        <f>IF(ISBLANK('HCT2'!AC29),"",'HCT2'!AC29)</f>
        <v>16.196866512804764</v>
      </c>
      <c r="CH29" s="647" t="str">
        <f>IF(ISBLANK('HCT2'!AD29),"",'HCT2'!AD29)</f>
        <v/>
      </c>
      <c r="CI29" s="647" t="str">
        <f>IF(ISBLANK('HCT2'!AE29),"",'HCT2'!AE29)</f>
        <v/>
      </c>
      <c r="CJ29" s="647" t="str">
        <f>IF(ISBLANK('HCT2'!AF29),"",'HCT2'!AF29)</f>
        <v/>
      </c>
      <c r="CK29" s="1233" t="str">
        <f>IF(ISBLANK('HCT2'!AG29),"",'HCT2'!AG29)</f>
        <v/>
      </c>
      <c r="CL29" s="647">
        <f>IF(ISBLANK('HCT2'!AH29),"",'HCT2'!AH29)</f>
        <v>783.3229834555658</v>
      </c>
      <c r="CM29" s="647">
        <f>IF(ISBLANK('HCT2'!AI29),"",'HCT2'!AI29)</f>
        <v>1013.2491569708626</v>
      </c>
      <c r="CN29" s="1233">
        <f>IF(ISBLANK('HCT2'!AJ29),"",'HCT2'!AJ29)</f>
        <v>204.06539623015721</v>
      </c>
      <c r="CO29" s="647" t="str">
        <f>IF(ISBLANK('HCT2'!AK29),"",'HCT2'!AK29)</f>
        <v/>
      </c>
      <c r="CP29" s="647" t="str">
        <f>IF(ISBLANK('HCT2'!AL29),"",'HCT2'!AL29)</f>
        <v/>
      </c>
      <c r="CQ29" s="647" t="str">
        <f>IF(ISBLANK('HCT2'!AM29),"",'HCT2'!AM29)</f>
        <v/>
      </c>
      <c r="CR29" s="688" t="str">
        <f>IF(ISBLANK('HCT2'!AN29),"",'HCT2'!AN29)</f>
        <v/>
      </c>
      <c r="CS29" s="1234">
        <f>IF(ISBLANK('HCT2'!AO29),"",'HCT2'!AO29)</f>
        <v>16.196866512804764</v>
      </c>
      <c r="CT29" s="1174">
        <f>IF(ISBLANK('HCT2'!AP29),"",'HCT2'!AP29)</f>
        <v>1</v>
      </c>
      <c r="CU29" s="1147">
        <f>IF(ISBLANK('HCT2'!AQ29),"",'HCT2'!AQ29)</f>
        <v>553.72446595878773</v>
      </c>
      <c r="CV29" s="1137">
        <f>IF(ISBLANK('HCT2'!AR29),"",'HCT2'!AR29)</f>
        <v>553.72446595878773</v>
      </c>
      <c r="CW29" s="1496" t="e">
        <f>IF(ISBLANK(Récap1!#REF!),"",Récap1!#REF!)</f>
        <v>#REF!</v>
      </c>
      <c r="CX29" s="1496" t="e">
        <f>IF(ISBLANK(Récap1!#REF!),"",Récap1!#REF!)</f>
        <v>#REF!</v>
      </c>
      <c r="CY29" s="1064" t="e">
        <f>IF(ISBLANK(Récap1!#REF!),"",Récap1!#REF!)</f>
        <v>#REF!</v>
      </c>
      <c r="CZ29" s="1064" t="e">
        <f>IF(ISBLANK(Récap1!#REF!),"",Récap1!#REF!)</f>
        <v>#REF!</v>
      </c>
      <c r="DA29" s="1064" t="e">
        <f>IF(ISBLANK(Récap1!#REF!),"",Récap1!#REF!)</f>
        <v>#REF!</v>
      </c>
      <c r="DB29" s="1064" t="e">
        <f>IF(ISBLANK(Récap1!#REF!),"",Récap1!#REF!)</f>
        <v>#REF!</v>
      </c>
      <c r="DC29" s="1496">
        <f>IF(ISBLANK('HCT2'!AS29),"",'HCT2'!AS29)</f>
        <v>136.03449715137612</v>
      </c>
      <c r="DD29" s="1064">
        <f>IF(ISBLANK('HCT2'!AT29),"",'HCT2'!AT29)</f>
        <v>185.04633006362408</v>
      </c>
      <c r="DE29" s="1064" t="str">
        <f>IF(ISBLANK('HCT2'!AU29),"",'HCT2'!AU29)</f>
        <v>PVL</v>
      </c>
      <c r="DF29" s="1064" t="str">
        <f>IF(ISBLANK('HCT2'!AV29),"",'HCT2'!AV29)</f>
        <v>PVL</v>
      </c>
      <c r="DG29" s="1064" t="str">
        <f>IF(ISBLANK('HCT2'!AW29),"",'HCT2'!AW29)</f>
        <v/>
      </c>
      <c r="DH29" s="1064" t="str">
        <f>IF(ISBLANK('HCT2'!AX29),"",'HCT2'!AX29)</f>
        <v/>
      </c>
      <c r="DI29" s="1064" t="str">
        <f>IF(ISBLANK('HCT2'!AY29),"",'HCT2'!AY29)</f>
        <v/>
      </c>
      <c r="DJ29" s="1497">
        <f>IF(ISBLANK('HCT2'!AZ29),"",'HCT2'!AZ29)</f>
        <v>106.88737775006011</v>
      </c>
      <c r="DK29" s="1064">
        <f>IF(ISBLANK('HCT2'!BA29),"",'HCT2'!BA29)</f>
        <v>41.218591503927009</v>
      </c>
      <c r="DL29" s="1064" t="str">
        <f>IF(ISBLANK('HCT2'!BB29),"",'HCT2'!BB29)</f>
        <v>PVL</v>
      </c>
      <c r="DM29" s="1498" t="str">
        <f>IF(ISBLANK('HCT2'!BC29),"",'HCT2'!BC29)</f>
        <v>PVL</v>
      </c>
      <c r="DN29" s="1499">
        <f>IF(ISBLANK('HCT2'!BD29),"",'HCT2'!BD29)</f>
        <v>41.218591503927009</v>
      </c>
      <c r="DO29" s="1475">
        <f>IF(ISBLANK('HCT2'!BE29),"",'HCT2'!BE29)</f>
        <v>0.68160323968664671</v>
      </c>
      <c r="DP29" s="1500">
        <f>IF(ISBLANK('HCT2'!BF29),"",'HCT2'!BF29)</f>
        <v>73.502452108611664</v>
      </c>
      <c r="DQ29" s="1063">
        <f>SUM(BQ29:BT29,BX29:CA29)</f>
        <v>64.138198604806192</v>
      </c>
      <c r="DS29" s="113">
        <f>SUM(BU29:BU29)+SUM(BL29:BL29)</f>
        <v>266.36928341333328</v>
      </c>
      <c r="DT29" s="113">
        <f>SUM(BV29:BV29)+SUM(BM29:BM29)</f>
        <v>269.99233163636359</v>
      </c>
      <c r="DU29" s="113">
        <f>SUM(BW29:BW29)+SUM(BP29:BP29)</f>
        <v>17.362850909090913</v>
      </c>
      <c r="DV29" s="872">
        <f>SUM(BX29:BX29)+SUM(BQ29:BQ29)</f>
        <v>19.557561543422743</v>
      </c>
      <c r="DW29" s="113">
        <f>SUM(BY29:BY29)+SUM(BR29:BR29)</f>
        <v>30.541947938719566</v>
      </c>
      <c r="DX29" s="113">
        <f>SUM(BZ29:BZ29)+SUM(BS29:BS29)</f>
        <v>12.806314869170372</v>
      </c>
      <c r="DY29" s="113">
        <f>SUM(CA29:CA29)+SUM(BT29:BT29)</f>
        <v>1.2323742534935103</v>
      </c>
    </row>
    <row r="30" spans="1:131" s="495" customFormat="1">
      <c r="A30" s="398"/>
      <c r="B30" s="492"/>
      <c r="C30" s="985" t="s">
        <v>162</v>
      </c>
      <c r="D30" s="986">
        <f>Sols!Q15</f>
        <v>4.0000000000000003E-5</v>
      </c>
      <c r="E30" s="103" t="s">
        <v>598</v>
      </c>
      <c r="F30" s="493" t="str">
        <f>IF(ISBLANK(Récap1!F30),"",Récap1!F30)</f>
        <v>Cs</v>
      </c>
      <c r="G30" s="493" t="str">
        <f>IF(ISBLANK(Récap1!G30),"",Récap1!G30)</f>
        <v>mg/kg ms</v>
      </c>
      <c r="H30" s="494">
        <f>IF(ISBLANK(Récap1!H30),"",Récap1!H30)</f>
        <v>60.834453173711402</v>
      </c>
      <c r="I30" s="343">
        <f>IF(ISBLANK(Récap1!I30),"",Récap1!I30)</f>
        <v>60.834453173711402</v>
      </c>
      <c r="J30" s="650">
        <f>IF(ISBLANK(Récap1!J30),"",Récap1!J30)</f>
        <v>536.48109565489358</v>
      </c>
      <c r="K30" s="677">
        <f>IF(ISBLANK(Récap1!K30),"",Récap1!K30)</f>
        <v>0.81026637575757599</v>
      </c>
      <c r="L30" s="674">
        <f>IF(ISBLANK(Récap1!L30),"",Récap1!L30)</f>
        <v>0.86814254545454572</v>
      </c>
      <c r="M30" s="650">
        <f>IF(ISBLANK(Récap1!M30),"",Récap1!M30)</f>
        <v>0.86814254545454572</v>
      </c>
      <c r="N30" s="674">
        <f>IF(ISBLANK(Récap1!N30),"",Récap1!N30)</f>
        <v>2.5320824242424247</v>
      </c>
      <c r="O30" s="650">
        <f>IF(ISBLANK(Récap1!O30),"",Récap1!O30)</f>
        <v>2.5320824242424247</v>
      </c>
      <c r="P30" s="674">
        <f>IF(ISBLANK(Récap1!P30),"",Récap1!P30)</f>
        <v>0.50641648484848489</v>
      </c>
      <c r="Q30" s="650">
        <f>IF(ISBLANK(Récap1!Q30),"",Récap1!Q30)</f>
        <v>0.50641648484848489</v>
      </c>
      <c r="R30" s="650">
        <f>IF(ISBLANK(Récap1!R30),"",Récap1!R30)</f>
        <v>5.0641648484848494</v>
      </c>
      <c r="S30" s="650">
        <f>IF(ISBLANK(Récap1!S30),"",Récap1!S30)</f>
        <v>0.22018108036890641</v>
      </c>
      <c r="T30" s="650">
        <f>IF(ISBLANK(Récap1!T30),"",Récap1!T30)</f>
        <v>0.22018108036890641</v>
      </c>
      <c r="U30" s="650">
        <f>IF(ISBLANK(Récap1!U30),"",Récap1!U30)</f>
        <v>0.12057535353535354</v>
      </c>
      <c r="V30" s="675">
        <f>IF(ISBLANK(Récap1!V30),"",Récap1!V30)</f>
        <v>14.469042424242426</v>
      </c>
      <c r="W30" s="650">
        <f>IF(ISBLANK(Récap1!W30),"",Récap1!W30)</f>
        <v>14.469042424242426</v>
      </c>
      <c r="X30" s="650">
        <f>IF(ISBLANK(Récap1!X30),"",Récap1!X30)</f>
        <v>0.1389028072727273</v>
      </c>
      <c r="Y30" s="674">
        <f>IF(ISBLANK(Récap1!Y30),"",Récap1!Y30)</f>
        <v>3.7619510303030315</v>
      </c>
      <c r="Z30" s="674">
        <f>IF(ISBLANK(Récap1!Z30),"",Récap1!Z30)</f>
        <v>2.0256659393939396</v>
      </c>
      <c r="AA30" s="678">
        <f>IF(ISBLANK(Récap1!AA30),"",Récap1!AA30)</f>
        <v>10.128329696969697</v>
      </c>
      <c r="AB30" s="650">
        <f>IF(ISBLANK(Récap1!AB30),"",Récap1!AB30)</f>
        <v>2.8938084848484857</v>
      </c>
      <c r="AC30" s="1168">
        <f>IF(ISBLANK(Récap1!AC30),"",Récap1!AC30)</f>
        <v>5.0885191191803161</v>
      </c>
      <c r="AD30" s="650">
        <f>IF(ISBLANK(Récap1!AD30),"",Récap1!AD30)</f>
        <v>12.310918491184916</v>
      </c>
      <c r="AE30" s="650" t="str">
        <f>IF(ISBLANK(Récap1!AE30),"",Récap1!AE30)</f>
        <v>PVL</v>
      </c>
      <c r="AF30" s="1169" t="str">
        <f>IF(ISBLANK(Récap1!AF30),"",Récap1!AF30)</f>
        <v>PVL</v>
      </c>
      <c r="AG30" s="650" t="str">
        <f>IF(ISBLANK(Récap1!AG30),"",Récap1!AG30)</f>
        <v>PVL</v>
      </c>
      <c r="AH30" s="650" t="str">
        <f>IF(ISBLANK(Récap1!AH30),"",Récap1!AH30)</f>
        <v>PVL</v>
      </c>
      <c r="AI30" s="650">
        <f>IF(ISBLANK(Récap1!AI30),"",Récap1!AI30)</f>
        <v>14.469042424242426</v>
      </c>
      <c r="AJ30" s="1168" t="str">
        <f>IF(ISBLANK(Récap1!AJ30),"",Récap1!AJ30)</f>
        <v>PVL</v>
      </c>
      <c r="AK30" s="650" t="str">
        <f>IF(ISBLANK(Récap1!AK30),"",Récap1!AK30)</f>
        <v>PVL</v>
      </c>
      <c r="AL30" s="650" t="str">
        <f>IF(ISBLANK(Récap1!AL30),"",Récap1!AL30)</f>
        <v>PVL</v>
      </c>
      <c r="AM30" s="650" t="str">
        <f>IF(ISBLANK(Récap1!AM30),"",Récap1!AM30)</f>
        <v>PVL</v>
      </c>
      <c r="AN30" s="649">
        <f>IF(ISBLANK(Récap1!AN30),"",Récap1!AN30)</f>
        <v>0.15304014105752708</v>
      </c>
      <c r="AO30" s="650">
        <f>IF(ISBLANK(Récap1!AO30),"",Récap1!AO30)</f>
        <v>9.1661028969775558</v>
      </c>
      <c r="AP30" s="650">
        <f>IF(ISBLANK(Récap1!AP30),"",Récap1!AP30)</f>
        <v>7.0444170035345826</v>
      </c>
      <c r="AQ30" s="650" t="str">
        <f>IF(ISBLANK(Récap1!AQ30),"",Récap1!AQ30)</f>
        <v>PVL</v>
      </c>
      <c r="AR30" s="650" t="str">
        <f>IF(ISBLANK(Récap1!AR30),"",Récap1!AR30)</f>
        <v>PVL</v>
      </c>
      <c r="AS30" s="650" t="str">
        <f>IF(ISBLANK(Récap1!AS30),"",Récap1!AS30)</f>
        <v>PVL</v>
      </c>
      <c r="AT30" s="650" t="str">
        <f>IF(ISBLANK(Récap1!AT30),"",Récap1!AT30)</f>
        <v>PVL</v>
      </c>
      <c r="AU30" s="650" t="str">
        <f>IF(ISBLANK(Récap1!AU30),"",Récap1!AU30)</f>
        <v>PVL</v>
      </c>
      <c r="AV30" s="650" t="str">
        <f>IF(ISBLANK(Récap1!AV30),"",Récap1!AV30)</f>
        <v>PVL</v>
      </c>
      <c r="AW30" s="650" t="str">
        <f>IF(ISBLANK(Récap1!AW30),"",Récap1!AW30)</f>
        <v>PVL</v>
      </c>
      <c r="AX30" s="650" t="str">
        <f>IF(ISBLANK(Récap1!AX30),"",Récap1!AX30)</f>
        <v>PVL</v>
      </c>
      <c r="AY30" s="650" t="str">
        <f>IF(ISBLANK(Récap1!AY30),"",Récap1!AY30)</f>
        <v>PVL</v>
      </c>
      <c r="AZ30" s="650" t="str">
        <f>IF(ISBLANK(Récap1!AZ30),"",Récap1!AZ30)</f>
        <v>PVL</v>
      </c>
      <c r="BA30" s="650" t="str">
        <f>IF(ISBLANK(Récap1!BA30),"",Récap1!BA30)</f>
        <v>PVL</v>
      </c>
      <c r="BB30" s="650" t="str">
        <f>IF(ISBLANK(Récap1!BB30),"",Récap1!BB30)</f>
        <v>PVL</v>
      </c>
      <c r="BC30" s="651" t="str">
        <f>IF(ISBLANK(Récap1!BC30),"",Récap1!BC30)</f>
        <v>PVL</v>
      </c>
      <c r="BD30" s="679">
        <f>IF(ISBLANK(Récap1!BD30),"",Récap1!BD30)</f>
        <v>21.637045034166349</v>
      </c>
      <c r="BE30" s="674">
        <v>0.1</v>
      </c>
      <c r="BF30" s="650">
        <f>IF(ISBLANK(Récap1!BF30),"",Récap1!BF30)</f>
        <v>3.8210199349215332</v>
      </c>
      <c r="BG30" s="650">
        <f>IF(ISBLANK(Récap1!BG30),"",Récap1!BG30)</f>
        <v>4.3407127272727285E-4</v>
      </c>
      <c r="BH30" s="652">
        <f>IF(ISBLANK(Récap1!BH30),"",Récap1!BH30)</f>
        <v>0.27774825694233579</v>
      </c>
      <c r="BI30" s="650">
        <f>IF(ISBLANK(Récap1!BI30),"",Récap1!BI30)</f>
        <v>0.38683198109989436</v>
      </c>
      <c r="BJ30" s="653" t="e">
        <f>IF(ISBLANK(Récap1!#REF!),"",Récap1!#REF!)</f>
        <v>#REF!</v>
      </c>
      <c r="BK30" s="653" t="e">
        <f>IF(ISBLANK(Récap1!#REF!),"",Récap1!#REF!)</f>
        <v>#REF!</v>
      </c>
      <c r="BL30" s="650">
        <f>IF(ISBLANK('HCT2'!H30),"",'HCT2'!H30)</f>
        <v>0.1389028072727273</v>
      </c>
      <c r="BM30" s="650">
        <f>IF(ISBLANK('HCT2'!I30),"",'HCT2'!I30)</f>
        <v>3.7619510303030315</v>
      </c>
      <c r="BN30" s="650">
        <f>IF(ISBLANK('HCT2'!J30),"",'HCT2'!J30)</f>
        <v>2.0256659393939396</v>
      </c>
      <c r="BO30" s="651">
        <f>IF(ISBLANK('HCT2'!K30),"",'HCT2'!K30)</f>
        <v>10.128329696969697</v>
      </c>
      <c r="BP30" s="650">
        <f>IF(ISBLANK('HCT2'!L30),"",'HCT2'!L30)</f>
        <v>2.8938084848484857</v>
      </c>
      <c r="BQ30" s="1168">
        <f>IF(ISBLANK('HCT2'!M30),"",'HCT2'!M30)</f>
        <v>5.0885191191803161</v>
      </c>
      <c r="BR30" s="650">
        <f>IF(ISBLANK('HCT2'!N30),"",'HCT2'!N30)</f>
        <v>12.310918491184916</v>
      </c>
      <c r="BS30" s="650">
        <f>IF(ISBLANK('HCT2'!O30),"",'HCT2'!O30)</f>
        <v>1.1689614321785298</v>
      </c>
      <c r="BT30" s="1169">
        <f>IF(ISBLANK('HCT2'!P30),"",'HCT2'!P30)</f>
        <v>8.0344886954482764E-3</v>
      </c>
      <c r="BU30" s="650">
        <f>IF(ISBLANK('HCT2'!Q30),"",'HCT2'!Q30)</f>
        <v>9.3769318099045424</v>
      </c>
      <c r="BV30" s="650">
        <f>IF(ISBLANK('HCT2'!R30),"",'HCT2'!R30)</f>
        <v>7.2491214529626742</v>
      </c>
      <c r="BW30" s="650">
        <f>IF(ISBLANK('HCT2'!S30),"",'HCT2'!S30)</f>
        <v>14.469042424242426</v>
      </c>
      <c r="BX30" s="1168">
        <f>IF(ISBLANK('HCT2'!T30),"",'HCT2'!T30)</f>
        <v>3.3109239702308431</v>
      </c>
      <c r="BY30" s="650">
        <f>IF(ISBLANK('HCT2'!U30),"",'HCT2'!U30)</f>
        <v>10.81817209838596</v>
      </c>
      <c r="BZ30" s="650">
        <f>IF(ISBLANK('HCT2'!V30),"",'HCT2'!V30)</f>
        <v>6.9055284351013784</v>
      </c>
      <c r="CA30" s="650">
        <f>IF(ISBLANK('HCT2'!W30),"",'HCT2'!W30)</f>
        <v>0.72651510550184195</v>
      </c>
      <c r="CB30" s="653" t="str">
        <f>IF(ISBLANK('HCT2'!X30),"",'HCT2'!X30)</f>
        <v/>
      </c>
      <c r="CC30" s="1170">
        <f>IF(ISBLANK('HCT2'!Y30),"",'HCT2'!Y30)</f>
        <v>12.126258563492415</v>
      </c>
      <c r="CD30" s="1171">
        <f>IF(ISBLANK('HCT2'!Z30),"",'HCT2'!Z30)</f>
        <v>27.589511701380243</v>
      </c>
      <c r="CE30" s="653" t="str">
        <f>IF(ISBLANK('HCT2'!AA30),"",'HCT2'!AA30)</f>
        <v/>
      </c>
      <c r="CF30" s="653" t="str">
        <f>IF(ISBLANK('HCT2'!AB30),"",'HCT2'!AB30)</f>
        <v/>
      </c>
      <c r="CG30" s="1172">
        <f>IF(ISBLANK('HCT2'!AC30),"",'HCT2'!AC30)</f>
        <v>16.196866512804764</v>
      </c>
      <c r="CH30" s="653" t="str">
        <f>IF(ISBLANK('HCT2'!AD30),"",'HCT2'!AD30)</f>
        <v/>
      </c>
      <c r="CI30" s="653" t="str">
        <f>IF(ISBLANK('HCT2'!AE30),"",'HCT2'!AE30)</f>
        <v/>
      </c>
      <c r="CJ30" s="653" t="str">
        <f>IF(ISBLANK('HCT2'!AF30),"",'HCT2'!AF30)</f>
        <v/>
      </c>
      <c r="CK30" s="1173" t="str">
        <f>IF(ISBLANK('HCT2'!AG30),"",'HCT2'!AG30)</f>
        <v/>
      </c>
      <c r="CL30" s="653" t="str">
        <f>IF(ISBLANK('HCT2'!AH30),"",'HCT2'!AH30)</f>
        <v>PVL</v>
      </c>
      <c r="CM30" s="653" t="str">
        <f>IF(ISBLANK('HCT2'!AI30),"",'HCT2'!AI30)</f>
        <v>PVL</v>
      </c>
      <c r="CN30" s="1173">
        <f>IF(ISBLANK('HCT2'!AJ30),"",'HCT2'!AJ30)</f>
        <v>204.06539623015721</v>
      </c>
      <c r="CO30" s="653" t="str">
        <f>IF(ISBLANK('HCT2'!AK30),"",'HCT2'!AK30)</f>
        <v/>
      </c>
      <c r="CP30" s="653" t="str">
        <f>IF(ISBLANK('HCT2'!AL30),"",'HCT2'!AL30)</f>
        <v/>
      </c>
      <c r="CQ30" s="653" t="str">
        <f>IF(ISBLANK('HCT2'!AM30),"",'HCT2'!AM30)</f>
        <v/>
      </c>
      <c r="CR30" s="690" t="str">
        <f>IF(ISBLANK('HCT2'!AN30),"",'HCT2'!AN30)</f>
        <v/>
      </c>
      <c r="CS30" s="684">
        <f>IF(ISBLANK('HCT2'!AO30),"",'HCT2'!AO30)</f>
        <v>16.196866512804764</v>
      </c>
      <c r="CT30" s="1174">
        <f>IF(ISBLANK('HCT2'!AP30),"",'HCT2'!AP30)</f>
        <v>0.39737776286792892</v>
      </c>
      <c r="CU30" s="1148">
        <f>MAX('HCT2'!AQ30,'HCT2'!AQ29)</f>
        <v>553.72446595878773</v>
      </c>
      <c r="CV30" s="686">
        <f>IF(ISBLANK('HCT2'!AR30),"",'HCT2'!AR30)</f>
        <v>37.889758009533885</v>
      </c>
      <c r="CW30" s="1473" t="e">
        <f>IF(ISBLANK(Récap1!#REF!),"",Récap1!#REF!)</f>
        <v>#REF!</v>
      </c>
      <c r="CX30" s="1473" t="e">
        <f>IF(ISBLANK(Récap1!#REF!),"",Récap1!#REF!)</f>
        <v>#REF!</v>
      </c>
      <c r="CY30" s="1461" t="e">
        <f>IF(ISBLANK(Récap1!#REF!),"",Récap1!#REF!)</f>
        <v>#REF!</v>
      </c>
      <c r="CZ30" s="1461" t="e">
        <f>IF(ISBLANK(Récap1!#REF!),"",Récap1!#REF!)</f>
        <v>#REF!</v>
      </c>
      <c r="DA30" s="1461" t="e">
        <f>IF(ISBLANK(Récap1!#REF!),"",Récap1!#REF!)</f>
        <v>#REF!</v>
      </c>
      <c r="DB30" s="1461" t="e">
        <f>IF(ISBLANK(Récap1!#REF!),"",Récap1!#REF!)</f>
        <v>#REF!</v>
      </c>
      <c r="DC30" s="1473">
        <f>IF(ISBLANK('HCT2'!AS30),"",'HCT2'!AS30)</f>
        <v>136.03449715137612</v>
      </c>
      <c r="DD30" s="1461">
        <f>IF(ISBLANK('HCT2'!AT30),"",'HCT2'!AT30)</f>
        <v>185.04633006362408</v>
      </c>
      <c r="DE30" s="1461" t="str">
        <f>IF(ISBLANK('HCT2'!AU30),"",'HCT2'!AU30)</f>
        <v>PVL</v>
      </c>
      <c r="DF30" s="1461" t="str">
        <f>IF(ISBLANK('HCT2'!AV30),"",'HCT2'!AV30)</f>
        <v>PVL</v>
      </c>
      <c r="DG30" s="1461" t="str">
        <f>IF(ISBLANK('HCT2'!AW30),"",'HCT2'!AW30)</f>
        <v/>
      </c>
      <c r="DH30" s="1461" t="str">
        <f>IF(ISBLANK('HCT2'!AX30),"",'HCT2'!AX30)</f>
        <v/>
      </c>
      <c r="DI30" s="1461" t="str">
        <f>IF(ISBLANK('HCT2'!AY30),"",'HCT2'!AY30)</f>
        <v/>
      </c>
      <c r="DJ30" s="1474" t="str">
        <f>IF(ISBLANK('HCT2'!AZ30),"",'HCT2'!AZ30)</f>
        <v>PVL</v>
      </c>
      <c r="DK30" s="1461" t="str">
        <f>IF(ISBLANK('HCT2'!BA30),"",'HCT2'!BA30)</f>
        <v>PVL</v>
      </c>
      <c r="DL30" s="1461" t="str">
        <f>IF(ISBLANK('HCT2'!BB30),"",'HCT2'!BB30)</f>
        <v>PVL</v>
      </c>
      <c r="DM30" s="1462" t="str">
        <f>IF(ISBLANK('HCT2'!BC30),"",'HCT2'!BC30)</f>
        <v>PVL</v>
      </c>
      <c r="DN30" s="1461">
        <f>IF(ISBLANK('HCT2'!BD30),"",'HCT2'!BD30)</f>
        <v>136.03449715137612</v>
      </c>
      <c r="DO30" s="1475">
        <f>IF(ISBLANK('HCT2'!BE30),"",'HCT2'!BE30)</f>
        <v>0.10393493785095881</v>
      </c>
      <c r="DP30" s="1462">
        <f>MAX('HCT2'!BF30,'HCT2'!BF29)</f>
        <v>167.40701413913166</v>
      </c>
      <c r="DQ30" s="920">
        <f t="shared" si="0"/>
        <v>40.337573140459234</v>
      </c>
      <c r="DS30" s="343">
        <f t="shared" si="1"/>
        <v>9.5158346171772692</v>
      </c>
      <c r="DT30" s="343">
        <f t="shared" si="1"/>
        <v>11.011072483265705</v>
      </c>
      <c r="DU30" s="343">
        <f t="shared" si="2"/>
        <v>17.362850909090913</v>
      </c>
      <c r="DV30" s="874">
        <f t="shared" si="2"/>
        <v>8.3994430894111591</v>
      </c>
      <c r="DW30" s="343">
        <f t="shared" si="2"/>
        <v>23.129090589570875</v>
      </c>
      <c r="DX30" s="343">
        <f t="shared" si="2"/>
        <v>8.0744898672799081</v>
      </c>
      <c r="DY30" s="343">
        <f t="shared" si="2"/>
        <v>0.73454959419729027</v>
      </c>
      <c r="DZ30" s="1064">
        <f>SUM(DS30:DU30)</f>
        <v>37.889758009533892</v>
      </c>
      <c r="EA30" s="1064">
        <f>SUM(DV30:DY30)</f>
        <v>40.337573140459234</v>
      </c>
    </row>
    <row r="31" spans="1:131" s="742" customFormat="1" hidden="1">
      <c r="A31" s="732"/>
      <c r="B31" s="733"/>
      <c r="C31" s="503" t="s">
        <v>42</v>
      </c>
      <c r="D31" s="506">
        <f>Sols!D15</f>
        <v>0.1</v>
      </c>
      <c r="E31" s="736" t="str">
        <f>IF(ISBLANK(Récap1!E31),"",Récap1!E31)</f>
        <v>Equivalent air du sol</v>
      </c>
      <c r="F31" s="737" t="str">
        <f>IF(ISBLANK(Récap1!F31),"",Récap1!F31)</f>
        <v>Csao</v>
      </c>
      <c r="G31" s="737" t="str">
        <f>IF(ISBLANK(Récap1!G31),"",Récap1!G31)</f>
        <v>mg/m3</v>
      </c>
      <c r="H31" s="739">
        <f>IF(ISBLANK(Récap1!H31),"",Récap1!H31)</f>
        <v>160.26785279606523</v>
      </c>
      <c r="I31" s="740">
        <f>IF(ISBLANK(Récap1!I31),"",Récap1!I31)</f>
        <v>160.26785279606523</v>
      </c>
      <c r="J31" s="1177">
        <f>IF(ISBLANK(Récap1!J31),"",Récap1!J31)</f>
        <v>9278.2609196864632</v>
      </c>
      <c r="K31" s="1176">
        <f>IF(ISBLANK(Récap1!K31),"",Récap1!K31)</f>
        <v>3122.2105539379727</v>
      </c>
      <c r="L31" s="1177">
        <f>IF(ISBLANK(Récap1!L31),"",Récap1!L31)</f>
        <v>625.44363150445747</v>
      </c>
      <c r="M31" s="1177">
        <f>IF(ISBLANK(Récap1!M31),"",Récap1!M31)</f>
        <v>625.44363150445747</v>
      </c>
      <c r="N31" s="1177">
        <f>IF(ISBLANK(Récap1!N31),"",Récap1!N31)</f>
        <v>3597.912975289411</v>
      </c>
      <c r="O31" s="1177">
        <f>IF(ISBLANK(Récap1!O31),"",Récap1!O31)</f>
        <v>3597.912975289411</v>
      </c>
      <c r="P31" s="1177">
        <f>IF(ISBLANK(Récap1!P31),"",Récap1!P31)</f>
        <v>785.59788226286742</v>
      </c>
      <c r="Q31" s="1177">
        <f>IF(ISBLANK(Récap1!Q31),"",Récap1!Q31)</f>
        <v>785.59788226286742</v>
      </c>
      <c r="R31" s="1177">
        <f>IF(ISBLANK(Récap1!R31),"",Récap1!R31)</f>
        <v>3157.8879321190548</v>
      </c>
      <c r="S31" s="1177">
        <f>IF(ISBLANK(Récap1!S31),"",Récap1!S31)</f>
        <v>128.81104339482565</v>
      </c>
      <c r="T31" s="1177">
        <f>IF(ISBLANK(Récap1!T31),"",Récap1!T31)</f>
        <v>128.81104339482565</v>
      </c>
      <c r="U31" s="1177">
        <f>IF(ISBLANK(Récap1!U31),"",Récap1!U31)</f>
        <v>332.09632277946741</v>
      </c>
      <c r="V31" s="1434">
        <f>IF(ISBLANK(Récap1!V31),"",Récap1!V31)</f>
        <v>65229.095424619758</v>
      </c>
      <c r="W31" s="1177">
        <f>IF(ISBLANK(Récap1!W31),"",Récap1!W31)</f>
        <v>65229.095424619758</v>
      </c>
      <c r="X31" s="1177">
        <f>IF(ISBLANK(Récap1!X31),"",Récap1!X31)</f>
        <v>120.13101239114764</v>
      </c>
      <c r="Y31" s="1177">
        <f>IF(ISBLANK(Récap1!Y31),"",Récap1!Y31)</f>
        <v>2254.9006484227421</v>
      </c>
      <c r="Z31" s="1177">
        <f>IF(ISBLANK(Récap1!Z31),"",Récap1!Z31)</f>
        <v>719.05655893654125</v>
      </c>
      <c r="AA31" s="1178">
        <f>IF(ISBLANK(Récap1!AA31),"",Récap1!AA31)</f>
        <v>2411.93027797883</v>
      </c>
      <c r="AB31" s="1177">
        <f>IF(ISBLANK(Récap1!AB31),"",Récap1!AB31)</f>
        <v>779.37795932427673</v>
      </c>
      <c r="AC31" s="1179">
        <f>IF(ISBLANK(Récap1!AC31),"",Récap1!AC31)</f>
        <v>267.42606901659201</v>
      </c>
      <c r="AD31" s="1177">
        <f>IF(ISBLANK(Récap1!AD31),"",Récap1!AD31)</f>
        <v>126.63901235174573</v>
      </c>
      <c r="AE31" s="1177" t="str">
        <f>IF(ISBLANK(Récap1!AE31),"",Récap1!AE31)</f>
        <v>PVL</v>
      </c>
      <c r="AF31" s="1180" t="str">
        <f>IF(ISBLANK(Récap1!AF31),"",Récap1!AF31)</f>
        <v>PVL</v>
      </c>
      <c r="AG31" s="1177" t="str">
        <f>IF(ISBLANK(Récap1!AG31),"",Récap1!AG31)</f>
        <v>PVL</v>
      </c>
      <c r="AH31" s="1177" t="str">
        <f>IF(ISBLANK(Récap1!AH31),"",Récap1!AH31)</f>
        <v>PVL</v>
      </c>
      <c r="AI31" s="1177">
        <f>IF(ISBLANK(Récap1!AI31),"",Récap1!AI31)</f>
        <v>27285.422753150247</v>
      </c>
      <c r="AJ31" s="1179" t="str">
        <f>IF(ISBLANK(Récap1!AJ31),"",Récap1!AJ31)</f>
        <v>PVL</v>
      </c>
      <c r="AK31" s="1177" t="str">
        <f>IF(ISBLANK(Récap1!AK31),"",Récap1!AK31)</f>
        <v>PVL</v>
      </c>
      <c r="AL31" s="1177" t="str">
        <f>IF(ISBLANK(Récap1!AL31),"",Récap1!AL31)</f>
        <v>PVL</v>
      </c>
      <c r="AM31" s="1177" t="str">
        <f>IF(ISBLANK(Récap1!AM31),"",Récap1!AM31)</f>
        <v>PVL</v>
      </c>
      <c r="AN31" s="1176">
        <f>IF(ISBLANK(Récap1!AN31),"",Récap1!AN31)</f>
        <v>0.65417107599669966</v>
      </c>
      <c r="AO31" s="1177">
        <f>IF(ISBLANK(Récap1!AO31),"",Récap1!AO31)</f>
        <v>10.700890477012043</v>
      </c>
      <c r="AP31" s="1177">
        <f>IF(ISBLANK(Récap1!AP31),"",Récap1!AP31)</f>
        <v>13.758254807642203</v>
      </c>
      <c r="AQ31" s="1177" t="str">
        <f>IF(ISBLANK(Récap1!AQ31),"",Récap1!AQ31)</f>
        <v>PVL</v>
      </c>
      <c r="AR31" s="1177" t="str">
        <f>IF(ISBLANK(Récap1!AR31),"",Récap1!AR31)</f>
        <v>PVL</v>
      </c>
      <c r="AS31" s="1177" t="str">
        <f>IF(ISBLANK(Récap1!AS31),"",Récap1!AS31)</f>
        <v>PVL</v>
      </c>
      <c r="AT31" s="1177" t="str">
        <f>IF(ISBLANK(Récap1!AT31),"",Récap1!AT31)</f>
        <v>PVL</v>
      </c>
      <c r="AU31" s="1177" t="str">
        <f>IF(ISBLANK(Récap1!AU31),"",Récap1!AU31)</f>
        <v>PVL</v>
      </c>
      <c r="AV31" s="1177" t="str">
        <f>IF(ISBLANK(Récap1!AV31),"",Récap1!AV31)</f>
        <v>PVL</v>
      </c>
      <c r="AW31" s="1177" t="str">
        <f>IF(ISBLANK(Récap1!AW31),"",Récap1!AW31)</f>
        <v>PVL</v>
      </c>
      <c r="AX31" s="1177" t="str">
        <f>IF(ISBLANK(Récap1!AX31),"",Récap1!AX31)</f>
        <v>PVL</v>
      </c>
      <c r="AY31" s="1177" t="str">
        <f>IF(ISBLANK(Récap1!AY31),"",Récap1!AY31)</f>
        <v>PVL</v>
      </c>
      <c r="AZ31" s="1177" t="str">
        <f>IF(ISBLANK(Récap1!AZ31),"",Récap1!AZ31)</f>
        <v>PVL</v>
      </c>
      <c r="BA31" s="1177" t="str">
        <f>IF(ISBLANK(Récap1!BA31),"",Récap1!BA31)</f>
        <v>PVL</v>
      </c>
      <c r="BB31" s="1177" t="str">
        <f>IF(ISBLANK(Récap1!BB31),"",Récap1!BB31)</f>
        <v>PVL</v>
      </c>
      <c r="BC31" s="1178" t="str">
        <f>IF(ISBLANK(Récap1!BC31),"",Récap1!BC31)</f>
        <v>PVL</v>
      </c>
      <c r="BD31" s="1463">
        <f>IF(ISBLANK(Récap1!BD31),"",Récap1!BD31)</f>
        <v>2.0240839922258074</v>
      </c>
      <c r="BE31" s="1424">
        <f>IF(ISBLANK(Récap1!BE31),"",Récap1!BE31)</f>
        <v>3.9667289551199233E-3</v>
      </c>
      <c r="BF31" s="1177">
        <f>IF(ISBLANK(Récap1!BF31),"",Récap1!BF31)</f>
        <v>7.9334579102398467E-3</v>
      </c>
      <c r="BG31" s="1177" t="str">
        <f>IF(ISBLANK(Récap1!BG31),"",Récap1!BG31)</f>
        <v>Saturation</v>
      </c>
      <c r="BH31" s="1181">
        <f>IF(ISBLANK(Récap1!BH31),"",Récap1!BH31)</f>
        <v>3.4551307876277748E-2</v>
      </c>
      <c r="BI31" s="1177">
        <f>IF(ISBLANK(Récap1!BI31),"",Récap1!BI31)</f>
        <v>0.37233096215902789</v>
      </c>
      <c r="BJ31" s="1182" t="e">
        <f>IF(ISBLANK(Récap1!#REF!),"",Récap1!#REF!)</f>
        <v>#REF!</v>
      </c>
      <c r="BK31" s="1182" t="e">
        <f>IF(ISBLANK(Récap1!#REF!),"",Récap1!#REF!)</f>
        <v>#REF!</v>
      </c>
      <c r="BL31" s="1177">
        <f>IF(ISBLANK('HCT2'!H31),"",'HCT2'!H31)</f>
        <v>120.13101239114764</v>
      </c>
      <c r="BM31" s="1177">
        <f>IF(ISBLANK('HCT2'!I31),"",'HCT2'!I31)</f>
        <v>2254.9006484227421</v>
      </c>
      <c r="BN31" s="1177">
        <f>IF(ISBLANK('HCT2'!J31),"",'HCT2'!J31)</f>
        <v>719.05655893654125</v>
      </c>
      <c r="BO31" s="1178">
        <f>IF(ISBLANK('HCT2'!K31),"",'HCT2'!K31)</f>
        <v>2411.93027797883</v>
      </c>
      <c r="BP31" s="1177">
        <f>IF(ISBLANK('HCT2'!L31),"",'HCT2'!L31)</f>
        <v>779.37795932427673</v>
      </c>
      <c r="BQ31" s="1179">
        <f>IF(ISBLANK('HCT2'!M31),"",'HCT2'!M31)</f>
        <v>267.42606901659201</v>
      </c>
      <c r="BR31" s="1177">
        <f>IF(ISBLANK('HCT2'!N31),"",'HCT2'!N31)</f>
        <v>126.63901235174573</v>
      </c>
      <c r="BS31" s="1177">
        <f>IF(ISBLANK('HCT2'!O31),"",'HCT2'!O31)</f>
        <v>12.024782826266838</v>
      </c>
      <c r="BT31" s="1180">
        <f>IF(ISBLANK('HCT2'!P31),"",'HCT2'!P31)</f>
        <v>8.2648562239396664E-2</v>
      </c>
      <c r="BU31" s="1177">
        <f>IF(ISBLANK('HCT2'!Q31),"",'HCT2'!Q31)</f>
        <v>5620.5010240833462</v>
      </c>
      <c r="BV31" s="1177">
        <f>IF(ISBLANK('HCT2'!R31),"",'HCT2'!R31)</f>
        <v>4345.0987354995004</v>
      </c>
      <c r="BW31" s="1177">
        <f>IF(ISBLANK('HCT2'!S31),"",'HCT2'!S31)</f>
        <v>27285.422753150247</v>
      </c>
      <c r="BX31" s="1179">
        <f>IF(ISBLANK('HCT2'!T31),"",'HCT2'!T31)</f>
        <v>6243.6723580218022</v>
      </c>
      <c r="BY31" s="1177">
        <f>IF(ISBLANK('HCT2'!U31),"",'HCT2'!U31)</f>
        <v>20400.686546210774</v>
      </c>
      <c r="BZ31" s="1177">
        <f>IF(ISBLANK('HCT2'!V31),"",'HCT2'!V31)</f>
        <v>13022.303561011677</v>
      </c>
      <c r="CA31" s="1177">
        <f>IF(ISBLANK('HCT2'!W31),"",'HCT2'!W31)</f>
        <v>1370.0472504631018</v>
      </c>
      <c r="CB31" s="1182" t="str">
        <f>IF(ISBLANK('HCT2'!X31),"",'HCT2'!X31)</f>
        <v/>
      </c>
      <c r="CC31" s="1183">
        <f>IF(ISBLANK('HCT2'!Y31),"",'HCT2'!Y31)</f>
        <v>10487.474993136364</v>
      </c>
      <c r="CD31" s="1184">
        <f>IF(ISBLANK('HCT2'!Z31),"",'HCT2'!Z31)</f>
        <v>16537.059447075761</v>
      </c>
      <c r="CE31" s="1182" t="str">
        <f>IF(ISBLANK('HCT2'!AA31),"",'HCT2'!AA31)</f>
        <v/>
      </c>
      <c r="CF31" s="1182" t="str">
        <f>IF(ISBLANK('HCT2'!AB31),"",'HCT2'!AB31)</f>
        <v/>
      </c>
      <c r="CG31" s="1185">
        <f>IF(ISBLANK('HCT2'!AC31),"",'HCT2'!AC31)</f>
        <v>4362.237804019167</v>
      </c>
      <c r="CH31" s="1182" t="str">
        <f>IF(ISBLANK('HCT2'!AD31),"",'HCT2'!AD31)</f>
        <v/>
      </c>
      <c r="CI31" s="1182" t="str">
        <f>IF(ISBLANK('HCT2'!AE31),"",'HCT2'!AE31)</f>
        <v/>
      </c>
      <c r="CJ31" s="1182" t="str">
        <f>IF(ISBLANK('HCT2'!AF31),"",'HCT2'!AF31)</f>
        <v/>
      </c>
      <c r="CK31" s="1186" t="str">
        <f>IF(ISBLANK('HCT2'!AG31),"",'HCT2'!AG31)</f>
        <v/>
      </c>
      <c r="CL31" s="1182" t="str">
        <f>IF(ISBLANK('HCT2'!AH31),"",'HCT2'!AH31)</f>
        <v>PVL</v>
      </c>
      <c r="CM31" s="1182" t="str">
        <f>IF(ISBLANK('HCT2'!AI31),"",'HCT2'!AI31)</f>
        <v>PVL</v>
      </c>
      <c r="CN31" s="1186">
        <f>IF(ISBLANK('HCT2'!AJ31),"",'HCT2'!AJ31)</f>
        <v>384822.32909207075</v>
      </c>
      <c r="CO31" s="1182" t="str">
        <f>IF(ISBLANK('HCT2'!AK31),"",'HCT2'!AK31)</f>
        <v/>
      </c>
      <c r="CP31" s="1182" t="str">
        <f>IF(ISBLANK('HCT2'!AL31),"",'HCT2'!AL31)</f>
        <v/>
      </c>
      <c r="CQ31" s="1182" t="str">
        <f>IF(ISBLANK('HCT2'!AM31),"",'HCT2'!AM31)</f>
        <v/>
      </c>
      <c r="CR31" s="1187" t="str">
        <f>IF(ISBLANK('HCT2'!AN31),"",'HCT2'!AN31)</f>
        <v/>
      </c>
      <c r="CS31" s="1188">
        <f>IF(ISBLANK('HCT2'!AO31),"",'HCT2'!AO31)</f>
        <v>4362.237804019167</v>
      </c>
      <c r="CT31" s="1189">
        <f>IF(ISBLANK('HCT2'!AP31),"",'HCT2'!AP31)</f>
        <v>0.39737776286792892</v>
      </c>
      <c r="CU31" s="1149">
        <f>IF(ISBLANK('HCT2'!AQ31),"",'HCT2'!AQ31)</f>
        <v>76601.750821686743</v>
      </c>
      <c r="CV31" s="1476">
        <f>IF(ISBLANK('HCT2'!AR31),"",'HCT2'!AR31)</f>
        <v>40405.432132871261</v>
      </c>
      <c r="CW31" s="1477" t="e">
        <f>IF(ISBLANK(Récap1!#REF!),"",Récap1!#REF!)</f>
        <v>#REF!</v>
      </c>
      <c r="CX31" s="1477" t="e">
        <f>IF(ISBLANK(Récap1!#REF!),"",Récap1!#REF!)</f>
        <v>#REF!</v>
      </c>
      <c r="CY31" s="1478" t="e">
        <f>IF(ISBLANK(Récap1!#REF!),"",Récap1!#REF!)</f>
        <v>#REF!</v>
      </c>
      <c r="CZ31" s="1478" t="e">
        <f>IF(ISBLANK(Récap1!#REF!),"",Récap1!#REF!)</f>
        <v>#REF!</v>
      </c>
      <c r="DA31" s="1478" t="e">
        <f>IF(ISBLANK(Récap1!#REF!),"",Récap1!#REF!)</f>
        <v>#REF!</v>
      </c>
      <c r="DB31" s="1478" t="e">
        <f>IF(ISBLANK(Récap1!#REF!),"",Récap1!#REF!)</f>
        <v>#REF!</v>
      </c>
      <c r="DC31" s="1477">
        <f>IF(ISBLANK('HCT2'!AS31),"",'HCT2'!AS31)</f>
        <v>7149.2648394925227</v>
      </c>
      <c r="DD31" s="1478">
        <f>IF(ISBLANK('HCT2'!AT31),"",'HCT2'!AT31)</f>
        <v>1903.5203990142736</v>
      </c>
      <c r="DE31" s="1478" t="str">
        <f>IF(ISBLANK('HCT2'!AU31),"",'HCT2'!AU31)</f>
        <v>PVL</v>
      </c>
      <c r="DF31" s="1478" t="str">
        <f>IF(ISBLANK('HCT2'!AV31),"",'HCT2'!AV31)</f>
        <v>PVL</v>
      </c>
      <c r="DG31" s="1478" t="str">
        <f>IF(ISBLANK('HCT2'!AW31),"",'HCT2'!AW31)</f>
        <v/>
      </c>
      <c r="DH31" s="1478" t="str">
        <f>IF(ISBLANK('HCT2'!AX31),"",'HCT2'!AX31)</f>
        <v/>
      </c>
      <c r="DI31" s="1478" t="str">
        <f>IF(ISBLANK('HCT2'!AY31),"",'HCT2'!AY31)</f>
        <v/>
      </c>
      <c r="DJ31" s="1479" t="str">
        <f>IF(ISBLANK('HCT2'!AZ31),"",'HCT2'!AZ31)</f>
        <v>PVL</v>
      </c>
      <c r="DK31" s="1478" t="str">
        <f>IF(ISBLANK('HCT2'!BA31),"",'HCT2'!BA31)</f>
        <v>PVL</v>
      </c>
      <c r="DL31" s="1478" t="str">
        <f>IF(ISBLANK('HCT2'!BB31),"",'HCT2'!BB31)</f>
        <v>PVL</v>
      </c>
      <c r="DM31" s="1480" t="str">
        <f>IF(ISBLANK('HCT2'!BC31),"",'HCT2'!BC31)</f>
        <v>PVL</v>
      </c>
      <c r="DN31" s="1481">
        <f>IF(ISBLANK('HCT2'!BD31),"",'HCT2'!BD31)</f>
        <v>1903.5203990142736</v>
      </c>
      <c r="DO31" s="1482">
        <f>IF(ISBLANK('HCT2'!BE31),"",'HCT2'!BE31)</f>
        <v>0.10393493785095881</v>
      </c>
      <c r="DP31" s="1483">
        <f>IF(ISBLANK('HCT2'!BF31),"",'HCT2'!BF31)</f>
        <v>3791.4592486062902</v>
      </c>
      <c r="DQ31" s="978">
        <f t="shared" si="0"/>
        <v>41442.882228464201</v>
      </c>
      <c r="DS31" s="740">
        <f t="shared" si="1"/>
        <v>5740.6320364744943</v>
      </c>
      <c r="DT31" s="740">
        <f t="shared" si="1"/>
        <v>6599.9993839222425</v>
      </c>
      <c r="DU31" s="740">
        <f t="shared" si="2"/>
        <v>28064.800712474524</v>
      </c>
      <c r="DV31" s="878">
        <f t="shared" si="2"/>
        <v>6511.0984270383942</v>
      </c>
      <c r="DW31" s="740">
        <f t="shared" si="2"/>
        <v>20527.325558562519</v>
      </c>
      <c r="DX31" s="740">
        <f t="shared" si="2"/>
        <v>13034.328343837944</v>
      </c>
      <c r="DY31" s="740">
        <f t="shared" si="2"/>
        <v>1370.1298990253413</v>
      </c>
    </row>
    <row r="32" spans="1:131" s="782" customFormat="1" ht="13.5" hidden="1">
      <c r="A32" s="776"/>
      <c r="B32" s="245"/>
      <c r="C32" s="777"/>
      <c r="D32" s="778"/>
      <c r="E32" s="853" t="str">
        <f>IF(ISBLANK(Récap1!E32),"",Récap1!E32)</f>
        <v>Seuil pour détection olfactive air ambiant immédiate</v>
      </c>
      <c r="F32" s="779" t="str">
        <f>IF(ISBLANK(Récap1!F32),"",Récap1!F32)</f>
        <v>Cs</v>
      </c>
      <c r="G32" s="779" t="str">
        <f>IF(ISBLANK(Récap1!G32),"",Récap1!G32)</f>
        <v>mg/kg ms</v>
      </c>
      <c r="H32" s="780" t="str">
        <f>IF(ISBLANK(Récap1!H32),"",Récap1!H32)</f>
        <v>PVL</v>
      </c>
      <c r="I32" s="781" t="str">
        <f>IF(ISBLANK(Récap1!I32),"",Récap1!I32)</f>
        <v>PVL</v>
      </c>
      <c r="J32" s="1197" t="str">
        <f>IF(ISBLANK(Récap1!J32),"",Récap1!J32)</f>
        <v>PVL</v>
      </c>
      <c r="K32" s="1196">
        <f>IF(ISBLANK(Récap1!K32),"",Récap1!K32)</f>
        <v>0.46852770500182689</v>
      </c>
      <c r="L32" s="1197">
        <f>IF(ISBLANK(Récap1!L32),"",Récap1!L32)</f>
        <v>6.6014560176749724</v>
      </c>
      <c r="M32" s="1197">
        <f>IF(ISBLANK(Récap1!M32),"",Récap1!M32)</f>
        <v>6.6014560176749724</v>
      </c>
      <c r="N32" s="1197">
        <f>IF(ISBLANK(Récap1!N32),"",Récap1!N32)</f>
        <v>7.4719242392958893</v>
      </c>
      <c r="O32" s="1197">
        <f>IF(ISBLANK(Récap1!O32),"",Récap1!O32)</f>
        <v>7.4719242392958893</v>
      </c>
      <c r="P32" s="1197">
        <f>IF(ISBLANK(Récap1!P32),"",Récap1!P32)</f>
        <v>8.3295075640357599</v>
      </c>
      <c r="Q32" s="1197">
        <f>IF(ISBLANK(Récap1!Q32),"",Récap1!Q32)</f>
        <v>8.3295075640357599</v>
      </c>
      <c r="R32" s="1197">
        <f>IF(ISBLANK(Récap1!R32),"",Récap1!R32)</f>
        <v>9.8243951684144637</v>
      </c>
      <c r="S32" s="1197">
        <f>IF(ISBLANK(Récap1!S32),"",Récap1!S32)</f>
        <v>1.4133660276835032</v>
      </c>
      <c r="T32" s="1197">
        <f>IF(ISBLANK(Récap1!T32),"",Récap1!T32)</f>
        <v>1.4133660276835032</v>
      </c>
      <c r="U32" s="1197">
        <f>IF(ISBLANK(Récap1!U32),"",Récap1!U32)</f>
        <v>15.472605369114151</v>
      </c>
      <c r="V32" s="1435">
        <f>IF(ISBLANK(Récap1!V32),"",Récap1!V32)</f>
        <v>8.5409130800569031</v>
      </c>
      <c r="W32" s="1197">
        <f>IF(ISBLANK(Récap1!W32),"",Récap1!W32)</f>
        <v>8.5409130800569031</v>
      </c>
      <c r="X32" s="1197">
        <f>IF(ISBLANK(Récap1!X32),"",Récap1!X32)</f>
        <v>1.2180953167804813</v>
      </c>
      <c r="Y32" s="1197">
        <f>IF(ISBLANK(Récap1!Y32),"",Récap1!Y32)</f>
        <v>1.0833110580856959</v>
      </c>
      <c r="Z32" s="1197">
        <f>IF(ISBLANK(Récap1!Z32),"",Récap1!Z32)</f>
        <v>1.9072943096938233</v>
      </c>
      <c r="AA32" s="646">
        <f>IF(ISBLANK(Récap1!AA32),"",Récap1!AA32)</f>
        <v>8.6527912033094276E-2</v>
      </c>
      <c r="AB32" s="1197">
        <f>IF(ISBLANK(Récap1!AB32),"",Récap1!AB32)</f>
        <v>0.43855059775955696</v>
      </c>
      <c r="AC32" s="1198">
        <f>IF(ISBLANK(Récap1!AC32),"",Récap1!AC32)</f>
        <v>0.59129748989618436</v>
      </c>
      <c r="AD32" s="1197">
        <f>IF(ISBLANK(Récap1!AD32),"",Récap1!AD32)</f>
        <v>3.0209344818069739</v>
      </c>
      <c r="AE32" s="1197" t="str">
        <f>IF(ISBLANK(Récap1!AE32),"",Récap1!AE32)</f>
        <v>PVL</v>
      </c>
      <c r="AF32" s="1199" t="str">
        <f>IF(ISBLANK(Récap1!AF32),"",Récap1!AF32)</f>
        <v>PVL</v>
      </c>
      <c r="AG32" s="1197">
        <f>IF(ISBLANK(Récap1!AG32),"",Récap1!AG32)</f>
        <v>0.43677208521608607</v>
      </c>
      <c r="AH32" s="1197">
        <f>IF(ISBLANK(Récap1!AH32),"",Récap1!AH32)</f>
        <v>3.3204496719424021</v>
      </c>
      <c r="AI32" s="1197">
        <f>IF(ISBLANK(Récap1!AI32),"",Récap1!AI32)</f>
        <v>0.66037484972427585</v>
      </c>
      <c r="AJ32" s="1198">
        <f>IF(ISBLANK(Récap1!AJ32),"",Récap1!AJ32)</f>
        <v>1.0646495578200528</v>
      </c>
      <c r="AK32" s="1197" t="str">
        <f>IF(ISBLANK(Récap1!AK32),"",Récap1!AK32)</f>
        <v>PVL</v>
      </c>
      <c r="AL32" s="1197" t="str">
        <f>IF(ISBLANK(Récap1!AL32),"",Récap1!AL32)</f>
        <v>PVL</v>
      </c>
      <c r="AM32" s="1197" t="str">
        <f>IF(ISBLANK(Récap1!AM32),"",Récap1!AM32)</f>
        <v>PVL</v>
      </c>
      <c r="AN32" s="1196">
        <f>IF(ISBLANK(Récap1!AN32),"",Récap1!AN32)</f>
        <v>7.2699660810032141</v>
      </c>
      <c r="AO32" s="1197">
        <f>IF(ISBLANK(Récap1!AO32),"",Récap1!AO32)</f>
        <v>26.618475230717056</v>
      </c>
      <c r="AP32" s="1197" t="str">
        <f>IF(ISBLANK(Récap1!AP32),"",Récap1!AP32)</f>
        <v>PVL</v>
      </c>
      <c r="AQ32" s="1197" t="str">
        <f>IF(ISBLANK(Récap1!AQ32),"",Récap1!AQ32)</f>
        <v>PVL</v>
      </c>
      <c r="AR32" s="1197" t="str">
        <f>IF(ISBLANK(Récap1!AR32),"",Récap1!AR32)</f>
        <v>PVL</v>
      </c>
      <c r="AS32" s="1197" t="str">
        <f>IF(ISBLANK(Récap1!AS32),"",Récap1!AS32)</f>
        <v>PVL</v>
      </c>
      <c r="AT32" s="1197" t="str">
        <f>IF(ISBLANK(Récap1!AT32),"",Récap1!AT32)</f>
        <v>PVL</v>
      </c>
      <c r="AU32" s="1197" t="str">
        <f>IF(ISBLANK(Récap1!AU32),"",Récap1!AU32)</f>
        <v>PVL</v>
      </c>
      <c r="AV32" s="1197" t="str">
        <f>IF(ISBLANK(Récap1!AV32),"",Récap1!AV32)</f>
        <v>PVL</v>
      </c>
      <c r="AW32" s="1197" t="str">
        <f>IF(ISBLANK(Récap1!AW32),"",Récap1!AW32)</f>
        <v>PVL</v>
      </c>
      <c r="AX32" s="1197" t="str">
        <f>IF(ISBLANK(Récap1!AX32),"",Récap1!AX32)</f>
        <v>PVL</v>
      </c>
      <c r="AY32" s="1197" t="str">
        <f>IF(ISBLANK(Récap1!AY32),"",Récap1!AY32)</f>
        <v>PVL</v>
      </c>
      <c r="AZ32" s="1197" t="str">
        <f>IF(ISBLANK(Récap1!AZ32),"",Récap1!AZ32)</f>
        <v>PVL</v>
      </c>
      <c r="BA32" s="1197" t="str">
        <f>IF(ISBLANK(Récap1!BA32),"",Récap1!BA32)</f>
        <v>PVL</v>
      </c>
      <c r="BB32" s="1197" t="str">
        <f>IF(ISBLANK(Récap1!BB32),"",Récap1!BB32)</f>
        <v>PVL</v>
      </c>
      <c r="BC32" s="646" t="str">
        <f>IF(ISBLANK(Récap1!BC32),"",Récap1!BC32)</f>
        <v>PVL</v>
      </c>
      <c r="BD32" s="1464">
        <f>IF(ISBLANK(Récap1!BD32),"",Récap1!BD32)</f>
        <v>116.13152129480251</v>
      </c>
      <c r="BE32" s="1425" t="str">
        <f>IF(ISBLANK(Récap1!BE32),"",Récap1!BE32)</f>
        <v>PVL</v>
      </c>
      <c r="BF32" s="1197" t="str">
        <f>IF(ISBLANK(Récap1!BF32),"",Récap1!BF32)</f>
        <v>PVL</v>
      </c>
      <c r="BG32" s="1197" t="str">
        <f>IF(ISBLANK(Récap1!BG32),"",Récap1!BG32)</f>
        <v>nd</v>
      </c>
      <c r="BH32" s="646" t="str">
        <f>IF(ISBLANK(Récap1!BH32),"",Récap1!BH32)</f>
        <v>PVL</v>
      </c>
      <c r="BI32" s="1197" t="str">
        <f>IF(ISBLANK(Récap1!BI32),"",Récap1!BI32)</f>
        <v>PVL</v>
      </c>
      <c r="BJ32" s="1200" t="e">
        <f>IF(ISBLANK(Récap1!#REF!),"",Récap1!#REF!)</f>
        <v>#REF!</v>
      </c>
      <c r="BK32" s="1200" t="e">
        <f>IF(ISBLANK(Récap1!#REF!),"",Récap1!#REF!)</f>
        <v>#REF!</v>
      </c>
      <c r="BL32" s="1197">
        <f>IF(ISBLANK('HCT2'!H32),"",'HCT2'!H32)</f>
        <v>1.2180953167804813</v>
      </c>
      <c r="BM32" s="1197">
        <f>IF(ISBLANK('HCT2'!I32),"",'HCT2'!I32)</f>
        <v>1.0833110580856959</v>
      </c>
      <c r="BN32" s="1197">
        <f>IF(ISBLANK('HCT2'!J32),"",'HCT2'!J32)</f>
        <v>1.9072943096938233</v>
      </c>
      <c r="BO32" s="646">
        <f>IF(ISBLANK('HCT2'!K32),"",'HCT2'!K32)</f>
        <v>8.6527912033094276E-2</v>
      </c>
      <c r="BP32" s="1197">
        <f>IF(ISBLANK('HCT2'!L32),"",'HCT2'!L32)</f>
        <v>0.43855059775955696</v>
      </c>
      <c r="BQ32" s="1198">
        <f>IF(ISBLANK('HCT2'!M32),"",'HCT2'!M32)</f>
        <v>0.59129748989618436</v>
      </c>
      <c r="BR32" s="1197">
        <f>IF(ISBLANK('HCT2'!N32),"",'HCT2'!N32)</f>
        <v>3.0209344818069739</v>
      </c>
      <c r="BS32" s="1197">
        <f>IF(ISBLANK('HCT2'!O32),"",'HCT2'!O32)</f>
        <v>0.28684747615697154</v>
      </c>
      <c r="BT32" s="1199">
        <f>IF(ISBLANK('HCT2'!P32),"",'HCT2'!P32)</f>
        <v>1.9715558965927244E-3</v>
      </c>
      <c r="BU32" s="1197">
        <f>IF(ISBLANK('HCT2'!Q32),"",'HCT2'!Q32)</f>
        <v>0.43677208521608607</v>
      </c>
      <c r="BV32" s="1197">
        <f>IF(ISBLANK('HCT2'!R32),"",'HCT2'!R32)</f>
        <v>3.3204496719424021</v>
      </c>
      <c r="BW32" s="1197">
        <f>IF(ISBLANK('HCT2'!S32),"",'HCT2'!S32)</f>
        <v>0.66037484972427585</v>
      </c>
      <c r="BX32" s="1198">
        <f>IF(ISBLANK('HCT2'!T32),"",'HCT2'!T32)</f>
        <v>1.0646495578200528</v>
      </c>
      <c r="BY32" s="1197">
        <f>IF(ISBLANK('HCT2'!U32),"",'HCT2'!U32)</f>
        <v>3.4786549750234284</v>
      </c>
      <c r="BZ32" s="1197">
        <f>IF(ISBLANK('HCT2'!V32),"",'HCT2'!V32)</f>
        <v>2.2205184598158842</v>
      </c>
      <c r="CA32" s="1197">
        <f>IF(ISBLANK('HCT2'!W32),"",'HCT2'!W32)</f>
        <v>0.23361574979572741</v>
      </c>
      <c r="CB32" s="1200" t="str">
        <f>IF(ISBLANK('HCT2'!X32),"",'HCT2'!X32)</f>
        <v/>
      </c>
      <c r="CC32" s="1201">
        <f>IF(ISBLANK('HCT2'!Y32),"",'HCT2'!Y32)</f>
        <v>106.3401025240438</v>
      </c>
      <c r="CD32" s="1202">
        <f>IF(ISBLANK('HCT2'!Z32),"",'HCT2'!Z32)</f>
        <v>7.9448198215600883</v>
      </c>
      <c r="CE32" s="1200" t="str">
        <f>IF(ISBLANK('HCT2'!AA32),"",'HCT2'!AA32)</f>
        <v/>
      </c>
      <c r="CF32" s="1200" t="str">
        <f>IF(ISBLANK('HCT2'!AB32),"",'HCT2'!AB32)</f>
        <v/>
      </c>
      <c r="CG32" s="1203">
        <f>IF(ISBLANK('HCT2'!AC32),"",'HCT2'!AC32)</f>
        <v>2.4546011003192523</v>
      </c>
      <c r="CH32" s="1200" t="str">
        <f>IF(ISBLANK('HCT2'!AD32),"",'HCT2'!AD32)</f>
        <v/>
      </c>
      <c r="CI32" s="1200" t="str">
        <f>IF(ISBLANK('HCT2'!AE32),"",'HCT2'!AE32)</f>
        <v/>
      </c>
      <c r="CJ32" s="1200" t="str">
        <f>IF(ISBLANK('HCT2'!AF32),"",'HCT2'!AF32)</f>
        <v/>
      </c>
      <c r="CK32" s="1204" t="str">
        <f>IF(ISBLANK('HCT2'!AG32),"",'HCT2'!AG32)</f>
        <v/>
      </c>
      <c r="CL32" s="1200">
        <f>IF(ISBLANK('HCT2'!AH32),"",'HCT2'!AH32)</f>
        <v>1.2851035712104777</v>
      </c>
      <c r="CM32" s="1200">
        <f>IF(ISBLANK('HCT2'!AI32),"",'HCT2'!AI32)</f>
        <v>12.637336216854083</v>
      </c>
      <c r="CN32" s="1204">
        <f>IF(ISBLANK('HCT2'!AJ32),"",'HCT2'!AJ32)</f>
        <v>9.3136540358489306</v>
      </c>
      <c r="CO32" s="1200" t="str">
        <f>IF(ISBLANK('HCT2'!AK32),"",'HCT2'!AK32)</f>
        <v/>
      </c>
      <c r="CP32" s="1200" t="str">
        <f>IF(ISBLANK('HCT2'!AL32),"",'HCT2'!AL32)</f>
        <v/>
      </c>
      <c r="CQ32" s="1200" t="str">
        <f>IF(ISBLANK('HCT2'!AM32),"",'HCT2'!AM32)</f>
        <v/>
      </c>
      <c r="CR32" s="1205" t="str">
        <f>IF(ISBLANK('HCT2'!AN32),"",'HCT2'!AN32)</f>
        <v/>
      </c>
      <c r="CS32" s="1206">
        <f>IF(ISBLANK('HCT2'!AO32),"",'HCT2'!AO32)</f>
        <v>1.2851035712104777</v>
      </c>
      <c r="CT32" s="1207">
        <f>IF(ISBLANK('HCT2'!AP32),"",'HCT2'!AP32)</f>
        <v>1</v>
      </c>
      <c r="CU32" s="1150">
        <f>IF(ISBLANK('HCT2'!AQ32),"",'HCT2'!AQ32)</f>
        <v>7.1575535795084981</v>
      </c>
      <c r="CV32" s="673">
        <f>IF(ISBLANK('HCT2'!AR32),"",'HCT2'!AR32)</f>
        <v>7.1575535795084981</v>
      </c>
      <c r="CW32" s="1484" t="e">
        <f>IF(ISBLANK(Récap1!#REF!),"",Récap1!#REF!)</f>
        <v>#REF!</v>
      </c>
      <c r="CX32" s="1484" t="e">
        <f>IF(ISBLANK(Récap1!#REF!),"",Récap1!#REF!)</f>
        <v>#REF!</v>
      </c>
      <c r="CY32" s="1485" t="e">
        <f>IF(ISBLANK(Récap1!#REF!),"",Récap1!#REF!)</f>
        <v>#REF!</v>
      </c>
      <c r="CZ32" s="1485" t="e">
        <f>IF(ISBLANK(Récap1!#REF!),"",Récap1!#REF!)</f>
        <v>#REF!</v>
      </c>
      <c r="DA32" s="1485" t="e">
        <f>IF(ISBLANK(Récap1!#REF!),"",Récap1!#REF!)</f>
        <v>#REF!</v>
      </c>
      <c r="DB32" s="1485" t="e">
        <f>IF(ISBLANK(Récap1!#REF!),"",Récap1!#REF!)</f>
        <v>#REF!</v>
      </c>
      <c r="DC32" s="1484">
        <f>IF(ISBLANK('HCT2'!AS32),"",'HCT2'!AS32)</f>
        <v>15.807517830031363</v>
      </c>
      <c r="DD32" s="1485">
        <f>IF(ISBLANK('HCT2'!AT32),"",'HCT2'!AT32)</f>
        <v>45.407890534025618</v>
      </c>
      <c r="DE32" s="1485" t="str">
        <f>IF(ISBLANK('HCT2'!AU32),"",'HCT2'!AU32)</f>
        <v>PVL</v>
      </c>
      <c r="DF32" s="1485" t="str">
        <f>IF(ISBLANK('HCT2'!AV32),"",'HCT2'!AV32)</f>
        <v>PVL</v>
      </c>
      <c r="DG32" s="1485" t="str">
        <f>IF(ISBLANK('HCT2'!AW32),"",'HCT2'!AW32)</f>
        <v/>
      </c>
      <c r="DH32" s="1485" t="str">
        <f>IF(ISBLANK('HCT2'!AX32),"",'HCT2'!AX32)</f>
        <v/>
      </c>
      <c r="DI32" s="1485" t="str">
        <f>IF(ISBLANK('HCT2'!AY32),"",'HCT2'!AY32)</f>
        <v/>
      </c>
      <c r="DJ32" s="1486">
        <f>IF(ISBLANK('HCT2'!AZ32),"",'HCT2'!AZ32)</f>
        <v>7.8649019141364969</v>
      </c>
      <c r="DK32" s="1485" t="str">
        <f>IF(ISBLANK('HCT2'!BA32),"",'HCT2'!BA32)</f>
        <v>PVL</v>
      </c>
      <c r="DL32" s="1485" t="str">
        <f>IF(ISBLANK('HCT2'!BB32),"",'HCT2'!BB32)</f>
        <v>PVL</v>
      </c>
      <c r="DM32" s="1487" t="str">
        <f>IF(ISBLANK('HCT2'!BC32),"",'HCT2'!BC32)</f>
        <v>PVL</v>
      </c>
      <c r="DN32" s="1488">
        <f>IF(ISBLANK('HCT2'!BD32),"",'HCT2'!BD32)</f>
        <v>7.8649019141364969</v>
      </c>
      <c r="DO32" s="1489">
        <f>IF(ISBLANK('HCT2'!BE32),"",'HCT2'!BE32)</f>
        <v>0.23930211336607046</v>
      </c>
      <c r="DP32" s="1490">
        <f>IF(ISBLANK('HCT2'!BF32),"",'HCT2'!BF32)</f>
        <v>19.543837134312263</v>
      </c>
      <c r="DQ32" s="979">
        <f t="shared" si="0"/>
        <v>10.898489746211816</v>
      </c>
      <c r="DS32" s="781">
        <f t="shared" si="1"/>
        <v>1.6548674019965675</v>
      </c>
      <c r="DT32" s="781">
        <f t="shared" si="1"/>
        <v>4.4037607300280985</v>
      </c>
      <c r="DU32" s="781">
        <f t="shared" si="2"/>
        <v>1.0989254474838328</v>
      </c>
      <c r="DV32" s="880">
        <f t="shared" si="2"/>
        <v>1.655947047716237</v>
      </c>
      <c r="DW32" s="781">
        <f t="shared" si="2"/>
        <v>6.4995894568304022</v>
      </c>
      <c r="DX32" s="781">
        <f t="shared" si="2"/>
        <v>2.5073659359728557</v>
      </c>
      <c r="DY32" s="781">
        <f t="shared" si="2"/>
        <v>0.23558730569232014</v>
      </c>
    </row>
    <row r="33" spans="1:131" s="782" customFormat="1" ht="13.5" hidden="1">
      <c r="A33" s="776"/>
      <c r="B33" s="245"/>
      <c r="C33" s="777"/>
      <c r="D33" s="778"/>
      <c r="E33" s="853" t="str">
        <f>IF(ISBLANK(Récap1!E33),"",Récap1!E33)</f>
        <v>Seuil pour détection olfactive air ambiant 2 mois</v>
      </c>
      <c r="F33" s="779" t="str">
        <f>IF(ISBLANK(Récap1!F33),"",Récap1!F33)</f>
        <v>Cs</v>
      </c>
      <c r="G33" s="779" t="str">
        <f>IF(ISBLANK(Récap1!G33),"",Récap1!G33)</f>
        <v>mg/kg ms</v>
      </c>
      <c r="H33" s="780" t="str">
        <f>IF(ISBLANK(Récap1!H33),"",Récap1!H33)</f>
        <v>PVL</v>
      </c>
      <c r="I33" s="781" t="str">
        <f>IF(ISBLANK(Récap1!I33),"",Récap1!I33)</f>
        <v>PVL</v>
      </c>
      <c r="J33" s="1197" t="str">
        <f>IF(ISBLANK(Récap1!J33),"",Récap1!J33)</f>
        <v>PVL</v>
      </c>
      <c r="K33" s="1196">
        <f>IF(ISBLANK(Récap1!K33),"",Récap1!K33)</f>
        <v>63.158044444444464</v>
      </c>
      <c r="L33" s="1197" t="str">
        <f>IF(ISBLANK(Récap1!L33),"",Récap1!L33)</f>
        <v>PVL</v>
      </c>
      <c r="M33" s="1197" t="str">
        <f>IF(ISBLANK(Récap1!M33),"",Récap1!M33)</f>
        <v>PVL</v>
      </c>
      <c r="N33" s="1197" t="str">
        <f>IF(ISBLANK(Récap1!N33),"",Récap1!N33)</f>
        <v>PVL</v>
      </c>
      <c r="O33" s="1197" t="str">
        <f>IF(ISBLANK(Récap1!O33),"",Récap1!O33)</f>
        <v>PVL</v>
      </c>
      <c r="P33" s="1197" t="str">
        <f>IF(ISBLANK(Récap1!P33),"",Récap1!P33)</f>
        <v>PVL</v>
      </c>
      <c r="Q33" s="1197" t="str">
        <f>IF(ISBLANK(Récap1!Q33),"",Récap1!Q33)</f>
        <v>PVL</v>
      </c>
      <c r="R33" s="1197">
        <f>IF(ISBLANK(Récap1!R33),"",Récap1!R33)</f>
        <v>214.36066313258991</v>
      </c>
      <c r="S33" s="1197">
        <f>IF(ISBLANK(Récap1!S33),"",Récap1!S33)</f>
        <v>28.925893001504573</v>
      </c>
      <c r="T33" s="1197">
        <f>IF(ISBLANK(Récap1!T33),"",Récap1!T33)</f>
        <v>28.925893001504573</v>
      </c>
      <c r="U33" s="1197" t="str">
        <f>IF(ISBLANK(Récap1!U33),"",Récap1!U33)</f>
        <v>PVL</v>
      </c>
      <c r="V33" s="1435" t="str">
        <f>IF(ISBLANK(Récap1!V33),"",Récap1!V33)</f>
        <v>PVL</v>
      </c>
      <c r="W33" s="1197" t="str">
        <f>IF(ISBLANK(Récap1!W33),"",Récap1!W33)</f>
        <v>PVL</v>
      </c>
      <c r="X33" s="1197">
        <f>IF(ISBLANK(Récap1!X33),"",Récap1!X33)</f>
        <v>36.853981617765498</v>
      </c>
      <c r="Y33" s="1197">
        <f>IF(ISBLANK(Récap1!Y33),"",Récap1!Y33)</f>
        <v>22.715718452764737</v>
      </c>
      <c r="Z33" s="1197">
        <f>IF(ISBLANK(Récap1!Z33),"",Récap1!Z33)</f>
        <v>23.684922440082698</v>
      </c>
      <c r="AA33" s="646">
        <f>IF(ISBLANK(Récap1!AA33),"",Récap1!AA33)</f>
        <v>0.72084546556773421</v>
      </c>
      <c r="AB33" s="1197">
        <f>IF(ISBLANK(Récap1!AB33),"",Récap1!AB33)</f>
        <v>4.1319691362904791</v>
      </c>
      <c r="AC33" s="1198">
        <f>IF(ISBLANK(Récap1!AC33),"",Récap1!AC33)</f>
        <v>1.0871197674250337</v>
      </c>
      <c r="AD33" s="1197">
        <f>IF(ISBLANK(Récap1!AD33),"",Récap1!AD33)</f>
        <v>3.0209344818069739</v>
      </c>
      <c r="AE33" s="1197" t="str">
        <f>IF(ISBLANK(Récap1!AE33),"",Récap1!AE33)</f>
        <v>PVL</v>
      </c>
      <c r="AF33" s="1199" t="str">
        <f>IF(ISBLANK(Récap1!AF33),"",Récap1!AF33)</f>
        <v>PVL</v>
      </c>
      <c r="AG33" s="1197">
        <f>IF(ISBLANK(Récap1!AG33),"",Récap1!AG33)</f>
        <v>94.643591491791909</v>
      </c>
      <c r="AH33" s="1197" t="str">
        <f>IF(ISBLANK(Récap1!AH33),"",Récap1!AH33)</f>
        <v>PVL</v>
      </c>
      <c r="AI33" s="1197" t="str">
        <f>IF(ISBLANK(Récap1!AI33),"",Récap1!AI33)</f>
        <v>PVL</v>
      </c>
      <c r="AJ33" s="1198" t="str">
        <f>IF(ISBLANK(Récap1!AJ33),"",Récap1!AJ33)</f>
        <v>PVL</v>
      </c>
      <c r="AK33" s="1197" t="str">
        <f>IF(ISBLANK(Récap1!AK33),"",Récap1!AK33)</f>
        <v>PVL</v>
      </c>
      <c r="AL33" s="1197" t="str">
        <f>IF(ISBLANK(Récap1!AL33),"",Récap1!AL33)</f>
        <v>PVL</v>
      </c>
      <c r="AM33" s="1197" t="str">
        <f>IF(ISBLANK(Récap1!AM33),"",Récap1!AM33)</f>
        <v>PVL</v>
      </c>
      <c r="AN33" s="1196">
        <f>IF(ISBLANK(Récap1!AN33),"",Récap1!AN33)</f>
        <v>7.2699660810032141</v>
      </c>
      <c r="AO33" s="1197">
        <f>IF(ISBLANK(Récap1!AO33),"",Récap1!AO33)</f>
        <v>26.618475230717056</v>
      </c>
      <c r="AP33" s="1197" t="str">
        <f>IF(ISBLANK(Récap1!AP33),"",Récap1!AP33)</f>
        <v>PVL</v>
      </c>
      <c r="AQ33" s="1197" t="str">
        <f>IF(ISBLANK(Récap1!AQ33),"",Récap1!AQ33)</f>
        <v>PVL</v>
      </c>
      <c r="AR33" s="1197" t="str">
        <f>IF(ISBLANK(Récap1!AR33),"",Récap1!AR33)</f>
        <v>PVL</v>
      </c>
      <c r="AS33" s="1197" t="str">
        <f>IF(ISBLANK(Récap1!AS33),"",Récap1!AS33)</f>
        <v>PVL</v>
      </c>
      <c r="AT33" s="1197" t="str">
        <f>IF(ISBLANK(Récap1!AT33),"",Récap1!AT33)</f>
        <v>PVL</v>
      </c>
      <c r="AU33" s="1197" t="str">
        <f>IF(ISBLANK(Récap1!AU33),"",Récap1!AU33)</f>
        <v>PVL</v>
      </c>
      <c r="AV33" s="1197" t="str">
        <f>IF(ISBLANK(Récap1!AV33),"",Récap1!AV33)</f>
        <v>PVL</v>
      </c>
      <c r="AW33" s="1197" t="str">
        <f>IF(ISBLANK(Récap1!AW33),"",Récap1!AW33)</f>
        <v>PVL</v>
      </c>
      <c r="AX33" s="1197" t="str">
        <f>IF(ISBLANK(Récap1!AX33),"",Récap1!AX33)</f>
        <v>PVL</v>
      </c>
      <c r="AY33" s="1197" t="str">
        <f>IF(ISBLANK(Récap1!AY33),"",Récap1!AY33)</f>
        <v>PVL</v>
      </c>
      <c r="AZ33" s="1197" t="str">
        <f>IF(ISBLANK(Récap1!AZ33),"",Récap1!AZ33)</f>
        <v>PVL</v>
      </c>
      <c r="BA33" s="1197" t="str">
        <f>IF(ISBLANK(Récap1!BA33),"",Récap1!BA33)</f>
        <v>PVL</v>
      </c>
      <c r="BB33" s="1197" t="str">
        <f>IF(ISBLANK(Récap1!BB33),"",Récap1!BB33)</f>
        <v>PVL</v>
      </c>
      <c r="BC33" s="646" t="str">
        <f>IF(ISBLANK(Récap1!BC33),"",Récap1!BC33)</f>
        <v>PVL</v>
      </c>
      <c r="BD33" s="1464">
        <f>IF(ISBLANK(Récap1!BD33),"",Récap1!BD33)</f>
        <v>116.13152129480251</v>
      </c>
      <c r="BE33" s="1425" t="str">
        <f>IF(ISBLANK(Récap1!BE33),"",Récap1!BE33)</f>
        <v>PVL</v>
      </c>
      <c r="BF33" s="1197" t="str">
        <f>IF(ISBLANK(Récap1!BF33),"",Récap1!BF33)</f>
        <v>PVL</v>
      </c>
      <c r="BG33" s="1197" t="str">
        <f>IF(ISBLANK(Récap1!BG33),"",Récap1!BG33)</f>
        <v>nd</v>
      </c>
      <c r="BH33" s="646" t="str">
        <f>IF(ISBLANK(Récap1!BH33),"",Récap1!BH33)</f>
        <v>PVL</v>
      </c>
      <c r="BI33" s="1197" t="str">
        <f>IF(ISBLANK(Récap1!BI33),"",Récap1!BI33)</f>
        <v>PVL</v>
      </c>
      <c r="BJ33" s="1200" t="e">
        <f>IF(ISBLANK(Récap1!#REF!),"",Récap1!#REF!)</f>
        <v>#REF!</v>
      </c>
      <c r="BK33" s="1200" t="e">
        <f>IF(ISBLANK(Récap1!#REF!),"",Récap1!#REF!)</f>
        <v>#REF!</v>
      </c>
      <c r="BL33" s="1197">
        <f>IF(ISBLANK('HCT2'!H33),"",'HCT2'!H33)</f>
        <v>36.853981617765498</v>
      </c>
      <c r="BM33" s="1197">
        <f>IF(ISBLANK('HCT2'!I33),"",'HCT2'!I33)</f>
        <v>22.715718452764737</v>
      </c>
      <c r="BN33" s="1197">
        <f>IF(ISBLANK('HCT2'!J33),"",'HCT2'!J33)</f>
        <v>23.684922440082698</v>
      </c>
      <c r="BO33" s="646">
        <f>IF(ISBLANK('HCT2'!K33),"",'HCT2'!K33)</f>
        <v>0.72084546556773421</v>
      </c>
      <c r="BP33" s="1197">
        <f>IF(ISBLANK('HCT2'!L33),"",'HCT2'!L33)</f>
        <v>4.1319691362904791</v>
      </c>
      <c r="BQ33" s="1198">
        <f>IF(ISBLANK('HCT2'!M33),"",'HCT2'!M33)</f>
        <v>1.0871197674250337</v>
      </c>
      <c r="BR33" s="1197">
        <f>IF(ISBLANK('HCT2'!N33),"",'HCT2'!N33)</f>
        <v>3.0209344818069739</v>
      </c>
      <c r="BS33" s="1197">
        <f>IF(ISBLANK('HCT2'!O33),"",'HCT2'!O33)</f>
        <v>0.28684747615697154</v>
      </c>
      <c r="BT33" s="1199">
        <f>IF(ISBLANK('HCT2'!P33),"",'HCT2'!P33)</f>
        <v>1.9715558965927244E-3</v>
      </c>
      <c r="BU33" s="1197">
        <f>IF(ISBLANK('HCT2'!Q33),"",'HCT2'!Q33)</f>
        <v>94.643591491791909</v>
      </c>
      <c r="BV33" s="1197">
        <f>IF(ISBLANK('HCT2'!R33),"",'HCT2'!R33)</f>
        <v>73.167098084673896</v>
      </c>
      <c r="BW33" s="1197">
        <f>IF(ISBLANK('HCT2'!S33),"",'HCT2'!S33)</f>
        <v>19.744443240797487</v>
      </c>
      <c r="BX33" s="1198">
        <f>IF(ISBLANK('HCT2'!T33),"",'HCT2'!T33)</f>
        <v>4.5180840920950951</v>
      </c>
      <c r="BY33" s="1197">
        <f>IF(ISBLANK('HCT2'!U33),"",'HCT2'!U33)</f>
        <v>14.762468634958356</v>
      </c>
      <c r="BZ33" s="1197">
        <f>IF(ISBLANK('HCT2'!V33),"",'HCT2'!V33)</f>
        <v>9.4232783508968865</v>
      </c>
      <c r="CA33" s="1197">
        <f>IF(ISBLANK('HCT2'!W33),"",'HCT2'!W33)</f>
        <v>0.99140190785045523</v>
      </c>
      <c r="CB33" s="1200" t="str">
        <f>IF(ISBLANK('HCT2'!X33),"",'HCT2'!X33)</f>
        <v/>
      </c>
      <c r="CC33" s="1201">
        <f>IF(ISBLANK('HCT2'!Y33),"",'HCT2'!Y33)</f>
        <v>3217.3641337122717</v>
      </c>
      <c r="CD33" s="1202">
        <f>IF(ISBLANK('HCT2'!Z33),"",'HCT2'!Z33)</f>
        <v>166.59323181230479</v>
      </c>
      <c r="CE33" s="1200" t="str">
        <f>IF(ISBLANK('HCT2'!AA33),"",'HCT2'!AA33)</f>
        <v/>
      </c>
      <c r="CF33" s="1200" t="str">
        <f>IF(ISBLANK('HCT2'!AB33),"",'HCT2'!AB33)</f>
        <v/>
      </c>
      <c r="CG33" s="1203">
        <f>IF(ISBLANK('HCT2'!AC33),"",'HCT2'!AC33)</f>
        <v>23.126945990356425</v>
      </c>
      <c r="CH33" s="1200" t="str">
        <f>IF(ISBLANK('HCT2'!AD33),"",'HCT2'!AD33)</f>
        <v/>
      </c>
      <c r="CI33" s="1200" t="str">
        <f>IF(ISBLANK('HCT2'!AE33),"",'HCT2'!AE33)</f>
        <v/>
      </c>
      <c r="CJ33" s="1200" t="str">
        <f>IF(ISBLANK('HCT2'!AF33),"",'HCT2'!AF33)</f>
        <v/>
      </c>
      <c r="CK33" s="1204" t="str">
        <f>IF(ISBLANK('HCT2'!AG33),"",'HCT2'!AG33)</f>
        <v/>
      </c>
      <c r="CL33" s="1200">
        <f>IF(ISBLANK('HCT2'!AH33),"",'HCT2'!AH33)</f>
        <v>278.46746972878185</v>
      </c>
      <c r="CM33" s="1200" t="str">
        <f>IF(ISBLANK('HCT2'!AI33),"",'HCT2'!AI33)</f>
        <v>PVL</v>
      </c>
      <c r="CN33" s="1204" t="str">
        <f>IF(ISBLANK('HCT2'!AJ33),"",'HCT2'!AJ33)</f>
        <v>PVL</v>
      </c>
      <c r="CO33" s="1200" t="str">
        <f>IF(ISBLANK('HCT2'!AK33),"",'HCT2'!AK33)</f>
        <v/>
      </c>
      <c r="CP33" s="1200" t="str">
        <f>IF(ISBLANK('HCT2'!AL33),"",'HCT2'!AL33)</f>
        <v/>
      </c>
      <c r="CQ33" s="1200" t="str">
        <f>IF(ISBLANK('HCT2'!AM33),"",'HCT2'!AM33)</f>
        <v/>
      </c>
      <c r="CR33" s="1205" t="str">
        <f>IF(ISBLANK('HCT2'!AN33),"",'HCT2'!AN33)</f>
        <v/>
      </c>
      <c r="CS33" s="1206">
        <f>IF(ISBLANK('HCT2'!AO33),"",'HCT2'!AO33)</f>
        <v>23.126945990356425</v>
      </c>
      <c r="CT33" s="1207">
        <f>IF(ISBLANK('HCT2'!AP33),"",'HCT2'!AP33)</f>
        <v>0.66634687557593653</v>
      </c>
      <c r="CU33" s="1150">
        <f>IF(ISBLANK('HCT2'!AQ33),"",'HCT2'!AQ33)</f>
        <v>237.63187988500994</v>
      </c>
      <c r="CV33" s="673">
        <f>IF(ISBLANK('HCT2'!AR33),"",'HCT2'!AR33)</f>
        <v>251.25680202408401</v>
      </c>
      <c r="CW33" s="1484" t="e">
        <f>IF(ISBLANK(Récap1!#REF!),"",Récap1!#REF!)</f>
        <v>#REF!</v>
      </c>
      <c r="CX33" s="1484" t="e">
        <f>IF(ISBLANK(Récap1!#REF!),"",Récap1!#REF!)</f>
        <v>#REF!</v>
      </c>
      <c r="CY33" s="1485" t="e">
        <f>IF(ISBLANK(Récap1!#REF!),"",Récap1!#REF!)</f>
        <v>#REF!</v>
      </c>
      <c r="CZ33" s="1485" t="e">
        <f>IF(ISBLANK(Récap1!#REF!),"",Récap1!#REF!)</f>
        <v>#REF!</v>
      </c>
      <c r="DA33" s="1485" t="e">
        <f>IF(ISBLANK(Récap1!#REF!),"",Récap1!#REF!)</f>
        <v>#REF!</v>
      </c>
      <c r="DB33" s="1485" t="e">
        <f>IF(ISBLANK(Récap1!#REF!),"",Récap1!#REF!)</f>
        <v>#REF!</v>
      </c>
      <c r="DC33" s="1484">
        <f>IF(ISBLANK('HCT2'!AS33),"",'HCT2'!AS33)</f>
        <v>29.06263835141246</v>
      </c>
      <c r="DD33" s="1485">
        <f>IF(ISBLANK('HCT2'!AT33),"",'HCT2'!AT33)</f>
        <v>45.407890534025618</v>
      </c>
      <c r="DE33" s="1485" t="str">
        <f>IF(ISBLANK('HCT2'!AU33),"",'HCT2'!AU33)</f>
        <v>PVL</v>
      </c>
      <c r="DF33" s="1485" t="str">
        <f>IF(ISBLANK('HCT2'!AV33),"",'HCT2'!AV33)</f>
        <v>PVL</v>
      </c>
      <c r="DG33" s="1485" t="str">
        <f>IF(ISBLANK('HCT2'!AW33),"",'HCT2'!AW33)</f>
        <v/>
      </c>
      <c r="DH33" s="1485" t="str">
        <f>IF(ISBLANK('HCT2'!AX33),"",'HCT2'!AX33)</f>
        <v/>
      </c>
      <c r="DI33" s="1485" t="str">
        <f>IF(ISBLANK('HCT2'!AY33),"",'HCT2'!AY33)</f>
        <v/>
      </c>
      <c r="DJ33" s="1486" t="str">
        <f>IF(ISBLANK('HCT2'!AZ33),"",'HCT2'!AZ33)</f>
        <v>PVL</v>
      </c>
      <c r="DK33" s="1485" t="str">
        <f>IF(ISBLANK('HCT2'!BA33),"",'HCT2'!BA33)</f>
        <v>PVL</v>
      </c>
      <c r="DL33" s="1485" t="str">
        <f>IF(ISBLANK('HCT2'!BB33),"",'HCT2'!BB33)</f>
        <v>PVL</v>
      </c>
      <c r="DM33" s="1487" t="str">
        <f>IF(ISBLANK('HCT2'!BC33),"",'HCT2'!BC33)</f>
        <v>PVL</v>
      </c>
      <c r="DN33" s="1488">
        <f>IF(ISBLANK('HCT2'!BD33),"",'HCT2'!BD33)</f>
        <v>29.06263835141246</v>
      </c>
      <c r="DO33" s="1489">
        <f>IF(ISBLANK('HCT2'!BE33),"",'HCT2'!BE33)</f>
        <v>0.10393493785095881</v>
      </c>
      <c r="DP33" s="1490">
        <f>IF(ISBLANK('HCT2'!BF33),"",'HCT2'!BF33)</f>
        <v>39.525248527332529</v>
      </c>
      <c r="DQ33" s="979">
        <f t="shared" si="0"/>
        <v>34.092106267086358</v>
      </c>
      <c r="DS33" s="781">
        <f t="shared" si="1"/>
        <v>131.49757310955741</v>
      </c>
      <c r="DT33" s="781">
        <f t="shared" si="1"/>
        <v>95.882816537438629</v>
      </c>
      <c r="DU33" s="781">
        <f t="shared" si="2"/>
        <v>23.876412377087966</v>
      </c>
      <c r="DV33" s="880">
        <f t="shared" si="2"/>
        <v>5.6052038595201292</v>
      </c>
      <c r="DW33" s="781">
        <f t="shared" si="2"/>
        <v>17.783403116765331</v>
      </c>
      <c r="DX33" s="781">
        <f t="shared" si="2"/>
        <v>9.710125827053858</v>
      </c>
      <c r="DY33" s="781">
        <f t="shared" si="2"/>
        <v>0.99337346374704794</v>
      </c>
    </row>
    <row r="34" spans="1:131" s="998" customFormat="1" hidden="1">
      <c r="A34" s="988"/>
      <c r="B34" s="988"/>
      <c r="C34" s="989"/>
      <c r="D34" s="1011"/>
      <c r="E34" s="991" t="str">
        <f>IF(ISBLANK(Récap1!E34),"",Récap1!E34)</f>
        <v>Seuil dont détection olfactive air ambiant immédiat</v>
      </c>
      <c r="F34" s="992" t="str">
        <f>IF(ISBLANK(Récap1!F34),"",Récap1!F34)</f>
        <v>Cs</v>
      </c>
      <c r="G34" s="992" t="str">
        <f>IF(ISBLANK(Récap1!G34),"",Récap1!G34)</f>
        <v>mg/kg ms</v>
      </c>
      <c r="H34" s="993">
        <f>IF(ISBLANK(Récap1!H34),"",Récap1!H34)</f>
        <v>60.834453173711402</v>
      </c>
      <c r="I34" s="994">
        <f>IF(ISBLANK(Récap1!I34),"",Récap1!I34)</f>
        <v>60.834453173711402</v>
      </c>
      <c r="J34" s="1214">
        <f>IF(ISBLANK(Récap1!J34),"",Récap1!J34)</f>
        <v>536.48109565489358</v>
      </c>
      <c r="K34" s="1213">
        <f>IF(ISBLANK(Récap1!K34),"",Récap1!K34)</f>
        <v>0.46852770500182689</v>
      </c>
      <c r="L34" s="1214">
        <f>IF(ISBLANK(Récap1!L34),"",Récap1!L34)</f>
        <v>0.86814254545454572</v>
      </c>
      <c r="M34" s="1214">
        <f>IF(ISBLANK(Récap1!M34),"",Récap1!M34)</f>
        <v>0.86814254545454572</v>
      </c>
      <c r="N34" s="1214">
        <f>IF(ISBLANK(Récap1!N34),"",Récap1!N34)</f>
        <v>2.5320824242424247</v>
      </c>
      <c r="O34" s="1214">
        <f>IF(ISBLANK(Récap1!O34),"",Récap1!O34)</f>
        <v>2.5320824242424247</v>
      </c>
      <c r="P34" s="1214">
        <f>IF(ISBLANK(Récap1!P34),"",Récap1!P34)</f>
        <v>0.50641648484848489</v>
      </c>
      <c r="Q34" s="1214">
        <f>IF(ISBLANK(Récap1!Q34),"",Récap1!Q34)</f>
        <v>0.50641648484848489</v>
      </c>
      <c r="R34" s="1214">
        <f>IF(ISBLANK(Récap1!R34),"",Récap1!R34)</f>
        <v>5.0641648484848494</v>
      </c>
      <c r="S34" s="1214">
        <f>IF(ISBLANK(Récap1!S34),"",Récap1!S34)</f>
        <v>0.22018108036890641</v>
      </c>
      <c r="T34" s="1214">
        <f>IF(ISBLANK(Récap1!T34),"",Récap1!T34)</f>
        <v>0.22018108036890641</v>
      </c>
      <c r="U34" s="1214">
        <f>IF(ISBLANK(Récap1!U34),"",Récap1!U34)</f>
        <v>0.12057535353535354</v>
      </c>
      <c r="V34" s="1436">
        <f>IF(ISBLANK(Récap1!V34),"",Récap1!V34)</f>
        <v>8.5409130800569031</v>
      </c>
      <c r="W34" s="1214">
        <f>IF(ISBLANK(Récap1!W34),"",Récap1!W34)</f>
        <v>8.5409130800569031</v>
      </c>
      <c r="X34" s="1214">
        <f>IF(ISBLANK(Récap1!X34),"",Récap1!X34)</f>
        <v>0.1389028072727273</v>
      </c>
      <c r="Y34" s="1214">
        <f>IF(ISBLANK(Récap1!Y34),"",Récap1!Y34)</f>
        <v>1.0833110580856959</v>
      </c>
      <c r="Z34" s="1214">
        <f>IF(ISBLANK(Récap1!Z34),"",Récap1!Z34)</f>
        <v>1.9072943096938233</v>
      </c>
      <c r="AA34" s="1215">
        <f>IF(ISBLANK(Récap1!AA34),"",Récap1!AA34)</f>
        <v>8.6527912033094276E-2</v>
      </c>
      <c r="AB34" s="1214">
        <f>IF(ISBLANK(Récap1!AB34),"",Récap1!AB34)</f>
        <v>0.43855059775955696</v>
      </c>
      <c r="AC34" s="1216">
        <f>IF(ISBLANK(Récap1!AC34),"",Récap1!AC34)</f>
        <v>0.59129748989618436</v>
      </c>
      <c r="AD34" s="1214">
        <f>IF(ISBLANK(Récap1!AD34),"",Récap1!AD34)</f>
        <v>3.0209344818069739</v>
      </c>
      <c r="AE34" s="1214" t="str">
        <f>IF(ISBLANK(Récap1!AE34),"",Récap1!AE34)</f>
        <v>PVL</v>
      </c>
      <c r="AF34" s="1143" t="str">
        <f>IF(ISBLANK(Récap1!AF34),"",Récap1!AF34)</f>
        <v>PVL</v>
      </c>
      <c r="AG34" s="1214">
        <f>IF(ISBLANK(Récap1!AG34),"",Récap1!AG34)</f>
        <v>0.43677208521608607</v>
      </c>
      <c r="AH34" s="1214">
        <f>IF(ISBLANK(Récap1!AH34),"",Récap1!AH34)</f>
        <v>3.3204496719424021</v>
      </c>
      <c r="AI34" s="1214">
        <f>IF(ISBLANK(Récap1!AI34),"",Récap1!AI34)</f>
        <v>0.66037484972427585</v>
      </c>
      <c r="AJ34" s="1216">
        <f>IF(ISBLANK(Récap1!AJ34),"",Récap1!AJ34)</f>
        <v>1.0646495578200528</v>
      </c>
      <c r="AK34" s="1214" t="str">
        <f>IF(ISBLANK(Récap1!AK34),"",Récap1!AK34)</f>
        <v>PVL</v>
      </c>
      <c r="AL34" s="1214" t="str">
        <f>IF(ISBLANK(Récap1!AL34),"",Récap1!AL34)</f>
        <v>PVL</v>
      </c>
      <c r="AM34" s="1214" t="str">
        <f>IF(ISBLANK(Récap1!AM34),"",Récap1!AM34)</f>
        <v>PVL</v>
      </c>
      <c r="AN34" s="1213">
        <f>IF(ISBLANK(Récap1!AN34),"",Récap1!AN34)</f>
        <v>0.15304014105752708</v>
      </c>
      <c r="AO34" s="1214">
        <f>IF(ISBLANK(Récap1!AO34),"",Récap1!AO34)</f>
        <v>9.1661028969775558</v>
      </c>
      <c r="AP34" s="1214">
        <f>IF(ISBLANK(Récap1!AP34),"",Récap1!AP34)</f>
        <v>7.0444170035345826</v>
      </c>
      <c r="AQ34" s="1214" t="str">
        <f>IF(ISBLANK(Récap1!AQ34),"",Récap1!AQ34)</f>
        <v>PVL</v>
      </c>
      <c r="AR34" s="1214" t="str">
        <f>IF(ISBLANK(Récap1!AR34),"",Récap1!AR34)</f>
        <v>PVL</v>
      </c>
      <c r="AS34" s="1214" t="str">
        <f>IF(ISBLANK(Récap1!AS34),"",Récap1!AS34)</f>
        <v>PVL</v>
      </c>
      <c r="AT34" s="1214" t="str">
        <f>IF(ISBLANK(Récap1!AT34),"",Récap1!AT34)</f>
        <v>PVL</v>
      </c>
      <c r="AU34" s="1214" t="str">
        <f>IF(ISBLANK(Récap1!AU34),"",Récap1!AU34)</f>
        <v>PVL</v>
      </c>
      <c r="AV34" s="1214" t="str">
        <f>IF(ISBLANK(Récap1!AV34),"",Récap1!AV34)</f>
        <v>PVL</v>
      </c>
      <c r="AW34" s="1214" t="str">
        <f>IF(ISBLANK(Récap1!AW34),"",Récap1!AW34)</f>
        <v>PVL</v>
      </c>
      <c r="AX34" s="1214" t="str">
        <f>IF(ISBLANK(Récap1!AX34),"",Récap1!AX34)</f>
        <v>PVL</v>
      </c>
      <c r="AY34" s="1214" t="str">
        <f>IF(ISBLANK(Récap1!AY34),"",Récap1!AY34)</f>
        <v>PVL</v>
      </c>
      <c r="AZ34" s="1214" t="str">
        <f>IF(ISBLANK(Récap1!AZ34),"",Récap1!AZ34)</f>
        <v>PVL</v>
      </c>
      <c r="BA34" s="1214" t="str">
        <f>IF(ISBLANK(Récap1!BA34),"",Récap1!BA34)</f>
        <v>PVL</v>
      </c>
      <c r="BB34" s="1214" t="str">
        <f>IF(ISBLANK(Récap1!BB34),"",Récap1!BB34)</f>
        <v>PVL</v>
      </c>
      <c r="BC34" s="1215" t="str">
        <f>IF(ISBLANK(Récap1!BC34),"",Récap1!BC34)</f>
        <v>PVL</v>
      </c>
      <c r="BD34" s="1465">
        <f>IF(ISBLANK(Récap1!BD34),"",Récap1!BD34)</f>
        <v>21.637045034166349</v>
      </c>
      <c r="BE34" s="1426">
        <f>IF(ISBLANK(Récap1!BE34),"",Récap1!BE34)</f>
        <v>1.9105099674607666</v>
      </c>
      <c r="BF34" s="1214">
        <f>IF(ISBLANK(Récap1!BF34),"",Récap1!BF34)</f>
        <v>3.8210199349215332</v>
      </c>
      <c r="BG34" s="1214">
        <f>IF(ISBLANK(Récap1!BG34),"",Récap1!BG34)</f>
        <v>4.3407127272727285E-4</v>
      </c>
      <c r="BH34" s="1217">
        <f>IF(ISBLANK(Récap1!BH34),"",Récap1!BH34)</f>
        <v>0.27774825694233579</v>
      </c>
      <c r="BI34" s="1214">
        <f>IF(ISBLANK(Récap1!BI34),"",Récap1!BI34)</f>
        <v>0.38683198109989436</v>
      </c>
      <c r="BJ34" s="1218" t="e">
        <f>IF(ISBLANK(Récap1!#REF!),"",Récap1!#REF!)</f>
        <v>#REF!</v>
      </c>
      <c r="BK34" s="1218" t="e">
        <f>IF(ISBLANK(Récap1!#REF!),"",Récap1!#REF!)</f>
        <v>#REF!</v>
      </c>
      <c r="BL34" s="1214">
        <f>IF(ISBLANK('HCT2'!H34),"",'HCT2'!H34)</f>
        <v>0.1389028072727273</v>
      </c>
      <c r="BM34" s="1214">
        <f>IF(ISBLANK('HCT2'!I34),"",'HCT2'!I34)</f>
        <v>1.0833110580856959</v>
      </c>
      <c r="BN34" s="1214">
        <f>IF(ISBLANK('HCT2'!J34),"",'HCT2'!J34)</f>
        <v>1.9072943096938233</v>
      </c>
      <c r="BO34" s="1215">
        <f>IF(ISBLANK('HCT2'!K34),"",'HCT2'!K34)</f>
        <v>8.6527912033094276E-2</v>
      </c>
      <c r="BP34" s="1214">
        <f>IF(ISBLANK('HCT2'!L34),"",'HCT2'!L34)</f>
        <v>0.43855059775955696</v>
      </c>
      <c r="BQ34" s="1216">
        <f>IF(ISBLANK('HCT2'!M34),"",'HCT2'!M34)</f>
        <v>0.59129748989618436</v>
      </c>
      <c r="BR34" s="1214">
        <f>IF(ISBLANK('HCT2'!N34),"",'HCT2'!N34)</f>
        <v>3.0209344818069739</v>
      </c>
      <c r="BS34" s="1214">
        <f>IF(ISBLANK('HCT2'!O34),"",'HCT2'!O34)</f>
        <v>0.28684747615697154</v>
      </c>
      <c r="BT34" s="1143">
        <f>IF(ISBLANK('HCT2'!P34),"",'HCT2'!P34)</f>
        <v>1.9715558965927244E-3</v>
      </c>
      <c r="BU34" s="1214">
        <f>IF(ISBLANK('HCT2'!Q34),"",'HCT2'!Q34)</f>
        <v>0.43677208521608607</v>
      </c>
      <c r="BV34" s="1214">
        <f>IF(ISBLANK('HCT2'!R34),"",'HCT2'!R34)</f>
        <v>3.3204496719424021</v>
      </c>
      <c r="BW34" s="1214">
        <f>IF(ISBLANK('HCT2'!S34),"",'HCT2'!S34)</f>
        <v>0.66037484972427585</v>
      </c>
      <c r="BX34" s="1216">
        <f>IF(ISBLANK('HCT2'!T34),"",'HCT2'!T34)</f>
        <v>1.0646495578200528</v>
      </c>
      <c r="BY34" s="1214">
        <f>IF(ISBLANK('HCT2'!U34),"",'HCT2'!U34)</f>
        <v>3.4786549750234284</v>
      </c>
      <c r="BZ34" s="1214">
        <f>IF(ISBLANK('HCT2'!V34),"",'HCT2'!V34)</f>
        <v>2.2205184598158842</v>
      </c>
      <c r="CA34" s="1214">
        <f>IF(ISBLANK('HCT2'!W34),"",'HCT2'!W34)</f>
        <v>0.23361574979572741</v>
      </c>
      <c r="CB34" s="1218" t="str">
        <f>IF(ISBLANK('HCT2'!X34),"",'HCT2'!X34)</f>
        <v/>
      </c>
      <c r="CC34" s="1219">
        <f>IF(ISBLANK('HCT2'!Y34),"",'HCT2'!Y34)</f>
        <v>12.126258563492415</v>
      </c>
      <c r="CD34" s="1220">
        <f>IF(ISBLANK('HCT2'!Z34),"",'HCT2'!Z34)</f>
        <v>7.9448198215600883</v>
      </c>
      <c r="CE34" s="1218" t="str">
        <f>IF(ISBLANK('HCT2'!AA34),"",'HCT2'!AA34)</f>
        <v/>
      </c>
      <c r="CF34" s="1218" t="str">
        <f>IF(ISBLANK('HCT2'!AB34),"",'HCT2'!AB34)</f>
        <v/>
      </c>
      <c r="CG34" s="1221">
        <f>IF(ISBLANK('HCT2'!AC34),"",'HCT2'!AC34)</f>
        <v>2.4546011003192523</v>
      </c>
      <c r="CH34" s="1218" t="str">
        <f>IF(ISBLANK('HCT2'!AD34),"",'HCT2'!AD34)</f>
        <v/>
      </c>
      <c r="CI34" s="1218" t="str">
        <f>IF(ISBLANK('HCT2'!AE34),"",'HCT2'!AE34)</f>
        <v/>
      </c>
      <c r="CJ34" s="1218" t="str">
        <f>IF(ISBLANK('HCT2'!AF34),"",'HCT2'!AF34)</f>
        <v/>
      </c>
      <c r="CK34" s="1222" t="str">
        <f>IF(ISBLANK('HCT2'!AG34),"",'HCT2'!AG34)</f>
        <v/>
      </c>
      <c r="CL34" s="1218">
        <f>IF(ISBLANK('HCT2'!AH34),"",'HCT2'!AH34)</f>
        <v>1.2851035712104777</v>
      </c>
      <c r="CM34" s="1218">
        <f>IF(ISBLANK('HCT2'!AI34),"",'HCT2'!AI34)</f>
        <v>12.637336216854083</v>
      </c>
      <c r="CN34" s="1222">
        <f>IF(ISBLANK('HCT2'!AJ34),"",'HCT2'!AJ34)</f>
        <v>9.3136540358489306</v>
      </c>
      <c r="CO34" s="1218" t="str">
        <f>IF(ISBLANK('HCT2'!AK34),"",'HCT2'!AK34)</f>
        <v/>
      </c>
      <c r="CP34" s="1218" t="str">
        <f>IF(ISBLANK('HCT2'!AL34),"",'HCT2'!AL34)</f>
        <v/>
      </c>
      <c r="CQ34" s="1218" t="str">
        <f>IF(ISBLANK('HCT2'!AM34),"",'HCT2'!AM34)</f>
        <v/>
      </c>
      <c r="CR34" s="1223" t="str">
        <f>IF(ISBLANK('HCT2'!AN34),"",'HCT2'!AN34)</f>
        <v/>
      </c>
      <c r="CS34" s="1214">
        <f>IF(ISBLANK('HCT2'!AO34),"",'HCT2'!AO34)</f>
        <v>1.2851035712104777</v>
      </c>
      <c r="CT34" s="1174">
        <f>IF(ISBLANK('HCT2'!AP34),"",'HCT2'!AP34)</f>
        <v>1</v>
      </c>
      <c r="CU34" s="1151">
        <f>IF(ISBLANK('HCT2'!AQ34),"",'HCT2'!AQ34)</f>
        <v>6.078361070000744</v>
      </c>
      <c r="CV34" s="1491">
        <f>IF(ISBLANK('HCT2'!AR34),"",'HCT2'!AR34)</f>
        <v>6.078361070000744</v>
      </c>
      <c r="CW34" s="1492" t="e">
        <f>IF(ISBLANK(Récap1!#REF!),"",Récap1!#REF!)</f>
        <v>#REF!</v>
      </c>
      <c r="CX34" s="1492" t="e">
        <f>IF(ISBLANK(Récap1!#REF!),"",Récap1!#REF!)</f>
        <v>#REF!</v>
      </c>
      <c r="CY34" s="1493" t="e">
        <f>IF(ISBLANK(Récap1!#REF!),"",Récap1!#REF!)</f>
        <v>#REF!</v>
      </c>
      <c r="CZ34" s="1493" t="e">
        <f>IF(ISBLANK(Récap1!#REF!),"",Récap1!#REF!)</f>
        <v>#REF!</v>
      </c>
      <c r="DA34" s="1493" t="e">
        <f>IF(ISBLANK(Récap1!#REF!),"",Récap1!#REF!)</f>
        <v>#REF!</v>
      </c>
      <c r="DB34" s="1493" t="e">
        <f>IF(ISBLANK(Récap1!#REF!),"",Récap1!#REF!)</f>
        <v>#REF!</v>
      </c>
      <c r="DC34" s="1492">
        <f>IF(ISBLANK('HCT2'!AS34),"",'HCT2'!AS34)</f>
        <v>15.807517830031363</v>
      </c>
      <c r="DD34" s="1493">
        <f>IF(ISBLANK('HCT2'!AT34),"",'HCT2'!AT34)</f>
        <v>45.407890534025618</v>
      </c>
      <c r="DE34" s="1493" t="str">
        <f>IF(ISBLANK('HCT2'!AU34),"",'HCT2'!AU34)</f>
        <v>PVL</v>
      </c>
      <c r="DF34" s="1493" t="str">
        <f>IF(ISBLANK('HCT2'!AV34),"",'HCT2'!AV34)</f>
        <v>PVL</v>
      </c>
      <c r="DG34" s="1493" t="str">
        <f>IF(ISBLANK('HCT2'!AW34),"",'HCT2'!AW34)</f>
        <v/>
      </c>
      <c r="DH34" s="1493" t="str">
        <f>IF(ISBLANK('HCT2'!AX34),"",'HCT2'!AX34)</f>
        <v/>
      </c>
      <c r="DI34" s="1493" t="str">
        <f>IF(ISBLANK('HCT2'!AY34),"",'HCT2'!AY34)</f>
        <v/>
      </c>
      <c r="DJ34" s="1494">
        <f>IF(ISBLANK('HCT2'!AZ34),"",'HCT2'!AZ34)</f>
        <v>7.8649019141364969</v>
      </c>
      <c r="DK34" s="1493" t="str">
        <f>IF(ISBLANK('HCT2'!BA34),"",'HCT2'!BA34)</f>
        <v>PVL</v>
      </c>
      <c r="DL34" s="1493" t="str">
        <f>IF(ISBLANK('HCT2'!BB34),"",'HCT2'!BB34)</f>
        <v>PVL</v>
      </c>
      <c r="DM34" s="1495" t="str">
        <f>IF(ISBLANK('HCT2'!BC34),"",'HCT2'!BC34)</f>
        <v>PVL</v>
      </c>
      <c r="DN34" s="1493">
        <f>IF(ISBLANK('HCT2'!BD34),"",'HCT2'!BD34)</f>
        <v>7.8649019141364969</v>
      </c>
      <c r="DO34" s="1475">
        <f>IF(ISBLANK('HCT2'!BE34),"",'HCT2'!BE34)</f>
        <v>0.23930211336607046</v>
      </c>
      <c r="DP34" s="1495">
        <f>IF(ISBLANK('HCT2'!BF34),"",'HCT2'!BF34)</f>
        <v>19.543837134312263</v>
      </c>
      <c r="DQ34" s="990">
        <f t="shared" si="0"/>
        <v>10.898489746211816</v>
      </c>
      <c r="DS34" s="994">
        <f t="shared" si="1"/>
        <v>0.57567489248881332</v>
      </c>
      <c r="DT34" s="994">
        <f t="shared" si="1"/>
        <v>4.4037607300280985</v>
      </c>
      <c r="DU34" s="994">
        <f t="shared" si="2"/>
        <v>1.0989254474838328</v>
      </c>
      <c r="DV34" s="996">
        <f t="shared" si="2"/>
        <v>1.655947047716237</v>
      </c>
      <c r="DW34" s="994">
        <f t="shared" si="2"/>
        <v>6.4995894568304022</v>
      </c>
      <c r="DX34" s="994">
        <f t="shared" si="2"/>
        <v>2.5073659359728557</v>
      </c>
      <c r="DY34" s="994">
        <f t="shared" si="2"/>
        <v>0.23558730569232014</v>
      </c>
    </row>
    <row r="35" spans="1:131" s="998" customFormat="1" hidden="1">
      <c r="A35" s="988"/>
      <c r="B35" s="988"/>
      <c r="C35" s="989"/>
      <c r="D35" s="1011"/>
      <c r="E35" s="991" t="str">
        <f>IF(ISBLANK(Récap1!E35),"",Récap1!E35)</f>
        <v>Seuil dont détection olfactive air ambiant 2 mois</v>
      </c>
      <c r="F35" s="992" t="str">
        <f>IF(ISBLANK(Récap1!F35),"",Récap1!F35)</f>
        <v>Cs</v>
      </c>
      <c r="G35" s="992" t="str">
        <f>IF(ISBLANK(Récap1!G35),"",Récap1!G35)</f>
        <v>mg/kg ms</v>
      </c>
      <c r="H35" s="993">
        <f>IF(ISBLANK(Récap1!H35),"",Récap1!H35)</f>
        <v>60.834453173711402</v>
      </c>
      <c r="I35" s="994">
        <f>IF(ISBLANK(Récap1!I35),"",Récap1!I35)</f>
        <v>60.834453173711402</v>
      </c>
      <c r="J35" s="1214">
        <f>IF(ISBLANK(Récap1!J35),"",Récap1!J35)</f>
        <v>536.48109565489358</v>
      </c>
      <c r="K35" s="1213">
        <f>IF(ISBLANK(Récap1!K35),"",Récap1!K35)</f>
        <v>0.81026637575757599</v>
      </c>
      <c r="L35" s="1214">
        <f>IF(ISBLANK(Récap1!L35),"",Récap1!L35)</f>
        <v>0.86814254545454572</v>
      </c>
      <c r="M35" s="1214">
        <f>IF(ISBLANK(Récap1!M35),"",Récap1!M35)</f>
        <v>0.86814254545454572</v>
      </c>
      <c r="N35" s="1214">
        <f>IF(ISBLANK(Récap1!N35),"",Récap1!N35)</f>
        <v>2.5320824242424247</v>
      </c>
      <c r="O35" s="1214">
        <f>IF(ISBLANK(Récap1!O35),"",Récap1!O35)</f>
        <v>2.5320824242424247</v>
      </c>
      <c r="P35" s="1214">
        <f>IF(ISBLANK(Récap1!P35),"",Récap1!P35)</f>
        <v>0.50641648484848489</v>
      </c>
      <c r="Q35" s="1214">
        <f>IF(ISBLANK(Récap1!Q35),"",Récap1!Q35)</f>
        <v>0.50641648484848489</v>
      </c>
      <c r="R35" s="1214">
        <f>IF(ISBLANK(Récap1!R35),"",Récap1!R35)</f>
        <v>5.0641648484848494</v>
      </c>
      <c r="S35" s="1214">
        <f>IF(ISBLANK(Récap1!S35),"",Récap1!S35)</f>
        <v>0.22018108036890641</v>
      </c>
      <c r="T35" s="1214">
        <f>IF(ISBLANK(Récap1!T35),"",Récap1!T35)</f>
        <v>0.22018108036890641</v>
      </c>
      <c r="U35" s="1214">
        <f>IF(ISBLANK(Récap1!U35),"",Récap1!U35)</f>
        <v>0.12057535353535354</v>
      </c>
      <c r="V35" s="1436">
        <f>IF(ISBLANK(Récap1!V35),"",Récap1!V35)</f>
        <v>14.469042424242426</v>
      </c>
      <c r="W35" s="1214">
        <f>IF(ISBLANK(Récap1!W35),"",Récap1!W35)</f>
        <v>14.469042424242426</v>
      </c>
      <c r="X35" s="1214">
        <f>IF(ISBLANK(Récap1!X35),"",Récap1!X35)</f>
        <v>0.1389028072727273</v>
      </c>
      <c r="Y35" s="1214">
        <f>IF(ISBLANK(Récap1!Y35),"",Récap1!Y35)</f>
        <v>3.7619510303030315</v>
      </c>
      <c r="Z35" s="1214">
        <f>IF(ISBLANK(Récap1!Z35),"",Récap1!Z35)</f>
        <v>2.0256659393939396</v>
      </c>
      <c r="AA35" s="1226">
        <f>IF(ISBLANK(Récap1!AA35),"",Récap1!AA35)</f>
        <v>0.72084546556773421</v>
      </c>
      <c r="AB35" s="1214">
        <f>IF(ISBLANK(Récap1!AB35),"",Récap1!AB35)</f>
        <v>2.8938084848484857</v>
      </c>
      <c r="AC35" s="1216">
        <f>IF(ISBLANK(Récap1!AC35),"",Récap1!AC35)</f>
        <v>1.0871197674250337</v>
      </c>
      <c r="AD35" s="1214">
        <f>IF(ISBLANK(Récap1!AD35),"",Récap1!AD35)</f>
        <v>3.0209344818069739</v>
      </c>
      <c r="AE35" s="1214" t="str">
        <f>IF(ISBLANK(Récap1!AE35),"",Récap1!AE35)</f>
        <v>PVL</v>
      </c>
      <c r="AF35" s="1143" t="str">
        <f>IF(ISBLANK(Récap1!AF35),"",Récap1!AF35)</f>
        <v>PVL</v>
      </c>
      <c r="AG35" s="1214">
        <f>IF(ISBLANK(Récap1!AG35),"",Récap1!AG35)</f>
        <v>94.643591491791909</v>
      </c>
      <c r="AH35" s="1214" t="str">
        <f>IF(ISBLANK(Récap1!AH35),"",Récap1!AH35)</f>
        <v>PVL</v>
      </c>
      <c r="AI35" s="1214">
        <f>IF(ISBLANK(Récap1!AI35),"",Récap1!AI35)</f>
        <v>14.469042424242426</v>
      </c>
      <c r="AJ35" s="1216" t="str">
        <f>IF(ISBLANK(Récap1!AJ35),"",Récap1!AJ35)</f>
        <v>PVL</v>
      </c>
      <c r="AK35" s="1214" t="str">
        <f>IF(ISBLANK(Récap1!AK35),"",Récap1!AK35)</f>
        <v>PVL</v>
      </c>
      <c r="AL35" s="1214" t="str">
        <f>IF(ISBLANK(Récap1!AL35),"",Récap1!AL35)</f>
        <v>PVL</v>
      </c>
      <c r="AM35" s="1214" t="str">
        <f>IF(ISBLANK(Récap1!AM35),"",Récap1!AM35)</f>
        <v>PVL</v>
      </c>
      <c r="AN35" s="1213">
        <f>IF(ISBLANK(Récap1!AN35),"",Récap1!AN35)</f>
        <v>0.15304014105752708</v>
      </c>
      <c r="AO35" s="1214">
        <f>IF(ISBLANK(Récap1!AO35),"",Récap1!AO35)</f>
        <v>9.1661028969775558</v>
      </c>
      <c r="AP35" s="1214">
        <f>IF(ISBLANK(Récap1!AP35),"",Récap1!AP35)</f>
        <v>7.0444170035345826</v>
      </c>
      <c r="AQ35" s="1214" t="str">
        <f>IF(ISBLANK(Récap1!AQ35),"",Récap1!AQ35)</f>
        <v>PVL</v>
      </c>
      <c r="AR35" s="1214" t="str">
        <f>IF(ISBLANK(Récap1!AR35),"",Récap1!AR35)</f>
        <v>PVL</v>
      </c>
      <c r="AS35" s="1214" t="str">
        <f>IF(ISBLANK(Récap1!AS35),"",Récap1!AS35)</f>
        <v>PVL</v>
      </c>
      <c r="AT35" s="1214" t="str">
        <f>IF(ISBLANK(Récap1!AT35),"",Récap1!AT35)</f>
        <v>PVL</v>
      </c>
      <c r="AU35" s="1214" t="str">
        <f>IF(ISBLANK(Récap1!AU35),"",Récap1!AU35)</f>
        <v>PVL</v>
      </c>
      <c r="AV35" s="1214" t="str">
        <f>IF(ISBLANK(Récap1!AV35),"",Récap1!AV35)</f>
        <v>PVL</v>
      </c>
      <c r="AW35" s="1214" t="str">
        <f>IF(ISBLANK(Récap1!AW35),"",Récap1!AW35)</f>
        <v>PVL</v>
      </c>
      <c r="AX35" s="1214" t="str">
        <f>IF(ISBLANK(Récap1!AX35),"",Récap1!AX35)</f>
        <v>PVL</v>
      </c>
      <c r="AY35" s="1214" t="str">
        <f>IF(ISBLANK(Récap1!AY35),"",Récap1!AY35)</f>
        <v>PVL</v>
      </c>
      <c r="AZ35" s="1214" t="str">
        <f>IF(ISBLANK(Récap1!AZ35),"",Récap1!AZ35)</f>
        <v>PVL</v>
      </c>
      <c r="BA35" s="1214" t="str">
        <f>IF(ISBLANK(Récap1!BA35),"",Récap1!BA35)</f>
        <v>PVL</v>
      </c>
      <c r="BB35" s="1214" t="str">
        <f>IF(ISBLANK(Récap1!BB35),"",Récap1!BB35)</f>
        <v>PVL</v>
      </c>
      <c r="BC35" s="1215" t="str">
        <f>IF(ISBLANK(Récap1!BC35),"",Récap1!BC35)</f>
        <v>PVL</v>
      </c>
      <c r="BD35" s="1465">
        <f>IF(ISBLANK(Récap1!BD35),"",Récap1!BD35)</f>
        <v>21.637045034166349</v>
      </c>
      <c r="BE35" s="1426">
        <f>IF(ISBLANK(Récap1!BE35),"",Récap1!BE35)</f>
        <v>1.9105099674607666</v>
      </c>
      <c r="BF35" s="1214">
        <f>IF(ISBLANK(Récap1!BF35),"",Récap1!BF35)</f>
        <v>3.8210199349215332</v>
      </c>
      <c r="BG35" s="1214">
        <f>IF(ISBLANK(Récap1!BG35),"",Récap1!BG35)</f>
        <v>4.3407127272727285E-4</v>
      </c>
      <c r="BH35" s="1217">
        <f>IF(ISBLANK(Récap1!BH35),"",Récap1!BH35)</f>
        <v>0.27774825694233579</v>
      </c>
      <c r="BI35" s="1214">
        <f>IF(ISBLANK(Récap1!BI35),"",Récap1!BI35)</f>
        <v>0.38683198109989436</v>
      </c>
      <c r="BJ35" s="1218" t="e">
        <f>IF(ISBLANK(Récap1!#REF!),"",Récap1!#REF!)</f>
        <v>#REF!</v>
      </c>
      <c r="BK35" s="1218" t="e">
        <f>IF(ISBLANK(Récap1!#REF!),"",Récap1!#REF!)</f>
        <v>#REF!</v>
      </c>
      <c r="BL35" s="1214">
        <f>IF(ISBLANK('HCT2'!H35),"",'HCT2'!H35)</f>
        <v>0.1389028072727273</v>
      </c>
      <c r="BM35" s="1214">
        <f>IF(ISBLANK('HCT2'!I35),"",'HCT2'!I35)</f>
        <v>3.7619510303030315</v>
      </c>
      <c r="BN35" s="1214">
        <f>IF(ISBLANK('HCT2'!J35),"",'HCT2'!J35)</f>
        <v>2.0256659393939396</v>
      </c>
      <c r="BO35" s="1215">
        <f>IF(ISBLANK('HCT2'!K35),"",'HCT2'!K35)</f>
        <v>0.72084546556773421</v>
      </c>
      <c r="BP35" s="1214">
        <f>IF(ISBLANK('HCT2'!L35),"",'HCT2'!L35)</f>
        <v>2.8938084848484857</v>
      </c>
      <c r="BQ35" s="1216">
        <f>IF(ISBLANK('HCT2'!M35),"",'HCT2'!M35)</f>
        <v>1.0871197674250337</v>
      </c>
      <c r="BR35" s="1214">
        <f>IF(ISBLANK('HCT2'!N35),"",'HCT2'!N35)</f>
        <v>3.0209344818069739</v>
      </c>
      <c r="BS35" s="1214">
        <f>IF(ISBLANK('HCT2'!O35),"",'HCT2'!O35)</f>
        <v>0.28684747615697154</v>
      </c>
      <c r="BT35" s="1143">
        <f>IF(ISBLANK('HCT2'!P35),"",'HCT2'!P35)</f>
        <v>1.9715558965927244E-3</v>
      </c>
      <c r="BU35" s="1214">
        <f>IF(ISBLANK('HCT2'!Q35),"",'HCT2'!Q35)</f>
        <v>94.643591491791909</v>
      </c>
      <c r="BV35" s="1214">
        <f>IF(ISBLANK('HCT2'!R35),"",'HCT2'!R35)</f>
        <v>73.167098084673896</v>
      </c>
      <c r="BW35" s="1214">
        <f>IF(ISBLANK('HCT2'!S35),"",'HCT2'!S35)</f>
        <v>14.469042424242426</v>
      </c>
      <c r="BX35" s="1216">
        <f>IF(ISBLANK('HCT2'!T35),"",'HCT2'!T35)</f>
        <v>3.3109239702308431</v>
      </c>
      <c r="BY35" s="1214">
        <f>IF(ISBLANK('HCT2'!U35),"",'HCT2'!U35)</f>
        <v>10.81817209838596</v>
      </c>
      <c r="BZ35" s="1214">
        <f>IF(ISBLANK('HCT2'!V35),"",'HCT2'!V35)</f>
        <v>6.9055284351013784</v>
      </c>
      <c r="CA35" s="1214">
        <f>IF(ISBLANK('HCT2'!W35),"",'HCT2'!W35)</f>
        <v>0.72651510550184195</v>
      </c>
      <c r="CB35" s="1218" t="str">
        <f>IF(ISBLANK('HCT2'!X35),"",'HCT2'!X35)</f>
        <v/>
      </c>
      <c r="CC35" s="1219">
        <f>IF(ISBLANK('HCT2'!Y35),"",'HCT2'!Y35)</f>
        <v>12.126258563492415</v>
      </c>
      <c r="CD35" s="1220">
        <f>IF(ISBLANK('HCT2'!Z35),"",'HCT2'!Z35)</f>
        <v>27.589511701380243</v>
      </c>
      <c r="CE35" s="1218" t="str">
        <f>IF(ISBLANK('HCT2'!AA35),"",'HCT2'!AA35)</f>
        <v/>
      </c>
      <c r="CF35" s="1218" t="str">
        <f>IF(ISBLANK('HCT2'!AB35),"",'HCT2'!AB35)</f>
        <v/>
      </c>
      <c r="CG35" s="1221">
        <f>IF(ISBLANK('HCT2'!AC35),"",'HCT2'!AC35)</f>
        <v>16.196866512804764</v>
      </c>
      <c r="CH35" s="1218" t="str">
        <f>IF(ISBLANK('HCT2'!AD35),"",'HCT2'!AD35)</f>
        <v/>
      </c>
      <c r="CI35" s="1218" t="str">
        <f>IF(ISBLANK('HCT2'!AE35),"",'HCT2'!AE35)</f>
        <v/>
      </c>
      <c r="CJ35" s="1218" t="str">
        <f>IF(ISBLANK('HCT2'!AF35),"",'HCT2'!AF35)</f>
        <v/>
      </c>
      <c r="CK35" s="1222" t="str">
        <f>IF(ISBLANK('HCT2'!AG35),"",'HCT2'!AG35)</f>
        <v/>
      </c>
      <c r="CL35" s="1218">
        <f>IF(ISBLANK('HCT2'!AH35),"",'HCT2'!AH35)</f>
        <v>278.46746972878185</v>
      </c>
      <c r="CM35" s="1218" t="str">
        <f>IF(ISBLANK('HCT2'!AI35),"",'HCT2'!AI35)</f>
        <v>PVL</v>
      </c>
      <c r="CN35" s="1222">
        <f>IF(ISBLANK('HCT2'!AJ35),"",'HCT2'!AJ35)</f>
        <v>204.06539623015721</v>
      </c>
      <c r="CO35" s="1218" t="str">
        <f>IF(ISBLANK('HCT2'!AK35),"",'HCT2'!AK35)</f>
        <v/>
      </c>
      <c r="CP35" s="1218" t="str">
        <f>IF(ISBLANK('HCT2'!AL35),"",'HCT2'!AL35)</f>
        <v/>
      </c>
      <c r="CQ35" s="1218" t="str">
        <f>IF(ISBLANK('HCT2'!AM35),"",'HCT2'!AM35)</f>
        <v/>
      </c>
      <c r="CR35" s="1223" t="str">
        <f>IF(ISBLANK('HCT2'!AN35),"",'HCT2'!AN35)</f>
        <v/>
      </c>
      <c r="CS35" s="1214">
        <f>IF(ISBLANK('HCT2'!AO35),"",'HCT2'!AO35)</f>
        <v>16.196866512804764</v>
      </c>
      <c r="CT35" s="1174">
        <f>IF(ISBLANK('HCT2'!AP35),"",'HCT2'!AP35)</f>
        <v>0.73725082446457313</v>
      </c>
      <c r="CU35" s="1151">
        <f>IF(ISBLANK('HCT2'!AQ35),"",'HCT2'!AQ35)</f>
        <v>157.21555323133893</v>
      </c>
      <c r="CV35" s="1491">
        <f>IF(ISBLANK('HCT2'!AR35),"",'HCT2'!AR35)</f>
        <v>189.07439432313245</v>
      </c>
      <c r="CW35" s="1492" t="e">
        <f>IF(ISBLANK(Récap1!#REF!),"",Récap1!#REF!)</f>
        <v>#REF!</v>
      </c>
      <c r="CX35" s="1492" t="e">
        <f>IF(ISBLANK(Récap1!#REF!),"",Récap1!#REF!)</f>
        <v>#REF!</v>
      </c>
      <c r="CY35" s="1493" t="e">
        <f>IF(ISBLANK(Récap1!#REF!),"",Récap1!#REF!)</f>
        <v>#REF!</v>
      </c>
      <c r="CZ35" s="1493" t="e">
        <f>IF(ISBLANK(Récap1!#REF!),"",Récap1!#REF!)</f>
        <v>#REF!</v>
      </c>
      <c r="DA35" s="1493" t="e">
        <f>IF(ISBLANK(Récap1!#REF!),"",Récap1!#REF!)</f>
        <v>#REF!</v>
      </c>
      <c r="DB35" s="1493" t="e">
        <f>IF(ISBLANK(Récap1!#REF!),"",Récap1!#REF!)</f>
        <v>#REF!</v>
      </c>
      <c r="DC35" s="1492">
        <f>IF(ISBLANK('HCT2'!AS35),"",'HCT2'!AS35)</f>
        <v>29.06263835141246</v>
      </c>
      <c r="DD35" s="1493">
        <f>IF(ISBLANK('HCT2'!AT35),"",'HCT2'!AT35)</f>
        <v>45.407890534025618</v>
      </c>
      <c r="DE35" s="1493" t="str">
        <f>IF(ISBLANK('HCT2'!AU35),"",'HCT2'!AU35)</f>
        <v>PVL</v>
      </c>
      <c r="DF35" s="1493" t="str">
        <f>IF(ISBLANK('HCT2'!AV35),"",'HCT2'!AV35)</f>
        <v>PVL</v>
      </c>
      <c r="DG35" s="1493" t="str">
        <f>IF(ISBLANK('HCT2'!AW35),"",'HCT2'!AW35)</f>
        <v/>
      </c>
      <c r="DH35" s="1493" t="str">
        <f>IF(ISBLANK('HCT2'!AX35),"",'HCT2'!AX35)</f>
        <v/>
      </c>
      <c r="DI35" s="1493" t="str">
        <f>IF(ISBLANK('HCT2'!AY35),"",'HCT2'!AY35)</f>
        <v/>
      </c>
      <c r="DJ35" s="1494" t="str">
        <f>IF(ISBLANK('HCT2'!AZ35),"",'HCT2'!AZ35)</f>
        <v>PVL</v>
      </c>
      <c r="DK35" s="1493" t="str">
        <f>IF(ISBLANK('HCT2'!BA35),"",'HCT2'!BA35)</f>
        <v>PVL</v>
      </c>
      <c r="DL35" s="1493" t="str">
        <f>IF(ISBLANK('HCT2'!BB35),"",'HCT2'!BB35)</f>
        <v>PVL</v>
      </c>
      <c r="DM35" s="1495" t="str">
        <f>IF(ISBLANK('HCT2'!BC35),"",'HCT2'!BC35)</f>
        <v>PVL</v>
      </c>
      <c r="DN35" s="1493">
        <f>IF(ISBLANK('HCT2'!BD35),"",'HCT2'!BD35)</f>
        <v>29.06263835141246</v>
      </c>
      <c r="DO35" s="1475">
        <f>IF(ISBLANK('HCT2'!BE35),"",'HCT2'!BE35)</f>
        <v>0.10393493785095881</v>
      </c>
      <c r="DP35" s="1495">
        <f>IF(ISBLANK('HCT2'!BF35),"",'HCT2'!BF35)</f>
        <v>39.525248527332529</v>
      </c>
      <c r="DQ35" s="990">
        <f t="shared" si="0"/>
        <v>26.158012890505596</v>
      </c>
      <c r="DS35" s="994">
        <f t="shared" si="1"/>
        <v>94.782494299064638</v>
      </c>
      <c r="DT35" s="994">
        <f t="shared" si="1"/>
        <v>76.929049114976934</v>
      </c>
      <c r="DU35" s="994">
        <f t="shared" si="2"/>
        <v>17.362850909090913</v>
      </c>
      <c r="DV35" s="996">
        <f t="shared" si="2"/>
        <v>4.3980437376558772</v>
      </c>
      <c r="DW35" s="994">
        <f t="shared" si="2"/>
        <v>13.839106580192933</v>
      </c>
      <c r="DX35" s="994">
        <f t="shared" si="2"/>
        <v>7.1923759112583499</v>
      </c>
      <c r="DY35" s="994">
        <f t="shared" si="2"/>
        <v>0.72848666139843465</v>
      </c>
    </row>
    <row r="36" spans="1:131" s="513" customFormat="1" hidden="1">
      <c r="A36" s="510"/>
      <c r="B36" s="510"/>
      <c r="C36" s="77"/>
      <c r="D36" s="502"/>
      <c r="E36" s="352" t="str">
        <f>IF(ISBLANK(Récap1!E36),"",Récap1!E36)</f>
        <v>Seuil dont détection olfactive air du sol</v>
      </c>
      <c r="F36" s="800" t="str">
        <f>IF(ISBLANK(Récap1!F36),"",Récap1!F36)</f>
        <v>Cs</v>
      </c>
      <c r="G36" s="800" t="str">
        <f>IF(ISBLANK(Récap1!G36),"",Récap1!G36)</f>
        <v>mg/kg ms</v>
      </c>
      <c r="H36" s="801">
        <f>IF(ISBLANK(Récap1!H36),"",Récap1!H36)</f>
        <v>60.834453173711402</v>
      </c>
      <c r="I36" s="796">
        <f>IF(ISBLANK(Récap1!I36),"",Récap1!I36)</f>
        <v>60.834453173711402</v>
      </c>
      <c r="J36" s="1256">
        <f>IF(ISBLANK(Récap1!J36),"",Récap1!J36)</f>
        <v>536.48109565489358</v>
      </c>
      <c r="K36" s="1255">
        <f>IF(ISBLANK(Récap1!K36),"",Récap1!K36)</f>
        <v>6.7474391639365076E-3</v>
      </c>
      <c r="L36" s="1256">
        <f>IF(ISBLANK(Récap1!L36),"",Récap1!L36)</f>
        <v>9.5069987104584891E-2</v>
      </c>
      <c r="M36" s="1256">
        <f>IF(ISBLANK(Récap1!M36),"",Récap1!M36)</f>
        <v>9.5069987104584891E-2</v>
      </c>
      <c r="N36" s="1256">
        <f>IF(ISBLANK(Récap1!N36),"",Récap1!N36)</f>
        <v>0.10760591893278754</v>
      </c>
      <c r="O36" s="1256">
        <f>IF(ISBLANK(Récap1!O36),"",Récap1!O36)</f>
        <v>0.10760591893278754</v>
      </c>
      <c r="P36" s="1256">
        <f>IF(ISBLANK(Récap1!P36),"",Récap1!P36)</f>
        <v>0.1199562906395495</v>
      </c>
      <c r="Q36" s="1256">
        <f>IF(ISBLANK(Récap1!Q36),"",Récap1!Q36)</f>
        <v>0.1199562906395495</v>
      </c>
      <c r="R36" s="1256">
        <f>IF(ISBLANK(Récap1!R36),"",Récap1!R36)</f>
        <v>0.14151448202581743</v>
      </c>
      <c r="S36" s="1256">
        <f>IF(ISBLANK(Récap1!S36),"",Récap1!S36)</f>
        <v>2.0354402069204962E-2</v>
      </c>
      <c r="T36" s="1256">
        <f>IF(ISBLANK(Récap1!T36),"",Récap1!T36)</f>
        <v>2.0354402069204962E-2</v>
      </c>
      <c r="U36" s="1256">
        <f>IF(ISBLANK(Récap1!U36),"",Récap1!U36)</f>
        <v>0.12057535353535354</v>
      </c>
      <c r="V36" s="1438">
        <f>IF(ISBLANK(Récap1!V36),"",Récap1!V36)</f>
        <v>0.12300081894181439</v>
      </c>
      <c r="W36" s="1256">
        <f>IF(ISBLANK(Récap1!W36),"",Récap1!W36)</f>
        <v>0.12300081894181439</v>
      </c>
      <c r="X36" s="1256">
        <f>IF(ISBLANK(Récap1!X36),"",Récap1!X36)</f>
        <v>1.754223700777784E-2</v>
      </c>
      <c r="Y36" s="1256">
        <f>IF(ISBLANK(Récap1!Y36),"",Récap1!Y36)</f>
        <v>1.5601159508858542E-2</v>
      </c>
      <c r="Z36" s="1256">
        <f>IF(ISBLANK(Récap1!Z36),"",Récap1!Z36)</f>
        <v>2.7467644250260864E-2</v>
      </c>
      <c r="AA36" s="1257">
        <f>IF(ISBLANK(Récap1!AA36),"",Récap1!AA36)</f>
        <v>1.2461201679065631E-3</v>
      </c>
      <c r="AB36" s="1256">
        <f>IF(ISBLANK(Récap1!AB36),"",Récap1!AB36)</f>
        <v>6.315727857926912E-3</v>
      </c>
      <c r="AC36" s="1258">
        <f>IF(ISBLANK(Récap1!AC36),"",Récap1!AC36)</f>
        <v>8.5154918231512226E-3</v>
      </c>
      <c r="AD36" s="1256">
        <f>IF(ISBLANK(Récap1!AD36),"",Récap1!AD36)</f>
        <v>4.3505584443829494E-2</v>
      </c>
      <c r="AE36" s="1256">
        <f>IF(ISBLANK(Récap1!AE36),"",Récap1!AE36)</f>
        <v>0.34890349802377557</v>
      </c>
      <c r="AF36" s="1259" t="str">
        <f>IF(ISBLANK(Récap1!AF36),"",Récap1!AF36)</f>
        <v>PVL</v>
      </c>
      <c r="AG36" s="1256">
        <f>IF(ISBLANK(Récap1!AG36),"",Récap1!AG36)</f>
        <v>6.29011484708197E-3</v>
      </c>
      <c r="AH36" s="1256">
        <f>IF(ISBLANK(Récap1!AH36),"",Récap1!AH36)</f>
        <v>4.7819012449342634E-2</v>
      </c>
      <c r="AI36" s="1256">
        <f>IF(ISBLANK(Récap1!AI36),"",Récap1!AI36)</f>
        <v>9.5103001942881699E-3</v>
      </c>
      <c r="AJ36" s="1258">
        <f>IF(ISBLANK(Récap1!AJ36),"",Récap1!AJ36)</f>
        <v>1.5332408405335814E-2</v>
      </c>
      <c r="AK36" s="1256">
        <f>IF(ISBLANK(Récap1!AK36),"",Récap1!AK36)</f>
        <v>0.37132861944557133</v>
      </c>
      <c r="AL36" s="1256" t="str">
        <f>IF(ISBLANK(Récap1!AL36),"",Récap1!AL36)</f>
        <v>PVL</v>
      </c>
      <c r="AM36" s="1256" t="str">
        <f>IF(ISBLANK(Récap1!AM36),"",Récap1!AM36)</f>
        <v>PVL</v>
      </c>
      <c r="AN36" s="1255">
        <f>IF(ISBLANK(Récap1!AN36),"",Récap1!AN36)</f>
        <v>0.10469744549099785</v>
      </c>
      <c r="AO36" s="1256">
        <f>IF(ISBLANK(Récap1!AO36),"",Récap1!AO36)</f>
        <v>0.38334241569623678</v>
      </c>
      <c r="AP36" s="1256">
        <f>IF(ISBLANK(Récap1!AP36),"",Récap1!AP36)</f>
        <v>0.22914151194741517</v>
      </c>
      <c r="AQ36" s="1256">
        <f>IF(ISBLANK(Récap1!AQ36),"",Récap1!AQ36)</f>
        <v>0.56590208573839795</v>
      </c>
      <c r="AR36" s="1256">
        <f>IF(ISBLANK(Récap1!AR36),"",Récap1!AR36)</f>
        <v>2.8264444973650038</v>
      </c>
      <c r="AS36" s="1256" t="str">
        <f>IF(ISBLANK(Récap1!AS36),"",Récap1!AS36)</f>
        <v>PVL</v>
      </c>
      <c r="AT36" s="1256" t="str">
        <f>IF(ISBLANK(Récap1!AT36),"",Récap1!AT36)</f>
        <v>PVL</v>
      </c>
      <c r="AU36" s="1256" t="str">
        <f>IF(ISBLANK(Récap1!AU36),"",Récap1!AU36)</f>
        <v>PVL</v>
      </c>
      <c r="AV36" s="1256" t="str">
        <f>IF(ISBLANK(Récap1!AV36),"",Récap1!AV36)</f>
        <v>PVL</v>
      </c>
      <c r="AW36" s="1256" t="str">
        <f>IF(ISBLANK(Récap1!AW36),"",Récap1!AW36)</f>
        <v>PVL</v>
      </c>
      <c r="AX36" s="1256" t="str">
        <f>IF(ISBLANK(Récap1!AX36),"",Récap1!AX36)</f>
        <v>PVL</v>
      </c>
      <c r="AY36" s="1256" t="str">
        <f>IF(ISBLANK(Récap1!AY36),"",Récap1!AY36)</f>
        <v>PVL</v>
      </c>
      <c r="AZ36" s="1256" t="str">
        <f>IF(ISBLANK(Récap1!AZ36),"",Récap1!AZ36)</f>
        <v>PVL</v>
      </c>
      <c r="BA36" s="1256" t="str">
        <f>IF(ISBLANK(Récap1!BA36),"",Récap1!BA36)</f>
        <v>PVL</v>
      </c>
      <c r="BB36" s="1256" t="str">
        <f>IF(ISBLANK(Récap1!BB36),"",Récap1!BB36)</f>
        <v>PVL</v>
      </c>
      <c r="BC36" s="1257" t="str">
        <f>IF(ISBLANK(Récap1!BC36),"",Récap1!BC36)</f>
        <v>PVL</v>
      </c>
      <c r="BD36" s="1467">
        <f>IF(ISBLANK(Récap1!BD36),"",Récap1!BD36)</f>
        <v>1.6724525926359499</v>
      </c>
      <c r="BE36" s="1546">
        <f>IF(ISBLANK(Récap1!BE36),"",Récap1!BE36)</f>
        <v>1.9105099674607666</v>
      </c>
      <c r="BF36" s="1256">
        <f>IF(ISBLANK(Récap1!BF36),"",Récap1!BF36)</f>
        <v>3.8210199349215332</v>
      </c>
      <c r="BG36" s="1256">
        <f>IF(ISBLANK(Récap1!BG36),"",Récap1!BG36)</f>
        <v>4.3407127272727285E-4</v>
      </c>
      <c r="BH36" s="657">
        <f>IF(ISBLANK(Récap1!BH36),"",Récap1!BH36)</f>
        <v>0.27774825694233579</v>
      </c>
      <c r="BI36" s="1256" t="str">
        <f>IF(ISBLANK(Récap1!BI36),"",Récap1!BI36)</f>
        <v/>
      </c>
      <c r="BJ36" s="660" t="e">
        <f>IF(ISBLANK(Récap1!#REF!),"",Récap1!#REF!)</f>
        <v>#REF!</v>
      </c>
      <c r="BK36" s="660" t="e">
        <f>IF(ISBLANK(Récap1!#REF!),"",Récap1!#REF!)</f>
        <v>#REF!</v>
      </c>
      <c r="BL36" s="1256">
        <f>IF(ISBLANK('HCT2'!H36),"",'HCT2'!H36)</f>
        <v>1.754223700777784E-2</v>
      </c>
      <c r="BM36" s="1256">
        <f>IF(ISBLANK('HCT2'!I36),"",'HCT2'!I36)</f>
        <v>1.5601159508858542E-2</v>
      </c>
      <c r="BN36" s="1256">
        <f>IF(ISBLANK('HCT2'!J36),"",'HCT2'!J36)</f>
        <v>2.7467644250260864E-2</v>
      </c>
      <c r="BO36" s="1257">
        <f>IF(ISBLANK('HCT2'!K36),"",'HCT2'!K36)</f>
        <v>1.2461201679065631E-3</v>
      </c>
      <c r="BP36" s="1256">
        <f>IF(ISBLANK('HCT2'!L36),"",'HCT2'!L36)</f>
        <v>6.315727857926912E-3</v>
      </c>
      <c r="BQ36" s="1258">
        <f>IF(ISBLANK('HCT2'!M36),"",'HCT2'!M36)</f>
        <v>8.5154918231512226E-3</v>
      </c>
      <c r="BR36" s="1256">
        <f>IF(ISBLANK('HCT2'!N36),"",'HCT2'!N36)</f>
        <v>4.3505584443829494E-2</v>
      </c>
      <c r="BS36" s="1256">
        <f>IF(ISBLANK('HCT2'!O36),"",'HCT2'!O36)</f>
        <v>0.34890349802377557</v>
      </c>
      <c r="BT36" s="1259">
        <f>IF(ISBLANK('HCT2'!P36),"",'HCT2'!P36)</f>
        <v>2.3980784425454474E-3</v>
      </c>
      <c r="BU36" s="1256">
        <f>IF(ISBLANK('HCT2'!Q36),"",'HCT2'!Q36)</f>
        <v>6.29011484708197E-3</v>
      </c>
      <c r="BV36" s="1256">
        <f>IF(ISBLANK('HCT2'!R36),"",'HCT2'!R36)</f>
        <v>4.7819012449342634E-2</v>
      </c>
      <c r="BW36" s="1256">
        <f>IF(ISBLANK('HCT2'!S36),"",'HCT2'!S36)</f>
        <v>9.5103001942881699E-3</v>
      </c>
      <c r="BX36" s="1258">
        <f>IF(ISBLANK('HCT2'!T36),"",'HCT2'!T36)</f>
        <v>1.5332408405335814E-2</v>
      </c>
      <c r="BY36" s="1256">
        <f>IF(ISBLANK('HCT2'!U36),"",'HCT2'!U36)</f>
        <v>0.37132861944557133</v>
      </c>
      <c r="BZ36" s="1256">
        <f>IF(ISBLANK('HCT2'!V36),"",'HCT2'!V36)</f>
        <v>0.23702898391964997</v>
      </c>
      <c r="CA36" s="1256">
        <f>IF(ISBLANK('HCT2'!W36),"",'HCT2'!W36)</f>
        <v>2.493728595541592E-2</v>
      </c>
      <c r="CB36" s="660" t="str">
        <f>IF(ISBLANK('HCT2'!X36),"",'HCT2'!X36)</f>
        <v/>
      </c>
      <c r="CC36" s="1260">
        <f>IF(ISBLANK('HCT2'!Y36),"",'HCT2'!Y36)</f>
        <v>1.531442783015273</v>
      </c>
      <c r="CD36" s="1261">
        <f>IF(ISBLANK('HCT2'!Z36),"",'HCT2'!Z36)</f>
        <v>0.11441626149771564</v>
      </c>
      <c r="CE36" s="660" t="str">
        <f>IF(ISBLANK('HCT2'!AA36),"",'HCT2'!AA36)</f>
        <v/>
      </c>
      <c r="CF36" s="660" t="str">
        <f>IF(ISBLANK('HCT2'!AB36),"",'HCT2'!AB36)</f>
        <v/>
      </c>
      <c r="CG36" s="1262">
        <f>IF(ISBLANK('HCT2'!AC36),"",'HCT2'!AC36)</f>
        <v>3.5349609893551938E-2</v>
      </c>
      <c r="CH36" s="660" t="str">
        <f>IF(ISBLANK('HCT2'!AD36),"",'HCT2'!AD36)</f>
        <v/>
      </c>
      <c r="CI36" s="660" t="str">
        <f>IF(ISBLANK('HCT2'!AE36),"",'HCT2'!AE36)</f>
        <v/>
      </c>
      <c r="CJ36" s="660" t="str">
        <f>IF(ISBLANK('HCT2'!AF36),"",'HCT2'!AF36)</f>
        <v/>
      </c>
      <c r="CK36" s="1263" t="str">
        <f>IF(ISBLANK('HCT2'!AG36),"",'HCT2'!AG36)</f>
        <v/>
      </c>
      <c r="CL36" s="660">
        <f>IF(ISBLANK('HCT2'!AH36),"",'HCT2'!AH36)</f>
        <v>1.8507247433887469E-2</v>
      </c>
      <c r="CM36" s="660">
        <f>IF(ISBLANK('HCT2'!AI36),"",'HCT2'!AI36)</f>
        <v>0.18199490960113443</v>
      </c>
      <c r="CN36" s="1263">
        <f>IF(ISBLANK('HCT2'!AJ36),"",'HCT2'!AJ36)</f>
        <v>0.1341293446042798</v>
      </c>
      <c r="CO36" s="660" t="str">
        <f>IF(ISBLANK('HCT2'!AK36),"",'HCT2'!AK36)</f>
        <v/>
      </c>
      <c r="CP36" s="660" t="str">
        <f>IF(ISBLANK('HCT2'!AL36),"",'HCT2'!AL36)</f>
        <v/>
      </c>
      <c r="CQ36" s="660" t="str">
        <f>IF(ISBLANK('HCT2'!AM36),"",'HCT2'!AM36)</f>
        <v/>
      </c>
      <c r="CR36" s="694" t="str">
        <f>IF(ISBLANK('HCT2'!AN36),"",'HCT2'!AN36)</f>
        <v/>
      </c>
      <c r="CS36" s="1264">
        <f>IF(ISBLANK('HCT2'!AO36),"",'HCT2'!AO36)</f>
        <v>1.8507247433887469E-2</v>
      </c>
      <c r="CT36" s="1265">
        <f>IF(ISBLANK('HCT2'!AP36),"",'HCT2'!AP36)</f>
        <v>1</v>
      </c>
      <c r="CU36" s="1153">
        <f>IF(ISBLANK('HCT2'!AQ36),"",'HCT2'!AQ36)</f>
        <v>0.10307855186527606</v>
      </c>
      <c r="CV36" s="1509">
        <f>IF(ISBLANK('HCT2'!AR36),"",'HCT2'!AR36)</f>
        <v>0.10307855186527606</v>
      </c>
      <c r="CW36" s="1510" t="e">
        <f>IF(ISBLANK(Récap1!#REF!),"",Récap1!#REF!)</f>
        <v>#REF!</v>
      </c>
      <c r="CX36" s="1510" t="e">
        <f>IF(ISBLANK(Récap1!#REF!),"",Récap1!#REF!)</f>
        <v>#REF!</v>
      </c>
      <c r="CY36" s="1511" t="e">
        <f>IF(ISBLANK(Récap1!#REF!),"",Récap1!#REF!)</f>
        <v>#REF!</v>
      </c>
      <c r="CZ36" s="1511" t="e">
        <f>IF(ISBLANK(Récap1!#REF!),"",Récap1!#REF!)</f>
        <v>#REF!</v>
      </c>
      <c r="DA36" s="1511" t="e">
        <f>IF(ISBLANK(Récap1!#REF!),"",Récap1!#REF!)</f>
        <v>#REF!</v>
      </c>
      <c r="DB36" s="1511" t="e">
        <f>IF(ISBLANK(Récap1!#REF!),"",Récap1!#REF!)</f>
        <v>#REF!</v>
      </c>
      <c r="DC36" s="1510">
        <f>IF(ISBLANK('HCT2'!AS36),"",'HCT2'!AS36)</f>
        <v>0.22764985667296311</v>
      </c>
      <c r="DD36" s="1511">
        <f>IF(ISBLANK('HCT2'!AT36),"",'HCT2'!AT36)</f>
        <v>0.65393567054872792</v>
      </c>
      <c r="DE36" s="1511">
        <f>IF(ISBLANK('HCT2'!AU36),"",'HCT2'!AU36)</f>
        <v>55.231344746197017</v>
      </c>
      <c r="DF36" s="1511" t="str">
        <f>IF(ISBLANK('HCT2'!AV36),"",'HCT2'!AV36)</f>
        <v>PVL</v>
      </c>
      <c r="DG36" s="1511" t="str">
        <f>IF(ISBLANK('HCT2'!AW36),"",'HCT2'!AW36)</f>
        <v/>
      </c>
      <c r="DH36" s="1511" t="str">
        <f>IF(ISBLANK('HCT2'!AX36),"",'HCT2'!AX36)</f>
        <v/>
      </c>
      <c r="DI36" s="1511" t="str">
        <f>IF(ISBLANK('HCT2'!AY36),"",'HCT2'!AY36)</f>
        <v/>
      </c>
      <c r="DJ36" s="1512">
        <f>IF(ISBLANK('HCT2'!AZ36),"",'HCT2'!AZ36)</f>
        <v>0.11326533442831706</v>
      </c>
      <c r="DK36" s="1511">
        <f>IF(ISBLANK('HCT2'!BA36),"",'HCT2'!BA36)</f>
        <v>0.83953803720688558</v>
      </c>
      <c r="DL36" s="1511" t="str">
        <f>IF(ISBLANK('HCT2'!BB36),"",'HCT2'!BB36)</f>
        <v>PVL</v>
      </c>
      <c r="DM36" s="1513" t="str">
        <f>IF(ISBLANK('HCT2'!BC36),"",'HCT2'!BC36)</f>
        <v>PVL</v>
      </c>
      <c r="DN36" s="1514">
        <f>IF(ISBLANK('HCT2'!BD36),"",'HCT2'!BD36)</f>
        <v>0.11326533442831706</v>
      </c>
      <c r="DO36" s="1515">
        <f>IF(ISBLANK('HCT2'!BE36),"",'HCT2'!BE36)</f>
        <v>0.68792036811484414</v>
      </c>
      <c r="DP36" s="1516">
        <f>IF(ISBLANK('HCT2'!BF36),"",'HCT2'!BF36)</f>
        <v>1.1448790276408574</v>
      </c>
      <c r="DQ36" s="980">
        <f t="shared" si="0"/>
        <v>1.0519499504592749</v>
      </c>
      <c r="DS36" s="796">
        <f t="shared" si="1"/>
        <v>2.383235185485981E-2</v>
      </c>
      <c r="DT36" s="796">
        <f t="shared" si="1"/>
        <v>6.3420171958201182E-2</v>
      </c>
      <c r="DU36" s="796">
        <f t="shared" si="2"/>
        <v>1.5826028052215082E-2</v>
      </c>
      <c r="DV36" s="882">
        <f t="shared" si="2"/>
        <v>2.3847900228487037E-2</v>
      </c>
      <c r="DW36" s="796">
        <f t="shared" si="2"/>
        <v>0.41483420388940084</v>
      </c>
      <c r="DX36" s="796">
        <f t="shared" si="2"/>
        <v>0.58593248194342551</v>
      </c>
      <c r="DY36" s="796">
        <f t="shared" si="2"/>
        <v>2.7335364397961366E-2</v>
      </c>
    </row>
    <row r="37" spans="1:131" s="293" customFormat="1" hidden="1">
      <c r="B37" s="294"/>
      <c r="C37" s="503"/>
      <c r="D37" s="507"/>
      <c r="E37" s="617" t="str">
        <f>IF(ISBLANK(Récap1!E37),"",Récap1!E37)</f>
        <v>Zone récréative, terres en ext. sous couverture terre végétale (30 cm)</v>
      </c>
      <c r="F37" s="618" t="str">
        <f>IF(ISBLANK(Récap1!F37),"",Récap1!F37)</f>
        <v/>
      </c>
      <c r="G37" s="105" t="str">
        <f>IF(ISBLANK(Récap1!G37),"",Récap1!G37)</f>
        <v/>
      </c>
      <c r="H37" s="627" t="str">
        <f>IF(ISBLANK(Récap1!H37),"",Récap1!H37)</f>
        <v/>
      </c>
      <c r="I37" s="530" t="str">
        <f>IF(ISBLANK(Récap1!I37),"",Récap1!I37)</f>
        <v/>
      </c>
      <c r="J37" s="636" t="str">
        <f>IF(ISBLANK(Récap1!J37),"",Récap1!J37)</f>
        <v/>
      </c>
      <c r="K37" s="1270" t="str">
        <f>IF(ISBLANK(Récap1!K37),"",Récap1!K37)</f>
        <v/>
      </c>
      <c r="L37" s="636" t="str">
        <f>IF(ISBLANK(Récap1!L37),"",Récap1!L37)</f>
        <v/>
      </c>
      <c r="M37" s="636" t="str">
        <f>IF(ISBLANK(Récap1!M37),"",Récap1!M37)</f>
        <v/>
      </c>
      <c r="N37" s="636" t="str">
        <f>IF(ISBLANK(Récap1!N37),"",Récap1!N37)</f>
        <v/>
      </c>
      <c r="O37" s="636" t="str">
        <f>IF(ISBLANK(Récap1!O37),"",Récap1!O37)</f>
        <v/>
      </c>
      <c r="P37" s="636" t="str">
        <f>IF(ISBLANK(Récap1!P37),"",Récap1!P37)</f>
        <v/>
      </c>
      <c r="Q37" s="636" t="str">
        <f>IF(ISBLANK(Récap1!Q37),"",Récap1!Q37)</f>
        <v/>
      </c>
      <c r="R37" s="636" t="str">
        <f>IF(ISBLANK(Récap1!R37),"",Récap1!R37)</f>
        <v/>
      </c>
      <c r="S37" s="636" t="str">
        <f>IF(ISBLANK(Récap1!S37),"",Récap1!S37)</f>
        <v/>
      </c>
      <c r="T37" s="636" t="str">
        <f>IF(ISBLANK(Récap1!T37),"",Récap1!T37)</f>
        <v/>
      </c>
      <c r="U37" s="636" t="str">
        <f>IF(ISBLANK(Récap1!U37),"",Récap1!U37)</f>
        <v/>
      </c>
      <c r="V37" s="1433" t="str">
        <f>IF(ISBLANK(Récap1!V37),"",Récap1!V37)</f>
        <v/>
      </c>
      <c r="W37" s="636" t="str">
        <f>IF(ISBLANK(Récap1!W37),"",Récap1!W37)</f>
        <v/>
      </c>
      <c r="X37" s="636" t="str">
        <f>IF(ISBLANK(Récap1!X37),"",Récap1!X37)</f>
        <v/>
      </c>
      <c r="Y37" s="636" t="str">
        <f>IF(ISBLANK(Récap1!Y37),"",Récap1!Y37)</f>
        <v/>
      </c>
      <c r="Z37" s="636" t="str">
        <f>IF(ISBLANK(Récap1!Z37),"",Récap1!Z37)</f>
        <v/>
      </c>
      <c r="AA37" s="473" t="str">
        <f>IF(ISBLANK(Récap1!AA37),"",Récap1!AA37)</f>
        <v/>
      </c>
      <c r="AB37" s="636" t="str">
        <f>IF(ISBLANK(Récap1!AB37),"",Récap1!AB37)</f>
        <v/>
      </c>
      <c r="AC37" s="1271" t="str">
        <f>IF(ISBLANK(Récap1!AC37),"",Récap1!AC37)</f>
        <v/>
      </c>
      <c r="AD37" s="636" t="str">
        <f>IF(ISBLANK(Récap1!AD37),"",Récap1!AD37)</f>
        <v/>
      </c>
      <c r="AE37" s="636" t="str">
        <f>IF(ISBLANK(Récap1!AE37),"",Récap1!AE37)</f>
        <v/>
      </c>
      <c r="AF37" s="1272" t="str">
        <f>IF(ISBLANK(Récap1!AF37),"",Récap1!AF37)</f>
        <v/>
      </c>
      <c r="AG37" s="636" t="str">
        <f>IF(ISBLANK(Récap1!AG37),"",Récap1!AG37)</f>
        <v/>
      </c>
      <c r="AH37" s="636" t="str">
        <f>IF(ISBLANK(Récap1!AH37),"",Récap1!AH37)</f>
        <v/>
      </c>
      <c r="AI37" s="636" t="str">
        <f>IF(ISBLANK(Récap1!AI37),"",Récap1!AI37)</f>
        <v/>
      </c>
      <c r="AJ37" s="1271" t="str">
        <f>IF(ISBLANK(Récap1!AJ37),"",Récap1!AJ37)</f>
        <v/>
      </c>
      <c r="AK37" s="636" t="str">
        <f>IF(ISBLANK(Récap1!AK37),"",Récap1!AK37)</f>
        <v/>
      </c>
      <c r="AL37" s="636" t="str">
        <f>IF(ISBLANK(Récap1!AL37),"",Récap1!AL37)</f>
        <v/>
      </c>
      <c r="AM37" s="636" t="str">
        <f>IF(ISBLANK(Récap1!AM37),"",Récap1!AM37)</f>
        <v/>
      </c>
      <c r="AN37" s="1270" t="str">
        <f>IF(ISBLANK(Récap1!AN37),"",Récap1!AN37)</f>
        <v/>
      </c>
      <c r="AO37" s="636" t="str">
        <f>IF(ISBLANK(Récap1!AO37),"",Récap1!AO37)</f>
        <v/>
      </c>
      <c r="AP37" s="636" t="str">
        <f>IF(ISBLANK(Récap1!AP37),"",Récap1!AP37)</f>
        <v/>
      </c>
      <c r="AQ37" s="636" t="str">
        <f>IF(ISBLANK(Récap1!AQ37),"",Récap1!AQ37)</f>
        <v/>
      </c>
      <c r="AR37" s="636" t="str">
        <f>IF(ISBLANK(Récap1!AR37),"",Récap1!AR37)</f>
        <v/>
      </c>
      <c r="AS37" s="636" t="str">
        <f>IF(ISBLANK(Récap1!AS37),"",Récap1!AS37)</f>
        <v/>
      </c>
      <c r="AT37" s="636" t="str">
        <f>IF(ISBLANK(Récap1!AT37),"",Récap1!AT37)</f>
        <v/>
      </c>
      <c r="AU37" s="636" t="str">
        <f>IF(ISBLANK(Récap1!AU37),"",Récap1!AU37)</f>
        <v/>
      </c>
      <c r="AV37" s="636" t="str">
        <f>IF(ISBLANK(Récap1!AV37),"",Récap1!AV37)</f>
        <v/>
      </c>
      <c r="AW37" s="636" t="str">
        <f>IF(ISBLANK(Récap1!AW37),"",Récap1!AW37)</f>
        <v/>
      </c>
      <c r="AX37" s="636" t="str">
        <f>IF(ISBLANK(Récap1!AX37),"",Récap1!AX37)</f>
        <v/>
      </c>
      <c r="AY37" s="636" t="str">
        <f>IF(ISBLANK(Récap1!AY37),"",Récap1!AY37)</f>
        <v/>
      </c>
      <c r="AZ37" s="636" t="str">
        <f>IF(ISBLANK(Récap1!AZ37),"",Récap1!AZ37)</f>
        <v/>
      </c>
      <c r="BA37" s="636" t="str">
        <f>IF(ISBLANK(Récap1!BA37),"",Récap1!BA37)</f>
        <v/>
      </c>
      <c r="BB37" s="636" t="str">
        <f>IF(ISBLANK(Récap1!BB37),"",Récap1!BB37)</f>
        <v/>
      </c>
      <c r="BC37" s="473" t="str">
        <f>IF(ISBLANK(Récap1!BC37),"",Récap1!BC37)</f>
        <v/>
      </c>
      <c r="BD37" s="1468" t="str">
        <f>IF(ISBLANK(Récap1!BD37),"",Récap1!BD37)</f>
        <v/>
      </c>
      <c r="BE37" s="1547" t="str">
        <f>IF(ISBLANK(Récap1!BE37),"",Récap1!BE37)</f>
        <v/>
      </c>
      <c r="BF37" s="636" t="str">
        <f>IF(ISBLANK(Récap1!BF37),"",Récap1!BF37)</f>
        <v/>
      </c>
      <c r="BG37" s="636" t="str">
        <f>IF(ISBLANK(Récap1!BG37),"",Récap1!BG37)</f>
        <v/>
      </c>
      <c r="BH37" s="1273" t="str">
        <f>IF(ISBLANK(Récap1!BH37),"",Récap1!BH37)</f>
        <v/>
      </c>
      <c r="BI37" s="636" t="str">
        <f>IF(ISBLANK(Récap1!BI37),"",Récap1!BI37)</f>
        <v/>
      </c>
      <c r="BJ37" s="1274" t="e">
        <f>IF(ISBLANK(Récap1!#REF!),"",Récap1!#REF!)</f>
        <v>#REF!</v>
      </c>
      <c r="BK37" s="1274" t="e">
        <f>IF(ISBLANK(Récap1!#REF!),"",Récap1!#REF!)</f>
        <v>#REF!</v>
      </c>
      <c r="BL37" s="636">
        <f>IF(ISBLANK('HCT2'!H37),"",'HCT2'!H37)</f>
        <v>0</v>
      </c>
      <c r="BM37" s="636">
        <f>IF(ISBLANK('HCT2'!I37),"",'HCT2'!I37)</f>
        <v>0</v>
      </c>
      <c r="BN37" s="636">
        <f>IF(ISBLANK('HCT2'!J37),"",'HCT2'!J37)</f>
        <v>0</v>
      </c>
      <c r="BO37" s="473">
        <f>IF(ISBLANK('HCT2'!K37),"",'HCT2'!K37)</f>
        <v>0</v>
      </c>
      <c r="BP37" s="636">
        <f>IF(ISBLANK('HCT2'!L37),"",'HCT2'!L37)</f>
        <v>0</v>
      </c>
      <c r="BQ37" s="1271">
        <f>IF(ISBLANK('HCT2'!M37),"",'HCT2'!M37)</f>
        <v>0</v>
      </c>
      <c r="BR37" s="636">
        <f>IF(ISBLANK('HCT2'!N37),"",'HCT2'!N37)</f>
        <v>0</v>
      </c>
      <c r="BS37" s="636">
        <f>IF(ISBLANK('HCT2'!O37),"",'HCT2'!O37)</f>
        <v>0</v>
      </c>
      <c r="BT37" s="1272">
        <f>IF(ISBLANK('HCT2'!P37),"",'HCT2'!P37)</f>
        <v>0</v>
      </c>
      <c r="BU37" s="636">
        <f>IF(ISBLANK('HCT2'!Q37),"",'HCT2'!Q37)</f>
        <v>0</v>
      </c>
      <c r="BV37" s="636">
        <f>IF(ISBLANK('HCT2'!R37),"",'HCT2'!R37)</f>
        <v>0</v>
      </c>
      <c r="BW37" s="636">
        <f>IF(ISBLANK('HCT2'!S37),"",'HCT2'!S37)</f>
        <v>0</v>
      </c>
      <c r="BX37" s="1271">
        <f>IF(ISBLANK('HCT2'!T37),"",'HCT2'!T37)</f>
        <v>0</v>
      </c>
      <c r="BY37" s="636">
        <f>IF(ISBLANK('HCT2'!U37),"",'HCT2'!U37)</f>
        <v>0</v>
      </c>
      <c r="BZ37" s="636">
        <f>IF(ISBLANK('HCT2'!V37),"",'HCT2'!V37)</f>
        <v>0</v>
      </c>
      <c r="CA37" s="636">
        <f>IF(ISBLANK('HCT2'!W37),"",'HCT2'!W37)</f>
        <v>0</v>
      </c>
      <c r="CB37" s="1274" t="str">
        <f>IF(ISBLANK('HCT2'!X37),"",'HCT2'!X37)</f>
        <v/>
      </c>
      <c r="CC37" s="1275">
        <f>IF(ISBLANK('HCT2'!Y37),"",'HCT2'!Y37)</f>
        <v>0</v>
      </c>
      <c r="CD37" s="1276">
        <f>IF(ISBLANK('HCT2'!Z37),"",'HCT2'!Z37)</f>
        <v>0</v>
      </c>
      <c r="CE37" s="1274" t="str">
        <f>IF(ISBLANK('HCT2'!AA37),"",'HCT2'!AA37)</f>
        <v/>
      </c>
      <c r="CF37" s="1274" t="str">
        <f>IF(ISBLANK('HCT2'!AB37),"",'HCT2'!AB37)</f>
        <v/>
      </c>
      <c r="CG37" s="1277">
        <f>IF(ISBLANK('HCT2'!AC37),"",'HCT2'!AC37)</f>
        <v>0</v>
      </c>
      <c r="CH37" s="1274" t="str">
        <f>IF(ISBLANK('HCT2'!AD37),"",'HCT2'!AD37)</f>
        <v/>
      </c>
      <c r="CI37" s="1274" t="str">
        <f>IF(ISBLANK('HCT2'!AE37),"",'HCT2'!AE37)</f>
        <v/>
      </c>
      <c r="CJ37" s="1274" t="str">
        <f>IF(ISBLANK('HCT2'!AF37),"",'HCT2'!AF37)</f>
        <v/>
      </c>
      <c r="CK37" s="1278" t="str">
        <f>IF(ISBLANK('HCT2'!AG37),"",'HCT2'!AG37)</f>
        <v/>
      </c>
      <c r="CL37" s="1274">
        <f>IF(ISBLANK('HCT2'!AH37),"",'HCT2'!AH37)</f>
        <v>0</v>
      </c>
      <c r="CM37" s="1274">
        <f>IF(ISBLANK('HCT2'!AI37),"",'HCT2'!AI37)</f>
        <v>0</v>
      </c>
      <c r="CN37" s="1278">
        <f>IF(ISBLANK('HCT2'!AJ37),"",'HCT2'!AJ37)</f>
        <v>0</v>
      </c>
      <c r="CO37" s="1274" t="str">
        <f>IF(ISBLANK('HCT2'!AK37),"",'HCT2'!AK37)</f>
        <v/>
      </c>
      <c r="CP37" s="1274" t="str">
        <f>IF(ISBLANK('HCT2'!AL37),"",'HCT2'!AL37)</f>
        <v/>
      </c>
      <c r="CQ37" s="1274" t="str">
        <f>IF(ISBLANK('HCT2'!AM37),"",'HCT2'!AM37)</f>
        <v/>
      </c>
      <c r="CR37" s="1279" t="str">
        <f>IF(ISBLANK('HCT2'!AN37),"",'HCT2'!AN37)</f>
        <v/>
      </c>
      <c r="CS37" s="1280">
        <f>IF(ISBLANK('HCT2'!AO37),"",'HCT2'!AO37)</f>
        <v>0</v>
      </c>
      <c r="CT37" s="1281">
        <f>IF(ISBLANK('HCT2'!AP37),"",'HCT2'!AP37)</f>
        <v>0</v>
      </c>
      <c r="CU37" s="1154">
        <f>IF(ISBLANK('HCT2'!AQ37),"",'HCT2'!AQ37)</f>
        <v>0</v>
      </c>
      <c r="CV37" s="1517">
        <f>IF(ISBLANK('HCT2'!AR37),"",'HCT2'!AR37)</f>
        <v>0</v>
      </c>
      <c r="CW37" s="1518" t="e">
        <f>IF(ISBLANK(Récap1!#REF!),"",Récap1!#REF!)</f>
        <v>#REF!</v>
      </c>
      <c r="CX37" s="1518" t="e">
        <f>IF(ISBLANK(Récap1!#REF!),"",Récap1!#REF!)</f>
        <v>#REF!</v>
      </c>
      <c r="CY37" s="1519" t="e">
        <f>IF(ISBLANK(Récap1!#REF!),"",Récap1!#REF!)</f>
        <v>#REF!</v>
      </c>
      <c r="CZ37" s="1519" t="e">
        <f>IF(ISBLANK(Récap1!#REF!),"",Récap1!#REF!)</f>
        <v>#REF!</v>
      </c>
      <c r="DA37" s="1519" t="e">
        <f>IF(ISBLANK(Récap1!#REF!),"",Récap1!#REF!)</f>
        <v>#REF!</v>
      </c>
      <c r="DB37" s="1519" t="e">
        <f>IF(ISBLANK(Récap1!#REF!),"",Récap1!#REF!)</f>
        <v>#REF!</v>
      </c>
      <c r="DC37" s="1518">
        <f>IF(ISBLANK('HCT2'!AS37),"",'HCT2'!AS37)</f>
        <v>0</v>
      </c>
      <c r="DD37" s="1519">
        <f>IF(ISBLANK('HCT2'!AT37),"",'HCT2'!AT37)</f>
        <v>0</v>
      </c>
      <c r="DE37" s="1519">
        <f>IF(ISBLANK('HCT2'!AU37),"",'HCT2'!AU37)</f>
        <v>0</v>
      </c>
      <c r="DF37" s="1519">
        <f>IF(ISBLANK('HCT2'!AV37),"",'HCT2'!AV37)</f>
        <v>0</v>
      </c>
      <c r="DG37" s="1519" t="str">
        <f>IF(ISBLANK('HCT2'!AW37),"",'HCT2'!AW37)</f>
        <v/>
      </c>
      <c r="DH37" s="1519" t="str">
        <f>IF(ISBLANK('HCT2'!AX37),"",'HCT2'!AX37)</f>
        <v/>
      </c>
      <c r="DI37" s="1519" t="str">
        <f>IF(ISBLANK('HCT2'!AY37),"",'HCT2'!AY37)</f>
        <v/>
      </c>
      <c r="DJ37" s="1520">
        <f>IF(ISBLANK('HCT2'!AZ37),"",'HCT2'!AZ37)</f>
        <v>0</v>
      </c>
      <c r="DK37" s="1519">
        <f>IF(ISBLANK('HCT2'!BA37),"",'HCT2'!BA37)</f>
        <v>0</v>
      </c>
      <c r="DL37" s="1519">
        <f>IF(ISBLANK('HCT2'!BB37),"",'HCT2'!BB37)</f>
        <v>0</v>
      </c>
      <c r="DM37" s="1521">
        <f>IF(ISBLANK('HCT2'!BC37),"",'HCT2'!BC37)</f>
        <v>0</v>
      </c>
      <c r="DN37" s="1522" t="str">
        <f>IF(ISBLANK('HCT2'!BD37),"",'HCT2'!BD37)</f>
        <v>PVL</v>
      </c>
      <c r="DO37" s="1523">
        <f>IF(ISBLANK('HCT2'!BE37),"",'HCT2'!BE37)</f>
        <v>0</v>
      </c>
      <c r="DP37" s="1524" t="str">
        <f>IF(ISBLANK('HCT2'!BF37),"",'HCT2'!BF37)</f>
        <v>PVL</v>
      </c>
      <c r="DQ37" s="976">
        <f t="shared" si="0"/>
        <v>0</v>
      </c>
      <c r="DS37" s="530">
        <f t="shared" si="1"/>
        <v>0</v>
      </c>
      <c r="DT37" s="530">
        <f t="shared" si="1"/>
        <v>0</v>
      </c>
      <c r="DU37" s="530">
        <f t="shared" si="2"/>
        <v>0</v>
      </c>
      <c r="DV37" s="829">
        <f t="shared" si="2"/>
        <v>0</v>
      </c>
      <c r="DW37" s="530">
        <f t="shared" si="2"/>
        <v>0</v>
      </c>
      <c r="DX37" s="530">
        <f t="shared" si="2"/>
        <v>0</v>
      </c>
      <c r="DY37" s="530">
        <f t="shared" si="2"/>
        <v>0</v>
      </c>
    </row>
    <row r="38" spans="1:131" s="26" customFormat="1" hidden="1">
      <c r="A38" s="482"/>
      <c r="B38" s="27"/>
      <c r="D38" s="502"/>
      <c r="E38" s="103" t="str">
        <f>IF(ISBLANK(Récap1!E38),"",Récap1!E38)</f>
        <v>Seuil (non cancérigène)</v>
      </c>
      <c r="F38" s="14" t="str">
        <f>IF(ISBLANK(Récap1!F38),"",Récap1!F38)</f>
        <v>Cs</v>
      </c>
      <c r="G38" s="105" t="str">
        <f>IF(ISBLANK(Récap1!G38),"",Récap1!G38)</f>
        <v>mg/kg ms</v>
      </c>
      <c r="H38" s="85">
        <f>IF(ISBLANK(Récap1!H38),"",Récap1!H38)</f>
        <v>2961.0271017264263</v>
      </c>
      <c r="I38" s="56">
        <f>IF(ISBLANK(Récap1!I38),"",Récap1!I38)</f>
        <v>2961.0271017264263</v>
      </c>
      <c r="J38" s="644">
        <f>IF(ISBLANK(Récap1!J38),"",Récap1!J38)</f>
        <v>22150.011177746623</v>
      </c>
      <c r="K38" s="643">
        <f>IF(ISBLANK(Récap1!K38),"",Récap1!K38)</f>
        <v>8.372224000000001</v>
      </c>
      <c r="L38" s="644">
        <f>IF(ISBLANK(Récap1!L38),"",Récap1!L38)</f>
        <v>11.472818781744243</v>
      </c>
      <c r="M38" s="644">
        <f>IF(ISBLANK(Récap1!M38),"",Récap1!M38)</f>
        <v>11.472818781744243</v>
      </c>
      <c r="N38" s="644">
        <f>IF(ISBLANK(Récap1!N38),"",Récap1!N38)</f>
        <v>29.900799999999997</v>
      </c>
      <c r="O38" s="644">
        <f>IF(ISBLANK(Récap1!O38),"",Récap1!O38)</f>
        <v>29.900799999999997</v>
      </c>
      <c r="P38" s="644">
        <f>IF(ISBLANK(Récap1!P38),"",Récap1!P38)</f>
        <v>5.2326400000000008</v>
      </c>
      <c r="Q38" s="644">
        <f>IF(ISBLANK(Récap1!Q38),"",Récap1!Q38)</f>
        <v>5.2326400000000008</v>
      </c>
      <c r="R38" s="644">
        <f>IF(ISBLANK(Récap1!R38),"",Récap1!R38)</f>
        <v>59.801600000000008</v>
      </c>
      <c r="S38" s="644">
        <f>IF(ISBLANK(Récap1!S38),"",Récap1!S38)</f>
        <v>11.184391078883491</v>
      </c>
      <c r="T38" s="644">
        <f>IF(ISBLANK(Récap1!T38),"",Récap1!T38)</f>
        <v>11.184391078883491</v>
      </c>
      <c r="U38" s="644">
        <f>IF(ISBLANK(Récap1!U38),"",Récap1!U38)</f>
        <v>5.6811520000000009</v>
      </c>
      <c r="V38" s="681">
        <f>IF(ISBLANK(Récap1!V38),"",Récap1!V38)</f>
        <v>149.50399999999999</v>
      </c>
      <c r="W38" s="644">
        <f>IF(ISBLANK(Récap1!W38),"",Récap1!W38)</f>
        <v>149.50399999999999</v>
      </c>
      <c r="X38" s="644">
        <f>IF(ISBLANK(Récap1!X38),"",Récap1!X38)</f>
        <v>1.5701131488337743</v>
      </c>
      <c r="Y38" s="644">
        <f>IF(ISBLANK(Récap1!Y38),"",Récap1!Y38)</f>
        <v>54.968034114356676</v>
      </c>
      <c r="Z38" s="644">
        <f>IF(ISBLANK(Récap1!Z38),"",Récap1!Z38)</f>
        <v>78.600644801384504</v>
      </c>
      <c r="AA38" s="645">
        <f>IF(ISBLANK(Récap1!AA38),"",Récap1!AA38)</f>
        <v>104.65279999999998</v>
      </c>
      <c r="AB38" s="644">
        <f>IF(ISBLANK(Récap1!AB38),"",Récap1!AB38)</f>
        <v>108.23587832836999</v>
      </c>
      <c r="AC38" s="1228">
        <f>IF(ISBLANK(Récap1!AC38),"",Récap1!AC38)</f>
        <v>334.56534622860232</v>
      </c>
      <c r="AD38" s="644">
        <f>IF(ISBLANK(Récap1!AD38),"",Récap1!AD38)</f>
        <v>1400.4148353065164</v>
      </c>
      <c r="AE38" s="644" t="str">
        <f>IF(ISBLANK(Récap1!AE38),"",Récap1!AE38)</f>
        <v>PVL</v>
      </c>
      <c r="AF38" s="1229" t="str">
        <f>IF(ISBLANK(Récap1!AF38),"",Récap1!AF38)</f>
        <v>PVL</v>
      </c>
      <c r="AG38" s="644">
        <f>IF(ISBLANK(Récap1!AG38),"",Récap1!AG38)</f>
        <v>2750.8735999999999</v>
      </c>
      <c r="AH38" s="644">
        <f>IF(ISBLANK(Récap1!AH38),"",Récap1!AH38)</f>
        <v>2750.8735999999999</v>
      </c>
      <c r="AI38" s="644">
        <f>IF(ISBLANK(Récap1!AI38),"",Récap1!AI38)</f>
        <v>187.33898380673938</v>
      </c>
      <c r="AJ38" s="1228">
        <f>IF(ISBLANK(Récap1!AJ38),"",Récap1!AJ38)</f>
        <v>473.51879814241812</v>
      </c>
      <c r="AK38" s="644">
        <f>IF(ISBLANK(Récap1!AK38),"",Récap1!AK38)</f>
        <v>1414.2893706745458</v>
      </c>
      <c r="AL38" s="644" t="str">
        <f>IF(ISBLANK(Récap1!AL38),"",Récap1!AL38)</f>
        <v>PVL</v>
      </c>
      <c r="AM38" s="644" t="str">
        <f>IF(ISBLANK(Récap1!AM38),"",Récap1!AM38)</f>
        <v>PVL</v>
      </c>
      <c r="AN38" s="643">
        <f>IF(ISBLANK(Récap1!AN38),"",Récap1!AN38)</f>
        <v>52.416683774217752</v>
      </c>
      <c r="AO38" s="644" t="str">
        <f>IF(ISBLANK(Récap1!AO38),"",Récap1!AO38)</f>
        <v>PVL</v>
      </c>
      <c r="AP38" s="644" t="str">
        <f>IF(ISBLANK(Récap1!AP38),"",Récap1!AP38)</f>
        <v>PVL</v>
      </c>
      <c r="AQ38" s="644" t="str">
        <f>IF(ISBLANK(Récap1!AQ38),"",Récap1!AQ38)</f>
        <v>PVL</v>
      </c>
      <c r="AR38" s="644" t="str">
        <f>IF(ISBLANK(Récap1!AR38),"",Récap1!AR38)</f>
        <v>PVL</v>
      </c>
      <c r="AS38" s="644" t="str">
        <f>IF(ISBLANK(Récap1!AS38),"",Récap1!AS38)</f>
        <v>PVL</v>
      </c>
      <c r="AT38" s="644" t="str">
        <f>IF(ISBLANK(Récap1!AT38),"",Récap1!AT38)</f>
        <v>PVL</v>
      </c>
      <c r="AU38" s="644" t="str">
        <f>IF(ISBLANK(Récap1!AU38),"",Récap1!AU38)</f>
        <v>PVL</v>
      </c>
      <c r="AV38" s="644" t="str">
        <f>IF(ISBLANK(Récap1!AV38),"",Récap1!AV38)</f>
        <v>PVL</v>
      </c>
      <c r="AW38" s="644" t="str">
        <f>IF(ISBLANK(Récap1!AW38),"",Récap1!AW38)</f>
        <v>PVL</v>
      </c>
      <c r="AX38" s="644" t="str">
        <f>IF(ISBLANK(Récap1!AX38),"",Récap1!AX38)</f>
        <v>PVL</v>
      </c>
      <c r="AY38" s="644" t="str">
        <f>IF(ISBLANK(Récap1!AY38),"",Récap1!AY38)</f>
        <v>PVL</v>
      </c>
      <c r="AZ38" s="644" t="str">
        <f>IF(ISBLANK(Récap1!AZ38),"",Récap1!AZ38)</f>
        <v>PVL</v>
      </c>
      <c r="BA38" s="644" t="str">
        <f>IF(ISBLANK(Récap1!BA38),"",Récap1!BA38)</f>
        <v>PVL</v>
      </c>
      <c r="BB38" s="644" t="str">
        <f>IF(ISBLANK(Récap1!BB38),"",Récap1!BB38)</f>
        <v>PVL</v>
      </c>
      <c r="BC38" s="645" t="str">
        <f>IF(ISBLANK(Récap1!BC38),"",Récap1!BC38)</f>
        <v>PVL</v>
      </c>
      <c r="BD38" s="682">
        <f>IF(ISBLANK(Récap1!BD38),"",Récap1!BD38)</f>
        <v>835.59055460326442</v>
      </c>
      <c r="BE38" s="683">
        <f>IF(ISBLANK(Récap1!BE38),"",Récap1!BE38)</f>
        <v>22592.46338568717</v>
      </c>
      <c r="BF38" s="644">
        <f>IF(ISBLANK(Récap1!BF38),"",Récap1!BF38)</f>
        <v>45184.926771374339</v>
      </c>
      <c r="BG38" s="644">
        <f>IF(ISBLANK(Récap1!BG38),"",Récap1!BG38)</f>
        <v>4.4851199999999996E-3</v>
      </c>
      <c r="BH38" s="646">
        <f>IF(ISBLANK(Récap1!BH38),"",Récap1!BH38)</f>
        <v>18.613426061510062</v>
      </c>
      <c r="BI38" s="644">
        <f>IF(ISBLANK(Récap1!BI38),"",Récap1!BI38)</f>
        <v>8.6731420528369565</v>
      </c>
      <c r="BJ38" s="647" t="e">
        <f>IF(ISBLANK(Récap1!#REF!),"",Récap1!#REF!)</f>
        <v>#REF!</v>
      </c>
      <c r="BK38" s="647" t="e">
        <f>IF(ISBLANK(Récap1!#REF!),"",Récap1!#REF!)</f>
        <v>#REF!</v>
      </c>
      <c r="BL38" s="644">
        <f>IF(ISBLANK('HCT2'!H38),"",'HCT2'!H38)</f>
        <v>1.5701131488337743</v>
      </c>
      <c r="BM38" s="644">
        <f>IF(ISBLANK('HCT2'!I38),"",'HCT2'!I38)</f>
        <v>54.968034114356676</v>
      </c>
      <c r="BN38" s="644">
        <f>IF(ISBLANK('HCT2'!J38),"",'HCT2'!J38)</f>
        <v>78.600644801384504</v>
      </c>
      <c r="BO38" s="645">
        <f>IF(ISBLANK('HCT2'!K38),"",'HCT2'!K38)</f>
        <v>104.65279999999998</v>
      </c>
      <c r="BP38" s="644">
        <f>IF(ISBLANK('HCT2'!L38),"",'HCT2'!L38)</f>
        <v>108.23587832836999</v>
      </c>
      <c r="BQ38" s="1228">
        <f>IF(ISBLANK('HCT2'!M38),"",'HCT2'!M38)</f>
        <v>334.56534622860232</v>
      </c>
      <c r="BR38" s="644">
        <f>IF(ISBLANK('HCT2'!N38),"",'HCT2'!N38)</f>
        <v>1400.4148353065164</v>
      </c>
      <c r="BS38" s="644">
        <f>IF(ISBLANK('HCT2'!O38),"",'HCT2'!O38)</f>
        <v>132.97390708062454</v>
      </c>
      <c r="BT38" s="1229">
        <f>IF(ISBLANK('HCT2'!P38),"",'HCT2'!P38)</f>
        <v>0.91395432203249904</v>
      </c>
      <c r="BU38" s="644">
        <f>IF(ISBLANK('HCT2'!Q38),"",'HCT2'!Q38)</f>
        <v>2750.8735999999999</v>
      </c>
      <c r="BV38" s="644">
        <f>IF(ISBLANK('HCT2'!R38),"",'HCT2'!R38)</f>
        <v>2750.8735999999999</v>
      </c>
      <c r="BW38" s="644">
        <f>IF(ISBLANK('HCT2'!S38),"",'HCT2'!S38)</f>
        <v>187.33898380673938</v>
      </c>
      <c r="BX38" s="1228">
        <f>IF(ISBLANK('HCT2'!T38),"",'HCT2'!T38)</f>
        <v>473.51879814241812</v>
      </c>
      <c r="BY38" s="644">
        <f>IF(ISBLANK('HCT2'!U38),"",'HCT2'!U38)</f>
        <v>1414.2893706745458</v>
      </c>
      <c r="BZ38" s="644">
        <f>IF(ISBLANK('HCT2'!V38),"",'HCT2'!V38)</f>
        <v>902.77871121238968</v>
      </c>
      <c r="CA38" s="644">
        <f>IF(ISBLANK('HCT2'!W38),"",'HCT2'!W38)</f>
        <v>94.979316468726893</v>
      </c>
      <c r="CB38" s="647" t="str">
        <f>IF(ISBLANK('HCT2'!X38),"",'HCT2'!X38)</f>
        <v/>
      </c>
      <c r="CC38" s="1230">
        <f>IF(ISBLANK('HCT2'!Y38),"",'HCT2'!Y38)</f>
        <v>137.07136947430078</v>
      </c>
      <c r="CD38" s="1231">
        <f>IF(ISBLANK('HCT2'!Z38),"",'HCT2'!Z38)</f>
        <v>403.12625235787613</v>
      </c>
      <c r="CE38" s="647" t="str">
        <f>IF(ISBLANK('HCT2'!AA38),"",'HCT2'!AA38)</f>
        <v/>
      </c>
      <c r="CF38" s="647" t="str">
        <f>IF(ISBLANK('HCT2'!AB38),"",'HCT2'!AB38)</f>
        <v/>
      </c>
      <c r="CG38" s="1232">
        <f>IF(ISBLANK('HCT2'!AC38),"",'HCT2'!AC38)</f>
        <v>605.80445539490324</v>
      </c>
      <c r="CH38" s="647" t="str">
        <f>IF(ISBLANK('HCT2'!AD38),"",'HCT2'!AD38)</f>
        <v/>
      </c>
      <c r="CI38" s="647" t="str">
        <f>IF(ISBLANK('HCT2'!AE38),"",'HCT2'!AE38)</f>
        <v/>
      </c>
      <c r="CJ38" s="647" t="str">
        <f>IF(ISBLANK('HCT2'!AF38),"",'HCT2'!AF38)</f>
        <v/>
      </c>
      <c r="CK38" s="1233" t="str">
        <f>IF(ISBLANK('HCT2'!AG38),"",'HCT2'!AG38)</f>
        <v/>
      </c>
      <c r="CL38" s="647">
        <f>IF(ISBLANK('HCT2'!AH38),"",'HCT2'!AH38)</f>
        <v>8093.8265218109345</v>
      </c>
      <c r="CM38" s="647">
        <f>IF(ISBLANK('HCT2'!AI38),"",'HCT2'!AI38)</f>
        <v>10469.580330344725</v>
      </c>
      <c r="CN38" s="1233">
        <f>IF(ISBLANK('HCT2'!AJ38),"",'HCT2'!AJ38)</f>
        <v>2642.1516254472454</v>
      </c>
      <c r="CO38" s="647" t="str">
        <f>IF(ISBLANK('HCT2'!AK38),"",'HCT2'!AK38)</f>
        <v/>
      </c>
      <c r="CP38" s="647" t="str">
        <f>IF(ISBLANK('HCT2'!AL38),"",'HCT2'!AL38)</f>
        <v/>
      </c>
      <c r="CQ38" s="647" t="str">
        <f>IF(ISBLANK('HCT2'!AM38),"",'HCT2'!AM38)</f>
        <v/>
      </c>
      <c r="CR38" s="688" t="str">
        <f>IF(ISBLANK('HCT2'!AN38),"",'HCT2'!AN38)</f>
        <v/>
      </c>
      <c r="CS38" s="1234">
        <f>IF(ISBLANK('HCT2'!AO38),"",'HCT2'!AO38)</f>
        <v>605.80445539490324</v>
      </c>
      <c r="CT38" s="1174">
        <f>IF(ISBLANK('HCT2'!AP38),"",'HCT2'!AP38)</f>
        <v>1</v>
      </c>
      <c r="CU38" s="1147">
        <f>IF(ISBLANK('HCT2'!AQ38),"",'HCT2'!AQ38)</f>
        <v>5853.860209398299</v>
      </c>
      <c r="CV38" s="686">
        <f>IF(ISBLANK('HCT2'!AR38),"",'HCT2'!AR38)</f>
        <v>5853.8602093983</v>
      </c>
      <c r="CW38" s="1496" t="e">
        <f>IF(ISBLANK(Récap1!#REF!),"",Récap1!#REF!)</f>
        <v>#REF!</v>
      </c>
      <c r="CX38" s="1496" t="e">
        <f>IF(ISBLANK(Récap1!#REF!),"",Récap1!#REF!)</f>
        <v>#REF!</v>
      </c>
      <c r="CY38" s="1064" t="e">
        <f>IF(ISBLANK(Récap1!#REF!),"",Récap1!#REF!)</f>
        <v>#REF!</v>
      </c>
      <c r="CZ38" s="1064" t="e">
        <f>IF(ISBLANK(Récap1!#REF!),"",Récap1!#REF!)</f>
        <v>#REF!</v>
      </c>
      <c r="DA38" s="1064" t="e">
        <f>IF(ISBLANK(Récap1!#REF!),"",Récap1!#REF!)</f>
        <v>#REF!</v>
      </c>
      <c r="DB38" s="1064" t="e">
        <f>IF(ISBLANK(Récap1!#REF!),"",Récap1!#REF!)</f>
        <v>#REF!</v>
      </c>
      <c r="DC38" s="1496">
        <f>IF(ISBLANK('HCT2'!AS38),"",'HCT2'!AS38)</f>
        <v>8944.1402444441101</v>
      </c>
      <c r="DD38" s="1064">
        <f>IF(ISBLANK('HCT2'!AT38),"",'HCT2'!AT38)</f>
        <v>21049.739385869594</v>
      </c>
      <c r="DE38" s="1064" t="str">
        <f>IF(ISBLANK('HCT2'!AU38),"",'HCT2'!AU38)</f>
        <v>PVL</v>
      </c>
      <c r="DF38" s="1064" t="str">
        <f>IF(ISBLANK('HCT2'!AV38),"",'HCT2'!AV38)</f>
        <v>PVL</v>
      </c>
      <c r="DG38" s="1064" t="str">
        <f>IF(ISBLANK('HCT2'!AW38),"",'HCT2'!AW38)</f>
        <v/>
      </c>
      <c r="DH38" s="1064" t="str">
        <f>IF(ISBLANK('HCT2'!AX38),"",'HCT2'!AX38)</f>
        <v/>
      </c>
      <c r="DI38" s="1064" t="str">
        <f>IF(ISBLANK('HCT2'!AY38),"",'HCT2'!AY38)</f>
        <v/>
      </c>
      <c r="DJ38" s="1497">
        <f>IF(ISBLANK('HCT2'!AZ38),"",'HCT2'!AZ38)</f>
        <v>3498.0326385664821</v>
      </c>
      <c r="DK38" s="1064">
        <f>IF(ISBLANK('HCT2'!BA38),"",'HCT2'!BA38)</f>
        <v>3197.5712620037066</v>
      </c>
      <c r="DL38" s="1064" t="str">
        <f>IF(ISBLANK('HCT2'!BB38),"",'HCT2'!BB38)</f>
        <v>PVL</v>
      </c>
      <c r="DM38" s="1498" t="str">
        <f>IF(ISBLANK('HCT2'!BC38),"",'HCT2'!BC38)</f>
        <v>PVL</v>
      </c>
      <c r="DN38" s="1499">
        <f>IF(ISBLANK('HCT2'!BD38),"",'HCT2'!BD38)</f>
        <v>3197.5712620037066</v>
      </c>
      <c r="DO38" s="1475">
        <f>IF(ISBLANK('HCT2'!BE38),"",'HCT2'!BE38)</f>
        <v>0.68160323968664671</v>
      </c>
      <c r="DP38" s="1500">
        <f>IF(ISBLANK('HCT2'!BF38),"",'HCT2'!BF38)</f>
        <v>5315.0984904613806</v>
      </c>
      <c r="DQ38" s="920">
        <f t="shared" si="0"/>
        <v>4754.4342394358564</v>
      </c>
      <c r="DS38" s="56">
        <f t="shared" si="1"/>
        <v>2752.4437131488335</v>
      </c>
      <c r="DT38" s="56">
        <f t="shared" si="1"/>
        <v>2805.8416341143566</v>
      </c>
      <c r="DU38" s="56">
        <f t="shared" si="2"/>
        <v>295.57486213510936</v>
      </c>
      <c r="DV38" s="870">
        <f t="shared" si="2"/>
        <v>808.08414437102044</v>
      </c>
      <c r="DW38" s="56">
        <f t="shared" si="2"/>
        <v>2814.7042059810619</v>
      </c>
      <c r="DX38" s="56">
        <f t="shared" si="2"/>
        <v>1035.7526182930142</v>
      </c>
      <c r="DY38" s="56">
        <f t="shared" si="2"/>
        <v>95.893270790759388</v>
      </c>
    </row>
    <row r="39" spans="1:131" s="26" customFormat="1" hidden="1">
      <c r="A39" s="482"/>
      <c r="B39" s="27"/>
      <c r="D39" s="502"/>
      <c r="E39" s="103" t="str">
        <f>IF(ISBLANK(Récap1!E39),"",Récap1!E39)</f>
        <v>Seuil (cancérigène)</v>
      </c>
      <c r="F39" s="14" t="str">
        <f>IF(ISBLANK(Récap1!F39),"",Récap1!F39)</f>
        <v>Cs</v>
      </c>
      <c r="G39" s="105" t="str">
        <f>IF(ISBLANK(Récap1!G39),"",Récap1!G39)</f>
        <v>mg/kg ms</v>
      </c>
      <c r="H39" s="85" t="str">
        <f>IF(ISBLANK(Récap1!H39),"",Récap1!H39)</f>
        <v>PVL</v>
      </c>
      <c r="I39" s="56" t="str">
        <f>IF(ISBLANK(Récap1!I39),"",Récap1!I39)</f>
        <v>PVL</v>
      </c>
      <c r="J39" s="644" t="str">
        <f>IF(ISBLANK(Récap1!J39),"",Récap1!J39)</f>
        <v>PVL</v>
      </c>
      <c r="K39" s="643">
        <f>IF(ISBLANK(Récap1!K39),"",Récap1!K39)</f>
        <v>52.3264</v>
      </c>
      <c r="L39" s="644" t="str">
        <f>IF(ISBLANK(Récap1!L39),"",Récap1!L39)</f>
        <v>PVL</v>
      </c>
      <c r="M39" s="644" t="str">
        <f>IF(ISBLANK(Récap1!M39),"",Récap1!M39)</f>
        <v>PVL</v>
      </c>
      <c r="N39" s="644">
        <f>IF(ISBLANK(Récap1!N39),"",Récap1!N39)</f>
        <v>26.163199999999996</v>
      </c>
      <c r="O39" s="644">
        <f>IF(ISBLANK(Récap1!O39),"",Récap1!O39)</f>
        <v>26.163199999999996</v>
      </c>
      <c r="P39" s="644">
        <f>IF(ISBLANK(Récap1!P39),"",Récap1!P39)</f>
        <v>8.8688813559322028</v>
      </c>
      <c r="Q39" s="644">
        <f>IF(ISBLANK(Récap1!Q39),"",Récap1!Q39)</f>
        <v>8.8688813559322028</v>
      </c>
      <c r="R39" s="644">
        <f>IF(ISBLANK(Récap1!R39),"",Récap1!R39)</f>
        <v>52.326399999999992</v>
      </c>
      <c r="S39" s="644">
        <f>IF(ISBLANK(Récap1!S39),"",Récap1!S39)</f>
        <v>2.2750608695652166</v>
      </c>
      <c r="T39" s="644">
        <f>IF(ISBLANK(Récap1!T39),"",Récap1!T39)</f>
        <v>2.2750608695652166</v>
      </c>
      <c r="U39" s="644">
        <f>IF(ISBLANK(Récap1!U39),"",Récap1!U39)</f>
        <v>1.2458666666666667</v>
      </c>
      <c r="V39" s="681" t="str">
        <f>IF(ISBLANK(Récap1!V39),"",Récap1!V39)</f>
        <v>PVL</v>
      </c>
      <c r="W39" s="644" t="str">
        <f>IF(ISBLANK(Récap1!W39),"",Récap1!W39)</f>
        <v>PVL</v>
      </c>
      <c r="X39" s="644">
        <f>IF(ISBLANK(Récap1!X39),"",Récap1!X39)</f>
        <v>8.7210666666666654</v>
      </c>
      <c r="Y39" s="644" t="str">
        <f>IF(ISBLANK(Récap1!Y39),"",Récap1!Y39)</f>
        <v>PVL</v>
      </c>
      <c r="Z39" s="644">
        <f>IF(ISBLANK(Récap1!Z39),"",Récap1!Z39)</f>
        <v>20.93056</v>
      </c>
      <c r="AA39" s="645" t="str">
        <f>IF(ISBLANK(Récap1!AA39),"",Récap1!AA39)</f>
        <v>PVL</v>
      </c>
      <c r="AB39" s="644" t="str">
        <f>IF(ISBLANK(Récap1!AB39),"",Récap1!AB39)</f>
        <v>PVL</v>
      </c>
      <c r="AC39" s="1228" t="str">
        <f>IF(ISBLANK(Récap1!AC39),"",Récap1!AC39)</f>
        <v>PVL</v>
      </c>
      <c r="AD39" s="644" t="str">
        <f>IF(ISBLANK(Récap1!AD39),"",Récap1!AD39)</f>
        <v>PVL</v>
      </c>
      <c r="AE39" s="644" t="str">
        <f>IF(ISBLANK(Récap1!AE39),"",Récap1!AE39)</f>
        <v>PVL</v>
      </c>
      <c r="AF39" s="1229" t="str">
        <f>IF(ISBLANK(Récap1!AF39),"",Récap1!AF39)</f>
        <v>PVL</v>
      </c>
      <c r="AG39" s="644" t="str">
        <f>IF(ISBLANK(Récap1!AG39),"",Récap1!AG39)</f>
        <v>PVL</v>
      </c>
      <c r="AH39" s="644" t="str">
        <f>IF(ISBLANK(Récap1!AH39),"",Récap1!AH39)</f>
        <v>PVL</v>
      </c>
      <c r="AI39" s="644" t="str">
        <f>IF(ISBLANK(Récap1!AI39),"",Récap1!AI39)</f>
        <v>PVL</v>
      </c>
      <c r="AJ39" s="1228" t="str">
        <f>IF(ISBLANK(Récap1!AJ39),"",Récap1!AJ39)</f>
        <v>PVL</v>
      </c>
      <c r="AK39" s="644" t="str">
        <f>IF(ISBLANK(Récap1!AK39),"",Récap1!AK39)</f>
        <v>PVL</v>
      </c>
      <c r="AL39" s="644" t="str">
        <f>IF(ISBLANK(Récap1!AL39),"",Récap1!AL39)</f>
        <v>PVL</v>
      </c>
      <c r="AM39" s="644" t="str">
        <f>IF(ISBLANK(Récap1!AM39),"",Récap1!AM39)</f>
        <v>PVL</v>
      </c>
      <c r="AN39" s="643">
        <f>IF(ISBLANK(Récap1!AN39),"",Récap1!AN39)</f>
        <v>9.2393492699910631</v>
      </c>
      <c r="AO39" s="644">
        <f>IF(ISBLANK(Récap1!AO39),"",Récap1!AO39)</f>
        <v>770.0784230011044</v>
      </c>
      <c r="AP39" s="644">
        <f>IF(ISBLANK(Récap1!AP39),"",Récap1!AP39)</f>
        <v>542.28898030549828</v>
      </c>
      <c r="AQ39" s="644">
        <f>IF(ISBLANK(Récap1!AQ39),"",Récap1!AQ39)</f>
        <v>1098.3911682500118</v>
      </c>
      <c r="AR39" s="644">
        <f>IF(ISBLANK(Récap1!AR39),"",Récap1!AR39)</f>
        <v>4368.8221564870764</v>
      </c>
      <c r="AS39" s="644">
        <f>IF(ISBLANK(Récap1!AS39),"",Récap1!AS39)</f>
        <v>349.95077390618565</v>
      </c>
      <c r="AT39" s="644">
        <f>IF(ISBLANK(Récap1!AT39),"",Récap1!AT39)</f>
        <v>43837.643700402426</v>
      </c>
      <c r="AU39" s="644">
        <f>IF(ISBLANK(Récap1!AU39),"",Récap1!AU39)</f>
        <v>44940.913241780683</v>
      </c>
      <c r="AV39" s="644">
        <f>IF(ISBLANK(Récap1!AV39),"",Récap1!AV39)</f>
        <v>2939.7950153945944</v>
      </c>
      <c r="AW39" s="644">
        <f>IF(ISBLANK(Récap1!AW39),"",Récap1!AW39)</f>
        <v>28948.358307130846</v>
      </c>
      <c r="AX39" s="644">
        <f>IF(ISBLANK(Récap1!AX39),"",Récap1!AX39)</f>
        <v>13057.743084507054</v>
      </c>
      <c r="AY39" s="644">
        <f>IF(ISBLANK(Récap1!AY39),"",Récap1!AY39)</f>
        <v>19024.98983816609</v>
      </c>
      <c r="AZ39" s="644">
        <f>IF(ISBLANK(Récap1!AZ39),"",Récap1!AZ39)</f>
        <v>2125.3017090708236</v>
      </c>
      <c r="BA39" s="644">
        <f>IF(ISBLANK(Récap1!BA39),"",Récap1!BA39)</f>
        <v>9188.4185800734576</v>
      </c>
      <c r="BB39" s="644">
        <f>IF(ISBLANK(Récap1!BB39),"",Récap1!BB39)</f>
        <v>367723.76968663209</v>
      </c>
      <c r="BC39" s="645">
        <f>IF(ISBLANK(Récap1!BC39),"",Récap1!BC39)</f>
        <v>154941.91693464172</v>
      </c>
      <c r="BD39" s="682" t="str">
        <f>IF(ISBLANK(Récap1!BD39),"",Récap1!BD39)</f>
        <v>PVL</v>
      </c>
      <c r="BE39" s="683">
        <f>IF(ISBLANK(Récap1!BE39),"",Récap1!BE39)</f>
        <v>373.8657029902983</v>
      </c>
      <c r="BF39" s="644">
        <f>IF(ISBLANK(Récap1!BF39),"",Récap1!BF39)</f>
        <v>747.73140598059661</v>
      </c>
      <c r="BG39" s="644" t="str">
        <f>IF(ISBLANK(Récap1!BG39),"",Récap1!BG39)</f>
        <v>PVL</v>
      </c>
      <c r="BH39" s="646" t="str">
        <f>IF(ISBLANK(Récap1!BH39),"",Récap1!BH39)</f>
        <v>PVL</v>
      </c>
      <c r="BI39" s="644" t="str">
        <f>IF(ISBLANK(Récap1!BI39),"",Récap1!BI39)</f>
        <v>PVL</v>
      </c>
      <c r="BJ39" s="647" t="e">
        <f>IF(ISBLANK(Récap1!#REF!),"",Récap1!#REF!)</f>
        <v>#REF!</v>
      </c>
      <c r="BK39" s="647" t="e">
        <f>IF(ISBLANK(Récap1!#REF!),"",Récap1!#REF!)</f>
        <v>#REF!</v>
      </c>
      <c r="BL39" s="644">
        <f>IF(ISBLANK('HCT2'!H39),"",'HCT2'!H39)</f>
        <v>8.7210666666666654</v>
      </c>
      <c r="BM39" s="644" t="str">
        <f>IF(ISBLANK('HCT2'!I39),"",'HCT2'!I39)</f>
        <v>PVL</v>
      </c>
      <c r="BN39" s="644">
        <f>IF(ISBLANK('HCT2'!J39),"",'HCT2'!J39)</f>
        <v>20.93056</v>
      </c>
      <c r="BO39" s="645" t="str">
        <f>IF(ISBLANK('HCT2'!K39),"",'HCT2'!K39)</f>
        <v>PVL</v>
      </c>
      <c r="BP39" s="644" t="e">
        <f>IF(ISBLANK('HCT2'!L39),"",'HCT2'!L39)</f>
        <v>#VALUE!</v>
      </c>
      <c r="BQ39" s="1228" t="e">
        <f>IF(ISBLANK('HCT2'!M39),"",'HCT2'!M39)</f>
        <v>#VALUE!</v>
      </c>
      <c r="BR39" s="644" t="e">
        <f>IF(ISBLANK('HCT2'!N39),"",'HCT2'!N39)</f>
        <v>#VALUE!</v>
      </c>
      <c r="BS39" s="644" t="e">
        <f>IF(ISBLANK('HCT2'!O39),"",'HCT2'!O39)</f>
        <v>#VALUE!</v>
      </c>
      <c r="BT39" s="1229" t="e">
        <f>IF(ISBLANK('HCT2'!P39),"",'HCT2'!P39)</f>
        <v>#VALUE!</v>
      </c>
      <c r="BU39" s="644" t="e">
        <f>IF(ISBLANK('HCT2'!Q39),"",'HCT2'!Q39)</f>
        <v>#VALUE!</v>
      </c>
      <c r="BV39" s="644" t="e">
        <f>IF(ISBLANK('HCT2'!R39),"",'HCT2'!R39)</f>
        <v>#VALUE!</v>
      </c>
      <c r="BW39" s="644" t="e">
        <f>IF(ISBLANK('HCT2'!S39),"",'HCT2'!S39)</f>
        <v>#VALUE!</v>
      </c>
      <c r="BX39" s="1228" t="e">
        <f>IF(ISBLANK('HCT2'!T39),"",'HCT2'!T39)</f>
        <v>#VALUE!</v>
      </c>
      <c r="BY39" s="644" t="e">
        <f>IF(ISBLANK('HCT2'!U39),"",'HCT2'!U39)</f>
        <v>#VALUE!</v>
      </c>
      <c r="BZ39" s="644" t="e">
        <f>IF(ISBLANK('HCT2'!V39),"",'HCT2'!V39)</f>
        <v>#VALUE!</v>
      </c>
      <c r="CA39" s="644" t="e">
        <f>IF(ISBLANK('HCT2'!W39),"",'HCT2'!W39)</f>
        <v>#VALUE!</v>
      </c>
      <c r="CB39" s="647" t="str">
        <f>IF(ISBLANK('HCT2'!X39),"",'HCT2'!X39)</f>
        <v/>
      </c>
      <c r="CC39" s="1230">
        <f>IF(ISBLANK('HCT2'!Y39),"",'HCT2'!Y39)</f>
        <v>761.35185044758293</v>
      </c>
      <c r="CD39" s="1231" t="str">
        <f>IF(ISBLANK('HCT2'!Z39),"",'HCT2'!Z39)</f>
        <v>PVL</v>
      </c>
      <c r="CE39" s="647" t="str">
        <f>IF(ISBLANK('HCT2'!AA39),"",'HCT2'!AA39)</f>
        <v/>
      </c>
      <c r="CF39" s="647" t="str">
        <f>IF(ISBLANK('HCT2'!AB39),"",'HCT2'!AB39)</f>
        <v/>
      </c>
      <c r="CG39" s="1232" t="str">
        <f>IF(ISBLANK('HCT2'!AC39),"",'HCT2'!AC39)</f>
        <v>PVL</v>
      </c>
      <c r="CH39" s="647" t="str">
        <f>IF(ISBLANK('HCT2'!AD39),"",'HCT2'!AD39)</f>
        <v/>
      </c>
      <c r="CI39" s="647" t="str">
        <f>IF(ISBLANK('HCT2'!AE39),"",'HCT2'!AE39)</f>
        <v/>
      </c>
      <c r="CJ39" s="647" t="str">
        <f>IF(ISBLANK('HCT2'!AF39),"",'HCT2'!AF39)</f>
        <v/>
      </c>
      <c r="CK39" s="1233" t="str">
        <f>IF(ISBLANK('HCT2'!AG39),"",'HCT2'!AG39)</f>
        <v/>
      </c>
      <c r="CL39" s="647" t="str">
        <f>IF(ISBLANK('HCT2'!AH39),"",'HCT2'!AH39)</f>
        <v>PVL</v>
      </c>
      <c r="CM39" s="647" t="str">
        <f>IF(ISBLANK('HCT2'!AI39),"",'HCT2'!AI39)</f>
        <v>PVL</v>
      </c>
      <c r="CN39" s="1233" t="str">
        <f>IF(ISBLANK('HCT2'!AJ39),"",'HCT2'!AJ39)</f>
        <v>PVL</v>
      </c>
      <c r="CO39" s="647" t="str">
        <f>IF(ISBLANK('HCT2'!AK39),"",'HCT2'!AK39)</f>
        <v/>
      </c>
      <c r="CP39" s="647" t="str">
        <f>IF(ISBLANK('HCT2'!AL39),"",'HCT2'!AL39)</f>
        <v/>
      </c>
      <c r="CQ39" s="647" t="str">
        <f>IF(ISBLANK('HCT2'!AM39),"",'HCT2'!AM39)</f>
        <v/>
      </c>
      <c r="CR39" s="688" t="str">
        <f>IF(ISBLANK('HCT2'!AN39),"",'HCT2'!AN39)</f>
        <v/>
      </c>
      <c r="CS39" s="1234" t="str">
        <f>IF(ISBLANK('HCT2'!AO39),"",'HCT2'!AO39)</f>
        <v>PVL</v>
      </c>
      <c r="CT39" s="1174">
        <f>IF(ISBLANK('HCT2'!AP39),"",'HCT2'!AP39)</f>
        <v>1.145471264243954E-2</v>
      </c>
      <c r="CU39" s="1147">
        <f>IF(ISBLANK('HCT2'!AQ39),"",'HCT2'!AQ39)</f>
        <v>761.35185044758293</v>
      </c>
      <c r="CV39" s="686" t="e">
        <f>IF(ISBLANK('HCT2'!AR39),"",'HCT2'!AR39)</f>
        <v>#VALUE!</v>
      </c>
      <c r="CW39" s="1496" t="e">
        <f>IF(ISBLANK(Récap1!#REF!),"",Récap1!#REF!)</f>
        <v>#REF!</v>
      </c>
      <c r="CX39" s="1496" t="e">
        <f>IF(ISBLANK(Récap1!#REF!),"",Récap1!#REF!)</f>
        <v>#REF!</v>
      </c>
      <c r="CY39" s="1064" t="e">
        <f>IF(ISBLANK(Récap1!#REF!),"",Récap1!#REF!)</f>
        <v>#REF!</v>
      </c>
      <c r="CZ39" s="1064" t="e">
        <f>IF(ISBLANK(Récap1!#REF!),"",Récap1!#REF!)</f>
        <v>#REF!</v>
      </c>
      <c r="DA39" s="1064" t="e">
        <f>IF(ISBLANK(Récap1!#REF!),"",Récap1!#REF!)</f>
        <v>#REF!</v>
      </c>
      <c r="DB39" s="1064" t="e">
        <f>IF(ISBLANK(Récap1!#REF!),"",Récap1!#REF!)</f>
        <v>#REF!</v>
      </c>
      <c r="DC39" s="1496" t="str">
        <f>IF(ISBLANK('HCT2'!AS39),"",'HCT2'!AS39)</f>
        <v>PVL</v>
      </c>
      <c r="DD39" s="1064" t="str">
        <f>IF(ISBLANK('HCT2'!AT39),"",'HCT2'!AT39)</f>
        <v>PVL</v>
      </c>
      <c r="DE39" s="1064" t="str">
        <f>IF(ISBLANK('HCT2'!AU39),"",'HCT2'!AU39)</f>
        <v>PVL</v>
      </c>
      <c r="DF39" s="1064" t="str">
        <f>IF(ISBLANK('HCT2'!AV39),"",'HCT2'!AV39)</f>
        <v>PVL</v>
      </c>
      <c r="DG39" s="1064" t="str">
        <f>IF(ISBLANK('HCT2'!AW39),"",'HCT2'!AW39)</f>
        <v/>
      </c>
      <c r="DH39" s="1064" t="str">
        <f>IF(ISBLANK('HCT2'!AX39),"",'HCT2'!AX39)</f>
        <v/>
      </c>
      <c r="DI39" s="1064" t="str">
        <f>IF(ISBLANK('HCT2'!AY39),"",'HCT2'!AY39)</f>
        <v/>
      </c>
      <c r="DJ39" s="1497" t="str">
        <f>IF(ISBLANK('HCT2'!AZ39),"",'HCT2'!AZ39)</f>
        <v>PVL</v>
      </c>
      <c r="DK39" s="1064" t="str">
        <f>IF(ISBLANK('HCT2'!BA39),"",'HCT2'!BA39)</f>
        <v>PVL</v>
      </c>
      <c r="DL39" s="1064" t="str">
        <f>IF(ISBLANK('HCT2'!BB39),"",'HCT2'!BB39)</f>
        <v>PVL</v>
      </c>
      <c r="DM39" s="1498" t="str">
        <f>IF(ISBLANK('HCT2'!BC39),"",'HCT2'!BC39)</f>
        <v>PVL</v>
      </c>
      <c r="DN39" s="1499" t="str">
        <f>IF(ISBLANK('HCT2'!BD39),"",'HCT2'!BD39)</f>
        <v>PVL</v>
      </c>
      <c r="DO39" s="1475">
        <f>IF(ISBLANK('HCT2'!BE39),"",'HCT2'!BE39)</f>
        <v>0</v>
      </c>
      <c r="DP39" s="1500" t="str">
        <f>IF(ISBLANK('HCT2'!BF39),"",'HCT2'!BF39)</f>
        <v>PVL</v>
      </c>
      <c r="DQ39" s="920" t="e">
        <f t="shared" si="0"/>
        <v>#VALUE!</v>
      </c>
      <c r="DS39" s="56" t="e">
        <f t="shared" si="1"/>
        <v>#VALUE!</v>
      </c>
      <c r="DT39" s="56" t="e">
        <f t="shared" si="1"/>
        <v>#VALUE!</v>
      </c>
      <c r="DU39" s="56" t="e">
        <f t="shared" si="2"/>
        <v>#VALUE!</v>
      </c>
      <c r="DV39" s="870" t="e">
        <f t="shared" si="2"/>
        <v>#VALUE!</v>
      </c>
      <c r="DW39" s="56" t="e">
        <f t="shared" si="2"/>
        <v>#VALUE!</v>
      </c>
      <c r="DX39" s="56" t="e">
        <f t="shared" si="2"/>
        <v>#VALUE!</v>
      </c>
      <c r="DY39" s="56" t="e">
        <f t="shared" si="2"/>
        <v>#VALUE!</v>
      </c>
    </row>
    <row r="40" spans="1:131" s="26" customFormat="1" hidden="1">
      <c r="A40" s="17"/>
      <c r="B40" s="27"/>
      <c r="C40" s="77"/>
      <c r="D40" s="502"/>
      <c r="E40" s="103" t="str">
        <f>IF(ISBLANK(Récap1!E40),"",Récap1!E40)</f>
        <v>Seuil avant contrôle de la saturation</v>
      </c>
      <c r="F40" s="14" t="str">
        <f>IF(ISBLANK(Récap1!F40),"",Récap1!F40)</f>
        <v>Cs</v>
      </c>
      <c r="G40" s="105" t="str">
        <f>IF(ISBLANK(Récap1!G40),"",Récap1!G40)</f>
        <v>mg/kg ms</v>
      </c>
      <c r="H40" s="119">
        <f>IF(ISBLANK(Récap1!H40),"",Récap1!H40)</f>
        <v>2961.0271017264263</v>
      </c>
      <c r="I40" s="113">
        <f>IF(ISBLANK(Récap1!I40),"",Récap1!I40)</f>
        <v>2961.0271017264263</v>
      </c>
      <c r="J40" s="231">
        <f>IF(ISBLANK(Récap1!J40),"",Récap1!J40)</f>
        <v>22150.011177746623</v>
      </c>
      <c r="K40" s="648">
        <f>IF(ISBLANK(Récap1!K40),"",Récap1!K40)</f>
        <v>8.372224000000001</v>
      </c>
      <c r="L40" s="231">
        <f>IF(ISBLANK(Récap1!L40),"",Récap1!L40)</f>
        <v>11.472818781744243</v>
      </c>
      <c r="M40" s="231">
        <f>IF(ISBLANK(Récap1!M40),"",Récap1!M40)</f>
        <v>11.472818781744243</v>
      </c>
      <c r="N40" s="231">
        <f>IF(ISBLANK(Récap1!N40),"",Récap1!N40)</f>
        <v>26.163199999999996</v>
      </c>
      <c r="O40" s="231">
        <f>IF(ISBLANK(Récap1!O40),"",Récap1!O40)</f>
        <v>26.163199999999996</v>
      </c>
      <c r="P40" s="231">
        <f>IF(ISBLANK(Récap1!P40),"",Récap1!P40)</f>
        <v>5.2326400000000008</v>
      </c>
      <c r="Q40" s="231">
        <f>IF(ISBLANK(Récap1!Q40),"",Récap1!Q40)</f>
        <v>5.2326400000000008</v>
      </c>
      <c r="R40" s="231">
        <f>IF(ISBLANK(Récap1!R40),"",Récap1!R40)</f>
        <v>52.326399999999992</v>
      </c>
      <c r="S40" s="231">
        <f>IF(ISBLANK(Récap1!S40),"",Récap1!S40)</f>
        <v>2.2750608695652166</v>
      </c>
      <c r="T40" s="231">
        <f>IF(ISBLANK(Récap1!T40),"",Récap1!T40)</f>
        <v>2.2750608695652166</v>
      </c>
      <c r="U40" s="231">
        <f>IF(ISBLANK(Récap1!U40),"",Récap1!U40)</f>
        <v>1.2458666666666667</v>
      </c>
      <c r="V40" s="670">
        <f>IF(ISBLANK(Récap1!V40),"",Récap1!V40)</f>
        <v>149.50399999999999</v>
      </c>
      <c r="W40" s="231">
        <f>IF(ISBLANK(Récap1!W40),"",Récap1!W40)</f>
        <v>149.50399999999999</v>
      </c>
      <c r="X40" s="231">
        <f>IF(ISBLANK(Récap1!X40),"",Récap1!X40)</f>
        <v>1.5701131488337743</v>
      </c>
      <c r="Y40" s="231">
        <f>IF(ISBLANK(Récap1!Y40),"",Récap1!Y40)</f>
        <v>54.968034114356676</v>
      </c>
      <c r="Z40" s="231">
        <f>IF(ISBLANK(Récap1!Z40),"",Récap1!Z40)</f>
        <v>20.93056</v>
      </c>
      <c r="AA40" s="232">
        <f>IF(ISBLANK(Récap1!AA40),"",Récap1!AA40)</f>
        <v>104.65279999999998</v>
      </c>
      <c r="AB40" s="231">
        <f>IF(ISBLANK(Récap1!AB40),"",Récap1!AB40)</f>
        <v>108.23587832836999</v>
      </c>
      <c r="AC40" s="1253">
        <f>IF(ISBLANK(Récap1!AC40),"",Récap1!AC40)</f>
        <v>334.56534622860232</v>
      </c>
      <c r="AD40" s="231">
        <f>IF(ISBLANK(Récap1!AD40),"",Récap1!AD40)</f>
        <v>1400.4148353065164</v>
      </c>
      <c r="AE40" s="231" t="str">
        <f>IF(ISBLANK(Récap1!AE40),"",Récap1!AE40)</f>
        <v>PVL</v>
      </c>
      <c r="AF40" s="1254" t="str">
        <f>IF(ISBLANK(Récap1!AF40),"",Récap1!AF40)</f>
        <v>PVL</v>
      </c>
      <c r="AG40" s="231">
        <f>IF(ISBLANK(Récap1!AG40),"",Récap1!AG40)</f>
        <v>2750.8735999999999</v>
      </c>
      <c r="AH40" s="231">
        <f>IF(ISBLANK(Récap1!AH40),"",Récap1!AH40)</f>
        <v>2750.8735999999999</v>
      </c>
      <c r="AI40" s="231">
        <f>IF(ISBLANK(Récap1!AI40),"",Récap1!AI40)</f>
        <v>187.33898380673938</v>
      </c>
      <c r="AJ40" s="1253">
        <f>IF(ISBLANK(Récap1!AJ40),"",Récap1!AJ40)</f>
        <v>473.51879814241812</v>
      </c>
      <c r="AK40" s="231">
        <f>IF(ISBLANK(Récap1!AK40),"",Récap1!AK40)</f>
        <v>1414.2893706745458</v>
      </c>
      <c r="AL40" s="231" t="str">
        <f>IF(ISBLANK(Récap1!AL40),"",Récap1!AL40)</f>
        <v>PVL</v>
      </c>
      <c r="AM40" s="231" t="str">
        <f>IF(ISBLANK(Récap1!AM40),"",Récap1!AM40)</f>
        <v>PVL</v>
      </c>
      <c r="AN40" s="648">
        <f>IF(ISBLANK(Récap1!AN40),"",Récap1!AN40)</f>
        <v>9.2393492699910631</v>
      </c>
      <c r="AO40" s="231">
        <f>IF(ISBLANK(Récap1!AO40),"",Récap1!AO40)</f>
        <v>770.0784230011044</v>
      </c>
      <c r="AP40" s="231">
        <f>IF(ISBLANK(Récap1!AP40),"",Récap1!AP40)</f>
        <v>542.28898030549828</v>
      </c>
      <c r="AQ40" s="231">
        <f>IF(ISBLANK(Récap1!AQ40),"",Récap1!AQ40)</f>
        <v>1098.3911682500118</v>
      </c>
      <c r="AR40" s="231">
        <f>IF(ISBLANK(Récap1!AR40),"",Récap1!AR40)</f>
        <v>4368.8221564870764</v>
      </c>
      <c r="AS40" s="231">
        <f>IF(ISBLANK(Récap1!AS40),"",Récap1!AS40)</f>
        <v>349.95077390618565</v>
      </c>
      <c r="AT40" s="231">
        <f>IF(ISBLANK(Récap1!AT40),"",Récap1!AT40)</f>
        <v>43837.643700402426</v>
      </c>
      <c r="AU40" s="231">
        <f>IF(ISBLANK(Récap1!AU40),"",Récap1!AU40)</f>
        <v>44940.913241780683</v>
      </c>
      <c r="AV40" s="231">
        <f>IF(ISBLANK(Récap1!AV40),"",Récap1!AV40)</f>
        <v>2939.7950153945944</v>
      </c>
      <c r="AW40" s="231">
        <f>IF(ISBLANK(Récap1!AW40),"",Récap1!AW40)</f>
        <v>28948.358307130846</v>
      </c>
      <c r="AX40" s="231">
        <f>IF(ISBLANK(Récap1!AX40),"",Récap1!AX40)</f>
        <v>13057.743084507054</v>
      </c>
      <c r="AY40" s="231">
        <f>IF(ISBLANK(Récap1!AY40),"",Récap1!AY40)</f>
        <v>19024.98983816609</v>
      </c>
      <c r="AZ40" s="231">
        <f>IF(ISBLANK(Récap1!AZ40),"",Récap1!AZ40)</f>
        <v>2125.3017090708236</v>
      </c>
      <c r="BA40" s="231">
        <f>IF(ISBLANK(Récap1!BA40),"",Récap1!BA40)</f>
        <v>9188.4185800734576</v>
      </c>
      <c r="BB40" s="231">
        <f>IF(ISBLANK(Récap1!BB40),"",Récap1!BB40)</f>
        <v>367723.76968663209</v>
      </c>
      <c r="BC40" s="232">
        <f>IF(ISBLANK(Récap1!BC40),"",Récap1!BC40)</f>
        <v>154941.91693464172</v>
      </c>
      <c r="BD40" s="671">
        <f>IF(ISBLANK(Récap1!BD40),"",Récap1!BD40)</f>
        <v>835.59055460326442</v>
      </c>
      <c r="BE40" s="669">
        <f>IF(ISBLANK(Récap1!BE40),"",Récap1!BE40)</f>
        <v>373.8657029902983</v>
      </c>
      <c r="BF40" s="231">
        <f>IF(ISBLANK(Récap1!BF40),"",Récap1!BF40)</f>
        <v>747.73140598059661</v>
      </c>
      <c r="BG40" s="231">
        <f>IF(ISBLANK(Récap1!BG40),"",Récap1!BG40)</f>
        <v>4.4851199999999996E-3</v>
      </c>
      <c r="BH40" s="646">
        <f>IF(ISBLANK(Récap1!BH40),"",Récap1!BH40)</f>
        <v>18.613426061510062</v>
      </c>
      <c r="BI40" s="231">
        <f>IF(ISBLANK(Récap1!BI40),"",Récap1!BI40)</f>
        <v>8.6731420528369565</v>
      </c>
      <c r="BJ40" s="647" t="e">
        <f>IF(ISBLANK(Récap1!#REF!),"",Récap1!#REF!)</f>
        <v>#REF!</v>
      </c>
      <c r="BK40" s="647" t="e">
        <f>IF(ISBLANK(Récap1!#REF!),"",Récap1!#REF!)</f>
        <v>#REF!</v>
      </c>
      <c r="BL40" s="231">
        <f>IF(ISBLANK('HCT2'!H40),"",'HCT2'!H40)</f>
        <v>1.5701131488337743</v>
      </c>
      <c r="BM40" s="231">
        <f>IF(ISBLANK('HCT2'!I40),"",'HCT2'!I40)</f>
        <v>54.968034114356676</v>
      </c>
      <c r="BN40" s="231">
        <f>IF(ISBLANK('HCT2'!J40),"",'HCT2'!J40)</f>
        <v>20.93056</v>
      </c>
      <c r="BO40" s="232">
        <f>IF(ISBLANK('HCT2'!K40),"",'HCT2'!K40)</f>
        <v>104.65279999999998</v>
      </c>
      <c r="BP40" s="231">
        <f>IF(ISBLANK('HCT2'!L40),"",'HCT2'!L40)</f>
        <v>108.23587832836999</v>
      </c>
      <c r="BQ40" s="1253">
        <f>IF(ISBLANK('HCT2'!M40),"",'HCT2'!M40)</f>
        <v>334.56534622860232</v>
      </c>
      <c r="BR40" s="231">
        <f>IF(ISBLANK('HCT2'!N40),"",'HCT2'!N40)</f>
        <v>1400.4148353065164</v>
      </c>
      <c r="BS40" s="231">
        <f>IF(ISBLANK('HCT2'!O40),"",'HCT2'!O40)</f>
        <v>132.97390708062454</v>
      </c>
      <c r="BT40" s="1254">
        <f>IF(ISBLANK('HCT2'!P40),"",'HCT2'!P40)</f>
        <v>0.91395432203249904</v>
      </c>
      <c r="BU40" s="231">
        <f>IF(ISBLANK('HCT2'!Q40),"",'HCT2'!Q40)</f>
        <v>2750.8735999999999</v>
      </c>
      <c r="BV40" s="231">
        <f>IF(ISBLANK('HCT2'!R40),"",'HCT2'!R40)</f>
        <v>2750.8735999999999</v>
      </c>
      <c r="BW40" s="231">
        <f>IF(ISBLANK('HCT2'!S40),"",'HCT2'!S40)</f>
        <v>187.33898380673938</v>
      </c>
      <c r="BX40" s="1253">
        <f>IF(ISBLANK('HCT2'!T40),"",'HCT2'!T40)</f>
        <v>473.51879814241812</v>
      </c>
      <c r="BY40" s="231">
        <f>IF(ISBLANK('HCT2'!U40),"",'HCT2'!U40)</f>
        <v>1414.2893706745458</v>
      </c>
      <c r="BZ40" s="231">
        <f>IF(ISBLANK('HCT2'!V40),"",'HCT2'!V40)</f>
        <v>902.77871121238968</v>
      </c>
      <c r="CA40" s="231">
        <f>IF(ISBLANK('HCT2'!W40),"",'HCT2'!W40)</f>
        <v>94.979316468726893</v>
      </c>
      <c r="CB40" s="647" t="str">
        <f>IF(ISBLANK('HCT2'!X40),"",'HCT2'!X40)</f>
        <v/>
      </c>
      <c r="CC40" s="1230">
        <f>IF(ISBLANK('HCT2'!Y40),"",'HCT2'!Y40)</f>
        <v>137.07136947430078</v>
      </c>
      <c r="CD40" s="1231">
        <f>IF(ISBLANK('HCT2'!Z40),"",'HCT2'!Z40)</f>
        <v>403.12625235787613</v>
      </c>
      <c r="CE40" s="647" t="str">
        <f>IF(ISBLANK('HCT2'!AA40),"",'HCT2'!AA40)</f>
        <v/>
      </c>
      <c r="CF40" s="647" t="str">
        <f>IF(ISBLANK('HCT2'!AB40),"",'HCT2'!AB40)</f>
        <v/>
      </c>
      <c r="CG40" s="1232">
        <f>IF(ISBLANK('HCT2'!AC40),"",'HCT2'!AC40)</f>
        <v>605.80445539490324</v>
      </c>
      <c r="CH40" s="647" t="str">
        <f>IF(ISBLANK('HCT2'!AD40),"",'HCT2'!AD40)</f>
        <v/>
      </c>
      <c r="CI40" s="647" t="str">
        <f>IF(ISBLANK('HCT2'!AE40),"",'HCT2'!AE40)</f>
        <v/>
      </c>
      <c r="CJ40" s="647" t="str">
        <f>IF(ISBLANK('HCT2'!AF40),"",'HCT2'!AF40)</f>
        <v/>
      </c>
      <c r="CK40" s="1233" t="str">
        <f>IF(ISBLANK('HCT2'!AG40),"",'HCT2'!AG40)</f>
        <v/>
      </c>
      <c r="CL40" s="647">
        <f>IF(ISBLANK('HCT2'!AH40),"",'HCT2'!AH40)</f>
        <v>8093.8265218109345</v>
      </c>
      <c r="CM40" s="647">
        <f>IF(ISBLANK('HCT2'!AI40),"",'HCT2'!AI40)</f>
        <v>10469.580330344725</v>
      </c>
      <c r="CN40" s="1233">
        <f>IF(ISBLANK('HCT2'!AJ40),"",'HCT2'!AJ40)</f>
        <v>2642.1516254472454</v>
      </c>
      <c r="CO40" s="647" t="str">
        <f>IF(ISBLANK('HCT2'!AK40),"",'HCT2'!AK40)</f>
        <v/>
      </c>
      <c r="CP40" s="647" t="str">
        <f>IF(ISBLANK('HCT2'!AL40),"",'HCT2'!AL40)</f>
        <v/>
      </c>
      <c r="CQ40" s="647" t="str">
        <f>IF(ISBLANK('HCT2'!AM40),"",'HCT2'!AM40)</f>
        <v/>
      </c>
      <c r="CR40" s="688" t="str">
        <f>IF(ISBLANK('HCT2'!AN40),"",'HCT2'!AN40)</f>
        <v/>
      </c>
      <c r="CS40" s="1234">
        <f>IF(ISBLANK('HCT2'!AO40),"",'HCT2'!AO40)</f>
        <v>605.80445539490324</v>
      </c>
      <c r="CT40" s="1174">
        <f>IF(ISBLANK('HCT2'!AP40),"",'HCT2'!AP40)</f>
        <v>1</v>
      </c>
      <c r="CU40" s="1147">
        <f>IF(ISBLANK('HCT2'!AQ40),"",'HCT2'!AQ40)</f>
        <v>5853.860209398299</v>
      </c>
      <c r="CV40" s="686">
        <f>IF(ISBLANK('HCT2'!AR40),"",'HCT2'!AR40)</f>
        <v>5853.8602093983</v>
      </c>
      <c r="CW40" s="1496" t="e">
        <f>IF(ISBLANK(Récap1!#REF!),"",Récap1!#REF!)</f>
        <v>#REF!</v>
      </c>
      <c r="CX40" s="1496" t="e">
        <f>IF(ISBLANK(Récap1!#REF!),"",Récap1!#REF!)</f>
        <v>#REF!</v>
      </c>
      <c r="CY40" s="1064" t="e">
        <f>IF(ISBLANK(Récap1!#REF!),"",Récap1!#REF!)</f>
        <v>#REF!</v>
      </c>
      <c r="CZ40" s="1064" t="e">
        <f>IF(ISBLANK(Récap1!#REF!),"",Récap1!#REF!)</f>
        <v>#REF!</v>
      </c>
      <c r="DA40" s="1064" t="e">
        <f>IF(ISBLANK(Récap1!#REF!),"",Récap1!#REF!)</f>
        <v>#REF!</v>
      </c>
      <c r="DB40" s="1064" t="e">
        <f>IF(ISBLANK(Récap1!#REF!),"",Récap1!#REF!)</f>
        <v>#REF!</v>
      </c>
      <c r="DC40" s="1496">
        <f>IF(ISBLANK('HCT2'!AS40),"",'HCT2'!AS40)</f>
        <v>8944.1402444441101</v>
      </c>
      <c r="DD40" s="1064">
        <f>IF(ISBLANK('HCT2'!AT40),"",'HCT2'!AT40)</f>
        <v>21049.739385869594</v>
      </c>
      <c r="DE40" s="1064" t="str">
        <f>IF(ISBLANK('HCT2'!AU40),"",'HCT2'!AU40)</f>
        <v>PVL</v>
      </c>
      <c r="DF40" s="1064" t="str">
        <f>IF(ISBLANK('HCT2'!AV40),"",'HCT2'!AV40)</f>
        <v>PVL</v>
      </c>
      <c r="DG40" s="1064" t="str">
        <f>IF(ISBLANK('HCT2'!AW40),"",'HCT2'!AW40)</f>
        <v/>
      </c>
      <c r="DH40" s="1064" t="str">
        <f>IF(ISBLANK('HCT2'!AX40),"",'HCT2'!AX40)</f>
        <v/>
      </c>
      <c r="DI40" s="1064" t="str">
        <f>IF(ISBLANK('HCT2'!AY40),"",'HCT2'!AY40)</f>
        <v/>
      </c>
      <c r="DJ40" s="1497">
        <f>IF(ISBLANK('HCT2'!AZ40),"",'HCT2'!AZ40)</f>
        <v>3498.0326385664821</v>
      </c>
      <c r="DK40" s="1064">
        <f>IF(ISBLANK('HCT2'!BA40),"",'HCT2'!BA40)</f>
        <v>3197.5712620037066</v>
      </c>
      <c r="DL40" s="1064" t="str">
        <f>IF(ISBLANK('HCT2'!BB40),"",'HCT2'!BB40)</f>
        <v>PVL</v>
      </c>
      <c r="DM40" s="1498" t="str">
        <f>IF(ISBLANK('HCT2'!BC40),"",'HCT2'!BC40)</f>
        <v>PVL</v>
      </c>
      <c r="DN40" s="1499">
        <f>IF(ISBLANK('HCT2'!BD40),"",'HCT2'!BD40)</f>
        <v>3197.5712620037066</v>
      </c>
      <c r="DO40" s="1475">
        <f>IF(ISBLANK('HCT2'!BE40),"",'HCT2'!BE40)</f>
        <v>0.68160323968664671</v>
      </c>
      <c r="DP40" s="1500">
        <f>IF(ISBLANK('HCT2'!BF40),"",'HCT2'!BF40)</f>
        <v>5315.0984904613806</v>
      </c>
      <c r="DQ40" s="920">
        <f t="shared" si="0"/>
        <v>4754.4342394358564</v>
      </c>
      <c r="DS40" s="113">
        <f t="shared" si="1"/>
        <v>2752.4437131488335</v>
      </c>
      <c r="DT40" s="113">
        <f t="shared" si="1"/>
        <v>2805.8416341143566</v>
      </c>
      <c r="DU40" s="113">
        <f t="shared" si="2"/>
        <v>295.57486213510936</v>
      </c>
      <c r="DV40" s="872">
        <f t="shared" si="2"/>
        <v>808.08414437102044</v>
      </c>
      <c r="DW40" s="113">
        <f t="shared" si="2"/>
        <v>2814.7042059810619</v>
      </c>
      <c r="DX40" s="113">
        <f t="shared" si="2"/>
        <v>1035.7526182930142</v>
      </c>
      <c r="DY40" s="113">
        <f t="shared" si="2"/>
        <v>95.893270790759388</v>
      </c>
    </row>
    <row r="41" spans="1:131" s="495" customFormat="1" hidden="1">
      <c r="A41" s="398"/>
      <c r="B41" s="492"/>
      <c r="C41" s="26"/>
      <c r="D41" s="502"/>
      <c r="E41" s="619" t="str">
        <f>IF(ISBLANK(Récap1!E41),"",Récap1!E41)</f>
        <v>Teneur limite sol</v>
      </c>
      <c r="F41" s="493" t="str">
        <f>IF(ISBLANK(Récap1!F41),"",Récap1!F41)</f>
        <v>Cs</v>
      </c>
      <c r="G41" s="584" t="str">
        <f>IF(ISBLANK(Récap1!G41),"",Récap1!G41)</f>
        <v>mg/kg ms</v>
      </c>
      <c r="H41" s="494">
        <f>IF(ISBLANK(Récap1!H41),"",Récap1!H41)</f>
        <v>2961.0271017264263</v>
      </c>
      <c r="I41" s="343">
        <f>IF(ISBLANK(Récap1!I41),"",Récap1!I41)</f>
        <v>2961.0271017264263</v>
      </c>
      <c r="J41" s="650">
        <f>IF(ISBLANK(Récap1!J41),"",Récap1!J41)</f>
        <v>22150.011177746623</v>
      </c>
      <c r="K41" s="649">
        <f>IF(ISBLANK(Récap1!K41),"",Récap1!K41)</f>
        <v>8.372224000000001</v>
      </c>
      <c r="L41" s="650">
        <f>IF(ISBLANK(Récap1!L41),"",Récap1!L41)</f>
        <v>11.472818781744243</v>
      </c>
      <c r="M41" s="650">
        <f>IF(ISBLANK(Récap1!M41),"",Récap1!M41)</f>
        <v>11.472818781744243</v>
      </c>
      <c r="N41" s="650">
        <f>IF(ISBLANK(Récap1!N41),"",Récap1!N41)</f>
        <v>26.163199999999996</v>
      </c>
      <c r="O41" s="650">
        <f>IF(ISBLANK(Récap1!O41),"",Récap1!O41)</f>
        <v>26.163199999999996</v>
      </c>
      <c r="P41" s="650">
        <f>IF(ISBLANK(Récap1!P41),"",Récap1!P41)</f>
        <v>5.2326400000000008</v>
      </c>
      <c r="Q41" s="650">
        <f>IF(ISBLANK(Récap1!Q41),"",Récap1!Q41)</f>
        <v>5.2326400000000008</v>
      </c>
      <c r="R41" s="650">
        <f>IF(ISBLANK(Récap1!R41),"",Récap1!R41)</f>
        <v>52.326399999999992</v>
      </c>
      <c r="S41" s="650">
        <f>IF(ISBLANK(Récap1!S41),"",Récap1!S41)</f>
        <v>2.2750608695652166</v>
      </c>
      <c r="T41" s="650">
        <f>IF(ISBLANK(Récap1!T41),"",Récap1!T41)</f>
        <v>2.2750608695652166</v>
      </c>
      <c r="U41" s="650">
        <f>IF(ISBLANK(Récap1!U41),"",Récap1!U41)</f>
        <v>1.2458666666666667</v>
      </c>
      <c r="V41" s="675">
        <f>IF(ISBLANK(Récap1!V41),"",Récap1!V41)</f>
        <v>149.50399999999999</v>
      </c>
      <c r="W41" s="650">
        <f>IF(ISBLANK(Récap1!W41),"",Récap1!W41)</f>
        <v>149.50399999999999</v>
      </c>
      <c r="X41" s="650">
        <f>IF(ISBLANK(Récap1!X41),"",Récap1!X41)</f>
        <v>1.5701131488337743</v>
      </c>
      <c r="Y41" s="650">
        <f>IF(ISBLANK(Récap1!Y41),"",Récap1!Y41)</f>
        <v>54.968034114356676</v>
      </c>
      <c r="Z41" s="650">
        <f>IF(ISBLANK(Récap1!Z41),"",Récap1!Z41)</f>
        <v>20.93056</v>
      </c>
      <c r="AA41" s="651">
        <f>IF(ISBLANK(Récap1!AA41),"",Récap1!AA41)</f>
        <v>104.65279999999998</v>
      </c>
      <c r="AB41" s="650">
        <f>IF(ISBLANK(Récap1!AB41),"",Récap1!AB41)</f>
        <v>108.23587832836999</v>
      </c>
      <c r="AC41" s="1168" t="str">
        <f>IF(ISBLANK(Récap1!AC41),"",Récap1!AC41)</f>
        <v>PVL</v>
      </c>
      <c r="AD41" s="650" t="str">
        <f>IF(ISBLANK(Récap1!AD41),"",Récap1!AD41)</f>
        <v>PVL</v>
      </c>
      <c r="AE41" s="650" t="str">
        <f>IF(ISBLANK(Récap1!AE41),"",Récap1!AE41)</f>
        <v>PVL</v>
      </c>
      <c r="AF41" s="1169" t="str">
        <f>IF(ISBLANK(Récap1!AF41),"",Récap1!AF41)</f>
        <v>PVL</v>
      </c>
      <c r="AG41" s="650" t="str">
        <f>IF(ISBLANK(Récap1!AG41),"",Récap1!AG41)</f>
        <v>PVL</v>
      </c>
      <c r="AH41" s="650" t="str">
        <f>IF(ISBLANK(Récap1!AH41),"",Récap1!AH41)</f>
        <v>PVL</v>
      </c>
      <c r="AI41" s="650" t="str">
        <f>IF(ISBLANK(Récap1!AI41),"",Récap1!AI41)</f>
        <v>PVL</v>
      </c>
      <c r="AJ41" s="1168" t="str">
        <f>IF(ISBLANK(Récap1!AJ41),"",Récap1!AJ41)</f>
        <v>PVL</v>
      </c>
      <c r="AK41" s="650" t="str">
        <f>IF(ISBLANK(Récap1!AK41),"",Récap1!AK41)</f>
        <v>PVL</v>
      </c>
      <c r="AL41" s="650" t="str">
        <f>IF(ISBLANK(Récap1!AL41),"",Récap1!AL41)</f>
        <v>PVL</v>
      </c>
      <c r="AM41" s="650" t="str">
        <f>IF(ISBLANK(Récap1!AM41),"",Récap1!AM41)</f>
        <v>PVL</v>
      </c>
      <c r="AN41" s="649">
        <f>IF(ISBLANK(Récap1!AN41),"",Récap1!AN41)</f>
        <v>9.2393492699910631</v>
      </c>
      <c r="AO41" s="650" t="str">
        <f>IF(ISBLANK(Récap1!AO41),"",Récap1!AO41)</f>
        <v>PVL</v>
      </c>
      <c r="AP41" s="650" t="str">
        <f>IF(ISBLANK(Récap1!AP41),"",Récap1!AP41)</f>
        <v>PVL</v>
      </c>
      <c r="AQ41" s="650" t="str">
        <f>IF(ISBLANK(Récap1!AQ41),"",Récap1!AQ41)</f>
        <v>PVL</v>
      </c>
      <c r="AR41" s="650" t="str">
        <f>IF(ISBLANK(Récap1!AR41),"",Récap1!AR41)</f>
        <v>PVL</v>
      </c>
      <c r="AS41" s="650" t="str">
        <f>IF(ISBLANK(Récap1!AS41),"",Récap1!AS41)</f>
        <v>PVL</v>
      </c>
      <c r="AT41" s="650" t="str">
        <f>IF(ISBLANK(Récap1!AT41),"",Récap1!AT41)</f>
        <v>PVL</v>
      </c>
      <c r="AU41" s="650" t="str">
        <f>IF(ISBLANK(Récap1!AU41),"",Récap1!AU41)</f>
        <v>PVL</v>
      </c>
      <c r="AV41" s="650" t="str">
        <f>IF(ISBLANK(Récap1!AV41),"",Récap1!AV41)</f>
        <v>PVL</v>
      </c>
      <c r="AW41" s="650" t="str">
        <f>IF(ISBLANK(Récap1!AW41),"",Récap1!AW41)</f>
        <v>PVL</v>
      </c>
      <c r="AX41" s="650" t="str">
        <f>IF(ISBLANK(Récap1!AX41),"",Récap1!AX41)</f>
        <v>PVL</v>
      </c>
      <c r="AY41" s="650" t="str">
        <f>IF(ISBLANK(Récap1!AY41),"",Récap1!AY41)</f>
        <v>PVL</v>
      </c>
      <c r="AZ41" s="650" t="str">
        <f>IF(ISBLANK(Récap1!AZ41),"",Récap1!AZ41)</f>
        <v>PVL</v>
      </c>
      <c r="BA41" s="650" t="str">
        <f>IF(ISBLANK(Récap1!BA41),"",Récap1!BA41)</f>
        <v>PVL</v>
      </c>
      <c r="BB41" s="650" t="str">
        <f>IF(ISBLANK(Récap1!BB41),"",Récap1!BB41)</f>
        <v>PVL</v>
      </c>
      <c r="BC41" s="651" t="str">
        <f>IF(ISBLANK(Récap1!BC41),"",Récap1!BC41)</f>
        <v>PVL</v>
      </c>
      <c r="BD41" s="679">
        <f>IF(ISBLANK(Récap1!BD41),"",Récap1!BD41)</f>
        <v>835.59055460326442</v>
      </c>
      <c r="BE41" s="674" t="str">
        <f>IF(ISBLANK(Récap1!BE41),"",Récap1!BE41)</f>
        <v>PVL</v>
      </c>
      <c r="BF41" s="650" t="str">
        <f>IF(ISBLANK(Récap1!BF41),"",Récap1!BF41)</f>
        <v>PVL</v>
      </c>
      <c r="BG41" s="650">
        <f>IF(ISBLANK(Récap1!BG41),"",Récap1!BG41)</f>
        <v>4.4851199999999996E-3</v>
      </c>
      <c r="BH41" s="652">
        <f>IF(ISBLANK(Récap1!BH41),"",Récap1!BH41)</f>
        <v>18.613426061510062</v>
      </c>
      <c r="BI41" s="650">
        <f>IF(ISBLANK(Récap1!BI41),"",Récap1!BI41)</f>
        <v>8.6731420528369565</v>
      </c>
      <c r="BJ41" s="653" t="e">
        <f>IF(ISBLANK(Récap1!#REF!),"",Récap1!#REF!)</f>
        <v>#REF!</v>
      </c>
      <c r="BK41" s="653" t="e">
        <f>IF(ISBLANK(Récap1!#REF!),"",Récap1!#REF!)</f>
        <v>#REF!</v>
      </c>
      <c r="BL41" s="650">
        <f>IF(ISBLANK('HCT2'!H41),"",'HCT2'!H41)</f>
        <v>1.5701131488337743</v>
      </c>
      <c r="BM41" s="650">
        <f>IF(ISBLANK('HCT2'!I41),"",'HCT2'!I41)</f>
        <v>54.968034114356676</v>
      </c>
      <c r="BN41" s="650">
        <f>IF(ISBLANK('HCT2'!J41),"",'HCT2'!J41)</f>
        <v>20.93056</v>
      </c>
      <c r="BO41" s="651">
        <f>IF(ISBLANK('HCT2'!K41),"",'HCT2'!K41)</f>
        <v>104.65279999999998</v>
      </c>
      <c r="BP41" s="650">
        <f>IF(ISBLANK('HCT2'!L41),"",'HCT2'!L41)</f>
        <v>108.23587832836999</v>
      </c>
      <c r="BQ41" s="1168">
        <f>IF(ISBLANK('HCT2'!M41),"",'HCT2'!M41)</f>
        <v>14.296718697621493</v>
      </c>
      <c r="BR41" s="650">
        <f>IF(ISBLANK('HCT2'!N41),"",'HCT2'!N41)</f>
        <v>25.427519532518328</v>
      </c>
      <c r="BS41" s="650">
        <f>IF(ISBLANK('HCT2'!O41),"",'HCT2'!O41)</f>
        <v>2.4144250220455548</v>
      </c>
      <c r="BT41" s="1169">
        <f>IF(ISBLANK('HCT2'!P41),"",'HCT2'!P41)</f>
        <v>1.6594790907241669E-2</v>
      </c>
      <c r="BU41" s="650">
        <f>IF(ISBLANK('HCT2'!Q41),"",'HCT2'!Q41)</f>
        <v>137.01175359885275</v>
      </c>
      <c r="BV41" s="650">
        <f>IF(ISBLANK('HCT2'!R41),"",'HCT2'!R41)</f>
        <v>105.92109044371843</v>
      </c>
      <c r="BW41" s="650">
        <f>IF(ISBLANK('HCT2'!S41),"",'HCT2'!S41)</f>
        <v>28.583243192850436</v>
      </c>
      <c r="BX41" s="1168">
        <f>IF(ISBLANK('HCT2'!T41),"",'HCT2'!T41)</f>
        <v>6.5406501867452436</v>
      </c>
      <c r="BY41" s="650">
        <f>IF(ISBLANK('HCT2'!U41),"",'HCT2'!U41)</f>
        <v>21.371037206455984</v>
      </c>
      <c r="BZ41" s="650">
        <f>IF(ISBLANK('HCT2'!V41),"",'HCT2'!V41)</f>
        <v>13.641704326261328</v>
      </c>
      <c r="CA41" s="650">
        <f>IF(ISBLANK('HCT2'!W41),"",'HCT2'!W41)</f>
        <v>1.4352130109899666</v>
      </c>
      <c r="CB41" s="653" t="str">
        <f>IF(ISBLANK('HCT2'!X41),"",'HCT2'!X41)</f>
        <v/>
      </c>
      <c r="CC41" s="1170">
        <f>IF(ISBLANK('HCT2'!Y41),"",'HCT2'!Y41)</f>
        <v>137.07136947430078</v>
      </c>
      <c r="CD41" s="1171">
        <f>IF(ISBLANK('HCT2'!Z41),"",'HCT2'!Z41)</f>
        <v>403.12625235787613</v>
      </c>
      <c r="CE41" s="653" t="str">
        <f>IF(ISBLANK('HCT2'!AA41),"",'HCT2'!AA41)</f>
        <v/>
      </c>
      <c r="CF41" s="653" t="str">
        <f>IF(ISBLANK('HCT2'!AB41),"",'HCT2'!AB41)</f>
        <v/>
      </c>
      <c r="CG41" s="1172">
        <f>IF(ISBLANK('HCT2'!AC41),"",'HCT2'!AC41)</f>
        <v>605.80445539490324</v>
      </c>
      <c r="CH41" s="653" t="str">
        <f>IF(ISBLANK('HCT2'!AD41),"",'HCT2'!AD41)</f>
        <v/>
      </c>
      <c r="CI41" s="653" t="str">
        <f>IF(ISBLANK('HCT2'!AE41),"",'HCT2'!AE41)</f>
        <v/>
      </c>
      <c r="CJ41" s="653" t="str">
        <f>IF(ISBLANK('HCT2'!AF41),"",'HCT2'!AF41)</f>
        <v/>
      </c>
      <c r="CK41" s="1173" t="str">
        <f>IF(ISBLANK('HCT2'!AG41),"",'HCT2'!AG41)</f>
        <v/>
      </c>
      <c r="CL41" s="653" t="str">
        <f>IF(ISBLANK('HCT2'!AH41),"",'HCT2'!AH41)</f>
        <v>PVL</v>
      </c>
      <c r="CM41" s="653" t="str">
        <f>IF(ISBLANK('HCT2'!AI41),"",'HCT2'!AI41)</f>
        <v>PVL</v>
      </c>
      <c r="CN41" s="1173" t="str">
        <f>IF(ISBLANK('HCT2'!AJ41),"",'HCT2'!AJ41)</f>
        <v>PVL</v>
      </c>
      <c r="CO41" s="653" t="str">
        <f>IF(ISBLANK('HCT2'!AK41),"",'HCT2'!AK41)</f>
        <v/>
      </c>
      <c r="CP41" s="653" t="str">
        <f>IF(ISBLANK('HCT2'!AL41),"",'HCT2'!AL41)</f>
        <v/>
      </c>
      <c r="CQ41" s="653" t="str">
        <f>IF(ISBLANK('HCT2'!AM41),"",'HCT2'!AM41)</f>
        <v/>
      </c>
      <c r="CR41" s="690" t="str">
        <f>IF(ISBLANK('HCT2'!AN41),"",'HCT2'!AN41)</f>
        <v/>
      </c>
      <c r="CS41" s="1234">
        <f>IF(ISBLANK('HCT2'!AO41),"",'HCT2'!AO41)</f>
        <v>605.80445539490324</v>
      </c>
      <c r="CT41" s="1174">
        <f>IF(ISBLANK('HCT2'!AP41),"",'HCT2'!AP41)</f>
        <v>0.32647381397929243</v>
      </c>
      <c r="CU41" s="1147">
        <f>IF(ISBLANK('HCT2'!AQ41),"",'HCT2'!AQ41)</f>
        <v>504.70824469251835</v>
      </c>
      <c r="CV41" s="686">
        <f>IF(ISBLANK('HCT2'!AR41),"",'HCT2'!AR41)</f>
        <v>436.29011282698207</v>
      </c>
      <c r="CW41" s="1473" t="e">
        <f>IF(ISBLANK(Récap1!#REF!),"",Récap1!#REF!)</f>
        <v>#REF!</v>
      </c>
      <c r="CX41" s="1473" t="e">
        <f>IF(ISBLANK(Récap1!#REF!),"",Récap1!#REF!)</f>
        <v>#REF!</v>
      </c>
      <c r="CY41" s="1461" t="e">
        <f>IF(ISBLANK(Récap1!#REF!),"",Récap1!#REF!)</f>
        <v>#REF!</v>
      </c>
      <c r="CZ41" s="1461" t="e">
        <f>IF(ISBLANK(Récap1!#REF!),"",Récap1!#REF!)</f>
        <v>#REF!</v>
      </c>
      <c r="DA41" s="1461" t="e">
        <f>IF(ISBLANK(Récap1!#REF!),"",Récap1!#REF!)</f>
        <v>#REF!</v>
      </c>
      <c r="DB41" s="1461" t="e">
        <f>IF(ISBLANK(Récap1!#REF!),"",Récap1!#REF!)</f>
        <v>#REF!</v>
      </c>
      <c r="DC41" s="1473" t="str">
        <f>IF(ISBLANK('HCT2'!AS41),"",'HCT2'!AS41)</f>
        <v>PVL</v>
      </c>
      <c r="DD41" s="1461" t="str">
        <f>IF(ISBLANK('HCT2'!AT41),"",'HCT2'!AT41)</f>
        <v>PVL</v>
      </c>
      <c r="DE41" s="1461" t="str">
        <f>IF(ISBLANK('HCT2'!AU41),"",'HCT2'!AU41)</f>
        <v>PVL</v>
      </c>
      <c r="DF41" s="1461" t="str">
        <f>IF(ISBLANK('HCT2'!AV41),"",'HCT2'!AV41)</f>
        <v>PVL</v>
      </c>
      <c r="DG41" s="1461" t="str">
        <f>IF(ISBLANK('HCT2'!AW41),"",'HCT2'!AW41)</f>
        <v/>
      </c>
      <c r="DH41" s="1461" t="str">
        <f>IF(ISBLANK('HCT2'!AX41),"",'HCT2'!AX41)</f>
        <v/>
      </c>
      <c r="DI41" s="1461" t="str">
        <f>IF(ISBLANK('HCT2'!AY41),"",'HCT2'!AY41)</f>
        <v/>
      </c>
      <c r="DJ41" s="1474" t="str">
        <f>IF(ISBLANK('HCT2'!AZ41),"",'HCT2'!AZ41)</f>
        <v>PVL</v>
      </c>
      <c r="DK41" s="1461" t="str">
        <f>IF(ISBLANK('HCT2'!BA41),"",'HCT2'!BA41)</f>
        <v>PVL</v>
      </c>
      <c r="DL41" s="1461" t="str">
        <f>IF(ISBLANK('HCT2'!BB41),"",'HCT2'!BB41)</f>
        <v>PVL</v>
      </c>
      <c r="DM41" s="1462" t="str">
        <f>IF(ISBLANK('HCT2'!BC41),"",'HCT2'!BC41)</f>
        <v>PVL</v>
      </c>
      <c r="DN41" s="1499" t="str">
        <f>IF(ISBLANK('HCT2'!BD41),"",'HCT2'!BD41)</f>
        <v>PVL</v>
      </c>
      <c r="DO41" s="1475">
        <f>IF(ISBLANK('HCT2'!BE41),"",'HCT2'!BE41)</f>
        <v>0</v>
      </c>
      <c r="DP41" s="1500" t="str">
        <f>IF(ISBLANK('HCT2'!BF41),"",'HCT2'!BF41)</f>
        <v>PVL</v>
      </c>
      <c r="DQ41" s="920">
        <f t="shared" si="0"/>
        <v>85.143862773545152</v>
      </c>
      <c r="DS41" s="343">
        <f t="shared" si="1"/>
        <v>138.58186674768652</v>
      </c>
      <c r="DT41" s="343">
        <f t="shared" si="1"/>
        <v>160.88912455807511</v>
      </c>
      <c r="DU41" s="343">
        <f t="shared" si="2"/>
        <v>136.81912152122044</v>
      </c>
      <c r="DV41" s="874">
        <f t="shared" si="2"/>
        <v>20.837368884366736</v>
      </c>
      <c r="DW41" s="343">
        <f t="shared" si="2"/>
        <v>46.798556738974312</v>
      </c>
      <c r="DX41" s="343">
        <f t="shared" si="2"/>
        <v>16.056129348306882</v>
      </c>
      <c r="DY41" s="343">
        <f t="shared" si="2"/>
        <v>1.4518078018972083</v>
      </c>
    </row>
    <row r="42" spans="1:131" s="26" customFormat="1" hidden="1">
      <c r="A42" s="398"/>
      <c r="B42" s="27"/>
      <c r="D42" s="502"/>
      <c r="E42" s="103" t="str">
        <f>IF(ISBLANK(Récap1!E42),"",Récap1!E42)</f>
        <v>Equivalent air du sol</v>
      </c>
      <c r="F42" s="14" t="str">
        <f>IF(ISBLANK(Récap1!F42),"",Récap1!F42)</f>
        <v>Csao</v>
      </c>
      <c r="G42" s="105" t="str">
        <f>IF(ISBLANK(Récap1!G42),"",Récap1!G42)</f>
        <v>mg/m3</v>
      </c>
      <c r="H42" s="119">
        <f>IF(ISBLANK(Récap1!H42),"",Récap1!H42)</f>
        <v>7800.8008769235166</v>
      </c>
      <c r="I42" s="113">
        <f>IF(ISBLANK(Récap1!I42),"",Récap1!I42)</f>
        <v>7800.8008769235166</v>
      </c>
      <c r="J42" s="231">
        <f>IF(ISBLANK(Récap1!J42),"",Récap1!J42)</f>
        <v>383077.02684328536</v>
      </c>
      <c r="K42" s="648">
        <f>IF(ISBLANK(Récap1!K42),"",Récap1!K42)</f>
        <v>32260.805723664369</v>
      </c>
      <c r="L42" s="231">
        <f>IF(ISBLANK(Récap1!L42),"",Récap1!L42)</f>
        <v>8265.4645599584492</v>
      </c>
      <c r="M42" s="231">
        <f>IF(ISBLANK(Récap1!M42),"",Récap1!M42)</f>
        <v>8265.4645599584492</v>
      </c>
      <c r="N42" s="231">
        <f>IF(ISBLANK(Récap1!N42),"",Récap1!N42)</f>
        <v>37176.087102794692</v>
      </c>
      <c r="O42" s="231">
        <f>IF(ISBLANK(Récap1!O42),"",Récap1!O42)</f>
        <v>37176.087102794692</v>
      </c>
      <c r="P42" s="231">
        <f>IF(ISBLANK(Récap1!P42),"",Récap1!P42)</f>
        <v>8117.3323255341302</v>
      </c>
      <c r="Q42" s="231">
        <f>IF(ISBLANK(Récap1!Q42),"",Récap1!Q42)</f>
        <v>8117.3323255341302</v>
      </c>
      <c r="R42" s="231">
        <f>IF(ISBLANK(Récap1!R42),"",Récap1!R42)</f>
        <v>32629.448691954218</v>
      </c>
      <c r="S42" s="231">
        <f>IF(ISBLANK(Récap1!S42),"",Récap1!S42)</f>
        <v>1330.9634229445778</v>
      </c>
      <c r="T42" s="231">
        <f>IF(ISBLANK(Récap1!T42),"",Récap1!T42)</f>
        <v>1330.9634229445778</v>
      </c>
      <c r="U42" s="231">
        <f>IF(ISBLANK(Récap1!U42),"",Récap1!U42)</f>
        <v>3431.4453704023249</v>
      </c>
      <c r="V42" s="670">
        <f>IF(ISBLANK(Récap1!V42),"",Récap1!V42)</f>
        <v>673991.4360900044</v>
      </c>
      <c r="W42" s="231">
        <f>IF(ISBLANK(Récap1!W42),"",Récap1!W42)</f>
        <v>673991.4360900044</v>
      </c>
      <c r="X42" s="231">
        <f>IF(ISBLANK(Récap1!X42),"",Récap1!X42)</f>
        <v>1357.9227507455005</v>
      </c>
      <c r="Y42" s="231">
        <f>IF(ISBLANK(Récap1!Y42),"",Récap1!Y42)</f>
        <v>32947.652632522993</v>
      </c>
      <c r="Z42" s="231">
        <f>IF(ISBLANK(Récap1!Z42),"",Récap1!Z42)</f>
        <v>7429.7820571133807</v>
      </c>
      <c r="AA42" s="232">
        <f>IF(ISBLANK(Récap1!AA42),"",Récap1!AA42)</f>
        <v>24921.706199076754</v>
      </c>
      <c r="AB42" s="231">
        <f>IF(ISBLANK(Récap1!AB42),"",Récap1!AB42)</f>
        <v>29150.739732402322</v>
      </c>
      <c r="AC42" s="1253" t="str">
        <f>IF(ISBLANK(Récap1!AC42),"",Récap1!AC42)</f>
        <v>PVL</v>
      </c>
      <c r="AD42" s="231" t="str">
        <f>IF(ISBLANK(Récap1!AD42),"",Récap1!AD42)</f>
        <v>PVL</v>
      </c>
      <c r="AE42" s="231" t="str">
        <f>IF(ISBLANK(Récap1!AE42),"",Récap1!AE42)</f>
        <v>PVL</v>
      </c>
      <c r="AF42" s="1254" t="str">
        <f>IF(ISBLANK(Récap1!AF42),"",Récap1!AF42)</f>
        <v>PVL</v>
      </c>
      <c r="AG42" s="231" t="str">
        <f>IF(ISBLANK(Récap1!AG42),"",Récap1!AG42)</f>
        <v>PVL</v>
      </c>
      <c r="AH42" s="231" t="str">
        <f>IF(ISBLANK(Récap1!AH42),"",Récap1!AH42)</f>
        <v>PVL</v>
      </c>
      <c r="AI42" s="231" t="str">
        <f>IF(ISBLANK(Récap1!AI42),"",Récap1!AI42)</f>
        <v>PVL</v>
      </c>
      <c r="AJ42" s="1253" t="str">
        <f>IF(ISBLANK(Récap1!AJ42),"",Récap1!AJ42)</f>
        <v>PVL</v>
      </c>
      <c r="AK42" s="231" t="str">
        <f>IF(ISBLANK(Récap1!AK42),"",Récap1!AK42)</f>
        <v>PVL</v>
      </c>
      <c r="AL42" s="231" t="str">
        <f>IF(ISBLANK(Récap1!AL42),"",Récap1!AL42)</f>
        <v>PVL</v>
      </c>
      <c r="AM42" s="231" t="str">
        <f>IF(ISBLANK(Récap1!AM42),"",Récap1!AM42)</f>
        <v>PVL</v>
      </c>
      <c r="AN42" s="648">
        <f>IF(ISBLANK(Récap1!AN42),"",Récap1!AN42)</f>
        <v>39.493658406832104</v>
      </c>
      <c r="AO42" s="231" t="str">
        <f>IF(ISBLANK(Récap1!AO42),"",Récap1!AO42)</f>
        <v>PVL</v>
      </c>
      <c r="AP42" s="231" t="str">
        <f>IF(ISBLANK(Récap1!AP42),"",Récap1!AP42)</f>
        <v>PVL</v>
      </c>
      <c r="AQ42" s="231" t="str">
        <f>IF(ISBLANK(Récap1!AQ42),"",Récap1!AQ42)</f>
        <v>PVL</v>
      </c>
      <c r="AR42" s="231" t="str">
        <f>IF(ISBLANK(Récap1!AR42),"",Récap1!AR42)</f>
        <v>PVL</v>
      </c>
      <c r="AS42" s="231" t="str">
        <f>IF(ISBLANK(Récap1!AS42),"",Récap1!AS42)</f>
        <v>PVL</v>
      </c>
      <c r="AT42" s="231" t="str">
        <f>IF(ISBLANK(Récap1!AT42),"",Récap1!AT42)</f>
        <v>PVL</v>
      </c>
      <c r="AU42" s="231" t="str">
        <f>IF(ISBLANK(Récap1!AU42),"",Récap1!AU42)</f>
        <v>PVL</v>
      </c>
      <c r="AV42" s="231" t="str">
        <f>IF(ISBLANK(Récap1!AV42),"",Récap1!AV42)</f>
        <v>PVL</v>
      </c>
      <c r="AW42" s="231" t="str">
        <f>IF(ISBLANK(Récap1!AW42),"",Récap1!AW42)</f>
        <v>PVL</v>
      </c>
      <c r="AX42" s="231" t="str">
        <f>IF(ISBLANK(Récap1!AX42),"",Récap1!AX42)</f>
        <v>PVL</v>
      </c>
      <c r="AY42" s="231" t="str">
        <f>IF(ISBLANK(Récap1!AY42),"",Récap1!AY42)</f>
        <v>PVL</v>
      </c>
      <c r="AZ42" s="231" t="str">
        <f>IF(ISBLANK(Récap1!AZ42),"",Récap1!AZ42)</f>
        <v>PVL</v>
      </c>
      <c r="BA42" s="231" t="str">
        <f>IF(ISBLANK(Récap1!BA42),"",Récap1!BA42)</f>
        <v>PVL</v>
      </c>
      <c r="BB42" s="231" t="str">
        <f>IF(ISBLANK(Récap1!BB42),"",Récap1!BB42)</f>
        <v>PVL</v>
      </c>
      <c r="BC42" s="232" t="str">
        <f>IF(ISBLANK(Récap1!BC42),"",Récap1!BC42)</f>
        <v>PVL</v>
      </c>
      <c r="BD42" s="671">
        <f>IF(ISBLANK(Récap1!BD42),"",Récap1!BD42)</f>
        <v>78.167118613325755</v>
      </c>
      <c r="BE42" s="669" t="str">
        <f>IF(ISBLANK(Récap1!BE42),"",Récap1!BE42)</f>
        <v>PVL</v>
      </c>
      <c r="BF42" s="231" t="str">
        <f>IF(ISBLANK(Récap1!BF42),"",Récap1!BF42)</f>
        <v>PVL</v>
      </c>
      <c r="BG42" s="231" t="str">
        <f>IF(ISBLANK(Récap1!BG42),"",Récap1!BG42)</f>
        <v>Saturation</v>
      </c>
      <c r="BH42" s="646">
        <f>IF(ISBLANK(Récap1!BH42),"",Récap1!BH42)</f>
        <v>2.315471648907903</v>
      </c>
      <c r="BI42" s="231">
        <f>IF(ISBLANK(Récap1!BI42),"",Récap1!BI42)</f>
        <v>8.3480153742531193</v>
      </c>
      <c r="BJ42" s="647" t="e">
        <f>IF(ISBLANK(Récap1!#REF!),"",Récap1!#REF!)</f>
        <v>#REF!</v>
      </c>
      <c r="BK42" s="647" t="e">
        <f>IF(ISBLANK(Récap1!#REF!),"",Récap1!#REF!)</f>
        <v>#REF!</v>
      </c>
      <c r="BL42" s="231">
        <f>IF(ISBLANK('HCT2'!H42),"",'HCT2'!H42)</f>
        <v>1357.9227507455005</v>
      </c>
      <c r="BM42" s="231">
        <f>IF(ISBLANK('HCT2'!I42),"",'HCT2'!I42)</f>
        <v>32947.652632522993</v>
      </c>
      <c r="BN42" s="231">
        <f>IF(ISBLANK('HCT2'!J42),"",'HCT2'!J42)</f>
        <v>7429.7820571133807</v>
      </c>
      <c r="BO42" s="232">
        <f>IF(ISBLANK('HCT2'!K42),"",'HCT2'!K42)</f>
        <v>24921.706199076754</v>
      </c>
      <c r="BP42" s="231">
        <f>IF(ISBLANK('HCT2'!L42),"",'HCT2'!L42)</f>
        <v>29150.739732402322</v>
      </c>
      <c r="BQ42" s="1253">
        <f>IF(ISBLANK('HCT2'!M42),"",'HCT2'!M42)</f>
        <v>3850.47853094842</v>
      </c>
      <c r="BR42" s="231">
        <f>IF(ISBLANK('HCT2'!N42),"",'HCT2'!N42)</f>
        <v>6848.2929633022823</v>
      </c>
      <c r="BS42" s="231">
        <f>IF(ISBLANK('HCT2'!O42),"",'HCT2'!O42)</f>
        <v>650.26751302854836</v>
      </c>
      <c r="BT42" s="1254">
        <f>IF(ISBLANK('HCT2'!P42),"",'HCT2'!P42)</f>
        <v>4.4694092025845498</v>
      </c>
      <c r="BU42" s="231">
        <f>IF(ISBLANK('HCT2'!Q42),"",'HCT2'!Q42)</f>
        <v>82124.378957347493</v>
      </c>
      <c r="BV42" s="231">
        <f>IF(ISBLANK('HCT2'!R42),"",'HCT2'!R42)</f>
        <v>63488.741240724092</v>
      </c>
      <c r="BW42" s="231">
        <f>IF(ISBLANK('HCT2'!S42),"",'HCT2'!S42)</f>
        <v>17132.698722128669</v>
      </c>
      <c r="BX42" s="1253">
        <f>IF(ISBLANK('HCT2'!T42),"",'HCT2'!T42)</f>
        <v>3920.4434689332365</v>
      </c>
      <c r="BY42" s="231">
        <f>IF(ISBLANK('HCT2'!U42),"",'HCT2'!U42)</f>
        <v>12809.726991694093</v>
      </c>
      <c r="BZ42" s="231">
        <f>IF(ISBLANK('HCT2'!V42),"",'HCT2'!V42)</f>
        <v>8176.79116051656</v>
      </c>
      <c r="CA42" s="231">
        <f>IF(ISBLANK('HCT2'!W42),"",'HCT2'!W42)</f>
        <v>860.26179581751376</v>
      </c>
      <c r="CB42" s="647" t="str">
        <f>IF(ISBLANK('HCT2'!X42),"",'HCT2'!X42)</f>
        <v/>
      </c>
      <c r="CC42" s="1230">
        <f>IF(ISBLANK('HCT2'!Y42),"",'HCT2'!Y42)</f>
        <v>118547.08128726136</v>
      </c>
      <c r="CD42" s="1231">
        <f>IF(ISBLANK('HCT2'!Z42),"",'HCT2'!Z42)</f>
        <v>241632.50412241078</v>
      </c>
      <c r="CE42" s="647" t="str">
        <f>IF(ISBLANK('HCT2'!AA42),"",'HCT2'!AA42)</f>
        <v/>
      </c>
      <c r="CF42" s="647" t="str">
        <f>IF(ISBLANK('HCT2'!AB42),"",'HCT2'!AB42)</f>
        <v/>
      </c>
      <c r="CG42" s="1232">
        <f>IF(ISBLANK('HCT2'!AC42),"",'HCT2'!AC42)</f>
        <v>163158.91071138228</v>
      </c>
      <c r="CH42" s="647" t="str">
        <f>IF(ISBLANK('HCT2'!AD42),"",'HCT2'!AD42)</f>
        <v/>
      </c>
      <c r="CI42" s="647" t="str">
        <f>IF(ISBLANK('HCT2'!AE42),"",'HCT2'!AE42)</f>
        <v/>
      </c>
      <c r="CJ42" s="647" t="str">
        <f>IF(ISBLANK('HCT2'!AF42),"",'HCT2'!AF42)</f>
        <v/>
      </c>
      <c r="CK42" s="1233" t="str">
        <f>IF(ISBLANK('HCT2'!AG42),"",'HCT2'!AG42)</f>
        <v/>
      </c>
      <c r="CL42" s="647" t="str">
        <f>IF(ISBLANK('HCT2'!AH42),"",'HCT2'!AH42)</f>
        <v>PVL</v>
      </c>
      <c r="CM42" s="647" t="str">
        <f>IF(ISBLANK('HCT2'!AI42),"",'HCT2'!AI42)</f>
        <v>PVL</v>
      </c>
      <c r="CN42" s="1233" t="str">
        <f>IF(ISBLANK('HCT2'!AJ42),"",'HCT2'!AJ42)</f>
        <v>PVL</v>
      </c>
      <c r="CO42" s="647" t="str">
        <f>IF(ISBLANK('HCT2'!AK42),"",'HCT2'!AK42)</f>
        <v/>
      </c>
      <c r="CP42" s="647" t="str">
        <f>IF(ISBLANK('HCT2'!AL42),"",'HCT2'!AL42)</f>
        <v/>
      </c>
      <c r="CQ42" s="647" t="str">
        <f>IF(ISBLANK('HCT2'!AM42),"",'HCT2'!AM42)</f>
        <v/>
      </c>
      <c r="CR42" s="688" t="str">
        <f>IF(ISBLANK('HCT2'!AN42),"",'HCT2'!AN42)</f>
        <v/>
      </c>
      <c r="CS42" s="1234">
        <f>IF(ISBLANK('HCT2'!AO42),"",'HCT2'!AO42)</f>
        <v>163158.91071138228</v>
      </c>
      <c r="CT42" s="1174">
        <f>IF(ISBLANK('HCT2'!AP42),"",'HCT2'!AP42)</f>
        <v>0.32647381397929243</v>
      </c>
      <c r="CU42" s="1147">
        <f>IF(ISBLANK('HCT2'!AQ42),"",'HCT2'!AQ42)</f>
        <v>194368.77445765291</v>
      </c>
      <c r="CV42" s="686">
        <f>IF(ISBLANK('HCT2'!AR42),"",'HCT2'!AR42)</f>
        <v>226202.1340358711</v>
      </c>
      <c r="CW42" s="1496" t="e">
        <f>IF(ISBLANK(Récap1!#REF!),"",Récap1!#REF!)</f>
        <v>#REF!</v>
      </c>
      <c r="CX42" s="1496" t="e">
        <f>IF(ISBLANK(Récap1!#REF!),"",Récap1!#REF!)</f>
        <v>#REF!</v>
      </c>
      <c r="CY42" s="1064" t="e">
        <f>IF(ISBLANK(Récap1!#REF!),"",Récap1!#REF!)</f>
        <v>#REF!</v>
      </c>
      <c r="CZ42" s="1064" t="e">
        <f>IF(ISBLANK(Récap1!#REF!),"",Récap1!#REF!)</f>
        <v>#REF!</v>
      </c>
      <c r="DA42" s="1064" t="e">
        <f>IF(ISBLANK(Récap1!#REF!),"",Récap1!#REF!)</f>
        <v>#REF!</v>
      </c>
      <c r="DB42" s="1064" t="e">
        <f>IF(ISBLANK(Récap1!#REF!),"",Récap1!#REF!)</f>
        <v>#REF!</v>
      </c>
      <c r="DC42" s="1496" t="str">
        <f>IF(ISBLANK('HCT2'!AS42),"",'HCT2'!AS42)</f>
        <v>PVL</v>
      </c>
      <c r="DD42" s="1064" t="str">
        <f>IF(ISBLANK('HCT2'!AT42),"",'HCT2'!AT42)</f>
        <v>PVL</v>
      </c>
      <c r="DE42" s="1064" t="str">
        <f>IF(ISBLANK('HCT2'!AU42),"",'HCT2'!AU42)</f>
        <v>PVL</v>
      </c>
      <c r="DF42" s="1064" t="str">
        <f>IF(ISBLANK('HCT2'!AV42),"",'HCT2'!AV42)</f>
        <v>PVL</v>
      </c>
      <c r="DG42" s="1064" t="str">
        <f>IF(ISBLANK('HCT2'!AW42),"",'HCT2'!AW42)</f>
        <v/>
      </c>
      <c r="DH42" s="1064" t="str">
        <f>IF(ISBLANK('HCT2'!AX42),"",'HCT2'!AX42)</f>
        <v/>
      </c>
      <c r="DI42" s="1064" t="str">
        <f>IF(ISBLANK('HCT2'!AY42),"",'HCT2'!AY42)</f>
        <v/>
      </c>
      <c r="DJ42" s="1497" t="str">
        <f>IF(ISBLANK('HCT2'!AZ42),"",'HCT2'!AZ42)</f>
        <v>PVL</v>
      </c>
      <c r="DK42" s="1064" t="str">
        <f>IF(ISBLANK('HCT2'!BA42),"",'HCT2'!BA42)</f>
        <v>PVL</v>
      </c>
      <c r="DL42" s="1064" t="str">
        <f>IF(ISBLANK('HCT2'!BB42),"",'HCT2'!BB42)</f>
        <v>PVL</v>
      </c>
      <c r="DM42" s="1498" t="str">
        <f>IF(ISBLANK('HCT2'!BC42),"",'HCT2'!BC42)</f>
        <v>PVL</v>
      </c>
      <c r="DN42" s="1499" t="str">
        <f>IF(ISBLANK('HCT2'!BD42),"",'HCT2'!BD42)</f>
        <v>PVL</v>
      </c>
      <c r="DO42" s="1475">
        <f>IF(ISBLANK('HCT2'!BE42),"",'HCT2'!BE42)</f>
        <v>0</v>
      </c>
      <c r="DP42" s="1500" t="str">
        <f>IF(ISBLANK('HCT2'!BF42),"",'HCT2'!BF42)</f>
        <v>PVL</v>
      </c>
      <c r="DQ42" s="920">
        <f t="shared" si="0"/>
        <v>37120.731833443235</v>
      </c>
      <c r="DS42" s="113">
        <f t="shared" si="1"/>
        <v>83482.301708093</v>
      </c>
      <c r="DT42" s="113">
        <f t="shared" si="1"/>
        <v>96436.393873247085</v>
      </c>
      <c r="DU42" s="113">
        <f t="shared" si="2"/>
        <v>46283.438454530988</v>
      </c>
      <c r="DV42" s="872">
        <f t="shared" si="2"/>
        <v>7770.921999881657</v>
      </c>
      <c r="DW42" s="113">
        <f t="shared" si="2"/>
        <v>19658.019954996376</v>
      </c>
      <c r="DX42" s="113">
        <f t="shared" si="2"/>
        <v>8827.0586735451088</v>
      </c>
      <c r="DY42" s="113">
        <f t="shared" si="2"/>
        <v>864.73120502009829</v>
      </c>
    </row>
    <row r="43" spans="1:131" s="1034" customFormat="1" hidden="1">
      <c r="B43" s="1035"/>
      <c r="C43" s="1036"/>
      <c r="D43" s="1037"/>
      <c r="E43" s="1038" t="str">
        <f>IF(ISBLANK(Récap1!E43),"",Récap1!E43)</f>
        <v>Zone récréative + habitations (ZAC), terres en ext. sous couverture terre végétale (30 cm)</v>
      </c>
      <c r="F43" s="1039" t="str">
        <f>IF(ISBLANK(Récap1!F43),"",Récap1!F43)</f>
        <v/>
      </c>
      <c r="G43" s="1040" t="str">
        <f>IF(ISBLANK(Récap1!G43),"",Récap1!G43)</f>
        <v/>
      </c>
      <c r="H43" s="1041" t="str">
        <f>IF(ISBLANK(Récap1!H43),"",Récap1!H43)</f>
        <v/>
      </c>
      <c r="I43" s="1042" t="str">
        <f>IF(ISBLANK(Récap1!I43),"",Récap1!I43)</f>
        <v/>
      </c>
      <c r="J43" s="1290" t="str">
        <f>IF(ISBLANK(Récap1!J43),"",Récap1!J43)</f>
        <v/>
      </c>
      <c r="K43" s="1288" t="str">
        <f>IF(ISBLANK(Récap1!K43),"",Récap1!K43)</f>
        <v/>
      </c>
      <c r="L43" s="1289" t="str">
        <f>IF(ISBLANK(Récap1!L43),"",Récap1!L43)</f>
        <v/>
      </c>
      <c r="M43" s="1290" t="str">
        <f>IF(ISBLANK(Récap1!M43),"",Récap1!M43)</f>
        <v/>
      </c>
      <c r="N43" s="1290" t="str">
        <f>IF(ISBLANK(Récap1!N43),"",Récap1!N43)</f>
        <v/>
      </c>
      <c r="O43" s="1290" t="str">
        <f>IF(ISBLANK(Récap1!O43),"",Récap1!O43)</f>
        <v/>
      </c>
      <c r="P43" s="1290" t="str">
        <f>IF(ISBLANK(Récap1!P43),"",Récap1!P43)</f>
        <v/>
      </c>
      <c r="Q43" s="1290" t="str">
        <f>IF(ISBLANK(Récap1!Q43),"",Récap1!Q43)</f>
        <v/>
      </c>
      <c r="R43" s="1290" t="str">
        <f>IF(ISBLANK(Récap1!R43),"",Récap1!R43)</f>
        <v/>
      </c>
      <c r="S43" s="1290" t="str">
        <f>IF(ISBLANK(Récap1!S43),"",Récap1!S43)</f>
        <v/>
      </c>
      <c r="T43" s="1290" t="str">
        <f>IF(ISBLANK(Récap1!T43),"",Récap1!T43)</f>
        <v/>
      </c>
      <c r="U43" s="1290" t="str">
        <f>IF(ISBLANK(Récap1!U43),"",Récap1!U43)</f>
        <v/>
      </c>
      <c r="V43" s="1439" t="str">
        <f>IF(ISBLANK(Récap1!V43),"",Récap1!V43)</f>
        <v/>
      </c>
      <c r="W43" s="1290" t="str">
        <f>IF(ISBLANK(Récap1!W43),"",Récap1!W43)</f>
        <v/>
      </c>
      <c r="X43" s="1290" t="str">
        <f>IF(ISBLANK(Récap1!X43),"",Récap1!X43)</f>
        <v/>
      </c>
      <c r="Y43" s="1290" t="str">
        <f>IF(ISBLANK(Récap1!Y43),"",Récap1!Y43)</f>
        <v/>
      </c>
      <c r="Z43" s="1290" t="str">
        <f>IF(ISBLANK(Récap1!Z43),"",Récap1!Z43)</f>
        <v/>
      </c>
      <c r="AA43" s="1291" t="str">
        <f>IF(ISBLANK(Récap1!AA43),"",Récap1!AA43)</f>
        <v/>
      </c>
      <c r="AB43" s="1290" t="str">
        <f>IF(ISBLANK(Récap1!AB43),"",Récap1!AB43)</f>
        <v/>
      </c>
      <c r="AC43" s="1292" t="str">
        <f>IF(ISBLANK(Récap1!AC43),"",Récap1!AC43)</f>
        <v/>
      </c>
      <c r="AD43" s="1290" t="str">
        <f>IF(ISBLANK(Récap1!AD43),"",Récap1!AD43)</f>
        <v/>
      </c>
      <c r="AE43" s="1290" t="str">
        <f>IF(ISBLANK(Récap1!AE43),"",Récap1!AE43)</f>
        <v/>
      </c>
      <c r="AF43" s="1293" t="str">
        <f>IF(ISBLANK(Récap1!AF43),"",Récap1!AF43)</f>
        <v/>
      </c>
      <c r="AG43" s="1290" t="str">
        <f>IF(ISBLANK(Récap1!AG43),"",Récap1!AG43)</f>
        <v/>
      </c>
      <c r="AH43" s="1290" t="str">
        <f>IF(ISBLANK(Récap1!AH43),"",Récap1!AH43)</f>
        <v/>
      </c>
      <c r="AI43" s="1290" t="str">
        <f>IF(ISBLANK(Récap1!AI43),"",Récap1!AI43)</f>
        <v/>
      </c>
      <c r="AJ43" s="1292" t="str">
        <f>IF(ISBLANK(Récap1!AJ43),"",Récap1!AJ43)</f>
        <v/>
      </c>
      <c r="AK43" s="1290" t="str">
        <f>IF(ISBLANK(Récap1!AK43),"",Récap1!AK43)</f>
        <v/>
      </c>
      <c r="AL43" s="1290" t="str">
        <f>IF(ISBLANK(Récap1!AL43),"",Récap1!AL43)</f>
        <v/>
      </c>
      <c r="AM43" s="1290" t="str">
        <f>IF(ISBLANK(Récap1!AM43),"",Récap1!AM43)</f>
        <v/>
      </c>
      <c r="AN43" s="1294" t="str">
        <f>IF(ISBLANK(Récap1!AN43),"",Récap1!AN43)</f>
        <v/>
      </c>
      <c r="AO43" s="1290" t="str">
        <f>IF(ISBLANK(Récap1!AO43),"",Récap1!AO43)</f>
        <v/>
      </c>
      <c r="AP43" s="1290" t="str">
        <f>IF(ISBLANK(Récap1!AP43),"",Récap1!AP43)</f>
        <v/>
      </c>
      <c r="AQ43" s="1290" t="str">
        <f>IF(ISBLANK(Récap1!AQ43),"",Récap1!AQ43)</f>
        <v/>
      </c>
      <c r="AR43" s="1290" t="str">
        <f>IF(ISBLANK(Récap1!AR43),"",Récap1!AR43)</f>
        <v/>
      </c>
      <c r="AS43" s="1290" t="str">
        <f>IF(ISBLANK(Récap1!AS43),"",Récap1!AS43)</f>
        <v/>
      </c>
      <c r="AT43" s="1290" t="str">
        <f>IF(ISBLANK(Récap1!AT43),"",Récap1!AT43)</f>
        <v/>
      </c>
      <c r="AU43" s="1290" t="str">
        <f>IF(ISBLANK(Récap1!AU43),"",Récap1!AU43)</f>
        <v/>
      </c>
      <c r="AV43" s="1290" t="str">
        <f>IF(ISBLANK(Récap1!AV43),"",Récap1!AV43)</f>
        <v/>
      </c>
      <c r="AW43" s="1290" t="str">
        <f>IF(ISBLANK(Récap1!AW43),"",Récap1!AW43)</f>
        <v/>
      </c>
      <c r="AX43" s="1290" t="str">
        <f>IF(ISBLANK(Récap1!AX43),"",Récap1!AX43)</f>
        <v/>
      </c>
      <c r="AY43" s="1290" t="str">
        <f>IF(ISBLANK(Récap1!AY43),"",Récap1!AY43)</f>
        <v/>
      </c>
      <c r="AZ43" s="1290" t="str">
        <f>IF(ISBLANK(Récap1!AZ43),"",Récap1!AZ43)</f>
        <v/>
      </c>
      <c r="BA43" s="1290" t="str">
        <f>IF(ISBLANK(Récap1!BA43),"",Récap1!BA43)</f>
        <v/>
      </c>
      <c r="BB43" s="1290" t="str">
        <f>IF(ISBLANK(Récap1!BB43),"",Récap1!BB43)</f>
        <v/>
      </c>
      <c r="BC43" s="1291" t="str">
        <f>IF(ISBLANK(Récap1!BC43),"",Récap1!BC43)</f>
        <v/>
      </c>
      <c r="BD43" s="1469" t="str">
        <f>IF(ISBLANK(Récap1!BD43),"",Récap1!BD43)</f>
        <v/>
      </c>
      <c r="BE43" s="1548" t="str">
        <f>IF(ISBLANK(Récap1!BE43),"",Récap1!BE43)</f>
        <v/>
      </c>
      <c r="BF43" s="1290" t="str">
        <f>IF(ISBLANK(Récap1!BF43),"",Récap1!BF43)</f>
        <v/>
      </c>
      <c r="BG43" s="1290" t="str">
        <f>IF(ISBLANK(Récap1!BG43),"",Récap1!BG43)</f>
        <v/>
      </c>
      <c r="BH43" s="1295" t="str">
        <f>IF(ISBLANK(Récap1!BH43),"",Récap1!BH43)</f>
        <v/>
      </c>
      <c r="BI43" s="1290" t="str">
        <f>IF(ISBLANK(Récap1!BI43),"",Récap1!BI43)</f>
        <v/>
      </c>
      <c r="BJ43" s="1296" t="e">
        <f>IF(ISBLANK(Récap1!#REF!),"",Récap1!#REF!)</f>
        <v>#REF!</v>
      </c>
      <c r="BK43" s="1296" t="e">
        <f>IF(ISBLANK(Récap1!#REF!),"",Récap1!#REF!)</f>
        <v>#REF!</v>
      </c>
      <c r="BL43" s="1290">
        <f>IF(ISBLANK('HCT2'!H43),"",'HCT2'!H43)</f>
        <v>0</v>
      </c>
      <c r="BM43" s="1290">
        <f>IF(ISBLANK('HCT2'!I43),"",'HCT2'!I43)</f>
        <v>0</v>
      </c>
      <c r="BN43" s="1290">
        <f>IF(ISBLANK('HCT2'!J43),"",'HCT2'!J43)</f>
        <v>0</v>
      </c>
      <c r="BO43" s="1291">
        <f>IF(ISBLANK('HCT2'!K43),"",'HCT2'!K43)</f>
        <v>0</v>
      </c>
      <c r="BP43" s="1290">
        <f>IF(ISBLANK('HCT2'!L43),"",'HCT2'!L43)</f>
        <v>0</v>
      </c>
      <c r="BQ43" s="1292">
        <f>IF(ISBLANK('HCT2'!M43),"",'HCT2'!M43)</f>
        <v>0</v>
      </c>
      <c r="BR43" s="1290">
        <f>IF(ISBLANK('HCT2'!N43),"",'HCT2'!N43)</f>
        <v>0</v>
      </c>
      <c r="BS43" s="1290">
        <f>IF(ISBLANK('HCT2'!O43),"",'HCT2'!O43)</f>
        <v>0</v>
      </c>
      <c r="BT43" s="1293">
        <f>IF(ISBLANK('HCT2'!P43),"",'HCT2'!P43)</f>
        <v>0</v>
      </c>
      <c r="BU43" s="1290">
        <f>IF(ISBLANK('HCT2'!Q43),"",'HCT2'!Q43)</f>
        <v>0</v>
      </c>
      <c r="BV43" s="1290">
        <f>IF(ISBLANK('HCT2'!R43),"",'HCT2'!R43)</f>
        <v>0</v>
      </c>
      <c r="BW43" s="1290">
        <f>IF(ISBLANK('HCT2'!S43),"",'HCT2'!S43)</f>
        <v>0</v>
      </c>
      <c r="BX43" s="1292">
        <f>IF(ISBLANK('HCT2'!T43),"",'HCT2'!T43)</f>
        <v>0</v>
      </c>
      <c r="BY43" s="1290">
        <f>IF(ISBLANK('HCT2'!U43),"",'HCT2'!U43)</f>
        <v>0</v>
      </c>
      <c r="BZ43" s="1290">
        <f>IF(ISBLANK('HCT2'!V43),"",'HCT2'!V43)</f>
        <v>0</v>
      </c>
      <c r="CA43" s="1290">
        <f>IF(ISBLANK('HCT2'!W43),"",'HCT2'!W43)</f>
        <v>0</v>
      </c>
      <c r="CB43" s="1296" t="str">
        <f>IF(ISBLANK('HCT2'!X43),"",'HCT2'!X43)</f>
        <v/>
      </c>
      <c r="CC43" s="1297" t="str">
        <f>IF(ISBLANK('HCT2'!Y43),"",'HCT2'!Y43)</f>
        <v/>
      </c>
      <c r="CD43" s="1298" t="str">
        <f>IF(ISBLANK('HCT2'!Z43),"",'HCT2'!Z43)</f>
        <v/>
      </c>
      <c r="CE43" s="1296" t="str">
        <f>IF(ISBLANK('HCT2'!AA43),"",'HCT2'!AA43)</f>
        <v/>
      </c>
      <c r="CF43" s="1296" t="str">
        <f>IF(ISBLANK('HCT2'!AB43),"",'HCT2'!AB43)</f>
        <v/>
      </c>
      <c r="CG43" s="1299" t="str">
        <f>IF(ISBLANK('HCT2'!AC43),"",'HCT2'!AC43)</f>
        <v/>
      </c>
      <c r="CH43" s="1296" t="str">
        <f>IF(ISBLANK('HCT2'!AD43),"",'HCT2'!AD43)</f>
        <v/>
      </c>
      <c r="CI43" s="1296" t="str">
        <f>IF(ISBLANK('HCT2'!AE43),"",'HCT2'!AE43)</f>
        <v/>
      </c>
      <c r="CJ43" s="1296" t="str">
        <f>IF(ISBLANK('HCT2'!AF43),"",'HCT2'!AF43)</f>
        <v/>
      </c>
      <c r="CK43" s="1300" t="str">
        <f>IF(ISBLANK('HCT2'!AG43),"",'HCT2'!AG43)</f>
        <v/>
      </c>
      <c r="CL43" s="1296" t="str">
        <f>IF(ISBLANK('HCT2'!AH43),"",'HCT2'!AH43)</f>
        <v/>
      </c>
      <c r="CM43" s="1296" t="str">
        <f>IF(ISBLANK('HCT2'!AI43),"",'HCT2'!AI43)</f>
        <v/>
      </c>
      <c r="CN43" s="1300" t="str">
        <f>IF(ISBLANK('HCT2'!AJ43),"",'HCT2'!AJ43)</f>
        <v/>
      </c>
      <c r="CO43" s="1296" t="str">
        <f>IF(ISBLANK('HCT2'!AK43),"",'HCT2'!AK43)</f>
        <v/>
      </c>
      <c r="CP43" s="1296" t="str">
        <f>IF(ISBLANK('HCT2'!AL43),"",'HCT2'!AL43)</f>
        <v/>
      </c>
      <c r="CQ43" s="1296" t="str">
        <f>IF(ISBLANK('HCT2'!AM43),"",'HCT2'!AM43)</f>
        <v/>
      </c>
      <c r="CR43" s="1301" t="str">
        <f>IF(ISBLANK('HCT2'!AN43),"",'HCT2'!AN43)</f>
        <v/>
      </c>
      <c r="CS43" s="1302" t="str">
        <f>IF(ISBLANK('HCT2'!AO43),"",'HCT2'!AO43)</f>
        <v/>
      </c>
      <c r="CT43" s="1303" t="str">
        <f>IF(ISBLANK('HCT2'!AP43),"",'HCT2'!AP43)</f>
        <v/>
      </c>
      <c r="CU43" s="1155" t="str">
        <f>IF(ISBLANK('HCT2'!AQ43),"",'HCT2'!AQ43)</f>
        <v/>
      </c>
      <c r="CV43" s="1525" t="str">
        <f>IF(ISBLANK('HCT2'!AR43),"",'HCT2'!AR43)</f>
        <v/>
      </c>
      <c r="CW43" s="1526" t="e">
        <f>IF(ISBLANK(Récap1!#REF!),"",Récap1!#REF!)</f>
        <v>#REF!</v>
      </c>
      <c r="CX43" s="1526" t="e">
        <f>IF(ISBLANK(Récap1!#REF!),"",Récap1!#REF!)</f>
        <v>#REF!</v>
      </c>
      <c r="CY43" s="1527" t="e">
        <f>IF(ISBLANK(Récap1!#REF!),"",Récap1!#REF!)</f>
        <v>#REF!</v>
      </c>
      <c r="CZ43" s="1527" t="e">
        <f>IF(ISBLANK(Récap1!#REF!),"",Récap1!#REF!)</f>
        <v>#REF!</v>
      </c>
      <c r="DA43" s="1527" t="e">
        <f>IF(ISBLANK(Récap1!#REF!),"",Récap1!#REF!)</f>
        <v>#REF!</v>
      </c>
      <c r="DB43" s="1527" t="e">
        <f>IF(ISBLANK(Récap1!#REF!),"",Récap1!#REF!)</f>
        <v>#REF!</v>
      </c>
      <c r="DC43" s="1526" t="str">
        <f>IF(ISBLANK('HCT2'!AS43),"",'HCT2'!AS43)</f>
        <v/>
      </c>
      <c r="DD43" s="1527" t="str">
        <f>IF(ISBLANK('HCT2'!AT43),"",'HCT2'!AT43)</f>
        <v/>
      </c>
      <c r="DE43" s="1527" t="str">
        <f>IF(ISBLANK('HCT2'!AU43),"",'HCT2'!AU43)</f>
        <v/>
      </c>
      <c r="DF43" s="1527" t="str">
        <f>IF(ISBLANK('HCT2'!AV43),"",'HCT2'!AV43)</f>
        <v/>
      </c>
      <c r="DG43" s="1527" t="str">
        <f>IF(ISBLANK('HCT2'!AW43),"",'HCT2'!AW43)</f>
        <v/>
      </c>
      <c r="DH43" s="1527" t="str">
        <f>IF(ISBLANK('HCT2'!AX43),"",'HCT2'!AX43)</f>
        <v/>
      </c>
      <c r="DI43" s="1527" t="str">
        <f>IF(ISBLANK('HCT2'!AY43),"",'HCT2'!AY43)</f>
        <v/>
      </c>
      <c r="DJ43" s="1528" t="str">
        <f>IF(ISBLANK('HCT2'!AZ43),"",'HCT2'!AZ43)</f>
        <v/>
      </c>
      <c r="DK43" s="1527" t="str">
        <f>IF(ISBLANK('HCT2'!BA43),"",'HCT2'!BA43)</f>
        <v/>
      </c>
      <c r="DL43" s="1527" t="str">
        <f>IF(ISBLANK('HCT2'!BB43),"",'HCT2'!BB43)</f>
        <v/>
      </c>
      <c r="DM43" s="1529" t="str">
        <f>IF(ISBLANK('HCT2'!BC43),"",'HCT2'!BC43)</f>
        <v/>
      </c>
      <c r="DN43" s="1530" t="str">
        <f>IF(ISBLANK('HCT2'!BD43),"",'HCT2'!BD43)</f>
        <v/>
      </c>
      <c r="DO43" s="1531" t="str">
        <f>IF(ISBLANK('HCT2'!BE43),"",'HCT2'!BE43)</f>
        <v/>
      </c>
      <c r="DP43" s="1532" t="str">
        <f>IF(ISBLANK('HCT2'!BF43),"",'HCT2'!BF43)</f>
        <v/>
      </c>
      <c r="DQ43" s="1048">
        <f t="shared" si="0"/>
        <v>0</v>
      </c>
      <c r="DS43" s="835">
        <f t="shared" si="1"/>
        <v>0</v>
      </c>
      <c r="DT43" s="835">
        <f t="shared" si="1"/>
        <v>0</v>
      </c>
      <c r="DU43" s="835">
        <f t="shared" si="2"/>
        <v>0</v>
      </c>
      <c r="DV43" s="834">
        <f t="shared" si="2"/>
        <v>0</v>
      </c>
      <c r="DW43" s="835">
        <f t="shared" si="2"/>
        <v>0</v>
      </c>
      <c r="DX43" s="835">
        <f t="shared" si="2"/>
        <v>0</v>
      </c>
      <c r="DY43" s="835">
        <f t="shared" si="2"/>
        <v>0</v>
      </c>
    </row>
    <row r="44" spans="1:131" s="293" customFormat="1" hidden="1">
      <c r="B44" s="294"/>
      <c r="C44" s="503"/>
      <c r="D44" s="1060"/>
      <c r="E44" s="1061" t="str">
        <f>IF(ISBLANK(Récap1!E44),"",Récap1!E44)</f>
        <v>Teneur limite avant contrôle de la saturation</v>
      </c>
      <c r="F44" s="618" t="str">
        <f>IF(ISBLANK(Récap1!F44),"",Récap1!F44)</f>
        <v>Cs</v>
      </c>
      <c r="G44" s="14" t="str">
        <f>IF(ISBLANK(Récap1!G44),"",Récap1!G44)</f>
        <v>mg/kg ms</v>
      </c>
      <c r="H44" s="627">
        <f>IF(ISBLANK(Récap1!H44),"",Récap1!H44)</f>
        <v>555.19258157370484</v>
      </c>
      <c r="I44" s="530">
        <f>IF(ISBLANK(Récap1!I44),"",Récap1!I44)</f>
        <v>555.19258157370484</v>
      </c>
      <c r="J44" s="636">
        <f>IF(ISBLANK(Récap1!J44),"",Récap1!J44)</f>
        <v>4153.1270958274908</v>
      </c>
      <c r="K44" s="1270">
        <f>IF(ISBLANK(Récap1!K44),"",Récap1!K44)</f>
        <v>1.5697919999999999</v>
      </c>
      <c r="L44" s="636">
        <f>IF(ISBLANK(Récap1!L44),"",Récap1!L44)</f>
        <v>2.1511535215770454</v>
      </c>
      <c r="M44" s="636">
        <f>IF(ISBLANK(Récap1!M44),"",Récap1!M44)</f>
        <v>2.1511535215770454</v>
      </c>
      <c r="N44" s="636">
        <f>IF(ISBLANK(Récap1!N44),"",Récap1!N44)</f>
        <v>4.9055999999999989</v>
      </c>
      <c r="O44" s="636">
        <f>IF(ISBLANK(Récap1!O44),"",Récap1!O44)</f>
        <v>4.9055999999999989</v>
      </c>
      <c r="P44" s="636">
        <f>IF(ISBLANK(Récap1!P44),"",Récap1!P44)</f>
        <v>0.9811200000000001</v>
      </c>
      <c r="Q44" s="636">
        <f>IF(ISBLANK(Récap1!Q44),"",Récap1!Q44)</f>
        <v>0.9811200000000001</v>
      </c>
      <c r="R44" s="636">
        <f>IF(ISBLANK(Récap1!R44),"",Récap1!R44)</f>
        <v>9.8111999999999977</v>
      </c>
      <c r="S44" s="636">
        <f>IF(ISBLANK(Récap1!S44),"",Récap1!S44)</f>
        <v>0.42657391304347808</v>
      </c>
      <c r="T44" s="636">
        <f>IF(ISBLANK(Récap1!T44),"",Récap1!T44)</f>
        <v>0.42657391304347808</v>
      </c>
      <c r="U44" s="636">
        <f>IF(ISBLANK(Récap1!U44),"",Récap1!U44)</f>
        <v>0.2336</v>
      </c>
      <c r="V44" s="1433">
        <f>IF(ISBLANK(Récap1!V44),"",Récap1!V44)</f>
        <v>28.031999999999996</v>
      </c>
      <c r="W44" s="636">
        <f>IF(ISBLANK(Récap1!W44),"",Récap1!W44)</f>
        <v>28.031999999999996</v>
      </c>
      <c r="X44" s="636">
        <f>IF(ISBLANK(Récap1!X44),"",Récap1!X44)</f>
        <v>0.2943962154063326</v>
      </c>
      <c r="Y44" s="636">
        <f>IF(ISBLANK(Récap1!Y44),"",Récap1!Y44)</f>
        <v>10.306506396441879</v>
      </c>
      <c r="Z44" s="636">
        <f>IF(ISBLANK(Récap1!Z44),"",Récap1!Z44)</f>
        <v>3.9244799999999995</v>
      </c>
      <c r="AA44" s="473">
        <f>IF(ISBLANK(Récap1!AA44),"",Récap1!AA44)</f>
        <v>19.622400000000003</v>
      </c>
      <c r="AB44" s="636">
        <f>IF(ISBLANK(Récap1!AB44),"",Récap1!AB44)</f>
        <v>20.294227186569373</v>
      </c>
      <c r="AC44" s="1271">
        <f>IF(ISBLANK(Récap1!AC44),"",Récap1!AC44)</f>
        <v>62.731002417862939</v>
      </c>
      <c r="AD44" s="636">
        <f>IF(ISBLANK(Récap1!AD44),"",Récap1!AD44)</f>
        <v>262.57778161997174</v>
      </c>
      <c r="AE44" s="636" t="str">
        <f>IF(ISBLANK(Récap1!AE44),"",Récap1!AE44)</f>
        <v>PVL</v>
      </c>
      <c r="AF44" s="1272" t="str">
        <f>IF(ISBLANK(Récap1!AF44),"",Récap1!AF44)</f>
        <v>PVL</v>
      </c>
      <c r="AG44" s="636">
        <f>IF(ISBLANK(Récap1!AG44),"",Récap1!AG44)</f>
        <v>515.78880000000004</v>
      </c>
      <c r="AH44" s="636">
        <f>IF(ISBLANK(Récap1!AH44),"",Récap1!AH44)</f>
        <v>515.78879999999992</v>
      </c>
      <c r="AI44" s="636">
        <f>IF(ISBLANK(Récap1!AI44),"",Récap1!AI44)</f>
        <v>35.126059463763632</v>
      </c>
      <c r="AJ44" s="1271">
        <f>IF(ISBLANK(Récap1!AJ44),"",Récap1!AJ44)</f>
        <v>88.784774651703415</v>
      </c>
      <c r="AK44" s="636">
        <f>IF(ISBLANK(Récap1!AK44),"",Récap1!AK44)</f>
        <v>265.17925700147731</v>
      </c>
      <c r="AL44" s="636" t="str">
        <f>IF(ISBLANK(Récap1!AL44),"",Récap1!AL44)</f>
        <v>PVL</v>
      </c>
      <c r="AM44" s="636" t="str">
        <f>IF(ISBLANK(Récap1!AM44),"",Récap1!AM44)</f>
        <v>PVL</v>
      </c>
      <c r="AN44" s="1270">
        <f>IF(ISBLANK(Récap1!AN44),"",Récap1!AN44)</f>
        <v>1.7291766399934905</v>
      </c>
      <c r="AO44" s="636">
        <f>IF(ISBLANK(Récap1!AO44),"",Récap1!AO44)</f>
        <v>144.0939461440594</v>
      </c>
      <c r="AP44" s="636">
        <f>IF(ISBLANK(Récap1!AP44),"",Récap1!AP44)</f>
        <v>101.47760316353728</v>
      </c>
      <c r="AQ44" s="636">
        <f>IF(ISBLANK(Récap1!AQ44),"",Récap1!AQ44)</f>
        <v>205.51505551643945</v>
      </c>
      <c r="AR44" s="636">
        <f>IF(ISBLANK(Récap1!AR44),"",Récap1!AR44)</f>
        <v>817.33097958510382</v>
      </c>
      <c r="AS44" s="636">
        <f>IF(ISBLANK(Récap1!AS44),"",Récap1!AS44)</f>
        <v>65.47048768378356</v>
      </c>
      <c r="AT44" s="636">
        <f>IF(ISBLANK(Récap1!AT44),"",Récap1!AT44)</f>
        <v>8200.9102121685373</v>
      </c>
      <c r="AU44" s="636">
        <f>IF(ISBLANK(Récap1!AU44),"",Récap1!AU44)</f>
        <v>8407.3025916318384</v>
      </c>
      <c r="AV44" s="636">
        <f>IF(ISBLANK(Récap1!AV44),"",Récap1!AV44)</f>
        <v>549.95881674452539</v>
      </c>
      <c r="AW44" s="636">
        <f>IF(ISBLANK(Récap1!AW44),"",Récap1!AW44)</f>
        <v>5415.4812190603134</v>
      </c>
      <c r="AX44" s="636">
        <f>IF(ISBLANK(Récap1!AX44),"",Récap1!AX44)</f>
        <v>2442.7610970719029</v>
      </c>
      <c r="AY44" s="636">
        <f>IF(ISBLANK(Récap1!AY44),"",Récap1!AY44)</f>
        <v>3559.0762799474433</v>
      </c>
      <c r="AZ44" s="636">
        <f>IF(ISBLANK(Récap1!AZ44),"",Récap1!AZ44)</f>
        <v>397.58816732513299</v>
      </c>
      <c r="BA44" s="636">
        <f>IF(ISBLANK(Récap1!BA44),"",Récap1!BA44)</f>
        <v>1718.9118740794863</v>
      </c>
      <c r="BB44" s="636">
        <f>IF(ISBLANK(Récap1!BB44),"",Récap1!BB44)</f>
        <v>68791.464462142219</v>
      </c>
      <c r="BC44" s="473">
        <f>IF(ISBLANK(Récap1!BC44),"",Récap1!BC44)</f>
        <v>28985.56449398501</v>
      </c>
      <c r="BD44" s="1468">
        <f>IF(ISBLANK(Récap1!BD44),"",Récap1!BD44)</f>
        <v>156.67322898811207</v>
      </c>
      <c r="BE44" s="1547">
        <f>IF(ISBLANK(Récap1!BE44),"",Récap1!BE44)</f>
        <v>69.940492529840981</v>
      </c>
      <c r="BF44" s="636">
        <f>IF(ISBLANK(Récap1!BF44),"",Récap1!BF44)</f>
        <v>139.88098505968196</v>
      </c>
      <c r="BG44" s="636">
        <f>IF(ISBLANK(Récap1!BG44),"",Récap1!BG44)</f>
        <v>8.4095999999999986E-4</v>
      </c>
      <c r="BH44" s="1273">
        <f>IF(ISBLANK(Récap1!BH44),"",Récap1!BH44)</f>
        <v>3.4900173865331361</v>
      </c>
      <c r="BI44" s="636" t="str">
        <f>IF(ISBLANK(Récap1!BI44),"",Récap1!BI44)</f>
        <v/>
      </c>
      <c r="BJ44" s="1274" t="e">
        <f>IF(ISBLANK(Récap1!#REF!),"",Récap1!#REF!)</f>
        <v>#REF!</v>
      </c>
      <c r="BK44" s="1274" t="e">
        <f>IF(ISBLANK(Récap1!#REF!),"",Récap1!#REF!)</f>
        <v>#REF!</v>
      </c>
      <c r="BL44" s="636">
        <f>IF(ISBLANK('HCT2'!H44),"",'HCT2'!H44)</f>
        <v>0.2943962154063326</v>
      </c>
      <c r="BM44" s="636">
        <f>IF(ISBLANK('HCT2'!I44),"",'HCT2'!I44)</f>
        <v>10.306506396441879</v>
      </c>
      <c r="BN44" s="636">
        <f>IF(ISBLANK('HCT2'!J44),"",'HCT2'!J44)</f>
        <v>3.9244799999999995</v>
      </c>
      <c r="BO44" s="473">
        <f>IF(ISBLANK('HCT2'!K44),"",'HCT2'!K44)</f>
        <v>19.622400000000003</v>
      </c>
      <c r="BP44" s="636">
        <f>IF(ISBLANK('HCT2'!L44),"",'HCT2'!L44)</f>
        <v>20.294227186569373</v>
      </c>
      <c r="BQ44" s="1271">
        <f>IF(ISBLANK('HCT2'!M44),"",'HCT2'!M44)</f>
        <v>62.731002417862939</v>
      </c>
      <c r="BR44" s="636">
        <f>IF(ISBLANK('HCT2'!N44),"",'HCT2'!N44)</f>
        <v>262.57778161997174</v>
      </c>
      <c r="BS44" s="636">
        <f>IF(ISBLANK('HCT2'!O44),"",'HCT2'!O44)</f>
        <v>24.932607577617091</v>
      </c>
      <c r="BT44" s="1272">
        <f>IF(ISBLANK('HCT2'!P44),"",'HCT2'!P44)</f>
        <v>0.1713664353810935</v>
      </c>
      <c r="BU44" s="636">
        <f>IF(ISBLANK('HCT2'!Q44),"",'HCT2'!Q44)</f>
        <v>515.78880000000004</v>
      </c>
      <c r="BV44" s="636">
        <f>IF(ISBLANK('HCT2'!R44),"",'HCT2'!R44)</f>
        <v>515.78879999999992</v>
      </c>
      <c r="BW44" s="636">
        <f>IF(ISBLANK('HCT2'!S44),"",'HCT2'!S44)</f>
        <v>35.126059463763632</v>
      </c>
      <c r="BX44" s="1271">
        <f>IF(ISBLANK('HCT2'!T44),"",'HCT2'!T44)</f>
        <v>88.784774651703415</v>
      </c>
      <c r="BY44" s="636">
        <f>IF(ISBLANK('HCT2'!U44),"",'HCT2'!U44)</f>
        <v>265.17925700147731</v>
      </c>
      <c r="BZ44" s="636">
        <f>IF(ISBLANK('HCT2'!V44),"",'HCT2'!V44)</f>
        <v>169.27100835232307</v>
      </c>
      <c r="CA44" s="636">
        <f>IF(ISBLANK('HCT2'!W44),"",'HCT2'!W44)</f>
        <v>17.808621837886292</v>
      </c>
      <c r="CB44" s="1274" t="str">
        <f>IF(ISBLANK('HCT2'!X44),"",'HCT2'!X44)</f>
        <v/>
      </c>
      <c r="CC44" s="1275">
        <f>IF(ISBLANK('HCT2'!Y44),"",'HCT2'!Y44)</f>
        <v>25.700881776431387</v>
      </c>
      <c r="CD44" s="1276">
        <f>IF(ISBLANK('HCT2'!Z44),"",'HCT2'!Z44)</f>
        <v>75.586172317101784</v>
      </c>
      <c r="CE44" s="1274" t="str">
        <f>IF(ISBLANK('HCT2'!AA44),"",'HCT2'!AA44)</f>
        <v/>
      </c>
      <c r="CF44" s="1274" t="str">
        <f>IF(ISBLANK('HCT2'!AB44),"",'HCT2'!AB44)</f>
        <v/>
      </c>
      <c r="CG44" s="1277">
        <f>IF(ISBLANK('HCT2'!AC44),"",'HCT2'!AC44)</f>
        <v>113.58833538654436</v>
      </c>
      <c r="CH44" s="1274" t="str">
        <f>IF(ISBLANK('HCT2'!AD44),"",'HCT2'!AD44)</f>
        <v/>
      </c>
      <c r="CI44" s="1274" t="str">
        <f>IF(ISBLANK('HCT2'!AE44),"",'HCT2'!AE44)</f>
        <v/>
      </c>
      <c r="CJ44" s="1274" t="str">
        <f>IF(ISBLANK('HCT2'!AF44),"",'HCT2'!AF44)</f>
        <v/>
      </c>
      <c r="CK44" s="1278" t="str">
        <f>IF(ISBLANK('HCT2'!AG44),"",'HCT2'!AG44)</f>
        <v/>
      </c>
      <c r="CL44" s="1274">
        <f>IF(ISBLANK('HCT2'!AH44),"",'HCT2'!AH44)</f>
        <v>1517.5924728395505</v>
      </c>
      <c r="CM44" s="1274">
        <f>IF(ISBLANK('HCT2'!AI44),"",'HCT2'!AI44)</f>
        <v>1963.0463119396359</v>
      </c>
      <c r="CN44" s="1278">
        <f>IF(ISBLANK('HCT2'!AJ44),"",'HCT2'!AJ44)</f>
        <v>495.40342977135845</v>
      </c>
      <c r="CO44" s="1274" t="str">
        <f>IF(ISBLANK('HCT2'!AK44),"",'HCT2'!AK44)</f>
        <v/>
      </c>
      <c r="CP44" s="1274" t="str">
        <f>IF(ISBLANK('HCT2'!AL44),"",'HCT2'!AL44)</f>
        <v/>
      </c>
      <c r="CQ44" s="1274" t="str">
        <f>IF(ISBLANK('HCT2'!AM44),"",'HCT2'!AM44)</f>
        <v/>
      </c>
      <c r="CR44" s="1279" t="str">
        <f>IF(ISBLANK('HCT2'!AN44),"",'HCT2'!AN44)</f>
        <v/>
      </c>
      <c r="CS44" s="1280">
        <f>IF(ISBLANK('HCT2'!AO44),"",'HCT2'!AO44)</f>
        <v>113.58833538654436</v>
      </c>
      <c r="CT44" s="1281">
        <f>IF(ISBLANK('HCT2'!AP44),"",'HCT2'!AP44)</f>
        <v>1</v>
      </c>
      <c r="CU44" s="1154">
        <f>IF(ISBLANK('HCT2'!AQ44),"",'HCT2'!AQ44)</f>
        <v>1097.5987892621811</v>
      </c>
      <c r="CV44" s="1137">
        <f>IF(ISBLANK('HCT2'!AR44),"",'HCT2'!AR44)</f>
        <v>1097.5987892621811</v>
      </c>
      <c r="CW44" s="1518" t="e">
        <f>IF(ISBLANK(Récap1!#REF!),"",Récap1!#REF!)</f>
        <v>#REF!</v>
      </c>
      <c r="CX44" s="1518" t="e">
        <f>IF(ISBLANK(Récap1!#REF!),"",Récap1!#REF!)</f>
        <v>#REF!</v>
      </c>
      <c r="CY44" s="1519" t="e">
        <f>IF(ISBLANK(Récap1!#REF!),"",Récap1!#REF!)</f>
        <v>#REF!</v>
      </c>
      <c r="CZ44" s="1519" t="e">
        <f>IF(ISBLANK(Récap1!#REF!),"",Récap1!#REF!)</f>
        <v>#REF!</v>
      </c>
      <c r="DA44" s="1519" t="e">
        <f>IF(ISBLANK(Récap1!#REF!),"",Récap1!#REF!)</f>
        <v>#REF!</v>
      </c>
      <c r="DB44" s="1519" t="e">
        <f>IF(ISBLANK(Récap1!#REF!),"",Récap1!#REF!)</f>
        <v>#REF!</v>
      </c>
      <c r="DC44" s="1518">
        <f>IF(ISBLANK('HCT2'!AS44),"",'HCT2'!AS44)</f>
        <v>1677.0262958332708</v>
      </c>
      <c r="DD44" s="1519">
        <f>IF(ISBLANK('HCT2'!AT44),"",'HCT2'!AT44)</f>
        <v>3946.8261348505475</v>
      </c>
      <c r="DE44" s="1519" t="str">
        <f>IF(ISBLANK('HCT2'!AU44),"",'HCT2'!AU44)</f>
        <v>PVL</v>
      </c>
      <c r="DF44" s="1519" t="str">
        <f>IF(ISBLANK('HCT2'!AV44),"",'HCT2'!AV44)</f>
        <v>PVL</v>
      </c>
      <c r="DG44" s="1519" t="str">
        <f>IF(ISBLANK('HCT2'!AW44),"",'HCT2'!AW44)</f>
        <v/>
      </c>
      <c r="DH44" s="1519" t="str">
        <f>IF(ISBLANK('HCT2'!AX44),"",'HCT2'!AX44)</f>
        <v/>
      </c>
      <c r="DI44" s="1519" t="str">
        <f>IF(ISBLANK('HCT2'!AY44),"",'HCT2'!AY44)</f>
        <v/>
      </c>
      <c r="DJ44" s="1520">
        <f>IF(ISBLANK('HCT2'!AZ44),"",'HCT2'!AZ44)</f>
        <v>655.88111973121556</v>
      </c>
      <c r="DK44" s="1519">
        <f>IF(ISBLANK('HCT2'!BA44),"",'HCT2'!BA44)</f>
        <v>599.54461162569498</v>
      </c>
      <c r="DL44" s="1519" t="str">
        <f>IF(ISBLANK('HCT2'!BB44),"",'HCT2'!BB44)</f>
        <v>PVL</v>
      </c>
      <c r="DM44" s="1521" t="str">
        <f>IF(ISBLANK('HCT2'!BC44),"",'HCT2'!BC44)</f>
        <v>PVL</v>
      </c>
      <c r="DN44" s="1522">
        <f>IF(ISBLANK('HCT2'!BD44),"",'HCT2'!BD44)</f>
        <v>599.54461162569498</v>
      </c>
      <c r="DO44" s="1523">
        <f>IF(ISBLANK('HCT2'!BE44),"",'HCT2'!BE44)</f>
        <v>0.68160323968664671</v>
      </c>
      <c r="DP44" s="1524">
        <f>IF(ISBLANK('HCT2'!BF44),"",'HCT2'!BF44)</f>
        <v>996.58096696150881</v>
      </c>
      <c r="DQ44" s="1063">
        <f>SUM(BQ44:BT44,BX44:CA44)</f>
        <v>891.45641989422302</v>
      </c>
      <c r="DS44" s="530">
        <f>SUM(BU44:BU44)+SUM(BL44:BL44)</f>
        <v>516.08319621540636</v>
      </c>
      <c r="DT44" s="530">
        <f>SUM(BV44:BV44)+SUM(BM44:BM44)</f>
        <v>526.09530639644186</v>
      </c>
      <c r="DU44" s="530">
        <f>SUM(BW44:BW44)+SUM(BP44:BP44)</f>
        <v>55.420286650333004</v>
      </c>
      <c r="DV44" s="829">
        <f>SUM(BX44:BX44)+SUM(BQ44:BQ44)</f>
        <v>151.51577706956635</v>
      </c>
      <c r="DW44" s="530">
        <f>SUM(BY44:BY44)+SUM(BR44:BR44)</f>
        <v>527.75703862144906</v>
      </c>
      <c r="DX44" s="530">
        <f>SUM(BZ44:BZ44)+SUM(BS44:BS44)</f>
        <v>194.20361592994016</v>
      </c>
      <c r="DY44" s="530">
        <f>SUM(CA44:CA44)+SUM(BT44:BT44)</f>
        <v>17.979988273267384</v>
      </c>
    </row>
    <row r="45" spans="1:131" s="495" customFormat="1" ht="25.5">
      <c r="A45" s="398"/>
      <c r="B45" s="492"/>
      <c r="C45" s="985"/>
      <c r="D45" s="986"/>
      <c r="E45" s="103" t="s">
        <v>628</v>
      </c>
      <c r="F45" s="493" t="str">
        <f>IF(ISBLANK(Récap1!F45),"",Récap1!F45)</f>
        <v>Cs</v>
      </c>
      <c r="G45" s="493" t="str">
        <f>IF(ISBLANK(Récap1!G45),"",Récap1!G45)</f>
        <v>mg/kg ms</v>
      </c>
      <c r="H45" s="494">
        <f>IF(ISBLANK(Récap1!H45),"",Récap1!H45)</f>
        <v>555.19258157370484</v>
      </c>
      <c r="I45" s="343">
        <f>IF(ISBLANK(Récap1!I45),"",Récap1!I45)</f>
        <v>555.19258157370484</v>
      </c>
      <c r="J45" s="650">
        <f>IF(ISBLANK(Récap1!J45),"",Récap1!J45)</f>
        <v>4153.1270958274908</v>
      </c>
      <c r="K45" s="677">
        <f>IF(ISBLANK(Récap1!K45),"",Récap1!K45)</f>
        <v>1.5697919999999999</v>
      </c>
      <c r="L45" s="674">
        <f>IF(ISBLANK(Récap1!L45),"",Récap1!L45)</f>
        <v>2.1511535215770454</v>
      </c>
      <c r="M45" s="650">
        <f>IF(ISBLANK(Récap1!M45),"",Récap1!M45)</f>
        <v>2.1511535215770454</v>
      </c>
      <c r="N45" s="674">
        <f>IF(ISBLANK(Récap1!N45),"",Récap1!N45)</f>
        <v>4.9055999999999989</v>
      </c>
      <c r="O45" s="650">
        <f>IF(ISBLANK(Récap1!O45),"",Récap1!O45)</f>
        <v>4.9055999999999989</v>
      </c>
      <c r="P45" s="674">
        <f>IF(ISBLANK(Récap1!P45),"",Récap1!P45)</f>
        <v>0.9811200000000001</v>
      </c>
      <c r="Q45" s="650">
        <f>IF(ISBLANK(Récap1!Q45),"",Récap1!Q45)</f>
        <v>0.9811200000000001</v>
      </c>
      <c r="R45" s="650">
        <f>IF(ISBLANK(Récap1!R45),"",Récap1!R45)</f>
        <v>9.8111999999999977</v>
      </c>
      <c r="S45" s="650">
        <f>IF(ISBLANK(Récap1!S45),"",Récap1!S45)</f>
        <v>0.42657391304347808</v>
      </c>
      <c r="T45" s="650">
        <f>IF(ISBLANK(Récap1!T45),"",Récap1!T45)</f>
        <v>0.42657391304347808</v>
      </c>
      <c r="U45" s="650">
        <f>IF(ISBLANK(Récap1!U45),"",Récap1!U45)</f>
        <v>0.2336</v>
      </c>
      <c r="V45" s="675">
        <f>IF(ISBLANK(Récap1!V45),"",Récap1!V45)</f>
        <v>28.031999999999996</v>
      </c>
      <c r="W45" s="650">
        <f>IF(ISBLANK(Récap1!W45),"",Récap1!W45)</f>
        <v>28.031999999999996</v>
      </c>
      <c r="X45" s="650">
        <f>IF(ISBLANK(Récap1!X45),"",Récap1!X45)</f>
        <v>0.2943962154063326</v>
      </c>
      <c r="Y45" s="675">
        <f>IF(ISBLANK(Récap1!Y45),"",Récap1!Y45)</f>
        <v>10.306506396441879</v>
      </c>
      <c r="Z45" s="674">
        <f>IF(ISBLANK(Récap1!Z45),"",Récap1!Z45)</f>
        <v>3.9244799999999995</v>
      </c>
      <c r="AA45" s="678">
        <f>IF(ISBLANK(Récap1!AA45),"",Récap1!AA45)</f>
        <v>19.622400000000003</v>
      </c>
      <c r="AB45" s="650">
        <f>IF(ISBLANK(Récap1!AB45),"",Récap1!AB45)</f>
        <v>20.294227186569373</v>
      </c>
      <c r="AC45" s="1168">
        <f>IF(ISBLANK(Récap1!AC45),"",Récap1!AC45)</f>
        <v>62.731002417862939</v>
      </c>
      <c r="AD45" s="650" t="str">
        <f>IF(ISBLANK(Récap1!AD45),"",Récap1!AD45)</f>
        <v>PVL</v>
      </c>
      <c r="AE45" s="650" t="str">
        <f>IF(ISBLANK(Récap1!AE45),"",Récap1!AE45)</f>
        <v>PVL</v>
      </c>
      <c r="AF45" s="1169" t="str">
        <f>IF(ISBLANK(Récap1!AF45),"",Récap1!AF45)</f>
        <v>PVL</v>
      </c>
      <c r="AG45" s="650" t="str">
        <f>IF(ISBLANK(Récap1!AG45),"",Récap1!AG45)</f>
        <v>PVL</v>
      </c>
      <c r="AH45" s="650" t="str">
        <f>IF(ISBLANK(Récap1!AH45),"",Récap1!AH45)</f>
        <v>PVL</v>
      </c>
      <c r="AI45" s="650" t="str">
        <f>IF(ISBLANK(Récap1!AI45),"",Récap1!AI45)</f>
        <v>PVL</v>
      </c>
      <c r="AJ45" s="1168" t="str">
        <f>IF(ISBLANK(Récap1!AJ45),"",Récap1!AJ45)</f>
        <v>PVL</v>
      </c>
      <c r="AK45" s="650" t="str">
        <f>IF(ISBLANK(Récap1!AK45),"",Récap1!AK45)</f>
        <v>PVL</v>
      </c>
      <c r="AL45" s="650" t="str">
        <f>IF(ISBLANK(Récap1!AL45),"",Récap1!AL45)</f>
        <v>PVL</v>
      </c>
      <c r="AM45" s="650" t="str">
        <f>IF(ISBLANK(Récap1!AM45),"",Récap1!AM45)</f>
        <v>PVL</v>
      </c>
      <c r="AN45" s="677">
        <f>IF(ISBLANK(Récap1!AN45),"",Récap1!AN45)</f>
        <v>1.7291766399934905</v>
      </c>
      <c r="AO45" s="650" t="str">
        <f>IF(ISBLANK(Récap1!AO45),"",Récap1!AO45)</f>
        <v>PVL</v>
      </c>
      <c r="AP45" s="650" t="str">
        <f>IF(ISBLANK(Récap1!AP45),"",Récap1!AP45)</f>
        <v>PVL</v>
      </c>
      <c r="AQ45" s="650" t="str">
        <f>IF(ISBLANK(Récap1!AQ45),"",Récap1!AQ45)</f>
        <v>PVL</v>
      </c>
      <c r="AR45" s="650" t="str">
        <f>IF(ISBLANK(Récap1!AR45),"",Récap1!AR45)</f>
        <v>PVL</v>
      </c>
      <c r="AS45" s="650" t="str">
        <f>IF(ISBLANK(Récap1!AS45),"",Récap1!AS45)</f>
        <v>PVL</v>
      </c>
      <c r="AT45" s="650" t="str">
        <f>IF(ISBLANK(Récap1!AT45),"",Récap1!AT45)</f>
        <v>PVL</v>
      </c>
      <c r="AU45" s="650" t="str">
        <f>IF(ISBLANK(Récap1!AU45),"",Récap1!AU45)</f>
        <v>PVL</v>
      </c>
      <c r="AV45" s="650" t="str">
        <f>IF(ISBLANK(Récap1!AV45),"",Récap1!AV45)</f>
        <v>PVL</v>
      </c>
      <c r="AW45" s="650" t="str">
        <f>IF(ISBLANK(Récap1!AW45),"",Récap1!AW45)</f>
        <v>PVL</v>
      </c>
      <c r="AX45" s="650" t="str">
        <f>IF(ISBLANK(Récap1!AX45),"",Récap1!AX45)</f>
        <v>PVL</v>
      </c>
      <c r="AY45" s="650" t="str">
        <f>IF(ISBLANK(Récap1!AY45),"",Récap1!AY45)</f>
        <v>PVL</v>
      </c>
      <c r="AZ45" s="650" t="str">
        <f>IF(ISBLANK(Récap1!AZ45),"",Récap1!AZ45)</f>
        <v>PVL</v>
      </c>
      <c r="BA45" s="650" t="str">
        <f>IF(ISBLANK(Récap1!BA45),"",Récap1!BA45)</f>
        <v>PVL</v>
      </c>
      <c r="BB45" s="650" t="str">
        <f>IF(ISBLANK(Récap1!BB45),"",Récap1!BB45)</f>
        <v>PVL</v>
      </c>
      <c r="BC45" s="651" t="str">
        <f>IF(ISBLANK(Récap1!BC45),"",Récap1!BC45)</f>
        <v>PVL</v>
      </c>
      <c r="BD45" s="679">
        <f>IF(ISBLANK(Récap1!BD45),"",Récap1!BD45)</f>
        <v>156.67322898811207</v>
      </c>
      <c r="BE45" s="674">
        <v>0.1</v>
      </c>
      <c r="BF45" s="650" t="str">
        <f>IF(ISBLANK(Récap1!BF45),"",Récap1!BF45)</f>
        <v>PVL</v>
      </c>
      <c r="BG45" s="650">
        <f>IF(ISBLANK(Récap1!BG45),"",Récap1!BG45)</f>
        <v>8.4095999999999986E-4</v>
      </c>
      <c r="BH45" s="652">
        <f>IF(ISBLANK(Récap1!BH45),"",Récap1!BH45)</f>
        <v>3.4900173865331361</v>
      </c>
      <c r="BI45" s="650" t="str">
        <f>IF(ISBLANK(Récap1!BI45),"",Récap1!BI45)</f>
        <v/>
      </c>
      <c r="BJ45" s="653" t="e">
        <f>IF(ISBLANK(Récap1!#REF!),"",Récap1!#REF!)</f>
        <v>#REF!</v>
      </c>
      <c r="BK45" s="653" t="e">
        <f>IF(ISBLANK(Récap1!#REF!),"",Récap1!#REF!)</f>
        <v>#REF!</v>
      </c>
      <c r="BL45" s="650">
        <f>IF(ISBLANK('HCT2'!H45),"",'HCT2'!H45)</f>
        <v>0.2943962154063326</v>
      </c>
      <c r="BM45" s="650">
        <f>IF(ISBLANK('HCT2'!I45),"",'HCT2'!I45)</f>
        <v>10.306506396441879</v>
      </c>
      <c r="BN45" s="650">
        <f>IF(ISBLANK('HCT2'!J45),"",'HCT2'!J45)</f>
        <v>3.9244799999999995</v>
      </c>
      <c r="BO45" s="651">
        <f>IF(ISBLANK('HCT2'!K45),"",'HCT2'!K45)</f>
        <v>19.622400000000003</v>
      </c>
      <c r="BP45" s="650">
        <f>IF(ISBLANK('HCT2'!L45),"",'HCT2'!L45)</f>
        <v>20.294227186569373</v>
      </c>
      <c r="BQ45" s="1168">
        <f>IF(ISBLANK('HCT2'!M45),"",'HCT2'!M45)</f>
        <v>62.731002417862939</v>
      </c>
      <c r="BR45" s="650">
        <f>IF(ISBLANK('HCT2'!N45),"",'HCT2'!N45)</f>
        <v>111.57062141399172</v>
      </c>
      <c r="BS45" s="650">
        <f>IF(ISBLANK('HCT2'!O45),"",'HCT2'!O45)</f>
        <v>10.593990488243037</v>
      </c>
      <c r="BT45" s="1169">
        <f>IF(ISBLANK('HCT2'!P45),"",'HCT2'!P45)</f>
        <v>7.2814461174178141E-2</v>
      </c>
      <c r="BU45" s="650">
        <f>IF(ISBLANK('HCT2'!Q45),"",'HCT2'!Q45)</f>
        <v>25.689703799784894</v>
      </c>
      <c r="BV45" s="650">
        <f>IF(ISBLANK('HCT2'!R45),"",'HCT2'!R45)</f>
        <v>19.860204458197209</v>
      </c>
      <c r="BW45" s="650">
        <f>IF(ISBLANK('HCT2'!S45),"",'HCT2'!S45)</f>
        <v>5.3593580986594578</v>
      </c>
      <c r="BX45" s="1168">
        <f>IF(ISBLANK('HCT2'!T45),"",'HCT2'!T45)</f>
        <v>1.2263719100147334</v>
      </c>
      <c r="BY45" s="650">
        <f>IF(ISBLANK('HCT2'!U45),"",'HCT2'!U45)</f>
        <v>4.0070694762104972</v>
      </c>
      <c r="BZ45" s="650">
        <f>IF(ISBLANK('HCT2'!V45),"",'HCT2'!V45)</f>
        <v>2.5578195611739996</v>
      </c>
      <c r="CA45" s="650">
        <f>IF(ISBLANK('HCT2'!W45),"",'HCT2'!W45)</f>
        <v>0.2691024395606188</v>
      </c>
      <c r="CB45" s="653" t="str">
        <f>IF(ISBLANK('HCT2'!X45),"",'HCT2'!X45)</f>
        <v/>
      </c>
      <c r="CC45" s="1170">
        <f>IF(ISBLANK('HCT2'!Y45),"",'HCT2'!Y45)</f>
        <v>25.700881776431387</v>
      </c>
      <c r="CD45" s="1171">
        <f>IF(ISBLANK('HCT2'!Z45),"",'HCT2'!Z45)</f>
        <v>75.586172317101784</v>
      </c>
      <c r="CE45" s="653" t="str">
        <f>IF(ISBLANK('HCT2'!AA45),"",'HCT2'!AA45)</f>
        <v/>
      </c>
      <c r="CF45" s="653" t="str">
        <f>IF(ISBLANK('HCT2'!AB45),"",'HCT2'!AB45)</f>
        <v/>
      </c>
      <c r="CG45" s="1172">
        <f>IF(ISBLANK('HCT2'!AC45),"",'HCT2'!AC45)</f>
        <v>113.58833538654436</v>
      </c>
      <c r="CH45" s="653" t="str">
        <f>IF(ISBLANK('HCT2'!AD45),"",'HCT2'!AD45)</f>
        <v/>
      </c>
      <c r="CI45" s="653" t="str">
        <f>IF(ISBLANK('HCT2'!AE45),"",'HCT2'!AE45)</f>
        <v/>
      </c>
      <c r="CJ45" s="653" t="str">
        <f>IF(ISBLANK('HCT2'!AF45),"",'HCT2'!AF45)</f>
        <v/>
      </c>
      <c r="CK45" s="1173" t="str">
        <f>IF(ISBLANK('HCT2'!AG45),"",'HCT2'!AG45)</f>
        <v/>
      </c>
      <c r="CL45" s="653" t="str">
        <f>IF(ISBLANK('HCT2'!AH45),"",'HCT2'!AH45)</f>
        <v>PVL</v>
      </c>
      <c r="CM45" s="653" t="str">
        <f>IF(ISBLANK('HCT2'!AI45),"",'HCT2'!AI45)</f>
        <v>PVL</v>
      </c>
      <c r="CN45" s="1173" t="str">
        <f>IF(ISBLANK('HCT2'!AJ45),"",'HCT2'!AJ45)</f>
        <v>PVL</v>
      </c>
      <c r="CO45" s="653" t="str">
        <f>IF(ISBLANK('HCT2'!AK45),"",'HCT2'!AK45)</f>
        <v/>
      </c>
      <c r="CP45" s="653" t="str">
        <f>IF(ISBLANK('HCT2'!AL45),"",'HCT2'!AL45)</f>
        <v/>
      </c>
      <c r="CQ45" s="653" t="str">
        <f>IF(ISBLANK('HCT2'!AM45),"",'HCT2'!AM45)</f>
        <v/>
      </c>
      <c r="CR45" s="690" t="str">
        <f>IF(ISBLANK('HCT2'!AN45),"",'HCT2'!AN45)</f>
        <v/>
      </c>
      <c r="CS45" s="684">
        <f>IF(ISBLANK('HCT2'!AO45),"",'HCT2'!AO45)</f>
        <v>113.58833538654436</v>
      </c>
      <c r="CT45" s="1174">
        <f>IF(ISBLANK('HCT2'!AP45),"",'HCT2'!AP45)</f>
        <v>0.32647381397929243</v>
      </c>
      <c r="CU45" s="1148">
        <f>MAX('HCT2'!AQ45,'HCT2'!AQ44)</f>
        <v>1097.5987892621811</v>
      </c>
      <c r="CV45" s="686">
        <f>IF(ISBLANK('HCT2'!AR45),"",'HCT2'!AR45)</f>
        <v>81.804396155059138</v>
      </c>
      <c r="CW45" s="1473" t="e">
        <f>IF(ISBLANK(Récap1!#REF!),"",Récap1!#REF!)</f>
        <v>#REF!</v>
      </c>
      <c r="CX45" s="1473" t="e">
        <f>IF(ISBLANK(Récap1!#REF!),"",Récap1!#REF!)</f>
        <v>#REF!</v>
      </c>
      <c r="CY45" s="1461" t="e">
        <f>IF(ISBLANK(Récap1!#REF!),"",Récap1!#REF!)</f>
        <v>#REF!</v>
      </c>
      <c r="CZ45" s="1461" t="e">
        <f>IF(ISBLANK(Récap1!#REF!),"",Récap1!#REF!)</f>
        <v>#REF!</v>
      </c>
      <c r="DA45" s="1461" t="e">
        <f>IF(ISBLANK(Récap1!#REF!),"",Récap1!#REF!)</f>
        <v>#REF!</v>
      </c>
      <c r="DB45" s="1461" t="e">
        <f>IF(ISBLANK(Récap1!#REF!),"",Récap1!#REF!)</f>
        <v>#REF!</v>
      </c>
      <c r="DC45" s="1473">
        <f>IF(ISBLANK('HCT2'!AS45),"",'HCT2'!AS45)</f>
        <v>1677.0262958332708</v>
      </c>
      <c r="DD45" s="1461" t="str">
        <f>IF(ISBLANK('HCT2'!AT45),"",'HCT2'!AT45)</f>
        <v>PVL</v>
      </c>
      <c r="DE45" s="1461" t="str">
        <f>IF(ISBLANK('HCT2'!AU45),"",'HCT2'!AU45)</f>
        <v>PVL</v>
      </c>
      <c r="DF45" s="1461" t="str">
        <f>IF(ISBLANK('HCT2'!AV45),"",'HCT2'!AV45)</f>
        <v>PVL</v>
      </c>
      <c r="DG45" s="1461" t="str">
        <f>IF(ISBLANK('HCT2'!AW45),"",'HCT2'!AW45)</f>
        <v/>
      </c>
      <c r="DH45" s="1461" t="str">
        <f>IF(ISBLANK('HCT2'!AX45),"",'HCT2'!AX45)</f>
        <v/>
      </c>
      <c r="DI45" s="1461" t="str">
        <f>IF(ISBLANK('HCT2'!AY45),"",'HCT2'!AY45)</f>
        <v/>
      </c>
      <c r="DJ45" s="1474" t="str">
        <f>IF(ISBLANK('HCT2'!AZ45),"",'HCT2'!AZ45)</f>
        <v>PVL</v>
      </c>
      <c r="DK45" s="1461" t="str">
        <f>IF(ISBLANK('HCT2'!BA45),"",'HCT2'!BA45)</f>
        <v>PVL</v>
      </c>
      <c r="DL45" s="1461" t="str">
        <f>IF(ISBLANK('HCT2'!BB45),"",'HCT2'!BB45)</f>
        <v>PVL</v>
      </c>
      <c r="DM45" s="1462" t="str">
        <f>IF(ISBLANK('HCT2'!BC45),"",'HCT2'!BC45)</f>
        <v>PVL</v>
      </c>
      <c r="DN45" s="1461">
        <f>IF(ISBLANK('HCT2'!BD45),"",'HCT2'!BD45)</f>
        <v>1677.0262958332708</v>
      </c>
      <c r="DO45" s="1475">
        <f>IF(ISBLANK('HCT2'!BE45),"",'HCT2'!BE45)</f>
        <v>3.7406093496401338E-2</v>
      </c>
      <c r="DP45" s="1462">
        <f>MAX('HCT2'!BF45,'HCT2'!BF44)</f>
        <v>1677.0262958332708</v>
      </c>
      <c r="DQ45" s="920">
        <f t="shared" si="0"/>
        <v>193.02879216823172</v>
      </c>
      <c r="DS45" s="343">
        <f t="shared" si="1"/>
        <v>25.984100015191228</v>
      </c>
      <c r="DT45" s="343">
        <f t="shared" si="1"/>
        <v>30.166710854639089</v>
      </c>
      <c r="DU45" s="343">
        <f t="shared" si="2"/>
        <v>25.653585285228829</v>
      </c>
      <c r="DV45" s="874">
        <f t="shared" si="2"/>
        <v>63.957374327877673</v>
      </c>
      <c r="DW45" s="343">
        <f t="shared" si="2"/>
        <v>115.57769089020222</v>
      </c>
      <c r="DX45" s="343">
        <f t="shared" si="2"/>
        <v>13.151810049417037</v>
      </c>
      <c r="DY45" s="343">
        <f t="shared" si="2"/>
        <v>0.34191690073479697</v>
      </c>
      <c r="DZ45" s="1064">
        <f>SUM(DS45:DU45)</f>
        <v>81.804396155059152</v>
      </c>
      <c r="EA45" s="1064">
        <f>SUM(DV45:DY45)</f>
        <v>193.02879216823172</v>
      </c>
    </row>
    <row r="46" spans="1:131" s="742" customFormat="1" hidden="1">
      <c r="A46" s="732"/>
      <c r="B46" s="733"/>
      <c r="C46" s="77"/>
      <c r="D46" s="783"/>
      <c r="E46" s="736" t="str">
        <f>IF(ISBLANK(Récap1!E46),"",Récap1!E46)</f>
        <v>Equivalent air du sol</v>
      </c>
      <c r="F46" s="737" t="str">
        <f>IF(ISBLANK(Récap1!F46),"",Récap1!F46)</f>
        <v>Csao</v>
      </c>
      <c r="G46" s="737" t="str">
        <f>IF(ISBLANK(Récap1!G46),"",Récap1!G46)</f>
        <v>mg/m3</v>
      </c>
      <c r="H46" s="739">
        <f>IF(ISBLANK(Récap1!H46),"",Récap1!H46)</f>
        <v>1462.6501644231591</v>
      </c>
      <c r="I46" s="740">
        <f>IF(ISBLANK(Récap1!I46),"",Récap1!I46)</f>
        <v>1462.6501644231591</v>
      </c>
      <c r="J46" s="1177">
        <f>IF(ISBLANK(Récap1!J46),"",Récap1!J46)</f>
        <v>71826.942533116002</v>
      </c>
      <c r="K46" s="1176">
        <f>IF(ISBLANK(Récap1!K46),"",Récap1!K46)</f>
        <v>6048.9010731870685</v>
      </c>
      <c r="L46" s="1177">
        <f>IF(ISBLANK(Récap1!L46),"",Récap1!L46)</f>
        <v>1549.7746049922091</v>
      </c>
      <c r="M46" s="1177">
        <f>IF(ISBLANK(Récap1!M46),"",Récap1!M46)</f>
        <v>1549.7746049922091</v>
      </c>
      <c r="N46" s="1177">
        <f>IF(ISBLANK(Récap1!N46),"",Récap1!N46)</f>
        <v>6970.5163317740025</v>
      </c>
      <c r="O46" s="1177">
        <f>IF(ISBLANK(Récap1!O46),"",Récap1!O46)</f>
        <v>6970.5163317740025</v>
      </c>
      <c r="P46" s="1177">
        <f>IF(ISBLANK(Récap1!P46),"",Récap1!P46)</f>
        <v>1521.9998110376494</v>
      </c>
      <c r="Q46" s="1177">
        <f>IF(ISBLANK(Récap1!Q46),"",Récap1!Q46)</f>
        <v>1521.9998110376494</v>
      </c>
      <c r="R46" s="1177">
        <f>IF(ISBLANK(Récap1!R46),"",Récap1!R46)</f>
        <v>6118.0216297414145</v>
      </c>
      <c r="S46" s="1177">
        <f>IF(ISBLANK(Récap1!S46),"",Récap1!S46)</f>
        <v>249.55564180210837</v>
      </c>
      <c r="T46" s="1177">
        <f>IF(ISBLANK(Récap1!T46),"",Récap1!T46)</f>
        <v>249.55564180210837</v>
      </c>
      <c r="U46" s="1177">
        <f>IF(ISBLANK(Récap1!U46),"",Récap1!U46)</f>
        <v>643.396006950436</v>
      </c>
      <c r="V46" s="1434">
        <f>IF(ISBLANK(Récap1!V46),"",Récap1!V46)</f>
        <v>126373.39426687582</v>
      </c>
      <c r="W46" s="1177">
        <f>IF(ISBLANK(Récap1!W46),"",Récap1!W46)</f>
        <v>126373.39426687582</v>
      </c>
      <c r="X46" s="1177">
        <f>IF(ISBLANK(Récap1!X46),"",Récap1!X46)</f>
        <v>254.61051576478127</v>
      </c>
      <c r="Y46" s="1177">
        <f>IF(ISBLANK(Récap1!Y46),"",Récap1!Y46)</f>
        <v>6177.6848685980631</v>
      </c>
      <c r="Z46" s="1177">
        <f>IF(ISBLANK(Récap1!Z46),"",Récap1!Z46)</f>
        <v>1393.0841357087588</v>
      </c>
      <c r="AA46" s="1178">
        <f>IF(ISBLANK(Récap1!AA46),"",Récap1!AA46)</f>
        <v>4672.8199123268923</v>
      </c>
      <c r="AB46" s="1177">
        <f>IF(ISBLANK(Récap1!AB46),"",Récap1!AB46)</f>
        <v>5465.7636998254347</v>
      </c>
      <c r="AC46" s="1179">
        <f>IF(ISBLANK(Récap1!AC46),"",Récap1!AC46)</f>
        <v>3296.814847141964</v>
      </c>
      <c r="AD46" s="1177" t="str">
        <f>IF(ISBLANK(Récap1!AD46),"",Récap1!AD46)</f>
        <v>PVL</v>
      </c>
      <c r="AE46" s="1177" t="str">
        <f>IF(ISBLANK(Récap1!AE46),"",Récap1!AE46)</f>
        <v>PVL</v>
      </c>
      <c r="AF46" s="1180" t="str">
        <f>IF(ISBLANK(Récap1!AF46),"",Récap1!AF46)</f>
        <v>PVL</v>
      </c>
      <c r="AG46" s="1177" t="str">
        <f>IF(ISBLANK(Récap1!AG46),"",Récap1!AG46)</f>
        <v>PVL</v>
      </c>
      <c r="AH46" s="1177" t="str">
        <f>IF(ISBLANK(Récap1!AH46),"",Récap1!AH46)</f>
        <v>PVL</v>
      </c>
      <c r="AI46" s="1177" t="str">
        <f>IF(ISBLANK(Récap1!AI46),"",Récap1!AI46)</f>
        <v>PVL</v>
      </c>
      <c r="AJ46" s="1179" t="str">
        <f>IF(ISBLANK(Récap1!AJ46),"",Récap1!AJ46)</f>
        <v>PVL</v>
      </c>
      <c r="AK46" s="1177" t="str">
        <f>IF(ISBLANK(Récap1!AK46),"",Récap1!AK46)</f>
        <v>PVL</v>
      </c>
      <c r="AL46" s="1177" t="str">
        <f>IF(ISBLANK(Récap1!AL46),"",Récap1!AL46)</f>
        <v>PVL</v>
      </c>
      <c r="AM46" s="1177" t="str">
        <f>IF(ISBLANK(Récap1!AM46),"",Récap1!AM46)</f>
        <v>PVL</v>
      </c>
      <c r="AN46" s="1176">
        <f>IF(ISBLANK(Récap1!AN46),"",Récap1!AN46)</f>
        <v>7.3913767679271487</v>
      </c>
      <c r="AO46" s="1177" t="str">
        <f>IF(ISBLANK(Récap1!AO46),"",Récap1!AO46)</f>
        <v>PVL</v>
      </c>
      <c r="AP46" s="1177" t="str">
        <f>IF(ISBLANK(Récap1!AP46),"",Récap1!AP46)</f>
        <v>PVL</v>
      </c>
      <c r="AQ46" s="1177" t="str">
        <f>IF(ISBLANK(Récap1!AQ46),"",Récap1!AQ46)</f>
        <v>PVL</v>
      </c>
      <c r="AR46" s="1177" t="str">
        <f>IF(ISBLANK(Récap1!AR46),"",Récap1!AR46)</f>
        <v>PVL</v>
      </c>
      <c r="AS46" s="1177" t="str">
        <f>IF(ISBLANK(Récap1!AS46),"",Récap1!AS46)</f>
        <v>PVL</v>
      </c>
      <c r="AT46" s="1177" t="str">
        <f>IF(ISBLANK(Récap1!AT46),"",Récap1!AT46)</f>
        <v>PVL</v>
      </c>
      <c r="AU46" s="1177" t="str">
        <f>IF(ISBLANK(Récap1!AU46),"",Récap1!AU46)</f>
        <v>PVL</v>
      </c>
      <c r="AV46" s="1177" t="str">
        <f>IF(ISBLANK(Récap1!AV46),"",Récap1!AV46)</f>
        <v>PVL</v>
      </c>
      <c r="AW46" s="1177" t="str">
        <f>IF(ISBLANK(Récap1!AW46),"",Récap1!AW46)</f>
        <v>PVL</v>
      </c>
      <c r="AX46" s="1177" t="str">
        <f>IF(ISBLANK(Récap1!AX46),"",Récap1!AX46)</f>
        <v>PVL</v>
      </c>
      <c r="AY46" s="1177" t="str">
        <f>IF(ISBLANK(Récap1!AY46),"",Récap1!AY46)</f>
        <v>PVL</v>
      </c>
      <c r="AZ46" s="1177" t="str">
        <f>IF(ISBLANK(Récap1!AZ46),"",Récap1!AZ46)</f>
        <v>PVL</v>
      </c>
      <c r="BA46" s="1177" t="str">
        <f>IF(ISBLANK(Récap1!BA46),"",Récap1!BA46)</f>
        <v>PVL</v>
      </c>
      <c r="BB46" s="1177" t="str">
        <f>IF(ISBLANK(Récap1!BB46),"",Récap1!BB46)</f>
        <v>PVL</v>
      </c>
      <c r="BC46" s="1178" t="str">
        <f>IF(ISBLANK(Récap1!BC46),"",Récap1!BC46)</f>
        <v>PVL</v>
      </c>
      <c r="BD46" s="1463">
        <f>IF(ISBLANK(Récap1!BD46),"",Récap1!BD46)</f>
        <v>14.656334739998579</v>
      </c>
      <c r="BE46" s="1177" t="str">
        <f>IF(ISBLANK(Récap1!BE46),"",Récap1!BE46)</f>
        <v>PVL</v>
      </c>
      <c r="BF46" s="1177" t="str">
        <f>IF(ISBLANK(Récap1!BF46),"",Récap1!BF46)</f>
        <v>PVL</v>
      </c>
      <c r="BG46" s="1177" t="str">
        <f>IF(ISBLANK(Récap1!BG46),"",Récap1!BG46)</f>
        <v>Saturation</v>
      </c>
      <c r="BH46" s="1181">
        <f>IF(ISBLANK(Récap1!BH46),"",Récap1!BH46)</f>
        <v>0.43415093417023182</v>
      </c>
      <c r="BI46" s="1177" t="str">
        <f>IF(ISBLANK(Récap1!BI46),"",Récap1!BI46)</f>
        <v/>
      </c>
      <c r="BJ46" s="1182" t="e">
        <f>IF(ISBLANK(Récap1!#REF!),"",Récap1!#REF!)</f>
        <v>#REF!</v>
      </c>
      <c r="BK46" s="1182" t="e">
        <f>IF(ISBLANK(Récap1!#REF!),"",Récap1!#REF!)</f>
        <v>#REF!</v>
      </c>
      <c r="BL46" s="1177">
        <f>IF(ISBLANK('HCT2'!H46),"",'HCT2'!H46)</f>
        <v>254.61051576478127</v>
      </c>
      <c r="BM46" s="1177">
        <f>IF(ISBLANK('HCT2'!I46),"",'HCT2'!I46)</f>
        <v>6177.6848685980631</v>
      </c>
      <c r="BN46" s="1177">
        <f>IF(ISBLANK('HCT2'!J46),"",'HCT2'!J46)</f>
        <v>1393.0841357087588</v>
      </c>
      <c r="BO46" s="1178">
        <f>IF(ISBLANK('HCT2'!K46),"",'HCT2'!K46)</f>
        <v>4672.8199123268923</v>
      </c>
      <c r="BP46" s="1177">
        <f>IF(ISBLANK('HCT2'!L46),"",'HCT2'!L46)</f>
        <v>5465.7636998254347</v>
      </c>
      <c r="BQ46" s="1179">
        <f>IF(ISBLANK('HCT2'!M46),"",'HCT2'!M46)</f>
        <v>3296.814847141964</v>
      </c>
      <c r="BR46" s="1177">
        <f>IF(ISBLANK('HCT2'!N46),"",'HCT2'!N46)</f>
        <v>5863.5709139849878</v>
      </c>
      <c r="BS46" s="1177">
        <f>IF(ISBLANK('HCT2'!O46),"",'HCT2'!O46)</f>
        <v>556.76497721922146</v>
      </c>
      <c r="BT46" s="1180">
        <f>IF(ISBLANK('HCT2'!P46),"",'HCT2'!P46)</f>
        <v>3.8267489348666239</v>
      </c>
      <c r="BU46" s="1177">
        <f>IF(ISBLANK('HCT2'!Q46),"",'HCT2'!Q46)</f>
        <v>15398.321054502658</v>
      </c>
      <c r="BV46" s="1177">
        <f>IF(ISBLANK('HCT2'!R46),"",'HCT2'!R46)</f>
        <v>11904.13898263577</v>
      </c>
      <c r="BW46" s="1177">
        <f>IF(ISBLANK('HCT2'!S46),"",'HCT2'!S46)</f>
        <v>3212.3810103991254</v>
      </c>
      <c r="BX46" s="1179">
        <f>IF(ISBLANK('HCT2'!T46),"",'HCT2'!T46)</f>
        <v>735.0831504249818</v>
      </c>
      <c r="BY46" s="1177">
        <f>IF(ISBLANK('HCT2'!U46),"",'HCT2'!U46)</f>
        <v>2401.823810942642</v>
      </c>
      <c r="BZ46" s="1177">
        <f>IF(ISBLANK('HCT2'!V46),"",'HCT2'!V46)</f>
        <v>1533.1483425968547</v>
      </c>
      <c r="CA46" s="1177">
        <f>IF(ISBLANK('HCT2'!W46),"",'HCT2'!W46)</f>
        <v>161.2990867157838</v>
      </c>
      <c r="CB46" s="1182" t="str">
        <f>IF(ISBLANK('HCT2'!X46),"",'HCT2'!X46)</f>
        <v/>
      </c>
      <c r="CC46" s="1183">
        <f>IF(ISBLANK('HCT2'!Y46),"",'HCT2'!Y46)</f>
        <v>22227.5777413615</v>
      </c>
      <c r="CD46" s="1184">
        <f>IF(ISBLANK('HCT2'!Z46),"",'HCT2'!Z46)</f>
        <v>45306.094522952029</v>
      </c>
      <c r="CE46" s="1182" t="str">
        <f>IF(ISBLANK('HCT2'!AA46),"",'HCT2'!AA46)</f>
        <v/>
      </c>
      <c r="CF46" s="1182" t="str">
        <f>IF(ISBLANK('HCT2'!AB46),"",'HCT2'!AB46)</f>
        <v/>
      </c>
      <c r="CG46" s="1185">
        <f>IF(ISBLANK('HCT2'!AC46),"",'HCT2'!AC46)</f>
        <v>30592.295758384174</v>
      </c>
      <c r="CH46" s="1182" t="str">
        <f>IF(ISBLANK('HCT2'!AD46),"",'HCT2'!AD46)</f>
        <v/>
      </c>
      <c r="CI46" s="1182" t="str">
        <f>IF(ISBLANK('HCT2'!AE46),"",'HCT2'!AE46)</f>
        <v/>
      </c>
      <c r="CJ46" s="1182" t="str">
        <f>IF(ISBLANK('HCT2'!AF46),"",'HCT2'!AF46)</f>
        <v/>
      </c>
      <c r="CK46" s="1186" t="str">
        <f>IF(ISBLANK('HCT2'!AG46),"",'HCT2'!AG46)</f>
        <v/>
      </c>
      <c r="CL46" s="1182" t="str">
        <f>IF(ISBLANK('HCT2'!AH46),"",'HCT2'!AH46)</f>
        <v>PVL</v>
      </c>
      <c r="CM46" s="1182" t="str">
        <f>IF(ISBLANK('HCT2'!AI46),"",'HCT2'!AI46)</f>
        <v>PVL</v>
      </c>
      <c r="CN46" s="1186" t="str">
        <f>IF(ISBLANK('HCT2'!AJ46),"",'HCT2'!AJ46)</f>
        <v>PVL</v>
      </c>
      <c r="CO46" s="1182" t="str">
        <f>IF(ISBLANK('HCT2'!AK46),"",'HCT2'!AK46)</f>
        <v/>
      </c>
      <c r="CP46" s="1182" t="str">
        <f>IF(ISBLANK('HCT2'!AL46),"",'HCT2'!AL46)</f>
        <v/>
      </c>
      <c r="CQ46" s="1182" t="str">
        <f>IF(ISBLANK('HCT2'!AM46),"",'HCT2'!AM46)</f>
        <v/>
      </c>
      <c r="CR46" s="1187" t="str">
        <f>IF(ISBLANK('HCT2'!AN46),"",'HCT2'!AN46)</f>
        <v/>
      </c>
      <c r="CS46" s="1188">
        <f>IF(ISBLANK('HCT2'!AO46),"",'HCT2'!AO46)</f>
        <v>30592.295758384174</v>
      </c>
      <c r="CT46" s="1189">
        <f>IF(ISBLANK('HCT2'!AP46),"",'HCT2'!AP46)</f>
        <v>0.32647381397929243</v>
      </c>
      <c r="CU46" s="1149">
        <f>IF(ISBLANK('HCT2'!AQ46),"",'HCT2'!AQ46)</f>
        <v>36444.145210809918</v>
      </c>
      <c r="CV46" s="1476">
        <f>IF(ISBLANK('HCT2'!AR46),"",'HCT2'!AR46)</f>
        <v>42412.900131725837</v>
      </c>
      <c r="CW46" s="1477" t="e">
        <f>IF(ISBLANK(Récap1!#REF!),"",Récap1!#REF!)</f>
        <v>#REF!</v>
      </c>
      <c r="CX46" s="1477" t="e">
        <f>IF(ISBLANK(Récap1!#REF!),"",Récap1!#REF!)</f>
        <v>#REF!</v>
      </c>
      <c r="CY46" s="1478" t="e">
        <f>IF(ISBLANK(Récap1!#REF!),"",Récap1!#REF!)</f>
        <v>#REF!</v>
      </c>
      <c r="CZ46" s="1478" t="e">
        <f>IF(ISBLANK(Récap1!#REF!),"",Récap1!#REF!)</f>
        <v>#REF!</v>
      </c>
      <c r="DA46" s="1478" t="e">
        <f>IF(ISBLANK(Récap1!#REF!),"",Récap1!#REF!)</f>
        <v>#REF!</v>
      </c>
      <c r="DB46" s="1478" t="e">
        <f>IF(ISBLANK(Récap1!#REF!),"",Récap1!#REF!)</f>
        <v>#REF!</v>
      </c>
      <c r="DC46" s="1477">
        <f>IF(ISBLANK('HCT2'!AS46),"",'HCT2'!AS46)</f>
        <v>88135.769843465067</v>
      </c>
      <c r="DD46" s="1478" t="str">
        <f>IF(ISBLANK('HCT2'!AT46),"",'HCT2'!AT46)</f>
        <v>PVL</v>
      </c>
      <c r="DE46" s="1478" t="str">
        <f>IF(ISBLANK('HCT2'!AU46),"",'HCT2'!AU46)</f>
        <v>PVL</v>
      </c>
      <c r="DF46" s="1478" t="str">
        <f>IF(ISBLANK('HCT2'!AV46),"",'HCT2'!AV46)</f>
        <v>PVL</v>
      </c>
      <c r="DG46" s="1478" t="str">
        <f>IF(ISBLANK('HCT2'!AW46),"",'HCT2'!AW46)</f>
        <v/>
      </c>
      <c r="DH46" s="1478" t="str">
        <f>IF(ISBLANK('HCT2'!AX46),"",'HCT2'!AX46)</f>
        <v/>
      </c>
      <c r="DI46" s="1478" t="str">
        <f>IF(ISBLANK('HCT2'!AY46),"",'HCT2'!AY46)</f>
        <v/>
      </c>
      <c r="DJ46" s="1479" t="str">
        <f>IF(ISBLANK('HCT2'!AZ46),"",'HCT2'!AZ46)</f>
        <v>PVL</v>
      </c>
      <c r="DK46" s="1478" t="str">
        <f>IF(ISBLANK('HCT2'!BA46),"",'HCT2'!BA46)</f>
        <v>PVL</v>
      </c>
      <c r="DL46" s="1478" t="str">
        <f>IF(ISBLANK('HCT2'!BB46),"",'HCT2'!BB46)</f>
        <v>PVL</v>
      </c>
      <c r="DM46" s="1480" t="str">
        <f>IF(ISBLANK('HCT2'!BC46),"",'HCT2'!BC46)</f>
        <v>PVL</v>
      </c>
      <c r="DN46" s="1481">
        <f>IF(ISBLANK('HCT2'!BD46),"",'HCT2'!BD46)</f>
        <v>88135.769843465067</v>
      </c>
      <c r="DO46" s="1482">
        <f>IF(ISBLANK('HCT2'!BE46),"",'HCT2'!BE46)</f>
        <v>3.7406093496401338E-2</v>
      </c>
      <c r="DP46" s="1483">
        <f>IF(ISBLANK('HCT2'!BF46),"",'HCT2'!BF46)</f>
        <v>88135.769843465067</v>
      </c>
      <c r="DQ46" s="978">
        <f t="shared" si="0"/>
        <v>14552.331877961304</v>
      </c>
      <c r="DS46" s="740">
        <f t="shared" si="1"/>
        <v>15652.931570267439</v>
      </c>
      <c r="DT46" s="740">
        <f t="shared" si="1"/>
        <v>18081.823851233832</v>
      </c>
      <c r="DU46" s="740">
        <f t="shared" si="2"/>
        <v>8678.1447102245602</v>
      </c>
      <c r="DV46" s="878">
        <f t="shared" si="2"/>
        <v>4031.8979975669458</v>
      </c>
      <c r="DW46" s="740">
        <f t="shared" si="2"/>
        <v>8265.3947249276298</v>
      </c>
      <c r="DX46" s="740">
        <f t="shared" si="2"/>
        <v>2089.9133198160762</v>
      </c>
      <c r="DY46" s="740">
        <f t="shared" si="2"/>
        <v>165.12583565065043</v>
      </c>
    </row>
    <row r="47" spans="1:131" s="782" customFormat="1" ht="13.5" hidden="1">
      <c r="A47" s="776"/>
      <c r="B47" s="245"/>
      <c r="C47" s="777"/>
      <c r="D47" s="784"/>
      <c r="E47" s="853" t="str">
        <f>IF(ISBLANK(Récap1!E47),"",Récap1!E47)</f>
        <v>Seuil pour détection olfactive air ambiant immédiate</v>
      </c>
      <c r="F47" s="779" t="str">
        <f>IF(ISBLANK(Récap1!F47),"",Récap1!F47)</f>
        <v>Cs</v>
      </c>
      <c r="G47" s="779" t="str">
        <f>IF(ISBLANK(Récap1!G47),"",Récap1!G47)</f>
        <v>mg/kg ms</v>
      </c>
      <c r="H47" s="780" t="str">
        <f>IF(ISBLANK(Récap1!H47),"",Récap1!H47)</f>
        <v>PVL</v>
      </c>
      <c r="I47" s="781" t="str">
        <f>IF(ISBLANK(Récap1!I47),"",Récap1!I47)</f>
        <v>PVL</v>
      </c>
      <c r="J47" s="1197" t="str">
        <f>IF(ISBLANK(Récap1!J47),"",Récap1!J47)</f>
        <v>PVL</v>
      </c>
      <c r="K47" s="1196">
        <f>IF(ISBLANK(Récap1!K47),"",Récap1!K47)</f>
        <v>95.066278674633637</v>
      </c>
      <c r="L47" s="1197" t="str">
        <f>IF(ISBLANK(Récap1!L47),"",Récap1!L47)</f>
        <v>PVL</v>
      </c>
      <c r="M47" s="1197" t="str">
        <f>IF(ISBLANK(Récap1!M47),"",Récap1!M47)</f>
        <v>PVL</v>
      </c>
      <c r="N47" s="1197" t="str">
        <f>IF(ISBLANK(Récap1!N47),"",Récap1!N47)</f>
        <v>PVL</v>
      </c>
      <c r="O47" s="1197" t="str">
        <f>IF(ISBLANK(Récap1!O47),"",Récap1!O47)</f>
        <v>PVL</v>
      </c>
      <c r="P47" s="1197" t="str">
        <f>IF(ISBLANK(Récap1!P47),"",Récap1!P47)</f>
        <v>PVL</v>
      </c>
      <c r="Q47" s="1197" t="str">
        <f>IF(ISBLANK(Récap1!Q47),"",Récap1!Q47)</f>
        <v>PVL</v>
      </c>
      <c r="R47" s="1197">
        <f>IF(ISBLANK(Récap1!R47),"",Récap1!R47)</f>
        <v>207.19672194169937</v>
      </c>
      <c r="S47" s="1197">
        <f>IF(ISBLANK(Récap1!S47),"",Récap1!S47)</f>
        <v>292.17718042875583</v>
      </c>
      <c r="T47" s="1197">
        <f>IF(ISBLANK(Récap1!T47),"",Récap1!T47)</f>
        <v>292.17718042875583</v>
      </c>
      <c r="U47" s="1197" t="str">
        <f>IF(ISBLANK(Récap1!U47),"",Récap1!U47)</f>
        <v>PVL</v>
      </c>
      <c r="V47" s="1435" t="str">
        <f>IF(ISBLANK(Récap1!V47),"",Récap1!V47)</f>
        <v>PVL</v>
      </c>
      <c r="W47" s="1197" t="str">
        <f>IF(ISBLANK(Récap1!W47),"",Récap1!W47)</f>
        <v>PVL</v>
      </c>
      <c r="X47" s="1197">
        <f>IF(ISBLANK(Récap1!X47),"",Récap1!X47)</f>
        <v>319.62695179224272</v>
      </c>
      <c r="Y47" s="1197" t="str">
        <f>IF(ISBLANK(Récap1!Y47),"",Récap1!Y47)</f>
        <v>PVL</v>
      </c>
      <c r="Z47" s="1197" t="str">
        <f>IF(ISBLANK(Récap1!Z47),"",Récap1!Z47)</f>
        <v>PVL</v>
      </c>
      <c r="AA47" s="646">
        <f>IF(ISBLANK(Récap1!AA47),"",Récap1!AA47)</f>
        <v>27.563637202416864</v>
      </c>
      <c r="AB47" s="1197" t="str">
        <f>IF(ISBLANK(Récap1!AB47),"",Récap1!AB47)</f>
        <v>PVL</v>
      </c>
      <c r="AC47" s="1198" t="str">
        <f>IF(ISBLANK(Récap1!AC47),"",Récap1!AC47)</f>
        <v>PVL</v>
      </c>
      <c r="AD47" s="1197" t="str">
        <f>IF(ISBLANK(Récap1!AD47),"",Récap1!AD47)</f>
        <v>PVL</v>
      </c>
      <c r="AE47" s="1197" t="str">
        <f>IF(ISBLANK(Récap1!AE47),"",Récap1!AE47)</f>
        <v>PVL</v>
      </c>
      <c r="AF47" s="1199" t="str">
        <f>IF(ISBLANK(Récap1!AF47),"",Récap1!AF47)</f>
        <v>PVL</v>
      </c>
      <c r="AG47" s="1197" t="str">
        <f>IF(ISBLANK(Récap1!AG47),"",Récap1!AG47)</f>
        <v>PVL</v>
      </c>
      <c r="AH47" s="1197" t="str">
        <f>IF(ISBLANK(Récap1!AH47),"",Récap1!AH47)</f>
        <v>PVL</v>
      </c>
      <c r="AI47" s="1197" t="str">
        <f>IF(ISBLANK(Récap1!AI47),"",Récap1!AI47)</f>
        <v>PVL</v>
      </c>
      <c r="AJ47" s="1198" t="str">
        <f>IF(ISBLANK(Récap1!AJ47),"",Récap1!AJ47)</f>
        <v>PVL</v>
      </c>
      <c r="AK47" s="1197" t="str">
        <f>IF(ISBLANK(Récap1!AK47),"",Récap1!AK47)</f>
        <v>PVL</v>
      </c>
      <c r="AL47" s="1197" t="str">
        <f>IF(ISBLANK(Récap1!AL47),"",Récap1!AL47)</f>
        <v>PVL</v>
      </c>
      <c r="AM47" s="1197" t="str">
        <f>IF(ISBLANK(Récap1!AM47),"",Récap1!AM47)</f>
        <v>PVL</v>
      </c>
      <c r="AN47" s="1196" t="str">
        <f>IF(ISBLANK(Récap1!AN47),"",Récap1!AN47)</f>
        <v>PVL</v>
      </c>
      <c r="AO47" s="1197" t="str">
        <f>IF(ISBLANK(Récap1!AO47),"",Récap1!AO47)</f>
        <v>PVL</v>
      </c>
      <c r="AP47" s="1197" t="str">
        <f>IF(ISBLANK(Récap1!AP47),"",Récap1!AP47)</f>
        <v>PVL</v>
      </c>
      <c r="AQ47" s="1197" t="str">
        <f>IF(ISBLANK(Récap1!AQ47),"",Récap1!AQ47)</f>
        <v>PVL</v>
      </c>
      <c r="AR47" s="1197" t="str">
        <f>IF(ISBLANK(Récap1!AR47),"",Récap1!AR47)</f>
        <v>PVL</v>
      </c>
      <c r="AS47" s="1197" t="str">
        <f>IF(ISBLANK(Récap1!AS47),"",Récap1!AS47)</f>
        <v>PVL</v>
      </c>
      <c r="AT47" s="1197" t="str">
        <f>IF(ISBLANK(Récap1!AT47),"",Récap1!AT47)</f>
        <v>PVL</v>
      </c>
      <c r="AU47" s="1197" t="str">
        <f>IF(ISBLANK(Récap1!AU47),"",Récap1!AU47)</f>
        <v>PVL</v>
      </c>
      <c r="AV47" s="1197" t="str">
        <f>IF(ISBLANK(Récap1!AV47),"",Récap1!AV47)</f>
        <v>PVL</v>
      </c>
      <c r="AW47" s="1197" t="str">
        <f>IF(ISBLANK(Récap1!AW47),"",Récap1!AW47)</f>
        <v>PVL</v>
      </c>
      <c r="AX47" s="1197" t="str">
        <f>IF(ISBLANK(Récap1!AX47),"",Récap1!AX47)</f>
        <v>PVL</v>
      </c>
      <c r="AY47" s="1197" t="str">
        <f>IF(ISBLANK(Récap1!AY47),"",Récap1!AY47)</f>
        <v>PVL</v>
      </c>
      <c r="AZ47" s="1197" t="str">
        <f>IF(ISBLANK(Récap1!AZ47),"",Récap1!AZ47)</f>
        <v>PVL</v>
      </c>
      <c r="BA47" s="1197" t="str">
        <f>IF(ISBLANK(Récap1!BA47),"",Récap1!BA47)</f>
        <v>PVL</v>
      </c>
      <c r="BB47" s="1197" t="str">
        <f>IF(ISBLANK(Récap1!BB47),"",Récap1!BB47)</f>
        <v>PVL</v>
      </c>
      <c r="BC47" s="646" t="str">
        <f>IF(ISBLANK(Récap1!BC47),"",Récap1!BC47)</f>
        <v>PVL</v>
      </c>
      <c r="BD47" s="1464">
        <f>IF(ISBLANK(Récap1!BD47),"",Récap1!BD47)</f>
        <v>6043.7421156314331</v>
      </c>
      <c r="BE47" s="1197" t="str">
        <f>IF(ISBLANK(Récap1!BE47),"",Récap1!BE47)</f>
        <v>PVL</v>
      </c>
      <c r="BF47" s="1197" t="str">
        <f>IF(ISBLANK(Récap1!BF47),"",Récap1!BF47)</f>
        <v>PVL</v>
      </c>
      <c r="BG47" s="1197" t="str">
        <f>IF(ISBLANK(Récap1!BG47),"",Récap1!BG47)</f>
        <v>nd</v>
      </c>
      <c r="BH47" s="646" t="str">
        <f>IF(ISBLANK(Récap1!BH47),"",Récap1!BH47)</f>
        <v>PVL</v>
      </c>
      <c r="BI47" s="1197" t="str">
        <f>IF(ISBLANK(Récap1!BI47),"",Récap1!BI47)</f>
        <v>PVL</v>
      </c>
      <c r="BJ47" s="1200" t="e">
        <f>IF(ISBLANK(Récap1!#REF!),"",Récap1!#REF!)</f>
        <v>#REF!</v>
      </c>
      <c r="BK47" s="1200" t="e">
        <f>IF(ISBLANK(Récap1!#REF!),"",Récap1!#REF!)</f>
        <v>#REF!</v>
      </c>
      <c r="BL47" s="1197">
        <f>IF(ISBLANK('HCT2'!H47),"",'HCT2'!H47)</f>
        <v>319.62695179224272</v>
      </c>
      <c r="BM47" s="1197" t="str">
        <f>IF(ISBLANK('HCT2'!I47),"",'HCT2'!I47)</f>
        <v>PVL</v>
      </c>
      <c r="BN47" s="1197" t="str">
        <f>IF(ISBLANK('HCT2'!J47),"",'HCT2'!J47)</f>
        <v>PVL</v>
      </c>
      <c r="BO47" s="646">
        <f>IF(ISBLANK('HCT2'!K47),"",'HCT2'!K47)</f>
        <v>27.563637202416864</v>
      </c>
      <c r="BP47" s="1197" t="e">
        <f>IF(ISBLANK('HCT2'!L47),"",'HCT2'!L47)</f>
        <v>#VALUE!</v>
      </c>
      <c r="BQ47" s="1198" t="e">
        <f>IF(ISBLANK('HCT2'!M47),"",'HCT2'!M47)</f>
        <v>#VALUE!</v>
      </c>
      <c r="BR47" s="1197" t="e">
        <f>IF(ISBLANK('HCT2'!N47),"",'HCT2'!N47)</f>
        <v>#VALUE!</v>
      </c>
      <c r="BS47" s="1197" t="e">
        <f>IF(ISBLANK('HCT2'!O47),"",'HCT2'!O47)</f>
        <v>#VALUE!</v>
      </c>
      <c r="BT47" s="1199" t="e">
        <f>IF(ISBLANK('HCT2'!P47),"",'HCT2'!P47)</f>
        <v>#VALUE!</v>
      </c>
      <c r="BU47" s="1197" t="e">
        <f>IF(ISBLANK('HCT2'!Q47),"",'HCT2'!Q47)</f>
        <v>#VALUE!</v>
      </c>
      <c r="BV47" s="1197" t="e">
        <f>IF(ISBLANK('HCT2'!R47),"",'HCT2'!R47)</f>
        <v>#VALUE!</v>
      </c>
      <c r="BW47" s="1197" t="e">
        <f>IF(ISBLANK('HCT2'!S47),"",'HCT2'!S47)</f>
        <v>#VALUE!</v>
      </c>
      <c r="BX47" s="1198" t="e">
        <f>IF(ISBLANK('HCT2'!T47),"",'HCT2'!T47)</f>
        <v>#VALUE!</v>
      </c>
      <c r="BY47" s="1197" t="e">
        <f>IF(ISBLANK('HCT2'!U47),"",'HCT2'!U47)</f>
        <v>#VALUE!</v>
      </c>
      <c r="BZ47" s="1197" t="e">
        <f>IF(ISBLANK('HCT2'!V47),"",'HCT2'!V47)</f>
        <v>#VALUE!</v>
      </c>
      <c r="CA47" s="1197" t="e">
        <f>IF(ISBLANK('HCT2'!W47),"",'HCT2'!W47)</f>
        <v>#VALUE!</v>
      </c>
      <c r="CB47" s="1200" t="str">
        <f>IF(ISBLANK('HCT2'!X47),"",'HCT2'!X47)</f>
        <v/>
      </c>
      <c r="CC47" s="1201">
        <f>IF(ISBLANK('HCT2'!Y47),"",'HCT2'!Y47)</f>
        <v>27903.532962322392</v>
      </c>
      <c r="CD47" s="1202" t="str">
        <f>IF(ISBLANK('HCT2'!Z47),"",'HCT2'!Z47)</f>
        <v>PVL</v>
      </c>
      <c r="CE47" s="1200" t="str">
        <f>IF(ISBLANK('HCT2'!AA47),"",'HCT2'!AA47)</f>
        <v/>
      </c>
      <c r="CF47" s="1200" t="str">
        <f>IF(ISBLANK('HCT2'!AB47),"",'HCT2'!AB47)</f>
        <v/>
      </c>
      <c r="CG47" s="1203" t="str">
        <f>IF(ISBLANK('HCT2'!AC47),"",'HCT2'!AC47)</f>
        <v>PVL</v>
      </c>
      <c r="CH47" s="1200" t="str">
        <f>IF(ISBLANK('HCT2'!AD47),"",'HCT2'!AD47)</f>
        <v/>
      </c>
      <c r="CI47" s="1200" t="str">
        <f>IF(ISBLANK('HCT2'!AE47),"",'HCT2'!AE47)</f>
        <v/>
      </c>
      <c r="CJ47" s="1200" t="str">
        <f>IF(ISBLANK('HCT2'!AF47),"",'HCT2'!AF47)</f>
        <v/>
      </c>
      <c r="CK47" s="1204" t="str">
        <f>IF(ISBLANK('HCT2'!AG47),"",'HCT2'!AG47)</f>
        <v/>
      </c>
      <c r="CL47" s="1200" t="str">
        <f>IF(ISBLANK('HCT2'!AH47),"",'HCT2'!AH47)</f>
        <v>PVL</v>
      </c>
      <c r="CM47" s="1200" t="str">
        <f>IF(ISBLANK('HCT2'!AI47),"",'HCT2'!AI47)</f>
        <v>PVL</v>
      </c>
      <c r="CN47" s="1204" t="str">
        <f>IF(ISBLANK('HCT2'!AJ47),"",'HCT2'!AJ47)</f>
        <v>PVL</v>
      </c>
      <c r="CO47" s="1200" t="str">
        <f>IF(ISBLANK('HCT2'!AK47),"",'HCT2'!AK47)</f>
        <v/>
      </c>
      <c r="CP47" s="1200" t="str">
        <f>IF(ISBLANK('HCT2'!AL47),"",'HCT2'!AL47)</f>
        <v/>
      </c>
      <c r="CQ47" s="1200" t="str">
        <f>IF(ISBLANK('HCT2'!AM47),"",'HCT2'!AM47)</f>
        <v/>
      </c>
      <c r="CR47" s="1205" t="str">
        <f>IF(ISBLANK('HCT2'!AN47),"",'HCT2'!AN47)</f>
        <v/>
      </c>
      <c r="CS47" s="1206" t="str">
        <f>IF(ISBLANK('HCT2'!AO47),"",'HCT2'!AO47)</f>
        <v>PVL</v>
      </c>
      <c r="CT47" s="1207">
        <f>IF(ISBLANK('HCT2'!AP47),"",'HCT2'!AP47)</f>
        <v>1.145471264243954E-2</v>
      </c>
      <c r="CU47" s="1150">
        <f>IF(ISBLANK('HCT2'!AQ47),"",'HCT2'!AQ47)</f>
        <v>27903.532962322392</v>
      </c>
      <c r="CV47" s="673" t="e">
        <f>IF(ISBLANK('HCT2'!AR47),"",'HCT2'!AR47)</f>
        <v>#VALUE!</v>
      </c>
      <c r="CW47" s="1484" t="e">
        <f>IF(ISBLANK(Récap1!#REF!),"",Récap1!#REF!)</f>
        <v>#REF!</v>
      </c>
      <c r="CX47" s="1484" t="e">
        <f>IF(ISBLANK(Récap1!#REF!),"",Récap1!#REF!)</f>
        <v>#REF!</v>
      </c>
      <c r="CY47" s="1485" t="e">
        <f>IF(ISBLANK(Récap1!#REF!),"",Récap1!#REF!)</f>
        <v>#REF!</v>
      </c>
      <c r="CZ47" s="1485" t="e">
        <f>IF(ISBLANK(Récap1!#REF!),"",Récap1!#REF!)</f>
        <v>#REF!</v>
      </c>
      <c r="DA47" s="1485" t="e">
        <f>IF(ISBLANK(Récap1!#REF!),"",Récap1!#REF!)</f>
        <v>#REF!</v>
      </c>
      <c r="DB47" s="1485" t="e">
        <f>IF(ISBLANK(Récap1!#REF!),"",Récap1!#REF!)</f>
        <v>#REF!</v>
      </c>
      <c r="DC47" s="1484" t="str">
        <f>IF(ISBLANK('HCT2'!AS47),"",'HCT2'!AS47)</f>
        <v>PVL</v>
      </c>
      <c r="DD47" s="1485" t="str">
        <f>IF(ISBLANK('HCT2'!AT47),"",'HCT2'!AT47)</f>
        <v>PVL</v>
      </c>
      <c r="DE47" s="1485" t="str">
        <f>IF(ISBLANK('HCT2'!AU47),"",'HCT2'!AU47)</f>
        <v>PVL</v>
      </c>
      <c r="DF47" s="1485" t="str">
        <f>IF(ISBLANK('HCT2'!AV47),"",'HCT2'!AV47)</f>
        <v>PVL</v>
      </c>
      <c r="DG47" s="1485" t="str">
        <f>IF(ISBLANK('HCT2'!AW47),"",'HCT2'!AW47)</f>
        <v/>
      </c>
      <c r="DH47" s="1485" t="str">
        <f>IF(ISBLANK('HCT2'!AX47),"",'HCT2'!AX47)</f>
        <v/>
      </c>
      <c r="DI47" s="1485" t="str">
        <f>IF(ISBLANK('HCT2'!AY47),"",'HCT2'!AY47)</f>
        <v/>
      </c>
      <c r="DJ47" s="1486" t="str">
        <f>IF(ISBLANK('HCT2'!AZ47),"",'HCT2'!AZ47)</f>
        <v>PVL</v>
      </c>
      <c r="DK47" s="1485" t="str">
        <f>IF(ISBLANK('HCT2'!BA47),"",'HCT2'!BA47)</f>
        <v>PVL</v>
      </c>
      <c r="DL47" s="1485" t="str">
        <f>IF(ISBLANK('HCT2'!BB47),"",'HCT2'!BB47)</f>
        <v>PVL</v>
      </c>
      <c r="DM47" s="1487" t="str">
        <f>IF(ISBLANK('HCT2'!BC47),"",'HCT2'!BC47)</f>
        <v>PVL</v>
      </c>
      <c r="DN47" s="1488" t="str">
        <f>IF(ISBLANK('HCT2'!BD47),"",'HCT2'!BD47)</f>
        <v>PVL</v>
      </c>
      <c r="DO47" s="1489">
        <f>IF(ISBLANK('HCT2'!BE47),"",'HCT2'!BE47)</f>
        <v>0</v>
      </c>
      <c r="DP47" s="1490" t="str">
        <f>IF(ISBLANK('HCT2'!BF47),"",'HCT2'!BF47)</f>
        <v>PVL</v>
      </c>
      <c r="DQ47" s="979" t="e">
        <f t="shared" si="0"/>
        <v>#VALUE!</v>
      </c>
      <c r="DS47" s="781" t="e">
        <f t="shared" si="1"/>
        <v>#VALUE!</v>
      </c>
      <c r="DT47" s="781" t="e">
        <f t="shared" si="1"/>
        <v>#VALUE!</v>
      </c>
      <c r="DU47" s="781" t="e">
        <f t="shared" si="2"/>
        <v>#VALUE!</v>
      </c>
      <c r="DV47" s="880" t="e">
        <f t="shared" si="2"/>
        <v>#VALUE!</v>
      </c>
      <c r="DW47" s="781" t="e">
        <f t="shared" si="2"/>
        <v>#VALUE!</v>
      </c>
      <c r="DX47" s="781" t="e">
        <f t="shared" si="2"/>
        <v>#VALUE!</v>
      </c>
      <c r="DY47" s="781" t="e">
        <f t="shared" si="2"/>
        <v>#VALUE!</v>
      </c>
    </row>
    <row r="48" spans="1:131" s="782" customFormat="1" ht="13.5" hidden="1">
      <c r="A48" s="776"/>
      <c r="B48" s="245"/>
      <c r="C48" s="777"/>
      <c r="D48" s="784"/>
      <c r="E48" s="853" t="str">
        <f>IF(ISBLANK(Récap1!E48),"",Récap1!E48)</f>
        <v>Seuil pour détection olfactive air ambiant 2 mois</v>
      </c>
      <c r="F48" s="779" t="str">
        <f>IF(ISBLANK(Récap1!F48),"",Récap1!F48)</f>
        <v>Cs</v>
      </c>
      <c r="G48" s="779" t="str">
        <f>IF(ISBLANK(Récap1!G48),"",Récap1!G48)</f>
        <v>mg/kg ms</v>
      </c>
      <c r="H48" s="780" t="str">
        <f>IF(ISBLANK(Récap1!H48),"",Récap1!H48)</f>
        <v>PVL</v>
      </c>
      <c r="I48" s="781" t="str">
        <f>IF(ISBLANK(Récap1!I48),"",Récap1!I48)</f>
        <v>PVL</v>
      </c>
      <c r="J48" s="1197" t="str">
        <f>IF(ISBLANK(Récap1!J48),"",Récap1!J48)</f>
        <v>PVL</v>
      </c>
      <c r="K48" s="1196" t="str">
        <f>IF(ISBLANK(Récap1!K48),"",Récap1!K48)</f>
        <v>PVL</v>
      </c>
      <c r="L48" s="1197" t="str">
        <f>IF(ISBLANK(Récap1!L48),"",Récap1!L48)</f>
        <v>PVL</v>
      </c>
      <c r="M48" s="1197" t="str">
        <f>IF(ISBLANK(Récap1!M48),"",Récap1!M48)</f>
        <v>PVL</v>
      </c>
      <c r="N48" s="1197" t="str">
        <f>IF(ISBLANK(Récap1!N48),"",Récap1!N48)</f>
        <v>PVL</v>
      </c>
      <c r="O48" s="1197" t="str">
        <f>IF(ISBLANK(Récap1!O48),"",Récap1!O48)</f>
        <v>PVL</v>
      </c>
      <c r="P48" s="1197" t="str">
        <f>IF(ISBLANK(Récap1!P48),"",Récap1!P48)</f>
        <v>PVL</v>
      </c>
      <c r="Q48" s="1197" t="str">
        <f>IF(ISBLANK(Récap1!Q48),"",Récap1!Q48)</f>
        <v>PVL</v>
      </c>
      <c r="R48" s="1197">
        <f>IF(ISBLANK(Récap1!R48),"",Récap1!R48)</f>
        <v>2067.0492516356881</v>
      </c>
      <c r="S48" s="1197">
        <f>IF(ISBLANK(Récap1!S48),"",Récap1!S48)</f>
        <v>908.31850037710251</v>
      </c>
      <c r="T48" s="1197">
        <f>IF(ISBLANK(Récap1!T48),"",Récap1!T48)</f>
        <v>908.31850037710251</v>
      </c>
      <c r="U48" s="1197" t="str">
        <f>IF(ISBLANK(Récap1!U48),"",Récap1!U48)</f>
        <v>PVL</v>
      </c>
      <c r="V48" s="1435" t="str">
        <f>IF(ISBLANK(Récap1!V48),"",Récap1!V48)</f>
        <v>PVL</v>
      </c>
      <c r="W48" s="1197" t="str">
        <f>IF(ISBLANK(Récap1!W48),"",Récap1!W48)</f>
        <v>PVL</v>
      </c>
      <c r="X48" s="1197" t="str">
        <f>IF(ISBLANK(Récap1!X48),"",Récap1!X48)</f>
        <v>PVL</v>
      </c>
      <c r="Y48" s="1197" t="str">
        <f>IF(ISBLANK(Récap1!Y48),"",Récap1!Y48)</f>
        <v>PVL</v>
      </c>
      <c r="Z48" s="1197" t="str">
        <f>IF(ISBLANK(Récap1!Z48),"",Récap1!Z48)</f>
        <v>PVL</v>
      </c>
      <c r="AA48" s="646">
        <f>IF(ISBLANK(Récap1!AA48),"",Récap1!AA48)</f>
        <v>52.586854558020363</v>
      </c>
      <c r="AB48" s="1197" t="str">
        <f>IF(ISBLANK(Récap1!AB48),"",Récap1!AB48)</f>
        <v>PVL</v>
      </c>
      <c r="AC48" s="1198" t="str">
        <f>IF(ISBLANK(Récap1!AC48),"",Récap1!AC48)</f>
        <v>PVL</v>
      </c>
      <c r="AD48" s="1197" t="str">
        <f>IF(ISBLANK(Récap1!AD48),"",Récap1!AD48)</f>
        <v>PVL</v>
      </c>
      <c r="AE48" s="1197" t="str">
        <f>IF(ISBLANK(Récap1!AE48),"",Récap1!AE48)</f>
        <v>PVL</v>
      </c>
      <c r="AF48" s="1199" t="str">
        <f>IF(ISBLANK(Récap1!AF48),"",Récap1!AF48)</f>
        <v>PVL</v>
      </c>
      <c r="AG48" s="1197" t="str">
        <f>IF(ISBLANK(Récap1!AG48),"",Récap1!AG48)</f>
        <v>PVL</v>
      </c>
      <c r="AH48" s="1197" t="str">
        <f>IF(ISBLANK(Récap1!AH48),"",Récap1!AH48)</f>
        <v>PVL</v>
      </c>
      <c r="AI48" s="1197" t="str">
        <f>IF(ISBLANK(Récap1!AI48),"",Récap1!AI48)</f>
        <v>PVL</v>
      </c>
      <c r="AJ48" s="1198" t="str">
        <f>IF(ISBLANK(Récap1!AJ48),"",Récap1!AJ48)</f>
        <v>PVL</v>
      </c>
      <c r="AK48" s="1197" t="str">
        <f>IF(ISBLANK(Récap1!AK48),"",Récap1!AK48)</f>
        <v>PVL</v>
      </c>
      <c r="AL48" s="1197" t="str">
        <f>IF(ISBLANK(Récap1!AL48),"",Récap1!AL48)</f>
        <v>PVL</v>
      </c>
      <c r="AM48" s="1197" t="str">
        <f>IF(ISBLANK(Récap1!AM48),"",Récap1!AM48)</f>
        <v>PVL</v>
      </c>
      <c r="AN48" s="1196" t="str">
        <f>IF(ISBLANK(Récap1!AN48),"",Récap1!AN48)</f>
        <v>PVL</v>
      </c>
      <c r="AO48" s="1197" t="str">
        <f>IF(ISBLANK(Récap1!AO48),"",Récap1!AO48)</f>
        <v>PVL</v>
      </c>
      <c r="AP48" s="1197" t="str">
        <f>IF(ISBLANK(Récap1!AP48),"",Récap1!AP48)</f>
        <v>PVL</v>
      </c>
      <c r="AQ48" s="1197" t="str">
        <f>IF(ISBLANK(Récap1!AQ48),"",Récap1!AQ48)</f>
        <v>PVL</v>
      </c>
      <c r="AR48" s="1197" t="str">
        <f>IF(ISBLANK(Récap1!AR48),"",Récap1!AR48)</f>
        <v>PVL</v>
      </c>
      <c r="AS48" s="1197" t="str">
        <f>IF(ISBLANK(Récap1!AS48),"",Récap1!AS48)</f>
        <v>PVL</v>
      </c>
      <c r="AT48" s="1197" t="str">
        <f>IF(ISBLANK(Récap1!AT48),"",Récap1!AT48)</f>
        <v>PVL</v>
      </c>
      <c r="AU48" s="1197" t="str">
        <f>IF(ISBLANK(Récap1!AU48),"",Récap1!AU48)</f>
        <v>PVL</v>
      </c>
      <c r="AV48" s="1197" t="str">
        <f>IF(ISBLANK(Récap1!AV48),"",Récap1!AV48)</f>
        <v>PVL</v>
      </c>
      <c r="AW48" s="1197" t="str">
        <f>IF(ISBLANK(Récap1!AW48),"",Récap1!AW48)</f>
        <v>PVL</v>
      </c>
      <c r="AX48" s="1197" t="str">
        <f>IF(ISBLANK(Récap1!AX48),"",Récap1!AX48)</f>
        <v>PVL</v>
      </c>
      <c r="AY48" s="1197" t="str">
        <f>IF(ISBLANK(Récap1!AY48),"",Récap1!AY48)</f>
        <v>PVL</v>
      </c>
      <c r="AZ48" s="1197" t="str">
        <f>IF(ISBLANK(Récap1!AZ48),"",Récap1!AZ48)</f>
        <v>PVL</v>
      </c>
      <c r="BA48" s="1197" t="str">
        <f>IF(ISBLANK(Récap1!BA48),"",Récap1!BA48)</f>
        <v>PVL</v>
      </c>
      <c r="BB48" s="1197" t="str">
        <f>IF(ISBLANK(Récap1!BB48),"",Récap1!BB48)</f>
        <v>PVL</v>
      </c>
      <c r="BC48" s="646" t="str">
        <f>IF(ISBLANK(Récap1!BC48),"",Récap1!BC48)</f>
        <v>PVL</v>
      </c>
      <c r="BD48" s="1464">
        <f>IF(ISBLANK(Récap1!BD48),"",Récap1!BD48)</f>
        <v>6057.9873833088914</v>
      </c>
      <c r="BE48" s="1197" t="str">
        <f>IF(ISBLANK(Récap1!BE48),"",Récap1!BE48)</f>
        <v>PVL</v>
      </c>
      <c r="BF48" s="1197" t="str">
        <f>IF(ISBLANK(Récap1!BF48),"",Récap1!BF48)</f>
        <v>PVL</v>
      </c>
      <c r="BG48" s="1197" t="str">
        <f>IF(ISBLANK(Récap1!BG48),"",Récap1!BG48)</f>
        <v>nd</v>
      </c>
      <c r="BH48" s="646" t="str">
        <f>IF(ISBLANK(Récap1!BH48),"",Récap1!BH48)</f>
        <v>PVL</v>
      </c>
      <c r="BI48" s="1197" t="str">
        <f>IF(ISBLANK(Récap1!BI48),"",Récap1!BI48)</f>
        <v>PVL</v>
      </c>
      <c r="BJ48" s="1200" t="e">
        <f>IF(ISBLANK(Récap1!#REF!),"",Récap1!#REF!)</f>
        <v>#REF!</v>
      </c>
      <c r="BK48" s="1200" t="e">
        <f>IF(ISBLANK(Récap1!#REF!),"",Récap1!#REF!)</f>
        <v>#REF!</v>
      </c>
      <c r="BL48" s="1197" t="str">
        <f>IF(ISBLANK('HCT2'!H48),"",'HCT2'!H48)</f>
        <v>PVL</v>
      </c>
      <c r="BM48" s="1197" t="str">
        <f>IF(ISBLANK('HCT2'!I48),"",'HCT2'!I48)</f>
        <v>PVL</v>
      </c>
      <c r="BN48" s="1197" t="str">
        <f>IF(ISBLANK('HCT2'!J48),"",'HCT2'!J48)</f>
        <v>PVL</v>
      </c>
      <c r="BO48" s="646">
        <f>IF(ISBLANK('HCT2'!K48),"",'HCT2'!K48)</f>
        <v>52.586854558020363</v>
      </c>
      <c r="BP48" s="1197" t="e">
        <f>IF(ISBLANK('HCT2'!L48),"",'HCT2'!L48)</f>
        <v>#VALUE!</v>
      </c>
      <c r="BQ48" s="1198" t="e">
        <f>IF(ISBLANK('HCT2'!M48),"",'HCT2'!M48)</f>
        <v>#VALUE!</v>
      </c>
      <c r="BR48" s="1197" t="e">
        <f>IF(ISBLANK('HCT2'!N48),"",'HCT2'!N48)</f>
        <v>#VALUE!</v>
      </c>
      <c r="BS48" s="1197" t="e">
        <f>IF(ISBLANK('HCT2'!O48),"",'HCT2'!O48)</f>
        <v>#VALUE!</v>
      </c>
      <c r="BT48" s="1199" t="e">
        <f>IF(ISBLANK('HCT2'!P48),"",'HCT2'!P48)</f>
        <v>#VALUE!</v>
      </c>
      <c r="BU48" s="1197" t="e">
        <f>IF(ISBLANK('HCT2'!Q48),"",'HCT2'!Q48)</f>
        <v>#VALUE!</v>
      </c>
      <c r="BV48" s="1197" t="e">
        <f>IF(ISBLANK('HCT2'!R48),"",'HCT2'!R48)</f>
        <v>#VALUE!</v>
      </c>
      <c r="BW48" s="1197" t="e">
        <f>IF(ISBLANK('HCT2'!S48),"",'HCT2'!S48)</f>
        <v>#VALUE!</v>
      </c>
      <c r="BX48" s="1198" t="e">
        <f>IF(ISBLANK('HCT2'!T48),"",'HCT2'!T48)</f>
        <v>#VALUE!</v>
      </c>
      <c r="BY48" s="1197" t="e">
        <f>IF(ISBLANK('HCT2'!U48),"",'HCT2'!U48)</f>
        <v>#VALUE!</v>
      </c>
      <c r="BZ48" s="1197" t="e">
        <f>IF(ISBLANK('HCT2'!V48),"",'HCT2'!V48)</f>
        <v>#VALUE!</v>
      </c>
      <c r="CA48" s="1197" t="e">
        <f>IF(ISBLANK('HCT2'!W48),"",'HCT2'!W48)</f>
        <v>#VALUE!</v>
      </c>
      <c r="CB48" s="1200" t="str">
        <f>IF(ISBLANK('HCT2'!X48),"",'HCT2'!X48)</f>
        <v/>
      </c>
      <c r="CC48" s="1201" t="str">
        <f>IF(ISBLANK('HCT2'!Y48),"",'HCT2'!Y48)</f>
        <v>PVL</v>
      </c>
      <c r="CD48" s="1202" t="str">
        <f>IF(ISBLANK('HCT2'!Z48),"",'HCT2'!Z48)</f>
        <v>PVL</v>
      </c>
      <c r="CE48" s="1200" t="str">
        <f>IF(ISBLANK('HCT2'!AA48),"",'HCT2'!AA48)</f>
        <v/>
      </c>
      <c r="CF48" s="1200" t="str">
        <f>IF(ISBLANK('HCT2'!AB48),"",'HCT2'!AB48)</f>
        <v/>
      </c>
      <c r="CG48" s="1203" t="str">
        <f>IF(ISBLANK('HCT2'!AC48),"",'HCT2'!AC48)</f>
        <v>PVL</v>
      </c>
      <c r="CH48" s="1200" t="str">
        <f>IF(ISBLANK('HCT2'!AD48),"",'HCT2'!AD48)</f>
        <v/>
      </c>
      <c r="CI48" s="1200" t="str">
        <f>IF(ISBLANK('HCT2'!AE48),"",'HCT2'!AE48)</f>
        <v/>
      </c>
      <c r="CJ48" s="1200" t="str">
        <f>IF(ISBLANK('HCT2'!AF48),"",'HCT2'!AF48)</f>
        <v/>
      </c>
      <c r="CK48" s="1204" t="str">
        <f>IF(ISBLANK('HCT2'!AG48),"",'HCT2'!AG48)</f>
        <v/>
      </c>
      <c r="CL48" s="1200" t="str">
        <f>IF(ISBLANK('HCT2'!AH48),"",'HCT2'!AH48)</f>
        <v>PVL</v>
      </c>
      <c r="CM48" s="1200" t="str">
        <f>IF(ISBLANK('HCT2'!AI48),"",'HCT2'!AI48)</f>
        <v>PVL</v>
      </c>
      <c r="CN48" s="1204" t="str">
        <f>IF(ISBLANK('HCT2'!AJ48),"",'HCT2'!AJ48)</f>
        <v>PVL</v>
      </c>
      <c r="CO48" s="1200" t="str">
        <f>IF(ISBLANK('HCT2'!AK48),"",'HCT2'!AK48)</f>
        <v/>
      </c>
      <c r="CP48" s="1200" t="str">
        <f>IF(ISBLANK('HCT2'!AL48),"",'HCT2'!AL48)</f>
        <v/>
      </c>
      <c r="CQ48" s="1200" t="str">
        <f>IF(ISBLANK('HCT2'!AM48),"",'HCT2'!AM48)</f>
        <v/>
      </c>
      <c r="CR48" s="1205" t="str">
        <f>IF(ISBLANK('HCT2'!AN48),"",'HCT2'!AN48)</f>
        <v/>
      </c>
      <c r="CS48" s="1206" t="str">
        <f>IF(ISBLANK('HCT2'!AO48),"",'HCT2'!AO48)</f>
        <v>PVL</v>
      </c>
      <c r="CT48" s="1207">
        <f>IF(ISBLANK('HCT2'!AP48),"",'HCT2'!AP48)</f>
        <v>0</v>
      </c>
      <c r="CU48" s="1150" t="str">
        <f>IF(ISBLANK('HCT2'!AQ48),"",'HCT2'!AQ48)</f>
        <v>PVL</v>
      </c>
      <c r="CV48" s="673" t="e">
        <f>IF(ISBLANK('HCT2'!AR48),"",'HCT2'!AR48)</f>
        <v>#VALUE!</v>
      </c>
      <c r="CW48" s="1484" t="e">
        <f>IF(ISBLANK(Récap1!#REF!),"",Récap1!#REF!)</f>
        <v>#REF!</v>
      </c>
      <c r="CX48" s="1484" t="e">
        <f>IF(ISBLANK(Récap1!#REF!),"",Récap1!#REF!)</f>
        <v>#REF!</v>
      </c>
      <c r="CY48" s="1485" t="e">
        <f>IF(ISBLANK(Récap1!#REF!),"",Récap1!#REF!)</f>
        <v>#REF!</v>
      </c>
      <c r="CZ48" s="1485" t="e">
        <f>IF(ISBLANK(Récap1!#REF!),"",Récap1!#REF!)</f>
        <v>#REF!</v>
      </c>
      <c r="DA48" s="1485" t="e">
        <f>IF(ISBLANK(Récap1!#REF!),"",Récap1!#REF!)</f>
        <v>#REF!</v>
      </c>
      <c r="DB48" s="1485" t="e">
        <f>IF(ISBLANK(Récap1!#REF!),"",Récap1!#REF!)</f>
        <v>#REF!</v>
      </c>
      <c r="DC48" s="1484" t="str">
        <f>IF(ISBLANK('HCT2'!AS48),"",'HCT2'!AS48)</f>
        <v>PVL</v>
      </c>
      <c r="DD48" s="1485" t="str">
        <f>IF(ISBLANK('HCT2'!AT48),"",'HCT2'!AT48)</f>
        <v>PVL</v>
      </c>
      <c r="DE48" s="1485" t="str">
        <f>IF(ISBLANK('HCT2'!AU48),"",'HCT2'!AU48)</f>
        <v>PVL</v>
      </c>
      <c r="DF48" s="1485" t="str">
        <f>IF(ISBLANK('HCT2'!AV48),"",'HCT2'!AV48)</f>
        <v>PVL</v>
      </c>
      <c r="DG48" s="1485" t="str">
        <f>IF(ISBLANK('HCT2'!AW48),"",'HCT2'!AW48)</f>
        <v/>
      </c>
      <c r="DH48" s="1485" t="str">
        <f>IF(ISBLANK('HCT2'!AX48),"",'HCT2'!AX48)</f>
        <v/>
      </c>
      <c r="DI48" s="1485" t="str">
        <f>IF(ISBLANK('HCT2'!AY48),"",'HCT2'!AY48)</f>
        <v/>
      </c>
      <c r="DJ48" s="1486" t="str">
        <f>IF(ISBLANK('HCT2'!AZ48),"",'HCT2'!AZ48)</f>
        <v>PVL</v>
      </c>
      <c r="DK48" s="1485" t="str">
        <f>IF(ISBLANK('HCT2'!BA48),"",'HCT2'!BA48)</f>
        <v>PVL</v>
      </c>
      <c r="DL48" s="1485" t="str">
        <f>IF(ISBLANK('HCT2'!BB48),"",'HCT2'!BB48)</f>
        <v>PVL</v>
      </c>
      <c r="DM48" s="1487" t="str">
        <f>IF(ISBLANK('HCT2'!BC48),"",'HCT2'!BC48)</f>
        <v>PVL</v>
      </c>
      <c r="DN48" s="1488" t="str">
        <f>IF(ISBLANK('HCT2'!BD48),"",'HCT2'!BD48)</f>
        <v>PVL</v>
      </c>
      <c r="DO48" s="1489">
        <f>IF(ISBLANK('HCT2'!BE48),"",'HCT2'!BE48)</f>
        <v>0</v>
      </c>
      <c r="DP48" s="1490" t="str">
        <f>IF(ISBLANK('HCT2'!BF48),"",'HCT2'!BF48)</f>
        <v>PVL</v>
      </c>
      <c r="DQ48" s="979" t="e">
        <f t="shared" si="0"/>
        <v>#VALUE!</v>
      </c>
      <c r="DS48" s="781" t="e">
        <f t="shared" si="1"/>
        <v>#VALUE!</v>
      </c>
      <c r="DT48" s="781" t="e">
        <f t="shared" si="1"/>
        <v>#VALUE!</v>
      </c>
      <c r="DU48" s="781" t="e">
        <f t="shared" si="2"/>
        <v>#VALUE!</v>
      </c>
      <c r="DV48" s="880" t="e">
        <f t="shared" si="2"/>
        <v>#VALUE!</v>
      </c>
      <c r="DW48" s="781" t="e">
        <f t="shared" si="2"/>
        <v>#VALUE!</v>
      </c>
      <c r="DX48" s="781" t="e">
        <f t="shared" si="2"/>
        <v>#VALUE!</v>
      </c>
      <c r="DY48" s="781" t="e">
        <f t="shared" si="2"/>
        <v>#VALUE!</v>
      </c>
    </row>
    <row r="49" spans="1:129" s="998" customFormat="1" hidden="1">
      <c r="A49" s="988"/>
      <c r="B49" s="988"/>
      <c r="C49" s="989"/>
      <c r="D49" s="1011"/>
      <c r="E49" s="991" t="str">
        <f>IF(ISBLANK(Récap1!E49),"",Récap1!E49)</f>
        <v>Seuil dont détection olfactive air ambiant immédiat</v>
      </c>
      <c r="F49" s="992" t="str">
        <f>IF(ISBLANK(Récap1!F49),"",Récap1!F49)</f>
        <v>Cs</v>
      </c>
      <c r="G49" s="992" t="str">
        <f>IF(ISBLANK(Récap1!G49),"",Récap1!G49)</f>
        <v>mg/kg ms</v>
      </c>
      <c r="H49" s="993">
        <f>IF(ISBLANK(Récap1!H49),"",Récap1!H49)</f>
        <v>555.19258157370484</v>
      </c>
      <c r="I49" s="994">
        <f>IF(ISBLANK(Récap1!I49),"",Récap1!I49)</f>
        <v>555.19258157370484</v>
      </c>
      <c r="J49" s="1214">
        <f>IF(ISBLANK(Récap1!J49),"",Récap1!J49)</f>
        <v>4153.1270958274908</v>
      </c>
      <c r="K49" s="1213">
        <f>IF(ISBLANK(Récap1!K49),"",Récap1!K49)</f>
        <v>1.5697919999999999</v>
      </c>
      <c r="L49" s="1214">
        <f>IF(ISBLANK(Récap1!L49),"",Récap1!L49)</f>
        <v>2.1511535215770454</v>
      </c>
      <c r="M49" s="1214">
        <f>IF(ISBLANK(Récap1!M49),"",Récap1!M49)</f>
        <v>2.1511535215770454</v>
      </c>
      <c r="N49" s="1214">
        <f>IF(ISBLANK(Récap1!N49),"",Récap1!N49)</f>
        <v>4.9055999999999989</v>
      </c>
      <c r="O49" s="1214">
        <f>IF(ISBLANK(Récap1!O49),"",Récap1!O49)</f>
        <v>4.9055999999999989</v>
      </c>
      <c r="P49" s="1214">
        <f>IF(ISBLANK(Récap1!P49),"",Récap1!P49)</f>
        <v>0.9811200000000001</v>
      </c>
      <c r="Q49" s="1214">
        <f>IF(ISBLANK(Récap1!Q49),"",Récap1!Q49)</f>
        <v>0.9811200000000001</v>
      </c>
      <c r="R49" s="1214">
        <f>IF(ISBLANK(Récap1!R49),"",Récap1!R49)</f>
        <v>9.8111999999999977</v>
      </c>
      <c r="S49" s="1214">
        <f>IF(ISBLANK(Récap1!S49),"",Récap1!S49)</f>
        <v>0.42657391304347808</v>
      </c>
      <c r="T49" s="1214">
        <f>IF(ISBLANK(Récap1!T49),"",Récap1!T49)</f>
        <v>0.42657391304347808</v>
      </c>
      <c r="U49" s="1214">
        <f>IF(ISBLANK(Récap1!U49),"",Récap1!U49)</f>
        <v>0.2336</v>
      </c>
      <c r="V49" s="1436">
        <f>IF(ISBLANK(Récap1!V49),"",Récap1!V49)</f>
        <v>28.031999999999996</v>
      </c>
      <c r="W49" s="1214">
        <f>IF(ISBLANK(Récap1!W49),"",Récap1!W49)</f>
        <v>28.031999999999996</v>
      </c>
      <c r="X49" s="1214">
        <f>IF(ISBLANK(Récap1!X49),"",Récap1!X49)</f>
        <v>0.2943962154063326</v>
      </c>
      <c r="Y49" s="1214">
        <f>IF(ISBLANK(Récap1!Y49),"",Récap1!Y49)</f>
        <v>10.306506396441879</v>
      </c>
      <c r="Z49" s="1214">
        <f>IF(ISBLANK(Récap1!Z49),"",Récap1!Z49)</f>
        <v>3.9244799999999995</v>
      </c>
      <c r="AA49" s="1215">
        <f>IF(ISBLANK(Récap1!AA49),"",Récap1!AA49)</f>
        <v>19.622400000000003</v>
      </c>
      <c r="AB49" s="1214">
        <f>IF(ISBLANK(Récap1!AB49),"",Récap1!AB49)</f>
        <v>20.294227186569373</v>
      </c>
      <c r="AC49" s="1216">
        <f>IF(ISBLANK(Récap1!AC49),"",Récap1!AC49)</f>
        <v>62.731002417862939</v>
      </c>
      <c r="AD49" s="1214" t="str">
        <f>IF(ISBLANK(Récap1!AD49),"",Récap1!AD49)</f>
        <v>PVL</v>
      </c>
      <c r="AE49" s="1214" t="str">
        <f>IF(ISBLANK(Récap1!AE49),"",Récap1!AE49)</f>
        <v>PVL</v>
      </c>
      <c r="AF49" s="1143" t="str">
        <f>IF(ISBLANK(Récap1!AF49),"",Récap1!AF49)</f>
        <v>PVL</v>
      </c>
      <c r="AG49" s="1214" t="str">
        <f>IF(ISBLANK(Récap1!AG49),"",Récap1!AG49)</f>
        <v>PVL</v>
      </c>
      <c r="AH49" s="1214" t="str">
        <f>IF(ISBLANK(Récap1!AH49),"",Récap1!AH49)</f>
        <v>PVL</v>
      </c>
      <c r="AI49" s="1214" t="str">
        <f>IF(ISBLANK(Récap1!AI49),"",Récap1!AI49)</f>
        <v>PVL</v>
      </c>
      <c r="AJ49" s="1216" t="str">
        <f>IF(ISBLANK(Récap1!AJ49),"",Récap1!AJ49)</f>
        <v>PVL</v>
      </c>
      <c r="AK49" s="1214" t="str">
        <f>IF(ISBLANK(Récap1!AK49),"",Récap1!AK49)</f>
        <v>PVL</v>
      </c>
      <c r="AL49" s="1214" t="str">
        <f>IF(ISBLANK(Récap1!AL49),"",Récap1!AL49)</f>
        <v>PVL</v>
      </c>
      <c r="AM49" s="1214" t="str">
        <f>IF(ISBLANK(Récap1!AM49),"",Récap1!AM49)</f>
        <v>PVL</v>
      </c>
      <c r="AN49" s="1213">
        <f>IF(ISBLANK(Récap1!AN49),"",Récap1!AN49)</f>
        <v>1.7291766399934905</v>
      </c>
      <c r="AO49" s="1214" t="str">
        <f>IF(ISBLANK(Récap1!AO49),"",Récap1!AO49)</f>
        <v>PVL</v>
      </c>
      <c r="AP49" s="1214" t="str">
        <f>IF(ISBLANK(Récap1!AP49),"",Récap1!AP49)</f>
        <v>PVL</v>
      </c>
      <c r="AQ49" s="1214" t="str">
        <f>IF(ISBLANK(Récap1!AQ49),"",Récap1!AQ49)</f>
        <v>PVL</v>
      </c>
      <c r="AR49" s="1214" t="str">
        <f>IF(ISBLANK(Récap1!AR49),"",Récap1!AR49)</f>
        <v>PVL</v>
      </c>
      <c r="AS49" s="1214" t="str">
        <f>IF(ISBLANK(Récap1!AS49),"",Récap1!AS49)</f>
        <v>PVL</v>
      </c>
      <c r="AT49" s="1214" t="str">
        <f>IF(ISBLANK(Récap1!AT49),"",Récap1!AT49)</f>
        <v>PVL</v>
      </c>
      <c r="AU49" s="1214" t="str">
        <f>IF(ISBLANK(Récap1!AU49),"",Récap1!AU49)</f>
        <v>PVL</v>
      </c>
      <c r="AV49" s="1214" t="str">
        <f>IF(ISBLANK(Récap1!AV49),"",Récap1!AV49)</f>
        <v>PVL</v>
      </c>
      <c r="AW49" s="1214" t="str">
        <f>IF(ISBLANK(Récap1!AW49),"",Récap1!AW49)</f>
        <v>PVL</v>
      </c>
      <c r="AX49" s="1214" t="str">
        <f>IF(ISBLANK(Récap1!AX49),"",Récap1!AX49)</f>
        <v>PVL</v>
      </c>
      <c r="AY49" s="1214" t="str">
        <f>IF(ISBLANK(Récap1!AY49),"",Récap1!AY49)</f>
        <v>PVL</v>
      </c>
      <c r="AZ49" s="1214" t="str">
        <f>IF(ISBLANK(Récap1!AZ49),"",Récap1!AZ49)</f>
        <v>PVL</v>
      </c>
      <c r="BA49" s="1214" t="str">
        <f>IF(ISBLANK(Récap1!BA49),"",Récap1!BA49)</f>
        <v>PVL</v>
      </c>
      <c r="BB49" s="1214" t="str">
        <f>IF(ISBLANK(Récap1!BB49),"",Récap1!BB49)</f>
        <v>PVL</v>
      </c>
      <c r="BC49" s="1215" t="str">
        <f>IF(ISBLANK(Récap1!BC49),"",Récap1!BC49)</f>
        <v>PVL</v>
      </c>
      <c r="BD49" s="1465">
        <f>IF(ISBLANK(Récap1!BD49),"",Récap1!BD49)</f>
        <v>156.67322898811207</v>
      </c>
      <c r="BE49" s="1214" t="str">
        <f>IF(ISBLANK(Récap1!BE49),"",Récap1!BE49)</f>
        <v>PVL</v>
      </c>
      <c r="BF49" s="1214" t="str">
        <f>IF(ISBLANK(Récap1!BF49),"",Récap1!BF49)</f>
        <v>PVL</v>
      </c>
      <c r="BG49" s="1214">
        <f>IF(ISBLANK(Récap1!BG49),"",Récap1!BG49)</f>
        <v>8.4095999999999986E-4</v>
      </c>
      <c r="BH49" s="1217">
        <f>IF(ISBLANK(Récap1!BH49),"",Récap1!BH49)</f>
        <v>3.4900173865331361</v>
      </c>
      <c r="BI49" s="1214">
        <f>IF(ISBLANK(Récap1!BI49),"",Récap1!BI49)</f>
        <v>0</v>
      </c>
      <c r="BJ49" s="1218" t="e">
        <f>IF(ISBLANK(Récap1!#REF!),"",Récap1!#REF!)</f>
        <v>#REF!</v>
      </c>
      <c r="BK49" s="1218" t="e">
        <f>IF(ISBLANK(Récap1!#REF!),"",Récap1!#REF!)</f>
        <v>#REF!</v>
      </c>
      <c r="BL49" s="1214">
        <f>IF(ISBLANK('HCT2'!H49),"",'HCT2'!H49)</f>
        <v>0.2943962154063326</v>
      </c>
      <c r="BM49" s="1214">
        <f>IF(ISBLANK('HCT2'!I49),"",'HCT2'!I49)</f>
        <v>10.306506396441879</v>
      </c>
      <c r="BN49" s="1214">
        <f>IF(ISBLANK('HCT2'!J49),"",'HCT2'!J49)</f>
        <v>3.9244799999999995</v>
      </c>
      <c r="BO49" s="1215">
        <f>IF(ISBLANK('HCT2'!K49),"",'HCT2'!K49)</f>
        <v>19.622400000000003</v>
      </c>
      <c r="BP49" s="1214">
        <f>IF(ISBLANK('HCT2'!L49),"",'HCT2'!L49)</f>
        <v>20.294227186569373</v>
      </c>
      <c r="BQ49" s="1216">
        <f>IF(ISBLANK('HCT2'!M49),"",'HCT2'!M49)</f>
        <v>62.731002417862939</v>
      </c>
      <c r="BR49" s="1214">
        <f>IF(ISBLANK('HCT2'!N49),"",'HCT2'!N49)</f>
        <v>111.57062141399172</v>
      </c>
      <c r="BS49" s="1214">
        <f>IF(ISBLANK('HCT2'!O49),"",'HCT2'!O49)</f>
        <v>10.593990488243037</v>
      </c>
      <c r="BT49" s="1143">
        <f>IF(ISBLANK('HCT2'!P49),"",'HCT2'!P49)</f>
        <v>7.2814461174178141E-2</v>
      </c>
      <c r="BU49" s="1214">
        <f>IF(ISBLANK('HCT2'!Q49),"",'HCT2'!Q49)</f>
        <v>25.689703799784894</v>
      </c>
      <c r="BV49" s="1214">
        <f>IF(ISBLANK('HCT2'!R49),"",'HCT2'!R49)</f>
        <v>19.860204458197209</v>
      </c>
      <c r="BW49" s="1214">
        <f>IF(ISBLANK('HCT2'!S49),"",'HCT2'!S49)</f>
        <v>5.3593580986594578</v>
      </c>
      <c r="BX49" s="1216">
        <f>IF(ISBLANK('HCT2'!T49),"",'HCT2'!T49)</f>
        <v>1.2263719100147334</v>
      </c>
      <c r="BY49" s="1214">
        <f>IF(ISBLANK('HCT2'!U49),"",'HCT2'!U49)</f>
        <v>4.0070694762104972</v>
      </c>
      <c r="BZ49" s="1214">
        <f>IF(ISBLANK('HCT2'!V49),"",'HCT2'!V49)</f>
        <v>2.5578195611739996</v>
      </c>
      <c r="CA49" s="1214">
        <f>IF(ISBLANK('HCT2'!W49),"",'HCT2'!W49)</f>
        <v>0.2691024395606188</v>
      </c>
      <c r="CB49" s="1218" t="str">
        <f>IF(ISBLANK('HCT2'!X49),"",'HCT2'!X49)</f>
        <v/>
      </c>
      <c r="CC49" s="1219">
        <f>IF(ISBLANK('HCT2'!Y49),"",'HCT2'!Y49)</f>
        <v>25.700881776431387</v>
      </c>
      <c r="CD49" s="1220">
        <f>IF(ISBLANK('HCT2'!Z49),"",'HCT2'!Z49)</f>
        <v>75.586172317101784</v>
      </c>
      <c r="CE49" s="1218" t="str">
        <f>IF(ISBLANK('HCT2'!AA49),"",'HCT2'!AA49)</f>
        <v/>
      </c>
      <c r="CF49" s="1218" t="str">
        <f>IF(ISBLANK('HCT2'!AB49),"",'HCT2'!AB49)</f>
        <v/>
      </c>
      <c r="CG49" s="1221">
        <f>IF(ISBLANK('HCT2'!AC49),"",'HCT2'!AC49)</f>
        <v>113.58833538654436</v>
      </c>
      <c r="CH49" s="1218" t="str">
        <f>IF(ISBLANK('HCT2'!AD49),"",'HCT2'!AD49)</f>
        <v/>
      </c>
      <c r="CI49" s="1218" t="str">
        <f>IF(ISBLANK('HCT2'!AE49),"",'HCT2'!AE49)</f>
        <v/>
      </c>
      <c r="CJ49" s="1218" t="str">
        <f>IF(ISBLANK('HCT2'!AF49),"",'HCT2'!AF49)</f>
        <v/>
      </c>
      <c r="CK49" s="1222" t="str">
        <f>IF(ISBLANK('HCT2'!AG49),"",'HCT2'!AG49)</f>
        <v/>
      </c>
      <c r="CL49" s="1218" t="str">
        <f>IF(ISBLANK('HCT2'!AH49),"",'HCT2'!AH49)</f>
        <v>PVL</v>
      </c>
      <c r="CM49" s="1218" t="str">
        <f>IF(ISBLANK('HCT2'!AI49),"",'HCT2'!AI49)</f>
        <v>PVL</v>
      </c>
      <c r="CN49" s="1222" t="str">
        <f>IF(ISBLANK('HCT2'!AJ49),"",'HCT2'!AJ49)</f>
        <v>PVL</v>
      </c>
      <c r="CO49" s="1218" t="str">
        <f>IF(ISBLANK('HCT2'!AK49),"",'HCT2'!AK49)</f>
        <v/>
      </c>
      <c r="CP49" s="1218" t="str">
        <f>IF(ISBLANK('HCT2'!AL49),"",'HCT2'!AL49)</f>
        <v/>
      </c>
      <c r="CQ49" s="1218" t="str">
        <f>IF(ISBLANK('HCT2'!AM49),"",'HCT2'!AM49)</f>
        <v/>
      </c>
      <c r="CR49" s="1223" t="str">
        <f>IF(ISBLANK('HCT2'!AN49),"",'HCT2'!AN49)</f>
        <v/>
      </c>
      <c r="CS49" s="1214">
        <f>IF(ISBLANK('HCT2'!AO49),"",'HCT2'!AO49)</f>
        <v>113.58833538654436</v>
      </c>
      <c r="CT49" s="1174">
        <f>IF(ISBLANK('HCT2'!AP49),"",'HCT2'!AP49)</f>
        <v>0.32647381397929243</v>
      </c>
      <c r="CU49" s="1151">
        <f>IF(ISBLANK('HCT2'!AQ49),"",'HCT2'!AQ49)</f>
        <v>94.632795879847194</v>
      </c>
      <c r="CV49" s="1491">
        <f>IF(ISBLANK('HCT2'!AR49),"",'HCT2'!AR49)</f>
        <v>81.804396155059138</v>
      </c>
      <c r="CW49" s="1492" t="e">
        <f>IF(ISBLANK(Récap1!#REF!),"",Récap1!#REF!)</f>
        <v>#REF!</v>
      </c>
      <c r="CX49" s="1492" t="e">
        <f>IF(ISBLANK(Récap1!#REF!),"",Récap1!#REF!)</f>
        <v>#REF!</v>
      </c>
      <c r="CY49" s="1493" t="e">
        <f>IF(ISBLANK(Récap1!#REF!),"",Récap1!#REF!)</f>
        <v>#REF!</v>
      </c>
      <c r="CZ49" s="1493" t="e">
        <f>IF(ISBLANK(Récap1!#REF!),"",Récap1!#REF!)</f>
        <v>#REF!</v>
      </c>
      <c r="DA49" s="1493" t="e">
        <f>IF(ISBLANK(Récap1!#REF!),"",Récap1!#REF!)</f>
        <v>#REF!</v>
      </c>
      <c r="DB49" s="1493" t="e">
        <f>IF(ISBLANK(Récap1!#REF!),"",Récap1!#REF!)</f>
        <v>#REF!</v>
      </c>
      <c r="DC49" s="1492">
        <f>IF(ISBLANK('HCT2'!AS49),"",'HCT2'!AS49)</f>
        <v>1677.0262958332708</v>
      </c>
      <c r="DD49" s="1493" t="str">
        <f>IF(ISBLANK('HCT2'!AT49),"",'HCT2'!AT49)</f>
        <v>PVL</v>
      </c>
      <c r="DE49" s="1493" t="str">
        <f>IF(ISBLANK('HCT2'!AU49),"",'HCT2'!AU49)</f>
        <v>PVL</v>
      </c>
      <c r="DF49" s="1493" t="str">
        <f>IF(ISBLANK('HCT2'!AV49),"",'HCT2'!AV49)</f>
        <v>PVL</v>
      </c>
      <c r="DG49" s="1493" t="str">
        <f>IF(ISBLANK('HCT2'!AW49),"",'HCT2'!AW49)</f>
        <v/>
      </c>
      <c r="DH49" s="1493" t="str">
        <f>IF(ISBLANK('HCT2'!AX49),"",'HCT2'!AX49)</f>
        <v/>
      </c>
      <c r="DI49" s="1493" t="str">
        <f>IF(ISBLANK('HCT2'!AY49),"",'HCT2'!AY49)</f>
        <v/>
      </c>
      <c r="DJ49" s="1494" t="str">
        <f>IF(ISBLANK('HCT2'!AZ49),"",'HCT2'!AZ49)</f>
        <v>PVL</v>
      </c>
      <c r="DK49" s="1493" t="str">
        <f>IF(ISBLANK('HCT2'!BA49),"",'HCT2'!BA49)</f>
        <v>PVL</v>
      </c>
      <c r="DL49" s="1493" t="str">
        <f>IF(ISBLANK('HCT2'!BB49),"",'HCT2'!BB49)</f>
        <v>PVL</v>
      </c>
      <c r="DM49" s="1495" t="str">
        <f>IF(ISBLANK('HCT2'!BC49),"",'HCT2'!BC49)</f>
        <v>PVL</v>
      </c>
      <c r="DN49" s="1493">
        <f>IF(ISBLANK('HCT2'!BD49),"",'HCT2'!BD49)</f>
        <v>1677.0262958332708</v>
      </c>
      <c r="DO49" s="1475">
        <f>IF(ISBLANK('HCT2'!BE49),"",'HCT2'!BE49)</f>
        <v>3.7406093496401338E-2</v>
      </c>
      <c r="DP49" s="1495">
        <f>IF(ISBLANK('HCT2'!BF49),"",'HCT2'!BF49)</f>
        <v>1677.0262958332708</v>
      </c>
      <c r="DQ49" s="990">
        <f t="shared" si="0"/>
        <v>193.02879216823172</v>
      </c>
      <c r="DS49" s="994">
        <f t="shared" si="1"/>
        <v>25.984100015191228</v>
      </c>
      <c r="DT49" s="994">
        <f t="shared" si="1"/>
        <v>30.166710854639089</v>
      </c>
      <c r="DU49" s="994">
        <f t="shared" si="2"/>
        <v>25.653585285228829</v>
      </c>
      <c r="DV49" s="996">
        <f t="shared" si="2"/>
        <v>63.957374327877673</v>
      </c>
      <c r="DW49" s="994">
        <f t="shared" si="2"/>
        <v>115.57769089020222</v>
      </c>
      <c r="DX49" s="994">
        <f t="shared" si="2"/>
        <v>13.151810049417037</v>
      </c>
      <c r="DY49" s="994">
        <f t="shared" si="2"/>
        <v>0.34191690073479697</v>
      </c>
    </row>
    <row r="50" spans="1:129" s="998" customFormat="1" hidden="1">
      <c r="A50" s="988"/>
      <c r="B50" s="988"/>
      <c r="C50" s="989"/>
      <c r="D50" s="1011"/>
      <c r="E50" s="991" t="str">
        <f>IF(ISBLANK(Récap1!E50),"",Récap1!E50)</f>
        <v>Seuil dont détection olfactive air ambiant 2 mois</v>
      </c>
      <c r="F50" s="992" t="str">
        <f>IF(ISBLANK(Récap1!F50),"",Récap1!F50)</f>
        <v>Cs</v>
      </c>
      <c r="G50" s="992" t="str">
        <f>IF(ISBLANK(Récap1!G50),"",Récap1!G50)</f>
        <v>mg/kg ms</v>
      </c>
      <c r="H50" s="993">
        <f>IF(ISBLANK(Récap1!H50),"",Récap1!H50)</f>
        <v>555.19258157370484</v>
      </c>
      <c r="I50" s="994">
        <f>IF(ISBLANK(Récap1!I50),"",Récap1!I50)</f>
        <v>555.19258157370484</v>
      </c>
      <c r="J50" s="1214">
        <f>IF(ISBLANK(Récap1!J50),"",Récap1!J50)</f>
        <v>4153.1270958274908</v>
      </c>
      <c r="K50" s="1213">
        <f>IF(ISBLANK(Récap1!K50),"",Récap1!K50)</f>
        <v>1.5697919999999999</v>
      </c>
      <c r="L50" s="1214">
        <f>IF(ISBLANK(Récap1!L50),"",Récap1!L50)</f>
        <v>2.1511535215770454</v>
      </c>
      <c r="M50" s="1214">
        <f>IF(ISBLANK(Récap1!M50),"",Récap1!M50)</f>
        <v>2.1511535215770454</v>
      </c>
      <c r="N50" s="1214">
        <f>IF(ISBLANK(Récap1!N50),"",Récap1!N50)</f>
        <v>4.9055999999999989</v>
      </c>
      <c r="O50" s="1214">
        <f>IF(ISBLANK(Récap1!O50),"",Récap1!O50)</f>
        <v>4.9055999999999989</v>
      </c>
      <c r="P50" s="1214">
        <f>IF(ISBLANK(Récap1!P50),"",Récap1!P50)</f>
        <v>0.9811200000000001</v>
      </c>
      <c r="Q50" s="1214">
        <f>IF(ISBLANK(Récap1!Q50),"",Récap1!Q50)</f>
        <v>0.9811200000000001</v>
      </c>
      <c r="R50" s="1214">
        <f>IF(ISBLANK(Récap1!R50),"",Récap1!R50)</f>
        <v>9.8111999999999977</v>
      </c>
      <c r="S50" s="1214">
        <f>IF(ISBLANK(Récap1!S50),"",Récap1!S50)</f>
        <v>0.42657391304347808</v>
      </c>
      <c r="T50" s="1214">
        <f>IF(ISBLANK(Récap1!T50),"",Récap1!T50)</f>
        <v>0.42657391304347808</v>
      </c>
      <c r="U50" s="1214">
        <f>IF(ISBLANK(Récap1!U50),"",Récap1!U50)</f>
        <v>0.2336</v>
      </c>
      <c r="V50" s="1436">
        <f>IF(ISBLANK(Récap1!V50),"",Récap1!V50)</f>
        <v>28.031999999999996</v>
      </c>
      <c r="W50" s="1214">
        <f>IF(ISBLANK(Récap1!W50),"",Récap1!W50)</f>
        <v>28.031999999999996</v>
      </c>
      <c r="X50" s="1214">
        <f>IF(ISBLANK(Récap1!X50),"",Récap1!X50)</f>
        <v>0.2943962154063326</v>
      </c>
      <c r="Y50" s="1214">
        <f>IF(ISBLANK(Récap1!Y50),"",Récap1!Y50)</f>
        <v>10.306506396441879</v>
      </c>
      <c r="Z50" s="1214">
        <f>IF(ISBLANK(Récap1!Z50),"",Récap1!Z50)</f>
        <v>3.9244799999999995</v>
      </c>
      <c r="AA50" s="1215">
        <f>IF(ISBLANK(Récap1!AA50),"",Récap1!AA50)</f>
        <v>19.622400000000003</v>
      </c>
      <c r="AB50" s="1214">
        <f>IF(ISBLANK(Récap1!AB50),"",Récap1!AB50)</f>
        <v>20.294227186569373</v>
      </c>
      <c r="AC50" s="1216">
        <f>IF(ISBLANK(Récap1!AC50),"",Récap1!AC50)</f>
        <v>62.731002417862939</v>
      </c>
      <c r="AD50" s="1214" t="str">
        <f>IF(ISBLANK(Récap1!AD50),"",Récap1!AD50)</f>
        <v>PVL</v>
      </c>
      <c r="AE50" s="1214" t="str">
        <f>IF(ISBLANK(Récap1!AE50),"",Récap1!AE50)</f>
        <v>PVL</v>
      </c>
      <c r="AF50" s="1143" t="str">
        <f>IF(ISBLANK(Récap1!AF50),"",Récap1!AF50)</f>
        <v>PVL</v>
      </c>
      <c r="AG50" s="1214" t="str">
        <f>IF(ISBLANK(Récap1!AG50),"",Récap1!AG50)</f>
        <v>PVL</v>
      </c>
      <c r="AH50" s="1214" t="str">
        <f>IF(ISBLANK(Récap1!AH50),"",Récap1!AH50)</f>
        <v>PVL</v>
      </c>
      <c r="AI50" s="1214" t="str">
        <f>IF(ISBLANK(Récap1!AI50),"",Récap1!AI50)</f>
        <v>PVL</v>
      </c>
      <c r="AJ50" s="1216" t="str">
        <f>IF(ISBLANK(Récap1!AJ50),"",Récap1!AJ50)</f>
        <v>PVL</v>
      </c>
      <c r="AK50" s="1214" t="str">
        <f>IF(ISBLANK(Récap1!AK50),"",Récap1!AK50)</f>
        <v>PVL</v>
      </c>
      <c r="AL50" s="1214" t="str">
        <f>IF(ISBLANK(Récap1!AL50),"",Récap1!AL50)</f>
        <v>PVL</v>
      </c>
      <c r="AM50" s="1214" t="str">
        <f>IF(ISBLANK(Récap1!AM50),"",Récap1!AM50)</f>
        <v>PVL</v>
      </c>
      <c r="AN50" s="1213">
        <f>IF(ISBLANK(Récap1!AN50),"",Récap1!AN50)</f>
        <v>1.7291766399934905</v>
      </c>
      <c r="AO50" s="1214" t="str">
        <f>IF(ISBLANK(Récap1!AO50),"",Récap1!AO50)</f>
        <v>PVL</v>
      </c>
      <c r="AP50" s="1214" t="str">
        <f>IF(ISBLANK(Récap1!AP50),"",Récap1!AP50)</f>
        <v>PVL</v>
      </c>
      <c r="AQ50" s="1214" t="str">
        <f>IF(ISBLANK(Récap1!AQ50),"",Récap1!AQ50)</f>
        <v>PVL</v>
      </c>
      <c r="AR50" s="1214" t="str">
        <f>IF(ISBLANK(Récap1!AR50),"",Récap1!AR50)</f>
        <v>PVL</v>
      </c>
      <c r="AS50" s="1214" t="str">
        <f>IF(ISBLANK(Récap1!AS50),"",Récap1!AS50)</f>
        <v>PVL</v>
      </c>
      <c r="AT50" s="1214" t="str">
        <f>IF(ISBLANK(Récap1!AT50),"",Récap1!AT50)</f>
        <v>PVL</v>
      </c>
      <c r="AU50" s="1214" t="str">
        <f>IF(ISBLANK(Récap1!AU50),"",Récap1!AU50)</f>
        <v>PVL</v>
      </c>
      <c r="AV50" s="1214" t="str">
        <f>IF(ISBLANK(Récap1!AV50),"",Récap1!AV50)</f>
        <v>PVL</v>
      </c>
      <c r="AW50" s="1214" t="str">
        <f>IF(ISBLANK(Récap1!AW50),"",Récap1!AW50)</f>
        <v>PVL</v>
      </c>
      <c r="AX50" s="1214" t="str">
        <f>IF(ISBLANK(Récap1!AX50),"",Récap1!AX50)</f>
        <v>PVL</v>
      </c>
      <c r="AY50" s="1214" t="str">
        <f>IF(ISBLANK(Récap1!AY50),"",Récap1!AY50)</f>
        <v>PVL</v>
      </c>
      <c r="AZ50" s="1214" t="str">
        <f>IF(ISBLANK(Récap1!AZ50),"",Récap1!AZ50)</f>
        <v>PVL</v>
      </c>
      <c r="BA50" s="1214" t="str">
        <f>IF(ISBLANK(Récap1!BA50),"",Récap1!BA50)</f>
        <v>PVL</v>
      </c>
      <c r="BB50" s="1214" t="str">
        <f>IF(ISBLANK(Récap1!BB50),"",Récap1!BB50)</f>
        <v>PVL</v>
      </c>
      <c r="BC50" s="1215" t="str">
        <f>IF(ISBLANK(Récap1!BC50),"",Récap1!BC50)</f>
        <v>PVL</v>
      </c>
      <c r="BD50" s="1465">
        <f>IF(ISBLANK(Récap1!BD50),"",Récap1!BD50)</f>
        <v>156.67322898811207</v>
      </c>
      <c r="BE50" s="1214" t="str">
        <f>IF(ISBLANK(Récap1!BE50),"",Récap1!BE50)</f>
        <v>PVL</v>
      </c>
      <c r="BF50" s="1214" t="str">
        <f>IF(ISBLANK(Récap1!BF50),"",Récap1!BF50)</f>
        <v>PVL</v>
      </c>
      <c r="BG50" s="1214">
        <f>IF(ISBLANK(Récap1!BG50),"",Récap1!BG50)</f>
        <v>8.4095999999999986E-4</v>
      </c>
      <c r="BH50" s="1217">
        <f>IF(ISBLANK(Récap1!BH50),"",Récap1!BH50)</f>
        <v>3.4900173865331361</v>
      </c>
      <c r="BI50" s="1214">
        <f>IF(ISBLANK(Récap1!BI50),"",Récap1!BI50)</f>
        <v>0</v>
      </c>
      <c r="BJ50" s="1218" t="e">
        <f>IF(ISBLANK(Récap1!#REF!),"",Récap1!#REF!)</f>
        <v>#REF!</v>
      </c>
      <c r="BK50" s="1218" t="e">
        <f>IF(ISBLANK(Récap1!#REF!),"",Récap1!#REF!)</f>
        <v>#REF!</v>
      </c>
      <c r="BL50" s="1214">
        <f>IF(ISBLANK('HCT2'!H50),"",'HCT2'!H50)</f>
        <v>0.2943962154063326</v>
      </c>
      <c r="BM50" s="1214">
        <f>IF(ISBLANK('HCT2'!I50),"",'HCT2'!I50)</f>
        <v>10.306506396441879</v>
      </c>
      <c r="BN50" s="1214">
        <f>IF(ISBLANK('HCT2'!J50),"",'HCT2'!J50)</f>
        <v>3.9244799999999995</v>
      </c>
      <c r="BO50" s="1215">
        <f>IF(ISBLANK('HCT2'!K50),"",'HCT2'!K50)</f>
        <v>19.622400000000003</v>
      </c>
      <c r="BP50" s="1214">
        <f>IF(ISBLANK('HCT2'!L50),"",'HCT2'!L50)</f>
        <v>20.294227186569373</v>
      </c>
      <c r="BQ50" s="1216">
        <f>IF(ISBLANK('HCT2'!M50),"",'HCT2'!M50)</f>
        <v>62.731002417862939</v>
      </c>
      <c r="BR50" s="1214">
        <f>IF(ISBLANK('HCT2'!N50),"",'HCT2'!N50)</f>
        <v>111.57062141399172</v>
      </c>
      <c r="BS50" s="1214">
        <f>IF(ISBLANK('HCT2'!O50),"",'HCT2'!O50)</f>
        <v>10.593990488243037</v>
      </c>
      <c r="BT50" s="1143">
        <f>IF(ISBLANK('HCT2'!P50),"",'HCT2'!P50)</f>
        <v>7.2814461174178141E-2</v>
      </c>
      <c r="BU50" s="1214">
        <f>IF(ISBLANK('HCT2'!Q50),"",'HCT2'!Q50)</f>
        <v>25.689703799784894</v>
      </c>
      <c r="BV50" s="1214">
        <f>IF(ISBLANK('HCT2'!R50),"",'HCT2'!R50)</f>
        <v>19.860204458197209</v>
      </c>
      <c r="BW50" s="1214">
        <f>IF(ISBLANK('HCT2'!S50),"",'HCT2'!S50)</f>
        <v>5.3593580986594578</v>
      </c>
      <c r="BX50" s="1216">
        <f>IF(ISBLANK('HCT2'!T50),"",'HCT2'!T50)</f>
        <v>1.2263719100147334</v>
      </c>
      <c r="BY50" s="1214">
        <f>IF(ISBLANK('HCT2'!U50),"",'HCT2'!U50)</f>
        <v>4.0070694762104972</v>
      </c>
      <c r="BZ50" s="1214">
        <f>IF(ISBLANK('HCT2'!V50),"",'HCT2'!V50)</f>
        <v>2.5578195611739996</v>
      </c>
      <c r="CA50" s="1214">
        <f>IF(ISBLANK('HCT2'!W50),"",'HCT2'!W50)</f>
        <v>0.2691024395606188</v>
      </c>
      <c r="CB50" s="1218" t="str">
        <f>IF(ISBLANK('HCT2'!X50),"",'HCT2'!X50)</f>
        <v/>
      </c>
      <c r="CC50" s="1219">
        <f>IF(ISBLANK('HCT2'!Y50),"",'HCT2'!Y50)</f>
        <v>25.700881776431387</v>
      </c>
      <c r="CD50" s="1220">
        <f>IF(ISBLANK('HCT2'!Z50),"",'HCT2'!Z50)</f>
        <v>75.586172317101784</v>
      </c>
      <c r="CE50" s="1218" t="str">
        <f>IF(ISBLANK('HCT2'!AA50),"",'HCT2'!AA50)</f>
        <v/>
      </c>
      <c r="CF50" s="1218" t="str">
        <f>IF(ISBLANK('HCT2'!AB50),"",'HCT2'!AB50)</f>
        <v/>
      </c>
      <c r="CG50" s="1221">
        <f>IF(ISBLANK('HCT2'!AC50),"",'HCT2'!AC50)</f>
        <v>113.58833538654436</v>
      </c>
      <c r="CH50" s="1218" t="str">
        <f>IF(ISBLANK('HCT2'!AD50),"",'HCT2'!AD50)</f>
        <v/>
      </c>
      <c r="CI50" s="1218" t="str">
        <f>IF(ISBLANK('HCT2'!AE50),"",'HCT2'!AE50)</f>
        <v/>
      </c>
      <c r="CJ50" s="1218" t="str">
        <f>IF(ISBLANK('HCT2'!AF50),"",'HCT2'!AF50)</f>
        <v/>
      </c>
      <c r="CK50" s="1222" t="str">
        <f>IF(ISBLANK('HCT2'!AG50),"",'HCT2'!AG50)</f>
        <v/>
      </c>
      <c r="CL50" s="1218" t="str">
        <f>IF(ISBLANK('HCT2'!AH50),"",'HCT2'!AH50)</f>
        <v>PVL</v>
      </c>
      <c r="CM50" s="1218" t="str">
        <f>IF(ISBLANK('HCT2'!AI50),"",'HCT2'!AI50)</f>
        <v>PVL</v>
      </c>
      <c r="CN50" s="1222" t="str">
        <f>IF(ISBLANK('HCT2'!AJ50),"",'HCT2'!AJ50)</f>
        <v>PVL</v>
      </c>
      <c r="CO50" s="1218" t="str">
        <f>IF(ISBLANK('HCT2'!AK50),"",'HCT2'!AK50)</f>
        <v/>
      </c>
      <c r="CP50" s="1218" t="str">
        <f>IF(ISBLANK('HCT2'!AL50),"",'HCT2'!AL50)</f>
        <v/>
      </c>
      <c r="CQ50" s="1218" t="str">
        <f>IF(ISBLANK('HCT2'!AM50),"",'HCT2'!AM50)</f>
        <v/>
      </c>
      <c r="CR50" s="1223" t="str">
        <f>IF(ISBLANK('HCT2'!AN50),"",'HCT2'!AN50)</f>
        <v/>
      </c>
      <c r="CS50" s="1214">
        <f>IF(ISBLANK('HCT2'!AO50),"",'HCT2'!AO50)</f>
        <v>113.58833538654436</v>
      </c>
      <c r="CT50" s="1174">
        <f>IF(ISBLANK('HCT2'!AP50),"",'HCT2'!AP50)</f>
        <v>0.32647381397929243</v>
      </c>
      <c r="CU50" s="1151">
        <f>IF(ISBLANK('HCT2'!AQ50),"",'HCT2'!AQ50)</f>
        <v>94.632795879847194</v>
      </c>
      <c r="CV50" s="1491">
        <f>IF(ISBLANK('HCT2'!AR50),"",'HCT2'!AR50)</f>
        <v>81.804396155059138</v>
      </c>
      <c r="CW50" s="1492" t="e">
        <f>IF(ISBLANK(Récap1!#REF!),"",Récap1!#REF!)</f>
        <v>#REF!</v>
      </c>
      <c r="CX50" s="1492" t="e">
        <f>IF(ISBLANK(Récap1!#REF!),"",Récap1!#REF!)</f>
        <v>#REF!</v>
      </c>
      <c r="CY50" s="1493" t="e">
        <f>IF(ISBLANK(Récap1!#REF!),"",Récap1!#REF!)</f>
        <v>#REF!</v>
      </c>
      <c r="CZ50" s="1493" t="e">
        <f>IF(ISBLANK(Récap1!#REF!),"",Récap1!#REF!)</f>
        <v>#REF!</v>
      </c>
      <c r="DA50" s="1493" t="e">
        <f>IF(ISBLANK(Récap1!#REF!),"",Récap1!#REF!)</f>
        <v>#REF!</v>
      </c>
      <c r="DB50" s="1493" t="e">
        <f>IF(ISBLANK(Récap1!#REF!),"",Récap1!#REF!)</f>
        <v>#REF!</v>
      </c>
      <c r="DC50" s="1492">
        <f>IF(ISBLANK('HCT2'!AS50),"",'HCT2'!AS50)</f>
        <v>1677.0262958332708</v>
      </c>
      <c r="DD50" s="1493" t="str">
        <f>IF(ISBLANK('HCT2'!AT50),"",'HCT2'!AT50)</f>
        <v>PVL</v>
      </c>
      <c r="DE50" s="1493" t="str">
        <f>IF(ISBLANK('HCT2'!AU50),"",'HCT2'!AU50)</f>
        <v>PVL</v>
      </c>
      <c r="DF50" s="1493" t="str">
        <f>IF(ISBLANK('HCT2'!AV50),"",'HCT2'!AV50)</f>
        <v>PVL</v>
      </c>
      <c r="DG50" s="1493" t="str">
        <f>IF(ISBLANK('HCT2'!AW50),"",'HCT2'!AW50)</f>
        <v/>
      </c>
      <c r="DH50" s="1493" t="str">
        <f>IF(ISBLANK('HCT2'!AX50),"",'HCT2'!AX50)</f>
        <v/>
      </c>
      <c r="DI50" s="1493" t="str">
        <f>IF(ISBLANK('HCT2'!AY50),"",'HCT2'!AY50)</f>
        <v/>
      </c>
      <c r="DJ50" s="1494" t="str">
        <f>IF(ISBLANK('HCT2'!AZ50),"",'HCT2'!AZ50)</f>
        <v>PVL</v>
      </c>
      <c r="DK50" s="1493" t="str">
        <f>IF(ISBLANK('HCT2'!BA50),"",'HCT2'!BA50)</f>
        <v>PVL</v>
      </c>
      <c r="DL50" s="1493" t="str">
        <f>IF(ISBLANK('HCT2'!BB50),"",'HCT2'!BB50)</f>
        <v>PVL</v>
      </c>
      <c r="DM50" s="1495" t="str">
        <f>IF(ISBLANK('HCT2'!BC50),"",'HCT2'!BC50)</f>
        <v>PVL</v>
      </c>
      <c r="DN50" s="1493">
        <f>IF(ISBLANK('HCT2'!BD50),"",'HCT2'!BD50)</f>
        <v>1677.0262958332708</v>
      </c>
      <c r="DO50" s="1475">
        <f>IF(ISBLANK('HCT2'!BE50),"",'HCT2'!BE50)</f>
        <v>3.7406093496401338E-2</v>
      </c>
      <c r="DP50" s="1495">
        <f>IF(ISBLANK('HCT2'!BF50),"",'HCT2'!BF50)</f>
        <v>1677.0262958332708</v>
      </c>
      <c r="DQ50" s="990">
        <f t="shared" si="0"/>
        <v>193.02879216823172</v>
      </c>
      <c r="DS50" s="994">
        <f t="shared" si="1"/>
        <v>25.984100015191228</v>
      </c>
      <c r="DT50" s="994">
        <f t="shared" si="1"/>
        <v>30.166710854639089</v>
      </c>
      <c r="DU50" s="994">
        <f t="shared" si="2"/>
        <v>25.653585285228829</v>
      </c>
      <c r="DV50" s="996">
        <f t="shared" si="2"/>
        <v>63.957374327877673</v>
      </c>
      <c r="DW50" s="994">
        <f t="shared" si="2"/>
        <v>115.57769089020222</v>
      </c>
      <c r="DX50" s="994">
        <f t="shared" si="2"/>
        <v>13.151810049417037</v>
      </c>
      <c r="DY50" s="994">
        <f t="shared" si="2"/>
        <v>0.34191690073479697</v>
      </c>
    </row>
    <row r="51" spans="1:129" s="513" customFormat="1" ht="13.5" hidden="1">
      <c r="A51" s="510"/>
      <c r="B51" s="510"/>
      <c r="C51" s="77"/>
      <c r="D51" s="784"/>
      <c r="E51" s="352" t="str">
        <f>IF(ISBLANK(Récap1!E51),"",Récap1!E51)</f>
        <v>Seuil dont détection olfactive air du sol</v>
      </c>
      <c r="F51" s="800" t="str">
        <f>IF(ISBLANK(Récap1!F51),"",Récap1!F51)</f>
        <v>Cs</v>
      </c>
      <c r="G51" s="800" t="str">
        <f>IF(ISBLANK(Récap1!G51),"",Récap1!G51)</f>
        <v>mg/kg ms</v>
      </c>
      <c r="H51" s="801">
        <f>IF(ISBLANK(Récap1!H51),"",Récap1!H51)</f>
        <v>555.19258157370484</v>
      </c>
      <c r="I51" s="796">
        <f>IF(ISBLANK(Récap1!I51),"",Récap1!I51)</f>
        <v>555.19258157370484</v>
      </c>
      <c r="J51" s="1256">
        <f>IF(ISBLANK(Récap1!J51),"",Récap1!J51)</f>
        <v>4153.1270958274908</v>
      </c>
      <c r="K51" s="1255">
        <f>IF(ISBLANK(Récap1!K51),"",Récap1!K51)</f>
        <v>6.7474391639365076E-3</v>
      </c>
      <c r="L51" s="1256">
        <f>IF(ISBLANK(Récap1!L51),"",Récap1!L51)</f>
        <v>9.5069987104584891E-2</v>
      </c>
      <c r="M51" s="1256">
        <f>IF(ISBLANK(Récap1!M51),"",Récap1!M51)</f>
        <v>9.5069987104584891E-2</v>
      </c>
      <c r="N51" s="1256">
        <f>IF(ISBLANK(Récap1!N51),"",Récap1!N51)</f>
        <v>0.10760591893278754</v>
      </c>
      <c r="O51" s="1256">
        <f>IF(ISBLANK(Récap1!O51),"",Récap1!O51)</f>
        <v>0.10760591893278754</v>
      </c>
      <c r="P51" s="1256">
        <f>IF(ISBLANK(Récap1!P51),"",Récap1!P51)</f>
        <v>0.1199562906395495</v>
      </c>
      <c r="Q51" s="1256">
        <f>IF(ISBLANK(Récap1!Q51),"",Récap1!Q51)</f>
        <v>0.1199562906395495</v>
      </c>
      <c r="R51" s="1256">
        <f>IF(ISBLANK(Récap1!R51),"",Récap1!R51)</f>
        <v>0.14151448202581743</v>
      </c>
      <c r="S51" s="1256">
        <f>IF(ISBLANK(Récap1!S51),"",Récap1!S51)</f>
        <v>2.0354402069204962E-2</v>
      </c>
      <c r="T51" s="1256">
        <f>IF(ISBLANK(Récap1!T51),"",Récap1!T51)</f>
        <v>2.0354402069204962E-2</v>
      </c>
      <c r="U51" s="1256">
        <f>IF(ISBLANK(Récap1!U51),"",Récap1!U51)</f>
        <v>0.22282665960017883</v>
      </c>
      <c r="V51" s="1438">
        <f>IF(ISBLANK(Récap1!V51),"",Récap1!V51)</f>
        <v>0.12300081894181439</v>
      </c>
      <c r="W51" s="1256">
        <f>IF(ISBLANK(Récap1!W51),"",Récap1!W51)</f>
        <v>0.12300081894181439</v>
      </c>
      <c r="X51" s="1256">
        <f>IF(ISBLANK(Récap1!X51),"",Récap1!X51)</f>
        <v>1.754223700777784E-2</v>
      </c>
      <c r="Y51" s="1256">
        <f>IF(ISBLANK(Récap1!Y51),"",Récap1!Y51)</f>
        <v>1.5601159508858542E-2</v>
      </c>
      <c r="Z51" s="1256">
        <f>IF(ISBLANK(Récap1!Z51),"",Récap1!Z51)</f>
        <v>2.7467644250260864E-2</v>
      </c>
      <c r="AA51" s="1257">
        <f>IF(ISBLANK(Récap1!AA51),"",Récap1!AA51)</f>
        <v>1.2461201679065631E-3</v>
      </c>
      <c r="AB51" s="1256">
        <f>IF(ISBLANK(Récap1!AB51),"",Récap1!AB51)</f>
        <v>6.315727857926912E-3</v>
      </c>
      <c r="AC51" s="1258">
        <f>IF(ISBLANK(Récap1!AC51),"",Récap1!AC51)</f>
        <v>8.5154918231512226E-3</v>
      </c>
      <c r="AD51" s="1256">
        <f>IF(ISBLANK(Récap1!AD51),"",Récap1!AD51)</f>
        <v>4.3505584443829494E-2</v>
      </c>
      <c r="AE51" s="1256">
        <f>IF(ISBLANK(Récap1!AE51),"",Récap1!AE51)</f>
        <v>0.34890349802377557</v>
      </c>
      <c r="AF51" s="1259" t="str">
        <f>IF(ISBLANK(Récap1!AF51),"",Récap1!AF51)</f>
        <v>PVL</v>
      </c>
      <c r="AG51" s="1256">
        <f>IF(ISBLANK(Récap1!AG51),"",Récap1!AG51)</f>
        <v>6.29011484708197E-3</v>
      </c>
      <c r="AH51" s="1256">
        <f>IF(ISBLANK(Récap1!AH51),"",Récap1!AH51)</f>
        <v>4.7819012449342634E-2</v>
      </c>
      <c r="AI51" s="1256">
        <f>IF(ISBLANK(Récap1!AI51),"",Récap1!AI51)</f>
        <v>9.5103001942881699E-3</v>
      </c>
      <c r="AJ51" s="1258">
        <f>IF(ISBLANK(Récap1!AJ51),"",Récap1!AJ51)</f>
        <v>1.5332408405335814E-2</v>
      </c>
      <c r="AK51" s="1256">
        <f>IF(ISBLANK(Récap1!AK51),"",Récap1!AK51)</f>
        <v>0.37132861944557133</v>
      </c>
      <c r="AL51" s="1256" t="str">
        <f>IF(ISBLANK(Récap1!AL51),"",Récap1!AL51)</f>
        <v>PVL</v>
      </c>
      <c r="AM51" s="1256" t="str">
        <f>IF(ISBLANK(Récap1!AM51),"",Récap1!AM51)</f>
        <v>PVL</v>
      </c>
      <c r="AN51" s="1255">
        <f>IF(ISBLANK(Récap1!AN51),"",Récap1!AN51)</f>
        <v>0.10469744549099785</v>
      </c>
      <c r="AO51" s="1256">
        <f>IF(ISBLANK(Récap1!AO51),"",Récap1!AO51)</f>
        <v>0.38334241569623678</v>
      </c>
      <c r="AP51" s="1256">
        <f>IF(ISBLANK(Récap1!AP51),"",Récap1!AP51)</f>
        <v>0.22914151194741517</v>
      </c>
      <c r="AQ51" s="1256">
        <f>IF(ISBLANK(Récap1!AQ51),"",Récap1!AQ51)</f>
        <v>0.56590208573839795</v>
      </c>
      <c r="AR51" s="1256">
        <f>IF(ISBLANK(Récap1!AR51),"",Récap1!AR51)</f>
        <v>2.8264444973650038</v>
      </c>
      <c r="AS51" s="1256" t="str">
        <f>IF(ISBLANK(Récap1!AS51),"",Récap1!AS51)</f>
        <v>PVL</v>
      </c>
      <c r="AT51" s="1256" t="str">
        <f>IF(ISBLANK(Récap1!AT51),"",Récap1!AT51)</f>
        <v>PVL</v>
      </c>
      <c r="AU51" s="1256" t="str">
        <f>IF(ISBLANK(Récap1!AU51),"",Récap1!AU51)</f>
        <v>PVL</v>
      </c>
      <c r="AV51" s="1256" t="str">
        <f>IF(ISBLANK(Récap1!AV51),"",Récap1!AV51)</f>
        <v>PVL</v>
      </c>
      <c r="AW51" s="1256" t="str">
        <f>IF(ISBLANK(Récap1!AW51),"",Récap1!AW51)</f>
        <v>PVL</v>
      </c>
      <c r="AX51" s="1256" t="str">
        <f>IF(ISBLANK(Récap1!AX51),"",Récap1!AX51)</f>
        <v>PVL</v>
      </c>
      <c r="AY51" s="1256" t="str">
        <f>IF(ISBLANK(Récap1!AY51),"",Récap1!AY51)</f>
        <v>PVL</v>
      </c>
      <c r="AZ51" s="1256" t="str">
        <f>IF(ISBLANK(Récap1!AZ51),"",Récap1!AZ51)</f>
        <v>PVL</v>
      </c>
      <c r="BA51" s="1256" t="str">
        <f>IF(ISBLANK(Récap1!BA51),"",Récap1!BA51)</f>
        <v>PVL</v>
      </c>
      <c r="BB51" s="1256" t="str">
        <f>IF(ISBLANK(Récap1!BB51),"",Récap1!BB51)</f>
        <v>PVL</v>
      </c>
      <c r="BC51" s="1257" t="str">
        <f>IF(ISBLANK(Récap1!BC51),"",Récap1!BC51)</f>
        <v>PVL</v>
      </c>
      <c r="BD51" s="1467">
        <f>IF(ISBLANK(Récap1!BD51),"",Récap1!BD51)</f>
        <v>1.6724525926359499</v>
      </c>
      <c r="BE51" s="1256" t="str">
        <f>IF(ISBLANK(Récap1!BE51),"",Récap1!BE51)</f>
        <v>nd</v>
      </c>
      <c r="BF51" s="1256" t="str">
        <f>IF(ISBLANK(Récap1!BF51),"",Récap1!BF51)</f>
        <v>nd</v>
      </c>
      <c r="BG51" s="1256">
        <f>IF(ISBLANK(Récap1!BG51),"",Récap1!BG51)</f>
        <v>8.4095999999999986E-4</v>
      </c>
      <c r="BH51" s="657">
        <f>IF(ISBLANK(Récap1!BH51),"",Récap1!BH51)</f>
        <v>3.4900173865331361</v>
      </c>
      <c r="BI51" s="1256" t="str">
        <f>IF(ISBLANK(Récap1!BI51),"",Récap1!BI51)</f>
        <v/>
      </c>
      <c r="BJ51" s="660" t="e">
        <f>IF(ISBLANK(Récap1!#REF!),"",Récap1!#REF!)</f>
        <v>#REF!</v>
      </c>
      <c r="BK51" s="660" t="e">
        <f>IF(ISBLANK(Récap1!#REF!),"",Récap1!#REF!)</f>
        <v>#REF!</v>
      </c>
      <c r="BL51" s="1256">
        <f>IF(ISBLANK('HCT2'!H51),"",'HCT2'!H51)</f>
        <v>1.754223700777784E-2</v>
      </c>
      <c r="BM51" s="1256">
        <f>IF(ISBLANK('HCT2'!I51),"",'HCT2'!I51)</f>
        <v>1.5601159508858542E-2</v>
      </c>
      <c r="BN51" s="1256">
        <f>IF(ISBLANK('HCT2'!J51),"",'HCT2'!J51)</f>
        <v>2.7467644250260864E-2</v>
      </c>
      <c r="BO51" s="1257">
        <f>IF(ISBLANK('HCT2'!K51),"",'HCT2'!K51)</f>
        <v>1.2461201679065631E-3</v>
      </c>
      <c r="BP51" s="1256">
        <f>IF(ISBLANK('HCT2'!L51),"",'HCT2'!L51)</f>
        <v>6.315727857926912E-3</v>
      </c>
      <c r="BQ51" s="1258">
        <f>IF(ISBLANK('HCT2'!M51),"",'HCT2'!M51)</f>
        <v>8.5154918231512226E-3</v>
      </c>
      <c r="BR51" s="1256">
        <f>IF(ISBLANK('HCT2'!N51),"",'HCT2'!N51)</f>
        <v>4.3505584443829494E-2</v>
      </c>
      <c r="BS51" s="1256">
        <f>IF(ISBLANK('HCT2'!O51),"",'HCT2'!O51)</f>
        <v>0.34890349802377557</v>
      </c>
      <c r="BT51" s="1259">
        <f>IF(ISBLANK('HCT2'!P51),"",'HCT2'!P51)</f>
        <v>2.3980784425454474E-3</v>
      </c>
      <c r="BU51" s="1256">
        <f>IF(ISBLANK('HCT2'!Q51),"",'HCT2'!Q51)</f>
        <v>6.29011484708197E-3</v>
      </c>
      <c r="BV51" s="1256">
        <f>IF(ISBLANK('HCT2'!R51),"",'HCT2'!R51)</f>
        <v>4.7819012449342634E-2</v>
      </c>
      <c r="BW51" s="1256">
        <f>IF(ISBLANK('HCT2'!S51),"",'HCT2'!S51)</f>
        <v>9.5103001942881699E-3</v>
      </c>
      <c r="BX51" s="1258">
        <f>IF(ISBLANK('HCT2'!T51),"",'HCT2'!T51)</f>
        <v>1.5332408405335814E-2</v>
      </c>
      <c r="BY51" s="1256">
        <f>IF(ISBLANK('HCT2'!U51),"",'HCT2'!U51)</f>
        <v>0.37132861944557133</v>
      </c>
      <c r="BZ51" s="1256">
        <f>IF(ISBLANK('HCT2'!V51),"",'HCT2'!V51)</f>
        <v>0.23702898391964997</v>
      </c>
      <c r="CA51" s="1256">
        <f>IF(ISBLANK('HCT2'!W51),"",'HCT2'!W51)</f>
        <v>2.493728595541592E-2</v>
      </c>
      <c r="CB51" s="660" t="str">
        <f>IF(ISBLANK('HCT2'!X51),"",'HCT2'!X51)</f>
        <v/>
      </c>
      <c r="CC51" s="1260">
        <f>IF(ISBLANK('HCT2'!Y51),"",'HCT2'!Y51)</f>
        <v>1.531442783015273</v>
      </c>
      <c r="CD51" s="1261">
        <f>IF(ISBLANK('HCT2'!Z51),"",'HCT2'!Z51)</f>
        <v>0.11441626149771564</v>
      </c>
      <c r="CE51" s="660" t="str">
        <f>IF(ISBLANK('HCT2'!AA51),"",'HCT2'!AA51)</f>
        <v/>
      </c>
      <c r="CF51" s="660" t="str">
        <f>IF(ISBLANK('HCT2'!AB51),"",'HCT2'!AB51)</f>
        <v/>
      </c>
      <c r="CG51" s="1262">
        <f>IF(ISBLANK('HCT2'!AC51),"",'HCT2'!AC51)</f>
        <v>3.5349609893551938E-2</v>
      </c>
      <c r="CH51" s="660" t="str">
        <f>IF(ISBLANK('HCT2'!AD51),"",'HCT2'!AD51)</f>
        <v/>
      </c>
      <c r="CI51" s="660" t="str">
        <f>IF(ISBLANK('HCT2'!AE51),"",'HCT2'!AE51)</f>
        <v/>
      </c>
      <c r="CJ51" s="660" t="str">
        <f>IF(ISBLANK('HCT2'!AF51),"",'HCT2'!AF51)</f>
        <v/>
      </c>
      <c r="CK51" s="1263" t="str">
        <f>IF(ISBLANK('HCT2'!AG51),"",'HCT2'!AG51)</f>
        <v/>
      </c>
      <c r="CL51" s="660">
        <f>IF(ISBLANK('HCT2'!AH51),"",'HCT2'!AH51)</f>
        <v>1.8507247433887469E-2</v>
      </c>
      <c r="CM51" s="660">
        <f>IF(ISBLANK('HCT2'!AI51),"",'HCT2'!AI51)</f>
        <v>0.18199490960113443</v>
      </c>
      <c r="CN51" s="1263">
        <f>IF(ISBLANK('HCT2'!AJ51),"",'HCT2'!AJ51)</f>
        <v>0.1341293446042798</v>
      </c>
      <c r="CO51" s="660" t="str">
        <f>IF(ISBLANK('HCT2'!AK51),"",'HCT2'!AK51)</f>
        <v/>
      </c>
      <c r="CP51" s="660" t="str">
        <f>IF(ISBLANK('HCT2'!AL51),"",'HCT2'!AL51)</f>
        <v/>
      </c>
      <c r="CQ51" s="660" t="str">
        <f>IF(ISBLANK('HCT2'!AM51),"",'HCT2'!AM51)</f>
        <v/>
      </c>
      <c r="CR51" s="694" t="str">
        <f>IF(ISBLANK('HCT2'!AN51),"",'HCT2'!AN51)</f>
        <v/>
      </c>
      <c r="CS51" s="1264">
        <f>IF(ISBLANK('HCT2'!AO51),"",'HCT2'!AO51)</f>
        <v>1.8507247433887469E-2</v>
      </c>
      <c r="CT51" s="1265">
        <f>IF(ISBLANK('HCT2'!AP51),"",'HCT2'!AP51)</f>
        <v>1</v>
      </c>
      <c r="CU51" s="1153">
        <f>IF(ISBLANK('HCT2'!AQ51),"",'HCT2'!AQ51)</f>
        <v>0.10307855186527606</v>
      </c>
      <c r="CV51" s="1509">
        <f>IF(ISBLANK('HCT2'!AR51),"",'HCT2'!AR51)</f>
        <v>0.10307855186527606</v>
      </c>
      <c r="CW51" s="1510" t="e">
        <f>IF(ISBLANK(Récap1!#REF!),"",Récap1!#REF!)</f>
        <v>#REF!</v>
      </c>
      <c r="CX51" s="1510" t="e">
        <f>IF(ISBLANK(Récap1!#REF!),"",Récap1!#REF!)</f>
        <v>#REF!</v>
      </c>
      <c r="CY51" s="1511" t="e">
        <f>IF(ISBLANK(Récap1!#REF!),"",Récap1!#REF!)</f>
        <v>#REF!</v>
      </c>
      <c r="CZ51" s="1511" t="e">
        <f>IF(ISBLANK(Récap1!#REF!),"",Récap1!#REF!)</f>
        <v>#REF!</v>
      </c>
      <c r="DA51" s="1511" t="e">
        <f>IF(ISBLANK(Récap1!#REF!),"",Récap1!#REF!)</f>
        <v>#REF!</v>
      </c>
      <c r="DB51" s="1511" t="e">
        <f>IF(ISBLANK(Récap1!#REF!),"",Récap1!#REF!)</f>
        <v>#REF!</v>
      </c>
      <c r="DC51" s="1510">
        <f>IF(ISBLANK('HCT2'!AS51),"",'HCT2'!AS51)</f>
        <v>0.22764985667296311</v>
      </c>
      <c r="DD51" s="1511">
        <f>IF(ISBLANK('HCT2'!AT51),"",'HCT2'!AT51)</f>
        <v>0.65393567054872792</v>
      </c>
      <c r="DE51" s="1511">
        <f>IF(ISBLANK('HCT2'!AU51),"",'HCT2'!AU51)</f>
        <v>55.231344746197017</v>
      </c>
      <c r="DF51" s="1511" t="str">
        <f>IF(ISBLANK('HCT2'!AV51),"",'HCT2'!AV51)</f>
        <v>PVL</v>
      </c>
      <c r="DG51" s="1511" t="str">
        <f>IF(ISBLANK('HCT2'!AW51),"",'HCT2'!AW51)</f>
        <v/>
      </c>
      <c r="DH51" s="1511" t="str">
        <f>IF(ISBLANK('HCT2'!AX51),"",'HCT2'!AX51)</f>
        <v/>
      </c>
      <c r="DI51" s="1511" t="str">
        <f>IF(ISBLANK('HCT2'!AY51),"",'HCT2'!AY51)</f>
        <v/>
      </c>
      <c r="DJ51" s="1512">
        <f>IF(ISBLANK('HCT2'!AZ51),"",'HCT2'!AZ51)</f>
        <v>0.11326533442831706</v>
      </c>
      <c r="DK51" s="1511">
        <f>IF(ISBLANK('HCT2'!BA51),"",'HCT2'!BA51)</f>
        <v>0.83953803720688558</v>
      </c>
      <c r="DL51" s="1511" t="str">
        <f>IF(ISBLANK('HCT2'!BB51),"",'HCT2'!BB51)</f>
        <v>PVL</v>
      </c>
      <c r="DM51" s="1513" t="str">
        <f>IF(ISBLANK('HCT2'!BC51),"",'HCT2'!BC51)</f>
        <v>PVL</v>
      </c>
      <c r="DN51" s="1514">
        <f>IF(ISBLANK('HCT2'!BD51),"",'HCT2'!BD51)</f>
        <v>0.11326533442831706</v>
      </c>
      <c r="DO51" s="1515">
        <f>IF(ISBLANK('HCT2'!BE51),"",'HCT2'!BE51)</f>
        <v>0.68792036811484414</v>
      </c>
      <c r="DP51" s="1516">
        <f>IF(ISBLANK('HCT2'!BF51),"",'HCT2'!BF51)</f>
        <v>1.1448790276408574</v>
      </c>
      <c r="DQ51" s="980">
        <f t="shared" si="0"/>
        <v>1.0519499504592749</v>
      </c>
      <c r="DS51" s="796">
        <f t="shared" si="1"/>
        <v>2.383235185485981E-2</v>
      </c>
      <c r="DT51" s="796">
        <f t="shared" si="1"/>
        <v>6.3420171958201182E-2</v>
      </c>
      <c r="DU51" s="796">
        <f t="shared" si="2"/>
        <v>1.5826028052215082E-2</v>
      </c>
      <c r="DV51" s="882">
        <f t="shared" si="2"/>
        <v>2.3847900228487037E-2</v>
      </c>
      <c r="DW51" s="796">
        <f t="shared" si="2"/>
        <v>0.41483420388940084</v>
      </c>
      <c r="DX51" s="796">
        <f t="shared" si="2"/>
        <v>0.58593248194342551</v>
      </c>
      <c r="DY51" s="796">
        <f t="shared" si="2"/>
        <v>2.7335364397961366E-2</v>
      </c>
    </row>
    <row r="52" spans="1:129" s="293" customFormat="1" hidden="1">
      <c r="B52" s="294"/>
      <c r="C52" s="65"/>
      <c r="D52" s="785"/>
      <c r="E52" s="753" t="str">
        <f>IF(ISBLANK(Récap1!E52),"",Récap1!E52)</f>
        <v>Zone industrielle, terres sous terre végétale (30cm), exposition employé en extérieur (mi-temps) et en intérieur</v>
      </c>
      <c r="F52" s="755" t="str">
        <f>IF(ISBLANK(Récap1!F52),"",Récap1!F52)</f>
        <v/>
      </c>
      <c r="G52" s="203" t="str">
        <f>IF(ISBLANK(Récap1!G52),"",Récap1!G52)</f>
        <v/>
      </c>
      <c r="H52" s="756" t="str">
        <f>IF(ISBLANK(Récap1!H52),"",Récap1!H52)</f>
        <v/>
      </c>
      <c r="I52" s="757" t="str">
        <f>IF(ISBLANK(Récap1!I52),"",Récap1!I52)</f>
        <v/>
      </c>
      <c r="J52" s="1305" t="str">
        <f>IF(ISBLANK(Récap1!J52),"",Récap1!J52)</f>
        <v/>
      </c>
      <c r="K52" s="1304" t="str">
        <f>IF(ISBLANK(Récap1!K52),"",Récap1!K52)</f>
        <v/>
      </c>
      <c r="L52" s="1305" t="str">
        <f>IF(ISBLANK(Récap1!L52),"",Récap1!L52)</f>
        <v/>
      </c>
      <c r="M52" s="1305" t="str">
        <f>IF(ISBLANK(Récap1!M52),"",Récap1!M52)</f>
        <v/>
      </c>
      <c r="N52" s="636" t="str">
        <f>IF(ISBLANK(Récap1!N52),"",Récap1!N52)</f>
        <v/>
      </c>
      <c r="O52" s="636" t="str">
        <f>IF(ISBLANK(Récap1!O52),"",Récap1!O52)</f>
        <v/>
      </c>
      <c r="P52" s="1305" t="str">
        <f>IF(ISBLANK(Récap1!P52),"",Récap1!P52)</f>
        <v/>
      </c>
      <c r="Q52" s="636" t="str">
        <f>IF(ISBLANK(Récap1!Q52),"",Récap1!Q52)</f>
        <v/>
      </c>
      <c r="R52" s="1305" t="str">
        <f>IF(ISBLANK(Récap1!R52),"",Récap1!R52)</f>
        <v/>
      </c>
      <c r="S52" s="636" t="str">
        <f>IF(ISBLANK(Récap1!S52),"",Récap1!S52)</f>
        <v/>
      </c>
      <c r="T52" s="636" t="str">
        <f>IF(ISBLANK(Récap1!T52),"",Récap1!T52)</f>
        <v/>
      </c>
      <c r="U52" s="636" t="str">
        <f>IF(ISBLANK(Récap1!U52),"",Récap1!U52)</f>
        <v/>
      </c>
      <c r="V52" s="1433" t="str">
        <f>IF(ISBLANK(Récap1!V52),"",Récap1!V52)</f>
        <v/>
      </c>
      <c r="W52" s="636" t="str">
        <f>IF(ISBLANK(Récap1!W52),"",Récap1!W52)</f>
        <v/>
      </c>
      <c r="X52" s="636" t="str">
        <f>IF(ISBLANK(Récap1!X52),"",Récap1!X52)</f>
        <v/>
      </c>
      <c r="Y52" s="636" t="str">
        <f>IF(ISBLANK(Récap1!Y52),"",Récap1!Y52)</f>
        <v/>
      </c>
      <c r="Z52" s="636" t="str">
        <f>IF(ISBLANK(Récap1!Z52),"",Récap1!Z52)</f>
        <v/>
      </c>
      <c r="AA52" s="473" t="str">
        <f>IF(ISBLANK(Récap1!AA52),"",Récap1!AA52)</f>
        <v/>
      </c>
      <c r="AB52" s="636" t="str">
        <f>IF(ISBLANK(Récap1!AB52),"",Récap1!AB52)</f>
        <v/>
      </c>
      <c r="AC52" s="1271" t="str">
        <f>IF(ISBLANK(Récap1!AC52),"",Récap1!AC52)</f>
        <v/>
      </c>
      <c r="AD52" s="636" t="str">
        <f>IF(ISBLANK(Récap1!AD52),"",Récap1!AD52)</f>
        <v/>
      </c>
      <c r="AE52" s="636" t="str">
        <f>IF(ISBLANK(Récap1!AE52),"",Récap1!AE52)</f>
        <v/>
      </c>
      <c r="AF52" s="1272" t="str">
        <f>IF(ISBLANK(Récap1!AF52),"",Récap1!AF52)</f>
        <v/>
      </c>
      <c r="AG52" s="636" t="str">
        <f>IF(ISBLANK(Récap1!AG52),"",Récap1!AG52)</f>
        <v/>
      </c>
      <c r="AH52" s="636" t="str">
        <f>IF(ISBLANK(Récap1!AH52),"",Récap1!AH52)</f>
        <v/>
      </c>
      <c r="AI52" s="636" t="str">
        <f>IF(ISBLANK(Récap1!AI52),"",Récap1!AI52)</f>
        <v/>
      </c>
      <c r="AJ52" s="1271" t="str">
        <f>IF(ISBLANK(Récap1!AJ52),"",Récap1!AJ52)</f>
        <v/>
      </c>
      <c r="AK52" s="636" t="str">
        <f>IF(ISBLANK(Récap1!AK52),"",Récap1!AK52)</f>
        <v/>
      </c>
      <c r="AL52" s="636" t="str">
        <f>IF(ISBLANK(Récap1!AL52),"",Récap1!AL52)</f>
        <v/>
      </c>
      <c r="AM52" s="636" t="str">
        <f>IF(ISBLANK(Récap1!AM52),"",Récap1!AM52)</f>
        <v/>
      </c>
      <c r="AN52" s="1270" t="str">
        <f>IF(ISBLANK(Récap1!AN52),"",Récap1!AN52)</f>
        <v/>
      </c>
      <c r="AO52" s="636" t="str">
        <f>IF(ISBLANK(Récap1!AO52),"",Récap1!AO52)</f>
        <v/>
      </c>
      <c r="AP52" s="636" t="str">
        <f>IF(ISBLANK(Récap1!AP52),"",Récap1!AP52)</f>
        <v/>
      </c>
      <c r="AQ52" s="636" t="str">
        <f>IF(ISBLANK(Récap1!AQ52),"",Récap1!AQ52)</f>
        <v/>
      </c>
      <c r="AR52" s="636" t="str">
        <f>IF(ISBLANK(Récap1!AR52),"",Récap1!AR52)</f>
        <v/>
      </c>
      <c r="AS52" s="636" t="str">
        <f>IF(ISBLANK(Récap1!AS52),"",Récap1!AS52)</f>
        <v/>
      </c>
      <c r="AT52" s="636" t="str">
        <f>IF(ISBLANK(Récap1!AT52),"",Récap1!AT52)</f>
        <v/>
      </c>
      <c r="AU52" s="636" t="str">
        <f>IF(ISBLANK(Récap1!AU52),"",Récap1!AU52)</f>
        <v/>
      </c>
      <c r="AV52" s="636" t="str">
        <f>IF(ISBLANK(Récap1!AV52),"",Récap1!AV52)</f>
        <v/>
      </c>
      <c r="AW52" s="636" t="str">
        <f>IF(ISBLANK(Récap1!AW52),"",Récap1!AW52)</f>
        <v/>
      </c>
      <c r="AX52" s="636" t="str">
        <f>IF(ISBLANK(Récap1!AX52),"",Récap1!AX52)</f>
        <v/>
      </c>
      <c r="AY52" s="636" t="str">
        <f>IF(ISBLANK(Récap1!AY52),"",Récap1!AY52)</f>
        <v/>
      </c>
      <c r="AZ52" s="636" t="str">
        <f>IF(ISBLANK(Récap1!AZ52),"",Récap1!AZ52)</f>
        <v/>
      </c>
      <c r="BA52" s="636" t="str">
        <f>IF(ISBLANK(Récap1!BA52),"",Récap1!BA52)</f>
        <v/>
      </c>
      <c r="BB52" s="636" t="str">
        <f>IF(ISBLANK(Récap1!BB52),"",Récap1!BB52)</f>
        <v/>
      </c>
      <c r="BC52" s="473" t="str">
        <f>IF(ISBLANK(Récap1!BC52),"",Récap1!BC52)</f>
        <v/>
      </c>
      <c r="BD52" s="1468" t="str">
        <f>IF(ISBLANK(Récap1!BD52),"",Récap1!BD52)</f>
        <v/>
      </c>
      <c r="BE52" s="636" t="str">
        <f>IF(ISBLANK(Récap1!BE52),"",Récap1!BE52)</f>
        <v/>
      </c>
      <c r="BF52" s="636" t="str">
        <f>IF(ISBLANK(Récap1!BF52),"",Récap1!BF52)</f>
        <v/>
      </c>
      <c r="BG52" s="636" t="str">
        <f>IF(ISBLANK(Récap1!BG52),"",Récap1!BG52)</f>
        <v/>
      </c>
      <c r="BH52" s="1273" t="str">
        <f>IF(ISBLANK(Récap1!BH52),"",Récap1!BH52)</f>
        <v/>
      </c>
      <c r="BI52" s="636" t="str">
        <f>IF(ISBLANK(Récap1!BI52),"",Récap1!BI52)</f>
        <v/>
      </c>
      <c r="BJ52" s="1274" t="e">
        <f>IF(ISBLANK(Récap1!#REF!),"",Récap1!#REF!)</f>
        <v>#REF!</v>
      </c>
      <c r="BK52" s="1274" t="e">
        <f>IF(ISBLANK(Récap1!#REF!),"",Récap1!#REF!)</f>
        <v>#REF!</v>
      </c>
      <c r="BL52" s="636">
        <f>IF(ISBLANK('HCT2'!H52),"",'HCT2'!H52)</f>
        <v>0</v>
      </c>
      <c r="BM52" s="636">
        <f>IF(ISBLANK('HCT2'!I52),"",'HCT2'!I52)</f>
        <v>0</v>
      </c>
      <c r="BN52" s="636">
        <f>IF(ISBLANK('HCT2'!J52),"",'HCT2'!J52)</f>
        <v>0</v>
      </c>
      <c r="BO52" s="473">
        <f>IF(ISBLANK('HCT2'!K52),"",'HCT2'!K52)</f>
        <v>0</v>
      </c>
      <c r="BP52" s="636">
        <f>IF(ISBLANK('HCT2'!L52),"",'HCT2'!L52)</f>
        <v>0</v>
      </c>
      <c r="BQ52" s="1271">
        <f>IF(ISBLANK('HCT2'!M52),"",'HCT2'!M52)</f>
        <v>0</v>
      </c>
      <c r="BR52" s="636">
        <f>IF(ISBLANK('HCT2'!N52),"",'HCT2'!N52)</f>
        <v>0</v>
      </c>
      <c r="BS52" s="636">
        <f>IF(ISBLANK('HCT2'!O52),"",'HCT2'!O52)</f>
        <v>0</v>
      </c>
      <c r="BT52" s="1272">
        <f>IF(ISBLANK('HCT2'!P52),"",'HCT2'!P52)</f>
        <v>0</v>
      </c>
      <c r="BU52" s="636">
        <f>IF(ISBLANK('HCT2'!Q52),"",'HCT2'!Q52)</f>
        <v>0</v>
      </c>
      <c r="BV52" s="636">
        <f>IF(ISBLANK('HCT2'!R52),"",'HCT2'!R52)</f>
        <v>0</v>
      </c>
      <c r="BW52" s="636">
        <f>IF(ISBLANK('HCT2'!S52),"",'HCT2'!S52)</f>
        <v>0</v>
      </c>
      <c r="BX52" s="1271">
        <f>IF(ISBLANK('HCT2'!T52),"",'HCT2'!T52)</f>
        <v>0</v>
      </c>
      <c r="BY52" s="636">
        <f>IF(ISBLANK('HCT2'!U52),"",'HCT2'!U52)</f>
        <v>0</v>
      </c>
      <c r="BZ52" s="636">
        <f>IF(ISBLANK('HCT2'!V52),"",'HCT2'!V52)</f>
        <v>0</v>
      </c>
      <c r="CA52" s="636">
        <f>IF(ISBLANK('HCT2'!W52),"",'HCT2'!W52)</f>
        <v>0</v>
      </c>
      <c r="CB52" s="1274" t="str">
        <f>IF(ISBLANK('HCT2'!X52),"",'HCT2'!X52)</f>
        <v/>
      </c>
      <c r="CC52" s="1275">
        <f>IF(ISBLANK('HCT2'!Y52),"",'HCT2'!Y52)</f>
        <v>0</v>
      </c>
      <c r="CD52" s="1276">
        <f>IF(ISBLANK('HCT2'!Z52),"",'HCT2'!Z52)</f>
        <v>0</v>
      </c>
      <c r="CE52" s="1274" t="str">
        <f>IF(ISBLANK('HCT2'!AA52),"",'HCT2'!AA52)</f>
        <v/>
      </c>
      <c r="CF52" s="1274" t="str">
        <f>IF(ISBLANK('HCT2'!AB52),"",'HCT2'!AB52)</f>
        <v/>
      </c>
      <c r="CG52" s="1277">
        <f>IF(ISBLANK('HCT2'!AC52),"",'HCT2'!AC52)</f>
        <v>0</v>
      </c>
      <c r="CH52" s="1274" t="str">
        <f>IF(ISBLANK('HCT2'!AD52),"",'HCT2'!AD52)</f>
        <v/>
      </c>
      <c r="CI52" s="1274" t="str">
        <f>IF(ISBLANK('HCT2'!AE52),"",'HCT2'!AE52)</f>
        <v/>
      </c>
      <c r="CJ52" s="1274" t="str">
        <f>IF(ISBLANK('HCT2'!AF52),"",'HCT2'!AF52)</f>
        <v/>
      </c>
      <c r="CK52" s="1278" t="str">
        <f>IF(ISBLANK('HCT2'!AG52),"",'HCT2'!AG52)</f>
        <v/>
      </c>
      <c r="CL52" s="1274">
        <f>IF(ISBLANK('HCT2'!AH52),"",'HCT2'!AH52)</f>
        <v>0</v>
      </c>
      <c r="CM52" s="1274">
        <f>IF(ISBLANK('HCT2'!AI52),"",'HCT2'!AI52)</f>
        <v>0</v>
      </c>
      <c r="CN52" s="1278">
        <f>IF(ISBLANK('HCT2'!AJ52),"",'HCT2'!AJ52)</f>
        <v>0</v>
      </c>
      <c r="CO52" s="1274" t="str">
        <f>IF(ISBLANK('HCT2'!AK52),"",'HCT2'!AK52)</f>
        <v/>
      </c>
      <c r="CP52" s="1274" t="str">
        <f>IF(ISBLANK('HCT2'!AL52),"",'HCT2'!AL52)</f>
        <v/>
      </c>
      <c r="CQ52" s="1274" t="str">
        <f>IF(ISBLANK('HCT2'!AM52),"",'HCT2'!AM52)</f>
        <v/>
      </c>
      <c r="CR52" s="1279" t="str">
        <f>IF(ISBLANK('HCT2'!AN52),"",'HCT2'!AN52)</f>
        <v/>
      </c>
      <c r="CS52" s="1280">
        <f>IF(ISBLANK('HCT2'!AO52),"",'HCT2'!AO52)</f>
        <v>0</v>
      </c>
      <c r="CT52" s="1281">
        <f>IF(ISBLANK('HCT2'!AP52),"",'HCT2'!AP52)</f>
        <v>0</v>
      </c>
      <c r="CU52" s="1154">
        <f>IF(ISBLANK('HCT2'!AQ52),"",'HCT2'!AQ52)</f>
        <v>0</v>
      </c>
      <c r="CV52" s="1517">
        <f>IF(ISBLANK('HCT2'!AR52),"",'HCT2'!AR52)</f>
        <v>0</v>
      </c>
      <c r="CW52" s="1518" t="e">
        <f>IF(ISBLANK(Récap1!#REF!),"",Récap1!#REF!)</f>
        <v>#REF!</v>
      </c>
      <c r="CX52" s="1518" t="e">
        <f>IF(ISBLANK(Récap1!#REF!),"",Récap1!#REF!)</f>
        <v>#REF!</v>
      </c>
      <c r="CY52" s="1519" t="e">
        <f>IF(ISBLANK(Récap1!#REF!),"",Récap1!#REF!)</f>
        <v>#REF!</v>
      </c>
      <c r="CZ52" s="1519" t="e">
        <f>IF(ISBLANK(Récap1!#REF!),"",Récap1!#REF!)</f>
        <v>#REF!</v>
      </c>
      <c r="DA52" s="1519" t="e">
        <f>IF(ISBLANK(Récap1!#REF!),"",Récap1!#REF!)</f>
        <v>#REF!</v>
      </c>
      <c r="DB52" s="1519" t="e">
        <f>IF(ISBLANK(Récap1!#REF!),"",Récap1!#REF!)</f>
        <v>#REF!</v>
      </c>
      <c r="DC52" s="1518">
        <f>IF(ISBLANK('HCT2'!AS52),"",'HCT2'!AS52)</f>
        <v>0</v>
      </c>
      <c r="DD52" s="1519">
        <f>IF(ISBLANK('HCT2'!AT52),"",'HCT2'!AT52)</f>
        <v>0</v>
      </c>
      <c r="DE52" s="1519">
        <f>IF(ISBLANK('HCT2'!AU52),"",'HCT2'!AU52)</f>
        <v>0</v>
      </c>
      <c r="DF52" s="1519">
        <f>IF(ISBLANK('HCT2'!AV52),"",'HCT2'!AV52)</f>
        <v>0</v>
      </c>
      <c r="DG52" s="1519" t="str">
        <f>IF(ISBLANK('HCT2'!AW52),"",'HCT2'!AW52)</f>
        <v/>
      </c>
      <c r="DH52" s="1519" t="str">
        <f>IF(ISBLANK('HCT2'!AX52),"",'HCT2'!AX52)</f>
        <v/>
      </c>
      <c r="DI52" s="1519" t="str">
        <f>IF(ISBLANK('HCT2'!AY52),"",'HCT2'!AY52)</f>
        <v/>
      </c>
      <c r="DJ52" s="1520">
        <f>IF(ISBLANK('HCT2'!AZ52),"",'HCT2'!AZ52)</f>
        <v>0</v>
      </c>
      <c r="DK52" s="1519">
        <f>IF(ISBLANK('HCT2'!BA52),"",'HCT2'!BA52)</f>
        <v>0</v>
      </c>
      <c r="DL52" s="1519">
        <f>IF(ISBLANK('HCT2'!BB52),"",'HCT2'!BB52)</f>
        <v>0</v>
      </c>
      <c r="DM52" s="1521">
        <f>IF(ISBLANK('HCT2'!BC52),"",'HCT2'!BC52)</f>
        <v>0</v>
      </c>
      <c r="DN52" s="1522" t="str">
        <f>IF(ISBLANK('HCT2'!BD52),"",'HCT2'!BD52)</f>
        <v>PVL</v>
      </c>
      <c r="DO52" s="1523">
        <f>IF(ISBLANK('HCT2'!BE52),"",'HCT2'!BE52)</f>
        <v>0</v>
      </c>
      <c r="DP52" s="1524" t="str">
        <f>IF(ISBLANK('HCT2'!BF52),"",'HCT2'!BF52)</f>
        <v>PVL</v>
      </c>
      <c r="DQ52" s="976">
        <f t="shared" si="0"/>
        <v>0</v>
      </c>
      <c r="DS52" s="530">
        <f t="shared" si="1"/>
        <v>0</v>
      </c>
      <c r="DT52" s="530">
        <f t="shared" si="1"/>
        <v>0</v>
      </c>
      <c r="DU52" s="530">
        <f t="shared" si="2"/>
        <v>0</v>
      </c>
      <c r="DV52" s="829">
        <f t="shared" si="2"/>
        <v>0</v>
      </c>
      <c r="DW52" s="530">
        <f t="shared" si="2"/>
        <v>0</v>
      </c>
      <c r="DX52" s="530">
        <f t="shared" si="2"/>
        <v>0</v>
      </c>
      <c r="DY52" s="530">
        <f t="shared" si="2"/>
        <v>0</v>
      </c>
    </row>
    <row r="53" spans="1:129" s="26" customFormat="1" hidden="1">
      <c r="A53" s="482"/>
      <c r="B53" s="27"/>
      <c r="C53" s="138"/>
      <c r="D53" s="280"/>
      <c r="E53" s="103" t="str">
        <f>IF(ISBLANK(Récap1!E53),"",Récap1!E53)</f>
        <v>Seuil (non cancérigène)</v>
      </c>
      <c r="F53" s="14" t="str">
        <f>IF(ISBLANK(Récap1!F53),"",Récap1!F53)</f>
        <v>Cs</v>
      </c>
      <c r="G53" s="105" t="str">
        <f>IF(ISBLANK(Récap1!G53),"",Récap1!G53)</f>
        <v>mg/kg ms</v>
      </c>
      <c r="H53" s="85">
        <f>IF(ISBLANK(Récap1!H53),"",Récap1!H53)</f>
        <v>5181.2716774705141</v>
      </c>
      <c r="I53" s="56">
        <f>IF(ISBLANK(Récap1!I53),"",Récap1!I53)</f>
        <v>5181.2716774705141</v>
      </c>
      <c r="J53" s="644">
        <f>IF(ISBLANK(Récap1!J53),"",Récap1!J53)</f>
        <v>38758.586675549173</v>
      </c>
      <c r="K53" s="643">
        <f>IF(ISBLANK(Récap1!K53),"",Récap1!K53)</f>
        <v>14.649905454545456</v>
      </c>
      <c r="L53" s="644">
        <f>IF(ISBLANK(Récap1!L53),"",Récap1!L53)</f>
        <v>20.075395790853964</v>
      </c>
      <c r="M53" s="644">
        <f>IF(ISBLANK(Récap1!M53),"",Récap1!M53)</f>
        <v>20.075395790853964</v>
      </c>
      <c r="N53" s="644">
        <f>IF(ISBLANK(Récap1!N53),"",Récap1!N53)</f>
        <v>52.32109090909092</v>
      </c>
      <c r="O53" s="644">
        <f>IF(ISBLANK(Récap1!O53),"",Récap1!O53)</f>
        <v>52.32109090909092</v>
      </c>
      <c r="P53" s="644">
        <f>IF(ISBLANK(Récap1!P53),"",Récap1!P53)</f>
        <v>9.1561909090909115</v>
      </c>
      <c r="Q53" s="644">
        <f>IF(ISBLANK(Récap1!Q53),"",Récap1!Q53)</f>
        <v>9.1561909090909115</v>
      </c>
      <c r="R53" s="644">
        <f>IF(ISBLANK(Récap1!R53),"",Récap1!R53)</f>
        <v>104.64218181818184</v>
      </c>
      <c r="S53" s="644">
        <f>IF(ISBLANK(Récap1!S53),"",Récap1!S53)</f>
        <v>19.570698523152846</v>
      </c>
      <c r="T53" s="644">
        <f>IF(ISBLANK(Récap1!T53),"",Récap1!T53)</f>
        <v>19.570698523152846</v>
      </c>
      <c r="U53" s="644">
        <f>IF(ISBLANK(Récap1!U53),"",Récap1!U53)</f>
        <v>9.9410072727272745</v>
      </c>
      <c r="V53" s="681">
        <f>IF(ISBLANK(Récap1!V53),"",Récap1!V53)</f>
        <v>261.60545454545451</v>
      </c>
      <c r="W53" s="644">
        <f>IF(ISBLANK(Récap1!W53),"",Récap1!W53)</f>
        <v>261.60545454545451</v>
      </c>
      <c r="X53" s="644">
        <f>IF(ISBLANK(Récap1!X53),"",Récap1!X53)</f>
        <v>2.7474192261642125</v>
      </c>
      <c r="Y53" s="644">
        <f>IF(ISBLANK(Récap1!Y53),"",Récap1!Y53)</f>
        <v>96.184299750885145</v>
      </c>
      <c r="Z53" s="644">
        <f>IF(ISBLANK(Récap1!Z53),"",Récap1!Z53)</f>
        <v>137.53717232202493</v>
      </c>
      <c r="AA53" s="645">
        <f>IF(ISBLANK(Récap1!AA53),"",Récap1!AA53)</f>
        <v>183.12381818181819</v>
      </c>
      <c r="AB53" s="644">
        <f>IF(ISBLANK(Récap1!AB53),"",Récap1!AB53)</f>
        <v>189.39356905647836</v>
      </c>
      <c r="AC53" s="1228">
        <f>IF(ISBLANK(Récap1!AC53),"",Récap1!AC53)</f>
        <v>585.42995154170387</v>
      </c>
      <c r="AD53" s="644">
        <f>IF(ISBLANK(Récap1!AD53),"",Récap1!AD53)</f>
        <v>2450.4773085841125</v>
      </c>
      <c r="AE53" s="644" t="str">
        <f>IF(ISBLANK(Récap1!AE53),"",Récap1!AE53)</f>
        <v>PVL</v>
      </c>
      <c r="AF53" s="1229" t="str">
        <f>IF(ISBLANK(Récap1!AF53),"",Récap1!AF53)</f>
        <v>PVL</v>
      </c>
      <c r="AG53" s="644">
        <f>IF(ISBLANK(Récap1!AG53),"",Récap1!AG53)</f>
        <v>4813.5403636363644</v>
      </c>
      <c r="AH53" s="644">
        <f>IF(ISBLANK(Récap1!AH53),"",Récap1!AH53)</f>
        <v>4813.5403636363626</v>
      </c>
      <c r="AI53" s="644">
        <f>IF(ISBLANK(Récap1!AI53),"",Récap1!AI53)</f>
        <v>327.80995834790781</v>
      </c>
      <c r="AJ53" s="1228">
        <f>IF(ISBLANK(Récap1!AJ53),"",Récap1!AJ53)</f>
        <v>828.57382025808442</v>
      </c>
      <c r="AK53" s="644">
        <f>IF(ISBLANK(Récap1!AK53),"",Récap1!AK53)</f>
        <v>2474.7552819598091</v>
      </c>
      <c r="AL53" s="644" t="str">
        <f>IF(ISBLANK(Récap1!AL53),"",Récap1!AL53)</f>
        <v>PVL</v>
      </c>
      <c r="AM53" s="644" t="str">
        <f>IF(ISBLANK(Récap1!AM53),"",Récap1!AM53)</f>
        <v>PVL</v>
      </c>
      <c r="AN53" s="643">
        <f>IF(ISBLANK(Récap1!AN53),"",Récap1!AN53)</f>
        <v>91.719889665290481</v>
      </c>
      <c r="AO53" s="644" t="str">
        <f>IF(ISBLANK(Récap1!AO53),"",Récap1!AO53)</f>
        <v>PVL</v>
      </c>
      <c r="AP53" s="644" t="str">
        <f>IF(ISBLANK(Récap1!AP53),"",Récap1!AP53)</f>
        <v>PVL</v>
      </c>
      <c r="AQ53" s="644" t="str">
        <f>IF(ISBLANK(Récap1!AQ53),"",Récap1!AQ53)</f>
        <v>PVL</v>
      </c>
      <c r="AR53" s="644" t="str">
        <f>IF(ISBLANK(Récap1!AR53),"",Récap1!AR53)</f>
        <v>PVL</v>
      </c>
      <c r="AS53" s="644" t="str">
        <f>IF(ISBLANK(Récap1!AS53),"",Récap1!AS53)</f>
        <v>PVL</v>
      </c>
      <c r="AT53" s="644" t="str">
        <f>IF(ISBLANK(Récap1!AT53),"",Récap1!AT53)</f>
        <v>PVL</v>
      </c>
      <c r="AU53" s="644" t="str">
        <f>IF(ISBLANK(Récap1!AU53),"",Récap1!AU53)</f>
        <v>PVL</v>
      </c>
      <c r="AV53" s="644" t="str">
        <f>IF(ISBLANK(Récap1!AV53),"",Récap1!AV53)</f>
        <v>PVL</v>
      </c>
      <c r="AW53" s="644" t="str">
        <f>IF(ISBLANK(Récap1!AW53),"",Récap1!AW53)</f>
        <v>PVL</v>
      </c>
      <c r="AX53" s="644" t="str">
        <f>IF(ISBLANK(Récap1!AX53),"",Récap1!AX53)</f>
        <v>PVL</v>
      </c>
      <c r="AY53" s="644" t="str">
        <f>IF(ISBLANK(Récap1!AY53),"",Récap1!AY53)</f>
        <v>PVL</v>
      </c>
      <c r="AZ53" s="644" t="str">
        <f>IF(ISBLANK(Récap1!AZ53),"",Récap1!AZ53)</f>
        <v>PVL</v>
      </c>
      <c r="BA53" s="644" t="str">
        <f>IF(ISBLANK(Récap1!BA53),"",Récap1!BA53)</f>
        <v>PVL</v>
      </c>
      <c r="BB53" s="644" t="str">
        <f>IF(ISBLANK(Récap1!BB53),"",Récap1!BB53)</f>
        <v>PVL</v>
      </c>
      <c r="BC53" s="645" t="str">
        <f>IF(ISBLANK(Récap1!BC53),"",Récap1!BC53)</f>
        <v>PVL</v>
      </c>
      <c r="BD53" s="682">
        <f>IF(ISBLANK(Récap1!BD53),"",Récap1!BD53)</f>
        <v>1462.1351057555348</v>
      </c>
      <c r="BE53" s="644">
        <f>IF(ISBLANK(Récap1!BE53),"",Récap1!BE53)</f>
        <v>39532.799479038891</v>
      </c>
      <c r="BF53" s="644">
        <f>IF(ISBLANK(Récap1!BF53),"",Récap1!BF53)</f>
        <v>79065.598958077782</v>
      </c>
      <c r="BG53" s="663">
        <f>IF(ISBLANK(Récap1!BG53),"",Récap1!BG53)</f>
        <v>7.8481636363636371E-3</v>
      </c>
      <c r="BH53" s="646">
        <f>IF(ISBLANK(Récap1!BH53),"",Récap1!BH53)</f>
        <v>32.570190666935673</v>
      </c>
      <c r="BI53" s="644">
        <f>IF(ISBLANK(Récap1!BI53),"",Récap1!BI53)</f>
        <v>15.176458616958138</v>
      </c>
      <c r="BJ53" s="647" t="e">
        <f>IF(ISBLANK(Récap1!#REF!),"",Récap1!#REF!)</f>
        <v>#REF!</v>
      </c>
      <c r="BK53" s="647" t="e">
        <f>IF(ISBLANK(Récap1!#REF!),"",Récap1!#REF!)</f>
        <v>#REF!</v>
      </c>
      <c r="BL53" s="644">
        <f>IF(ISBLANK('HCT2'!H53),"",'HCT2'!H53)</f>
        <v>2.7474192261642125</v>
      </c>
      <c r="BM53" s="644">
        <f>IF(ISBLANK('HCT2'!I53),"",'HCT2'!I53)</f>
        <v>96.184299750885145</v>
      </c>
      <c r="BN53" s="644">
        <f>IF(ISBLANK('HCT2'!J53),"",'HCT2'!J53)</f>
        <v>137.53717232202493</v>
      </c>
      <c r="BO53" s="645">
        <f>IF(ISBLANK('HCT2'!K53),"",'HCT2'!K53)</f>
        <v>183.12381818181819</v>
      </c>
      <c r="BP53" s="644">
        <f>IF(ISBLANK('HCT2'!L53),"",'HCT2'!L53)</f>
        <v>189.39356905647836</v>
      </c>
      <c r="BQ53" s="1228">
        <f>IF(ISBLANK('HCT2'!M53),"",'HCT2'!M53)</f>
        <v>585.42995154170387</v>
      </c>
      <c r="BR53" s="644">
        <f>IF(ISBLANK('HCT2'!N53),"",'HCT2'!N53)</f>
        <v>2450.4773085841125</v>
      </c>
      <c r="BS53" s="644">
        <f>IF(ISBLANK('HCT2'!O53),"",'HCT2'!O53)</f>
        <v>232.68072696725056</v>
      </c>
      <c r="BT53" s="1229">
        <f>IF(ISBLANK('HCT2'!P53),"",'HCT2'!P53)</f>
        <v>1.5992577847354901</v>
      </c>
      <c r="BU53" s="644">
        <f>IF(ISBLANK('HCT2'!Q53),"",'HCT2'!Q53)</f>
        <v>4813.5403636363644</v>
      </c>
      <c r="BV53" s="644">
        <f>IF(ISBLANK('HCT2'!R53),"",'HCT2'!R53)</f>
        <v>4813.5403636363626</v>
      </c>
      <c r="BW53" s="644">
        <f>IF(ISBLANK('HCT2'!S53),"",'HCT2'!S53)</f>
        <v>327.80995834790781</v>
      </c>
      <c r="BX53" s="1228">
        <f>IF(ISBLANK('HCT2'!T53),"",'HCT2'!T53)</f>
        <v>828.57382025808442</v>
      </c>
      <c r="BY53" s="644">
        <f>IF(ISBLANK('HCT2'!U53),"",'HCT2'!U53)</f>
        <v>2474.7552819598091</v>
      </c>
      <c r="BZ53" s="644">
        <f>IF(ISBLANK('HCT2'!V53),"",'HCT2'!V53)</f>
        <v>1579.7024501061965</v>
      </c>
      <c r="CA53" s="644">
        <f>IF(ISBLANK('HCT2'!W53),"",'HCT2'!W53)</f>
        <v>166.19693959504676</v>
      </c>
      <c r="CB53" s="647" t="str">
        <f>IF(ISBLANK('HCT2'!X53),"",'HCT2'!X53)</f>
        <v/>
      </c>
      <c r="CC53" s="1230">
        <f>IF(ISBLANK('HCT2'!Y53),"",'HCT2'!Y53)</f>
        <v>239.85055862379866</v>
      </c>
      <c r="CD53" s="1231">
        <f>IF(ISBLANK('HCT2'!Z53),"",'HCT2'!Z53)</f>
        <v>705.39936381158907</v>
      </c>
      <c r="CE53" s="647" t="str">
        <f>IF(ISBLANK('HCT2'!AA53),"",'HCT2'!AA53)</f>
        <v/>
      </c>
      <c r="CF53" s="647" t="str">
        <f>IF(ISBLANK('HCT2'!AB53),"",'HCT2'!AB53)</f>
        <v/>
      </c>
      <c r="CG53" s="1232">
        <f>IF(ISBLANK('HCT2'!AC53),"",'HCT2'!AC53)</f>
        <v>1060.0502322295401</v>
      </c>
      <c r="CH53" s="647" t="str">
        <f>IF(ISBLANK('HCT2'!AD53),"",'HCT2'!AD53)</f>
        <v/>
      </c>
      <c r="CI53" s="647" t="str">
        <f>IF(ISBLANK('HCT2'!AE53),"",'HCT2'!AE53)</f>
        <v/>
      </c>
      <c r="CJ53" s="647" t="str">
        <f>IF(ISBLANK('HCT2'!AF53),"",'HCT2'!AF53)</f>
        <v/>
      </c>
      <c r="CK53" s="1233" t="str">
        <f>IF(ISBLANK('HCT2'!AG53),"",'HCT2'!AG53)</f>
        <v/>
      </c>
      <c r="CL53" s="647">
        <f>IF(ISBLANK('HCT2'!AH53),"",'HCT2'!AH53)</f>
        <v>14162.75929908501</v>
      </c>
      <c r="CM53" s="647">
        <f>IF(ISBLANK('HCT2'!AI53),"",'HCT2'!AI53)</f>
        <v>18319.906632732112</v>
      </c>
      <c r="CN53" s="1233">
        <f>IF(ISBLANK('HCT2'!AJ53),"",'HCT2'!AJ53)</f>
        <v>4623.2962124969117</v>
      </c>
      <c r="CO53" s="647" t="str">
        <f>IF(ISBLANK('HCT2'!AK53),"",'HCT2'!AK53)</f>
        <v/>
      </c>
      <c r="CP53" s="647" t="str">
        <f>IF(ISBLANK('HCT2'!AL53),"",'HCT2'!AL53)</f>
        <v/>
      </c>
      <c r="CQ53" s="647" t="str">
        <f>IF(ISBLANK('HCT2'!AM53),"",'HCT2'!AM53)</f>
        <v/>
      </c>
      <c r="CR53" s="688" t="str">
        <f>IF(ISBLANK('HCT2'!AN53),"",'HCT2'!AN53)</f>
        <v/>
      </c>
      <c r="CS53" s="1234">
        <f>IF(ISBLANK('HCT2'!AO53),"",'HCT2'!AO53)</f>
        <v>1060.0502322295401</v>
      </c>
      <c r="CT53" s="1174">
        <f>IF(ISBLANK('HCT2'!AP53),"",'HCT2'!AP53)</f>
        <v>1</v>
      </c>
      <c r="CU53" s="1147">
        <f>IF(ISBLANK('HCT2'!AQ53),"",'HCT2'!AQ53)</f>
        <v>10243.215973654162</v>
      </c>
      <c r="CV53" s="686">
        <f>IF(ISBLANK('HCT2'!AR53),"",'HCT2'!AR53)</f>
        <v>10243.215973654162</v>
      </c>
      <c r="CW53" s="1496" t="e">
        <f>IF(ISBLANK(Récap1!#REF!),"",Récap1!#REF!)</f>
        <v>#REF!</v>
      </c>
      <c r="CX53" s="1496" t="e">
        <f>IF(ISBLANK(Récap1!#REF!),"",Récap1!#REF!)</f>
        <v>#REF!</v>
      </c>
      <c r="CY53" s="1064" t="e">
        <f>IF(ISBLANK(Récap1!#REF!),"",Récap1!#REF!)</f>
        <v>#REF!</v>
      </c>
      <c r="CZ53" s="1064" t="e">
        <f>IF(ISBLANK(Récap1!#REF!),"",Récap1!#REF!)</f>
        <v>#REF!</v>
      </c>
      <c r="DA53" s="1064" t="e">
        <f>IF(ISBLANK(Récap1!#REF!),"",Récap1!#REF!)</f>
        <v>#REF!</v>
      </c>
      <c r="DB53" s="1064" t="e">
        <f>IF(ISBLANK(Récap1!#REF!),"",Récap1!#REF!)</f>
        <v>#REF!</v>
      </c>
      <c r="DC53" s="1496">
        <f>IF(ISBLANK('HCT2'!AS53),"",'HCT2'!AS53)</f>
        <v>15650.65733469402</v>
      </c>
      <c r="DD53" s="1064">
        <f>IF(ISBLANK('HCT2'!AT53),"",'HCT2'!AT53)</f>
        <v>36833.306400522888</v>
      </c>
      <c r="DE53" s="1064" t="str">
        <f>IF(ISBLANK('HCT2'!AU53),"",'HCT2'!AU53)</f>
        <v>PVL</v>
      </c>
      <c r="DF53" s="1064" t="str">
        <f>IF(ISBLANK('HCT2'!AV53),"",'HCT2'!AV53)</f>
        <v>PVL</v>
      </c>
      <c r="DG53" s="1064" t="str">
        <f>IF(ISBLANK('HCT2'!AW53),"",'HCT2'!AW53)</f>
        <v/>
      </c>
      <c r="DH53" s="1064" t="str">
        <f>IF(ISBLANK('HCT2'!AX53),"",'HCT2'!AX53)</f>
        <v/>
      </c>
      <c r="DI53" s="1064" t="str">
        <f>IF(ISBLANK('HCT2'!AY53),"",'HCT2'!AY53)</f>
        <v/>
      </c>
      <c r="DJ53" s="1497">
        <f>IF(ISBLANK('HCT2'!AZ53),"",'HCT2'!AZ53)</f>
        <v>6120.9360179461446</v>
      </c>
      <c r="DK53" s="1064">
        <f>IF(ISBLANK('HCT2'!BA53),"",'HCT2'!BA53)</f>
        <v>5595.1819579272942</v>
      </c>
      <c r="DL53" s="1064" t="str">
        <f>IF(ISBLANK('HCT2'!BB53),"",'HCT2'!BB53)</f>
        <v>PVL</v>
      </c>
      <c r="DM53" s="1498" t="str">
        <f>IF(ISBLANK('HCT2'!BC53),"",'HCT2'!BC53)</f>
        <v>PVL</v>
      </c>
      <c r="DN53" s="1499">
        <f>IF(ISBLANK('HCT2'!BD53),"",'HCT2'!BD53)</f>
        <v>5595.1819579272942</v>
      </c>
      <c r="DO53" s="1475">
        <f>IF(ISBLANK('HCT2'!BE53),"",'HCT2'!BE53)</f>
        <v>0.68160323968664671</v>
      </c>
      <c r="DP53" s="1500">
        <f>IF(ISBLANK('HCT2'!BF53),"",'HCT2'!BF53)</f>
        <v>9300.4786263311271</v>
      </c>
      <c r="DQ53" s="920">
        <f t="shared" si="0"/>
        <v>8319.4157367969401</v>
      </c>
      <c r="DS53" s="56">
        <f t="shared" si="1"/>
        <v>4816.2877828625287</v>
      </c>
      <c r="DT53" s="56">
        <f t="shared" si="1"/>
        <v>4909.7246633872473</v>
      </c>
      <c r="DU53" s="56">
        <f t="shared" si="2"/>
        <v>517.20352740438614</v>
      </c>
      <c r="DV53" s="870">
        <f t="shared" si="2"/>
        <v>1414.0037717997884</v>
      </c>
      <c r="DW53" s="56">
        <f t="shared" si="2"/>
        <v>4925.2325905439211</v>
      </c>
      <c r="DX53" s="56">
        <f t="shared" si="2"/>
        <v>1812.3831770734471</v>
      </c>
      <c r="DY53" s="56">
        <f t="shared" si="2"/>
        <v>167.79619737978226</v>
      </c>
    </row>
    <row r="54" spans="1:129" s="26" customFormat="1" hidden="1">
      <c r="A54" s="482"/>
      <c r="B54" s="27"/>
      <c r="C54" s="77"/>
      <c r="D54" s="786"/>
      <c r="E54" s="103" t="str">
        <f>IF(ISBLANK(Récap1!E54),"",Récap1!E54)</f>
        <v>Seuil (cancérigène)</v>
      </c>
      <c r="F54" s="14" t="str">
        <f>IF(ISBLANK(Récap1!F54),"",Récap1!F54)</f>
        <v>Cs</v>
      </c>
      <c r="G54" s="105" t="str">
        <f>IF(ISBLANK(Récap1!G54),"",Récap1!G54)</f>
        <v>mg/kg ms</v>
      </c>
      <c r="H54" s="85" t="str">
        <f>IF(ISBLANK(Récap1!H54),"",Récap1!H54)</f>
        <v>PVL</v>
      </c>
      <c r="I54" s="56" t="str">
        <f>IF(ISBLANK(Récap1!I54),"",Récap1!I54)</f>
        <v>PVL</v>
      </c>
      <c r="J54" s="644" t="str">
        <f>IF(ISBLANK(Récap1!J54),"",Récap1!J54)</f>
        <v>PVL</v>
      </c>
      <c r="K54" s="643">
        <f>IF(ISBLANK(Récap1!K54),"",Récap1!K54)</f>
        <v>91.561909090909097</v>
      </c>
      <c r="L54" s="644" t="str">
        <f>IF(ISBLANK(Récap1!L54),"",Récap1!L54)</f>
        <v>PVL</v>
      </c>
      <c r="M54" s="644" t="str">
        <f>IF(ISBLANK(Récap1!M54),"",Récap1!M54)</f>
        <v>PVL</v>
      </c>
      <c r="N54" s="644">
        <f>IF(ISBLANK(Récap1!N54),"",Récap1!N54)</f>
        <v>45.780954545454541</v>
      </c>
      <c r="O54" s="644">
        <f>IF(ISBLANK(Récap1!O54),"",Récap1!O54)</f>
        <v>45.780954545454541</v>
      </c>
      <c r="P54" s="644">
        <f>IF(ISBLANK(Récap1!P54),"",Récap1!P54)</f>
        <v>15.518967642526961</v>
      </c>
      <c r="Q54" s="644">
        <f>IF(ISBLANK(Récap1!Q54),"",Récap1!Q54)</f>
        <v>15.518967642526961</v>
      </c>
      <c r="R54" s="644">
        <f>IF(ISBLANK(Récap1!R54),"",Récap1!R54)</f>
        <v>91.561909090909097</v>
      </c>
      <c r="S54" s="644">
        <f>IF(ISBLANK(Récap1!S54),"",Récap1!S54)</f>
        <v>3.9809525691699599</v>
      </c>
      <c r="T54" s="644">
        <f>IF(ISBLANK(Récap1!T54),"",Récap1!T54)</f>
        <v>3.9809525691699599</v>
      </c>
      <c r="U54" s="644">
        <f>IF(ISBLANK(Récap1!U54),"",Récap1!U54)</f>
        <v>2.1800454545454544</v>
      </c>
      <c r="V54" s="681" t="str">
        <f>IF(ISBLANK(Récap1!V54),"",Récap1!V54)</f>
        <v>PVL</v>
      </c>
      <c r="W54" s="644" t="str">
        <f>IF(ISBLANK(Récap1!W54),"",Récap1!W54)</f>
        <v>PVL</v>
      </c>
      <c r="X54" s="644">
        <f>IF(ISBLANK(Récap1!X54),"",Récap1!X54)</f>
        <v>15.260318181818182</v>
      </c>
      <c r="Y54" s="644" t="str">
        <f>IF(ISBLANK(Récap1!Y54),"",Récap1!Y54)</f>
        <v>PVL</v>
      </c>
      <c r="Z54" s="644">
        <f>IF(ISBLANK(Récap1!Z54),"",Récap1!Z54)</f>
        <v>36.624763636363639</v>
      </c>
      <c r="AA54" s="645" t="str">
        <f>IF(ISBLANK(Récap1!AA54),"",Récap1!AA54)</f>
        <v>PVL</v>
      </c>
      <c r="AB54" s="644" t="str">
        <f>IF(ISBLANK(Récap1!AB54),"",Récap1!AB54)</f>
        <v>PVL</v>
      </c>
      <c r="AC54" s="1228" t="str">
        <f>IF(ISBLANK(Récap1!AC54),"",Récap1!AC54)</f>
        <v>PVL</v>
      </c>
      <c r="AD54" s="644" t="str">
        <f>IF(ISBLANK(Récap1!AD54),"",Récap1!AD54)</f>
        <v>PVL</v>
      </c>
      <c r="AE54" s="644" t="str">
        <f>IF(ISBLANK(Récap1!AE54),"",Récap1!AE54)</f>
        <v>PVL</v>
      </c>
      <c r="AF54" s="1229" t="str">
        <f>IF(ISBLANK(Récap1!AF54),"",Récap1!AF54)</f>
        <v>PVL</v>
      </c>
      <c r="AG54" s="644" t="str">
        <f>IF(ISBLANK(Récap1!AG54),"",Récap1!AG54)</f>
        <v>PVL</v>
      </c>
      <c r="AH54" s="644" t="str">
        <f>IF(ISBLANK(Récap1!AH54),"",Récap1!AH54)</f>
        <v>PVL</v>
      </c>
      <c r="AI54" s="644" t="str">
        <f>IF(ISBLANK(Récap1!AI54),"",Récap1!AI54)</f>
        <v>PVL</v>
      </c>
      <c r="AJ54" s="1228" t="str">
        <f>IF(ISBLANK(Récap1!AJ54),"",Récap1!AJ54)</f>
        <v>PVL</v>
      </c>
      <c r="AK54" s="644" t="str">
        <f>IF(ISBLANK(Récap1!AK54),"",Récap1!AK54)</f>
        <v>PVL</v>
      </c>
      <c r="AL54" s="644" t="str">
        <f>IF(ISBLANK(Récap1!AL54),"",Récap1!AL54)</f>
        <v>PVL</v>
      </c>
      <c r="AM54" s="644" t="str">
        <f>IF(ISBLANK(Récap1!AM54),"",Récap1!AM54)</f>
        <v>PVL</v>
      </c>
      <c r="AN54" s="643">
        <f>IF(ISBLANK(Récap1!AN54),"",Récap1!AN54)</f>
        <v>13.289972817113433</v>
      </c>
      <c r="AO54" s="644">
        <f>IF(ISBLANK(Récap1!AO54),"",Récap1!AO54)</f>
        <v>1124.9987022831629</v>
      </c>
      <c r="AP54" s="644">
        <f>IF(ISBLANK(Récap1!AP54),"",Récap1!AP54)</f>
        <v>784.9206740959155</v>
      </c>
      <c r="AQ54" s="644">
        <f>IF(ISBLANK(Récap1!AQ54),"",Récap1!AQ54)</f>
        <v>1625.2750283692815</v>
      </c>
      <c r="AR54" s="644">
        <f>IF(ISBLANK(Récap1!AR54),"",Récap1!AR54)</f>
        <v>6830.7691514365852</v>
      </c>
      <c r="AS54" s="644">
        <f>IF(ISBLANK(Récap1!AS54),"",Récap1!AS54)</f>
        <v>543.057259452332</v>
      </c>
      <c r="AT54" s="644">
        <f>IF(ISBLANK(Récap1!AT54),"",Récap1!AT54)</f>
        <v>70936.903297465164</v>
      </c>
      <c r="AU54" s="644">
        <f>IF(ISBLANK(Récap1!AU54),"",Récap1!AU54)</f>
        <v>72732.974639001215</v>
      </c>
      <c r="AV54" s="644">
        <f>IF(ISBLANK(Récap1!AV54),"",Récap1!AV54)</f>
        <v>4775.0381794301657</v>
      </c>
      <c r="AW54" s="644">
        <f>IF(ISBLANK(Récap1!AW54),"",Récap1!AW54)</f>
        <v>47020.650273406041</v>
      </c>
      <c r="AX54" s="644">
        <f>IF(ISBLANK(Récap1!AX54),"",Récap1!AX54)</f>
        <v>21220.812158845496</v>
      </c>
      <c r="AY54" s="644">
        <f>IF(ISBLANK(Récap1!AY54),"",Récap1!AY54)</f>
        <v>30919.36633821217</v>
      </c>
      <c r="AZ54" s="644">
        <f>IF(ISBLANK(Récap1!AZ54),"",Récap1!AZ54)</f>
        <v>3454.06022474274</v>
      </c>
      <c r="BA54" s="644">
        <f>IF(ISBLANK(Récap1!BA54),"",Récap1!BA54)</f>
        <v>14933.732755951718</v>
      </c>
      <c r="BB54" s="644">
        <f>IF(ISBLANK(Récap1!BB54),"",Récap1!BB54)</f>
        <v>597638.63771294197</v>
      </c>
      <c r="BC54" s="645">
        <f>IF(ISBLANK(Récap1!BC54),"",Récap1!BC54)</f>
        <v>251824.98572621812</v>
      </c>
      <c r="BD54" s="682" t="str">
        <f>IF(ISBLANK(Récap1!BD54),"",Récap1!BD54)</f>
        <v>PVL</v>
      </c>
      <c r="BE54" s="644">
        <f>IF(ISBLANK(Récap1!BE54),"",Récap1!BE54)</f>
        <v>3147.1311227535593</v>
      </c>
      <c r="BF54" s="644">
        <f>IF(ISBLANK(Récap1!BF54),"",Récap1!BF54)</f>
        <v>6294.2622455071187</v>
      </c>
      <c r="BG54" s="644" t="str">
        <f>IF(ISBLANK(Récap1!BG54),"",Récap1!BG54)</f>
        <v>PVL</v>
      </c>
      <c r="BH54" s="646" t="str">
        <f>IF(ISBLANK(Récap1!BH54),"",Récap1!BH54)</f>
        <v>PVL</v>
      </c>
      <c r="BI54" s="644" t="str">
        <f>IF(ISBLANK(Récap1!BI54),"",Récap1!BI54)</f>
        <v>PVL</v>
      </c>
      <c r="BJ54" s="647" t="e">
        <f>IF(ISBLANK(Récap1!#REF!),"",Récap1!#REF!)</f>
        <v>#REF!</v>
      </c>
      <c r="BK54" s="647" t="e">
        <f>IF(ISBLANK(Récap1!#REF!),"",Récap1!#REF!)</f>
        <v>#REF!</v>
      </c>
      <c r="BL54" s="644">
        <f>IF(ISBLANK('HCT2'!H54),"",'HCT2'!H54)</f>
        <v>15.260318181818182</v>
      </c>
      <c r="BM54" s="644" t="str">
        <f>IF(ISBLANK('HCT2'!I54),"",'HCT2'!I54)</f>
        <v>PVL</v>
      </c>
      <c r="BN54" s="644">
        <f>IF(ISBLANK('HCT2'!J54),"",'HCT2'!J54)</f>
        <v>36.624763636363639</v>
      </c>
      <c r="BO54" s="645" t="str">
        <f>IF(ISBLANK('HCT2'!K54),"",'HCT2'!K54)</f>
        <v>PVL</v>
      </c>
      <c r="BP54" s="644" t="e">
        <f>IF(ISBLANK('HCT2'!L54),"",'HCT2'!L54)</f>
        <v>#VALUE!</v>
      </c>
      <c r="BQ54" s="1228" t="e">
        <f>IF(ISBLANK('HCT2'!M54),"",'HCT2'!M54)</f>
        <v>#VALUE!</v>
      </c>
      <c r="BR54" s="644" t="e">
        <f>IF(ISBLANK('HCT2'!N54),"",'HCT2'!N54)</f>
        <v>#VALUE!</v>
      </c>
      <c r="BS54" s="644" t="e">
        <f>IF(ISBLANK('HCT2'!O54),"",'HCT2'!O54)</f>
        <v>#VALUE!</v>
      </c>
      <c r="BT54" s="1229" t="e">
        <f>IF(ISBLANK('HCT2'!P54),"",'HCT2'!P54)</f>
        <v>#VALUE!</v>
      </c>
      <c r="BU54" s="644" t="e">
        <f>IF(ISBLANK('HCT2'!Q54),"",'HCT2'!Q54)</f>
        <v>#VALUE!</v>
      </c>
      <c r="BV54" s="644" t="e">
        <f>IF(ISBLANK('HCT2'!R54),"",'HCT2'!R54)</f>
        <v>#VALUE!</v>
      </c>
      <c r="BW54" s="644" t="e">
        <f>IF(ISBLANK('HCT2'!S54),"",'HCT2'!S54)</f>
        <v>#VALUE!</v>
      </c>
      <c r="BX54" s="1228" t="e">
        <f>IF(ISBLANK('HCT2'!T54),"",'HCT2'!T54)</f>
        <v>#VALUE!</v>
      </c>
      <c r="BY54" s="644" t="e">
        <f>IF(ISBLANK('HCT2'!U54),"",'HCT2'!U54)</f>
        <v>#VALUE!</v>
      </c>
      <c r="BZ54" s="644" t="e">
        <f>IF(ISBLANK('HCT2'!V54),"",'HCT2'!V54)</f>
        <v>#VALUE!</v>
      </c>
      <c r="CA54" s="644" t="e">
        <f>IF(ISBLANK('HCT2'!W54),"",'HCT2'!W54)</f>
        <v>#VALUE!</v>
      </c>
      <c r="CB54" s="647" t="str">
        <f>IF(ISBLANK('HCT2'!X54),"",'HCT2'!X54)</f>
        <v/>
      </c>
      <c r="CC54" s="1230">
        <f>IF(ISBLANK('HCT2'!Y54),"",'HCT2'!Y54)</f>
        <v>1332.2305550711878</v>
      </c>
      <c r="CD54" s="1231" t="str">
        <f>IF(ISBLANK('HCT2'!Z54),"",'HCT2'!Z54)</f>
        <v>PVL</v>
      </c>
      <c r="CE54" s="647" t="str">
        <f>IF(ISBLANK('HCT2'!AA54),"",'HCT2'!AA54)</f>
        <v/>
      </c>
      <c r="CF54" s="647" t="str">
        <f>IF(ISBLANK('HCT2'!AB54),"",'HCT2'!AB54)</f>
        <v/>
      </c>
      <c r="CG54" s="1232" t="str">
        <f>IF(ISBLANK('HCT2'!AC54),"",'HCT2'!AC54)</f>
        <v>PVL</v>
      </c>
      <c r="CH54" s="647" t="str">
        <f>IF(ISBLANK('HCT2'!AD54),"",'HCT2'!AD54)</f>
        <v/>
      </c>
      <c r="CI54" s="647" t="str">
        <f>IF(ISBLANK('HCT2'!AE54),"",'HCT2'!AE54)</f>
        <v/>
      </c>
      <c r="CJ54" s="647" t="str">
        <f>IF(ISBLANK('HCT2'!AF54),"",'HCT2'!AF54)</f>
        <v/>
      </c>
      <c r="CK54" s="1233" t="str">
        <f>IF(ISBLANK('HCT2'!AG54),"",'HCT2'!AG54)</f>
        <v/>
      </c>
      <c r="CL54" s="647" t="str">
        <f>IF(ISBLANK('HCT2'!AH54),"",'HCT2'!AH54)</f>
        <v>PVL</v>
      </c>
      <c r="CM54" s="647" t="str">
        <f>IF(ISBLANK('HCT2'!AI54),"",'HCT2'!AI54)</f>
        <v>PVL</v>
      </c>
      <c r="CN54" s="1233" t="str">
        <f>IF(ISBLANK('HCT2'!AJ54),"",'HCT2'!AJ54)</f>
        <v>PVL</v>
      </c>
      <c r="CO54" s="647" t="str">
        <f>IF(ISBLANK('HCT2'!AK54),"",'HCT2'!AK54)</f>
        <v/>
      </c>
      <c r="CP54" s="647" t="str">
        <f>IF(ISBLANK('HCT2'!AL54),"",'HCT2'!AL54)</f>
        <v/>
      </c>
      <c r="CQ54" s="647" t="str">
        <f>IF(ISBLANK('HCT2'!AM54),"",'HCT2'!AM54)</f>
        <v/>
      </c>
      <c r="CR54" s="688" t="str">
        <f>IF(ISBLANK('HCT2'!AN54),"",'HCT2'!AN54)</f>
        <v/>
      </c>
      <c r="CS54" s="1234" t="str">
        <f>IF(ISBLANK('HCT2'!AO54),"",'HCT2'!AO54)</f>
        <v>PVL</v>
      </c>
      <c r="CT54" s="1174">
        <f>IF(ISBLANK('HCT2'!AP54),"",'HCT2'!AP54)</f>
        <v>1.145471264243954E-2</v>
      </c>
      <c r="CU54" s="1147">
        <f>IF(ISBLANK('HCT2'!AQ54),"",'HCT2'!AQ54)</f>
        <v>1332.2305550711878</v>
      </c>
      <c r="CV54" s="686" t="e">
        <f>IF(ISBLANK('HCT2'!AR54),"",'HCT2'!AR54)</f>
        <v>#VALUE!</v>
      </c>
      <c r="CW54" s="1496" t="e">
        <f>IF(ISBLANK(Récap1!#REF!),"",Récap1!#REF!)</f>
        <v>#REF!</v>
      </c>
      <c r="CX54" s="1496" t="e">
        <f>IF(ISBLANK(Récap1!#REF!),"",Récap1!#REF!)</f>
        <v>#REF!</v>
      </c>
      <c r="CY54" s="1064" t="e">
        <f>IF(ISBLANK(Récap1!#REF!),"",Récap1!#REF!)</f>
        <v>#REF!</v>
      </c>
      <c r="CZ54" s="1064" t="e">
        <f>IF(ISBLANK(Récap1!#REF!),"",Récap1!#REF!)</f>
        <v>#REF!</v>
      </c>
      <c r="DA54" s="1064" t="e">
        <f>IF(ISBLANK(Récap1!#REF!),"",Récap1!#REF!)</f>
        <v>#REF!</v>
      </c>
      <c r="DB54" s="1064" t="e">
        <f>IF(ISBLANK(Récap1!#REF!),"",Récap1!#REF!)</f>
        <v>#REF!</v>
      </c>
      <c r="DC54" s="1496" t="str">
        <f>IF(ISBLANK('HCT2'!AS54),"",'HCT2'!AS54)</f>
        <v>PVL</v>
      </c>
      <c r="DD54" s="1064" t="str">
        <f>IF(ISBLANK('HCT2'!AT54),"",'HCT2'!AT54)</f>
        <v>PVL</v>
      </c>
      <c r="DE54" s="1064" t="str">
        <f>IF(ISBLANK('HCT2'!AU54),"",'HCT2'!AU54)</f>
        <v>PVL</v>
      </c>
      <c r="DF54" s="1064" t="str">
        <f>IF(ISBLANK('HCT2'!AV54),"",'HCT2'!AV54)</f>
        <v>PVL</v>
      </c>
      <c r="DG54" s="1064" t="str">
        <f>IF(ISBLANK('HCT2'!AW54),"",'HCT2'!AW54)</f>
        <v/>
      </c>
      <c r="DH54" s="1064" t="str">
        <f>IF(ISBLANK('HCT2'!AX54),"",'HCT2'!AX54)</f>
        <v/>
      </c>
      <c r="DI54" s="1064" t="str">
        <f>IF(ISBLANK('HCT2'!AY54),"",'HCT2'!AY54)</f>
        <v/>
      </c>
      <c r="DJ54" s="1497" t="str">
        <f>IF(ISBLANK('HCT2'!AZ54),"",'HCT2'!AZ54)</f>
        <v>PVL</v>
      </c>
      <c r="DK54" s="1064" t="str">
        <f>IF(ISBLANK('HCT2'!BA54),"",'HCT2'!BA54)</f>
        <v>PVL</v>
      </c>
      <c r="DL54" s="1064" t="str">
        <f>IF(ISBLANK('HCT2'!BB54),"",'HCT2'!BB54)</f>
        <v>PVL</v>
      </c>
      <c r="DM54" s="1498" t="str">
        <f>IF(ISBLANK('HCT2'!BC54),"",'HCT2'!BC54)</f>
        <v>PVL</v>
      </c>
      <c r="DN54" s="1499" t="str">
        <f>IF(ISBLANK('HCT2'!BD54),"",'HCT2'!BD54)</f>
        <v>PVL</v>
      </c>
      <c r="DO54" s="1475">
        <f>IF(ISBLANK('HCT2'!BE54),"",'HCT2'!BE54)</f>
        <v>0</v>
      </c>
      <c r="DP54" s="1500" t="str">
        <f>IF(ISBLANK('HCT2'!BF54),"",'HCT2'!BF54)</f>
        <v>PVL</v>
      </c>
      <c r="DQ54" s="920" t="e">
        <f t="shared" si="0"/>
        <v>#VALUE!</v>
      </c>
      <c r="DS54" s="56" t="e">
        <f t="shared" si="1"/>
        <v>#VALUE!</v>
      </c>
      <c r="DT54" s="56" t="e">
        <f t="shared" si="1"/>
        <v>#VALUE!</v>
      </c>
      <c r="DU54" s="56" t="e">
        <f t="shared" si="2"/>
        <v>#VALUE!</v>
      </c>
      <c r="DV54" s="870" t="e">
        <f t="shared" si="2"/>
        <v>#VALUE!</v>
      </c>
      <c r="DW54" s="56" t="e">
        <f t="shared" si="2"/>
        <v>#VALUE!</v>
      </c>
      <c r="DX54" s="56" t="e">
        <f t="shared" si="2"/>
        <v>#VALUE!</v>
      </c>
      <c r="DY54" s="56" t="e">
        <f t="shared" si="2"/>
        <v>#VALUE!</v>
      </c>
    </row>
    <row r="55" spans="1:129" s="26" customFormat="1" hidden="1">
      <c r="A55" s="17"/>
      <c r="B55" s="27"/>
      <c r="C55" s="77"/>
      <c r="D55" s="786"/>
      <c r="E55" s="103" t="str">
        <f>IF(ISBLANK(Récap1!E55),"",Récap1!E55)</f>
        <v>Seuil avant contrôle de la saturation</v>
      </c>
      <c r="F55" s="14" t="str">
        <f>IF(ISBLANK(Récap1!F55),"",Récap1!F55)</f>
        <v>Cs</v>
      </c>
      <c r="G55" s="105" t="str">
        <f>IF(ISBLANK(Récap1!G55),"",Récap1!G55)</f>
        <v>mg/kg ms</v>
      </c>
      <c r="H55" s="119">
        <f>IF(ISBLANK(Récap1!H55),"",Récap1!H55)</f>
        <v>5181.2716774705141</v>
      </c>
      <c r="I55" s="113">
        <f>IF(ISBLANK(Récap1!I55),"",Récap1!I55)</f>
        <v>5181.2716774705141</v>
      </c>
      <c r="J55" s="231">
        <f>IF(ISBLANK(Récap1!J55),"",Récap1!J55)</f>
        <v>38758.586675549173</v>
      </c>
      <c r="K55" s="648">
        <f>IF(ISBLANK(Récap1!K55),"",Récap1!K55)</f>
        <v>14.649905454545456</v>
      </c>
      <c r="L55" s="231">
        <f>IF(ISBLANK(Récap1!L55),"",Récap1!L55)</f>
        <v>20.075395790853964</v>
      </c>
      <c r="M55" s="231">
        <f>IF(ISBLANK(Récap1!M55),"",Récap1!M55)</f>
        <v>20.075395790853964</v>
      </c>
      <c r="N55" s="231">
        <f>IF(ISBLANK(Récap1!N55),"",Récap1!N55)</f>
        <v>45.780954545454541</v>
      </c>
      <c r="O55" s="231">
        <f>IF(ISBLANK(Récap1!O55),"",Récap1!O55)</f>
        <v>45.780954545454541</v>
      </c>
      <c r="P55" s="231">
        <f>IF(ISBLANK(Récap1!P55),"",Récap1!P55)</f>
        <v>9.1561909090909115</v>
      </c>
      <c r="Q55" s="231">
        <f>IF(ISBLANK(Récap1!Q55),"",Récap1!Q55)</f>
        <v>9.1561909090909115</v>
      </c>
      <c r="R55" s="231">
        <f>IF(ISBLANK(Récap1!R55),"",Récap1!R55)</f>
        <v>91.561909090909097</v>
      </c>
      <c r="S55" s="231">
        <f>IF(ISBLANK(Récap1!S55),"",Récap1!S55)</f>
        <v>3.9809525691699599</v>
      </c>
      <c r="T55" s="231">
        <f>IF(ISBLANK(Récap1!T55),"",Récap1!T55)</f>
        <v>3.9809525691699599</v>
      </c>
      <c r="U55" s="231">
        <f>IF(ISBLANK(Récap1!U55),"",Récap1!U55)</f>
        <v>2.1800454545454544</v>
      </c>
      <c r="V55" s="670">
        <f>IF(ISBLANK(Récap1!V55),"",Récap1!V55)</f>
        <v>261.60545454545451</v>
      </c>
      <c r="W55" s="231">
        <f>IF(ISBLANK(Récap1!W55),"",Récap1!W55)</f>
        <v>261.60545454545451</v>
      </c>
      <c r="X55" s="231">
        <f>IF(ISBLANK(Récap1!X55),"",Récap1!X55)</f>
        <v>2.7474192261642125</v>
      </c>
      <c r="Y55" s="231">
        <f>IF(ISBLANK(Récap1!Y55),"",Récap1!Y55)</f>
        <v>96.184299750885145</v>
      </c>
      <c r="Z55" s="231">
        <f>IF(ISBLANK(Récap1!Z55),"",Récap1!Z55)</f>
        <v>36.624763636363639</v>
      </c>
      <c r="AA55" s="232">
        <f>IF(ISBLANK(Récap1!AA55),"",Récap1!AA55)</f>
        <v>183.12381818181819</v>
      </c>
      <c r="AB55" s="231">
        <f>IF(ISBLANK(Récap1!AB55),"",Récap1!AB55)</f>
        <v>189.39356905647836</v>
      </c>
      <c r="AC55" s="1253">
        <f>IF(ISBLANK(Récap1!AC55),"",Récap1!AC55)</f>
        <v>585.42995154170387</v>
      </c>
      <c r="AD55" s="231">
        <f>IF(ISBLANK(Récap1!AD55),"",Récap1!AD55)</f>
        <v>2450.4773085841125</v>
      </c>
      <c r="AE55" s="231" t="str">
        <f>IF(ISBLANK(Récap1!AE55),"",Récap1!AE55)</f>
        <v>PVL</v>
      </c>
      <c r="AF55" s="1254" t="str">
        <f>IF(ISBLANK(Récap1!AF55),"",Récap1!AF55)</f>
        <v>PVL</v>
      </c>
      <c r="AG55" s="231">
        <f>IF(ISBLANK(Récap1!AG55),"",Récap1!AG55)</f>
        <v>4813.5403636363644</v>
      </c>
      <c r="AH55" s="231">
        <f>IF(ISBLANK(Récap1!AH55),"",Récap1!AH55)</f>
        <v>4813.5403636363626</v>
      </c>
      <c r="AI55" s="231">
        <f>IF(ISBLANK(Récap1!AI55),"",Récap1!AI55)</f>
        <v>327.80995834790781</v>
      </c>
      <c r="AJ55" s="1253">
        <f>IF(ISBLANK(Récap1!AJ55),"",Récap1!AJ55)</f>
        <v>828.57382025808442</v>
      </c>
      <c r="AK55" s="231">
        <f>IF(ISBLANK(Récap1!AK55),"",Récap1!AK55)</f>
        <v>2474.7552819598091</v>
      </c>
      <c r="AL55" s="231" t="str">
        <f>IF(ISBLANK(Récap1!AL55),"",Récap1!AL55)</f>
        <v>PVL</v>
      </c>
      <c r="AM55" s="231" t="str">
        <f>IF(ISBLANK(Récap1!AM55),"",Récap1!AM55)</f>
        <v>PVL</v>
      </c>
      <c r="AN55" s="648">
        <f>IF(ISBLANK(Récap1!AN55),"",Récap1!AN55)</f>
        <v>13.289972817113433</v>
      </c>
      <c r="AO55" s="231">
        <f>IF(ISBLANK(Récap1!AO55),"",Récap1!AO55)</f>
        <v>1124.9987022831629</v>
      </c>
      <c r="AP55" s="231">
        <f>IF(ISBLANK(Récap1!AP55),"",Récap1!AP55)</f>
        <v>784.9206740959155</v>
      </c>
      <c r="AQ55" s="231">
        <f>IF(ISBLANK(Récap1!AQ55),"",Récap1!AQ55)</f>
        <v>1625.2750283692815</v>
      </c>
      <c r="AR55" s="231">
        <f>IF(ISBLANK(Récap1!AR55),"",Récap1!AR55)</f>
        <v>6830.7691514365852</v>
      </c>
      <c r="AS55" s="231">
        <f>IF(ISBLANK(Récap1!AS55),"",Récap1!AS55)</f>
        <v>543.057259452332</v>
      </c>
      <c r="AT55" s="231">
        <f>IF(ISBLANK(Récap1!AT55),"",Récap1!AT55)</f>
        <v>70936.903297465164</v>
      </c>
      <c r="AU55" s="231">
        <f>IF(ISBLANK(Récap1!AU55),"",Récap1!AU55)</f>
        <v>72732.974639001215</v>
      </c>
      <c r="AV55" s="231">
        <f>IF(ISBLANK(Récap1!AV55),"",Récap1!AV55)</f>
        <v>4775.0381794301657</v>
      </c>
      <c r="AW55" s="231">
        <f>IF(ISBLANK(Récap1!AW55),"",Récap1!AW55)</f>
        <v>47020.650273406041</v>
      </c>
      <c r="AX55" s="231">
        <f>IF(ISBLANK(Récap1!AX55),"",Récap1!AX55)</f>
        <v>21220.812158845496</v>
      </c>
      <c r="AY55" s="231">
        <f>IF(ISBLANK(Récap1!AY55),"",Récap1!AY55)</f>
        <v>30919.36633821217</v>
      </c>
      <c r="AZ55" s="231">
        <f>IF(ISBLANK(Récap1!AZ55),"",Récap1!AZ55)</f>
        <v>3454.06022474274</v>
      </c>
      <c r="BA55" s="231">
        <f>IF(ISBLANK(Récap1!BA55),"",Récap1!BA55)</f>
        <v>14933.732755951718</v>
      </c>
      <c r="BB55" s="231">
        <f>IF(ISBLANK(Récap1!BB55),"",Récap1!BB55)</f>
        <v>597638.63771294197</v>
      </c>
      <c r="BC55" s="232">
        <f>IF(ISBLANK(Récap1!BC55),"",Récap1!BC55)</f>
        <v>251824.98572621812</v>
      </c>
      <c r="BD55" s="671">
        <f>IF(ISBLANK(Récap1!BD55),"",Récap1!BD55)</f>
        <v>1462.1351057555348</v>
      </c>
      <c r="BE55" s="231">
        <f>IF(ISBLANK(Récap1!BE55),"",Récap1!BE55)</f>
        <v>3147.1311227535593</v>
      </c>
      <c r="BF55" s="231">
        <f>IF(ISBLANK(Récap1!BF55),"",Récap1!BF55)</f>
        <v>6294.2622455071187</v>
      </c>
      <c r="BG55" s="231">
        <f>IF(ISBLANK(Récap1!BG55),"",Récap1!BG55)</f>
        <v>7.8481636363636371E-3</v>
      </c>
      <c r="BH55" s="646">
        <f>IF(ISBLANK(Récap1!BH55),"",Récap1!BH55)</f>
        <v>32.570190666935673</v>
      </c>
      <c r="BI55" s="231">
        <f>IF(ISBLANK(Récap1!BI55),"",Récap1!BI55)</f>
        <v>15.176458616958138</v>
      </c>
      <c r="BJ55" s="647" t="e">
        <f>IF(ISBLANK(Récap1!#REF!),"",Récap1!#REF!)</f>
        <v>#REF!</v>
      </c>
      <c r="BK55" s="647" t="e">
        <f>IF(ISBLANK(Récap1!#REF!),"",Récap1!#REF!)</f>
        <v>#REF!</v>
      </c>
      <c r="BL55" s="231">
        <f>IF(ISBLANK('HCT2'!H55),"",'HCT2'!H55)</f>
        <v>2.7474192261642125</v>
      </c>
      <c r="BM55" s="231">
        <f>IF(ISBLANK('HCT2'!I55),"",'HCT2'!I55)</f>
        <v>96.184299750885145</v>
      </c>
      <c r="BN55" s="231">
        <f>IF(ISBLANK('HCT2'!J55),"",'HCT2'!J55)</f>
        <v>36.624763636363639</v>
      </c>
      <c r="BO55" s="232">
        <f>IF(ISBLANK('HCT2'!K55),"",'HCT2'!K55)</f>
        <v>183.12381818181819</v>
      </c>
      <c r="BP55" s="231">
        <f>IF(ISBLANK('HCT2'!L55),"",'HCT2'!L55)</f>
        <v>189.39356905647836</v>
      </c>
      <c r="BQ55" s="1253">
        <f>IF(ISBLANK('HCT2'!M55),"",'HCT2'!M55)</f>
        <v>585.42995154170387</v>
      </c>
      <c r="BR55" s="231">
        <f>IF(ISBLANK('HCT2'!N55),"",'HCT2'!N55)</f>
        <v>2450.4773085841125</v>
      </c>
      <c r="BS55" s="231">
        <f>IF(ISBLANK('HCT2'!O55),"",'HCT2'!O55)</f>
        <v>232.68072696725056</v>
      </c>
      <c r="BT55" s="1254">
        <f>IF(ISBLANK('HCT2'!P55),"",'HCT2'!P55)</f>
        <v>1.5992577847354901</v>
      </c>
      <c r="BU55" s="231">
        <f>IF(ISBLANK('HCT2'!Q55),"",'HCT2'!Q55)</f>
        <v>4813.5403636363644</v>
      </c>
      <c r="BV55" s="231">
        <f>IF(ISBLANK('HCT2'!R55),"",'HCT2'!R55)</f>
        <v>4813.5403636363626</v>
      </c>
      <c r="BW55" s="231">
        <f>IF(ISBLANK('HCT2'!S55),"",'HCT2'!S55)</f>
        <v>327.80995834790781</v>
      </c>
      <c r="BX55" s="1253">
        <f>IF(ISBLANK('HCT2'!T55),"",'HCT2'!T55)</f>
        <v>828.57382025808442</v>
      </c>
      <c r="BY55" s="231">
        <f>IF(ISBLANK('HCT2'!U55),"",'HCT2'!U55)</f>
        <v>2474.7552819598091</v>
      </c>
      <c r="BZ55" s="231">
        <f>IF(ISBLANK('HCT2'!V55),"",'HCT2'!V55)</f>
        <v>1579.7024501061965</v>
      </c>
      <c r="CA55" s="231">
        <f>IF(ISBLANK('HCT2'!W55),"",'HCT2'!W55)</f>
        <v>166.19693959504676</v>
      </c>
      <c r="CB55" s="647" t="str">
        <f>IF(ISBLANK('HCT2'!X55),"",'HCT2'!X55)</f>
        <v/>
      </c>
      <c r="CC55" s="1230">
        <f>IF(ISBLANK('HCT2'!Y55),"",'HCT2'!Y55)</f>
        <v>239.85055862379866</v>
      </c>
      <c r="CD55" s="1231">
        <f>IF(ISBLANK('HCT2'!Z55),"",'HCT2'!Z55)</f>
        <v>705.39936381158907</v>
      </c>
      <c r="CE55" s="647" t="str">
        <f>IF(ISBLANK('HCT2'!AA55),"",'HCT2'!AA55)</f>
        <v/>
      </c>
      <c r="CF55" s="647" t="str">
        <f>IF(ISBLANK('HCT2'!AB55),"",'HCT2'!AB55)</f>
        <v/>
      </c>
      <c r="CG55" s="1232">
        <f>IF(ISBLANK('HCT2'!AC55),"",'HCT2'!AC55)</f>
        <v>1060.0502322295401</v>
      </c>
      <c r="CH55" s="647" t="str">
        <f>IF(ISBLANK('HCT2'!AD55),"",'HCT2'!AD55)</f>
        <v/>
      </c>
      <c r="CI55" s="647" t="str">
        <f>IF(ISBLANK('HCT2'!AE55),"",'HCT2'!AE55)</f>
        <v/>
      </c>
      <c r="CJ55" s="647" t="str">
        <f>IF(ISBLANK('HCT2'!AF55),"",'HCT2'!AF55)</f>
        <v/>
      </c>
      <c r="CK55" s="1233" t="str">
        <f>IF(ISBLANK('HCT2'!AG55),"",'HCT2'!AG55)</f>
        <v/>
      </c>
      <c r="CL55" s="647">
        <f>IF(ISBLANK('HCT2'!AH55),"",'HCT2'!AH55)</f>
        <v>14162.75929908501</v>
      </c>
      <c r="CM55" s="647">
        <f>IF(ISBLANK('HCT2'!AI55),"",'HCT2'!AI55)</f>
        <v>18319.906632732112</v>
      </c>
      <c r="CN55" s="1233">
        <f>IF(ISBLANK('HCT2'!AJ55),"",'HCT2'!AJ55)</f>
        <v>4623.2962124969117</v>
      </c>
      <c r="CO55" s="647" t="str">
        <f>IF(ISBLANK('HCT2'!AK55),"",'HCT2'!AK55)</f>
        <v/>
      </c>
      <c r="CP55" s="647" t="str">
        <f>IF(ISBLANK('HCT2'!AL55),"",'HCT2'!AL55)</f>
        <v/>
      </c>
      <c r="CQ55" s="647" t="str">
        <f>IF(ISBLANK('HCT2'!AM55),"",'HCT2'!AM55)</f>
        <v/>
      </c>
      <c r="CR55" s="688" t="str">
        <f>IF(ISBLANK('HCT2'!AN55),"",'HCT2'!AN55)</f>
        <v/>
      </c>
      <c r="CS55" s="1234">
        <f>IF(ISBLANK('HCT2'!AO55),"",'HCT2'!AO55)</f>
        <v>1060.0502322295401</v>
      </c>
      <c r="CT55" s="1174">
        <f>IF(ISBLANK('HCT2'!AP55),"",'HCT2'!AP55)</f>
        <v>1</v>
      </c>
      <c r="CU55" s="1147">
        <f>IF(ISBLANK('HCT2'!AQ55),"",'HCT2'!AQ55)</f>
        <v>10243.215973654162</v>
      </c>
      <c r="CV55" s="686">
        <f>IF(ISBLANK('HCT2'!AR55),"",'HCT2'!AR55)</f>
        <v>10243.215973654162</v>
      </c>
      <c r="CW55" s="1496" t="e">
        <f>IF(ISBLANK(Récap1!#REF!),"",Récap1!#REF!)</f>
        <v>#REF!</v>
      </c>
      <c r="CX55" s="1496" t="e">
        <f>IF(ISBLANK(Récap1!#REF!),"",Récap1!#REF!)</f>
        <v>#REF!</v>
      </c>
      <c r="CY55" s="1064" t="e">
        <f>IF(ISBLANK(Récap1!#REF!),"",Récap1!#REF!)</f>
        <v>#REF!</v>
      </c>
      <c r="CZ55" s="1064" t="e">
        <f>IF(ISBLANK(Récap1!#REF!),"",Récap1!#REF!)</f>
        <v>#REF!</v>
      </c>
      <c r="DA55" s="1064" t="e">
        <f>IF(ISBLANK(Récap1!#REF!),"",Récap1!#REF!)</f>
        <v>#REF!</v>
      </c>
      <c r="DB55" s="1064" t="e">
        <f>IF(ISBLANK(Récap1!#REF!),"",Récap1!#REF!)</f>
        <v>#REF!</v>
      </c>
      <c r="DC55" s="1496">
        <f>IF(ISBLANK('HCT2'!AS55),"",'HCT2'!AS55)</f>
        <v>15650.65733469402</v>
      </c>
      <c r="DD55" s="1064">
        <f>IF(ISBLANK('HCT2'!AT55),"",'HCT2'!AT55)</f>
        <v>36833.306400522888</v>
      </c>
      <c r="DE55" s="1064" t="str">
        <f>IF(ISBLANK('HCT2'!AU55),"",'HCT2'!AU55)</f>
        <v>PVL</v>
      </c>
      <c r="DF55" s="1064" t="str">
        <f>IF(ISBLANK('HCT2'!AV55),"",'HCT2'!AV55)</f>
        <v>PVL</v>
      </c>
      <c r="DG55" s="1064" t="str">
        <f>IF(ISBLANK('HCT2'!AW55),"",'HCT2'!AW55)</f>
        <v/>
      </c>
      <c r="DH55" s="1064" t="str">
        <f>IF(ISBLANK('HCT2'!AX55),"",'HCT2'!AX55)</f>
        <v/>
      </c>
      <c r="DI55" s="1064" t="str">
        <f>IF(ISBLANK('HCT2'!AY55),"",'HCT2'!AY55)</f>
        <v/>
      </c>
      <c r="DJ55" s="1497">
        <f>IF(ISBLANK('HCT2'!AZ55),"",'HCT2'!AZ55)</f>
        <v>6120.9360179461446</v>
      </c>
      <c r="DK55" s="1064">
        <f>IF(ISBLANK('HCT2'!BA55),"",'HCT2'!BA55)</f>
        <v>5595.1819579272942</v>
      </c>
      <c r="DL55" s="1064" t="str">
        <f>IF(ISBLANK('HCT2'!BB55),"",'HCT2'!BB55)</f>
        <v>PVL</v>
      </c>
      <c r="DM55" s="1498" t="str">
        <f>IF(ISBLANK('HCT2'!BC55),"",'HCT2'!BC55)</f>
        <v>PVL</v>
      </c>
      <c r="DN55" s="1499">
        <f>IF(ISBLANK('HCT2'!BD55),"",'HCT2'!BD55)</f>
        <v>5595.1819579272942</v>
      </c>
      <c r="DO55" s="1475">
        <f>IF(ISBLANK('HCT2'!BE55),"",'HCT2'!BE55)</f>
        <v>0.68160323968664671</v>
      </c>
      <c r="DP55" s="1500">
        <f>IF(ISBLANK('HCT2'!BF55),"",'HCT2'!BF55)</f>
        <v>9300.4786263311271</v>
      </c>
      <c r="DQ55" s="920">
        <f t="shared" si="0"/>
        <v>8319.4157367969401</v>
      </c>
      <c r="DS55" s="113">
        <f t="shared" si="1"/>
        <v>4816.2877828625287</v>
      </c>
      <c r="DT55" s="113">
        <f t="shared" si="1"/>
        <v>4909.7246633872473</v>
      </c>
      <c r="DU55" s="113">
        <f t="shared" si="2"/>
        <v>517.20352740438614</v>
      </c>
      <c r="DV55" s="872">
        <f t="shared" si="2"/>
        <v>1414.0037717997884</v>
      </c>
      <c r="DW55" s="113">
        <f t="shared" si="2"/>
        <v>4925.2325905439211</v>
      </c>
      <c r="DX55" s="113">
        <f t="shared" si="2"/>
        <v>1812.3831770734471</v>
      </c>
      <c r="DY55" s="113">
        <f t="shared" si="2"/>
        <v>167.79619737978226</v>
      </c>
    </row>
    <row r="56" spans="1:129" s="1009" customFormat="1" hidden="1">
      <c r="A56" s="701"/>
      <c r="B56" s="1000"/>
      <c r="C56" s="1012"/>
      <c r="D56" s="791"/>
      <c r="E56" s="1002" t="str">
        <f>IF(ISBLANK(Récap1!E56),"",Récap1!E56)</f>
        <v>Teneur limite sol</v>
      </c>
      <c r="F56" s="1013" t="str">
        <f>IF(ISBLANK(Récap1!F56),"",Récap1!F56)</f>
        <v>Cs</v>
      </c>
      <c r="G56" s="760" t="str">
        <f>IF(ISBLANK(Récap1!G56),"",Récap1!G56)</f>
        <v>mg/kg ms</v>
      </c>
      <c r="H56" s="1014">
        <f>IF(ISBLANK(Récap1!H56),"",Récap1!H56)</f>
        <v>5181.2716774705141</v>
      </c>
      <c r="I56" s="1015">
        <f>IF(ISBLANK(Récap1!I56),"",Récap1!I56)</f>
        <v>5181.2716774705141</v>
      </c>
      <c r="J56" s="1307">
        <f>IF(ISBLANK(Récap1!J56),"",Récap1!J56)</f>
        <v>38758.586675549173</v>
      </c>
      <c r="K56" s="1306">
        <f>IF(ISBLANK(Récap1!K56),"",Récap1!K56)</f>
        <v>14.649905454545456</v>
      </c>
      <c r="L56" s="1307">
        <f>IF(ISBLANK(Récap1!L56),"",Récap1!L56)</f>
        <v>20.075395790853964</v>
      </c>
      <c r="M56" s="1307">
        <f>IF(ISBLANK(Récap1!M56),"",Récap1!M56)</f>
        <v>20.075395790853964</v>
      </c>
      <c r="N56" s="1307">
        <f>IF(ISBLANK(Récap1!N56),"",Récap1!N56)</f>
        <v>45.780954545454541</v>
      </c>
      <c r="O56" s="1307">
        <f>IF(ISBLANK(Récap1!O56),"",Récap1!O56)</f>
        <v>45.780954545454541</v>
      </c>
      <c r="P56" s="1307">
        <f>IF(ISBLANK(Récap1!P56),"",Récap1!P56)</f>
        <v>9.1561909090909115</v>
      </c>
      <c r="Q56" s="1307">
        <f>IF(ISBLANK(Récap1!Q56),"",Récap1!Q56)</f>
        <v>9.1561909090909115</v>
      </c>
      <c r="R56" s="1307">
        <f>IF(ISBLANK(Récap1!R56),"",Récap1!R56)</f>
        <v>91.561909090909097</v>
      </c>
      <c r="S56" s="1307">
        <f>IF(ISBLANK(Récap1!S56),"",Récap1!S56)</f>
        <v>3.9809525691699599</v>
      </c>
      <c r="T56" s="1307">
        <f>IF(ISBLANK(Récap1!T56),"",Récap1!T56)</f>
        <v>3.9809525691699599</v>
      </c>
      <c r="U56" s="1307">
        <f>IF(ISBLANK(Récap1!U56),"",Récap1!U56)</f>
        <v>2.1800454545454544</v>
      </c>
      <c r="V56" s="1440">
        <f>IF(ISBLANK(Récap1!V56),"",Récap1!V56)</f>
        <v>261.60545454545451</v>
      </c>
      <c r="W56" s="1307">
        <f>IF(ISBLANK(Récap1!W56),"",Récap1!W56)</f>
        <v>261.60545454545451</v>
      </c>
      <c r="X56" s="1307">
        <f>IF(ISBLANK(Récap1!X56),"",Récap1!X56)</f>
        <v>2.7474192261642125</v>
      </c>
      <c r="Y56" s="1307">
        <f>IF(ISBLANK(Récap1!Y56),"",Récap1!Y56)</f>
        <v>96.184299750885145</v>
      </c>
      <c r="Z56" s="1307">
        <f>IF(ISBLANK(Récap1!Z56),"",Récap1!Z56)</f>
        <v>36.624763636363639</v>
      </c>
      <c r="AA56" s="1308" t="str">
        <f>IF(ISBLANK(Récap1!AA56),"",Récap1!AA56)</f>
        <v>PVL</v>
      </c>
      <c r="AB56" s="1307" t="str">
        <f>IF(ISBLANK(Récap1!AB56),"",Récap1!AB56)</f>
        <v>PVL</v>
      </c>
      <c r="AC56" s="1309" t="str">
        <f>IF(ISBLANK(Récap1!AC56),"",Récap1!AC56)</f>
        <v>PVL</v>
      </c>
      <c r="AD56" s="1307" t="str">
        <f>IF(ISBLANK(Récap1!AD56),"",Récap1!AD56)</f>
        <v>PVL</v>
      </c>
      <c r="AE56" s="1307" t="str">
        <f>IF(ISBLANK(Récap1!AE56),"",Récap1!AE56)</f>
        <v>PVL</v>
      </c>
      <c r="AF56" s="1310" t="str">
        <f>IF(ISBLANK(Récap1!AF56),"",Récap1!AF56)</f>
        <v>PVL</v>
      </c>
      <c r="AG56" s="1307" t="str">
        <f>IF(ISBLANK(Récap1!AG56),"",Récap1!AG56)</f>
        <v>PVL</v>
      </c>
      <c r="AH56" s="1307" t="str">
        <f>IF(ISBLANK(Récap1!AH56),"",Récap1!AH56)</f>
        <v>PVL</v>
      </c>
      <c r="AI56" s="1307" t="str">
        <f>IF(ISBLANK(Récap1!AI56),"",Récap1!AI56)</f>
        <v>PVL</v>
      </c>
      <c r="AJ56" s="1309" t="str">
        <f>IF(ISBLANK(Récap1!AJ56),"",Récap1!AJ56)</f>
        <v>PVL</v>
      </c>
      <c r="AK56" s="1307" t="str">
        <f>IF(ISBLANK(Récap1!AK56),"",Récap1!AK56)</f>
        <v>PVL</v>
      </c>
      <c r="AL56" s="1307" t="str">
        <f>IF(ISBLANK(Récap1!AL56),"",Récap1!AL56)</f>
        <v>PVL</v>
      </c>
      <c r="AM56" s="1307" t="str">
        <f>IF(ISBLANK(Récap1!AM56),"",Récap1!AM56)</f>
        <v>PVL</v>
      </c>
      <c r="AN56" s="1306">
        <f>IF(ISBLANK(Récap1!AN56),"",Récap1!AN56)</f>
        <v>13.289972817113433</v>
      </c>
      <c r="AO56" s="1307" t="str">
        <f>IF(ISBLANK(Récap1!AO56),"",Récap1!AO56)</f>
        <v>PVL</v>
      </c>
      <c r="AP56" s="1307" t="str">
        <f>IF(ISBLANK(Récap1!AP56),"",Récap1!AP56)</f>
        <v>PVL</v>
      </c>
      <c r="AQ56" s="1307" t="str">
        <f>IF(ISBLANK(Récap1!AQ56),"",Récap1!AQ56)</f>
        <v>PVL</v>
      </c>
      <c r="AR56" s="1307" t="str">
        <f>IF(ISBLANK(Récap1!AR56),"",Récap1!AR56)</f>
        <v>PVL</v>
      </c>
      <c r="AS56" s="1307" t="str">
        <f>IF(ISBLANK(Récap1!AS56),"",Récap1!AS56)</f>
        <v>PVL</v>
      </c>
      <c r="AT56" s="1307" t="str">
        <f>IF(ISBLANK(Récap1!AT56),"",Récap1!AT56)</f>
        <v>PVL</v>
      </c>
      <c r="AU56" s="1307" t="str">
        <f>IF(ISBLANK(Récap1!AU56),"",Récap1!AU56)</f>
        <v>PVL</v>
      </c>
      <c r="AV56" s="1307" t="str">
        <f>IF(ISBLANK(Récap1!AV56),"",Récap1!AV56)</f>
        <v>PVL</v>
      </c>
      <c r="AW56" s="1307" t="str">
        <f>IF(ISBLANK(Récap1!AW56),"",Récap1!AW56)</f>
        <v>PVL</v>
      </c>
      <c r="AX56" s="1307" t="str">
        <f>IF(ISBLANK(Récap1!AX56),"",Récap1!AX56)</f>
        <v>PVL</v>
      </c>
      <c r="AY56" s="1307" t="str">
        <f>IF(ISBLANK(Récap1!AY56),"",Récap1!AY56)</f>
        <v>PVL</v>
      </c>
      <c r="AZ56" s="1307" t="str">
        <f>IF(ISBLANK(Récap1!AZ56),"",Récap1!AZ56)</f>
        <v>PVL</v>
      </c>
      <c r="BA56" s="1307" t="str">
        <f>IF(ISBLANK(Récap1!BA56),"",Récap1!BA56)</f>
        <v>PVL</v>
      </c>
      <c r="BB56" s="1307" t="str">
        <f>IF(ISBLANK(Récap1!BB56),"",Récap1!BB56)</f>
        <v>PVL</v>
      </c>
      <c r="BC56" s="1308" t="str">
        <f>IF(ISBLANK(Récap1!BC56),"",Récap1!BC56)</f>
        <v>PVL</v>
      </c>
      <c r="BD56" s="1470">
        <f>IF(ISBLANK(Récap1!BD56),"",Récap1!BD56)</f>
        <v>1462.1351057555348</v>
      </c>
      <c r="BE56" s="1307" t="str">
        <f>IF(ISBLANK(Récap1!BE56),"",Récap1!BE56)</f>
        <v>PVL</v>
      </c>
      <c r="BF56" s="1307" t="str">
        <f>IF(ISBLANK(Récap1!BF56),"",Récap1!BF56)</f>
        <v>PVL</v>
      </c>
      <c r="BG56" s="1307">
        <f>IF(ISBLANK(Récap1!BG56),"",Récap1!BG56)</f>
        <v>7.8481636363636371E-3</v>
      </c>
      <c r="BH56" s="1311">
        <f>IF(ISBLANK(Récap1!BH56),"",Récap1!BH56)</f>
        <v>32.570190666935673</v>
      </c>
      <c r="BI56" s="1307">
        <f>IF(ISBLANK(Récap1!BI56),"",Récap1!BI56)</f>
        <v>15.176458616958138</v>
      </c>
      <c r="BJ56" s="1312" t="e">
        <f>IF(ISBLANK(Récap1!#REF!),"",Récap1!#REF!)</f>
        <v>#REF!</v>
      </c>
      <c r="BK56" s="1312" t="e">
        <f>IF(ISBLANK(Récap1!#REF!),"",Récap1!#REF!)</f>
        <v>#REF!</v>
      </c>
      <c r="BL56" s="1307">
        <f>IF(ISBLANK('HCT2'!H56),"",'HCT2'!H56)</f>
        <v>2.7474192261642125</v>
      </c>
      <c r="BM56" s="1307">
        <f>IF(ISBLANK('HCT2'!I56),"",'HCT2'!I56)</f>
        <v>96.184299750885145</v>
      </c>
      <c r="BN56" s="1307">
        <f>IF(ISBLANK('HCT2'!J56),"",'HCT2'!J56)</f>
        <v>36.624763636363639</v>
      </c>
      <c r="BO56" s="1308" t="str">
        <f>IF(ISBLANK('HCT2'!K56),"",'HCT2'!K56)</f>
        <v>PVL</v>
      </c>
      <c r="BP56" s="1307">
        <f>IF(ISBLANK('HCT2'!L56),"",'HCT2'!L56)</f>
        <v>126.0299739206294</v>
      </c>
      <c r="BQ56" s="1309">
        <f>IF(ISBLANK('HCT2'!M56),"",'HCT2'!M56)</f>
        <v>16.647114731636385</v>
      </c>
      <c r="BR56" s="1307">
        <f>IF(ISBLANK('HCT2'!N56),"",'HCT2'!N56)</f>
        <v>29.607831275940278</v>
      </c>
      <c r="BS56" s="1307">
        <f>IF(ISBLANK('HCT2'!O56),"",'HCT2'!O56)</f>
        <v>2.8113591099482775</v>
      </c>
      <c r="BT56" s="1310">
        <f>IF(ISBLANK('HCT2'!P56),"",'HCT2'!P56)</f>
        <v>1.9322992500812663E-2</v>
      </c>
      <c r="BU56" s="1307">
        <f>IF(ISBLANK('HCT2'!Q56),"",'HCT2'!Q56)</f>
        <v>239.74624142696982</v>
      </c>
      <c r="BV56" s="1307">
        <f>IF(ISBLANK('HCT2'!R56),"",'HCT2'!R56)</f>
        <v>185.34310126470973</v>
      </c>
      <c r="BW56" s="1307">
        <f>IF(ISBLANK('HCT2'!S56),"",'HCT2'!S56)</f>
        <v>50.015600437773628</v>
      </c>
      <c r="BX56" s="1309">
        <f>IF(ISBLANK('HCT2'!T56),"",'HCT2'!T56)</f>
        <v>11.444976489768178</v>
      </c>
      <c r="BY56" s="1307">
        <f>IF(ISBLANK('HCT2'!U56),"",'HCT2'!U56)</f>
        <v>37.395520537930352</v>
      </c>
      <c r="BZ56" s="1307">
        <f>IF(ISBLANK('HCT2'!V56),"",'HCT2'!V56)</f>
        <v>23.870560393342576</v>
      </c>
      <c r="CA56" s="1307">
        <f>IF(ISBLANK('HCT2'!W56),"",'HCT2'!W56)</f>
        <v>2.5113679373767974</v>
      </c>
      <c r="CB56" s="1312" t="str">
        <f>IF(ISBLANK('HCT2'!X56),"",'HCT2'!X56)</f>
        <v/>
      </c>
      <c r="CC56" s="1313">
        <f>IF(ISBLANK('HCT2'!Y56),"",'HCT2'!Y56)</f>
        <v>239.85055862379866</v>
      </c>
      <c r="CD56" s="1314">
        <f>IF(ISBLANK('HCT2'!Z56),"",'HCT2'!Z56)</f>
        <v>705.39936381158907</v>
      </c>
      <c r="CE56" s="1312" t="str">
        <f>IF(ISBLANK('HCT2'!AA56),"",'HCT2'!AA56)</f>
        <v/>
      </c>
      <c r="CF56" s="1312" t="str">
        <f>IF(ISBLANK('HCT2'!AB56),"",'HCT2'!AB56)</f>
        <v/>
      </c>
      <c r="CG56" s="1315" t="str">
        <f>IF(ISBLANK('HCT2'!AC56),"",'HCT2'!AC56)</f>
        <v>PVL</v>
      </c>
      <c r="CH56" s="1312" t="str">
        <f>IF(ISBLANK('HCT2'!AD56),"",'HCT2'!AD56)</f>
        <v/>
      </c>
      <c r="CI56" s="1312" t="str">
        <f>IF(ISBLANK('HCT2'!AE56),"",'HCT2'!AE56)</f>
        <v/>
      </c>
      <c r="CJ56" s="1312" t="str">
        <f>IF(ISBLANK('HCT2'!AF56),"",'HCT2'!AF56)</f>
        <v/>
      </c>
      <c r="CK56" s="1316" t="str">
        <f>IF(ISBLANK('HCT2'!AG56),"",'HCT2'!AG56)</f>
        <v/>
      </c>
      <c r="CL56" s="1312" t="str">
        <f>IF(ISBLANK('HCT2'!AH56),"",'HCT2'!AH56)</f>
        <v>PVL</v>
      </c>
      <c r="CM56" s="1312" t="str">
        <f>IF(ISBLANK('HCT2'!AI56),"",'HCT2'!AI56)</f>
        <v>PVL</v>
      </c>
      <c r="CN56" s="1316" t="str">
        <f>IF(ISBLANK('HCT2'!AJ56),"",'HCT2'!AJ56)</f>
        <v>PVL</v>
      </c>
      <c r="CO56" s="1312" t="str">
        <f>IF(ISBLANK('HCT2'!AK56),"",'HCT2'!AK56)</f>
        <v/>
      </c>
      <c r="CP56" s="1312" t="str">
        <f>IF(ISBLANK('HCT2'!AL56),"",'HCT2'!AL56)</f>
        <v/>
      </c>
      <c r="CQ56" s="1312" t="str">
        <f>IF(ISBLANK('HCT2'!AM56),"",'HCT2'!AM56)</f>
        <v/>
      </c>
      <c r="CR56" s="1317" t="str">
        <f>IF(ISBLANK('HCT2'!AN56),"",'HCT2'!AN56)</f>
        <v/>
      </c>
      <c r="CS56" s="1318">
        <f>IF(ISBLANK('HCT2'!AO56),"",'HCT2'!AO56)</f>
        <v>705.39936381158907</v>
      </c>
      <c r="CT56" s="1174">
        <f>IF(ISBLANK('HCT2'!AP56),"",'HCT2'!AP56)</f>
        <v>0.14780910234752553</v>
      </c>
      <c r="CU56" s="1156">
        <f>IF(ISBLANK('HCT2'!AQ56),"",'HCT2'!AQ56)</f>
        <v>669.32088353018514</v>
      </c>
      <c r="CV56" s="1533">
        <f>IF(ISBLANK('HCT2'!AR56),"",'HCT2'!AR56)</f>
        <v>700.06663602713195</v>
      </c>
      <c r="CW56" s="1534" t="e">
        <f>IF(ISBLANK(Récap1!#REF!),"",Récap1!#REF!)</f>
        <v>#REF!</v>
      </c>
      <c r="CX56" s="1534" t="e">
        <f>IF(ISBLANK(Récap1!#REF!),"",Récap1!#REF!)</f>
        <v>#REF!</v>
      </c>
      <c r="CY56" s="1535" t="e">
        <f>IF(ISBLANK(Récap1!#REF!),"",Récap1!#REF!)</f>
        <v>#REF!</v>
      </c>
      <c r="CZ56" s="1535" t="e">
        <f>IF(ISBLANK(Récap1!#REF!),"",Récap1!#REF!)</f>
        <v>#REF!</v>
      </c>
      <c r="DA56" s="1535" t="e">
        <f>IF(ISBLANK(Récap1!#REF!),"",Récap1!#REF!)</f>
        <v>#REF!</v>
      </c>
      <c r="DB56" s="1535" t="e">
        <f>IF(ISBLANK(Récap1!#REF!),"",Récap1!#REF!)</f>
        <v>#REF!</v>
      </c>
      <c r="DC56" s="1534" t="str">
        <f>IF(ISBLANK('HCT2'!AS56),"",'HCT2'!AS56)</f>
        <v>PVL</v>
      </c>
      <c r="DD56" s="1535" t="str">
        <f>IF(ISBLANK('HCT2'!AT56),"",'HCT2'!AT56)</f>
        <v>PVL</v>
      </c>
      <c r="DE56" s="1535" t="str">
        <f>IF(ISBLANK('HCT2'!AU56),"",'HCT2'!AU56)</f>
        <v>PVL</v>
      </c>
      <c r="DF56" s="1535" t="str">
        <f>IF(ISBLANK('HCT2'!AV56),"",'HCT2'!AV56)</f>
        <v>PVL</v>
      </c>
      <c r="DG56" s="1535" t="str">
        <f>IF(ISBLANK('HCT2'!AW56),"",'HCT2'!AW56)</f>
        <v/>
      </c>
      <c r="DH56" s="1535" t="str">
        <f>IF(ISBLANK('HCT2'!AX56),"",'HCT2'!AX56)</f>
        <v/>
      </c>
      <c r="DI56" s="1535" t="str">
        <f>IF(ISBLANK('HCT2'!AY56),"",'HCT2'!AY56)</f>
        <v/>
      </c>
      <c r="DJ56" s="1536" t="str">
        <f>IF(ISBLANK('HCT2'!AZ56),"",'HCT2'!AZ56)</f>
        <v>PVL</v>
      </c>
      <c r="DK56" s="1535" t="str">
        <f>IF(ISBLANK('HCT2'!BA56),"",'HCT2'!BA56)</f>
        <v>PVL</v>
      </c>
      <c r="DL56" s="1535" t="str">
        <f>IF(ISBLANK('HCT2'!BB56),"",'HCT2'!BB56)</f>
        <v>PVL</v>
      </c>
      <c r="DM56" s="1537" t="str">
        <f>IF(ISBLANK('HCT2'!BC56),"",'HCT2'!BC56)</f>
        <v>PVL</v>
      </c>
      <c r="DN56" s="1535" t="str">
        <f>IF(ISBLANK('HCT2'!BD56),"",'HCT2'!BD56)</f>
        <v>PVL</v>
      </c>
      <c r="DO56" s="1475">
        <f>IF(ISBLANK('HCT2'!BE56),"",'HCT2'!BE56)</f>
        <v>0</v>
      </c>
      <c r="DP56" s="1537" t="str">
        <f>IF(ISBLANK('HCT2'!BF56),"",'HCT2'!BF56)</f>
        <v>PVL</v>
      </c>
      <c r="DQ56" s="790">
        <f t="shared" si="0"/>
        <v>124.30805346844366</v>
      </c>
      <c r="DS56" s="1015">
        <f t="shared" si="1"/>
        <v>242.49366065313404</v>
      </c>
      <c r="DT56" s="1015">
        <f t="shared" si="1"/>
        <v>281.52740101559488</v>
      </c>
      <c r="DU56" s="1015">
        <f t="shared" si="2"/>
        <v>176.04557435840303</v>
      </c>
      <c r="DV56" s="1017">
        <f t="shared" si="2"/>
        <v>28.092091221404566</v>
      </c>
      <c r="DW56" s="1015">
        <f t="shared" si="2"/>
        <v>67.003351813870637</v>
      </c>
      <c r="DX56" s="1015">
        <f t="shared" si="2"/>
        <v>26.681919503290853</v>
      </c>
      <c r="DY56" s="1015">
        <f t="shared" si="2"/>
        <v>2.5306909298776099</v>
      </c>
    </row>
    <row r="57" spans="1:129" s="742" customFormat="1" hidden="1">
      <c r="A57" s="732"/>
      <c r="B57" s="733"/>
      <c r="C57" s="65"/>
      <c r="D57" s="785"/>
      <c r="E57" s="736" t="str">
        <f>IF(ISBLANK(Récap1!E57),"",Récap1!E57)</f>
        <v>Equivalent air du sol</v>
      </c>
      <c r="F57" s="737" t="str">
        <f>IF(ISBLANK(Récap1!F57),"",Récap1!F57)</f>
        <v>Csao</v>
      </c>
      <c r="G57" s="738" t="str">
        <f>IF(ISBLANK(Récap1!G57),"",Récap1!G57)</f>
        <v>mg/m3</v>
      </c>
      <c r="H57" s="739">
        <f>IF(ISBLANK(Récap1!H57),"",Récap1!H57)</f>
        <v>13650.016449233179</v>
      </c>
      <c r="I57" s="740">
        <f>IF(ISBLANK(Récap1!I57),"",Récap1!I57)</f>
        <v>13650.016449233179</v>
      </c>
      <c r="J57" s="1177">
        <f>IF(ISBLANK(Récap1!J57),"",Récap1!J57)</f>
        <v>670316.77903774451</v>
      </c>
      <c r="K57" s="1176">
        <f>IF(ISBLANK(Récap1!K57),"",Récap1!K57)</f>
        <v>56450.681890396372</v>
      </c>
      <c r="L57" s="1177">
        <f>IF(ISBLANK(Récap1!L57),"",Récap1!L57)</f>
        <v>14463.095390339229</v>
      </c>
      <c r="M57" s="1177">
        <f>IF(ISBLANK(Récap1!M57),"",Récap1!M57)</f>
        <v>14463.095390339229</v>
      </c>
      <c r="N57" s="1177">
        <f>IF(ISBLANK(Récap1!N57),"",Récap1!N57)</f>
        <v>65051.551562152286</v>
      </c>
      <c r="O57" s="1177">
        <f>IF(ISBLANK(Récap1!O57),"",Récap1!O57)</f>
        <v>65051.551562152286</v>
      </c>
      <c r="P57" s="1177">
        <f>IF(ISBLANK(Récap1!P57),"",Récap1!P57)</f>
        <v>14203.890281984883</v>
      </c>
      <c r="Q57" s="1177">
        <f>IF(ISBLANK(Récap1!Q57),"",Récap1!Q57)</f>
        <v>14203.890281984883</v>
      </c>
      <c r="R57" s="1177">
        <f>IF(ISBLANK(Récap1!R57),"",Récap1!R57)</f>
        <v>57095.741629831115</v>
      </c>
      <c r="S57" s="1177">
        <f>IF(ISBLANK(Récap1!S57),"",Récap1!S57)</f>
        <v>2328.9496685225176</v>
      </c>
      <c r="T57" s="1177">
        <f>IF(ISBLANK(Récap1!T57),"",Récap1!T57)</f>
        <v>2328.9496685225176</v>
      </c>
      <c r="U57" s="1177">
        <f>IF(ISBLANK(Récap1!U57),"",Récap1!U57)</f>
        <v>6004.4201216823349</v>
      </c>
      <c r="V57" s="1434">
        <f>IF(ISBLANK(Récap1!V57),"",Récap1!V57)</f>
        <v>1179365.3413826337</v>
      </c>
      <c r="W57" s="1177">
        <f>IF(ISBLANK(Récap1!W57),"",Récap1!W57)</f>
        <v>1179365.3413826337</v>
      </c>
      <c r="X57" s="1177">
        <f>IF(ISBLANK(Récap1!X57),"",Récap1!X57)</f>
        <v>2376.1237053616665</v>
      </c>
      <c r="Y57" s="1177">
        <f>IF(ISBLANK(Récap1!Y57),"",Récap1!Y57)</f>
        <v>57652.542026547257</v>
      </c>
      <c r="Z57" s="1177">
        <f>IF(ISBLANK(Récap1!Z57),"",Récap1!Z57)</f>
        <v>13000.799391486573</v>
      </c>
      <c r="AA57" s="1178" t="str">
        <f>IF(ISBLANK(Récap1!AA57),"",Récap1!AA57)</f>
        <v>PVL</v>
      </c>
      <c r="AB57" s="1177" t="str">
        <f>IF(ISBLANK(Récap1!AB57),"",Récap1!AB57)</f>
        <v>PVL</v>
      </c>
      <c r="AC57" s="1179" t="str">
        <f>IF(ISBLANK(Récap1!AC57),"",Récap1!AC57)</f>
        <v>PVL</v>
      </c>
      <c r="AD57" s="1177" t="str">
        <f>IF(ISBLANK(Récap1!AD57),"",Récap1!AD57)</f>
        <v>PVL</v>
      </c>
      <c r="AE57" s="1177" t="str">
        <f>IF(ISBLANK(Récap1!AE57),"",Récap1!AE57)</f>
        <v>PVL</v>
      </c>
      <c r="AF57" s="1180" t="str">
        <f>IF(ISBLANK(Récap1!AF57),"",Récap1!AF57)</f>
        <v>PVL</v>
      </c>
      <c r="AG57" s="1177" t="str">
        <f>IF(ISBLANK(Récap1!AG57),"",Récap1!AG57)</f>
        <v>PVL</v>
      </c>
      <c r="AH57" s="1177" t="str">
        <f>IF(ISBLANK(Récap1!AH57),"",Récap1!AH57)</f>
        <v>PVL</v>
      </c>
      <c r="AI57" s="1177" t="str">
        <f>IF(ISBLANK(Récap1!AI57),"",Récap1!AI57)</f>
        <v>PVL</v>
      </c>
      <c r="AJ57" s="1179" t="str">
        <f>IF(ISBLANK(Récap1!AJ57),"",Récap1!AJ57)</f>
        <v>PVL</v>
      </c>
      <c r="AK57" s="1177" t="str">
        <f>IF(ISBLANK(Récap1!AK57),"",Récap1!AK57)</f>
        <v>PVL</v>
      </c>
      <c r="AL57" s="1177" t="str">
        <f>IF(ISBLANK(Récap1!AL57),"",Récap1!AL57)</f>
        <v>PVL</v>
      </c>
      <c r="AM57" s="1177" t="str">
        <f>IF(ISBLANK(Récap1!AM57),"",Récap1!AM57)</f>
        <v>PVL</v>
      </c>
      <c r="AN57" s="1176">
        <f>IF(ISBLANK(Récap1!AN57),"",Récap1!AN57)</f>
        <v>56.808075042677736</v>
      </c>
      <c r="AO57" s="1177" t="str">
        <f>IF(ISBLANK(Récap1!AO57),"",Récap1!AO57)</f>
        <v>PVL</v>
      </c>
      <c r="AP57" s="1177" t="str">
        <f>IF(ISBLANK(Récap1!AP57),"",Récap1!AP57)</f>
        <v>PVL</v>
      </c>
      <c r="AQ57" s="1177" t="str">
        <f>IF(ISBLANK(Récap1!AQ57),"",Récap1!AQ57)</f>
        <v>PVL</v>
      </c>
      <c r="AR57" s="1177" t="str">
        <f>IF(ISBLANK(Récap1!AR57),"",Récap1!AR57)</f>
        <v>PVL</v>
      </c>
      <c r="AS57" s="1177" t="str">
        <f>IF(ISBLANK(Récap1!AS57),"",Récap1!AS57)</f>
        <v>PVL</v>
      </c>
      <c r="AT57" s="1177" t="str">
        <f>IF(ISBLANK(Récap1!AT57),"",Récap1!AT57)</f>
        <v>PVL</v>
      </c>
      <c r="AU57" s="1177" t="str">
        <f>IF(ISBLANK(Récap1!AU57),"",Récap1!AU57)</f>
        <v>PVL</v>
      </c>
      <c r="AV57" s="1177" t="str">
        <f>IF(ISBLANK(Récap1!AV57),"",Récap1!AV57)</f>
        <v>PVL</v>
      </c>
      <c r="AW57" s="1177" t="str">
        <f>IF(ISBLANK(Récap1!AW57),"",Récap1!AW57)</f>
        <v>PVL</v>
      </c>
      <c r="AX57" s="1177" t="str">
        <f>IF(ISBLANK(Récap1!AX57),"",Récap1!AX57)</f>
        <v>PVL</v>
      </c>
      <c r="AY57" s="1177" t="str">
        <f>IF(ISBLANK(Récap1!AY57),"",Récap1!AY57)</f>
        <v>PVL</v>
      </c>
      <c r="AZ57" s="1177" t="str">
        <f>IF(ISBLANK(Récap1!AZ57),"",Récap1!AZ57)</f>
        <v>PVL</v>
      </c>
      <c r="BA57" s="1177" t="str">
        <f>IF(ISBLANK(Récap1!BA57),"",Récap1!BA57)</f>
        <v>PVL</v>
      </c>
      <c r="BB57" s="1177" t="str">
        <f>IF(ISBLANK(Récap1!BB57),"",Récap1!BB57)</f>
        <v>PVL</v>
      </c>
      <c r="BC57" s="1178" t="str">
        <f>IF(ISBLANK(Récap1!BC57),"",Récap1!BC57)</f>
        <v>PVL</v>
      </c>
      <c r="BD57" s="1463">
        <f>IF(ISBLANK(Récap1!BD57),"",Récap1!BD57)</f>
        <v>136.77857846845268</v>
      </c>
      <c r="BE57" s="1177" t="str">
        <f>IF(ISBLANK(Récap1!BE57),"",Récap1!BE57)</f>
        <v>PVL</v>
      </c>
      <c r="BF57" s="1177" t="str">
        <f>IF(ISBLANK(Récap1!BF57),"",Récap1!BF57)</f>
        <v>PVL</v>
      </c>
      <c r="BG57" s="1177" t="str">
        <f>IF(ISBLANK(Récap1!BG57),"",Récap1!BG57)</f>
        <v>Saturation</v>
      </c>
      <c r="BH57" s="1181">
        <f>IF(ISBLANK(Récap1!BH57),"",Récap1!BH57)</f>
        <v>4.0516642578102608</v>
      </c>
      <c r="BI57" s="1177">
        <f>IF(ISBLANK(Récap1!BI57),"",Récap1!BI57)</f>
        <v>14.607544657894978</v>
      </c>
      <c r="BJ57" s="1182" t="e">
        <f>IF(ISBLANK(Récap1!#REF!),"",Récap1!#REF!)</f>
        <v>#REF!</v>
      </c>
      <c r="BK57" s="1182" t="e">
        <f>IF(ISBLANK(Récap1!#REF!),"",Récap1!#REF!)</f>
        <v>#REF!</v>
      </c>
      <c r="BL57" s="1177">
        <f>IF(ISBLANK('HCT2'!H57),"",'HCT2'!H57)</f>
        <v>2376.1237053616665</v>
      </c>
      <c r="BM57" s="1177">
        <f>IF(ISBLANK('HCT2'!I57),"",'HCT2'!I57)</f>
        <v>57652.542026547257</v>
      </c>
      <c r="BN57" s="1177">
        <f>IF(ISBLANK('HCT2'!J57),"",'HCT2'!J57)</f>
        <v>13000.799391486573</v>
      </c>
      <c r="BO57" s="1178" t="str">
        <f>IF(ISBLANK('HCT2'!K57),"",'HCT2'!K57)</f>
        <v>PVL</v>
      </c>
      <c r="BP57" s="1177">
        <f>IF(ISBLANK('HCT2'!L57),"",'HCT2'!L57)</f>
        <v>75541.937581105856</v>
      </c>
      <c r="BQ57" s="1179">
        <f>IF(ISBLANK('HCT2'!M57),"",'HCT2'!M57)</f>
        <v>9978.2239323064623</v>
      </c>
      <c r="BR57" s="1177">
        <f>IF(ISBLANK('HCT2'!N57),"",'HCT2'!N57)</f>
        <v>17746.8333332162</v>
      </c>
      <c r="BS57" s="1177">
        <f>IF(ISBLANK('HCT2'!O57),"",'HCT2'!O57)</f>
        <v>1685.1190855243294</v>
      </c>
      <c r="BT57" s="1180">
        <f>IF(ISBLANK('HCT2'!P57),"",'HCT2'!P57)</f>
        <v>11.582135963114997</v>
      </c>
      <c r="BU57" s="1177">
        <f>IF(ISBLANK('HCT2'!Q57),"",'HCT2'!Q57)</f>
        <v>143703.08143193531</v>
      </c>
      <c r="BV57" s="1177">
        <f>IF(ISBLANK('HCT2'!R57),"",'HCT2'!R57)</f>
        <v>111094.02431238211</v>
      </c>
      <c r="BW57" s="1177">
        <f>IF(ISBLANK('HCT2'!S57),"",'HCT2'!S57)</f>
        <v>29979.180736253205</v>
      </c>
      <c r="BX57" s="1179">
        <f>IF(ISBLANK('HCT2'!T57),"",'HCT2'!T57)</f>
        <v>6860.079969164959</v>
      </c>
      <c r="BY57" s="1177">
        <f>IF(ISBLANK('HCT2'!U57),"",'HCT2'!U57)</f>
        <v>22414.747781098242</v>
      </c>
      <c r="BZ57" s="1177">
        <f>IF(ISBLANK('HCT2'!V57),"",'HCT2'!V57)</f>
        <v>14307.932685882583</v>
      </c>
      <c r="CA57" s="1177">
        <f>IF(ISBLANK('HCT2'!W57),"",'HCT2'!W57)</f>
        <v>1505.3053973333804</v>
      </c>
      <c r="CB57" s="1182" t="str">
        <f>IF(ISBLANK('HCT2'!X57),"",'HCT2'!X57)</f>
        <v/>
      </c>
      <c r="CC57" s="1183">
        <f>IF(ISBLANK('HCT2'!Y57),"",'HCT2'!Y57)</f>
        <v>207436.34341014925</v>
      </c>
      <c r="CD57" s="1184">
        <f>IF(ISBLANK('HCT2'!Z57),"",'HCT2'!Z57)</f>
        <v>422813.97871561762</v>
      </c>
      <c r="CE57" s="1182" t="str">
        <f>IF(ISBLANK('HCT2'!AA57),"",'HCT2'!AA57)</f>
        <v/>
      </c>
      <c r="CF57" s="1182" t="str">
        <f>IF(ISBLANK('HCT2'!AB57),"",'HCT2'!AB57)</f>
        <v/>
      </c>
      <c r="CG57" s="1185" t="str">
        <f>IF(ISBLANK('HCT2'!AC57),"",'HCT2'!AC57)</f>
        <v>PVL</v>
      </c>
      <c r="CH57" s="1182" t="str">
        <f>IF(ISBLANK('HCT2'!AD57),"",'HCT2'!AD57)</f>
        <v/>
      </c>
      <c r="CI57" s="1182" t="str">
        <f>IF(ISBLANK('HCT2'!AE57),"",'HCT2'!AE57)</f>
        <v/>
      </c>
      <c r="CJ57" s="1182" t="str">
        <f>IF(ISBLANK('HCT2'!AF57),"",'HCT2'!AF57)</f>
        <v/>
      </c>
      <c r="CK57" s="1186" t="str">
        <f>IF(ISBLANK('HCT2'!AG57),"",'HCT2'!AG57)</f>
        <v/>
      </c>
      <c r="CL57" s="1182" t="str">
        <f>IF(ISBLANK('HCT2'!AH57),"",'HCT2'!AH57)</f>
        <v>PVL</v>
      </c>
      <c r="CM57" s="1182" t="str">
        <f>IF(ISBLANK('HCT2'!AI57),"",'HCT2'!AI57)</f>
        <v>PVL</v>
      </c>
      <c r="CN57" s="1186" t="str">
        <f>IF(ISBLANK('HCT2'!AJ57),"",'HCT2'!AJ57)</f>
        <v>PVL</v>
      </c>
      <c r="CO57" s="1182" t="str">
        <f>IF(ISBLANK('HCT2'!AK57),"",'HCT2'!AK57)</f>
        <v/>
      </c>
      <c r="CP57" s="1182" t="str">
        <f>IF(ISBLANK('HCT2'!AL57),"",'HCT2'!AL57)</f>
        <v/>
      </c>
      <c r="CQ57" s="1182" t="str">
        <f>IF(ISBLANK('HCT2'!AM57),"",'HCT2'!AM57)</f>
        <v/>
      </c>
      <c r="CR57" s="1187" t="str">
        <f>IF(ISBLANK('HCT2'!AN57),"",'HCT2'!AN57)</f>
        <v/>
      </c>
      <c r="CS57" s="1188">
        <f>IF(ISBLANK('HCT2'!AO57),"",'HCT2'!AO57)</f>
        <v>422813.97871561762</v>
      </c>
      <c r="CT57" s="1189">
        <f>IF(ISBLANK('HCT2'!AP57),"",'HCT2'!AP57)</f>
        <v>0.14780910234752553</v>
      </c>
      <c r="CU57" s="1149">
        <f>IF(ISBLANK('HCT2'!AQ57),"",'HCT2'!AQ57)</f>
        <v>406122.93003965908</v>
      </c>
      <c r="CV57" s="1476">
        <f>IF(ISBLANK('HCT2'!AR57),"",'HCT2'!AR57)</f>
        <v>420346.8897935854</v>
      </c>
      <c r="CW57" s="1477" t="e">
        <f>IF(ISBLANK(Récap1!#REF!),"",Récap1!#REF!)</f>
        <v>#REF!</v>
      </c>
      <c r="CX57" s="1477" t="e">
        <f>IF(ISBLANK(Récap1!#REF!),"",Récap1!#REF!)</f>
        <v>#REF!</v>
      </c>
      <c r="CY57" s="1478" t="e">
        <f>IF(ISBLANK(Récap1!#REF!),"",Récap1!#REF!)</f>
        <v>#REF!</v>
      </c>
      <c r="CZ57" s="1478" t="e">
        <f>IF(ISBLANK(Récap1!#REF!),"",Récap1!#REF!)</f>
        <v>#REF!</v>
      </c>
      <c r="DA57" s="1478" t="e">
        <f>IF(ISBLANK(Récap1!#REF!),"",Récap1!#REF!)</f>
        <v>#REF!</v>
      </c>
      <c r="DB57" s="1478" t="e">
        <f>IF(ISBLANK(Récap1!#REF!),"",Récap1!#REF!)</f>
        <v>#REF!</v>
      </c>
      <c r="DC57" s="1477" t="str">
        <f>IF(ISBLANK('HCT2'!AS57),"",'HCT2'!AS57)</f>
        <v>PVL</v>
      </c>
      <c r="DD57" s="1478" t="str">
        <f>IF(ISBLANK('HCT2'!AT57),"",'HCT2'!AT57)</f>
        <v>PVL</v>
      </c>
      <c r="DE57" s="1478" t="str">
        <f>IF(ISBLANK('HCT2'!AU57),"",'HCT2'!AU57)</f>
        <v>PVL</v>
      </c>
      <c r="DF57" s="1478" t="str">
        <f>IF(ISBLANK('HCT2'!AV57),"",'HCT2'!AV57)</f>
        <v>PVL</v>
      </c>
      <c r="DG57" s="1478" t="str">
        <f>IF(ISBLANK('HCT2'!AW57),"",'HCT2'!AW57)</f>
        <v/>
      </c>
      <c r="DH57" s="1478" t="str">
        <f>IF(ISBLANK('HCT2'!AX57),"",'HCT2'!AX57)</f>
        <v/>
      </c>
      <c r="DI57" s="1478" t="str">
        <f>IF(ISBLANK('HCT2'!AY57),"",'HCT2'!AY57)</f>
        <v/>
      </c>
      <c r="DJ57" s="1479" t="str">
        <f>IF(ISBLANK('HCT2'!AZ57),"",'HCT2'!AZ57)</f>
        <v>PVL</v>
      </c>
      <c r="DK57" s="1478" t="str">
        <f>IF(ISBLANK('HCT2'!BA57),"",'HCT2'!BA57)</f>
        <v>PVL</v>
      </c>
      <c r="DL57" s="1478" t="str">
        <f>IF(ISBLANK('HCT2'!BB57),"",'HCT2'!BB57)</f>
        <v>PVL</v>
      </c>
      <c r="DM57" s="1480" t="str">
        <f>IF(ISBLANK('HCT2'!BC57),"",'HCT2'!BC57)</f>
        <v>PVL</v>
      </c>
      <c r="DN57" s="1481" t="str">
        <f>IF(ISBLANK('HCT2'!BD57),"",'HCT2'!BD57)</f>
        <v>PVL</v>
      </c>
      <c r="DO57" s="1482">
        <f>IF(ISBLANK('HCT2'!BE57),"",'HCT2'!BE57)</f>
        <v>0</v>
      </c>
      <c r="DP57" s="1483" t="str">
        <f>IF(ISBLANK('HCT2'!BF57),"",'HCT2'!BF57)</f>
        <v>PVL</v>
      </c>
      <c r="DQ57" s="978">
        <f t="shared" si="0"/>
        <v>74509.824320489264</v>
      </c>
      <c r="DS57" s="740">
        <f t="shared" si="1"/>
        <v>146079.20513729699</v>
      </c>
      <c r="DT57" s="740">
        <f t="shared" si="1"/>
        <v>168746.56633892938</v>
      </c>
      <c r="DU57" s="740">
        <f t="shared" si="2"/>
        <v>105521.11831735907</v>
      </c>
      <c r="DV57" s="878">
        <f t="shared" si="2"/>
        <v>16838.303901471423</v>
      </c>
      <c r="DW57" s="740">
        <f t="shared" si="2"/>
        <v>40161.581114314438</v>
      </c>
      <c r="DX57" s="740">
        <f t="shared" si="2"/>
        <v>15993.051771406912</v>
      </c>
      <c r="DY57" s="740">
        <f t="shared" si="2"/>
        <v>1516.8875332964953</v>
      </c>
    </row>
    <row r="58" spans="1:129" s="782" customFormat="1" ht="13.5" hidden="1">
      <c r="A58" s="776"/>
      <c r="B58" s="245"/>
      <c r="C58" s="777"/>
      <c r="D58" s="787"/>
      <c r="E58" s="853" t="str">
        <f>IF(ISBLANK(Récap1!E58),"",Récap1!E58)</f>
        <v>Seuil pour détection olfactive air ambiant immédiate</v>
      </c>
      <c r="F58" s="779" t="str">
        <f>IF(ISBLANK(Récap1!F58),"",Récap1!F58)</f>
        <v>Cs</v>
      </c>
      <c r="G58" s="779" t="str">
        <f>IF(ISBLANK(Récap1!G58),"",Récap1!G58)</f>
        <v>mg/kg ms</v>
      </c>
      <c r="H58" s="780" t="str">
        <f>IF(ISBLANK(Récap1!H58),"",Récap1!H58)</f>
        <v>PVL</v>
      </c>
      <c r="I58" s="781" t="str">
        <f>IF(ISBLANK(Récap1!I58),"",Récap1!I58)</f>
        <v>PVL</v>
      </c>
      <c r="J58" s="1197" t="str">
        <f>IF(ISBLANK(Récap1!J58),"",Récap1!J58)</f>
        <v>PVL</v>
      </c>
      <c r="K58" s="1196">
        <f>IF(ISBLANK(Récap1!K58),"",Récap1!K58)</f>
        <v>178.24927251493804</v>
      </c>
      <c r="L58" s="1197" t="str">
        <f>IF(ISBLANK(Récap1!L58),"",Récap1!L58)</f>
        <v>PVL</v>
      </c>
      <c r="M58" s="1197" t="str">
        <f>IF(ISBLANK(Récap1!M58),"",Récap1!M58)</f>
        <v>PVL</v>
      </c>
      <c r="N58" s="1197" t="str">
        <f>IF(ISBLANK(Récap1!N58),"",Récap1!N58)</f>
        <v>PVL</v>
      </c>
      <c r="O58" s="1197" t="str">
        <f>IF(ISBLANK(Récap1!O58),"",Récap1!O58)</f>
        <v>PVL</v>
      </c>
      <c r="P58" s="1197" t="str">
        <f>IF(ISBLANK(Récap1!P58),"",Récap1!P58)</f>
        <v>PVL</v>
      </c>
      <c r="Q58" s="1197" t="str">
        <f>IF(ISBLANK(Récap1!Q58),"",Récap1!Q58)</f>
        <v>PVL</v>
      </c>
      <c r="R58" s="1197">
        <f>IF(ISBLANK(Récap1!R58),"",Récap1!R58)</f>
        <v>388.49385364068638</v>
      </c>
      <c r="S58" s="1197">
        <f>IF(ISBLANK(Récap1!S58),"",Récap1!S58)</f>
        <v>547.83221330391711</v>
      </c>
      <c r="T58" s="1197">
        <f>IF(ISBLANK(Récap1!T58),"",Récap1!T58)</f>
        <v>547.83221330391711</v>
      </c>
      <c r="U58" s="1197" t="str">
        <f>IF(ISBLANK(Récap1!U58),"",Récap1!U58)</f>
        <v>PVL</v>
      </c>
      <c r="V58" s="1435" t="str">
        <f>IF(ISBLANK(Récap1!V58),"",Récap1!V58)</f>
        <v>PVL</v>
      </c>
      <c r="W58" s="1197" t="str">
        <f>IF(ISBLANK(Récap1!W58),"",Récap1!W58)</f>
        <v>PVL</v>
      </c>
      <c r="X58" s="1197" t="str">
        <f>IF(ISBLANK(Récap1!X58),"",Récap1!X58)</f>
        <v>PVL</v>
      </c>
      <c r="Y58" s="1197" t="str">
        <f>IF(ISBLANK(Récap1!Y58),"",Récap1!Y58)</f>
        <v>PVL</v>
      </c>
      <c r="Z58" s="1197" t="str">
        <f>IF(ISBLANK(Récap1!Z58),"",Récap1!Z58)</f>
        <v>PVL</v>
      </c>
      <c r="AA58" s="646">
        <f>IF(ISBLANK(Récap1!AA58),"",Récap1!AA58)</f>
        <v>51.681819754531617</v>
      </c>
      <c r="AB58" s="1197" t="str">
        <f>IF(ISBLANK(Récap1!AB58),"",Récap1!AB58)</f>
        <v>PVL</v>
      </c>
      <c r="AC58" s="1198" t="str">
        <f>IF(ISBLANK(Récap1!AC58),"",Récap1!AC58)</f>
        <v>PVL</v>
      </c>
      <c r="AD58" s="1197" t="str">
        <f>IF(ISBLANK(Récap1!AD58),"",Récap1!AD58)</f>
        <v>PVL</v>
      </c>
      <c r="AE58" s="1197" t="str">
        <f>IF(ISBLANK(Récap1!AE58),"",Récap1!AE58)</f>
        <v>PVL</v>
      </c>
      <c r="AF58" s="1199" t="str">
        <f>IF(ISBLANK(Récap1!AF58),"",Récap1!AF58)</f>
        <v>PVL</v>
      </c>
      <c r="AG58" s="1197" t="str">
        <f>IF(ISBLANK(Récap1!AG58),"",Récap1!AG58)</f>
        <v>PVL</v>
      </c>
      <c r="AH58" s="1197" t="str">
        <f>IF(ISBLANK(Récap1!AH58),"",Récap1!AH58)</f>
        <v>PVL</v>
      </c>
      <c r="AI58" s="1197" t="str">
        <f>IF(ISBLANK(Récap1!AI58),"",Récap1!AI58)</f>
        <v>PVL</v>
      </c>
      <c r="AJ58" s="1198" t="str">
        <f>IF(ISBLANK(Récap1!AJ58),"",Récap1!AJ58)</f>
        <v>PVL</v>
      </c>
      <c r="AK58" s="1197" t="str">
        <f>IF(ISBLANK(Récap1!AK58),"",Récap1!AK58)</f>
        <v>PVL</v>
      </c>
      <c r="AL58" s="1197" t="str">
        <f>IF(ISBLANK(Récap1!AL58),"",Récap1!AL58)</f>
        <v>PVL</v>
      </c>
      <c r="AM58" s="1197" t="str">
        <f>IF(ISBLANK(Récap1!AM58),"",Récap1!AM58)</f>
        <v>PVL</v>
      </c>
      <c r="AN58" s="1196" t="str">
        <f>IF(ISBLANK(Récap1!AN58),"",Récap1!AN58)</f>
        <v>PVL</v>
      </c>
      <c r="AO58" s="1197" t="str">
        <f>IF(ISBLANK(Récap1!AO58),"",Récap1!AO58)</f>
        <v>PVL</v>
      </c>
      <c r="AP58" s="1197" t="str">
        <f>IF(ISBLANK(Récap1!AP58),"",Récap1!AP58)</f>
        <v>PVL</v>
      </c>
      <c r="AQ58" s="1197" t="str">
        <f>IF(ISBLANK(Récap1!AQ58),"",Récap1!AQ58)</f>
        <v>PVL</v>
      </c>
      <c r="AR58" s="1197" t="str">
        <f>IF(ISBLANK(Récap1!AR58),"",Récap1!AR58)</f>
        <v>PVL</v>
      </c>
      <c r="AS58" s="1197" t="str">
        <f>IF(ISBLANK(Récap1!AS58),"",Récap1!AS58)</f>
        <v>PVL</v>
      </c>
      <c r="AT58" s="1197" t="str">
        <f>IF(ISBLANK(Récap1!AT58),"",Récap1!AT58)</f>
        <v>PVL</v>
      </c>
      <c r="AU58" s="1197" t="str">
        <f>IF(ISBLANK(Récap1!AU58),"",Récap1!AU58)</f>
        <v>PVL</v>
      </c>
      <c r="AV58" s="1197" t="str">
        <f>IF(ISBLANK(Récap1!AV58),"",Récap1!AV58)</f>
        <v>PVL</v>
      </c>
      <c r="AW58" s="1197" t="str">
        <f>IF(ISBLANK(Récap1!AW58),"",Récap1!AW58)</f>
        <v>PVL</v>
      </c>
      <c r="AX58" s="1197" t="str">
        <f>IF(ISBLANK(Récap1!AX58),"",Récap1!AX58)</f>
        <v>PVL</v>
      </c>
      <c r="AY58" s="1197" t="str">
        <f>IF(ISBLANK(Récap1!AY58),"",Récap1!AY58)</f>
        <v>PVL</v>
      </c>
      <c r="AZ58" s="1197" t="str">
        <f>IF(ISBLANK(Récap1!AZ58),"",Récap1!AZ58)</f>
        <v>PVL</v>
      </c>
      <c r="BA58" s="1197" t="str">
        <f>IF(ISBLANK(Récap1!BA58),"",Récap1!BA58)</f>
        <v>PVL</v>
      </c>
      <c r="BB58" s="1197" t="str">
        <f>IF(ISBLANK(Récap1!BB58),"",Récap1!BB58)</f>
        <v>PVL</v>
      </c>
      <c r="BC58" s="646" t="str">
        <f>IF(ISBLANK(Récap1!BC58),"",Récap1!BC58)</f>
        <v>PVL</v>
      </c>
      <c r="BD58" s="1464">
        <f>IF(ISBLANK(Récap1!BD58),"",Récap1!BD58)</f>
        <v>11332.016466808936</v>
      </c>
      <c r="BE58" s="1197" t="str">
        <f>IF(ISBLANK(Récap1!BE58),"",Récap1!BE58)</f>
        <v>PVL</v>
      </c>
      <c r="BF58" s="1197" t="str">
        <f>IF(ISBLANK(Récap1!BF58),"",Récap1!BF58)</f>
        <v>PVL</v>
      </c>
      <c r="BG58" s="1197" t="str">
        <f>IF(ISBLANK(Récap1!BG58),"",Récap1!BG58)</f>
        <v>nd</v>
      </c>
      <c r="BH58" s="646" t="str">
        <f>IF(ISBLANK(Récap1!BH58),"",Récap1!BH58)</f>
        <v>PVL</v>
      </c>
      <c r="BI58" s="1197" t="str">
        <f>IF(ISBLANK(Récap1!BI58),"",Récap1!BI58)</f>
        <v>PVL</v>
      </c>
      <c r="BJ58" s="1200" t="e">
        <f>IF(ISBLANK(Récap1!#REF!),"",Récap1!#REF!)</f>
        <v>#REF!</v>
      </c>
      <c r="BK58" s="1200" t="e">
        <f>IF(ISBLANK(Récap1!#REF!),"",Récap1!#REF!)</f>
        <v>#REF!</v>
      </c>
      <c r="BL58" s="1197" t="str">
        <f>IF(ISBLANK('HCT2'!H58),"",'HCT2'!H58)</f>
        <v>PVL</v>
      </c>
      <c r="BM58" s="1197" t="str">
        <f>IF(ISBLANK('HCT2'!I58),"",'HCT2'!I58)</f>
        <v>PVL</v>
      </c>
      <c r="BN58" s="1197" t="str">
        <f>IF(ISBLANK('HCT2'!J58),"",'HCT2'!J58)</f>
        <v>PVL</v>
      </c>
      <c r="BO58" s="646">
        <f>IF(ISBLANK('HCT2'!K58),"",'HCT2'!K58)</f>
        <v>51.681819754531617</v>
      </c>
      <c r="BP58" s="1197" t="e">
        <f>IF(ISBLANK('HCT2'!L58),"",'HCT2'!L58)</f>
        <v>#VALUE!</v>
      </c>
      <c r="BQ58" s="1198" t="e">
        <f>IF(ISBLANK('HCT2'!M58),"",'HCT2'!M58)</f>
        <v>#VALUE!</v>
      </c>
      <c r="BR58" s="1197" t="e">
        <f>IF(ISBLANK('HCT2'!N58),"",'HCT2'!N58)</f>
        <v>#VALUE!</v>
      </c>
      <c r="BS58" s="1197" t="e">
        <f>IF(ISBLANK('HCT2'!O58),"",'HCT2'!O58)</f>
        <v>#VALUE!</v>
      </c>
      <c r="BT58" s="1199" t="e">
        <f>IF(ISBLANK('HCT2'!P58),"",'HCT2'!P58)</f>
        <v>#VALUE!</v>
      </c>
      <c r="BU58" s="1197" t="e">
        <f>IF(ISBLANK('HCT2'!Q58),"",'HCT2'!Q58)</f>
        <v>#VALUE!</v>
      </c>
      <c r="BV58" s="1197" t="e">
        <f>IF(ISBLANK('HCT2'!R58),"",'HCT2'!R58)</f>
        <v>#VALUE!</v>
      </c>
      <c r="BW58" s="1197" t="e">
        <f>IF(ISBLANK('HCT2'!S58),"",'HCT2'!S58)</f>
        <v>#VALUE!</v>
      </c>
      <c r="BX58" s="1198" t="e">
        <f>IF(ISBLANK('HCT2'!T58),"",'HCT2'!T58)</f>
        <v>#VALUE!</v>
      </c>
      <c r="BY58" s="1197" t="e">
        <f>IF(ISBLANK('HCT2'!U58),"",'HCT2'!U58)</f>
        <v>#VALUE!</v>
      </c>
      <c r="BZ58" s="1197" t="e">
        <f>IF(ISBLANK('HCT2'!V58),"",'HCT2'!V58)</f>
        <v>#VALUE!</v>
      </c>
      <c r="CA58" s="1197" t="e">
        <f>IF(ISBLANK('HCT2'!W58),"",'HCT2'!W58)</f>
        <v>#VALUE!</v>
      </c>
      <c r="CB58" s="1200" t="str">
        <f>IF(ISBLANK('HCT2'!X58),"",'HCT2'!X58)</f>
        <v/>
      </c>
      <c r="CC58" s="1201" t="str">
        <f>IF(ISBLANK('HCT2'!Y58),"",'HCT2'!Y58)</f>
        <v>PVL</v>
      </c>
      <c r="CD58" s="1202" t="str">
        <f>IF(ISBLANK('HCT2'!Z58),"",'HCT2'!Z58)</f>
        <v>PVL</v>
      </c>
      <c r="CE58" s="1200" t="str">
        <f>IF(ISBLANK('HCT2'!AA58),"",'HCT2'!AA58)</f>
        <v/>
      </c>
      <c r="CF58" s="1200" t="str">
        <f>IF(ISBLANK('HCT2'!AB58),"",'HCT2'!AB58)</f>
        <v/>
      </c>
      <c r="CG58" s="1203" t="str">
        <f>IF(ISBLANK('HCT2'!AC58),"",'HCT2'!AC58)</f>
        <v>PVL</v>
      </c>
      <c r="CH58" s="1200" t="str">
        <f>IF(ISBLANK('HCT2'!AD58),"",'HCT2'!AD58)</f>
        <v/>
      </c>
      <c r="CI58" s="1200" t="str">
        <f>IF(ISBLANK('HCT2'!AE58),"",'HCT2'!AE58)</f>
        <v/>
      </c>
      <c r="CJ58" s="1200" t="str">
        <f>IF(ISBLANK('HCT2'!AF58),"",'HCT2'!AF58)</f>
        <v/>
      </c>
      <c r="CK58" s="1204" t="str">
        <f>IF(ISBLANK('HCT2'!AG58),"",'HCT2'!AG58)</f>
        <v/>
      </c>
      <c r="CL58" s="1200" t="str">
        <f>IF(ISBLANK('HCT2'!AH58),"",'HCT2'!AH58)</f>
        <v>PVL</v>
      </c>
      <c r="CM58" s="1200" t="str">
        <f>IF(ISBLANK('HCT2'!AI58),"",'HCT2'!AI58)</f>
        <v>PVL</v>
      </c>
      <c r="CN58" s="1204" t="str">
        <f>IF(ISBLANK('HCT2'!AJ58),"",'HCT2'!AJ58)</f>
        <v>PVL</v>
      </c>
      <c r="CO58" s="1200" t="str">
        <f>IF(ISBLANK('HCT2'!AK58),"",'HCT2'!AK58)</f>
        <v/>
      </c>
      <c r="CP58" s="1200" t="str">
        <f>IF(ISBLANK('HCT2'!AL58),"",'HCT2'!AL58)</f>
        <v/>
      </c>
      <c r="CQ58" s="1200" t="str">
        <f>IF(ISBLANK('HCT2'!AM58),"",'HCT2'!AM58)</f>
        <v/>
      </c>
      <c r="CR58" s="1205" t="str">
        <f>IF(ISBLANK('HCT2'!AN58),"",'HCT2'!AN58)</f>
        <v/>
      </c>
      <c r="CS58" s="1206" t="str">
        <f>IF(ISBLANK('HCT2'!AO58),"",'HCT2'!AO58)</f>
        <v>PVL</v>
      </c>
      <c r="CT58" s="1207">
        <f>IF(ISBLANK('HCT2'!AP58),"",'HCT2'!AP58)</f>
        <v>0</v>
      </c>
      <c r="CU58" s="1150" t="str">
        <f>IF(ISBLANK('HCT2'!AQ58),"",'HCT2'!AQ58)</f>
        <v>PVL</v>
      </c>
      <c r="CV58" s="673" t="e">
        <f>IF(ISBLANK('HCT2'!AR58),"",'HCT2'!AR58)</f>
        <v>#VALUE!</v>
      </c>
      <c r="CW58" s="1484" t="e">
        <f>IF(ISBLANK(Récap1!#REF!),"",Récap1!#REF!)</f>
        <v>#REF!</v>
      </c>
      <c r="CX58" s="1484" t="e">
        <f>IF(ISBLANK(Récap1!#REF!),"",Récap1!#REF!)</f>
        <v>#REF!</v>
      </c>
      <c r="CY58" s="1485" t="e">
        <f>IF(ISBLANK(Récap1!#REF!),"",Récap1!#REF!)</f>
        <v>#REF!</v>
      </c>
      <c r="CZ58" s="1485" t="e">
        <f>IF(ISBLANK(Récap1!#REF!),"",Récap1!#REF!)</f>
        <v>#REF!</v>
      </c>
      <c r="DA58" s="1485" t="e">
        <f>IF(ISBLANK(Récap1!#REF!),"",Récap1!#REF!)</f>
        <v>#REF!</v>
      </c>
      <c r="DB58" s="1485" t="e">
        <f>IF(ISBLANK(Récap1!#REF!),"",Récap1!#REF!)</f>
        <v>#REF!</v>
      </c>
      <c r="DC58" s="1484" t="str">
        <f>IF(ISBLANK('HCT2'!AS58),"",'HCT2'!AS58)</f>
        <v>PVL</v>
      </c>
      <c r="DD58" s="1485" t="str">
        <f>IF(ISBLANK('HCT2'!AT58),"",'HCT2'!AT58)</f>
        <v>PVL</v>
      </c>
      <c r="DE58" s="1485" t="str">
        <f>IF(ISBLANK('HCT2'!AU58),"",'HCT2'!AU58)</f>
        <v>PVL</v>
      </c>
      <c r="DF58" s="1485" t="str">
        <f>IF(ISBLANK('HCT2'!AV58),"",'HCT2'!AV58)</f>
        <v>PVL</v>
      </c>
      <c r="DG58" s="1485" t="str">
        <f>IF(ISBLANK('HCT2'!AW58),"",'HCT2'!AW58)</f>
        <v/>
      </c>
      <c r="DH58" s="1485" t="str">
        <f>IF(ISBLANK('HCT2'!AX58),"",'HCT2'!AX58)</f>
        <v/>
      </c>
      <c r="DI58" s="1485" t="str">
        <f>IF(ISBLANK('HCT2'!AY58),"",'HCT2'!AY58)</f>
        <v/>
      </c>
      <c r="DJ58" s="1486" t="str">
        <f>IF(ISBLANK('HCT2'!AZ58),"",'HCT2'!AZ58)</f>
        <v>PVL</v>
      </c>
      <c r="DK58" s="1485" t="str">
        <f>IF(ISBLANK('HCT2'!BA58),"",'HCT2'!BA58)</f>
        <v>PVL</v>
      </c>
      <c r="DL58" s="1485" t="str">
        <f>IF(ISBLANK('HCT2'!BB58),"",'HCT2'!BB58)</f>
        <v>PVL</v>
      </c>
      <c r="DM58" s="1487" t="str">
        <f>IF(ISBLANK('HCT2'!BC58),"",'HCT2'!BC58)</f>
        <v>PVL</v>
      </c>
      <c r="DN58" s="1488" t="str">
        <f>IF(ISBLANK('HCT2'!BD58),"",'HCT2'!BD58)</f>
        <v>PVL</v>
      </c>
      <c r="DO58" s="1489">
        <f>IF(ISBLANK('HCT2'!BE58),"",'HCT2'!BE58)</f>
        <v>0</v>
      </c>
      <c r="DP58" s="1490" t="str">
        <f>IF(ISBLANK('HCT2'!BF58),"",'HCT2'!BF58)</f>
        <v>PVL</v>
      </c>
      <c r="DQ58" s="979" t="e">
        <f t="shared" si="0"/>
        <v>#VALUE!</v>
      </c>
      <c r="DS58" s="781" t="e">
        <f t="shared" si="1"/>
        <v>#VALUE!</v>
      </c>
      <c r="DT58" s="781" t="e">
        <f t="shared" si="1"/>
        <v>#VALUE!</v>
      </c>
      <c r="DU58" s="781" t="e">
        <f t="shared" si="2"/>
        <v>#VALUE!</v>
      </c>
      <c r="DV58" s="880" t="e">
        <f t="shared" si="2"/>
        <v>#VALUE!</v>
      </c>
      <c r="DW58" s="781" t="e">
        <f t="shared" si="2"/>
        <v>#VALUE!</v>
      </c>
      <c r="DX58" s="781" t="e">
        <f t="shared" si="2"/>
        <v>#VALUE!</v>
      </c>
      <c r="DY58" s="781" t="e">
        <f t="shared" si="2"/>
        <v>#VALUE!</v>
      </c>
    </row>
    <row r="59" spans="1:129" s="782" customFormat="1" ht="13.5" hidden="1">
      <c r="A59" s="776"/>
      <c r="B59" s="245"/>
      <c r="C59" s="777"/>
      <c r="D59" s="787"/>
      <c r="E59" s="853" t="str">
        <f>IF(ISBLANK(Récap1!E59),"",Récap1!E59)</f>
        <v>Seuil pour détection olfactive air ambiant 2 mois</v>
      </c>
      <c r="F59" s="779" t="str">
        <f>IF(ISBLANK(Récap1!F59),"",Récap1!F59)</f>
        <v>Cs</v>
      </c>
      <c r="G59" s="779" t="str">
        <f>IF(ISBLANK(Récap1!G59),"",Récap1!G59)</f>
        <v>mg/kg ms</v>
      </c>
      <c r="H59" s="780" t="str">
        <f>IF(ISBLANK(Récap1!H59),"",Récap1!H59)</f>
        <v>PVL</v>
      </c>
      <c r="I59" s="781" t="str">
        <f>IF(ISBLANK(Récap1!I59),"",Récap1!I59)</f>
        <v>PVL</v>
      </c>
      <c r="J59" s="1197" t="str">
        <f>IF(ISBLANK(Récap1!J59),"",Récap1!J59)</f>
        <v>PVL</v>
      </c>
      <c r="K59" s="1196" t="str">
        <f>IF(ISBLANK(Récap1!K59),"",Récap1!K59)</f>
        <v>PVL</v>
      </c>
      <c r="L59" s="1197" t="str">
        <f>IF(ISBLANK(Récap1!L59),"",Récap1!L59)</f>
        <v>PVL</v>
      </c>
      <c r="M59" s="1197" t="str">
        <f>IF(ISBLANK(Récap1!M59),"",Récap1!M59)</f>
        <v>PVL</v>
      </c>
      <c r="N59" s="1197" t="str">
        <f>IF(ISBLANK(Récap1!N59),"",Récap1!N59)</f>
        <v>PVL</v>
      </c>
      <c r="O59" s="1197" t="str">
        <f>IF(ISBLANK(Récap1!O59),"",Récap1!O59)</f>
        <v>PVL</v>
      </c>
      <c r="P59" s="1197" t="str">
        <f>IF(ISBLANK(Récap1!P59),"",Récap1!P59)</f>
        <v>PVL</v>
      </c>
      <c r="Q59" s="1197" t="str">
        <f>IF(ISBLANK(Récap1!Q59),"",Récap1!Q59)</f>
        <v>PVL</v>
      </c>
      <c r="R59" s="1197" t="str">
        <f>IF(ISBLANK(Récap1!R59),"",Récap1!R59)</f>
        <v>PVL</v>
      </c>
      <c r="S59" s="1197">
        <f>IF(ISBLANK(Récap1!S59),"",Récap1!S59)</f>
        <v>1703.0971882070673</v>
      </c>
      <c r="T59" s="1197">
        <f>IF(ISBLANK(Récap1!T59),"",Récap1!T59)</f>
        <v>1703.0971882070673</v>
      </c>
      <c r="U59" s="1197" t="str">
        <f>IF(ISBLANK(Récap1!U59),"",Récap1!U59)</f>
        <v>PVL</v>
      </c>
      <c r="V59" s="1435" t="str">
        <f>IF(ISBLANK(Récap1!V59),"",Récap1!V59)</f>
        <v>PVL</v>
      </c>
      <c r="W59" s="1197" t="str">
        <f>IF(ISBLANK(Récap1!W59),"",Récap1!W59)</f>
        <v>PVL</v>
      </c>
      <c r="X59" s="1197" t="str">
        <f>IF(ISBLANK(Récap1!X59),"",Récap1!X59)</f>
        <v>PVL</v>
      </c>
      <c r="Y59" s="1197" t="str">
        <f>IF(ISBLANK(Récap1!Y59),"",Récap1!Y59)</f>
        <v>PVL</v>
      </c>
      <c r="Z59" s="1197" t="str">
        <f>IF(ISBLANK(Récap1!Z59),"",Récap1!Z59)</f>
        <v>PVL</v>
      </c>
      <c r="AA59" s="646">
        <f>IF(ISBLANK(Récap1!AA59),"",Récap1!AA59)</f>
        <v>98.600352296288179</v>
      </c>
      <c r="AB59" s="1197" t="str">
        <f>IF(ISBLANK(Récap1!AB59),"",Récap1!AB59)</f>
        <v>PVL</v>
      </c>
      <c r="AC59" s="1198" t="str">
        <f>IF(ISBLANK(Récap1!AC59),"",Récap1!AC59)</f>
        <v>PVL</v>
      </c>
      <c r="AD59" s="1197" t="str">
        <f>IF(ISBLANK(Récap1!AD59),"",Récap1!AD59)</f>
        <v>PVL</v>
      </c>
      <c r="AE59" s="1197" t="str">
        <f>IF(ISBLANK(Récap1!AE59),"",Récap1!AE59)</f>
        <v>PVL</v>
      </c>
      <c r="AF59" s="1199" t="str">
        <f>IF(ISBLANK(Récap1!AF59),"",Récap1!AF59)</f>
        <v>PVL</v>
      </c>
      <c r="AG59" s="1197" t="str">
        <f>IF(ISBLANK(Récap1!AG59),"",Récap1!AG59)</f>
        <v>PVL</v>
      </c>
      <c r="AH59" s="1197" t="str">
        <f>IF(ISBLANK(Récap1!AH59),"",Récap1!AH59)</f>
        <v>PVL</v>
      </c>
      <c r="AI59" s="1197" t="str">
        <f>IF(ISBLANK(Récap1!AI59),"",Récap1!AI59)</f>
        <v>PVL</v>
      </c>
      <c r="AJ59" s="1198" t="str">
        <f>IF(ISBLANK(Récap1!AJ59),"",Récap1!AJ59)</f>
        <v>PVL</v>
      </c>
      <c r="AK59" s="1197" t="str">
        <f>IF(ISBLANK(Récap1!AK59),"",Récap1!AK59)</f>
        <v>PVL</v>
      </c>
      <c r="AL59" s="1197" t="str">
        <f>IF(ISBLANK(Récap1!AL59),"",Récap1!AL59)</f>
        <v>PVL</v>
      </c>
      <c r="AM59" s="1197" t="str">
        <f>IF(ISBLANK(Récap1!AM59),"",Récap1!AM59)</f>
        <v>PVL</v>
      </c>
      <c r="AN59" s="1196" t="str">
        <f>IF(ISBLANK(Récap1!AN59),"",Récap1!AN59)</f>
        <v>PVL</v>
      </c>
      <c r="AO59" s="1197" t="str">
        <f>IF(ISBLANK(Récap1!AO59),"",Récap1!AO59)</f>
        <v>PVL</v>
      </c>
      <c r="AP59" s="1197" t="str">
        <f>IF(ISBLANK(Récap1!AP59),"",Récap1!AP59)</f>
        <v>PVL</v>
      </c>
      <c r="AQ59" s="1197" t="str">
        <f>IF(ISBLANK(Récap1!AQ59),"",Récap1!AQ59)</f>
        <v>PVL</v>
      </c>
      <c r="AR59" s="1197" t="str">
        <f>IF(ISBLANK(Récap1!AR59),"",Récap1!AR59)</f>
        <v>PVL</v>
      </c>
      <c r="AS59" s="1197" t="str">
        <f>IF(ISBLANK(Récap1!AS59),"",Récap1!AS59)</f>
        <v>PVL</v>
      </c>
      <c r="AT59" s="1197" t="str">
        <f>IF(ISBLANK(Récap1!AT59),"",Récap1!AT59)</f>
        <v>PVL</v>
      </c>
      <c r="AU59" s="1197" t="str">
        <f>IF(ISBLANK(Récap1!AU59),"",Récap1!AU59)</f>
        <v>PVL</v>
      </c>
      <c r="AV59" s="1197" t="str">
        <f>IF(ISBLANK(Récap1!AV59),"",Récap1!AV59)</f>
        <v>PVL</v>
      </c>
      <c r="AW59" s="1197" t="str">
        <f>IF(ISBLANK(Récap1!AW59),"",Récap1!AW59)</f>
        <v>PVL</v>
      </c>
      <c r="AX59" s="1197" t="str">
        <f>IF(ISBLANK(Récap1!AX59),"",Récap1!AX59)</f>
        <v>PVL</v>
      </c>
      <c r="AY59" s="1197" t="str">
        <f>IF(ISBLANK(Récap1!AY59),"",Récap1!AY59)</f>
        <v>PVL</v>
      </c>
      <c r="AZ59" s="1197" t="str">
        <f>IF(ISBLANK(Récap1!AZ59),"",Récap1!AZ59)</f>
        <v>PVL</v>
      </c>
      <c r="BA59" s="1197" t="str">
        <f>IF(ISBLANK(Récap1!BA59),"",Récap1!BA59)</f>
        <v>PVL</v>
      </c>
      <c r="BB59" s="1197" t="str">
        <f>IF(ISBLANK(Récap1!BB59),"",Récap1!BB59)</f>
        <v>PVL</v>
      </c>
      <c r="BC59" s="646" t="str">
        <f>IF(ISBLANK(Récap1!BC59),"",Récap1!BC59)</f>
        <v>PVL</v>
      </c>
      <c r="BD59" s="1464">
        <f>IF(ISBLANK(Récap1!BD59),"",Récap1!BD59)</f>
        <v>11358.726343704173</v>
      </c>
      <c r="BE59" s="1197" t="str">
        <f>IF(ISBLANK(Récap1!BE59),"",Récap1!BE59)</f>
        <v>PVL</v>
      </c>
      <c r="BF59" s="1197" t="str">
        <f>IF(ISBLANK(Récap1!BF59),"",Récap1!BF59)</f>
        <v>PVL</v>
      </c>
      <c r="BG59" s="1197" t="str">
        <f>IF(ISBLANK(Récap1!BG59),"",Récap1!BG59)</f>
        <v>nd</v>
      </c>
      <c r="BH59" s="646" t="str">
        <f>IF(ISBLANK(Récap1!BH59),"",Récap1!BH59)</f>
        <v>PVL</v>
      </c>
      <c r="BI59" s="1197" t="str">
        <f>IF(ISBLANK(Récap1!BI59),"",Récap1!BI59)</f>
        <v>PVL</v>
      </c>
      <c r="BJ59" s="1200" t="e">
        <f>IF(ISBLANK(Récap1!#REF!),"",Récap1!#REF!)</f>
        <v>#REF!</v>
      </c>
      <c r="BK59" s="1200" t="e">
        <f>IF(ISBLANK(Récap1!#REF!),"",Récap1!#REF!)</f>
        <v>#REF!</v>
      </c>
      <c r="BL59" s="1197" t="str">
        <f>IF(ISBLANK('HCT2'!H59),"",'HCT2'!H59)</f>
        <v>PVL</v>
      </c>
      <c r="BM59" s="1197" t="str">
        <f>IF(ISBLANK('HCT2'!I59),"",'HCT2'!I59)</f>
        <v>PVL</v>
      </c>
      <c r="BN59" s="1197" t="str">
        <f>IF(ISBLANK('HCT2'!J59),"",'HCT2'!J59)</f>
        <v>PVL</v>
      </c>
      <c r="BO59" s="646">
        <f>IF(ISBLANK('HCT2'!K59),"",'HCT2'!K59)</f>
        <v>98.600352296288179</v>
      </c>
      <c r="BP59" s="1197" t="e">
        <f>IF(ISBLANK('HCT2'!L59),"",'HCT2'!L59)</f>
        <v>#VALUE!</v>
      </c>
      <c r="BQ59" s="1198" t="e">
        <f>IF(ISBLANK('HCT2'!M59),"",'HCT2'!M59)</f>
        <v>#VALUE!</v>
      </c>
      <c r="BR59" s="1197" t="e">
        <f>IF(ISBLANK('HCT2'!N59),"",'HCT2'!N59)</f>
        <v>#VALUE!</v>
      </c>
      <c r="BS59" s="1197" t="e">
        <f>IF(ISBLANK('HCT2'!O59),"",'HCT2'!O59)</f>
        <v>#VALUE!</v>
      </c>
      <c r="BT59" s="1199" t="e">
        <f>IF(ISBLANK('HCT2'!P59),"",'HCT2'!P59)</f>
        <v>#VALUE!</v>
      </c>
      <c r="BU59" s="1197" t="e">
        <f>IF(ISBLANK('HCT2'!Q59),"",'HCT2'!Q59)</f>
        <v>#VALUE!</v>
      </c>
      <c r="BV59" s="1197" t="e">
        <f>IF(ISBLANK('HCT2'!R59),"",'HCT2'!R59)</f>
        <v>#VALUE!</v>
      </c>
      <c r="BW59" s="1197" t="e">
        <f>IF(ISBLANK('HCT2'!S59),"",'HCT2'!S59)</f>
        <v>#VALUE!</v>
      </c>
      <c r="BX59" s="1198" t="e">
        <f>IF(ISBLANK('HCT2'!T59),"",'HCT2'!T59)</f>
        <v>#VALUE!</v>
      </c>
      <c r="BY59" s="1197" t="e">
        <f>IF(ISBLANK('HCT2'!U59),"",'HCT2'!U59)</f>
        <v>#VALUE!</v>
      </c>
      <c r="BZ59" s="1197" t="e">
        <f>IF(ISBLANK('HCT2'!V59),"",'HCT2'!V59)</f>
        <v>#VALUE!</v>
      </c>
      <c r="CA59" s="1197" t="e">
        <f>IF(ISBLANK('HCT2'!W59),"",'HCT2'!W59)</f>
        <v>#VALUE!</v>
      </c>
      <c r="CB59" s="1200" t="str">
        <f>IF(ISBLANK('HCT2'!X59),"",'HCT2'!X59)</f>
        <v/>
      </c>
      <c r="CC59" s="1201" t="str">
        <f>IF(ISBLANK('HCT2'!Y59),"",'HCT2'!Y59)</f>
        <v>PVL</v>
      </c>
      <c r="CD59" s="1202" t="str">
        <f>IF(ISBLANK('HCT2'!Z59),"",'HCT2'!Z59)</f>
        <v>PVL</v>
      </c>
      <c r="CE59" s="1200" t="str">
        <f>IF(ISBLANK('HCT2'!AA59),"",'HCT2'!AA59)</f>
        <v/>
      </c>
      <c r="CF59" s="1200" t="str">
        <f>IF(ISBLANK('HCT2'!AB59),"",'HCT2'!AB59)</f>
        <v/>
      </c>
      <c r="CG59" s="1203" t="str">
        <f>IF(ISBLANK('HCT2'!AC59),"",'HCT2'!AC59)</f>
        <v>PVL</v>
      </c>
      <c r="CH59" s="1200" t="str">
        <f>IF(ISBLANK('HCT2'!AD59),"",'HCT2'!AD59)</f>
        <v/>
      </c>
      <c r="CI59" s="1200" t="str">
        <f>IF(ISBLANK('HCT2'!AE59),"",'HCT2'!AE59)</f>
        <v/>
      </c>
      <c r="CJ59" s="1200" t="str">
        <f>IF(ISBLANK('HCT2'!AF59),"",'HCT2'!AF59)</f>
        <v/>
      </c>
      <c r="CK59" s="1204" t="str">
        <f>IF(ISBLANK('HCT2'!AG59),"",'HCT2'!AG59)</f>
        <v/>
      </c>
      <c r="CL59" s="1200" t="str">
        <f>IF(ISBLANK('HCT2'!AH59),"",'HCT2'!AH59)</f>
        <v>PVL</v>
      </c>
      <c r="CM59" s="1200" t="str">
        <f>IF(ISBLANK('HCT2'!AI59),"",'HCT2'!AI59)</f>
        <v>PVL</v>
      </c>
      <c r="CN59" s="1204" t="str">
        <f>IF(ISBLANK('HCT2'!AJ59),"",'HCT2'!AJ59)</f>
        <v>PVL</v>
      </c>
      <c r="CO59" s="1200" t="str">
        <f>IF(ISBLANK('HCT2'!AK59),"",'HCT2'!AK59)</f>
        <v/>
      </c>
      <c r="CP59" s="1200" t="str">
        <f>IF(ISBLANK('HCT2'!AL59),"",'HCT2'!AL59)</f>
        <v/>
      </c>
      <c r="CQ59" s="1200" t="str">
        <f>IF(ISBLANK('HCT2'!AM59),"",'HCT2'!AM59)</f>
        <v/>
      </c>
      <c r="CR59" s="1205" t="str">
        <f>IF(ISBLANK('HCT2'!AN59),"",'HCT2'!AN59)</f>
        <v/>
      </c>
      <c r="CS59" s="1206" t="str">
        <f>IF(ISBLANK('HCT2'!AO59),"",'HCT2'!AO59)</f>
        <v>PVL</v>
      </c>
      <c r="CT59" s="1207">
        <f>IF(ISBLANK('HCT2'!AP59),"",'HCT2'!AP59)</f>
        <v>0</v>
      </c>
      <c r="CU59" s="1150" t="str">
        <f>IF(ISBLANK('HCT2'!AQ59),"",'HCT2'!AQ59)</f>
        <v>PVL</v>
      </c>
      <c r="CV59" s="673" t="e">
        <f>IF(ISBLANK('HCT2'!AR59),"",'HCT2'!AR59)</f>
        <v>#VALUE!</v>
      </c>
      <c r="CW59" s="1484" t="e">
        <f>IF(ISBLANK(Récap1!#REF!),"",Récap1!#REF!)</f>
        <v>#REF!</v>
      </c>
      <c r="CX59" s="1484" t="e">
        <f>IF(ISBLANK(Récap1!#REF!),"",Récap1!#REF!)</f>
        <v>#REF!</v>
      </c>
      <c r="CY59" s="1485" t="e">
        <f>IF(ISBLANK(Récap1!#REF!),"",Récap1!#REF!)</f>
        <v>#REF!</v>
      </c>
      <c r="CZ59" s="1485" t="e">
        <f>IF(ISBLANK(Récap1!#REF!),"",Récap1!#REF!)</f>
        <v>#REF!</v>
      </c>
      <c r="DA59" s="1485" t="e">
        <f>IF(ISBLANK(Récap1!#REF!),"",Récap1!#REF!)</f>
        <v>#REF!</v>
      </c>
      <c r="DB59" s="1485" t="e">
        <f>IF(ISBLANK(Récap1!#REF!),"",Récap1!#REF!)</f>
        <v>#REF!</v>
      </c>
      <c r="DC59" s="1484" t="str">
        <f>IF(ISBLANK('HCT2'!AS59),"",'HCT2'!AS59)</f>
        <v>PVL</v>
      </c>
      <c r="DD59" s="1485" t="str">
        <f>IF(ISBLANK('HCT2'!AT59),"",'HCT2'!AT59)</f>
        <v>PVL</v>
      </c>
      <c r="DE59" s="1485" t="str">
        <f>IF(ISBLANK('HCT2'!AU59),"",'HCT2'!AU59)</f>
        <v>PVL</v>
      </c>
      <c r="DF59" s="1485" t="str">
        <f>IF(ISBLANK('HCT2'!AV59),"",'HCT2'!AV59)</f>
        <v>PVL</v>
      </c>
      <c r="DG59" s="1485" t="str">
        <f>IF(ISBLANK('HCT2'!AW59),"",'HCT2'!AW59)</f>
        <v/>
      </c>
      <c r="DH59" s="1485" t="str">
        <f>IF(ISBLANK('HCT2'!AX59),"",'HCT2'!AX59)</f>
        <v/>
      </c>
      <c r="DI59" s="1485" t="str">
        <f>IF(ISBLANK('HCT2'!AY59),"",'HCT2'!AY59)</f>
        <v/>
      </c>
      <c r="DJ59" s="1486" t="str">
        <f>IF(ISBLANK('HCT2'!AZ59),"",'HCT2'!AZ59)</f>
        <v>PVL</v>
      </c>
      <c r="DK59" s="1485" t="str">
        <f>IF(ISBLANK('HCT2'!BA59),"",'HCT2'!BA59)</f>
        <v>PVL</v>
      </c>
      <c r="DL59" s="1485" t="str">
        <f>IF(ISBLANK('HCT2'!BB59),"",'HCT2'!BB59)</f>
        <v>PVL</v>
      </c>
      <c r="DM59" s="1487" t="str">
        <f>IF(ISBLANK('HCT2'!BC59),"",'HCT2'!BC59)</f>
        <v>PVL</v>
      </c>
      <c r="DN59" s="1488" t="str">
        <f>IF(ISBLANK('HCT2'!BD59),"",'HCT2'!BD59)</f>
        <v>PVL</v>
      </c>
      <c r="DO59" s="1489">
        <f>IF(ISBLANK('HCT2'!BE59),"",'HCT2'!BE59)</f>
        <v>0</v>
      </c>
      <c r="DP59" s="1490" t="str">
        <f>IF(ISBLANK('HCT2'!BF59),"",'HCT2'!BF59)</f>
        <v>PVL</v>
      </c>
      <c r="DQ59" s="979" t="e">
        <f t="shared" si="0"/>
        <v>#VALUE!</v>
      </c>
      <c r="DS59" s="781" t="e">
        <f t="shared" si="1"/>
        <v>#VALUE!</v>
      </c>
      <c r="DT59" s="781" t="e">
        <f t="shared" si="1"/>
        <v>#VALUE!</v>
      </c>
      <c r="DU59" s="781" t="e">
        <f t="shared" si="2"/>
        <v>#VALUE!</v>
      </c>
      <c r="DV59" s="880" t="e">
        <f t="shared" si="2"/>
        <v>#VALUE!</v>
      </c>
      <c r="DW59" s="781" t="e">
        <f t="shared" si="2"/>
        <v>#VALUE!</v>
      </c>
      <c r="DX59" s="781" t="e">
        <f t="shared" si="2"/>
        <v>#VALUE!</v>
      </c>
      <c r="DY59" s="781" t="e">
        <f t="shared" si="2"/>
        <v>#VALUE!</v>
      </c>
    </row>
    <row r="60" spans="1:129" s="1009" customFormat="1" hidden="1">
      <c r="A60" s="1000"/>
      <c r="B60" s="1000"/>
      <c r="C60" s="1001"/>
      <c r="D60" s="926"/>
      <c r="E60" s="1002" t="str">
        <f>IF(ISBLANK(Récap1!E60),"",Récap1!E60)</f>
        <v>Seuil dont détection olfactive air ambiant immédiat</v>
      </c>
      <c r="F60" s="1003" t="str">
        <f>IF(ISBLANK(Récap1!F60),"",Récap1!F60)</f>
        <v>Cs</v>
      </c>
      <c r="G60" s="1003" t="str">
        <f>IF(ISBLANK(Récap1!G60),"",Récap1!G60)</f>
        <v>mg/kg ms</v>
      </c>
      <c r="H60" s="1004">
        <f>IF(ISBLANK(Récap1!H60),"",Récap1!H60)</f>
        <v>5181.2716774705141</v>
      </c>
      <c r="I60" s="1005">
        <f>IF(ISBLANK(Récap1!I60),"",Récap1!I60)</f>
        <v>5181.2716774705141</v>
      </c>
      <c r="J60" s="1318">
        <f>IF(ISBLANK(Récap1!J60),"",Récap1!J60)</f>
        <v>38758.586675549173</v>
      </c>
      <c r="K60" s="1320">
        <f>IF(ISBLANK(Récap1!K60),"",Récap1!K60)</f>
        <v>14.649905454545456</v>
      </c>
      <c r="L60" s="1318">
        <f>IF(ISBLANK(Récap1!L60),"",Récap1!L60)</f>
        <v>20.075395790853964</v>
      </c>
      <c r="M60" s="1318">
        <f>IF(ISBLANK(Récap1!M60),"",Récap1!M60)</f>
        <v>20.075395790853964</v>
      </c>
      <c r="N60" s="1318">
        <f>IF(ISBLANK(Récap1!N60),"",Récap1!N60)</f>
        <v>45.780954545454541</v>
      </c>
      <c r="O60" s="1318">
        <f>IF(ISBLANK(Récap1!O60),"",Récap1!O60)</f>
        <v>45.780954545454541</v>
      </c>
      <c r="P60" s="1318">
        <f>IF(ISBLANK(Récap1!P60),"",Récap1!P60)</f>
        <v>9.1561909090909115</v>
      </c>
      <c r="Q60" s="1318">
        <f>IF(ISBLANK(Récap1!Q60),"",Récap1!Q60)</f>
        <v>9.1561909090909115</v>
      </c>
      <c r="R60" s="1318">
        <f>IF(ISBLANK(Récap1!R60),"",Récap1!R60)</f>
        <v>91.561909090909097</v>
      </c>
      <c r="S60" s="1318">
        <f>IF(ISBLANK(Récap1!S60),"",Récap1!S60)</f>
        <v>3.9809525691699599</v>
      </c>
      <c r="T60" s="1318">
        <f>IF(ISBLANK(Récap1!T60),"",Récap1!T60)</f>
        <v>3.9809525691699599</v>
      </c>
      <c r="U60" s="1318">
        <f>IF(ISBLANK(Récap1!U60),"",Récap1!U60)</f>
        <v>2.1800454545454544</v>
      </c>
      <c r="V60" s="1441">
        <f>IF(ISBLANK(Récap1!V60),"",Récap1!V60)</f>
        <v>261.60545454545451</v>
      </c>
      <c r="W60" s="1318">
        <f>IF(ISBLANK(Récap1!W60),"",Récap1!W60)</f>
        <v>261.60545454545451</v>
      </c>
      <c r="X60" s="1318">
        <f>IF(ISBLANK(Récap1!X60),"",Récap1!X60)</f>
        <v>2.7474192261642125</v>
      </c>
      <c r="Y60" s="1318">
        <f>IF(ISBLANK(Récap1!Y60),"",Récap1!Y60)</f>
        <v>96.184299750885145</v>
      </c>
      <c r="Z60" s="1318">
        <f>IF(ISBLANK(Récap1!Z60),"",Récap1!Z60)</f>
        <v>36.624763636363639</v>
      </c>
      <c r="AA60" s="1319">
        <f>IF(ISBLANK(Récap1!AA60),"",Récap1!AA60)</f>
        <v>51.681819754531617</v>
      </c>
      <c r="AB60" s="1318" t="str">
        <f>IF(ISBLANK(Récap1!AB60),"",Récap1!AB60)</f>
        <v>PVL</v>
      </c>
      <c r="AC60" s="1321" t="str">
        <f>IF(ISBLANK(Récap1!AC60),"",Récap1!AC60)</f>
        <v>PVL</v>
      </c>
      <c r="AD60" s="1318" t="str">
        <f>IF(ISBLANK(Récap1!AD60),"",Récap1!AD60)</f>
        <v>PVL</v>
      </c>
      <c r="AE60" s="1318" t="str">
        <f>IF(ISBLANK(Récap1!AE60),"",Récap1!AE60)</f>
        <v>PVL</v>
      </c>
      <c r="AF60" s="1146" t="str">
        <f>IF(ISBLANK(Récap1!AF60),"",Récap1!AF60)</f>
        <v>PVL</v>
      </c>
      <c r="AG60" s="1318" t="str">
        <f>IF(ISBLANK(Récap1!AG60),"",Récap1!AG60)</f>
        <v>PVL</v>
      </c>
      <c r="AH60" s="1318" t="str">
        <f>IF(ISBLANK(Récap1!AH60),"",Récap1!AH60)</f>
        <v>PVL</v>
      </c>
      <c r="AI60" s="1318" t="str">
        <f>IF(ISBLANK(Récap1!AI60),"",Récap1!AI60)</f>
        <v>PVL</v>
      </c>
      <c r="AJ60" s="1321" t="str">
        <f>IF(ISBLANK(Récap1!AJ60),"",Récap1!AJ60)</f>
        <v>PVL</v>
      </c>
      <c r="AK60" s="1318" t="str">
        <f>IF(ISBLANK(Récap1!AK60),"",Récap1!AK60)</f>
        <v>PVL</v>
      </c>
      <c r="AL60" s="1318" t="str">
        <f>IF(ISBLANK(Récap1!AL60),"",Récap1!AL60)</f>
        <v>PVL</v>
      </c>
      <c r="AM60" s="1318" t="str">
        <f>IF(ISBLANK(Récap1!AM60),"",Récap1!AM60)</f>
        <v>PVL</v>
      </c>
      <c r="AN60" s="1320">
        <f>IF(ISBLANK(Récap1!AN60),"",Récap1!AN60)</f>
        <v>13.289972817113433</v>
      </c>
      <c r="AO60" s="1318" t="str">
        <f>IF(ISBLANK(Récap1!AO60),"",Récap1!AO60)</f>
        <v>PVL</v>
      </c>
      <c r="AP60" s="1318" t="str">
        <f>IF(ISBLANK(Récap1!AP60),"",Récap1!AP60)</f>
        <v>PVL</v>
      </c>
      <c r="AQ60" s="1318" t="str">
        <f>IF(ISBLANK(Récap1!AQ60),"",Récap1!AQ60)</f>
        <v>PVL</v>
      </c>
      <c r="AR60" s="1318" t="str">
        <f>IF(ISBLANK(Récap1!AR60),"",Récap1!AR60)</f>
        <v>PVL</v>
      </c>
      <c r="AS60" s="1318" t="str">
        <f>IF(ISBLANK(Récap1!AS60),"",Récap1!AS60)</f>
        <v>PVL</v>
      </c>
      <c r="AT60" s="1318" t="str">
        <f>IF(ISBLANK(Récap1!AT60),"",Récap1!AT60)</f>
        <v>PVL</v>
      </c>
      <c r="AU60" s="1318" t="str">
        <f>IF(ISBLANK(Récap1!AU60),"",Récap1!AU60)</f>
        <v>PVL</v>
      </c>
      <c r="AV60" s="1318" t="str">
        <f>IF(ISBLANK(Récap1!AV60),"",Récap1!AV60)</f>
        <v>PVL</v>
      </c>
      <c r="AW60" s="1318" t="str">
        <f>IF(ISBLANK(Récap1!AW60),"",Récap1!AW60)</f>
        <v>PVL</v>
      </c>
      <c r="AX60" s="1318" t="str">
        <f>IF(ISBLANK(Récap1!AX60),"",Récap1!AX60)</f>
        <v>PVL</v>
      </c>
      <c r="AY60" s="1318" t="str">
        <f>IF(ISBLANK(Récap1!AY60),"",Récap1!AY60)</f>
        <v>PVL</v>
      </c>
      <c r="AZ60" s="1318" t="str">
        <f>IF(ISBLANK(Récap1!AZ60),"",Récap1!AZ60)</f>
        <v>PVL</v>
      </c>
      <c r="BA60" s="1318" t="str">
        <f>IF(ISBLANK(Récap1!BA60),"",Récap1!BA60)</f>
        <v>PVL</v>
      </c>
      <c r="BB60" s="1318" t="str">
        <f>IF(ISBLANK(Récap1!BB60),"",Récap1!BB60)</f>
        <v>PVL</v>
      </c>
      <c r="BC60" s="1319" t="str">
        <f>IF(ISBLANK(Récap1!BC60),"",Récap1!BC60)</f>
        <v>PVL</v>
      </c>
      <c r="BD60" s="1471">
        <f>IF(ISBLANK(Récap1!BD60),"",Récap1!BD60)</f>
        <v>1462.1351057555348</v>
      </c>
      <c r="BE60" s="1318" t="str">
        <f>IF(ISBLANK(Récap1!BE60),"",Récap1!BE60)</f>
        <v>PVL</v>
      </c>
      <c r="BF60" s="1318" t="str">
        <f>IF(ISBLANK(Récap1!BF60),"",Récap1!BF60)</f>
        <v>PVL</v>
      </c>
      <c r="BG60" s="1318">
        <f>IF(ISBLANK(Récap1!BG60),"",Récap1!BG60)</f>
        <v>7.8481636363636371E-3</v>
      </c>
      <c r="BH60" s="1311">
        <f>IF(ISBLANK(Récap1!BH60),"",Récap1!BH60)</f>
        <v>32.570190666935673</v>
      </c>
      <c r="BI60" s="1318">
        <f>IF(ISBLANK(Récap1!BI60),"",Récap1!BI60)</f>
        <v>15.176458616958138</v>
      </c>
      <c r="BJ60" s="1312" t="e">
        <f>IF(ISBLANK(Récap1!#REF!),"",Récap1!#REF!)</f>
        <v>#REF!</v>
      </c>
      <c r="BK60" s="1312" t="e">
        <f>IF(ISBLANK(Récap1!#REF!),"",Récap1!#REF!)</f>
        <v>#REF!</v>
      </c>
      <c r="BL60" s="1318">
        <f>IF(ISBLANK('HCT2'!H60),"",'HCT2'!H60)</f>
        <v>2.7474192261642125</v>
      </c>
      <c r="BM60" s="1318">
        <f>IF(ISBLANK('HCT2'!I60),"",'HCT2'!I60)</f>
        <v>96.184299750885145</v>
      </c>
      <c r="BN60" s="1318">
        <f>IF(ISBLANK('HCT2'!J60),"",'HCT2'!J60)</f>
        <v>36.624763636363639</v>
      </c>
      <c r="BO60" s="1319">
        <f>IF(ISBLANK('HCT2'!K60),"",'HCT2'!K60)</f>
        <v>51.681819754531617</v>
      </c>
      <c r="BP60" s="1318">
        <f>IF(ISBLANK('HCT2'!L60),"",'HCT2'!L60)</f>
        <v>126.0299739206294</v>
      </c>
      <c r="BQ60" s="1321">
        <f>IF(ISBLANK('HCT2'!M60),"",'HCT2'!M60)</f>
        <v>16.647114731636385</v>
      </c>
      <c r="BR60" s="1318">
        <f>IF(ISBLANK('HCT2'!N60),"",'HCT2'!N60)</f>
        <v>29.607831275940278</v>
      </c>
      <c r="BS60" s="1318">
        <f>IF(ISBLANK('HCT2'!O60),"",'HCT2'!O60)</f>
        <v>2.8113591099482775</v>
      </c>
      <c r="BT60" s="1146">
        <f>IF(ISBLANK('HCT2'!P60),"",'HCT2'!P60)</f>
        <v>1.9322992500812663E-2</v>
      </c>
      <c r="BU60" s="1318">
        <f>IF(ISBLANK('HCT2'!Q60),"",'HCT2'!Q60)</f>
        <v>239.74624142696982</v>
      </c>
      <c r="BV60" s="1318">
        <f>IF(ISBLANK('HCT2'!R60),"",'HCT2'!R60)</f>
        <v>185.34310126470973</v>
      </c>
      <c r="BW60" s="1318">
        <f>IF(ISBLANK('HCT2'!S60),"",'HCT2'!S60)</f>
        <v>50.015600437773628</v>
      </c>
      <c r="BX60" s="1321">
        <f>IF(ISBLANK('HCT2'!T60),"",'HCT2'!T60)</f>
        <v>11.444976489768178</v>
      </c>
      <c r="BY60" s="1318">
        <f>IF(ISBLANK('HCT2'!U60),"",'HCT2'!U60)</f>
        <v>37.395520537930352</v>
      </c>
      <c r="BZ60" s="1318">
        <f>IF(ISBLANK('HCT2'!V60),"",'HCT2'!V60)</f>
        <v>23.870560393342576</v>
      </c>
      <c r="CA60" s="1318">
        <f>IF(ISBLANK('HCT2'!W60),"",'HCT2'!W60)</f>
        <v>2.5113679373767974</v>
      </c>
      <c r="CB60" s="1312" t="str">
        <f>IF(ISBLANK('HCT2'!X60),"",'HCT2'!X60)</f>
        <v/>
      </c>
      <c r="CC60" s="1313">
        <f>IF(ISBLANK('HCT2'!Y60),"",'HCT2'!Y60)</f>
        <v>239.85055862379866</v>
      </c>
      <c r="CD60" s="1314">
        <f>IF(ISBLANK('HCT2'!Z60),"",'HCT2'!Z60)</f>
        <v>705.39936381158907</v>
      </c>
      <c r="CE60" s="1312" t="str">
        <f>IF(ISBLANK('HCT2'!AA60),"",'HCT2'!AA60)</f>
        <v/>
      </c>
      <c r="CF60" s="1312" t="str">
        <f>IF(ISBLANK('HCT2'!AB60),"",'HCT2'!AB60)</f>
        <v/>
      </c>
      <c r="CG60" s="1315" t="str">
        <f>IF(ISBLANK('HCT2'!AC60),"",'HCT2'!AC60)</f>
        <v>PVL</v>
      </c>
      <c r="CH60" s="1312" t="str">
        <f>IF(ISBLANK('HCT2'!AD60),"",'HCT2'!AD60)</f>
        <v/>
      </c>
      <c r="CI60" s="1312" t="str">
        <f>IF(ISBLANK('HCT2'!AE60),"",'HCT2'!AE60)</f>
        <v/>
      </c>
      <c r="CJ60" s="1312" t="str">
        <f>IF(ISBLANK('HCT2'!AF60),"",'HCT2'!AF60)</f>
        <v/>
      </c>
      <c r="CK60" s="1316" t="str">
        <f>IF(ISBLANK('HCT2'!AG60),"",'HCT2'!AG60)</f>
        <v/>
      </c>
      <c r="CL60" s="1312" t="str">
        <f>IF(ISBLANK('HCT2'!AH60),"",'HCT2'!AH60)</f>
        <v>PVL</v>
      </c>
      <c r="CM60" s="1312" t="str">
        <f>IF(ISBLANK('HCT2'!AI60),"",'HCT2'!AI60)</f>
        <v>PVL</v>
      </c>
      <c r="CN60" s="1316" t="str">
        <f>IF(ISBLANK('HCT2'!AJ60),"",'HCT2'!AJ60)</f>
        <v>PVL</v>
      </c>
      <c r="CO60" s="1312" t="str">
        <f>IF(ISBLANK('HCT2'!AK60),"",'HCT2'!AK60)</f>
        <v/>
      </c>
      <c r="CP60" s="1312" t="str">
        <f>IF(ISBLANK('HCT2'!AL60),"",'HCT2'!AL60)</f>
        <v/>
      </c>
      <c r="CQ60" s="1312" t="str">
        <f>IF(ISBLANK('HCT2'!AM60),"",'HCT2'!AM60)</f>
        <v/>
      </c>
      <c r="CR60" s="1317" t="str">
        <f>IF(ISBLANK('HCT2'!AN60),"",'HCT2'!AN60)</f>
        <v/>
      </c>
      <c r="CS60" s="1318">
        <f>IF(ISBLANK('HCT2'!AO60),"",'HCT2'!AO60)</f>
        <v>705.39936381158907</v>
      </c>
      <c r="CT60" s="1174">
        <f>IF(ISBLANK('HCT2'!AP60),"",'HCT2'!AP60)</f>
        <v>0.14780910234752553</v>
      </c>
      <c r="CU60" s="1156">
        <f>IF(ISBLANK('HCT2'!AQ60),"",'HCT2'!AQ60)</f>
        <v>669.32088353018514</v>
      </c>
      <c r="CV60" s="1533">
        <f>IF(ISBLANK('HCT2'!AR60),"",'HCT2'!AR60)</f>
        <v>700.06663602713195</v>
      </c>
      <c r="CW60" s="1534" t="e">
        <f>IF(ISBLANK(Récap1!#REF!),"",Récap1!#REF!)</f>
        <v>#REF!</v>
      </c>
      <c r="CX60" s="1534" t="e">
        <f>IF(ISBLANK(Récap1!#REF!),"",Récap1!#REF!)</f>
        <v>#REF!</v>
      </c>
      <c r="CY60" s="1535" t="e">
        <f>IF(ISBLANK(Récap1!#REF!),"",Récap1!#REF!)</f>
        <v>#REF!</v>
      </c>
      <c r="CZ60" s="1535" t="e">
        <f>IF(ISBLANK(Récap1!#REF!),"",Récap1!#REF!)</f>
        <v>#REF!</v>
      </c>
      <c r="DA60" s="1535" t="e">
        <f>IF(ISBLANK(Récap1!#REF!),"",Récap1!#REF!)</f>
        <v>#REF!</v>
      </c>
      <c r="DB60" s="1535" t="e">
        <f>IF(ISBLANK(Récap1!#REF!),"",Récap1!#REF!)</f>
        <v>#REF!</v>
      </c>
      <c r="DC60" s="1534" t="str">
        <f>IF(ISBLANK('HCT2'!AS60),"",'HCT2'!AS60)</f>
        <v>PVL</v>
      </c>
      <c r="DD60" s="1535" t="str">
        <f>IF(ISBLANK('HCT2'!AT60),"",'HCT2'!AT60)</f>
        <v>PVL</v>
      </c>
      <c r="DE60" s="1535" t="str">
        <f>IF(ISBLANK('HCT2'!AU60),"",'HCT2'!AU60)</f>
        <v>PVL</v>
      </c>
      <c r="DF60" s="1535" t="str">
        <f>IF(ISBLANK('HCT2'!AV60),"",'HCT2'!AV60)</f>
        <v>PVL</v>
      </c>
      <c r="DG60" s="1535" t="str">
        <f>IF(ISBLANK('HCT2'!AW60),"",'HCT2'!AW60)</f>
        <v/>
      </c>
      <c r="DH60" s="1535" t="str">
        <f>IF(ISBLANK('HCT2'!AX60),"",'HCT2'!AX60)</f>
        <v/>
      </c>
      <c r="DI60" s="1535" t="str">
        <f>IF(ISBLANK('HCT2'!AY60),"",'HCT2'!AY60)</f>
        <v/>
      </c>
      <c r="DJ60" s="1536" t="str">
        <f>IF(ISBLANK('HCT2'!AZ60),"",'HCT2'!AZ60)</f>
        <v>PVL</v>
      </c>
      <c r="DK60" s="1535" t="str">
        <f>IF(ISBLANK('HCT2'!BA60),"",'HCT2'!BA60)</f>
        <v>PVL</v>
      </c>
      <c r="DL60" s="1535" t="str">
        <f>IF(ISBLANK('HCT2'!BB60),"",'HCT2'!BB60)</f>
        <v>PVL</v>
      </c>
      <c r="DM60" s="1537" t="str">
        <f>IF(ISBLANK('HCT2'!BC60),"",'HCT2'!BC60)</f>
        <v>PVL</v>
      </c>
      <c r="DN60" s="1535" t="str">
        <f>IF(ISBLANK('HCT2'!BD60),"",'HCT2'!BD60)</f>
        <v>PVL</v>
      </c>
      <c r="DO60" s="1475">
        <f>IF(ISBLANK('HCT2'!BE60),"",'HCT2'!BE60)</f>
        <v>0</v>
      </c>
      <c r="DP60" s="1537" t="str">
        <f>IF(ISBLANK('HCT2'!BF60),"",'HCT2'!BF60)</f>
        <v>PVL</v>
      </c>
      <c r="DQ60" s="790">
        <f t="shared" si="0"/>
        <v>124.30805346844366</v>
      </c>
      <c r="DS60" s="1005">
        <f t="shared" si="1"/>
        <v>242.49366065313404</v>
      </c>
      <c r="DT60" s="1005">
        <f t="shared" si="1"/>
        <v>281.52740101559488</v>
      </c>
      <c r="DU60" s="1005">
        <f t="shared" si="2"/>
        <v>176.04557435840303</v>
      </c>
      <c r="DV60" s="1007">
        <f t="shared" si="2"/>
        <v>28.092091221404566</v>
      </c>
      <c r="DW60" s="1005">
        <f t="shared" si="2"/>
        <v>67.003351813870637</v>
      </c>
      <c r="DX60" s="1005">
        <f t="shared" si="2"/>
        <v>26.681919503290853</v>
      </c>
      <c r="DY60" s="1005">
        <f t="shared" si="2"/>
        <v>2.5306909298776099</v>
      </c>
    </row>
    <row r="61" spans="1:129" s="1009" customFormat="1" hidden="1">
      <c r="A61" s="1000"/>
      <c r="B61" s="1000"/>
      <c r="C61" s="1001"/>
      <c r="D61" s="926"/>
      <c r="E61" s="1002" t="str">
        <f>IF(ISBLANK(Récap1!E61),"",Récap1!E61)</f>
        <v>Seuil dont détection olfactive air ambiant 2 mois</v>
      </c>
      <c r="F61" s="1003" t="str">
        <f>IF(ISBLANK(Récap1!F61),"",Récap1!F61)</f>
        <v>Cs</v>
      </c>
      <c r="G61" s="1003" t="str">
        <f>IF(ISBLANK(Récap1!G61),"",Récap1!G61)</f>
        <v>mg/kg ms</v>
      </c>
      <c r="H61" s="1004">
        <f>IF(ISBLANK(Récap1!H61),"",Récap1!H61)</f>
        <v>5181.2716774705141</v>
      </c>
      <c r="I61" s="1005">
        <f>IF(ISBLANK(Récap1!I61),"",Récap1!I61)</f>
        <v>5181.2716774705141</v>
      </c>
      <c r="J61" s="1318">
        <f>IF(ISBLANK(Récap1!J61),"",Récap1!J61)</f>
        <v>38758.586675549173</v>
      </c>
      <c r="K61" s="1320">
        <f>IF(ISBLANK(Récap1!K61),"",Récap1!K61)</f>
        <v>14.649905454545456</v>
      </c>
      <c r="L61" s="1318">
        <f>IF(ISBLANK(Récap1!L61),"",Récap1!L61)</f>
        <v>20.075395790853964</v>
      </c>
      <c r="M61" s="1318">
        <f>IF(ISBLANK(Récap1!M61),"",Récap1!M61)</f>
        <v>20.075395790853964</v>
      </c>
      <c r="N61" s="1318">
        <f>IF(ISBLANK(Récap1!N61),"",Récap1!N61)</f>
        <v>45.780954545454541</v>
      </c>
      <c r="O61" s="1318">
        <f>IF(ISBLANK(Récap1!O61),"",Récap1!O61)</f>
        <v>45.780954545454541</v>
      </c>
      <c r="P61" s="1318">
        <f>IF(ISBLANK(Récap1!P61),"",Récap1!P61)</f>
        <v>9.1561909090909115</v>
      </c>
      <c r="Q61" s="1318">
        <f>IF(ISBLANK(Récap1!Q61),"",Récap1!Q61)</f>
        <v>9.1561909090909115</v>
      </c>
      <c r="R61" s="1318">
        <f>IF(ISBLANK(Récap1!R61),"",Récap1!R61)</f>
        <v>91.561909090909097</v>
      </c>
      <c r="S61" s="1318">
        <f>IF(ISBLANK(Récap1!S61),"",Récap1!S61)</f>
        <v>3.9809525691699599</v>
      </c>
      <c r="T61" s="1318">
        <f>IF(ISBLANK(Récap1!T61),"",Récap1!T61)</f>
        <v>3.9809525691699599</v>
      </c>
      <c r="U61" s="1318">
        <f>IF(ISBLANK(Récap1!U61),"",Récap1!U61)</f>
        <v>2.1800454545454544</v>
      </c>
      <c r="V61" s="1441">
        <f>IF(ISBLANK(Récap1!V61),"",Récap1!V61)</f>
        <v>261.60545454545451</v>
      </c>
      <c r="W61" s="1318">
        <f>IF(ISBLANK(Récap1!W61),"",Récap1!W61)</f>
        <v>261.60545454545451</v>
      </c>
      <c r="X61" s="1318">
        <f>IF(ISBLANK(Récap1!X61),"",Récap1!X61)</f>
        <v>2.7474192261642125</v>
      </c>
      <c r="Y61" s="1318">
        <f>IF(ISBLANK(Récap1!Y61),"",Récap1!Y61)</f>
        <v>96.184299750885145</v>
      </c>
      <c r="Z61" s="1318">
        <f>IF(ISBLANK(Récap1!Z61),"",Récap1!Z61)</f>
        <v>36.624763636363639</v>
      </c>
      <c r="AA61" s="1319">
        <f>IF(ISBLANK(Récap1!AA61),"",Récap1!AA61)</f>
        <v>98.600352296288179</v>
      </c>
      <c r="AB61" s="1318" t="str">
        <f>IF(ISBLANK(Récap1!AB61),"",Récap1!AB61)</f>
        <v>PVL</v>
      </c>
      <c r="AC61" s="1321" t="str">
        <f>IF(ISBLANK(Récap1!AC61),"",Récap1!AC61)</f>
        <v>PVL</v>
      </c>
      <c r="AD61" s="1318" t="str">
        <f>IF(ISBLANK(Récap1!AD61),"",Récap1!AD61)</f>
        <v>PVL</v>
      </c>
      <c r="AE61" s="1318" t="str">
        <f>IF(ISBLANK(Récap1!AE61),"",Récap1!AE61)</f>
        <v>PVL</v>
      </c>
      <c r="AF61" s="1146" t="str">
        <f>IF(ISBLANK(Récap1!AF61),"",Récap1!AF61)</f>
        <v>PVL</v>
      </c>
      <c r="AG61" s="1318" t="str">
        <f>IF(ISBLANK(Récap1!AG61),"",Récap1!AG61)</f>
        <v>PVL</v>
      </c>
      <c r="AH61" s="1318" t="str">
        <f>IF(ISBLANK(Récap1!AH61),"",Récap1!AH61)</f>
        <v>PVL</v>
      </c>
      <c r="AI61" s="1318" t="str">
        <f>IF(ISBLANK(Récap1!AI61),"",Récap1!AI61)</f>
        <v>PVL</v>
      </c>
      <c r="AJ61" s="1321" t="str">
        <f>IF(ISBLANK(Récap1!AJ61),"",Récap1!AJ61)</f>
        <v>PVL</v>
      </c>
      <c r="AK61" s="1318" t="str">
        <f>IF(ISBLANK(Récap1!AK61),"",Récap1!AK61)</f>
        <v>PVL</v>
      </c>
      <c r="AL61" s="1318" t="str">
        <f>IF(ISBLANK(Récap1!AL61),"",Récap1!AL61)</f>
        <v>PVL</v>
      </c>
      <c r="AM61" s="1318" t="str">
        <f>IF(ISBLANK(Récap1!AM61),"",Récap1!AM61)</f>
        <v>PVL</v>
      </c>
      <c r="AN61" s="1320">
        <f>IF(ISBLANK(Récap1!AN61),"",Récap1!AN61)</f>
        <v>13.289972817113433</v>
      </c>
      <c r="AO61" s="1318" t="str">
        <f>IF(ISBLANK(Récap1!AO61),"",Récap1!AO61)</f>
        <v>PVL</v>
      </c>
      <c r="AP61" s="1318" t="str">
        <f>IF(ISBLANK(Récap1!AP61),"",Récap1!AP61)</f>
        <v>PVL</v>
      </c>
      <c r="AQ61" s="1318" t="str">
        <f>IF(ISBLANK(Récap1!AQ61),"",Récap1!AQ61)</f>
        <v>PVL</v>
      </c>
      <c r="AR61" s="1318" t="str">
        <f>IF(ISBLANK(Récap1!AR61),"",Récap1!AR61)</f>
        <v>PVL</v>
      </c>
      <c r="AS61" s="1318" t="str">
        <f>IF(ISBLANK(Récap1!AS61),"",Récap1!AS61)</f>
        <v>PVL</v>
      </c>
      <c r="AT61" s="1318" t="str">
        <f>IF(ISBLANK(Récap1!AT61),"",Récap1!AT61)</f>
        <v>PVL</v>
      </c>
      <c r="AU61" s="1318" t="str">
        <f>IF(ISBLANK(Récap1!AU61),"",Récap1!AU61)</f>
        <v>PVL</v>
      </c>
      <c r="AV61" s="1318" t="str">
        <f>IF(ISBLANK(Récap1!AV61),"",Récap1!AV61)</f>
        <v>PVL</v>
      </c>
      <c r="AW61" s="1318" t="str">
        <f>IF(ISBLANK(Récap1!AW61),"",Récap1!AW61)</f>
        <v>PVL</v>
      </c>
      <c r="AX61" s="1318" t="str">
        <f>IF(ISBLANK(Récap1!AX61),"",Récap1!AX61)</f>
        <v>PVL</v>
      </c>
      <c r="AY61" s="1318" t="str">
        <f>IF(ISBLANK(Récap1!AY61),"",Récap1!AY61)</f>
        <v>PVL</v>
      </c>
      <c r="AZ61" s="1318" t="str">
        <f>IF(ISBLANK(Récap1!AZ61),"",Récap1!AZ61)</f>
        <v>PVL</v>
      </c>
      <c r="BA61" s="1318" t="str">
        <f>IF(ISBLANK(Récap1!BA61),"",Récap1!BA61)</f>
        <v>PVL</v>
      </c>
      <c r="BB61" s="1318" t="str">
        <f>IF(ISBLANK(Récap1!BB61),"",Récap1!BB61)</f>
        <v>PVL</v>
      </c>
      <c r="BC61" s="1319" t="str">
        <f>IF(ISBLANK(Récap1!BC61),"",Récap1!BC61)</f>
        <v>PVL</v>
      </c>
      <c r="BD61" s="1471">
        <f>IF(ISBLANK(Récap1!BD61),"",Récap1!BD61)</f>
        <v>1462.1351057555348</v>
      </c>
      <c r="BE61" s="1318" t="str">
        <f>IF(ISBLANK(Récap1!BE61),"",Récap1!BE61)</f>
        <v>PVL</v>
      </c>
      <c r="BF61" s="1318" t="str">
        <f>IF(ISBLANK(Récap1!BF61),"",Récap1!BF61)</f>
        <v>PVL</v>
      </c>
      <c r="BG61" s="1318">
        <f>IF(ISBLANK(Récap1!BG61),"",Récap1!BG61)</f>
        <v>7.8481636363636371E-3</v>
      </c>
      <c r="BH61" s="1311">
        <f>IF(ISBLANK(Récap1!BH61),"",Récap1!BH61)</f>
        <v>32.570190666935673</v>
      </c>
      <c r="BI61" s="1318">
        <f>IF(ISBLANK(Récap1!BI61),"",Récap1!BI61)</f>
        <v>15.176458616958138</v>
      </c>
      <c r="BJ61" s="1312" t="e">
        <f>IF(ISBLANK(Récap1!#REF!),"",Récap1!#REF!)</f>
        <v>#REF!</v>
      </c>
      <c r="BK61" s="1312" t="e">
        <f>IF(ISBLANK(Récap1!#REF!),"",Récap1!#REF!)</f>
        <v>#REF!</v>
      </c>
      <c r="BL61" s="1318">
        <f>IF(ISBLANK('HCT2'!H61),"",'HCT2'!H61)</f>
        <v>2.7474192261642125</v>
      </c>
      <c r="BM61" s="1318">
        <f>IF(ISBLANK('HCT2'!I61),"",'HCT2'!I61)</f>
        <v>96.184299750885145</v>
      </c>
      <c r="BN61" s="1318">
        <f>IF(ISBLANK('HCT2'!J61),"",'HCT2'!J61)</f>
        <v>36.624763636363639</v>
      </c>
      <c r="BO61" s="1319">
        <f>IF(ISBLANK('HCT2'!K61),"",'HCT2'!K61)</f>
        <v>98.600352296288179</v>
      </c>
      <c r="BP61" s="1318">
        <f>IF(ISBLANK('HCT2'!L61),"",'HCT2'!L61)</f>
        <v>126.0299739206294</v>
      </c>
      <c r="BQ61" s="1321">
        <f>IF(ISBLANK('HCT2'!M61),"",'HCT2'!M61)</f>
        <v>16.647114731636385</v>
      </c>
      <c r="BR61" s="1318">
        <f>IF(ISBLANK('HCT2'!N61),"",'HCT2'!N61)</f>
        <v>29.607831275940278</v>
      </c>
      <c r="BS61" s="1318">
        <f>IF(ISBLANK('HCT2'!O61),"",'HCT2'!O61)</f>
        <v>2.8113591099482775</v>
      </c>
      <c r="BT61" s="1146">
        <f>IF(ISBLANK('HCT2'!P61),"",'HCT2'!P61)</f>
        <v>1.9322992500812663E-2</v>
      </c>
      <c r="BU61" s="1318">
        <f>IF(ISBLANK('HCT2'!Q61),"",'HCT2'!Q61)</f>
        <v>239.74624142696982</v>
      </c>
      <c r="BV61" s="1318">
        <f>IF(ISBLANK('HCT2'!R61),"",'HCT2'!R61)</f>
        <v>185.34310126470973</v>
      </c>
      <c r="BW61" s="1318">
        <f>IF(ISBLANK('HCT2'!S61),"",'HCT2'!S61)</f>
        <v>50.015600437773628</v>
      </c>
      <c r="BX61" s="1321">
        <f>IF(ISBLANK('HCT2'!T61),"",'HCT2'!T61)</f>
        <v>11.444976489768178</v>
      </c>
      <c r="BY61" s="1318">
        <f>IF(ISBLANK('HCT2'!U61),"",'HCT2'!U61)</f>
        <v>37.395520537930352</v>
      </c>
      <c r="BZ61" s="1318">
        <f>IF(ISBLANK('HCT2'!V61),"",'HCT2'!V61)</f>
        <v>23.870560393342576</v>
      </c>
      <c r="CA61" s="1318">
        <f>IF(ISBLANK('HCT2'!W61),"",'HCT2'!W61)</f>
        <v>2.5113679373767974</v>
      </c>
      <c r="CB61" s="1312" t="str">
        <f>IF(ISBLANK('HCT2'!X61),"",'HCT2'!X61)</f>
        <v/>
      </c>
      <c r="CC61" s="1313">
        <f>IF(ISBLANK('HCT2'!Y61),"",'HCT2'!Y61)</f>
        <v>239.85055862379866</v>
      </c>
      <c r="CD61" s="1314">
        <f>IF(ISBLANK('HCT2'!Z61),"",'HCT2'!Z61)</f>
        <v>705.39936381158907</v>
      </c>
      <c r="CE61" s="1312" t="str">
        <f>IF(ISBLANK('HCT2'!AA61),"",'HCT2'!AA61)</f>
        <v/>
      </c>
      <c r="CF61" s="1312" t="str">
        <f>IF(ISBLANK('HCT2'!AB61),"",'HCT2'!AB61)</f>
        <v/>
      </c>
      <c r="CG61" s="1315" t="str">
        <f>IF(ISBLANK('HCT2'!AC61),"",'HCT2'!AC61)</f>
        <v>PVL</v>
      </c>
      <c r="CH61" s="1312" t="str">
        <f>IF(ISBLANK('HCT2'!AD61),"",'HCT2'!AD61)</f>
        <v/>
      </c>
      <c r="CI61" s="1312" t="str">
        <f>IF(ISBLANK('HCT2'!AE61),"",'HCT2'!AE61)</f>
        <v/>
      </c>
      <c r="CJ61" s="1312" t="str">
        <f>IF(ISBLANK('HCT2'!AF61),"",'HCT2'!AF61)</f>
        <v/>
      </c>
      <c r="CK61" s="1316" t="str">
        <f>IF(ISBLANK('HCT2'!AG61),"",'HCT2'!AG61)</f>
        <v/>
      </c>
      <c r="CL61" s="1312" t="str">
        <f>IF(ISBLANK('HCT2'!AH61),"",'HCT2'!AH61)</f>
        <v>PVL</v>
      </c>
      <c r="CM61" s="1312" t="str">
        <f>IF(ISBLANK('HCT2'!AI61),"",'HCT2'!AI61)</f>
        <v>PVL</v>
      </c>
      <c r="CN61" s="1316" t="str">
        <f>IF(ISBLANK('HCT2'!AJ61),"",'HCT2'!AJ61)</f>
        <v>PVL</v>
      </c>
      <c r="CO61" s="1312" t="str">
        <f>IF(ISBLANK('HCT2'!AK61),"",'HCT2'!AK61)</f>
        <v/>
      </c>
      <c r="CP61" s="1312" t="str">
        <f>IF(ISBLANK('HCT2'!AL61),"",'HCT2'!AL61)</f>
        <v/>
      </c>
      <c r="CQ61" s="1312" t="str">
        <f>IF(ISBLANK('HCT2'!AM61),"",'HCT2'!AM61)</f>
        <v/>
      </c>
      <c r="CR61" s="1317" t="str">
        <f>IF(ISBLANK('HCT2'!AN61),"",'HCT2'!AN61)</f>
        <v/>
      </c>
      <c r="CS61" s="1318">
        <f>IF(ISBLANK('HCT2'!AO61),"",'HCT2'!AO61)</f>
        <v>705.39936381158907</v>
      </c>
      <c r="CT61" s="1174">
        <f>IF(ISBLANK('HCT2'!AP61),"",'HCT2'!AP61)</f>
        <v>0.14780910234752553</v>
      </c>
      <c r="CU61" s="1156">
        <f>IF(ISBLANK('HCT2'!AQ61),"",'HCT2'!AQ61)</f>
        <v>669.32088353018514</v>
      </c>
      <c r="CV61" s="1533">
        <f>IF(ISBLANK('HCT2'!AR61),"",'HCT2'!AR61)</f>
        <v>700.06663602713195</v>
      </c>
      <c r="CW61" s="1534" t="e">
        <f>IF(ISBLANK(Récap1!#REF!),"",Récap1!#REF!)</f>
        <v>#REF!</v>
      </c>
      <c r="CX61" s="1534" t="e">
        <f>IF(ISBLANK(Récap1!#REF!),"",Récap1!#REF!)</f>
        <v>#REF!</v>
      </c>
      <c r="CY61" s="1535" t="e">
        <f>IF(ISBLANK(Récap1!#REF!),"",Récap1!#REF!)</f>
        <v>#REF!</v>
      </c>
      <c r="CZ61" s="1535" t="e">
        <f>IF(ISBLANK(Récap1!#REF!),"",Récap1!#REF!)</f>
        <v>#REF!</v>
      </c>
      <c r="DA61" s="1535" t="e">
        <f>IF(ISBLANK(Récap1!#REF!),"",Récap1!#REF!)</f>
        <v>#REF!</v>
      </c>
      <c r="DB61" s="1535" t="e">
        <f>IF(ISBLANK(Récap1!#REF!),"",Récap1!#REF!)</f>
        <v>#REF!</v>
      </c>
      <c r="DC61" s="1534" t="str">
        <f>IF(ISBLANK('HCT2'!AS61),"",'HCT2'!AS61)</f>
        <v>PVL</v>
      </c>
      <c r="DD61" s="1535" t="str">
        <f>IF(ISBLANK('HCT2'!AT61),"",'HCT2'!AT61)</f>
        <v>PVL</v>
      </c>
      <c r="DE61" s="1535" t="str">
        <f>IF(ISBLANK('HCT2'!AU61),"",'HCT2'!AU61)</f>
        <v>PVL</v>
      </c>
      <c r="DF61" s="1535" t="str">
        <f>IF(ISBLANK('HCT2'!AV61),"",'HCT2'!AV61)</f>
        <v>PVL</v>
      </c>
      <c r="DG61" s="1535" t="str">
        <f>IF(ISBLANK('HCT2'!AW61),"",'HCT2'!AW61)</f>
        <v/>
      </c>
      <c r="DH61" s="1535" t="str">
        <f>IF(ISBLANK('HCT2'!AX61),"",'HCT2'!AX61)</f>
        <v/>
      </c>
      <c r="DI61" s="1535" t="str">
        <f>IF(ISBLANK('HCT2'!AY61),"",'HCT2'!AY61)</f>
        <v/>
      </c>
      <c r="DJ61" s="1536" t="str">
        <f>IF(ISBLANK('HCT2'!AZ61),"",'HCT2'!AZ61)</f>
        <v>PVL</v>
      </c>
      <c r="DK61" s="1535" t="str">
        <f>IF(ISBLANK('HCT2'!BA61),"",'HCT2'!BA61)</f>
        <v>PVL</v>
      </c>
      <c r="DL61" s="1535" t="str">
        <f>IF(ISBLANK('HCT2'!BB61),"",'HCT2'!BB61)</f>
        <v>PVL</v>
      </c>
      <c r="DM61" s="1537" t="str">
        <f>IF(ISBLANK('HCT2'!BC61),"",'HCT2'!BC61)</f>
        <v>PVL</v>
      </c>
      <c r="DN61" s="1535" t="str">
        <f>IF(ISBLANK('HCT2'!BD61),"",'HCT2'!BD61)</f>
        <v>PVL</v>
      </c>
      <c r="DO61" s="1475">
        <f>IF(ISBLANK('HCT2'!BE61),"",'HCT2'!BE61)</f>
        <v>0</v>
      </c>
      <c r="DP61" s="1537" t="str">
        <f>IF(ISBLANK('HCT2'!BF61),"",'HCT2'!BF61)</f>
        <v>PVL</v>
      </c>
      <c r="DQ61" s="790">
        <f t="shared" si="0"/>
        <v>124.30805346844366</v>
      </c>
      <c r="DS61" s="1005">
        <f t="shared" si="1"/>
        <v>242.49366065313404</v>
      </c>
      <c r="DT61" s="1005">
        <f t="shared" si="1"/>
        <v>281.52740101559488</v>
      </c>
      <c r="DU61" s="1005">
        <f t="shared" si="2"/>
        <v>176.04557435840303</v>
      </c>
      <c r="DV61" s="1007">
        <f t="shared" si="2"/>
        <v>28.092091221404566</v>
      </c>
      <c r="DW61" s="1005">
        <f t="shared" si="2"/>
        <v>67.003351813870637</v>
      </c>
      <c r="DX61" s="1005">
        <f t="shared" si="2"/>
        <v>26.681919503290853</v>
      </c>
      <c r="DY61" s="1005">
        <f t="shared" si="2"/>
        <v>2.5306909298776099</v>
      </c>
    </row>
    <row r="62" spans="1:129" s="513" customFormat="1" ht="13.5" hidden="1">
      <c r="A62" s="510"/>
      <c r="B62" s="510"/>
      <c r="C62" s="77"/>
      <c r="D62" s="787"/>
      <c r="E62" s="352" t="str">
        <f>IF(ISBLANK(Récap1!E62),"",Récap1!E62)</f>
        <v>Seuil dont détection olfactive air du sol</v>
      </c>
      <c r="F62" s="800" t="str">
        <f>IF(ISBLANK(Récap1!F62),"",Récap1!F62)</f>
        <v>Cs</v>
      </c>
      <c r="G62" s="800" t="str">
        <f>IF(ISBLANK(Récap1!G62),"",Récap1!G62)</f>
        <v>mg/kg ms</v>
      </c>
      <c r="H62" s="801">
        <f>IF(ISBLANK(Récap1!H62),"",Récap1!H62)</f>
        <v>5181.2716774705141</v>
      </c>
      <c r="I62" s="796">
        <f>IF(ISBLANK(Récap1!I62),"",Récap1!I62)</f>
        <v>5181.2716774705141</v>
      </c>
      <c r="J62" s="1256">
        <f>IF(ISBLANK(Récap1!J62),"",Récap1!J62)</f>
        <v>38758.586675549173</v>
      </c>
      <c r="K62" s="1255">
        <f>IF(ISBLANK(Récap1!K62),"",Récap1!K62)</f>
        <v>6.7474391639365076E-3</v>
      </c>
      <c r="L62" s="1256">
        <f>IF(ISBLANK(Récap1!L62),"",Récap1!L62)</f>
        <v>9.5069987104584891E-2</v>
      </c>
      <c r="M62" s="1256">
        <f>IF(ISBLANK(Récap1!M62),"",Récap1!M62)</f>
        <v>9.5069987104584891E-2</v>
      </c>
      <c r="N62" s="1256">
        <f>IF(ISBLANK(Récap1!N62),"",Récap1!N62)</f>
        <v>0.10760591893278754</v>
      </c>
      <c r="O62" s="1256">
        <f>IF(ISBLANK(Récap1!O62),"",Récap1!O62)</f>
        <v>0.10760591893278754</v>
      </c>
      <c r="P62" s="1256">
        <f>IF(ISBLANK(Récap1!P62),"",Récap1!P62)</f>
        <v>0.1199562906395495</v>
      </c>
      <c r="Q62" s="1256">
        <f>IF(ISBLANK(Récap1!Q62),"",Récap1!Q62)</f>
        <v>0.1199562906395495</v>
      </c>
      <c r="R62" s="1256">
        <f>IF(ISBLANK(Récap1!R62),"",Récap1!R62)</f>
        <v>0.14151448202581743</v>
      </c>
      <c r="S62" s="1256">
        <f>IF(ISBLANK(Récap1!S62),"",Récap1!S62)</f>
        <v>2.0354402069204962E-2</v>
      </c>
      <c r="T62" s="1256">
        <f>IF(ISBLANK(Récap1!T62),"",Récap1!T62)</f>
        <v>2.0354402069204962E-2</v>
      </c>
      <c r="U62" s="1256">
        <f>IF(ISBLANK(Récap1!U62),"",Récap1!U62)</f>
        <v>0.22282665960017883</v>
      </c>
      <c r="V62" s="1438">
        <f>IF(ISBLANK(Récap1!V62),"",Récap1!V62)</f>
        <v>0.12300081894181439</v>
      </c>
      <c r="W62" s="1256">
        <f>IF(ISBLANK(Récap1!W62),"",Récap1!W62)</f>
        <v>0.12300081894181439</v>
      </c>
      <c r="X62" s="1256">
        <f>IF(ISBLANK(Récap1!X62),"",Récap1!X62)</f>
        <v>1.754223700777784E-2</v>
      </c>
      <c r="Y62" s="1256">
        <f>IF(ISBLANK(Récap1!Y62),"",Récap1!Y62)</f>
        <v>1.5601159508858542E-2</v>
      </c>
      <c r="Z62" s="1256">
        <f>IF(ISBLANK(Récap1!Z62),"",Récap1!Z62)</f>
        <v>2.7467644250260864E-2</v>
      </c>
      <c r="AA62" s="1257">
        <f>IF(ISBLANK(Récap1!AA62),"",Récap1!AA62)</f>
        <v>1.2461201679065631E-3</v>
      </c>
      <c r="AB62" s="1256">
        <f>IF(ISBLANK(Récap1!AB62),"",Récap1!AB62)</f>
        <v>6.315727857926912E-3</v>
      </c>
      <c r="AC62" s="1258">
        <f>IF(ISBLANK(Récap1!AC62),"",Récap1!AC62)</f>
        <v>8.5154918231512226E-3</v>
      </c>
      <c r="AD62" s="1256">
        <f>IF(ISBLANK(Récap1!AD62),"",Récap1!AD62)</f>
        <v>4.3505584443829494E-2</v>
      </c>
      <c r="AE62" s="1256">
        <f>IF(ISBLANK(Récap1!AE62),"",Récap1!AE62)</f>
        <v>0.34890349802377557</v>
      </c>
      <c r="AF62" s="1259" t="str">
        <f>IF(ISBLANK(Récap1!AF62),"",Récap1!AF62)</f>
        <v>PVL</v>
      </c>
      <c r="AG62" s="1256">
        <f>IF(ISBLANK(Récap1!AG62),"",Récap1!AG62)</f>
        <v>6.29011484708197E-3</v>
      </c>
      <c r="AH62" s="1256">
        <f>IF(ISBLANK(Récap1!AH62),"",Récap1!AH62)</f>
        <v>4.7819012449342634E-2</v>
      </c>
      <c r="AI62" s="1256">
        <f>IF(ISBLANK(Récap1!AI62),"",Récap1!AI62)</f>
        <v>9.5103001942881699E-3</v>
      </c>
      <c r="AJ62" s="1258">
        <f>IF(ISBLANK(Récap1!AJ62),"",Récap1!AJ62)</f>
        <v>1.5332408405335814E-2</v>
      </c>
      <c r="AK62" s="1256">
        <f>IF(ISBLANK(Récap1!AK62),"",Récap1!AK62)</f>
        <v>0.37132861944557133</v>
      </c>
      <c r="AL62" s="1256" t="str">
        <f>IF(ISBLANK(Récap1!AL62),"",Récap1!AL62)</f>
        <v>PVL</v>
      </c>
      <c r="AM62" s="1256" t="str">
        <f>IF(ISBLANK(Récap1!AM62),"",Récap1!AM62)</f>
        <v>PVL</v>
      </c>
      <c r="AN62" s="1255">
        <f>IF(ISBLANK(Récap1!AN62),"",Récap1!AN62)</f>
        <v>0.10469744549099785</v>
      </c>
      <c r="AO62" s="1256">
        <f>IF(ISBLANK(Récap1!AO62),"",Récap1!AO62)</f>
        <v>0.38334241569623678</v>
      </c>
      <c r="AP62" s="1256">
        <f>IF(ISBLANK(Récap1!AP62),"",Récap1!AP62)</f>
        <v>0.22914151194741517</v>
      </c>
      <c r="AQ62" s="1256">
        <f>IF(ISBLANK(Récap1!AQ62),"",Récap1!AQ62)</f>
        <v>0.56590208573839795</v>
      </c>
      <c r="AR62" s="1256">
        <f>IF(ISBLANK(Récap1!AR62),"",Récap1!AR62)</f>
        <v>2.8264444973650038</v>
      </c>
      <c r="AS62" s="1256" t="str">
        <f>IF(ISBLANK(Récap1!AS62),"",Récap1!AS62)</f>
        <v>PVL</v>
      </c>
      <c r="AT62" s="1256" t="str">
        <f>IF(ISBLANK(Récap1!AT62),"",Récap1!AT62)</f>
        <v>PVL</v>
      </c>
      <c r="AU62" s="1256" t="str">
        <f>IF(ISBLANK(Récap1!AU62),"",Récap1!AU62)</f>
        <v>PVL</v>
      </c>
      <c r="AV62" s="1256" t="str">
        <f>IF(ISBLANK(Récap1!AV62),"",Récap1!AV62)</f>
        <v>PVL</v>
      </c>
      <c r="AW62" s="1256" t="str">
        <f>IF(ISBLANK(Récap1!AW62),"",Récap1!AW62)</f>
        <v>PVL</v>
      </c>
      <c r="AX62" s="1256" t="str">
        <f>IF(ISBLANK(Récap1!AX62),"",Récap1!AX62)</f>
        <v>PVL</v>
      </c>
      <c r="AY62" s="1256" t="str">
        <f>IF(ISBLANK(Récap1!AY62),"",Récap1!AY62)</f>
        <v>PVL</v>
      </c>
      <c r="AZ62" s="1256" t="str">
        <f>IF(ISBLANK(Récap1!AZ62),"",Récap1!AZ62)</f>
        <v>PVL</v>
      </c>
      <c r="BA62" s="1256" t="str">
        <f>IF(ISBLANK(Récap1!BA62),"",Récap1!BA62)</f>
        <v>PVL</v>
      </c>
      <c r="BB62" s="1256" t="str">
        <f>IF(ISBLANK(Récap1!BB62),"",Récap1!BB62)</f>
        <v>PVL</v>
      </c>
      <c r="BC62" s="1257" t="str">
        <f>IF(ISBLANK(Récap1!BC62),"",Récap1!BC62)</f>
        <v>PVL</v>
      </c>
      <c r="BD62" s="1467">
        <f>IF(ISBLANK(Récap1!BD62),"",Récap1!BD62)</f>
        <v>1.6724525926359499</v>
      </c>
      <c r="BE62" s="1256" t="str">
        <f>IF(ISBLANK(Récap1!BE62),"",Récap1!BE62)</f>
        <v>nd</v>
      </c>
      <c r="BF62" s="1256" t="str">
        <f>IF(ISBLANK(Récap1!BF62),"",Récap1!BF62)</f>
        <v>nd</v>
      </c>
      <c r="BG62" s="1256">
        <f>IF(ISBLANK(Récap1!BG62),"",Récap1!BG62)</f>
        <v>7.8481636363636371E-3</v>
      </c>
      <c r="BH62" s="657">
        <f>IF(ISBLANK(Récap1!BH62),"",Récap1!BH62)</f>
        <v>32.570190666935673</v>
      </c>
      <c r="BI62" s="1256" t="str">
        <f>IF(ISBLANK(Récap1!BI62),"",Récap1!BI62)</f>
        <v/>
      </c>
      <c r="BJ62" s="660" t="e">
        <f>IF(ISBLANK(Récap1!#REF!),"",Récap1!#REF!)</f>
        <v>#REF!</v>
      </c>
      <c r="BK62" s="660" t="e">
        <f>IF(ISBLANK(Récap1!#REF!),"",Récap1!#REF!)</f>
        <v>#REF!</v>
      </c>
      <c r="BL62" s="1256">
        <f>IF(ISBLANK('HCT2'!H62),"",'HCT2'!H62)</f>
        <v>1.754223700777784E-2</v>
      </c>
      <c r="BM62" s="1256">
        <f>IF(ISBLANK('HCT2'!I62),"",'HCT2'!I62)</f>
        <v>1.5601159508858542E-2</v>
      </c>
      <c r="BN62" s="1256">
        <f>IF(ISBLANK('HCT2'!J62),"",'HCT2'!J62)</f>
        <v>2.7467644250260864E-2</v>
      </c>
      <c r="BO62" s="1257">
        <f>IF(ISBLANK('HCT2'!K62),"",'HCT2'!K62)</f>
        <v>1.2461201679065631E-3</v>
      </c>
      <c r="BP62" s="1256">
        <f>IF(ISBLANK('HCT2'!L62),"",'HCT2'!L62)</f>
        <v>6.315727857926912E-3</v>
      </c>
      <c r="BQ62" s="1258">
        <f>IF(ISBLANK('HCT2'!M62),"",'HCT2'!M62)</f>
        <v>8.5154918231512226E-3</v>
      </c>
      <c r="BR62" s="1256">
        <f>IF(ISBLANK('HCT2'!N62),"",'HCT2'!N62)</f>
        <v>4.3505584443829494E-2</v>
      </c>
      <c r="BS62" s="1256">
        <f>IF(ISBLANK('HCT2'!O62),"",'HCT2'!O62)</f>
        <v>0.34890349802377557</v>
      </c>
      <c r="BT62" s="1259">
        <f>IF(ISBLANK('HCT2'!P62),"",'HCT2'!P62)</f>
        <v>2.3980784425454474E-3</v>
      </c>
      <c r="BU62" s="1256">
        <f>IF(ISBLANK('HCT2'!Q62),"",'HCT2'!Q62)</f>
        <v>6.29011484708197E-3</v>
      </c>
      <c r="BV62" s="1256">
        <f>IF(ISBLANK('HCT2'!R62),"",'HCT2'!R62)</f>
        <v>4.7819012449342634E-2</v>
      </c>
      <c r="BW62" s="1256">
        <f>IF(ISBLANK('HCT2'!S62),"",'HCT2'!S62)</f>
        <v>9.5103001942881699E-3</v>
      </c>
      <c r="BX62" s="1258">
        <f>IF(ISBLANK('HCT2'!T62),"",'HCT2'!T62)</f>
        <v>1.5332408405335814E-2</v>
      </c>
      <c r="BY62" s="1256">
        <f>IF(ISBLANK('HCT2'!U62),"",'HCT2'!U62)</f>
        <v>0.37132861944557133</v>
      </c>
      <c r="BZ62" s="1256">
        <f>IF(ISBLANK('HCT2'!V62),"",'HCT2'!V62)</f>
        <v>0.23702898391964997</v>
      </c>
      <c r="CA62" s="1256">
        <f>IF(ISBLANK('HCT2'!W62),"",'HCT2'!W62)</f>
        <v>2.493728595541592E-2</v>
      </c>
      <c r="CB62" s="660" t="str">
        <f>IF(ISBLANK('HCT2'!X62),"",'HCT2'!X62)</f>
        <v/>
      </c>
      <c r="CC62" s="1260">
        <f>IF(ISBLANK('HCT2'!Y62),"",'HCT2'!Y62)</f>
        <v>1.531442783015273</v>
      </c>
      <c r="CD62" s="1261">
        <f>IF(ISBLANK('HCT2'!Z62),"",'HCT2'!Z62)</f>
        <v>0.11441626149771564</v>
      </c>
      <c r="CE62" s="660" t="str">
        <f>IF(ISBLANK('HCT2'!AA62),"",'HCT2'!AA62)</f>
        <v/>
      </c>
      <c r="CF62" s="660" t="str">
        <f>IF(ISBLANK('HCT2'!AB62),"",'HCT2'!AB62)</f>
        <v/>
      </c>
      <c r="CG62" s="1262">
        <f>IF(ISBLANK('HCT2'!AC62),"",'HCT2'!AC62)</f>
        <v>3.5349609893551938E-2</v>
      </c>
      <c r="CH62" s="660" t="str">
        <f>IF(ISBLANK('HCT2'!AD62),"",'HCT2'!AD62)</f>
        <v/>
      </c>
      <c r="CI62" s="660" t="str">
        <f>IF(ISBLANK('HCT2'!AE62),"",'HCT2'!AE62)</f>
        <v/>
      </c>
      <c r="CJ62" s="660" t="str">
        <f>IF(ISBLANK('HCT2'!AF62),"",'HCT2'!AF62)</f>
        <v/>
      </c>
      <c r="CK62" s="1263" t="str">
        <f>IF(ISBLANK('HCT2'!AG62),"",'HCT2'!AG62)</f>
        <v/>
      </c>
      <c r="CL62" s="660">
        <f>IF(ISBLANK('HCT2'!AH62),"",'HCT2'!AH62)</f>
        <v>1.8507247433887469E-2</v>
      </c>
      <c r="CM62" s="660">
        <f>IF(ISBLANK('HCT2'!AI62),"",'HCT2'!AI62)</f>
        <v>0.18199490960113443</v>
      </c>
      <c r="CN62" s="1263">
        <f>IF(ISBLANK('HCT2'!AJ62),"",'HCT2'!AJ62)</f>
        <v>0.1341293446042798</v>
      </c>
      <c r="CO62" s="660" t="str">
        <f>IF(ISBLANK('HCT2'!AK62),"",'HCT2'!AK62)</f>
        <v/>
      </c>
      <c r="CP62" s="660" t="str">
        <f>IF(ISBLANK('HCT2'!AL62),"",'HCT2'!AL62)</f>
        <v/>
      </c>
      <c r="CQ62" s="660" t="str">
        <f>IF(ISBLANK('HCT2'!AM62),"",'HCT2'!AM62)</f>
        <v/>
      </c>
      <c r="CR62" s="694" t="str">
        <f>IF(ISBLANK('HCT2'!AN62),"",'HCT2'!AN62)</f>
        <v/>
      </c>
      <c r="CS62" s="1264">
        <f>IF(ISBLANK('HCT2'!AO62),"",'HCT2'!AO62)</f>
        <v>1.8507247433887469E-2</v>
      </c>
      <c r="CT62" s="1265">
        <f>IF(ISBLANK('HCT2'!AP62),"",'HCT2'!AP62)</f>
        <v>1</v>
      </c>
      <c r="CU62" s="1153">
        <f>IF(ISBLANK('HCT2'!AQ62),"",'HCT2'!AQ62)</f>
        <v>0.10307855186527606</v>
      </c>
      <c r="CV62" s="1509">
        <f>IF(ISBLANK('HCT2'!AR62),"",'HCT2'!AR62)</f>
        <v>0.10307855186527606</v>
      </c>
      <c r="CW62" s="1510" t="e">
        <f>IF(ISBLANK(Récap1!#REF!),"",Récap1!#REF!)</f>
        <v>#REF!</v>
      </c>
      <c r="CX62" s="1510" t="e">
        <f>IF(ISBLANK(Récap1!#REF!),"",Récap1!#REF!)</f>
        <v>#REF!</v>
      </c>
      <c r="CY62" s="1511" t="e">
        <f>IF(ISBLANK(Récap1!#REF!),"",Récap1!#REF!)</f>
        <v>#REF!</v>
      </c>
      <c r="CZ62" s="1511" t="e">
        <f>IF(ISBLANK(Récap1!#REF!),"",Récap1!#REF!)</f>
        <v>#REF!</v>
      </c>
      <c r="DA62" s="1511" t="e">
        <f>IF(ISBLANK(Récap1!#REF!),"",Récap1!#REF!)</f>
        <v>#REF!</v>
      </c>
      <c r="DB62" s="1511" t="e">
        <f>IF(ISBLANK(Récap1!#REF!),"",Récap1!#REF!)</f>
        <v>#REF!</v>
      </c>
      <c r="DC62" s="1510">
        <f>IF(ISBLANK('HCT2'!AS62),"",'HCT2'!AS62)</f>
        <v>0.22764985667296311</v>
      </c>
      <c r="DD62" s="1511">
        <f>IF(ISBLANK('HCT2'!AT62),"",'HCT2'!AT62)</f>
        <v>0.65393567054872792</v>
      </c>
      <c r="DE62" s="1511">
        <f>IF(ISBLANK('HCT2'!AU62),"",'HCT2'!AU62)</f>
        <v>55.231344746197017</v>
      </c>
      <c r="DF62" s="1511" t="str">
        <f>IF(ISBLANK('HCT2'!AV62),"",'HCT2'!AV62)</f>
        <v>PVL</v>
      </c>
      <c r="DG62" s="1511" t="str">
        <f>IF(ISBLANK('HCT2'!AW62),"",'HCT2'!AW62)</f>
        <v/>
      </c>
      <c r="DH62" s="1511" t="str">
        <f>IF(ISBLANK('HCT2'!AX62),"",'HCT2'!AX62)</f>
        <v/>
      </c>
      <c r="DI62" s="1511" t="str">
        <f>IF(ISBLANK('HCT2'!AY62),"",'HCT2'!AY62)</f>
        <v/>
      </c>
      <c r="DJ62" s="1512">
        <f>IF(ISBLANK('HCT2'!AZ62),"",'HCT2'!AZ62)</f>
        <v>0.11326533442831706</v>
      </c>
      <c r="DK62" s="1511">
        <f>IF(ISBLANK('HCT2'!BA62),"",'HCT2'!BA62)</f>
        <v>0.83953803720688558</v>
      </c>
      <c r="DL62" s="1511" t="str">
        <f>IF(ISBLANK('HCT2'!BB62),"",'HCT2'!BB62)</f>
        <v>PVL</v>
      </c>
      <c r="DM62" s="1513" t="str">
        <f>IF(ISBLANK('HCT2'!BC62),"",'HCT2'!BC62)</f>
        <v>PVL</v>
      </c>
      <c r="DN62" s="1514">
        <f>IF(ISBLANK('HCT2'!BD62),"",'HCT2'!BD62)</f>
        <v>0.11326533442831706</v>
      </c>
      <c r="DO62" s="1515">
        <f>IF(ISBLANK('HCT2'!BE62),"",'HCT2'!BE62)</f>
        <v>0.68792036811484414</v>
      </c>
      <c r="DP62" s="1516">
        <f>IF(ISBLANK('HCT2'!BF62),"",'HCT2'!BF62)</f>
        <v>1.1448790276408574</v>
      </c>
      <c r="DQ62" s="980">
        <f t="shared" si="0"/>
        <v>1.0519499504592749</v>
      </c>
      <c r="DS62" s="796">
        <f t="shared" si="1"/>
        <v>2.383235185485981E-2</v>
      </c>
      <c r="DT62" s="796">
        <f t="shared" si="1"/>
        <v>6.3420171958201182E-2</v>
      </c>
      <c r="DU62" s="796">
        <f t="shared" si="2"/>
        <v>1.5826028052215082E-2</v>
      </c>
      <c r="DV62" s="882">
        <f t="shared" si="2"/>
        <v>2.3847900228487037E-2</v>
      </c>
      <c r="DW62" s="796">
        <f t="shared" si="2"/>
        <v>0.41483420388940084</v>
      </c>
      <c r="DX62" s="796">
        <f t="shared" si="2"/>
        <v>0.58593248194342551</v>
      </c>
      <c r="DY62" s="796">
        <f t="shared" si="2"/>
        <v>2.7335364397961366E-2</v>
      </c>
    </row>
    <row r="63" spans="1:129" s="293" customFormat="1" hidden="1">
      <c r="B63" s="294"/>
      <c r="C63" s="65"/>
      <c r="D63" s="788"/>
      <c r="E63" s="758" t="str">
        <f>IF(ISBLANK(Récap1!E63),"",Récap1!E63)</f>
        <v>Zone industrielle, terres sous parking, exposition employé en extérieur (mi-temps) et en intérieur</v>
      </c>
      <c r="F63" s="759" t="str">
        <f>IF(ISBLANK(Récap1!F63),"",Récap1!F63)</f>
        <v/>
      </c>
      <c r="G63" s="760" t="str">
        <f>IF(ISBLANK(Récap1!G63),"",Récap1!G63)</f>
        <v/>
      </c>
      <c r="H63" s="761" t="str">
        <f>IF(ISBLANK(Récap1!H63),"",Récap1!H63)</f>
        <v/>
      </c>
      <c r="I63" s="762" t="str">
        <f>IF(ISBLANK(Récap1!I63),"",Récap1!I63)</f>
        <v/>
      </c>
      <c r="J63" s="636" t="str">
        <f>IF(ISBLANK(Récap1!J63),"",Récap1!J63)</f>
        <v/>
      </c>
      <c r="K63" s="1322" t="str">
        <f>IF(ISBLANK(Récap1!K63),"",Récap1!K63)</f>
        <v/>
      </c>
      <c r="L63" s="1323" t="str">
        <f>IF(ISBLANK(Récap1!L63),"",Récap1!L63)</f>
        <v/>
      </c>
      <c r="M63" s="1323" t="str">
        <f>IF(ISBLANK(Récap1!M63),"",Récap1!M63)</f>
        <v/>
      </c>
      <c r="N63" s="636" t="str">
        <f>IF(ISBLANK(Récap1!N63),"",Récap1!N63)</f>
        <v/>
      </c>
      <c r="O63" s="636" t="str">
        <f>IF(ISBLANK(Récap1!O63),"",Récap1!O63)</f>
        <v/>
      </c>
      <c r="P63" s="636" t="str">
        <f>IF(ISBLANK(Récap1!P63),"",Récap1!P63)</f>
        <v/>
      </c>
      <c r="Q63" s="636" t="str">
        <f>IF(ISBLANK(Récap1!Q63),"",Récap1!Q63)</f>
        <v/>
      </c>
      <c r="R63" s="1323" t="str">
        <f>IF(ISBLANK(Récap1!R63),"",Récap1!R63)</f>
        <v/>
      </c>
      <c r="S63" s="636" t="str">
        <f>IF(ISBLANK(Récap1!S63),"",Récap1!S63)</f>
        <v/>
      </c>
      <c r="T63" s="636" t="str">
        <f>IF(ISBLANK(Récap1!T63),"",Récap1!T63)</f>
        <v/>
      </c>
      <c r="U63" s="636" t="str">
        <f>IF(ISBLANK(Récap1!U63),"",Récap1!U63)</f>
        <v/>
      </c>
      <c r="V63" s="1433" t="str">
        <f>IF(ISBLANK(Récap1!V63),"",Récap1!V63)</f>
        <v/>
      </c>
      <c r="W63" s="636" t="str">
        <f>IF(ISBLANK(Récap1!W63),"",Récap1!W63)</f>
        <v/>
      </c>
      <c r="X63" s="636" t="str">
        <f>IF(ISBLANK(Récap1!X63),"",Récap1!X63)</f>
        <v/>
      </c>
      <c r="Y63" s="636" t="str">
        <f>IF(ISBLANK(Récap1!Y63),"",Récap1!Y63)</f>
        <v/>
      </c>
      <c r="Z63" s="636" t="str">
        <f>IF(ISBLANK(Récap1!Z63),"",Récap1!Z63)</f>
        <v/>
      </c>
      <c r="AA63" s="473" t="str">
        <f>IF(ISBLANK(Récap1!AA63),"",Récap1!AA63)</f>
        <v/>
      </c>
      <c r="AB63" s="636" t="str">
        <f>IF(ISBLANK(Récap1!AB63),"",Récap1!AB63)</f>
        <v/>
      </c>
      <c r="AC63" s="1271" t="str">
        <f>IF(ISBLANK(Récap1!AC63),"",Récap1!AC63)</f>
        <v/>
      </c>
      <c r="AD63" s="636" t="str">
        <f>IF(ISBLANK(Récap1!AD63),"",Récap1!AD63)</f>
        <v/>
      </c>
      <c r="AE63" s="636" t="str">
        <f>IF(ISBLANK(Récap1!AE63),"",Récap1!AE63)</f>
        <v/>
      </c>
      <c r="AF63" s="1272" t="str">
        <f>IF(ISBLANK(Récap1!AF63),"",Récap1!AF63)</f>
        <v/>
      </c>
      <c r="AG63" s="636" t="str">
        <f>IF(ISBLANK(Récap1!AG63),"",Récap1!AG63)</f>
        <v/>
      </c>
      <c r="AH63" s="636" t="str">
        <f>IF(ISBLANK(Récap1!AH63),"",Récap1!AH63)</f>
        <v/>
      </c>
      <c r="AI63" s="636" t="str">
        <f>IF(ISBLANK(Récap1!AI63),"",Récap1!AI63)</f>
        <v/>
      </c>
      <c r="AJ63" s="1271" t="str">
        <f>IF(ISBLANK(Récap1!AJ63),"",Récap1!AJ63)</f>
        <v/>
      </c>
      <c r="AK63" s="636" t="str">
        <f>IF(ISBLANK(Récap1!AK63),"",Récap1!AK63)</f>
        <v/>
      </c>
      <c r="AL63" s="636" t="str">
        <f>IF(ISBLANK(Récap1!AL63),"",Récap1!AL63)</f>
        <v/>
      </c>
      <c r="AM63" s="636" t="str">
        <f>IF(ISBLANK(Récap1!AM63),"",Récap1!AM63)</f>
        <v/>
      </c>
      <c r="AN63" s="1270" t="str">
        <f>IF(ISBLANK(Récap1!AN63),"",Récap1!AN63)</f>
        <v/>
      </c>
      <c r="AO63" s="636" t="str">
        <f>IF(ISBLANK(Récap1!AO63),"",Récap1!AO63)</f>
        <v/>
      </c>
      <c r="AP63" s="636" t="str">
        <f>IF(ISBLANK(Récap1!AP63),"",Récap1!AP63)</f>
        <v/>
      </c>
      <c r="AQ63" s="636" t="str">
        <f>IF(ISBLANK(Récap1!AQ63),"",Récap1!AQ63)</f>
        <v/>
      </c>
      <c r="AR63" s="636" t="str">
        <f>IF(ISBLANK(Récap1!AR63),"",Récap1!AR63)</f>
        <v/>
      </c>
      <c r="AS63" s="636" t="str">
        <f>IF(ISBLANK(Récap1!AS63),"",Récap1!AS63)</f>
        <v/>
      </c>
      <c r="AT63" s="636" t="str">
        <f>IF(ISBLANK(Récap1!AT63),"",Récap1!AT63)</f>
        <v/>
      </c>
      <c r="AU63" s="636" t="str">
        <f>IF(ISBLANK(Récap1!AU63),"",Récap1!AU63)</f>
        <v/>
      </c>
      <c r="AV63" s="636" t="str">
        <f>IF(ISBLANK(Récap1!AV63),"",Récap1!AV63)</f>
        <v/>
      </c>
      <c r="AW63" s="636" t="str">
        <f>IF(ISBLANK(Récap1!AW63),"",Récap1!AW63)</f>
        <v/>
      </c>
      <c r="AX63" s="636" t="str">
        <f>IF(ISBLANK(Récap1!AX63),"",Récap1!AX63)</f>
        <v/>
      </c>
      <c r="AY63" s="636" t="str">
        <f>IF(ISBLANK(Récap1!AY63),"",Récap1!AY63)</f>
        <v/>
      </c>
      <c r="AZ63" s="636" t="str">
        <f>IF(ISBLANK(Récap1!AZ63),"",Récap1!AZ63)</f>
        <v/>
      </c>
      <c r="BA63" s="636" t="str">
        <f>IF(ISBLANK(Récap1!BA63),"",Récap1!BA63)</f>
        <v/>
      </c>
      <c r="BB63" s="636" t="str">
        <f>IF(ISBLANK(Récap1!BB63),"",Récap1!BB63)</f>
        <v/>
      </c>
      <c r="BC63" s="473" t="str">
        <f>IF(ISBLANK(Récap1!BC63),"",Récap1!BC63)</f>
        <v/>
      </c>
      <c r="BD63" s="1468" t="str">
        <f>IF(ISBLANK(Récap1!BD63),"",Récap1!BD63)</f>
        <v/>
      </c>
      <c r="BE63" s="636" t="str">
        <f>IF(ISBLANK(Récap1!BE63),"",Récap1!BE63)</f>
        <v/>
      </c>
      <c r="BF63" s="636" t="str">
        <f>IF(ISBLANK(Récap1!BF63),"",Récap1!BF63)</f>
        <v/>
      </c>
      <c r="BG63" s="636" t="str">
        <f>IF(ISBLANK(Récap1!BG63),"",Récap1!BG63)</f>
        <v/>
      </c>
      <c r="BH63" s="1273" t="str">
        <f>IF(ISBLANK(Récap1!BH63),"",Récap1!BH63)</f>
        <v/>
      </c>
      <c r="BI63" s="636" t="str">
        <f>IF(ISBLANK(Récap1!BI63),"",Récap1!BI63)</f>
        <v/>
      </c>
      <c r="BJ63" s="1274" t="e">
        <f>IF(ISBLANK(Récap1!#REF!),"",Récap1!#REF!)</f>
        <v>#REF!</v>
      </c>
      <c r="BK63" s="1274" t="e">
        <f>IF(ISBLANK(Récap1!#REF!),"",Récap1!#REF!)</f>
        <v>#REF!</v>
      </c>
      <c r="BL63" s="636">
        <f>IF(ISBLANK('HCT2'!H63),"",'HCT2'!H63)</f>
        <v>0</v>
      </c>
      <c r="BM63" s="636">
        <f>IF(ISBLANK('HCT2'!I63),"",'HCT2'!I63)</f>
        <v>0</v>
      </c>
      <c r="BN63" s="636">
        <f>IF(ISBLANK('HCT2'!J63),"",'HCT2'!J63)</f>
        <v>0</v>
      </c>
      <c r="BO63" s="473">
        <f>IF(ISBLANK('HCT2'!K63),"",'HCT2'!K63)</f>
        <v>0</v>
      </c>
      <c r="BP63" s="636">
        <f>IF(ISBLANK('HCT2'!L63),"",'HCT2'!L63)</f>
        <v>0</v>
      </c>
      <c r="BQ63" s="1271">
        <f>IF(ISBLANK('HCT2'!M63),"",'HCT2'!M63)</f>
        <v>0</v>
      </c>
      <c r="BR63" s="636">
        <f>IF(ISBLANK('HCT2'!N63),"",'HCT2'!N63)</f>
        <v>0</v>
      </c>
      <c r="BS63" s="636">
        <f>IF(ISBLANK('HCT2'!O63),"",'HCT2'!O63)</f>
        <v>0</v>
      </c>
      <c r="BT63" s="1272">
        <f>IF(ISBLANK('HCT2'!P63),"",'HCT2'!P63)</f>
        <v>0</v>
      </c>
      <c r="BU63" s="636">
        <f>IF(ISBLANK('HCT2'!Q63),"",'HCT2'!Q63)</f>
        <v>0</v>
      </c>
      <c r="BV63" s="636">
        <f>IF(ISBLANK('HCT2'!R63),"",'HCT2'!R63)</f>
        <v>0</v>
      </c>
      <c r="BW63" s="636">
        <f>IF(ISBLANK('HCT2'!S63),"",'HCT2'!S63)</f>
        <v>0</v>
      </c>
      <c r="BX63" s="1271">
        <f>IF(ISBLANK('HCT2'!T63),"",'HCT2'!T63)</f>
        <v>0</v>
      </c>
      <c r="BY63" s="636">
        <f>IF(ISBLANK('HCT2'!U63),"",'HCT2'!U63)</f>
        <v>0</v>
      </c>
      <c r="BZ63" s="636">
        <f>IF(ISBLANK('HCT2'!V63),"",'HCT2'!V63)</f>
        <v>0</v>
      </c>
      <c r="CA63" s="636">
        <f>IF(ISBLANK('HCT2'!W63),"",'HCT2'!W63)</f>
        <v>0</v>
      </c>
      <c r="CB63" s="1274" t="str">
        <f>IF(ISBLANK('HCT2'!X63),"",'HCT2'!X63)</f>
        <v/>
      </c>
      <c r="CC63" s="1275">
        <f>IF(ISBLANK('HCT2'!Y63),"",'HCT2'!Y63)</f>
        <v>0</v>
      </c>
      <c r="CD63" s="1276">
        <f>IF(ISBLANK('HCT2'!Z63),"",'HCT2'!Z63)</f>
        <v>0</v>
      </c>
      <c r="CE63" s="1274" t="str">
        <f>IF(ISBLANK('HCT2'!AA63),"",'HCT2'!AA63)</f>
        <v/>
      </c>
      <c r="CF63" s="1274" t="str">
        <f>IF(ISBLANK('HCT2'!AB63),"",'HCT2'!AB63)</f>
        <v/>
      </c>
      <c r="CG63" s="1277">
        <f>IF(ISBLANK('HCT2'!AC63),"",'HCT2'!AC63)</f>
        <v>0</v>
      </c>
      <c r="CH63" s="1274" t="str">
        <f>IF(ISBLANK('HCT2'!AD63),"",'HCT2'!AD63)</f>
        <v/>
      </c>
      <c r="CI63" s="1274" t="str">
        <f>IF(ISBLANK('HCT2'!AE63),"",'HCT2'!AE63)</f>
        <v/>
      </c>
      <c r="CJ63" s="1274" t="str">
        <f>IF(ISBLANK('HCT2'!AF63),"",'HCT2'!AF63)</f>
        <v/>
      </c>
      <c r="CK63" s="1278" t="str">
        <f>IF(ISBLANK('HCT2'!AG63),"",'HCT2'!AG63)</f>
        <v/>
      </c>
      <c r="CL63" s="1274">
        <f>IF(ISBLANK('HCT2'!AH63),"",'HCT2'!AH63)</f>
        <v>0</v>
      </c>
      <c r="CM63" s="1274">
        <f>IF(ISBLANK('HCT2'!AI63),"",'HCT2'!AI63)</f>
        <v>0</v>
      </c>
      <c r="CN63" s="1278">
        <f>IF(ISBLANK('HCT2'!AJ63),"",'HCT2'!AJ63)</f>
        <v>0</v>
      </c>
      <c r="CO63" s="1274" t="str">
        <f>IF(ISBLANK('HCT2'!AK63),"",'HCT2'!AK63)</f>
        <v/>
      </c>
      <c r="CP63" s="1274" t="str">
        <f>IF(ISBLANK('HCT2'!AL63),"",'HCT2'!AL63)</f>
        <v/>
      </c>
      <c r="CQ63" s="1274" t="str">
        <f>IF(ISBLANK('HCT2'!AM63),"",'HCT2'!AM63)</f>
        <v/>
      </c>
      <c r="CR63" s="1279" t="str">
        <f>IF(ISBLANK('HCT2'!AN63),"",'HCT2'!AN63)</f>
        <v/>
      </c>
      <c r="CS63" s="1280">
        <f>IF(ISBLANK('HCT2'!AO63),"",'HCT2'!AO63)</f>
        <v>0</v>
      </c>
      <c r="CT63" s="1281">
        <f>IF(ISBLANK('HCT2'!AP63),"",'HCT2'!AP63)</f>
        <v>0</v>
      </c>
      <c r="CU63" s="1154">
        <f>IF(ISBLANK('HCT2'!AQ63),"",'HCT2'!AQ63)</f>
        <v>0</v>
      </c>
      <c r="CV63" s="1517">
        <f>IF(ISBLANK('HCT2'!AR63),"",'HCT2'!AR63)</f>
        <v>0</v>
      </c>
      <c r="CW63" s="1518" t="e">
        <f>IF(ISBLANK(Récap1!#REF!),"",Récap1!#REF!)</f>
        <v>#REF!</v>
      </c>
      <c r="CX63" s="1518" t="e">
        <f>IF(ISBLANK(Récap1!#REF!),"",Récap1!#REF!)</f>
        <v>#REF!</v>
      </c>
      <c r="CY63" s="1519" t="e">
        <f>IF(ISBLANK(Récap1!#REF!),"",Récap1!#REF!)</f>
        <v>#REF!</v>
      </c>
      <c r="CZ63" s="1519" t="e">
        <f>IF(ISBLANK(Récap1!#REF!),"",Récap1!#REF!)</f>
        <v>#REF!</v>
      </c>
      <c r="DA63" s="1519" t="e">
        <f>IF(ISBLANK(Récap1!#REF!),"",Récap1!#REF!)</f>
        <v>#REF!</v>
      </c>
      <c r="DB63" s="1519" t="e">
        <f>IF(ISBLANK(Récap1!#REF!),"",Récap1!#REF!)</f>
        <v>#REF!</v>
      </c>
      <c r="DC63" s="1518">
        <f>IF(ISBLANK('HCT2'!AS63),"",'HCT2'!AS63)</f>
        <v>0</v>
      </c>
      <c r="DD63" s="1519">
        <f>IF(ISBLANK('HCT2'!AT63),"",'HCT2'!AT63)</f>
        <v>0</v>
      </c>
      <c r="DE63" s="1519">
        <f>IF(ISBLANK('HCT2'!AU63),"",'HCT2'!AU63)</f>
        <v>0</v>
      </c>
      <c r="DF63" s="1519">
        <f>IF(ISBLANK('HCT2'!AV63),"",'HCT2'!AV63)</f>
        <v>0</v>
      </c>
      <c r="DG63" s="1519" t="str">
        <f>IF(ISBLANK('HCT2'!AW63),"",'HCT2'!AW63)</f>
        <v/>
      </c>
      <c r="DH63" s="1519" t="str">
        <f>IF(ISBLANK('HCT2'!AX63),"",'HCT2'!AX63)</f>
        <v/>
      </c>
      <c r="DI63" s="1519" t="str">
        <f>IF(ISBLANK('HCT2'!AY63),"",'HCT2'!AY63)</f>
        <v/>
      </c>
      <c r="DJ63" s="1520">
        <f>IF(ISBLANK('HCT2'!AZ63),"",'HCT2'!AZ63)</f>
        <v>0</v>
      </c>
      <c r="DK63" s="1519">
        <f>IF(ISBLANK('HCT2'!BA63),"",'HCT2'!BA63)</f>
        <v>0</v>
      </c>
      <c r="DL63" s="1519">
        <f>IF(ISBLANK('HCT2'!BB63),"",'HCT2'!BB63)</f>
        <v>0</v>
      </c>
      <c r="DM63" s="1521">
        <f>IF(ISBLANK('HCT2'!BC63),"",'HCT2'!BC63)</f>
        <v>0</v>
      </c>
      <c r="DN63" s="1522" t="str">
        <f>IF(ISBLANK('HCT2'!BD63),"",'HCT2'!BD63)</f>
        <v>PVL</v>
      </c>
      <c r="DO63" s="1523">
        <f>IF(ISBLANK('HCT2'!BE63),"",'HCT2'!BE63)</f>
        <v>0</v>
      </c>
      <c r="DP63" s="1524" t="str">
        <f>IF(ISBLANK('HCT2'!BF63),"",'HCT2'!BF63)</f>
        <v>PVL</v>
      </c>
      <c r="DQ63" s="976">
        <f t="shared" si="0"/>
        <v>0</v>
      </c>
      <c r="DS63" s="530">
        <f t="shared" si="1"/>
        <v>0</v>
      </c>
      <c r="DT63" s="530">
        <f t="shared" si="1"/>
        <v>0</v>
      </c>
      <c r="DU63" s="530">
        <f t="shared" si="2"/>
        <v>0</v>
      </c>
      <c r="DV63" s="829">
        <f t="shared" si="2"/>
        <v>0</v>
      </c>
      <c r="DW63" s="530">
        <f t="shared" si="2"/>
        <v>0</v>
      </c>
      <c r="DX63" s="530">
        <f t="shared" si="2"/>
        <v>0</v>
      </c>
      <c r="DY63" s="530">
        <f t="shared" si="2"/>
        <v>0</v>
      </c>
    </row>
    <row r="64" spans="1:129" s="26" customFormat="1" hidden="1">
      <c r="A64" s="482"/>
      <c r="B64" s="27"/>
      <c r="C64" s="138"/>
      <c r="D64" s="789"/>
      <c r="E64" s="103" t="str">
        <f>IF(ISBLANK(Récap1!E64),"",Récap1!E64)</f>
        <v>Seuil (non cancérigène)</v>
      </c>
      <c r="F64" s="14" t="str">
        <f>IF(ISBLANK(Récap1!F64),"",Récap1!F64)</f>
        <v>Cs</v>
      </c>
      <c r="G64" s="105" t="str">
        <f>IF(ISBLANK(Récap1!G64),"",Récap1!G64)</f>
        <v>mg/kg ms</v>
      </c>
      <c r="H64" s="85">
        <f>IF(ISBLANK(Récap1!H64),"",Récap1!H64)</f>
        <v>5690.3454864090718</v>
      </c>
      <c r="I64" s="56">
        <f>IF(ISBLANK(Récap1!I64),"",Récap1!I64)</f>
        <v>5690.3454864090718</v>
      </c>
      <c r="J64" s="644">
        <f>IF(ISBLANK(Récap1!J64),"",Récap1!J64)</f>
        <v>39274.636760143017</v>
      </c>
      <c r="K64" s="643">
        <f>IF(ISBLANK(Récap1!K64),"",Récap1!K64)</f>
        <v>14.649905454545456</v>
      </c>
      <c r="L64" s="644">
        <f>IF(ISBLANK(Récap1!L64),"",Récap1!L64)</f>
        <v>20.132323248857201</v>
      </c>
      <c r="M64" s="644">
        <f>IF(ISBLANK(Récap1!M64),"",Récap1!M64)</f>
        <v>20.132323248857201</v>
      </c>
      <c r="N64" s="644">
        <f>IF(ISBLANK(Récap1!N64),"",Récap1!N64)</f>
        <v>52.32109090909092</v>
      </c>
      <c r="O64" s="644">
        <f>IF(ISBLANK(Récap1!O64),"",Récap1!O64)</f>
        <v>52.32109090909092</v>
      </c>
      <c r="P64" s="644">
        <f>IF(ISBLANK(Récap1!P64),"",Récap1!P64)</f>
        <v>9.1561909090909115</v>
      </c>
      <c r="Q64" s="644">
        <f>IF(ISBLANK(Récap1!Q64),"",Récap1!Q64)</f>
        <v>9.1561909090909115</v>
      </c>
      <c r="R64" s="644">
        <f>IF(ISBLANK(Récap1!R64),"",Récap1!R64)</f>
        <v>104.64218181818184</v>
      </c>
      <c r="S64" s="644">
        <f>IF(ISBLANK(Récap1!S64),"",Récap1!S64)</f>
        <v>19.622229293048235</v>
      </c>
      <c r="T64" s="644">
        <f>IF(ISBLANK(Récap1!T64),"",Récap1!T64)</f>
        <v>19.622229293048235</v>
      </c>
      <c r="U64" s="644">
        <f>IF(ISBLANK(Récap1!U64),"",Récap1!U64)</f>
        <v>9.9410072727272745</v>
      </c>
      <c r="V64" s="681">
        <f>IF(ISBLANK(Récap1!V64),"",Récap1!V64)</f>
        <v>261.60545454545451</v>
      </c>
      <c r="W64" s="644">
        <f>IF(ISBLANK(Récap1!W64),"",Récap1!W64)</f>
        <v>261.60545454545451</v>
      </c>
      <c r="X64" s="644">
        <f>IF(ISBLANK(Récap1!X64),"",Récap1!X64)</f>
        <v>2.7540971441360114</v>
      </c>
      <c r="Y64" s="644">
        <f>IF(ISBLANK(Récap1!Y64),"",Récap1!Y64)</f>
        <v>96.479850827950756</v>
      </c>
      <c r="Z64" s="644">
        <f>IF(ISBLANK(Récap1!Z64),"",Récap1!Z64)</f>
        <v>138.10805243123656</v>
      </c>
      <c r="AA64" s="645">
        <f>IF(ISBLANK(Récap1!AA64),"",Récap1!AA64)</f>
        <v>183.12381818181819</v>
      </c>
      <c r="AB64" s="644">
        <f>IF(ISBLANK(Récap1!AB64),"",Récap1!AB64)</f>
        <v>190.69027666341782</v>
      </c>
      <c r="AC64" s="1228">
        <f>IF(ISBLANK(Récap1!AC64),"",Récap1!AC64)</f>
        <v>594.14095194269214</v>
      </c>
      <c r="AD64" s="644">
        <f>IF(ISBLANK(Récap1!AD64),"",Récap1!AD64)</f>
        <v>2514.3939910968602</v>
      </c>
      <c r="AE64" s="644" t="str">
        <f>IF(ISBLANK(Récap1!AE64),"",Récap1!AE64)</f>
        <v>PVL</v>
      </c>
      <c r="AF64" s="1229" t="str">
        <f>IF(ISBLANK(Récap1!AF64),"",Récap1!AF64)</f>
        <v>PVL</v>
      </c>
      <c r="AG64" s="644">
        <f>IF(ISBLANK(Récap1!AG64),"",Récap1!AG64)</f>
        <v>4813.5403636363644</v>
      </c>
      <c r="AH64" s="644">
        <f>IF(ISBLANK(Récap1!AH64),"",Récap1!AH64)</f>
        <v>4813.5403636363626</v>
      </c>
      <c r="AI64" s="644">
        <f>IF(ISBLANK(Récap1!AI64),"",Récap1!AI64)</f>
        <v>328.70516682074253</v>
      </c>
      <c r="AJ64" s="1228">
        <f>IF(ISBLANK(Récap1!AJ64),"",Récap1!AJ64)</f>
        <v>833.65178024831619</v>
      </c>
      <c r="AK64" s="644">
        <f>IF(ISBLANK(Récap1!AK64),"",Récap1!AK64)</f>
        <v>2507.8146372372967</v>
      </c>
      <c r="AL64" s="644" t="str">
        <f>IF(ISBLANK(Récap1!AL64),"",Récap1!AL64)</f>
        <v>PVL</v>
      </c>
      <c r="AM64" s="644" t="str">
        <f>IF(ISBLANK(Récap1!AM64),"",Récap1!AM64)</f>
        <v>PVL</v>
      </c>
      <c r="AN64" s="643">
        <f>IF(ISBLANK(Récap1!AN64),"",Récap1!AN64)</f>
        <v>94.022940023479222</v>
      </c>
      <c r="AO64" s="644" t="str">
        <f>IF(ISBLANK(Récap1!AO64),"",Récap1!AO64)</f>
        <v>PVL</v>
      </c>
      <c r="AP64" s="644" t="str">
        <f>IF(ISBLANK(Récap1!AP64),"",Récap1!AP64)</f>
        <v>PVL</v>
      </c>
      <c r="AQ64" s="644" t="str">
        <f>IF(ISBLANK(Récap1!AQ64),"",Récap1!AQ64)</f>
        <v>PVL</v>
      </c>
      <c r="AR64" s="644" t="str">
        <f>IF(ISBLANK(Récap1!AR64),"",Récap1!AR64)</f>
        <v>PVL</v>
      </c>
      <c r="AS64" s="644" t="str">
        <f>IF(ISBLANK(Récap1!AS64),"",Récap1!AS64)</f>
        <v>PVL</v>
      </c>
      <c r="AT64" s="644" t="str">
        <f>IF(ISBLANK(Récap1!AT64),"",Récap1!AT64)</f>
        <v>PVL</v>
      </c>
      <c r="AU64" s="644" t="str">
        <f>IF(ISBLANK(Récap1!AU64),"",Récap1!AU64)</f>
        <v>PVL</v>
      </c>
      <c r="AV64" s="644" t="str">
        <f>IF(ISBLANK(Récap1!AV64),"",Récap1!AV64)</f>
        <v>PVL</v>
      </c>
      <c r="AW64" s="644" t="str">
        <f>IF(ISBLANK(Récap1!AW64),"",Récap1!AW64)</f>
        <v>PVL</v>
      </c>
      <c r="AX64" s="644" t="str">
        <f>IF(ISBLANK(Récap1!AX64),"",Récap1!AX64)</f>
        <v>PVL</v>
      </c>
      <c r="AY64" s="644" t="str">
        <f>IF(ISBLANK(Récap1!AY64),"",Récap1!AY64)</f>
        <v>PVL</v>
      </c>
      <c r="AZ64" s="644" t="str">
        <f>IF(ISBLANK(Récap1!AZ64),"",Récap1!AZ64)</f>
        <v>PVL</v>
      </c>
      <c r="BA64" s="644" t="str">
        <f>IF(ISBLANK(Récap1!BA64),"",Récap1!BA64)</f>
        <v>PVL</v>
      </c>
      <c r="BB64" s="644" t="str">
        <f>IF(ISBLANK(Récap1!BB64),"",Récap1!BB64)</f>
        <v>PVL</v>
      </c>
      <c r="BC64" s="645" t="str">
        <f>IF(ISBLANK(Récap1!BC64),"",Récap1!BC64)</f>
        <v>PVL</v>
      </c>
      <c r="BD64" s="682">
        <f>IF(ISBLANK(Récap1!BD64),"",Récap1!BD64)</f>
        <v>7508.9004268737363</v>
      </c>
      <c r="BE64" s="644">
        <f>IF(ISBLANK(Récap1!BE64),"",Récap1!BE64)</f>
        <v>46973.285292113309</v>
      </c>
      <c r="BF64" s="644">
        <f>IF(ISBLANK(Récap1!BF64),"",Récap1!BF64)</f>
        <v>93946.570584226618</v>
      </c>
      <c r="BG64" s="663">
        <f>IF(ISBLANK(Récap1!BG64),"",Récap1!BG64)</f>
        <v>7.8481636363636371E-3</v>
      </c>
      <c r="BH64" s="646">
        <f>IF(ISBLANK(Récap1!BH64),"",Récap1!BH64)</f>
        <v>135.39650926614644</v>
      </c>
      <c r="BI64" s="644">
        <f>IF(ISBLANK(Récap1!BI64),"",Récap1!BI64)</f>
        <v>18.519020566978799</v>
      </c>
      <c r="BJ64" s="647" t="e">
        <f>IF(ISBLANK(Récap1!#REF!),"",Récap1!#REF!)</f>
        <v>#REF!</v>
      </c>
      <c r="BK64" s="647" t="e">
        <f>IF(ISBLANK(Récap1!#REF!),"",Récap1!#REF!)</f>
        <v>#REF!</v>
      </c>
      <c r="BL64" s="644">
        <f>IF(ISBLANK('HCT2'!H64),"",'HCT2'!H64)</f>
        <v>2.7540971441360114</v>
      </c>
      <c r="BM64" s="644">
        <f>IF(ISBLANK('HCT2'!I64),"",'HCT2'!I64)</f>
        <v>96.479850827950756</v>
      </c>
      <c r="BN64" s="644">
        <f>IF(ISBLANK('HCT2'!J64),"",'HCT2'!J64)</f>
        <v>138.10805243123656</v>
      </c>
      <c r="BO64" s="645">
        <f>IF(ISBLANK('HCT2'!K64),"",'HCT2'!K64)</f>
        <v>183.12381818181819</v>
      </c>
      <c r="BP64" s="644">
        <f>IF(ISBLANK('HCT2'!L64),"",'HCT2'!L64)</f>
        <v>190.69027666341782</v>
      </c>
      <c r="BQ64" s="1228">
        <f>IF(ISBLANK('HCT2'!M64),"",'HCT2'!M64)</f>
        <v>594.14095194269214</v>
      </c>
      <c r="BR64" s="644">
        <f>IF(ISBLANK('HCT2'!N64),"",'HCT2'!N64)</f>
        <v>2514.3939910968602</v>
      </c>
      <c r="BS64" s="644">
        <f>IF(ISBLANK('HCT2'!O64),"",'HCT2'!O64)</f>
        <v>238.74982220037242</v>
      </c>
      <c r="BT64" s="1229">
        <f>IF(ISBLANK('HCT2'!P64),"",'HCT2'!P64)</f>
        <v>1.6409718017251194</v>
      </c>
      <c r="BU64" s="644">
        <f>IF(ISBLANK('HCT2'!Q64),"",'HCT2'!Q64)</f>
        <v>4813.5403636363644</v>
      </c>
      <c r="BV64" s="644">
        <f>IF(ISBLANK('HCT2'!R64),"",'HCT2'!R64)</f>
        <v>4813.5403636363626</v>
      </c>
      <c r="BW64" s="644">
        <f>IF(ISBLANK('HCT2'!S64),"",'HCT2'!S64)</f>
        <v>328.70516682074253</v>
      </c>
      <c r="BX64" s="1228">
        <f>IF(ISBLANK('HCT2'!T64),"",'HCT2'!T64)</f>
        <v>833.65178024831619</v>
      </c>
      <c r="BY64" s="644">
        <f>IF(ISBLANK('HCT2'!U64),"",'HCT2'!U64)</f>
        <v>2507.8146372372967</v>
      </c>
      <c r="BZ64" s="644">
        <f>IF(ISBLANK('HCT2'!V64),"",'HCT2'!V64)</f>
        <v>1600.8051203021039</v>
      </c>
      <c r="CA64" s="644">
        <f>IF(ISBLANK('HCT2'!W64),"",'HCT2'!W64)</f>
        <v>168.41710403399389</v>
      </c>
      <c r="CB64" s="647" t="str">
        <f>IF(ISBLANK('HCT2'!X64),"",'HCT2'!X64)</f>
        <v/>
      </c>
      <c r="CC64" s="1230">
        <f>IF(ISBLANK('HCT2'!Y64),"",'HCT2'!Y64)</f>
        <v>240.43354295350215</v>
      </c>
      <c r="CD64" s="1231">
        <f>IF(ISBLANK('HCT2'!Z64),"",'HCT2'!Z64)</f>
        <v>707.56688535383535</v>
      </c>
      <c r="CE64" s="647" t="str">
        <f>IF(ISBLANK('HCT2'!AA64),"",'HCT2'!AA64)</f>
        <v/>
      </c>
      <c r="CF64" s="647" t="str">
        <f>IF(ISBLANK('HCT2'!AB64),"",'HCT2'!AB64)</f>
        <v/>
      </c>
      <c r="CG64" s="1232">
        <f>IF(ISBLANK('HCT2'!AC64),"",'HCT2'!AC64)</f>
        <v>1067.3080034765676</v>
      </c>
      <c r="CH64" s="647" t="str">
        <f>IF(ISBLANK('HCT2'!AD64),"",'HCT2'!AD64)</f>
        <v/>
      </c>
      <c r="CI64" s="647" t="str">
        <f>IF(ISBLANK('HCT2'!AE64),"",'HCT2'!AE64)</f>
        <v/>
      </c>
      <c r="CJ64" s="647" t="str">
        <f>IF(ISBLANK('HCT2'!AF64),"",'HCT2'!AF64)</f>
        <v/>
      </c>
      <c r="CK64" s="1233" t="str">
        <f>IF(ISBLANK('HCT2'!AG64),"",'HCT2'!AG64)</f>
        <v/>
      </c>
      <c r="CL64" s="647">
        <f>IF(ISBLANK('HCT2'!AH64),"",'HCT2'!AH64)</f>
        <v>14162.75929908501</v>
      </c>
      <c r="CM64" s="647">
        <f>IF(ISBLANK('HCT2'!AI64),"",'HCT2'!AI64)</f>
        <v>18319.906632732112</v>
      </c>
      <c r="CN64" s="1233">
        <f>IF(ISBLANK('HCT2'!AJ64),"",'HCT2'!AJ64)</f>
        <v>4635.9218629277602</v>
      </c>
      <c r="CO64" s="647" t="str">
        <f>IF(ISBLANK('HCT2'!AK64),"",'HCT2'!AK64)</f>
        <v/>
      </c>
      <c r="CP64" s="647" t="str">
        <f>IF(ISBLANK('HCT2'!AL64),"",'HCT2'!AL64)</f>
        <v/>
      </c>
      <c r="CQ64" s="647" t="str">
        <f>IF(ISBLANK('HCT2'!AM64),"",'HCT2'!AM64)</f>
        <v/>
      </c>
      <c r="CR64" s="688" t="str">
        <f>IF(ISBLANK('HCT2'!AN64),"",'HCT2'!AN64)</f>
        <v/>
      </c>
      <c r="CS64" s="1234">
        <f>IF(ISBLANK('HCT2'!AO64),"",'HCT2'!AO64)</f>
        <v>1067.3080034765676</v>
      </c>
      <c r="CT64" s="1174">
        <f>IF(ISBLANK('HCT2'!AP64),"",'HCT2'!AP64)</f>
        <v>1</v>
      </c>
      <c r="CU64" s="1147">
        <f>IF(ISBLANK('HCT2'!AQ64),"",'HCT2'!AQ64)</f>
        <v>10245.710118728974</v>
      </c>
      <c r="CV64" s="686">
        <f>IF(ISBLANK('HCT2'!AR64),"",'HCT2'!AR64)</f>
        <v>10245.710118728974</v>
      </c>
      <c r="CW64" s="1496" t="e">
        <f>IF(ISBLANK(Récap1!#REF!),"",Récap1!#REF!)</f>
        <v>#REF!</v>
      </c>
      <c r="CX64" s="1496" t="e">
        <f>IF(ISBLANK(Récap1!#REF!),"",Récap1!#REF!)</f>
        <v>#REF!</v>
      </c>
      <c r="CY64" s="1064" t="e">
        <f>IF(ISBLANK(Récap1!#REF!),"",Récap1!#REF!)</f>
        <v>#REF!</v>
      </c>
      <c r="CZ64" s="1064" t="e">
        <f>IF(ISBLANK(Récap1!#REF!),"",Récap1!#REF!)</f>
        <v>#REF!</v>
      </c>
      <c r="DA64" s="1064" t="e">
        <f>IF(ISBLANK(Récap1!#REF!),"",Récap1!#REF!)</f>
        <v>#REF!</v>
      </c>
      <c r="DB64" s="1064" t="e">
        <f>IF(ISBLANK(Récap1!#REF!),"",Récap1!#REF!)</f>
        <v>#REF!</v>
      </c>
      <c r="DC64" s="1496">
        <f>IF(ISBLANK('HCT2'!AS64),"",'HCT2'!AS64)</f>
        <v>15883.533841881981</v>
      </c>
      <c r="DD64" s="1064">
        <f>IF(ISBLANK('HCT2'!AT64),"",'HCT2'!AT64)</f>
        <v>37794.042801896576</v>
      </c>
      <c r="DE64" s="1064" t="str">
        <f>IF(ISBLANK('HCT2'!AU64),"",'HCT2'!AU64)</f>
        <v>PVL</v>
      </c>
      <c r="DF64" s="1064" t="str">
        <f>IF(ISBLANK('HCT2'!AV64),"",'HCT2'!AV64)</f>
        <v>PVL</v>
      </c>
      <c r="DG64" s="1064" t="str">
        <f>IF(ISBLANK('HCT2'!AW64),"",'HCT2'!AW64)</f>
        <v/>
      </c>
      <c r="DH64" s="1064" t="str">
        <f>IF(ISBLANK('HCT2'!AX64),"",'HCT2'!AX64)</f>
        <v/>
      </c>
      <c r="DI64" s="1064" t="str">
        <f>IF(ISBLANK('HCT2'!AY64),"",'HCT2'!AY64)</f>
        <v/>
      </c>
      <c r="DJ64" s="1497">
        <f>IF(ISBLANK('HCT2'!AZ64),"",'HCT2'!AZ64)</f>
        <v>6158.4485092196655</v>
      </c>
      <c r="DK64" s="1064">
        <f>IF(ISBLANK('HCT2'!BA64),"",'HCT2'!BA64)</f>
        <v>5669.9259576826244</v>
      </c>
      <c r="DL64" s="1064" t="str">
        <f>IF(ISBLANK('HCT2'!BB64),"",'HCT2'!BB64)</f>
        <v>PVL</v>
      </c>
      <c r="DM64" s="1498" t="str">
        <f>IF(ISBLANK('HCT2'!BC64),"",'HCT2'!BC64)</f>
        <v>PVL</v>
      </c>
      <c r="DN64" s="1499">
        <f>IF(ISBLANK('HCT2'!BD64),"",'HCT2'!BD64)</f>
        <v>5669.9259576826244</v>
      </c>
      <c r="DO64" s="1475">
        <f>IF(ISBLANK('HCT2'!BE64),"",'HCT2'!BE64)</f>
        <v>0.68160323968664671</v>
      </c>
      <c r="DP64" s="1500">
        <f>IF(ISBLANK('HCT2'!BF64),"",'HCT2'!BF64)</f>
        <v>9462.9851869401664</v>
      </c>
      <c r="DQ64" s="920">
        <f t="shared" si="0"/>
        <v>8459.6143788633599</v>
      </c>
      <c r="DS64" s="56">
        <f t="shared" si="1"/>
        <v>4816.2944607805002</v>
      </c>
      <c r="DT64" s="56">
        <f t="shared" si="1"/>
        <v>4910.0202144643135</v>
      </c>
      <c r="DU64" s="56">
        <f t="shared" si="2"/>
        <v>519.3954434841603</v>
      </c>
      <c r="DV64" s="870">
        <f t="shared" si="2"/>
        <v>1427.7927321910083</v>
      </c>
      <c r="DW64" s="56">
        <f t="shared" si="2"/>
        <v>5022.2086283341569</v>
      </c>
      <c r="DX64" s="56">
        <f t="shared" si="2"/>
        <v>1839.5549425024763</v>
      </c>
      <c r="DY64" s="56">
        <f t="shared" si="2"/>
        <v>170.05807583571902</v>
      </c>
    </row>
    <row r="65" spans="1:131" s="26" customFormat="1" hidden="1">
      <c r="A65" s="482"/>
      <c r="B65" s="27"/>
      <c r="C65" s="77"/>
      <c r="D65" s="790"/>
      <c r="E65" s="103" t="str">
        <f>IF(ISBLANK(Récap1!E65),"",Récap1!E65)</f>
        <v>Seuil (cancérigène)</v>
      </c>
      <c r="F65" s="14" t="str">
        <f>IF(ISBLANK(Récap1!F65),"",Récap1!F65)</f>
        <v>Cs</v>
      </c>
      <c r="G65" s="105" t="str">
        <f>IF(ISBLANK(Récap1!G65),"",Récap1!G65)</f>
        <v>mg/kg ms</v>
      </c>
      <c r="H65" s="85" t="str">
        <f>IF(ISBLANK(Récap1!H65),"",Récap1!H65)</f>
        <v>PVL</v>
      </c>
      <c r="I65" s="56" t="str">
        <f>IF(ISBLANK(Récap1!I65),"",Récap1!I65)</f>
        <v>PVL</v>
      </c>
      <c r="J65" s="644" t="str">
        <f>IF(ISBLANK(Récap1!J65),"",Récap1!J65)</f>
        <v>PVL</v>
      </c>
      <c r="K65" s="643">
        <f>IF(ISBLANK(Récap1!K65),"",Récap1!K65)</f>
        <v>91.561909090909097</v>
      </c>
      <c r="L65" s="644" t="str">
        <f>IF(ISBLANK(Récap1!L65),"",Récap1!L65)</f>
        <v>PVL</v>
      </c>
      <c r="M65" s="644" t="str">
        <f>IF(ISBLANK(Récap1!M65),"",Récap1!M65)</f>
        <v>PVL</v>
      </c>
      <c r="N65" s="644">
        <f>IF(ISBLANK(Récap1!N65),"",Récap1!N65)</f>
        <v>45.780954545454541</v>
      </c>
      <c r="O65" s="644">
        <f>IF(ISBLANK(Récap1!O65),"",Récap1!O65)</f>
        <v>45.780954545454541</v>
      </c>
      <c r="P65" s="644">
        <f>IF(ISBLANK(Récap1!P65),"",Récap1!P65)</f>
        <v>15.518967642526961</v>
      </c>
      <c r="Q65" s="644">
        <f>IF(ISBLANK(Récap1!Q65),"",Récap1!Q65)</f>
        <v>15.518967642526961</v>
      </c>
      <c r="R65" s="644">
        <f>IF(ISBLANK(Récap1!R65),"",Récap1!R65)</f>
        <v>91.561909090909097</v>
      </c>
      <c r="S65" s="644">
        <f>IF(ISBLANK(Récap1!S65),"",Récap1!S65)</f>
        <v>3.9809525691699599</v>
      </c>
      <c r="T65" s="644">
        <f>IF(ISBLANK(Récap1!T65),"",Récap1!T65)</f>
        <v>3.9809525691699599</v>
      </c>
      <c r="U65" s="644">
        <f>IF(ISBLANK(Récap1!U65),"",Récap1!U65)</f>
        <v>2.1800454545454544</v>
      </c>
      <c r="V65" s="681" t="str">
        <f>IF(ISBLANK(Récap1!V65),"",Récap1!V65)</f>
        <v>PVL</v>
      </c>
      <c r="W65" s="644" t="str">
        <f>IF(ISBLANK(Récap1!W65),"",Récap1!W65)</f>
        <v>PVL</v>
      </c>
      <c r="X65" s="644">
        <f>IF(ISBLANK(Récap1!X65),"",Récap1!X65)</f>
        <v>15.260318181818182</v>
      </c>
      <c r="Y65" s="644" t="str">
        <f>IF(ISBLANK(Récap1!Y65),"",Récap1!Y65)</f>
        <v>PVL</v>
      </c>
      <c r="Z65" s="644">
        <f>IF(ISBLANK(Récap1!Z65),"",Récap1!Z65)</f>
        <v>36.624763636363639</v>
      </c>
      <c r="AA65" s="645" t="str">
        <f>IF(ISBLANK(Récap1!AA65),"",Récap1!AA65)</f>
        <v>PVL</v>
      </c>
      <c r="AB65" s="644" t="str">
        <f>IF(ISBLANK(Récap1!AB65),"",Récap1!AB65)</f>
        <v>PVL</v>
      </c>
      <c r="AC65" s="1228" t="str">
        <f>IF(ISBLANK(Récap1!AC65),"",Récap1!AC65)</f>
        <v>PVL</v>
      </c>
      <c r="AD65" s="644" t="str">
        <f>IF(ISBLANK(Récap1!AD65),"",Récap1!AD65)</f>
        <v>PVL</v>
      </c>
      <c r="AE65" s="644" t="str">
        <f>IF(ISBLANK(Récap1!AE65),"",Récap1!AE65)</f>
        <v>PVL</v>
      </c>
      <c r="AF65" s="1229" t="str">
        <f>IF(ISBLANK(Récap1!AF65),"",Récap1!AF65)</f>
        <v>PVL</v>
      </c>
      <c r="AG65" s="644" t="str">
        <f>IF(ISBLANK(Récap1!AG65),"",Récap1!AG65)</f>
        <v>PVL</v>
      </c>
      <c r="AH65" s="644" t="str">
        <f>IF(ISBLANK(Récap1!AH65),"",Récap1!AH65)</f>
        <v>PVL</v>
      </c>
      <c r="AI65" s="644" t="str">
        <f>IF(ISBLANK(Récap1!AI65),"",Récap1!AI65)</f>
        <v>PVL</v>
      </c>
      <c r="AJ65" s="1228" t="str">
        <f>IF(ISBLANK(Récap1!AJ65),"",Récap1!AJ65)</f>
        <v>PVL</v>
      </c>
      <c r="AK65" s="644" t="str">
        <f>IF(ISBLANK(Récap1!AK65),"",Récap1!AK65)</f>
        <v>PVL</v>
      </c>
      <c r="AL65" s="644" t="str">
        <f>IF(ISBLANK(Récap1!AL65),"",Récap1!AL65)</f>
        <v>PVL</v>
      </c>
      <c r="AM65" s="644" t="str">
        <f>IF(ISBLANK(Récap1!AM65),"",Récap1!AM65)</f>
        <v>PVL</v>
      </c>
      <c r="AN65" s="643">
        <f>IF(ISBLANK(Récap1!AN65),"",Récap1!AN65)</f>
        <v>13.451078987238073</v>
      </c>
      <c r="AO65" s="644">
        <f>IF(ISBLANK(Récap1!AO65),"",Récap1!AO65)</f>
        <v>1152.2612876157891</v>
      </c>
      <c r="AP65" s="644">
        <f>IF(ISBLANK(Récap1!AP65),"",Récap1!AP65)</f>
        <v>798.94040661360282</v>
      </c>
      <c r="AQ65" s="644">
        <f>IF(ISBLANK(Récap1!AQ65),"",Récap1!AQ65)</f>
        <v>1672.7914093566708</v>
      </c>
      <c r="AR65" s="644">
        <f>IF(ISBLANK(Récap1!AR65),"",Récap1!AR65)</f>
        <v>7261.8917340915577</v>
      </c>
      <c r="AS65" s="644">
        <f>IF(ISBLANK(Récap1!AS65),"",Récap1!AS65)</f>
        <v>572.805972247721</v>
      </c>
      <c r="AT65" s="644">
        <f>IF(ISBLANK(Récap1!AT65),"",Récap1!AT65)</f>
        <v>82098.620320565518</v>
      </c>
      <c r="AU65" s="644">
        <f>IF(ISBLANK(Récap1!AU65),"",Récap1!AU65)</f>
        <v>85312.787686946293</v>
      </c>
      <c r="AV65" s="644">
        <f>IF(ISBLANK(Récap1!AV65),"",Récap1!AV65)</f>
        <v>6008.0579204945898</v>
      </c>
      <c r="AW65" s="644">
        <f>IF(ISBLANK(Récap1!AW65),"",Récap1!AW65)</f>
        <v>62346.589825332478</v>
      </c>
      <c r="AX65" s="644">
        <f>IF(ISBLANK(Récap1!AX65),"",Récap1!AX65)</f>
        <v>195655.09881076249</v>
      </c>
      <c r="AY65" s="644">
        <f>IF(ISBLANK(Récap1!AY65),"",Récap1!AY65)</f>
        <v>285088.30941608158</v>
      </c>
      <c r="AZ65" s="644">
        <f>IF(ISBLANK(Récap1!AZ65),"",Récap1!AZ65)</f>
        <v>42688.391571667926</v>
      </c>
      <c r="BA65" s="644">
        <f>IF(ISBLANK(Récap1!BA65),"",Récap1!BA65)</f>
        <v>272736.66369284561</v>
      </c>
      <c r="BB65" s="644">
        <f>IF(ISBLANK(Récap1!BB65),"",Récap1!BB65)</f>
        <v>1660432.1647527099</v>
      </c>
      <c r="BC65" s="645" t="str">
        <f>IF(ISBLANK(Récap1!BC65),"",Récap1!BC65)</f>
        <v>PVL</v>
      </c>
      <c r="BD65" s="682" t="str">
        <f>IF(ISBLANK(Récap1!BD65),"",Récap1!BD65)</f>
        <v>PVL</v>
      </c>
      <c r="BE65" s="644">
        <f>IF(ISBLANK(Récap1!BE65),"",Récap1!BE65)</f>
        <v>3738.5961473284342</v>
      </c>
      <c r="BF65" s="644">
        <f>IF(ISBLANK(Récap1!BF65),"",Récap1!BF65)</f>
        <v>7477.1922946568684</v>
      </c>
      <c r="BG65" s="644" t="str">
        <f>IF(ISBLANK(Récap1!BG65),"",Récap1!BG65)</f>
        <v>PVL</v>
      </c>
      <c r="BH65" s="646" t="str">
        <f>IF(ISBLANK(Récap1!BH65),"",Récap1!BH65)</f>
        <v>PVL</v>
      </c>
      <c r="BI65" s="644" t="str">
        <f>IF(ISBLANK(Récap1!BI65),"",Récap1!BI65)</f>
        <v>PVL</v>
      </c>
      <c r="BJ65" s="647" t="e">
        <f>IF(ISBLANK(Récap1!#REF!),"",Récap1!#REF!)</f>
        <v>#REF!</v>
      </c>
      <c r="BK65" s="647" t="e">
        <f>IF(ISBLANK(Récap1!#REF!),"",Récap1!#REF!)</f>
        <v>#REF!</v>
      </c>
      <c r="BL65" s="644">
        <f>IF(ISBLANK('HCT2'!H65),"",'HCT2'!H65)</f>
        <v>15.260318181818182</v>
      </c>
      <c r="BM65" s="644" t="str">
        <f>IF(ISBLANK('HCT2'!I65),"",'HCT2'!I65)</f>
        <v>PVL</v>
      </c>
      <c r="BN65" s="644">
        <f>IF(ISBLANK('HCT2'!J65),"",'HCT2'!J65)</f>
        <v>36.624763636363639</v>
      </c>
      <c r="BO65" s="645" t="str">
        <f>IF(ISBLANK('HCT2'!K65),"",'HCT2'!K65)</f>
        <v>PVL</v>
      </c>
      <c r="BP65" s="644" t="e">
        <f>IF(ISBLANK('HCT2'!L65),"",'HCT2'!L65)</f>
        <v>#VALUE!</v>
      </c>
      <c r="BQ65" s="1228" t="e">
        <f>IF(ISBLANK('HCT2'!M65),"",'HCT2'!M65)</f>
        <v>#VALUE!</v>
      </c>
      <c r="BR65" s="644" t="e">
        <f>IF(ISBLANK('HCT2'!N65),"",'HCT2'!N65)</f>
        <v>#VALUE!</v>
      </c>
      <c r="BS65" s="644" t="e">
        <f>IF(ISBLANK('HCT2'!O65),"",'HCT2'!O65)</f>
        <v>#VALUE!</v>
      </c>
      <c r="BT65" s="1229" t="e">
        <f>IF(ISBLANK('HCT2'!P65),"",'HCT2'!P65)</f>
        <v>#VALUE!</v>
      </c>
      <c r="BU65" s="644" t="e">
        <f>IF(ISBLANK('HCT2'!Q65),"",'HCT2'!Q65)</f>
        <v>#VALUE!</v>
      </c>
      <c r="BV65" s="644" t="e">
        <f>IF(ISBLANK('HCT2'!R65),"",'HCT2'!R65)</f>
        <v>#VALUE!</v>
      </c>
      <c r="BW65" s="644" t="e">
        <f>IF(ISBLANK('HCT2'!S65),"",'HCT2'!S65)</f>
        <v>#VALUE!</v>
      </c>
      <c r="BX65" s="1228" t="e">
        <f>IF(ISBLANK('HCT2'!T65),"",'HCT2'!T65)</f>
        <v>#VALUE!</v>
      </c>
      <c r="BY65" s="644" t="e">
        <f>IF(ISBLANK('HCT2'!U65),"",'HCT2'!U65)</f>
        <v>#VALUE!</v>
      </c>
      <c r="BZ65" s="644" t="e">
        <f>IF(ISBLANK('HCT2'!V65),"",'HCT2'!V65)</f>
        <v>#VALUE!</v>
      </c>
      <c r="CA65" s="644" t="e">
        <f>IF(ISBLANK('HCT2'!W65),"",'HCT2'!W65)</f>
        <v>#VALUE!</v>
      </c>
      <c r="CB65" s="647" t="str">
        <f>IF(ISBLANK('HCT2'!X65),"",'HCT2'!X65)</f>
        <v/>
      </c>
      <c r="CC65" s="1230">
        <f>IF(ISBLANK('HCT2'!Y65),"",'HCT2'!Y65)</f>
        <v>1332.2305550711878</v>
      </c>
      <c r="CD65" s="1231" t="str">
        <f>IF(ISBLANK('HCT2'!Z65),"",'HCT2'!Z65)</f>
        <v>PVL</v>
      </c>
      <c r="CE65" s="647" t="str">
        <f>IF(ISBLANK('HCT2'!AA65),"",'HCT2'!AA65)</f>
        <v/>
      </c>
      <c r="CF65" s="647" t="str">
        <f>IF(ISBLANK('HCT2'!AB65),"",'HCT2'!AB65)</f>
        <v/>
      </c>
      <c r="CG65" s="1232" t="str">
        <f>IF(ISBLANK('HCT2'!AC65),"",'HCT2'!AC65)</f>
        <v>PVL</v>
      </c>
      <c r="CH65" s="647" t="str">
        <f>IF(ISBLANK('HCT2'!AD65),"",'HCT2'!AD65)</f>
        <v/>
      </c>
      <c r="CI65" s="647" t="str">
        <f>IF(ISBLANK('HCT2'!AE65),"",'HCT2'!AE65)</f>
        <v/>
      </c>
      <c r="CJ65" s="647" t="str">
        <f>IF(ISBLANK('HCT2'!AF65),"",'HCT2'!AF65)</f>
        <v/>
      </c>
      <c r="CK65" s="1233" t="str">
        <f>IF(ISBLANK('HCT2'!AG65),"",'HCT2'!AG65)</f>
        <v/>
      </c>
      <c r="CL65" s="647" t="str">
        <f>IF(ISBLANK('HCT2'!AH65),"",'HCT2'!AH65)</f>
        <v>PVL</v>
      </c>
      <c r="CM65" s="647" t="str">
        <f>IF(ISBLANK('HCT2'!AI65),"",'HCT2'!AI65)</f>
        <v>PVL</v>
      </c>
      <c r="CN65" s="1233" t="str">
        <f>IF(ISBLANK('HCT2'!AJ65),"",'HCT2'!AJ65)</f>
        <v>PVL</v>
      </c>
      <c r="CO65" s="647" t="str">
        <f>IF(ISBLANK('HCT2'!AK65),"",'HCT2'!AK65)</f>
        <v/>
      </c>
      <c r="CP65" s="647" t="str">
        <f>IF(ISBLANK('HCT2'!AL65),"",'HCT2'!AL65)</f>
        <v/>
      </c>
      <c r="CQ65" s="647" t="str">
        <f>IF(ISBLANK('HCT2'!AM65),"",'HCT2'!AM65)</f>
        <v/>
      </c>
      <c r="CR65" s="688" t="str">
        <f>IF(ISBLANK('HCT2'!AN65),"",'HCT2'!AN65)</f>
        <v/>
      </c>
      <c r="CS65" s="1234" t="str">
        <f>IF(ISBLANK('HCT2'!AO65),"",'HCT2'!AO65)</f>
        <v>PVL</v>
      </c>
      <c r="CT65" s="1174">
        <f>IF(ISBLANK('HCT2'!AP65),"",'HCT2'!AP65)</f>
        <v>1.145471264243954E-2</v>
      </c>
      <c r="CU65" s="1147">
        <f>IF(ISBLANK('HCT2'!AQ65),"",'HCT2'!AQ65)</f>
        <v>1332.2305550711878</v>
      </c>
      <c r="CV65" s="686" t="e">
        <f>IF(ISBLANK('HCT2'!AR65),"",'HCT2'!AR65)</f>
        <v>#VALUE!</v>
      </c>
      <c r="CW65" s="1496" t="e">
        <f>IF(ISBLANK(Récap1!#REF!),"",Récap1!#REF!)</f>
        <v>#REF!</v>
      </c>
      <c r="CX65" s="1496" t="e">
        <f>IF(ISBLANK(Récap1!#REF!),"",Récap1!#REF!)</f>
        <v>#REF!</v>
      </c>
      <c r="CY65" s="1064" t="e">
        <f>IF(ISBLANK(Récap1!#REF!),"",Récap1!#REF!)</f>
        <v>#REF!</v>
      </c>
      <c r="CZ65" s="1064" t="e">
        <f>IF(ISBLANK(Récap1!#REF!),"",Récap1!#REF!)</f>
        <v>#REF!</v>
      </c>
      <c r="DA65" s="1064" t="e">
        <f>IF(ISBLANK(Récap1!#REF!),"",Récap1!#REF!)</f>
        <v>#REF!</v>
      </c>
      <c r="DB65" s="1064" t="e">
        <f>IF(ISBLANK(Récap1!#REF!),"",Récap1!#REF!)</f>
        <v>#REF!</v>
      </c>
      <c r="DC65" s="1496" t="str">
        <f>IF(ISBLANK('HCT2'!AS65),"",'HCT2'!AS65)</f>
        <v>PVL</v>
      </c>
      <c r="DD65" s="1064" t="str">
        <f>IF(ISBLANK('HCT2'!AT65),"",'HCT2'!AT65)</f>
        <v>PVL</v>
      </c>
      <c r="DE65" s="1064" t="str">
        <f>IF(ISBLANK('HCT2'!AU65),"",'HCT2'!AU65)</f>
        <v>PVL</v>
      </c>
      <c r="DF65" s="1064" t="str">
        <f>IF(ISBLANK('HCT2'!AV65),"",'HCT2'!AV65)</f>
        <v>PVL</v>
      </c>
      <c r="DG65" s="1064" t="str">
        <f>IF(ISBLANK('HCT2'!AW65),"",'HCT2'!AW65)</f>
        <v/>
      </c>
      <c r="DH65" s="1064" t="str">
        <f>IF(ISBLANK('HCT2'!AX65),"",'HCT2'!AX65)</f>
        <v/>
      </c>
      <c r="DI65" s="1064" t="str">
        <f>IF(ISBLANK('HCT2'!AY65),"",'HCT2'!AY65)</f>
        <v/>
      </c>
      <c r="DJ65" s="1497" t="str">
        <f>IF(ISBLANK('HCT2'!AZ65),"",'HCT2'!AZ65)</f>
        <v>PVL</v>
      </c>
      <c r="DK65" s="1064" t="str">
        <f>IF(ISBLANK('HCT2'!BA65),"",'HCT2'!BA65)</f>
        <v>PVL</v>
      </c>
      <c r="DL65" s="1064" t="str">
        <f>IF(ISBLANK('HCT2'!BB65),"",'HCT2'!BB65)</f>
        <v>PVL</v>
      </c>
      <c r="DM65" s="1498" t="str">
        <f>IF(ISBLANK('HCT2'!BC65),"",'HCT2'!BC65)</f>
        <v>PVL</v>
      </c>
      <c r="DN65" s="1499" t="str">
        <f>IF(ISBLANK('HCT2'!BD65),"",'HCT2'!BD65)</f>
        <v>PVL</v>
      </c>
      <c r="DO65" s="1475">
        <f>IF(ISBLANK('HCT2'!BE65),"",'HCT2'!BE65)</f>
        <v>0</v>
      </c>
      <c r="DP65" s="1500" t="str">
        <f>IF(ISBLANK('HCT2'!BF65),"",'HCT2'!BF65)</f>
        <v>PVL</v>
      </c>
      <c r="DQ65" s="920" t="e">
        <f t="shared" si="0"/>
        <v>#VALUE!</v>
      </c>
      <c r="DS65" s="56" t="e">
        <f t="shared" si="1"/>
        <v>#VALUE!</v>
      </c>
      <c r="DT65" s="56" t="e">
        <f t="shared" si="1"/>
        <v>#VALUE!</v>
      </c>
      <c r="DU65" s="56" t="e">
        <f t="shared" si="2"/>
        <v>#VALUE!</v>
      </c>
      <c r="DV65" s="870" t="e">
        <f t="shared" si="2"/>
        <v>#VALUE!</v>
      </c>
      <c r="DW65" s="56" t="e">
        <f t="shared" si="2"/>
        <v>#VALUE!</v>
      </c>
      <c r="DX65" s="56" t="e">
        <f t="shared" si="2"/>
        <v>#VALUE!</v>
      </c>
      <c r="DY65" s="56" t="e">
        <f t="shared" si="2"/>
        <v>#VALUE!</v>
      </c>
    </row>
    <row r="66" spans="1:131" s="26" customFormat="1" hidden="1">
      <c r="A66" s="17"/>
      <c r="B66" s="27"/>
      <c r="C66" s="77"/>
      <c r="D66" s="790"/>
      <c r="E66" s="103" t="str">
        <f>IF(ISBLANK(Récap1!E66),"",Récap1!E66)</f>
        <v>Seuil avant contrôle de la saturation</v>
      </c>
      <c r="F66" s="14" t="str">
        <f>IF(ISBLANK(Récap1!F66),"",Récap1!F66)</f>
        <v>Cs</v>
      </c>
      <c r="G66" s="105" t="str">
        <f>IF(ISBLANK(Récap1!G66),"",Récap1!G66)</f>
        <v>mg/kg ms</v>
      </c>
      <c r="H66" s="119">
        <f>IF(ISBLANK(Récap1!H66),"",Récap1!H66)</f>
        <v>5690.3454864090718</v>
      </c>
      <c r="I66" s="113">
        <f>IF(ISBLANK(Récap1!I66),"",Récap1!I66)</f>
        <v>5690.3454864090718</v>
      </c>
      <c r="J66" s="231">
        <f>IF(ISBLANK(Récap1!J66),"",Récap1!J66)</f>
        <v>39274.636760143017</v>
      </c>
      <c r="K66" s="648">
        <f>IF(ISBLANK(Récap1!K66),"",Récap1!K66)</f>
        <v>14.649905454545456</v>
      </c>
      <c r="L66" s="231">
        <f>IF(ISBLANK(Récap1!L66),"",Récap1!L66)</f>
        <v>20.132323248857201</v>
      </c>
      <c r="M66" s="231">
        <f>IF(ISBLANK(Récap1!M66),"",Récap1!M66)</f>
        <v>20.132323248857201</v>
      </c>
      <c r="N66" s="231">
        <f>IF(ISBLANK(Récap1!N66),"",Récap1!N66)</f>
        <v>45.780954545454541</v>
      </c>
      <c r="O66" s="231">
        <f>IF(ISBLANK(Récap1!O66),"",Récap1!O66)</f>
        <v>45.780954545454541</v>
      </c>
      <c r="P66" s="231">
        <f>IF(ISBLANK(Récap1!P66),"",Récap1!P66)</f>
        <v>9.1561909090909115</v>
      </c>
      <c r="Q66" s="231">
        <f>IF(ISBLANK(Récap1!Q66),"",Récap1!Q66)</f>
        <v>9.1561909090909115</v>
      </c>
      <c r="R66" s="231">
        <f>IF(ISBLANK(Récap1!R66),"",Récap1!R66)</f>
        <v>91.561909090909097</v>
      </c>
      <c r="S66" s="231">
        <f>IF(ISBLANK(Récap1!S66),"",Récap1!S66)</f>
        <v>3.9809525691699599</v>
      </c>
      <c r="T66" s="231">
        <f>IF(ISBLANK(Récap1!T66),"",Récap1!T66)</f>
        <v>3.9809525691699599</v>
      </c>
      <c r="U66" s="231">
        <f>IF(ISBLANK(Récap1!U66),"",Récap1!U66)</f>
        <v>2.1800454545454544</v>
      </c>
      <c r="V66" s="670">
        <f>IF(ISBLANK(Récap1!V66),"",Récap1!V66)</f>
        <v>261.60545454545451</v>
      </c>
      <c r="W66" s="231">
        <f>IF(ISBLANK(Récap1!W66),"",Récap1!W66)</f>
        <v>261.60545454545451</v>
      </c>
      <c r="X66" s="231">
        <f>IF(ISBLANK(Récap1!X66),"",Récap1!X66)</f>
        <v>2.7540971441360114</v>
      </c>
      <c r="Y66" s="231">
        <f>IF(ISBLANK(Récap1!Y66),"",Récap1!Y66)</f>
        <v>96.479850827950756</v>
      </c>
      <c r="Z66" s="231">
        <f>IF(ISBLANK(Récap1!Z66),"",Récap1!Z66)</f>
        <v>36.624763636363639</v>
      </c>
      <c r="AA66" s="232">
        <f>IF(ISBLANK(Récap1!AA66),"",Récap1!AA66)</f>
        <v>183.12381818181819</v>
      </c>
      <c r="AB66" s="231">
        <f>IF(ISBLANK(Récap1!AB66),"",Récap1!AB66)</f>
        <v>190.69027666341782</v>
      </c>
      <c r="AC66" s="1253">
        <f>IF(ISBLANK(Récap1!AC66),"",Récap1!AC66)</f>
        <v>594.14095194269214</v>
      </c>
      <c r="AD66" s="231">
        <f>IF(ISBLANK(Récap1!AD66),"",Récap1!AD66)</f>
        <v>2514.3939910968602</v>
      </c>
      <c r="AE66" s="231" t="str">
        <f>IF(ISBLANK(Récap1!AE66),"",Récap1!AE66)</f>
        <v>PVL</v>
      </c>
      <c r="AF66" s="1254" t="str">
        <f>IF(ISBLANK(Récap1!AF66),"",Récap1!AF66)</f>
        <v>PVL</v>
      </c>
      <c r="AG66" s="231">
        <f>IF(ISBLANK(Récap1!AG66),"",Récap1!AG66)</f>
        <v>4813.5403636363644</v>
      </c>
      <c r="AH66" s="231">
        <f>IF(ISBLANK(Récap1!AH66),"",Récap1!AH66)</f>
        <v>4813.5403636363626</v>
      </c>
      <c r="AI66" s="231">
        <f>IF(ISBLANK(Récap1!AI66),"",Récap1!AI66)</f>
        <v>328.70516682074253</v>
      </c>
      <c r="AJ66" s="1253">
        <f>IF(ISBLANK(Récap1!AJ66),"",Récap1!AJ66)</f>
        <v>833.65178024831619</v>
      </c>
      <c r="AK66" s="231">
        <f>IF(ISBLANK(Récap1!AK66),"",Récap1!AK66)</f>
        <v>2507.8146372372967</v>
      </c>
      <c r="AL66" s="231" t="str">
        <f>IF(ISBLANK(Récap1!AL66),"",Récap1!AL66)</f>
        <v>PVL</v>
      </c>
      <c r="AM66" s="231" t="str">
        <f>IF(ISBLANK(Récap1!AM66),"",Récap1!AM66)</f>
        <v>PVL</v>
      </c>
      <c r="AN66" s="648">
        <f>IF(ISBLANK(Récap1!AN66),"",Récap1!AN66)</f>
        <v>13.451078987238073</v>
      </c>
      <c r="AO66" s="231">
        <f>IF(ISBLANK(Récap1!AO66),"",Récap1!AO66)</f>
        <v>1152.2612876157891</v>
      </c>
      <c r="AP66" s="231">
        <f>IF(ISBLANK(Récap1!AP66),"",Récap1!AP66)</f>
        <v>798.94040661360282</v>
      </c>
      <c r="AQ66" s="231">
        <f>IF(ISBLANK(Récap1!AQ66),"",Récap1!AQ66)</f>
        <v>1672.7914093566708</v>
      </c>
      <c r="AR66" s="231">
        <f>IF(ISBLANK(Récap1!AR66),"",Récap1!AR66)</f>
        <v>7261.8917340915577</v>
      </c>
      <c r="AS66" s="231">
        <f>IF(ISBLANK(Récap1!AS66),"",Récap1!AS66)</f>
        <v>572.805972247721</v>
      </c>
      <c r="AT66" s="231">
        <f>IF(ISBLANK(Récap1!AT66),"",Récap1!AT66)</f>
        <v>82098.620320565518</v>
      </c>
      <c r="AU66" s="231">
        <f>IF(ISBLANK(Récap1!AU66),"",Récap1!AU66)</f>
        <v>85312.787686946293</v>
      </c>
      <c r="AV66" s="231">
        <f>IF(ISBLANK(Récap1!AV66),"",Récap1!AV66)</f>
        <v>6008.0579204945898</v>
      </c>
      <c r="AW66" s="231">
        <f>IF(ISBLANK(Récap1!AW66),"",Récap1!AW66)</f>
        <v>62346.589825332478</v>
      </c>
      <c r="AX66" s="231">
        <f>IF(ISBLANK(Récap1!AX66),"",Récap1!AX66)</f>
        <v>195655.09881076249</v>
      </c>
      <c r="AY66" s="231">
        <f>IF(ISBLANK(Récap1!AY66),"",Récap1!AY66)</f>
        <v>285088.30941608158</v>
      </c>
      <c r="AZ66" s="231">
        <f>IF(ISBLANK(Récap1!AZ66),"",Récap1!AZ66)</f>
        <v>42688.391571667926</v>
      </c>
      <c r="BA66" s="231">
        <f>IF(ISBLANK(Récap1!BA66),"",Récap1!BA66)</f>
        <v>272736.66369284561</v>
      </c>
      <c r="BB66" s="231">
        <f>IF(ISBLANK(Récap1!BB66),"",Récap1!BB66)</f>
        <v>1660432.1647527099</v>
      </c>
      <c r="BC66" s="232" t="str">
        <f>IF(ISBLANK(Récap1!BC66),"",Récap1!BC66)</f>
        <v>PVL</v>
      </c>
      <c r="BD66" s="671">
        <f>IF(ISBLANK(Récap1!BD66),"",Récap1!BD66)</f>
        <v>7508.9004268737363</v>
      </c>
      <c r="BE66" s="231">
        <f>IF(ISBLANK(Récap1!BE66),"",Récap1!BE66)</f>
        <v>3738.5961473284342</v>
      </c>
      <c r="BF66" s="231">
        <f>IF(ISBLANK(Récap1!BF66),"",Récap1!BF66)</f>
        <v>7477.1922946568684</v>
      </c>
      <c r="BG66" s="231">
        <f>IF(ISBLANK(Récap1!BG66),"",Récap1!BG66)</f>
        <v>7.8481636363636371E-3</v>
      </c>
      <c r="BH66" s="646">
        <f>IF(ISBLANK(Récap1!BH66),"",Récap1!BH66)</f>
        <v>135.39650926614644</v>
      </c>
      <c r="BI66" s="231">
        <f>IF(ISBLANK(Récap1!BI66),"",Récap1!BI66)</f>
        <v>18.519020566978799</v>
      </c>
      <c r="BJ66" s="647" t="e">
        <f>IF(ISBLANK(Récap1!#REF!),"",Récap1!#REF!)</f>
        <v>#REF!</v>
      </c>
      <c r="BK66" s="647" t="e">
        <f>IF(ISBLANK(Récap1!#REF!),"",Récap1!#REF!)</f>
        <v>#REF!</v>
      </c>
      <c r="BL66" s="231">
        <f>IF(ISBLANK('HCT2'!H66),"",'HCT2'!H66)</f>
        <v>2.7540971441360114</v>
      </c>
      <c r="BM66" s="231">
        <f>IF(ISBLANK('HCT2'!I66),"",'HCT2'!I66)</f>
        <v>96.479850827950756</v>
      </c>
      <c r="BN66" s="231">
        <f>IF(ISBLANK('HCT2'!J66),"",'HCT2'!J66)</f>
        <v>36.624763636363639</v>
      </c>
      <c r="BO66" s="232">
        <f>IF(ISBLANK('HCT2'!K66),"",'HCT2'!K66)</f>
        <v>183.12381818181819</v>
      </c>
      <c r="BP66" s="231">
        <f>IF(ISBLANK('HCT2'!L66),"",'HCT2'!L66)</f>
        <v>190.69027666341782</v>
      </c>
      <c r="BQ66" s="1253">
        <f>IF(ISBLANK('HCT2'!M66),"",'HCT2'!M66)</f>
        <v>594.14095194269214</v>
      </c>
      <c r="BR66" s="231">
        <f>IF(ISBLANK('HCT2'!N66),"",'HCT2'!N66)</f>
        <v>2514.3939910968602</v>
      </c>
      <c r="BS66" s="231">
        <f>IF(ISBLANK('HCT2'!O66),"",'HCT2'!O66)</f>
        <v>238.74982220037242</v>
      </c>
      <c r="BT66" s="1254">
        <f>IF(ISBLANK('HCT2'!P66),"",'HCT2'!P66)</f>
        <v>1.6409718017251194</v>
      </c>
      <c r="BU66" s="231">
        <f>IF(ISBLANK('HCT2'!Q66),"",'HCT2'!Q66)</f>
        <v>4813.5403636363644</v>
      </c>
      <c r="BV66" s="231">
        <f>IF(ISBLANK('HCT2'!R66),"",'HCT2'!R66)</f>
        <v>4813.5403636363626</v>
      </c>
      <c r="BW66" s="231">
        <f>IF(ISBLANK('HCT2'!S66),"",'HCT2'!S66)</f>
        <v>328.70516682074253</v>
      </c>
      <c r="BX66" s="1253">
        <f>IF(ISBLANK('HCT2'!T66),"",'HCT2'!T66)</f>
        <v>833.65178024831619</v>
      </c>
      <c r="BY66" s="231">
        <f>IF(ISBLANK('HCT2'!U66),"",'HCT2'!U66)</f>
        <v>2507.8146372372967</v>
      </c>
      <c r="BZ66" s="231">
        <f>IF(ISBLANK('HCT2'!V66),"",'HCT2'!V66)</f>
        <v>1600.8051203021039</v>
      </c>
      <c r="CA66" s="231">
        <f>IF(ISBLANK('HCT2'!W66),"",'HCT2'!W66)</f>
        <v>168.41710403399389</v>
      </c>
      <c r="CB66" s="647" t="str">
        <f>IF(ISBLANK('HCT2'!X66),"",'HCT2'!X66)</f>
        <v/>
      </c>
      <c r="CC66" s="1230">
        <f>IF(ISBLANK('HCT2'!Y66),"",'HCT2'!Y66)</f>
        <v>240.43354295350215</v>
      </c>
      <c r="CD66" s="1231">
        <f>IF(ISBLANK('HCT2'!Z66),"",'HCT2'!Z66)</f>
        <v>707.56688535383535</v>
      </c>
      <c r="CE66" s="647" t="str">
        <f>IF(ISBLANK('HCT2'!AA66),"",'HCT2'!AA66)</f>
        <v/>
      </c>
      <c r="CF66" s="647" t="str">
        <f>IF(ISBLANK('HCT2'!AB66),"",'HCT2'!AB66)</f>
        <v/>
      </c>
      <c r="CG66" s="1232">
        <f>IF(ISBLANK('HCT2'!AC66),"",'HCT2'!AC66)</f>
        <v>1067.3080034765676</v>
      </c>
      <c r="CH66" s="647" t="str">
        <f>IF(ISBLANK('HCT2'!AD66),"",'HCT2'!AD66)</f>
        <v/>
      </c>
      <c r="CI66" s="647" t="str">
        <f>IF(ISBLANK('HCT2'!AE66),"",'HCT2'!AE66)</f>
        <v/>
      </c>
      <c r="CJ66" s="647" t="str">
        <f>IF(ISBLANK('HCT2'!AF66),"",'HCT2'!AF66)</f>
        <v/>
      </c>
      <c r="CK66" s="1233" t="str">
        <f>IF(ISBLANK('HCT2'!AG66),"",'HCT2'!AG66)</f>
        <v/>
      </c>
      <c r="CL66" s="647">
        <f>IF(ISBLANK('HCT2'!AH66),"",'HCT2'!AH66)</f>
        <v>14162.75929908501</v>
      </c>
      <c r="CM66" s="647">
        <f>IF(ISBLANK('HCT2'!AI66),"",'HCT2'!AI66)</f>
        <v>18319.906632732112</v>
      </c>
      <c r="CN66" s="1233">
        <f>IF(ISBLANK('HCT2'!AJ66),"",'HCT2'!AJ66)</f>
        <v>4635.9218629277602</v>
      </c>
      <c r="CO66" s="647" t="str">
        <f>IF(ISBLANK('HCT2'!AK66),"",'HCT2'!AK66)</f>
        <v/>
      </c>
      <c r="CP66" s="647" t="str">
        <f>IF(ISBLANK('HCT2'!AL66),"",'HCT2'!AL66)</f>
        <v/>
      </c>
      <c r="CQ66" s="647" t="str">
        <f>IF(ISBLANK('HCT2'!AM66),"",'HCT2'!AM66)</f>
        <v/>
      </c>
      <c r="CR66" s="688" t="str">
        <f>IF(ISBLANK('HCT2'!AN66),"",'HCT2'!AN66)</f>
        <v/>
      </c>
      <c r="CS66" s="1234">
        <f>IF(ISBLANK('HCT2'!AO66),"",'HCT2'!AO66)</f>
        <v>1067.3080034765676</v>
      </c>
      <c r="CT66" s="1174">
        <f>IF(ISBLANK('HCT2'!AP66),"",'HCT2'!AP66)</f>
        <v>1</v>
      </c>
      <c r="CU66" s="1147">
        <f>IF(ISBLANK('HCT2'!AQ66),"",'HCT2'!AQ66)</f>
        <v>10245.710118728974</v>
      </c>
      <c r="CV66" s="686">
        <f>IF(ISBLANK('HCT2'!AR66),"",'HCT2'!AR66)</f>
        <v>10245.710118728974</v>
      </c>
      <c r="CW66" s="1496" t="e">
        <f>IF(ISBLANK(Récap1!#REF!),"",Récap1!#REF!)</f>
        <v>#REF!</v>
      </c>
      <c r="CX66" s="1496" t="e">
        <f>IF(ISBLANK(Récap1!#REF!),"",Récap1!#REF!)</f>
        <v>#REF!</v>
      </c>
      <c r="CY66" s="1064" t="e">
        <f>IF(ISBLANK(Récap1!#REF!),"",Récap1!#REF!)</f>
        <v>#REF!</v>
      </c>
      <c r="CZ66" s="1064" t="e">
        <f>IF(ISBLANK(Récap1!#REF!),"",Récap1!#REF!)</f>
        <v>#REF!</v>
      </c>
      <c r="DA66" s="1064" t="e">
        <f>IF(ISBLANK(Récap1!#REF!),"",Récap1!#REF!)</f>
        <v>#REF!</v>
      </c>
      <c r="DB66" s="1064" t="e">
        <f>IF(ISBLANK(Récap1!#REF!),"",Récap1!#REF!)</f>
        <v>#REF!</v>
      </c>
      <c r="DC66" s="1496">
        <f>IF(ISBLANK('HCT2'!AS66),"",'HCT2'!AS66)</f>
        <v>15883.533841881981</v>
      </c>
      <c r="DD66" s="1064">
        <f>IF(ISBLANK('HCT2'!AT66),"",'HCT2'!AT66)</f>
        <v>37794.042801896576</v>
      </c>
      <c r="DE66" s="1064" t="str">
        <f>IF(ISBLANK('HCT2'!AU66),"",'HCT2'!AU66)</f>
        <v>PVL</v>
      </c>
      <c r="DF66" s="1064" t="str">
        <f>IF(ISBLANK('HCT2'!AV66),"",'HCT2'!AV66)</f>
        <v>PVL</v>
      </c>
      <c r="DG66" s="1064" t="str">
        <f>IF(ISBLANK('HCT2'!AW66),"",'HCT2'!AW66)</f>
        <v/>
      </c>
      <c r="DH66" s="1064" t="str">
        <f>IF(ISBLANK('HCT2'!AX66),"",'HCT2'!AX66)</f>
        <v/>
      </c>
      <c r="DI66" s="1064" t="str">
        <f>IF(ISBLANK('HCT2'!AY66),"",'HCT2'!AY66)</f>
        <v/>
      </c>
      <c r="DJ66" s="1497">
        <f>IF(ISBLANK('HCT2'!AZ66),"",'HCT2'!AZ66)</f>
        <v>6158.4485092196655</v>
      </c>
      <c r="DK66" s="1064">
        <f>IF(ISBLANK('HCT2'!BA66),"",'HCT2'!BA66)</f>
        <v>5669.9259576826244</v>
      </c>
      <c r="DL66" s="1064" t="str">
        <f>IF(ISBLANK('HCT2'!BB66),"",'HCT2'!BB66)</f>
        <v>PVL</v>
      </c>
      <c r="DM66" s="1498" t="str">
        <f>IF(ISBLANK('HCT2'!BC66),"",'HCT2'!BC66)</f>
        <v>PVL</v>
      </c>
      <c r="DN66" s="1499">
        <f>IF(ISBLANK('HCT2'!BD66),"",'HCT2'!BD66)</f>
        <v>5669.9259576826244</v>
      </c>
      <c r="DO66" s="1475">
        <f>IF(ISBLANK('HCT2'!BE66),"",'HCT2'!BE66)</f>
        <v>0.68160323968664671</v>
      </c>
      <c r="DP66" s="1500">
        <f>IF(ISBLANK('HCT2'!BF66),"",'HCT2'!BF66)</f>
        <v>9462.9851869401664</v>
      </c>
      <c r="DQ66" s="920">
        <f t="shared" si="0"/>
        <v>8459.6143788633599</v>
      </c>
      <c r="DS66" s="113">
        <f t="shared" si="1"/>
        <v>4816.2944607805002</v>
      </c>
      <c r="DT66" s="113">
        <f t="shared" si="1"/>
        <v>4910.0202144643135</v>
      </c>
      <c r="DU66" s="113">
        <f t="shared" si="2"/>
        <v>519.3954434841603</v>
      </c>
      <c r="DV66" s="872">
        <f t="shared" si="2"/>
        <v>1427.7927321910083</v>
      </c>
      <c r="DW66" s="113">
        <f t="shared" si="2"/>
        <v>5022.2086283341569</v>
      </c>
      <c r="DX66" s="113">
        <f t="shared" si="2"/>
        <v>1839.5549425024763</v>
      </c>
      <c r="DY66" s="113">
        <f t="shared" si="2"/>
        <v>170.05807583571902</v>
      </c>
    </row>
    <row r="67" spans="1:131" s="1009" customFormat="1" hidden="1">
      <c r="A67" s="701"/>
      <c r="B67" s="1000"/>
      <c r="C67" s="1012"/>
      <c r="D67" s="791"/>
      <c r="E67" s="1002" t="str">
        <f>IF(ISBLANK(Récap1!E67),"",Récap1!E67)</f>
        <v>Teneur limite sol</v>
      </c>
      <c r="F67" s="1013" t="str">
        <f>IF(ISBLANK(Récap1!F67),"",Récap1!F67)</f>
        <v>Cs</v>
      </c>
      <c r="G67" s="760" t="str">
        <f>IF(ISBLANK(Récap1!G67),"",Récap1!G67)</f>
        <v>mg/kg ms</v>
      </c>
      <c r="H67" s="1014">
        <f>IF(ISBLANK(Récap1!H67),"",Récap1!H67)</f>
        <v>5690.3454864090718</v>
      </c>
      <c r="I67" s="1015">
        <f>IF(ISBLANK(Récap1!I67),"",Récap1!I67)</f>
        <v>5690.3454864090718</v>
      </c>
      <c r="J67" s="1307">
        <f>IF(ISBLANK(Récap1!J67),"",Récap1!J67)</f>
        <v>39274.636760143017</v>
      </c>
      <c r="K67" s="1306">
        <f>IF(ISBLANK(Récap1!K67),"",Récap1!K67)</f>
        <v>14.649905454545456</v>
      </c>
      <c r="L67" s="1307">
        <f>IF(ISBLANK(Récap1!L67),"",Récap1!L67)</f>
        <v>20.132323248857201</v>
      </c>
      <c r="M67" s="1307">
        <f>IF(ISBLANK(Récap1!M67),"",Récap1!M67)</f>
        <v>20.132323248857201</v>
      </c>
      <c r="N67" s="1307">
        <f>IF(ISBLANK(Récap1!N67),"",Récap1!N67)</f>
        <v>45.780954545454541</v>
      </c>
      <c r="O67" s="1307">
        <f>IF(ISBLANK(Récap1!O67),"",Récap1!O67)</f>
        <v>45.780954545454541</v>
      </c>
      <c r="P67" s="1307">
        <f>IF(ISBLANK(Récap1!P67),"",Récap1!P67)</f>
        <v>9.1561909090909115</v>
      </c>
      <c r="Q67" s="1307">
        <f>IF(ISBLANK(Récap1!Q67),"",Récap1!Q67)</f>
        <v>9.1561909090909115</v>
      </c>
      <c r="R67" s="1307">
        <f>IF(ISBLANK(Récap1!R67),"",Récap1!R67)</f>
        <v>91.561909090909097</v>
      </c>
      <c r="S67" s="1307">
        <f>IF(ISBLANK(Récap1!S67),"",Récap1!S67)</f>
        <v>3.9809525691699599</v>
      </c>
      <c r="T67" s="1307">
        <f>IF(ISBLANK(Récap1!T67),"",Récap1!T67)</f>
        <v>3.9809525691699599</v>
      </c>
      <c r="U67" s="1307">
        <f>IF(ISBLANK(Récap1!U67),"",Récap1!U67)</f>
        <v>2.1800454545454544</v>
      </c>
      <c r="V67" s="1440">
        <f>IF(ISBLANK(Récap1!V67),"",Récap1!V67)</f>
        <v>261.60545454545451</v>
      </c>
      <c r="W67" s="1307">
        <f>IF(ISBLANK(Récap1!W67),"",Récap1!W67)</f>
        <v>261.60545454545451</v>
      </c>
      <c r="X67" s="1307">
        <f>IF(ISBLANK(Récap1!X67),"",Récap1!X67)</f>
        <v>2.7540971441360114</v>
      </c>
      <c r="Y67" s="1307">
        <f>IF(ISBLANK(Récap1!Y67),"",Récap1!Y67)</f>
        <v>96.479850827950756</v>
      </c>
      <c r="Z67" s="1307">
        <f>IF(ISBLANK(Récap1!Z67),"",Récap1!Z67)</f>
        <v>36.624763636363639</v>
      </c>
      <c r="AA67" s="1308" t="str">
        <f>IF(ISBLANK(Récap1!AA67),"",Récap1!AA67)</f>
        <v>PVL</v>
      </c>
      <c r="AB67" s="1307" t="str">
        <f>IF(ISBLANK(Récap1!AB67),"",Récap1!AB67)</f>
        <v>PVL</v>
      </c>
      <c r="AC67" s="1309" t="str">
        <f>IF(ISBLANK(Récap1!AC67),"",Récap1!AC67)</f>
        <v>PVL</v>
      </c>
      <c r="AD67" s="1307" t="str">
        <f>IF(ISBLANK(Récap1!AD67),"",Récap1!AD67)</f>
        <v>PVL</v>
      </c>
      <c r="AE67" s="1307" t="str">
        <f>IF(ISBLANK(Récap1!AE67),"",Récap1!AE67)</f>
        <v>PVL</v>
      </c>
      <c r="AF67" s="1310" t="str">
        <f>IF(ISBLANK(Récap1!AF67),"",Récap1!AF67)</f>
        <v>PVL</v>
      </c>
      <c r="AG67" s="1307" t="str">
        <f>IF(ISBLANK(Récap1!AG67),"",Récap1!AG67)</f>
        <v>PVL</v>
      </c>
      <c r="AH67" s="1307" t="str">
        <f>IF(ISBLANK(Récap1!AH67),"",Récap1!AH67)</f>
        <v>PVL</v>
      </c>
      <c r="AI67" s="1307" t="str">
        <f>IF(ISBLANK(Récap1!AI67),"",Récap1!AI67)</f>
        <v>PVL</v>
      </c>
      <c r="AJ67" s="1309" t="str">
        <f>IF(ISBLANK(Récap1!AJ67),"",Récap1!AJ67)</f>
        <v>PVL</v>
      </c>
      <c r="AK67" s="1307" t="str">
        <f>IF(ISBLANK(Récap1!AK67),"",Récap1!AK67)</f>
        <v>PVL</v>
      </c>
      <c r="AL67" s="1307" t="str">
        <f>IF(ISBLANK(Récap1!AL67),"",Récap1!AL67)</f>
        <v>PVL</v>
      </c>
      <c r="AM67" s="1307" t="str">
        <f>IF(ISBLANK(Récap1!AM67),"",Récap1!AM67)</f>
        <v>PVL</v>
      </c>
      <c r="AN67" s="1306">
        <f>IF(ISBLANK(Récap1!AN67),"",Récap1!AN67)</f>
        <v>13.451078987238073</v>
      </c>
      <c r="AO67" s="1307" t="str">
        <f>IF(ISBLANK(Récap1!AO67),"",Récap1!AO67)</f>
        <v>PVL</v>
      </c>
      <c r="AP67" s="1307" t="str">
        <f>IF(ISBLANK(Récap1!AP67),"",Récap1!AP67)</f>
        <v>PVL</v>
      </c>
      <c r="AQ67" s="1307" t="str">
        <f>IF(ISBLANK(Récap1!AQ67),"",Récap1!AQ67)</f>
        <v>PVL</v>
      </c>
      <c r="AR67" s="1307" t="str">
        <f>IF(ISBLANK(Récap1!AR67),"",Récap1!AR67)</f>
        <v>PVL</v>
      </c>
      <c r="AS67" s="1307" t="str">
        <f>IF(ISBLANK(Récap1!AS67),"",Récap1!AS67)</f>
        <v>PVL</v>
      </c>
      <c r="AT67" s="1307" t="str">
        <f>IF(ISBLANK(Récap1!AT67),"",Récap1!AT67)</f>
        <v>PVL</v>
      </c>
      <c r="AU67" s="1307" t="str">
        <f>IF(ISBLANK(Récap1!AU67),"",Récap1!AU67)</f>
        <v>PVL</v>
      </c>
      <c r="AV67" s="1307" t="str">
        <f>IF(ISBLANK(Récap1!AV67),"",Récap1!AV67)</f>
        <v>PVL</v>
      </c>
      <c r="AW67" s="1307" t="str">
        <f>IF(ISBLANK(Récap1!AW67),"",Récap1!AW67)</f>
        <v>PVL</v>
      </c>
      <c r="AX67" s="1307" t="str">
        <f>IF(ISBLANK(Récap1!AX67),"",Récap1!AX67)</f>
        <v>PVL</v>
      </c>
      <c r="AY67" s="1307" t="str">
        <f>IF(ISBLANK(Récap1!AY67),"",Récap1!AY67)</f>
        <v>PVL</v>
      </c>
      <c r="AZ67" s="1307" t="str">
        <f>IF(ISBLANK(Récap1!AZ67),"",Récap1!AZ67)</f>
        <v>PVL</v>
      </c>
      <c r="BA67" s="1307" t="str">
        <f>IF(ISBLANK(Récap1!BA67),"",Récap1!BA67)</f>
        <v>PVL</v>
      </c>
      <c r="BB67" s="1307" t="str">
        <f>IF(ISBLANK(Récap1!BB67),"",Récap1!BB67)</f>
        <v>PVL</v>
      </c>
      <c r="BC67" s="1308" t="str">
        <f>IF(ISBLANK(Récap1!BC67),"",Récap1!BC67)</f>
        <v>PVL</v>
      </c>
      <c r="BD67" s="1470">
        <f>IF(ISBLANK(Récap1!BD67),"",Récap1!BD67)</f>
        <v>7508.9004268737363</v>
      </c>
      <c r="BE67" s="1307" t="str">
        <f>IF(ISBLANK(Récap1!BE67),"",Récap1!BE67)</f>
        <v>PVL</v>
      </c>
      <c r="BF67" s="1307" t="str">
        <f>IF(ISBLANK(Récap1!BF67),"",Récap1!BF67)</f>
        <v>PVL</v>
      </c>
      <c r="BG67" s="1307">
        <f>IF(ISBLANK(Récap1!BG67),"",Récap1!BG67)</f>
        <v>7.8481636363636371E-3</v>
      </c>
      <c r="BH67" s="1311">
        <f>IF(ISBLANK(Récap1!BH67),"",Récap1!BH67)</f>
        <v>135.39650926614644</v>
      </c>
      <c r="BI67" s="1307">
        <f>IF(ISBLANK(Récap1!BI67),"",Récap1!BI67)</f>
        <v>18.519020566978799</v>
      </c>
      <c r="BJ67" s="1312" t="e">
        <f>IF(ISBLANK(Récap1!#REF!),"",Récap1!#REF!)</f>
        <v>#REF!</v>
      </c>
      <c r="BK67" s="1312" t="e">
        <f>IF(ISBLANK(Récap1!#REF!),"",Récap1!#REF!)</f>
        <v>#REF!</v>
      </c>
      <c r="BL67" s="1307">
        <f>IF(ISBLANK('HCT2'!H67),"",'HCT2'!H67)</f>
        <v>2.7540971441360114</v>
      </c>
      <c r="BM67" s="1307">
        <f>IF(ISBLANK('HCT2'!I67),"",'HCT2'!I67)</f>
        <v>96.479850827950756</v>
      </c>
      <c r="BN67" s="1307">
        <f>IF(ISBLANK('HCT2'!J67),"",'HCT2'!J67)</f>
        <v>36.624763636363639</v>
      </c>
      <c r="BO67" s="1308" t="str">
        <f>IF(ISBLANK('HCT2'!K67),"",'HCT2'!K67)</f>
        <v>PVL</v>
      </c>
      <c r="BP67" s="1307">
        <f>IF(ISBLANK('HCT2'!L67),"",'HCT2'!L67)</f>
        <v>126.41723353193048</v>
      </c>
      <c r="BQ67" s="1309">
        <f>IF(ISBLANK('HCT2'!M67),"",'HCT2'!M67)</f>
        <v>16.698267286696961</v>
      </c>
      <c r="BR67" s="1307">
        <f>IF(ISBLANK('HCT2'!N67),"",'HCT2'!N67)</f>
        <v>29.698808976519743</v>
      </c>
      <c r="BS67" s="1307">
        <f>IF(ISBLANK('HCT2'!O67),"",'HCT2'!O67)</f>
        <v>2.819997736159785</v>
      </c>
      <c r="BT67" s="1310">
        <f>IF(ISBLANK('HCT2'!P67),"",'HCT2'!P67)</f>
        <v>1.9382367380710291E-2</v>
      </c>
      <c r="BU67" s="1307">
        <f>IF(ISBLANK('HCT2'!Q67),"",'HCT2'!Q67)</f>
        <v>240.48292360960974</v>
      </c>
      <c r="BV67" s="1307">
        <f>IF(ISBLANK('HCT2'!R67),"",'HCT2'!R67)</f>
        <v>185.91261576289023</v>
      </c>
      <c r="BW67" s="1307">
        <f>IF(ISBLANK('HCT2'!S67),"",'HCT2'!S67)</f>
        <v>50.169286274420081</v>
      </c>
      <c r="BX67" s="1309">
        <f>IF(ISBLANK('HCT2'!T67),"",'HCT2'!T67)</f>
        <v>11.480144132900193</v>
      </c>
      <c r="BY67" s="1307">
        <f>IF(ISBLANK('HCT2'!U67),"",'HCT2'!U67)</f>
        <v>37.510427923034158</v>
      </c>
      <c r="BZ67" s="1307">
        <f>IF(ISBLANK('HCT2'!V67),"",'HCT2'!V67)</f>
        <v>23.943908848887659</v>
      </c>
      <c r="CA67" s="1307">
        <f>IF(ISBLANK('HCT2'!W67),"",'HCT2'!W67)</f>
        <v>2.5190847633111981</v>
      </c>
      <c r="CB67" s="1312" t="str">
        <f>IF(ISBLANK('HCT2'!X67),"",'HCT2'!X67)</f>
        <v/>
      </c>
      <c r="CC67" s="1313">
        <f>IF(ISBLANK('HCT2'!Y67),"",'HCT2'!Y67)</f>
        <v>240.43354295350215</v>
      </c>
      <c r="CD67" s="1314">
        <f>IF(ISBLANK('HCT2'!Z67),"",'HCT2'!Z67)</f>
        <v>707.56688535383535</v>
      </c>
      <c r="CE67" s="1312" t="str">
        <f>IF(ISBLANK('HCT2'!AA67),"",'HCT2'!AA67)</f>
        <v/>
      </c>
      <c r="CF67" s="1312" t="str">
        <f>IF(ISBLANK('HCT2'!AB67),"",'HCT2'!AB67)</f>
        <v/>
      </c>
      <c r="CG67" s="1315" t="str">
        <f>IF(ISBLANK('HCT2'!AC67),"",'HCT2'!AC67)</f>
        <v>PVL</v>
      </c>
      <c r="CH67" s="1312" t="str">
        <f>IF(ISBLANK('HCT2'!AD67),"",'HCT2'!AD67)</f>
        <v/>
      </c>
      <c r="CI67" s="1312" t="str">
        <f>IF(ISBLANK('HCT2'!AE67),"",'HCT2'!AE67)</f>
        <v/>
      </c>
      <c r="CJ67" s="1312" t="str">
        <f>IF(ISBLANK('HCT2'!AF67),"",'HCT2'!AF67)</f>
        <v/>
      </c>
      <c r="CK67" s="1316" t="str">
        <f>IF(ISBLANK('HCT2'!AG67),"",'HCT2'!AG67)</f>
        <v/>
      </c>
      <c r="CL67" s="1312" t="str">
        <f>IF(ISBLANK('HCT2'!AH67),"",'HCT2'!AH67)</f>
        <v>PVL</v>
      </c>
      <c r="CM67" s="1312" t="str">
        <f>IF(ISBLANK('HCT2'!AI67),"",'HCT2'!AI67)</f>
        <v>PVL</v>
      </c>
      <c r="CN67" s="1316" t="str">
        <f>IF(ISBLANK('HCT2'!AJ67),"",'HCT2'!AJ67)</f>
        <v>PVL</v>
      </c>
      <c r="CO67" s="1312" t="str">
        <f>IF(ISBLANK('HCT2'!AK67),"",'HCT2'!AK67)</f>
        <v/>
      </c>
      <c r="CP67" s="1312" t="str">
        <f>IF(ISBLANK('HCT2'!AL67),"",'HCT2'!AL67)</f>
        <v/>
      </c>
      <c r="CQ67" s="1312" t="str">
        <f>IF(ISBLANK('HCT2'!AM67),"",'HCT2'!AM67)</f>
        <v/>
      </c>
      <c r="CR67" s="1317" t="str">
        <f>IF(ISBLANK('HCT2'!AN67),"",'HCT2'!AN67)</f>
        <v/>
      </c>
      <c r="CS67" s="1318">
        <f>IF(ISBLANK('HCT2'!AO67),"",'HCT2'!AO67)</f>
        <v>707.56688535383535</v>
      </c>
      <c r="CT67" s="1174">
        <f>IF(ISBLANK('HCT2'!AP67),"",'HCT2'!AP67)</f>
        <v>0.14780910234752553</v>
      </c>
      <c r="CU67" s="1156">
        <f>IF(ISBLANK('HCT2'!AQ67),"",'HCT2'!AQ67)</f>
        <v>671.36560872124153</v>
      </c>
      <c r="CV67" s="1533">
        <f>IF(ISBLANK('HCT2'!AR67),"",'HCT2'!AR67)</f>
        <v>702.21600715093734</v>
      </c>
      <c r="CW67" s="1534" t="e">
        <f>IF(ISBLANK(Récap1!#REF!),"",Récap1!#REF!)</f>
        <v>#REF!</v>
      </c>
      <c r="CX67" s="1534" t="e">
        <f>IF(ISBLANK(Récap1!#REF!),"",Récap1!#REF!)</f>
        <v>#REF!</v>
      </c>
      <c r="CY67" s="1535" t="e">
        <f>IF(ISBLANK(Récap1!#REF!),"",Récap1!#REF!)</f>
        <v>#REF!</v>
      </c>
      <c r="CZ67" s="1535" t="e">
        <f>IF(ISBLANK(Récap1!#REF!),"",Récap1!#REF!)</f>
        <v>#REF!</v>
      </c>
      <c r="DA67" s="1535" t="e">
        <f>IF(ISBLANK(Récap1!#REF!),"",Récap1!#REF!)</f>
        <v>#REF!</v>
      </c>
      <c r="DB67" s="1535" t="e">
        <f>IF(ISBLANK(Récap1!#REF!),"",Récap1!#REF!)</f>
        <v>#REF!</v>
      </c>
      <c r="DC67" s="1534" t="str">
        <f>IF(ISBLANK('HCT2'!AS67),"",'HCT2'!AS67)</f>
        <v>PVL</v>
      </c>
      <c r="DD67" s="1535" t="str">
        <f>IF(ISBLANK('HCT2'!AT67),"",'HCT2'!AT67)</f>
        <v>PVL</v>
      </c>
      <c r="DE67" s="1535" t="str">
        <f>IF(ISBLANK('HCT2'!AU67),"",'HCT2'!AU67)</f>
        <v>PVL</v>
      </c>
      <c r="DF67" s="1535" t="str">
        <f>IF(ISBLANK('HCT2'!AV67),"",'HCT2'!AV67)</f>
        <v>PVL</v>
      </c>
      <c r="DG67" s="1535" t="str">
        <f>IF(ISBLANK('HCT2'!AW67),"",'HCT2'!AW67)</f>
        <v/>
      </c>
      <c r="DH67" s="1535" t="str">
        <f>IF(ISBLANK('HCT2'!AX67),"",'HCT2'!AX67)</f>
        <v/>
      </c>
      <c r="DI67" s="1535" t="str">
        <f>IF(ISBLANK('HCT2'!AY67),"",'HCT2'!AY67)</f>
        <v/>
      </c>
      <c r="DJ67" s="1536" t="str">
        <f>IF(ISBLANK('HCT2'!AZ67),"",'HCT2'!AZ67)</f>
        <v>PVL</v>
      </c>
      <c r="DK67" s="1535" t="str">
        <f>IF(ISBLANK('HCT2'!BA67),"",'HCT2'!BA67)</f>
        <v>PVL</v>
      </c>
      <c r="DL67" s="1535" t="str">
        <f>IF(ISBLANK('HCT2'!BB67),"",'HCT2'!BB67)</f>
        <v>PVL</v>
      </c>
      <c r="DM67" s="1537" t="str">
        <f>IF(ISBLANK('HCT2'!BC67),"",'HCT2'!BC67)</f>
        <v>PVL</v>
      </c>
      <c r="DN67" s="1535" t="str">
        <f>IF(ISBLANK('HCT2'!BD67),"",'HCT2'!BD67)</f>
        <v>PVL</v>
      </c>
      <c r="DO67" s="1475">
        <f>IF(ISBLANK('HCT2'!BE67),"",'HCT2'!BE67)</f>
        <v>0</v>
      </c>
      <c r="DP67" s="1537" t="str">
        <f>IF(ISBLANK('HCT2'!BF67),"",'HCT2'!BF67)</f>
        <v>PVL</v>
      </c>
      <c r="DQ67" s="790">
        <f t="shared" si="0"/>
        <v>124.6900220348904</v>
      </c>
      <c r="DS67" s="1015">
        <f t="shared" si="1"/>
        <v>243.23702075374575</v>
      </c>
      <c r="DT67" s="1015">
        <f t="shared" si="1"/>
        <v>282.39246659084097</v>
      </c>
      <c r="DU67" s="1015">
        <f t="shared" si="2"/>
        <v>176.58651980635057</v>
      </c>
      <c r="DV67" s="1017">
        <f t="shared" si="2"/>
        <v>28.178411419597154</v>
      </c>
      <c r="DW67" s="1015">
        <f t="shared" si="2"/>
        <v>67.2092368995539</v>
      </c>
      <c r="DX67" s="1015">
        <f t="shared" si="2"/>
        <v>26.763906585047444</v>
      </c>
      <c r="DY67" s="1015">
        <f t="shared" si="2"/>
        <v>2.5384671306919082</v>
      </c>
    </row>
    <row r="68" spans="1:131" s="742" customFormat="1" hidden="1">
      <c r="A68" s="732"/>
      <c r="B68" s="733"/>
      <c r="C68" s="65"/>
      <c r="D68" s="788"/>
      <c r="E68" s="736" t="str">
        <f>IF(ISBLANK(Récap1!E68),"",Récap1!E68)</f>
        <v>Equivalent air du sol</v>
      </c>
      <c r="F68" s="737" t="str">
        <f>IF(ISBLANK(Récap1!F68),"",Récap1!F68)</f>
        <v>Csao</v>
      </c>
      <c r="G68" s="738" t="str">
        <f>IF(ISBLANK(Récap1!G68),"",Récap1!G68)</f>
        <v>mg/m3</v>
      </c>
      <c r="H68" s="739">
        <f>IF(ISBLANK(Récap1!H68),"",Récap1!H68)</f>
        <v>14991.167096882198</v>
      </c>
      <c r="I68" s="740">
        <f>IF(ISBLANK(Récap1!I68),"",Récap1!I68)</f>
        <v>14991.167096882198</v>
      </c>
      <c r="J68" s="1177">
        <f>IF(ISBLANK(Récap1!J68),"",Récap1!J68)</f>
        <v>679241.69246203406</v>
      </c>
      <c r="K68" s="1176">
        <f>IF(ISBLANK(Récap1!K68),"",Récap1!K68)</f>
        <v>56450.681890396372</v>
      </c>
      <c r="L68" s="1177">
        <f>IF(ISBLANK(Récap1!L68),"",Récap1!L68)</f>
        <v>14504.108143662152</v>
      </c>
      <c r="M68" s="1177">
        <f>IF(ISBLANK(Récap1!M68),"",Récap1!M68)</f>
        <v>14504.108143662152</v>
      </c>
      <c r="N68" s="1177">
        <f>IF(ISBLANK(Récap1!N68),"",Récap1!N68)</f>
        <v>65051.551562152286</v>
      </c>
      <c r="O68" s="1177">
        <f>IF(ISBLANK(Récap1!O68),"",Récap1!O68)</f>
        <v>65051.551562152286</v>
      </c>
      <c r="P68" s="1177">
        <f>IF(ISBLANK(Récap1!P68),"",Récap1!P68)</f>
        <v>14203.890281984883</v>
      </c>
      <c r="Q68" s="1177">
        <f>IF(ISBLANK(Récap1!Q68),"",Récap1!Q68)</f>
        <v>14203.890281984883</v>
      </c>
      <c r="R68" s="1177">
        <f>IF(ISBLANK(Récap1!R68),"",Récap1!R68)</f>
        <v>57095.741629831115</v>
      </c>
      <c r="S68" s="1177">
        <f>IF(ISBLANK(Récap1!S68),"",Récap1!S68)</f>
        <v>2328.9496685225176</v>
      </c>
      <c r="T68" s="1177">
        <f>IF(ISBLANK(Récap1!T68),"",Récap1!T68)</f>
        <v>2328.9496685225176</v>
      </c>
      <c r="U68" s="1177">
        <f>IF(ISBLANK(Récap1!U68),"",Récap1!U68)</f>
        <v>6004.4201216823349</v>
      </c>
      <c r="V68" s="1434">
        <f>IF(ISBLANK(Récap1!V68),"",Récap1!V68)</f>
        <v>1179365.3413826337</v>
      </c>
      <c r="W68" s="1177">
        <f>IF(ISBLANK(Récap1!W68),"",Récap1!W68)</f>
        <v>1179365.3413826337</v>
      </c>
      <c r="X68" s="1177">
        <f>IF(ISBLANK(Récap1!X68),"",Récap1!X68)</f>
        <v>2381.8991469266603</v>
      </c>
      <c r="Y68" s="1177">
        <f>IF(ISBLANK(Récap1!Y68),"",Récap1!Y68)</f>
        <v>57829.694336598361</v>
      </c>
      <c r="Z68" s="1177">
        <f>IF(ISBLANK(Récap1!Z68),"",Récap1!Z68)</f>
        <v>13000.799391486573</v>
      </c>
      <c r="AA68" s="1178" t="str">
        <f>IF(ISBLANK(Récap1!AA68),"",Récap1!AA68)</f>
        <v>PVL</v>
      </c>
      <c r="AB68" s="1177" t="str">
        <f>IF(ISBLANK(Récap1!AB68),"",Récap1!AB68)</f>
        <v>PVL</v>
      </c>
      <c r="AC68" s="1179" t="str">
        <f>IF(ISBLANK(Récap1!AC68),"",Récap1!AC68)</f>
        <v>PVL</v>
      </c>
      <c r="AD68" s="1177" t="str">
        <f>IF(ISBLANK(Récap1!AD68),"",Récap1!AD68)</f>
        <v>PVL</v>
      </c>
      <c r="AE68" s="1177" t="str">
        <f>IF(ISBLANK(Récap1!AE68),"",Récap1!AE68)</f>
        <v>PVL</v>
      </c>
      <c r="AF68" s="1180" t="str">
        <f>IF(ISBLANK(Récap1!AF68),"",Récap1!AF68)</f>
        <v>PVL</v>
      </c>
      <c r="AG68" s="1177" t="str">
        <f>IF(ISBLANK(Récap1!AG68),"",Récap1!AG68)</f>
        <v>PVL</v>
      </c>
      <c r="AH68" s="1177" t="str">
        <f>IF(ISBLANK(Récap1!AH68),"",Récap1!AH68)</f>
        <v>PVL</v>
      </c>
      <c r="AI68" s="1177" t="str">
        <f>IF(ISBLANK(Récap1!AI68),"",Récap1!AI68)</f>
        <v>PVL</v>
      </c>
      <c r="AJ68" s="1179" t="str">
        <f>IF(ISBLANK(Récap1!AJ68),"",Récap1!AJ68)</f>
        <v>PVL</v>
      </c>
      <c r="AK68" s="1177" t="str">
        <f>IF(ISBLANK(Récap1!AK68),"",Récap1!AK68)</f>
        <v>PVL</v>
      </c>
      <c r="AL68" s="1177" t="str">
        <f>IF(ISBLANK(Récap1!AL68),"",Récap1!AL68)</f>
        <v>PVL</v>
      </c>
      <c r="AM68" s="1177" t="str">
        <f>IF(ISBLANK(Récap1!AM68),"",Récap1!AM68)</f>
        <v>PVL</v>
      </c>
      <c r="AN68" s="1176">
        <f>IF(ISBLANK(Récap1!AN68),"",Récap1!AN68)</f>
        <v>57.496724412260626</v>
      </c>
      <c r="AO68" s="1177" t="str">
        <f>IF(ISBLANK(Récap1!AO68),"",Récap1!AO68)</f>
        <v>PVL</v>
      </c>
      <c r="AP68" s="1177" t="str">
        <f>IF(ISBLANK(Récap1!AP68),"",Récap1!AP68)</f>
        <v>PVL</v>
      </c>
      <c r="AQ68" s="1177" t="str">
        <f>IF(ISBLANK(Récap1!AQ68),"",Récap1!AQ68)</f>
        <v>PVL</v>
      </c>
      <c r="AR68" s="1177" t="str">
        <f>IF(ISBLANK(Récap1!AR68),"",Récap1!AR68)</f>
        <v>PVL</v>
      </c>
      <c r="AS68" s="1177" t="str">
        <f>IF(ISBLANK(Récap1!AS68),"",Récap1!AS68)</f>
        <v>PVL</v>
      </c>
      <c r="AT68" s="1177" t="str">
        <f>IF(ISBLANK(Récap1!AT68),"",Récap1!AT68)</f>
        <v>PVL</v>
      </c>
      <c r="AU68" s="1177" t="str">
        <f>IF(ISBLANK(Récap1!AU68),"",Récap1!AU68)</f>
        <v>PVL</v>
      </c>
      <c r="AV68" s="1177" t="str">
        <f>IF(ISBLANK(Récap1!AV68),"",Récap1!AV68)</f>
        <v>PVL</v>
      </c>
      <c r="AW68" s="1177" t="str">
        <f>IF(ISBLANK(Récap1!AW68),"",Récap1!AW68)</f>
        <v>PVL</v>
      </c>
      <c r="AX68" s="1177" t="str">
        <f>IF(ISBLANK(Récap1!AX68),"",Récap1!AX68)</f>
        <v>PVL</v>
      </c>
      <c r="AY68" s="1177" t="str">
        <f>IF(ISBLANK(Récap1!AY68),"",Récap1!AY68)</f>
        <v>PVL</v>
      </c>
      <c r="AZ68" s="1177" t="str">
        <f>IF(ISBLANK(Récap1!AZ68),"",Récap1!AZ68)</f>
        <v>PVL</v>
      </c>
      <c r="BA68" s="1177" t="str">
        <f>IF(ISBLANK(Récap1!BA68),"",Récap1!BA68)</f>
        <v>PVL</v>
      </c>
      <c r="BB68" s="1177" t="str">
        <f>IF(ISBLANK(Récap1!BB68),"",Récap1!BB68)</f>
        <v>PVL</v>
      </c>
      <c r="BC68" s="1178" t="str">
        <f>IF(ISBLANK(Récap1!BC68),"",Récap1!BC68)</f>
        <v>PVL</v>
      </c>
      <c r="BD68" s="1463">
        <f>IF(ISBLANK(Récap1!BD68),"",Récap1!BD68)</f>
        <v>702.43626748721829</v>
      </c>
      <c r="BE68" s="1177" t="str">
        <f>IF(ISBLANK(Récap1!BE68),"",Récap1!BE68)</f>
        <v>PVL</v>
      </c>
      <c r="BF68" s="1177" t="str">
        <f>IF(ISBLANK(Récap1!BF68),"",Récap1!BF68)</f>
        <v>PVL</v>
      </c>
      <c r="BG68" s="1177" t="str">
        <f>IF(ISBLANK(Récap1!BG68),"",Récap1!BG68)</f>
        <v>Saturation</v>
      </c>
      <c r="BH68" s="1181">
        <f>IF(ISBLANK(Récap1!BH68),"",Récap1!BH68)</f>
        <v>16.843045312068906</v>
      </c>
      <c r="BI68" s="1177">
        <f>IF(ISBLANK(Récap1!BI68),"",Récap1!BI68)</f>
        <v>17.824805297485074</v>
      </c>
      <c r="BJ68" s="1182" t="e">
        <f>IF(ISBLANK(Récap1!#REF!),"",Récap1!#REF!)</f>
        <v>#REF!</v>
      </c>
      <c r="BK68" s="1182" t="e">
        <f>IF(ISBLANK(Récap1!#REF!),"",Récap1!#REF!)</f>
        <v>#REF!</v>
      </c>
      <c r="BL68" s="1177">
        <f>IF(ISBLANK('HCT2'!H68),"",'HCT2'!H68)</f>
        <v>2381.8991469266603</v>
      </c>
      <c r="BM68" s="1177">
        <f>IF(ISBLANK('HCT2'!I68),"",'HCT2'!I68)</f>
        <v>57829.694336598361</v>
      </c>
      <c r="BN68" s="1177">
        <f>IF(ISBLANK('HCT2'!J68),"",'HCT2'!J68)</f>
        <v>13000.799391486573</v>
      </c>
      <c r="BO68" s="1178" t="str">
        <f>IF(ISBLANK('HCT2'!K68),"",'HCT2'!K68)</f>
        <v>PVL</v>
      </c>
      <c r="BP68" s="1177">
        <f>IF(ISBLANK('HCT2'!L68),"",'HCT2'!L68)</f>
        <v>75774.059674561286</v>
      </c>
      <c r="BQ68" s="1179">
        <f>IF(ISBLANK('HCT2'!M68),"",'HCT2'!M68)</f>
        <v>10008.884599775407</v>
      </c>
      <c r="BR68" s="1177">
        <f>IF(ISBLANK('HCT2'!N68),"",'HCT2'!N68)</f>
        <v>17801.365057413608</v>
      </c>
      <c r="BS68" s="1177">
        <f>IF(ISBLANK('HCT2'!O68),"",'HCT2'!O68)</f>
        <v>1690.297048684642</v>
      </c>
      <c r="BT68" s="1180">
        <f>IF(ISBLANK('HCT2'!P68),"",'HCT2'!P68)</f>
        <v>11.617725064116769</v>
      </c>
      <c r="BU68" s="1177">
        <f>IF(ISBLANK('HCT2'!Q68),"",'HCT2'!Q68)</f>
        <v>144144.64622582431</v>
      </c>
      <c r="BV68" s="1177">
        <f>IF(ISBLANK('HCT2'!R68),"",'HCT2'!R68)</f>
        <v>111435.3893649543</v>
      </c>
      <c r="BW68" s="1177">
        <f>IF(ISBLANK('HCT2'!S68),"",'HCT2'!S68)</f>
        <v>30071.299503859693</v>
      </c>
      <c r="BX68" s="1179">
        <f>IF(ISBLANK('HCT2'!T68),"",'HCT2'!T68)</f>
        <v>6881.1593348087717</v>
      </c>
      <c r="BY68" s="1177">
        <f>IF(ISBLANK('HCT2'!U68),"",'HCT2'!U68)</f>
        <v>22483.622876784499</v>
      </c>
      <c r="BZ68" s="1177">
        <f>IF(ISBLANK('HCT2'!V68),"",'HCT2'!V68)</f>
        <v>14351.897500585683</v>
      </c>
      <c r="CA68" s="1177">
        <f>IF(ISBLANK('HCT2'!W68),"",'HCT2'!W68)</f>
        <v>1509.9308365438008</v>
      </c>
      <c r="CB68" s="1182" t="str">
        <f>IF(ISBLANK('HCT2'!X68),"",'HCT2'!X68)</f>
        <v/>
      </c>
      <c r="CC68" s="1183">
        <f>IF(ISBLANK('HCT2'!Y68),"",'HCT2'!Y68)</f>
        <v>207940.54126698556</v>
      </c>
      <c r="CD68" s="1184">
        <f>IF(ISBLANK('HCT2'!Z68),"",'HCT2'!Z68)</f>
        <v>424113.18375356513</v>
      </c>
      <c r="CE68" s="1182" t="str">
        <f>IF(ISBLANK('HCT2'!AA68),"",'HCT2'!AA68)</f>
        <v/>
      </c>
      <c r="CF68" s="1182" t="str">
        <f>IF(ISBLANK('HCT2'!AB68),"",'HCT2'!AB68)</f>
        <v/>
      </c>
      <c r="CG68" s="1185" t="str">
        <f>IF(ISBLANK('HCT2'!AC68),"",'HCT2'!AC68)</f>
        <v>PVL</v>
      </c>
      <c r="CH68" s="1182" t="str">
        <f>IF(ISBLANK('HCT2'!AD68),"",'HCT2'!AD68)</f>
        <v/>
      </c>
      <c r="CI68" s="1182" t="str">
        <f>IF(ISBLANK('HCT2'!AE68),"",'HCT2'!AE68)</f>
        <v/>
      </c>
      <c r="CJ68" s="1182" t="str">
        <f>IF(ISBLANK('HCT2'!AF68),"",'HCT2'!AF68)</f>
        <v/>
      </c>
      <c r="CK68" s="1186" t="str">
        <f>IF(ISBLANK('HCT2'!AG68),"",'HCT2'!AG68)</f>
        <v/>
      </c>
      <c r="CL68" s="1182" t="str">
        <f>IF(ISBLANK('HCT2'!AH68),"",'HCT2'!AH68)</f>
        <v>PVL</v>
      </c>
      <c r="CM68" s="1182" t="str">
        <f>IF(ISBLANK('HCT2'!AI68),"",'HCT2'!AI68)</f>
        <v>PVL</v>
      </c>
      <c r="CN68" s="1186" t="str">
        <f>IF(ISBLANK('HCT2'!AJ68),"",'HCT2'!AJ68)</f>
        <v>PVL</v>
      </c>
      <c r="CO68" s="1182" t="str">
        <f>IF(ISBLANK('HCT2'!AK68),"",'HCT2'!AK68)</f>
        <v/>
      </c>
      <c r="CP68" s="1182" t="str">
        <f>IF(ISBLANK('HCT2'!AL68),"",'HCT2'!AL68)</f>
        <v/>
      </c>
      <c r="CQ68" s="1182" t="str">
        <f>IF(ISBLANK('HCT2'!AM68),"",'HCT2'!AM68)</f>
        <v/>
      </c>
      <c r="CR68" s="1187" t="str">
        <f>IF(ISBLANK('HCT2'!AN68),"",'HCT2'!AN68)</f>
        <v/>
      </c>
      <c r="CS68" s="1188">
        <f>IF(ISBLANK('HCT2'!AO68),"",'HCT2'!AO68)</f>
        <v>424113.18375356513</v>
      </c>
      <c r="CT68" s="1189">
        <f>IF(ISBLANK('HCT2'!AP68),"",'HCT2'!AP68)</f>
        <v>0.14780910234752553</v>
      </c>
      <c r="CU68" s="1149">
        <f>IF(ISBLANK('HCT2'!AQ68),"",'HCT2'!AQ68)</f>
        <v>407360.52467159188</v>
      </c>
      <c r="CV68" s="1476">
        <f>IF(ISBLANK('HCT2'!AR68),"",'HCT2'!AR68)</f>
        <v>421636.98825272464</v>
      </c>
      <c r="CW68" s="1477" t="e">
        <f>IF(ISBLANK(Récap1!#REF!),"",Récap1!#REF!)</f>
        <v>#REF!</v>
      </c>
      <c r="CX68" s="1477" t="e">
        <f>IF(ISBLANK(Récap1!#REF!),"",Récap1!#REF!)</f>
        <v>#REF!</v>
      </c>
      <c r="CY68" s="1478" t="e">
        <f>IF(ISBLANK(Récap1!#REF!),"",Récap1!#REF!)</f>
        <v>#REF!</v>
      </c>
      <c r="CZ68" s="1478" t="e">
        <f>IF(ISBLANK(Récap1!#REF!),"",Récap1!#REF!)</f>
        <v>#REF!</v>
      </c>
      <c r="DA68" s="1478" t="e">
        <f>IF(ISBLANK(Récap1!#REF!),"",Récap1!#REF!)</f>
        <v>#REF!</v>
      </c>
      <c r="DB68" s="1478" t="e">
        <f>IF(ISBLANK(Récap1!#REF!),"",Récap1!#REF!)</f>
        <v>#REF!</v>
      </c>
      <c r="DC68" s="1477" t="str">
        <f>IF(ISBLANK('HCT2'!AS68),"",'HCT2'!AS68)</f>
        <v>PVL</v>
      </c>
      <c r="DD68" s="1478" t="str">
        <f>IF(ISBLANK('HCT2'!AT68),"",'HCT2'!AT68)</f>
        <v>PVL</v>
      </c>
      <c r="DE68" s="1478" t="str">
        <f>IF(ISBLANK('HCT2'!AU68),"",'HCT2'!AU68)</f>
        <v>PVL</v>
      </c>
      <c r="DF68" s="1478" t="str">
        <f>IF(ISBLANK('HCT2'!AV68),"",'HCT2'!AV68)</f>
        <v>PVL</v>
      </c>
      <c r="DG68" s="1478" t="str">
        <f>IF(ISBLANK('HCT2'!AW68),"",'HCT2'!AW68)</f>
        <v/>
      </c>
      <c r="DH68" s="1478" t="str">
        <f>IF(ISBLANK('HCT2'!AX68),"",'HCT2'!AX68)</f>
        <v/>
      </c>
      <c r="DI68" s="1478" t="str">
        <f>IF(ISBLANK('HCT2'!AY68),"",'HCT2'!AY68)</f>
        <v/>
      </c>
      <c r="DJ68" s="1479" t="str">
        <f>IF(ISBLANK('HCT2'!AZ68),"",'HCT2'!AZ68)</f>
        <v>PVL</v>
      </c>
      <c r="DK68" s="1478" t="str">
        <f>IF(ISBLANK('HCT2'!BA68),"",'HCT2'!BA68)</f>
        <v>PVL</v>
      </c>
      <c r="DL68" s="1478" t="str">
        <f>IF(ISBLANK('HCT2'!BB68),"",'HCT2'!BB68)</f>
        <v>PVL</v>
      </c>
      <c r="DM68" s="1480" t="str">
        <f>IF(ISBLANK('HCT2'!BC68),"",'HCT2'!BC68)</f>
        <v>PVL</v>
      </c>
      <c r="DN68" s="1481" t="str">
        <f>IF(ISBLANK('HCT2'!BD68),"",'HCT2'!BD68)</f>
        <v>PVL</v>
      </c>
      <c r="DO68" s="1482">
        <f>IF(ISBLANK('HCT2'!BE68),"",'HCT2'!BE68)</f>
        <v>0</v>
      </c>
      <c r="DP68" s="1483" t="str">
        <f>IF(ISBLANK('HCT2'!BF68),"",'HCT2'!BF68)</f>
        <v>PVL</v>
      </c>
      <c r="DQ68" s="978">
        <f t="shared" si="0"/>
        <v>74738.77497966052</v>
      </c>
      <c r="DS68" s="740">
        <f t="shared" si="1"/>
        <v>146526.54537275096</v>
      </c>
      <c r="DT68" s="740">
        <f t="shared" si="1"/>
        <v>169265.08370155265</v>
      </c>
      <c r="DU68" s="740">
        <f t="shared" si="2"/>
        <v>105845.35917842097</v>
      </c>
      <c r="DV68" s="878">
        <f t="shared" si="2"/>
        <v>16890.043934584181</v>
      </c>
      <c r="DW68" s="740">
        <f t="shared" si="2"/>
        <v>40284.987934198107</v>
      </c>
      <c r="DX68" s="740">
        <f t="shared" si="2"/>
        <v>16042.194549270325</v>
      </c>
      <c r="DY68" s="740">
        <f t="shared" si="2"/>
        <v>1521.5485616079175</v>
      </c>
    </row>
    <row r="69" spans="1:131" s="782" customFormat="1" ht="13.5" hidden="1">
      <c r="A69" s="776"/>
      <c r="B69" s="245"/>
      <c r="C69" s="777"/>
      <c r="D69" s="792"/>
      <c r="E69" s="853" t="str">
        <f>IF(ISBLANK(Récap1!E69),"",Récap1!E69)</f>
        <v>Seuil pour détection olfactive air ambiant immédiate</v>
      </c>
      <c r="F69" s="779" t="str">
        <f>IF(ISBLANK(Récap1!F69),"",Récap1!F69)</f>
        <v>Cs</v>
      </c>
      <c r="G69" s="779" t="str">
        <f>IF(ISBLANK(Récap1!G69),"",Récap1!G69)</f>
        <v>mg/kg ms</v>
      </c>
      <c r="H69" s="780" t="str">
        <f>IF(ISBLANK(Récap1!H69),"",Récap1!H69)</f>
        <v>PVL</v>
      </c>
      <c r="I69" s="781" t="str">
        <f>IF(ISBLANK(Récap1!I69),"",Récap1!I69)</f>
        <v>PVL</v>
      </c>
      <c r="J69" s="1197" t="str">
        <f>IF(ISBLANK(Récap1!J69),"",Récap1!J69)</f>
        <v>PVL</v>
      </c>
      <c r="K69" s="1196">
        <f>IF(ISBLANK(Récap1!K69),"",Récap1!K69)</f>
        <v>184.06701711401058</v>
      </c>
      <c r="L69" s="1197" t="str">
        <f>IF(ISBLANK(Récap1!L69),"",Récap1!L69)</f>
        <v>PVL</v>
      </c>
      <c r="M69" s="1197" t="str">
        <f>IF(ISBLANK(Récap1!M69),"",Récap1!M69)</f>
        <v>PVL</v>
      </c>
      <c r="N69" s="1197" t="str">
        <f>IF(ISBLANK(Récap1!N69),"",Récap1!N69)</f>
        <v>PVL</v>
      </c>
      <c r="O69" s="1197" t="str">
        <f>IF(ISBLANK(Récap1!O69),"",Récap1!O69)</f>
        <v>PVL</v>
      </c>
      <c r="P69" s="1197" t="str">
        <f>IF(ISBLANK(Récap1!P69),"",Récap1!P69)</f>
        <v>PVL</v>
      </c>
      <c r="Q69" s="1197" t="str">
        <f>IF(ISBLANK(Récap1!Q69),"",Récap1!Q69)</f>
        <v>PVL</v>
      </c>
      <c r="R69" s="1197">
        <f>IF(ISBLANK(Récap1!R69),"",Récap1!R69)</f>
        <v>401.18397439647504</v>
      </c>
      <c r="S69" s="1197">
        <f>IF(ISBLANK(Récap1!S69),"",Récap1!S69)</f>
        <v>565.9367180145731</v>
      </c>
      <c r="T69" s="1197">
        <f>IF(ISBLANK(Récap1!T69),"",Récap1!T69)</f>
        <v>565.9367180145731</v>
      </c>
      <c r="U69" s="1197" t="str">
        <f>IF(ISBLANK(Récap1!U69),"",Récap1!U69)</f>
        <v>PVL</v>
      </c>
      <c r="V69" s="1435" t="str">
        <f>IF(ISBLANK(Récap1!V69),"",Récap1!V69)</f>
        <v>PVL</v>
      </c>
      <c r="W69" s="1197" t="str">
        <f>IF(ISBLANK(Récap1!W69),"",Récap1!W69)</f>
        <v>PVL</v>
      </c>
      <c r="X69" s="1197" t="str">
        <f>IF(ISBLANK(Récap1!X69),"",Récap1!X69)</f>
        <v>PVL</v>
      </c>
      <c r="Y69" s="1197" t="str">
        <f>IF(ISBLANK(Récap1!Y69),"",Récap1!Y69)</f>
        <v>PVL</v>
      </c>
      <c r="Z69" s="1197" t="str">
        <f>IF(ISBLANK(Récap1!Z69),"",Récap1!Z69)</f>
        <v>PVL</v>
      </c>
      <c r="AA69" s="646">
        <f>IF(ISBLANK(Récap1!AA69),"",Récap1!AA69)</f>
        <v>53.382512969427161</v>
      </c>
      <c r="AB69" s="1197" t="str">
        <f>IF(ISBLANK(Récap1!AB69),"",Récap1!AB69)</f>
        <v>PVL</v>
      </c>
      <c r="AC69" s="1198" t="str">
        <f>IF(ISBLANK(Récap1!AC69),"",Récap1!AC69)</f>
        <v>PVL</v>
      </c>
      <c r="AD69" s="1197" t="str">
        <f>IF(ISBLANK(Récap1!AD69),"",Récap1!AD69)</f>
        <v>PVL</v>
      </c>
      <c r="AE69" s="1197" t="str">
        <f>IF(ISBLANK(Récap1!AE69),"",Récap1!AE69)</f>
        <v>PVL</v>
      </c>
      <c r="AF69" s="1199" t="str">
        <f>IF(ISBLANK(Récap1!AF69),"",Récap1!AF69)</f>
        <v>PVL</v>
      </c>
      <c r="AG69" s="1197" t="str">
        <f>IF(ISBLANK(Récap1!AG69),"",Récap1!AG69)</f>
        <v>PVL</v>
      </c>
      <c r="AH69" s="1197" t="str">
        <f>IF(ISBLANK(Récap1!AH69),"",Récap1!AH69)</f>
        <v>PVL</v>
      </c>
      <c r="AI69" s="1197" t="str">
        <f>IF(ISBLANK(Récap1!AI69),"",Récap1!AI69)</f>
        <v>PVL</v>
      </c>
      <c r="AJ69" s="1198" t="str">
        <f>IF(ISBLANK(Récap1!AJ69),"",Récap1!AJ69)</f>
        <v>PVL</v>
      </c>
      <c r="AK69" s="1197" t="str">
        <f>IF(ISBLANK(Récap1!AK69),"",Récap1!AK69)</f>
        <v>PVL</v>
      </c>
      <c r="AL69" s="1197" t="str">
        <f>IF(ISBLANK(Récap1!AL69),"",Récap1!AL69)</f>
        <v>PVL</v>
      </c>
      <c r="AM69" s="1197" t="str">
        <f>IF(ISBLANK(Récap1!AM69),"",Récap1!AM69)</f>
        <v>PVL</v>
      </c>
      <c r="AN69" s="1196" t="str">
        <f>IF(ISBLANK(Récap1!AN69),"",Récap1!AN69)</f>
        <v>PVL</v>
      </c>
      <c r="AO69" s="1197" t="str">
        <f>IF(ISBLANK(Récap1!AO69),"",Récap1!AO69)</f>
        <v>PVL</v>
      </c>
      <c r="AP69" s="1197" t="str">
        <f>IF(ISBLANK(Récap1!AP69),"",Récap1!AP69)</f>
        <v>PVL</v>
      </c>
      <c r="AQ69" s="1197" t="str">
        <f>IF(ISBLANK(Récap1!AQ69),"",Récap1!AQ69)</f>
        <v>PVL</v>
      </c>
      <c r="AR69" s="1197" t="str">
        <f>IF(ISBLANK(Récap1!AR69),"",Récap1!AR69)</f>
        <v>PVL</v>
      </c>
      <c r="AS69" s="1197" t="str">
        <f>IF(ISBLANK(Récap1!AS69),"",Récap1!AS69)</f>
        <v>PVL</v>
      </c>
      <c r="AT69" s="1197" t="str">
        <f>IF(ISBLANK(Récap1!AT69),"",Récap1!AT69)</f>
        <v>PVL</v>
      </c>
      <c r="AU69" s="1197" t="str">
        <f>IF(ISBLANK(Récap1!AU69),"",Récap1!AU69)</f>
        <v>PVL</v>
      </c>
      <c r="AV69" s="1197" t="str">
        <f>IF(ISBLANK(Récap1!AV69),"",Récap1!AV69)</f>
        <v>PVL</v>
      </c>
      <c r="AW69" s="1197" t="str">
        <f>IF(ISBLANK(Récap1!AW69),"",Récap1!AW69)</f>
        <v>PVL</v>
      </c>
      <c r="AX69" s="1197" t="str">
        <f>IF(ISBLANK(Récap1!AX69),"",Récap1!AX69)</f>
        <v>PVL</v>
      </c>
      <c r="AY69" s="1197" t="str">
        <f>IF(ISBLANK(Récap1!AY69),"",Récap1!AY69)</f>
        <v>PVL</v>
      </c>
      <c r="AZ69" s="1197" t="str">
        <f>IF(ISBLANK(Récap1!AZ69),"",Récap1!AZ69)</f>
        <v>PVL</v>
      </c>
      <c r="BA69" s="1197" t="str">
        <f>IF(ISBLANK(Récap1!BA69),"",Récap1!BA69)</f>
        <v>PVL</v>
      </c>
      <c r="BB69" s="1197" t="str">
        <f>IF(ISBLANK(Récap1!BB69),"",Récap1!BB69)</f>
        <v>PVL</v>
      </c>
      <c r="BC69" s="646" t="str">
        <f>IF(ISBLANK(Récap1!BC69),"",Récap1!BC69)</f>
        <v>PVL</v>
      </c>
      <c r="BD69" s="1464" t="str">
        <f>IF(ISBLANK(Récap1!BD69),"",Récap1!BD69)</f>
        <v>PVL</v>
      </c>
      <c r="BE69" s="1197" t="str">
        <f>IF(ISBLANK(Récap1!BE69),"",Récap1!BE69)</f>
        <v>PVL</v>
      </c>
      <c r="BF69" s="1197" t="str">
        <f>IF(ISBLANK(Récap1!BF69),"",Récap1!BF69)</f>
        <v>PVL</v>
      </c>
      <c r="BG69" s="1197" t="str">
        <f>IF(ISBLANK(Récap1!BG69),"",Récap1!BG69)</f>
        <v>nd</v>
      </c>
      <c r="BH69" s="646" t="str">
        <f>IF(ISBLANK(Récap1!BH69),"",Récap1!BH69)</f>
        <v>PVL</v>
      </c>
      <c r="BI69" s="1197" t="str">
        <f>IF(ISBLANK(Récap1!BI69),"",Récap1!BI69)</f>
        <v>PVL</v>
      </c>
      <c r="BJ69" s="1200" t="e">
        <f>IF(ISBLANK(Récap1!#REF!),"",Récap1!#REF!)</f>
        <v>#REF!</v>
      </c>
      <c r="BK69" s="1200" t="e">
        <f>IF(ISBLANK(Récap1!#REF!),"",Récap1!#REF!)</f>
        <v>#REF!</v>
      </c>
      <c r="BL69" s="1197" t="str">
        <f>IF(ISBLANK('HCT2'!H69),"",'HCT2'!H69)</f>
        <v>PVL</v>
      </c>
      <c r="BM69" s="1197" t="str">
        <f>IF(ISBLANK('HCT2'!I69),"",'HCT2'!I69)</f>
        <v>PVL</v>
      </c>
      <c r="BN69" s="1197" t="str">
        <f>IF(ISBLANK('HCT2'!J69),"",'HCT2'!J69)</f>
        <v>PVL</v>
      </c>
      <c r="BO69" s="646">
        <f>IF(ISBLANK('HCT2'!K69),"",'HCT2'!K69)</f>
        <v>53.382512969427161</v>
      </c>
      <c r="BP69" s="1197" t="e">
        <f>IF(ISBLANK('HCT2'!L69),"",'HCT2'!L69)</f>
        <v>#VALUE!</v>
      </c>
      <c r="BQ69" s="1198" t="e">
        <f>IF(ISBLANK('HCT2'!M69),"",'HCT2'!M69)</f>
        <v>#VALUE!</v>
      </c>
      <c r="BR69" s="1197" t="e">
        <f>IF(ISBLANK('HCT2'!N69),"",'HCT2'!N69)</f>
        <v>#VALUE!</v>
      </c>
      <c r="BS69" s="1197" t="e">
        <f>IF(ISBLANK('HCT2'!O69),"",'HCT2'!O69)</f>
        <v>#VALUE!</v>
      </c>
      <c r="BT69" s="1199" t="e">
        <f>IF(ISBLANK('HCT2'!P69),"",'HCT2'!P69)</f>
        <v>#VALUE!</v>
      </c>
      <c r="BU69" s="1197" t="e">
        <f>IF(ISBLANK('HCT2'!Q69),"",'HCT2'!Q69)</f>
        <v>#VALUE!</v>
      </c>
      <c r="BV69" s="1197" t="e">
        <f>IF(ISBLANK('HCT2'!R69),"",'HCT2'!R69)</f>
        <v>#VALUE!</v>
      </c>
      <c r="BW69" s="1197" t="e">
        <f>IF(ISBLANK('HCT2'!S69),"",'HCT2'!S69)</f>
        <v>#VALUE!</v>
      </c>
      <c r="BX69" s="1198" t="e">
        <f>IF(ISBLANK('HCT2'!T69),"",'HCT2'!T69)</f>
        <v>#VALUE!</v>
      </c>
      <c r="BY69" s="1197" t="e">
        <f>IF(ISBLANK('HCT2'!U69),"",'HCT2'!U69)</f>
        <v>#VALUE!</v>
      </c>
      <c r="BZ69" s="1197" t="e">
        <f>IF(ISBLANK('HCT2'!V69),"",'HCT2'!V69)</f>
        <v>#VALUE!</v>
      </c>
      <c r="CA69" s="1197" t="e">
        <f>IF(ISBLANK('HCT2'!W69),"",'HCT2'!W69)</f>
        <v>#VALUE!</v>
      </c>
      <c r="CB69" s="1200" t="str">
        <f>IF(ISBLANK('HCT2'!X69),"",'HCT2'!X69)</f>
        <v/>
      </c>
      <c r="CC69" s="1201" t="str">
        <f>IF(ISBLANK('HCT2'!Y69),"",'HCT2'!Y69)</f>
        <v>PVL</v>
      </c>
      <c r="CD69" s="1202" t="str">
        <f>IF(ISBLANK('HCT2'!Z69),"",'HCT2'!Z69)</f>
        <v>PVL</v>
      </c>
      <c r="CE69" s="1200" t="str">
        <f>IF(ISBLANK('HCT2'!AA69),"",'HCT2'!AA69)</f>
        <v/>
      </c>
      <c r="CF69" s="1200" t="str">
        <f>IF(ISBLANK('HCT2'!AB69),"",'HCT2'!AB69)</f>
        <v/>
      </c>
      <c r="CG69" s="1203" t="str">
        <f>IF(ISBLANK('HCT2'!AC69),"",'HCT2'!AC69)</f>
        <v>PVL</v>
      </c>
      <c r="CH69" s="1200" t="str">
        <f>IF(ISBLANK('HCT2'!AD69),"",'HCT2'!AD69)</f>
        <v/>
      </c>
      <c r="CI69" s="1200" t="str">
        <f>IF(ISBLANK('HCT2'!AE69),"",'HCT2'!AE69)</f>
        <v/>
      </c>
      <c r="CJ69" s="1200" t="str">
        <f>IF(ISBLANK('HCT2'!AF69),"",'HCT2'!AF69)</f>
        <v/>
      </c>
      <c r="CK69" s="1204" t="str">
        <f>IF(ISBLANK('HCT2'!AG69),"",'HCT2'!AG69)</f>
        <v/>
      </c>
      <c r="CL69" s="1200" t="str">
        <f>IF(ISBLANK('HCT2'!AH69),"",'HCT2'!AH69)</f>
        <v>PVL</v>
      </c>
      <c r="CM69" s="1200" t="str">
        <f>IF(ISBLANK('HCT2'!AI69),"",'HCT2'!AI69)</f>
        <v>PVL</v>
      </c>
      <c r="CN69" s="1204" t="str">
        <f>IF(ISBLANK('HCT2'!AJ69),"",'HCT2'!AJ69)</f>
        <v>PVL</v>
      </c>
      <c r="CO69" s="1200" t="str">
        <f>IF(ISBLANK('HCT2'!AK69),"",'HCT2'!AK69)</f>
        <v/>
      </c>
      <c r="CP69" s="1200" t="str">
        <f>IF(ISBLANK('HCT2'!AL69),"",'HCT2'!AL69)</f>
        <v/>
      </c>
      <c r="CQ69" s="1200" t="str">
        <f>IF(ISBLANK('HCT2'!AM69),"",'HCT2'!AM69)</f>
        <v/>
      </c>
      <c r="CR69" s="1205" t="str">
        <f>IF(ISBLANK('HCT2'!AN69),"",'HCT2'!AN69)</f>
        <v/>
      </c>
      <c r="CS69" s="1206" t="str">
        <f>IF(ISBLANK('HCT2'!AO69),"",'HCT2'!AO69)</f>
        <v>PVL</v>
      </c>
      <c r="CT69" s="1207">
        <f>IF(ISBLANK('HCT2'!AP69),"",'HCT2'!AP69)</f>
        <v>0</v>
      </c>
      <c r="CU69" s="1150" t="str">
        <f>IF(ISBLANK('HCT2'!AQ69),"",'HCT2'!AQ69)</f>
        <v>PVL</v>
      </c>
      <c r="CV69" s="673" t="e">
        <f>IF(ISBLANK('HCT2'!AR69),"",'HCT2'!AR69)</f>
        <v>#VALUE!</v>
      </c>
      <c r="CW69" s="1484" t="e">
        <f>IF(ISBLANK(Récap1!#REF!),"",Récap1!#REF!)</f>
        <v>#REF!</v>
      </c>
      <c r="CX69" s="1484" t="e">
        <f>IF(ISBLANK(Récap1!#REF!),"",Récap1!#REF!)</f>
        <v>#REF!</v>
      </c>
      <c r="CY69" s="1485" t="e">
        <f>IF(ISBLANK(Récap1!#REF!),"",Récap1!#REF!)</f>
        <v>#REF!</v>
      </c>
      <c r="CZ69" s="1485" t="e">
        <f>IF(ISBLANK(Récap1!#REF!),"",Récap1!#REF!)</f>
        <v>#REF!</v>
      </c>
      <c r="DA69" s="1485" t="e">
        <f>IF(ISBLANK(Récap1!#REF!),"",Récap1!#REF!)</f>
        <v>#REF!</v>
      </c>
      <c r="DB69" s="1485" t="e">
        <f>IF(ISBLANK(Récap1!#REF!),"",Récap1!#REF!)</f>
        <v>#REF!</v>
      </c>
      <c r="DC69" s="1484" t="str">
        <f>IF(ISBLANK('HCT2'!AS69),"",'HCT2'!AS69)</f>
        <v>PVL</v>
      </c>
      <c r="DD69" s="1485" t="str">
        <f>IF(ISBLANK('HCT2'!AT69),"",'HCT2'!AT69)</f>
        <v>PVL</v>
      </c>
      <c r="DE69" s="1485" t="str">
        <f>IF(ISBLANK('HCT2'!AU69),"",'HCT2'!AU69)</f>
        <v>PVL</v>
      </c>
      <c r="DF69" s="1485" t="str">
        <f>IF(ISBLANK('HCT2'!AV69),"",'HCT2'!AV69)</f>
        <v>PVL</v>
      </c>
      <c r="DG69" s="1485" t="str">
        <f>IF(ISBLANK('HCT2'!AW69),"",'HCT2'!AW69)</f>
        <v/>
      </c>
      <c r="DH69" s="1485" t="str">
        <f>IF(ISBLANK('HCT2'!AX69),"",'HCT2'!AX69)</f>
        <v/>
      </c>
      <c r="DI69" s="1485" t="str">
        <f>IF(ISBLANK('HCT2'!AY69),"",'HCT2'!AY69)</f>
        <v/>
      </c>
      <c r="DJ69" s="1486" t="str">
        <f>IF(ISBLANK('HCT2'!AZ69),"",'HCT2'!AZ69)</f>
        <v>PVL</v>
      </c>
      <c r="DK69" s="1485" t="str">
        <f>IF(ISBLANK('HCT2'!BA69),"",'HCT2'!BA69)</f>
        <v>PVL</v>
      </c>
      <c r="DL69" s="1485" t="str">
        <f>IF(ISBLANK('HCT2'!BB69),"",'HCT2'!BB69)</f>
        <v>PVL</v>
      </c>
      <c r="DM69" s="1487" t="str">
        <f>IF(ISBLANK('HCT2'!BC69),"",'HCT2'!BC69)</f>
        <v>PVL</v>
      </c>
      <c r="DN69" s="1488" t="str">
        <f>IF(ISBLANK('HCT2'!BD69),"",'HCT2'!BD69)</f>
        <v>PVL</v>
      </c>
      <c r="DO69" s="1489">
        <f>IF(ISBLANK('HCT2'!BE69),"",'HCT2'!BE69)</f>
        <v>0</v>
      </c>
      <c r="DP69" s="1490" t="str">
        <f>IF(ISBLANK('HCT2'!BF69),"",'HCT2'!BF69)</f>
        <v>PVL</v>
      </c>
      <c r="DQ69" s="979" t="e">
        <f t="shared" si="0"/>
        <v>#VALUE!</v>
      </c>
      <c r="DS69" s="781" t="e">
        <f t="shared" si="1"/>
        <v>#VALUE!</v>
      </c>
      <c r="DT69" s="781" t="e">
        <f t="shared" si="1"/>
        <v>#VALUE!</v>
      </c>
      <c r="DU69" s="781" t="e">
        <f t="shared" si="2"/>
        <v>#VALUE!</v>
      </c>
      <c r="DV69" s="880" t="e">
        <f t="shared" si="2"/>
        <v>#VALUE!</v>
      </c>
      <c r="DW69" s="781" t="e">
        <f t="shared" si="2"/>
        <v>#VALUE!</v>
      </c>
      <c r="DX69" s="781" t="e">
        <f t="shared" si="2"/>
        <v>#VALUE!</v>
      </c>
      <c r="DY69" s="781" t="e">
        <f t="shared" si="2"/>
        <v>#VALUE!</v>
      </c>
    </row>
    <row r="70" spans="1:131" s="782" customFormat="1" ht="13.5" hidden="1">
      <c r="A70" s="776"/>
      <c r="B70" s="245"/>
      <c r="C70" s="777"/>
      <c r="D70" s="792"/>
      <c r="E70" s="853" t="str">
        <f>IF(ISBLANK(Récap1!E70),"",Récap1!E70)</f>
        <v>Seuil pour détection olfactive air ambiant 2 mois</v>
      </c>
      <c r="F70" s="779" t="str">
        <f>IF(ISBLANK(Récap1!F70),"",Récap1!F70)</f>
        <v>Cs</v>
      </c>
      <c r="G70" s="779" t="str">
        <f>IF(ISBLANK(Récap1!G70),"",Récap1!G70)</f>
        <v>mg/kg ms</v>
      </c>
      <c r="H70" s="780" t="str">
        <f>IF(ISBLANK(Récap1!H70),"",Récap1!H70)</f>
        <v>PVL</v>
      </c>
      <c r="I70" s="781" t="str">
        <f>IF(ISBLANK(Récap1!I70),"",Récap1!I70)</f>
        <v>PVL</v>
      </c>
      <c r="J70" s="1197" t="str">
        <f>IF(ISBLANK(Récap1!J70),"",Récap1!J70)</f>
        <v>PVL</v>
      </c>
      <c r="K70" s="1196" t="str">
        <f>IF(ISBLANK(Récap1!K70),"",Récap1!K70)</f>
        <v>PVL</v>
      </c>
      <c r="L70" s="1197" t="str">
        <f>IF(ISBLANK(Récap1!L70),"",Récap1!L70)</f>
        <v>PVL</v>
      </c>
      <c r="M70" s="1197" t="str">
        <f>IF(ISBLANK(Récap1!M70),"",Récap1!M70)</f>
        <v>PVL</v>
      </c>
      <c r="N70" s="1197" t="str">
        <f>IF(ISBLANK(Récap1!N70),"",Récap1!N70)</f>
        <v>PVL</v>
      </c>
      <c r="O70" s="1197" t="str">
        <f>IF(ISBLANK(Récap1!O70),"",Récap1!O70)</f>
        <v>PVL</v>
      </c>
      <c r="P70" s="1197" t="str">
        <f>IF(ISBLANK(Récap1!P70),"",Récap1!P70)</f>
        <v>PVL</v>
      </c>
      <c r="Q70" s="1197" t="str">
        <f>IF(ISBLANK(Récap1!Q70),"",Récap1!Q70)</f>
        <v>PVL</v>
      </c>
      <c r="R70" s="1197" t="str">
        <f>IF(ISBLANK(Récap1!R70),"",Récap1!R70)</f>
        <v>PVL</v>
      </c>
      <c r="S70" s="1197">
        <f>IF(ISBLANK(Récap1!S70),"",Récap1!S70)</f>
        <v>1713.9119716597693</v>
      </c>
      <c r="T70" s="1197">
        <f>IF(ISBLANK(Récap1!T70),"",Récap1!T70)</f>
        <v>1713.9119716597693</v>
      </c>
      <c r="U70" s="1197" t="str">
        <f>IF(ISBLANK(Récap1!U70),"",Récap1!U70)</f>
        <v>PVL</v>
      </c>
      <c r="V70" s="1435" t="str">
        <f>IF(ISBLANK(Récap1!V70),"",Récap1!V70)</f>
        <v>PVL</v>
      </c>
      <c r="W70" s="1197" t="str">
        <f>IF(ISBLANK(Récap1!W70),"",Récap1!W70)</f>
        <v>PVL</v>
      </c>
      <c r="X70" s="1197" t="str">
        <f>IF(ISBLANK(Récap1!X70),"",Récap1!X70)</f>
        <v>PVL</v>
      </c>
      <c r="Y70" s="1197" t="str">
        <f>IF(ISBLANK(Récap1!Y70),"",Récap1!Y70)</f>
        <v>PVL</v>
      </c>
      <c r="Z70" s="1197" t="str">
        <f>IF(ISBLANK(Récap1!Z70),"",Récap1!Z70)</f>
        <v>PVL</v>
      </c>
      <c r="AA70" s="646">
        <f>IF(ISBLANK(Récap1!AA70),"",Récap1!AA70)</f>
        <v>99.757028297340199</v>
      </c>
      <c r="AB70" s="1197" t="str">
        <f>IF(ISBLANK(Récap1!AB70),"",Récap1!AB70)</f>
        <v>PVL</v>
      </c>
      <c r="AC70" s="1198" t="str">
        <f>IF(ISBLANK(Récap1!AC70),"",Récap1!AC70)</f>
        <v>PVL</v>
      </c>
      <c r="AD70" s="1197" t="str">
        <f>IF(ISBLANK(Récap1!AD70),"",Récap1!AD70)</f>
        <v>PVL</v>
      </c>
      <c r="AE70" s="1197" t="str">
        <f>IF(ISBLANK(Récap1!AE70),"",Récap1!AE70)</f>
        <v>PVL</v>
      </c>
      <c r="AF70" s="1199" t="str">
        <f>IF(ISBLANK(Récap1!AF70),"",Récap1!AF70)</f>
        <v>PVL</v>
      </c>
      <c r="AG70" s="1197" t="str">
        <f>IF(ISBLANK(Récap1!AG70),"",Récap1!AG70)</f>
        <v>PVL</v>
      </c>
      <c r="AH70" s="1197" t="str">
        <f>IF(ISBLANK(Récap1!AH70),"",Récap1!AH70)</f>
        <v>PVL</v>
      </c>
      <c r="AI70" s="1197" t="str">
        <f>IF(ISBLANK(Récap1!AI70),"",Récap1!AI70)</f>
        <v>PVL</v>
      </c>
      <c r="AJ70" s="1198" t="str">
        <f>IF(ISBLANK(Récap1!AJ70),"",Récap1!AJ70)</f>
        <v>PVL</v>
      </c>
      <c r="AK70" s="1197" t="str">
        <f>IF(ISBLANK(Récap1!AK70),"",Récap1!AK70)</f>
        <v>PVL</v>
      </c>
      <c r="AL70" s="1197" t="str">
        <f>IF(ISBLANK(Récap1!AL70),"",Récap1!AL70)</f>
        <v>PVL</v>
      </c>
      <c r="AM70" s="1197" t="str">
        <f>IF(ISBLANK(Récap1!AM70),"",Récap1!AM70)</f>
        <v>PVL</v>
      </c>
      <c r="AN70" s="1196" t="str">
        <f>IF(ISBLANK(Récap1!AN70),"",Récap1!AN70)</f>
        <v>PVL</v>
      </c>
      <c r="AO70" s="1197" t="str">
        <f>IF(ISBLANK(Récap1!AO70),"",Récap1!AO70)</f>
        <v>PVL</v>
      </c>
      <c r="AP70" s="1197" t="str">
        <f>IF(ISBLANK(Récap1!AP70),"",Récap1!AP70)</f>
        <v>PVL</v>
      </c>
      <c r="AQ70" s="1197" t="str">
        <f>IF(ISBLANK(Récap1!AQ70),"",Récap1!AQ70)</f>
        <v>PVL</v>
      </c>
      <c r="AR70" s="1197" t="str">
        <f>IF(ISBLANK(Récap1!AR70),"",Récap1!AR70)</f>
        <v>PVL</v>
      </c>
      <c r="AS70" s="1197" t="str">
        <f>IF(ISBLANK(Récap1!AS70),"",Récap1!AS70)</f>
        <v>PVL</v>
      </c>
      <c r="AT70" s="1197" t="str">
        <f>IF(ISBLANK(Récap1!AT70),"",Récap1!AT70)</f>
        <v>PVL</v>
      </c>
      <c r="AU70" s="1197" t="str">
        <f>IF(ISBLANK(Récap1!AU70),"",Récap1!AU70)</f>
        <v>PVL</v>
      </c>
      <c r="AV70" s="1197" t="str">
        <f>IF(ISBLANK(Récap1!AV70),"",Récap1!AV70)</f>
        <v>PVL</v>
      </c>
      <c r="AW70" s="1197" t="str">
        <f>IF(ISBLANK(Récap1!AW70),"",Récap1!AW70)</f>
        <v>PVL</v>
      </c>
      <c r="AX70" s="1197" t="str">
        <f>IF(ISBLANK(Récap1!AX70),"",Récap1!AX70)</f>
        <v>PVL</v>
      </c>
      <c r="AY70" s="1197" t="str">
        <f>IF(ISBLANK(Récap1!AY70),"",Récap1!AY70)</f>
        <v>PVL</v>
      </c>
      <c r="AZ70" s="1197" t="str">
        <f>IF(ISBLANK(Récap1!AZ70),"",Récap1!AZ70)</f>
        <v>PVL</v>
      </c>
      <c r="BA70" s="1197" t="str">
        <f>IF(ISBLANK(Récap1!BA70),"",Récap1!BA70)</f>
        <v>PVL</v>
      </c>
      <c r="BB70" s="1197" t="str">
        <f>IF(ISBLANK(Récap1!BB70),"",Récap1!BB70)</f>
        <v>PVL</v>
      </c>
      <c r="BC70" s="646" t="str">
        <f>IF(ISBLANK(Récap1!BC70),"",Récap1!BC70)</f>
        <v>PVL</v>
      </c>
      <c r="BD70" s="1464" t="str">
        <f>IF(ISBLANK(Récap1!BD70),"",Récap1!BD70)</f>
        <v>PVL</v>
      </c>
      <c r="BE70" s="1197" t="str">
        <f>IF(ISBLANK(Récap1!BE70),"",Récap1!BE70)</f>
        <v>PVL</v>
      </c>
      <c r="BF70" s="1197" t="str">
        <f>IF(ISBLANK(Récap1!BF70),"",Récap1!BF70)</f>
        <v>PVL</v>
      </c>
      <c r="BG70" s="1197" t="str">
        <f>IF(ISBLANK(Récap1!BG70),"",Récap1!BG70)</f>
        <v>nd</v>
      </c>
      <c r="BH70" s="646" t="str">
        <f>IF(ISBLANK(Récap1!BH70),"",Récap1!BH70)</f>
        <v>PVL</v>
      </c>
      <c r="BI70" s="1197" t="str">
        <f>IF(ISBLANK(Récap1!BI70),"",Récap1!BI70)</f>
        <v>PVL</v>
      </c>
      <c r="BJ70" s="1200" t="e">
        <f>IF(ISBLANK(Récap1!#REF!),"",Récap1!#REF!)</f>
        <v>#REF!</v>
      </c>
      <c r="BK70" s="1200" t="e">
        <f>IF(ISBLANK(Récap1!#REF!),"",Récap1!#REF!)</f>
        <v>#REF!</v>
      </c>
      <c r="BL70" s="1197" t="str">
        <f>IF(ISBLANK('HCT2'!H70),"",'HCT2'!H70)</f>
        <v>PVL</v>
      </c>
      <c r="BM70" s="1197" t="str">
        <f>IF(ISBLANK('HCT2'!I70),"",'HCT2'!I70)</f>
        <v>PVL</v>
      </c>
      <c r="BN70" s="1197" t="str">
        <f>IF(ISBLANK('HCT2'!J70),"",'HCT2'!J70)</f>
        <v>PVL</v>
      </c>
      <c r="BO70" s="646">
        <f>IF(ISBLANK('HCT2'!K70),"",'HCT2'!K70)</f>
        <v>99.757028297340199</v>
      </c>
      <c r="BP70" s="1197" t="e">
        <f>IF(ISBLANK('HCT2'!L70),"",'HCT2'!L70)</f>
        <v>#VALUE!</v>
      </c>
      <c r="BQ70" s="1198" t="e">
        <f>IF(ISBLANK('HCT2'!M70),"",'HCT2'!M70)</f>
        <v>#VALUE!</v>
      </c>
      <c r="BR70" s="1197" t="e">
        <f>IF(ISBLANK('HCT2'!N70),"",'HCT2'!N70)</f>
        <v>#VALUE!</v>
      </c>
      <c r="BS70" s="1197" t="e">
        <f>IF(ISBLANK('HCT2'!O70),"",'HCT2'!O70)</f>
        <v>#VALUE!</v>
      </c>
      <c r="BT70" s="1199" t="e">
        <f>IF(ISBLANK('HCT2'!P70),"",'HCT2'!P70)</f>
        <v>#VALUE!</v>
      </c>
      <c r="BU70" s="1197" t="e">
        <f>IF(ISBLANK('HCT2'!Q70),"",'HCT2'!Q70)</f>
        <v>#VALUE!</v>
      </c>
      <c r="BV70" s="1197" t="e">
        <f>IF(ISBLANK('HCT2'!R70),"",'HCT2'!R70)</f>
        <v>#VALUE!</v>
      </c>
      <c r="BW70" s="1197" t="e">
        <f>IF(ISBLANK('HCT2'!S70),"",'HCT2'!S70)</f>
        <v>#VALUE!</v>
      </c>
      <c r="BX70" s="1198" t="e">
        <f>IF(ISBLANK('HCT2'!T70),"",'HCT2'!T70)</f>
        <v>#VALUE!</v>
      </c>
      <c r="BY70" s="1197" t="e">
        <f>IF(ISBLANK('HCT2'!U70),"",'HCT2'!U70)</f>
        <v>#VALUE!</v>
      </c>
      <c r="BZ70" s="1197" t="e">
        <f>IF(ISBLANK('HCT2'!V70),"",'HCT2'!V70)</f>
        <v>#VALUE!</v>
      </c>
      <c r="CA70" s="1197" t="e">
        <f>IF(ISBLANK('HCT2'!W70),"",'HCT2'!W70)</f>
        <v>#VALUE!</v>
      </c>
      <c r="CB70" s="1200" t="str">
        <f>IF(ISBLANK('HCT2'!X70),"",'HCT2'!X70)</f>
        <v/>
      </c>
      <c r="CC70" s="1201" t="str">
        <f>IF(ISBLANK('HCT2'!Y70),"",'HCT2'!Y70)</f>
        <v>PVL</v>
      </c>
      <c r="CD70" s="1202" t="str">
        <f>IF(ISBLANK('HCT2'!Z70),"",'HCT2'!Z70)</f>
        <v>PVL</v>
      </c>
      <c r="CE70" s="1200" t="str">
        <f>IF(ISBLANK('HCT2'!AA70),"",'HCT2'!AA70)</f>
        <v/>
      </c>
      <c r="CF70" s="1200" t="str">
        <f>IF(ISBLANK('HCT2'!AB70),"",'HCT2'!AB70)</f>
        <v/>
      </c>
      <c r="CG70" s="1203" t="str">
        <f>IF(ISBLANK('HCT2'!AC70),"",'HCT2'!AC70)</f>
        <v>PVL</v>
      </c>
      <c r="CH70" s="1200" t="str">
        <f>IF(ISBLANK('HCT2'!AD70),"",'HCT2'!AD70)</f>
        <v/>
      </c>
      <c r="CI70" s="1200" t="str">
        <f>IF(ISBLANK('HCT2'!AE70),"",'HCT2'!AE70)</f>
        <v/>
      </c>
      <c r="CJ70" s="1200" t="str">
        <f>IF(ISBLANK('HCT2'!AF70),"",'HCT2'!AF70)</f>
        <v/>
      </c>
      <c r="CK70" s="1204" t="str">
        <f>IF(ISBLANK('HCT2'!AG70),"",'HCT2'!AG70)</f>
        <v/>
      </c>
      <c r="CL70" s="1200" t="str">
        <f>IF(ISBLANK('HCT2'!AH70),"",'HCT2'!AH70)</f>
        <v>PVL</v>
      </c>
      <c r="CM70" s="1200" t="str">
        <f>IF(ISBLANK('HCT2'!AI70),"",'HCT2'!AI70)</f>
        <v>PVL</v>
      </c>
      <c r="CN70" s="1204" t="str">
        <f>IF(ISBLANK('HCT2'!AJ70),"",'HCT2'!AJ70)</f>
        <v>PVL</v>
      </c>
      <c r="CO70" s="1200" t="str">
        <f>IF(ISBLANK('HCT2'!AK70),"",'HCT2'!AK70)</f>
        <v/>
      </c>
      <c r="CP70" s="1200" t="str">
        <f>IF(ISBLANK('HCT2'!AL70),"",'HCT2'!AL70)</f>
        <v/>
      </c>
      <c r="CQ70" s="1200" t="str">
        <f>IF(ISBLANK('HCT2'!AM70),"",'HCT2'!AM70)</f>
        <v/>
      </c>
      <c r="CR70" s="1205" t="str">
        <f>IF(ISBLANK('HCT2'!AN70),"",'HCT2'!AN70)</f>
        <v/>
      </c>
      <c r="CS70" s="1206" t="str">
        <f>IF(ISBLANK('HCT2'!AO70),"",'HCT2'!AO70)</f>
        <v>PVL</v>
      </c>
      <c r="CT70" s="1207">
        <f>IF(ISBLANK('HCT2'!AP70),"",'HCT2'!AP70)</f>
        <v>0</v>
      </c>
      <c r="CU70" s="1150" t="str">
        <f>IF(ISBLANK('HCT2'!AQ70),"",'HCT2'!AQ70)</f>
        <v>PVL</v>
      </c>
      <c r="CV70" s="673" t="e">
        <f>IF(ISBLANK('HCT2'!AR70),"",'HCT2'!AR70)</f>
        <v>#VALUE!</v>
      </c>
      <c r="CW70" s="1484" t="e">
        <f>IF(ISBLANK(Récap1!#REF!),"",Récap1!#REF!)</f>
        <v>#REF!</v>
      </c>
      <c r="CX70" s="1484" t="e">
        <f>IF(ISBLANK(Récap1!#REF!),"",Récap1!#REF!)</f>
        <v>#REF!</v>
      </c>
      <c r="CY70" s="1485" t="e">
        <f>IF(ISBLANK(Récap1!#REF!),"",Récap1!#REF!)</f>
        <v>#REF!</v>
      </c>
      <c r="CZ70" s="1485" t="e">
        <f>IF(ISBLANK(Récap1!#REF!),"",Récap1!#REF!)</f>
        <v>#REF!</v>
      </c>
      <c r="DA70" s="1485" t="e">
        <f>IF(ISBLANK(Récap1!#REF!),"",Récap1!#REF!)</f>
        <v>#REF!</v>
      </c>
      <c r="DB70" s="1485" t="e">
        <f>IF(ISBLANK(Récap1!#REF!),"",Récap1!#REF!)</f>
        <v>#REF!</v>
      </c>
      <c r="DC70" s="1484" t="str">
        <f>IF(ISBLANK('HCT2'!AS70),"",'HCT2'!AS70)</f>
        <v>PVL</v>
      </c>
      <c r="DD70" s="1485" t="str">
        <f>IF(ISBLANK('HCT2'!AT70),"",'HCT2'!AT70)</f>
        <v>PVL</v>
      </c>
      <c r="DE70" s="1485" t="str">
        <f>IF(ISBLANK('HCT2'!AU70),"",'HCT2'!AU70)</f>
        <v>PVL</v>
      </c>
      <c r="DF70" s="1485" t="str">
        <f>IF(ISBLANK('HCT2'!AV70),"",'HCT2'!AV70)</f>
        <v>PVL</v>
      </c>
      <c r="DG70" s="1485" t="str">
        <f>IF(ISBLANK('HCT2'!AW70),"",'HCT2'!AW70)</f>
        <v/>
      </c>
      <c r="DH70" s="1485" t="str">
        <f>IF(ISBLANK('HCT2'!AX70),"",'HCT2'!AX70)</f>
        <v/>
      </c>
      <c r="DI70" s="1485" t="str">
        <f>IF(ISBLANK('HCT2'!AY70),"",'HCT2'!AY70)</f>
        <v/>
      </c>
      <c r="DJ70" s="1486" t="str">
        <f>IF(ISBLANK('HCT2'!AZ70),"",'HCT2'!AZ70)</f>
        <v>PVL</v>
      </c>
      <c r="DK70" s="1485" t="str">
        <f>IF(ISBLANK('HCT2'!BA70),"",'HCT2'!BA70)</f>
        <v>PVL</v>
      </c>
      <c r="DL70" s="1485" t="str">
        <f>IF(ISBLANK('HCT2'!BB70),"",'HCT2'!BB70)</f>
        <v>PVL</v>
      </c>
      <c r="DM70" s="1487" t="str">
        <f>IF(ISBLANK('HCT2'!BC70),"",'HCT2'!BC70)</f>
        <v>PVL</v>
      </c>
      <c r="DN70" s="1488" t="str">
        <f>IF(ISBLANK('HCT2'!BD70),"",'HCT2'!BD70)</f>
        <v>PVL</v>
      </c>
      <c r="DO70" s="1489">
        <f>IF(ISBLANK('HCT2'!BE70),"",'HCT2'!BE70)</f>
        <v>0</v>
      </c>
      <c r="DP70" s="1490" t="str">
        <f>IF(ISBLANK('HCT2'!BF70),"",'HCT2'!BF70)</f>
        <v>PVL</v>
      </c>
      <c r="DQ70" s="979" t="e">
        <f t="shared" si="0"/>
        <v>#VALUE!</v>
      </c>
      <c r="DS70" s="781" t="e">
        <f t="shared" si="1"/>
        <v>#VALUE!</v>
      </c>
      <c r="DT70" s="781" t="e">
        <f t="shared" si="1"/>
        <v>#VALUE!</v>
      </c>
      <c r="DU70" s="781" t="e">
        <f t="shared" si="2"/>
        <v>#VALUE!</v>
      </c>
      <c r="DV70" s="880" t="e">
        <f t="shared" si="2"/>
        <v>#VALUE!</v>
      </c>
      <c r="DW70" s="781" t="e">
        <f t="shared" si="2"/>
        <v>#VALUE!</v>
      </c>
      <c r="DX70" s="781" t="e">
        <f t="shared" si="2"/>
        <v>#VALUE!</v>
      </c>
      <c r="DY70" s="781" t="e">
        <f t="shared" si="2"/>
        <v>#VALUE!</v>
      </c>
    </row>
    <row r="71" spans="1:131" s="1009" customFormat="1" hidden="1">
      <c r="A71" s="1000"/>
      <c r="B71" s="1000"/>
      <c r="C71" s="1001"/>
      <c r="D71" s="926"/>
      <c r="E71" s="1002" t="str">
        <f>IF(ISBLANK(Récap1!E71),"",Récap1!E71)</f>
        <v>Seuil dont détection olfactive air ambiant immédiat</v>
      </c>
      <c r="F71" s="1003" t="str">
        <f>IF(ISBLANK(Récap1!F71),"",Récap1!F71)</f>
        <v>Cs</v>
      </c>
      <c r="G71" s="1003" t="str">
        <f>IF(ISBLANK(Récap1!G71),"",Récap1!G71)</f>
        <v>mg/kg ms</v>
      </c>
      <c r="H71" s="1004">
        <f>IF(ISBLANK(Récap1!H71),"",Récap1!H71)</f>
        <v>5690.3454864090718</v>
      </c>
      <c r="I71" s="1005">
        <f>IF(ISBLANK(Récap1!I71),"",Récap1!I71)</f>
        <v>5690.3454864090718</v>
      </c>
      <c r="J71" s="1318">
        <f>IF(ISBLANK(Récap1!J71),"",Récap1!J71)</f>
        <v>39274.636760143017</v>
      </c>
      <c r="K71" s="1320">
        <f>IF(ISBLANK(Récap1!K71),"",Récap1!K71)</f>
        <v>14.649905454545456</v>
      </c>
      <c r="L71" s="1318">
        <f>IF(ISBLANK(Récap1!L71),"",Récap1!L71)</f>
        <v>20.132323248857201</v>
      </c>
      <c r="M71" s="1318">
        <f>IF(ISBLANK(Récap1!M71),"",Récap1!M71)</f>
        <v>20.132323248857201</v>
      </c>
      <c r="N71" s="1318">
        <f>IF(ISBLANK(Récap1!N71),"",Récap1!N71)</f>
        <v>45.780954545454541</v>
      </c>
      <c r="O71" s="1318">
        <f>IF(ISBLANK(Récap1!O71),"",Récap1!O71)</f>
        <v>45.780954545454541</v>
      </c>
      <c r="P71" s="1318">
        <f>IF(ISBLANK(Récap1!P71),"",Récap1!P71)</f>
        <v>9.1561909090909115</v>
      </c>
      <c r="Q71" s="1318">
        <f>IF(ISBLANK(Récap1!Q71),"",Récap1!Q71)</f>
        <v>9.1561909090909115</v>
      </c>
      <c r="R71" s="1318">
        <f>IF(ISBLANK(Récap1!R71),"",Récap1!R71)</f>
        <v>91.561909090909097</v>
      </c>
      <c r="S71" s="1318">
        <f>IF(ISBLANK(Récap1!S71),"",Récap1!S71)</f>
        <v>3.9809525691699599</v>
      </c>
      <c r="T71" s="1318">
        <f>IF(ISBLANK(Récap1!T71),"",Récap1!T71)</f>
        <v>3.9809525691699599</v>
      </c>
      <c r="U71" s="1318">
        <f>IF(ISBLANK(Récap1!U71),"",Récap1!U71)</f>
        <v>2.1800454545454544</v>
      </c>
      <c r="V71" s="1441">
        <f>IF(ISBLANK(Récap1!V71),"",Récap1!V71)</f>
        <v>261.60545454545451</v>
      </c>
      <c r="W71" s="1318">
        <f>IF(ISBLANK(Récap1!W71),"",Récap1!W71)</f>
        <v>261.60545454545451</v>
      </c>
      <c r="X71" s="1318">
        <f>IF(ISBLANK(Récap1!X71),"",Récap1!X71)</f>
        <v>2.7540971441360114</v>
      </c>
      <c r="Y71" s="1318">
        <f>IF(ISBLANK(Récap1!Y71),"",Récap1!Y71)</f>
        <v>96.479850827950756</v>
      </c>
      <c r="Z71" s="1318">
        <f>IF(ISBLANK(Récap1!Z71),"",Récap1!Z71)</f>
        <v>36.624763636363639</v>
      </c>
      <c r="AA71" s="1319">
        <f>IF(ISBLANK(Récap1!AA71),"",Récap1!AA71)</f>
        <v>53.382512969427161</v>
      </c>
      <c r="AB71" s="1318" t="str">
        <f>IF(ISBLANK(Récap1!AB71),"",Récap1!AB71)</f>
        <v>PVL</v>
      </c>
      <c r="AC71" s="1321" t="str">
        <f>IF(ISBLANK(Récap1!AC71),"",Récap1!AC71)</f>
        <v>PVL</v>
      </c>
      <c r="AD71" s="1318" t="str">
        <f>IF(ISBLANK(Récap1!AD71),"",Récap1!AD71)</f>
        <v>PVL</v>
      </c>
      <c r="AE71" s="1318" t="str">
        <f>IF(ISBLANK(Récap1!AE71),"",Récap1!AE71)</f>
        <v>PVL</v>
      </c>
      <c r="AF71" s="1146" t="str">
        <f>IF(ISBLANK(Récap1!AF71),"",Récap1!AF71)</f>
        <v>PVL</v>
      </c>
      <c r="AG71" s="1318" t="str">
        <f>IF(ISBLANK(Récap1!AG71),"",Récap1!AG71)</f>
        <v>PVL</v>
      </c>
      <c r="AH71" s="1318" t="str">
        <f>IF(ISBLANK(Récap1!AH71),"",Récap1!AH71)</f>
        <v>PVL</v>
      </c>
      <c r="AI71" s="1318" t="str">
        <f>IF(ISBLANK(Récap1!AI71),"",Récap1!AI71)</f>
        <v>PVL</v>
      </c>
      <c r="AJ71" s="1321" t="str">
        <f>IF(ISBLANK(Récap1!AJ71),"",Récap1!AJ71)</f>
        <v>PVL</v>
      </c>
      <c r="AK71" s="1318" t="str">
        <f>IF(ISBLANK(Récap1!AK71),"",Récap1!AK71)</f>
        <v>PVL</v>
      </c>
      <c r="AL71" s="1318" t="str">
        <f>IF(ISBLANK(Récap1!AL71),"",Récap1!AL71)</f>
        <v>PVL</v>
      </c>
      <c r="AM71" s="1318" t="str">
        <f>IF(ISBLANK(Récap1!AM71),"",Récap1!AM71)</f>
        <v>PVL</v>
      </c>
      <c r="AN71" s="1320">
        <f>IF(ISBLANK(Récap1!AN71),"",Récap1!AN71)</f>
        <v>13.451078987238073</v>
      </c>
      <c r="AO71" s="1318" t="str">
        <f>IF(ISBLANK(Récap1!AO71),"",Récap1!AO71)</f>
        <v>PVL</v>
      </c>
      <c r="AP71" s="1318" t="str">
        <f>IF(ISBLANK(Récap1!AP71),"",Récap1!AP71)</f>
        <v>PVL</v>
      </c>
      <c r="AQ71" s="1318" t="str">
        <f>IF(ISBLANK(Récap1!AQ71),"",Récap1!AQ71)</f>
        <v>PVL</v>
      </c>
      <c r="AR71" s="1318" t="str">
        <f>IF(ISBLANK(Récap1!AR71),"",Récap1!AR71)</f>
        <v>PVL</v>
      </c>
      <c r="AS71" s="1318" t="str">
        <f>IF(ISBLANK(Récap1!AS71),"",Récap1!AS71)</f>
        <v>PVL</v>
      </c>
      <c r="AT71" s="1318" t="str">
        <f>IF(ISBLANK(Récap1!AT71),"",Récap1!AT71)</f>
        <v>PVL</v>
      </c>
      <c r="AU71" s="1318" t="str">
        <f>IF(ISBLANK(Récap1!AU71),"",Récap1!AU71)</f>
        <v>PVL</v>
      </c>
      <c r="AV71" s="1318" t="str">
        <f>IF(ISBLANK(Récap1!AV71),"",Récap1!AV71)</f>
        <v>PVL</v>
      </c>
      <c r="AW71" s="1318" t="str">
        <f>IF(ISBLANK(Récap1!AW71),"",Récap1!AW71)</f>
        <v>PVL</v>
      </c>
      <c r="AX71" s="1318" t="str">
        <f>IF(ISBLANK(Récap1!AX71),"",Récap1!AX71)</f>
        <v>PVL</v>
      </c>
      <c r="AY71" s="1318" t="str">
        <f>IF(ISBLANK(Récap1!AY71),"",Récap1!AY71)</f>
        <v>PVL</v>
      </c>
      <c r="AZ71" s="1318" t="str">
        <f>IF(ISBLANK(Récap1!AZ71),"",Récap1!AZ71)</f>
        <v>PVL</v>
      </c>
      <c r="BA71" s="1318" t="str">
        <f>IF(ISBLANK(Récap1!BA71),"",Récap1!BA71)</f>
        <v>PVL</v>
      </c>
      <c r="BB71" s="1318" t="str">
        <f>IF(ISBLANK(Récap1!BB71),"",Récap1!BB71)</f>
        <v>PVL</v>
      </c>
      <c r="BC71" s="1319" t="str">
        <f>IF(ISBLANK(Récap1!BC71),"",Récap1!BC71)</f>
        <v>PVL</v>
      </c>
      <c r="BD71" s="1471">
        <f>IF(ISBLANK(Récap1!BD71),"",Récap1!BD71)</f>
        <v>7508.9004268737363</v>
      </c>
      <c r="BE71" s="1318" t="str">
        <f>IF(ISBLANK(Récap1!BE71),"",Récap1!BE71)</f>
        <v>PVL</v>
      </c>
      <c r="BF71" s="1318" t="str">
        <f>IF(ISBLANK(Récap1!BF71),"",Récap1!BF71)</f>
        <v>PVL</v>
      </c>
      <c r="BG71" s="1318">
        <f>IF(ISBLANK(Récap1!BG71),"",Récap1!BG71)</f>
        <v>7.8481636363636371E-3</v>
      </c>
      <c r="BH71" s="1311">
        <f>IF(ISBLANK(Récap1!BH71),"",Récap1!BH71)</f>
        <v>135.39650926614644</v>
      </c>
      <c r="BI71" s="1318">
        <f>IF(ISBLANK(Récap1!BI71),"",Récap1!BI71)</f>
        <v>18.519020566978799</v>
      </c>
      <c r="BJ71" s="1312" t="e">
        <f>IF(ISBLANK(Récap1!#REF!),"",Récap1!#REF!)</f>
        <v>#REF!</v>
      </c>
      <c r="BK71" s="1312" t="e">
        <f>IF(ISBLANK(Récap1!#REF!),"",Récap1!#REF!)</f>
        <v>#REF!</v>
      </c>
      <c r="BL71" s="1318">
        <f>IF(ISBLANK('HCT2'!H71),"",'HCT2'!H71)</f>
        <v>2.7540971441360114</v>
      </c>
      <c r="BM71" s="1318">
        <f>IF(ISBLANK('HCT2'!I71),"",'HCT2'!I71)</f>
        <v>96.479850827950756</v>
      </c>
      <c r="BN71" s="1318">
        <f>IF(ISBLANK('HCT2'!J71),"",'HCT2'!J71)</f>
        <v>36.624763636363639</v>
      </c>
      <c r="BO71" s="1319">
        <f>IF(ISBLANK('HCT2'!K71),"",'HCT2'!K71)</f>
        <v>53.382512969427161</v>
      </c>
      <c r="BP71" s="1318">
        <f>IF(ISBLANK('HCT2'!L71),"",'HCT2'!L71)</f>
        <v>126.41723353193048</v>
      </c>
      <c r="BQ71" s="1321">
        <f>IF(ISBLANK('HCT2'!M71),"",'HCT2'!M71)</f>
        <v>16.698267286696961</v>
      </c>
      <c r="BR71" s="1318">
        <f>IF(ISBLANK('HCT2'!N71),"",'HCT2'!N71)</f>
        <v>29.698808976519743</v>
      </c>
      <c r="BS71" s="1318">
        <f>IF(ISBLANK('HCT2'!O71),"",'HCT2'!O71)</f>
        <v>2.819997736159785</v>
      </c>
      <c r="BT71" s="1146">
        <f>IF(ISBLANK('HCT2'!P71),"",'HCT2'!P71)</f>
        <v>1.9382367380710291E-2</v>
      </c>
      <c r="BU71" s="1318">
        <f>IF(ISBLANK('HCT2'!Q71),"",'HCT2'!Q71)</f>
        <v>240.48292360960974</v>
      </c>
      <c r="BV71" s="1318">
        <f>IF(ISBLANK('HCT2'!R71),"",'HCT2'!R71)</f>
        <v>185.91261576289023</v>
      </c>
      <c r="BW71" s="1318">
        <f>IF(ISBLANK('HCT2'!S71),"",'HCT2'!S71)</f>
        <v>50.169286274420081</v>
      </c>
      <c r="BX71" s="1321">
        <f>IF(ISBLANK('HCT2'!T71),"",'HCT2'!T71)</f>
        <v>11.480144132900193</v>
      </c>
      <c r="BY71" s="1318">
        <f>IF(ISBLANK('HCT2'!U71),"",'HCT2'!U71)</f>
        <v>37.510427923034158</v>
      </c>
      <c r="BZ71" s="1318">
        <f>IF(ISBLANK('HCT2'!V71),"",'HCT2'!V71)</f>
        <v>23.943908848887659</v>
      </c>
      <c r="CA71" s="1318">
        <f>IF(ISBLANK('HCT2'!W71),"",'HCT2'!W71)</f>
        <v>2.5190847633111981</v>
      </c>
      <c r="CB71" s="1312" t="str">
        <f>IF(ISBLANK('HCT2'!X71),"",'HCT2'!X71)</f>
        <v/>
      </c>
      <c r="CC71" s="1313">
        <f>IF(ISBLANK('HCT2'!Y71),"",'HCT2'!Y71)</f>
        <v>240.43354295350215</v>
      </c>
      <c r="CD71" s="1314">
        <f>IF(ISBLANK('HCT2'!Z71),"",'HCT2'!Z71)</f>
        <v>707.56688535383535</v>
      </c>
      <c r="CE71" s="1312" t="str">
        <f>IF(ISBLANK('HCT2'!AA71),"",'HCT2'!AA71)</f>
        <v/>
      </c>
      <c r="CF71" s="1312" t="str">
        <f>IF(ISBLANK('HCT2'!AB71),"",'HCT2'!AB71)</f>
        <v/>
      </c>
      <c r="CG71" s="1315" t="str">
        <f>IF(ISBLANK('HCT2'!AC71),"",'HCT2'!AC71)</f>
        <v>PVL</v>
      </c>
      <c r="CH71" s="1312" t="str">
        <f>IF(ISBLANK('HCT2'!AD71),"",'HCT2'!AD71)</f>
        <v/>
      </c>
      <c r="CI71" s="1312" t="str">
        <f>IF(ISBLANK('HCT2'!AE71),"",'HCT2'!AE71)</f>
        <v/>
      </c>
      <c r="CJ71" s="1312" t="str">
        <f>IF(ISBLANK('HCT2'!AF71),"",'HCT2'!AF71)</f>
        <v/>
      </c>
      <c r="CK71" s="1316" t="str">
        <f>IF(ISBLANK('HCT2'!AG71),"",'HCT2'!AG71)</f>
        <v/>
      </c>
      <c r="CL71" s="1312" t="str">
        <f>IF(ISBLANK('HCT2'!AH71),"",'HCT2'!AH71)</f>
        <v>PVL</v>
      </c>
      <c r="CM71" s="1312" t="str">
        <f>IF(ISBLANK('HCT2'!AI71),"",'HCT2'!AI71)</f>
        <v>PVL</v>
      </c>
      <c r="CN71" s="1316" t="str">
        <f>IF(ISBLANK('HCT2'!AJ71),"",'HCT2'!AJ71)</f>
        <v>PVL</v>
      </c>
      <c r="CO71" s="1312" t="str">
        <f>IF(ISBLANK('HCT2'!AK71),"",'HCT2'!AK71)</f>
        <v/>
      </c>
      <c r="CP71" s="1312" t="str">
        <f>IF(ISBLANK('HCT2'!AL71),"",'HCT2'!AL71)</f>
        <v/>
      </c>
      <c r="CQ71" s="1312" t="str">
        <f>IF(ISBLANK('HCT2'!AM71),"",'HCT2'!AM71)</f>
        <v/>
      </c>
      <c r="CR71" s="1317" t="str">
        <f>IF(ISBLANK('HCT2'!AN71),"",'HCT2'!AN71)</f>
        <v/>
      </c>
      <c r="CS71" s="1318">
        <f>IF(ISBLANK('HCT2'!AO71),"",'HCT2'!AO71)</f>
        <v>707.56688535383535</v>
      </c>
      <c r="CT71" s="1174">
        <f>IF(ISBLANK('HCT2'!AP71),"",'HCT2'!AP71)</f>
        <v>0.14780910234752553</v>
      </c>
      <c r="CU71" s="1156">
        <f>IF(ISBLANK('HCT2'!AQ71),"",'HCT2'!AQ71)</f>
        <v>671.36560872124153</v>
      </c>
      <c r="CV71" s="1533">
        <f>IF(ISBLANK('HCT2'!AR71),"",'HCT2'!AR71)</f>
        <v>702.21600715093734</v>
      </c>
      <c r="CW71" s="1534" t="e">
        <f>IF(ISBLANK(Récap1!#REF!),"",Récap1!#REF!)</f>
        <v>#REF!</v>
      </c>
      <c r="CX71" s="1534" t="e">
        <f>IF(ISBLANK(Récap1!#REF!),"",Récap1!#REF!)</f>
        <v>#REF!</v>
      </c>
      <c r="CY71" s="1535" t="e">
        <f>IF(ISBLANK(Récap1!#REF!),"",Récap1!#REF!)</f>
        <v>#REF!</v>
      </c>
      <c r="CZ71" s="1535" t="e">
        <f>IF(ISBLANK(Récap1!#REF!),"",Récap1!#REF!)</f>
        <v>#REF!</v>
      </c>
      <c r="DA71" s="1535" t="e">
        <f>IF(ISBLANK(Récap1!#REF!),"",Récap1!#REF!)</f>
        <v>#REF!</v>
      </c>
      <c r="DB71" s="1535" t="e">
        <f>IF(ISBLANK(Récap1!#REF!),"",Récap1!#REF!)</f>
        <v>#REF!</v>
      </c>
      <c r="DC71" s="1534" t="str">
        <f>IF(ISBLANK('HCT2'!AS71),"",'HCT2'!AS71)</f>
        <v>PVL</v>
      </c>
      <c r="DD71" s="1535" t="str">
        <f>IF(ISBLANK('HCT2'!AT71),"",'HCT2'!AT71)</f>
        <v>PVL</v>
      </c>
      <c r="DE71" s="1535" t="str">
        <f>IF(ISBLANK('HCT2'!AU71),"",'HCT2'!AU71)</f>
        <v>PVL</v>
      </c>
      <c r="DF71" s="1535" t="str">
        <f>IF(ISBLANK('HCT2'!AV71),"",'HCT2'!AV71)</f>
        <v>PVL</v>
      </c>
      <c r="DG71" s="1535" t="str">
        <f>IF(ISBLANK('HCT2'!AW71),"",'HCT2'!AW71)</f>
        <v/>
      </c>
      <c r="DH71" s="1535" t="str">
        <f>IF(ISBLANK('HCT2'!AX71),"",'HCT2'!AX71)</f>
        <v/>
      </c>
      <c r="DI71" s="1535" t="str">
        <f>IF(ISBLANK('HCT2'!AY71),"",'HCT2'!AY71)</f>
        <v/>
      </c>
      <c r="DJ71" s="1536" t="str">
        <f>IF(ISBLANK('HCT2'!AZ71),"",'HCT2'!AZ71)</f>
        <v>PVL</v>
      </c>
      <c r="DK71" s="1535" t="str">
        <f>IF(ISBLANK('HCT2'!BA71),"",'HCT2'!BA71)</f>
        <v>PVL</v>
      </c>
      <c r="DL71" s="1535" t="str">
        <f>IF(ISBLANK('HCT2'!BB71),"",'HCT2'!BB71)</f>
        <v>PVL</v>
      </c>
      <c r="DM71" s="1537" t="str">
        <f>IF(ISBLANK('HCT2'!BC71),"",'HCT2'!BC71)</f>
        <v>PVL</v>
      </c>
      <c r="DN71" s="1535" t="str">
        <f>IF(ISBLANK('HCT2'!BD71),"",'HCT2'!BD71)</f>
        <v>PVL</v>
      </c>
      <c r="DO71" s="1475">
        <f>IF(ISBLANK('HCT2'!BE71),"",'HCT2'!BE71)</f>
        <v>0</v>
      </c>
      <c r="DP71" s="1537" t="str">
        <f>IF(ISBLANK('HCT2'!BF71),"",'HCT2'!BF71)</f>
        <v>PVL</v>
      </c>
      <c r="DQ71" s="790">
        <f t="shared" si="0"/>
        <v>124.6900220348904</v>
      </c>
      <c r="DS71" s="1005">
        <f t="shared" si="1"/>
        <v>243.23702075374575</v>
      </c>
      <c r="DT71" s="1005">
        <f t="shared" si="1"/>
        <v>282.39246659084097</v>
      </c>
      <c r="DU71" s="1005">
        <f t="shared" si="2"/>
        <v>176.58651980635057</v>
      </c>
      <c r="DV71" s="1007">
        <f t="shared" si="2"/>
        <v>28.178411419597154</v>
      </c>
      <c r="DW71" s="1005">
        <f t="shared" si="2"/>
        <v>67.2092368995539</v>
      </c>
      <c r="DX71" s="1005">
        <f t="shared" si="2"/>
        <v>26.763906585047444</v>
      </c>
      <c r="DY71" s="1005">
        <f t="shared" si="2"/>
        <v>2.5384671306919082</v>
      </c>
    </row>
    <row r="72" spans="1:131" s="1009" customFormat="1" hidden="1">
      <c r="A72" s="1000"/>
      <c r="B72" s="1000"/>
      <c r="C72" s="1001"/>
      <c r="D72" s="927"/>
      <c r="E72" s="1002" t="str">
        <f>IF(ISBLANK(Récap1!E72),"",Récap1!E72)</f>
        <v>Seuil dont détection olfactive air ambiant 2 mois</v>
      </c>
      <c r="F72" s="1003" t="str">
        <f>IF(ISBLANK(Récap1!F72),"",Récap1!F72)</f>
        <v>Cs</v>
      </c>
      <c r="G72" s="1003" t="str">
        <f>IF(ISBLANK(Récap1!G72),"",Récap1!G72)</f>
        <v>mg/kg ms</v>
      </c>
      <c r="H72" s="1004">
        <f>IF(ISBLANK(Récap1!H72),"",Récap1!H72)</f>
        <v>5690.3454864090718</v>
      </c>
      <c r="I72" s="1005">
        <f>IF(ISBLANK(Récap1!I72),"",Récap1!I72)</f>
        <v>5690.3454864090718</v>
      </c>
      <c r="J72" s="1318">
        <f>IF(ISBLANK(Récap1!J72),"",Récap1!J72)</f>
        <v>39274.636760143017</v>
      </c>
      <c r="K72" s="1320">
        <f>IF(ISBLANK(Récap1!K72),"",Récap1!K72)</f>
        <v>14.649905454545456</v>
      </c>
      <c r="L72" s="1318">
        <f>IF(ISBLANK(Récap1!L72),"",Récap1!L72)</f>
        <v>20.132323248857201</v>
      </c>
      <c r="M72" s="1318">
        <f>IF(ISBLANK(Récap1!M72),"",Récap1!M72)</f>
        <v>20.132323248857201</v>
      </c>
      <c r="N72" s="1318">
        <f>IF(ISBLANK(Récap1!N72),"",Récap1!N72)</f>
        <v>45.780954545454541</v>
      </c>
      <c r="O72" s="1318">
        <f>IF(ISBLANK(Récap1!O72),"",Récap1!O72)</f>
        <v>45.780954545454541</v>
      </c>
      <c r="P72" s="1318">
        <f>IF(ISBLANK(Récap1!P72),"",Récap1!P72)</f>
        <v>9.1561909090909115</v>
      </c>
      <c r="Q72" s="1318">
        <f>IF(ISBLANK(Récap1!Q72),"",Récap1!Q72)</f>
        <v>9.1561909090909115</v>
      </c>
      <c r="R72" s="1318">
        <f>IF(ISBLANK(Récap1!R72),"",Récap1!R72)</f>
        <v>91.561909090909097</v>
      </c>
      <c r="S72" s="1318">
        <f>IF(ISBLANK(Récap1!S72),"",Récap1!S72)</f>
        <v>3.9809525691699599</v>
      </c>
      <c r="T72" s="1318">
        <f>IF(ISBLANK(Récap1!T72),"",Récap1!T72)</f>
        <v>3.9809525691699599</v>
      </c>
      <c r="U72" s="1318">
        <f>IF(ISBLANK(Récap1!U72),"",Récap1!U72)</f>
        <v>2.1800454545454544</v>
      </c>
      <c r="V72" s="1441">
        <f>IF(ISBLANK(Récap1!V72),"",Récap1!V72)</f>
        <v>261.60545454545451</v>
      </c>
      <c r="W72" s="1318">
        <f>IF(ISBLANK(Récap1!W72),"",Récap1!W72)</f>
        <v>261.60545454545451</v>
      </c>
      <c r="X72" s="1318">
        <f>IF(ISBLANK(Récap1!X72),"",Récap1!X72)</f>
        <v>2.7540971441360114</v>
      </c>
      <c r="Y72" s="1318">
        <f>IF(ISBLANK(Récap1!Y72),"",Récap1!Y72)</f>
        <v>96.479850827950756</v>
      </c>
      <c r="Z72" s="1318">
        <f>IF(ISBLANK(Récap1!Z72),"",Récap1!Z72)</f>
        <v>36.624763636363639</v>
      </c>
      <c r="AA72" s="1319">
        <f>IF(ISBLANK(Récap1!AA72),"",Récap1!AA72)</f>
        <v>99.757028297340199</v>
      </c>
      <c r="AB72" s="1318" t="str">
        <f>IF(ISBLANK(Récap1!AB72),"",Récap1!AB72)</f>
        <v>PVL</v>
      </c>
      <c r="AC72" s="1321" t="str">
        <f>IF(ISBLANK(Récap1!AC72),"",Récap1!AC72)</f>
        <v>PVL</v>
      </c>
      <c r="AD72" s="1318" t="str">
        <f>IF(ISBLANK(Récap1!AD72),"",Récap1!AD72)</f>
        <v>PVL</v>
      </c>
      <c r="AE72" s="1318" t="str">
        <f>IF(ISBLANK(Récap1!AE72),"",Récap1!AE72)</f>
        <v>PVL</v>
      </c>
      <c r="AF72" s="1146" t="str">
        <f>IF(ISBLANK(Récap1!AF72),"",Récap1!AF72)</f>
        <v>PVL</v>
      </c>
      <c r="AG72" s="1318" t="str">
        <f>IF(ISBLANK(Récap1!AG72),"",Récap1!AG72)</f>
        <v>PVL</v>
      </c>
      <c r="AH72" s="1318" t="str">
        <f>IF(ISBLANK(Récap1!AH72),"",Récap1!AH72)</f>
        <v>PVL</v>
      </c>
      <c r="AI72" s="1318" t="str">
        <f>IF(ISBLANK(Récap1!AI72),"",Récap1!AI72)</f>
        <v>PVL</v>
      </c>
      <c r="AJ72" s="1321" t="str">
        <f>IF(ISBLANK(Récap1!AJ72),"",Récap1!AJ72)</f>
        <v>PVL</v>
      </c>
      <c r="AK72" s="1318" t="str">
        <f>IF(ISBLANK(Récap1!AK72),"",Récap1!AK72)</f>
        <v>PVL</v>
      </c>
      <c r="AL72" s="1318" t="str">
        <f>IF(ISBLANK(Récap1!AL72),"",Récap1!AL72)</f>
        <v>PVL</v>
      </c>
      <c r="AM72" s="1318" t="str">
        <f>IF(ISBLANK(Récap1!AM72),"",Récap1!AM72)</f>
        <v>PVL</v>
      </c>
      <c r="AN72" s="1320">
        <f>IF(ISBLANK(Récap1!AN72),"",Récap1!AN72)</f>
        <v>13.451078987238073</v>
      </c>
      <c r="AO72" s="1318" t="str">
        <f>IF(ISBLANK(Récap1!AO72),"",Récap1!AO72)</f>
        <v>PVL</v>
      </c>
      <c r="AP72" s="1318" t="str">
        <f>IF(ISBLANK(Récap1!AP72),"",Récap1!AP72)</f>
        <v>PVL</v>
      </c>
      <c r="AQ72" s="1318" t="str">
        <f>IF(ISBLANK(Récap1!AQ72),"",Récap1!AQ72)</f>
        <v>PVL</v>
      </c>
      <c r="AR72" s="1318" t="str">
        <f>IF(ISBLANK(Récap1!AR72),"",Récap1!AR72)</f>
        <v>PVL</v>
      </c>
      <c r="AS72" s="1318" t="str">
        <f>IF(ISBLANK(Récap1!AS72),"",Récap1!AS72)</f>
        <v>PVL</v>
      </c>
      <c r="AT72" s="1318" t="str">
        <f>IF(ISBLANK(Récap1!AT72),"",Récap1!AT72)</f>
        <v>PVL</v>
      </c>
      <c r="AU72" s="1318" t="str">
        <f>IF(ISBLANK(Récap1!AU72),"",Récap1!AU72)</f>
        <v>PVL</v>
      </c>
      <c r="AV72" s="1318" t="str">
        <f>IF(ISBLANK(Récap1!AV72),"",Récap1!AV72)</f>
        <v>PVL</v>
      </c>
      <c r="AW72" s="1318" t="str">
        <f>IF(ISBLANK(Récap1!AW72),"",Récap1!AW72)</f>
        <v>PVL</v>
      </c>
      <c r="AX72" s="1318" t="str">
        <f>IF(ISBLANK(Récap1!AX72),"",Récap1!AX72)</f>
        <v>PVL</v>
      </c>
      <c r="AY72" s="1318" t="str">
        <f>IF(ISBLANK(Récap1!AY72),"",Récap1!AY72)</f>
        <v>PVL</v>
      </c>
      <c r="AZ72" s="1318" t="str">
        <f>IF(ISBLANK(Récap1!AZ72),"",Récap1!AZ72)</f>
        <v>PVL</v>
      </c>
      <c r="BA72" s="1318" t="str">
        <f>IF(ISBLANK(Récap1!BA72),"",Récap1!BA72)</f>
        <v>PVL</v>
      </c>
      <c r="BB72" s="1318" t="str">
        <f>IF(ISBLANK(Récap1!BB72),"",Récap1!BB72)</f>
        <v>PVL</v>
      </c>
      <c r="BC72" s="1319" t="str">
        <f>IF(ISBLANK(Récap1!BC72),"",Récap1!BC72)</f>
        <v>PVL</v>
      </c>
      <c r="BD72" s="1471">
        <f>IF(ISBLANK(Récap1!BD72),"",Récap1!BD72)</f>
        <v>7508.9004268737363</v>
      </c>
      <c r="BE72" s="1318" t="str">
        <f>IF(ISBLANK(Récap1!BE72),"",Récap1!BE72)</f>
        <v>PVL</v>
      </c>
      <c r="BF72" s="1318" t="str">
        <f>IF(ISBLANK(Récap1!BF72),"",Récap1!BF72)</f>
        <v>PVL</v>
      </c>
      <c r="BG72" s="1318">
        <f>IF(ISBLANK(Récap1!BG72),"",Récap1!BG72)</f>
        <v>7.8481636363636371E-3</v>
      </c>
      <c r="BH72" s="1311">
        <f>IF(ISBLANK(Récap1!BH72),"",Récap1!BH72)</f>
        <v>135.39650926614644</v>
      </c>
      <c r="BI72" s="1318">
        <f>IF(ISBLANK(Récap1!BI72),"",Récap1!BI72)</f>
        <v>18.519020566978799</v>
      </c>
      <c r="BJ72" s="1312" t="e">
        <f>IF(ISBLANK(Récap1!#REF!),"",Récap1!#REF!)</f>
        <v>#REF!</v>
      </c>
      <c r="BK72" s="1312" t="e">
        <f>IF(ISBLANK(Récap1!#REF!),"",Récap1!#REF!)</f>
        <v>#REF!</v>
      </c>
      <c r="BL72" s="1318">
        <f>IF(ISBLANK('HCT2'!H72),"",'HCT2'!H72)</f>
        <v>2.7540971441360114</v>
      </c>
      <c r="BM72" s="1318">
        <f>IF(ISBLANK('HCT2'!I72),"",'HCT2'!I72)</f>
        <v>96.479850827950756</v>
      </c>
      <c r="BN72" s="1318">
        <f>IF(ISBLANK('HCT2'!J72),"",'HCT2'!J72)</f>
        <v>36.624763636363639</v>
      </c>
      <c r="BO72" s="1319">
        <f>IF(ISBLANK('HCT2'!K72),"",'HCT2'!K72)</f>
        <v>99.757028297340199</v>
      </c>
      <c r="BP72" s="1318">
        <f>IF(ISBLANK('HCT2'!L72),"",'HCT2'!L72)</f>
        <v>126.41723353193048</v>
      </c>
      <c r="BQ72" s="1321">
        <f>IF(ISBLANK('HCT2'!M72),"",'HCT2'!M72)</f>
        <v>16.698267286696961</v>
      </c>
      <c r="BR72" s="1318">
        <f>IF(ISBLANK('HCT2'!N72),"",'HCT2'!N72)</f>
        <v>29.698808976519743</v>
      </c>
      <c r="BS72" s="1318">
        <f>IF(ISBLANK('HCT2'!O72),"",'HCT2'!O72)</f>
        <v>2.819997736159785</v>
      </c>
      <c r="BT72" s="1146">
        <f>IF(ISBLANK('HCT2'!P72),"",'HCT2'!P72)</f>
        <v>1.9382367380710291E-2</v>
      </c>
      <c r="BU72" s="1318">
        <f>IF(ISBLANK('HCT2'!Q72),"",'HCT2'!Q72)</f>
        <v>240.48292360960974</v>
      </c>
      <c r="BV72" s="1318">
        <f>IF(ISBLANK('HCT2'!R72),"",'HCT2'!R72)</f>
        <v>185.91261576289023</v>
      </c>
      <c r="BW72" s="1318">
        <f>IF(ISBLANK('HCT2'!S72),"",'HCT2'!S72)</f>
        <v>50.169286274420081</v>
      </c>
      <c r="BX72" s="1321">
        <f>IF(ISBLANK('HCT2'!T72),"",'HCT2'!T72)</f>
        <v>11.480144132900193</v>
      </c>
      <c r="BY72" s="1318">
        <f>IF(ISBLANK('HCT2'!U72),"",'HCT2'!U72)</f>
        <v>37.510427923034158</v>
      </c>
      <c r="BZ72" s="1318">
        <f>IF(ISBLANK('HCT2'!V72),"",'HCT2'!V72)</f>
        <v>23.943908848887659</v>
      </c>
      <c r="CA72" s="1318">
        <f>IF(ISBLANK('HCT2'!W72),"",'HCT2'!W72)</f>
        <v>2.5190847633111981</v>
      </c>
      <c r="CB72" s="1312" t="str">
        <f>IF(ISBLANK('HCT2'!X72),"",'HCT2'!X72)</f>
        <v/>
      </c>
      <c r="CC72" s="1313">
        <f>IF(ISBLANK('HCT2'!Y72),"",'HCT2'!Y72)</f>
        <v>240.43354295350215</v>
      </c>
      <c r="CD72" s="1314">
        <f>IF(ISBLANK('HCT2'!Z72),"",'HCT2'!Z72)</f>
        <v>707.56688535383535</v>
      </c>
      <c r="CE72" s="1312" t="str">
        <f>IF(ISBLANK('HCT2'!AA72),"",'HCT2'!AA72)</f>
        <v/>
      </c>
      <c r="CF72" s="1312" t="str">
        <f>IF(ISBLANK('HCT2'!AB72),"",'HCT2'!AB72)</f>
        <v/>
      </c>
      <c r="CG72" s="1315" t="str">
        <f>IF(ISBLANK('HCT2'!AC72),"",'HCT2'!AC72)</f>
        <v>PVL</v>
      </c>
      <c r="CH72" s="1312" t="str">
        <f>IF(ISBLANK('HCT2'!AD72),"",'HCT2'!AD72)</f>
        <v/>
      </c>
      <c r="CI72" s="1312" t="str">
        <f>IF(ISBLANK('HCT2'!AE72),"",'HCT2'!AE72)</f>
        <v/>
      </c>
      <c r="CJ72" s="1312" t="str">
        <f>IF(ISBLANK('HCT2'!AF72),"",'HCT2'!AF72)</f>
        <v/>
      </c>
      <c r="CK72" s="1316" t="str">
        <f>IF(ISBLANK('HCT2'!AG72),"",'HCT2'!AG72)</f>
        <v/>
      </c>
      <c r="CL72" s="1312" t="str">
        <f>IF(ISBLANK('HCT2'!AH72),"",'HCT2'!AH72)</f>
        <v>PVL</v>
      </c>
      <c r="CM72" s="1312" t="str">
        <f>IF(ISBLANK('HCT2'!AI72),"",'HCT2'!AI72)</f>
        <v>PVL</v>
      </c>
      <c r="CN72" s="1316" t="str">
        <f>IF(ISBLANK('HCT2'!AJ72),"",'HCT2'!AJ72)</f>
        <v>PVL</v>
      </c>
      <c r="CO72" s="1312" t="str">
        <f>IF(ISBLANK('HCT2'!AK72),"",'HCT2'!AK72)</f>
        <v/>
      </c>
      <c r="CP72" s="1312" t="str">
        <f>IF(ISBLANK('HCT2'!AL72),"",'HCT2'!AL72)</f>
        <v/>
      </c>
      <c r="CQ72" s="1312" t="str">
        <f>IF(ISBLANK('HCT2'!AM72),"",'HCT2'!AM72)</f>
        <v/>
      </c>
      <c r="CR72" s="1317" t="str">
        <f>IF(ISBLANK('HCT2'!AN72),"",'HCT2'!AN72)</f>
        <v/>
      </c>
      <c r="CS72" s="1318">
        <f>IF(ISBLANK('HCT2'!AO72),"",'HCT2'!AO72)</f>
        <v>707.56688535383535</v>
      </c>
      <c r="CT72" s="1174">
        <f>IF(ISBLANK('HCT2'!AP72),"",'HCT2'!AP72)</f>
        <v>0.14780910234752553</v>
      </c>
      <c r="CU72" s="1156">
        <f>IF(ISBLANK('HCT2'!AQ72),"",'HCT2'!AQ72)</f>
        <v>671.36560872124153</v>
      </c>
      <c r="CV72" s="1533">
        <f>IF(ISBLANK('HCT2'!AR72),"",'HCT2'!AR72)</f>
        <v>702.21600715093734</v>
      </c>
      <c r="CW72" s="1534" t="e">
        <f>IF(ISBLANK(Récap1!#REF!),"",Récap1!#REF!)</f>
        <v>#REF!</v>
      </c>
      <c r="CX72" s="1534" t="e">
        <f>IF(ISBLANK(Récap1!#REF!),"",Récap1!#REF!)</f>
        <v>#REF!</v>
      </c>
      <c r="CY72" s="1535" t="e">
        <f>IF(ISBLANK(Récap1!#REF!),"",Récap1!#REF!)</f>
        <v>#REF!</v>
      </c>
      <c r="CZ72" s="1535" t="e">
        <f>IF(ISBLANK(Récap1!#REF!),"",Récap1!#REF!)</f>
        <v>#REF!</v>
      </c>
      <c r="DA72" s="1535" t="e">
        <f>IF(ISBLANK(Récap1!#REF!),"",Récap1!#REF!)</f>
        <v>#REF!</v>
      </c>
      <c r="DB72" s="1535" t="e">
        <f>IF(ISBLANK(Récap1!#REF!),"",Récap1!#REF!)</f>
        <v>#REF!</v>
      </c>
      <c r="DC72" s="1534" t="str">
        <f>IF(ISBLANK('HCT2'!AS72),"",'HCT2'!AS72)</f>
        <v>PVL</v>
      </c>
      <c r="DD72" s="1535" t="str">
        <f>IF(ISBLANK('HCT2'!AT72),"",'HCT2'!AT72)</f>
        <v>PVL</v>
      </c>
      <c r="DE72" s="1535" t="str">
        <f>IF(ISBLANK('HCT2'!AU72),"",'HCT2'!AU72)</f>
        <v>PVL</v>
      </c>
      <c r="DF72" s="1535" t="str">
        <f>IF(ISBLANK('HCT2'!AV72),"",'HCT2'!AV72)</f>
        <v>PVL</v>
      </c>
      <c r="DG72" s="1535" t="str">
        <f>IF(ISBLANK('HCT2'!AW72),"",'HCT2'!AW72)</f>
        <v/>
      </c>
      <c r="DH72" s="1535" t="str">
        <f>IF(ISBLANK('HCT2'!AX72),"",'HCT2'!AX72)</f>
        <v/>
      </c>
      <c r="DI72" s="1535" t="str">
        <f>IF(ISBLANK('HCT2'!AY72),"",'HCT2'!AY72)</f>
        <v/>
      </c>
      <c r="DJ72" s="1536" t="str">
        <f>IF(ISBLANK('HCT2'!AZ72),"",'HCT2'!AZ72)</f>
        <v>PVL</v>
      </c>
      <c r="DK72" s="1535" t="str">
        <f>IF(ISBLANK('HCT2'!BA72),"",'HCT2'!BA72)</f>
        <v>PVL</v>
      </c>
      <c r="DL72" s="1535" t="str">
        <f>IF(ISBLANK('HCT2'!BB72),"",'HCT2'!BB72)</f>
        <v>PVL</v>
      </c>
      <c r="DM72" s="1537" t="str">
        <f>IF(ISBLANK('HCT2'!BC72),"",'HCT2'!BC72)</f>
        <v>PVL</v>
      </c>
      <c r="DN72" s="1535" t="str">
        <f>IF(ISBLANK('HCT2'!BD72),"",'HCT2'!BD72)</f>
        <v>PVL</v>
      </c>
      <c r="DO72" s="1475">
        <f>IF(ISBLANK('HCT2'!BE72),"",'HCT2'!BE72)</f>
        <v>0</v>
      </c>
      <c r="DP72" s="1537" t="str">
        <f>IF(ISBLANK('HCT2'!BF72),"",'HCT2'!BF72)</f>
        <v>PVL</v>
      </c>
      <c r="DQ72" s="790">
        <f t="shared" si="0"/>
        <v>124.6900220348904</v>
      </c>
      <c r="DS72" s="1005">
        <f t="shared" si="1"/>
        <v>243.23702075374575</v>
      </c>
      <c r="DT72" s="1005">
        <f t="shared" si="1"/>
        <v>282.39246659084097</v>
      </c>
      <c r="DU72" s="1005">
        <f t="shared" ref="DU72:DY82" si="3">SUM(BW72:BW72)+SUM(BP72:BP72)</f>
        <v>176.58651980635057</v>
      </c>
      <c r="DV72" s="1007">
        <f t="shared" si="3"/>
        <v>28.178411419597154</v>
      </c>
      <c r="DW72" s="1005">
        <f t="shared" si="3"/>
        <v>67.2092368995539</v>
      </c>
      <c r="DX72" s="1005">
        <f t="shared" si="3"/>
        <v>26.763906585047444</v>
      </c>
      <c r="DY72" s="1005">
        <f t="shared" si="3"/>
        <v>2.5384671306919082</v>
      </c>
    </row>
    <row r="73" spans="1:131" s="26" customFormat="1" ht="13.5" hidden="1">
      <c r="A73" s="27"/>
      <c r="B73" s="27"/>
      <c r="C73" s="77"/>
      <c r="D73" s="792"/>
      <c r="E73" s="103" t="str">
        <f>IF(ISBLANK(Récap1!E73),"",Récap1!E73)</f>
        <v>Seuil dont détection olfactive air du sol</v>
      </c>
      <c r="F73" s="147" t="str">
        <f>IF(ISBLANK(Récap1!F73),"",Récap1!F73)</f>
        <v>Cs</v>
      </c>
      <c r="G73" s="147" t="str">
        <f>IF(ISBLANK(Récap1!G73),"",Récap1!G73)</f>
        <v>mg/kg ms</v>
      </c>
      <c r="H73" s="85">
        <f>IF(ISBLANK(Récap1!H73),"",Récap1!H73)</f>
        <v>5690.3454864090718</v>
      </c>
      <c r="I73" s="56">
        <f>IF(ISBLANK(Récap1!I73),"",Récap1!I73)</f>
        <v>5690.3454864090718</v>
      </c>
      <c r="J73" s="644">
        <f>IF(ISBLANK(Récap1!J73),"",Récap1!J73)</f>
        <v>39274.636760143017</v>
      </c>
      <c r="K73" s="643">
        <f>IF(ISBLANK(Récap1!K73),"",Récap1!K73)</f>
        <v>6.7474391639365076E-3</v>
      </c>
      <c r="L73" s="644">
        <f>IF(ISBLANK(Récap1!L73),"",Récap1!L73)</f>
        <v>9.5069987104584891E-2</v>
      </c>
      <c r="M73" s="644">
        <f>IF(ISBLANK(Récap1!M73),"",Récap1!M73)</f>
        <v>9.5069987104584891E-2</v>
      </c>
      <c r="N73" s="644">
        <f>IF(ISBLANK(Récap1!N73),"",Récap1!N73)</f>
        <v>0.10760591893278754</v>
      </c>
      <c r="O73" s="644">
        <f>IF(ISBLANK(Récap1!O73),"",Récap1!O73)</f>
        <v>0.10760591893278754</v>
      </c>
      <c r="P73" s="644">
        <f>IF(ISBLANK(Récap1!P73),"",Récap1!P73)</f>
        <v>0.1199562906395495</v>
      </c>
      <c r="Q73" s="644">
        <f>IF(ISBLANK(Récap1!Q73),"",Récap1!Q73)</f>
        <v>0.1199562906395495</v>
      </c>
      <c r="R73" s="644">
        <f>IF(ISBLANK(Récap1!R73),"",Récap1!R73)</f>
        <v>0.14151448202581743</v>
      </c>
      <c r="S73" s="644">
        <f>IF(ISBLANK(Récap1!S73),"",Récap1!S73)</f>
        <v>2.0354402069204962E-2</v>
      </c>
      <c r="T73" s="644">
        <f>IF(ISBLANK(Récap1!T73),"",Récap1!T73)</f>
        <v>2.0354402069204962E-2</v>
      </c>
      <c r="U73" s="644">
        <f>IF(ISBLANK(Récap1!U73),"",Récap1!U73)</f>
        <v>0.22282665960017883</v>
      </c>
      <c r="V73" s="681">
        <f>IF(ISBLANK(Récap1!V73),"",Récap1!V73)</f>
        <v>0.12300081894181439</v>
      </c>
      <c r="W73" s="644">
        <f>IF(ISBLANK(Récap1!W73),"",Récap1!W73)</f>
        <v>0.12300081894181439</v>
      </c>
      <c r="X73" s="644">
        <f>IF(ISBLANK(Récap1!X73),"",Récap1!X73)</f>
        <v>1.754223700777784E-2</v>
      </c>
      <c r="Y73" s="644">
        <f>IF(ISBLANK(Récap1!Y73),"",Récap1!Y73)</f>
        <v>1.5601159508858542E-2</v>
      </c>
      <c r="Z73" s="644">
        <f>IF(ISBLANK(Récap1!Z73),"",Récap1!Z73)</f>
        <v>2.7467644250260864E-2</v>
      </c>
      <c r="AA73" s="645">
        <f>IF(ISBLANK(Récap1!AA73),"",Récap1!AA73)</f>
        <v>1.2461201679065631E-3</v>
      </c>
      <c r="AB73" s="644">
        <f>IF(ISBLANK(Récap1!AB73),"",Récap1!AB73)</f>
        <v>6.315727857926912E-3</v>
      </c>
      <c r="AC73" s="1228">
        <f>IF(ISBLANK(Récap1!AC73),"",Récap1!AC73)</f>
        <v>8.5154918231512226E-3</v>
      </c>
      <c r="AD73" s="644">
        <f>IF(ISBLANK(Récap1!AD73),"",Récap1!AD73)</f>
        <v>4.3505584443829494E-2</v>
      </c>
      <c r="AE73" s="644">
        <f>IF(ISBLANK(Récap1!AE73),"",Récap1!AE73)</f>
        <v>0.34890349802377557</v>
      </c>
      <c r="AF73" s="1229" t="str">
        <f>IF(ISBLANK(Récap1!AF73),"",Récap1!AF73)</f>
        <v>PVL</v>
      </c>
      <c r="AG73" s="644">
        <f>IF(ISBLANK(Récap1!AG73),"",Récap1!AG73)</f>
        <v>6.29011484708197E-3</v>
      </c>
      <c r="AH73" s="644">
        <f>IF(ISBLANK(Récap1!AH73),"",Récap1!AH73)</f>
        <v>4.7819012449342634E-2</v>
      </c>
      <c r="AI73" s="644">
        <f>IF(ISBLANK(Récap1!AI73),"",Récap1!AI73)</f>
        <v>9.5103001942881699E-3</v>
      </c>
      <c r="AJ73" s="1228">
        <f>IF(ISBLANK(Récap1!AJ73),"",Récap1!AJ73)</f>
        <v>1.5332408405335814E-2</v>
      </c>
      <c r="AK73" s="644">
        <f>IF(ISBLANK(Récap1!AK73),"",Récap1!AK73)</f>
        <v>0.37132861944557133</v>
      </c>
      <c r="AL73" s="644" t="str">
        <f>IF(ISBLANK(Récap1!AL73),"",Récap1!AL73)</f>
        <v>PVL</v>
      </c>
      <c r="AM73" s="644" t="str">
        <f>IF(ISBLANK(Récap1!AM73),"",Récap1!AM73)</f>
        <v>PVL</v>
      </c>
      <c r="AN73" s="643">
        <f>IF(ISBLANK(Récap1!AN73),"",Récap1!AN73)</f>
        <v>0.10469744549099785</v>
      </c>
      <c r="AO73" s="644">
        <f>IF(ISBLANK(Récap1!AO73),"",Récap1!AO73)</f>
        <v>0.38334241569623678</v>
      </c>
      <c r="AP73" s="644">
        <f>IF(ISBLANK(Récap1!AP73),"",Récap1!AP73)</f>
        <v>0.22914151194741517</v>
      </c>
      <c r="AQ73" s="644">
        <f>IF(ISBLANK(Récap1!AQ73),"",Récap1!AQ73)</f>
        <v>0.56590208573839795</v>
      </c>
      <c r="AR73" s="644">
        <f>IF(ISBLANK(Récap1!AR73),"",Récap1!AR73)</f>
        <v>2.8264444973650038</v>
      </c>
      <c r="AS73" s="644" t="str">
        <f>IF(ISBLANK(Récap1!AS73),"",Récap1!AS73)</f>
        <v>PVL</v>
      </c>
      <c r="AT73" s="644" t="str">
        <f>IF(ISBLANK(Récap1!AT73),"",Récap1!AT73)</f>
        <v>PVL</v>
      </c>
      <c r="AU73" s="644" t="str">
        <f>IF(ISBLANK(Récap1!AU73),"",Récap1!AU73)</f>
        <v>PVL</v>
      </c>
      <c r="AV73" s="644" t="str">
        <f>IF(ISBLANK(Récap1!AV73),"",Récap1!AV73)</f>
        <v>PVL</v>
      </c>
      <c r="AW73" s="644" t="str">
        <f>IF(ISBLANK(Récap1!AW73),"",Récap1!AW73)</f>
        <v>PVL</v>
      </c>
      <c r="AX73" s="644" t="str">
        <f>IF(ISBLANK(Récap1!AX73),"",Récap1!AX73)</f>
        <v>PVL</v>
      </c>
      <c r="AY73" s="644" t="str">
        <f>IF(ISBLANK(Récap1!AY73),"",Récap1!AY73)</f>
        <v>PVL</v>
      </c>
      <c r="AZ73" s="644" t="str">
        <f>IF(ISBLANK(Récap1!AZ73),"",Récap1!AZ73)</f>
        <v>PVL</v>
      </c>
      <c r="BA73" s="644" t="str">
        <f>IF(ISBLANK(Récap1!BA73),"",Récap1!BA73)</f>
        <v>PVL</v>
      </c>
      <c r="BB73" s="644" t="str">
        <f>IF(ISBLANK(Récap1!BB73),"",Récap1!BB73)</f>
        <v>PVL</v>
      </c>
      <c r="BC73" s="645" t="str">
        <f>IF(ISBLANK(Récap1!BC73),"",Récap1!BC73)</f>
        <v>PVL</v>
      </c>
      <c r="BD73" s="682">
        <f>IF(ISBLANK(Récap1!BD73),"",Récap1!BD73)</f>
        <v>1.6724525926359499</v>
      </c>
      <c r="BE73" s="644" t="str">
        <f>IF(ISBLANK(Récap1!BE73),"",Récap1!BE73)</f>
        <v>nd</v>
      </c>
      <c r="BF73" s="644" t="str">
        <f>IF(ISBLANK(Récap1!BF73),"",Récap1!BF73)</f>
        <v>nd</v>
      </c>
      <c r="BG73" s="644">
        <f>IF(ISBLANK(Récap1!BG73),"",Récap1!BG73)</f>
        <v>7.8481636363636371E-3</v>
      </c>
      <c r="BH73" s="646">
        <f>IF(ISBLANK(Récap1!BH73),"",Récap1!BH73)</f>
        <v>135.39650926614644</v>
      </c>
      <c r="BI73" s="644" t="str">
        <f>IF(ISBLANK(Récap1!BI73),"",Récap1!BI73)</f>
        <v/>
      </c>
      <c r="BJ73" s="647" t="e">
        <f>IF(ISBLANK(Récap1!#REF!),"",Récap1!#REF!)</f>
        <v>#REF!</v>
      </c>
      <c r="BK73" s="647" t="e">
        <f>IF(ISBLANK(Récap1!#REF!),"",Récap1!#REF!)</f>
        <v>#REF!</v>
      </c>
      <c r="BL73" s="644">
        <f>IF(ISBLANK('HCT2'!H73),"",'HCT2'!H73)</f>
        <v>1.754223700777784E-2</v>
      </c>
      <c r="BM73" s="644">
        <f>IF(ISBLANK('HCT2'!I73),"",'HCT2'!I73)</f>
        <v>1.5601159508858542E-2</v>
      </c>
      <c r="BN73" s="644">
        <f>IF(ISBLANK('HCT2'!J73),"",'HCT2'!J73)</f>
        <v>2.7467644250260864E-2</v>
      </c>
      <c r="BO73" s="645">
        <f>IF(ISBLANK('HCT2'!K73),"",'HCT2'!K73)</f>
        <v>1.2461201679065631E-3</v>
      </c>
      <c r="BP73" s="644">
        <f>IF(ISBLANK('HCT2'!L73),"",'HCT2'!L73)</f>
        <v>6.315727857926912E-3</v>
      </c>
      <c r="BQ73" s="1228">
        <f>IF(ISBLANK('HCT2'!M73),"",'HCT2'!M73)</f>
        <v>8.5154918231512226E-3</v>
      </c>
      <c r="BR73" s="644">
        <f>IF(ISBLANK('HCT2'!N73),"",'HCT2'!N73)</f>
        <v>4.3505584443829494E-2</v>
      </c>
      <c r="BS73" s="644">
        <f>IF(ISBLANK('HCT2'!O73),"",'HCT2'!O73)</f>
        <v>0.34890349802377557</v>
      </c>
      <c r="BT73" s="1229">
        <f>IF(ISBLANK('HCT2'!P73),"",'HCT2'!P73)</f>
        <v>2.3980784425454474E-3</v>
      </c>
      <c r="BU73" s="644">
        <f>IF(ISBLANK('HCT2'!Q73),"",'HCT2'!Q73)</f>
        <v>6.29011484708197E-3</v>
      </c>
      <c r="BV73" s="644">
        <f>IF(ISBLANK('HCT2'!R73),"",'HCT2'!R73)</f>
        <v>4.7819012449342634E-2</v>
      </c>
      <c r="BW73" s="644">
        <f>IF(ISBLANK('HCT2'!S73),"",'HCT2'!S73)</f>
        <v>9.5103001942881699E-3</v>
      </c>
      <c r="BX73" s="1228">
        <f>IF(ISBLANK('HCT2'!T73),"",'HCT2'!T73)</f>
        <v>1.5332408405335814E-2</v>
      </c>
      <c r="BY73" s="644">
        <f>IF(ISBLANK('HCT2'!U73),"",'HCT2'!U73)</f>
        <v>0.37132861944557133</v>
      </c>
      <c r="BZ73" s="644">
        <f>IF(ISBLANK('HCT2'!V73),"",'HCT2'!V73)</f>
        <v>0.23702898391964997</v>
      </c>
      <c r="CA73" s="644">
        <f>IF(ISBLANK('HCT2'!W73),"",'HCT2'!W73)</f>
        <v>2.493728595541592E-2</v>
      </c>
      <c r="CB73" s="647" t="str">
        <f>IF(ISBLANK('HCT2'!X73),"",'HCT2'!X73)</f>
        <v/>
      </c>
      <c r="CC73" s="1230">
        <f>IF(ISBLANK('HCT2'!Y73),"",'HCT2'!Y73)</f>
        <v>1.531442783015273</v>
      </c>
      <c r="CD73" s="1231">
        <f>IF(ISBLANK('HCT2'!Z73),"",'HCT2'!Z73)</f>
        <v>0.11441626149771564</v>
      </c>
      <c r="CE73" s="647" t="str">
        <f>IF(ISBLANK('HCT2'!AA73),"",'HCT2'!AA73)</f>
        <v/>
      </c>
      <c r="CF73" s="647" t="str">
        <f>IF(ISBLANK('HCT2'!AB73),"",'HCT2'!AB73)</f>
        <v/>
      </c>
      <c r="CG73" s="1232">
        <f>IF(ISBLANK('HCT2'!AC73),"",'HCT2'!AC73)</f>
        <v>3.5349609893551938E-2</v>
      </c>
      <c r="CH73" s="647" t="str">
        <f>IF(ISBLANK('HCT2'!AD73),"",'HCT2'!AD73)</f>
        <v/>
      </c>
      <c r="CI73" s="647" t="str">
        <f>IF(ISBLANK('HCT2'!AE73),"",'HCT2'!AE73)</f>
        <v/>
      </c>
      <c r="CJ73" s="647" t="str">
        <f>IF(ISBLANK('HCT2'!AF73),"",'HCT2'!AF73)</f>
        <v/>
      </c>
      <c r="CK73" s="1233" t="str">
        <f>IF(ISBLANK('HCT2'!AG73),"",'HCT2'!AG73)</f>
        <v/>
      </c>
      <c r="CL73" s="647">
        <f>IF(ISBLANK('HCT2'!AH73),"",'HCT2'!AH73)</f>
        <v>1.8507247433887469E-2</v>
      </c>
      <c r="CM73" s="647">
        <f>IF(ISBLANK('HCT2'!AI73),"",'HCT2'!AI73)</f>
        <v>0.18199490960113443</v>
      </c>
      <c r="CN73" s="1233">
        <f>IF(ISBLANK('HCT2'!AJ73),"",'HCT2'!AJ73)</f>
        <v>0.1341293446042798</v>
      </c>
      <c r="CO73" s="647" t="str">
        <f>IF(ISBLANK('HCT2'!AK73),"",'HCT2'!AK73)</f>
        <v/>
      </c>
      <c r="CP73" s="647" t="str">
        <f>IF(ISBLANK('HCT2'!AL73),"",'HCT2'!AL73)</f>
        <v/>
      </c>
      <c r="CQ73" s="647" t="str">
        <f>IF(ISBLANK('HCT2'!AM73),"",'HCT2'!AM73)</f>
        <v/>
      </c>
      <c r="CR73" s="688" t="str">
        <f>IF(ISBLANK('HCT2'!AN73),"",'HCT2'!AN73)</f>
        <v/>
      </c>
      <c r="CS73" s="1234">
        <f>IF(ISBLANK('HCT2'!AO73),"",'HCT2'!AO73)</f>
        <v>1.8507247433887469E-2</v>
      </c>
      <c r="CT73" s="1174">
        <f>IF(ISBLANK('HCT2'!AP73),"",'HCT2'!AP73)</f>
        <v>1</v>
      </c>
      <c r="CU73" s="1147">
        <f>IF(ISBLANK('HCT2'!AQ73),"",'HCT2'!AQ73)</f>
        <v>0.10307855186527606</v>
      </c>
      <c r="CV73" s="686">
        <f>IF(ISBLANK('HCT2'!AR73),"",'HCT2'!AR73)</f>
        <v>0.10307855186527606</v>
      </c>
      <c r="CW73" s="1496" t="e">
        <f>IF(ISBLANK(Récap1!#REF!),"",Récap1!#REF!)</f>
        <v>#REF!</v>
      </c>
      <c r="CX73" s="1496" t="e">
        <f>IF(ISBLANK(Récap1!#REF!),"",Récap1!#REF!)</f>
        <v>#REF!</v>
      </c>
      <c r="CY73" s="1064" t="e">
        <f>IF(ISBLANK(Récap1!#REF!),"",Récap1!#REF!)</f>
        <v>#REF!</v>
      </c>
      <c r="CZ73" s="1064" t="e">
        <f>IF(ISBLANK(Récap1!#REF!),"",Récap1!#REF!)</f>
        <v>#REF!</v>
      </c>
      <c r="DA73" s="1064" t="e">
        <f>IF(ISBLANK(Récap1!#REF!),"",Récap1!#REF!)</f>
        <v>#REF!</v>
      </c>
      <c r="DB73" s="1064" t="e">
        <f>IF(ISBLANK(Récap1!#REF!),"",Récap1!#REF!)</f>
        <v>#REF!</v>
      </c>
      <c r="DC73" s="1496">
        <f>IF(ISBLANK('HCT2'!AS73),"",'HCT2'!AS73)</f>
        <v>0.22764985667296311</v>
      </c>
      <c r="DD73" s="1064">
        <f>IF(ISBLANK('HCT2'!AT73),"",'HCT2'!AT73)</f>
        <v>0.65393567054872792</v>
      </c>
      <c r="DE73" s="1064">
        <f>IF(ISBLANK('HCT2'!AU73),"",'HCT2'!AU73)</f>
        <v>55.231344746197017</v>
      </c>
      <c r="DF73" s="1064" t="str">
        <f>IF(ISBLANK('HCT2'!AV73),"",'HCT2'!AV73)</f>
        <v>PVL</v>
      </c>
      <c r="DG73" s="1064" t="str">
        <f>IF(ISBLANK('HCT2'!AW73),"",'HCT2'!AW73)</f>
        <v/>
      </c>
      <c r="DH73" s="1064" t="str">
        <f>IF(ISBLANK('HCT2'!AX73),"",'HCT2'!AX73)</f>
        <v/>
      </c>
      <c r="DI73" s="1064" t="str">
        <f>IF(ISBLANK('HCT2'!AY73),"",'HCT2'!AY73)</f>
        <v/>
      </c>
      <c r="DJ73" s="1497">
        <f>IF(ISBLANK('HCT2'!AZ73),"",'HCT2'!AZ73)</f>
        <v>0.11326533442831706</v>
      </c>
      <c r="DK73" s="1064">
        <f>IF(ISBLANK('HCT2'!BA73),"",'HCT2'!BA73)</f>
        <v>0.83953803720688558</v>
      </c>
      <c r="DL73" s="1064" t="str">
        <f>IF(ISBLANK('HCT2'!BB73),"",'HCT2'!BB73)</f>
        <v>PVL</v>
      </c>
      <c r="DM73" s="1498" t="str">
        <f>IF(ISBLANK('HCT2'!BC73),"",'HCT2'!BC73)</f>
        <v>PVL</v>
      </c>
      <c r="DN73" s="1499">
        <f>IF(ISBLANK('HCT2'!BD73),"",'HCT2'!BD73)</f>
        <v>0.11326533442831706</v>
      </c>
      <c r="DO73" s="1475">
        <f>IF(ISBLANK('HCT2'!BE73),"",'HCT2'!BE73)</f>
        <v>0.68792036811484414</v>
      </c>
      <c r="DP73" s="1500">
        <f>IF(ISBLANK('HCT2'!BF73),"",'HCT2'!BF73)</f>
        <v>1.1448790276408574</v>
      </c>
      <c r="DQ73" s="920">
        <f t="shared" si="0"/>
        <v>1.0519499504592749</v>
      </c>
      <c r="DS73" s="56">
        <f t="shared" si="1"/>
        <v>2.383235185485981E-2</v>
      </c>
      <c r="DT73" s="56">
        <f t="shared" si="1"/>
        <v>6.3420171958201182E-2</v>
      </c>
      <c r="DU73" s="56">
        <f t="shared" si="3"/>
        <v>1.5826028052215082E-2</v>
      </c>
      <c r="DV73" s="870">
        <f t="shared" si="3"/>
        <v>2.3847900228487037E-2</v>
      </c>
      <c r="DW73" s="56">
        <f t="shared" si="3"/>
        <v>0.41483420388940084</v>
      </c>
      <c r="DX73" s="56">
        <f t="shared" si="3"/>
        <v>0.58593248194342551</v>
      </c>
      <c r="DY73" s="56">
        <f t="shared" si="3"/>
        <v>2.7335364397961366E-2</v>
      </c>
    </row>
    <row r="74" spans="1:131" s="1031" customFormat="1" ht="13.5" hidden="1">
      <c r="A74" s="1020"/>
      <c r="B74" s="1020"/>
      <c r="C74" s="1021"/>
      <c r="D74" s="1022"/>
      <c r="E74" s="1023" t="str">
        <f>IF(ISBLANK(Récap1!E74),"",Récap1!E74)</f>
        <v>Zone industrielle, terres sous TV ou parking, exposition employé en extérieur (mi-temps) et en intérieur</v>
      </c>
      <c r="F74" s="1024" t="str">
        <f>IF(ISBLANK(Récap1!F74),"",Récap1!F74)</f>
        <v/>
      </c>
      <c r="G74" s="1024" t="str">
        <f>IF(ISBLANK(Récap1!G74),"",Récap1!G74)</f>
        <v/>
      </c>
      <c r="H74" s="1025" t="str">
        <f>IF(ISBLANK(Récap1!H74),"",Récap1!H74)</f>
        <v/>
      </c>
      <c r="I74" s="1026" t="str">
        <f>IF(ISBLANK(Récap1!I74),"",Récap1!I74)</f>
        <v/>
      </c>
      <c r="J74" s="1325" t="str">
        <f>IF(ISBLANK(Récap1!J74),"",Récap1!J74)</f>
        <v/>
      </c>
      <c r="K74" s="1324" t="str">
        <f>IF(ISBLANK(Récap1!K74),"",Récap1!K74)</f>
        <v/>
      </c>
      <c r="L74" s="1325" t="str">
        <f>IF(ISBLANK(Récap1!L74),"",Récap1!L74)</f>
        <v/>
      </c>
      <c r="M74" s="1325" t="str">
        <f>IF(ISBLANK(Récap1!M74),"",Récap1!M74)</f>
        <v/>
      </c>
      <c r="N74" s="1326" t="str">
        <f>IF(ISBLANK(Récap1!N74),"",Récap1!N74)</f>
        <v/>
      </c>
      <c r="O74" s="1326" t="str">
        <f>IF(ISBLANK(Récap1!O74),"",Récap1!O74)</f>
        <v/>
      </c>
      <c r="P74" s="1325" t="str">
        <f>IF(ISBLANK(Récap1!P74),"",Récap1!P74)</f>
        <v/>
      </c>
      <c r="Q74" s="1326" t="str">
        <f>IF(ISBLANK(Récap1!Q74),"",Récap1!Q74)</f>
        <v/>
      </c>
      <c r="R74" s="1325" t="str">
        <f>IF(ISBLANK(Récap1!R74),"",Récap1!R74)</f>
        <v/>
      </c>
      <c r="S74" s="1326" t="str">
        <f>IF(ISBLANK(Récap1!S74),"",Récap1!S74)</f>
        <v/>
      </c>
      <c r="T74" s="1326" t="str">
        <f>IF(ISBLANK(Récap1!T74),"",Récap1!T74)</f>
        <v/>
      </c>
      <c r="U74" s="1326" t="str">
        <f>IF(ISBLANK(Récap1!U74),"",Récap1!U74)</f>
        <v/>
      </c>
      <c r="V74" s="1442" t="str">
        <f>IF(ISBLANK(Récap1!V74),"",Récap1!V74)</f>
        <v/>
      </c>
      <c r="W74" s="1326" t="str">
        <f>IF(ISBLANK(Récap1!W74),"",Récap1!W74)</f>
        <v/>
      </c>
      <c r="X74" s="1326" t="str">
        <f>IF(ISBLANK(Récap1!X74),"",Récap1!X74)</f>
        <v/>
      </c>
      <c r="Y74" s="1326" t="str">
        <f>IF(ISBLANK(Récap1!Y74),"",Récap1!Y74)</f>
        <v/>
      </c>
      <c r="Z74" s="1326" t="str">
        <f>IF(ISBLANK(Récap1!Z74),"",Récap1!Z74)</f>
        <v/>
      </c>
      <c r="AA74" s="1327" t="str">
        <f>IF(ISBLANK(Récap1!AA74),"",Récap1!AA74)</f>
        <v/>
      </c>
      <c r="AB74" s="1326" t="str">
        <f>IF(ISBLANK(Récap1!AB74),"",Récap1!AB74)</f>
        <v/>
      </c>
      <c r="AC74" s="1328" t="str">
        <f>IF(ISBLANK(Récap1!AC74),"",Récap1!AC74)</f>
        <v/>
      </c>
      <c r="AD74" s="1326" t="str">
        <f>IF(ISBLANK(Récap1!AD74),"",Récap1!AD74)</f>
        <v/>
      </c>
      <c r="AE74" s="1326" t="str">
        <f>IF(ISBLANK(Récap1!AE74),"",Récap1!AE74)</f>
        <v/>
      </c>
      <c r="AF74" s="1329" t="str">
        <f>IF(ISBLANK(Récap1!AF74),"",Récap1!AF74)</f>
        <v/>
      </c>
      <c r="AG74" s="1326" t="str">
        <f>IF(ISBLANK(Récap1!AG74),"",Récap1!AG74)</f>
        <v/>
      </c>
      <c r="AH74" s="1326" t="str">
        <f>IF(ISBLANK(Récap1!AH74),"",Récap1!AH74)</f>
        <v/>
      </c>
      <c r="AI74" s="1326" t="str">
        <f>IF(ISBLANK(Récap1!AI74),"",Récap1!AI74)</f>
        <v/>
      </c>
      <c r="AJ74" s="1328" t="str">
        <f>IF(ISBLANK(Récap1!AJ74),"",Récap1!AJ74)</f>
        <v/>
      </c>
      <c r="AK74" s="1326" t="str">
        <f>IF(ISBLANK(Récap1!AK74),"",Récap1!AK74)</f>
        <v/>
      </c>
      <c r="AL74" s="1326" t="str">
        <f>IF(ISBLANK(Récap1!AL74),"",Récap1!AL74)</f>
        <v/>
      </c>
      <c r="AM74" s="1326" t="str">
        <f>IF(ISBLANK(Récap1!AM74),"",Récap1!AM74)</f>
        <v/>
      </c>
      <c r="AN74" s="1330" t="str">
        <f>IF(ISBLANK(Récap1!AN74),"",Récap1!AN74)</f>
        <v/>
      </c>
      <c r="AO74" s="1326" t="str">
        <f>IF(ISBLANK(Récap1!AO74),"",Récap1!AO74)</f>
        <v/>
      </c>
      <c r="AP74" s="1326" t="str">
        <f>IF(ISBLANK(Récap1!AP74),"",Récap1!AP74)</f>
        <v/>
      </c>
      <c r="AQ74" s="1326" t="str">
        <f>IF(ISBLANK(Récap1!AQ74),"",Récap1!AQ74)</f>
        <v/>
      </c>
      <c r="AR74" s="1326" t="str">
        <f>IF(ISBLANK(Récap1!AR74),"",Récap1!AR74)</f>
        <v/>
      </c>
      <c r="AS74" s="1326" t="str">
        <f>IF(ISBLANK(Récap1!AS74),"",Récap1!AS74)</f>
        <v/>
      </c>
      <c r="AT74" s="1326" t="str">
        <f>IF(ISBLANK(Récap1!AT74),"",Récap1!AT74)</f>
        <v/>
      </c>
      <c r="AU74" s="1326" t="str">
        <f>IF(ISBLANK(Récap1!AU74),"",Récap1!AU74)</f>
        <v/>
      </c>
      <c r="AV74" s="1326" t="str">
        <f>IF(ISBLANK(Récap1!AV74),"",Récap1!AV74)</f>
        <v/>
      </c>
      <c r="AW74" s="1326" t="str">
        <f>IF(ISBLANK(Récap1!AW74),"",Récap1!AW74)</f>
        <v/>
      </c>
      <c r="AX74" s="1326" t="str">
        <f>IF(ISBLANK(Récap1!AX74),"",Récap1!AX74)</f>
        <v/>
      </c>
      <c r="AY74" s="1326" t="str">
        <f>IF(ISBLANK(Récap1!AY74),"",Récap1!AY74)</f>
        <v/>
      </c>
      <c r="AZ74" s="1326" t="str">
        <f>IF(ISBLANK(Récap1!AZ74),"",Récap1!AZ74)</f>
        <v/>
      </c>
      <c r="BA74" s="1326" t="str">
        <f>IF(ISBLANK(Récap1!BA74),"",Récap1!BA74)</f>
        <v/>
      </c>
      <c r="BB74" s="1326" t="str">
        <f>IF(ISBLANK(Récap1!BB74),"",Récap1!BB74)</f>
        <v/>
      </c>
      <c r="BC74" s="1327" t="str">
        <f>IF(ISBLANK(Récap1!BC74),"",Récap1!BC74)</f>
        <v/>
      </c>
      <c r="BD74" s="1472" t="str">
        <f>IF(ISBLANK(Récap1!BD74),"",Récap1!BD74)</f>
        <v/>
      </c>
      <c r="BE74" s="1326" t="str">
        <f>IF(ISBLANK(Récap1!BE74),"",Récap1!BE74)</f>
        <v/>
      </c>
      <c r="BF74" s="1326" t="str">
        <f>IF(ISBLANK(Récap1!BF74),"",Récap1!BF74)</f>
        <v/>
      </c>
      <c r="BG74" s="1326" t="str">
        <f>IF(ISBLANK(Récap1!BG74),"",Récap1!BG74)</f>
        <v/>
      </c>
      <c r="BH74" s="1331" t="str">
        <f>IF(ISBLANK(Récap1!BH74),"",Récap1!BH74)</f>
        <v/>
      </c>
      <c r="BI74" s="1326" t="str">
        <f>IF(ISBLANK(Récap1!BI74),"",Récap1!BI74)</f>
        <v/>
      </c>
      <c r="BJ74" s="1332" t="e">
        <f>IF(ISBLANK(Récap1!#REF!),"",Récap1!#REF!)</f>
        <v>#REF!</v>
      </c>
      <c r="BK74" s="1332" t="e">
        <f>IF(ISBLANK(Récap1!#REF!),"",Récap1!#REF!)</f>
        <v>#REF!</v>
      </c>
      <c r="BL74" s="1326" t="str">
        <f>IF(ISBLANK('HCT2'!H74),"",'HCT2'!H74)</f>
        <v/>
      </c>
      <c r="BM74" s="1326" t="str">
        <f>IF(ISBLANK('HCT2'!I74),"",'HCT2'!I74)</f>
        <v/>
      </c>
      <c r="BN74" s="1326" t="str">
        <f>IF(ISBLANK('HCT2'!J74),"",'HCT2'!J74)</f>
        <v/>
      </c>
      <c r="BO74" s="1327" t="str">
        <f>IF(ISBLANK('HCT2'!K74),"",'HCT2'!K74)</f>
        <v/>
      </c>
      <c r="BP74" s="1326" t="str">
        <f>IF(ISBLANK('HCT2'!L74),"",'HCT2'!L74)</f>
        <v/>
      </c>
      <c r="BQ74" s="1328" t="str">
        <f>IF(ISBLANK('HCT2'!M74),"",'HCT2'!M74)</f>
        <v/>
      </c>
      <c r="BR74" s="1326" t="str">
        <f>IF(ISBLANK('HCT2'!N74),"",'HCT2'!N74)</f>
        <v/>
      </c>
      <c r="BS74" s="1326" t="str">
        <f>IF(ISBLANK('HCT2'!O74),"",'HCT2'!O74)</f>
        <v/>
      </c>
      <c r="BT74" s="1329" t="str">
        <f>IF(ISBLANK('HCT2'!P74),"",'HCT2'!P74)</f>
        <v/>
      </c>
      <c r="BU74" s="1326" t="str">
        <f>IF(ISBLANK('HCT2'!Q74),"",'HCT2'!Q74)</f>
        <v/>
      </c>
      <c r="BV74" s="1326" t="str">
        <f>IF(ISBLANK('HCT2'!R74),"",'HCT2'!R74)</f>
        <v/>
      </c>
      <c r="BW74" s="1326" t="str">
        <f>IF(ISBLANK('HCT2'!S74),"",'HCT2'!S74)</f>
        <v/>
      </c>
      <c r="BX74" s="1328" t="str">
        <f>IF(ISBLANK('HCT2'!T74),"",'HCT2'!T74)</f>
        <v/>
      </c>
      <c r="BY74" s="1326" t="str">
        <f>IF(ISBLANK('HCT2'!U74),"",'HCT2'!U74)</f>
        <v/>
      </c>
      <c r="BZ74" s="1326" t="str">
        <f>IF(ISBLANK('HCT2'!V74),"",'HCT2'!V74)</f>
        <v/>
      </c>
      <c r="CA74" s="1326" t="str">
        <f>IF(ISBLANK('HCT2'!W74),"",'HCT2'!W74)</f>
        <v/>
      </c>
      <c r="CB74" s="1332" t="str">
        <f>IF(ISBLANK('HCT2'!X74),"",'HCT2'!X74)</f>
        <v/>
      </c>
      <c r="CC74" s="1333" t="str">
        <f>IF(ISBLANK('HCT2'!Y74),"",'HCT2'!Y74)</f>
        <v/>
      </c>
      <c r="CD74" s="1334" t="str">
        <f>IF(ISBLANK('HCT2'!Z74),"",'HCT2'!Z74)</f>
        <v/>
      </c>
      <c r="CE74" s="1332" t="str">
        <f>IF(ISBLANK('HCT2'!AA74),"",'HCT2'!AA74)</f>
        <v/>
      </c>
      <c r="CF74" s="1332" t="str">
        <f>IF(ISBLANK('HCT2'!AB74),"",'HCT2'!AB74)</f>
        <v/>
      </c>
      <c r="CG74" s="1335" t="str">
        <f>IF(ISBLANK('HCT2'!AC74),"",'HCT2'!AC74)</f>
        <v/>
      </c>
      <c r="CH74" s="1332" t="str">
        <f>IF(ISBLANK('HCT2'!AD74),"",'HCT2'!AD74)</f>
        <v/>
      </c>
      <c r="CI74" s="1332" t="str">
        <f>IF(ISBLANK('HCT2'!AE74),"",'HCT2'!AE74)</f>
        <v/>
      </c>
      <c r="CJ74" s="1332" t="str">
        <f>IF(ISBLANK('HCT2'!AF74),"",'HCT2'!AF74)</f>
        <v/>
      </c>
      <c r="CK74" s="1336" t="str">
        <f>IF(ISBLANK('HCT2'!AG74),"",'HCT2'!AG74)</f>
        <v/>
      </c>
      <c r="CL74" s="1332" t="str">
        <f>IF(ISBLANK('HCT2'!AH74),"",'HCT2'!AH74)</f>
        <v/>
      </c>
      <c r="CM74" s="1332" t="str">
        <f>IF(ISBLANK('HCT2'!AI74),"",'HCT2'!AI74)</f>
        <v/>
      </c>
      <c r="CN74" s="1336" t="str">
        <f>IF(ISBLANK('HCT2'!AJ74),"",'HCT2'!AJ74)</f>
        <v/>
      </c>
      <c r="CO74" s="1332" t="str">
        <f>IF(ISBLANK('HCT2'!AK74),"",'HCT2'!AK74)</f>
        <v/>
      </c>
      <c r="CP74" s="1332" t="str">
        <f>IF(ISBLANK('HCT2'!AL74),"",'HCT2'!AL74)</f>
        <v/>
      </c>
      <c r="CQ74" s="1332" t="str">
        <f>IF(ISBLANK('HCT2'!AM74),"",'HCT2'!AM74)</f>
        <v/>
      </c>
      <c r="CR74" s="1337" t="str">
        <f>IF(ISBLANK('HCT2'!AN74),"",'HCT2'!AN74)</f>
        <v/>
      </c>
      <c r="CS74" s="1338" t="str">
        <f>IF(ISBLANK('HCT2'!AO74),"",'HCT2'!AO74)</f>
        <v/>
      </c>
      <c r="CT74" s="1339" t="str">
        <f>IF(ISBLANK('HCT2'!AP74),"",'HCT2'!AP74)</f>
        <v/>
      </c>
      <c r="CU74" s="1157" t="str">
        <f>IF(ISBLANK('HCT2'!AQ74),"",'HCT2'!AQ74)</f>
        <v/>
      </c>
      <c r="CV74" s="1538" t="str">
        <f>IF(ISBLANK('HCT2'!AR74),"",'HCT2'!AR74)</f>
        <v/>
      </c>
      <c r="CW74" s="1539" t="e">
        <f>IF(ISBLANK(Récap1!#REF!),"",Récap1!#REF!)</f>
        <v>#REF!</v>
      </c>
      <c r="CX74" s="1539" t="e">
        <f>IF(ISBLANK(Récap1!#REF!),"",Récap1!#REF!)</f>
        <v>#REF!</v>
      </c>
      <c r="CY74" s="1540" t="e">
        <f>IF(ISBLANK(Récap1!#REF!),"",Récap1!#REF!)</f>
        <v>#REF!</v>
      </c>
      <c r="CZ74" s="1540" t="e">
        <f>IF(ISBLANK(Récap1!#REF!),"",Récap1!#REF!)</f>
        <v>#REF!</v>
      </c>
      <c r="DA74" s="1540" t="e">
        <f>IF(ISBLANK(Récap1!#REF!),"",Récap1!#REF!)</f>
        <v>#REF!</v>
      </c>
      <c r="DB74" s="1540" t="e">
        <f>IF(ISBLANK(Récap1!#REF!),"",Récap1!#REF!)</f>
        <v>#REF!</v>
      </c>
      <c r="DC74" s="1539" t="str">
        <f>IF(ISBLANK('HCT2'!AS74),"",'HCT2'!AS74)</f>
        <v/>
      </c>
      <c r="DD74" s="1540" t="str">
        <f>IF(ISBLANK('HCT2'!AT74),"",'HCT2'!AT74)</f>
        <v/>
      </c>
      <c r="DE74" s="1540" t="str">
        <f>IF(ISBLANK('HCT2'!AU74),"",'HCT2'!AU74)</f>
        <v/>
      </c>
      <c r="DF74" s="1540" t="str">
        <f>IF(ISBLANK('HCT2'!AV74),"",'HCT2'!AV74)</f>
        <v/>
      </c>
      <c r="DG74" s="1540" t="str">
        <f>IF(ISBLANK('HCT2'!AW74),"",'HCT2'!AW74)</f>
        <v/>
      </c>
      <c r="DH74" s="1540" t="str">
        <f>IF(ISBLANK('HCT2'!AX74),"",'HCT2'!AX74)</f>
        <v/>
      </c>
      <c r="DI74" s="1540" t="str">
        <f>IF(ISBLANK('HCT2'!AY74),"",'HCT2'!AY74)</f>
        <v/>
      </c>
      <c r="DJ74" s="1541" t="str">
        <f>IF(ISBLANK('HCT2'!AZ74),"",'HCT2'!AZ74)</f>
        <v/>
      </c>
      <c r="DK74" s="1540" t="str">
        <f>IF(ISBLANK('HCT2'!BA74),"",'HCT2'!BA74)</f>
        <v/>
      </c>
      <c r="DL74" s="1540" t="str">
        <f>IF(ISBLANK('HCT2'!BB74),"",'HCT2'!BB74)</f>
        <v/>
      </c>
      <c r="DM74" s="1542" t="str">
        <f>IF(ISBLANK('HCT2'!BC74),"",'HCT2'!BC74)</f>
        <v/>
      </c>
      <c r="DN74" s="1543" t="str">
        <f>IF(ISBLANK('HCT2'!BD74),"",'HCT2'!BD74)</f>
        <v/>
      </c>
      <c r="DO74" s="1544" t="str">
        <f>IF(ISBLANK('HCT2'!BE74),"",'HCT2'!BE74)</f>
        <v/>
      </c>
      <c r="DP74" s="1545" t="str">
        <f>IF(ISBLANK('HCT2'!BF74),"",'HCT2'!BF74)</f>
        <v/>
      </c>
      <c r="DQ74" s="1033">
        <f t="shared" si="0"/>
        <v>0</v>
      </c>
      <c r="DS74" s="1027">
        <f t="shared" si="1"/>
        <v>0</v>
      </c>
      <c r="DT74" s="1027">
        <f t="shared" si="1"/>
        <v>0</v>
      </c>
      <c r="DU74" s="1027">
        <f t="shared" si="3"/>
        <v>0</v>
      </c>
      <c r="DV74" s="1029">
        <f t="shared" si="3"/>
        <v>0</v>
      </c>
      <c r="DW74" s="1027">
        <f t="shared" si="3"/>
        <v>0</v>
      </c>
      <c r="DX74" s="1027">
        <f t="shared" si="3"/>
        <v>0</v>
      </c>
      <c r="DY74" s="1027">
        <f t="shared" si="3"/>
        <v>0</v>
      </c>
    </row>
    <row r="75" spans="1:131" s="26" customFormat="1" hidden="1">
      <c r="A75" s="27"/>
      <c r="B75" s="27"/>
      <c r="C75" s="77"/>
      <c r="D75" s="1062"/>
      <c r="E75" s="1061" t="str">
        <f>IF(ISBLANK(Récap1!E75),"",Récap1!E75)</f>
        <v>Teneur limite avant contrôle de la saturation</v>
      </c>
      <c r="F75" s="14" t="str">
        <f>IF(ISBLANK(Récap1!F75),"",Récap1!F75)</f>
        <v>Cs</v>
      </c>
      <c r="G75" s="14" t="str">
        <f>IF(ISBLANK(Récap1!G75),"",Récap1!G75)</f>
        <v>mg/kg ms</v>
      </c>
      <c r="H75" s="85">
        <f>IF(ISBLANK(Récap1!H75),"",Récap1!H75)</f>
        <v>5181.2716774705141</v>
      </c>
      <c r="I75" s="56">
        <f>IF(ISBLANK(Récap1!I75),"",Récap1!I75)</f>
        <v>5181.2716774705141</v>
      </c>
      <c r="J75" s="644">
        <f>IF(ISBLANK(Récap1!J75),"",Récap1!J75)</f>
        <v>38758.586675549173</v>
      </c>
      <c r="K75" s="643">
        <f>IF(ISBLANK(Récap1!K75),"",Récap1!K75)</f>
        <v>14.649905454545456</v>
      </c>
      <c r="L75" s="644">
        <f>IF(ISBLANK(Récap1!L75),"",Récap1!L75)</f>
        <v>20.075395790853964</v>
      </c>
      <c r="M75" s="644">
        <f>IF(ISBLANK(Récap1!M75),"",Récap1!M75)</f>
        <v>20.075395790853964</v>
      </c>
      <c r="N75" s="644">
        <f>IF(ISBLANK(Récap1!N75),"",Récap1!N75)</f>
        <v>45.780954545454541</v>
      </c>
      <c r="O75" s="644">
        <f>IF(ISBLANK(Récap1!O75),"",Récap1!O75)</f>
        <v>45.780954545454541</v>
      </c>
      <c r="P75" s="644">
        <f>IF(ISBLANK(Récap1!P75),"",Récap1!P75)</f>
        <v>9.1561909090909115</v>
      </c>
      <c r="Q75" s="644">
        <f>IF(ISBLANK(Récap1!Q75),"",Récap1!Q75)</f>
        <v>9.1561909090909115</v>
      </c>
      <c r="R75" s="644">
        <f>IF(ISBLANK(Récap1!R75),"",Récap1!R75)</f>
        <v>91.561909090909097</v>
      </c>
      <c r="S75" s="644">
        <f>IF(ISBLANK(Récap1!S75),"",Récap1!S75)</f>
        <v>3.9809525691699599</v>
      </c>
      <c r="T75" s="644">
        <f>IF(ISBLANK(Récap1!T75),"",Récap1!T75)</f>
        <v>3.9809525691699599</v>
      </c>
      <c r="U75" s="644">
        <f>IF(ISBLANK(Récap1!U75),"",Récap1!U75)</f>
        <v>2.1800454545454544</v>
      </c>
      <c r="V75" s="681">
        <f>IF(ISBLANK(Récap1!V75),"",Récap1!V75)</f>
        <v>261.60545454545451</v>
      </c>
      <c r="W75" s="644">
        <f>IF(ISBLANK(Récap1!W75),"",Récap1!W75)</f>
        <v>261.60545454545451</v>
      </c>
      <c r="X75" s="644">
        <f>IF(ISBLANK(Récap1!X75),"",Récap1!X75)</f>
        <v>2.7474192261642125</v>
      </c>
      <c r="Y75" s="644">
        <f>IF(ISBLANK(Récap1!Y75),"",Récap1!Y75)</f>
        <v>96.184299750885145</v>
      </c>
      <c r="Z75" s="644">
        <f>IF(ISBLANK(Récap1!Z75),"",Récap1!Z75)</f>
        <v>36.624763636363639</v>
      </c>
      <c r="AA75" s="645">
        <f>IF(ISBLANK(Récap1!AA75),"",Récap1!AA75)</f>
        <v>183.12381818181819</v>
      </c>
      <c r="AB75" s="644">
        <f>IF(ISBLANK(Récap1!AB75),"",Récap1!AB75)</f>
        <v>189.39356905647836</v>
      </c>
      <c r="AC75" s="1228">
        <f>IF(ISBLANK(Récap1!AC75),"",Récap1!AC75)</f>
        <v>585.42995154170387</v>
      </c>
      <c r="AD75" s="644">
        <f>IF(ISBLANK(Récap1!AD75),"",Récap1!AD75)</f>
        <v>2450.4773085841125</v>
      </c>
      <c r="AE75" s="644" t="str">
        <f>IF(ISBLANK(Récap1!AE75),"",Récap1!AE75)</f>
        <v>PVL</v>
      </c>
      <c r="AF75" s="1229" t="str">
        <f>IF(ISBLANK(Récap1!AF75),"",Récap1!AF75)</f>
        <v>PVL</v>
      </c>
      <c r="AG75" s="644">
        <f>IF(ISBLANK(Récap1!AG75),"",Récap1!AG75)</f>
        <v>4813.5403636363644</v>
      </c>
      <c r="AH75" s="644">
        <f>IF(ISBLANK(Récap1!AH75),"",Récap1!AH75)</f>
        <v>4813.5403636363626</v>
      </c>
      <c r="AI75" s="644">
        <f>IF(ISBLANK(Récap1!AI75),"",Récap1!AI75)</f>
        <v>327.80995834790781</v>
      </c>
      <c r="AJ75" s="1228">
        <f>IF(ISBLANK(Récap1!AJ75),"",Récap1!AJ75)</f>
        <v>828.57382025808442</v>
      </c>
      <c r="AK75" s="644">
        <f>IF(ISBLANK(Récap1!AK75),"",Récap1!AK75)</f>
        <v>2474.7552819598091</v>
      </c>
      <c r="AL75" s="644" t="str">
        <f>IF(ISBLANK(Récap1!AL75),"",Récap1!AL75)</f>
        <v>PVL</v>
      </c>
      <c r="AM75" s="644" t="str">
        <f>IF(ISBLANK(Récap1!AM75),"",Récap1!AM75)</f>
        <v>PVL</v>
      </c>
      <c r="AN75" s="643">
        <f>IF(ISBLANK(Récap1!AN75),"",Récap1!AN75)</f>
        <v>13.289972817113433</v>
      </c>
      <c r="AO75" s="644">
        <f>IF(ISBLANK(Récap1!AO75),"",Récap1!AO75)</f>
        <v>1124.9987022831629</v>
      </c>
      <c r="AP75" s="644">
        <f>IF(ISBLANK(Récap1!AP75),"",Récap1!AP75)</f>
        <v>784.9206740959155</v>
      </c>
      <c r="AQ75" s="644">
        <f>IF(ISBLANK(Récap1!AQ75),"",Récap1!AQ75)</f>
        <v>1625.2750283692815</v>
      </c>
      <c r="AR75" s="644">
        <f>IF(ISBLANK(Récap1!AR75),"",Récap1!AR75)</f>
        <v>6830.7691514365852</v>
      </c>
      <c r="AS75" s="644">
        <f>IF(ISBLANK(Récap1!AS75),"",Récap1!AS75)</f>
        <v>543.057259452332</v>
      </c>
      <c r="AT75" s="644">
        <f>IF(ISBLANK(Récap1!AT75),"",Récap1!AT75)</f>
        <v>70936.903297465164</v>
      </c>
      <c r="AU75" s="644">
        <f>IF(ISBLANK(Récap1!AU75),"",Récap1!AU75)</f>
        <v>72732.974639001215</v>
      </c>
      <c r="AV75" s="644">
        <f>IF(ISBLANK(Récap1!AV75),"",Récap1!AV75)</f>
        <v>4775.0381794301657</v>
      </c>
      <c r="AW75" s="644">
        <f>IF(ISBLANK(Récap1!AW75),"",Récap1!AW75)</f>
        <v>47020.650273406041</v>
      </c>
      <c r="AX75" s="644">
        <f>IF(ISBLANK(Récap1!AX75),"",Récap1!AX75)</f>
        <v>21220.812158845496</v>
      </c>
      <c r="AY75" s="644">
        <f>IF(ISBLANK(Récap1!AY75),"",Récap1!AY75)</f>
        <v>30919.36633821217</v>
      </c>
      <c r="AZ75" s="644">
        <f>IF(ISBLANK(Récap1!AZ75),"",Récap1!AZ75)</f>
        <v>3454.06022474274</v>
      </c>
      <c r="BA75" s="644">
        <f>IF(ISBLANK(Récap1!BA75),"",Récap1!BA75)</f>
        <v>14933.732755951718</v>
      </c>
      <c r="BB75" s="644">
        <f>IF(ISBLANK(Récap1!BB75),"",Récap1!BB75)</f>
        <v>597638.63771294197</v>
      </c>
      <c r="BC75" s="645">
        <f>IF(ISBLANK(Récap1!BC75),"",Récap1!BC75)</f>
        <v>251824.98572621812</v>
      </c>
      <c r="BD75" s="682">
        <f>IF(ISBLANK(Récap1!BD75),"",Récap1!BD75)</f>
        <v>1462.1351057555348</v>
      </c>
      <c r="BE75" s="644">
        <f>IF(ISBLANK(Récap1!BE75),"",Récap1!BE75)</f>
        <v>3147.1311227535593</v>
      </c>
      <c r="BF75" s="644">
        <f>IF(ISBLANK(Récap1!BF75),"",Récap1!BF75)</f>
        <v>6294.2622455071187</v>
      </c>
      <c r="BG75" s="644">
        <f>IF(ISBLANK(Récap1!BG75),"",Récap1!BG75)</f>
        <v>7.8481636363636371E-3</v>
      </c>
      <c r="BH75" s="646">
        <f>IF(ISBLANK(Récap1!BH75),"",Récap1!BH75)</f>
        <v>32.570190666935673</v>
      </c>
      <c r="BI75" s="644">
        <f>IF(ISBLANK(Récap1!BI75),"",Récap1!BI75)</f>
        <v>15.176458616958138</v>
      </c>
      <c r="BJ75" s="647" t="e">
        <f>IF(ISBLANK(Récap1!#REF!),"",Récap1!#REF!)</f>
        <v>#REF!</v>
      </c>
      <c r="BK75" s="647" t="e">
        <f>IF(ISBLANK(Récap1!#REF!),"",Récap1!#REF!)</f>
        <v>#REF!</v>
      </c>
      <c r="BL75" s="644">
        <f>IF(ISBLANK('HCT2'!H75),"",'HCT2'!H75)</f>
        <v>2.7474192261642125</v>
      </c>
      <c r="BM75" s="644">
        <f>IF(ISBLANK('HCT2'!I75),"",'HCT2'!I75)</f>
        <v>96.184299750885145</v>
      </c>
      <c r="BN75" s="644">
        <f>IF(ISBLANK('HCT2'!J75),"",'HCT2'!J75)</f>
        <v>36.624763636363639</v>
      </c>
      <c r="BO75" s="645">
        <f>IF(ISBLANK('HCT2'!K75),"",'HCT2'!K75)</f>
        <v>183.12381818181819</v>
      </c>
      <c r="BP75" s="644">
        <f>IF(ISBLANK('HCT2'!L75),"",'HCT2'!L75)</f>
        <v>189.39356905647836</v>
      </c>
      <c r="BQ75" s="1228">
        <f>IF(ISBLANK('HCT2'!M75),"",'HCT2'!M75)</f>
        <v>585.42995154170387</v>
      </c>
      <c r="BR75" s="644">
        <f>IF(ISBLANK('HCT2'!N75),"",'HCT2'!N75)</f>
        <v>2450.4773085841125</v>
      </c>
      <c r="BS75" s="644">
        <f>IF(ISBLANK('HCT2'!O75),"",'HCT2'!O75)</f>
        <v>232.68072696725056</v>
      </c>
      <c r="BT75" s="1229">
        <f>IF(ISBLANK('HCT2'!P75),"",'HCT2'!P75)</f>
        <v>1.5992577847354901</v>
      </c>
      <c r="BU75" s="644">
        <f>IF(ISBLANK('HCT2'!Q75),"",'HCT2'!Q75)</f>
        <v>4813.5403636363644</v>
      </c>
      <c r="BV75" s="644">
        <f>IF(ISBLANK('HCT2'!R75),"",'HCT2'!R75)</f>
        <v>4813.5403636363626</v>
      </c>
      <c r="BW75" s="644">
        <f>IF(ISBLANK('HCT2'!S75),"",'HCT2'!S75)</f>
        <v>327.80995834790781</v>
      </c>
      <c r="BX75" s="1228">
        <f>IF(ISBLANK('HCT2'!T75),"",'HCT2'!T75)</f>
        <v>828.57382025808442</v>
      </c>
      <c r="BY75" s="644">
        <f>IF(ISBLANK('HCT2'!U75),"",'HCT2'!U75)</f>
        <v>2474.7552819598091</v>
      </c>
      <c r="BZ75" s="644">
        <f>IF(ISBLANK('HCT2'!V75),"",'HCT2'!V75)</f>
        <v>1579.7024501061965</v>
      </c>
      <c r="CA75" s="644">
        <f>IF(ISBLANK('HCT2'!W75),"",'HCT2'!W75)</f>
        <v>166.19693959504676</v>
      </c>
      <c r="CB75" s="647" t="str">
        <f>IF(ISBLANK('HCT2'!X75),"",'HCT2'!X75)</f>
        <v/>
      </c>
      <c r="CC75" s="1230">
        <f>IF(ISBLANK('HCT2'!Y75),"",'HCT2'!Y75)</f>
        <v>239.85055862379866</v>
      </c>
      <c r="CD75" s="1231">
        <f>IF(ISBLANK('HCT2'!Z75),"",'HCT2'!Z75)</f>
        <v>705.39936381158907</v>
      </c>
      <c r="CE75" s="647" t="str">
        <f>IF(ISBLANK('HCT2'!AA75),"",'HCT2'!AA75)</f>
        <v/>
      </c>
      <c r="CF75" s="647" t="str">
        <f>IF(ISBLANK('HCT2'!AB75),"",'HCT2'!AB75)</f>
        <v/>
      </c>
      <c r="CG75" s="1232">
        <f>IF(ISBLANK('HCT2'!AC75),"",'HCT2'!AC75)</f>
        <v>1060.0502322295401</v>
      </c>
      <c r="CH75" s="647" t="str">
        <f>IF(ISBLANK('HCT2'!AD75),"",'HCT2'!AD75)</f>
        <v/>
      </c>
      <c r="CI75" s="647" t="str">
        <f>IF(ISBLANK('HCT2'!AE75),"",'HCT2'!AE75)</f>
        <v/>
      </c>
      <c r="CJ75" s="647" t="str">
        <f>IF(ISBLANK('HCT2'!AF75),"",'HCT2'!AF75)</f>
        <v/>
      </c>
      <c r="CK75" s="1233" t="str">
        <f>IF(ISBLANK('HCT2'!AG75),"",'HCT2'!AG75)</f>
        <v/>
      </c>
      <c r="CL75" s="647">
        <f>IF(ISBLANK('HCT2'!AH75),"",'HCT2'!AH75)</f>
        <v>14162.75929908501</v>
      </c>
      <c r="CM75" s="647">
        <f>IF(ISBLANK('HCT2'!AI75),"",'HCT2'!AI75)</f>
        <v>18319.906632732112</v>
      </c>
      <c r="CN75" s="1233">
        <f>IF(ISBLANK('HCT2'!AJ75),"",'HCT2'!AJ75)</f>
        <v>4623.2962124969117</v>
      </c>
      <c r="CO75" s="647" t="str">
        <f>IF(ISBLANK('HCT2'!AK75),"",'HCT2'!AK75)</f>
        <v/>
      </c>
      <c r="CP75" s="647" t="str">
        <f>IF(ISBLANK('HCT2'!AL75),"",'HCT2'!AL75)</f>
        <v/>
      </c>
      <c r="CQ75" s="647" t="str">
        <f>IF(ISBLANK('HCT2'!AM75),"",'HCT2'!AM75)</f>
        <v/>
      </c>
      <c r="CR75" s="688" t="str">
        <f>IF(ISBLANK('HCT2'!AN75),"",'HCT2'!AN75)</f>
        <v/>
      </c>
      <c r="CS75" s="1234">
        <f>IF(ISBLANK('HCT2'!AO75),"",'HCT2'!AO75)</f>
        <v>1060.0502322295401</v>
      </c>
      <c r="CT75" s="1174">
        <f>IF(ISBLANK('HCT2'!AP75),"",'HCT2'!AP75)</f>
        <v>1</v>
      </c>
      <c r="CU75" s="1147">
        <f>IF(ISBLANK('HCT2'!AQ75),"",'HCT2'!AQ75)</f>
        <v>10243.215973654162</v>
      </c>
      <c r="CV75" s="1137">
        <f>IF(ISBLANK('HCT2'!AR75),"",'HCT2'!AR75)</f>
        <v>10243.215973654162</v>
      </c>
      <c r="CW75" s="1496" t="e">
        <f>IF(ISBLANK(Récap1!#REF!),"",Récap1!#REF!)</f>
        <v>#REF!</v>
      </c>
      <c r="CX75" s="1496" t="e">
        <f>IF(ISBLANK(Récap1!#REF!),"",Récap1!#REF!)</f>
        <v>#REF!</v>
      </c>
      <c r="CY75" s="1064" t="e">
        <f>IF(ISBLANK(Récap1!#REF!),"",Récap1!#REF!)</f>
        <v>#REF!</v>
      </c>
      <c r="CZ75" s="1064" t="e">
        <f>IF(ISBLANK(Récap1!#REF!),"",Récap1!#REF!)</f>
        <v>#REF!</v>
      </c>
      <c r="DA75" s="1064" t="e">
        <f>IF(ISBLANK(Récap1!#REF!),"",Récap1!#REF!)</f>
        <v>#REF!</v>
      </c>
      <c r="DB75" s="1064" t="e">
        <f>IF(ISBLANK(Récap1!#REF!),"",Récap1!#REF!)</f>
        <v>#REF!</v>
      </c>
      <c r="DC75" s="1496">
        <f>IF(ISBLANK('HCT2'!AS75),"",'HCT2'!AS75)</f>
        <v>15650.65733469402</v>
      </c>
      <c r="DD75" s="1064">
        <f>IF(ISBLANK('HCT2'!AT75),"",'HCT2'!AT75)</f>
        <v>36833.306400522888</v>
      </c>
      <c r="DE75" s="1064" t="str">
        <f>IF(ISBLANK('HCT2'!AU75),"",'HCT2'!AU75)</f>
        <v>PVL</v>
      </c>
      <c r="DF75" s="1064" t="str">
        <f>IF(ISBLANK('HCT2'!AV75),"",'HCT2'!AV75)</f>
        <v>PVL</v>
      </c>
      <c r="DG75" s="1064" t="str">
        <f>IF(ISBLANK('HCT2'!AW75),"",'HCT2'!AW75)</f>
        <v/>
      </c>
      <c r="DH75" s="1064" t="str">
        <f>IF(ISBLANK('HCT2'!AX75),"",'HCT2'!AX75)</f>
        <v/>
      </c>
      <c r="DI75" s="1064" t="str">
        <f>IF(ISBLANK('HCT2'!AY75),"",'HCT2'!AY75)</f>
        <v/>
      </c>
      <c r="DJ75" s="1497">
        <f>IF(ISBLANK('HCT2'!AZ75),"",'HCT2'!AZ75)</f>
        <v>6120.9360179461446</v>
      </c>
      <c r="DK75" s="1064">
        <f>IF(ISBLANK('HCT2'!BA75),"",'HCT2'!BA75)</f>
        <v>5595.1819579272942</v>
      </c>
      <c r="DL75" s="1064" t="str">
        <f>IF(ISBLANK('HCT2'!BB75),"",'HCT2'!BB75)</f>
        <v>PVL</v>
      </c>
      <c r="DM75" s="1498" t="str">
        <f>IF(ISBLANK('HCT2'!BC75),"",'HCT2'!BC75)</f>
        <v>PVL</v>
      </c>
      <c r="DN75" s="1499">
        <f>IF(ISBLANK('HCT2'!BD75),"",'HCT2'!BD75)</f>
        <v>5595.1819579272942</v>
      </c>
      <c r="DO75" s="1475">
        <f>IF(ISBLANK('HCT2'!BE75),"",'HCT2'!BE75)</f>
        <v>0.68160323968664671</v>
      </c>
      <c r="DP75" s="1500">
        <f>IF(ISBLANK('HCT2'!BF75),"",'HCT2'!BF75)</f>
        <v>9300.4786263311271</v>
      </c>
      <c r="DQ75" s="1063">
        <f>SUM(BQ75:BT75,BX75:CA75)</f>
        <v>8319.4157367969401</v>
      </c>
      <c r="DS75" s="56">
        <f>SUM(BU75:BU75)+SUM(BL75:BL75)</f>
        <v>4816.2877828625287</v>
      </c>
      <c r="DT75" s="56">
        <f>SUM(BV75:BV75)+SUM(BM75:BM75)</f>
        <v>4909.7246633872473</v>
      </c>
      <c r="DU75" s="56">
        <f>SUM(BW75:BW75)+SUM(BP75:BP75)</f>
        <v>517.20352740438614</v>
      </c>
      <c r="DV75" s="870">
        <f>SUM(BX75:BX75)+SUM(BQ75:BQ75)</f>
        <v>1414.0037717997884</v>
      </c>
      <c r="DW75" s="56">
        <f>SUM(BY75:BY75)+SUM(BR75:BR75)</f>
        <v>4925.2325905439211</v>
      </c>
      <c r="DX75" s="56">
        <f>SUM(BZ75:BZ75)+SUM(BS75:BS75)</f>
        <v>1812.3831770734471</v>
      </c>
      <c r="DY75" s="56">
        <f>SUM(CA75:CA75)+SUM(BT75:BT75)</f>
        <v>167.79619737978226</v>
      </c>
    </row>
    <row r="76" spans="1:131" s="653" customFormat="1" ht="38.25">
      <c r="A76" s="1446"/>
      <c r="C76" s="1447"/>
      <c r="D76" s="1448"/>
      <c r="E76" s="1449" t="s">
        <v>668</v>
      </c>
      <c r="F76" s="1450" t="str">
        <f>IF(ISBLANK(Récap1!F76),"",Récap1!F76)</f>
        <v>Cs</v>
      </c>
      <c r="G76" s="1451" t="str">
        <f>IF(ISBLANK(Récap1!G76),"",Récap1!G76)</f>
        <v>mg/kg ms</v>
      </c>
      <c r="H76" s="649">
        <f>IF(ISBLANK(Récap1!H76),"",Récap1!H76)</f>
        <v>5181.2716774705141</v>
      </c>
      <c r="I76" s="650">
        <f>IF(ISBLANK(Récap1!I76),"",Récap1!I76)</f>
        <v>5181.2716774705141</v>
      </c>
      <c r="J76" s="674">
        <f>IF(ISBLANK(Récap1!J76),"",Récap1!J76)</f>
        <v>38758.586675549173</v>
      </c>
      <c r="K76" s="679">
        <f>IF(ISBLANK(Récap1!K76),"",Récap1!K76)</f>
        <v>14.649905454545456</v>
      </c>
      <c r="L76" s="675">
        <f>IF(ISBLANK(Récap1!L76),"",Récap1!L76)</f>
        <v>20.075395790853964</v>
      </c>
      <c r="M76" s="674">
        <f>IF(ISBLANK(Récap1!M76),"",Récap1!M76)</f>
        <v>20.075395790853964</v>
      </c>
      <c r="N76" s="675">
        <f>IF(ISBLANK(Récap1!N76),"",Récap1!N76)</f>
        <v>45.780954545454541</v>
      </c>
      <c r="O76" s="674">
        <f>IF(ISBLANK(Récap1!O76),"",Récap1!O76)</f>
        <v>45.780954545454541</v>
      </c>
      <c r="P76" s="675">
        <f>IF(ISBLANK(Récap1!P76),"",Récap1!P76)</f>
        <v>9.1561909090909115</v>
      </c>
      <c r="Q76" s="674">
        <f>IF(ISBLANK(Récap1!Q76),"",Récap1!Q76)</f>
        <v>9.1561909090909115</v>
      </c>
      <c r="R76" s="674">
        <f>IF(ISBLANK(Récap1!R76),"",Récap1!R76)</f>
        <v>91.561909090909097</v>
      </c>
      <c r="S76" s="674">
        <f>IF(ISBLANK(Récap1!S76),"",Récap1!S76)</f>
        <v>3.9809525691699599</v>
      </c>
      <c r="T76" s="674">
        <f>IF(ISBLANK(Récap1!T76),"",Récap1!T76)</f>
        <v>3.9809525691699599</v>
      </c>
      <c r="U76" s="674">
        <f>IF(ISBLANK(Récap1!U76),"",Récap1!U76)</f>
        <v>2.1800454545454544</v>
      </c>
      <c r="V76" s="674">
        <f>IF(ISBLANK(Récap1!V76),"",Récap1!V76)</f>
        <v>261.60545454545451</v>
      </c>
      <c r="W76" s="674">
        <f>IF(ISBLANK(Récap1!W76),"",Récap1!W76)</f>
        <v>261.60545454545451</v>
      </c>
      <c r="X76" s="674">
        <f>IF(ISBLANK(Récap1!X76),"",Récap1!X76)</f>
        <v>2.7474192261642125</v>
      </c>
      <c r="Y76" s="675">
        <f>IF(ISBLANK(Récap1!Y76),"",Récap1!Y76)</f>
        <v>96.184299750885145</v>
      </c>
      <c r="Z76" s="675">
        <f>IF(ISBLANK(Récap1!Z76),"",Récap1!Z76)</f>
        <v>36.624763636363639</v>
      </c>
      <c r="AA76" s="676" t="str">
        <f>IF(ISBLANK(Récap1!AA76),"",Récap1!AA76)</f>
        <v>PVL</v>
      </c>
      <c r="AB76" s="674" t="str">
        <f>IF(ISBLANK(Récap1!AB76),"",Récap1!AB76)</f>
        <v>PVL</v>
      </c>
      <c r="AC76" s="1452" t="str">
        <f>IF(ISBLANK(Récap1!AC76),"",Récap1!AC76)</f>
        <v>PVL</v>
      </c>
      <c r="AD76" s="674" t="str">
        <f>IF(ISBLANK(Récap1!AD76),"",Récap1!AD76)</f>
        <v>PVL</v>
      </c>
      <c r="AE76" s="674" t="str">
        <f>IF(ISBLANK(Récap1!AE76),"",Récap1!AE76)</f>
        <v>PVL</v>
      </c>
      <c r="AF76" s="1453" t="str">
        <f>IF(ISBLANK(Récap1!AF76),"",Récap1!AF76)</f>
        <v>PVL</v>
      </c>
      <c r="AG76" s="674" t="str">
        <f>IF(ISBLANK(Récap1!AG76),"",Récap1!AG76)</f>
        <v>PVL</v>
      </c>
      <c r="AH76" s="674" t="str">
        <f>IF(ISBLANK(Récap1!AH76),"",Récap1!AH76)</f>
        <v>PVL</v>
      </c>
      <c r="AI76" s="674" t="str">
        <f>IF(ISBLANK(Récap1!AI76),"",Récap1!AI76)</f>
        <v>PVL</v>
      </c>
      <c r="AJ76" s="1452" t="str">
        <f>IF(ISBLANK(Récap1!AJ76),"",Récap1!AJ76)</f>
        <v>PVL</v>
      </c>
      <c r="AK76" s="674" t="str">
        <f>IF(ISBLANK(Récap1!AK76),"",Récap1!AK76)</f>
        <v>PVL</v>
      </c>
      <c r="AL76" s="674" t="str">
        <f>IF(ISBLANK(Récap1!AL76),"",Récap1!AL76)</f>
        <v>PVL</v>
      </c>
      <c r="AM76" s="674" t="str">
        <f>IF(ISBLANK(Récap1!AM76),"",Récap1!AM76)</f>
        <v>PVL</v>
      </c>
      <c r="AN76" s="679">
        <f>IF(ISBLANK(Récap1!AN76),"",Récap1!AN76)</f>
        <v>13.289972817113433</v>
      </c>
      <c r="AO76" s="674" t="str">
        <f>IF(ISBLANK(Récap1!AO76),"",Récap1!AO76)</f>
        <v>PVL</v>
      </c>
      <c r="AP76" s="674" t="str">
        <f>IF(ISBLANK(Récap1!AP76),"",Récap1!AP76)</f>
        <v>PVL</v>
      </c>
      <c r="AQ76" s="674" t="str">
        <f>IF(ISBLANK(Récap1!AQ76),"",Récap1!AQ76)</f>
        <v>PVL</v>
      </c>
      <c r="AR76" s="674" t="str">
        <f>IF(ISBLANK(Récap1!AR76),"",Récap1!AR76)</f>
        <v>PVL</v>
      </c>
      <c r="AS76" s="674" t="str">
        <f>IF(ISBLANK(Récap1!AS76),"",Récap1!AS76)</f>
        <v>PVL</v>
      </c>
      <c r="AT76" s="674" t="str">
        <f>IF(ISBLANK(Récap1!AT76),"",Récap1!AT76)</f>
        <v>PVL</v>
      </c>
      <c r="AU76" s="674" t="str">
        <f>IF(ISBLANK(Récap1!AU76),"",Récap1!AU76)</f>
        <v>PVL</v>
      </c>
      <c r="AV76" s="674" t="str">
        <f>IF(ISBLANK(Récap1!AV76),"",Récap1!AV76)</f>
        <v>PVL</v>
      </c>
      <c r="AW76" s="674" t="str">
        <f>IF(ISBLANK(Récap1!AW76),"",Récap1!AW76)</f>
        <v>PVL</v>
      </c>
      <c r="AX76" s="674" t="str">
        <f>IF(ISBLANK(Récap1!AX76),"",Récap1!AX76)</f>
        <v>PVL</v>
      </c>
      <c r="AY76" s="674" t="str">
        <f>IF(ISBLANK(Récap1!AY76),"",Récap1!AY76)</f>
        <v>PVL</v>
      </c>
      <c r="AZ76" s="674" t="str">
        <f>IF(ISBLANK(Récap1!AZ76),"",Récap1!AZ76)</f>
        <v>PVL</v>
      </c>
      <c r="BA76" s="674" t="str">
        <f>IF(ISBLANK(Récap1!BA76),"",Récap1!BA76)</f>
        <v>PVL</v>
      </c>
      <c r="BB76" s="674" t="str">
        <f>IF(ISBLANK(Récap1!BB76),"",Récap1!BB76)</f>
        <v>PVL</v>
      </c>
      <c r="BC76" s="676" t="str">
        <f>IF(ISBLANK(Récap1!BC76),"",Récap1!BC76)</f>
        <v>PVL</v>
      </c>
      <c r="BD76" s="679">
        <f>IF(ISBLANK(Récap1!BD76),"",Récap1!BD76)</f>
        <v>1462.1351057555348</v>
      </c>
      <c r="BE76" s="674" t="str">
        <f>IF(ISBLANK(Récap1!BE76),"",Récap1!BE76)</f>
        <v>PVL</v>
      </c>
      <c r="BF76" s="674" t="str">
        <f>IF(ISBLANK(Récap1!BF76),"",Récap1!BF76)</f>
        <v>PVL</v>
      </c>
      <c r="BG76" s="674">
        <f>IF(ISBLANK(Récap1!BG76),"",Récap1!BG76)</f>
        <v>7.8481636363636371E-3</v>
      </c>
      <c r="BH76" s="672">
        <f>IF(ISBLANK(Récap1!BH76),"",Récap1!BH76)</f>
        <v>32.570190666935673</v>
      </c>
      <c r="BI76" s="674">
        <f>IF(ISBLANK(Récap1!BI76),"",Récap1!BI76)</f>
        <v>15.176458616958138</v>
      </c>
      <c r="BJ76" s="1454" t="e">
        <f>IF(ISBLANK(Récap1!#REF!),"",Récap1!#REF!)</f>
        <v>#REF!</v>
      </c>
      <c r="BK76" s="1454" t="e">
        <f>IF(ISBLANK(Récap1!#REF!),"",Récap1!#REF!)</f>
        <v>#REF!</v>
      </c>
      <c r="BL76" s="674">
        <f>IF(ISBLANK('HCT2'!H76),"",'HCT2'!H76)</f>
        <v>2.7474192261642125</v>
      </c>
      <c r="BM76" s="674">
        <f>IF(ISBLANK('HCT2'!I76),"",'HCT2'!I76)</f>
        <v>96.184299750885145</v>
      </c>
      <c r="BN76" s="674">
        <f>IF(ISBLANK('HCT2'!J76),"",'HCT2'!J76)</f>
        <v>36.624763636363639</v>
      </c>
      <c r="BO76" s="676" t="str">
        <f>IF(ISBLANK('HCT2'!K76),"",'HCT2'!K76)</f>
        <v>PVL</v>
      </c>
      <c r="BP76" s="674">
        <f>IF(ISBLANK('HCT2'!L76),"",'HCT2'!L76)</f>
        <v>126.0299739206294</v>
      </c>
      <c r="BQ76" s="1452">
        <f>IF(ISBLANK('HCT2'!M76),"",'HCT2'!M76)</f>
        <v>16.647114731636385</v>
      </c>
      <c r="BR76" s="674">
        <f>IF(ISBLANK('HCT2'!N76),"",'HCT2'!N76)</f>
        <v>29.607831275940278</v>
      </c>
      <c r="BS76" s="674">
        <f>IF(ISBLANK('HCT2'!O76),"",'HCT2'!O76)</f>
        <v>2.8113591099482775</v>
      </c>
      <c r="BT76" s="1453">
        <f>IF(ISBLANK('HCT2'!P76),"",'HCT2'!P76)</f>
        <v>1.9322992500812663E-2</v>
      </c>
      <c r="BU76" s="674">
        <f>IF(ISBLANK('HCT2'!Q76),"",'HCT2'!Q76)</f>
        <v>239.74624142696982</v>
      </c>
      <c r="BV76" s="674">
        <f>IF(ISBLANK('HCT2'!R76),"",'HCT2'!R76)</f>
        <v>185.34310126470973</v>
      </c>
      <c r="BW76" s="674">
        <f>IF(ISBLANK('HCT2'!S76),"",'HCT2'!S76)</f>
        <v>50.015600437773628</v>
      </c>
      <c r="BX76" s="1452">
        <f>IF(ISBLANK('HCT2'!T76),"",'HCT2'!T76)</f>
        <v>11.444976489768178</v>
      </c>
      <c r="BY76" s="674">
        <f>IF(ISBLANK('HCT2'!U76),"",'HCT2'!U76)</f>
        <v>37.395520537930352</v>
      </c>
      <c r="BZ76" s="674">
        <f>IF(ISBLANK('HCT2'!V76),"",'HCT2'!V76)</f>
        <v>23.870560393342576</v>
      </c>
      <c r="CA76" s="674">
        <f>IF(ISBLANK('HCT2'!W76),"",'HCT2'!W76)</f>
        <v>2.5113679373767974</v>
      </c>
      <c r="CB76" s="1454" t="str">
        <f>IF(ISBLANK('HCT2'!X76),"",'HCT2'!X76)</f>
        <v/>
      </c>
      <c r="CC76" s="1455">
        <f>IF(ISBLANK('HCT2'!Y76),"",'HCT2'!Y76)</f>
        <v>239.85055862379866</v>
      </c>
      <c r="CD76" s="1456">
        <f>IF(ISBLANK('HCT2'!Z76),"",'HCT2'!Z76)</f>
        <v>705.39936381158907</v>
      </c>
      <c r="CE76" s="1454" t="str">
        <f>IF(ISBLANK('HCT2'!AA76),"",'HCT2'!AA76)</f>
        <v/>
      </c>
      <c r="CF76" s="1454" t="str">
        <f>IF(ISBLANK('HCT2'!AB76),"",'HCT2'!AB76)</f>
        <v/>
      </c>
      <c r="CG76" s="1457" t="str">
        <f>IF(ISBLANK('HCT2'!AC76),"",'HCT2'!AC76)</f>
        <v>PVL</v>
      </c>
      <c r="CH76" s="1454" t="str">
        <f>IF(ISBLANK('HCT2'!AD76),"",'HCT2'!AD76)</f>
        <v/>
      </c>
      <c r="CI76" s="1454" t="str">
        <f>IF(ISBLANK('HCT2'!AE76),"",'HCT2'!AE76)</f>
        <v/>
      </c>
      <c r="CJ76" s="1454" t="str">
        <f>IF(ISBLANK('HCT2'!AF76),"",'HCT2'!AF76)</f>
        <v/>
      </c>
      <c r="CK76" s="1458" t="str">
        <f>IF(ISBLANK('HCT2'!AG76),"",'HCT2'!AG76)</f>
        <v/>
      </c>
      <c r="CL76" s="1454" t="str">
        <f>IF(ISBLANK('HCT2'!AH76),"",'HCT2'!AH76)</f>
        <v>PVL</v>
      </c>
      <c r="CM76" s="1454" t="str">
        <f>IF(ISBLANK('HCT2'!AI76),"",'HCT2'!AI76)</f>
        <v>PVL</v>
      </c>
      <c r="CN76" s="1458" t="str">
        <f>IF(ISBLANK('HCT2'!AJ76),"",'HCT2'!AJ76)</f>
        <v>PVL</v>
      </c>
      <c r="CO76" s="1454" t="str">
        <f>IF(ISBLANK('HCT2'!AK76),"",'HCT2'!AK76)</f>
        <v/>
      </c>
      <c r="CP76" s="1454" t="str">
        <f>IF(ISBLANK('HCT2'!AL76),"",'HCT2'!AL76)</f>
        <v/>
      </c>
      <c r="CQ76" s="1454" t="str">
        <f>IF(ISBLANK('HCT2'!AM76),"",'HCT2'!AM76)</f>
        <v/>
      </c>
      <c r="CR76" s="1459" t="str">
        <f>IF(ISBLANK('HCT2'!AN76),"",'HCT2'!AN76)</f>
        <v/>
      </c>
      <c r="CS76" s="685">
        <f>IF(ISBLANK('HCT2'!AO76),"",'HCT2'!AO76)</f>
        <v>705.39936381158907</v>
      </c>
      <c r="CT76" s="1460">
        <f>IF(ISBLANK('HCT2'!AP76),"",'HCT2'!AP76)</f>
        <v>0.14780910234752553</v>
      </c>
      <c r="CU76" s="1148">
        <f>MAX('HCT2'!AQ76,'HCT2'!AQ75)</f>
        <v>10243.215973654162</v>
      </c>
      <c r="CV76" s="686">
        <f>IF(ISBLANK('HCT2'!AR76),"",'HCT2'!AR76)</f>
        <v>700.06663602713195</v>
      </c>
      <c r="CW76" s="1473" t="e">
        <f>IF(ISBLANK(Récap1!#REF!),"",Récap1!#REF!)</f>
        <v>#REF!</v>
      </c>
      <c r="CX76" s="1473" t="e">
        <f>IF(ISBLANK(Récap1!#REF!),"",Récap1!#REF!)</f>
        <v>#REF!</v>
      </c>
      <c r="CY76" s="1461" t="e">
        <f>IF(ISBLANK(Récap1!#REF!),"",Récap1!#REF!)</f>
        <v>#REF!</v>
      </c>
      <c r="CZ76" s="1461" t="e">
        <f>IF(ISBLANK(Récap1!#REF!),"",Récap1!#REF!)</f>
        <v>#REF!</v>
      </c>
      <c r="DA76" s="1461" t="e">
        <f>IF(ISBLANK(Récap1!#REF!),"",Récap1!#REF!)</f>
        <v>#REF!</v>
      </c>
      <c r="DB76" s="1461" t="e">
        <f>IF(ISBLANK(Récap1!#REF!),"",Récap1!#REF!)</f>
        <v>#REF!</v>
      </c>
      <c r="DC76" s="1473" t="str">
        <f>IF(ISBLANK('HCT2'!AS76),"",'HCT2'!AS76)</f>
        <v>PVL</v>
      </c>
      <c r="DD76" s="1461" t="str">
        <f>IF(ISBLANK('HCT2'!AT76),"",'HCT2'!AT76)</f>
        <v>PVL</v>
      </c>
      <c r="DE76" s="1461" t="str">
        <f>IF(ISBLANK('HCT2'!AU76),"",'HCT2'!AU76)</f>
        <v>PVL</v>
      </c>
      <c r="DF76" s="1461" t="str">
        <f>IF(ISBLANK('HCT2'!AV76),"",'HCT2'!AV76)</f>
        <v>PVL</v>
      </c>
      <c r="DG76" s="1461" t="str">
        <f>IF(ISBLANK('HCT2'!AW76),"",'HCT2'!AW76)</f>
        <v/>
      </c>
      <c r="DH76" s="1461" t="str">
        <f>IF(ISBLANK('HCT2'!AX76),"",'HCT2'!AX76)</f>
        <v/>
      </c>
      <c r="DI76" s="1461" t="str">
        <f>IF(ISBLANK('HCT2'!AY76),"",'HCT2'!AY76)</f>
        <v/>
      </c>
      <c r="DJ76" s="1474" t="str">
        <f>IF(ISBLANK('HCT2'!AZ76),"",'HCT2'!AZ76)</f>
        <v>PVL</v>
      </c>
      <c r="DK76" s="1461" t="str">
        <f>IF(ISBLANK('HCT2'!BA76),"",'HCT2'!BA76)</f>
        <v>PVL</v>
      </c>
      <c r="DL76" s="1461" t="str">
        <f>IF(ISBLANK('HCT2'!BB76),"",'HCT2'!BB76)</f>
        <v>PVL</v>
      </c>
      <c r="DM76" s="1462" t="str">
        <f>IF(ISBLANK('HCT2'!BC76),"",'HCT2'!BC76)</f>
        <v>PVL</v>
      </c>
      <c r="DN76" s="1461" t="str">
        <f>IF(ISBLANK('HCT2'!BD76),"",'HCT2'!BD76)</f>
        <v>PVL</v>
      </c>
      <c r="DO76" s="1475">
        <f>IF(ISBLANK('HCT2'!BE76),"",'HCT2'!BE76)</f>
        <v>0</v>
      </c>
      <c r="DP76" s="1462">
        <f>MAX('HCT2'!BF76,'HCT2'!BF75)</f>
        <v>9300.4786263311271</v>
      </c>
      <c r="DQ76" s="690">
        <f t="shared" si="0"/>
        <v>124.30805346844366</v>
      </c>
      <c r="DS76" s="650">
        <f t="shared" si="1"/>
        <v>242.49366065313404</v>
      </c>
      <c r="DT76" s="650">
        <f t="shared" si="1"/>
        <v>281.52740101559488</v>
      </c>
      <c r="DU76" s="650">
        <f t="shared" si="3"/>
        <v>176.04557435840303</v>
      </c>
      <c r="DV76" s="1168">
        <f t="shared" si="3"/>
        <v>28.092091221404566</v>
      </c>
      <c r="DW76" s="650">
        <f t="shared" si="3"/>
        <v>67.003351813870637</v>
      </c>
      <c r="DX76" s="650">
        <f t="shared" si="3"/>
        <v>26.681919503290853</v>
      </c>
      <c r="DY76" s="650">
        <f t="shared" si="3"/>
        <v>2.5306909298776099</v>
      </c>
      <c r="DZ76" s="647">
        <f>SUM(DS76:DU76)</f>
        <v>700.06663602713184</v>
      </c>
      <c r="EA76" s="647">
        <f>SUM(DV76:DY76)</f>
        <v>124.30805346844366</v>
      </c>
    </row>
    <row r="77" spans="1:131" s="742" customFormat="1" hidden="1">
      <c r="A77" s="732"/>
      <c r="B77" s="733"/>
      <c r="C77" s="65"/>
      <c r="D77" s="803"/>
      <c r="E77" s="736" t="str">
        <f>IF(ISBLANK(Récap1!E77),"",Récap1!E77)</f>
        <v>Equivalent air du sol</v>
      </c>
      <c r="F77" s="797" t="str">
        <f>IF(ISBLANK(Récap1!F77),"",Récap1!F77)</f>
        <v>Csao</v>
      </c>
      <c r="G77" s="798" t="str">
        <f>IF(ISBLANK(Récap1!G77),"",Récap1!G77)</f>
        <v>mg/m3</v>
      </c>
      <c r="H77" s="739">
        <f>IF(ISBLANK(Récap1!H77),"",Récap1!H77)</f>
        <v>13650.016449233179</v>
      </c>
      <c r="I77" s="740">
        <f>IF(ISBLANK(Récap1!I77),"",Récap1!I77)</f>
        <v>13650.016449233179</v>
      </c>
      <c r="J77" s="1177">
        <f>IF(ISBLANK(Récap1!J77),"",Récap1!J77)</f>
        <v>670316.77903774451</v>
      </c>
      <c r="K77" s="1176">
        <f>IF(ISBLANK(Récap1!K77),"",Récap1!K77)</f>
        <v>56450.681890396372</v>
      </c>
      <c r="L77" s="1177">
        <f>IF(ISBLANK(Récap1!L77),"",Récap1!L77)</f>
        <v>14463.095390339229</v>
      </c>
      <c r="M77" s="1177">
        <f>IF(ISBLANK(Récap1!M77),"",Récap1!M77)</f>
        <v>14463.095390339229</v>
      </c>
      <c r="N77" s="1177">
        <f>IF(ISBLANK(Récap1!N77),"",Récap1!N77)</f>
        <v>65051.551562152286</v>
      </c>
      <c r="O77" s="1177">
        <f>IF(ISBLANK(Récap1!O77),"",Récap1!O77)</f>
        <v>65051.551562152286</v>
      </c>
      <c r="P77" s="1177">
        <f>IF(ISBLANK(Récap1!P77),"",Récap1!P77)</f>
        <v>14203.890281984883</v>
      </c>
      <c r="Q77" s="1177">
        <f>IF(ISBLANK(Récap1!Q77),"",Récap1!Q77)</f>
        <v>14203.890281984883</v>
      </c>
      <c r="R77" s="1177">
        <f>IF(ISBLANK(Récap1!R77),"",Récap1!R77)</f>
        <v>57095.741629831115</v>
      </c>
      <c r="S77" s="1177">
        <f>IF(ISBLANK(Récap1!S77),"",Récap1!S77)</f>
        <v>2328.9496685225176</v>
      </c>
      <c r="T77" s="1177">
        <f>IF(ISBLANK(Récap1!T77),"",Récap1!T77)</f>
        <v>2328.9496685225176</v>
      </c>
      <c r="U77" s="1177">
        <f>IF(ISBLANK(Récap1!U77),"",Récap1!U77)</f>
        <v>6004.4201216823349</v>
      </c>
      <c r="V77" s="1434">
        <f>IF(ISBLANK(Récap1!V77),"",Récap1!V77)</f>
        <v>1179365.3413826337</v>
      </c>
      <c r="W77" s="1177">
        <f>IF(ISBLANK(Récap1!W77),"",Récap1!W77)</f>
        <v>1179365.3413826337</v>
      </c>
      <c r="X77" s="1177">
        <f>IF(ISBLANK(Récap1!X77),"",Récap1!X77)</f>
        <v>2376.1237053616665</v>
      </c>
      <c r="Y77" s="1177">
        <f>IF(ISBLANK(Récap1!Y77),"",Récap1!Y77)</f>
        <v>57652.542026547257</v>
      </c>
      <c r="Z77" s="1177">
        <f>IF(ISBLANK(Récap1!Z77),"",Récap1!Z77)</f>
        <v>13000.799391486573</v>
      </c>
      <c r="AA77" s="1178" t="str">
        <f>IF(ISBLANK(Récap1!AA77),"",Récap1!AA77)</f>
        <v>PVL</v>
      </c>
      <c r="AB77" s="1177" t="str">
        <f>IF(ISBLANK(Récap1!AB77),"",Récap1!AB77)</f>
        <v>PVL</v>
      </c>
      <c r="AC77" s="1179" t="str">
        <f>IF(ISBLANK(Récap1!AC77),"",Récap1!AC77)</f>
        <v>PVL</v>
      </c>
      <c r="AD77" s="1177" t="str">
        <f>IF(ISBLANK(Récap1!AD77),"",Récap1!AD77)</f>
        <v>PVL</v>
      </c>
      <c r="AE77" s="1177" t="str">
        <f>IF(ISBLANK(Récap1!AE77),"",Récap1!AE77)</f>
        <v>PVL</v>
      </c>
      <c r="AF77" s="1180" t="str">
        <f>IF(ISBLANK(Récap1!AF77),"",Récap1!AF77)</f>
        <v>PVL</v>
      </c>
      <c r="AG77" s="1177" t="str">
        <f>IF(ISBLANK(Récap1!AG77),"",Récap1!AG77)</f>
        <v>PVL</v>
      </c>
      <c r="AH77" s="1177" t="str">
        <f>IF(ISBLANK(Récap1!AH77),"",Récap1!AH77)</f>
        <v>PVL</v>
      </c>
      <c r="AI77" s="1177" t="str">
        <f>IF(ISBLANK(Récap1!AI77),"",Récap1!AI77)</f>
        <v>PVL</v>
      </c>
      <c r="AJ77" s="1179" t="str">
        <f>IF(ISBLANK(Récap1!AJ77),"",Récap1!AJ77)</f>
        <v>PVL</v>
      </c>
      <c r="AK77" s="1177" t="str">
        <f>IF(ISBLANK(Récap1!AK77),"",Récap1!AK77)</f>
        <v>PVL</v>
      </c>
      <c r="AL77" s="1177" t="str">
        <f>IF(ISBLANK(Récap1!AL77),"",Récap1!AL77)</f>
        <v>PVL</v>
      </c>
      <c r="AM77" s="1177" t="str">
        <f>IF(ISBLANK(Récap1!AM77),"",Récap1!AM77)</f>
        <v>PVL</v>
      </c>
      <c r="AN77" s="1176">
        <f>IF(ISBLANK(Récap1!AN77),"",Récap1!AN77)</f>
        <v>56.808075042677736</v>
      </c>
      <c r="AO77" s="1177" t="str">
        <f>IF(ISBLANK(Récap1!AO77),"",Récap1!AO77)</f>
        <v>PVL</v>
      </c>
      <c r="AP77" s="1177" t="str">
        <f>IF(ISBLANK(Récap1!AP77),"",Récap1!AP77)</f>
        <v>PVL</v>
      </c>
      <c r="AQ77" s="1177" t="str">
        <f>IF(ISBLANK(Récap1!AQ77),"",Récap1!AQ77)</f>
        <v>PVL</v>
      </c>
      <c r="AR77" s="1177" t="str">
        <f>IF(ISBLANK(Récap1!AR77),"",Récap1!AR77)</f>
        <v>PVL</v>
      </c>
      <c r="AS77" s="1177" t="str">
        <f>IF(ISBLANK(Récap1!AS77),"",Récap1!AS77)</f>
        <v>PVL</v>
      </c>
      <c r="AT77" s="1177" t="str">
        <f>IF(ISBLANK(Récap1!AT77),"",Récap1!AT77)</f>
        <v>PVL</v>
      </c>
      <c r="AU77" s="1177" t="str">
        <f>IF(ISBLANK(Récap1!AU77),"",Récap1!AU77)</f>
        <v>PVL</v>
      </c>
      <c r="AV77" s="1177" t="str">
        <f>IF(ISBLANK(Récap1!AV77),"",Récap1!AV77)</f>
        <v>PVL</v>
      </c>
      <c r="AW77" s="1177" t="str">
        <f>IF(ISBLANK(Récap1!AW77),"",Récap1!AW77)</f>
        <v>PVL</v>
      </c>
      <c r="AX77" s="1177" t="str">
        <f>IF(ISBLANK(Récap1!AX77),"",Récap1!AX77)</f>
        <v>PVL</v>
      </c>
      <c r="AY77" s="1177" t="str">
        <f>IF(ISBLANK(Récap1!AY77),"",Récap1!AY77)</f>
        <v>PVL</v>
      </c>
      <c r="AZ77" s="1177" t="str">
        <f>IF(ISBLANK(Récap1!AZ77),"",Récap1!AZ77)</f>
        <v>PVL</v>
      </c>
      <c r="BA77" s="1177" t="str">
        <f>IF(ISBLANK(Récap1!BA77),"",Récap1!BA77)</f>
        <v>PVL</v>
      </c>
      <c r="BB77" s="1177" t="str">
        <f>IF(ISBLANK(Récap1!BB77),"",Récap1!BB77)</f>
        <v>PVL</v>
      </c>
      <c r="BC77" s="1178" t="str">
        <f>IF(ISBLANK(Récap1!BC77),"",Récap1!BC77)</f>
        <v>PVL</v>
      </c>
      <c r="BD77" s="1176">
        <f>IF(ISBLANK(Récap1!BD77),"",Récap1!BD77)</f>
        <v>136.77857846845268</v>
      </c>
      <c r="BE77" s="1177" t="str">
        <f>IF(ISBLANK(Récap1!BE77),"",Récap1!BE77)</f>
        <v>PVL</v>
      </c>
      <c r="BF77" s="1177" t="str">
        <f>IF(ISBLANK(Récap1!BF77),"",Récap1!BF77)</f>
        <v>PVL</v>
      </c>
      <c r="BG77" s="1177">
        <f>IF(ISBLANK(Récap1!BG77),"",Récap1!BG77)</f>
        <v>0</v>
      </c>
      <c r="BH77" s="1181">
        <f>IF(ISBLANK(Récap1!BH77),"",Récap1!BH77)</f>
        <v>4.0516642578102608</v>
      </c>
      <c r="BI77" s="1177">
        <f>IF(ISBLANK(Récap1!BI77),"",Récap1!BI77)</f>
        <v>14.607544657894978</v>
      </c>
      <c r="BJ77" s="1182" t="e">
        <f>IF(ISBLANK(Récap1!#REF!),"",Récap1!#REF!)</f>
        <v>#REF!</v>
      </c>
      <c r="BK77" s="1182" t="e">
        <f>IF(ISBLANK(Récap1!#REF!),"",Récap1!#REF!)</f>
        <v>#REF!</v>
      </c>
      <c r="BL77" s="1177">
        <f>IF(ISBLANK('HCT2'!H77),"",'HCT2'!H77)</f>
        <v>2376.1237053616665</v>
      </c>
      <c r="BM77" s="1177">
        <f>IF(ISBLANK('HCT2'!I77),"",'HCT2'!I77)</f>
        <v>57652.542026547257</v>
      </c>
      <c r="BN77" s="1177">
        <f>IF(ISBLANK('HCT2'!J77),"",'HCT2'!J77)</f>
        <v>13000.799391486573</v>
      </c>
      <c r="BO77" s="1178" t="str">
        <f>IF(ISBLANK('HCT2'!K77),"",'HCT2'!K77)</f>
        <v>PVL</v>
      </c>
      <c r="BP77" s="1177">
        <f>IF(ISBLANK('HCT2'!L77),"",'HCT2'!L77)</f>
        <v>75541.937581105856</v>
      </c>
      <c r="BQ77" s="1179">
        <f>IF(ISBLANK('HCT2'!M77),"",'HCT2'!M77)</f>
        <v>9978.2239323064623</v>
      </c>
      <c r="BR77" s="1177">
        <f>IF(ISBLANK('HCT2'!N77),"",'HCT2'!N77)</f>
        <v>17746.8333332162</v>
      </c>
      <c r="BS77" s="1177">
        <f>IF(ISBLANK('HCT2'!O77),"",'HCT2'!O77)</f>
        <v>1685.1190855243294</v>
      </c>
      <c r="BT77" s="1180">
        <f>IF(ISBLANK('HCT2'!P77),"",'HCT2'!P77)</f>
        <v>11.582135963114997</v>
      </c>
      <c r="BU77" s="1177">
        <f>IF(ISBLANK('HCT2'!Q77),"",'HCT2'!Q77)</f>
        <v>143703.08143193531</v>
      </c>
      <c r="BV77" s="1177">
        <f>IF(ISBLANK('HCT2'!R77),"",'HCT2'!R77)</f>
        <v>111094.02431238211</v>
      </c>
      <c r="BW77" s="1177">
        <f>IF(ISBLANK('HCT2'!S77),"",'HCT2'!S77)</f>
        <v>29979.180736253205</v>
      </c>
      <c r="BX77" s="1179">
        <f>IF(ISBLANK('HCT2'!T77),"",'HCT2'!T77)</f>
        <v>6860.079969164959</v>
      </c>
      <c r="BY77" s="1177">
        <f>IF(ISBLANK('HCT2'!U77),"",'HCT2'!U77)</f>
        <v>22414.747781098242</v>
      </c>
      <c r="BZ77" s="1177">
        <f>IF(ISBLANK('HCT2'!V77),"",'HCT2'!V77)</f>
        <v>14307.932685882583</v>
      </c>
      <c r="CA77" s="1177">
        <f>IF(ISBLANK('HCT2'!W77),"",'HCT2'!W77)</f>
        <v>1505.3053973333804</v>
      </c>
      <c r="CB77" s="1182" t="str">
        <f>IF(ISBLANK('HCT2'!X77),"",'HCT2'!X77)</f>
        <v/>
      </c>
      <c r="CC77" s="1183">
        <f>IF(ISBLANK('HCT2'!Y77),"",'HCT2'!Y77)</f>
        <v>207436.34341014925</v>
      </c>
      <c r="CD77" s="1184">
        <f>IF(ISBLANK('HCT2'!Z77),"",'HCT2'!Z77)</f>
        <v>422813.97871561762</v>
      </c>
      <c r="CE77" s="1182" t="str">
        <f>IF(ISBLANK('HCT2'!AA77),"",'HCT2'!AA77)</f>
        <v/>
      </c>
      <c r="CF77" s="1182" t="str">
        <f>IF(ISBLANK('HCT2'!AB77),"",'HCT2'!AB77)</f>
        <v/>
      </c>
      <c r="CG77" s="1185" t="str">
        <f>IF(ISBLANK('HCT2'!AC77),"",'HCT2'!AC77)</f>
        <v>PVL</v>
      </c>
      <c r="CH77" s="1182" t="str">
        <f>IF(ISBLANK('HCT2'!AD77),"",'HCT2'!AD77)</f>
        <v/>
      </c>
      <c r="CI77" s="1182" t="str">
        <f>IF(ISBLANK('HCT2'!AE77),"",'HCT2'!AE77)</f>
        <v/>
      </c>
      <c r="CJ77" s="1182" t="str">
        <f>IF(ISBLANK('HCT2'!AF77),"",'HCT2'!AF77)</f>
        <v/>
      </c>
      <c r="CK77" s="1186" t="str">
        <f>IF(ISBLANK('HCT2'!AG77),"",'HCT2'!AG77)</f>
        <v/>
      </c>
      <c r="CL77" s="1182" t="str">
        <f>IF(ISBLANK('HCT2'!AH77),"",'HCT2'!AH77)</f>
        <v>PVL</v>
      </c>
      <c r="CM77" s="1182" t="str">
        <f>IF(ISBLANK('HCT2'!AI77),"",'HCT2'!AI77)</f>
        <v>PVL</v>
      </c>
      <c r="CN77" s="1186" t="str">
        <f>IF(ISBLANK('HCT2'!AJ77),"",'HCT2'!AJ77)</f>
        <v>PVL</v>
      </c>
      <c r="CO77" s="1182" t="str">
        <f>IF(ISBLANK('HCT2'!AK77),"",'HCT2'!AK77)</f>
        <v/>
      </c>
      <c r="CP77" s="1182" t="str">
        <f>IF(ISBLANK('HCT2'!AL77),"",'HCT2'!AL77)</f>
        <v/>
      </c>
      <c r="CQ77" s="1182" t="str">
        <f>IF(ISBLANK('HCT2'!AM77),"",'HCT2'!AM77)</f>
        <v/>
      </c>
      <c r="CR77" s="1187" t="str">
        <f>IF(ISBLANK('HCT2'!AN77),"",'HCT2'!AN77)</f>
        <v/>
      </c>
      <c r="CS77" s="1188">
        <f>IF(ISBLANK('HCT2'!AO77),"",'HCT2'!AO77)</f>
        <v>422813.97871561762</v>
      </c>
      <c r="CT77" s="1189">
        <f>IF(ISBLANK('HCT2'!AP77),"",'HCT2'!AP77)</f>
        <v>0.14780910234752553</v>
      </c>
      <c r="CU77" s="1141">
        <f>IF(ISBLANK('HCT2'!AQ77),"",'HCT2'!AQ77)</f>
        <v>406122.93003965908</v>
      </c>
      <c r="CV77" s="1190">
        <f>IF(ISBLANK('HCT2'!AR77),"",'HCT2'!AR77)</f>
        <v>420346.8897935854</v>
      </c>
      <c r="CW77" s="1191" t="e">
        <f>IF(ISBLANK(Récap1!#REF!),"",Récap1!#REF!)</f>
        <v>#REF!</v>
      </c>
      <c r="CX77" s="1191" t="e">
        <f>IF(ISBLANK(Récap1!#REF!),"",Récap1!#REF!)</f>
        <v>#REF!</v>
      </c>
      <c r="CY77" s="1182" t="e">
        <f>IF(ISBLANK(Récap1!#REF!),"",Récap1!#REF!)</f>
        <v>#REF!</v>
      </c>
      <c r="CZ77" s="1182" t="e">
        <f>IF(ISBLANK(Récap1!#REF!),"",Récap1!#REF!)</f>
        <v>#REF!</v>
      </c>
      <c r="DA77" s="1182" t="e">
        <f>IF(ISBLANK(Récap1!#REF!),"",Récap1!#REF!)</f>
        <v>#REF!</v>
      </c>
      <c r="DB77" s="1182" t="e">
        <f>IF(ISBLANK(Récap1!#REF!),"",Récap1!#REF!)</f>
        <v>#REF!</v>
      </c>
      <c r="DC77" s="1191" t="str">
        <f>IF(ISBLANK('HCT2'!AS77),"",'HCT2'!AS77)</f>
        <v>PVL</v>
      </c>
      <c r="DD77" s="1182" t="str">
        <f>IF(ISBLANK('HCT2'!AT77),"",'HCT2'!AT77)</f>
        <v>PVL</v>
      </c>
      <c r="DE77" s="1182" t="str">
        <f>IF(ISBLANK('HCT2'!AU77),"",'HCT2'!AU77)</f>
        <v>PVL</v>
      </c>
      <c r="DF77" s="1182" t="str">
        <f>IF(ISBLANK('HCT2'!AV77),"",'HCT2'!AV77)</f>
        <v>PVL</v>
      </c>
      <c r="DG77" s="1182" t="str">
        <f>IF(ISBLANK('HCT2'!AW77),"",'HCT2'!AW77)</f>
        <v/>
      </c>
      <c r="DH77" s="1182" t="str">
        <f>IF(ISBLANK('HCT2'!AX77),"",'HCT2'!AX77)</f>
        <v/>
      </c>
      <c r="DI77" s="1182" t="str">
        <f>IF(ISBLANK('HCT2'!AY77),"",'HCT2'!AY77)</f>
        <v/>
      </c>
      <c r="DJ77" s="1192" t="str">
        <f>IF(ISBLANK('HCT2'!AZ77),"",'HCT2'!AZ77)</f>
        <v>PVL</v>
      </c>
      <c r="DK77" s="1182" t="str">
        <f>IF(ISBLANK('HCT2'!BA77),"",'HCT2'!BA77)</f>
        <v>PVL</v>
      </c>
      <c r="DL77" s="1182" t="str">
        <f>IF(ISBLANK('HCT2'!BB77),"",'HCT2'!BB77)</f>
        <v>PVL</v>
      </c>
      <c r="DM77" s="1186" t="str">
        <f>IF(ISBLANK('HCT2'!BC77),"",'HCT2'!BC77)</f>
        <v>PVL</v>
      </c>
      <c r="DN77" s="1193" t="str">
        <f>IF(ISBLANK('HCT2'!BD77),"",'HCT2'!BD77)</f>
        <v>PVL</v>
      </c>
      <c r="DO77" s="1194">
        <f>IF(ISBLANK('HCT2'!BE77),"",'HCT2'!BE77)</f>
        <v>0</v>
      </c>
      <c r="DP77" s="1195" t="str">
        <f>IF(ISBLANK('HCT2'!BF77),"",'HCT2'!BF77)</f>
        <v>PVL</v>
      </c>
      <c r="DQ77" s="978">
        <f t="shared" si="0"/>
        <v>74509.824320489264</v>
      </c>
      <c r="DS77" s="740">
        <f t="shared" si="1"/>
        <v>146079.20513729699</v>
      </c>
      <c r="DT77" s="740">
        <f t="shared" si="1"/>
        <v>168746.56633892938</v>
      </c>
      <c r="DU77" s="740">
        <f t="shared" si="3"/>
        <v>105521.11831735907</v>
      </c>
      <c r="DV77" s="878">
        <f t="shared" si="3"/>
        <v>16838.303901471423</v>
      </c>
      <c r="DW77" s="740">
        <f t="shared" si="3"/>
        <v>40161.581114314438</v>
      </c>
      <c r="DX77" s="740">
        <f t="shared" si="3"/>
        <v>15993.051771406912</v>
      </c>
      <c r="DY77" s="740">
        <f t="shared" si="3"/>
        <v>1516.8875332964953</v>
      </c>
    </row>
    <row r="78" spans="1:131" s="782" customFormat="1" ht="13.5" hidden="1">
      <c r="A78" s="776"/>
      <c r="B78" s="245"/>
      <c r="C78" s="777"/>
      <c r="D78" s="803"/>
      <c r="E78" s="853" t="str">
        <f>IF(ISBLANK(Récap1!E78),"",Récap1!E78)</f>
        <v>Seuil pour détection olfactive air ambiant immédiate</v>
      </c>
      <c r="F78" s="799" t="str">
        <f>IF(ISBLANK(Récap1!F78),"",Récap1!F78)</f>
        <v>Cs</v>
      </c>
      <c r="G78" s="799" t="str">
        <f>IF(ISBLANK(Récap1!G78),"",Récap1!G78)</f>
        <v>mg/kg ms</v>
      </c>
      <c r="H78" s="780" t="str">
        <f>IF(ISBLANK(Récap1!H78),"",Récap1!H78)</f>
        <v>PVL</v>
      </c>
      <c r="I78" s="781" t="str">
        <f>IF(ISBLANK(Récap1!I78),"",Récap1!I78)</f>
        <v>PVL</v>
      </c>
      <c r="J78" s="1197" t="str">
        <f>IF(ISBLANK(Récap1!J78),"",Récap1!J78)</f>
        <v>PVL</v>
      </c>
      <c r="K78" s="1196">
        <f>IF(ISBLANK(Récap1!K78),"",Récap1!K78)</f>
        <v>178.24927251493804</v>
      </c>
      <c r="L78" s="1197" t="str">
        <f>IF(ISBLANK(Récap1!L78),"",Récap1!L78)</f>
        <v>PVL</v>
      </c>
      <c r="M78" s="1197" t="str">
        <f>IF(ISBLANK(Récap1!M78),"",Récap1!M78)</f>
        <v>PVL</v>
      </c>
      <c r="N78" s="1197" t="str">
        <f>IF(ISBLANK(Récap1!N78),"",Récap1!N78)</f>
        <v>PVL</v>
      </c>
      <c r="O78" s="1197" t="str">
        <f>IF(ISBLANK(Récap1!O78),"",Récap1!O78)</f>
        <v>PVL</v>
      </c>
      <c r="P78" s="1197" t="str">
        <f>IF(ISBLANK(Récap1!P78),"",Récap1!P78)</f>
        <v>PVL</v>
      </c>
      <c r="Q78" s="1197" t="str">
        <f>IF(ISBLANK(Récap1!Q78),"",Récap1!Q78)</f>
        <v>PVL</v>
      </c>
      <c r="R78" s="1197">
        <f>IF(ISBLANK(Récap1!R78),"",Récap1!R78)</f>
        <v>388.49385364068638</v>
      </c>
      <c r="S78" s="1197">
        <f>IF(ISBLANK(Récap1!S78),"",Récap1!S78)</f>
        <v>547.83221330391711</v>
      </c>
      <c r="T78" s="1197">
        <f>IF(ISBLANK(Récap1!T78),"",Récap1!T78)</f>
        <v>547.83221330391711</v>
      </c>
      <c r="U78" s="1197" t="str">
        <f>IF(ISBLANK(Récap1!U78),"",Récap1!U78)</f>
        <v>PVL</v>
      </c>
      <c r="V78" s="1435" t="str">
        <f>IF(ISBLANK(Récap1!V78),"",Récap1!V78)</f>
        <v>PVL</v>
      </c>
      <c r="W78" s="1197" t="str">
        <f>IF(ISBLANK(Récap1!W78),"",Récap1!W78)</f>
        <v>PVL</v>
      </c>
      <c r="X78" s="1197" t="str">
        <f>IF(ISBLANK(Récap1!X78),"",Récap1!X78)</f>
        <v>PVL</v>
      </c>
      <c r="Y78" s="1197" t="str">
        <f>IF(ISBLANK(Récap1!Y78),"",Récap1!Y78)</f>
        <v>PVL</v>
      </c>
      <c r="Z78" s="1197" t="str">
        <f>IF(ISBLANK(Récap1!Z78),"",Récap1!Z78)</f>
        <v>PVL</v>
      </c>
      <c r="AA78" s="646">
        <f>IF(ISBLANK(Récap1!AA78),"",Récap1!AA78)</f>
        <v>51.681819754531617</v>
      </c>
      <c r="AB78" s="1197" t="str">
        <f>IF(ISBLANK(Récap1!AB78),"",Récap1!AB78)</f>
        <v>PVL</v>
      </c>
      <c r="AC78" s="1198" t="str">
        <f>IF(ISBLANK(Récap1!AC78),"",Récap1!AC78)</f>
        <v>PVL</v>
      </c>
      <c r="AD78" s="1197" t="str">
        <f>IF(ISBLANK(Récap1!AD78),"",Récap1!AD78)</f>
        <v>PVL</v>
      </c>
      <c r="AE78" s="1197" t="str">
        <f>IF(ISBLANK(Récap1!AE78),"",Récap1!AE78)</f>
        <v>PVL</v>
      </c>
      <c r="AF78" s="1199" t="str">
        <f>IF(ISBLANK(Récap1!AF78),"",Récap1!AF78)</f>
        <v>PVL</v>
      </c>
      <c r="AG78" s="1197" t="str">
        <f>IF(ISBLANK(Récap1!AG78),"",Récap1!AG78)</f>
        <v>PVL</v>
      </c>
      <c r="AH78" s="1197" t="str">
        <f>IF(ISBLANK(Récap1!AH78),"",Récap1!AH78)</f>
        <v>PVL</v>
      </c>
      <c r="AI78" s="1197" t="str">
        <f>IF(ISBLANK(Récap1!AI78),"",Récap1!AI78)</f>
        <v>PVL</v>
      </c>
      <c r="AJ78" s="1198" t="str">
        <f>IF(ISBLANK(Récap1!AJ78),"",Récap1!AJ78)</f>
        <v>PVL</v>
      </c>
      <c r="AK78" s="1197" t="str">
        <f>IF(ISBLANK(Récap1!AK78),"",Récap1!AK78)</f>
        <v>PVL</v>
      </c>
      <c r="AL78" s="1197" t="str">
        <f>IF(ISBLANK(Récap1!AL78),"",Récap1!AL78)</f>
        <v>PVL</v>
      </c>
      <c r="AM78" s="1197" t="str">
        <f>IF(ISBLANK(Récap1!AM78),"",Récap1!AM78)</f>
        <v>PVL</v>
      </c>
      <c r="AN78" s="1196" t="str">
        <f>IF(ISBLANK(Récap1!AN78),"",Récap1!AN78)</f>
        <v>PVL</v>
      </c>
      <c r="AO78" s="1197" t="str">
        <f>IF(ISBLANK(Récap1!AO78),"",Récap1!AO78)</f>
        <v>PVL</v>
      </c>
      <c r="AP78" s="1197" t="str">
        <f>IF(ISBLANK(Récap1!AP78),"",Récap1!AP78)</f>
        <v>PVL</v>
      </c>
      <c r="AQ78" s="1197" t="str">
        <f>IF(ISBLANK(Récap1!AQ78),"",Récap1!AQ78)</f>
        <v>PVL</v>
      </c>
      <c r="AR78" s="1197" t="str">
        <f>IF(ISBLANK(Récap1!AR78),"",Récap1!AR78)</f>
        <v>PVL</v>
      </c>
      <c r="AS78" s="1197" t="str">
        <f>IF(ISBLANK(Récap1!AS78),"",Récap1!AS78)</f>
        <v>PVL</v>
      </c>
      <c r="AT78" s="1197" t="str">
        <f>IF(ISBLANK(Récap1!AT78),"",Récap1!AT78)</f>
        <v>PVL</v>
      </c>
      <c r="AU78" s="1197" t="str">
        <f>IF(ISBLANK(Récap1!AU78),"",Récap1!AU78)</f>
        <v>PVL</v>
      </c>
      <c r="AV78" s="1197" t="str">
        <f>IF(ISBLANK(Récap1!AV78),"",Récap1!AV78)</f>
        <v>PVL</v>
      </c>
      <c r="AW78" s="1197" t="str">
        <f>IF(ISBLANK(Récap1!AW78),"",Récap1!AW78)</f>
        <v>PVL</v>
      </c>
      <c r="AX78" s="1197" t="str">
        <f>IF(ISBLANK(Récap1!AX78),"",Récap1!AX78)</f>
        <v>PVL</v>
      </c>
      <c r="AY78" s="1197" t="str">
        <f>IF(ISBLANK(Récap1!AY78),"",Récap1!AY78)</f>
        <v>PVL</v>
      </c>
      <c r="AZ78" s="1197" t="str">
        <f>IF(ISBLANK(Récap1!AZ78),"",Récap1!AZ78)</f>
        <v>PVL</v>
      </c>
      <c r="BA78" s="1197" t="str">
        <f>IF(ISBLANK(Récap1!BA78),"",Récap1!BA78)</f>
        <v>PVL</v>
      </c>
      <c r="BB78" s="1197" t="str">
        <f>IF(ISBLANK(Récap1!BB78),"",Récap1!BB78)</f>
        <v>PVL</v>
      </c>
      <c r="BC78" s="646" t="str">
        <f>IF(ISBLANK(Récap1!BC78),"",Récap1!BC78)</f>
        <v>PVL</v>
      </c>
      <c r="BD78" s="1196">
        <f>IF(ISBLANK(Récap1!BD78),"",Récap1!BD78)</f>
        <v>11332.016466808936</v>
      </c>
      <c r="BE78" s="1197" t="str">
        <f>IF(ISBLANK(Récap1!BE78),"",Récap1!BE78)</f>
        <v>PVL</v>
      </c>
      <c r="BF78" s="1197" t="str">
        <f>IF(ISBLANK(Récap1!BF78),"",Récap1!BF78)</f>
        <v>PVL</v>
      </c>
      <c r="BG78" s="1197" t="str">
        <f>IF(ISBLANK(Récap1!BG78),"",Récap1!BG78)</f>
        <v>nd</v>
      </c>
      <c r="BH78" s="646" t="str">
        <f>IF(ISBLANK(Récap1!BH78),"",Récap1!BH78)</f>
        <v>PVL</v>
      </c>
      <c r="BI78" s="1197" t="str">
        <f>IF(ISBLANK(Récap1!BI78),"",Récap1!BI78)</f>
        <v>PVL</v>
      </c>
      <c r="BJ78" s="1200" t="e">
        <f>IF(ISBLANK(Récap1!#REF!),"",Récap1!#REF!)</f>
        <v>#REF!</v>
      </c>
      <c r="BK78" s="1200" t="e">
        <f>IF(ISBLANK(Récap1!#REF!),"",Récap1!#REF!)</f>
        <v>#REF!</v>
      </c>
      <c r="BL78" s="1197" t="str">
        <f>IF(ISBLANK('HCT2'!H78),"",'HCT2'!H78)</f>
        <v>PVL</v>
      </c>
      <c r="BM78" s="1197" t="str">
        <f>IF(ISBLANK('HCT2'!I78),"",'HCT2'!I78)</f>
        <v>PVL</v>
      </c>
      <c r="BN78" s="1197" t="str">
        <f>IF(ISBLANK('HCT2'!J78),"",'HCT2'!J78)</f>
        <v>PVL</v>
      </c>
      <c r="BO78" s="646">
        <f>IF(ISBLANK('HCT2'!K78),"",'HCT2'!K78)</f>
        <v>51.681819754531617</v>
      </c>
      <c r="BP78" s="1197" t="e">
        <f>IF(ISBLANK('HCT2'!L78),"",'HCT2'!L78)</f>
        <v>#VALUE!</v>
      </c>
      <c r="BQ78" s="1198" t="e">
        <f>IF(ISBLANK('HCT2'!M78),"",'HCT2'!M78)</f>
        <v>#VALUE!</v>
      </c>
      <c r="BR78" s="1197" t="e">
        <f>IF(ISBLANK('HCT2'!N78),"",'HCT2'!N78)</f>
        <v>#VALUE!</v>
      </c>
      <c r="BS78" s="1197" t="e">
        <f>IF(ISBLANK('HCT2'!O78),"",'HCT2'!O78)</f>
        <v>#VALUE!</v>
      </c>
      <c r="BT78" s="1199" t="e">
        <f>IF(ISBLANK('HCT2'!P78),"",'HCT2'!P78)</f>
        <v>#VALUE!</v>
      </c>
      <c r="BU78" s="1197" t="e">
        <f>IF(ISBLANK('HCT2'!Q78),"",'HCT2'!Q78)</f>
        <v>#VALUE!</v>
      </c>
      <c r="BV78" s="1197" t="e">
        <f>IF(ISBLANK('HCT2'!R78),"",'HCT2'!R78)</f>
        <v>#VALUE!</v>
      </c>
      <c r="BW78" s="1197" t="e">
        <f>IF(ISBLANK('HCT2'!S78),"",'HCT2'!S78)</f>
        <v>#VALUE!</v>
      </c>
      <c r="BX78" s="1198" t="e">
        <f>IF(ISBLANK('HCT2'!T78),"",'HCT2'!T78)</f>
        <v>#VALUE!</v>
      </c>
      <c r="BY78" s="1197" t="e">
        <f>IF(ISBLANK('HCT2'!U78),"",'HCT2'!U78)</f>
        <v>#VALUE!</v>
      </c>
      <c r="BZ78" s="1197" t="e">
        <f>IF(ISBLANK('HCT2'!V78),"",'HCT2'!V78)</f>
        <v>#VALUE!</v>
      </c>
      <c r="CA78" s="1197" t="e">
        <f>IF(ISBLANK('HCT2'!W78),"",'HCT2'!W78)</f>
        <v>#VALUE!</v>
      </c>
      <c r="CB78" s="1200" t="str">
        <f>IF(ISBLANK('HCT2'!X78),"",'HCT2'!X78)</f>
        <v/>
      </c>
      <c r="CC78" s="1201" t="str">
        <f>IF(ISBLANK('HCT2'!Y78),"",'HCT2'!Y78)</f>
        <v>PVL</v>
      </c>
      <c r="CD78" s="1202" t="str">
        <f>IF(ISBLANK('HCT2'!Z78),"",'HCT2'!Z78)</f>
        <v>PVL</v>
      </c>
      <c r="CE78" s="1200" t="str">
        <f>IF(ISBLANK('HCT2'!AA78),"",'HCT2'!AA78)</f>
        <v/>
      </c>
      <c r="CF78" s="1200" t="str">
        <f>IF(ISBLANK('HCT2'!AB78),"",'HCT2'!AB78)</f>
        <v/>
      </c>
      <c r="CG78" s="1203" t="str">
        <f>IF(ISBLANK('HCT2'!AC78),"",'HCT2'!AC78)</f>
        <v>PVL</v>
      </c>
      <c r="CH78" s="1200" t="str">
        <f>IF(ISBLANK('HCT2'!AD78),"",'HCT2'!AD78)</f>
        <v/>
      </c>
      <c r="CI78" s="1200" t="str">
        <f>IF(ISBLANK('HCT2'!AE78),"",'HCT2'!AE78)</f>
        <v/>
      </c>
      <c r="CJ78" s="1200" t="str">
        <f>IF(ISBLANK('HCT2'!AF78),"",'HCT2'!AF78)</f>
        <v/>
      </c>
      <c r="CK78" s="1204" t="str">
        <f>IF(ISBLANK('HCT2'!AG78),"",'HCT2'!AG78)</f>
        <v/>
      </c>
      <c r="CL78" s="1200" t="str">
        <f>IF(ISBLANK('HCT2'!AH78),"",'HCT2'!AH78)</f>
        <v>PVL</v>
      </c>
      <c r="CM78" s="1200" t="str">
        <f>IF(ISBLANK('HCT2'!AI78),"",'HCT2'!AI78)</f>
        <v>PVL</v>
      </c>
      <c r="CN78" s="1204" t="str">
        <f>IF(ISBLANK('HCT2'!AJ78),"",'HCT2'!AJ78)</f>
        <v>PVL</v>
      </c>
      <c r="CO78" s="1200" t="str">
        <f>IF(ISBLANK('HCT2'!AK78),"",'HCT2'!AK78)</f>
        <v/>
      </c>
      <c r="CP78" s="1200" t="str">
        <f>IF(ISBLANK('HCT2'!AL78),"",'HCT2'!AL78)</f>
        <v/>
      </c>
      <c r="CQ78" s="1200" t="str">
        <f>IF(ISBLANK('HCT2'!AM78),"",'HCT2'!AM78)</f>
        <v/>
      </c>
      <c r="CR78" s="1205" t="str">
        <f>IF(ISBLANK('HCT2'!AN78),"",'HCT2'!AN78)</f>
        <v/>
      </c>
      <c r="CS78" s="1206" t="str">
        <f>IF(ISBLANK('HCT2'!AO78),"",'HCT2'!AO78)</f>
        <v>PVL</v>
      </c>
      <c r="CT78" s="1207">
        <f>IF(ISBLANK('HCT2'!AP78),"",'HCT2'!AP78)</f>
        <v>0</v>
      </c>
      <c r="CU78" s="1142" t="str">
        <f>IF(ISBLANK('HCT2'!AQ78),"",'HCT2'!AQ78)</f>
        <v>PVL</v>
      </c>
      <c r="CV78" s="652" t="e">
        <f>IF(ISBLANK('HCT2'!AR78),"",'HCT2'!AR78)</f>
        <v>#VALUE!</v>
      </c>
      <c r="CW78" s="1208" t="e">
        <f>IF(ISBLANK(Récap1!#REF!),"",Récap1!#REF!)</f>
        <v>#REF!</v>
      </c>
      <c r="CX78" s="1208" t="e">
        <f>IF(ISBLANK(Récap1!#REF!),"",Récap1!#REF!)</f>
        <v>#REF!</v>
      </c>
      <c r="CY78" s="1200" t="e">
        <f>IF(ISBLANK(Récap1!#REF!),"",Récap1!#REF!)</f>
        <v>#REF!</v>
      </c>
      <c r="CZ78" s="1200" t="e">
        <f>IF(ISBLANK(Récap1!#REF!),"",Récap1!#REF!)</f>
        <v>#REF!</v>
      </c>
      <c r="DA78" s="1200" t="e">
        <f>IF(ISBLANK(Récap1!#REF!),"",Récap1!#REF!)</f>
        <v>#REF!</v>
      </c>
      <c r="DB78" s="1200" t="e">
        <f>IF(ISBLANK(Récap1!#REF!),"",Récap1!#REF!)</f>
        <v>#REF!</v>
      </c>
      <c r="DC78" s="1208" t="str">
        <f>IF(ISBLANK('HCT2'!AS78),"",'HCT2'!AS78)</f>
        <v>PVL</v>
      </c>
      <c r="DD78" s="1200" t="str">
        <f>IF(ISBLANK('HCT2'!AT78),"",'HCT2'!AT78)</f>
        <v>PVL</v>
      </c>
      <c r="DE78" s="1200" t="str">
        <f>IF(ISBLANK('HCT2'!AU78),"",'HCT2'!AU78)</f>
        <v>PVL</v>
      </c>
      <c r="DF78" s="1200" t="str">
        <f>IF(ISBLANK('HCT2'!AV78),"",'HCT2'!AV78)</f>
        <v>PVL</v>
      </c>
      <c r="DG78" s="1200" t="str">
        <f>IF(ISBLANK('HCT2'!AW78),"",'HCT2'!AW78)</f>
        <v/>
      </c>
      <c r="DH78" s="1200" t="str">
        <f>IF(ISBLANK('HCT2'!AX78),"",'HCT2'!AX78)</f>
        <v/>
      </c>
      <c r="DI78" s="1200" t="str">
        <f>IF(ISBLANK('HCT2'!AY78),"",'HCT2'!AY78)</f>
        <v/>
      </c>
      <c r="DJ78" s="1209" t="str">
        <f>IF(ISBLANK('HCT2'!AZ78),"",'HCT2'!AZ78)</f>
        <v>PVL</v>
      </c>
      <c r="DK78" s="1200" t="str">
        <f>IF(ISBLANK('HCT2'!BA78),"",'HCT2'!BA78)</f>
        <v>PVL</v>
      </c>
      <c r="DL78" s="1200" t="str">
        <f>IF(ISBLANK('HCT2'!BB78),"",'HCT2'!BB78)</f>
        <v>PVL</v>
      </c>
      <c r="DM78" s="1204" t="str">
        <f>IF(ISBLANK('HCT2'!BC78),"",'HCT2'!BC78)</f>
        <v>PVL</v>
      </c>
      <c r="DN78" s="1210" t="str">
        <f>IF(ISBLANK('HCT2'!BD78),"",'HCT2'!BD78)</f>
        <v>PVL</v>
      </c>
      <c r="DO78" s="1211">
        <f>IF(ISBLANK('HCT2'!BE78),"",'HCT2'!BE78)</f>
        <v>0</v>
      </c>
      <c r="DP78" s="1212" t="str">
        <f>IF(ISBLANK('HCT2'!BF78),"",'HCT2'!BF78)</f>
        <v>PVL</v>
      </c>
      <c r="DQ78" s="979" t="e">
        <f t="shared" si="0"/>
        <v>#VALUE!</v>
      </c>
      <c r="DS78" s="781" t="e">
        <f t="shared" si="1"/>
        <v>#VALUE!</v>
      </c>
      <c r="DT78" s="781" t="e">
        <f t="shared" si="1"/>
        <v>#VALUE!</v>
      </c>
      <c r="DU78" s="781" t="e">
        <f t="shared" si="3"/>
        <v>#VALUE!</v>
      </c>
      <c r="DV78" s="880" t="e">
        <f t="shared" si="3"/>
        <v>#VALUE!</v>
      </c>
      <c r="DW78" s="781" t="e">
        <f t="shared" si="3"/>
        <v>#VALUE!</v>
      </c>
      <c r="DX78" s="781" t="e">
        <f t="shared" si="3"/>
        <v>#VALUE!</v>
      </c>
      <c r="DY78" s="781" t="e">
        <f t="shared" si="3"/>
        <v>#VALUE!</v>
      </c>
    </row>
    <row r="79" spans="1:131" s="782" customFormat="1" ht="13.5" hidden="1">
      <c r="A79" s="776"/>
      <c r="B79" s="245"/>
      <c r="C79" s="777"/>
      <c r="D79" s="803"/>
      <c r="E79" s="853" t="str">
        <f>IF(ISBLANK(Récap1!E79),"",Récap1!E79)</f>
        <v>Seuil pour détection olfactive air ambiant 2 mois</v>
      </c>
      <c r="F79" s="799" t="str">
        <f>IF(ISBLANK(Récap1!F79),"",Récap1!F79)</f>
        <v>Cs</v>
      </c>
      <c r="G79" s="799" t="str">
        <f>IF(ISBLANK(Récap1!G79),"",Récap1!G79)</f>
        <v>mg/kg ms</v>
      </c>
      <c r="H79" s="780" t="str">
        <f>IF(ISBLANK(Récap1!H79),"",Récap1!H79)</f>
        <v>PVL</v>
      </c>
      <c r="I79" s="781" t="str">
        <f>IF(ISBLANK(Récap1!I79),"",Récap1!I79)</f>
        <v>PVL</v>
      </c>
      <c r="J79" s="1197" t="str">
        <f>IF(ISBLANK(Récap1!J79),"",Récap1!J79)</f>
        <v>PVL</v>
      </c>
      <c r="K79" s="1196" t="str">
        <f>IF(ISBLANK(Récap1!K79),"",Récap1!K79)</f>
        <v>PVL</v>
      </c>
      <c r="L79" s="1197" t="str">
        <f>IF(ISBLANK(Récap1!L79),"",Récap1!L79)</f>
        <v>PVL</v>
      </c>
      <c r="M79" s="1197" t="str">
        <f>IF(ISBLANK(Récap1!M79),"",Récap1!M79)</f>
        <v>PVL</v>
      </c>
      <c r="N79" s="1197" t="str">
        <f>IF(ISBLANK(Récap1!N79),"",Récap1!N79)</f>
        <v>PVL</v>
      </c>
      <c r="O79" s="1197" t="str">
        <f>IF(ISBLANK(Récap1!O79),"",Récap1!O79)</f>
        <v>PVL</v>
      </c>
      <c r="P79" s="1197" t="str">
        <f>IF(ISBLANK(Récap1!P79),"",Récap1!P79)</f>
        <v>PVL</v>
      </c>
      <c r="Q79" s="1197" t="str">
        <f>IF(ISBLANK(Récap1!Q79),"",Récap1!Q79)</f>
        <v>PVL</v>
      </c>
      <c r="R79" s="1197" t="str">
        <f>IF(ISBLANK(Récap1!R79),"",Récap1!R79)</f>
        <v>PVL</v>
      </c>
      <c r="S79" s="1197">
        <f>IF(ISBLANK(Récap1!S79),"",Récap1!S79)</f>
        <v>1703.0971882070673</v>
      </c>
      <c r="T79" s="1197">
        <f>IF(ISBLANK(Récap1!T79),"",Récap1!T79)</f>
        <v>1703.0971882070673</v>
      </c>
      <c r="U79" s="1197" t="str">
        <f>IF(ISBLANK(Récap1!U79),"",Récap1!U79)</f>
        <v>PVL</v>
      </c>
      <c r="V79" s="1435" t="str">
        <f>IF(ISBLANK(Récap1!V79),"",Récap1!V79)</f>
        <v>PVL</v>
      </c>
      <c r="W79" s="1197" t="str">
        <f>IF(ISBLANK(Récap1!W79),"",Récap1!W79)</f>
        <v>PVL</v>
      </c>
      <c r="X79" s="1197" t="str">
        <f>IF(ISBLANK(Récap1!X79),"",Récap1!X79)</f>
        <v>PVL</v>
      </c>
      <c r="Y79" s="1197" t="str">
        <f>IF(ISBLANK(Récap1!Y79),"",Récap1!Y79)</f>
        <v>PVL</v>
      </c>
      <c r="Z79" s="1197" t="str">
        <f>IF(ISBLANK(Récap1!Z79),"",Récap1!Z79)</f>
        <v>PVL</v>
      </c>
      <c r="AA79" s="646">
        <f>IF(ISBLANK(Récap1!AA79),"",Récap1!AA79)</f>
        <v>98.600352296288179</v>
      </c>
      <c r="AB79" s="1197" t="str">
        <f>IF(ISBLANK(Récap1!AB79),"",Récap1!AB79)</f>
        <v>PVL</v>
      </c>
      <c r="AC79" s="1198" t="str">
        <f>IF(ISBLANK(Récap1!AC79),"",Récap1!AC79)</f>
        <v>PVL</v>
      </c>
      <c r="AD79" s="1197" t="str">
        <f>IF(ISBLANK(Récap1!AD79),"",Récap1!AD79)</f>
        <v>PVL</v>
      </c>
      <c r="AE79" s="1197" t="str">
        <f>IF(ISBLANK(Récap1!AE79),"",Récap1!AE79)</f>
        <v>PVL</v>
      </c>
      <c r="AF79" s="1199" t="str">
        <f>IF(ISBLANK(Récap1!AF79),"",Récap1!AF79)</f>
        <v>PVL</v>
      </c>
      <c r="AG79" s="1197" t="str">
        <f>IF(ISBLANK(Récap1!AG79),"",Récap1!AG79)</f>
        <v>PVL</v>
      </c>
      <c r="AH79" s="1197" t="str">
        <f>IF(ISBLANK(Récap1!AH79),"",Récap1!AH79)</f>
        <v>PVL</v>
      </c>
      <c r="AI79" s="1197" t="str">
        <f>IF(ISBLANK(Récap1!AI79),"",Récap1!AI79)</f>
        <v>PVL</v>
      </c>
      <c r="AJ79" s="1198" t="str">
        <f>IF(ISBLANK(Récap1!AJ79),"",Récap1!AJ79)</f>
        <v>PVL</v>
      </c>
      <c r="AK79" s="1197" t="str">
        <f>IF(ISBLANK(Récap1!AK79),"",Récap1!AK79)</f>
        <v>PVL</v>
      </c>
      <c r="AL79" s="1197" t="str">
        <f>IF(ISBLANK(Récap1!AL79),"",Récap1!AL79)</f>
        <v>PVL</v>
      </c>
      <c r="AM79" s="1197" t="str">
        <f>IF(ISBLANK(Récap1!AM79),"",Récap1!AM79)</f>
        <v>PVL</v>
      </c>
      <c r="AN79" s="1196" t="str">
        <f>IF(ISBLANK(Récap1!AN79),"",Récap1!AN79)</f>
        <v>PVL</v>
      </c>
      <c r="AO79" s="1197" t="str">
        <f>IF(ISBLANK(Récap1!AO79),"",Récap1!AO79)</f>
        <v>PVL</v>
      </c>
      <c r="AP79" s="1197" t="str">
        <f>IF(ISBLANK(Récap1!AP79),"",Récap1!AP79)</f>
        <v>PVL</v>
      </c>
      <c r="AQ79" s="1197" t="str">
        <f>IF(ISBLANK(Récap1!AQ79),"",Récap1!AQ79)</f>
        <v>PVL</v>
      </c>
      <c r="AR79" s="1197" t="str">
        <f>IF(ISBLANK(Récap1!AR79),"",Récap1!AR79)</f>
        <v>PVL</v>
      </c>
      <c r="AS79" s="1197" t="str">
        <f>IF(ISBLANK(Récap1!AS79),"",Récap1!AS79)</f>
        <v>PVL</v>
      </c>
      <c r="AT79" s="1197" t="str">
        <f>IF(ISBLANK(Récap1!AT79),"",Récap1!AT79)</f>
        <v>PVL</v>
      </c>
      <c r="AU79" s="1197" t="str">
        <f>IF(ISBLANK(Récap1!AU79),"",Récap1!AU79)</f>
        <v>PVL</v>
      </c>
      <c r="AV79" s="1197" t="str">
        <f>IF(ISBLANK(Récap1!AV79),"",Récap1!AV79)</f>
        <v>PVL</v>
      </c>
      <c r="AW79" s="1197" t="str">
        <f>IF(ISBLANK(Récap1!AW79),"",Récap1!AW79)</f>
        <v>PVL</v>
      </c>
      <c r="AX79" s="1197" t="str">
        <f>IF(ISBLANK(Récap1!AX79),"",Récap1!AX79)</f>
        <v>PVL</v>
      </c>
      <c r="AY79" s="1197" t="str">
        <f>IF(ISBLANK(Récap1!AY79),"",Récap1!AY79)</f>
        <v>PVL</v>
      </c>
      <c r="AZ79" s="1197" t="str">
        <f>IF(ISBLANK(Récap1!AZ79),"",Récap1!AZ79)</f>
        <v>PVL</v>
      </c>
      <c r="BA79" s="1197" t="str">
        <f>IF(ISBLANK(Récap1!BA79),"",Récap1!BA79)</f>
        <v>PVL</v>
      </c>
      <c r="BB79" s="1197" t="str">
        <f>IF(ISBLANK(Récap1!BB79),"",Récap1!BB79)</f>
        <v>PVL</v>
      </c>
      <c r="BC79" s="646" t="str">
        <f>IF(ISBLANK(Récap1!BC79),"",Récap1!BC79)</f>
        <v>PVL</v>
      </c>
      <c r="BD79" s="1196">
        <f>IF(ISBLANK(Récap1!BD79),"",Récap1!BD79)</f>
        <v>11358.726343704173</v>
      </c>
      <c r="BE79" s="1197" t="str">
        <f>IF(ISBLANK(Récap1!BE79),"",Récap1!BE79)</f>
        <v>PVL</v>
      </c>
      <c r="BF79" s="1197" t="str">
        <f>IF(ISBLANK(Récap1!BF79),"",Récap1!BF79)</f>
        <v>PVL</v>
      </c>
      <c r="BG79" s="1197" t="str">
        <f>IF(ISBLANK(Récap1!BG79),"",Récap1!BG79)</f>
        <v>nd</v>
      </c>
      <c r="BH79" s="646" t="str">
        <f>IF(ISBLANK(Récap1!BH79),"",Récap1!BH79)</f>
        <v>PVL</v>
      </c>
      <c r="BI79" s="1197" t="str">
        <f>IF(ISBLANK(Récap1!BI79),"",Récap1!BI79)</f>
        <v>PVL</v>
      </c>
      <c r="BJ79" s="1200" t="e">
        <f>IF(ISBLANK(Récap1!#REF!),"",Récap1!#REF!)</f>
        <v>#REF!</v>
      </c>
      <c r="BK79" s="1200" t="e">
        <f>IF(ISBLANK(Récap1!#REF!),"",Récap1!#REF!)</f>
        <v>#REF!</v>
      </c>
      <c r="BL79" s="1197" t="str">
        <f>IF(ISBLANK('HCT2'!H79),"",'HCT2'!H79)</f>
        <v>PVL</v>
      </c>
      <c r="BM79" s="1197" t="str">
        <f>IF(ISBLANK('HCT2'!I79),"",'HCT2'!I79)</f>
        <v>PVL</v>
      </c>
      <c r="BN79" s="1197" t="str">
        <f>IF(ISBLANK('HCT2'!J79),"",'HCT2'!J79)</f>
        <v>PVL</v>
      </c>
      <c r="BO79" s="646">
        <f>IF(ISBLANK('HCT2'!K79),"",'HCT2'!K79)</f>
        <v>98.600352296288179</v>
      </c>
      <c r="BP79" s="1197" t="e">
        <f>IF(ISBLANK('HCT2'!L79),"",'HCT2'!L79)</f>
        <v>#VALUE!</v>
      </c>
      <c r="BQ79" s="1198" t="e">
        <f>IF(ISBLANK('HCT2'!M79),"",'HCT2'!M79)</f>
        <v>#VALUE!</v>
      </c>
      <c r="BR79" s="1197" t="e">
        <f>IF(ISBLANK('HCT2'!N79),"",'HCT2'!N79)</f>
        <v>#VALUE!</v>
      </c>
      <c r="BS79" s="1197" t="e">
        <f>IF(ISBLANK('HCT2'!O79),"",'HCT2'!O79)</f>
        <v>#VALUE!</v>
      </c>
      <c r="BT79" s="1199" t="e">
        <f>IF(ISBLANK('HCT2'!P79),"",'HCT2'!P79)</f>
        <v>#VALUE!</v>
      </c>
      <c r="BU79" s="1197" t="e">
        <f>IF(ISBLANK('HCT2'!Q79),"",'HCT2'!Q79)</f>
        <v>#VALUE!</v>
      </c>
      <c r="BV79" s="1197" t="e">
        <f>IF(ISBLANK('HCT2'!R79),"",'HCT2'!R79)</f>
        <v>#VALUE!</v>
      </c>
      <c r="BW79" s="1197" t="e">
        <f>IF(ISBLANK('HCT2'!S79),"",'HCT2'!S79)</f>
        <v>#VALUE!</v>
      </c>
      <c r="BX79" s="1198" t="e">
        <f>IF(ISBLANK('HCT2'!T79),"",'HCT2'!T79)</f>
        <v>#VALUE!</v>
      </c>
      <c r="BY79" s="1197" t="e">
        <f>IF(ISBLANK('HCT2'!U79),"",'HCT2'!U79)</f>
        <v>#VALUE!</v>
      </c>
      <c r="BZ79" s="1197" t="e">
        <f>IF(ISBLANK('HCT2'!V79),"",'HCT2'!V79)</f>
        <v>#VALUE!</v>
      </c>
      <c r="CA79" s="1197" t="e">
        <f>IF(ISBLANK('HCT2'!W79),"",'HCT2'!W79)</f>
        <v>#VALUE!</v>
      </c>
      <c r="CB79" s="1200" t="str">
        <f>IF(ISBLANK('HCT2'!X79),"",'HCT2'!X79)</f>
        <v/>
      </c>
      <c r="CC79" s="1201" t="str">
        <f>IF(ISBLANK('HCT2'!Y79),"",'HCT2'!Y79)</f>
        <v>PVL</v>
      </c>
      <c r="CD79" s="1202" t="str">
        <f>IF(ISBLANK('HCT2'!Z79),"",'HCT2'!Z79)</f>
        <v>PVL</v>
      </c>
      <c r="CE79" s="1200" t="str">
        <f>IF(ISBLANK('HCT2'!AA79),"",'HCT2'!AA79)</f>
        <v/>
      </c>
      <c r="CF79" s="1200" t="str">
        <f>IF(ISBLANK('HCT2'!AB79),"",'HCT2'!AB79)</f>
        <v/>
      </c>
      <c r="CG79" s="1203" t="str">
        <f>IF(ISBLANK('HCT2'!AC79),"",'HCT2'!AC79)</f>
        <v>PVL</v>
      </c>
      <c r="CH79" s="1200" t="str">
        <f>IF(ISBLANK('HCT2'!AD79),"",'HCT2'!AD79)</f>
        <v/>
      </c>
      <c r="CI79" s="1200" t="str">
        <f>IF(ISBLANK('HCT2'!AE79),"",'HCT2'!AE79)</f>
        <v/>
      </c>
      <c r="CJ79" s="1200" t="str">
        <f>IF(ISBLANK('HCT2'!AF79),"",'HCT2'!AF79)</f>
        <v/>
      </c>
      <c r="CK79" s="1204" t="str">
        <f>IF(ISBLANK('HCT2'!AG79),"",'HCT2'!AG79)</f>
        <v/>
      </c>
      <c r="CL79" s="1200" t="str">
        <f>IF(ISBLANK('HCT2'!AH79),"",'HCT2'!AH79)</f>
        <v>PVL</v>
      </c>
      <c r="CM79" s="1200" t="str">
        <f>IF(ISBLANK('HCT2'!AI79),"",'HCT2'!AI79)</f>
        <v>PVL</v>
      </c>
      <c r="CN79" s="1204" t="str">
        <f>IF(ISBLANK('HCT2'!AJ79),"",'HCT2'!AJ79)</f>
        <v>PVL</v>
      </c>
      <c r="CO79" s="1200" t="str">
        <f>IF(ISBLANK('HCT2'!AK79),"",'HCT2'!AK79)</f>
        <v/>
      </c>
      <c r="CP79" s="1200" t="str">
        <f>IF(ISBLANK('HCT2'!AL79),"",'HCT2'!AL79)</f>
        <v/>
      </c>
      <c r="CQ79" s="1200" t="str">
        <f>IF(ISBLANK('HCT2'!AM79),"",'HCT2'!AM79)</f>
        <v/>
      </c>
      <c r="CR79" s="1205" t="str">
        <f>IF(ISBLANK('HCT2'!AN79),"",'HCT2'!AN79)</f>
        <v/>
      </c>
      <c r="CS79" s="1206" t="str">
        <f>IF(ISBLANK('HCT2'!AO79),"",'HCT2'!AO79)</f>
        <v>PVL</v>
      </c>
      <c r="CT79" s="1207">
        <f>IF(ISBLANK('HCT2'!AP79),"",'HCT2'!AP79)</f>
        <v>0</v>
      </c>
      <c r="CU79" s="1142" t="str">
        <f>IF(ISBLANK('HCT2'!AQ79),"",'HCT2'!AQ79)</f>
        <v>PVL</v>
      </c>
      <c r="CV79" s="652" t="e">
        <f>IF(ISBLANK('HCT2'!AR79),"",'HCT2'!AR79)</f>
        <v>#VALUE!</v>
      </c>
      <c r="CW79" s="1208" t="e">
        <f>IF(ISBLANK(Récap1!#REF!),"",Récap1!#REF!)</f>
        <v>#REF!</v>
      </c>
      <c r="CX79" s="1208" t="e">
        <f>IF(ISBLANK(Récap1!#REF!),"",Récap1!#REF!)</f>
        <v>#REF!</v>
      </c>
      <c r="CY79" s="1200" t="e">
        <f>IF(ISBLANK(Récap1!#REF!),"",Récap1!#REF!)</f>
        <v>#REF!</v>
      </c>
      <c r="CZ79" s="1200" t="e">
        <f>IF(ISBLANK(Récap1!#REF!),"",Récap1!#REF!)</f>
        <v>#REF!</v>
      </c>
      <c r="DA79" s="1200" t="e">
        <f>IF(ISBLANK(Récap1!#REF!),"",Récap1!#REF!)</f>
        <v>#REF!</v>
      </c>
      <c r="DB79" s="1200" t="e">
        <f>IF(ISBLANK(Récap1!#REF!),"",Récap1!#REF!)</f>
        <v>#REF!</v>
      </c>
      <c r="DC79" s="1208" t="str">
        <f>IF(ISBLANK('HCT2'!AS79),"",'HCT2'!AS79)</f>
        <v>PVL</v>
      </c>
      <c r="DD79" s="1200" t="str">
        <f>IF(ISBLANK('HCT2'!AT79),"",'HCT2'!AT79)</f>
        <v>PVL</v>
      </c>
      <c r="DE79" s="1200" t="str">
        <f>IF(ISBLANK('HCT2'!AU79),"",'HCT2'!AU79)</f>
        <v>PVL</v>
      </c>
      <c r="DF79" s="1200" t="str">
        <f>IF(ISBLANK('HCT2'!AV79),"",'HCT2'!AV79)</f>
        <v>PVL</v>
      </c>
      <c r="DG79" s="1200" t="str">
        <f>IF(ISBLANK('HCT2'!AW79),"",'HCT2'!AW79)</f>
        <v/>
      </c>
      <c r="DH79" s="1200" t="str">
        <f>IF(ISBLANK('HCT2'!AX79),"",'HCT2'!AX79)</f>
        <v/>
      </c>
      <c r="DI79" s="1200" t="str">
        <f>IF(ISBLANK('HCT2'!AY79),"",'HCT2'!AY79)</f>
        <v/>
      </c>
      <c r="DJ79" s="1209" t="str">
        <f>IF(ISBLANK('HCT2'!AZ79),"",'HCT2'!AZ79)</f>
        <v>PVL</v>
      </c>
      <c r="DK79" s="1200" t="str">
        <f>IF(ISBLANK('HCT2'!BA79),"",'HCT2'!BA79)</f>
        <v>PVL</v>
      </c>
      <c r="DL79" s="1200" t="str">
        <f>IF(ISBLANK('HCT2'!BB79),"",'HCT2'!BB79)</f>
        <v>PVL</v>
      </c>
      <c r="DM79" s="1204" t="str">
        <f>IF(ISBLANK('HCT2'!BC79),"",'HCT2'!BC79)</f>
        <v>PVL</v>
      </c>
      <c r="DN79" s="1210" t="str">
        <f>IF(ISBLANK('HCT2'!BD79),"",'HCT2'!BD79)</f>
        <v>PVL</v>
      </c>
      <c r="DO79" s="1211">
        <f>IF(ISBLANK('HCT2'!BE79),"",'HCT2'!BE79)</f>
        <v>0</v>
      </c>
      <c r="DP79" s="1212" t="str">
        <f>IF(ISBLANK('HCT2'!BF79),"",'HCT2'!BF79)</f>
        <v>PVL</v>
      </c>
      <c r="DQ79" s="979" t="e">
        <f t="shared" si="0"/>
        <v>#VALUE!</v>
      </c>
      <c r="DS79" s="781" t="e">
        <f t="shared" si="1"/>
        <v>#VALUE!</v>
      </c>
      <c r="DT79" s="781" t="e">
        <f t="shared" si="1"/>
        <v>#VALUE!</v>
      </c>
      <c r="DU79" s="781" t="e">
        <f t="shared" si="3"/>
        <v>#VALUE!</v>
      </c>
      <c r="DV79" s="880" t="e">
        <f t="shared" si="3"/>
        <v>#VALUE!</v>
      </c>
      <c r="DW79" s="781" t="e">
        <f t="shared" si="3"/>
        <v>#VALUE!</v>
      </c>
      <c r="DX79" s="781" t="e">
        <f t="shared" si="3"/>
        <v>#VALUE!</v>
      </c>
      <c r="DY79" s="781" t="e">
        <f t="shared" si="3"/>
        <v>#VALUE!</v>
      </c>
    </row>
    <row r="80" spans="1:131" s="998" customFormat="1" hidden="1">
      <c r="A80" s="988"/>
      <c r="B80" s="988"/>
      <c r="C80" s="989"/>
      <c r="D80" s="990"/>
      <c r="E80" s="991" t="str">
        <f>IF(ISBLANK(Récap1!E80),"",Récap1!E80)</f>
        <v>Seuil dont détection olfactive air ambiant immédiat</v>
      </c>
      <c r="F80" s="992" t="str">
        <f>IF(ISBLANK(Récap1!F80),"",Récap1!F80)</f>
        <v>Cs</v>
      </c>
      <c r="G80" s="992" t="str">
        <f>IF(ISBLANK(Récap1!G80),"",Récap1!G80)</f>
        <v>mg/kg ms</v>
      </c>
      <c r="H80" s="993">
        <f>IF(ISBLANK(Récap1!H80),"",Récap1!H80)</f>
        <v>5181.2716774705141</v>
      </c>
      <c r="I80" s="994">
        <f>IF(ISBLANK(Récap1!I80),"",Récap1!I80)</f>
        <v>5181.2716774705141</v>
      </c>
      <c r="J80" s="1214">
        <f>IF(ISBLANK(Récap1!J80),"",Récap1!J80)</f>
        <v>38758.586675549173</v>
      </c>
      <c r="K80" s="1213">
        <f>IF(ISBLANK(Récap1!K80),"",Récap1!K80)</f>
        <v>14.649905454545456</v>
      </c>
      <c r="L80" s="1214">
        <f>IF(ISBLANK(Récap1!L80),"",Récap1!L80)</f>
        <v>20.075395790853964</v>
      </c>
      <c r="M80" s="1214">
        <f>IF(ISBLANK(Récap1!M80),"",Récap1!M80)</f>
        <v>20.075395790853964</v>
      </c>
      <c r="N80" s="1214">
        <f>IF(ISBLANK(Récap1!N80),"",Récap1!N80)</f>
        <v>45.780954545454541</v>
      </c>
      <c r="O80" s="1214">
        <f>IF(ISBLANK(Récap1!O80),"",Récap1!O80)</f>
        <v>45.780954545454541</v>
      </c>
      <c r="P80" s="1214">
        <f>IF(ISBLANK(Récap1!P80),"",Récap1!P80)</f>
        <v>9.1561909090909115</v>
      </c>
      <c r="Q80" s="1214">
        <f>IF(ISBLANK(Récap1!Q80),"",Récap1!Q80)</f>
        <v>9.1561909090909115</v>
      </c>
      <c r="R80" s="1214">
        <f>IF(ISBLANK(Récap1!R80),"",Récap1!R80)</f>
        <v>91.561909090909097</v>
      </c>
      <c r="S80" s="1214">
        <f>IF(ISBLANK(Récap1!S80),"",Récap1!S80)</f>
        <v>3.9809525691699599</v>
      </c>
      <c r="T80" s="1214">
        <f>IF(ISBLANK(Récap1!T80),"",Récap1!T80)</f>
        <v>3.9809525691699599</v>
      </c>
      <c r="U80" s="1214">
        <f>IF(ISBLANK(Récap1!U80),"",Récap1!U80)</f>
        <v>2.1800454545454544</v>
      </c>
      <c r="V80" s="1436">
        <f>IF(ISBLANK(Récap1!V80),"",Récap1!V80)</f>
        <v>261.60545454545451</v>
      </c>
      <c r="W80" s="1214">
        <f>IF(ISBLANK(Récap1!W80),"",Récap1!W80)</f>
        <v>261.60545454545451</v>
      </c>
      <c r="X80" s="1214">
        <f>IF(ISBLANK(Récap1!X80),"",Récap1!X80)</f>
        <v>2.7474192261642125</v>
      </c>
      <c r="Y80" s="1214">
        <f>IF(ISBLANK(Récap1!Y80),"",Récap1!Y80)</f>
        <v>96.184299750885145</v>
      </c>
      <c r="Z80" s="1214">
        <f>IF(ISBLANK(Récap1!Z80),"",Récap1!Z80)</f>
        <v>36.624763636363639</v>
      </c>
      <c r="AA80" s="1215">
        <f>IF(ISBLANK(Récap1!AA80),"",Récap1!AA80)</f>
        <v>51.681819754531617</v>
      </c>
      <c r="AB80" s="1214" t="str">
        <f>IF(ISBLANK(Récap1!AB80),"",Récap1!AB80)</f>
        <v>PVL</v>
      </c>
      <c r="AC80" s="1216" t="str">
        <f>IF(ISBLANK(Récap1!AC80),"",Récap1!AC80)</f>
        <v>PVL</v>
      </c>
      <c r="AD80" s="1214" t="str">
        <f>IF(ISBLANK(Récap1!AD80),"",Récap1!AD80)</f>
        <v>PVL</v>
      </c>
      <c r="AE80" s="1214" t="str">
        <f>IF(ISBLANK(Récap1!AE80),"",Récap1!AE80)</f>
        <v>PVL</v>
      </c>
      <c r="AF80" s="1143" t="str">
        <f>IF(ISBLANK(Récap1!AF80),"",Récap1!AF80)</f>
        <v>PVL</v>
      </c>
      <c r="AG80" s="1214" t="str">
        <f>IF(ISBLANK(Récap1!AG80),"",Récap1!AG80)</f>
        <v>PVL</v>
      </c>
      <c r="AH80" s="1214" t="str">
        <f>IF(ISBLANK(Récap1!AH80),"",Récap1!AH80)</f>
        <v>PVL</v>
      </c>
      <c r="AI80" s="1214" t="str">
        <f>IF(ISBLANK(Récap1!AI80),"",Récap1!AI80)</f>
        <v>PVL</v>
      </c>
      <c r="AJ80" s="1216" t="str">
        <f>IF(ISBLANK(Récap1!AJ80),"",Récap1!AJ80)</f>
        <v>PVL</v>
      </c>
      <c r="AK80" s="1214" t="str">
        <f>IF(ISBLANK(Récap1!AK80),"",Récap1!AK80)</f>
        <v>PVL</v>
      </c>
      <c r="AL80" s="1214" t="str">
        <f>IF(ISBLANK(Récap1!AL80),"",Récap1!AL80)</f>
        <v>PVL</v>
      </c>
      <c r="AM80" s="1214" t="str">
        <f>IF(ISBLANK(Récap1!AM80),"",Récap1!AM80)</f>
        <v>PVL</v>
      </c>
      <c r="AN80" s="1213">
        <f>IF(ISBLANK(Récap1!AN80),"",Récap1!AN80)</f>
        <v>13.289972817113433</v>
      </c>
      <c r="AO80" s="1214" t="str">
        <f>IF(ISBLANK(Récap1!AO80),"",Récap1!AO80)</f>
        <v>PVL</v>
      </c>
      <c r="AP80" s="1214" t="str">
        <f>IF(ISBLANK(Récap1!AP80),"",Récap1!AP80)</f>
        <v>PVL</v>
      </c>
      <c r="AQ80" s="1214" t="str">
        <f>IF(ISBLANK(Récap1!AQ80),"",Récap1!AQ80)</f>
        <v>PVL</v>
      </c>
      <c r="AR80" s="1214" t="str">
        <f>IF(ISBLANK(Récap1!AR80),"",Récap1!AR80)</f>
        <v>PVL</v>
      </c>
      <c r="AS80" s="1214" t="str">
        <f>IF(ISBLANK(Récap1!AS80),"",Récap1!AS80)</f>
        <v>PVL</v>
      </c>
      <c r="AT80" s="1214" t="str">
        <f>IF(ISBLANK(Récap1!AT80),"",Récap1!AT80)</f>
        <v>PVL</v>
      </c>
      <c r="AU80" s="1214" t="str">
        <f>IF(ISBLANK(Récap1!AU80),"",Récap1!AU80)</f>
        <v>PVL</v>
      </c>
      <c r="AV80" s="1214" t="str">
        <f>IF(ISBLANK(Récap1!AV80),"",Récap1!AV80)</f>
        <v>PVL</v>
      </c>
      <c r="AW80" s="1214" t="str">
        <f>IF(ISBLANK(Récap1!AW80),"",Récap1!AW80)</f>
        <v>PVL</v>
      </c>
      <c r="AX80" s="1214" t="str">
        <f>IF(ISBLANK(Récap1!AX80),"",Récap1!AX80)</f>
        <v>PVL</v>
      </c>
      <c r="AY80" s="1214" t="str">
        <f>IF(ISBLANK(Récap1!AY80),"",Récap1!AY80)</f>
        <v>PVL</v>
      </c>
      <c r="AZ80" s="1214" t="str">
        <f>IF(ISBLANK(Récap1!AZ80),"",Récap1!AZ80)</f>
        <v>PVL</v>
      </c>
      <c r="BA80" s="1214" t="str">
        <f>IF(ISBLANK(Récap1!BA80),"",Récap1!BA80)</f>
        <v>PVL</v>
      </c>
      <c r="BB80" s="1214" t="str">
        <f>IF(ISBLANK(Récap1!BB80),"",Récap1!BB80)</f>
        <v>PVL</v>
      </c>
      <c r="BC80" s="1215" t="str">
        <f>IF(ISBLANK(Récap1!BC80),"",Récap1!BC80)</f>
        <v>PVL</v>
      </c>
      <c r="BD80" s="1213">
        <f>IF(ISBLANK(Récap1!BD80),"",Récap1!BD80)</f>
        <v>1462.1351057555348</v>
      </c>
      <c r="BE80" s="1214" t="str">
        <f>IF(ISBLANK(Récap1!BE80),"",Récap1!BE80)</f>
        <v>PVL</v>
      </c>
      <c r="BF80" s="1214" t="str">
        <f>IF(ISBLANK(Récap1!BF80),"",Récap1!BF80)</f>
        <v>PVL</v>
      </c>
      <c r="BG80" s="1214">
        <f>IF(ISBLANK(Récap1!BG80),"",Récap1!BG80)</f>
        <v>7.8481636363636371E-3</v>
      </c>
      <c r="BH80" s="1217">
        <f>IF(ISBLANK(Récap1!BH80),"",Récap1!BH80)</f>
        <v>32.570190666935673</v>
      </c>
      <c r="BI80" s="1214">
        <f>IF(ISBLANK(Récap1!BI80),"",Récap1!BI80)</f>
        <v>15.176458616958138</v>
      </c>
      <c r="BJ80" s="1218" t="e">
        <f>IF(ISBLANK(Récap1!#REF!),"",Récap1!#REF!)</f>
        <v>#REF!</v>
      </c>
      <c r="BK80" s="1218" t="e">
        <f>IF(ISBLANK(Récap1!#REF!),"",Récap1!#REF!)</f>
        <v>#REF!</v>
      </c>
      <c r="BL80" s="1214">
        <f>IF(ISBLANK('HCT2'!H80),"",'HCT2'!H80)</f>
        <v>2.7474192261642125</v>
      </c>
      <c r="BM80" s="1214">
        <f>IF(ISBLANK('HCT2'!I80),"",'HCT2'!I80)</f>
        <v>96.184299750885145</v>
      </c>
      <c r="BN80" s="1214">
        <f>IF(ISBLANK('HCT2'!J80),"",'HCT2'!J80)</f>
        <v>36.624763636363639</v>
      </c>
      <c r="BO80" s="1215">
        <f>IF(ISBLANK('HCT2'!K80),"",'HCT2'!K80)</f>
        <v>51.681819754531617</v>
      </c>
      <c r="BP80" s="1214">
        <f>IF(ISBLANK('HCT2'!L80),"",'HCT2'!L80)</f>
        <v>126.0299739206294</v>
      </c>
      <c r="BQ80" s="1216">
        <f>IF(ISBLANK('HCT2'!M80),"",'HCT2'!M80)</f>
        <v>16.647114731636385</v>
      </c>
      <c r="BR80" s="1214">
        <f>IF(ISBLANK('HCT2'!N80),"",'HCT2'!N80)</f>
        <v>29.607831275940278</v>
      </c>
      <c r="BS80" s="1214">
        <f>IF(ISBLANK('HCT2'!O80),"",'HCT2'!O80)</f>
        <v>2.8113591099482775</v>
      </c>
      <c r="BT80" s="1143">
        <f>IF(ISBLANK('HCT2'!P80),"",'HCT2'!P80)</f>
        <v>1.9322992500812663E-2</v>
      </c>
      <c r="BU80" s="1214">
        <f>IF(ISBLANK('HCT2'!Q80),"",'HCT2'!Q80)</f>
        <v>239.74624142696982</v>
      </c>
      <c r="BV80" s="1214">
        <f>IF(ISBLANK('HCT2'!R80),"",'HCT2'!R80)</f>
        <v>185.34310126470973</v>
      </c>
      <c r="BW80" s="1214">
        <f>IF(ISBLANK('HCT2'!S80),"",'HCT2'!S80)</f>
        <v>50.015600437773628</v>
      </c>
      <c r="BX80" s="1216">
        <f>IF(ISBLANK('HCT2'!T80),"",'HCT2'!T80)</f>
        <v>11.444976489768178</v>
      </c>
      <c r="BY80" s="1214">
        <f>IF(ISBLANK('HCT2'!U80),"",'HCT2'!U80)</f>
        <v>37.395520537930352</v>
      </c>
      <c r="BZ80" s="1214">
        <f>IF(ISBLANK('HCT2'!V80),"",'HCT2'!V80)</f>
        <v>23.870560393342576</v>
      </c>
      <c r="CA80" s="1214">
        <f>IF(ISBLANK('HCT2'!W80),"",'HCT2'!W80)</f>
        <v>2.5113679373767974</v>
      </c>
      <c r="CB80" s="1218" t="str">
        <f>IF(ISBLANK('HCT2'!X80),"",'HCT2'!X80)</f>
        <v/>
      </c>
      <c r="CC80" s="1219">
        <f>IF(ISBLANK('HCT2'!Y80),"",'HCT2'!Y80)</f>
        <v>239.85055862379866</v>
      </c>
      <c r="CD80" s="1220">
        <f>IF(ISBLANK('HCT2'!Z80),"",'HCT2'!Z80)</f>
        <v>705.39936381158907</v>
      </c>
      <c r="CE80" s="1218" t="str">
        <f>IF(ISBLANK('HCT2'!AA80),"",'HCT2'!AA80)</f>
        <v/>
      </c>
      <c r="CF80" s="1218" t="str">
        <f>IF(ISBLANK('HCT2'!AB80),"",'HCT2'!AB80)</f>
        <v/>
      </c>
      <c r="CG80" s="1221" t="str">
        <f>IF(ISBLANK('HCT2'!AC80),"",'HCT2'!AC80)</f>
        <v>PVL</v>
      </c>
      <c r="CH80" s="1218" t="str">
        <f>IF(ISBLANK('HCT2'!AD80),"",'HCT2'!AD80)</f>
        <v/>
      </c>
      <c r="CI80" s="1218" t="str">
        <f>IF(ISBLANK('HCT2'!AE80),"",'HCT2'!AE80)</f>
        <v/>
      </c>
      <c r="CJ80" s="1218" t="str">
        <f>IF(ISBLANK('HCT2'!AF80),"",'HCT2'!AF80)</f>
        <v/>
      </c>
      <c r="CK80" s="1222" t="str">
        <f>IF(ISBLANK('HCT2'!AG80),"",'HCT2'!AG80)</f>
        <v/>
      </c>
      <c r="CL80" s="1218" t="str">
        <f>IF(ISBLANK('HCT2'!AH80),"",'HCT2'!AH80)</f>
        <v>PVL</v>
      </c>
      <c r="CM80" s="1218" t="str">
        <f>IF(ISBLANK('HCT2'!AI80),"",'HCT2'!AI80)</f>
        <v>PVL</v>
      </c>
      <c r="CN80" s="1222" t="str">
        <f>IF(ISBLANK('HCT2'!AJ80),"",'HCT2'!AJ80)</f>
        <v>PVL</v>
      </c>
      <c r="CO80" s="1218" t="str">
        <f>IF(ISBLANK('HCT2'!AK80),"",'HCT2'!AK80)</f>
        <v/>
      </c>
      <c r="CP80" s="1218" t="str">
        <f>IF(ISBLANK('HCT2'!AL80),"",'HCT2'!AL80)</f>
        <v/>
      </c>
      <c r="CQ80" s="1218" t="str">
        <f>IF(ISBLANK('HCT2'!AM80),"",'HCT2'!AM80)</f>
        <v/>
      </c>
      <c r="CR80" s="1223" t="str">
        <f>IF(ISBLANK('HCT2'!AN80),"",'HCT2'!AN80)</f>
        <v/>
      </c>
      <c r="CS80" s="1214">
        <f>IF(ISBLANK('HCT2'!AO80),"",'HCT2'!AO80)</f>
        <v>705.39936381158907</v>
      </c>
      <c r="CT80" s="1174">
        <f>IF(ISBLANK('HCT2'!AP80),"",'HCT2'!AP80)</f>
        <v>0.14780910234752553</v>
      </c>
      <c r="CU80" s="1143">
        <f>IF(ISBLANK('HCT2'!AQ80),"",'HCT2'!AQ80)</f>
        <v>669.32088353018514</v>
      </c>
      <c r="CV80" s="1215">
        <f>IF(ISBLANK('HCT2'!AR80),"",'HCT2'!AR80)</f>
        <v>700.06663602713195</v>
      </c>
      <c r="CW80" s="1224" t="e">
        <f>IF(ISBLANK(Récap1!#REF!),"",Récap1!#REF!)</f>
        <v>#REF!</v>
      </c>
      <c r="CX80" s="1224" t="e">
        <f>IF(ISBLANK(Récap1!#REF!),"",Récap1!#REF!)</f>
        <v>#REF!</v>
      </c>
      <c r="CY80" s="1218" t="e">
        <f>IF(ISBLANK(Récap1!#REF!),"",Récap1!#REF!)</f>
        <v>#REF!</v>
      </c>
      <c r="CZ80" s="1218" t="e">
        <f>IF(ISBLANK(Récap1!#REF!),"",Récap1!#REF!)</f>
        <v>#REF!</v>
      </c>
      <c r="DA80" s="1218" t="e">
        <f>IF(ISBLANK(Récap1!#REF!),"",Récap1!#REF!)</f>
        <v>#REF!</v>
      </c>
      <c r="DB80" s="1218" t="e">
        <f>IF(ISBLANK(Récap1!#REF!),"",Récap1!#REF!)</f>
        <v>#REF!</v>
      </c>
      <c r="DC80" s="1224" t="str">
        <f>IF(ISBLANK('HCT2'!AS80),"",'HCT2'!AS80)</f>
        <v>PVL</v>
      </c>
      <c r="DD80" s="1218" t="str">
        <f>IF(ISBLANK('HCT2'!AT80),"",'HCT2'!AT80)</f>
        <v>PVL</v>
      </c>
      <c r="DE80" s="1218" t="str">
        <f>IF(ISBLANK('HCT2'!AU80),"",'HCT2'!AU80)</f>
        <v>PVL</v>
      </c>
      <c r="DF80" s="1218" t="str">
        <f>IF(ISBLANK('HCT2'!AV80),"",'HCT2'!AV80)</f>
        <v>PVL</v>
      </c>
      <c r="DG80" s="1218" t="str">
        <f>IF(ISBLANK('HCT2'!AW80),"",'HCT2'!AW80)</f>
        <v/>
      </c>
      <c r="DH80" s="1218" t="str">
        <f>IF(ISBLANK('HCT2'!AX80),"",'HCT2'!AX80)</f>
        <v/>
      </c>
      <c r="DI80" s="1218" t="str">
        <f>IF(ISBLANK('HCT2'!AY80),"",'HCT2'!AY80)</f>
        <v/>
      </c>
      <c r="DJ80" s="1225" t="str">
        <f>IF(ISBLANK('HCT2'!AZ80),"",'HCT2'!AZ80)</f>
        <v>PVL</v>
      </c>
      <c r="DK80" s="1218" t="str">
        <f>IF(ISBLANK('HCT2'!BA80),"",'HCT2'!BA80)</f>
        <v>PVL</v>
      </c>
      <c r="DL80" s="1218" t="str">
        <f>IF(ISBLANK('HCT2'!BB80),"",'HCT2'!BB80)</f>
        <v>PVL</v>
      </c>
      <c r="DM80" s="1222" t="str">
        <f>IF(ISBLANK('HCT2'!BC80),"",'HCT2'!BC80)</f>
        <v>PVL</v>
      </c>
      <c r="DN80" s="1218" t="str">
        <f>IF(ISBLANK('HCT2'!BD80),"",'HCT2'!BD80)</f>
        <v>PVL</v>
      </c>
      <c r="DO80" s="1175">
        <f>IF(ISBLANK('HCT2'!BE80),"",'HCT2'!BE80)</f>
        <v>0</v>
      </c>
      <c r="DP80" s="1222" t="str">
        <f>IF(ISBLANK('HCT2'!BF80),"",'HCT2'!BF80)</f>
        <v>PVL</v>
      </c>
      <c r="DQ80" s="990">
        <f t="shared" si="0"/>
        <v>124.30805346844366</v>
      </c>
      <c r="DS80" s="994">
        <f t="shared" si="1"/>
        <v>242.49366065313404</v>
      </c>
      <c r="DT80" s="994">
        <f t="shared" si="1"/>
        <v>281.52740101559488</v>
      </c>
      <c r="DU80" s="994">
        <f t="shared" si="3"/>
        <v>176.04557435840303</v>
      </c>
      <c r="DV80" s="996">
        <f t="shared" si="3"/>
        <v>28.092091221404566</v>
      </c>
      <c r="DW80" s="994">
        <f t="shared" si="3"/>
        <v>67.003351813870637</v>
      </c>
      <c r="DX80" s="994">
        <f t="shared" si="3"/>
        <v>26.681919503290853</v>
      </c>
      <c r="DY80" s="994">
        <f t="shared" si="3"/>
        <v>2.5306909298776099</v>
      </c>
    </row>
    <row r="81" spans="1:129" s="998" customFormat="1" hidden="1">
      <c r="A81" s="988"/>
      <c r="B81" s="988"/>
      <c r="C81" s="989"/>
      <c r="D81" s="990"/>
      <c r="E81" s="991" t="str">
        <f>IF(ISBLANK(Récap1!E81),"",Récap1!E81)</f>
        <v>Seuil dont détection olfactive air ambiant 2 mois</v>
      </c>
      <c r="F81" s="992" t="str">
        <f>IF(ISBLANK(Récap1!F81),"",Récap1!F81)</f>
        <v>Cs</v>
      </c>
      <c r="G81" s="992" t="str">
        <f>IF(ISBLANK(Récap1!G81),"",Récap1!G81)</f>
        <v>mg/kg ms</v>
      </c>
      <c r="H81" s="993">
        <f>IF(ISBLANK(Récap1!H81),"",Récap1!H81)</f>
        <v>5181.2716774705141</v>
      </c>
      <c r="I81" s="994">
        <f>IF(ISBLANK(Récap1!I81),"",Récap1!I81)</f>
        <v>5181.2716774705141</v>
      </c>
      <c r="J81" s="1214">
        <f>IF(ISBLANK(Récap1!J81),"",Récap1!J81)</f>
        <v>38758.586675549173</v>
      </c>
      <c r="K81" s="1213">
        <f>IF(ISBLANK(Récap1!K81),"",Récap1!K81)</f>
        <v>14.649905454545456</v>
      </c>
      <c r="L81" s="1214">
        <f>IF(ISBLANK(Récap1!L81),"",Récap1!L81)</f>
        <v>20.075395790853964</v>
      </c>
      <c r="M81" s="1214">
        <f>IF(ISBLANK(Récap1!M81),"",Récap1!M81)</f>
        <v>20.075395790853964</v>
      </c>
      <c r="N81" s="1214">
        <f>IF(ISBLANK(Récap1!N81),"",Récap1!N81)</f>
        <v>45.780954545454541</v>
      </c>
      <c r="O81" s="1214">
        <f>IF(ISBLANK(Récap1!O81),"",Récap1!O81)</f>
        <v>45.780954545454541</v>
      </c>
      <c r="P81" s="1214">
        <f>IF(ISBLANK(Récap1!P81),"",Récap1!P81)</f>
        <v>9.1561909090909115</v>
      </c>
      <c r="Q81" s="1214">
        <f>IF(ISBLANK(Récap1!Q81),"",Récap1!Q81)</f>
        <v>9.1561909090909115</v>
      </c>
      <c r="R81" s="1214">
        <f>IF(ISBLANK(Récap1!R81),"",Récap1!R81)</f>
        <v>91.561909090909097</v>
      </c>
      <c r="S81" s="1214">
        <f>IF(ISBLANK(Récap1!S81),"",Récap1!S81)</f>
        <v>3.9809525691699599</v>
      </c>
      <c r="T81" s="1214">
        <f>IF(ISBLANK(Récap1!T81),"",Récap1!T81)</f>
        <v>3.9809525691699599</v>
      </c>
      <c r="U81" s="1214">
        <f>IF(ISBLANK(Récap1!U81),"",Récap1!U81)</f>
        <v>2.1800454545454544</v>
      </c>
      <c r="V81" s="1436">
        <f>IF(ISBLANK(Récap1!V81),"",Récap1!V81)</f>
        <v>261.60545454545451</v>
      </c>
      <c r="W81" s="1214">
        <f>IF(ISBLANK(Récap1!W81),"",Récap1!W81)</f>
        <v>261.60545454545451</v>
      </c>
      <c r="X81" s="1214">
        <f>IF(ISBLANK(Récap1!X81),"",Récap1!X81)</f>
        <v>2.7474192261642125</v>
      </c>
      <c r="Y81" s="1214">
        <f>IF(ISBLANK(Récap1!Y81),"",Récap1!Y81)</f>
        <v>96.184299750885145</v>
      </c>
      <c r="Z81" s="1214">
        <f>IF(ISBLANK(Récap1!Z81),"",Récap1!Z81)</f>
        <v>36.624763636363639</v>
      </c>
      <c r="AA81" s="1215">
        <f>IF(ISBLANK(Récap1!AA81),"",Récap1!AA81)</f>
        <v>98.600352296288179</v>
      </c>
      <c r="AB81" s="1214" t="str">
        <f>IF(ISBLANK(Récap1!AB81),"",Récap1!AB81)</f>
        <v>PVL</v>
      </c>
      <c r="AC81" s="1216" t="str">
        <f>IF(ISBLANK(Récap1!AC81),"",Récap1!AC81)</f>
        <v>PVL</v>
      </c>
      <c r="AD81" s="1214" t="str">
        <f>IF(ISBLANK(Récap1!AD81),"",Récap1!AD81)</f>
        <v>PVL</v>
      </c>
      <c r="AE81" s="1214" t="str">
        <f>IF(ISBLANK(Récap1!AE81),"",Récap1!AE81)</f>
        <v>PVL</v>
      </c>
      <c r="AF81" s="1143" t="str">
        <f>IF(ISBLANK(Récap1!AF81),"",Récap1!AF81)</f>
        <v>PVL</v>
      </c>
      <c r="AG81" s="1214" t="str">
        <f>IF(ISBLANK(Récap1!AG81),"",Récap1!AG81)</f>
        <v>PVL</v>
      </c>
      <c r="AH81" s="1214" t="str">
        <f>IF(ISBLANK(Récap1!AH81),"",Récap1!AH81)</f>
        <v>PVL</v>
      </c>
      <c r="AI81" s="1214" t="str">
        <f>IF(ISBLANK(Récap1!AI81),"",Récap1!AI81)</f>
        <v>PVL</v>
      </c>
      <c r="AJ81" s="1216" t="str">
        <f>IF(ISBLANK(Récap1!AJ81),"",Récap1!AJ81)</f>
        <v>PVL</v>
      </c>
      <c r="AK81" s="1214" t="str">
        <f>IF(ISBLANK(Récap1!AK81),"",Récap1!AK81)</f>
        <v>PVL</v>
      </c>
      <c r="AL81" s="1214" t="str">
        <f>IF(ISBLANK(Récap1!AL81),"",Récap1!AL81)</f>
        <v>PVL</v>
      </c>
      <c r="AM81" s="1214" t="str">
        <f>IF(ISBLANK(Récap1!AM81),"",Récap1!AM81)</f>
        <v>PVL</v>
      </c>
      <c r="AN81" s="1213">
        <f>IF(ISBLANK(Récap1!AN81),"",Récap1!AN81)</f>
        <v>13.289972817113433</v>
      </c>
      <c r="AO81" s="1214" t="str">
        <f>IF(ISBLANK(Récap1!AO81),"",Récap1!AO81)</f>
        <v>PVL</v>
      </c>
      <c r="AP81" s="1214" t="str">
        <f>IF(ISBLANK(Récap1!AP81),"",Récap1!AP81)</f>
        <v>PVL</v>
      </c>
      <c r="AQ81" s="1214" t="str">
        <f>IF(ISBLANK(Récap1!AQ81),"",Récap1!AQ81)</f>
        <v>PVL</v>
      </c>
      <c r="AR81" s="1214" t="str">
        <f>IF(ISBLANK(Récap1!AR81),"",Récap1!AR81)</f>
        <v>PVL</v>
      </c>
      <c r="AS81" s="1214" t="str">
        <f>IF(ISBLANK(Récap1!AS81),"",Récap1!AS81)</f>
        <v>PVL</v>
      </c>
      <c r="AT81" s="1214" t="str">
        <f>IF(ISBLANK(Récap1!AT81),"",Récap1!AT81)</f>
        <v>PVL</v>
      </c>
      <c r="AU81" s="1214" t="str">
        <f>IF(ISBLANK(Récap1!AU81),"",Récap1!AU81)</f>
        <v>PVL</v>
      </c>
      <c r="AV81" s="1214" t="str">
        <f>IF(ISBLANK(Récap1!AV81),"",Récap1!AV81)</f>
        <v>PVL</v>
      </c>
      <c r="AW81" s="1214" t="str">
        <f>IF(ISBLANK(Récap1!AW81),"",Récap1!AW81)</f>
        <v>PVL</v>
      </c>
      <c r="AX81" s="1214" t="str">
        <f>IF(ISBLANK(Récap1!AX81),"",Récap1!AX81)</f>
        <v>PVL</v>
      </c>
      <c r="AY81" s="1214" t="str">
        <f>IF(ISBLANK(Récap1!AY81),"",Récap1!AY81)</f>
        <v>PVL</v>
      </c>
      <c r="AZ81" s="1214" t="str">
        <f>IF(ISBLANK(Récap1!AZ81),"",Récap1!AZ81)</f>
        <v>PVL</v>
      </c>
      <c r="BA81" s="1214" t="str">
        <f>IF(ISBLANK(Récap1!BA81),"",Récap1!BA81)</f>
        <v>PVL</v>
      </c>
      <c r="BB81" s="1214" t="str">
        <f>IF(ISBLANK(Récap1!BB81),"",Récap1!BB81)</f>
        <v>PVL</v>
      </c>
      <c r="BC81" s="1215" t="str">
        <f>IF(ISBLANK(Récap1!BC81),"",Récap1!BC81)</f>
        <v>PVL</v>
      </c>
      <c r="BD81" s="1213">
        <f>IF(ISBLANK(Récap1!BD81),"",Récap1!BD81)</f>
        <v>1462.1351057555348</v>
      </c>
      <c r="BE81" s="1214" t="str">
        <f>IF(ISBLANK(Récap1!BE81),"",Récap1!BE81)</f>
        <v>PVL</v>
      </c>
      <c r="BF81" s="1214" t="str">
        <f>IF(ISBLANK(Récap1!BF81),"",Récap1!BF81)</f>
        <v>PVL</v>
      </c>
      <c r="BG81" s="1214">
        <f>IF(ISBLANK(Récap1!BG81),"",Récap1!BG81)</f>
        <v>7.8481636363636371E-3</v>
      </c>
      <c r="BH81" s="1217">
        <f>IF(ISBLANK(Récap1!BH81),"",Récap1!BH81)</f>
        <v>32.570190666935673</v>
      </c>
      <c r="BI81" s="1214">
        <f>IF(ISBLANK(Récap1!BI81),"",Récap1!BI81)</f>
        <v>15.176458616958138</v>
      </c>
      <c r="BJ81" s="1218" t="e">
        <f>IF(ISBLANK(Récap1!#REF!),"",Récap1!#REF!)</f>
        <v>#REF!</v>
      </c>
      <c r="BK81" s="1218" t="e">
        <f>IF(ISBLANK(Récap1!#REF!),"",Récap1!#REF!)</f>
        <v>#REF!</v>
      </c>
      <c r="BL81" s="1214">
        <f>IF(ISBLANK('HCT2'!H81),"",'HCT2'!H81)</f>
        <v>2.7474192261642125</v>
      </c>
      <c r="BM81" s="1214">
        <f>IF(ISBLANK('HCT2'!I81),"",'HCT2'!I81)</f>
        <v>96.184299750885145</v>
      </c>
      <c r="BN81" s="1214">
        <f>IF(ISBLANK('HCT2'!J81),"",'HCT2'!J81)</f>
        <v>36.624763636363639</v>
      </c>
      <c r="BO81" s="1215">
        <f>IF(ISBLANK('HCT2'!K81),"",'HCT2'!K81)</f>
        <v>98.600352296288179</v>
      </c>
      <c r="BP81" s="1214">
        <f>IF(ISBLANK('HCT2'!L81),"",'HCT2'!L81)</f>
        <v>126.0299739206294</v>
      </c>
      <c r="BQ81" s="1216">
        <f>IF(ISBLANK('HCT2'!M81),"",'HCT2'!M81)</f>
        <v>16.647114731636385</v>
      </c>
      <c r="BR81" s="1214">
        <f>IF(ISBLANK('HCT2'!N81),"",'HCT2'!N81)</f>
        <v>29.607831275940278</v>
      </c>
      <c r="BS81" s="1214">
        <f>IF(ISBLANK('HCT2'!O81),"",'HCT2'!O81)</f>
        <v>2.8113591099482775</v>
      </c>
      <c r="BT81" s="1143">
        <f>IF(ISBLANK('HCT2'!P81),"",'HCT2'!P81)</f>
        <v>1.9322992500812663E-2</v>
      </c>
      <c r="BU81" s="1214">
        <f>IF(ISBLANK('HCT2'!Q81),"",'HCT2'!Q81)</f>
        <v>239.74624142696982</v>
      </c>
      <c r="BV81" s="1214">
        <f>IF(ISBLANK('HCT2'!R81),"",'HCT2'!R81)</f>
        <v>185.34310126470973</v>
      </c>
      <c r="BW81" s="1214">
        <f>IF(ISBLANK('HCT2'!S81),"",'HCT2'!S81)</f>
        <v>50.015600437773628</v>
      </c>
      <c r="BX81" s="1216">
        <f>IF(ISBLANK('HCT2'!T81),"",'HCT2'!T81)</f>
        <v>11.444976489768178</v>
      </c>
      <c r="BY81" s="1214">
        <f>IF(ISBLANK('HCT2'!U81),"",'HCT2'!U81)</f>
        <v>37.395520537930352</v>
      </c>
      <c r="BZ81" s="1214">
        <f>IF(ISBLANK('HCT2'!V81),"",'HCT2'!V81)</f>
        <v>23.870560393342576</v>
      </c>
      <c r="CA81" s="1214">
        <f>IF(ISBLANK('HCT2'!W81),"",'HCT2'!W81)</f>
        <v>2.5113679373767974</v>
      </c>
      <c r="CB81" s="1218" t="str">
        <f>IF(ISBLANK('HCT2'!X81),"",'HCT2'!X81)</f>
        <v/>
      </c>
      <c r="CC81" s="1219">
        <f>IF(ISBLANK('HCT2'!Y81),"",'HCT2'!Y81)</f>
        <v>239.85055862379866</v>
      </c>
      <c r="CD81" s="1220">
        <f>IF(ISBLANK('HCT2'!Z81),"",'HCT2'!Z81)</f>
        <v>705.39936381158907</v>
      </c>
      <c r="CE81" s="1218" t="str">
        <f>IF(ISBLANK('HCT2'!AA81),"",'HCT2'!AA81)</f>
        <v/>
      </c>
      <c r="CF81" s="1218" t="str">
        <f>IF(ISBLANK('HCT2'!AB81),"",'HCT2'!AB81)</f>
        <v/>
      </c>
      <c r="CG81" s="1221" t="str">
        <f>IF(ISBLANK('HCT2'!AC81),"",'HCT2'!AC81)</f>
        <v>PVL</v>
      </c>
      <c r="CH81" s="1218" t="str">
        <f>IF(ISBLANK('HCT2'!AD81),"",'HCT2'!AD81)</f>
        <v/>
      </c>
      <c r="CI81" s="1218" t="str">
        <f>IF(ISBLANK('HCT2'!AE81),"",'HCT2'!AE81)</f>
        <v/>
      </c>
      <c r="CJ81" s="1218" t="str">
        <f>IF(ISBLANK('HCT2'!AF81),"",'HCT2'!AF81)</f>
        <v/>
      </c>
      <c r="CK81" s="1222" t="str">
        <f>IF(ISBLANK('HCT2'!AG81),"",'HCT2'!AG81)</f>
        <v/>
      </c>
      <c r="CL81" s="1218" t="str">
        <f>IF(ISBLANK('HCT2'!AH81),"",'HCT2'!AH81)</f>
        <v>PVL</v>
      </c>
      <c r="CM81" s="1218" t="str">
        <f>IF(ISBLANK('HCT2'!AI81),"",'HCT2'!AI81)</f>
        <v>PVL</v>
      </c>
      <c r="CN81" s="1222" t="str">
        <f>IF(ISBLANK('HCT2'!AJ81),"",'HCT2'!AJ81)</f>
        <v>PVL</v>
      </c>
      <c r="CO81" s="1218" t="str">
        <f>IF(ISBLANK('HCT2'!AK81),"",'HCT2'!AK81)</f>
        <v/>
      </c>
      <c r="CP81" s="1218" t="str">
        <f>IF(ISBLANK('HCT2'!AL81),"",'HCT2'!AL81)</f>
        <v/>
      </c>
      <c r="CQ81" s="1218" t="str">
        <f>IF(ISBLANK('HCT2'!AM81),"",'HCT2'!AM81)</f>
        <v/>
      </c>
      <c r="CR81" s="1223" t="str">
        <f>IF(ISBLANK('HCT2'!AN81),"",'HCT2'!AN81)</f>
        <v/>
      </c>
      <c r="CS81" s="1214">
        <f>IF(ISBLANK('HCT2'!AO81),"",'HCT2'!AO81)</f>
        <v>705.39936381158907</v>
      </c>
      <c r="CT81" s="1174">
        <f>IF(ISBLANK('HCT2'!AP81),"",'HCT2'!AP81)</f>
        <v>0.14780910234752553</v>
      </c>
      <c r="CU81" s="1143">
        <f>IF(ISBLANK('HCT2'!AQ81),"",'HCT2'!AQ81)</f>
        <v>669.32088353018514</v>
      </c>
      <c r="CV81" s="1215">
        <f>IF(ISBLANK('HCT2'!AR81),"",'HCT2'!AR81)</f>
        <v>700.06663602713195</v>
      </c>
      <c r="CW81" s="1224" t="e">
        <f>IF(ISBLANK(Récap1!#REF!),"",Récap1!#REF!)</f>
        <v>#REF!</v>
      </c>
      <c r="CX81" s="1224" t="e">
        <f>IF(ISBLANK(Récap1!#REF!),"",Récap1!#REF!)</f>
        <v>#REF!</v>
      </c>
      <c r="CY81" s="1218" t="e">
        <f>IF(ISBLANK(Récap1!#REF!),"",Récap1!#REF!)</f>
        <v>#REF!</v>
      </c>
      <c r="CZ81" s="1218" t="e">
        <f>IF(ISBLANK(Récap1!#REF!),"",Récap1!#REF!)</f>
        <v>#REF!</v>
      </c>
      <c r="DA81" s="1218" t="e">
        <f>IF(ISBLANK(Récap1!#REF!),"",Récap1!#REF!)</f>
        <v>#REF!</v>
      </c>
      <c r="DB81" s="1218" t="e">
        <f>IF(ISBLANK(Récap1!#REF!),"",Récap1!#REF!)</f>
        <v>#REF!</v>
      </c>
      <c r="DC81" s="1224" t="str">
        <f>IF(ISBLANK('HCT2'!AS81),"",'HCT2'!AS81)</f>
        <v>PVL</v>
      </c>
      <c r="DD81" s="1218" t="str">
        <f>IF(ISBLANK('HCT2'!AT81),"",'HCT2'!AT81)</f>
        <v>PVL</v>
      </c>
      <c r="DE81" s="1218" t="str">
        <f>IF(ISBLANK('HCT2'!AU81),"",'HCT2'!AU81)</f>
        <v>PVL</v>
      </c>
      <c r="DF81" s="1218" t="str">
        <f>IF(ISBLANK('HCT2'!AV81),"",'HCT2'!AV81)</f>
        <v>PVL</v>
      </c>
      <c r="DG81" s="1218" t="str">
        <f>IF(ISBLANK('HCT2'!AW81),"",'HCT2'!AW81)</f>
        <v/>
      </c>
      <c r="DH81" s="1218" t="str">
        <f>IF(ISBLANK('HCT2'!AX81),"",'HCT2'!AX81)</f>
        <v/>
      </c>
      <c r="DI81" s="1218" t="str">
        <f>IF(ISBLANK('HCT2'!AY81),"",'HCT2'!AY81)</f>
        <v/>
      </c>
      <c r="DJ81" s="1225" t="str">
        <f>IF(ISBLANK('HCT2'!AZ81),"",'HCT2'!AZ81)</f>
        <v>PVL</v>
      </c>
      <c r="DK81" s="1218" t="str">
        <f>IF(ISBLANK('HCT2'!BA81),"",'HCT2'!BA81)</f>
        <v>PVL</v>
      </c>
      <c r="DL81" s="1218" t="str">
        <f>IF(ISBLANK('HCT2'!BB81),"",'HCT2'!BB81)</f>
        <v>PVL</v>
      </c>
      <c r="DM81" s="1222" t="str">
        <f>IF(ISBLANK('HCT2'!BC81),"",'HCT2'!BC81)</f>
        <v>PVL</v>
      </c>
      <c r="DN81" s="1218" t="str">
        <f>IF(ISBLANK('HCT2'!BD81),"",'HCT2'!BD81)</f>
        <v>PVL</v>
      </c>
      <c r="DO81" s="1175">
        <f>IF(ISBLANK('HCT2'!BE81),"",'HCT2'!BE81)</f>
        <v>0</v>
      </c>
      <c r="DP81" s="1222" t="str">
        <f>IF(ISBLANK('HCT2'!BF81),"",'HCT2'!BF81)</f>
        <v>PVL</v>
      </c>
      <c r="DQ81" s="990">
        <f t="shared" si="0"/>
        <v>124.30805346844366</v>
      </c>
      <c r="DS81" s="994">
        <f t="shared" si="1"/>
        <v>242.49366065313404</v>
      </c>
      <c r="DT81" s="994">
        <f t="shared" si="1"/>
        <v>281.52740101559488</v>
      </c>
      <c r="DU81" s="994">
        <f t="shared" si="3"/>
        <v>176.04557435840303</v>
      </c>
      <c r="DV81" s="996">
        <f t="shared" si="3"/>
        <v>28.092091221404566</v>
      </c>
      <c r="DW81" s="994">
        <f t="shared" si="3"/>
        <v>67.003351813870637</v>
      </c>
      <c r="DX81" s="994">
        <f t="shared" si="3"/>
        <v>26.681919503290853</v>
      </c>
      <c r="DY81" s="994">
        <f t="shared" si="3"/>
        <v>2.5306909298776099</v>
      </c>
    </row>
    <row r="82" spans="1:129" s="513" customFormat="1" hidden="1">
      <c r="A82" s="510"/>
      <c r="B82" s="510"/>
      <c r="C82" s="77"/>
      <c r="D82" s="803"/>
      <c r="E82" s="352" t="s">
        <v>660</v>
      </c>
      <c r="F82" s="800" t="s">
        <v>19</v>
      </c>
      <c r="G82" s="800" t="s">
        <v>20</v>
      </c>
      <c r="H82" s="801">
        <f t="shared" ref="H82:BJ82" si="4">MIN(H73,H62)</f>
        <v>5181.2716774705141</v>
      </c>
      <c r="I82" s="796">
        <f t="shared" si="4"/>
        <v>5181.2716774705141</v>
      </c>
      <c r="J82" s="1256">
        <f>MIN(J73,J62)</f>
        <v>38758.586675549173</v>
      </c>
      <c r="K82" s="1255">
        <f t="shared" si="4"/>
        <v>6.7474391639365076E-3</v>
      </c>
      <c r="L82" s="1256">
        <f t="shared" si="4"/>
        <v>9.5069987104584891E-2</v>
      </c>
      <c r="M82" s="1256">
        <f t="shared" si="4"/>
        <v>9.5069987104584891E-2</v>
      </c>
      <c r="N82" s="1256">
        <f>MIN(N73,N62)</f>
        <v>0.10760591893278754</v>
      </c>
      <c r="O82" s="1256">
        <f>MIN(O73,O62)</f>
        <v>0.10760591893278754</v>
      </c>
      <c r="P82" s="1256">
        <f t="shared" si="4"/>
        <v>0.1199562906395495</v>
      </c>
      <c r="Q82" s="1256">
        <f t="shared" si="4"/>
        <v>0.1199562906395495</v>
      </c>
      <c r="R82" s="1256">
        <f>MIN(R73,R62)</f>
        <v>0.14151448202581743</v>
      </c>
      <c r="S82" s="1256">
        <f>MIN(S73,S62)</f>
        <v>2.0354402069204962E-2</v>
      </c>
      <c r="T82" s="1256">
        <f>MIN(T73,T62)</f>
        <v>2.0354402069204962E-2</v>
      </c>
      <c r="U82" s="1256">
        <f t="shared" si="4"/>
        <v>0.22282665960017883</v>
      </c>
      <c r="V82" s="1438">
        <f t="shared" si="4"/>
        <v>0.12300081894181439</v>
      </c>
      <c r="W82" s="1256">
        <f t="shared" si="4"/>
        <v>0.12300081894181439</v>
      </c>
      <c r="X82" s="1256">
        <f t="shared" si="4"/>
        <v>1.754223700777784E-2</v>
      </c>
      <c r="Y82" s="1256">
        <f t="shared" si="4"/>
        <v>1.5601159508858542E-2</v>
      </c>
      <c r="Z82" s="1256">
        <f t="shared" si="4"/>
        <v>2.7467644250260864E-2</v>
      </c>
      <c r="AA82" s="1257">
        <f t="shared" si="4"/>
        <v>1.2461201679065631E-3</v>
      </c>
      <c r="AB82" s="1256">
        <f t="shared" si="4"/>
        <v>6.315727857926912E-3</v>
      </c>
      <c r="AC82" s="1258">
        <f t="shared" si="4"/>
        <v>8.5154918231512226E-3</v>
      </c>
      <c r="AD82" s="1256">
        <f t="shared" si="4"/>
        <v>4.3505584443829494E-2</v>
      </c>
      <c r="AE82" s="1256">
        <f t="shared" si="4"/>
        <v>0.34890349802377557</v>
      </c>
      <c r="AF82" s="1259">
        <f t="shared" si="4"/>
        <v>0</v>
      </c>
      <c r="AG82" s="1256">
        <f t="shared" si="4"/>
        <v>6.29011484708197E-3</v>
      </c>
      <c r="AH82" s="1256">
        <f t="shared" si="4"/>
        <v>4.7819012449342634E-2</v>
      </c>
      <c r="AI82" s="1256">
        <f t="shared" si="4"/>
        <v>9.5103001942881699E-3</v>
      </c>
      <c r="AJ82" s="1258">
        <f t="shared" si="4"/>
        <v>1.5332408405335814E-2</v>
      </c>
      <c r="AK82" s="1256">
        <f t="shared" si="4"/>
        <v>0.37132861944557133</v>
      </c>
      <c r="AL82" s="1256">
        <f t="shared" si="4"/>
        <v>0</v>
      </c>
      <c r="AM82" s="1256">
        <f t="shared" si="4"/>
        <v>0</v>
      </c>
      <c r="AN82" s="1255">
        <f t="shared" si="4"/>
        <v>0.10469744549099785</v>
      </c>
      <c r="AO82" s="1256">
        <f t="shared" si="4"/>
        <v>0.38334241569623678</v>
      </c>
      <c r="AP82" s="1256">
        <f t="shared" si="4"/>
        <v>0.22914151194741517</v>
      </c>
      <c r="AQ82" s="1256">
        <f t="shared" si="4"/>
        <v>0.56590208573839795</v>
      </c>
      <c r="AR82" s="1256">
        <f t="shared" si="4"/>
        <v>2.8264444973650038</v>
      </c>
      <c r="AS82" s="1256">
        <f t="shared" si="4"/>
        <v>0</v>
      </c>
      <c r="AT82" s="1256">
        <f t="shared" si="4"/>
        <v>0</v>
      </c>
      <c r="AU82" s="1256">
        <f t="shared" si="4"/>
        <v>0</v>
      </c>
      <c r="AV82" s="1256">
        <f t="shared" si="4"/>
        <v>0</v>
      </c>
      <c r="AW82" s="1256">
        <f t="shared" si="4"/>
        <v>0</v>
      </c>
      <c r="AX82" s="1256">
        <f t="shared" si="4"/>
        <v>0</v>
      </c>
      <c r="AY82" s="1256">
        <f t="shared" si="4"/>
        <v>0</v>
      </c>
      <c r="AZ82" s="1256">
        <f t="shared" si="4"/>
        <v>0</v>
      </c>
      <c r="BA82" s="1256">
        <f t="shared" si="4"/>
        <v>0</v>
      </c>
      <c r="BB82" s="1256">
        <f t="shared" si="4"/>
        <v>0</v>
      </c>
      <c r="BC82" s="1257">
        <f t="shared" si="4"/>
        <v>0</v>
      </c>
      <c r="BD82" s="1255">
        <f t="shared" si="4"/>
        <v>1.6724525926359499</v>
      </c>
      <c r="BE82" s="1256">
        <f t="shared" si="4"/>
        <v>0</v>
      </c>
      <c r="BF82" s="1256">
        <f t="shared" si="4"/>
        <v>0</v>
      </c>
      <c r="BG82" s="1256">
        <f t="shared" si="4"/>
        <v>7.8481636363636371E-3</v>
      </c>
      <c r="BH82" s="657">
        <f t="shared" si="4"/>
        <v>32.570190666935673</v>
      </c>
      <c r="BI82" s="1256">
        <f t="shared" si="4"/>
        <v>0</v>
      </c>
      <c r="BJ82" s="660" t="e">
        <f t="shared" si="4"/>
        <v>#REF!</v>
      </c>
      <c r="BK82" s="660"/>
      <c r="BL82" s="1256">
        <f>X82</f>
        <v>1.754223700777784E-2</v>
      </c>
      <c r="BM82" s="1256">
        <f>Y82</f>
        <v>1.5601159508858542E-2</v>
      </c>
      <c r="BN82" s="1256">
        <f>Z82</f>
        <v>2.7467644250260864E-2</v>
      </c>
      <c r="BO82" s="1257">
        <f>AA82</f>
        <v>1.2461201679065631E-3</v>
      </c>
      <c r="BP82" s="1256">
        <f>IF(ISNUMBER(AB82),AB82,BM82/#REF!*#REF!)</f>
        <v>6.315727857926912E-3</v>
      </c>
      <c r="BQ82" s="1258">
        <f>IF(ISNUMBER(AC82),AC82,BP82/#REF!*#REF!)</f>
        <v>8.5154918231512226E-3</v>
      </c>
      <c r="BR82" s="1256">
        <f>IF(ISNUMBER(AD82),AD82,BQ82/#REF!*#REF!)</f>
        <v>4.3505584443829494E-2</v>
      </c>
      <c r="BS82" s="1256">
        <f>IF(ISNUMBER(AE82),AE82,BR82/#REF!*#REF!)</f>
        <v>0.34890349802377557</v>
      </c>
      <c r="BT82" s="1259">
        <f>IF(ISNUMBER(AF82),AF82,BS82/#REF!*#REF!)</f>
        <v>0</v>
      </c>
      <c r="BU82" s="1256">
        <f>IF(ISNUMBER(AG82),AG82,BM82/#REF!*#REF!)</f>
        <v>6.29011484708197E-3</v>
      </c>
      <c r="BV82" s="1256">
        <f>IF(ISNUMBER(AH82),AH82,BU82/#REF!*#REF!)</f>
        <v>4.7819012449342634E-2</v>
      </c>
      <c r="BW82" s="1256">
        <f>IF(ISNUMBER(AI82),AI82,BV82/#REF!*#REF!)</f>
        <v>9.5103001942881699E-3</v>
      </c>
      <c r="BX82" s="1258">
        <f>IF(ISNUMBER(AJ82),AJ82,BW82/#REF!*#REF!)</f>
        <v>1.5332408405335814E-2</v>
      </c>
      <c r="BY82" s="1256">
        <f>IF(ISNUMBER(AK82),AK82,BX82/#REF!*#REF!)</f>
        <v>0.37132861944557133</v>
      </c>
      <c r="BZ82" s="1256">
        <f>IF(ISNUMBER(AL82),AL82,BY82/#REF!*#REF!)</f>
        <v>0</v>
      </c>
      <c r="CA82" s="1256">
        <f>IF(ISNUMBER(AM82),AM82,BZ82/#REF!*#REF!)</f>
        <v>0</v>
      </c>
      <c r="CB82" s="660"/>
      <c r="CC82" s="693"/>
      <c r="CD82" s="1340" t="e">
        <f>IF(ISNUMBER(Y82),Y82/#REF!,Y82)</f>
        <v>#REF!</v>
      </c>
      <c r="CE82" s="660"/>
      <c r="CF82" s="660"/>
      <c r="CG82" s="1262" t="e">
        <f>IF(ISNUMBER(AB82),AB82/#REF!,AB82)</f>
        <v>#REF!</v>
      </c>
      <c r="CH82" s="660"/>
      <c r="CI82" s="660"/>
      <c r="CJ82" s="660"/>
      <c r="CK82" s="1263"/>
      <c r="CL82" s="660" t="e">
        <f>IF(ISNUMBER(AG82),AG82/#REF!,AG82)</f>
        <v>#REF!</v>
      </c>
      <c r="CM82" s="660" t="e">
        <f>IF(ISNUMBER(AH82),AH82/#REF!,AH82)</f>
        <v>#REF!</v>
      </c>
      <c r="CN82" s="1263" t="e">
        <f>IF(ISNUMBER(AI82),AI82/#REF!,AI82)</f>
        <v>#REF!</v>
      </c>
      <c r="CO82" s="660"/>
      <c r="CP82" s="660"/>
      <c r="CQ82" s="660"/>
      <c r="CR82" s="694"/>
      <c r="CS82" s="1264" t="e">
        <f>IF(MIN(CG82:CN82)&gt;0,MIN(CG82:CN82),CD82)</f>
        <v>#REF!</v>
      </c>
      <c r="CT82" s="1341"/>
      <c r="CU82" s="1144" t="e">
        <f>IF(MIN(CG82:CN82)&gt;0,(IF(ISNUMBER(CG82),CG82*#REF!,0)+IF(ISNUMBER(CL82),CL82*#REF!,0)+IF(ISNUMBER(CM82),CM82*#REF!,0)+IF(ISNUMBER(CN82),CN82*#REF!,0))/(IF(ISNUMBER(CG82),#REF!,0)+IF(ISNUMBER(CL82),#REF!,0)+IF(ISNUMBER(CM82),#REF!,0)+IF(ISNUMBER(CN82),#REF!,0)),CD82)</f>
        <v>#REF!</v>
      </c>
      <c r="CV82" s="1266">
        <f>SUM(BL82:BM82,BP82:BP82,BU82:BW82)</f>
        <v>0.10307855186527606</v>
      </c>
      <c r="CW82" s="693"/>
      <c r="CX82" s="693"/>
      <c r="CY82" s="660"/>
      <c r="CZ82" s="660"/>
      <c r="DA82" s="660"/>
      <c r="DB82" s="660"/>
      <c r="DC82" s="693" t="e">
        <f>IF(ISNUMBER(AC82),AC82/#REF!,AC82)</f>
        <v>#REF!</v>
      </c>
      <c r="DD82" s="660" t="e">
        <f>IF(ISNUMBER(AD82),AD82/#REF!,AD82)</f>
        <v>#REF!</v>
      </c>
      <c r="DE82" s="660" t="e">
        <f>IF(ISNUMBER(AE82),AE82/#REF!,AE82)</f>
        <v>#REF!</v>
      </c>
      <c r="DF82" s="660" t="e">
        <f>IF(ISNUMBER(AF82),AF82/#REF!,AF82)</f>
        <v>#REF!</v>
      </c>
      <c r="DG82" s="660"/>
      <c r="DH82" s="660"/>
      <c r="DI82" s="660"/>
      <c r="DJ82" s="1267" t="e">
        <f>IF(ISNUMBER(AJ82),AJ82/#REF!,AJ82)</f>
        <v>#REF!</v>
      </c>
      <c r="DK82" s="660" t="e">
        <f>IF(ISNUMBER(AK82),AK82/#REF!,AK82)</f>
        <v>#REF!</v>
      </c>
      <c r="DL82" s="660" t="e">
        <f>IF(ISNUMBER(AL82),AL82/#REF!,AL82)</f>
        <v>#REF!</v>
      </c>
      <c r="DM82" s="1263" t="e">
        <f>IF(ISNUMBER(AM82),AM82/#REF!,AM82)</f>
        <v>#REF!</v>
      </c>
      <c r="DN82" s="1268" t="e">
        <f>IF(MIN(DC82:DM82)&gt;0,MIN(DC82:DM82),"PVL")</f>
        <v>#REF!</v>
      </c>
      <c r="DO82" s="1342"/>
      <c r="DP82" s="1269" t="e">
        <f>IF(MIN(DC82:DM82)&gt;0,(IF(ISNUMBER(DC82),DC82*#REF!,0)+IF(ISNUMBER(DD82),DD82*#REF!,0)+IF(ISNUMBER(DE82),DE82*#REF!,0)+IF(ISNUMBER(DF82),DF82*#REF!,0)+IF(ISNUMBER(DJ82),DJ82*#REF!,0)+IF(ISNUMBER(DK82),DK82*#REF!,0)+IF(ISNUMBER(DL82),DL82*#REF!,0)+IF(ISNUMBER(DM82),DM82*#REF!,0))/(IF(ISNUMBER(DC82),#REF!,0)+IF(ISNUMBER(DD82),#REF!,0)+IF(ISNUMBER(DE82),#REF!,0)+IF(ISNUMBER(DF82),#REF!,0)+IF(ISNUMBER(DJ82),#REF!,0)+IF(ISNUMBER(DK82),#REF!,0)+IF(ISNUMBER(DL82),#REF!,0)+IF(ISNUMBER(DM82),#REF!,0)),"PVL")</f>
        <v>#REF!</v>
      </c>
      <c r="DQ82" s="980">
        <f t="shared" si="0"/>
        <v>0.7875856021416634</v>
      </c>
      <c r="DS82" s="796">
        <f t="shared" si="1"/>
        <v>2.383235185485981E-2</v>
      </c>
      <c r="DT82" s="796">
        <f t="shared" si="1"/>
        <v>6.3420171958201182E-2</v>
      </c>
      <c r="DU82" s="796">
        <f t="shared" si="3"/>
        <v>1.5826028052215082E-2</v>
      </c>
      <c r="DV82" s="882">
        <f t="shared" si="3"/>
        <v>2.3847900228487037E-2</v>
      </c>
      <c r="DW82" s="796">
        <f t="shared" si="3"/>
        <v>0.41483420388940084</v>
      </c>
      <c r="DX82" s="796">
        <f t="shared" si="3"/>
        <v>0.34890349802377557</v>
      </c>
      <c r="DY82" s="796">
        <f t="shared" si="3"/>
        <v>0</v>
      </c>
    </row>
    <row r="83" spans="1:129" s="293" customFormat="1" hidden="1">
      <c r="B83" s="294"/>
      <c r="C83" s="77"/>
      <c r="D83" s="793"/>
      <c r="E83" s="754" t="s">
        <v>626</v>
      </c>
      <c r="F83" s="763"/>
      <c r="G83" s="764"/>
      <c r="H83" s="765"/>
      <c r="I83" s="766"/>
      <c r="J83" s="636"/>
      <c r="K83" s="1343"/>
      <c r="L83" s="1344"/>
      <c r="M83" s="636"/>
      <c r="N83" s="636"/>
      <c r="O83" s="636"/>
      <c r="P83" s="636"/>
      <c r="Q83" s="636"/>
      <c r="R83" s="636"/>
      <c r="S83" s="636"/>
      <c r="T83" s="636"/>
      <c r="U83" s="636"/>
      <c r="V83" s="1433"/>
      <c r="W83" s="636"/>
      <c r="X83" s="636"/>
      <c r="Y83" s="636"/>
      <c r="Z83" s="636"/>
      <c r="AA83" s="473"/>
      <c r="AB83" s="636"/>
      <c r="AC83" s="1271"/>
      <c r="AD83" s="636"/>
      <c r="AE83" s="636"/>
      <c r="AF83" s="1272"/>
      <c r="AG83" s="636"/>
      <c r="AH83" s="636"/>
      <c r="AI83" s="636"/>
      <c r="AJ83" s="1271"/>
      <c r="AK83" s="636"/>
      <c r="AL83" s="636"/>
      <c r="AM83" s="636"/>
      <c r="AN83" s="1270"/>
      <c r="AO83" s="636"/>
      <c r="AP83" s="636"/>
      <c r="AQ83" s="636"/>
      <c r="AR83" s="636"/>
      <c r="AS83" s="636"/>
      <c r="AT83" s="636"/>
      <c r="AU83" s="636"/>
      <c r="AV83" s="636"/>
      <c r="AW83" s="636"/>
      <c r="AX83" s="636"/>
      <c r="AY83" s="636"/>
      <c r="AZ83" s="636"/>
      <c r="BA83" s="636"/>
      <c r="BB83" s="636"/>
      <c r="BC83" s="473"/>
      <c r="BD83" s="1270"/>
      <c r="BE83" s="636"/>
      <c r="BF83" s="636"/>
      <c r="BG83" s="636"/>
      <c r="BH83" s="1273"/>
      <c r="BI83" s="636"/>
      <c r="BJ83" s="1274"/>
      <c r="BK83" s="1274"/>
      <c r="BL83" s="636"/>
      <c r="BM83" s="636"/>
      <c r="BN83" s="636"/>
      <c r="BO83" s="473"/>
      <c r="BP83" s="636"/>
      <c r="BQ83" s="1271"/>
      <c r="BR83" s="636"/>
      <c r="BS83" s="636"/>
      <c r="BT83" s="1272"/>
      <c r="BU83" s="636"/>
      <c r="BV83" s="636"/>
      <c r="BW83" s="636"/>
      <c r="BX83" s="1271"/>
      <c r="BY83" s="636"/>
      <c r="BZ83" s="636"/>
      <c r="CA83" s="636"/>
      <c r="CB83" s="1274"/>
      <c r="CC83" s="1283"/>
      <c r="CD83" s="1345"/>
      <c r="CE83" s="1274"/>
      <c r="CF83" s="1274"/>
      <c r="CG83" s="1277"/>
      <c r="CH83" s="1274"/>
      <c r="CI83" s="1274"/>
      <c r="CJ83" s="1274"/>
      <c r="CK83" s="1278"/>
      <c r="CL83" s="1274"/>
      <c r="CM83" s="1274"/>
      <c r="CN83" s="1278"/>
      <c r="CO83" s="1274"/>
      <c r="CP83" s="1274"/>
      <c r="CQ83" s="1274"/>
      <c r="CR83" s="1279"/>
      <c r="CS83" s="1280"/>
      <c r="CT83" s="1346"/>
      <c r="CU83" s="1145"/>
      <c r="CV83" s="1282"/>
      <c r="CW83" s="1283"/>
      <c r="CX83" s="1283"/>
      <c r="CY83" s="1274"/>
      <c r="CZ83" s="1274"/>
      <c r="DA83" s="1274"/>
      <c r="DB83" s="1274"/>
      <c r="DC83" s="1283"/>
      <c r="DD83" s="1274"/>
      <c r="DE83" s="1274"/>
      <c r="DF83" s="1274"/>
      <c r="DG83" s="1274"/>
      <c r="DH83" s="1274"/>
      <c r="DI83" s="1274"/>
      <c r="DJ83" s="1284"/>
      <c r="DK83" s="1274"/>
      <c r="DL83" s="1274"/>
      <c r="DM83" s="1278"/>
      <c r="DN83" s="1285"/>
      <c r="DO83" s="1347"/>
      <c r="DP83" s="1286"/>
      <c r="DQ83" s="976"/>
      <c r="DS83" s="530"/>
      <c r="DT83" s="530"/>
      <c r="DU83" s="530"/>
      <c r="DV83" s="829"/>
      <c r="DW83" s="530"/>
      <c r="DX83" s="530"/>
      <c r="DY83" s="530"/>
    </row>
    <row r="84" spans="1:129" s="26" customFormat="1" hidden="1">
      <c r="A84" s="482"/>
      <c r="B84" s="27"/>
      <c r="C84" s="138"/>
      <c r="D84" s="794"/>
      <c r="E84" s="103" t="s">
        <v>670</v>
      </c>
      <c r="F84" s="14" t="str">
        <f>F45</f>
        <v>Cs</v>
      </c>
      <c r="G84" s="105" t="str">
        <f>G45</f>
        <v>mg/kg ms</v>
      </c>
      <c r="H84" s="85">
        <f>ExpoRisk!H213</f>
        <v>3572.6658096956917</v>
      </c>
      <c r="I84" s="56">
        <f>ExpoRisk!I213</f>
        <v>3572.6658096956917</v>
      </c>
      <c r="J84" s="644">
        <f>ExpoRisk!J213</f>
        <v>38061.902956125879</v>
      </c>
      <c r="K84" s="643">
        <f>ExpoRisk!K213</f>
        <v>14.649905454545456</v>
      </c>
      <c r="L84" s="644">
        <f>ExpoRisk!L213</f>
        <v>23.100997448053402</v>
      </c>
      <c r="M84" s="644">
        <f>ExpoRisk!M213</f>
        <v>23.100997448053402</v>
      </c>
      <c r="N84" s="644">
        <f>ExpoRisk!N213</f>
        <v>52.946464823993082</v>
      </c>
      <c r="O84" s="644">
        <f>ExpoRisk!O213</f>
        <v>52.946464823993082</v>
      </c>
      <c r="P84" s="644">
        <f>ExpoRisk!P213</f>
        <v>9.2893993316328647</v>
      </c>
      <c r="Q84" s="644">
        <f>ExpoRisk!Q213</f>
        <v>9.2893993316328647</v>
      </c>
      <c r="R84" s="644">
        <f>ExpoRisk!R213</f>
        <v>104.64218181818184</v>
      </c>
      <c r="S84" s="644">
        <f>ExpoRisk!S213</f>
        <v>22.648138238559238</v>
      </c>
      <c r="T84" s="644">
        <f>ExpoRisk!T213</f>
        <v>22.648138238559238</v>
      </c>
      <c r="U84" s="644">
        <f>ExpoRisk!U213</f>
        <v>9.9410072727272745</v>
      </c>
      <c r="V84" s="681">
        <f>ExpoRisk!V213</f>
        <v>261.60545454545451</v>
      </c>
      <c r="W84" s="644">
        <f>ExpoRisk!W213</f>
        <v>261.60545454545451</v>
      </c>
      <c r="X84" s="644">
        <f>ExpoRisk!X213</f>
        <v>3.1980840324310131</v>
      </c>
      <c r="Y84" s="644">
        <f>ExpoRisk!Y213</f>
        <v>109.77672079487719</v>
      </c>
      <c r="Z84" s="644">
        <f>ExpoRisk!Z213</f>
        <v>151.83785863743765</v>
      </c>
      <c r="AA84" s="645">
        <f>ExpoRisk!AA213</f>
        <v>185.07020517233119</v>
      </c>
      <c r="AB84" s="644">
        <f>ExpoRisk!AB213</f>
        <v>192.092201524817</v>
      </c>
      <c r="AC84" s="1228">
        <f>ExpoRisk!AC213</f>
        <v>452.49519691724385</v>
      </c>
      <c r="AD84" s="644">
        <f>ExpoRisk!AD213</f>
        <v>1097.9973364861983</v>
      </c>
      <c r="AE84" s="644" t="str">
        <f>ExpoRisk!AE213</f>
        <v>PVL</v>
      </c>
      <c r="AF84" s="1229" t="str">
        <f>ExpoRisk!AF213</f>
        <v>PVL</v>
      </c>
      <c r="AG84" s="644">
        <f>ExpoRisk!AG213</f>
        <v>4813.5403636363644</v>
      </c>
      <c r="AH84" s="644">
        <f>ExpoRisk!AH213</f>
        <v>4813.5403636363626</v>
      </c>
      <c r="AI84" s="644">
        <f>ExpoRisk!AI213</f>
        <v>377.83264003298774</v>
      </c>
      <c r="AJ84" s="1228">
        <f>ExpoRisk!AJ213</f>
        <v>859.13227743955849</v>
      </c>
      <c r="AK84" s="644">
        <f>ExpoRisk!AK213</f>
        <v>2011.7586893702742</v>
      </c>
      <c r="AL84" s="644" t="str">
        <f>ExpoRisk!AL213</f>
        <v>PVL</v>
      </c>
      <c r="AM84" s="644" t="str">
        <f>ExpoRisk!AM213</f>
        <v>PVL</v>
      </c>
      <c r="AN84" s="643">
        <f>ExpoRisk!AN213</f>
        <v>61.815036660693629</v>
      </c>
      <c r="AO84" s="644" t="str">
        <f>ExpoRisk!AO213</f>
        <v>PVL</v>
      </c>
      <c r="AP84" s="644" t="str">
        <f>ExpoRisk!AP213</f>
        <v>PVL</v>
      </c>
      <c r="AQ84" s="644" t="str">
        <f>ExpoRisk!AQ213</f>
        <v>PVL</v>
      </c>
      <c r="AR84" s="644" t="str">
        <f>ExpoRisk!AR213</f>
        <v>PVL</v>
      </c>
      <c r="AS84" s="644" t="str">
        <f>ExpoRisk!AS213</f>
        <v>PVL</v>
      </c>
      <c r="AT84" s="644" t="str">
        <f>ExpoRisk!AT213</f>
        <v>PVL</v>
      </c>
      <c r="AU84" s="644" t="str">
        <f>ExpoRisk!AU213</f>
        <v>PVL</v>
      </c>
      <c r="AV84" s="644" t="str">
        <f>ExpoRisk!AV213</f>
        <v>PVL</v>
      </c>
      <c r="AW84" s="644" t="str">
        <f>ExpoRisk!AW213</f>
        <v>PVL</v>
      </c>
      <c r="AX84" s="644" t="str">
        <f>ExpoRisk!AX213</f>
        <v>PVL</v>
      </c>
      <c r="AY84" s="644" t="str">
        <f>ExpoRisk!AY213</f>
        <v>PVL</v>
      </c>
      <c r="AZ84" s="644" t="str">
        <f>ExpoRisk!AZ213</f>
        <v>PVL</v>
      </c>
      <c r="BA84" s="644" t="str">
        <f>ExpoRisk!BA213</f>
        <v>PVL</v>
      </c>
      <c r="BB84" s="644" t="str">
        <f>ExpoRisk!BB213</f>
        <v>PVL</v>
      </c>
      <c r="BC84" s="645" t="str">
        <f>ExpoRisk!BC213</f>
        <v>PVL</v>
      </c>
      <c r="BD84" s="643">
        <f>ExpoRisk!BD213</f>
        <v>214.88655680215246</v>
      </c>
      <c r="BE84" s="644">
        <f>ExpoRisk!BE213</f>
        <v>222.74278665483376</v>
      </c>
      <c r="BF84" s="644">
        <f>ExpoRisk!BF213</f>
        <v>445.48557330966753</v>
      </c>
      <c r="BG84" s="663">
        <v>1.4E-2</v>
      </c>
      <c r="BH84" s="646">
        <f>ExpoRisk!BH213</f>
        <v>4.0905688492945949</v>
      </c>
      <c r="BI84" s="644"/>
      <c r="BJ84" s="647"/>
      <c r="BK84" s="647"/>
      <c r="BL84" s="644">
        <f>ExpoRisk!BL213</f>
        <v>0</v>
      </c>
      <c r="BM84" s="644">
        <f>ExpoRisk!BM213</f>
        <v>0</v>
      </c>
      <c r="BN84" s="644">
        <f>ExpoRisk!BN213</f>
        <v>0</v>
      </c>
      <c r="BO84" s="645">
        <f>ExpoRisk!BO213</f>
        <v>0</v>
      </c>
      <c r="BP84" s="644">
        <f>ExpoRisk!BP213</f>
        <v>0</v>
      </c>
      <c r="BQ84" s="1228">
        <f>ExpoRisk!BQ213</f>
        <v>0</v>
      </c>
      <c r="BR84" s="644">
        <f>ExpoRisk!BR213</f>
        <v>0</v>
      </c>
      <c r="BS84" s="644">
        <f>ExpoRisk!BS213</f>
        <v>0</v>
      </c>
      <c r="BT84" s="1229">
        <f>ExpoRisk!BT213</f>
        <v>0</v>
      </c>
      <c r="BU84" s="644">
        <f>ExpoRisk!BU213</f>
        <v>0</v>
      </c>
      <c r="BV84" s="644">
        <f>ExpoRisk!BV213</f>
        <v>0</v>
      </c>
      <c r="BW84" s="644">
        <f>ExpoRisk!BW213</f>
        <v>0</v>
      </c>
      <c r="BX84" s="1228">
        <f>ExpoRisk!BX213</f>
        <v>0</v>
      </c>
      <c r="BY84" s="644">
        <f>ExpoRisk!BY213</f>
        <v>0</v>
      </c>
      <c r="BZ84" s="644">
        <f>ExpoRisk!BZ213</f>
        <v>0</v>
      </c>
      <c r="CA84" s="644">
        <f>ExpoRisk!CA213</f>
        <v>0</v>
      </c>
      <c r="CB84" s="647"/>
      <c r="CC84" s="687"/>
      <c r="CD84" s="1197"/>
      <c r="CE84" s="647"/>
      <c r="CF84" s="647"/>
      <c r="CG84" s="1232"/>
      <c r="CH84" s="647"/>
      <c r="CI84" s="647"/>
      <c r="CJ84" s="647"/>
      <c r="CK84" s="1233"/>
      <c r="CL84" s="647"/>
      <c r="CM84" s="647"/>
      <c r="CN84" s="1233"/>
      <c r="CO84" s="647"/>
      <c r="CP84" s="647"/>
      <c r="CQ84" s="647"/>
      <c r="CR84" s="688"/>
      <c r="CS84" s="1234"/>
      <c r="CT84" s="1348"/>
      <c r="CU84" s="1140"/>
      <c r="CV84" s="1235"/>
      <c r="CW84" s="687"/>
      <c r="CX84" s="687"/>
      <c r="CY84" s="647"/>
      <c r="CZ84" s="647"/>
      <c r="DA84" s="647"/>
      <c r="DB84" s="647"/>
      <c r="DC84" s="687"/>
      <c r="DD84" s="647"/>
      <c r="DE84" s="647"/>
      <c r="DF84" s="647"/>
      <c r="DG84" s="647"/>
      <c r="DH84" s="647"/>
      <c r="DI84" s="647"/>
      <c r="DJ84" s="1236"/>
      <c r="DK84" s="647"/>
      <c r="DL84" s="647"/>
      <c r="DM84" s="1233"/>
      <c r="DN84" s="1237"/>
      <c r="DO84" s="1349"/>
      <c r="DP84" s="1238"/>
      <c r="DQ84" s="920"/>
      <c r="DS84" s="56">
        <f>ExpoRisk!DQ213</f>
        <v>0</v>
      </c>
      <c r="DT84" s="56">
        <f>ExpoRisk!DR213</f>
        <v>0</v>
      </c>
      <c r="DU84" s="56">
        <f>ExpoRisk!DS213</f>
        <v>0</v>
      </c>
      <c r="DV84" s="870">
        <f>ExpoRisk!DT213</f>
        <v>0</v>
      </c>
      <c r="DW84" s="56">
        <f>ExpoRisk!DU213</f>
        <v>0</v>
      </c>
      <c r="DX84" s="56">
        <f>ExpoRisk!DV213</f>
        <v>0</v>
      </c>
      <c r="DY84" s="56">
        <f>ExpoRisk!DW213</f>
        <v>0</v>
      </c>
    </row>
    <row r="85" spans="1:129" s="26" customFormat="1" hidden="1">
      <c r="A85" s="482"/>
      <c r="B85" s="27"/>
      <c r="C85" s="77"/>
      <c r="D85" s="793"/>
      <c r="E85" s="103" t="s">
        <v>671</v>
      </c>
      <c r="F85" s="14" t="str">
        <f>F84</f>
        <v>Cs</v>
      </c>
      <c r="G85" s="105" t="str">
        <f>G84</f>
        <v>mg/kg ms</v>
      </c>
      <c r="H85" s="85" t="str">
        <f>ExpoRisk!H214</f>
        <v>PVL</v>
      </c>
      <c r="I85" s="56" t="str">
        <f>ExpoRisk!I214</f>
        <v>PVL</v>
      </c>
      <c r="J85" s="644" t="str">
        <f>ExpoRisk!J214</f>
        <v>PVL</v>
      </c>
      <c r="K85" s="643">
        <f>ExpoRisk!K214</f>
        <v>91.561909090909097</v>
      </c>
      <c r="L85" s="644" t="str">
        <f>ExpoRisk!L214</f>
        <v>PVL</v>
      </c>
      <c r="M85" s="644" t="str">
        <f>ExpoRisk!M214</f>
        <v>PVL</v>
      </c>
      <c r="N85" s="644">
        <f>ExpoRisk!N214</f>
        <v>45.780954545454541</v>
      </c>
      <c r="O85" s="644">
        <f>ExpoRisk!O214</f>
        <v>45.780954545454541</v>
      </c>
      <c r="P85" s="644">
        <f>ExpoRisk!P214</f>
        <v>15.518967642526961</v>
      </c>
      <c r="Q85" s="644">
        <f>ExpoRisk!Q214</f>
        <v>15.518967642526961</v>
      </c>
      <c r="R85" s="644">
        <f>ExpoRisk!R214</f>
        <v>91.561909090909097</v>
      </c>
      <c r="S85" s="644">
        <f>ExpoRisk!S214</f>
        <v>3.9809525691699599</v>
      </c>
      <c r="T85" s="644">
        <f>ExpoRisk!T214</f>
        <v>3.9809525691699599</v>
      </c>
      <c r="U85" s="644">
        <f>ExpoRisk!U214</f>
        <v>2.1800454545454544</v>
      </c>
      <c r="V85" s="681" t="str">
        <f>ExpoRisk!V214</f>
        <v>PVL</v>
      </c>
      <c r="W85" s="644" t="str">
        <f>ExpoRisk!W214</f>
        <v>PVL</v>
      </c>
      <c r="X85" s="644">
        <f>ExpoRisk!X214</f>
        <v>15.260318181818182</v>
      </c>
      <c r="Y85" s="644" t="str">
        <f>ExpoRisk!Y214</f>
        <v>PVL</v>
      </c>
      <c r="Z85" s="644">
        <f>ExpoRisk!Z214</f>
        <v>36.624763636363639</v>
      </c>
      <c r="AA85" s="645" t="str">
        <f>ExpoRisk!AA214</f>
        <v>PVL</v>
      </c>
      <c r="AB85" s="644" t="str">
        <f>ExpoRisk!AB214</f>
        <v>PVL</v>
      </c>
      <c r="AC85" s="1228" t="str">
        <f>ExpoRisk!AC214</f>
        <v>PVL</v>
      </c>
      <c r="AD85" s="644" t="str">
        <f>ExpoRisk!AD214</f>
        <v>PVL</v>
      </c>
      <c r="AE85" s="644" t="str">
        <f>ExpoRisk!AE214</f>
        <v>PVL</v>
      </c>
      <c r="AF85" s="1229" t="str">
        <f>ExpoRisk!AF214</f>
        <v>PVL</v>
      </c>
      <c r="AG85" s="644" t="str">
        <f>ExpoRisk!AG214</f>
        <v>PVL</v>
      </c>
      <c r="AH85" s="644" t="str">
        <f>ExpoRisk!AH214</f>
        <v>PVL</v>
      </c>
      <c r="AI85" s="644" t="str">
        <f>ExpoRisk!AI214</f>
        <v>PVL</v>
      </c>
      <c r="AJ85" s="1228" t="str">
        <f>ExpoRisk!AJ214</f>
        <v>PVL</v>
      </c>
      <c r="AK85" s="644" t="str">
        <f>ExpoRisk!AK214</f>
        <v>PVL</v>
      </c>
      <c r="AL85" s="644" t="str">
        <f>ExpoRisk!AL214</f>
        <v>PVL</v>
      </c>
      <c r="AM85" s="644" t="str">
        <f>ExpoRisk!AM214</f>
        <v>PVL</v>
      </c>
      <c r="AN85" s="643">
        <f>ExpoRisk!AN214</f>
        <v>12.676022110965874</v>
      </c>
      <c r="AO85" s="644">
        <f>ExpoRisk!AO214</f>
        <v>814.69630491006035</v>
      </c>
      <c r="AP85" s="644">
        <f>ExpoRisk!AP214</f>
        <v>636.8510746029375</v>
      </c>
      <c r="AQ85" s="644">
        <f>ExpoRisk!AQ214</f>
        <v>1033.454585635367</v>
      </c>
      <c r="AR85" s="644">
        <f>ExpoRisk!AR214</f>
        <v>2341.0356065412543</v>
      </c>
      <c r="AS85" s="644">
        <f>ExpoRisk!AS214</f>
        <v>207.32425240211546</v>
      </c>
      <c r="AT85" s="644">
        <f>ExpoRisk!AT214</f>
        <v>7568.910400425184</v>
      </c>
      <c r="AU85" s="644">
        <f>ExpoRisk!AU214</f>
        <v>7626.0036299221192</v>
      </c>
      <c r="AV85" s="644">
        <f>ExpoRisk!AV214</f>
        <v>191.28566360722678</v>
      </c>
      <c r="AW85" s="644">
        <f>ExpoRisk!AW214</f>
        <v>1866.6396350524715</v>
      </c>
      <c r="AX85" s="644">
        <f>ExpoRisk!AX214</f>
        <v>321.35797840545695</v>
      </c>
      <c r="AY85" s="644">
        <f>ExpoRisk!AY214</f>
        <v>387.91209668370192</v>
      </c>
      <c r="AZ85" s="644">
        <f>ExpoRisk!AZ214</f>
        <v>40.702674303525676</v>
      </c>
      <c r="BA85" s="644">
        <f>ExpoRisk!BA214</f>
        <v>84.061211497304782</v>
      </c>
      <c r="BB85" s="644">
        <f>ExpoRisk!BB214</f>
        <v>5795.3388985995298</v>
      </c>
      <c r="BC85" s="645">
        <f>ExpoRisk!BC214</f>
        <v>1076.4415659035874</v>
      </c>
      <c r="BD85" s="643" t="str">
        <f>ExpoRisk!BD214</f>
        <v>PVL</v>
      </c>
      <c r="BE85" s="644">
        <f>ExpoRisk!BE214</f>
        <v>112.05958562308237</v>
      </c>
      <c r="BF85" s="644">
        <f>ExpoRisk!BF214</f>
        <v>224.11917124616474</v>
      </c>
      <c r="BG85" s="644" t="str">
        <f>ExpoRisk!BG214</f>
        <v>PVL</v>
      </c>
      <c r="BH85" s="646" t="str">
        <f>ExpoRisk!BH214</f>
        <v>PVL</v>
      </c>
      <c r="BI85" s="644"/>
      <c r="BJ85" s="647"/>
      <c r="BK85" s="647"/>
      <c r="BL85" s="644">
        <f>ExpoRisk!BL214</f>
        <v>0</v>
      </c>
      <c r="BM85" s="644">
        <f>ExpoRisk!BM214</f>
        <v>0</v>
      </c>
      <c r="BN85" s="644">
        <f>ExpoRisk!BN214</f>
        <v>0</v>
      </c>
      <c r="BO85" s="645">
        <f>ExpoRisk!BO214</f>
        <v>0</v>
      </c>
      <c r="BP85" s="644">
        <f>ExpoRisk!BP214</f>
        <v>0</v>
      </c>
      <c r="BQ85" s="1228">
        <f>ExpoRisk!BQ214</f>
        <v>0</v>
      </c>
      <c r="BR85" s="644">
        <f>ExpoRisk!BR214</f>
        <v>0</v>
      </c>
      <c r="BS85" s="644">
        <f>ExpoRisk!BS214</f>
        <v>0</v>
      </c>
      <c r="BT85" s="1229">
        <f>ExpoRisk!BT214</f>
        <v>0</v>
      </c>
      <c r="BU85" s="644">
        <f>ExpoRisk!BU214</f>
        <v>0</v>
      </c>
      <c r="BV85" s="644">
        <f>ExpoRisk!BV214</f>
        <v>0</v>
      </c>
      <c r="BW85" s="644">
        <f>ExpoRisk!BW214</f>
        <v>0</v>
      </c>
      <c r="BX85" s="1228">
        <f>ExpoRisk!BX214</f>
        <v>0</v>
      </c>
      <c r="BY85" s="644">
        <f>ExpoRisk!BY214</f>
        <v>0</v>
      </c>
      <c r="BZ85" s="644">
        <f>ExpoRisk!BZ214</f>
        <v>0</v>
      </c>
      <c r="CA85" s="644">
        <f>ExpoRisk!CA214</f>
        <v>0</v>
      </c>
      <c r="CB85" s="647"/>
      <c r="CC85" s="687"/>
      <c r="CD85" s="1197"/>
      <c r="CE85" s="647"/>
      <c r="CF85" s="647"/>
      <c r="CG85" s="1232"/>
      <c r="CH85" s="647"/>
      <c r="CI85" s="647"/>
      <c r="CJ85" s="647"/>
      <c r="CK85" s="1233"/>
      <c r="CL85" s="647"/>
      <c r="CM85" s="647"/>
      <c r="CN85" s="1233"/>
      <c r="CO85" s="647"/>
      <c r="CP85" s="647"/>
      <c r="CQ85" s="647"/>
      <c r="CR85" s="688"/>
      <c r="CS85" s="1234"/>
      <c r="CT85" s="1348"/>
      <c r="CU85" s="1140"/>
      <c r="CV85" s="1235"/>
      <c r="CW85" s="687"/>
      <c r="CX85" s="687"/>
      <c r="CY85" s="647"/>
      <c r="CZ85" s="647"/>
      <c r="DA85" s="647"/>
      <c r="DB85" s="647"/>
      <c r="DC85" s="687"/>
      <c r="DD85" s="647"/>
      <c r="DE85" s="647"/>
      <c r="DF85" s="647"/>
      <c r="DG85" s="647"/>
      <c r="DH85" s="647"/>
      <c r="DI85" s="647"/>
      <c r="DJ85" s="1236"/>
      <c r="DK85" s="647"/>
      <c r="DL85" s="647"/>
      <c r="DM85" s="1233"/>
      <c r="DN85" s="1237"/>
      <c r="DO85" s="1349"/>
      <c r="DP85" s="1238"/>
      <c r="DQ85" s="920"/>
      <c r="DS85" s="56">
        <f>ExpoRisk!DQ214</f>
        <v>0</v>
      </c>
      <c r="DT85" s="56">
        <f>ExpoRisk!DR214</f>
        <v>0</v>
      </c>
      <c r="DU85" s="56">
        <f>ExpoRisk!DS214</f>
        <v>0</v>
      </c>
      <c r="DV85" s="870">
        <f>ExpoRisk!DT214</f>
        <v>0</v>
      </c>
      <c r="DW85" s="56">
        <f>ExpoRisk!DU214</f>
        <v>0</v>
      </c>
      <c r="DX85" s="56">
        <f>ExpoRisk!DV214</f>
        <v>0</v>
      </c>
      <c r="DY85" s="56">
        <f>ExpoRisk!DW214</f>
        <v>0</v>
      </c>
    </row>
    <row r="86" spans="1:129" s="26" customFormat="1" hidden="1">
      <c r="A86" s="17"/>
      <c r="B86" s="27"/>
      <c r="C86" s="77"/>
      <c r="D86" s="793"/>
      <c r="E86" s="103" t="s">
        <v>672</v>
      </c>
      <c r="F86" s="14" t="str">
        <f>F85</f>
        <v>Cs</v>
      </c>
      <c r="G86" s="105" t="str">
        <f>G85</f>
        <v>mg/kg ms</v>
      </c>
      <c r="H86" s="119">
        <f>ExpoRisk!H215</f>
        <v>3572.6658096956917</v>
      </c>
      <c r="I86" s="113">
        <f>ExpoRisk!I215</f>
        <v>3572.6658096956917</v>
      </c>
      <c r="J86" s="231">
        <f>ExpoRisk!J215</f>
        <v>38061.902956125879</v>
      </c>
      <c r="K86" s="648">
        <f>ExpoRisk!K215</f>
        <v>14.649905454545456</v>
      </c>
      <c r="L86" s="231">
        <f>ExpoRisk!L215</f>
        <v>23.100997448053402</v>
      </c>
      <c r="M86" s="231">
        <f>ExpoRisk!M215</f>
        <v>23.100997448053402</v>
      </c>
      <c r="N86" s="231">
        <f>ExpoRisk!N215</f>
        <v>45.780954545454541</v>
      </c>
      <c r="O86" s="231">
        <f>ExpoRisk!O215</f>
        <v>45.780954545454541</v>
      </c>
      <c r="P86" s="231">
        <f>ExpoRisk!P215</f>
        <v>9.2893993316328647</v>
      </c>
      <c r="Q86" s="231">
        <f>ExpoRisk!Q215</f>
        <v>9.2893993316328647</v>
      </c>
      <c r="R86" s="231">
        <f>ExpoRisk!R215</f>
        <v>91.561909090909097</v>
      </c>
      <c r="S86" s="231">
        <f>ExpoRisk!S215</f>
        <v>3.9809525691699599</v>
      </c>
      <c r="T86" s="231">
        <f>ExpoRisk!T215</f>
        <v>3.9809525691699599</v>
      </c>
      <c r="U86" s="231">
        <f>ExpoRisk!U215</f>
        <v>2.1800454545454544</v>
      </c>
      <c r="V86" s="670">
        <f>ExpoRisk!V215</f>
        <v>261.60545454545451</v>
      </c>
      <c r="W86" s="231">
        <f>ExpoRisk!W215</f>
        <v>261.60545454545451</v>
      </c>
      <c r="X86" s="231">
        <f>ExpoRisk!X215</f>
        <v>3.1980840324310131</v>
      </c>
      <c r="Y86" s="231">
        <f>ExpoRisk!Y215</f>
        <v>109.77672079487719</v>
      </c>
      <c r="Z86" s="231">
        <f>ExpoRisk!Z215</f>
        <v>36.624763636363639</v>
      </c>
      <c r="AA86" s="232">
        <f>ExpoRisk!AA215</f>
        <v>185.07020517233119</v>
      </c>
      <c r="AB86" s="231">
        <f>ExpoRisk!AB215</f>
        <v>192.092201524817</v>
      </c>
      <c r="AC86" s="1253">
        <f>ExpoRisk!AC215</f>
        <v>452.49519691724385</v>
      </c>
      <c r="AD86" s="231">
        <f>ExpoRisk!AD215</f>
        <v>1097.9973364861983</v>
      </c>
      <c r="AE86" s="231" t="str">
        <f>ExpoRisk!AE215</f>
        <v>PVL</v>
      </c>
      <c r="AF86" s="1254" t="str">
        <f>ExpoRisk!AF215</f>
        <v>PVL</v>
      </c>
      <c r="AG86" s="231">
        <f>ExpoRisk!AG215</f>
        <v>4813.5403636363644</v>
      </c>
      <c r="AH86" s="231">
        <f>ExpoRisk!AH215</f>
        <v>4813.5403636363626</v>
      </c>
      <c r="AI86" s="231">
        <f>ExpoRisk!AI215</f>
        <v>377.83264003298774</v>
      </c>
      <c r="AJ86" s="1253">
        <f>ExpoRisk!AJ215</f>
        <v>859.13227743955849</v>
      </c>
      <c r="AK86" s="231">
        <f>ExpoRisk!AK215</f>
        <v>2011.7586893702742</v>
      </c>
      <c r="AL86" s="231" t="str">
        <f>ExpoRisk!AL215</f>
        <v>PVL</v>
      </c>
      <c r="AM86" s="231" t="str">
        <f>ExpoRisk!AM215</f>
        <v>PVL</v>
      </c>
      <c r="AN86" s="648">
        <f>ExpoRisk!AN215</f>
        <v>12.676022110965874</v>
      </c>
      <c r="AO86" s="231">
        <f>ExpoRisk!AO215</f>
        <v>814.69630491006035</v>
      </c>
      <c r="AP86" s="231">
        <f>ExpoRisk!AP215</f>
        <v>636.8510746029375</v>
      </c>
      <c r="AQ86" s="231">
        <f>ExpoRisk!AQ215</f>
        <v>1033.454585635367</v>
      </c>
      <c r="AR86" s="231">
        <f>ExpoRisk!AR215</f>
        <v>2341.0356065412543</v>
      </c>
      <c r="AS86" s="231">
        <f>ExpoRisk!AS215</f>
        <v>207.32425240211546</v>
      </c>
      <c r="AT86" s="231">
        <f>ExpoRisk!AT215</f>
        <v>7568.910400425184</v>
      </c>
      <c r="AU86" s="231">
        <f>ExpoRisk!AU215</f>
        <v>7626.0036299221192</v>
      </c>
      <c r="AV86" s="231">
        <f>ExpoRisk!AV215</f>
        <v>191.28566360722678</v>
      </c>
      <c r="AW86" s="231">
        <f>ExpoRisk!AW215</f>
        <v>1866.6396350524715</v>
      </c>
      <c r="AX86" s="231">
        <f>ExpoRisk!AX215</f>
        <v>321.35797840545695</v>
      </c>
      <c r="AY86" s="231">
        <f>ExpoRisk!AY215</f>
        <v>387.91209668370192</v>
      </c>
      <c r="AZ86" s="231">
        <f>ExpoRisk!AZ215</f>
        <v>40.702674303525676</v>
      </c>
      <c r="BA86" s="231">
        <f>ExpoRisk!BA215</f>
        <v>84.061211497304782</v>
      </c>
      <c r="BB86" s="231">
        <f>ExpoRisk!BB215</f>
        <v>5795.3388985995298</v>
      </c>
      <c r="BC86" s="232">
        <f>ExpoRisk!BC215</f>
        <v>1076.4415659035874</v>
      </c>
      <c r="BD86" s="648">
        <f>ExpoRisk!BD215</f>
        <v>214.88655680215246</v>
      </c>
      <c r="BE86" s="231">
        <f>ExpoRisk!BE215</f>
        <v>112.05958562308237</v>
      </c>
      <c r="BF86" s="231">
        <f>ExpoRisk!BF215</f>
        <v>224.11917124616474</v>
      </c>
      <c r="BG86" s="231">
        <f>ExpoRisk!BG215</f>
        <v>7.8481636363636371E-3</v>
      </c>
      <c r="BH86" s="646">
        <f>ExpoRisk!BH215</f>
        <v>4.0905688492945949</v>
      </c>
      <c r="BI86" s="231"/>
      <c r="BJ86" s="647"/>
      <c r="BK86" s="647"/>
      <c r="BL86" s="231">
        <f>ExpoRisk!BL215</f>
        <v>0</v>
      </c>
      <c r="BM86" s="231">
        <f>ExpoRisk!BM215</f>
        <v>0</v>
      </c>
      <c r="BN86" s="231">
        <f>ExpoRisk!BN215</f>
        <v>0</v>
      </c>
      <c r="BO86" s="232">
        <f>ExpoRisk!BO215</f>
        <v>0</v>
      </c>
      <c r="BP86" s="231">
        <f>ExpoRisk!BP215</f>
        <v>0</v>
      </c>
      <c r="BQ86" s="1253">
        <f>ExpoRisk!BQ215</f>
        <v>0</v>
      </c>
      <c r="BR86" s="231">
        <f>ExpoRisk!BR215</f>
        <v>0</v>
      </c>
      <c r="BS86" s="231">
        <f>ExpoRisk!BS215</f>
        <v>0</v>
      </c>
      <c r="BT86" s="1254">
        <f>ExpoRisk!BT215</f>
        <v>0</v>
      </c>
      <c r="BU86" s="231">
        <f>ExpoRisk!BU215</f>
        <v>0</v>
      </c>
      <c r="BV86" s="231">
        <f>ExpoRisk!BV215</f>
        <v>0</v>
      </c>
      <c r="BW86" s="231">
        <f>ExpoRisk!BW215</f>
        <v>0</v>
      </c>
      <c r="BX86" s="1253">
        <f>ExpoRisk!BX215</f>
        <v>0</v>
      </c>
      <c r="BY86" s="231">
        <f>ExpoRisk!BY215</f>
        <v>0</v>
      </c>
      <c r="BZ86" s="231">
        <f>ExpoRisk!BZ215</f>
        <v>0</v>
      </c>
      <c r="CA86" s="231">
        <f>ExpoRisk!CA215</f>
        <v>0</v>
      </c>
      <c r="CB86" s="647"/>
      <c r="CC86" s="687"/>
      <c r="CD86" s="1197"/>
      <c r="CE86" s="647"/>
      <c r="CF86" s="647"/>
      <c r="CG86" s="1232"/>
      <c r="CH86" s="647"/>
      <c r="CI86" s="647"/>
      <c r="CJ86" s="647"/>
      <c r="CK86" s="1233"/>
      <c r="CL86" s="647"/>
      <c r="CM86" s="647"/>
      <c r="CN86" s="1233"/>
      <c r="CO86" s="647"/>
      <c r="CP86" s="647"/>
      <c r="CQ86" s="647"/>
      <c r="CR86" s="688"/>
      <c r="CS86" s="1234"/>
      <c r="CT86" s="1348"/>
      <c r="CU86" s="1140"/>
      <c r="CV86" s="1235"/>
      <c r="CW86" s="687"/>
      <c r="CX86" s="687"/>
      <c r="CY86" s="647"/>
      <c r="CZ86" s="647"/>
      <c r="DA86" s="647"/>
      <c r="DB86" s="647"/>
      <c r="DC86" s="687"/>
      <c r="DD86" s="647"/>
      <c r="DE86" s="647"/>
      <c r="DF86" s="647"/>
      <c r="DG86" s="647"/>
      <c r="DH86" s="647"/>
      <c r="DI86" s="647"/>
      <c r="DJ86" s="1236"/>
      <c r="DK86" s="647"/>
      <c r="DL86" s="647"/>
      <c r="DM86" s="1233"/>
      <c r="DN86" s="1237"/>
      <c r="DO86" s="1349"/>
      <c r="DP86" s="1238"/>
      <c r="DQ86" s="920"/>
      <c r="DS86" s="113">
        <f>ExpoRisk!DQ215</f>
        <v>0</v>
      </c>
      <c r="DT86" s="113">
        <f>ExpoRisk!DR215</f>
        <v>0</v>
      </c>
      <c r="DU86" s="113">
        <f>ExpoRisk!DS215</f>
        <v>0</v>
      </c>
      <c r="DV86" s="872">
        <f>ExpoRisk!DT215</f>
        <v>0</v>
      </c>
      <c r="DW86" s="113">
        <f>ExpoRisk!DU215</f>
        <v>0</v>
      </c>
      <c r="DX86" s="113">
        <f>ExpoRisk!DV215</f>
        <v>0</v>
      </c>
      <c r="DY86" s="113">
        <f>ExpoRisk!DW215</f>
        <v>0</v>
      </c>
    </row>
    <row r="87" spans="1:129" s="495" customFormat="1" hidden="1">
      <c r="A87" s="398"/>
      <c r="B87" s="492"/>
      <c r="C87" s="503"/>
      <c r="D87" s="795"/>
      <c r="E87" s="619" t="s">
        <v>669</v>
      </c>
      <c r="F87" s="493" t="s">
        <v>19</v>
      </c>
      <c r="G87" s="584" t="s">
        <v>20</v>
      </c>
      <c r="H87" s="494">
        <f>ExpoRisk!H216</f>
        <v>3572.6658096956917</v>
      </c>
      <c r="I87" s="343">
        <f>ExpoRisk!I216</f>
        <v>3572.6658096956917</v>
      </c>
      <c r="J87" s="650">
        <f>ExpoRisk!J216</f>
        <v>38061.902956125879</v>
      </c>
      <c r="K87" s="649">
        <f>ExpoRisk!K216</f>
        <v>14.649905454545456</v>
      </c>
      <c r="L87" s="650">
        <f>ExpoRisk!L216</f>
        <v>23.100997448053402</v>
      </c>
      <c r="M87" s="650">
        <f>ExpoRisk!M216</f>
        <v>23.100997448053402</v>
      </c>
      <c r="N87" s="650">
        <f>ExpoRisk!N216</f>
        <v>45.780954545454541</v>
      </c>
      <c r="O87" s="650">
        <f>ExpoRisk!O216</f>
        <v>45.780954545454541</v>
      </c>
      <c r="P87" s="650">
        <f>ExpoRisk!P216</f>
        <v>9.2893993316328647</v>
      </c>
      <c r="Q87" s="650">
        <f>ExpoRisk!Q216</f>
        <v>9.2893993316328647</v>
      </c>
      <c r="R87" s="650">
        <f>ExpoRisk!R216</f>
        <v>91.561909090909097</v>
      </c>
      <c r="S87" s="650">
        <f>ExpoRisk!S216</f>
        <v>3.9809525691699599</v>
      </c>
      <c r="T87" s="650">
        <f>ExpoRisk!T216</f>
        <v>3.9809525691699599</v>
      </c>
      <c r="U87" s="650">
        <f>ExpoRisk!U216</f>
        <v>2.1800454545454544</v>
      </c>
      <c r="V87" s="675">
        <f>ExpoRisk!V216</f>
        <v>261.60545454545451</v>
      </c>
      <c r="W87" s="650">
        <f>ExpoRisk!W216</f>
        <v>261.60545454545451</v>
      </c>
      <c r="X87" s="650">
        <f>ExpoRisk!X216</f>
        <v>3.1980840324310131</v>
      </c>
      <c r="Y87" s="650">
        <f>ExpoRisk!Y216</f>
        <v>109.77672079487719</v>
      </c>
      <c r="Z87" s="650">
        <f>ExpoRisk!Z216</f>
        <v>36.624763636363639</v>
      </c>
      <c r="AA87" s="651" t="str">
        <f>ExpoRisk!AA216</f>
        <v>PVL</v>
      </c>
      <c r="AB87" s="650" t="str">
        <f>ExpoRisk!AB216</f>
        <v>PVL</v>
      </c>
      <c r="AC87" s="1168" t="str">
        <f>ExpoRisk!AC216</f>
        <v>PVL</v>
      </c>
      <c r="AD87" s="650" t="str">
        <f>ExpoRisk!AD216</f>
        <v>PVL</v>
      </c>
      <c r="AE87" s="650" t="str">
        <f>ExpoRisk!AE216</f>
        <v>PVL</v>
      </c>
      <c r="AF87" s="1169" t="str">
        <f>ExpoRisk!AF216</f>
        <v>PVL</v>
      </c>
      <c r="AG87" s="650" t="str">
        <f>ExpoRisk!AG216</f>
        <v>PVL</v>
      </c>
      <c r="AH87" s="650" t="str">
        <f>ExpoRisk!AH216</f>
        <v>PVL</v>
      </c>
      <c r="AI87" s="650" t="str">
        <f>ExpoRisk!AI216</f>
        <v>PVL</v>
      </c>
      <c r="AJ87" s="1168" t="str">
        <f>ExpoRisk!AJ216</f>
        <v>PVL</v>
      </c>
      <c r="AK87" s="650" t="str">
        <f>ExpoRisk!AK216</f>
        <v>PVL</v>
      </c>
      <c r="AL87" s="650" t="str">
        <f>ExpoRisk!AL216</f>
        <v>PVL</v>
      </c>
      <c r="AM87" s="650" t="str">
        <f>ExpoRisk!AM216</f>
        <v>PVL</v>
      </c>
      <c r="AN87" s="649">
        <f>ExpoRisk!AN216</f>
        <v>12.676022110965874</v>
      </c>
      <c r="AO87" s="650" t="str">
        <f>ExpoRisk!AO216</f>
        <v>PVL</v>
      </c>
      <c r="AP87" s="650" t="str">
        <f>ExpoRisk!AP216</f>
        <v>PVL</v>
      </c>
      <c r="AQ87" s="650" t="str">
        <f>ExpoRisk!AQ216</f>
        <v>PVL</v>
      </c>
      <c r="AR87" s="650" t="str">
        <f>ExpoRisk!AR216</f>
        <v>PVL</v>
      </c>
      <c r="AS87" s="650" t="str">
        <f>ExpoRisk!AS216</f>
        <v>PVL</v>
      </c>
      <c r="AT87" s="650" t="str">
        <f>ExpoRisk!AT216</f>
        <v>PVL</v>
      </c>
      <c r="AU87" s="650" t="str">
        <f>ExpoRisk!AU216</f>
        <v>PVL</v>
      </c>
      <c r="AV87" s="650" t="str">
        <f>ExpoRisk!AV216</f>
        <v>PVL</v>
      </c>
      <c r="AW87" s="650" t="str">
        <f>ExpoRisk!AW216</f>
        <v>PVL</v>
      </c>
      <c r="AX87" s="650" t="str">
        <f>ExpoRisk!AX216</f>
        <v>PVL</v>
      </c>
      <c r="AY87" s="650" t="str">
        <f>ExpoRisk!AY216</f>
        <v>PVL</v>
      </c>
      <c r="AZ87" s="650" t="str">
        <f>ExpoRisk!AZ216</f>
        <v>PVL</v>
      </c>
      <c r="BA87" s="650" t="str">
        <f>ExpoRisk!BA216</f>
        <v>PVL</v>
      </c>
      <c r="BB87" s="650" t="str">
        <f>ExpoRisk!BB216</f>
        <v>PVL</v>
      </c>
      <c r="BC87" s="651" t="str">
        <f>ExpoRisk!BC216</f>
        <v>PVL</v>
      </c>
      <c r="BD87" s="649">
        <f>ExpoRisk!BD216</f>
        <v>214.88655680215246</v>
      </c>
      <c r="BE87" s="650" t="str">
        <f>ExpoRisk!BE216</f>
        <v>PVL</v>
      </c>
      <c r="BF87" s="650" t="str">
        <f>ExpoRisk!BF216</f>
        <v>PVL</v>
      </c>
      <c r="BG87" s="1350">
        <f>BG84</f>
        <v>1.4E-2</v>
      </c>
      <c r="BH87" s="652">
        <f>ExpoRisk!BH216</f>
        <v>4.0905688492945949</v>
      </c>
      <c r="BI87" s="650"/>
      <c r="BJ87" s="653"/>
      <c r="BK87" s="653"/>
      <c r="BL87" s="650">
        <f>ExpoRisk!BL216</f>
        <v>0</v>
      </c>
      <c r="BM87" s="650">
        <f>ExpoRisk!BM216</f>
        <v>0</v>
      </c>
      <c r="BN87" s="650">
        <f>ExpoRisk!BN216</f>
        <v>0</v>
      </c>
      <c r="BO87" s="651">
        <f>ExpoRisk!BO216</f>
        <v>0</v>
      </c>
      <c r="BP87" s="650">
        <f>ExpoRisk!BP216</f>
        <v>0</v>
      </c>
      <c r="BQ87" s="1168">
        <f>ExpoRisk!BQ216</f>
        <v>0</v>
      </c>
      <c r="BR87" s="650">
        <f>ExpoRisk!BR216</f>
        <v>0</v>
      </c>
      <c r="BS87" s="650">
        <f>ExpoRisk!BS216</f>
        <v>0</v>
      </c>
      <c r="BT87" s="1169">
        <f>ExpoRisk!BT216</f>
        <v>0</v>
      </c>
      <c r="BU87" s="650">
        <f>ExpoRisk!BU216</f>
        <v>0</v>
      </c>
      <c r="BV87" s="650">
        <f>ExpoRisk!BV216</f>
        <v>0</v>
      </c>
      <c r="BW87" s="650">
        <f>ExpoRisk!BW216</f>
        <v>0</v>
      </c>
      <c r="BX87" s="1168">
        <f>ExpoRisk!BX216</f>
        <v>0</v>
      </c>
      <c r="BY87" s="650">
        <f>ExpoRisk!BY216</f>
        <v>0</v>
      </c>
      <c r="BZ87" s="650">
        <f>ExpoRisk!BZ216</f>
        <v>0</v>
      </c>
      <c r="CA87" s="650">
        <f>ExpoRisk!CA216</f>
        <v>0</v>
      </c>
      <c r="CB87" s="653"/>
      <c r="CC87" s="689"/>
      <c r="CD87" s="1351"/>
      <c r="CE87" s="653"/>
      <c r="CF87" s="653"/>
      <c r="CG87" s="1172"/>
      <c r="CH87" s="653"/>
      <c r="CI87" s="653"/>
      <c r="CJ87" s="653"/>
      <c r="CK87" s="1173"/>
      <c r="CL87" s="653"/>
      <c r="CM87" s="653"/>
      <c r="CN87" s="1173"/>
      <c r="CO87" s="653"/>
      <c r="CP87" s="653"/>
      <c r="CQ87" s="653"/>
      <c r="CR87" s="690"/>
      <c r="CS87" s="1234"/>
      <c r="CT87" s="1348"/>
      <c r="CU87" s="1140"/>
      <c r="CV87" s="1235"/>
      <c r="CW87" s="689"/>
      <c r="CX87" s="689"/>
      <c r="CY87" s="653"/>
      <c r="CZ87" s="653"/>
      <c r="DA87" s="653"/>
      <c r="DB87" s="653"/>
      <c r="DC87" s="689"/>
      <c r="DD87" s="653"/>
      <c r="DE87" s="653"/>
      <c r="DF87" s="653"/>
      <c r="DG87" s="653"/>
      <c r="DH87" s="653"/>
      <c r="DI87" s="653"/>
      <c r="DJ87" s="1287"/>
      <c r="DK87" s="653"/>
      <c r="DL87" s="653"/>
      <c r="DM87" s="1173"/>
      <c r="DN87" s="1237"/>
      <c r="DO87" s="1349"/>
      <c r="DP87" s="1238"/>
      <c r="DQ87" s="920"/>
      <c r="DS87" s="343">
        <f>ExpoRisk!DQ216</f>
        <v>0</v>
      </c>
      <c r="DT87" s="343">
        <f>ExpoRisk!DR216</f>
        <v>0</v>
      </c>
      <c r="DU87" s="343">
        <f>ExpoRisk!DS216</f>
        <v>0</v>
      </c>
      <c r="DV87" s="874">
        <f>ExpoRisk!DT216</f>
        <v>0</v>
      </c>
      <c r="DW87" s="343">
        <f>ExpoRisk!DU216</f>
        <v>0</v>
      </c>
      <c r="DX87" s="343">
        <f>ExpoRisk!DV216</f>
        <v>0</v>
      </c>
      <c r="DY87" s="343">
        <f>ExpoRisk!DW216</f>
        <v>0</v>
      </c>
    </row>
    <row r="88" spans="1:129" s="26" customFormat="1" hidden="1">
      <c r="A88" s="398"/>
      <c r="B88" s="27"/>
      <c r="C88" s="65"/>
      <c r="D88" s="855"/>
      <c r="E88" s="103" t="s">
        <v>476</v>
      </c>
      <c r="F88" s="14" t="s">
        <v>93</v>
      </c>
      <c r="G88" s="105" t="s">
        <v>24</v>
      </c>
      <c r="H88" s="119">
        <f>ExpoRisk!H217</f>
        <v>9412.1578843298739</v>
      </c>
      <c r="I88" s="113">
        <f>ExpoRisk!I217</f>
        <v>9412.1578843298739</v>
      </c>
      <c r="J88" s="231">
        <f>ExpoRisk!J217</f>
        <v>658267.86738053837</v>
      </c>
      <c r="K88" s="648">
        <f>ExpoRisk!K217</f>
        <v>56450.681890396372</v>
      </c>
      <c r="L88" s="231">
        <f>ExpoRisk!L217</f>
        <v>16642.856419069733</v>
      </c>
      <c r="M88" s="231">
        <f>ExpoRisk!M217</f>
        <v>16642.856419069733</v>
      </c>
      <c r="N88" s="231">
        <f>ExpoRisk!N217</f>
        <v>65051.551562152286</v>
      </c>
      <c r="O88" s="231">
        <f>ExpoRisk!O217</f>
        <v>65051.551562152286</v>
      </c>
      <c r="P88" s="231">
        <f>ExpoRisk!P217</f>
        <v>14410.534926816785</v>
      </c>
      <c r="Q88" s="231">
        <f>ExpoRisk!Q217</f>
        <v>14410.534926816785</v>
      </c>
      <c r="R88" s="231">
        <f>ExpoRisk!R217</f>
        <v>57095.741629831115</v>
      </c>
      <c r="S88" s="231">
        <f>ExpoRisk!S217</f>
        <v>2328.9496685225176</v>
      </c>
      <c r="T88" s="231">
        <f>ExpoRisk!T217</f>
        <v>2328.9496685225176</v>
      </c>
      <c r="U88" s="231">
        <f>ExpoRisk!U217</f>
        <v>6004.4201216823349</v>
      </c>
      <c r="V88" s="670">
        <f>ExpoRisk!V217</f>
        <v>1179365.3413826337</v>
      </c>
      <c r="W88" s="231">
        <f>ExpoRisk!W217</f>
        <v>1179365.3413826337</v>
      </c>
      <c r="X88" s="231">
        <f>ExpoRisk!X217</f>
        <v>2765.8841464130337</v>
      </c>
      <c r="Y88" s="231">
        <f>ExpoRisk!Y217</f>
        <v>65799.792955346216</v>
      </c>
      <c r="Z88" s="231">
        <f>ExpoRisk!Z217</f>
        <v>13000.799391486573</v>
      </c>
      <c r="AA88" s="232" t="str">
        <f>ExpoRisk!AA217</f>
        <v>PVL</v>
      </c>
      <c r="AB88" s="231" t="str">
        <f>ExpoRisk!AB217</f>
        <v>PVL</v>
      </c>
      <c r="AC88" s="1253" t="str">
        <f>ExpoRisk!AC217</f>
        <v>PVL</v>
      </c>
      <c r="AD88" s="231" t="str">
        <f>ExpoRisk!AD217</f>
        <v>PVL</v>
      </c>
      <c r="AE88" s="231" t="str">
        <f>ExpoRisk!AE217</f>
        <v>PVL</v>
      </c>
      <c r="AF88" s="1254" t="str">
        <f>ExpoRisk!AF217</f>
        <v>PVL</v>
      </c>
      <c r="AG88" s="231" t="str">
        <f>ExpoRisk!AG217</f>
        <v>PVL</v>
      </c>
      <c r="AH88" s="231" t="str">
        <f>ExpoRisk!AH217</f>
        <v>PVL</v>
      </c>
      <c r="AI88" s="231" t="str">
        <f>ExpoRisk!AI217</f>
        <v>PVL</v>
      </c>
      <c r="AJ88" s="1253" t="str">
        <f>ExpoRisk!AJ217</f>
        <v>PVL</v>
      </c>
      <c r="AK88" s="231" t="str">
        <f>ExpoRisk!AK217</f>
        <v>PVL</v>
      </c>
      <c r="AL88" s="231" t="str">
        <f>ExpoRisk!AL217</f>
        <v>PVL</v>
      </c>
      <c r="AM88" s="231" t="str">
        <f>ExpoRisk!AM217</f>
        <v>PVL</v>
      </c>
      <c r="AN88" s="648">
        <f>ExpoRisk!AN217</f>
        <v>54.183738765448929</v>
      </c>
      <c r="AO88" s="231" t="str">
        <f>ExpoRisk!AO217</f>
        <v>PVL</v>
      </c>
      <c r="AP88" s="231" t="str">
        <f>ExpoRisk!AP217</f>
        <v>PVL</v>
      </c>
      <c r="AQ88" s="231" t="str">
        <f>ExpoRisk!AQ217</f>
        <v>PVL</v>
      </c>
      <c r="AR88" s="231" t="str">
        <f>ExpoRisk!AR217</f>
        <v>PVL</v>
      </c>
      <c r="AS88" s="231" t="str">
        <f>ExpoRisk!AS217</f>
        <v>PVL</v>
      </c>
      <c r="AT88" s="231" t="str">
        <f>ExpoRisk!AT217</f>
        <v>PVL</v>
      </c>
      <c r="AU88" s="231" t="str">
        <f>ExpoRisk!AU217</f>
        <v>PVL</v>
      </c>
      <c r="AV88" s="231" t="str">
        <f>ExpoRisk!AV217</f>
        <v>PVL</v>
      </c>
      <c r="AW88" s="231" t="str">
        <f>ExpoRisk!AW217</f>
        <v>PVL</v>
      </c>
      <c r="AX88" s="231" t="str">
        <f>ExpoRisk!AX217</f>
        <v>PVL</v>
      </c>
      <c r="AY88" s="231" t="str">
        <f>ExpoRisk!AY217</f>
        <v>PVL</v>
      </c>
      <c r="AZ88" s="231" t="str">
        <f>ExpoRisk!AZ217</f>
        <v>PVL</v>
      </c>
      <c r="BA88" s="231" t="str">
        <f>ExpoRisk!BA217</f>
        <v>PVL</v>
      </c>
      <c r="BB88" s="231" t="str">
        <f>ExpoRisk!BB217</f>
        <v>PVL</v>
      </c>
      <c r="BC88" s="232" t="str">
        <f>ExpoRisk!BC217</f>
        <v>PVL</v>
      </c>
      <c r="BD88" s="648">
        <f>ExpoRisk!BD217</f>
        <v>20.10202590422794</v>
      </c>
      <c r="BE88" s="231" t="str">
        <f>ExpoRisk!BE217</f>
        <v>PVL</v>
      </c>
      <c r="BF88" s="231" t="str">
        <f>ExpoRisk!BF217</f>
        <v>PVL</v>
      </c>
      <c r="BG88" s="231" t="str">
        <f>ExpoRisk!BG217</f>
        <v>Saturation</v>
      </c>
      <c r="BH88" s="646">
        <f>ExpoRisk!BH217</f>
        <v>0.50885829224279044</v>
      </c>
      <c r="BI88" s="231"/>
      <c r="BJ88" s="647"/>
      <c r="BK88" s="647"/>
      <c r="BL88" s="231">
        <f>ExpoRisk!BL217</f>
        <v>0</v>
      </c>
      <c r="BM88" s="231">
        <f>ExpoRisk!BM217</f>
        <v>0</v>
      </c>
      <c r="BN88" s="231">
        <f>ExpoRisk!BN217</f>
        <v>0</v>
      </c>
      <c r="BO88" s="232">
        <f>ExpoRisk!BO217</f>
        <v>0</v>
      </c>
      <c r="BP88" s="231">
        <f>ExpoRisk!BP217</f>
        <v>0</v>
      </c>
      <c r="BQ88" s="1253">
        <f>ExpoRisk!BQ217</f>
        <v>0</v>
      </c>
      <c r="BR88" s="231">
        <f>ExpoRisk!BR217</f>
        <v>0</v>
      </c>
      <c r="BS88" s="231">
        <f>ExpoRisk!BS217</f>
        <v>0</v>
      </c>
      <c r="BT88" s="1254">
        <f>ExpoRisk!BT217</f>
        <v>0</v>
      </c>
      <c r="BU88" s="231">
        <f>ExpoRisk!BU217</f>
        <v>0</v>
      </c>
      <c r="BV88" s="231">
        <f>ExpoRisk!BV217</f>
        <v>0</v>
      </c>
      <c r="BW88" s="231">
        <f>ExpoRisk!BW217</f>
        <v>0</v>
      </c>
      <c r="BX88" s="1253">
        <f>ExpoRisk!BX217</f>
        <v>0</v>
      </c>
      <c r="BY88" s="231">
        <f>ExpoRisk!BY217</f>
        <v>0</v>
      </c>
      <c r="BZ88" s="231">
        <f>ExpoRisk!BZ217</f>
        <v>0</v>
      </c>
      <c r="CA88" s="231">
        <f>ExpoRisk!CA217</f>
        <v>0</v>
      </c>
      <c r="CB88" s="647"/>
      <c r="CC88" s="687"/>
      <c r="CD88" s="1197"/>
      <c r="CE88" s="647"/>
      <c r="CF88" s="647"/>
      <c r="CG88" s="1232"/>
      <c r="CH88" s="647"/>
      <c r="CI88" s="647"/>
      <c r="CJ88" s="647"/>
      <c r="CK88" s="1233"/>
      <c r="CL88" s="647"/>
      <c r="CM88" s="647"/>
      <c r="CN88" s="1233"/>
      <c r="CO88" s="647"/>
      <c r="CP88" s="647"/>
      <c r="CQ88" s="647"/>
      <c r="CR88" s="688"/>
      <c r="CS88" s="1234"/>
      <c r="CT88" s="1348"/>
      <c r="CU88" s="1140"/>
      <c r="CV88" s="1235"/>
      <c r="CW88" s="687"/>
      <c r="CX88" s="687"/>
      <c r="CY88" s="647"/>
      <c r="CZ88" s="647"/>
      <c r="DA88" s="647"/>
      <c r="DB88" s="647"/>
      <c r="DC88" s="687"/>
      <c r="DD88" s="647"/>
      <c r="DE88" s="647"/>
      <c r="DF88" s="647"/>
      <c r="DG88" s="647"/>
      <c r="DH88" s="647"/>
      <c r="DI88" s="647"/>
      <c r="DJ88" s="1236"/>
      <c r="DK88" s="647"/>
      <c r="DL88" s="647"/>
      <c r="DM88" s="1233"/>
      <c r="DN88" s="1237"/>
      <c r="DO88" s="1349"/>
      <c r="DP88" s="1238"/>
      <c r="DQ88" s="920"/>
      <c r="DS88" s="113">
        <f>ExpoRisk!DQ217</f>
        <v>0</v>
      </c>
      <c r="DT88" s="113">
        <f>ExpoRisk!DR217</f>
        <v>0</v>
      </c>
      <c r="DU88" s="113">
        <f>ExpoRisk!DS217</f>
        <v>0</v>
      </c>
      <c r="DV88" s="872">
        <f>ExpoRisk!DT217</f>
        <v>0</v>
      </c>
      <c r="DW88" s="113">
        <f>ExpoRisk!DU217</f>
        <v>0</v>
      </c>
      <c r="DX88" s="113">
        <f>ExpoRisk!DV217</f>
        <v>0</v>
      </c>
      <c r="DY88" s="113">
        <f>ExpoRisk!DW217</f>
        <v>0</v>
      </c>
    </row>
    <row r="89" spans="1:129" s="863" customFormat="1" ht="12" customHeight="1">
      <c r="A89" s="632"/>
      <c r="B89" s="856"/>
      <c r="C89" s="857"/>
      <c r="D89" s="858"/>
      <c r="E89" s="859"/>
      <c r="F89" s="860"/>
      <c r="G89" s="860"/>
      <c r="H89" s="861"/>
      <c r="I89" s="862"/>
      <c r="J89" s="1353"/>
      <c r="K89" s="1352"/>
      <c r="L89" s="1353"/>
      <c r="M89" s="1353"/>
      <c r="N89" s="1353"/>
      <c r="O89" s="1353"/>
      <c r="P89" s="1353"/>
      <c r="Q89" s="1353"/>
      <c r="R89" s="1353"/>
      <c r="S89" s="1353"/>
      <c r="T89" s="1353"/>
      <c r="U89" s="1353"/>
      <c r="V89" s="1443"/>
      <c r="W89" s="1353"/>
      <c r="X89" s="1353"/>
      <c r="Y89" s="1353"/>
      <c r="Z89" s="1353"/>
      <c r="AA89" s="1354"/>
      <c r="AB89" s="1353"/>
      <c r="AC89" s="1355"/>
      <c r="AD89" s="1353"/>
      <c r="AE89" s="1353"/>
      <c r="AF89" s="1356"/>
      <c r="AG89" s="1353"/>
      <c r="AH89" s="1353"/>
      <c r="AI89" s="1353"/>
      <c r="AJ89" s="1355"/>
      <c r="AK89" s="1353"/>
      <c r="AL89" s="1353"/>
      <c r="AM89" s="1353"/>
      <c r="AN89" s="1352"/>
      <c r="AO89" s="1353"/>
      <c r="AP89" s="1353"/>
      <c r="AQ89" s="1353"/>
      <c r="AR89" s="1353"/>
      <c r="AS89" s="1353"/>
      <c r="AT89" s="1353"/>
      <c r="AU89" s="1353"/>
      <c r="AV89" s="1353"/>
      <c r="AW89" s="1353"/>
      <c r="AX89" s="1353"/>
      <c r="AY89" s="1353"/>
      <c r="AZ89" s="1353"/>
      <c r="BA89" s="1353"/>
      <c r="BB89" s="1353"/>
      <c r="BC89" s="1354"/>
      <c r="BD89" s="1352"/>
      <c r="BE89" s="1353"/>
      <c r="BF89" s="1353"/>
      <c r="BG89" s="1353"/>
      <c r="BH89" s="1357"/>
      <c r="BI89" s="1353"/>
      <c r="BJ89" s="1358"/>
      <c r="BK89" s="1358"/>
      <c r="BL89" s="1353"/>
      <c r="BM89" s="1353"/>
      <c r="BN89" s="1353"/>
      <c r="BO89" s="1354"/>
      <c r="BP89" s="1353"/>
      <c r="BQ89" s="1355"/>
      <c r="BR89" s="1353"/>
      <c r="BS89" s="1353"/>
      <c r="BT89" s="1356"/>
      <c r="BU89" s="1353"/>
      <c r="BV89" s="1353"/>
      <c r="BW89" s="1353"/>
      <c r="BX89" s="1355"/>
      <c r="BY89" s="1353"/>
      <c r="BZ89" s="1353"/>
      <c r="CA89" s="1353"/>
      <c r="CB89" s="1358"/>
      <c r="CC89" s="1359"/>
      <c r="CD89" s="1360"/>
      <c r="CE89" s="1358"/>
      <c r="CF89" s="1358"/>
      <c r="CG89" s="1361"/>
      <c r="CH89" s="1358"/>
      <c r="CI89" s="1358"/>
      <c r="CJ89" s="1358"/>
      <c r="CK89" s="1362"/>
      <c r="CL89" s="1358"/>
      <c r="CM89" s="1358"/>
      <c r="CN89" s="1362"/>
      <c r="CO89" s="1358"/>
      <c r="CP89" s="1358"/>
      <c r="CQ89" s="1358"/>
      <c r="CR89" s="1363"/>
      <c r="CS89" s="1364"/>
      <c r="CT89" s="1365"/>
      <c r="CU89" s="1366"/>
      <c r="CV89" s="1367"/>
      <c r="CW89" s="1359"/>
      <c r="CX89" s="1359"/>
      <c r="CY89" s="1358"/>
      <c r="CZ89" s="1358"/>
      <c r="DA89" s="1358"/>
      <c r="DB89" s="1358"/>
      <c r="DC89" s="1359"/>
      <c r="DD89" s="1358"/>
      <c r="DE89" s="1358"/>
      <c r="DF89" s="1358"/>
      <c r="DG89" s="1358"/>
      <c r="DH89" s="1358"/>
      <c r="DI89" s="1358"/>
      <c r="DJ89" s="1368"/>
      <c r="DK89" s="1358"/>
      <c r="DL89" s="1358"/>
      <c r="DM89" s="1362"/>
      <c r="DN89" s="1369"/>
      <c r="DO89" s="1370"/>
      <c r="DP89" s="1371"/>
      <c r="DQ89" s="982"/>
      <c r="DS89" s="862"/>
      <c r="DT89" s="862"/>
      <c r="DU89" s="862"/>
      <c r="DV89" s="884"/>
      <c r="DW89" s="862"/>
      <c r="DX89" s="862"/>
      <c r="DY89" s="862"/>
    </row>
    <row r="90" spans="1:129" s="293" customFormat="1" hidden="1">
      <c r="A90" s="305"/>
      <c r="B90" s="294"/>
      <c r="C90" s="503"/>
      <c r="D90" s="507"/>
      <c r="E90" s="617" t="s">
        <v>627</v>
      </c>
      <c r="F90" s="618"/>
      <c r="G90" s="105"/>
      <c r="H90" s="627"/>
      <c r="I90" s="530"/>
      <c r="J90" s="636"/>
      <c r="K90" s="1270"/>
      <c r="L90" s="636"/>
      <c r="M90" s="636"/>
      <c r="N90" s="636"/>
      <c r="O90" s="636"/>
      <c r="P90" s="636"/>
      <c r="Q90" s="636"/>
      <c r="R90" s="636"/>
      <c r="S90" s="636"/>
      <c r="T90" s="636"/>
      <c r="U90" s="636"/>
      <c r="V90" s="1433"/>
      <c r="W90" s="636"/>
      <c r="X90" s="636"/>
      <c r="Y90" s="636"/>
      <c r="Z90" s="636"/>
      <c r="AA90" s="473"/>
      <c r="AB90" s="636"/>
      <c r="AC90" s="1271"/>
      <c r="AD90" s="636"/>
      <c r="AE90" s="636"/>
      <c r="AF90" s="1272"/>
      <c r="AG90" s="636"/>
      <c r="AH90" s="636"/>
      <c r="AI90" s="636"/>
      <c r="AJ90" s="1271"/>
      <c r="AK90" s="636"/>
      <c r="AL90" s="636"/>
      <c r="AM90" s="636"/>
      <c r="AN90" s="1270"/>
      <c r="AO90" s="636"/>
      <c r="AP90" s="636"/>
      <c r="AQ90" s="636"/>
      <c r="AR90" s="636"/>
      <c r="AS90" s="636"/>
      <c r="AT90" s="636"/>
      <c r="AU90" s="636"/>
      <c r="AV90" s="636"/>
      <c r="AW90" s="636"/>
      <c r="AX90" s="636"/>
      <c r="AY90" s="636"/>
      <c r="AZ90" s="636"/>
      <c r="BA90" s="636"/>
      <c r="BB90" s="636"/>
      <c r="BC90" s="473"/>
      <c r="BD90" s="1270"/>
      <c r="BE90" s="636"/>
      <c r="BF90" s="636"/>
      <c r="BG90" s="636"/>
      <c r="BH90" s="1273"/>
      <c r="BI90" s="636"/>
      <c r="BJ90" s="1274"/>
      <c r="BK90" s="1274"/>
      <c r="BL90" s="636"/>
      <c r="BM90" s="636"/>
      <c r="BN90" s="636"/>
      <c r="BO90" s="473"/>
      <c r="BP90" s="636"/>
      <c r="BQ90" s="1271"/>
      <c r="BR90" s="636"/>
      <c r="BS90" s="636"/>
      <c r="BT90" s="1272"/>
      <c r="BU90" s="636"/>
      <c r="BV90" s="636"/>
      <c r="BW90" s="636"/>
      <c r="BX90" s="1271"/>
      <c r="BY90" s="636"/>
      <c r="BZ90" s="636"/>
      <c r="CA90" s="636"/>
      <c r="CB90" s="1274"/>
      <c r="CC90" s="1283"/>
      <c r="CD90" s="1345"/>
      <c r="CE90" s="1274"/>
      <c r="CF90" s="1274"/>
      <c r="CG90" s="1277"/>
      <c r="CH90" s="1274"/>
      <c r="CI90" s="1274"/>
      <c r="CJ90" s="1274"/>
      <c r="CK90" s="1278"/>
      <c r="CL90" s="1274"/>
      <c r="CM90" s="1274"/>
      <c r="CN90" s="1278"/>
      <c r="CO90" s="1274"/>
      <c r="CP90" s="1274"/>
      <c r="CQ90" s="1274"/>
      <c r="CR90" s="1279"/>
      <c r="CS90" s="1280"/>
      <c r="CT90" s="1346"/>
      <c r="CU90" s="1145"/>
      <c r="CV90" s="1282"/>
      <c r="CW90" s="1283"/>
      <c r="CX90" s="1283"/>
      <c r="CY90" s="1274"/>
      <c r="CZ90" s="1274"/>
      <c r="DA90" s="1274"/>
      <c r="DB90" s="1274"/>
      <c r="DC90" s="1283"/>
      <c r="DD90" s="1274"/>
      <c r="DE90" s="1274"/>
      <c r="DF90" s="1274"/>
      <c r="DG90" s="1274"/>
      <c r="DH90" s="1274"/>
      <c r="DI90" s="1274"/>
      <c r="DJ90" s="1284"/>
      <c r="DK90" s="1274"/>
      <c r="DL90" s="1274"/>
      <c r="DM90" s="1278"/>
      <c r="DN90" s="1285"/>
      <c r="DO90" s="1347"/>
      <c r="DP90" s="1286"/>
      <c r="DQ90" s="976"/>
      <c r="DS90" s="530"/>
      <c r="DT90" s="530"/>
      <c r="DU90" s="530"/>
      <c r="DV90" s="829"/>
      <c r="DW90" s="530"/>
      <c r="DX90" s="530"/>
      <c r="DY90" s="530"/>
    </row>
    <row r="91" spans="1:129" s="26" customFormat="1" hidden="1">
      <c r="A91" s="398"/>
      <c r="B91" s="27"/>
      <c r="E91" s="103" t="s">
        <v>670</v>
      </c>
      <c r="F91" s="14" t="s">
        <v>19</v>
      </c>
      <c r="G91" s="105" t="s">
        <v>20</v>
      </c>
      <c r="H91" s="85">
        <v>0</v>
      </c>
      <c r="I91" s="56">
        <v>2191.0042258112398</v>
      </c>
      <c r="J91" s="644">
        <v>2748.1893273665305</v>
      </c>
      <c r="K91" s="643">
        <v>8.3722240000000028</v>
      </c>
      <c r="L91" s="644">
        <v>11.45668921494269</v>
      </c>
      <c r="M91" s="644">
        <v>11.45668921494269</v>
      </c>
      <c r="N91" s="644">
        <v>29.900800000000004</v>
      </c>
      <c r="O91" s="644">
        <v>29.900800000000004</v>
      </c>
      <c r="P91" s="644">
        <v>5.2326400000000008</v>
      </c>
      <c r="Q91" s="644">
        <v>5.2326400000000008</v>
      </c>
      <c r="R91" s="644">
        <v>2.4907697736790411</v>
      </c>
      <c r="S91" s="644">
        <v>11.147744279592089</v>
      </c>
      <c r="T91" s="644">
        <v>11.147744279592089</v>
      </c>
      <c r="U91" s="644">
        <v>5.681152</v>
      </c>
      <c r="V91" s="681">
        <v>274.51616191583679</v>
      </c>
      <c r="W91" s="644">
        <v>274.51616191583679</v>
      </c>
      <c r="X91" s="644">
        <v>1.5663037092258811</v>
      </c>
      <c r="Y91" s="644">
        <v>54.799322524727273</v>
      </c>
      <c r="Z91" s="644">
        <v>78.274575708136624</v>
      </c>
      <c r="AA91" s="645">
        <v>104.65279999999998</v>
      </c>
      <c r="AB91" s="644">
        <v>107.49443012002149</v>
      </c>
      <c r="AC91" s="1228">
        <v>329.64104048117611</v>
      </c>
      <c r="AD91" s="644">
        <v>1364.9118543979573</v>
      </c>
      <c r="AE91" s="644" t="s">
        <v>498</v>
      </c>
      <c r="AF91" s="1229" t="s">
        <v>498</v>
      </c>
      <c r="AG91" s="644">
        <v>2750.8735999999999</v>
      </c>
      <c r="AH91" s="644">
        <v>2750.8736000000004</v>
      </c>
      <c r="AI91" s="644">
        <v>186.82377971933545</v>
      </c>
      <c r="AJ91" s="1228">
        <v>470.60358553181504</v>
      </c>
      <c r="AK91" s="644">
        <v>1395.3655453243891</v>
      </c>
      <c r="AL91" s="644" t="s">
        <v>498</v>
      </c>
      <c r="AM91" s="644" t="s">
        <v>498</v>
      </c>
      <c r="AN91" s="643">
        <v>51.492626484514297</v>
      </c>
      <c r="AO91" s="644" t="s">
        <v>498</v>
      </c>
      <c r="AP91" s="644" t="s">
        <v>498</v>
      </c>
      <c r="AQ91" s="644" t="s">
        <v>498</v>
      </c>
      <c r="AR91" s="644" t="s">
        <v>498</v>
      </c>
      <c r="AS91" s="644" t="s">
        <v>498</v>
      </c>
      <c r="AT91" s="644" t="s">
        <v>498</v>
      </c>
      <c r="AU91" s="644" t="s">
        <v>498</v>
      </c>
      <c r="AV91" s="644" t="s">
        <v>498</v>
      </c>
      <c r="AW91" s="644" t="s">
        <v>498</v>
      </c>
      <c r="AX91" s="644" t="s">
        <v>498</v>
      </c>
      <c r="AY91" s="644" t="s">
        <v>498</v>
      </c>
      <c r="AZ91" s="644" t="s">
        <v>498</v>
      </c>
      <c r="BA91" s="644" t="s">
        <v>498</v>
      </c>
      <c r="BB91" s="644" t="s">
        <v>498</v>
      </c>
      <c r="BC91" s="645" t="s">
        <v>498</v>
      </c>
      <c r="BD91" s="643">
        <v>863.45157966215129</v>
      </c>
      <c r="BE91" s="644">
        <v>22056.589925835764</v>
      </c>
      <c r="BF91" s="644">
        <v>44113.179851671528</v>
      </c>
      <c r="BG91" s="644">
        <v>4.4851199999999996E-3</v>
      </c>
      <c r="BH91" s="646">
        <v>18.974818145732929</v>
      </c>
      <c r="BI91" s="644">
        <v>8.6175994834419818</v>
      </c>
      <c r="BJ91" s="647"/>
      <c r="BK91" s="647"/>
      <c r="BL91" s="644">
        <v>1.5663037092258811</v>
      </c>
      <c r="BM91" s="644">
        <v>54.799322524727273</v>
      </c>
      <c r="BN91" s="644">
        <v>78.274575708136624</v>
      </c>
      <c r="BO91" s="645">
        <v>104.65279999999998</v>
      </c>
      <c r="BP91" s="644">
        <v>107.49443012002149</v>
      </c>
      <c r="BQ91" s="1228">
        <v>329.64104048117611</v>
      </c>
      <c r="BR91" s="644">
        <v>1364.9118543979573</v>
      </c>
      <c r="BS91" s="644" t="s">
        <v>498</v>
      </c>
      <c r="BT91" s="1229" t="s">
        <v>498</v>
      </c>
      <c r="BU91" s="644">
        <v>2750.8735999999999</v>
      </c>
      <c r="BV91" s="644">
        <v>2750.8736000000004</v>
      </c>
      <c r="BW91" s="644">
        <v>186.82377971933545</v>
      </c>
      <c r="BX91" s="1228">
        <v>470.60358553181504</v>
      </c>
      <c r="BY91" s="644">
        <v>1395.3655453243891</v>
      </c>
      <c r="BZ91" s="644" t="s">
        <v>498</v>
      </c>
      <c r="CA91" s="644" t="s">
        <v>498</v>
      </c>
      <c r="CB91" s="647"/>
      <c r="CC91" s="687"/>
      <c r="CD91" s="1197"/>
      <c r="CE91" s="647"/>
      <c r="CF91" s="647"/>
      <c r="CG91" s="1232"/>
      <c r="CH91" s="647"/>
      <c r="CI91" s="647"/>
      <c r="CJ91" s="647"/>
      <c r="CK91" s="1233"/>
      <c r="CL91" s="647"/>
      <c r="CM91" s="647"/>
      <c r="CN91" s="1233"/>
      <c r="CO91" s="647"/>
      <c r="CP91" s="647"/>
      <c r="CQ91" s="647"/>
      <c r="CR91" s="688"/>
      <c r="CS91" s="1234"/>
      <c r="CT91" s="1348"/>
      <c r="CU91" s="1140"/>
      <c r="CV91" s="1235"/>
      <c r="CW91" s="687"/>
      <c r="CX91" s="687"/>
      <c r="CY91" s="647"/>
      <c r="CZ91" s="647"/>
      <c r="DA91" s="647"/>
      <c r="DB91" s="647"/>
      <c r="DC91" s="687"/>
      <c r="DD91" s="647"/>
      <c r="DE91" s="647"/>
      <c r="DF91" s="647"/>
      <c r="DG91" s="647"/>
      <c r="DH91" s="647"/>
      <c r="DI91" s="647"/>
      <c r="DJ91" s="1236"/>
      <c r="DK91" s="647"/>
      <c r="DL91" s="647"/>
      <c r="DM91" s="1233"/>
      <c r="DN91" s="1237"/>
      <c r="DO91" s="1349"/>
      <c r="DP91" s="1238"/>
      <c r="DQ91" s="920"/>
      <c r="DS91" s="56">
        <v>2750.8735999999999</v>
      </c>
      <c r="DT91" s="56">
        <v>2750.8736000000004</v>
      </c>
      <c r="DU91" s="56">
        <v>186.82377971933545</v>
      </c>
      <c r="DV91" s="870">
        <v>470.60358553181504</v>
      </c>
      <c r="DW91" s="56">
        <v>1395.3655453243891</v>
      </c>
      <c r="DX91" s="56" t="s">
        <v>498</v>
      </c>
      <c r="DY91" s="56" t="s">
        <v>498</v>
      </c>
    </row>
    <row r="92" spans="1:129" s="26" customFormat="1" hidden="1">
      <c r="A92" s="398"/>
      <c r="B92" s="27"/>
      <c r="E92" s="103" t="s">
        <v>671</v>
      </c>
      <c r="F92" s="14" t="s">
        <v>19</v>
      </c>
      <c r="G92" s="105" t="s">
        <v>20</v>
      </c>
      <c r="H92" s="85" t="s">
        <v>498</v>
      </c>
      <c r="I92" s="56" t="s">
        <v>498</v>
      </c>
      <c r="J92" s="644" t="s">
        <v>498</v>
      </c>
      <c r="K92" s="643">
        <v>52.3264</v>
      </c>
      <c r="L92" s="644" t="s">
        <v>498</v>
      </c>
      <c r="M92" s="644" t="s">
        <v>498</v>
      </c>
      <c r="N92" s="644">
        <v>26.163199999999993</v>
      </c>
      <c r="O92" s="644">
        <v>26.163199999999993</v>
      </c>
      <c r="P92" s="644">
        <v>8.8688813559322011</v>
      </c>
      <c r="Q92" s="644">
        <v>8.8688813559322011</v>
      </c>
      <c r="R92" s="644">
        <v>52.3264</v>
      </c>
      <c r="S92" s="644">
        <v>2.2750608695652175</v>
      </c>
      <c r="T92" s="644">
        <v>2.2750608695652175</v>
      </c>
      <c r="U92" s="644">
        <v>1.2458666666666662</v>
      </c>
      <c r="V92" s="681" t="s">
        <v>498</v>
      </c>
      <c r="W92" s="644" t="s">
        <v>498</v>
      </c>
      <c r="X92" s="644">
        <v>8.7210666666666654</v>
      </c>
      <c r="Y92" s="644" t="s">
        <v>498</v>
      </c>
      <c r="Z92" s="644">
        <v>20.93056</v>
      </c>
      <c r="AA92" s="645" t="s">
        <v>498</v>
      </c>
      <c r="AB92" s="644" t="s">
        <v>498</v>
      </c>
      <c r="AC92" s="1228" t="s">
        <v>498</v>
      </c>
      <c r="AD92" s="644" t="s">
        <v>498</v>
      </c>
      <c r="AE92" s="644" t="s">
        <v>498</v>
      </c>
      <c r="AF92" s="1229" t="s">
        <v>498</v>
      </c>
      <c r="AG92" s="644" t="s">
        <v>498</v>
      </c>
      <c r="AH92" s="644" t="s">
        <v>498</v>
      </c>
      <c r="AI92" s="644" t="s">
        <v>498</v>
      </c>
      <c r="AJ92" s="1228" t="s">
        <v>498</v>
      </c>
      <c r="AK92" s="644" t="s">
        <v>498</v>
      </c>
      <c r="AL92" s="644" t="s">
        <v>498</v>
      </c>
      <c r="AM92" s="644" t="s">
        <v>498</v>
      </c>
      <c r="AN92" s="643">
        <v>9.1604669046782199</v>
      </c>
      <c r="AO92" s="644">
        <v>769.73793241904821</v>
      </c>
      <c r="AP92" s="644">
        <v>535.13368276392089</v>
      </c>
      <c r="AQ92" s="644">
        <v>1078.9120575431421</v>
      </c>
      <c r="AR92" s="644">
        <v>4258.1628635722282</v>
      </c>
      <c r="AS92" s="644">
        <v>969.60594800601586</v>
      </c>
      <c r="AT92" s="644">
        <v>42693.777814207438</v>
      </c>
      <c r="AU92" s="644">
        <v>43804.451613587378</v>
      </c>
      <c r="AV92" s="644">
        <v>2876.6943239505963</v>
      </c>
      <c r="AW92" s="644">
        <v>232328.76088926633</v>
      </c>
      <c r="AX92" s="644">
        <v>108058.99206876886</v>
      </c>
      <c r="AY92" s="644">
        <v>202596.54017547672</v>
      </c>
      <c r="AZ92" s="644">
        <v>55943.83380231879</v>
      </c>
      <c r="BA92" s="644">
        <v>38151.034092031761</v>
      </c>
      <c r="BB92" s="644">
        <v>410439.46274852112</v>
      </c>
      <c r="BC92" s="645">
        <v>161316.91448327704</v>
      </c>
      <c r="BD92" s="643" t="s">
        <v>498</v>
      </c>
      <c r="BE92" s="644" t="s">
        <v>498</v>
      </c>
      <c r="BF92" s="644">
        <v>730.04188708141419</v>
      </c>
      <c r="BG92" s="644" t="s">
        <v>498</v>
      </c>
      <c r="BH92" s="646" t="s">
        <v>498</v>
      </c>
      <c r="BI92" s="644" t="s">
        <v>498</v>
      </c>
      <c r="BJ92" s="647"/>
      <c r="BK92" s="647"/>
      <c r="BL92" s="644">
        <v>8.7210666666666654</v>
      </c>
      <c r="BM92" s="644" t="s">
        <v>498</v>
      </c>
      <c r="BN92" s="644">
        <v>20.93056</v>
      </c>
      <c r="BO92" s="645" t="s">
        <v>498</v>
      </c>
      <c r="BP92" s="644" t="s">
        <v>498</v>
      </c>
      <c r="BQ92" s="1228" t="s">
        <v>498</v>
      </c>
      <c r="BR92" s="644" t="s">
        <v>498</v>
      </c>
      <c r="BS92" s="644" t="s">
        <v>498</v>
      </c>
      <c r="BT92" s="1229" t="s">
        <v>498</v>
      </c>
      <c r="BU92" s="644" t="s">
        <v>498</v>
      </c>
      <c r="BV92" s="644" t="s">
        <v>498</v>
      </c>
      <c r="BW92" s="644" t="s">
        <v>498</v>
      </c>
      <c r="BX92" s="1228" t="s">
        <v>498</v>
      </c>
      <c r="BY92" s="644" t="s">
        <v>498</v>
      </c>
      <c r="BZ92" s="644" t="s">
        <v>498</v>
      </c>
      <c r="CA92" s="644" t="s">
        <v>498</v>
      </c>
      <c r="CB92" s="647"/>
      <c r="CC92" s="687"/>
      <c r="CD92" s="1197"/>
      <c r="CE92" s="647"/>
      <c r="CF92" s="647"/>
      <c r="CG92" s="1232"/>
      <c r="CH92" s="647"/>
      <c r="CI92" s="647"/>
      <c r="CJ92" s="647"/>
      <c r="CK92" s="1233"/>
      <c r="CL92" s="647"/>
      <c r="CM92" s="647"/>
      <c r="CN92" s="1233"/>
      <c r="CO92" s="647"/>
      <c r="CP92" s="647"/>
      <c r="CQ92" s="647"/>
      <c r="CR92" s="688"/>
      <c r="CS92" s="1234"/>
      <c r="CT92" s="1348"/>
      <c r="CU92" s="1140"/>
      <c r="CV92" s="1235"/>
      <c r="CW92" s="687"/>
      <c r="CX92" s="687"/>
      <c r="CY92" s="647"/>
      <c r="CZ92" s="647"/>
      <c r="DA92" s="647"/>
      <c r="DB92" s="647"/>
      <c r="DC92" s="687"/>
      <c r="DD92" s="647"/>
      <c r="DE92" s="647"/>
      <c r="DF92" s="647"/>
      <c r="DG92" s="647"/>
      <c r="DH92" s="647"/>
      <c r="DI92" s="647"/>
      <c r="DJ92" s="1236"/>
      <c r="DK92" s="647"/>
      <c r="DL92" s="647"/>
      <c r="DM92" s="1233"/>
      <c r="DN92" s="1237"/>
      <c r="DO92" s="1349"/>
      <c r="DP92" s="1238"/>
      <c r="DQ92" s="920"/>
      <c r="DS92" s="56" t="s">
        <v>498</v>
      </c>
      <c r="DT92" s="56" t="s">
        <v>498</v>
      </c>
      <c r="DU92" s="56" t="s">
        <v>498</v>
      </c>
      <c r="DV92" s="870" t="s">
        <v>498</v>
      </c>
      <c r="DW92" s="56" t="s">
        <v>498</v>
      </c>
      <c r="DX92" s="56" t="s">
        <v>498</v>
      </c>
      <c r="DY92" s="56" t="s">
        <v>498</v>
      </c>
    </row>
    <row r="93" spans="1:129" s="26" customFormat="1" hidden="1">
      <c r="A93" s="148"/>
      <c r="B93" s="27"/>
      <c r="C93" s="77"/>
      <c r="D93" s="502"/>
      <c r="E93" s="103" t="s">
        <v>672</v>
      </c>
      <c r="F93" s="14" t="s">
        <v>19</v>
      </c>
      <c r="G93" s="105" t="s">
        <v>20</v>
      </c>
      <c r="H93" s="119">
        <v>0</v>
      </c>
      <c r="I93" s="113">
        <v>2191.0042258112398</v>
      </c>
      <c r="J93" s="231">
        <v>2748.1893273665305</v>
      </c>
      <c r="K93" s="648">
        <v>8.3722240000000028</v>
      </c>
      <c r="L93" s="231">
        <v>11.45668921494269</v>
      </c>
      <c r="M93" s="231">
        <v>11.45668921494269</v>
      </c>
      <c r="N93" s="231">
        <v>26.163199999999993</v>
      </c>
      <c r="O93" s="231">
        <v>26.163199999999993</v>
      </c>
      <c r="P93" s="231">
        <v>5.2326400000000008</v>
      </c>
      <c r="Q93" s="231">
        <v>5.2326400000000008</v>
      </c>
      <c r="R93" s="231">
        <v>2.4907697736790411</v>
      </c>
      <c r="S93" s="231">
        <v>2.2750608695652175</v>
      </c>
      <c r="T93" s="231">
        <v>2.2750608695652175</v>
      </c>
      <c r="U93" s="231">
        <v>1.2458666666666662</v>
      </c>
      <c r="V93" s="670">
        <v>274.51616191583679</v>
      </c>
      <c r="W93" s="231">
        <v>274.51616191583679</v>
      </c>
      <c r="X93" s="231">
        <v>1.5663037092258811</v>
      </c>
      <c r="Y93" s="231">
        <v>54.799322524727273</v>
      </c>
      <c r="Z93" s="231">
        <v>20.93056</v>
      </c>
      <c r="AA93" s="232">
        <v>104.65279999999998</v>
      </c>
      <c r="AB93" s="231">
        <v>107.49443012002149</v>
      </c>
      <c r="AC93" s="1253">
        <v>329.64104048117611</v>
      </c>
      <c r="AD93" s="231">
        <v>1364.9118543979573</v>
      </c>
      <c r="AE93" s="231" t="s">
        <v>498</v>
      </c>
      <c r="AF93" s="1254" t="s">
        <v>498</v>
      </c>
      <c r="AG93" s="231">
        <v>2750.8735999999999</v>
      </c>
      <c r="AH93" s="231">
        <v>2750.8736000000004</v>
      </c>
      <c r="AI93" s="231">
        <v>186.82377971933545</v>
      </c>
      <c r="AJ93" s="1253">
        <v>470.60358553181504</v>
      </c>
      <c r="AK93" s="231">
        <v>1395.3655453243891</v>
      </c>
      <c r="AL93" s="231" t="s">
        <v>498</v>
      </c>
      <c r="AM93" s="231" t="s">
        <v>498</v>
      </c>
      <c r="AN93" s="648">
        <v>9.1604669046782199</v>
      </c>
      <c r="AO93" s="231">
        <v>769.73793241904821</v>
      </c>
      <c r="AP93" s="231">
        <v>535.13368276392089</v>
      </c>
      <c r="AQ93" s="231">
        <v>1078.9120575431421</v>
      </c>
      <c r="AR93" s="231">
        <v>4258.1628635722282</v>
      </c>
      <c r="AS93" s="231">
        <v>969.60594800601586</v>
      </c>
      <c r="AT93" s="231">
        <v>42693.777814207438</v>
      </c>
      <c r="AU93" s="231">
        <v>43804.451613587378</v>
      </c>
      <c r="AV93" s="231">
        <v>2876.6943239505963</v>
      </c>
      <c r="AW93" s="231">
        <v>232328.76088926633</v>
      </c>
      <c r="AX93" s="231">
        <v>108058.99206876886</v>
      </c>
      <c r="AY93" s="231">
        <v>202596.54017547672</v>
      </c>
      <c r="AZ93" s="231">
        <v>55943.83380231879</v>
      </c>
      <c r="BA93" s="231">
        <v>38151.034092031761</v>
      </c>
      <c r="BB93" s="231">
        <v>410439.46274852112</v>
      </c>
      <c r="BC93" s="232">
        <v>161316.91448327704</v>
      </c>
      <c r="BD93" s="648">
        <v>863.45157966215129</v>
      </c>
      <c r="BE93" s="231">
        <v>22056.589925835764</v>
      </c>
      <c r="BF93" s="231">
        <v>730.04188708141419</v>
      </c>
      <c r="BG93" s="231">
        <v>4.4851199999999996E-3</v>
      </c>
      <c r="BH93" s="646">
        <v>18.974818145732929</v>
      </c>
      <c r="BI93" s="231">
        <v>8.6175994834419818</v>
      </c>
      <c r="BJ93" s="647"/>
      <c r="BK93" s="647"/>
      <c r="BL93" s="231">
        <v>1.5663037092258811</v>
      </c>
      <c r="BM93" s="231">
        <v>54.799322524727273</v>
      </c>
      <c r="BN93" s="231">
        <v>20.93056</v>
      </c>
      <c r="BO93" s="232">
        <v>104.65279999999998</v>
      </c>
      <c r="BP93" s="231">
        <v>107.49443012002149</v>
      </c>
      <c r="BQ93" s="1253">
        <v>329.64104048117611</v>
      </c>
      <c r="BR93" s="231">
        <v>1364.9118543979573</v>
      </c>
      <c r="BS93" s="231" t="s">
        <v>498</v>
      </c>
      <c r="BT93" s="1254" t="s">
        <v>498</v>
      </c>
      <c r="BU93" s="231">
        <v>2750.8735999999999</v>
      </c>
      <c r="BV93" s="231">
        <v>2750.8736000000004</v>
      </c>
      <c r="BW93" s="231">
        <v>186.82377971933545</v>
      </c>
      <c r="BX93" s="1253">
        <v>470.60358553181504</v>
      </c>
      <c r="BY93" s="231">
        <v>1395.3655453243891</v>
      </c>
      <c r="BZ93" s="231" t="s">
        <v>498</v>
      </c>
      <c r="CA93" s="231" t="s">
        <v>498</v>
      </c>
      <c r="CB93" s="647"/>
      <c r="CC93" s="687"/>
      <c r="CD93" s="1197"/>
      <c r="CE93" s="647"/>
      <c r="CF93" s="647"/>
      <c r="CG93" s="1232"/>
      <c r="CH93" s="647"/>
      <c r="CI93" s="647"/>
      <c r="CJ93" s="647"/>
      <c r="CK93" s="1233"/>
      <c r="CL93" s="647"/>
      <c r="CM93" s="647"/>
      <c r="CN93" s="1233"/>
      <c r="CO93" s="647"/>
      <c r="CP93" s="647"/>
      <c r="CQ93" s="647"/>
      <c r="CR93" s="688"/>
      <c r="CS93" s="1234"/>
      <c r="CT93" s="1348"/>
      <c r="CU93" s="1140"/>
      <c r="CV93" s="1235"/>
      <c r="CW93" s="687"/>
      <c r="CX93" s="687"/>
      <c r="CY93" s="647"/>
      <c r="CZ93" s="647"/>
      <c r="DA93" s="647"/>
      <c r="DB93" s="647"/>
      <c r="DC93" s="687"/>
      <c r="DD93" s="647"/>
      <c r="DE93" s="647"/>
      <c r="DF93" s="647"/>
      <c r="DG93" s="647"/>
      <c r="DH93" s="647"/>
      <c r="DI93" s="647"/>
      <c r="DJ93" s="1236"/>
      <c r="DK93" s="647"/>
      <c r="DL93" s="647"/>
      <c r="DM93" s="1233"/>
      <c r="DN93" s="1237"/>
      <c r="DO93" s="1349"/>
      <c r="DP93" s="1238"/>
      <c r="DQ93" s="920"/>
      <c r="DS93" s="113">
        <v>2750.8735999999999</v>
      </c>
      <c r="DT93" s="113">
        <v>2750.8736000000004</v>
      </c>
      <c r="DU93" s="113">
        <v>186.82377971933545</v>
      </c>
      <c r="DV93" s="872">
        <v>470.60358553181504</v>
      </c>
      <c r="DW93" s="113">
        <v>1395.3655453243891</v>
      </c>
      <c r="DX93" s="113" t="s">
        <v>498</v>
      </c>
      <c r="DY93" s="113" t="s">
        <v>498</v>
      </c>
    </row>
    <row r="94" spans="1:129" s="495" customFormat="1" hidden="1">
      <c r="A94" s="398"/>
      <c r="B94" s="492"/>
      <c r="C94" s="26"/>
      <c r="D94" s="26"/>
      <c r="E94" s="619" t="s">
        <v>669</v>
      </c>
      <c r="F94" s="493" t="s">
        <v>19</v>
      </c>
      <c r="G94" s="584" t="s">
        <v>20</v>
      </c>
      <c r="H94" s="494">
        <v>0</v>
      </c>
      <c r="I94" s="343">
        <v>2191.0042258112398</v>
      </c>
      <c r="J94" s="650">
        <v>2748.1893273665305</v>
      </c>
      <c r="K94" s="649">
        <v>8.3722240000000028</v>
      </c>
      <c r="L94" s="650">
        <v>11.45668921494269</v>
      </c>
      <c r="M94" s="650">
        <v>11.45668921494269</v>
      </c>
      <c r="N94" s="650">
        <v>26.163199999999993</v>
      </c>
      <c r="O94" s="650">
        <v>26.163199999999993</v>
      </c>
      <c r="P94" s="650">
        <v>5.2326400000000008</v>
      </c>
      <c r="Q94" s="650">
        <v>5.2326400000000008</v>
      </c>
      <c r="R94" s="650">
        <v>2.4907697736790411</v>
      </c>
      <c r="S94" s="650">
        <v>2.2750608695652175</v>
      </c>
      <c r="T94" s="650">
        <v>2.2750608695652175</v>
      </c>
      <c r="U94" s="650">
        <v>1.2458666666666662</v>
      </c>
      <c r="V94" s="675" t="s">
        <v>498</v>
      </c>
      <c r="W94" s="650" t="s">
        <v>498</v>
      </c>
      <c r="X94" s="650">
        <v>1.5663037092258811</v>
      </c>
      <c r="Y94" s="650">
        <v>54.799322524727273</v>
      </c>
      <c r="Z94" s="650">
        <v>20.93056</v>
      </c>
      <c r="AA94" s="651">
        <v>104.65279999999998</v>
      </c>
      <c r="AB94" s="650">
        <v>107.49443012002149</v>
      </c>
      <c r="AC94" s="1168" t="s">
        <v>498</v>
      </c>
      <c r="AD94" s="650" t="s">
        <v>498</v>
      </c>
      <c r="AE94" s="650" t="s">
        <v>498</v>
      </c>
      <c r="AF94" s="1169" t="s">
        <v>498</v>
      </c>
      <c r="AG94" s="650" t="s">
        <v>498</v>
      </c>
      <c r="AH94" s="650" t="s">
        <v>498</v>
      </c>
      <c r="AI94" s="650" t="s">
        <v>498</v>
      </c>
      <c r="AJ94" s="1168" t="s">
        <v>498</v>
      </c>
      <c r="AK94" s="650" t="s">
        <v>498</v>
      </c>
      <c r="AL94" s="650" t="s">
        <v>498</v>
      </c>
      <c r="AM94" s="650" t="s">
        <v>498</v>
      </c>
      <c r="AN94" s="649">
        <v>9.1604669046782199</v>
      </c>
      <c r="AO94" s="650" t="s">
        <v>498</v>
      </c>
      <c r="AP94" s="650" t="s">
        <v>498</v>
      </c>
      <c r="AQ94" s="650" t="s">
        <v>498</v>
      </c>
      <c r="AR94" s="650" t="s">
        <v>498</v>
      </c>
      <c r="AS94" s="650" t="s">
        <v>498</v>
      </c>
      <c r="AT94" s="650" t="s">
        <v>498</v>
      </c>
      <c r="AU94" s="650" t="s">
        <v>498</v>
      </c>
      <c r="AV94" s="650" t="s">
        <v>498</v>
      </c>
      <c r="AW94" s="650" t="s">
        <v>498</v>
      </c>
      <c r="AX94" s="650" t="s">
        <v>498</v>
      </c>
      <c r="AY94" s="650" t="s">
        <v>498</v>
      </c>
      <c r="AZ94" s="650" t="s">
        <v>498</v>
      </c>
      <c r="BA94" s="650" t="s">
        <v>498</v>
      </c>
      <c r="BB94" s="650" t="s">
        <v>498</v>
      </c>
      <c r="BC94" s="651" t="s">
        <v>498</v>
      </c>
      <c r="BD94" s="649">
        <v>863.45157966215129</v>
      </c>
      <c r="BE94" s="650" t="s">
        <v>498</v>
      </c>
      <c r="BF94" s="650" t="s">
        <v>498</v>
      </c>
      <c r="BG94" s="650">
        <v>4.4851199999999996E-3</v>
      </c>
      <c r="BH94" s="652">
        <v>18.974818145732929</v>
      </c>
      <c r="BI94" s="650">
        <v>8.6175994834419818</v>
      </c>
      <c r="BJ94" s="653"/>
      <c r="BK94" s="653"/>
      <c r="BL94" s="650">
        <v>1.5663037092258811</v>
      </c>
      <c r="BM94" s="650">
        <v>54.799322524727273</v>
      </c>
      <c r="BN94" s="650">
        <v>20.93056</v>
      </c>
      <c r="BO94" s="651">
        <v>104.65279999999998</v>
      </c>
      <c r="BP94" s="650">
        <v>107.49443012002149</v>
      </c>
      <c r="BQ94" s="1168" t="s">
        <v>498</v>
      </c>
      <c r="BR94" s="650" t="s">
        <v>498</v>
      </c>
      <c r="BS94" s="650" t="s">
        <v>498</v>
      </c>
      <c r="BT94" s="1169" t="s">
        <v>498</v>
      </c>
      <c r="BU94" s="650" t="s">
        <v>498</v>
      </c>
      <c r="BV94" s="650" t="s">
        <v>498</v>
      </c>
      <c r="BW94" s="650" t="s">
        <v>498</v>
      </c>
      <c r="BX94" s="1168" t="s">
        <v>498</v>
      </c>
      <c r="BY94" s="650" t="s">
        <v>498</v>
      </c>
      <c r="BZ94" s="650" t="s">
        <v>498</v>
      </c>
      <c r="CA94" s="650" t="s">
        <v>498</v>
      </c>
      <c r="CB94" s="653"/>
      <c r="CC94" s="689"/>
      <c r="CD94" s="1351"/>
      <c r="CE94" s="653"/>
      <c r="CF94" s="653"/>
      <c r="CG94" s="1172"/>
      <c r="CH94" s="653"/>
      <c r="CI94" s="653"/>
      <c r="CJ94" s="653"/>
      <c r="CK94" s="1173"/>
      <c r="CL94" s="653"/>
      <c r="CM94" s="653"/>
      <c r="CN94" s="1173"/>
      <c r="CO94" s="653"/>
      <c r="CP94" s="653"/>
      <c r="CQ94" s="653"/>
      <c r="CR94" s="690"/>
      <c r="CS94" s="1234"/>
      <c r="CT94" s="1348"/>
      <c r="CU94" s="1140"/>
      <c r="CV94" s="1235"/>
      <c r="CW94" s="689"/>
      <c r="CX94" s="689"/>
      <c r="CY94" s="653"/>
      <c r="CZ94" s="653"/>
      <c r="DA94" s="653"/>
      <c r="DB94" s="653"/>
      <c r="DC94" s="689"/>
      <c r="DD94" s="653"/>
      <c r="DE94" s="653"/>
      <c r="DF94" s="653"/>
      <c r="DG94" s="653"/>
      <c r="DH94" s="653"/>
      <c r="DI94" s="653"/>
      <c r="DJ94" s="1287"/>
      <c r="DK94" s="653"/>
      <c r="DL94" s="653"/>
      <c r="DM94" s="1173"/>
      <c r="DN94" s="1237"/>
      <c r="DO94" s="1349"/>
      <c r="DP94" s="1238"/>
      <c r="DQ94" s="920"/>
      <c r="DS94" s="343" t="s">
        <v>498</v>
      </c>
      <c r="DT94" s="343" t="s">
        <v>498</v>
      </c>
      <c r="DU94" s="343" t="s">
        <v>498</v>
      </c>
      <c r="DV94" s="874" t="s">
        <v>498</v>
      </c>
      <c r="DW94" s="343" t="s">
        <v>498</v>
      </c>
      <c r="DX94" s="343" t="s">
        <v>498</v>
      </c>
      <c r="DY94" s="343" t="s">
        <v>498</v>
      </c>
    </row>
    <row r="95" spans="1:129" s="513" customFormat="1" hidden="1">
      <c r="A95" s="508"/>
      <c r="B95" s="510"/>
      <c r="E95" s="352" t="s">
        <v>476</v>
      </c>
      <c r="F95" s="63" t="s">
        <v>93</v>
      </c>
      <c r="G95" s="515" t="s">
        <v>24</v>
      </c>
      <c r="H95" s="511">
        <v>0</v>
      </c>
      <c r="I95" s="237">
        <v>5762.86204944374</v>
      </c>
      <c r="J95" s="655">
        <v>39266.173504691214</v>
      </c>
      <c r="K95" s="654">
        <v>32267.104127822295</v>
      </c>
      <c r="L95" s="655">
        <v>8232.5660413573096</v>
      </c>
      <c r="M95" s="655">
        <v>8232.5660413573096</v>
      </c>
      <c r="N95" s="655">
        <v>37028.460611113514</v>
      </c>
      <c r="O95" s="655">
        <v>37028.460611113514</v>
      </c>
      <c r="P95" s="655">
        <v>8143.6510860581811</v>
      </c>
      <c r="Q95" s="655">
        <v>8143.6510860581811</v>
      </c>
      <c r="R95" s="655">
        <v>1811.0099492073127</v>
      </c>
      <c r="S95" s="655">
        <v>1332.6036026420479</v>
      </c>
      <c r="T95" s="655">
        <v>1332.6036026420479</v>
      </c>
      <c r="U95" s="655">
        <v>3435.0680197216675</v>
      </c>
      <c r="V95" s="668" t="s">
        <v>498</v>
      </c>
      <c r="W95" s="655" t="s">
        <v>498</v>
      </c>
      <c r="X95" s="655">
        <v>1354.6281316825423</v>
      </c>
      <c r="Y95" s="655">
        <v>32846.527479700067</v>
      </c>
      <c r="Z95" s="655">
        <v>7429.7820571133807</v>
      </c>
      <c r="AA95" s="656">
        <v>24921.706199076754</v>
      </c>
      <c r="AB95" s="655">
        <v>28951.048427814298</v>
      </c>
      <c r="AC95" s="1372" t="s">
        <v>498</v>
      </c>
      <c r="AD95" s="655" t="s">
        <v>498</v>
      </c>
      <c r="AE95" s="655" t="s">
        <v>498</v>
      </c>
      <c r="AF95" s="1373" t="s">
        <v>498</v>
      </c>
      <c r="AG95" s="655" t="s">
        <v>498</v>
      </c>
      <c r="AH95" s="655" t="s">
        <v>498</v>
      </c>
      <c r="AI95" s="655" t="s">
        <v>498</v>
      </c>
      <c r="AJ95" s="1372" t="s">
        <v>498</v>
      </c>
      <c r="AK95" s="655" t="s">
        <v>498</v>
      </c>
      <c r="AL95" s="655" t="s">
        <v>498</v>
      </c>
      <c r="AM95" s="655" t="s">
        <v>498</v>
      </c>
      <c r="AN95" s="654">
        <v>39.156475224450752</v>
      </c>
      <c r="AO95" s="655" t="s">
        <v>498</v>
      </c>
      <c r="AP95" s="655" t="s">
        <v>498</v>
      </c>
      <c r="AQ95" s="655" t="s">
        <v>498</v>
      </c>
      <c r="AR95" s="655" t="s">
        <v>498</v>
      </c>
      <c r="AS95" s="655" t="s">
        <v>498</v>
      </c>
      <c r="AT95" s="655" t="s">
        <v>498</v>
      </c>
      <c r="AU95" s="655" t="s">
        <v>498</v>
      </c>
      <c r="AV95" s="655" t="s">
        <v>498</v>
      </c>
      <c r="AW95" s="655" t="s">
        <v>498</v>
      </c>
      <c r="AX95" s="655" t="s">
        <v>498</v>
      </c>
      <c r="AY95" s="655" t="s">
        <v>498</v>
      </c>
      <c r="AZ95" s="655" t="s">
        <v>498</v>
      </c>
      <c r="BA95" s="655" t="s">
        <v>498</v>
      </c>
      <c r="BB95" s="655" t="s">
        <v>498</v>
      </c>
      <c r="BC95" s="656" t="s">
        <v>498</v>
      </c>
      <c r="BD95" s="654">
        <v>77.312428136046634</v>
      </c>
      <c r="BE95" s="655" t="s">
        <v>498</v>
      </c>
      <c r="BF95" s="655" t="s">
        <v>498</v>
      </c>
      <c r="BG95" s="655" t="s">
        <v>595</v>
      </c>
      <c r="BH95" s="657">
        <v>2.3860667783162768</v>
      </c>
      <c r="BI95" s="655">
        <v>8.2945549073992293</v>
      </c>
      <c r="BJ95" s="660"/>
      <c r="BK95" s="660"/>
      <c r="BL95" s="655">
        <v>1354.6281316825423</v>
      </c>
      <c r="BM95" s="655">
        <v>32846.527479700067</v>
      </c>
      <c r="BN95" s="655">
        <v>7429.7820571133807</v>
      </c>
      <c r="BO95" s="656">
        <v>24921.706199076754</v>
      </c>
      <c r="BP95" s="655">
        <v>28951.048427814298</v>
      </c>
      <c r="BQ95" s="1372" t="s">
        <v>498</v>
      </c>
      <c r="BR95" s="655" t="s">
        <v>498</v>
      </c>
      <c r="BS95" s="655" t="s">
        <v>498</v>
      </c>
      <c r="BT95" s="1373" t="s">
        <v>498</v>
      </c>
      <c r="BU95" s="655" t="s">
        <v>498</v>
      </c>
      <c r="BV95" s="655" t="s">
        <v>498</v>
      </c>
      <c r="BW95" s="655" t="s">
        <v>498</v>
      </c>
      <c r="BX95" s="1372" t="s">
        <v>498</v>
      </c>
      <c r="BY95" s="655" t="s">
        <v>498</v>
      </c>
      <c r="BZ95" s="655" t="s">
        <v>498</v>
      </c>
      <c r="CA95" s="655" t="s">
        <v>498</v>
      </c>
      <c r="CB95" s="660"/>
      <c r="CC95" s="693"/>
      <c r="CD95" s="1340"/>
      <c r="CE95" s="660"/>
      <c r="CF95" s="660"/>
      <c r="CG95" s="1262"/>
      <c r="CH95" s="660"/>
      <c r="CI95" s="660"/>
      <c r="CJ95" s="660"/>
      <c r="CK95" s="1263"/>
      <c r="CL95" s="660"/>
      <c r="CM95" s="660"/>
      <c r="CN95" s="1263"/>
      <c r="CO95" s="660"/>
      <c r="CP95" s="660"/>
      <c r="CQ95" s="660"/>
      <c r="CR95" s="694"/>
      <c r="CS95" s="1264"/>
      <c r="CT95" s="1341"/>
      <c r="CU95" s="1144"/>
      <c r="CV95" s="1266"/>
      <c r="CW95" s="693"/>
      <c r="CX95" s="693"/>
      <c r="CY95" s="660"/>
      <c r="CZ95" s="660"/>
      <c r="DA95" s="660"/>
      <c r="DB95" s="660"/>
      <c r="DC95" s="693"/>
      <c r="DD95" s="660"/>
      <c r="DE95" s="660"/>
      <c r="DF95" s="660"/>
      <c r="DG95" s="660"/>
      <c r="DH95" s="660"/>
      <c r="DI95" s="660"/>
      <c r="DJ95" s="1267"/>
      <c r="DK95" s="660"/>
      <c r="DL95" s="660"/>
      <c r="DM95" s="1263"/>
      <c r="DN95" s="1268"/>
      <c r="DO95" s="1342"/>
      <c r="DP95" s="1269"/>
      <c r="DQ95" s="980"/>
      <c r="DS95" s="237" t="s">
        <v>498</v>
      </c>
      <c r="DT95" s="237" t="s">
        <v>498</v>
      </c>
      <c r="DU95" s="237" t="s">
        <v>498</v>
      </c>
      <c r="DV95" s="876" t="s">
        <v>498</v>
      </c>
      <c r="DW95" s="237" t="s">
        <v>498</v>
      </c>
      <c r="DX95" s="237" t="s">
        <v>498</v>
      </c>
      <c r="DY95" s="237" t="s">
        <v>498</v>
      </c>
    </row>
    <row r="96" spans="1:129" s="416" customFormat="1" hidden="1">
      <c r="A96" s="747"/>
      <c r="B96" s="496"/>
      <c r="C96" s="503"/>
      <c r="D96" s="507"/>
      <c r="E96" s="617" t="s">
        <v>628</v>
      </c>
      <c r="F96" s="618"/>
      <c r="G96" s="14"/>
      <c r="H96" s="627"/>
      <c r="I96" s="530"/>
      <c r="J96" s="636"/>
      <c r="K96" s="1270"/>
      <c r="L96" s="636"/>
      <c r="M96" s="636"/>
      <c r="N96" s="636"/>
      <c r="O96" s="636"/>
      <c r="P96" s="636"/>
      <c r="Q96" s="636"/>
      <c r="R96" s="636"/>
      <c r="S96" s="636"/>
      <c r="T96" s="636"/>
      <c r="U96" s="636"/>
      <c r="V96" s="1433"/>
      <c r="W96" s="636"/>
      <c r="X96" s="636"/>
      <c r="Y96" s="636"/>
      <c r="Z96" s="636"/>
      <c r="AA96" s="473"/>
      <c r="AB96" s="636"/>
      <c r="AC96" s="1271"/>
      <c r="AD96" s="636"/>
      <c r="AE96" s="636"/>
      <c r="AF96" s="1272"/>
      <c r="AG96" s="636"/>
      <c r="AH96" s="636"/>
      <c r="AI96" s="636"/>
      <c r="AJ96" s="1271"/>
      <c r="AK96" s="636"/>
      <c r="AL96" s="636"/>
      <c r="AM96" s="636"/>
      <c r="AN96" s="1270"/>
      <c r="AO96" s="636"/>
      <c r="AP96" s="636"/>
      <c r="AQ96" s="636"/>
      <c r="AR96" s="636"/>
      <c r="AS96" s="636"/>
      <c r="AT96" s="636"/>
      <c r="AU96" s="636"/>
      <c r="AV96" s="636"/>
      <c r="AW96" s="636"/>
      <c r="AX96" s="636"/>
      <c r="AY96" s="636"/>
      <c r="AZ96" s="636"/>
      <c r="BA96" s="636"/>
      <c r="BB96" s="636"/>
      <c r="BC96" s="473"/>
      <c r="BD96" s="1270"/>
      <c r="BE96" s="636"/>
      <c r="BF96" s="636"/>
      <c r="BG96" s="636"/>
      <c r="BH96" s="1273"/>
      <c r="BI96" s="661"/>
      <c r="BJ96" s="662"/>
      <c r="BK96" s="662"/>
      <c r="BL96" s="636"/>
      <c r="BM96" s="636"/>
      <c r="BN96" s="636"/>
      <c r="BO96" s="473"/>
      <c r="BP96" s="636"/>
      <c r="BQ96" s="1271"/>
      <c r="BR96" s="636"/>
      <c r="BS96" s="636"/>
      <c r="BT96" s="1272"/>
      <c r="BU96" s="636"/>
      <c r="BV96" s="636"/>
      <c r="BW96" s="636"/>
      <c r="BX96" s="1271"/>
      <c r="BY96" s="636"/>
      <c r="BZ96" s="636"/>
      <c r="CA96" s="636"/>
      <c r="CB96" s="662"/>
      <c r="CC96" s="695"/>
      <c r="CD96" s="1374"/>
      <c r="CE96" s="662"/>
      <c r="CF96" s="662"/>
      <c r="CG96" s="1375"/>
      <c r="CH96" s="662"/>
      <c r="CI96" s="662"/>
      <c r="CJ96" s="662"/>
      <c r="CK96" s="1376"/>
      <c r="CL96" s="662"/>
      <c r="CM96" s="662"/>
      <c r="CN96" s="1376"/>
      <c r="CO96" s="662"/>
      <c r="CP96" s="662"/>
      <c r="CQ96" s="662"/>
      <c r="CR96" s="696"/>
      <c r="CS96" s="1377"/>
      <c r="CT96" s="1378"/>
      <c r="CU96" s="1379"/>
      <c r="CV96" s="1380"/>
      <c r="CW96" s="695"/>
      <c r="CX96" s="695"/>
      <c r="CY96" s="662"/>
      <c r="CZ96" s="662"/>
      <c r="DA96" s="662"/>
      <c r="DB96" s="662"/>
      <c r="DC96" s="695"/>
      <c r="DD96" s="662"/>
      <c r="DE96" s="662"/>
      <c r="DF96" s="662"/>
      <c r="DG96" s="662"/>
      <c r="DH96" s="662"/>
      <c r="DI96" s="662"/>
      <c r="DJ96" s="1381"/>
      <c r="DK96" s="662"/>
      <c r="DL96" s="662"/>
      <c r="DM96" s="1376"/>
      <c r="DN96" s="1382"/>
      <c r="DO96" s="1383"/>
      <c r="DP96" s="1384"/>
      <c r="DQ96" s="981"/>
      <c r="DS96" s="530"/>
      <c r="DT96" s="530"/>
      <c r="DU96" s="530"/>
      <c r="DV96" s="829"/>
      <c r="DW96" s="530"/>
      <c r="DX96" s="530"/>
      <c r="DY96" s="530"/>
    </row>
    <row r="97" spans="1:129" s="495" customFormat="1" hidden="1">
      <c r="A97" s="398"/>
      <c r="B97" s="492"/>
      <c r="C97" s="503"/>
      <c r="D97" s="504"/>
      <c r="E97" s="619" t="s">
        <v>669</v>
      </c>
      <c r="F97" s="493" t="s">
        <v>19</v>
      </c>
      <c r="G97" s="493" t="s">
        <v>20</v>
      </c>
      <c r="H97" s="494">
        <v>410.81329233960747</v>
      </c>
      <c r="I97" s="343">
        <v>410.81329233960747</v>
      </c>
      <c r="J97" s="650">
        <v>515.2854988812245</v>
      </c>
      <c r="K97" s="649">
        <v>1.5697920000000001</v>
      </c>
      <c r="L97" s="650">
        <v>2.1481292278017543</v>
      </c>
      <c r="M97" s="650">
        <v>2.1481292278017543</v>
      </c>
      <c r="N97" s="650">
        <v>4.905599999999998</v>
      </c>
      <c r="O97" s="650">
        <v>4.905599999999998</v>
      </c>
      <c r="P97" s="650">
        <v>0.9811200000000001</v>
      </c>
      <c r="Q97" s="650">
        <v>0.9811200000000001</v>
      </c>
      <c r="R97" s="650">
        <v>0.4670193325648202</v>
      </c>
      <c r="S97" s="650">
        <v>0.42657391304347819</v>
      </c>
      <c r="T97" s="650">
        <v>0.42657391304347819</v>
      </c>
      <c r="U97" s="650">
        <v>0.23359999999999992</v>
      </c>
      <c r="V97" s="675">
        <v>51.471780359219395</v>
      </c>
      <c r="W97" s="650">
        <v>51.471780359219395</v>
      </c>
      <c r="X97" s="650">
        <v>0.29368194547985271</v>
      </c>
      <c r="Y97" s="650">
        <v>10.274872973386364</v>
      </c>
      <c r="Z97" s="650">
        <v>3.9244799999999995</v>
      </c>
      <c r="AA97" s="651">
        <v>19.622400000000003</v>
      </c>
      <c r="AB97" s="650">
        <v>20.155205647504026</v>
      </c>
      <c r="AC97" s="1168">
        <v>61.80769509022052</v>
      </c>
      <c r="AD97" s="650" t="s">
        <v>498</v>
      </c>
      <c r="AE97" s="650" t="s">
        <v>498</v>
      </c>
      <c r="AF97" s="1169" t="s">
        <v>498</v>
      </c>
      <c r="AG97" s="650" t="s">
        <v>498</v>
      </c>
      <c r="AH97" s="650" t="s">
        <v>498</v>
      </c>
      <c r="AI97" s="650" t="s">
        <v>498</v>
      </c>
      <c r="AJ97" s="1168" t="s">
        <v>498</v>
      </c>
      <c r="AK97" s="650" t="s">
        <v>498</v>
      </c>
      <c r="AL97" s="650" t="s">
        <v>498</v>
      </c>
      <c r="AM97" s="650" t="s">
        <v>498</v>
      </c>
      <c r="AN97" s="649">
        <v>1.714428689549629</v>
      </c>
      <c r="AO97" s="650" t="s">
        <v>498</v>
      </c>
      <c r="AP97" s="650" t="s">
        <v>498</v>
      </c>
      <c r="AQ97" s="650" t="s">
        <v>498</v>
      </c>
      <c r="AR97" s="650" t="s">
        <v>498</v>
      </c>
      <c r="AS97" s="650" t="s">
        <v>498</v>
      </c>
      <c r="AT97" s="650" t="s">
        <v>498</v>
      </c>
      <c r="AU97" s="650" t="s">
        <v>498</v>
      </c>
      <c r="AV97" s="650" t="s">
        <v>498</v>
      </c>
      <c r="AW97" s="650" t="s">
        <v>498</v>
      </c>
      <c r="AX97" s="650" t="s">
        <v>498</v>
      </c>
      <c r="AY97" s="650" t="s">
        <v>498</v>
      </c>
      <c r="AZ97" s="650" t="s">
        <v>498</v>
      </c>
      <c r="BA97" s="650" t="s">
        <v>498</v>
      </c>
      <c r="BB97" s="650" t="s">
        <v>498</v>
      </c>
      <c r="BC97" s="651" t="s">
        <v>498</v>
      </c>
      <c r="BD97" s="649">
        <v>161.89717118665337</v>
      </c>
      <c r="BE97" s="650" t="s">
        <v>498</v>
      </c>
      <c r="BF97" s="650" t="s">
        <v>498</v>
      </c>
      <c r="BG97" s="650">
        <v>8.4095999999999975E-4</v>
      </c>
      <c r="BH97" s="652">
        <v>3.5577784023249239</v>
      </c>
      <c r="BI97" s="650"/>
      <c r="BJ97" s="653"/>
      <c r="BK97" s="653"/>
      <c r="BL97" s="650">
        <v>0.29368194547985271</v>
      </c>
      <c r="BM97" s="650">
        <v>10.274872973386364</v>
      </c>
      <c r="BN97" s="650">
        <v>3.9244799999999995</v>
      </c>
      <c r="BO97" s="651">
        <v>19.622400000000003</v>
      </c>
      <c r="BP97" s="650">
        <v>20.155205647504026</v>
      </c>
      <c r="BQ97" s="1168">
        <v>61.80769509022052</v>
      </c>
      <c r="BR97" s="650" t="s">
        <v>498</v>
      </c>
      <c r="BS97" s="650" t="s">
        <v>498</v>
      </c>
      <c r="BT97" s="1169" t="s">
        <v>498</v>
      </c>
      <c r="BU97" s="650" t="s">
        <v>498</v>
      </c>
      <c r="BV97" s="650" t="s">
        <v>498</v>
      </c>
      <c r="BW97" s="650" t="s">
        <v>498</v>
      </c>
      <c r="BX97" s="1168" t="s">
        <v>498</v>
      </c>
      <c r="BY97" s="650" t="s">
        <v>498</v>
      </c>
      <c r="BZ97" s="650" t="s">
        <v>498</v>
      </c>
      <c r="CA97" s="650" t="s">
        <v>498</v>
      </c>
      <c r="CB97" s="653"/>
      <c r="CC97" s="689"/>
      <c r="CD97" s="1351"/>
      <c r="CE97" s="653"/>
      <c r="CF97" s="653"/>
      <c r="CG97" s="1172"/>
      <c r="CH97" s="653"/>
      <c r="CI97" s="653"/>
      <c r="CJ97" s="653"/>
      <c r="CK97" s="1173"/>
      <c r="CL97" s="653"/>
      <c r="CM97" s="653"/>
      <c r="CN97" s="1173"/>
      <c r="CO97" s="653"/>
      <c r="CP97" s="653"/>
      <c r="CQ97" s="653"/>
      <c r="CR97" s="690"/>
      <c r="CS97" s="1234"/>
      <c r="CT97" s="1348"/>
      <c r="CU97" s="1140"/>
      <c r="CV97" s="1235"/>
      <c r="CW97" s="689"/>
      <c r="CX97" s="689"/>
      <c r="CY97" s="653"/>
      <c r="CZ97" s="653"/>
      <c r="DA97" s="653"/>
      <c r="DB97" s="653"/>
      <c r="DC97" s="689"/>
      <c r="DD97" s="653"/>
      <c r="DE97" s="653"/>
      <c r="DF97" s="653"/>
      <c r="DG97" s="653"/>
      <c r="DH97" s="653"/>
      <c r="DI97" s="653"/>
      <c r="DJ97" s="1287"/>
      <c r="DK97" s="653"/>
      <c r="DL97" s="653"/>
      <c r="DM97" s="1173"/>
      <c r="DN97" s="1237"/>
      <c r="DO97" s="1349"/>
      <c r="DP97" s="1238"/>
      <c r="DQ97" s="920"/>
      <c r="DS97" s="343" t="s">
        <v>498</v>
      </c>
      <c r="DT97" s="343" t="s">
        <v>498</v>
      </c>
      <c r="DU97" s="343" t="s">
        <v>498</v>
      </c>
      <c r="DV97" s="874" t="s">
        <v>498</v>
      </c>
      <c r="DW97" s="343" t="s">
        <v>498</v>
      </c>
      <c r="DX97" s="343" t="s">
        <v>498</v>
      </c>
      <c r="DY97" s="343" t="s">
        <v>498</v>
      </c>
    </row>
    <row r="98" spans="1:129" s="742" customFormat="1" hidden="1">
      <c r="A98" s="732"/>
      <c r="B98" s="733"/>
      <c r="C98" s="743"/>
      <c r="D98" s="744"/>
      <c r="E98" s="736" t="s">
        <v>476</v>
      </c>
      <c r="F98" s="737" t="s">
        <v>93</v>
      </c>
      <c r="G98" s="737" t="s">
        <v>24</v>
      </c>
      <c r="H98" s="739">
        <v>1080.5366342707011</v>
      </c>
      <c r="I98" s="740">
        <v>1080.5366342707011</v>
      </c>
      <c r="J98" s="1177">
        <v>7362.4075321296041</v>
      </c>
      <c r="K98" s="1176">
        <v>6050.0820239666782</v>
      </c>
      <c r="L98" s="1177">
        <v>1543.6061327544953</v>
      </c>
      <c r="M98" s="1177">
        <v>1543.6061327544953</v>
      </c>
      <c r="N98" s="1177">
        <v>6942.8363645837835</v>
      </c>
      <c r="O98" s="1177">
        <v>6942.8363645837835</v>
      </c>
      <c r="P98" s="1177">
        <v>1526.9345786359088</v>
      </c>
      <c r="Q98" s="1177">
        <v>1526.9345786359088</v>
      </c>
      <c r="R98" s="1177">
        <v>339.56436547637111</v>
      </c>
      <c r="S98" s="1177">
        <v>249.86317549538396</v>
      </c>
      <c r="T98" s="1177">
        <v>249.86317549538396</v>
      </c>
      <c r="U98" s="1177">
        <v>644.07525369781263</v>
      </c>
      <c r="V98" s="1434">
        <v>49361.732480324434</v>
      </c>
      <c r="W98" s="1177">
        <v>49361.732480324434</v>
      </c>
      <c r="X98" s="1177">
        <v>253.99277469047667</v>
      </c>
      <c r="Y98" s="1177">
        <v>6158.7239024437613</v>
      </c>
      <c r="Z98" s="1177">
        <v>1393.0841357087588</v>
      </c>
      <c r="AA98" s="1178">
        <v>4672.8199123268923</v>
      </c>
      <c r="AB98" s="1177">
        <v>5428.321580215179</v>
      </c>
      <c r="AC98" s="1179">
        <v>3248.2906216566125</v>
      </c>
      <c r="AD98" s="1177" t="s">
        <v>498</v>
      </c>
      <c r="AE98" s="1177" t="s">
        <v>498</v>
      </c>
      <c r="AF98" s="1180" t="s">
        <v>498</v>
      </c>
      <c r="AG98" s="1177" t="s">
        <v>498</v>
      </c>
      <c r="AH98" s="1177" t="s">
        <v>498</v>
      </c>
      <c r="AI98" s="1177" t="s">
        <v>498</v>
      </c>
      <c r="AJ98" s="1179" t="s">
        <v>498</v>
      </c>
      <c r="AK98" s="1177" t="s">
        <v>498</v>
      </c>
      <c r="AL98" s="1177" t="s">
        <v>498</v>
      </c>
      <c r="AM98" s="1177" t="s">
        <v>498</v>
      </c>
      <c r="AN98" s="1176">
        <v>7.3283365580584165</v>
      </c>
      <c r="AO98" s="1177" t="s">
        <v>498</v>
      </c>
      <c r="AP98" s="1177" t="s">
        <v>498</v>
      </c>
      <c r="AQ98" s="1177" t="s">
        <v>498</v>
      </c>
      <c r="AR98" s="1177" t="s">
        <v>498</v>
      </c>
      <c r="AS98" s="1177" t="s">
        <v>498</v>
      </c>
      <c r="AT98" s="1177" t="s">
        <v>498</v>
      </c>
      <c r="AU98" s="1177" t="s">
        <v>498</v>
      </c>
      <c r="AV98" s="1177" t="s">
        <v>498</v>
      </c>
      <c r="AW98" s="1177" t="s">
        <v>498</v>
      </c>
      <c r="AX98" s="1177" t="s">
        <v>498</v>
      </c>
      <c r="AY98" s="1177" t="s">
        <v>498</v>
      </c>
      <c r="AZ98" s="1177" t="s">
        <v>498</v>
      </c>
      <c r="BA98" s="1177" t="s">
        <v>498</v>
      </c>
      <c r="BB98" s="1177" t="s">
        <v>498</v>
      </c>
      <c r="BC98" s="1178" t="s">
        <v>498</v>
      </c>
      <c r="BD98" s="1176">
        <v>14.496080275508744</v>
      </c>
      <c r="BE98" s="1177" t="s">
        <v>498</v>
      </c>
      <c r="BF98" s="1177" t="s">
        <v>498</v>
      </c>
      <c r="BG98" s="1177" t="s">
        <v>595</v>
      </c>
      <c r="BH98" s="1181">
        <v>0.44738752093430195</v>
      </c>
      <c r="BI98" s="1177"/>
      <c r="BJ98" s="1182"/>
      <c r="BK98" s="1182"/>
      <c r="BL98" s="1177">
        <v>253.99277469047667</v>
      </c>
      <c r="BM98" s="1177">
        <v>6158.7239024437613</v>
      </c>
      <c r="BN98" s="1177">
        <v>1393.0841357087588</v>
      </c>
      <c r="BO98" s="1178">
        <v>4672.8199123268923</v>
      </c>
      <c r="BP98" s="1177">
        <v>5428.321580215179</v>
      </c>
      <c r="BQ98" s="1179">
        <v>3248.2906216566125</v>
      </c>
      <c r="BR98" s="1177" t="s">
        <v>498</v>
      </c>
      <c r="BS98" s="1177" t="s">
        <v>498</v>
      </c>
      <c r="BT98" s="1180" t="s">
        <v>498</v>
      </c>
      <c r="BU98" s="1177" t="s">
        <v>498</v>
      </c>
      <c r="BV98" s="1177" t="s">
        <v>498</v>
      </c>
      <c r="BW98" s="1177" t="s">
        <v>498</v>
      </c>
      <c r="BX98" s="1179" t="s">
        <v>498</v>
      </c>
      <c r="BY98" s="1177" t="s">
        <v>498</v>
      </c>
      <c r="BZ98" s="1177" t="s">
        <v>498</v>
      </c>
      <c r="CA98" s="1177" t="s">
        <v>498</v>
      </c>
      <c r="CB98" s="1182"/>
      <c r="CC98" s="1191"/>
      <c r="CD98" s="1385"/>
      <c r="CE98" s="1182"/>
      <c r="CF98" s="1182"/>
      <c r="CG98" s="1185"/>
      <c r="CH98" s="1182"/>
      <c r="CI98" s="1182"/>
      <c r="CJ98" s="1182"/>
      <c r="CK98" s="1186"/>
      <c r="CL98" s="1182"/>
      <c r="CM98" s="1182"/>
      <c r="CN98" s="1186"/>
      <c r="CO98" s="1182"/>
      <c r="CP98" s="1182"/>
      <c r="CQ98" s="1182"/>
      <c r="CR98" s="1187"/>
      <c r="CS98" s="1188"/>
      <c r="CT98" s="1386"/>
      <c r="CU98" s="1141"/>
      <c r="CV98" s="1190"/>
      <c r="CW98" s="1191"/>
      <c r="CX98" s="1191"/>
      <c r="CY98" s="1182"/>
      <c r="CZ98" s="1182"/>
      <c r="DA98" s="1182"/>
      <c r="DB98" s="1182"/>
      <c r="DC98" s="1191"/>
      <c r="DD98" s="1182"/>
      <c r="DE98" s="1182"/>
      <c r="DF98" s="1182"/>
      <c r="DG98" s="1182"/>
      <c r="DH98" s="1182"/>
      <c r="DI98" s="1182"/>
      <c r="DJ98" s="1192"/>
      <c r="DK98" s="1182"/>
      <c r="DL98" s="1182"/>
      <c r="DM98" s="1186"/>
      <c r="DN98" s="1193"/>
      <c r="DO98" s="1387"/>
      <c r="DP98" s="1195"/>
      <c r="DQ98" s="978"/>
      <c r="DS98" s="740" t="s">
        <v>498</v>
      </c>
      <c r="DT98" s="740" t="s">
        <v>498</v>
      </c>
      <c r="DU98" s="740" t="s">
        <v>498</v>
      </c>
      <c r="DV98" s="878" t="s">
        <v>498</v>
      </c>
      <c r="DW98" s="740" t="s">
        <v>498</v>
      </c>
      <c r="DX98" s="740" t="s">
        <v>498</v>
      </c>
      <c r="DY98" s="740" t="s">
        <v>498</v>
      </c>
    </row>
    <row r="99" spans="1:129" s="26" customFormat="1" hidden="1">
      <c r="A99" s="398"/>
      <c r="B99" s="27"/>
      <c r="C99" s="503"/>
      <c r="D99" s="507"/>
      <c r="E99" s="619" t="s">
        <v>659</v>
      </c>
      <c r="F99" s="493" t="s">
        <v>19</v>
      </c>
      <c r="G99" s="493" t="s">
        <v>20</v>
      </c>
      <c r="H99" s="494">
        <v>410.81329233960747</v>
      </c>
      <c r="I99" s="343">
        <v>410.81329233960747</v>
      </c>
      <c r="J99" s="650">
        <v>515.2854988812245</v>
      </c>
      <c r="K99" s="649">
        <v>1.5697920000000001</v>
      </c>
      <c r="L99" s="650">
        <v>2.1481292278017543</v>
      </c>
      <c r="M99" s="650">
        <v>2.1481292278017543</v>
      </c>
      <c r="N99" s="650">
        <v>4.905599999999998</v>
      </c>
      <c r="O99" s="650">
        <v>4.905599999999998</v>
      </c>
      <c r="P99" s="650">
        <v>0.9811200000000001</v>
      </c>
      <c r="Q99" s="650">
        <v>0.9811200000000001</v>
      </c>
      <c r="R99" s="650">
        <v>0.4670193325648202</v>
      </c>
      <c r="S99" s="650">
        <v>0.42657391304347819</v>
      </c>
      <c r="T99" s="650">
        <v>0.42657391304347819</v>
      </c>
      <c r="U99" s="650">
        <v>0.23359999999999992</v>
      </c>
      <c r="V99" s="675">
        <v>51.471780359219395</v>
      </c>
      <c r="W99" s="650">
        <v>51.471780359219395</v>
      </c>
      <c r="X99" s="650">
        <v>0.29368194547985271</v>
      </c>
      <c r="Y99" s="650">
        <v>10.274872973386364</v>
      </c>
      <c r="Z99" s="650">
        <v>3.9244799999999995</v>
      </c>
      <c r="AA99" s="651">
        <v>19.622400000000003</v>
      </c>
      <c r="AB99" s="650">
        <v>20.155205647504026</v>
      </c>
      <c r="AC99" s="1168">
        <v>61.80769509022052</v>
      </c>
      <c r="AD99" s="650" t="s">
        <v>498</v>
      </c>
      <c r="AE99" s="650" t="s">
        <v>498</v>
      </c>
      <c r="AF99" s="1169" t="s">
        <v>498</v>
      </c>
      <c r="AG99" s="650">
        <v>104.37321463070556</v>
      </c>
      <c r="AH99" s="650" t="s">
        <v>498</v>
      </c>
      <c r="AI99" s="650" t="s">
        <v>498</v>
      </c>
      <c r="AJ99" s="1168" t="s">
        <v>498</v>
      </c>
      <c r="AK99" s="650" t="s">
        <v>498</v>
      </c>
      <c r="AL99" s="650" t="s">
        <v>498</v>
      </c>
      <c r="AM99" s="650" t="s">
        <v>498</v>
      </c>
      <c r="AN99" s="649">
        <v>1.714428689549629</v>
      </c>
      <c r="AO99" s="650" t="s">
        <v>498</v>
      </c>
      <c r="AP99" s="650" t="s">
        <v>498</v>
      </c>
      <c r="AQ99" s="650" t="s">
        <v>498</v>
      </c>
      <c r="AR99" s="650" t="s">
        <v>498</v>
      </c>
      <c r="AS99" s="650" t="s">
        <v>498</v>
      </c>
      <c r="AT99" s="650" t="s">
        <v>498</v>
      </c>
      <c r="AU99" s="650" t="s">
        <v>498</v>
      </c>
      <c r="AV99" s="650" t="s">
        <v>498</v>
      </c>
      <c r="AW99" s="650" t="s">
        <v>498</v>
      </c>
      <c r="AX99" s="650" t="s">
        <v>498</v>
      </c>
      <c r="AY99" s="650" t="s">
        <v>498</v>
      </c>
      <c r="AZ99" s="650" t="s">
        <v>498</v>
      </c>
      <c r="BA99" s="650" t="s">
        <v>498</v>
      </c>
      <c r="BB99" s="650" t="s">
        <v>498</v>
      </c>
      <c r="BC99" s="651" t="s">
        <v>498</v>
      </c>
      <c r="BD99" s="649">
        <v>161.89717118665337</v>
      </c>
      <c r="BE99" s="650" t="s">
        <v>498</v>
      </c>
      <c r="BF99" s="650" t="s">
        <v>498</v>
      </c>
      <c r="BG99" s="650">
        <v>8.4095999999999975E-4</v>
      </c>
      <c r="BH99" s="652">
        <v>3.5577784023249239</v>
      </c>
      <c r="BI99" s="231"/>
      <c r="BJ99" s="647"/>
      <c r="BK99" s="647"/>
      <c r="BL99" s="650">
        <v>0.29368194547985271</v>
      </c>
      <c r="BM99" s="650">
        <v>10.274872973386364</v>
      </c>
      <c r="BN99" s="650">
        <v>3.9244799999999995</v>
      </c>
      <c r="BO99" s="651">
        <v>19.622400000000003</v>
      </c>
      <c r="BP99" s="650">
        <v>20.155205647504026</v>
      </c>
      <c r="BQ99" s="1168">
        <v>61.80769509022052</v>
      </c>
      <c r="BR99" s="650" t="s">
        <v>498</v>
      </c>
      <c r="BS99" s="650" t="s">
        <v>498</v>
      </c>
      <c r="BT99" s="1169" t="s">
        <v>498</v>
      </c>
      <c r="BU99" s="650">
        <v>104.37321463070556</v>
      </c>
      <c r="BV99" s="650" t="s">
        <v>498</v>
      </c>
      <c r="BW99" s="650" t="s">
        <v>498</v>
      </c>
      <c r="BX99" s="1168" t="s">
        <v>498</v>
      </c>
      <c r="BY99" s="650" t="s">
        <v>498</v>
      </c>
      <c r="BZ99" s="650" t="s">
        <v>498</v>
      </c>
      <c r="CA99" s="650" t="s">
        <v>498</v>
      </c>
      <c r="CB99" s="647"/>
      <c r="CC99" s="687"/>
      <c r="CD99" s="1197"/>
      <c r="CE99" s="647"/>
      <c r="CF99" s="647"/>
      <c r="CG99" s="1232"/>
      <c r="CH99" s="647"/>
      <c r="CI99" s="647"/>
      <c r="CJ99" s="647"/>
      <c r="CK99" s="1233"/>
      <c r="CL99" s="647"/>
      <c r="CM99" s="647"/>
      <c r="CN99" s="1233"/>
      <c r="CO99" s="647"/>
      <c r="CP99" s="647"/>
      <c r="CQ99" s="647"/>
      <c r="CR99" s="688"/>
      <c r="CS99" s="1234"/>
      <c r="CT99" s="1348"/>
      <c r="CU99" s="1140"/>
      <c r="CV99" s="1235"/>
      <c r="CW99" s="687"/>
      <c r="CX99" s="687"/>
      <c r="CY99" s="647"/>
      <c r="CZ99" s="647"/>
      <c r="DA99" s="647"/>
      <c r="DB99" s="647"/>
      <c r="DC99" s="687"/>
      <c r="DD99" s="647"/>
      <c r="DE99" s="647"/>
      <c r="DF99" s="647"/>
      <c r="DG99" s="647"/>
      <c r="DH99" s="647"/>
      <c r="DI99" s="647"/>
      <c r="DJ99" s="1236"/>
      <c r="DK99" s="647"/>
      <c r="DL99" s="647"/>
      <c r="DM99" s="1233"/>
      <c r="DN99" s="1237"/>
      <c r="DO99" s="1349"/>
      <c r="DP99" s="1238"/>
      <c r="DQ99" s="920"/>
      <c r="DS99" s="343">
        <v>104.37321463070556</v>
      </c>
      <c r="DT99" s="343" t="s">
        <v>498</v>
      </c>
      <c r="DU99" s="343" t="s">
        <v>498</v>
      </c>
      <c r="DV99" s="874" t="s">
        <v>498</v>
      </c>
      <c r="DW99" s="343" t="s">
        <v>498</v>
      </c>
      <c r="DX99" s="343" t="s">
        <v>498</v>
      </c>
      <c r="DY99" s="343" t="s">
        <v>498</v>
      </c>
    </row>
    <row r="100" spans="1:129" s="403" customFormat="1" ht="13.5" hidden="1" thickBot="1">
      <c r="A100" s="402"/>
      <c r="B100" s="257"/>
      <c r="C100" s="622"/>
      <c r="D100" s="752"/>
      <c r="E100" s="626" t="s">
        <v>660</v>
      </c>
      <c r="F100" s="614" t="s">
        <v>19</v>
      </c>
      <c r="G100" s="614" t="s">
        <v>20</v>
      </c>
      <c r="H100" s="750">
        <v>410.81329233960747</v>
      </c>
      <c r="I100" s="630">
        <v>410.81329233960747</v>
      </c>
      <c r="J100" s="665">
        <v>515.2854988812245</v>
      </c>
      <c r="K100" s="664">
        <v>1.5697920000000001</v>
      </c>
      <c r="L100" s="665">
        <v>9.5577176220567106E-2</v>
      </c>
      <c r="M100" s="665">
        <v>9.5577176220567106E-2</v>
      </c>
      <c r="N100" s="665">
        <v>0.10821826362388159</v>
      </c>
      <c r="O100" s="665">
        <v>0.10821826362388159</v>
      </c>
      <c r="P100" s="665">
        <v>0.11970562364452407</v>
      </c>
      <c r="Q100" s="665">
        <v>0.11970562364452407</v>
      </c>
      <c r="R100" s="665">
        <v>0.12137450300777608</v>
      </c>
      <c r="S100" s="665">
        <v>2.0322866107828585E-2</v>
      </c>
      <c r="T100" s="665">
        <v>2.0322866107828585E-2</v>
      </c>
      <c r="U100" s="665">
        <v>0.22248888336770858</v>
      </c>
      <c r="V100" s="1444">
        <v>0.57872438149843097</v>
      </c>
      <c r="W100" s="665">
        <v>0.57872438149843097</v>
      </c>
      <c r="X100" s="665">
        <v>1.7316165079365078E-2</v>
      </c>
      <c r="Y100" s="665">
        <v>1.5640729419169927E-2</v>
      </c>
      <c r="Z100" s="665">
        <v>2.818524839493879E-2</v>
      </c>
      <c r="AA100" s="666">
        <v>1.2786755989114631E-3</v>
      </c>
      <c r="AB100" s="665">
        <v>8.5398354360984013E-3</v>
      </c>
      <c r="AC100" s="1388">
        <v>1.3319432157547906E-2</v>
      </c>
      <c r="AD100" s="665">
        <v>6.8048879913036098E-2</v>
      </c>
      <c r="AE100" s="665">
        <v>0.54573435897435907</v>
      </c>
      <c r="AF100" s="1389" t="s">
        <v>498</v>
      </c>
      <c r="AG100" s="665">
        <v>3.3903300887639376E-3</v>
      </c>
      <c r="AH100" s="665">
        <v>4.5280501163246908E-3</v>
      </c>
      <c r="AI100" s="665">
        <v>1.2196548272984103E-3</v>
      </c>
      <c r="AJ100" s="1388">
        <v>1.5593781961583686E-3</v>
      </c>
      <c r="AK100" s="665">
        <v>6.840264042418419E-3</v>
      </c>
      <c r="AL100" s="665">
        <v>9.0230115878123282E-2</v>
      </c>
      <c r="AM100" s="665">
        <v>13.034703299306772</v>
      </c>
      <c r="AN100" s="664">
        <v>0.10297329087081339</v>
      </c>
      <c r="AO100" s="665">
        <v>0.59960169124877094</v>
      </c>
      <c r="AP100" s="665">
        <v>0.35840969450101828</v>
      </c>
      <c r="AQ100" s="665">
        <v>0.88515080459770112</v>
      </c>
      <c r="AR100" s="665">
        <v>4.4209584732824432</v>
      </c>
      <c r="AS100" s="665" t="s">
        <v>498</v>
      </c>
      <c r="AT100" s="665" t="s">
        <v>498</v>
      </c>
      <c r="AU100" s="665" t="s">
        <v>498</v>
      </c>
      <c r="AV100" s="665" t="s">
        <v>498</v>
      </c>
      <c r="AW100" s="665" t="s">
        <v>498</v>
      </c>
      <c r="AX100" s="665" t="s">
        <v>498</v>
      </c>
      <c r="AY100" s="665" t="s">
        <v>498</v>
      </c>
      <c r="AZ100" s="665" t="s">
        <v>498</v>
      </c>
      <c r="BA100" s="665" t="s">
        <v>498</v>
      </c>
      <c r="BB100" s="665" t="s">
        <v>498</v>
      </c>
      <c r="BC100" s="666" t="s">
        <v>498</v>
      </c>
      <c r="BD100" s="664">
        <v>1.7467285702309585</v>
      </c>
      <c r="BE100" s="665" t="s">
        <v>511</v>
      </c>
      <c r="BF100" s="665" t="s">
        <v>511</v>
      </c>
      <c r="BG100" s="665">
        <v>8.4095999999999975E-4</v>
      </c>
      <c r="BH100" s="667">
        <v>3.5577784023249239</v>
      </c>
      <c r="BI100" s="658"/>
      <c r="BJ100" s="659"/>
      <c r="BK100" s="659"/>
      <c r="BL100" s="665">
        <v>1.7316165079365078E-2</v>
      </c>
      <c r="BM100" s="665">
        <v>1.5640729419169927E-2</v>
      </c>
      <c r="BN100" s="665">
        <v>2.818524839493879E-2</v>
      </c>
      <c r="BO100" s="666">
        <v>1.2786755989114631E-3</v>
      </c>
      <c r="BP100" s="665">
        <v>8.5398354360984013E-3</v>
      </c>
      <c r="BQ100" s="1388">
        <v>1.3319432157547906E-2</v>
      </c>
      <c r="BR100" s="665">
        <v>6.8048879913036098E-2</v>
      </c>
      <c r="BS100" s="665">
        <v>0.54573435897435907</v>
      </c>
      <c r="BT100" s="1389" t="s">
        <v>498</v>
      </c>
      <c r="BU100" s="665">
        <v>3.3903300887639376E-3</v>
      </c>
      <c r="BV100" s="665">
        <v>4.5280501163246908E-3</v>
      </c>
      <c r="BW100" s="665">
        <v>1.2196548272984103E-3</v>
      </c>
      <c r="BX100" s="1388">
        <v>1.5593781961583686E-3</v>
      </c>
      <c r="BY100" s="665">
        <v>6.840264042418419E-3</v>
      </c>
      <c r="BZ100" s="665">
        <v>9.0230115878123282E-2</v>
      </c>
      <c r="CA100" s="665">
        <v>13.034703299306772</v>
      </c>
      <c r="CB100" s="659"/>
      <c r="CC100" s="691"/>
      <c r="CD100" s="1390"/>
      <c r="CE100" s="659"/>
      <c r="CF100" s="659"/>
      <c r="CG100" s="1391"/>
      <c r="CH100" s="659"/>
      <c r="CI100" s="659"/>
      <c r="CJ100" s="659"/>
      <c r="CK100" s="1392"/>
      <c r="CL100" s="659"/>
      <c r="CM100" s="659"/>
      <c r="CN100" s="1392"/>
      <c r="CO100" s="659"/>
      <c r="CP100" s="659"/>
      <c r="CQ100" s="659"/>
      <c r="CR100" s="692"/>
      <c r="CS100" s="1393"/>
      <c r="CT100" s="1394"/>
      <c r="CU100" s="1395"/>
      <c r="CV100" s="1396"/>
      <c r="CW100" s="691"/>
      <c r="CX100" s="691"/>
      <c r="CY100" s="659"/>
      <c r="CZ100" s="659"/>
      <c r="DA100" s="659"/>
      <c r="DB100" s="659"/>
      <c r="DC100" s="691"/>
      <c r="DD100" s="659"/>
      <c r="DE100" s="659"/>
      <c r="DF100" s="659"/>
      <c r="DG100" s="659"/>
      <c r="DH100" s="659"/>
      <c r="DI100" s="659"/>
      <c r="DJ100" s="1397"/>
      <c r="DK100" s="659"/>
      <c r="DL100" s="659"/>
      <c r="DM100" s="1392"/>
      <c r="DN100" s="1398"/>
      <c r="DO100" s="1399"/>
      <c r="DP100" s="1400"/>
      <c r="DQ100" s="977"/>
      <c r="DS100" s="630">
        <v>3.3903300887639376E-3</v>
      </c>
      <c r="DT100" s="630">
        <v>4.5280501163246908E-3</v>
      </c>
      <c r="DU100" s="630">
        <v>1.2196548272984103E-3</v>
      </c>
      <c r="DV100" s="885">
        <v>1.5593781961583686E-3</v>
      </c>
      <c r="DW100" s="630">
        <v>6.840264042418419E-3</v>
      </c>
      <c r="DX100" s="630">
        <v>9.0230115878123282E-2</v>
      </c>
      <c r="DY100" s="630">
        <v>13.034703299306772</v>
      </c>
    </row>
    <row r="101" spans="1:129" s="293" customFormat="1" hidden="1">
      <c r="B101" s="294"/>
      <c r="C101" s="65"/>
      <c r="D101" s="505"/>
      <c r="E101" s="617" t="s">
        <v>651</v>
      </c>
      <c r="F101" s="618"/>
      <c r="G101" s="105"/>
      <c r="H101" s="627"/>
      <c r="I101" s="530"/>
      <c r="J101" s="636"/>
      <c r="K101" s="1270"/>
      <c r="L101" s="636"/>
      <c r="M101" s="636"/>
      <c r="N101" s="636"/>
      <c r="O101" s="636"/>
      <c r="P101" s="636"/>
      <c r="Q101" s="636"/>
      <c r="R101" s="636"/>
      <c r="S101" s="636"/>
      <c r="T101" s="636"/>
      <c r="U101" s="636"/>
      <c r="V101" s="1433"/>
      <c r="W101" s="636"/>
      <c r="X101" s="636"/>
      <c r="Y101" s="636"/>
      <c r="Z101" s="636"/>
      <c r="AA101" s="473"/>
      <c r="AB101" s="636"/>
      <c r="AC101" s="1271"/>
      <c r="AD101" s="636"/>
      <c r="AE101" s="636"/>
      <c r="AF101" s="1272"/>
      <c r="AG101" s="636"/>
      <c r="AH101" s="636"/>
      <c r="AI101" s="636"/>
      <c r="AJ101" s="1271"/>
      <c r="AK101" s="636"/>
      <c r="AL101" s="636"/>
      <c r="AM101" s="636"/>
      <c r="AN101" s="1270"/>
      <c r="AO101" s="636"/>
      <c r="AP101" s="636"/>
      <c r="AQ101" s="636"/>
      <c r="AR101" s="636"/>
      <c r="AS101" s="636"/>
      <c r="AT101" s="636"/>
      <c r="AU101" s="636"/>
      <c r="AV101" s="636"/>
      <c r="AW101" s="636"/>
      <c r="AX101" s="636"/>
      <c r="AY101" s="636"/>
      <c r="AZ101" s="636"/>
      <c r="BA101" s="636"/>
      <c r="BB101" s="636"/>
      <c r="BC101" s="473"/>
      <c r="BD101" s="1270"/>
      <c r="BE101" s="636"/>
      <c r="BF101" s="636"/>
      <c r="BG101" s="636"/>
      <c r="BH101" s="1273"/>
      <c r="BI101" s="636"/>
      <c r="BJ101" s="1274"/>
      <c r="BK101" s="1274"/>
      <c r="BL101" s="636"/>
      <c r="BM101" s="636"/>
      <c r="BN101" s="636"/>
      <c r="BO101" s="473"/>
      <c r="BP101" s="636"/>
      <c r="BQ101" s="1271"/>
      <c r="BR101" s="636"/>
      <c r="BS101" s="636"/>
      <c r="BT101" s="1272"/>
      <c r="BU101" s="636"/>
      <c r="BV101" s="636"/>
      <c r="BW101" s="636"/>
      <c r="BX101" s="1271"/>
      <c r="BY101" s="636"/>
      <c r="BZ101" s="636"/>
      <c r="CA101" s="636"/>
      <c r="CB101" s="1274"/>
      <c r="CC101" s="1283"/>
      <c r="CD101" s="1345"/>
      <c r="CE101" s="1274"/>
      <c r="CF101" s="1274"/>
      <c r="CG101" s="1277"/>
      <c r="CH101" s="1274"/>
      <c r="CI101" s="1274"/>
      <c r="CJ101" s="1274"/>
      <c r="CK101" s="1278"/>
      <c r="CL101" s="1274"/>
      <c r="CM101" s="1274"/>
      <c r="CN101" s="1278"/>
      <c r="CO101" s="1274"/>
      <c r="CP101" s="1274"/>
      <c r="CQ101" s="1274"/>
      <c r="CR101" s="1279"/>
      <c r="CS101" s="1280"/>
      <c r="CT101" s="1346"/>
      <c r="CU101" s="1145"/>
      <c r="CV101" s="1282"/>
      <c r="CW101" s="1283"/>
      <c r="CX101" s="1283"/>
      <c r="CY101" s="1274"/>
      <c r="CZ101" s="1274"/>
      <c r="DA101" s="1274"/>
      <c r="DB101" s="1274"/>
      <c r="DC101" s="1283"/>
      <c r="DD101" s="1274"/>
      <c r="DE101" s="1274"/>
      <c r="DF101" s="1274"/>
      <c r="DG101" s="1274"/>
      <c r="DH101" s="1274"/>
      <c r="DI101" s="1274"/>
      <c r="DJ101" s="1284"/>
      <c r="DK101" s="1274"/>
      <c r="DL101" s="1274"/>
      <c r="DM101" s="1278"/>
      <c r="DN101" s="1285"/>
      <c r="DO101" s="1347"/>
      <c r="DP101" s="1286"/>
      <c r="DQ101" s="976"/>
      <c r="DS101" s="530"/>
      <c r="DT101" s="530"/>
      <c r="DU101" s="530"/>
      <c r="DV101" s="829"/>
      <c r="DW101" s="530"/>
      <c r="DX101" s="530"/>
      <c r="DY101" s="530"/>
    </row>
    <row r="102" spans="1:129" s="26" customFormat="1" hidden="1">
      <c r="A102" s="482"/>
      <c r="B102" s="27"/>
      <c r="C102" s="138"/>
      <c r="D102" s="195"/>
      <c r="E102" s="103" t="s">
        <v>670</v>
      </c>
      <c r="F102" s="14" t="s">
        <v>19</v>
      </c>
      <c r="G102" s="105" t="s">
        <v>20</v>
      </c>
      <c r="H102" s="85">
        <v>1351.1944451507584</v>
      </c>
      <c r="I102" s="56">
        <v>1351.1944451507584</v>
      </c>
      <c r="J102" s="644">
        <v>3151.8186372910418</v>
      </c>
      <c r="K102" s="643">
        <v>14.649905454545459</v>
      </c>
      <c r="L102" s="644">
        <v>23.130831970646749</v>
      </c>
      <c r="M102" s="644">
        <v>23.130831970646749</v>
      </c>
      <c r="N102" s="644">
        <v>53.051904338721464</v>
      </c>
      <c r="O102" s="644">
        <v>53.051904338721464</v>
      </c>
      <c r="P102" s="644">
        <v>9.274376420048295</v>
      </c>
      <c r="Q102" s="644">
        <v>9.274376420048295</v>
      </c>
      <c r="R102" s="644">
        <v>4.9160781146036348</v>
      </c>
      <c r="S102" s="644">
        <v>22.634219723948153</v>
      </c>
      <c r="T102" s="644">
        <v>22.634219723948153</v>
      </c>
      <c r="U102" s="644">
        <v>9.9410072727272727</v>
      </c>
      <c r="V102" s="681">
        <v>536.64914469580458</v>
      </c>
      <c r="W102" s="644">
        <v>536.64914469580458</v>
      </c>
      <c r="X102" s="644">
        <v>3.1980840324310131</v>
      </c>
      <c r="Y102" s="644">
        <v>109.77672079487719</v>
      </c>
      <c r="Z102" s="644">
        <v>151.83785863743765</v>
      </c>
      <c r="AA102" s="645">
        <v>185.07020517233116</v>
      </c>
      <c r="AB102" s="644">
        <v>192.092201524817</v>
      </c>
      <c r="AC102" s="1228">
        <v>452.49519691724385</v>
      </c>
      <c r="AD102" s="644">
        <v>1097.9973364861983</v>
      </c>
      <c r="AE102" s="644" t="s">
        <v>498</v>
      </c>
      <c r="AF102" s="1229" t="s">
        <v>498</v>
      </c>
      <c r="AG102" s="644">
        <v>4813.5403636363644</v>
      </c>
      <c r="AH102" s="644">
        <v>4813.5403636363635</v>
      </c>
      <c r="AI102" s="644">
        <v>377.83264003298774</v>
      </c>
      <c r="AJ102" s="1228">
        <v>859.13227743955849</v>
      </c>
      <c r="AK102" s="644">
        <v>2011.7586893702742</v>
      </c>
      <c r="AL102" s="644" t="s">
        <v>498</v>
      </c>
      <c r="AM102" s="644" t="s">
        <v>498</v>
      </c>
      <c r="AN102" s="643">
        <v>61.815036660693622</v>
      </c>
      <c r="AO102" s="644" t="s">
        <v>498</v>
      </c>
      <c r="AP102" s="644" t="s">
        <v>498</v>
      </c>
      <c r="AQ102" s="644" t="s">
        <v>498</v>
      </c>
      <c r="AR102" s="644" t="s">
        <v>498</v>
      </c>
      <c r="AS102" s="644" t="s">
        <v>498</v>
      </c>
      <c r="AT102" s="644" t="s">
        <v>498</v>
      </c>
      <c r="AU102" s="644" t="s">
        <v>498</v>
      </c>
      <c r="AV102" s="644" t="s">
        <v>498</v>
      </c>
      <c r="AW102" s="644" t="s">
        <v>498</v>
      </c>
      <c r="AX102" s="644" t="s">
        <v>498</v>
      </c>
      <c r="AY102" s="644" t="s">
        <v>498</v>
      </c>
      <c r="AZ102" s="644" t="s">
        <v>498</v>
      </c>
      <c r="BA102" s="644" t="s">
        <v>498</v>
      </c>
      <c r="BB102" s="644" t="s">
        <v>498</v>
      </c>
      <c r="BC102" s="645" t="s">
        <v>498</v>
      </c>
      <c r="BD102" s="643">
        <v>215.22403473857096</v>
      </c>
      <c r="BE102" s="644">
        <v>222.74278665483374</v>
      </c>
      <c r="BF102" s="644">
        <v>445.48557330966747</v>
      </c>
      <c r="BG102" s="663">
        <v>7.8481636363636371E-3</v>
      </c>
      <c r="BH102" s="646">
        <v>4.0873908196506656</v>
      </c>
      <c r="BI102" s="644">
        <v>11.155631262370846</v>
      </c>
      <c r="BJ102" s="647"/>
      <c r="BK102" s="647"/>
      <c r="BL102" s="644">
        <v>3.1980840324310131</v>
      </c>
      <c r="BM102" s="644">
        <v>109.77672079487719</v>
      </c>
      <c r="BN102" s="644">
        <v>151.83785863743765</v>
      </c>
      <c r="BO102" s="645">
        <v>185.07020517233116</v>
      </c>
      <c r="BP102" s="644">
        <v>192.092201524817</v>
      </c>
      <c r="BQ102" s="1228">
        <v>452.49519691724385</v>
      </c>
      <c r="BR102" s="644">
        <v>1097.9973364861983</v>
      </c>
      <c r="BS102" s="644" t="s">
        <v>498</v>
      </c>
      <c r="BT102" s="1229" t="s">
        <v>498</v>
      </c>
      <c r="BU102" s="644">
        <v>4813.5403636363644</v>
      </c>
      <c r="BV102" s="644">
        <v>4813.5403636363635</v>
      </c>
      <c r="BW102" s="644">
        <v>377.83264003298774</v>
      </c>
      <c r="BX102" s="1228">
        <v>859.13227743955849</v>
      </c>
      <c r="BY102" s="644">
        <v>2011.7586893702742</v>
      </c>
      <c r="BZ102" s="644" t="s">
        <v>498</v>
      </c>
      <c r="CA102" s="644" t="s">
        <v>498</v>
      </c>
      <c r="CB102" s="647"/>
      <c r="CC102" s="687"/>
      <c r="CD102" s="1197"/>
      <c r="CE102" s="647"/>
      <c r="CF102" s="647"/>
      <c r="CG102" s="1232"/>
      <c r="CH102" s="647"/>
      <c r="CI102" s="647"/>
      <c r="CJ102" s="647"/>
      <c r="CK102" s="1233"/>
      <c r="CL102" s="647"/>
      <c r="CM102" s="647"/>
      <c r="CN102" s="1233"/>
      <c r="CO102" s="647"/>
      <c r="CP102" s="647"/>
      <c r="CQ102" s="647"/>
      <c r="CR102" s="688"/>
      <c r="CS102" s="1234"/>
      <c r="CT102" s="1348"/>
      <c r="CU102" s="1140"/>
      <c r="CV102" s="1235"/>
      <c r="CW102" s="687"/>
      <c r="CX102" s="687"/>
      <c r="CY102" s="647"/>
      <c r="CZ102" s="647"/>
      <c r="DA102" s="647"/>
      <c r="DB102" s="647"/>
      <c r="DC102" s="687"/>
      <c r="DD102" s="647"/>
      <c r="DE102" s="647"/>
      <c r="DF102" s="647"/>
      <c r="DG102" s="647"/>
      <c r="DH102" s="647"/>
      <c r="DI102" s="647"/>
      <c r="DJ102" s="1236"/>
      <c r="DK102" s="647"/>
      <c r="DL102" s="647"/>
      <c r="DM102" s="1233"/>
      <c r="DN102" s="1237"/>
      <c r="DO102" s="1349"/>
      <c r="DP102" s="1238"/>
      <c r="DQ102" s="920"/>
      <c r="DS102" s="56">
        <v>4813.5403636363644</v>
      </c>
      <c r="DT102" s="56">
        <v>4813.5403636363635</v>
      </c>
      <c r="DU102" s="56">
        <v>377.83264003298774</v>
      </c>
      <c r="DV102" s="870">
        <v>859.13227743955849</v>
      </c>
      <c r="DW102" s="56">
        <v>2011.7586893702742</v>
      </c>
      <c r="DX102" s="56" t="s">
        <v>498</v>
      </c>
      <c r="DY102" s="56" t="s">
        <v>498</v>
      </c>
    </row>
    <row r="103" spans="1:129" s="26" customFormat="1" hidden="1">
      <c r="A103" s="482"/>
      <c r="B103" s="27"/>
      <c r="C103" s="77"/>
      <c r="D103" s="502"/>
      <c r="E103" s="103" t="s">
        <v>671</v>
      </c>
      <c r="F103" s="14" t="s">
        <v>19</v>
      </c>
      <c r="G103" s="105" t="s">
        <v>20</v>
      </c>
      <c r="H103" s="85" t="s">
        <v>498</v>
      </c>
      <c r="I103" s="56" t="s">
        <v>498</v>
      </c>
      <c r="J103" s="644" t="s">
        <v>498</v>
      </c>
      <c r="K103" s="643">
        <v>91.561909090909083</v>
      </c>
      <c r="L103" s="644" t="s">
        <v>498</v>
      </c>
      <c r="M103" s="644" t="s">
        <v>498</v>
      </c>
      <c r="N103" s="644">
        <v>45.780954545454556</v>
      </c>
      <c r="O103" s="644">
        <v>45.780954545454556</v>
      </c>
      <c r="P103" s="644">
        <v>15.518967642526965</v>
      </c>
      <c r="Q103" s="644">
        <v>15.518967642526965</v>
      </c>
      <c r="R103" s="644">
        <v>91.561909090909097</v>
      </c>
      <c r="S103" s="644">
        <v>3.9809525691699603</v>
      </c>
      <c r="T103" s="644">
        <v>3.9809525691699603</v>
      </c>
      <c r="U103" s="644">
        <v>2.1800454545454544</v>
      </c>
      <c r="V103" s="681" t="s">
        <v>498</v>
      </c>
      <c r="W103" s="644" t="s">
        <v>498</v>
      </c>
      <c r="X103" s="644">
        <v>15.26031818181818</v>
      </c>
      <c r="Y103" s="644" t="s">
        <v>498</v>
      </c>
      <c r="Z103" s="644">
        <v>36.624763636363632</v>
      </c>
      <c r="AA103" s="645" t="s">
        <v>498</v>
      </c>
      <c r="AB103" s="644" t="s">
        <v>498</v>
      </c>
      <c r="AC103" s="1228" t="s">
        <v>498</v>
      </c>
      <c r="AD103" s="644" t="s">
        <v>498</v>
      </c>
      <c r="AE103" s="644" t="s">
        <v>498</v>
      </c>
      <c r="AF103" s="1229" t="s">
        <v>498</v>
      </c>
      <c r="AG103" s="644" t="s">
        <v>498</v>
      </c>
      <c r="AH103" s="644" t="s">
        <v>498</v>
      </c>
      <c r="AI103" s="644" t="s">
        <v>498</v>
      </c>
      <c r="AJ103" s="1228" t="s">
        <v>498</v>
      </c>
      <c r="AK103" s="644" t="s">
        <v>498</v>
      </c>
      <c r="AL103" s="644" t="s">
        <v>498</v>
      </c>
      <c r="AM103" s="644" t="s">
        <v>498</v>
      </c>
      <c r="AN103" s="643">
        <v>16.811130405928846</v>
      </c>
      <c r="AO103" s="644">
        <v>1720.1673933268332</v>
      </c>
      <c r="AP103" s="644">
        <v>1105.0435709443484</v>
      </c>
      <c r="AQ103" s="644">
        <v>2583.4415226400019</v>
      </c>
      <c r="AR103" s="644">
        <v>12702.495303310408</v>
      </c>
      <c r="AS103" s="644">
        <v>2811.5336891779552</v>
      </c>
      <c r="AT103" s="644">
        <v>149834.42017401895</v>
      </c>
      <c r="AU103" s="644">
        <v>155735.92846038798</v>
      </c>
      <c r="AV103" s="644">
        <v>11003.673190715235</v>
      </c>
      <c r="AW103" s="644">
        <v>933710.99710482731</v>
      </c>
      <c r="AX103" s="644">
        <v>2875044.6301567955</v>
      </c>
      <c r="AY103" s="644">
        <v>5390707.8175062099</v>
      </c>
      <c r="AZ103" s="644">
        <v>1990887.8447598603</v>
      </c>
      <c r="BA103" s="644">
        <v>2002184.1966859982</v>
      </c>
      <c r="BB103" s="644">
        <v>3356709.648477627</v>
      </c>
      <c r="BC103" s="645" t="s">
        <v>498</v>
      </c>
      <c r="BD103" s="643" t="s">
        <v>498</v>
      </c>
      <c r="BE103" s="644" t="s">
        <v>498</v>
      </c>
      <c r="BF103" s="644">
        <v>2646.3867046219366</v>
      </c>
      <c r="BG103" s="644" t="s">
        <v>498</v>
      </c>
      <c r="BH103" s="646" t="s">
        <v>498</v>
      </c>
      <c r="BI103" s="644" t="s">
        <v>498</v>
      </c>
      <c r="BJ103" s="647"/>
      <c r="BK103" s="647"/>
      <c r="BL103" s="644">
        <v>15.26031818181818</v>
      </c>
      <c r="BM103" s="644" t="s">
        <v>498</v>
      </c>
      <c r="BN103" s="644">
        <v>36.624763636363632</v>
      </c>
      <c r="BO103" s="645" t="s">
        <v>498</v>
      </c>
      <c r="BP103" s="644" t="s">
        <v>498</v>
      </c>
      <c r="BQ103" s="1228" t="s">
        <v>498</v>
      </c>
      <c r="BR103" s="644" t="s">
        <v>498</v>
      </c>
      <c r="BS103" s="644" t="s">
        <v>498</v>
      </c>
      <c r="BT103" s="1229" t="s">
        <v>498</v>
      </c>
      <c r="BU103" s="644" t="s">
        <v>498</v>
      </c>
      <c r="BV103" s="644" t="s">
        <v>498</v>
      </c>
      <c r="BW103" s="644" t="s">
        <v>498</v>
      </c>
      <c r="BX103" s="1228" t="s">
        <v>498</v>
      </c>
      <c r="BY103" s="644" t="s">
        <v>498</v>
      </c>
      <c r="BZ103" s="644" t="s">
        <v>498</v>
      </c>
      <c r="CA103" s="644" t="s">
        <v>498</v>
      </c>
      <c r="CB103" s="647"/>
      <c r="CC103" s="687"/>
      <c r="CD103" s="1197"/>
      <c r="CE103" s="647"/>
      <c r="CF103" s="647"/>
      <c r="CG103" s="1232"/>
      <c r="CH103" s="647"/>
      <c r="CI103" s="647"/>
      <c r="CJ103" s="647"/>
      <c r="CK103" s="1233"/>
      <c r="CL103" s="647"/>
      <c r="CM103" s="647"/>
      <c r="CN103" s="1233"/>
      <c r="CO103" s="647"/>
      <c r="CP103" s="647"/>
      <c r="CQ103" s="647"/>
      <c r="CR103" s="688"/>
      <c r="CS103" s="1234"/>
      <c r="CT103" s="1348"/>
      <c r="CU103" s="1140"/>
      <c r="CV103" s="1235"/>
      <c r="CW103" s="687"/>
      <c r="CX103" s="687"/>
      <c r="CY103" s="647"/>
      <c r="CZ103" s="647"/>
      <c r="DA103" s="647"/>
      <c r="DB103" s="647"/>
      <c r="DC103" s="687"/>
      <c r="DD103" s="647"/>
      <c r="DE103" s="647"/>
      <c r="DF103" s="647"/>
      <c r="DG103" s="647"/>
      <c r="DH103" s="647"/>
      <c r="DI103" s="647"/>
      <c r="DJ103" s="1236"/>
      <c r="DK103" s="647"/>
      <c r="DL103" s="647"/>
      <c r="DM103" s="1233"/>
      <c r="DN103" s="1237"/>
      <c r="DO103" s="1349"/>
      <c r="DP103" s="1238"/>
      <c r="DQ103" s="920"/>
      <c r="DS103" s="56" t="s">
        <v>498</v>
      </c>
      <c r="DT103" s="56" t="s">
        <v>498</v>
      </c>
      <c r="DU103" s="56" t="s">
        <v>498</v>
      </c>
      <c r="DV103" s="870" t="s">
        <v>498</v>
      </c>
      <c r="DW103" s="56" t="s">
        <v>498</v>
      </c>
      <c r="DX103" s="56" t="s">
        <v>498</v>
      </c>
      <c r="DY103" s="56" t="s">
        <v>498</v>
      </c>
    </row>
    <row r="104" spans="1:129" s="26" customFormat="1" hidden="1">
      <c r="A104" s="17"/>
      <c r="B104" s="27"/>
      <c r="C104" s="77"/>
      <c r="D104" s="502"/>
      <c r="E104" s="103" t="s">
        <v>672</v>
      </c>
      <c r="F104" s="14" t="s">
        <v>19</v>
      </c>
      <c r="G104" s="105" t="s">
        <v>20</v>
      </c>
      <c r="H104" s="119">
        <v>1351.1944451507584</v>
      </c>
      <c r="I104" s="113">
        <v>1351.1944451507584</v>
      </c>
      <c r="J104" s="231">
        <v>3151.8186372910418</v>
      </c>
      <c r="K104" s="648">
        <v>14.649905454545459</v>
      </c>
      <c r="L104" s="231">
        <v>23.130831970646749</v>
      </c>
      <c r="M104" s="231">
        <v>23.130831970646749</v>
      </c>
      <c r="N104" s="231">
        <v>45.780954545454556</v>
      </c>
      <c r="O104" s="231">
        <v>45.780954545454556</v>
      </c>
      <c r="P104" s="231">
        <v>9.274376420048295</v>
      </c>
      <c r="Q104" s="231">
        <v>9.274376420048295</v>
      </c>
      <c r="R104" s="231">
        <v>4.9160781146036348</v>
      </c>
      <c r="S104" s="231">
        <v>3.9809525691699603</v>
      </c>
      <c r="T104" s="231">
        <v>3.9809525691699603</v>
      </c>
      <c r="U104" s="231">
        <v>2.1800454545454544</v>
      </c>
      <c r="V104" s="670">
        <v>536.64914469580458</v>
      </c>
      <c r="W104" s="231">
        <v>536.64914469580458</v>
      </c>
      <c r="X104" s="231">
        <v>3.1980840324310131</v>
      </c>
      <c r="Y104" s="231">
        <v>109.77672079487719</v>
      </c>
      <c r="Z104" s="231">
        <v>36.624763636363632</v>
      </c>
      <c r="AA104" s="232">
        <v>185.07020517233116</v>
      </c>
      <c r="AB104" s="231">
        <v>192.092201524817</v>
      </c>
      <c r="AC104" s="1253">
        <v>452.49519691724385</v>
      </c>
      <c r="AD104" s="231">
        <v>1097.9973364861983</v>
      </c>
      <c r="AE104" s="231" t="s">
        <v>498</v>
      </c>
      <c r="AF104" s="1254" t="s">
        <v>498</v>
      </c>
      <c r="AG104" s="231">
        <v>4813.5403636363644</v>
      </c>
      <c r="AH104" s="231">
        <v>4813.5403636363635</v>
      </c>
      <c r="AI104" s="231">
        <v>377.83264003298774</v>
      </c>
      <c r="AJ104" s="1253">
        <v>859.13227743955849</v>
      </c>
      <c r="AK104" s="231">
        <v>2011.7586893702742</v>
      </c>
      <c r="AL104" s="231" t="s">
        <v>498</v>
      </c>
      <c r="AM104" s="231" t="s">
        <v>498</v>
      </c>
      <c r="AN104" s="648">
        <v>16.811130405928846</v>
      </c>
      <c r="AO104" s="231">
        <v>1720.1673933268332</v>
      </c>
      <c r="AP104" s="231">
        <v>1105.0435709443484</v>
      </c>
      <c r="AQ104" s="231">
        <v>2583.4415226400019</v>
      </c>
      <c r="AR104" s="231">
        <v>12702.495303310408</v>
      </c>
      <c r="AS104" s="231">
        <v>2811.5336891779552</v>
      </c>
      <c r="AT104" s="231">
        <v>149834.42017401895</v>
      </c>
      <c r="AU104" s="231">
        <v>155735.92846038798</v>
      </c>
      <c r="AV104" s="231">
        <v>11003.673190715235</v>
      </c>
      <c r="AW104" s="231">
        <v>933710.99710482731</v>
      </c>
      <c r="AX104" s="231">
        <v>2875044.6301567955</v>
      </c>
      <c r="AY104" s="231">
        <v>5390707.8175062099</v>
      </c>
      <c r="AZ104" s="231">
        <v>1990887.8447598603</v>
      </c>
      <c r="BA104" s="231">
        <v>2002184.1966859982</v>
      </c>
      <c r="BB104" s="231">
        <v>3356709.648477627</v>
      </c>
      <c r="BC104" s="232" t="s">
        <v>498</v>
      </c>
      <c r="BD104" s="648">
        <v>215.22403473857096</v>
      </c>
      <c r="BE104" s="231">
        <v>222.74278665483374</v>
      </c>
      <c r="BF104" s="231">
        <v>445.48557330966747</v>
      </c>
      <c r="BG104" s="231">
        <v>7.8481636363636371E-3</v>
      </c>
      <c r="BH104" s="646">
        <v>4.0873908196506656</v>
      </c>
      <c r="BI104" s="231">
        <v>11.155631262370846</v>
      </c>
      <c r="BJ104" s="647"/>
      <c r="BK104" s="647"/>
      <c r="BL104" s="231">
        <v>3.1980840324310131</v>
      </c>
      <c r="BM104" s="231">
        <v>109.77672079487719</v>
      </c>
      <c r="BN104" s="231">
        <v>36.624763636363632</v>
      </c>
      <c r="BO104" s="232">
        <v>185.07020517233116</v>
      </c>
      <c r="BP104" s="231">
        <v>192.092201524817</v>
      </c>
      <c r="BQ104" s="1253">
        <v>452.49519691724385</v>
      </c>
      <c r="BR104" s="231">
        <v>1097.9973364861983</v>
      </c>
      <c r="BS104" s="231" t="s">
        <v>498</v>
      </c>
      <c r="BT104" s="1254" t="s">
        <v>498</v>
      </c>
      <c r="BU104" s="231">
        <v>4813.5403636363644</v>
      </c>
      <c r="BV104" s="231">
        <v>4813.5403636363635</v>
      </c>
      <c r="BW104" s="231">
        <v>377.83264003298774</v>
      </c>
      <c r="BX104" s="1253">
        <v>859.13227743955849</v>
      </c>
      <c r="BY104" s="231">
        <v>2011.7586893702742</v>
      </c>
      <c r="BZ104" s="231" t="s">
        <v>498</v>
      </c>
      <c r="CA104" s="231" t="s">
        <v>498</v>
      </c>
      <c r="CB104" s="647"/>
      <c r="CC104" s="687"/>
      <c r="CD104" s="1197"/>
      <c r="CE104" s="647"/>
      <c r="CF104" s="647"/>
      <c r="CG104" s="1232"/>
      <c r="CH104" s="647"/>
      <c r="CI104" s="647"/>
      <c r="CJ104" s="647"/>
      <c r="CK104" s="1233"/>
      <c r="CL104" s="647"/>
      <c r="CM104" s="647"/>
      <c r="CN104" s="1233"/>
      <c r="CO104" s="647"/>
      <c r="CP104" s="647"/>
      <c r="CQ104" s="647"/>
      <c r="CR104" s="688"/>
      <c r="CS104" s="1234"/>
      <c r="CT104" s="1348"/>
      <c r="CU104" s="1140"/>
      <c r="CV104" s="1235"/>
      <c r="CW104" s="687"/>
      <c r="CX104" s="687"/>
      <c r="CY104" s="647"/>
      <c r="CZ104" s="647"/>
      <c r="DA104" s="647"/>
      <c r="DB104" s="647"/>
      <c r="DC104" s="687"/>
      <c r="DD104" s="647"/>
      <c r="DE104" s="647"/>
      <c r="DF104" s="647"/>
      <c r="DG104" s="647"/>
      <c r="DH104" s="647"/>
      <c r="DI104" s="647"/>
      <c r="DJ104" s="1236"/>
      <c r="DK104" s="647"/>
      <c r="DL104" s="647"/>
      <c r="DM104" s="1233"/>
      <c r="DN104" s="1237"/>
      <c r="DO104" s="1349"/>
      <c r="DP104" s="1238"/>
      <c r="DQ104" s="920"/>
      <c r="DS104" s="113">
        <v>4813.5403636363644</v>
      </c>
      <c r="DT104" s="113">
        <v>4813.5403636363635</v>
      </c>
      <c r="DU104" s="113">
        <v>377.83264003298774</v>
      </c>
      <c r="DV104" s="872">
        <v>859.13227743955849</v>
      </c>
      <c r="DW104" s="113">
        <v>2011.7586893702742</v>
      </c>
      <c r="DX104" s="113" t="s">
        <v>498</v>
      </c>
      <c r="DY104" s="113" t="s">
        <v>498</v>
      </c>
    </row>
    <row r="105" spans="1:129" s="495" customFormat="1" hidden="1">
      <c r="A105" s="398"/>
      <c r="B105" s="492"/>
      <c r="C105" s="503"/>
      <c r="D105" s="504"/>
      <c r="E105" s="619" t="s">
        <v>669</v>
      </c>
      <c r="F105" s="493" t="s">
        <v>19</v>
      </c>
      <c r="G105" s="584" t="s">
        <v>20</v>
      </c>
      <c r="H105" s="494">
        <v>1351.1944451507584</v>
      </c>
      <c r="I105" s="343">
        <v>1351.1944451507584</v>
      </c>
      <c r="J105" s="650">
        <v>3151.8186372910418</v>
      </c>
      <c r="K105" s="649">
        <v>14.649905454545459</v>
      </c>
      <c r="L105" s="650">
        <v>23.130831970646749</v>
      </c>
      <c r="M105" s="650">
        <v>23.130831970646749</v>
      </c>
      <c r="N105" s="650">
        <v>45.780954545454556</v>
      </c>
      <c r="O105" s="650">
        <v>45.780954545454556</v>
      </c>
      <c r="P105" s="650">
        <v>9.274376420048295</v>
      </c>
      <c r="Q105" s="650">
        <v>9.274376420048295</v>
      </c>
      <c r="R105" s="650">
        <v>4.9160781146036348</v>
      </c>
      <c r="S105" s="650">
        <v>3.9809525691699603</v>
      </c>
      <c r="T105" s="650">
        <v>3.9809525691699603</v>
      </c>
      <c r="U105" s="650">
        <v>2.1800454545454544</v>
      </c>
      <c r="V105" s="675" t="s">
        <v>498</v>
      </c>
      <c r="W105" s="650" t="s">
        <v>498</v>
      </c>
      <c r="X105" s="650">
        <v>3.1980840324310131</v>
      </c>
      <c r="Y105" s="650">
        <v>109.77672079487719</v>
      </c>
      <c r="Z105" s="650">
        <v>36.624763636363632</v>
      </c>
      <c r="AA105" s="651" t="s">
        <v>498</v>
      </c>
      <c r="AB105" s="650" t="s">
        <v>498</v>
      </c>
      <c r="AC105" s="1168" t="s">
        <v>498</v>
      </c>
      <c r="AD105" s="650" t="s">
        <v>498</v>
      </c>
      <c r="AE105" s="650" t="s">
        <v>498</v>
      </c>
      <c r="AF105" s="1169" t="s">
        <v>498</v>
      </c>
      <c r="AG105" s="650" t="s">
        <v>498</v>
      </c>
      <c r="AH105" s="650" t="s">
        <v>498</v>
      </c>
      <c r="AI105" s="650" t="s">
        <v>498</v>
      </c>
      <c r="AJ105" s="1168" t="s">
        <v>498</v>
      </c>
      <c r="AK105" s="650" t="s">
        <v>498</v>
      </c>
      <c r="AL105" s="650" t="s">
        <v>498</v>
      </c>
      <c r="AM105" s="650" t="s">
        <v>498</v>
      </c>
      <c r="AN105" s="649">
        <v>16.811130405928846</v>
      </c>
      <c r="AO105" s="650" t="s">
        <v>498</v>
      </c>
      <c r="AP105" s="650" t="s">
        <v>498</v>
      </c>
      <c r="AQ105" s="650" t="s">
        <v>498</v>
      </c>
      <c r="AR105" s="650" t="s">
        <v>498</v>
      </c>
      <c r="AS105" s="650" t="s">
        <v>498</v>
      </c>
      <c r="AT105" s="650" t="s">
        <v>498</v>
      </c>
      <c r="AU105" s="650" t="s">
        <v>498</v>
      </c>
      <c r="AV105" s="650" t="s">
        <v>498</v>
      </c>
      <c r="AW105" s="650" t="s">
        <v>498</v>
      </c>
      <c r="AX105" s="650" t="s">
        <v>498</v>
      </c>
      <c r="AY105" s="650" t="s">
        <v>498</v>
      </c>
      <c r="AZ105" s="650" t="s">
        <v>498</v>
      </c>
      <c r="BA105" s="650" t="s">
        <v>498</v>
      </c>
      <c r="BB105" s="650" t="s">
        <v>498</v>
      </c>
      <c r="BC105" s="651" t="s">
        <v>498</v>
      </c>
      <c r="BD105" s="649">
        <v>215.22403473857096</v>
      </c>
      <c r="BE105" s="650" t="s">
        <v>498</v>
      </c>
      <c r="BF105" s="650" t="s">
        <v>498</v>
      </c>
      <c r="BG105" s="1350">
        <v>7.8481636363636371E-3</v>
      </c>
      <c r="BH105" s="652">
        <v>4.0873908196506656</v>
      </c>
      <c r="BI105" s="650">
        <v>11.155631262370846</v>
      </c>
      <c r="BJ105" s="653"/>
      <c r="BK105" s="653"/>
      <c r="BL105" s="650">
        <v>3.1980840324310131</v>
      </c>
      <c r="BM105" s="650">
        <v>109.77672079487719</v>
      </c>
      <c r="BN105" s="650">
        <v>36.624763636363632</v>
      </c>
      <c r="BO105" s="651" t="s">
        <v>498</v>
      </c>
      <c r="BP105" s="650" t="s">
        <v>498</v>
      </c>
      <c r="BQ105" s="1168" t="s">
        <v>498</v>
      </c>
      <c r="BR105" s="650" t="s">
        <v>498</v>
      </c>
      <c r="BS105" s="650" t="s">
        <v>498</v>
      </c>
      <c r="BT105" s="1169" t="s">
        <v>498</v>
      </c>
      <c r="BU105" s="650" t="s">
        <v>498</v>
      </c>
      <c r="BV105" s="650" t="s">
        <v>498</v>
      </c>
      <c r="BW105" s="650" t="s">
        <v>498</v>
      </c>
      <c r="BX105" s="1168" t="s">
        <v>498</v>
      </c>
      <c r="BY105" s="650" t="s">
        <v>498</v>
      </c>
      <c r="BZ105" s="650" t="s">
        <v>498</v>
      </c>
      <c r="CA105" s="650" t="s">
        <v>498</v>
      </c>
      <c r="CB105" s="653"/>
      <c r="CC105" s="689"/>
      <c r="CD105" s="1351"/>
      <c r="CE105" s="653"/>
      <c r="CF105" s="653"/>
      <c r="CG105" s="1172"/>
      <c r="CH105" s="653"/>
      <c r="CI105" s="653"/>
      <c r="CJ105" s="653"/>
      <c r="CK105" s="1173"/>
      <c r="CL105" s="653"/>
      <c r="CM105" s="653"/>
      <c r="CN105" s="1173"/>
      <c r="CO105" s="653"/>
      <c r="CP105" s="653"/>
      <c r="CQ105" s="653"/>
      <c r="CR105" s="690"/>
      <c r="CS105" s="1234"/>
      <c r="CT105" s="1348"/>
      <c r="CU105" s="1140"/>
      <c r="CV105" s="1235"/>
      <c r="CW105" s="689"/>
      <c r="CX105" s="689"/>
      <c r="CY105" s="653"/>
      <c r="CZ105" s="653"/>
      <c r="DA105" s="653"/>
      <c r="DB105" s="653"/>
      <c r="DC105" s="689"/>
      <c r="DD105" s="653"/>
      <c r="DE105" s="653"/>
      <c r="DF105" s="653"/>
      <c r="DG105" s="653"/>
      <c r="DH105" s="653"/>
      <c r="DI105" s="653"/>
      <c r="DJ105" s="1287"/>
      <c r="DK105" s="653"/>
      <c r="DL105" s="653"/>
      <c r="DM105" s="1173"/>
      <c r="DN105" s="1237"/>
      <c r="DO105" s="1349"/>
      <c r="DP105" s="1238"/>
      <c r="DQ105" s="920"/>
      <c r="DS105" s="343" t="s">
        <v>498</v>
      </c>
      <c r="DT105" s="343" t="s">
        <v>498</v>
      </c>
      <c r="DU105" s="343" t="s">
        <v>498</v>
      </c>
      <c r="DV105" s="874" t="s">
        <v>498</v>
      </c>
      <c r="DW105" s="343" t="s">
        <v>498</v>
      </c>
      <c r="DX105" s="343" t="s">
        <v>498</v>
      </c>
      <c r="DY105" s="343" t="s">
        <v>498</v>
      </c>
    </row>
    <row r="106" spans="1:129" s="742" customFormat="1" hidden="1">
      <c r="A106" s="732"/>
      <c r="B106" s="733"/>
      <c r="C106" s="734"/>
      <c r="D106" s="735"/>
      <c r="E106" s="736" t="s">
        <v>476</v>
      </c>
      <c r="F106" s="737" t="s">
        <v>19</v>
      </c>
      <c r="G106" s="738" t="s">
        <v>24</v>
      </c>
      <c r="H106" s="739">
        <v>3553.9626522150502</v>
      </c>
      <c r="I106" s="740">
        <v>3553.9626522150502</v>
      </c>
      <c r="J106" s="1177">
        <v>45033.235605271475</v>
      </c>
      <c r="K106" s="1176">
        <v>56461.702979348142</v>
      </c>
      <c r="L106" s="1177">
        <v>16621.390195478125</v>
      </c>
      <c r="M106" s="1177">
        <v>16621.390195478125</v>
      </c>
      <c r="N106" s="1177">
        <v>64793.231413800415</v>
      </c>
      <c r="O106" s="1177">
        <v>64793.231413800415</v>
      </c>
      <c r="P106" s="1177">
        <v>14433.877661302644</v>
      </c>
      <c r="Q106" s="1177">
        <v>14433.877661302644</v>
      </c>
      <c r="R106" s="1177">
        <v>3574.4236463400862</v>
      </c>
      <c r="S106" s="1177">
        <v>2331.8196917680011</v>
      </c>
      <c r="T106" s="1177">
        <v>2331.8196917680011</v>
      </c>
      <c r="U106" s="1177">
        <v>6010.7591147651001</v>
      </c>
      <c r="V106" s="1434" t="s">
        <v>498</v>
      </c>
      <c r="W106" s="1177" t="s">
        <v>498</v>
      </c>
      <c r="X106" s="1177">
        <v>2765.8841464130337</v>
      </c>
      <c r="Y106" s="1177">
        <v>65799.792955346216</v>
      </c>
      <c r="Z106" s="1177">
        <v>13000.799391486569</v>
      </c>
      <c r="AA106" s="1178" t="s">
        <v>498</v>
      </c>
      <c r="AB106" s="1177" t="s">
        <v>498</v>
      </c>
      <c r="AC106" s="1179" t="s">
        <v>498</v>
      </c>
      <c r="AD106" s="1177" t="s">
        <v>498</v>
      </c>
      <c r="AE106" s="1177" t="s">
        <v>498</v>
      </c>
      <c r="AF106" s="1180" t="s">
        <v>498</v>
      </c>
      <c r="AG106" s="1177" t="s">
        <v>498</v>
      </c>
      <c r="AH106" s="1177" t="s">
        <v>498</v>
      </c>
      <c r="AI106" s="1177" t="s">
        <v>498</v>
      </c>
      <c r="AJ106" s="1179" t="s">
        <v>498</v>
      </c>
      <c r="AK106" s="1177" t="s">
        <v>498</v>
      </c>
      <c r="AL106" s="1177" t="s">
        <v>498</v>
      </c>
      <c r="AM106" s="1177" t="s">
        <v>498</v>
      </c>
      <c r="AN106" s="1176">
        <v>71.859286004143527</v>
      </c>
      <c r="AO106" s="1177" t="s">
        <v>498</v>
      </c>
      <c r="AP106" s="1177" t="s">
        <v>498</v>
      </c>
      <c r="AQ106" s="1177" t="s">
        <v>498</v>
      </c>
      <c r="AR106" s="1177" t="s">
        <v>498</v>
      </c>
      <c r="AS106" s="1177" t="s">
        <v>498</v>
      </c>
      <c r="AT106" s="1177" t="s">
        <v>498</v>
      </c>
      <c r="AU106" s="1177" t="s">
        <v>498</v>
      </c>
      <c r="AV106" s="1177" t="s">
        <v>498</v>
      </c>
      <c r="AW106" s="1177" t="s">
        <v>498</v>
      </c>
      <c r="AX106" s="1177" t="s">
        <v>498</v>
      </c>
      <c r="AY106" s="1177" t="s">
        <v>498</v>
      </c>
      <c r="AZ106" s="1177" t="s">
        <v>498</v>
      </c>
      <c r="BA106" s="1177" t="s">
        <v>498</v>
      </c>
      <c r="BB106" s="1177" t="s">
        <v>498</v>
      </c>
      <c r="BC106" s="1178" t="s">
        <v>498</v>
      </c>
      <c r="BD106" s="1176">
        <v>19.270904253121437</v>
      </c>
      <c r="BE106" s="1177" t="s">
        <v>498</v>
      </c>
      <c r="BF106" s="1177" t="s">
        <v>498</v>
      </c>
      <c r="BG106" s="1177" t="s">
        <v>595</v>
      </c>
      <c r="BH106" s="1181">
        <v>0.51398581898697171</v>
      </c>
      <c r="BI106" s="1177">
        <v>10.737444483260699</v>
      </c>
      <c r="BJ106" s="1182"/>
      <c r="BK106" s="1182"/>
      <c r="BL106" s="1177">
        <v>2765.8841464130337</v>
      </c>
      <c r="BM106" s="1177">
        <v>65799.792955346216</v>
      </c>
      <c r="BN106" s="1177">
        <v>13000.799391486569</v>
      </c>
      <c r="BO106" s="1178" t="s">
        <v>498</v>
      </c>
      <c r="BP106" s="1177" t="s">
        <v>498</v>
      </c>
      <c r="BQ106" s="1179" t="s">
        <v>498</v>
      </c>
      <c r="BR106" s="1177" t="s">
        <v>498</v>
      </c>
      <c r="BS106" s="1177" t="s">
        <v>498</v>
      </c>
      <c r="BT106" s="1180" t="s">
        <v>498</v>
      </c>
      <c r="BU106" s="1177" t="s">
        <v>498</v>
      </c>
      <c r="BV106" s="1177" t="s">
        <v>498</v>
      </c>
      <c r="BW106" s="1177" t="s">
        <v>498</v>
      </c>
      <c r="BX106" s="1179" t="s">
        <v>498</v>
      </c>
      <c r="BY106" s="1177" t="s">
        <v>498</v>
      </c>
      <c r="BZ106" s="1177" t="s">
        <v>498</v>
      </c>
      <c r="CA106" s="1177" t="s">
        <v>498</v>
      </c>
      <c r="CB106" s="1182"/>
      <c r="CC106" s="1191"/>
      <c r="CD106" s="1385"/>
      <c r="CE106" s="1182"/>
      <c r="CF106" s="1182"/>
      <c r="CG106" s="1185"/>
      <c r="CH106" s="1182"/>
      <c r="CI106" s="1182"/>
      <c r="CJ106" s="1182"/>
      <c r="CK106" s="1186"/>
      <c r="CL106" s="1182"/>
      <c r="CM106" s="1182"/>
      <c r="CN106" s="1186"/>
      <c r="CO106" s="1182"/>
      <c r="CP106" s="1182"/>
      <c r="CQ106" s="1182"/>
      <c r="CR106" s="1187"/>
      <c r="CS106" s="1188"/>
      <c r="CT106" s="1386"/>
      <c r="CU106" s="1141"/>
      <c r="CV106" s="1190"/>
      <c r="CW106" s="1191"/>
      <c r="CX106" s="1191"/>
      <c r="CY106" s="1182"/>
      <c r="CZ106" s="1182"/>
      <c r="DA106" s="1182"/>
      <c r="DB106" s="1182"/>
      <c r="DC106" s="1191"/>
      <c r="DD106" s="1182"/>
      <c r="DE106" s="1182"/>
      <c r="DF106" s="1182"/>
      <c r="DG106" s="1182"/>
      <c r="DH106" s="1182"/>
      <c r="DI106" s="1182"/>
      <c r="DJ106" s="1192"/>
      <c r="DK106" s="1182"/>
      <c r="DL106" s="1182"/>
      <c r="DM106" s="1186"/>
      <c r="DN106" s="1193"/>
      <c r="DO106" s="1387"/>
      <c r="DP106" s="1195"/>
      <c r="DQ106" s="978"/>
      <c r="DS106" s="740" t="s">
        <v>498</v>
      </c>
      <c r="DT106" s="740" t="s">
        <v>498</v>
      </c>
      <c r="DU106" s="740" t="s">
        <v>498</v>
      </c>
      <c r="DV106" s="878" t="s">
        <v>498</v>
      </c>
      <c r="DW106" s="740" t="s">
        <v>498</v>
      </c>
      <c r="DX106" s="740" t="s">
        <v>498</v>
      </c>
      <c r="DY106" s="740" t="s">
        <v>498</v>
      </c>
    </row>
    <row r="107" spans="1:129" s="26" customFormat="1" hidden="1">
      <c r="A107" s="482"/>
      <c r="B107" s="27"/>
      <c r="C107" s="503"/>
      <c r="D107" s="507"/>
      <c r="E107" s="619" t="s">
        <v>659</v>
      </c>
      <c r="F107" s="493" t="s">
        <v>19</v>
      </c>
      <c r="G107" s="493" t="s">
        <v>20</v>
      </c>
      <c r="H107" s="494">
        <v>1351.1944451507584</v>
      </c>
      <c r="I107" s="343">
        <v>1351.1944451507584</v>
      </c>
      <c r="J107" s="650">
        <v>3151.8186372910418</v>
      </c>
      <c r="K107" s="649">
        <v>14.649905454545459</v>
      </c>
      <c r="L107" s="650">
        <v>23.130831970646749</v>
      </c>
      <c r="M107" s="650">
        <v>23.130831970646749</v>
      </c>
      <c r="N107" s="650">
        <v>45.780954545454556</v>
      </c>
      <c r="O107" s="650">
        <v>45.780954545454556</v>
      </c>
      <c r="P107" s="650">
        <v>9.274376420048295</v>
      </c>
      <c r="Q107" s="650">
        <v>9.274376420048295</v>
      </c>
      <c r="R107" s="650">
        <v>4.9160781146036348</v>
      </c>
      <c r="S107" s="650">
        <v>3.9809525691699603</v>
      </c>
      <c r="T107" s="650">
        <v>3.9809525691699603</v>
      </c>
      <c r="U107" s="650">
        <v>2.1800454545454544</v>
      </c>
      <c r="V107" s="675" t="s">
        <v>498</v>
      </c>
      <c r="W107" s="650" t="s">
        <v>498</v>
      </c>
      <c r="X107" s="650">
        <v>3.1980840324310131</v>
      </c>
      <c r="Y107" s="650">
        <v>109.77672079487719</v>
      </c>
      <c r="Z107" s="650">
        <v>36.624763636363632</v>
      </c>
      <c r="AA107" s="651" t="s">
        <v>498</v>
      </c>
      <c r="AB107" s="650" t="s">
        <v>498</v>
      </c>
      <c r="AC107" s="1168" t="s">
        <v>498</v>
      </c>
      <c r="AD107" s="650" t="s">
        <v>498</v>
      </c>
      <c r="AE107" s="650" t="s">
        <v>498</v>
      </c>
      <c r="AF107" s="1169" t="s">
        <v>498</v>
      </c>
      <c r="AG107" s="650" t="s">
        <v>498</v>
      </c>
      <c r="AH107" s="650" t="s">
        <v>498</v>
      </c>
      <c r="AI107" s="650" t="s">
        <v>498</v>
      </c>
      <c r="AJ107" s="1168" t="s">
        <v>498</v>
      </c>
      <c r="AK107" s="650" t="s">
        <v>498</v>
      </c>
      <c r="AL107" s="650" t="s">
        <v>498</v>
      </c>
      <c r="AM107" s="650" t="s">
        <v>498</v>
      </c>
      <c r="AN107" s="649">
        <v>16.811130405928846</v>
      </c>
      <c r="AO107" s="650" t="s">
        <v>498</v>
      </c>
      <c r="AP107" s="650" t="s">
        <v>498</v>
      </c>
      <c r="AQ107" s="650" t="s">
        <v>498</v>
      </c>
      <c r="AR107" s="650" t="s">
        <v>498</v>
      </c>
      <c r="AS107" s="650" t="s">
        <v>498</v>
      </c>
      <c r="AT107" s="650" t="s">
        <v>498</v>
      </c>
      <c r="AU107" s="650" t="s">
        <v>498</v>
      </c>
      <c r="AV107" s="650" t="s">
        <v>498</v>
      </c>
      <c r="AW107" s="650" t="s">
        <v>498</v>
      </c>
      <c r="AX107" s="650" t="s">
        <v>498</v>
      </c>
      <c r="AY107" s="650" t="s">
        <v>498</v>
      </c>
      <c r="AZ107" s="650" t="s">
        <v>498</v>
      </c>
      <c r="BA107" s="650" t="s">
        <v>498</v>
      </c>
      <c r="BB107" s="650" t="s">
        <v>498</v>
      </c>
      <c r="BC107" s="651" t="s">
        <v>498</v>
      </c>
      <c r="BD107" s="649">
        <v>215.22403473857096</v>
      </c>
      <c r="BE107" s="650" t="s">
        <v>498</v>
      </c>
      <c r="BF107" s="650" t="s">
        <v>498</v>
      </c>
      <c r="BG107" s="650">
        <v>7.8481636363636371E-3</v>
      </c>
      <c r="BH107" s="652">
        <v>4.0873908196506656</v>
      </c>
      <c r="BI107" s="231"/>
      <c r="BJ107" s="647"/>
      <c r="BK107" s="647"/>
      <c r="BL107" s="650">
        <v>3.1980840324310131</v>
      </c>
      <c r="BM107" s="650">
        <v>109.77672079487719</v>
      </c>
      <c r="BN107" s="650">
        <v>36.624763636363632</v>
      </c>
      <c r="BO107" s="651" t="s">
        <v>498</v>
      </c>
      <c r="BP107" s="650" t="s">
        <v>498</v>
      </c>
      <c r="BQ107" s="1168" t="s">
        <v>498</v>
      </c>
      <c r="BR107" s="650" t="s">
        <v>498</v>
      </c>
      <c r="BS107" s="650" t="s">
        <v>498</v>
      </c>
      <c r="BT107" s="1169" t="s">
        <v>498</v>
      </c>
      <c r="BU107" s="650" t="s">
        <v>498</v>
      </c>
      <c r="BV107" s="650" t="s">
        <v>498</v>
      </c>
      <c r="BW107" s="650" t="s">
        <v>498</v>
      </c>
      <c r="BX107" s="1168" t="s">
        <v>498</v>
      </c>
      <c r="BY107" s="650" t="s">
        <v>498</v>
      </c>
      <c r="BZ107" s="650" t="s">
        <v>498</v>
      </c>
      <c r="CA107" s="650" t="s">
        <v>498</v>
      </c>
      <c r="CB107" s="647"/>
      <c r="CC107" s="687"/>
      <c r="CD107" s="1197"/>
      <c r="CE107" s="647"/>
      <c r="CF107" s="647"/>
      <c r="CG107" s="1232"/>
      <c r="CH107" s="647"/>
      <c r="CI107" s="647"/>
      <c r="CJ107" s="647"/>
      <c r="CK107" s="1233"/>
      <c r="CL107" s="647"/>
      <c r="CM107" s="647"/>
      <c r="CN107" s="1233"/>
      <c r="CO107" s="647"/>
      <c r="CP107" s="647"/>
      <c r="CQ107" s="647"/>
      <c r="CR107" s="688"/>
      <c r="CS107" s="1234"/>
      <c r="CT107" s="1348"/>
      <c r="CU107" s="1140"/>
      <c r="CV107" s="1235"/>
      <c r="CW107" s="687"/>
      <c r="CX107" s="687"/>
      <c r="CY107" s="647"/>
      <c r="CZ107" s="647"/>
      <c r="DA107" s="647"/>
      <c r="DB107" s="647"/>
      <c r="DC107" s="687"/>
      <c r="DD107" s="647"/>
      <c r="DE107" s="647"/>
      <c r="DF107" s="647"/>
      <c r="DG107" s="647"/>
      <c r="DH107" s="647"/>
      <c r="DI107" s="647"/>
      <c r="DJ107" s="1236"/>
      <c r="DK107" s="647"/>
      <c r="DL107" s="647"/>
      <c r="DM107" s="1233"/>
      <c r="DN107" s="1237"/>
      <c r="DO107" s="1349"/>
      <c r="DP107" s="1238"/>
      <c r="DQ107" s="920"/>
      <c r="DS107" s="343" t="s">
        <v>498</v>
      </c>
      <c r="DT107" s="343" t="s">
        <v>498</v>
      </c>
      <c r="DU107" s="343" t="s">
        <v>498</v>
      </c>
      <c r="DV107" s="874" t="s">
        <v>498</v>
      </c>
      <c r="DW107" s="343" t="s">
        <v>498</v>
      </c>
      <c r="DX107" s="343" t="s">
        <v>498</v>
      </c>
      <c r="DY107" s="343" t="s">
        <v>498</v>
      </c>
    </row>
    <row r="108" spans="1:129" s="513" customFormat="1" hidden="1">
      <c r="A108" s="726"/>
      <c r="B108" s="510"/>
      <c r="C108" s="77"/>
      <c r="D108" s="502"/>
      <c r="E108" s="727" t="s">
        <v>660</v>
      </c>
      <c r="F108" s="613" t="s">
        <v>19</v>
      </c>
      <c r="G108" s="613" t="s">
        <v>20</v>
      </c>
      <c r="H108" s="728">
        <v>1351.1944451507584</v>
      </c>
      <c r="I108" s="729">
        <v>1351.1944451507584</v>
      </c>
      <c r="J108" s="1402">
        <v>3151.8186372910418</v>
      </c>
      <c r="K108" s="1401">
        <v>14.649905454545459</v>
      </c>
      <c r="L108" s="1402">
        <v>9.5577176220567106E-2</v>
      </c>
      <c r="M108" s="1402">
        <v>9.5577176220567106E-2</v>
      </c>
      <c r="N108" s="1402">
        <v>0.10821826362388159</v>
      </c>
      <c r="O108" s="1402">
        <v>0.10821826362388159</v>
      </c>
      <c r="P108" s="1402">
        <v>0.11970562364452407</v>
      </c>
      <c r="Q108" s="1402">
        <v>0.11970562364452407</v>
      </c>
      <c r="R108" s="1402">
        <v>0.12137450300777608</v>
      </c>
      <c r="S108" s="1402">
        <v>2.0322866107828585E-2</v>
      </c>
      <c r="T108" s="1402">
        <v>2.0322866107828585E-2</v>
      </c>
      <c r="U108" s="1402">
        <v>0.22248888336770858</v>
      </c>
      <c r="V108" s="1445">
        <v>0.57872438149843097</v>
      </c>
      <c r="W108" s="1402">
        <v>0.57872438149843097</v>
      </c>
      <c r="X108" s="1402">
        <v>1.7316165079365078E-2</v>
      </c>
      <c r="Y108" s="1402">
        <v>1.5640729419169927E-2</v>
      </c>
      <c r="Z108" s="1402">
        <v>2.818524839493879E-2</v>
      </c>
      <c r="AA108" s="1403">
        <v>1.2786755989114631E-3</v>
      </c>
      <c r="AB108" s="1402">
        <v>8.5398354360984013E-3</v>
      </c>
      <c r="AC108" s="1404">
        <v>1.3319432157547906E-2</v>
      </c>
      <c r="AD108" s="1402">
        <v>6.8048879913036098E-2</v>
      </c>
      <c r="AE108" s="1402">
        <v>0.54573435897435907</v>
      </c>
      <c r="AF108" s="1405" t="s">
        <v>498</v>
      </c>
      <c r="AG108" s="1402">
        <v>3.3903300887639376E-3</v>
      </c>
      <c r="AH108" s="1402">
        <v>4.5280501163246908E-3</v>
      </c>
      <c r="AI108" s="1402">
        <v>1.2196548272984103E-3</v>
      </c>
      <c r="AJ108" s="1404">
        <v>1.5593781961583686E-3</v>
      </c>
      <c r="AK108" s="1402">
        <v>6.840264042418419E-3</v>
      </c>
      <c r="AL108" s="1402">
        <v>9.0230115878123282E-2</v>
      </c>
      <c r="AM108" s="1402">
        <v>13.034703299306772</v>
      </c>
      <c r="AN108" s="1401">
        <v>0.10297329087081339</v>
      </c>
      <c r="AO108" s="1402">
        <v>0.59960169124877094</v>
      </c>
      <c r="AP108" s="1402">
        <v>0.35840969450101828</v>
      </c>
      <c r="AQ108" s="1402">
        <v>0.88515080459770112</v>
      </c>
      <c r="AR108" s="1402">
        <v>4.4209584732824432</v>
      </c>
      <c r="AS108" s="1402" t="s">
        <v>498</v>
      </c>
      <c r="AT108" s="1402" t="s">
        <v>498</v>
      </c>
      <c r="AU108" s="1402" t="s">
        <v>498</v>
      </c>
      <c r="AV108" s="1402" t="s">
        <v>498</v>
      </c>
      <c r="AW108" s="1402" t="s">
        <v>498</v>
      </c>
      <c r="AX108" s="1402" t="s">
        <v>498</v>
      </c>
      <c r="AY108" s="1402" t="s">
        <v>498</v>
      </c>
      <c r="AZ108" s="1402" t="s">
        <v>498</v>
      </c>
      <c r="BA108" s="1402" t="s">
        <v>498</v>
      </c>
      <c r="BB108" s="1402" t="s">
        <v>498</v>
      </c>
      <c r="BC108" s="1403" t="s">
        <v>498</v>
      </c>
      <c r="BD108" s="1401">
        <v>1.7467285702309585</v>
      </c>
      <c r="BE108" s="1402" t="s">
        <v>511</v>
      </c>
      <c r="BF108" s="1402" t="s">
        <v>511</v>
      </c>
      <c r="BG108" s="1402">
        <v>7.8481636363636371E-3</v>
      </c>
      <c r="BH108" s="1406">
        <v>4.0873908196506656</v>
      </c>
      <c r="BI108" s="655"/>
      <c r="BJ108" s="660"/>
      <c r="BK108" s="660"/>
      <c r="BL108" s="1402">
        <v>1.7316165079365078E-2</v>
      </c>
      <c r="BM108" s="1402">
        <v>1.5640729419169927E-2</v>
      </c>
      <c r="BN108" s="1402">
        <v>2.818524839493879E-2</v>
      </c>
      <c r="BO108" s="1403">
        <v>1.2786755989114631E-3</v>
      </c>
      <c r="BP108" s="1402">
        <v>8.5398354360984013E-3</v>
      </c>
      <c r="BQ108" s="1404">
        <v>1.3319432157547906E-2</v>
      </c>
      <c r="BR108" s="1402">
        <v>6.8048879913036098E-2</v>
      </c>
      <c r="BS108" s="1402">
        <v>0.54573435897435907</v>
      </c>
      <c r="BT108" s="1405" t="s">
        <v>498</v>
      </c>
      <c r="BU108" s="1402">
        <v>3.3903300887639376E-3</v>
      </c>
      <c r="BV108" s="1402">
        <v>4.5280501163246908E-3</v>
      </c>
      <c r="BW108" s="1402">
        <v>1.2196548272984103E-3</v>
      </c>
      <c r="BX108" s="1404">
        <v>1.5593781961583686E-3</v>
      </c>
      <c r="BY108" s="1402">
        <v>6.840264042418419E-3</v>
      </c>
      <c r="BZ108" s="1402">
        <v>9.0230115878123282E-2</v>
      </c>
      <c r="CA108" s="1402">
        <v>13.034703299306772</v>
      </c>
      <c r="CB108" s="660"/>
      <c r="CC108" s="693"/>
      <c r="CD108" s="1340"/>
      <c r="CE108" s="660"/>
      <c r="CF108" s="660"/>
      <c r="CG108" s="1262"/>
      <c r="CH108" s="660"/>
      <c r="CI108" s="660"/>
      <c r="CJ108" s="660"/>
      <c r="CK108" s="1263"/>
      <c r="CL108" s="660"/>
      <c r="CM108" s="660"/>
      <c r="CN108" s="1263"/>
      <c r="CO108" s="660"/>
      <c r="CP108" s="660"/>
      <c r="CQ108" s="660"/>
      <c r="CR108" s="694"/>
      <c r="CS108" s="1264"/>
      <c r="CT108" s="1341"/>
      <c r="CU108" s="1144"/>
      <c r="CV108" s="1266"/>
      <c r="CW108" s="693"/>
      <c r="CX108" s="693"/>
      <c r="CY108" s="660"/>
      <c r="CZ108" s="660"/>
      <c r="DA108" s="660"/>
      <c r="DB108" s="660"/>
      <c r="DC108" s="693"/>
      <c r="DD108" s="660"/>
      <c r="DE108" s="660"/>
      <c r="DF108" s="660"/>
      <c r="DG108" s="660"/>
      <c r="DH108" s="660"/>
      <c r="DI108" s="660"/>
      <c r="DJ108" s="1267"/>
      <c r="DK108" s="660"/>
      <c r="DL108" s="660"/>
      <c r="DM108" s="1263"/>
      <c r="DN108" s="1268"/>
      <c r="DO108" s="1342"/>
      <c r="DP108" s="1269"/>
      <c r="DQ108" s="980"/>
      <c r="DS108" s="729">
        <v>3.3903300887639376E-3</v>
      </c>
      <c r="DT108" s="729">
        <v>4.5280501163246908E-3</v>
      </c>
      <c r="DU108" s="729">
        <v>1.2196548272984103E-3</v>
      </c>
      <c r="DV108" s="887">
        <v>1.5593781961583686E-3</v>
      </c>
      <c r="DW108" s="729">
        <v>6.840264042418419E-3</v>
      </c>
      <c r="DX108" s="729">
        <v>9.0230115878123282E-2</v>
      </c>
      <c r="DY108" s="729">
        <v>13.034703299306772</v>
      </c>
    </row>
    <row r="109" spans="1:129" s="293" customFormat="1" hidden="1">
      <c r="B109" s="294"/>
      <c r="C109" s="77"/>
      <c r="D109" s="502"/>
      <c r="E109" s="617" t="s">
        <v>626</v>
      </c>
      <c r="F109" s="618"/>
      <c r="G109" s="105"/>
      <c r="H109" s="627"/>
      <c r="I109" s="530"/>
      <c r="J109" s="636"/>
      <c r="K109" s="1270"/>
      <c r="L109" s="636"/>
      <c r="M109" s="636"/>
      <c r="N109" s="636"/>
      <c r="O109" s="636"/>
      <c r="P109" s="636"/>
      <c r="Q109" s="636"/>
      <c r="R109" s="636"/>
      <c r="S109" s="636"/>
      <c r="T109" s="636"/>
      <c r="U109" s="636"/>
      <c r="V109" s="1433"/>
      <c r="W109" s="636"/>
      <c r="X109" s="636"/>
      <c r="Y109" s="636"/>
      <c r="Z109" s="636"/>
      <c r="AA109" s="473"/>
      <c r="AB109" s="636"/>
      <c r="AC109" s="1271"/>
      <c r="AD109" s="636"/>
      <c r="AE109" s="636"/>
      <c r="AF109" s="1272"/>
      <c r="AG109" s="636"/>
      <c r="AH109" s="636"/>
      <c r="AI109" s="636"/>
      <c r="AJ109" s="1271"/>
      <c r="AK109" s="636"/>
      <c r="AL109" s="636"/>
      <c r="AM109" s="636"/>
      <c r="AN109" s="1270"/>
      <c r="AO109" s="636"/>
      <c r="AP109" s="636"/>
      <c r="AQ109" s="636"/>
      <c r="AR109" s="636"/>
      <c r="AS109" s="636"/>
      <c r="AT109" s="636"/>
      <c r="AU109" s="636"/>
      <c r="AV109" s="636"/>
      <c r="AW109" s="636"/>
      <c r="AX109" s="636"/>
      <c r="AY109" s="636"/>
      <c r="AZ109" s="636"/>
      <c r="BA109" s="636"/>
      <c r="BB109" s="636"/>
      <c r="BC109" s="473"/>
      <c r="BD109" s="1270"/>
      <c r="BE109" s="636"/>
      <c r="BF109" s="636"/>
      <c r="BG109" s="636"/>
      <c r="BH109" s="1273"/>
      <c r="BI109" s="636"/>
      <c r="BJ109" s="1274"/>
      <c r="BK109" s="1274"/>
      <c r="BL109" s="636"/>
      <c r="BM109" s="636"/>
      <c r="BN109" s="636"/>
      <c r="BO109" s="473"/>
      <c r="BP109" s="636"/>
      <c r="BQ109" s="1271"/>
      <c r="BR109" s="636"/>
      <c r="BS109" s="636"/>
      <c r="BT109" s="1272"/>
      <c r="BU109" s="636"/>
      <c r="BV109" s="636"/>
      <c r="BW109" s="636"/>
      <c r="BX109" s="1271"/>
      <c r="BY109" s="636"/>
      <c r="BZ109" s="636"/>
      <c r="CA109" s="636"/>
      <c r="CB109" s="1274"/>
      <c r="CC109" s="1283"/>
      <c r="CD109" s="1345"/>
      <c r="CE109" s="1274"/>
      <c r="CF109" s="1274"/>
      <c r="CG109" s="1277"/>
      <c r="CH109" s="1274"/>
      <c r="CI109" s="1274"/>
      <c r="CJ109" s="1274"/>
      <c r="CK109" s="1278"/>
      <c r="CL109" s="1274"/>
      <c r="CM109" s="1274"/>
      <c r="CN109" s="1278"/>
      <c r="CO109" s="1274"/>
      <c r="CP109" s="1274"/>
      <c r="CQ109" s="1274"/>
      <c r="CR109" s="1279"/>
      <c r="CS109" s="1280"/>
      <c r="CT109" s="1346"/>
      <c r="CU109" s="1145"/>
      <c r="CV109" s="1282"/>
      <c r="CW109" s="1283"/>
      <c r="CX109" s="1283"/>
      <c r="CY109" s="1274"/>
      <c r="CZ109" s="1274"/>
      <c r="DA109" s="1274"/>
      <c r="DB109" s="1274"/>
      <c r="DC109" s="1283"/>
      <c r="DD109" s="1274"/>
      <c r="DE109" s="1274"/>
      <c r="DF109" s="1274"/>
      <c r="DG109" s="1274"/>
      <c r="DH109" s="1274"/>
      <c r="DI109" s="1274"/>
      <c r="DJ109" s="1284"/>
      <c r="DK109" s="1274"/>
      <c r="DL109" s="1274"/>
      <c r="DM109" s="1278"/>
      <c r="DN109" s="1285"/>
      <c r="DO109" s="1347"/>
      <c r="DP109" s="1286"/>
      <c r="DQ109" s="976"/>
      <c r="DS109" s="530"/>
      <c r="DT109" s="530"/>
      <c r="DU109" s="530"/>
      <c r="DV109" s="829"/>
      <c r="DW109" s="530"/>
      <c r="DX109" s="530"/>
      <c r="DY109" s="530"/>
    </row>
    <row r="110" spans="1:129" s="26" customFormat="1" hidden="1">
      <c r="A110" s="482"/>
      <c r="B110" s="27"/>
      <c r="C110" s="138"/>
      <c r="D110" s="195"/>
      <c r="E110" s="103" t="s">
        <v>670</v>
      </c>
      <c r="F110" s="14" t="s">
        <v>19</v>
      </c>
      <c r="G110" s="105" t="s">
        <v>20</v>
      </c>
      <c r="H110" s="85">
        <v>1351.1944451507584</v>
      </c>
      <c r="I110" s="56">
        <v>1351.1944451507584</v>
      </c>
      <c r="J110" s="644">
        <v>3151.8186372910418</v>
      </c>
      <c r="K110" s="643">
        <v>14.649905454545459</v>
      </c>
      <c r="L110" s="644">
        <v>23.130831970646749</v>
      </c>
      <c r="M110" s="644">
        <v>23.130831970646749</v>
      </c>
      <c r="N110" s="644">
        <v>53.051904338721464</v>
      </c>
      <c r="O110" s="644">
        <v>53.051904338721464</v>
      </c>
      <c r="P110" s="644">
        <v>9.274376420048295</v>
      </c>
      <c r="Q110" s="644">
        <v>9.274376420048295</v>
      </c>
      <c r="R110" s="644">
        <v>4.9160781146036348</v>
      </c>
      <c r="S110" s="644">
        <v>22.634219723948153</v>
      </c>
      <c r="T110" s="644">
        <v>22.634219723948153</v>
      </c>
      <c r="U110" s="644">
        <v>9.9410072727272727</v>
      </c>
      <c r="V110" s="681">
        <v>536.64914469580458</v>
      </c>
      <c r="W110" s="644">
        <v>536.64914469580458</v>
      </c>
      <c r="X110" s="644">
        <v>3.1980840324310131</v>
      </c>
      <c r="Y110" s="644">
        <v>109.77672079487719</v>
      </c>
      <c r="Z110" s="644">
        <v>151.83785863743765</v>
      </c>
      <c r="AA110" s="645">
        <v>185.07020517233116</v>
      </c>
      <c r="AB110" s="644">
        <v>192.092201524817</v>
      </c>
      <c r="AC110" s="1228">
        <v>452.49519691724385</v>
      </c>
      <c r="AD110" s="644">
        <v>1097.9973364861983</v>
      </c>
      <c r="AE110" s="644" t="s">
        <v>498</v>
      </c>
      <c r="AF110" s="1229" t="s">
        <v>498</v>
      </c>
      <c r="AG110" s="644">
        <v>4813.5403636363644</v>
      </c>
      <c r="AH110" s="644">
        <v>4813.5403636363635</v>
      </c>
      <c r="AI110" s="644">
        <v>377.83264003298774</v>
      </c>
      <c r="AJ110" s="1228">
        <v>859.13227743955849</v>
      </c>
      <c r="AK110" s="644">
        <v>2011.7586893702742</v>
      </c>
      <c r="AL110" s="644" t="s">
        <v>498</v>
      </c>
      <c r="AM110" s="644" t="s">
        <v>498</v>
      </c>
      <c r="AN110" s="643">
        <v>61.815036660693622</v>
      </c>
      <c r="AO110" s="644" t="s">
        <v>498</v>
      </c>
      <c r="AP110" s="644" t="s">
        <v>498</v>
      </c>
      <c r="AQ110" s="644" t="s">
        <v>498</v>
      </c>
      <c r="AR110" s="644" t="s">
        <v>498</v>
      </c>
      <c r="AS110" s="644" t="s">
        <v>498</v>
      </c>
      <c r="AT110" s="644" t="s">
        <v>498</v>
      </c>
      <c r="AU110" s="644" t="s">
        <v>498</v>
      </c>
      <c r="AV110" s="644" t="s">
        <v>498</v>
      </c>
      <c r="AW110" s="644" t="s">
        <v>498</v>
      </c>
      <c r="AX110" s="644" t="s">
        <v>498</v>
      </c>
      <c r="AY110" s="644" t="s">
        <v>498</v>
      </c>
      <c r="AZ110" s="644" t="s">
        <v>498</v>
      </c>
      <c r="BA110" s="644" t="s">
        <v>498</v>
      </c>
      <c r="BB110" s="644" t="s">
        <v>498</v>
      </c>
      <c r="BC110" s="645" t="s">
        <v>498</v>
      </c>
      <c r="BD110" s="643">
        <v>215.22403473857096</v>
      </c>
      <c r="BE110" s="644">
        <v>222.74278665483374</v>
      </c>
      <c r="BF110" s="644">
        <v>445.48557330966747</v>
      </c>
      <c r="BG110" s="663">
        <v>1.4E-2</v>
      </c>
      <c r="BH110" s="646">
        <v>4.0873908196506656</v>
      </c>
      <c r="BI110" s="644"/>
      <c r="BJ110" s="647"/>
      <c r="BK110" s="647"/>
      <c r="BL110" s="644">
        <v>3.1980840324310131</v>
      </c>
      <c r="BM110" s="644">
        <v>109.77672079487719</v>
      </c>
      <c r="BN110" s="644">
        <v>151.83785863743765</v>
      </c>
      <c r="BO110" s="645">
        <v>185.07020517233116</v>
      </c>
      <c r="BP110" s="644">
        <v>192.092201524817</v>
      </c>
      <c r="BQ110" s="1228">
        <v>452.49519691724385</v>
      </c>
      <c r="BR110" s="644">
        <v>1097.9973364861983</v>
      </c>
      <c r="BS110" s="644" t="s">
        <v>498</v>
      </c>
      <c r="BT110" s="1229" t="s">
        <v>498</v>
      </c>
      <c r="BU110" s="644">
        <v>4813.5403636363644</v>
      </c>
      <c r="BV110" s="644">
        <v>4813.5403636363635</v>
      </c>
      <c r="BW110" s="644">
        <v>377.83264003298774</v>
      </c>
      <c r="BX110" s="1228">
        <v>859.13227743955849</v>
      </c>
      <c r="BY110" s="644">
        <v>2011.7586893702742</v>
      </c>
      <c r="BZ110" s="644" t="s">
        <v>498</v>
      </c>
      <c r="CA110" s="644" t="s">
        <v>498</v>
      </c>
      <c r="CB110" s="647"/>
      <c r="CC110" s="687"/>
      <c r="CD110" s="1197"/>
      <c r="CE110" s="647"/>
      <c r="CF110" s="647"/>
      <c r="CG110" s="1232"/>
      <c r="CH110" s="647"/>
      <c r="CI110" s="647"/>
      <c r="CJ110" s="647"/>
      <c r="CK110" s="1233"/>
      <c r="CL110" s="647"/>
      <c r="CM110" s="647"/>
      <c r="CN110" s="1233"/>
      <c r="CO110" s="647"/>
      <c r="CP110" s="647"/>
      <c r="CQ110" s="647"/>
      <c r="CR110" s="688"/>
      <c r="CS110" s="1234"/>
      <c r="CT110" s="1348"/>
      <c r="CU110" s="1140"/>
      <c r="CV110" s="1235"/>
      <c r="CW110" s="687"/>
      <c r="CX110" s="687"/>
      <c r="CY110" s="647"/>
      <c r="CZ110" s="647"/>
      <c r="DA110" s="647"/>
      <c r="DB110" s="647"/>
      <c r="DC110" s="687"/>
      <c r="DD110" s="647"/>
      <c r="DE110" s="647"/>
      <c r="DF110" s="647"/>
      <c r="DG110" s="647"/>
      <c r="DH110" s="647"/>
      <c r="DI110" s="647"/>
      <c r="DJ110" s="1236"/>
      <c r="DK110" s="647"/>
      <c r="DL110" s="647"/>
      <c r="DM110" s="1233"/>
      <c r="DN110" s="1237"/>
      <c r="DO110" s="1349"/>
      <c r="DP110" s="1238"/>
      <c r="DQ110" s="920"/>
      <c r="DS110" s="56">
        <v>4813.5403636363644</v>
      </c>
      <c r="DT110" s="56">
        <v>4813.5403636363635</v>
      </c>
      <c r="DU110" s="56">
        <v>377.83264003298774</v>
      </c>
      <c r="DV110" s="870">
        <v>859.13227743955849</v>
      </c>
      <c r="DW110" s="56">
        <v>2011.7586893702742</v>
      </c>
      <c r="DX110" s="56" t="s">
        <v>498</v>
      </c>
      <c r="DY110" s="56" t="s">
        <v>498</v>
      </c>
    </row>
    <row r="111" spans="1:129" s="26" customFormat="1" hidden="1">
      <c r="A111" s="482"/>
      <c r="B111" s="27"/>
      <c r="C111" s="77"/>
      <c r="D111" s="502"/>
      <c r="E111" s="103" t="s">
        <v>671</v>
      </c>
      <c r="F111" s="14" t="s">
        <v>19</v>
      </c>
      <c r="G111" s="105" t="s">
        <v>20</v>
      </c>
      <c r="H111" s="85" t="s">
        <v>498</v>
      </c>
      <c r="I111" s="56" t="s">
        <v>498</v>
      </c>
      <c r="J111" s="644" t="s">
        <v>498</v>
      </c>
      <c r="K111" s="643">
        <v>91.561909090909083</v>
      </c>
      <c r="L111" s="644" t="s">
        <v>498</v>
      </c>
      <c r="M111" s="644" t="s">
        <v>498</v>
      </c>
      <c r="N111" s="644">
        <v>45.780954545454556</v>
      </c>
      <c r="O111" s="644">
        <v>45.780954545454556</v>
      </c>
      <c r="P111" s="644">
        <v>15.518967642526965</v>
      </c>
      <c r="Q111" s="644">
        <v>15.518967642526965</v>
      </c>
      <c r="R111" s="644">
        <v>91.561909090909097</v>
      </c>
      <c r="S111" s="644">
        <v>3.9809525691699603</v>
      </c>
      <c r="T111" s="644">
        <v>3.9809525691699603</v>
      </c>
      <c r="U111" s="644">
        <v>2.1800454545454544</v>
      </c>
      <c r="V111" s="681" t="s">
        <v>498</v>
      </c>
      <c r="W111" s="644" t="s">
        <v>498</v>
      </c>
      <c r="X111" s="644">
        <v>15.26031818181818</v>
      </c>
      <c r="Y111" s="644" t="s">
        <v>498</v>
      </c>
      <c r="Z111" s="644">
        <v>36.624763636363632</v>
      </c>
      <c r="AA111" s="645" t="s">
        <v>498</v>
      </c>
      <c r="AB111" s="644" t="s">
        <v>498</v>
      </c>
      <c r="AC111" s="1228" t="s">
        <v>498</v>
      </c>
      <c r="AD111" s="644" t="s">
        <v>498</v>
      </c>
      <c r="AE111" s="644" t="s">
        <v>498</v>
      </c>
      <c r="AF111" s="1229" t="s">
        <v>498</v>
      </c>
      <c r="AG111" s="644" t="s">
        <v>498</v>
      </c>
      <c r="AH111" s="644" t="s">
        <v>498</v>
      </c>
      <c r="AI111" s="644" t="s">
        <v>498</v>
      </c>
      <c r="AJ111" s="1228" t="s">
        <v>498</v>
      </c>
      <c r="AK111" s="644" t="s">
        <v>498</v>
      </c>
      <c r="AL111" s="644" t="s">
        <v>498</v>
      </c>
      <c r="AM111" s="644" t="s">
        <v>498</v>
      </c>
      <c r="AN111" s="643">
        <v>12.676022110965874</v>
      </c>
      <c r="AO111" s="644">
        <v>822.68632582771033</v>
      </c>
      <c r="AP111" s="644">
        <v>636.4173015423238</v>
      </c>
      <c r="AQ111" s="644">
        <v>1032.8325846246817</v>
      </c>
      <c r="AR111" s="644">
        <v>2339.7215252664851</v>
      </c>
      <c r="AS111" s="644">
        <v>588.55908534719549</v>
      </c>
      <c r="AT111" s="644">
        <v>7563.2961751004987</v>
      </c>
      <c r="AU111" s="644">
        <v>7620.3470557997916</v>
      </c>
      <c r="AV111" s="644">
        <v>191.15994182985477</v>
      </c>
      <c r="AW111" s="644">
        <v>15252.757515357513</v>
      </c>
      <c r="AX111" s="644">
        <v>2575.4140527803265</v>
      </c>
      <c r="AY111" s="644">
        <v>4000.4062484483188</v>
      </c>
      <c r="AZ111" s="644">
        <v>1034.638386127484</v>
      </c>
      <c r="BA111" s="644">
        <v>336.58662048915585</v>
      </c>
      <c r="BB111" s="644">
        <v>6296.6084066322446</v>
      </c>
      <c r="BC111" s="645">
        <v>1075.8570198024292</v>
      </c>
      <c r="BD111" s="643" t="s">
        <v>498</v>
      </c>
      <c r="BE111" s="644" t="s">
        <v>498</v>
      </c>
      <c r="BF111" s="644">
        <v>43.251068135224777</v>
      </c>
      <c r="BG111" s="644" t="s">
        <v>498</v>
      </c>
      <c r="BH111" s="646" t="s">
        <v>498</v>
      </c>
      <c r="BI111" s="644"/>
      <c r="BJ111" s="647"/>
      <c r="BK111" s="647"/>
      <c r="BL111" s="644">
        <v>15.26031818181818</v>
      </c>
      <c r="BM111" s="644" t="s">
        <v>498</v>
      </c>
      <c r="BN111" s="644">
        <v>36.624763636363632</v>
      </c>
      <c r="BO111" s="645" t="s">
        <v>498</v>
      </c>
      <c r="BP111" s="644" t="s">
        <v>498</v>
      </c>
      <c r="BQ111" s="1228" t="s">
        <v>498</v>
      </c>
      <c r="BR111" s="644" t="s">
        <v>498</v>
      </c>
      <c r="BS111" s="644" t="s">
        <v>498</v>
      </c>
      <c r="BT111" s="1229" t="s">
        <v>498</v>
      </c>
      <c r="BU111" s="644" t="s">
        <v>498</v>
      </c>
      <c r="BV111" s="644" t="s">
        <v>498</v>
      </c>
      <c r="BW111" s="644" t="s">
        <v>498</v>
      </c>
      <c r="BX111" s="1228" t="s">
        <v>498</v>
      </c>
      <c r="BY111" s="644" t="s">
        <v>498</v>
      </c>
      <c r="BZ111" s="644" t="s">
        <v>498</v>
      </c>
      <c r="CA111" s="644" t="s">
        <v>498</v>
      </c>
      <c r="CB111" s="647"/>
      <c r="CC111" s="687"/>
      <c r="CD111" s="1197"/>
      <c r="CE111" s="647"/>
      <c r="CF111" s="647"/>
      <c r="CG111" s="1232"/>
      <c r="CH111" s="647"/>
      <c r="CI111" s="647"/>
      <c r="CJ111" s="647"/>
      <c r="CK111" s="1233"/>
      <c r="CL111" s="647"/>
      <c r="CM111" s="647"/>
      <c r="CN111" s="1233"/>
      <c r="CO111" s="647"/>
      <c r="CP111" s="647"/>
      <c r="CQ111" s="647"/>
      <c r="CR111" s="688"/>
      <c r="CS111" s="1234"/>
      <c r="CT111" s="1348"/>
      <c r="CU111" s="1140"/>
      <c r="CV111" s="1235"/>
      <c r="CW111" s="687"/>
      <c r="CX111" s="687"/>
      <c r="CY111" s="647"/>
      <c r="CZ111" s="647"/>
      <c r="DA111" s="647"/>
      <c r="DB111" s="647"/>
      <c r="DC111" s="687"/>
      <c r="DD111" s="647"/>
      <c r="DE111" s="647"/>
      <c r="DF111" s="647"/>
      <c r="DG111" s="647"/>
      <c r="DH111" s="647"/>
      <c r="DI111" s="647"/>
      <c r="DJ111" s="1236"/>
      <c r="DK111" s="647"/>
      <c r="DL111" s="647"/>
      <c r="DM111" s="1233"/>
      <c r="DN111" s="1237"/>
      <c r="DO111" s="1349"/>
      <c r="DP111" s="1238"/>
      <c r="DQ111" s="920"/>
      <c r="DS111" s="56" t="s">
        <v>498</v>
      </c>
      <c r="DT111" s="56" t="s">
        <v>498</v>
      </c>
      <c r="DU111" s="56" t="s">
        <v>498</v>
      </c>
      <c r="DV111" s="870" t="s">
        <v>498</v>
      </c>
      <c r="DW111" s="56" t="s">
        <v>498</v>
      </c>
      <c r="DX111" s="56" t="s">
        <v>498</v>
      </c>
      <c r="DY111" s="56" t="s">
        <v>498</v>
      </c>
    </row>
    <row r="112" spans="1:129" s="26" customFormat="1" hidden="1">
      <c r="A112" s="17"/>
      <c r="B112" s="27"/>
      <c r="C112" s="77"/>
      <c r="D112" s="502"/>
      <c r="E112" s="103" t="s">
        <v>672</v>
      </c>
      <c r="F112" s="14" t="s">
        <v>19</v>
      </c>
      <c r="G112" s="105" t="s">
        <v>20</v>
      </c>
      <c r="H112" s="119">
        <v>1351.1944451507584</v>
      </c>
      <c r="I112" s="113">
        <v>1351.1944451507584</v>
      </c>
      <c r="J112" s="231">
        <v>3151.8186372910418</v>
      </c>
      <c r="K112" s="648">
        <v>14.649905454545459</v>
      </c>
      <c r="L112" s="231">
        <v>23.130831970646749</v>
      </c>
      <c r="M112" s="231">
        <v>23.130831970646749</v>
      </c>
      <c r="N112" s="231">
        <v>45.780954545454556</v>
      </c>
      <c r="O112" s="231">
        <v>45.780954545454556</v>
      </c>
      <c r="P112" s="231">
        <v>9.274376420048295</v>
      </c>
      <c r="Q112" s="231">
        <v>9.274376420048295</v>
      </c>
      <c r="R112" s="231">
        <v>4.9160781146036348</v>
      </c>
      <c r="S112" s="231">
        <v>3.9809525691699603</v>
      </c>
      <c r="T112" s="231">
        <v>3.9809525691699603</v>
      </c>
      <c r="U112" s="231">
        <v>2.1800454545454544</v>
      </c>
      <c r="V112" s="670">
        <v>536.64914469580458</v>
      </c>
      <c r="W112" s="231">
        <v>536.64914469580458</v>
      </c>
      <c r="X112" s="231">
        <v>3.1980840324310131</v>
      </c>
      <c r="Y112" s="231">
        <v>109.77672079487719</v>
      </c>
      <c r="Z112" s="231">
        <v>36.624763636363632</v>
      </c>
      <c r="AA112" s="232">
        <v>185.07020517233116</v>
      </c>
      <c r="AB112" s="231">
        <v>192.092201524817</v>
      </c>
      <c r="AC112" s="1253">
        <v>452.49519691724385</v>
      </c>
      <c r="AD112" s="231">
        <v>1097.9973364861983</v>
      </c>
      <c r="AE112" s="231" t="s">
        <v>498</v>
      </c>
      <c r="AF112" s="1254" t="s">
        <v>498</v>
      </c>
      <c r="AG112" s="231">
        <v>4813.5403636363644</v>
      </c>
      <c r="AH112" s="231">
        <v>4813.5403636363635</v>
      </c>
      <c r="AI112" s="231">
        <v>377.83264003298774</v>
      </c>
      <c r="AJ112" s="1253">
        <v>859.13227743955849</v>
      </c>
      <c r="AK112" s="231">
        <v>2011.7586893702742</v>
      </c>
      <c r="AL112" s="231" t="s">
        <v>498</v>
      </c>
      <c r="AM112" s="231" t="s">
        <v>498</v>
      </c>
      <c r="AN112" s="648">
        <v>12.676022110965874</v>
      </c>
      <c r="AO112" s="231">
        <v>822.68632582771033</v>
      </c>
      <c r="AP112" s="231">
        <v>636.4173015423238</v>
      </c>
      <c r="AQ112" s="231">
        <v>1032.8325846246817</v>
      </c>
      <c r="AR112" s="231">
        <v>2339.7215252664851</v>
      </c>
      <c r="AS112" s="231">
        <v>588.55908534719549</v>
      </c>
      <c r="AT112" s="231">
        <v>7563.2961751004987</v>
      </c>
      <c r="AU112" s="231">
        <v>7620.3470557997916</v>
      </c>
      <c r="AV112" s="231">
        <v>191.15994182985477</v>
      </c>
      <c r="AW112" s="231">
        <v>15252.757515357513</v>
      </c>
      <c r="AX112" s="231">
        <v>2575.4140527803265</v>
      </c>
      <c r="AY112" s="231">
        <v>4000.4062484483188</v>
      </c>
      <c r="AZ112" s="231">
        <v>1034.638386127484</v>
      </c>
      <c r="BA112" s="231">
        <v>336.58662048915585</v>
      </c>
      <c r="BB112" s="231">
        <v>6296.6084066322446</v>
      </c>
      <c r="BC112" s="232">
        <v>1075.8570198024292</v>
      </c>
      <c r="BD112" s="648">
        <v>215.22403473857096</v>
      </c>
      <c r="BE112" s="231">
        <v>222.74278665483374</v>
      </c>
      <c r="BF112" s="231">
        <v>43.251068135224777</v>
      </c>
      <c r="BG112" s="231">
        <v>7.8481636363636371E-3</v>
      </c>
      <c r="BH112" s="646">
        <v>4.0873908196506656</v>
      </c>
      <c r="BI112" s="231"/>
      <c r="BJ112" s="647"/>
      <c r="BK112" s="647"/>
      <c r="BL112" s="231">
        <v>3.1980840324310131</v>
      </c>
      <c r="BM112" s="231">
        <v>109.77672079487719</v>
      </c>
      <c r="BN112" s="231">
        <v>36.624763636363632</v>
      </c>
      <c r="BO112" s="232">
        <v>185.07020517233116</v>
      </c>
      <c r="BP112" s="231">
        <v>192.092201524817</v>
      </c>
      <c r="BQ112" s="1253">
        <v>452.49519691724385</v>
      </c>
      <c r="BR112" s="231">
        <v>1097.9973364861983</v>
      </c>
      <c r="BS112" s="231" t="s">
        <v>498</v>
      </c>
      <c r="BT112" s="1254" t="s">
        <v>498</v>
      </c>
      <c r="BU112" s="231">
        <v>4813.5403636363644</v>
      </c>
      <c r="BV112" s="231">
        <v>4813.5403636363635</v>
      </c>
      <c r="BW112" s="231">
        <v>377.83264003298774</v>
      </c>
      <c r="BX112" s="1253">
        <v>859.13227743955849</v>
      </c>
      <c r="BY112" s="231">
        <v>2011.7586893702742</v>
      </c>
      <c r="BZ112" s="231" t="s">
        <v>498</v>
      </c>
      <c r="CA112" s="231" t="s">
        <v>498</v>
      </c>
      <c r="CB112" s="647"/>
      <c r="CC112" s="687"/>
      <c r="CD112" s="1197"/>
      <c r="CE112" s="647"/>
      <c r="CF112" s="647"/>
      <c r="CG112" s="1232"/>
      <c r="CH112" s="647"/>
      <c r="CI112" s="647"/>
      <c r="CJ112" s="647"/>
      <c r="CK112" s="1233"/>
      <c r="CL112" s="647"/>
      <c r="CM112" s="647"/>
      <c r="CN112" s="1233"/>
      <c r="CO112" s="647"/>
      <c r="CP112" s="647"/>
      <c r="CQ112" s="647"/>
      <c r="CR112" s="688"/>
      <c r="CS112" s="1234"/>
      <c r="CT112" s="1348"/>
      <c r="CU112" s="1140"/>
      <c r="CV112" s="1235"/>
      <c r="CW112" s="687"/>
      <c r="CX112" s="687"/>
      <c r="CY112" s="647"/>
      <c r="CZ112" s="647"/>
      <c r="DA112" s="647"/>
      <c r="DB112" s="647"/>
      <c r="DC112" s="687"/>
      <c r="DD112" s="647"/>
      <c r="DE112" s="647"/>
      <c r="DF112" s="647"/>
      <c r="DG112" s="647"/>
      <c r="DH112" s="647"/>
      <c r="DI112" s="647"/>
      <c r="DJ112" s="1236"/>
      <c r="DK112" s="647"/>
      <c r="DL112" s="647"/>
      <c r="DM112" s="1233"/>
      <c r="DN112" s="1237"/>
      <c r="DO112" s="1349"/>
      <c r="DP112" s="1238"/>
      <c r="DQ112" s="920"/>
      <c r="DS112" s="113">
        <v>4813.5403636363644</v>
      </c>
      <c r="DT112" s="113">
        <v>4813.5403636363635</v>
      </c>
      <c r="DU112" s="113">
        <v>377.83264003298774</v>
      </c>
      <c r="DV112" s="872">
        <v>859.13227743955849</v>
      </c>
      <c r="DW112" s="113">
        <v>2011.7586893702742</v>
      </c>
      <c r="DX112" s="113" t="s">
        <v>498</v>
      </c>
      <c r="DY112" s="113" t="s">
        <v>498</v>
      </c>
    </row>
    <row r="113" spans="1:129" s="495" customFormat="1" hidden="1">
      <c r="A113" s="398"/>
      <c r="B113" s="492"/>
      <c r="C113" s="503"/>
      <c r="D113" s="504"/>
      <c r="E113" s="619" t="s">
        <v>669</v>
      </c>
      <c r="F113" s="493" t="s">
        <v>19</v>
      </c>
      <c r="G113" s="584" t="s">
        <v>20</v>
      </c>
      <c r="H113" s="494">
        <v>1351.1944451507584</v>
      </c>
      <c r="I113" s="343">
        <v>1351.1944451507584</v>
      </c>
      <c r="J113" s="650">
        <v>3151.8186372910418</v>
      </c>
      <c r="K113" s="649">
        <v>14.649905454545459</v>
      </c>
      <c r="L113" s="650">
        <v>23.130831970646749</v>
      </c>
      <c r="M113" s="650">
        <v>23.130831970646749</v>
      </c>
      <c r="N113" s="650">
        <v>45.780954545454556</v>
      </c>
      <c r="O113" s="650">
        <v>45.780954545454556</v>
      </c>
      <c r="P113" s="650">
        <v>9.274376420048295</v>
      </c>
      <c r="Q113" s="650">
        <v>9.274376420048295</v>
      </c>
      <c r="R113" s="650">
        <v>4.9160781146036348</v>
      </c>
      <c r="S113" s="650">
        <v>3.9809525691699603</v>
      </c>
      <c r="T113" s="650">
        <v>3.9809525691699603</v>
      </c>
      <c r="U113" s="650">
        <v>2.1800454545454544</v>
      </c>
      <c r="V113" s="675" t="s">
        <v>498</v>
      </c>
      <c r="W113" s="650" t="s">
        <v>498</v>
      </c>
      <c r="X113" s="650">
        <v>3.1980840324310131</v>
      </c>
      <c r="Y113" s="650">
        <v>109.77672079487719</v>
      </c>
      <c r="Z113" s="650">
        <v>36.624763636363632</v>
      </c>
      <c r="AA113" s="651" t="s">
        <v>498</v>
      </c>
      <c r="AB113" s="650" t="s">
        <v>498</v>
      </c>
      <c r="AC113" s="1168" t="s">
        <v>498</v>
      </c>
      <c r="AD113" s="650" t="s">
        <v>498</v>
      </c>
      <c r="AE113" s="650" t="s">
        <v>498</v>
      </c>
      <c r="AF113" s="1169" t="s">
        <v>498</v>
      </c>
      <c r="AG113" s="650" t="s">
        <v>498</v>
      </c>
      <c r="AH113" s="650" t="s">
        <v>498</v>
      </c>
      <c r="AI113" s="650" t="s">
        <v>498</v>
      </c>
      <c r="AJ113" s="1168" t="s">
        <v>498</v>
      </c>
      <c r="AK113" s="650" t="s">
        <v>498</v>
      </c>
      <c r="AL113" s="650" t="s">
        <v>498</v>
      </c>
      <c r="AM113" s="650" t="s">
        <v>498</v>
      </c>
      <c r="AN113" s="649">
        <v>12.676022110965874</v>
      </c>
      <c r="AO113" s="650" t="s">
        <v>498</v>
      </c>
      <c r="AP113" s="650" t="s">
        <v>498</v>
      </c>
      <c r="AQ113" s="650" t="s">
        <v>498</v>
      </c>
      <c r="AR113" s="650" t="s">
        <v>498</v>
      </c>
      <c r="AS113" s="650" t="s">
        <v>498</v>
      </c>
      <c r="AT113" s="650" t="s">
        <v>498</v>
      </c>
      <c r="AU113" s="650" t="s">
        <v>498</v>
      </c>
      <c r="AV113" s="650" t="s">
        <v>498</v>
      </c>
      <c r="AW113" s="650" t="s">
        <v>498</v>
      </c>
      <c r="AX113" s="650" t="s">
        <v>498</v>
      </c>
      <c r="AY113" s="650" t="s">
        <v>498</v>
      </c>
      <c r="AZ113" s="650" t="s">
        <v>498</v>
      </c>
      <c r="BA113" s="650" t="s">
        <v>498</v>
      </c>
      <c r="BB113" s="650" t="s">
        <v>498</v>
      </c>
      <c r="BC113" s="651" t="s">
        <v>498</v>
      </c>
      <c r="BD113" s="649">
        <v>215.22403473857096</v>
      </c>
      <c r="BE113" s="650" t="s">
        <v>498</v>
      </c>
      <c r="BF113" s="650" t="s">
        <v>498</v>
      </c>
      <c r="BG113" s="1350">
        <v>1.4E-2</v>
      </c>
      <c r="BH113" s="652">
        <v>4.0873908196506656</v>
      </c>
      <c r="BI113" s="650"/>
      <c r="BJ113" s="653"/>
      <c r="BK113" s="653"/>
      <c r="BL113" s="650">
        <v>3.1980840324310131</v>
      </c>
      <c r="BM113" s="650">
        <v>109.77672079487719</v>
      </c>
      <c r="BN113" s="650">
        <v>36.624763636363632</v>
      </c>
      <c r="BO113" s="651" t="s">
        <v>498</v>
      </c>
      <c r="BP113" s="650" t="s">
        <v>498</v>
      </c>
      <c r="BQ113" s="1168" t="s">
        <v>498</v>
      </c>
      <c r="BR113" s="650" t="s">
        <v>498</v>
      </c>
      <c r="BS113" s="650" t="s">
        <v>498</v>
      </c>
      <c r="BT113" s="1169" t="s">
        <v>498</v>
      </c>
      <c r="BU113" s="650" t="s">
        <v>498</v>
      </c>
      <c r="BV113" s="650" t="s">
        <v>498</v>
      </c>
      <c r="BW113" s="650" t="s">
        <v>498</v>
      </c>
      <c r="BX113" s="1168" t="s">
        <v>498</v>
      </c>
      <c r="BY113" s="650" t="s">
        <v>498</v>
      </c>
      <c r="BZ113" s="650" t="s">
        <v>498</v>
      </c>
      <c r="CA113" s="650" t="s">
        <v>498</v>
      </c>
      <c r="CB113" s="653"/>
      <c r="CC113" s="689"/>
      <c r="CD113" s="1351"/>
      <c r="CE113" s="653"/>
      <c r="CF113" s="653"/>
      <c r="CG113" s="1172"/>
      <c r="CH113" s="653"/>
      <c r="CI113" s="653"/>
      <c r="CJ113" s="653"/>
      <c r="CK113" s="1173"/>
      <c r="CL113" s="653"/>
      <c r="CM113" s="653"/>
      <c r="CN113" s="1173"/>
      <c r="CO113" s="653"/>
      <c r="CP113" s="653"/>
      <c r="CQ113" s="653"/>
      <c r="CR113" s="690"/>
      <c r="CS113" s="1234"/>
      <c r="CT113" s="1348"/>
      <c r="CU113" s="1140"/>
      <c r="CV113" s="1235"/>
      <c r="CW113" s="689"/>
      <c r="CX113" s="689"/>
      <c r="CY113" s="653"/>
      <c r="CZ113" s="653"/>
      <c r="DA113" s="653"/>
      <c r="DB113" s="653"/>
      <c r="DC113" s="689"/>
      <c r="DD113" s="653"/>
      <c r="DE113" s="653"/>
      <c r="DF113" s="653"/>
      <c r="DG113" s="653"/>
      <c r="DH113" s="653"/>
      <c r="DI113" s="653"/>
      <c r="DJ113" s="1287"/>
      <c r="DK113" s="653"/>
      <c r="DL113" s="653"/>
      <c r="DM113" s="1173"/>
      <c r="DN113" s="1237"/>
      <c r="DO113" s="1349"/>
      <c r="DP113" s="1238"/>
      <c r="DQ113" s="920"/>
      <c r="DS113" s="343" t="s">
        <v>498</v>
      </c>
      <c r="DT113" s="343" t="s">
        <v>498</v>
      </c>
      <c r="DU113" s="343" t="s">
        <v>498</v>
      </c>
      <c r="DV113" s="874" t="s">
        <v>498</v>
      </c>
      <c r="DW113" s="343" t="s">
        <v>498</v>
      </c>
      <c r="DX113" s="343" t="s">
        <v>498</v>
      </c>
      <c r="DY113" s="343" t="s">
        <v>498</v>
      </c>
    </row>
    <row r="114" spans="1:129" s="513" customFormat="1" ht="13.5" hidden="1" thickBot="1">
      <c r="A114" s="508"/>
      <c r="B114" s="510"/>
      <c r="C114" s="603"/>
      <c r="D114" s="604"/>
      <c r="E114" s="258" t="s">
        <v>476</v>
      </c>
      <c r="F114" s="66" t="s">
        <v>93</v>
      </c>
      <c r="G114" s="620" t="s">
        <v>24</v>
      </c>
      <c r="H114" s="511">
        <v>3553.9626522150502</v>
      </c>
      <c r="I114" s="237">
        <v>3553.9626522150502</v>
      </c>
      <c r="J114" s="655">
        <v>45033.235605271475</v>
      </c>
      <c r="K114" s="654">
        <v>56461.702979348142</v>
      </c>
      <c r="L114" s="655">
        <v>16621.390195478125</v>
      </c>
      <c r="M114" s="655">
        <v>16621.390195478125</v>
      </c>
      <c r="N114" s="655">
        <v>64793.231413800415</v>
      </c>
      <c r="O114" s="655">
        <v>64793.231413800415</v>
      </c>
      <c r="P114" s="655">
        <v>14433.877661302644</v>
      </c>
      <c r="Q114" s="655">
        <v>14433.877661302644</v>
      </c>
      <c r="R114" s="655">
        <v>3574.4236463400862</v>
      </c>
      <c r="S114" s="655">
        <v>2331.8196917680011</v>
      </c>
      <c r="T114" s="655">
        <v>2331.8196917680011</v>
      </c>
      <c r="U114" s="655">
        <v>6010.7591147651001</v>
      </c>
      <c r="V114" s="668" t="s">
        <v>498</v>
      </c>
      <c r="W114" s="655" t="s">
        <v>498</v>
      </c>
      <c r="X114" s="655">
        <v>2765.8841464130337</v>
      </c>
      <c r="Y114" s="655">
        <v>65799.792955346216</v>
      </c>
      <c r="Z114" s="655">
        <v>13000.799391486569</v>
      </c>
      <c r="AA114" s="656" t="s">
        <v>498</v>
      </c>
      <c r="AB114" s="655" t="s">
        <v>498</v>
      </c>
      <c r="AC114" s="1372" t="s">
        <v>498</v>
      </c>
      <c r="AD114" s="655" t="s">
        <v>498</v>
      </c>
      <c r="AE114" s="655" t="s">
        <v>498</v>
      </c>
      <c r="AF114" s="1373" t="s">
        <v>498</v>
      </c>
      <c r="AG114" s="655" t="s">
        <v>498</v>
      </c>
      <c r="AH114" s="655" t="s">
        <v>498</v>
      </c>
      <c r="AI114" s="655" t="s">
        <v>498</v>
      </c>
      <c r="AJ114" s="1372" t="s">
        <v>498</v>
      </c>
      <c r="AK114" s="655" t="s">
        <v>498</v>
      </c>
      <c r="AL114" s="655" t="s">
        <v>498</v>
      </c>
      <c r="AM114" s="655" t="s">
        <v>498</v>
      </c>
      <c r="AN114" s="654">
        <v>54.183738765448929</v>
      </c>
      <c r="AO114" s="655" t="s">
        <v>498</v>
      </c>
      <c r="AP114" s="655" t="s">
        <v>498</v>
      </c>
      <c r="AQ114" s="655" t="s">
        <v>498</v>
      </c>
      <c r="AR114" s="655" t="s">
        <v>498</v>
      </c>
      <c r="AS114" s="655" t="s">
        <v>498</v>
      </c>
      <c r="AT114" s="655" t="s">
        <v>498</v>
      </c>
      <c r="AU114" s="655" t="s">
        <v>498</v>
      </c>
      <c r="AV114" s="655" t="s">
        <v>498</v>
      </c>
      <c r="AW114" s="655" t="s">
        <v>498</v>
      </c>
      <c r="AX114" s="655" t="s">
        <v>498</v>
      </c>
      <c r="AY114" s="655" t="s">
        <v>498</v>
      </c>
      <c r="AZ114" s="655" t="s">
        <v>498</v>
      </c>
      <c r="BA114" s="655" t="s">
        <v>498</v>
      </c>
      <c r="BB114" s="655" t="s">
        <v>498</v>
      </c>
      <c r="BC114" s="656" t="s">
        <v>498</v>
      </c>
      <c r="BD114" s="654">
        <v>19.270904253121437</v>
      </c>
      <c r="BE114" s="655" t="s">
        <v>498</v>
      </c>
      <c r="BF114" s="655" t="s">
        <v>498</v>
      </c>
      <c r="BG114" s="655" t="s">
        <v>595</v>
      </c>
      <c r="BH114" s="657">
        <v>0.51398581898697171</v>
      </c>
      <c r="BI114" s="655"/>
      <c r="BJ114" s="660"/>
      <c r="BK114" s="660"/>
      <c r="BL114" s="655">
        <v>2765.8841464130337</v>
      </c>
      <c r="BM114" s="655">
        <v>65799.792955346216</v>
      </c>
      <c r="BN114" s="655">
        <v>13000.799391486569</v>
      </c>
      <c r="BO114" s="656" t="s">
        <v>498</v>
      </c>
      <c r="BP114" s="655" t="s">
        <v>498</v>
      </c>
      <c r="BQ114" s="1372" t="s">
        <v>498</v>
      </c>
      <c r="BR114" s="655" t="s">
        <v>498</v>
      </c>
      <c r="BS114" s="655" t="s">
        <v>498</v>
      </c>
      <c r="BT114" s="1373" t="s">
        <v>498</v>
      </c>
      <c r="BU114" s="655" t="s">
        <v>498</v>
      </c>
      <c r="BV114" s="655" t="s">
        <v>498</v>
      </c>
      <c r="BW114" s="655" t="s">
        <v>498</v>
      </c>
      <c r="BX114" s="1372" t="s">
        <v>498</v>
      </c>
      <c r="BY114" s="655" t="s">
        <v>498</v>
      </c>
      <c r="BZ114" s="655" t="s">
        <v>498</v>
      </c>
      <c r="CA114" s="655" t="s">
        <v>498</v>
      </c>
      <c r="CB114" s="660"/>
      <c r="CC114" s="693"/>
      <c r="CD114" s="1340"/>
      <c r="CE114" s="660"/>
      <c r="CF114" s="660"/>
      <c r="CG114" s="1262"/>
      <c r="CH114" s="660"/>
      <c r="CI114" s="660"/>
      <c r="CJ114" s="660"/>
      <c r="CK114" s="1263"/>
      <c r="CL114" s="660"/>
      <c r="CM114" s="660"/>
      <c r="CN114" s="1263"/>
      <c r="CO114" s="660"/>
      <c r="CP114" s="660"/>
      <c r="CQ114" s="660"/>
      <c r="CR114" s="694"/>
      <c r="CS114" s="1264"/>
      <c r="CT114" s="1341"/>
      <c r="CU114" s="1144"/>
      <c r="CV114" s="1266"/>
      <c r="CW114" s="693"/>
      <c r="CX114" s="693"/>
      <c r="CY114" s="660"/>
      <c r="CZ114" s="660"/>
      <c r="DA114" s="660"/>
      <c r="DB114" s="660"/>
      <c r="DC114" s="693"/>
      <c r="DD114" s="660"/>
      <c r="DE114" s="660"/>
      <c r="DF114" s="660"/>
      <c r="DG114" s="660"/>
      <c r="DH114" s="660"/>
      <c r="DI114" s="660"/>
      <c r="DJ114" s="1267"/>
      <c r="DK114" s="660"/>
      <c r="DL114" s="660"/>
      <c r="DM114" s="1263"/>
      <c r="DN114" s="1268"/>
      <c r="DO114" s="1342"/>
      <c r="DP114" s="1269"/>
      <c r="DQ114" s="980"/>
      <c r="DS114" s="237" t="s">
        <v>498</v>
      </c>
      <c r="DT114" s="237" t="s">
        <v>498</v>
      </c>
      <c r="DU114" s="237" t="s">
        <v>498</v>
      </c>
      <c r="DV114" s="876" t="s">
        <v>498</v>
      </c>
      <c r="DW114" s="237" t="s">
        <v>498</v>
      </c>
      <c r="DX114" s="237" t="s">
        <v>498</v>
      </c>
      <c r="DY114" s="237" t="s">
        <v>498</v>
      </c>
    </row>
    <row r="115" spans="1:129" s="74" customFormat="1">
      <c r="A115" s="15"/>
      <c r="B115" s="15"/>
      <c r="C115" s="15"/>
      <c r="D115" s="15"/>
      <c r="E115" s="6"/>
      <c r="F115" s="6"/>
      <c r="G115" s="6"/>
      <c r="J115" s="1408"/>
      <c r="K115" s="1407"/>
      <c r="L115" s="1408"/>
      <c r="M115" s="1408"/>
      <c r="N115" s="1408"/>
      <c r="O115" s="1408"/>
      <c r="P115" s="1408"/>
      <c r="Q115" s="1408"/>
      <c r="R115" s="1408"/>
      <c r="S115" s="1408"/>
      <c r="T115" s="1408"/>
      <c r="U115" s="1408"/>
      <c r="V115" s="1430"/>
      <c r="W115" s="1408"/>
      <c r="X115" s="1408"/>
      <c r="Y115" s="1408"/>
      <c r="Z115" s="1408"/>
      <c r="AA115" s="1409"/>
      <c r="AB115" s="1408"/>
      <c r="AC115" s="1410"/>
      <c r="AD115" s="1408"/>
      <c r="AE115" s="1408"/>
      <c r="AF115" s="1411"/>
      <c r="AG115" s="1408"/>
      <c r="AH115" s="1408"/>
      <c r="AI115" s="1408"/>
      <c r="AJ115" s="1410"/>
      <c r="AK115" s="1408"/>
      <c r="AL115" s="1408"/>
      <c r="AM115" s="1408"/>
      <c r="AN115" s="1407"/>
      <c r="AO115" s="1408"/>
      <c r="AP115" s="1408"/>
      <c r="AQ115" s="1408"/>
      <c r="AR115" s="1408"/>
      <c r="AS115" s="1408"/>
      <c r="AT115" s="1408"/>
      <c r="AU115" s="1408"/>
      <c r="AV115" s="1408"/>
      <c r="AW115" s="1408"/>
      <c r="AX115" s="1408"/>
      <c r="AY115" s="1408"/>
      <c r="AZ115" s="1408"/>
      <c r="BA115" s="1408"/>
      <c r="BB115" s="1408"/>
      <c r="BC115" s="1409"/>
      <c r="BD115" s="1407"/>
      <c r="BE115" s="1408"/>
      <c r="BF115" s="1408"/>
      <c r="BG115" s="1408"/>
      <c r="BH115" s="1412"/>
      <c r="BI115" s="1408"/>
      <c r="BJ115" s="1413"/>
      <c r="BK115" s="1413"/>
      <c r="BL115" s="1408"/>
      <c r="BM115" s="1408"/>
      <c r="BN115" s="1408"/>
      <c r="BO115" s="1409"/>
      <c r="BP115" s="1408"/>
      <c r="BQ115" s="1410"/>
      <c r="BR115" s="1408"/>
      <c r="BS115" s="1408"/>
      <c r="BT115" s="1411"/>
      <c r="BU115" s="1408"/>
      <c r="BV115" s="1408"/>
      <c r="BW115" s="1408"/>
      <c r="BX115" s="1410"/>
      <c r="BY115" s="1408"/>
      <c r="BZ115" s="1408"/>
      <c r="CA115" s="1408"/>
      <c r="CB115" s="1413"/>
      <c r="CC115" s="1414"/>
      <c r="CD115" s="1197"/>
      <c r="CE115" s="1413"/>
      <c r="CF115" s="1413"/>
      <c r="CG115" s="1415"/>
      <c r="CH115" s="1413"/>
      <c r="CI115" s="1413"/>
      <c r="CJ115" s="1413"/>
      <c r="CK115" s="1416"/>
      <c r="CL115" s="1417"/>
      <c r="CM115" s="1417"/>
      <c r="CN115" s="1416"/>
      <c r="CO115" s="1408"/>
      <c r="CP115" s="1408"/>
      <c r="CQ115" s="1408"/>
      <c r="CR115" s="1409"/>
      <c r="CS115" s="1418"/>
      <c r="CT115" s="1419"/>
      <c r="CU115" s="1420"/>
      <c r="CV115" s="1421"/>
      <c r="CW115" s="1407"/>
      <c r="CX115" s="1414"/>
      <c r="CY115" s="1408"/>
      <c r="CZ115" s="1408"/>
      <c r="DA115" s="1408"/>
      <c r="DB115" s="1408"/>
      <c r="DC115" s="1407"/>
      <c r="DD115" s="1408"/>
      <c r="DE115" s="1408"/>
      <c r="DF115" s="1408"/>
      <c r="DG115" s="1408"/>
      <c r="DH115" s="1408"/>
      <c r="DI115" s="1408"/>
      <c r="DJ115" s="1410"/>
      <c r="DK115" s="1408"/>
      <c r="DL115" s="1408"/>
      <c r="DM115" s="1411"/>
      <c r="DN115" s="1418"/>
      <c r="DO115" s="1422"/>
      <c r="DP115" s="1423"/>
      <c r="DQ115" s="983"/>
      <c r="DV115" s="889"/>
    </row>
    <row r="116" spans="1:129" s="74" customFormat="1">
      <c r="A116" s="15"/>
      <c r="B116" s="15"/>
      <c r="C116" s="15"/>
      <c r="D116" s="15"/>
      <c r="E116" s="6"/>
      <c r="F116" s="6"/>
      <c r="G116" s="6"/>
      <c r="J116" s="1408"/>
      <c r="K116" s="1407"/>
      <c r="L116" s="1408"/>
      <c r="M116" s="1408"/>
      <c r="N116" s="1408"/>
      <c r="O116" s="1408"/>
      <c r="P116" s="1408"/>
      <c r="Q116" s="1408"/>
      <c r="R116" s="1408"/>
      <c r="S116" s="1408"/>
      <c r="T116" s="1408"/>
      <c r="U116" s="1408"/>
      <c r="V116" s="1430"/>
      <c r="W116" s="1408"/>
      <c r="X116" s="1408"/>
      <c r="Y116" s="1408"/>
      <c r="Z116" s="1408"/>
      <c r="AA116" s="1409"/>
      <c r="AB116" s="1408"/>
      <c r="AC116" s="1410"/>
      <c r="AD116" s="1408"/>
      <c r="AE116" s="1408"/>
      <c r="AF116" s="1411"/>
      <c r="AG116" s="1408"/>
      <c r="AH116" s="1408"/>
      <c r="AI116" s="1408"/>
      <c r="AJ116" s="1410"/>
      <c r="AK116" s="1408"/>
      <c r="AL116" s="1408"/>
      <c r="AM116" s="1408"/>
      <c r="AN116" s="1407"/>
      <c r="AO116" s="1408"/>
      <c r="AP116" s="1408"/>
      <c r="AQ116" s="1408"/>
      <c r="AR116" s="1408"/>
      <c r="AS116" s="1408"/>
      <c r="AT116" s="1408"/>
      <c r="AU116" s="1408"/>
      <c r="AV116" s="1408"/>
      <c r="AW116" s="1408"/>
      <c r="AX116" s="1408"/>
      <c r="AY116" s="1408"/>
      <c r="AZ116" s="1408"/>
      <c r="BA116" s="1408"/>
      <c r="BB116" s="1408"/>
      <c r="BC116" s="1409"/>
      <c r="BD116" s="1407"/>
      <c r="BE116" s="1408"/>
      <c r="BF116" s="1408"/>
      <c r="BG116" s="1408"/>
      <c r="BH116" s="1412"/>
      <c r="BI116" s="1408"/>
      <c r="BJ116" s="1413"/>
      <c r="BK116" s="1413"/>
      <c r="BL116" s="1408"/>
      <c r="BM116" s="1408"/>
      <c r="BN116" s="1408"/>
      <c r="BO116" s="1409"/>
      <c r="BP116" s="1408"/>
      <c r="BQ116" s="1410"/>
      <c r="BR116" s="1408"/>
      <c r="BS116" s="1408"/>
      <c r="BT116" s="1411"/>
      <c r="BU116" s="1408"/>
      <c r="BV116" s="1408"/>
      <c r="BW116" s="1408"/>
      <c r="BX116" s="1410"/>
      <c r="BY116" s="1408"/>
      <c r="BZ116" s="1408"/>
      <c r="CA116" s="1408"/>
      <c r="CB116" s="1413"/>
      <c r="CC116" s="1414"/>
      <c r="CD116" s="1197"/>
      <c r="CE116" s="1413"/>
      <c r="CF116" s="1413"/>
      <c r="CG116" s="1415"/>
      <c r="CH116" s="1413"/>
      <c r="CI116" s="1413"/>
      <c r="CJ116" s="1413"/>
      <c r="CK116" s="1416"/>
      <c r="CL116" s="1417"/>
      <c r="CM116" s="1417"/>
      <c r="CN116" s="1416"/>
      <c r="CO116" s="1408"/>
      <c r="CP116" s="1408"/>
      <c r="CQ116" s="1408"/>
      <c r="CR116" s="1409"/>
      <c r="CS116" s="1418"/>
      <c r="CT116" s="1419"/>
      <c r="CU116" s="1420"/>
      <c r="CV116" s="1421"/>
      <c r="CW116" s="1407"/>
      <c r="CX116" s="1414"/>
      <c r="CY116" s="1408"/>
      <c r="CZ116" s="1408"/>
      <c r="DA116" s="1408"/>
      <c r="DB116" s="1408"/>
      <c r="DC116" s="1407"/>
      <c r="DD116" s="1408"/>
      <c r="DE116" s="1408"/>
      <c r="DF116" s="1408"/>
      <c r="DG116" s="1408"/>
      <c r="DH116" s="1408"/>
      <c r="DI116" s="1408"/>
      <c r="DJ116" s="1410"/>
      <c r="DK116" s="1408"/>
      <c r="DL116" s="1408"/>
      <c r="DM116" s="1411"/>
      <c r="DN116" s="1418"/>
      <c r="DO116" s="1422"/>
      <c r="DP116" s="1423"/>
      <c r="DQ116" s="983"/>
      <c r="DV116" s="889"/>
    </row>
    <row r="117" spans="1:129" s="74" customFormat="1">
      <c r="A117" s="15"/>
      <c r="B117" s="15"/>
      <c r="C117" s="15"/>
      <c r="D117" s="15"/>
      <c r="E117" s="6" t="s">
        <v>1269</v>
      </c>
      <c r="F117" s="6"/>
      <c r="G117" s="6"/>
      <c r="K117" s="222"/>
      <c r="V117" s="1430"/>
      <c r="AA117" s="223"/>
      <c r="AC117" s="889"/>
      <c r="AF117" s="890"/>
      <c r="AJ117" s="889"/>
      <c r="AN117" s="222"/>
      <c r="BC117" s="223"/>
      <c r="BD117" s="222"/>
      <c r="BH117" s="611"/>
      <c r="BJ117" s="15"/>
      <c r="BK117" s="15"/>
      <c r="BO117" s="223"/>
      <c r="BQ117" s="889"/>
      <c r="BT117" s="890"/>
      <c r="BX117" s="889"/>
      <c r="CB117" s="15"/>
      <c r="CC117" s="697"/>
      <c r="CD117" s="1086"/>
      <c r="CE117" s="15"/>
      <c r="CF117" s="15"/>
      <c r="CG117" s="936"/>
      <c r="CH117" s="15"/>
      <c r="CI117" s="15"/>
      <c r="CJ117" s="15"/>
      <c r="CK117" s="1107"/>
      <c r="CL117" s="22"/>
      <c r="CM117" s="22"/>
      <c r="CN117" s="1107"/>
      <c r="CR117" s="223"/>
      <c r="CS117" s="952"/>
      <c r="CT117" s="1066"/>
      <c r="CU117" s="972"/>
      <c r="CV117" s="983"/>
      <c r="CW117" s="222"/>
      <c r="CX117" s="697"/>
      <c r="DC117" s="222"/>
      <c r="DJ117" s="889"/>
      <c r="DM117" s="890"/>
      <c r="DN117" s="952"/>
      <c r="DO117" s="75"/>
      <c r="DP117" s="962"/>
      <c r="DQ117" s="983"/>
      <c r="DV117" s="889"/>
    </row>
    <row r="118" spans="1:129" s="74" customFormat="1">
      <c r="A118" s="15"/>
      <c r="B118" s="15"/>
      <c r="C118" s="15"/>
      <c r="D118" s="15"/>
      <c r="E118" s="6"/>
      <c r="F118" s="6"/>
      <c r="G118" s="6"/>
      <c r="K118" s="222"/>
      <c r="V118" s="1430"/>
      <c r="AA118" s="223"/>
      <c r="AC118" s="889"/>
      <c r="AF118" s="890"/>
      <c r="AJ118" s="889"/>
      <c r="AN118" s="222"/>
      <c r="BC118" s="223"/>
      <c r="BD118" s="222"/>
      <c r="BH118" s="611"/>
      <c r="BJ118" s="15"/>
      <c r="BK118" s="15"/>
      <c r="BO118" s="223"/>
      <c r="BQ118" s="889"/>
      <c r="BT118" s="890"/>
      <c r="BX118" s="889"/>
      <c r="CB118" s="15"/>
      <c r="CC118" s="697"/>
      <c r="CD118" s="1086"/>
      <c r="CE118" s="15"/>
      <c r="CF118" s="15"/>
      <c r="CG118" s="936"/>
      <c r="CH118" s="15"/>
      <c r="CI118" s="15"/>
      <c r="CJ118" s="15"/>
      <c r="CK118" s="1107"/>
      <c r="CL118" s="22"/>
      <c r="CM118" s="22"/>
      <c r="CN118" s="1107"/>
      <c r="CR118" s="223"/>
      <c r="CS118" s="952"/>
      <c r="CT118" s="1066"/>
      <c r="CU118" s="972"/>
      <c r="CV118" s="983"/>
      <c r="CW118" s="222"/>
      <c r="CX118" s="697"/>
      <c r="DC118" s="222"/>
      <c r="DJ118" s="889"/>
      <c r="DM118" s="890"/>
      <c r="DN118" s="952"/>
      <c r="DO118" s="75"/>
      <c r="DP118" s="962"/>
      <c r="DQ118" s="983"/>
      <c r="DV118" s="889"/>
    </row>
    <row r="119" spans="1:129" s="74" customFormat="1">
      <c r="A119" s="15"/>
      <c r="B119" s="15"/>
      <c r="C119" s="15"/>
      <c r="D119" s="15"/>
      <c r="E119" s="6"/>
      <c r="F119" s="6"/>
      <c r="G119" s="6"/>
      <c r="K119" s="222"/>
      <c r="V119" s="1430"/>
      <c r="AA119" s="223"/>
      <c r="AC119" s="889"/>
      <c r="AF119" s="890"/>
      <c r="AJ119" s="889"/>
      <c r="AN119" s="222"/>
      <c r="BC119" s="223"/>
      <c r="BD119" s="222"/>
      <c r="BH119" s="611"/>
      <c r="BJ119" s="15"/>
      <c r="BK119" s="15"/>
      <c r="BO119" s="223"/>
      <c r="BQ119" s="889"/>
      <c r="BT119" s="890"/>
      <c r="BX119" s="889"/>
      <c r="CB119" s="15"/>
      <c r="CC119" s="697"/>
      <c r="CD119" s="1086"/>
      <c r="CE119" s="15"/>
      <c r="CF119" s="15"/>
      <c r="CG119" s="936"/>
      <c r="CH119" s="15"/>
      <c r="CI119" s="15"/>
      <c r="CJ119" s="15"/>
      <c r="CK119" s="1107"/>
      <c r="CL119" s="22"/>
      <c r="CM119" s="22"/>
      <c r="CN119" s="1107"/>
      <c r="CR119" s="223"/>
      <c r="CS119" s="952"/>
      <c r="CT119" s="1066"/>
      <c r="CU119" s="972"/>
      <c r="CV119" s="983"/>
      <c r="CW119" s="222"/>
      <c r="CX119" s="697"/>
      <c r="DC119" s="222"/>
      <c r="DJ119" s="889"/>
      <c r="DM119" s="890"/>
      <c r="DN119" s="952"/>
      <c r="DO119" s="75"/>
      <c r="DP119" s="962"/>
      <c r="DQ119" s="983"/>
      <c r="DV119" s="889"/>
    </row>
    <row r="120" spans="1:129" s="74" customFormat="1">
      <c r="A120" s="15"/>
      <c r="B120" s="15"/>
      <c r="C120" s="15"/>
      <c r="D120" s="15"/>
      <c r="E120" s="6"/>
      <c r="F120" s="6"/>
      <c r="G120" s="6"/>
      <c r="K120" s="222"/>
      <c r="V120" s="1430"/>
      <c r="AA120" s="223"/>
      <c r="AC120" s="889"/>
      <c r="AF120" s="890"/>
      <c r="AJ120" s="889"/>
      <c r="AN120" s="222"/>
      <c r="BC120" s="223"/>
      <c r="BD120" s="222"/>
      <c r="BH120" s="611"/>
      <c r="BJ120" s="15"/>
      <c r="BK120" s="15"/>
      <c r="BO120" s="223"/>
      <c r="BQ120" s="889"/>
      <c r="BT120" s="890"/>
      <c r="BX120" s="889"/>
      <c r="CB120" s="15"/>
      <c r="CC120" s="697"/>
      <c r="CD120" s="1086"/>
      <c r="CE120" s="15"/>
      <c r="CF120" s="15"/>
      <c r="CG120" s="936"/>
      <c r="CH120" s="15"/>
      <c r="CI120" s="15"/>
      <c r="CJ120" s="15"/>
      <c r="CK120" s="1107"/>
      <c r="CL120" s="22"/>
      <c r="CM120" s="22"/>
      <c r="CN120" s="1107"/>
      <c r="CR120" s="223"/>
      <c r="CS120" s="952"/>
      <c r="CT120" s="1066"/>
      <c r="CU120" s="972"/>
      <c r="CV120" s="983"/>
      <c r="CW120" s="222"/>
      <c r="CX120" s="697"/>
      <c r="DC120" s="222"/>
      <c r="DJ120" s="889"/>
      <c r="DM120" s="890"/>
      <c r="DN120" s="952"/>
      <c r="DO120" s="75"/>
      <c r="DP120" s="962"/>
      <c r="DQ120" s="983"/>
      <c r="DV120" s="889"/>
    </row>
    <row r="121" spans="1:129" s="74" customFormat="1">
      <c r="A121" s="15"/>
      <c r="B121" s="15"/>
      <c r="C121" s="15"/>
      <c r="D121" s="15"/>
      <c r="E121" s="6"/>
      <c r="F121" s="6"/>
      <c r="G121" s="6"/>
      <c r="K121" s="222"/>
      <c r="V121" s="1430"/>
      <c r="AA121" s="223"/>
      <c r="AC121" s="889"/>
      <c r="AF121" s="890"/>
      <c r="AJ121" s="889"/>
      <c r="AN121" s="222"/>
      <c r="BC121" s="223"/>
      <c r="BD121" s="222"/>
      <c r="BH121" s="611"/>
      <c r="BJ121" s="15"/>
      <c r="BK121" s="15"/>
      <c r="BO121" s="223"/>
      <c r="BQ121" s="889"/>
      <c r="BT121" s="890"/>
      <c r="BX121" s="889"/>
      <c r="CB121" s="15"/>
      <c r="CC121" s="697"/>
      <c r="CD121" s="1086"/>
      <c r="CE121" s="15"/>
      <c r="CF121" s="15"/>
      <c r="CG121" s="936"/>
      <c r="CH121" s="15"/>
      <c r="CI121" s="15"/>
      <c r="CJ121" s="15"/>
      <c r="CK121" s="1107"/>
      <c r="CL121" s="22"/>
      <c r="CM121" s="22"/>
      <c r="CN121" s="1107"/>
      <c r="CR121" s="223"/>
      <c r="CS121" s="952"/>
      <c r="CT121" s="1066"/>
      <c r="CU121" s="972"/>
      <c r="CV121" s="983"/>
      <c r="CW121" s="222"/>
      <c r="CX121" s="697"/>
      <c r="DC121" s="222"/>
      <c r="DJ121" s="889"/>
      <c r="DM121" s="890"/>
      <c r="DN121" s="952"/>
      <c r="DO121" s="75"/>
      <c r="DP121" s="962"/>
      <c r="DQ121" s="983"/>
      <c r="DV121" s="889"/>
    </row>
    <row r="122" spans="1:129" s="74" customFormat="1">
      <c r="A122" s="15"/>
      <c r="B122" s="15"/>
      <c r="C122" s="15"/>
      <c r="D122" s="15"/>
      <c r="E122" s="6"/>
      <c r="F122" s="6"/>
      <c r="G122" s="6"/>
      <c r="K122" s="222"/>
      <c r="V122" s="1430"/>
      <c r="AA122" s="223"/>
      <c r="AC122" s="889"/>
      <c r="AF122" s="890"/>
      <c r="AJ122" s="889"/>
      <c r="AN122" s="222"/>
      <c r="BC122" s="223"/>
      <c r="BD122" s="222"/>
      <c r="BH122" s="611"/>
      <c r="BJ122" s="15"/>
      <c r="BK122" s="15"/>
      <c r="BO122" s="223"/>
      <c r="BQ122" s="889"/>
      <c r="BT122" s="890"/>
      <c r="BX122" s="889"/>
      <c r="CB122" s="15"/>
      <c r="CC122" s="697"/>
      <c r="CD122" s="1086"/>
      <c r="CE122" s="15"/>
      <c r="CF122" s="15"/>
      <c r="CG122" s="936"/>
      <c r="CH122" s="15"/>
      <c r="CI122" s="15"/>
      <c r="CJ122" s="15"/>
      <c r="CK122" s="1107"/>
      <c r="CL122" s="22"/>
      <c r="CM122" s="22"/>
      <c r="CN122" s="1107"/>
      <c r="CR122" s="223"/>
      <c r="CS122" s="952"/>
      <c r="CT122" s="1066"/>
      <c r="CU122" s="972"/>
      <c r="CV122" s="983"/>
      <c r="CW122" s="222"/>
      <c r="CX122" s="697"/>
      <c r="DC122" s="222"/>
      <c r="DJ122" s="889"/>
      <c r="DM122" s="890"/>
      <c r="DN122" s="952"/>
      <c r="DO122" s="75"/>
      <c r="DP122" s="962"/>
      <c r="DQ122" s="983"/>
      <c r="DV122" s="889"/>
    </row>
    <row r="123" spans="1:129" s="74" customFormat="1">
      <c r="A123" s="15"/>
      <c r="B123" s="15"/>
      <c r="C123" s="15"/>
      <c r="D123" s="15"/>
      <c r="E123" s="6"/>
      <c r="F123" s="6"/>
      <c r="G123" s="6"/>
      <c r="K123" s="222"/>
      <c r="V123" s="1430"/>
      <c r="AA123" s="223"/>
      <c r="AC123" s="889"/>
      <c r="AF123" s="890"/>
      <c r="AJ123" s="889"/>
      <c r="AN123" s="222"/>
      <c r="BC123" s="223"/>
      <c r="BD123" s="222"/>
      <c r="BH123" s="611"/>
      <c r="BJ123" s="15"/>
      <c r="BK123" s="15"/>
      <c r="BO123" s="223"/>
      <c r="BQ123" s="889"/>
      <c r="BT123" s="890"/>
      <c r="BX123" s="889"/>
      <c r="CB123" s="15"/>
      <c r="CC123" s="697"/>
      <c r="CD123" s="1086"/>
      <c r="CE123" s="15"/>
      <c r="CF123" s="15"/>
      <c r="CG123" s="936"/>
      <c r="CH123" s="15"/>
      <c r="CI123" s="15"/>
      <c r="CJ123" s="15"/>
      <c r="CK123" s="1107"/>
      <c r="CL123" s="22"/>
      <c r="CM123" s="22"/>
      <c r="CN123" s="1107"/>
      <c r="CR123" s="223"/>
      <c r="CS123" s="952"/>
      <c r="CT123" s="1066"/>
      <c r="CU123" s="972"/>
      <c r="CV123" s="983"/>
      <c r="CW123" s="222"/>
      <c r="CX123" s="697"/>
      <c r="DC123" s="222"/>
      <c r="DJ123" s="889"/>
      <c r="DM123" s="890"/>
      <c r="DN123" s="952"/>
      <c r="DO123" s="75"/>
      <c r="DP123" s="962"/>
      <c r="DQ123" s="983"/>
      <c r="DV123" s="889"/>
    </row>
    <row r="124" spans="1:129" s="74" customFormat="1">
      <c r="A124" s="15"/>
      <c r="B124" s="15"/>
      <c r="C124" s="15"/>
      <c r="D124" s="15"/>
      <c r="E124" s="6"/>
      <c r="F124" s="6"/>
      <c r="G124" s="6"/>
      <c r="K124" s="222"/>
      <c r="V124" s="1430"/>
      <c r="AA124" s="223"/>
      <c r="AC124" s="889"/>
      <c r="AF124" s="890"/>
      <c r="AJ124" s="889"/>
      <c r="AN124" s="222"/>
      <c r="BC124" s="223"/>
      <c r="BD124" s="222"/>
      <c r="BH124" s="611"/>
      <c r="BJ124" s="15"/>
      <c r="BK124" s="15"/>
      <c r="BO124" s="223"/>
      <c r="BQ124" s="889"/>
      <c r="BT124" s="890"/>
      <c r="BX124" s="889"/>
      <c r="CB124" s="15"/>
      <c r="CC124" s="697"/>
      <c r="CD124" s="1086"/>
      <c r="CE124" s="15"/>
      <c r="CF124" s="15"/>
      <c r="CG124" s="936"/>
      <c r="CH124" s="15"/>
      <c r="CI124" s="15"/>
      <c r="CJ124" s="15"/>
      <c r="CK124" s="1107"/>
      <c r="CL124" s="22"/>
      <c r="CM124" s="22"/>
      <c r="CN124" s="1107"/>
      <c r="CR124" s="223"/>
      <c r="CS124" s="952"/>
      <c r="CT124" s="1066"/>
      <c r="CU124" s="972"/>
      <c r="CV124" s="983"/>
      <c r="CW124" s="222"/>
      <c r="CX124" s="697"/>
      <c r="DC124" s="222"/>
      <c r="DJ124" s="889"/>
      <c r="DM124" s="890"/>
      <c r="DN124" s="952"/>
      <c r="DO124" s="75"/>
      <c r="DP124" s="962"/>
      <c r="DQ124" s="983"/>
      <c r="DV124" s="889"/>
    </row>
    <row r="125" spans="1:129" s="74" customFormat="1">
      <c r="A125" s="15"/>
      <c r="B125" s="15"/>
      <c r="C125" s="15"/>
      <c r="D125" s="15"/>
      <c r="E125" s="6"/>
      <c r="F125" s="6"/>
      <c r="G125" s="6"/>
      <c r="K125" s="222"/>
      <c r="V125" s="1430"/>
      <c r="AA125" s="223"/>
      <c r="AC125" s="889"/>
      <c r="AF125" s="890"/>
      <c r="AJ125" s="889"/>
      <c r="AN125" s="222"/>
      <c r="BC125" s="223"/>
      <c r="BD125" s="222"/>
      <c r="BH125" s="611"/>
      <c r="BJ125" s="15"/>
      <c r="BK125" s="15"/>
      <c r="BO125" s="223"/>
      <c r="BQ125" s="889"/>
      <c r="BT125" s="890"/>
      <c r="BX125" s="889"/>
      <c r="CB125" s="15"/>
      <c r="CC125" s="697"/>
      <c r="CD125" s="1086"/>
      <c r="CE125" s="15"/>
      <c r="CF125" s="15"/>
      <c r="CG125" s="936"/>
      <c r="CH125" s="15"/>
      <c r="CI125" s="15"/>
      <c r="CJ125" s="15"/>
      <c r="CK125" s="1107"/>
      <c r="CL125" s="22"/>
      <c r="CM125" s="22"/>
      <c r="CN125" s="1107"/>
      <c r="CR125" s="223"/>
      <c r="CS125" s="952"/>
      <c r="CT125" s="1066"/>
      <c r="CU125" s="972"/>
      <c r="CV125" s="983"/>
      <c r="CW125" s="222"/>
      <c r="CX125" s="697"/>
      <c r="DC125" s="222"/>
      <c r="DJ125" s="889"/>
      <c r="DM125" s="890"/>
      <c r="DN125" s="952"/>
      <c r="DO125" s="75"/>
      <c r="DP125" s="962"/>
      <c r="DQ125" s="983"/>
      <c r="DV125" s="889"/>
    </row>
    <row r="126" spans="1:129" s="74" customFormat="1">
      <c r="A126" s="15"/>
      <c r="B126" s="15"/>
      <c r="C126" s="15"/>
      <c r="D126" s="15"/>
      <c r="E126" s="6"/>
      <c r="F126" s="6"/>
      <c r="G126" s="6"/>
      <c r="K126" s="222"/>
      <c r="V126" s="1430"/>
      <c r="AA126" s="223"/>
      <c r="AC126" s="889"/>
      <c r="AF126" s="890"/>
      <c r="AJ126" s="889"/>
      <c r="AN126" s="222"/>
      <c r="BC126" s="223"/>
      <c r="BD126" s="222"/>
      <c r="BH126" s="611"/>
      <c r="BJ126" s="15"/>
      <c r="BK126" s="15"/>
      <c r="BO126" s="223"/>
      <c r="BQ126" s="889"/>
      <c r="BT126" s="890"/>
      <c r="BX126" s="889"/>
      <c r="CB126" s="15"/>
      <c r="CC126" s="697"/>
      <c r="CD126" s="1086"/>
      <c r="CE126" s="15"/>
      <c r="CF126" s="15"/>
      <c r="CG126" s="936"/>
      <c r="CH126" s="15"/>
      <c r="CI126" s="15"/>
      <c r="CJ126" s="15"/>
      <c r="CK126" s="1107"/>
      <c r="CL126" s="22"/>
      <c r="CM126" s="22"/>
      <c r="CN126" s="1107"/>
      <c r="CR126" s="223"/>
      <c r="CS126" s="952"/>
      <c r="CT126" s="1066"/>
      <c r="CU126" s="972"/>
      <c r="CV126" s="983"/>
      <c r="CW126" s="222"/>
      <c r="CX126" s="697"/>
      <c r="DC126" s="222"/>
      <c r="DJ126" s="889"/>
      <c r="DM126" s="890"/>
      <c r="DN126" s="952"/>
      <c r="DO126" s="75"/>
      <c r="DP126" s="962"/>
      <c r="DQ126" s="983"/>
      <c r="DV126" s="889"/>
    </row>
    <row r="127" spans="1:129" s="74" customFormat="1">
      <c r="A127" s="15"/>
      <c r="B127" s="15"/>
      <c r="C127" s="15"/>
      <c r="D127" s="15"/>
      <c r="E127" s="6"/>
      <c r="F127" s="6"/>
      <c r="G127" s="6"/>
      <c r="K127" s="222"/>
      <c r="V127" s="1430"/>
      <c r="AA127" s="223"/>
      <c r="AC127" s="889"/>
      <c r="AF127" s="890"/>
      <c r="AJ127" s="889"/>
      <c r="AN127" s="222"/>
      <c r="BC127" s="223"/>
      <c r="BD127" s="222"/>
      <c r="BH127" s="611"/>
      <c r="BJ127" s="15"/>
      <c r="BK127" s="15"/>
      <c r="BO127" s="223"/>
      <c r="BQ127" s="889"/>
      <c r="BT127" s="890"/>
      <c r="BX127" s="889"/>
      <c r="CB127" s="15"/>
      <c r="CC127" s="697"/>
      <c r="CD127" s="1086"/>
      <c r="CE127" s="15"/>
      <c r="CF127" s="15"/>
      <c r="CG127" s="936"/>
      <c r="CH127" s="15"/>
      <c r="CI127" s="15"/>
      <c r="CJ127" s="15"/>
      <c r="CK127" s="1107"/>
      <c r="CL127" s="22"/>
      <c r="CM127" s="22"/>
      <c r="CN127" s="1107"/>
      <c r="CR127" s="223"/>
      <c r="CS127" s="952"/>
      <c r="CT127" s="1066"/>
      <c r="CU127" s="972"/>
      <c r="CV127" s="983"/>
      <c r="CW127" s="222"/>
      <c r="CX127" s="697"/>
      <c r="DC127" s="222"/>
      <c r="DJ127" s="889"/>
      <c r="DM127" s="890"/>
      <c r="DN127" s="952"/>
      <c r="DO127" s="75"/>
      <c r="DP127" s="962"/>
      <c r="DQ127" s="983"/>
      <c r="DV127" s="889"/>
    </row>
    <row r="128" spans="1:129" s="74" customFormat="1">
      <c r="A128" s="15"/>
      <c r="B128" s="15"/>
      <c r="C128" s="15"/>
      <c r="D128" s="15"/>
      <c r="E128" s="6"/>
      <c r="F128" s="6"/>
      <c r="G128" s="6"/>
      <c r="K128" s="222"/>
      <c r="V128" s="1430"/>
      <c r="AA128" s="223"/>
      <c r="AC128" s="889"/>
      <c r="AF128" s="890"/>
      <c r="AJ128" s="889"/>
      <c r="AN128" s="222"/>
      <c r="BC128" s="223"/>
      <c r="BD128" s="222"/>
      <c r="BH128" s="611"/>
      <c r="BJ128" s="15"/>
      <c r="BK128" s="15"/>
      <c r="BO128" s="223"/>
      <c r="BQ128" s="889"/>
      <c r="BT128" s="890"/>
      <c r="BX128" s="889"/>
      <c r="CB128" s="15"/>
      <c r="CC128" s="697"/>
      <c r="CD128" s="1086"/>
      <c r="CE128" s="15"/>
      <c r="CF128" s="15"/>
      <c r="CG128" s="936"/>
      <c r="CH128" s="15"/>
      <c r="CI128" s="15"/>
      <c r="CJ128" s="15"/>
      <c r="CK128" s="1107"/>
      <c r="CL128" s="22"/>
      <c r="CM128" s="22"/>
      <c r="CN128" s="1107"/>
      <c r="CR128" s="223"/>
      <c r="CS128" s="952"/>
      <c r="CT128" s="1066"/>
      <c r="CU128" s="972"/>
      <c r="CV128" s="983"/>
      <c r="CW128" s="222"/>
      <c r="CX128" s="697"/>
      <c r="DC128" s="222"/>
      <c r="DJ128" s="889"/>
      <c r="DM128" s="890"/>
      <c r="DN128" s="952"/>
      <c r="DO128" s="75"/>
      <c r="DP128" s="962"/>
      <c r="DQ128" s="983"/>
      <c r="DV128" s="889"/>
    </row>
    <row r="129" spans="1:126" s="74" customFormat="1">
      <c r="A129" s="15"/>
      <c r="B129" s="15"/>
      <c r="C129" s="15"/>
      <c r="D129" s="15"/>
      <c r="E129" s="6"/>
      <c r="F129" s="6"/>
      <c r="G129" s="6"/>
      <c r="K129" s="222"/>
      <c r="V129" s="1430"/>
      <c r="AA129" s="223"/>
      <c r="AC129" s="889"/>
      <c r="AF129" s="890"/>
      <c r="AJ129" s="889"/>
      <c r="AN129" s="222"/>
      <c r="BC129" s="223"/>
      <c r="BD129" s="222"/>
      <c r="BH129" s="611"/>
      <c r="BJ129" s="15"/>
      <c r="BK129" s="15"/>
      <c r="BO129" s="223"/>
      <c r="BQ129" s="889"/>
      <c r="BT129" s="890"/>
      <c r="BX129" s="889"/>
      <c r="CB129" s="15"/>
      <c r="CC129" s="697"/>
      <c r="CD129" s="1086"/>
      <c r="CE129" s="15"/>
      <c r="CF129" s="15"/>
      <c r="CG129" s="936"/>
      <c r="CH129" s="15"/>
      <c r="CI129" s="15"/>
      <c r="CJ129" s="15"/>
      <c r="CK129" s="1107"/>
      <c r="CL129" s="22"/>
      <c r="CM129" s="22"/>
      <c r="CN129" s="1107"/>
      <c r="CR129" s="223"/>
      <c r="CS129" s="952"/>
      <c r="CT129" s="1066"/>
      <c r="CU129" s="972"/>
      <c r="CV129" s="983"/>
      <c r="CW129" s="222"/>
      <c r="CX129" s="697"/>
      <c r="DC129" s="222"/>
      <c r="DJ129" s="889"/>
      <c r="DM129" s="890"/>
      <c r="DN129" s="952"/>
      <c r="DO129" s="75"/>
      <c r="DP129" s="962"/>
      <c r="DQ129" s="983"/>
      <c r="DV129" s="889"/>
    </row>
    <row r="130" spans="1:126" s="74" customFormat="1">
      <c r="A130" s="15"/>
      <c r="B130" s="15"/>
      <c r="C130" s="15"/>
      <c r="D130" s="15"/>
      <c r="E130" s="6"/>
      <c r="F130" s="6"/>
      <c r="G130" s="6"/>
      <c r="K130" s="222"/>
      <c r="V130" s="1430"/>
      <c r="AA130" s="223"/>
      <c r="AC130" s="889"/>
      <c r="AF130" s="890"/>
      <c r="AJ130" s="889"/>
      <c r="AN130" s="222"/>
      <c r="BC130" s="223"/>
      <c r="BD130" s="222"/>
      <c r="BH130" s="611"/>
      <c r="BJ130" s="15"/>
      <c r="BK130" s="15"/>
      <c r="BO130" s="223"/>
      <c r="BQ130" s="889"/>
      <c r="BT130" s="890"/>
      <c r="BX130" s="889"/>
      <c r="CB130" s="15"/>
      <c r="CC130" s="697"/>
      <c r="CD130" s="1086"/>
      <c r="CE130" s="15"/>
      <c r="CF130" s="15"/>
      <c r="CG130" s="936"/>
      <c r="CH130" s="15"/>
      <c r="CI130" s="15"/>
      <c r="CJ130" s="15"/>
      <c r="CK130" s="1107"/>
      <c r="CL130" s="22"/>
      <c r="CM130" s="22"/>
      <c r="CN130" s="1107"/>
      <c r="CR130" s="223"/>
      <c r="CS130" s="952"/>
      <c r="CT130" s="1066"/>
      <c r="CU130" s="972"/>
      <c r="CV130" s="983"/>
      <c r="CW130" s="222"/>
      <c r="CX130" s="697"/>
      <c r="DC130" s="222"/>
      <c r="DJ130" s="889"/>
      <c r="DM130" s="890"/>
      <c r="DN130" s="952"/>
      <c r="DO130" s="75"/>
      <c r="DP130" s="962"/>
      <c r="DQ130" s="983"/>
      <c r="DV130" s="889"/>
    </row>
    <row r="131" spans="1:126" s="74" customFormat="1">
      <c r="A131" s="15"/>
      <c r="B131" s="15"/>
      <c r="C131" s="15"/>
      <c r="D131" s="15"/>
      <c r="E131" s="6"/>
      <c r="F131" s="6"/>
      <c r="G131" s="6"/>
      <c r="K131" s="222"/>
      <c r="V131" s="1430"/>
      <c r="AA131" s="223"/>
      <c r="AC131" s="889"/>
      <c r="AF131" s="890"/>
      <c r="AJ131" s="889"/>
      <c r="AN131" s="222"/>
      <c r="BC131" s="223"/>
      <c r="BD131" s="222"/>
      <c r="BH131" s="611"/>
      <c r="BJ131" s="15"/>
      <c r="BK131" s="15"/>
      <c r="BO131" s="223"/>
      <c r="BQ131" s="889"/>
      <c r="BT131" s="890"/>
      <c r="BX131" s="889"/>
      <c r="CB131" s="15"/>
      <c r="CC131" s="697"/>
      <c r="CD131" s="1086"/>
      <c r="CE131" s="15"/>
      <c r="CF131" s="15"/>
      <c r="CG131" s="936"/>
      <c r="CH131" s="15"/>
      <c r="CI131" s="15"/>
      <c r="CJ131" s="15"/>
      <c r="CK131" s="1107"/>
      <c r="CL131" s="22"/>
      <c r="CM131" s="22"/>
      <c r="CN131" s="1107"/>
      <c r="CR131" s="223"/>
      <c r="CS131" s="952"/>
      <c r="CT131" s="1066"/>
      <c r="CU131" s="972"/>
      <c r="CV131" s="983"/>
      <c r="CW131" s="222"/>
      <c r="CX131" s="697"/>
      <c r="DC131" s="222"/>
      <c r="DJ131" s="889"/>
      <c r="DM131" s="890"/>
      <c r="DN131" s="952"/>
      <c r="DO131" s="75"/>
      <c r="DP131" s="962"/>
      <c r="DQ131" s="983"/>
      <c r="DV131" s="889"/>
    </row>
    <row r="132" spans="1:126" s="74" customFormat="1">
      <c r="A132" s="15"/>
      <c r="B132" s="15"/>
      <c r="C132" s="15"/>
      <c r="D132" s="15"/>
      <c r="E132" s="6"/>
      <c r="F132" s="6"/>
      <c r="G132" s="6"/>
      <c r="K132" s="222"/>
      <c r="V132" s="1430"/>
      <c r="AA132" s="223"/>
      <c r="AC132" s="889"/>
      <c r="AF132" s="890"/>
      <c r="AJ132" s="889"/>
      <c r="AN132" s="222"/>
      <c r="BC132" s="223"/>
      <c r="BD132" s="222"/>
      <c r="BH132" s="611"/>
      <c r="BJ132" s="15"/>
      <c r="BK132" s="15"/>
      <c r="BO132" s="223"/>
      <c r="BQ132" s="889"/>
      <c r="BT132" s="890"/>
      <c r="BX132" s="889"/>
      <c r="CB132" s="15"/>
      <c r="CC132" s="697"/>
      <c r="CD132" s="1086"/>
      <c r="CE132" s="15"/>
      <c r="CF132" s="15"/>
      <c r="CG132" s="936"/>
      <c r="CH132" s="15"/>
      <c r="CI132" s="15"/>
      <c r="CJ132" s="15"/>
      <c r="CK132" s="1107"/>
      <c r="CL132" s="22"/>
      <c r="CM132" s="22"/>
      <c r="CN132" s="1107"/>
      <c r="CR132" s="223"/>
      <c r="CS132" s="952"/>
      <c r="CT132" s="1066"/>
      <c r="CU132" s="972"/>
      <c r="CV132" s="983"/>
      <c r="CW132" s="222"/>
      <c r="CX132" s="697"/>
      <c r="DC132" s="222"/>
      <c r="DJ132" s="889"/>
      <c r="DM132" s="890"/>
      <c r="DN132" s="952"/>
      <c r="DO132" s="75"/>
      <c r="DP132" s="962"/>
      <c r="DQ132" s="983"/>
      <c r="DV132" s="889"/>
    </row>
    <row r="133" spans="1:126" s="74" customFormat="1">
      <c r="A133" s="15"/>
      <c r="B133" s="15"/>
      <c r="C133" s="15"/>
      <c r="D133" s="15"/>
      <c r="E133" s="6"/>
      <c r="F133" s="6"/>
      <c r="G133" s="6"/>
      <c r="K133" s="222"/>
      <c r="V133" s="1430"/>
      <c r="AA133" s="223"/>
      <c r="AC133" s="889"/>
      <c r="AF133" s="890"/>
      <c r="AJ133" s="889"/>
      <c r="AN133" s="222"/>
      <c r="BC133" s="223"/>
      <c r="BD133" s="222"/>
      <c r="BH133" s="611"/>
      <c r="BJ133" s="15"/>
      <c r="BK133" s="15"/>
      <c r="BO133" s="223"/>
      <c r="BQ133" s="889"/>
      <c r="BT133" s="890"/>
      <c r="BX133" s="889"/>
      <c r="CB133" s="15"/>
      <c r="CC133" s="697"/>
      <c r="CD133" s="1086"/>
      <c r="CE133" s="15"/>
      <c r="CF133" s="15"/>
      <c r="CG133" s="936"/>
      <c r="CH133" s="15"/>
      <c r="CI133" s="15"/>
      <c r="CJ133" s="15"/>
      <c r="CK133" s="1107"/>
      <c r="CL133" s="22"/>
      <c r="CM133" s="22"/>
      <c r="CN133" s="1107"/>
      <c r="CR133" s="223"/>
      <c r="CS133" s="952"/>
      <c r="CT133" s="1066"/>
      <c r="CU133" s="972"/>
      <c r="CV133" s="983"/>
      <c r="CW133" s="222"/>
      <c r="CX133" s="697"/>
      <c r="DC133" s="222"/>
      <c r="DJ133" s="889"/>
      <c r="DM133" s="890"/>
      <c r="DN133" s="952"/>
      <c r="DO133" s="75"/>
      <c r="DP133" s="962"/>
      <c r="DQ133" s="983"/>
      <c r="DV133" s="889"/>
    </row>
    <row r="134" spans="1:126" s="74" customFormat="1">
      <c r="A134" s="15"/>
      <c r="B134" s="15"/>
      <c r="C134" s="15"/>
      <c r="D134" s="15"/>
      <c r="E134" s="6"/>
      <c r="F134" s="6"/>
      <c r="G134" s="6"/>
      <c r="K134" s="222"/>
      <c r="V134" s="1430"/>
      <c r="AA134" s="223"/>
      <c r="AC134" s="889"/>
      <c r="AF134" s="890"/>
      <c r="AJ134" s="889"/>
      <c r="AN134" s="222"/>
      <c r="BC134" s="223"/>
      <c r="BD134" s="222"/>
      <c r="BH134" s="611"/>
      <c r="BJ134" s="15"/>
      <c r="BK134" s="15"/>
      <c r="BO134" s="223"/>
      <c r="BQ134" s="889"/>
      <c r="BT134" s="890"/>
      <c r="BX134" s="889"/>
      <c r="CB134" s="15"/>
      <c r="CC134" s="697"/>
      <c r="CD134" s="1086"/>
      <c r="CE134" s="15"/>
      <c r="CF134" s="15"/>
      <c r="CG134" s="936"/>
      <c r="CH134" s="15"/>
      <c r="CI134" s="15"/>
      <c r="CJ134" s="15"/>
      <c r="CK134" s="1107"/>
      <c r="CL134" s="22"/>
      <c r="CM134" s="22"/>
      <c r="CN134" s="1107"/>
      <c r="CR134" s="223"/>
      <c r="CS134" s="952"/>
      <c r="CT134" s="1066"/>
      <c r="CU134" s="972"/>
      <c r="CV134" s="983"/>
      <c r="CW134" s="222"/>
      <c r="CX134" s="697"/>
      <c r="DC134" s="222"/>
      <c r="DJ134" s="889"/>
      <c r="DM134" s="890"/>
      <c r="DN134" s="952"/>
      <c r="DO134" s="75"/>
      <c r="DP134" s="962"/>
      <c r="DQ134" s="983"/>
      <c r="DV134" s="889"/>
    </row>
    <row r="135" spans="1:126" s="74" customFormat="1">
      <c r="A135" s="15"/>
      <c r="B135" s="15"/>
      <c r="C135" s="15"/>
      <c r="D135" s="15"/>
      <c r="E135" s="6"/>
      <c r="F135" s="6"/>
      <c r="G135" s="6"/>
      <c r="K135" s="222"/>
      <c r="V135" s="1430"/>
      <c r="AA135" s="223"/>
      <c r="AC135" s="889"/>
      <c r="AF135" s="890"/>
      <c r="AJ135" s="889"/>
      <c r="AN135" s="222"/>
      <c r="BC135" s="223"/>
      <c r="BD135" s="222"/>
      <c r="BH135" s="611"/>
      <c r="BJ135" s="15"/>
      <c r="BK135" s="15"/>
      <c r="BO135" s="223"/>
      <c r="BQ135" s="889"/>
      <c r="BT135" s="890"/>
      <c r="BX135" s="889"/>
      <c r="CB135" s="15"/>
      <c r="CC135" s="697"/>
      <c r="CD135" s="1086"/>
      <c r="CE135" s="15"/>
      <c r="CF135" s="15"/>
      <c r="CG135" s="936"/>
      <c r="CH135" s="15"/>
      <c r="CI135" s="15"/>
      <c r="CJ135" s="15"/>
      <c r="CK135" s="1107"/>
      <c r="CL135" s="22"/>
      <c r="CM135" s="22"/>
      <c r="CN135" s="1107"/>
      <c r="CR135" s="223"/>
      <c r="CS135" s="952"/>
      <c r="CT135" s="1066"/>
      <c r="CU135" s="972"/>
      <c r="CV135" s="983"/>
      <c r="CW135" s="222"/>
      <c r="CX135" s="697"/>
      <c r="DC135" s="222"/>
      <c r="DJ135" s="889"/>
      <c r="DM135" s="890"/>
      <c r="DN135" s="952"/>
      <c r="DO135" s="75"/>
      <c r="DP135" s="962"/>
      <c r="DQ135" s="983"/>
      <c r="DV135" s="889"/>
    </row>
    <row r="136" spans="1:126" s="74" customFormat="1">
      <c r="A136" s="15"/>
      <c r="B136" s="15"/>
      <c r="C136" s="15"/>
      <c r="D136" s="15"/>
      <c r="E136" s="6"/>
      <c r="F136" s="6"/>
      <c r="G136" s="6"/>
      <c r="K136" s="222"/>
      <c r="V136" s="1430"/>
      <c r="AA136" s="223"/>
      <c r="AC136" s="889"/>
      <c r="AF136" s="890"/>
      <c r="AJ136" s="889"/>
      <c r="AN136" s="222"/>
      <c r="BC136" s="223"/>
      <c r="BD136" s="222"/>
      <c r="BH136" s="611"/>
      <c r="BJ136" s="15"/>
      <c r="BK136" s="15"/>
      <c r="BO136" s="223"/>
      <c r="BQ136" s="889"/>
      <c r="BT136" s="890"/>
      <c r="BX136" s="889"/>
      <c r="CB136" s="15"/>
      <c r="CC136" s="697"/>
      <c r="CD136" s="1086"/>
      <c r="CE136" s="15"/>
      <c r="CF136" s="15"/>
      <c r="CG136" s="936"/>
      <c r="CH136" s="15"/>
      <c r="CI136" s="15"/>
      <c r="CJ136" s="15"/>
      <c r="CK136" s="1107"/>
      <c r="CL136" s="22"/>
      <c r="CM136" s="22"/>
      <c r="CN136" s="1107"/>
      <c r="CR136" s="223"/>
      <c r="CS136" s="952"/>
      <c r="CT136" s="1066"/>
      <c r="CU136" s="972"/>
      <c r="CV136" s="983"/>
      <c r="CW136" s="222"/>
      <c r="CX136" s="697"/>
      <c r="DC136" s="222"/>
      <c r="DJ136" s="889"/>
      <c r="DM136" s="890"/>
      <c r="DN136" s="952"/>
      <c r="DO136" s="75"/>
      <c r="DP136" s="962"/>
      <c r="DQ136" s="983"/>
      <c r="DV136" s="889"/>
    </row>
    <row r="137" spans="1:126" s="74" customFormat="1">
      <c r="A137" s="15"/>
      <c r="B137" s="15"/>
      <c r="C137" s="15"/>
      <c r="D137" s="15"/>
      <c r="E137" s="6"/>
      <c r="F137" s="6"/>
      <c r="G137" s="6"/>
      <c r="K137" s="222"/>
      <c r="V137" s="1430"/>
      <c r="AA137" s="223"/>
      <c r="AC137" s="889"/>
      <c r="AF137" s="890"/>
      <c r="AJ137" s="889"/>
      <c r="AN137" s="222"/>
      <c r="BC137" s="223"/>
      <c r="BD137" s="222"/>
      <c r="BH137" s="611"/>
      <c r="BJ137" s="15"/>
      <c r="BK137" s="15"/>
      <c r="BO137" s="223"/>
      <c r="BQ137" s="889"/>
      <c r="BT137" s="890"/>
      <c r="BX137" s="889"/>
      <c r="CB137" s="15"/>
      <c r="CC137" s="697"/>
      <c r="CD137" s="1086"/>
      <c r="CE137" s="15"/>
      <c r="CF137" s="15"/>
      <c r="CG137" s="936"/>
      <c r="CH137" s="15"/>
      <c r="CI137" s="15"/>
      <c r="CJ137" s="15"/>
      <c r="CK137" s="1107"/>
      <c r="CL137" s="22"/>
      <c r="CM137" s="22"/>
      <c r="CN137" s="1107"/>
      <c r="CR137" s="223"/>
      <c r="CS137" s="952"/>
      <c r="CT137" s="1066"/>
      <c r="CU137" s="972"/>
      <c r="CV137" s="983"/>
      <c r="CW137" s="222"/>
      <c r="CX137" s="697"/>
      <c r="DC137" s="222"/>
      <c r="DJ137" s="889"/>
      <c r="DM137" s="890"/>
      <c r="DN137" s="952"/>
      <c r="DO137" s="75"/>
      <c r="DP137" s="962"/>
      <c r="DQ137" s="983"/>
      <c r="DV137" s="889"/>
    </row>
    <row r="138" spans="1:126" s="74" customFormat="1">
      <c r="A138" s="15"/>
      <c r="B138" s="15"/>
      <c r="C138" s="15"/>
      <c r="D138" s="15"/>
      <c r="E138" s="6"/>
      <c r="F138" s="6"/>
      <c r="G138" s="6"/>
      <c r="K138" s="222"/>
      <c r="V138" s="1430"/>
      <c r="AA138" s="223"/>
      <c r="AC138" s="889"/>
      <c r="AF138" s="890"/>
      <c r="AJ138" s="889"/>
      <c r="AN138" s="222"/>
      <c r="BC138" s="223"/>
      <c r="BD138" s="222"/>
      <c r="BH138" s="611"/>
      <c r="BJ138" s="15"/>
      <c r="BK138" s="15"/>
      <c r="BO138" s="223"/>
      <c r="BQ138" s="889"/>
      <c r="BT138" s="890"/>
      <c r="BX138" s="889"/>
      <c r="CB138" s="15"/>
      <c r="CC138" s="697"/>
      <c r="CD138" s="1086"/>
      <c r="CE138" s="15"/>
      <c r="CF138" s="15"/>
      <c r="CG138" s="936"/>
      <c r="CH138" s="15"/>
      <c r="CI138" s="15"/>
      <c r="CJ138" s="15"/>
      <c r="CK138" s="1107"/>
      <c r="CL138" s="22"/>
      <c r="CM138" s="22"/>
      <c r="CN138" s="1107"/>
      <c r="CR138" s="223"/>
      <c r="CS138" s="952"/>
      <c r="CT138" s="1066"/>
      <c r="CU138" s="972"/>
      <c r="CV138" s="983"/>
      <c r="CW138" s="222"/>
      <c r="CX138" s="697"/>
      <c r="DC138" s="222"/>
      <c r="DJ138" s="889"/>
      <c r="DM138" s="890"/>
      <c r="DN138" s="952"/>
      <c r="DO138" s="75"/>
      <c r="DP138" s="962"/>
      <c r="DQ138" s="983"/>
      <c r="DV138" s="889"/>
    </row>
    <row r="139" spans="1:126" s="74" customFormat="1">
      <c r="A139" s="15"/>
      <c r="B139" s="15"/>
      <c r="C139" s="15"/>
      <c r="D139" s="15"/>
      <c r="E139" s="6"/>
      <c r="F139" s="6"/>
      <c r="G139" s="6"/>
      <c r="K139" s="222"/>
      <c r="V139" s="1430"/>
      <c r="AA139" s="223"/>
      <c r="AC139" s="889"/>
      <c r="AF139" s="890"/>
      <c r="AJ139" s="889"/>
      <c r="AN139" s="222"/>
      <c r="BC139" s="223"/>
      <c r="BD139" s="222"/>
      <c r="BH139" s="611"/>
      <c r="BJ139" s="15"/>
      <c r="BK139" s="15"/>
      <c r="BO139" s="223"/>
      <c r="BQ139" s="889"/>
      <c r="BT139" s="890"/>
      <c r="BX139" s="889"/>
      <c r="CB139" s="15"/>
      <c r="CC139" s="697"/>
      <c r="CD139" s="1086"/>
      <c r="CE139" s="15"/>
      <c r="CF139" s="15"/>
      <c r="CG139" s="936"/>
      <c r="CH139" s="15"/>
      <c r="CI139" s="15"/>
      <c r="CJ139" s="15"/>
      <c r="CK139" s="1107"/>
      <c r="CL139" s="22"/>
      <c r="CM139" s="22"/>
      <c r="CN139" s="1107"/>
      <c r="CR139" s="223"/>
      <c r="CS139" s="952"/>
      <c r="CT139" s="1066"/>
      <c r="CU139" s="972"/>
      <c r="CV139" s="983"/>
      <c r="CW139" s="222"/>
      <c r="CX139" s="697"/>
      <c r="DC139" s="222"/>
      <c r="DJ139" s="889"/>
      <c r="DM139" s="890"/>
      <c r="DN139" s="952"/>
      <c r="DO139" s="75"/>
      <c r="DP139" s="962"/>
      <c r="DQ139" s="983"/>
      <c r="DV139" s="889"/>
    </row>
    <row r="140" spans="1:126" s="74" customFormat="1">
      <c r="A140" s="15"/>
      <c r="B140" s="15"/>
      <c r="C140" s="15"/>
      <c r="D140" s="15"/>
      <c r="E140" s="6"/>
      <c r="F140" s="6"/>
      <c r="G140" s="6"/>
      <c r="K140" s="222"/>
      <c r="V140" s="1430"/>
      <c r="AA140" s="223"/>
      <c r="AC140" s="889"/>
      <c r="AF140" s="890"/>
      <c r="AJ140" s="889"/>
      <c r="AN140" s="222"/>
      <c r="BC140" s="223"/>
      <c r="BD140" s="222"/>
      <c r="BH140" s="611"/>
      <c r="BJ140" s="15"/>
      <c r="BK140" s="15"/>
      <c r="BO140" s="223"/>
      <c r="BQ140" s="889"/>
      <c r="BT140" s="890"/>
      <c r="BX140" s="889"/>
      <c r="CB140" s="15"/>
      <c r="CC140" s="697"/>
      <c r="CD140" s="1086"/>
      <c r="CE140" s="15"/>
      <c r="CF140" s="15"/>
      <c r="CG140" s="936"/>
      <c r="CH140" s="15"/>
      <c r="CI140" s="15"/>
      <c r="CJ140" s="15"/>
      <c r="CK140" s="1107"/>
      <c r="CL140" s="22"/>
      <c r="CM140" s="22"/>
      <c r="CN140" s="1107"/>
      <c r="CR140" s="223"/>
      <c r="CS140" s="952"/>
      <c r="CT140" s="1066"/>
      <c r="CU140" s="972"/>
      <c r="CV140" s="983"/>
      <c r="CW140" s="222"/>
      <c r="CX140" s="697"/>
      <c r="DC140" s="222"/>
      <c r="DJ140" s="889"/>
      <c r="DM140" s="890"/>
      <c r="DN140" s="952"/>
      <c r="DO140" s="75"/>
      <c r="DP140" s="962"/>
      <c r="DQ140" s="983"/>
      <c r="DV140" s="889"/>
    </row>
    <row r="141" spans="1:126" s="74" customFormat="1">
      <c r="A141" s="15"/>
      <c r="B141" s="15"/>
      <c r="C141" s="15"/>
      <c r="D141" s="15"/>
      <c r="E141" s="6"/>
      <c r="F141" s="6"/>
      <c r="G141" s="6"/>
      <c r="K141" s="222"/>
      <c r="V141" s="1430"/>
      <c r="AA141" s="223"/>
      <c r="AC141" s="889"/>
      <c r="AF141" s="890"/>
      <c r="AJ141" s="889"/>
      <c r="AN141" s="222"/>
      <c r="BC141" s="223"/>
      <c r="BD141" s="222"/>
      <c r="BH141" s="611"/>
      <c r="BJ141" s="15"/>
      <c r="BK141" s="15"/>
      <c r="BO141" s="223"/>
      <c r="BQ141" s="889"/>
      <c r="BT141" s="890"/>
      <c r="BX141" s="889"/>
      <c r="CB141" s="15"/>
      <c r="CC141" s="697"/>
      <c r="CD141" s="1086"/>
      <c r="CE141" s="15"/>
      <c r="CF141" s="15"/>
      <c r="CG141" s="936"/>
      <c r="CH141" s="15"/>
      <c r="CI141" s="15"/>
      <c r="CJ141" s="15"/>
      <c r="CK141" s="1107"/>
      <c r="CL141" s="22"/>
      <c r="CM141" s="22"/>
      <c r="CN141" s="1107"/>
      <c r="CR141" s="223"/>
      <c r="CS141" s="952"/>
      <c r="CT141" s="1066"/>
      <c r="CU141" s="972"/>
      <c r="CV141" s="983"/>
      <c r="CW141" s="222"/>
      <c r="CX141" s="697"/>
      <c r="DC141" s="222"/>
      <c r="DJ141" s="889"/>
      <c r="DM141" s="890"/>
      <c r="DN141" s="952"/>
      <c r="DO141" s="75"/>
      <c r="DP141" s="962"/>
      <c r="DQ141" s="983"/>
      <c r="DV141" s="889"/>
    </row>
    <row r="142" spans="1:126" s="74" customFormat="1">
      <c r="A142" s="15"/>
      <c r="B142" s="15"/>
      <c r="C142" s="15"/>
      <c r="D142" s="15"/>
      <c r="E142" s="6"/>
      <c r="F142" s="6"/>
      <c r="G142" s="6"/>
      <c r="K142" s="222"/>
      <c r="V142" s="1430"/>
      <c r="AA142" s="223"/>
      <c r="AC142" s="889"/>
      <c r="AF142" s="890"/>
      <c r="AJ142" s="889"/>
      <c r="AN142" s="222"/>
      <c r="BC142" s="223"/>
      <c r="BD142" s="222"/>
      <c r="BH142" s="611"/>
      <c r="BJ142" s="15"/>
      <c r="BK142" s="15"/>
      <c r="BO142" s="223"/>
      <c r="BQ142" s="889"/>
      <c r="BT142" s="890"/>
      <c r="BX142" s="889"/>
      <c r="CB142" s="15"/>
      <c r="CC142" s="697"/>
      <c r="CD142" s="1086"/>
      <c r="CE142" s="15"/>
      <c r="CF142" s="15"/>
      <c r="CG142" s="936"/>
      <c r="CH142" s="15"/>
      <c r="CI142" s="15"/>
      <c r="CJ142" s="15"/>
      <c r="CK142" s="1107"/>
      <c r="CL142" s="22"/>
      <c r="CM142" s="22"/>
      <c r="CN142" s="1107"/>
      <c r="CR142" s="223"/>
      <c r="CS142" s="952"/>
      <c r="CT142" s="1066"/>
      <c r="CU142" s="972"/>
      <c r="CV142" s="983"/>
      <c r="CW142" s="222"/>
      <c r="CX142" s="697"/>
      <c r="DC142" s="222"/>
      <c r="DJ142" s="889"/>
      <c r="DM142" s="890"/>
      <c r="DN142" s="952"/>
      <c r="DO142" s="75"/>
      <c r="DP142" s="962"/>
      <c r="DQ142" s="983"/>
      <c r="DV142" s="889"/>
    </row>
    <row r="143" spans="1:126" s="74" customFormat="1">
      <c r="A143" s="15"/>
      <c r="B143" s="15"/>
      <c r="C143" s="15"/>
      <c r="D143" s="15"/>
      <c r="E143" s="6"/>
      <c r="F143" s="6"/>
      <c r="G143" s="6"/>
      <c r="K143" s="222"/>
      <c r="V143" s="1430"/>
      <c r="AA143" s="223"/>
      <c r="AC143" s="889"/>
      <c r="AF143" s="890"/>
      <c r="AJ143" s="889"/>
      <c r="AN143" s="222"/>
      <c r="BC143" s="223"/>
      <c r="BD143" s="222"/>
      <c r="BH143" s="611"/>
      <c r="BJ143" s="15"/>
      <c r="BK143" s="15"/>
      <c r="BO143" s="223"/>
      <c r="BQ143" s="889"/>
      <c r="BT143" s="890"/>
      <c r="BX143" s="889"/>
      <c r="CB143" s="15"/>
      <c r="CC143" s="697"/>
      <c r="CD143" s="1086"/>
      <c r="CE143" s="15"/>
      <c r="CF143" s="15"/>
      <c r="CG143" s="936"/>
      <c r="CH143" s="15"/>
      <c r="CI143" s="15"/>
      <c r="CJ143" s="15"/>
      <c r="CK143" s="1107"/>
      <c r="CL143" s="22"/>
      <c r="CM143" s="22"/>
      <c r="CN143" s="1107"/>
      <c r="CR143" s="223"/>
      <c r="CS143" s="952"/>
      <c r="CT143" s="1066"/>
      <c r="CU143" s="972"/>
      <c r="CV143" s="983"/>
      <c r="CW143" s="222"/>
      <c r="CX143" s="697"/>
      <c r="DC143" s="222"/>
      <c r="DJ143" s="889"/>
      <c r="DM143" s="890"/>
      <c r="DN143" s="952"/>
      <c r="DO143" s="75"/>
      <c r="DP143" s="962"/>
      <c r="DQ143" s="983"/>
      <c r="DV143" s="889"/>
    </row>
    <row r="144" spans="1:126" s="74" customFormat="1">
      <c r="A144" s="15"/>
      <c r="B144" s="15"/>
      <c r="C144" s="15"/>
      <c r="D144" s="15"/>
      <c r="E144" s="6"/>
      <c r="F144" s="6"/>
      <c r="G144" s="6"/>
      <c r="K144" s="222"/>
      <c r="V144" s="1430"/>
      <c r="AA144" s="223"/>
      <c r="AC144" s="889"/>
      <c r="AF144" s="890"/>
      <c r="AJ144" s="889"/>
      <c r="AN144" s="222"/>
      <c r="BC144" s="223"/>
      <c r="BD144" s="222"/>
      <c r="BH144" s="611"/>
      <c r="BJ144" s="15"/>
      <c r="BK144" s="15"/>
      <c r="BO144" s="223"/>
      <c r="BQ144" s="889"/>
      <c r="BT144" s="890"/>
      <c r="BX144" s="889"/>
      <c r="CB144" s="15"/>
      <c r="CC144" s="697"/>
      <c r="CD144" s="1086"/>
      <c r="CE144" s="15"/>
      <c r="CF144" s="15"/>
      <c r="CG144" s="936"/>
      <c r="CH144" s="15"/>
      <c r="CI144" s="15"/>
      <c r="CJ144" s="15"/>
      <c r="CK144" s="1107"/>
      <c r="CL144" s="22"/>
      <c r="CM144" s="22"/>
      <c r="CN144" s="1107"/>
      <c r="CR144" s="223"/>
      <c r="CS144" s="952"/>
      <c r="CT144" s="1066"/>
      <c r="CU144" s="972"/>
      <c r="CV144" s="983"/>
      <c r="CW144" s="222"/>
      <c r="CX144" s="697"/>
      <c r="DC144" s="222"/>
      <c r="DJ144" s="889"/>
      <c r="DM144" s="890"/>
      <c r="DN144" s="952"/>
      <c r="DO144" s="75"/>
      <c r="DP144" s="962"/>
      <c r="DQ144" s="983"/>
      <c r="DV144" s="889"/>
    </row>
    <row r="145" spans="1:126" s="74" customFormat="1">
      <c r="A145" s="15"/>
      <c r="B145" s="15"/>
      <c r="C145" s="15"/>
      <c r="D145" s="15"/>
      <c r="E145" s="6"/>
      <c r="F145" s="6"/>
      <c r="G145" s="6"/>
      <c r="K145" s="222"/>
      <c r="V145" s="1430"/>
      <c r="AA145" s="223"/>
      <c r="AC145" s="889"/>
      <c r="AF145" s="890"/>
      <c r="AJ145" s="889"/>
      <c r="AN145" s="222"/>
      <c r="BC145" s="223"/>
      <c r="BD145" s="222"/>
      <c r="BH145" s="611"/>
      <c r="BJ145" s="15"/>
      <c r="BK145" s="15"/>
      <c r="BO145" s="223"/>
      <c r="BQ145" s="889"/>
      <c r="BT145" s="890"/>
      <c r="BX145" s="889"/>
      <c r="CB145" s="15"/>
      <c r="CC145" s="697"/>
      <c r="CD145" s="1086"/>
      <c r="CE145" s="15"/>
      <c r="CF145" s="15"/>
      <c r="CG145" s="936"/>
      <c r="CH145" s="15"/>
      <c r="CI145" s="15"/>
      <c r="CJ145" s="15"/>
      <c r="CK145" s="1107"/>
      <c r="CL145" s="22"/>
      <c r="CM145" s="22"/>
      <c r="CN145" s="1107"/>
      <c r="CR145" s="223"/>
      <c r="CS145" s="952"/>
      <c r="CT145" s="1066"/>
      <c r="CU145" s="972"/>
      <c r="CV145" s="983"/>
      <c r="CW145" s="222"/>
      <c r="CX145" s="697"/>
      <c r="DC145" s="222"/>
      <c r="DJ145" s="889"/>
      <c r="DM145" s="890"/>
      <c r="DN145" s="952"/>
      <c r="DO145" s="75"/>
      <c r="DP145" s="962"/>
      <c r="DQ145" s="983"/>
      <c r="DV145" s="889"/>
    </row>
    <row r="146" spans="1:126" s="74" customFormat="1">
      <c r="A146" s="15"/>
      <c r="B146" s="15"/>
      <c r="C146" s="15"/>
      <c r="D146" s="15"/>
      <c r="E146" s="6"/>
      <c r="F146" s="6"/>
      <c r="G146" s="6"/>
      <c r="K146" s="222"/>
      <c r="V146" s="1430"/>
      <c r="AA146" s="223"/>
      <c r="AC146" s="889"/>
      <c r="AF146" s="890"/>
      <c r="AJ146" s="889"/>
      <c r="AN146" s="222"/>
      <c r="BC146" s="223"/>
      <c r="BD146" s="222"/>
      <c r="BH146" s="611"/>
      <c r="BJ146" s="15"/>
      <c r="BK146" s="15"/>
      <c r="BO146" s="223"/>
      <c r="BQ146" s="889"/>
      <c r="BT146" s="890"/>
      <c r="BX146" s="889"/>
      <c r="CB146" s="15"/>
      <c r="CC146" s="697"/>
      <c r="CD146" s="1086"/>
      <c r="CE146" s="15"/>
      <c r="CF146" s="15"/>
      <c r="CG146" s="936"/>
      <c r="CH146" s="15"/>
      <c r="CI146" s="15"/>
      <c r="CJ146" s="15"/>
      <c r="CK146" s="1107"/>
      <c r="CL146" s="22"/>
      <c r="CM146" s="22"/>
      <c r="CN146" s="1107"/>
      <c r="CR146" s="223"/>
      <c r="CS146" s="952"/>
      <c r="CT146" s="1066"/>
      <c r="CU146" s="972"/>
      <c r="CV146" s="983"/>
      <c r="CW146" s="222"/>
      <c r="CX146" s="697"/>
      <c r="DC146" s="222"/>
      <c r="DJ146" s="889"/>
      <c r="DM146" s="890"/>
      <c r="DN146" s="952"/>
      <c r="DO146" s="75"/>
      <c r="DP146" s="962"/>
      <c r="DQ146" s="983"/>
      <c r="DV146" s="889"/>
    </row>
    <row r="147" spans="1:126" s="74" customFormat="1">
      <c r="A147" s="15"/>
      <c r="B147" s="15"/>
      <c r="C147" s="15"/>
      <c r="D147" s="15"/>
      <c r="E147" s="6"/>
      <c r="F147" s="6"/>
      <c r="G147" s="6"/>
      <c r="K147" s="222"/>
      <c r="V147" s="1430"/>
      <c r="AA147" s="223"/>
      <c r="AC147" s="889"/>
      <c r="AF147" s="890"/>
      <c r="AJ147" s="889"/>
      <c r="AN147" s="222"/>
      <c r="BC147" s="223"/>
      <c r="BD147" s="222"/>
      <c r="BH147" s="611"/>
      <c r="BJ147" s="15"/>
      <c r="BK147" s="15"/>
      <c r="BO147" s="223"/>
      <c r="BQ147" s="889"/>
      <c r="BT147" s="890"/>
      <c r="BX147" s="889"/>
      <c r="CB147" s="15"/>
      <c r="CC147" s="697"/>
      <c r="CD147" s="1086"/>
      <c r="CE147" s="15"/>
      <c r="CF147" s="15"/>
      <c r="CG147" s="936"/>
      <c r="CH147" s="15"/>
      <c r="CI147" s="15"/>
      <c r="CJ147" s="15"/>
      <c r="CK147" s="1107"/>
      <c r="CL147" s="22"/>
      <c r="CM147" s="22"/>
      <c r="CN147" s="1107"/>
      <c r="CR147" s="223"/>
      <c r="CS147" s="952"/>
      <c r="CT147" s="1066"/>
      <c r="CU147" s="972"/>
      <c r="CV147" s="983"/>
      <c r="CW147" s="222"/>
      <c r="CX147" s="697"/>
      <c r="DC147" s="222"/>
      <c r="DJ147" s="889"/>
      <c r="DM147" s="890"/>
      <c r="DN147" s="952"/>
      <c r="DO147" s="75"/>
      <c r="DP147" s="962"/>
      <c r="DQ147" s="983"/>
      <c r="DV147" s="889"/>
    </row>
    <row r="148" spans="1:126" s="74" customFormat="1">
      <c r="A148" s="15"/>
      <c r="B148" s="15"/>
      <c r="C148" s="15"/>
      <c r="D148" s="15"/>
      <c r="E148" s="6"/>
      <c r="F148" s="6"/>
      <c r="G148" s="6"/>
      <c r="K148" s="222"/>
      <c r="V148" s="1430"/>
      <c r="AA148" s="223"/>
      <c r="AC148" s="889"/>
      <c r="AF148" s="890"/>
      <c r="AJ148" s="889"/>
      <c r="AN148" s="222"/>
      <c r="BC148" s="223"/>
      <c r="BD148" s="222"/>
      <c r="BH148" s="611"/>
      <c r="BJ148" s="15"/>
      <c r="BK148" s="15"/>
      <c r="BO148" s="223"/>
      <c r="BQ148" s="889"/>
      <c r="BT148" s="890"/>
      <c r="BX148" s="889"/>
      <c r="CB148" s="15"/>
      <c r="CC148" s="697"/>
      <c r="CD148" s="1086"/>
      <c r="CE148" s="15"/>
      <c r="CF148" s="15"/>
      <c r="CG148" s="936"/>
      <c r="CH148" s="15"/>
      <c r="CI148" s="15"/>
      <c r="CJ148" s="15"/>
      <c r="CK148" s="1107"/>
      <c r="CL148" s="22"/>
      <c r="CM148" s="22"/>
      <c r="CN148" s="1107"/>
      <c r="CR148" s="223"/>
      <c r="CS148" s="952"/>
      <c r="CT148" s="1066"/>
      <c r="CU148" s="972"/>
      <c r="CV148" s="983"/>
      <c r="CW148" s="222"/>
      <c r="CX148" s="697"/>
      <c r="DC148" s="222"/>
      <c r="DJ148" s="889"/>
      <c r="DM148" s="890"/>
      <c r="DN148" s="952"/>
      <c r="DO148" s="75"/>
      <c r="DP148" s="962"/>
      <c r="DQ148" s="983"/>
      <c r="DV148" s="889"/>
    </row>
    <row r="149" spans="1:126" s="74" customFormat="1">
      <c r="A149" s="15"/>
      <c r="B149" s="15"/>
      <c r="C149" s="15"/>
      <c r="D149" s="15"/>
      <c r="E149" s="6"/>
      <c r="F149" s="6"/>
      <c r="G149" s="6"/>
      <c r="K149" s="222"/>
      <c r="V149" s="1430"/>
      <c r="AA149" s="223"/>
      <c r="AC149" s="889"/>
      <c r="AF149" s="890"/>
      <c r="AJ149" s="889"/>
      <c r="AN149" s="222"/>
      <c r="BC149" s="223"/>
      <c r="BD149" s="222"/>
      <c r="BH149" s="611"/>
      <c r="BJ149" s="15"/>
      <c r="BK149" s="15"/>
      <c r="BO149" s="223"/>
      <c r="BQ149" s="889"/>
      <c r="BT149" s="890"/>
      <c r="BX149" s="889"/>
      <c r="CB149" s="15"/>
      <c r="CC149" s="697"/>
      <c r="CD149" s="1086"/>
      <c r="CE149" s="15"/>
      <c r="CF149" s="15"/>
      <c r="CG149" s="936"/>
      <c r="CH149" s="15"/>
      <c r="CI149" s="15"/>
      <c r="CJ149" s="15"/>
      <c r="CK149" s="1107"/>
      <c r="CL149" s="22"/>
      <c r="CM149" s="22"/>
      <c r="CN149" s="1107"/>
      <c r="CR149" s="223"/>
      <c r="CS149" s="952"/>
      <c r="CT149" s="1066"/>
      <c r="CU149" s="972"/>
      <c r="CV149" s="983"/>
      <c r="CW149" s="222"/>
      <c r="CX149" s="697"/>
      <c r="DC149" s="222"/>
      <c r="DJ149" s="889"/>
      <c r="DM149" s="890"/>
      <c r="DN149" s="952"/>
      <c r="DO149" s="75"/>
      <c r="DP149" s="962"/>
      <c r="DQ149" s="983"/>
      <c r="DV149" s="889"/>
    </row>
    <row r="150" spans="1:126" s="74" customFormat="1">
      <c r="A150" s="15"/>
      <c r="B150" s="15"/>
      <c r="C150" s="15"/>
      <c r="D150" s="15"/>
      <c r="E150" s="6"/>
      <c r="F150" s="6"/>
      <c r="G150" s="6"/>
      <c r="K150" s="222"/>
      <c r="V150" s="1430"/>
      <c r="AA150" s="223"/>
      <c r="AC150" s="889"/>
      <c r="AF150" s="890"/>
      <c r="AJ150" s="889"/>
      <c r="AN150" s="222"/>
      <c r="BC150" s="223"/>
      <c r="BD150" s="222"/>
      <c r="BH150" s="611"/>
      <c r="BJ150" s="15"/>
      <c r="BK150" s="15"/>
      <c r="BO150" s="223"/>
      <c r="BQ150" s="889"/>
      <c r="BT150" s="890"/>
      <c r="BX150" s="889"/>
      <c r="CB150" s="15"/>
      <c r="CC150" s="697"/>
      <c r="CD150" s="1086"/>
      <c r="CE150" s="15"/>
      <c r="CF150" s="15"/>
      <c r="CG150" s="936"/>
      <c r="CH150" s="15"/>
      <c r="CI150" s="15"/>
      <c r="CJ150" s="15"/>
      <c r="CK150" s="1107"/>
      <c r="CL150" s="22"/>
      <c r="CM150" s="22"/>
      <c r="CN150" s="1107"/>
      <c r="CR150" s="223"/>
      <c r="CS150" s="952"/>
      <c r="CT150" s="1066"/>
      <c r="CU150" s="972"/>
      <c r="CV150" s="983"/>
      <c r="CW150" s="222"/>
      <c r="CX150" s="697"/>
      <c r="DC150" s="222"/>
      <c r="DJ150" s="889"/>
      <c r="DM150" s="890"/>
      <c r="DN150" s="952"/>
      <c r="DO150" s="75"/>
      <c r="DP150" s="962"/>
      <c r="DQ150" s="983"/>
      <c r="DV150" s="889"/>
    </row>
    <row r="151" spans="1:126" s="74" customFormat="1">
      <c r="A151" s="15"/>
      <c r="B151" s="15"/>
      <c r="C151" s="15"/>
      <c r="D151" s="15"/>
      <c r="E151" s="6"/>
      <c r="F151" s="6"/>
      <c r="G151" s="6"/>
      <c r="K151" s="222"/>
      <c r="V151" s="1430"/>
      <c r="AA151" s="223"/>
      <c r="AC151" s="889"/>
      <c r="AF151" s="890"/>
      <c r="AJ151" s="889"/>
      <c r="AN151" s="222"/>
      <c r="BC151" s="223"/>
      <c r="BD151" s="222"/>
      <c r="BH151" s="611"/>
      <c r="BJ151" s="15"/>
      <c r="BK151" s="15"/>
      <c r="BO151" s="223"/>
      <c r="BQ151" s="889"/>
      <c r="BT151" s="890"/>
      <c r="BX151" s="889"/>
      <c r="CB151" s="15"/>
      <c r="CC151" s="697"/>
      <c r="CD151" s="1086"/>
      <c r="CE151" s="15"/>
      <c r="CF151" s="15"/>
      <c r="CG151" s="936"/>
      <c r="CH151" s="15"/>
      <c r="CI151" s="15"/>
      <c r="CJ151" s="15"/>
      <c r="CK151" s="1107"/>
      <c r="CL151" s="22"/>
      <c r="CM151" s="22"/>
      <c r="CN151" s="1107"/>
      <c r="CR151" s="223"/>
      <c r="CS151" s="952"/>
      <c r="CT151" s="1066"/>
      <c r="CU151" s="972"/>
      <c r="CV151" s="983"/>
      <c r="CW151" s="222"/>
      <c r="CX151" s="697"/>
      <c r="DC151" s="222"/>
      <c r="DJ151" s="889"/>
      <c r="DM151" s="890"/>
      <c r="DN151" s="952"/>
      <c r="DO151" s="75"/>
      <c r="DP151" s="962"/>
      <c r="DQ151" s="983"/>
      <c r="DV151" s="889"/>
    </row>
    <row r="152" spans="1:126" s="74" customFormat="1">
      <c r="A152" s="15"/>
      <c r="B152" s="15"/>
      <c r="C152" s="15"/>
      <c r="D152" s="15"/>
      <c r="E152" s="6"/>
      <c r="F152" s="6"/>
      <c r="G152" s="6"/>
      <c r="K152" s="222"/>
      <c r="V152" s="1430"/>
      <c r="AA152" s="223"/>
      <c r="AC152" s="889"/>
      <c r="AF152" s="890"/>
      <c r="AJ152" s="889"/>
      <c r="AN152" s="222"/>
      <c r="BC152" s="223"/>
      <c r="BD152" s="222"/>
      <c r="BH152" s="611"/>
      <c r="BJ152" s="15"/>
      <c r="BK152" s="15"/>
      <c r="BO152" s="223"/>
      <c r="BQ152" s="889"/>
      <c r="BT152" s="890"/>
      <c r="BX152" s="889"/>
      <c r="CB152" s="15"/>
      <c r="CC152" s="697"/>
      <c r="CD152" s="1086"/>
      <c r="CE152" s="15"/>
      <c r="CF152" s="15"/>
      <c r="CG152" s="936"/>
      <c r="CH152" s="15"/>
      <c r="CI152" s="15"/>
      <c r="CJ152" s="15"/>
      <c r="CK152" s="1107"/>
      <c r="CL152" s="22"/>
      <c r="CM152" s="22"/>
      <c r="CN152" s="1107"/>
      <c r="CR152" s="223"/>
      <c r="CS152" s="952"/>
      <c r="CT152" s="1066"/>
      <c r="CU152" s="972"/>
      <c r="CV152" s="983"/>
      <c r="CW152" s="222"/>
      <c r="CX152" s="697"/>
      <c r="DC152" s="222"/>
      <c r="DJ152" s="889"/>
      <c r="DM152" s="890"/>
      <c r="DN152" s="952"/>
      <c r="DO152" s="75"/>
      <c r="DP152" s="962"/>
      <c r="DQ152" s="983"/>
      <c r="DV152" s="889"/>
    </row>
    <row r="153" spans="1:126" s="74" customFormat="1">
      <c r="A153" s="15"/>
      <c r="B153" s="15"/>
      <c r="C153" s="15"/>
      <c r="D153" s="15"/>
      <c r="E153" s="6"/>
      <c r="F153" s="6"/>
      <c r="G153" s="6"/>
      <c r="K153" s="222"/>
      <c r="V153" s="1430"/>
      <c r="AA153" s="223"/>
      <c r="AC153" s="889"/>
      <c r="AF153" s="890"/>
      <c r="AJ153" s="889"/>
      <c r="AN153" s="222"/>
      <c r="BC153" s="223"/>
      <c r="BD153" s="222"/>
      <c r="BH153" s="611"/>
      <c r="BJ153" s="15"/>
      <c r="BK153" s="15"/>
      <c r="BO153" s="223"/>
      <c r="BQ153" s="889"/>
      <c r="BT153" s="890"/>
      <c r="BX153" s="889"/>
      <c r="CB153" s="15"/>
      <c r="CC153" s="697"/>
      <c r="CD153" s="1086"/>
      <c r="CE153" s="15"/>
      <c r="CF153" s="15"/>
      <c r="CG153" s="936"/>
      <c r="CH153" s="15"/>
      <c r="CI153" s="15"/>
      <c r="CJ153" s="15"/>
      <c r="CK153" s="1107"/>
      <c r="CL153" s="22"/>
      <c r="CM153" s="22"/>
      <c r="CN153" s="1107"/>
      <c r="CR153" s="223"/>
      <c r="CS153" s="952"/>
      <c r="CT153" s="1066"/>
      <c r="CU153" s="972"/>
      <c r="CV153" s="983"/>
      <c r="CW153" s="222"/>
      <c r="CX153" s="697"/>
      <c r="DC153" s="222"/>
      <c r="DJ153" s="889"/>
      <c r="DM153" s="890"/>
      <c r="DN153" s="952"/>
      <c r="DO153" s="75"/>
      <c r="DP153" s="962"/>
      <c r="DQ153" s="983"/>
      <c r="DV153" s="889"/>
    </row>
    <row r="154" spans="1:126" s="74" customFormat="1">
      <c r="A154" s="15"/>
      <c r="B154" s="15"/>
      <c r="C154" s="15"/>
      <c r="D154" s="15"/>
      <c r="E154" s="6"/>
      <c r="F154" s="6"/>
      <c r="G154" s="6"/>
      <c r="K154" s="222"/>
      <c r="V154" s="1430"/>
      <c r="AA154" s="223"/>
      <c r="AC154" s="889"/>
      <c r="AF154" s="890"/>
      <c r="AJ154" s="889"/>
      <c r="AN154" s="222"/>
      <c r="BC154" s="223"/>
      <c r="BD154" s="222"/>
      <c r="BH154" s="611"/>
      <c r="BJ154" s="15"/>
      <c r="BK154" s="15"/>
      <c r="BO154" s="223"/>
      <c r="BQ154" s="889"/>
      <c r="BT154" s="890"/>
      <c r="BX154" s="889"/>
      <c r="CB154" s="15"/>
      <c r="CC154" s="697"/>
      <c r="CD154" s="1086"/>
      <c r="CE154" s="15"/>
      <c r="CF154" s="15"/>
      <c r="CG154" s="936"/>
      <c r="CH154" s="15"/>
      <c r="CI154" s="15"/>
      <c r="CJ154" s="15"/>
      <c r="CK154" s="1107"/>
      <c r="CL154" s="22"/>
      <c r="CM154" s="22"/>
      <c r="CN154" s="1107"/>
      <c r="CR154" s="223"/>
      <c r="CS154" s="952"/>
      <c r="CT154" s="1066"/>
      <c r="CU154" s="972"/>
      <c r="CV154" s="983"/>
      <c r="CW154" s="222"/>
      <c r="CX154" s="697"/>
      <c r="DC154" s="222"/>
      <c r="DJ154" s="889"/>
      <c r="DM154" s="890"/>
      <c r="DN154" s="952"/>
      <c r="DO154" s="75"/>
      <c r="DP154" s="962"/>
      <c r="DQ154" s="983"/>
      <c r="DV154" s="889"/>
    </row>
    <row r="155" spans="1:126" s="74" customFormat="1">
      <c r="A155" s="15"/>
      <c r="B155" s="15"/>
      <c r="C155" s="15"/>
      <c r="D155" s="15"/>
      <c r="E155" s="6"/>
      <c r="F155" s="6"/>
      <c r="G155" s="6"/>
      <c r="K155" s="222"/>
      <c r="V155" s="1430"/>
      <c r="AA155" s="223"/>
      <c r="AC155" s="889"/>
      <c r="AF155" s="890"/>
      <c r="AJ155" s="889"/>
      <c r="AN155" s="222"/>
      <c r="BC155" s="223"/>
      <c r="BD155" s="222"/>
      <c r="BH155" s="611"/>
      <c r="BJ155" s="15"/>
      <c r="BK155" s="15"/>
      <c r="BO155" s="223"/>
      <c r="BQ155" s="889"/>
      <c r="BT155" s="890"/>
      <c r="BX155" s="889"/>
      <c r="CB155" s="15"/>
      <c r="CC155" s="697"/>
      <c r="CD155" s="1086"/>
      <c r="CE155" s="15"/>
      <c r="CF155" s="15"/>
      <c r="CG155" s="936"/>
      <c r="CH155" s="15"/>
      <c r="CI155" s="15"/>
      <c r="CJ155" s="15"/>
      <c r="CK155" s="1107"/>
      <c r="CL155" s="22"/>
      <c r="CM155" s="22"/>
      <c r="CN155" s="1107"/>
      <c r="CR155" s="223"/>
      <c r="CS155" s="952"/>
      <c r="CT155" s="1066"/>
      <c r="CU155" s="972"/>
      <c r="CV155" s="983"/>
      <c r="CW155" s="222"/>
      <c r="CX155" s="697"/>
      <c r="DC155" s="222"/>
      <c r="DJ155" s="889"/>
      <c r="DM155" s="890"/>
      <c r="DN155" s="952"/>
      <c r="DO155" s="75"/>
      <c r="DP155" s="962"/>
      <c r="DQ155" s="983"/>
      <c r="DV155" s="889"/>
    </row>
    <row r="156" spans="1:126" s="74" customFormat="1">
      <c r="A156" s="15"/>
      <c r="B156" s="15"/>
      <c r="C156" s="15"/>
      <c r="D156" s="15"/>
      <c r="E156" s="6"/>
      <c r="F156" s="6"/>
      <c r="G156" s="6"/>
      <c r="K156" s="222"/>
      <c r="V156" s="1430"/>
      <c r="AA156" s="223"/>
      <c r="AC156" s="889"/>
      <c r="AF156" s="890"/>
      <c r="AJ156" s="889"/>
      <c r="AN156" s="222"/>
      <c r="BC156" s="223"/>
      <c r="BD156" s="222"/>
      <c r="BH156" s="611"/>
      <c r="BJ156" s="15"/>
      <c r="BK156" s="15"/>
      <c r="BO156" s="223"/>
      <c r="BQ156" s="889"/>
      <c r="BT156" s="890"/>
      <c r="BX156" s="889"/>
      <c r="CB156" s="15"/>
      <c r="CC156" s="697"/>
      <c r="CD156" s="1086"/>
      <c r="CE156" s="15"/>
      <c r="CF156" s="15"/>
      <c r="CG156" s="936"/>
      <c r="CH156" s="15"/>
      <c r="CI156" s="15"/>
      <c r="CJ156" s="15"/>
      <c r="CK156" s="1107"/>
      <c r="CL156" s="22"/>
      <c r="CM156" s="22"/>
      <c r="CN156" s="1107"/>
      <c r="CR156" s="223"/>
      <c r="CS156" s="952"/>
      <c r="CT156" s="1066"/>
      <c r="CU156" s="972"/>
      <c r="CV156" s="983"/>
      <c r="CW156" s="222"/>
      <c r="CX156" s="697"/>
      <c r="DC156" s="222"/>
      <c r="DJ156" s="889"/>
      <c r="DM156" s="890"/>
      <c r="DN156" s="952"/>
      <c r="DO156" s="75"/>
      <c r="DP156" s="962"/>
      <c r="DQ156" s="983"/>
      <c r="DV156" s="889"/>
    </row>
    <row r="157" spans="1:126" s="74" customFormat="1">
      <c r="A157" s="15"/>
      <c r="B157" s="15"/>
      <c r="C157" s="15"/>
      <c r="D157" s="15"/>
      <c r="E157" s="6"/>
      <c r="F157" s="6"/>
      <c r="G157" s="6"/>
      <c r="K157" s="222"/>
      <c r="V157" s="1430"/>
      <c r="AA157" s="223"/>
      <c r="AC157" s="889"/>
      <c r="AF157" s="890"/>
      <c r="AJ157" s="889"/>
      <c r="AN157" s="222"/>
      <c r="BC157" s="223"/>
      <c r="BD157" s="222"/>
      <c r="BH157" s="611"/>
      <c r="BJ157" s="15"/>
      <c r="BK157" s="15"/>
      <c r="BO157" s="223"/>
      <c r="BQ157" s="889"/>
      <c r="BT157" s="890"/>
      <c r="BX157" s="889"/>
      <c r="CB157" s="15"/>
      <c r="CC157" s="697"/>
      <c r="CD157" s="1086"/>
      <c r="CE157" s="15"/>
      <c r="CF157" s="15"/>
      <c r="CG157" s="936"/>
      <c r="CH157" s="15"/>
      <c r="CI157" s="15"/>
      <c r="CJ157" s="15"/>
      <c r="CK157" s="1107"/>
      <c r="CL157" s="22"/>
      <c r="CM157" s="22"/>
      <c r="CN157" s="1107"/>
      <c r="CR157" s="223"/>
      <c r="CS157" s="952"/>
      <c r="CT157" s="1066"/>
      <c r="CU157" s="972"/>
      <c r="CV157" s="983"/>
      <c r="CW157" s="222"/>
      <c r="CX157" s="697"/>
      <c r="DC157" s="222"/>
      <c r="DJ157" s="889"/>
      <c r="DM157" s="890"/>
      <c r="DN157" s="952"/>
      <c r="DO157" s="75"/>
      <c r="DP157" s="962"/>
      <c r="DQ157" s="983"/>
      <c r="DV157" s="889"/>
    </row>
    <row r="158" spans="1:126" s="74" customFormat="1">
      <c r="A158" s="15"/>
      <c r="B158" s="15"/>
      <c r="C158" s="15"/>
      <c r="D158" s="15"/>
      <c r="E158" s="6"/>
      <c r="F158" s="6"/>
      <c r="G158" s="6"/>
      <c r="K158" s="222"/>
      <c r="V158" s="1430"/>
      <c r="AA158" s="223"/>
      <c r="AC158" s="889"/>
      <c r="AF158" s="890"/>
      <c r="AJ158" s="889"/>
      <c r="AN158" s="222"/>
      <c r="BC158" s="223"/>
      <c r="BD158" s="222"/>
      <c r="BH158" s="611"/>
      <c r="BJ158" s="15"/>
      <c r="BK158" s="15"/>
      <c r="BO158" s="223"/>
      <c r="BQ158" s="889"/>
      <c r="BT158" s="890"/>
      <c r="BX158" s="889"/>
      <c r="CB158" s="15"/>
      <c r="CC158" s="697"/>
      <c r="CD158" s="1086"/>
      <c r="CE158" s="15"/>
      <c r="CF158" s="15"/>
      <c r="CG158" s="936"/>
      <c r="CH158" s="15"/>
      <c r="CI158" s="15"/>
      <c r="CJ158" s="15"/>
      <c r="CK158" s="1107"/>
      <c r="CL158" s="22"/>
      <c r="CM158" s="22"/>
      <c r="CN158" s="1107"/>
      <c r="CR158" s="223"/>
      <c r="CS158" s="952"/>
      <c r="CT158" s="1066"/>
      <c r="CU158" s="972"/>
      <c r="CV158" s="983"/>
      <c r="CW158" s="222"/>
      <c r="CX158" s="697"/>
      <c r="DC158" s="222"/>
      <c r="DJ158" s="889"/>
      <c r="DM158" s="890"/>
      <c r="DN158" s="952"/>
      <c r="DO158" s="75"/>
      <c r="DP158" s="962"/>
      <c r="DQ158" s="983"/>
      <c r="DV158" s="889"/>
    </row>
    <row r="159" spans="1:126" s="74" customFormat="1">
      <c r="A159" s="15"/>
      <c r="B159" s="15"/>
      <c r="C159" s="15"/>
      <c r="D159" s="15"/>
      <c r="E159" s="6"/>
      <c r="F159" s="6"/>
      <c r="G159" s="6"/>
      <c r="K159" s="222"/>
      <c r="V159" s="1430"/>
      <c r="AA159" s="223"/>
      <c r="AC159" s="889"/>
      <c r="AF159" s="890"/>
      <c r="AJ159" s="889"/>
      <c r="AN159" s="222"/>
      <c r="BC159" s="223"/>
      <c r="BD159" s="222"/>
      <c r="BH159" s="611"/>
      <c r="BJ159" s="15"/>
      <c r="BK159" s="15"/>
      <c r="BO159" s="223"/>
      <c r="BQ159" s="889"/>
      <c r="BT159" s="890"/>
      <c r="BX159" s="889"/>
      <c r="CB159" s="15"/>
      <c r="CC159" s="697"/>
      <c r="CD159" s="1086"/>
      <c r="CE159" s="15"/>
      <c r="CF159" s="15"/>
      <c r="CG159" s="936"/>
      <c r="CH159" s="15"/>
      <c r="CI159" s="15"/>
      <c r="CJ159" s="15"/>
      <c r="CK159" s="1107"/>
      <c r="CL159" s="22"/>
      <c r="CM159" s="22"/>
      <c r="CN159" s="1107"/>
      <c r="CR159" s="223"/>
      <c r="CS159" s="952"/>
      <c r="CT159" s="1066"/>
      <c r="CU159" s="972"/>
      <c r="CV159" s="983"/>
      <c r="CW159" s="222"/>
      <c r="CX159" s="697"/>
      <c r="DC159" s="222"/>
      <c r="DJ159" s="889"/>
      <c r="DM159" s="890"/>
      <c r="DN159" s="952"/>
      <c r="DO159" s="75"/>
      <c r="DP159" s="962"/>
      <c r="DQ159" s="983"/>
      <c r="DV159" s="889"/>
    </row>
    <row r="160" spans="1:126" s="74" customFormat="1">
      <c r="A160" s="15"/>
      <c r="B160" s="15"/>
      <c r="C160" s="15"/>
      <c r="D160" s="15"/>
      <c r="E160" s="6"/>
      <c r="F160" s="6"/>
      <c r="G160" s="6"/>
      <c r="K160" s="222"/>
      <c r="V160" s="1430"/>
      <c r="AA160" s="223"/>
      <c r="AC160" s="889"/>
      <c r="AF160" s="890"/>
      <c r="AJ160" s="889"/>
      <c r="AN160" s="222"/>
      <c r="BC160" s="223"/>
      <c r="BD160" s="222"/>
      <c r="BH160" s="611"/>
      <c r="BJ160" s="15"/>
      <c r="BK160" s="15"/>
      <c r="BO160" s="223"/>
      <c r="BQ160" s="889"/>
      <c r="BT160" s="890"/>
      <c r="BX160" s="889"/>
      <c r="CB160" s="15"/>
      <c r="CC160" s="697"/>
      <c r="CD160" s="1086"/>
      <c r="CE160" s="15"/>
      <c r="CF160" s="15"/>
      <c r="CG160" s="936"/>
      <c r="CH160" s="15"/>
      <c r="CI160" s="15"/>
      <c r="CJ160" s="15"/>
      <c r="CK160" s="1107"/>
      <c r="CL160" s="22"/>
      <c r="CM160" s="22"/>
      <c r="CN160" s="1107"/>
      <c r="CR160" s="223"/>
      <c r="CS160" s="952"/>
      <c r="CT160" s="1066"/>
      <c r="CU160" s="972"/>
      <c r="CV160" s="983"/>
      <c r="CW160" s="222"/>
      <c r="CX160" s="697"/>
      <c r="DC160" s="222"/>
      <c r="DJ160" s="889"/>
      <c r="DM160" s="890"/>
      <c r="DN160" s="952"/>
      <c r="DO160" s="75"/>
      <c r="DP160" s="962"/>
      <c r="DQ160" s="983"/>
      <c r="DV160" s="889"/>
    </row>
    <row r="161" spans="1:126" s="74" customFormat="1">
      <c r="A161" s="15"/>
      <c r="B161" s="15"/>
      <c r="C161" s="15"/>
      <c r="D161" s="15"/>
      <c r="E161" s="6"/>
      <c r="F161" s="6"/>
      <c r="G161" s="6"/>
      <c r="K161" s="222"/>
      <c r="V161" s="1430"/>
      <c r="AA161" s="223"/>
      <c r="AC161" s="889"/>
      <c r="AF161" s="890"/>
      <c r="AJ161" s="889"/>
      <c r="AN161" s="222"/>
      <c r="BC161" s="223"/>
      <c r="BD161" s="222"/>
      <c r="BH161" s="611"/>
      <c r="BJ161" s="15"/>
      <c r="BK161" s="15"/>
      <c r="BO161" s="223"/>
      <c r="BQ161" s="889"/>
      <c r="BT161" s="890"/>
      <c r="BX161" s="889"/>
      <c r="CB161" s="15"/>
      <c r="CC161" s="697"/>
      <c r="CD161" s="1086"/>
      <c r="CE161" s="15"/>
      <c r="CF161" s="15"/>
      <c r="CG161" s="936"/>
      <c r="CH161" s="15"/>
      <c r="CI161" s="15"/>
      <c r="CJ161" s="15"/>
      <c r="CK161" s="1107"/>
      <c r="CL161" s="22"/>
      <c r="CM161" s="22"/>
      <c r="CN161" s="1107"/>
      <c r="CR161" s="223"/>
      <c r="CS161" s="952"/>
      <c r="CT161" s="1066"/>
      <c r="CU161" s="972"/>
      <c r="CV161" s="983"/>
      <c r="CW161" s="222"/>
      <c r="CX161" s="697"/>
      <c r="DC161" s="222"/>
      <c r="DJ161" s="889"/>
      <c r="DM161" s="890"/>
      <c r="DN161" s="952"/>
      <c r="DO161" s="75"/>
      <c r="DP161" s="962"/>
      <c r="DQ161" s="983"/>
      <c r="DV161" s="889"/>
    </row>
    <row r="162" spans="1:126" s="74" customFormat="1">
      <c r="A162" s="15"/>
      <c r="B162" s="15"/>
      <c r="C162" s="15"/>
      <c r="D162" s="15"/>
      <c r="E162" s="6"/>
      <c r="F162" s="6"/>
      <c r="G162" s="6"/>
      <c r="K162" s="222"/>
      <c r="V162" s="1430"/>
      <c r="AA162" s="223"/>
      <c r="AC162" s="889"/>
      <c r="AF162" s="890"/>
      <c r="AJ162" s="889"/>
      <c r="AN162" s="222"/>
      <c r="BC162" s="223"/>
      <c r="BD162" s="222"/>
      <c r="BH162" s="611"/>
      <c r="BJ162" s="15"/>
      <c r="BK162" s="15"/>
      <c r="BO162" s="223"/>
      <c r="BQ162" s="889"/>
      <c r="BT162" s="890"/>
      <c r="BX162" s="889"/>
      <c r="CB162" s="15"/>
      <c r="CC162" s="697"/>
      <c r="CD162" s="1086"/>
      <c r="CE162" s="15"/>
      <c r="CF162" s="15"/>
      <c r="CG162" s="936"/>
      <c r="CH162" s="15"/>
      <c r="CI162" s="15"/>
      <c r="CJ162" s="15"/>
      <c r="CK162" s="1107"/>
      <c r="CL162" s="22"/>
      <c r="CM162" s="22"/>
      <c r="CN162" s="1107"/>
      <c r="CR162" s="223"/>
      <c r="CS162" s="952"/>
      <c r="CT162" s="1066"/>
      <c r="CU162" s="972"/>
      <c r="CV162" s="983"/>
      <c r="CW162" s="222"/>
      <c r="CX162" s="697"/>
      <c r="DC162" s="222"/>
      <c r="DJ162" s="889"/>
      <c r="DM162" s="890"/>
      <c r="DN162" s="952"/>
      <c r="DO162" s="75"/>
      <c r="DP162" s="962"/>
      <c r="DQ162" s="983"/>
      <c r="DV162" s="889"/>
    </row>
    <row r="163" spans="1:126" s="74" customFormat="1">
      <c r="A163" s="15"/>
      <c r="B163" s="15"/>
      <c r="C163" s="15"/>
      <c r="D163" s="15"/>
      <c r="E163" s="6"/>
      <c r="F163" s="6"/>
      <c r="G163" s="6"/>
      <c r="K163" s="222"/>
      <c r="V163" s="1430"/>
      <c r="AA163" s="223"/>
      <c r="AC163" s="889"/>
      <c r="AF163" s="890"/>
      <c r="AJ163" s="889"/>
      <c r="AN163" s="222"/>
      <c r="BC163" s="223"/>
      <c r="BD163" s="222"/>
      <c r="BH163" s="611"/>
      <c r="BJ163" s="15"/>
      <c r="BK163" s="15"/>
      <c r="BO163" s="223"/>
      <c r="BQ163" s="889"/>
      <c r="BT163" s="890"/>
      <c r="BX163" s="889"/>
      <c r="CB163" s="15"/>
      <c r="CC163" s="697"/>
      <c r="CD163" s="1086"/>
      <c r="CE163" s="15"/>
      <c r="CF163" s="15"/>
      <c r="CG163" s="936"/>
      <c r="CH163" s="15"/>
      <c r="CI163" s="15"/>
      <c r="CJ163" s="15"/>
      <c r="CK163" s="1107"/>
      <c r="CL163" s="22"/>
      <c r="CM163" s="22"/>
      <c r="CN163" s="1107"/>
      <c r="CR163" s="223"/>
      <c r="CS163" s="952"/>
      <c r="CT163" s="1066"/>
      <c r="CU163" s="972"/>
      <c r="CV163" s="983"/>
      <c r="CW163" s="222"/>
      <c r="CX163" s="697"/>
      <c r="DC163" s="222"/>
      <c r="DJ163" s="889"/>
      <c r="DM163" s="890"/>
      <c r="DN163" s="952"/>
      <c r="DO163" s="75"/>
      <c r="DP163" s="962"/>
      <c r="DQ163" s="983"/>
      <c r="DV163" s="889"/>
    </row>
    <row r="164" spans="1:126" s="74" customFormat="1">
      <c r="A164" s="15"/>
      <c r="B164" s="15"/>
      <c r="C164" s="15"/>
      <c r="D164" s="15"/>
      <c r="E164" s="6"/>
      <c r="F164" s="6"/>
      <c r="G164" s="6"/>
      <c r="K164" s="222"/>
      <c r="V164" s="1430"/>
      <c r="AA164" s="223"/>
      <c r="AC164" s="889"/>
      <c r="AF164" s="890"/>
      <c r="AJ164" s="889"/>
      <c r="AN164" s="222"/>
      <c r="BC164" s="223"/>
      <c r="BD164" s="222"/>
      <c r="BH164" s="611"/>
      <c r="BJ164" s="15"/>
      <c r="BK164" s="15"/>
      <c r="BO164" s="223"/>
      <c r="BQ164" s="889"/>
      <c r="BT164" s="890"/>
      <c r="BX164" s="889"/>
      <c r="CB164" s="15"/>
      <c r="CC164" s="697"/>
      <c r="CD164" s="1086"/>
      <c r="CE164" s="15"/>
      <c r="CF164" s="15"/>
      <c r="CG164" s="936"/>
      <c r="CH164" s="15"/>
      <c r="CI164" s="15"/>
      <c r="CJ164" s="15"/>
      <c r="CK164" s="1107"/>
      <c r="CL164" s="22"/>
      <c r="CM164" s="22"/>
      <c r="CN164" s="1107"/>
      <c r="CR164" s="223"/>
      <c r="CS164" s="952"/>
      <c r="CT164" s="1066"/>
      <c r="CU164" s="972"/>
      <c r="CV164" s="983"/>
      <c r="CW164" s="222"/>
      <c r="CX164" s="697"/>
      <c r="DC164" s="222"/>
      <c r="DJ164" s="889"/>
      <c r="DM164" s="890"/>
      <c r="DN164" s="952"/>
      <c r="DO164" s="75"/>
      <c r="DP164" s="962"/>
      <c r="DQ164" s="983"/>
      <c r="DV164" s="889"/>
    </row>
    <row r="165" spans="1:126" s="74" customFormat="1">
      <c r="A165" s="15"/>
      <c r="B165" s="15"/>
      <c r="C165" s="15"/>
      <c r="D165" s="15"/>
      <c r="E165" s="6"/>
      <c r="F165" s="6"/>
      <c r="G165" s="6"/>
      <c r="K165" s="222"/>
      <c r="V165" s="1430"/>
      <c r="AA165" s="223"/>
      <c r="AC165" s="889"/>
      <c r="AF165" s="890"/>
      <c r="AJ165" s="889"/>
      <c r="AN165" s="222"/>
      <c r="BC165" s="223"/>
      <c r="BD165" s="222"/>
      <c r="BH165" s="611"/>
      <c r="BJ165" s="15"/>
      <c r="BK165" s="15"/>
      <c r="BO165" s="223"/>
      <c r="BQ165" s="889"/>
      <c r="BT165" s="890"/>
      <c r="BX165" s="889"/>
      <c r="CB165" s="15"/>
      <c r="CC165" s="697"/>
      <c r="CD165" s="1086"/>
      <c r="CE165" s="15"/>
      <c r="CF165" s="15"/>
      <c r="CG165" s="936"/>
      <c r="CH165" s="15"/>
      <c r="CI165" s="15"/>
      <c r="CJ165" s="15"/>
      <c r="CK165" s="1107"/>
      <c r="CL165" s="22"/>
      <c r="CM165" s="22"/>
      <c r="CN165" s="1107"/>
      <c r="CR165" s="223"/>
      <c r="CS165" s="952"/>
      <c r="CT165" s="1066"/>
      <c r="CU165" s="972"/>
      <c r="CV165" s="983"/>
      <c r="CW165" s="222"/>
      <c r="CX165" s="697"/>
      <c r="DC165" s="222"/>
      <c r="DJ165" s="889"/>
      <c r="DM165" s="890"/>
      <c r="DN165" s="952"/>
      <c r="DO165" s="75"/>
      <c r="DP165" s="962"/>
      <c r="DQ165" s="983"/>
      <c r="DV165" s="889"/>
    </row>
    <row r="166" spans="1:126" s="74" customFormat="1">
      <c r="A166" s="15"/>
      <c r="B166" s="15"/>
      <c r="C166" s="15"/>
      <c r="D166" s="15"/>
      <c r="E166" s="6"/>
      <c r="F166" s="6"/>
      <c r="G166" s="6"/>
      <c r="K166" s="222"/>
      <c r="V166" s="1430"/>
      <c r="AA166" s="223"/>
      <c r="AC166" s="889"/>
      <c r="AF166" s="890"/>
      <c r="AJ166" s="889"/>
      <c r="AN166" s="222"/>
      <c r="BC166" s="223"/>
      <c r="BD166" s="222"/>
      <c r="BH166" s="611"/>
      <c r="BJ166" s="15"/>
      <c r="BK166" s="15"/>
      <c r="BO166" s="223"/>
      <c r="BQ166" s="889"/>
      <c r="BT166" s="890"/>
      <c r="BX166" s="889"/>
      <c r="CB166" s="15"/>
      <c r="CC166" s="697"/>
      <c r="CD166" s="1086"/>
      <c r="CE166" s="15"/>
      <c r="CF166" s="15"/>
      <c r="CG166" s="936"/>
      <c r="CH166" s="15"/>
      <c r="CI166" s="15"/>
      <c r="CJ166" s="15"/>
      <c r="CK166" s="1107"/>
      <c r="CL166" s="22"/>
      <c r="CM166" s="22"/>
      <c r="CN166" s="1107"/>
      <c r="CR166" s="223"/>
      <c r="CS166" s="952"/>
      <c r="CT166" s="1066"/>
      <c r="CU166" s="972"/>
      <c r="CV166" s="983"/>
      <c r="CW166" s="222"/>
      <c r="CX166" s="697"/>
      <c r="DC166" s="222"/>
      <c r="DJ166" s="889"/>
      <c r="DM166" s="890"/>
      <c r="DN166" s="952"/>
      <c r="DO166" s="75"/>
      <c r="DP166" s="962"/>
      <c r="DQ166" s="983"/>
      <c r="DV166" s="889"/>
    </row>
    <row r="167" spans="1:126" s="74" customFormat="1">
      <c r="A167" s="15"/>
      <c r="B167" s="15"/>
      <c r="C167" s="15"/>
      <c r="D167" s="15"/>
      <c r="E167" s="6"/>
      <c r="F167" s="6"/>
      <c r="G167" s="6"/>
      <c r="K167" s="222"/>
      <c r="V167" s="1430"/>
      <c r="AA167" s="223"/>
      <c r="AC167" s="889"/>
      <c r="AF167" s="890"/>
      <c r="AJ167" s="889"/>
      <c r="AN167" s="222"/>
      <c r="BC167" s="223"/>
      <c r="BD167" s="222"/>
      <c r="BH167" s="611"/>
      <c r="BJ167" s="15"/>
      <c r="BK167" s="15"/>
      <c r="BO167" s="223"/>
      <c r="BQ167" s="889"/>
      <c r="BT167" s="890"/>
      <c r="BX167" s="889"/>
      <c r="CB167" s="15"/>
      <c r="CC167" s="697"/>
      <c r="CD167" s="1086"/>
      <c r="CE167" s="15"/>
      <c r="CF167" s="15"/>
      <c r="CG167" s="936"/>
      <c r="CH167" s="15"/>
      <c r="CI167" s="15"/>
      <c r="CJ167" s="15"/>
      <c r="CK167" s="1107"/>
      <c r="CL167" s="22"/>
      <c r="CM167" s="22"/>
      <c r="CN167" s="1107"/>
      <c r="CR167" s="223"/>
      <c r="CS167" s="952"/>
      <c r="CT167" s="1066"/>
      <c r="CU167" s="972"/>
      <c r="CV167" s="983"/>
      <c r="CW167" s="222"/>
      <c r="CX167" s="697"/>
      <c r="DC167" s="222"/>
      <c r="DJ167" s="889"/>
      <c r="DM167" s="890"/>
      <c r="DN167" s="952"/>
      <c r="DO167" s="75"/>
      <c r="DP167" s="962"/>
      <c r="DQ167" s="983"/>
      <c r="DV167" s="889"/>
    </row>
    <row r="168" spans="1:126" s="74" customFormat="1">
      <c r="A168" s="15"/>
      <c r="B168" s="15"/>
      <c r="C168" s="15"/>
      <c r="D168" s="15"/>
      <c r="E168" s="6"/>
      <c r="F168" s="6"/>
      <c r="G168" s="6"/>
      <c r="K168" s="222"/>
      <c r="V168" s="1430"/>
      <c r="AA168" s="223"/>
      <c r="AC168" s="889"/>
      <c r="AF168" s="890"/>
      <c r="AJ168" s="889"/>
      <c r="AN168" s="222"/>
      <c r="BC168" s="223"/>
      <c r="BD168" s="222"/>
      <c r="BH168" s="611"/>
      <c r="BJ168" s="15"/>
      <c r="BK168" s="15"/>
      <c r="BO168" s="223"/>
      <c r="BQ168" s="889"/>
      <c r="BT168" s="890"/>
      <c r="BX168" s="889"/>
      <c r="CB168" s="15"/>
      <c r="CC168" s="697"/>
      <c r="CD168" s="1086"/>
      <c r="CE168" s="15"/>
      <c r="CF168" s="15"/>
      <c r="CG168" s="936"/>
      <c r="CH168" s="15"/>
      <c r="CI168" s="15"/>
      <c r="CJ168" s="15"/>
      <c r="CK168" s="1107"/>
      <c r="CL168" s="22"/>
      <c r="CM168" s="22"/>
      <c r="CN168" s="1107"/>
      <c r="CR168" s="223"/>
      <c r="CS168" s="952"/>
      <c r="CT168" s="1066"/>
      <c r="CU168" s="972"/>
      <c r="CV168" s="983"/>
      <c r="CW168" s="222"/>
      <c r="CX168" s="697"/>
      <c r="DC168" s="222"/>
      <c r="DJ168" s="889"/>
      <c r="DM168" s="890"/>
      <c r="DN168" s="952"/>
      <c r="DO168" s="75"/>
      <c r="DP168" s="962"/>
      <c r="DQ168" s="983"/>
      <c r="DV168" s="889"/>
    </row>
    <row r="169" spans="1:126" s="74" customFormat="1">
      <c r="A169" s="15"/>
      <c r="B169" s="15"/>
      <c r="C169" s="15"/>
      <c r="D169" s="15"/>
      <c r="E169" s="6"/>
      <c r="F169" s="6"/>
      <c r="G169" s="6"/>
      <c r="K169" s="222"/>
      <c r="V169" s="1430"/>
      <c r="AA169" s="223"/>
      <c r="AC169" s="889"/>
      <c r="AF169" s="890"/>
      <c r="AJ169" s="889"/>
      <c r="AN169" s="222"/>
      <c r="BC169" s="223"/>
      <c r="BD169" s="222"/>
      <c r="BH169" s="611"/>
      <c r="BJ169" s="15"/>
      <c r="BK169" s="15"/>
      <c r="BO169" s="223"/>
      <c r="BQ169" s="889"/>
      <c r="BT169" s="890"/>
      <c r="BX169" s="889"/>
      <c r="CB169" s="15"/>
      <c r="CC169" s="697"/>
      <c r="CD169" s="1086"/>
      <c r="CE169" s="15"/>
      <c r="CF169" s="15"/>
      <c r="CG169" s="936"/>
      <c r="CH169" s="15"/>
      <c r="CI169" s="15"/>
      <c r="CJ169" s="15"/>
      <c r="CK169" s="1107"/>
      <c r="CL169" s="22"/>
      <c r="CM169" s="22"/>
      <c r="CN169" s="1107"/>
      <c r="CR169" s="223"/>
      <c r="CS169" s="952"/>
      <c r="CT169" s="1066"/>
      <c r="CU169" s="972"/>
      <c r="CV169" s="983"/>
      <c r="CW169" s="222"/>
      <c r="CX169" s="697"/>
      <c r="DC169" s="222"/>
      <c r="DJ169" s="889"/>
      <c r="DM169" s="890"/>
      <c r="DN169" s="952"/>
      <c r="DO169" s="75"/>
      <c r="DP169" s="962"/>
      <c r="DQ169" s="983"/>
      <c r="DV169" s="889"/>
    </row>
    <row r="170" spans="1:126" s="74" customFormat="1">
      <c r="A170" s="15"/>
      <c r="B170" s="15"/>
      <c r="C170" s="15"/>
      <c r="D170" s="15"/>
      <c r="E170" s="6"/>
      <c r="F170" s="6"/>
      <c r="G170" s="6"/>
      <c r="K170" s="222"/>
      <c r="V170" s="1430"/>
      <c r="AA170" s="223"/>
      <c r="AC170" s="889"/>
      <c r="AF170" s="890"/>
      <c r="AJ170" s="889"/>
      <c r="AN170" s="222"/>
      <c r="BC170" s="223"/>
      <c r="BD170" s="222"/>
      <c r="BH170" s="611"/>
      <c r="BJ170" s="15"/>
      <c r="BK170" s="15"/>
      <c r="BO170" s="223"/>
      <c r="BQ170" s="889"/>
      <c r="BT170" s="890"/>
      <c r="BX170" s="889"/>
      <c r="CB170" s="15"/>
      <c r="CC170" s="697"/>
      <c r="CD170" s="1086"/>
      <c r="CE170" s="15"/>
      <c r="CF170" s="15"/>
      <c r="CG170" s="936"/>
      <c r="CH170" s="15"/>
      <c r="CI170" s="15"/>
      <c r="CJ170" s="15"/>
      <c r="CK170" s="1107"/>
      <c r="CL170" s="22"/>
      <c r="CM170" s="22"/>
      <c r="CN170" s="1107"/>
      <c r="CR170" s="223"/>
      <c r="CS170" s="952"/>
      <c r="CT170" s="1066"/>
      <c r="CU170" s="972"/>
      <c r="CV170" s="983"/>
      <c r="CW170" s="222"/>
      <c r="CX170" s="697"/>
      <c r="DC170" s="222"/>
      <c r="DJ170" s="889"/>
      <c r="DM170" s="890"/>
      <c r="DN170" s="952"/>
      <c r="DO170" s="75"/>
      <c r="DP170" s="962"/>
      <c r="DQ170" s="983"/>
      <c r="DV170" s="889"/>
    </row>
    <row r="171" spans="1:126" s="74" customFormat="1">
      <c r="A171" s="15"/>
      <c r="B171" s="15"/>
      <c r="C171" s="15"/>
      <c r="D171" s="15"/>
      <c r="E171" s="6"/>
      <c r="F171" s="6"/>
      <c r="G171" s="6"/>
      <c r="K171" s="222"/>
      <c r="V171" s="1430"/>
      <c r="AA171" s="223"/>
      <c r="AC171" s="889"/>
      <c r="AF171" s="890"/>
      <c r="AJ171" s="889"/>
      <c r="AN171" s="222"/>
      <c r="BC171" s="223"/>
      <c r="BD171" s="222"/>
      <c r="BH171" s="611"/>
      <c r="BJ171" s="15"/>
      <c r="BK171" s="15"/>
      <c r="BO171" s="223"/>
      <c r="BQ171" s="889"/>
      <c r="BT171" s="890"/>
      <c r="BX171" s="889"/>
      <c r="CB171" s="15"/>
      <c r="CC171" s="697"/>
      <c r="CD171" s="1086"/>
      <c r="CE171" s="15"/>
      <c r="CF171" s="15"/>
      <c r="CG171" s="936"/>
      <c r="CH171" s="15"/>
      <c r="CI171" s="15"/>
      <c r="CJ171" s="15"/>
      <c r="CK171" s="1107"/>
      <c r="CL171" s="22"/>
      <c r="CM171" s="22"/>
      <c r="CN171" s="1107"/>
      <c r="CR171" s="223"/>
      <c r="CS171" s="952"/>
      <c r="CT171" s="1066"/>
      <c r="CU171" s="972"/>
      <c r="CV171" s="983"/>
      <c r="CW171" s="222"/>
      <c r="CX171" s="697"/>
      <c r="DC171" s="222"/>
      <c r="DJ171" s="889"/>
      <c r="DM171" s="890"/>
      <c r="DN171" s="952"/>
      <c r="DO171" s="75"/>
      <c r="DP171" s="962"/>
      <c r="DQ171" s="983"/>
      <c r="DV171" s="889"/>
    </row>
    <row r="172" spans="1:126" s="74" customFormat="1">
      <c r="A172" s="15"/>
      <c r="B172" s="15"/>
      <c r="C172" s="15"/>
      <c r="D172" s="15"/>
      <c r="E172" s="6"/>
      <c r="F172" s="6"/>
      <c r="G172" s="6"/>
      <c r="K172" s="222"/>
      <c r="V172" s="1430"/>
      <c r="AA172" s="223"/>
      <c r="AC172" s="889"/>
      <c r="AF172" s="890"/>
      <c r="AJ172" s="889"/>
      <c r="AN172" s="222"/>
      <c r="BC172" s="223"/>
      <c r="BD172" s="222"/>
      <c r="BH172" s="611"/>
      <c r="BJ172" s="15"/>
      <c r="BK172" s="15"/>
      <c r="BO172" s="223"/>
      <c r="BQ172" s="889"/>
      <c r="BT172" s="890"/>
      <c r="BX172" s="889"/>
      <c r="CB172" s="15"/>
      <c r="CC172" s="697"/>
      <c r="CD172" s="1086"/>
      <c r="CE172" s="15"/>
      <c r="CF172" s="15"/>
      <c r="CG172" s="936"/>
      <c r="CH172" s="15"/>
      <c r="CI172" s="15"/>
      <c r="CJ172" s="15"/>
      <c r="CK172" s="1107"/>
      <c r="CL172" s="22"/>
      <c r="CM172" s="22"/>
      <c r="CN172" s="1107"/>
      <c r="CR172" s="223"/>
      <c r="CS172" s="952"/>
      <c r="CT172" s="1066"/>
      <c r="CU172" s="972"/>
      <c r="CV172" s="983"/>
      <c r="CW172" s="222"/>
      <c r="CX172" s="697"/>
      <c r="DC172" s="222"/>
      <c r="DJ172" s="889"/>
      <c r="DM172" s="890"/>
      <c r="DN172" s="952"/>
      <c r="DO172" s="75"/>
      <c r="DP172" s="962"/>
      <c r="DQ172" s="983"/>
      <c r="DV172" s="889"/>
    </row>
    <row r="173" spans="1:126" s="74" customFormat="1">
      <c r="A173" s="15"/>
      <c r="B173" s="15"/>
      <c r="C173" s="15"/>
      <c r="D173" s="15"/>
      <c r="E173" s="6"/>
      <c r="F173" s="6"/>
      <c r="G173" s="6"/>
      <c r="K173" s="222"/>
      <c r="V173" s="1430"/>
      <c r="AA173" s="223"/>
      <c r="AC173" s="889"/>
      <c r="AF173" s="890"/>
      <c r="AJ173" s="889"/>
      <c r="AN173" s="222"/>
      <c r="BC173" s="223"/>
      <c r="BD173" s="222"/>
      <c r="BH173" s="611"/>
      <c r="BJ173" s="15"/>
      <c r="BK173" s="15"/>
      <c r="BO173" s="223"/>
      <c r="BQ173" s="889"/>
      <c r="BT173" s="890"/>
      <c r="BX173" s="889"/>
      <c r="CB173" s="15"/>
      <c r="CC173" s="697"/>
      <c r="CD173" s="1086"/>
      <c r="CE173" s="15"/>
      <c r="CF173" s="15"/>
      <c r="CG173" s="936"/>
      <c r="CH173" s="15"/>
      <c r="CI173" s="15"/>
      <c r="CJ173" s="15"/>
      <c r="CK173" s="1107"/>
      <c r="CL173" s="22"/>
      <c r="CM173" s="22"/>
      <c r="CN173" s="1107"/>
      <c r="CR173" s="223"/>
      <c r="CS173" s="952"/>
      <c r="CT173" s="1066"/>
      <c r="CU173" s="972"/>
      <c r="CV173" s="983"/>
      <c r="CW173" s="222"/>
      <c r="CX173" s="697"/>
      <c r="DC173" s="222"/>
      <c r="DJ173" s="889"/>
      <c r="DM173" s="890"/>
      <c r="DN173" s="952"/>
      <c r="DO173" s="75"/>
      <c r="DP173" s="962"/>
      <c r="DQ173" s="983"/>
      <c r="DV173" s="889"/>
    </row>
    <row r="174" spans="1:126" s="74" customFormat="1">
      <c r="A174" s="15"/>
      <c r="B174" s="15"/>
      <c r="C174" s="15"/>
      <c r="D174" s="15"/>
      <c r="E174" s="6"/>
      <c r="F174" s="6"/>
      <c r="G174" s="6"/>
      <c r="K174" s="222"/>
      <c r="V174" s="1430"/>
      <c r="AA174" s="223"/>
      <c r="AC174" s="889"/>
      <c r="AF174" s="890"/>
      <c r="AJ174" s="889"/>
      <c r="AN174" s="222"/>
      <c r="BC174" s="223"/>
      <c r="BD174" s="222"/>
      <c r="BH174" s="611"/>
      <c r="BJ174" s="15"/>
      <c r="BK174" s="15"/>
      <c r="BO174" s="223"/>
      <c r="BQ174" s="889"/>
      <c r="BT174" s="890"/>
      <c r="BX174" s="889"/>
      <c r="CB174" s="15"/>
      <c r="CC174" s="697"/>
      <c r="CD174" s="1086"/>
      <c r="CE174" s="15"/>
      <c r="CF174" s="15"/>
      <c r="CG174" s="936"/>
      <c r="CH174" s="15"/>
      <c r="CI174" s="15"/>
      <c r="CJ174" s="15"/>
      <c r="CK174" s="1107"/>
      <c r="CL174" s="22"/>
      <c r="CM174" s="22"/>
      <c r="CN174" s="1107"/>
      <c r="CR174" s="223"/>
      <c r="CS174" s="952"/>
      <c r="CT174" s="1066"/>
      <c r="CU174" s="972"/>
      <c r="CV174" s="983"/>
      <c r="CW174" s="222"/>
      <c r="CX174" s="697"/>
      <c r="DC174" s="222"/>
      <c r="DJ174" s="889"/>
      <c r="DM174" s="890"/>
      <c r="DN174" s="952"/>
      <c r="DO174" s="75"/>
      <c r="DP174" s="962"/>
      <c r="DQ174" s="983"/>
      <c r="DV174" s="889"/>
    </row>
    <row r="175" spans="1:126" s="74" customFormat="1">
      <c r="A175" s="15"/>
      <c r="B175" s="15"/>
      <c r="C175" s="15"/>
      <c r="D175" s="15"/>
      <c r="E175" s="6"/>
      <c r="F175" s="6"/>
      <c r="G175" s="6"/>
      <c r="K175" s="222"/>
      <c r="V175" s="1430"/>
      <c r="AA175" s="223"/>
      <c r="AC175" s="889"/>
      <c r="AF175" s="890"/>
      <c r="AJ175" s="889"/>
      <c r="AN175" s="222"/>
      <c r="BC175" s="223"/>
      <c r="BD175" s="222"/>
      <c r="BH175" s="611"/>
      <c r="BJ175" s="15"/>
      <c r="BK175" s="15"/>
      <c r="BO175" s="223"/>
      <c r="BQ175" s="889"/>
      <c r="BT175" s="890"/>
      <c r="BX175" s="889"/>
      <c r="CB175" s="15"/>
      <c r="CC175" s="697"/>
      <c r="CD175" s="1086"/>
      <c r="CE175" s="15"/>
      <c r="CF175" s="15"/>
      <c r="CG175" s="936"/>
      <c r="CH175" s="15"/>
      <c r="CI175" s="15"/>
      <c r="CJ175" s="15"/>
      <c r="CK175" s="1107"/>
      <c r="CL175" s="22"/>
      <c r="CM175" s="22"/>
      <c r="CN175" s="1107"/>
      <c r="CR175" s="223"/>
      <c r="CS175" s="952"/>
      <c r="CT175" s="1066"/>
      <c r="CU175" s="972"/>
      <c r="CV175" s="983"/>
      <c r="CW175" s="222"/>
      <c r="CX175" s="697"/>
      <c r="DC175" s="222"/>
      <c r="DJ175" s="889"/>
      <c r="DM175" s="890"/>
      <c r="DN175" s="952"/>
      <c r="DO175" s="75"/>
      <c r="DP175" s="962"/>
      <c r="DQ175" s="983"/>
      <c r="DV175" s="889"/>
    </row>
    <row r="176" spans="1:126" s="74" customFormat="1">
      <c r="A176" s="15"/>
      <c r="B176" s="15"/>
      <c r="C176" s="15"/>
      <c r="D176" s="15"/>
      <c r="E176" s="6"/>
      <c r="F176" s="6"/>
      <c r="G176" s="6"/>
      <c r="K176" s="222"/>
      <c r="V176" s="1430"/>
      <c r="AA176" s="223"/>
      <c r="AC176" s="889"/>
      <c r="AF176" s="890"/>
      <c r="AJ176" s="889"/>
      <c r="AN176" s="222"/>
      <c r="BC176" s="223"/>
      <c r="BD176" s="222"/>
      <c r="BH176" s="611"/>
      <c r="BJ176" s="15"/>
      <c r="BK176" s="15"/>
      <c r="BO176" s="223"/>
      <c r="BQ176" s="889"/>
      <c r="BT176" s="890"/>
      <c r="BX176" s="889"/>
      <c r="CB176" s="15"/>
      <c r="CC176" s="697"/>
      <c r="CD176" s="1086"/>
      <c r="CE176" s="15"/>
      <c r="CF176" s="15"/>
      <c r="CG176" s="936"/>
      <c r="CH176" s="15"/>
      <c r="CI176" s="15"/>
      <c r="CJ176" s="15"/>
      <c r="CK176" s="1107"/>
      <c r="CL176" s="22"/>
      <c r="CM176" s="22"/>
      <c r="CN176" s="1107"/>
      <c r="CR176" s="223"/>
      <c r="CS176" s="952"/>
      <c r="CT176" s="1066"/>
      <c r="CU176" s="972"/>
      <c r="CV176" s="983"/>
      <c r="CW176" s="222"/>
      <c r="CX176" s="697"/>
      <c r="DC176" s="222"/>
      <c r="DJ176" s="889"/>
      <c r="DM176" s="890"/>
      <c r="DN176" s="952"/>
      <c r="DO176" s="75"/>
      <c r="DP176" s="962"/>
      <c r="DQ176" s="983"/>
      <c r="DV176" s="889"/>
    </row>
    <row r="177" spans="1:126" s="74" customFormat="1">
      <c r="A177" s="15"/>
      <c r="B177" s="15"/>
      <c r="C177" s="15"/>
      <c r="D177" s="15"/>
      <c r="E177" s="6"/>
      <c r="F177" s="6"/>
      <c r="G177" s="6"/>
      <c r="K177" s="222"/>
      <c r="V177" s="1430"/>
      <c r="AA177" s="223"/>
      <c r="AC177" s="889"/>
      <c r="AF177" s="890"/>
      <c r="AJ177" s="889"/>
      <c r="AN177" s="222"/>
      <c r="BC177" s="223"/>
      <c r="BD177" s="222"/>
      <c r="BH177" s="611"/>
      <c r="BJ177" s="15"/>
      <c r="BK177" s="15"/>
      <c r="BO177" s="223"/>
      <c r="BQ177" s="889"/>
      <c r="BT177" s="890"/>
      <c r="BX177" s="889"/>
      <c r="CB177" s="15"/>
      <c r="CC177" s="697"/>
      <c r="CD177" s="1086"/>
      <c r="CE177" s="15"/>
      <c r="CF177" s="15"/>
      <c r="CG177" s="936"/>
      <c r="CH177" s="15"/>
      <c r="CI177" s="15"/>
      <c r="CJ177" s="15"/>
      <c r="CK177" s="1107"/>
      <c r="CL177" s="22"/>
      <c r="CM177" s="22"/>
      <c r="CN177" s="1107"/>
      <c r="CR177" s="223"/>
      <c r="CS177" s="952"/>
      <c r="CT177" s="1066"/>
      <c r="CU177" s="972"/>
      <c r="CV177" s="983"/>
      <c r="CW177" s="222"/>
      <c r="CX177" s="697"/>
      <c r="DC177" s="222"/>
      <c r="DJ177" s="889"/>
      <c r="DM177" s="890"/>
      <c r="DN177" s="952"/>
      <c r="DO177" s="75"/>
      <c r="DP177" s="962"/>
      <c r="DQ177" s="983"/>
      <c r="DV177" s="889"/>
    </row>
    <row r="178" spans="1:126" s="74" customFormat="1">
      <c r="A178" s="15"/>
      <c r="B178" s="15"/>
      <c r="C178" s="15"/>
      <c r="D178" s="15"/>
      <c r="E178" s="6"/>
      <c r="F178" s="6"/>
      <c r="G178" s="6"/>
      <c r="K178" s="222"/>
      <c r="V178" s="1430"/>
      <c r="AA178" s="223"/>
      <c r="AC178" s="889"/>
      <c r="AF178" s="890"/>
      <c r="AJ178" s="889"/>
      <c r="AN178" s="222"/>
      <c r="BC178" s="223"/>
      <c r="BD178" s="222"/>
      <c r="BH178" s="611"/>
      <c r="BJ178" s="15"/>
      <c r="BK178" s="15"/>
      <c r="BO178" s="223"/>
      <c r="BQ178" s="889"/>
      <c r="BT178" s="890"/>
      <c r="BX178" s="889"/>
      <c r="CB178" s="15"/>
      <c r="CC178" s="697"/>
      <c r="CD178" s="1086"/>
      <c r="CE178" s="15"/>
      <c r="CF178" s="15"/>
      <c r="CG178" s="936"/>
      <c r="CH178" s="15"/>
      <c r="CI178" s="15"/>
      <c r="CJ178" s="15"/>
      <c r="CK178" s="1107"/>
      <c r="CL178" s="22"/>
      <c r="CM178" s="22"/>
      <c r="CN178" s="1107"/>
      <c r="CR178" s="223"/>
      <c r="CS178" s="952"/>
      <c r="CT178" s="1066"/>
      <c r="CU178" s="972"/>
      <c r="CV178" s="983"/>
      <c r="CW178" s="222"/>
      <c r="CX178" s="697"/>
      <c r="DC178" s="222"/>
      <c r="DJ178" s="889"/>
      <c r="DM178" s="890"/>
      <c r="DN178" s="952"/>
      <c r="DO178" s="75"/>
      <c r="DP178" s="962"/>
      <c r="DQ178" s="983"/>
      <c r="DV178" s="889"/>
    </row>
    <row r="179" spans="1:126" s="74" customFormat="1">
      <c r="A179" s="15"/>
      <c r="B179" s="15"/>
      <c r="C179" s="15"/>
      <c r="D179" s="15"/>
      <c r="E179" s="6"/>
      <c r="F179" s="6"/>
      <c r="G179" s="6"/>
      <c r="K179" s="222"/>
      <c r="V179" s="1430"/>
      <c r="AA179" s="223"/>
      <c r="AC179" s="889"/>
      <c r="AF179" s="890"/>
      <c r="AJ179" s="889"/>
      <c r="AN179" s="222"/>
      <c r="BC179" s="223"/>
      <c r="BD179" s="222"/>
      <c r="BH179" s="611"/>
      <c r="BJ179" s="15"/>
      <c r="BK179" s="15"/>
      <c r="BO179" s="223"/>
      <c r="BQ179" s="889"/>
      <c r="BT179" s="890"/>
      <c r="BX179" s="889"/>
      <c r="CB179" s="15"/>
      <c r="CC179" s="697"/>
      <c r="CD179" s="1086"/>
      <c r="CE179" s="15"/>
      <c r="CF179" s="15"/>
      <c r="CG179" s="936"/>
      <c r="CH179" s="15"/>
      <c r="CI179" s="15"/>
      <c r="CJ179" s="15"/>
      <c r="CK179" s="1107"/>
      <c r="CL179" s="22"/>
      <c r="CM179" s="22"/>
      <c r="CN179" s="1107"/>
      <c r="CR179" s="223"/>
      <c r="CS179" s="952"/>
      <c r="CT179" s="1066"/>
      <c r="CU179" s="972"/>
      <c r="CV179" s="983"/>
      <c r="CW179" s="222"/>
      <c r="CX179" s="697"/>
      <c r="DC179" s="222"/>
      <c r="DJ179" s="889"/>
      <c r="DM179" s="890"/>
      <c r="DN179" s="952"/>
      <c r="DO179" s="75"/>
      <c r="DP179" s="962"/>
      <c r="DQ179" s="983"/>
      <c r="DV179" s="889"/>
    </row>
    <row r="180" spans="1:126" s="74" customFormat="1">
      <c r="A180" s="15"/>
      <c r="B180" s="15"/>
      <c r="C180" s="15"/>
      <c r="D180" s="15"/>
      <c r="E180" s="6"/>
      <c r="F180" s="6"/>
      <c r="G180" s="6"/>
      <c r="K180" s="222"/>
      <c r="V180" s="1430"/>
      <c r="AA180" s="223"/>
      <c r="AC180" s="889"/>
      <c r="AF180" s="890"/>
      <c r="AJ180" s="889"/>
      <c r="AN180" s="222"/>
      <c r="BC180" s="223"/>
      <c r="BD180" s="222"/>
      <c r="BH180" s="611"/>
      <c r="BJ180" s="15"/>
      <c r="BK180" s="15"/>
      <c r="BO180" s="223"/>
      <c r="BQ180" s="889"/>
      <c r="BT180" s="890"/>
      <c r="BX180" s="889"/>
      <c r="CB180" s="15"/>
      <c r="CC180" s="697"/>
      <c r="CD180" s="1086"/>
      <c r="CE180" s="15"/>
      <c r="CF180" s="15"/>
      <c r="CG180" s="936"/>
      <c r="CH180" s="15"/>
      <c r="CI180" s="15"/>
      <c r="CJ180" s="15"/>
      <c r="CK180" s="1107"/>
      <c r="CL180" s="22"/>
      <c r="CM180" s="22"/>
      <c r="CN180" s="1107"/>
      <c r="CR180" s="223"/>
      <c r="CS180" s="952"/>
      <c r="CT180" s="1066"/>
      <c r="CU180" s="972"/>
      <c r="CV180" s="983"/>
      <c r="CW180" s="222"/>
      <c r="CX180" s="697"/>
      <c r="DC180" s="222"/>
      <c r="DJ180" s="889"/>
      <c r="DM180" s="890"/>
      <c r="DN180" s="952"/>
      <c r="DO180" s="75"/>
      <c r="DP180" s="962"/>
      <c r="DQ180" s="983"/>
      <c r="DV180" s="889"/>
    </row>
    <row r="181" spans="1:126" s="74" customFormat="1">
      <c r="A181" s="15"/>
      <c r="B181" s="15"/>
      <c r="C181" s="15"/>
      <c r="D181" s="15"/>
      <c r="E181" s="6"/>
      <c r="F181" s="6"/>
      <c r="G181" s="6"/>
      <c r="K181" s="222"/>
      <c r="V181" s="1430"/>
      <c r="AA181" s="223"/>
      <c r="AC181" s="889"/>
      <c r="AF181" s="890"/>
      <c r="AJ181" s="889"/>
      <c r="AN181" s="222"/>
      <c r="BC181" s="223"/>
      <c r="BD181" s="222"/>
      <c r="BH181" s="611"/>
      <c r="BJ181" s="15"/>
      <c r="BK181" s="15"/>
      <c r="BO181" s="223"/>
      <c r="BQ181" s="889"/>
      <c r="BT181" s="890"/>
      <c r="BX181" s="889"/>
      <c r="CB181" s="15"/>
      <c r="CC181" s="697"/>
      <c r="CD181" s="1086"/>
      <c r="CE181" s="15"/>
      <c r="CF181" s="15"/>
      <c r="CG181" s="936"/>
      <c r="CH181" s="15"/>
      <c r="CI181" s="15"/>
      <c r="CJ181" s="15"/>
      <c r="CK181" s="1107"/>
      <c r="CL181" s="22"/>
      <c r="CM181" s="22"/>
      <c r="CN181" s="1107"/>
      <c r="CR181" s="223"/>
      <c r="CS181" s="952"/>
      <c r="CT181" s="1066"/>
      <c r="CU181" s="972"/>
      <c r="CV181" s="983"/>
      <c r="CW181" s="222"/>
      <c r="CX181" s="697"/>
      <c r="DC181" s="222"/>
      <c r="DJ181" s="889"/>
      <c r="DM181" s="890"/>
      <c r="DN181" s="952"/>
      <c r="DO181" s="75"/>
      <c r="DP181" s="962"/>
      <c r="DQ181" s="983"/>
      <c r="DV181" s="889"/>
    </row>
    <row r="182" spans="1:126" s="74" customFormat="1">
      <c r="A182" s="15"/>
      <c r="B182" s="15"/>
      <c r="C182" s="15"/>
      <c r="D182" s="15"/>
      <c r="E182" s="6"/>
      <c r="F182" s="6"/>
      <c r="G182" s="6"/>
      <c r="K182" s="222"/>
      <c r="V182" s="1430"/>
      <c r="AA182" s="223"/>
      <c r="AC182" s="889"/>
      <c r="AF182" s="890"/>
      <c r="AJ182" s="889"/>
      <c r="AN182" s="222"/>
      <c r="BC182" s="223"/>
      <c r="BD182" s="222"/>
      <c r="BH182" s="611"/>
      <c r="BJ182" s="15"/>
      <c r="BK182" s="15"/>
      <c r="BO182" s="223"/>
      <c r="BQ182" s="889"/>
      <c r="BT182" s="890"/>
      <c r="BX182" s="889"/>
      <c r="CB182" s="15"/>
      <c r="CC182" s="697"/>
      <c r="CD182" s="1086"/>
      <c r="CE182" s="15"/>
      <c r="CF182" s="15"/>
      <c r="CG182" s="936"/>
      <c r="CH182" s="15"/>
      <c r="CI182" s="15"/>
      <c r="CJ182" s="15"/>
      <c r="CK182" s="1107"/>
      <c r="CL182" s="22"/>
      <c r="CM182" s="22"/>
      <c r="CN182" s="1107"/>
      <c r="CR182" s="223"/>
      <c r="CS182" s="952"/>
      <c r="CT182" s="1066"/>
      <c r="CU182" s="972"/>
      <c r="CV182" s="983"/>
      <c r="CW182" s="222"/>
      <c r="CX182" s="697"/>
      <c r="DC182" s="222"/>
      <c r="DJ182" s="889"/>
      <c r="DM182" s="890"/>
      <c r="DN182" s="952"/>
      <c r="DO182" s="75"/>
      <c r="DP182" s="962"/>
      <c r="DQ182" s="983"/>
      <c r="DV182" s="889"/>
    </row>
    <row r="183" spans="1:126" s="74" customFormat="1">
      <c r="A183" s="15"/>
      <c r="B183" s="15"/>
      <c r="C183" s="15"/>
      <c r="D183" s="15"/>
      <c r="E183" s="6"/>
      <c r="F183" s="6"/>
      <c r="G183" s="6"/>
      <c r="K183" s="222"/>
      <c r="V183" s="1430"/>
      <c r="AA183" s="223"/>
      <c r="AC183" s="889"/>
      <c r="AF183" s="890"/>
      <c r="AJ183" s="889"/>
      <c r="AN183" s="222"/>
      <c r="BC183" s="223"/>
      <c r="BD183" s="222"/>
      <c r="BH183" s="611"/>
      <c r="BJ183" s="15"/>
      <c r="BK183" s="15"/>
      <c r="BO183" s="223"/>
      <c r="BQ183" s="889"/>
      <c r="BT183" s="890"/>
      <c r="BX183" s="889"/>
      <c r="CB183" s="15"/>
      <c r="CC183" s="697"/>
      <c r="CD183" s="1086"/>
      <c r="CE183" s="15"/>
      <c r="CF183" s="15"/>
      <c r="CG183" s="936"/>
      <c r="CH183" s="15"/>
      <c r="CI183" s="15"/>
      <c r="CJ183" s="15"/>
      <c r="CK183" s="1107"/>
      <c r="CL183" s="22"/>
      <c r="CM183" s="22"/>
      <c r="CN183" s="1107"/>
      <c r="CR183" s="223"/>
      <c r="CS183" s="952"/>
      <c r="CT183" s="1066"/>
      <c r="CU183" s="972"/>
      <c r="CV183" s="983"/>
      <c r="CW183" s="222"/>
      <c r="CX183" s="697"/>
      <c r="DC183" s="222"/>
      <c r="DJ183" s="889"/>
      <c r="DM183" s="890"/>
      <c r="DN183" s="952"/>
      <c r="DO183" s="75"/>
      <c r="DP183" s="962"/>
      <c r="DQ183" s="983"/>
      <c r="DV183" s="889"/>
    </row>
    <row r="184" spans="1:126" s="74" customFormat="1">
      <c r="A184" s="15"/>
      <c r="B184" s="15"/>
      <c r="C184" s="15"/>
      <c r="D184" s="15"/>
      <c r="E184" s="6"/>
      <c r="F184" s="6"/>
      <c r="G184" s="6"/>
      <c r="K184" s="222"/>
      <c r="V184" s="1430"/>
      <c r="AA184" s="223"/>
      <c r="AC184" s="889"/>
      <c r="AF184" s="890"/>
      <c r="AJ184" s="889"/>
      <c r="AN184" s="222"/>
      <c r="BC184" s="223"/>
      <c r="BD184" s="222"/>
      <c r="BH184" s="611"/>
      <c r="BJ184" s="15"/>
      <c r="BK184" s="15"/>
      <c r="BO184" s="223"/>
      <c r="BQ184" s="889"/>
      <c r="BT184" s="890"/>
      <c r="BX184" s="889"/>
      <c r="CB184" s="15"/>
      <c r="CC184" s="697"/>
      <c r="CD184" s="1086"/>
      <c r="CE184" s="15"/>
      <c r="CF184" s="15"/>
      <c r="CG184" s="936"/>
      <c r="CH184" s="15"/>
      <c r="CI184" s="15"/>
      <c r="CJ184" s="15"/>
      <c r="CK184" s="1107"/>
      <c r="CL184" s="22"/>
      <c r="CM184" s="22"/>
      <c r="CN184" s="1107"/>
      <c r="CR184" s="223"/>
      <c r="CS184" s="952"/>
      <c r="CT184" s="1066"/>
      <c r="CU184" s="972"/>
      <c r="CV184" s="983"/>
      <c r="CW184" s="222"/>
      <c r="CX184" s="697"/>
      <c r="DC184" s="222"/>
      <c r="DJ184" s="889"/>
      <c r="DM184" s="890"/>
      <c r="DN184" s="952"/>
      <c r="DO184" s="75"/>
      <c r="DP184" s="962"/>
      <c r="DQ184" s="983"/>
      <c r="DV184" s="889"/>
    </row>
    <row r="185" spans="1:126" s="74" customFormat="1">
      <c r="A185" s="15"/>
      <c r="B185" s="15"/>
      <c r="C185" s="15"/>
      <c r="D185" s="15"/>
      <c r="E185" s="6"/>
      <c r="F185" s="6"/>
      <c r="G185" s="6"/>
      <c r="K185" s="222"/>
      <c r="V185" s="1430"/>
      <c r="AA185" s="223"/>
      <c r="AC185" s="889"/>
      <c r="AF185" s="890"/>
      <c r="AJ185" s="889"/>
      <c r="AN185" s="222"/>
      <c r="BC185" s="223"/>
      <c r="BD185" s="222"/>
      <c r="BH185" s="611"/>
      <c r="BJ185" s="15"/>
      <c r="BK185" s="15"/>
      <c r="BO185" s="223"/>
      <c r="BQ185" s="889"/>
      <c r="BT185" s="890"/>
      <c r="BX185" s="889"/>
      <c r="CB185" s="15"/>
      <c r="CC185" s="697"/>
      <c r="CD185" s="1086"/>
      <c r="CE185" s="15"/>
      <c r="CF185" s="15"/>
      <c r="CG185" s="936"/>
      <c r="CH185" s="15"/>
      <c r="CI185" s="15"/>
      <c r="CJ185" s="15"/>
      <c r="CK185" s="1107"/>
      <c r="CL185" s="22"/>
      <c r="CM185" s="22"/>
      <c r="CN185" s="1107"/>
      <c r="CR185" s="223"/>
      <c r="CS185" s="952"/>
      <c r="CT185" s="1066"/>
      <c r="CU185" s="972"/>
      <c r="CV185" s="983"/>
      <c r="CW185" s="222"/>
      <c r="CX185" s="697"/>
      <c r="DC185" s="222"/>
      <c r="DJ185" s="889"/>
      <c r="DM185" s="890"/>
      <c r="DN185" s="952"/>
      <c r="DO185" s="75"/>
      <c r="DP185" s="962"/>
      <c r="DQ185" s="983"/>
      <c r="DV185" s="889"/>
    </row>
    <row r="186" spans="1:126" s="74" customFormat="1">
      <c r="A186" s="15"/>
      <c r="B186" s="15"/>
      <c r="C186" s="15"/>
      <c r="D186" s="15"/>
      <c r="E186" s="6"/>
      <c r="F186" s="6"/>
      <c r="G186" s="6"/>
      <c r="K186" s="222"/>
      <c r="V186" s="1430"/>
      <c r="AA186" s="223"/>
      <c r="AC186" s="889"/>
      <c r="AF186" s="890"/>
      <c r="AJ186" s="889"/>
      <c r="AN186" s="222"/>
      <c r="BC186" s="223"/>
      <c r="BD186" s="222"/>
      <c r="BH186" s="611"/>
      <c r="BJ186" s="15"/>
      <c r="BK186" s="15"/>
      <c r="BO186" s="223"/>
      <c r="BQ186" s="889"/>
      <c r="BT186" s="890"/>
      <c r="BX186" s="889"/>
      <c r="CB186" s="15"/>
      <c r="CC186" s="697"/>
      <c r="CD186" s="1086"/>
      <c r="CE186" s="15"/>
      <c r="CF186" s="15"/>
      <c r="CG186" s="936"/>
      <c r="CH186" s="15"/>
      <c r="CI186" s="15"/>
      <c r="CJ186" s="15"/>
      <c r="CK186" s="1107"/>
      <c r="CL186" s="22"/>
      <c r="CM186" s="22"/>
      <c r="CN186" s="1107"/>
      <c r="CR186" s="223"/>
      <c r="CS186" s="952"/>
      <c r="CT186" s="1066"/>
      <c r="CU186" s="972"/>
      <c r="CV186" s="983"/>
      <c r="CW186" s="222"/>
      <c r="CX186" s="697"/>
      <c r="DC186" s="222"/>
      <c r="DJ186" s="889"/>
      <c r="DM186" s="890"/>
      <c r="DN186" s="952"/>
      <c r="DO186" s="75"/>
      <c r="DP186" s="962"/>
      <c r="DQ186" s="983"/>
      <c r="DV186" s="889"/>
    </row>
    <row r="187" spans="1:126" s="74" customFormat="1">
      <c r="A187" s="15"/>
      <c r="B187" s="15"/>
      <c r="C187" s="15"/>
      <c r="D187" s="15"/>
      <c r="E187" s="6"/>
      <c r="F187" s="6"/>
      <c r="G187" s="6"/>
      <c r="K187" s="222"/>
      <c r="V187" s="1430"/>
      <c r="AA187" s="223"/>
      <c r="AC187" s="889"/>
      <c r="AF187" s="890"/>
      <c r="AJ187" s="889"/>
      <c r="AN187" s="222"/>
      <c r="BC187" s="223"/>
      <c r="BD187" s="222"/>
      <c r="BH187" s="611"/>
      <c r="BJ187" s="15"/>
      <c r="BK187" s="15"/>
      <c r="BO187" s="223"/>
      <c r="BQ187" s="889"/>
      <c r="BT187" s="890"/>
      <c r="BX187" s="889"/>
      <c r="CB187" s="15"/>
      <c r="CC187" s="697"/>
      <c r="CD187" s="1086"/>
      <c r="CE187" s="15"/>
      <c r="CF187" s="15"/>
      <c r="CG187" s="936"/>
      <c r="CH187" s="15"/>
      <c r="CI187" s="15"/>
      <c r="CJ187" s="15"/>
      <c r="CK187" s="1107"/>
      <c r="CL187" s="22"/>
      <c r="CM187" s="22"/>
      <c r="CN187" s="1107"/>
      <c r="CR187" s="223"/>
      <c r="CS187" s="952"/>
      <c r="CT187" s="1066"/>
      <c r="CU187" s="972"/>
      <c r="CV187" s="983"/>
      <c r="CW187" s="222"/>
      <c r="CX187" s="697"/>
      <c r="DC187" s="222"/>
      <c r="DJ187" s="889"/>
      <c r="DM187" s="890"/>
      <c r="DN187" s="952"/>
      <c r="DO187" s="75"/>
      <c r="DP187" s="962"/>
      <c r="DQ187" s="983"/>
      <c r="DV187" s="889"/>
    </row>
    <row r="188" spans="1:126" s="74" customFormat="1">
      <c r="A188" s="15"/>
      <c r="B188" s="15"/>
      <c r="C188" s="15"/>
      <c r="D188" s="15"/>
      <c r="E188" s="6"/>
      <c r="F188" s="6"/>
      <c r="G188" s="6"/>
      <c r="K188" s="222"/>
      <c r="V188" s="1430"/>
      <c r="AA188" s="223"/>
      <c r="AC188" s="889"/>
      <c r="AF188" s="890"/>
      <c r="AJ188" s="889"/>
      <c r="AN188" s="222"/>
      <c r="BC188" s="223"/>
      <c r="BD188" s="222"/>
      <c r="BH188" s="611"/>
      <c r="BJ188" s="15"/>
      <c r="BK188" s="15"/>
      <c r="BO188" s="223"/>
      <c r="BQ188" s="889"/>
      <c r="BT188" s="890"/>
      <c r="BX188" s="889"/>
      <c r="CB188" s="15"/>
      <c r="CC188" s="697"/>
      <c r="CD188" s="1086"/>
      <c r="CE188" s="15"/>
      <c r="CF188" s="15"/>
      <c r="CG188" s="936"/>
      <c r="CH188" s="15"/>
      <c r="CI188" s="15"/>
      <c r="CJ188" s="15"/>
      <c r="CK188" s="1107"/>
      <c r="CL188" s="22"/>
      <c r="CM188" s="22"/>
      <c r="CN188" s="1107"/>
      <c r="CR188" s="223"/>
      <c r="CS188" s="952"/>
      <c r="CT188" s="1066"/>
      <c r="CU188" s="972"/>
      <c r="CV188" s="983"/>
      <c r="CW188" s="222"/>
      <c r="CX188" s="697"/>
      <c r="DC188" s="222"/>
      <c r="DJ188" s="889"/>
      <c r="DM188" s="890"/>
      <c r="DN188" s="952"/>
      <c r="DO188" s="75"/>
      <c r="DP188" s="962"/>
      <c r="DQ188" s="983"/>
      <c r="DV188" s="889"/>
    </row>
    <row r="189" spans="1:126" s="74" customFormat="1">
      <c r="A189" s="15"/>
      <c r="B189" s="15"/>
      <c r="C189" s="15"/>
      <c r="D189" s="15"/>
      <c r="E189" s="6"/>
      <c r="F189" s="6"/>
      <c r="G189" s="6"/>
      <c r="K189" s="222"/>
      <c r="V189" s="1430"/>
      <c r="AA189" s="223"/>
      <c r="AC189" s="889"/>
      <c r="AF189" s="890"/>
      <c r="AJ189" s="889"/>
      <c r="AN189" s="222"/>
      <c r="BC189" s="223"/>
      <c r="BD189" s="222"/>
      <c r="BH189" s="611"/>
      <c r="BJ189" s="15"/>
      <c r="BK189" s="15"/>
      <c r="BO189" s="223"/>
      <c r="BQ189" s="889"/>
      <c r="BT189" s="890"/>
      <c r="BX189" s="889"/>
      <c r="CB189" s="15"/>
      <c r="CC189" s="697"/>
      <c r="CD189" s="1086"/>
      <c r="CE189" s="15"/>
      <c r="CF189" s="15"/>
      <c r="CG189" s="936"/>
      <c r="CH189" s="15"/>
      <c r="CI189" s="15"/>
      <c r="CJ189" s="15"/>
      <c r="CK189" s="1107"/>
      <c r="CL189" s="22"/>
      <c r="CM189" s="22"/>
      <c r="CN189" s="1107"/>
      <c r="CR189" s="223"/>
      <c r="CS189" s="952"/>
      <c r="CT189" s="1066"/>
      <c r="CU189" s="972"/>
      <c r="CV189" s="983"/>
      <c r="CW189" s="222"/>
      <c r="CX189" s="697"/>
      <c r="DC189" s="222"/>
      <c r="DJ189" s="889"/>
      <c r="DM189" s="890"/>
      <c r="DN189" s="952"/>
      <c r="DO189" s="75"/>
      <c r="DP189" s="962"/>
      <c r="DQ189" s="983"/>
      <c r="DV189" s="889"/>
    </row>
    <row r="190" spans="1:126" s="74" customFormat="1">
      <c r="A190" s="15"/>
      <c r="B190" s="15"/>
      <c r="C190" s="15"/>
      <c r="D190" s="15"/>
      <c r="E190" s="6"/>
      <c r="F190" s="6"/>
      <c r="G190" s="6"/>
      <c r="K190" s="222"/>
      <c r="V190" s="1430"/>
      <c r="AA190" s="223"/>
      <c r="AC190" s="889"/>
      <c r="AF190" s="890"/>
      <c r="AJ190" s="889"/>
      <c r="AN190" s="222"/>
      <c r="BC190" s="223"/>
      <c r="BD190" s="222"/>
      <c r="BH190" s="611"/>
      <c r="BJ190" s="15"/>
      <c r="BK190" s="15"/>
      <c r="BO190" s="223"/>
      <c r="BQ190" s="889"/>
      <c r="BT190" s="890"/>
      <c r="BX190" s="889"/>
      <c r="CB190" s="15"/>
      <c r="CC190" s="697"/>
      <c r="CD190" s="1086"/>
      <c r="CE190" s="15"/>
      <c r="CF190" s="15"/>
      <c r="CG190" s="936"/>
      <c r="CH190" s="15"/>
      <c r="CI190" s="15"/>
      <c r="CJ190" s="15"/>
      <c r="CK190" s="1107"/>
      <c r="CL190" s="22"/>
      <c r="CM190" s="22"/>
      <c r="CN190" s="1107"/>
      <c r="CR190" s="223"/>
      <c r="CS190" s="952"/>
      <c r="CT190" s="1066"/>
      <c r="CU190" s="972"/>
      <c r="CV190" s="983"/>
      <c r="CW190" s="222"/>
      <c r="CX190" s="697"/>
      <c r="DC190" s="222"/>
      <c r="DJ190" s="889"/>
      <c r="DM190" s="890"/>
      <c r="DN190" s="952"/>
      <c r="DO190" s="75"/>
      <c r="DP190" s="962"/>
      <c r="DQ190" s="983"/>
      <c r="DV190" s="889"/>
    </row>
    <row r="191" spans="1:126" s="74" customFormat="1">
      <c r="A191" s="15"/>
      <c r="B191" s="15"/>
      <c r="C191" s="15"/>
      <c r="D191" s="15"/>
      <c r="E191" s="6"/>
      <c r="F191" s="6"/>
      <c r="G191" s="6"/>
      <c r="K191" s="222"/>
      <c r="V191" s="1430"/>
      <c r="AA191" s="223"/>
      <c r="AC191" s="889"/>
      <c r="AF191" s="890"/>
      <c r="AJ191" s="889"/>
      <c r="AN191" s="222"/>
      <c r="BC191" s="223"/>
      <c r="BD191" s="222"/>
      <c r="BH191" s="611"/>
      <c r="BJ191" s="15"/>
      <c r="BK191" s="15"/>
      <c r="BO191" s="223"/>
      <c r="BQ191" s="889"/>
      <c r="BT191" s="890"/>
      <c r="BX191" s="889"/>
      <c r="CB191" s="15"/>
      <c r="CC191" s="697"/>
      <c r="CD191" s="1086"/>
      <c r="CE191" s="15"/>
      <c r="CF191" s="15"/>
      <c r="CG191" s="936"/>
      <c r="CH191" s="15"/>
      <c r="CI191" s="15"/>
      <c r="CJ191" s="15"/>
      <c r="CK191" s="1107"/>
      <c r="CL191" s="22"/>
      <c r="CM191" s="22"/>
      <c r="CN191" s="1107"/>
      <c r="CR191" s="223"/>
      <c r="CS191" s="952"/>
      <c r="CT191" s="1066"/>
      <c r="CU191" s="972"/>
      <c r="CV191" s="983"/>
      <c r="CW191" s="222"/>
      <c r="CX191" s="697"/>
      <c r="DC191" s="222"/>
      <c r="DJ191" s="889"/>
      <c r="DM191" s="890"/>
      <c r="DN191" s="952"/>
      <c r="DO191" s="75"/>
      <c r="DP191" s="962"/>
      <c r="DQ191" s="983"/>
      <c r="DV191" s="889"/>
    </row>
    <row r="192" spans="1:126" s="74" customFormat="1">
      <c r="A192" s="15"/>
      <c r="B192" s="15"/>
      <c r="C192" s="15"/>
      <c r="D192" s="15"/>
      <c r="E192" s="6"/>
      <c r="F192" s="6"/>
      <c r="G192" s="6"/>
      <c r="K192" s="222"/>
      <c r="V192" s="1430"/>
      <c r="AA192" s="223"/>
      <c r="AC192" s="889"/>
      <c r="AF192" s="890"/>
      <c r="AJ192" s="889"/>
      <c r="AN192" s="222"/>
      <c r="BC192" s="223"/>
      <c r="BD192" s="222"/>
      <c r="BH192" s="611"/>
      <c r="BJ192" s="15"/>
      <c r="BK192" s="15"/>
      <c r="BO192" s="223"/>
      <c r="BQ192" s="889"/>
      <c r="BT192" s="890"/>
      <c r="BX192" s="889"/>
      <c r="CB192" s="15"/>
      <c r="CC192" s="697"/>
      <c r="CD192" s="1086"/>
      <c r="CE192" s="15"/>
      <c r="CF192" s="15"/>
      <c r="CG192" s="936"/>
      <c r="CH192" s="15"/>
      <c r="CI192" s="15"/>
      <c r="CJ192" s="15"/>
      <c r="CK192" s="1107"/>
      <c r="CL192" s="22"/>
      <c r="CM192" s="22"/>
      <c r="CN192" s="1107"/>
      <c r="CR192" s="223"/>
      <c r="CS192" s="952"/>
      <c r="CT192" s="1066"/>
      <c r="CU192" s="972"/>
      <c r="CV192" s="983"/>
      <c r="CW192" s="222"/>
      <c r="CX192" s="697"/>
      <c r="DC192" s="222"/>
      <c r="DJ192" s="889"/>
      <c r="DM192" s="890"/>
      <c r="DN192" s="952"/>
      <c r="DO192" s="75"/>
      <c r="DP192" s="962"/>
      <c r="DQ192" s="983"/>
      <c r="DV192" s="889"/>
    </row>
    <row r="193" spans="1:126" s="74" customFormat="1">
      <c r="A193" s="15"/>
      <c r="B193" s="15"/>
      <c r="C193" s="15"/>
      <c r="D193" s="15"/>
      <c r="E193" s="6"/>
      <c r="F193" s="6"/>
      <c r="G193" s="6"/>
      <c r="K193" s="222"/>
      <c r="V193" s="1430"/>
      <c r="AA193" s="223"/>
      <c r="AC193" s="889"/>
      <c r="AF193" s="890"/>
      <c r="AJ193" s="889"/>
      <c r="AN193" s="222"/>
      <c r="BC193" s="223"/>
      <c r="BD193" s="222"/>
      <c r="BH193" s="611"/>
      <c r="BJ193" s="15"/>
      <c r="BK193" s="15"/>
      <c r="BO193" s="223"/>
      <c r="BQ193" s="889"/>
      <c r="BT193" s="890"/>
      <c r="BX193" s="889"/>
      <c r="CB193" s="15"/>
      <c r="CC193" s="697"/>
      <c r="CD193" s="1086"/>
      <c r="CE193" s="15"/>
      <c r="CF193" s="15"/>
      <c r="CG193" s="936"/>
      <c r="CH193" s="15"/>
      <c r="CI193" s="15"/>
      <c r="CJ193" s="15"/>
      <c r="CK193" s="1107"/>
      <c r="CL193" s="22"/>
      <c r="CM193" s="22"/>
      <c r="CN193" s="1107"/>
      <c r="CR193" s="223"/>
      <c r="CS193" s="952"/>
      <c r="CT193" s="1066"/>
      <c r="CU193" s="972"/>
      <c r="CV193" s="983"/>
      <c r="CW193" s="222"/>
      <c r="CX193" s="697"/>
      <c r="DC193" s="222"/>
      <c r="DJ193" s="889"/>
      <c r="DM193" s="890"/>
      <c r="DN193" s="952"/>
      <c r="DO193" s="75"/>
      <c r="DP193" s="962"/>
      <c r="DQ193" s="983"/>
      <c r="DV193" s="889"/>
    </row>
    <row r="194" spans="1:126" s="74" customFormat="1">
      <c r="A194" s="15"/>
      <c r="B194" s="15"/>
      <c r="C194" s="15"/>
      <c r="D194" s="15"/>
      <c r="E194" s="6"/>
      <c r="F194" s="6"/>
      <c r="G194" s="6"/>
      <c r="K194" s="222"/>
      <c r="V194" s="1430"/>
      <c r="AA194" s="223"/>
      <c r="AC194" s="889"/>
      <c r="AF194" s="890"/>
      <c r="AJ194" s="889"/>
      <c r="AN194" s="222"/>
      <c r="BC194" s="223"/>
      <c r="BD194" s="222"/>
      <c r="BH194" s="611"/>
      <c r="BJ194" s="15"/>
      <c r="BK194" s="15"/>
      <c r="BO194" s="223"/>
      <c r="BQ194" s="889"/>
      <c r="BT194" s="890"/>
      <c r="BX194" s="889"/>
      <c r="CB194" s="15"/>
      <c r="CC194" s="697"/>
      <c r="CD194" s="1086"/>
      <c r="CE194" s="15"/>
      <c r="CF194" s="15"/>
      <c r="CG194" s="936"/>
      <c r="CH194" s="15"/>
      <c r="CI194" s="15"/>
      <c r="CJ194" s="15"/>
      <c r="CK194" s="1107"/>
      <c r="CL194" s="22"/>
      <c r="CM194" s="22"/>
      <c r="CN194" s="1107"/>
      <c r="CR194" s="223"/>
      <c r="CS194" s="952"/>
      <c r="CT194" s="1066"/>
      <c r="CU194" s="972"/>
      <c r="CV194" s="983"/>
      <c r="CW194" s="222"/>
      <c r="CX194" s="697"/>
      <c r="DC194" s="222"/>
      <c r="DJ194" s="889"/>
      <c r="DM194" s="890"/>
      <c r="DN194" s="952"/>
      <c r="DO194" s="75"/>
      <c r="DP194" s="962"/>
      <c r="DQ194" s="983"/>
      <c r="DV194" s="889"/>
    </row>
    <row r="195" spans="1:126" s="74" customFormat="1">
      <c r="A195" s="15"/>
      <c r="B195" s="15"/>
      <c r="C195" s="15"/>
      <c r="D195" s="15"/>
      <c r="E195" s="6"/>
      <c r="F195" s="6"/>
      <c r="G195" s="6"/>
      <c r="K195" s="222"/>
      <c r="V195" s="1430"/>
      <c r="AA195" s="223"/>
      <c r="AC195" s="889"/>
      <c r="AF195" s="890"/>
      <c r="AJ195" s="889"/>
      <c r="AN195" s="222"/>
      <c r="BC195" s="223"/>
      <c r="BD195" s="222"/>
      <c r="BH195" s="611"/>
      <c r="BJ195" s="15"/>
      <c r="BK195" s="15"/>
      <c r="BO195" s="223"/>
      <c r="BQ195" s="889"/>
      <c r="BT195" s="890"/>
      <c r="BX195" s="889"/>
      <c r="CB195" s="15"/>
      <c r="CC195" s="697"/>
      <c r="CD195" s="1086"/>
      <c r="CE195" s="15"/>
      <c r="CF195" s="15"/>
      <c r="CG195" s="936"/>
      <c r="CH195" s="15"/>
      <c r="CI195" s="15"/>
      <c r="CJ195" s="15"/>
      <c r="CK195" s="1107"/>
      <c r="CL195" s="22"/>
      <c r="CM195" s="22"/>
      <c r="CN195" s="1107"/>
      <c r="CR195" s="223"/>
      <c r="CS195" s="952"/>
      <c r="CT195" s="1066"/>
      <c r="CU195" s="972"/>
      <c r="CV195" s="983"/>
      <c r="CW195" s="222"/>
      <c r="CX195" s="697"/>
      <c r="DC195" s="222"/>
      <c r="DJ195" s="889"/>
      <c r="DM195" s="890"/>
      <c r="DN195" s="952"/>
      <c r="DO195" s="75"/>
      <c r="DP195" s="962"/>
      <c r="DQ195" s="983"/>
      <c r="DV195" s="889"/>
    </row>
    <row r="196" spans="1:126" s="74" customFormat="1">
      <c r="A196" s="15"/>
      <c r="B196" s="15"/>
      <c r="C196" s="15"/>
      <c r="D196" s="15"/>
      <c r="E196" s="6"/>
      <c r="F196" s="6"/>
      <c r="G196" s="6"/>
      <c r="K196" s="222"/>
      <c r="V196" s="1430"/>
      <c r="AA196" s="223"/>
      <c r="AC196" s="889"/>
      <c r="AF196" s="890"/>
      <c r="AJ196" s="889"/>
      <c r="AN196" s="222"/>
      <c r="BC196" s="223"/>
      <c r="BD196" s="222"/>
      <c r="BH196" s="611"/>
      <c r="BJ196" s="15"/>
      <c r="BK196" s="15"/>
      <c r="BO196" s="223"/>
      <c r="BQ196" s="889"/>
      <c r="BT196" s="890"/>
      <c r="BX196" s="889"/>
      <c r="CB196" s="15"/>
      <c r="CC196" s="697"/>
      <c r="CD196" s="1086"/>
      <c r="CE196" s="15"/>
      <c r="CF196" s="15"/>
      <c r="CG196" s="936"/>
      <c r="CH196" s="15"/>
      <c r="CI196" s="15"/>
      <c r="CJ196" s="15"/>
      <c r="CK196" s="1107"/>
      <c r="CL196" s="22"/>
      <c r="CM196" s="22"/>
      <c r="CN196" s="1107"/>
      <c r="CR196" s="223"/>
      <c r="CS196" s="952"/>
      <c r="CT196" s="1066"/>
      <c r="CU196" s="972"/>
      <c r="CV196" s="983"/>
      <c r="CW196" s="222"/>
      <c r="CX196" s="697"/>
      <c r="DC196" s="222"/>
      <c r="DJ196" s="889"/>
      <c r="DM196" s="890"/>
      <c r="DN196" s="952"/>
      <c r="DO196" s="75"/>
      <c r="DP196" s="962"/>
      <c r="DQ196" s="983"/>
      <c r="DV196" s="889"/>
    </row>
    <row r="197" spans="1:126" s="74" customFormat="1">
      <c r="A197" s="15"/>
      <c r="B197" s="15"/>
      <c r="C197" s="15"/>
      <c r="D197" s="15"/>
      <c r="E197" s="6"/>
      <c r="F197" s="6"/>
      <c r="G197" s="6"/>
      <c r="K197" s="222"/>
      <c r="V197" s="1430"/>
      <c r="AA197" s="223"/>
      <c r="AC197" s="889"/>
      <c r="AF197" s="890"/>
      <c r="AJ197" s="889"/>
      <c r="AN197" s="222"/>
      <c r="BC197" s="223"/>
      <c r="BD197" s="222"/>
      <c r="BH197" s="611"/>
      <c r="BJ197" s="15"/>
      <c r="BK197" s="15"/>
      <c r="BO197" s="223"/>
      <c r="BQ197" s="889"/>
      <c r="BT197" s="890"/>
      <c r="BX197" s="889"/>
      <c r="CB197" s="15"/>
      <c r="CC197" s="697"/>
      <c r="CD197" s="1086"/>
      <c r="CE197" s="15"/>
      <c r="CF197" s="15"/>
      <c r="CG197" s="936"/>
      <c r="CH197" s="15"/>
      <c r="CI197" s="15"/>
      <c r="CJ197" s="15"/>
      <c r="CK197" s="1107"/>
      <c r="CL197" s="22"/>
      <c r="CM197" s="22"/>
      <c r="CN197" s="1107"/>
      <c r="CR197" s="223"/>
      <c r="CS197" s="952"/>
      <c r="CT197" s="1066"/>
      <c r="CU197" s="972"/>
      <c r="CV197" s="983"/>
      <c r="CW197" s="222"/>
      <c r="CX197" s="697"/>
      <c r="DC197" s="222"/>
      <c r="DJ197" s="889"/>
      <c r="DM197" s="890"/>
      <c r="DN197" s="952"/>
      <c r="DO197" s="75"/>
      <c r="DP197" s="962"/>
      <c r="DQ197" s="983"/>
      <c r="DV197" s="889"/>
    </row>
    <row r="198" spans="1:126" s="74" customFormat="1">
      <c r="A198" s="15"/>
      <c r="B198" s="15"/>
      <c r="C198" s="15"/>
      <c r="D198" s="15"/>
      <c r="E198" s="6"/>
      <c r="F198" s="6"/>
      <c r="G198" s="6"/>
      <c r="K198" s="222"/>
      <c r="V198" s="1430"/>
      <c r="AA198" s="223"/>
      <c r="AC198" s="889"/>
      <c r="AF198" s="890"/>
      <c r="AJ198" s="889"/>
      <c r="AN198" s="222"/>
      <c r="BC198" s="223"/>
      <c r="BD198" s="222"/>
      <c r="BH198" s="611"/>
      <c r="BJ198" s="15"/>
      <c r="BK198" s="15"/>
      <c r="BO198" s="223"/>
      <c r="BQ198" s="889"/>
      <c r="BT198" s="890"/>
      <c r="BX198" s="889"/>
      <c r="CB198" s="15"/>
      <c r="CC198" s="697"/>
      <c r="CD198" s="1086"/>
      <c r="CE198" s="15"/>
      <c r="CF198" s="15"/>
      <c r="CG198" s="936"/>
      <c r="CH198" s="15"/>
      <c r="CI198" s="15"/>
      <c r="CJ198" s="15"/>
      <c r="CK198" s="1107"/>
      <c r="CL198" s="22"/>
      <c r="CM198" s="22"/>
      <c r="CN198" s="1107"/>
      <c r="CR198" s="223"/>
      <c r="CS198" s="952"/>
      <c r="CT198" s="1066"/>
      <c r="CU198" s="972"/>
      <c r="CV198" s="983"/>
      <c r="CW198" s="222"/>
      <c r="CX198" s="697"/>
      <c r="DC198" s="222"/>
      <c r="DJ198" s="889"/>
      <c r="DM198" s="890"/>
      <c r="DN198" s="952"/>
      <c r="DO198" s="75"/>
      <c r="DP198" s="962"/>
      <c r="DQ198" s="983"/>
      <c r="DV198" s="889"/>
    </row>
    <row r="199" spans="1:126" s="74" customFormat="1">
      <c r="A199" s="15"/>
      <c r="B199" s="15"/>
      <c r="C199" s="15"/>
      <c r="D199" s="15"/>
      <c r="E199" s="6"/>
      <c r="F199" s="6"/>
      <c r="G199" s="6"/>
      <c r="K199" s="222"/>
      <c r="V199" s="1430"/>
      <c r="AA199" s="223"/>
      <c r="AC199" s="889"/>
      <c r="AF199" s="890"/>
      <c r="AJ199" s="889"/>
      <c r="AN199" s="222"/>
      <c r="BC199" s="223"/>
      <c r="BD199" s="222"/>
      <c r="BH199" s="611"/>
      <c r="BJ199" s="15"/>
      <c r="BK199" s="15"/>
      <c r="BO199" s="223"/>
      <c r="BQ199" s="889"/>
      <c r="BT199" s="890"/>
      <c r="BX199" s="889"/>
      <c r="CB199" s="15"/>
      <c r="CC199" s="697"/>
      <c r="CD199" s="1086"/>
      <c r="CE199" s="15"/>
      <c r="CF199" s="15"/>
      <c r="CG199" s="936"/>
      <c r="CH199" s="15"/>
      <c r="CI199" s="15"/>
      <c r="CJ199" s="15"/>
      <c r="CK199" s="1107"/>
      <c r="CL199" s="22"/>
      <c r="CM199" s="22"/>
      <c r="CN199" s="1107"/>
      <c r="CR199" s="223"/>
      <c r="CS199" s="952"/>
      <c r="CT199" s="1066"/>
      <c r="CU199" s="972"/>
      <c r="CV199" s="983"/>
      <c r="CW199" s="222"/>
      <c r="CX199" s="697"/>
      <c r="DC199" s="222"/>
      <c r="DJ199" s="889"/>
      <c r="DM199" s="890"/>
      <c r="DN199" s="952"/>
      <c r="DO199" s="75"/>
      <c r="DP199" s="962"/>
      <c r="DQ199" s="983"/>
      <c r="DV199" s="889"/>
    </row>
    <row r="200" spans="1:126" s="74" customFormat="1">
      <c r="A200" s="15"/>
      <c r="B200" s="15"/>
      <c r="C200" s="15"/>
      <c r="D200" s="15"/>
      <c r="E200" s="6"/>
      <c r="F200" s="6"/>
      <c r="G200" s="6"/>
      <c r="K200" s="222"/>
      <c r="V200" s="1430"/>
      <c r="AA200" s="223"/>
      <c r="AC200" s="889"/>
      <c r="AF200" s="890"/>
      <c r="AJ200" s="889"/>
      <c r="AN200" s="222"/>
      <c r="BC200" s="223"/>
      <c r="BD200" s="222"/>
      <c r="BH200" s="611"/>
      <c r="BJ200" s="15"/>
      <c r="BK200" s="15"/>
      <c r="BO200" s="223"/>
      <c r="BQ200" s="889"/>
      <c r="BT200" s="890"/>
      <c r="BX200" s="889"/>
      <c r="CB200" s="15"/>
      <c r="CC200" s="697"/>
      <c r="CD200" s="1086"/>
      <c r="CE200" s="15"/>
      <c r="CF200" s="15"/>
      <c r="CG200" s="936"/>
      <c r="CH200" s="15"/>
      <c r="CI200" s="15"/>
      <c r="CJ200" s="15"/>
      <c r="CK200" s="1107"/>
      <c r="CL200" s="22"/>
      <c r="CM200" s="22"/>
      <c r="CN200" s="1107"/>
      <c r="CR200" s="223"/>
      <c r="CS200" s="952"/>
      <c r="CT200" s="1066"/>
      <c r="CU200" s="972"/>
      <c r="CV200" s="983"/>
      <c r="CW200" s="222"/>
      <c r="CX200" s="697"/>
      <c r="DC200" s="222"/>
      <c r="DJ200" s="889"/>
      <c r="DM200" s="890"/>
      <c r="DN200" s="952"/>
      <c r="DO200" s="75"/>
      <c r="DP200" s="962"/>
      <c r="DQ200" s="983"/>
      <c r="DV200" s="889"/>
    </row>
    <row r="201" spans="1:126" s="74" customFormat="1">
      <c r="A201" s="15"/>
      <c r="B201" s="15"/>
      <c r="C201" s="15"/>
      <c r="D201" s="15"/>
      <c r="E201" s="6"/>
      <c r="F201" s="6"/>
      <c r="G201" s="6"/>
      <c r="K201" s="222"/>
      <c r="V201" s="1430"/>
      <c r="AA201" s="223"/>
      <c r="AC201" s="889"/>
      <c r="AF201" s="890"/>
      <c r="AJ201" s="889"/>
      <c r="AN201" s="222"/>
      <c r="BC201" s="223"/>
      <c r="BD201" s="222"/>
      <c r="BH201" s="611"/>
      <c r="BJ201" s="15"/>
      <c r="BK201" s="15"/>
      <c r="BO201" s="223"/>
      <c r="BQ201" s="889"/>
      <c r="BT201" s="890"/>
      <c r="BX201" s="889"/>
      <c r="CB201" s="15"/>
      <c r="CC201" s="697"/>
      <c r="CD201" s="1086"/>
      <c r="CE201" s="15"/>
      <c r="CF201" s="15"/>
      <c r="CG201" s="936"/>
      <c r="CH201" s="15"/>
      <c r="CI201" s="15"/>
      <c r="CJ201" s="15"/>
      <c r="CK201" s="1107"/>
      <c r="CL201" s="22"/>
      <c r="CM201" s="22"/>
      <c r="CN201" s="1107"/>
      <c r="CR201" s="223"/>
      <c r="CS201" s="952"/>
      <c r="CT201" s="1066"/>
      <c r="CU201" s="972"/>
      <c r="CV201" s="983"/>
      <c r="CW201" s="222"/>
      <c r="CX201" s="697"/>
      <c r="DC201" s="222"/>
      <c r="DJ201" s="889"/>
      <c r="DM201" s="890"/>
      <c r="DN201" s="952"/>
      <c r="DO201" s="75"/>
      <c r="DP201" s="962"/>
      <c r="DQ201" s="983"/>
      <c r="DV201" s="889"/>
    </row>
    <row r="202" spans="1:126" s="74" customFormat="1">
      <c r="A202" s="15"/>
      <c r="B202" s="15"/>
      <c r="C202" s="15"/>
      <c r="D202" s="15"/>
      <c r="E202" s="6"/>
      <c r="F202" s="6"/>
      <c r="G202" s="6"/>
      <c r="K202" s="222"/>
      <c r="V202" s="1430"/>
      <c r="AA202" s="223"/>
      <c r="AC202" s="889"/>
      <c r="AF202" s="890"/>
      <c r="AJ202" s="889"/>
      <c r="AN202" s="222"/>
      <c r="BC202" s="223"/>
      <c r="BD202" s="222"/>
      <c r="BH202" s="611"/>
      <c r="BJ202" s="15"/>
      <c r="BK202" s="15"/>
      <c r="BO202" s="223"/>
      <c r="BQ202" s="889"/>
      <c r="BT202" s="890"/>
      <c r="BX202" s="889"/>
      <c r="CB202" s="15"/>
      <c r="CC202" s="697"/>
      <c r="CD202" s="1086"/>
      <c r="CE202" s="15"/>
      <c r="CF202" s="15"/>
      <c r="CG202" s="936"/>
      <c r="CH202" s="15"/>
      <c r="CI202" s="15"/>
      <c r="CJ202" s="15"/>
      <c r="CK202" s="1107"/>
      <c r="CL202" s="22"/>
      <c r="CM202" s="22"/>
      <c r="CN202" s="1107"/>
      <c r="CR202" s="223"/>
      <c r="CS202" s="952"/>
      <c r="CT202" s="1066"/>
      <c r="CU202" s="972"/>
      <c r="CV202" s="983"/>
      <c r="CW202" s="222"/>
      <c r="CX202" s="697"/>
      <c r="DC202" s="222"/>
      <c r="DJ202" s="889"/>
      <c r="DM202" s="890"/>
      <c r="DN202" s="952"/>
      <c r="DO202" s="75"/>
      <c r="DP202" s="962"/>
      <c r="DQ202" s="983"/>
      <c r="DV202" s="889"/>
    </row>
    <row r="203" spans="1:126" s="74" customFormat="1">
      <c r="A203" s="15"/>
      <c r="B203" s="15"/>
      <c r="C203" s="15"/>
      <c r="D203" s="15"/>
      <c r="E203" s="6"/>
      <c r="F203" s="6"/>
      <c r="G203" s="6"/>
      <c r="K203" s="222"/>
      <c r="V203" s="1430"/>
      <c r="AA203" s="223"/>
      <c r="AC203" s="889"/>
      <c r="AF203" s="890"/>
      <c r="AJ203" s="889"/>
      <c r="AN203" s="222"/>
      <c r="BC203" s="223"/>
      <c r="BD203" s="222"/>
      <c r="BH203" s="611"/>
      <c r="BJ203" s="15"/>
      <c r="BK203" s="15"/>
      <c r="BO203" s="223"/>
      <c r="BQ203" s="889"/>
      <c r="BT203" s="890"/>
      <c r="BX203" s="889"/>
      <c r="CB203" s="15"/>
      <c r="CC203" s="697"/>
      <c r="CD203" s="1086"/>
      <c r="CE203" s="15"/>
      <c r="CF203" s="15"/>
      <c r="CG203" s="936"/>
      <c r="CH203" s="15"/>
      <c r="CI203" s="15"/>
      <c r="CJ203" s="15"/>
      <c r="CK203" s="1107"/>
      <c r="CL203" s="22"/>
      <c r="CM203" s="22"/>
      <c r="CN203" s="1107"/>
      <c r="CR203" s="223"/>
      <c r="CS203" s="952"/>
      <c r="CT203" s="1066"/>
      <c r="CU203" s="972"/>
      <c r="CV203" s="983"/>
      <c r="CW203" s="222"/>
      <c r="CX203" s="697"/>
      <c r="DC203" s="222"/>
      <c r="DJ203" s="889"/>
      <c r="DM203" s="890"/>
      <c r="DN203" s="952"/>
      <c r="DO203" s="75"/>
      <c r="DP203" s="962"/>
      <c r="DQ203" s="983"/>
      <c r="DV203" s="889"/>
    </row>
    <row r="204" spans="1:126" s="74" customFormat="1">
      <c r="A204" s="15"/>
      <c r="B204" s="15"/>
      <c r="C204" s="15"/>
      <c r="D204" s="15"/>
      <c r="E204" s="6"/>
      <c r="F204" s="6"/>
      <c r="G204" s="6"/>
      <c r="K204" s="222"/>
      <c r="V204" s="1430"/>
      <c r="AA204" s="223"/>
      <c r="AC204" s="889"/>
      <c r="AF204" s="890"/>
      <c r="AJ204" s="889"/>
      <c r="AN204" s="222"/>
      <c r="BC204" s="223"/>
      <c r="BD204" s="222"/>
      <c r="BH204" s="611"/>
      <c r="BJ204" s="15"/>
      <c r="BK204" s="15"/>
      <c r="BO204" s="223"/>
      <c r="BQ204" s="889"/>
      <c r="BT204" s="890"/>
      <c r="BX204" s="889"/>
      <c r="CB204" s="15"/>
      <c r="CC204" s="697"/>
      <c r="CD204" s="1086"/>
      <c r="CE204" s="15"/>
      <c r="CF204" s="15"/>
      <c r="CG204" s="936"/>
      <c r="CH204" s="15"/>
      <c r="CI204" s="15"/>
      <c r="CJ204" s="15"/>
      <c r="CK204" s="1107"/>
      <c r="CL204" s="22"/>
      <c r="CM204" s="22"/>
      <c r="CN204" s="1107"/>
      <c r="CR204" s="223"/>
      <c r="CS204" s="952"/>
      <c r="CT204" s="1066"/>
      <c r="CU204" s="972"/>
      <c r="CV204" s="983"/>
      <c r="CW204" s="222"/>
      <c r="CX204" s="697"/>
      <c r="DC204" s="222"/>
      <c r="DJ204" s="889"/>
      <c r="DM204" s="890"/>
      <c r="DN204" s="952"/>
      <c r="DO204" s="75"/>
      <c r="DP204" s="962"/>
      <c r="DQ204" s="983"/>
      <c r="DV204" s="889"/>
    </row>
    <row r="205" spans="1:126" s="74" customFormat="1">
      <c r="A205" s="15"/>
      <c r="B205" s="15"/>
      <c r="C205" s="15"/>
      <c r="D205" s="15"/>
      <c r="E205" s="6"/>
      <c r="F205" s="6"/>
      <c r="G205" s="6"/>
      <c r="K205" s="222"/>
      <c r="V205" s="1430"/>
      <c r="AA205" s="223"/>
      <c r="AC205" s="889"/>
      <c r="AF205" s="890"/>
      <c r="AJ205" s="889"/>
      <c r="AN205" s="222"/>
      <c r="BC205" s="223"/>
      <c r="BD205" s="222"/>
      <c r="BH205" s="611"/>
      <c r="BJ205" s="15"/>
      <c r="BK205" s="15"/>
      <c r="BO205" s="223"/>
      <c r="BQ205" s="889"/>
      <c r="BT205" s="890"/>
      <c r="BX205" s="889"/>
      <c r="CB205" s="15"/>
      <c r="CC205" s="697"/>
      <c r="CD205" s="1086"/>
      <c r="CE205" s="15"/>
      <c r="CF205" s="15"/>
      <c r="CG205" s="936"/>
      <c r="CH205" s="15"/>
      <c r="CI205" s="15"/>
      <c r="CJ205" s="15"/>
      <c r="CK205" s="1107"/>
      <c r="CL205" s="22"/>
      <c r="CM205" s="22"/>
      <c r="CN205" s="1107"/>
      <c r="CR205" s="223"/>
      <c r="CS205" s="952"/>
      <c r="CT205" s="1066"/>
      <c r="CU205" s="972"/>
      <c r="CV205" s="983"/>
      <c r="CW205" s="222"/>
      <c r="CX205" s="697"/>
      <c r="DC205" s="222"/>
      <c r="DJ205" s="889"/>
      <c r="DM205" s="890"/>
      <c r="DN205" s="952"/>
      <c r="DO205" s="75"/>
      <c r="DP205" s="962"/>
      <c r="DQ205" s="983"/>
      <c r="DV205" s="889"/>
    </row>
    <row r="206" spans="1:126" s="74" customFormat="1">
      <c r="A206" s="15"/>
      <c r="B206" s="15"/>
      <c r="C206" s="15"/>
      <c r="D206" s="15"/>
      <c r="E206" s="6"/>
      <c r="F206" s="6"/>
      <c r="G206" s="6"/>
      <c r="K206" s="222"/>
      <c r="V206" s="1430"/>
      <c r="AA206" s="223"/>
      <c r="AC206" s="889"/>
      <c r="AF206" s="890"/>
      <c r="AJ206" s="889"/>
      <c r="AN206" s="222"/>
      <c r="BC206" s="223"/>
      <c r="BD206" s="222"/>
      <c r="BH206" s="611"/>
      <c r="BJ206" s="15"/>
      <c r="BK206" s="15"/>
      <c r="BO206" s="223"/>
      <c r="BQ206" s="889"/>
      <c r="BT206" s="890"/>
      <c r="BX206" s="889"/>
      <c r="CB206" s="15"/>
      <c r="CC206" s="697"/>
      <c r="CD206" s="1086"/>
      <c r="CE206" s="15"/>
      <c r="CF206" s="15"/>
      <c r="CG206" s="936"/>
      <c r="CH206" s="15"/>
      <c r="CI206" s="15"/>
      <c r="CJ206" s="15"/>
      <c r="CK206" s="1107"/>
      <c r="CL206" s="22"/>
      <c r="CM206" s="22"/>
      <c r="CN206" s="1107"/>
      <c r="CR206" s="223"/>
      <c r="CS206" s="952"/>
      <c r="CT206" s="1066"/>
      <c r="CU206" s="972"/>
      <c r="CV206" s="983"/>
      <c r="CW206" s="222"/>
      <c r="CX206" s="697"/>
      <c r="DC206" s="222"/>
      <c r="DJ206" s="889"/>
      <c r="DM206" s="890"/>
      <c r="DN206" s="952"/>
      <c r="DO206" s="75"/>
      <c r="DP206" s="962"/>
      <c r="DQ206" s="983"/>
      <c r="DV206" s="889"/>
    </row>
    <row r="207" spans="1:126" s="74" customFormat="1">
      <c r="A207" s="15"/>
      <c r="B207" s="15"/>
      <c r="C207" s="15"/>
      <c r="D207" s="15"/>
      <c r="E207" s="6"/>
      <c r="F207" s="6"/>
      <c r="G207" s="6"/>
      <c r="K207" s="222"/>
      <c r="V207" s="1430"/>
      <c r="AA207" s="223"/>
      <c r="AC207" s="889"/>
      <c r="AF207" s="890"/>
      <c r="AJ207" s="889"/>
      <c r="AN207" s="222"/>
      <c r="BC207" s="223"/>
      <c r="BD207" s="222"/>
      <c r="BH207" s="611"/>
      <c r="BJ207" s="15"/>
      <c r="BK207" s="15"/>
      <c r="BO207" s="223"/>
      <c r="BQ207" s="889"/>
      <c r="BT207" s="890"/>
      <c r="BX207" s="889"/>
      <c r="CB207" s="15"/>
      <c r="CC207" s="697"/>
      <c r="CD207" s="1086"/>
      <c r="CE207" s="15"/>
      <c r="CF207" s="15"/>
      <c r="CG207" s="936"/>
      <c r="CH207" s="15"/>
      <c r="CI207" s="15"/>
      <c r="CJ207" s="15"/>
      <c r="CK207" s="1107"/>
      <c r="CL207" s="22"/>
      <c r="CM207" s="22"/>
      <c r="CN207" s="1107"/>
      <c r="CR207" s="223"/>
      <c r="CS207" s="952"/>
      <c r="CT207" s="1066"/>
      <c r="CU207" s="972"/>
      <c r="CV207" s="983"/>
      <c r="CW207" s="222"/>
      <c r="CX207" s="697"/>
      <c r="DC207" s="222"/>
      <c r="DJ207" s="889"/>
      <c r="DM207" s="890"/>
      <c r="DN207" s="952"/>
      <c r="DO207" s="75"/>
      <c r="DP207" s="962"/>
      <c r="DQ207" s="983"/>
      <c r="DV207" s="889"/>
    </row>
    <row r="208" spans="1:126" s="74" customFormat="1">
      <c r="A208" s="15"/>
      <c r="B208" s="15"/>
      <c r="C208" s="15"/>
      <c r="D208" s="15"/>
      <c r="E208" s="6"/>
      <c r="F208" s="6"/>
      <c r="G208" s="6"/>
      <c r="K208" s="222"/>
      <c r="V208" s="1430"/>
      <c r="AA208" s="223"/>
      <c r="AC208" s="889"/>
      <c r="AF208" s="890"/>
      <c r="AJ208" s="889"/>
      <c r="AN208" s="222"/>
      <c r="BC208" s="223"/>
      <c r="BD208" s="222"/>
      <c r="BH208" s="611"/>
      <c r="BJ208" s="15"/>
      <c r="BK208" s="15"/>
      <c r="BO208" s="223"/>
      <c r="BQ208" s="889"/>
      <c r="BT208" s="890"/>
      <c r="BX208" s="889"/>
      <c r="CB208" s="15"/>
      <c r="CC208" s="697"/>
      <c r="CD208" s="1086"/>
      <c r="CE208" s="15"/>
      <c r="CF208" s="15"/>
      <c r="CG208" s="936"/>
      <c r="CH208" s="15"/>
      <c r="CI208" s="15"/>
      <c r="CJ208" s="15"/>
      <c r="CK208" s="1107"/>
      <c r="CL208" s="22"/>
      <c r="CM208" s="22"/>
      <c r="CN208" s="1107"/>
      <c r="CR208" s="223"/>
      <c r="CS208" s="952"/>
      <c r="CT208" s="1066"/>
      <c r="CU208" s="972"/>
      <c r="CV208" s="983"/>
      <c r="CW208" s="222"/>
      <c r="CX208" s="697"/>
      <c r="DC208" s="222"/>
      <c r="DJ208" s="889"/>
      <c r="DM208" s="890"/>
      <c r="DN208" s="952"/>
      <c r="DO208" s="75"/>
      <c r="DP208" s="962"/>
      <c r="DQ208" s="983"/>
      <c r="DV208" s="889"/>
    </row>
    <row r="209" spans="1:126" s="74" customFormat="1">
      <c r="A209" s="15"/>
      <c r="B209" s="15"/>
      <c r="C209" s="15"/>
      <c r="D209" s="15"/>
      <c r="E209" s="6"/>
      <c r="F209" s="6"/>
      <c r="G209" s="6"/>
      <c r="K209" s="222"/>
      <c r="V209" s="1430"/>
      <c r="AA209" s="223"/>
      <c r="AC209" s="889"/>
      <c r="AF209" s="890"/>
      <c r="AJ209" s="889"/>
      <c r="AN209" s="222"/>
      <c r="BC209" s="223"/>
      <c r="BD209" s="222"/>
      <c r="BH209" s="611"/>
      <c r="BJ209" s="15"/>
      <c r="BK209" s="15"/>
      <c r="BO209" s="223"/>
      <c r="BQ209" s="889"/>
      <c r="BT209" s="890"/>
      <c r="BX209" s="889"/>
      <c r="CB209" s="15"/>
      <c r="CC209" s="697"/>
      <c r="CD209" s="1086"/>
      <c r="CE209" s="15"/>
      <c r="CF209" s="15"/>
      <c r="CG209" s="936"/>
      <c r="CH209" s="15"/>
      <c r="CI209" s="15"/>
      <c r="CJ209" s="15"/>
      <c r="CK209" s="1107"/>
      <c r="CL209" s="22"/>
      <c r="CM209" s="22"/>
      <c r="CN209" s="1107"/>
      <c r="CR209" s="223"/>
      <c r="CS209" s="952"/>
      <c r="CT209" s="1066"/>
      <c r="CU209" s="972"/>
      <c r="CV209" s="983"/>
      <c r="CW209" s="222"/>
      <c r="CX209" s="697"/>
      <c r="DC209" s="222"/>
      <c r="DJ209" s="889"/>
      <c r="DM209" s="890"/>
      <c r="DN209" s="952"/>
      <c r="DO209" s="75"/>
      <c r="DP209" s="962"/>
      <c r="DQ209" s="983"/>
      <c r="DV209" s="889"/>
    </row>
    <row r="210" spans="1:126" s="74" customFormat="1">
      <c r="A210" s="15"/>
      <c r="B210" s="15"/>
      <c r="C210" s="15"/>
      <c r="D210" s="15"/>
      <c r="E210" s="6"/>
      <c r="F210" s="6"/>
      <c r="G210" s="6"/>
      <c r="K210" s="222"/>
      <c r="V210" s="1430"/>
      <c r="AA210" s="223"/>
      <c r="AC210" s="889"/>
      <c r="AF210" s="890"/>
      <c r="AJ210" s="889"/>
      <c r="AN210" s="222"/>
      <c r="BC210" s="223"/>
      <c r="BD210" s="222"/>
      <c r="BH210" s="611"/>
      <c r="BJ210" s="15"/>
      <c r="BK210" s="15"/>
      <c r="BO210" s="223"/>
      <c r="BQ210" s="889"/>
      <c r="BT210" s="890"/>
      <c r="BX210" s="889"/>
      <c r="CB210" s="15"/>
      <c r="CC210" s="697"/>
      <c r="CD210" s="1086"/>
      <c r="CE210" s="15"/>
      <c r="CF210" s="15"/>
      <c r="CG210" s="936"/>
      <c r="CH210" s="15"/>
      <c r="CI210" s="15"/>
      <c r="CJ210" s="15"/>
      <c r="CK210" s="1107"/>
      <c r="CL210" s="22"/>
      <c r="CM210" s="22"/>
      <c r="CN210" s="1107"/>
      <c r="CR210" s="223"/>
      <c r="CS210" s="952"/>
      <c r="CT210" s="1066"/>
      <c r="CU210" s="972"/>
      <c r="CV210" s="983"/>
      <c r="CW210" s="222"/>
      <c r="CX210" s="697"/>
      <c r="DC210" s="222"/>
      <c r="DJ210" s="889"/>
      <c r="DM210" s="890"/>
      <c r="DN210" s="952"/>
      <c r="DO210" s="75"/>
      <c r="DP210" s="962"/>
      <c r="DQ210" s="983"/>
      <c r="DV210" s="889"/>
    </row>
    <row r="211" spans="1:126" s="74" customFormat="1">
      <c r="A211" s="15"/>
      <c r="B211" s="15"/>
      <c r="C211" s="15"/>
      <c r="D211" s="15"/>
      <c r="E211" s="6"/>
      <c r="F211" s="6"/>
      <c r="G211" s="6"/>
      <c r="K211" s="222"/>
      <c r="V211" s="1430"/>
      <c r="AA211" s="223"/>
      <c r="AC211" s="889"/>
      <c r="AF211" s="890"/>
      <c r="AJ211" s="889"/>
      <c r="AN211" s="222"/>
      <c r="BC211" s="223"/>
      <c r="BD211" s="222"/>
      <c r="BH211" s="611"/>
      <c r="BJ211" s="15"/>
      <c r="BK211" s="15"/>
      <c r="BO211" s="223"/>
      <c r="BQ211" s="889"/>
      <c r="BT211" s="890"/>
      <c r="BX211" s="889"/>
      <c r="CB211" s="15"/>
      <c r="CC211" s="697"/>
      <c r="CD211" s="1086"/>
      <c r="CE211" s="15"/>
      <c r="CF211" s="15"/>
      <c r="CG211" s="936"/>
      <c r="CH211" s="15"/>
      <c r="CI211" s="15"/>
      <c r="CJ211" s="15"/>
      <c r="CK211" s="1107"/>
      <c r="CL211" s="22"/>
      <c r="CM211" s="22"/>
      <c r="CN211" s="1107"/>
      <c r="CR211" s="223"/>
      <c r="CS211" s="952"/>
      <c r="CT211" s="1066"/>
      <c r="CU211" s="972"/>
      <c r="CV211" s="983"/>
      <c r="CW211" s="222"/>
      <c r="CX211" s="697"/>
      <c r="DC211" s="222"/>
      <c r="DJ211" s="889"/>
      <c r="DM211" s="890"/>
      <c r="DN211" s="952"/>
      <c r="DO211" s="75"/>
      <c r="DP211" s="962"/>
      <c r="DQ211" s="983"/>
      <c r="DV211" s="889"/>
    </row>
    <row r="212" spans="1:126" s="74" customFormat="1">
      <c r="A212" s="15"/>
      <c r="B212" s="15"/>
      <c r="C212" s="15"/>
      <c r="D212" s="15"/>
      <c r="E212" s="6"/>
      <c r="F212" s="6"/>
      <c r="G212" s="6"/>
      <c r="K212" s="222"/>
      <c r="V212" s="1430"/>
      <c r="AA212" s="223"/>
      <c r="AC212" s="889"/>
      <c r="AF212" s="890"/>
      <c r="AJ212" s="889"/>
      <c r="AN212" s="222"/>
      <c r="BC212" s="223"/>
      <c r="BD212" s="222"/>
      <c r="BH212" s="611"/>
      <c r="BJ212" s="15"/>
      <c r="BK212" s="15"/>
      <c r="BO212" s="223"/>
      <c r="BQ212" s="889"/>
      <c r="BT212" s="890"/>
      <c r="BX212" s="889"/>
      <c r="CB212" s="15"/>
      <c r="CC212" s="697"/>
      <c r="CD212" s="1086"/>
      <c r="CE212" s="15"/>
      <c r="CF212" s="15"/>
      <c r="CG212" s="936"/>
      <c r="CH212" s="15"/>
      <c r="CI212" s="15"/>
      <c r="CJ212" s="15"/>
      <c r="CK212" s="1107"/>
      <c r="CL212" s="22"/>
      <c r="CM212" s="22"/>
      <c r="CN212" s="1107"/>
      <c r="CR212" s="223"/>
      <c r="CS212" s="952"/>
      <c r="CT212" s="1066"/>
      <c r="CU212" s="972"/>
      <c r="CV212" s="983"/>
      <c r="CW212" s="222"/>
      <c r="CX212" s="697"/>
      <c r="DC212" s="222"/>
      <c r="DJ212" s="889"/>
      <c r="DM212" s="890"/>
      <c r="DN212" s="952"/>
      <c r="DO212" s="75"/>
      <c r="DP212" s="962"/>
      <c r="DQ212" s="983"/>
      <c r="DV212" s="889"/>
    </row>
    <row r="213" spans="1:126" s="74" customFormat="1">
      <c r="A213" s="15"/>
      <c r="B213" s="15"/>
      <c r="C213" s="15"/>
      <c r="D213" s="15"/>
      <c r="E213" s="6"/>
      <c r="F213" s="6"/>
      <c r="G213" s="6"/>
      <c r="K213" s="222"/>
      <c r="V213" s="1430"/>
      <c r="AA213" s="223"/>
      <c r="AC213" s="889"/>
      <c r="AF213" s="890"/>
      <c r="AJ213" s="889"/>
      <c r="AN213" s="222"/>
      <c r="BC213" s="223"/>
      <c r="BD213" s="222"/>
      <c r="BH213" s="611"/>
      <c r="BJ213" s="15"/>
      <c r="BK213" s="15"/>
      <c r="BO213" s="223"/>
      <c r="BQ213" s="889"/>
      <c r="BT213" s="890"/>
      <c r="BX213" s="889"/>
      <c r="CB213" s="15"/>
      <c r="CC213" s="697"/>
      <c r="CD213" s="1086"/>
      <c r="CE213" s="15"/>
      <c r="CF213" s="15"/>
      <c r="CG213" s="936"/>
      <c r="CH213" s="15"/>
      <c r="CI213" s="15"/>
      <c r="CJ213" s="15"/>
      <c r="CK213" s="1107"/>
      <c r="CL213" s="22"/>
      <c r="CM213" s="22"/>
      <c r="CN213" s="1107"/>
      <c r="CR213" s="223"/>
      <c r="CS213" s="952"/>
      <c r="CT213" s="1066"/>
      <c r="CU213" s="972"/>
      <c r="CV213" s="983"/>
      <c r="CW213" s="222"/>
      <c r="CX213" s="697"/>
      <c r="DC213" s="222"/>
      <c r="DJ213" s="889"/>
      <c r="DM213" s="890"/>
      <c r="DN213" s="952"/>
      <c r="DO213" s="75"/>
      <c r="DP213" s="962"/>
      <c r="DQ213" s="983"/>
      <c r="DV213" s="889"/>
    </row>
    <row r="214" spans="1:126" s="74" customFormat="1">
      <c r="A214" s="15"/>
      <c r="B214" s="15"/>
      <c r="C214" s="15"/>
      <c r="D214" s="15"/>
      <c r="E214" s="6"/>
      <c r="F214" s="6"/>
      <c r="G214" s="6"/>
      <c r="K214" s="222"/>
      <c r="V214" s="1430"/>
      <c r="AA214" s="223"/>
      <c r="AC214" s="889"/>
      <c r="AF214" s="890"/>
      <c r="AJ214" s="889"/>
      <c r="AN214" s="222"/>
      <c r="BC214" s="223"/>
      <c r="BD214" s="222"/>
      <c r="BH214" s="611"/>
      <c r="BJ214" s="15"/>
      <c r="BK214" s="15"/>
      <c r="BO214" s="223"/>
      <c r="BQ214" s="889"/>
      <c r="BT214" s="890"/>
      <c r="BX214" s="889"/>
      <c r="CB214" s="15"/>
      <c r="CC214" s="697"/>
      <c r="CD214" s="1086"/>
      <c r="CE214" s="15"/>
      <c r="CF214" s="15"/>
      <c r="CG214" s="936"/>
      <c r="CH214" s="15"/>
      <c r="CI214" s="15"/>
      <c r="CJ214" s="15"/>
      <c r="CK214" s="1107"/>
      <c r="CL214" s="22"/>
      <c r="CM214" s="22"/>
      <c r="CN214" s="1107"/>
      <c r="CR214" s="223"/>
      <c r="CS214" s="952"/>
      <c r="CT214" s="1066"/>
      <c r="CU214" s="972"/>
      <c r="CV214" s="983"/>
      <c r="CW214" s="222"/>
      <c r="CX214" s="697"/>
      <c r="DC214" s="222"/>
      <c r="DJ214" s="889"/>
      <c r="DM214" s="890"/>
      <c r="DN214" s="952"/>
      <c r="DO214" s="75"/>
      <c r="DP214" s="962"/>
      <c r="DQ214" s="983"/>
      <c r="DV214" s="889"/>
    </row>
    <row r="215" spans="1:126" s="74" customFormat="1">
      <c r="A215" s="15"/>
      <c r="B215" s="15"/>
      <c r="C215" s="15"/>
      <c r="D215" s="15"/>
      <c r="E215" s="6"/>
      <c r="F215" s="6"/>
      <c r="G215" s="6"/>
      <c r="K215" s="222"/>
      <c r="V215" s="1430"/>
      <c r="AA215" s="223"/>
      <c r="AC215" s="889"/>
      <c r="AF215" s="890"/>
      <c r="AJ215" s="889"/>
      <c r="AN215" s="222"/>
      <c r="BC215" s="223"/>
      <c r="BD215" s="222"/>
      <c r="BH215" s="611"/>
      <c r="BJ215" s="15"/>
      <c r="BK215" s="15"/>
      <c r="BO215" s="223"/>
      <c r="BQ215" s="889"/>
      <c r="BT215" s="890"/>
      <c r="BX215" s="889"/>
      <c r="CB215" s="15"/>
      <c r="CC215" s="697"/>
      <c r="CD215" s="1086"/>
      <c r="CE215" s="15"/>
      <c r="CF215" s="15"/>
      <c r="CG215" s="936"/>
      <c r="CH215" s="15"/>
      <c r="CI215" s="15"/>
      <c r="CJ215" s="15"/>
      <c r="CK215" s="1107"/>
      <c r="CL215" s="22"/>
      <c r="CM215" s="22"/>
      <c r="CN215" s="1107"/>
      <c r="CR215" s="223"/>
      <c r="CS215" s="952"/>
      <c r="CT215" s="1066"/>
      <c r="CU215" s="972"/>
      <c r="CV215" s="983"/>
      <c r="CW215" s="222"/>
      <c r="CX215" s="697"/>
      <c r="DC215" s="222"/>
      <c r="DJ215" s="889"/>
      <c r="DM215" s="890"/>
      <c r="DN215" s="952"/>
      <c r="DO215" s="75"/>
      <c r="DP215" s="962"/>
      <c r="DQ215" s="983"/>
      <c r="DV215" s="889"/>
    </row>
    <row r="216" spans="1:126" s="74" customFormat="1">
      <c r="A216" s="15"/>
      <c r="B216" s="15"/>
      <c r="C216" s="15"/>
      <c r="D216" s="15"/>
      <c r="E216" s="6"/>
      <c r="F216" s="6"/>
      <c r="G216" s="6"/>
      <c r="K216" s="222"/>
      <c r="V216" s="1430"/>
      <c r="AA216" s="223"/>
      <c r="AC216" s="889"/>
      <c r="AF216" s="890"/>
      <c r="AJ216" s="889"/>
      <c r="AN216" s="222"/>
      <c r="BC216" s="223"/>
      <c r="BD216" s="222"/>
      <c r="BH216" s="611"/>
      <c r="BJ216" s="15"/>
      <c r="BK216" s="15"/>
      <c r="BO216" s="223"/>
      <c r="BQ216" s="889"/>
      <c r="BT216" s="890"/>
      <c r="BX216" s="889"/>
      <c r="CB216" s="15"/>
      <c r="CC216" s="697"/>
      <c r="CD216" s="1086"/>
      <c r="CE216" s="15"/>
      <c r="CF216" s="15"/>
      <c r="CG216" s="936"/>
      <c r="CH216" s="15"/>
      <c r="CI216" s="15"/>
      <c r="CJ216" s="15"/>
      <c r="CK216" s="1107"/>
      <c r="CL216" s="22"/>
      <c r="CM216" s="22"/>
      <c r="CN216" s="1107"/>
      <c r="CR216" s="223"/>
      <c r="CS216" s="952"/>
      <c r="CT216" s="1066"/>
      <c r="CU216" s="972"/>
      <c r="CV216" s="983"/>
      <c r="CW216" s="222"/>
      <c r="CX216" s="697"/>
      <c r="DC216" s="222"/>
      <c r="DJ216" s="889"/>
      <c r="DM216" s="890"/>
      <c r="DN216" s="952"/>
      <c r="DO216" s="75"/>
      <c r="DP216" s="962"/>
      <c r="DQ216" s="983"/>
      <c r="DV216" s="889"/>
    </row>
    <row r="217" spans="1:126" s="74" customFormat="1">
      <c r="A217" s="15"/>
      <c r="B217" s="15"/>
      <c r="C217" s="15"/>
      <c r="D217" s="15"/>
      <c r="E217" s="6"/>
      <c r="F217" s="6"/>
      <c r="G217" s="6"/>
      <c r="K217" s="222"/>
      <c r="V217" s="1430"/>
      <c r="AA217" s="223"/>
      <c r="AC217" s="889"/>
      <c r="AF217" s="890"/>
      <c r="AJ217" s="889"/>
      <c r="AN217" s="222"/>
      <c r="BC217" s="223"/>
      <c r="BD217" s="222"/>
      <c r="BH217" s="611"/>
      <c r="BJ217" s="15"/>
      <c r="BK217" s="15"/>
      <c r="BO217" s="223"/>
      <c r="BQ217" s="889"/>
      <c r="BT217" s="890"/>
      <c r="BX217" s="889"/>
      <c r="CB217" s="15"/>
      <c r="CC217" s="697"/>
      <c r="CD217" s="1086"/>
      <c r="CE217" s="15"/>
      <c r="CF217" s="15"/>
      <c r="CG217" s="936"/>
      <c r="CH217" s="15"/>
      <c r="CI217" s="15"/>
      <c r="CJ217" s="15"/>
      <c r="CK217" s="1107"/>
      <c r="CL217" s="22"/>
      <c r="CM217" s="22"/>
      <c r="CN217" s="1107"/>
      <c r="CR217" s="223"/>
      <c r="CS217" s="952"/>
      <c r="CT217" s="1066"/>
      <c r="CU217" s="972"/>
      <c r="CV217" s="983"/>
      <c r="CW217" s="222"/>
      <c r="CX217" s="697"/>
      <c r="DC217" s="222"/>
      <c r="DJ217" s="889"/>
      <c r="DM217" s="890"/>
      <c r="DN217" s="952"/>
      <c r="DO217" s="75"/>
      <c r="DP217" s="962"/>
      <c r="DQ217" s="983"/>
      <c r="DV217" s="889"/>
    </row>
    <row r="218" spans="1:126" s="74" customFormat="1">
      <c r="A218" s="15"/>
      <c r="B218" s="15"/>
      <c r="C218" s="15"/>
      <c r="D218" s="15"/>
      <c r="E218" s="6"/>
      <c r="F218" s="6"/>
      <c r="G218" s="6"/>
      <c r="K218" s="222"/>
      <c r="V218" s="1430"/>
      <c r="AA218" s="223"/>
      <c r="AC218" s="889"/>
      <c r="AF218" s="890"/>
      <c r="AJ218" s="889"/>
      <c r="AN218" s="222"/>
      <c r="BC218" s="223"/>
      <c r="BD218" s="222"/>
      <c r="BH218" s="611"/>
      <c r="BJ218" s="15"/>
      <c r="BK218" s="15"/>
      <c r="BO218" s="223"/>
      <c r="BQ218" s="889"/>
      <c r="BT218" s="890"/>
      <c r="BX218" s="889"/>
      <c r="CB218" s="15"/>
      <c r="CC218" s="697"/>
      <c r="CD218" s="1086"/>
      <c r="CE218" s="15"/>
      <c r="CF218" s="15"/>
      <c r="CG218" s="936"/>
      <c r="CH218" s="15"/>
      <c r="CI218" s="15"/>
      <c r="CJ218" s="15"/>
      <c r="CK218" s="1107"/>
      <c r="CL218" s="22"/>
      <c r="CM218" s="22"/>
      <c r="CN218" s="1107"/>
      <c r="CR218" s="223"/>
      <c r="CS218" s="952"/>
      <c r="CT218" s="1066"/>
      <c r="CU218" s="972"/>
      <c r="CV218" s="983"/>
      <c r="CW218" s="222"/>
      <c r="CX218" s="697"/>
      <c r="DC218" s="222"/>
      <c r="DJ218" s="889"/>
      <c r="DM218" s="890"/>
      <c r="DN218" s="952"/>
      <c r="DO218" s="75"/>
      <c r="DP218" s="962"/>
      <c r="DQ218" s="983"/>
      <c r="DV218" s="889"/>
    </row>
    <row r="219" spans="1:126" s="74" customFormat="1">
      <c r="A219" s="15"/>
      <c r="B219" s="15"/>
      <c r="C219" s="15"/>
      <c r="D219" s="15"/>
      <c r="E219" s="6"/>
      <c r="F219" s="6"/>
      <c r="G219" s="6"/>
      <c r="K219" s="222"/>
      <c r="V219" s="1430"/>
      <c r="AA219" s="223"/>
      <c r="AC219" s="889"/>
      <c r="AF219" s="890"/>
      <c r="AJ219" s="889"/>
      <c r="AN219" s="222"/>
      <c r="BC219" s="223"/>
      <c r="BD219" s="222"/>
      <c r="BH219" s="611"/>
      <c r="BJ219" s="15"/>
      <c r="BK219" s="15"/>
      <c r="BO219" s="223"/>
      <c r="BQ219" s="889"/>
      <c r="BT219" s="890"/>
      <c r="BX219" s="889"/>
      <c r="CB219" s="15"/>
      <c r="CC219" s="697"/>
      <c r="CD219" s="1086"/>
      <c r="CE219" s="15"/>
      <c r="CF219" s="15"/>
      <c r="CG219" s="936"/>
      <c r="CH219" s="15"/>
      <c r="CI219" s="15"/>
      <c r="CJ219" s="15"/>
      <c r="CK219" s="1107"/>
      <c r="CL219" s="22"/>
      <c r="CM219" s="22"/>
      <c r="CN219" s="1107"/>
      <c r="CR219" s="223"/>
      <c r="CS219" s="952"/>
      <c r="CT219" s="1066"/>
      <c r="CU219" s="972"/>
      <c r="CV219" s="983"/>
      <c r="CW219" s="222"/>
      <c r="CX219" s="697"/>
      <c r="DC219" s="222"/>
      <c r="DJ219" s="889"/>
      <c r="DM219" s="890"/>
      <c r="DN219" s="952"/>
      <c r="DO219" s="75"/>
      <c r="DP219" s="962"/>
      <c r="DQ219" s="983"/>
      <c r="DV219" s="889"/>
    </row>
    <row r="220" spans="1:126" s="74" customFormat="1">
      <c r="A220" s="15"/>
      <c r="B220" s="15"/>
      <c r="C220" s="15"/>
      <c r="D220" s="15"/>
      <c r="E220" s="6"/>
      <c r="F220" s="6"/>
      <c r="G220" s="6"/>
      <c r="K220" s="222"/>
      <c r="V220" s="1430"/>
      <c r="AA220" s="223"/>
      <c r="AC220" s="889"/>
      <c r="AF220" s="890"/>
      <c r="AJ220" s="889"/>
      <c r="AN220" s="222"/>
      <c r="BC220" s="223"/>
      <c r="BD220" s="222"/>
      <c r="BH220" s="611"/>
      <c r="BJ220" s="15"/>
      <c r="BK220" s="15"/>
      <c r="BO220" s="223"/>
      <c r="BQ220" s="889"/>
      <c r="BT220" s="890"/>
      <c r="BX220" s="889"/>
      <c r="CB220" s="15"/>
      <c r="CC220" s="697"/>
      <c r="CD220" s="1086"/>
      <c r="CE220" s="15"/>
      <c r="CF220" s="15"/>
      <c r="CG220" s="936"/>
      <c r="CH220" s="15"/>
      <c r="CI220" s="15"/>
      <c r="CJ220" s="15"/>
      <c r="CK220" s="1107"/>
      <c r="CL220" s="22"/>
      <c r="CM220" s="22"/>
      <c r="CN220" s="1107"/>
      <c r="CR220" s="223"/>
      <c r="CS220" s="952"/>
      <c r="CT220" s="1066"/>
      <c r="CU220" s="972"/>
      <c r="CV220" s="983"/>
      <c r="CW220" s="222"/>
      <c r="CX220" s="697"/>
      <c r="DC220" s="222"/>
      <c r="DJ220" s="889"/>
      <c r="DM220" s="890"/>
      <c r="DN220" s="952"/>
      <c r="DO220" s="75"/>
      <c r="DP220" s="962"/>
      <c r="DQ220" s="983"/>
      <c r="DV220" s="889"/>
    </row>
    <row r="221" spans="1:126" s="74" customFormat="1">
      <c r="A221" s="15"/>
      <c r="B221" s="15"/>
      <c r="C221" s="15"/>
      <c r="D221" s="15"/>
      <c r="E221" s="6"/>
      <c r="F221" s="6"/>
      <c r="G221" s="6"/>
      <c r="K221" s="222"/>
      <c r="V221" s="1430"/>
      <c r="AA221" s="223"/>
      <c r="AC221" s="889"/>
      <c r="AF221" s="890"/>
      <c r="AJ221" s="889"/>
      <c r="AN221" s="222"/>
      <c r="BC221" s="223"/>
      <c r="BD221" s="222"/>
      <c r="BH221" s="611"/>
      <c r="BJ221" s="15"/>
      <c r="BK221" s="15"/>
      <c r="BO221" s="223"/>
      <c r="BQ221" s="889"/>
      <c r="BT221" s="890"/>
      <c r="BX221" s="889"/>
      <c r="CB221" s="15"/>
      <c r="CC221" s="697"/>
      <c r="CD221" s="1086"/>
      <c r="CE221" s="15"/>
      <c r="CF221" s="15"/>
      <c r="CG221" s="936"/>
      <c r="CH221" s="15"/>
      <c r="CI221" s="15"/>
      <c r="CJ221" s="15"/>
      <c r="CK221" s="1107"/>
      <c r="CL221" s="22"/>
      <c r="CM221" s="22"/>
      <c r="CN221" s="1107"/>
      <c r="CR221" s="223"/>
      <c r="CS221" s="952"/>
      <c r="CT221" s="1066"/>
      <c r="CU221" s="972"/>
      <c r="CV221" s="983"/>
      <c r="CW221" s="222"/>
      <c r="CX221" s="697"/>
      <c r="DC221" s="222"/>
      <c r="DJ221" s="889"/>
      <c r="DM221" s="890"/>
      <c r="DN221" s="952"/>
      <c r="DO221" s="75"/>
      <c r="DP221" s="962"/>
      <c r="DQ221" s="983"/>
      <c r="DV221" s="889"/>
    </row>
    <row r="222" spans="1:126" s="74" customFormat="1">
      <c r="A222" s="15"/>
      <c r="B222" s="15"/>
      <c r="C222" s="15"/>
      <c r="D222" s="15"/>
      <c r="E222" s="6"/>
      <c r="F222" s="6"/>
      <c r="G222" s="6"/>
      <c r="K222" s="222"/>
      <c r="V222" s="1430"/>
      <c r="AA222" s="223"/>
      <c r="AC222" s="889"/>
      <c r="AF222" s="890"/>
      <c r="AJ222" s="889"/>
      <c r="AN222" s="222"/>
      <c r="BC222" s="223"/>
      <c r="BD222" s="222"/>
      <c r="BH222" s="611"/>
      <c r="BJ222" s="15"/>
      <c r="BK222" s="15"/>
      <c r="BO222" s="223"/>
      <c r="BQ222" s="889"/>
      <c r="BT222" s="890"/>
      <c r="BX222" s="889"/>
      <c r="CB222" s="15"/>
      <c r="CC222" s="697"/>
      <c r="CD222" s="1086"/>
      <c r="CE222" s="15"/>
      <c r="CF222" s="15"/>
      <c r="CG222" s="936"/>
      <c r="CH222" s="15"/>
      <c r="CI222" s="15"/>
      <c r="CJ222" s="15"/>
      <c r="CK222" s="1107"/>
      <c r="CL222" s="22"/>
      <c r="CM222" s="22"/>
      <c r="CN222" s="1107"/>
      <c r="CR222" s="223"/>
      <c r="CS222" s="952"/>
      <c r="CT222" s="1066"/>
      <c r="CU222" s="972"/>
      <c r="CV222" s="983"/>
      <c r="CW222" s="222"/>
      <c r="CX222" s="697"/>
      <c r="DC222" s="222"/>
      <c r="DJ222" s="889"/>
      <c r="DM222" s="890"/>
      <c r="DN222" s="952"/>
      <c r="DO222" s="75"/>
      <c r="DP222" s="962"/>
      <c r="DQ222" s="983"/>
      <c r="DV222" s="889"/>
    </row>
    <row r="223" spans="1:126" s="74" customFormat="1">
      <c r="A223" s="15"/>
      <c r="B223" s="15"/>
      <c r="C223" s="15"/>
      <c r="D223" s="15"/>
      <c r="E223" s="6"/>
      <c r="F223" s="6"/>
      <c r="G223" s="6"/>
      <c r="K223" s="222"/>
      <c r="V223" s="1430"/>
      <c r="AA223" s="223"/>
      <c r="AC223" s="889"/>
      <c r="AF223" s="890"/>
      <c r="AJ223" s="889"/>
      <c r="AN223" s="222"/>
      <c r="BC223" s="223"/>
      <c r="BD223" s="222"/>
      <c r="BH223" s="611"/>
      <c r="BJ223" s="15"/>
      <c r="BK223" s="15"/>
      <c r="BO223" s="223"/>
      <c r="BQ223" s="889"/>
      <c r="BT223" s="890"/>
      <c r="BX223" s="889"/>
      <c r="CB223" s="15"/>
      <c r="CC223" s="697"/>
      <c r="CD223" s="1086"/>
      <c r="CE223" s="15"/>
      <c r="CF223" s="15"/>
      <c r="CG223" s="936"/>
      <c r="CH223" s="15"/>
      <c r="CI223" s="15"/>
      <c r="CJ223" s="15"/>
      <c r="CK223" s="1107"/>
      <c r="CL223" s="22"/>
      <c r="CM223" s="22"/>
      <c r="CN223" s="1107"/>
      <c r="CR223" s="223"/>
      <c r="CS223" s="952"/>
      <c r="CT223" s="1066"/>
      <c r="CU223" s="972"/>
      <c r="CV223" s="983"/>
      <c r="CW223" s="222"/>
      <c r="CX223" s="697"/>
      <c r="DC223" s="222"/>
      <c r="DJ223" s="889"/>
      <c r="DM223" s="890"/>
      <c r="DN223" s="952"/>
      <c r="DO223" s="75"/>
      <c r="DP223" s="962"/>
      <c r="DQ223" s="983"/>
      <c r="DV223" s="889"/>
    </row>
    <row r="224" spans="1:126" s="74" customFormat="1">
      <c r="A224" s="15"/>
      <c r="B224" s="15"/>
      <c r="C224" s="15"/>
      <c r="D224" s="15"/>
      <c r="E224" s="6"/>
      <c r="F224" s="6"/>
      <c r="G224" s="6"/>
      <c r="K224" s="222"/>
      <c r="V224" s="1430"/>
      <c r="AA224" s="223"/>
      <c r="AC224" s="889"/>
      <c r="AF224" s="890"/>
      <c r="AJ224" s="889"/>
      <c r="AN224" s="222"/>
      <c r="BC224" s="223"/>
      <c r="BD224" s="222"/>
      <c r="BH224" s="611"/>
      <c r="BJ224" s="15"/>
      <c r="BK224" s="15"/>
      <c r="BO224" s="223"/>
      <c r="BQ224" s="889"/>
      <c r="BT224" s="890"/>
      <c r="BX224" s="889"/>
      <c r="CB224" s="15"/>
      <c r="CC224" s="697"/>
      <c r="CD224" s="1086"/>
      <c r="CE224" s="15"/>
      <c r="CF224" s="15"/>
      <c r="CG224" s="936"/>
      <c r="CH224" s="15"/>
      <c r="CI224" s="15"/>
      <c r="CJ224" s="15"/>
      <c r="CK224" s="1107"/>
      <c r="CL224" s="22"/>
      <c r="CM224" s="22"/>
      <c r="CN224" s="1107"/>
      <c r="CR224" s="223"/>
      <c r="CS224" s="952"/>
      <c r="CT224" s="1066"/>
      <c r="CU224" s="972"/>
      <c r="CV224" s="983"/>
      <c r="CW224" s="222"/>
      <c r="CX224" s="697"/>
      <c r="DC224" s="222"/>
      <c r="DJ224" s="889"/>
      <c r="DM224" s="890"/>
      <c r="DN224" s="952"/>
      <c r="DO224" s="75"/>
      <c r="DP224" s="962"/>
      <c r="DQ224" s="983"/>
      <c r="DV224" s="889"/>
    </row>
    <row r="225" spans="1:126" s="74" customFormat="1">
      <c r="A225" s="15"/>
      <c r="B225" s="15"/>
      <c r="C225" s="15"/>
      <c r="D225" s="15"/>
      <c r="E225" s="6"/>
      <c r="F225" s="6"/>
      <c r="G225" s="6"/>
      <c r="K225" s="222"/>
      <c r="V225" s="1430"/>
      <c r="AA225" s="223"/>
      <c r="AC225" s="889"/>
      <c r="AF225" s="890"/>
      <c r="AJ225" s="889"/>
      <c r="AN225" s="222"/>
      <c r="BC225" s="223"/>
      <c r="BD225" s="222"/>
      <c r="BH225" s="611"/>
      <c r="BJ225" s="15"/>
      <c r="BK225" s="15"/>
      <c r="BO225" s="223"/>
      <c r="BQ225" s="889"/>
      <c r="BT225" s="890"/>
      <c r="BX225" s="889"/>
      <c r="CB225" s="15"/>
      <c r="CC225" s="697"/>
      <c r="CD225" s="1086"/>
      <c r="CE225" s="15"/>
      <c r="CF225" s="15"/>
      <c r="CG225" s="936"/>
      <c r="CH225" s="15"/>
      <c r="CI225" s="15"/>
      <c r="CJ225" s="15"/>
      <c r="CK225" s="1107"/>
      <c r="CL225" s="22"/>
      <c r="CM225" s="22"/>
      <c r="CN225" s="1107"/>
      <c r="CR225" s="223"/>
      <c r="CS225" s="952"/>
      <c r="CT225" s="1066"/>
      <c r="CU225" s="972"/>
      <c r="CV225" s="983"/>
      <c r="CW225" s="222"/>
      <c r="CX225" s="697"/>
      <c r="DC225" s="222"/>
      <c r="DJ225" s="889"/>
      <c r="DM225" s="890"/>
      <c r="DN225" s="952"/>
      <c r="DO225" s="75"/>
      <c r="DP225" s="962"/>
      <c r="DQ225" s="983"/>
      <c r="DV225" s="889"/>
    </row>
    <row r="226" spans="1:126" s="74" customFormat="1">
      <c r="A226" s="15"/>
      <c r="B226" s="15"/>
      <c r="C226" s="15"/>
      <c r="D226" s="15"/>
      <c r="E226" s="6"/>
      <c r="F226" s="6"/>
      <c r="G226" s="6"/>
      <c r="K226" s="222"/>
      <c r="V226" s="1430"/>
      <c r="AA226" s="223"/>
      <c r="AC226" s="889"/>
      <c r="AF226" s="890"/>
      <c r="AJ226" s="889"/>
      <c r="AN226" s="222"/>
      <c r="BC226" s="223"/>
      <c r="BD226" s="222"/>
      <c r="BH226" s="611"/>
      <c r="BJ226" s="15"/>
      <c r="BK226" s="15"/>
      <c r="BO226" s="223"/>
      <c r="BQ226" s="889"/>
      <c r="BT226" s="890"/>
      <c r="BX226" s="889"/>
      <c r="CB226" s="15"/>
      <c r="CC226" s="697"/>
      <c r="CD226" s="1086"/>
      <c r="CE226" s="15"/>
      <c r="CF226" s="15"/>
      <c r="CG226" s="936"/>
      <c r="CH226" s="15"/>
      <c r="CI226" s="15"/>
      <c r="CJ226" s="15"/>
      <c r="CK226" s="1107"/>
      <c r="CL226" s="22"/>
      <c r="CM226" s="22"/>
      <c r="CN226" s="1107"/>
      <c r="CR226" s="223"/>
      <c r="CS226" s="952"/>
      <c r="CT226" s="1066"/>
      <c r="CU226" s="972"/>
      <c r="CV226" s="983"/>
      <c r="CW226" s="222"/>
      <c r="CX226" s="697"/>
      <c r="DC226" s="222"/>
      <c r="DJ226" s="889"/>
      <c r="DM226" s="890"/>
      <c r="DN226" s="952"/>
      <c r="DO226" s="75"/>
      <c r="DP226" s="962"/>
      <c r="DQ226" s="983"/>
      <c r="DV226" s="889"/>
    </row>
    <row r="227" spans="1:126" s="74" customFormat="1">
      <c r="A227" s="15"/>
      <c r="B227" s="15"/>
      <c r="C227" s="15"/>
      <c r="D227" s="15"/>
      <c r="E227" s="6"/>
      <c r="F227" s="6"/>
      <c r="G227" s="6"/>
      <c r="K227" s="222"/>
      <c r="V227" s="1430"/>
      <c r="AA227" s="223"/>
      <c r="AC227" s="889"/>
      <c r="AF227" s="890"/>
      <c r="AJ227" s="889"/>
      <c r="AN227" s="222"/>
      <c r="BC227" s="223"/>
      <c r="BD227" s="222"/>
      <c r="BH227" s="611"/>
      <c r="BJ227" s="15"/>
      <c r="BK227" s="15"/>
      <c r="BO227" s="223"/>
      <c r="BQ227" s="889"/>
      <c r="BT227" s="890"/>
      <c r="BX227" s="889"/>
      <c r="CB227" s="15"/>
      <c r="CC227" s="697"/>
      <c r="CD227" s="1086"/>
      <c r="CE227" s="15"/>
      <c r="CF227" s="15"/>
      <c r="CG227" s="936"/>
      <c r="CH227" s="15"/>
      <c r="CI227" s="15"/>
      <c r="CJ227" s="15"/>
      <c r="CK227" s="1107"/>
      <c r="CL227" s="22"/>
      <c r="CM227" s="22"/>
      <c r="CN227" s="1107"/>
      <c r="CR227" s="223"/>
      <c r="CS227" s="952"/>
      <c r="CT227" s="1066"/>
      <c r="CU227" s="972"/>
      <c r="CV227" s="983"/>
      <c r="CW227" s="222"/>
      <c r="CX227" s="697"/>
      <c r="DC227" s="222"/>
      <c r="DJ227" s="889"/>
      <c r="DM227" s="890"/>
      <c r="DN227" s="952"/>
      <c r="DO227" s="75"/>
      <c r="DP227" s="962"/>
      <c r="DQ227" s="983"/>
      <c r="DV227" s="889"/>
    </row>
    <row r="228" spans="1:126" s="74" customFormat="1">
      <c r="A228" s="15"/>
      <c r="B228" s="15"/>
      <c r="C228" s="15"/>
      <c r="D228" s="15"/>
      <c r="E228" s="6"/>
      <c r="F228" s="6"/>
      <c r="G228" s="6"/>
      <c r="K228" s="222"/>
      <c r="V228" s="1430"/>
      <c r="AA228" s="223"/>
      <c r="AC228" s="889"/>
      <c r="AF228" s="890"/>
      <c r="AJ228" s="889"/>
      <c r="AN228" s="222"/>
      <c r="BC228" s="223"/>
      <c r="BD228" s="222"/>
      <c r="BH228" s="611"/>
      <c r="BJ228" s="15"/>
      <c r="BK228" s="15"/>
      <c r="BO228" s="223"/>
      <c r="BQ228" s="889"/>
      <c r="BT228" s="890"/>
      <c r="BX228" s="889"/>
      <c r="CB228" s="15"/>
      <c r="CC228" s="697"/>
      <c r="CD228" s="1086"/>
      <c r="CE228" s="15"/>
      <c r="CF228" s="15"/>
      <c r="CG228" s="936"/>
      <c r="CH228" s="15"/>
      <c r="CI228" s="15"/>
      <c r="CJ228" s="15"/>
      <c r="CK228" s="1107"/>
      <c r="CL228" s="22"/>
      <c r="CM228" s="22"/>
      <c r="CN228" s="1107"/>
      <c r="CR228" s="223"/>
      <c r="CS228" s="952"/>
      <c r="CT228" s="1066"/>
      <c r="CU228" s="972"/>
      <c r="CV228" s="983"/>
      <c r="CW228" s="222"/>
      <c r="CX228" s="697"/>
      <c r="DC228" s="222"/>
      <c r="DJ228" s="889"/>
      <c r="DM228" s="890"/>
      <c r="DN228" s="952"/>
      <c r="DO228" s="75"/>
      <c r="DP228" s="962"/>
      <c r="DQ228" s="983"/>
      <c r="DV228" s="889"/>
    </row>
    <row r="229" spans="1:126" s="74" customFormat="1">
      <c r="A229" s="15"/>
      <c r="B229" s="15"/>
      <c r="C229" s="15"/>
      <c r="D229" s="15"/>
      <c r="E229" s="6"/>
      <c r="F229" s="6"/>
      <c r="G229" s="6"/>
      <c r="K229" s="222"/>
      <c r="V229" s="1430"/>
      <c r="AA229" s="223"/>
      <c r="AC229" s="889"/>
      <c r="AF229" s="890"/>
      <c r="AJ229" s="889"/>
      <c r="AN229" s="222"/>
      <c r="BC229" s="223"/>
      <c r="BD229" s="222"/>
      <c r="BH229" s="611"/>
      <c r="BJ229" s="15"/>
      <c r="BK229" s="15"/>
      <c r="BO229" s="223"/>
      <c r="BQ229" s="889"/>
      <c r="BT229" s="890"/>
      <c r="BX229" s="889"/>
      <c r="CB229" s="15"/>
      <c r="CC229" s="697"/>
      <c r="CD229" s="1086"/>
      <c r="CE229" s="15"/>
      <c r="CF229" s="15"/>
      <c r="CG229" s="936"/>
      <c r="CH229" s="15"/>
      <c r="CI229" s="15"/>
      <c r="CJ229" s="15"/>
      <c r="CK229" s="1107"/>
      <c r="CL229" s="22"/>
      <c r="CM229" s="22"/>
      <c r="CN229" s="1107"/>
      <c r="CR229" s="223"/>
      <c r="CS229" s="952"/>
      <c r="CT229" s="1066"/>
      <c r="CU229" s="972"/>
      <c r="CV229" s="983"/>
      <c r="CW229" s="222"/>
      <c r="CX229" s="697"/>
      <c r="DC229" s="222"/>
      <c r="DJ229" s="889"/>
      <c r="DM229" s="890"/>
      <c r="DN229" s="952"/>
      <c r="DO229" s="75"/>
      <c r="DP229" s="962"/>
      <c r="DQ229" s="983"/>
      <c r="DV229" s="889"/>
    </row>
    <row r="230" spans="1:126" s="74" customFormat="1">
      <c r="A230" s="15"/>
      <c r="B230" s="15"/>
      <c r="C230" s="15"/>
      <c r="D230" s="15"/>
      <c r="E230" s="6"/>
      <c r="F230" s="6"/>
      <c r="G230" s="6"/>
      <c r="K230" s="222"/>
      <c r="V230" s="1430"/>
      <c r="AA230" s="223"/>
      <c r="AC230" s="889"/>
      <c r="AF230" s="890"/>
      <c r="AJ230" s="889"/>
      <c r="AN230" s="222"/>
      <c r="BC230" s="223"/>
      <c r="BD230" s="222"/>
      <c r="BH230" s="611"/>
      <c r="BJ230" s="15"/>
      <c r="BK230" s="15"/>
      <c r="BO230" s="223"/>
      <c r="BQ230" s="889"/>
      <c r="BT230" s="890"/>
      <c r="BX230" s="889"/>
      <c r="CB230" s="15"/>
      <c r="CC230" s="697"/>
      <c r="CD230" s="1086"/>
      <c r="CE230" s="15"/>
      <c r="CF230" s="15"/>
      <c r="CG230" s="936"/>
      <c r="CH230" s="15"/>
      <c r="CI230" s="15"/>
      <c r="CJ230" s="15"/>
      <c r="CK230" s="1107"/>
      <c r="CL230" s="22"/>
      <c r="CM230" s="22"/>
      <c r="CN230" s="1107"/>
      <c r="CR230" s="223"/>
      <c r="CS230" s="952"/>
      <c r="CT230" s="1066"/>
      <c r="CU230" s="972"/>
      <c r="CV230" s="983"/>
      <c r="CW230" s="222"/>
      <c r="CX230" s="697"/>
      <c r="DC230" s="222"/>
      <c r="DJ230" s="889"/>
      <c r="DM230" s="890"/>
      <c r="DN230" s="952"/>
      <c r="DO230" s="75"/>
      <c r="DP230" s="962"/>
      <c r="DQ230" s="983"/>
      <c r="DV230" s="889"/>
    </row>
    <row r="231" spans="1:126" s="74" customFormat="1">
      <c r="A231" s="15"/>
      <c r="B231" s="15"/>
      <c r="C231" s="15"/>
      <c r="D231" s="15"/>
      <c r="E231" s="6"/>
      <c r="F231" s="6"/>
      <c r="G231" s="6"/>
      <c r="K231" s="222"/>
      <c r="V231" s="1430"/>
      <c r="AA231" s="223"/>
      <c r="AC231" s="889"/>
      <c r="AF231" s="890"/>
      <c r="AJ231" s="889"/>
      <c r="AN231" s="222"/>
      <c r="BC231" s="223"/>
      <c r="BD231" s="222"/>
      <c r="BH231" s="611"/>
      <c r="BJ231" s="15"/>
      <c r="BK231" s="15"/>
      <c r="BO231" s="223"/>
      <c r="BQ231" s="889"/>
      <c r="BT231" s="890"/>
      <c r="BX231" s="889"/>
      <c r="CB231" s="15"/>
      <c r="CC231" s="697"/>
      <c r="CD231" s="1086"/>
      <c r="CE231" s="15"/>
      <c r="CF231" s="15"/>
      <c r="CG231" s="936"/>
      <c r="CH231" s="15"/>
      <c r="CI231" s="15"/>
      <c r="CJ231" s="15"/>
      <c r="CK231" s="1107"/>
      <c r="CL231" s="22"/>
      <c r="CM231" s="22"/>
      <c r="CN231" s="1107"/>
      <c r="CR231" s="223"/>
      <c r="CS231" s="952"/>
      <c r="CT231" s="1066"/>
      <c r="CU231" s="972"/>
      <c r="CV231" s="983"/>
      <c r="CW231" s="222"/>
      <c r="CX231" s="697"/>
      <c r="DC231" s="222"/>
      <c r="DJ231" s="889"/>
      <c r="DM231" s="890"/>
      <c r="DN231" s="952"/>
      <c r="DO231" s="75"/>
      <c r="DP231" s="962"/>
      <c r="DQ231" s="983"/>
      <c r="DV231" s="889"/>
    </row>
    <row r="232" spans="1:126" s="74" customFormat="1">
      <c r="A232" s="15"/>
      <c r="B232" s="15"/>
      <c r="C232" s="15"/>
      <c r="D232" s="15"/>
      <c r="E232" s="6"/>
      <c r="F232" s="6"/>
      <c r="G232" s="6"/>
      <c r="K232" s="222"/>
      <c r="V232" s="1430"/>
      <c r="AA232" s="223"/>
      <c r="AC232" s="889"/>
      <c r="AF232" s="890"/>
      <c r="AJ232" s="889"/>
      <c r="AN232" s="222"/>
      <c r="BC232" s="223"/>
      <c r="BD232" s="222"/>
      <c r="BH232" s="611"/>
      <c r="BJ232" s="15"/>
      <c r="BK232" s="15"/>
      <c r="BO232" s="223"/>
      <c r="BQ232" s="889"/>
      <c r="BT232" s="890"/>
      <c r="BX232" s="889"/>
      <c r="CB232" s="15"/>
      <c r="CC232" s="697"/>
      <c r="CD232" s="1086"/>
      <c r="CE232" s="15"/>
      <c r="CF232" s="15"/>
      <c r="CG232" s="936"/>
      <c r="CH232" s="15"/>
      <c r="CI232" s="15"/>
      <c r="CJ232" s="15"/>
      <c r="CK232" s="1107"/>
      <c r="CL232" s="22"/>
      <c r="CM232" s="22"/>
      <c r="CN232" s="1107"/>
      <c r="CR232" s="223"/>
      <c r="CS232" s="952"/>
      <c r="CT232" s="1066"/>
      <c r="CU232" s="972"/>
      <c r="CV232" s="983"/>
      <c r="CW232" s="222"/>
      <c r="CX232" s="697"/>
      <c r="DC232" s="222"/>
      <c r="DJ232" s="889"/>
      <c r="DM232" s="890"/>
      <c r="DN232" s="952"/>
      <c r="DO232" s="75"/>
      <c r="DP232" s="962"/>
      <c r="DQ232" s="983"/>
      <c r="DV232" s="889"/>
    </row>
    <row r="233" spans="1:126" s="74" customFormat="1">
      <c r="A233" s="15"/>
      <c r="B233" s="15"/>
      <c r="C233" s="15"/>
      <c r="D233" s="15"/>
      <c r="E233" s="6"/>
      <c r="F233" s="6"/>
      <c r="G233" s="6"/>
      <c r="K233" s="222"/>
      <c r="V233" s="1430"/>
      <c r="AA233" s="223"/>
      <c r="AC233" s="889"/>
      <c r="AF233" s="890"/>
      <c r="AJ233" s="889"/>
      <c r="AN233" s="222"/>
      <c r="BC233" s="223"/>
      <c r="BD233" s="222"/>
      <c r="BH233" s="611"/>
      <c r="BJ233" s="15"/>
      <c r="BK233" s="15"/>
      <c r="BO233" s="223"/>
      <c r="BQ233" s="889"/>
      <c r="BT233" s="890"/>
      <c r="BX233" s="889"/>
      <c r="CB233" s="15"/>
      <c r="CC233" s="697"/>
      <c r="CD233" s="1086"/>
      <c r="CE233" s="15"/>
      <c r="CF233" s="15"/>
      <c r="CG233" s="936"/>
      <c r="CH233" s="15"/>
      <c r="CI233" s="15"/>
      <c r="CJ233" s="15"/>
      <c r="CK233" s="1107"/>
      <c r="CL233" s="22"/>
      <c r="CM233" s="22"/>
      <c r="CN233" s="1107"/>
      <c r="CR233" s="223"/>
      <c r="CS233" s="952"/>
      <c r="CT233" s="1066"/>
      <c r="CU233" s="972"/>
      <c r="CV233" s="983"/>
      <c r="CW233" s="222"/>
      <c r="CX233" s="697"/>
      <c r="DC233" s="222"/>
      <c r="DJ233" s="889"/>
      <c r="DM233" s="890"/>
      <c r="DN233" s="952"/>
      <c r="DO233" s="75"/>
      <c r="DP233" s="962"/>
      <c r="DQ233" s="983"/>
      <c r="DV233" s="889"/>
    </row>
    <row r="234" spans="1:126" s="74" customFormat="1">
      <c r="A234" s="15"/>
      <c r="B234" s="15"/>
      <c r="C234" s="15"/>
      <c r="D234" s="15"/>
      <c r="E234" s="6"/>
      <c r="F234" s="6"/>
      <c r="G234" s="6"/>
      <c r="K234" s="222"/>
      <c r="V234" s="1430"/>
      <c r="AA234" s="223"/>
      <c r="AC234" s="889"/>
      <c r="AF234" s="890"/>
      <c r="AJ234" s="889"/>
      <c r="AN234" s="222"/>
      <c r="BC234" s="223"/>
      <c r="BD234" s="222"/>
      <c r="BH234" s="611"/>
      <c r="BJ234" s="15"/>
      <c r="BK234" s="15"/>
      <c r="BO234" s="223"/>
      <c r="BQ234" s="889"/>
      <c r="BT234" s="890"/>
      <c r="BX234" s="889"/>
      <c r="CB234" s="15"/>
      <c r="CC234" s="697"/>
      <c r="CD234" s="1086"/>
      <c r="CE234" s="15"/>
      <c r="CF234" s="15"/>
      <c r="CG234" s="936"/>
      <c r="CH234" s="15"/>
      <c r="CI234" s="15"/>
      <c r="CJ234" s="15"/>
      <c r="CK234" s="1107"/>
      <c r="CL234" s="22"/>
      <c r="CM234" s="22"/>
      <c r="CN234" s="1107"/>
      <c r="CR234" s="223"/>
      <c r="CS234" s="952"/>
      <c r="CT234" s="1066"/>
      <c r="CU234" s="972"/>
      <c r="CV234" s="983"/>
      <c r="CW234" s="222"/>
      <c r="CX234" s="697"/>
      <c r="DC234" s="222"/>
      <c r="DJ234" s="889"/>
      <c r="DM234" s="890"/>
      <c r="DN234" s="952"/>
      <c r="DO234" s="75"/>
      <c r="DP234" s="962"/>
      <c r="DQ234" s="983"/>
      <c r="DV234" s="889"/>
    </row>
    <row r="235" spans="1:126" s="74" customFormat="1">
      <c r="A235" s="15"/>
      <c r="B235" s="15"/>
      <c r="C235" s="15"/>
      <c r="D235" s="15"/>
      <c r="E235" s="6"/>
      <c r="F235" s="6"/>
      <c r="G235" s="6"/>
      <c r="K235" s="222"/>
      <c r="V235" s="1430"/>
      <c r="AA235" s="223"/>
      <c r="AC235" s="889"/>
      <c r="AF235" s="890"/>
      <c r="AJ235" s="889"/>
      <c r="AN235" s="222"/>
      <c r="BC235" s="223"/>
      <c r="BD235" s="222"/>
      <c r="BH235" s="611"/>
      <c r="BJ235" s="15"/>
      <c r="BK235" s="15"/>
      <c r="BO235" s="223"/>
      <c r="BQ235" s="889"/>
      <c r="BT235" s="890"/>
      <c r="BX235" s="889"/>
      <c r="CB235" s="15"/>
      <c r="CC235" s="697"/>
      <c r="CD235" s="1086"/>
      <c r="CE235" s="15"/>
      <c r="CF235" s="15"/>
      <c r="CG235" s="936"/>
      <c r="CH235" s="15"/>
      <c r="CI235" s="15"/>
      <c r="CJ235" s="15"/>
      <c r="CK235" s="1107"/>
      <c r="CL235" s="22"/>
      <c r="CM235" s="22"/>
      <c r="CN235" s="1107"/>
      <c r="CR235" s="223"/>
      <c r="CS235" s="952"/>
      <c r="CT235" s="1066"/>
      <c r="CU235" s="972"/>
      <c r="CV235" s="983"/>
      <c r="CW235" s="222"/>
      <c r="CX235" s="697"/>
      <c r="DC235" s="222"/>
      <c r="DJ235" s="889"/>
      <c r="DM235" s="890"/>
      <c r="DN235" s="952"/>
      <c r="DO235" s="75"/>
      <c r="DP235" s="962"/>
      <c r="DQ235" s="983"/>
      <c r="DV235" s="889"/>
    </row>
    <row r="236" spans="1:126" s="74" customFormat="1">
      <c r="A236" s="15"/>
      <c r="B236" s="15"/>
      <c r="C236" s="15"/>
      <c r="D236" s="15"/>
      <c r="E236" s="6"/>
      <c r="F236" s="6"/>
      <c r="G236" s="6"/>
      <c r="K236" s="222"/>
      <c r="V236" s="1430"/>
      <c r="AA236" s="223"/>
      <c r="AC236" s="889"/>
      <c r="AF236" s="890"/>
      <c r="AJ236" s="889"/>
      <c r="AN236" s="222"/>
      <c r="BC236" s="223"/>
      <c r="BD236" s="222"/>
      <c r="BH236" s="611"/>
      <c r="BJ236" s="15"/>
      <c r="BK236" s="15"/>
      <c r="BO236" s="223"/>
      <c r="BQ236" s="889"/>
      <c r="BT236" s="890"/>
      <c r="BX236" s="889"/>
      <c r="CB236" s="15"/>
      <c r="CC236" s="697"/>
      <c r="CD236" s="1086"/>
      <c r="CE236" s="15"/>
      <c r="CF236" s="15"/>
      <c r="CG236" s="936"/>
      <c r="CH236" s="15"/>
      <c r="CI236" s="15"/>
      <c r="CJ236" s="15"/>
      <c r="CK236" s="1107"/>
      <c r="CL236" s="22"/>
      <c r="CM236" s="22"/>
      <c r="CN236" s="1107"/>
      <c r="CR236" s="223"/>
      <c r="CS236" s="952"/>
      <c r="CT236" s="1066"/>
      <c r="CU236" s="972"/>
      <c r="CV236" s="983"/>
      <c r="CW236" s="222"/>
      <c r="CX236" s="697"/>
      <c r="DC236" s="222"/>
      <c r="DJ236" s="889"/>
      <c r="DM236" s="890"/>
      <c r="DN236" s="952"/>
      <c r="DO236" s="75"/>
      <c r="DP236" s="962"/>
      <c r="DQ236" s="983"/>
      <c r="DV236" s="889"/>
    </row>
    <row r="237" spans="1:126" s="74" customFormat="1">
      <c r="A237" s="15"/>
      <c r="B237" s="15"/>
      <c r="C237" s="15"/>
      <c r="D237" s="15"/>
      <c r="E237" s="6"/>
      <c r="F237" s="6"/>
      <c r="G237" s="6"/>
      <c r="K237" s="222"/>
      <c r="V237" s="1430"/>
      <c r="AA237" s="223"/>
      <c r="AC237" s="889"/>
      <c r="AF237" s="890"/>
      <c r="AJ237" s="889"/>
      <c r="AN237" s="222"/>
      <c r="BC237" s="223"/>
      <c r="BD237" s="222"/>
      <c r="BH237" s="611"/>
      <c r="BJ237" s="15"/>
      <c r="BK237" s="15"/>
      <c r="BO237" s="223"/>
      <c r="BQ237" s="889"/>
      <c r="BT237" s="890"/>
      <c r="BX237" s="889"/>
      <c r="CB237" s="15"/>
      <c r="CC237" s="697"/>
      <c r="CD237" s="1086"/>
      <c r="CE237" s="15"/>
      <c r="CF237" s="15"/>
      <c r="CG237" s="936"/>
      <c r="CH237" s="15"/>
      <c r="CI237" s="15"/>
      <c r="CJ237" s="15"/>
      <c r="CK237" s="1107"/>
      <c r="CL237" s="22"/>
      <c r="CM237" s="22"/>
      <c r="CN237" s="1107"/>
      <c r="CR237" s="223"/>
      <c r="CS237" s="952"/>
      <c r="CT237" s="1066"/>
      <c r="CU237" s="972"/>
      <c r="CV237" s="983"/>
      <c r="CW237" s="222"/>
      <c r="CX237" s="697"/>
      <c r="DC237" s="222"/>
      <c r="DJ237" s="889"/>
      <c r="DM237" s="890"/>
      <c r="DN237" s="952"/>
      <c r="DO237" s="75"/>
      <c r="DP237" s="962"/>
      <c r="DQ237" s="983"/>
      <c r="DV237" s="889"/>
    </row>
    <row r="238" spans="1:126" s="74" customFormat="1">
      <c r="A238" s="15"/>
      <c r="B238" s="15"/>
      <c r="C238" s="15"/>
      <c r="D238" s="15"/>
      <c r="E238" s="6"/>
      <c r="F238" s="6"/>
      <c r="G238" s="6"/>
      <c r="K238" s="222"/>
      <c r="V238" s="1430"/>
      <c r="AA238" s="223"/>
      <c r="AC238" s="889"/>
      <c r="AF238" s="890"/>
      <c r="AJ238" s="889"/>
      <c r="AN238" s="222"/>
      <c r="BC238" s="223"/>
      <c r="BD238" s="222"/>
      <c r="BH238" s="611"/>
      <c r="BJ238" s="15"/>
      <c r="BK238" s="15"/>
      <c r="BO238" s="223"/>
      <c r="BQ238" s="889"/>
      <c r="BT238" s="890"/>
      <c r="BX238" s="889"/>
      <c r="CB238" s="15"/>
      <c r="CC238" s="697"/>
      <c r="CD238" s="1086"/>
      <c r="CE238" s="15"/>
      <c r="CF238" s="15"/>
      <c r="CG238" s="936"/>
      <c r="CH238" s="15"/>
      <c r="CI238" s="15"/>
      <c r="CJ238" s="15"/>
      <c r="CK238" s="1107"/>
      <c r="CL238" s="22"/>
      <c r="CM238" s="22"/>
      <c r="CN238" s="1107"/>
      <c r="CR238" s="223"/>
      <c r="CS238" s="952"/>
      <c r="CT238" s="1066"/>
      <c r="CU238" s="972"/>
      <c r="CV238" s="983"/>
      <c r="CW238" s="222"/>
      <c r="CX238" s="697"/>
      <c r="DC238" s="222"/>
      <c r="DJ238" s="889"/>
      <c r="DM238" s="890"/>
      <c r="DN238" s="952"/>
      <c r="DO238" s="75"/>
      <c r="DP238" s="962"/>
      <c r="DQ238" s="983"/>
      <c r="DV238" s="889"/>
    </row>
    <row r="239" spans="1:126" s="74" customFormat="1">
      <c r="A239" s="15"/>
      <c r="B239" s="15"/>
      <c r="C239" s="15"/>
      <c r="D239" s="15"/>
      <c r="E239" s="6"/>
      <c r="F239" s="6"/>
      <c r="G239" s="6"/>
      <c r="K239" s="222"/>
      <c r="V239" s="1430"/>
      <c r="AA239" s="223"/>
      <c r="AC239" s="889"/>
      <c r="AF239" s="890"/>
      <c r="AJ239" s="889"/>
      <c r="AN239" s="222"/>
      <c r="BC239" s="223"/>
      <c r="BD239" s="222"/>
      <c r="BH239" s="611"/>
      <c r="BJ239" s="15"/>
      <c r="BK239" s="15"/>
      <c r="BO239" s="223"/>
      <c r="BQ239" s="889"/>
      <c r="BT239" s="890"/>
      <c r="BX239" s="889"/>
      <c r="CB239" s="15"/>
      <c r="CC239" s="697"/>
      <c r="CD239" s="1086"/>
      <c r="CE239" s="15"/>
      <c r="CF239" s="15"/>
      <c r="CG239" s="936"/>
      <c r="CH239" s="15"/>
      <c r="CI239" s="15"/>
      <c r="CJ239" s="15"/>
      <c r="CK239" s="1107"/>
      <c r="CL239" s="22"/>
      <c r="CM239" s="22"/>
      <c r="CN239" s="1107"/>
      <c r="CR239" s="223"/>
      <c r="CS239" s="952"/>
      <c r="CT239" s="1066"/>
      <c r="CU239" s="972"/>
      <c r="CV239" s="983"/>
      <c r="CW239" s="222"/>
      <c r="CX239" s="697"/>
      <c r="DC239" s="222"/>
      <c r="DJ239" s="889"/>
      <c r="DM239" s="890"/>
      <c r="DN239" s="952"/>
      <c r="DO239" s="75"/>
      <c r="DP239" s="962"/>
      <c r="DQ239" s="983"/>
      <c r="DV239" s="889"/>
    </row>
    <row r="240" spans="1:126" s="74" customFormat="1">
      <c r="A240" s="15"/>
      <c r="B240" s="15"/>
      <c r="C240" s="15"/>
      <c r="D240" s="15"/>
      <c r="E240" s="6"/>
      <c r="F240" s="6"/>
      <c r="G240" s="6"/>
      <c r="K240" s="222"/>
      <c r="V240" s="1430"/>
      <c r="AA240" s="223"/>
      <c r="AC240" s="889"/>
      <c r="AF240" s="890"/>
      <c r="AJ240" s="889"/>
      <c r="AN240" s="222"/>
      <c r="BC240" s="223"/>
      <c r="BD240" s="222"/>
      <c r="BH240" s="611"/>
      <c r="BJ240" s="15"/>
      <c r="BK240" s="15"/>
      <c r="BO240" s="223"/>
      <c r="BQ240" s="889"/>
      <c r="BT240" s="890"/>
      <c r="BX240" s="889"/>
      <c r="CB240" s="15"/>
      <c r="CC240" s="697"/>
      <c r="CD240" s="1086"/>
      <c r="CE240" s="15"/>
      <c r="CF240" s="15"/>
      <c r="CG240" s="936"/>
      <c r="CH240" s="15"/>
      <c r="CI240" s="15"/>
      <c r="CJ240" s="15"/>
      <c r="CK240" s="1107"/>
      <c r="CL240" s="22"/>
      <c r="CM240" s="22"/>
      <c r="CN240" s="1107"/>
      <c r="CR240" s="223"/>
      <c r="CS240" s="952"/>
      <c r="CT240" s="1066"/>
      <c r="CU240" s="972"/>
      <c r="CV240" s="983"/>
      <c r="CW240" s="222"/>
      <c r="CX240" s="697"/>
      <c r="DC240" s="222"/>
      <c r="DJ240" s="889"/>
      <c r="DM240" s="890"/>
      <c r="DN240" s="952"/>
      <c r="DO240" s="75"/>
      <c r="DP240" s="962"/>
      <c r="DQ240" s="983"/>
      <c r="DV240" s="889"/>
    </row>
    <row r="241" spans="1:126" s="74" customFormat="1">
      <c r="A241" s="15"/>
      <c r="B241" s="15"/>
      <c r="C241" s="15"/>
      <c r="D241" s="15"/>
      <c r="E241" s="6"/>
      <c r="F241" s="6"/>
      <c r="G241" s="6"/>
      <c r="K241" s="222"/>
      <c r="V241" s="1430"/>
      <c r="AA241" s="223"/>
      <c r="AC241" s="889"/>
      <c r="AF241" s="890"/>
      <c r="AJ241" s="889"/>
      <c r="AN241" s="222"/>
      <c r="BC241" s="223"/>
      <c r="BD241" s="222"/>
      <c r="BH241" s="611"/>
      <c r="BJ241" s="15"/>
      <c r="BK241" s="15"/>
      <c r="BO241" s="223"/>
      <c r="BQ241" s="889"/>
      <c r="BT241" s="890"/>
      <c r="BX241" s="889"/>
      <c r="CB241" s="15"/>
      <c r="CC241" s="697"/>
      <c r="CD241" s="1086"/>
      <c r="CE241" s="15"/>
      <c r="CF241" s="15"/>
      <c r="CG241" s="936"/>
      <c r="CH241" s="15"/>
      <c r="CI241" s="15"/>
      <c r="CJ241" s="15"/>
      <c r="CK241" s="1107"/>
      <c r="CL241" s="22"/>
      <c r="CM241" s="22"/>
      <c r="CN241" s="1107"/>
      <c r="CR241" s="223"/>
      <c r="CS241" s="952"/>
      <c r="CT241" s="1066"/>
      <c r="CU241" s="972"/>
      <c r="CV241" s="983"/>
      <c r="CW241" s="222"/>
      <c r="CX241" s="697"/>
      <c r="DC241" s="222"/>
      <c r="DJ241" s="889"/>
      <c r="DM241" s="890"/>
      <c r="DN241" s="952"/>
      <c r="DO241" s="75"/>
      <c r="DP241" s="962"/>
      <c r="DQ241" s="983"/>
      <c r="DV241" s="889"/>
    </row>
    <row r="242" spans="1:126" s="74" customFormat="1">
      <c r="A242" s="15"/>
      <c r="B242" s="15"/>
      <c r="C242" s="15"/>
      <c r="D242" s="15"/>
      <c r="E242" s="6"/>
      <c r="F242" s="6"/>
      <c r="G242" s="6"/>
      <c r="K242" s="222"/>
      <c r="V242" s="1430"/>
      <c r="AA242" s="223"/>
      <c r="AC242" s="889"/>
      <c r="AF242" s="890"/>
      <c r="AJ242" s="889"/>
      <c r="AN242" s="222"/>
      <c r="BC242" s="223"/>
      <c r="BD242" s="222"/>
      <c r="BH242" s="611"/>
      <c r="BJ242" s="15"/>
      <c r="BK242" s="15"/>
      <c r="BO242" s="223"/>
      <c r="BQ242" s="889"/>
      <c r="BT242" s="890"/>
      <c r="BX242" s="889"/>
      <c r="CB242" s="15"/>
      <c r="CC242" s="697"/>
      <c r="CD242" s="1086"/>
      <c r="CE242" s="15"/>
      <c r="CF242" s="15"/>
      <c r="CG242" s="936"/>
      <c r="CH242" s="15"/>
      <c r="CI242" s="15"/>
      <c r="CJ242" s="15"/>
      <c r="CK242" s="1107"/>
      <c r="CL242" s="22"/>
      <c r="CM242" s="22"/>
      <c r="CN242" s="1107"/>
      <c r="CR242" s="223"/>
      <c r="CS242" s="952"/>
      <c r="CT242" s="1066"/>
      <c r="CU242" s="972"/>
      <c r="CV242" s="983"/>
      <c r="CW242" s="222"/>
      <c r="CX242" s="697"/>
      <c r="DC242" s="222"/>
      <c r="DJ242" s="889"/>
      <c r="DM242" s="890"/>
      <c r="DN242" s="952"/>
      <c r="DO242" s="75"/>
      <c r="DP242" s="962"/>
      <c r="DQ242" s="983"/>
      <c r="DV242" s="889"/>
    </row>
    <row r="243" spans="1:126" s="74" customFormat="1">
      <c r="A243" s="15"/>
      <c r="B243" s="15"/>
      <c r="C243" s="15"/>
      <c r="D243" s="15"/>
      <c r="E243" s="6"/>
      <c r="F243" s="6"/>
      <c r="G243" s="6"/>
      <c r="K243" s="222"/>
      <c r="V243" s="1430"/>
      <c r="AA243" s="223"/>
      <c r="AC243" s="889"/>
      <c r="AF243" s="890"/>
      <c r="AJ243" s="889"/>
      <c r="AN243" s="222"/>
      <c r="BC243" s="223"/>
      <c r="BD243" s="222"/>
      <c r="BH243" s="611"/>
      <c r="BJ243" s="15"/>
      <c r="BK243" s="15"/>
      <c r="BO243" s="223"/>
      <c r="BQ243" s="889"/>
      <c r="BT243" s="890"/>
      <c r="BX243" s="889"/>
      <c r="CB243" s="15"/>
      <c r="CC243" s="697"/>
      <c r="CD243" s="1086"/>
      <c r="CE243" s="15"/>
      <c r="CF243" s="15"/>
      <c r="CG243" s="936"/>
      <c r="CH243" s="15"/>
      <c r="CI243" s="15"/>
      <c r="CJ243" s="15"/>
      <c r="CK243" s="1107"/>
      <c r="CL243" s="22"/>
      <c r="CM243" s="22"/>
      <c r="CN243" s="1107"/>
      <c r="CR243" s="223"/>
      <c r="CS243" s="952"/>
      <c r="CT243" s="1066"/>
      <c r="CU243" s="972"/>
      <c r="CV243" s="983"/>
      <c r="CW243" s="222"/>
      <c r="CX243" s="697"/>
      <c r="DC243" s="222"/>
      <c r="DJ243" s="889"/>
      <c r="DM243" s="890"/>
      <c r="DN243" s="952"/>
      <c r="DO243" s="75"/>
      <c r="DP243" s="962"/>
      <c r="DQ243" s="983"/>
      <c r="DV243" s="889"/>
    </row>
    <row r="244" spans="1:126" s="74" customFormat="1">
      <c r="A244" s="15"/>
      <c r="B244" s="15"/>
      <c r="C244" s="15"/>
      <c r="D244" s="15"/>
      <c r="E244" s="6"/>
      <c r="F244" s="6"/>
      <c r="G244" s="6"/>
      <c r="K244" s="222"/>
      <c r="V244" s="1430"/>
      <c r="AA244" s="223"/>
      <c r="AC244" s="889"/>
      <c r="AF244" s="890"/>
      <c r="AJ244" s="889"/>
      <c r="AN244" s="222"/>
      <c r="BC244" s="223"/>
      <c r="BD244" s="222"/>
      <c r="BH244" s="611"/>
      <c r="BJ244" s="15"/>
      <c r="BK244" s="15"/>
      <c r="BO244" s="223"/>
      <c r="BQ244" s="889"/>
      <c r="BT244" s="890"/>
      <c r="BX244" s="889"/>
      <c r="CB244" s="15"/>
      <c r="CC244" s="697"/>
      <c r="CD244" s="1086"/>
      <c r="CE244" s="15"/>
      <c r="CF244" s="15"/>
      <c r="CG244" s="936"/>
      <c r="CH244" s="15"/>
      <c r="CI244" s="15"/>
      <c r="CJ244" s="15"/>
      <c r="CK244" s="1107"/>
      <c r="CL244" s="22"/>
      <c r="CM244" s="22"/>
      <c r="CN244" s="1107"/>
      <c r="CR244" s="223"/>
      <c r="CS244" s="952"/>
      <c r="CT244" s="1066"/>
      <c r="CU244" s="972"/>
      <c r="CV244" s="983"/>
      <c r="CW244" s="222"/>
      <c r="CX244" s="697"/>
      <c r="DC244" s="222"/>
      <c r="DJ244" s="889"/>
      <c r="DM244" s="890"/>
      <c r="DN244" s="952"/>
      <c r="DO244" s="75"/>
      <c r="DP244" s="962"/>
      <c r="DQ244" s="983"/>
      <c r="DV244" s="889"/>
    </row>
    <row r="245" spans="1:126" s="74" customFormat="1">
      <c r="A245" s="15"/>
      <c r="B245" s="15"/>
      <c r="C245" s="15"/>
      <c r="D245" s="15"/>
      <c r="E245" s="6"/>
      <c r="F245" s="6"/>
      <c r="G245" s="6"/>
      <c r="K245" s="222"/>
      <c r="V245" s="1430"/>
      <c r="AA245" s="223"/>
      <c r="AC245" s="889"/>
      <c r="AF245" s="890"/>
      <c r="AJ245" s="889"/>
      <c r="AN245" s="222"/>
      <c r="BC245" s="223"/>
      <c r="BD245" s="222"/>
      <c r="BH245" s="611"/>
      <c r="BJ245" s="15"/>
      <c r="BK245" s="15"/>
      <c r="BO245" s="223"/>
      <c r="BQ245" s="889"/>
      <c r="BT245" s="890"/>
      <c r="BX245" s="889"/>
      <c r="CB245" s="15"/>
      <c r="CC245" s="697"/>
      <c r="CD245" s="1086"/>
      <c r="CE245" s="15"/>
      <c r="CF245" s="15"/>
      <c r="CG245" s="936"/>
      <c r="CH245" s="15"/>
      <c r="CI245" s="15"/>
      <c r="CJ245" s="15"/>
      <c r="CK245" s="1107"/>
      <c r="CL245" s="22"/>
      <c r="CM245" s="22"/>
      <c r="CN245" s="1107"/>
      <c r="CR245" s="223"/>
      <c r="CS245" s="952"/>
      <c r="CT245" s="1066"/>
      <c r="CU245" s="972"/>
      <c r="CV245" s="983"/>
      <c r="CW245" s="222"/>
      <c r="CX245" s="697"/>
      <c r="DC245" s="222"/>
      <c r="DJ245" s="889"/>
      <c r="DM245" s="890"/>
      <c r="DN245" s="952"/>
      <c r="DO245" s="75"/>
      <c r="DP245" s="962"/>
      <c r="DQ245" s="983"/>
      <c r="DV245" s="889"/>
    </row>
    <row r="246" spans="1:126" s="74" customFormat="1">
      <c r="A246" s="15"/>
      <c r="B246" s="15"/>
      <c r="C246" s="15"/>
      <c r="D246" s="15"/>
      <c r="E246" s="6"/>
      <c r="F246" s="6"/>
      <c r="G246" s="6"/>
      <c r="K246" s="222"/>
      <c r="V246" s="1430"/>
      <c r="AA246" s="223"/>
      <c r="AC246" s="889"/>
      <c r="AF246" s="890"/>
      <c r="AJ246" s="889"/>
      <c r="AN246" s="222"/>
      <c r="BC246" s="223"/>
      <c r="BD246" s="222"/>
      <c r="BH246" s="611"/>
      <c r="BJ246" s="15"/>
      <c r="BK246" s="15"/>
      <c r="BO246" s="223"/>
      <c r="BQ246" s="889"/>
      <c r="BT246" s="890"/>
      <c r="BX246" s="889"/>
      <c r="CB246" s="15"/>
      <c r="CC246" s="697"/>
      <c r="CD246" s="1086"/>
      <c r="CE246" s="15"/>
      <c r="CF246" s="15"/>
      <c r="CG246" s="936"/>
      <c r="CH246" s="15"/>
      <c r="CI246" s="15"/>
      <c r="CJ246" s="15"/>
      <c r="CK246" s="1107"/>
      <c r="CL246" s="22"/>
      <c r="CM246" s="22"/>
      <c r="CN246" s="1107"/>
      <c r="CR246" s="223"/>
      <c r="CS246" s="952"/>
      <c r="CT246" s="1066"/>
      <c r="CU246" s="972"/>
      <c r="CV246" s="983"/>
      <c r="CW246" s="222"/>
      <c r="CX246" s="697"/>
      <c r="DC246" s="222"/>
      <c r="DJ246" s="889"/>
      <c r="DM246" s="890"/>
      <c r="DN246" s="952"/>
      <c r="DO246" s="75"/>
      <c r="DP246" s="962"/>
      <c r="DQ246" s="983"/>
      <c r="DV246" s="889"/>
    </row>
    <row r="247" spans="1:126" s="74" customFormat="1">
      <c r="A247" s="15"/>
      <c r="B247" s="15"/>
      <c r="C247" s="15"/>
      <c r="D247" s="15"/>
      <c r="E247" s="6"/>
      <c r="F247" s="6"/>
      <c r="G247" s="6"/>
      <c r="K247" s="222"/>
      <c r="V247" s="1430"/>
      <c r="AA247" s="223"/>
      <c r="AC247" s="889"/>
      <c r="AF247" s="890"/>
      <c r="AJ247" s="889"/>
      <c r="AN247" s="222"/>
      <c r="BC247" s="223"/>
      <c r="BD247" s="222"/>
      <c r="BH247" s="611"/>
      <c r="BJ247" s="15"/>
      <c r="BK247" s="15"/>
      <c r="BO247" s="223"/>
      <c r="BQ247" s="889"/>
      <c r="BT247" s="890"/>
      <c r="BX247" s="889"/>
      <c r="CB247" s="15"/>
      <c r="CC247" s="697"/>
      <c r="CD247" s="1086"/>
      <c r="CE247" s="15"/>
      <c r="CF247" s="15"/>
      <c r="CG247" s="936"/>
      <c r="CH247" s="15"/>
      <c r="CI247" s="15"/>
      <c r="CJ247" s="15"/>
      <c r="CK247" s="1107"/>
      <c r="CL247" s="22"/>
      <c r="CM247" s="22"/>
      <c r="CN247" s="1107"/>
      <c r="CR247" s="223"/>
      <c r="CS247" s="952"/>
      <c r="CT247" s="1066"/>
      <c r="CU247" s="972"/>
      <c r="CV247" s="983"/>
      <c r="CW247" s="222"/>
      <c r="CX247" s="697"/>
      <c r="DC247" s="222"/>
      <c r="DJ247" s="889"/>
      <c r="DM247" s="890"/>
      <c r="DN247" s="952"/>
      <c r="DO247" s="75"/>
      <c r="DP247" s="962"/>
      <c r="DQ247" s="983"/>
      <c r="DV247" s="889"/>
    </row>
    <row r="248" spans="1:126" s="74" customFormat="1">
      <c r="A248" s="15"/>
      <c r="B248" s="15"/>
      <c r="C248" s="15"/>
      <c r="D248" s="15"/>
      <c r="E248" s="6"/>
      <c r="F248" s="6"/>
      <c r="G248" s="6"/>
      <c r="K248" s="222"/>
      <c r="V248" s="1430"/>
      <c r="AA248" s="223"/>
      <c r="AC248" s="889"/>
      <c r="AF248" s="890"/>
      <c r="AJ248" s="889"/>
      <c r="AN248" s="222"/>
      <c r="BC248" s="223"/>
      <c r="BD248" s="222"/>
      <c r="BH248" s="611"/>
      <c r="BJ248" s="15"/>
      <c r="BK248" s="15"/>
      <c r="BO248" s="223"/>
      <c r="BQ248" s="889"/>
      <c r="BT248" s="890"/>
      <c r="BX248" s="889"/>
      <c r="CB248" s="15"/>
      <c r="CC248" s="697"/>
      <c r="CD248" s="1086"/>
      <c r="CE248" s="15"/>
      <c r="CF248" s="15"/>
      <c r="CG248" s="936"/>
      <c r="CH248" s="15"/>
      <c r="CI248" s="15"/>
      <c r="CJ248" s="15"/>
      <c r="CK248" s="1107"/>
      <c r="CL248" s="22"/>
      <c r="CM248" s="22"/>
      <c r="CN248" s="1107"/>
      <c r="CR248" s="223"/>
      <c r="CS248" s="952"/>
      <c r="CT248" s="1066"/>
      <c r="CU248" s="972"/>
      <c r="CV248" s="983"/>
      <c r="CW248" s="222"/>
      <c r="CX248" s="697"/>
      <c r="DC248" s="222"/>
      <c r="DJ248" s="889"/>
      <c r="DM248" s="890"/>
      <c r="DN248" s="952"/>
      <c r="DO248" s="75"/>
      <c r="DP248" s="962"/>
      <c r="DQ248" s="983"/>
      <c r="DV248" s="889"/>
    </row>
    <row r="249" spans="1:126" s="74" customFormat="1">
      <c r="A249" s="15"/>
      <c r="B249" s="15"/>
      <c r="C249" s="15"/>
      <c r="D249" s="15"/>
      <c r="E249" s="6"/>
      <c r="F249" s="6"/>
      <c r="G249" s="6"/>
      <c r="K249" s="222"/>
      <c r="V249" s="1430"/>
      <c r="AA249" s="223"/>
      <c r="AC249" s="889"/>
      <c r="AF249" s="890"/>
      <c r="AJ249" s="889"/>
      <c r="AN249" s="222"/>
      <c r="BC249" s="223"/>
      <c r="BD249" s="222"/>
      <c r="BH249" s="611"/>
      <c r="BJ249" s="15"/>
      <c r="BK249" s="15"/>
      <c r="BO249" s="223"/>
      <c r="BQ249" s="889"/>
      <c r="BT249" s="890"/>
      <c r="BX249" s="889"/>
      <c r="CB249" s="15"/>
      <c r="CC249" s="697"/>
      <c r="CD249" s="1086"/>
      <c r="CE249" s="15"/>
      <c r="CF249" s="15"/>
      <c r="CG249" s="936"/>
      <c r="CH249" s="15"/>
      <c r="CI249" s="15"/>
      <c r="CJ249" s="15"/>
      <c r="CK249" s="1107"/>
      <c r="CL249" s="22"/>
      <c r="CM249" s="22"/>
      <c r="CN249" s="1107"/>
      <c r="CR249" s="223"/>
      <c r="CS249" s="952"/>
      <c r="CT249" s="1066"/>
      <c r="CU249" s="972"/>
      <c r="CV249" s="983"/>
      <c r="CW249" s="222"/>
      <c r="CX249" s="697"/>
      <c r="DC249" s="222"/>
      <c r="DJ249" s="889"/>
      <c r="DM249" s="890"/>
      <c r="DN249" s="952"/>
      <c r="DO249" s="75"/>
      <c r="DP249" s="962"/>
      <c r="DQ249" s="983"/>
      <c r="DV249" s="889"/>
    </row>
    <row r="250" spans="1:126" s="74" customFormat="1">
      <c r="A250" s="15"/>
      <c r="B250" s="15"/>
      <c r="C250" s="15"/>
      <c r="D250" s="15"/>
      <c r="E250" s="6"/>
      <c r="F250" s="6"/>
      <c r="G250" s="6"/>
      <c r="K250" s="222"/>
      <c r="V250" s="1430"/>
      <c r="AA250" s="223"/>
      <c r="AC250" s="889"/>
      <c r="AF250" s="890"/>
      <c r="AJ250" s="889"/>
      <c r="AN250" s="222"/>
      <c r="BC250" s="223"/>
      <c r="BD250" s="222"/>
      <c r="BH250" s="611"/>
      <c r="BJ250" s="15"/>
      <c r="BK250" s="15"/>
      <c r="BO250" s="223"/>
      <c r="BQ250" s="889"/>
      <c r="BT250" s="890"/>
      <c r="BX250" s="889"/>
      <c r="CB250" s="15"/>
      <c r="CC250" s="697"/>
      <c r="CD250" s="1086"/>
      <c r="CE250" s="15"/>
      <c r="CF250" s="15"/>
      <c r="CG250" s="936"/>
      <c r="CH250" s="15"/>
      <c r="CI250" s="15"/>
      <c r="CJ250" s="15"/>
      <c r="CK250" s="1107"/>
      <c r="CL250" s="22"/>
      <c r="CM250" s="22"/>
      <c r="CN250" s="1107"/>
      <c r="CR250" s="223"/>
      <c r="CS250" s="952"/>
      <c r="CT250" s="1066"/>
      <c r="CU250" s="972"/>
      <c r="CV250" s="983"/>
      <c r="CW250" s="222"/>
      <c r="CX250" s="697"/>
      <c r="DC250" s="222"/>
      <c r="DJ250" s="889"/>
      <c r="DM250" s="890"/>
      <c r="DN250" s="952"/>
      <c r="DO250" s="75"/>
      <c r="DP250" s="962"/>
      <c r="DQ250" s="983"/>
      <c r="DV250" s="889"/>
    </row>
    <row r="251" spans="1:126" s="74" customFormat="1">
      <c r="A251" s="15"/>
      <c r="B251" s="15"/>
      <c r="C251" s="15"/>
      <c r="D251" s="15"/>
      <c r="E251" s="6"/>
      <c r="F251" s="6"/>
      <c r="G251" s="6"/>
      <c r="K251" s="222"/>
      <c r="V251" s="1430"/>
      <c r="AA251" s="223"/>
      <c r="AC251" s="889"/>
      <c r="AF251" s="890"/>
      <c r="AJ251" s="889"/>
      <c r="AN251" s="222"/>
      <c r="BC251" s="223"/>
      <c r="BD251" s="222"/>
      <c r="BH251" s="611"/>
      <c r="BJ251" s="15"/>
      <c r="BK251" s="15"/>
      <c r="BO251" s="223"/>
      <c r="BQ251" s="889"/>
      <c r="BT251" s="890"/>
      <c r="BX251" s="889"/>
      <c r="CB251" s="15"/>
      <c r="CC251" s="697"/>
      <c r="CD251" s="1086"/>
      <c r="CE251" s="15"/>
      <c r="CF251" s="15"/>
      <c r="CG251" s="936"/>
      <c r="CH251" s="15"/>
      <c r="CI251" s="15"/>
      <c r="CJ251" s="15"/>
      <c r="CK251" s="1107"/>
      <c r="CL251" s="22"/>
      <c r="CM251" s="22"/>
      <c r="CN251" s="1107"/>
      <c r="CR251" s="223"/>
      <c r="CS251" s="952"/>
      <c r="CT251" s="1066"/>
      <c r="CU251" s="972"/>
      <c r="CV251" s="983"/>
      <c r="CW251" s="222"/>
      <c r="CX251" s="697"/>
      <c r="DC251" s="222"/>
      <c r="DJ251" s="889"/>
      <c r="DM251" s="890"/>
      <c r="DN251" s="952"/>
      <c r="DO251" s="75"/>
      <c r="DP251" s="962"/>
      <c r="DQ251" s="983"/>
      <c r="DV251" s="889"/>
    </row>
    <row r="252" spans="1:126" s="74" customFormat="1">
      <c r="A252" s="15"/>
      <c r="B252" s="15"/>
      <c r="C252" s="15"/>
      <c r="D252" s="15"/>
      <c r="E252" s="6"/>
      <c r="F252" s="6"/>
      <c r="G252" s="6"/>
      <c r="K252" s="222"/>
      <c r="V252" s="1430"/>
      <c r="AA252" s="223"/>
      <c r="AC252" s="889"/>
      <c r="AF252" s="890"/>
      <c r="AJ252" s="889"/>
      <c r="AN252" s="222"/>
      <c r="BC252" s="223"/>
      <c r="BD252" s="222"/>
      <c r="BH252" s="611"/>
      <c r="BJ252" s="15"/>
      <c r="BK252" s="15"/>
      <c r="BO252" s="223"/>
      <c r="BQ252" s="889"/>
      <c r="BT252" s="890"/>
      <c r="BX252" s="889"/>
      <c r="CB252" s="15"/>
      <c r="CC252" s="697"/>
      <c r="CD252" s="1086"/>
      <c r="CE252" s="15"/>
      <c r="CF252" s="15"/>
      <c r="CG252" s="936"/>
      <c r="CH252" s="15"/>
      <c r="CI252" s="15"/>
      <c r="CJ252" s="15"/>
      <c r="CK252" s="1107"/>
      <c r="CL252" s="22"/>
      <c r="CM252" s="22"/>
      <c r="CN252" s="1107"/>
      <c r="CR252" s="223"/>
      <c r="CS252" s="952"/>
      <c r="CT252" s="1066"/>
      <c r="CU252" s="972"/>
      <c r="CV252" s="983"/>
      <c r="CW252" s="222"/>
      <c r="CX252" s="697"/>
      <c r="DC252" s="222"/>
      <c r="DJ252" s="889"/>
      <c r="DM252" s="890"/>
      <c r="DN252" s="952"/>
      <c r="DO252" s="75"/>
      <c r="DP252" s="962"/>
      <c r="DQ252" s="983"/>
      <c r="DV252" s="889"/>
    </row>
    <row r="253" spans="1:126" s="74" customFormat="1">
      <c r="A253" s="15"/>
      <c r="B253" s="15"/>
      <c r="C253" s="15"/>
      <c r="D253" s="15"/>
      <c r="E253" s="6"/>
      <c r="F253" s="6"/>
      <c r="G253" s="6"/>
      <c r="K253" s="222"/>
      <c r="V253" s="1430"/>
      <c r="AA253" s="223"/>
      <c r="AC253" s="889"/>
      <c r="AF253" s="890"/>
      <c r="AJ253" s="889"/>
      <c r="AN253" s="222"/>
      <c r="BC253" s="223"/>
      <c r="BD253" s="222"/>
      <c r="BH253" s="611"/>
      <c r="BJ253" s="15"/>
      <c r="BK253" s="15"/>
      <c r="BO253" s="223"/>
      <c r="BQ253" s="889"/>
      <c r="BT253" s="890"/>
      <c r="BX253" s="889"/>
      <c r="CB253" s="15"/>
      <c r="CC253" s="697"/>
      <c r="CD253" s="1086"/>
      <c r="CE253" s="15"/>
      <c r="CF253" s="15"/>
      <c r="CG253" s="936"/>
      <c r="CH253" s="15"/>
      <c r="CI253" s="15"/>
      <c r="CJ253" s="15"/>
      <c r="CK253" s="1107"/>
      <c r="CL253" s="22"/>
      <c r="CM253" s="22"/>
      <c r="CN253" s="1107"/>
      <c r="CR253" s="223"/>
      <c r="CS253" s="952"/>
      <c r="CT253" s="1066"/>
      <c r="CU253" s="972"/>
      <c r="CV253" s="983"/>
      <c r="CW253" s="222"/>
      <c r="CX253" s="697"/>
      <c r="DC253" s="222"/>
      <c r="DJ253" s="889"/>
      <c r="DM253" s="890"/>
      <c r="DN253" s="952"/>
      <c r="DO253" s="75"/>
      <c r="DP253" s="962"/>
      <c r="DQ253" s="983"/>
      <c r="DV253" s="889"/>
    </row>
    <row r="254" spans="1:126" s="74" customFormat="1">
      <c r="A254" s="15"/>
      <c r="B254" s="15"/>
      <c r="C254" s="15"/>
      <c r="D254" s="15"/>
      <c r="E254" s="6"/>
      <c r="F254" s="6"/>
      <c r="G254" s="6"/>
      <c r="K254" s="222"/>
      <c r="V254" s="1430"/>
      <c r="AA254" s="223"/>
      <c r="AC254" s="889"/>
      <c r="AF254" s="890"/>
      <c r="AJ254" s="889"/>
      <c r="AN254" s="222"/>
      <c r="BC254" s="223"/>
      <c r="BD254" s="222"/>
      <c r="BH254" s="611"/>
      <c r="BJ254" s="15"/>
      <c r="BK254" s="15"/>
      <c r="BO254" s="223"/>
      <c r="BQ254" s="889"/>
      <c r="BT254" s="890"/>
      <c r="BX254" s="889"/>
      <c r="CB254" s="15"/>
      <c r="CC254" s="697"/>
      <c r="CD254" s="1086"/>
      <c r="CE254" s="15"/>
      <c r="CF254" s="15"/>
      <c r="CG254" s="936"/>
      <c r="CH254" s="15"/>
      <c r="CI254" s="15"/>
      <c r="CJ254" s="15"/>
      <c r="CK254" s="1107"/>
      <c r="CL254" s="22"/>
      <c r="CM254" s="22"/>
      <c r="CN254" s="1107"/>
      <c r="CR254" s="223"/>
      <c r="CS254" s="952"/>
      <c r="CT254" s="1066"/>
      <c r="CU254" s="972"/>
      <c r="CV254" s="983"/>
      <c r="CW254" s="222"/>
      <c r="CX254" s="697"/>
      <c r="DC254" s="222"/>
      <c r="DJ254" s="889"/>
      <c r="DM254" s="890"/>
      <c r="DN254" s="952"/>
      <c r="DO254" s="75"/>
      <c r="DP254" s="962"/>
      <c r="DQ254" s="983"/>
      <c r="DV254" s="889"/>
    </row>
    <row r="255" spans="1:126" s="74" customFormat="1">
      <c r="A255" s="15"/>
      <c r="B255" s="15"/>
      <c r="C255" s="15"/>
      <c r="D255" s="15"/>
      <c r="E255" s="6"/>
      <c r="F255" s="6"/>
      <c r="G255" s="6"/>
      <c r="K255" s="222"/>
      <c r="V255" s="1430"/>
      <c r="AA255" s="223"/>
      <c r="AC255" s="889"/>
      <c r="AF255" s="890"/>
      <c r="AJ255" s="889"/>
      <c r="AN255" s="222"/>
      <c r="BC255" s="223"/>
      <c r="BD255" s="222"/>
      <c r="BH255" s="611"/>
      <c r="BJ255" s="15"/>
      <c r="BK255" s="15"/>
      <c r="BO255" s="223"/>
      <c r="BQ255" s="889"/>
      <c r="BT255" s="890"/>
      <c r="BX255" s="889"/>
      <c r="CB255" s="15"/>
      <c r="CC255" s="697"/>
      <c r="CD255" s="1086"/>
      <c r="CE255" s="15"/>
      <c r="CF255" s="15"/>
      <c r="CG255" s="936"/>
      <c r="CH255" s="15"/>
      <c r="CI255" s="15"/>
      <c r="CJ255" s="15"/>
      <c r="CK255" s="1107"/>
      <c r="CL255" s="22"/>
      <c r="CM255" s="22"/>
      <c r="CN255" s="1107"/>
      <c r="CR255" s="223"/>
      <c r="CS255" s="952"/>
      <c r="CT255" s="1066"/>
      <c r="CU255" s="972"/>
      <c r="CV255" s="983"/>
      <c r="CW255" s="222"/>
      <c r="CX255" s="697"/>
      <c r="DC255" s="222"/>
      <c r="DJ255" s="889"/>
      <c r="DM255" s="890"/>
      <c r="DN255" s="952"/>
      <c r="DO255" s="75"/>
      <c r="DP255" s="962"/>
      <c r="DQ255" s="983"/>
      <c r="DV255" s="889"/>
    </row>
    <row r="256" spans="1:126" s="74" customFormat="1">
      <c r="A256" s="15"/>
      <c r="B256" s="15"/>
      <c r="C256" s="15"/>
      <c r="D256" s="15"/>
      <c r="E256" s="6"/>
      <c r="F256" s="6"/>
      <c r="G256" s="6"/>
      <c r="K256" s="222"/>
      <c r="V256" s="1430"/>
      <c r="AA256" s="223"/>
      <c r="AC256" s="889"/>
      <c r="AF256" s="890"/>
      <c r="AJ256" s="889"/>
      <c r="AN256" s="222"/>
      <c r="BC256" s="223"/>
      <c r="BD256" s="222"/>
      <c r="BH256" s="611"/>
      <c r="BJ256" s="15"/>
      <c r="BK256" s="15"/>
      <c r="BO256" s="223"/>
      <c r="BQ256" s="889"/>
      <c r="BT256" s="890"/>
      <c r="BX256" s="889"/>
      <c r="CB256" s="15"/>
      <c r="CC256" s="697"/>
      <c r="CD256" s="1086"/>
      <c r="CE256" s="15"/>
      <c r="CF256" s="15"/>
      <c r="CG256" s="936"/>
      <c r="CH256" s="15"/>
      <c r="CI256" s="15"/>
      <c r="CJ256" s="15"/>
      <c r="CK256" s="1107"/>
      <c r="CL256" s="22"/>
      <c r="CM256" s="22"/>
      <c r="CN256" s="1107"/>
      <c r="CR256" s="223"/>
      <c r="CS256" s="952"/>
      <c r="CT256" s="1066"/>
      <c r="CU256" s="972"/>
      <c r="CV256" s="983"/>
      <c r="CW256" s="222"/>
      <c r="CX256" s="697"/>
      <c r="DC256" s="222"/>
      <c r="DJ256" s="889"/>
      <c r="DM256" s="890"/>
      <c r="DN256" s="952"/>
      <c r="DO256" s="75"/>
      <c r="DP256" s="962"/>
      <c r="DQ256" s="983"/>
      <c r="DV256" s="889"/>
    </row>
    <row r="257" spans="1:126" s="74" customFormat="1">
      <c r="A257" s="15"/>
      <c r="B257" s="15"/>
      <c r="C257" s="15"/>
      <c r="D257" s="15"/>
      <c r="E257" s="6"/>
      <c r="F257" s="6"/>
      <c r="G257" s="6"/>
      <c r="K257" s="222"/>
      <c r="V257" s="1430"/>
      <c r="AA257" s="223"/>
      <c r="AC257" s="889"/>
      <c r="AF257" s="890"/>
      <c r="AJ257" s="889"/>
      <c r="AN257" s="222"/>
      <c r="BC257" s="223"/>
      <c r="BD257" s="222"/>
      <c r="BH257" s="611"/>
      <c r="BJ257" s="15"/>
      <c r="BK257" s="15"/>
      <c r="BO257" s="223"/>
      <c r="BQ257" s="889"/>
      <c r="BT257" s="890"/>
      <c r="BX257" s="889"/>
      <c r="CB257" s="15"/>
      <c r="CC257" s="697"/>
      <c r="CD257" s="1086"/>
      <c r="CE257" s="15"/>
      <c r="CF257" s="15"/>
      <c r="CG257" s="936"/>
      <c r="CH257" s="15"/>
      <c r="CI257" s="15"/>
      <c r="CJ257" s="15"/>
      <c r="CK257" s="1107"/>
      <c r="CL257" s="22"/>
      <c r="CM257" s="22"/>
      <c r="CN257" s="1107"/>
      <c r="CR257" s="223"/>
      <c r="CS257" s="952"/>
      <c r="CT257" s="1066"/>
      <c r="CU257" s="972"/>
      <c r="CV257" s="983"/>
      <c r="CW257" s="222"/>
      <c r="CX257" s="697"/>
      <c r="DC257" s="222"/>
      <c r="DJ257" s="889"/>
      <c r="DM257" s="890"/>
      <c r="DN257" s="952"/>
      <c r="DO257" s="75"/>
      <c r="DP257" s="962"/>
      <c r="DQ257" s="983"/>
      <c r="DV257" s="889"/>
    </row>
    <row r="258" spans="1:126" s="74" customFormat="1">
      <c r="A258" s="15"/>
      <c r="B258" s="15"/>
      <c r="C258" s="15"/>
      <c r="D258" s="15"/>
      <c r="E258" s="6"/>
      <c r="F258" s="6"/>
      <c r="G258" s="6"/>
      <c r="K258" s="222"/>
      <c r="V258" s="1430"/>
      <c r="AA258" s="223"/>
      <c r="AC258" s="889"/>
      <c r="AF258" s="890"/>
      <c r="AJ258" s="889"/>
      <c r="AN258" s="222"/>
      <c r="BC258" s="223"/>
      <c r="BD258" s="222"/>
      <c r="BH258" s="611"/>
      <c r="BJ258" s="15"/>
      <c r="BK258" s="15"/>
      <c r="BO258" s="223"/>
      <c r="BQ258" s="889"/>
      <c r="BT258" s="890"/>
      <c r="BX258" s="889"/>
      <c r="CB258" s="15"/>
      <c r="CC258" s="697"/>
      <c r="CD258" s="1086"/>
      <c r="CE258" s="15"/>
      <c r="CF258" s="15"/>
      <c r="CG258" s="936"/>
      <c r="CH258" s="15"/>
      <c r="CI258" s="15"/>
      <c r="CJ258" s="15"/>
      <c r="CK258" s="1107"/>
      <c r="CL258" s="22"/>
      <c r="CM258" s="22"/>
      <c r="CN258" s="1107"/>
      <c r="CR258" s="223"/>
      <c r="CS258" s="952"/>
      <c r="CT258" s="1066"/>
      <c r="CU258" s="972"/>
      <c r="CV258" s="983"/>
      <c r="CW258" s="222"/>
      <c r="CX258" s="697"/>
      <c r="DC258" s="222"/>
      <c r="DJ258" s="889"/>
      <c r="DM258" s="890"/>
      <c r="DN258" s="952"/>
      <c r="DO258" s="75"/>
      <c r="DP258" s="962"/>
      <c r="DQ258" s="983"/>
      <c r="DV258" s="889"/>
    </row>
    <row r="259" spans="1:126" s="74" customFormat="1">
      <c r="A259" s="15"/>
      <c r="B259" s="15"/>
      <c r="C259" s="15"/>
      <c r="D259" s="15"/>
      <c r="E259" s="6"/>
      <c r="F259" s="6"/>
      <c r="G259" s="6"/>
      <c r="K259" s="222"/>
      <c r="V259" s="1430"/>
      <c r="AA259" s="223"/>
      <c r="AC259" s="889"/>
      <c r="AF259" s="890"/>
      <c r="AJ259" s="889"/>
      <c r="AN259" s="222"/>
      <c r="BC259" s="223"/>
      <c r="BD259" s="222"/>
      <c r="BH259" s="611"/>
      <c r="BJ259" s="15"/>
      <c r="BK259" s="15"/>
      <c r="BO259" s="223"/>
      <c r="BQ259" s="889"/>
      <c r="BT259" s="890"/>
      <c r="BX259" s="889"/>
      <c r="CB259" s="15"/>
      <c r="CC259" s="697"/>
      <c r="CD259" s="1086"/>
      <c r="CE259" s="15"/>
      <c r="CF259" s="15"/>
      <c r="CG259" s="936"/>
      <c r="CH259" s="15"/>
      <c r="CI259" s="15"/>
      <c r="CJ259" s="15"/>
      <c r="CK259" s="1107"/>
      <c r="CL259" s="22"/>
      <c r="CM259" s="22"/>
      <c r="CN259" s="1107"/>
      <c r="CR259" s="223"/>
      <c r="CS259" s="952"/>
      <c r="CT259" s="1066"/>
      <c r="CU259" s="972"/>
      <c r="CV259" s="983"/>
      <c r="CW259" s="222"/>
      <c r="CX259" s="697"/>
      <c r="DC259" s="222"/>
      <c r="DJ259" s="889"/>
      <c r="DM259" s="890"/>
      <c r="DN259" s="952"/>
      <c r="DO259" s="75"/>
      <c r="DP259" s="962"/>
      <c r="DQ259" s="983"/>
      <c r="DV259" s="889"/>
    </row>
    <row r="260" spans="1:126" s="74" customFormat="1">
      <c r="A260" s="15"/>
      <c r="B260" s="15"/>
      <c r="C260" s="15"/>
      <c r="D260" s="15"/>
      <c r="E260" s="6"/>
      <c r="F260" s="6"/>
      <c r="G260" s="6"/>
      <c r="K260" s="222"/>
      <c r="V260" s="1430"/>
      <c r="AA260" s="223"/>
      <c r="AC260" s="889"/>
      <c r="AF260" s="890"/>
      <c r="AJ260" s="889"/>
      <c r="AN260" s="222"/>
      <c r="BC260" s="223"/>
      <c r="BD260" s="222"/>
      <c r="BH260" s="611"/>
      <c r="BJ260" s="15"/>
      <c r="BK260" s="15"/>
      <c r="BO260" s="223"/>
      <c r="BQ260" s="889"/>
      <c r="BT260" s="890"/>
      <c r="BX260" s="889"/>
      <c r="CB260" s="15"/>
      <c r="CC260" s="697"/>
      <c r="CD260" s="1086"/>
      <c r="CE260" s="15"/>
      <c r="CF260" s="15"/>
      <c r="CG260" s="936"/>
      <c r="CH260" s="15"/>
      <c r="CI260" s="15"/>
      <c r="CJ260" s="15"/>
      <c r="CK260" s="1107"/>
      <c r="CL260" s="22"/>
      <c r="CM260" s="22"/>
      <c r="CN260" s="1107"/>
      <c r="CR260" s="223"/>
      <c r="CS260" s="952"/>
      <c r="CT260" s="1066"/>
      <c r="CU260" s="972"/>
      <c r="CV260" s="983"/>
      <c r="CW260" s="222"/>
      <c r="CX260" s="697"/>
      <c r="DC260" s="222"/>
      <c r="DJ260" s="889"/>
      <c r="DM260" s="890"/>
      <c r="DN260" s="952"/>
      <c r="DO260" s="75"/>
      <c r="DP260" s="962"/>
      <c r="DQ260" s="983"/>
      <c r="DV260" s="889"/>
    </row>
    <row r="261" spans="1:126" s="74" customFormat="1">
      <c r="A261" s="15"/>
      <c r="B261" s="15"/>
      <c r="C261" s="15"/>
      <c r="D261" s="15"/>
      <c r="E261" s="6"/>
      <c r="F261" s="6"/>
      <c r="G261" s="6"/>
      <c r="K261" s="222"/>
      <c r="V261" s="1430"/>
      <c r="AA261" s="223"/>
      <c r="AC261" s="889"/>
      <c r="AF261" s="890"/>
      <c r="AJ261" s="889"/>
      <c r="AN261" s="222"/>
      <c r="BC261" s="223"/>
      <c r="BD261" s="222"/>
      <c r="BH261" s="611"/>
      <c r="BJ261" s="15"/>
      <c r="BK261" s="15"/>
      <c r="BO261" s="223"/>
      <c r="BQ261" s="889"/>
      <c r="BT261" s="890"/>
      <c r="BX261" s="889"/>
      <c r="CB261" s="15"/>
      <c r="CC261" s="697"/>
      <c r="CD261" s="1086"/>
      <c r="CE261" s="15"/>
      <c r="CF261" s="15"/>
      <c r="CG261" s="936"/>
      <c r="CH261" s="15"/>
      <c r="CI261" s="15"/>
      <c r="CJ261" s="15"/>
      <c r="CK261" s="1107"/>
      <c r="CL261" s="22"/>
      <c r="CM261" s="22"/>
      <c r="CN261" s="1107"/>
      <c r="CR261" s="223"/>
      <c r="CS261" s="952"/>
      <c r="CT261" s="1066"/>
      <c r="CU261" s="972"/>
      <c r="CV261" s="983"/>
      <c r="CW261" s="222"/>
      <c r="CX261" s="697"/>
      <c r="DC261" s="222"/>
      <c r="DJ261" s="889"/>
      <c r="DM261" s="890"/>
      <c r="DN261" s="952"/>
      <c r="DO261" s="75"/>
      <c r="DP261" s="962"/>
      <c r="DQ261" s="983"/>
      <c r="DV261" s="889"/>
    </row>
    <row r="262" spans="1:126" s="74" customFormat="1">
      <c r="A262" s="15"/>
      <c r="B262" s="15"/>
      <c r="C262" s="15"/>
      <c r="D262" s="15"/>
      <c r="E262" s="6"/>
      <c r="F262" s="6"/>
      <c r="G262" s="6"/>
      <c r="K262" s="222"/>
      <c r="V262" s="1430"/>
      <c r="AA262" s="223"/>
      <c r="AC262" s="889"/>
      <c r="AF262" s="890"/>
      <c r="AJ262" s="889"/>
      <c r="AN262" s="222"/>
      <c r="BC262" s="223"/>
      <c r="BD262" s="222"/>
      <c r="BH262" s="611"/>
      <c r="BJ262" s="15"/>
      <c r="BK262" s="15"/>
      <c r="BO262" s="223"/>
      <c r="BQ262" s="889"/>
      <c r="BT262" s="890"/>
      <c r="BX262" s="889"/>
      <c r="CB262" s="15"/>
      <c r="CC262" s="697"/>
      <c r="CD262" s="1086"/>
      <c r="CE262" s="15"/>
      <c r="CF262" s="15"/>
      <c r="CG262" s="936"/>
      <c r="CH262" s="15"/>
      <c r="CI262" s="15"/>
      <c r="CJ262" s="15"/>
      <c r="CK262" s="1107"/>
      <c r="CL262" s="22"/>
      <c r="CM262" s="22"/>
      <c r="CN262" s="1107"/>
      <c r="CR262" s="223"/>
      <c r="CS262" s="952"/>
      <c r="CT262" s="1066"/>
      <c r="CU262" s="972"/>
      <c r="CV262" s="983"/>
      <c r="CW262" s="222"/>
      <c r="CX262" s="697"/>
      <c r="DC262" s="222"/>
      <c r="DJ262" s="889"/>
      <c r="DM262" s="890"/>
      <c r="DN262" s="952"/>
      <c r="DO262" s="75"/>
      <c r="DP262" s="962"/>
      <c r="DQ262" s="983"/>
      <c r="DV262" s="889"/>
    </row>
    <row r="263" spans="1:126" s="74" customFormat="1">
      <c r="A263" s="15"/>
      <c r="B263" s="15"/>
      <c r="C263" s="15"/>
      <c r="D263" s="15"/>
      <c r="E263" s="6"/>
      <c r="F263" s="6"/>
      <c r="G263" s="6"/>
      <c r="K263" s="222"/>
      <c r="V263" s="1430"/>
      <c r="AA263" s="223"/>
      <c r="AC263" s="889"/>
      <c r="AF263" s="890"/>
      <c r="AJ263" s="889"/>
      <c r="AN263" s="222"/>
      <c r="BC263" s="223"/>
      <c r="BD263" s="222"/>
      <c r="BH263" s="611"/>
      <c r="BJ263" s="15"/>
      <c r="BK263" s="15"/>
      <c r="BO263" s="223"/>
      <c r="BQ263" s="889"/>
      <c r="BT263" s="890"/>
      <c r="BX263" s="889"/>
      <c r="CB263" s="15"/>
      <c r="CC263" s="697"/>
      <c r="CD263" s="1086"/>
      <c r="CE263" s="15"/>
      <c r="CF263" s="15"/>
      <c r="CG263" s="936"/>
      <c r="CH263" s="15"/>
      <c r="CI263" s="15"/>
      <c r="CJ263" s="15"/>
      <c r="CK263" s="1107"/>
      <c r="CL263" s="22"/>
      <c r="CM263" s="22"/>
      <c r="CN263" s="1107"/>
      <c r="CR263" s="223"/>
      <c r="CS263" s="952"/>
      <c r="CT263" s="1066"/>
      <c r="CU263" s="972"/>
      <c r="CV263" s="983"/>
      <c r="CW263" s="222"/>
      <c r="CX263" s="697"/>
      <c r="DC263" s="222"/>
      <c r="DJ263" s="889"/>
      <c r="DM263" s="890"/>
      <c r="DN263" s="952"/>
      <c r="DO263" s="75"/>
      <c r="DP263" s="962"/>
      <c r="DQ263" s="983"/>
      <c r="DV263" s="889"/>
    </row>
    <row r="264" spans="1:126" s="74" customFormat="1">
      <c r="A264" s="15"/>
      <c r="B264" s="15"/>
      <c r="C264" s="15"/>
      <c r="D264" s="15"/>
      <c r="E264" s="6"/>
      <c r="F264" s="6"/>
      <c r="G264" s="6"/>
      <c r="K264" s="222"/>
      <c r="V264" s="1430"/>
      <c r="AA264" s="223"/>
      <c r="AC264" s="889"/>
      <c r="AF264" s="890"/>
      <c r="AJ264" s="889"/>
      <c r="AN264" s="222"/>
      <c r="BC264" s="223"/>
      <c r="BD264" s="222"/>
      <c r="BH264" s="611"/>
      <c r="BJ264" s="15"/>
      <c r="BK264" s="15"/>
      <c r="BO264" s="223"/>
      <c r="BQ264" s="889"/>
      <c r="BT264" s="890"/>
      <c r="BX264" s="889"/>
      <c r="CB264" s="15"/>
      <c r="CC264" s="697"/>
      <c r="CD264" s="1086"/>
      <c r="CE264" s="15"/>
      <c r="CF264" s="15"/>
      <c r="CG264" s="936"/>
      <c r="CH264" s="15"/>
      <c r="CI264" s="15"/>
      <c r="CJ264" s="15"/>
      <c r="CK264" s="1107"/>
      <c r="CL264" s="22"/>
      <c r="CM264" s="22"/>
      <c r="CN264" s="1107"/>
      <c r="CR264" s="223"/>
      <c r="CS264" s="952"/>
      <c r="CT264" s="1066"/>
      <c r="CU264" s="972"/>
      <c r="CV264" s="983"/>
      <c r="CW264" s="222"/>
      <c r="CX264" s="697"/>
      <c r="DC264" s="222"/>
      <c r="DJ264" s="889"/>
      <c r="DM264" s="890"/>
      <c r="DN264" s="952"/>
      <c r="DO264" s="75"/>
      <c r="DP264" s="962"/>
      <c r="DQ264" s="983"/>
      <c r="DV264" s="889"/>
    </row>
    <row r="265" spans="1:126" s="74" customFormat="1">
      <c r="A265" s="15"/>
      <c r="B265" s="15"/>
      <c r="C265" s="15"/>
      <c r="D265" s="15"/>
      <c r="E265" s="6"/>
      <c r="F265" s="6"/>
      <c r="G265" s="6"/>
      <c r="K265" s="222"/>
      <c r="V265" s="1430"/>
      <c r="AA265" s="223"/>
      <c r="AC265" s="889"/>
      <c r="AF265" s="890"/>
      <c r="AJ265" s="889"/>
      <c r="AN265" s="222"/>
      <c r="BC265" s="223"/>
      <c r="BD265" s="222"/>
      <c r="BH265" s="611"/>
      <c r="BJ265" s="15"/>
      <c r="BK265" s="15"/>
      <c r="BO265" s="223"/>
      <c r="BQ265" s="889"/>
      <c r="BT265" s="890"/>
      <c r="BX265" s="889"/>
      <c r="CB265" s="15"/>
      <c r="CC265" s="697"/>
      <c r="CD265" s="1086"/>
      <c r="CE265" s="15"/>
      <c r="CF265" s="15"/>
      <c r="CG265" s="936"/>
      <c r="CH265" s="15"/>
      <c r="CI265" s="15"/>
      <c r="CJ265" s="15"/>
      <c r="CK265" s="1107"/>
      <c r="CL265" s="22"/>
      <c r="CM265" s="22"/>
      <c r="CN265" s="1107"/>
      <c r="CR265" s="223"/>
      <c r="CS265" s="952"/>
      <c r="CT265" s="1066"/>
      <c r="CU265" s="972"/>
      <c r="CV265" s="983"/>
      <c r="CW265" s="222"/>
      <c r="CX265" s="697"/>
      <c r="DC265" s="222"/>
      <c r="DJ265" s="889"/>
      <c r="DM265" s="890"/>
      <c r="DN265" s="952"/>
      <c r="DO265" s="75"/>
      <c r="DP265" s="962"/>
      <c r="DQ265" s="983"/>
      <c r="DV265" s="889"/>
    </row>
    <row r="266" spans="1:126" s="74" customFormat="1">
      <c r="A266" s="15"/>
      <c r="B266" s="15"/>
      <c r="C266" s="15"/>
      <c r="D266" s="15"/>
      <c r="E266" s="6"/>
      <c r="F266" s="6"/>
      <c r="G266" s="6"/>
      <c r="K266" s="222"/>
      <c r="V266" s="1430"/>
      <c r="AA266" s="223"/>
      <c r="AC266" s="889"/>
      <c r="AF266" s="890"/>
      <c r="AJ266" s="889"/>
      <c r="AN266" s="222"/>
      <c r="BC266" s="223"/>
      <c r="BD266" s="222"/>
      <c r="BH266" s="611"/>
      <c r="BJ266" s="15"/>
      <c r="BK266" s="15"/>
      <c r="BO266" s="223"/>
      <c r="BQ266" s="889"/>
      <c r="BT266" s="890"/>
      <c r="BX266" s="889"/>
      <c r="CB266" s="15"/>
      <c r="CC266" s="697"/>
      <c r="CD266" s="1086"/>
      <c r="CE266" s="15"/>
      <c r="CF266" s="15"/>
      <c r="CG266" s="936"/>
      <c r="CH266" s="15"/>
      <c r="CI266" s="15"/>
      <c r="CJ266" s="15"/>
      <c r="CK266" s="1107"/>
      <c r="CL266" s="22"/>
      <c r="CM266" s="22"/>
      <c r="CN266" s="1107"/>
      <c r="CR266" s="223"/>
      <c r="CS266" s="952"/>
      <c r="CT266" s="1066"/>
      <c r="CU266" s="972"/>
      <c r="CV266" s="983"/>
      <c r="CW266" s="222"/>
      <c r="CX266" s="697"/>
      <c r="DC266" s="222"/>
      <c r="DJ266" s="889"/>
      <c r="DM266" s="890"/>
      <c r="DN266" s="952"/>
      <c r="DO266" s="75"/>
      <c r="DP266" s="962"/>
      <c r="DQ266" s="983"/>
      <c r="DV266" s="889"/>
    </row>
    <row r="267" spans="1:126" s="74" customFormat="1">
      <c r="A267" s="15"/>
      <c r="B267" s="15"/>
      <c r="C267" s="15"/>
      <c r="D267" s="15"/>
      <c r="E267" s="6"/>
      <c r="F267" s="6"/>
      <c r="G267" s="6"/>
      <c r="K267" s="222"/>
      <c r="V267" s="1430"/>
      <c r="AA267" s="223"/>
      <c r="AC267" s="889"/>
      <c r="AF267" s="890"/>
      <c r="AJ267" s="889"/>
      <c r="AN267" s="222"/>
      <c r="BC267" s="223"/>
      <c r="BD267" s="222"/>
      <c r="BH267" s="611"/>
      <c r="BJ267" s="15"/>
      <c r="BK267" s="15"/>
      <c r="BO267" s="223"/>
      <c r="BQ267" s="889"/>
      <c r="BT267" s="890"/>
      <c r="BX267" s="889"/>
      <c r="CB267" s="15"/>
      <c r="CC267" s="697"/>
      <c r="CD267" s="1086"/>
      <c r="CE267" s="15"/>
      <c r="CF267" s="15"/>
      <c r="CG267" s="936"/>
      <c r="CH267" s="15"/>
      <c r="CI267" s="15"/>
      <c r="CJ267" s="15"/>
      <c r="CK267" s="1107"/>
      <c r="CL267" s="22"/>
      <c r="CM267" s="22"/>
      <c r="CN267" s="1107"/>
      <c r="CR267" s="223"/>
      <c r="CS267" s="952"/>
      <c r="CT267" s="1066"/>
      <c r="CU267" s="972"/>
      <c r="CV267" s="983"/>
      <c r="CW267" s="222"/>
      <c r="CX267" s="697"/>
      <c r="DC267" s="222"/>
      <c r="DJ267" s="889"/>
      <c r="DM267" s="890"/>
      <c r="DN267" s="952"/>
      <c r="DO267" s="75"/>
      <c r="DP267" s="962"/>
      <c r="DQ267" s="983"/>
      <c r="DV267" s="889"/>
    </row>
    <row r="268" spans="1:126" s="74" customFormat="1">
      <c r="A268" s="15"/>
      <c r="B268" s="15"/>
      <c r="C268" s="15"/>
      <c r="D268" s="15"/>
      <c r="E268" s="6"/>
      <c r="F268" s="6"/>
      <c r="G268" s="6"/>
      <c r="K268" s="222"/>
      <c r="V268" s="1430"/>
      <c r="AA268" s="223"/>
      <c r="AC268" s="889"/>
      <c r="AF268" s="890"/>
      <c r="AJ268" s="889"/>
      <c r="AN268" s="222"/>
      <c r="BC268" s="223"/>
      <c r="BD268" s="222"/>
      <c r="BH268" s="611"/>
      <c r="BJ268" s="15"/>
      <c r="BK268" s="15"/>
      <c r="BO268" s="223"/>
      <c r="BQ268" s="889"/>
      <c r="BT268" s="890"/>
      <c r="BX268" s="889"/>
      <c r="CB268" s="15"/>
      <c r="CC268" s="697"/>
      <c r="CD268" s="1086"/>
      <c r="CE268" s="15"/>
      <c r="CF268" s="15"/>
      <c r="CG268" s="936"/>
      <c r="CH268" s="15"/>
      <c r="CI268" s="15"/>
      <c r="CJ268" s="15"/>
      <c r="CK268" s="1107"/>
      <c r="CL268" s="22"/>
      <c r="CM268" s="22"/>
      <c r="CN268" s="1107"/>
      <c r="CR268" s="223"/>
      <c r="CS268" s="952"/>
      <c r="CT268" s="1066"/>
      <c r="CU268" s="972"/>
      <c r="CV268" s="983"/>
      <c r="CW268" s="222"/>
      <c r="CX268" s="697"/>
      <c r="DC268" s="222"/>
      <c r="DJ268" s="889"/>
      <c r="DM268" s="890"/>
      <c r="DN268" s="952"/>
      <c r="DO268" s="75"/>
      <c r="DP268" s="962"/>
      <c r="DQ268" s="983"/>
      <c r="DV268" s="889"/>
    </row>
    <row r="269" spans="1:126" s="74" customFormat="1">
      <c r="A269" s="15"/>
      <c r="B269" s="15"/>
      <c r="C269" s="15"/>
      <c r="D269" s="15"/>
      <c r="E269" s="6"/>
      <c r="F269" s="6"/>
      <c r="G269" s="6"/>
      <c r="K269" s="222"/>
      <c r="V269" s="1430"/>
      <c r="AA269" s="223"/>
      <c r="AC269" s="889"/>
      <c r="AF269" s="890"/>
      <c r="AJ269" s="889"/>
      <c r="AN269" s="222"/>
      <c r="BC269" s="223"/>
      <c r="BD269" s="222"/>
      <c r="BH269" s="611"/>
      <c r="BJ269" s="15"/>
      <c r="BK269" s="15"/>
      <c r="BO269" s="223"/>
      <c r="BQ269" s="889"/>
      <c r="BT269" s="890"/>
      <c r="BX269" s="889"/>
      <c r="CB269" s="15"/>
      <c r="CC269" s="697"/>
      <c r="CD269" s="1086"/>
      <c r="CE269" s="15"/>
      <c r="CF269" s="15"/>
      <c r="CG269" s="936"/>
      <c r="CH269" s="15"/>
      <c r="CI269" s="15"/>
      <c r="CJ269" s="15"/>
      <c r="CK269" s="1107"/>
      <c r="CL269" s="22"/>
      <c r="CM269" s="22"/>
      <c r="CN269" s="1107"/>
      <c r="CR269" s="223"/>
      <c r="CS269" s="952"/>
      <c r="CT269" s="1066"/>
      <c r="CU269" s="972"/>
      <c r="CV269" s="983"/>
      <c r="CW269" s="222"/>
      <c r="CX269" s="697"/>
      <c r="DC269" s="222"/>
      <c r="DJ269" s="889"/>
      <c r="DM269" s="890"/>
      <c r="DN269" s="952"/>
      <c r="DO269" s="75"/>
      <c r="DP269" s="962"/>
      <c r="DQ269" s="983"/>
      <c r="DV269" s="889"/>
    </row>
    <row r="270" spans="1:126" s="74" customFormat="1">
      <c r="A270" s="15"/>
      <c r="B270" s="15"/>
      <c r="C270" s="15"/>
      <c r="D270" s="15"/>
      <c r="E270" s="6"/>
      <c r="F270" s="6"/>
      <c r="G270" s="6"/>
      <c r="K270" s="222"/>
      <c r="V270" s="1430"/>
      <c r="AA270" s="223"/>
      <c r="AC270" s="889"/>
      <c r="AF270" s="890"/>
      <c r="AJ270" s="889"/>
      <c r="AN270" s="222"/>
      <c r="BC270" s="223"/>
      <c r="BD270" s="222"/>
      <c r="BH270" s="611"/>
      <c r="BJ270" s="15"/>
      <c r="BK270" s="15"/>
      <c r="BO270" s="223"/>
      <c r="BQ270" s="889"/>
      <c r="BT270" s="890"/>
      <c r="BX270" s="889"/>
      <c r="CB270" s="15"/>
      <c r="CC270" s="697"/>
      <c r="CD270" s="1086"/>
      <c r="CE270" s="15"/>
      <c r="CF270" s="15"/>
      <c r="CG270" s="936"/>
      <c r="CH270" s="15"/>
      <c r="CI270" s="15"/>
      <c r="CJ270" s="15"/>
      <c r="CK270" s="1107"/>
      <c r="CL270" s="22"/>
      <c r="CM270" s="22"/>
      <c r="CN270" s="1107"/>
      <c r="CR270" s="223"/>
      <c r="CS270" s="952"/>
      <c r="CT270" s="1066"/>
      <c r="CU270" s="972"/>
      <c r="CV270" s="983"/>
      <c r="CW270" s="222"/>
      <c r="CX270" s="697"/>
      <c r="DC270" s="222"/>
      <c r="DJ270" s="889"/>
      <c r="DM270" s="890"/>
      <c r="DN270" s="952"/>
      <c r="DO270" s="75"/>
      <c r="DP270" s="962"/>
      <c r="DQ270" s="983"/>
      <c r="DV270" s="889"/>
    </row>
    <row r="271" spans="1:126" s="74" customFormat="1">
      <c r="A271" s="15"/>
      <c r="B271" s="15"/>
      <c r="C271" s="15"/>
      <c r="D271" s="15"/>
      <c r="E271" s="6"/>
      <c r="F271" s="6"/>
      <c r="G271" s="6"/>
      <c r="K271" s="222"/>
      <c r="V271" s="1430"/>
      <c r="AA271" s="223"/>
      <c r="AC271" s="889"/>
      <c r="AF271" s="890"/>
      <c r="AJ271" s="889"/>
      <c r="AN271" s="222"/>
      <c r="BC271" s="223"/>
      <c r="BD271" s="222"/>
      <c r="BH271" s="611"/>
      <c r="BJ271" s="15"/>
      <c r="BK271" s="15"/>
      <c r="BO271" s="223"/>
      <c r="BQ271" s="889"/>
      <c r="BT271" s="890"/>
      <c r="BX271" s="889"/>
      <c r="CB271" s="15"/>
      <c r="CC271" s="697"/>
      <c r="CD271" s="1086"/>
      <c r="CE271" s="15"/>
      <c r="CF271" s="15"/>
      <c r="CG271" s="936"/>
      <c r="CH271" s="15"/>
      <c r="CI271" s="15"/>
      <c r="CJ271" s="15"/>
      <c r="CK271" s="1107"/>
      <c r="CL271" s="22"/>
      <c r="CM271" s="22"/>
      <c r="CN271" s="1107"/>
      <c r="CR271" s="223"/>
      <c r="CS271" s="952"/>
      <c r="CT271" s="1066"/>
      <c r="CU271" s="972"/>
      <c r="CV271" s="983"/>
      <c r="CW271" s="222"/>
      <c r="CX271" s="697"/>
      <c r="DC271" s="222"/>
      <c r="DJ271" s="889"/>
      <c r="DM271" s="890"/>
      <c r="DN271" s="952"/>
      <c r="DO271" s="75"/>
      <c r="DP271" s="962"/>
      <c r="DQ271" s="983"/>
      <c r="DV271" s="889"/>
    </row>
    <row r="272" spans="1:126" s="74" customFormat="1">
      <c r="A272" s="15"/>
      <c r="B272" s="15"/>
      <c r="C272" s="15"/>
      <c r="D272" s="15"/>
      <c r="E272" s="6"/>
      <c r="F272" s="6"/>
      <c r="G272" s="6"/>
      <c r="K272" s="222"/>
      <c r="V272" s="1430"/>
      <c r="AA272" s="223"/>
      <c r="AC272" s="889"/>
      <c r="AF272" s="890"/>
      <c r="AJ272" s="889"/>
      <c r="AN272" s="222"/>
      <c r="BC272" s="223"/>
      <c r="BD272" s="222"/>
      <c r="BH272" s="611"/>
      <c r="BJ272" s="15"/>
      <c r="BK272" s="15"/>
      <c r="BO272" s="223"/>
      <c r="BQ272" s="889"/>
      <c r="BT272" s="890"/>
      <c r="BX272" s="889"/>
      <c r="CB272" s="15"/>
      <c r="CC272" s="697"/>
      <c r="CD272" s="1086"/>
      <c r="CE272" s="15"/>
      <c r="CF272" s="15"/>
      <c r="CG272" s="936"/>
      <c r="CH272" s="15"/>
      <c r="CI272" s="15"/>
      <c r="CJ272" s="15"/>
      <c r="CK272" s="1107"/>
      <c r="CL272" s="22"/>
      <c r="CM272" s="22"/>
      <c r="CN272" s="1107"/>
      <c r="CR272" s="223"/>
      <c r="CS272" s="952"/>
      <c r="CT272" s="1066"/>
      <c r="CU272" s="972"/>
      <c r="CV272" s="983"/>
      <c r="CW272" s="222"/>
      <c r="CX272" s="697"/>
      <c r="DC272" s="222"/>
      <c r="DJ272" s="889"/>
      <c r="DM272" s="890"/>
      <c r="DN272" s="952"/>
      <c r="DO272" s="75"/>
      <c r="DP272" s="962"/>
      <c r="DQ272" s="983"/>
      <c r="DV272" s="889"/>
    </row>
    <row r="273" spans="1:126" s="74" customFormat="1">
      <c r="A273" s="15"/>
      <c r="B273" s="15"/>
      <c r="C273" s="15"/>
      <c r="D273" s="15"/>
      <c r="E273" s="6"/>
      <c r="F273" s="6"/>
      <c r="G273" s="6"/>
      <c r="K273" s="222"/>
      <c r="V273" s="1430"/>
      <c r="AA273" s="223"/>
      <c r="AC273" s="889"/>
      <c r="AF273" s="890"/>
      <c r="AJ273" s="889"/>
      <c r="AN273" s="222"/>
      <c r="BC273" s="223"/>
      <c r="BD273" s="222"/>
      <c r="BH273" s="611"/>
      <c r="BJ273" s="15"/>
      <c r="BK273" s="15"/>
      <c r="BO273" s="223"/>
      <c r="BQ273" s="889"/>
      <c r="BT273" s="890"/>
      <c r="BX273" s="889"/>
      <c r="CB273" s="15"/>
      <c r="CC273" s="697"/>
      <c r="CD273" s="1086"/>
      <c r="CE273" s="15"/>
      <c r="CF273" s="15"/>
      <c r="CG273" s="936"/>
      <c r="CH273" s="15"/>
      <c r="CI273" s="15"/>
      <c r="CJ273" s="15"/>
      <c r="CK273" s="1107"/>
      <c r="CL273" s="22"/>
      <c r="CM273" s="22"/>
      <c r="CN273" s="1107"/>
      <c r="CR273" s="223"/>
      <c r="CS273" s="952"/>
      <c r="CT273" s="1066"/>
      <c r="CU273" s="972"/>
      <c r="CV273" s="983"/>
      <c r="CW273" s="222"/>
      <c r="CX273" s="697"/>
      <c r="DC273" s="222"/>
      <c r="DJ273" s="889"/>
      <c r="DM273" s="890"/>
      <c r="DN273" s="952"/>
      <c r="DO273" s="75"/>
      <c r="DP273" s="962"/>
      <c r="DQ273" s="983"/>
      <c r="DV273" s="889"/>
    </row>
    <row r="274" spans="1:126" s="74" customFormat="1">
      <c r="A274" s="15"/>
      <c r="B274" s="15"/>
      <c r="C274" s="15"/>
      <c r="D274" s="15"/>
      <c r="E274" s="6"/>
      <c r="F274" s="6"/>
      <c r="G274" s="6"/>
      <c r="K274" s="222"/>
      <c r="V274" s="1430"/>
      <c r="AA274" s="223"/>
      <c r="AC274" s="889"/>
      <c r="AF274" s="890"/>
      <c r="AJ274" s="889"/>
      <c r="AN274" s="222"/>
      <c r="BC274" s="223"/>
      <c r="BD274" s="222"/>
      <c r="BH274" s="611"/>
      <c r="BJ274" s="15"/>
      <c r="BK274" s="15"/>
      <c r="BO274" s="223"/>
      <c r="BQ274" s="889"/>
      <c r="BT274" s="890"/>
      <c r="BX274" s="889"/>
      <c r="CB274" s="15"/>
      <c r="CC274" s="697"/>
      <c r="CD274" s="1086"/>
      <c r="CE274" s="15"/>
      <c r="CF274" s="15"/>
      <c r="CG274" s="936"/>
      <c r="CH274" s="15"/>
      <c r="CI274" s="15"/>
      <c r="CJ274" s="15"/>
      <c r="CK274" s="1107"/>
      <c r="CL274" s="22"/>
      <c r="CM274" s="22"/>
      <c r="CN274" s="1107"/>
      <c r="CR274" s="223"/>
      <c r="CS274" s="952"/>
      <c r="CT274" s="1066"/>
      <c r="CU274" s="972"/>
      <c r="CV274" s="983"/>
      <c r="CW274" s="222"/>
      <c r="CX274" s="697"/>
      <c r="DC274" s="222"/>
      <c r="DJ274" s="889"/>
      <c r="DM274" s="890"/>
      <c r="DN274" s="952"/>
      <c r="DO274" s="75"/>
      <c r="DP274" s="962"/>
      <c r="DQ274" s="983"/>
      <c r="DV274" s="889"/>
    </row>
    <row r="275" spans="1:126" s="74" customFormat="1">
      <c r="A275" s="15"/>
      <c r="B275" s="15"/>
      <c r="C275" s="15"/>
      <c r="D275" s="15"/>
      <c r="E275" s="6"/>
      <c r="F275" s="6"/>
      <c r="G275" s="6"/>
      <c r="K275" s="222"/>
      <c r="V275" s="1430"/>
      <c r="AA275" s="223"/>
      <c r="AC275" s="889"/>
      <c r="AF275" s="890"/>
      <c r="AJ275" s="889"/>
      <c r="AN275" s="222"/>
      <c r="BC275" s="223"/>
      <c r="BD275" s="222"/>
      <c r="BH275" s="611"/>
      <c r="BJ275" s="15"/>
      <c r="BK275" s="15"/>
      <c r="BO275" s="223"/>
      <c r="BQ275" s="889"/>
      <c r="BT275" s="890"/>
      <c r="BX275" s="889"/>
      <c r="CB275" s="15"/>
      <c r="CC275" s="697"/>
      <c r="CD275" s="1086"/>
      <c r="CE275" s="15"/>
      <c r="CF275" s="15"/>
      <c r="CG275" s="936"/>
      <c r="CH275" s="15"/>
      <c r="CI275" s="15"/>
      <c r="CJ275" s="15"/>
      <c r="CK275" s="1107"/>
      <c r="CL275" s="22"/>
      <c r="CM275" s="22"/>
      <c r="CN275" s="1107"/>
      <c r="CR275" s="223"/>
      <c r="CS275" s="952"/>
      <c r="CT275" s="1066"/>
      <c r="CU275" s="972"/>
      <c r="CV275" s="983"/>
      <c r="CW275" s="222"/>
      <c r="CX275" s="697"/>
      <c r="DC275" s="222"/>
      <c r="DJ275" s="889"/>
      <c r="DM275" s="890"/>
      <c r="DN275" s="952"/>
      <c r="DO275" s="75"/>
      <c r="DP275" s="962"/>
      <c r="DQ275" s="983"/>
      <c r="DV275" s="889"/>
    </row>
    <row r="276" spans="1:126" s="74" customFormat="1">
      <c r="A276" s="15"/>
      <c r="B276" s="15"/>
      <c r="C276" s="15"/>
      <c r="D276" s="15"/>
      <c r="E276" s="6"/>
      <c r="F276" s="6"/>
      <c r="G276" s="6"/>
      <c r="K276" s="222"/>
      <c r="V276" s="1430"/>
      <c r="AA276" s="223"/>
      <c r="AC276" s="889"/>
      <c r="AF276" s="890"/>
      <c r="AJ276" s="889"/>
      <c r="AN276" s="222"/>
      <c r="BC276" s="223"/>
      <c r="BD276" s="222"/>
      <c r="BH276" s="611"/>
      <c r="BJ276" s="15"/>
      <c r="BK276" s="15"/>
      <c r="BO276" s="223"/>
      <c r="BQ276" s="889"/>
      <c r="BT276" s="890"/>
      <c r="BX276" s="889"/>
      <c r="CB276" s="15"/>
      <c r="CC276" s="697"/>
      <c r="CD276" s="1086"/>
      <c r="CE276" s="15"/>
      <c r="CF276" s="15"/>
      <c r="CG276" s="936"/>
      <c r="CH276" s="15"/>
      <c r="CI276" s="15"/>
      <c r="CJ276" s="15"/>
      <c r="CK276" s="1107"/>
      <c r="CL276" s="22"/>
      <c r="CM276" s="22"/>
      <c r="CN276" s="1107"/>
      <c r="CR276" s="223"/>
      <c r="CS276" s="952"/>
      <c r="CT276" s="1066"/>
      <c r="CU276" s="972"/>
      <c r="CV276" s="983"/>
      <c r="CW276" s="222"/>
      <c r="CX276" s="697"/>
      <c r="DC276" s="222"/>
      <c r="DJ276" s="889"/>
      <c r="DM276" s="890"/>
      <c r="DN276" s="952"/>
      <c r="DO276" s="75"/>
      <c r="DP276" s="962"/>
      <c r="DQ276" s="983"/>
      <c r="DV276" s="889"/>
    </row>
    <row r="277" spans="1:126" s="74" customFormat="1">
      <c r="A277" s="15"/>
      <c r="B277" s="15"/>
      <c r="C277" s="15"/>
      <c r="D277" s="15"/>
      <c r="E277" s="6"/>
      <c r="F277" s="6"/>
      <c r="G277" s="6"/>
      <c r="K277" s="222"/>
      <c r="V277" s="1430"/>
      <c r="AA277" s="223"/>
      <c r="AC277" s="889"/>
      <c r="AF277" s="890"/>
      <c r="AJ277" s="889"/>
      <c r="AN277" s="222"/>
      <c r="BC277" s="223"/>
      <c r="BD277" s="222"/>
      <c r="BH277" s="611"/>
      <c r="BJ277" s="15"/>
      <c r="BK277" s="15"/>
      <c r="BO277" s="223"/>
      <c r="BQ277" s="889"/>
      <c r="BT277" s="890"/>
      <c r="BX277" s="889"/>
      <c r="CB277" s="15"/>
      <c r="CC277" s="697"/>
      <c r="CD277" s="1086"/>
      <c r="CE277" s="15"/>
      <c r="CF277" s="15"/>
      <c r="CG277" s="936"/>
      <c r="CH277" s="15"/>
      <c r="CI277" s="15"/>
      <c r="CJ277" s="15"/>
      <c r="CK277" s="1107"/>
      <c r="CL277" s="22"/>
      <c r="CM277" s="22"/>
      <c r="CN277" s="1107"/>
      <c r="CR277" s="223"/>
      <c r="CS277" s="952"/>
      <c r="CT277" s="1066"/>
      <c r="CU277" s="972"/>
      <c r="CV277" s="983"/>
      <c r="CW277" s="222"/>
      <c r="CX277" s="697"/>
      <c r="DC277" s="222"/>
      <c r="DJ277" s="889"/>
      <c r="DM277" s="890"/>
      <c r="DN277" s="952"/>
      <c r="DO277" s="75"/>
      <c r="DP277" s="962"/>
      <c r="DQ277" s="983"/>
      <c r="DV277" s="889"/>
    </row>
    <row r="278" spans="1:126" s="74" customFormat="1">
      <c r="A278" s="15"/>
      <c r="B278" s="15"/>
      <c r="C278" s="15"/>
      <c r="D278" s="15"/>
      <c r="E278" s="6"/>
      <c r="F278" s="6"/>
      <c r="G278" s="6"/>
      <c r="K278" s="222"/>
      <c r="V278" s="1430"/>
      <c r="AA278" s="223"/>
      <c r="AC278" s="889"/>
      <c r="AF278" s="890"/>
      <c r="AJ278" s="889"/>
      <c r="AN278" s="222"/>
      <c r="BC278" s="223"/>
      <c r="BD278" s="222"/>
      <c r="BH278" s="611"/>
      <c r="BJ278" s="15"/>
      <c r="BK278" s="15"/>
      <c r="BO278" s="223"/>
      <c r="BQ278" s="889"/>
      <c r="BT278" s="890"/>
      <c r="BX278" s="889"/>
      <c r="CB278" s="15"/>
      <c r="CC278" s="697"/>
      <c r="CD278" s="1086"/>
      <c r="CE278" s="15"/>
      <c r="CF278" s="15"/>
      <c r="CG278" s="936"/>
      <c r="CH278" s="15"/>
      <c r="CI278" s="15"/>
      <c r="CJ278" s="15"/>
      <c r="CK278" s="1107"/>
      <c r="CL278" s="22"/>
      <c r="CM278" s="22"/>
      <c r="CN278" s="1107"/>
      <c r="CR278" s="223"/>
      <c r="CS278" s="952"/>
      <c r="CT278" s="1066"/>
      <c r="CU278" s="972"/>
      <c r="CV278" s="983"/>
      <c r="CW278" s="222"/>
      <c r="CX278" s="697"/>
      <c r="DC278" s="222"/>
      <c r="DJ278" s="889"/>
      <c r="DM278" s="890"/>
      <c r="DN278" s="952"/>
      <c r="DO278" s="75"/>
      <c r="DP278" s="962"/>
      <c r="DQ278" s="983"/>
      <c r="DV278" s="889"/>
    </row>
    <row r="279" spans="1:126" s="74" customFormat="1">
      <c r="A279" s="15"/>
      <c r="B279" s="15"/>
      <c r="C279" s="15"/>
      <c r="D279" s="15"/>
      <c r="E279" s="6"/>
      <c r="F279" s="6"/>
      <c r="G279" s="6"/>
      <c r="K279" s="222"/>
      <c r="V279" s="1430"/>
      <c r="AA279" s="223"/>
      <c r="AC279" s="889"/>
      <c r="AF279" s="890"/>
      <c r="AJ279" s="889"/>
      <c r="AN279" s="222"/>
      <c r="BC279" s="223"/>
      <c r="BD279" s="222"/>
      <c r="BH279" s="611"/>
      <c r="BJ279" s="15"/>
      <c r="BK279" s="15"/>
      <c r="BO279" s="223"/>
      <c r="BQ279" s="889"/>
      <c r="BT279" s="890"/>
      <c r="BX279" s="889"/>
      <c r="CB279" s="15"/>
      <c r="CC279" s="697"/>
      <c r="CD279" s="1086"/>
      <c r="CE279" s="15"/>
      <c r="CF279" s="15"/>
      <c r="CG279" s="936"/>
      <c r="CH279" s="15"/>
      <c r="CI279" s="15"/>
      <c r="CJ279" s="15"/>
      <c r="CK279" s="1107"/>
      <c r="CL279" s="22"/>
      <c r="CM279" s="22"/>
      <c r="CN279" s="1107"/>
      <c r="CR279" s="223"/>
      <c r="CS279" s="952"/>
      <c r="CT279" s="1066"/>
      <c r="CU279" s="972"/>
      <c r="CV279" s="983"/>
      <c r="CW279" s="222"/>
      <c r="CX279" s="697"/>
      <c r="DC279" s="222"/>
      <c r="DJ279" s="889"/>
      <c r="DM279" s="890"/>
      <c r="DN279" s="952"/>
      <c r="DO279" s="75"/>
      <c r="DP279" s="962"/>
      <c r="DQ279" s="983"/>
      <c r="DV279" s="889"/>
    </row>
    <row r="280" spans="1:126" s="74" customFormat="1">
      <c r="A280" s="15"/>
      <c r="B280" s="15"/>
      <c r="C280" s="15"/>
      <c r="D280" s="15"/>
      <c r="E280" s="6"/>
      <c r="F280" s="6"/>
      <c r="G280" s="6"/>
      <c r="K280" s="222"/>
      <c r="V280" s="1430"/>
      <c r="AA280" s="223"/>
      <c r="AC280" s="889"/>
      <c r="AF280" s="890"/>
      <c r="AJ280" s="889"/>
      <c r="AN280" s="222"/>
      <c r="BC280" s="223"/>
      <c r="BD280" s="222"/>
      <c r="BH280" s="611"/>
      <c r="BJ280" s="15"/>
      <c r="BK280" s="15"/>
      <c r="BO280" s="223"/>
      <c r="BQ280" s="889"/>
      <c r="BT280" s="890"/>
      <c r="BX280" s="889"/>
      <c r="CB280" s="15"/>
      <c r="CC280" s="697"/>
      <c r="CD280" s="1086"/>
      <c r="CE280" s="15"/>
      <c r="CF280" s="15"/>
      <c r="CG280" s="936"/>
      <c r="CH280" s="15"/>
      <c r="CI280" s="15"/>
      <c r="CJ280" s="15"/>
      <c r="CK280" s="1107"/>
      <c r="CL280" s="22"/>
      <c r="CM280" s="22"/>
      <c r="CN280" s="1107"/>
      <c r="CR280" s="223"/>
      <c r="CS280" s="952"/>
      <c r="CT280" s="1066"/>
      <c r="CU280" s="972"/>
      <c r="CV280" s="983"/>
      <c r="CW280" s="222"/>
      <c r="CX280" s="697"/>
      <c r="DC280" s="222"/>
      <c r="DJ280" s="889"/>
      <c r="DM280" s="890"/>
      <c r="DN280" s="952"/>
      <c r="DO280" s="75"/>
      <c r="DP280" s="962"/>
      <c r="DQ280" s="983"/>
      <c r="DV280" s="889"/>
    </row>
    <row r="281" spans="1:126" s="74" customFormat="1">
      <c r="A281" s="15"/>
      <c r="B281" s="15"/>
      <c r="C281" s="15"/>
      <c r="D281" s="15"/>
      <c r="E281" s="6"/>
      <c r="F281" s="6"/>
      <c r="G281" s="6"/>
      <c r="K281" s="222"/>
      <c r="V281" s="1430"/>
      <c r="AA281" s="223"/>
      <c r="AC281" s="889"/>
      <c r="AF281" s="890"/>
      <c r="AJ281" s="889"/>
      <c r="AN281" s="222"/>
      <c r="BC281" s="223"/>
      <c r="BD281" s="222"/>
      <c r="BH281" s="611"/>
      <c r="BJ281" s="15"/>
      <c r="BK281" s="15"/>
      <c r="BO281" s="223"/>
      <c r="BQ281" s="889"/>
      <c r="BT281" s="890"/>
      <c r="BX281" s="889"/>
      <c r="CB281" s="15"/>
      <c r="CC281" s="697"/>
      <c r="CD281" s="1086"/>
      <c r="CE281" s="15"/>
      <c r="CF281" s="15"/>
      <c r="CG281" s="936"/>
      <c r="CH281" s="15"/>
      <c r="CI281" s="15"/>
      <c r="CJ281" s="15"/>
      <c r="CK281" s="1107"/>
      <c r="CL281" s="22"/>
      <c r="CM281" s="22"/>
      <c r="CN281" s="1107"/>
      <c r="CR281" s="223"/>
      <c r="CS281" s="952"/>
      <c r="CT281" s="1066"/>
      <c r="CU281" s="972"/>
      <c r="CV281" s="983"/>
      <c r="CW281" s="222"/>
      <c r="CX281" s="697"/>
      <c r="DC281" s="222"/>
      <c r="DJ281" s="889"/>
      <c r="DM281" s="890"/>
      <c r="DN281" s="952"/>
      <c r="DO281" s="75"/>
      <c r="DP281" s="962"/>
      <c r="DQ281" s="983"/>
      <c r="DV281" s="889"/>
    </row>
    <row r="282" spans="1:126" s="74" customFormat="1">
      <c r="A282" s="15"/>
      <c r="B282" s="15"/>
      <c r="C282" s="15"/>
      <c r="D282" s="15"/>
      <c r="E282" s="6"/>
      <c r="F282" s="6"/>
      <c r="G282" s="6"/>
      <c r="K282" s="222"/>
      <c r="V282" s="1430"/>
      <c r="AA282" s="223"/>
      <c r="AC282" s="889"/>
      <c r="AF282" s="890"/>
      <c r="AJ282" s="889"/>
      <c r="AN282" s="222"/>
      <c r="BC282" s="223"/>
      <c r="BD282" s="222"/>
      <c r="BH282" s="611"/>
      <c r="BJ282" s="15"/>
      <c r="BK282" s="15"/>
      <c r="BO282" s="223"/>
      <c r="BQ282" s="889"/>
      <c r="BT282" s="890"/>
      <c r="BX282" s="889"/>
      <c r="CB282" s="15"/>
      <c r="CC282" s="697"/>
      <c r="CD282" s="1086"/>
      <c r="CE282" s="15"/>
      <c r="CF282" s="15"/>
      <c r="CG282" s="936"/>
      <c r="CH282" s="15"/>
      <c r="CI282" s="15"/>
      <c r="CJ282" s="15"/>
      <c r="CK282" s="1107"/>
      <c r="CL282" s="22"/>
      <c r="CM282" s="22"/>
      <c r="CN282" s="1107"/>
      <c r="CR282" s="223"/>
      <c r="CS282" s="952"/>
      <c r="CT282" s="1066"/>
      <c r="CU282" s="972"/>
      <c r="CV282" s="983"/>
      <c r="CW282" s="222"/>
      <c r="CX282" s="697"/>
      <c r="DC282" s="222"/>
      <c r="DJ282" s="889"/>
      <c r="DM282" s="890"/>
      <c r="DN282" s="952"/>
      <c r="DO282" s="75"/>
      <c r="DP282" s="962"/>
      <c r="DQ282" s="983"/>
      <c r="DV282" s="889"/>
    </row>
    <row r="283" spans="1:126" s="74" customFormat="1">
      <c r="A283" s="15"/>
      <c r="B283" s="15"/>
      <c r="C283" s="15"/>
      <c r="D283" s="15"/>
      <c r="E283" s="6"/>
      <c r="F283" s="6"/>
      <c r="G283" s="6"/>
      <c r="K283" s="222"/>
      <c r="V283" s="1430"/>
      <c r="AA283" s="223"/>
      <c r="AC283" s="889"/>
      <c r="AF283" s="890"/>
      <c r="AJ283" s="889"/>
      <c r="AN283" s="222"/>
      <c r="BC283" s="223"/>
      <c r="BD283" s="222"/>
      <c r="BH283" s="611"/>
      <c r="BJ283" s="15"/>
      <c r="BK283" s="15"/>
      <c r="BO283" s="223"/>
      <c r="BQ283" s="889"/>
      <c r="BT283" s="890"/>
      <c r="BX283" s="889"/>
      <c r="CB283" s="15"/>
      <c r="CC283" s="697"/>
      <c r="CD283" s="1086"/>
      <c r="CE283" s="15"/>
      <c r="CF283" s="15"/>
      <c r="CG283" s="936"/>
      <c r="CH283" s="15"/>
      <c r="CI283" s="15"/>
      <c r="CJ283" s="15"/>
      <c r="CK283" s="1107"/>
      <c r="CL283" s="22"/>
      <c r="CM283" s="22"/>
      <c r="CN283" s="1107"/>
      <c r="CR283" s="223"/>
      <c r="CS283" s="952"/>
      <c r="CT283" s="1066"/>
      <c r="CU283" s="972"/>
      <c r="CV283" s="983"/>
      <c r="CW283" s="222"/>
      <c r="CX283" s="697"/>
      <c r="DC283" s="222"/>
      <c r="DJ283" s="889"/>
      <c r="DM283" s="890"/>
      <c r="DN283" s="952"/>
      <c r="DO283" s="75"/>
      <c r="DP283" s="962"/>
      <c r="DQ283" s="983"/>
      <c r="DV283" s="889"/>
    </row>
    <row r="284" spans="1:126" s="74" customFormat="1">
      <c r="A284" s="15"/>
      <c r="B284" s="15"/>
      <c r="C284" s="15"/>
      <c r="D284" s="15"/>
      <c r="E284" s="6"/>
      <c r="F284" s="6"/>
      <c r="G284" s="6"/>
      <c r="K284" s="222"/>
      <c r="V284" s="1430"/>
      <c r="AA284" s="223"/>
      <c r="AC284" s="889"/>
      <c r="AF284" s="890"/>
      <c r="AJ284" s="889"/>
      <c r="AN284" s="222"/>
      <c r="BC284" s="223"/>
      <c r="BD284" s="222"/>
      <c r="BH284" s="611"/>
      <c r="BJ284" s="15"/>
      <c r="BK284" s="15"/>
      <c r="BO284" s="223"/>
      <c r="BQ284" s="889"/>
      <c r="BT284" s="890"/>
      <c r="BX284" s="889"/>
      <c r="CB284" s="15"/>
      <c r="CC284" s="697"/>
      <c r="CD284" s="1086"/>
      <c r="CE284" s="15"/>
      <c r="CF284" s="15"/>
      <c r="CG284" s="936"/>
      <c r="CH284" s="15"/>
      <c r="CI284" s="15"/>
      <c r="CJ284" s="15"/>
      <c r="CK284" s="1107"/>
      <c r="CL284" s="22"/>
      <c r="CM284" s="22"/>
      <c r="CN284" s="1107"/>
      <c r="CR284" s="223"/>
      <c r="CS284" s="952"/>
      <c r="CT284" s="1066"/>
      <c r="CU284" s="972"/>
      <c r="CV284" s="983"/>
      <c r="CW284" s="222"/>
      <c r="CX284" s="697"/>
      <c r="DC284" s="222"/>
      <c r="DJ284" s="889"/>
      <c r="DM284" s="890"/>
      <c r="DN284" s="952"/>
      <c r="DO284" s="75"/>
      <c r="DP284" s="962"/>
      <c r="DQ284" s="983"/>
      <c r="DV284" s="889"/>
    </row>
    <row r="285" spans="1:126" s="74" customFormat="1">
      <c r="A285" s="15"/>
      <c r="B285" s="15"/>
      <c r="C285" s="15"/>
      <c r="D285" s="15"/>
      <c r="E285" s="6"/>
      <c r="F285" s="6"/>
      <c r="G285" s="6"/>
      <c r="K285" s="222"/>
      <c r="V285" s="1430"/>
      <c r="AA285" s="223"/>
      <c r="AC285" s="889"/>
      <c r="AF285" s="890"/>
      <c r="AJ285" s="889"/>
      <c r="AN285" s="222"/>
      <c r="BC285" s="223"/>
      <c r="BD285" s="222"/>
      <c r="BH285" s="611"/>
      <c r="BJ285" s="15"/>
      <c r="BK285" s="15"/>
      <c r="BO285" s="223"/>
      <c r="BQ285" s="889"/>
      <c r="BT285" s="890"/>
      <c r="BX285" s="889"/>
      <c r="CB285" s="15"/>
      <c r="CC285" s="697"/>
      <c r="CD285" s="1086"/>
      <c r="CE285" s="15"/>
      <c r="CF285" s="15"/>
      <c r="CG285" s="936"/>
      <c r="CH285" s="15"/>
      <c r="CI285" s="15"/>
      <c r="CJ285" s="15"/>
      <c r="CK285" s="1107"/>
      <c r="CL285" s="22"/>
      <c r="CM285" s="22"/>
      <c r="CN285" s="1107"/>
      <c r="CR285" s="223"/>
      <c r="CS285" s="952"/>
      <c r="CT285" s="1066"/>
      <c r="CU285" s="972"/>
      <c r="CV285" s="983"/>
      <c r="CW285" s="222"/>
      <c r="CX285" s="697"/>
      <c r="DC285" s="222"/>
      <c r="DJ285" s="889"/>
      <c r="DM285" s="890"/>
      <c r="DN285" s="952"/>
      <c r="DO285" s="75"/>
      <c r="DP285" s="962"/>
      <c r="DQ285" s="983"/>
      <c r="DV285" s="889"/>
    </row>
    <row r="286" spans="1:126" s="74" customFormat="1">
      <c r="A286" s="15"/>
      <c r="B286" s="15"/>
      <c r="C286" s="15"/>
      <c r="D286" s="15"/>
      <c r="E286" s="6"/>
      <c r="F286" s="6"/>
      <c r="G286" s="6"/>
      <c r="K286" s="222"/>
      <c r="V286" s="1430"/>
      <c r="AA286" s="223"/>
      <c r="AC286" s="889"/>
      <c r="AF286" s="890"/>
      <c r="AJ286" s="889"/>
      <c r="AN286" s="222"/>
      <c r="BC286" s="223"/>
      <c r="BD286" s="222"/>
      <c r="BH286" s="611"/>
      <c r="BJ286" s="15"/>
      <c r="BK286" s="15"/>
      <c r="BO286" s="223"/>
      <c r="BQ286" s="889"/>
      <c r="BT286" s="890"/>
      <c r="BX286" s="889"/>
      <c r="CB286" s="15"/>
      <c r="CC286" s="697"/>
      <c r="CD286" s="1086"/>
      <c r="CE286" s="15"/>
      <c r="CF286" s="15"/>
      <c r="CG286" s="936"/>
      <c r="CH286" s="15"/>
      <c r="CI286" s="15"/>
      <c r="CJ286" s="15"/>
      <c r="CK286" s="1107"/>
      <c r="CL286" s="22"/>
      <c r="CM286" s="22"/>
      <c r="CN286" s="1107"/>
      <c r="CR286" s="223"/>
      <c r="CS286" s="952"/>
      <c r="CT286" s="1066"/>
      <c r="CU286" s="972"/>
      <c r="CV286" s="983"/>
      <c r="CW286" s="222"/>
      <c r="CX286" s="697"/>
      <c r="DC286" s="222"/>
      <c r="DJ286" s="889"/>
      <c r="DM286" s="890"/>
      <c r="DN286" s="952"/>
      <c r="DO286" s="75"/>
      <c r="DP286" s="962"/>
      <c r="DQ286" s="983"/>
      <c r="DV286" s="889"/>
    </row>
    <row r="287" spans="1:126" s="74" customFormat="1">
      <c r="A287" s="15"/>
      <c r="B287" s="15"/>
      <c r="C287" s="15"/>
      <c r="D287" s="15"/>
      <c r="E287" s="6"/>
      <c r="F287" s="6"/>
      <c r="G287" s="6"/>
      <c r="K287" s="222"/>
      <c r="V287" s="1430"/>
      <c r="AA287" s="223"/>
      <c r="AC287" s="889"/>
      <c r="AF287" s="890"/>
      <c r="AJ287" s="889"/>
      <c r="AN287" s="222"/>
      <c r="BC287" s="223"/>
      <c r="BD287" s="222"/>
      <c r="BH287" s="611"/>
      <c r="BJ287" s="15"/>
      <c r="BK287" s="15"/>
      <c r="BO287" s="223"/>
      <c r="BQ287" s="889"/>
      <c r="BT287" s="890"/>
      <c r="BX287" s="889"/>
      <c r="CB287" s="15"/>
      <c r="CC287" s="697"/>
      <c r="CD287" s="1086"/>
      <c r="CE287" s="15"/>
      <c r="CF287" s="15"/>
      <c r="CG287" s="936"/>
      <c r="CH287" s="15"/>
      <c r="CI287" s="15"/>
      <c r="CJ287" s="15"/>
      <c r="CK287" s="1107"/>
      <c r="CL287" s="22"/>
      <c r="CM287" s="22"/>
      <c r="CN287" s="1107"/>
      <c r="CR287" s="223"/>
      <c r="CS287" s="952"/>
      <c r="CT287" s="1066"/>
      <c r="CU287" s="972"/>
      <c r="CV287" s="983"/>
      <c r="CW287" s="222"/>
      <c r="CX287" s="697"/>
      <c r="DC287" s="222"/>
      <c r="DJ287" s="889"/>
      <c r="DM287" s="890"/>
      <c r="DN287" s="952"/>
      <c r="DO287" s="75"/>
      <c r="DP287" s="962"/>
      <c r="DQ287" s="983"/>
      <c r="DV287" s="889"/>
    </row>
    <row r="288" spans="1:126" s="74" customFormat="1">
      <c r="A288" s="15"/>
      <c r="B288" s="15"/>
      <c r="C288" s="15"/>
      <c r="D288" s="15"/>
      <c r="E288" s="6"/>
      <c r="F288" s="6"/>
      <c r="G288" s="6"/>
      <c r="K288" s="222"/>
      <c r="V288" s="1430"/>
      <c r="AA288" s="223"/>
      <c r="AC288" s="889"/>
      <c r="AF288" s="890"/>
      <c r="AJ288" s="889"/>
      <c r="AN288" s="222"/>
      <c r="BC288" s="223"/>
      <c r="BD288" s="222"/>
      <c r="BH288" s="611"/>
      <c r="BJ288" s="15"/>
      <c r="BK288" s="15"/>
      <c r="BO288" s="223"/>
      <c r="BQ288" s="889"/>
      <c r="BT288" s="890"/>
      <c r="BX288" s="889"/>
      <c r="CB288" s="15"/>
      <c r="CC288" s="697"/>
      <c r="CD288" s="1086"/>
      <c r="CE288" s="15"/>
      <c r="CF288" s="15"/>
      <c r="CG288" s="936"/>
      <c r="CH288" s="15"/>
      <c r="CI288" s="15"/>
      <c r="CJ288" s="15"/>
      <c r="CK288" s="1107"/>
      <c r="CL288" s="22"/>
      <c r="CM288" s="22"/>
      <c r="CN288" s="1107"/>
      <c r="CR288" s="223"/>
      <c r="CS288" s="952"/>
      <c r="CT288" s="1066"/>
      <c r="CU288" s="972"/>
      <c r="CV288" s="983"/>
      <c r="CW288" s="222"/>
      <c r="CX288" s="697"/>
      <c r="DC288" s="222"/>
      <c r="DJ288" s="889"/>
      <c r="DM288" s="890"/>
      <c r="DN288" s="952"/>
      <c r="DO288" s="75"/>
      <c r="DP288" s="962"/>
      <c r="DQ288" s="983"/>
      <c r="DV288" s="889"/>
    </row>
    <row r="289" spans="1:126" s="74" customFormat="1">
      <c r="A289" s="15"/>
      <c r="B289" s="15"/>
      <c r="C289" s="15"/>
      <c r="D289" s="15"/>
      <c r="E289" s="6"/>
      <c r="F289" s="6"/>
      <c r="G289" s="6"/>
      <c r="K289" s="222"/>
      <c r="V289" s="1430"/>
      <c r="AA289" s="223"/>
      <c r="AC289" s="889"/>
      <c r="AF289" s="890"/>
      <c r="AJ289" s="889"/>
      <c r="AN289" s="222"/>
      <c r="BC289" s="223"/>
      <c r="BD289" s="222"/>
      <c r="BH289" s="611"/>
      <c r="BJ289" s="15"/>
      <c r="BK289" s="15"/>
      <c r="BO289" s="223"/>
      <c r="BQ289" s="889"/>
      <c r="BT289" s="890"/>
      <c r="BX289" s="889"/>
      <c r="CB289" s="15"/>
      <c r="CC289" s="697"/>
      <c r="CD289" s="1086"/>
      <c r="CE289" s="15"/>
      <c r="CF289" s="15"/>
      <c r="CG289" s="936"/>
      <c r="CH289" s="15"/>
      <c r="CI289" s="15"/>
      <c r="CJ289" s="15"/>
      <c r="CK289" s="1107"/>
      <c r="CL289" s="22"/>
      <c r="CM289" s="22"/>
      <c r="CN289" s="1107"/>
      <c r="CR289" s="223"/>
      <c r="CS289" s="952"/>
      <c r="CT289" s="1066"/>
      <c r="CU289" s="972"/>
      <c r="CV289" s="983"/>
      <c r="CW289" s="222"/>
      <c r="CX289" s="697"/>
      <c r="DC289" s="222"/>
      <c r="DJ289" s="889"/>
      <c r="DM289" s="890"/>
      <c r="DN289" s="952"/>
      <c r="DO289" s="75"/>
      <c r="DP289" s="962"/>
      <c r="DQ289" s="983"/>
      <c r="DV289" s="889"/>
    </row>
    <row r="290" spans="1:126" s="74" customFormat="1">
      <c r="A290" s="15"/>
      <c r="B290" s="15"/>
      <c r="C290" s="15"/>
      <c r="D290" s="15"/>
      <c r="E290" s="6"/>
      <c r="F290" s="6"/>
      <c r="G290" s="6"/>
      <c r="K290" s="222"/>
      <c r="V290" s="1430"/>
      <c r="AA290" s="223"/>
      <c r="AC290" s="889"/>
      <c r="AF290" s="890"/>
      <c r="AJ290" s="889"/>
      <c r="AN290" s="222"/>
      <c r="BC290" s="223"/>
      <c r="BD290" s="222"/>
      <c r="BH290" s="611"/>
      <c r="BJ290" s="15"/>
      <c r="BK290" s="15"/>
      <c r="BO290" s="223"/>
      <c r="BQ290" s="889"/>
      <c r="BT290" s="890"/>
      <c r="BX290" s="889"/>
      <c r="CB290" s="15"/>
      <c r="CC290" s="697"/>
      <c r="CD290" s="1086"/>
      <c r="CE290" s="15"/>
      <c r="CF290" s="15"/>
      <c r="CG290" s="936"/>
      <c r="CH290" s="15"/>
      <c r="CI290" s="15"/>
      <c r="CJ290" s="15"/>
      <c r="CK290" s="1107"/>
      <c r="CL290" s="22"/>
      <c r="CM290" s="22"/>
      <c r="CN290" s="1107"/>
      <c r="CR290" s="223"/>
      <c r="CS290" s="952"/>
      <c r="CT290" s="1066"/>
      <c r="CU290" s="972"/>
      <c r="CV290" s="983"/>
      <c r="CW290" s="222"/>
      <c r="CX290" s="697"/>
      <c r="DC290" s="222"/>
      <c r="DJ290" s="889"/>
      <c r="DM290" s="890"/>
      <c r="DN290" s="952"/>
      <c r="DO290" s="75"/>
      <c r="DP290" s="962"/>
      <c r="DQ290" s="983"/>
      <c r="DV290" s="889"/>
    </row>
    <row r="291" spans="1:126" s="74" customFormat="1">
      <c r="A291" s="15"/>
      <c r="B291" s="15"/>
      <c r="C291" s="15"/>
      <c r="D291" s="15"/>
      <c r="E291" s="6"/>
      <c r="F291" s="6"/>
      <c r="G291" s="6"/>
      <c r="K291" s="222"/>
      <c r="V291" s="1430"/>
      <c r="AA291" s="223"/>
      <c r="AC291" s="889"/>
      <c r="AF291" s="890"/>
      <c r="AJ291" s="889"/>
      <c r="AN291" s="222"/>
      <c r="BC291" s="223"/>
      <c r="BD291" s="222"/>
      <c r="BH291" s="611"/>
      <c r="BJ291" s="15"/>
      <c r="BK291" s="15"/>
      <c r="BO291" s="223"/>
      <c r="BQ291" s="889"/>
      <c r="BT291" s="890"/>
      <c r="BX291" s="889"/>
      <c r="CB291" s="15"/>
      <c r="CC291" s="697"/>
      <c r="CD291" s="1086"/>
      <c r="CE291" s="15"/>
      <c r="CF291" s="15"/>
      <c r="CG291" s="936"/>
      <c r="CH291" s="15"/>
      <c r="CI291" s="15"/>
      <c r="CJ291" s="15"/>
      <c r="CK291" s="1107"/>
      <c r="CL291" s="22"/>
      <c r="CM291" s="22"/>
      <c r="CN291" s="1107"/>
      <c r="CR291" s="223"/>
      <c r="CS291" s="952"/>
      <c r="CT291" s="1066"/>
      <c r="CU291" s="972"/>
      <c r="CV291" s="983"/>
      <c r="CW291" s="222"/>
      <c r="CX291" s="697"/>
      <c r="DC291" s="222"/>
      <c r="DJ291" s="889"/>
      <c r="DM291" s="890"/>
      <c r="DN291" s="952"/>
      <c r="DO291" s="75"/>
      <c r="DP291" s="962"/>
      <c r="DQ291" s="983"/>
      <c r="DV291" s="889"/>
    </row>
    <row r="292" spans="1:126" s="74" customFormat="1">
      <c r="A292" s="15"/>
      <c r="B292" s="15"/>
      <c r="C292" s="15"/>
      <c r="D292" s="15"/>
      <c r="E292" s="6"/>
      <c r="F292" s="6"/>
      <c r="G292" s="6"/>
      <c r="K292" s="222"/>
      <c r="V292" s="1430"/>
      <c r="AA292" s="223"/>
      <c r="AC292" s="889"/>
      <c r="AF292" s="890"/>
      <c r="AJ292" s="889"/>
      <c r="AN292" s="222"/>
      <c r="BC292" s="223"/>
      <c r="BD292" s="222"/>
      <c r="BH292" s="611"/>
      <c r="BJ292" s="15"/>
      <c r="BK292" s="15"/>
      <c r="BO292" s="223"/>
      <c r="BQ292" s="889"/>
      <c r="BT292" s="890"/>
      <c r="BX292" s="889"/>
      <c r="CB292" s="15"/>
      <c r="CC292" s="697"/>
      <c r="CD292" s="1086"/>
      <c r="CE292" s="15"/>
      <c r="CF292" s="15"/>
      <c r="CG292" s="936"/>
      <c r="CH292" s="15"/>
      <c r="CI292" s="15"/>
      <c r="CJ292" s="15"/>
      <c r="CK292" s="1107"/>
      <c r="CL292" s="22"/>
      <c r="CM292" s="22"/>
      <c r="CN292" s="1107"/>
      <c r="CR292" s="223"/>
      <c r="CS292" s="952"/>
      <c r="CT292" s="1066"/>
      <c r="CU292" s="972"/>
      <c r="CV292" s="983"/>
      <c r="CW292" s="222"/>
      <c r="CX292" s="697"/>
      <c r="DC292" s="222"/>
      <c r="DJ292" s="889"/>
      <c r="DM292" s="890"/>
      <c r="DN292" s="952"/>
      <c r="DO292" s="75"/>
      <c r="DP292" s="962"/>
      <c r="DQ292" s="983"/>
      <c r="DV292" s="889"/>
    </row>
    <row r="293" spans="1:126" s="74" customFormat="1">
      <c r="A293" s="15"/>
      <c r="B293" s="15"/>
      <c r="C293" s="15"/>
      <c r="D293" s="15"/>
      <c r="E293" s="6"/>
      <c r="F293" s="6"/>
      <c r="G293" s="6"/>
      <c r="K293" s="222"/>
      <c r="V293" s="1430"/>
      <c r="AA293" s="223"/>
      <c r="AC293" s="889"/>
      <c r="AF293" s="890"/>
      <c r="AJ293" s="889"/>
      <c r="AN293" s="222"/>
      <c r="BC293" s="223"/>
      <c r="BD293" s="222"/>
      <c r="BH293" s="611"/>
      <c r="BJ293" s="15"/>
      <c r="BK293" s="15"/>
      <c r="BO293" s="223"/>
      <c r="BQ293" s="889"/>
      <c r="BT293" s="890"/>
      <c r="BX293" s="889"/>
      <c r="CB293" s="15"/>
      <c r="CC293" s="697"/>
      <c r="CD293" s="1086"/>
      <c r="CE293" s="15"/>
      <c r="CF293" s="15"/>
      <c r="CG293" s="936"/>
      <c r="CH293" s="15"/>
      <c r="CI293" s="15"/>
      <c r="CJ293" s="15"/>
      <c r="CK293" s="1107"/>
      <c r="CL293" s="22"/>
      <c r="CM293" s="22"/>
      <c r="CN293" s="1107"/>
      <c r="CR293" s="223"/>
      <c r="CS293" s="952"/>
      <c r="CT293" s="1066"/>
      <c r="CU293" s="972"/>
      <c r="CV293" s="983"/>
      <c r="CW293" s="222"/>
      <c r="CX293" s="697"/>
      <c r="DC293" s="222"/>
      <c r="DJ293" s="889"/>
      <c r="DM293" s="890"/>
      <c r="DN293" s="952"/>
      <c r="DO293" s="75"/>
      <c r="DP293" s="962"/>
      <c r="DQ293" s="983"/>
      <c r="DV293" s="889"/>
    </row>
    <row r="294" spans="1:126" s="74" customFormat="1">
      <c r="A294" s="15"/>
      <c r="B294" s="15"/>
      <c r="C294" s="15"/>
      <c r="D294" s="15"/>
      <c r="E294" s="6"/>
      <c r="F294" s="6"/>
      <c r="G294" s="6"/>
      <c r="K294" s="222"/>
      <c r="V294" s="1430"/>
      <c r="AA294" s="223"/>
      <c r="AC294" s="889"/>
      <c r="AF294" s="890"/>
      <c r="AJ294" s="889"/>
      <c r="AN294" s="222"/>
      <c r="BC294" s="223"/>
      <c r="BD294" s="222"/>
      <c r="BH294" s="611"/>
      <c r="BJ294" s="15"/>
      <c r="BK294" s="15"/>
      <c r="BO294" s="223"/>
      <c r="BQ294" s="889"/>
      <c r="BT294" s="890"/>
      <c r="BX294" s="889"/>
      <c r="CB294" s="15"/>
      <c r="CC294" s="697"/>
      <c r="CD294" s="1086"/>
      <c r="CE294" s="15"/>
      <c r="CF294" s="15"/>
      <c r="CG294" s="936"/>
      <c r="CH294" s="15"/>
      <c r="CI294" s="15"/>
      <c r="CJ294" s="15"/>
      <c r="CK294" s="1107"/>
      <c r="CL294" s="22"/>
      <c r="CM294" s="22"/>
      <c r="CN294" s="1107"/>
      <c r="CR294" s="223"/>
      <c r="CS294" s="952"/>
      <c r="CT294" s="1066"/>
      <c r="CU294" s="972"/>
      <c r="CV294" s="983"/>
      <c r="CW294" s="222"/>
      <c r="CX294" s="697"/>
      <c r="DC294" s="222"/>
      <c r="DJ294" s="889"/>
      <c r="DM294" s="890"/>
      <c r="DN294" s="952"/>
      <c r="DO294" s="75"/>
      <c r="DP294" s="962"/>
      <c r="DQ294" s="983"/>
      <c r="DV294" s="889"/>
    </row>
    <row r="295" spans="1:126" s="74" customFormat="1">
      <c r="A295" s="15"/>
      <c r="B295" s="15"/>
      <c r="C295" s="15"/>
      <c r="D295" s="15"/>
      <c r="E295" s="6"/>
      <c r="F295" s="6"/>
      <c r="G295" s="6"/>
      <c r="K295" s="222"/>
      <c r="V295" s="1430"/>
      <c r="AA295" s="223"/>
      <c r="AC295" s="889"/>
      <c r="AF295" s="890"/>
      <c r="AJ295" s="889"/>
      <c r="AN295" s="222"/>
      <c r="BC295" s="223"/>
      <c r="BD295" s="222"/>
      <c r="BH295" s="611"/>
      <c r="BJ295" s="15"/>
      <c r="BK295" s="15"/>
      <c r="BO295" s="223"/>
      <c r="BQ295" s="889"/>
      <c r="BT295" s="890"/>
      <c r="BX295" s="889"/>
      <c r="CB295" s="15"/>
      <c r="CC295" s="697"/>
      <c r="CD295" s="1086"/>
      <c r="CE295" s="15"/>
      <c r="CF295" s="15"/>
      <c r="CG295" s="936"/>
      <c r="CH295" s="15"/>
      <c r="CI295" s="15"/>
      <c r="CJ295" s="15"/>
      <c r="CK295" s="1107"/>
      <c r="CL295" s="22"/>
      <c r="CM295" s="22"/>
      <c r="CN295" s="1107"/>
      <c r="CR295" s="223"/>
      <c r="CS295" s="952"/>
      <c r="CT295" s="1066"/>
      <c r="CU295" s="972"/>
      <c r="CV295" s="983"/>
      <c r="CW295" s="222"/>
      <c r="CX295" s="697"/>
      <c r="DC295" s="222"/>
      <c r="DJ295" s="889"/>
      <c r="DM295" s="890"/>
      <c r="DN295" s="952"/>
      <c r="DO295" s="75"/>
      <c r="DP295" s="962"/>
      <c r="DQ295" s="983"/>
      <c r="DV295" s="889"/>
    </row>
    <row r="296" spans="1:126" s="74" customFormat="1">
      <c r="A296" s="15"/>
      <c r="B296" s="15"/>
      <c r="C296" s="15"/>
      <c r="D296" s="15"/>
      <c r="E296" s="6"/>
      <c r="F296" s="6"/>
      <c r="G296" s="6"/>
      <c r="K296" s="222"/>
      <c r="V296" s="1430"/>
      <c r="AA296" s="223"/>
      <c r="AC296" s="889"/>
      <c r="AF296" s="890"/>
      <c r="AJ296" s="889"/>
      <c r="AN296" s="222"/>
      <c r="BC296" s="223"/>
      <c r="BD296" s="222"/>
      <c r="BH296" s="611"/>
      <c r="BJ296" s="15"/>
      <c r="BK296" s="15"/>
      <c r="BO296" s="223"/>
      <c r="BQ296" s="889"/>
      <c r="BT296" s="890"/>
      <c r="BX296" s="889"/>
      <c r="CB296" s="15"/>
      <c r="CC296" s="697"/>
      <c r="CD296" s="1086"/>
      <c r="CE296" s="15"/>
      <c r="CF296" s="15"/>
      <c r="CG296" s="936"/>
      <c r="CH296" s="15"/>
      <c r="CI296" s="15"/>
      <c r="CJ296" s="15"/>
      <c r="CK296" s="1107"/>
      <c r="CL296" s="22"/>
      <c r="CM296" s="22"/>
      <c r="CN296" s="1107"/>
      <c r="CR296" s="223"/>
      <c r="CS296" s="952"/>
      <c r="CT296" s="1066"/>
      <c r="CU296" s="972"/>
      <c r="CV296" s="983"/>
      <c r="CW296" s="222"/>
      <c r="CX296" s="697"/>
      <c r="DC296" s="222"/>
      <c r="DJ296" s="889"/>
      <c r="DM296" s="890"/>
      <c r="DN296" s="952"/>
      <c r="DO296" s="75"/>
      <c r="DP296" s="962"/>
      <c r="DQ296" s="983"/>
      <c r="DV296" s="889"/>
    </row>
    <row r="297" spans="1:126" s="74" customFormat="1">
      <c r="A297" s="15"/>
      <c r="B297" s="15"/>
      <c r="C297" s="15"/>
      <c r="D297" s="15"/>
      <c r="E297" s="6"/>
      <c r="F297" s="6"/>
      <c r="G297" s="6"/>
      <c r="K297" s="222"/>
      <c r="V297" s="1430"/>
      <c r="AA297" s="223"/>
      <c r="AC297" s="889"/>
      <c r="AF297" s="890"/>
      <c r="AJ297" s="889"/>
      <c r="AN297" s="222"/>
      <c r="BC297" s="223"/>
      <c r="BD297" s="222"/>
      <c r="BH297" s="611"/>
      <c r="BJ297" s="15"/>
      <c r="BK297" s="15"/>
      <c r="BO297" s="223"/>
      <c r="BQ297" s="889"/>
      <c r="BT297" s="890"/>
      <c r="BX297" s="889"/>
      <c r="CB297" s="15"/>
      <c r="CC297" s="697"/>
      <c r="CD297" s="1086"/>
      <c r="CE297" s="15"/>
      <c r="CF297" s="15"/>
      <c r="CG297" s="936"/>
      <c r="CH297" s="15"/>
      <c r="CI297" s="15"/>
      <c r="CJ297" s="15"/>
      <c r="CK297" s="1107"/>
      <c r="CL297" s="22"/>
      <c r="CM297" s="22"/>
      <c r="CN297" s="1107"/>
      <c r="CR297" s="223"/>
      <c r="CS297" s="952"/>
      <c r="CT297" s="1066"/>
      <c r="CU297" s="972"/>
      <c r="CV297" s="983"/>
      <c r="CW297" s="222"/>
      <c r="CX297" s="697"/>
      <c r="DC297" s="222"/>
      <c r="DJ297" s="889"/>
      <c r="DM297" s="890"/>
      <c r="DN297" s="952"/>
      <c r="DO297" s="75"/>
      <c r="DP297" s="962"/>
      <c r="DQ297" s="983"/>
      <c r="DV297" s="889"/>
    </row>
    <row r="298" spans="1:126" s="74" customFormat="1">
      <c r="A298" s="15"/>
      <c r="B298" s="15"/>
      <c r="C298" s="15"/>
      <c r="D298" s="15"/>
      <c r="E298" s="6"/>
      <c r="F298" s="6"/>
      <c r="G298" s="6"/>
      <c r="K298" s="222"/>
      <c r="V298" s="1430"/>
      <c r="AA298" s="223"/>
      <c r="AC298" s="889"/>
      <c r="AF298" s="890"/>
      <c r="AJ298" s="889"/>
      <c r="AN298" s="222"/>
      <c r="BC298" s="223"/>
      <c r="BD298" s="222"/>
      <c r="BH298" s="611"/>
      <c r="BJ298" s="15"/>
      <c r="BK298" s="15"/>
      <c r="BO298" s="223"/>
      <c r="BQ298" s="889"/>
      <c r="BT298" s="890"/>
      <c r="BX298" s="889"/>
      <c r="CB298" s="15"/>
      <c r="CC298" s="697"/>
      <c r="CD298" s="1086"/>
      <c r="CE298" s="15"/>
      <c r="CF298" s="15"/>
      <c r="CG298" s="936"/>
      <c r="CH298" s="15"/>
      <c r="CI298" s="15"/>
      <c r="CJ298" s="15"/>
      <c r="CK298" s="1107"/>
      <c r="CL298" s="22"/>
      <c r="CM298" s="22"/>
      <c r="CN298" s="1107"/>
      <c r="CR298" s="223"/>
      <c r="CS298" s="952"/>
      <c r="CT298" s="1066"/>
      <c r="CU298" s="972"/>
      <c r="CV298" s="983"/>
      <c r="CW298" s="222"/>
      <c r="CX298" s="697"/>
      <c r="DC298" s="222"/>
      <c r="DJ298" s="889"/>
      <c r="DM298" s="890"/>
      <c r="DN298" s="952"/>
      <c r="DO298" s="75"/>
      <c r="DP298" s="962"/>
      <c r="DQ298" s="983"/>
      <c r="DV298" s="889"/>
    </row>
    <row r="299" spans="1:126" s="74" customFormat="1">
      <c r="A299" s="15"/>
      <c r="B299" s="15"/>
      <c r="C299" s="15"/>
      <c r="D299" s="15"/>
      <c r="E299" s="6"/>
      <c r="F299" s="6"/>
      <c r="G299" s="6"/>
      <c r="K299" s="222"/>
      <c r="V299" s="1430"/>
      <c r="AA299" s="223"/>
      <c r="AC299" s="889"/>
      <c r="AF299" s="890"/>
      <c r="AJ299" s="889"/>
      <c r="AN299" s="222"/>
      <c r="BC299" s="223"/>
      <c r="BD299" s="222"/>
      <c r="BH299" s="611"/>
      <c r="BJ299" s="15"/>
      <c r="BK299" s="15"/>
      <c r="BO299" s="223"/>
      <c r="BQ299" s="889"/>
      <c r="BT299" s="890"/>
      <c r="BX299" s="889"/>
      <c r="CB299" s="15"/>
      <c r="CC299" s="697"/>
      <c r="CD299" s="1086"/>
      <c r="CE299" s="15"/>
      <c r="CF299" s="15"/>
      <c r="CG299" s="936"/>
      <c r="CH299" s="15"/>
      <c r="CI299" s="15"/>
      <c r="CJ299" s="15"/>
      <c r="CK299" s="1107"/>
      <c r="CL299" s="22"/>
      <c r="CM299" s="22"/>
      <c r="CN299" s="1107"/>
      <c r="CR299" s="223"/>
      <c r="CS299" s="952"/>
      <c r="CT299" s="1066"/>
      <c r="CU299" s="972"/>
      <c r="CV299" s="983"/>
      <c r="CW299" s="222"/>
      <c r="CX299" s="697"/>
      <c r="DC299" s="222"/>
      <c r="DJ299" s="889"/>
      <c r="DM299" s="890"/>
      <c r="DN299" s="952"/>
      <c r="DO299" s="75"/>
      <c r="DP299" s="962"/>
      <c r="DQ299" s="983"/>
      <c r="DV299" s="889"/>
    </row>
    <row r="300" spans="1:126" s="74" customFormat="1">
      <c r="A300" s="15"/>
      <c r="B300" s="15"/>
      <c r="C300" s="15"/>
      <c r="D300" s="15"/>
      <c r="E300" s="6"/>
      <c r="F300" s="6"/>
      <c r="G300" s="6"/>
      <c r="K300" s="222"/>
      <c r="V300" s="1430"/>
      <c r="AA300" s="223"/>
      <c r="AC300" s="889"/>
      <c r="AF300" s="890"/>
      <c r="AJ300" s="889"/>
      <c r="AN300" s="222"/>
      <c r="BC300" s="223"/>
      <c r="BD300" s="222"/>
      <c r="BH300" s="611"/>
      <c r="BJ300" s="15"/>
      <c r="BK300" s="15"/>
      <c r="BO300" s="223"/>
      <c r="BQ300" s="889"/>
      <c r="BT300" s="890"/>
      <c r="BX300" s="889"/>
      <c r="CB300" s="15"/>
      <c r="CC300" s="697"/>
      <c r="CD300" s="1086"/>
      <c r="CE300" s="15"/>
      <c r="CF300" s="15"/>
      <c r="CG300" s="936"/>
      <c r="CH300" s="15"/>
      <c r="CI300" s="15"/>
      <c r="CJ300" s="15"/>
      <c r="CK300" s="1107"/>
      <c r="CL300" s="22"/>
      <c r="CM300" s="22"/>
      <c r="CN300" s="1107"/>
      <c r="CR300" s="223"/>
      <c r="CS300" s="952"/>
      <c r="CT300" s="1066"/>
      <c r="CU300" s="972"/>
      <c r="CV300" s="983"/>
      <c r="CW300" s="222"/>
      <c r="CX300" s="697"/>
      <c r="DC300" s="222"/>
      <c r="DJ300" s="889"/>
      <c r="DM300" s="890"/>
      <c r="DN300" s="952"/>
      <c r="DO300" s="75"/>
      <c r="DP300" s="962"/>
      <c r="DQ300" s="983"/>
      <c r="DV300" s="889"/>
    </row>
    <row r="301" spans="1:126" s="74" customFormat="1">
      <c r="A301" s="15"/>
      <c r="B301" s="15"/>
      <c r="C301" s="15"/>
      <c r="D301" s="15"/>
      <c r="E301" s="6"/>
      <c r="F301" s="6"/>
      <c r="G301" s="6"/>
      <c r="K301" s="222"/>
      <c r="V301" s="1430"/>
      <c r="AA301" s="223"/>
      <c r="AC301" s="889"/>
      <c r="AF301" s="890"/>
      <c r="AJ301" s="889"/>
      <c r="AN301" s="222"/>
      <c r="BC301" s="223"/>
      <c r="BD301" s="222"/>
      <c r="BH301" s="611"/>
      <c r="BJ301" s="15"/>
      <c r="BK301" s="15"/>
      <c r="BO301" s="223"/>
      <c r="BQ301" s="889"/>
      <c r="BT301" s="890"/>
      <c r="BX301" s="889"/>
      <c r="CB301" s="15"/>
      <c r="CC301" s="697"/>
      <c r="CD301" s="1086"/>
      <c r="CE301" s="15"/>
      <c r="CF301" s="15"/>
      <c r="CG301" s="936"/>
      <c r="CH301" s="15"/>
      <c r="CI301" s="15"/>
      <c r="CJ301" s="15"/>
      <c r="CK301" s="1107"/>
      <c r="CL301" s="22"/>
      <c r="CM301" s="22"/>
      <c r="CN301" s="1107"/>
      <c r="CR301" s="223"/>
      <c r="CS301" s="952"/>
      <c r="CT301" s="1066"/>
      <c r="CU301" s="972"/>
      <c r="CV301" s="983"/>
      <c r="CW301" s="222"/>
      <c r="CX301" s="697"/>
      <c r="DC301" s="222"/>
      <c r="DJ301" s="889"/>
      <c r="DM301" s="890"/>
      <c r="DN301" s="952"/>
      <c r="DO301" s="75"/>
      <c r="DP301" s="962"/>
      <c r="DQ301" s="983"/>
      <c r="DV301" s="889"/>
    </row>
    <row r="302" spans="1:126" s="74" customFormat="1">
      <c r="A302" s="15"/>
      <c r="B302" s="15"/>
      <c r="C302" s="15"/>
      <c r="D302" s="15"/>
      <c r="E302" s="6"/>
      <c r="F302" s="6"/>
      <c r="G302" s="6"/>
      <c r="K302" s="222"/>
      <c r="V302" s="1430"/>
      <c r="AA302" s="223"/>
      <c r="AC302" s="889"/>
      <c r="AF302" s="890"/>
      <c r="AJ302" s="889"/>
      <c r="AN302" s="222"/>
      <c r="BC302" s="223"/>
      <c r="BD302" s="222"/>
      <c r="BH302" s="611"/>
      <c r="BJ302" s="15"/>
      <c r="BK302" s="15"/>
      <c r="BO302" s="223"/>
      <c r="BQ302" s="889"/>
      <c r="BT302" s="890"/>
      <c r="BX302" s="889"/>
      <c r="CB302" s="15"/>
      <c r="CC302" s="697"/>
      <c r="CD302" s="1086"/>
      <c r="CE302" s="15"/>
      <c r="CF302" s="15"/>
      <c r="CG302" s="936"/>
      <c r="CH302" s="15"/>
      <c r="CI302" s="15"/>
      <c r="CJ302" s="15"/>
      <c r="CK302" s="1107"/>
      <c r="CL302" s="22"/>
      <c r="CM302" s="22"/>
      <c r="CN302" s="1107"/>
      <c r="CR302" s="223"/>
      <c r="CS302" s="952"/>
      <c r="CT302" s="1066"/>
      <c r="CU302" s="972"/>
      <c r="CV302" s="983"/>
      <c r="CW302" s="222"/>
      <c r="CX302" s="697"/>
      <c r="DC302" s="222"/>
      <c r="DJ302" s="889"/>
      <c r="DM302" s="890"/>
      <c r="DN302" s="952"/>
      <c r="DO302" s="75"/>
      <c r="DP302" s="962"/>
      <c r="DQ302" s="983"/>
      <c r="DV302" s="889"/>
    </row>
    <row r="303" spans="1:126" s="74" customFormat="1">
      <c r="A303" s="15"/>
      <c r="B303" s="15"/>
      <c r="C303" s="15"/>
      <c r="D303" s="15"/>
      <c r="E303" s="6"/>
      <c r="F303" s="6"/>
      <c r="G303" s="6"/>
      <c r="K303" s="222"/>
      <c r="V303" s="1430"/>
      <c r="AA303" s="223"/>
      <c r="AC303" s="889"/>
      <c r="AF303" s="890"/>
      <c r="AJ303" s="889"/>
      <c r="AN303" s="222"/>
      <c r="BC303" s="223"/>
      <c r="BD303" s="222"/>
      <c r="BH303" s="611"/>
      <c r="BJ303" s="15"/>
      <c r="BK303" s="15"/>
      <c r="BO303" s="223"/>
      <c r="BQ303" s="889"/>
      <c r="BT303" s="890"/>
      <c r="BX303" s="889"/>
      <c r="CB303" s="15"/>
      <c r="CC303" s="697"/>
      <c r="CD303" s="1086"/>
      <c r="CE303" s="15"/>
      <c r="CF303" s="15"/>
      <c r="CG303" s="936"/>
      <c r="CH303" s="15"/>
      <c r="CI303" s="15"/>
      <c r="CJ303" s="15"/>
      <c r="CK303" s="1107"/>
      <c r="CL303" s="22"/>
      <c r="CM303" s="22"/>
      <c r="CN303" s="1107"/>
      <c r="CR303" s="223"/>
      <c r="CS303" s="952"/>
      <c r="CT303" s="1066"/>
      <c r="CU303" s="972"/>
      <c r="CV303" s="983"/>
      <c r="CW303" s="222"/>
      <c r="CX303" s="697"/>
      <c r="DC303" s="222"/>
      <c r="DJ303" s="889"/>
      <c r="DM303" s="890"/>
      <c r="DN303" s="952"/>
      <c r="DO303" s="75"/>
      <c r="DP303" s="962"/>
      <c r="DQ303" s="983"/>
      <c r="DV303" s="889"/>
    </row>
    <row r="304" spans="1:126" s="74" customFormat="1">
      <c r="A304" s="15"/>
      <c r="B304" s="15"/>
      <c r="C304" s="15"/>
      <c r="D304" s="15"/>
      <c r="E304" s="6"/>
      <c r="F304" s="6"/>
      <c r="G304" s="6"/>
      <c r="K304" s="222"/>
      <c r="V304" s="1430"/>
      <c r="AA304" s="223"/>
      <c r="AC304" s="889"/>
      <c r="AF304" s="890"/>
      <c r="AJ304" s="889"/>
      <c r="AN304" s="222"/>
      <c r="BC304" s="223"/>
      <c r="BD304" s="222"/>
      <c r="BH304" s="611"/>
      <c r="BJ304" s="15"/>
      <c r="BK304" s="15"/>
      <c r="BO304" s="223"/>
      <c r="BQ304" s="889"/>
      <c r="BT304" s="890"/>
      <c r="BX304" s="889"/>
      <c r="CB304" s="15"/>
      <c r="CC304" s="697"/>
      <c r="CD304" s="1086"/>
      <c r="CE304" s="15"/>
      <c r="CF304" s="15"/>
      <c r="CG304" s="936"/>
      <c r="CH304" s="15"/>
      <c r="CI304" s="15"/>
      <c r="CJ304" s="15"/>
      <c r="CK304" s="1107"/>
      <c r="CL304" s="22"/>
      <c r="CM304" s="22"/>
      <c r="CN304" s="1107"/>
      <c r="CR304" s="223"/>
      <c r="CS304" s="952"/>
      <c r="CT304" s="1066"/>
      <c r="CU304" s="972"/>
      <c r="CV304" s="983"/>
      <c r="CW304" s="222"/>
      <c r="CX304" s="697"/>
      <c r="DC304" s="222"/>
      <c r="DJ304" s="889"/>
      <c r="DM304" s="890"/>
      <c r="DN304" s="952"/>
      <c r="DO304" s="75"/>
      <c r="DP304" s="962"/>
      <c r="DQ304" s="983"/>
      <c r="DV304" s="889"/>
    </row>
    <row r="305" spans="1:126" s="74" customFormat="1">
      <c r="A305" s="15"/>
      <c r="B305" s="15"/>
      <c r="C305" s="15"/>
      <c r="D305" s="15"/>
      <c r="E305" s="6"/>
      <c r="F305" s="6"/>
      <c r="G305" s="6"/>
      <c r="K305" s="222"/>
      <c r="V305" s="1430"/>
      <c r="AA305" s="223"/>
      <c r="AC305" s="889"/>
      <c r="AF305" s="890"/>
      <c r="AJ305" s="889"/>
      <c r="AN305" s="222"/>
      <c r="BC305" s="223"/>
      <c r="BD305" s="222"/>
      <c r="BH305" s="611"/>
      <c r="BJ305" s="15"/>
      <c r="BK305" s="15"/>
      <c r="BO305" s="223"/>
      <c r="BQ305" s="889"/>
      <c r="BT305" s="890"/>
      <c r="BX305" s="889"/>
      <c r="CB305" s="15"/>
      <c r="CC305" s="697"/>
      <c r="CD305" s="1086"/>
      <c r="CE305" s="15"/>
      <c r="CF305" s="15"/>
      <c r="CG305" s="936"/>
      <c r="CH305" s="15"/>
      <c r="CI305" s="15"/>
      <c r="CJ305" s="15"/>
      <c r="CK305" s="1107"/>
      <c r="CL305" s="22"/>
      <c r="CM305" s="22"/>
      <c r="CN305" s="1107"/>
      <c r="CR305" s="223"/>
      <c r="CS305" s="952"/>
      <c r="CT305" s="1066"/>
      <c r="CU305" s="972"/>
      <c r="CV305" s="983"/>
      <c r="CW305" s="222"/>
      <c r="CX305" s="697"/>
      <c r="DC305" s="222"/>
      <c r="DJ305" s="889"/>
      <c r="DM305" s="890"/>
      <c r="DN305" s="952"/>
      <c r="DO305" s="75"/>
      <c r="DP305" s="962"/>
      <c r="DQ305" s="983"/>
      <c r="DV305" s="889"/>
    </row>
    <row r="306" spans="1:126" s="74" customFormat="1">
      <c r="A306" s="15"/>
      <c r="B306" s="15"/>
      <c r="C306" s="15"/>
      <c r="D306" s="15"/>
      <c r="E306" s="6"/>
      <c r="F306" s="6"/>
      <c r="G306" s="6"/>
      <c r="K306" s="222"/>
      <c r="V306" s="1430"/>
      <c r="AA306" s="223"/>
      <c r="AC306" s="889"/>
      <c r="AF306" s="890"/>
      <c r="AJ306" s="889"/>
      <c r="AN306" s="222"/>
      <c r="BC306" s="223"/>
      <c r="BD306" s="222"/>
      <c r="BH306" s="611"/>
      <c r="BJ306" s="15"/>
      <c r="BK306" s="15"/>
      <c r="BO306" s="223"/>
      <c r="BQ306" s="889"/>
      <c r="BT306" s="890"/>
      <c r="BX306" s="889"/>
      <c r="CB306" s="15"/>
      <c r="CC306" s="697"/>
      <c r="CD306" s="1086"/>
      <c r="CE306" s="15"/>
      <c r="CF306" s="15"/>
      <c r="CG306" s="936"/>
      <c r="CH306" s="15"/>
      <c r="CI306" s="15"/>
      <c r="CJ306" s="15"/>
      <c r="CK306" s="1107"/>
      <c r="CL306" s="22"/>
      <c r="CM306" s="22"/>
      <c r="CN306" s="1107"/>
      <c r="CR306" s="223"/>
      <c r="CS306" s="952"/>
      <c r="CT306" s="1066"/>
      <c r="CU306" s="972"/>
      <c r="CV306" s="983"/>
      <c r="CW306" s="222"/>
      <c r="CX306" s="697"/>
      <c r="DC306" s="222"/>
      <c r="DJ306" s="889"/>
      <c r="DM306" s="890"/>
      <c r="DN306" s="952"/>
      <c r="DO306" s="75"/>
      <c r="DP306" s="962"/>
      <c r="DQ306" s="983"/>
      <c r="DV306" s="889"/>
    </row>
    <row r="307" spans="1:126" s="74" customFormat="1">
      <c r="A307" s="15"/>
      <c r="B307" s="15"/>
      <c r="C307" s="15"/>
      <c r="D307" s="15"/>
      <c r="E307" s="6"/>
      <c r="F307" s="6"/>
      <c r="G307" s="6"/>
      <c r="K307" s="222"/>
      <c r="V307" s="1430"/>
      <c r="AA307" s="223"/>
      <c r="AC307" s="889"/>
      <c r="AF307" s="890"/>
      <c r="AJ307" s="889"/>
      <c r="AN307" s="222"/>
      <c r="BC307" s="223"/>
      <c r="BD307" s="222"/>
      <c r="BH307" s="611"/>
      <c r="BJ307" s="15"/>
      <c r="BK307" s="15"/>
      <c r="BO307" s="223"/>
      <c r="BQ307" s="889"/>
      <c r="BT307" s="890"/>
      <c r="BX307" s="889"/>
      <c r="CB307" s="15"/>
      <c r="CC307" s="697"/>
      <c r="CD307" s="1086"/>
      <c r="CE307" s="15"/>
      <c r="CF307" s="15"/>
      <c r="CG307" s="936"/>
      <c r="CH307" s="15"/>
      <c r="CI307" s="15"/>
      <c r="CJ307" s="15"/>
      <c r="CK307" s="1107"/>
      <c r="CL307" s="22"/>
      <c r="CM307" s="22"/>
      <c r="CN307" s="1107"/>
      <c r="CR307" s="223"/>
      <c r="CS307" s="952"/>
      <c r="CT307" s="1066"/>
      <c r="CU307" s="972"/>
      <c r="CV307" s="983"/>
      <c r="CW307" s="222"/>
      <c r="CX307" s="697"/>
      <c r="DC307" s="222"/>
      <c r="DJ307" s="889"/>
      <c r="DM307" s="890"/>
      <c r="DN307" s="952"/>
      <c r="DO307" s="75"/>
      <c r="DP307" s="962"/>
      <c r="DQ307" s="983"/>
      <c r="DV307" s="889"/>
    </row>
    <row r="308" spans="1:126" s="74" customFormat="1">
      <c r="A308" s="15"/>
      <c r="B308" s="15"/>
      <c r="C308" s="15"/>
      <c r="D308" s="15"/>
      <c r="E308" s="6"/>
      <c r="F308" s="6"/>
      <c r="G308" s="6"/>
      <c r="K308" s="222"/>
      <c r="V308" s="1430"/>
      <c r="AA308" s="223"/>
      <c r="AC308" s="889"/>
      <c r="AF308" s="890"/>
      <c r="AJ308" s="889"/>
      <c r="AN308" s="222"/>
      <c r="BC308" s="223"/>
      <c r="BD308" s="222"/>
      <c r="BH308" s="611"/>
      <c r="BJ308" s="15"/>
      <c r="BK308" s="15"/>
      <c r="BO308" s="223"/>
      <c r="BQ308" s="889"/>
      <c r="BT308" s="890"/>
      <c r="BX308" s="889"/>
      <c r="CB308" s="15"/>
      <c r="CC308" s="697"/>
      <c r="CD308" s="1086"/>
      <c r="CE308" s="15"/>
      <c r="CF308" s="15"/>
      <c r="CG308" s="936"/>
      <c r="CH308" s="15"/>
      <c r="CI308" s="15"/>
      <c r="CJ308" s="15"/>
      <c r="CK308" s="1107"/>
      <c r="CL308" s="22"/>
      <c r="CM308" s="22"/>
      <c r="CN308" s="1107"/>
      <c r="CR308" s="223"/>
      <c r="CS308" s="952"/>
      <c r="CT308" s="1066"/>
      <c r="CU308" s="972"/>
      <c r="CV308" s="983"/>
      <c r="CW308" s="222"/>
      <c r="CX308" s="697"/>
      <c r="DC308" s="222"/>
      <c r="DJ308" s="889"/>
      <c r="DM308" s="890"/>
      <c r="DN308" s="952"/>
      <c r="DO308" s="75"/>
      <c r="DP308" s="962"/>
      <c r="DQ308" s="983"/>
      <c r="DV308" s="889"/>
    </row>
    <row r="309" spans="1:126" s="74" customFormat="1">
      <c r="A309" s="15"/>
      <c r="B309" s="15"/>
      <c r="C309" s="15"/>
      <c r="D309" s="15"/>
      <c r="E309" s="6"/>
      <c r="F309" s="6"/>
      <c r="G309" s="6"/>
      <c r="K309" s="222"/>
      <c r="V309" s="1430"/>
      <c r="AA309" s="223"/>
      <c r="AC309" s="889"/>
      <c r="AF309" s="890"/>
      <c r="AJ309" s="889"/>
      <c r="AN309" s="222"/>
      <c r="BC309" s="223"/>
      <c r="BD309" s="222"/>
      <c r="BH309" s="611"/>
      <c r="BJ309" s="15"/>
      <c r="BK309" s="15"/>
      <c r="BO309" s="223"/>
      <c r="BQ309" s="889"/>
      <c r="BT309" s="890"/>
      <c r="BX309" s="889"/>
      <c r="CB309" s="15"/>
      <c r="CC309" s="697"/>
      <c r="CD309" s="1086"/>
      <c r="CE309" s="15"/>
      <c r="CF309" s="15"/>
      <c r="CG309" s="936"/>
      <c r="CH309" s="15"/>
      <c r="CI309" s="15"/>
      <c r="CJ309" s="15"/>
      <c r="CK309" s="1107"/>
      <c r="CL309" s="22"/>
      <c r="CM309" s="22"/>
      <c r="CN309" s="1107"/>
      <c r="CR309" s="223"/>
      <c r="CS309" s="952"/>
      <c r="CT309" s="1066"/>
      <c r="CU309" s="972"/>
      <c r="CV309" s="983"/>
      <c r="CW309" s="222"/>
      <c r="CX309" s="697"/>
      <c r="DC309" s="222"/>
      <c r="DJ309" s="889"/>
      <c r="DM309" s="890"/>
      <c r="DN309" s="952"/>
      <c r="DO309" s="75"/>
      <c r="DP309" s="962"/>
      <c r="DQ309" s="983"/>
      <c r="DV309" s="889"/>
    </row>
    <row r="310" spans="1:126" s="74" customFormat="1">
      <c r="A310" s="15"/>
      <c r="B310" s="15"/>
      <c r="C310" s="15"/>
      <c r="D310" s="15"/>
      <c r="E310" s="6"/>
      <c r="F310" s="6"/>
      <c r="G310" s="6"/>
      <c r="K310" s="222"/>
      <c r="V310" s="1430"/>
      <c r="AA310" s="223"/>
      <c r="AC310" s="889"/>
      <c r="AF310" s="890"/>
      <c r="AJ310" s="889"/>
      <c r="AN310" s="222"/>
      <c r="BC310" s="223"/>
      <c r="BD310" s="222"/>
      <c r="BH310" s="611"/>
      <c r="BJ310" s="15"/>
      <c r="BK310" s="15"/>
      <c r="BO310" s="223"/>
      <c r="BQ310" s="889"/>
      <c r="BT310" s="890"/>
      <c r="BX310" s="889"/>
      <c r="CB310" s="15"/>
      <c r="CC310" s="697"/>
      <c r="CD310" s="1086"/>
      <c r="CE310" s="15"/>
      <c r="CF310" s="15"/>
      <c r="CG310" s="936"/>
      <c r="CH310" s="15"/>
      <c r="CI310" s="15"/>
      <c r="CJ310" s="15"/>
      <c r="CK310" s="1107"/>
      <c r="CL310" s="22"/>
      <c r="CM310" s="22"/>
      <c r="CN310" s="1107"/>
      <c r="CR310" s="223"/>
      <c r="CS310" s="952"/>
      <c r="CT310" s="1066"/>
      <c r="CU310" s="972"/>
      <c r="CV310" s="983"/>
      <c r="CW310" s="222"/>
      <c r="CX310" s="697"/>
      <c r="DC310" s="222"/>
      <c r="DJ310" s="889"/>
      <c r="DM310" s="890"/>
      <c r="DN310" s="952"/>
      <c r="DO310" s="75"/>
      <c r="DP310" s="962"/>
      <c r="DQ310" s="983"/>
      <c r="DV310" s="889"/>
    </row>
    <row r="311" spans="1:126" s="74" customFormat="1">
      <c r="A311" s="15"/>
      <c r="B311" s="15"/>
      <c r="C311" s="15"/>
      <c r="D311" s="15"/>
      <c r="E311" s="6"/>
      <c r="F311" s="6"/>
      <c r="G311" s="6"/>
      <c r="K311" s="222"/>
      <c r="V311" s="1430"/>
      <c r="AA311" s="223"/>
      <c r="AC311" s="889"/>
      <c r="AF311" s="890"/>
      <c r="AJ311" s="889"/>
      <c r="AN311" s="222"/>
      <c r="BC311" s="223"/>
      <c r="BD311" s="222"/>
      <c r="BH311" s="611"/>
      <c r="BJ311" s="15"/>
      <c r="BK311" s="15"/>
      <c r="BO311" s="223"/>
      <c r="BQ311" s="889"/>
      <c r="BT311" s="890"/>
      <c r="BX311" s="889"/>
      <c r="CB311" s="15"/>
      <c r="CC311" s="697"/>
      <c r="CD311" s="1086"/>
      <c r="CE311" s="15"/>
      <c r="CF311" s="15"/>
      <c r="CG311" s="936"/>
      <c r="CH311" s="15"/>
      <c r="CI311" s="15"/>
      <c r="CJ311" s="15"/>
      <c r="CK311" s="1107"/>
      <c r="CL311" s="22"/>
      <c r="CM311" s="22"/>
      <c r="CN311" s="1107"/>
      <c r="CR311" s="223"/>
      <c r="CS311" s="952"/>
      <c r="CT311" s="1066"/>
      <c r="CU311" s="972"/>
      <c r="CV311" s="983"/>
      <c r="CW311" s="222"/>
      <c r="CX311" s="697"/>
      <c r="DC311" s="222"/>
      <c r="DJ311" s="889"/>
      <c r="DM311" s="890"/>
      <c r="DN311" s="952"/>
      <c r="DO311" s="75"/>
      <c r="DP311" s="962"/>
      <c r="DQ311" s="983"/>
      <c r="DV311" s="889"/>
    </row>
    <row r="312" spans="1:126" s="74" customFormat="1">
      <c r="A312" s="15"/>
      <c r="B312" s="15"/>
      <c r="C312" s="15"/>
      <c r="D312" s="15"/>
      <c r="E312" s="6"/>
      <c r="F312" s="6"/>
      <c r="G312" s="6"/>
      <c r="K312" s="222"/>
      <c r="V312" s="1430"/>
      <c r="AA312" s="223"/>
      <c r="AC312" s="889"/>
      <c r="AF312" s="890"/>
      <c r="AJ312" s="889"/>
      <c r="AN312" s="222"/>
      <c r="BC312" s="223"/>
      <c r="BD312" s="222"/>
      <c r="BH312" s="611"/>
      <c r="BJ312" s="15"/>
      <c r="BK312" s="15"/>
      <c r="BO312" s="223"/>
      <c r="BQ312" s="889"/>
      <c r="BT312" s="890"/>
      <c r="BX312" s="889"/>
      <c r="CB312" s="15"/>
      <c r="CC312" s="697"/>
      <c r="CD312" s="1086"/>
      <c r="CE312" s="15"/>
      <c r="CF312" s="15"/>
      <c r="CG312" s="936"/>
      <c r="CH312" s="15"/>
      <c r="CI312" s="15"/>
      <c r="CJ312" s="15"/>
      <c r="CK312" s="1107"/>
      <c r="CL312" s="22"/>
      <c r="CM312" s="22"/>
      <c r="CN312" s="1107"/>
      <c r="CR312" s="223"/>
      <c r="CS312" s="952"/>
      <c r="CT312" s="1066"/>
      <c r="CU312" s="972"/>
      <c r="CV312" s="983"/>
      <c r="CW312" s="222"/>
      <c r="CX312" s="697"/>
      <c r="DC312" s="222"/>
      <c r="DJ312" s="889"/>
      <c r="DM312" s="890"/>
      <c r="DN312" s="952"/>
      <c r="DO312" s="75"/>
      <c r="DP312" s="962"/>
      <c r="DQ312" s="983"/>
      <c r="DV312" s="889"/>
    </row>
    <row r="313" spans="1:126" s="74" customFormat="1">
      <c r="A313" s="15"/>
      <c r="B313" s="15"/>
      <c r="C313" s="15"/>
      <c r="D313" s="15"/>
      <c r="E313" s="6"/>
      <c r="F313" s="6"/>
      <c r="G313" s="6"/>
      <c r="K313" s="222"/>
      <c r="V313" s="1430"/>
      <c r="AA313" s="223"/>
      <c r="AC313" s="889"/>
      <c r="AF313" s="890"/>
      <c r="AJ313" s="889"/>
      <c r="AN313" s="222"/>
      <c r="BC313" s="223"/>
      <c r="BD313" s="222"/>
      <c r="BH313" s="611"/>
      <c r="BJ313" s="15"/>
      <c r="BK313" s="15"/>
      <c r="BO313" s="223"/>
      <c r="BQ313" s="889"/>
      <c r="BT313" s="890"/>
      <c r="BX313" s="889"/>
      <c r="CB313" s="15"/>
      <c r="CC313" s="697"/>
      <c r="CD313" s="1086"/>
      <c r="CE313" s="15"/>
      <c r="CF313" s="15"/>
      <c r="CG313" s="936"/>
      <c r="CH313" s="15"/>
      <c r="CI313" s="15"/>
      <c r="CJ313" s="15"/>
      <c r="CK313" s="1107"/>
      <c r="CL313" s="22"/>
      <c r="CM313" s="22"/>
      <c r="CN313" s="1107"/>
      <c r="CR313" s="223"/>
      <c r="CS313" s="952"/>
      <c r="CT313" s="1066"/>
      <c r="CU313" s="972"/>
      <c r="CV313" s="983"/>
      <c r="CW313" s="222"/>
      <c r="CX313" s="697"/>
      <c r="DC313" s="222"/>
      <c r="DJ313" s="889"/>
      <c r="DM313" s="890"/>
      <c r="DN313" s="952"/>
      <c r="DO313" s="75"/>
      <c r="DP313" s="962"/>
      <c r="DQ313" s="983"/>
      <c r="DV313" s="889"/>
    </row>
    <row r="314" spans="1:126" s="74" customFormat="1">
      <c r="A314" s="15"/>
      <c r="B314" s="15"/>
      <c r="C314" s="15"/>
      <c r="D314" s="15"/>
      <c r="E314" s="6"/>
      <c r="F314" s="6"/>
      <c r="G314" s="6"/>
      <c r="K314" s="222"/>
      <c r="V314" s="1430"/>
      <c r="AA314" s="223"/>
      <c r="AC314" s="889"/>
      <c r="AF314" s="890"/>
      <c r="AJ314" s="889"/>
      <c r="AN314" s="222"/>
      <c r="BC314" s="223"/>
      <c r="BD314" s="222"/>
      <c r="BH314" s="611"/>
      <c r="BJ314" s="15"/>
      <c r="BK314" s="15"/>
      <c r="BO314" s="223"/>
      <c r="BQ314" s="889"/>
      <c r="BT314" s="890"/>
      <c r="BX314" s="889"/>
      <c r="CB314" s="15"/>
      <c r="CC314" s="697"/>
      <c r="CD314" s="1086"/>
      <c r="CE314" s="15"/>
      <c r="CF314" s="15"/>
      <c r="CG314" s="936"/>
      <c r="CH314" s="15"/>
      <c r="CI314" s="15"/>
      <c r="CJ314" s="15"/>
      <c r="CK314" s="1107"/>
      <c r="CL314" s="22"/>
      <c r="CM314" s="22"/>
      <c r="CN314" s="1107"/>
      <c r="CR314" s="223"/>
      <c r="CS314" s="952"/>
      <c r="CT314" s="1066"/>
      <c r="CU314" s="972"/>
      <c r="CV314" s="983"/>
      <c r="CW314" s="222"/>
      <c r="CX314" s="697"/>
      <c r="DC314" s="222"/>
      <c r="DJ314" s="889"/>
      <c r="DM314" s="890"/>
      <c r="DN314" s="952"/>
      <c r="DO314" s="75"/>
      <c r="DP314" s="962"/>
      <c r="DQ314" s="983"/>
      <c r="DV314" s="889"/>
    </row>
    <row r="315" spans="1:126" s="74" customFormat="1">
      <c r="A315" s="15"/>
      <c r="B315" s="15"/>
      <c r="C315" s="15"/>
      <c r="D315" s="15"/>
      <c r="E315" s="6"/>
      <c r="F315" s="6"/>
      <c r="G315" s="6"/>
      <c r="K315" s="222"/>
      <c r="V315" s="1430"/>
      <c r="AA315" s="223"/>
      <c r="AC315" s="889"/>
      <c r="AF315" s="890"/>
      <c r="AJ315" s="889"/>
      <c r="AN315" s="222"/>
      <c r="BC315" s="223"/>
      <c r="BD315" s="222"/>
      <c r="BH315" s="611"/>
      <c r="BJ315" s="15"/>
      <c r="BK315" s="15"/>
      <c r="BO315" s="223"/>
      <c r="BQ315" s="889"/>
      <c r="BT315" s="890"/>
      <c r="BX315" s="889"/>
      <c r="CB315" s="15"/>
      <c r="CC315" s="697"/>
      <c r="CD315" s="1086"/>
      <c r="CE315" s="15"/>
      <c r="CF315" s="15"/>
      <c r="CG315" s="936"/>
      <c r="CH315" s="15"/>
      <c r="CI315" s="15"/>
      <c r="CJ315" s="15"/>
      <c r="CK315" s="1107"/>
      <c r="CL315" s="22"/>
      <c r="CM315" s="22"/>
      <c r="CN315" s="1107"/>
      <c r="CR315" s="223"/>
      <c r="CS315" s="952"/>
      <c r="CT315" s="1066"/>
      <c r="CU315" s="972"/>
      <c r="CV315" s="983"/>
      <c r="CW315" s="222"/>
      <c r="CX315" s="697"/>
      <c r="DC315" s="222"/>
      <c r="DJ315" s="889"/>
      <c r="DM315" s="890"/>
      <c r="DN315" s="952"/>
      <c r="DO315" s="75"/>
      <c r="DP315" s="962"/>
      <c r="DQ315" s="983"/>
      <c r="DV315" s="889"/>
    </row>
    <row r="316" spans="1:126" s="74" customFormat="1">
      <c r="A316" s="15"/>
      <c r="B316" s="15"/>
      <c r="C316" s="15"/>
      <c r="D316" s="15"/>
      <c r="E316" s="6"/>
      <c r="F316" s="6"/>
      <c r="G316" s="6"/>
      <c r="K316" s="222"/>
      <c r="V316" s="1430"/>
      <c r="AA316" s="223"/>
      <c r="AC316" s="889"/>
      <c r="AF316" s="890"/>
      <c r="AJ316" s="889"/>
      <c r="AN316" s="222"/>
      <c r="BC316" s="223"/>
      <c r="BD316" s="222"/>
      <c r="BH316" s="611"/>
      <c r="BJ316" s="15"/>
      <c r="BK316" s="15"/>
      <c r="BO316" s="223"/>
      <c r="BQ316" s="889"/>
      <c r="BT316" s="890"/>
      <c r="BX316" s="889"/>
      <c r="CB316" s="15"/>
      <c r="CC316" s="697"/>
      <c r="CD316" s="1086"/>
      <c r="CE316" s="15"/>
      <c r="CF316" s="15"/>
      <c r="CG316" s="936"/>
      <c r="CH316" s="15"/>
      <c r="CI316" s="15"/>
      <c r="CJ316" s="15"/>
      <c r="CK316" s="1107"/>
      <c r="CL316" s="22"/>
      <c r="CM316" s="22"/>
      <c r="CN316" s="1107"/>
      <c r="CR316" s="223"/>
      <c r="CS316" s="952"/>
      <c r="CT316" s="1066"/>
      <c r="CU316" s="972"/>
      <c r="CV316" s="983"/>
      <c r="CW316" s="222"/>
      <c r="CX316" s="697"/>
      <c r="DC316" s="222"/>
      <c r="DJ316" s="889"/>
      <c r="DM316" s="890"/>
      <c r="DN316" s="952"/>
      <c r="DO316" s="75"/>
      <c r="DP316" s="962"/>
      <c r="DQ316" s="983"/>
      <c r="DV316" s="889"/>
    </row>
    <row r="317" spans="1:126" s="74" customFormat="1">
      <c r="A317" s="15"/>
      <c r="B317" s="15"/>
      <c r="C317" s="15"/>
      <c r="D317" s="15"/>
      <c r="E317" s="6"/>
      <c r="F317" s="6"/>
      <c r="G317" s="6"/>
      <c r="K317" s="222"/>
      <c r="V317" s="1430"/>
      <c r="AA317" s="223"/>
      <c r="AC317" s="889"/>
      <c r="AF317" s="890"/>
      <c r="AJ317" s="889"/>
      <c r="AN317" s="222"/>
      <c r="BC317" s="223"/>
      <c r="BD317" s="222"/>
      <c r="BH317" s="611"/>
      <c r="BJ317" s="15"/>
      <c r="BK317" s="15"/>
      <c r="BO317" s="223"/>
      <c r="BQ317" s="889"/>
      <c r="BT317" s="890"/>
      <c r="BX317" s="889"/>
      <c r="CB317" s="15"/>
      <c r="CC317" s="697"/>
      <c r="CD317" s="1086"/>
      <c r="CE317" s="15"/>
      <c r="CF317" s="15"/>
      <c r="CG317" s="936"/>
      <c r="CH317" s="15"/>
      <c r="CI317" s="15"/>
      <c r="CJ317" s="15"/>
      <c r="CK317" s="1107"/>
      <c r="CL317" s="22"/>
      <c r="CM317" s="22"/>
      <c r="CN317" s="1107"/>
      <c r="CR317" s="223"/>
      <c r="CS317" s="952"/>
      <c r="CT317" s="1066"/>
      <c r="CU317" s="972"/>
      <c r="CV317" s="983"/>
      <c r="CW317" s="222"/>
      <c r="CX317" s="697"/>
      <c r="DC317" s="222"/>
      <c r="DJ317" s="889"/>
      <c r="DM317" s="890"/>
      <c r="DN317" s="952"/>
      <c r="DO317" s="75"/>
      <c r="DP317" s="962"/>
      <c r="DQ317" s="983"/>
      <c r="DV317" s="889"/>
    </row>
    <row r="318" spans="1:126" s="74" customFormat="1">
      <c r="A318" s="15"/>
      <c r="B318" s="15"/>
      <c r="C318" s="15"/>
      <c r="D318" s="15"/>
      <c r="E318" s="6"/>
      <c r="F318" s="6"/>
      <c r="G318" s="6"/>
      <c r="K318" s="222"/>
      <c r="V318" s="1430"/>
      <c r="AA318" s="223"/>
      <c r="AC318" s="889"/>
      <c r="AF318" s="890"/>
      <c r="AJ318" s="889"/>
      <c r="AN318" s="222"/>
      <c r="BC318" s="223"/>
      <c r="BD318" s="222"/>
      <c r="BH318" s="611"/>
      <c r="BJ318" s="15"/>
      <c r="BK318" s="15"/>
      <c r="BO318" s="223"/>
      <c r="BQ318" s="889"/>
      <c r="BT318" s="890"/>
      <c r="BX318" s="889"/>
      <c r="CB318" s="15"/>
      <c r="CC318" s="697"/>
      <c r="CD318" s="1086"/>
      <c r="CE318" s="15"/>
      <c r="CF318" s="15"/>
      <c r="CG318" s="936"/>
      <c r="CH318" s="15"/>
      <c r="CI318" s="15"/>
      <c r="CJ318" s="15"/>
      <c r="CK318" s="1107"/>
      <c r="CL318" s="22"/>
      <c r="CM318" s="22"/>
      <c r="CN318" s="1107"/>
      <c r="CR318" s="223"/>
      <c r="CS318" s="952"/>
      <c r="CT318" s="1066"/>
      <c r="CU318" s="972"/>
      <c r="CV318" s="983"/>
      <c r="CW318" s="222"/>
      <c r="CX318" s="697"/>
      <c r="DC318" s="222"/>
      <c r="DJ318" s="889"/>
      <c r="DM318" s="890"/>
      <c r="DN318" s="952"/>
      <c r="DO318" s="75"/>
      <c r="DP318" s="962"/>
      <c r="DQ318" s="983"/>
      <c r="DV318" s="889"/>
    </row>
    <row r="319" spans="1:126" s="74" customFormat="1">
      <c r="A319" s="15"/>
      <c r="B319" s="15"/>
      <c r="C319" s="15"/>
      <c r="D319" s="15"/>
      <c r="E319" s="6"/>
      <c r="F319" s="6"/>
      <c r="G319" s="6"/>
      <c r="K319" s="222"/>
      <c r="V319" s="1430"/>
      <c r="AA319" s="223"/>
      <c r="AC319" s="889"/>
      <c r="AF319" s="890"/>
      <c r="AJ319" s="889"/>
      <c r="AN319" s="222"/>
      <c r="BC319" s="223"/>
      <c r="BD319" s="222"/>
      <c r="BH319" s="611"/>
      <c r="BJ319" s="15"/>
      <c r="BK319" s="15"/>
      <c r="BO319" s="223"/>
      <c r="BQ319" s="889"/>
      <c r="BT319" s="890"/>
      <c r="BX319" s="889"/>
      <c r="CB319" s="15"/>
      <c r="CC319" s="697"/>
      <c r="CD319" s="1086"/>
      <c r="CE319" s="15"/>
      <c r="CF319" s="15"/>
      <c r="CG319" s="936"/>
      <c r="CH319" s="15"/>
      <c r="CI319" s="15"/>
      <c r="CJ319" s="15"/>
      <c r="CK319" s="1107"/>
      <c r="CL319" s="22"/>
      <c r="CM319" s="22"/>
      <c r="CN319" s="1107"/>
      <c r="CR319" s="223"/>
      <c r="CS319" s="952"/>
      <c r="CT319" s="1066"/>
      <c r="CU319" s="972"/>
      <c r="CV319" s="983"/>
      <c r="CW319" s="222"/>
      <c r="CX319" s="697"/>
      <c r="DC319" s="222"/>
      <c r="DJ319" s="889"/>
      <c r="DM319" s="890"/>
      <c r="DN319" s="952"/>
      <c r="DO319" s="75"/>
      <c r="DP319" s="962"/>
      <c r="DQ319" s="983"/>
      <c r="DV319" s="889"/>
    </row>
    <row r="320" spans="1:126" s="74" customFormat="1">
      <c r="A320" s="15"/>
      <c r="B320" s="15"/>
      <c r="C320" s="15"/>
      <c r="D320" s="15"/>
      <c r="E320" s="6"/>
      <c r="F320" s="6"/>
      <c r="G320" s="6"/>
      <c r="K320" s="222"/>
      <c r="V320" s="1430"/>
      <c r="AA320" s="223"/>
      <c r="AC320" s="889"/>
      <c r="AF320" s="890"/>
      <c r="AJ320" s="889"/>
      <c r="AN320" s="222"/>
      <c r="BC320" s="223"/>
      <c r="BD320" s="222"/>
      <c r="BH320" s="611"/>
      <c r="BJ320" s="15"/>
      <c r="BK320" s="15"/>
      <c r="BO320" s="223"/>
      <c r="BQ320" s="889"/>
      <c r="BT320" s="890"/>
      <c r="BX320" s="889"/>
      <c r="CB320" s="15"/>
      <c r="CC320" s="697"/>
      <c r="CD320" s="1086"/>
      <c r="CE320" s="15"/>
      <c r="CF320" s="15"/>
      <c r="CG320" s="936"/>
      <c r="CH320" s="15"/>
      <c r="CI320" s="15"/>
      <c r="CJ320" s="15"/>
      <c r="CK320" s="1107"/>
      <c r="CL320" s="22"/>
      <c r="CM320" s="22"/>
      <c r="CN320" s="1107"/>
      <c r="CR320" s="223"/>
      <c r="CS320" s="952"/>
      <c r="CT320" s="1066"/>
      <c r="CU320" s="972"/>
      <c r="CV320" s="983"/>
      <c r="CW320" s="222"/>
      <c r="CX320" s="697"/>
      <c r="DC320" s="222"/>
      <c r="DJ320" s="889"/>
      <c r="DM320" s="890"/>
      <c r="DN320" s="952"/>
      <c r="DO320" s="75"/>
      <c r="DP320" s="962"/>
      <c r="DQ320" s="983"/>
      <c r="DV320" s="889"/>
    </row>
    <row r="321" spans="1:126" s="74" customFormat="1">
      <c r="A321" s="15"/>
      <c r="B321" s="15"/>
      <c r="C321" s="15"/>
      <c r="D321" s="15"/>
      <c r="E321" s="6"/>
      <c r="F321" s="6"/>
      <c r="G321" s="6"/>
      <c r="K321" s="222"/>
      <c r="V321" s="1430"/>
      <c r="AA321" s="223"/>
      <c r="AC321" s="889"/>
      <c r="AF321" s="890"/>
      <c r="AJ321" s="889"/>
      <c r="AN321" s="222"/>
      <c r="BC321" s="223"/>
      <c r="BD321" s="222"/>
      <c r="BH321" s="611"/>
      <c r="BJ321" s="15"/>
      <c r="BK321" s="15"/>
      <c r="BO321" s="223"/>
      <c r="BQ321" s="889"/>
      <c r="BT321" s="890"/>
      <c r="BX321" s="889"/>
      <c r="CB321" s="15"/>
      <c r="CC321" s="697"/>
      <c r="CD321" s="1086"/>
      <c r="CE321" s="15"/>
      <c r="CF321" s="15"/>
      <c r="CG321" s="936"/>
      <c r="CH321" s="15"/>
      <c r="CI321" s="15"/>
      <c r="CJ321" s="15"/>
      <c r="CK321" s="1107"/>
      <c r="CL321" s="22"/>
      <c r="CM321" s="22"/>
      <c r="CN321" s="1107"/>
      <c r="CR321" s="223"/>
      <c r="CS321" s="952"/>
      <c r="CT321" s="1066"/>
      <c r="CU321" s="972"/>
      <c r="CV321" s="983"/>
      <c r="CW321" s="222"/>
      <c r="CX321" s="697"/>
      <c r="DC321" s="222"/>
      <c r="DJ321" s="889"/>
      <c r="DM321" s="890"/>
      <c r="DN321" s="952"/>
      <c r="DO321" s="75"/>
      <c r="DP321" s="962"/>
      <c r="DQ321" s="983"/>
      <c r="DV321" s="889"/>
    </row>
    <row r="322" spans="1:126" s="74" customFormat="1">
      <c r="A322" s="15"/>
      <c r="B322" s="15"/>
      <c r="C322" s="15"/>
      <c r="D322" s="15"/>
      <c r="E322" s="6"/>
      <c r="F322" s="6"/>
      <c r="G322" s="6"/>
      <c r="K322" s="222"/>
      <c r="V322" s="1430"/>
      <c r="AA322" s="223"/>
      <c r="AC322" s="889"/>
      <c r="AF322" s="890"/>
      <c r="AJ322" s="889"/>
      <c r="AN322" s="222"/>
      <c r="BC322" s="223"/>
      <c r="BD322" s="222"/>
      <c r="BH322" s="611"/>
      <c r="BJ322" s="15"/>
      <c r="BK322" s="15"/>
      <c r="BO322" s="223"/>
      <c r="BQ322" s="889"/>
      <c r="BT322" s="890"/>
      <c r="BX322" s="889"/>
      <c r="CB322" s="15"/>
      <c r="CC322" s="697"/>
      <c r="CD322" s="1086"/>
      <c r="CE322" s="15"/>
      <c r="CF322" s="15"/>
      <c r="CG322" s="936"/>
      <c r="CH322" s="15"/>
      <c r="CI322" s="15"/>
      <c r="CJ322" s="15"/>
      <c r="CK322" s="1107"/>
      <c r="CL322" s="22"/>
      <c r="CM322" s="22"/>
      <c r="CN322" s="1107"/>
      <c r="CR322" s="223"/>
      <c r="CS322" s="952"/>
      <c r="CT322" s="1066"/>
      <c r="CU322" s="972"/>
      <c r="CV322" s="983"/>
      <c r="CW322" s="222"/>
      <c r="CX322" s="697"/>
      <c r="DC322" s="222"/>
      <c r="DJ322" s="889"/>
      <c r="DM322" s="890"/>
      <c r="DN322" s="952"/>
      <c r="DO322" s="75"/>
      <c r="DP322" s="962"/>
      <c r="DQ322" s="983"/>
      <c r="DV322" s="889"/>
    </row>
    <row r="323" spans="1:126" s="74" customFormat="1">
      <c r="A323" s="15"/>
      <c r="B323" s="15"/>
      <c r="C323" s="15"/>
      <c r="D323" s="15"/>
      <c r="E323" s="6"/>
      <c r="F323" s="6"/>
      <c r="G323" s="6"/>
      <c r="K323" s="222"/>
      <c r="V323" s="1430"/>
      <c r="AA323" s="223"/>
      <c r="AC323" s="889"/>
      <c r="AF323" s="890"/>
      <c r="AJ323" s="889"/>
      <c r="AN323" s="222"/>
      <c r="BC323" s="223"/>
      <c r="BD323" s="222"/>
      <c r="BH323" s="611"/>
      <c r="BJ323" s="15"/>
      <c r="BK323" s="15"/>
      <c r="BO323" s="223"/>
      <c r="BQ323" s="889"/>
      <c r="BT323" s="890"/>
      <c r="BX323" s="889"/>
      <c r="CB323" s="15"/>
      <c r="CC323" s="697"/>
      <c r="CD323" s="1086"/>
      <c r="CE323" s="15"/>
      <c r="CF323" s="15"/>
      <c r="CG323" s="936"/>
      <c r="CH323" s="15"/>
      <c r="CI323" s="15"/>
      <c r="CJ323" s="15"/>
      <c r="CK323" s="1107"/>
      <c r="CL323" s="22"/>
      <c r="CM323" s="22"/>
      <c r="CN323" s="1107"/>
      <c r="CR323" s="223"/>
      <c r="CS323" s="952"/>
      <c r="CT323" s="1066"/>
      <c r="CU323" s="972"/>
      <c r="CV323" s="983"/>
      <c r="CW323" s="222"/>
      <c r="CX323" s="697"/>
      <c r="DC323" s="222"/>
      <c r="DJ323" s="889"/>
      <c r="DM323" s="890"/>
      <c r="DN323" s="952"/>
      <c r="DO323" s="75"/>
      <c r="DP323" s="962"/>
      <c r="DQ323" s="983"/>
      <c r="DV323" s="889"/>
    </row>
    <row r="324" spans="1:126" s="74" customFormat="1">
      <c r="A324" s="15"/>
      <c r="B324" s="15"/>
      <c r="C324" s="15"/>
      <c r="D324" s="15"/>
      <c r="E324" s="6"/>
      <c r="F324" s="6"/>
      <c r="G324" s="6"/>
      <c r="K324" s="222"/>
      <c r="V324" s="1430"/>
      <c r="AA324" s="223"/>
      <c r="AC324" s="889"/>
      <c r="AF324" s="890"/>
      <c r="AJ324" s="889"/>
      <c r="AN324" s="222"/>
      <c r="BC324" s="223"/>
      <c r="BD324" s="222"/>
      <c r="BH324" s="611"/>
      <c r="BJ324" s="15"/>
      <c r="BK324" s="15"/>
      <c r="BO324" s="223"/>
      <c r="BQ324" s="889"/>
      <c r="BT324" s="890"/>
      <c r="BX324" s="889"/>
      <c r="CB324" s="15"/>
      <c r="CC324" s="697"/>
      <c r="CD324" s="1086"/>
      <c r="CE324" s="15"/>
      <c r="CF324" s="15"/>
      <c r="CG324" s="936"/>
      <c r="CH324" s="15"/>
      <c r="CI324" s="15"/>
      <c r="CJ324" s="15"/>
      <c r="CK324" s="1107"/>
      <c r="CL324" s="22"/>
      <c r="CM324" s="22"/>
      <c r="CN324" s="1107"/>
      <c r="CR324" s="223"/>
      <c r="CS324" s="952"/>
      <c r="CT324" s="1066"/>
      <c r="CU324" s="972"/>
      <c r="CV324" s="983"/>
      <c r="CW324" s="222"/>
      <c r="CX324" s="697"/>
      <c r="DC324" s="222"/>
      <c r="DJ324" s="889"/>
      <c r="DM324" s="890"/>
      <c r="DN324" s="952"/>
      <c r="DO324" s="75"/>
      <c r="DP324" s="962"/>
      <c r="DQ324" s="983"/>
      <c r="DV324" s="889"/>
    </row>
    <row r="325" spans="1:126" s="74" customFormat="1">
      <c r="A325" s="15"/>
      <c r="B325" s="15"/>
      <c r="C325" s="15"/>
      <c r="D325" s="15"/>
      <c r="E325" s="6"/>
      <c r="F325" s="6"/>
      <c r="G325" s="6"/>
      <c r="K325" s="222"/>
      <c r="V325" s="1430"/>
      <c r="AA325" s="223"/>
      <c r="AC325" s="889"/>
      <c r="AF325" s="890"/>
      <c r="AJ325" s="889"/>
      <c r="AN325" s="222"/>
      <c r="BC325" s="223"/>
      <c r="BD325" s="222"/>
      <c r="BH325" s="611"/>
      <c r="BJ325" s="15"/>
      <c r="BK325" s="15"/>
      <c r="BO325" s="223"/>
      <c r="BQ325" s="889"/>
      <c r="BT325" s="890"/>
      <c r="BX325" s="889"/>
      <c r="CB325" s="15"/>
      <c r="CC325" s="697"/>
      <c r="CD325" s="1086"/>
      <c r="CE325" s="15"/>
      <c r="CF325" s="15"/>
      <c r="CG325" s="936"/>
      <c r="CH325" s="15"/>
      <c r="CI325" s="15"/>
      <c r="CJ325" s="15"/>
      <c r="CK325" s="1107"/>
      <c r="CL325" s="22"/>
      <c r="CM325" s="22"/>
      <c r="CN325" s="1107"/>
      <c r="CR325" s="223"/>
      <c r="CS325" s="952"/>
      <c r="CT325" s="1066"/>
      <c r="CU325" s="972"/>
      <c r="CV325" s="983"/>
      <c r="CW325" s="222"/>
      <c r="CX325" s="697"/>
      <c r="DC325" s="222"/>
      <c r="DJ325" s="889"/>
      <c r="DM325" s="890"/>
      <c r="DN325" s="952"/>
      <c r="DO325" s="75"/>
      <c r="DP325" s="962"/>
      <c r="DQ325" s="983"/>
      <c r="DV325" s="889"/>
    </row>
    <row r="326" spans="1:126" s="74" customFormat="1">
      <c r="A326" s="15"/>
      <c r="B326" s="15"/>
      <c r="C326" s="15"/>
      <c r="D326" s="15"/>
      <c r="E326" s="6"/>
      <c r="F326" s="6"/>
      <c r="G326" s="6"/>
      <c r="K326" s="222"/>
      <c r="V326" s="1430"/>
      <c r="AA326" s="223"/>
      <c r="AC326" s="889"/>
      <c r="AF326" s="890"/>
      <c r="AJ326" s="889"/>
      <c r="AN326" s="222"/>
      <c r="BC326" s="223"/>
      <c r="BD326" s="222"/>
      <c r="BH326" s="611"/>
      <c r="BJ326" s="15"/>
      <c r="BK326" s="15"/>
      <c r="BO326" s="223"/>
      <c r="BQ326" s="889"/>
      <c r="BT326" s="890"/>
      <c r="BX326" s="889"/>
      <c r="CB326" s="15"/>
      <c r="CC326" s="697"/>
      <c r="CD326" s="1086"/>
      <c r="CE326" s="15"/>
      <c r="CF326" s="15"/>
      <c r="CG326" s="936"/>
      <c r="CH326" s="15"/>
      <c r="CI326" s="15"/>
      <c r="CJ326" s="15"/>
      <c r="CK326" s="1107"/>
      <c r="CL326" s="22"/>
      <c r="CM326" s="22"/>
      <c r="CN326" s="1107"/>
      <c r="CR326" s="223"/>
      <c r="CS326" s="952"/>
      <c r="CT326" s="1066"/>
      <c r="CU326" s="972"/>
      <c r="CV326" s="983"/>
      <c r="CW326" s="222"/>
      <c r="CX326" s="697"/>
      <c r="DC326" s="222"/>
      <c r="DJ326" s="889"/>
      <c r="DM326" s="890"/>
      <c r="DN326" s="952"/>
      <c r="DO326" s="75"/>
      <c r="DP326" s="962"/>
      <c r="DQ326" s="983"/>
      <c r="DV326" s="889"/>
    </row>
    <row r="327" spans="1:126" s="74" customFormat="1">
      <c r="A327" s="15"/>
      <c r="B327" s="15"/>
      <c r="C327" s="15"/>
      <c r="D327" s="15"/>
      <c r="E327" s="6"/>
      <c r="F327" s="6"/>
      <c r="G327" s="6"/>
      <c r="K327" s="222"/>
      <c r="V327" s="1430"/>
      <c r="AA327" s="223"/>
      <c r="AC327" s="889"/>
      <c r="AF327" s="890"/>
      <c r="AJ327" s="889"/>
      <c r="AN327" s="222"/>
      <c r="BC327" s="223"/>
      <c r="BD327" s="222"/>
      <c r="BH327" s="611"/>
      <c r="BJ327" s="15"/>
      <c r="BK327" s="15"/>
      <c r="BO327" s="223"/>
      <c r="BQ327" s="889"/>
      <c r="BT327" s="890"/>
      <c r="BX327" s="889"/>
      <c r="CB327" s="15"/>
      <c r="CC327" s="697"/>
      <c r="CD327" s="1086"/>
      <c r="CE327" s="15"/>
      <c r="CF327" s="15"/>
      <c r="CG327" s="936"/>
      <c r="CH327" s="15"/>
      <c r="CI327" s="15"/>
      <c r="CJ327" s="15"/>
      <c r="CK327" s="1107"/>
      <c r="CL327" s="22"/>
      <c r="CM327" s="22"/>
      <c r="CN327" s="1107"/>
      <c r="CR327" s="223"/>
      <c r="CS327" s="952"/>
      <c r="CT327" s="1066"/>
      <c r="CU327" s="972"/>
      <c r="CV327" s="983"/>
      <c r="CW327" s="222"/>
      <c r="CX327" s="697"/>
      <c r="DC327" s="222"/>
      <c r="DJ327" s="889"/>
      <c r="DM327" s="890"/>
      <c r="DN327" s="952"/>
      <c r="DO327" s="75"/>
      <c r="DP327" s="962"/>
      <c r="DQ327" s="983"/>
      <c r="DV327" s="889"/>
    </row>
    <row r="328" spans="1:126" s="74" customFormat="1">
      <c r="A328" s="15"/>
      <c r="B328" s="15"/>
      <c r="C328" s="15"/>
      <c r="D328" s="15"/>
      <c r="E328" s="6"/>
      <c r="F328" s="6"/>
      <c r="G328" s="6"/>
      <c r="K328" s="222"/>
      <c r="V328" s="1430"/>
      <c r="AA328" s="223"/>
      <c r="AC328" s="889"/>
      <c r="AF328" s="890"/>
      <c r="AJ328" s="889"/>
      <c r="AN328" s="222"/>
      <c r="BC328" s="223"/>
      <c r="BD328" s="222"/>
      <c r="BH328" s="611"/>
      <c r="BJ328" s="15"/>
      <c r="BK328" s="15"/>
      <c r="BO328" s="223"/>
      <c r="BQ328" s="889"/>
      <c r="BT328" s="890"/>
      <c r="BX328" s="889"/>
      <c r="CB328" s="15"/>
      <c r="CC328" s="697"/>
      <c r="CD328" s="1086"/>
      <c r="CE328" s="15"/>
      <c r="CF328" s="15"/>
      <c r="CG328" s="936"/>
      <c r="CH328" s="15"/>
      <c r="CI328" s="15"/>
      <c r="CJ328" s="15"/>
      <c r="CK328" s="1107"/>
      <c r="CL328" s="22"/>
      <c r="CM328" s="22"/>
      <c r="CN328" s="1107"/>
      <c r="CR328" s="223"/>
      <c r="CS328" s="952"/>
      <c r="CT328" s="1066"/>
      <c r="CU328" s="972"/>
      <c r="CV328" s="983"/>
      <c r="CW328" s="222"/>
      <c r="CX328" s="697"/>
      <c r="DC328" s="222"/>
      <c r="DJ328" s="889"/>
      <c r="DM328" s="890"/>
      <c r="DN328" s="952"/>
      <c r="DO328" s="75"/>
      <c r="DP328" s="962"/>
      <c r="DQ328" s="983"/>
      <c r="DV328" s="889"/>
    </row>
    <row r="329" spans="1:126" s="74" customFormat="1">
      <c r="A329" s="15"/>
      <c r="B329" s="15"/>
      <c r="C329" s="15"/>
      <c r="D329" s="15"/>
      <c r="E329" s="6"/>
      <c r="F329" s="6"/>
      <c r="G329" s="6"/>
      <c r="K329" s="222"/>
      <c r="V329" s="1430"/>
      <c r="AA329" s="223"/>
      <c r="AC329" s="889"/>
      <c r="AF329" s="890"/>
      <c r="AJ329" s="889"/>
      <c r="AN329" s="222"/>
      <c r="BC329" s="223"/>
      <c r="BD329" s="222"/>
      <c r="BH329" s="611"/>
      <c r="BJ329" s="15"/>
      <c r="BK329" s="15"/>
      <c r="BO329" s="223"/>
      <c r="BQ329" s="889"/>
      <c r="BT329" s="890"/>
      <c r="BX329" s="889"/>
      <c r="CB329" s="15"/>
      <c r="CC329" s="697"/>
      <c r="CD329" s="1086"/>
      <c r="CE329" s="15"/>
      <c r="CF329" s="15"/>
      <c r="CG329" s="936"/>
      <c r="CH329" s="15"/>
      <c r="CI329" s="15"/>
      <c r="CJ329" s="15"/>
      <c r="CK329" s="1107"/>
      <c r="CL329" s="22"/>
      <c r="CM329" s="22"/>
      <c r="CN329" s="1107"/>
      <c r="CR329" s="223"/>
      <c r="CS329" s="952"/>
      <c r="CT329" s="1066"/>
      <c r="CU329" s="972"/>
      <c r="CV329" s="983"/>
      <c r="CW329" s="222"/>
      <c r="CX329" s="697"/>
      <c r="DC329" s="222"/>
      <c r="DJ329" s="889"/>
      <c r="DM329" s="890"/>
      <c r="DN329" s="952"/>
      <c r="DO329" s="75"/>
      <c r="DP329" s="962"/>
      <c r="DQ329" s="983"/>
      <c r="DV329" s="889"/>
    </row>
    <row r="330" spans="1:126" s="74" customFormat="1">
      <c r="A330" s="15"/>
      <c r="B330" s="15"/>
      <c r="C330" s="15"/>
      <c r="D330" s="15"/>
      <c r="E330" s="6"/>
      <c r="F330" s="6"/>
      <c r="G330" s="6"/>
      <c r="K330" s="222"/>
      <c r="V330" s="1430"/>
      <c r="AA330" s="223"/>
      <c r="AC330" s="889"/>
      <c r="AF330" s="890"/>
      <c r="AJ330" s="889"/>
      <c r="AN330" s="222"/>
      <c r="BC330" s="223"/>
      <c r="BD330" s="222"/>
      <c r="BH330" s="611"/>
      <c r="BJ330" s="15"/>
      <c r="BK330" s="15"/>
      <c r="BO330" s="223"/>
      <c r="BQ330" s="889"/>
      <c r="BT330" s="890"/>
      <c r="BX330" s="889"/>
      <c r="CB330" s="15"/>
      <c r="CC330" s="697"/>
      <c r="CD330" s="1086"/>
      <c r="CE330" s="15"/>
      <c r="CF330" s="15"/>
      <c r="CG330" s="936"/>
      <c r="CH330" s="15"/>
      <c r="CI330" s="15"/>
      <c r="CJ330" s="15"/>
      <c r="CK330" s="1107"/>
      <c r="CL330" s="22"/>
      <c r="CM330" s="22"/>
      <c r="CN330" s="1107"/>
      <c r="CR330" s="223"/>
      <c r="CS330" s="952"/>
      <c r="CT330" s="1066"/>
      <c r="CU330" s="972"/>
      <c r="CV330" s="983"/>
      <c r="CW330" s="222"/>
      <c r="CX330" s="697"/>
      <c r="DC330" s="222"/>
      <c r="DJ330" s="889"/>
      <c r="DM330" s="890"/>
      <c r="DN330" s="952"/>
      <c r="DO330" s="75"/>
      <c r="DP330" s="962"/>
      <c r="DQ330" s="983"/>
      <c r="DV330" s="889"/>
    </row>
    <row r="331" spans="1:126" s="74" customFormat="1">
      <c r="A331" s="15"/>
      <c r="B331" s="15"/>
      <c r="C331" s="15"/>
      <c r="D331" s="15"/>
      <c r="E331" s="6"/>
      <c r="F331" s="6"/>
      <c r="G331" s="6"/>
      <c r="K331" s="222"/>
      <c r="V331" s="1430"/>
      <c r="AA331" s="223"/>
      <c r="AC331" s="889"/>
      <c r="AF331" s="890"/>
      <c r="AJ331" s="889"/>
      <c r="AN331" s="222"/>
      <c r="BC331" s="223"/>
      <c r="BD331" s="222"/>
      <c r="BH331" s="611"/>
      <c r="BJ331" s="15"/>
      <c r="BK331" s="15"/>
      <c r="BO331" s="223"/>
      <c r="BQ331" s="889"/>
      <c r="BT331" s="890"/>
      <c r="BX331" s="889"/>
      <c r="CB331" s="15"/>
      <c r="CC331" s="697"/>
      <c r="CD331" s="1086"/>
      <c r="CE331" s="15"/>
      <c r="CF331" s="15"/>
      <c r="CG331" s="936"/>
      <c r="CH331" s="15"/>
      <c r="CI331" s="15"/>
      <c r="CJ331" s="15"/>
      <c r="CK331" s="1107"/>
      <c r="CL331" s="22"/>
      <c r="CM331" s="22"/>
      <c r="CN331" s="1107"/>
      <c r="CR331" s="223"/>
      <c r="CS331" s="952"/>
      <c r="CT331" s="1066"/>
      <c r="CU331" s="972"/>
      <c r="CV331" s="983"/>
      <c r="CW331" s="222"/>
      <c r="CX331" s="697"/>
      <c r="DC331" s="222"/>
      <c r="DJ331" s="889"/>
      <c r="DM331" s="890"/>
      <c r="DN331" s="952"/>
      <c r="DO331" s="75"/>
      <c r="DP331" s="962"/>
      <c r="DQ331" s="983"/>
      <c r="DV331" s="889"/>
    </row>
    <row r="332" spans="1:126" s="74" customFormat="1">
      <c r="A332" s="15"/>
      <c r="B332" s="15"/>
      <c r="C332" s="15"/>
      <c r="D332" s="15"/>
      <c r="E332" s="6"/>
      <c r="F332" s="6"/>
      <c r="G332" s="6"/>
      <c r="K332" s="222"/>
      <c r="V332" s="1430"/>
      <c r="AA332" s="223"/>
      <c r="AC332" s="889"/>
      <c r="AF332" s="890"/>
      <c r="AJ332" s="889"/>
      <c r="AN332" s="222"/>
      <c r="BC332" s="223"/>
      <c r="BD332" s="222"/>
      <c r="BH332" s="611"/>
      <c r="BJ332" s="15"/>
      <c r="BK332" s="15"/>
      <c r="BO332" s="223"/>
      <c r="BQ332" s="889"/>
      <c r="BT332" s="890"/>
      <c r="BX332" s="889"/>
      <c r="CB332" s="15"/>
      <c r="CC332" s="697"/>
      <c r="CD332" s="1086"/>
      <c r="CE332" s="15"/>
      <c r="CF332" s="15"/>
      <c r="CG332" s="936"/>
      <c r="CH332" s="15"/>
      <c r="CI332" s="15"/>
      <c r="CJ332" s="15"/>
      <c r="CK332" s="1107"/>
      <c r="CL332" s="22"/>
      <c r="CM332" s="22"/>
      <c r="CN332" s="1107"/>
      <c r="CR332" s="223"/>
      <c r="CS332" s="952"/>
      <c r="CT332" s="1066"/>
      <c r="CU332" s="972"/>
      <c r="CV332" s="983"/>
      <c r="CW332" s="222"/>
      <c r="CX332" s="697"/>
      <c r="DC332" s="222"/>
      <c r="DJ332" s="889"/>
      <c r="DM332" s="890"/>
      <c r="DN332" s="952"/>
      <c r="DO332" s="75"/>
      <c r="DP332" s="962"/>
      <c r="DQ332" s="983"/>
      <c r="DV332" s="889"/>
    </row>
    <row r="333" spans="1:126" s="74" customFormat="1">
      <c r="A333" s="15"/>
      <c r="B333" s="15"/>
      <c r="C333" s="15"/>
      <c r="D333" s="15"/>
      <c r="E333" s="6"/>
      <c r="F333" s="6"/>
      <c r="G333" s="6"/>
      <c r="K333" s="222"/>
      <c r="V333" s="1430"/>
      <c r="AA333" s="223"/>
      <c r="AC333" s="889"/>
      <c r="AF333" s="890"/>
      <c r="AJ333" s="889"/>
      <c r="AN333" s="222"/>
      <c r="BC333" s="223"/>
      <c r="BD333" s="222"/>
      <c r="BH333" s="611"/>
      <c r="BJ333" s="15"/>
      <c r="BK333" s="15"/>
      <c r="BO333" s="223"/>
      <c r="BQ333" s="889"/>
      <c r="BT333" s="890"/>
      <c r="BX333" s="889"/>
      <c r="CB333" s="15"/>
      <c r="CC333" s="697"/>
      <c r="CD333" s="1086"/>
      <c r="CE333" s="15"/>
      <c r="CF333" s="15"/>
      <c r="CG333" s="936"/>
      <c r="CH333" s="15"/>
      <c r="CI333" s="15"/>
      <c r="CJ333" s="15"/>
      <c r="CK333" s="1107"/>
      <c r="CL333" s="22"/>
      <c r="CM333" s="22"/>
      <c r="CN333" s="1107"/>
      <c r="CR333" s="223"/>
      <c r="CS333" s="952"/>
      <c r="CT333" s="1066"/>
      <c r="CU333" s="972"/>
      <c r="CV333" s="983"/>
      <c r="CW333" s="222"/>
      <c r="CX333" s="697"/>
      <c r="DC333" s="222"/>
      <c r="DJ333" s="889"/>
      <c r="DM333" s="890"/>
      <c r="DN333" s="952"/>
      <c r="DO333" s="75"/>
      <c r="DP333" s="962"/>
      <c r="DQ333" s="983"/>
      <c r="DV333" s="889"/>
    </row>
    <row r="334" spans="1:126" s="74" customFormat="1">
      <c r="A334" s="15"/>
      <c r="B334" s="15"/>
      <c r="C334" s="15"/>
      <c r="D334" s="15"/>
      <c r="E334" s="6"/>
      <c r="F334" s="6"/>
      <c r="G334" s="6"/>
      <c r="K334" s="222"/>
      <c r="V334" s="1430"/>
      <c r="AA334" s="223"/>
      <c r="AC334" s="889"/>
      <c r="AF334" s="890"/>
      <c r="AJ334" s="889"/>
      <c r="AN334" s="222"/>
      <c r="BC334" s="223"/>
      <c r="BD334" s="222"/>
      <c r="BH334" s="611"/>
      <c r="BJ334" s="15"/>
      <c r="BK334" s="15"/>
      <c r="BO334" s="223"/>
      <c r="BQ334" s="889"/>
      <c r="BT334" s="890"/>
      <c r="BX334" s="889"/>
      <c r="CB334" s="15"/>
      <c r="CC334" s="697"/>
      <c r="CD334" s="1086"/>
      <c r="CE334" s="15"/>
      <c r="CF334" s="15"/>
      <c r="CG334" s="936"/>
      <c r="CH334" s="15"/>
      <c r="CI334" s="15"/>
      <c r="CJ334" s="15"/>
      <c r="CK334" s="1107"/>
      <c r="CL334" s="22"/>
      <c r="CM334" s="22"/>
      <c r="CN334" s="1107"/>
      <c r="CR334" s="223"/>
      <c r="CS334" s="952"/>
      <c r="CT334" s="1066"/>
      <c r="CU334" s="972"/>
      <c r="CV334" s="983"/>
      <c r="CW334" s="222"/>
      <c r="CX334" s="697"/>
      <c r="DC334" s="222"/>
      <c r="DJ334" s="889"/>
      <c r="DM334" s="890"/>
      <c r="DN334" s="952"/>
      <c r="DO334" s="75"/>
      <c r="DP334" s="962"/>
      <c r="DQ334" s="983"/>
      <c r="DV334" s="889"/>
    </row>
    <row r="335" spans="1:126" s="74" customFormat="1">
      <c r="A335" s="15"/>
      <c r="B335" s="15"/>
      <c r="C335" s="15"/>
      <c r="D335" s="15"/>
      <c r="E335" s="6"/>
      <c r="F335" s="6"/>
      <c r="G335" s="6"/>
      <c r="K335" s="222"/>
      <c r="V335" s="1430"/>
      <c r="AA335" s="223"/>
      <c r="AC335" s="889"/>
      <c r="AF335" s="890"/>
      <c r="AJ335" s="889"/>
      <c r="AN335" s="222"/>
      <c r="BC335" s="223"/>
      <c r="BD335" s="222"/>
      <c r="BH335" s="611"/>
      <c r="BJ335" s="15"/>
      <c r="BK335" s="15"/>
      <c r="BO335" s="223"/>
      <c r="BQ335" s="889"/>
      <c r="BT335" s="890"/>
      <c r="BX335" s="889"/>
      <c r="CB335" s="15"/>
      <c r="CC335" s="697"/>
      <c r="CD335" s="1086"/>
      <c r="CE335" s="15"/>
      <c r="CF335" s="15"/>
      <c r="CG335" s="936"/>
      <c r="CH335" s="15"/>
      <c r="CI335" s="15"/>
      <c r="CJ335" s="15"/>
      <c r="CK335" s="1107"/>
      <c r="CL335" s="22"/>
      <c r="CM335" s="22"/>
      <c r="CN335" s="1107"/>
      <c r="CR335" s="223"/>
      <c r="CS335" s="952"/>
      <c r="CT335" s="1066"/>
      <c r="CU335" s="972"/>
      <c r="CV335" s="983"/>
      <c r="CW335" s="222"/>
      <c r="CX335" s="697"/>
      <c r="DC335" s="222"/>
      <c r="DJ335" s="889"/>
      <c r="DM335" s="890"/>
      <c r="DN335" s="952"/>
      <c r="DO335" s="75"/>
      <c r="DP335" s="962"/>
      <c r="DQ335" s="983"/>
      <c r="DV335" s="889"/>
    </row>
    <row r="336" spans="1:126" s="74" customFormat="1">
      <c r="A336" s="15"/>
      <c r="B336" s="15"/>
      <c r="C336" s="15"/>
      <c r="D336" s="15"/>
      <c r="E336" s="6"/>
      <c r="F336" s="6"/>
      <c r="G336" s="6"/>
      <c r="K336" s="222"/>
      <c r="V336" s="1430"/>
      <c r="AA336" s="223"/>
      <c r="AC336" s="889"/>
      <c r="AF336" s="890"/>
      <c r="AJ336" s="889"/>
      <c r="AN336" s="222"/>
      <c r="BC336" s="223"/>
      <c r="BD336" s="222"/>
      <c r="BH336" s="611"/>
      <c r="BJ336" s="15"/>
      <c r="BK336" s="15"/>
      <c r="BO336" s="223"/>
      <c r="BQ336" s="889"/>
      <c r="BT336" s="890"/>
      <c r="BX336" s="889"/>
      <c r="CB336" s="15"/>
      <c r="CC336" s="697"/>
      <c r="CD336" s="1086"/>
      <c r="CE336" s="15"/>
      <c r="CF336" s="15"/>
      <c r="CG336" s="936"/>
      <c r="CH336" s="15"/>
      <c r="CI336" s="15"/>
      <c r="CJ336" s="15"/>
      <c r="CK336" s="1107"/>
      <c r="CL336" s="22"/>
      <c r="CM336" s="22"/>
      <c r="CN336" s="1107"/>
      <c r="CR336" s="223"/>
      <c r="CS336" s="952"/>
      <c r="CT336" s="1066"/>
      <c r="CU336" s="972"/>
      <c r="CV336" s="983"/>
      <c r="CW336" s="222"/>
      <c r="CX336" s="697"/>
      <c r="DC336" s="222"/>
      <c r="DJ336" s="889"/>
      <c r="DM336" s="890"/>
      <c r="DN336" s="952"/>
      <c r="DO336" s="75"/>
      <c r="DP336" s="962"/>
      <c r="DQ336" s="983"/>
      <c r="DV336" s="889"/>
    </row>
    <row r="337" spans="1:126" s="74" customFormat="1">
      <c r="A337" s="15"/>
      <c r="B337" s="15"/>
      <c r="C337" s="15"/>
      <c r="D337" s="15"/>
      <c r="E337" s="6"/>
      <c r="F337" s="6"/>
      <c r="G337" s="6"/>
      <c r="K337" s="222"/>
      <c r="V337" s="1430"/>
      <c r="AA337" s="223"/>
      <c r="AC337" s="889"/>
      <c r="AF337" s="890"/>
      <c r="AJ337" s="889"/>
      <c r="AN337" s="222"/>
      <c r="BC337" s="223"/>
      <c r="BD337" s="222"/>
      <c r="BH337" s="611"/>
      <c r="BJ337" s="15"/>
      <c r="BK337" s="15"/>
      <c r="BO337" s="223"/>
      <c r="BQ337" s="889"/>
      <c r="BT337" s="890"/>
      <c r="BX337" s="889"/>
      <c r="CB337" s="15"/>
      <c r="CC337" s="697"/>
      <c r="CD337" s="1086"/>
      <c r="CE337" s="15"/>
      <c r="CF337" s="15"/>
      <c r="CG337" s="936"/>
      <c r="CH337" s="15"/>
      <c r="CI337" s="15"/>
      <c r="CJ337" s="15"/>
      <c r="CK337" s="1107"/>
      <c r="CL337" s="22"/>
      <c r="CM337" s="22"/>
      <c r="CN337" s="1107"/>
      <c r="CR337" s="223"/>
      <c r="CS337" s="952"/>
      <c r="CT337" s="1066"/>
      <c r="CU337" s="972"/>
      <c r="CV337" s="983"/>
      <c r="CW337" s="222"/>
      <c r="CX337" s="697"/>
      <c r="DC337" s="222"/>
      <c r="DJ337" s="889"/>
      <c r="DM337" s="890"/>
      <c r="DN337" s="952"/>
      <c r="DO337" s="75"/>
      <c r="DP337" s="962"/>
      <c r="DQ337" s="983"/>
      <c r="DV337" s="889"/>
    </row>
    <row r="338" spans="1:126" s="74" customFormat="1">
      <c r="A338" s="15"/>
      <c r="B338" s="15"/>
      <c r="C338" s="15"/>
      <c r="D338" s="15"/>
      <c r="E338" s="6"/>
      <c r="F338" s="6"/>
      <c r="G338" s="6"/>
      <c r="K338" s="222"/>
      <c r="V338" s="1430"/>
      <c r="AA338" s="223"/>
      <c r="AC338" s="889"/>
      <c r="AF338" s="890"/>
      <c r="AJ338" s="889"/>
      <c r="AN338" s="222"/>
      <c r="BC338" s="223"/>
      <c r="BD338" s="222"/>
      <c r="BH338" s="611"/>
      <c r="BJ338" s="15"/>
      <c r="BK338" s="15"/>
      <c r="BO338" s="223"/>
      <c r="BQ338" s="889"/>
      <c r="BT338" s="890"/>
      <c r="BX338" s="889"/>
      <c r="CB338" s="15"/>
      <c r="CC338" s="697"/>
      <c r="CD338" s="1086"/>
      <c r="CE338" s="15"/>
      <c r="CF338" s="15"/>
      <c r="CG338" s="936"/>
      <c r="CH338" s="15"/>
      <c r="CI338" s="15"/>
      <c r="CJ338" s="15"/>
      <c r="CK338" s="1107"/>
      <c r="CL338" s="22"/>
      <c r="CM338" s="22"/>
      <c r="CN338" s="1107"/>
      <c r="CR338" s="223"/>
      <c r="CS338" s="952"/>
      <c r="CT338" s="1066"/>
      <c r="CU338" s="972"/>
      <c r="CV338" s="983"/>
      <c r="CW338" s="222"/>
      <c r="CX338" s="697"/>
      <c r="DC338" s="222"/>
      <c r="DJ338" s="889"/>
      <c r="DM338" s="890"/>
      <c r="DN338" s="952"/>
      <c r="DO338" s="75"/>
      <c r="DP338" s="962"/>
      <c r="DQ338" s="983"/>
      <c r="DV338" s="889"/>
    </row>
    <row r="339" spans="1:126" s="74" customFormat="1">
      <c r="A339" s="15"/>
      <c r="B339" s="15"/>
      <c r="C339" s="15"/>
      <c r="D339" s="15"/>
      <c r="E339" s="6"/>
      <c r="F339" s="6"/>
      <c r="G339" s="6"/>
      <c r="K339" s="222"/>
      <c r="V339" s="1430"/>
      <c r="AA339" s="223"/>
      <c r="AC339" s="889"/>
      <c r="AF339" s="890"/>
      <c r="AJ339" s="889"/>
      <c r="AN339" s="222"/>
      <c r="BC339" s="223"/>
      <c r="BD339" s="222"/>
      <c r="BH339" s="611"/>
      <c r="BJ339" s="15"/>
      <c r="BK339" s="15"/>
      <c r="BO339" s="223"/>
      <c r="BQ339" s="889"/>
      <c r="BT339" s="890"/>
      <c r="BX339" s="889"/>
      <c r="CB339" s="15"/>
      <c r="CC339" s="697"/>
      <c r="CD339" s="1086"/>
      <c r="CE339" s="15"/>
      <c r="CF339" s="15"/>
      <c r="CG339" s="936"/>
      <c r="CH339" s="15"/>
      <c r="CI339" s="15"/>
      <c r="CJ339" s="15"/>
      <c r="CK339" s="1107"/>
      <c r="CL339" s="22"/>
      <c r="CM339" s="22"/>
      <c r="CN339" s="1107"/>
      <c r="CR339" s="223"/>
      <c r="CS339" s="952"/>
      <c r="CT339" s="1066"/>
      <c r="CU339" s="972"/>
      <c r="CV339" s="983"/>
      <c r="CW339" s="222"/>
      <c r="CX339" s="697"/>
      <c r="DC339" s="222"/>
      <c r="DJ339" s="889"/>
      <c r="DM339" s="890"/>
      <c r="DN339" s="952"/>
      <c r="DO339" s="75"/>
      <c r="DP339" s="962"/>
      <c r="DQ339" s="983"/>
      <c r="DV339" s="889"/>
    </row>
    <row r="340" spans="1:126" s="74" customFormat="1">
      <c r="A340" s="15"/>
      <c r="B340" s="15"/>
      <c r="C340" s="15"/>
      <c r="D340" s="15"/>
      <c r="E340" s="6"/>
      <c r="F340" s="6"/>
      <c r="G340" s="6"/>
      <c r="K340" s="222"/>
      <c r="V340" s="1430"/>
      <c r="AA340" s="223"/>
      <c r="AC340" s="889"/>
      <c r="AF340" s="890"/>
      <c r="AJ340" s="889"/>
      <c r="AN340" s="222"/>
      <c r="BC340" s="223"/>
      <c r="BD340" s="222"/>
      <c r="BH340" s="611"/>
      <c r="BJ340" s="15"/>
      <c r="BK340" s="15"/>
      <c r="BO340" s="223"/>
      <c r="BQ340" s="889"/>
      <c r="BT340" s="890"/>
      <c r="BX340" s="889"/>
      <c r="CB340" s="15"/>
      <c r="CC340" s="697"/>
      <c r="CD340" s="1086"/>
      <c r="CE340" s="15"/>
      <c r="CF340" s="15"/>
      <c r="CG340" s="936"/>
      <c r="CH340" s="15"/>
      <c r="CI340" s="15"/>
      <c r="CJ340" s="15"/>
      <c r="CK340" s="1107"/>
      <c r="CL340" s="22"/>
      <c r="CM340" s="22"/>
      <c r="CN340" s="1107"/>
      <c r="CR340" s="223"/>
      <c r="CS340" s="952"/>
      <c r="CT340" s="1066"/>
      <c r="CU340" s="972"/>
      <c r="CV340" s="983"/>
      <c r="CW340" s="222"/>
      <c r="CX340" s="697"/>
      <c r="DC340" s="222"/>
      <c r="DJ340" s="889"/>
      <c r="DM340" s="890"/>
      <c r="DN340" s="952"/>
      <c r="DO340" s="75"/>
      <c r="DP340" s="962"/>
      <c r="DQ340" s="983"/>
      <c r="DV340" s="889"/>
    </row>
    <row r="341" spans="1:126" s="74" customFormat="1">
      <c r="A341" s="15"/>
      <c r="B341" s="15"/>
      <c r="C341" s="15"/>
      <c r="D341" s="15"/>
      <c r="E341" s="6"/>
      <c r="F341" s="6"/>
      <c r="G341" s="6"/>
      <c r="K341" s="222"/>
      <c r="V341" s="1430"/>
      <c r="AA341" s="223"/>
      <c r="AC341" s="889"/>
      <c r="AF341" s="890"/>
      <c r="AJ341" s="889"/>
      <c r="AN341" s="222"/>
      <c r="BC341" s="223"/>
      <c r="BD341" s="222"/>
      <c r="BH341" s="611"/>
      <c r="BJ341" s="15"/>
      <c r="BK341" s="15"/>
      <c r="BO341" s="223"/>
      <c r="BQ341" s="889"/>
      <c r="BT341" s="890"/>
      <c r="BX341" s="889"/>
      <c r="CB341" s="15"/>
      <c r="CC341" s="697"/>
      <c r="CD341" s="1086"/>
      <c r="CE341" s="15"/>
      <c r="CF341" s="15"/>
      <c r="CG341" s="936"/>
      <c r="CH341" s="15"/>
      <c r="CI341" s="15"/>
      <c r="CJ341" s="15"/>
      <c r="CK341" s="1107"/>
      <c r="CL341" s="22"/>
      <c r="CM341" s="22"/>
      <c r="CN341" s="1107"/>
      <c r="CR341" s="223"/>
      <c r="CS341" s="952"/>
      <c r="CT341" s="1066"/>
      <c r="CU341" s="972"/>
      <c r="CV341" s="983"/>
      <c r="CW341" s="222"/>
      <c r="CX341" s="697"/>
      <c r="DC341" s="222"/>
      <c r="DJ341" s="889"/>
      <c r="DM341" s="890"/>
      <c r="DN341" s="952"/>
      <c r="DO341" s="75"/>
      <c r="DP341" s="962"/>
      <c r="DQ341" s="983"/>
      <c r="DV341" s="889"/>
    </row>
    <row r="342" spans="1:126" s="74" customFormat="1">
      <c r="A342" s="15"/>
      <c r="B342" s="15"/>
      <c r="C342" s="15"/>
      <c r="D342" s="15"/>
      <c r="E342" s="6"/>
      <c r="F342" s="6"/>
      <c r="G342" s="6"/>
      <c r="K342" s="222"/>
      <c r="V342" s="1430"/>
      <c r="AA342" s="223"/>
      <c r="AC342" s="889"/>
      <c r="AF342" s="890"/>
      <c r="AJ342" s="889"/>
      <c r="AN342" s="222"/>
      <c r="BC342" s="223"/>
      <c r="BD342" s="222"/>
      <c r="BH342" s="611"/>
      <c r="BJ342" s="15"/>
      <c r="BK342" s="15"/>
      <c r="BO342" s="223"/>
      <c r="BQ342" s="889"/>
      <c r="BT342" s="890"/>
      <c r="BX342" s="889"/>
      <c r="CB342" s="15"/>
      <c r="CC342" s="697"/>
      <c r="CD342" s="1086"/>
      <c r="CE342" s="15"/>
      <c r="CF342" s="15"/>
      <c r="CG342" s="936"/>
      <c r="CH342" s="15"/>
      <c r="CI342" s="15"/>
      <c r="CJ342" s="15"/>
      <c r="CK342" s="1107"/>
      <c r="CL342" s="22"/>
      <c r="CM342" s="22"/>
      <c r="CN342" s="1107"/>
      <c r="CR342" s="223"/>
      <c r="CS342" s="952"/>
      <c r="CT342" s="1066"/>
      <c r="CU342" s="972"/>
      <c r="CV342" s="983"/>
      <c r="CW342" s="222"/>
      <c r="CX342" s="697"/>
      <c r="DC342" s="222"/>
      <c r="DJ342" s="889"/>
      <c r="DM342" s="890"/>
      <c r="DN342" s="952"/>
      <c r="DO342" s="75"/>
      <c r="DP342" s="962"/>
      <c r="DQ342" s="983"/>
      <c r="DV342" s="889"/>
    </row>
    <row r="343" spans="1:126" s="74" customFormat="1">
      <c r="A343" s="15"/>
      <c r="B343" s="15"/>
      <c r="C343" s="15"/>
      <c r="D343" s="15"/>
      <c r="E343" s="6"/>
      <c r="F343" s="6"/>
      <c r="G343" s="6"/>
      <c r="K343" s="222"/>
      <c r="V343" s="1430"/>
      <c r="AA343" s="223"/>
      <c r="AC343" s="889"/>
      <c r="AF343" s="890"/>
      <c r="AJ343" s="889"/>
      <c r="AN343" s="222"/>
      <c r="BC343" s="223"/>
      <c r="BD343" s="222"/>
      <c r="BH343" s="611"/>
      <c r="BJ343" s="15"/>
      <c r="BK343" s="15"/>
      <c r="BO343" s="223"/>
      <c r="BQ343" s="889"/>
      <c r="BT343" s="890"/>
      <c r="BX343" s="889"/>
      <c r="CB343" s="15"/>
      <c r="CC343" s="697"/>
      <c r="CD343" s="1086"/>
      <c r="CE343" s="15"/>
      <c r="CF343" s="15"/>
      <c r="CG343" s="936"/>
      <c r="CH343" s="15"/>
      <c r="CI343" s="15"/>
      <c r="CJ343" s="15"/>
      <c r="CK343" s="1107"/>
      <c r="CL343" s="22"/>
      <c r="CM343" s="22"/>
      <c r="CN343" s="1107"/>
      <c r="CR343" s="223"/>
      <c r="CS343" s="952"/>
      <c r="CT343" s="1066"/>
      <c r="CU343" s="972"/>
      <c r="CV343" s="983"/>
      <c r="CW343" s="222"/>
      <c r="CX343" s="697"/>
      <c r="DC343" s="222"/>
      <c r="DJ343" s="889"/>
      <c r="DM343" s="890"/>
      <c r="DN343" s="952"/>
      <c r="DO343" s="75"/>
      <c r="DP343" s="962"/>
      <c r="DQ343" s="983"/>
      <c r="DV343" s="889"/>
    </row>
    <row r="344" spans="1:126" s="74" customFormat="1">
      <c r="A344" s="15"/>
      <c r="B344" s="15"/>
      <c r="C344" s="15"/>
      <c r="D344" s="15"/>
      <c r="E344" s="6"/>
      <c r="F344" s="6"/>
      <c r="G344" s="6"/>
      <c r="K344" s="222"/>
      <c r="V344" s="1430"/>
      <c r="AA344" s="223"/>
      <c r="AC344" s="889"/>
      <c r="AF344" s="890"/>
      <c r="AJ344" s="889"/>
      <c r="AN344" s="222"/>
      <c r="BC344" s="223"/>
      <c r="BD344" s="222"/>
      <c r="BH344" s="611"/>
      <c r="BJ344" s="15"/>
      <c r="BK344" s="15"/>
      <c r="BO344" s="223"/>
      <c r="BQ344" s="889"/>
      <c r="BT344" s="890"/>
      <c r="BX344" s="889"/>
      <c r="CB344" s="15"/>
      <c r="CC344" s="697"/>
      <c r="CD344" s="1086"/>
      <c r="CE344" s="15"/>
      <c r="CF344" s="15"/>
      <c r="CG344" s="936"/>
      <c r="CH344" s="15"/>
      <c r="CI344" s="15"/>
      <c r="CJ344" s="15"/>
      <c r="CK344" s="1107"/>
      <c r="CL344" s="22"/>
      <c r="CM344" s="22"/>
      <c r="CN344" s="1107"/>
      <c r="CR344" s="223"/>
      <c r="CS344" s="952"/>
      <c r="CT344" s="1066"/>
      <c r="CU344" s="972"/>
      <c r="CV344" s="983"/>
      <c r="CW344" s="222"/>
      <c r="CX344" s="697"/>
      <c r="DC344" s="222"/>
      <c r="DJ344" s="889"/>
      <c r="DM344" s="890"/>
      <c r="DN344" s="952"/>
      <c r="DO344" s="75"/>
      <c r="DP344" s="962"/>
      <c r="DQ344" s="983"/>
      <c r="DV344" s="889"/>
    </row>
    <row r="345" spans="1:126" s="74" customFormat="1">
      <c r="A345" s="15"/>
      <c r="B345" s="15"/>
      <c r="C345" s="15"/>
      <c r="D345" s="15"/>
      <c r="E345" s="6"/>
      <c r="F345" s="6"/>
      <c r="G345" s="6"/>
      <c r="K345" s="222"/>
      <c r="V345" s="1430"/>
      <c r="AA345" s="223"/>
      <c r="AC345" s="889"/>
      <c r="AF345" s="890"/>
      <c r="AJ345" s="889"/>
      <c r="AN345" s="222"/>
      <c r="BC345" s="223"/>
      <c r="BD345" s="222"/>
      <c r="BH345" s="611"/>
      <c r="BJ345" s="15"/>
      <c r="BK345" s="15"/>
      <c r="BO345" s="223"/>
      <c r="BQ345" s="889"/>
      <c r="BT345" s="890"/>
      <c r="BX345" s="889"/>
      <c r="CB345" s="15"/>
      <c r="CC345" s="697"/>
      <c r="CD345" s="1086"/>
      <c r="CE345" s="15"/>
      <c r="CF345" s="15"/>
      <c r="CG345" s="936"/>
      <c r="CH345" s="15"/>
      <c r="CI345" s="15"/>
      <c r="CJ345" s="15"/>
      <c r="CK345" s="1107"/>
      <c r="CL345" s="22"/>
      <c r="CM345" s="22"/>
      <c r="CN345" s="1107"/>
      <c r="CR345" s="223"/>
      <c r="CS345" s="952"/>
      <c r="CT345" s="1066"/>
      <c r="CU345" s="972"/>
      <c r="CV345" s="983"/>
      <c r="CW345" s="222"/>
      <c r="CX345" s="697"/>
      <c r="DC345" s="222"/>
      <c r="DJ345" s="889"/>
      <c r="DM345" s="890"/>
      <c r="DN345" s="952"/>
      <c r="DO345" s="75"/>
      <c r="DP345" s="962"/>
      <c r="DQ345" s="983"/>
      <c r="DV345" s="889"/>
    </row>
    <row r="346" spans="1:126" s="74" customFormat="1">
      <c r="A346" s="15"/>
      <c r="B346" s="15"/>
      <c r="C346" s="15"/>
      <c r="D346" s="15"/>
      <c r="E346" s="6"/>
      <c r="F346" s="6"/>
      <c r="G346" s="6"/>
      <c r="K346" s="222"/>
      <c r="V346" s="1430"/>
      <c r="AA346" s="223"/>
      <c r="AC346" s="889"/>
      <c r="AF346" s="890"/>
      <c r="AJ346" s="889"/>
      <c r="AN346" s="222"/>
      <c r="BC346" s="223"/>
      <c r="BD346" s="222"/>
      <c r="BH346" s="611"/>
      <c r="BJ346" s="15"/>
      <c r="BK346" s="15"/>
      <c r="BO346" s="223"/>
      <c r="BQ346" s="889"/>
      <c r="BT346" s="890"/>
      <c r="BX346" s="889"/>
      <c r="CB346" s="15"/>
      <c r="CC346" s="697"/>
      <c r="CD346" s="1086"/>
      <c r="CE346" s="15"/>
      <c r="CF346" s="15"/>
      <c r="CG346" s="936"/>
      <c r="CH346" s="15"/>
      <c r="CI346" s="15"/>
      <c r="CJ346" s="15"/>
      <c r="CK346" s="1107"/>
      <c r="CL346" s="22"/>
      <c r="CM346" s="22"/>
      <c r="CN346" s="1107"/>
      <c r="CR346" s="223"/>
      <c r="CS346" s="952"/>
      <c r="CT346" s="1066"/>
      <c r="CU346" s="972"/>
      <c r="CV346" s="983"/>
      <c r="CW346" s="222"/>
      <c r="CX346" s="697"/>
      <c r="DC346" s="222"/>
      <c r="DJ346" s="889"/>
      <c r="DM346" s="890"/>
      <c r="DN346" s="952"/>
      <c r="DO346" s="75"/>
      <c r="DP346" s="962"/>
      <c r="DQ346" s="983"/>
      <c r="DV346" s="889"/>
    </row>
    <row r="347" spans="1:126" s="74" customFormat="1">
      <c r="A347" s="15"/>
      <c r="B347" s="15"/>
      <c r="C347" s="15"/>
      <c r="D347" s="15"/>
      <c r="E347" s="6"/>
      <c r="F347" s="6"/>
      <c r="G347" s="6"/>
      <c r="K347" s="222"/>
      <c r="V347" s="1430"/>
      <c r="AA347" s="223"/>
      <c r="AC347" s="889"/>
      <c r="AF347" s="890"/>
      <c r="AJ347" s="889"/>
      <c r="AN347" s="222"/>
      <c r="BC347" s="223"/>
      <c r="BD347" s="222"/>
      <c r="BH347" s="611"/>
      <c r="BJ347" s="15"/>
      <c r="BK347" s="15"/>
      <c r="BO347" s="223"/>
      <c r="BQ347" s="889"/>
      <c r="BT347" s="890"/>
      <c r="BX347" s="889"/>
      <c r="CB347" s="15"/>
      <c r="CC347" s="697"/>
      <c r="CD347" s="1086"/>
      <c r="CE347" s="15"/>
      <c r="CF347" s="15"/>
      <c r="CG347" s="936"/>
      <c r="CH347" s="15"/>
      <c r="CI347" s="15"/>
      <c r="CJ347" s="15"/>
      <c r="CK347" s="1107"/>
      <c r="CL347" s="22"/>
      <c r="CM347" s="22"/>
      <c r="CN347" s="1107"/>
      <c r="CR347" s="223"/>
      <c r="CS347" s="952"/>
      <c r="CT347" s="1066"/>
      <c r="CU347" s="972"/>
      <c r="CV347" s="983"/>
      <c r="CW347" s="222"/>
      <c r="CX347" s="697"/>
      <c r="DC347" s="222"/>
      <c r="DJ347" s="889"/>
      <c r="DM347" s="890"/>
      <c r="DN347" s="952"/>
      <c r="DO347" s="75"/>
      <c r="DP347" s="962"/>
      <c r="DQ347" s="983"/>
      <c r="DV347" s="889"/>
    </row>
    <row r="348" spans="1:126" s="74" customFormat="1">
      <c r="A348" s="15"/>
      <c r="B348" s="15"/>
      <c r="C348" s="15"/>
      <c r="D348" s="15"/>
      <c r="E348" s="6"/>
      <c r="F348" s="6"/>
      <c r="G348" s="6"/>
      <c r="K348" s="222"/>
      <c r="V348" s="1430"/>
      <c r="AA348" s="223"/>
      <c r="AC348" s="889"/>
      <c r="AF348" s="890"/>
      <c r="AJ348" s="889"/>
      <c r="AN348" s="222"/>
      <c r="BC348" s="223"/>
      <c r="BD348" s="222"/>
      <c r="BH348" s="611"/>
      <c r="BJ348" s="15"/>
      <c r="BK348" s="15"/>
      <c r="BO348" s="223"/>
      <c r="BQ348" s="889"/>
      <c r="BT348" s="890"/>
      <c r="BX348" s="889"/>
      <c r="CB348" s="15"/>
      <c r="CC348" s="697"/>
      <c r="CD348" s="1086"/>
      <c r="CE348" s="15"/>
      <c r="CF348" s="15"/>
      <c r="CG348" s="936"/>
      <c r="CH348" s="15"/>
      <c r="CI348" s="15"/>
      <c r="CJ348" s="15"/>
      <c r="CK348" s="1107"/>
      <c r="CL348" s="22"/>
      <c r="CM348" s="22"/>
      <c r="CN348" s="1107"/>
      <c r="CR348" s="223"/>
      <c r="CS348" s="952"/>
      <c r="CT348" s="1066"/>
      <c r="CU348" s="972"/>
      <c r="CV348" s="983"/>
      <c r="CW348" s="222"/>
      <c r="CX348" s="697"/>
      <c r="DC348" s="222"/>
      <c r="DJ348" s="889"/>
      <c r="DM348" s="890"/>
      <c r="DN348" s="952"/>
      <c r="DO348" s="75"/>
      <c r="DP348" s="962"/>
      <c r="DQ348" s="983"/>
      <c r="DV348" s="889"/>
    </row>
    <row r="349" spans="1:126" s="74" customFormat="1">
      <c r="A349" s="15"/>
      <c r="B349" s="15"/>
      <c r="C349" s="15"/>
      <c r="D349" s="15"/>
      <c r="E349" s="6"/>
      <c r="F349" s="6"/>
      <c r="G349" s="6"/>
      <c r="K349" s="222"/>
      <c r="V349" s="1430"/>
      <c r="AA349" s="223"/>
      <c r="AC349" s="889"/>
      <c r="AF349" s="890"/>
      <c r="AJ349" s="889"/>
      <c r="AN349" s="222"/>
      <c r="BC349" s="223"/>
      <c r="BD349" s="222"/>
      <c r="BH349" s="611"/>
      <c r="BJ349" s="15"/>
      <c r="BK349" s="15"/>
      <c r="BO349" s="223"/>
      <c r="BQ349" s="889"/>
      <c r="BT349" s="890"/>
      <c r="BX349" s="889"/>
      <c r="CB349" s="15"/>
      <c r="CC349" s="697"/>
      <c r="CD349" s="1086"/>
      <c r="CE349" s="15"/>
      <c r="CF349" s="15"/>
      <c r="CG349" s="936"/>
      <c r="CH349" s="15"/>
      <c r="CI349" s="15"/>
      <c r="CJ349" s="15"/>
      <c r="CK349" s="1107"/>
      <c r="CL349" s="22"/>
      <c r="CM349" s="22"/>
      <c r="CN349" s="1107"/>
      <c r="CR349" s="223"/>
      <c r="CS349" s="952"/>
      <c r="CT349" s="1066"/>
      <c r="CU349" s="972"/>
      <c r="CV349" s="983"/>
      <c r="CW349" s="222"/>
      <c r="CX349" s="697"/>
      <c r="DC349" s="222"/>
      <c r="DJ349" s="889"/>
      <c r="DM349" s="890"/>
      <c r="DN349" s="952"/>
      <c r="DO349" s="75"/>
      <c r="DP349" s="962"/>
      <c r="DQ349" s="983"/>
      <c r="DV349" s="889"/>
    </row>
    <row r="350" spans="1:126" s="74" customFormat="1">
      <c r="A350" s="15"/>
      <c r="B350" s="15"/>
      <c r="C350" s="15"/>
      <c r="D350" s="15"/>
      <c r="E350" s="6"/>
      <c r="F350" s="6"/>
      <c r="G350" s="6"/>
      <c r="K350" s="222"/>
      <c r="V350" s="1430"/>
      <c r="AA350" s="223"/>
      <c r="AC350" s="889"/>
      <c r="AF350" s="890"/>
      <c r="AJ350" s="889"/>
      <c r="AN350" s="222"/>
      <c r="BC350" s="223"/>
      <c r="BD350" s="222"/>
      <c r="BH350" s="611"/>
      <c r="BJ350" s="15"/>
      <c r="BK350" s="15"/>
      <c r="BO350" s="223"/>
      <c r="BQ350" s="889"/>
      <c r="BT350" s="890"/>
      <c r="BX350" s="889"/>
      <c r="CB350" s="15"/>
      <c r="CC350" s="697"/>
      <c r="CD350" s="1086"/>
      <c r="CE350" s="15"/>
      <c r="CF350" s="15"/>
      <c r="CG350" s="936"/>
      <c r="CH350" s="15"/>
      <c r="CI350" s="15"/>
      <c r="CJ350" s="15"/>
      <c r="CK350" s="1107"/>
      <c r="CL350" s="22"/>
      <c r="CM350" s="22"/>
      <c r="CN350" s="1107"/>
      <c r="CR350" s="223"/>
      <c r="CS350" s="952"/>
      <c r="CT350" s="1066"/>
      <c r="CU350" s="972"/>
      <c r="CV350" s="983"/>
      <c r="CW350" s="222"/>
      <c r="CX350" s="697"/>
      <c r="DC350" s="222"/>
      <c r="DJ350" s="889"/>
      <c r="DM350" s="890"/>
      <c r="DN350" s="952"/>
      <c r="DO350" s="75"/>
      <c r="DP350" s="962"/>
      <c r="DQ350" s="983"/>
      <c r="DV350" s="889"/>
    </row>
    <row r="351" spans="1:126" s="74" customFormat="1">
      <c r="A351" s="15"/>
      <c r="B351" s="15"/>
      <c r="C351" s="15"/>
      <c r="D351" s="15"/>
      <c r="E351" s="6"/>
      <c r="F351" s="6"/>
      <c r="G351" s="6"/>
      <c r="K351" s="222"/>
      <c r="V351" s="1430"/>
      <c r="AA351" s="223"/>
      <c r="AC351" s="889"/>
      <c r="AF351" s="890"/>
      <c r="AJ351" s="889"/>
      <c r="AN351" s="222"/>
      <c r="BC351" s="223"/>
      <c r="BD351" s="222"/>
      <c r="BH351" s="611"/>
      <c r="BJ351" s="15"/>
      <c r="BK351" s="15"/>
      <c r="BO351" s="223"/>
      <c r="BQ351" s="889"/>
      <c r="BT351" s="890"/>
      <c r="BX351" s="889"/>
      <c r="CB351" s="15"/>
      <c r="CC351" s="697"/>
      <c r="CD351" s="1086"/>
      <c r="CE351" s="15"/>
      <c r="CF351" s="15"/>
      <c r="CG351" s="936"/>
      <c r="CH351" s="15"/>
      <c r="CI351" s="15"/>
      <c r="CJ351" s="15"/>
      <c r="CK351" s="1107"/>
      <c r="CL351" s="22"/>
      <c r="CM351" s="22"/>
      <c r="CN351" s="1107"/>
      <c r="CR351" s="223"/>
      <c r="CS351" s="952"/>
      <c r="CT351" s="1066"/>
      <c r="CU351" s="972"/>
      <c r="CV351" s="983"/>
      <c r="CW351" s="222"/>
      <c r="CX351" s="697"/>
      <c r="DC351" s="222"/>
      <c r="DJ351" s="889"/>
      <c r="DM351" s="890"/>
      <c r="DN351" s="952"/>
      <c r="DO351" s="75"/>
      <c r="DP351" s="962"/>
      <c r="DQ351" s="983"/>
      <c r="DV351" s="889"/>
    </row>
    <row r="352" spans="1:126" s="74" customFormat="1">
      <c r="A352" s="15"/>
      <c r="B352" s="15"/>
      <c r="C352" s="15"/>
      <c r="D352" s="15"/>
      <c r="E352" s="6"/>
      <c r="F352" s="6"/>
      <c r="G352" s="6"/>
      <c r="K352" s="222"/>
      <c r="V352" s="1430"/>
      <c r="AA352" s="223"/>
      <c r="AC352" s="889"/>
      <c r="AF352" s="890"/>
      <c r="AJ352" s="889"/>
      <c r="AN352" s="222"/>
      <c r="BC352" s="223"/>
      <c r="BD352" s="222"/>
      <c r="BH352" s="611"/>
      <c r="BJ352" s="15"/>
      <c r="BK352" s="15"/>
      <c r="BO352" s="223"/>
      <c r="BQ352" s="889"/>
      <c r="BT352" s="890"/>
      <c r="BX352" s="889"/>
      <c r="CB352" s="15"/>
      <c r="CC352" s="697"/>
      <c r="CD352" s="1086"/>
      <c r="CE352" s="15"/>
      <c r="CF352" s="15"/>
      <c r="CG352" s="936"/>
      <c r="CH352" s="15"/>
      <c r="CI352" s="15"/>
      <c r="CJ352" s="15"/>
      <c r="CK352" s="1107"/>
      <c r="CL352" s="22"/>
      <c r="CM352" s="22"/>
      <c r="CN352" s="1107"/>
      <c r="CR352" s="223"/>
      <c r="CS352" s="952"/>
      <c r="CT352" s="1066"/>
      <c r="CU352" s="972"/>
      <c r="CV352" s="983"/>
      <c r="CW352" s="222"/>
      <c r="CX352" s="697"/>
      <c r="DC352" s="222"/>
      <c r="DJ352" s="889"/>
      <c r="DM352" s="890"/>
      <c r="DN352" s="952"/>
      <c r="DO352" s="75"/>
      <c r="DP352" s="962"/>
      <c r="DQ352" s="983"/>
      <c r="DV352" s="889"/>
    </row>
    <row r="353" spans="1:126" s="74" customFormat="1">
      <c r="A353" s="15"/>
      <c r="B353" s="15"/>
      <c r="C353" s="15"/>
      <c r="D353" s="15"/>
      <c r="E353" s="6"/>
      <c r="F353" s="6"/>
      <c r="G353" s="6"/>
      <c r="K353" s="222"/>
      <c r="V353" s="1430"/>
      <c r="AA353" s="223"/>
      <c r="AC353" s="889"/>
      <c r="AF353" s="890"/>
      <c r="AJ353" s="889"/>
      <c r="AN353" s="222"/>
      <c r="BC353" s="223"/>
      <c r="BD353" s="222"/>
      <c r="BH353" s="611"/>
      <c r="BJ353" s="15"/>
      <c r="BK353" s="15"/>
      <c r="BO353" s="223"/>
      <c r="BQ353" s="889"/>
      <c r="BT353" s="890"/>
      <c r="BX353" s="889"/>
      <c r="CB353" s="15"/>
      <c r="CC353" s="697"/>
      <c r="CD353" s="1086"/>
      <c r="CE353" s="15"/>
      <c r="CF353" s="15"/>
      <c r="CG353" s="936"/>
      <c r="CH353" s="15"/>
      <c r="CI353" s="15"/>
      <c r="CJ353" s="15"/>
      <c r="CK353" s="1107"/>
      <c r="CL353" s="22"/>
      <c r="CM353" s="22"/>
      <c r="CN353" s="1107"/>
      <c r="CR353" s="223"/>
      <c r="CS353" s="952"/>
      <c r="CT353" s="1066"/>
      <c r="CU353" s="972"/>
      <c r="CV353" s="983"/>
      <c r="CW353" s="222"/>
      <c r="CX353" s="697"/>
      <c r="DC353" s="222"/>
      <c r="DJ353" s="889"/>
      <c r="DM353" s="890"/>
      <c r="DN353" s="952"/>
      <c r="DO353" s="75"/>
      <c r="DP353" s="962"/>
      <c r="DQ353" s="983"/>
      <c r="DV353" s="889"/>
    </row>
    <row r="354" spans="1:126" s="74" customFormat="1">
      <c r="A354" s="15"/>
      <c r="B354" s="15"/>
      <c r="C354" s="15"/>
      <c r="D354" s="15"/>
      <c r="E354" s="6"/>
      <c r="F354" s="6"/>
      <c r="G354" s="6"/>
      <c r="K354" s="222"/>
      <c r="V354" s="1430"/>
      <c r="AA354" s="223"/>
      <c r="AC354" s="889"/>
      <c r="AF354" s="890"/>
      <c r="AJ354" s="889"/>
      <c r="AN354" s="222"/>
      <c r="BC354" s="223"/>
      <c r="BD354" s="222"/>
      <c r="BH354" s="611"/>
      <c r="BJ354" s="15"/>
      <c r="BK354" s="15"/>
      <c r="BO354" s="223"/>
      <c r="BQ354" s="889"/>
      <c r="BT354" s="890"/>
      <c r="BX354" s="889"/>
      <c r="CB354" s="15"/>
      <c r="CC354" s="697"/>
      <c r="CD354" s="1086"/>
      <c r="CE354" s="15"/>
      <c r="CF354" s="15"/>
      <c r="CG354" s="936"/>
      <c r="CH354" s="15"/>
      <c r="CI354" s="15"/>
      <c r="CJ354" s="15"/>
      <c r="CK354" s="1107"/>
      <c r="CL354" s="22"/>
      <c r="CM354" s="22"/>
      <c r="CN354" s="1107"/>
      <c r="CR354" s="223"/>
      <c r="CS354" s="952"/>
      <c r="CT354" s="1066"/>
      <c r="CU354" s="972"/>
      <c r="CV354" s="983"/>
      <c r="CW354" s="222"/>
      <c r="CX354" s="697"/>
      <c r="DC354" s="222"/>
      <c r="DJ354" s="889"/>
      <c r="DM354" s="890"/>
      <c r="DN354" s="952"/>
      <c r="DO354" s="75"/>
      <c r="DP354" s="962"/>
      <c r="DQ354" s="983"/>
      <c r="DV354" s="889"/>
    </row>
    <row r="355" spans="1:126" s="74" customFormat="1">
      <c r="A355" s="15"/>
      <c r="B355" s="15"/>
      <c r="C355" s="15"/>
      <c r="D355" s="15"/>
      <c r="E355" s="6"/>
      <c r="F355" s="6"/>
      <c r="G355" s="6"/>
      <c r="K355" s="222"/>
      <c r="V355" s="1430"/>
      <c r="AA355" s="223"/>
      <c r="AC355" s="889"/>
      <c r="AF355" s="890"/>
      <c r="AJ355" s="889"/>
      <c r="AN355" s="222"/>
      <c r="BC355" s="223"/>
      <c r="BD355" s="222"/>
      <c r="BH355" s="611"/>
      <c r="BJ355" s="15"/>
      <c r="BK355" s="15"/>
      <c r="BO355" s="223"/>
      <c r="BQ355" s="889"/>
      <c r="BT355" s="890"/>
      <c r="BX355" s="889"/>
      <c r="CB355" s="15"/>
      <c r="CC355" s="697"/>
      <c r="CD355" s="1086"/>
      <c r="CE355" s="15"/>
      <c r="CF355" s="15"/>
      <c r="CG355" s="936"/>
      <c r="CH355" s="15"/>
      <c r="CI355" s="15"/>
      <c r="CJ355" s="15"/>
      <c r="CK355" s="1107"/>
      <c r="CL355" s="22"/>
      <c r="CM355" s="22"/>
      <c r="CN355" s="1107"/>
      <c r="CR355" s="223"/>
      <c r="CS355" s="952"/>
      <c r="CT355" s="1066"/>
      <c r="CU355" s="972"/>
      <c r="CV355" s="983"/>
      <c r="CW355" s="222"/>
      <c r="CX355" s="697"/>
      <c r="DC355" s="222"/>
      <c r="DJ355" s="889"/>
      <c r="DM355" s="890"/>
      <c r="DN355" s="952"/>
      <c r="DO355" s="75"/>
      <c r="DP355" s="962"/>
      <c r="DQ355" s="983"/>
      <c r="DV355" s="889"/>
    </row>
    <row r="356" spans="1:126" s="74" customFormat="1">
      <c r="A356" s="15"/>
      <c r="B356" s="15"/>
      <c r="C356" s="15"/>
      <c r="D356" s="15"/>
      <c r="E356" s="6"/>
      <c r="F356" s="6"/>
      <c r="G356" s="6"/>
      <c r="K356" s="222"/>
      <c r="V356" s="1430"/>
      <c r="AA356" s="223"/>
      <c r="AC356" s="889"/>
      <c r="AF356" s="890"/>
      <c r="AJ356" s="889"/>
      <c r="AN356" s="222"/>
      <c r="BC356" s="223"/>
      <c r="BD356" s="222"/>
      <c r="BH356" s="611"/>
      <c r="BJ356" s="15"/>
      <c r="BK356" s="15"/>
      <c r="BO356" s="223"/>
      <c r="BQ356" s="889"/>
      <c r="BT356" s="890"/>
      <c r="BX356" s="889"/>
      <c r="CB356" s="15"/>
      <c r="CC356" s="697"/>
      <c r="CD356" s="1086"/>
      <c r="CE356" s="15"/>
      <c r="CF356" s="15"/>
      <c r="CG356" s="936"/>
      <c r="CH356" s="15"/>
      <c r="CI356" s="15"/>
      <c r="CJ356" s="15"/>
      <c r="CK356" s="1107"/>
      <c r="CL356" s="22"/>
      <c r="CM356" s="22"/>
      <c r="CN356" s="1107"/>
      <c r="CR356" s="223"/>
      <c r="CS356" s="952"/>
      <c r="CT356" s="1066"/>
      <c r="CU356" s="972"/>
      <c r="CV356" s="983"/>
      <c r="CW356" s="222"/>
      <c r="CX356" s="697"/>
      <c r="DC356" s="222"/>
      <c r="DJ356" s="889"/>
      <c r="DM356" s="890"/>
      <c r="DN356" s="952"/>
      <c r="DO356" s="75"/>
      <c r="DP356" s="962"/>
      <c r="DQ356" s="983"/>
      <c r="DV356" s="889"/>
    </row>
    <row r="357" spans="1:126" s="74" customFormat="1">
      <c r="A357" s="15"/>
      <c r="B357" s="15"/>
      <c r="C357" s="15"/>
      <c r="D357" s="15"/>
      <c r="E357" s="6"/>
      <c r="F357" s="6"/>
      <c r="G357" s="6"/>
      <c r="K357" s="222"/>
      <c r="V357" s="1430"/>
      <c r="AA357" s="223"/>
      <c r="AC357" s="889"/>
      <c r="AF357" s="890"/>
      <c r="AJ357" s="889"/>
      <c r="AN357" s="222"/>
      <c r="BC357" s="223"/>
      <c r="BD357" s="222"/>
      <c r="BH357" s="611"/>
      <c r="BJ357" s="15"/>
      <c r="BK357" s="15"/>
      <c r="BO357" s="223"/>
      <c r="BQ357" s="889"/>
      <c r="BT357" s="890"/>
      <c r="BX357" s="889"/>
      <c r="CB357" s="15"/>
      <c r="CC357" s="697"/>
      <c r="CD357" s="1086"/>
      <c r="CE357" s="15"/>
      <c r="CF357" s="15"/>
      <c r="CG357" s="936"/>
      <c r="CH357" s="15"/>
      <c r="CI357" s="15"/>
      <c r="CJ357" s="15"/>
      <c r="CK357" s="1107"/>
      <c r="CL357" s="22"/>
      <c r="CM357" s="22"/>
      <c r="CN357" s="1107"/>
      <c r="CR357" s="223"/>
      <c r="CS357" s="952"/>
      <c r="CT357" s="1066"/>
      <c r="CU357" s="972"/>
      <c r="CV357" s="983"/>
      <c r="CW357" s="222"/>
      <c r="CX357" s="697"/>
      <c r="DC357" s="222"/>
      <c r="DJ357" s="889"/>
      <c r="DM357" s="890"/>
      <c r="DN357" s="952"/>
      <c r="DO357" s="75"/>
      <c r="DP357" s="962"/>
      <c r="DQ357" s="983"/>
      <c r="DV357" s="889"/>
    </row>
    <row r="358" spans="1:126" s="74" customFormat="1">
      <c r="A358" s="15"/>
      <c r="B358" s="15"/>
      <c r="C358" s="15"/>
      <c r="D358" s="15"/>
      <c r="E358" s="6"/>
      <c r="F358" s="6"/>
      <c r="G358" s="6"/>
      <c r="K358" s="222"/>
      <c r="V358" s="1430"/>
      <c r="AA358" s="223"/>
      <c r="AC358" s="889"/>
      <c r="AF358" s="890"/>
      <c r="AJ358" s="889"/>
      <c r="AN358" s="222"/>
      <c r="BC358" s="223"/>
      <c r="BD358" s="222"/>
      <c r="BH358" s="611"/>
      <c r="BJ358" s="15"/>
      <c r="BK358" s="15"/>
      <c r="BO358" s="223"/>
      <c r="BQ358" s="889"/>
      <c r="BT358" s="890"/>
      <c r="BX358" s="889"/>
      <c r="CB358" s="15"/>
      <c r="CC358" s="697"/>
      <c r="CD358" s="1086"/>
      <c r="CE358" s="15"/>
      <c r="CF358" s="15"/>
      <c r="CG358" s="936"/>
      <c r="CH358" s="15"/>
      <c r="CI358" s="15"/>
      <c r="CJ358" s="15"/>
      <c r="CK358" s="1107"/>
      <c r="CL358" s="22"/>
      <c r="CM358" s="22"/>
      <c r="CN358" s="1107"/>
      <c r="CR358" s="223"/>
      <c r="CS358" s="952"/>
      <c r="CT358" s="1066"/>
      <c r="CU358" s="972"/>
      <c r="CV358" s="983"/>
      <c r="CW358" s="222"/>
      <c r="CX358" s="697"/>
      <c r="DC358" s="222"/>
      <c r="DJ358" s="889"/>
      <c r="DM358" s="890"/>
      <c r="DN358" s="952"/>
      <c r="DO358" s="75"/>
      <c r="DP358" s="962"/>
      <c r="DQ358" s="983"/>
      <c r="DV358" s="889"/>
    </row>
    <row r="359" spans="1:126" s="74" customFormat="1">
      <c r="A359" s="15"/>
      <c r="B359" s="15"/>
      <c r="C359" s="15"/>
      <c r="D359" s="15"/>
      <c r="E359" s="6"/>
      <c r="F359" s="6"/>
      <c r="G359" s="6"/>
      <c r="K359" s="222"/>
      <c r="V359" s="1430"/>
      <c r="AA359" s="223"/>
      <c r="AC359" s="889"/>
      <c r="AF359" s="890"/>
      <c r="AJ359" s="889"/>
      <c r="AN359" s="222"/>
      <c r="BC359" s="223"/>
      <c r="BD359" s="222"/>
      <c r="BH359" s="611"/>
      <c r="BJ359" s="15"/>
      <c r="BK359" s="15"/>
      <c r="BO359" s="223"/>
      <c r="BQ359" s="889"/>
      <c r="BT359" s="890"/>
      <c r="BX359" s="889"/>
      <c r="CB359" s="15"/>
      <c r="CC359" s="697"/>
      <c r="CD359" s="1086"/>
      <c r="CE359" s="15"/>
      <c r="CF359" s="15"/>
      <c r="CG359" s="936"/>
      <c r="CH359" s="15"/>
      <c r="CI359" s="15"/>
      <c r="CJ359" s="15"/>
      <c r="CK359" s="1107"/>
      <c r="CL359" s="22"/>
      <c r="CM359" s="22"/>
      <c r="CN359" s="1107"/>
      <c r="CR359" s="223"/>
      <c r="CS359" s="952"/>
      <c r="CT359" s="1066"/>
      <c r="CU359" s="972"/>
      <c r="CV359" s="983"/>
      <c r="CW359" s="222"/>
      <c r="CX359" s="697"/>
      <c r="DC359" s="222"/>
      <c r="DJ359" s="889"/>
      <c r="DM359" s="890"/>
      <c r="DN359" s="952"/>
      <c r="DO359" s="75"/>
      <c r="DP359" s="962"/>
      <c r="DQ359" s="983"/>
      <c r="DV359" s="889"/>
    </row>
    <row r="360" spans="1:126" s="74" customFormat="1">
      <c r="A360" s="15"/>
      <c r="B360" s="15"/>
      <c r="C360" s="15"/>
      <c r="D360" s="15"/>
      <c r="E360" s="6"/>
      <c r="F360" s="6"/>
      <c r="G360" s="6"/>
      <c r="K360" s="222"/>
      <c r="V360" s="1430"/>
      <c r="AA360" s="223"/>
      <c r="AC360" s="889"/>
      <c r="AF360" s="890"/>
      <c r="AJ360" s="889"/>
      <c r="AN360" s="222"/>
      <c r="BC360" s="223"/>
      <c r="BD360" s="222"/>
      <c r="BH360" s="611"/>
      <c r="BJ360" s="15"/>
      <c r="BK360" s="15"/>
      <c r="BO360" s="223"/>
      <c r="BQ360" s="889"/>
      <c r="BT360" s="890"/>
      <c r="BX360" s="889"/>
      <c r="CB360" s="15"/>
      <c r="CC360" s="697"/>
      <c r="CD360" s="1086"/>
      <c r="CE360" s="15"/>
      <c r="CF360" s="15"/>
      <c r="CG360" s="936"/>
      <c r="CH360" s="15"/>
      <c r="CI360" s="15"/>
      <c r="CJ360" s="15"/>
      <c r="CK360" s="1107"/>
      <c r="CL360" s="22"/>
      <c r="CM360" s="22"/>
      <c r="CN360" s="1107"/>
      <c r="CR360" s="223"/>
      <c r="CS360" s="952"/>
      <c r="CT360" s="1066"/>
      <c r="CU360" s="972"/>
      <c r="CV360" s="983"/>
      <c r="CW360" s="222"/>
      <c r="CX360" s="697"/>
      <c r="DC360" s="222"/>
      <c r="DJ360" s="889"/>
      <c r="DM360" s="890"/>
      <c r="DN360" s="952"/>
      <c r="DO360" s="75"/>
      <c r="DP360" s="962"/>
      <c r="DQ360" s="983"/>
      <c r="DV360" s="889"/>
    </row>
    <row r="361" spans="1:126" s="74" customFormat="1">
      <c r="A361" s="15"/>
      <c r="B361" s="15"/>
      <c r="C361" s="15"/>
      <c r="D361" s="15"/>
      <c r="E361" s="6"/>
      <c r="F361" s="6"/>
      <c r="G361" s="6"/>
      <c r="K361" s="222"/>
      <c r="V361" s="1430"/>
      <c r="AA361" s="223"/>
      <c r="AC361" s="889"/>
      <c r="AF361" s="890"/>
      <c r="AJ361" s="889"/>
      <c r="AN361" s="222"/>
      <c r="BC361" s="223"/>
      <c r="BD361" s="222"/>
      <c r="BH361" s="611"/>
      <c r="BJ361" s="15"/>
      <c r="BK361" s="15"/>
      <c r="BO361" s="223"/>
      <c r="BQ361" s="889"/>
      <c r="BT361" s="890"/>
      <c r="BX361" s="889"/>
      <c r="CB361" s="15"/>
      <c r="CC361" s="697"/>
      <c r="CD361" s="1086"/>
      <c r="CE361" s="15"/>
      <c r="CF361" s="15"/>
      <c r="CG361" s="936"/>
      <c r="CH361" s="15"/>
      <c r="CI361" s="15"/>
      <c r="CJ361" s="15"/>
      <c r="CK361" s="1107"/>
      <c r="CL361" s="22"/>
      <c r="CM361" s="22"/>
      <c r="CN361" s="1107"/>
      <c r="CR361" s="223"/>
      <c r="CS361" s="952"/>
      <c r="CT361" s="1066"/>
      <c r="CU361" s="972"/>
      <c r="CV361" s="983"/>
      <c r="CW361" s="222"/>
      <c r="CX361" s="697"/>
      <c r="DC361" s="222"/>
      <c r="DJ361" s="889"/>
      <c r="DM361" s="890"/>
      <c r="DN361" s="952"/>
      <c r="DO361" s="75"/>
      <c r="DP361" s="962"/>
      <c r="DQ361" s="983"/>
      <c r="DV361" s="889"/>
    </row>
    <row r="362" spans="1:126" s="74" customFormat="1">
      <c r="A362" s="15"/>
      <c r="B362" s="15"/>
      <c r="C362" s="15"/>
      <c r="D362" s="15"/>
      <c r="E362" s="6"/>
      <c r="F362" s="6"/>
      <c r="G362" s="6"/>
      <c r="K362" s="222"/>
      <c r="V362" s="1430"/>
      <c r="AA362" s="223"/>
      <c r="AC362" s="889"/>
      <c r="AF362" s="890"/>
      <c r="AJ362" s="889"/>
      <c r="AN362" s="222"/>
      <c r="BC362" s="223"/>
      <c r="BD362" s="222"/>
      <c r="BH362" s="611"/>
      <c r="BJ362" s="15"/>
      <c r="BK362" s="15"/>
      <c r="BO362" s="223"/>
      <c r="BQ362" s="889"/>
      <c r="BT362" s="890"/>
      <c r="BX362" s="889"/>
      <c r="CB362" s="15"/>
      <c r="CC362" s="697"/>
      <c r="CD362" s="1086"/>
      <c r="CE362" s="15"/>
      <c r="CF362" s="15"/>
      <c r="CG362" s="936"/>
      <c r="CH362" s="15"/>
      <c r="CI362" s="15"/>
      <c r="CJ362" s="15"/>
      <c r="CK362" s="1107"/>
      <c r="CL362" s="22"/>
      <c r="CM362" s="22"/>
      <c r="CN362" s="1107"/>
      <c r="CR362" s="223"/>
      <c r="CS362" s="952"/>
      <c r="CT362" s="1066"/>
      <c r="CU362" s="972"/>
      <c r="CV362" s="983"/>
      <c r="CW362" s="222"/>
      <c r="CX362" s="697"/>
      <c r="DC362" s="222"/>
      <c r="DJ362" s="889"/>
      <c r="DM362" s="890"/>
      <c r="DN362" s="952"/>
      <c r="DO362" s="75"/>
      <c r="DP362" s="962"/>
      <c r="DQ362" s="983"/>
      <c r="DV362" s="889"/>
    </row>
    <row r="363" spans="1:126" s="74" customFormat="1">
      <c r="A363" s="15"/>
      <c r="B363" s="15"/>
      <c r="C363" s="15"/>
      <c r="D363" s="15"/>
      <c r="E363" s="6"/>
      <c r="F363" s="6"/>
      <c r="G363" s="6"/>
      <c r="K363" s="222"/>
      <c r="V363" s="1430"/>
      <c r="AA363" s="223"/>
      <c r="AC363" s="889"/>
      <c r="AF363" s="890"/>
      <c r="AJ363" s="889"/>
      <c r="AN363" s="222"/>
      <c r="BC363" s="223"/>
      <c r="BD363" s="222"/>
      <c r="BH363" s="611"/>
      <c r="BJ363" s="15"/>
      <c r="BK363" s="15"/>
      <c r="BO363" s="223"/>
      <c r="BQ363" s="889"/>
      <c r="BT363" s="890"/>
      <c r="BX363" s="889"/>
      <c r="CB363" s="15"/>
      <c r="CC363" s="697"/>
      <c r="CD363" s="1086"/>
      <c r="CE363" s="15"/>
      <c r="CF363" s="15"/>
      <c r="CG363" s="936"/>
      <c r="CH363" s="15"/>
      <c r="CI363" s="15"/>
      <c r="CJ363" s="15"/>
      <c r="CK363" s="1107"/>
      <c r="CL363" s="22"/>
      <c r="CM363" s="22"/>
      <c r="CN363" s="1107"/>
      <c r="CR363" s="223"/>
      <c r="CS363" s="952"/>
      <c r="CT363" s="1066"/>
      <c r="CU363" s="972"/>
      <c r="CV363" s="983"/>
      <c r="CW363" s="222"/>
      <c r="CX363" s="697"/>
      <c r="DC363" s="222"/>
      <c r="DJ363" s="889"/>
      <c r="DM363" s="890"/>
      <c r="DN363" s="952"/>
      <c r="DO363" s="75"/>
      <c r="DP363" s="962"/>
      <c r="DQ363" s="983"/>
      <c r="DV363" s="889"/>
    </row>
    <row r="364" spans="1:126" s="74" customFormat="1">
      <c r="A364" s="15"/>
      <c r="B364" s="15"/>
      <c r="C364" s="15"/>
      <c r="D364" s="15"/>
      <c r="E364" s="6"/>
      <c r="F364" s="6"/>
      <c r="G364" s="6"/>
      <c r="K364" s="222"/>
      <c r="V364" s="1430"/>
      <c r="AA364" s="223"/>
      <c r="AC364" s="889"/>
      <c r="AF364" s="890"/>
      <c r="AJ364" s="889"/>
      <c r="AN364" s="222"/>
      <c r="BC364" s="223"/>
      <c r="BD364" s="222"/>
      <c r="BH364" s="611"/>
      <c r="BJ364" s="15"/>
      <c r="BK364" s="15"/>
      <c r="BO364" s="223"/>
      <c r="BQ364" s="889"/>
      <c r="BT364" s="890"/>
      <c r="BX364" s="889"/>
      <c r="CB364" s="15"/>
      <c r="CC364" s="697"/>
      <c r="CD364" s="1086"/>
      <c r="CE364" s="15"/>
      <c r="CF364" s="15"/>
      <c r="CG364" s="936"/>
      <c r="CH364" s="15"/>
      <c r="CI364" s="15"/>
      <c r="CJ364" s="15"/>
      <c r="CK364" s="1107"/>
      <c r="CL364" s="22"/>
      <c r="CM364" s="22"/>
      <c r="CN364" s="1107"/>
      <c r="CR364" s="223"/>
      <c r="CS364" s="952"/>
      <c r="CT364" s="1066"/>
      <c r="CU364" s="972"/>
      <c r="CV364" s="983"/>
      <c r="CW364" s="222"/>
      <c r="CX364" s="697"/>
      <c r="DC364" s="222"/>
      <c r="DJ364" s="889"/>
      <c r="DM364" s="890"/>
      <c r="DN364" s="952"/>
      <c r="DO364" s="75"/>
      <c r="DP364" s="962"/>
      <c r="DQ364" s="983"/>
      <c r="DV364" s="889"/>
    </row>
    <row r="365" spans="1:126" s="74" customFormat="1">
      <c r="A365" s="15"/>
      <c r="B365" s="15"/>
      <c r="C365" s="15"/>
      <c r="D365" s="15"/>
      <c r="E365" s="6"/>
      <c r="F365" s="6"/>
      <c r="G365" s="6"/>
      <c r="K365" s="222"/>
      <c r="V365" s="1430"/>
      <c r="AA365" s="223"/>
      <c r="AC365" s="889"/>
      <c r="AF365" s="890"/>
      <c r="AJ365" s="889"/>
      <c r="AN365" s="222"/>
      <c r="BC365" s="223"/>
      <c r="BD365" s="222"/>
      <c r="BH365" s="611"/>
      <c r="BJ365" s="15"/>
      <c r="BK365" s="15"/>
      <c r="BO365" s="223"/>
      <c r="BQ365" s="889"/>
      <c r="BT365" s="890"/>
      <c r="BX365" s="889"/>
      <c r="CB365" s="15"/>
      <c r="CC365" s="697"/>
      <c r="CD365" s="1086"/>
      <c r="CE365" s="15"/>
      <c r="CF365" s="15"/>
      <c r="CG365" s="936"/>
      <c r="CH365" s="15"/>
      <c r="CI365" s="15"/>
      <c r="CJ365" s="15"/>
      <c r="CK365" s="1107"/>
      <c r="CL365" s="22"/>
      <c r="CM365" s="22"/>
      <c r="CN365" s="1107"/>
      <c r="CR365" s="223"/>
      <c r="CS365" s="952"/>
      <c r="CT365" s="1066"/>
      <c r="CU365" s="972"/>
      <c r="CV365" s="983"/>
      <c r="CW365" s="222"/>
      <c r="CX365" s="697"/>
      <c r="DC365" s="222"/>
      <c r="DJ365" s="889"/>
      <c r="DM365" s="890"/>
      <c r="DN365" s="952"/>
      <c r="DO365" s="75"/>
      <c r="DP365" s="962"/>
      <c r="DQ365" s="983"/>
      <c r="DV365" s="889"/>
    </row>
    <row r="366" spans="1:126" s="74" customFormat="1">
      <c r="A366" s="15"/>
      <c r="B366" s="15"/>
      <c r="C366" s="15"/>
      <c r="D366" s="15"/>
      <c r="E366" s="6"/>
      <c r="F366" s="6"/>
      <c r="G366" s="6"/>
      <c r="K366" s="222"/>
      <c r="V366" s="1430"/>
      <c r="AA366" s="223"/>
      <c r="AC366" s="889"/>
      <c r="AF366" s="890"/>
      <c r="AJ366" s="889"/>
      <c r="AN366" s="222"/>
      <c r="BC366" s="223"/>
      <c r="BD366" s="222"/>
      <c r="BH366" s="611"/>
      <c r="BJ366" s="15"/>
      <c r="BK366" s="15"/>
      <c r="BO366" s="223"/>
      <c r="BQ366" s="889"/>
      <c r="BT366" s="890"/>
      <c r="BX366" s="889"/>
      <c r="CB366" s="15"/>
      <c r="CC366" s="697"/>
      <c r="CD366" s="1086"/>
      <c r="CE366" s="15"/>
      <c r="CF366" s="15"/>
      <c r="CG366" s="936"/>
      <c r="CH366" s="15"/>
      <c r="CI366" s="15"/>
      <c r="CJ366" s="15"/>
      <c r="CK366" s="1107"/>
      <c r="CL366" s="22"/>
      <c r="CM366" s="22"/>
      <c r="CN366" s="1107"/>
      <c r="CR366" s="223"/>
      <c r="CS366" s="952"/>
      <c r="CT366" s="1066"/>
      <c r="CU366" s="972"/>
      <c r="CV366" s="983"/>
      <c r="CW366" s="222"/>
      <c r="CX366" s="697"/>
      <c r="DC366" s="222"/>
      <c r="DJ366" s="889"/>
      <c r="DM366" s="890"/>
      <c r="DN366" s="952"/>
      <c r="DO366" s="75"/>
      <c r="DP366" s="962"/>
      <c r="DQ366" s="983"/>
      <c r="DV366" s="889"/>
    </row>
    <row r="367" spans="1:126" s="74" customFormat="1">
      <c r="A367" s="15"/>
      <c r="B367" s="15"/>
      <c r="C367" s="15"/>
      <c r="D367" s="15"/>
      <c r="E367" s="6"/>
      <c r="F367" s="6"/>
      <c r="G367" s="6"/>
      <c r="K367" s="222"/>
      <c r="V367" s="1430"/>
      <c r="AA367" s="223"/>
      <c r="AC367" s="889"/>
      <c r="AF367" s="890"/>
      <c r="AJ367" s="889"/>
      <c r="AN367" s="222"/>
      <c r="BC367" s="223"/>
      <c r="BD367" s="222"/>
      <c r="BH367" s="611"/>
      <c r="BJ367" s="15"/>
      <c r="BK367" s="15"/>
      <c r="BO367" s="223"/>
      <c r="BQ367" s="889"/>
      <c r="BT367" s="890"/>
      <c r="BX367" s="889"/>
      <c r="CB367" s="15"/>
      <c r="CC367" s="697"/>
      <c r="CD367" s="1086"/>
      <c r="CE367" s="15"/>
      <c r="CF367" s="15"/>
      <c r="CG367" s="936"/>
      <c r="CH367" s="15"/>
      <c r="CI367" s="15"/>
      <c r="CJ367" s="15"/>
      <c r="CK367" s="1107"/>
      <c r="CL367" s="22"/>
      <c r="CM367" s="22"/>
      <c r="CN367" s="1107"/>
      <c r="CR367" s="223"/>
      <c r="CS367" s="952"/>
      <c r="CT367" s="1066"/>
      <c r="CU367" s="972"/>
      <c r="CV367" s="983"/>
      <c r="CW367" s="222"/>
      <c r="CX367" s="697"/>
      <c r="DC367" s="222"/>
      <c r="DJ367" s="889"/>
      <c r="DM367" s="890"/>
      <c r="DN367" s="952"/>
      <c r="DO367" s="75"/>
      <c r="DP367" s="962"/>
      <c r="DQ367" s="983"/>
      <c r="DV367" s="889"/>
    </row>
    <row r="368" spans="1:126" s="74" customFormat="1">
      <c r="A368" s="15"/>
      <c r="B368" s="15"/>
      <c r="C368" s="15"/>
      <c r="D368" s="15"/>
      <c r="E368" s="6"/>
      <c r="F368" s="6"/>
      <c r="G368" s="6"/>
      <c r="K368" s="222"/>
      <c r="V368" s="1430"/>
      <c r="AA368" s="223"/>
      <c r="AC368" s="889"/>
      <c r="AF368" s="890"/>
      <c r="AJ368" s="889"/>
      <c r="AN368" s="222"/>
      <c r="BC368" s="223"/>
      <c r="BD368" s="222"/>
      <c r="BH368" s="611"/>
      <c r="BJ368" s="15"/>
      <c r="BK368" s="15"/>
      <c r="BO368" s="223"/>
      <c r="BQ368" s="889"/>
      <c r="BT368" s="890"/>
      <c r="BX368" s="889"/>
      <c r="CB368" s="15"/>
      <c r="CC368" s="697"/>
      <c r="CD368" s="1086"/>
      <c r="CE368" s="15"/>
      <c r="CF368" s="15"/>
      <c r="CG368" s="936"/>
      <c r="CH368" s="15"/>
      <c r="CI368" s="15"/>
      <c r="CJ368" s="15"/>
      <c r="CK368" s="1107"/>
      <c r="CL368" s="22"/>
      <c r="CM368" s="22"/>
      <c r="CN368" s="1107"/>
      <c r="CR368" s="223"/>
      <c r="CS368" s="952"/>
      <c r="CT368" s="1066"/>
      <c r="CU368" s="972"/>
      <c r="CV368" s="983"/>
      <c r="CW368" s="222"/>
      <c r="CX368" s="697"/>
      <c r="DC368" s="222"/>
      <c r="DJ368" s="889"/>
      <c r="DM368" s="890"/>
      <c r="DN368" s="952"/>
      <c r="DO368" s="75"/>
      <c r="DP368" s="962"/>
      <c r="DQ368" s="983"/>
      <c r="DV368" s="889"/>
    </row>
    <row r="369" spans="1:126" s="74" customFormat="1">
      <c r="A369" s="15"/>
      <c r="B369" s="15"/>
      <c r="C369" s="15"/>
      <c r="D369" s="15"/>
      <c r="E369" s="6"/>
      <c r="F369" s="6"/>
      <c r="G369" s="6"/>
      <c r="K369" s="222"/>
      <c r="V369" s="1430"/>
      <c r="AA369" s="223"/>
      <c r="AC369" s="889"/>
      <c r="AF369" s="890"/>
      <c r="AJ369" s="889"/>
      <c r="AN369" s="222"/>
      <c r="BC369" s="223"/>
      <c r="BD369" s="222"/>
      <c r="BH369" s="611"/>
      <c r="BJ369" s="15"/>
      <c r="BK369" s="15"/>
      <c r="BO369" s="223"/>
      <c r="BQ369" s="889"/>
      <c r="BT369" s="890"/>
      <c r="BX369" s="889"/>
      <c r="CB369" s="15"/>
      <c r="CC369" s="697"/>
      <c r="CD369" s="1086"/>
      <c r="CE369" s="15"/>
      <c r="CF369" s="15"/>
      <c r="CG369" s="936"/>
      <c r="CH369" s="15"/>
      <c r="CI369" s="15"/>
      <c r="CJ369" s="15"/>
      <c r="CK369" s="1107"/>
      <c r="CL369" s="22"/>
      <c r="CM369" s="22"/>
      <c r="CN369" s="1107"/>
      <c r="CR369" s="223"/>
      <c r="CS369" s="952"/>
      <c r="CT369" s="1066"/>
      <c r="CU369" s="972"/>
      <c r="CV369" s="983"/>
      <c r="CW369" s="222"/>
      <c r="CX369" s="697"/>
      <c r="DC369" s="222"/>
      <c r="DJ369" s="889"/>
      <c r="DM369" s="890"/>
      <c r="DN369" s="952"/>
      <c r="DO369" s="75"/>
      <c r="DP369" s="962"/>
      <c r="DQ369" s="983"/>
      <c r="DV369" s="889"/>
    </row>
    <row r="370" spans="1:126" s="74" customFormat="1">
      <c r="A370" s="15"/>
      <c r="B370" s="15"/>
      <c r="C370" s="15"/>
      <c r="D370" s="15"/>
      <c r="E370" s="6"/>
      <c r="F370" s="6"/>
      <c r="G370" s="6"/>
      <c r="K370" s="222"/>
      <c r="V370" s="1430"/>
      <c r="AA370" s="223"/>
      <c r="AC370" s="889"/>
      <c r="AF370" s="890"/>
      <c r="AJ370" s="889"/>
      <c r="AN370" s="222"/>
      <c r="BC370" s="223"/>
      <c r="BD370" s="222"/>
      <c r="BH370" s="611"/>
      <c r="BJ370" s="15"/>
      <c r="BK370" s="15"/>
      <c r="BO370" s="223"/>
      <c r="BQ370" s="889"/>
      <c r="BT370" s="890"/>
      <c r="BX370" s="889"/>
      <c r="CB370" s="15"/>
      <c r="CC370" s="697"/>
      <c r="CD370" s="1086"/>
      <c r="CE370" s="15"/>
      <c r="CF370" s="15"/>
      <c r="CG370" s="936"/>
      <c r="CH370" s="15"/>
      <c r="CI370" s="15"/>
      <c r="CJ370" s="15"/>
      <c r="CK370" s="1107"/>
      <c r="CL370" s="22"/>
      <c r="CM370" s="22"/>
      <c r="CN370" s="1107"/>
      <c r="CR370" s="223"/>
      <c r="CS370" s="952"/>
      <c r="CT370" s="1066"/>
      <c r="CU370" s="972"/>
      <c r="CV370" s="983"/>
      <c r="CW370" s="222"/>
      <c r="CX370" s="697"/>
      <c r="DC370" s="222"/>
      <c r="DJ370" s="889"/>
      <c r="DM370" s="890"/>
      <c r="DN370" s="952"/>
      <c r="DO370" s="75"/>
      <c r="DP370" s="962"/>
      <c r="DQ370" s="983"/>
      <c r="DV370" s="889"/>
    </row>
    <row r="371" spans="1:126" s="74" customFormat="1">
      <c r="A371" s="15"/>
      <c r="B371" s="15"/>
      <c r="C371" s="15"/>
      <c r="D371" s="15"/>
      <c r="E371" s="6"/>
      <c r="F371" s="6"/>
      <c r="G371" s="6"/>
      <c r="K371" s="222"/>
      <c r="V371" s="1430"/>
      <c r="AA371" s="223"/>
      <c r="AC371" s="889"/>
      <c r="AF371" s="890"/>
      <c r="AJ371" s="889"/>
      <c r="AN371" s="222"/>
      <c r="BC371" s="223"/>
      <c r="BD371" s="222"/>
      <c r="BH371" s="611"/>
      <c r="BJ371" s="15"/>
      <c r="BK371" s="15"/>
      <c r="BO371" s="223"/>
      <c r="BQ371" s="889"/>
      <c r="BT371" s="890"/>
      <c r="BX371" s="889"/>
      <c r="CB371" s="15"/>
      <c r="CC371" s="697"/>
      <c r="CD371" s="1086"/>
      <c r="CE371" s="15"/>
      <c r="CF371" s="15"/>
      <c r="CG371" s="936"/>
      <c r="CH371" s="15"/>
      <c r="CI371" s="15"/>
      <c r="CJ371" s="15"/>
      <c r="CK371" s="1107"/>
      <c r="CL371" s="22"/>
      <c r="CM371" s="22"/>
      <c r="CN371" s="1107"/>
      <c r="CR371" s="223"/>
      <c r="CS371" s="952"/>
      <c r="CT371" s="1066"/>
      <c r="CU371" s="972"/>
      <c r="CV371" s="983"/>
      <c r="CW371" s="222"/>
      <c r="CX371" s="697"/>
      <c r="DC371" s="222"/>
      <c r="DJ371" s="889"/>
      <c r="DM371" s="890"/>
      <c r="DN371" s="952"/>
      <c r="DO371" s="75"/>
      <c r="DP371" s="962"/>
      <c r="DQ371" s="983"/>
      <c r="DV371" s="889"/>
    </row>
    <row r="372" spans="1:126" s="74" customFormat="1">
      <c r="A372" s="15"/>
      <c r="B372" s="15"/>
      <c r="C372" s="15"/>
      <c r="D372" s="15"/>
      <c r="E372" s="6"/>
      <c r="F372" s="6"/>
      <c r="G372" s="6"/>
      <c r="K372" s="222"/>
      <c r="V372" s="1430"/>
      <c r="AA372" s="223"/>
      <c r="AC372" s="889"/>
      <c r="AF372" s="890"/>
      <c r="AJ372" s="889"/>
      <c r="AN372" s="222"/>
      <c r="BC372" s="223"/>
      <c r="BD372" s="222"/>
      <c r="BH372" s="611"/>
      <c r="BJ372" s="15"/>
      <c r="BK372" s="15"/>
      <c r="BO372" s="223"/>
      <c r="BQ372" s="889"/>
      <c r="BT372" s="890"/>
      <c r="BX372" s="889"/>
      <c r="CB372" s="15"/>
      <c r="CC372" s="697"/>
      <c r="CD372" s="1086"/>
      <c r="CE372" s="15"/>
      <c r="CF372" s="15"/>
      <c r="CG372" s="936"/>
      <c r="CH372" s="15"/>
      <c r="CI372" s="15"/>
      <c r="CJ372" s="15"/>
      <c r="CK372" s="1107"/>
      <c r="CL372" s="22"/>
      <c r="CM372" s="22"/>
      <c r="CN372" s="1107"/>
      <c r="CR372" s="223"/>
      <c r="CS372" s="952"/>
      <c r="CT372" s="1066"/>
      <c r="CU372" s="972"/>
      <c r="CV372" s="983"/>
      <c r="CW372" s="222"/>
      <c r="CX372" s="697"/>
      <c r="DC372" s="222"/>
      <c r="DJ372" s="889"/>
      <c r="DM372" s="890"/>
      <c r="DN372" s="952"/>
      <c r="DO372" s="75"/>
      <c r="DP372" s="962"/>
      <c r="DQ372" s="983"/>
      <c r="DV372" s="889"/>
    </row>
    <row r="373" spans="1:126" s="74" customFormat="1">
      <c r="A373" s="15"/>
      <c r="B373" s="15"/>
      <c r="C373" s="15"/>
      <c r="D373" s="15"/>
      <c r="E373" s="6"/>
      <c r="F373" s="6"/>
      <c r="G373" s="6"/>
      <c r="K373" s="222"/>
      <c r="V373" s="1430"/>
      <c r="AA373" s="223"/>
      <c r="AC373" s="889"/>
      <c r="AF373" s="890"/>
      <c r="AJ373" s="889"/>
      <c r="AN373" s="222"/>
      <c r="BC373" s="223"/>
      <c r="BD373" s="222"/>
      <c r="BH373" s="611"/>
      <c r="BJ373" s="15"/>
      <c r="BK373" s="15"/>
      <c r="BO373" s="223"/>
      <c r="BQ373" s="889"/>
      <c r="BT373" s="890"/>
      <c r="BX373" s="889"/>
      <c r="CB373" s="15"/>
      <c r="CC373" s="697"/>
      <c r="CD373" s="1086"/>
      <c r="CE373" s="15"/>
      <c r="CF373" s="15"/>
      <c r="CG373" s="936"/>
      <c r="CH373" s="15"/>
      <c r="CI373" s="15"/>
      <c r="CJ373" s="15"/>
      <c r="CK373" s="1107"/>
      <c r="CL373" s="22"/>
      <c r="CM373" s="22"/>
      <c r="CN373" s="1107"/>
      <c r="CR373" s="223"/>
      <c r="CS373" s="952"/>
      <c r="CT373" s="1066"/>
      <c r="CU373" s="972"/>
      <c r="CV373" s="983"/>
      <c r="CW373" s="222"/>
      <c r="CX373" s="697"/>
      <c r="DC373" s="222"/>
      <c r="DJ373" s="889"/>
      <c r="DM373" s="890"/>
      <c r="DN373" s="952"/>
      <c r="DO373" s="75"/>
      <c r="DP373" s="962"/>
      <c r="DQ373" s="983"/>
      <c r="DV373" s="889"/>
    </row>
    <row r="374" spans="1:126" s="74" customFormat="1">
      <c r="A374" s="15"/>
      <c r="B374" s="15"/>
      <c r="C374" s="15"/>
      <c r="D374" s="15"/>
      <c r="E374" s="6"/>
      <c r="F374" s="6"/>
      <c r="G374" s="6"/>
      <c r="K374" s="222"/>
      <c r="V374" s="1430"/>
      <c r="AA374" s="223"/>
      <c r="AC374" s="889"/>
      <c r="AF374" s="890"/>
      <c r="AJ374" s="889"/>
      <c r="AN374" s="222"/>
      <c r="BC374" s="223"/>
      <c r="BD374" s="222"/>
      <c r="BH374" s="611"/>
      <c r="BJ374" s="15"/>
      <c r="BK374" s="15"/>
      <c r="BO374" s="223"/>
      <c r="BQ374" s="889"/>
      <c r="BT374" s="890"/>
      <c r="BX374" s="889"/>
      <c r="CB374" s="15"/>
      <c r="CC374" s="697"/>
      <c r="CD374" s="1086"/>
      <c r="CE374" s="15"/>
      <c r="CF374" s="15"/>
      <c r="CG374" s="936"/>
      <c r="CH374" s="15"/>
      <c r="CI374" s="15"/>
      <c r="CJ374" s="15"/>
      <c r="CK374" s="1107"/>
      <c r="CL374" s="22"/>
      <c r="CM374" s="22"/>
      <c r="CN374" s="1107"/>
      <c r="CR374" s="223"/>
      <c r="CS374" s="952"/>
      <c r="CT374" s="1066"/>
      <c r="CU374" s="972"/>
      <c r="CV374" s="983"/>
      <c r="CW374" s="222"/>
      <c r="CX374" s="697"/>
      <c r="DC374" s="222"/>
      <c r="DJ374" s="889"/>
      <c r="DM374" s="890"/>
      <c r="DN374" s="952"/>
      <c r="DO374" s="75"/>
      <c r="DP374" s="962"/>
      <c r="DQ374" s="983"/>
      <c r="DV374" s="889"/>
    </row>
    <row r="375" spans="1:126" s="74" customFormat="1">
      <c r="A375" s="15"/>
      <c r="B375" s="15"/>
      <c r="C375" s="15"/>
      <c r="D375" s="15"/>
      <c r="E375" s="6"/>
      <c r="F375" s="6"/>
      <c r="G375" s="6"/>
      <c r="K375" s="222"/>
      <c r="V375" s="1430"/>
      <c r="AA375" s="223"/>
      <c r="AC375" s="889"/>
      <c r="AF375" s="890"/>
      <c r="AJ375" s="889"/>
      <c r="AN375" s="222"/>
      <c r="BC375" s="223"/>
      <c r="BD375" s="222"/>
      <c r="BH375" s="611"/>
      <c r="BJ375" s="15"/>
      <c r="BK375" s="15"/>
      <c r="BO375" s="223"/>
      <c r="BQ375" s="889"/>
      <c r="BT375" s="890"/>
      <c r="BX375" s="889"/>
      <c r="CB375" s="15"/>
      <c r="CC375" s="697"/>
      <c r="CD375" s="1086"/>
      <c r="CE375" s="15"/>
      <c r="CF375" s="15"/>
      <c r="CG375" s="936"/>
      <c r="CH375" s="15"/>
      <c r="CI375" s="15"/>
      <c r="CJ375" s="15"/>
      <c r="CK375" s="1107"/>
      <c r="CL375" s="22"/>
      <c r="CM375" s="22"/>
      <c r="CN375" s="1107"/>
      <c r="CR375" s="223"/>
      <c r="CS375" s="952"/>
      <c r="CT375" s="1066"/>
      <c r="CU375" s="972"/>
      <c r="CV375" s="983"/>
      <c r="CW375" s="222"/>
      <c r="CX375" s="697"/>
      <c r="DC375" s="222"/>
      <c r="DJ375" s="889"/>
      <c r="DM375" s="890"/>
      <c r="DN375" s="952"/>
      <c r="DO375" s="75"/>
      <c r="DP375" s="962"/>
      <c r="DQ375" s="983"/>
      <c r="DV375" s="889"/>
    </row>
    <row r="376" spans="1:126" s="74" customFormat="1">
      <c r="A376" s="15"/>
      <c r="B376" s="15"/>
      <c r="C376" s="15"/>
      <c r="D376" s="15"/>
      <c r="E376" s="6"/>
      <c r="F376" s="6"/>
      <c r="G376" s="6"/>
      <c r="K376" s="222"/>
      <c r="V376" s="1430"/>
      <c r="AA376" s="223"/>
      <c r="AC376" s="889"/>
      <c r="AF376" s="890"/>
      <c r="AJ376" s="889"/>
      <c r="AN376" s="222"/>
      <c r="BC376" s="223"/>
      <c r="BD376" s="222"/>
      <c r="BH376" s="611"/>
      <c r="BJ376" s="15"/>
      <c r="BK376" s="15"/>
      <c r="BO376" s="223"/>
      <c r="BQ376" s="889"/>
      <c r="BT376" s="890"/>
      <c r="BX376" s="889"/>
      <c r="CB376" s="15"/>
      <c r="CC376" s="697"/>
      <c r="CD376" s="1086"/>
      <c r="CE376" s="15"/>
      <c r="CF376" s="15"/>
      <c r="CG376" s="936"/>
      <c r="CH376" s="15"/>
      <c r="CI376" s="15"/>
      <c r="CJ376" s="15"/>
      <c r="CK376" s="1107"/>
      <c r="CL376" s="22"/>
      <c r="CM376" s="22"/>
      <c r="CN376" s="1107"/>
      <c r="CR376" s="223"/>
      <c r="CS376" s="952"/>
      <c r="CT376" s="1066"/>
      <c r="CU376" s="972"/>
      <c r="CV376" s="983"/>
      <c r="CW376" s="222"/>
      <c r="CX376" s="697"/>
      <c r="DC376" s="222"/>
      <c r="DJ376" s="889"/>
      <c r="DM376" s="890"/>
      <c r="DN376" s="952"/>
      <c r="DO376" s="75"/>
      <c r="DP376" s="962"/>
      <c r="DQ376" s="983"/>
      <c r="DV376" s="889"/>
    </row>
    <row r="377" spans="1:126" s="74" customFormat="1">
      <c r="A377" s="15"/>
      <c r="B377" s="15"/>
      <c r="C377" s="15"/>
      <c r="D377" s="15"/>
      <c r="E377" s="6"/>
      <c r="F377" s="6"/>
      <c r="G377" s="6"/>
      <c r="K377" s="222"/>
      <c r="V377" s="1430"/>
      <c r="AA377" s="223"/>
      <c r="AC377" s="889"/>
      <c r="AF377" s="890"/>
      <c r="AJ377" s="889"/>
      <c r="AN377" s="222"/>
      <c r="BC377" s="223"/>
      <c r="BD377" s="222"/>
      <c r="BH377" s="611"/>
      <c r="BJ377" s="15"/>
      <c r="BK377" s="15"/>
      <c r="BO377" s="223"/>
      <c r="BQ377" s="889"/>
      <c r="BT377" s="890"/>
      <c r="BX377" s="889"/>
      <c r="CB377" s="15"/>
      <c r="CC377" s="697"/>
      <c r="CD377" s="1086"/>
      <c r="CE377" s="15"/>
      <c r="CF377" s="15"/>
      <c r="CG377" s="936"/>
      <c r="CH377" s="15"/>
      <c r="CI377" s="15"/>
      <c r="CJ377" s="15"/>
      <c r="CK377" s="1107"/>
      <c r="CL377" s="22"/>
      <c r="CM377" s="22"/>
      <c r="CN377" s="1107"/>
      <c r="CR377" s="223"/>
      <c r="CS377" s="952"/>
      <c r="CT377" s="1066"/>
      <c r="CU377" s="972"/>
      <c r="CV377" s="983"/>
      <c r="CW377" s="222"/>
      <c r="CX377" s="697"/>
      <c r="DC377" s="222"/>
      <c r="DJ377" s="889"/>
      <c r="DM377" s="890"/>
      <c r="DN377" s="952"/>
      <c r="DO377" s="75"/>
      <c r="DP377" s="962"/>
      <c r="DQ377" s="983"/>
      <c r="DV377" s="889"/>
    </row>
    <row r="378" spans="1:126" s="74" customFormat="1">
      <c r="A378" s="15"/>
      <c r="B378" s="15"/>
      <c r="C378" s="15"/>
      <c r="D378" s="15"/>
      <c r="E378" s="6"/>
      <c r="F378" s="6"/>
      <c r="G378" s="6"/>
      <c r="K378" s="222"/>
      <c r="V378" s="1430"/>
      <c r="AA378" s="223"/>
      <c r="AC378" s="889"/>
      <c r="AF378" s="890"/>
      <c r="AJ378" s="889"/>
      <c r="AN378" s="222"/>
      <c r="BC378" s="223"/>
      <c r="BD378" s="222"/>
      <c r="BH378" s="611"/>
      <c r="BJ378" s="15"/>
      <c r="BK378" s="15"/>
      <c r="BO378" s="223"/>
      <c r="BQ378" s="889"/>
      <c r="BT378" s="890"/>
      <c r="BX378" s="889"/>
      <c r="CB378" s="15"/>
      <c r="CC378" s="697"/>
      <c r="CD378" s="1086"/>
      <c r="CE378" s="15"/>
      <c r="CF378" s="15"/>
      <c r="CG378" s="936"/>
      <c r="CH378" s="15"/>
      <c r="CI378" s="15"/>
      <c r="CJ378" s="15"/>
      <c r="CK378" s="1107"/>
      <c r="CL378" s="22"/>
      <c r="CM378" s="22"/>
      <c r="CN378" s="1107"/>
      <c r="CR378" s="223"/>
      <c r="CS378" s="952"/>
      <c r="CT378" s="1066"/>
      <c r="CU378" s="972"/>
      <c r="CV378" s="983"/>
      <c r="CW378" s="222"/>
      <c r="CX378" s="697"/>
      <c r="DC378" s="222"/>
      <c r="DJ378" s="889"/>
      <c r="DM378" s="890"/>
      <c r="DN378" s="952"/>
      <c r="DO378" s="75"/>
      <c r="DP378" s="962"/>
      <c r="DQ378" s="983"/>
      <c r="DV378" s="889"/>
    </row>
    <row r="379" spans="1:126" s="74" customFormat="1">
      <c r="A379" s="15"/>
      <c r="B379" s="15"/>
      <c r="C379" s="15"/>
      <c r="D379" s="15"/>
      <c r="E379" s="6"/>
      <c r="F379" s="6"/>
      <c r="G379" s="6"/>
      <c r="K379" s="222"/>
      <c r="V379" s="1430"/>
      <c r="AA379" s="223"/>
      <c r="AC379" s="889"/>
      <c r="AF379" s="890"/>
      <c r="AJ379" s="889"/>
      <c r="AN379" s="222"/>
      <c r="BC379" s="223"/>
      <c r="BD379" s="222"/>
      <c r="BH379" s="611"/>
      <c r="BJ379" s="15"/>
      <c r="BK379" s="15"/>
      <c r="BO379" s="223"/>
      <c r="BQ379" s="889"/>
      <c r="BT379" s="890"/>
      <c r="BX379" s="889"/>
      <c r="CB379" s="15"/>
      <c r="CC379" s="697"/>
      <c r="CD379" s="1086"/>
      <c r="CE379" s="15"/>
      <c r="CF379" s="15"/>
      <c r="CG379" s="936"/>
      <c r="CH379" s="15"/>
      <c r="CI379" s="15"/>
      <c r="CJ379" s="15"/>
      <c r="CK379" s="1107"/>
      <c r="CL379" s="22"/>
      <c r="CM379" s="22"/>
      <c r="CN379" s="1107"/>
      <c r="CR379" s="223"/>
      <c r="CS379" s="952"/>
      <c r="CT379" s="1066"/>
      <c r="CU379" s="972"/>
      <c r="CV379" s="983"/>
      <c r="CW379" s="222"/>
      <c r="CX379" s="697"/>
      <c r="DC379" s="222"/>
      <c r="DJ379" s="889"/>
      <c r="DM379" s="890"/>
      <c r="DN379" s="952"/>
      <c r="DO379" s="75"/>
      <c r="DP379" s="962"/>
      <c r="DQ379" s="983"/>
      <c r="DV379" s="889"/>
    </row>
    <row r="380" spans="1:126" s="74" customFormat="1">
      <c r="A380" s="15"/>
      <c r="B380" s="15"/>
      <c r="C380" s="15"/>
      <c r="D380" s="15"/>
      <c r="E380" s="6"/>
      <c r="F380" s="6"/>
      <c r="G380" s="6"/>
      <c r="K380" s="222"/>
      <c r="V380" s="1430"/>
      <c r="AA380" s="223"/>
      <c r="AC380" s="889"/>
      <c r="AF380" s="890"/>
      <c r="AJ380" s="889"/>
      <c r="AN380" s="222"/>
      <c r="BC380" s="223"/>
      <c r="BD380" s="222"/>
      <c r="BH380" s="611"/>
      <c r="BJ380" s="15"/>
      <c r="BK380" s="15"/>
      <c r="BO380" s="223"/>
      <c r="BQ380" s="889"/>
      <c r="BT380" s="890"/>
      <c r="BX380" s="889"/>
      <c r="CB380" s="15"/>
      <c r="CC380" s="697"/>
      <c r="CD380" s="1086"/>
      <c r="CE380" s="15"/>
      <c r="CF380" s="15"/>
      <c r="CG380" s="936"/>
      <c r="CH380" s="15"/>
      <c r="CI380" s="15"/>
      <c r="CJ380" s="15"/>
      <c r="CK380" s="1107"/>
      <c r="CL380" s="22"/>
      <c r="CM380" s="22"/>
      <c r="CN380" s="1107"/>
      <c r="CR380" s="223"/>
      <c r="CS380" s="952"/>
      <c r="CT380" s="1066"/>
      <c r="CU380" s="972"/>
      <c r="CV380" s="983"/>
      <c r="CW380" s="222"/>
      <c r="CX380" s="697"/>
      <c r="DC380" s="222"/>
      <c r="DJ380" s="889"/>
      <c r="DM380" s="890"/>
      <c r="DN380" s="952"/>
      <c r="DO380" s="75"/>
      <c r="DP380" s="962"/>
      <c r="DQ380" s="983"/>
      <c r="DV380" s="889"/>
    </row>
    <row r="381" spans="1:126" s="74" customFormat="1">
      <c r="A381" s="15"/>
      <c r="B381" s="15"/>
      <c r="C381" s="15"/>
      <c r="D381" s="15"/>
      <c r="E381" s="6"/>
      <c r="F381" s="6"/>
      <c r="G381" s="6"/>
      <c r="K381" s="222"/>
      <c r="V381" s="1430"/>
      <c r="AA381" s="223"/>
      <c r="AC381" s="889"/>
      <c r="AF381" s="890"/>
      <c r="AJ381" s="889"/>
      <c r="AN381" s="222"/>
      <c r="BC381" s="223"/>
      <c r="BD381" s="222"/>
      <c r="BH381" s="611"/>
      <c r="BJ381" s="15"/>
      <c r="BK381" s="15"/>
      <c r="BO381" s="223"/>
      <c r="BQ381" s="889"/>
      <c r="BT381" s="890"/>
      <c r="BX381" s="889"/>
      <c r="CB381" s="15"/>
      <c r="CC381" s="697"/>
      <c r="CD381" s="1086"/>
      <c r="CE381" s="15"/>
      <c r="CF381" s="15"/>
      <c r="CG381" s="936"/>
      <c r="CH381" s="15"/>
      <c r="CI381" s="15"/>
      <c r="CJ381" s="15"/>
      <c r="CK381" s="1107"/>
      <c r="CL381" s="22"/>
      <c r="CM381" s="22"/>
      <c r="CN381" s="1107"/>
      <c r="CR381" s="223"/>
      <c r="CS381" s="952"/>
      <c r="CT381" s="1066"/>
      <c r="CU381" s="972"/>
      <c r="CV381" s="983"/>
      <c r="CW381" s="222"/>
      <c r="CX381" s="697"/>
      <c r="DC381" s="222"/>
      <c r="DJ381" s="889"/>
      <c r="DM381" s="890"/>
      <c r="DN381" s="952"/>
      <c r="DO381" s="75"/>
      <c r="DP381" s="962"/>
      <c r="DQ381" s="983"/>
      <c r="DV381" s="889"/>
    </row>
    <row r="382" spans="1:126" s="74" customFormat="1">
      <c r="A382" s="15"/>
      <c r="B382" s="15"/>
      <c r="C382" s="15"/>
      <c r="D382" s="15"/>
      <c r="E382" s="6"/>
      <c r="F382" s="6"/>
      <c r="G382" s="6"/>
      <c r="K382" s="222"/>
      <c r="V382" s="1430"/>
      <c r="AA382" s="223"/>
      <c r="AC382" s="889"/>
      <c r="AF382" s="890"/>
      <c r="AJ382" s="889"/>
      <c r="AN382" s="222"/>
      <c r="BC382" s="223"/>
      <c r="BD382" s="222"/>
      <c r="BH382" s="611"/>
      <c r="BJ382" s="15"/>
      <c r="BK382" s="15"/>
      <c r="BO382" s="223"/>
      <c r="BQ382" s="889"/>
      <c r="BT382" s="890"/>
      <c r="BX382" s="889"/>
      <c r="CB382" s="15"/>
      <c r="CC382" s="697"/>
      <c r="CD382" s="1086"/>
      <c r="CE382" s="15"/>
      <c r="CF382" s="15"/>
      <c r="CG382" s="936"/>
      <c r="CH382" s="15"/>
      <c r="CI382" s="15"/>
      <c r="CJ382" s="15"/>
      <c r="CK382" s="1107"/>
      <c r="CL382" s="22"/>
      <c r="CM382" s="22"/>
      <c r="CN382" s="1107"/>
      <c r="CR382" s="223"/>
      <c r="CS382" s="952"/>
      <c r="CT382" s="1066"/>
      <c r="CU382" s="972"/>
      <c r="CV382" s="983"/>
      <c r="CW382" s="222"/>
      <c r="CX382" s="697"/>
      <c r="DC382" s="222"/>
      <c r="DJ382" s="889"/>
      <c r="DM382" s="890"/>
      <c r="DN382" s="952"/>
      <c r="DO382" s="75"/>
      <c r="DP382" s="962"/>
      <c r="DQ382" s="983"/>
      <c r="DV382" s="889"/>
    </row>
    <row r="383" spans="1:126" s="74" customFormat="1">
      <c r="A383" s="15"/>
      <c r="B383" s="15"/>
      <c r="C383" s="15"/>
      <c r="D383" s="15"/>
      <c r="E383" s="6"/>
      <c r="F383" s="6"/>
      <c r="G383" s="6"/>
      <c r="K383" s="222"/>
      <c r="V383" s="1430"/>
      <c r="AA383" s="223"/>
      <c r="AC383" s="889"/>
      <c r="AF383" s="890"/>
      <c r="AJ383" s="889"/>
      <c r="AN383" s="222"/>
      <c r="BC383" s="223"/>
      <c r="BD383" s="222"/>
      <c r="BH383" s="611"/>
      <c r="BJ383" s="15"/>
      <c r="BK383" s="15"/>
      <c r="BO383" s="223"/>
      <c r="BQ383" s="889"/>
      <c r="BT383" s="890"/>
      <c r="BX383" s="889"/>
      <c r="CB383" s="15"/>
      <c r="CC383" s="697"/>
      <c r="CD383" s="1086"/>
      <c r="CE383" s="15"/>
      <c r="CF383" s="15"/>
      <c r="CG383" s="936"/>
      <c r="CH383" s="15"/>
      <c r="CI383" s="15"/>
      <c r="CJ383" s="15"/>
      <c r="CK383" s="1107"/>
      <c r="CL383" s="22"/>
      <c r="CM383" s="22"/>
      <c r="CN383" s="1107"/>
      <c r="CR383" s="223"/>
      <c r="CS383" s="952"/>
      <c r="CT383" s="1066"/>
      <c r="CU383" s="972"/>
      <c r="CV383" s="983"/>
      <c r="CW383" s="222"/>
      <c r="CX383" s="697"/>
      <c r="DC383" s="222"/>
      <c r="DJ383" s="889"/>
      <c r="DM383" s="890"/>
      <c r="DN383" s="952"/>
      <c r="DO383" s="75"/>
      <c r="DP383" s="962"/>
      <c r="DQ383" s="983"/>
      <c r="DV383" s="889"/>
    </row>
    <row r="384" spans="1:126" s="74" customFormat="1">
      <c r="A384" s="15"/>
      <c r="B384" s="15"/>
      <c r="C384" s="15"/>
      <c r="D384" s="15"/>
      <c r="E384" s="6"/>
      <c r="F384" s="6"/>
      <c r="G384" s="6"/>
      <c r="K384" s="222"/>
      <c r="V384" s="1430"/>
      <c r="AA384" s="223"/>
      <c r="AC384" s="889"/>
      <c r="AF384" s="890"/>
      <c r="AJ384" s="889"/>
      <c r="AN384" s="222"/>
      <c r="BC384" s="223"/>
      <c r="BD384" s="222"/>
      <c r="BH384" s="611"/>
      <c r="BJ384" s="15"/>
      <c r="BK384" s="15"/>
      <c r="BO384" s="223"/>
      <c r="BQ384" s="889"/>
      <c r="BT384" s="890"/>
      <c r="BX384" s="889"/>
      <c r="CB384" s="15"/>
      <c r="CC384" s="697"/>
      <c r="CD384" s="1086"/>
      <c r="CE384" s="15"/>
      <c r="CF384" s="15"/>
      <c r="CG384" s="936"/>
      <c r="CH384" s="15"/>
      <c r="CI384" s="15"/>
      <c r="CJ384" s="15"/>
      <c r="CK384" s="1107"/>
      <c r="CL384" s="22"/>
      <c r="CM384" s="22"/>
      <c r="CN384" s="1107"/>
      <c r="CR384" s="223"/>
      <c r="CS384" s="952"/>
      <c r="CT384" s="1066"/>
      <c r="CU384" s="972"/>
      <c r="CV384" s="983"/>
      <c r="CW384" s="222"/>
      <c r="CX384" s="697"/>
      <c r="DC384" s="222"/>
      <c r="DJ384" s="889"/>
      <c r="DM384" s="890"/>
      <c r="DN384" s="952"/>
      <c r="DO384" s="75"/>
      <c r="DP384" s="962"/>
      <c r="DQ384" s="983"/>
      <c r="DV384" s="889"/>
    </row>
    <row r="385" spans="1:126" s="74" customFormat="1">
      <c r="A385" s="15"/>
      <c r="B385" s="15"/>
      <c r="C385" s="15"/>
      <c r="D385" s="15"/>
      <c r="E385" s="6"/>
      <c r="F385" s="6"/>
      <c r="G385" s="6"/>
      <c r="K385" s="222"/>
      <c r="V385" s="1430"/>
      <c r="AA385" s="223"/>
      <c r="AC385" s="889"/>
      <c r="AF385" s="890"/>
      <c r="AJ385" s="889"/>
      <c r="AN385" s="222"/>
      <c r="BC385" s="223"/>
      <c r="BD385" s="222"/>
      <c r="BH385" s="611"/>
      <c r="BJ385" s="15"/>
      <c r="BK385" s="15"/>
      <c r="BO385" s="223"/>
      <c r="BQ385" s="889"/>
      <c r="BT385" s="890"/>
      <c r="BX385" s="889"/>
      <c r="CB385" s="15"/>
      <c r="CC385" s="697"/>
      <c r="CD385" s="1086"/>
      <c r="CE385" s="15"/>
      <c r="CF385" s="15"/>
      <c r="CG385" s="936"/>
      <c r="CH385" s="15"/>
      <c r="CI385" s="15"/>
      <c r="CJ385" s="15"/>
      <c r="CK385" s="1107"/>
      <c r="CL385" s="22"/>
      <c r="CM385" s="22"/>
      <c r="CN385" s="1107"/>
      <c r="CR385" s="223"/>
      <c r="CS385" s="952"/>
      <c r="CT385" s="1066"/>
      <c r="CU385" s="972"/>
      <c r="CV385" s="983"/>
      <c r="CW385" s="222"/>
      <c r="CX385" s="697"/>
      <c r="DC385" s="222"/>
      <c r="DJ385" s="889"/>
      <c r="DM385" s="890"/>
      <c r="DN385" s="952"/>
      <c r="DO385" s="75"/>
      <c r="DP385" s="962"/>
      <c r="DQ385" s="983"/>
      <c r="DV385" s="889"/>
    </row>
    <row r="386" spans="1:126" s="74" customFormat="1">
      <c r="A386" s="15"/>
      <c r="B386" s="15"/>
      <c r="C386" s="15"/>
      <c r="D386" s="15"/>
      <c r="E386" s="6"/>
      <c r="F386" s="6"/>
      <c r="G386" s="6"/>
      <c r="K386" s="222"/>
      <c r="V386" s="1430"/>
      <c r="AA386" s="223"/>
      <c r="AC386" s="889"/>
      <c r="AF386" s="890"/>
      <c r="AJ386" s="889"/>
      <c r="AN386" s="222"/>
      <c r="BC386" s="223"/>
      <c r="BD386" s="222"/>
      <c r="BH386" s="611"/>
      <c r="BJ386" s="15"/>
      <c r="BK386" s="15"/>
      <c r="BO386" s="223"/>
      <c r="BQ386" s="889"/>
      <c r="BT386" s="890"/>
      <c r="BX386" s="889"/>
      <c r="CB386" s="15"/>
      <c r="CC386" s="697"/>
      <c r="CD386" s="1086"/>
      <c r="CE386" s="15"/>
      <c r="CF386" s="15"/>
      <c r="CG386" s="936"/>
      <c r="CH386" s="15"/>
      <c r="CI386" s="15"/>
      <c r="CJ386" s="15"/>
      <c r="CK386" s="1107"/>
      <c r="CL386" s="22"/>
      <c r="CM386" s="22"/>
      <c r="CN386" s="1107"/>
      <c r="CR386" s="223"/>
      <c r="CS386" s="952"/>
      <c r="CT386" s="1066"/>
      <c r="CU386" s="972"/>
      <c r="CV386" s="983"/>
      <c r="CW386" s="222"/>
      <c r="CX386" s="697"/>
      <c r="DC386" s="222"/>
      <c r="DJ386" s="889"/>
      <c r="DM386" s="890"/>
      <c r="DN386" s="952"/>
      <c r="DO386" s="75"/>
      <c r="DP386" s="962"/>
      <c r="DQ386" s="983"/>
      <c r="DV386" s="889"/>
    </row>
    <row r="387" spans="1:126" s="74" customFormat="1">
      <c r="A387" s="15"/>
      <c r="B387" s="15"/>
      <c r="C387" s="15"/>
      <c r="D387" s="15"/>
      <c r="E387" s="6"/>
      <c r="F387" s="6"/>
      <c r="G387" s="6"/>
      <c r="K387" s="222"/>
      <c r="V387" s="1430"/>
      <c r="AA387" s="223"/>
      <c r="AC387" s="889"/>
      <c r="AF387" s="890"/>
      <c r="AJ387" s="889"/>
      <c r="AN387" s="222"/>
      <c r="BC387" s="223"/>
      <c r="BD387" s="222"/>
      <c r="BH387" s="611"/>
      <c r="BJ387" s="15"/>
      <c r="BK387" s="15"/>
      <c r="BO387" s="223"/>
      <c r="BQ387" s="889"/>
      <c r="BT387" s="890"/>
      <c r="BX387" s="889"/>
      <c r="CB387" s="15"/>
      <c r="CC387" s="697"/>
      <c r="CD387" s="1086"/>
      <c r="CE387" s="15"/>
      <c r="CF387" s="15"/>
      <c r="CG387" s="936"/>
      <c r="CH387" s="15"/>
      <c r="CI387" s="15"/>
      <c r="CJ387" s="15"/>
      <c r="CK387" s="1107"/>
      <c r="CL387" s="22"/>
      <c r="CM387" s="22"/>
      <c r="CN387" s="1107"/>
      <c r="CR387" s="223"/>
      <c r="CS387" s="952"/>
      <c r="CT387" s="1066"/>
      <c r="CU387" s="972"/>
      <c r="CV387" s="983"/>
      <c r="CW387" s="222"/>
      <c r="CX387" s="697"/>
      <c r="DC387" s="222"/>
      <c r="DJ387" s="889"/>
      <c r="DM387" s="890"/>
      <c r="DN387" s="952"/>
      <c r="DO387" s="75"/>
      <c r="DP387" s="962"/>
      <c r="DQ387" s="983"/>
      <c r="DV387" s="889"/>
    </row>
    <row r="388" spans="1:126" s="74" customFormat="1">
      <c r="A388" s="15"/>
      <c r="B388" s="15"/>
      <c r="C388" s="15"/>
      <c r="D388" s="15"/>
      <c r="E388" s="6"/>
      <c r="F388" s="6"/>
      <c r="G388" s="6"/>
      <c r="K388" s="222"/>
      <c r="V388" s="1430"/>
      <c r="AA388" s="223"/>
      <c r="AC388" s="889"/>
      <c r="AF388" s="890"/>
      <c r="AJ388" s="889"/>
      <c r="AN388" s="222"/>
      <c r="BC388" s="223"/>
      <c r="BD388" s="222"/>
      <c r="BH388" s="611"/>
      <c r="BJ388" s="15"/>
      <c r="BK388" s="15"/>
      <c r="BO388" s="223"/>
      <c r="BQ388" s="889"/>
      <c r="BT388" s="890"/>
      <c r="BX388" s="889"/>
      <c r="CB388" s="15"/>
      <c r="CC388" s="697"/>
      <c r="CD388" s="1086"/>
      <c r="CE388" s="15"/>
      <c r="CF388" s="15"/>
      <c r="CG388" s="936"/>
      <c r="CH388" s="15"/>
      <c r="CI388" s="15"/>
      <c r="CJ388" s="15"/>
      <c r="CK388" s="1107"/>
      <c r="CL388" s="22"/>
      <c r="CM388" s="22"/>
      <c r="CN388" s="1107"/>
      <c r="CR388" s="223"/>
      <c r="CS388" s="952"/>
      <c r="CT388" s="1066"/>
      <c r="CU388" s="972"/>
      <c r="CV388" s="983"/>
      <c r="CW388" s="222"/>
      <c r="CX388" s="697"/>
      <c r="DC388" s="222"/>
      <c r="DJ388" s="889"/>
      <c r="DM388" s="890"/>
      <c r="DN388" s="952"/>
      <c r="DO388" s="75"/>
      <c r="DP388" s="962"/>
      <c r="DQ388" s="983"/>
      <c r="DV388" s="889"/>
    </row>
    <row r="389" spans="1:126" s="74" customFormat="1">
      <c r="A389" s="15"/>
      <c r="B389" s="15"/>
      <c r="C389" s="15"/>
      <c r="D389" s="15"/>
      <c r="E389" s="6"/>
      <c r="F389" s="6"/>
      <c r="G389" s="6"/>
      <c r="K389" s="222"/>
      <c r="V389" s="1430"/>
      <c r="AA389" s="223"/>
      <c r="AC389" s="889"/>
      <c r="AF389" s="890"/>
      <c r="AJ389" s="889"/>
      <c r="AN389" s="222"/>
      <c r="BC389" s="223"/>
      <c r="BD389" s="222"/>
      <c r="BH389" s="611"/>
      <c r="BJ389" s="15"/>
      <c r="BK389" s="15"/>
      <c r="BO389" s="223"/>
      <c r="BQ389" s="889"/>
      <c r="BT389" s="890"/>
      <c r="BX389" s="889"/>
      <c r="CB389" s="15"/>
      <c r="CC389" s="697"/>
      <c r="CD389" s="1086"/>
      <c r="CE389" s="15"/>
      <c r="CF389" s="15"/>
      <c r="CG389" s="936"/>
      <c r="CH389" s="15"/>
      <c r="CI389" s="15"/>
      <c r="CJ389" s="15"/>
      <c r="CK389" s="1107"/>
      <c r="CL389" s="22"/>
      <c r="CM389" s="22"/>
      <c r="CN389" s="1107"/>
      <c r="CR389" s="223"/>
      <c r="CS389" s="952"/>
      <c r="CT389" s="1066"/>
      <c r="CU389" s="972"/>
      <c r="CV389" s="983"/>
      <c r="CW389" s="222"/>
      <c r="CX389" s="697"/>
      <c r="DC389" s="222"/>
      <c r="DJ389" s="889"/>
      <c r="DM389" s="890"/>
      <c r="DN389" s="952"/>
      <c r="DO389" s="75"/>
      <c r="DP389" s="962"/>
      <c r="DQ389" s="983"/>
      <c r="DV389" s="889"/>
    </row>
    <row r="390" spans="1:126" s="74" customFormat="1">
      <c r="A390" s="15"/>
      <c r="B390" s="15"/>
      <c r="C390" s="15"/>
      <c r="D390" s="15"/>
      <c r="E390" s="6"/>
      <c r="F390" s="6"/>
      <c r="G390" s="6"/>
      <c r="K390" s="222"/>
      <c r="V390" s="1430"/>
      <c r="AA390" s="223"/>
      <c r="AC390" s="889"/>
      <c r="AF390" s="890"/>
      <c r="AJ390" s="889"/>
      <c r="AN390" s="222"/>
      <c r="BC390" s="223"/>
      <c r="BD390" s="222"/>
      <c r="BH390" s="611"/>
      <c r="BJ390" s="15"/>
      <c r="BK390" s="15"/>
      <c r="BO390" s="223"/>
      <c r="BQ390" s="889"/>
      <c r="BT390" s="890"/>
      <c r="BX390" s="889"/>
      <c r="CB390" s="15"/>
      <c r="CC390" s="697"/>
      <c r="CD390" s="1086"/>
      <c r="CE390" s="15"/>
      <c r="CF390" s="15"/>
      <c r="CG390" s="936"/>
      <c r="CH390" s="15"/>
      <c r="CI390" s="15"/>
      <c r="CJ390" s="15"/>
      <c r="CK390" s="1107"/>
      <c r="CL390" s="22"/>
      <c r="CM390" s="22"/>
      <c r="CN390" s="1107"/>
      <c r="CR390" s="223"/>
      <c r="CS390" s="952"/>
      <c r="CT390" s="1066"/>
      <c r="CU390" s="972"/>
      <c r="CV390" s="983"/>
      <c r="CW390" s="222"/>
      <c r="CX390" s="697"/>
      <c r="DC390" s="222"/>
      <c r="DJ390" s="889"/>
      <c r="DM390" s="890"/>
      <c r="DN390" s="952"/>
      <c r="DO390" s="75"/>
      <c r="DP390" s="962"/>
      <c r="DQ390" s="983"/>
      <c r="DV390" s="889"/>
    </row>
    <row r="391" spans="1:126" s="74" customFormat="1">
      <c r="A391" s="15"/>
      <c r="B391" s="15"/>
      <c r="C391" s="15"/>
      <c r="D391" s="15"/>
      <c r="E391" s="6"/>
      <c r="F391" s="6"/>
      <c r="G391" s="6"/>
      <c r="K391" s="222"/>
      <c r="V391" s="1430"/>
      <c r="AA391" s="223"/>
      <c r="AC391" s="889"/>
      <c r="AF391" s="890"/>
      <c r="AJ391" s="889"/>
      <c r="AN391" s="222"/>
      <c r="BC391" s="223"/>
      <c r="BD391" s="222"/>
      <c r="BH391" s="611"/>
      <c r="BJ391" s="15"/>
      <c r="BK391" s="15"/>
      <c r="BO391" s="223"/>
      <c r="BQ391" s="889"/>
      <c r="BT391" s="890"/>
      <c r="BX391" s="889"/>
      <c r="CB391" s="15"/>
      <c r="CC391" s="697"/>
      <c r="CD391" s="1086"/>
      <c r="CE391" s="15"/>
      <c r="CF391" s="15"/>
      <c r="CG391" s="936"/>
      <c r="CH391" s="15"/>
      <c r="CI391" s="15"/>
      <c r="CJ391" s="15"/>
      <c r="CK391" s="1107"/>
      <c r="CL391" s="22"/>
      <c r="CM391" s="22"/>
      <c r="CN391" s="1107"/>
      <c r="CR391" s="223"/>
      <c r="CS391" s="952"/>
      <c r="CT391" s="1066"/>
      <c r="CU391" s="972"/>
      <c r="CV391" s="983"/>
      <c r="CW391" s="222"/>
      <c r="CX391" s="697"/>
      <c r="DC391" s="222"/>
      <c r="DJ391" s="889"/>
      <c r="DM391" s="890"/>
      <c r="DN391" s="952"/>
      <c r="DO391" s="75"/>
      <c r="DP391" s="962"/>
      <c r="DQ391" s="983"/>
      <c r="DV391" s="889"/>
    </row>
    <row r="392" spans="1:126" s="74" customFormat="1">
      <c r="A392" s="15"/>
      <c r="B392" s="15"/>
      <c r="C392" s="15"/>
      <c r="D392" s="15"/>
      <c r="E392" s="6"/>
      <c r="F392" s="6"/>
      <c r="G392" s="6"/>
      <c r="K392" s="222"/>
      <c r="V392" s="1430"/>
      <c r="AA392" s="223"/>
      <c r="AC392" s="889"/>
      <c r="AF392" s="890"/>
      <c r="AJ392" s="889"/>
      <c r="AN392" s="222"/>
      <c r="BC392" s="223"/>
      <c r="BD392" s="222"/>
      <c r="BH392" s="611"/>
      <c r="BJ392" s="15"/>
      <c r="BK392" s="15"/>
      <c r="BO392" s="223"/>
      <c r="BQ392" s="889"/>
      <c r="BT392" s="890"/>
      <c r="BX392" s="889"/>
      <c r="CB392" s="15"/>
      <c r="CC392" s="697"/>
      <c r="CD392" s="1086"/>
      <c r="CE392" s="15"/>
      <c r="CF392" s="15"/>
      <c r="CG392" s="936"/>
      <c r="CH392" s="15"/>
      <c r="CI392" s="15"/>
      <c r="CJ392" s="15"/>
      <c r="CK392" s="1107"/>
      <c r="CL392" s="22"/>
      <c r="CM392" s="22"/>
      <c r="CN392" s="1107"/>
      <c r="CR392" s="223"/>
      <c r="CS392" s="952"/>
      <c r="CT392" s="1066"/>
      <c r="CU392" s="972"/>
      <c r="CV392" s="983"/>
      <c r="CW392" s="222"/>
      <c r="CX392" s="697"/>
      <c r="DC392" s="222"/>
      <c r="DJ392" s="889"/>
      <c r="DM392" s="890"/>
      <c r="DN392" s="952"/>
      <c r="DO392" s="75"/>
      <c r="DP392" s="962"/>
      <c r="DQ392" s="983"/>
      <c r="DV392" s="889"/>
    </row>
    <row r="393" spans="1:126" s="74" customFormat="1">
      <c r="A393" s="15"/>
      <c r="B393" s="15"/>
      <c r="C393" s="15"/>
      <c r="D393" s="15"/>
      <c r="E393" s="6"/>
      <c r="F393" s="6"/>
      <c r="G393" s="6"/>
      <c r="K393" s="222"/>
      <c r="V393" s="1430"/>
      <c r="AA393" s="223"/>
      <c r="AC393" s="889"/>
      <c r="AF393" s="890"/>
      <c r="AJ393" s="889"/>
      <c r="AN393" s="222"/>
      <c r="BC393" s="223"/>
      <c r="BD393" s="222"/>
      <c r="BH393" s="611"/>
      <c r="BJ393" s="15"/>
      <c r="BK393" s="15"/>
      <c r="BO393" s="223"/>
      <c r="BQ393" s="889"/>
      <c r="BT393" s="890"/>
      <c r="BX393" s="889"/>
      <c r="CB393" s="15"/>
      <c r="CC393" s="697"/>
      <c r="CD393" s="1086"/>
      <c r="CE393" s="15"/>
      <c r="CF393" s="15"/>
      <c r="CG393" s="936"/>
      <c r="CH393" s="15"/>
      <c r="CI393" s="15"/>
      <c r="CJ393" s="15"/>
      <c r="CK393" s="1107"/>
      <c r="CL393" s="22"/>
      <c r="CM393" s="22"/>
      <c r="CN393" s="1107"/>
      <c r="CR393" s="223"/>
      <c r="CS393" s="952"/>
      <c r="CT393" s="1066"/>
      <c r="CU393" s="972"/>
      <c r="CV393" s="983"/>
      <c r="CW393" s="222"/>
      <c r="CX393" s="697"/>
      <c r="DC393" s="222"/>
      <c r="DJ393" s="889"/>
      <c r="DM393" s="890"/>
      <c r="DN393" s="952"/>
      <c r="DO393" s="75"/>
      <c r="DP393" s="962"/>
      <c r="DQ393" s="983"/>
      <c r="DV393" s="889"/>
    </row>
    <row r="394" spans="1:126" s="74" customFormat="1">
      <c r="A394" s="15"/>
      <c r="B394" s="15"/>
      <c r="C394" s="15"/>
      <c r="D394" s="15"/>
      <c r="E394" s="6"/>
      <c r="F394" s="6"/>
      <c r="G394" s="6"/>
      <c r="K394" s="222"/>
      <c r="V394" s="1430"/>
      <c r="AA394" s="223"/>
      <c r="AC394" s="889"/>
      <c r="AF394" s="890"/>
      <c r="AJ394" s="889"/>
      <c r="AN394" s="222"/>
      <c r="BC394" s="223"/>
      <c r="BD394" s="222"/>
      <c r="BH394" s="611"/>
      <c r="BJ394" s="15"/>
      <c r="BK394" s="15"/>
      <c r="BO394" s="223"/>
      <c r="BQ394" s="889"/>
      <c r="BT394" s="890"/>
      <c r="BX394" s="889"/>
      <c r="CB394" s="15"/>
      <c r="CC394" s="697"/>
      <c r="CD394" s="1086"/>
      <c r="CE394" s="15"/>
      <c r="CF394" s="15"/>
      <c r="CG394" s="936"/>
      <c r="CH394" s="15"/>
      <c r="CI394" s="15"/>
      <c r="CJ394" s="15"/>
      <c r="CK394" s="1107"/>
      <c r="CL394" s="22"/>
      <c r="CM394" s="22"/>
      <c r="CN394" s="1107"/>
      <c r="CR394" s="223"/>
      <c r="CS394" s="952"/>
      <c r="CT394" s="1066"/>
      <c r="CU394" s="972"/>
      <c r="CV394" s="983"/>
      <c r="CW394" s="222"/>
      <c r="CX394" s="697"/>
      <c r="DC394" s="222"/>
      <c r="DJ394" s="889"/>
      <c r="DM394" s="890"/>
      <c r="DN394" s="952"/>
      <c r="DO394" s="75"/>
      <c r="DP394" s="962"/>
      <c r="DQ394" s="983"/>
      <c r="DV394" s="889"/>
    </row>
    <row r="395" spans="1:126" s="74" customFormat="1">
      <c r="A395" s="15"/>
      <c r="B395" s="15"/>
      <c r="C395" s="15"/>
      <c r="D395" s="15"/>
      <c r="E395" s="6"/>
      <c r="F395" s="6"/>
      <c r="G395" s="6"/>
      <c r="K395" s="222"/>
      <c r="V395" s="1430"/>
      <c r="AA395" s="223"/>
      <c r="AC395" s="889"/>
      <c r="AF395" s="890"/>
      <c r="AJ395" s="889"/>
      <c r="AN395" s="222"/>
      <c r="BC395" s="223"/>
      <c r="BD395" s="222"/>
      <c r="BH395" s="611"/>
      <c r="BJ395" s="15"/>
      <c r="BK395" s="15"/>
      <c r="BO395" s="223"/>
      <c r="BQ395" s="889"/>
      <c r="BT395" s="890"/>
      <c r="BX395" s="889"/>
      <c r="CB395" s="15"/>
      <c r="CC395" s="697"/>
      <c r="CD395" s="1086"/>
      <c r="CE395" s="15"/>
      <c r="CF395" s="15"/>
      <c r="CG395" s="936"/>
      <c r="CH395" s="15"/>
      <c r="CI395" s="15"/>
      <c r="CJ395" s="15"/>
      <c r="CK395" s="1107"/>
      <c r="CL395" s="22"/>
      <c r="CM395" s="22"/>
      <c r="CN395" s="1107"/>
      <c r="CR395" s="223"/>
      <c r="CS395" s="952"/>
      <c r="CT395" s="1066"/>
      <c r="CU395" s="972"/>
      <c r="CV395" s="983"/>
      <c r="CW395" s="222"/>
      <c r="CX395" s="697"/>
      <c r="DC395" s="222"/>
      <c r="DJ395" s="889"/>
      <c r="DM395" s="890"/>
      <c r="DN395" s="952"/>
      <c r="DO395" s="75"/>
      <c r="DP395" s="962"/>
      <c r="DQ395" s="983"/>
      <c r="DV395" s="889"/>
    </row>
    <row r="396" spans="1:126" s="74" customFormat="1">
      <c r="A396" s="15"/>
      <c r="B396" s="15"/>
      <c r="C396" s="15"/>
      <c r="D396" s="15"/>
      <c r="E396" s="6"/>
      <c r="F396" s="6"/>
      <c r="G396" s="6"/>
      <c r="K396" s="222"/>
      <c r="V396" s="1430"/>
      <c r="AA396" s="223"/>
      <c r="AC396" s="889"/>
      <c r="AF396" s="890"/>
      <c r="AJ396" s="889"/>
      <c r="AN396" s="222"/>
      <c r="BC396" s="223"/>
      <c r="BD396" s="222"/>
      <c r="BH396" s="611"/>
      <c r="BJ396" s="15"/>
      <c r="BK396" s="15"/>
      <c r="BO396" s="223"/>
      <c r="BQ396" s="889"/>
      <c r="BT396" s="890"/>
      <c r="BX396" s="889"/>
      <c r="CB396" s="15"/>
      <c r="CC396" s="697"/>
      <c r="CD396" s="1086"/>
      <c r="CE396" s="15"/>
      <c r="CF396" s="15"/>
      <c r="CG396" s="936"/>
      <c r="CH396" s="15"/>
      <c r="CI396" s="15"/>
      <c r="CJ396" s="15"/>
      <c r="CK396" s="1107"/>
      <c r="CL396" s="22"/>
      <c r="CM396" s="22"/>
      <c r="CN396" s="1107"/>
      <c r="CR396" s="223"/>
      <c r="CS396" s="952"/>
      <c r="CT396" s="1066"/>
      <c r="CU396" s="972"/>
      <c r="CV396" s="983"/>
      <c r="CW396" s="222"/>
      <c r="CX396" s="697"/>
      <c r="DC396" s="222"/>
      <c r="DJ396" s="889"/>
      <c r="DM396" s="890"/>
      <c r="DN396" s="952"/>
      <c r="DO396" s="75"/>
      <c r="DP396" s="962"/>
      <c r="DQ396" s="983"/>
      <c r="DV396" s="889"/>
    </row>
    <row r="397" spans="1:126" s="74" customFormat="1">
      <c r="A397" s="15"/>
      <c r="B397" s="15"/>
      <c r="C397" s="15"/>
      <c r="D397" s="15"/>
      <c r="E397" s="6"/>
      <c r="F397" s="6"/>
      <c r="G397" s="6"/>
      <c r="K397" s="222"/>
      <c r="V397" s="1430"/>
      <c r="AA397" s="223"/>
      <c r="AC397" s="889"/>
      <c r="AF397" s="890"/>
      <c r="AJ397" s="889"/>
      <c r="AN397" s="222"/>
      <c r="BC397" s="223"/>
      <c r="BD397" s="222"/>
      <c r="BH397" s="611"/>
      <c r="BJ397" s="15"/>
      <c r="BK397" s="15"/>
      <c r="BO397" s="223"/>
      <c r="BQ397" s="889"/>
      <c r="BT397" s="890"/>
      <c r="BX397" s="889"/>
      <c r="CB397" s="15"/>
      <c r="CC397" s="697"/>
      <c r="CD397" s="1086"/>
      <c r="CE397" s="15"/>
      <c r="CF397" s="15"/>
      <c r="CG397" s="936"/>
      <c r="CH397" s="15"/>
      <c r="CI397" s="15"/>
      <c r="CJ397" s="15"/>
      <c r="CK397" s="1107"/>
      <c r="CL397" s="22"/>
      <c r="CM397" s="22"/>
      <c r="CN397" s="1107"/>
      <c r="CR397" s="223"/>
      <c r="CS397" s="952"/>
      <c r="CT397" s="1066"/>
      <c r="CU397" s="972"/>
      <c r="CV397" s="983"/>
      <c r="CW397" s="222"/>
      <c r="CX397" s="697"/>
      <c r="DC397" s="222"/>
      <c r="DJ397" s="889"/>
      <c r="DM397" s="890"/>
      <c r="DN397" s="952"/>
      <c r="DO397" s="75"/>
      <c r="DP397" s="962"/>
      <c r="DQ397" s="983"/>
      <c r="DV397" s="889"/>
    </row>
    <row r="398" spans="1:126" s="74" customFormat="1">
      <c r="A398" s="15"/>
      <c r="B398" s="15"/>
      <c r="C398" s="15"/>
      <c r="D398" s="15"/>
      <c r="E398" s="6"/>
      <c r="F398" s="6"/>
      <c r="G398" s="6"/>
      <c r="K398" s="222"/>
      <c r="V398" s="1430"/>
      <c r="AA398" s="223"/>
      <c r="AC398" s="889"/>
      <c r="AF398" s="890"/>
      <c r="AJ398" s="889"/>
      <c r="AN398" s="222"/>
      <c r="BC398" s="223"/>
      <c r="BD398" s="222"/>
      <c r="BH398" s="611"/>
      <c r="BJ398" s="15"/>
      <c r="BK398" s="15"/>
      <c r="BO398" s="223"/>
      <c r="BQ398" s="889"/>
      <c r="BT398" s="890"/>
      <c r="BX398" s="889"/>
      <c r="CB398" s="15"/>
      <c r="CC398" s="697"/>
      <c r="CD398" s="1086"/>
      <c r="CE398" s="15"/>
      <c r="CF398" s="15"/>
      <c r="CG398" s="936"/>
      <c r="CH398" s="15"/>
      <c r="CI398" s="15"/>
      <c r="CJ398" s="15"/>
      <c r="CK398" s="1107"/>
      <c r="CL398" s="22"/>
      <c r="CM398" s="22"/>
      <c r="CN398" s="1107"/>
      <c r="CR398" s="223"/>
      <c r="CS398" s="952"/>
      <c r="CT398" s="1066"/>
      <c r="CU398" s="972"/>
      <c r="CV398" s="983"/>
      <c r="CW398" s="222"/>
      <c r="CX398" s="697"/>
      <c r="DC398" s="222"/>
      <c r="DJ398" s="889"/>
      <c r="DM398" s="890"/>
      <c r="DN398" s="952"/>
      <c r="DO398" s="75"/>
      <c r="DP398" s="962"/>
      <c r="DQ398" s="983"/>
      <c r="DV398" s="889"/>
    </row>
    <row r="399" spans="1:126" s="74" customFormat="1">
      <c r="A399" s="15"/>
      <c r="B399" s="15"/>
      <c r="C399" s="15"/>
      <c r="D399" s="15"/>
      <c r="E399" s="6"/>
      <c r="F399" s="6"/>
      <c r="G399" s="6"/>
      <c r="K399" s="222"/>
      <c r="V399" s="1430"/>
      <c r="AA399" s="223"/>
      <c r="AC399" s="889"/>
      <c r="AF399" s="890"/>
      <c r="AJ399" s="889"/>
      <c r="AN399" s="222"/>
      <c r="BC399" s="223"/>
      <c r="BD399" s="222"/>
      <c r="BH399" s="611"/>
      <c r="BJ399" s="15"/>
      <c r="BK399" s="15"/>
      <c r="BO399" s="223"/>
      <c r="BQ399" s="889"/>
      <c r="BT399" s="890"/>
      <c r="BX399" s="889"/>
      <c r="CB399" s="15"/>
      <c r="CC399" s="697"/>
      <c r="CD399" s="1086"/>
      <c r="CE399" s="15"/>
      <c r="CF399" s="15"/>
      <c r="CG399" s="936"/>
      <c r="CH399" s="15"/>
      <c r="CI399" s="15"/>
      <c r="CJ399" s="15"/>
      <c r="CK399" s="1107"/>
      <c r="CL399" s="22"/>
      <c r="CM399" s="22"/>
      <c r="CN399" s="1107"/>
      <c r="CR399" s="223"/>
      <c r="CS399" s="952"/>
      <c r="CT399" s="1066"/>
      <c r="CU399" s="972"/>
      <c r="CV399" s="983"/>
      <c r="CW399" s="222"/>
      <c r="CX399" s="697"/>
      <c r="DC399" s="222"/>
      <c r="DJ399" s="889"/>
      <c r="DM399" s="890"/>
      <c r="DN399" s="952"/>
      <c r="DO399" s="75"/>
      <c r="DP399" s="962"/>
      <c r="DQ399" s="983"/>
      <c r="DV399" s="889"/>
    </row>
    <row r="400" spans="1:126" s="74" customFormat="1">
      <c r="A400" s="15"/>
      <c r="B400" s="15"/>
      <c r="C400" s="15"/>
      <c r="D400" s="15"/>
      <c r="E400" s="6"/>
      <c r="F400" s="6"/>
      <c r="G400" s="6"/>
      <c r="K400" s="222"/>
      <c r="V400" s="1430"/>
      <c r="AA400" s="223"/>
      <c r="AC400" s="889"/>
      <c r="AF400" s="890"/>
      <c r="AJ400" s="889"/>
      <c r="AN400" s="222"/>
      <c r="BC400" s="223"/>
      <c r="BD400" s="222"/>
      <c r="BH400" s="611"/>
      <c r="BJ400" s="15"/>
      <c r="BK400" s="15"/>
      <c r="BO400" s="223"/>
      <c r="BQ400" s="889"/>
      <c r="BT400" s="890"/>
      <c r="BX400" s="889"/>
      <c r="CB400" s="15"/>
      <c r="CC400" s="697"/>
      <c r="CD400" s="1086"/>
      <c r="CE400" s="15"/>
      <c r="CF400" s="15"/>
      <c r="CG400" s="936"/>
      <c r="CH400" s="15"/>
      <c r="CI400" s="15"/>
      <c r="CJ400" s="15"/>
      <c r="CK400" s="1107"/>
      <c r="CL400" s="22"/>
      <c r="CM400" s="22"/>
      <c r="CN400" s="1107"/>
      <c r="CR400" s="223"/>
      <c r="CS400" s="952"/>
      <c r="CT400" s="1066"/>
      <c r="CU400" s="972"/>
      <c r="CV400" s="983"/>
      <c r="CW400" s="222"/>
      <c r="CX400" s="697"/>
      <c r="DC400" s="222"/>
      <c r="DJ400" s="889"/>
      <c r="DM400" s="890"/>
      <c r="DN400" s="952"/>
      <c r="DO400" s="75"/>
      <c r="DP400" s="962"/>
      <c r="DQ400" s="983"/>
      <c r="DV400" s="889"/>
    </row>
    <row r="401" spans="1:126" s="74" customFormat="1">
      <c r="A401" s="15"/>
      <c r="B401" s="15"/>
      <c r="C401" s="15"/>
      <c r="D401" s="15"/>
      <c r="E401" s="6"/>
      <c r="F401" s="6"/>
      <c r="G401" s="6"/>
      <c r="K401" s="222"/>
      <c r="V401" s="1430"/>
      <c r="AA401" s="223"/>
      <c r="AC401" s="889"/>
      <c r="AF401" s="890"/>
      <c r="AJ401" s="889"/>
      <c r="AN401" s="222"/>
      <c r="BC401" s="223"/>
      <c r="BD401" s="222"/>
      <c r="BH401" s="611"/>
      <c r="BJ401" s="15"/>
      <c r="BK401" s="15"/>
      <c r="BO401" s="223"/>
      <c r="BQ401" s="889"/>
      <c r="BT401" s="890"/>
      <c r="BX401" s="889"/>
      <c r="CB401" s="15"/>
      <c r="CC401" s="697"/>
      <c r="CD401" s="1086"/>
      <c r="CE401" s="15"/>
      <c r="CF401" s="15"/>
      <c r="CG401" s="936"/>
      <c r="CH401" s="15"/>
      <c r="CI401" s="15"/>
      <c r="CJ401" s="15"/>
      <c r="CK401" s="1107"/>
      <c r="CL401" s="22"/>
      <c r="CM401" s="22"/>
      <c r="CN401" s="1107"/>
      <c r="CR401" s="223"/>
      <c r="CS401" s="952"/>
      <c r="CT401" s="1066"/>
      <c r="CU401" s="972"/>
      <c r="CV401" s="983"/>
      <c r="CW401" s="222"/>
      <c r="CX401" s="697"/>
      <c r="DC401" s="222"/>
      <c r="DJ401" s="889"/>
      <c r="DM401" s="890"/>
      <c r="DN401" s="952"/>
      <c r="DO401" s="75"/>
      <c r="DP401" s="962"/>
      <c r="DQ401" s="983"/>
      <c r="DV401" s="889"/>
    </row>
    <row r="402" spans="1:126" s="74" customFormat="1">
      <c r="A402" s="15"/>
      <c r="B402" s="15"/>
      <c r="C402" s="15"/>
      <c r="D402" s="15"/>
      <c r="E402" s="6"/>
      <c r="F402" s="6"/>
      <c r="G402" s="6"/>
      <c r="K402" s="222"/>
      <c r="V402" s="1430"/>
      <c r="AA402" s="223"/>
      <c r="AC402" s="889"/>
      <c r="AF402" s="890"/>
      <c r="AJ402" s="889"/>
      <c r="AN402" s="222"/>
      <c r="BC402" s="223"/>
      <c r="BD402" s="222"/>
      <c r="BH402" s="611"/>
      <c r="BJ402" s="15"/>
      <c r="BK402" s="15"/>
      <c r="BO402" s="223"/>
      <c r="BQ402" s="889"/>
      <c r="BT402" s="890"/>
      <c r="BX402" s="889"/>
      <c r="CB402" s="15"/>
      <c r="CC402" s="697"/>
      <c r="CD402" s="1086"/>
      <c r="CE402" s="15"/>
      <c r="CF402" s="15"/>
      <c r="CG402" s="936"/>
      <c r="CH402" s="15"/>
      <c r="CI402" s="15"/>
      <c r="CJ402" s="15"/>
      <c r="CK402" s="1107"/>
      <c r="CL402" s="22"/>
      <c r="CM402" s="22"/>
      <c r="CN402" s="1107"/>
      <c r="CR402" s="223"/>
      <c r="CS402" s="952"/>
      <c r="CT402" s="1066"/>
      <c r="CU402" s="972"/>
      <c r="CV402" s="983"/>
      <c r="CW402" s="222"/>
      <c r="CX402" s="697"/>
      <c r="DC402" s="222"/>
      <c r="DJ402" s="889"/>
      <c r="DM402" s="890"/>
      <c r="DN402" s="952"/>
      <c r="DO402" s="75"/>
      <c r="DP402" s="962"/>
      <c r="DQ402" s="983"/>
      <c r="DV402" s="889"/>
    </row>
    <row r="403" spans="1:126" s="74" customFormat="1">
      <c r="A403" s="15"/>
      <c r="B403" s="15"/>
      <c r="C403" s="15"/>
      <c r="D403" s="15"/>
      <c r="E403" s="6"/>
      <c r="F403" s="6"/>
      <c r="G403" s="6"/>
      <c r="K403" s="222"/>
      <c r="V403" s="1430"/>
      <c r="AA403" s="223"/>
      <c r="AC403" s="889"/>
      <c r="AF403" s="890"/>
      <c r="AJ403" s="889"/>
      <c r="AN403" s="222"/>
      <c r="BC403" s="223"/>
      <c r="BD403" s="222"/>
      <c r="BH403" s="611"/>
      <c r="BJ403" s="15"/>
      <c r="BK403" s="15"/>
      <c r="BO403" s="223"/>
      <c r="BQ403" s="889"/>
      <c r="BT403" s="890"/>
      <c r="BX403" s="889"/>
      <c r="CB403" s="15"/>
      <c r="CC403" s="697"/>
      <c r="CD403" s="1086"/>
      <c r="CE403" s="15"/>
      <c r="CF403" s="15"/>
      <c r="CG403" s="936"/>
      <c r="CH403" s="15"/>
      <c r="CI403" s="15"/>
      <c r="CJ403" s="15"/>
      <c r="CK403" s="1107"/>
      <c r="CL403" s="22"/>
      <c r="CM403" s="22"/>
      <c r="CN403" s="1107"/>
      <c r="CR403" s="223"/>
      <c r="CS403" s="952"/>
      <c r="CT403" s="1066"/>
      <c r="CU403" s="972"/>
      <c r="CV403" s="983"/>
      <c r="CW403" s="222"/>
      <c r="CX403" s="697"/>
      <c r="DC403" s="222"/>
      <c r="DJ403" s="889"/>
      <c r="DM403" s="890"/>
      <c r="DN403" s="952"/>
      <c r="DO403" s="75"/>
      <c r="DP403" s="962"/>
      <c r="DQ403" s="983"/>
      <c r="DV403" s="889"/>
    </row>
    <row r="404" spans="1:126" s="74" customFormat="1">
      <c r="A404" s="15"/>
      <c r="B404" s="15"/>
      <c r="C404" s="15"/>
      <c r="D404" s="15"/>
      <c r="E404" s="6"/>
      <c r="F404" s="6"/>
      <c r="G404" s="6"/>
      <c r="K404" s="222"/>
      <c r="V404" s="1430"/>
      <c r="AA404" s="223"/>
      <c r="AC404" s="889"/>
      <c r="AF404" s="890"/>
      <c r="AJ404" s="889"/>
      <c r="AN404" s="222"/>
      <c r="BC404" s="223"/>
      <c r="BD404" s="222"/>
      <c r="BH404" s="611"/>
      <c r="BJ404" s="15"/>
      <c r="BK404" s="15"/>
      <c r="BO404" s="223"/>
      <c r="BQ404" s="889"/>
      <c r="BT404" s="890"/>
      <c r="BX404" s="889"/>
      <c r="CB404" s="15"/>
      <c r="CC404" s="697"/>
      <c r="CD404" s="1086"/>
      <c r="CE404" s="15"/>
      <c r="CF404" s="15"/>
      <c r="CG404" s="936"/>
      <c r="CH404" s="15"/>
      <c r="CI404" s="15"/>
      <c r="CJ404" s="15"/>
      <c r="CK404" s="1107"/>
      <c r="CL404" s="22"/>
      <c r="CM404" s="22"/>
      <c r="CN404" s="1107"/>
      <c r="CR404" s="223"/>
      <c r="CS404" s="952"/>
      <c r="CT404" s="1066"/>
      <c r="CU404" s="972"/>
      <c r="CV404" s="983"/>
      <c r="CW404" s="222"/>
      <c r="CX404" s="697"/>
      <c r="DC404" s="222"/>
      <c r="DJ404" s="889"/>
      <c r="DM404" s="890"/>
      <c r="DN404" s="952"/>
      <c r="DO404" s="75"/>
      <c r="DP404" s="962"/>
      <c r="DQ404" s="983"/>
      <c r="DV404" s="889"/>
    </row>
    <row r="405" spans="1:126" s="74" customFormat="1">
      <c r="A405" s="15"/>
      <c r="B405" s="15"/>
      <c r="C405" s="15"/>
      <c r="D405" s="15"/>
      <c r="E405" s="6"/>
      <c r="F405" s="6"/>
      <c r="G405" s="6"/>
      <c r="K405" s="222"/>
      <c r="V405" s="1430"/>
      <c r="AA405" s="223"/>
      <c r="AC405" s="889"/>
      <c r="AF405" s="890"/>
      <c r="AJ405" s="889"/>
      <c r="AN405" s="222"/>
      <c r="BC405" s="223"/>
      <c r="BD405" s="222"/>
      <c r="BH405" s="611"/>
      <c r="BJ405" s="15"/>
      <c r="BK405" s="15"/>
      <c r="BO405" s="223"/>
      <c r="BQ405" s="889"/>
      <c r="BT405" s="890"/>
      <c r="BX405" s="889"/>
      <c r="CB405" s="15"/>
      <c r="CC405" s="697"/>
      <c r="CD405" s="1086"/>
      <c r="CE405" s="15"/>
      <c r="CF405" s="15"/>
      <c r="CG405" s="936"/>
      <c r="CH405" s="15"/>
      <c r="CI405" s="15"/>
      <c r="CJ405" s="15"/>
      <c r="CK405" s="1107"/>
      <c r="CL405" s="22"/>
      <c r="CM405" s="22"/>
      <c r="CN405" s="1107"/>
      <c r="CR405" s="223"/>
      <c r="CS405" s="952"/>
      <c r="CT405" s="1066"/>
      <c r="CU405" s="972"/>
      <c r="CV405" s="983"/>
      <c r="CW405" s="222"/>
      <c r="CX405" s="697"/>
      <c r="DC405" s="222"/>
      <c r="DJ405" s="889"/>
      <c r="DM405" s="890"/>
      <c r="DN405" s="952"/>
      <c r="DO405" s="75"/>
      <c r="DP405" s="962"/>
      <c r="DQ405" s="983"/>
      <c r="DV405" s="889"/>
    </row>
    <row r="406" spans="1:126" s="74" customFormat="1">
      <c r="A406" s="15"/>
      <c r="B406" s="15"/>
      <c r="C406" s="15"/>
      <c r="D406" s="15"/>
      <c r="E406" s="6"/>
      <c r="F406" s="6"/>
      <c r="G406" s="6"/>
      <c r="K406" s="222"/>
      <c r="V406" s="1430"/>
      <c r="AA406" s="223"/>
      <c r="AC406" s="889"/>
      <c r="AF406" s="890"/>
      <c r="AJ406" s="889"/>
      <c r="AN406" s="222"/>
      <c r="BC406" s="223"/>
      <c r="BD406" s="222"/>
      <c r="BH406" s="611"/>
      <c r="BJ406" s="15"/>
      <c r="BK406" s="15"/>
      <c r="BO406" s="223"/>
      <c r="BQ406" s="889"/>
      <c r="BT406" s="890"/>
      <c r="BX406" s="889"/>
      <c r="CB406" s="15"/>
      <c r="CC406" s="697"/>
      <c r="CD406" s="1086"/>
      <c r="CE406" s="15"/>
      <c r="CF406" s="15"/>
      <c r="CG406" s="936"/>
      <c r="CH406" s="15"/>
      <c r="CI406" s="15"/>
      <c r="CJ406" s="15"/>
      <c r="CK406" s="1107"/>
      <c r="CL406" s="22"/>
      <c r="CM406" s="22"/>
      <c r="CN406" s="1107"/>
      <c r="CR406" s="223"/>
      <c r="CS406" s="952"/>
      <c r="CT406" s="1066"/>
      <c r="CU406" s="972"/>
      <c r="CV406" s="983"/>
      <c r="CW406" s="222"/>
      <c r="CX406" s="697"/>
      <c r="DC406" s="222"/>
      <c r="DJ406" s="889"/>
      <c r="DM406" s="890"/>
      <c r="DN406" s="952"/>
      <c r="DO406" s="75"/>
      <c r="DP406" s="962"/>
      <c r="DQ406" s="983"/>
      <c r="DV406" s="889"/>
    </row>
    <row r="407" spans="1:126" s="74" customFormat="1">
      <c r="A407" s="15"/>
      <c r="B407" s="15"/>
      <c r="C407" s="15"/>
      <c r="D407" s="15"/>
      <c r="E407" s="6"/>
      <c r="F407" s="6"/>
      <c r="G407" s="6"/>
      <c r="K407" s="222"/>
      <c r="V407" s="1430"/>
      <c r="AA407" s="223"/>
      <c r="AC407" s="889"/>
      <c r="AF407" s="890"/>
      <c r="AJ407" s="889"/>
      <c r="AN407" s="222"/>
      <c r="BC407" s="223"/>
      <c r="BD407" s="222"/>
      <c r="BH407" s="611"/>
      <c r="BJ407" s="15"/>
      <c r="BK407" s="15"/>
      <c r="BO407" s="223"/>
      <c r="BQ407" s="889"/>
      <c r="BT407" s="890"/>
      <c r="BX407" s="889"/>
      <c r="CB407" s="15"/>
      <c r="CC407" s="697"/>
      <c r="CD407" s="1086"/>
      <c r="CE407" s="15"/>
      <c r="CF407" s="15"/>
      <c r="CG407" s="936"/>
      <c r="CH407" s="15"/>
      <c r="CI407" s="15"/>
      <c r="CJ407" s="15"/>
      <c r="CK407" s="1107"/>
      <c r="CL407" s="22"/>
      <c r="CM407" s="22"/>
      <c r="CN407" s="1107"/>
      <c r="CR407" s="223"/>
      <c r="CS407" s="952"/>
      <c r="CT407" s="1066"/>
      <c r="CU407" s="972"/>
      <c r="CV407" s="983"/>
      <c r="CW407" s="222"/>
      <c r="CX407" s="697"/>
      <c r="DC407" s="222"/>
      <c r="DJ407" s="889"/>
      <c r="DM407" s="890"/>
      <c r="DN407" s="952"/>
      <c r="DO407" s="75"/>
      <c r="DP407" s="962"/>
      <c r="DQ407" s="983"/>
      <c r="DV407" s="889"/>
    </row>
    <row r="408" spans="1:126" s="74" customFormat="1">
      <c r="A408" s="15"/>
      <c r="B408" s="15"/>
      <c r="C408" s="15"/>
      <c r="D408" s="15"/>
      <c r="E408" s="6"/>
      <c r="F408" s="6"/>
      <c r="G408" s="6"/>
      <c r="K408" s="222"/>
      <c r="V408" s="1430"/>
      <c r="AA408" s="223"/>
      <c r="AC408" s="889"/>
      <c r="AF408" s="890"/>
      <c r="AJ408" s="889"/>
      <c r="AN408" s="222"/>
      <c r="BC408" s="223"/>
      <c r="BD408" s="222"/>
      <c r="BH408" s="611"/>
      <c r="BJ408" s="15"/>
      <c r="BK408" s="15"/>
      <c r="BO408" s="223"/>
      <c r="BQ408" s="889"/>
      <c r="BT408" s="890"/>
      <c r="BX408" s="889"/>
      <c r="CB408" s="15"/>
      <c r="CC408" s="697"/>
      <c r="CD408" s="1086"/>
      <c r="CE408" s="15"/>
      <c r="CF408" s="15"/>
      <c r="CG408" s="936"/>
      <c r="CH408" s="15"/>
      <c r="CI408" s="15"/>
      <c r="CJ408" s="15"/>
      <c r="CK408" s="1107"/>
      <c r="CL408" s="22"/>
      <c r="CM408" s="22"/>
      <c r="CN408" s="1107"/>
      <c r="CR408" s="223"/>
      <c r="CS408" s="952"/>
      <c r="CT408" s="1066"/>
      <c r="CU408" s="972"/>
      <c r="CV408" s="983"/>
      <c r="CW408" s="222"/>
      <c r="CX408" s="697"/>
      <c r="DC408" s="222"/>
      <c r="DJ408" s="889"/>
      <c r="DM408" s="890"/>
      <c r="DN408" s="952"/>
      <c r="DO408" s="75"/>
      <c r="DP408" s="962"/>
      <c r="DQ408" s="983"/>
      <c r="DV408" s="889"/>
    </row>
    <row r="409" spans="1:126" s="74" customFormat="1">
      <c r="A409" s="15"/>
      <c r="B409" s="15"/>
      <c r="C409" s="15"/>
      <c r="D409" s="15"/>
      <c r="E409" s="6"/>
      <c r="F409" s="6"/>
      <c r="G409" s="6"/>
      <c r="K409" s="222"/>
      <c r="V409" s="1430"/>
      <c r="AA409" s="223"/>
      <c r="AC409" s="889"/>
      <c r="AF409" s="890"/>
      <c r="AJ409" s="889"/>
      <c r="AN409" s="222"/>
      <c r="BC409" s="223"/>
      <c r="BD409" s="222"/>
      <c r="BH409" s="611"/>
      <c r="BJ409" s="15"/>
      <c r="BK409" s="15"/>
      <c r="BO409" s="223"/>
      <c r="BQ409" s="889"/>
      <c r="BT409" s="890"/>
      <c r="BX409" s="889"/>
      <c r="CB409" s="15"/>
      <c r="CC409" s="697"/>
      <c r="CD409" s="1086"/>
      <c r="CE409" s="15"/>
      <c r="CF409" s="15"/>
      <c r="CG409" s="936"/>
      <c r="CH409" s="15"/>
      <c r="CI409" s="15"/>
      <c r="CJ409" s="15"/>
      <c r="CK409" s="1107"/>
      <c r="CL409" s="22"/>
      <c r="CM409" s="22"/>
      <c r="CN409" s="1107"/>
      <c r="CR409" s="223"/>
      <c r="CS409" s="952"/>
      <c r="CT409" s="1066"/>
      <c r="CU409" s="972"/>
      <c r="CV409" s="983"/>
      <c r="CW409" s="222"/>
      <c r="CX409" s="697"/>
      <c r="DC409" s="222"/>
      <c r="DJ409" s="889"/>
      <c r="DM409" s="890"/>
      <c r="DN409" s="952"/>
      <c r="DO409" s="75"/>
      <c r="DP409" s="962"/>
      <c r="DQ409" s="983"/>
      <c r="DV409" s="889"/>
    </row>
    <row r="410" spans="1:126" s="74" customFormat="1">
      <c r="A410" s="15"/>
      <c r="B410" s="15"/>
      <c r="C410" s="15"/>
      <c r="D410" s="15"/>
      <c r="E410" s="6"/>
      <c r="F410" s="6"/>
      <c r="G410" s="6"/>
      <c r="K410" s="222"/>
      <c r="V410" s="1430"/>
      <c r="AA410" s="223"/>
      <c r="AC410" s="889"/>
      <c r="AF410" s="890"/>
      <c r="AJ410" s="889"/>
      <c r="AN410" s="222"/>
      <c r="BC410" s="223"/>
      <c r="BD410" s="222"/>
      <c r="BH410" s="611"/>
      <c r="BJ410" s="15"/>
      <c r="BK410" s="15"/>
      <c r="BO410" s="223"/>
      <c r="BQ410" s="889"/>
      <c r="BT410" s="890"/>
      <c r="BX410" s="889"/>
      <c r="CB410" s="15"/>
      <c r="CC410" s="697"/>
      <c r="CD410" s="1086"/>
      <c r="CE410" s="15"/>
      <c r="CF410" s="15"/>
      <c r="CG410" s="936"/>
      <c r="CH410" s="15"/>
      <c r="CI410" s="15"/>
      <c r="CJ410" s="15"/>
      <c r="CK410" s="1107"/>
      <c r="CL410" s="22"/>
      <c r="CM410" s="22"/>
      <c r="CN410" s="1107"/>
      <c r="CR410" s="223"/>
      <c r="CS410" s="952"/>
      <c r="CT410" s="1066"/>
      <c r="CU410" s="972"/>
      <c r="CV410" s="983"/>
      <c r="CW410" s="222"/>
      <c r="CX410" s="697"/>
      <c r="DC410" s="222"/>
      <c r="DJ410" s="889"/>
      <c r="DM410" s="890"/>
      <c r="DN410" s="952"/>
      <c r="DO410" s="75"/>
      <c r="DP410" s="962"/>
      <c r="DQ410" s="983"/>
      <c r="DV410" s="889"/>
    </row>
    <row r="411" spans="1:126" s="74" customFormat="1">
      <c r="A411" s="15"/>
      <c r="B411" s="15"/>
      <c r="C411" s="15"/>
      <c r="D411" s="15"/>
      <c r="E411" s="6"/>
      <c r="F411" s="6"/>
      <c r="G411" s="6"/>
      <c r="K411" s="222"/>
      <c r="V411" s="1430"/>
      <c r="AA411" s="223"/>
      <c r="AC411" s="889"/>
      <c r="AF411" s="890"/>
      <c r="AJ411" s="889"/>
      <c r="AN411" s="222"/>
      <c r="BC411" s="223"/>
      <c r="BD411" s="222"/>
      <c r="BH411" s="611"/>
      <c r="BJ411" s="15"/>
      <c r="BK411" s="15"/>
      <c r="BO411" s="223"/>
      <c r="BQ411" s="889"/>
      <c r="BT411" s="890"/>
      <c r="BX411" s="889"/>
      <c r="CB411" s="15"/>
      <c r="CC411" s="697"/>
      <c r="CD411" s="1086"/>
      <c r="CE411" s="15"/>
      <c r="CF411" s="15"/>
      <c r="CG411" s="936"/>
      <c r="CH411" s="15"/>
      <c r="CI411" s="15"/>
      <c r="CJ411" s="15"/>
      <c r="CK411" s="1107"/>
      <c r="CL411" s="22"/>
      <c r="CM411" s="22"/>
      <c r="CN411" s="1107"/>
      <c r="CR411" s="223"/>
      <c r="CS411" s="952"/>
      <c r="CT411" s="1066"/>
      <c r="CU411" s="972"/>
      <c r="CV411" s="983"/>
      <c r="CW411" s="222"/>
      <c r="CX411" s="697"/>
      <c r="DC411" s="222"/>
      <c r="DJ411" s="889"/>
      <c r="DM411" s="890"/>
      <c r="DN411" s="952"/>
      <c r="DO411" s="75"/>
      <c r="DP411" s="962"/>
      <c r="DQ411" s="983"/>
      <c r="DV411" s="889"/>
    </row>
    <row r="412" spans="1:126" s="74" customFormat="1">
      <c r="A412" s="15"/>
      <c r="B412" s="15"/>
      <c r="C412" s="15"/>
      <c r="D412" s="15"/>
      <c r="E412" s="6"/>
      <c r="F412" s="6"/>
      <c r="G412" s="6"/>
      <c r="K412" s="222"/>
      <c r="V412" s="1430"/>
      <c r="AA412" s="223"/>
      <c r="AC412" s="889"/>
      <c r="AF412" s="890"/>
      <c r="AJ412" s="889"/>
      <c r="AN412" s="222"/>
      <c r="BC412" s="223"/>
      <c r="BD412" s="222"/>
      <c r="BH412" s="611"/>
      <c r="BJ412" s="15"/>
      <c r="BK412" s="15"/>
      <c r="BO412" s="223"/>
      <c r="BQ412" s="889"/>
      <c r="BT412" s="890"/>
      <c r="BX412" s="889"/>
      <c r="CB412" s="15"/>
      <c r="CC412" s="697"/>
      <c r="CD412" s="1086"/>
      <c r="CE412" s="15"/>
      <c r="CF412" s="15"/>
      <c r="CG412" s="936"/>
      <c r="CH412" s="15"/>
      <c r="CI412" s="15"/>
      <c r="CJ412" s="15"/>
      <c r="CK412" s="1107"/>
      <c r="CL412" s="22"/>
      <c r="CM412" s="22"/>
      <c r="CN412" s="1107"/>
      <c r="CR412" s="223"/>
      <c r="CS412" s="952"/>
      <c r="CT412" s="1066"/>
      <c r="CU412" s="972"/>
      <c r="CV412" s="983"/>
      <c r="CW412" s="222"/>
      <c r="CX412" s="697"/>
      <c r="DC412" s="222"/>
      <c r="DJ412" s="889"/>
      <c r="DM412" s="890"/>
      <c r="DN412" s="952"/>
      <c r="DO412" s="75"/>
      <c r="DP412" s="962"/>
      <c r="DQ412" s="983"/>
      <c r="DV412" s="889"/>
    </row>
    <row r="413" spans="1:126" s="74" customFormat="1">
      <c r="A413" s="15"/>
      <c r="B413" s="15"/>
      <c r="C413" s="15"/>
      <c r="D413" s="15"/>
      <c r="E413" s="6"/>
      <c r="F413" s="6"/>
      <c r="G413" s="6"/>
      <c r="K413" s="222"/>
      <c r="V413" s="1430"/>
      <c r="AA413" s="223"/>
      <c r="AC413" s="889"/>
      <c r="AF413" s="890"/>
      <c r="AJ413" s="889"/>
      <c r="AN413" s="222"/>
      <c r="BC413" s="223"/>
      <c r="BD413" s="222"/>
      <c r="BH413" s="611"/>
      <c r="BJ413" s="15"/>
      <c r="BK413" s="15"/>
      <c r="BO413" s="223"/>
      <c r="BQ413" s="889"/>
      <c r="BT413" s="890"/>
      <c r="BX413" s="889"/>
      <c r="CB413" s="15"/>
      <c r="CC413" s="697"/>
      <c r="CD413" s="1086"/>
      <c r="CE413" s="15"/>
      <c r="CF413" s="15"/>
      <c r="CG413" s="936"/>
      <c r="CH413" s="15"/>
      <c r="CI413" s="15"/>
      <c r="CJ413" s="15"/>
      <c r="CK413" s="1107"/>
      <c r="CL413" s="22"/>
      <c r="CM413" s="22"/>
      <c r="CN413" s="1107"/>
      <c r="CR413" s="223"/>
      <c r="CS413" s="952"/>
      <c r="CT413" s="1066"/>
      <c r="CU413" s="972"/>
      <c r="CV413" s="983"/>
      <c r="CW413" s="222"/>
      <c r="CX413" s="697"/>
      <c r="DC413" s="222"/>
      <c r="DJ413" s="889"/>
      <c r="DM413" s="890"/>
      <c r="DN413" s="952"/>
      <c r="DO413" s="75"/>
      <c r="DP413" s="962"/>
      <c r="DQ413" s="983"/>
      <c r="DV413" s="889"/>
    </row>
    <row r="414" spans="1:126" s="74" customFormat="1">
      <c r="A414" s="15"/>
      <c r="B414" s="15"/>
      <c r="C414" s="15"/>
      <c r="D414" s="15"/>
      <c r="E414" s="6"/>
      <c r="F414" s="6"/>
      <c r="G414" s="6"/>
      <c r="K414" s="222"/>
      <c r="V414" s="1430"/>
      <c r="AA414" s="223"/>
      <c r="AC414" s="889"/>
      <c r="AF414" s="890"/>
      <c r="AJ414" s="889"/>
      <c r="AN414" s="222"/>
      <c r="BC414" s="223"/>
      <c r="BD414" s="222"/>
      <c r="BH414" s="611"/>
      <c r="BJ414" s="15"/>
      <c r="BK414" s="15"/>
      <c r="BO414" s="223"/>
      <c r="BQ414" s="889"/>
      <c r="BT414" s="890"/>
      <c r="BX414" s="889"/>
      <c r="CB414" s="15"/>
      <c r="CC414" s="697"/>
      <c r="CD414" s="1086"/>
      <c r="CE414" s="15"/>
      <c r="CF414" s="15"/>
      <c r="CG414" s="936"/>
      <c r="CH414" s="15"/>
      <c r="CI414" s="15"/>
      <c r="CJ414" s="15"/>
      <c r="CK414" s="1107"/>
      <c r="CL414" s="22"/>
      <c r="CM414" s="22"/>
      <c r="CN414" s="1107"/>
      <c r="CR414" s="223"/>
      <c r="CS414" s="952"/>
      <c r="CT414" s="1066"/>
      <c r="CU414" s="972"/>
      <c r="CV414" s="983"/>
      <c r="CW414" s="222"/>
      <c r="CX414" s="697"/>
      <c r="DC414" s="222"/>
      <c r="DJ414" s="889"/>
      <c r="DM414" s="890"/>
      <c r="DN414" s="952"/>
      <c r="DO414" s="75"/>
      <c r="DP414" s="962"/>
      <c r="DQ414" s="983"/>
      <c r="DV414" s="889"/>
    </row>
    <row r="415" spans="1:126" s="74" customFormat="1">
      <c r="A415" s="15"/>
      <c r="B415" s="15"/>
      <c r="C415" s="15"/>
      <c r="D415" s="15"/>
      <c r="E415" s="6"/>
      <c r="F415" s="6"/>
      <c r="G415" s="6"/>
      <c r="K415" s="222"/>
      <c r="V415" s="1430"/>
      <c r="AA415" s="223"/>
      <c r="AC415" s="889"/>
      <c r="AF415" s="890"/>
      <c r="AJ415" s="889"/>
      <c r="AN415" s="222"/>
      <c r="BC415" s="223"/>
      <c r="BD415" s="222"/>
      <c r="BH415" s="611"/>
      <c r="BJ415" s="15"/>
      <c r="BK415" s="15"/>
      <c r="BO415" s="223"/>
      <c r="BQ415" s="889"/>
      <c r="BT415" s="890"/>
      <c r="BX415" s="889"/>
      <c r="CB415" s="15"/>
      <c r="CC415" s="697"/>
      <c r="CD415" s="1086"/>
      <c r="CE415" s="15"/>
      <c r="CF415" s="15"/>
      <c r="CG415" s="936"/>
      <c r="CH415" s="15"/>
      <c r="CI415" s="15"/>
      <c r="CJ415" s="15"/>
      <c r="CK415" s="1107"/>
      <c r="CL415" s="22"/>
      <c r="CM415" s="22"/>
      <c r="CN415" s="1107"/>
      <c r="CR415" s="223"/>
      <c r="CS415" s="952"/>
      <c r="CT415" s="1066"/>
      <c r="CU415" s="972"/>
      <c r="CV415" s="983"/>
      <c r="CW415" s="222"/>
      <c r="CX415" s="697"/>
      <c r="DC415" s="222"/>
      <c r="DJ415" s="889"/>
      <c r="DM415" s="890"/>
      <c r="DN415" s="952"/>
      <c r="DO415" s="75"/>
      <c r="DP415" s="962"/>
      <c r="DQ415" s="983"/>
      <c r="DV415" s="889"/>
    </row>
    <row r="416" spans="1:126" s="74" customFormat="1">
      <c r="A416" s="15"/>
      <c r="B416" s="15"/>
      <c r="C416" s="15"/>
      <c r="D416" s="15"/>
      <c r="E416" s="6"/>
      <c r="F416" s="6"/>
      <c r="G416" s="6"/>
      <c r="K416" s="222"/>
      <c r="V416" s="1430"/>
      <c r="AA416" s="223"/>
      <c r="AC416" s="889"/>
      <c r="AF416" s="890"/>
      <c r="AJ416" s="889"/>
      <c r="AN416" s="222"/>
      <c r="BC416" s="223"/>
      <c r="BD416" s="222"/>
      <c r="BH416" s="611"/>
      <c r="BJ416" s="15"/>
      <c r="BK416" s="15"/>
      <c r="BO416" s="223"/>
      <c r="BQ416" s="889"/>
      <c r="BT416" s="890"/>
      <c r="BX416" s="889"/>
      <c r="CB416" s="15"/>
      <c r="CC416" s="697"/>
      <c r="CD416" s="1086"/>
      <c r="CE416" s="15"/>
      <c r="CF416" s="15"/>
      <c r="CG416" s="936"/>
      <c r="CH416" s="15"/>
      <c r="CI416" s="15"/>
      <c r="CJ416" s="15"/>
      <c r="CK416" s="1107"/>
      <c r="CL416" s="22"/>
      <c r="CM416" s="22"/>
      <c r="CN416" s="1107"/>
      <c r="CR416" s="223"/>
      <c r="CS416" s="952"/>
      <c r="CT416" s="1066"/>
      <c r="CU416" s="972"/>
      <c r="CV416" s="983"/>
      <c r="CW416" s="222"/>
      <c r="CX416" s="697"/>
      <c r="DC416" s="222"/>
      <c r="DJ416" s="889"/>
      <c r="DM416" s="890"/>
      <c r="DN416" s="952"/>
      <c r="DO416" s="75"/>
      <c r="DP416" s="962"/>
      <c r="DQ416" s="983"/>
      <c r="DV416" s="889"/>
    </row>
    <row r="417" spans="1:126" s="74" customFormat="1">
      <c r="A417" s="15"/>
      <c r="B417" s="15"/>
      <c r="C417" s="15"/>
      <c r="D417" s="15"/>
      <c r="E417" s="6"/>
      <c r="F417" s="6"/>
      <c r="G417" s="6"/>
      <c r="K417" s="222"/>
      <c r="V417" s="1430"/>
      <c r="AA417" s="223"/>
      <c r="AC417" s="889"/>
      <c r="AF417" s="890"/>
      <c r="AJ417" s="889"/>
      <c r="AN417" s="222"/>
      <c r="BC417" s="223"/>
      <c r="BD417" s="222"/>
      <c r="BH417" s="611"/>
      <c r="BJ417" s="15"/>
      <c r="BK417" s="15"/>
      <c r="BO417" s="223"/>
      <c r="BQ417" s="889"/>
      <c r="BT417" s="890"/>
      <c r="BX417" s="889"/>
      <c r="CB417" s="15"/>
      <c r="CC417" s="697"/>
      <c r="CD417" s="1086"/>
      <c r="CE417" s="15"/>
      <c r="CF417" s="15"/>
      <c r="CG417" s="936"/>
      <c r="CH417" s="15"/>
      <c r="CI417" s="15"/>
      <c r="CJ417" s="15"/>
      <c r="CK417" s="1107"/>
      <c r="CL417" s="22"/>
      <c r="CM417" s="22"/>
      <c r="CN417" s="1107"/>
      <c r="CR417" s="223"/>
      <c r="CS417" s="952"/>
      <c r="CT417" s="1066"/>
      <c r="CU417" s="972"/>
      <c r="CV417" s="983"/>
      <c r="CW417" s="222"/>
      <c r="CX417" s="697"/>
      <c r="DC417" s="222"/>
      <c r="DJ417" s="889"/>
      <c r="DM417" s="890"/>
      <c r="DN417" s="952"/>
      <c r="DO417" s="75"/>
      <c r="DP417" s="962"/>
      <c r="DQ417" s="983"/>
      <c r="DV417" s="889"/>
    </row>
    <row r="418" spans="1:126" s="74" customFormat="1">
      <c r="A418" s="15"/>
      <c r="B418" s="15"/>
      <c r="C418" s="15"/>
      <c r="D418" s="15"/>
      <c r="E418" s="6"/>
      <c r="F418" s="6"/>
      <c r="G418" s="6"/>
      <c r="K418" s="222"/>
      <c r="V418" s="1430"/>
      <c r="AA418" s="223"/>
      <c r="AC418" s="889"/>
      <c r="AF418" s="890"/>
      <c r="AJ418" s="889"/>
      <c r="AN418" s="222"/>
      <c r="BC418" s="223"/>
      <c r="BD418" s="222"/>
      <c r="BH418" s="611"/>
      <c r="BJ418" s="15"/>
      <c r="BK418" s="15"/>
      <c r="BO418" s="223"/>
      <c r="BQ418" s="889"/>
      <c r="BT418" s="890"/>
      <c r="BX418" s="889"/>
      <c r="CB418" s="15"/>
      <c r="CC418" s="697"/>
      <c r="CD418" s="1086"/>
      <c r="CE418" s="15"/>
      <c r="CF418" s="15"/>
      <c r="CG418" s="936"/>
      <c r="CH418" s="15"/>
      <c r="CI418" s="15"/>
      <c r="CJ418" s="15"/>
      <c r="CK418" s="1107"/>
      <c r="CL418" s="22"/>
      <c r="CM418" s="22"/>
      <c r="CN418" s="1107"/>
      <c r="CR418" s="223"/>
      <c r="CS418" s="952"/>
      <c r="CT418" s="1066"/>
      <c r="CU418" s="972"/>
      <c r="CV418" s="983"/>
      <c r="CW418" s="222"/>
      <c r="CX418" s="697"/>
      <c r="DC418" s="222"/>
      <c r="DJ418" s="889"/>
      <c r="DM418" s="890"/>
      <c r="DN418" s="952"/>
      <c r="DO418" s="75"/>
      <c r="DP418" s="962"/>
      <c r="DQ418" s="983"/>
      <c r="DV418" s="889"/>
    </row>
    <row r="419" spans="1:126" s="74" customFormat="1">
      <c r="A419" s="15"/>
      <c r="B419" s="15"/>
      <c r="C419" s="15"/>
      <c r="D419" s="15"/>
      <c r="E419" s="6"/>
      <c r="F419" s="6"/>
      <c r="G419" s="6"/>
      <c r="K419" s="222"/>
      <c r="V419" s="1430"/>
      <c r="AA419" s="223"/>
      <c r="AC419" s="889"/>
      <c r="AF419" s="890"/>
      <c r="AJ419" s="889"/>
      <c r="AN419" s="222"/>
      <c r="BC419" s="223"/>
      <c r="BD419" s="222"/>
      <c r="BH419" s="611"/>
      <c r="BJ419" s="15"/>
      <c r="BK419" s="15"/>
      <c r="BO419" s="223"/>
      <c r="BQ419" s="889"/>
      <c r="BT419" s="890"/>
      <c r="BX419" s="889"/>
      <c r="CB419" s="15"/>
      <c r="CC419" s="697"/>
      <c r="CD419" s="1086"/>
      <c r="CE419" s="15"/>
      <c r="CF419" s="15"/>
      <c r="CG419" s="936"/>
      <c r="CH419" s="15"/>
      <c r="CI419" s="15"/>
      <c r="CJ419" s="15"/>
      <c r="CK419" s="1107"/>
      <c r="CL419" s="22"/>
      <c r="CM419" s="22"/>
      <c r="CN419" s="1107"/>
      <c r="CR419" s="223"/>
      <c r="CS419" s="952"/>
      <c r="CT419" s="1066"/>
      <c r="CU419" s="972"/>
      <c r="CV419" s="983"/>
      <c r="CW419" s="222"/>
      <c r="CX419" s="697"/>
      <c r="DC419" s="222"/>
      <c r="DJ419" s="889"/>
      <c r="DM419" s="890"/>
      <c r="DN419" s="952"/>
      <c r="DO419" s="75"/>
      <c r="DP419" s="962"/>
      <c r="DQ419" s="983"/>
      <c r="DV419" s="889"/>
    </row>
    <row r="420" spans="1:126" s="74" customFormat="1">
      <c r="A420" s="15"/>
      <c r="B420" s="15"/>
      <c r="C420" s="15"/>
      <c r="D420" s="15"/>
      <c r="E420" s="6"/>
      <c r="F420" s="6"/>
      <c r="G420" s="6"/>
      <c r="K420" s="222"/>
      <c r="V420" s="1430"/>
      <c r="AA420" s="223"/>
      <c r="AC420" s="889"/>
      <c r="AF420" s="890"/>
      <c r="AJ420" s="889"/>
      <c r="AN420" s="222"/>
      <c r="BC420" s="223"/>
      <c r="BD420" s="222"/>
      <c r="BH420" s="611"/>
      <c r="BJ420" s="15"/>
      <c r="BK420" s="15"/>
      <c r="BO420" s="223"/>
      <c r="BQ420" s="889"/>
      <c r="BT420" s="890"/>
      <c r="BX420" s="889"/>
      <c r="CB420" s="15"/>
      <c r="CC420" s="697"/>
      <c r="CD420" s="1086"/>
      <c r="CE420" s="15"/>
      <c r="CF420" s="15"/>
      <c r="CG420" s="936"/>
      <c r="CH420" s="15"/>
      <c r="CI420" s="15"/>
      <c r="CJ420" s="15"/>
      <c r="CK420" s="1107"/>
      <c r="CL420" s="22"/>
      <c r="CM420" s="22"/>
      <c r="CN420" s="1107"/>
      <c r="CR420" s="223"/>
      <c r="CS420" s="952"/>
      <c r="CT420" s="1066"/>
      <c r="CU420" s="972"/>
      <c r="CV420" s="983"/>
      <c r="CW420" s="222"/>
      <c r="CX420" s="697"/>
      <c r="DC420" s="222"/>
      <c r="DJ420" s="889"/>
      <c r="DM420" s="890"/>
      <c r="DN420" s="952"/>
      <c r="DO420" s="75"/>
      <c r="DP420" s="962"/>
      <c r="DQ420" s="983"/>
      <c r="DV420" s="889"/>
    </row>
    <row r="421" spans="1:126" s="74" customFormat="1">
      <c r="A421" s="15"/>
      <c r="B421" s="15"/>
      <c r="C421" s="15"/>
      <c r="D421" s="15"/>
      <c r="E421" s="6"/>
      <c r="F421" s="6"/>
      <c r="G421" s="6"/>
      <c r="K421" s="222"/>
      <c r="V421" s="1430"/>
      <c r="AA421" s="223"/>
      <c r="AC421" s="889"/>
      <c r="AF421" s="890"/>
      <c r="AJ421" s="889"/>
      <c r="AN421" s="222"/>
      <c r="BC421" s="223"/>
      <c r="BD421" s="222"/>
      <c r="BH421" s="611"/>
      <c r="BJ421" s="15"/>
      <c r="BK421" s="15"/>
      <c r="BO421" s="223"/>
      <c r="BQ421" s="889"/>
      <c r="BT421" s="890"/>
      <c r="BX421" s="889"/>
      <c r="CB421" s="15"/>
      <c r="CC421" s="697"/>
      <c r="CD421" s="1086"/>
      <c r="CE421" s="15"/>
      <c r="CF421" s="15"/>
      <c r="CG421" s="936"/>
      <c r="CH421" s="15"/>
      <c r="CI421" s="15"/>
      <c r="CJ421" s="15"/>
      <c r="CK421" s="1107"/>
      <c r="CL421" s="22"/>
      <c r="CM421" s="22"/>
      <c r="CN421" s="1107"/>
      <c r="CR421" s="223"/>
      <c r="CS421" s="952"/>
      <c r="CT421" s="1066"/>
      <c r="CU421" s="972"/>
      <c r="CV421" s="983"/>
      <c r="CW421" s="222"/>
      <c r="CX421" s="697"/>
      <c r="DC421" s="222"/>
      <c r="DJ421" s="889"/>
      <c r="DM421" s="890"/>
      <c r="DN421" s="952"/>
      <c r="DO421" s="75"/>
      <c r="DP421" s="962"/>
      <c r="DQ421" s="983"/>
      <c r="DV421" s="889"/>
    </row>
    <row r="422" spans="1:126" s="74" customFormat="1">
      <c r="A422" s="15"/>
      <c r="B422" s="15"/>
      <c r="C422" s="15"/>
      <c r="D422" s="15"/>
      <c r="E422" s="6"/>
      <c r="F422" s="6"/>
      <c r="G422" s="6"/>
      <c r="K422" s="222"/>
      <c r="V422" s="1430"/>
      <c r="AA422" s="223"/>
      <c r="AC422" s="889"/>
      <c r="AF422" s="890"/>
      <c r="AJ422" s="889"/>
      <c r="AN422" s="222"/>
      <c r="BC422" s="223"/>
      <c r="BD422" s="222"/>
      <c r="BH422" s="611"/>
      <c r="BJ422" s="15"/>
      <c r="BK422" s="15"/>
      <c r="BO422" s="223"/>
      <c r="BQ422" s="889"/>
      <c r="BT422" s="890"/>
      <c r="BX422" s="889"/>
      <c r="CB422" s="15"/>
      <c r="CC422" s="697"/>
      <c r="CD422" s="1086"/>
      <c r="CE422" s="15"/>
      <c r="CF422" s="15"/>
      <c r="CG422" s="936"/>
      <c r="CH422" s="15"/>
      <c r="CI422" s="15"/>
      <c r="CJ422" s="15"/>
      <c r="CK422" s="1107"/>
      <c r="CL422" s="22"/>
      <c r="CM422" s="22"/>
      <c r="CN422" s="1107"/>
      <c r="CR422" s="223"/>
      <c r="CS422" s="952"/>
      <c r="CT422" s="1066"/>
      <c r="CU422" s="972"/>
      <c r="CV422" s="983"/>
      <c r="CW422" s="222"/>
      <c r="CX422" s="697"/>
      <c r="DC422" s="222"/>
      <c r="DJ422" s="889"/>
      <c r="DM422" s="890"/>
      <c r="DN422" s="952"/>
      <c r="DO422" s="75"/>
      <c r="DP422" s="962"/>
      <c r="DQ422" s="983"/>
      <c r="DV422" s="889"/>
    </row>
    <row r="423" spans="1:126" s="74" customFormat="1">
      <c r="A423" s="15"/>
      <c r="B423" s="15"/>
      <c r="C423" s="15"/>
      <c r="D423" s="15"/>
      <c r="E423" s="6"/>
      <c r="F423" s="6"/>
      <c r="G423" s="6"/>
      <c r="K423" s="222"/>
      <c r="V423" s="1430"/>
      <c r="AA423" s="223"/>
      <c r="AC423" s="889"/>
      <c r="AF423" s="890"/>
      <c r="AJ423" s="889"/>
      <c r="AN423" s="222"/>
      <c r="BC423" s="223"/>
      <c r="BD423" s="222"/>
      <c r="BH423" s="611"/>
      <c r="BJ423" s="15"/>
      <c r="BK423" s="15"/>
      <c r="BO423" s="223"/>
      <c r="BQ423" s="889"/>
      <c r="BT423" s="890"/>
      <c r="BX423" s="889"/>
      <c r="CB423" s="15"/>
      <c r="CC423" s="697"/>
      <c r="CD423" s="1086"/>
      <c r="CE423" s="15"/>
      <c r="CF423" s="15"/>
      <c r="CG423" s="936"/>
      <c r="CH423" s="15"/>
      <c r="CI423" s="15"/>
      <c r="CJ423" s="15"/>
      <c r="CK423" s="1107"/>
      <c r="CL423" s="22"/>
      <c r="CM423" s="22"/>
      <c r="CN423" s="1107"/>
      <c r="CR423" s="223"/>
      <c r="CS423" s="952"/>
      <c r="CT423" s="1066"/>
      <c r="CU423" s="972"/>
      <c r="CV423" s="983"/>
      <c r="CW423" s="222"/>
      <c r="CX423" s="697"/>
      <c r="DC423" s="222"/>
      <c r="DJ423" s="889"/>
      <c r="DM423" s="890"/>
      <c r="DN423" s="952"/>
      <c r="DO423" s="75"/>
      <c r="DP423" s="962"/>
      <c r="DQ423" s="983"/>
      <c r="DV423" s="889"/>
    </row>
    <row r="424" spans="1:126" s="74" customFormat="1">
      <c r="A424" s="15"/>
      <c r="B424" s="15"/>
      <c r="C424" s="15"/>
      <c r="D424" s="15"/>
      <c r="E424" s="6"/>
      <c r="F424" s="6"/>
      <c r="G424" s="6"/>
      <c r="K424" s="222"/>
      <c r="V424" s="1430"/>
      <c r="AA424" s="223"/>
      <c r="AC424" s="889"/>
      <c r="AF424" s="890"/>
      <c r="AJ424" s="889"/>
      <c r="AN424" s="222"/>
      <c r="BC424" s="223"/>
      <c r="BD424" s="222"/>
      <c r="BH424" s="611"/>
      <c r="BJ424" s="15"/>
      <c r="BK424" s="15"/>
      <c r="BO424" s="223"/>
      <c r="BQ424" s="889"/>
      <c r="BT424" s="890"/>
      <c r="BX424" s="889"/>
      <c r="CB424" s="15"/>
      <c r="CC424" s="697"/>
      <c r="CD424" s="1086"/>
      <c r="CE424" s="15"/>
      <c r="CF424" s="15"/>
      <c r="CG424" s="936"/>
      <c r="CH424" s="15"/>
      <c r="CI424" s="15"/>
      <c r="CJ424" s="15"/>
      <c r="CK424" s="1107"/>
      <c r="CL424" s="22"/>
      <c r="CM424" s="22"/>
      <c r="CN424" s="1107"/>
      <c r="CR424" s="223"/>
      <c r="CS424" s="952"/>
      <c r="CT424" s="1066"/>
      <c r="CU424" s="972"/>
      <c r="CV424" s="983"/>
      <c r="CW424" s="222"/>
      <c r="CX424" s="697"/>
      <c r="DC424" s="222"/>
      <c r="DJ424" s="889"/>
      <c r="DM424" s="890"/>
      <c r="DN424" s="952"/>
      <c r="DO424" s="75"/>
      <c r="DP424" s="962"/>
      <c r="DQ424" s="983"/>
      <c r="DV424" s="889"/>
    </row>
    <row r="425" spans="1:126" s="74" customFormat="1">
      <c r="A425" s="15"/>
      <c r="B425" s="15"/>
      <c r="C425" s="15"/>
      <c r="D425" s="15"/>
      <c r="E425" s="6"/>
      <c r="F425" s="6"/>
      <c r="G425" s="6"/>
      <c r="K425" s="222"/>
      <c r="V425" s="1430"/>
      <c r="AA425" s="223"/>
      <c r="AC425" s="889"/>
      <c r="AF425" s="890"/>
      <c r="AJ425" s="889"/>
      <c r="AN425" s="222"/>
      <c r="BC425" s="223"/>
      <c r="BD425" s="222"/>
      <c r="BH425" s="611"/>
      <c r="BJ425" s="15"/>
      <c r="BK425" s="15"/>
      <c r="BO425" s="223"/>
      <c r="BQ425" s="889"/>
      <c r="BT425" s="890"/>
      <c r="BX425" s="889"/>
      <c r="CB425" s="15"/>
      <c r="CC425" s="697"/>
      <c r="CD425" s="1086"/>
      <c r="CE425" s="15"/>
      <c r="CF425" s="15"/>
      <c r="CG425" s="936"/>
      <c r="CH425" s="15"/>
      <c r="CI425" s="15"/>
      <c r="CJ425" s="15"/>
      <c r="CK425" s="1107"/>
      <c r="CL425" s="22"/>
      <c r="CM425" s="22"/>
      <c r="CN425" s="1107"/>
      <c r="CR425" s="223"/>
      <c r="CS425" s="952"/>
      <c r="CT425" s="1066"/>
      <c r="CU425" s="972"/>
      <c r="CV425" s="983"/>
      <c r="CW425" s="222"/>
      <c r="CX425" s="697"/>
      <c r="DC425" s="222"/>
      <c r="DJ425" s="889"/>
      <c r="DM425" s="890"/>
      <c r="DN425" s="952"/>
      <c r="DO425" s="75"/>
      <c r="DP425" s="962"/>
      <c r="DQ425" s="983"/>
      <c r="DV425" s="889"/>
    </row>
    <row r="426" spans="1:126" s="74" customFormat="1">
      <c r="A426" s="15"/>
      <c r="B426" s="15"/>
      <c r="C426" s="15"/>
      <c r="D426" s="15"/>
      <c r="E426" s="6"/>
      <c r="F426" s="6"/>
      <c r="G426" s="6"/>
      <c r="K426" s="222"/>
      <c r="V426" s="1430"/>
      <c r="AA426" s="223"/>
      <c r="AC426" s="889"/>
      <c r="AF426" s="890"/>
      <c r="AJ426" s="889"/>
      <c r="AN426" s="222"/>
      <c r="BC426" s="223"/>
      <c r="BD426" s="222"/>
      <c r="BH426" s="611"/>
      <c r="BJ426" s="15"/>
      <c r="BK426" s="15"/>
      <c r="BO426" s="223"/>
      <c r="BQ426" s="889"/>
      <c r="BT426" s="890"/>
      <c r="BX426" s="889"/>
      <c r="CB426" s="15"/>
      <c r="CC426" s="697"/>
      <c r="CD426" s="1086"/>
      <c r="CE426" s="15"/>
      <c r="CF426" s="15"/>
      <c r="CG426" s="936"/>
      <c r="CH426" s="15"/>
      <c r="CI426" s="15"/>
      <c r="CJ426" s="15"/>
      <c r="CK426" s="1107"/>
      <c r="CL426" s="22"/>
      <c r="CM426" s="22"/>
      <c r="CN426" s="1107"/>
      <c r="CR426" s="223"/>
      <c r="CS426" s="952"/>
      <c r="CT426" s="1066"/>
      <c r="CU426" s="972"/>
      <c r="CV426" s="983"/>
      <c r="CW426" s="222"/>
      <c r="CX426" s="697"/>
      <c r="DC426" s="222"/>
      <c r="DJ426" s="889"/>
      <c r="DM426" s="890"/>
      <c r="DN426" s="952"/>
      <c r="DO426" s="75"/>
      <c r="DP426" s="962"/>
      <c r="DQ426" s="983"/>
      <c r="DV426" s="889"/>
    </row>
    <row r="427" spans="1:126" s="74" customFormat="1">
      <c r="A427" s="15"/>
      <c r="B427" s="15"/>
      <c r="C427" s="15"/>
      <c r="D427" s="15"/>
      <c r="E427" s="6"/>
      <c r="F427" s="6"/>
      <c r="G427" s="6"/>
      <c r="K427" s="222"/>
      <c r="V427" s="1430"/>
      <c r="AA427" s="223"/>
      <c r="AC427" s="889"/>
      <c r="AF427" s="890"/>
      <c r="AJ427" s="889"/>
      <c r="AN427" s="222"/>
      <c r="BC427" s="223"/>
      <c r="BD427" s="222"/>
      <c r="BH427" s="611"/>
      <c r="BJ427" s="15"/>
      <c r="BK427" s="15"/>
      <c r="BO427" s="223"/>
      <c r="BQ427" s="889"/>
      <c r="BT427" s="890"/>
      <c r="BX427" s="889"/>
      <c r="CB427" s="15"/>
      <c r="CC427" s="697"/>
      <c r="CD427" s="1086"/>
      <c r="CE427" s="15"/>
      <c r="CF427" s="15"/>
      <c r="CG427" s="936"/>
      <c r="CH427" s="15"/>
      <c r="CI427" s="15"/>
      <c r="CJ427" s="15"/>
      <c r="CK427" s="1107"/>
      <c r="CL427" s="22"/>
      <c r="CM427" s="22"/>
      <c r="CN427" s="1107"/>
      <c r="CR427" s="223"/>
      <c r="CS427" s="952"/>
      <c r="CT427" s="1066"/>
      <c r="CU427" s="972"/>
      <c r="CV427" s="983"/>
      <c r="CW427" s="222"/>
      <c r="CX427" s="697"/>
      <c r="DC427" s="222"/>
      <c r="DJ427" s="889"/>
      <c r="DM427" s="890"/>
      <c r="DN427" s="952"/>
      <c r="DO427" s="75"/>
      <c r="DP427" s="962"/>
      <c r="DQ427" s="983"/>
      <c r="DV427" s="889"/>
    </row>
    <row r="428" spans="1:126" s="74" customFormat="1">
      <c r="A428" s="15"/>
      <c r="B428" s="15"/>
      <c r="C428" s="15"/>
      <c r="D428" s="15"/>
      <c r="E428" s="6"/>
      <c r="F428" s="6"/>
      <c r="G428" s="6"/>
      <c r="K428" s="222"/>
      <c r="V428" s="1430"/>
      <c r="AA428" s="223"/>
      <c r="AC428" s="889"/>
      <c r="AF428" s="890"/>
      <c r="AJ428" s="889"/>
      <c r="AN428" s="222"/>
      <c r="BC428" s="223"/>
      <c r="BD428" s="222"/>
      <c r="BH428" s="611"/>
      <c r="BJ428" s="15"/>
      <c r="BK428" s="15"/>
      <c r="BO428" s="223"/>
      <c r="BQ428" s="889"/>
      <c r="BT428" s="890"/>
      <c r="BX428" s="889"/>
      <c r="CB428" s="15"/>
      <c r="CC428" s="697"/>
      <c r="CD428" s="1086"/>
      <c r="CE428" s="15"/>
      <c r="CF428" s="15"/>
      <c r="CG428" s="936"/>
      <c r="CH428" s="15"/>
      <c r="CI428" s="15"/>
      <c r="CJ428" s="15"/>
      <c r="CK428" s="1107"/>
      <c r="CL428" s="22"/>
      <c r="CM428" s="22"/>
      <c r="CN428" s="1107"/>
      <c r="CR428" s="223"/>
      <c r="CS428" s="952"/>
      <c r="CT428" s="1066"/>
      <c r="CU428" s="972"/>
      <c r="CV428" s="983"/>
      <c r="CW428" s="222"/>
      <c r="CX428" s="697"/>
      <c r="DC428" s="222"/>
      <c r="DJ428" s="889"/>
      <c r="DM428" s="890"/>
      <c r="DN428" s="952"/>
      <c r="DO428" s="75"/>
      <c r="DP428" s="962"/>
      <c r="DQ428" s="983"/>
      <c r="DV428" s="889"/>
    </row>
    <row r="429" spans="1:126" s="74" customFormat="1">
      <c r="A429" s="15"/>
      <c r="B429" s="15"/>
      <c r="C429" s="15"/>
      <c r="D429" s="15"/>
      <c r="E429" s="6"/>
      <c r="F429" s="6"/>
      <c r="G429" s="6"/>
      <c r="K429" s="222"/>
      <c r="V429" s="1430"/>
      <c r="AA429" s="223"/>
      <c r="AC429" s="889"/>
      <c r="AF429" s="890"/>
      <c r="AJ429" s="889"/>
      <c r="AN429" s="222"/>
      <c r="BC429" s="223"/>
      <c r="BD429" s="222"/>
      <c r="BH429" s="611"/>
      <c r="BJ429" s="15"/>
      <c r="BK429" s="15"/>
      <c r="BO429" s="223"/>
      <c r="BQ429" s="889"/>
      <c r="BT429" s="890"/>
      <c r="BX429" s="889"/>
      <c r="CB429" s="15"/>
      <c r="CC429" s="697"/>
      <c r="CD429" s="1086"/>
      <c r="CE429" s="15"/>
      <c r="CF429" s="15"/>
      <c r="CG429" s="936"/>
      <c r="CH429" s="15"/>
      <c r="CI429" s="15"/>
      <c r="CJ429" s="15"/>
      <c r="CK429" s="1107"/>
      <c r="CL429" s="22"/>
      <c r="CM429" s="22"/>
      <c r="CN429" s="1107"/>
      <c r="CR429" s="223"/>
      <c r="CS429" s="952"/>
      <c r="CT429" s="1066"/>
      <c r="CU429" s="972"/>
      <c r="CV429" s="983"/>
      <c r="CW429" s="222"/>
      <c r="CX429" s="697"/>
      <c r="DC429" s="222"/>
      <c r="DJ429" s="889"/>
      <c r="DM429" s="890"/>
      <c r="DN429" s="952"/>
      <c r="DO429" s="75"/>
      <c r="DP429" s="962"/>
      <c r="DQ429" s="983"/>
      <c r="DV429" s="889"/>
    </row>
    <row r="430" spans="1:126" s="74" customFormat="1">
      <c r="A430" s="15"/>
      <c r="B430" s="15"/>
      <c r="C430" s="15"/>
      <c r="D430" s="15"/>
      <c r="E430" s="6"/>
      <c r="F430" s="6"/>
      <c r="G430" s="6"/>
      <c r="K430" s="222"/>
      <c r="V430" s="1430"/>
      <c r="AA430" s="223"/>
      <c r="AC430" s="889"/>
      <c r="AF430" s="890"/>
      <c r="AJ430" s="889"/>
      <c r="AN430" s="222"/>
      <c r="BC430" s="223"/>
      <c r="BD430" s="222"/>
      <c r="BH430" s="611"/>
      <c r="BJ430" s="15"/>
      <c r="BK430" s="15"/>
      <c r="BO430" s="223"/>
      <c r="BQ430" s="889"/>
      <c r="BT430" s="890"/>
      <c r="BX430" s="889"/>
      <c r="CB430" s="15"/>
      <c r="CC430" s="697"/>
      <c r="CD430" s="1086"/>
      <c r="CE430" s="15"/>
      <c r="CF430" s="15"/>
      <c r="CG430" s="936"/>
      <c r="CH430" s="15"/>
      <c r="CI430" s="15"/>
      <c r="CJ430" s="15"/>
      <c r="CK430" s="1107"/>
      <c r="CL430" s="22"/>
      <c r="CM430" s="22"/>
      <c r="CN430" s="1107"/>
      <c r="CR430" s="223"/>
      <c r="CS430" s="952"/>
      <c r="CT430" s="1066"/>
      <c r="CU430" s="972"/>
      <c r="CV430" s="983"/>
      <c r="CW430" s="222"/>
      <c r="CX430" s="697"/>
      <c r="DC430" s="222"/>
      <c r="DJ430" s="889"/>
      <c r="DM430" s="890"/>
      <c r="DN430" s="952"/>
      <c r="DO430" s="75"/>
      <c r="DP430" s="962"/>
      <c r="DQ430" s="983"/>
      <c r="DV430" s="889"/>
    </row>
    <row r="431" spans="1:126" s="74" customFormat="1">
      <c r="A431" s="15"/>
      <c r="B431" s="15"/>
      <c r="C431" s="15"/>
      <c r="D431" s="15"/>
      <c r="E431" s="6"/>
      <c r="F431" s="6"/>
      <c r="G431" s="6"/>
      <c r="K431" s="222"/>
      <c r="V431" s="1430"/>
      <c r="AA431" s="223"/>
      <c r="AC431" s="889"/>
      <c r="AF431" s="890"/>
      <c r="AJ431" s="889"/>
      <c r="AN431" s="222"/>
      <c r="BC431" s="223"/>
      <c r="BD431" s="222"/>
      <c r="BH431" s="611"/>
      <c r="BJ431" s="15"/>
      <c r="BK431" s="15"/>
      <c r="BO431" s="223"/>
      <c r="BQ431" s="889"/>
      <c r="BT431" s="890"/>
      <c r="BX431" s="889"/>
      <c r="CB431" s="15"/>
      <c r="CC431" s="697"/>
      <c r="CD431" s="1086"/>
      <c r="CE431" s="15"/>
      <c r="CF431" s="15"/>
      <c r="CG431" s="936"/>
      <c r="CH431" s="15"/>
      <c r="CI431" s="15"/>
      <c r="CJ431" s="15"/>
      <c r="CK431" s="1107"/>
      <c r="CL431" s="22"/>
      <c r="CM431" s="22"/>
      <c r="CN431" s="1107"/>
      <c r="CR431" s="223"/>
      <c r="CS431" s="952"/>
      <c r="CT431" s="1066"/>
      <c r="CU431" s="972"/>
      <c r="CV431" s="983"/>
      <c r="CW431" s="222"/>
      <c r="CX431" s="697"/>
      <c r="DC431" s="222"/>
      <c r="DJ431" s="889"/>
      <c r="DM431" s="890"/>
      <c r="DN431" s="952"/>
      <c r="DO431" s="75"/>
      <c r="DP431" s="962"/>
      <c r="DQ431" s="983"/>
      <c r="DV431" s="889"/>
    </row>
    <row r="432" spans="1:126" s="74" customFormat="1">
      <c r="A432" s="15"/>
      <c r="B432" s="15"/>
      <c r="C432" s="15"/>
      <c r="D432" s="15"/>
      <c r="E432" s="6"/>
      <c r="F432" s="6"/>
      <c r="G432" s="6"/>
      <c r="K432" s="222"/>
      <c r="V432" s="1430"/>
      <c r="AA432" s="223"/>
      <c r="AC432" s="889"/>
      <c r="AF432" s="890"/>
      <c r="AJ432" s="889"/>
      <c r="AN432" s="222"/>
      <c r="BC432" s="223"/>
      <c r="BD432" s="222"/>
      <c r="BH432" s="611"/>
      <c r="BJ432" s="15"/>
      <c r="BK432" s="15"/>
      <c r="BO432" s="223"/>
      <c r="BQ432" s="889"/>
      <c r="BT432" s="890"/>
      <c r="BX432" s="889"/>
      <c r="CB432" s="15"/>
      <c r="CC432" s="697"/>
      <c r="CD432" s="1086"/>
      <c r="CE432" s="15"/>
      <c r="CF432" s="15"/>
      <c r="CG432" s="936"/>
      <c r="CH432" s="15"/>
      <c r="CI432" s="15"/>
      <c r="CJ432" s="15"/>
      <c r="CK432" s="1107"/>
      <c r="CL432" s="22"/>
      <c r="CM432" s="22"/>
      <c r="CN432" s="1107"/>
      <c r="CR432" s="223"/>
      <c r="CS432" s="952"/>
      <c r="CT432" s="1066"/>
      <c r="CU432" s="972"/>
      <c r="CV432" s="983"/>
      <c r="CW432" s="222"/>
      <c r="CX432" s="697"/>
      <c r="DC432" s="222"/>
      <c r="DJ432" s="889"/>
      <c r="DM432" s="890"/>
      <c r="DN432" s="952"/>
      <c r="DO432" s="75"/>
      <c r="DP432" s="962"/>
      <c r="DQ432" s="983"/>
      <c r="DV432" s="889"/>
    </row>
    <row r="433" spans="1:126" s="74" customFormat="1">
      <c r="A433" s="15"/>
      <c r="B433" s="15"/>
      <c r="C433" s="15"/>
      <c r="D433" s="15"/>
      <c r="E433" s="6"/>
      <c r="F433" s="6"/>
      <c r="G433" s="6"/>
      <c r="K433" s="222"/>
      <c r="V433" s="1430"/>
      <c r="AA433" s="223"/>
      <c r="AC433" s="889"/>
      <c r="AF433" s="890"/>
      <c r="AJ433" s="889"/>
      <c r="AN433" s="222"/>
      <c r="BC433" s="223"/>
      <c r="BD433" s="222"/>
      <c r="BH433" s="611"/>
      <c r="BJ433" s="15"/>
      <c r="BK433" s="15"/>
      <c r="BO433" s="223"/>
      <c r="BQ433" s="889"/>
      <c r="BT433" s="890"/>
      <c r="BX433" s="889"/>
      <c r="CB433" s="15"/>
      <c r="CC433" s="697"/>
      <c r="CD433" s="1086"/>
      <c r="CE433" s="15"/>
      <c r="CF433" s="15"/>
      <c r="CG433" s="936"/>
      <c r="CH433" s="15"/>
      <c r="CI433" s="15"/>
      <c r="CJ433" s="15"/>
      <c r="CK433" s="1107"/>
      <c r="CL433" s="22"/>
      <c r="CM433" s="22"/>
      <c r="CN433" s="1107"/>
      <c r="CR433" s="223"/>
      <c r="CS433" s="952"/>
      <c r="CT433" s="1066"/>
      <c r="CU433" s="972"/>
      <c r="CV433" s="983"/>
      <c r="CW433" s="222"/>
      <c r="CX433" s="697"/>
      <c r="DC433" s="222"/>
      <c r="DJ433" s="889"/>
      <c r="DM433" s="890"/>
      <c r="DN433" s="952"/>
      <c r="DO433" s="75"/>
      <c r="DP433" s="962"/>
      <c r="DQ433" s="983"/>
      <c r="DV433" s="889"/>
    </row>
    <row r="434" spans="1:126" s="74" customFormat="1">
      <c r="A434" s="15"/>
      <c r="B434" s="15"/>
      <c r="C434" s="15"/>
      <c r="D434" s="15"/>
      <c r="E434" s="6"/>
      <c r="F434" s="6"/>
      <c r="G434" s="6"/>
      <c r="K434" s="222"/>
      <c r="V434" s="1430"/>
      <c r="AA434" s="223"/>
      <c r="AC434" s="889"/>
      <c r="AF434" s="890"/>
      <c r="AJ434" s="889"/>
      <c r="AN434" s="222"/>
      <c r="BC434" s="223"/>
      <c r="BD434" s="222"/>
      <c r="BH434" s="611"/>
      <c r="BJ434" s="15"/>
      <c r="BK434" s="15"/>
      <c r="BO434" s="223"/>
      <c r="BQ434" s="889"/>
      <c r="BT434" s="890"/>
      <c r="BX434" s="889"/>
      <c r="CB434" s="15"/>
      <c r="CC434" s="697"/>
      <c r="CD434" s="1086"/>
      <c r="CE434" s="15"/>
      <c r="CF434" s="15"/>
      <c r="CG434" s="936"/>
      <c r="CH434" s="15"/>
      <c r="CI434" s="15"/>
      <c r="CJ434" s="15"/>
      <c r="CK434" s="1107"/>
      <c r="CL434" s="22"/>
      <c r="CM434" s="22"/>
      <c r="CN434" s="1107"/>
      <c r="CR434" s="223"/>
      <c r="CS434" s="952"/>
      <c r="CT434" s="1066"/>
      <c r="CU434" s="972"/>
      <c r="CV434" s="983"/>
      <c r="CW434" s="222"/>
      <c r="CX434" s="697"/>
      <c r="DC434" s="222"/>
      <c r="DJ434" s="889"/>
      <c r="DM434" s="890"/>
      <c r="DN434" s="952"/>
      <c r="DO434" s="75"/>
      <c r="DP434" s="962"/>
      <c r="DQ434" s="983"/>
      <c r="DV434" s="889"/>
    </row>
    <row r="435" spans="1:126" s="74" customFormat="1">
      <c r="A435" s="15"/>
      <c r="B435" s="15"/>
      <c r="C435" s="15"/>
      <c r="D435" s="15"/>
      <c r="E435" s="6"/>
      <c r="F435" s="6"/>
      <c r="G435" s="6"/>
      <c r="K435" s="222"/>
      <c r="V435" s="1430"/>
      <c r="AA435" s="223"/>
      <c r="AC435" s="889"/>
      <c r="AF435" s="890"/>
      <c r="AJ435" s="889"/>
      <c r="AN435" s="222"/>
      <c r="BC435" s="223"/>
      <c r="BD435" s="222"/>
      <c r="BH435" s="611"/>
      <c r="BJ435" s="15"/>
      <c r="BK435" s="15"/>
      <c r="BO435" s="223"/>
      <c r="BQ435" s="889"/>
      <c r="BT435" s="890"/>
      <c r="BX435" s="889"/>
      <c r="CB435" s="15"/>
      <c r="CC435" s="697"/>
      <c r="CD435" s="1086"/>
      <c r="CE435" s="15"/>
      <c r="CF435" s="15"/>
      <c r="CG435" s="936"/>
      <c r="CH435" s="15"/>
      <c r="CI435" s="15"/>
      <c r="CJ435" s="15"/>
      <c r="CK435" s="1107"/>
      <c r="CL435" s="22"/>
      <c r="CM435" s="22"/>
      <c r="CN435" s="1107"/>
      <c r="CR435" s="223"/>
      <c r="CS435" s="952"/>
      <c r="CT435" s="1066"/>
      <c r="CU435" s="972"/>
      <c r="CV435" s="983"/>
      <c r="CW435" s="222"/>
      <c r="CX435" s="697"/>
      <c r="DC435" s="222"/>
      <c r="DJ435" s="889"/>
      <c r="DM435" s="890"/>
      <c r="DN435" s="952"/>
      <c r="DO435" s="75"/>
      <c r="DP435" s="962"/>
      <c r="DQ435" s="983"/>
      <c r="DV435" s="889"/>
    </row>
    <row r="436" spans="1:126" s="74" customFormat="1">
      <c r="A436" s="15"/>
      <c r="B436" s="15"/>
      <c r="C436" s="15"/>
      <c r="D436" s="15"/>
      <c r="E436" s="6"/>
      <c r="F436" s="6"/>
      <c r="G436" s="6"/>
      <c r="K436" s="222"/>
      <c r="V436" s="1430"/>
      <c r="AA436" s="223"/>
      <c r="AC436" s="889"/>
      <c r="AF436" s="890"/>
      <c r="AJ436" s="889"/>
      <c r="AN436" s="222"/>
      <c r="BC436" s="223"/>
      <c r="BD436" s="222"/>
      <c r="BH436" s="611"/>
      <c r="BJ436" s="15"/>
      <c r="BK436" s="15"/>
      <c r="BO436" s="223"/>
      <c r="BQ436" s="889"/>
      <c r="BT436" s="890"/>
      <c r="BX436" s="889"/>
      <c r="CB436" s="15"/>
      <c r="CC436" s="697"/>
      <c r="CD436" s="1086"/>
      <c r="CE436" s="15"/>
      <c r="CF436" s="15"/>
      <c r="CG436" s="936"/>
      <c r="CH436" s="15"/>
      <c r="CI436" s="15"/>
      <c r="CJ436" s="15"/>
      <c r="CK436" s="1107"/>
      <c r="CL436" s="22"/>
      <c r="CM436" s="22"/>
      <c r="CN436" s="1107"/>
      <c r="CR436" s="223"/>
      <c r="CS436" s="952"/>
      <c r="CT436" s="1066"/>
      <c r="CU436" s="972"/>
      <c r="CV436" s="983"/>
      <c r="CW436" s="222"/>
      <c r="CX436" s="697"/>
      <c r="DC436" s="222"/>
      <c r="DJ436" s="889"/>
      <c r="DM436" s="890"/>
      <c r="DN436" s="952"/>
      <c r="DO436" s="75"/>
      <c r="DP436" s="962"/>
      <c r="DQ436" s="983"/>
      <c r="DV436" s="889"/>
    </row>
    <row r="437" spans="1:126" s="74" customFormat="1">
      <c r="A437" s="15"/>
      <c r="B437" s="15"/>
      <c r="C437" s="15"/>
      <c r="D437" s="15"/>
      <c r="E437" s="6"/>
      <c r="F437" s="6"/>
      <c r="G437" s="6"/>
      <c r="K437" s="222"/>
      <c r="V437" s="1430"/>
      <c r="AA437" s="223"/>
      <c r="AC437" s="889"/>
      <c r="AF437" s="890"/>
      <c r="AJ437" s="889"/>
      <c r="AN437" s="222"/>
      <c r="BC437" s="223"/>
      <c r="BD437" s="222"/>
      <c r="BH437" s="611"/>
      <c r="BJ437" s="15"/>
      <c r="BK437" s="15"/>
      <c r="BO437" s="223"/>
      <c r="BQ437" s="889"/>
      <c r="BT437" s="890"/>
      <c r="BX437" s="889"/>
      <c r="CB437" s="15"/>
      <c r="CC437" s="697"/>
      <c r="CD437" s="1086"/>
      <c r="CE437" s="15"/>
      <c r="CF437" s="15"/>
      <c r="CG437" s="936"/>
      <c r="CH437" s="15"/>
      <c r="CI437" s="15"/>
      <c r="CJ437" s="15"/>
      <c r="CK437" s="1107"/>
      <c r="CL437" s="22"/>
      <c r="CM437" s="22"/>
      <c r="CN437" s="1107"/>
      <c r="CR437" s="223"/>
      <c r="CS437" s="952"/>
      <c r="CT437" s="1066"/>
      <c r="CU437" s="972"/>
      <c r="CV437" s="983"/>
      <c r="CW437" s="222"/>
      <c r="CX437" s="697"/>
      <c r="DC437" s="222"/>
      <c r="DJ437" s="889"/>
      <c r="DM437" s="890"/>
      <c r="DN437" s="952"/>
      <c r="DO437" s="75"/>
      <c r="DP437" s="962"/>
      <c r="DQ437" s="983"/>
      <c r="DV437" s="889"/>
    </row>
    <row r="438" spans="1:126" s="74" customFormat="1">
      <c r="A438" s="15"/>
      <c r="B438" s="15"/>
      <c r="C438" s="15"/>
      <c r="D438" s="15"/>
      <c r="E438" s="6"/>
      <c r="F438" s="6"/>
      <c r="G438" s="6"/>
      <c r="K438" s="222"/>
      <c r="V438" s="1430"/>
      <c r="AA438" s="223"/>
      <c r="AC438" s="889"/>
      <c r="AF438" s="890"/>
      <c r="AJ438" s="889"/>
      <c r="AN438" s="222"/>
      <c r="BC438" s="223"/>
      <c r="BD438" s="222"/>
      <c r="BH438" s="611"/>
      <c r="BJ438" s="15"/>
      <c r="BK438" s="15"/>
      <c r="BO438" s="223"/>
      <c r="BQ438" s="889"/>
      <c r="BT438" s="890"/>
      <c r="BX438" s="889"/>
      <c r="CB438" s="15"/>
      <c r="CC438" s="697"/>
      <c r="CD438" s="1086"/>
      <c r="CE438" s="15"/>
      <c r="CF438" s="15"/>
      <c r="CG438" s="936"/>
      <c r="CH438" s="15"/>
      <c r="CI438" s="15"/>
      <c r="CJ438" s="15"/>
      <c r="CK438" s="1107"/>
      <c r="CL438" s="22"/>
      <c r="CM438" s="22"/>
      <c r="CN438" s="1107"/>
      <c r="CR438" s="223"/>
      <c r="CS438" s="952"/>
      <c r="CT438" s="1066"/>
      <c r="CU438" s="972"/>
      <c r="CV438" s="983"/>
      <c r="CW438" s="222"/>
      <c r="CX438" s="697"/>
      <c r="DC438" s="222"/>
      <c r="DJ438" s="889"/>
      <c r="DM438" s="890"/>
      <c r="DN438" s="952"/>
      <c r="DO438" s="75"/>
      <c r="DP438" s="962"/>
      <c r="DQ438" s="983"/>
      <c r="DV438" s="889"/>
    </row>
    <row r="439" spans="1:126" s="74" customFormat="1">
      <c r="A439" s="15"/>
      <c r="B439" s="15"/>
      <c r="C439" s="15"/>
      <c r="D439" s="15"/>
      <c r="E439" s="6"/>
      <c r="F439" s="6"/>
      <c r="G439" s="6"/>
      <c r="K439" s="222"/>
      <c r="V439" s="1430"/>
      <c r="AA439" s="223"/>
      <c r="AC439" s="889"/>
      <c r="AF439" s="890"/>
      <c r="AJ439" s="889"/>
      <c r="AN439" s="222"/>
      <c r="BC439" s="223"/>
      <c r="BD439" s="222"/>
      <c r="BH439" s="611"/>
      <c r="BJ439" s="15"/>
      <c r="BK439" s="15"/>
      <c r="BO439" s="223"/>
      <c r="BQ439" s="889"/>
      <c r="BT439" s="890"/>
      <c r="BX439" s="889"/>
      <c r="CB439" s="15"/>
      <c r="CC439" s="697"/>
      <c r="CD439" s="1086"/>
      <c r="CE439" s="15"/>
      <c r="CF439" s="15"/>
      <c r="CG439" s="936"/>
      <c r="CH439" s="15"/>
      <c r="CI439" s="15"/>
      <c r="CJ439" s="15"/>
      <c r="CK439" s="1107"/>
      <c r="CL439" s="22"/>
      <c r="CM439" s="22"/>
      <c r="CN439" s="1107"/>
      <c r="CR439" s="223"/>
      <c r="CS439" s="952"/>
      <c r="CT439" s="1066"/>
      <c r="CU439" s="972"/>
      <c r="CV439" s="983"/>
      <c r="CW439" s="222"/>
      <c r="CX439" s="697"/>
      <c r="DC439" s="222"/>
      <c r="DJ439" s="889"/>
      <c r="DM439" s="890"/>
      <c r="DN439" s="952"/>
      <c r="DO439" s="75"/>
      <c r="DP439" s="962"/>
      <c r="DQ439" s="983"/>
      <c r="DV439" s="889"/>
    </row>
    <row r="440" spans="1:126" s="74" customFormat="1">
      <c r="A440" s="15"/>
      <c r="B440" s="15"/>
      <c r="C440" s="15"/>
      <c r="D440" s="15"/>
      <c r="E440" s="6"/>
      <c r="F440" s="6"/>
      <c r="G440" s="6"/>
      <c r="K440" s="222"/>
      <c r="V440" s="1430"/>
      <c r="AA440" s="223"/>
      <c r="AC440" s="889"/>
      <c r="AF440" s="890"/>
      <c r="AJ440" s="889"/>
      <c r="AN440" s="222"/>
      <c r="BC440" s="223"/>
      <c r="BD440" s="222"/>
      <c r="BH440" s="611"/>
      <c r="BJ440" s="15"/>
      <c r="BK440" s="15"/>
      <c r="BO440" s="223"/>
      <c r="BQ440" s="889"/>
      <c r="BT440" s="890"/>
      <c r="BX440" s="889"/>
      <c r="CB440" s="15"/>
      <c r="CC440" s="697"/>
      <c r="CD440" s="1086"/>
      <c r="CE440" s="15"/>
      <c r="CF440" s="15"/>
      <c r="CG440" s="936"/>
      <c r="CH440" s="15"/>
      <c r="CI440" s="15"/>
      <c r="CJ440" s="15"/>
      <c r="CK440" s="1107"/>
      <c r="CL440" s="22"/>
      <c r="CM440" s="22"/>
      <c r="CN440" s="1107"/>
      <c r="CR440" s="223"/>
      <c r="CS440" s="952"/>
      <c r="CT440" s="1066"/>
      <c r="CU440" s="972"/>
      <c r="CV440" s="983"/>
      <c r="CW440" s="222"/>
      <c r="CX440" s="697"/>
      <c r="DC440" s="222"/>
      <c r="DJ440" s="889"/>
      <c r="DM440" s="890"/>
      <c r="DN440" s="952"/>
      <c r="DO440" s="75"/>
      <c r="DP440" s="962"/>
      <c r="DQ440" s="983"/>
      <c r="DV440" s="889"/>
    </row>
    <row r="441" spans="1:126" s="74" customFormat="1">
      <c r="A441" s="15"/>
      <c r="B441" s="15"/>
      <c r="C441" s="15"/>
      <c r="D441" s="15"/>
      <c r="E441" s="6"/>
      <c r="F441" s="6"/>
      <c r="G441" s="6"/>
      <c r="K441" s="222"/>
      <c r="V441" s="1430"/>
      <c r="AA441" s="223"/>
      <c r="AC441" s="889"/>
      <c r="AF441" s="890"/>
      <c r="AJ441" s="889"/>
      <c r="AN441" s="222"/>
      <c r="BC441" s="223"/>
      <c r="BD441" s="222"/>
      <c r="BH441" s="611"/>
      <c r="BJ441" s="15"/>
      <c r="BK441" s="15"/>
      <c r="BO441" s="223"/>
      <c r="BQ441" s="889"/>
      <c r="BT441" s="890"/>
      <c r="BX441" s="889"/>
      <c r="CB441" s="15"/>
      <c r="CC441" s="697"/>
      <c r="CD441" s="1086"/>
      <c r="CE441" s="15"/>
      <c r="CF441" s="15"/>
      <c r="CG441" s="936"/>
      <c r="CH441" s="15"/>
      <c r="CI441" s="15"/>
      <c r="CJ441" s="15"/>
      <c r="CK441" s="1107"/>
      <c r="CL441" s="22"/>
      <c r="CM441" s="22"/>
      <c r="CN441" s="1107"/>
      <c r="CR441" s="223"/>
      <c r="CS441" s="952"/>
      <c r="CT441" s="1066"/>
      <c r="CU441" s="972"/>
      <c r="CV441" s="983"/>
      <c r="CW441" s="222"/>
      <c r="CX441" s="697"/>
      <c r="DC441" s="222"/>
      <c r="DJ441" s="889"/>
      <c r="DM441" s="890"/>
      <c r="DN441" s="952"/>
      <c r="DO441" s="75"/>
      <c r="DP441" s="962"/>
      <c r="DQ441" s="983"/>
      <c r="DV441" s="889"/>
    </row>
    <row r="442" spans="1:126" s="74" customFormat="1">
      <c r="A442" s="15"/>
      <c r="B442" s="15"/>
      <c r="C442" s="15"/>
      <c r="D442" s="15"/>
      <c r="E442" s="6"/>
      <c r="F442" s="6"/>
      <c r="G442" s="6"/>
      <c r="K442" s="222"/>
      <c r="V442" s="1430"/>
      <c r="AA442" s="223"/>
      <c r="AC442" s="889"/>
      <c r="AF442" s="890"/>
      <c r="AJ442" s="889"/>
      <c r="AN442" s="222"/>
      <c r="BC442" s="223"/>
      <c r="BD442" s="222"/>
      <c r="BH442" s="611"/>
      <c r="BJ442" s="15"/>
      <c r="BK442" s="15"/>
      <c r="BO442" s="223"/>
      <c r="BQ442" s="889"/>
      <c r="BT442" s="890"/>
      <c r="BX442" s="889"/>
      <c r="CB442" s="15"/>
      <c r="CC442" s="697"/>
      <c r="CD442" s="1086"/>
      <c r="CE442" s="15"/>
      <c r="CF442" s="15"/>
      <c r="CG442" s="936"/>
      <c r="CH442" s="15"/>
      <c r="CI442" s="15"/>
      <c r="CJ442" s="15"/>
      <c r="CK442" s="1107"/>
      <c r="CL442" s="22"/>
      <c r="CM442" s="22"/>
      <c r="CN442" s="1107"/>
      <c r="CR442" s="223"/>
      <c r="CS442" s="952"/>
      <c r="CT442" s="1066"/>
      <c r="CU442" s="972"/>
      <c r="CV442" s="983"/>
      <c r="CW442" s="222"/>
      <c r="CX442" s="697"/>
      <c r="DC442" s="222"/>
      <c r="DJ442" s="889"/>
      <c r="DM442" s="890"/>
      <c r="DN442" s="952"/>
      <c r="DO442" s="75"/>
      <c r="DP442" s="962"/>
      <c r="DQ442" s="983"/>
      <c r="DV442" s="889"/>
    </row>
    <row r="443" spans="1:126" s="74" customFormat="1">
      <c r="A443" s="15"/>
      <c r="B443" s="15"/>
      <c r="C443" s="15"/>
      <c r="D443" s="15"/>
      <c r="E443" s="6"/>
      <c r="F443" s="6"/>
      <c r="G443" s="6"/>
      <c r="K443" s="222"/>
      <c r="V443" s="1430"/>
      <c r="AA443" s="223"/>
      <c r="AC443" s="889"/>
      <c r="AF443" s="890"/>
      <c r="AJ443" s="889"/>
      <c r="AN443" s="222"/>
      <c r="BC443" s="223"/>
      <c r="BD443" s="222"/>
      <c r="BH443" s="611"/>
      <c r="BJ443" s="15"/>
      <c r="BK443" s="15"/>
      <c r="BO443" s="223"/>
      <c r="BQ443" s="889"/>
      <c r="BT443" s="890"/>
      <c r="BX443" s="889"/>
      <c r="CB443" s="15"/>
      <c r="CC443" s="697"/>
      <c r="CD443" s="1086"/>
      <c r="CE443" s="15"/>
      <c r="CF443" s="15"/>
      <c r="CG443" s="936"/>
      <c r="CH443" s="15"/>
      <c r="CI443" s="15"/>
      <c r="CJ443" s="15"/>
      <c r="CK443" s="1107"/>
      <c r="CL443" s="22"/>
      <c r="CM443" s="22"/>
      <c r="CN443" s="1107"/>
      <c r="CR443" s="223"/>
      <c r="CS443" s="952"/>
      <c r="CT443" s="1066"/>
      <c r="CU443" s="972"/>
      <c r="CV443" s="983"/>
      <c r="CW443" s="222"/>
      <c r="CX443" s="697"/>
      <c r="DC443" s="222"/>
      <c r="DJ443" s="889"/>
      <c r="DM443" s="890"/>
      <c r="DN443" s="952"/>
      <c r="DO443" s="75"/>
      <c r="DP443" s="962"/>
      <c r="DQ443" s="983"/>
      <c r="DV443" s="889"/>
    </row>
    <row r="444" spans="1:126" s="74" customFormat="1">
      <c r="A444" s="15"/>
      <c r="B444" s="15"/>
      <c r="C444" s="15"/>
      <c r="D444" s="15"/>
      <c r="E444" s="6"/>
      <c r="F444" s="6"/>
      <c r="G444" s="6"/>
      <c r="K444" s="222"/>
      <c r="V444" s="1430"/>
      <c r="AA444" s="223"/>
      <c r="AC444" s="889"/>
      <c r="AF444" s="890"/>
      <c r="AJ444" s="889"/>
      <c r="AN444" s="222"/>
      <c r="BC444" s="223"/>
      <c r="BD444" s="222"/>
      <c r="BH444" s="611"/>
      <c r="BJ444" s="15"/>
      <c r="BK444" s="15"/>
      <c r="BO444" s="223"/>
      <c r="BQ444" s="889"/>
      <c r="BT444" s="890"/>
      <c r="BX444" s="889"/>
      <c r="CB444" s="15"/>
      <c r="CC444" s="697"/>
      <c r="CD444" s="1086"/>
      <c r="CE444" s="15"/>
      <c r="CF444" s="15"/>
      <c r="CG444" s="936"/>
      <c r="CH444" s="15"/>
      <c r="CI444" s="15"/>
      <c r="CJ444" s="15"/>
      <c r="CK444" s="1107"/>
      <c r="CL444" s="22"/>
      <c r="CM444" s="22"/>
      <c r="CN444" s="1107"/>
      <c r="CR444" s="223"/>
      <c r="CS444" s="952"/>
      <c r="CT444" s="1066"/>
      <c r="CU444" s="972"/>
      <c r="CV444" s="983"/>
      <c r="CW444" s="222"/>
      <c r="CX444" s="697"/>
      <c r="DC444" s="222"/>
      <c r="DJ444" s="889"/>
      <c r="DM444" s="890"/>
      <c r="DN444" s="952"/>
      <c r="DO444" s="75"/>
      <c r="DP444" s="962"/>
      <c r="DQ444" s="983"/>
      <c r="DV444" s="889"/>
    </row>
    <row r="445" spans="1:126" s="74" customFormat="1">
      <c r="A445" s="15"/>
      <c r="B445" s="15"/>
      <c r="C445" s="15"/>
      <c r="D445" s="15"/>
      <c r="E445" s="6"/>
      <c r="F445" s="6"/>
      <c r="G445" s="6"/>
      <c r="K445" s="222"/>
      <c r="V445" s="1430"/>
      <c r="AA445" s="223"/>
      <c r="AC445" s="889"/>
      <c r="AF445" s="890"/>
      <c r="AJ445" s="889"/>
      <c r="AN445" s="222"/>
      <c r="BC445" s="223"/>
      <c r="BD445" s="222"/>
      <c r="BH445" s="611"/>
      <c r="BJ445" s="15"/>
      <c r="BK445" s="15"/>
      <c r="BO445" s="223"/>
      <c r="BQ445" s="889"/>
      <c r="BT445" s="890"/>
      <c r="BX445" s="889"/>
      <c r="CB445" s="15"/>
      <c r="CC445" s="697"/>
      <c r="CD445" s="1086"/>
      <c r="CE445" s="15"/>
      <c r="CF445" s="15"/>
      <c r="CG445" s="936"/>
      <c r="CH445" s="15"/>
      <c r="CI445" s="15"/>
      <c r="CJ445" s="15"/>
      <c r="CK445" s="1107"/>
      <c r="CL445" s="22"/>
      <c r="CM445" s="22"/>
      <c r="CN445" s="1107"/>
      <c r="CR445" s="223"/>
      <c r="CS445" s="952"/>
      <c r="CT445" s="1066"/>
      <c r="CU445" s="972"/>
      <c r="CV445" s="983"/>
      <c r="CW445" s="222"/>
      <c r="CX445" s="697"/>
      <c r="DC445" s="222"/>
      <c r="DJ445" s="889"/>
      <c r="DM445" s="890"/>
      <c r="DN445" s="952"/>
      <c r="DO445" s="75"/>
      <c r="DP445" s="962"/>
      <c r="DQ445" s="983"/>
      <c r="DV445" s="889"/>
    </row>
    <row r="446" spans="1:126" s="74" customFormat="1">
      <c r="A446" s="15"/>
      <c r="B446" s="15"/>
      <c r="C446" s="15"/>
      <c r="D446" s="15"/>
      <c r="E446" s="6"/>
      <c r="F446" s="6"/>
      <c r="G446" s="6"/>
      <c r="K446" s="222"/>
      <c r="V446" s="1430"/>
      <c r="AA446" s="223"/>
      <c r="AC446" s="889"/>
      <c r="AF446" s="890"/>
      <c r="AJ446" s="889"/>
      <c r="AN446" s="222"/>
      <c r="BC446" s="223"/>
      <c r="BD446" s="222"/>
      <c r="BH446" s="611"/>
      <c r="BJ446" s="15"/>
      <c r="BK446" s="15"/>
      <c r="BO446" s="223"/>
      <c r="BQ446" s="889"/>
      <c r="BT446" s="890"/>
      <c r="BX446" s="889"/>
      <c r="CB446" s="15"/>
      <c r="CC446" s="697"/>
      <c r="CD446" s="1086"/>
      <c r="CE446" s="15"/>
      <c r="CF446" s="15"/>
      <c r="CG446" s="936"/>
      <c r="CH446" s="15"/>
      <c r="CI446" s="15"/>
      <c r="CJ446" s="15"/>
      <c r="CK446" s="1107"/>
      <c r="CL446" s="22"/>
      <c r="CM446" s="22"/>
      <c r="CN446" s="1107"/>
      <c r="CR446" s="223"/>
      <c r="CS446" s="952"/>
      <c r="CT446" s="1066"/>
      <c r="CU446" s="972"/>
      <c r="CV446" s="983"/>
      <c r="CW446" s="222"/>
      <c r="CX446" s="697"/>
      <c r="DC446" s="222"/>
      <c r="DJ446" s="889"/>
      <c r="DM446" s="890"/>
      <c r="DN446" s="952"/>
      <c r="DO446" s="75"/>
      <c r="DP446" s="962"/>
      <c r="DQ446" s="983"/>
      <c r="DV446" s="889"/>
    </row>
    <row r="447" spans="1:126" s="74" customFormat="1">
      <c r="A447" s="15"/>
      <c r="B447" s="15"/>
      <c r="C447" s="15"/>
      <c r="D447" s="15"/>
      <c r="E447" s="6"/>
      <c r="F447" s="6"/>
      <c r="G447" s="6"/>
      <c r="K447" s="222"/>
      <c r="V447" s="1430"/>
      <c r="AA447" s="223"/>
      <c r="AC447" s="889"/>
      <c r="AF447" s="890"/>
      <c r="AJ447" s="889"/>
      <c r="AN447" s="222"/>
      <c r="BC447" s="223"/>
      <c r="BD447" s="222"/>
      <c r="BH447" s="611"/>
      <c r="BJ447" s="15"/>
      <c r="BK447" s="15"/>
      <c r="BO447" s="223"/>
      <c r="BQ447" s="889"/>
      <c r="BT447" s="890"/>
      <c r="BX447" s="889"/>
      <c r="CB447" s="15"/>
      <c r="CC447" s="697"/>
      <c r="CD447" s="1086"/>
      <c r="CE447" s="15"/>
      <c r="CF447" s="15"/>
      <c r="CG447" s="936"/>
      <c r="CH447" s="15"/>
      <c r="CI447" s="15"/>
      <c r="CJ447" s="15"/>
      <c r="CK447" s="1107"/>
      <c r="CL447" s="22"/>
      <c r="CM447" s="22"/>
      <c r="CN447" s="1107"/>
      <c r="CR447" s="223"/>
      <c r="CS447" s="952"/>
      <c r="CT447" s="1066"/>
      <c r="CU447" s="972"/>
      <c r="CV447" s="983"/>
      <c r="CW447" s="222"/>
      <c r="CX447" s="697"/>
      <c r="DC447" s="222"/>
      <c r="DJ447" s="889"/>
      <c r="DM447" s="890"/>
      <c r="DN447" s="952"/>
      <c r="DO447" s="75"/>
      <c r="DP447" s="962"/>
      <c r="DQ447" s="983"/>
      <c r="DV447" s="889"/>
    </row>
    <row r="448" spans="1:126" s="74" customFormat="1">
      <c r="A448" s="15"/>
      <c r="B448" s="15"/>
      <c r="C448" s="15"/>
      <c r="D448" s="15"/>
      <c r="E448" s="6"/>
      <c r="F448" s="6"/>
      <c r="G448" s="6"/>
      <c r="K448" s="222"/>
      <c r="V448" s="1430"/>
      <c r="AA448" s="223"/>
      <c r="AC448" s="889"/>
      <c r="AF448" s="890"/>
      <c r="AJ448" s="889"/>
      <c r="AN448" s="222"/>
      <c r="BC448" s="223"/>
      <c r="BD448" s="222"/>
      <c r="BH448" s="611"/>
      <c r="BJ448" s="15"/>
      <c r="BK448" s="15"/>
      <c r="BO448" s="223"/>
      <c r="BQ448" s="889"/>
      <c r="BT448" s="890"/>
      <c r="BX448" s="889"/>
      <c r="CB448" s="15"/>
      <c r="CC448" s="697"/>
      <c r="CD448" s="1086"/>
      <c r="CE448" s="15"/>
      <c r="CF448" s="15"/>
      <c r="CG448" s="936"/>
      <c r="CH448" s="15"/>
      <c r="CI448" s="15"/>
      <c r="CJ448" s="15"/>
      <c r="CK448" s="1107"/>
      <c r="CL448" s="22"/>
      <c r="CM448" s="22"/>
      <c r="CN448" s="1107"/>
      <c r="CR448" s="223"/>
      <c r="CS448" s="952"/>
      <c r="CT448" s="1066"/>
      <c r="CU448" s="972"/>
      <c r="CV448" s="983"/>
      <c r="CW448" s="222"/>
      <c r="CX448" s="697"/>
      <c r="DC448" s="222"/>
      <c r="DJ448" s="889"/>
      <c r="DM448" s="890"/>
      <c r="DN448" s="952"/>
      <c r="DO448" s="75"/>
      <c r="DP448" s="962"/>
      <c r="DQ448" s="983"/>
      <c r="DV448" s="889"/>
    </row>
    <row r="449" spans="1:126" s="74" customFormat="1">
      <c r="A449" s="15"/>
      <c r="B449" s="15"/>
      <c r="C449" s="15"/>
      <c r="D449" s="15"/>
      <c r="E449" s="6"/>
      <c r="F449" s="6"/>
      <c r="G449" s="6"/>
      <c r="K449" s="222"/>
      <c r="V449" s="1430"/>
      <c r="AA449" s="223"/>
      <c r="AC449" s="889"/>
      <c r="AF449" s="890"/>
      <c r="AJ449" s="889"/>
      <c r="AN449" s="222"/>
      <c r="BC449" s="223"/>
      <c r="BD449" s="222"/>
      <c r="BH449" s="611"/>
      <c r="BJ449" s="15"/>
      <c r="BK449" s="15"/>
      <c r="BO449" s="223"/>
      <c r="BQ449" s="889"/>
      <c r="BT449" s="890"/>
      <c r="BX449" s="889"/>
      <c r="CB449" s="15"/>
      <c r="CC449" s="697"/>
      <c r="CD449" s="1086"/>
      <c r="CE449" s="15"/>
      <c r="CF449" s="15"/>
      <c r="CG449" s="936"/>
      <c r="CH449" s="15"/>
      <c r="CI449" s="15"/>
      <c r="CJ449" s="15"/>
      <c r="CK449" s="1107"/>
      <c r="CL449" s="22"/>
      <c r="CM449" s="22"/>
      <c r="CN449" s="1107"/>
      <c r="CR449" s="223"/>
      <c r="CS449" s="952"/>
      <c r="CT449" s="1066"/>
      <c r="CU449" s="972"/>
      <c r="CV449" s="983"/>
      <c r="CW449" s="222"/>
      <c r="CX449" s="697"/>
      <c r="DC449" s="222"/>
      <c r="DJ449" s="889"/>
      <c r="DM449" s="890"/>
      <c r="DN449" s="952"/>
      <c r="DO449" s="75"/>
      <c r="DP449" s="962"/>
      <c r="DQ449" s="983"/>
      <c r="DV449" s="889"/>
    </row>
    <row r="450" spans="1:126" s="74" customFormat="1">
      <c r="A450" s="15"/>
      <c r="B450" s="15"/>
      <c r="C450" s="15"/>
      <c r="D450" s="15"/>
      <c r="E450" s="6"/>
      <c r="F450" s="6"/>
      <c r="G450" s="6"/>
      <c r="K450" s="222"/>
      <c r="V450" s="1430"/>
      <c r="AA450" s="223"/>
      <c r="AC450" s="889"/>
      <c r="AF450" s="890"/>
      <c r="AJ450" s="889"/>
      <c r="AN450" s="222"/>
      <c r="BC450" s="223"/>
      <c r="BD450" s="222"/>
      <c r="BH450" s="611"/>
      <c r="BJ450" s="15"/>
      <c r="BK450" s="15"/>
      <c r="BO450" s="223"/>
      <c r="BQ450" s="889"/>
      <c r="BT450" s="890"/>
      <c r="BX450" s="889"/>
      <c r="CB450" s="15"/>
      <c r="CC450" s="697"/>
      <c r="CD450" s="1086"/>
      <c r="CE450" s="15"/>
      <c r="CF450" s="15"/>
      <c r="CG450" s="936"/>
      <c r="CH450" s="15"/>
      <c r="CI450" s="15"/>
      <c r="CJ450" s="15"/>
      <c r="CK450" s="1107"/>
      <c r="CL450" s="22"/>
      <c r="CM450" s="22"/>
      <c r="CN450" s="1107"/>
      <c r="CR450" s="223"/>
      <c r="CS450" s="952"/>
      <c r="CT450" s="1066"/>
      <c r="CU450" s="972"/>
      <c r="CV450" s="983"/>
      <c r="CW450" s="222"/>
      <c r="CX450" s="697"/>
      <c r="DC450" s="222"/>
      <c r="DJ450" s="889"/>
      <c r="DM450" s="890"/>
      <c r="DN450" s="952"/>
      <c r="DO450" s="75"/>
      <c r="DP450" s="962"/>
      <c r="DQ450" s="983"/>
      <c r="DV450" s="889"/>
    </row>
    <row r="451" spans="1:126" s="74" customFormat="1">
      <c r="A451" s="15"/>
      <c r="B451" s="15"/>
      <c r="C451" s="15"/>
      <c r="D451" s="15"/>
      <c r="E451" s="6"/>
      <c r="F451" s="6"/>
      <c r="G451" s="6"/>
      <c r="K451" s="222"/>
      <c r="V451" s="1430"/>
      <c r="AA451" s="223"/>
      <c r="AC451" s="889"/>
      <c r="AF451" s="890"/>
      <c r="AJ451" s="889"/>
      <c r="AN451" s="222"/>
      <c r="BC451" s="223"/>
      <c r="BD451" s="222"/>
      <c r="BH451" s="611"/>
      <c r="BJ451" s="15"/>
      <c r="BK451" s="15"/>
      <c r="BO451" s="223"/>
      <c r="BQ451" s="889"/>
      <c r="BT451" s="890"/>
      <c r="BX451" s="889"/>
      <c r="CB451" s="15"/>
      <c r="CC451" s="697"/>
      <c r="CD451" s="1086"/>
      <c r="CE451" s="15"/>
      <c r="CF451" s="15"/>
      <c r="CG451" s="936"/>
      <c r="CH451" s="15"/>
      <c r="CI451" s="15"/>
      <c r="CJ451" s="15"/>
      <c r="CK451" s="1107"/>
      <c r="CL451" s="22"/>
      <c r="CM451" s="22"/>
      <c r="CN451" s="1107"/>
      <c r="CR451" s="223"/>
      <c r="CS451" s="952"/>
      <c r="CT451" s="1066"/>
      <c r="CU451" s="972"/>
      <c r="CV451" s="983"/>
      <c r="CW451" s="222"/>
      <c r="CX451" s="697"/>
      <c r="DC451" s="222"/>
      <c r="DJ451" s="889"/>
      <c r="DM451" s="890"/>
      <c r="DN451" s="952"/>
      <c r="DO451" s="75"/>
      <c r="DP451" s="962"/>
      <c r="DQ451" s="983"/>
      <c r="DV451" s="889"/>
    </row>
    <row r="452" spans="1:126" s="74" customFormat="1">
      <c r="A452" s="15"/>
      <c r="B452" s="15"/>
      <c r="C452" s="15"/>
      <c r="D452" s="15"/>
      <c r="E452" s="6"/>
      <c r="F452" s="6"/>
      <c r="G452" s="6"/>
      <c r="K452" s="222"/>
      <c r="V452" s="1430"/>
      <c r="AA452" s="223"/>
      <c r="AC452" s="889"/>
      <c r="AF452" s="890"/>
      <c r="AJ452" s="889"/>
      <c r="AN452" s="222"/>
      <c r="BC452" s="223"/>
      <c r="BD452" s="222"/>
      <c r="BH452" s="611"/>
      <c r="BJ452" s="15"/>
      <c r="BK452" s="15"/>
      <c r="BO452" s="223"/>
      <c r="BQ452" s="889"/>
      <c r="BT452" s="890"/>
      <c r="BX452" s="889"/>
      <c r="CB452" s="15"/>
      <c r="CC452" s="697"/>
      <c r="CD452" s="1086"/>
      <c r="CE452" s="15"/>
      <c r="CF452" s="15"/>
      <c r="CG452" s="936"/>
      <c r="CH452" s="15"/>
      <c r="CI452" s="15"/>
      <c r="CJ452" s="15"/>
      <c r="CK452" s="1107"/>
      <c r="CL452" s="22"/>
      <c r="CM452" s="22"/>
      <c r="CN452" s="1107"/>
      <c r="CR452" s="223"/>
      <c r="CS452" s="952"/>
      <c r="CT452" s="1066"/>
      <c r="CU452" s="972"/>
      <c r="CV452" s="983"/>
      <c r="CW452" s="222"/>
      <c r="CX452" s="697"/>
      <c r="DC452" s="222"/>
      <c r="DJ452" s="889"/>
      <c r="DM452" s="890"/>
      <c r="DN452" s="952"/>
      <c r="DO452" s="75"/>
      <c r="DP452" s="962"/>
      <c r="DQ452" s="983"/>
      <c r="DV452" s="889"/>
    </row>
    <row r="453" spans="1:126" s="74" customFormat="1">
      <c r="A453" s="15"/>
      <c r="B453" s="15"/>
      <c r="C453" s="15"/>
      <c r="D453" s="15"/>
      <c r="E453" s="6"/>
      <c r="F453" s="6"/>
      <c r="G453" s="6"/>
      <c r="K453" s="222"/>
      <c r="V453" s="1430"/>
      <c r="AA453" s="223"/>
      <c r="AC453" s="889"/>
      <c r="AF453" s="890"/>
      <c r="AJ453" s="889"/>
      <c r="AN453" s="222"/>
      <c r="BC453" s="223"/>
      <c r="BD453" s="222"/>
      <c r="BH453" s="611"/>
      <c r="BJ453" s="15"/>
      <c r="BK453" s="15"/>
      <c r="BO453" s="223"/>
      <c r="BQ453" s="889"/>
      <c r="BT453" s="890"/>
      <c r="BX453" s="889"/>
      <c r="CB453" s="15"/>
      <c r="CC453" s="697"/>
      <c r="CD453" s="1086"/>
      <c r="CE453" s="15"/>
      <c r="CF453" s="15"/>
      <c r="CG453" s="936"/>
      <c r="CH453" s="15"/>
      <c r="CI453" s="15"/>
      <c r="CJ453" s="15"/>
      <c r="CK453" s="1107"/>
      <c r="CL453" s="22"/>
      <c r="CM453" s="22"/>
      <c r="CN453" s="1107"/>
      <c r="CR453" s="223"/>
      <c r="CS453" s="952"/>
      <c r="CT453" s="1066"/>
      <c r="CU453" s="972"/>
      <c r="CV453" s="983"/>
      <c r="CW453" s="222"/>
      <c r="CX453" s="697"/>
      <c r="DC453" s="222"/>
      <c r="DJ453" s="889"/>
      <c r="DM453" s="890"/>
      <c r="DN453" s="952"/>
      <c r="DO453" s="75"/>
      <c r="DP453" s="962"/>
      <c r="DQ453" s="983"/>
      <c r="DV453" s="889"/>
    </row>
    <row r="454" spans="1:126" s="74" customFormat="1">
      <c r="A454" s="15"/>
      <c r="B454" s="15"/>
      <c r="C454" s="15"/>
      <c r="D454" s="15"/>
      <c r="E454" s="6"/>
      <c r="F454" s="6"/>
      <c r="G454" s="6"/>
      <c r="K454" s="222"/>
      <c r="V454" s="1430"/>
      <c r="AA454" s="223"/>
      <c r="AC454" s="889"/>
      <c r="AF454" s="890"/>
      <c r="AJ454" s="889"/>
      <c r="AN454" s="222"/>
      <c r="BC454" s="223"/>
      <c r="BD454" s="222"/>
      <c r="BH454" s="611"/>
      <c r="BJ454" s="15"/>
      <c r="BK454" s="15"/>
      <c r="BO454" s="223"/>
      <c r="BQ454" s="889"/>
      <c r="BT454" s="890"/>
      <c r="BX454" s="889"/>
      <c r="CB454" s="15"/>
      <c r="CC454" s="697"/>
      <c r="CD454" s="1086"/>
      <c r="CE454" s="15"/>
      <c r="CF454" s="15"/>
      <c r="CG454" s="936"/>
      <c r="CH454" s="15"/>
      <c r="CI454" s="15"/>
      <c r="CJ454" s="15"/>
      <c r="CK454" s="1107"/>
      <c r="CL454" s="22"/>
      <c r="CM454" s="22"/>
      <c r="CN454" s="1107"/>
      <c r="CR454" s="223"/>
      <c r="CS454" s="952"/>
      <c r="CT454" s="1066"/>
      <c r="CU454" s="972"/>
      <c r="CV454" s="983"/>
      <c r="CW454" s="222"/>
      <c r="CX454" s="697"/>
      <c r="DC454" s="222"/>
      <c r="DJ454" s="889"/>
      <c r="DM454" s="890"/>
      <c r="DN454" s="952"/>
      <c r="DO454" s="75"/>
      <c r="DP454" s="962"/>
      <c r="DQ454" s="983"/>
      <c r="DV454" s="889"/>
    </row>
    <row r="455" spans="1:126" s="74" customFormat="1">
      <c r="A455" s="15"/>
      <c r="B455" s="15"/>
      <c r="C455" s="15"/>
      <c r="D455" s="15"/>
      <c r="E455" s="6"/>
      <c r="F455" s="6"/>
      <c r="G455" s="6"/>
      <c r="K455" s="222"/>
      <c r="V455" s="1430"/>
      <c r="AA455" s="223"/>
      <c r="AC455" s="889"/>
      <c r="AF455" s="890"/>
      <c r="AJ455" s="889"/>
      <c r="AN455" s="222"/>
      <c r="BC455" s="223"/>
      <c r="BD455" s="222"/>
      <c r="BH455" s="611"/>
      <c r="BJ455" s="15"/>
      <c r="BK455" s="15"/>
      <c r="BO455" s="223"/>
      <c r="BQ455" s="889"/>
      <c r="BT455" s="890"/>
      <c r="BX455" s="889"/>
      <c r="CB455" s="15"/>
      <c r="CC455" s="697"/>
      <c r="CD455" s="1086"/>
      <c r="CE455" s="15"/>
      <c r="CF455" s="15"/>
      <c r="CG455" s="936"/>
      <c r="CH455" s="15"/>
      <c r="CI455" s="15"/>
      <c r="CJ455" s="15"/>
      <c r="CK455" s="1107"/>
      <c r="CL455" s="22"/>
      <c r="CM455" s="22"/>
      <c r="CN455" s="1107"/>
      <c r="CR455" s="223"/>
      <c r="CS455" s="952"/>
      <c r="CT455" s="1066"/>
      <c r="CU455" s="972"/>
      <c r="CV455" s="983"/>
      <c r="CW455" s="222"/>
      <c r="CX455" s="697"/>
      <c r="DC455" s="222"/>
      <c r="DJ455" s="889"/>
      <c r="DM455" s="890"/>
      <c r="DN455" s="952"/>
      <c r="DO455" s="75"/>
      <c r="DP455" s="962"/>
      <c r="DQ455" s="983"/>
      <c r="DV455" s="889"/>
    </row>
    <row r="456" spans="1:126" s="74" customFormat="1">
      <c r="A456" s="15"/>
      <c r="B456" s="15"/>
      <c r="C456" s="15"/>
      <c r="D456" s="15"/>
      <c r="E456" s="6"/>
      <c r="F456" s="6"/>
      <c r="G456" s="6"/>
      <c r="K456" s="222"/>
      <c r="V456" s="1430"/>
      <c r="AA456" s="223"/>
      <c r="AC456" s="889"/>
      <c r="AF456" s="890"/>
      <c r="AJ456" s="889"/>
      <c r="AN456" s="222"/>
      <c r="BC456" s="223"/>
      <c r="BD456" s="222"/>
      <c r="BH456" s="611"/>
      <c r="BJ456" s="15"/>
      <c r="BK456" s="15"/>
      <c r="BO456" s="223"/>
      <c r="BQ456" s="889"/>
      <c r="BT456" s="890"/>
      <c r="BX456" s="889"/>
      <c r="CB456" s="15"/>
      <c r="CC456" s="697"/>
      <c r="CD456" s="1086"/>
      <c r="CE456" s="15"/>
      <c r="CF456" s="15"/>
      <c r="CG456" s="936"/>
      <c r="CH456" s="15"/>
      <c r="CI456" s="15"/>
      <c r="CJ456" s="15"/>
      <c r="CK456" s="1107"/>
      <c r="CL456" s="22"/>
      <c r="CM456" s="22"/>
      <c r="CN456" s="1107"/>
      <c r="CR456" s="223"/>
      <c r="CS456" s="952"/>
      <c r="CT456" s="1066"/>
      <c r="CU456" s="972"/>
      <c r="CV456" s="983"/>
      <c r="CW456" s="222"/>
      <c r="CX456" s="697"/>
      <c r="DC456" s="222"/>
      <c r="DJ456" s="889"/>
      <c r="DM456" s="890"/>
      <c r="DN456" s="952"/>
      <c r="DO456" s="75"/>
      <c r="DP456" s="962"/>
      <c r="DQ456" s="983"/>
      <c r="DV456" s="889"/>
    </row>
    <row r="457" spans="1:126" s="74" customFormat="1">
      <c r="A457" s="15"/>
      <c r="B457" s="15"/>
      <c r="C457" s="15"/>
      <c r="D457" s="15"/>
      <c r="E457" s="6"/>
      <c r="F457" s="6"/>
      <c r="G457" s="6"/>
      <c r="K457" s="222"/>
      <c r="V457" s="1430"/>
      <c r="AA457" s="223"/>
      <c r="AC457" s="889"/>
      <c r="AF457" s="890"/>
      <c r="AJ457" s="889"/>
      <c r="AN457" s="222"/>
      <c r="BC457" s="223"/>
      <c r="BD457" s="222"/>
      <c r="BH457" s="611"/>
      <c r="BJ457" s="15"/>
      <c r="BK457" s="15"/>
      <c r="BO457" s="223"/>
      <c r="BQ457" s="889"/>
      <c r="BT457" s="890"/>
      <c r="BX457" s="889"/>
      <c r="CB457" s="15"/>
      <c r="CC457" s="697"/>
      <c r="CD457" s="1086"/>
      <c r="CE457" s="15"/>
      <c r="CF457" s="15"/>
      <c r="CG457" s="936"/>
      <c r="CH457" s="15"/>
      <c r="CI457" s="15"/>
      <c r="CJ457" s="15"/>
      <c r="CK457" s="1107"/>
      <c r="CL457" s="22"/>
      <c r="CM457" s="22"/>
      <c r="CN457" s="1107"/>
      <c r="CR457" s="223"/>
      <c r="CS457" s="952"/>
      <c r="CT457" s="1066"/>
      <c r="CU457" s="972"/>
      <c r="CV457" s="983"/>
      <c r="CW457" s="222"/>
      <c r="CX457" s="697"/>
      <c r="DC457" s="222"/>
      <c r="DJ457" s="889"/>
      <c r="DM457" s="890"/>
      <c r="DN457" s="952"/>
      <c r="DO457" s="75"/>
      <c r="DP457" s="962"/>
      <c r="DQ457" s="983"/>
      <c r="DV457" s="889"/>
    </row>
    <row r="458" spans="1:126" s="74" customFormat="1">
      <c r="A458" s="15"/>
      <c r="B458" s="15"/>
      <c r="C458" s="15"/>
      <c r="D458" s="15"/>
      <c r="E458" s="6"/>
      <c r="F458" s="6"/>
      <c r="G458" s="6"/>
      <c r="K458" s="222"/>
      <c r="V458" s="1430"/>
      <c r="AA458" s="223"/>
      <c r="AC458" s="889"/>
      <c r="AF458" s="890"/>
      <c r="AJ458" s="889"/>
      <c r="AN458" s="222"/>
      <c r="BC458" s="223"/>
      <c r="BD458" s="222"/>
      <c r="BH458" s="611"/>
      <c r="BJ458" s="15"/>
      <c r="BK458" s="15"/>
      <c r="BO458" s="223"/>
      <c r="BQ458" s="889"/>
      <c r="BT458" s="890"/>
      <c r="BX458" s="889"/>
      <c r="CB458" s="15"/>
      <c r="CC458" s="697"/>
      <c r="CD458" s="1086"/>
      <c r="CE458" s="15"/>
      <c r="CF458" s="15"/>
      <c r="CG458" s="936"/>
      <c r="CH458" s="15"/>
      <c r="CI458" s="15"/>
      <c r="CJ458" s="15"/>
      <c r="CK458" s="1107"/>
      <c r="CL458" s="22"/>
      <c r="CM458" s="22"/>
      <c r="CN458" s="1107"/>
      <c r="CR458" s="223"/>
      <c r="CS458" s="952"/>
      <c r="CT458" s="1066"/>
      <c r="CU458" s="972"/>
      <c r="CV458" s="983"/>
      <c r="CW458" s="222"/>
      <c r="CX458" s="697"/>
      <c r="DC458" s="222"/>
      <c r="DJ458" s="889"/>
      <c r="DM458" s="890"/>
      <c r="DN458" s="952"/>
      <c r="DO458" s="75"/>
      <c r="DP458" s="962"/>
      <c r="DQ458" s="983"/>
      <c r="DV458" s="889"/>
    </row>
    <row r="459" spans="1:126" s="74" customFormat="1">
      <c r="A459" s="15"/>
      <c r="B459" s="15"/>
      <c r="C459" s="15"/>
      <c r="D459" s="15"/>
      <c r="E459" s="6"/>
      <c r="F459" s="6"/>
      <c r="G459" s="6"/>
      <c r="K459" s="222"/>
      <c r="V459" s="1430"/>
      <c r="AA459" s="223"/>
      <c r="AC459" s="889"/>
      <c r="AF459" s="890"/>
      <c r="AJ459" s="889"/>
      <c r="AN459" s="222"/>
      <c r="BC459" s="223"/>
      <c r="BD459" s="222"/>
      <c r="BH459" s="611"/>
      <c r="BJ459" s="15"/>
      <c r="BK459" s="15"/>
      <c r="BO459" s="223"/>
      <c r="BQ459" s="889"/>
      <c r="BT459" s="890"/>
      <c r="BX459" s="889"/>
      <c r="CB459" s="15"/>
      <c r="CC459" s="697"/>
      <c r="CD459" s="1086"/>
      <c r="CE459" s="15"/>
      <c r="CF459" s="15"/>
      <c r="CG459" s="936"/>
      <c r="CH459" s="15"/>
      <c r="CI459" s="15"/>
      <c r="CJ459" s="15"/>
      <c r="CK459" s="1107"/>
      <c r="CL459" s="22"/>
      <c r="CM459" s="22"/>
      <c r="CN459" s="1107"/>
      <c r="CR459" s="223"/>
      <c r="CS459" s="952"/>
      <c r="CT459" s="1066"/>
      <c r="CU459" s="972"/>
      <c r="CV459" s="983"/>
      <c r="CW459" s="222"/>
      <c r="CX459" s="697"/>
      <c r="DC459" s="222"/>
      <c r="DJ459" s="889"/>
      <c r="DM459" s="890"/>
      <c r="DN459" s="952"/>
      <c r="DO459" s="75"/>
      <c r="DP459" s="962"/>
      <c r="DQ459" s="983"/>
      <c r="DV459" s="889"/>
    </row>
    <row r="460" spans="1:126" s="74" customFormat="1">
      <c r="A460" s="15"/>
      <c r="B460" s="15"/>
      <c r="C460" s="15"/>
      <c r="D460" s="15"/>
      <c r="E460" s="6"/>
      <c r="F460" s="6"/>
      <c r="G460" s="6"/>
      <c r="K460" s="222"/>
      <c r="V460" s="1430"/>
      <c r="AA460" s="223"/>
      <c r="AC460" s="889"/>
      <c r="AF460" s="890"/>
      <c r="AJ460" s="889"/>
      <c r="AN460" s="222"/>
      <c r="BC460" s="223"/>
      <c r="BD460" s="222"/>
      <c r="BH460" s="611"/>
      <c r="BJ460" s="15"/>
      <c r="BK460" s="15"/>
      <c r="BO460" s="223"/>
      <c r="BQ460" s="889"/>
      <c r="BT460" s="890"/>
      <c r="BX460" s="889"/>
      <c r="CB460" s="15"/>
      <c r="CC460" s="697"/>
      <c r="CD460" s="1086"/>
      <c r="CE460" s="15"/>
      <c r="CF460" s="15"/>
      <c r="CG460" s="936"/>
      <c r="CH460" s="15"/>
      <c r="CI460" s="15"/>
      <c r="CJ460" s="15"/>
      <c r="CK460" s="1107"/>
      <c r="CL460" s="22"/>
      <c r="CM460" s="22"/>
      <c r="CN460" s="1107"/>
      <c r="CR460" s="223"/>
      <c r="CS460" s="952"/>
      <c r="CT460" s="1066"/>
      <c r="CU460" s="972"/>
      <c r="CV460" s="983"/>
      <c r="CW460" s="222"/>
      <c r="CX460" s="697"/>
      <c r="DC460" s="222"/>
      <c r="DJ460" s="889"/>
      <c r="DM460" s="890"/>
      <c r="DN460" s="952"/>
      <c r="DO460" s="75"/>
      <c r="DP460" s="962"/>
      <c r="DQ460" s="983"/>
      <c r="DV460" s="889"/>
    </row>
    <row r="461" spans="1:126" s="74" customFormat="1">
      <c r="A461" s="15"/>
      <c r="B461" s="15"/>
      <c r="C461" s="15"/>
      <c r="D461" s="15"/>
      <c r="E461" s="6"/>
      <c r="F461" s="6"/>
      <c r="G461" s="6"/>
      <c r="K461" s="222"/>
      <c r="V461" s="1430"/>
      <c r="AA461" s="223"/>
      <c r="AC461" s="889"/>
      <c r="AF461" s="890"/>
      <c r="AJ461" s="889"/>
      <c r="AN461" s="222"/>
      <c r="BC461" s="223"/>
      <c r="BD461" s="222"/>
      <c r="BH461" s="611"/>
      <c r="BJ461" s="15"/>
      <c r="BK461" s="15"/>
      <c r="BO461" s="223"/>
      <c r="BQ461" s="889"/>
      <c r="BT461" s="890"/>
      <c r="BX461" s="889"/>
      <c r="CB461" s="15"/>
      <c r="CC461" s="697"/>
      <c r="CD461" s="1086"/>
      <c r="CE461" s="15"/>
      <c r="CF461" s="15"/>
      <c r="CG461" s="936"/>
      <c r="CH461" s="15"/>
      <c r="CI461" s="15"/>
      <c r="CJ461" s="15"/>
      <c r="CK461" s="1107"/>
      <c r="CL461" s="22"/>
      <c r="CM461" s="22"/>
      <c r="CN461" s="1107"/>
      <c r="CR461" s="223"/>
      <c r="CS461" s="952"/>
      <c r="CT461" s="1066"/>
      <c r="CU461" s="972"/>
      <c r="CV461" s="983"/>
      <c r="CW461" s="222"/>
      <c r="CX461" s="697"/>
      <c r="DC461" s="222"/>
      <c r="DJ461" s="889"/>
      <c r="DM461" s="890"/>
      <c r="DN461" s="952"/>
      <c r="DO461" s="75"/>
      <c r="DP461" s="962"/>
      <c r="DQ461" s="983"/>
      <c r="DV461" s="889"/>
    </row>
    <row r="462" spans="1:126" s="74" customFormat="1">
      <c r="A462" s="15"/>
      <c r="B462" s="15"/>
      <c r="C462" s="15"/>
      <c r="D462" s="15"/>
      <c r="E462" s="6"/>
      <c r="F462" s="6"/>
      <c r="G462" s="6"/>
      <c r="K462" s="222"/>
      <c r="V462" s="1430"/>
      <c r="AA462" s="223"/>
      <c r="AC462" s="889"/>
      <c r="AF462" s="890"/>
      <c r="AJ462" s="889"/>
      <c r="AN462" s="222"/>
      <c r="BC462" s="223"/>
      <c r="BD462" s="222"/>
      <c r="BH462" s="611"/>
      <c r="BJ462" s="15"/>
      <c r="BK462" s="15"/>
      <c r="BO462" s="223"/>
      <c r="BQ462" s="889"/>
      <c r="BT462" s="890"/>
      <c r="BX462" s="889"/>
      <c r="CB462" s="15"/>
      <c r="CC462" s="697"/>
      <c r="CD462" s="1086"/>
      <c r="CE462" s="15"/>
      <c r="CF462" s="15"/>
      <c r="CG462" s="936"/>
      <c r="CH462" s="15"/>
      <c r="CI462" s="15"/>
      <c r="CJ462" s="15"/>
      <c r="CK462" s="1107"/>
      <c r="CL462" s="22"/>
      <c r="CM462" s="22"/>
      <c r="CN462" s="1107"/>
      <c r="CR462" s="223"/>
      <c r="CS462" s="952"/>
      <c r="CT462" s="1066"/>
      <c r="CU462" s="972"/>
      <c r="CV462" s="983"/>
      <c r="CW462" s="222"/>
      <c r="CX462" s="697"/>
      <c r="DC462" s="222"/>
      <c r="DJ462" s="889"/>
      <c r="DM462" s="890"/>
      <c r="DN462" s="952"/>
      <c r="DO462" s="75"/>
      <c r="DP462" s="962"/>
      <c r="DQ462" s="983"/>
      <c r="DV462" s="889"/>
    </row>
    <row r="463" spans="1:126" s="74" customFormat="1">
      <c r="A463" s="15"/>
      <c r="B463" s="15"/>
      <c r="C463" s="15"/>
      <c r="D463" s="15"/>
      <c r="E463" s="6"/>
      <c r="F463" s="6"/>
      <c r="G463" s="6"/>
      <c r="K463" s="222"/>
      <c r="V463" s="1430"/>
      <c r="AA463" s="223"/>
      <c r="AC463" s="889"/>
      <c r="AF463" s="890"/>
      <c r="AJ463" s="889"/>
      <c r="AN463" s="222"/>
      <c r="BC463" s="223"/>
      <c r="BD463" s="222"/>
      <c r="BH463" s="611"/>
      <c r="BJ463" s="15"/>
      <c r="BK463" s="15"/>
      <c r="BO463" s="223"/>
      <c r="BQ463" s="889"/>
      <c r="BT463" s="890"/>
      <c r="BX463" s="889"/>
      <c r="CB463" s="15"/>
      <c r="CC463" s="697"/>
      <c r="CD463" s="1086"/>
      <c r="CE463" s="15"/>
      <c r="CF463" s="15"/>
      <c r="CG463" s="936"/>
      <c r="CH463" s="15"/>
      <c r="CI463" s="15"/>
      <c r="CJ463" s="15"/>
      <c r="CK463" s="1107"/>
      <c r="CL463" s="22"/>
      <c r="CM463" s="22"/>
      <c r="CN463" s="1107"/>
      <c r="CR463" s="223"/>
      <c r="CS463" s="952"/>
      <c r="CT463" s="1066"/>
      <c r="CU463" s="972"/>
      <c r="CV463" s="983"/>
      <c r="CW463" s="222"/>
      <c r="CX463" s="697"/>
      <c r="DC463" s="222"/>
      <c r="DJ463" s="889"/>
      <c r="DM463" s="890"/>
      <c r="DN463" s="952"/>
      <c r="DO463" s="75"/>
      <c r="DP463" s="962"/>
      <c r="DQ463" s="983"/>
      <c r="DV463" s="889"/>
    </row>
    <row r="464" spans="1:126" s="74" customFormat="1">
      <c r="A464" s="15"/>
      <c r="B464" s="15"/>
      <c r="C464" s="15"/>
      <c r="D464" s="15"/>
      <c r="E464" s="6"/>
      <c r="F464" s="6"/>
      <c r="G464" s="6"/>
      <c r="K464" s="222"/>
      <c r="V464" s="1430"/>
      <c r="AA464" s="223"/>
      <c r="AC464" s="889"/>
      <c r="AF464" s="890"/>
      <c r="AJ464" s="889"/>
      <c r="AN464" s="222"/>
      <c r="BC464" s="223"/>
      <c r="BD464" s="222"/>
      <c r="BH464" s="611"/>
      <c r="BJ464" s="15"/>
      <c r="BK464" s="15"/>
      <c r="BO464" s="223"/>
      <c r="BQ464" s="889"/>
      <c r="BT464" s="890"/>
      <c r="BX464" s="889"/>
      <c r="CB464" s="15"/>
      <c r="CC464" s="697"/>
      <c r="CD464" s="1086"/>
      <c r="CE464" s="15"/>
      <c r="CF464" s="15"/>
      <c r="CG464" s="936"/>
      <c r="CH464" s="15"/>
      <c r="CI464" s="15"/>
      <c r="CJ464" s="15"/>
      <c r="CK464" s="1107"/>
      <c r="CL464" s="22"/>
      <c r="CM464" s="22"/>
      <c r="CN464" s="1107"/>
      <c r="CR464" s="223"/>
      <c r="CS464" s="952"/>
      <c r="CT464" s="1066"/>
      <c r="CU464" s="972"/>
      <c r="CV464" s="983"/>
      <c r="CW464" s="222"/>
      <c r="CX464" s="697"/>
      <c r="DC464" s="222"/>
      <c r="DJ464" s="889"/>
      <c r="DM464" s="890"/>
      <c r="DN464" s="952"/>
      <c r="DO464" s="75"/>
      <c r="DP464" s="962"/>
      <c r="DQ464" s="983"/>
      <c r="DV464" s="889"/>
    </row>
    <row r="465" spans="1:126" s="74" customFormat="1">
      <c r="A465" s="15"/>
      <c r="B465" s="15"/>
      <c r="C465" s="15"/>
      <c r="D465" s="15"/>
      <c r="E465" s="6"/>
      <c r="F465" s="6"/>
      <c r="G465" s="6"/>
      <c r="K465" s="222"/>
      <c r="V465" s="1430"/>
      <c r="AA465" s="223"/>
      <c r="AC465" s="889"/>
      <c r="AF465" s="890"/>
      <c r="AJ465" s="889"/>
      <c r="AN465" s="222"/>
      <c r="BC465" s="223"/>
      <c r="BD465" s="222"/>
      <c r="BH465" s="611"/>
      <c r="BJ465" s="15"/>
      <c r="BK465" s="15"/>
      <c r="BO465" s="223"/>
      <c r="BQ465" s="889"/>
      <c r="BT465" s="890"/>
      <c r="BX465" s="889"/>
      <c r="CB465" s="15"/>
      <c r="CC465" s="697"/>
      <c r="CD465" s="1086"/>
      <c r="CE465" s="15"/>
      <c r="CF465" s="15"/>
      <c r="CG465" s="936"/>
      <c r="CH465" s="15"/>
      <c r="CI465" s="15"/>
      <c r="CJ465" s="15"/>
      <c r="CK465" s="1107"/>
      <c r="CL465" s="22"/>
      <c r="CM465" s="22"/>
      <c r="CN465" s="1107"/>
      <c r="CR465" s="223"/>
      <c r="CS465" s="952"/>
      <c r="CT465" s="1066"/>
      <c r="CU465" s="972"/>
      <c r="CV465" s="983"/>
      <c r="CW465" s="222"/>
      <c r="CX465" s="697"/>
      <c r="DC465" s="222"/>
      <c r="DJ465" s="889"/>
      <c r="DM465" s="890"/>
      <c r="DN465" s="952"/>
      <c r="DO465" s="75"/>
      <c r="DP465" s="962"/>
      <c r="DQ465" s="983"/>
      <c r="DV465" s="889"/>
    </row>
    <row r="466" spans="1:126" s="74" customFormat="1">
      <c r="A466" s="15"/>
      <c r="B466" s="15"/>
      <c r="C466" s="15"/>
      <c r="D466" s="15"/>
      <c r="E466" s="6"/>
      <c r="F466" s="6"/>
      <c r="G466" s="6"/>
      <c r="K466" s="222"/>
      <c r="V466" s="1430"/>
      <c r="AA466" s="223"/>
      <c r="AC466" s="889"/>
      <c r="AF466" s="890"/>
      <c r="AJ466" s="889"/>
      <c r="AN466" s="222"/>
      <c r="BC466" s="223"/>
      <c r="BD466" s="222"/>
      <c r="BH466" s="611"/>
      <c r="BJ466" s="15"/>
      <c r="BK466" s="15"/>
      <c r="BO466" s="223"/>
      <c r="BQ466" s="889"/>
      <c r="BT466" s="890"/>
      <c r="BX466" s="889"/>
      <c r="CB466" s="15"/>
      <c r="CC466" s="697"/>
      <c r="CD466" s="1086"/>
      <c r="CE466" s="15"/>
      <c r="CF466" s="15"/>
      <c r="CG466" s="936"/>
      <c r="CH466" s="15"/>
      <c r="CI466" s="15"/>
      <c r="CJ466" s="15"/>
      <c r="CK466" s="1107"/>
      <c r="CL466" s="22"/>
      <c r="CM466" s="22"/>
      <c r="CN466" s="1107"/>
      <c r="CR466" s="223"/>
      <c r="CS466" s="952"/>
      <c r="CT466" s="1066"/>
      <c r="CU466" s="972"/>
      <c r="CV466" s="983"/>
      <c r="CW466" s="222"/>
      <c r="CX466" s="697"/>
      <c r="DC466" s="222"/>
      <c r="DJ466" s="889"/>
      <c r="DM466" s="890"/>
      <c r="DN466" s="952"/>
      <c r="DO466" s="75"/>
      <c r="DP466" s="962"/>
      <c r="DQ466" s="983"/>
      <c r="DV466" s="889"/>
    </row>
    <row r="467" spans="1:126" s="74" customFormat="1">
      <c r="A467" s="15"/>
      <c r="B467" s="15"/>
      <c r="C467" s="15"/>
      <c r="D467" s="15"/>
      <c r="E467" s="6"/>
      <c r="F467" s="6"/>
      <c r="G467" s="6"/>
      <c r="K467" s="222"/>
      <c r="V467" s="1430"/>
      <c r="AA467" s="223"/>
      <c r="AC467" s="889"/>
      <c r="AF467" s="890"/>
      <c r="AJ467" s="889"/>
      <c r="AN467" s="222"/>
      <c r="BC467" s="223"/>
      <c r="BD467" s="222"/>
      <c r="BH467" s="611"/>
      <c r="BJ467" s="15"/>
      <c r="BK467" s="15"/>
      <c r="BO467" s="223"/>
      <c r="BQ467" s="889"/>
      <c r="BT467" s="890"/>
      <c r="BX467" s="889"/>
      <c r="CB467" s="15"/>
      <c r="CC467" s="697"/>
      <c r="CD467" s="1086"/>
      <c r="CE467" s="15"/>
      <c r="CF467" s="15"/>
      <c r="CG467" s="936"/>
      <c r="CH467" s="15"/>
      <c r="CI467" s="15"/>
      <c r="CJ467" s="15"/>
      <c r="CK467" s="1107"/>
      <c r="CL467" s="22"/>
      <c r="CM467" s="22"/>
      <c r="CN467" s="1107"/>
      <c r="CR467" s="223"/>
      <c r="CS467" s="952"/>
      <c r="CT467" s="1066"/>
      <c r="CU467" s="972"/>
      <c r="CV467" s="983"/>
      <c r="CW467" s="222"/>
      <c r="CX467" s="697"/>
      <c r="DC467" s="222"/>
      <c r="DJ467" s="889"/>
      <c r="DM467" s="890"/>
      <c r="DN467" s="952"/>
      <c r="DO467" s="75"/>
      <c r="DP467" s="962"/>
      <c r="DQ467" s="983"/>
      <c r="DV467" s="889"/>
    </row>
    <row r="468" spans="1:126" s="74" customFormat="1">
      <c r="A468" s="15"/>
      <c r="B468" s="15"/>
      <c r="C468" s="15"/>
      <c r="D468" s="15"/>
      <c r="E468" s="6"/>
      <c r="F468" s="6"/>
      <c r="G468" s="6"/>
      <c r="K468" s="222"/>
      <c r="V468" s="1430"/>
      <c r="AA468" s="223"/>
      <c r="AC468" s="889"/>
      <c r="AF468" s="890"/>
      <c r="AJ468" s="889"/>
      <c r="AN468" s="222"/>
      <c r="BC468" s="223"/>
      <c r="BD468" s="222"/>
      <c r="BH468" s="611"/>
      <c r="BJ468" s="15"/>
      <c r="BK468" s="15"/>
      <c r="BO468" s="223"/>
      <c r="BQ468" s="889"/>
      <c r="BT468" s="890"/>
      <c r="BX468" s="889"/>
      <c r="CB468" s="15"/>
      <c r="CC468" s="697"/>
      <c r="CD468" s="1086"/>
      <c r="CE468" s="15"/>
      <c r="CF468" s="15"/>
      <c r="CG468" s="936"/>
      <c r="CH468" s="15"/>
      <c r="CI468" s="15"/>
      <c r="CJ468" s="15"/>
      <c r="CK468" s="1107"/>
      <c r="CL468" s="22"/>
      <c r="CM468" s="22"/>
      <c r="CN468" s="1107"/>
      <c r="CR468" s="223"/>
      <c r="CS468" s="952"/>
      <c r="CT468" s="1066"/>
      <c r="CU468" s="972"/>
      <c r="CV468" s="983"/>
      <c r="CW468" s="222"/>
      <c r="CX468" s="697"/>
      <c r="DC468" s="222"/>
      <c r="DJ468" s="889"/>
      <c r="DM468" s="890"/>
      <c r="DN468" s="952"/>
      <c r="DO468" s="75"/>
      <c r="DP468" s="962"/>
      <c r="DQ468" s="983"/>
      <c r="DV468" s="889"/>
    </row>
    <row r="469" spans="1:126" s="74" customFormat="1">
      <c r="A469" s="15"/>
      <c r="B469" s="15"/>
      <c r="C469" s="15"/>
      <c r="D469" s="15"/>
      <c r="E469" s="6"/>
      <c r="F469" s="6"/>
      <c r="G469" s="6"/>
      <c r="K469" s="222"/>
      <c r="V469" s="1430"/>
      <c r="AA469" s="223"/>
      <c r="AC469" s="889"/>
      <c r="AF469" s="890"/>
      <c r="AJ469" s="889"/>
      <c r="AN469" s="222"/>
      <c r="BC469" s="223"/>
      <c r="BD469" s="222"/>
      <c r="BH469" s="611"/>
      <c r="BJ469" s="15"/>
      <c r="BK469" s="15"/>
      <c r="BO469" s="223"/>
      <c r="BQ469" s="889"/>
      <c r="BT469" s="890"/>
      <c r="BX469" s="889"/>
      <c r="CB469" s="15"/>
      <c r="CC469" s="697"/>
      <c r="CD469" s="1086"/>
      <c r="CE469" s="15"/>
      <c r="CF469" s="15"/>
      <c r="CG469" s="936"/>
      <c r="CH469" s="15"/>
      <c r="CI469" s="15"/>
      <c r="CJ469" s="15"/>
      <c r="CK469" s="1107"/>
      <c r="CL469" s="22"/>
      <c r="CM469" s="22"/>
      <c r="CN469" s="1107"/>
      <c r="CR469" s="223"/>
      <c r="CS469" s="952"/>
      <c r="CT469" s="1066"/>
      <c r="CU469" s="972"/>
      <c r="CV469" s="983"/>
      <c r="CW469" s="222"/>
      <c r="CX469" s="697"/>
      <c r="DC469" s="222"/>
      <c r="DJ469" s="889"/>
      <c r="DM469" s="890"/>
      <c r="DN469" s="952"/>
      <c r="DO469" s="75"/>
      <c r="DP469" s="962"/>
      <c r="DQ469" s="983"/>
      <c r="DV469" s="889"/>
    </row>
    <row r="470" spans="1:126" s="74" customFormat="1">
      <c r="A470" s="15"/>
      <c r="B470" s="15"/>
      <c r="C470" s="15"/>
      <c r="D470" s="15"/>
      <c r="E470" s="6"/>
      <c r="F470" s="6"/>
      <c r="G470" s="6"/>
      <c r="K470" s="222"/>
      <c r="V470" s="1430"/>
      <c r="AA470" s="223"/>
      <c r="AC470" s="889"/>
      <c r="AF470" s="890"/>
      <c r="AJ470" s="889"/>
      <c r="AN470" s="222"/>
      <c r="BC470" s="223"/>
      <c r="BD470" s="222"/>
      <c r="BH470" s="611"/>
      <c r="BJ470" s="15"/>
      <c r="BK470" s="15"/>
      <c r="BO470" s="223"/>
      <c r="BQ470" s="889"/>
      <c r="BT470" s="890"/>
      <c r="BX470" s="889"/>
      <c r="CB470" s="15"/>
      <c r="CC470" s="697"/>
      <c r="CD470" s="1086"/>
      <c r="CE470" s="15"/>
      <c r="CF470" s="15"/>
      <c r="CG470" s="936"/>
      <c r="CH470" s="15"/>
      <c r="CI470" s="15"/>
      <c r="CJ470" s="15"/>
      <c r="CK470" s="1107"/>
      <c r="CL470" s="22"/>
      <c r="CM470" s="22"/>
      <c r="CN470" s="1107"/>
      <c r="CR470" s="223"/>
      <c r="CS470" s="952"/>
      <c r="CT470" s="1066"/>
      <c r="CU470" s="972"/>
      <c r="CV470" s="983"/>
      <c r="CW470" s="222"/>
      <c r="CX470" s="697"/>
      <c r="DC470" s="222"/>
      <c r="DJ470" s="889"/>
      <c r="DM470" s="890"/>
      <c r="DN470" s="952"/>
      <c r="DO470" s="75"/>
      <c r="DP470" s="962"/>
      <c r="DQ470" s="983"/>
      <c r="DV470" s="889"/>
    </row>
    <row r="471" spans="1:126" s="74" customFormat="1">
      <c r="A471" s="15"/>
      <c r="B471" s="15"/>
      <c r="C471" s="15"/>
      <c r="D471" s="15"/>
      <c r="E471" s="6"/>
      <c r="F471" s="6"/>
      <c r="G471" s="6"/>
      <c r="K471" s="222"/>
      <c r="V471" s="1430"/>
      <c r="AA471" s="223"/>
      <c r="AC471" s="889"/>
      <c r="AF471" s="890"/>
      <c r="AJ471" s="889"/>
      <c r="AN471" s="222"/>
      <c r="BC471" s="223"/>
      <c r="BD471" s="222"/>
      <c r="BH471" s="611"/>
      <c r="BJ471" s="15"/>
      <c r="BK471" s="15"/>
      <c r="BO471" s="223"/>
      <c r="BQ471" s="889"/>
      <c r="BT471" s="890"/>
      <c r="BX471" s="889"/>
      <c r="CB471" s="15"/>
      <c r="CC471" s="697"/>
      <c r="CD471" s="1086"/>
      <c r="CE471" s="15"/>
      <c r="CF471" s="15"/>
      <c r="CG471" s="936"/>
      <c r="CH471" s="15"/>
      <c r="CI471" s="15"/>
      <c r="CJ471" s="15"/>
      <c r="CK471" s="1107"/>
      <c r="CL471" s="22"/>
      <c r="CM471" s="22"/>
      <c r="CN471" s="1107"/>
      <c r="CR471" s="223"/>
      <c r="CS471" s="952"/>
      <c r="CT471" s="1066"/>
      <c r="CU471" s="972"/>
      <c r="CV471" s="983"/>
      <c r="CW471" s="222"/>
      <c r="CX471" s="697"/>
      <c r="DC471" s="222"/>
      <c r="DJ471" s="889"/>
      <c r="DM471" s="890"/>
      <c r="DN471" s="952"/>
      <c r="DO471" s="75"/>
      <c r="DP471" s="962"/>
      <c r="DQ471" s="983"/>
      <c r="DV471" s="889"/>
    </row>
    <row r="472" spans="1:126" s="74" customFormat="1">
      <c r="A472" s="15"/>
      <c r="B472" s="15"/>
      <c r="C472" s="15"/>
      <c r="D472" s="15"/>
      <c r="E472" s="6"/>
      <c r="F472" s="6"/>
      <c r="G472" s="6"/>
      <c r="K472" s="222"/>
      <c r="V472" s="1430"/>
      <c r="AA472" s="223"/>
      <c r="AC472" s="889"/>
      <c r="AF472" s="890"/>
      <c r="AJ472" s="889"/>
      <c r="AN472" s="222"/>
      <c r="BC472" s="223"/>
      <c r="BD472" s="222"/>
      <c r="BH472" s="611"/>
      <c r="BJ472" s="15"/>
      <c r="BK472" s="15"/>
      <c r="BO472" s="223"/>
      <c r="BQ472" s="889"/>
      <c r="BT472" s="890"/>
      <c r="BX472" s="889"/>
      <c r="CB472" s="15"/>
      <c r="CC472" s="697"/>
      <c r="CD472" s="1086"/>
      <c r="CE472" s="15"/>
      <c r="CF472" s="15"/>
      <c r="CG472" s="936"/>
      <c r="CH472" s="15"/>
      <c r="CI472" s="15"/>
      <c r="CJ472" s="15"/>
      <c r="CK472" s="1107"/>
      <c r="CL472" s="22"/>
      <c r="CM472" s="22"/>
      <c r="CN472" s="1107"/>
      <c r="CR472" s="223"/>
      <c r="CS472" s="952"/>
      <c r="CT472" s="1066"/>
      <c r="CU472" s="972"/>
      <c r="CV472" s="983"/>
      <c r="CW472" s="222"/>
      <c r="CX472" s="697"/>
      <c r="DC472" s="222"/>
      <c r="DJ472" s="889"/>
      <c r="DM472" s="890"/>
      <c r="DN472" s="952"/>
      <c r="DO472" s="75"/>
      <c r="DP472" s="962"/>
      <c r="DQ472" s="983"/>
      <c r="DV472" s="889"/>
    </row>
    <row r="473" spans="1:126" s="74" customFormat="1">
      <c r="A473" s="15"/>
      <c r="B473" s="15"/>
      <c r="C473" s="15"/>
      <c r="D473" s="15"/>
      <c r="E473" s="6"/>
      <c r="F473" s="6"/>
      <c r="G473" s="6"/>
      <c r="K473" s="222"/>
      <c r="V473" s="1430"/>
      <c r="AA473" s="223"/>
      <c r="AC473" s="889"/>
      <c r="AF473" s="890"/>
      <c r="AJ473" s="889"/>
      <c r="AN473" s="222"/>
      <c r="BC473" s="223"/>
      <c r="BD473" s="222"/>
      <c r="BH473" s="611"/>
      <c r="BJ473" s="15"/>
      <c r="BK473" s="15"/>
      <c r="BO473" s="223"/>
      <c r="BQ473" s="889"/>
      <c r="BT473" s="890"/>
      <c r="BX473" s="889"/>
      <c r="CB473" s="15"/>
      <c r="CC473" s="697"/>
      <c r="CD473" s="1086"/>
      <c r="CE473" s="15"/>
      <c r="CF473" s="15"/>
      <c r="CG473" s="936"/>
      <c r="CH473" s="15"/>
      <c r="CI473" s="15"/>
      <c r="CJ473" s="15"/>
      <c r="CK473" s="1107"/>
      <c r="CL473" s="22"/>
      <c r="CM473" s="22"/>
      <c r="CN473" s="1107"/>
      <c r="CR473" s="223"/>
      <c r="CS473" s="952"/>
      <c r="CT473" s="1066"/>
      <c r="CU473" s="972"/>
      <c r="CV473" s="983"/>
      <c r="CW473" s="222"/>
      <c r="CX473" s="697"/>
      <c r="DC473" s="222"/>
      <c r="DJ473" s="889"/>
      <c r="DM473" s="890"/>
      <c r="DN473" s="952"/>
      <c r="DO473" s="75"/>
      <c r="DP473" s="962"/>
      <c r="DQ473" s="983"/>
      <c r="DV473" s="889"/>
    </row>
    <row r="474" spans="1:126" s="74" customFormat="1">
      <c r="A474" s="15"/>
      <c r="B474" s="15"/>
      <c r="C474" s="15"/>
      <c r="D474" s="15"/>
      <c r="E474" s="6"/>
      <c r="F474" s="6"/>
      <c r="G474" s="6"/>
      <c r="K474" s="222"/>
      <c r="V474" s="1430"/>
      <c r="AA474" s="223"/>
      <c r="AC474" s="889"/>
      <c r="AF474" s="890"/>
      <c r="AJ474" s="889"/>
      <c r="AN474" s="222"/>
      <c r="BC474" s="223"/>
      <c r="BD474" s="222"/>
      <c r="BH474" s="611"/>
      <c r="BJ474" s="15"/>
      <c r="BK474" s="15"/>
      <c r="BO474" s="223"/>
      <c r="BQ474" s="889"/>
      <c r="BT474" s="890"/>
      <c r="BX474" s="889"/>
      <c r="CB474" s="15"/>
      <c r="CC474" s="697"/>
      <c r="CD474" s="1086"/>
      <c r="CE474" s="15"/>
      <c r="CF474" s="15"/>
      <c r="CG474" s="936"/>
      <c r="CH474" s="15"/>
      <c r="CI474" s="15"/>
      <c r="CJ474" s="15"/>
      <c r="CK474" s="1107"/>
      <c r="CL474" s="22"/>
      <c r="CM474" s="22"/>
      <c r="CN474" s="1107"/>
      <c r="CR474" s="223"/>
      <c r="CS474" s="952"/>
      <c r="CT474" s="1066"/>
      <c r="CU474" s="972"/>
      <c r="CV474" s="983"/>
      <c r="CW474" s="222"/>
      <c r="CX474" s="697"/>
      <c r="DC474" s="222"/>
      <c r="DJ474" s="889"/>
      <c r="DM474" s="890"/>
      <c r="DN474" s="952"/>
      <c r="DO474" s="75"/>
      <c r="DP474" s="962"/>
      <c r="DQ474" s="983"/>
      <c r="DV474" s="889"/>
    </row>
    <row r="475" spans="1:126" s="74" customFormat="1">
      <c r="A475" s="15"/>
      <c r="B475" s="15"/>
      <c r="C475" s="15"/>
      <c r="D475" s="15"/>
      <c r="E475" s="6"/>
      <c r="F475" s="6"/>
      <c r="G475" s="6"/>
      <c r="K475" s="222"/>
      <c r="V475" s="1430"/>
      <c r="AA475" s="223"/>
      <c r="AC475" s="889"/>
      <c r="AF475" s="890"/>
      <c r="AJ475" s="889"/>
      <c r="AN475" s="222"/>
      <c r="BC475" s="223"/>
      <c r="BD475" s="222"/>
      <c r="BH475" s="611"/>
      <c r="BJ475" s="15"/>
      <c r="BK475" s="15"/>
      <c r="BO475" s="223"/>
      <c r="BQ475" s="889"/>
      <c r="BT475" s="890"/>
      <c r="BX475" s="889"/>
      <c r="CB475" s="15"/>
      <c r="CC475" s="697"/>
      <c r="CD475" s="1086"/>
      <c r="CE475" s="15"/>
      <c r="CF475" s="15"/>
      <c r="CG475" s="936"/>
      <c r="CH475" s="15"/>
      <c r="CI475" s="15"/>
      <c r="CJ475" s="15"/>
      <c r="CK475" s="1107"/>
      <c r="CL475" s="22"/>
      <c r="CM475" s="22"/>
      <c r="CN475" s="1107"/>
      <c r="CR475" s="223"/>
      <c r="CS475" s="952"/>
      <c r="CT475" s="1066"/>
      <c r="CU475" s="972"/>
      <c r="CV475" s="983"/>
      <c r="CW475" s="222"/>
      <c r="CX475" s="697"/>
      <c r="DC475" s="222"/>
      <c r="DJ475" s="889"/>
      <c r="DM475" s="890"/>
      <c r="DN475" s="952"/>
      <c r="DO475" s="75"/>
      <c r="DP475" s="962"/>
      <c r="DQ475" s="983"/>
      <c r="DV475" s="889"/>
    </row>
    <row r="476" spans="1:126" s="74" customFormat="1">
      <c r="A476" s="15"/>
      <c r="B476" s="15"/>
      <c r="C476" s="15"/>
      <c r="D476" s="15"/>
      <c r="E476" s="6"/>
      <c r="F476" s="6"/>
      <c r="G476" s="6"/>
      <c r="K476" s="222"/>
      <c r="V476" s="1430"/>
      <c r="AA476" s="223"/>
      <c r="AC476" s="889"/>
      <c r="AF476" s="890"/>
      <c r="AJ476" s="889"/>
      <c r="AN476" s="222"/>
      <c r="BC476" s="223"/>
      <c r="BD476" s="222"/>
      <c r="BH476" s="611"/>
      <c r="BJ476" s="15"/>
      <c r="BK476" s="15"/>
      <c r="BO476" s="223"/>
      <c r="BQ476" s="889"/>
      <c r="BT476" s="890"/>
      <c r="BX476" s="889"/>
      <c r="CB476" s="15"/>
      <c r="CC476" s="697"/>
      <c r="CD476" s="1086"/>
      <c r="CE476" s="15"/>
      <c r="CF476" s="15"/>
      <c r="CG476" s="936"/>
      <c r="CH476" s="15"/>
      <c r="CI476" s="15"/>
      <c r="CJ476" s="15"/>
      <c r="CK476" s="1107"/>
      <c r="CL476" s="22"/>
      <c r="CM476" s="22"/>
      <c r="CN476" s="1107"/>
      <c r="CR476" s="223"/>
      <c r="CS476" s="952"/>
      <c r="CT476" s="1066"/>
      <c r="CU476" s="972"/>
      <c r="CV476" s="983"/>
      <c r="CW476" s="222"/>
      <c r="CX476" s="697"/>
      <c r="DC476" s="222"/>
      <c r="DJ476" s="889"/>
      <c r="DM476" s="890"/>
      <c r="DN476" s="952"/>
      <c r="DO476" s="75"/>
      <c r="DP476" s="962"/>
      <c r="DQ476" s="983"/>
      <c r="DV476" s="889"/>
    </row>
    <row r="477" spans="1:126" s="74" customFormat="1">
      <c r="A477" s="15"/>
      <c r="B477" s="15"/>
      <c r="C477" s="15"/>
      <c r="D477" s="15"/>
      <c r="E477" s="6"/>
      <c r="F477" s="6"/>
      <c r="G477" s="6"/>
      <c r="K477" s="222"/>
      <c r="V477" s="1430"/>
      <c r="AA477" s="223"/>
      <c r="AC477" s="889"/>
      <c r="AF477" s="890"/>
      <c r="AJ477" s="889"/>
      <c r="AN477" s="222"/>
      <c r="BC477" s="223"/>
      <c r="BD477" s="222"/>
      <c r="BH477" s="611"/>
      <c r="BJ477" s="15"/>
      <c r="BK477" s="15"/>
      <c r="BO477" s="223"/>
      <c r="BQ477" s="889"/>
      <c r="BT477" s="890"/>
      <c r="BX477" s="889"/>
      <c r="CB477" s="15"/>
      <c r="CC477" s="697"/>
      <c r="CD477" s="1086"/>
      <c r="CE477" s="15"/>
      <c r="CF477" s="15"/>
      <c r="CG477" s="936"/>
      <c r="CH477" s="15"/>
      <c r="CI477" s="15"/>
      <c r="CJ477" s="15"/>
      <c r="CK477" s="1107"/>
      <c r="CL477" s="22"/>
      <c r="CM477" s="22"/>
      <c r="CN477" s="1107"/>
      <c r="CR477" s="223"/>
      <c r="CS477" s="952"/>
      <c r="CT477" s="1066"/>
      <c r="CU477" s="972"/>
      <c r="CV477" s="983"/>
      <c r="CW477" s="222"/>
      <c r="CX477" s="697"/>
      <c r="DC477" s="222"/>
      <c r="DJ477" s="889"/>
      <c r="DM477" s="890"/>
      <c r="DN477" s="952"/>
      <c r="DO477" s="75"/>
      <c r="DP477" s="962"/>
      <c r="DQ477" s="983"/>
      <c r="DV477" s="889"/>
    </row>
    <row r="478" spans="1:126" s="74" customFormat="1">
      <c r="A478" s="15"/>
      <c r="B478" s="15"/>
      <c r="C478" s="15"/>
      <c r="D478" s="15"/>
      <c r="E478" s="6"/>
      <c r="F478" s="6"/>
      <c r="G478" s="6"/>
      <c r="K478" s="222"/>
      <c r="V478" s="1430"/>
      <c r="AA478" s="223"/>
      <c r="AC478" s="889"/>
      <c r="AF478" s="890"/>
      <c r="AJ478" s="889"/>
      <c r="AN478" s="222"/>
      <c r="BC478" s="223"/>
      <c r="BD478" s="222"/>
      <c r="BH478" s="611"/>
      <c r="BJ478" s="15"/>
      <c r="BK478" s="15"/>
      <c r="BO478" s="223"/>
      <c r="BQ478" s="889"/>
      <c r="BT478" s="890"/>
      <c r="BX478" s="889"/>
      <c r="CB478" s="15"/>
      <c r="CC478" s="697"/>
      <c r="CD478" s="1086"/>
      <c r="CE478" s="15"/>
      <c r="CF478" s="15"/>
      <c r="CG478" s="936"/>
      <c r="CH478" s="15"/>
      <c r="CI478" s="15"/>
      <c r="CJ478" s="15"/>
      <c r="CK478" s="1107"/>
      <c r="CL478" s="22"/>
      <c r="CM478" s="22"/>
      <c r="CN478" s="1107"/>
      <c r="CR478" s="223"/>
      <c r="CS478" s="952"/>
      <c r="CT478" s="1066"/>
      <c r="CU478" s="972"/>
      <c r="CV478" s="983"/>
      <c r="CW478" s="222"/>
      <c r="CX478" s="697"/>
      <c r="DC478" s="222"/>
      <c r="DJ478" s="889"/>
      <c r="DM478" s="890"/>
      <c r="DN478" s="952"/>
      <c r="DO478" s="75"/>
      <c r="DP478" s="962"/>
      <c r="DQ478" s="983"/>
      <c r="DV478" s="889"/>
    </row>
    <row r="479" spans="1:126" s="74" customFormat="1">
      <c r="A479" s="15"/>
      <c r="B479" s="15"/>
      <c r="C479" s="15"/>
      <c r="D479" s="15"/>
      <c r="E479" s="6"/>
      <c r="F479" s="6"/>
      <c r="G479" s="6"/>
      <c r="K479" s="222"/>
      <c r="V479" s="1430"/>
      <c r="AA479" s="223"/>
      <c r="AC479" s="889"/>
      <c r="AF479" s="890"/>
      <c r="AJ479" s="889"/>
      <c r="AN479" s="222"/>
      <c r="BC479" s="223"/>
      <c r="BD479" s="222"/>
      <c r="BH479" s="611"/>
      <c r="BJ479" s="15"/>
      <c r="BK479" s="15"/>
      <c r="BO479" s="223"/>
      <c r="BQ479" s="889"/>
      <c r="BT479" s="890"/>
      <c r="BX479" s="889"/>
      <c r="CB479" s="15"/>
      <c r="CC479" s="697"/>
      <c r="CD479" s="1086"/>
      <c r="CE479" s="15"/>
      <c r="CF479" s="15"/>
      <c r="CG479" s="936"/>
      <c r="CH479" s="15"/>
      <c r="CI479" s="15"/>
      <c r="CJ479" s="15"/>
      <c r="CK479" s="1107"/>
      <c r="CL479" s="22"/>
      <c r="CM479" s="22"/>
      <c r="CN479" s="1107"/>
      <c r="CR479" s="223"/>
      <c r="CS479" s="952"/>
      <c r="CT479" s="1066"/>
      <c r="CU479" s="972"/>
      <c r="CV479" s="983"/>
      <c r="CW479" s="222"/>
      <c r="CX479" s="697"/>
      <c r="DC479" s="222"/>
      <c r="DJ479" s="889"/>
      <c r="DM479" s="890"/>
      <c r="DN479" s="952"/>
      <c r="DO479" s="75"/>
      <c r="DP479" s="962"/>
      <c r="DQ479" s="983"/>
      <c r="DV479" s="889"/>
    </row>
    <row r="480" spans="1:126" s="74" customFormat="1">
      <c r="A480" s="15"/>
      <c r="B480" s="15"/>
      <c r="C480" s="15"/>
      <c r="D480" s="15"/>
      <c r="E480" s="6"/>
      <c r="F480" s="6"/>
      <c r="G480" s="6"/>
      <c r="K480" s="222"/>
      <c r="V480" s="1430"/>
      <c r="AA480" s="223"/>
      <c r="AC480" s="889"/>
      <c r="AF480" s="890"/>
      <c r="AJ480" s="889"/>
      <c r="AN480" s="222"/>
      <c r="BC480" s="223"/>
      <c r="BD480" s="222"/>
      <c r="BH480" s="611"/>
      <c r="BJ480" s="15"/>
      <c r="BK480" s="15"/>
      <c r="BO480" s="223"/>
      <c r="BQ480" s="889"/>
      <c r="BT480" s="890"/>
      <c r="BX480" s="889"/>
      <c r="CB480" s="15"/>
      <c r="CC480" s="697"/>
      <c r="CD480" s="1086"/>
      <c r="CE480" s="15"/>
      <c r="CF480" s="15"/>
      <c r="CG480" s="936"/>
      <c r="CH480" s="15"/>
      <c r="CI480" s="15"/>
      <c r="CJ480" s="15"/>
      <c r="CK480" s="1107"/>
      <c r="CL480" s="22"/>
      <c r="CM480" s="22"/>
      <c r="CN480" s="1107"/>
      <c r="CR480" s="223"/>
      <c r="CS480" s="952"/>
      <c r="CT480" s="1066"/>
      <c r="CU480" s="972"/>
      <c r="CV480" s="983"/>
      <c r="CW480" s="222"/>
      <c r="CX480" s="697"/>
      <c r="DC480" s="222"/>
      <c r="DJ480" s="889"/>
      <c r="DM480" s="890"/>
      <c r="DN480" s="952"/>
      <c r="DO480" s="75"/>
      <c r="DP480" s="962"/>
      <c r="DQ480" s="983"/>
      <c r="DV480" s="889"/>
    </row>
    <row r="481" spans="1:126" s="74" customFormat="1">
      <c r="A481" s="15"/>
      <c r="B481" s="15"/>
      <c r="C481" s="15"/>
      <c r="D481" s="15"/>
      <c r="E481" s="6"/>
      <c r="F481" s="6"/>
      <c r="G481" s="6"/>
      <c r="K481" s="222"/>
      <c r="V481" s="1430"/>
      <c r="AA481" s="223"/>
      <c r="AC481" s="889"/>
      <c r="AF481" s="890"/>
      <c r="AJ481" s="889"/>
      <c r="AN481" s="222"/>
      <c r="BC481" s="223"/>
      <c r="BD481" s="222"/>
      <c r="BH481" s="611"/>
      <c r="BJ481" s="15"/>
      <c r="BK481" s="15"/>
      <c r="BO481" s="223"/>
      <c r="BQ481" s="889"/>
      <c r="BT481" s="890"/>
      <c r="BX481" s="889"/>
      <c r="CB481" s="15"/>
      <c r="CC481" s="697"/>
      <c r="CD481" s="1086"/>
      <c r="CE481" s="15"/>
      <c r="CF481" s="15"/>
      <c r="CG481" s="936"/>
      <c r="CH481" s="15"/>
      <c r="CI481" s="15"/>
      <c r="CJ481" s="15"/>
      <c r="CK481" s="1107"/>
      <c r="CL481" s="22"/>
      <c r="CM481" s="22"/>
      <c r="CN481" s="1107"/>
      <c r="CR481" s="223"/>
      <c r="CS481" s="952"/>
      <c r="CT481" s="1066"/>
      <c r="CU481" s="972"/>
      <c r="CV481" s="983"/>
      <c r="CW481" s="222"/>
      <c r="CX481" s="697"/>
      <c r="DC481" s="222"/>
      <c r="DJ481" s="889"/>
      <c r="DM481" s="890"/>
      <c r="DN481" s="952"/>
      <c r="DO481" s="75"/>
      <c r="DP481" s="962"/>
      <c r="DQ481" s="983"/>
      <c r="DV481" s="889"/>
    </row>
    <row r="482" spans="1:126" s="74" customFormat="1">
      <c r="A482" s="15"/>
      <c r="B482" s="15"/>
      <c r="C482" s="15"/>
      <c r="D482" s="15"/>
      <c r="E482" s="6"/>
      <c r="F482" s="6"/>
      <c r="G482" s="6"/>
      <c r="K482" s="222"/>
      <c r="V482" s="1430"/>
      <c r="AA482" s="223"/>
      <c r="AC482" s="889"/>
      <c r="AF482" s="890"/>
      <c r="AJ482" s="889"/>
      <c r="AN482" s="222"/>
      <c r="BC482" s="223"/>
      <c r="BD482" s="222"/>
      <c r="BH482" s="611"/>
      <c r="BJ482" s="15"/>
      <c r="BK482" s="15"/>
      <c r="BO482" s="223"/>
      <c r="BQ482" s="889"/>
      <c r="BT482" s="890"/>
      <c r="BX482" s="889"/>
      <c r="CB482" s="15"/>
      <c r="CC482" s="697"/>
      <c r="CD482" s="1086"/>
      <c r="CE482" s="15"/>
      <c r="CF482" s="15"/>
      <c r="CG482" s="936"/>
      <c r="CH482" s="15"/>
      <c r="CI482" s="15"/>
      <c r="CJ482" s="15"/>
      <c r="CK482" s="1107"/>
      <c r="CL482" s="22"/>
      <c r="CM482" s="22"/>
      <c r="CN482" s="1107"/>
      <c r="CR482" s="223"/>
      <c r="CS482" s="952"/>
      <c r="CT482" s="1066"/>
      <c r="CU482" s="972"/>
      <c r="CV482" s="983"/>
      <c r="CW482" s="222"/>
      <c r="CX482" s="697"/>
      <c r="DC482" s="222"/>
      <c r="DJ482" s="889"/>
      <c r="DM482" s="890"/>
      <c r="DN482" s="952"/>
      <c r="DO482" s="75"/>
      <c r="DP482" s="962"/>
      <c r="DQ482" s="983"/>
      <c r="DV482" s="889"/>
    </row>
    <row r="483" spans="1:126" s="74" customFormat="1">
      <c r="A483" s="15"/>
      <c r="B483" s="15"/>
      <c r="C483" s="15"/>
      <c r="D483" s="15"/>
      <c r="E483" s="6"/>
      <c r="F483" s="6"/>
      <c r="G483" s="6"/>
      <c r="K483" s="222"/>
      <c r="V483" s="1430"/>
      <c r="AA483" s="223"/>
      <c r="AC483" s="889"/>
      <c r="AF483" s="890"/>
      <c r="AJ483" s="889"/>
      <c r="AN483" s="222"/>
      <c r="BC483" s="223"/>
      <c r="BD483" s="222"/>
      <c r="BH483" s="611"/>
      <c r="BJ483" s="15"/>
      <c r="BK483" s="15"/>
      <c r="BO483" s="223"/>
      <c r="BQ483" s="889"/>
      <c r="BT483" s="890"/>
      <c r="BX483" s="889"/>
      <c r="CB483" s="15"/>
      <c r="CC483" s="697"/>
      <c r="CD483" s="1086"/>
      <c r="CE483" s="15"/>
      <c r="CF483" s="15"/>
      <c r="CG483" s="936"/>
      <c r="CH483" s="15"/>
      <c r="CI483" s="15"/>
      <c r="CJ483" s="15"/>
      <c r="CK483" s="1107"/>
      <c r="CL483" s="22"/>
      <c r="CM483" s="22"/>
      <c r="CN483" s="1107"/>
      <c r="CR483" s="223"/>
      <c r="CS483" s="952"/>
      <c r="CT483" s="1066"/>
      <c r="CU483" s="972"/>
      <c r="CV483" s="983"/>
      <c r="CW483" s="222"/>
      <c r="CX483" s="697"/>
      <c r="DC483" s="222"/>
      <c r="DJ483" s="889"/>
      <c r="DM483" s="890"/>
      <c r="DN483" s="952"/>
      <c r="DO483" s="75"/>
      <c r="DP483" s="962"/>
      <c r="DQ483" s="983"/>
      <c r="DV483" s="889"/>
    </row>
    <row r="484" spans="1:126" s="74" customFormat="1">
      <c r="A484" s="15"/>
      <c r="B484" s="15"/>
      <c r="C484" s="15"/>
      <c r="D484" s="15"/>
      <c r="E484" s="6"/>
      <c r="F484" s="6"/>
      <c r="G484" s="6"/>
      <c r="K484" s="222"/>
      <c r="V484" s="1430"/>
      <c r="AA484" s="223"/>
      <c r="AC484" s="889"/>
      <c r="AF484" s="890"/>
      <c r="AJ484" s="889"/>
      <c r="AN484" s="222"/>
      <c r="BC484" s="223"/>
      <c r="BD484" s="222"/>
      <c r="BH484" s="611"/>
      <c r="BJ484" s="15"/>
      <c r="BK484" s="15"/>
      <c r="BO484" s="223"/>
      <c r="BQ484" s="889"/>
      <c r="BT484" s="890"/>
      <c r="BX484" s="889"/>
      <c r="CB484" s="15"/>
      <c r="CC484" s="697"/>
      <c r="CD484" s="1086"/>
      <c r="CE484" s="15"/>
      <c r="CF484" s="15"/>
      <c r="CG484" s="936"/>
      <c r="CH484" s="15"/>
      <c r="CI484" s="15"/>
      <c r="CJ484" s="15"/>
      <c r="CK484" s="1107"/>
      <c r="CL484" s="22"/>
      <c r="CM484" s="22"/>
      <c r="CN484" s="1107"/>
      <c r="CR484" s="223"/>
      <c r="CS484" s="952"/>
      <c r="CT484" s="1066"/>
      <c r="CU484" s="972"/>
      <c r="CV484" s="983"/>
      <c r="CW484" s="222"/>
      <c r="CX484" s="697"/>
      <c r="DC484" s="222"/>
      <c r="DJ484" s="889"/>
      <c r="DM484" s="890"/>
      <c r="DN484" s="952"/>
      <c r="DO484" s="75"/>
      <c r="DP484" s="962"/>
      <c r="DQ484" s="983"/>
      <c r="DV484" s="889"/>
    </row>
    <row r="485" spans="1:126" s="74" customFormat="1">
      <c r="A485" s="15"/>
      <c r="B485" s="15"/>
      <c r="C485" s="15"/>
      <c r="D485" s="15"/>
      <c r="E485" s="6"/>
      <c r="F485" s="6"/>
      <c r="G485" s="6"/>
      <c r="K485" s="222"/>
      <c r="V485" s="1430"/>
      <c r="AA485" s="223"/>
      <c r="AC485" s="889"/>
      <c r="AF485" s="890"/>
      <c r="AJ485" s="889"/>
      <c r="AN485" s="222"/>
      <c r="BC485" s="223"/>
      <c r="BD485" s="222"/>
      <c r="BH485" s="611"/>
      <c r="BJ485" s="15"/>
      <c r="BK485" s="15"/>
      <c r="BO485" s="223"/>
      <c r="BQ485" s="889"/>
      <c r="BT485" s="890"/>
      <c r="BX485" s="889"/>
      <c r="CB485" s="15"/>
      <c r="CC485" s="697"/>
      <c r="CD485" s="1086"/>
      <c r="CE485" s="15"/>
      <c r="CF485" s="15"/>
      <c r="CG485" s="936"/>
      <c r="CH485" s="15"/>
      <c r="CI485" s="15"/>
      <c r="CJ485" s="15"/>
      <c r="CK485" s="1107"/>
      <c r="CL485" s="22"/>
      <c r="CM485" s="22"/>
      <c r="CN485" s="1107"/>
      <c r="CR485" s="223"/>
      <c r="CS485" s="952"/>
      <c r="CT485" s="1066"/>
      <c r="CU485" s="972"/>
      <c r="CV485" s="983"/>
      <c r="CW485" s="222"/>
      <c r="CX485" s="697"/>
      <c r="DC485" s="222"/>
      <c r="DJ485" s="889"/>
      <c r="DM485" s="890"/>
      <c r="DN485" s="952"/>
      <c r="DO485" s="75"/>
      <c r="DP485" s="962"/>
      <c r="DQ485" s="983"/>
      <c r="DV485" s="889"/>
    </row>
    <row r="486" spans="1:126" s="74" customFormat="1">
      <c r="A486" s="15"/>
      <c r="B486" s="15"/>
      <c r="C486" s="15"/>
      <c r="D486" s="15"/>
      <c r="E486" s="6"/>
      <c r="F486" s="6"/>
      <c r="G486" s="6"/>
      <c r="K486" s="222"/>
      <c r="V486" s="1430"/>
      <c r="AA486" s="223"/>
      <c r="AC486" s="889"/>
      <c r="AF486" s="890"/>
      <c r="AJ486" s="889"/>
      <c r="AN486" s="222"/>
      <c r="BC486" s="223"/>
      <c r="BD486" s="222"/>
      <c r="BH486" s="611"/>
      <c r="BJ486" s="15"/>
      <c r="BK486" s="15"/>
      <c r="BO486" s="223"/>
      <c r="BQ486" s="889"/>
      <c r="BT486" s="890"/>
      <c r="BX486" s="889"/>
      <c r="CB486" s="15"/>
      <c r="CC486" s="697"/>
      <c r="CD486" s="1086"/>
      <c r="CE486" s="15"/>
      <c r="CF486" s="15"/>
      <c r="CG486" s="936"/>
      <c r="CH486" s="15"/>
      <c r="CI486" s="15"/>
      <c r="CJ486" s="15"/>
      <c r="CK486" s="1107"/>
      <c r="CL486" s="22"/>
      <c r="CM486" s="22"/>
      <c r="CN486" s="1107"/>
      <c r="CR486" s="223"/>
      <c r="CS486" s="952"/>
      <c r="CT486" s="1066"/>
      <c r="CU486" s="972"/>
      <c r="CV486" s="983"/>
      <c r="CW486" s="222"/>
      <c r="CX486" s="697"/>
      <c r="DC486" s="222"/>
      <c r="DJ486" s="889"/>
      <c r="DM486" s="890"/>
      <c r="DN486" s="952"/>
      <c r="DO486" s="75"/>
      <c r="DP486" s="962"/>
      <c r="DQ486" s="983"/>
      <c r="DV486" s="889"/>
    </row>
    <row r="487" spans="1:126" s="74" customFormat="1">
      <c r="A487" s="15"/>
      <c r="B487" s="15"/>
      <c r="C487" s="15"/>
      <c r="D487" s="15"/>
      <c r="E487" s="6"/>
      <c r="F487" s="6"/>
      <c r="G487" s="6"/>
      <c r="K487" s="222"/>
      <c r="V487" s="1430"/>
      <c r="AA487" s="223"/>
      <c r="AC487" s="889"/>
      <c r="AF487" s="890"/>
      <c r="AJ487" s="889"/>
      <c r="AN487" s="222"/>
      <c r="BC487" s="223"/>
      <c r="BD487" s="222"/>
      <c r="BH487" s="611"/>
      <c r="BJ487" s="15"/>
      <c r="BK487" s="15"/>
      <c r="BO487" s="223"/>
      <c r="BQ487" s="889"/>
      <c r="BT487" s="890"/>
      <c r="BX487" s="889"/>
      <c r="CB487" s="15"/>
      <c r="CC487" s="697"/>
      <c r="CD487" s="1086"/>
      <c r="CE487" s="15"/>
      <c r="CF487" s="15"/>
      <c r="CG487" s="936"/>
      <c r="CH487" s="15"/>
      <c r="CI487" s="15"/>
      <c r="CJ487" s="15"/>
      <c r="CK487" s="1107"/>
      <c r="CL487" s="22"/>
      <c r="CM487" s="22"/>
      <c r="CN487" s="1107"/>
      <c r="CR487" s="223"/>
      <c r="CS487" s="952"/>
      <c r="CT487" s="1066"/>
      <c r="CU487" s="972"/>
      <c r="CV487" s="983"/>
      <c r="CW487" s="222"/>
      <c r="CX487" s="697"/>
      <c r="DC487" s="222"/>
      <c r="DJ487" s="889"/>
      <c r="DM487" s="890"/>
      <c r="DN487" s="952"/>
      <c r="DO487" s="75"/>
      <c r="DP487" s="962"/>
      <c r="DQ487" s="983"/>
      <c r="DV487" s="889"/>
    </row>
    <row r="488" spans="1:126" s="74" customFormat="1">
      <c r="A488" s="15"/>
      <c r="B488" s="15"/>
      <c r="C488" s="15"/>
      <c r="D488" s="15"/>
      <c r="E488" s="6"/>
      <c r="F488" s="6"/>
      <c r="G488" s="6"/>
      <c r="K488" s="222"/>
      <c r="V488" s="1430"/>
      <c r="AA488" s="223"/>
      <c r="AC488" s="889"/>
      <c r="AF488" s="890"/>
      <c r="AJ488" s="889"/>
      <c r="AN488" s="222"/>
      <c r="BC488" s="223"/>
      <c r="BD488" s="222"/>
      <c r="BH488" s="611"/>
      <c r="BJ488" s="15"/>
      <c r="BK488" s="15"/>
      <c r="BO488" s="223"/>
      <c r="BQ488" s="889"/>
      <c r="BT488" s="890"/>
      <c r="BX488" s="889"/>
      <c r="CB488" s="15"/>
      <c r="CC488" s="697"/>
      <c r="CD488" s="1086"/>
      <c r="CE488" s="15"/>
      <c r="CF488" s="15"/>
      <c r="CG488" s="936"/>
      <c r="CH488" s="15"/>
      <c r="CI488" s="15"/>
      <c r="CJ488" s="15"/>
      <c r="CK488" s="1107"/>
      <c r="CL488" s="22"/>
      <c r="CM488" s="22"/>
      <c r="CN488" s="1107"/>
      <c r="CR488" s="223"/>
      <c r="CS488" s="952"/>
      <c r="CT488" s="1066"/>
      <c r="CU488" s="972"/>
      <c r="CV488" s="983"/>
      <c r="CW488" s="222"/>
      <c r="CX488" s="697"/>
      <c r="DC488" s="222"/>
      <c r="DJ488" s="889"/>
      <c r="DM488" s="890"/>
      <c r="DN488" s="952"/>
      <c r="DO488" s="75"/>
      <c r="DP488" s="962"/>
      <c r="DQ488" s="983"/>
      <c r="DV488" s="889"/>
    </row>
    <row r="489" spans="1:126" s="74" customFormat="1">
      <c r="A489" s="15"/>
      <c r="B489" s="15"/>
      <c r="C489" s="15"/>
      <c r="D489" s="15"/>
      <c r="E489" s="6"/>
      <c r="F489" s="6"/>
      <c r="G489" s="6"/>
      <c r="K489" s="222"/>
      <c r="V489" s="1430"/>
      <c r="AA489" s="223"/>
      <c r="AC489" s="889"/>
      <c r="AF489" s="890"/>
      <c r="AJ489" s="889"/>
      <c r="AN489" s="222"/>
      <c r="BC489" s="223"/>
      <c r="BD489" s="222"/>
      <c r="BH489" s="611"/>
      <c r="BJ489" s="15"/>
      <c r="BK489" s="15"/>
      <c r="BO489" s="223"/>
      <c r="BQ489" s="889"/>
      <c r="BT489" s="890"/>
      <c r="BX489" s="889"/>
      <c r="CB489" s="15"/>
      <c r="CC489" s="697"/>
      <c r="CD489" s="1086"/>
      <c r="CE489" s="15"/>
      <c r="CF489" s="15"/>
      <c r="CG489" s="936"/>
      <c r="CH489" s="15"/>
      <c r="CI489" s="15"/>
      <c r="CJ489" s="15"/>
      <c r="CK489" s="1107"/>
      <c r="CL489" s="22"/>
      <c r="CM489" s="22"/>
      <c r="CN489" s="1107"/>
      <c r="CR489" s="223"/>
      <c r="CS489" s="952"/>
      <c r="CT489" s="1066"/>
      <c r="CU489" s="972"/>
      <c r="CV489" s="983"/>
      <c r="CW489" s="222"/>
      <c r="CX489" s="697"/>
      <c r="DC489" s="222"/>
      <c r="DJ489" s="889"/>
      <c r="DM489" s="890"/>
      <c r="DN489" s="952"/>
      <c r="DO489" s="75"/>
      <c r="DP489" s="962"/>
      <c r="DQ489" s="983"/>
      <c r="DV489" s="889"/>
    </row>
    <row r="490" spans="1:126" s="74" customFormat="1">
      <c r="A490" s="15"/>
      <c r="B490" s="15"/>
      <c r="C490" s="15"/>
      <c r="D490" s="15"/>
      <c r="E490" s="6"/>
      <c r="F490" s="6"/>
      <c r="G490" s="6"/>
      <c r="K490" s="222"/>
      <c r="V490" s="1430"/>
      <c r="AA490" s="223"/>
      <c r="AC490" s="889"/>
      <c r="AF490" s="890"/>
      <c r="AJ490" s="889"/>
      <c r="AN490" s="222"/>
      <c r="BC490" s="223"/>
      <c r="BD490" s="222"/>
      <c r="BH490" s="611"/>
      <c r="BJ490" s="15"/>
      <c r="BK490" s="15"/>
      <c r="BO490" s="223"/>
      <c r="BQ490" s="889"/>
      <c r="BT490" s="890"/>
      <c r="BX490" s="889"/>
      <c r="CB490" s="15"/>
      <c r="CC490" s="697"/>
      <c r="CD490" s="1086"/>
      <c r="CE490" s="15"/>
      <c r="CF490" s="15"/>
      <c r="CG490" s="936"/>
      <c r="CH490" s="15"/>
      <c r="CI490" s="15"/>
      <c r="CJ490" s="15"/>
      <c r="CK490" s="1107"/>
      <c r="CL490" s="22"/>
      <c r="CM490" s="22"/>
      <c r="CN490" s="1107"/>
      <c r="CR490" s="223"/>
      <c r="CS490" s="952"/>
      <c r="CT490" s="1066"/>
      <c r="CU490" s="972"/>
      <c r="CV490" s="983"/>
      <c r="CW490" s="222"/>
      <c r="CX490" s="697"/>
      <c r="DC490" s="222"/>
      <c r="DJ490" s="889"/>
      <c r="DM490" s="890"/>
      <c r="DN490" s="952"/>
      <c r="DO490" s="75"/>
      <c r="DP490" s="962"/>
      <c r="DQ490" s="983"/>
      <c r="DV490" s="889"/>
    </row>
    <row r="491" spans="1:126" s="74" customFormat="1">
      <c r="A491" s="15"/>
      <c r="B491" s="15"/>
      <c r="C491" s="15"/>
      <c r="D491" s="15"/>
      <c r="E491" s="6"/>
      <c r="F491" s="6"/>
      <c r="G491" s="6"/>
      <c r="K491" s="222"/>
      <c r="V491" s="1430"/>
      <c r="AA491" s="223"/>
      <c r="AC491" s="889"/>
      <c r="AF491" s="890"/>
      <c r="AJ491" s="889"/>
      <c r="AN491" s="222"/>
      <c r="BC491" s="223"/>
      <c r="BD491" s="222"/>
      <c r="BH491" s="611"/>
      <c r="BJ491" s="15"/>
      <c r="BK491" s="15"/>
      <c r="BO491" s="223"/>
      <c r="BQ491" s="889"/>
      <c r="BT491" s="890"/>
      <c r="BX491" s="889"/>
      <c r="CB491" s="15"/>
      <c r="CC491" s="697"/>
      <c r="CD491" s="1086"/>
      <c r="CE491" s="15"/>
      <c r="CF491" s="15"/>
      <c r="CG491" s="936"/>
      <c r="CH491" s="15"/>
      <c r="CI491" s="15"/>
      <c r="CJ491" s="15"/>
      <c r="CK491" s="1107"/>
      <c r="CL491" s="22"/>
      <c r="CM491" s="22"/>
      <c r="CN491" s="1107"/>
      <c r="CR491" s="223"/>
      <c r="CS491" s="952"/>
      <c r="CT491" s="1066"/>
      <c r="CU491" s="972"/>
      <c r="CV491" s="983"/>
      <c r="CW491" s="222"/>
      <c r="CX491" s="697"/>
      <c r="DC491" s="222"/>
      <c r="DJ491" s="889"/>
      <c r="DM491" s="890"/>
      <c r="DN491" s="952"/>
      <c r="DO491" s="75"/>
      <c r="DP491" s="962"/>
      <c r="DQ491" s="983"/>
      <c r="DV491" s="889"/>
    </row>
    <row r="492" spans="1:126" s="74" customFormat="1">
      <c r="A492" s="15"/>
      <c r="B492" s="15"/>
      <c r="C492" s="15"/>
      <c r="D492" s="15"/>
      <c r="E492" s="6"/>
      <c r="F492" s="6"/>
      <c r="G492" s="6"/>
      <c r="K492" s="222"/>
      <c r="V492" s="1430"/>
      <c r="AA492" s="223"/>
      <c r="AC492" s="889"/>
      <c r="AF492" s="890"/>
      <c r="AJ492" s="889"/>
      <c r="AN492" s="222"/>
      <c r="BC492" s="223"/>
      <c r="BD492" s="222"/>
      <c r="BH492" s="611"/>
      <c r="BJ492" s="15"/>
      <c r="BK492" s="15"/>
      <c r="BO492" s="223"/>
      <c r="BQ492" s="889"/>
      <c r="BT492" s="890"/>
      <c r="BX492" s="889"/>
      <c r="CB492" s="15"/>
      <c r="CC492" s="697"/>
      <c r="CD492" s="1086"/>
      <c r="CE492" s="15"/>
      <c r="CF492" s="15"/>
      <c r="CG492" s="936"/>
      <c r="CH492" s="15"/>
      <c r="CI492" s="15"/>
      <c r="CJ492" s="15"/>
      <c r="CK492" s="1107"/>
      <c r="CL492" s="22"/>
      <c r="CM492" s="22"/>
      <c r="CN492" s="1107"/>
      <c r="CR492" s="223"/>
      <c r="CS492" s="952"/>
      <c r="CT492" s="1066"/>
      <c r="CU492" s="972"/>
      <c r="CV492" s="983"/>
      <c r="CW492" s="222"/>
      <c r="CX492" s="697"/>
      <c r="DC492" s="222"/>
      <c r="DJ492" s="889"/>
      <c r="DM492" s="890"/>
      <c r="DN492" s="952"/>
      <c r="DO492" s="75"/>
      <c r="DP492" s="962"/>
      <c r="DQ492" s="983"/>
      <c r="DV492" s="889"/>
    </row>
    <row r="493" spans="1:126" s="74" customFormat="1">
      <c r="A493" s="15"/>
      <c r="B493" s="15"/>
      <c r="C493" s="15"/>
      <c r="D493" s="15"/>
      <c r="E493" s="6"/>
      <c r="F493" s="6"/>
      <c r="G493" s="6"/>
      <c r="K493" s="222"/>
      <c r="V493" s="1430"/>
      <c r="AA493" s="223"/>
      <c r="AC493" s="889"/>
      <c r="AF493" s="890"/>
      <c r="AJ493" s="889"/>
      <c r="AN493" s="222"/>
      <c r="BC493" s="223"/>
      <c r="BD493" s="222"/>
      <c r="BH493" s="611"/>
      <c r="BJ493" s="15"/>
      <c r="BK493" s="15"/>
      <c r="BO493" s="223"/>
      <c r="BQ493" s="889"/>
      <c r="BT493" s="890"/>
      <c r="BX493" s="889"/>
      <c r="CB493" s="15"/>
      <c r="CC493" s="697"/>
      <c r="CD493" s="1086"/>
      <c r="CE493" s="15"/>
      <c r="CF493" s="15"/>
      <c r="CG493" s="936"/>
      <c r="CH493" s="15"/>
      <c r="CI493" s="15"/>
      <c r="CJ493" s="15"/>
      <c r="CK493" s="1107"/>
      <c r="CL493" s="22"/>
      <c r="CM493" s="22"/>
      <c r="CN493" s="1107"/>
      <c r="CR493" s="223"/>
      <c r="CS493" s="952"/>
      <c r="CT493" s="1066"/>
      <c r="CU493" s="972"/>
      <c r="CV493" s="983"/>
      <c r="CW493" s="222"/>
      <c r="CX493" s="697"/>
      <c r="DC493" s="222"/>
      <c r="DJ493" s="889"/>
      <c r="DM493" s="890"/>
      <c r="DN493" s="952"/>
      <c r="DO493" s="75"/>
      <c r="DP493" s="962"/>
      <c r="DQ493" s="983"/>
      <c r="DV493" s="889"/>
    </row>
    <row r="494" spans="1:126" s="74" customFormat="1">
      <c r="A494" s="15"/>
      <c r="B494" s="15"/>
      <c r="C494" s="15"/>
      <c r="D494" s="15"/>
      <c r="E494" s="6"/>
      <c r="F494" s="6"/>
      <c r="G494" s="6"/>
      <c r="K494" s="222"/>
      <c r="V494" s="1430"/>
      <c r="AA494" s="223"/>
      <c r="AC494" s="889"/>
      <c r="AF494" s="890"/>
      <c r="AJ494" s="889"/>
      <c r="AN494" s="222"/>
      <c r="BC494" s="223"/>
      <c r="BD494" s="222"/>
      <c r="BH494" s="611"/>
      <c r="BJ494" s="15"/>
      <c r="BK494" s="15"/>
      <c r="BO494" s="223"/>
      <c r="BQ494" s="889"/>
      <c r="BT494" s="890"/>
      <c r="BX494" s="889"/>
      <c r="CB494" s="15"/>
      <c r="CC494" s="697"/>
      <c r="CD494" s="1086"/>
      <c r="CE494" s="15"/>
      <c r="CF494" s="15"/>
      <c r="CG494" s="936"/>
      <c r="CH494" s="15"/>
      <c r="CI494" s="15"/>
      <c r="CJ494" s="15"/>
      <c r="CK494" s="1107"/>
      <c r="CL494" s="22"/>
      <c r="CM494" s="22"/>
      <c r="CN494" s="1107"/>
      <c r="CR494" s="223"/>
      <c r="CS494" s="952"/>
      <c r="CT494" s="1066"/>
      <c r="CU494" s="972"/>
      <c r="CV494" s="983"/>
      <c r="CW494" s="222"/>
      <c r="CX494" s="697"/>
      <c r="DC494" s="222"/>
      <c r="DJ494" s="889"/>
      <c r="DM494" s="890"/>
      <c r="DN494" s="952"/>
      <c r="DO494" s="75"/>
      <c r="DP494" s="962"/>
      <c r="DQ494" s="983"/>
      <c r="DV494" s="889"/>
    </row>
    <row r="495" spans="1:126" s="74" customFormat="1">
      <c r="A495" s="15"/>
      <c r="B495" s="15"/>
      <c r="C495" s="15"/>
      <c r="D495" s="15"/>
      <c r="E495" s="6"/>
      <c r="F495" s="6"/>
      <c r="G495" s="6"/>
      <c r="K495" s="222"/>
      <c r="V495" s="1430"/>
      <c r="AA495" s="223"/>
      <c r="AC495" s="889"/>
      <c r="AF495" s="890"/>
      <c r="AJ495" s="889"/>
      <c r="AN495" s="222"/>
      <c r="BC495" s="223"/>
      <c r="BD495" s="222"/>
      <c r="BH495" s="611"/>
      <c r="BJ495" s="15"/>
      <c r="BK495" s="15"/>
      <c r="BO495" s="223"/>
      <c r="BQ495" s="889"/>
      <c r="BT495" s="890"/>
      <c r="BX495" s="889"/>
      <c r="CB495" s="15"/>
      <c r="CC495" s="697"/>
      <c r="CD495" s="1086"/>
      <c r="CE495" s="15"/>
      <c r="CF495" s="15"/>
      <c r="CG495" s="936"/>
      <c r="CH495" s="15"/>
      <c r="CI495" s="15"/>
      <c r="CJ495" s="15"/>
      <c r="CK495" s="1107"/>
      <c r="CL495" s="22"/>
      <c r="CM495" s="22"/>
      <c r="CN495" s="1107"/>
      <c r="CR495" s="223"/>
      <c r="CS495" s="952"/>
      <c r="CT495" s="1066"/>
      <c r="CU495" s="972"/>
      <c r="CV495" s="983"/>
      <c r="CW495" s="222"/>
      <c r="CX495" s="697"/>
      <c r="DC495" s="222"/>
      <c r="DJ495" s="889"/>
      <c r="DM495" s="890"/>
      <c r="DN495" s="952"/>
      <c r="DO495" s="75"/>
      <c r="DP495" s="962"/>
      <c r="DQ495" s="983"/>
      <c r="DV495" s="889"/>
    </row>
    <row r="496" spans="1:126" s="74" customFormat="1">
      <c r="A496" s="15"/>
      <c r="B496" s="15"/>
      <c r="C496" s="15"/>
      <c r="D496" s="15"/>
      <c r="E496" s="6"/>
      <c r="F496" s="6"/>
      <c r="G496" s="6"/>
      <c r="K496" s="222"/>
      <c r="V496" s="1430"/>
      <c r="AA496" s="223"/>
      <c r="AC496" s="889"/>
      <c r="AF496" s="890"/>
      <c r="AJ496" s="889"/>
      <c r="AN496" s="222"/>
      <c r="BC496" s="223"/>
      <c r="BD496" s="222"/>
      <c r="BH496" s="611"/>
      <c r="BJ496" s="15"/>
      <c r="BK496" s="15"/>
      <c r="BO496" s="223"/>
      <c r="BQ496" s="889"/>
      <c r="BT496" s="890"/>
      <c r="BX496" s="889"/>
      <c r="CB496" s="15"/>
      <c r="CC496" s="697"/>
      <c r="CD496" s="1086"/>
      <c r="CE496" s="15"/>
      <c r="CF496" s="15"/>
      <c r="CG496" s="936"/>
      <c r="CH496" s="15"/>
      <c r="CI496" s="15"/>
      <c r="CJ496" s="15"/>
      <c r="CK496" s="1107"/>
      <c r="CL496" s="22"/>
      <c r="CM496" s="22"/>
      <c r="CN496" s="1107"/>
      <c r="CR496" s="223"/>
      <c r="CS496" s="952"/>
      <c r="CT496" s="1066"/>
      <c r="CU496" s="972"/>
      <c r="CV496" s="983"/>
      <c r="CW496" s="222"/>
      <c r="CX496" s="697"/>
      <c r="DC496" s="222"/>
      <c r="DJ496" s="889"/>
      <c r="DM496" s="890"/>
      <c r="DN496" s="952"/>
      <c r="DO496" s="75"/>
      <c r="DP496" s="962"/>
      <c r="DQ496" s="983"/>
      <c r="DV496" s="889"/>
    </row>
    <row r="497" spans="1:126" s="74" customFormat="1">
      <c r="A497" s="15"/>
      <c r="B497" s="15"/>
      <c r="C497" s="15"/>
      <c r="D497" s="15"/>
      <c r="E497" s="6"/>
      <c r="F497" s="6"/>
      <c r="G497" s="6"/>
      <c r="K497" s="222"/>
      <c r="V497" s="1430"/>
      <c r="AA497" s="223"/>
      <c r="AC497" s="889"/>
      <c r="AF497" s="890"/>
      <c r="AJ497" s="889"/>
      <c r="AN497" s="222"/>
      <c r="BC497" s="223"/>
      <c r="BD497" s="222"/>
      <c r="BH497" s="611"/>
      <c r="BJ497" s="15"/>
      <c r="BK497" s="15"/>
      <c r="BO497" s="223"/>
      <c r="BQ497" s="889"/>
      <c r="BT497" s="890"/>
      <c r="BX497" s="889"/>
      <c r="CB497" s="15"/>
      <c r="CC497" s="697"/>
      <c r="CD497" s="1086"/>
      <c r="CE497" s="15"/>
      <c r="CF497" s="15"/>
      <c r="CG497" s="936"/>
      <c r="CH497" s="15"/>
      <c r="CI497" s="15"/>
      <c r="CJ497" s="15"/>
      <c r="CK497" s="1107"/>
      <c r="CL497" s="22"/>
      <c r="CM497" s="22"/>
      <c r="CN497" s="1107"/>
      <c r="CR497" s="223"/>
      <c r="CS497" s="952"/>
      <c r="CT497" s="1066"/>
      <c r="CU497" s="972"/>
      <c r="CV497" s="983"/>
      <c r="CW497" s="222"/>
      <c r="CX497" s="697"/>
      <c r="DC497" s="222"/>
      <c r="DJ497" s="889"/>
      <c r="DM497" s="890"/>
      <c r="DN497" s="952"/>
      <c r="DO497" s="75"/>
      <c r="DP497" s="962"/>
      <c r="DQ497" s="983"/>
      <c r="DV497" s="889"/>
    </row>
    <row r="498" spans="1:126" s="74" customFormat="1">
      <c r="A498" s="15"/>
      <c r="B498" s="15"/>
      <c r="C498" s="15"/>
      <c r="D498" s="15"/>
      <c r="E498" s="6"/>
      <c r="F498" s="6"/>
      <c r="G498" s="6"/>
      <c r="K498" s="222"/>
      <c r="V498" s="1430"/>
      <c r="AA498" s="223"/>
      <c r="AC498" s="889"/>
      <c r="AF498" s="890"/>
      <c r="AJ498" s="889"/>
      <c r="AN498" s="222"/>
      <c r="BC498" s="223"/>
      <c r="BD498" s="222"/>
      <c r="BH498" s="611"/>
      <c r="BJ498" s="15"/>
      <c r="BK498" s="15"/>
      <c r="BO498" s="223"/>
      <c r="BQ498" s="889"/>
      <c r="BT498" s="890"/>
      <c r="BX498" s="889"/>
      <c r="CB498" s="15"/>
      <c r="CC498" s="697"/>
      <c r="CD498" s="1086"/>
      <c r="CE498" s="15"/>
      <c r="CF498" s="15"/>
      <c r="CG498" s="936"/>
      <c r="CH498" s="15"/>
      <c r="CI498" s="15"/>
      <c r="CJ498" s="15"/>
      <c r="CK498" s="1107"/>
      <c r="CL498" s="22"/>
      <c r="CM498" s="22"/>
      <c r="CN498" s="1107"/>
      <c r="CR498" s="223"/>
      <c r="CS498" s="952"/>
      <c r="CT498" s="1066"/>
      <c r="CU498" s="972"/>
      <c r="CV498" s="983"/>
      <c r="CW498" s="222"/>
      <c r="CX498" s="697"/>
      <c r="DC498" s="222"/>
      <c r="DJ498" s="889"/>
      <c r="DM498" s="890"/>
      <c r="DN498" s="952"/>
      <c r="DO498" s="75"/>
      <c r="DP498" s="962"/>
      <c r="DQ498" s="983"/>
      <c r="DV498" s="889"/>
    </row>
    <row r="499" spans="1:126" s="74" customFormat="1">
      <c r="A499" s="15"/>
      <c r="B499" s="15"/>
      <c r="C499" s="15"/>
      <c r="D499" s="15"/>
      <c r="E499" s="6"/>
      <c r="F499" s="6"/>
      <c r="G499" s="6"/>
      <c r="K499" s="222"/>
      <c r="V499" s="1430"/>
      <c r="AA499" s="223"/>
      <c r="AC499" s="889"/>
      <c r="AF499" s="890"/>
      <c r="AJ499" s="889"/>
      <c r="AN499" s="222"/>
      <c r="BC499" s="223"/>
      <c r="BD499" s="222"/>
      <c r="BH499" s="611"/>
      <c r="BJ499" s="15"/>
      <c r="BK499" s="15"/>
      <c r="BO499" s="223"/>
      <c r="BQ499" s="889"/>
      <c r="BT499" s="890"/>
      <c r="BX499" s="889"/>
      <c r="CB499" s="15"/>
      <c r="CC499" s="697"/>
      <c r="CD499" s="1086"/>
      <c r="CE499" s="15"/>
      <c r="CF499" s="15"/>
      <c r="CG499" s="936"/>
      <c r="CH499" s="15"/>
      <c r="CI499" s="15"/>
      <c r="CJ499" s="15"/>
      <c r="CK499" s="1107"/>
      <c r="CL499" s="22"/>
      <c r="CM499" s="22"/>
      <c r="CN499" s="1107"/>
      <c r="CR499" s="223"/>
      <c r="CS499" s="952"/>
      <c r="CT499" s="1066"/>
      <c r="CU499" s="972"/>
      <c r="CV499" s="983"/>
      <c r="CW499" s="222"/>
      <c r="CX499" s="697"/>
      <c r="DC499" s="222"/>
      <c r="DJ499" s="889"/>
      <c r="DM499" s="890"/>
      <c r="DN499" s="952"/>
      <c r="DO499" s="75"/>
      <c r="DP499" s="962"/>
      <c r="DQ499" s="983"/>
      <c r="DV499" s="889"/>
    </row>
    <row r="500" spans="1:126" s="74" customFormat="1">
      <c r="A500" s="15"/>
      <c r="B500" s="15"/>
      <c r="C500" s="15"/>
      <c r="D500" s="15"/>
      <c r="E500" s="6"/>
      <c r="F500" s="6"/>
      <c r="G500" s="6"/>
      <c r="K500" s="222"/>
      <c r="V500" s="1430"/>
      <c r="AA500" s="223"/>
      <c r="AC500" s="889"/>
      <c r="AF500" s="890"/>
      <c r="AJ500" s="889"/>
      <c r="AN500" s="222"/>
      <c r="BC500" s="223"/>
      <c r="BD500" s="222"/>
      <c r="BH500" s="611"/>
      <c r="BJ500" s="15"/>
      <c r="BK500" s="15"/>
      <c r="BO500" s="223"/>
      <c r="BQ500" s="889"/>
      <c r="BT500" s="890"/>
      <c r="BX500" s="889"/>
      <c r="CB500" s="15"/>
      <c r="CC500" s="697"/>
      <c r="CD500" s="1086"/>
      <c r="CE500" s="15"/>
      <c r="CF500" s="15"/>
      <c r="CG500" s="936"/>
      <c r="CH500" s="15"/>
      <c r="CI500" s="15"/>
      <c r="CJ500" s="15"/>
      <c r="CK500" s="1107"/>
      <c r="CL500" s="22"/>
      <c r="CM500" s="22"/>
      <c r="CN500" s="1107"/>
      <c r="CR500" s="223"/>
      <c r="CS500" s="952"/>
      <c r="CT500" s="1066"/>
      <c r="CU500" s="972"/>
      <c r="CV500" s="983"/>
      <c r="CW500" s="222"/>
      <c r="CX500" s="697"/>
      <c r="DC500" s="222"/>
      <c r="DJ500" s="889"/>
      <c r="DM500" s="890"/>
      <c r="DN500" s="952"/>
      <c r="DO500" s="75"/>
      <c r="DP500" s="962"/>
      <c r="DQ500" s="983"/>
      <c r="DV500" s="889"/>
    </row>
    <row r="501" spans="1:126" s="74" customFormat="1">
      <c r="A501" s="15"/>
      <c r="B501" s="15"/>
      <c r="C501" s="15"/>
      <c r="D501" s="15"/>
      <c r="E501" s="6"/>
      <c r="F501" s="6"/>
      <c r="G501" s="6"/>
      <c r="K501" s="222"/>
      <c r="V501" s="1430"/>
      <c r="AA501" s="223"/>
      <c r="AC501" s="889"/>
      <c r="AF501" s="890"/>
      <c r="AJ501" s="889"/>
      <c r="AN501" s="222"/>
      <c r="BC501" s="223"/>
      <c r="BD501" s="222"/>
      <c r="BH501" s="611"/>
      <c r="BJ501" s="15"/>
      <c r="BK501" s="15"/>
      <c r="BO501" s="223"/>
      <c r="BQ501" s="889"/>
      <c r="BT501" s="890"/>
      <c r="BX501" s="889"/>
      <c r="CB501" s="15"/>
      <c r="CC501" s="697"/>
      <c r="CD501" s="1086"/>
      <c r="CE501" s="15"/>
      <c r="CF501" s="15"/>
      <c r="CG501" s="936"/>
      <c r="CH501" s="15"/>
      <c r="CI501" s="15"/>
      <c r="CJ501" s="15"/>
      <c r="CK501" s="1107"/>
      <c r="CL501" s="22"/>
      <c r="CM501" s="22"/>
      <c r="CN501" s="1107"/>
      <c r="CR501" s="223"/>
      <c r="CS501" s="952"/>
      <c r="CT501" s="1066"/>
      <c r="CU501" s="972"/>
      <c r="CV501" s="983"/>
      <c r="CW501" s="222"/>
      <c r="CX501" s="697"/>
      <c r="DC501" s="222"/>
      <c r="DJ501" s="889"/>
      <c r="DM501" s="890"/>
      <c r="DN501" s="952"/>
      <c r="DO501" s="75"/>
      <c r="DP501" s="962"/>
      <c r="DQ501" s="983"/>
      <c r="DV501" s="889"/>
    </row>
    <row r="502" spans="1:126" s="74" customFormat="1">
      <c r="A502" s="15"/>
      <c r="B502" s="15"/>
      <c r="C502" s="15"/>
      <c r="D502" s="15"/>
      <c r="E502" s="6"/>
      <c r="F502" s="6"/>
      <c r="G502" s="6"/>
      <c r="K502" s="222"/>
      <c r="V502" s="1430"/>
      <c r="AA502" s="223"/>
      <c r="AC502" s="889"/>
      <c r="AF502" s="890"/>
      <c r="AJ502" s="889"/>
      <c r="AN502" s="222"/>
      <c r="BC502" s="223"/>
      <c r="BD502" s="222"/>
      <c r="BH502" s="611"/>
      <c r="BJ502" s="15"/>
      <c r="BK502" s="15"/>
      <c r="BO502" s="223"/>
      <c r="BQ502" s="889"/>
      <c r="BT502" s="890"/>
      <c r="BX502" s="889"/>
      <c r="CB502" s="15"/>
      <c r="CC502" s="697"/>
      <c r="CD502" s="1086"/>
      <c r="CE502" s="15"/>
      <c r="CF502" s="15"/>
      <c r="CG502" s="936"/>
      <c r="CH502" s="15"/>
      <c r="CI502" s="15"/>
      <c r="CJ502" s="15"/>
      <c r="CK502" s="1107"/>
      <c r="CL502" s="22"/>
      <c r="CM502" s="22"/>
      <c r="CN502" s="1107"/>
      <c r="CR502" s="223"/>
      <c r="CS502" s="952"/>
      <c r="CT502" s="1066"/>
      <c r="CU502" s="972"/>
      <c r="CV502" s="983"/>
      <c r="CW502" s="222"/>
      <c r="CX502" s="697"/>
      <c r="DC502" s="222"/>
      <c r="DJ502" s="889"/>
      <c r="DM502" s="890"/>
      <c r="DN502" s="952"/>
      <c r="DO502" s="75"/>
      <c r="DP502" s="962"/>
      <c r="DQ502" s="983"/>
      <c r="DV502" s="889"/>
    </row>
    <row r="503" spans="1:126" s="74" customFormat="1">
      <c r="A503" s="15"/>
      <c r="B503" s="15"/>
      <c r="C503" s="15"/>
      <c r="D503" s="15"/>
      <c r="E503" s="6"/>
      <c r="F503" s="6"/>
      <c r="G503" s="6"/>
      <c r="K503" s="222"/>
      <c r="V503" s="1430"/>
      <c r="AA503" s="223"/>
      <c r="AC503" s="889"/>
      <c r="AF503" s="890"/>
      <c r="AJ503" s="889"/>
      <c r="AN503" s="222"/>
      <c r="BC503" s="223"/>
      <c r="BD503" s="222"/>
      <c r="BH503" s="611"/>
      <c r="BJ503" s="15"/>
      <c r="BK503" s="15"/>
      <c r="BO503" s="223"/>
      <c r="BQ503" s="889"/>
      <c r="BT503" s="890"/>
      <c r="BX503" s="889"/>
      <c r="CB503" s="15"/>
      <c r="CC503" s="697"/>
      <c r="CD503" s="1086"/>
      <c r="CE503" s="15"/>
      <c r="CF503" s="15"/>
      <c r="CG503" s="936"/>
      <c r="CH503" s="15"/>
      <c r="CI503" s="15"/>
      <c r="CJ503" s="15"/>
      <c r="CK503" s="1107"/>
      <c r="CL503" s="22"/>
      <c r="CM503" s="22"/>
      <c r="CN503" s="1107"/>
      <c r="CR503" s="223"/>
      <c r="CS503" s="952"/>
      <c r="CT503" s="1066"/>
      <c r="CU503" s="972"/>
      <c r="CV503" s="983"/>
      <c r="CW503" s="222"/>
      <c r="CX503" s="697"/>
      <c r="DC503" s="222"/>
      <c r="DJ503" s="889"/>
      <c r="DM503" s="890"/>
      <c r="DN503" s="952"/>
      <c r="DO503" s="75"/>
      <c r="DP503" s="962"/>
      <c r="DQ503" s="983"/>
      <c r="DV503" s="889"/>
    </row>
    <row r="504" spans="1:126" s="74" customFormat="1">
      <c r="A504" s="15"/>
      <c r="B504" s="15"/>
      <c r="C504" s="15"/>
      <c r="D504" s="15"/>
      <c r="E504" s="6"/>
      <c r="F504" s="6"/>
      <c r="G504" s="6"/>
      <c r="K504" s="222"/>
      <c r="V504" s="1430"/>
      <c r="AA504" s="223"/>
      <c r="AC504" s="889"/>
      <c r="AF504" s="890"/>
      <c r="AJ504" s="889"/>
      <c r="AN504" s="222"/>
      <c r="BC504" s="223"/>
      <c r="BD504" s="222"/>
      <c r="BH504" s="611"/>
      <c r="BJ504" s="15"/>
      <c r="BK504" s="15"/>
      <c r="BO504" s="223"/>
      <c r="BQ504" s="889"/>
      <c r="BT504" s="890"/>
      <c r="BX504" s="889"/>
      <c r="CB504" s="15"/>
      <c r="CC504" s="697"/>
      <c r="CD504" s="1086"/>
      <c r="CE504" s="15"/>
      <c r="CF504" s="15"/>
      <c r="CG504" s="936"/>
      <c r="CH504" s="15"/>
      <c r="CI504" s="15"/>
      <c r="CJ504" s="15"/>
      <c r="CK504" s="1107"/>
      <c r="CL504" s="22"/>
      <c r="CM504" s="22"/>
      <c r="CN504" s="1107"/>
      <c r="CR504" s="223"/>
      <c r="CS504" s="952"/>
      <c r="CT504" s="1066"/>
      <c r="CU504" s="972"/>
      <c r="CV504" s="983"/>
      <c r="CW504" s="222"/>
      <c r="CX504" s="697"/>
      <c r="DC504" s="222"/>
      <c r="DJ504" s="889"/>
      <c r="DM504" s="890"/>
      <c r="DN504" s="952"/>
      <c r="DO504" s="75"/>
      <c r="DP504" s="962"/>
      <c r="DQ504" s="983"/>
      <c r="DV504" s="889"/>
    </row>
    <row r="505" spans="1:126" s="74" customFormat="1">
      <c r="A505" s="15"/>
      <c r="B505" s="15"/>
      <c r="C505" s="15"/>
      <c r="D505" s="15"/>
      <c r="E505" s="6"/>
      <c r="F505" s="6"/>
      <c r="G505" s="6"/>
      <c r="K505" s="222"/>
      <c r="V505" s="1430"/>
      <c r="AA505" s="223"/>
      <c r="AC505" s="889"/>
      <c r="AF505" s="890"/>
      <c r="AJ505" s="889"/>
      <c r="AN505" s="222"/>
      <c r="BC505" s="223"/>
      <c r="BD505" s="222"/>
      <c r="BH505" s="611"/>
      <c r="BJ505" s="15"/>
      <c r="BK505" s="15"/>
      <c r="BO505" s="223"/>
      <c r="BQ505" s="889"/>
      <c r="BT505" s="890"/>
      <c r="BX505" s="889"/>
      <c r="CB505" s="15"/>
      <c r="CC505" s="697"/>
      <c r="CD505" s="1086"/>
      <c r="CE505" s="15"/>
      <c r="CF505" s="15"/>
      <c r="CG505" s="936"/>
      <c r="CH505" s="15"/>
      <c r="CI505" s="15"/>
      <c r="CJ505" s="15"/>
      <c r="CK505" s="1107"/>
      <c r="CL505" s="22"/>
      <c r="CM505" s="22"/>
      <c r="CN505" s="1107"/>
      <c r="CR505" s="223"/>
      <c r="CS505" s="952"/>
      <c r="CT505" s="1066"/>
      <c r="CU505" s="972"/>
      <c r="CV505" s="983"/>
      <c r="CW505" s="222"/>
      <c r="CX505" s="697"/>
      <c r="DC505" s="222"/>
      <c r="DJ505" s="889"/>
      <c r="DM505" s="890"/>
      <c r="DN505" s="952"/>
      <c r="DO505" s="75"/>
      <c r="DP505" s="962"/>
      <c r="DQ505" s="983"/>
      <c r="DV505" s="889"/>
    </row>
    <row r="506" spans="1:126" s="74" customFormat="1">
      <c r="A506" s="15"/>
      <c r="B506" s="15"/>
      <c r="C506" s="15"/>
      <c r="D506" s="15"/>
      <c r="E506" s="6"/>
      <c r="F506" s="6"/>
      <c r="G506" s="6"/>
      <c r="K506" s="222"/>
      <c r="V506" s="1430"/>
      <c r="AA506" s="223"/>
      <c r="AC506" s="889"/>
      <c r="AF506" s="890"/>
      <c r="AJ506" s="889"/>
      <c r="AN506" s="222"/>
      <c r="BC506" s="223"/>
      <c r="BD506" s="222"/>
      <c r="BH506" s="611"/>
      <c r="BJ506" s="15"/>
      <c r="BK506" s="15"/>
      <c r="BO506" s="223"/>
      <c r="BQ506" s="889"/>
      <c r="BT506" s="890"/>
      <c r="BX506" s="889"/>
      <c r="CB506" s="15"/>
      <c r="CC506" s="697"/>
      <c r="CD506" s="1086"/>
      <c r="CE506" s="15"/>
      <c r="CF506" s="15"/>
      <c r="CG506" s="936"/>
      <c r="CH506" s="15"/>
      <c r="CI506" s="15"/>
      <c r="CJ506" s="15"/>
      <c r="CK506" s="1107"/>
      <c r="CL506" s="22"/>
      <c r="CM506" s="22"/>
      <c r="CN506" s="1107"/>
      <c r="CR506" s="223"/>
      <c r="CS506" s="952"/>
      <c r="CT506" s="1066"/>
      <c r="CU506" s="972"/>
      <c r="CV506" s="983"/>
      <c r="CW506" s="222"/>
      <c r="CX506" s="697"/>
      <c r="DC506" s="222"/>
      <c r="DJ506" s="889"/>
      <c r="DM506" s="890"/>
      <c r="DN506" s="952"/>
      <c r="DO506" s="75"/>
      <c r="DP506" s="962"/>
      <c r="DQ506" s="983"/>
      <c r="DV506" s="889"/>
    </row>
    <row r="507" spans="1:126" s="74" customFormat="1">
      <c r="A507" s="15"/>
      <c r="B507" s="15"/>
      <c r="C507" s="15"/>
      <c r="D507" s="15"/>
      <c r="E507" s="6"/>
      <c r="F507" s="6"/>
      <c r="G507" s="6"/>
      <c r="K507" s="222"/>
      <c r="V507" s="1430"/>
      <c r="AA507" s="223"/>
      <c r="AC507" s="889"/>
      <c r="AF507" s="890"/>
      <c r="AJ507" s="889"/>
      <c r="AN507" s="222"/>
      <c r="BC507" s="223"/>
      <c r="BD507" s="222"/>
      <c r="BH507" s="611"/>
      <c r="BJ507" s="15"/>
      <c r="BK507" s="15"/>
      <c r="BO507" s="223"/>
      <c r="BQ507" s="889"/>
      <c r="BT507" s="890"/>
      <c r="BX507" s="889"/>
      <c r="CB507" s="15"/>
      <c r="CC507" s="697"/>
      <c r="CD507" s="1086"/>
      <c r="CE507" s="15"/>
      <c r="CF507" s="15"/>
      <c r="CG507" s="936"/>
      <c r="CH507" s="15"/>
      <c r="CI507" s="15"/>
      <c r="CJ507" s="15"/>
      <c r="CK507" s="1107"/>
      <c r="CL507" s="22"/>
      <c r="CM507" s="22"/>
      <c r="CN507" s="1107"/>
      <c r="CR507" s="223"/>
      <c r="CS507" s="952"/>
      <c r="CT507" s="1066"/>
      <c r="CU507" s="972"/>
      <c r="CV507" s="983"/>
      <c r="CW507" s="222"/>
      <c r="CX507" s="697"/>
      <c r="DC507" s="222"/>
      <c r="DJ507" s="889"/>
      <c r="DM507" s="890"/>
      <c r="DN507" s="952"/>
      <c r="DO507" s="75"/>
      <c r="DP507" s="962"/>
      <c r="DQ507" s="983"/>
      <c r="DV507" s="889"/>
    </row>
    <row r="508" spans="1:126" s="74" customFormat="1">
      <c r="A508" s="15"/>
      <c r="B508" s="15"/>
      <c r="C508" s="15"/>
      <c r="D508" s="15"/>
      <c r="E508" s="6"/>
      <c r="F508" s="6"/>
      <c r="G508" s="6"/>
      <c r="K508" s="222"/>
      <c r="V508" s="1430"/>
      <c r="AA508" s="223"/>
      <c r="AC508" s="889"/>
      <c r="AF508" s="890"/>
      <c r="AJ508" s="889"/>
      <c r="AN508" s="222"/>
      <c r="BC508" s="223"/>
      <c r="BD508" s="222"/>
      <c r="BH508" s="611"/>
      <c r="BJ508" s="15"/>
      <c r="BK508" s="15"/>
      <c r="BO508" s="223"/>
      <c r="BQ508" s="889"/>
      <c r="BT508" s="890"/>
      <c r="BX508" s="889"/>
      <c r="CB508" s="15"/>
      <c r="CC508" s="697"/>
      <c r="CD508" s="1086"/>
      <c r="CE508" s="15"/>
      <c r="CF508" s="15"/>
      <c r="CG508" s="936"/>
      <c r="CH508" s="15"/>
      <c r="CI508" s="15"/>
      <c r="CJ508" s="15"/>
      <c r="CK508" s="1107"/>
      <c r="CL508" s="22"/>
      <c r="CM508" s="22"/>
      <c r="CN508" s="1107"/>
      <c r="CR508" s="223"/>
      <c r="CS508" s="952"/>
      <c r="CT508" s="1066"/>
      <c r="CU508" s="972"/>
      <c r="CV508" s="983"/>
      <c r="CW508" s="222"/>
      <c r="CX508" s="697"/>
      <c r="DC508" s="222"/>
      <c r="DJ508" s="889"/>
      <c r="DM508" s="890"/>
      <c r="DN508" s="952"/>
      <c r="DO508" s="75"/>
      <c r="DP508" s="962"/>
      <c r="DQ508" s="983"/>
      <c r="DV508" s="889"/>
    </row>
    <row r="509" spans="1:126" s="74" customFormat="1">
      <c r="A509" s="15"/>
      <c r="B509" s="15"/>
      <c r="C509" s="15"/>
      <c r="D509" s="15"/>
      <c r="E509" s="6"/>
      <c r="F509" s="6"/>
      <c r="G509" s="6"/>
      <c r="K509" s="222"/>
      <c r="V509" s="1430"/>
      <c r="AA509" s="223"/>
      <c r="AC509" s="889"/>
      <c r="AF509" s="890"/>
      <c r="AJ509" s="889"/>
      <c r="AN509" s="222"/>
      <c r="BC509" s="223"/>
      <c r="BD509" s="222"/>
      <c r="BH509" s="611"/>
      <c r="BJ509" s="15"/>
      <c r="BK509" s="15"/>
      <c r="BO509" s="223"/>
      <c r="BQ509" s="889"/>
      <c r="BT509" s="890"/>
      <c r="BX509" s="889"/>
      <c r="CB509" s="15"/>
      <c r="CC509" s="697"/>
      <c r="CD509" s="1086"/>
      <c r="CE509" s="15"/>
      <c r="CF509" s="15"/>
      <c r="CG509" s="936"/>
      <c r="CH509" s="15"/>
      <c r="CI509" s="15"/>
      <c r="CJ509" s="15"/>
      <c r="CK509" s="1107"/>
      <c r="CL509" s="22"/>
      <c r="CM509" s="22"/>
      <c r="CN509" s="1107"/>
      <c r="CR509" s="223"/>
      <c r="CS509" s="952"/>
      <c r="CT509" s="1066"/>
      <c r="CU509" s="972"/>
      <c r="CV509" s="983"/>
      <c r="CW509" s="222"/>
      <c r="CX509" s="697"/>
      <c r="DC509" s="222"/>
      <c r="DJ509" s="889"/>
      <c r="DM509" s="890"/>
      <c r="DN509" s="952"/>
      <c r="DO509" s="75"/>
      <c r="DP509" s="962"/>
      <c r="DQ509" s="983"/>
      <c r="DV509" s="889"/>
    </row>
    <row r="510" spans="1:126" s="74" customFormat="1">
      <c r="A510" s="15"/>
      <c r="B510" s="15"/>
      <c r="C510" s="15"/>
      <c r="D510" s="15"/>
      <c r="E510" s="6"/>
      <c r="F510" s="6"/>
      <c r="G510" s="6"/>
      <c r="K510" s="222"/>
      <c r="V510" s="1430"/>
      <c r="AA510" s="223"/>
      <c r="AC510" s="889"/>
      <c r="AF510" s="890"/>
      <c r="AJ510" s="889"/>
      <c r="AN510" s="222"/>
      <c r="BC510" s="223"/>
      <c r="BD510" s="222"/>
      <c r="BH510" s="611"/>
      <c r="BJ510" s="15"/>
      <c r="BK510" s="15"/>
      <c r="BO510" s="223"/>
      <c r="BQ510" s="889"/>
      <c r="BT510" s="890"/>
      <c r="BX510" s="889"/>
      <c r="CB510" s="15"/>
      <c r="CC510" s="697"/>
      <c r="CD510" s="1086"/>
      <c r="CE510" s="15"/>
      <c r="CF510" s="15"/>
      <c r="CG510" s="936"/>
      <c r="CH510" s="15"/>
      <c r="CI510" s="15"/>
      <c r="CJ510" s="15"/>
      <c r="CK510" s="1107"/>
      <c r="CL510" s="22"/>
      <c r="CM510" s="22"/>
      <c r="CN510" s="1107"/>
      <c r="CR510" s="223"/>
      <c r="CS510" s="952"/>
      <c r="CT510" s="1066"/>
      <c r="CU510" s="972"/>
      <c r="CV510" s="983"/>
      <c r="CW510" s="222"/>
      <c r="CX510" s="697"/>
      <c r="DC510" s="222"/>
      <c r="DJ510" s="889"/>
      <c r="DM510" s="890"/>
      <c r="DN510" s="952"/>
      <c r="DO510" s="75"/>
      <c r="DP510" s="962"/>
      <c r="DQ510" s="983"/>
      <c r="DV510" s="889"/>
    </row>
    <row r="511" spans="1:126" s="74" customFormat="1">
      <c r="A511" s="15"/>
      <c r="B511" s="15"/>
      <c r="C511" s="15"/>
      <c r="D511" s="15"/>
      <c r="E511" s="6"/>
      <c r="F511" s="6"/>
      <c r="G511" s="6"/>
      <c r="K511" s="222"/>
      <c r="V511" s="1430"/>
      <c r="AA511" s="223"/>
      <c r="AC511" s="889"/>
      <c r="AF511" s="890"/>
      <c r="AJ511" s="889"/>
      <c r="AN511" s="222"/>
      <c r="BC511" s="223"/>
      <c r="BD511" s="222"/>
      <c r="BH511" s="611"/>
      <c r="BJ511" s="15"/>
      <c r="BK511" s="15"/>
      <c r="BO511" s="223"/>
      <c r="BQ511" s="889"/>
      <c r="BT511" s="890"/>
      <c r="BX511" s="889"/>
      <c r="CB511" s="15"/>
      <c r="CC511" s="697"/>
      <c r="CD511" s="1086"/>
      <c r="CE511" s="15"/>
      <c r="CF511" s="15"/>
      <c r="CG511" s="936"/>
      <c r="CH511" s="15"/>
      <c r="CI511" s="15"/>
      <c r="CJ511" s="15"/>
      <c r="CK511" s="1107"/>
      <c r="CL511" s="22"/>
      <c r="CM511" s="22"/>
      <c r="CN511" s="1107"/>
      <c r="CR511" s="223"/>
      <c r="CS511" s="952"/>
      <c r="CT511" s="1066"/>
      <c r="CU511" s="972"/>
      <c r="CV511" s="983"/>
      <c r="CW511" s="222"/>
      <c r="CX511" s="697"/>
      <c r="DC511" s="222"/>
      <c r="DJ511" s="889"/>
      <c r="DM511" s="890"/>
      <c r="DN511" s="952"/>
      <c r="DO511" s="75"/>
      <c r="DP511" s="962"/>
      <c r="DQ511" s="983"/>
      <c r="DV511" s="889"/>
    </row>
    <row r="512" spans="1:126" s="74" customFormat="1">
      <c r="A512" s="15"/>
      <c r="B512" s="15"/>
      <c r="C512" s="15"/>
      <c r="D512" s="15"/>
      <c r="E512" s="6"/>
      <c r="F512" s="6"/>
      <c r="G512" s="6"/>
      <c r="K512" s="222"/>
      <c r="V512" s="1430"/>
      <c r="AA512" s="223"/>
      <c r="AC512" s="889"/>
      <c r="AF512" s="890"/>
      <c r="AJ512" s="889"/>
      <c r="AN512" s="222"/>
      <c r="BC512" s="223"/>
      <c r="BD512" s="222"/>
      <c r="BH512" s="611"/>
      <c r="BJ512" s="15"/>
      <c r="BK512" s="15"/>
      <c r="BO512" s="223"/>
      <c r="BQ512" s="889"/>
      <c r="BT512" s="890"/>
      <c r="BX512" s="889"/>
      <c r="CB512" s="15"/>
      <c r="CC512" s="697"/>
      <c r="CD512" s="1086"/>
      <c r="CE512" s="15"/>
      <c r="CF512" s="15"/>
      <c r="CG512" s="936"/>
      <c r="CH512" s="15"/>
      <c r="CI512" s="15"/>
      <c r="CJ512" s="15"/>
      <c r="CK512" s="1107"/>
      <c r="CL512" s="22"/>
      <c r="CM512" s="22"/>
      <c r="CN512" s="1107"/>
      <c r="CR512" s="223"/>
      <c r="CS512" s="952"/>
      <c r="CT512" s="1066"/>
      <c r="CU512" s="972"/>
      <c r="CV512" s="983"/>
      <c r="CW512" s="222"/>
      <c r="CX512" s="697"/>
      <c r="DC512" s="222"/>
      <c r="DJ512" s="889"/>
      <c r="DM512" s="890"/>
      <c r="DN512" s="952"/>
      <c r="DO512" s="75"/>
      <c r="DP512" s="962"/>
      <c r="DQ512" s="983"/>
      <c r="DV512" s="889"/>
    </row>
    <row r="513" spans="1:126" s="74" customFormat="1">
      <c r="A513" s="15"/>
      <c r="B513" s="15"/>
      <c r="C513" s="15"/>
      <c r="D513" s="15"/>
      <c r="E513" s="6"/>
      <c r="F513" s="6"/>
      <c r="G513" s="6"/>
      <c r="K513" s="222"/>
      <c r="V513" s="1430"/>
      <c r="AA513" s="223"/>
      <c r="AC513" s="889"/>
      <c r="AF513" s="890"/>
      <c r="AJ513" s="889"/>
      <c r="AN513" s="222"/>
      <c r="BC513" s="223"/>
      <c r="BD513" s="222"/>
      <c r="BH513" s="611"/>
      <c r="BJ513" s="15"/>
      <c r="BK513" s="15"/>
      <c r="BO513" s="223"/>
      <c r="BQ513" s="889"/>
      <c r="BT513" s="890"/>
      <c r="BX513" s="889"/>
      <c r="CB513" s="15"/>
      <c r="CC513" s="697"/>
      <c r="CD513" s="1086"/>
      <c r="CE513" s="15"/>
      <c r="CF513" s="15"/>
      <c r="CG513" s="936"/>
      <c r="CH513" s="15"/>
      <c r="CI513" s="15"/>
      <c r="CJ513" s="15"/>
      <c r="CK513" s="1107"/>
      <c r="CL513" s="22"/>
      <c r="CM513" s="22"/>
      <c r="CN513" s="1107"/>
      <c r="CR513" s="223"/>
      <c r="CS513" s="952"/>
      <c r="CT513" s="1066"/>
      <c r="CU513" s="972"/>
      <c r="CV513" s="983"/>
      <c r="CW513" s="222"/>
      <c r="CX513" s="697"/>
      <c r="DC513" s="222"/>
      <c r="DJ513" s="889"/>
      <c r="DM513" s="890"/>
      <c r="DN513" s="952"/>
      <c r="DO513" s="75"/>
      <c r="DP513" s="962"/>
      <c r="DQ513" s="983"/>
      <c r="DV513" s="889"/>
    </row>
    <row r="514" spans="1:126" s="74" customFormat="1">
      <c r="A514" s="15"/>
      <c r="B514" s="15"/>
      <c r="C514" s="15"/>
      <c r="D514" s="15"/>
      <c r="E514" s="6"/>
      <c r="F514" s="6"/>
      <c r="G514" s="6"/>
      <c r="K514" s="222"/>
      <c r="V514" s="1430"/>
      <c r="AA514" s="223"/>
      <c r="AC514" s="889"/>
      <c r="AF514" s="890"/>
      <c r="AJ514" s="889"/>
      <c r="AN514" s="222"/>
      <c r="BC514" s="223"/>
      <c r="BD514" s="222"/>
      <c r="BH514" s="611"/>
      <c r="BJ514" s="15"/>
      <c r="BK514" s="15"/>
      <c r="BO514" s="223"/>
      <c r="BQ514" s="889"/>
      <c r="BT514" s="890"/>
      <c r="BX514" s="889"/>
      <c r="CB514" s="15"/>
      <c r="CC514" s="697"/>
      <c r="CD514" s="1086"/>
      <c r="CE514" s="15"/>
      <c r="CF514" s="15"/>
      <c r="CG514" s="936"/>
      <c r="CH514" s="15"/>
      <c r="CI514" s="15"/>
      <c r="CJ514" s="15"/>
      <c r="CK514" s="1107"/>
      <c r="CL514" s="22"/>
      <c r="CM514" s="22"/>
      <c r="CN514" s="1107"/>
      <c r="CR514" s="223"/>
      <c r="CS514" s="952"/>
      <c r="CT514" s="1066"/>
      <c r="CU514" s="972"/>
      <c r="CV514" s="983"/>
      <c r="CW514" s="222"/>
      <c r="CX514" s="697"/>
      <c r="DC514" s="222"/>
      <c r="DJ514" s="889"/>
      <c r="DM514" s="890"/>
      <c r="DN514" s="952"/>
      <c r="DO514" s="75"/>
      <c r="DP514" s="962"/>
      <c r="DQ514" s="983"/>
      <c r="DV514" s="889"/>
    </row>
    <row r="515" spans="1:126" s="74" customFormat="1">
      <c r="A515" s="15"/>
      <c r="B515" s="15"/>
      <c r="C515" s="15"/>
      <c r="D515" s="15"/>
      <c r="E515" s="6"/>
      <c r="F515" s="6"/>
      <c r="G515" s="6"/>
      <c r="K515" s="222"/>
      <c r="V515" s="1430"/>
      <c r="AA515" s="223"/>
      <c r="AC515" s="889"/>
      <c r="AF515" s="890"/>
      <c r="AJ515" s="889"/>
      <c r="AN515" s="222"/>
      <c r="BC515" s="223"/>
      <c r="BD515" s="222"/>
      <c r="BH515" s="611"/>
      <c r="BJ515" s="15"/>
      <c r="BK515" s="15"/>
      <c r="BO515" s="223"/>
      <c r="BQ515" s="889"/>
      <c r="BT515" s="890"/>
      <c r="BX515" s="889"/>
      <c r="CB515" s="15"/>
      <c r="CC515" s="697"/>
      <c r="CD515" s="1086"/>
      <c r="CE515" s="15"/>
      <c r="CF515" s="15"/>
      <c r="CG515" s="936"/>
      <c r="CH515" s="15"/>
      <c r="CI515" s="15"/>
      <c r="CJ515" s="15"/>
      <c r="CK515" s="1107"/>
      <c r="CL515" s="22"/>
      <c r="CM515" s="22"/>
      <c r="CN515" s="1107"/>
      <c r="CR515" s="223"/>
      <c r="CS515" s="952"/>
      <c r="CT515" s="1066"/>
      <c r="CU515" s="972"/>
      <c r="CV515" s="983"/>
      <c r="CW515" s="222"/>
      <c r="CX515" s="697"/>
      <c r="DC515" s="222"/>
      <c r="DJ515" s="889"/>
      <c r="DM515" s="890"/>
      <c r="DN515" s="952"/>
      <c r="DO515" s="75"/>
      <c r="DP515" s="962"/>
      <c r="DQ515" s="983"/>
      <c r="DV515" s="889"/>
    </row>
    <row r="516" spans="1:126" s="74" customFormat="1">
      <c r="A516" s="15"/>
      <c r="B516" s="15"/>
      <c r="C516" s="15"/>
      <c r="D516" s="15"/>
      <c r="E516" s="6"/>
      <c r="F516" s="6"/>
      <c r="G516" s="6"/>
      <c r="K516" s="222"/>
      <c r="V516" s="1430"/>
      <c r="AA516" s="223"/>
      <c r="AC516" s="889"/>
      <c r="AF516" s="890"/>
      <c r="AJ516" s="889"/>
      <c r="AN516" s="222"/>
      <c r="BC516" s="223"/>
      <c r="BD516" s="222"/>
      <c r="BH516" s="611"/>
      <c r="BJ516" s="15"/>
      <c r="BK516" s="15"/>
      <c r="BO516" s="223"/>
      <c r="BQ516" s="889"/>
      <c r="BT516" s="890"/>
      <c r="BX516" s="889"/>
      <c r="CB516" s="15"/>
      <c r="CC516" s="697"/>
      <c r="CD516" s="1086"/>
      <c r="CE516" s="15"/>
      <c r="CF516" s="15"/>
      <c r="CG516" s="936"/>
      <c r="CH516" s="15"/>
      <c r="CI516" s="15"/>
      <c r="CJ516" s="15"/>
      <c r="CK516" s="1107"/>
      <c r="CL516" s="22"/>
      <c r="CM516" s="22"/>
      <c r="CN516" s="1107"/>
      <c r="CR516" s="223"/>
      <c r="CS516" s="952"/>
      <c r="CT516" s="1066"/>
      <c r="CU516" s="972"/>
      <c r="CV516" s="983"/>
      <c r="CW516" s="222"/>
      <c r="CX516" s="697"/>
      <c r="DC516" s="222"/>
      <c r="DJ516" s="889"/>
      <c r="DM516" s="890"/>
      <c r="DN516" s="952"/>
      <c r="DO516" s="75"/>
      <c r="DP516" s="962"/>
      <c r="DQ516" s="983"/>
      <c r="DV516" s="889"/>
    </row>
    <row r="517" spans="1:126" s="74" customFormat="1">
      <c r="A517" s="15"/>
      <c r="B517" s="15"/>
      <c r="C517" s="15"/>
      <c r="D517" s="15"/>
      <c r="E517" s="6"/>
      <c r="F517" s="6"/>
      <c r="G517" s="6"/>
      <c r="K517" s="222"/>
      <c r="V517" s="1430"/>
      <c r="AA517" s="223"/>
      <c r="AC517" s="889"/>
      <c r="AF517" s="890"/>
      <c r="AJ517" s="889"/>
      <c r="AN517" s="222"/>
      <c r="BC517" s="223"/>
      <c r="BD517" s="222"/>
      <c r="BH517" s="611"/>
      <c r="BJ517" s="15"/>
      <c r="BK517" s="15"/>
      <c r="BO517" s="223"/>
      <c r="BQ517" s="889"/>
      <c r="BT517" s="890"/>
      <c r="BX517" s="889"/>
      <c r="CB517" s="15"/>
      <c r="CC517" s="697"/>
      <c r="CD517" s="1086"/>
      <c r="CE517" s="15"/>
      <c r="CF517" s="15"/>
      <c r="CG517" s="936"/>
      <c r="CH517" s="15"/>
      <c r="CI517" s="15"/>
      <c r="CJ517" s="15"/>
      <c r="CK517" s="1107"/>
      <c r="CL517" s="22"/>
      <c r="CM517" s="22"/>
      <c r="CN517" s="1107"/>
      <c r="CR517" s="223"/>
      <c r="CS517" s="952"/>
      <c r="CT517" s="1066"/>
      <c r="CU517" s="972"/>
      <c r="CV517" s="983"/>
      <c r="CW517" s="222"/>
      <c r="CX517" s="697"/>
      <c r="DC517" s="222"/>
      <c r="DJ517" s="889"/>
      <c r="DM517" s="890"/>
      <c r="DN517" s="952"/>
      <c r="DO517" s="75"/>
      <c r="DP517" s="962"/>
      <c r="DQ517" s="983"/>
      <c r="DV517" s="889"/>
    </row>
    <row r="518" spans="1:126" s="74" customFormat="1">
      <c r="A518" s="15"/>
      <c r="B518" s="15"/>
      <c r="C518" s="15"/>
      <c r="D518" s="15"/>
      <c r="E518" s="6"/>
      <c r="F518" s="6"/>
      <c r="G518" s="6"/>
      <c r="K518" s="222"/>
      <c r="V518" s="1430"/>
      <c r="AA518" s="223"/>
      <c r="AC518" s="889"/>
      <c r="AF518" s="890"/>
      <c r="AJ518" s="889"/>
      <c r="AN518" s="222"/>
      <c r="BC518" s="223"/>
      <c r="BD518" s="222"/>
      <c r="BH518" s="611"/>
      <c r="BJ518" s="15"/>
      <c r="BK518" s="15"/>
      <c r="BO518" s="223"/>
      <c r="BQ518" s="889"/>
      <c r="BT518" s="890"/>
      <c r="BX518" s="889"/>
      <c r="CB518" s="15"/>
      <c r="CC518" s="697"/>
      <c r="CD518" s="1086"/>
      <c r="CE518" s="15"/>
      <c r="CF518" s="15"/>
      <c r="CG518" s="936"/>
      <c r="CH518" s="15"/>
      <c r="CI518" s="15"/>
      <c r="CJ518" s="15"/>
      <c r="CK518" s="1107"/>
      <c r="CL518" s="22"/>
      <c r="CM518" s="22"/>
      <c r="CN518" s="1107"/>
      <c r="CR518" s="223"/>
      <c r="CS518" s="952"/>
      <c r="CT518" s="1066"/>
      <c r="CU518" s="972"/>
      <c r="CV518" s="983"/>
      <c r="CW518" s="222"/>
      <c r="CX518" s="697"/>
      <c r="DC518" s="222"/>
      <c r="DJ518" s="889"/>
      <c r="DM518" s="890"/>
      <c r="DN518" s="952"/>
      <c r="DO518" s="75"/>
      <c r="DP518" s="962"/>
      <c r="DQ518" s="983"/>
      <c r="DV518" s="889"/>
    </row>
    <row r="519" spans="1:126" s="74" customFormat="1">
      <c r="A519" s="15"/>
      <c r="B519" s="15"/>
      <c r="C519" s="15"/>
      <c r="D519" s="15"/>
      <c r="E519" s="6"/>
      <c r="F519" s="6"/>
      <c r="G519" s="6"/>
      <c r="K519" s="222"/>
      <c r="V519" s="1430"/>
      <c r="AA519" s="223"/>
      <c r="AC519" s="889"/>
      <c r="AF519" s="890"/>
      <c r="AJ519" s="889"/>
      <c r="AN519" s="222"/>
      <c r="BC519" s="223"/>
      <c r="BD519" s="222"/>
      <c r="BH519" s="611"/>
      <c r="BJ519" s="15"/>
      <c r="BK519" s="15"/>
      <c r="BO519" s="223"/>
      <c r="BQ519" s="889"/>
      <c r="BT519" s="890"/>
      <c r="BX519" s="889"/>
      <c r="CB519" s="15"/>
      <c r="CC519" s="697"/>
      <c r="CD519" s="1086"/>
      <c r="CE519" s="15"/>
      <c r="CF519" s="15"/>
      <c r="CG519" s="936"/>
      <c r="CH519" s="15"/>
      <c r="CI519" s="15"/>
      <c r="CJ519" s="15"/>
      <c r="CK519" s="1107"/>
      <c r="CL519" s="22"/>
      <c r="CM519" s="22"/>
      <c r="CN519" s="1107"/>
      <c r="CR519" s="223"/>
      <c r="CS519" s="952"/>
      <c r="CT519" s="1066"/>
      <c r="CU519" s="972"/>
      <c r="CV519" s="983"/>
      <c r="CW519" s="222"/>
      <c r="CX519" s="697"/>
      <c r="DC519" s="222"/>
      <c r="DJ519" s="889"/>
      <c r="DM519" s="890"/>
      <c r="DN519" s="952"/>
      <c r="DO519" s="75"/>
      <c r="DP519" s="962"/>
      <c r="DQ519" s="983"/>
      <c r="DV519" s="889"/>
    </row>
    <row r="520" spans="1:126" s="74" customFormat="1">
      <c r="A520" s="15"/>
      <c r="B520" s="15"/>
      <c r="C520" s="15"/>
      <c r="D520" s="15"/>
      <c r="E520" s="6"/>
      <c r="F520" s="6"/>
      <c r="G520" s="6"/>
      <c r="K520" s="222"/>
      <c r="V520" s="1430"/>
      <c r="AA520" s="223"/>
      <c r="AC520" s="889"/>
      <c r="AF520" s="890"/>
      <c r="AJ520" s="889"/>
      <c r="AN520" s="222"/>
      <c r="BC520" s="223"/>
      <c r="BD520" s="222"/>
      <c r="BH520" s="611"/>
      <c r="BJ520" s="15"/>
      <c r="BK520" s="15"/>
      <c r="BO520" s="223"/>
      <c r="BQ520" s="889"/>
      <c r="BT520" s="890"/>
      <c r="BX520" s="889"/>
      <c r="CB520" s="15"/>
      <c r="CC520" s="697"/>
      <c r="CD520" s="1086"/>
      <c r="CE520" s="15"/>
      <c r="CF520" s="15"/>
      <c r="CG520" s="936"/>
      <c r="CH520" s="15"/>
      <c r="CI520" s="15"/>
      <c r="CJ520" s="15"/>
      <c r="CK520" s="1107"/>
      <c r="CL520" s="22"/>
      <c r="CM520" s="22"/>
      <c r="CN520" s="1107"/>
      <c r="CR520" s="223"/>
      <c r="CS520" s="952"/>
      <c r="CT520" s="1066"/>
      <c r="CU520" s="972"/>
      <c r="CV520" s="983"/>
      <c r="CW520" s="222"/>
      <c r="CX520" s="697"/>
      <c r="DC520" s="222"/>
      <c r="DJ520" s="889"/>
      <c r="DM520" s="890"/>
      <c r="DN520" s="952"/>
      <c r="DO520" s="75"/>
      <c r="DP520" s="962"/>
      <c r="DQ520" s="983"/>
      <c r="DV520" s="889"/>
    </row>
    <row r="521" spans="1:126" s="74" customFormat="1">
      <c r="A521" s="15"/>
      <c r="B521" s="15"/>
      <c r="C521" s="15"/>
      <c r="D521" s="15"/>
      <c r="E521" s="6"/>
      <c r="F521" s="6"/>
      <c r="G521" s="6"/>
      <c r="K521" s="222"/>
      <c r="V521" s="1430"/>
      <c r="AA521" s="223"/>
      <c r="AC521" s="889"/>
      <c r="AF521" s="890"/>
      <c r="AJ521" s="889"/>
      <c r="AN521" s="222"/>
      <c r="BC521" s="223"/>
      <c r="BD521" s="222"/>
      <c r="BH521" s="611"/>
      <c r="BJ521" s="15"/>
      <c r="BK521" s="15"/>
      <c r="BO521" s="223"/>
      <c r="BQ521" s="889"/>
      <c r="BT521" s="890"/>
      <c r="BX521" s="889"/>
      <c r="CB521" s="15"/>
      <c r="CC521" s="697"/>
      <c r="CD521" s="1086"/>
      <c r="CE521" s="15"/>
      <c r="CF521" s="15"/>
      <c r="CG521" s="936"/>
      <c r="CH521" s="15"/>
      <c r="CI521" s="15"/>
      <c r="CJ521" s="15"/>
      <c r="CK521" s="1107"/>
      <c r="CL521" s="22"/>
      <c r="CM521" s="22"/>
      <c r="CN521" s="1107"/>
      <c r="CR521" s="223"/>
      <c r="CS521" s="952"/>
      <c r="CT521" s="1066"/>
      <c r="CU521" s="972"/>
      <c r="CV521" s="983"/>
      <c r="CW521" s="222"/>
      <c r="CX521" s="697"/>
      <c r="DC521" s="222"/>
      <c r="DJ521" s="889"/>
      <c r="DM521" s="890"/>
      <c r="DN521" s="952"/>
      <c r="DO521" s="75"/>
      <c r="DP521" s="962"/>
      <c r="DQ521" s="983"/>
      <c r="DV521" s="889"/>
    </row>
    <row r="522" spans="1:126" s="74" customFormat="1">
      <c r="A522" s="15"/>
      <c r="B522" s="15"/>
      <c r="C522" s="15"/>
      <c r="D522" s="15"/>
      <c r="E522" s="6"/>
      <c r="F522" s="6"/>
      <c r="G522" s="6"/>
      <c r="K522" s="222"/>
      <c r="V522" s="1430"/>
      <c r="AA522" s="223"/>
      <c r="AC522" s="889"/>
      <c r="AF522" s="890"/>
      <c r="AJ522" s="889"/>
      <c r="AN522" s="222"/>
      <c r="BC522" s="223"/>
      <c r="BD522" s="222"/>
      <c r="BH522" s="611"/>
      <c r="BJ522" s="15"/>
      <c r="BK522" s="15"/>
      <c r="BO522" s="223"/>
      <c r="BQ522" s="889"/>
      <c r="BT522" s="890"/>
      <c r="BX522" s="889"/>
      <c r="CB522" s="15"/>
      <c r="CC522" s="697"/>
      <c r="CD522" s="1086"/>
      <c r="CE522" s="15"/>
      <c r="CF522" s="15"/>
      <c r="CG522" s="936"/>
      <c r="CH522" s="15"/>
      <c r="CI522" s="15"/>
      <c r="CJ522" s="15"/>
      <c r="CK522" s="1107"/>
      <c r="CL522" s="22"/>
      <c r="CM522" s="22"/>
      <c r="CN522" s="1107"/>
      <c r="CR522" s="223"/>
      <c r="CS522" s="952"/>
      <c r="CT522" s="1066"/>
      <c r="CU522" s="972"/>
      <c r="CV522" s="983"/>
      <c r="CW522" s="222"/>
      <c r="CX522" s="697"/>
      <c r="DC522" s="222"/>
      <c r="DJ522" s="889"/>
      <c r="DM522" s="890"/>
      <c r="DN522" s="952"/>
      <c r="DO522" s="75"/>
      <c r="DP522" s="962"/>
      <c r="DQ522" s="983"/>
      <c r="DV522" s="889"/>
    </row>
    <row r="523" spans="1:126" s="74" customFormat="1">
      <c r="A523" s="15"/>
      <c r="B523" s="15"/>
      <c r="C523" s="15"/>
      <c r="D523" s="15"/>
      <c r="E523" s="6"/>
      <c r="F523" s="6"/>
      <c r="G523" s="6"/>
      <c r="K523" s="222"/>
      <c r="V523" s="1430"/>
      <c r="AA523" s="223"/>
      <c r="AC523" s="889"/>
      <c r="AF523" s="890"/>
      <c r="AJ523" s="889"/>
      <c r="AN523" s="222"/>
      <c r="BC523" s="223"/>
      <c r="BD523" s="222"/>
      <c r="BH523" s="611"/>
      <c r="BJ523" s="15"/>
      <c r="BK523" s="15"/>
      <c r="BO523" s="223"/>
      <c r="BQ523" s="889"/>
      <c r="BT523" s="890"/>
      <c r="BX523" s="889"/>
      <c r="CB523" s="15"/>
      <c r="CC523" s="697"/>
      <c r="CD523" s="1086"/>
      <c r="CE523" s="15"/>
      <c r="CF523" s="15"/>
      <c r="CG523" s="936"/>
      <c r="CH523" s="15"/>
      <c r="CI523" s="15"/>
      <c r="CJ523" s="15"/>
      <c r="CK523" s="1107"/>
      <c r="CL523" s="22"/>
      <c r="CM523" s="22"/>
      <c r="CN523" s="1107"/>
      <c r="CR523" s="223"/>
      <c r="CS523" s="952"/>
      <c r="CT523" s="1066"/>
      <c r="CU523" s="972"/>
      <c r="CV523" s="983"/>
      <c r="CW523" s="222"/>
      <c r="CX523" s="697"/>
      <c r="DC523" s="222"/>
      <c r="DJ523" s="889"/>
      <c r="DM523" s="890"/>
      <c r="DN523" s="952"/>
      <c r="DO523" s="75"/>
      <c r="DP523" s="962"/>
      <c r="DQ523" s="983"/>
      <c r="DV523" s="889"/>
    </row>
    <row r="524" spans="1:126" s="74" customFormat="1">
      <c r="A524" s="15"/>
      <c r="B524" s="15"/>
      <c r="C524" s="15"/>
      <c r="D524" s="15"/>
      <c r="E524" s="6"/>
      <c r="F524" s="6"/>
      <c r="G524" s="6"/>
      <c r="K524" s="222"/>
      <c r="V524" s="1430"/>
      <c r="AA524" s="223"/>
      <c r="AC524" s="889"/>
      <c r="AF524" s="890"/>
      <c r="AJ524" s="889"/>
      <c r="AN524" s="222"/>
      <c r="BC524" s="223"/>
      <c r="BD524" s="222"/>
      <c r="BH524" s="611"/>
      <c r="BJ524" s="15"/>
      <c r="BK524" s="15"/>
      <c r="BO524" s="223"/>
      <c r="BQ524" s="889"/>
      <c r="BT524" s="890"/>
      <c r="BX524" s="889"/>
      <c r="CB524" s="15"/>
      <c r="CC524" s="697"/>
      <c r="CD524" s="1086"/>
      <c r="CE524" s="15"/>
      <c r="CF524" s="15"/>
      <c r="CG524" s="936"/>
      <c r="CH524" s="15"/>
      <c r="CI524" s="15"/>
      <c r="CJ524" s="15"/>
      <c r="CK524" s="1107"/>
      <c r="CL524" s="22"/>
      <c r="CM524" s="22"/>
      <c r="CN524" s="1107"/>
      <c r="CR524" s="223"/>
      <c r="CS524" s="952"/>
      <c r="CT524" s="1066"/>
      <c r="CU524" s="972"/>
      <c r="CV524" s="983"/>
      <c r="CW524" s="222"/>
      <c r="CX524" s="697"/>
      <c r="DC524" s="222"/>
      <c r="DJ524" s="889"/>
      <c r="DM524" s="890"/>
      <c r="DN524" s="952"/>
      <c r="DO524" s="75"/>
      <c r="DP524" s="962"/>
      <c r="DQ524" s="983"/>
      <c r="DV524" s="889"/>
    </row>
    <row r="525" spans="1:126" s="74" customFormat="1">
      <c r="A525" s="15"/>
      <c r="B525" s="15"/>
      <c r="C525" s="15"/>
      <c r="D525" s="15"/>
      <c r="E525" s="6"/>
      <c r="F525" s="6"/>
      <c r="G525" s="6"/>
      <c r="K525" s="222"/>
      <c r="V525" s="1430"/>
      <c r="AA525" s="223"/>
      <c r="AC525" s="889"/>
      <c r="AF525" s="890"/>
      <c r="AJ525" s="889"/>
      <c r="AN525" s="222"/>
      <c r="BC525" s="223"/>
      <c r="BD525" s="222"/>
      <c r="BH525" s="611"/>
      <c r="BJ525" s="15"/>
      <c r="BK525" s="15"/>
      <c r="BO525" s="223"/>
      <c r="BQ525" s="889"/>
      <c r="BT525" s="890"/>
      <c r="BX525" s="889"/>
      <c r="CB525" s="15"/>
      <c r="CC525" s="697"/>
      <c r="CD525" s="1086"/>
      <c r="CE525" s="15"/>
      <c r="CF525" s="15"/>
      <c r="CG525" s="936"/>
      <c r="CH525" s="15"/>
      <c r="CI525" s="15"/>
      <c r="CJ525" s="15"/>
      <c r="CK525" s="1107"/>
      <c r="CL525" s="22"/>
      <c r="CM525" s="22"/>
      <c r="CN525" s="1107"/>
      <c r="CR525" s="223"/>
      <c r="CS525" s="952"/>
      <c r="CT525" s="1066"/>
      <c r="CU525" s="972"/>
      <c r="CV525" s="983"/>
      <c r="CW525" s="222"/>
      <c r="CX525" s="697"/>
      <c r="DC525" s="222"/>
      <c r="DJ525" s="889"/>
      <c r="DM525" s="890"/>
      <c r="DN525" s="952"/>
      <c r="DO525" s="75"/>
      <c r="DP525" s="962"/>
      <c r="DQ525" s="983"/>
      <c r="DV525" s="889"/>
    </row>
    <row r="526" spans="1:126" s="74" customFormat="1">
      <c r="A526" s="15"/>
      <c r="B526" s="15"/>
      <c r="C526" s="15"/>
      <c r="D526" s="15"/>
      <c r="E526" s="6"/>
      <c r="F526" s="6"/>
      <c r="G526" s="6"/>
      <c r="K526" s="222"/>
      <c r="V526" s="1430"/>
      <c r="AA526" s="223"/>
      <c r="AC526" s="889"/>
      <c r="AF526" s="890"/>
      <c r="AJ526" s="889"/>
      <c r="AN526" s="222"/>
      <c r="BC526" s="223"/>
      <c r="BD526" s="222"/>
      <c r="BH526" s="611"/>
      <c r="BJ526" s="15"/>
      <c r="BK526" s="15"/>
      <c r="BO526" s="223"/>
      <c r="BQ526" s="889"/>
      <c r="BT526" s="890"/>
      <c r="BX526" s="889"/>
      <c r="CB526" s="15"/>
      <c r="CC526" s="697"/>
      <c r="CD526" s="1086"/>
      <c r="CE526" s="15"/>
      <c r="CF526" s="15"/>
      <c r="CG526" s="936"/>
      <c r="CH526" s="15"/>
      <c r="CI526" s="15"/>
      <c r="CJ526" s="15"/>
      <c r="CK526" s="1107"/>
      <c r="CL526" s="22"/>
      <c r="CM526" s="22"/>
      <c r="CN526" s="1107"/>
      <c r="CR526" s="223"/>
      <c r="CS526" s="952"/>
      <c r="CT526" s="1066"/>
      <c r="CU526" s="972"/>
      <c r="CV526" s="983"/>
      <c r="CW526" s="222"/>
      <c r="CX526" s="697"/>
      <c r="DC526" s="222"/>
      <c r="DJ526" s="889"/>
      <c r="DM526" s="890"/>
      <c r="DN526" s="952"/>
      <c r="DO526" s="75"/>
      <c r="DP526" s="962"/>
      <c r="DQ526" s="983"/>
      <c r="DV526" s="889"/>
    </row>
    <row r="527" spans="1:126" s="74" customFormat="1">
      <c r="A527" s="15"/>
      <c r="B527" s="15"/>
      <c r="C527" s="15"/>
      <c r="D527" s="15"/>
      <c r="E527" s="6"/>
      <c r="F527" s="6"/>
      <c r="G527" s="6"/>
      <c r="K527" s="222"/>
      <c r="V527" s="1430"/>
      <c r="AA527" s="223"/>
      <c r="AC527" s="889"/>
      <c r="AF527" s="890"/>
      <c r="AJ527" s="889"/>
      <c r="AN527" s="222"/>
      <c r="BC527" s="223"/>
      <c r="BD527" s="222"/>
      <c r="BH527" s="611"/>
      <c r="BJ527" s="15"/>
      <c r="BK527" s="15"/>
      <c r="BO527" s="223"/>
      <c r="BQ527" s="889"/>
      <c r="BT527" s="890"/>
      <c r="BX527" s="889"/>
      <c r="CB527" s="15"/>
      <c r="CC527" s="697"/>
      <c r="CD527" s="1086"/>
      <c r="CE527" s="15"/>
      <c r="CF527" s="15"/>
      <c r="CG527" s="936"/>
      <c r="CH527" s="15"/>
      <c r="CI527" s="15"/>
      <c r="CJ527" s="15"/>
      <c r="CK527" s="1107"/>
      <c r="CL527" s="22"/>
      <c r="CM527" s="22"/>
      <c r="CN527" s="1107"/>
      <c r="CR527" s="223"/>
      <c r="CS527" s="952"/>
      <c r="CT527" s="1066"/>
      <c r="CU527" s="972"/>
      <c r="CV527" s="983"/>
      <c r="CW527" s="222"/>
      <c r="CX527" s="697"/>
      <c r="DC527" s="222"/>
      <c r="DJ527" s="889"/>
      <c r="DM527" s="890"/>
      <c r="DN527" s="952"/>
      <c r="DO527" s="75"/>
      <c r="DP527" s="962"/>
      <c r="DQ527" s="983"/>
      <c r="DV527" s="889"/>
    </row>
    <row r="528" spans="1:126" s="74" customFormat="1">
      <c r="A528" s="15"/>
      <c r="B528" s="15"/>
      <c r="C528" s="15"/>
      <c r="D528" s="15"/>
      <c r="E528" s="6"/>
      <c r="F528" s="6"/>
      <c r="G528" s="6"/>
      <c r="K528" s="222"/>
      <c r="V528" s="1430"/>
      <c r="AA528" s="223"/>
      <c r="AC528" s="889"/>
      <c r="AF528" s="890"/>
      <c r="AJ528" s="889"/>
      <c r="AN528" s="222"/>
      <c r="BC528" s="223"/>
      <c r="BD528" s="222"/>
      <c r="BH528" s="611"/>
      <c r="BJ528" s="15"/>
      <c r="BK528" s="15"/>
      <c r="BO528" s="223"/>
      <c r="BQ528" s="889"/>
      <c r="BT528" s="890"/>
      <c r="BX528" s="889"/>
      <c r="CB528" s="15"/>
      <c r="CC528" s="697"/>
      <c r="CD528" s="1086"/>
      <c r="CE528" s="15"/>
      <c r="CF528" s="15"/>
      <c r="CG528" s="936"/>
      <c r="CH528" s="15"/>
      <c r="CI528" s="15"/>
      <c r="CJ528" s="15"/>
      <c r="CK528" s="1107"/>
      <c r="CL528" s="22"/>
      <c r="CM528" s="22"/>
      <c r="CN528" s="1107"/>
      <c r="CR528" s="223"/>
      <c r="CS528" s="952"/>
      <c r="CT528" s="1066"/>
      <c r="CU528" s="972"/>
      <c r="CV528" s="983"/>
      <c r="CW528" s="222"/>
      <c r="CX528" s="697"/>
      <c r="DC528" s="222"/>
      <c r="DJ528" s="889"/>
      <c r="DM528" s="890"/>
      <c r="DN528" s="952"/>
      <c r="DO528" s="75"/>
      <c r="DP528" s="962"/>
      <c r="DQ528" s="983"/>
      <c r="DV528" s="889"/>
    </row>
    <row r="529" spans="1:126" s="74" customFormat="1">
      <c r="A529" s="15"/>
      <c r="B529" s="15"/>
      <c r="C529" s="15"/>
      <c r="D529" s="15"/>
      <c r="E529" s="6"/>
      <c r="F529" s="6"/>
      <c r="G529" s="6"/>
      <c r="K529" s="222"/>
      <c r="V529" s="1430"/>
      <c r="AA529" s="223"/>
      <c r="AC529" s="889"/>
      <c r="AF529" s="890"/>
      <c r="AJ529" s="889"/>
      <c r="AN529" s="222"/>
      <c r="BC529" s="223"/>
      <c r="BD529" s="222"/>
      <c r="BH529" s="611"/>
      <c r="BJ529" s="15"/>
      <c r="BK529" s="15"/>
      <c r="BO529" s="223"/>
      <c r="BQ529" s="889"/>
      <c r="BT529" s="890"/>
      <c r="BX529" s="889"/>
      <c r="CB529" s="15"/>
      <c r="CC529" s="697"/>
      <c r="CD529" s="1086"/>
      <c r="CE529" s="15"/>
      <c r="CF529" s="15"/>
      <c r="CG529" s="936"/>
      <c r="CH529" s="15"/>
      <c r="CI529" s="15"/>
      <c r="CJ529" s="15"/>
      <c r="CK529" s="1107"/>
      <c r="CL529" s="22"/>
      <c r="CM529" s="22"/>
      <c r="CN529" s="1107"/>
      <c r="CR529" s="223"/>
      <c r="CS529" s="952"/>
      <c r="CT529" s="1066"/>
      <c r="CU529" s="972"/>
      <c r="CV529" s="983"/>
      <c r="CW529" s="222"/>
      <c r="CX529" s="697"/>
      <c r="DC529" s="222"/>
      <c r="DJ529" s="889"/>
      <c r="DM529" s="890"/>
      <c r="DN529" s="952"/>
      <c r="DO529" s="75"/>
      <c r="DP529" s="962"/>
      <c r="DQ529" s="983"/>
      <c r="DV529" s="889"/>
    </row>
    <row r="530" spans="1:126" s="74" customFormat="1">
      <c r="A530" s="15"/>
      <c r="B530" s="15"/>
      <c r="C530" s="15"/>
      <c r="D530" s="15"/>
      <c r="E530" s="6"/>
      <c r="F530" s="6"/>
      <c r="G530" s="6"/>
      <c r="K530" s="222"/>
      <c r="V530" s="1430"/>
      <c r="AA530" s="223"/>
      <c r="AC530" s="889"/>
      <c r="AF530" s="890"/>
      <c r="AJ530" s="889"/>
      <c r="AN530" s="222"/>
      <c r="BC530" s="223"/>
      <c r="BD530" s="222"/>
      <c r="BH530" s="611"/>
      <c r="BJ530" s="15"/>
      <c r="BK530" s="15"/>
      <c r="BO530" s="223"/>
      <c r="BQ530" s="889"/>
      <c r="BT530" s="890"/>
      <c r="BX530" s="889"/>
      <c r="CB530" s="15"/>
      <c r="CC530" s="697"/>
      <c r="CD530" s="1086"/>
      <c r="CE530" s="15"/>
      <c r="CF530" s="15"/>
      <c r="CG530" s="936"/>
      <c r="CH530" s="15"/>
      <c r="CI530" s="15"/>
      <c r="CJ530" s="15"/>
      <c r="CK530" s="1107"/>
      <c r="CL530" s="22"/>
      <c r="CM530" s="22"/>
      <c r="CN530" s="1107"/>
      <c r="CR530" s="223"/>
      <c r="CS530" s="952"/>
      <c r="CT530" s="1066"/>
      <c r="CU530" s="972"/>
      <c r="CV530" s="983"/>
      <c r="CW530" s="222"/>
      <c r="CX530" s="697"/>
      <c r="DC530" s="222"/>
      <c r="DJ530" s="889"/>
      <c r="DM530" s="890"/>
      <c r="DN530" s="952"/>
      <c r="DO530" s="75"/>
      <c r="DP530" s="962"/>
      <c r="DQ530" s="983"/>
      <c r="DV530" s="889"/>
    </row>
    <row r="531" spans="1:126" s="74" customFormat="1">
      <c r="A531" s="15"/>
      <c r="B531" s="15"/>
      <c r="C531" s="15"/>
      <c r="D531" s="15"/>
      <c r="E531" s="6"/>
      <c r="F531" s="6"/>
      <c r="G531" s="6"/>
      <c r="K531" s="222"/>
      <c r="V531" s="1430"/>
      <c r="AA531" s="223"/>
      <c r="AC531" s="889"/>
      <c r="AF531" s="890"/>
      <c r="AJ531" s="889"/>
      <c r="AN531" s="222"/>
      <c r="BC531" s="223"/>
      <c r="BD531" s="222"/>
      <c r="BH531" s="611"/>
      <c r="BJ531" s="15"/>
      <c r="BK531" s="15"/>
      <c r="BO531" s="223"/>
      <c r="BQ531" s="889"/>
      <c r="BT531" s="890"/>
      <c r="BX531" s="889"/>
      <c r="CB531" s="15"/>
      <c r="CC531" s="697"/>
      <c r="CD531" s="1086"/>
      <c r="CE531" s="15"/>
      <c r="CF531" s="15"/>
      <c r="CG531" s="936"/>
      <c r="CH531" s="15"/>
      <c r="CI531" s="15"/>
      <c r="CJ531" s="15"/>
      <c r="CK531" s="1107"/>
      <c r="CL531" s="22"/>
      <c r="CM531" s="22"/>
      <c r="CN531" s="1107"/>
      <c r="CR531" s="223"/>
      <c r="CS531" s="952"/>
      <c r="CT531" s="1066"/>
      <c r="CU531" s="972"/>
      <c r="CV531" s="983"/>
      <c r="CW531" s="222"/>
      <c r="CX531" s="697"/>
      <c r="DC531" s="222"/>
      <c r="DJ531" s="889"/>
      <c r="DM531" s="890"/>
      <c r="DN531" s="952"/>
      <c r="DO531" s="75"/>
      <c r="DP531" s="962"/>
      <c r="DQ531" s="983"/>
      <c r="DV531" s="889"/>
    </row>
    <row r="532" spans="1:126" s="74" customFormat="1">
      <c r="A532" s="15"/>
      <c r="B532" s="15"/>
      <c r="C532" s="15"/>
      <c r="D532" s="15"/>
      <c r="E532" s="6"/>
      <c r="F532" s="6"/>
      <c r="G532" s="6"/>
      <c r="K532" s="222"/>
      <c r="V532" s="1430"/>
      <c r="AA532" s="223"/>
      <c r="AC532" s="889"/>
      <c r="AF532" s="890"/>
      <c r="AJ532" s="889"/>
      <c r="AN532" s="222"/>
      <c r="BC532" s="223"/>
      <c r="BD532" s="222"/>
      <c r="BH532" s="611"/>
      <c r="BJ532" s="15"/>
      <c r="BK532" s="15"/>
      <c r="BO532" s="223"/>
      <c r="BQ532" s="889"/>
      <c r="BT532" s="890"/>
      <c r="BX532" s="889"/>
      <c r="CB532" s="15"/>
      <c r="CC532" s="697"/>
      <c r="CD532" s="1086"/>
      <c r="CE532" s="15"/>
      <c r="CF532" s="15"/>
      <c r="CG532" s="936"/>
      <c r="CH532" s="15"/>
      <c r="CI532" s="15"/>
      <c r="CJ532" s="15"/>
      <c r="CK532" s="1107"/>
      <c r="CL532" s="22"/>
      <c r="CM532" s="22"/>
      <c r="CN532" s="1107"/>
      <c r="CR532" s="223"/>
      <c r="CS532" s="952"/>
      <c r="CT532" s="1066"/>
      <c r="CU532" s="972"/>
      <c r="CV532" s="983"/>
      <c r="CW532" s="222"/>
      <c r="CX532" s="697"/>
      <c r="DC532" s="222"/>
      <c r="DJ532" s="889"/>
      <c r="DM532" s="890"/>
      <c r="DN532" s="952"/>
      <c r="DO532" s="75"/>
      <c r="DP532" s="962"/>
      <c r="DQ532" s="983"/>
      <c r="DV532" s="889"/>
    </row>
    <row r="533" spans="1:126" s="74" customFormat="1">
      <c r="A533" s="15"/>
      <c r="B533" s="15"/>
      <c r="C533" s="15"/>
      <c r="D533" s="15"/>
      <c r="E533" s="6"/>
      <c r="F533" s="6"/>
      <c r="G533" s="6"/>
      <c r="K533" s="222"/>
      <c r="V533" s="1430"/>
      <c r="AA533" s="223"/>
      <c r="AC533" s="889"/>
      <c r="AF533" s="890"/>
      <c r="AJ533" s="889"/>
      <c r="AN533" s="222"/>
      <c r="BC533" s="223"/>
      <c r="BD533" s="222"/>
      <c r="BH533" s="611"/>
      <c r="BJ533" s="15"/>
      <c r="BK533" s="15"/>
      <c r="BO533" s="223"/>
      <c r="BQ533" s="889"/>
      <c r="BT533" s="890"/>
      <c r="BX533" s="889"/>
      <c r="CB533" s="15"/>
      <c r="CC533" s="697"/>
      <c r="CD533" s="1086"/>
      <c r="CE533" s="15"/>
      <c r="CF533" s="15"/>
      <c r="CG533" s="936"/>
      <c r="CH533" s="15"/>
      <c r="CI533" s="15"/>
      <c r="CJ533" s="15"/>
      <c r="CK533" s="1107"/>
      <c r="CL533" s="22"/>
      <c r="CM533" s="22"/>
      <c r="CN533" s="1107"/>
      <c r="CR533" s="223"/>
      <c r="CS533" s="952"/>
      <c r="CT533" s="1066"/>
      <c r="CU533" s="972"/>
      <c r="CV533" s="983"/>
      <c r="CW533" s="222"/>
      <c r="CX533" s="697"/>
      <c r="DC533" s="222"/>
      <c r="DJ533" s="889"/>
      <c r="DM533" s="890"/>
      <c r="DN533" s="952"/>
      <c r="DO533" s="75"/>
      <c r="DP533" s="962"/>
      <c r="DQ533" s="983"/>
      <c r="DV533" s="889"/>
    </row>
    <row r="534" spans="1:126" s="74" customFormat="1">
      <c r="A534" s="15"/>
      <c r="B534" s="15"/>
      <c r="C534" s="15"/>
      <c r="D534" s="15"/>
      <c r="E534" s="6"/>
      <c r="F534" s="6"/>
      <c r="G534" s="6"/>
      <c r="K534" s="222"/>
      <c r="V534" s="1430"/>
      <c r="AA534" s="223"/>
      <c r="AC534" s="889"/>
      <c r="AF534" s="890"/>
      <c r="AJ534" s="889"/>
      <c r="AN534" s="222"/>
      <c r="BC534" s="223"/>
      <c r="BD534" s="222"/>
      <c r="BH534" s="611"/>
      <c r="BJ534" s="15"/>
      <c r="BK534" s="15"/>
      <c r="BO534" s="223"/>
      <c r="BQ534" s="889"/>
      <c r="BT534" s="890"/>
      <c r="BX534" s="889"/>
      <c r="CB534" s="15"/>
      <c r="CC534" s="697"/>
      <c r="CD534" s="1086"/>
      <c r="CE534" s="15"/>
      <c r="CF534" s="15"/>
      <c r="CG534" s="936"/>
      <c r="CH534" s="15"/>
      <c r="CI534" s="15"/>
      <c r="CJ534" s="15"/>
      <c r="CK534" s="1107"/>
      <c r="CL534" s="22"/>
      <c r="CM534" s="22"/>
      <c r="CN534" s="1107"/>
      <c r="CR534" s="223"/>
      <c r="CS534" s="952"/>
      <c r="CT534" s="1066"/>
      <c r="CU534" s="972"/>
      <c r="CV534" s="983"/>
      <c r="CW534" s="222"/>
      <c r="CX534" s="697"/>
      <c r="DC534" s="222"/>
      <c r="DJ534" s="889"/>
      <c r="DM534" s="890"/>
      <c r="DN534" s="952"/>
      <c r="DO534" s="75"/>
      <c r="DP534" s="962"/>
      <c r="DQ534" s="983"/>
      <c r="DV534" s="889"/>
    </row>
    <row r="535" spans="1:126" s="74" customFormat="1">
      <c r="A535" s="15"/>
      <c r="B535" s="15"/>
      <c r="C535" s="15"/>
      <c r="D535" s="15"/>
      <c r="E535" s="6"/>
      <c r="F535" s="6"/>
      <c r="G535" s="6"/>
      <c r="K535" s="222"/>
      <c r="V535" s="1430"/>
      <c r="AA535" s="223"/>
      <c r="AC535" s="889"/>
      <c r="AF535" s="890"/>
      <c r="AJ535" s="889"/>
      <c r="AN535" s="222"/>
      <c r="BC535" s="223"/>
      <c r="BD535" s="222"/>
      <c r="BH535" s="611"/>
      <c r="BJ535" s="15"/>
      <c r="BK535" s="15"/>
      <c r="BO535" s="223"/>
      <c r="BQ535" s="889"/>
      <c r="BT535" s="890"/>
      <c r="BX535" s="889"/>
      <c r="CB535" s="15"/>
      <c r="CC535" s="697"/>
      <c r="CD535" s="1086"/>
      <c r="CE535" s="15"/>
      <c r="CF535" s="15"/>
      <c r="CG535" s="936"/>
      <c r="CH535" s="15"/>
      <c r="CI535" s="15"/>
      <c r="CJ535" s="15"/>
      <c r="CK535" s="1107"/>
      <c r="CL535" s="22"/>
      <c r="CM535" s="22"/>
      <c r="CN535" s="1107"/>
      <c r="CR535" s="223"/>
      <c r="CS535" s="952"/>
      <c r="CT535" s="1066"/>
      <c r="CU535" s="972"/>
      <c r="CV535" s="983"/>
      <c r="CW535" s="222"/>
      <c r="CX535" s="697"/>
      <c r="DC535" s="222"/>
      <c r="DJ535" s="889"/>
      <c r="DM535" s="890"/>
      <c r="DN535" s="952"/>
      <c r="DO535" s="75"/>
      <c r="DP535" s="962"/>
      <c r="DQ535" s="983"/>
      <c r="DV535" s="889"/>
    </row>
    <row r="536" spans="1:126" s="74" customFormat="1">
      <c r="A536" s="15"/>
      <c r="B536" s="15"/>
      <c r="C536" s="15"/>
      <c r="D536" s="15"/>
      <c r="E536" s="6"/>
      <c r="F536" s="6"/>
      <c r="G536" s="6"/>
      <c r="K536" s="222"/>
      <c r="V536" s="1430"/>
      <c r="AA536" s="223"/>
      <c r="AC536" s="889"/>
      <c r="AF536" s="890"/>
      <c r="AJ536" s="889"/>
      <c r="AN536" s="222"/>
      <c r="BC536" s="223"/>
      <c r="BD536" s="222"/>
      <c r="BH536" s="611"/>
      <c r="BJ536" s="15"/>
      <c r="BK536" s="15"/>
      <c r="BO536" s="223"/>
      <c r="BQ536" s="889"/>
      <c r="BT536" s="890"/>
      <c r="BX536" s="889"/>
      <c r="CB536" s="15"/>
      <c r="CC536" s="697"/>
      <c r="CD536" s="1086"/>
      <c r="CE536" s="15"/>
      <c r="CF536" s="15"/>
      <c r="CG536" s="936"/>
      <c r="CH536" s="15"/>
      <c r="CI536" s="15"/>
      <c r="CJ536" s="15"/>
      <c r="CK536" s="1107"/>
      <c r="CL536" s="22"/>
      <c r="CM536" s="22"/>
      <c r="CN536" s="1107"/>
      <c r="CR536" s="223"/>
      <c r="CS536" s="952"/>
      <c r="CT536" s="1066"/>
      <c r="CU536" s="972"/>
      <c r="CV536" s="983"/>
      <c r="CW536" s="222"/>
      <c r="CX536" s="697"/>
      <c r="DC536" s="222"/>
      <c r="DJ536" s="889"/>
      <c r="DM536" s="890"/>
      <c r="DN536" s="952"/>
      <c r="DO536" s="75"/>
      <c r="DP536" s="962"/>
      <c r="DQ536" s="983"/>
      <c r="DV536" s="889"/>
    </row>
    <row r="537" spans="1:126" s="74" customFormat="1">
      <c r="A537" s="15"/>
      <c r="B537" s="15"/>
      <c r="C537" s="15"/>
      <c r="D537" s="15"/>
      <c r="E537" s="6"/>
      <c r="F537" s="6"/>
      <c r="G537" s="6"/>
      <c r="K537" s="222"/>
      <c r="V537" s="1430"/>
      <c r="AA537" s="223"/>
      <c r="AC537" s="889"/>
      <c r="AF537" s="890"/>
      <c r="AJ537" s="889"/>
      <c r="AN537" s="222"/>
      <c r="BC537" s="223"/>
      <c r="BD537" s="222"/>
      <c r="BH537" s="611"/>
      <c r="BJ537" s="15"/>
      <c r="BK537" s="15"/>
      <c r="BO537" s="223"/>
      <c r="BQ537" s="889"/>
      <c r="BT537" s="890"/>
      <c r="BX537" s="889"/>
      <c r="CB537" s="15"/>
      <c r="CC537" s="697"/>
      <c r="CD537" s="1086"/>
      <c r="CE537" s="15"/>
      <c r="CF537" s="15"/>
      <c r="CG537" s="936"/>
      <c r="CH537" s="15"/>
      <c r="CI537" s="15"/>
      <c r="CJ537" s="15"/>
      <c r="CK537" s="1107"/>
      <c r="CL537" s="22"/>
      <c r="CM537" s="22"/>
      <c r="CN537" s="1107"/>
      <c r="CR537" s="223"/>
      <c r="CS537" s="952"/>
      <c r="CT537" s="1066"/>
      <c r="CU537" s="972"/>
      <c r="CV537" s="983"/>
      <c r="CW537" s="222"/>
      <c r="CX537" s="697"/>
      <c r="DC537" s="222"/>
      <c r="DJ537" s="889"/>
      <c r="DM537" s="890"/>
      <c r="DN537" s="952"/>
      <c r="DO537" s="75"/>
      <c r="DP537" s="962"/>
      <c r="DQ537" s="983"/>
      <c r="DV537" s="889"/>
    </row>
    <row r="538" spans="1:126" s="74" customFormat="1">
      <c r="A538" s="15"/>
      <c r="B538" s="15"/>
      <c r="C538" s="15"/>
      <c r="D538" s="15"/>
      <c r="E538" s="6"/>
      <c r="F538" s="6"/>
      <c r="G538" s="6"/>
      <c r="K538" s="222"/>
      <c r="V538" s="1430"/>
      <c r="AA538" s="223"/>
      <c r="AC538" s="889"/>
      <c r="AF538" s="890"/>
      <c r="AJ538" s="889"/>
      <c r="AN538" s="222"/>
      <c r="BC538" s="223"/>
      <c r="BD538" s="222"/>
      <c r="BH538" s="611"/>
      <c r="BJ538" s="15"/>
      <c r="BK538" s="15"/>
      <c r="BO538" s="223"/>
      <c r="BQ538" s="889"/>
      <c r="BT538" s="890"/>
      <c r="BX538" s="889"/>
      <c r="CB538" s="15"/>
      <c r="CC538" s="697"/>
      <c r="CD538" s="1086"/>
      <c r="CE538" s="15"/>
      <c r="CF538" s="15"/>
      <c r="CG538" s="936"/>
      <c r="CH538" s="15"/>
      <c r="CI538" s="15"/>
      <c r="CJ538" s="15"/>
      <c r="CK538" s="1107"/>
      <c r="CL538" s="22"/>
      <c r="CM538" s="22"/>
      <c r="CN538" s="1107"/>
      <c r="CR538" s="223"/>
      <c r="CS538" s="952"/>
      <c r="CT538" s="1066"/>
      <c r="CU538" s="972"/>
      <c r="CV538" s="983"/>
      <c r="CW538" s="222"/>
      <c r="CX538" s="697"/>
      <c r="DC538" s="222"/>
      <c r="DJ538" s="889"/>
      <c r="DM538" s="890"/>
      <c r="DN538" s="952"/>
      <c r="DO538" s="75"/>
      <c r="DP538" s="962"/>
      <c r="DQ538" s="983"/>
      <c r="DV538" s="889"/>
    </row>
    <row r="539" spans="1:126" s="74" customFormat="1">
      <c r="A539" s="15"/>
      <c r="B539" s="15"/>
      <c r="C539" s="15"/>
      <c r="D539" s="15"/>
      <c r="E539" s="6"/>
      <c r="F539" s="6"/>
      <c r="G539" s="6"/>
      <c r="K539" s="222"/>
      <c r="V539" s="1430"/>
      <c r="AA539" s="223"/>
      <c r="AC539" s="889"/>
      <c r="AF539" s="890"/>
      <c r="AJ539" s="889"/>
      <c r="AN539" s="222"/>
      <c r="BC539" s="223"/>
      <c r="BD539" s="222"/>
      <c r="BH539" s="611"/>
      <c r="BJ539" s="15"/>
      <c r="BK539" s="15"/>
      <c r="BO539" s="223"/>
      <c r="BQ539" s="889"/>
      <c r="BT539" s="890"/>
      <c r="BX539" s="889"/>
      <c r="CB539" s="15"/>
      <c r="CC539" s="697"/>
      <c r="CD539" s="1086"/>
      <c r="CE539" s="15"/>
      <c r="CF539" s="15"/>
      <c r="CG539" s="936"/>
      <c r="CH539" s="15"/>
      <c r="CI539" s="15"/>
      <c r="CJ539" s="15"/>
      <c r="CK539" s="1107"/>
      <c r="CL539" s="22"/>
      <c r="CM539" s="22"/>
      <c r="CN539" s="1107"/>
      <c r="CR539" s="223"/>
      <c r="CS539" s="952"/>
      <c r="CT539" s="1066"/>
      <c r="CU539" s="972"/>
      <c r="CV539" s="983"/>
      <c r="CW539" s="222"/>
      <c r="CX539" s="697"/>
      <c r="DC539" s="222"/>
      <c r="DJ539" s="889"/>
      <c r="DM539" s="890"/>
      <c r="DN539" s="952"/>
      <c r="DO539" s="75"/>
      <c r="DP539" s="962"/>
      <c r="DQ539" s="983"/>
      <c r="DV539" s="889"/>
    </row>
    <row r="540" spans="1:126" s="74" customFormat="1">
      <c r="A540" s="15"/>
      <c r="B540" s="15"/>
      <c r="C540" s="15"/>
      <c r="D540" s="15"/>
      <c r="E540" s="6"/>
      <c r="F540" s="6"/>
      <c r="G540" s="6"/>
      <c r="K540" s="222"/>
      <c r="V540" s="1430"/>
      <c r="AA540" s="223"/>
      <c r="AC540" s="889"/>
      <c r="AF540" s="890"/>
      <c r="AJ540" s="889"/>
      <c r="AN540" s="222"/>
      <c r="BC540" s="223"/>
      <c r="BD540" s="222"/>
      <c r="BH540" s="611"/>
      <c r="BJ540" s="15"/>
      <c r="BK540" s="15"/>
      <c r="BO540" s="223"/>
      <c r="BQ540" s="889"/>
      <c r="BT540" s="890"/>
      <c r="BX540" s="889"/>
      <c r="CB540" s="15"/>
      <c r="CC540" s="697"/>
      <c r="CD540" s="1086"/>
      <c r="CE540" s="15"/>
      <c r="CF540" s="15"/>
      <c r="CG540" s="936"/>
      <c r="CH540" s="15"/>
      <c r="CI540" s="15"/>
      <c r="CJ540" s="15"/>
      <c r="CK540" s="1107"/>
      <c r="CL540" s="22"/>
      <c r="CM540" s="22"/>
      <c r="CN540" s="1107"/>
      <c r="CR540" s="223"/>
      <c r="CS540" s="952"/>
      <c r="CT540" s="1066"/>
      <c r="CU540" s="972"/>
      <c r="CV540" s="983"/>
      <c r="CW540" s="222"/>
      <c r="CX540" s="697"/>
      <c r="DC540" s="222"/>
      <c r="DJ540" s="889"/>
      <c r="DM540" s="890"/>
      <c r="DN540" s="952"/>
      <c r="DO540" s="75"/>
      <c r="DP540" s="962"/>
      <c r="DQ540" s="983"/>
      <c r="DV540" s="889"/>
    </row>
    <row r="541" spans="1:126" s="74" customFormat="1">
      <c r="A541" s="15"/>
      <c r="B541" s="15"/>
      <c r="C541" s="15"/>
      <c r="D541" s="15"/>
      <c r="E541" s="6"/>
      <c r="F541" s="6"/>
      <c r="G541" s="6"/>
      <c r="K541" s="222"/>
      <c r="V541" s="1430"/>
      <c r="AA541" s="223"/>
      <c r="AC541" s="889"/>
      <c r="AF541" s="890"/>
      <c r="AJ541" s="889"/>
      <c r="AN541" s="222"/>
      <c r="BC541" s="223"/>
      <c r="BD541" s="222"/>
      <c r="BH541" s="611"/>
      <c r="BJ541" s="15"/>
      <c r="BK541" s="15"/>
      <c r="BO541" s="223"/>
      <c r="BQ541" s="889"/>
      <c r="BT541" s="890"/>
      <c r="BX541" s="889"/>
      <c r="CB541" s="15"/>
      <c r="CC541" s="697"/>
      <c r="CD541" s="1086"/>
      <c r="CE541" s="15"/>
      <c r="CF541" s="15"/>
      <c r="CG541" s="936"/>
      <c r="CH541" s="15"/>
      <c r="CI541" s="15"/>
      <c r="CJ541" s="15"/>
      <c r="CK541" s="1107"/>
      <c r="CL541" s="22"/>
      <c r="CM541" s="22"/>
      <c r="CN541" s="1107"/>
      <c r="CR541" s="223"/>
      <c r="CS541" s="952"/>
      <c r="CT541" s="1066"/>
      <c r="CU541" s="972"/>
      <c r="CV541" s="983"/>
      <c r="CW541" s="222"/>
      <c r="CX541" s="697"/>
      <c r="DC541" s="222"/>
      <c r="DJ541" s="889"/>
      <c r="DM541" s="890"/>
      <c r="DN541" s="952"/>
      <c r="DO541" s="75"/>
      <c r="DP541" s="962"/>
      <c r="DQ541" s="983"/>
      <c r="DV541" s="889"/>
    </row>
    <row r="542" spans="1:126" s="74" customFormat="1">
      <c r="A542" s="15"/>
      <c r="B542" s="15"/>
      <c r="C542" s="15"/>
      <c r="D542" s="15"/>
      <c r="E542" s="6"/>
      <c r="F542" s="6"/>
      <c r="G542" s="6"/>
      <c r="K542" s="222"/>
      <c r="V542" s="1430"/>
      <c r="AA542" s="223"/>
      <c r="AC542" s="889"/>
      <c r="AF542" s="890"/>
      <c r="AJ542" s="889"/>
      <c r="AN542" s="222"/>
      <c r="BC542" s="223"/>
      <c r="BD542" s="222"/>
      <c r="BH542" s="611"/>
      <c r="BJ542" s="15"/>
      <c r="BK542" s="15"/>
      <c r="BO542" s="223"/>
      <c r="BQ542" s="889"/>
      <c r="BT542" s="890"/>
      <c r="BX542" s="889"/>
      <c r="CB542" s="15"/>
      <c r="CC542" s="697"/>
      <c r="CD542" s="1086"/>
      <c r="CE542" s="15"/>
      <c r="CF542" s="15"/>
      <c r="CG542" s="936"/>
      <c r="CH542" s="15"/>
      <c r="CI542" s="15"/>
      <c r="CJ542" s="15"/>
      <c r="CK542" s="1107"/>
      <c r="CL542" s="22"/>
      <c r="CM542" s="22"/>
      <c r="CN542" s="1107"/>
      <c r="CR542" s="223"/>
      <c r="CS542" s="952"/>
      <c r="CT542" s="1066"/>
      <c r="CU542" s="972"/>
      <c r="CV542" s="983"/>
      <c r="CW542" s="222"/>
      <c r="CX542" s="697"/>
      <c r="DC542" s="222"/>
      <c r="DJ542" s="889"/>
      <c r="DM542" s="890"/>
      <c r="DN542" s="952"/>
      <c r="DO542" s="75"/>
      <c r="DP542" s="962"/>
      <c r="DQ542" s="983"/>
      <c r="DV542" s="889"/>
    </row>
    <row r="543" spans="1:126" s="74" customFormat="1">
      <c r="A543" s="15"/>
      <c r="B543" s="15"/>
      <c r="C543" s="15"/>
      <c r="D543" s="15"/>
      <c r="E543" s="6"/>
      <c r="F543" s="6"/>
      <c r="G543" s="6"/>
      <c r="K543" s="222"/>
      <c r="V543" s="1430"/>
      <c r="AA543" s="223"/>
      <c r="AC543" s="889"/>
      <c r="AF543" s="890"/>
      <c r="AJ543" s="889"/>
      <c r="AN543" s="222"/>
      <c r="BC543" s="223"/>
      <c r="BD543" s="222"/>
      <c r="BH543" s="611"/>
      <c r="BJ543" s="15"/>
      <c r="BK543" s="15"/>
      <c r="BO543" s="223"/>
      <c r="BQ543" s="889"/>
      <c r="BT543" s="890"/>
      <c r="BX543" s="889"/>
      <c r="CB543" s="15"/>
      <c r="CC543" s="697"/>
      <c r="CD543" s="1086"/>
      <c r="CE543" s="15"/>
      <c r="CF543" s="15"/>
      <c r="CG543" s="936"/>
      <c r="CH543" s="15"/>
      <c r="CI543" s="15"/>
      <c r="CJ543" s="15"/>
      <c r="CK543" s="1107"/>
      <c r="CL543" s="22"/>
      <c r="CM543" s="22"/>
      <c r="CN543" s="1107"/>
      <c r="CR543" s="223"/>
      <c r="CS543" s="952"/>
      <c r="CT543" s="1066"/>
      <c r="CU543" s="972"/>
      <c r="CV543" s="983"/>
      <c r="CW543" s="222"/>
      <c r="CX543" s="697"/>
      <c r="DC543" s="222"/>
      <c r="DJ543" s="889"/>
      <c r="DM543" s="890"/>
      <c r="DN543" s="952"/>
      <c r="DO543" s="75"/>
      <c r="DP543" s="962"/>
      <c r="DQ543" s="983"/>
      <c r="DV543" s="889"/>
    </row>
    <row r="544" spans="1:126" s="74" customFormat="1">
      <c r="A544" s="15"/>
      <c r="B544" s="15"/>
      <c r="C544" s="15"/>
      <c r="D544" s="15"/>
      <c r="E544" s="6"/>
      <c r="F544" s="6"/>
      <c r="G544" s="6"/>
      <c r="K544" s="222"/>
      <c r="V544" s="1430"/>
      <c r="AA544" s="223"/>
      <c r="AC544" s="889"/>
      <c r="AF544" s="890"/>
      <c r="AJ544" s="889"/>
      <c r="AN544" s="222"/>
      <c r="BC544" s="223"/>
      <c r="BD544" s="222"/>
      <c r="BH544" s="611"/>
      <c r="BJ544" s="15"/>
      <c r="BK544" s="15"/>
      <c r="BO544" s="223"/>
      <c r="BQ544" s="889"/>
      <c r="BT544" s="890"/>
      <c r="BX544" s="889"/>
      <c r="CB544" s="15"/>
      <c r="CC544" s="697"/>
      <c r="CD544" s="1086"/>
      <c r="CE544" s="15"/>
      <c r="CF544" s="15"/>
      <c r="CG544" s="936"/>
      <c r="CH544" s="15"/>
      <c r="CI544" s="15"/>
      <c r="CJ544" s="15"/>
      <c r="CK544" s="1107"/>
      <c r="CL544" s="22"/>
      <c r="CM544" s="22"/>
      <c r="CN544" s="1107"/>
      <c r="CR544" s="223"/>
      <c r="CS544" s="952"/>
      <c r="CT544" s="1066"/>
      <c r="CU544" s="972"/>
      <c r="CV544" s="983"/>
      <c r="CW544" s="222"/>
      <c r="CX544" s="697"/>
      <c r="DC544" s="222"/>
      <c r="DJ544" s="889"/>
      <c r="DM544" s="890"/>
      <c r="DN544" s="952"/>
      <c r="DO544" s="75"/>
      <c r="DP544" s="962"/>
      <c r="DQ544" s="983"/>
      <c r="DV544" s="889"/>
    </row>
    <row r="545" spans="1:126" s="74" customFormat="1">
      <c r="A545" s="15"/>
      <c r="B545" s="15"/>
      <c r="C545" s="15"/>
      <c r="D545" s="15"/>
      <c r="E545" s="6"/>
      <c r="F545" s="6"/>
      <c r="G545" s="6"/>
      <c r="K545" s="222"/>
      <c r="V545" s="1430"/>
      <c r="AA545" s="223"/>
      <c r="AC545" s="889"/>
      <c r="AF545" s="890"/>
      <c r="AJ545" s="889"/>
      <c r="AN545" s="222"/>
      <c r="BC545" s="223"/>
      <c r="BD545" s="222"/>
      <c r="BH545" s="611"/>
      <c r="BJ545" s="15"/>
      <c r="BK545" s="15"/>
      <c r="BO545" s="223"/>
      <c r="BQ545" s="889"/>
      <c r="BT545" s="890"/>
      <c r="BX545" s="889"/>
      <c r="CB545" s="15"/>
      <c r="CC545" s="697"/>
      <c r="CD545" s="1086"/>
      <c r="CE545" s="15"/>
      <c r="CF545" s="15"/>
      <c r="CG545" s="936"/>
      <c r="CH545" s="15"/>
      <c r="CI545" s="15"/>
      <c r="CJ545" s="15"/>
      <c r="CK545" s="1107"/>
      <c r="CL545" s="22"/>
      <c r="CM545" s="22"/>
      <c r="CN545" s="1107"/>
      <c r="CR545" s="223"/>
      <c r="CS545" s="952"/>
      <c r="CT545" s="1066"/>
      <c r="CU545" s="972"/>
      <c r="CV545" s="983"/>
      <c r="CW545" s="222"/>
      <c r="CX545" s="697"/>
      <c r="DC545" s="222"/>
      <c r="DJ545" s="889"/>
      <c r="DM545" s="890"/>
      <c r="DN545" s="952"/>
      <c r="DO545" s="75"/>
      <c r="DP545" s="962"/>
      <c r="DQ545" s="983"/>
      <c r="DV545" s="889"/>
    </row>
    <row r="546" spans="1:126" s="74" customFormat="1">
      <c r="A546" s="15"/>
      <c r="B546" s="15"/>
      <c r="C546" s="15"/>
      <c r="D546" s="15"/>
      <c r="E546" s="6"/>
      <c r="F546" s="6"/>
      <c r="G546" s="6"/>
      <c r="K546" s="222"/>
      <c r="V546" s="1430"/>
      <c r="AA546" s="223"/>
      <c r="AC546" s="889"/>
      <c r="AF546" s="890"/>
      <c r="AJ546" s="889"/>
      <c r="AN546" s="222"/>
      <c r="BC546" s="223"/>
      <c r="BD546" s="222"/>
      <c r="BH546" s="611"/>
      <c r="BJ546" s="15"/>
      <c r="BK546" s="15"/>
      <c r="BO546" s="223"/>
      <c r="BQ546" s="889"/>
      <c r="BT546" s="890"/>
      <c r="BX546" s="889"/>
      <c r="CB546" s="15"/>
      <c r="CC546" s="697"/>
      <c r="CD546" s="1086"/>
      <c r="CE546" s="15"/>
      <c r="CF546" s="15"/>
      <c r="CG546" s="936"/>
      <c r="CH546" s="15"/>
      <c r="CI546" s="15"/>
      <c r="CJ546" s="15"/>
      <c r="CK546" s="1107"/>
      <c r="CL546" s="22"/>
      <c r="CM546" s="22"/>
      <c r="CN546" s="1107"/>
      <c r="CR546" s="223"/>
      <c r="CS546" s="952"/>
      <c r="CT546" s="1066"/>
      <c r="CU546" s="972"/>
      <c r="CV546" s="983"/>
      <c r="CW546" s="222"/>
      <c r="CX546" s="697"/>
      <c r="DC546" s="222"/>
      <c r="DJ546" s="889"/>
      <c r="DM546" s="890"/>
      <c r="DN546" s="952"/>
      <c r="DO546" s="75"/>
      <c r="DP546" s="962"/>
      <c r="DQ546" s="983"/>
      <c r="DV546" s="889"/>
    </row>
    <row r="547" spans="1:126" s="74" customFormat="1">
      <c r="A547" s="15"/>
      <c r="B547" s="15"/>
      <c r="C547" s="15"/>
      <c r="D547" s="15"/>
      <c r="E547" s="6"/>
      <c r="F547" s="6"/>
      <c r="G547" s="6"/>
      <c r="K547" s="222"/>
      <c r="V547" s="1430"/>
      <c r="AA547" s="223"/>
      <c r="AC547" s="889"/>
      <c r="AF547" s="890"/>
      <c r="AJ547" s="889"/>
      <c r="AN547" s="222"/>
      <c r="BC547" s="223"/>
      <c r="BD547" s="222"/>
      <c r="BH547" s="611"/>
      <c r="BJ547" s="15"/>
      <c r="BK547" s="15"/>
      <c r="BO547" s="223"/>
      <c r="BQ547" s="889"/>
      <c r="BT547" s="890"/>
      <c r="BX547" s="889"/>
      <c r="CB547" s="15"/>
      <c r="CC547" s="697"/>
      <c r="CD547" s="1086"/>
      <c r="CE547" s="15"/>
      <c r="CF547" s="15"/>
      <c r="CG547" s="936"/>
      <c r="CH547" s="15"/>
      <c r="CI547" s="15"/>
      <c r="CJ547" s="15"/>
      <c r="CK547" s="1107"/>
      <c r="CL547" s="22"/>
      <c r="CM547" s="22"/>
      <c r="CN547" s="1107"/>
      <c r="CR547" s="223"/>
      <c r="CS547" s="952"/>
      <c r="CT547" s="1066"/>
      <c r="CU547" s="972"/>
      <c r="CV547" s="983"/>
      <c r="CW547" s="222"/>
      <c r="CX547" s="697"/>
      <c r="DC547" s="222"/>
      <c r="DJ547" s="889"/>
      <c r="DM547" s="890"/>
      <c r="DN547" s="952"/>
      <c r="DO547" s="75"/>
      <c r="DP547" s="962"/>
      <c r="DQ547" s="983"/>
      <c r="DV547" s="889"/>
    </row>
    <row r="548" spans="1:126" s="74" customFormat="1">
      <c r="A548" s="15"/>
      <c r="B548" s="15"/>
      <c r="C548" s="15"/>
      <c r="D548" s="15"/>
      <c r="E548" s="6"/>
      <c r="F548" s="6"/>
      <c r="G548" s="6"/>
      <c r="K548" s="222"/>
      <c r="V548" s="1430"/>
      <c r="AA548" s="223"/>
      <c r="AC548" s="889"/>
      <c r="AF548" s="890"/>
      <c r="AJ548" s="889"/>
      <c r="AN548" s="222"/>
      <c r="BC548" s="223"/>
      <c r="BD548" s="222"/>
      <c r="BH548" s="611"/>
      <c r="BJ548" s="15"/>
      <c r="BK548" s="15"/>
      <c r="BO548" s="223"/>
      <c r="BQ548" s="889"/>
      <c r="BT548" s="890"/>
      <c r="BX548" s="889"/>
      <c r="CB548" s="15"/>
      <c r="CC548" s="697"/>
      <c r="CD548" s="1086"/>
      <c r="CE548" s="15"/>
      <c r="CF548" s="15"/>
      <c r="CG548" s="936"/>
      <c r="CH548" s="15"/>
      <c r="CI548" s="15"/>
      <c r="CJ548" s="15"/>
      <c r="CK548" s="1107"/>
      <c r="CL548" s="22"/>
      <c r="CM548" s="22"/>
      <c r="CN548" s="1107"/>
      <c r="CR548" s="223"/>
      <c r="CS548" s="952"/>
      <c r="CT548" s="1066"/>
      <c r="CU548" s="972"/>
      <c r="CV548" s="983"/>
      <c r="CW548" s="222"/>
      <c r="CX548" s="697"/>
      <c r="DC548" s="222"/>
      <c r="DJ548" s="889"/>
      <c r="DM548" s="890"/>
      <c r="DN548" s="952"/>
      <c r="DO548" s="75"/>
      <c r="DP548" s="962"/>
      <c r="DQ548" s="983"/>
      <c r="DV548" s="889"/>
    </row>
    <row r="549" spans="1:126" s="74" customFormat="1">
      <c r="A549" s="15"/>
      <c r="B549" s="15"/>
      <c r="C549" s="15"/>
      <c r="D549" s="15"/>
      <c r="E549" s="6"/>
      <c r="F549" s="6"/>
      <c r="G549" s="6"/>
      <c r="K549" s="222"/>
      <c r="V549" s="1430"/>
      <c r="AA549" s="223"/>
      <c r="AC549" s="889"/>
      <c r="AF549" s="890"/>
      <c r="AJ549" s="889"/>
      <c r="AN549" s="222"/>
      <c r="BC549" s="223"/>
      <c r="BD549" s="222"/>
      <c r="BH549" s="611"/>
      <c r="BJ549" s="15"/>
      <c r="BK549" s="15"/>
      <c r="BO549" s="223"/>
      <c r="BQ549" s="889"/>
      <c r="BT549" s="890"/>
      <c r="BX549" s="889"/>
      <c r="CB549" s="15"/>
      <c r="CC549" s="697"/>
      <c r="CD549" s="1086"/>
      <c r="CE549" s="15"/>
      <c r="CF549" s="15"/>
      <c r="CG549" s="936"/>
      <c r="CH549" s="15"/>
      <c r="CI549" s="15"/>
      <c r="CJ549" s="15"/>
      <c r="CK549" s="1107"/>
      <c r="CL549" s="22"/>
      <c r="CM549" s="22"/>
      <c r="CN549" s="1107"/>
      <c r="CR549" s="223"/>
      <c r="CS549" s="952"/>
      <c r="CT549" s="1066"/>
      <c r="CU549" s="972"/>
      <c r="CV549" s="983"/>
      <c r="CW549" s="222"/>
      <c r="CX549" s="697"/>
      <c r="DC549" s="222"/>
      <c r="DJ549" s="889"/>
      <c r="DM549" s="890"/>
      <c r="DN549" s="952"/>
      <c r="DO549" s="75"/>
      <c r="DP549" s="962"/>
      <c r="DQ549" s="983"/>
      <c r="DV549" s="889"/>
    </row>
    <row r="550" spans="1:126" s="74" customFormat="1">
      <c r="A550" s="15"/>
      <c r="B550" s="15"/>
      <c r="C550" s="15"/>
      <c r="D550" s="15"/>
      <c r="E550" s="6"/>
      <c r="F550" s="6"/>
      <c r="G550" s="6"/>
      <c r="K550" s="222"/>
      <c r="V550" s="1430"/>
      <c r="AA550" s="223"/>
      <c r="AC550" s="889"/>
      <c r="AF550" s="890"/>
      <c r="AJ550" s="889"/>
      <c r="AN550" s="222"/>
      <c r="BC550" s="223"/>
      <c r="BD550" s="222"/>
      <c r="BH550" s="611"/>
      <c r="BJ550" s="15"/>
      <c r="BK550" s="15"/>
      <c r="BO550" s="223"/>
      <c r="BQ550" s="889"/>
      <c r="BT550" s="890"/>
      <c r="BX550" s="889"/>
      <c r="CB550" s="15"/>
      <c r="CC550" s="697"/>
      <c r="CD550" s="1086"/>
      <c r="CE550" s="15"/>
      <c r="CF550" s="15"/>
      <c r="CG550" s="936"/>
      <c r="CH550" s="15"/>
      <c r="CI550" s="15"/>
      <c r="CJ550" s="15"/>
      <c r="CK550" s="1107"/>
      <c r="CL550" s="22"/>
      <c r="CM550" s="22"/>
      <c r="CN550" s="1107"/>
      <c r="CR550" s="223"/>
      <c r="CS550" s="952"/>
      <c r="CT550" s="1066"/>
      <c r="CU550" s="972"/>
      <c r="CV550" s="983"/>
      <c r="CW550" s="222"/>
      <c r="CX550" s="697"/>
      <c r="DC550" s="222"/>
      <c r="DJ550" s="889"/>
      <c r="DM550" s="890"/>
      <c r="DN550" s="952"/>
      <c r="DO550" s="75"/>
      <c r="DP550" s="962"/>
      <c r="DQ550" s="983"/>
      <c r="DV550" s="889"/>
    </row>
    <row r="551" spans="1:126" s="74" customFormat="1">
      <c r="A551" s="15"/>
      <c r="B551" s="15"/>
      <c r="C551" s="15"/>
      <c r="D551" s="15"/>
      <c r="E551" s="6"/>
      <c r="F551" s="6"/>
      <c r="G551" s="6"/>
      <c r="K551" s="222"/>
      <c r="V551" s="1430"/>
      <c r="AA551" s="223"/>
      <c r="AC551" s="889"/>
      <c r="AF551" s="890"/>
      <c r="AJ551" s="889"/>
      <c r="AN551" s="222"/>
      <c r="BC551" s="223"/>
      <c r="BD551" s="222"/>
      <c r="BH551" s="611"/>
      <c r="BJ551" s="15"/>
      <c r="BK551" s="15"/>
      <c r="BO551" s="223"/>
      <c r="BQ551" s="889"/>
      <c r="BT551" s="890"/>
      <c r="BX551" s="889"/>
      <c r="CB551" s="15"/>
      <c r="CC551" s="697"/>
      <c r="CD551" s="1086"/>
      <c r="CE551" s="15"/>
      <c r="CF551" s="15"/>
      <c r="CG551" s="936"/>
      <c r="CH551" s="15"/>
      <c r="CI551" s="15"/>
      <c r="CJ551" s="15"/>
      <c r="CK551" s="1107"/>
      <c r="CL551" s="22"/>
      <c r="CM551" s="22"/>
      <c r="CN551" s="1107"/>
      <c r="CR551" s="223"/>
      <c r="CS551" s="952"/>
      <c r="CT551" s="1066"/>
      <c r="CU551" s="972"/>
      <c r="CV551" s="983"/>
      <c r="CW551" s="222"/>
      <c r="CX551" s="697"/>
      <c r="DC551" s="222"/>
      <c r="DJ551" s="889"/>
      <c r="DM551" s="890"/>
      <c r="DN551" s="952"/>
      <c r="DO551" s="75"/>
      <c r="DP551" s="962"/>
      <c r="DQ551" s="983"/>
      <c r="DV551" s="889"/>
    </row>
    <row r="552" spans="1:126" s="74" customFormat="1">
      <c r="A552" s="15"/>
      <c r="B552" s="15"/>
      <c r="C552" s="15"/>
      <c r="D552" s="15"/>
      <c r="E552" s="6"/>
      <c r="F552" s="6"/>
      <c r="G552" s="6"/>
      <c r="K552" s="222"/>
      <c r="V552" s="1430"/>
      <c r="AA552" s="223"/>
      <c r="AC552" s="889"/>
      <c r="AF552" s="890"/>
      <c r="AJ552" s="889"/>
      <c r="AN552" s="222"/>
      <c r="BC552" s="223"/>
      <c r="BD552" s="222"/>
      <c r="BH552" s="611"/>
      <c r="BJ552" s="15"/>
      <c r="BK552" s="15"/>
      <c r="BO552" s="223"/>
      <c r="BQ552" s="889"/>
      <c r="BT552" s="890"/>
      <c r="BX552" s="889"/>
      <c r="CB552" s="15"/>
      <c r="CC552" s="697"/>
      <c r="CD552" s="1086"/>
      <c r="CE552" s="15"/>
      <c r="CF552" s="15"/>
      <c r="CG552" s="936"/>
      <c r="CH552" s="15"/>
      <c r="CI552" s="15"/>
      <c r="CJ552" s="15"/>
      <c r="CK552" s="1107"/>
      <c r="CL552" s="22"/>
      <c r="CM552" s="22"/>
      <c r="CN552" s="1107"/>
      <c r="CR552" s="223"/>
      <c r="CS552" s="952"/>
      <c r="CT552" s="1066"/>
      <c r="CU552" s="972"/>
      <c r="CV552" s="983"/>
      <c r="CW552" s="222"/>
      <c r="CX552" s="697"/>
      <c r="DC552" s="222"/>
      <c r="DJ552" s="889"/>
      <c r="DM552" s="890"/>
      <c r="DN552" s="952"/>
      <c r="DO552" s="75"/>
      <c r="DP552" s="962"/>
      <c r="DQ552" s="983"/>
      <c r="DV552" s="889"/>
    </row>
    <row r="553" spans="1:126" s="74" customFormat="1">
      <c r="A553" s="15"/>
      <c r="B553" s="15"/>
      <c r="C553" s="15"/>
      <c r="D553" s="15"/>
      <c r="E553" s="6"/>
      <c r="F553" s="6"/>
      <c r="G553" s="6"/>
      <c r="K553" s="222"/>
      <c r="V553" s="1430"/>
      <c r="AA553" s="223"/>
      <c r="AC553" s="889"/>
      <c r="AF553" s="890"/>
      <c r="AJ553" s="889"/>
      <c r="AN553" s="222"/>
      <c r="BC553" s="223"/>
      <c r="BD553" s="222"/>
      <c r="BH553" s="611"/>
      <c r="BJ553" s="15"/>
      <c r="BK553" s="15"/>
      <c r="BO553" s="223"/>
      <c r="BQ553" s="889"/>
      <c r="BT553" s="890"/>
      <c r="BX553" s="889"/>
      <c r="CB553" s="15"/>
      <c r="CC553" s="697"/>
      <c r="CD553" s="1086"/>
      <c r="CE553" s="15"/>
      <c r="CF553" s="15"/>
      <c r="CG553" s="936"/>
      <c r="CH553" s="15"/>
      <c r="CI553" s="15"/>
      <c r="CJ553" s="15"/>
      <c r="CK553" s="1107"/>
      <c r="CL553" s="22"/>
      <c r="CM553" s="22"/>
      <c r="CN553" s="1107"/>
      <c r="CR553" s="223"/>
      <c r="CS553" s="952"/>
      <c r="CT553" s="1066"/>
      <c r="CU553" s="972"/>
      <c r="CV553" s="983"/>
      <c r="CW553" s="222"/>
      <c r="CX553" s="697"/>
      <c r="DC553" s="222"/>
      <c r="DJ553" s="889"/>
      <c r="DM553" s="890"/>
      <c r="DN553" s="952"/>
      <c r="DO553" s="75"/>
      <c r="DP553" s="962"/>
      <c r="DQ553" s="983"/>
      <c r="DV553" s="889"/>
    </row>
    <row r="554" spans="1:126" s="74" customFormat="1">
      <c r="A554" s="15"/>
      <c r="B554" s="15"/>
      <c r="C554" s="15"/>
      <c r="D554" s="15"/>
      <c r="E554" s="6"/>
      <c r="F554" s="6"/>
      <c r="G554" s="6"/>
      <c r="K554" s="222"/>
      <c r="V554" s="1430"/>
      <c r="AA554" s="223"/>
      <c r="AC554" s="889"/>
      <c r="AF554" s="890"/>
      <c r="AJ554" s="889"/>
      <c r="AN554" s="222"/>
      <c r="BC554" s="223"/>
      <c r="BD554" s="222"/>
      <c r="BH554" s="611"/>
      <c r="BJ554" s="15"/>
      <c r="BK554" s="15"/>
      <c r="BO554" s="223"/>
      <c r="BQ554" s="889"/>
      <c r="BT554" s="890"/>
      <c r="BX554" s="889"/>
      <c r="CB554" s="15"/>
      <c r="CC554" s="697"/>
      <c r="CD554" s="1086"/>
      <c r="CE554" s="15"/>
      <c r="CF554" s="15"/>
      <c r="CG554" s="936"/>
      <c r="CH554" s="15"/>
      <c r="CI554" s="15"/>
      <c r="CJ554" s="15"/>
      <c r="CK554" s="1107"/>
      <c r="CL554" s="22"/>
      <c r="CM554" s="22"/>
      <c r="CN554" s="1107"/>
      <c r="CR554" s="223"/>
      <c r="CS554" s="952"/>
      <c r="CT554" s="1066"/>
      <c r="CU554" s="972"/>
      <c r="CV554" s="983"/>
      <c r="CW554" s="222"/>
      <c r="CX554" s="697"/>
      <c r="DC554" s="222"/>
      <c r="DJ554" s="889"/>
      <c r="DM554" s="890"/>
      <c r="DN554" s="952"/>
      <c r="DO554" s="75"/>
      <c r="DP554" s="962"/>
      <c r="DQ554" s="983"/>
      <c r="DV554" s="889"/>
    </row>
    <row r="555" spans="1:126" s="74" customFormat="1">
      <c r="A555" s="15"/>
      <c r="B555" s="15"/>
      <c r="C555" s="15"/>
      <c r="D555" s="15"/>
      <c r="E555" s="6"/>
      <c r="F555" s="6"/>
      <c r="G555" s="6"/>
      <c r="K555" s="222"/>
      <c r="V555" s="1430"/>
      <c r="AA555" s="223"/>
      <c r="AC555" s="889"/>
      <c r="AF555" s="890"/>
      <c r="AJ555" s="889"/>
      <c r="AN555" s="222"/>
      <c r="BC555" s="223"/>
      <c r="BD555" s="222"/>
      <c r="BH555" s="611"/>
      <c r="BJ555" s="15"/>
      <c r="BK555" s="15"/>
      <c r="BO555" s="223"/>
      <c r="BQ555" s="889"/>
      <c r="BT555" s="890"/>
      <c r="BX555" s="889"/>
      <c r="CB555" s="15"/>
      <c r="CC555" s="697"/>
      <c r="CD555" s="1086"/>
      <c r="CE555" s="15"/>
      <c r="CF555" s="15"/>
      <c r="CG555" s="936"/>
      <c r="CH555" s="15"/>
      <c r="CI555" s="15"/>
      <c r="CJ555" s="15"/>
      <c r="CK555" s="1107"/>
      <c r="CL555" s="22"/>
      <c r="CM555" s="22"/>
      <c r="CN555" s="1107"/>
      <c r="CR555" s="223"/>
      <c r="CS555" s="952"/>
      <c r="CT555" s="1066"/>
      <c r="CU555" s="972"/>
      <c r="CV555" s="983"/>
      <c r="CW555" s="222"/>
      <c r="CX555" s="697"/>
      <c r="DC555" s="222"/>
      <c r="DJ555" s="889"/>
      <c r="DM555" s="890"/>
      <c r="DN555" s="952"/>
      <c r="DO555" s="75"/>
      <c r="DP555" s="962"/>
      <c r="DQ555" s="983"/>
      <c r="DV555" s="889"/>
    </row>
    <row r="556" spans="1:126" s="74" customFormat="1">
      <c r="A556" s="15"/>
      <c r="B556" s="15"/>
      <c r="C556" s="15"/>
      <c r="D556" s="15"/>
      <c r="E556" s="6"/>
      <c r="F556" s="6"/>
      <c r="G556" s="6"/>
      <c r="K556" s="222"/>
      <c r="V556" s="1430"/>
      <c r="AA556" s="223"/>
      <c r="AC556" s="889"/>
      <c r="AF556" s="890"/>
      <c r="AJ556" s="889"/>
      <c r="AN556" s="222"/>
      <c r="BC556" s="223"/>
      <c r="BD556" s="222"/>
      <c r="BH556" s="611"/>
      <c r="BJ556" s="15"/>
      <c r="BK556" s="15"/>
      <c r="BO556" s="223"/>
      <c r="BQ556" s="889"/>
      <c r="BT556" s="890"/>
      <c r="BX556" s="889"/>
      <c r="CB556" s="15"/>
      <c r="CC556" s="697"/>
      <c r="CD556" s="1086"/>
      <c r="CE556" s="15"/>
      <c r="CF556" s="15"/>
      <c r="CG556" s="936"/>
      <c r="CH556" s="15"/>
      <c r="CI556" s="15"/>
      <c r="CJ556" s="15"/>
      <c r="CK556" s="1107"/>
      <c r="CL556" s="22"/>
      <c r="CM556" s="22"/>
      <c r="CN556" s="1107"/>
      <c r="CR556" s="223"/>
      <c r="CS556" s="952"/>
      <c r="CT556" s="1066"/>
      <c r="CU556" s="972"/>
      <c r="CV556" s="983"/>
      <c r="CW556" s="222"/>
      <c r="CX556" s="697"/>
      <c r="DC556" s="222"/>
      <c r="DJ556" s="889"/>
      <c r="DM556" s="890"/>
      <c r="DN556" s="952"/>
      <c r="DO556" s="75"/>
      <c r="DP556" s="962"/>
      <c r="DQ556" s="983"/>
      <c r="DV556" s="889"/>
    </row>
    <row r="557" spans="1:126" s="74" customFormat="1">
      <c r="A557" s="15"/>
      <c r="B557" s="15"/>
      <c r="C557" s="15"/>
      <c r="D557" s="15"/>
      <c r="E557" s="6"/>
      <c r="F557" s="6"/>
      <c r="G557" s="6"/>
      <c r="K557" s="222"/>
      <c r="V557" s="1430"/>
      <c r="AA557" s="223"/>
      <c r="AC557" s="889"/>
      <c r="AF557" s="890"/>
      <c r="AJ557" s="889"/>
      <c r="AN557" s="222"/>
      <c r="BC557" s="223"/>
      <c r="BD557" s="222"/>
      <c r="BH557" s="611"/>
      <c r="BJ557" s="15"/>
      <c r="BK557" s="15"/>
      <c r="BO557" s="223"/>
      <c r="BQ557" s="889"/>
      <c r="BT557" s="890"/>
      <c r="BX557" s="889"/>
      <c r="CB557" s="15"/>
      <c r="CC557" s="697"/>
      <c r="CD557" s="1086"/>
      <c r="CE557" s="15"/>
      <c r="CF557" s="15"/>
      <c r="CG557" s="936"/>
      <c r="CH557" s="15"/>
      <c r="CI557" s="15"/>
      <c r="CJ557" s="15"/>
      <c r="CK557" s="1107"/>
      <c r="CL557" s="22"/>
      <c r="CM557" s="22"/>
      <c r="CN557" s="1107"/>
      <c r="CR557" s="223"/>
      <c r="CS557" s="952"/>
      <c r="CT557" s="1066"/>
      <c r="CU557" s="972"/>
      <c r="CV557" s="983"/>
      <c r="CW557" s="222"/>
      <c r="CX557" s="697"/>
      <c r="DC557" s="222"/>
      <c r="DJ557" s="889"/>
      <c r="DM557" s="890"/>
      <c r="DN557" s="952"/>
      <c r="DO557" s="75"/>
      <c r="DP557" s="962"/>
      <c r="DQ557" s="983"/>
      <c r="DV557" s="889"/>
    </row>
    <row r="558" spans="1:126" s="74" customFormat="1">
      <c r="A558" s="15"/>
      <c r="B558" s="15"/>
      <c r="C558" s="15"/>
      <c r="D558" s="15"/>
      <c r="E558" s="6"/>
      <c r="F558" s="6"/>
      <c r="G558" s="6"/>
      <c r="K558" s="222"/>
      <c r="V558" s="1430"/>
      <c r="AA558" s="223"/>
      <c r="AC558" s="889"/>
      <c r="AF558" s="890"/>
      <c r="AJ558" s="889"/>
      <c r="AN558" s="222"/>
      <c r="BC558" s="223"/>
      <c r="BD558" s="222"/>
      <c r="BH558" s="611"/>
      <c r="BJ558" s="15"/>
      <c r="BK558" s="15"/>
      <c r="BO558" s="223"/>
      <c r="BQ558" s="889"/>
      <c r="BT558" s="890"/>
      <c r="BX558" s="889"/>
      <c r="CB558" s="15"/>
      <c r="CC558" s="697"/>
      <c r="CD558" s="1086"/>
      <c r="CE558" s="15"/>
      <c r="CF558" s="15"/>
      <c r="CG558" s="936"/>
      <c r="CH558" s="15"/>
      <c r="CI558" s="15"/>
      <c r="CJ558" s="15"/>
      <c r="CK558" s="1107"/>
      <c r="CL558" s="22"/>
      <c r="CM558" s="22"/>
      <c r="CN558" s="1107"/>
      <c r="CR558" s="223"/>
      <c r="CS558" s="952"/>
      <c r="CT558" s="1066"/>
      <c r="CU558" s="972"/>
      <c r="CV558" s="983"/>
      <c r="CW558" s="222"/>
      <c r="CX558" s="697"/>
      <c r="DC558" s="222"/>
      <c r="DJ558" s="889"/>
      <c r="DM558" s="890"/>
      <c r="DN558" s="952"/>
      <c r="DO558" s="75"/>
      <c r="DP558" s="962"/>
      <c r="DQ558" s="983"/>
      <c r="DV558" s="889"/>
    </row>
    <row r="559" spans="1:126" s="74" customFormat="1">
      <c r="A559" s="15"/>
      <c r="B559" s="15"/>
      <c r="C559" s="15"/>
      <c r="D559" s="15"/>
      <c r="E559" s="6"/>
      <c r="F559" s="6"/>
      <c r="G559" s="6"/>
      <c r="K559" s="222"/>
      <c r="V559" s="1430"/>
      <c r="AA559" s="223"/>
      <c r="AC559" s="889"/>
      <c r="AF559" s="890"/>
      <c r="AJ559" s="889"/>
      <c r="AN559" s="222"/>
      <c r="BC559" s="223"/>
      <c r="BD559" s="222"/>
      <c r="BH559" s="611"/>
      <c r="BJ559" s="15"/>
      <c r="BK559" s="15"/>
      <c r="BO559" s="223"/>
      <c r="BQ559" s="889"/>
      <c r="BT559" s="890"/>
      <c r="BX559" s="889"/>
      <c r="CB559" s="15"/>
      <c r="CC559" s="697"/>
      <c r="CD559" s="1086"/>
      <c r="CE559" s="15"/>
      <c r="CF559" s="15"/>
      <c r="CG559" s="936"/>
      <c r="CH559" s="15"/>
      <c r="CI559" s="15"/>
      <c r="CJ559" s="15"/>
      <c r="CK559" s="1107"/>
      <c r="CL559" s="22"/>
      <c r="CM559" s="22"/>
      <c r="CN559" s="1107"/>
      <c r="CR559" s="223"/>
      <c r="CS559" s="952"/>
      <c r="CT559" s="1066"/>
      <c r="CU559" s="972"/>
      <c r="CV559" s="983"/>
      <c r="CW559" s="222"/>
      <c r="CX559" s="697"/>
      <c r="DC559" s="222"/>
      <c r="DJ559" s="889"/>
      <c r="DM559" s="890"/>
      <c r="DN559" s="952"/>
      <c r="DO559" s="75"/>
      <c r="DP559" s="962"/>
      <c r="DQ559" s="983"/>
      <c r="DV559" s="889"/>
    </row>
    <row r="560" spans="1:126" s="74" customFormat="1">
      <c r="A560" s="15"/>
      <c r="B560" s="15"/>
      <c r="C560" s="15"/>
      <c r="D560" s="15"/>
      <c r="E560" s="6"/>
      <c r="F560" s="6"/>
      <c r="G560" s="6"/>
      <c r="K560" s="222"/>
      <c r="V560" s="1430"/>
      <c r="AA560" s="223"/>
      <c r="AC560" s="889"/>
      <c r="AF560" s="890"/>
      <c r="AJ560" s="889"/>
      <c r="AN560" s="222"/>
      <c r="BC560" s="223"/>
      <c r="BD560" s="222"/>
      <c r="BH560" s="611"/>
      <c r="BJ560" s="15"/>
      <c r="BK560" s="15"/>
      <c r="BO560" s="223"/>
      <c r="BQ560" s="889"/>
      <c r="BT560" s="890"/>
      <c r="BX560" s="889"/>
      <c r="CB560" s="15"/>
      <c r="CC560" s="697"/>
      <c r="CD560" s="1086"/>
      <c r="CE560" s="15"/>
      <c r="CF560" s="15"/>
      <c r="CG560" s="936"/>
      <c r="CH560" s="15"/>
      <c r="CI560" s="15"/>
      <c r="CJ560" s="15"/>
      <c r="CK560" s="1107"/>
      <c r="CL560" s="22"/>
      <c r="CM560" s="22"/>
      <c r="CN560" s="1107"/>
      <c r="CR560" s="223"/>
      <c r="CS560" s="952"/>
      <c r="CT560" s="1066"/>
      <c r="CU560" s="972"/>
      <c r="CV560" s="983"/>
      <c r="CW560" s="222"/>
      <c r="CX560" s="697"/>
      <c r="DC560" s="222"/>
      <c r="DJ560" s="889"/>
      <c r="DM560" s="890"/>
      <c r="DN560" s="952"/>
      <c r="DO560" s="75"/>
      <c r="DP560" s="962"/>
      <c r="DQ560" s="983"/>
      <c r="DV560" s="889"/>
    </row>
    <row r="561" spans="1:126" s="74" customFormat="1">
      <c r="A561" s="15"/>
      <c r="B561" s="15"/>
      <c r="C561" s="15"/>
      <c r="D561" s="15"/>
      <c r="E561" s="6"/>
      <c r="F561" s="6"/>
      <c r="G561" s="6"/>
      <c r="K561" s="222"/>
      <c r="V561" s="1430"/>
      <c r="AA561" s="223"/>
      <c r="AC561" s="889"/>
      <c r="AF561" s="890"/>
      <c r="AJ561" s="889"/>
      <c r="AN561" s="222"/>
      <c r="BC561" s="223"/>
      <c r="BD561" s="222"/>
      <c r="BH561" s="611"/>
      <c r="BJ561" s="15"/>
      <c r="BK561" s="15"/>
      <c r="BO561" s="223"/>
      <c r="BQ561" s="889"/>
      <c r="BT561" s="890"/>
      <c r="BX561" s="889"/>
      <c r="CB561" s="15"/>
      <c r="CC561" s="697"/>
      <c r="CD561" s="1086"/>
      <c r="CE561" s="15"/>
      <c r="CF561" s="15"/>
      <c r="CG561" s="936"/>
      <c r="CH561" s="15"/>
      <c r="CI561" s="15"/>
      <c r="CJ561" s="15"/>
      <c r="CK561" s="1107"/>
      <c r="CL561" s="22"/>
      <c r="CM561" s="22"/>
      <c r="CN561" s="1107"/>
      <c r="CR561" s="223"/>
      <c r="CS561" s="952"/>
      <c r="CT561" s="1066"/>
      <c r="CU561" s="972"/>
      <c r="CV561" s="983"/>
      <c r="CW561" s="222"/>
      <c r="CX561" s="697"/>
      <c r="DC561" s="222"/>
      <c r="DJ561" s="889"/>
      <c r="DM561" s="890"/>
      <c r="DN561" s="952"/>
      <c r="DO561" s="75"/>
      <c r="DP561" s="962"/>
      <c r="DQ561" s="983"/>
      <c r="DV561" s="889"/>
    </row>
    <row r="562" spans="1:126" s="74" customFormat="1">
      <c r="A562" s="15"/>
      <c r="B562" s="15"/>
      <c r="C562" s="15"/>
      <c r="D562" s="15"/>
      <c r="E562" s="6"/>
      <c r="F562" s="6"/>
      <c r="G562" s="6"/>
      <c r="K562" s="222"/>
      <c r="V562" s="1430"/>
      <c r="AA562" s="223"/>
      <c r="AC562" s="889"/>
      <c r="AF562" s="890"/>
      <c r="AJ562" s="889"/>
      <c r="AN562" s="222"/>
      <c r="BC562" s="223"/>
      <c r="BD562" s="222"/>
      <c r="BH562" s="611"/>
      <c r="BJ562" s="15"/>
      <c r="BK562" s="15"/>
      <c r="BO562" s="223"/>
      <c r="BQ562" s="889"/>
      <c r="BT562" s="890"/>
      <c r="BX562" s="889"/>
      <c r="CB562" s="15"/>
      <c r="CC562" s="697"/>
      <c r="CD562" s="1086"/>
      <c r="CE562" s="15"/>
      <c r="CF562" s="15"/>
      <c r="CG562" s="936"/>
      <c r="CH562" s="15"/>
      <c r="CI562" s="15"/>
      <c r="CJ562" s="15"/>
      <c r="CK562" s="1107"/>
      <c r="CL562" s="22"/>
      <c r="CM562" s="22"/>
      <c r="CN562" s="1107"/>
      <c r="CR562" s="223"/>
      <c r="CS562" s="952"/>
      <c r="CT562" s="1066"/>
      <c r="CU562" s="972"/>
      <c r="CV562" s="983"/>
      <c r="CW562" s="222"/>
      <c r="CX562" s="697"/>
      <c r="DC562" s="222"/>
      <c r="DJ562" s="889"/>
      <c r="DM562" s="890"/>
      <c r="DN562" s="952"/>
      <c r="DO562" s="75"/>
      <c r="DP562" s="962"/>
      <c r="DQ562" s="983"/>
      <c r="DV562" s="889"/>
    </row>
    <row r="563" spans="1:126" s="74" customFormat="1">
      <c r="A563" s="15"/>
      <c r="B563" s="15"/>
      <c r="C563" s="15"/>
      <c r="D563" s="15"/>
      <c r="E563" s="6"/>
      <c r="F563" s="6"/>
      <c r="G563" s="6"/>
      <c r="K563" s="222"/>
      <c r="V563" s="1430"/>
      <c r="AA563" s="223"/>
      <c r="AC563" s="889"/>
      <c r="AF563" s="890"/>
      <c r="AJ563" s="889"/>
      <c r="AN563" s="222"/>
      <c r="BC563" s="223"/>
      <c r="BD563" s="222"/>
      <c r="BH563" s="611"/>
      <c r="BJ563" s="15"/>
      <c r="BK563" s="15"/>
      <c r="BO563" s="223"/>
      <c r="BQ563" s="889"/>
      <c r="BT563" s="890"/>
      <c r="BX563" s="889"/>
      <c r="CB563" s="15"/>
      <c r="CC563" s="697"/>
      <c r="CD563" s="1086"/>
      <c r="CE563" s="15"/>
      <c r="CF563" s="15"/>
      <c r="CG563" s="936"/>
      <c r="CH563" s="15"/>
      <c r="CI563" s="15"/>
      <c r="CJ563" s="15"/>
      <c r="CK563" s="1107"/>
      <c r="CL563" s="22"/>
      <c r="CM563" s="22"/>
      <c r="CN563" s="1107"/>
      <c r="CR563" s="223"/>
      <c r="CS563" s="952"/>
      <c r="CT563" s="1066"/>
      <c r="CU563" s="972"/>
      <c r="CV563" s="983"/>
      <c r="CW563" s="222"/>
      <c r="CX563" s="697"/>
      <c r="DC563" s="222"/>
      <c r="DJ563" s="889"/>
      <c r="DM563" s="890"/>
      <c r="DN563" s="952"/>
      <c r="DO563" s="75"/>
      <c r="DP563" s="962"/>
      <c r="DQ563" s="983"/>
      <c r="DV563" s="889"/>
    </row>
    <row r="564" spans="1:126" s="74" customFormat="1">
      <c r="A564" s="15"/>
      <c r="B564" s="15"/>
      <c r="C564" s="15"/>
      <c r="D564" s="15"/>
      <c r="E564" s="6"/>
      <c r="F564" s="6"/>
      <c r="G564" s="6"/>
      <c r="K564" s="222"/>
      <c r="V564" s="1430"/>
      <c r="AA564" s="223"/>
      <c r="AC564" s="889"/>
      <c r="AF564" s="890"/>
      <c r="AJ564" s="889"/>
      <c r="AN564" s="222"/>
      <c r="BC564" s="223"/>
      <c r="BD564" s="222"/>
      <c r="BH564" s="611"/>
      <c r="BJ564" s="15"/>
      <c r="BK564" s="15"/>
      <c r="BO564" s="223"/>
      <c r="BQ564" s="889"/>
      <c r="BT564" s="890"/>
      <c r="BX564" s="889"/>
      <c r="CB564" s="15"/>
      <c r="CC564" s="697"/>
      <c r="CD564" s="1086"/>
      <c r="CE564" s="15"/>
      <c r="CF564" s="15"/>
      <c r="CG564" s="936"/>
      <c r="CH564" s="15"/>
      <c r="CI564" s="15"/>
      <c r="CJ564" s="15"/>
      <c r="CK564" s="1107"/>
      <c r="CL564" s="22"/>
      <c r="CM564" s="22"/>
      <c r="CN564" s="1107"/>
      <c r="CR564" s="223"/>
      <c r="CS564" s="952"/>
      <c r="CT564" s="1066"/>
      <c r="CU564" s="972"/>
      <c r="CV564" s="983"/>
      <c r="CW564" s="222"/>
      <c r="CX564" s="697"/>
      <c r="DC564" s="222"/>
      <c r="DJ564" s="889"/>
      <c r="DM564" s="890"/>
      <c r="DN564" s="952"/>
      <c r="DO564" s="75"/>
      <c r="DP564" s="962"/>
      <c r="DQ564" s="983"/>
      <c r="DV564" s="889"/>
    </row>
    <row r="565" spans="1:126" s="74" customFormat="1">
      <c r="A565" s="15"/>
      <c r="B565" s="15"/>
      <c r="C565" s="15"/>
      <c r="D565" s="15"/>
      <c r="E565" s="6"/>
      <c r="F565" s="6"/>
      <c r="G565" s="6"/>
      <c r="K565" s="222"/>
      <c r="V565" s="1430"/>
      <c r="AA565" s="223"/>
      <c r="AC565" s="889"/>
      <c r="AF565" s="890"/>
      <c r="AJ565" s="889"/>
      <c r="AN565" s="222"/>
      <c r="BC565" s="223"/>
      <c r="BD565" s="222"/>
      <c r="BH565" s="611"/>
      <c r="BJ565" s="15"/>
      <c r="BK565" s="15"/>
      <c r="BO565" s="223"/>
      <c r="BQ565" s="889"/>
      <c r="BT565" s="890"/>
      <c r="BX565" s="889"/>
      <c r="CB565" s="15"/>
      <c r="CC565" s="697"/>
      <c r="CD565" s="1086"/>
      <c r="CE565" s="15"/>
      <c r="CF565" s="15"/>
      <c r="CG565" s="936"/>
      <c r="CH565" s="15"/>
      <c r="CI565" s="15"/>
      <c r="CJ565" s="15"/>
      <c r="CK565" s="1107"/>
      <c r="CL565" s="22"/>
      <c r="CM565" s="22"/>
      <c r="CN565" s="1107"/>
      <c r="CR565" s="223"/>
      <c r="CS565" s="952"/>
      <c r="CT565" s="1066"/>
      <c r="CU565" s="972"/>
      <c r="CV565" s="983"/>
      <c r="CW565" s="222"/>
      <c r="CX565" s="697"/>
      <c r="DC565" s="222"/>
      <c r="DJ565" s="889"/>
      <c r="DM565" s="890"/>
      <c r="DN565" s="952"/>
      <c r="DO565" s="75"/>
      <c r="DP565" s="962"/>
      <c r="DQ565" s="983"/>
      <c r="DV565" s="889"/>
    </row>
    <row r="566" spans="1:126" s="74" customFormat="1">
      <c r="A566" s="15"/>
      <c r="B566" s="15"/>
      <c r="C566" s="15"/>
      <c r="D566" s="15"/>
      <c r="E566" s="6"/>
      <c r="F566" s="6"/>
      <c r="G566" s="6"/>
      <c r="K566" s="222"/>
      <c r="V566" s="1430"/>
      <c r="AA566" s="223"/>
      <c r="AC566" s="889"/>
      <c r="AF566" s="890"/>
      <c r="AJ566" s="889"/>
      <c r="AN566" s="222"/>
      <c r="BC566" s="223"/>
      <c r="BD566" s="222"/>
      <c r="BH566" s="611"/>
      <c r="BJ566" s="15"/>
      <c r="BK566" s="15"/>
      <c r="BO566" s="223"/>
      <c r="BQ566" s="889"/>
      <c r="BT566" s="890"/>
      <c r="BX566" s="889"/>
      <c r="CB566" s="15"/>
      <c r="CC566" s="697"/>
      <c r="CD566" s="1086"/>
      <c r="CE566" s="15"/>
      <c r="CF566" s="15"/>
      <c r="CG566" s="936"/>
      <c r="CH566" s="15"/>
      <c r="CI566" s="15"/>
      <c r="CJ566" s="15"/>
      <c r="CK566" s="1107"/>
      <c r="CL566" s="22"/>
      <c r="CM566" s="22"/>
      <c r="CN566" s="1107"/>
      <c r="CR566" s="223"/>
      <c r="CS566" s="952"/>
      <c r="CT566" s="1066"/>
      <c r="CU566" s="972"/>
      <c r="CV566" s="983"/>
      <c r="CW566" s="222"/>
      <c r="CX566" s="697"/>
      <c r="DC566" s="222"/>
      <c r="DJ566" s="889"/>
      <c r="DM566" s="890"/>
      <c r="DN566" s="952"/>
      <c r="DO566" s="75"/>
      <c r="DP566" s="962"/>
      <c r="DQ566" s="983"/>
      <c r="DV566" s="889"/>
    </row>
    <row r="567" spans="1:126" s="74" customFormat="1">
      <c r="A567" s="15"/>
      <c r="B567" s="15"/>
      <c r="C567" s="15"/>
      <c r="D567" s="15"/>
      <c r="E567" s="6"/>
      <c r="F567" s="6"/>
      <c r="G567" s="6"/>
      <c r="K567" s="222"/>
      <c r="V567" s="1430"/>
      <c r="AA567" s="223"/>
      <c r="AC567" s="889"/>
      <c r="AF567" s="890"/>
      <c r="AJ567" s="889"/>
      <c r="AN567" s="222"/>
      <c r="BC567" s="223"/>
      <c r="BD567" s="222"/>
      <c r="BH567" s="611"/>
      <c r="BJ567" s="15"/>
      <c r="BK567" s="15"/>
      <c r="BO567" s="223"/>
      <c r="BQ567" s="889"/>
      <c r="BT567" s="890"/>
      <c r="BX567" s="889"/>
      <c r="CB567" s="15"/>
      <c r="CC567" s="697"/>
      <c r="CD567" s="1086"/>
      <c r="CE567" s="15"/>
      <c r="CF567" s="15"/>
      <c r="CG567" s="936"/>
      <c r="CH567" s="15"/>
      <c r="CI567" s="15"/>
      <c r="CJ567" s="15"/>
      <c r="CK567" s="1107"/>
      <c r="CL567" s="22"/>
      <c r="CM567" s="22"/>
      <c r="CN567" s="1107"/>
      <c r="CR567" s="223"/>
      <c r="CS567" s="952"/>
      <c r="CT567" s="1066"/>
      <c r="CU567" s="972"/>
      <c r="CV567" s="983"/>
      <c r="CW567" s="222"/>
      <c r="CX567" s="697"/>
      <c r="DC567" s="222"/>
      <c r="DJ567" s="889"/>
      <c r="DM567" s="890"/>
      <c r="DN567" s="952"/>
      <c r="DO567" s="75"/>
      <c r="DP567" s="962"/>
      <c r="DQ567" s="983"/>
      <c r="DV567" s="889"/>
    </row>
    <row r="568" spans="1:126" s="74" customFormat="1">
      <c r="A568" s="15"/>
      <c r="B568" s="15"/>
      <c r="C568" s="15"/>
      <c r="D568" s="15"/>
      <c r="E568" s="6"/>
      <c r="F568" s="6"/>
      <c r="G568" s="6"/>
      <c r="K568" s="222"/>
      <c r="V568" s="1430"/>
      <c r="AA568" s="223"/>
      <c r="AC568" s="889"/>
      <c r="AF568" s="890"/>
      <c r="AJ568" s="889"/>
      <c r="AN568" s="222"/>
      <c r="BC568" s="223"/>
      <c r="BD568" s="222"/>
      <c r="BH568" s="611"/>
      <c r="BJ568" s="15"/>
      <c r="BK568" s="15"/>
      <c r="BO568" s="223"/>
      <c r="BQ568" s="889"/>
      <c r="BT568" s="890"/>
      <c r="BX568" s="889"/>
      <c r="CB568" s="15"/>
      <c r="CC568" s="697"/>
      <c r="CD568" s="1086"/>
      <c r="CE568" s="15"/>
      <c r="CF568" s="15"/>
      <c r="CG568" s="936"/>
      <c r="CH568" s="15"/>
      <c r="CI568" s="15"/>
      <c r="CJ568" s="15"/>
      <c r="CK568" s="1107"/>
      <c r="CL568" s="22"/>
      <c r="CM568" s="22"/>
      <c r="CN568" s="1107"/>
      <c r="CR568" s="223"/>
      <c r="CS568" s="952"/>
      <c r="CT568" s="1066"/>
      <c r="CU568" s="972"/>
      <c r="CV568" s="983"/>
      <c r="CW568" s="222"/>
      <c r="CX568" s="697"/>
      <c r="DC568" s="222"/>
      <c r="DJ568" s="889"/>
      <c r="DM568" s="890"/>
      <c r="DN568" s="952"/>
      <c r="DO568" s="75"/>
      <c r="DP568" s="962"/>
      <c r="DQ568" s="983"/>
      <c r="DV568" s="889"/>
    </row>
    <row r="569" spans="1:126" s="74" customFormat="1">
      <c r="A569" s="15"/>
      <c r="B569" s="15"/>
      <c r="C569" s="15"/>
      <c r="D569" s="15"/>
      <c r="E569" s="6"/>
      <c r="F569" s="6"/>
      <c r="G569" s="6"/>
      <c r="K569" s="222"/>
      <c r="V569" s="1430"/>
      <c r="AA569" s="223"/>
      <c r="AC569" s="889"/>
      <c r="AF569" s="890"/>
      <c r="AJ569" s="889"/>
      <c r="AN569" s="222"/>
      <c r="BC569" s="223"/>
      <c r="BD569" s="222"/>
      <c r="BH569" s="611"/>
      <c r="BJ569" s="15"/>
      <c r="BK569" s="15"/>
      <c r="BO569" s="223"/>
      <c r="BQ569" s="889"/>
      <c r="BT569" s="890"/>
      <c r="BX569" s="889"/>
      <c r="CB569" s="15"/>
      <c r="CC569" s="697"/>
      <c r="CD569" s="1086"/>
      <c r="CE569" s="15"/>
      <c r="CF569" s="15"/>
      <c r="CG569" s="936"/>
      <c r="CH569" s="15"/>
      <c r="CI569" s="15"/>
      <c r="CJ569" s="15"/>
      <c r="CK569" s="1107"/>
      <c r="CL569" s="22"/>
      <c r="CM569" s="22"/>
      <c r="CN569" s="1107"/>
      <c r="CR569" s="223"/>
      <c r="CS569" s="952"/>
      <c r="CT569" s="1066"/>
      <c r="CU569" s="972"/>
      <c r="CV569" s="983"/>
      <c r="CW569" s="222"/>
      <c r="CX569" s="697"/>
      <c r="DC569" s="222"/>
      <c r="DJ569" s="889"/>
      <c r="DM569" s="890"/>
      <c r="DN569" s="952"/>
      <c r="DO569" s="75"/>
      <c r="DP569" s="962"/>
      <c r="DQ569" s="983"/>
      <c r="DV569" s="889"/>
    </row>
    <row r="570" spans="1:126" s="74" customFormat="1">
      <c r="A570" s="15"/>
      <c r="B570" s="15"/>
      <c r="C570" s="15"/>
      <c r="D570" s="15"/>
      <c r="E570" s="6"/>
      <c r="F570" s="6"/>
      <c r="G570" s="6"/>
      <c r="K570" s="222"/>
      <c r="V570" s="1430"/>
      <c r="AA570" s="223"/>
      <c r="AC570" s="889"/>
      <c r="AF570" s="890"/>
      <c r="AJ570" s="889"/>
      <c r="AN570" s="222"/>
      <c r="BC570" s="223"/>
      <c r="BD570" s="222"/>
      <c r="BH570" s="611"/>
      <c r="BJ570" s="15"/>
      <c r="BK570" s="15"/>
      <c r="BO570" s="223"/>
      <c r="BQ570" s="889"/>
      <c r="BT570" s="890"/>
      <c r="BX570" s="889"/>
      <c r="CB570" s="15"/>
      <c r="CC570" s="697"/>
      <c r="CD570" s="1086"/>
      <c r="CE570" s="15"/>
      <c r="CF570" s="15"/>
      <c r="CG570" s="936"/>
      <c r="CH570" s="15"/>
      <c r="CI570" s="15"/>
      <c r="CJ570" s="15"/>
      <c r="CK570" s="1107"/>
      <c r="CL570" s="22"/>
      <c r="CM570" s="22"/>
      <c r="CN570" s="1107"/>
      <c r="CR570" s="223"/>
      <c r="CS570" s="952"/>
      <c r="CT570" s="1066"/>
      <c r="CU570" s="972"/>
      <c r="CV570" s="983"/>
      <c r="CW570" s="222"/>
      <c r="CX570" s="697"/>
      <c r="DC570" s="222"/>
      <c r="DJ570" s="889"/>
      <c r="DM570" s="890"/>
      <c r="DN570" s="952"/>
      <c r="DO570" s="75"/>
      <c r="DP570" s="962"/>
      <c r="DQ570" s="983"/>
      <c r="DV570" s="889"/>
    </row>
    <row r="571" spans="1:126" s="74" customFormat="1">
      <c r="A571" s="15"/>
      <c r="B571" s="15"/>
      <c r="C571" s="15"/>
      <c r="D571" s="15"/>
      <c r="E571" s="6"/>
      <c r="F571" s="6"/>
      <c r="G571" s="6"/>
      <c r="K571" s="222"/>
      <c r="V571" s="1430"/>
      <c r="AA571" s="223"/>
      <c r="AC571" s="889"/>
      <c r="AF571" s="890"/>
      <c r="AJ571" s="889"/>
      <c r="AN571" s="222"/>
      <c r="BC571" s="223"/>
      <c r="BD571" s="222"/>
      <c r="BH571" s="611"/>
      <c r="BJ571" s="15"/>
      <c r="BK571" s="15"/>
      <c r="BO571" s="223"/>
      <c r="BQ571" s="889"/>
      <c r="BT571" s="890"/>
      <c r="BX571" s="889"/>
      <c r="CB571" s="15"/>
      <c r="CC571" s="697"/>
      <c r="CD571" s="1086"/>
      <c r="CE571" s="15"/>
      <c r="CF571" s="15"/>
      <c r="CG571" s="936"/>
      <c r="CH571" s="15"/>
      <c r="CI571" s="15"/>
      <c r="CJ571" s="15"/>
      <c r="CK571" s="1107"/>
      <c r="CL571" s="22"/>
      <c r="CM571" s="22"/>
      <c r="CN571" s="1107"/>
      <c r="CR571" s="223"/>
      <c r="CS571" s="952"/>
      <c r="CT571" s="1066"/>
      <c r="CU571" s="972"/>
      <c r="CV571" s="983"/>
      <c r="CW571" s="222"/>
      <c r="CX571" s="697"/>
      <c r="DC571" s="222"/>
      <c r="DJ571" s="889"/>
      <c r="DM571" s="890"/>
      <c r="DN571" s="952"/>
      <c r="DO571" s="75"/>
      <c r="DP571" s="962"/>
      <c r="DQ571" s="983"/>
      <c r="DV571" s="889"/>
    </row>
    <row r="572" spans="1:126" s="74" customFormat="1">
      <c r="A572" s="15"/>
      <c r="B572" s="15"/>
      <c r="C572" s="15"/>
      <c r="D572" s="15"/>
      <c r="E572" s="6"/>
      <c r="F572" s="6"/>
      <c r="G572" s="6"/>
      <c r="K572" s="222"/>
      <c r="V572" s="1430"/>
      <c r="AA572" s="223"/>
      <c r="AC572" s="889"/>
      <c r="AF572" s="890"/>
      <c r="AJ572" s="889"/>
      <c r="AN572" s="222"/>
      <c r="BC572" s="223"/>
      <c r="BD572" s="222"/>
      <c r="BH572" s="611"/>
      <c r="BJ572" s="15"/>
      <c r="BK572" s="15"/>
      <c r="BO572" s="223"/>
      <c r="BQ572" s="889"/>
      <c r="BT572" s="890"/>
      <c r="BX572" s="889"/>
      <c r="CB572" s="15"/>
      <c r="CC572" s="697"/>
      <c r="CD572" s="1086"/>
      <c r="CE572" s="15"/>
      <c r="CF572" s="15"/>
      <c r="CG572" s="936"/>
      <c r="CH572" s="15"/>
      <c r="CI572" s="15"/>
      <c r="CJ572" s="15"/>
      <c r="CK572" s="1107"/>
      <c r="CL572" s="22"/>
      <c r="CM572" s="22"/>
      <c r="CN572" s="1107"/>
      <c r="CR572" s="223"/>
      <c r="CS572" s="952"/>
      <c r="CT572" s="1066"/>
      <c r="CU572" s="972"/>
      <c r="CV572" s="983"/>
      <c r="CW572" s="222"/>
      <c r="CX572" s="697"/>
      <c r="DC572" s="222"/>
      <c r="DJ572" s="889"/>
      <c r="DM572" s="890"/>
      <c r="DN572" s="952"/>
      <c r="DO572" s="75"/>
      <c r="DP572" s="962"/>
      <c r="DQ572" s="983"/>
      <c r="DV572" s="889"/>
    </row>
    <row r="573" spans="1:126" s="74" customFormat="1">
      <c r="A573" s="15"/>
      <c r="B573" s="15"/>
      <c r="C573" s="15"/>
      <c r="D573" s="15"/>
      <c r="E573" s="6"/>
      <c r="F573" s="6"/>
      <c r="G573" s="6"/>
      <c r="K573" s="222"/>
      <c r="V573" s="1430"/>
      <c r="AA573" s="223"/>
      <c r="AC573" s="889"/>
      <c r="AF573" s="890"/>
      <c r="AJ573" s="889"/>
      <c r="AN573" s="222"/>
      <c r="BC573" s="223"/>
      <c r="BD573" s="222"/>
      <c r="BH573" s="611"/>
      <c r="BJ573" s="15"/>
      <c r="BK573" s="15"/>
      <c r="BO573" s="223"/>
      <c r="BQ573" s="889"/>
      <c r="BT573" s="890"/>
      <c r="BX573" s="889"/>
      <c r="CB573" s="15"/>
      <c r="CC573" s="697"/>
      <c r="CD573" s="1086"/>
      <c r="CE573" s="15"/>
      <c r="CF573" s="15"/>
      <c r="CG573" s="936"/>
      <c r="CH573" s="15"/>
      <c r="CI573" s="15"/>
      <c r="CJ573" s="15"/>
      <c r="CK573" s="1107"/>
      <c r="CL573" s="22"/>
      <c r="CM573" s="22"/>
      <c r="CN573" s="1107"/>
      <c r="CR573" s="223"/>
      <c r="CS573" s="952"/>
      <c r="CT573" s="1066"/>
      <c r="CU573" s="972"/>
      <c r="CV573" s="983"/>
      <c r="CW573" s="222"/>
      <c r="CX573" s="697"/>
      <c r="DC573" s="222"/>
      <c r="DJ573" s="889"/>
      <c r="DM573" s="890"/>
      <c r="DN573" s="952"/>
      <c r="DO573" s="75"/>
      <c r="DP573" s="962"/>
      <c r="DQ573" s="983"/>
      <c r="DV573" s="889"/>
    </row>
    <row r="574" spans="1:126" s="74" customFormat="1">
      <c r="A574" s="15"/>
      <c r="B574" s="15"/>
      <c r="C574" s="15"/>
      <c r="D574" s="15"/>
      <c r="E574" s="6"/>
      <c r="F574" s="6"/>
      <c r="G574" s="6"/>
      <c r="K574" s="222"/>
      <c r="V574" s="1430"/>
      <c r="AA574" s="223"/>
      <c r="AC574" s="889"/>
      <c r="AF574" s="890"/>
      <c r="AJ574" s="889"/>
      <c r="AN574" s="222"/>
      <c r="BC574" s="223"/>
      <c r="BD574" s="222"/>
      <c r="BH574" s="611"/>
      <c r="BJ574" s="15"/>
      <c r="BK574" s="15"/>
      <c r="BO574" s="223"/>
      <c r="BQ574" s="889"/>
      <c r="BT574" s="890"/>
      <c r="BX574" s="889"/>
      <c r="CB574" s="15"/>
      <c r="CC574" s="697"/>
      <c r="CD574" s="1086"/>
      <c r="CE574" s="15"/>
      <c r="CF574" s="15"/>
      <c r="CG574" s="936"/>
      <c r="CH574" s="15"/>
      <c r="CI574" s="15"/>
      <c r="CJ574" s="15"/>
      <c r="CK574" s="1107"/>
      <c r="CL574" s="22"/>
      <c r="CM574" s="22"/>
      <c r="CN574" s="1107"/>
      <c r="CR574" s="223"/>
      <c r="CS574" s="952"/>
      <c r="CT574" s="1066"/>
      <c r="CU574" s="972"/>
      <c r="CV574" s="983"/>
      <c r="CW574" s="222"/>
      <c r="CX574" s="697"/>
      <c r="DC574" s="222"/>
      <c r="DJ574" s="889"/>
      <c r="DM574" s="890"/>
      <c r="DN574" s="952"/>
      <c r="DO574" s="75"/>
      <c r="DP574" s="962"/>
      <c r="DQ574" s="983"/>
      <c r="DV574" s="889"/>
    </row>
    <row r="575" spans="1:126" s="74" customFormat="1">
      <c r="A575" s="15"/>
      <c r="B575" s="15"/>
      <c r="C575" s="15"/>
      <c r="D575" s="15"/>
      <c r="E575" s="6"/>
      <c r="F575" s="6"/>
      <c r="G575" s="6"/>
      <c r="K575" s="222"/>
      <c r="V575" s="1430"/>
      <c r="AA575" s="223"/>
      <c r="AC575" s="889"/>
      <c r="AF575" s="890"/>
      <c r="AJ575" s="889"/>
      <c r="AN575" s="222"/>
      <c r="BC575" s="223"/>
      <c r="BD575" s="222"/>
      <c r="BH575" s="611"/>
      <c r="BJ575" s="15"/>
      <c r="BK575" s="15"/>
      <c r="BO575" s="223"/>
      <c r="BQ575" s="889"/>
      <c r="BT575" s="890"/>
      <c r="BX575" s="889"/>
      <c r="CB575" s="15"/>
      <c r="CC575" s="697"/>
      <c r="CD575" s="1086"/>
      <c r="CE575" s="15"/>
      <c r="CF575" s="15"/>
      <c r="CG575" s="936"/>
      <c r="CH575" s="15"/>
      <c r="CI575" s="15"/>
      <c r="CJ575" s="15"/>
      <c r="CK575" s="1107"/>
      <c r="CL575" s="22"/>
      <c r="CM575" s="22"/>
      <c r="CN575" s="1107"/>
      <c r="CR575" s="223"/>
      <c r="CS575" s="952"/>
      <c r="CT575" s="1066"/>
      <c r="CU575" s="972"/>
      <c r="CV575" s="983"/>
      <c r="CW575" s="222"/>
      <c r="CX575" s="697"/>
      <c r="DC575" s="222"/>
      <c r="DJ575" s="889"/>
      <c r="DM575" s="890"/>
      <c r="DN575" s="952"/>
      <c r="DO575" s="75"/>
      <c r="DP575" s="962"/>
      <c r="DQ575" s="983"/>
      <c r="DV575" s="889"/>
    </row>
    <row r="576" spans="1:126" s="74" customFormat="1">
      <c r="A576" s="15"/>
      <c r="B576" s="15"/>
      <c r="C576" s="15"/>
      <c r="D576" s="15"/>
      <c r="E576" s="6"/>
      <c r="F576" s="6"/>
      <c r="G576" s="6"/>
      <c r="K576" s="222"/>
      <c r="V576" s="1430"/>
      <c r="AA576" s="223"/>
      <c r="AC576" s="889"/>
      <c r="AF576" s="890"/>
      <c r="AJ576" s="889"/>
      <c r="AN576" s="222"/>
      <c r="BC576" s="223"/>
      <c r="BD576" s="222"/>
      <c r="BH576" s="611"/>
      <c r="BJ576" s="15"/>
      <c r="BK576" s="15"/>
      <c r="BO576" s="223"/>
      <c r="BQ576" s="889"/>
      <c r="BT576" s="890"/>
      <c r="BX576" s="889"/>
      <c r="CB576" s="15"/>
      <c r="CC576" s="697"/>
      <c r="CD576" s="1086"/>
      <c r="CE576" s="15"/>
      <c r="CF576" s="15"/>
      <c r="CG576" s="936"/>
      <c r="CH576" s="15"/>
      <c r="CI576" s="15"/>
      <c r="CJ576" s="15"/>
      <c r="CK576" s="1107"/>
      <c r="CL576" s="22"/>
      <c r="CM576" s="22"/>
      <c r="CN576" s="1107"/>
      <c r="CR576" s="223"/>
      <c r="CS576" s="952"/>
      <c r="CT576" s="1066"/>
      <c r="CU576" s="972"/>
      <c r="CV576" s="983"/>
      <c r="CW576" s="222"/>
      <c r="CX576" s="697"/>
      <c r="DC576" s="222"/>
      <c r="DJ576" s="889"/>
      <c r="DM576" s="890"/>
      <c r="DN576" s="952"/>
      <c r="DO576" s="75"/>
      <c r="DP576" s="962"/>
      <c r="DQ576" s="983"/>
      <c r="DV576" s="889"/>
    </row>
    <row r="577" spans="1:126" s="74" customFormat="1">
      <c r="A577" s="15"/>
      <c r="B577" s="15"/>
      <c r="C577" s="15"/>
      <c r="D577" s="15"/>
      <c r="E577" s="6"/>
      <c r="F577" s="6"/>
      <c r="G577" s="6"/>
      <c r="K577" s="222"/>
      <c r="V577" s="1430"/>
      <c r="AA577" s="223"/>
      <c r="AC577" s="889"/>
      <c r="AF577" s="890"/>
      <c r="AJ577" s="889"/>
      <c r="AN577" s="222"/>
      <c r="BC577" s="223"/>
      <c r="BD577" s="222"/>
      <c r="BH577" s="611"/>
      <c r="BJ577" s="15"/>
      <c r="BK577" s="15"/>
      <c r="BO577" s="223"/>
      <c r="BQ577" s="889"/>
      <c r="BT577" s="890"/>
      <c r="BX577" s="889"/>
      <c r="CB577" s="15"/>
      <c r="CC577" s="697"/>
      <c r="CD577" s="1086"/>
      <c r="CE577" s="15"/>
      <c r="CF577" s="15"/>
      <c r="CG577" s="936"/>
      <c r="CH577" s="15"/>
      <c r="CI577" s="15"/>
      <c r="CJ577" s="15"/>
      <c r="CK577" s="1107"/>
      <c r="CL577" s="22"/>
      <c r="CM577" s="22"/>
      <c r="CN577" s="1107"/>
      <c r="CR577" s="223"/>
      <c r="CS577" s="952"/>
      <c r="CT577" s="1066"/>
      <c r="CU577" s="972"/>
      <c r="CV577" s="983"/>
      <c r="CW577" s="222"/>
      <c r="CX577" s="697"/>
      <c r="DC577" s="222"/>
      <c r="DJ577" s="889"/>
      <c r="DM577" s="890"/>
      <c r="DN577" s="952"/>
      <c r="DO577" s="75"/>
      <c r="DP577" s="962"/>
      <c r="DQ577" s="983"/>
      <c r="DV577" s="889"/>
    </row>
    <row r="578" spans="1:126" s="74" customFormat="1">
      <c r="A578" s="15"/>
      <c r="B578" s="15"/>
      <c r="C578" s="15"/>
      <c r="D578" s="15"/>
      <c r="E578" s="6"/>
      <c r="F578" s="6"/>
      <c r="G578" s="6"/>
      <c r="K578" s="222"/>
      <c r="V578" s="1430"/>
      <c r="AA578" s="223"/>
      <c r="AC578" s="889"/>
      <c r="AF578" s="890"/>
      <c r="AJ578" s="889"/>
      <c r="AN578" s="222"/>
      <c r="BC578" s="223"/>
      <c r="BD578" s="222"/>
      <c r="BH578" s="611"/>
      <c r="BJ578" s="15"/>
      <c r="BK578" s="15"/>
      <c r="BO578" s="223"/>
      <c r="BQ578" s="889"/>
      <c r="BT578" s="890"/>
      <c r="BX578" s="889"/>
      <c r="CB578" s="15"/>
      <c r="CC578" s="697"/>
      <c r="CD578" s="1086"/>
      <c r="CE578" s="15"/>
      <c r="CF578" s="15"/>
      <c r="CG578" s="936"/>
      <c r="CH578" s="15"/>
      <c r="CI578" s="15"/>
      <c r="CJ578" s="15"/>
      <c r="CK578" s="1107"/>
      <c r="CL578" s="22"/>
      <c r="CM578" s="22"/>
      <c r="CN578" s="1107"/>
      <c r="CR578" s="223"/>
      <c r="CS578" s="952"/>
      <c r="CT578" s="1066"/>
      <c r="CU578" s="972"/>
      <c r="CV578" s="983"/>
      <c r="CW578" s="222"/>
      <c r="CX578" s="697"/>
      <c r="DC578" s="222"/>
      <c r="DJ578" s="889"/>
      <c r="DM578" s="890"/>
      <c r="DN578" s="952"/>
      <c r="DO578" s="75"/>
      <c r="DP578" s="962"/>
      <c r="DQ578" s="983"/>
      <c r="DV578" s="889"/>
    </row>
    <row r="579" spans="1:126" s="74" customFormat="1">
      <c r="A579" s="15"/>
      <c r="B579" s="15"/>
      <c r="C579" s="15"/>
      <c r="D579" s="15"/>
      <c r="E579" s="6"/>
      <c r="F579" s="6"/>
      <c r="G579" s="6"/>
      <c r="K579" s="222"/>
      <c r="V579" s="1430"/>
      <c r="AA579" s="223"/>
      <c r="AC579" s="889"/>
      <c r="AF579" s="890"/>
      <c r="AJ579" s="889"/>
      <c r="AN579" s="222"/>
      <c r="BC579" s="223"/>
      <c r="BD579" s="222"/>
      <c r="BH579" s="611"/>
      <c r="BJ579" s="15"/>
      <c r="BK579" s="15"/>
      <c r="BO579" s="223"/>
      <c r="BQ579" s="889"/>
      <c r="BT579" s="890"/>
      <c r="BX579" s="889"/>
      <c r="CB579" s="15"/>
      <c r="CC579" s="697"/>
      <c r="CD579" s="1086"/>
      <c r="CE579" s="15"/>
      <c r="CF579" s="15"/>
      <c r="CG579" s="936"/>
      <c r="CH579" s="15"/>
      <c r="CI579" s="15"/>
      <c r="CJ579" s="15"/>
      <c r="CK579" s="1107"/>
      <c r="CL579" s="22"/>
      <c r="CM579" s="22"/>
      <c r="CN579" s="1107"/>
      <c r="CR579" s="223"/>
      <c r="CS579" s="952"/>
      <c r="CT579" s="1066"/>
      <c r="CU579" s="972"/>
      <c r="CV579" s="983"/>
      <c r="CW579" s="222"/>
      <c r="CX579" s="697"/>
      <c r="DC579" s="222"/>
      <c r="DJ579" s="889"/>
      <c r="DM579" s="890"/>
      <c r="DN579" s="952"/>
      <c r="DO579" s="75"/>
      <c r="DP579" s="962"/>
      <c r="DQ579" s="983"/>
      <c r="DV579" s="889"/>
    </row>
    <row r="580" spans="1:126" s="74" customFormat="1">
      <c r="A580" s="15"/>
      <c r="B580" s="15"/>
      <c r="C580" s="15"/>
      <c r="D580" s="15"/>
      <c r="E580" s="6"/>
      <c r="F580" s="6"/>
      <c r="G580" s="6"/>
      <c r="K580" s="222"/>
      <c r="V580" s="1430"/>
      <c r="AA580" s="223"/>
      <c r="AC580" s="889"/>
      <c r="AF580" s="890"/>
      <c r="AJ580" s="889"/>
      <c r="AN580" s="222"/>
      <c r="BC580" s="223"/>
      <c r="BD580" s="222"/>
      <c r="BH580" s="611"/>
      <c r="BJ580" s="15"/>
      <c r="BK580" s="15"/>
      <c r="BO580" s="223"/>
      <c r="BQ580" s="889"/>
      <c r="BT580" s="890"/>
      <c r="BX580" s="889"/>
      <c r="CB580" s="15"/>
      <c r="CC580" s="697"/>
      <c r="CD580" s="1086"/>
      <c r="CE580" s="15"/>
      <c r="CF580" s="15"/>
      <c r="CG580" s="936"/>
      <c r="CH580" s="15"/>
      <c r="CI580" s="15"/>
      <c r="CJ580" s="15"/>
      <c r="CK580" s="1107"/>
      <c r="CL580" s="22"/>
      <c r="CM580" s="22"/>
      <c r="CN580" s="1107"/>
      <c r="CR580" s="223"/>
      <c r="CS580" s="952"/>
      <c r="CT580" s="1066"/>
      <c r="CU580" s="972"/>
      <c r="CV580" s="983"/>
      <c r="CW580" s="222"/>
      <c r="CX580" s="697"/>
      <c r="DC580" s="222"/>
      <c r="DJ580" s="889"/>
      <c r="DM580" s="890"/>
      <c r="DN580" s="952"/>
      <c r="DO580" s="75"/>
      <c r="DP580" s="962"/>
      <c r="DQ580" s="983"/>
      <c r="DV580" s="889"/>
    </row>
    <row r="581" spans="1:126" s="74" customFormat="1">
      <c r="A581" s="15"/>
      <c r="B581" s="15"/>
      <c r="C581" s="15"/>
      <c r="D581" s="15"/>
      <c r="E581" s="6"/>
      <c r="F581" s="6"/>
      <c r="G581" s="6"/>
      <c r="K581" s="222"/>
      <c r="V581" s="1430"/>
      <c r="AA581" s="223"/>
      <c r="AC581" s="889"/>
      <c r="AF581" s="890"/>
      <c r="AJ581" s="889"/>
      <c r="AN581" s="222"/>
      <c r="BC581" s="223"/>
      <c r="BD581" s="222"/>
      <c r="BH581" s="611"/>
      <c r="BJ581" s="15"/>
      <c r="BK581" s="15"/>
      <c r="BO581" s="223"/>
      <c r="BQ581" s="889"/>
      <c r="BT581" s="890"/>
      <c r="BX581" s="889"/>
      <c r="CB581" s="15"/>
      <c r="CC581" s="697"/>
      <c r="CD581" s="1086"/>
      <c r="CE581" s="15"/>
      <c r="CF581" s="15"/>
      <c r="CG581" s="936"/>
      <c r="CH581" s="15"/>
      <c r="CI581" s="15"/>
      <c r="CJ581" s="15"/>
      <c r="CK581" s="1107"/>
      <c r="CL581" s="22"/>
      <c r="CM581" s="22"/>
      <c r="CN581" s="1107"/>
      <c r="CR581" s="223"/>
      <c r="CS581" s="952"/>
      <c r="CT581" s="1066"/>
      <c r="CU581" s="972"/>
      <c r="CV581" s="983"/>
      <c r="CW581" s="222"/>
      <c r="CX581" s="697"/>
      <c r="DC581" s="222"/>
      <c r="DJ581" s="889"/>
      <c r="DM581" s="890"/>
      <c r="DN581" s="952"/>
      <c r="DO581" s="75"/>
      <c r="DP581" s="962"/>
      <c r="DQ581" s="983"/>
      <c r="DV581" s="889"/>
    </row>
    <row r="582" spans="1:126" s="74" customFormat="1">
      <c r="A582" s="15"/>
      <c r="B582" s="15"/>
      <c r="C582" s="15"/>
      <c r="D582" s="15"/>
      <c r="E582" s="6"/>
      <c r="F582" s="6"/>
      <c r="G582" s="6"/>
      <c r="K582" s="222"/>
      <c r="V582" s="1430"/>
      <c r="AA582" s="223"/>
      <c r="AC582" s="889"/>
      <c r="AF582" s="890"/>
      <c r="AJ582" s="889"/>
      <c r="AN582" s="222"/>
      <c r="BC582" s="223"/>
      <c r="BD582" s="222"/>
      <c r="BH582" s="611"/>
      <c r="BJ582" s="15"/>
      <c r="BK582" s="15"/>
      <c r="BO582" s="223"/>
      <c r="BQ582" s="889"/>
      <c r="BT582" s="890"/>
      <c r="BX582" s="889"/>
      <c r="CB582" s="15"/>
      <c r="CC582" s="697"/>
      <c r="CD582" s="1086"/>
      <c r="CE582" s="15"/>
      <c r="CF582" s="15"/>
      <c r="CG582" s="936"/>
      <c r="CH582" s="15"/>
      <c r="CI582" s="15"/>
      <c r="CJ582" s="15"/>
      <c r="CK582" s="1107"/>
      <c r="CL582" s="22"/>
      <c r="CM582" s="22"/>
      <c r="CN582" s="1107"/>
      <c r="CR582" s="223"/>
      <c r="CS582" s="952"/>
      <c r="CT582" s="1066"/>
      <c r="CU582" s="972"/>
      <c r="CV582" s="983"/>
      <c r="CW582" s="222"/>
      <c r="CX582" s="697"/>
      <c r="DC582" s="222"/>
      <c r="DJ582" s="889"/>
      <c r="DM582" s="890"/>
      <c r="DN582" s="952"/>
      <c r="DO582" s="75"/>
      <c r="DP582" s="962"/>
      <c r="DQ582" s="983"/>
      <c r="DV582" s="889"/>
    </row>
    <row r="583" spans="1:126" s="74" customFormat="1">
      <c r="A583" s="15"/>
      <c r="B583" s="15"/>
      <c r="C583" s="15"/>
      <c r="D583" s="15"/>
      <c r="E583" s="6"/>
      <c r="F583" s="6"/>
      <c r="G583" s="6"/>
      <c r="K583" s="222"/>
      <c r="V583" s="1430"/>
      <c r="AA583" s="223"/>
      <c r="AC583" s="889"/>
      <c r="AF583" s="890"/>
      <c r="AJ583" s="889"/>
      <c r="AN583" s="222"/>
      <c r="BC583" s="223"/>
      <c r="BD583" s="222"/>
      <c r="BH583" s="611"/>
      <c r="BJ583" s="15"/>
      <c r="BK583" s="15"/>
      <c r="BO583" s="223"/>
      <c r="BQ583" s="889"/>
      <c r="BT583" s="890"/>
      <c r="BX583" s="889"/>
      <c r="CB583" s="15"/>
      <c r="CC583" s="697"/>
      <c r="CD583" s="1086"/>
      <c r="CE583" s="15"/>
      <c r="CF583" s="15"/>
      <c r="CG583" s="936"/>
      <c r="CH583" s="15"/>
      <c r="CI583" s="15"/>
      <c r="CJ583" s="15"/>
      <c r="CK583" s="1107"/>
      <c r="CL583" s="22"/>
      <c r="CM583" s="22"/>
      <c r="CN583" s="1107"/>
      <c r="CR583" s="223"/>
      <c r="CS583" s="952"/>
      <c r="CT583" s="1066"/>
      <c r="CU583" s="972"/>
      <c r="CV583" s="983"/>
      <c r="CW583" s="222"/>
      <c r="CX583" s="697"/>
      <c r="DC583" s="222"/>
      <c r="DJ583" s="889"/>
      <c r="DM583" s="890"/>
      <c r="DN583" s="952"/>
      <c r="DO583" s="75"/>
      <c r="DP583" s="962"/>
      <c r="DQ583" s="983"/>
      <c r="DV583" s="889"/>
    </row>
    <row r="584" spans="1:126" s="74" customFormat="1">
      <c r="A584" s="15"/>
      <c r="B584" s="15"/>
      <c r="C584" s="15"/>
      <c r="D584" s="15"/>
      <c r="E584" s="6"/>
      <c r="F584" s="6"/>
      <c r="G584" s="6"/>
      <c r="K584" s="222"/>
      <c r="V584" s="1430"/>
      <c r="AA584" s="223"/>
      <c r="AC584" s="889"/>
      <c r="AF584" s="890"/>
      <c r="AJ584" s="889"/>
      <c r="AN584" s="222"/>
      <c r="BC584" s="223"/>
      <c r="BD584" s="222"/>
      <c r="BH584" s="611"/>
      <c r="BJ584" s="15"/>
      <c r="BK584" s="15"/>
      <c r="BO584" s="223"/>
      <c r="BQ584" s="889"/>
      <c r="BT584" s="890"/>
      <c r="BX584" s="889"/>
      <c r="CB584" s="15"/>
      <c r="CC584" s="697"/>
      <c r="CD584" s="1086"/>
      <c r="CE584" s="15"/>
      <c r="CF584" s="15"/>
      <c r="CG584" s="936"/>
      <c r="CH584" s="15"/>
      <c r="CI584" s="15"/>
      <c r="CJ584" s="15"/>
      <c r="CK584" s="1107"/>
      <c r="CL584" s="22"/>
      <c r="CM584" s="22"/>
      <c r="CN584" s="1107"/>
      <c r="CR584" s="223"/>
      <c r="CS584" s="952"/>
      <c r="CT584" s="1066"/>
      <c r="CU584" s="972"/>
      <c r="CV584" s="983"/>
      <c r="CW584" s="222"/>
      <c r="CX584" s="697"/>
      <c r="DC584" s="222"/>
      <c r="DJ584" s="889"/>
      <c r="DM584" s="890"/>
      <c r="DN584" s="952"/>
      <c r="DO584" s="75"/>
      <c r="DP584" s="962"/>
      <c r="DQ584" s="983"/>
      <c r="DV584" s="889"/>
    </row>
    <row r="585" spans="1:126" s="74" customFormat="1">
      <c r="A585" s="15"/>
      <c r="B585" s="15"/>
      <c r="C585" s="15"/>
      <c r="D585" s="15"/>
      <c r="E585" s="6"/>
      <c r="F585" s="6"/>
      <c r="G585" s="6"/>
      <c r="K585" s="222"/>
      <c r="V585" s="1430"/>
      <c r="AA585" s="223"/>
      <c r="AC585" s="889"/>
      <c r="AF585" s="890"/>
      <c r="AJ585" s="889"/>
      <c r="AN585" s="222"/>
      <c r="BC585" s="223"/>
      <c r="BD585" s="222"/>
      <c r="BH585" s="611"/>
      <c r="BJ585" s="15"/>
      <c r="BK585" s="15"/>
      <c r="BO585" s="223"/>
      <c r="BQ585" s="889"/>
      <c r="BT585" s="890"/>
      <c r="BX585" s="889"/>
      <c r="CB585" s="15"/>
      <c r="CC585" s="697"/>
      <c r="CD585" s="1086"/>
      <c r="CE585" s="15"/>
      <c r="CF585" s="15"/>
      <c r="CG585" s="936"/>
      <c r="CH585" s="15"/>
      <c r="CI585" s="15"/>
      <c r="CJ585" s="15"/>
      <c r="CK585" s="1107"/>
      <c r="CL585" s="22"/>
      <c r="CM585" s="22"/>
      <c r="CN585" s="1107"/>
      <c r="CR585" s="223"/>
      <c r="CS585" s="952"/>
      <c r="CT585" s="1066"/>
      <c r="CU585" s="972"/>
      <c r="CV585" s="983"/>
      <c r="CW585" s="222"/>
      <c r="CX585" s="697"/>
      <c r="DC585" s="222"/>
      <c r="DJ585" s="889"/>
      <c r="DM585" s="890"/>
      <c r="DN585" s="952"/>
      <c r="DO585" s="75"/>
      <c r="DP585" s="962"/>
      <c r="DQ585" s="983"/>
      <c r="DV585" s="889"/>
    </row>
    <row r="586" spans="1:126" s="74" customFormat="1">
      <c r="A586" s="15"/>
      <c r="B586" s="15"/>
      <c r="C586" s="15"/>
      <c r="D586" s="15"/>
      <c r="E586" s="6"/>
      <c r="F586" s="6"/>
      <c r="G586" s="6"/>
      <c r="K586" s="222"/>
      <c r="V586" s="1430"/>
      <c r="AA586" s="223"/>
      <c r="AC586" s="889"/>
      <c r="AF586" s="890"/>
      <c r="AJ586" s="889"/>
      <c r="AN586" s="222"/>
      <c r="BC586" s="223"/>
      <c r="BD586" s="222"/>
      <c r="BH586" s="611"/>
      <c r="BJ586" s="15"/>
      <c r="BK586" s="15"/>
      <c r="BO586" s="223"/>
      <c r="BQ586" s="889"/>
      <c r="BT586" s="890"/>
      <c r="BX586" s="889"/>
      <c r="CB586" s="15"/>
      <c r="CC586" s="697"/>
      <c r="CD586" s="1086"/>
      <c r="CE586" s="15"/>
      <c r="CF586" s="15"/>
      <c r="CG586" s="936"/>
      <c r="CH586" s="15"/>
      <c r="CI586" s="15"/>
      <c r="CJ586" s="15"/>
      <c r="CK586" s="1107"/>
      <c r="CL586" s="22"/>
      <c r="CM586" s="22"/>
      <c r="CN586" s="1107"/>
      <c r="CR586" s="223"/>
      <c r="CS586" s="952"/>
      <c r="CT586" s="1066"/>
      <c r="CU586" s="972"/>
      <c r="CV586" s="983"/>
      <c r="CW586" s="222"/>
      <c r="CX586" s="697"/>
      <c r="DC586" s="222"/>
      <c r="DJ586" s="889"/>
      <c r="DM586" s="890"/>
      <c r="DN586" s="952"/>
      <c r="DO586" s="75"/>
      <c r="DP586" s="962"/>
      <c r="DQ586" s="983"/>
      <c r="DV586" s="889"/>
    </row>
    <row r="587" spans="1:126" s="74" customFormat="1">
      <c r="A587" s="15"/>
      <c r="B587" s="15"/>
      <c r="C587" s="15"/>
      <c r="D587" s="15"/>
      <c r="E587" s="6"/>
      <c r="F587" s="6"/>
      <c r="G587" s="6"/>
      <c r="K587" s="222"/>
      <c r="V587" s="1430"/>
      <c r="AA587" s="223"/>
      <c r="AC587" s="889"/>
      <c r="AF587" s="890"/>
      <c r="AJ587" s="889"/>
      <c r="AN587" s="222"/>
      <c r="BC587" s="223"/>
      <c r="BD587" s="222"/>
      <c r="BH587" s="611"/>
      <c r="BJ587" s="15"/>
      <c r="BK587" s="15"/>
      <c r="BO587" s="223"/>
      <c r="BQ587" s="889"/>
      <c r="BT587" s="890"/>
      <c r="BX587" s="889"/>
      <c r="CB587" s="15"/>
      <c r="CC587" s="697"/>
      <c r="CD587" s="1086"/>
      <c r="CE587" s="15"/>
      <c r="CF587" s="15"/>
      <c r="CG587" s="936"/>
      <c r="CH587" s="15"/>
      <c r="CI587" s="15"/>
      <c r="CJ587" s="15"/>
      <c r="CK587" s="1107"/>
      <c r="CL587" s="22"/>
      <c r="CM587" s="22"/>
      <c r="CN587" s="1107"/>
      <c r="CR587" s="223"/>
      <c r="CS587" s="952"/>
      <c r="CT587" s="1066"/>
      <c r="CU587" s="972"/>
      <c r="CV587" s="983"/>
      <c r="CW587" s="222"/>
      <c r="CX587" s="697"/>
      <c r="DC587" s="222"/>
      <c r="DJ587" s="889"/>
      <c r="DM587" s="890"/>
      <c r="DN587" s="952"/>
      <c r="DO587" s="75"/>
      <c r="DP587" s="962"/>
      <c r="DQ587" s="983"/>
      <c r="DV587" s="889"/>
    </row>
    <row r="588" spans="1:126" s="74" customFormat="1">
      <c r="A588" s="15"/>
      <c r="B588" s="15"/>
      <c r="C588" s="15"/>
      <c r="D588" s="15"/>
      <c r="E588" s="6"/>
      <c r="F588" s="6"/>
      <c r="G588" s="6"/>
      <c r="K588" s="222"/>
      <c r="V588" s="1430"/>
      <c r="AA588" s="223"/>
      <c r="AC588" s="889"/>
      <c r="AF588" s="890"/>
      <c r="AJ588" s="889"/>
      <c r="AN588" s="222"/>
      <c r="BC588" s="223"/>
      <c r="BD588" s="222"/>
      <c r="BH588" s="611"/>
      <c r="BJ588" s="15"/>
      <c r="BK588" s="15"/>
      <c r="BO588" s="223"/>
      <c r="BQ588" s="889"/>
      <c r="BT588" s="890"/>
      <c r="BX588" s="889"/>
      <c r="CB588" s="15"/>
      <c r="CC588" s="697"/>
      <c r="CD588" s="1086"/>
      <c r="CE588" s="15"/>
      <c r="CF588" s="15"/>
      <c r="CG588" s="936"/>
      <c r="CH588" s="15"/>
      <c r="CI588" s="15"/>
      <c r="CJ588" s="15"/>
      <c r="CK588" s="1107"/>
      <c r="CL588" s="22"/>
      <c r="CM588" s="22"/>
      <c r="CN588" s="1107"/>
      <c r="CR588" s="223"/>
      <c r="CS588" s="952"/>
      <c r="CT588" s="1066"/>
      <c r="CU588" s="972"/>
      <c r="CV588" s="983"/>
      <c r="CW588" s="222"/>
      <c r="CX588" s="697"/>
      <c r="DC588" s="222"/>
      <c r="DJ588" s="889"/>
      <c r="DM588" s="890"/>
      <c r="DN588" s="952"/>
      <c r="DO588" s="75"/>
      <c r="DP588" s="962"/>
      <c r="DQ588" s="983"/>
      <c r="DV588" s="889"/>
    </row>
    <row r="589" spans="1:126" s="74" customFormat="1">
      <c r="A589" s="15"/>
      <c r="B589" s="15"/>
      <c r="C589" s="15"/>
      <c r="D589" s="15"/>
      <c r="E589" s="6"/>
      <c r="F589" s="6"/>
      <c r="G589" s="6"/>
      <c r="K589" s="222"/>
      <c r="V589" s="1430"/>
      <c r="AA589" s="223"/>
      <c r="AC589" s="889"/>
      <c r="AF589" s="890"/>
      <c r="AJ589" s="889"/>
      <c r="AN589" s="222"/>
      <c r="BC589" s="223"/>
      <c r="BD589" s="222"/>
      <c r="BH589" s="611"/>
      <c r="BJ589" s="15"/>
      <c r="BK589" s="15"/>
      <c r="BO589" s="223"/>
      <c r="BQ589" s="889"/>
      <c r="BT589" s="890"/>
      <c r="BX589" s="889"/>
      <c r="CB589" s="15"/>
      <c r="CC589" s="697"/>
      <c r="CD589" s="1086"/>
      <c r="CE589" s="15"/>
      <c r="CF589" s="15"/>
      <c r="CG589" s="936"/>
      <c r="CH589" s="15"/>
      <c r="CI589" s="15"/>
      <c r="CJ589" s="15"/>
      <c r="CK589" s="1107"/>
      <c r="CL589" s="22"/>
      <c r="CM589" s="22"/>
      <c r="CN589" s="1107"/>
      <c r="CR589" s="223"/>
      <c r="CS589" s="952"/>
      <c r="CT589" s="1066"/>
      <c r="CU589" s="972"/>
      <c r="CV589" s="983"/>
      <c r="CW589" s="222"/>
      <c r="CX589" s="697"/>
      <c r="DC589" s="222"/>
      <c r="DJ589" s="889"/>
      <c r="DM589" s="890"/>
      <c r="DN589" s="952"/>
      <c r="DO589" s="75"/>
      <c r="DP589" s="962"/>
      <c r="DQ589" s="983"/>
      <c r="DV589" s="889"/>
    </row>
    <row r="590" spans="1:126" s="74" customFormat="1">
      <c r="A590" s="15"/>
      <c r="B590" s="15"/>
      <c r="C590" s="15"/>
      <c r="D590" s="15"/>
      <c r="E590" s="6"/>
      <c r="F590" s="6"/>
      <c r="G590" s="6"/>
      <c r="K590" s="222"/>
      <c r="V590" s="1430"/>
      <c r="AA590" s="223"/>
      <c r="AC590" s="889"/>
      <c r="AF590" s="890"/>
      <c r="AJ590" s="889"/>
      <c r="AN590" s="222"/>
      <c r="BC590" s="223"/>
      <c r="BD590" s="222"/>
      <c r="BH590" s="611"/>
      <c r="BJ590" s="15"/>
      <c r="BK590" s="15"/>
      <c r="BO590" s="223"/>
      <c r="BQ590" s="889"/>
      <c r="BT590" s="890"/>
      <c r="BX590" s="889"/>
      <c r="CB590" s="15"/>
      <c r="CC590" s="697"/>
      <c r="CD590" s="1086"/>
      <c r="CE590" s="15"/>
      <c r="CF590" s="15"/>
      <c r="CG590" s="936"/>
      <c r="CH590" s="15"/>
      <c r="CI590" s="15"/>
      <c r="CJ590" s="15"/>
      <c r="CK590" s="1107"/>
      <c r="CL590" s="22"/>
      <c r="CM590" s="22"/>
      <c r="CN590" s="1107"/>
      <c r="CR590" s="223"/>
      <c r="CS590" s="952"/>
      <c r="CT590" s="1066"/>
      <c r="CU590" s="972"/>
      <c r="CV590" s="983"/>
      <c r="CW590" s="222"/>
      <c r="CX590" s="697"/>
      <c r="DC590" s="222"/>
      <c r="DJ590" s="889"/>
      <c r="DM590" s="890"/>
      <c r="DN590" s="952"/>
      <c r="DO590" s="75"/>
      <c r="DP590" s="962"/>
      <c r="DQ590" s="983"/>
      <c r="DV590" s="889"/>
    </row>
    <row r="591" spans="1:126" s="74" customFormat="1">
      <c r="A591" s="15"/>
      <c r="B591" s="15"/>
      <c r="C591" s="15"/>
      <c r="D591" s="15"/>
      <c r="E591" s="6"/>
      <c r="F591" s="6"/>
      <c r="G591" s="6"/>
      <c r="K591" s="222"/>
      <c r="V591" s="1430"/>
      <c r="AA591" s="223"/>
      <c r="AC591" s="889"/>
      <c r="AF591" s="890"/>
      <c r="AJ591" s="889"/>
      <c r="AN591" s="222"/>
      <c r="BC591" s="223"/>
      <c r="BD591" s="222"/>
      <c r="BH591" s="611"/>
      <c r="BJ591" s="15"/>
      <c r="BK591" s="15"/>
      <c r="BO591" s="223"/>
      <c r="BQ591" s="889"/>
      <c r="BT591" s="890"/>
      <c r="BX591" s="889"/>
      <c r="CB591" s="15"/>
      <c r="CC591" s="697"/>
      <c r="CD591" s="1086"/>
      <c r="CE591" s="15"/>
      <c r="CF591" s="15"/>
      <c r="CG591" s="936"/>
      <c r="CH591" s="15"/>
      <c r="CI591" s="15"/>
      <c r="CJ591" s="15"/>
      <c r="CK591" s="1107"/>
      <c r="CL591" s="22"/>
      <c r="CM591" s="22"/>
      <c r="CN591" s="1107"/>
      <c r="CR591" s="223"/>
      <c r="CS591" s="952"/>
      <c r="CT591" s="1066"/>
      <c r="CU591" s="972"/>
      <c r="CV591" s="983"/>
      <c r="CW591" s="222"/>
      <c r="CX591" s="697"/>
      <c r="DC591" s="222"/>
      <c r="DJ591" s="889"/>
      <c r="DM591" s="890"/>
      <c r="DN591" s="952"/>
      <c r="DO591" s="75"/>
      <c r="DP591" s="962"/>
      <c r="DQ591" s="983"/>
      <c r="DV591" s="889"/>
    </row>
    <row r="592" spans="1:126" s="74" customFormat="1">
      <c r="A592" s="15"/>
      <c r="B592" s="15"/>
      <c r="C592" s="15"/>
      <c r="D592" s="15"/>
      <c r="E592" s="6"/>
      <c r="F592" s="6"/>
      <c r="G592" s="6"/>
      <c r="K592" s="222"/>
      <c r="V592" s="1430"/>
      <c r="AA592" s="223"/>
      <c r="AC592" s="889"/>
      <c r="AF592" s="890"/>
      <c r="AJ592" s="889"/>
      <c r="AN592" s="222"/>
      <c r="BC592" s="223"/>
      <c r="BD592" s="222"/>
      <c r="BH592" s="611"/>
      <c r="BJ592" s="15"/>
      <c r="BK592" s="15"/>
      <c r="BO592" s="223"/>
      <c r="BQ592" s="889"/>
      <c r="BT592" s="890"/>
      <c r="BX592" s="889"/>
      <c r="CB592" s="15"/>
      <c r="CC592" s="697"/>
      <c r="CD592" s="1086"/>
      <c r="CE592" s="15"/>
      <c r="CF592" s="15"/>
      <c r="CG592" s="936"/>
      <c r="CH592" s="15"/>
      <c r="CI592" s="15"/>
      <c r="CJ592" s="15"/>
      <c r="CK592" s="1107"/>
      <c r="CL592" s="22"/>
      <c r="CM592" s="22"/>
      <c r="CN592" s="1107"/>
      <c r="CR592" s="223"/>
      <c r="CS592" s="952"/>
      <c r="CT592" s="1066"/>
      <c r="CU592" s="972"/>
      <c r="CV592" s="983"/>
      <c r="CW592" s="222"/>
      <c r="CX592" s="697"/>
      <c r="DC592" s="222"/>
      <c r="DJ592" s="889"/>
      <c r="DM592" s="890"/>
      <c r="DN592" s="952"/>
      <c r="DO592" s="75"/>
      <c r="DP592" s="962"/>
      <c r="DQ592" s="983"/>
      <c r="DV592" s="889"/>
    </row>
    <row r="593" spans="1:126" s="74" customFormat="1">
      <c r="A593" s="15"/>
      <c r="B593" s="15"/>
      <c r="C593" s="15"/>
      <c r="D593" s="15"/>
      <c r="E593" s="6"/>
      <c r="F593" s="6"/>
      <c r="G593" s="6"/>
      <c r="K593" s="222"/>
      <c r="V593" s="1430"/>
      <c r="AA593" s="223"/>
      <c r="AC593" s="889"/>
      <c r="AF593" s="890"/>
      <c r="AJ593" s="889"/>
      <c r="AN593" s="222"/>
      <c r="BC593" s="223"/>
      <c r="BD593" s="222"/>
      <c r="BH593" s="611"/>
      <c r="BJ593" s="15"/>
      <c r="BK593" s="15"/>
      <c r="BO593" s="223"/>
      <c r="BQ593" s="889"/>
      <c r="BT593" s="890"/>
      <c r="BX593" s="889"/>
      <c r="CB593" s="15"/>
      <c r="CC593" s="697"/>
      <c r="CD593" s="1086"/>
      <c r="CE593" s="15"/>
      <c r="CF593" s="15"/>
      <c r="CG593" s="936"/>
      <c r="CH593" s="15"/>
      <c r="CI593" s="15"/>
      <c r="CJ593" s="15"/>
      <c r="CK593" s="1107"/>
      <c r="CL593" s="22"/>
      <c r="CM593" s="22"/>
      <c r="CN593" s="1107"/>
      <c r="CR593" s="223"/>
      <c r="CS593" s="952"/>
      <c r="CT593" s="1066"/>
      <c r="CU593" s="972"/>
      <c r="CV593" s="983"/>
      <c r="CW593" s="222"/>
      <c r="CX593" s="697"/>
      <c r="DC593" s="222"/>
      <c r="DJ593" s="889"/>
      <c r="DM593" s="890"/>
      <c r="DN593" s="952"/>
      <c r="DO593" s="75"/>
      <c r="DP593" s="962"/>
      <c r="DQ593" s="983"/>
      <c r="DV593" s="889"/>
    </row>
    <row r="594" spans="1:126" s="74" customFormat="1">
      <c r="A594" s="15"/>
      <c r="B594" s="15"/>
      <c r="C594" s="15"/>
      <c r="D594" s="15"/>
      <c r="E594" s="6"/>
      <c r="F594" s="6"/>
      <c r="G594" s="6"/>
      <c r="K594" s="222"/>
      <c r="V594" s="1430"/>
      <c r="AA594" s="223"/>
      <c r="AC594" s="889"/>
      <c r="AF594" s="890"/>
      <c r="AJ594" s="889"/>
      <c r="AN594" s="222"/>
      <c r="BC594" s="223"/>
      <c r="BD594" s="222"/>
      <c r="BH594" s="611"/>
      <c r="BJ594" s="15"/>
      <c r="BK594" s="15"/>
      <c r="BO594" s="223"/>
      <c r="BQ594" s="889"/>
      <c r="BT594" s="890"/>
      <c r="BX594" s="889"/>
      <c r="CB594" s="15"/>
      <c r="CC594" s="697"/>
      <c r="CD594" s="1086"/>
      <c r="CE594" s="15"/>
      <c r="CF594" s="15"/>
      <c r="CG594" s="936"/>
      <c r="CH594" s="15"/>
      <c r="CI594" s="15"/>
      <c r="CJ594" s="15"/>
      <c r="CK594" s="1107"/>
      <c r="CL594" s="22"/>
      <c r="CM594" s="22"/>
      <c r="CN594" s="1107"/>
      <c r="CR594" s="223"/>
      <c r="CS594" s="952"/>
      <c r="CT594" s="1066"/>
      <c r="CU594" s="972"/>
      <c r="CV594" s="983"/>
      <c r="CW594" s="222"/>
      <c r="CX594" s="697"/>
      <c r="DC594" s="222"/>
      <c r="DJ594" s="889"/>
      <c r="DM594" s="890"/>
      <c r="DN594" s="952"/>
      <c r="DO594" s="75"/>
      <c r="DP594" s="962"/>
      <c r="DQ594" s="983"/>
      <c r="DV594" s="889"/>
    </row>
    <row r="595" spans="1:126" s="74" customFormat="1">
      <c r="A595" s="15"/>
      <c r="B595" s="15"/>
      <c r="C595" s="15"/>
      <c r="D595" s="15"/>
      <c r="E595" s="6"/>
      <c r="F595" s="6"/>
      <c r="G595" s="6"/>
      <c r="K595" s="222"/>
      <c r="V595" s="1430"/>
      <c r="AA595" s="223"/>
      <c r="AC595" s="889"/>
      <c r="AF595" s="890"/>
      <c r="AJ595" s="889"/>
      <c r="AN595" s="222"/>
      <c r="BC595" s="223"/>
      <c r="BD595" s="222"/>
      <c r="BH595" s="611"/>
      <c r="BJ595" s="15"/>
      <c r="BK595" s="15"/>
      <c r="BO595" s="223"/>
      <c r="BQ595" s="889"/>
      <c r="BT595" s="890"/>
      <c r="BX595" s="889"/>
      <c r="CB595" s="15"/>
      <c r="CC595" s="697"/>
      <c r="CD595" s="1086"/>
      <c r="CE595" s="15"/>
      <c r="CF595" s="15"/>
      <c r="CG595" s="936"/>
      <c r="CH595" s="15"/>
      <c r="CI595" s="15"/>
      <c r="CJ595" s="15"/>
      <c r="CK595" s="1107"/>
      <c r="CL595" s="22"/>
      <c r="CM595" s="22"/>
      <c r="CN595" s="1107"/>
      <c r="CR595" s="223"/>
      <c r="CS595" s="952"/>
      <c r="CT595" s="1066"/>
      <c r="CU595" s="972"/>
      <c r="CV595" s="983"/>
      <c r="CW595" s="222"/>
      <c r="CX595" s="697"/>
      <c r="DC595" s="222"/>
      <c r="DJ595" s="889"/>
      <c r="DM595" s="890"/>
      <c r="DN595" s="952"/>
      <c r="DO595" s="75"/>
      <c r="DP595" s="962"/>
      <c r="DQ595" s="983"/>
      <c r="DV595" s="889"/>
    </row>
    <row r="596" spans="1:126" s="74" customFormat="1">
      <c r="A596" s="15"/>
      <c r="B596" s="15"/>
      <c r="C596" s="15"/>
      <c r="D596" s="15"/>
      <c r="E596" s="6"/>
      <c r="F596" s="6"/>
      <c r="G596" s="6"/>
      <c r="K596" s="222"/>
      <c r="V596" s="1430"/>
      <c r="AA596" s="223"/>
      <c r="AC596" s="889"/>
      <c r="AF596" s="890"/>
      <c r="AJ596" s="889"/>
      <c r="AN596" s="222"/>
      <c r="BC596" s="223"/>
      <c r="BD596" s="222"/>
      <c r="BH596" s="611"/>
      <c r="BJ596" s="15"/>
      <c r="BK596" s="15"/>
      <c r="BO596" s="223"/>
      <c r="BQ596" s="889"/>
      <c r="BT596" s="890"/>
      <c r="BX596" s="889"/>
      <c r="CB596" s="15"/>
      <c r="CC596" s="697"/>
      <c r="CD596" s="1086"/>
      <c r="CE596" s="15"/>
      <c r="CF596" s="15"/>
      <c r="CG596" s="936"/>
      <c r="CH596" s="15"/>
      <c r="CI596" s="15"/>
      <c r="CJ596" s="15"/>
      <c r="CK596" s="1107"/>
      <c r="CL596" s="22"/>
      <c r="CM596" s="22"/>
      <c r="CN596" s="1107"/>
      <c r="CR596" s="223"/>
      <c r="CS596" s="952"/>
      <c r="CT596" s="1066"/>
      <c r="CU596" s="972"/>
      <c r="CV596" s="983"/>
      <c r="CW596" s="222"/>
      <c r="CX596" s="697"/>
      <c r="DC596" s="222"/>
      <c r="DJ596" s="889"/>
      <c r="DM596" s="890"/>
      <c r="DN596" s="952"/>
      <c r="DO596" s="75"/>
      <c r="DP596" s="962"/>
      <c r="DQ596" s="983"/>
      <c r="DV596" s="889"/>
    </row>
    <row r="597" spans="1:126" s="74" customFormat="1">
      <c r="A597" s="15"/>
      <c r="B597" s="15"/>
      <c r="C597" s="15"/>
      <c r="D597" s="15"/>
      <c r="E597" s="6"/>
      <c r="F597" s="6"/>
      <c r="G597" s="6"/>
      <c r="K597" s="222"/>
      <c r="V597" s="1430"/>
      <c r="AA597" s="223"/>
      <c r="AC597" s="889"/>
      <c r="AF597" s="890"/>
      <c r="AJ597" s="889"/>
      <c r="AN597" s="222"/>
      <c r="BC597" s="223"/>
      <c r="BD597" s="222"/>
      <c r="BH597" s="611"/>
      <c r="BJ597" s="15"/>
      <c r="BK597" s="15"/>
      <c r="BO597" s="223"/>
      <c r="BQ597" s="889"/>
      <c r="BT597" s="890"/>
      <c r="BX597" s="889"/>
      <c r="CB597" s="15"/>
      <c r="CC597" s="697"/>
      <c r="CD597" s="1086"/>
      <c r="CE597" s="15"/>
      <c r="CF597" s="15"/>
      <c r="CG597" s="936"/>
      <c r="CH597" s="15"/>
      <c r="CI597" s="15"/>
      <c r="CJ597" s="15"/>
      <c r="CK597" s="1107"/>
      <c r="CL597" s="22"/>
      <c r="CM597" s="22"/>
      <c r="CN597" s="1107"/>
      <c r="CR597" s="223"/>
      <c r="CS597" s="952"/>
      <c r="CT597" s="1066"/>
      <c r="CU597" s="972"/>
      <c r="CV597" s="983"/>
      <c r="CW597" s="222"/>
      <c r="CX597" s="697"/>
      <c r="DC597" s="222"/>
      <c r="DJ597" s="889"/>
      <c r="DM597" s="890"/>
      <c r="DN597" s="952"/>
      <c r="DO597" s="75"/>
      <c r="DP597" s="962"/>
      <c r="DQ597" s="983"/>
      <c r="DV597" s="889"/>
    </row>
    <row r="598" spans="1:126" s="74" customFormat="1">
      <c r="A598" s="15"/>
      <c r="B598" s="15"/>
      <c r="C598" s="15"/>
      <c r="D598" s="15"/>
      <c r="E598" s="6"/>
      <c r="F598" s="6"/>
      <c r="G598" s="6"/>
      <c r="K598" s="222"/>
      <c r="V598" s="1430"/>
      <c r="AA598" s="223"/>
      <c r="AC598" s="889"/>
      <c r="AF598" s="890"/>
      <c r="AJ598" s="889"/>
      <c r="AN598" s="222"/>
      <c r="BC598" s="223"/>
      <c r="BD598" s="222"/>
      <c r="BH598" s="611"/>
      <c r="BJ598" s="15"/>
      <c r="BK598" s="15"/>
      <c r="BO598" s="223"/>
      <c r="BQ598" s="889"/>
      <c r="BT598" s="890"/>
      <c r="BX598" s="889"/>
      <c r="CB598" s="15"/>
      <c r="CC598" s="697"/>
      <c r="CD598" s="1086"/>
      <c r="CE598" s="15"/>
      <c r="CF598" s="15"/>
      <c r="CG598" s="936"/>
      <c r="CH598" s="15"/>
      <c r="CI598" s="15"/>
      <c r="CJ598" s="15"/>
      <c r="CK598" s="1107"/>
      <c r="CL598" s="22"/>
      <c r="CM598" s="22"/>
      <c r="CN598" s="1107"/>
      <c r="CR598" s="223"/>
      <c r="CS598" s="952"/>
      <c r="CT598" s="1066"/>
      <c r="CU598" s="972"/>
      <c r="CV598" s="983"/>
      <c r="CW598" s="222"/>
      <c r="CX598" s="697"/>
      <c r="DC598" s="222"/>
      <c r="DJ598" s="889"/>
      <c r="DM598" s="890"/>
      <c r="DN598" s="952"/>
      <c r="DO598" s="75"/>
      <c r="DP598" s="962"/>
      <c r="DQ598" s="983"/>
      <c r="DV598" s="889"/>
    </row>
    <row r="599" spans="1:126" s="74" customFormat="1">
      <c r="A599" s="15"/>
      <c r="B599" s="15"/>
      <c r="C599" s="15"/>
      <c r="D599" s="15"/>
      <c r="E599" s="6"/>
      <c r="F599" s="6"/>
      <c r="G599" s="6"/>
      <c r="K599" s="222"/>
      <c r="V599" s="1430"/>
      <c r="AA599" s="223"/>
      <c r="AC599" s="889"/>
      <c r="AF599" s="890"/>
      <c r="AJ599" s="889"/>
      <c r="AN599" s="222"/>
      <c r="BC599" s="223"/>
      <c r="BD599" s="222"/>
      <c r="BH599" s="611"/>
      <c r="BJ599" s="15"/>
      <c r="BK599" s="15"/>
      <c r="BO599" s="223"/>
      <c r="BQ599" s="889"/>
      <c r="BT599" s="890"/>
      <c r="BX599" s="889"/>
      <c r="CB599" s="15"/>
      <c r="CC599" s="697"/>
      <c r="CD599" s="1086"/>
      <c r="CE599" s="15"/>
      <c r="CF599" s="15"/>
      <c r="CG599" s="936"/>
      <c r="CH599" s="15"/>
      <c r="CI599" s="15"/>
      <c r="CJ599" s="15"/>
      <c r="CK599" s="1107"/>
      <c r="CL599" s="22"/>
      <c r="CM599" s="22"/>
      <c r="CN599" s="1107"/>
      <c r="CR599" s="223"/>
      <c r="CS599" s="952"/>
      <c r="CT599" s="1066"/>
      <c r="CU599" s="972"/>
      <c r="CV599" s="983"/>
      <c r="CW599" s="222"/>
      <c r="CX599" s="697"/>
      <c r="DC599" s="222"/>
      <c r="DJ599" s="889"/>
      <c r="DM599" s="890"/>
      <c r="DN599" s="952"/>
      <c r="DO599" s="75"/>
      <c r="DP599" s="962"/>
      <c r="DQ599" s="983"/>
      <c r="DV599" s="889"/>
    </row>
    <row r="600" spans="1:126" s="74" customFormat="1">
      <c r="A600" s="15"/>
      <c r="B600" s="15"/>
      <c r="C600" s="15"/>
      <c r="D600" s="15"/>
      <c r="E600" s="6"/>
      <c r="F600" s="6"/>
      <c r="G600" s="6"/>
      <c r="K600" s="222"/>
      <c r="V600" s="1430"/>
      <c r="AA600" s="223"/>
      <c r="AC600" s="889"/>
      <c r="AF600" s="890"/>
      <c r="AJ600" s="889"/>
      <c r="AN600" s="222"/>
      <c r="BC600" s="223"/>
      <c r="BD600" s="222"/>
      <c r="BH600" s="611"/>
      <c r="BJ600" s="15"/>
      <c r="BK600" s="15"/>
      <c r="BO600" s="223"/>
      <c r="BQ600" s="889"/>
      <c r="BT600" s="890"/>
      <c r="BX600" s="889"/>
      <c r="CB600" s="15"/>
      <c r="CC600" s="697"/>
      <c r="CD600" s="1086"/>
      <c r="CE600" s="15"/>
      <c r="CF600" s="15"/>
      <c r="CG600" s="936"/>
      <c r="CH600" s="15"/>
      <c r="CI600" s="15"/>
      <c r="CJ600" s="15"/>
      <c r="CK600" s="1107"/>
      <c r="CL600" s="22"/>
      <c r="CM600" s="22"/>
      <c r="CN600" s="1107"/>
      <c r="CR600" s="223"/>
      <c r="CS600" s="952"/>
      <c r="CT600" s="1066"/>
      <c r="CU600" s="972"/>
      <c r="CV600" s="983"/>
      <c r="CW600" s="222"/>
      <c r="CX600" s="697"/>
      <c r="DC600" s="222"/>
      <c r="DJ600" s="889"/>
      <c r="DM600" s="890"/>
      <c r="DN600" s="952"/>
      <c r="DO600" s="75"/>
      <c r="DP600" s="962"/>
      <c r="DQ600" s="983"/>
      <c r="DV600" s="889"/>
    </row>
    <row r="601" spans="1:126" s="74" customFormat="1">
      <c r="A601" s="15"/>
      <c r="B601" s="15"/>
      <c r="C601" s="15"/>
      <c r="D601" s="15"/>
      <c r="E601" s="6"/>
      <c r="F601" s="6"/>
      <c r="G601" s="6"/>
      <c r="K601" s="222"/>
      <c r="V601" s="1430"/>
      <c r="AA601" s="223"/>
      <c r="AC601" s="889"/>
      <c r="AF601" s="890"/>
      <c r="AJ601" s="889"/>
      <c r="AN601" s="222"/>
      <c r="BC601" s="223"/>
      <c r="BD601" s="222"/>
      <c r="BH601" s="611"/>
      <c r="BJ601" s="15"/>
      <c r="BK601" s="15"/>
      <c r="BO601" s="223"/>
      <c r="BQ601" s="889"/>
      <c r="BT601" s="890"/>
      <c r="BX601" s="889"/>
      <c r="CB601" s="15"/>
      <c r="CC601" s="697"/>
      <c r="CD601" s="1086"/>
      <c r="CE601" s="15"/>
      <c r="CF601" s="15"/>
      <c r="CG601" s="936"/>
      <c r="CH601" s="15"/>
      <c r="CI601" s="15"/>
      <c r="CJ601" s="15"/>
      <c r="CK601" s="1107"/>
      <c r="CL601" s="22"/>
      <c r="CM601" s="22"/>
      <c r="CN601" s="1107"/>
      <c r="CR601" s="223"/>
      <c r="CS601" s="952"/>
      <c r="CT601" s="1066"/>
      <c r="CU601" s="972"/>
      <c r="CV601" s="983"/>
      <c r="CW601" s="222"/>
      <c r="CX601" s="697"/>
      <c r="DC601" s="222"/>
      <c r="DJ601" s="889"/>
      <c r="DM601" s="890"/>
      <c r="DN601" s="952"/>
      <c r="DO601" s="75"/>
      <c r="DP601" s="962"/>
      <c r="DQ601" s="983"/>
      <c r="DV601" s="889"/>
    </row>
    <row r="602" spans="1:126" s="74" customFormat="1">
      <c r="A602" s="15"/>
      <c r="B602" s="15"/>
      <c r="C602" s="15"/>
      <c r="D602" s="15"/>
      <c r="E602" s="6"/>
      <c r="F602" s="6"/>
      <c r="G602" s="6"/>
      <c r="K602" s="222"/>
      <c r="V602" s="1430"/>
      <c r="AA602" s="223"/>
      <c r="AC602" s="889"/>
      <c r="AF602" s="890"/>
      <c r="AJ602" s="889"/>
      <c r="AN602" s="222"/>
      <c r="BC602" s="223"/>
      <c r="BD602" s="222"/>
      <c r="BH602" s="611"/>
      <c r="BJ602" s="15"/>
      <c r="BK602" s="15"/>
      <c r="BO602" s="223"/>
      <c r="BQ602" s="889"/>
      <c r="BT602" s="890"/>
      <c r="BX602" s="889"/>
      <c r="CB602" s="15"/>
      <c r="CC602" s="697"/>
      <c r="CD602" s="1086"/>
      <c r="CE602" s="15"/>
      <c r="CF602" s="15"/>
      <c r="CG602" s="936"/>
      <c r="CH602" s="15"/>
      <c r="CI602" s="15"/>
      <c r="CJ602" s="15"/>
      <c r="CK602" s="1107"/>
      <c r="CL602" s="22"/>
      <c r="CM602" s="22"/>
      <c r="CN602" s="1107"/>
      <c r="CR602" s="223"/>
      <c r="CS602" s="952"/>
      <c r="CT602" s="1066"/>
      <c r="CU602" s="972"/>
      <c r="CV602" s="983"/>
      <c r="CW602" s="222"/>
      <c r="CX602" s="697"/>
      <c r="DC602" s="222"/>
      <c r="DJ602" s="889"/>
      <c r="DM602" s="890"/>
      <c r="DN602" s="952"/>
      <c r="DO602" s="75"/>
      <c r="DP602" s="962"/>
      <c r="DQ602" s="983"/>
      <c r="DV602" s="889"/>
    </row>
    <row r="603" spans="1:126" s="74" customFormat="1">
      <c r="A603" s="15"/>
      <c r="B603" s="15"/>
      <c r="C603" s="15"/>
      <c r="D603" s="15"/>
      <c r="E603" s="6"/>
      <c r="F603" s="6"/>
      <c r="G603" s="6"/>
      <c r="K603" s="222"/>
      <c r="V603" s="1430"/>
      <c r="AA603" s="223"/>
      <c r="AC603" s="889"/>
      <c r="AF603" s="890"/>
      <c r="AJ603" s="889"/>
      <c r="AN603" s="222"/>
      <c r="BC603" s="223"/>
      <c r="BD603" s="222"/>
      <c r="BH603" s="611"/>
      <c r="BJ603" s="15"/>
      <c r="BK603" s="15"/>
      <c r="BO603" s="223"/>
      <c r="BQ603" s="889"/>
      <c r="BT603" s="890"/>
      <c r="BX603" s="889"/>
      <c r="CB603" s="15"/>
      <c r="CC603" s="697"/>
      <c r="CD603" s="1086"/>
      <c r="CE603" s="15"/>
      <c r="CF603" s="15"/>
      <c r="CG603" s="936"/>
      <c r="CH603" s="15"/>
      <c r="CI603" s="15"/>
      <c r="CJ603" s="15"/>
      <c r="CK603" s="1107"/>
      <c r="CL603" s="22"/>
      <c r="CM603" s="22"/>
      <c r="CN603" s="1107"/>
      <c r="CR603" s="223"/>
      <c r="CS603" s="952"/>
      <c r="CT603" s="1066"/>
      <c r="CU603" s="972"/>
      <c r="CV603" s="983"/>
      <c r="CW603" s="222"/>
      <c r="CX603" s="697"/>
      <c r="DC603" s="222"/>
      <c r="DJ603" s="889"/>
      <c r="DM603" s="890"/>
      <c r="DN603" s="952"/>
      <c r="DO603" s="75"/>
      <c r="DP603" s="962"/>
      <c r="DQ603" s="983"/>
      <c r="DV603" s="889"/>
    </row>
    <row r="604" spans="1:126" s="74" customFormat="1">
      <c r="A604" s="15"/>
      <c r="B604" s="15"/>
      <c r="C604" s="15"/>
      <c r="D604" s="15"/>
      <c r="E604" s="6"/>
      <c r="F604" s="6"/>
      <c r="G604" s="6"/>
      <c r="K604" s="222"/>
      <c r="V604" s="1430"/>
      <c r="AA604" s="223"/>
      <c r="AC604" s="889"/>
      <c r="AF604" s="890"/>
      <c r="AJ604" s="889"/>
      <c r="AN604" s="222"/>
      <c r="BC604" s="223"/>
      <c r="BD604" s="222"/>
      <c r="BH604" s="611"/>
      <c r="BJ604" s="15"/>
      <c r="BK604" s="15"/>
      <c r="BO604" s="223"/>
      <c r="BQ604" s="889"/>
      <c r="BT604" s="890"/>
      <c r="BX604" s="889"/>
      <c r="CB604" s="15"/>
      <c r="CC604" s="697"/>
      <c r="CD604" s="1086"/>
      <c r="CE604" s="15"/>
      <c r="CF604" s="15"/>
      <c r="CG604" s="936"/>
      <c r="CH604" s="15"/>
      <c r="CI604" s="15"/>
      <c r="CJ604" s="15"/>
      <c r="CK604" s="1107"/>
      <c r="CL604" s="22"/>
      <c r="CM604" s="22"/>
      <c r="CN604" s="1107"/>
      <c r="CR604" s="223"/>
      <c r="CS604" s="952"/>
      <c r="CT604" s="1066"/>
      <c r="CU604" s="972"/>
      <c r="CV604" s="983"/>
      <c r="CW604" s="222"/>
      <c r="CX604" s="697"/>
      <c r="DC604" s="222"/>
      <c r="DJ604" s="889"/>
      <c r="DM604" s="890"/>
      <c r="DN604" s="952"/>
      <c r="DO604" s="75"/>
      <c r="DP604" s="962"/>
      <c r="DQ604" s="983"/>
      <c r="DV604" s="889"/>
    </row>
    <row r="605" spans="1:126" s="74" customFormat="1">
      <c r="A605" s="15"/>
      <c r="B605" s="15"/>
      <c r="C605" s="15"/>
      <c r="D605" s="15"/>
      <c r="E605" s="6"/>
      <c r="F605" s="6"/>
      <c r="G605" s="6"/>
      <c r="K605" s="222"/>
      <c r="V605" s="1430"/>
      <c r="AA605" s="223"/>
      <c r="AC605" s="889"/>
      <c r="AF605" s="890"/>
      <c r="AJ605" s="889"/>
      <c r="AN605" s="222"/>
      <c r="BC605" s="223"/>
      <c r="BD605" s="222"/>
      <c r="BH605" s="611"/>
      <c r="BJ605" s="15"/>
      <c r="BK605" s="15"/>
      <c r="BO605" s="223"/>
      <c r="BQ605" s="889"/>
      <c r="BT605" s="890"/>
      <c r="BX605" s="889"/>
      <c r="CB605" s="15"/>
      <c r="CC605" s="697"/>
      <c r="CD605" s="1086"/>
      <c r="CE605" s="15"/>
      <c r="CF605" s="15"/>
      <c r="CG605" s="936"/>
      <c r="CH605" s="15"/>
      <c r="CI605" s="15"/>
      <c r="CJ605" s="15"/>
      <c r="CK605" s="1107"/>
      <c r="CL605" s="22"/>
      <c r="CM605" s="22"/>
      <c r="CN605" s="1107"/>
      <c r="CR605" s="223"/>
      <c r="CS605" s="952"/>
      <c r="CT605" s="1066"/>
      <c r="CU605" s="972"/>
      <c r="CV605" s="983"/>
      <c r="CW605" s="222"/>
      <c r="CX605" s="697"/>
      <c r="DC605" s="222"/>
      <c r="DJ605" s="889"/>
      <c r="DM605" s="890"/>
      <c r="DN605" s="952"/>
      <c r="DO605" s="75"/>
      <c r="DP605" s="962"/>
      <c r="DQ605" s="983"/>
      <c r="DV605" s="889"/>
    </row>
    <row r="606" spans="1:126" s="74" customFormat="1">
      <c r="A606" s="15"/>
      <c r="B606" s="15"/>
      <c r="C606" s="15"/>
      <c r="D606" s="15"/>
      <c r="E606" s="6"/>
      <c r="F606" s="6"/>
      <c r="G606" s="6"/>
      <c r="K606" s="222"/>
      <c r="V606" s="1430"/>
      <c r="AA606" s="223"/>
      <c r="AC606" s="889"/>
      <c r="AF606" s="890"/>
      <c r="AJ606" s="889"/>
      <c r="AN606" s="222"/>
      <c r="BC606" s="223"/>
      <c r="BD606" s="222"/>
      <c r="BH606" s="611"/>
      <c r="BJ606" s="15"/>
      <c r="BK606" s="15"/>
      <c r="BO606" s="223"/>
      <c r="BQ606" s="889"/>
      <c r="BT606" s="890"/>
      <c r="BX606" s="889"/>
      <c r="CB606" s="15"/>
      <c r="CC606" s="697"/>
      <c r="CD606" s="1086"/>
      <c r="CE606" s="15"/>
      <c r="CF606" s="15"/>
      <c r="CG606" s="936"/>
      <c r="CH606" s="15"/>
      <c r="CI606" s="15"/>
      <c r="CJ606" s="15"/>
      <c r="CK606" s="1107"/>
      <c r="CL606" s="22"/>
      <c r="CM606" s="22"/>
      <c r="CN606" s="1107"/>
      <c r="CR606" s="223"/>
      <c r="CS606" s="952"/>
      <c r="CT606" s="1066"/>
      <c r="CU606" s="972"/>
      <c r="CV606" s="983"/>
      <c r="CW606" s="222"/>
      <c r="CX606" s="697"/>
      <c r="DC606" s="222"/>
      <c r="DJ606" s="889"/>
      <c r="DM606" s="890"/>
      <c r="DN606" s="952"/>
      <c r="DO606" s="75"/>
      <c r="DP606" s="962"/>
      <c r="DQ606" s="983"/>
      <c r="DV606" s="889"/>
    </row>
    <row r="607" spans="1:126" s="74" customFormat="1">
      <c r="A607" s="15"/>
      <c r="B607" s="15"/>
      <c r="C607" s="15"/>
      <c r="D607" s="15"/>
      <c r="E607" s="6"/>
      <c r="F607" s="6"/>
      <c r="G607" s="6"/>
      <c r="K607" s="222"/>
      <c r="V607" s="1430"/>
      <c r="AA607" s="223"/>
      <c r="AC607" s="889"/>
      <c r="AF607" s="890"/>
      <c r="AJ607" s="889"/>
      <c r="AN607" s="222"/>
      <c r="BC607" s="223"/>
      <c r="BD607" s="222"/>
      <c r="BH607" s="611"/>
      <c r="BJ607" s="15"/>
      <c r="BK607" s="15"/>
      <c r="BO607" s="223"/>
      <c r="BQ607" s="889"/>
      <c r="BT607" s="890"/>
      <c r="BX607" s="889"/>
      <c r="CB607" s="15"/>
      <c r="CC607" s="697"/>
      <c r="CD607" s="1086"/>
      <c r="CE607" s="15"/>
      <c r="CF607" s="15"/>
      <c r="CG607" s="936"/>
      <c r="CH607" s="15"/>
      <c r="CI607" s="15"/>
      <c r="CJ607" s="15"/>
      <c r="CK607" s="1107"/>
      <c r="CL607" s="22"/>
      <c r="CM607" s="22"/>
      <c r="CN607" s="1107"/>
      <c r="CR607" s="223"/>
      <c r="CS607" s="952"/>
      <c r="CT607" s="1066"/>
      <c r="CU607" s="972"/>
      <c r="CV607" s="983"/>
      <c r="CW607" s="222"/>
      <c r="CX607" s="697"/>
      <c r="DC607" s="222"/>
      <c r="DJ607" s="889"/>
      <c r="DM607" s="890"/>
      <c r="DN607" s="952"/>
      <c r="DO607" s="75"/>
      <c r="DP607" s="962"/>
      <c r="DQ607" s="983"/>
      <c r="DV607" s="889"/>
    </row>
    <row r="608" spans="1:126" s="74" customFormat="1">
      <c r="A608" s="15"/>
      <c r="B608" s="15"/>
      <c r="C608" s="15"/>
      <c r="D608" s="15"/>
      <c r="E608" s="6"/>
      <c r="F608" s="6"/>
      <c r="G608" s="6"/>
      <c r="K608" s="222"/>
      <c r="V608" s="1430"/>
      <c r="AA608" s="223"/>
      <c r="AC608" s="889"/>
      <c r="AF608" s="890"/>
      <c r="AJ608" s="889"/>
      <c r="AN608" s="222"/>
      <c r="BC608" s="223"/>
      <c r="BD608" s="222"/>
      <c r="BH608" s="611"/>
      <c r="BJ608" s="15"/>
      <c r="BK608" s="15"/>
      <c r="BO608" s="223"/>
      <c r="BQ608" s="889"/>
      <c r="BT608" s="890"/>
      <c r="BX608" s="889"/>
      <c r="CB608" s="15"/>
      <c r="CC608" s="697"/>
      <c r="CD608" s="1086"/>
      <c r="CE608" s="15"/>
      <c r="CF608" s="15"/>
      <c r="CG608" s="936"/>
      <c r="CH608" s="15"/>
      <c r="CI608" s="15"/>
      <c r="CJ608" s="15"/>
      <c r="CK608" s="1107"/>
      <c r="CL608" s="22"/>
      <c r="CM608" s="22"/>
      <c r="CN608" s="1107"/>
      <c r="CR608" s="223"/>
      <c r="CS608" s="952"/>
      <c r="CT608" s="1066"/>
      <c r="CU608" s="972"/>
      <c r="CV608" s="983"/>
      <c r="CW608" s="222"/>
      <c r="CX608" s="697"/>
      <c r="DC608" s="222"/>
      <c r="DJ608" s="889"/>
      <c r="DM608" s="890"/>
      <c r="DN608" s="952"/>
      <c r="DO608" s="75"/>
      <c r="DP608" s="962"/>
      <c r="DQ608" s="983"/>
      <c r="DV608" s="889"/>
    </row>
    <row r="609" spans="1:126" s="74" customFormat="1">
      <c r="A609" s="15"/>
      <c r="B609" s="15"/>
      <c r="C609" s="15"/>
      <c r="D609" s="15"/>
      <c r="E609" s="6"/>
      <c r="F609" s="6"/>
      <c r="G609" s="6"/>
      <c r="K609" s="222"/>
      <c r="V609" s="1430"/>
      <c r="AA609" s="223"/>
      <c r="AC609" s="889"/>
      <c r="AF609" s="890"/>
      <c r="AJ609" s="889"/>
      <c r="AN609" s="222"/>
      <c r="BC609" s="223"/>
      <c r="BD609" s="222"/>
      <c r="BH609" s="611"/>
      <c r="BJ609" s="15"/>
      <c r="BK609" s="15"/>
      <c r="BO609" s="223"/>
      <c r="BQ609" s="889"/>
      <c r="BT609" s="890"/>
      <c r="BX609" s="889"/>
      <c r="CB609" s="15"/>
      <c r="CC609" s="697"/>
      <c r="CD609" s="1086"/>
      <c r="CE609" s="15"/>
      <c r="CF609" s="15"/>
      <c r="CG609" s="936"/>
      <c r="CH609" s="15"/>
      <c r="CI609" s="15"/>
      <c r="CJ609" s="15"/>
      <c r="CK609" s="1107"/>
      <c r="CL609" s="22"/>
      <c r="CM609" s="22"/>
      <c r="CN609" s="1107"/>
      <c r="CR609" s="223"/>
      <c r="CS609" s="952"/>
      <c r="CT609" s="1066"/>
      <c r="CU609" s="972"/>
      <c r="CV609" s="983"/>
      <c r="CW609" s="222"/>
      <c r="CX609" s="697"/>
      <c r="DC609" s="222"/>
      <c r="DJ609" s="889"/>
      <c r="DM609" s="890"/>
      <c r="DN609" s="952"/>
      <c r="DO609" s="75"/>
      <c r="DP609" s="962"/>
      <c r="DQ609" s="983"/>
      <c r="DV609" s="889"/>
    </row>
    <row r="610" spans="1:126" s="74" customFormat="1">
      <c r="A610" s="15"/>
      <c r="B610" s="15"/>
      <c r="C610" s="15"/>
      <c r="D610" s="15"/>
      <c r="E610" s="6"/>
      <c r="F610" s="6"/>
      <c r="G610" s="6"/>
      <c r="K610" s="222"/>
      <c r="V610" s="1430"/>
      <c r="AA610" s="223"/>
      <c r="AC610" s="889"/>
      <c r="AF610" s="890"/>
      <c r="AJ610" s="889"/>
      <c r="AN610" s="222"/>
      <c r="BC610" s="223"/>
      <c r="BD610" s="222"/>
      <c r="BH610" s="611"/>
      <c r="BJ610" s="15"/>
      <c r="BK610" s="15"/>
      <c r="BO610" s="223"/>
      <c r="BQ610" s="889"/>
      <c r="BT610" s="890"/>
      <c r="BX610" s="889"/>
      <c r="CB610" s="15"/>
      <c r="CC610" s="697"/>
      <c r="CD610" s="1086"/>
      <c r="CE610" s="15"/>
      <c r="CF610" s="15"/>
      <c r="CG610" s="936"/>
      <c r="CH610" s="15"/>
      <c r="CI610" s="15"/>
      <c r="CJ610" s="15"/>
      <c r="CK610" s="1107"/>
      <c r="CL610" s="22"/>
      <c r="CM610" s="22"/>
      <c r="CN610" s="1107"/>
      <c r="CR610" s="223"/>
      <c r="CS610" s="952"/>
      <c r="CT610" s="1066"/>
      <c r="CU610" s="972"/>
      <c r="CV610" s="983"/>
      <c r="CW610" s="222"/>
      <c r="CX610" s="697"/>
      <c r="DC610" s="222"/>
      <c r="DJ610" s="889"/>
      <c r="DM610" s="890"/>
      <c r="DN610" s="952"/>
      <c r="DO610" s="75"/>
      <c r="DP610" s="962"/>
      <c r="DQ610" s="983"/>
      <c r="DV610" s="889"/>
    </row>
    <row r="611" spans="1:126" s="74" customFormat="1">
      <c r="A611" s="15"/>
      <c r="B611" s="15"/>
      <c r="C611" s="15"/>
      <c r="D611" s="15"/>
      <c r="E611" s="6"/>
      <c r="F611" s="6"/>
      <c r="G611" s="6"/>
      <c r="K611" s="222"/>
      <c r="V611" s="1430"/>
      <c r="AA611" s="223"/>
      <c r="AC611" s="889"/>
      <c r="AF611" s="890"/>
      <c r="AJ611" s="889"/>
      <c r="AN611" s="222"/>
      <c r="BC611" s="223"/>
      <c r="BD611" s="222"/>
      <c r="BH611" s="611"/>
      <c r="BJ611" s="15"/>
      <c r="BK611" s="15"/>
      <c r="BO611" s="223"/>
      <c r="BQ611" s="889"/>
      <c r="BT611" s="890"/>
      <c r="BX611" s="889"/>
      <c r="CB611" s="15"/>
      <c r="CC611" s="697"/>
      <c r="CD611" s="1086"/>
      <c r="CE611" s="15"/>
      <c r="CF611" s="15"/>
      <c r="CG611" s="936"/>
      <c r="CH611" s="15"/>
      <c r="CI611" s="15"/>
      <c r="CJ611" s="15"/>
      <c r="CK611" s="1107"/>
      <c r="CL611" s="22"/>
      <c r="CM611" s="22"/>
      <c r="CN611" s="1107"/>
      <c r="CR611" s="223"/>
      <c r="CS611" s="952"/>
      <c r="CT611" s="1066"/>
      <c r="CU611" s="972"/>
      <c r="CV611" s="983"/>
      <c r="CW611" s="222"/>
      <c r="CX611" s="697"/>
      <c r="DC611" s="222"/>
      <c r="DJ611" s="889"/>
      <c r="DM611" s="890"/>
      <c r="DN611" s="952"/>
      <c r="DO611" s="75"/>
      <c r="DP611" s="962"/>
      <c r="DQ611" s="983"/>
      <c r="DV611" s="889"/>
    </row>
    <row r="612" spans="1:126" s="74" customFormat="1">
      <c r="A612" s="15"/>
      <c r="B612" s="15"/>
      <c r="C612" s="15"/>
      <c r="D612" s="15"/>
      <c r="E612" s="6"/>
      <c r="F612" s="6"/>
      <c r="G612" s="6"/>
      <c r="K612" s="222"/>
      <c r="V612" s="1430"/>
      <c r="AA612" s="223"/>
      <c r="AC612" s="889"/>
      <c r="AF612" s="890"/>
      <c r="AJ612" s="889"/>
      <c r="AN612" s="222"/>
      <c r="BC612" s="223"/>
      <c r="BD612" s="222"/>
      <c r="BH612" s="611"/>
      <c r="BJ612" s="15"/>
      <c r="BK612" s="15"/>
      <c r="BO612" s="223"/>
      <c r="BQ612" s="889"/>
      <c r="BT612" s="890"/>
      <c r="BX612" s="889"/>
      <c r="CB612" s="15"/>
      <c r="CC612" s="697"/>
      <c r="CD612" s="1086"/>
      <c r="CE612" s="15"/>
      <c r="CF612" s="15"/>
      <c r="CG612" s="936"/>
      <c r="CH612" s="15"/>
      <c r="CI612" s="15"/>
      <c r="CJ612" s="15"/>
      <c r="CK612" s="1107"/>
      <c r="CL612" s="22"/>
      <c r="CM612" s="22"/>
      <c r="CN612" s="1107"/>
      <c r="CR612" s="223"/>
      <c r="CS612" s="952"/>
      <c r="CT612" s="1066"/>
      <c r="CU612" s="972"/>
      <c r="CV612" s="983"/>
      <c r="CW612" s="222"/>
      <c r="CX612" s="697"/>
      <c r="DC612" s="222"/>
      <c r="DJ612" s="889"/>
      <c r="DM612" s="890"/>
      <c r="DN612" s="952"/>
      <c r="DO612" s="75"/>
      <c r="DP612" s="962"/>
      <c r="DQ612" s="983"/>
      <c r="DV612" s="889"/>
    </row>
    <row r="613" spans="1:126" s="74" customFormat="1">
      <c r="A613" s="15"/>
      <c r="B613" s="15"/>
      <c r="C613" s="15"/>
      <c r="D613" s="15"/>
      <c r="E613" s="6"/>
      <c r="F613" s="6"/>
      <c r="G613" s="6"/>
      <c r="K613" s="222"/>
      <c r="V613" s="1430"/>
      <c r="AA613" s="223"/>
      <c r="AC613" s="889"/>
      <c r="AF613" s="890"/>
      <c r="AJ613" s="889"/>
      <c r="AN613" s="222"/>
      <c r="BC613" s="223"/>
      <c r="BD613" s="222"/>
      <c r="BH613" s="611"/>
      <c r="BJ613" s="15"/>
      <c r="BK613" s="15"/>
      <c r="BO613" s="223"/>
      <c r="BQ613" s="889"/>
      <c r="BT613" s="890"/>
      <c r="BX613" s="889"/>
      <c r="CB613" s="15"/>
      <c r="CC613" s="697"/>
      <c r="CD613" s="1086"/>
      <c r="CE613" s="15"/>
      <c r="CF613" s="15"/>
      <c r="CG613" s="936"/>
      <c r="CH613" s="15"/>
      <c r="CI613" s="15"/>
      <c r="CJ613" s="15"/>
      <c r="CK613" s="1107"/>
      <c r="CL613" s="22"/>
      <c r="CM613" s="22"/>
      <c r="CN613" s="1107"/>
      <c r="CR613" s="223"/>
      <c r="CS613" s="952"/>
      <c r="CT613" s="1066"/>
      <c r="CU613" s="972"/>
      <c r="CV613" s="983"/>
      <c r="CW613" s="222"/>
      <c r="CX613" s="697"/>
      <c r="DC613" s="222"/>
      <c r="DJ613" s="889"/>
      <c r="DM613" s="890"/>
      <c r="DN613" s="952"/>
      <c r="DO613" s="75"/>
      <c r="DP613" s="962"/>
      <c r="DQ613" s="983"/>
      <c r="DV613" s="889"/>
    </row>
    <row r="614" spans="1:126" s="74" customFormat="1">
      <c r="A614" s="15"/>
      <c r="B614" s="15"/>
      <c r="C614" s="15"/>
      <c r="D614" s="15"/>
      <c r="E614" s="6"/>
      <c r="F614" s="6"/>
      <c r="G614" s="6"/>
      <c r="K614" s="222"/>
      <c r="V614" s="1430"/>
      <c r="AA614" s="223"/>
      <c r="AC614" s="889"/>
      <c r="AF614" s="890"/>
      <c r="AJ614" s="889"/>
      <c r="AN614" s="222"/>
      <c r="BC614" s="223"/>
      <c r="BD614" s="222"/>
      <c r="BH614" s="611"/>
      <c r="BJ614" s="15"/>
      <c r="BK614" s="15"/>
      <c r="BO614" s="223"/>
      <c r="BQ614" s="889"/>
      <c r="BT614" s="890"/>
      <c r="BX614" s="889"/>
      <c r="CB614" s="15"/>
      <c r="CC614" s="697"/>
      <c r="CD614" s="1086"/>
      <c r="CE614" s="15"/>
      <c r="CF614" s="15"/>
      <c r="CG614" s="936"/>
      <c r="CH614" s="15"/>
      <c r="CI614" s="15"/>
      <c r="CJ614" s="15"/>
      <c r="CK614" s="1107"/>
      <c r="CL614" s="22"/>
      <c r="CM614" s="22"/>
      <c r="CN614" s="1107"/>
      <c r="CR614" s="223"/>
      <c r="CS614" s="952"/>
      <c r="CT614" s="1066"/>
      <c r="CU614" s="972"/>
      <c r="CV614" s="983"/>
      <c r="CW614" s="222"/>
      <c r="CX614" s="697"/>
      <c r="DC614" s="222"/>
      <c r="DJ614" s="889"/>
      <c r="DM614" s="890"/>
      <c r="DN614" s="952"/>
      <c r="DO614" s="75"/>
      <c r="DP614" s="962"/>
      <c r="DQ614" s="983"/>
      <c r="DV614" s="889"/>
    </row>
    <row r="615" spans="1:126" s="74" customFormat="1">
      <c r="A615" s="15"/>
      <c r="B615" s="15"/>
      <c r="C615" s="15"/>
      <c r="D615" s="15"/>
      <c r="E615" s="6"/>
      <c r="F615" s="6"/>
      <c r="G615" s="6"/>
      <c r="K615" s="222"/>
      <c r="V615" s="1430"/>
      <c r="AA615" s="223"/>
      <c r="AC615" s="889"/>
      <c r="AF615" s="890"/>
      <c r="AJ615" s="889"/>
      <c r="AN615" s="222"/>
      <c r="BC615" s="223"/>
      <c r="BD615" s="222"/>
      <c r="BH615" s="611"/>
      <c r="BJ615" s="15"/>
      <c r="BK615" s="15"/>
      <c r="BO615" s="223"/>
      <c r="BQ615" s="889"/>
      <c r="BT615" s="890"/>
      <c r="BX615" s="889"/>
      <c r="CB615" s="15"/>
      <c r="CC615" s="697"/>
      <c r="CD615" s="1086"/>
      <c r="CE615" s="15"/>
      <c r="CF615" s="15"/>
      <c r="CG615" s="936"/>
      <c r="CH615" s="15"/>
      <c r="CI615" s="15"/>
      <c r="CJ615" s="15"/>
      <c r="CK615" s="1107"/>
      <c r="CL615" s="22"/>
      <c r="CM615" s="22"/>
      <c r="CN615" s="1107"/>
      <c r="CR615" s="223"/>
      <c r="CS615" s="952"/>
      <c r="CT615" s="1066"/>
      <c r="CU615" s="972"/>
      <c r="CV615" s="983"/>
      <c r="CW615" s="222"/>
      <c r="CX615" s="697"/>
      <c r="DC615" s="222"/>
      <c r="DJ615" s="889"/>
      <c r="DM615" s="890"/>
      <c r="DN615" s="952"/>
      <c r="DO615" s="75"/>
      <c r="DP615" s="962"/>
      <c r="DQ615" s="983"/>
      <c r="DV615" s="889"/>
    </row>
    <row r="616" spans="1:126" s="74" customFormat="1">
      <c r="A616" s="15"/>
      <c r="B616" s="15"/>
      <c r="C616" s="15"/>
      <c r="D616" s="15"/>
      <c r="E616" s="6"/>
      <c r="F616" s="6"/>
      <c r="G616" s="6"/>
      <c r="K616" s="222"/>
      <c r="V616" s="1430"/>
      <c r="AA616" s="223"/>
      <c r="AC616" s="889"/>
      <c r="AF616" s="890"/>
      <c r="AJ616" s="889"/>
      <c r="AN616" s="222"/>
      <c r="BC616" s="223"/>
      <c r="BD616" s="222"/>
      <c r="BH616" s="611"/>
      <c r="BJ616" s="15"/>
      <c r="BK616" s="15"/>
      <c r="BO616" s="223"/>
      <c r="BQ616" s="889"/>
      <c r="BT616" s="890"/>
      <c r="BX616" s="889"/>
      <c r="CB616" s="15"/>
      <c r="CC616" s="697"/>
      <c r="CD616" s="1086"/>
      <c r="CE616" s="15"/>
      <c r="CF616" s="15"/>
      <c r="CG616" s="936"/>
      <c r="CH616" s="15"/>
      <c r="CI616" s="15"/>
      <c r="CJ616" s="15"/>
      <c r="CK616" s="1107"/>
      <c r="CL616" s="22"/>
      <c r="CM616" s="22"/>
      <c r="CN616" s="1107"/>
      <c r="CR616" s="223"/>
      <c r="CS616" s="952"/>
      <c r="CT616" s="1066"/>
      <c r="CU616" s="972"/>
      <c r="CV616" s="983"/>
      <c r="CW616" s="222"/>
      <c r="CX616" s="697"/>
      <c r="DC616" s="222"/>
      <c r="DJ616" s="889"/>
      <c r="DM616" s="890"/>
      <c r="DN616" s="952"/>
      <c r="DO616" s="75"/>
      <c r="DP616" s="962"/>
      <c r="DQ616" s="983"/>
      <c r="DV616" s="889"/>
    </row>
    <row r="617" spans="1:126" s="74" customFormat="1">
      <c r="A617" s="15"/>
      <c r="B617" s="15"/>
      <c r="C617" s="15"/>
      <c r="D617" s="15"/>
      <c r="E617" s="6"/>
      <c r="F617" s="6"/>
      <c r="G617" s="6"/>
      <c r="K617" s="222"/>
      <c r="V617" s="1430"/>
      <c r="AA617" s="223"/>
      <c r="AC617" s="889"/>
      <c r="AF617" s="890"/>
      <c r="AJ617" s="889"/>
      <c r="AN617" s="222"/>
      <c r="BC617" s="223"/>
      <c r="BD617" s="222"/>
      <c r="BH617" s="611"/>
      <c r="BJ617" s="15"/>
      <c r="BK617" s="15"/>
      <c r="BO617" s="223"/>
      <c r="BQ617" s="889"/>
      <c r="BT617" s="890"/>
      <c r="BX617" s="889"/>
      <c r="CB617" s="15"/>
      <c r="CC617" s="697"/>
      <c r="CD617" s="1086"/>
      <c r="CE617" s="15"/>
      <c r="CF617" s="15"/>
      <c r="CG617" s="936"/>
      <c r="CH617" s="15"/>
      <c r="CI617" s="15"/>
      <c r="CJ617" s="15"/>
      <c r="CK617" s="1107"/>
      <c r="CL617" s="22"/>
      <c r="CM617" s="22"/>
      <c r="CN617" s="1107"/>
      <c r="CR617" s="223"/>
      <c r="CS617" s="952"/>
      <c r="CT617" s="1066"/>
      <c r="CU617" s="972"/>
      <c r="CV617" s="983"/>
      <c r="CW617" s="222"/>
      <c r="CX617" s="697"/>
      <c r="DC617" s="222"/>
      <c r="DJ617" s="889"/>
      <c r="DM617" s="890"/>
      <c r="DN617" s="952"/>
      <c r="DO617" s="75"/>
      <c r="DP617" s="962"/>
      <c r="DQ617" s="983"/>
      <c r="DV617" s="889"/>
    </row>
    <row r="618" spans="1:126" s="74" customFormat="1">
      <c r="A618" s="15"/>
      <c r="B618" s="15"/>
      <c r="C618" s="15"/>
      <c r="D618" s="15"/>
      <c r="E618" s="6"/>
      <c r="F618" s="6"/>
      <c r="G618" s="6"/>
      <c r="K618" s="222"/>
      <c r="V618" s="1430"/>
      <c r="AA618" s="223"/>
      <c r="AC618" s="889"/>
      <c r="AF618" s="890"/>
      <c r="AJ618" s="889"/>
      <c r="AN618" s="222"/>
      <c r="BC618" s="223"/>
      <c r="BD618" s="222"/>
      <c r="BH618" s="611"/>
      <c r="BJ618" s="15"/>
      <c r="BK618" s="15"/>
      <c r="BO618" s="223"/>
      <c r="BQ618" s="889"/>
      <c r="BT618" s="890"/>
      <c r="BX618" s="889"/>
      <c r="CB618" s="15"/>
      <c r="CC618" s="697"/>
      <c r="CD618" s="1086"/>
      <c r="CE618" s="15"/>
      <c r="CF618" s="15"/>
      <c r="CG618" s="936"/>
      <c r="CH618" s="15"/>
      <c r="CI618" s="15"/>
      <c r="CJ618" s="15"/>
      <c r="CK618" s="1107"/>
      <c r="CL618" s="22"/>
      <c r="CM618" s="22"/>
      <c r="CN618" s="1107"/>
      <c r="CR618" s="223"/>
      <c r="CS618" s="952"/>
      <c r="CT618" s="1066"/>
      <c r="CU618" s="972"/>
      <c r="CV618" s="983"/>
      <c r="CW618" s="222"/>
      <c r="CX618" s="697"/>
      <c r="DC618" s="222"/>
      <c r="DJ618" s="889"/>
      <c r="DM618" s="890"/>
      <c r="DN618" s="952"/>
      <c r="DO618" s="75"/>
      <c r="DP618" s="962"/>
      <c r="DQ618" s="983"/>
      <c r="DV618" s="889"/>
    </row>
    <row r="619" spans="1:126" s="74" customFormat="1">
      <c r="A619" s="15"/>
      <c r="B619" s="15"/>
      <c r="C619" s="15"/>
      <c r="D619" s="15"/>
      <c r="E619" s="6"/>
      <c r="F619" s="6"/>
      <c r="G619" s="6"/>
      <c r="K619" s="222"/>
      <c r="V619" s="1430"/>
      <c r="AA619" s="223"/>
      <c r="AC619" s="889"/>
      <c r="AF619" s="890"/>
      <c r="AJ619" s="889"/>
      <c r="AN619" s="222"/>
      <c r="BC619" s="223"/>
      <c r="BD619" s="222"/>
      <c r="BH619" s="611"/>
      <c r="BJ619" s="15"/>
      <c r="BK619" s="15"/>
      <c r="BO619" s="223"/>
      <c r="BQ619" s="889"/>
      <c r="BT619" s="890"/>
      <c r="BX619" s="889"/>
      <c r="CB619" s="15"/>
      <c r="CC619" s="697"/>
      <c r="CD619" s="1086"/>
      <c r="CE619" s="15"/>
      <c r="CF619" s="15"/>
      <c r="CG619" s="936"/>
      <c r="CH619" s="15"/>
      <c r="CI619" s="15"/>
      <c r="CJ619" s="15"/>
      <c r="CK619" s="1107"/>
      <c r="CL619" s="22"/>
      <c r="CM619" s="22"/>
      <c r="CN619" s="1107"/>
      <c r="CR619" s="223"/>
      <c r="CS619" s="952"/>
      <c r="CT619" s="1066"/>
      <c r="CU619" s="972"/>
      <c r="CV619" s="983"/>
      <c r="CW619" s="222"/>
      <c r="CX619" s="697"/>
      <c r="DC619" s="222"/>
      <c r="DJ619" s="889"/>
      <c r="DM619" s="890"/>
      <c r="DN619" s="952"/>
      <c r="DO619" s="75"/>
      <c r="DP619" s="962"/>
      <c r="DQ619" s="983"/>
      <c r="DV619" s="889"/>
    </row>
    <row r="620" spans="1:126" s="74" customFormat="1">
      <c r="A620" s="15"/>
      <c r="B620" s="15"/>
      <c r="C620" s="15"/>
      <c r="D620" s="15"/>
      <c r="E620" s="6"/>
      <c r="F620" s="6"/>
      <c r="G620" s="6"/>
      <c r="K620" s="222"/>
      <c r="V620" s="1430"/>
      <c r="AA620" s="223"/>
      <c r="AC620" s="889"/>
      <c r="AF620" s="890"/>
      <c r="AJ620" s="889"/>
      <c r="AN620" s="222"/>
      <c r="BC620" s="223"/>
      <c r="BD620" s="222"/>
      <c r="BH620" s="611"/>
      <c r="BJ620" s="15"/>
      <c r="BK620" s="15"/>
      <c r="BO620" s="223"/>
      <c r="BQ620" s="889"/>
      <c r="BT620" s="890"/>
      <c r="BX620" s="889"/>
      <c r="CB620" s="15"/>
      <c r="CC620" s="697"/>
      <c r="CD620" s="1086"/>
      <c r="CE620" s="15"/>
      <c r="CF620" s="15"/>
      <c r="CG620" s="936"/>
      <c r="CH620" s="15"/>
      <c r="CI620" s="15"/>
      <c r="CJ620" s="15"/>
      <c r="CK620" s="1107"/>
      <c r="CL620" s="22"/>
      <c r="CM620" s="22"/>
      <c r="CN620" s="1107"/>
      <c r="CR620" s="223"/>
      <c r="CS620" s="952"/>
      <c r="CT620" s="1066"/>
      <c r="CU620" s="972"/>
      <c r="CV620" s="983"/>
      <c r="CW620" s="222"/>
      <c r="CX620" s="697"/>
      <c r="DC620" s="222"/>
      <c r="DJ620" s="889"/>
      <c r="DM620" s="890"/>
      <c r="DN620" s="952"/>
      <c r="DO620" s="75"/>
      <c r="DP620" s="962"/>
      <c r="DQ620" s="983"/>
      <c r="DV620" s="889"/>
    </row>
    <row r="621" spans="1:126" s="74" customFormat="1">
      <c r="A621" s="15"/>
      <c r="B621" s="15"/>
      <c r="C621" s="15"/>
      <c r="D621" s="15"/>
      <c r="E621" s="6"/>
      <c r="F621" s="6"/>
      <c r="G621" s="6"/>
      <c r="K621" s="222"/>
      <c r="V621" s="1430"/>
      <c r="AA621" s="223"/>
      <c r="AC621" s="889"/>
      <c r="AF621" s="890"/>
      <c r="AJ621" s="889"/>
      <c r="AN621" s="222"/>
      <c r="BC621" s="223"/>
      <c r="BD621" s="222"/>
      <c r="BH621" s="611"/>
      <c r="BJ621" s="15"/>
      <c r="BK621" s="15"/>
      <c r="BO621" s="223"/>
      <c r="BQ621" s="889"/>
      <c r="BT621" s="890"/>
      <c r="BX621" s="889"/>
      <c r="CB621" s="15"/>
      <c r="CC621" s="697"/>
      <c r="CD621" s="1086"/>
      <c r="CE621" s="15"/>
      <c r="CF621" s="15"/>
      <c r="CG621" s="936"/>
      <c r="CH621" s="15"/>
      <c r="CI621" s="15"/>
      <c r="CJ621" s="15"/>
      <c r="CK621" s="1107"/>
      <c r="CL621" s="22"/>
      <c r="CM621" s="22"/>
      <c r="CN621" s="1107"/>
      <c r="CR621" s="223"/>
      <c r="CS621" s="952"/>
      <c r="CT621" s="1066"/>
      <c r="CU621" s="972"/>
      <c r="CV621" s="983"/>
      <c r="CW621" s="222"/>
      <c r="CX621" s="697"/>
      <c r="DC621" s="222"/>
      <c r="DJ621" s="889"/>
      <c r="DM621" s="890"/>
      <c r="DN621" s="952"/>
      <c r="DO621" s="75"/>
      <c r="DP621" s="962"/>
      <c r="DQ621" s="983"/>
      <c r="DV621" s="889"/>
    </row>
    <row r="622" spans="1:126" s="74" customFormat="1">
      <c r="A622" s="15"/>
      <c r="B622" s="15"/>
      <c r="C622" s="15"/>
      <c r="D622" s="15"/>
      <c r="E622" s="6"/>
      <c r="F622" s="6"/>
      <c r="G622" s="6"/>
      <c r="K622" s="222"/>
      <c r="V622" s="1430"/>
      <c r="AA622" s="223"/>
      <c r="AC622" s="889"/>
      <c r="AF622" s="890"/>
      <c r="AJ622" s="889"/>
      <c r="AN622" s="222"/>
      <c r="BC622" s="223"/>
      <c r="BD622" s="222"/>
      <c r="BH622" s="611"/>
      <c r="BJ622" s="15"/>
      <c r="BK622" s="15"/>
      <c r="BO622" s="223"/>
      <c r="BQ622" s="889"/>
      <c r="BT622" s="890"/>
      <c r="BX622" s="889"/>
      <c r="CB622" s="15"/>
      <c r="CC622" s="697"/>
      <c r="CD622" s="1086"/>
      <c r="CE622" s="15"/>
      <c r="CF622" s="15"/>
      <c r="CG622" s="936"/>
      <c r="CH622" s="15"/>
      <c r="CI622" s="15"/>
      <c r="CJ622" s="15"/>
      <c r="CK622" s="1107"/>
      <c r="CL622" s="22"/>
      <c r="CM622" s="22"/>
      <c r="CN622" s="1107"/>
      <c r="CR622" s="223"/>
      <c r="CS622" s="952"/>
      <c r="CT622" s="1066"/>
      <c r="CU622" s="972"/>
      <c r="CV622" s="983"/>
      <c r="CW622" s="222"/>
      <c r="CX622" s="697"/>
      <c r="DC622" s="222"/>
      <c r="DJ622" s="889"/>
      <c r="DM622" s="890"/>
      <c r="DN622" s="952"/>
      <c r="DO622" s="75"/>
      <c r="DP622" s="962"/>
      <c r="DQ622" s="983"/>
      <c r="DV622" s="889"/>
    </row>
    <row r="623" spans="1:126" s="74" customFormat="1">
      <c r="A623" s="15"/>
      <c r="B623" s="15"/>
      <c r="C623" s="15"/>
      <c r="D623" s="15"/>
      <c r="E623" s="6"/>
      <c r="F623" s="6"/>
      <c r="G623" s="6"/>
      <c r="K623" s="222"/>
      <c r="V623" s="1430"/>
      <c r="AA623" s="223"/>
      <c r="AC623" s="889"/>
      <c r="AF623" s="890"/>
      <c r="AJ623" s="889"/>
      <c r="AN623" s="222"/>
      <c r="BC623" s="223"/>
      <c r="BD623" s="222"/>
      <c r="BH623" s="611"/>
      <c r="BJ623" s="15"/>
      <c r="BK623" s="15"/>
      <c r="BO623" s="223"/>
      <c r="BQ623" s="889"/>
      <c r="BT623" s="890"/>
      <c r="BX623" s="889"/>
      <c r="CB623" s="15"/>
      <c r="CC623" s="697"/>
      <c r="CD623" s="1086"/>
      <c r="CE623" s="15"/>
      <c r="CF623" s="15"/>
      <c r="CG623" s="936"/>
      <c r="CH623" s="15"/>
      <c r="CI623" s="15"/>
      <c r="CJ623" s="15"/>
      <c r="CK623" s="1107"/>
      <c r="CL623" s="22"/>
      <c r="CM623" s="22"/>
      <c r="CN623" s="1107"/>
      <c r="CR623" s="223"/>
      <c r="CS623" s="952"/>
      <c r="CT623" s="1066"/>
      <c r="CU623" s="972"/>
      <c r="CV623" s="983"/>
      <c r="CW623" s="222"/>
      <c r="CX623" s="697"/>
      <c r="DC623" s="222"/>
      <c r="DJ623" s="889"/>
      <c r="DM623" s="890"/>
      <c r="DN623" s="952"/>
      <c r="DO623" s="75"/>
      <c r="DP623" s="962"/>
      <c r="DQ623" s="983"/>
      <c r="DV623" s="889"/>
    </row>
    <row r="624" spans="1:126" s="74" customFormat="1">
      <c r="A624" s="15"/>
      <c r="B624" s="15"/>
      <c r="C624" s="15"/>
      <c r="D624" s="15"/>
      <c r="E624" s="6"/>
      <c r="F624" s="6"/>
      <c r="G624" s="6"/>
      <c r="K624" s="222"/>
      <c r="V624" s="1430"/>
      <c r="AA624" s="223"/>
      <c r="AC624" s="889"/>
      <c r="AF624" s="890"/>
      <c r="AJ624" s="889"/>
      <c r="AN624" s="222"/>
      <c r="BC624" s="223"/>
      <c r="BD624" s="222"/>
      <c r="BH624" s="611"/>
      <c r="BJ624" s="15"/>
      <c r="BK624" s="15"/>
      <c r="BO624" s="223"/>
      <c r="BQ624" s="889"/>
      <c r="BT624" s="890"/>
      <c r="BX624" s="889"/>
      <c r="CB624" s="15"/>
      <c r="CC624" s="697"/>
      <c r="CD624" s="1086"/>
      <c r="CE624" s="15"/>
      <c r="CF624" s="15"/>
      <c r="CG624" s="936"/>
      <c r="CH624" s="15"/>
      <c r="CI624" s="15"/>
      <c r="CJ624" s="15"/>
      <c r="CK624" s="1107"/>
      <c r="CL624" s="22"/>
      <c r="CM624" s="22"/>
      <c r="CN624" s="1107"/>
      <c r="CR624" s="223"/>
      <c r="CS624" s="952"/>
      <c r="CT624" s="1066"/>
      <c r="CU624" s="972"/>
      <c r="CV624" s="983"/>
      <c r="CW624" s="222"/>
      <c r="CX624" s="697"/>
      <c r="DC624" s="222"/>
      <c r="DJ624" s="889"/>
      <c r="DM624" s="890"/>
      <c r="DN624" s="952"/>
      <c r="DO624" s="75"/>
      <c r="DP624" s="962"/>
      <c r="DQ624" s="983"/>
      <c r="DV624" s="889"/>
    </row>
    <row r="625" spans="1:126" s="74" customFormat="1">
      <c r="A625" s="15"/>
      <c r="B625" s="15"/>
      <c r="C625" s="15"/>
      <c r="D625" s="15"/>
      <c r="E625" s="6"/>
      <c r="F625" s="6"/>
      <c r="G625" s="6"/>
      <c r="K625" s="222"/>
      <c r="V625" s="1430"/>
      <c r="AA625" s="223"/>
      <c r="AC625" s="889"/>
      <c r="AF625" s="890"/>
      <c r="AJ625" s="889"/>
      <c r="AN625" s="222"/>
      <c r="BC625" s="223"/>
      <c r="BD625" s="222"/>
      <c r="BH625" s="611"/>
      <c r="BJ625" s="15"/>
      <c r="BK625" s="15"/>
      <c r="BO625" s="223"/>
      <c r="BQ625" s="889"/>
      <c r="BT625" s="890"/>
      <c r="BX625" s="889"/>
      <c r="CB625" s="15"/>
      <c r="CC625" s="697"/>
      <c r="CD625" s="1086"/>
      <c r="CE625" s="15"/>
      <c r="CF625" s="15"/>
      <c r="CG625" s="936"/>
      <c r="CH625" s="15"/>
      <c r="CI625" s="15"/>
      <c r="CJ625" s="15"/>
      <c r="CK625" s="1107"/>
      <c r="CL625" s="22"/>
      <c r="CM625" s="22"/>
      <c r="CN625" s="1107"/>
      <c r="CR625" s="223"/>
      <c r="CS625" s="952"/>
      <c r="CT625" s="1066"/>
      <c r="CU625" s="972"/>
      <c r="CV625" s="983"/>
      <c r="CW625" s="222"/>
      <c r="CX625" s="697"/>
      <c r="DC625" s="222"/>
      <c r="DJ625" s="889"/>
      <c r="DM625" s="890"/>
      <c r="DN625" s="952"/>
      <c r="DO625" s="75"/>
      <c r="DP625" s="962"/>
      <c r="DQ625" s="983"/>
      <c r="DV625" s="889"/>
    </row>
    <row r="626" spans="1:126" s="74" customFormat="1">
      <c r="A626" s="15"/>
      <c r="B626" s="15"/>
      <c r="C626" s="15"/>
      <c r="D626" s="15"/>
      <c r="E626" s="6"/>
      <c r="F626" s="6"/>
      <c r="G626" s="6"/>
      <c r="K626" s="222"/>
      <c r="V626" s="1430"/>
      <c r="AA626" s="223"/>
      <c r="AC626" s="889"/>
      <c r="AF626" s="890"/>
      <c r="AJ626" s="889"/>
      <c r="AN626" s="222"/>
      <c r="BC626" s="223"/>
      <c r="BD626" s="222"/>
      <c r="BH626" s="611"/>
      <c r="BJ626" s="15"/>
      <c r="BK626" s="15"/>
      <c r="BO626" s="223"/>
      <c r="BQ626" s="889"/>
      <c r="BT626" s="890"/>
      <c r="BX626" s="889"/>
      <c r="CB626" s="15"/>
      <c r="CC626" s="697"/>
      <c r="CD626" s="1086"/>
      <c r="CE626" s="15"/>
      <c r="CF626" s="15"/>
      <c r="CG626" s="936"/>
      <c r="CH626" s="15"/>
      <c r="CI626" s="15"/>
      <c r="CJ626" s="15"/>
      <c r="CK626" s="1107"/>
      <c r="CL626" s="22"/>
      <c r="CM626" s="22"/>
      <c r="CN626" s="1107"/>
      <c r="CR626" s="223"/>
      <c r="CS626" s="952"/>
      <c r="CT626" s="1066"/>
      <c r="CU626" s="972"/>
      <c r="CV626" s="983"/>
      <c r="CW626" s="222"/>
      <c r="CX626" s="697"/>
      <c r="DC626" s="222"/>
      <c r="DJ626" s="889"/>
      <c r="DM626" s="890"/>
      <c r="DN626" s="952"/>
      <c r="DO626" s="75"/>
      <c r="DP626" s="962"/>
      <c r="DQ626" s="983"/>
      <c r="DV626" s="889"/>
    </row>
    <row r="627" spans="1:126" s="74" customFormat="1">
      <c r="A627" s="15"/>
      <c r="B627" s="15"/>
      <c r="C627" s="15"/>
      <c r="D627" s="15"/>
      <c r="E627" s="6"/>
      <c r="F627" s="6"/>
      <c r="G627" s="6"/>
      <c r="K627" s="222"/>
      <c r="V627" s="1430"/>
      <c r="AA627" s="223"/>
      <c r="AC627" s="889"/>
      <c r="AF627" s="890"/>
      <c r="AJ627" s="889"/>
      <c r="AN627" s="222"/>
      <c r="BC627" s="223"/>
      <c r="BD627" s="222"/>
      <c r="BH627" s="611"/>
      <c r="BJ627" s="15"/>
      <c r="BK627" s="15"/>
      <c r="BO627" s="223"/>
      <c r="BQ627" s="889"/>
      <c r="BT627" s="890"/>
      <c r="BX627" s="889"/>
      <c r="CB627" s="15"/>
      <c r="CC627" s="697"/>
      <c r="CD627" s="1086"/>
      <c r="CE627" s="15"/>
      <c r="CF627" s="15"/>
      <c r="CG627" s="936"/>
      <c r="CH627" s="15"/>
      <c r="CI627" s="15"/>
      <c r="CJ627" s="15"/>
      <c r="CK627" s="1107"/>
      <c r="CL627" s="22"/>
      <c r="CM627" s="22"/>
      <c r="CN627" s="1107"/>
      <c r="CR627" s="223"/>
      <c r="CS627" s="952"/>
      <c r="CT627" s="1066"/>
      <c r="CU627" s="972"/>
      <c r="CV627" s="983"/>
      <c r="CW627" s="222"/>
      <c r="CX627" s="697"/>
      <c r="DC627" s="222"/>
      <c r="DJ627" s="889"/>
      <c r="DM627" s="890"/>
      <c r="DN627" s="952"/>
      <c r="DO627" s="75"/>
      <c r="DP627" s="962"/>
      <c r="DQ627" s="983"/>
      <c r="DV627" s="889"/>
    </row>
    <row r="628" spans="1:126" s="74" customFormat="1">
      <c r="A628" s="15"/>
      <c r="B628" s="15"/>
      <c r="C628" s="15"/>
      <c r="D628" s="15"/>
      <c r="E628" s="6"/>
      <c r="F628" s="6"/>
      <c r="G628" s="6"/>
      <c r="K628" s="222"/>
      <c r="V628" s="1430"/>
      <c r="AA628" s="223"/>
      <c r="AC628" s="889"/>
      <c r="AF628" s="890"/>
      <c r="AJ628" s="889"/>
      <c r="AN628" s="222"/>
      <c r="BC628" s="223"/>
      <c r="BD628" s="222"/>
      <c r="BH628" s="611"/>
      <c r="BJ628" s="15"/>
      <c r="BK628" s="15"/>
      <c r="BO628" s="223"/>
      <c r="BQ628" s="889"/>
      <c r="BT628" s="890"/>
      <c r="BX628" s="889"/>
      <c r="CB628" s="15"/>
      <c r="CC628" s="697"/>
      <c r="CD628" s="1086"/>
      <c r="CE628" s="15"/>
      <c r="CF628" s="15"/>
      <c r="CG628" s="936"/>
      <c r="CH628" s="15"/>
      <c r="CI628" s="15"/>
      <c r="CJ628" s="15"/>
      <c r="CK628" s="1107"/>
      <c r="CL628" s="22"/>
      <c r="CM628" s="22"/>
      <c r="CN628" s="1107"/>
      <c r="CR628" s="223"/>
      <c r="CS628" s="952"/>
      <c r="CT628" s="1066"/>
      <c r="CU628" s="972"/>
      <c r="CV628" s="983"/>
      <c r="CW628" s="222"/>
      <c r="CX628" s="697"/>
      <c r="DC628" s="222"/>
      <c r="DJ628" s="889"/>
      <c r="DM628" s="890"/>
      <c r="DN628" s="952"/>
      <c r="DO628" s="75"/>
      <c r="DP628" s="962"/>
      <c r="DQ628" s="983"/>
      <c r="DV628" s="889"/>
    </row>
    <row r="629" spans="1:126" s="74" customFormat="1">
      <c r="A629" s="15"/>
      <c r="B629" s="15"/>
      <c r="C629" s="15"/>
      <c r="D629" s="15"/>
      <c r="E629" s="6"/>
      <c r="F629" s="6"/>
      <c r="G629" s="6"/>
      <c r="K629" s="222"/>
      <c r="V629" s="1430"/>
      <c r="AA629" s="223"/>
      <c r="AC629" s="889"/>
      <c r="AF629" s="890"/>
      <c r="AJ629" s="889"/>
      <c r="AN629" s="222"/>
      <c r="BC629" s="223"/>
      <c r="BD629" s="222"/>
      <c r="BH629" s="611"/>
      <c r="BJ629" s="15"/>
      <c r="BK629" s="15"/>
      <c r="BO629" s="223"/>
      <c r="BQ629" s="889"/>
      <c r="BT629" s="890"/>
      <c r="BX629" s="889"/>
      <c r="CB629" s="15"/>
      <c r="CC629" s="697"/>
      <c r="CD629" s="1086"/>
      <c r="CE629" s="15"/>
      <c r="CF629" s="15"/>
      <c r="CG629" s="936"/>
      <c r="CH629" s="15"/>
      <c r="CI629" s="15"/>
      <c r="CJ629" s="15"/>
      <c r="CK629" s="1107"/>
      <c r="CL629" s="22"/>
      <c r="CM629" s="22"/>
      <c r="CN629" s="1107"/>
      <c r="CR629" s="223"/>
      <c r="CS629" s="952"/>
      <c r="CT629" s="1066"/>
      <c r="CU629" s="972"/>
      <c r="CV629" s="983"/>
      <c r="CW629" s="222"/>
      <c r="CX629" s="697"/>
      <c r="DC629" s="222"/>
      <c r="DJ629" s="889"/>
      <c r="DM629" s="890"/>
      <c r="DN629" s="952"/>
      <c r="DO629" s="75"/>
      <c r="DP629" s="962"/>
      <c r="DQ629" s="983"/>
      <c r="DV629" s="889"/>
    </row>
    <row r="630" spans="1:126" s="74" customFormat="1">
      <c r="A630" s="15"/>
      <c r="B630" s="15"/>
      <c r="C630" s="15"/>
      <c r="D630" s="15"/>
      <c r="E630" s="6"/>
      <c r="F630" s="6"/>
      <c r="G630" s="6"/>
      <c r="K630" s="222"/>
      <c r="V630" s="1430"/>
      <c r="AA630" s="223"/>
      <c r="AC630" s="889"/>
      <c r="AF630" s="890"/>
      <c r="AJ630" s="889"/>
      <c r="AN630" s="222"/>
      <c r="BC630" s="223"/>
      <c r="BD630" s="222"/>
      <c r="BH630" s="611"/>
      <c r="BJ630" s="15"/>
      <c r="BK630" s="15"/>
      <c r="BO630" s="223"/>
      <c r="BQ630" s="889"/>
      <c r="BT630" s="890"/>
      <c r="BX630" s="889"/>
      <c r="CB630" s="15"/>
      <c r="CC630" s="697"/>
      <c r="CD630" s="1086"/>
      <c r="CE630" s="15"/>
      <c r="CF630" s="15"/>
      <c r="CG630" s="936"/>
      <c r="CH630" s="15"/>
      <c r="CI630" s="15"/>
      <c r="CJ630" s="15"/>
      <c r="CK630" s="1107"/>
      <c r="CL630" s="22"/>
      <c r="CM630" s="22"/>
      <c r="CN630" s="1107"/>
      <c r="CR630" s="223"/>
      <c r="CS630" s="952"/>
      <c r="CT630" s="1066"/>
      <c r="CU630" s="972"/>
      <c r="CV630" s="983"/>
      <c r="CW630" s="222"/>
      <c r="CX630" s="697"/>
      <c r="DC630" s="222"/>
      <c r="DJ630" s="889"/>
      <c r="DM630" s="890"/>
      <c r="DN630" s="952"/>
      <c r="DO630" s="75"/>
      <c r="DP630" s="962"/>
      <c r="DQ630" s="983"/>
      <c r="DV630" s="889"/>
    </row>
    <row r="631" spans="1:126" s="74" customFormat="1">
      <c r="A631" s="15"/>
      <c r="B631" s="15"/>
      <c r="C631" s="15"/>
      <c r="D631" s="15"/>
      <c r="E631" s="6"/>
      <c r="F631" s="6"/>
      <c r="G631" s="6"/>
      <c r="K631" s="222"/>
      <c r="V631" s="1430"/>
      <c r="AA631" s="223"/>
      <c r="AC631" s="889"/>
      <c r="AF631" s="890"/>
      <c r="AJ631" s="889"/>
      <c r="AN631" s="222"/>
      <c r="BC631" s="223"/>
      <c r="BD631" s="222"/>
      <c r="BH631" s="611"/>
      <c r="BJ631" s="15"/>
      <c r="BK631" s="15"/>
      <c r="BO631" s="223"/>
      <c r="BQ631" s="889"/>
      <c r="BT631" s="890"/>
      <c r="BX631" s="889"/>
      <c r="CB631" s="15"/>
      <c r="CC631" s="697"/>
      <c r="CD631" s="1086"/>
      <c r="CE631" s="15"/>
      <c r="CF631" s="15"/>
      <c r="CG631" s="936"/>
      <c r="CH631" s="15"/>
      <c r="CI631" s="15"/>
      <c r="CJ631" s="15"/>
      <c r="CK631" s="1107"/>
      <c r="CL631" s="22"/>
      <c r="CM631" s="22"/>
      <c r="CN631" s="1107"/>
      <c r="CR631" s="223"/>
      <c r="CS631" s="952"/>
      <c r="CT631" s="1066"/>
      <c r="CU631" s="972"/>
      <c r="CV631" s="983"/>
      <c r="CW631" s="222"/>
      <c r="CX631" s="697"/>
      <c r="DC631" s="222"/>
      <c r="DJ631" s="889"/>
      <c r="DM631" s="890"/>
      <c r="DN631" s="952"/>
      <c r="DO631" s="75"/>
      <c r="DP631" s="962"/>
      <c r="DQ631" s="983"/>
      <c r="DV631" s="889"/>
    </row>
    <row r="632" spans="1:126" s="74" customFormat="1">
      <c r="A632" s="15"/>
      <c r="B632" s="15"/>
      <c r="C632" s="15"/>
      <c r="D632" s="15"/>
      <c r="E632" s="6"/>
      <c r="F632" s="6"/>
      <c r="G632" s="6"/>
      <c r="K632" s="222"/>
      <c r="V632" s="1430"/>
      <c r="AA632" s="223"/>
      <c r="AC632" s="889"/>
      <c r="AF632" s="890"/>
      <c r="AJ632" s="889"/>
      <c r="AN632" s="222"/>
      <c r="BC632" s="223"/>
      <c r="BD632" s="222"/>
      <c r="BH632" s="611"/>
      <c r="BJ632" s="15"/>
      <c r="BK632" s="15"/>
      <c r="BO632" s="223"/>
      <c r="BQ632" s="889"/>
      <c r="BT632" s="890"/>
      <c r="BX632" s="889"/>
      <c r="CB632" s="15"/>
      <c r="CC632" s="697"/>
      <c r="CD632" s="1086"/>
      <c r="CE632" s="15"/>
      <c r="CF632" s="15"/>
      <c r="CG632" s="936"/>
      <c r="CH632" s="15"/>
      <c r="CI632" s="15"/>
      <c r="CJ632" s="15"/>
      <c r="CK632" s="1107"/>
      <c r="CL632" s="22"/>
      <c r="CM632" s="22"/>
      <c r="CN632" s="1107"/>
      <c r="CR632" s="223"/>
      <c r="CS632" s="952"/>
      <c r="CT632" s="1066"/>
      <c r="CU632" s="972"/>
      <c r="CV632" s="983"/>
      <c r="CW632" s="222"/>
      <c r="CX632" s="697"/>
      <c r="DC632" s="222"/>
      <c r="DJ632" s="889"/>
      <c r="DM632" s="890"/>
      <c r="DN632" s="952"/>
      <c r="DO632" s="75"/>
      <c r="DP632" s="962"/>
      <c r="DQ632" s="983"/>
      <c r="DV632" s="889"/>
    </row>
    <row r="633" spans="1:126" s="74" customFormat="1">
      <c r="A633" s="15"/>
      <c r="B633" s="15"/>
      <c r="C633" s="15"/>
      <c r="D633" s="15"/>
      <c r="E633" s="6"/>
      <c r="F633" s="6"/>
      <c r="G633" s="6"/>
      <c r="K633" s="222"/>
      <c r="V633" s="1430"/>
      <c r="AA633" s="223"/>
      <c r="AC633" s="889"/>
      <c r="AF633" s="890"/>
      <c r="AJ633" s="889"/>
      <c r="AN633" s="222"/>
      <c r="BC633" s="223"/>
      <c r="BD633" s="222"/>
      <c r="BH633" s="611"/>
      <c r="BJ633" s="15"/>
      <c r="BK633" s="15"/>
      <c r="BO633" s="223"/>
      <c r="BQ633" s="889"/>
      <c r="BT633" s="890"/>
      <c r="BX633" s="889"/>
      <c r="CB633" s="15"/>
      <c r="CC633" s="697"/>
      <c r="CD633" s="1086"/>
      <c r="CE633" s="15"/>
      <c r="CF633" s="15"/>
      <c r="CG633" s="936"/>
      <c r="CH633" s="15"/>
      <c r="CI633" s="15"/>
      <c r="CJ633" s="15"/>
      <c r="CK633" s="1107"/>
      <c r="CL633" s="22"/>
      <c r="CM633" s="22"/>
      <c r="CN633" s="1107"/>
      <c r="CR633" s="223"/>
      <c r="CS633" s="952"/>
      <c r="CT633" s="1066"/>
      <c r="CU633" s="972"/>
      <c r="CV633" s="983"/>
      <c r="CW633" s="222"/>
      <c r="CX633" s="697"/>
      <c r="DC633" s="222"/>
      <c r="DJ633" s="889"/>
      <c r="DM633" s="890"/>
      <c r="DN633" s="952"/>
      <c r="DO633" s="75"/>
      <c r="DP633" s="962"/>
      <c r="DQ633" s="983"/>
      <c r="DV633" s="889"/>
    </row>
    <row r="634" spans="1:126" s="74" customFormat="1">
      <c r="A634" s="15"/>
      <c r="B634" s="15"/>
      <c r="C634" s="15"/>
      <c r="D634" s="15"/>
      <c r="E634" s="6"/>
      <c r="F634" s="6"/>
      <c r="G634" s="6"/>
      <c r="K634" s="222"/>
      <c r="V634" s="1430"/>
      <c r="AA634" s="223"/>
      <c r="AC634" s="889"/>
      <c r="AF634" s="890"/>
      <c r="AJ634" s="889"/>
      <c r="AN634" s="222"/>
      <c r="BC634" s="223"/>
      <c r="BD634" s="222"/>
      <c r="BH634" s="611"/>
      <c r="BJ634" s="15"/>
      <c r="BK634" s="15"/>
      <c r="BO634" s="223"/>
      <c r="BQ634" s="889"/>
      <c r="BT634" s="890"/>
      <c r="BX634" s="889"/>
      <c r="CB634" s="15"/>
      <c r="CC634" s="697"/>
      <c r="CD634" s="1086"/>
      <c r="CE634" s="15"/>
      <c r="CF634" s="15"/>
      <c r="CG634" s="936"/>
      <c r="CH634" s="15"/>
      <c r="CI634" s="15"/>
      <c r="CJ634" s="15"/>
      <c r="CK634" s="1107"/>
      <c r="CL634" s="22"/>
      <c r="CM634" s="22"/>
      <c r="CN634" s="1107"/>
      <c r="CR634" s="223"/>
      <c r="CS634" s="952"/>
      <c r="CT634" s="1066"/>
      <c r="CU634" s="972"/>
      <c r="CV634" s="983"/>
      <c r="CW634" s="222"/>
      <c r="CX634" s="697"/>
      <c r="DC634" s="222"/>
      <c r="DJ634" s="889"/>
      <c r="DM634" s="890"/>
      <c r="DN634" s="952"/>
      <c r="DO634" s="75"/>
      <c r="DP634" s="962"/>
      <c r="DQ634" s="983"/>
      <c r="DV634" s="889"/>
    </row>
    <row r="635" spans="1:126" s="74" customFormat="1">
      <c r="A635" s="15"/>
      <c r="B635" s="15"/>
      <c r="C635" s="15"/>
      <c r="D635" s="15"/>
      <c r="E635" s="6"/>
      <c r="F635" s="6"/>
      <c r="G635" s="6"/>
      <c r="K635" s="222"/>
      <c r="V635" s="1430"/>
      <c r="AA635" s="223"/>
      <c r="AC635" s="889"/>
      <c r="AF635" s="890"/>
      <c r="AJ635" s="889"/>
      <c r="AN635" s="222"/>
      <c r="BC635" s="223"/>
      <c r="BD635" s="222"/>
      <c r="BH635" s="611"/>
      <c r="BJ635" s="15"/>
      <c r="BK635" s="15"/>
      <c r="BO635" s="223"/>
      <c r="BQ635" s="889"/>
      <c r="BT635" s="890"/>
      <c r="BX635" s="889"/>
      <c r="CB635" s="15"/>
      <c r="CC635" s="697"/>
      <c r="CD635" s="1086"/>
      <c r="CE635" s="15"/>
      <c r="CF635" s="15"/>
      <c r="CG635" s="936"/>
      <c r="CH635" s="15"/>
      <c r="CI635" s="15"/>
      <c r="CJ635" s="15"/>
      <c r="CK635" s="1107"/>
      <c r="CL635" s="22"/>
      <c r="CM635" s="22"/>
      <c r="CN635" s="1107"/>
      <c r="CR635" s="223"/>
      <c r="CS635" s="952"/>
      <c r="CT635" s="1066"/>
      <c r="CU635" s="972"/>
      <c r="CV635" s="983"/>
      <c r="CW635" s="222"/>
      <c r="CX635" s="697"/>
      <c r="DC635" s="222"/>
      <c r="DJ635" s="889"/>
      <c r="DM635" s="890"/>
      <c r="DN635" s="952"/>
      <c r="DO635" s="75"/>
      <c r="DP635" s="962"/>
      <c r="DQ635" s="983"/>
      <c r="DV635" s="889"/>
    </row>
    <row r="636" spans="1:126" s="74" customFormat="1">
      <c r="A636" s="15"/>
      <c r="B636" s="15"/>
      <c r="C636" s="15"/>
      <c r="D636" s="15"/>
      <c r="E636" s="6"/>
      <c r="F636" s="6"/>
      <c r="G636" s="6"/>
      <c r="K636" s="222"/>
      <c r="V636" s="1430"/>
      <c r="AA636" s="223"/>
      <c r="AC636" s="889"/>
      <c r="AF636" s="890"/>
      <c r="AJ636" s="889"/>
      <c r="AN636" s="222"/>
      <c r="BC636" s="223"/>
      <c r="BD636" s="222"/>
      <c r="BH636" s="611"/>
      <c r="BJ636" s="15"/>
      <c r="BK636" s="15"/>
      <c r="BO636" s="223"/>
      <c r="BQ636" s="889"/>
      <c r="BT636" s="890"/>
      <c r="BX636" s="889"/>
      <c r="CB636" s="15"/>
      <c r="CC636" s="697"/>
      <c r="CD636" s="1086"/>
      <c r="CE636" s="15"/>
      <c r="CF636" s="15"/>
      <c r="CG636" s="936"/>
      <c r="CH636" s="15"/>
      <c r="CI636" s="15"/>
      <c r="CJ636" s="15"/>
      <c r="CK636" s="1107"/>
      <c r="CL636" s="22"/>
      <c r="CM636" s="22"/>
      <c r="CN636" s="1107"/>
      <c r="CR636" s="223"/>
      <c r="CS636" s="952"/>
      <c r="CT636" s="1066"/>
      <c r="CU636" s="972"/>
      <c r="CV636" s="983"/>
      <c r="CW636" s="222"/>
      <c r="CX636" s="697"/>
      <c r="DC636" s="222"/>
      <c r="DJ636" s="889"/>
      <c r="DM636" s="890"/>
      <c r="DN636" s="952"/>
      <c r="DO636" s="75"/>
      <c r="DP636" s="962"/>
      <c r="DQ636" s="983"/>
      <c r="DV636" s="889"/>
    </row>
    <row r="637" spans="1:126" s="74" customFormat="1">
      <c r="A637" s="15"/>
      <c r="B637" s="15"/>
      <c r="C637" s="15"/>
      <c r="D637" s="15"/>
      <c r="E637" s="6"/>
      <c r="F637" s="6"/>
      <c r="G637" s="6"/>
      <c r="K637" s="222"/>
      <c r="V637" s="1430"/>
      <c r="AA637" s="223"/>
      <c r="AC637" s="889"/>
      <c r="AF637" s="890"/>
      <c r="AJ637" s="889"/>
      <c r="AN637" s="222"/>
      <c r="BC637" s="223"/>
      <c r="BD637" s="222"/>
      <c r="BH637" s="611"/>
      <c r="BJ637" s="15"/>
      <c r="BK637" s="15"/>
      <c r="BO637" s="223"/>
      <c r="BQ637" s="889"/>
      <c r="BT637" s="890"/>
      <c r="BX637" s="889"/>
      <c r="CB637" s="15"/>
      <c r="CC637" s="697"/>
      <c r="CD637" s="1086"/>
      <c r="CE637" s="15"/>
      <c r="CF637" s="15"/>
      <c r="CG637" s="936"/>
      <c r="CH637" s="15"/>
      <c r="CI637" s="15"/>
      <c r="CJ637" s="15"/>
      <c r="CK637" s="1107"/>
      <c r="CL637" s="22"/>
      <c r="CM637" s="22"/>
      <c r="CN637" s="1107"/>
      <c r="CR637" s="223"/>
      <c r="CS637" s="952"/>
      <c r="CT637" s="1066"/>
      <c r="CU637" s="972"/>
      <c r="CV637" s="983"/>
      <c r="CW637" s="222"/>
      <c r="CX637" s="697"/>
      <c r="DC637" s="222"/>
      <c r="DJ637" s="889"/>
      <c r="DM637" s="890"/>
      <c r="DN637" s="952"/>
      <c r="DO637" s="75"/>
      <c r="DP637" s="962"/>
      <c r="DQ637" s="983"/>
      <c r="DV637" s="889"/>
    </row>
    <row r="638" spans="1:126" s="74" customFormat="1">
      <c r="A638" s="15"/>
      <c r="B638" s="15"/>
      <c r="C638" s="15"/>
      <c r="D638" s="15"/>
      <c r="E638" s="6"/>
      <c r="F638" s="6"/>
      <c r="G638" s="6"/>
      <c r="K638" s="222"/>
      <c r="V638" s="1430"/>
      <c r="AA638" s="223"/>
      <c r="AC638" s="889"/>
      <c r="AF638" s="890"/>
      <c r="AJ638" s="889"/>
      <c r="AN638" s="222"/>
      <c r="BC638" s="223"/>
      <c r="BD638" s="222"/>
      <c r="BH638" s="611"/>
      <c r="BJ638" s="15"/>
      <c r="BK638" s="15"/>
      <c r="BO638" s="223"/>
      <c r="BQ638" s="889"/>
      <c r="BT638" s="890"/>
      <c r="BX638" s="889"/>
      <c r="CB638" s="15"/>
      <c r="CC638" s="697"/>
      <c r="CD638" s="1086"/>
      <c r="CE638" s="15"/>
      <c r="CF638" s="15"/>
      <c r="CG638" s="936"/>
      <c r="CH638" s="15"/>
      <c r="CI638" s="15"/>
      <c r="CJ638" s="15"/>
      <c r="CK638" s="1107"/>
      <c r="CL638" s="22"/>
      <c r="CM638" s="22"/>
      <c r="CN638" s="1107"/>
      <c r="CR638" s="223"/>
      <c r="CS638" s="952"/>
      <c r="CT638" s="1066"/>
      <c r="CU638" s="972"/>
      <c r="CV638" s="983"/>
      <c r="CW638" s="222"/>
      <c r="CX638" s="697"/>
      <c r="DC638" s="222"/>
      <c r="DJ638" s="889"/>
      <c r="DM638" s="890"/>
      <c r="DN638" s="952"/>
      <c r="DO638" s="75"/>
      <c r="DP638" s="962"/>
      <c r="DQ638" s="983"/>
      <c r="DV638" s="889"/>
    </row>
    <row r="639" spans="1:126" s="74" customFormat="1">
      <c r="A639" s="15"/>
      <c r="B639" s="15"/>
      <c r="C639" s="15"/>
      <c r="D639" s="15"/>
      <c r="E639" s="6"/>
      <c r="F639" s="6"/>
      <c r="G639" s="6"/>
      <c r="K639" s="222"/>
      <c r="V639" s="1430"/>
      <c r="AA639" s="223"/>
      <c r="AC639" s="889"/>
      <c r="AF639" s="890"/>
      <c r="AJ639" s="889"/>
      <c r="AN639" s="222"/>
      <c r="BC639" s="223"/>
      <c r="BD639" s="222"/>
      <c r="BH639" s="611"/>
      <c r="BJ639" s="15"/>
      <c r="BK639" s="15"/>
      <c r="BO639" s="223"/>
      <c r="BQ639" s="889"/>
      <c r="BT639" s="890"/>
      <c r="BX639" s="889"/>
      <c r="CB639" s="15"/>
      <c r="CC639" s="697"/>
      <c r="CD639" s="1086"/>
      <c r="CE639" s="15"/>
      <c r="CF639" s="15"/>
      <c r="CG639" s="936"/>
      <c r="CH639" s="15"/>
      <c r="CI639" s="15"/>
      <c r="CJ639" s="15"/>
      <c r="CK639" s="1107"/>
      <c r="CL639" s="22"/>
      <c r="CM639" s="22"/>
      <c r="CN639" s="1107"/>
      <c r="CR639" s="223"/>
      <c r="CS639" s="952"/>
      <c r="CT639" s="1066"/>
      <c r="CU639" s="972"/>
      <c r="CV639" s="983"/>
      <c r="CW639" s="222"/>
      <c r="CX639" s="697"/>
      <c r="DC639" s="222"/>
      <c r="DJ639" s="889"/>
      <c r="DM639" s="890"/>
      <c r="DN639" s="952"/>
      <c r="DO639" s="75"/>
      <c r="DP639" s="962"/>
      <c r="DQ639" s="983"/>
      <c r="DV639" s="889"/>
    </row>
    <row r="640" spans="1:126" s="74" customFormat="1">
      <c r="A640" s="15"/>
      <c r="B640" s="15"/>
      <c r="C640" s="15"/>
      <c r="D640" s="15"/>
      <c r="E640" s="6"/>
      <c r="F640" s="6"/>
      <c r="G640" s="6"/>
      <c r="K640" s="222"/>
      <c r="V640" s="1430"/>
      <c r="AA640" s="223"/>
      <c r="AC640" s="889"/>
      <c r="AF640" s="890"/>
      <c r="AJ640" s="889"/>
      <c r="AN640" s="222"/>
      <c r="BC640" s="223"/>
      <c r="BD640" s="222"/>
      <c r="BH640" s="611"/>
      <c r="BJ640" s="15"/>
      <c r="BK640" s="15"/>
      <c r="BO640" s="223"/>
      <c r="BQ640" s="889"/>
      <c r="BT640" s="890"/>
      <c r="BX640" s="889"/>
      <c r="CB640" s="15"/>
      <c r="CC640" s="697"/>
      <c r="CD640" s="1086"/>
      <c r="CE640" s="15"/>
      <c r="CF640" s="15"/>
      <c r="CG640" s="936"/>
      <c r="CH640" s="15"/>
      <c r="CI640" s="15"/>
      <c r="CJ640" s="15"/>
      <c r="CK640" s="1107"/>
      <c r="CL640" s="22"/>
      <c r="CM640" s="22"/>
      <c r="CN640" s="1107"/>
      <c r="CR640" s="223"/>
      <c r="CS640" s="952"/>
      <c r="CT640" s="1066"/>
      <c r="CU640" s="972"/>
      <c r="CV640" s="983"/>
      <c r="CW640" s="222"/>
      <c r="CX640" s="697"/>
      <c r="DC640" s="222"/>
      <c r="DJ640" s="889"/>
      <c r="DM640" s="890"/>
      <c r="DN640" s="952"/>
      <c r="DO640" s="75"/>
      <c r="DP640" s="962"/>
      <c r="DQ640" s="983"/>
      <c r="DV640" s="889"/>
    </row>
    <row r="641" spans="1:126" s="74" customFormat="1">
      <c r="A641" s="15"/>
      <c r="B641" s="15"/>
      <c r="C641" s="15"/>
      <c r="D641" s="15"/>
      <c r="E641" s="6"/>
      <c r="F641" s="6"/>
      <c r="G641" s="6"/>
      <c r="K641" s="222"/>
      <c r="V641" s="1430"/>
      <c r="AA641" s="223"/>
      <c r="AC641" s="889"/>
      <c r="AF641" s="890"/>
      <c r="AJ641" s="889"/>
      <c r="AN641" s="222"/>
      <c r="BC641" s="223"/>
      <c r="BD641" s="222"/>
      <c r="BH641" s="611"/>
      <c r="BJ641" s="15"/>
      <c r="BK641" s="15"/>
      <c r="BO641" s="223"/>
      <c r="BQ641" s="889"/>
      <c r="BT641" s="890"/>
      <c r="BX641" s="889"/>
      <c r="CB641" s="15"/>
      <c r="CC641" s="697"/>
      <c r="CD641" s="1086"/>
      <c r="CE641" s="15"/>
      <c r="CF641" s="15"/>
      <c r="CG641" s="936"/>
      <c r="CH641" s="15"/>
      <c r="CI641" s="15"/>
      <c r="CJ641" s="15"/>
      <c r="CK641" s="1107"/>
      <c r="CL641" s="22"/>
      <c r="CM641" s="22"/>
      <c r="CN641" s="1107"/>
      <c r="CR641" s="223"/>
      <c r="CS641" s="952"/>
      <c r="CT641" s="1066"/>
      <c r="CU641" s="972"/>
      <c r="CV641" s="983"/>
      <c r="CW641" s="222"/>
      <c r="CX641" s="697"/>
      <c r="DC641" s="222"/>
      <c r="DJ641" s="889"/>
      <c r="DM641" s="890"/>
      <c r="DN641" s="952"/>
      <c r="DO641" s="75"/>
      <c r="DP641" s="962"/>
      <c r="DQ641" s="983"/>
      <c r="DV641" s="889"/>
    </row>
    <row r="642" spans="1:126" s="74" customFormat="1">
      <c r="A642" s="15"/>
      <c r="B642" s="15"/>
      <c r="C642" s="15"/>
      <c r="D642" s="15"/>
      <c r="E642" s="6"/>
      <c r="F642" s="6"/>
      <c r="G642" s="6"/>
      <c r="K642" s="222"/>
      <c r="V642" s="1430"/>
      <c r="AA642" s="223"/>
      <c r="AC642" s="889"/>
      <c r="AF642" s="890"/>
      <c r="AJ642" s="889"/>
      <c r="AN642" s="222"/>
      <c r="BC642" s="223"/>
      <c r="BD642" s="222"/>
      <c r="BH642" s="611"/>
      <c r="BJ642" s="15"/>
      <c r="BK642" s="15"/>
      <c r="BO642" s="223"/>
      <c r="BQ642" s="889"/>
      <c r="BT642" s="890"/>
      <c r="BX642" s="889"/>
      <c r="CB642" s="15"/>
      <c r="CC642" s="697"/>
      <c r="CD642" s="1086"/>
      <c r="CE642" s="15"/>
      <c r="CF642" s="15"/>
      <c r="CG642" s="936"/>
      <c r="CH642" s="15"/>
      <c r="CI642" s="15"/>
      <c r="CJ642" s="15"/>
      <c r="CK642" s="1107"/>
      <c r="CL642" s="22"/>
      <c r="CM642" s="22"/>
      <c r="CN642" s="1107"/>
      <c r="CR642" s="223"/>
      <c r="CS642" s="952"/>
      <c r="CT642" s="1066"/>
      <c r="CU642" s="972"/>
      <c r="CV642" s="983"/>
      <c r="CW642" s="222"/>
      <c r="CX642" s="697"/>
      <c r="DC642" s="222"/>
      <c r="DJ642" s="889"/>
      <c r="DM642" s="890"/>
      <c r="DN642" s="952"/>
      <c r="DO642" s="75"/>
      <c r="DP642" s="962"/>
      <c r="DQ642" s="983"/>
      <c r="DV642" s="889"/>
    </row>
    <row r="643" spans="1:126" s="74" customFormat="1">
      <c r="A643" s="15"/>
      <c r="B643" s="15"/>
      <c r="C643" s="15"/>
      <c r="D643" s="15"/>
      <c r="E643" s="6"/>
      <c r="F643" s="6"/>
      <c r="G643" s="6"/>
      <c r="K643" s="222"/>
      <c r="V643" s="1430"/>
      <c r="AA643" s="223"/>
      <c r="AC643" s="889"/>
      <c r="AF643" s="890"/>
      <c r="AJ643" s="889"/>
      <c r="AN643" s="222"/>
      <c r="BC643" s="223"/>
      <c r="BD643" s="222"/>
      <c r="BH643" s="611"/>
      <c r="BJ643" s="15"/>
      <c r="BK643" s="15"/>
      <c r="BO643" s="223"/>
      <c r="BQ643" s="889"/>
      <c r="BT643" s="890"/>
      <c r="BX643" s="889"/>
      <c r="CB643" s="15"/>
      <c r="CC643" s="697"/>
      <c r="CD643" s="1086"/>
      <c r="CE643" s="15"/>
      <c r="CF643" s="15"/>
      <c r="CG643" s="936"/>
      <c r="CH643" s="15"/>
      <c r="CI643" s="15"/>
      <c r="CJ643" s="15"/>
      <c r="CK643" s="1107"/>
      <c r="CL643" s="22"/>
      <c r="CM643" s="22"/>
      <c r="CN643" s="1107"/>
      <c r="CR643" s="223"/>
      <c r="CS643" s="952"/>
      <c r="CT643" s="1066"/>
      <c r="CU643" s="972"/>
      <c r="CV643" s="983"/>
      <c r="CW643" s="222"/>
      <c r="CX643" s="697"/>
      <c r="DC643" s="222"/>
      <c r="DJ643" s="889"/>
      <c r="DM643" s="890"/>
      <c r="DN643" s="952"/>
      <c r="DO643" s="75"/>
      <c r="DP643" s="962"/>
      <c r="DQ643" s="983"/>
      <c r="DV643" s="889"/>
    </row>
    <row r="644" spans="1:126" s="74" customFormat="1">
      <c r="A644" s="15"/>
      <c r="B644" s="15"/>
      <c r="C644" s="15"/>
      <c r="D644" s="15"/>
      <c r="E644" s="6"/>
      <c r="F644" s="6"/>
      <c r="G644" s="6"/>
      <c r="K644" s="222"/>
      <c r="V644" s="1430"/>
      <c r="AA644" s="223"/>
      <c r="AC644" s="889"/>
      <c r="AF644" s="890"/>
      <c r="AJ644" s="889"/>
      <c r="AN644" s="222"/>
      <c r="BC644" s="223"/>
      <c r="BD644" s="222"/>
      <c r="BH644" s="611"/>
      <c r="BJ644" s="15"/>
      <c r="BK644" s="15"/>
      <c r="BO644" s="223"/>
      <c r="BQ644" s="889"/>
      <c r="BT644" s="890"/>
      <c r="BX644" s="889"/>
      <c r="CB644" s="15"/>
      <c r="CC644" s="697"/>
      <c r="CD644" s="1086"/>
      <c r="CE644" s="15"/>
      <c r="CF644" s="15"/>
      <c r="CG644" s="936"/>
      <c r="CH644" s="15"/>
      <c r="CI644" s="15"/>
      <c r="CJ644" s="15"/>
      <c r="CK644" s="1107"/>
      <c r="CL644" s="22"/>
      <c r="CM644" s="22"/>
      <c r="CN644" s="1107"/>
      <c r="CR644" s="223"/>
      <c r="CS644" s="952"/>
      <c r="CT644" s="1066"/>
      <c r="CU644" s="972"/>
      <c r="CV644" s="983"/>
      <c r="CW644" s="222"/>
      <c r="CX644" s="697"/>
      <c r="DC644" s="222"/>
      <c r="DJ644" s="889"/>
      <c r="DM644" s="890"/>
      <c r="DN644" s="952"/>
      <c r="DO644" s="75"/>
      <c r="DP644" s="962"/>
      <c r="DQ644" s="983"/>
      <c r="DV644" s="889"/>
    </row>
    <row r="645" spans="1:126" s="74" customFormat="1">
      <c r="A645" s="15"/>
      <c r="B645" s="15"/>
      <c r="C645" s="15"/>
      <c r="D645" s="15"/>
      <c r="E645" s="6"/>
      <c r="F645" s="6"/>
      <c r="G645" s="6"/>
      <c r="K645" s="222"/>
      <c r="V645" s="1430"/>
      <c r="AA645" s="223"/>
      <c r="AC645" s="889"/>
      <c r="AF645" s="890"/>
      <c r="AJ645" s="889"/>
      <c r="AN645" s="222"/>
      <c r="BC645" s="223"/>
      <c r="BD645" s="222"/>
      <c r="BH645" s="611"/>
      <c r="BJ645" s="15"/>
      <c r="BK645" s="15"/>
      <c r="BO645" s="223"/>
      <c r="BQ645" s="889"/>
      <c r="BT645" s="890"/>
      <c r="BX645" s="889"/>
      <c r="CB645" s="15"/>
      <c r="CC645" s="697"/>
      <c r="CD645" s="1086"/>
      <c r="CE645" s="15"/>
      <c r="CF645" s="15"/>
      <c r="CG645" s="936"/>
      <c r="CH645" s="15"/>
      <c r="CI645" s="15"/>
      <c r="CJ645" s="15"/>
      <c r="CK645" s="1107"/>
      <c r="CL645" s="22"/>
      <c r="CM645" s="22"/>
      <c r="CN645" s="1107"/>
      <c r="CR645" s="223"/>
      <c r="CS645" s="952"/>
      <c r="CT645" s="1066"/>
      <c r="CU645" s="972"/>
      <c r="CV645" s="983"/>
      <c r="CW645" s="222"/>
      <c r="CX645" s="697"/>
      <c r="DC645" s="222"/>
      <c r="DJ645" s="889"/>
      <c r="DM645" s="890"/>
      <c r="DN645" s="952"/>
      <c r="DO645" s="75"/>
      <c r="DP645" s="962"/>
      <c r="DQ645" s="983"/>
      <c r="DV645" s="889"/>
    </row>
    <row r="646" spans="1:126" s="74" customFormat="1">
      <c r="A646" s="15"/>
      <c r="B646" s="15"/>
      <c r="C646" s="15"/>
      <c r="D646" s="15"/>
      <c r="E646" s="6"/>
      <c r="F646" s="6"/>
      <c r="G646" s="6"/>
      <c r="K646" s="222"/>
      <c r="V646" s="1430"/>
      <c r="AA646" s="223"/>
      <c r="AC646" s="889"/>
      <c r="AF646" s="890"/>
      <c r="AJ646" s="889"/>
      <c r="AN646" s="222"/>
      <c r="BC646" s="223"/>
      <c r="BD646" s="222"/>
      <c r="BH646" s="611"/>
      <c r="BJ646" s="15"/>
      <c r="BK646" s="15"/>
      <c r="BO646" s="223"/>
      <c r="BQ646" s="889"/>
      <c r="BT646" s="890"/>
      <c r="BX646" s="889"/>
      <c r="CB646" s="15"/>
      <c r="CC646" s="697"/>
      <c r="CD646" s="1086"/>
      <c r="CE646" s="15"/>
      <c r="CF646" s="15"/>
      <c r="CG646" s="936"/>
      <c r="CH646" s="15"/>
      <c r="CI646" s="15"/>
      <c r="CJ646" s="15"/>
      <c r="CK646" s="1107"/>
      <c r="CL646" s="22"/>
      <c r="CM646" s="22"/>
      <c r="CN646" s="1107"/>
      <c r="CR646" s="223"/>
      <c r="CS646" s="952"/>
      <c r="CT646" s="1066"/>
      <c r="CU646" s="972"/>
      <c r="CV646" s="983"/>
      <c r="CW646" s="222"/>
      <c r="CX646" s="697"/>
      <c r="DC646" s="222"/>
      <c r="DJ646" s="889"/>
      <c r="DM646" s="890"/>
      <c r="DN646" s="952"/>
      <c r="DO646" s="75"/>
      <c r="DP646" s="962"/>
      <c r="DQ646" s="983"/>
      <c r="DV646" s="889"/>
    </row>
    <row r="647" spans="1:126" s="74" customFormat="1">
      <c r="A647" s="15"/>
      <c r="B647" s="15"/>
      <c r="C647" s="15"/>
      <c r="D647" s="15"/>
      <c r="E647" s="6"/>
      <c r="F647" s="6"/>
      <c r="G647" s="6"/>
      <c r="K647" s="222"/>
      <c r="V647" s="1430"/>
      <c r="AA647" s="223"/>
      <c r="AC647" s="889"/>
      <c r="AF647" s="890"/>
      <c r="AJ647" s="889"/>
      <c r="AN647" s="222"/>
      <c r="BC647" s="223"/>
      <c r="BD647" s="222"/>
      <c r="BH647" s="611"/>
      <c r="BJ647" s="15"/>
      <c r="BK647" s="15"/>
      <c r="BO647" s="223"/>
      <c r="BQ647" s="889"/>
      <c r="BT647" s="890"/>
      <c r="BX647" s="889"/>
      <c r="CB647" s="15"/>
      <c r="CC647" s="697"/>
      <c r="CD647" s="1086"/>
      <c r="CE647" s="15"/>
      <c r="CF647" s="15"/>
      <c r="CG647" s="936"/>
      <c r="CH647" s="15"/>
      <c r="CI647" s="15"/>
      <c r="CJ647" s="15"/>
      <c r="CK647" s="1107"/>
      <c r="CL647" s="22"/>
      <c r="CM647" s="22"/>
      <c r="CN647" s="1107"/>
      <c r="CR647" s="223"/>
      <c r="CS647" s="952"/>
      <c r="CT647" s="1066"/>
      <c r="CU647" s="972"/>
      <c r="CV647" s="983"/>
      <c r="CW647" s="222"/>
      <c r="CX647" s="697"/>
      <c r="DC647" s="222"/>
      <c r="DJ647" s="889"/>
      <c r="DM647" s="890"/>
      <c r="DN647" s="952"/>
      <c r="DO647" s="75"/>
      <c r="DP647" s="962"/>
      <c r="DQ647" s="983"/>
      <c r="DV647" s="889"/>
    </row>
    <row r="648" spans="1:126" s="74" customFormat="1">
      <c r="A648" s="15"/>
      <c r="B648" s="15"/>
      <c r="C648" s="15"/>
      <c r="D648" s="15"/>
      <c r="E648" s="6"/>
      <c r="F648" s="6"/>
      <c r="G648" s="6"/>
      <c r="K648" s="222"/>
      <c r="V648" s="1430"/>
      <c r="AA648" s="223"/>
      <c r="AC648" s="889"/>
      <c r="AF648" s="890"/>
      <c r="AJ648" s="889"/>
      <c r="AN648" s="222"/>
      <c r="BC648" s="223"/>
      <c r="BD648" s="222"/>
      <c r="BH648" s="611"/>
      <c r="BJ648" s="15"/>
      <c r="BK648" s="15"/>
      <c r="BO648" s="223"/>
      <c r="BQ648" s="889"/>
      <c r="BT648" s="890"/>
      <c r="BX648" s="889"/>
      <c r="CB648" s="15"/>
      <c r="CC648" s="697"/>
      <c r="CD648" s="1086"/>
      <c r="CE648" s="15"/>
      <c r="CF648" s="15"/>
      <c r="CG648" s="936"/>
      <c r="CH648" s="15"/>
      <c r="CI648" s="15"/>
      <c r="CJ648" s="15"/>
      <c r="CK648" s="1107"/>
      <c r="CL648" s="22"/>
      <c r="CM648" s="22"/>
      <c r="CN648" s="1107"/>
      <c r="CR648" s="223"/>
      <c r="CS648" s="952"/>
      <c r="CT648" s="1066"/>
      <c r="CU648" s="972"/>
      <c r="CV648" s="983"/>
      <c r="CW648" s="222"/>
      <c r="CX648" s="697"/>
      <c r="DC648" s="222"/>
      <c r="DJ648" s="889"/>
      <c r="DM648" s="890"/>
      <c r="DN648" s="952"/>
      <c r="DO648" s="75"/>
      <c r="DP648" s="962"/>
      <c r="DQ648" s="983"/>
      <c r="DV648" s="889"/>
    </row>
    <row r="649" spans="1:126" s="74" customFormat="1">
      <c r="A649" s="15"/>
      <c r="B649" s="15"/>
      <c r="C649" s="15"/>
      <c r="D649" s="15"/>
      <c r="E649" s="6"/>
      <c r="F649" s="6"/>
      <c r="G649" s="6"/>
      <c r="K649" s="222"/>
      <c r="V649" s="1430"/>
      <c r="AA649" s="223"/>
      <c r="AC649" s="889"/>
      <c r="AF649" s="890"/>
      <c r="AJ649" s="889"/>
      <c r="AN649" s="222"/>
      <c r="BC649" s="223"/>
      <c r="BD649" s="222"/>
      <c r="BH649" s="611"/>
      <c r="BJ649" s="15"/>
      <c r="BK649" s="15"/>
      <c r="BO649" s="223"/>
      <c r="BQ649" s="889"/>
      <c r="BT649" s="890"/>
      <c r="BX649" s="889"/>
      <c r="CB649" s="15"/>
      <c r="CC649" s="697"/>
      <c r="CD649" s="1086"/>
      <c r="CE649" s="15"/>
      <c r="CF649" s="15"/>
      <c r="CG649" s="936"/>
      <c r="CH649" s="15"/>
      <c r="CI649" s="15"/>
      <c r="CJ649" s="15"/>
      <c r="CK649" s="1107"/>
      <c r="CL649" s="22"/>
      <c r="CM649" s="22"/>
      <c r="CN649" s="1107"/>
      <c r="CR649" s="223"/>
      <c r="CS649" s="952"/>
      <c r="CT649" s="1066"/>
      <c r="CU649" s="972"/>
      <c r="CV649" s="983"/>
      <c r="CW649" s="222"/>
      <c r="CX649" s="697"/>
      <c r="DC649" s="222"/>
      <c r="DJ649" s="889"/>
      <c r="DM649" s="890"/>
      <c r="DN649" s="952"/>
      <c r="DO649" s="75"/>
      <c r="DP649" s="962"/>
      <c r="DQ649" s="983"/>
      <c r="DV649" s="889"/>
    </row>
    <row r="650" spans="1:126" s="74" customFormat="1">
      <c r="A650" s="15"/>
      <c r="B650" s="15"/>
      <c r="C650" s="15"/>
      <c r="D650" s="15"/>
      <c r="E650" s="6"/>
      <c r="F650" s="6"/>
      <c r="G650" s="6"/>
      <c r="K650" s="222"/>
      <c r="V650" s="1430"/>
      <c r="AA650" s="223"/>
      <c r="AC650" s="889"/>
      <c r="AF650" s="890"/>
      <c r="AJ650" s="889"/>
      <c r="AN650" s="222"/>
      <c r="BC650" s="223"/>
      <c r="BD650" s="222"/>
      <c r="BH650" s="611"/>
      <c r="BJ650" s="15"/>
      <c r="BK650" s="15"/>
      <c r="BO650" s="223"/>
      <c r="BQ650" s="889"/>
      <c r="BT650" s="890"/>
      <c r="BX650" s="889"/>
      <c r="CB650" s="15"/>
      <c r="CC650" s="697"/>
      <c r="CD650" s="1086"/>
      <c r="CE650" s="15"/>
      <c r="CF650" s="15"/>
      <c r="CG650" s="936"/>
      <c r="CH650" s="15"/>
      <c r="CI650" s="15"/>
      <c r="CJ650" s="15"/>
      <c r="CK650" s="1107"/>
      <c r="CL650" s="22"/>
      <c r="CM650" s="22"/>
      <c r="CN650" s="1107"/>
      <c r="CR650" s="223"/>
      <c r="CS650" s="952"/>
      <c r="CT650" s="1066"/>
      <c r="CU650" s="972"/>
      <c r="CV650" s="983"/>
      <c r="CW650" s="222"/>
      <c r="CX650" s="697"/>
      <c r="DC650" s="222"/>
      <c r="DJ650" s="889"/>
      <c r="DM650" s="890"/>
      <c r="DN650" s="952"/>
      <c r="DO650" s="75"/>
      <c r="DP650" s="962"/>
      <c r="DQ650" s="983"/>
      <c r="DV650" s="889"/>
    </row>
    <row r="651" spans="1:126" s="74" customFormat="1">
      <c r="A651" s="15"/>
      <c r="B651" s="15"/>
      <c r="C651" s="15"/>
      <c r="D651" s="15"/>
      <c r="E651" s="6"/>
      <c r="F651" s="6"/>
      <c r="G651" s="6"/>
      <c r="K651" s="222"/>
      <c r="V651" s="1430"/>
      <c r="AA651" s="223"/>
      <c r="AC651" s="889"/>
      <c r="AF651" s="890"/>
      <c r="AJ651" s="889"/>
      <c r="AN651" s="222"/>
      <c r="BC651" s="223"/>
      <c r="BD651" s="222"/>
      <c r="BH651" s="611"/>
      <c r="BJ651" s="15"/>
      <c r="BK651" s="15"/>
      <c r="BO651" s="223"/>
      <c r="BQ651" s="889"/>
      <c r="BT651" s="890"/>
      <c r="BX651" s="889"/>
      <c r="CB651" s="15"/>
      <c r="CC651" s="697"/>
      <c r="CD651" s="1086"/>
      <c r="CE651" s="15"/>
      <c r="CF651" s="15"/>
      <c r="CG651" s="936"/>
      <c r="CH651" s="15"/>
      <c r="CI651" s="15"/>
      <c r="CJ651" s="15"/>
      <c r="CK651" s="1107"/>
      <c r="CL651" s="22"/>
      <c r="CM651" s="22"/>
      <c r="CN651" s="1107"/>
      <c r="CR651" s="223"/>
      <c r="CS651" s="952"/>
      <c r="CT651" s="1066"/>
      <c r="CU651" s="972"/>
      <c r="CV651" s="983"/>
      <c r="CW651" s="222"/>
      <c r="CX651" s="697"/>
      <c r="DC651" s="222"/>
      <c r="DJ651" s="889"/>
      <c r="DM651" s="890"/>
      <c r="DN651" s="952"/>
      <c r="DO651" s="75"/>
      <c r="DP651" s="962"/>
      <c r="DQ651" s="983"/>
      <c r="DV651" s="889"/>
    </row>
    <row r="652" spans="1:126" s="74" customFormat="1">
      <c r="A652" s="15"/>
      <c r="B652" s="15"/>
      <c r="C652" s="15"/>
      <c r="D652" s="15"/>
      <c r="E652" s="6"/>
      <c r="F652" s="6"/>
      <c r="G652" s="6"/>
      <c r="K652" s="222"/>
      <c r="V652" s="1430"/>
      <c r="AA652" s="223"/>
      <c r="AC652" s="889"/>
      <c r="AF652" s="890"/>
      <c r="AJ652" s="889"/>
      <c r="AN652" s="222"/>
      <c r="BC652" s="223"/>
      <c r="BD652" s="222"/>
      <c r="BH652" s="611"/>
      <c r="BJ652" s="15"/>
      <c r="BK652" s="15"/>
      <c r="BO652" s="223"/>
      <c r="BQ652" s="889"/>
      <c r="BT652" s="890"/>
      <c r="BX652" s="889"/>
      <c r="CB652" s="15"/>
      <c r="CC652" s="697"/>
      <c r="CD652" s="1086"/>
      <c r="CE652" s="15"/>
      <c r="CF652" s="15"/>
      <c r="CG652" s="936"/>
      <c r="CH652" s="15"/>
      <c r="CI652" s="15"/>
      <c r="CJ652" s="15"/>
      <c r="CK652" s="1107"/>
      <c r="CL652" s="22"/>
      <c r="CM652" s="22"/>
      <c r="CN652" s="1107"/>
      <c r="CR652" s="223"/>
      <c r="CS652" s="952"/>
      <c r="CT652" s="1066"/>
      <c r="CU652" s="972"/>
      <c r="CV652" s="983"/>
      <c r="CW652" s="222"/>
      <c r="CX652" s="697"/>
      <c r="DC652" s="222"/>
      <c r="DJ652" s="889"/>
      <c r="DM652" s="890"/>
      <c r="DN652" s="952"/>
      <c r="DO652" s="75"/>
      <c r="DP652" s="962"/>
      <c r="DQ652" s="983"/>
      <c r="DV652" s="889"/>
    </row>
    <row r="653" spans="1:126" s="74" customFormat="1">
      <c r="A653" s="15"/>
      <c r="B653" s="15"/>
      <c r="C653" s="15"/>
      <c r="D653" s="15"/>
      <c r="E653" s="6"/>
      <c r="F653" s="6"/>
      <c r="G653" s="6"/>
      <c r="K653" s="222"/>
      <c r="V653" s="1430"/>
      <c r="AA653" s="223"/>
      <c r="AC653" s="889"/>
      <c r="AF653" s="890"/>
      <c r="AJ653" s="889"/>
      <c r="AN653" s="222"/>
      <c r="BC653" s="223"/>
      <c r="BD653" s="222"/>
      <c r="BH653" s="611"/>
      <c r="BJ653" s="15"/>
      <c r="BK653" s="15"/>
      <c r="BO653" s="223"/>
      <c r="BQ653" s="889"/>
      <c r="BT653" s="890"/>
      <c r="BX653" s="889"/>
      <c r="CB653" s="15"/>
      <c r="CC653" s="697"/>
      <c r="CD653" s="1086"/>
      <c r="CE653" s="15"/>
      <c r="CF653" s="15"/>
      <c r="CG653" s="936"/>
      <c r="CH653" s="15"/>
      <c r="CI653" s="15"/>
      <c r="CJ653" s="15"/>
      <c r="CK653" s="1107"/>
      <c r="CL653" s="22"/>
      <c r="CM653" s="22"/>
      <c r="CN653" s="1107"/>
      <c r="CR653" s="223"/>
      <c r="CS653" s="952"/>
      <c r="CT653" s="1066"/>
      <c r="CU653" s="972"/>
      <c r="CV653" s="983"/>
      <c r="CW653" s="222"/>
      <c r="CX653" s="697"/>
      <c r="DC653" s="222"/>
      <c r="DJ653" s="889"/>
      <c r="DM653" s="890"/>
      <c r="DN653" s="952"/>
      <c r="DO653" s="75"/>
      <c r="DP653" s="962"/>
      <c r="DQ653" s="983"/>
      <c r="DV653" s="889"/>
    </row>
    <row r="654" spans="1:126" s="74" customFormat="1">
      <c r="A654" s="15"/>
      <c r="B654" s="15"/>
      <c r="C654" s="15"/>
      <c r="D654" s="15"/>
      <c r="E654" s="6"/>
      <c r="F654" s="6"/>
      <c r="G654" s="6"/>
      <c r="K654" s="222"/>
      <c r="V654" s="1430"/>
      <c r="AA654" s="223"/>
      <c r="AC654" s="889"/>
      <c r="AF654" s="890"/>
      <c r="AJ654" s="889"/>
      <c r="AN654" s="222"/>
      <c r="BC654" s="223"/>
      <c r="BD654" s="222"/>
      <c r="BH654" s="611"/>
      <c r="BJ654" s="15"/>
      <c r="BK654" s="15"/>
      <c r="BO654" s="223"/>
      <c r="BQ654" s="889"/>
      <c r="BT654" s="890"/>
      <c r="BX654" s="889"/>
      <c r="CB654" s="15"/>
      <c r="CC654" s="697"/>
      <c r="CD654" s="1086"/>
      <c r="CE654" s="15"/>
      <c r="CF654" s="15"/>
      <c r="CG654" s="936"/>
      <c r="CH654" s="15"/>
      <c r="CI654" s="15"/>
      <c r="CJ654" s="15"/>
      <c r="CK654" s="1107"/>
      <c r="CL654" s="22"/>
      <c r="CM654" s="22"/>
      <c r="CN654" s="1107"/>
      <c r="CR654" s="223"/>
      <c r="CS654" s="952"/>
      <c r="CT654" s="1066"/>
      <c r="CU654" s="972"/>
      <c r="CV654" s="983"/>
      <c r="CW654" s="222"/>
      <c r="CX654" s="697"/>
      <c r="DC654" s="222"/>
      <c r="DJ654" s="889"/>
      <c r="DM654" s="890"/>
      <c r="DN654" s="952"/>
      <c r="DO654" s="75"/>
      <c r="DP654" s="962"/>
      <c r="DQ654" s="983"/>
      <c r="DV654" s="889"/>
    </row>
    <row r="655" spans="1:126" s="74" customFormat="1">
      <c r="A655" s="15"/>
      <c r="B655" s="15"/>
      <c r="C655" s="15"/>
      <c r="D655" s="15"/>
      <c r="E655" s="6"/>
      <c r="F655" s="6"/>
      <c r="G655" s="6"/>
      <c r="K655" s="222"/>
      <c r="V655" s="1430"/>
      <c r="AA655" s="223"/>
      <c r="AC655" s="889"/>
      <c r="AF655" s="890"/>
      <c r="AJ655" s="889"/>
      <c r="AN655" s="222"/>
      <c r="BC655" s="223"/>
      <c r="BD655" s="222"/>
      <c r="BH655" s="611"/>
      <c r="BJ655" s="15"/>
      <c r="BK655" s="15"/>
      <c r="BO655" s="223"/>
      <c r="BQ655" s="889"/>
      <c r="BT655" s="890"/>
      <c r="BX655" s="889"/>
      <c r="CB655" s="15"/>
      <c r="CC655" s="697"/>
      <c r="CD655" s="1086"/>
      <c r="CE655" s="15"/>
      <c r="CF655" s="15"/>
      <c r="CG655" s="936"/>
      <c r="CH655" s="15"/>
      <c r="CI655" s="15"/>
      <c r="CJ655" s="15"/>
      <c r="CK655" s="1107"/>
      <c r="CL655" s="22"/>
      <c r="CM655" s="22"/>
      <c r="CN655" s="1107"/>
      <c r="CR655" s="223"/>
      <c r="CS655" s="952"/>
      <c r="CT655" s="1066"/>
      <c r="CU655" s="972"/>
      <c r="CV655" s="983"/>
      <c r="CW655" s="222"/>
      <c r="CX655" s="697"/>
      <c r="DC655" s="222"/>
      <c r="DJ655" s="889"/>
      <c r="DM655" s="890"/>
      <c r="DN655" s="952"/>
      <c r="DO655" s="75"/>
      <c r="DP655" s="962"/>
      <c r="DQ655" s="983"/>
      <c r="DV655" s="889"/>
    </row>
    <row r="656" spans="1:126" s="74" customFormat="1">
      <c r="A656" s="15"/>
      <c r="B656" s="15"/>
      <c r="C656" s="15"/>
      <c r="D656" s="15"/>
      <c r="E656" s="6"/>
      <c r="F656" s="6"/>
      <c r="G656" s="6"/>
      <c r="K656" s="222"/>
      <c r="V656" s="1430"/>
      <c r="AA656" s="223"/>
      <c r="AC656" s="889"/>
      <c r="AF656" s="890"/>
      <c r="AJ656" s="889"/>
      <c r="AN656" s="222"/>
      <c r="BC656" s="223"/>
      <c r="BD656" s="222"/>
      <c r="BH656" s="611"/>
      <c r="BJ656" s="15"/>
      <c r="BK656" s="15"/>
      <c r="BO656" s="223"/>
      <c r="BQ656" s="889"/>
      <c r="BT656" s="890"/>
      <c r="BX656" s="889"/>
      <c r="CB656" s="15"/>
      <c r="CC656" s="697"/>
      <c r="CD656" s="1086"/>
      <c r="CE656" s="15"/>
      <c r="CF656" s="15"/>
      <c r="CG656" s="936"/>
      <c r="CH656" s="15"/>
      <c r="CI656" s="15"/>
      <c r="CJ656" s="15"/>
      <c r="CK656" s="1107"/>
      <c r="CL656" s="22"/>
      <c r="CM656" s="22"/>
      <c r="CN656" s="1107"/>
      <c r="CR656" s="223"/>
      <c r="CS656" s="952"/>
      <c r="CT656" s="1066"/>
      <c r="CU656" s="972"/>
      <c r="CV656" s="983"/>
      <c r="CW656" s="222"/>
      <c r="CX656" s="697"/>
      <c r="DC656" s="222"/>
      <c r="DJ656" s="889"/>
      <c r="DM656" s="890"/>
      <c r="DN656" s="952"/>
      <c r="DO656" s="75"/>
      <c r="DP656" s="962"/>
      <c r="DQ656" s="983"/>
      <c r="DV656" s="889"/>
    </row>
    <row r="657" spans="1:126" s="74" customFormat="1">
      <c r="A657" s="15"/>
      <c r="B657" s="15"/>
      <c r="C657" s="15"/>
      <c r="D657" s="15"/>
      <c r="E657" s="6"/>
      <c r="F657" s="6"/>
      <c r="G657" s="6"/>
      <c r="K657" s="222"/>
      <c r="V657" s="1430"/>
      <c r="AA657" s="223"/>
      <c r="AC657" s="889"/>
      <c r="AF657" s="890"/>
      <c r="AJ657" s="889"/>
      <c r="AN657" s="222"/>
      <c r="BC657" s="223"/>
      <c r="BD657" s="222"/>
      <c r="BH657" s="611"/>
      <c r="BJ657" s="15"/>
      <c r="BK657" s="15"/>
      <c r="BO657" s="223"/>
      <c r="BQ657" s="889"/>
      <c r="BT657" s="890"/>
      <c r="BX657" s="889"/>
      <c r="CB657" s="15"/>
      <c r="CC657" s="697"/>
      <c r="CD657" s="1086"/>
      <c r="CE657" s="15"/>
      <c r="CF657" s="15"/>
      <c r="CG657" s="936"/>
      <c r="CH657" s="15"/>
      <c r="CI657" s="15"/>
      <c r="CJ657" s="15"/>
      <c r="CK657" s="1107"/>
      <c r="CL657" s="22"/>
      <c r="CM657" s="22"/>
      <c r="CN657" s="1107"/>
      <c r="CR657" s="223"/>
      <c r="CS657" s="952"/>
      <c r="CT657" s="1066"/>
      <c r="CU657" s="972"/>
      <c r="CV657" s="983"/>
      <c r="CW657" s="222"/>
      <c r="CX657" s="697"/>
      <c r="DC657" s="222"/>
      <c r="DJ657" s="889"/>
      <c r="DM657" s="890"/>
      <c r="DN657" s="952"/>
      <c r="DO657" s="75"/>
      <c r="DP657" s="962"/>
      <c r="DQ657" s="983"/>
      <c r="DV657" s="889"/>
    </row>
    <row r="658" spans="1:126" s="74" customFormat="1">
      <c r="A658" s="15"/>
      <c r="B658" s="15"/>
      <c r="C658" s="15"/>
      <c r="D658" s="15"/>
      <c r="E658" s="6"/>
      <c r="F658" s="6"/>
      <c r="G658" s="6"/>
      <c r="K658" s="222"/>
      <c r="V658" s="1430"/>
      <c r="AA658" s="223"/>
      <c r="AC658" s="889"/>
      <c r="AF658" s="890"/>
      <c r="AJ658" s="889"/>
      <c r="AN658" s="222"/>
      <c r="BC658" s="223"/>
      <c r="BD658" s="222"/>
      <c r="BH658" s="611"/>
      <c r="BJ658" s="15"/>
      <c r="BK658" s="15"/>
      <c r="BO658" s="223"/>
      <c r="BQ658" s="889"/>
      <c r="BT658" s="890"/>
      <c r="BX658" s="889"/>
      <c r="CB658" s="15"/>
      <c r="CC658" s="697"/>
      <c r="CD658" s="1086"/>
      <c r="CE658" s="15"/>
      <c r="CF658" s="15"/>
      <c r="CG658" s="936"/>
      <c r="CH658" s="15"/>
      <c r="CI658" s="15"/>
      <c r="CJ658" s="15"/>
      <c r="CK658" s="1107"/>
      <c r="CL658" s="22"/>
      <c r="CM658" s="22"/>
      <c r="CN658" s="1107"/>
      <c r="CR658" s="223"/>
      <c r="CS658" s="952"/>
      <c r="CT658" s="1066"/>
      <c r="CU658" s="972"/>
      <c r="CV658" s="983"/>
      <c r="CW658" s="222"/>
      <c r="CX658" s="697"/>
      <c r="DC658" s="222"/>
      <c r="DJ658" s="889"/>
      <c r="DM658" s="890"/>
      <c r="DN658" s="952"/>
      <c r="DO658" s="75"/>
      <c r="DP658" s="962"/>
      <c r="DQ658" s="983"/>
      <c r="DV658" s="889"/>
    </row>
    <row r="659" spans="1:126" s="74" customFormat="1">
      <c r="A659" s="15"/>
      <c r="B659" s="15"/>
      <c r="C659" s="15"/>
      <c r="D659" s="15"/>
      <c r="E659" s="6"/>
      <c r="F659" s="6"/>
      <c r="G659" s="6"/>
      <c r="K659" s="222"/>
      <c r="V659" s="1430"/>
      <c r="AA659" s="223"/>
      <c r="AC659" s="889"/>
      <c r="AF659" s="890"/>
      <c r="AJ659" s="889"/>
      <c r="AN659" s="222"/>
      <c r="BC659" s="223"/>
      <c r="BD659" s="222"/>
      <c r="BH659" s="611"/>
      <c r="BJ659" s="15"/>
      <c r="BK659" s="15"/>
      <c r="BO659" s="223"/>
      <c r="BQ659" s="889"/>
      <c r="BT659" s="890"/>
      <c r="BX659" s="889"/>
      <c r="CB659" s="15"/>
      <c r="CC659" s="697"/>
      <c r="CD659" s="1086"/>
      <c r="CE659" s="15"/>
      <c r="CF659" s="15"/>
      <c r="CG659" s="936"/>
      <c r="CH659" s="15"/>
      <c r="CI659" s="15"/>
      <c r="CJ659" s="15"/>
      <c r="CK659" s="1107"/>
      <c r="CL659" s="22"/>
      <c r="CM659" s="22"/>
      <c r="CN659" s="1107"/>
      <c r="CR659" s="223"/>
      <c r="CS659" s="952"/>
      <c r="CT659" s="1066"/>
      <c r="CU659" s="972"/>
      <c r="CV659" s="983"/>
      <c r="CW659" s="222"/>
      <c r="CX659" s="697"/>
      <c r="DC659" s="222"/>
      <c r="DJ659" s="889"/>
      <c r="DM659" s="890"/>
      <c r="DN659" s="952"/>
      <c r="DO659" s="75"/>
      <c r="DP659" s="962"/>
      <c r="DQ659" s="983"/>
      <c r="DV659" s="889"/>
    </row>
    <row r="660" spans="1:126" s="74" customFormat="1">
      <c r="A660" s="15"/>
      <c r="B660" s="15"/>
      <c r="C660" s="15"/>
      <c r="D660" s="15"/>
      <c r="E660" s="6"/>
      <c r="F660" s="6"/>
      <c r="G660" s="6"/>
      <c r="K660" s="222"/>
      <c r="V660" s="1430"/>
      <c r="AA660" s="223"/>
      <c r="AC660" s="889"/>
      <c r="AF660" s="890"/>
      <c r="AJ660" s="889"/>
      <c r="AN660" s="222"/>
      <c r="BC660" s="223"/>
      <c r="BD660" s="222"/>
      <c r="BH660" s="611"/>
      <c r="BJ660" s="15"/>
      <c r="BK660" s="15"/>
      <c r="BO660" s="223"/>
      <c r="BQ660" s="889"/>
      <c r="BT660" s="890"/>
      <c r="BX660" s="889"/>
      <c r="CB660" s="15"/>
      <c r="CC660" s="697"/>
      <c r="CD660" s="1086"/>
      <c r="CE660" s="15"/>
      <c r="CF660" s="15"/>
      <c r="CG660" s="936"/>
      <c r="CH660" s="15"/>
      <c r="CI660" s="15"/>
      <c r="CJ660" s="15"/>
      <c r="CK660" s="1107"/>
      <c r="CL660" s="22"/>
      <c r="CM660" s="22"/>
      <c r="CN660" s="1107"/>
      <c r="CR660" s="223"/>
      <c r="CS660" s="952"/>
      <c r="CT660" s="1066"/>
      <c r="CU660" s="972"/>
      <c r="CV660" s="983"/>
      <c r="CW660" s="222"/>
      <c r="CX660" s="697"/>
      <c r="DC660" s="222"/>
      <c r="DJ660" s="889"/>
      <c r="DM660" s="890"/>
      <c r="DN660" s="952"/>
      <c r="DO660" s="75"/>
      <c r="DP660" s="962"/>
      <c r="DQ660" s="983"/>
      <c r="DV660" s="889"/>
    </row>
    <row r="661" spans="1:126" s="74" customFormat="1">
      <c r="A661" s="15"/>
      <c r="B661" s="15"/>
      <c r="C661" s="15"/>
      <c r="D661" s="15"/>
      <c r="E661" s="6"/>
      <c r="F661" s="6"/>
      <c r="G661" s="6"/>
      <c r="K661" s="222"/>
      <c r="V661" s="1430"/>
      <c r="AA661" s="223"/>
      <c r="AC661" s="889"/>
      <c r="AF661" s="890"/>
      <c r="AJ661" s="889"/>
      <c r="AN661" s="222"/>
      <c r="BC661" s="223"/>
      <c r="BD661" s="222"/>
      <c r="BH661" s="611"/>
      <c r="BJ661" s="15"/>
      <c r="BK661" s="15"/>
      <c r="BO661" s="223"/>
      <c r="BQ661" s="889"/>
      <c r="BT661" s="890"/>
      <c r="BX661" s="889"/>
      <c r="CB661" s="15"/>
      <c r="CC661" s="697"/>
      <c r="CD661" s="1086"/>
      <c r="CE661" s="15"/>
      <c r="CF661" s="15"/>
      <c r="CG661" s="936"/>
      <c r="CH661" s="15"/>
      <c r="CI661" s="15"/>
      <c r="CJ661" s="15"/>
      <c r="CK661" s="1107"/>
      <c r="CL661" s="22"/>
      <c r="CM661" s="22"/>
      <c r="CN661" s="1107"/>
      <c r="CR661" s="223"/>
      <c r="CS661" s="952"/>
      <c r="CT661" s="1066"/>
      <c r="CU661" s="972"/>
      <c r="CV661" s="983"/>
      <c r="CW661" s="222"/>
      <c r="CX661" s="697"/>
      <c r="DC661" s="222"/>
      <c r="DJ661" s="889"/>
      <c r="DM661" s="890"/>
      <c r="DN661" s="952"/>
      <c r="DO661" s="75"/>
      <c r="DP661" s="962"/>
      <c r="DQ661" s="983"/>
      <c r="DV661" s="889"/>
    </row>
    <row r="662" spans="1:126" s="74" customFormat="1">
      <c r="A662" s="15"/>
      <c r="B662" s="15"/>
      <c r="C662" s="15"/>
      <c r="D662" s="15"/>
      <c r="E662" s="6"/>
      <c r="F662" s="6"/>
      <c r="G662" s="6"/>
      <c r="K662" s="222"/>
      <c r="V662" s="1430"/>
      <c r="AA662" s="223"/>
      <c r="AC662" s="889"/>
      <c r="AF662" s="890"/>
      <c r="AJ662" s="889"/>
      <c r="AN662" s="222"/>
      <c r="BC662" s="223"/>
      <c r="BD662" s="222"/>
      <c r="BH662" s="611"/>
      <c r="BJ662" s="15"/>
      <c r="BK662" s="15"/>
      <c r="BO662" s="223"/>
      <c r="BQ662" s="889"/>
      <c r="BT662" s="890"/>
      <c r="BX662" s="889"/>
      <c r="CB662" s="15"/>
      <c r="CC662" s="697"/>
      <c r="CD662" s="1086"/>
      <c r="CE662" s="15"/>
      <c r="CF662" s="15"/>
      <c r="CG662" s="936"/>
      <c r="CH662" s="15"/>
      <c r="CI662" s="15"/>
      <c r="CJ662" s="15"/>
      <c r="CK662" s="1107"/>
      <c r="CL662" s="22"/>
      <c r="CM662" s="22"/>
      <c r="CN662" s="1107"/>
      <c r="CR662" s="223"/>
      <c r="CS662" s="952"/>
      <c r="CT662" s="1066"/>
      <c r="CU662" s="972"/>
      <c r="CV662" s="983"/>
      <c r="CW662" s="222"/>
      <c r="CX662" s="697"/>
      <c r="DC662" s="222"/>
      <c r="DJ662" s="889"/>
      <c r="DM662" s="890"/>
      <c r="DN662" s="952"/>
      <c r="DO662" s="75"/>
      <c r="DP662" s="962"/>
      <c r="DQ662" s="983"/>
      <c r="DV662" s="889"/>
    </row>
    <row r="663" spans="1:126" s="74" customFormat="1">
      <c r="A663" s="15"/>
      <c r="B663" s="15"/>
      <c r="C663" s="15"/>
      <c r="D663" s="15"/>
      <c r="E663" s="6"/>
      <c r="F663" s="6"/>
      <c r="G663" s="6"/>
      <c r="K663" s="222"/>
      <c r="V663" s="1430"/>
      <c r="AA663" s="223"/>
      <c r="AC663" s="889"/>
      <c r="AF663" s="890"/>
      <c r="AJ663" s="889"/>
      <c r="AN663" s="222"/>
      <c r="BC663" s="223"/>
      <c r="BD663" s="222"/>
      <c r="BH663" s="611"/>
      <c r="BJ663" s="15"/>
      <c r="BK663" s="15"/>
      <c r="BO663" s="223"/>
      <c r="BQ663" s="889"/>
      <c r="BT663" s="890"/>
      <c r="BX663" s="889"/>
      <c r="CB663" s="15"/>
      <c r="CC663" s="697"/>
      <c r="CD663" s="1086"/>
      <c r="CE663" s="15"/>
      <c r="CF663" s="15"/>
      <c r="CG663" s="936"/>
      <c r="CH663" s="15"/>
      <c r="CI663" s="15"/>
      <c r="CJ663" s="15"/>
      <c r="CK663" s="1107"/>
      <c r="CL663" s="22"/>
      <c r="CM663" s="22"/>
      <c r="CN663" s="1107"/>
      <c r="CR663" s="223"/>
      <c r="CS663" s="952"/>
      <c r="CT663" s="1066"/>
      <c r="CU663" s="972"/>
      <c r="CV663" s="983"/>
      <c r="CW663" s="222"/>
      <c r="CX663" s="697"/>
      <c r="DC663" s="222"/>
      <c r="DJ663" s="889"/>
      <c r="DM663" s="890"/>
      <c r="DN663" s="952"/>
      <c r="DO663" s="75"/>
      <c r="DP663" s="962"/>
      <c r="DQ663" s="983"/>
      <c r="DV663" s="889"/>
    </row>
    <row r="664" spans="1:126" s="74" customFormat="1">
      <c r="A664" s="15"/>
      <c r="B664" s="15"/>
      <c r="C664" s="15"/>
      <c r="D664" s="15"/>
      <c r="E664" s="6"/>
      <c r="F664" s="6"/>
      <c r="G664" s="6"/>
      <c r="K664" s="222"/>
      <c r="V664" s="1430"/>
      <c r="AA664" s="223"/>
      <c r="AC664" s="889"/>
      <c r="AF664" s="890"/>
      <c r="AJ664" s="889"/>
      <c r="AN664" s="222"/>
      <c r="BC664" s="223"/>
      <c r="BD664" s="222"/>
      <c r="BH664" s="611"/>
      <c r="BJ664" s="15"/>
      <c r="BK664" s="15"/>
      <c r="BO664" s="223"/>
      <c r="BQ664" s="889"/>
      <c r="BT664" s="890"/>
      <c r="BX664" s="889"/>
      <c r="CB664" s="15"/>
      <c r="CC664" s="697"/>
      <c r="CD664" s="1086"/>
      <c r="CE664" s="15"/>
      <c r="CF664" s="15"/>
      <c r="CG664" s="936"/>
      <c r="CH664" s="15"/>
      <c r="CI664" s="15"/>
      <c r="CJ664" s="15"/>
      <c r="CK664" s="1107"/>
      <c r="CL664" s="22"/>
      <c r="CM664" s="22"/>
      <c r="CN664" s="1107"/>
      <c r="CR664" s="223"/>
      <c r="CS664" s="952"/>
      <c r="CT664" s="1066"/>
      <c r="CU664" s="972"/>
      <c r="CV664" s="983"/>
      <c r="CW664" s="222"/>
      <c r="CX664" s="697"/>
      <c r="DC664" s="222"/>
      <c r="DJ664" s="889"/>
      <c r="DM664" s="890"/>
      <c r="DN664" s="952"/>
      <c r="DO664" s="75"/>
      <c r="DP664" s="962"/>
      <c r="DQ664" s="983"/>
      <c r="DV664" s="889"/>
    </row>
    <row r="665" spans="1:126" s="74" customFormat="1">
      <c r="A665" s="15"/>
      <c r="B665" s="15"/>
      <c r="C665" s="15"/>
      <c r="D665" s="15"/>
      <c r="E665" s="6"/>
      <c r="F665" s="6"/>
      <c r="G665" s="6"/>
      <c r="K665" s="222"/>
      <c r="V665" s="1430"/>
      <c r="AA665" s="223"/>
      <c r="AC665" s="889"/>
      <c r="AF665" s="890"/>
      <c r="AJ665" s="889"/>
      <c r="AN665" s="222"/>
      <c r="BC665" s="223"/>
      <c r="BD665" s="222"/>
      <c r="BH665" s="611"/>
      <c r="BJ665" s="15"/>
      <c r="BK665" s="15"/>
      <c r="BO665" s="223"/>
      <c r="BQ665" s="889"/>
      <c r="BT665" s="890"/>
      <c r="BX665" s="889"/>
      <c r="CB665" s="15"/>
      <c r="CC665" s="697"/>
      <c r="CD665" s="1086"/>
      <c r="CE665" s="15"/>
      <c r="CF665" s="15"/>
      <c r="CG665" s="936"/>
      <c r="CH665" s="15"/>
      <c r="CI665" s="15"/>
      <c r="CJ665" s="15"/>
      <c r="CK665" s="1107"/>
      <c r="CL665" s="22"/>
      <c r="CM665" s="22"/>
      <c r="CN665" s="1107"/>
      <c r="CR665" s="223"/>
      <c r="CS665" s="952"/>
      <c r="CT665" s="1066"/>
      <c r="CU665" s="972"/>
      <c r="CV665" s="983"/>
      <c r="CW665" s="222"/>
      <c r="CX665" s="697"/>
      <c r="DC665" s="222"/>
      <c r="DJ665" s="889"/>
      <c r="DM665" s="890"/>
      <c r="DN665" s="952"/>
      <c r="DO665" s="75"/>
      <c r="DP665" s="962"/>
      <c r="DQ665" s="983"/>
      <c r="DV665" s="889"/>
    </row>
    <row r="666" spans="1:126" s="74" customFormat="1">
      <c r="A666" s="15"/>
      <c r="B666" s="15"/>
      <c r="C666" s="15"/>
      <c r="D666" s="15"/>
      <c r="E666" s="6"/>
      <c r="F666" s="6"/>
      <c r="G666" s="6"/>
      <c r="K666" s="222"/>
      <c r="V666" s="1430"/>
      <c r="AA666" s="223"/>
      <c r="AC666" s="889"/>
      <c r="AF666" s="890"/>
      <c r="AJ666" s="889"/>
      <c r="AN666" s="222"/>
      <c r="BC666" s="223"/>
      <c r="BD666" s="222"/>
      <c r="BH666" s="611"/>
      <c r="BJ666" s="15"/>
      <c r="BK666" s="15"/>
      <c r="BO666" s="223"/>
      <c r="BQ666" s="889"/>
      <c r="BT666" s="890"/>
      <c r="BX666" s="889"/>
      <c r="CB666" s="15"/>
      <c r="CC666" s="697"/>
      <c r="CD666" s="1086"/>
      <c r="CE666" s="15"/>
      <c r="CF666" s="15"/>
      <c r="CG666" s="936"/>
      <c r="CH666" s="15"/>
      <c r="CI666" s="15"/>
      <c r="CJ666" s="15"/>
      <c r="CK666" s="1107"/>
      <c r="CL666" s="22"/>
      <c r="CM666" s="22"/>
      <c r="CN666" s="1107"/>
      <c r="CR666" s="223"/>
      <c r="CS666" s="952"/>
      <c r="CT666" s="1066"/>
      <c r="CU666" s="972"/>
      <c r="CV666" s="983"/>
      <c r="CW666" s="222"/>
      <c r="CX666" s="697"/>
      <c r="DC666" s="222"/>
      <c r="DJ666" s="889"/>
      <c r="DM666" s="890"/>
      <c r="DN666" s="952"/>
      <c r="DO666" s="75"/>
      <c r="DP666" s="962"/>
      <c r="DQ666" s="983"/>
      <c r="DV666" s="889"/>
    </row>
    <row r="667" spans="1:126" s="74" customFormat="1">
      <c r="A667" s="15"/>
      <c r="B667" s="15"/>
      <c r="C667" s="15"/>
      <c r="D667" s="15"/>
      <c r="E667" s="6"/>
      <c r="F667" s="6"/>
      <c r="G667" s="6"/>
      <c r="K667" s="222"/>
      <c r="V667" s="1430"/>
      <c r="AA667" s="223"/>
      <c r="AC667" s="889"/>
      <c r="AF667" s="890"/>
      <c r="AJ667" s="889"/>
      <c r="AN667" s="222"/>
      <c r="BC667" s="223"/>
      <c r="BD667" s="222"/>
      <c r="BH667" s="611"/>
      <c r="BJ667" s="15"/>
      <c r="BK667" s="15"/>
      <c r="BO667" s="223"/>
      <c r="BQ667" s="889"/>
      <c r="BT667" s="890"/>
      <c r="BX667" s="889"/>
      <c r="CB667" s="15"/>
      <c r="CC667" s="697"/>
      <c r="CD667" s="1086"/>
      <c r="CE667" s="15"/>
      <c r="CF667" s="15"/>
      <c r="CG667" s="936"/>
      <c r="CH667" s="15"/>
      <c r="CI667" s="15"/>
      <c r="CJ667" s="15"/>
      <c r="CK667" s="1107"/>
      <c r="CL667" s="22"/>
      <c r="CM667" s="22"/>
      <c r="CN667" s="1107"/>
      <c r="CR667" s="223"/>
      <c r="CS667" s="952"/>
      <c r="CT667" s="1066"/>
      <c r="CU667" s="972"/>
      <c r="CV667" s="983"/>
      <c r="CW667" s="222"/>
      <c r="CX667" s="697"/>
      <c r="DC667" s="222"/>
      <c r="DJ667" s="889"/>
      <c r="DM667" s="890"/>
      <c r="DN667" s="952"/>
      <c r="DO667" s="75"/>
      <c r="DP667" s="962"/>
      <c r="DQ667" s="983"/>
      <c r="DV667" s="889"/>
    </row>
    <row r="668" spans="1:126" s="74" customFormat="1">
      <c r="A668" s="15"/>
      <c r="B668" s="15"/>
      <c r="C668" s="15"/>
      <c r="D668" s="15"/>
      <c r="E668" s="6"/>
      <c r="F668" s="6"/>
      <c r="G668" s="6"/>
      <c r="K668" s="222"/>
      <c r="V668" s="1430"/>
      <c r="AA668" s="223"/>
      <c r="AC668" s="889"/>
      <c r="AF668" s="890"/>
      <c r="AJ668" s="889"/>
      <c r="AN668" s="222"/>
      <c r="BC668" s="223"/>
      <c r="BD668" s="222"/>
      <c r="BH668" s="611"/>
      <c r="BJ668" s="15"/>
      <c r="BK668" s="15"/>
      <c r="BO668" s="223"/>
      <c r="BQ668" s="889"/>
      <c r="BT668" s="890"/>
      <c r="BX668" s="889"/>
      <c r="CB668" s="15"/>
      <c r="CC668" s="697"/>
      <c r="CD668" s="1086"/>
      <c r="CE668" s="15"/>
      <c r="CF668" s="15"/>
      <c r="CG668" s="936"/>
      <c r="CH668" s="15"/>
      <c r="CI668" s="15"/>
      <c r="CJ668" s="15"/>
      <c r="CK668" s="1107"/>
      <c r="CL668" s="22"/>
      <c r="CM668" s="22"/>
      <c r="CN668" s="1107"/>
      <c r="CR668" s="223"/>
      <c r="CS668" s="952"/>
      <c r="CT668" s="1066"/>
      <c r="CU668" s="972"/>
      <c r="CV668" s="983"/>
      <c r="CW668" s="222"/>
      <c r="CX668" s="697"/>
      <c r="DC668" s="222"/>
      <c r="DJ668" s="889"/>
      <c r="DM668" s="890"/>
      <c r="DN668" s="952"/>
      <c r="DO668" s="75"/>
      <c r="DP668" s="962"/>
      <c r="DQ668" s="983"/>
      <c r="DV668" s="889"/>
    </row>
    <row r="669" spans="1:126" s="74" customFormat="1">
      <c r="A669" s="15"/>
      <c r="B669" s="15"/>
      <c r="C669" s="15"/>
      <c r="D669" s="15"/>
      <c r="E669" s="6"/>
      <c r="F669" s="6"/>
      <c r="G669" s="6"/>
      <c r="K669" s="222"/>
      <c r="V669" s="1430"/>
      <c r="AA669" s="223"/>
      <c r="AC669" s="889"/>
      <c r="AF669" s="890"/>
      <c r="AJ669" s="889"/>
      <c r="AN669" s="222"/>
      <c r="BC669" s="223"/>
      <c r="BD669" s="222"/>
      <c r="BH669" s="611"/>
      <c r="BJ669" s="15"/>
      <c r="BK669" s="15"/>
      <c r="BO669" s="223"/>
      <c r="BQ669" s="889"/>
      <c r="BT669" s="890"/>
      <c r="BX669" s="889"/>
      <c r="CB669" s="15"/>
      <c r="CC669" s="697"/>
      <c r="CD669" s="1086"/>
      <c r="CE669" s="15"/>
      <c r="CF669" s="15"/>
      <c r="CG669" s="936"/>
      <c r="CH669" s="15"/>
      <c r="CI669" s="15"/>
      <c r="CJ669" s="15"/>
      <c r="CK669" s="1107"/>
      <c r="CL669" s="22"/>
      <c r="CM669" s="22"/>
      <c r="CN669" s="1107"/>
      <c r="CR669" s="223"/>
      <c r="CS669" s="952"/>
      <c r="CT669" s="1066"/>
      <c r="CU669" s="972"/>
      <c r="CV669" s="983"/>
      <c r="CW669" s="222"/>
      <c r="CX669" s="697"/>
      <c r="DC669" s="222"/>
      <c r="DJ669" s="889"/>
      <c r="DM669" s="890"/>
      <c r="DN669" s="952"/>
      <c r="DO669" s="75"/>
      <c r="DP669" s="962"/>
      <c r="DQ669" s="983"/>
      <c r="DV669" s="889"/>
    </row>
    <row r="670" spans="1:126" s="74" customFormat="1">
      <c r="A670" s="15"/>
      <c r="B670" s="15"/>
      <c r="C670" s="15"/>
      <c r="D670" s="15"/>
      <c r="E670" s="6"/>
      <c r="F670" s="6"/>
      <c r="G670" s="6"/>
      <c r="K670" s="222"/>
      <c r="V670" s="1430"/>
      <c r="AA670" s="223"/>
      <c r="AC670" s="889"/>
      <c r="AF670" s="890"/>
      <c r="AJ670" s="889"/>
      <c r="AN670" s="222"/>
      <c r="BC670" s="223"/>
      <c r="BD670" s="222"/>
      <c r="BH670" s="611"/>
      <c r="BJ670" s="15"/>
      <c r="BK670" s="15"/>
      <c r="BO670" s="223"/>
      <c r="BQ670" s="889"/>
      <c r="BT670" s="890"/>
      <c r="BX670" s="889"/>
      <c r="CB670" s="15"/>
      <c r="CC670" s="697"/>
      <c r="CD670" s="1086"/>
      <c r="CE670" s="15"/>
      <c r="CF670" s="15"/>
      <c r="CG670" s="936"/>
      <c r="CH670" s="15"/>
      <c r="CI670" s="15"/>
      <c r="CJ670" s="15"/>
      <c r="CK670" s="1107"/>
      <c r="CL670" s="22"/>
      <c r="CM670" s="22"/>
      <c r="CN670" s="1107"/>
      <c r="CR670" s="223"/>
      <c r="CS670" s="952"/>
      <c r="CT670" s="1066"/>
      <c r="CU670" s="972"/>
      <c r="CV670" s="983"/>
      <c r="CW670" s="222"/>
      <c r="CX670" s="697"/>
      <c r="DC670" s="222"/>
      <c r="DJ670" s="889"/>
      <c r="DM670" s="890"/>
      <c r="DN670" s="952"/>
      <c r="DO670" s="75"/>
      <c r="DP670" s="962"/>
      <c r="DQ670" s="983"/>
      <c r="DV670" s="889"/>
    </row>
    <row r="671" spans="1:126" s="74" customFormat="1">
      <c r="A671" s="15"/>
      <c r="B671" s="15"/>
      <c r="C671" s="15"/>
      <c r="D671" s="15"/>
      <c r="E671" s="6"/>
      <c r="F671" s="6"/>
      <c r="G671" s="6"/>
      <c r="K671" s="222"/>
      <c r="V671" s="1430"/>
      <c r="AA671" s="223"/>
      <c r="AC671" s="889"/>
      <c r="AF671" s="890"/>
      <c r="AJ671" s="889"/>
      <c r="AN671" s="222"/>
      <c r="BC671" s="223"/>
      <c r="BD671" s="222"/>
      <c r="BH671" s="611"/>
      <c r="BJ671" s="15"/>
      <c r="BK671" s="15"/>
      <c r="BO671" s="223"/>
      <c r="BQ671" s="889"/>
      <c r="BT671" s="890"/>
      <c r="BX671" s="889"/>
      <c r="CB671" s="15"/>
      <c r="CC671" s="697"/>
      <c r="CD671" s="1086"/>
      <c r="CE671" s="15"/>
      <c r="CF671" s="15"/>
      <c r="CG671" s="936"/>
      <c r="CH671" s="15"/>
      <c r="CI671" s="15"/>
      <c r="CJ671" s="15"/>
      <c r="CK671" s="1107"/>
      <c r="CL671" s="22"/>
      <c r="CM671" s="22"/>
      <c r="CN671" s="1107"/>
      <c r="CR671" s="223"/>
      <c r="CS671" s="952"/>
      <c r="CT671" s="1066"/>
      <c r="CU671" s="972"/>
      <c r="CV671" s="983"/>
      <c r="CW671" s="222"/>
      <c r="CX671" s="697"/>
      <c r="DC671" s="222"/>
      <c r="DJ671" s="889"/>
      <c r="DM671" s="890"/>
      <c r="DN671" s="952"/>
      <c r="DO671" s="75"/>
      <c r="DP671" s="962"/>
      <c r="DQ671" s="983"/>
      <c r="DV671" s="889"/>
    </row>
    <row r="672" spans="1:126" s="74" customFormat="1">
      <c r="A672" s="15"/>
      <c r="B672" s="15"/>
      <c r="C672" s="15"/>
      <c r="D672" s="15"/>
      <c r="E672" s="6"/>
      <c r="F672" s="6"/>
      <c r="G672" s="6"/>
      <c r="K672" s="222"/>
      <c r="V672" s="1430"/>
      <c r="AA672" s="223"/>
      <c r="AC672" s="889"/>
      <c r="AF672" s="890"/>
      <c r="AJ672" s="889"/>
      <c r="AN672" s="222"/>
      <c r="BC672" s="223"/>
      <c r="BD672" s="222"/>
      <c r="BH672" s="611"/>
      <c r="BJ672" s="15"/>
      <c r="BK672" s="15"/>
      <c r="BO672" s="223"/>
      <c r="BQ672" s="889"/>
      <c r="BT672" s="890"/>
      <c r="BX672" s="889"/>
      <c r="CB672" s="15"/>
      <c r="CC672" s="697"/>
      <c r="CD672" s="1086"/>
      <c r="CE672" s="15"/>
      <c r="CF672" s="15"/>
      <c r="CG672" s="936"/>
      <c r="CH672" s="15"/>
      <c r="CI672" s="15"/>
      <c r="CJ672" s="15"/>
      <c r="CK672" s="1107"/>
      <c r="CL672" s="22"/>
      <c r="CM672" s="22"/>
      <c r="CN672" s="1107"/>
      <c r="CR672" s="223"/>
      <c r="CS672" s="952"/>
      <c r="CT672" s="1066"/>
      <c r="CU672" s="972"/>
      <c r="CV672" s="983"/>
      <c r="CW672" s="222"/>
      <c r="CX672" s="697"/>
      <c r="DC672" s="222"/>
      <c r="DJ672" s="889"/>
      <c r="DM672" s="890"/>
      <c r="DN672" s="952"/>
      <c r="DO672" s="75"/>
      <c r="DP672" s="962"/>
      <c r="DQ672" s="983"/>
      <c r="DV672" s="889"/>
    </row>
    <row r="673" spans="1:126" s="74" customFormat="1">
      <c r="A673" s="15"/>
      <c r="B673" s="15"/>
      <c r="C673" s="15"/>
      <c r="D673" s="15"/>
      <c r="E673" s="6"/>
      <c r="F673" s="6"/>
      <c r="G673" s="6"/>
      <c r="K673" s="222"/>
      <c r="V673" s="1430"/>
      <c r="AA673" s="223"/>
      <c r="AC673" s="889"/>
      <c r="AF673" s="890"/>
      <c r="AJ673" s="889"/>
      <c r="AN673" s="222"/>
      <c r="BC673" s="223"/>
      <c r="BD673" s="222"/>
      <c r="BH673" s="611"/>
      <c r="BJ673" s="15"/>
      <c r="BK673" s="15"/>
      <c r="BO673" s="223"/>
      <c r="BQ673" s="889"/>
      <c r="BT673" s="890"/>
      <c r="BX673" s="889"/>
      <c r="CB673" s="15"/>
      <c r="CC673" s="697"/>
      <c r="CD673" s="1086"/>
      <c r="CE673" s="15"/>
      <c r="CF673" s="15"/>
      <c r="CG673" s="936"/>
      <c r="CH673" s="15"/>
      <c r="CI673" s="15"/>
      <c r="CJ673" s="15"/>
      <c r="CK673" s="1107"/>
      <c r="CL673" s="22"/>
      <c r="CM673" s="22"/>
      <c r="CN673" s="1107"/>
      <c r="CR673" s="223"/>
      <c r="CS673" s="952"/>
      <c r="CT673" s="1066"/>
      <c r="CU673" s="972"/>
      <c r="CV673" s="983"/>
      <c r="CW673" s="222"/>
      <c r="CX673" s="697"/>
      <c r="DC673" s="222"/>
      <c r="DJ673" s="889"/>
      <c r="DM673" s="890"/>
      <c r="DN673" s="952"/>
      <c r="DO673" s="75"/>
      <c r="DP673" s="962"/>
      <c r="DQ673" s="983"/>
      <c r="DV673" s="889"/>
    </row>
    <row r="674" spans="1:126" s="74" customFormat="1">
      <c r="A674" s="15"/>
      <c r="B674" s="15"/>
      <c r="C674" s="15"/>
      <c r="D674" s="15"/>
      <c r="E674" s="6"/>
      <c r="F674" s="6"/>
      <c r="G674" s="6"/>
      <c r="K674" s="222"/>
      <c r="V674" s="1430"/>
      <c r="AA674" s="223"/>
      <c r="AC674" s="889"/>
      <c r="AF674" s="890"/>
      <c r="AJ674" s="889"/>
      <c r="AN674" s="222"/>
      <c r="BC674" s="223"/>
      <c r="BD674" s="222"/>
      <c r="BH674" s="611"/>
      <c r="BJ674" s="15"/>
      <c r="BK674" s="15"/>
      <c r="BO674" s="223"/>
      <c r="BQ674" s="889"/>
      <c r="BT674" s="890"/>
      <c r="BX674" s="889"/>
      <c r="CB674" s="15"/>
      <c r="CC674" s="697"/>
      <c r="CD674" s="1086"/>
      <c r="CE674" s="15"/>
      <c r="CF674" s="15"/>
      <c r="CG674" s="936"/>
      <c r="CH674" s="15"/>
      <c r="CI674" s="15"/>
      <c r="CJ674" s="15"/>
      <c r="CK674" s="1107"/>
      <c r="CL674" s="22"/>
      <c r="CM674" s="22"/>
      <c r="CN674" s="1107"/>
      <c r="CR674" s="223"/>
      <c r="CS674" s="952"/>
      <c r="CT674" s="1066"/>
      <c r="CU674" s="972"/>
      <c r="CV674" s="983"/>
      <c r="CW674" s="222"/>
      <c r="CX674" s="697"/>
      <c r="DC674" s="222"/>
      <c r="DJ674" s="889"/>
      <c r="DM674" s="890"/>
      <c r="DN674" s="952"/>
      <c r="DO674" s="75"/>
      <c r="DP674" s="962"/>
      <c r="DQ674" s="983"/>
      <c r="DV674" s="889"/>
    </row>
    <row r="675" spans="1:126" s="74" customFormat="1">
      <c r="A675" s="15"/>
      <c r="B675" s="15"/>
      <c r="C675" s="15"/>
      <c r="D675" s="15"/>
      <c r="E675" s="6"/>
      <c r="F675" s="6"/>
      <c r="G675" s="6"/>
      <c r="K675" s="222"/>
      <c r="V675" s="1430"/>
      <c r="AA675" s="223"/>
      <c r="AC675" s="889"/>
      <c r="AF675" s="890"/>
      <c r="AJ675" s="889"/>
      <c r="AN675" s="222"/>
      <c r="BC675" s="223"/>
      <c r="BD675" s="222"/>
      <c r="BH675" s="611"/>
      <c r="BJ675" s="15"/>
      <c r="BK675" s="15"/>
      <c r="BO675" s="223"/>
      <c r="BQ675" s="889"/>
      <c r="BT675" s="890"/>
      <c r="BX675" s="889"/>
      <c r="CB675" s="15"/>
      <c r="CC675" s="697"/>
      <c r="CD675" s="1086"/>
      <c r="CE675" s="15"/>
      <c r="CF675" s="15"/>
      <c r="CG675" s="936"/>
      <c r="CH675" s="15"/>
      <c r="CI675" s="15"/>
      <c r="CJ675" s="15"/>
      <c r="CK675" s="1107"/>
      <c r="CL675" s="22"/>
      <c r="CM675" s="22"/>
      <c r="CN675" s="1107"/>
      <c r="CR675" s="223"/>
      <c r="CS675" s="952"/>
      <c r="CT675" s="1066"/>
      <c r="CU675" s="972"/>
      <c r="CV675" s="983"/>
      <c r="CW675" s="222"/>
      <c r="CX675" s="697"/>
      <c r="DC675" s="222"/>
      <c r="DJ675" s="889"/>
      <c r="DM675" s="890"/>
      <c r="DN675" s="952"/>
      <c r="DO675" s="75"/>
      <c r="DP675" s="962"/>
      <c r="DQ675" s="983"/>
      <c r="DV675" s="889"/>
    </row>
    <row r="676" spans="1:126" s="74" customFormat="1">
      <c r="A676" s="15"/>
      <c r="B676" s="15"/>
      <c r="C676" s="15"/>
      <c r="D676" s="15"/>
      <c r="E676" s="6"/>
      <c r="F676" s="6"/>
      <c r="G676" s="6"/>
      <c r="K676" s="222"/>
      <c r="V676" s="1430"/>
      <c r="AA676" s="223"/>
      <c r="AC676" s="889"/>
      <c r="AF676" s="890"/>
      <c r="AJ676" s="889"/>
      <c r="AN676" s="222"/>
      <c r="BC676" s="223"/>
      <c r="BD676" s="222"/>
      <c r="BH676" s="611"/>
      <c r="BJ676" s="15"/>
      <c r="BK676" s="15"/>
      <c r="BO676" s="223"/>
      <c r="BQ676" s="889"/>
      <c r="BT676" s="890"/>
      <c r="BX676" s="889"/>
      <c r="CB676" s="15"/>
      <c r="CC676" s="697"/>
      <c r="CD676" s="1086"/>
      <c r="CE676" s="15"/>
      <c r="CF676" s="15"/>
      <c r="CG676" s="936"/>
      <c r="CH676" s="15"/>
      <c r="CI676" s="15"/>
      <c r="CJ676" s="15"/>
      <c r="CK676" s="1107"/>
      <c r="CL676" s="22"/>
      <c r="CM676" s="22"/>
      <c r="CN676" s="1107"/>
      <c r="CR676" s="223"/>
      <c r="CS676" s="952"/>
      <c r="CT676" s="1066"/>
      <c r="CU676" s="972"/>
      <c r="CV676" s="983"/>
      <c r="CW676" s="222"/>
      <c r="CX676" s="697"/>
      <c r="DC676" s="222"/>
      <c r="DJ676" s="889"/>
      <c r="DM676" s="890"/>
      <c r="DN676" s="952"/>
      <c r="DO676" s="75"/>
      <c r="DP676" s="962"/>
      <c r="DQ676" s="983"/>
      <c r="DV676" s="889"/>
    </row>
    <row r="677" spans="1:126" s="74" customFormat="1">
      <c r="A677" s="15"/>
      <c r="B677" s="15"/>
      <c r="C677" s="15"/>
      <c r="D677" s="15"/>
      <c r="E677" s="6"/>
      <c r="F677" s="6"/>
      <c r="G677" s="6"/>
      <c r="K677" s="222"/>
      <c r="V677" s="1430"/>
      <c r="AA677" s="223"/>
      <c r="AC677" s="889"/>
      <c r="AF677" s="890"/>
      <c r="AJ677" s="889"/>
      <c r="AN677" s="222"/>
      <c r="BC677" s="223"/>
      <c r="BD677" s="222"/>
      <c r="BH677" s="611"/>
      <c r="BJ677" s="15"/>
      <c r="BK677" s="15"/>
      <c r="BO677" s="223"/>
      <c r="BQ677" s="889"/>
      <c r="BT677" s="890"/>
      <c r="BX677" s="889"/>
      <c r="CB677" s="15"/>
      <c r="CC677" s="697"/>
      <c r="CD677" s="1086"/>
      <c r="CE677" s="15"/>
      <c r="CF677" s="15"/>
      <c r="CG677" s="936"/>
      <c r="CH677" s="15"/>
      <c r="CI677" s="15"/>
      <c r="CJ677" s="15"/>
      <c r="CK677" s="1107"/>
      <c r="CL677" s="22"/>
      <c r="CM677" s="22"/>
      <c r="CN677" s="1107"/>
      <c r="CR677" s="223"/>
      <c r="CS677" s="952"/>
      <c r="CT677" s="1066"/>
      <c r="CU677" s="972"/>
      <c r="CV677" s="983"/>
      <c r="CW677" s="222"/>
      <c r="CX677" s="697"/>
      <c r="DC677" s="222"/>
      <c r="DJ677" s="889"/>
      <c r="DM677" s="890"/>
      <c r="DN677" s="952"/>
      <c r="DO677" s="75"/>
      <c r="DP677" s="962"/>
      <c r="DQ677" s="983"/>
      <c r="DV677" s="889"/>
    </row>
    <row r="678" spans="1:126" s="74" customFormat="1">
      <c r="A678" s="15"/>
      <c r="B678" s="15"/>
      <c r="C678" s="15"/>
      <c r="D678" s="15"/>
      <c r="E678" s="6"/>
      <c r="F678" s="6"/>
      <c r="G678" s="6"/>
      <c r="K678" s="222"/>
      <c r="V678" s="1430"/>
      <c r="AA678" s="223"/>
      <c r="AC678" s="889"/>
      <c r="AF678" s="890"/>
      <c r="AJ678" s="889"/>
      <c r="AN678" s="222"/>
      <c r="BC678" s="223"/>
      <c r="BD678" s="222"/>
      <c r="BH678" s="611"/>
      <c r="BJ678" s="15"/>
      <c r="BK678" s="15"/>
      <c r="BO678" s="223"/>
      <c r="BQ678" s="889"/>
      <c r="BT678" s="890"/>
      <c r="BX678" s="889"/>
      <c r="CB678" s="15"/>
      <c r="CC678" s="697"/>
      <c r="CD678" s="1086"/>
      <c r="CE678" s="15"/>
      <c r="CF678" s="15"/>
      <c r="CG678" s="936"/>
      <c r="CH678" s="15"/>
      <c r="CI678" s="15"/>
      <c r="CJ678" s="15"/>
      <c r="CK678" s="1107"/>
      <c r="CL678" s="22"/>
      <c r="CM678" s="22"/>
      <c r="CN678" s="1107"/>
      <c r="CR678" s="223"/>
      <c r="CS678" s="952"/>
      <c r="CT678" s="1066"/>
      <c r="CU678" s="972"/>
      <c r="CV678" s="983"/>
      <c r="CW678" s="222"/>
      <c r="CX678" s="697"/>
      <c r="DC678" s="222"/>
      <c r="DJ678" s="889"/>
      <c r="DM678" s="890"/>
      <c r="DN678" s="952"/>
      <c r="DO678" s="75"/>
      <c r="DP678" s="962"/>
      <c r="DQ678" s="983"/>
      <c r="DV678" s="889"/>
    </row>
    <row r="679" spans="1:126" s="74" customFormat="1">
      <c r="A679" s="15"/>
      <c r="B679" s="15"/>
      <c r="C679" s="15"/>
      <c r="D679" s="15"/>
      <c r="E679" s="6"/>
      <c r="F679" s="6"/>
      <c r="G679" s="6"/>
      <c r="K679" s="222"/>
      <c r="V679" s="1430"/>
      <c r="AA679" s="223"/>
      <c r="AC679" s="889"/>
      <c r="AF679" s="890"/>
      <c r="AJ679" s="889"/>
      <c r="AN679" s="222"/>
      <c r="BC679" s="223"/>
      <c r="BD679" s="222"/>
      <c r="BH679" s="611"/>
      <c r="BJ679" s="15"/>
      <c r="BK679" s="15"/>
      <c r="BO679" s="223"/>
      <c r="BQ679" s="889"/>
      <c r="BT679" s="890"/>
      <c r="BX679" s="889"/>
      <c r="CB679" s="15"/>
      <c r="CC679" s="697"/>
      <c r="CD679" s="1086"/>
      <c r="CE679" s="15"/>
      <c r="CF679" s="15"/>
      <c r="CG679" s="936"/>
      <c r="CH679" s="15"/>
      <c r="CI679" s="15"/>
      <c r="CJ679" s="15"/>
      <c r="CK679" s="1107"/>
      <c r="CL679" s="22"/>
      <c r="CM679" s="22"/>
      <c r="CN679" s="1107"/>
      <c r="CR679" s="223"/>
      <c r="CS679" s="952"/>
      <c r="CT679" s="1066"/>
      <c r="CU679" s="972"/>
      <c r="CV679" s="983"/>
      <c r="CW679" s="222"/>
      <c r="CX679" s="697"/>
      <c r="DC679" s="222"/>
      <c r="DJ679" s="889"/>
      <c r="DM679" s="890"/>
      <c r="DN679" s="952"/>
      <c r="DO679" s="75"/>
      <c r="DP679" s="962"/>
      <c r="DQ679" s="983"/>
      <c r="DV679" s="889"/>
    </row>
    <row r="680" spans="1:126" s="74" customFormat="1">
      <c r="A680" s="15"/>
      <c r="B680" s="15"/>
      <c r="C680" s="15"/>
      <c r="D680" s="15"/>
      <c r="E680" s="6"/>
      <c r="F680" s="6"/>
      <c r="G680" s="6"/>
      <c r="K680" s="222"/>
      <c r="V680" s="1430"/>
      <c r="AA680" s="223"/>
      <c r="AC680" s="889"/>
      <c r="AF680" s="890"/>
      <c r="AJ680" s="889"/>
      <c r="AN680" s="222"/>
      <c r="BC680" s="223"/>
      <c r="BD680" s="222"/>
      <c r="BH680" s="611"/>
      <c r="BJ680" s="15"/>
      <c r="BK680" s="15"/>
      <c r="BO680" s="223"/>
      <c r="BQ680" s="889"/>
      <c r="BT680" s="890"/>
      <c r="BX680" s="889"/>
      <c r="CB680" s="15"/>
      <c r="CC680" s="697"/>
      <c r="CD680" s="1086"/>
      <c r="CE680" s="15"/>
      <c r="CF680" s="15"/>
      <c r="CG680" s="936"/>
      <c r="CH680" s="15"/>
      <c r="CI680" s="15"/>
      <c r="CJ680" s="15"/>
      <c r="CK680" s="1107"/>
      <c r="CL680" s="22"/>
      <c r="CM680" s="22"/>
      <c r="CN680" s="1107"/>
      <c r="CR680" s="223"/>
      <c r="CS680" s="952"/>
      <c r="CT680" s="1066"/>
      <c r="CU680" s="972"/>
      <c r="CV680" s="983"/>
      <c r="CW680" s="222"/>
      <c r="CX680" s="697"/>
      <c r="DC680" s="222"/>
      <c r="DJ680" s="889"/>
      <c r="DM680" s="890"/>
      <c r="DN680" s="952"/>
      <c r="DO680" s="75"/>
      <c r="DP680" s="962"/>
      <c r="DQ680" s="983"/>
      <c r="DV680" s="889"/>
    </row>
    <row r="681" spans="1:126" s="74" customFormat="1">
      <c r="A681" s="15"/>
      <c r="B681" s="15"/>
      <c r="C681" s="15"/>
      <c r="D681" s="15"/>
      <c r="E681" s="6"/>
      <c r="F681" s="6"/>
      <c r="G681" s="6"/>
      <c r="K681" s="222"/>
      <c r="V681" s="1430"/>
      <c r="AA681" s="223"/>
      <c r="AC681" s="889"/>
      <c r="AF681" s="890"/>
      <c r="AJ681" s="889"/>
      <c r="AN681" s="222"/>
      <c r="BC681" s="223"/>
      <c r="BD681" s="222"/>
      <c r="BH681" s="611"/>
      <c r="BJ681" s="15"/>
      <c r="BK681" s="15"/>
      <c r="BO681" s="223"/>
      <c r="BQ681" s="889"/>
      <c r="BT681" s="890"/>
      <c r="BX681" s="889"/>
      <c r="CB681" s="15"/>
      <c r="CC681" s="697"/>
      <c r="CD681" s="1086"/>
      <c r="CE681" s="15"/>
      <c r="CF681" s="15"/>
      <c r="CG681" s="936"/>
      <c r="CH681" s="15"/>
      <c r="CI681" s="15"/>
      <c r="CJ681" s="15"/>
      <c r="CK681" s="1107"/>
      <c r="CL681" s="22"/>
      <c r="CM681" s="22"/>
      <c r="CN681" s="1107"/>
      <c r="CR681" s="223"/>
      <c r="CS681" s="952"/>
      <c r="CT681" s="1066"/>
      <c r="CU681" s="972"/>
      <c r="CV681" s="983"/>
      <c r="CW681" s="222"/>
      <c r="CX681" s="697"/>
      <c r="DC681" s="222"/>
      <c r="DJ681" s="889"/>
      <c r="DM681" s="890"/>
      <c r="DN681" s="952"/>
      <c r="DO681" s="75"/>
      <c r="DP681" s="962"/>
      <c r="DQ681" s="983"/>
      <c r="DV681" s="889"/>
    </row>
    <row r="682" spans="1:126" s="74" customFormat="1">
      <c r="A682" s="15"/>
      <c r="B682" s="15"/>
      <c r="C682" s="15"/>
      <c r="D682" s="15"/>
      <c r="E682" s="6"/>
      <c r="F682" s="6"/>
      <c r="G682" s="6"/>
      <c r="K682" s="222"/>
      <c r="V682" s="1430"/>
      <c r="AA682" s="223"/>
      <c r="AC682" s="889"/>
      <c r="AF682" s="890"/>
      <c r="AJ682" s="889"/>
      <c r="AN682" s="222"/>
      <c r="BC682" s="223"/>
      <c r="BD682" s="222"/>
      <c r="BH682" s="611"/>
      <c r="BJ682" s="15"/>
      <c r="BK682" s="15"/>
      <c r="BO682" s="223"/>
      <c r="BQ682" s="889"/>
      <c r="BT682" s="890"/>
      <c r="BX682" s="889"/>
      <c r="CB682" s="15"/>
      <c r="CC682" s="697"/>
      <c r="CD682" s="1086"/>
      <c r="CE682" s="15"/>
      <c r="CF682" s="15"/>
      <c r="CG682" s="936"/>
      <c r="CH682" s="15"/>
      <c r="CI682" s="15"/>
      <c r="CJ682" s="15"/>
      <c r="CK682" s="1107"/>
      <c r="CL682" s="22"/>
      <c r="CM682" s="22"/>
      <c r="CN682" s="1107"/>
      <c r="CR682" s="223"/>
      <c r="CS682" s="952"/>
      <c r="CT682" s="1066"/>
      <c r="CU682" s="972"/>
      <c r="CV682" s="983"/>
      <c r="CW682" s="222"/>
      <c r="CX682" s="697"/>
      <c r="DC682" s="222"/>
      <c r="DJ682" s="889"/>
      <c r="DM682" s="890"/>
      <c r="DN682" s="952"/>
      <c r="DO682" s="75"/>
      <c r="DP682" s="962"/>
      <c r="DQ682" s="983"/>
      <c r="DV682" s="889"/>
    </row>
    <row r="683" spans="1:126" s="74" customFormat="1">
      <c r="A683" s="15"/>
      <c r="B683" s="15"/>
      <c r="C683" s="15"/>
      <c r="D683" s="15"/>
      <c r="E683" s="6"/>
      <c r="F683" s="6"/>
      <c r="G683" s="6"/>
      <c r="K683" s="222"/>
      <c r="V683" s="1430"/>
      <c r="AA683" s="223"/>
      <c r="AC683" s="889"/>
      <c r="AF683" s="890"/>
      <c r="AJ683" s="889"/>
      <c r="AN683" s="222"/>
      <c r="BC683" s="223"/>
      <c r="BD683" s="222"/>
      <c r="BH683" s="611"/>
      <c r="BJ683" s="15"/>
      <c r="BK683" s="15"/>
      <c r="BO683" s="223"/>
      <c r="BQ683" s="889"/>
      <c r="BT683" s="890"/>
      <c r="BX683" s="889"/>
      <c r="CB683" s="15"/>
      <c r="CC683" s="697"/>
      <c r="CD683" s="1086"/>
      <c r="CE683" s="15"/>
      <c r="CF683" s="15"/>
      <c r="CG683" s="936"/>
      <c r="CH683" s="15"/>
      <c r="CI683" s="15"/>
      <c r="CJ683" s="15"/>
      <c r="CK683" s="1107"/>
      <c r="CL683" s="22"/>
      <c r="CM683" s="22"/>
      <c r="CN683" s="1107"/>
      <c r="CR683" s="223"/>
      <c r="CS683" s="952"/>
      <c r="CT683" s="1066"/>
      <c r="CU683" s="972"/>
      <c r="CV683" s="983"/>
      <c r="CW683" s="222"/>
      <c r="CX683" s="697"/>
      <c r="DC683" s="222"/>
      <c r="DJ683" s="889"/>
      <c r="DM683" s="890"/>
      <c r="DN683" s="952"/>
      <c r="DO683" s="75"/>
      <c r="DP683" s="962"/>
      <c r="DQ683" s="983"/>
      <c r="DV683" s="889"/>
    </row>
    <row r="684" spans="1:126" s="74" customFormat="1">
      <c r="A684" s="15"/>
      <c r="B684" s="15"/>
      <c r="C684" s="15"/>
      <c r="D684" s="15"/>
      <c r="E684" s="6"/>
      <c r="F684" s="6"/>
      <c r="G684" s="6"/>
      <c r="K684" s="222"/>
      <c r="V684" s="1430"/>
      <c r="AA684" s="223"/>
      <c r="AC684" s="889"/>
      <c r="AF684" s="890"/>
      <c r="AJ684" s="889"/>
      <c r="AN684" s="222"/>
      <c r="BC684" s="223"/>
      <c r="BD684" s="222"/>
      <c r="BH684" s="611"/>
      <c r="BJ684" s="15"/>
      <c r="BK684" s="15"/>
      <c r="BO684" s="223"/>
      <c r="BQ684" s="889"/>
      <c r="BT684" s="890"/>
      <c r="BX684" s="889"/>
      <c r="CB684" s="15"/>
      <c r="CC684" s="697"/>
      <c r="CD684" s="1086"/>
      <c r="CE684" s="15"/>
      <c r="CF684" s="15"/>
      <c r="CG684" s="936"/>
      <c r="CH684" s="15"/>
      <c r="CI684" s="15"/>
      <c r="CJ684" s="15"/>
      <c r="CK684" s="1107"/>
      <c r="CL684" s="22"/>
      <c r="CM684" s="22"/>
      <c r="CN684" s="1107"/>
      <c r="CR684" s="223"/>
      <c r="CS684" s="952"/>
      <c r="CT684" s="1066"/>
      <c r="CU684" s="972"/>
      <c r="CV684" s="983"/>
      <c r="CW684" s="222"/>
      <c r="CX684" s="697"/>
      <c r="DC684" s="222"/>
      <c r="DJ684" s="889"/>
      <c r="DM684" s="890"/>
      <c r="DN684" s="952"/>
      <c r="DO684" s="75"/>
      <c r="DP684" s="962"/>
      <c r="DQ684" s="983"/>
      <c r="DV684" s="889"/>
    </row>
    <row r="685" spans="1:126" s="74" customFormat="1">
      <c r="A685" s="15"/>
      <c r="B685" s="15"/>
      <c r="C685" s="15"/>
      <c r="D685" s="15"/>
      <c r="E685" s="6"/>
      <c r="F685" s="6"/>
      <c r="G685" s="6"/>
      <c r="K685" s="222"/>
      <c r="V685" s="1430"/>
      <c r="AA685" s="223"/>
      <c r="AC685" s="889"/>
      <c r="AF685" s="890"/>
      <c r="AJ685" s="889"/>
      <c r="AN685" s="222"/>
      <c r="BC685" s="223"/>
      <c r="BD685" s="222"/>
      <c r="BH685" s="611"/>
      <c r="BJ685" s="15"/>
      <c r="BK685" s="15"/>
      <c r="BO685" s="223"/>
      <c r="BQ685" s="889"/>
      <c r="BT685" s="890"/>
      <c r="BX685" s="889"/>
      <c r="CB685" s="15"/>
      <c r="CC685" s="697"/>
      <c r="CD685" s="1086"/>
      <c r="CE685" s="15"/>
      <c r="CF685" s="15"/>
      <c r="CG685" s="936"/>
      <c r="CH685" s="15"/>
      <c r="CI685" s="15"/>
      <c r="CJ685" s="15"/>
      <c r="CK685" s="1107"/>
      <c r="CL685" s="22"/>
      <c r="CM685" s="22"/>
      <c r="CN685" s="1107"/>
      <c r="CR685" s="223"/>
      <c r="CS685" s="952"/>
      <c r="CT685" s="1066"/>
      <c r="CU685" s="972"/>
      <c r="CV685" s="983"/>
      <c r="CW685" s="222"/>
      <c r="CX685" s="697"/>
      <c r="DC685" s="222"/>
      <c r="DJ685" s="889"/>
      <c r="DM685" s="890"/>
      <c r="DN685" s="952"/>
      <c r="DO685" s="75"/>
      <c r="DP685" s="962"/>
      <c r="DQ685" s="983"/>
      <c r="DV685" s="889"/>
    </row>
    <row r="686" spans="1:126" s="74" customFormat="1">
      <c r="A686" s="15"/>
      <c r="B686" s="15"/>
      <c r="C686" s="15"/>
      <c r="D686" s="15"/>
      <c r="E686" s="6"/>
      <c r="F686" s="6"/>
      <c r="G686" s="6"/>
      <c r="K686" s="222"/>
      <c r="V686" s="1430"/>
      <c r="AA686" s="223"/>
      <c r="AC686" s="889"/>
      <c r="AF686" s="890"/>
      <c r="AJ686" s="889"/>
      <c r="AN686" s="222"/>
      <c r="BC686" s="223"/>
      <c r="BD686" s="222"/>
      <c r="BH686" s="611"/>
      <c r="BJ686" s="15"/>
      <c r="BK686" s="15"/>
      <c r="BO686" s="223"/>
      <c r="BQ686" s="889"/>
      <c r="BT686" s="890"/>
      <c r="BX686" s="889"/>
      <c r="CB686" s="15"/>
      <c r="CC686" s="697"/>
      <c r="CD686" s="1086"/>
      <c r="CE686" s="15"/>
      <c r="CF686" s="15"/>
      <c r="CG686" s="936"/>
      <c r="CH686" s="15"/>
      <c r="CI686" s="15"/>
      <c r="CJ686" s="15"/>
      <c r="CK686" s="1107"/>
      <c r="CL686" s="22"/>
      <c r="CM686" s="22"/>
      <c r="CN686" s="1107"/>
      <c r="CR686" s="223"/>
      <c r="CS686" s="952"/>
      <c r="CT686" s="1066"/>
      <c r="CU686" s="972"/>
      <c r="CV686" s="983"/>
      <c r="CW686" s="222"/>
      <c r="CX686" s="697"/>
      <c r="DC686" s="222"/>
      <c r="DJ686" s="889"/>
      <c r="DM686" s="890"/>
      <c r="DN686" s="952"/>
      <c r="DO686" s="75"/>
      <c r="DP686" s="962"/>
      <c r="DQ686" s="983"/>
      <c r="DV686" s="889"/>
    </row>
    <row r="687" spans="1:126" s="74" customFormat="1">
      <c r="A687" s="15"/>
      <c r="B687" s="15"/>
      <c r="C687" s="15"/>
      <c r="D687" s="15"/>
      <c r="E687" s="6"/>
      <c r="F687" s="6"/>
      <c r="G687" s="6"/>
      <c r="K687" s="222"/>
      <c r="V687" s="1430"/>
      <c r="AA687" s="223"/>
      <c r="AC687" s="889"/>
      <c r="AF687" s="890"/>
      <c r="AJ687" s="889"/>
      <c r="AN687" s="222"/>
      <c r="BC687" s="223"/>
      <c r="BD687" s="222"/>
      <c r="BH687" s="611"/>
      <c r="BJ687" s="15"/>
      <c r="BK687" s="15"/>
      <c r="BO687" s="223"/>
      <c r="BQ687" s="889"/>
      <c r="BT687" s="890"/>
      <c r="BX687" s="889"/>
      <c r="CB687" s="15"/>
      <c r="CC687" s="697"/>
      <c r="CD687" s="1086"/>
      <c r="CE687" s="15"/>
      <c r="CF687" s="15"/>
      <c r="CG687" s="936"/>
      <c r="CH687" s="15"/>
      <c r="CI687" s="15"/>
      <c r="CJ687" s="15"/>
      <c r="CK687" s="1107"/>
      <c r="CL687" s="22"/>
      <c r="CM687" s="22"/>
      <c r="CN687" s="1107"/>
      <c r="CR687" s="223"/>
      <c r="CS687" s="952"/>
      <c r="CT687" s="1066"/>
      <c r="CU687" s="972"/>
      <c r="CV687" s="983"/>
      <c r="CW687" s="222"/>
      <c r="CX687" s="697"/>
      <c r="DC687" s="222"/>
      <c r="DJ687" s="889"/>
      <c r="DM687" s="890"/>
      <c r="DN687" s="952"/>
      <c r="DO687" s="75"/>
      <c r="DP687" s="962"/>
      <c r="DQ687" s="983"/>
      <c r="DV687" s="889"/>
    </row>
    <row r="688" spans="1:126" s="74" customFormat="1">
      <c r="A688" s="15"/>
      <c r="B688" s="15"/>
      <c r="C688" s="15"/>
      <c r="D688" s="15"/>
      <c r="E688" s="6"/>
      <c r="F688" s="6"/>
      <c r="G688" s="6"/>
      <c r="K688" s="222"/>
      <c r="V688" s="1430"/>
      <c r="AA688" s="223"/>
      <c r="AC688" s="889"/>
      <c r="AF688" s="890"/>
      <c r="AJ688" s="889"/>
      <c r="AN688" s="222"/>
      <c r="BC688" s="223"/>
      <c r="BD688" s="222"/>
      <c r="BH688" s="611"/>
      <c r="BJ688" s="15"/>
      <c r="BK688" s="15"/>
      <c r="BO688" s="223"/>
      <c r="BQ688" s="889"/>
      <c r="BT688" s="890"/>
      <c r="BX688" s="889"/>
      <c r="CB688" s="15"/>
      <c r="CC688" s="697"/>
      <c r="CD688" s="1086"/>
      <c r="CE688" s="15"/>
      <c r="CF688" s="15"/>
      <c r="CG688" s="936"/>
      <c r="CH688" s="15"/>
      <c r="CI688" s="15"/>
      <c r="CJ688" s="15"/>
      <c r="CK688" s="1107"/>
      <c r="CL688" s="22"/>
      <c r="CM688" s="22"/>
      <c r="CN688" s="1107"/>
      <c r="CR688" s="223"/>
      <c r="CS688" s="952"/>
      <c r="CT688" s="1066"/>
      <c r="CU688" s="972"/>
      <c r="CV688" s="983"/>
      <c r="CW688" s="222"/>
      <c r="CX688" s="697"/>
      <c r="DC688" s="222"/>
      <c r="DJ688" s="889"/>
      <c r="DM688" s="890"/>
      <c r="DN688" s="952"/>
      <c r="DO688" s="75"/>
      <c r="DP688" s="962"/>
      <c r="DQ688" s="983"/>
      <c r="DV688" s="889"/>
    </row>
    <row r="689" spans="1:126" s="74" customFormat="1">
      <c r="A689" s="15"/>
      <c r="B689" s="15"/>
      <c r="C689" s="15"/>
      <c r="D689" s="15"/>
      <c r="E689" s="6"/>
      <c r="F689" s="6"/>
      <c r="G689" s="6"/>
      <c r="K689" s="222"/>
      <c r="V689" s="1430"/>
      <c r="AA689" s="223"/>
      <c r="AC689" s="889"/>
      <c r="AF689" s="890"/>
      <c r="AJ689" s="889"/>
      <c r="AN689" s="222"/>
      <c r="BC689" s="223"/>
      <c r="BD689" s="222"/>
      <c r="BH689" s="611"/>
      <c r="BJ689" s="15"/>
      <c r="BK689" s="15"/>
      <c r="BO689" s="223"/>
      <c r="BQ689" s="889"/>
      <c r="BT689" s="890"/>
      <c r="BX689" s="889"/>
      <c r="CB689" s="15"/>
      <c r="CC689" s="697"/>
      <c r="CD689" s="1086"/>
      <c r="CE689" s="15"/>
      <c r="CF689" s="15"/>
      <c r="CG689" s="936"/>
      <c r="CH689" s="15"/>
      <c r="CI689" s="15"/>
      <c r="CJ689" s="15"/>
      <c r="CK689" s="1107"/>
      <c r="CL689" s="22"/>
      <c r="CM689" s="22"/>
      <c r="CN689" s="1107"/>
      <c r="CR689" s="223"/>
      <c r="CS689" s="952"/>
      <c r="CT689" s="1066"/>
      <c r="CU689" s="972"/>
      <c r="CV689" s="983"/>
      <c r="CW689" s="222"/>
      <c r="CX689" s="697"/>
      <c r="DC689" s="222"/>
      <c r="DJ689" s="889"/>
      <c r="DM689" s="890"/>
      <c r="DN689" s="952"/>
      <c r="DO689" s="75"/>
      <c r="DP689" s="962"/>
      <c r="DQ689" s="983"/>
      <c r="DV689" s="889"/>
    </row>
    <row r="690" spans="1:126" s="74" customFormat="1">
      <c r="A690" s="15"/>
      <c r="B690" s="15"/>
      <c r="C690" s="15"/>
      <c r="D690" s="15"/>
      <c r="E690" s="6"/>
      <c r="F690" s="6"/>
      <c r="G690" s="6"/>
      <c r="K690" s="222"/>
      <c r="V690" s="1430"/>
      <c r="AA690" s="223"/>
      <c r="AC690" s="889"/>
      <c r="AF690" s="890"/>
      <c r="AJ690" s="889"/>
      <c r="AN690" s="222"/>
      <c r="BC690" s="223"/>
      <c r="BD690" s="222"/>
      <c r="BH690" s="611"/>
      <c r="BJ690" s="15"/>
      <c r="BK690" s="15"/>
      <c r="BO690" s="223"/>
      <c r="BQ690" s="889"/>
      <c r="BT690" s="890"/>
      <c r="BX690" s="889"/>
      <c r="CB690" s="15"/>
      <c r="CC690" s="697"/>
      <c r="CD690" s="1086"/>
      <c r="CE690" s="15"/>
      <c r="CF690" s="15"/>
      <c r="CG690" s="936"/>
      <c r="CH690" s="15"/>
      <c r="CI690" s="15"/>
      <c r="CJ690" s="15"/>
      <c r="CK690" s="1107"/>
      <c r="CL690" s="22"/>
      <c r="CM690" s="22"/>
      <c r="CN690" s="1107"/>
      <c r="CR690" s="223"/>
      <c r="CS690" s="952"/>
      <c r="CT690" s="1066"/>
      <c r="CU690" s="972"/>
      <c r="CV690" s="983"/>
      <c r="CW690" s="222"/>
      <c r="CX690" s="697"/>
      <c r="DC690" s="222"/>
      <c r="DJ690" s="889"/>
      <c r="DM690" s="890"/>
      <c r="DN690" s="952"/>
      <c r="DO690" s="75"/>
      <c r="DP690" s="962"/>
      <c r="DQ690" s="983"/>
      <c r="DV690" s="889"/>
    </row>
    <row r="691" spans="1:126" s="74" customFormat="1">
      <c r="A691" s="15"/>
      <c r="B691" s="15"/>
      <c r="C691" s="15"/>
      <c r="D691" s="15"/>
      <c r="E691" s="6"/>
      <c r="F691" s="6"/>
      <c r="G691" s="6"/>
      <c r="K691" s="222"/>
      <c r="V691" s="1430"/>
      <c r="AA691" s="223"/>
      <c r="AC691" s="889"/>
      <c r="AF691" s="890"/>
      <c r="AJ691" s="889"/>
      <c r="AN691" s="222"/>
      <c r="BC691" s="223"/>
      <c r="BD691" s="222"/>
      <c r="BH691" s="611"/>
      <c r="BJ691" s="15"/>
      <c r="BK691" s="15"/>
      <c r="BO691" s="223"/>
      <c r="BQ691" s="889"/>
      <c r="BT691" s="890"/>
      <c r="BX691" s="889"/>
      <c r="CB691" s="15"/>
      <c r="CC691" s="697"/>
      <c r="CD691" s="1086"/>
      <c r="CE691" s="15"/>
      <c r="CF691" s="15"/>
      <c r="CG691" s="936"/>
      <c r="CH691" s="15"/>
      <c r="CI691" s="15"/>
      <c r="CJ691" s="15"/>
      <c r="CK691" s="1107"/>
      <c r="CL691" s="22"/>
      <c r="CM691" s="22"/>
      <c r="CN691" s="1107"/>
      <c r="CR691" s="223"/>
      <c r="CS691" s="952"/>
      <c r="CT691" s="1066"/>
      <c r="CU691" s="972"/>
      <c r="CV691" s="983"/>
      <c r="CW691" s="222"/>
      <c r="CX691" s="697"/>
      <c r="DC691" s="222"/>
      <c r="DJ691" s="889"/>
      <c r="DM691" s="890"/>
      <c r="DN691" s="952"/>
      <c r="DO691" s="75"/>
      <c r="DP691" s="962"/>
      <c r="DQ691" s="983"/>
      <c r="DV691" s="889"/>
    </row>
    <row r="692" spans="1:126" s="74" customFormat="1">
      <c r="A692" s="15"/>
      <c r="B692" s="15"/>
      <c r="C692" s="15"/>
      <c r="D692" s="15"/>
      <c r="E692" s="6"/>
      <c r="F692" s="6"/>
      <c r="G692" s="6"/>
      <c r="K692" s="222"/>
      <c r="V692" s="1430"/>
      <c r="AA692" s="223"/>
      <c r="AC692" s="889"/>
      <c r="AF692" s="890"/>
      <c r="AJ692" s="889"/>
      <c r="AN692" s="222"/>
      <c r="BC692" s="223"/>
      <c r="BD692" s="222"/>
      <c r="BH692" s="611"/>
      <c r="BJ692" s="15"/>
      <c r="BK692" s="15"/>
      <c r="BO692" s="223"/>
      <c r="BQ692" s="889"/>
      <c r="BT692" s="890"/>
      <c r="BX692" s="889"/>
      <c r="CB692" s="15"/>
      <c r="CC692" s="697"/>
      <c r="CD692" s="1086"/>
      <c r="CE692" s="15"/>
      <c r="CF692" s="15"/>
      <c r="CG692" s="936"/>
      <c r="CH692" s="15"/>
      <c r="CI692" s="15"/>
      <c r="CJ692" s="15"/>
      <c r="CK692" s="1107"/>
      <c r="CL692" s="22"/>
      <c r="CM692" s="22"/>
      <c r="CN692" s="1107"/>
      <c r="CR692" s="223"/>
      <c r="CS692" s="952"/>
      <c r="CT692" s="1066"/>
      <c r="CU692" s="972"/>
      <c r="CV692" s="983"/>
      <c r="CW692" s="222"/>
      <c r="CX692" s="697"/>
      <c r="DC692" s="222"/>
      <c r="DJ692" s="889"/>
      <c r="DM692" s="890"/>
      <c r="DN692" s="952"/>
      <c r="DO692" s="75"/>
      <c r="DP692" s="962"/>
      <c r="DQ692" s="983"/>
      <c r="DV692" s="889"/>
    </row>
    <row r="693" spans="1:126" s="74" customFormat="1">
      <c r="A693" s="15"/>
      <c r="B693" s="15"/>
      <c r="C693" s="15"/>
      <c r="D693" s="15"/>
      <c r="E693" s="6"/>
      <c r="F693" s="6"/>
      <c r="G693" s="6"/>
      <c r="K693" s="222"/>
      <c r="V693" s="1430"/>
      <c r="AA693" s="223"/>
      <c r="AC693" s="889"/>
      <c r="AF693" s="890"/>
      <c r="AJ693" s="889"/>
      <c r="AN693" s="222"/>
      <c r="BC693" s="223"/>
      <c r="BD693" s="222"/>
      <c r="BH693" s="611"/>
      <c r="BJ693" s="15"/>
      <c r="BK693" s="15"/>
      <c r="BO693" s="223"/>
      <c r="BQ693" s="889"/>
      <c r="BT693" s="890"/>
      <c r="BX693" s="889"/>
      <c r="CB693" s="15"/>
      <c r="CC693" s="697"/>
      <c r="CD693" s="1086"/>
      <c r="CE693" s="15"/>
      <c r="CF693" s="15"/>
      <c r="CG693" s="936"/>
      <c r="CH693" s="15"/>
      <c r="CI693" s="15"/>
      <c r="CJ693" s="15"/>
      <c r="CK693" s="1107"/>
      <c r="CL693" s="22"/>
      <c r="CM693" s="22"/>
      <c r="CN693" s="1107"/>
      <c r="CR693" s="223"/>
      <c r="CS693" s="952"/>
      <c r="CT693" s="1066"/>
      <c r="CU693" s="972"/>
      <c r="CV693" s="983"/>
      <c r="CW693" s="222"/>
      <c r="CX693" s="697"/>
      <c r="DC693" s="222"/>
      <c r="DJ693" s="889"/>
      <c r="DM693" s="890"/>
      <c r="DN693" s="952"/>
      <c r="DO693" s="75"/>
      <c r="DP693" s="962"/>
      <c r="DQ693" s="983"/>
      <c r="DV693" s="889"/>
    </row>
    <row r="694" spans="1:126" s="74" customFormat="1">
      <c r="A694" s="15"/>
      <c r="B694" s="15"/>
      <c r="C694" s="15"/>
      <c r="D694" s="15"/>
      <c r="E694" s="6"/>
      <c r="F694" s="6"/>
      <c r="G694" s="6"/>
      <c r="K694" s="222"/>
      <c r="V694" s="1430"/>
      <c r="AA694" s="223"/>
      <c r="AC694" s="889"/>
      <c r="AF694" s="890"/>
      <c r="AJ694" s="889"/>
      <c r="AN694" s="222"/>
      <c r="BC694" s="223"/>
      <c r="BD694" s="222"/>
      <c r="BH694" s="611"/>
      <c r="BJ694" s="15"/>
      <c r="BK694" s="15"/>
      <c r="BO694" s="223"/>
      <c r="BQ694" s="889"/>
      <c r="BT694" s="890"/>
      <c r="BX694" s="889"/>
      <c r="CB694" s="15"/>
      <c r="CC694" s="697"/>
      <c r="CD694" s="1086"/>
      <c r="CE694" s="15"/>
      <c r="CF694" s="15"/>
      <c r="CG694" s="936"/>
      <c r="CH694" s="15"/>
      <c r="CI694" s="15"/>
      <c r="CJ694" s="15"/>
      <c r="CK694" s="1107"/>
      <c r="CL694" s="22"/>
      <c r="CM694" s="22"/>
      <c r="CN694" s="1107"/>
      <c r="CR694" s="223"/>
      <c r="CS694" s="952"/>
      <c r="CT694" s="1066"/>
      <c r="CU694" s="972"/>
      <c r="CV694" s="983"/>
      <c r="CW694" s="222"/>
      <c r="CX694" s="697"/>
      <c r="DC694" s="222"/>
      <c r="DJ694" s="889"/>
      <c r="DM694" s="890"/>
      <c r="DN694" s="952"/>
      <c r="DO694" s="75"/>
      <c r="DP694" s="962"/>
      <c r="DQ694" s="983"/>
      <c r="DV694" s="889"/>
    </row>
    <row r="695" spans="1:126" s="74" customFormat="1">
      <c r="A695" s="15"/>
      <c r="B695" s="15"/>
      <c r="C695" s="15"/>
      <c r="D695" s="15"/>
      <c r="E695" s="6"/>
      <c r="F695" s="6"/>
      <c r="G695" s="6"/>
      <c r="K695" s="222"/>
      <c r="V695" s="1430"/>
      <c r="AA695" s="223"/>
      <c r="AC695" s="889"/>
      <c r="AF695" s="890"/>
      <c r="AJ695" s="889"/>
      <c r="AN695" s="222"/>
      <c r="BC695" s="223"/>
      <c r="BD695" s="222"/>
      <c r="BH695" s="611"/>
      <c r="BJ695" s="15"/>
      <c r="BK695" s="15"/>
      <c r="BO695" s="223"/>
      <c r="BQ695" s="889"/>
      <c r="BT695" s="890"/>
      <c r="BX695" s="889"/>
      <c r="CB695" s="15"/>
      <c r="CC695" s="697"/>
      <c r="CD695" s="1086"/>
      <c r="CE695" s="15"/>
      <c r="CF695" s="15"/>
      <c r="CG695" s="936"/>
      <c r="CH695" s="15"/>
      <c r="CI695" s="15"/>
      <c r="CJ695" s="15"/>
      <c r="CK695" s="1107"/>
      <c r="CL695" s="22"/>
      <c r="CM695" s="22"/>
      <c r="CN695" s="1107"/>
      <c r="CR695" s="223"/>
      <c r="CS695" s="952"/>
      <c r="CT695" s="1066"/>
      <c r="CU695" s="972"/>
      <c r="CV695" s="983"/>
      <c r="CW695" s="222"/>
      <c r="CX695" s="697"/>
      <c r="DC695" s="222"/>
      <c r="DJ695" s="889"/>
      <c r="DM695" s="890"/>
      <c r="DN695" s="952"/>
      <c r="DO695" s="75"/>
      <c r="DP695" s="962"/>
      <c r="DQ695" s="983"/>
      <c r="DV695" s="889"/>
    </row>
    <row r="696" spans="1:126" s="74" customFormat="1">
      <c r="A696" s="15"/>
      <c r="B696" s="15"/>
      <c r="C696" s="15"/>
      <c r="D696" s="15"/>
      <c r="E696" s="6"/>
      <c r="F696" s="6"/>
      <c r="G696" s="6"/>
      <c r="K696" s="222"/>
      <c r="V696" s="1430"/>
      <c r="AA696" s="223"/>
      <c r="AC696" s="889"/>
      <c r="AF696" s="890"/>
      <c r="AJ696" s="889"/>
      <c r="AN696" s="222"/>
      <c r="BC696" s="223"/>
      <c r="BD696" s="222"/>
      <c r="BH696" s="611"/>
      <c r="BJ696" s="15"/>
      <c r="BK696" s="15"/>
      <c r="BO696" s="223"/>
      <c r="BQ696" s="889"/>
      <c r="BT696" s="890"/>
      <c r="BX696" s="889"/>
      <c r="CB696" s="15"/>
      <c r="CC696" s="697"/>
      <c r="CD696" s="1086"/>
      <c r="CE696" s="15"/>
      <c r="CF696" s="15"/>
      <c r="CG696" s="936"/>
      <c r="CH696" s="15"/>
      <c r="CI696" s="15"/>
      <c r="CJ696" s="15"/>
      <c r="CK696" s="1107"/>
      <c r="CL696" s="22"/>
      <c r="CM696" s="22"/>
      <c r="CN696" s="1107"/>
      <c r="CR696" s="223"/>
      <c r="CS696" s="952"/>
      <c r="CT696" s="1066"/>
      <c r="CU696" s="972"/>
      <c r="CV696" s="983"/>
      <c r="CW696" s="222"/>
      <c r="CX696" s="697"/>
      <c r="DC696" s="222"/>
      <c r="DJ696" s="889"/>
      <c r="DM696" s="890"/>
      <c r="DN696" s="952"/>
      <c r="DO696" s="75"/>
      <c r="DP696" s="962"/>
      <c r="DQ696" s="983"/>
      <c r="DV696" s="889"/>
    </row>
    <row r="697" spans="1:126" s="74" customFormat="1">
      <c r="A697" s="15"/>
      <c r="B697" s="15"/>
      <c r="C697" s="15"/>
      <c r="D697" s="15"/>
      <c r="E697" s="6"/>
      <c r="F697" s="6"/>
      <c r="G697" s="6"/>
      <c r="K697" s="222"/>
      <c r="V697" s="1430"/>
      <c r="AA697" s="223"/>
      <c r="AC697" s="889"/>
      <c r="AF697" s="890"/>
      <c r="AJ697" s="889"/>
      <c r="AN697" s="222"/>
      <c r="BC697" s="223"/>
      <c r="BD697" s="222"/>
      <c r="BH697" s="611"/>
      <c r="BJ697" s="15"/>
      <c r="BK697" s="15"/>
      <c r="BO697" s="223"/>
      <c r="BQ697" s="889"/>
      <c r="BT697" s="890"/>
      <c r="BX697" s="889"/>
      <c r="CB697" s="15"/>
      <c r="CC697" s="697"/>
      <c r="CD697" s="1086"/>
      <c r="CE697" s="15"/>
      <c r="CF697" s="15"/>
      <c r="CG697" s="936"/>
      <c r="CH697" s="15"/>
      <c r="CI697" s="15"/>
      <c r="CJ697" s="15"/>
      <c r="CK697" s="1107"/>
      <c r="CL697" s="22"/>
      <c r="CM697" s="22"/>
      <c r="CN697" s="1107"/>
      <c r="CR697" s="223"/>
      <c r="CS697" s="952"/>
      <c r="CT697" s="1066"/>
      <c r="CU697" s="972"/>
      <c r="CV697" s="983"/>
      <c r="CW697" s="222"/>
      <c r="CX697" s="697"/>
      <c r="DC697" s="222"/>
      <c r="DJ697" s="889"/>
      <c r="DM697" s="890"/>
      <c r="DN697" s="952"/>
      <c r="DO697" s="75"/>
      <c r="DP697" s="962"/>
      <c r="DQ697" s="983"/>
      <c r="DV697" s="889"/>
    </row>
    <row r="698" spans="1:126" s="74" customFormat="1">
      <c r="A698" s="15"/>
      <c r="B698" s="15"/>
      <c r="C698" s="15"/>
      <c r="D698" s="15"/>
      <c r="E698" s="6"/>
      <c r="F698" s="6"/>
      <c r="G698" s="6"/>
      <c r="K698" s="222"/>
      <c r="V698" s="1430"/>
      <c r="AA698" s="223"/>
      <c r="AC698" s="889"/>
      <c r="AF698" s="890"/>
      <c r="AJ698" s="889"/>
      <c r="AN698" s="222"/>
      <c r="BC698" s="223"/>
      <c r="BD698" s="222"/>
      <c r="BH698" s="611"/>
      <c r="BJ698" s="15"/>
      <c r="BK698" s="15"/>
      <c r="BO698" s="223"/>
      <c r="BQ698" s="889"/>
      <c r="BT698" s="890"/>
      <c r="BX698" s="889"/>
      <c r="CB698" s="15"/>
      <c r="CC698" s="697"/>
      <c r="CD698" s="1086"/>
      <c r="CE698" s="15"/>
      <c r="CF698" s="15"/>
      <c r="CG698" s="936"/>
      <c r="CH698" s="15"/>
      <c r="CI698" s="15"/>
      <c r="CJ698" s="15"/>
      <c r="CK698" s="1107"/>
      <c r="CL698" s="22"/>
      <c r="CM698" s="22"/>
      <c r="CN698" s="1107"/>
      <c r="CR698" s="223"/>
      <c r="CS698" s="952"/>
      <c r="CT698" s="1066"/>
      <c r="CU698" s="972"/>
      <c r="CV698" s="983"/>
      <c r="CW698" s="222"/>
      <c r="CX698" s="697"/>
      <c r="DC698" s="222"/>
      <c r="DJ698" s="889"/>
      <c r="DM698" s="890"/>
      <c r="DN698" s="952"/>
      <c r="DO698" s="75"/>
      <c r="DP698" s="962"/>
      <c r="DQ698" s="983"/>
      <c r="DV698" s="889"/>
    </row>
    <row r="699" spans="1:126" s="74" customFormat="1">
      <c r="A699" s="15"/>
      <c r="B699" s="15"/>
      <c r="C699" s="15"/>
      <c r="D699" s="15"/>
      <c r="E699" s="6"/>
      <c r="F699" s="6"/>
      <c r="G699" s="6"/>
      <c r="K699" s="222"/>
      <c r="V699" s="1430"/>
      <c r="AA699" s="223"/>
      <c r="AC699" s="889"/>
      <c r="AF699" s="890"/>
      <c r="AJ699" s="889"/>
      <c r="AN699" s="222"/>
      <c r="BC699" s="223"/>
      <c r="BD699" s="222"/>
      <c r="BH699" s="611"/>
      <c r="BJ699" s="15"/>
      <c r="BK699" s="15"/>
      <c r="BO699" s="223"/>
      <c r="BQ699" s="889"/>
      <c r="BT699" s="890"/>
      <c r="BX699" s="889"/>
      <c r="CB699" s="15"/>
      <c r="CC699" s="697"/>
      <c r="CD699" s="1086"/>
      <c r="CE699" s="15"/>
      <c r="CF699" s="15"/>
      <c r="CG699" s="936"/>
      <c r="CH699" s="15"/>
      <c r="CI699" s="15"/>
      <c r="CJ699" s="15"/>
      <c r="CK699" s="1107"/>
      <c r="CL699" s="22"/>
      <c r="CM699" s="22"/>
      <c r="CN699" s="1107"/>
      <c r="CR699" s="223"/>
      <c r="CS699" s="952"/>
      <c r="CT699" s="1066"/>
      <c r="CU699" s="972"/>
      <c r="CV699" s="983"/>
      <c r="CW699" s="222"/>
      <c r="CX699" s="697"/>
      <c r="DC699" s="222"/>
      <c r="DJ699" s="889"/>
      <c r="DM699" s="890"/>
      <c r="DN699" s="952"/>
      <c r="DO699" s="75"/>
      <c r="DP699" s="962"/>
      <c r="DQ699" s="983"/>
      <c r="DV699" s="889"/>
    </row>
    <row r="700" spans="1:126" s="74" customFormat="1">
      <c r="A700" s="15"/>
      <c r="B700" s="15"/>
      <c r="C700" s="15"/>
      <c r="D700" s="15"/>
      <c r="E700" s="6"/>
      <c r="F700" s="6"/>
      <c r="G700" s="6"/>
      <c r="K700" s="222"/>
      <c r="V700" s="1430"/>
      <c r="AA700" s="223"/>
      <c r="AC700" s="889"/>
      <c r="AF700" s="890"/>
      <c r="AJ700" s="889"/>
      <c r="AN700" s="222"/>
      <c r="BC700" s="223"/>
      <c r="BD700" s="222"/>
      <c r="BH700" s="611"/>
      <c r="BJ700" s="15"/>
      <c r="BK700" s="15"/>
      <c r="BO700" s="223"/>
      <c r="BQ700" s="889"/>
      <c r="BT700" s="890"/>
      <c r="BX700" s="889"/>
      <c r="CB700" s="15"/>
      <c r="CC700" s="697"/>
      <c r="CD700" s="1086"/>
      <c r="CE700" s="15"/>
      <c r="CF700" s="15"/>
      <c r="CG700" s="936"/>
      <c r="CH700" s="15"/>
      <c r="CI700" s="15"/>
      <c r="CJ700" s="15"/>
      <c r="CK700" s="1107"/>
      <c r="CL700" s="22"/>
      <c r="CM700" s="22"/>
      <c r="CN700" s="1107"/>
      <c r="CR700" s="223"/>
      <c r="CS700" s="952"/>
      <c r="CT700" s="1066"/>
      <c r="CU700" s="972"/>
      <c r="CV700" s="983"/>
      <c r="CW700" s="222"/>
      <c r="CX700" s="697"/>
      <c r="DC700" s="222"/>
      <c r="DJ700" s="889"/>
      <c r="DM700" s="890"/>
      <c r="DN700" s="952"/>
      <c r="DO700" s="75"/>
      <c r="DP700" s="962"/>
      <c r="DQ700" s="983"/>
      <c r="DV700" s="889"/>
    </row>
    <row r="701" spans="1:126" s="74" customFormat="1">
      <c r="A701" s="15"/>
      <c r="B701" s="15"/>
      <c r="C701" s="15"/>
      <c r="D701" s="15"/>
      <c r="E701" s="6"/>
      <c r="F701" s="6"/>
      <c r="G701" s="6"/>
      <c r="K701" s="222"/>
      <c r="V701" s="1430"/>
      <c r="AA701" s="223"/>
      <c r="AC701" s="889"/>
      <c r="AF701" s="890"/>
      <c r="AJ701" s="889"/>
      <c r="AN701" s="222"/>
      <c r="BC701" s="223"/>
      <c r="BD701" s="222"/>
      <c r="BH701" s="611"/>
      <c r="BJ701" s="15"/>
      <c r="BK701" s="15"/>
      <c r="BO701" s="223"/>
      <c r="BQ701" s="889"/>
      <c r="BT701" s="890"/>
      <c r="BX701" s="889"/>
      <c r="CB701" s="15"/>
      <c r="CC701" s="697"/>
      <c r="CD701" s="1086"/>
      <c r="CE701" s="15"/>
      <c r="CF701" s="15"/>
      <c r="CG701" s="936"/>
      <c r="CH701" s="15"/>
      <c r="CI701" s="15"/>
      <c r="CJ701" s="15"/>
      <c r="CK701" s="1107"/>
      <c r="CL701" s="22"/>
      <c r="CM701" s="22"/>
      <c r="CN701" s="1107"/>
      <c r="CR701" s="223"/>
      <c r="CS701" s="952"/>
      <c r="CT701" s="1066"/>
      <c r="CU701" s="972"/>
      <c r="CV701" s="983"/>
      <c r="CW701" s="222"/>
      <c r="CX701" s="697"/>
      <c r="DC701" s="222"/>
      <c r="DJ701" s="889"/>
      <c r="DM701" s="890"/>
      <c r="DN701" s="952"/>
      <c r="DO701" s="75"/>
      <c r="DP701" s="962"/>
      <c r="DQ701" s="983"/>
      <c r="DV701" s="889"/>
    </row>
    <row r="702" spans="1:126" s="74" customFormat="1">
      <c r="A702" s="15"/>
      <c r="B702" s="15"/>
      <c r="C702" s="15"/>
      <c r="D702" s="15"/>
      <c r="E702" s="6"/>
      <c r="F702" s="6"/>
      <c r="G702" s="6"/>
      <c r="K702" s="222"/>
      <c r="V702" s="1430"/>
      <c r="AA702" s="223"/>
      <c r="AC702" s="889"/>
      <c r="AF702" s="890"/>
      <c r="AJ702" s="889"/>
      <c r="AN702" s="222"/>
      <c r="BC702" s="223"/>
      <c r="BD702" s="222"/>
      <c r="BH702" s="611"/>
      <c r="BJ702" s="15"/>
      <c r="BK702" s="15"/>
      <c r="BO702" s="223"/>
      <c r="BQ702" s="889"/>
      <c r="BT702" s="890"/>
      <c r="BX702" s="889"/>
      <c r="CB702" s="15"/>
      <c r="CC702" s="697"/>
      <c r="CD702" s="1086"/>
      <c r="CE702" s="15"/>
      <c r="CF702" s="15"/>
      <c r="CG702" s="936"/>
      <c r="CH702" s="15"/>
      <c r="CI702" s="15"/>
      <c r="CJ702" s="15"/>
      <c r="CK702" s="1107"/>
      <c r="CL702" s="22"/>
      <c r="CM702" s="22"/>
      <c r="CN702" s="1107"/>
      <c r="CR702" s="223"/>
      <c r="CS702" s="952"/>
      <c r="CT702" s="1066"/>
      <c r="CU702" s="972"/>
      <c r="CV702" s="983"/>
      <c r="CW702" s="222"/>
      <c r="CX702" s="697"/>
      <c r="DC702" s="222"/>
      <c r="DJ702" s="889"/>
      <c r="DM702" s="890"/>
      <c r="DN702" s="952"/>
      <c r="DO702" s="75"/>
      <c r="DP702" s="962"/>
      <c r="DQ702" s="983"/>
      <c r="DV702" s="889"/>
    </row>
    <row r="703" spans="1:126" s="74" customFormat="1">
      <c r="A703" s="15"/>
      <c r="B703" s="15"/>
      <c r="C703" s="15"/>
      <c r="D703" s="15"/>
      <c r="E703" s="6"/>
      <c r="F703" s="6"/>
      <c r="G703" s="6"/>
      <c r="K703" s="222"/>
      <c r="V703" s="1430"/>
      <c r="AA703" s="223"/>
      <c r="AC703" s="889"/>
      <c r="AF703" s="890"/>
      <c r="AJ703" s="889"/>
      <c r="AN703" s="222"/>
      <c r="BC703" s="223"/>
      <c r="BD703" s="222"/>
      <c r="BH703" s="611"/>
      <c r="BJ703" s="15"/>
      <c r="BK703" s="15"/>
      <c r="BO703" s="223"/>
      <c r="BQ703" s="889"/>
      <c r="BT703" s="890"/>
      <c r="BX703" s="889"/>
      <c r="CB703" s="15"/>
      <c r="CC703" s="697"/>
      <c r="CD703" s="1086"/>
      <c r="CE703" s="15"/>
      <c r="CF703" s="15"/>
      <c r="CG703" s="936"/>
      <c r="CH703" s="15"/>
      <c r="CI703" s="15"/>
      <c r="CJ703" s="15"/>
      <c r="CK703" s="1107"/>
      <c r="CL703" s="22"/>
      <c r="CM703" s="22"/>
      <c r="CN703" s="1107"/>
      <c r="CR703" s="223"/>
      <c r="CS703" s="952"/>
      <c r="CT703" s="1066"/>
      <c r="CU703" s="972"/>
      <c r="CV703" s="983"/>
      <c r="CW703" s="222"/>
      <c r="CX703" s="697"/>
      <c r="DC703" s="222"/>
      <c r="DJ703" s="889"/>
      <c r="DM703" s="890"/>
      <c r="DN703" s="952"/>
      <c r="DO703" s="75"/>
      <c r="DP703" s="962"/>
      <c r="DQ703" s="983"/>
      <c r="DV703" s="889"/>
    </row>
    <row r="704" spans="1:126" s="74" customFormat="1">
      <c r="A704" s="15"/>
      <c r="B704" s="15"/>
      <c r="C704" s="15"/>
      <c r="D704" s="15"/>
      <c r="E704" s="6"/>
      <c r="F704" s="6"/>
      <c r="G704" s="6"/>
      <c r="K704" s="222"/>
      <c r="V704" s="1430"/>
      <c r="AA704" s="223"/>
      <c r="AC704" s="889"/>
      <c r="AF704" s="890"/>
      <c r="AJ704" s="889"/>
      <c r="AN704" s="222"/>
      <c r="BC704" s="223"/>
      <c r="BD704" s="222"/>
      <c r="BH704" s="611"/>
      <c r="BJ704" s="15"/>
      <c r="BK704" s="15"/>
      <c r="BO704" s="223"/>
      <c r="BQ704" s="889"/>
      <c r="BT704" s="890"/>
      <c r="BX704" s="889"/>
      <c r="CB704" s="15"/>
      <c r="CC704" s="697"/>
      <c r="CD704" s="1086"/>
      <c r="CE704" s="15"/>
      <c r="CF704" s="15"/>
      <c r="CG704" s="936"/>
      <c r="CH704" s="15"/>
      <c r="CI704" s="15"/>
      <c r="CJ704" s="15"/>
      <c r="CK704" s="1107"/>
      <c r="CL704" s="22"/>
      <c r="CM704" s="22"/>
      <c r="CN704" s="1107"/>
      <c r="CR704" s="223"/>
      <c r="CS704" s="952"/>
      <c r="CT704" s="1066"/>
      <c r="CU704" s="972"/>
      <c r="CV704" s="983"/>
      <c r="CW704" s="222"/>
      <c r="CX704" s="697"/>
      <c r="DC704" s="222"/>
      <c r="DJ704" s="889"/>
      <c r="DM704" s="890"/>
      <c r="DN704" s="952"/>
      <c r="DO704" s="75"/>
      <c r="DP704" s="962"/>
      <c r="DQ704" s="983"/>
      <c r="DV704" s="889"/>
    </row>
    <row r="705" spans="1:126" s="74" customFormat="1">
      <c r="A705" s="15"/>
      <c r="B705" s="15"/>
      <c r="C705" s="15"/>
      <c r="D705" s="15"/>
      <c r="E705" s="6"/>
      <c r="F705" s="6"/>
      <c r="G705" s="6"/>
      <c r="K705" s="222"/>
      <c r="V705" s="1430"/>
      <c r="AA705" s="223"/>
      <c r="AC705" s="889"/>
      <c r="AF705" s="890"/>
      <c r="AJ705" s="889"/>
      <c r="AN705" s="222"/>
      <c r="BC705" s="223"/>
      <c r="BD705" s="222"/>
      <c r="BH705" s="611"/>
      <c r="BJ705" s="15"/>
      <c r="BK705" s="15"/>
      <c r="BO705" s="223"/>
      <c r="BQ705" s="889"/>
      <c r="BT705" s="890"/>
      <c r="BX705" s="889"/>
      <c r="CB705" s="15"/>
      <c r="CC705" s="697"/>
      <c r="CD705" s="1086"/>
      <c r="CE705" s="15"/>
      <c r="CF705" s="15"/>
      <c r="CG705" s="936"/>
      <c r="CH705" s="15"/>
      <c r="CI705" s="15"/>
      <c r="CJ705" s="15"/>
      <c r="CK705" s="1107"/>
      <c r="CL705" s="22"/>
      <c r="CM705" s="22"/>
      <c r="CN705" s="1107"/>
      <c r="CR705" s="223"/>
      <c r="CS705" s="952"/>
      <c r="CT705" s="1066"/>
      <c r="CU705" s="972"/>
      <c r="CV705" s="983"/>
      <c r="CW705" s="222"/>
      <c r="CX705" s="697"/>
      <c r="DC705" s="222"/>
      <c r="DJ705" s="889"/>
      <c r="DM705" s="890"/>
      <c r="DN705" s="952"/>
      <c r="DO705" s="75"/>
      <c r="DP705" s="962"/>
      <c r="DQ705" s="983"/>
      <c r="DV705" s="889"/>
    </row>
    <row r="706" spans="1:126" s="74" customFormat="1">
      <c r="A706" s="15"/>
      <c r="B706" s="15"/>
      <c r="C706" s="15"/>
      <c r="D706" s="15"/>
      <c r="E706" s="6"/>
      <c r="F706" s="6"/>
      <c r="G706" s="6"/>
      <c r="K706" s="222"/>
      <c r="V706" s="1430"/>
      <c r="AA706" s="223"/>
      <c r="AC706" s="889"/>
      <c r="AF706" s="890"/>
      <c r="AJ706" s="889"/>
      <c r="AN706" s="222"/>
      <c r="BC706" s="223"/>
      <c r="BD706" s="222"/>
      <c r="BH706" s="611"/>
      <c r="BJ706" s="15"/>
      <c r="BK706" s="15"/>
      <c r="BO706" s="223"/>
      <c r="BQ706" s="889"/>
      <c r="BT706" s="890"/>
      <c r="BX706" s="889"/>
      <c r="CB706" s="15"/>
      <c r="CC706" s="697"/>
      <c r="CD706" s="1086"/>
      <c r="CE706" s="15"/>
      <c r="CF706" s="15"/>
      <c r="CG706" s="936"/>
      <c r="CH706" s="15"/>
      <c r="CI706" s="15"/>
      <c r="CJ706" s="15"/>
      <c r="CK706" s="1107"/>
      <c r="CL706" s="22"/>
      <c r="CM706" s="22"/>
      <c r="CN706" s="1107"/>
      <c r="CR706" s="223"/>
      <c r="CS706" s="952"/>
      <c r="CT706" s="1066"/>
      <c r="CU706" s="972"/>
      <c r="CV706" s="983"/>
      <c r="CW706" s="222"/>
      <c r="CX706" s="697"/>
      <c r="DC706" s="222"/>
      <c r="DJ706" s="889"/>
      <c r="DM706" s="890"/>
      <c r="DN706" s="952"/>
      <c r="DO706" s="75"/>
      <c r="DP706" s="962"/>
      <c r="DQ706" s="983"/>
      <c r="DV706" s="889"/>
    </row>
    <row r="707" spans="1:126" s="74" customFormat="1">
      <c r="A707" s="15"/>
      <c r="B707" s="15"/>
      <c r="C707" s="15"/>
      <c r="D707" s="15"/>
      <c r="E707" s="6"/>
      <c r="F707" s="6"/>
      <c r="G707" s="6"/>
      <c r="K707" s="222"/>
      <c r="V707" s="1430"/>
      <c r="AA707" s="223"/>
      <c r="AC707" s="889"/>
      <c r="AF707" s="890"/>
      <c r="AJ707" s="889"/>
      <c r="AN707" s="222"/>
      <c r="BC707" s="223"/>
      <c r="BD707" s="222"/>
      <c r="BH707" s="611"/>
      <c r="BJ707" s="15"/>
      <c r="BK707" s="15"/>
      <c r="BO707" s="223"/>
      <c r="BQ707" s="889"/>
      <c r="BT707" s="890"/>
      <c r="BX707" s="889"/>
      <c r="CB707" s="15"/>
      <c r="CC707" s="697"/>
      <c r="CD707" s="1086"/>
      <c r="CE707" s="15"/>
      <c r="CF707" s="15"/>
      <c r="CG707" s="936"/>
      <c r="CH707" s="15"/>
      <c r="CI707" s="15"/>
      <c r="CJ707" s="15"/>
      <c r="CK707" s="1107"/>
      <c r="CL707" s="22"/>
      <c r="CM707" s="22"/>
      <c r="CN707" s="1107"/>
      <c r="CR707" s="223"/>
      <c r="CS707" s="952"/>
      <c r="CT707" s="1066"/>
      <c r="CU707" s="972"/>
      <c r="CV707" s="983"/>
      <c r="CW707" s="222"/>
      <c r="CX707" s="697"/>
      <c r="DC707" s="222"/>
      <c r="DJ707" s="889"/>
      <c r="DM707" s="890"/>
      <c r="DN707" s="952"/>
      <c r="DO707" s="75"/>
      <c r="DP707" s="962"/>
      <c r="DQ707" s="983"/>
      <c r="DV707" s="889"/>
    </row>
    <row r="708" spans="1:126" s="74" customFormat="1">
      <c r="A708" s="15"/>
      <c r="B708" s="15"/>
      <c r="C708" s="15"/>
      <c r="D708" s="15"/>
      <c r="E708" s="6"/>
      <c r="F708" s="6"/>
      <c r="G708" s="6"/>
      <c r="K708" s="222"/>
      <c r="V708" s="1430"/>
      <c r="AA708" s="223"/>
      <c r="AC708" s="889"/>
      <c r="AF708" s="890"/>
      <c r="AJ708" s="889"/>
      <c r="AN708" s="222"/>
      <c r="BC708" s="223"/>
      <c r="BD708" s="222"/>
      <c r="BH708" s="611"/>
      <c r="BJ708" s="15"/>
      <c r="BK708" s="15"/>
      <c r="BO708" s="223"/>
      <c r="BQ708" s="889"/>
      <c r="BT708" s="890"/>
      <c r="BX708" s="889"/>
      <c r="CB708" s="15"/>
      <c r="CC708" s="697"/>
      <c r="CD708" s="1086"/>
      <c r="CE708" s="15"/>
      <c r="CF708" s="15"/>
      <c r="CG708" s="936"/>
      <c r="CH708" s="15"/>
      <c r="CI708" s="15"/>
      <c r="CJ708" s="15"/>
      <c r="CK708" s="1107"/>
      <c r="CL708" s="22"/>
      <c r="CM708" s="22"/>
      <c r="CN708" s="1107"/>
      <c r="CR708" s="223"/>
      <c r="CS708" s="952"/>
      <c r="CT708" s="1066"/>
      <c r="CU708" s="972"/>
      <c r="CV708" s="983"/>
      <c r="CW708" s="222"/>
      <c r="CX708" s="697"/>
      <c r="DC708" s="222"/>
      <c r="DJ708" s="889"/>
      <c r="DM708" s="890"/>
      <c r="DN708" s="952"/>
      <c r="DO708" s="75"/>
      <c r="DP708" s="962"/>
      <c r="DQ708" s="983"/>
      <c r="DV708" s="889"/>
    </row>
    <row r="709" spans="1:126" s="74" customFormat="1">
      <c r="A709" s="15"/>
      <c r="B709" s="15"/>
      <c r="C709" s="15"/>
      <c r="D709" s="15"/>
      <c r="E709" s="6"/>
      <c r="F709" s="6"/>
      <c r="G709" s="6"/>
      <c r="K709" s="222"/>
      <c r="V709" s="1430"/>
      <c r="AA709" s="223"/>
      <c r="AC709" s="889"/>
      <c r="AF709" s="890"/>
      <c r="AJ709" s="889"/>
      <c r="AN709" s="222"/>
      <c r="BC709" s="223"/>
      <c r="BD709" s="222"/>
      <c r="BH709" s="611"/>
      <c r="BJ709" s="15"/>
      <c r="BK709" s="15"/>
      <c r="BO709" s="223"/>
      <c r="BQ709" s="889"/>
      <c r="BT709" s="890"/>
      <c r="BX709" s="889"/>
      <c r="CB709" s="15"/>
      <c r="CC709" s="697"/>
      <c r="CD709" s="1086"/>
      <c r="CE709" s="15"/>
      <c r="CF709" s="15"/>
      <c r="CG709" s="936"/>
      <c r="CH709" s="15"/>
      <c r="CI709" s="15"/>
      <c r="CJ709" s="15"/>
      <c r="CK709" s="1107"/>
      <c r="CL709" s="22"/>
      <c r="CM709" s="22"/>
      <c r="CN709" s="1107"/>
      <c r="CR709" s="223"/>
      <c r="CS709" s="952"/>
      <c r="CT709" s="1066"/>
      <c r="CU709" s="972"/>
      <c r="CV709" s="983"/>
      <c r="CW709" s="222"/>
      <c r="CX709" s="697"/>
      <c r="DC709" s="222"/>
      <c r="DJ709" s="889"/>
      <c r="DM709" s="890"/>
      <c r="DN709" s="952"/>
      <c r="DO709" s="75"/>
      <c r="DP709" s="962"/>
      <c r="DQ709" s="983"/>
      <c r="DV709" s="889"/>
    </row>
    <row r="710" spans="1:126" s="74" customFormat="1">
      <c r="A710" s="15"/>
      <c r="B710" s="15"/>
      <c r="C710" s="15"/>
      <c r="D710" s="15"/>
      <c r="E710" s="6"/>
      <c r="F710" s="6"/>
      <c r="G710" s="6"/>
      <c r="K710" s="222"/>
      <c r="V710" s="1430"/>
      <c r="AA710" s="223"/>
      <c r="AC710" s="889"/>
      <c r="AF710" s="890"/>
      <c r="AJ710" s="889"/>
      <c r="AN710" s="222"/>
      <c r="BC710" s="223"/>
      <c r="BD710" s="222"/>
      <c r="BH710" s="611"/>
      <c r="BJ710" s="15"/>
      <c r="BK710" s="15"/>
      <c r="BO710" s="223"/>
      <c r="BQ710" s="889"/>
      <c r="BT710" s="890"/>
      <c r="BX710" s="889"/>
      <c r="CB710" s="15"/>
      <c r="CC710" s="697"/>
      <c r="CD710" s="1086"/>
      <c r="CE710" s="15"/>
      <c r="CF710" s="15"/>
      <c r="CG710" s="936"/>
      <c r="CH710" s="15"/>
      <c r="CI710" s="15"/>
      <c r="CJ710" s="15"/>
      <c r="CK710" s="1107"/>
      <c r="CL710" s="22"/>
      <c r="CM710" s="22"/>
      <c r="CN710" s="1107"/>
      <c r="CR710" s="223"/>
      <c r="CS710" s="952"/>
      <c r="CT710" s="1066"/>
      <c r="CU710" s="972"/>
      <c r="CV710" s="983"/>
      <c r="CW710" s="222"/>
      <c r="CX710" s="697"/>
      <c r="DC710" s="222"/>
      <c r="DJ710" s="889"/>
      <c r="DM710" s="890"/>
      <c r="DN710" s="952"/>
      <c r="DO710" s="75"/>
      <c r="DP710" s="962"/>
      <c r="DQ710" s="983"/>
      <c r="DV710" s="889"/>
    </row>
    <row r="711" spans="1:126" s="74" customFormat="1">
      <c r="A711" s="15"/>
      <c r="B711" s="15"/>
      <c r="C711" s="15"/>
      <c r="D711" s="15"/>
      <c r="E711" s="6"/>
      <c r="F711" s="6"/>
      <c r="G711" s="6"/>
      <c r="K711" s="222"/>
      <c r="V711" s="1430"/>
      <c r="AA711" s="223"/>
      <c r="AC711" s="889"/>
      <c r="AF711" s="890"/>
      <c r="AJ711" s="889"/>
      <c r="AN711" s="222"/>
      <c r="BC711" s="223"/>
      <c r="BD711" s="222"/>
      <c r="BH711" s="611"/>
      <c r="BJ711" s="15"/>
      <c r="BK711" s="15"/>
      <c r="BO711" s="223"/>
      <c r="BQ711" s="889"/>
      <c r="BT711" s="890"/>
      <c r="BX711" s="889"/>
      <c r="CB711" s="15"/>
      <c r="CC711" s="697"/>
      <c r="CD711" s="1086"/>
      <c r="CE711" s="15"/>
      <c r="CF711" s="15"/>
      <c r="CG711" s="936"/>
      <c r="CH711" s="15"/>
      <c r="CI711" s="15"/>
      <c r="CJ711" s="15"/>
      <c r="CK711" s="1107"/>
      <c r="CL711" s="22"/>
      <c r="CM711" s="22"/>
      <c r="CN711" s="1107"/>
      <c r="CR711" s="223"/>
      <c r="CS711" s="952"/>
      <c r="CT711" s="1066"/>
      <c r="CU711" s="972"/>
      <c r="CV711" s="983"/>
      <c r="CW711" s="222"/>
      <c r="CX711" s="697"/>
      <c r="DC711" s="222"/>
      <c r="DJ711" s="889"/>
      <c r="DM711" s="890"/>
      <c r="DN711" s="952"/>
      <c r="DO711" s="75"/>
      <c r="DP711" s="962"/>
      <c r="DQ711" s="983"/>
      <c r="DV711" s="889"/>
    </row>
    <row r="712" spans="1:126" s="74" customFormat="1">
      <c r="A712" s="15"/>
      <c r="B712" s="15"/>
      <c r="C712" s="15"/>
      <c r="D712" s="15"/>
      <c r="E712" s="6"/>
      <c r="F712" s="6"/>
      <c r="G712" s="6"/>
      <c r="K712" s="222"/>
      <c r="V712" s="1430"/>
      <c r="AA712" s="223"/>
      <c r="AC712" s="889"/>
      <c r="AF712" s="890"/>
      <c r="AJ712" s="889"/>
      <c r="AN712" s="222"/>
      <c r="BC712" s="223"/>
      <c r="BD712" s="222"/>
      <c r="BH712" s="611"/>
      <c r="BJ712" s="15"/>
      <c r="BK712" s="15"/>
      <c r="BO712" s="223"/>
      <c r="BQ712" s="889"/>
      <c r="BT712" s="890"/>
      <c r="BX712" s="889"/>
      <c r="CB712" s="15"/>
      <c r="CC712" s="697"/>
      <c r="CD712" s="1086"/>
      <c r="CE712" s="15"/>
      <c r="CF712" s="15"/>
      <c r="CG712" s="936"/>
      <c r="CH712" s="15"/>
      <c r="CI712" s="15"/>
      <c r="CJ712" s="15"/>
      <c r="CK712" s="1107"/>
      <c r="CL712" s="22"/>
      <c r="CM712" s="22"/>
      <c r="CN712" s="1107"/>
      <c r="CR712" s="223"/>
      <c r="CS712" s="952"/>
      <c r="CT712" s="1066"/>
      <c r="CU712" s="972"/>
      <c r="CV712" s="983"/>
      <c r="CW712" s="222"/>
      <c r="CX712" s="697"/>
      <c r="DC712" s="222"/>
      <c r="DJ712" s="889"/>
      <c r="DM712" s="890"/>
      <c r="DN712" s="952"/>
      <c r="DO712" s="75"/>
      <c r="DP712" s="962"/>
      <c r="DQ712" s="983"/>
      <c r="DV712" s="889"/>
    </row>
    <row r="713" spans="1:126" s="74" customFormat="1">
      <c r="A713" s="15"/>
      <c r="B713" s="15"/>
      <c r="C713" s="15"/>
      <c r="D713" s="15"/>
      <c r="E713" s="6"/>
      <c r="F713" s="6"/>
      <c r="G713" s="6"/>
      <c r="K713" s="222"/>
      <c r="V713" s="1430"/>
      <c r="AA713" s="223"/>
      <c r="AC713" s="889"/>
      <c r="AF713" s="890"/>
      <c r="AJ713" s="889"/>
      <c r="AN713" s="222"/>
      <c r="BC713" s="223"/>
      <c r="BD713" s="222"/>
      <c r="BH713" s="611"/>
      <c r="BJ713" s="15"/>
      <c r="BK713" s="15"/>
      <c r="BO713" s="223"/>
      <c r="BQ713" s="889"/>
      <c r="BT713" s="890"/>
      <c r="BX713" s="889"/>
      <c r="CB713" s="15"/>
      <c r="CC713" s="697"/>
      <c r="CD713" s="1086"/>
      <c r="CE713" s="15"/>
      <c r="CF713" s="15"/>
      <c r="CG713" s="936"/>
      <c r="CH713" s="15"/>
      <c r="CI713" s="15"/>
      <c r="CJ713" s="15"/>
      <c r="CK713" s="1107"/>
      <c r="CL713" s="22"/>
      <c r="CM713" s="22"/>
      <c r="CN713" s="1107"/>
      <c r="CR713" s="223"/>
      <c r="CS713" s="952"/>
      <c r="CT713" s="1066"/>
      <c r="CU713" s="972"/>
      <c r="CV713" s="983"/>
      <c r="CW713" s="222"/>
      <c r="CX713" s="697"/>
      <c r="DC713" s="222"/>
      <c r="DJ713" s="889"/>
      <c r="DM713" s="890"/>
      <c r="DN713" s="952"/>
      <c r="DO713" s="75"/>
      <c r="DP713" s="962"/>
      <c r="DQ713" s="983"/>
      <c r="DV713" s="889"/>
    </row>
    <row r="714" spans="1:126" s="74" customFormat="1">
      <c r="A714" s="15"/>
      <c r="B714" s="15"/>
      <c r="C714" s="15"/>
      <c r="D714" s="15"/>
      <c r="E714" s="6"/>
      <c r="F714" s="6"/>
      <c r="G714" s="6"/>
      <c r="K714" s="222"/>
      <c r="V714" s="1430"/>
      <c r="AA714" s="223"/>
      <c r="AC714" s="889"/>
      <c r="AF714" s="890"/>
      <c r="AJ714" s="889"/>
      <c r="AN714" s="222"/>
      <c r="BC714" s="223"/>
      <c r="BD714" s="222"/>
      <c r="BH714" s="611"/>
      <c r="BJ714" s="15"/>
      <c r="BK714" s="15"/>
      <c r="BO714" s="223"/>
      <c r="BQ714" s="889"/>
      <c r="BT714" s="890"/>
      <c r="BX714" s="889"/>
      <c r="CB714" s="15"/>
      <c r="CC714" s="697"/>
      <c r="CD714" s="1086"/>
      <c r="CE714" s="15"/>
      <c r="CF714" s="15"/>
      <c r="CG714" s="936"/>
      <c r="CH714" s="15"/>
      <c r="CI714" s="15"/>
      <c r="CJ714" s="15"/>
      <c r="CK714" s="1107"/>
      <c r="CL714" s="22"/>
      <c r="CM714" s="22"/>
      <c r="CN714" s="1107"/>
      <c r="CR714" s="223"/>
      <c r="CS714" s="952"/>
      <c r="CT714" s="1066"/>
      <c r="CU714" s="972"/>
      <c r="CV714" s="983"/>
      <c r="CW714" s="222"/>
      <c r="CX714" s="697"/>
      <c r="DC714" s="222"/>
      <c r="DJ714" s="889"/>
      <c r="DM714" s="890"/>
      <c r="DN714" s="952"/>
      <c r="DO714" s="75"/>
      <c r="DP714" s="962"/>
      <c r="DQ714" s="983"/>
      <c r="DV714" s="889"/>
    </row>
    <row r="715" spans="1:126" s="74" customFormat="1">
      <c r="A715" s="15"/>
      <c r="B715" s="15"/>
      <c r="C715" s="15"/>
      <c r="D715" s="15"/>
      <c r="E715" s="6"/>
      <c r="F715" s="6"/>
      <c r="G715" s="6"/>
      <c r="K715" s="222"/>
      <c r="V715" s="1430"/>
      <c r="AA715" s="223"/>
      <c r="AC715" s="889"/>
      <c r="AF715" s="890"/>
      <c r="AJ715" s="889"/>
      <c r="AN715" s="222"/>
      <c r="BC715" s="223"/>
      <c r="BD715" s="222"/>
      <c r="BH715" s="611"/>
      <c r="BJ715" s="15"/>
      <c r="BK715" s="15"/>
      <c r="BO715" s="223"/>
      <c r="BQ715" s="889"/>
      <c r="BT715" s="890"/>
      <c r="BX715" s="889"/>
      <c r="CB715" s="15"/>
      <c r="CC715" s="697"/>
      <c r="CD715" s="1086"/>
      <c r="CE715" s="15"/>
      <c r="CF715" s="15"/>
      <c r="CG715" s="936"/>
      <c r="CH715" s="15"/>
      <c r="CI715" s="15"/>
      <c r="CJ715" s="15"/>
      <c r="CK715" s="1107"/>
      <c r="CL715" s="22"/>
      <c r="CM715" s="22"/>
      <c r="CN715" s="1107"/>
      <c r="CR715" s="223"/>
      <c r="CS715" s="952"/>
      <c r="CT715" s="1066"/>
      <c r="CU715" s="972"/>
      <c r="CV715" s="983"/>
      <c r="CW715" s="222"/>
      <c r="CX715" s="697"/>
      <c r="DC715" s="222"/>
      <c r="DJ715" s="889"/>
      <c r="DM715" s="890"/>
      <c r="DN715" s="952"/>
      <c r="DO715" s="75"/>
      <c r="DP715" s="962"/>
      <c r="DQ715" s="983"/>
      <c r="DV715" s="889"/>
    </row>
    <row r="716" spans="1:126" s="74" customFormat="1">
      <c r="A716" s="15"/>
      <c r="B716" s="15"/>
      <c r="C716" s="15"/>
      <c r="D716" s="15"/>
      <c r="E716" s="6"/>
      <c r="F716" s="6"/>
      <c r="G716" s="6"/>
      <c r="K716" s="222"/>
      <c r="V716" s="1430"/>
      <c r="AA716" s="223"/>
      <c r="AC716" s="889"/>
      <c r="AF716" s="890"/>
      <c r="AJ716" s="889"/>
      <c r="AN716" s="222"/>
      <c r="BC716" s="223"/>
      <c r="BD716" s="222"/>
      <c r="BH716" s="611"/>
      <c r="BJ716" s="15"/>
      <c r="BK716" s="15"/>
      <c r="BO716" s="223"/>
      <c r="BQ716" s="889"/>
      <c r="BT716" s="890"/>
      <c r="BX716" s="889"/>
      <c r="CB716" s="15"/>
      <c r="CC716" s="697"/>
      <c r="CD716" s="1086"/>
      <c r="CE716" s="15"/>
      <c r="CF716" s="15"/>
      <c r="CG716" s="936"/>
      <c r="CH716" s="15"/>
      <c r="CI716" s="15"/>
      <c r="CJ716" s="15"/>
      <c r="CK716" s="1107"/>
      <c r="CL716" s="22"/>
      <c r="CM716" s="22"/>
      <c r="CN716" s="1107"/>
      <c r="CR716" s="223"/>
      <c r="CS716" s="952"/>
      <c r="CT716" s="1066"/>
      <c r="CU716" s="972"/>
      <c r="CV716" s="983"/>
      <c r="CW716" s="222"/>
      <c r="CX716" s="697"/>
      <c r="DC716" s="222"/>
      <c r="DJ716" s="889"/>
      <c r="DM716" s="890"/>
      <c r="DN716" s="952"/>
      <c r="DO716" s="75"/>
      <c r="DP716" s="962"/>
      <c r="DQ716" s="983"/>
      <c r="DV716" s="889"/>
    </row>
    <row r="717" spans="1:126" s="74" customFormat="1">
      <c r="A717" s="15"/>
      <c r="B717" s="15"/>
      <c r="C717" s="15"/>
      <c r="D717" s="15"/>
      <c r="E717" s="6"/>
      <c r="F717" s="6"/>
      <c r="G717" s="6"/>
      <c r="K717" s="222"/>
      <c r="V717" s="1430"/>
      <c r="AA717" s="223"/>
      <c r="AC717" s="889"/>
      <c r="AF717" s="890"/>
      <c r="AJ717" s="889"/>
      <c r="AN717" s="222"/>
      <c r="BC717" s="223"/>
      <c r="BD717" s="222"/>
      <c r="BH717" s="611"/>
      <c r="BJ717" s="15"/>
      <c r="BK717" s="15"/>
      <c r="BO717" s="223"/>
      <c r="BQ717" s="889"/>
      <c r="BT717" s="890"/>
      <c r="BX717" s="889"/>
      <c r="CB717" s="15"/>
      <c r="CC717" s="697"/>
      <c r="CD717" s="1086"/>
      <c r="CE717" s="15"/>
      <c r="CF717" s="15"/>
      <c r="CG717" s="936"/>
      <c r="CH717" s="15"/>
      <c r="CI717" s="15"/>
      <c r="CJ717" s="15"/>
      <c r="CK717" s="1107"/>
      <c r="CL717" s="22"/>
      <c r="CM717" s="22"/>
      <c r="CN717" s="1107"/>
      <c r="CR717" s="223"/>
      <c r="CS717" s="952"/>
      <c r="CT717" s="1066"/>
      <c r="CU717" s="972"/>
      <c r="CV717" s="983"/>
      <c r="CW717" s="222"/>
      <c r="CX717" s="697"/>
      <c r="DC717" s="222"/>
      <c r="DJ717" s="889"/>
      <c r="DM717" s="890"/>
      <c r="DN717" s="952"/>
      <c r="DO717" s="75"/>
      <c r="DP717" s="962"/>
      <c r="DQ717" s="983"/>
      <c r="DV717" s="889"/>
    </row>
    <row r="718" spans="1:126" s="74" customFormat="1">
      <c r="A718" s="15"/>
      <c r="B718" s="15"/>
      <c r="C718" s="15"/>
      <c r="D718" s="15"/>
      <c r="E718" s="6"/>
      <c r="F718" s="6"/>
      <c r="G718" s="6"/>
      <c r="K718" s="222"/>
      <c r="V718" s="1430"/>
      <c r="AA718" s="223"/>
      <c r="AC718" s="889"/>
      <c r="AF718" s="890"/>
      <c r="AJ718" s="889"/>
      <c r="AN718" s="222"/>
      <c r="BC718" s="223"/>
      <c r="BD718" s="222"/>
      <c r="BH718" s="611"/>
      <c r="BJ718" s="15"/>
      <c r="BK718" s="15"/>
      <c r="BO718" s="223"/>
      <c r="BQ718" s="889"/>
      <c r="BT718" s="890"/>
      <c r="BX718" s="889"/>
      <c r="CB718" s="15"/>
      <c r="CC718" s="697"/>
      <c r="CD718" s="1086"/>
      <c r="CE718" s="15"/>
      <c r="CF718" s="15"/>
      <c r="CG718" s="936"/>
      <c r="CH718" s="15"/>
      <c r="CI718" s="15"/>
      <c r="CJ718" s="15"/>
      <c r="CK718" s="1107"/>
      <c r="CL718" s="22"/>
      <c r="CM718" s="22"/>
      <c r="CN718" s="1107"/>
      <c r="CR718" s="223"/>
      <c r="CS718" s="952"/>
      <c r="CT718" s="1066"/>
      <c r="CU718" s="972"/>
      <c r="CV718" s="983"/>
      <c r="CW718" s="222"/>
      <c r="CX718" s="697"/>
      <c r="DC718" s="222"/>
      <c r="DJ718" s="889"/>
      <c r="DM718" s="890"/>
      <c r="DN718" s="952"/>
      <c r="DO718" s="75"/>
      <c r="DP718" s="962"/>
      <c r="DQ718" s="983"/>
      <c r="DV718" s="889"/>
    </row>
    <row r="719" spans="1:126" s="74" customFormat="1">
      <c r="A719" s="15"/>
      <c r="B719" s="15"/>
      <c r="C719" s="15"/>
      <c r="D719" s="15"/>
      <c r="E719" s="6"/>
      <c r="F719" s="6"/>
      <c r="G719" s="6"/>
      <c r="K719" s="222"/>
      <c r="V719" s="1430"/>
      <c r="AA719" s="223"/>
      <c r="AC719" s="889"/>
      <c r="AF719" s="890"/>
      <c r="AJ719" s="889"/>
      <c r="AN719" s="222"/>
      <c r="BC719" s="223"/>
      <c r="BD719" s="222"/>
      <c r="BH719" s="611"/>
      <c r="BJ719" s="15"/>
      <c r="BK719" s="15"/>
      <c r="BO719" s="223"/>
      <c r="BQ719" s="889"/>
      <c r="BT719" s="890"/>
      <c r="BX719" s="889"/>
      <c r="CB719" s="15"/>
      <c r="CC719" s="697"/>
      <c r="CD719" s="1086"/>
      <c r="CE719" s="15"/>
      <c r="CF719" s="15"/>
      <c r="CG719" s="936"/>
      <c r="CH719" s="15"/>
      <c r="CI719" s="15"/>
      <c r="CJ719" s="15"/>
      <c r="CK719" s="1107"/>
      <c r="CL719" s="22"/>
      <c r="CM719" s="22"/>
      <c r="CN719" s="1107"/>
      <c r="CR719" s="223"/>
      <c r="CS719" s="952"/>
      <c r="CT719" s="1066"/>
      <c r="CU719" s="972"/>
      <c r="CV719" s="983"/>
      <c r="CW719" s="222"/>
      <c r="CX719" s="697"/>
      <c r="DC719" s="222"/>
      <c r="DJ719" s="889"/>
      <c r="DM719" s="890"/>
      <c r="DN719" s="952"/>
      <c r="DO719" s="75"/>
      <c r="DP719" s="962"/>
      <c r="DQ719" s="983"/>
      <c r="DV719" s="889"/>
    </row>
    <row r="720" spans="1:126" s="74" customFormat="1">
      <c r="A720" s="15"/>
      <c r="B720" s="15"/>
      <c r="C720" s="15"/>
      <c r="D720" s="15"/>
      <c r="E720" s="6"/>
      <c r="F720" s="6"/>
      <c r="G720" s="6"/>
      <c r="K720" s="222"/>
      <c r="V720" s="1430"/>
      <c r="AA720" s="223"/>
      <c r="AC720" s="889"/>
      <c r="AF720" s="890"/>
      <c r="AJ720" s="889"/>
      <c r="AN720" s="222"/>
      <c r="BC720" s="223"/>
      <c r="BD720" s="222"/>
      <c r="BH720" s="611"/>
      <c r="BJ720" s="15"/>
      <c r="BK720" s="15"/>
      <c r="BO720" s="223"/>
      <c r="BQ720" s="889"/>
      <c r="BT720" s="890"/>
      <c r="BX720" s="889"/>
      <c r="CB720" s="15"/>
      <c r="CC720" s="697"/>
      <c r="CD720" s="1086"/>
      <c r="CE720" s="15"/>
      <c r="CF720" s="15"/>
      <c r="CG720" s="936"/>
      <c r="CH720" s="15"/>
      <c r="CI720" s="15"/>
      <c r="CJ720" s="15"/>
      <c r="CK720" s="1107"/>
      <c r="CL720" s="22"/>
      <c r="CM720" s="22"/>
      <c r="CN720" s="1107"/>
      <c r="CR720" s="223"/>
      <c r="CS720" s="952"/>
      <c r="CT720" s="1066"/>
      <c r="CU720" s="972"/>
      <c r="CV720" s="983"/>
      <c r="CW720" s="222"/>
      <c r="CX720" s="697"/>
      <c r="DC720" s="222"/>
      <c r="DJ720" s="889"/>
      <c r="DM720" s="890"/>
      <c r="DN720" s="952"/>
      <c r="DO720" s="75"/>
      <c r="DP720" s="962"/>
      <c r="DQ720" s="983"/>
      <c r="DV720" s="889"/>
    </row>
    <row r="721" spans="1:126" s="74" customFormat="1">
      <c r="A721" s="15"/>
      <c r="B721" s="15"/>
      <c r="C721" s="15"/>
      <c r="D721" s="15"/>
      <c r="E721" s="6"/>
      <c r="F721" s="6"/>
      <c r="G721" s="6"/>
      <c r="K721" s="222"/>
      <c r="V721" s="1430"/>
      <c r="AA721" s="223"/>
      <c r="AC721" s="889"/>
      <c r="AF721" s="890"/>
      <c r="AJ721" s="889"/>
      <c r="AN721" s="222"/>
      <c r="BC721" s="223"/>
      <c r="BD721" s="222"/>
      <c r="BH721" s="611"/>
      <c r="BJ721" s="15"/>
      <c r="BK721" s="15"/>
      <c r="BO721" s="223"/>
      <c r="BQ721" s="889"/>
      <c r="BT721" s="890"/>
      <c r="BX721" s="889"/>
      <c r="CB721" s="15"/>
      <c r="CC721" s="697"/>
      <c r="CD721" s="1086"/>
      <c r="CE721" s="15"/>
      <c r="CF721" s="15"/>
      <c r="CG721" s="936"/>
      <c r="CH721" s="15"/>
      <c r="CI721" s="15"/>
      <c r="CJ721" s="15"/>
      <c r="CK721" s="1107"/>
      <c r="CL721" s="22"/>
      <c r="CM721" s="22"/>
      <c r="CN721" s="1107"/>
      <c r="CR721" s="223"/>
      <c r="CS721" s="952"/>
      <c r="CT721" s="1066"/>
      <c r="CU721" s="972"/>
      <c r="CV721" s="983"/>
      <c r="CW721" s="222"/>
      <c r="CX721" s="697"/>
      <c r="DC721" s="222"/>
      <c r="DJ721" s="889"/>
      <c r="DM721" s="890"/>
      <c r="DN721" s="952"/>
      <c r="DO721" s="75"/>
      <c r="DP721" s="962"/>
      <c r="DQ721" s="983"/>
      <c r="DV721" s="889"/>
    </row>
    <row r="722" spans="1:126" s="74" customFormat="1">
      <c r="A722" s="15"/>
      <c r="B722" s="15"/>
      <c r="C722" s="15"/>
      <c r="D722" s="15"/>
      <c r="E722" s="6"/>
      <c r="F722" s="6"/>
      <c r="G722" s="6"/>
      <c r="K722" s="222"/>
      <c r="V722" s="1430"/>
      <c r="AA722" s="223"/>
      <c r="AC722" s="889"/>
      <c r="AF722" s="890"/>
      <c r="AJ722" s="889"/>
      <c r="AN722" s="222"/>
      <c r="BC722" s="223"/>
      <c r="BD722" s="222"/>
      <c r="BH722" s="611"/>
      <c r="BJ722" s="15"/>
      <c r="BK722" s="15"/>
      <c r="BO722" s="223"/>
      <c r="BQ722" s="889"/>
      <c r="BT722" s="890"/>
      <c r="BX722" s="889"/>
      <c r="CB722" s="15"/>
      <c r="CC722" s="697"/>
      <c r="CD722" s="1086"/>
      <c r="CE722" s="15"/>
      <c r="CF722" s="15"/>
      <c r="CG722" s="936"/>
      <c r="CH722" s="15"/>
      <c r="CI722" s="15"/>
      <c r="CJ722" s="15"/>
      <c r="CK722" s="1107"/>
      <c r="CL722" s="22"/>
      <c r="CM722" s="22"/>
      <c r="CN722" s="1107"/>
      <c r="CR722" s="223"/>
      <c r="CS722" s="952"/>
      <c r="CT722" s="1066"/>
      <c r="CU722" s="972"/>
      <c r="CV722" s="983"/>
      <c r="CW722" s="222"/>
      <c r="CX722" s="697"/>
      <c r="DC722" s="222"/>
      <c r="DJ722" s="889"/>
      <c r="DM722" s="890"/>
      <c r="DN722" s="952"/>
      <c r="DO722" s="75"/>
      <c r="DP722" s="962"/>
      <c r="DQ722" s="983"/>
      <c r="DV722" s="889"/>
    </row>
    <row r="723" spans="1:126" s="74" customFormat="1">
      <c r="A723" s="15"/>
      <c r="B723" s="15"/>
      <c r="C723" s="15"/>
      <c r="D723" s="15"/>
      <c r="E723" s="6"/>
      <c r="F723" s="6"/>
      <c r="G723" s="6"/>
      <c r="K723" s="222"/>
      <c r="V723" s="1430"/>
      <c r="AA723" s="223"/>
      <c r="AC723" s="889"/>
      <c r="AF723" s="890"/>
      <c r="AJ723" s="889"/>
      <c r="AN723" s="222"/>
      <c r="BC723" s="223"/>
      <c r="BD723" s="222"/>
      <c r="BH723" s="611"/>
      <c r="BJ723" s="15"/>
      <c r="BK723" s="15"/>
      <c r="BO723" s="223"/>
      <c r="BQ723" s="889"/>
      <c r="BT723" s="890"/>
      <c r="BX723" s="889"/>
      <c r="CB723" s="15"/>
      <c r="CC723" s="697"/>
      <c r="CD723" s="1086"/>
      <c r="CE723" s="15"/>
      <c r="CF723" s="15"/>
      <c r="CG723" s="936"/>
      <c r="CH723" s="15"/>
      <c r="CI723" s="15"/>
      <c r="CJ723" s="15"/>
      <c r="CK723" s="1107"/>
      <c r="CL723" s="22"/>
      <c r="CM723" s="22"/>
      <c r="CN723" s="1107"/>
      <c r="CR723" s="223"/>
      <c r="CS723" s="952"/>
      <c r="CT723" s="1066"/>
      <c r="CU723" s="972"/>
      <c r="CV723" s="983"/>
      <c r="CW723" s="222"/>
      <c r="CX723" s="697"/>
      <c r="DC723" s="222"/>
      <c r="DJ723" s="889"/>
      <c r="DM723" s="890"/>
      <c r="DN723" s="952"/>
      <c r="DO723" s="75"/>
      <c r="DP723" s="962"/>
      <c r="DQ723" s="983"/>
      <c r="DV723" s="889"/>
    </row>
    <row r="724" spans="1:126" s="74" customFormat="1">
      <c r="A724" s="15"/>
      <c r="B724" s="15"/>
      <c r="C724" s="15"/>
      <c r="D724" s="15"/>
      <c r="E724" s="6"/>
      <c r="F724" s="6"/>
      <c r="G724" s="6"/>
      <c r="K724" s="222"/>
      <c r="V724" s="1430"/>
      <c r="AA724" s="223"/>
      <c r="AC724" s="889"/>
      <c r="AF724" s="890"/>
      <c r="AJ724" s="889"/>
      <c r="AN724" s="222"/>
      <c r="BC724" s="223"/>
      <c r="BD724" s="222"/>
      <c r="BH724" s="611"/>
      <c r="BJ724" s="15"/>
      <c r="BK724" s="15"/>
      <c r="BO724" s="223"/>
      <c r="BQ724" s="889"/>
      <c r="BT724" s="890"/>
      <c r="BX724" s="889"/>
      <c r="CB724" s="15"/>
      <c r="CC724" s="697"/>
      <c r="CD724" s="1086"/>
      <c r="CE724" s="15"/>
      <c r="CF724" s="15"/>
      <c r="CG724" s="936"/>
      <c r="CH724" s="15"/>
      <c r="CI724" s="15"/>
      <c r="CJ724" s="15"/>
      <c r="CK724" s="1107"/>
      <c r="CL724" s="22"/>
      <c r="CM724" s="22"/>
      <c r="CN724" s="1107"/>
      <c r="CR724" s="223"/>
      <c r="CS724" s="952"/>
      <c r="CT724" s="1066"/>
      <c r="CU724" s="972"/>
      <c r="CV724" s="983"/>
      <c r="CW724" s="222"/>
      <c r="CX724" s="697"/>
      <c r="DC724" s="222"/>
      <c r="DJ724" s="889"/>
      <c r="DM724" s="890"/>
      <c r="DN724" s="952"/>
      <c r="DO724" s="75"/>
      <c r="DP724" s="962"/>
      <c r="DQ724" s="983"/>
      <c r="DV724" s="889"/>
    </row>
    <row r="725" spans="1:126" s="74" customFormat="1">
      <c r="A725" s="15"/>
      <c r="B725" s="15"/>
      <c r="C725" s="15"/>
      <c r="D725" s="15"/>
      <c r="E725" s="6"/>
      <c r="F725" s="6"/>
      <c r="G725" s="6"/>
      <c r="K725" s="222"/>
      <c r="V725" s="1430"/>
      <c r="AA725" s="223"/>
      <c r="AC725" s="889"/>
      <c r="AF725" s="890"/>
      <c r="AJ725" s="889"/>
      <c r="AN725" s="222"/>
      <c r="BC725" s="223"/>
      <c r="BD725" s="222"/>
      <c r="BH725" s="611"/>
      <c r="BJ725" s="15"/>
      <c r="BK725" s="15"/>
      <c r="BO725" s="223"/>
      <c r="BQ725" s="889"/>
      <c r="BT725" s="890"/>
      <c r="BX725" s="889"/>
      <c r="CB725" s="15"/>
      <c r="CC725" s="697"/>
      <c r="CD725" s="1086"/>
      <c r="CE725" s="15"/>
      <c r="CF725" s="15"/>
      <c r="CG725" s="936"/>
      <c r="CH725" s="15"/>
      <c r="CI725" s="15"/>
      <c r="CJ725" s="15"/>
      <c r="CK725" s="1107"/>
      <c r="CL725" s="22"/>
      <c r="CM725" s="22"/>
      <c r="CN725" s="1107"/>
      <c r="CR725" s="223"/>
      <c r="CS725" s="952"/>
      <c r="CT725" s="1066"/>
      <c r="CU725" s="972"/>
      <c r="CV725" s="983"/>
      <c r="CW725" s="222"/>
      <c r="CX725" s="697"/>
      <c r="DC725" s="222"/>
      <c r="DJ725" s="889"/>
      <c r="DM725" s="890"/>
      <c r="DN725" s="952"/>
      <c r="DO725" s="75"/>
      <c r="DP725" s="962"/>
      <c r="DQ725" s="983"/>
      <c r="DV725" s="889"/>
    </row>
    <row r="726" spans="1:126" s="74" customFormat="1">
      <c r="A726" s="15"/>
      <c r="B726" s="15"/>
      <c r="C726" s="15"/>
      <c r="D726" s="15"/>
      <c r="E726" s="6"/>
      <c r="F726" s="6"/>
      <c r="G726" s="6"/>
      <c r="K726" s="222"/>
      <c r="V726" s="1430"/>
      <c r="AA726" s="223"/>
      <c r="AC726" s="889"/>
      <c r="AF726" s="890"/>
      <c r="AJ726" s="889"/>
      <c r="AN726" s="222"/>
      <c r="BC726" s="223"/>
      <c r="BD726" s="222"/>
      <c r="BH726" s="611"/>
      <c r="BJ726" s="15"/>
      <c r="BK726" s="15"/>
      <c r="BO726" s="223"/>
      <c r="BQ726" s="889"/>
      <c r="BT726" s="890"/>
      <c r="BX726" s="889"/>
      <c r="CB726" s="15"/>
      <c r="CC726" s="697"/>
      <c r="CD726" s="1086"/>
      <c r="CE726" s="15"/>
      <c r="CF726" s="15"/>
      <c r="CG726" s="936"/>
      <c r="CH726" s="15"/>
      <c r="CI726" s="15"/>
      <c r="CJ726" s="15"/>
      <c r="CK726" s="1107"/>
      <c r="CL726" s="22"/>
      <c r="CM726" s="22"/>
      <c r="CN726" s="1107"/>
      <c r="CR726" s="223"/>
      <c r="CS726" s="952"/>
      <c r="CT726" s="1066"/>
      <c r="CU726" s="972"/>
      <c r="CV726" s="983"/>
      <c r="CW726" s="222"/>
      <c r="CX726" s="697"/>
      <c r="DC726" s="222"/>
      <c r="DJ726" s="889"/>
      <c r="DM726" s="890"/>
      <c r="DN726" s="952"/>
      <c r="DO726" s="75"/>
      <c r="DP726" s="962"/>
      <c r="DQ726" s="983"/>
      <c r="DV726" s="889"/>
    </row>
    <row r="727" spans="1:126" s="74" customFormat="1">
      <c r="A727" s="15"/>
      <c r="B727" s="15"/>
      <c r="C727" s="15"/>
      <c r="D727" s="15"/>
      <c r="E727" s="6"/>
      <c r="F727" s="6"/>
      <c r="G727" s="6"/>
      <c r="K727" s="222"/>
      <c r="V727" s="1430"/>
      <c r="AA727" s="223"/>
      <c r="AC727" s="889"/>
      <c r="AF727" s="890"/>
      <c r="AJ727" s="889"/>
      <c r="AN727" s="222"/>
      <c r="BC727" s="223"/>
      <c r="BD727" s="222"/>
      <c r="BH727" s="611"/>
      <c r="BJ727" s="15"/>
      <c r="BK727" s="15"/>
      <c r="BO727" s="223"/>
      <c r="BQ727" s="889"/>
      <c r="BT727" s="890"/>
      <c r="BX727" s="889"/>
      <c r="CB727" s="15"/>
      <c r="CC727" s="697"/>
      <c r="CD727" s="1086"/>
      <c r="CE727" s="15"/>
      <c r="CF727" s="15"/>
      <c r="CG727" s="936"/>
      <c r="CH727" s="15"/>
      <c r="CI727" s="15"/>
      <c r="CJ727" s="15"/>
      <c r="CK727" s="1107"/>
      <c r="CL727" s="22"/>
      <c r="CM727" s="22"/>
      <c r="CN727" s="1107"/>
      <c r="CR727" s="223"/>
      <c r="CS727" s="952"/>
      <c r="CT727" s="1066"/>
      <c r="CU727" s="972"/>
      <c r="CV727" s="983"/>
      <c r="CW727" s="222"/>
      <c r="CX727" s="697"/>
      <c r="DC727" s="222"/>
      <c r="DJ727" s="889"/>
      <c r="DM727" s="890"/>
      <c r="DN727" s="952"/>
      <c r="DO727" s="75"/>
      <c r="DP727" s="962"/>
      <c r="DQ727" s="983"/>
      <c r="DV727" s="889"/>
    </row>
    <row r="728" spans="1:126" s="74" customFormat="1">
      <c r="A728" s="15"/>
      <c r="B728" s="15"/>
      <c r="C728" s="15"/>
      <c r="D728" s="15"/>
      <c r="E728" s="6"/>
      <c r="F728" s="6"/>
      <c r="G728" s="6"/>
      <c r="K728" s="222"/>
      <c r="V728" s="1430"/>
      <c r="AA728" s="223"/>
      <c r="AC728" s="889"/>
      <c r="AF728" s="890"/>
      <c r="AJ728" s="889"/>
      <c r="AN728" s="222"/>
      <c r="BC728" s="223"/>
      <c r="BD728" s="222"/>
      <c r="BH728" s="611"/>
      <c r="BJ728" s="15"/>
      <c r="BK728" s="15"/>
      <c r="BO728" s="223"/>
      <c r="BQ728" s="889"/>
      <c r="BT728" s="890"/>
      <c r="BX728" s="889"/>
      <c r="CB728" s="15"/>
      <c r="CC728" s="697"/>
      <c r="CD728" s="1086"/>
      <c r="CE728" s="15"/>
      <c r="CF728" s="15"/>
      <c r="CG728" s="936"/>
      <c r="CH728" s="15"/>
      <c r="CI728" s="15"/>
      <c r="CJ728" s="15"/>
      <c r="CK728" s="1107"/>
      <c r="CL728" s="22"/>
      <c r="CM728" s="22"/>
      <c r="CN728" s="1107"/>
      <c r="CR728" s="223"/>
      <c r="CS728" s="952"/>
      <c r="CT728" s="1066"/>
      <c r="CU728" s="972"/>
      <c r="CV728" s="983"/>
      <c r="CW728" s="222"/>
      <c r="CX728" s="697"/>
      <c r="DC728" s="222"/>
      <c r="DJ728" s="889"/>
      <c r="DM728" s="890"/>
      <c r="DN728" s="952"/>
      <c r="DO728" s="75"/>
      <c r="DP728" s="962"/>
      <c r="DQ728" s="983"/>
      <c r="DV728" s="889"/>
    </row>
    <row r="729" spans="1:126" s="74" customFormat="1">
      <c r="A729" s="15"/>
      <c r="B729" s="15"/>
      <c r="C729" s="15"/>
      <c r="D729" s="15"/>
      <c r="E729" s="6"/>
      <c r="F729" s="6"/>
      <c r="G729" s="6"/>
      <c r="K729" s="222"/>
      <c r="V729" s="1430"/>
      <c r="AA729" s="223"/>
      <c r="AC729" s="889"/>
      <c r="AF729" s="890"/>
      <c r="AJ729" s="889"/>
      <c r="AN729" s="222"/>
      <c r="BC729" s="223"/>
      <c r="BD729" s="222"/>
      <c r="BH729" s="611"/>
      <c r="BJ729" s="15"/>
      <c r="BK729" s="15"/>
      <c r="BO729" s="223"/>
      <c r="BQ729" s="889"/>
      <c r="BT729" s="890"/>
      <c r="BX729" s="889"/>
      <c r="CB729" s="15"/>
      <c r="CC729" s="697"/>
      <c r="CD729" s="1086"/>
      <c r="CE729" s="15"/>
      <c r="CF729" s="15"/>
      <c r="CG729" s="936"/>
      <c r="CH729" s="15"/>
      <c r="CI729" s="15"/>
      <c r="CJ729" s="15"/>
      <c r="CK729" s="1107"/>
      <c r="CL729" s="22"/>
      <c r="CM729" s="22"/>
      <c r="CN729" s="1107"/>
      <c r="CR729" s="223"/>
      <c r="CS729" s="952"/>
      <c r="CT729" s="1066"/>
      <c r="CU729" s="972"/>
      <c r="CV729" s="983"/>
      <c r="CW729" s="222"/>
      <c r="CX729" s="697"/>
      <c r="DC729" s="222"/>
      <c r="DJ729" s="889"/>
      <c r="DM729" s="890"/>
      <c r="DN729" s="952"/>
      <c r="DO729" s="75"/>
      <c r="DP729" s="962"/>
      <c r="DQ729" s="983"/>
      <c r="DV729" s="889"/>
    </row>
    <row r="730" spans="1:126" s="74" customFormat="1">
      <c r="A730" s="15"/>
      <c r="B730" s="15"/>
      <c r="C730" s="15"/>
      <c r="D730" s="15"/>
      <c r="E730" s="6"/>
      <c r="F730" s="6"/>
      <c r="G730" s="6"/>
      <c r="K730" s="222"/>
      <c r="V730" s="1430"/>
      <c r="AA730" s="223"/>
      <c r="AC730" s="889"/>
      <c r="AF730" s="890"/>
      <c r="AJ730" s="889"/>
      <c r="AN730" s="222"/>
      <c r="BC730" s="223"/>
      <c r="BD730" s="222"/>
      <c r="BH730" s="611"/>
      <c r="BJ730" s="15"/>
      <c r="BK730" s="15"/>
      <c r="BO730" s="223"/>
      <c r="BQ730" s="889"/>
      <c r="BT730" s="890"/>
      <c r="BX730" s="889"/>
      <c r="CB730" s="15"/>
      <c r="CC730" s="697"/>
      <c r="CD730" s="1086"/>
      <c r="CE730" s="15"/>
      <c r="CF730" s="15"/>
      <c r="CG730" s="936"/>
      <c r="CH730" s="15"/>
      <c r="CI730" s="15"/>
      <c r="CJ730" s="15"/>
      <c r="CK730" s="1107"/>
      <c r="CL730" s="22"/>
      <c r="CM730" s="22"/>
      <c r="CN730" s="1107"/>
      <c r="CR730" s="223"/>
      <c r="CS730" s="952"/>
      <c r="CT730" s="1066"/>
      <c r="CU730" s="972"/>
      <c r="CV730" s="983"/>
      <c r="CW730" s="222"/>
      <c r="CX730" s="697"/>
      <c r="DC730" s="222"/>
      <c r="DJ730" s="889"/>
      <c r="DM730" s="890"/>
      <c r="DN730" s="952"/>
      <c r="DO730" s="75"/>
      <c r="DP730" s="962"/>
      <c r="DQ730" s="983"/>
      <c r="DV730" s="889"/>
    </row>
    <row r="731" spans="1:126" s="74" customFormat="1">
      <c r="A731" s="15"/>
      <c r="B731" s="15"/>
      <c r="C731" s="15"/>
      <c r="D731" s="15"/>
      <c r="E731" s="6"/>
      <c r="F731" s="6"/>
      <c r="G731" s="6"/>
      <c r="K731" s="222"/>
      <c r="V731" s="1430"/>
      <c r="AA731" s="223"/>
      <c r="AC731" s="889"/>
      <c r="AF731" s="890"/>
      <c r="AJ731" s="889"/>
      <c r="AN731" s="222"/>
      <c r="BC731" s="223"/>
      <c r="BD731" s="222"/>
      <c r="BH731" s="611"/>
      <c r="BJ731" s="15"/>
      <c r="BK731" s="15"/>
      <c r="BO731" s="223"/>
      <c r="BQ731" s="889"/>
      <c r="BT731" s="890"/>
      <c r="BX731" s="889"/>
      <c r="CB731" s="15"/>
      <c r="CC731" s="697"/>
      <c r="CD731" s="1086"/>
      <c r="CE731" s="15"/>
      <c r="CF731" s="15"/>
      <c r="CG731" s="936"/>
      <c r="CH731" s="15"/>
      <c r="CI731" s="15"/>
      <c r="CJ731" s="15"/>
      <c r="CK731" s="1107"/>
      <c r="CL731" s="22"/>
      <c r="CM731" s="22"/>
      <c r="CN731" s="1107"/>
      <c r="CR731" s="223"/>
      <c r="CS731" s="952"/>
      <c r="CT731" s="1066"/>
      <c r="CU731" s="972"/>
      <c r="CV731" s="983"/>
      <c r="CW731" s="222"/>
      <c r="CX731" s="697"/>
      <c r="DC731" s="222"/>
      <c r="DJ731" s="889"/>
      <c r="DM731" s="890"/>
      <c r="DN731" s="952"/>
      <c r="DO731" s="75"/>
      <c r="DP731" s="962"/>
      <c r="DQ731" s="983"/>
      <c r="DV731" s="889"/>
    </row>
    <row r="732" spans="1:126" s="74" customFormat="1">
      <c r="A732" s="15"/>
      <c r="B732" s="15"/>
      <c r="C732" s="15"/>
      <c r="D732" s="15"/>
      <c r="E732" s="6"/>
      <c r="F732" s="6"/>
      <c r="G732" s="6"/>
      <c r="K732" s="222"/>
      <c r="V732" s="1430"/>
      <c r="AA732" s="223"/>
      <c r="AC732" s="889"/>
      <c r="AF732" s="890"/>
      <c r="AJ732" s="889"/>
      <c r="AN732" s="222"/>
      <c r="BC732" s="223"/>
      <c r="BD732" s="222"/>
      <c r="BH732" s="611"/>
      <c r="BJ732" s="15"/>
      <c r="BK732" s="15"/>
      <c r="BO732" s="223"/>
      <c r="BQ732" s="889"/>
      <c r="BT732" s="890"/>
      <c r="BX732" s="889"/>
      <c r="CB732" s="15"/>
      <c r="CC732" s="697"/>
      <c r="CD732" s="1086"/>
      <c r="CE732" s="15"/>
      <c r="CF732" s="15"/>
      <c r="CG732" s="936"/>
      <c r="CH732" s="15"/>
      <c r="CI732" s="15"/>
      <c r="CJ732" s="15"/>
      <c r="CK732" s="1107"/>
      <c r="CL732" s="22"/>
      <c r="CM732" s="22"/>
      <c r="CN732" s="1107"/>
      <c r="CR732" s="223"/>
      <c r="CS732" s="952"/>
      <c r="CT732" s="1066"/>
      <c r="CU732" s="972"/>
      <c r="CV732" s="983"/>
      <c r="CW732" s="222"/>
      <c r="CX732" s="697"/>
      <c r="DC732" s="222"/>
      <c r="DJ732" s="889"/>
      <c r="DM732" s="890"/>
      <c r="DN732" s="952"/>
      <c r="DO732" s="75"/>
      <c r="DP732" s="962"/>
      <c r="DQ732" s="983"/>
      <c r="DV732" s="889"/>
    </row>
    <row r="733" spans="1:126" s="74" customFormat="1">
      <c r="A733" s="15"/>
      <c r="B733" s="15"/>
      <c r="C733" s="15"/>
      <c r="D733" s="15"/>
      <c r="E733" s="6"/>
      <c r="F733" s="6"/>
      <c r="G733" s="6"/>
      <c r="K733" s="222"/>
      <c r="V733" s="1430"/>
      <c r="AA733" s="223"/>
      <c r="AC733" s="889"/>
      <c r="AF733" s="890"/>
      <c r="AJ733" s="889"/>
      <c r="AN733" s="222"/>
      <c r="BC733" s="223"/>
      <c r="BD733" s="222"/>
      <c r="BH733" s="611"/>
      <c r="BJ733" s="15"/>
      <c r="BK733" s="15"/>
      <c r="BO733" s="223"/>
      <c r="BQ733" s="889"/>
      <c r="BT733" s="890"/>
      <c r="BX733" s="889"/>
      <c r="CB733" s="15"/>
      <c r="CC733" s="697"/>
      <c r="CD733" s="1086"/>
      <c r="CE733" s="15"/>
      <c r="CF733" s="15"/>
      <c r="CG733" s="936"/>
      <c r="CH733" s="15"/>
      <c r="CI733" s="15"/>
      <c r="CJ733" s="15"/>
      <c r="CK733" s="1107"/>
      <c r="CL733" s="22"/>
      <c r="CM733" s="22"/>
      <c r="CN733" s="1107"/>
      <c r="CR733" s="223"/>
      <c r="CS733" s="952"/>
      <c r="CT733" s="1066"/>
      <c r="CU733" s="972"/>
      <c r="CV733" s="983"/>
      <c r="CW733" s="222"/>
      <c r="CX733" s="697"/>
      <c r="DC733" s="222"/>
      <c r="DJ733" s="889"/>
      <c r="DM733" s="890"/>
      <c r="DN733" s="952"/>
      <c r="DO733" s="75"/>
      <c r="DP733" s="962"/>
      <c r="DQ733" s="983"/>
      <c r="DV733" s="889"/>
    </row>
    <row r="734" spans="1:126" s="74" customFormat="1">
      <c r="A734" s="15"/>
      <c r="B734" s="15"/>
      <c r="C734" s="15"/>
      <c r="D734" s="15"/>
      <c r="E734" s="6"/>
      <c r="F734" s="6"/>
      <c r="G734" s="6"/>
      <c r="K734" s="222"/>
      <c r="V734" s="1430"/>
      <c r="AA734" s="223"/>
      <c r="AC734" s="889"/>
      <c r="AF734" s="890"/>
      <c r="AJ734" s="889"/>
      <c r="AN734" s="222"/>
      <c r="BC734" s="223"/>
      <c r="BD734" s="222"/>
      <c r="BH734" s="611"/>
      <c r="BJ734" s="15"/>
      <c r="BK734" s="15"/>
      <c r="BO734" s="223"/>
      <c r="BQ734" s="889"/>
      <c r="BT734" s="890"/>
      <c r="BX734" s="889"/>
      <c r="CB734" s="15"/>
      <c r="CC734" s="697"/>
      <c r="CD734" s="1086"/>
      <c r="CE734" s="15"/>
      <c r="CF734" s="15"/>
      <c r="CG734" s="936"/>
      <c r="CH734" s="15"/>
      <c r="CI734" s="15"/>
      <c r="CJ734" s="15"/>
      <c r="CK734" s="1107"/>
      <c r="CL734" s="22"/>
      <c r="CM734" s="22"/>
      <c r="CN734" s="1107"/>
      <c r="CR734" s="223"/>
      <c r="CS734" s="952"/>
      <c r="CT734" s="1066"/>
      <c r="CU734" s="972"/>
      <c r="CV734" s="983"/>
      <c r="CW734" s="222"/>
      <c r="CX734" s="697"/>
      <c r="DC734" s="222"/>
      <c r="DJ734" s="889"/>
      <c r="DM734" s="890"/>
      <c r="DN734" s="952"/>
      <c r="DO734" s="75"/>
      <c r="DP734" s="962"/>
      <c r="DQ734" s="983"/>
      <c r="DV734" s="889"/>
    </row>
    <row r="735" spans="1:126" s="74" customFormat="1">
      <c r="A735" s="15"/>
      <c r="B735" s="15"/>
      <c r="C735" s="15"/>
      <c r="D735" s="15"/>
      <c r="E735" s="6"/>
      <c r="F735" s="6"/>
      <c r="G735" s="6"/>
      <c r="K735" s="222"/>
      <c r="V735" s="1430"/>
      <c r="AA735" s="223"/>
      <c r="AC735" s="889"/>
      <c r="AF735" s="890"/>
      <c r="AJ735" s="889"/>
      <c r="AN735" s="222"/>
      <c r="BC735" s="223"/>
      <c r="BD735" s="222"/>
      <c r="BH735" s="611"/>
      <c r="BJ735" s="15"/>
      <c r="BK735" s="15"/>
      <c r="BO735" s="223"/>
      <c r="BQ735" s="889"/>
      <c r="BT735" s="890"/>
      <c r="BX735" s="889"/>
      <c r="CB735" s="15"/>
      <c r="CC735" s="697"/>
      <c r="CD735" s="1086"/>
      <c r="CE735" s="15"/>
      <c r="CF735" s="15"/>
      <c r="CG735" s="936"/>
      <c r="CH735" s="15"/>
      <c r="CI735" s="15"/>
      <c r="CJ735" s="15"/>
      <c r="CK735" s="1107"/>
      <c r="CL735" s="22"/>
      <c r="CM735" s="22"/>
      <c r="CN735" s="1107"/>
      <c r="CR735" s="223"/>
      <c r="CS735" s="952"/>
      <c r="CT735" s="1066"/>
      <c r="CU735" s="972"/>
      <c r="CV735" s="983"/>
      <c r="CW735" s="222"/>
      <c r="CX735" s="697"/>
      <c r="DC735" s="222"/>
      <c r="DJ735" s="889"/>
      <c r="DM735" s="890"/>
      <c r="DN735" s="952"/>
      <c r="DO735" s="75"/>
      <c r="DP735" s="962"/>
      <c r="DQ735" s="983"/>
      <c r="DV735" s="889"/>
    </row>
    <row r="736" spans="1:126" s="74" customFormat="1">
      <c r="A736" s="15"/>
      <c r="B736" s="15"/>
      <c r="C736" s="15"/>
      <c r="D736" s="15"/>
      <c r="E736" s="6"/>
      <c r="F736" s="6"/>
      <c r="G736" s="6"/>
      <c r="K736" s="222"/>
      <c r="V736" s="1430"/>
      <c r="AA736" s="223"/>
      <c r="AC736" s="889"/>
      <c r="AF736" s="890"/>
      <c r="AJ736" s="889"/>
      <c r="AN736" s="222"/>
      <c r="BC736" s="223"/>
      <c r="BD736" s="222"/>
      <c r="BH736" s="611"/>
      <c r="BJ736" s="15"/>
      <c r="BK736" s="15"/>
      <c r="BO736" s="223"/>
      <c r="BQ736" s="889"/>
      <c r="BT736" s="890"/>
      <c r="BX736" s="889"/>
      <c r="CB736" s="15"/>
      <c r="CC736" s="697"/>
      <c r="CD736" s="1086"/>
      <c r="CE736" s="15"/>
      <c r="CF736" s="15"/>
      <c r="CG736" s="936"/>
      <c r="CH736" s="15"/>
      <c r="CI736" s="15"/>
      <c r="CJ736" s="15"/>
      <c r="CK736" s="1107"/>
      <c r="CL736" s="22"/>
      <c r="CM736" s="22"/>
      <c r="CN736" s="1107"/>
      <c r="CR736" s="223"/>
      <c r="CS736" s="952"/>
      <c r="CT736" s="1066"/>
      <c r="CU736" s="972"/>
      <c r="CV736" s="983"/>
      <c r="CW736" s="222"/>
      <c r="CX736" s="697"/>
      <c r="DC736" s="222"/>
      <c r="DJ736" s="889"/>
      <c r="DM736" s="890"/>
      <c r="DN736" s="952"/>
      <c r="DO736" s="75"/>
      <c r="DP736" s="962"/>
      <c r="DQ736" s="983"/>
      <c r="DV736" s="889"/>
    </row>
    <row r="737" spans="1:126" s="74" customFormat="1">
      <c r="A737" s="15"/>
      <c r="B737" s="15"/>
      <c r="C737" s="15"/>
      <c r="D737" s="15"/>
      <c r="E737" s="6"/>
      <c r="F737" s="6"/>
      <c r="G737" s="6"/>
      <c r="K737" s="222"/>
      <c r="V737" s="1430"/>
      <c r="AA737" s="223"/>
      <c r="AC737" s="889"/>
      <c r="AF737" s="890"/>
      <c r="AJ737" s="889"/>
      <c r="AN737" s="222"/>
      <c r="BC737" s="223"/>
      <c r="BD737" s="222"/>
      <c r="BH737" s="611"/>
      <c r="BJ737" s="15"/>
      <c r="BK737" s="15"/>
      <c r="BO737" s="223"/>
      <c r="BQ737" s="889"/>
      <c r="BT737" s="890"/>
      <c r="BX737" s="889"/>
      <c r="CB737" s="15"/>
      <c r="CC737" s="697"/>
      <c r="CD737" s="1086"/>
      <c r="CE737" s="15"/>
      <c r="CF737" s="15"/>
      <c r="CG737" s="936"/>
      <c r="CH737" s="15"/>
      <c r="CI737" s="15"/>
      <c r="CJ737" s="15"/>
      <c r="CK737" s="1107"/>
      <c r="CL737" s="22"/>
      <c r="CM737" s="22"/>
      <c r="CN737" s="1107"/>
      <c r="CR737" s="223"/>
      <c r="CS737" s="952"/>
      <c r="CT737" s="1066"/>
      <c r="CU737" s="972"/>
      <c r="CV737" s="983"/>
      <c r="CW737" s="222"/>
      <c r="CX737" s="697"/>
      <c r="DC737" s="222"/>
      <c r="DJ737" s="889"/>
      <c r="DM737" s="890"/>
      <c r="DN737" s="952"/>
      <c r="DO737" s="75"/>
      <c r="DP737" s="962"/>
      <c r="DQ737" s="983"/>
      <c r="DV737" s="889"/>
    </row>
    <row r="738" spans="1:126" s="74" customFormat="1">
      <c r="A738" s="15"/>
      <c r="B738" s="15"/>
      <c r="C738" s="15"/>
      <c r="D738" s="15"/>
      <c r="E738" s="6"/>
      <c r="F738" s="6"/>
      <c r="G738" s="6"/>
      <c r="K738" s="222"/>
      <c r="V738" s="1430"/>
      <c r="AA738" s="223"/>
      <c r="AC738" s="889"/>
      <c r="AF738" s="890"/>
      <c r="AJ738" s="889"/>
      <c r="AN738" s="222"/>
      <c r="BC738" s="223"/>
      <c r="BD738" s="222"/>
      <c r="BH738" s="611"/>
      <c r="BJ738" s="15"/>
      <c r="BK738" s="15"/>
      <c r="BO738" s="223"/>
      <c r="BQ738" s="889"/>
      <c r="BT738" s="890"/>
      <c r="BX738" s="889"/>
      <c r="CB738" s="15"/>
      <c r="CC738" s="697"/>
      <c r="CD738" s="1086"/>
      <c r="CE738" s="15"/>
      <c r="CF738" s="15"/>
      <c r="CG738" s="936"/>
      <c r="CH738" s="15"/>
      <c r="CI738" s="15"/>
      <c r="CJ738" s="15"/>
      <c r="CK738" s="1107"/>
      <c r="CL738" s="22"/>
      <c r="CM738" s="22"/>
      <c r="CN738" s="1107"/>
      <c r="CR738" s="223"/>
      <c r="CS738" s="952"/>
      <c r="CT738" s="1066"/>
      <c r="CU738" s="972"/>
      <c r="CV738" s="983"/>
      <c r="CW738" s="222"/>
      <c r="CX738" s="697"/>
      <c r="DC738" s="222"/>
      <c r="DJ738" s="889"/>
      <c r="DM738" s="890"/>
      <c r="DN738" s="952"/>
      <c r="DO738" s="75"/>
      <c r="DP738" s="962"/>
      <c r="DQ738" s="983"/>
      <c r="DV738" s="889"/>
    </row>
    <row r="739" spans="1:126" s="74" customFormat="1">
      <c r="A739" s="15"/>
      <c r="B739" s="15"/>
      <c r="C739" s="15"/>
      <c r="D739" s="15"/>
      <c r="E739" s="6"/>
      <c r="F739" s="6"/>
      <c r="G739" s="6"/>
      <c r="K739" s="222"/>
      <c r="V739" s="1430"/>
      <c r="AA739" s="223"/>
      <c r="AC739" s="889"/>
      <c r="AF739" s="890"/>
      <c r="AJ739" s="889"/>
      <c r="AN739" s="222"/>
      <c r="BC739" s="223"/>
      <c r="BD739" s="222"/>
      <c r="BH739" s="611"/>
      <c r="BJ739" s="15"/>
      <c r="BK739" s="15"/>
      <c r="BO739" s="223"/>
      <c r="BQ739" s="889"/>
      <c r="BT739" s="890"/>
      <c r="BX739" s="889"/>
      <c r="CB739" s="15"/>
      <c r="CC739" s="697"/>
      <c r="CD739" s="1086"/>
      <c r="CE739" s="15"/>
      <c r="CF739" s="15"/>
      <c r="CG739" s="936"/>
      <c r="CH739" s="15"/>
      <c r="CI739" s="15"/>
      <c r="CJ739" s="15"/>
      <c r="CK739" s="1107"/>
      <c r="CL739" s="22"/>
      <c r="CM739" s="22"/>
      <c r="CN739" s="1107"/>
      <c r="CR739" s="223"/>
      <c r="CS739" s="952"/>
      <c r="CT739" s="1066"/>
      <c r="CU739" s="972"/>
      <c r="CV739" s="983"/>
      <c r="CW739" s="222"/>
      <c r="CX739" s="697"/>
      <c r="DC739" s="222"/>
      <c r="DJ739" s="889"/>
      <c r="DM739" s="890"/>
      <c r="DN739" s="952"/>
      <c r="DO739" s="75"/>
      <c r="DP739" s="962"/>
      <c r="DQ739" s="983"/>
      <c r="DV739" s="889"/>
    </row>
    <row r="740" spans="1:126" s="74" customFormat="1">
      <c r="A740" s="15"/>
      <c r="B740" s="15"/>
      <c r="C740" s="15"/>
      <c r="D740" s="15"/>
      <c r="E740" s="6"/>
      <c r="F740" s="6"/>
      <c r="G740" s="6"/>
      <c r="K740" s="222"/>
      <c r="V740" s="1430"/>
      <c r="AA740" s="223"/>
      <c r="AC740" s="889"/>
      <c r="AF740" s="890"/>
      <c r="AJ740" s="889"/>
      <c r="AN740" s="222"/>
      <c r="BC740" s="223"/>
      <c r="BD740" s="222"/>
      <c r="BH740" s="611"/>
      <c r="BJ740" s="15"/>
      <c r="BK740" s="15"/>
      <c r="BO740" s="223"/>
      <c r="BQ740" s="889"/>
      <c r="BT740" s="890"/>
      <c r="BX740" s="889"/>
      <c r="CB740" s="15"/>
      <c r="CC740" s="697"/>
      <c r="CD740" s="1086"/>
      <c r="CE740" s="15"/>
      <c r="CF740" s="15"/>
      <c r="CG740" s="936"/>
      <c r="CH740" s="15"/>
      <c r="CI740" s="15"/>
      <c r="CJ740" s="15"/>
      <c r="CK740" s="1107"/>
      <c r="CL740" s="22"/>
      <c r="CM740" s="22"/>
      <c r="CN740" s="1107"/>
      <c r="CR740" s="223"/>
      <c r="CS740" s="952"/>
      <c r="CT740" s="1066"/>
      <c r="CU740" s="972"/>
      <c r="CV740" s="983"/>
      <c r="CW740" s="222"/>
      <c r="CX740" s="697"/>
      <c r="DC740" s="222"/>
      <c r="DJ740" s="889"/>
      <c r="DM740" s="890"/>
      <c r="DN740" s="952"/>
      <c r="DO740" s="75"/>
      <c r="DP740" s="962"/>
      <c r="DQ740" s="983"/>
      <c r="DV740" s="889"/>
    </row>
    <row r="741" spans="1:126" s="74" customFormat="1">
      <c r="A741" s="15"/>
      <c r="B741" s="15"/>
      <c r="C741" s="15"/>
      <c r="D741" s="15"/>
      <c r="E741" s="6"/>
      <c r="F741" s="6"/>
      <c r="G741" s="6"/>
      <c r="K741" s="222"/>
      <c r="V741" s="1430"/>
      <c r="AA741" s="223"/>
      <c r="AC741" s="889"/>
      <c r="AF741" s="890"/>
      <c r="AJ741" s="889"/>
      <c r="AN741" s="222"/>
      <c r="BC741" s="223"/>
      <c r="BD741" s="222"/>
      <c r="BH741" s="611"/>
      <c r="BJ741" s="15"/>
      <c r="BK741" s="15"/>
      <c r="BO741" s="223"/>
      <c r="BQ741" s="889"/>
      <c r="BT741" s="890"/>
      <c r="BX741" s="889"/>
      <c r="CB741" s="15"/>
      <c r="CC741" s="697"/>
      <c r="CD741" s="1086"/>
      <c r="CE741" s="15"/>
      <c r="CF741" s="15"/>
      <c r="CG741" s="936"/>
      <c r="CH741" s="15"/>
      <c r="CI741" s="15"/>
      <c r="CJ741" s="15"/>
      <c r="CK741" s="1107"/>
      <c r="CL741" s="22"/>
      <c r="CM741" s="22"/>
      <c r="CN741" s="1107"/>
      <c r="CR741" s="223"/>
      <c r="CS741" s="952"/>
      <c r="CT741" s="1066"/>
      <c r="CU741" s="972"/>
      <c r="CV741" s="983"/>
      <c r="CW741" s="222"/>
      <c r="CX741" s="697"/>
      <c r="DC741" s="222"/>
      <c r="DJ741" s="889"/>
      <c r="DM741" s="890"/>
      <c r="DN741" s="952"/>
      <c r="DO741" s="75"/>
      <c r="DP741" s="962"/>
      <c r="DQ741" s="983"/>
      <c r="DV741" s="889"/>
    </row>
    <row r="742" spans="1:126" s="74" customFormat="1">
      <c r="A742" s="15"/>
      <c r="B742" s="15"/>
      <c r="C742" s="15"/>
      <c r="D742" s="15"/>
      <c r="E742" s="6"/>
      <c r="F742" s="6"/>
      <c r="G742" s="6"/>
      <c r="K742" s="222"/>
      <c r="V742" s="1430"/>
      <c r="AA742" s="223"/>
      <c r="AC742" s="889"/>
      <c r="AF742" s="890"/>
      <c r="AJ742" s="889"/>
      <c r="AN742" s="222"/>
      <c r="BC742" s="223"/>
      <c r="BD742" s="222"/>
      <c r="BH742" s="611"/>
      <c r="BJ742" s="15"/>
      <c r="BK742" s="15"/>
      <c r="BO742" s="223"/>
      <c r="BQ742" s="889"/>
      <c r="BT742" s="890"/>
      <c r="BX742" s="889"/>
      <c r="CB742" s="15"/>
      <c r="CC742" s="697"/>
      <c r="CD742" s="1086"/>
      <c r="CE742" s="15"/>
      <c r="CF742" s="15"/>
      <c r="CG742" s="936"/>
      <c r="CH742" s="15"/>
      <c r="CI742" s="15"/>
      <c r="CJ742" s="15"/>
      <c r="CK742" s="1107"/>
      <c r="CL742" s="22"/>
      <c r="CM742" s="22"/>
      <c r="CN742" s="1107"/>
      <c r="CR742" s="223"/>
      <c r="CS742" s="952"/>
      <c r="CT742" s="1066"/>
      <c r="CU742" s="972"/>
      <c r="CV742" s="983"/>
      <c r="CW742" s="222"/>
      <c r="CX742" s="697"/>
      <c r="DC742" s="222"/>
      <c r="DJ742" s="889"/>
      <c r="DM742" s="890"/>
      <c r="DN742" s="952"/>
      <c r="DO742" s="75"/>
      <c r="DP742" s="962"/>
      <c r="DQ742" s="983"/>
      <c r="DV742" s="889"/>
    </row>
    <row r="743" spans="1:126" s="74" customFormat="1">
      <c r="A743" s="15"/>
      <c r="B743" s="15"/>
      <c r="C743" s="15"/>
      <c r="D743" s="15"/>
      <c r="E743" s="6"/>
      <c r="F743" s="6"/>
      <c r="G743" s="6"/>
      <c r="K743" s="222"/>
      <c r="V743" s="1430"/>
      <c r="AA743" s="223"/>
      <c r="AC743" s="889"/>
      <c r="AF743" s="890"/>
      <c r="AJ743" s="889"/>
      <c r="AN743" s="222"/>
      <c r="BC743" s="223"/>
      <c r="BD743" s="222"/>
      <c r="BH743" s="611"/>
      <c r="BJ743" s="15"/>
      <c r="BK743" s="15"/>
      <c r="BO743" s="223"/>
      <c r="BQ743" s="889"/>
      <c r="BT743" s="890"/>
      <c r="BX743" s="889"/>
      <c r="CB743" s="15"/>
      <c r="CC743" s="697"/>
      <c r="CD743" s="1086"/>
      <c r="CE743" s="15"/>
      <c r="CF743" s="15"/>
      <c r="CG743" s="936"/>
      <c r="CH743" s="15"/>
      <c r="CI743" s="15"/>
      <c r="CJ743" s="15"/>
      <c r="CK743" s="1107"/>
      <c r="CL743" s="22"/>
      <c r="CM743" s="22"/>
      <c r="CN743" s="1107"/>
      <c r="CR743" s="223"/>
      <c r="CS743" s="952"/>
      <c r="CT743" s="1066"/>
      <c r="CU743" s="972"/>
      <c r="CV743" s="983"/>
      <c r="CW743" s="222"/>
      <c r="CX743" s="697"/>
      <c r="DC743" s="222"/>
      <c r="DJ743" s="889"/>
      <c r="DM743" s="890"/>
      <c r="DN743" s="952"/>
      <c r="DO743" s="75"/>
      <c r="DP743" s="962"/>
      <c r="DQ743" s="983"/>
      <c r="DV743" s="889"/>
    </row>
    <row r="744" spans="1:126" s="74" customFormat="1">
      <c r="A744" s="15"/>
      <c r="B744" s="15"/>
      <c r="C744" s="15"/>
      <c r="D744" s="15"/>
      <c r="E744" s="6"/>
      <c r="F744" s="6"/>
      <c r="G744" s="6"/>
      <c r="K744" s="222"/>
      <c r="V744" s="1430"/>
      <c r="AA744" s="223"/>
      <c r="AC744" s="889"/>
      <c r="AF744" s="890"/>
      <c r="AJ744" s="889"/>
      <c r="AN744" s="222"/>
      <c r="BC744" s="223"/>
      <c r="BD744" s="222"/>
      <c r="BH744" s="611"/>
      <c r="BJ744" s="15"/>
      <c r="BK744" s="15"/>
      <c r="BO744" s="223"/>
      <c r="BQ744" s="889"/>
      <c r="BT744" s="890"/>
      <c r="BX744" s="889"/>
      <c r="CB744" s="15"/>
      <c r="CC744" s="697"/>
      <c r="CD744" s="1086"/>
      <c r="CE744" s="15"/>
      <c r="CF744" s="15"/>
      <c r="CG744" s="936"/>
      <c r="CH744" s="15"/>
      <c r="CI744" s="15"/>
      <c r="CJ744" s="15"/>
      <c r="CK744" s="1107"/>
      <c r="CL744" s="22"/>
      <c r="CM744" s="22"/>
      <c r="CN744" s="1107"/>
      <c r="CR744" s="223"/>
      <c r="CS744" s="952"/>
      <c r="CT744" s="1066"/>
      <c r="CU744" s="972"/>
      <c r="CV744" s="983"/>
      <c r="CW744" s="222"/>
      <c r="CX744" s="697"/>
      <c r="DC744" s="222"/>
      <c r="DJ744" s="889"/>
      <c r="DM744" s="890"/>
      <c r="DN744" s="952"/>
      <c r="DO744" s="75"/>
      <c r="DP744" s="962"/>
      <c r="DQ744" s="983"/>
      <c r="DV744" s="889"/>
    </row>
    <row r="745" spans="1:126" s="74" customFormat="1">
      <c r="A745" s="15"/>
      <c r="B745" s="15"/>
      <c r="C745" s="15"/>
      <c r="D745" s="15"/>
      <c r="E745" s="6"/>
      <c r="F745" s="6"/>
      <c r="G745" s="6"/>
      <c r="K745" s="222"/>
      <c r="V745" s="1430"/>
      <c r="AA745" s="223"/>
      <c r="AC745" s="889"/>
      <c r="AF745" s="890"/>
      <c r="AJ745" s="889"/>
      <c r="AN745" s="222"/>
      <c r="BC745" s="223"/>
      <c r="BD745" s="222"/>
      <c r="BH745" s="611"/>
      <c r="BJ745" s="15"/>
      <c r="BK745" s="15"/>
      <c r="BO745" s="223"/>
      <c r="BQ745" s="889"/>
      <c r="BT745" s="890"/>
      <c r="BX745" s="889"/>
      <c r="CB745" s="15"/>
      <c r="CC745" s="697"/>
      <c r="CD745" s="1086"/>
      <c r="CE745" s="15"/>
      <c r="CF745" s="15"/>
      <c r="CG745" s="936"/>
      <c r="CH745" s="15"/>
      <c r="CI745" s="15"/>
      <c r="CJ745" s="15"/>
      <c r="CK745" s="1107"/>
      <c r="CL745" s="22"/>
      <c r="CM745" s="22"/>
      <c r="CN745" s="1107"/>
      <c r="CR745" s="223"/>
      <c r="CS745" s="952"/>
      <c r="CT745" s="1066"/>
      <c r="CU745" s="972"/>
      <c r="CV745" s="983"/>
      <c r="CW745" s="222"/>
      <c r="CX745" s="697"/>
      <c r="DC745" s="222"/>
      <c r="DJ745" s="889"/>
      <c r="DM745" s="890"/>
      <c r="DN745" s="952"/>
      <c r="DO745" s="75"/>
      <c r="DP745" s="962"/>
      <c r="DQ745" s="983"/>
      <c r="DV745" s="889"/>
    </row>
    <row r="746" spans="1:126" s="74" customFormat="1">
      <c r="A746" s="15"/>
      <c r="B746" s="15"/>
      <c r="C746" s="15"/>
      <c r="D746" s="15"/>
      <c r="E746" s="6"/>
      <c r="F746" s="6"/>
      <c r="G746" s="6"/>
      <c r="K746" s="222"/>
      <c r="V746" s="1430"/>
      <c r="AA746" s="223"/>
      <c r="AC746" s="889"/>
      <c r="AF746" s="890"/>
      <c r="AJ746" s="889"/>
      <c r="AN746" s="222"/>
      <c r="BC746" s="223"/>
      <c r="BD746" s="222"/>
      <c r="BH746" s="611"/>
      <c r="BJ746" s="15"/>
      <c r="BK746" s="15"/>
      <c r="BO746" s="223"/>
      <c r="BQ746" s="889"/>
      <c r="BT746" s="890"/>
      <c r="BX746" s="889"/>
      <c r="CB746" s="15"/>
      <c r="CC746" s="697"/>
      <c r="CD746" s="1086"/>
      <c r="CE746" s="15"/>
      <c r="CF746" s="15"/>
      <c r="CG746" s="936"/>
      <c r="CH746" s="15"/>
      <c r="CI746" s="15"/>
      <c r="CJ746" s="15"/>
      <c r="CK746" s="1107"/>
      <c r="CL746" s="22"/>
      <c r="CM746" s="22"/>
      <c r="CN746" s="1107"/>
      <c r="CR746" s="223"/>
      <c r="CS746" s="952"/>
      <c r="CT746" s="1066"/>
      <c r="CU746" s="972"/>
      <c r="CV746" s="983"/>
      <c r="CW746" s="222"/>
      <c r="CX746" s="697"/>
      <c r="DC746" s="222"/>
      <c r="DJ746" s="889"/>
      <c r="DM746" s="890"/>
      <c r="DN746" s="952"/>
      <c r="DO746" s="75"/>
      <c r="DP746" s="962"/>
      <c r="DQ746" s="983"/>
      <c r="DV746" s="889"/>
    </row>
    <row r="747" spans="1:126" s="74" customFormat="1">
      <c r="A747" s="15"/>
      <c r="B747" s="15"/>
      <c r="C747" s="15"/>
      <c r="D747" s="15"/>
      <c r="E747" s="6"/>
      <c r="F747" s="6"/>
      <c r="G747" s="6"/>
      <c r="K747" s="222"/>
      <c r="V747" s="1430"/>
      <c r="AA747" s="223"/>
      <c r="AC747" s="889"/>
      <c r="AF747" s="890"/>
      <c r="AJ747" s="889"/>
      <c r="AN747" s="222"/>
      <c r="BC747" s="223"/>
      <c r="BD747" s="222"/>
      <c r="BH747" s="611"/>
      <c r="BJ747" s="15"/>
      <c r="BK747" s="15"/>
      <c r="BO747" s="223"/>
      <c r="BQ747" s="889"/>
      <c r="BT747" s="890"/>
      <c r="BX747" s="889"/>
      <c r="CB747" s="15"/>
      <c r="CC747" s="697"/>
      <c r="CD747" s="1086"/>
      <c r="CE747" s="15"/>
      <c r="CF747" s="15"/>
      <c r="CG747" s="936"/>
      <c r="CH747" s="15"/>
      <c r="CI747" s="15"/>
      <c r="CJ747" s="15"/>
      <c r="CK747" s="1107"/>
      <c r="CL747" s="22"/>
      <c r="CM747" s="22"/>
      <c r="CN747" s="1107"/>
      <c r="CR747" s="223"/>
      <c r="CS747" s="952"/>
      <c r="CT747" s="1066"/>
      <c r="CU747" s="972"/>
      <c r="CV747" s="983"/>
      <c r="CW747" s="222"/>
      <c r="CX747" s="697"/>
      <c r="DC747" s="222"/>
      <c r="DJ747" s="889"/>
      <c r="DM747" s="890"/>
      <c r="DN747" s="952"/>
      <c r="DO747" s="75"/>
      <c r="DP747" s="962"/>
      <c r="DQ747" s="983"/>
      <c r="DV747" s="889"/>
    </row>
    <row r="748" spans="1:126" s="74" customFormat="1">
      <c r="A748" s="15"/>
      <c r="B748" s="15"/>
      <c r="C748" s="15"/>
      <c r="D748" s="15"/>
      <c r="E748" s="6"/>
      <c r="F748" s="6"/>
      <c r="G748" s="6"/>
      <c r="K748" s="222"/>
      <c r="V748" s="1430"/>
      <c r="AA748" s="223"/>
      <c r="AC748" s="889"/>
      <c r="AF748" s="890"/>
      <c r="AJ748" s="889"/>
      <c r="AN748" s="222"/>
      <c r="BC748" s="223"/>
      <c r="BD748" s="222"/>
      <c r="BH748" s="611"/>
      <c r="BJ748" s="15"/>
      <c r="BK748" s="15"/>
      <c r="BO748" s="223"/>
      <c r="BQ748" s="889"/>
      <c r="BT748" s="890"/>
      <c r="BX748" s="889"/>
      <c r="CB748" s="15"/>
      <c r="CC748" s="697"/>
      <c r="CD748" s="1086"/>
      <c r="CE748" s="15"/>
      <c r="CF748" s="15"/>
      <c r="CG748" s="936"/>
      <c r="CH748" s="15"/>
      <c r="CI748" s="15"/>
      <c r="CJ748" s="15"/>
      <c r="CK748" s="1107"/>
      <c r="CL748" s="22"/>
      <c r="CM748" s="22"/>
      <c r="CN748" s="1107"/>
      <c r="CR748" s="223"/>
      <c r="CS748" s="952"/>
      <c r="CT748" s="1066"/>
      <c r="CU748" s="972"/>
      <c r="CV748" s="983"/>
      <c r="CW748" s="222"/>
      <c r="CX748" s="697"/>
      <c r="DC748" s="222"/>
      <c r="DJ748" s="889"/>
      <c r="DM748" s="890"/>
      <c r="DN748" s="952"/>
      <c r="DO748" s="75"/>
      <c r="DP748" s="962"/>
      <c r="DQ748" s="983"/>
      <c r="DV748" s="889"/>
    </row>
    <row r="749" spans="1:126" s="74" customFormat="1">
      <c r="A749" s="15"/>
      <c r="B749" s="15"/>
      <c r="C749" s="15"/>
      <c r="D749" s="15"/>
      <c r="E749" s="6"/>
      <c r="F749" s="6"/>
      <c r="G749" s="6"/>
      <c r="K749" s="222"/>
      <c r="V749" s="1430"/>
      <c r="AA749" s="223"/>
      <c r="AC749" s="889"/>
      <c r="AF749" s="890"/>
      <c r="AJ749" s="889"/>
      <c r="AN749" s="222"/>
      <c r="BC749" s="223"/>
      <c r="BD749" s="222"/>
      <c r="BH749" s="611"/>
      <c r="BJ749" s="15"/>
      <c r="BK749" s="15"/>
      <c r="BO749" s="223"/>
      <c r="BQ749" s="889"/>
      <c r="BT749" s="890"/>
      <c r="BX749" s="889"/>
      <c r="CB749" s="15"/>
      <c r="CC749" s="697"/>
      <c r="CD749" s="1086"/>
      <c r="CE749" s="15"/>
      <c r="CF749" s="15"/>
      <c r="CG749" s="936"/>
      <c r="CH749" s="15"/>
      <c r="CI749" s="15"/>
      <c r="CJ749" s="15"/>
      <c r="CK749" s="1107"/>
      <c r="CL749" s="22"/>
      <c r="CM749" s="22"/>
      <c r="CN749" s="1107"/>
      <c r="CR749" s="223"/>
      <c r="CS749" s="952"/>
      <c r="CT749" s="1066"/>
      <c r="CU749" s="972"/>
      <c r="CV749" s="983"/>
      <c r="CW749" s="222"/>
      <c r="CX749" s="697"/>
      <c r="DC749" s="222"/>
      <c r="DJ749" s="889"/>
      <c r="DM749" s="890"/>
      <c r="DN749" s="952"/>
      <c r="DO749" s="75"/>
      <c r="DP749" s="962"/>
      <c r="DQ749" s="983"/>
      <c r="DV749" s="889"/>
    </row>
    <row r="750" spans="1:126" s="74" customFormat="1">
      <c r="A750" s="15"/>
      <c r="B750" s="15"/>
      <c r="C750" s="15"/>
      <c r="D750" s="15"/>
      <c r="E750" s="6"/>
      <c r="F750" s="6"/>
      <c r="G750" s="6"/>
      <c r="K750" s="222"/>
      <c r="V750" s="1430"/>
      <c r="AA750" s="223"/>
      <c r="AC750" s="889"/>
      <c r="AF750" s="890"/>
      <c r="AJ750" s="889"/>
      <c r="AN750" s="222"/>
      <c r="BC750" s="223"/>
      <c r="BD750" s="222"/>
      <c r="BH750" s="611"/>
      <c r="BJ750" s="15"/>
      <c r="BK750" s="15"/>
      <c r="BO750" s="223"/>
      <c r="BQ750" s="889"/>
      <c r="BT750" s="890"/>
      <c r="BX750" s="889"/>
      <c r="CB750" s="15"/>
      <c r="CC750" s="697"/>
      <c r="CD750" s="1086"/>
      <c r="CE750" s="15"/>
      <c r="CF750" s="15"/>
      <c r="CG750" s="936"/>
      <c r="CH750" s="15"/>
      <c r="CI750" s="15"/>
      <c r="CJ750" s="15"/>
      <c r="CK750" s="1107"/>
      <c r="CL750" s="22"/>
      <c r="CM750" s="22"/>
      <c r="CN750" s="1107"/>
      <c r="CR750" s="223"/>
      <c r="CS750" s="952"/>
      <c r="CT750" s="1066"/>
      <c r="CU750" s="972"/>
      <c r="CV750" s="983"/>
      <c r="CW750" s="222"/>
      <c r="CX750" s="697"/>
      <c r="DC750" s="222"/>
      <c r="DJ750" s="889"/>
      <c r="DM750" s="890"/>
      <c r="DN750" s="952"/>
      <c r="DO750" s="75"/>
      <c r="DP750" s="962"/>
      <c r="DQ750" s="983"/>
      <c r="DV750" s="889"/>
    </row>
    <row r="751" spans="1:126" s="74" customFormat="1">
      <c r="A751" s="15"/>
      <c r="B751" s="15"/>
      <c r="C751" s="15"/>
      <c r="D751" s="15"/>
      <c r="E751" s="6"/>
      <c r="F751" s="6"/>
      <c r="G751" s="6"/>
      <c r="K751" s="222"/>
      <c r="V751" s="1430"/>
      <c r="AA751" s="223"/>
      <c r="AC751" s="889"/>
      <c r="AF751" s="890"/>
      <c r="AJ751" s="889"/>
      <c r="AN751" s="222"/>
      <c r="BC751" s="223"/>
      <c r="BD751" s="222"/>
      <c r="BH751" s="611"/>
      <c r="BJ751" s="15"/>
      <c r="BK751" s="15"/>
      <c r="BO751" s="223"/>
      <c r="BQ751" s="889"/>
      <c r="BT751" s="890"/>
      <c r="BX751" s="889"/>
      <c r="CB751" s="15"/>
      <c r="CC751" s="697"/>
      <c r="CD751" s="1086"/>
      <c r="CE751" s="15"/>
      <c r="CF751" s="15"/>
      <c r="CG751" s="936"/>
      <c r="CH751" s="15"/>
      <c r="CI751" s="15"/>
      <c r="CJ751" s="15"/>
      <c r="CK751" s="1107"/>
      <c r="CL751" s="22"/>
      <c r="CM751" s="22"/>
      <c r="CN751" s="1107"/>
      <c r="CR751" s="223"/>
      <c r="CS751" s="952"/>
      <c r="CT751" s="1066"/>
      <c r="CU751" s="972"/>
      <c r="CV751" s="983"/>
      <c r="CW751" s="222"/>
      <c r="CX751" s="697"/>
      <c r="DC751" s="222"/>
      <c r="DJ751" s="889"/>
      <c r="DM751" s="890"/>
      <c r="DN751" s="952"/>
      <c r="DO751" s="75"/>
      <c r="DP751" s="962"/>
      <c r="DQ751" s="983"/>
      <c r="DV751" s="889"/>
    </row>
    <row r="752" spans="1:126" s="74" customFormat="1">
      <c r="A752" s="15"/>
      <c r="B752" s="15"/>
      <c r="C752" s="15"/>
      <c r="D752" s="15"/>
      <c r="E752" s="6"/>
      <c r="F752" s="6"/>
      <c r="G752" s="6"/>
      <c r="K752" s="222"/>
      <c r="V752" s="1430"/>
      <c r="AA752" s="223"/>
      <c r="AC752" s="889"/>
      <c r="AF752" s="890"/>
      <c r="AJ752" s="889"/>
      <c r="AN752" s="222"/>
      <c r="BC752" s="223"/>
      <c r="BD752" s="222"/>
      <c r="BH752" s="611"/>
      <c r="BJ752" s="15"/>
      <c r="BK752" s="15"/>
      <c r="BO752" s="223"/>
      <c r="BQ752" s="889"/>
      <c r="BT752" s="890"/>
      <c r="BX752" s="889"/>
      <c r="CB752" s="15"/>
      <c r="CC752" s="697"/>
      <c r="CD752" s="1086"/>
      <c r="CE752" s="15"/>
      <c r="CF752" s="15"/>
      <c r="CG752" s="936"/>
      <c r="CH752" s="15"/>
      <c r="CI752" s="15"/>
      <c r="CJ752" s="15"/>
      <c r="CK752" s="1107"/>
      <c r="CL752" s="22"/>
      <c r="CM752" s="22"/>
      <c r="CN752" s="1107"/>
      <c r="CR752" s="223"/>
      <c r="CS752" s="952"/>
      <c r="CT752" s="1066"/>
      <c r="CU752" s="972"/>
      <c r="CV752" s="983"/>
      <c r="CW752" s="222"/>
      <c r="CX752" s="697"/>
      <c r="DC752" s="222"/>
      <c r="DJ752" s="889"/>
      <c r="DM752" s="890"/>
      <c r="DN752" s="952"/>
      <c r="DO752" s="75"/>
      <c r="DP752" s="962"/>
      <c r="DQ752" s="983"/>
      <c r="DV752" s="889"/>
    </row>
    <row r="753" spans="1:126" s="74" customFormat="1">
      <c r="A753" s="15"/>
      <c r="B753" s="15"/>
      <c r="C753" s="15"/>
      <c r="D753" s="15"/>
      <c r="E753" s="6"/>
      <c r="F753" s="6"/>
      <c r="G753" s="6"/>
      <c r="K753" s="222"/>
      <c r="V753" s="1430"/>
      <c r="AA753" s="223"/>
      <c r="AC753" s="889"/>
      <c r="AF753" s="890"/>
      <c r="AJ753" s="889"/>
      <c r="AN753" s="222"/>
      <c r="BC753" s="223"/>
      <c r="BD753" s="222"/>
      <c r="BH753" s="611"/>
      <c r="BJ753" s="15"/>
      <c r="BK753" s="15"/>
      <c r="BO753" s="223"/>
      <c r="BQ753" s="889"/>
      <c r="BT753" s="890"/>
      <c r="BX753" s="889"/>
      <c r="CB753" s="15"/>
      <c r="CC753" s="697"/>
      <c r="CD753" s="1086"/>
      <c r="CE753" s="15"/>
      <c r="CF753" s="15"/>
      <c r="CG753" s="936"/>
      <c r="CH753" s="15"/>
      <c r="CI753" s="15"/>
      <c r="CJ753" s="15"/>
      <c r="CK753" s="1107"/>
      <c r="CL753" s="22"/>
      <c r="CM753" s="22"/>
      <c r="CN753" s="1107"/>
      <c r="CR753" s="223"/>
      <c r="CS753" s="952"/>
      <c r="CT753" s="1066"/>
      <c r="CU753" s="972"/>
      <c r="CV753" s="983"/>
      <c r="CW753" s="222"/>
      <c r="CX753" s="697"/>
      <c r="DC753" s="222"/>
      <c r="DJ753" s="889"/>
      <c r="DM753" s="890"/>
      <c r="DN753" s="952"/>
      <c r="DO753" s="75"/>
      <c r="DP753" s="962"/>
      <c r="DQ753" s="983"/>
      <c r="DV753" s="889"/>
    </row>
    <row r="754" spans="1:126" s="74" customFormat="1">
      <c r="A754" s="15"/>
      <c r="B754" s="15"/>
      <c r="C754" s="15"/>
      <c r="D754" s="15"/>
      <c r="E754" s="6"/>
      <c r="F754" s="6"/>
      <c r="G754" s="6"/>
      <c r="K754" s="222"/>
      <c r="V754" s="1430"/>
      <c r="AA754" s="223"/>
      <c r="AC754" s="889"/>
      <c r="AF754" s="890"/>
      <c r="AJ754" s="889"/>
      <c r="AN754" s="222"/>
      <c r="BC754" s="223"/>
      <c r="BD754" s="222"/>
      <c r="BH754" s="611"/>
      <c r="BJ754" s="15"/>
      <c r="BK754" s="15"/>
      <c r="BO754" s="223"/>
      <c r="BQ754" s="889"/>
      <c r="BT754" s="890"/>
      <c r="BX754" s="889"/>
      <c r="CB754" s="15"/>
      <c r="CC754" s="697"/>
      <c r="CD754" s="1086"/>
      <c r="CE754" s="15"/>
      <c r="CF754" s="15"/>
      <c r="CG754" s="936"/>
      <c r="CH754" s="15"/>
      <c r="CI754" s="15"/>
      <c r="CJ754" s="15"/>
      <c r="CK754" s="1107"/>
      <c r="CL754" s="22"/>
      <c r="CM754" s="22"/>
      <c r="CN754" s="1107"/>
      <c r="CR754" s="223"/>
      <c r="CS754" s="952"/>
      <c r="CT754" s="1066"/>
      <c r="CU754" s="972"/>
      <c r="CV754" s="983"/>
      <c r="CW754" s="222"/>
      <c r="CX754" s="697"/>
      <c r="DC754" s="222"/>
      <c r="DJ754" s="889"/>
      <c r="DM754" s="890"/>
      <c r="DN754" s="952"/>
      <c r="DO754" s="75"/>
      <c r="DP754" s="962"/>
      <c r="DQ754" s="983"/>
      <c r="DV754" s="889"/>
    </row>
    <row r="755" spans="1:126" s="74" customFormat="1">
      <c r="A755" s="15"/>
      <c r="B755" s="15"/>
      <c r="C755" s="15"/>
      <c r="D755" s="15"/>
      <c r="E755" s="6"/>
      <c r="F755" s="6"/>
      <c r="G755" s="6"/>
      <c r="K755" s="222"/>
      <c r="V755" s="1430"/>
      <c r="AA755" s="223"/>
      <c r="AC755" s="889"/>
      <c r="AF755" s="890"/>
      <c r="AJ755" s="889"/>
      <c r="AN755" s="222"/>
      <c r="BC755" s="223"/>
      <c r="BD755" s="222"/>
      <c r="BH755" s="611"/>
      <c r="BJ755" s="15"/>
      <c r="BK755" s="15"/>
      <c r="BO755" s="223"/>
      <c r="BQ755" s="889"/>
      <c r="BT755" s="890"/>
      <c r="BX755" s="889"/>
      <c r="CB755" s="15"/>
      <c r="CC755" s="697"/>
      <c r="CD755" s="1086"/>
      <c r="CE755" s="15"/>
      <c r="CF755" s="15"/>
      <c r="CG755" s="936"/>
      <c r="CH755" s="15"/>
      <c r="CI755" s="15"/>
      <c r="CJ755" s="15"/>
      <c r="CK755" s="1107"/>
      <c r="CL755" s="22"/>
      <c r="CM755" s="22"/>
      <c r="CN755" s="1107"/>
      <c r="CR755" s="223"/>
      <c r="CS755" s="952"/>
      <c r="CT755" s="1066"/>
      <c r="CU755" s="972"/>
      <c r="CV755" s="983"/>
      <c r="CW755" s="222"/>
      <c r="CX755" s="697"/>
      <c r="DC755" s="222"/>
      <c r="DJ755" s="889"/>
      <c r="DM755" s="890"/>
      <c r="DN755" s="952"/>
      <c r="DO755" s="75"/>
      <c r="DP755" s="962"/>
      <c r="DQ755" s="983"/>
      <c r="DV755" s="889"/>
    </row>
    <row r="756" spans="1:126" s="74" customFormat="1">
      <c r="A756" s="15"/>
      <c r="B756" s="15"/>
      <c r="C756" s="15"/>
      <c r="D756" s="15"/>
      <c r="E756" s="6"/>
      <c r="F756" s="6"/>
      <c r="G756" s="6"/>
      <c r="K756" s="222"/>
      <c r="V756" s="1430"/>
      <c r="AA756" s="223"/>
      <c r="AC756" s="889"/>
      <c r="AF756" s="890"/>
      <c r="AJ756" s="889"/>
      <c r="AN756" s="222"/>
      <c r="BC756" s="223"/>
      <c r="BD756" s="222"/>
      <c r="BH756" s="611"/>
      <c r="BJ756" s="15"/>
      <c r="BK756" s="15"/>
      <c r="BO756" s="223"/>
      <c r="BQ756" s="889"/>
      <c r="BT756" s="890"/>
      <c r="BX756" s="889"/>
      <c r="CB756" s="15"/>
      <c r="CC756" s="697"/>
      <c r="CD756" s="1086"/>
      <c r="CE756" s="15"/>
      <c r="CF756" s="15"/>
      <c r="CG756" s="936"/>
      <c r="CH756" s="15"/>
      <c r="CI756" s="15"/>
      <c r="CJ756" s="15"/>
      <c r="CK756" s="1107"/>
      <c r="CL756" s="22"/>
      <c r="CM756" s="22"/>
      <c r="CN756" s="1107"/>
      <c r="CR756" s="223"/>
      <c r="CS756" s="952"/>
      <c r="CT756" s="1066"/>
      <c r="CU756" s="972"/>
      <c r="CV756" s="983"/>
      <c r="CW756" s="222"/>
      <c r="CX756" s="697"/>
      <c r="DC756" s="222"/>
      <c r="DJ756" s="889"/>
      <c r="DM756" s="890"/>
      <c r="DN756" s="952"/>
      <c r="DO756" s="75"/>
      <c r="DP756" s="962"/>
      <c r="DQ756" s="983"/>
      <c r="DV756" s="889"/>
    </row>
    <row r="757" spans="1:126" s="74" customFormat="1">
      <c r="A757" s="15"/>
      <c r="B757" s="15"/>
      <c r="C757" s="15"/>
      <c r="D757" s="15"/>
      <c r="E757" s="6"/>
      <c r="F757" s="6"/>
      <c r="G757" s="6"/>
      <c r="K757" s="222"/>
      <c r="V757" s="1430"/>
      <c r="AA757" s="223"/>
      <c r="AC757" s="889"/>
      <c r="AF757" s="890"/>
      <c r="AJ757" s="889"/>
      <c r="AN757" s="222"/>
      <c r="BC757" s="223"/>
      <c r="BD757" s="222"/>
      <c r="BH757" s="611"/>
      <c r="BJ757" s="15"/>
      <c r="BK757" s="15"/>
      <c r="BO757" s="223"/>
      <c r="BQ757" s="889"/>
      <c r="BT757" s="890"/>
      <c r="BX757" s="889"/>
      <c r="CB757" s="15"/>
      <c r="CC757" s="697"/>
      <c r="CD757" s="1086"/>
      <c r="CE757" s="15"/>
      <c r="CF757" s="15"/>
      <c r="CG757" s="936"/>
      <c r="CH757" s="15"/>
      <c r="CI757" s="15"/>
      <c r="CJ757" s="15"/>
      <c r="CK757" s="1107"/>
      <c r="CL757" s="22"/>
      <c r="CM757" s="22"/>
      <c r="CN757" s="1107"/>
      <c r="CR757" s="223"/>
      <c r="CS757" s="952"/>
      <c r="CT757" s="1066"/>
      <c r="CU757" s="972"/>
      <c r="CV757" s="983"/>
      <c r="CW757" s="222"/>
      <c r="CX757" s="697"/>
      <c r="DC757" s="222"/>
      <c r="DJ757" s="889"/>
      <c r="DM757" s="890"/>
      <c r="DN757" s="952"/>
      <c r="DO757" s="75"/>
      <c r="DP757" s="962"/>
      <c r="DQ757" s="983"/>
      <c r="DV757" s="889"/>
    </row>
    <row r="758" spans="1:126" s="74" customFormat="1">
      <c r="A758" s="15"/>
      <c r="B758" s="15"/>
      <c r="C758" s="15"/>
      <c r="D758" s="15"/>
      <c r="E758" s="6"/>
      <c r="F758" s="6"/>
      <c r="G758" s="6"/>
      <c r="K758" s="222"/>
      <c r="V758" s="1430"/>
      <c r="AA758" s="223"/>
      <c r="AC758" s="889"/>
      <c r="AF758" s="890"/>
      <c r="AJ758" s="889"/>
      <c r="AN758" s="222"/>
      <c r="BC758" s="223"/>
      <c r="BD758" s="222"/>
      <c r="BH758" s="611"/>
      <c r="BJ758" s="15"/>
      <c r="BK758" s="15"/>
      <c r="BO758" s="223"/>
      <c r="BQ758" s="889"/>
      <c r="BT758" s="890"/>
      <c r="BX758" s="889"/>
      <c r="CB758" s="15"/>
      <c r="CC758" s="697"/>
      <c r="CD758" s="1086"/>
      <c r="CE758" s="15"/>
      <c r="CF758" s="15"/>
      <c r="CG758" s="936"/>
      <c r="CH758" s="15"/>
      <c r="CI758" s="15"/>
      <c r="CJ758" s="15"/>
      <c r="CK758" s="1107"/>
      <c r="CL758" s="22"/>
      <c r="CM758" s="22"/>
      <c r="CN758" s="1107"/>
      <c r="CR758" s="223"/>
      <c r="CS758" s="952"/>
      <c r="CT758" s="1066"/>
      <c r="CU758" s="972"/>
      <c r="CV758" s="983"/>
      <c r="CW758" s="222"/>
      <c r="CX758" s="697"/>
      <c r="DC758" s="222"/>
      <c r="DJ758" s="889"/>
      <c r="DM758" s="890"/>
      <c r="DN758" s="952"/>
      <c r="DO758" s="75"/>
      <c r="DP758" s="962"/>
      <c r="DQ758" s="983"/>
      <c r="DV758" s="889"/>
    </row>
    <row r="759" spans="1:126" s="74" customFormat="1">
      <c r="A759" s="15"/>
      <c r="B759" s="15"/>
      <c r="C759" s="15"/>
      <c r="D759" s="15"/>
      <c r="E759" s="6"/>
      <c r="F759" s="6"/>
      <c r="G759" s="6"/>
      <c r="K759" s="222"/>
      <c r="V759" s="1430"/>
      <c r="AA759" s="223"/>
      <c r="AC759" s="889"/>
      <c r="AF759" s="890"/>
      <c r="AJ759" s="889"/>
      <c r="AN759" s="222"/>
      <c r="BC759" s="223"/>
      <c r="BD759" s="222"/>
      <c r="BH759" s="611"/>
      <c r="BJ759" s="15"/>
      <c r="BK759" s="15"/>
      <c r="BO759" s="223"/>
      <c r="BQ759" s="889"/>
      <c r="BT759" s="890"/>
      <c r="BX759" s="889"/>
      <c r="CB759" s="15"/>
      <c r="CC759" s="697"/>
      <c r="CD759" s="1086"/>
      <c r="CE759" s="15"/>
      <c r="CF759" s="15"/>
      <c r="CG759" s="936"/>
      <c r="CH759" s="15"/>
      <c r="CI759" s="15"/>
      <c r="CJ759" s="15"/>
      <c r="CK759" s="1107"/>
      <c r="CL759" s="22"/>
      <c r="CM759" s="22"/>
      <c r="CN759" s="1107"/>
      <c r="CR759" s="223"/>
      <c r="CS759" s="952"/>
      <c r="CT759" s="1066"/>
      <c r="CU759" s="972"/>
      <c r="CV759" s="983"/>
      <c r="CW759" s="222"/>
      <c r="CX759" s="697"/>
      <c r="DC759" s="222"/>
      <c r="DJ759" s="889"/>
      <c r="DM759" s="890"/>
      <c r="DN759" s="952"/>
      <c r="DO759" s="75"/>
      <c r="DP759" s="962"/>
      <c r="DQ759" s="983"/>
      <c r="DV759" s="889"/>
    </row>
    <row r="760" spans="1:126" s="74" customFormat="1">
      <c r="A760" s="15"/>
      <c r="B760" s="15"/>
      <c r="C760" s="15"/>
      <c r="D760" s="15"/>
      <c r="E760" s="6"/>
      <c r="F760" s="6"/>
      <c r="G760" s="6"/>
      <c r="K760" s="222"/>
      <c r="V760" s="1430"/>
      <c r="AA760" s="223"/>
      <c r="AC760" s="889"/>
      <c r="AF760" s="890"/>
      <c r="AJ760" s="889"/>
      <c r="AN760" s="222"/>
      <c r="BC760" s="223"/>
      <c r="BD760" s="222"/>
      <c r="BH760" s="611"/>
      <c r="BJ760" s="15"/>
      <c r="BK760" s="15"/>
      <c r="BO760" s="223"/>
      <c r="BQ760" s="889"/>
      <c r="BT760" s="890"/>
      <c r="BX760" s="889"/>
      <c r="CB760" s="15"/>
      <c r="CC760" s="697"/>
      <c r="CD760" s="1086"/>
      <c r="CE760" s="15"/>
      <c r="CF760" s="15"/>
      <c r="CG760" s="936"/>
      <c r="CH760" s="15"/>
      <c r="CI760" s="15"/>
      <c r="CJ760" s="15"/>
      <c r="CK760" s="1107"/>
      <c r="CL760" s="22"/>
      <c r="CM760" s="22"/>
      <c r="CN760" s="1107"/>
      <c r="CR760" s="223"/>
      <c r="CS760" s="952"/>
      <c r="CT760" s="1066"/>
      <c r="CU760" s="972"/>
      <c r="CV760" s="983"/>
      <c r="CW760" s="222"/>
      <c r="CX760" s="697"/>
      <c r="DC760" s="222"/>
      <c r="DJ760" s="889"/>
      <c r="DM760" s="890"/>
      <c r="DN760" s="952"/>
      <c r="DO760" s="75"/>
      <c r="DP760" s="962"/>
      <c r="DQ760" s="983"/>
      <c r="DV760" s="889"/>
    </row>
    <row r="761" spans="1:126" s="74" customFormat="1">
      <c r="A761" s="15"/>
      <c r="B761" s="15"/>
      <c r="C761" s="15"/>
      <c r="D761" s="15"/>
      <c r="E761" s="6"/>
      <c r="F761" s="6"/>
      <c r="G761" s="6"/>
      <c r="K761" s="222"/>
      <c r="V761" s="1430"/>
      <c r="AA761" s="223"/>
      <c r="AC761" s="889"/>
      <c r="AF761" s="890"/>
      <c r="AJ761" s="889"/>
      <c r="AN761" s="222"/>
      <c r="BC761" s="223"/>
      <c r="BD761" s="222"/>
      <c r="BH761" s="611"/>
      <c r="BJ761" s="15"/>
      <c r="BK761" s="15"/>
      <c r="BO761" s="223"/>
      <c r="BQ761" s="889"/>
      <c r="BT761" s="890"/>
      <c r="BX761" s="889"/>
      <c r="CB761" s="15"/>
      <c r="CC761" s="697"/>
      <c r="CD761" s="1086"/>
      <c r="CE761" s="15"/>
      <c r="CF761" s="15"/>
      <c r="CG761" s="936"/>
      <c r="CH761" s="15"/>
      <c r="CI761" s="15"/>
      <c r="CJ761" s="15"/>
      <c r="CK761" s="1107"/>
      <c r="CL761" s="22"/>
      <c r="CM761" s="22"/>
      <c r="CN761" s="1107"/>
      <c r="CR761" s="223"/>
      <c r="CS761" s="952"/>
      <c r="CT761" s="1066"/>
      <c r="CU761" s="972"/>
      <c r="CV761" s="983"/>
      <c r="CW761" s="222"/>
      <c r="CX761" s="697"/>
      <c r="DC761" s="222"/>
      <c r="DJ761" s="889"/>
      <c r="DM761" s="890"/>
      <c r="DN761" s="952"/>
      <c r="DO761" s="75"/>
      <c r="DP761" s="962"/>
      <c r="DQ761" s="983"/>
      <c r="DV761" s="889"/>
    </row>
    <row r="762" spans="1:126" s="74" customFormat="1">
      <c r="A762" s="15"/>
      <c r="B762" s="15"/>
      <c r="C762" s="15"/>
      <c r="D762" s="15"/>
      <c r="E762" s="6"/>
      <c r="F762" s="6"/>
      <c r="G762" s="6"/>
      <c r="K762" s="222"/>
      <c r="V762" s="1430"/>
      <c r="AA762" s="223"/>
      <c r="AC762" s="889"/>
      <c r="AF762" s="890"/>
      <c r="AJ762" s="889"/>
      <c r="AN762" s="222"/>
      <c r="BC762" s="223"/>
      <c r="BD762" s="222"/>
      <c r="BH762" s="611"/>
      <c r="BJ762" s="15"/>
      <c r="BK762" s="15"/>
      <c r="BO762" s="223"/>
      <c r="BQ762" s="889"/>
      <c r="BT762" s="890"/>
      <c r="BX762" s="889"/>
      <c r="CB762" s="15"/>
      <c r="CC762" s="697"/>
      <c r="CD762" s="1086"/>
      <c r="CE762" s="15"/>
      <c r="CF762" s="15"/>
      <c r="CG762" s="936"/>
      <c r="CH762" s="15"/>
      <c r="CI762" s="15"/>
      <c r="CJ762" s="15"/>
      <c r="CK762" s="1107"/>
      <c r="CL762" s="22"/>
      <c r="CM762" s="22"/>
      <c r="CN762" s="1107"/>
      <c r="CR762" s="223"/>
      <c r="CS762" s="952"/>
      <c r="CT762" s="1066"/>
      <c r="CU762" s="972"/>
      <c r="CV762" s="983"/>
      <c r="CW762" s="222"/>
      <c r="CX762" s="697"/>
      <c r="DC762" s="222"/>
      <c r="DJ762" s="889"/>
      <c r="DM762" s="890"/>
      <c r="DN762" s="952"/>
      <c r="DO762" s="75"/>
      <c r="DP762" s="962"/>
      <c r="DQ762" s="983"/>
      <c r="DV762" s="889"/>
    </row>
    <row r="763" spans="1:126" s="74" customFormat="1">
      <c r="A763" s="15"/>
      <c r="B763" s="15"/>
      <c r="C763" s="15"/>
      <c r="D763" s="15"/>
      <c r="E763" s="6"/>
      <c r="F763" s="6"/>
      <c r="G763" s="6"/>
      <c r="K763" s="222"/>
      <c r="V763" s="1430"/>
      <c r="AA763" s="223"/>
      <c r="AC763" s="889"/>
      <c r="AF763" s="890"/>
      <c r="AJ763" s="889"/>
      <c r="AN763" s="222"/>
      <c r="BC763" s="223"/>
      <c r="BD763" s="222"/>
      <c r="BH763" s="611"/>
      <c r="BJ763" s="15"/>
      <c r="BK763" s="15"/>
      <c r="BO763" s="223"/>
      <c r="BQ763" s="889"/>
      <c r="BT763" s="890"/>
      <c r="BX763" s="889"/>
      <c r="CB763" s="15"/>
      <c r="CC763" s="697"/>
      <c r="CD763" s="1086"/>
      <c r="CE763" s="15"/>
      <c r="CF763" s="15"/>
      <c r="CG763" s="936"/>
      <c r="CH763" s="15"/>
      <c r="CI763" s="15"/>
      <c r="CJ763" s="15"/>
      <c r="CK763" s="1107"/>
      <c r="CL763" s="22"/>
      <c r="CM763" s="22"/>
      <c r="CN763" s="1107"/>
      <c r="CR763" s="223"/>
      <c r="CS763" s="952"/>
      <c r="CT763" s="1066"/>
      <c r="CU763" s="972"/>
      <c r="CV763" s="983"/>
      <c r="CW763" s="222"/>
      <c r="CX763" s="697"/>
      <c r="DC763" s="222"/>
      <c r="DJ763" s="889"/>
      <c r="DM763" s="890"/>
      <c r="DN763" s="952"/>
      <c r="DO763" s="75"/>
      <c r="DP763" s="962"/>
      <c r="DQ763" s="983"/>
      <c r="DV763" s="889"/>
    </row>
    <row r="764" spans="1:126" s="74" customFormat="1">
      <c r="A764" s="15"/>
      <c r="B764" s="15"/>
      <c r="C764" s="15"/>
      <c r="D764" s="15"/>
      <c r="E764" s="6"/>
      <c r="F764" s="6"/>
      <c r="G764" s="6"/>
      <c r="K764" s="222"/>
      <c r="V764" s="1430"/>
      <c r="AA764" s="223"/>
      <c r="AC764" s="889"/>
      <c r="AF764" s="890"/>
      <c r="AJ764" s="889"/>
      <c r="AN764" s="222"/>
      <c r="BC764" s="223"/>
      <c r="BD764" s="222"/>
      <c r="BH764" s="611"/>
      <c r="BJ764" s="15"/>
      <c r="BK764" s="15"/>
      <c r="BO764" s="223"/>
      <c r="BQ764" s="889"/>
      <c r="BT764" s="890"/>
      <c r="BX764" s="889"/>
      <c r="CB764" s="15"/>
      <c r="CC764" s="697"/>
      <c r="CD764" s="1086"/>
      <c r="CE764" s="15"/>
      <c r="CF764" s="15"/>
      <c r="CG764" s="936"/>
      <c r="CH764" s="15"/>
      <c r="CI764" s="15"/>
      <c r="CJ764" s="15"/>
      <c r="CK764" s="1107"/>
      <c r="CL764" s="22"/>
      <c r="CM764" s="22"/>
      <c r="CN764" s="1107"/>
      <c r="CR764" s="223"/>
      <c r="CS764" s="952"/>
      <c r="CT764" s="1066"/>
      <c r="CU764" s="972"/>
      <c r="CV764" s="983"/>
      <c r="CW764" s="222"/>
      <c r="CX764" s="697"/>
      <c r="DC764" s="222"/>
      <c r="DJ764" s="889"/>
      <c r="DM764" s="890"/>
      <c r="DN764" s="952"/>
      <c r="DO764" s="75"/>
      <c r="DP764" s="962"/>
      <c r="DQ764" s="983"/>
      <c r="DV764" s="889"/>
    </row>
    <row r="765" spans="1:126" s="74" customFormat="1">
      <c r="A765" s="15"/>
      <c r="B765" s="15"/>
      <c r="C765" s="15"/>
      <c r="D765" s="15"/>
      <c r="E765" s="6"/>
      <c r="F765" s="6"/>
      <c r="G765" s="6"/>
      <c r="K765" s="222"/>
      <c r="V765" s="1430"/>
      <c r="AA765" s="223"/>
      <c r="AC765" s="889"/>
      <c r="AF765" s="890"/>
      <c r="AJ765" s="889"/>
      <c r="AN765" s="222"/>
      <c r="BC765" s="223"/>
      <c r="BD765" s="222"/>
      <c r="BH765" s="611"/>
      <c r="BJ765" s="15"/>
      <c r="BK765" s="15"/>
      <c r="BO765" s="223"/>
      <c r="BQ765" s="889"/>
      <c r="BT765" s="890"/>
      <c r="BX765" s="889"/>
      <c r="CB765" s="15"/>
      <c r="CC765" s="697"/>
      <c r="CD765" s="1086"/>
      <c r="CE765" s="15"/>
      <c r="CF765" s="15"/>
      <c r="CG765" s="936"/>
      <c r="CH765" s="15"/>
      <c r="CI765" s="15"/>
      <c r="CJ765" s="15"/>
      <c r="CK765" s="1107"/>
      <c r="CL765" s="22"/>
      <c r="CM765" s="22"/>
      <c r="CN765" s="1107"/>
      <c r="CR765" s="223"/>
      <c r="CS765" s="952"/>
      <c r="CT765" s="1066"/>
      <c r="CU765" s="972"/>
      <c r="CV765" s="983"/>
      <c r="CW765" s="222"/>
      <c r="CX765" s="697"/>
      <c r="DC765" s="222"/>
      <c r="DJ765" s="889"/>
      <c r="DM765" s="890"/>
      <c r="DN765" s="952"/>
      <c r="DO765" s="75"/>
      <c r="DP765" s="962"/>
      <c r="DQ765" s="983"/>
      <c r="DV765" s="889"/>
    </row>
    <row r="766" spans="1:126" s="74" customFormat="1">
      <c r="A766" s="15"/>
      <c r="B766" s="15"/>
      <c r="C766" s="15"/>
      <c r="D766" s="15"/>
      <c r="E766" s="6"/>
      <c r="F766" s="6"/>
      <c r="G766" s="6"/>
      <c r="K766" s="222"/>
      <c r="V766" s="1430"/>
      <c r="AA766" s="223"/>
      <c r="AC766" s="889"/>
      <c r="AF766" s="890"/>
      <c r="AJ766" s="889"/>
      <c r="AN766" s="222"/>
      <c r="BC766" s="223"/>
      <c r="BD766" s="222"/>
      <c r="BH766" s="611"/>
      <c r="BJ766" s="15"/>
      <c r="BK766" s="15"/>
      <c r="BO766" s="223"/>
      <c r="BQ766" s="889"/>
      <c r="BT766" s="890"/>
      <c r="BX766" s="889"/>
      <c r="CB766" s="15"/>
      <c r="CC766" s="697"/>
      <c r="CD766" s="1086"/>
      <c r="CE766" s="15"/>
      <c r="CF766" s="15"/>
      <c r="CG766" s="936"/>
      <c r="CH766" s="15"/>
      <c r="CI766" s="15"/>
      <c r="CJ766" s="15"/>
      <c r="CK766" s="1107"/>
      <c r="CL766" s="22"/>
      <c r="CM766" s="22"/>
      <c r="CN766" s="1107"/>
      <c r="CR766" s="223"/>
      <c r="CS766" s="952"/>
      <c r="CT766" s="1066"/>
      <c r="CU766" s="972"/>
      <c r="CV766" s="983"/>
      <c r="CW766" s="222"/>
      <c r="CX766" s="697"/>
      <c r="DC766" s="222"/>
      <c r="DJ766" s="889"/>
      <c r="DM766" s="890"/>
      <c r="DN766" s="952"/>
      <c r="DO766" s="75"/>
      <c r="DP766" s="962"/>
      <c r="DQ766" s="983"/>
      <c r="DV766" s="889"/>
    </row>
    <row r="767" spans="1:126" s="74" customFormat="1">
      <c r="A767" s="15"/>
      <c r="B767" s="15"/>
      <c r="C767" s="15"/>
      <c r="D767" s="15"/>
      <c r="E767" s="6"/>
      <c r="F767" s="6"/>
      <c r="G767" s="6"/>
      <c r="K767" s="222"/>
      <c r="V767" s="1430"/>
      <c r="AA767" s="223"/>
      <c r="AC767" s="889"/>
      <c r="AF767" s="890"/>
      <c r="AJ767" s="889"/>
      <c r="AN767" s="222"/>
      <c r="BC767" s="223"/>
      <c r="BD767" s="222"/>
      <c r="BH767" s="611"/>
      <c r="BJ767" s="15"/>
      <c r="BK767" s="15"/>
      <c r="BO767" s="223"/>
      <c r="BQ767" s="889"/>
      <c r="BT767" s="890"/>
      <c r="BX767" s="889"/>
      <c r="CB767" s="15"/>
      <c r="CC767" s="697"/>
      <c r="CD767" s="1086"/>
      <c r="CE767" s="15"/>
      <c r="CF767" s="15"/>
      <c r="CG767" s="936"/>
      <c r="CH767" s="15"/>
      <c r="CI767" s="15"/>
      <c r="CJ767" s="15"/>
      <c r="CK767" s="1107"/>
      <c r="CL767" s="22"/>
      <c r="CM767" s="22"/>
      <c r="CN767" s="1107"/>
      <c r="CR767" s="223"/>
      <c r="CS767" s="952"/>
      <c r="CT767" s="1066"/>
      <c r="CU767" s="972"/>
      <c r="CV767" s="983"/>
      <c r="CW767" s="222"/>
      <c r="CX767" s="697"/>
      <c r="DC767" s="222"/>
      <c r="DJ767" s="889"/>
      <c r="DM767" s="890"/>
      <c r="DN767" s="952"/>
      <c r="DO767" s="75"/>
      <c r="DP767" s="962"/>
      <c r="DQ767" s="983"/>
      <c r="DV767" s="889"/>
    </row>
    <row r="768" spans="1:126" s="74" customFormat="1">
      <c r="A768" s="15"/>
      <c r="B768" s="15"/>
      <c r="C768" s="15"/>
      <c r="D768" s="15"/>
      <c r="E768" s="6"/>
      <c r="F768" s="6"/>
      <c r="G768" s="6"/>
      <c r="K768" s="222"/>
      <c r="V768" s="1430"/>
      <c r="AA768" s="223"/>
      <c r="AC768" s="889"/>
      <c r="AF768" s="890"/>
      <c r="AJ768" s="889"/>
      <c r="AN768" s="222"/>
      <c r="BC768" s="223"/>
      <c r="BD768" s="222"/>
      <c r="BH768" s="611"/>
      <c r="BJ768" s="15"/>
      <c r="BK768" s="15"/>
      <c r="BO768" s="223"/>
      <c r="BQ768" s="889"/>
      <c r="BT768" s="890"/>
      <c r="BX768" s="889"/>
      <c r="CB768" s="15"/>
      <c r="CC768" s="697"/>
      <c r="CD768" s="1086"/>
      <c r="CE768" s="15"/>
      <c r="CF768" s="15"/>
      <c r="CG768" s="936"/>
      <c r="CH768" s="15"/>
      <c r="CI768" s="15"/>
      <c r="CJ768" s="15"/>
      <c r="CK768" s="1107"/>
      <c r="CL768" s="22"/>
      <c r="CM768" s="22"/>
      <c r="CN768" s="1107"/>
      <c r="CR768" s="223"/>
      <c r="CS768" s="952"/>
      <c r="CT768" s="1066"/>
      <c r="CU768" s="972"/>
      <c r="CV768" s="983"/>
      <c r="CW768" s="222"/>
      <c r="CX768" s="697"/>
      <c r="DC768" s="222"/>
      <c r="DJ768" s="889"/>
      <c r="DM768" s="890"/>
      <c r="DN768" s="952"/>
      <c r="DO768" s="75"/>
      <c r="DP768" s="962"/>
      <c r="DQ768" s="983"/>
      <c r="DV768" s="889"/>
    </row>
    <row r="769" spans="1:126" s="74" customFormat="1">
      <c r="A769" s="15"/>
      <c r="B769" s="15"/>
      <c r="C769" s="15"/>
      <c r="D769" s="15"/>
      <c r="E769" s="6"/>
      <c r="F769" s="6"/>
      <c r="G769" s="6"/>
      <c r="K769" s="222"/>
      <c r="V769" s="1430"/>
      <c r="AA769" s="223"/>
      <c r="AC769" s="889"/>
      <c r="AF769" s="890"/>
      <c r="AJ769" s="889"/>
      <c r="AN769" s="222"/>
      <c r="BC769" s="223"/>
      <c r="BD769" s="222"/>
      <c r="BH769" s="611"/>
      <c r="BJ769" s="15"/>
      <c r="BK769" s="15"/>
      <c r="BO769" s="223"/>
      <c r="BQ769" s="889"/>
      <c r="BT769" s="890"/>
      <c r="BX769" s="889"/>
      <c r="CB769" s="15"/>
      <c r="CC769" s="697"/>
      <c r="CD769" s="1086"/>
      <c r="CE769" s="15"/>
      <c r="CF769" s="15"/>
      <c r="CG769" s="936"/>
      <c r="CH769" s="15"/>
      <c r="CI769" s="15"/>
      <c r="CJ769" s="15"/>
      <c r="CK769" s="1107"/>
      <c r="CL769" s="22"/>
      <c r="CM769" s="22"/>
      <c r="CN769" s="1107"/>
      <c r="CR769" s="223"/>
      <c r="CS769" s="952"/>
      <c r="CT769" s="1066"/>
      <c r="CU769" s="972"/>
      <c r="CV769" s="983"/>
      <c r="CW769" s="222"/>
      <c r="CX769" s="697"/>
      <c r="DC769" s="222"/>
      <c r="DJ769" s="889"/>
      <c r="DM769" s="890"/>
      <c r="DN769" s="952"/>
      <c r="DO769" s="75"/>
      <c r="DP769" s="962"/>
      <c r="DQ769" s="983"/>
      <c r="DV769" s="889"/>
    </row>
    <row r="770" spans="1:126" s="74" customFormat="1">
      <c r="A770" s="15"/>
      <c r="B770" s="15"/>
      <c r="C770" s="15"/>
      <c r="D770" s="15"/>
      <c r="E770" s="6"/>
      <c r="F770" s="6"/>
      <c r="G770" s="6"/>
      <c r="K770" s="222"/>
      <c r="V770" s="1430"/>
      <c r="AA770" s="223"/>
      <c r="AC770" s="889"/>
      <c r="AF770" s="890"/>
      <c r="AJ770" s="889"/>
      <c r="AN770" s="222"/>
      <c r="BC770" s="223"/>
      <c r="BD770" s="222"/>
      <c r="BH770" s="611"/>
      <c r="BJ770" s="15"/>
      <c r="BK770" s="15"/>
      <c r="BO770" s="223"/>
      <c r="BQ770" s="889"/>
      <c r="BT770" s="890"/>
      <c r="BX770" s="889"/>
      <c r="CB770" s="15"/>
      <c r="CC770" s="697"/>
      <c r="CD770" s="1086"/>
      <c r="CE770" s="15"/>
      <c r="CF770" s="15"/>
      <c r="CG770" s="936"/>
      <c r="CH770" s="15"/>
      <c r="CI770" s="15"/>
      <c r="CJ770" s="15"/>
      <c r="CK770" s="1107"/>
      <c r="CL770" s="22"/>
      <c r="CM770" s="22"/>
      <c r="CN770" s="1107"/>
      <c r="CR770" s="223"/>
      <c r="CS770" s="952"/>
      <c r="CT770" s="1066"/>
      <c r="CU770" s="972"/>
      <c r="CV770" s="983"/>
      <c r="CW770" s="222"/>
      <c r="CX770" s="697"/>
      <c r="DC770" s="222"/>
      <c r="DJ770" s="889"/>
      <c r="DM770" s="890"/>
      <c r="DN770" s="952"/>
      <c r="DO770" s="75"/>
      <c r="DP770" s="962"/>
      <c r="DQ770" s="983"/>
      <c r="DV770" s="889"/>
    </row>
    <row r="771" spans="1:126" s="74" customFormat="1">
      <c r="A771" s="15"/>
      <c r="B771" s="15"/>
      <c r="C771" s="15"/>
      <c r="D771" s="15"/>
      <c r="E771" s="6"/>
      <c r="F771" s="6"/>
      <c r="G771" s="6"/>
      <c r="K771" s="222"/>
      <c r="V771" s="1430"/>
      <c r="AA771" s="223"/>
      <c r="AC771" s="889"/>
      <c r="AF771" s="890"/>
      <c r="AJ771" s="889"/>
      <c r="AN771" s="222"/>
      <c r="BC771" s="223"/>
      <c r="BD771" s="222"/>
      <c r="BH771" s="611"/>
      <c r="BJ771" s="15"/>
      <c r="BK771" s="15"/>
      <c r="BO771" s="223"/>
      <c r="BQ771" s="889"/>
      <c r="BT771" s="890"/>
      <c r="BX771" s="889"/>
      <c r="CB771" s="15"/>
      <c r="CC771" s="697"/>
      <c r="CD771" s="1086"/>
      <c r="CE771" s="15"/>
      <c r="CF771" s="15"/>
      <c r="CG771" s="936"/>
      <c r="CH771" s="15"/>
      <c r="CI771" s="15"/>
      <c r="CJ771" s="15"/>
      <c r="CK771" s="1107"/>
      <c r="CL771" s="22"/>
      <c r="CM771" s="22"/>
      <c r="CN771" s="1107"/>
      <c r="CR771" s="223"/>
      <c r="CS771" s="952"/>
      <c r="CT771" s="1066"/>
      <c r="CU771" s="972"/>
      <c r="CV771" s="983"/>
      <c r="CW771" s="222"/>
      <c r="CX771" s="697"/>
      <c r="DC771" s="222"/>
      <c r="DJ771" s="889"/>
      <c r="DM771" s="890"/>
      <c r="DN771" s="952"/>
      <c r="DO771" s="75"/>
      <c r="DP771" s="962"/>
      <c r="DQ771" s="983"/>
      <c r="DV771" s="889"/>
    </row>
    <row r="772" spans="1:126" s="74" customFormat="1">
      <c r="A772" s="15"/>
      <c r="B772" s="15"/>
      <c r="C772" s="15"/>
      <c r="D772" s="15"/>
      <c r="E772" s="6"/>
      <c r="F772" s="6"/>
      <c r="G772" s="6"/>
      <c r="K772" s="222"/>
      <c r="V772" s="1430"/>
      <c r="AA772" s="223"/>
      <c r="AC772" s="889"/>
      <c r="AF772" s="890"/>
      <c r="AJ772" s="889"/>
      <c r="AN772" s="222"/>
      <c r="BC772" s="223"/>
      <c r="BD772" s="222"/>
      <c r="BH772" s="611"/>
      <c r="BJ772" s="15"/>
      <c r="BK772" s="15"/>
      <c r="BO772" s="223"/>
      <c r="BQ772" s="889"/>
      <c r="BT772" s="890"/>
      <c r="BX772" s="889"/>
      <c r="CB772" s="15"/>
      <c r="CC772" s="697"/>
      <c r="CD772" s="1086"/>
      <c r="CE772" s="15"/>
      <c r="CF772" s="15"/>
      <c r="CG772" s="936"/>
      <c r="CH772" s="15"/>
      <c r="CI772" s="15"/>
      <c r="CJ772" s="15"/>
      <c r="CK772" s="1107"/>
      <c r="CL772" s="22"/>
      <c r="CM772" s="22"/>
      <c r="CN772" s="1107"/>
      <c r="CR772" s="223"/>
      <c r="CS772" s="952"/>
      <c r="CT772" s="1066"/>
      <c r="CU772" s="972"/>
      <c r="CV772" s="983"/>
      <c r="CW772" s="222"/>
      <c r="CX772" s="697"/>
      <c r="DC772" s="222"/>
      <c r="DJ772" s="889"/>
      <c r="DM772" s="890"/>
      <c r="DN772" s="952"/>
      <c r="DO772" s="75"/>
      <c r="DP772" s="962"/>
      <c r="DQ772" s="983"/>
      <c r="DV772" s="889"/>
    </row>
    <row r="773" spans="1:126" s="74" customFormat="1">
      <c r="A773" s="15"/>
      <c r="B773" s="15"/>
      <c r="C773" s="15"/>
      <c r="D773" s="15"/>
      <c r="E773" s="6"/>
      <c r="F773" s="6"/>
      <c r="G773" s="6"/>
      <c r="K773" s="222"/>
      <c r="V773" s="1430"/>
      <c r="AA773" s="223"/>
      <c r="AC773" s="889"/>
      <c r="AF773" s="890"/>
      <c r="AJ773" s="889"/>
      <c r="AN773" s="222"/>
      <c r="BC773" s="223"/>
      <c r="BD773" s="222"/>
      <c r="BH773" s="611"/>
      <c r="BJ773" s="15"/>
      <c r="BK773" s="15"/>
      <c r="BO773" s="223"/>
      <c r="BQ773" s="889"/>
      <c r="BT773" s="890"/>
      <c r="BX773" s="889"/>
      <c r="CB773" s="15"/>
      <c r="CC773" s="697"/>
      <c r="CD773" s="1086"/>
      <c r="CE773" s="15"/>
      <c r="CF773" s="15"/>
      <c r="CG773" s="936"/>
      <c r="CH773" s="15"/>
      <c r="CI773" s="15"/>
      <c r="CJ773" s="15"/>
      <c r="CK773" s="1107"/>
      <c r="CL773" s="22"/>
      <c r="CM773" s="22"/>
      <c r="CN773" s="1107"/>
      <c r="CR773" s="223"/>
      <c r="CS773" s="952"/>
      <c r="CT773" s="1066"/>
      <c r="CU773" s="972"/>
      <c r="CV773" s="983"/>
      <c r="CW773" s="222"/>
      <c r="CX773" s="697"/>
      <c r="DC773" s="222"/>
      <c r="DJ773" s="889"/>
      <c r="DM773" s="890"/>
      <c r="DN773" s="952"/>
      <c r="DO773" s="75"/>
      <c r="DP773" s="962"/>
      <c r="DQ773" s="983"/>
      <c r="DV773" s="889"/>
    </row>
    <row r="774" spans="1:126" s="74" customFormat="1">
      <c r="A774" s="15"/>
      <c r="B774" s="15"/>
      <c r="C774" s="15"/>
      <c r="D774" s="15"/>
      <c r="E774" s="6"/>
      <c r="F774" s="6"/>
      <c r="G774" s="6"/>
      <c r="K774" s="222"/>
      <c r="V774" s="1430"/>
      <c r="AA774" s="223"/>
      <c r="AC774" s="889"/>
      <c r="AF774" s="890"/>
      <c r="AJ774" s="889"/>
      <c r="AN774" s="222"/>
      <c r="BC774" s="223"/>
      <c r="BD774" s="222"/>
      <c r="BH774" s="611"/>
      <c r="BJ774" s="15"/>
      <c r="BK774" s="15"/>
      <c r="BO774" s="223"/>
      <c r="BQ774" s="889"/>
      <c r="BT774" s="890"/>
      <c r="BX774" s="889"/>
      <c r="CB774" s="15"/>
      <c r="CC774" s="697"/>
      <c r="CD774" s="1086"/>
      <c r="CE774" s="15"/>
      <c r="CF774" s="15"/>
      <c r="CG774" s="936"/>
      <c r="CH774" s="15"/>
      <c r="CI774" s="15"/>
      <c r="CJ774" s="15"/>
      <c r="CK774" s="1107"/>
      <c r="CL774" s="22"/>
      <c r="CM774" s="22"/>
      <c r="CN774" s="1107"/>
      <c r="CR774" s="223"/>
      <c r="CS774" s="952"/>
      <c r="CT774" s="1066"/>
      <c r="CU774" s="972"/>
      <c r="CV774" s="983"/>
      <c r="CW774" s="222"/>
      <c r="CX774" s="697"/>
      <c r="DC774" s="222"/>
      <c r="DJ774" s="889"/>
      <c r="DM774" s="890"/>
      <c r="DN774" s="952"/>
      <c r="DO774" s="75"/>
      <c r="DP774" s="962"/>
      <c r="DQ774" s="983"/>
      <c r="DV774" s="889"/>
    </row>
    <row r="775" spans="1:126" s="74" customFormat="1">
      <c r="A775" s="15"/>
      <c r="B775" s="15"/>
      <c r="C775" s="15"/>
      <c r="D775" s="15"/>
      <c r="E775" s="6"/>
      <c r="F775" s="6"/>
      <c r="G775" s="6"/>
      <c r="K775" s="222"/>
      <c r="V775" s="1430"/>
      <c r="AA775" s="223"/>
      <c r="AC775" s="889"/>
      <c r="AF775" s="890"/>
      <c r="AJ775" s="889"/>
      <c r="AN775" s="222"/>
      <c r="BC775" s="223"/>
      <c r="BD775" s="222"/>
      <c r="BH775" s="611"/>
      <c r="BJ775" s="15"/>
      <c r="BK775" s="15"/>
      <c r="BO775" s="223"/>
      <c r="BQ775" s="889"/>
      <c r="BT775" s="890"/>
      <c r="BX775" s="889"/>
      <c r="CB775" s="15"/>
      <c r="CC775" s="697"/>
      <c r="CD775" s="1086"/>
      <c r="CE775" s="15"/>
      <c r="CF775" s="15"/>
      <c r="CG775" s="936"/>
      <c r="CH775" s="15"/>
      <c r="CI775" s="15"/>
      <c r="CJ775" s="15"/>
      <c r="CK775" s="1107"/>
      <c r="CL775" s="22"/>
      <c r="CM775" s="22"/>
      <c r="CN775" s="1107"/>
      <c r="CR775" s="223"/>
      <c r="CS775" s="952"/>
      <c r="CT775" s="1066"/>
      <c r="CU775" s="972"/>
      <c r="CV775" s="983"/>
      <c r="CW775" s="222"/>
      <c r="CX775" s="697"/>
      <c r="DC775" s="222"/>
      <c r="DJ775" s="889"/>
      <c r="DM775" s="890"/>
      <c r="DN775" s="952"/>
      <c r="DO775" s="75"/>
      <c r="DP775" s="962"/>
      <c r="DQ775" s="983"/>
      <c r="DV775" s="889"/>
    </row>
    <row r="776" spans="1:126" s="74" customFormat="1">
      <c r="A776" s="15"/>
      <c r="B776" s="15"/>
      <c r="C776" s="15"/>
      <c r="D776" s="15"/>
      <c r="E776" s="6"/>
      <c r="F776" s="6"/>
      <c r="G776" s="6"/>
      <c r="K776" s="222"/>
      <c r="V776" s="1430"/>
      <c r="AA776" s="223"/>
      <c r="AC776" s="889"/>
      <c r="AF776" s="890"/>
      <c r="AJ776" s="889"/>
      <c r="AN776" s="222"/>
      <c r="BC776" s="223"/>
      <c r="BD776" s="222"/>
      <c r="BH776" s="611"/>
      <c r="BJ776" s="15"/>
      <c r="BK776" s="15"/>
      <c r="BO776" s="223"/>
      <c r="BQ776" s="889"/>
      <c r="BT776" s="890"/>
      <c r="BX776" s="889"/>
      <c r="CB776" s="15"/>
      <c r="CC776" s="697"/>
      <c r="CD776" s="1086"/>
      <c r="CE776" s="15"/>
      <c r="CF776" s="15"/>
      <c r="CG776" s="936"/>
      <c r="CH776" s="15"/>
      <c r="CI776" s="15"/>
      <c r="CJ776" s="15"/>
      <c r="CK776" s="1107"/>
      <c r="CL776" s="22"/>
      <c r="CM776" s="22"/>
      <c r="CN776" s="1107"/>
      <c r="CR776" s="223"/>
      <c r="CS776" s="952"/>
      <c r="CT776" s="1066"/>
      <c r="CU776" s="972"/>
      <c r="CV776" s="983"/>
      <c r="CW776" s="222"/>
      <c r="CX776" s="697"/>
      <c r="DC776" s="222"/>
      <c r="DJ776" s="889"/>
      <c r="DM776" s="890"/>
      <c r="DN776" s="952"/>
      <c r="DO776" s="75"/>
      <c r="DP776" s="962"/>
      <c r="DQ776" s="983"/>
      <c r="DV776" s="889"/>
    </row>
    <row r="777" spans="1:126" s="74" customFormat="1">
      <c r="A777" s="15"/>
      <c r="B777" s="15"/>
      <c r="C777" s="15"/>
      <c r="D777" s="15"/>
      <c r="E777" s="6"/>
      <c r="F777" s="6"/>
      <c r="G777" s="6"/>
      <c r="K777" s="222"/>
      <c r="V777" s="1430"/>
      <c r="AA777" s="223"/>
      <c r="AC777" s="889"/>
      <c r="AF777" s="890"/>
      <c r="AJ777" s="889"/>
      <c r="AN777" s="222"/>
      <c r="BC777" s="223"/>
      <c r="BD777" s="222"/>
      <c r="BH777" s="611"/>
      <c r="BJ777" s="15"/>
      <c r="BK777" s="15"/>
      <c r="BO777" s="223"/>
      <c r="BQ777" s="889"/>
      <c r="BT777" s="890"/>
      <c r="BX777" s="889"/>
      <c r="CB777" s="15"/>
      <c r="CC777" s="697"/>
      <c r="CD777" s="1086"/>
      <c r="CE777" s="15"/>
      <c r="CF777" s="15"/>
      <c r="CG777" s="936"/>
      <c r="CH777" s="15"/>
      <c r="CI777" s="15"/>
      <c r="CJ777" s="15"/>
      <c r="CK777" s="1107"/>
      <c r="CL777" s="22"/>
      <c r="CM777" s="22"/>
      <c r="CN777" s="1107"/>
      <c r="CR777" s="223"/>
      <c r="CS777" s="952"/>
      <c r="CT777" s="1066"/>
      <c r="CU777" s="972"/>
      <c r="CV777" s="983"/>
      <c r="CW777" s="222"/>
      <c r="CX777" s="697"/>
      <c r="DC777" s="222"/>
      <c r="DJ777" s="889"/>
      <c r="DM777" s="890"/>
      <c r="DN777" s="952"/>
      <c r="DO777" s="75"/>
      <c r="DP777" s="962"/>
      <c r="DQ777" s="983"/>
      <c r="DV777" s="889"/>
    </row>
    <row r="778" spans="1:126" s="74" customFormat="1">
      <c r="A778" s="15"/>
      <c r="B778" s="15"/>
      <c r="C778" s="15"/>
      <c r="D778" s="15"/>
      <c r="E778" s="6"/>
      <c r="F778" s="6"/>
      <c r="G778" s="6"/>
      <c r="K778" s="222"/>
      <c r="V778" s="1430"/>
      <c r="AA778" s="223"/>
      <c r="AC778" s="889"/>
      <c r="AF778" s="890"/>
      <c r="AJ778" s="889"/>
      <c r="AN778" s="222"/>
      <c r="BC778" s="223"/>
      <c r="BD778" s="222"/>
      <c r="BH778" s="611"/>
      <c r="BJ778" s="15"/>
      <c r="BK778" s="15"/>
      <c r="BO778" s="223"/>
      <c r="BQ778" s="889"/>
      <c r="BT778" s="890"/>
      <c r="BX778" s="889"/>
      <c r="CB778" s="15"/>
      <c r="CC778" s="697"/>
      <c r="CD778" s="1086"/>
      <c r="CE778" s="15"/>
      <c r="CF778" s="15"/>
      <c r="CG778" s="936"/>
      <c r="CH778" s="15"/>
      <c r="CI778" s="15"/>
      <c r="CJ778" s="15"/>
      <c r="CK778" s="1107"/>
      <c r="CL778" s="22"/>
      <c r="CM778" s="22"/>
      <c r="CN778" s="1107"/>
      <c r="CR778" s="223"/>
      <c r="CS778" s="952"/>
      <c r="CT778" s="1066"/>
      <c r="CU778" s="972"/>
      <c r="CV778" s="983"/>
      <c r="CW778" s="222"/>
      <c r="CX778" s="697"/>
      <c r="DC778" s="222"/>
      <c r="DJ778" s="889"/>
      <c r="DM778" s="890"/>
      <c r="DN778" s="952"/>
      <c r="DO778" s="75"/>
      <c r="DP778" s="962"/>
      <c r="DQ778" s="983"/>
      <c r="DV778" s="889"/>
    </row>
    <row r="779" spans="1:126" s="74" customFormat="1">
      <c r="A779" s="15"/>
      <c r="B779" s="15"/>
      <c r="C779" s="15"/>
      <c r="D779" s="15"/>
      <c r="E779" s="6"/>
      <c r="F779" s="6"/>
      <c r="G779" s="6"/>
      <c r="K779" s="222"/>
      <c r="V779" s="1430"/>
      <c r="AA779" s="223"/>
      <c r="AC779" s="889"/>
      <c r="AF779" s="890"/>
      <c r="AJ779" s="889"/>
      <c r="AN779" s="222"/>
      <c r="BC779" s="223"/>
      <c r="BD779" s="222"/>
      <c r="BH779" s="611"/>
      <c r="BJ779" s="15"/>
      <c r="BK779" s="15"/>
      <c r="BO779" s="223"/>
      <c r="BQ779" s="889"/>
      <c r="BT779" s="890"/>
      <c r="BX779" s="889"/>
      <c r="CB779" s="15"/>
      <c r="CC779" s="697"/>
      <c r="CD779" s="1086"/>
      <c r="CE779" s="15"/>
      <c r="CF779" s="15"/>
      <c r="CG779" s="936"/>
      <c r="CH779" s="15"/>
      <c r="CI779" s="15"/>
      <c r="CJ779" s="15"/>
      <c r="CK779" s="1107"/>
      <c r="CL779" s="22"/>
      <c r="CM779" s="22"/>
      <c r="CN779" s="1107"/>
      <c r="CR779" s="223"/>
      <c r="CS779" s="952"/>
      <c r="CT779" s="1066"/>
      <c r="CU779" s="972"/>
      <c r="CV779" s="983"/>
      <c r="CW779" s="222"/>
      <c r="CX779" s="697"/>
      <c r="DC779" s="222"/>
      <c r="DJ779" s="889"/>
      <c r="DM779" s="890"/>
      <c r="DN779" s="952"/>
      <c r="DO779" s="75"/>
      <c r="DP779" s="962"/>
      <c r="DQ779" s="983"/>
      <c r="DV779" s="889"/>
    </row>
    <row r="780" spans="1:126" s="74" customFormat="1">
      <c r="A780" s="15"/>
      <c r="B780" s="15"/>
      <c r="C780" s="15"/>
      <c r="D780" s="15"/>
      <c r="E780" s="6"/>
      <c r="F780" s="6"/>
      <c r="G780" s="6"/>
      <c r="K780" s="222"/>
      <c r="V780" s="1430"/>
      <c r="AA780" s="223"/>
      <c r="AC780" s="889"/>
      <c r="AF780" s="890"/>
      <c r="AJ780" s="889"/>
      <c r="AN780" s="222"/>
      <c r="BC780" s="223"/>
      <c r="BD780" s="222"/>
      <c r="BH780" s="611"/>
      <c r="BJ780" s="15"/>
      <c r="BK780" s="15"/>
      <c r="BO780" s="223"/>
      <c r="BQ780" s="889"/>
      <c r="BT780" s="890"/>
      <c r="BX780" s="889"/>
      <c r="CB780" s="15"/>
      <c r="CC780" s="697"/>
      <c r="CD780" s="1086"/>
      <c r="CE780" s="15"/>
      <c r="CF780" s="15"/>
      <c r="CG780" s="936"/>
      <c r="CH780" s="15"/>
      <c r="CI780" s="15"/>
      <c r="CJ780" s="15"/>
      <c r="CK780" s="1107"/>
      <c r="CL780" s="22"/>
      <c r="CM780" s="22"/>
      <c r="CN780" s="1107"/>
      <c r="CR780" s="223"/>
      <c r="CS780" s="952"/>
      <c r="CT780" s="1066"/>
      <c r="CU780" s="972"/>
      <c r="CV780" s="983"/>
      <c r="CW780" s="222"/>
      <c r="CX780" s="697"/>
      <c r="DC780" s="222"/>
      <c r="DJ780" s="889"/>
      <c r="DM780" s="890"/>
      <c r="DN780" s="952"/>
      <c r="DO780" s="75"/>
      <c r="DP780" s="962"/>
      <c r="DQ780" s="983"/>
      <c r="DV780" s="889"/>
    </row>
    <row r="781" spans="1:126" s="74" customFormat="1">
      <c r="A781" s="15"/>
      <c r="B781" s="15"/>
      <c r="C781" s="15"/>
      <c r="D781" s="15"/>
      <c r="E781" s="6"/>
      <c r="F781" s="6"/>
      <c r="G781" s="6"/>
      <c r="K781" s="222"/>
      <c r="V781" s="1430"/>
      <c r="AA781" s="223"/>
      <c r="AC781" s="889"/>
      <c r="AF781" s="890"/>
      <c r="AJ781" s="889"/>
      <c r="AN781" s="222"/>
      <c r="BC781" s="223"/>
      <c r="BD781" s="222"/>
      <c r="BH781" s="611"/>
      <c r="BJ781" s="15"/>
      <c r="BK781" s="15"/>
      <c r="BO781" s="223"/>
      <c r="BQ781" s="889"/>
      <c r="BT781" s="890"/>
      <c r="BX781" s="889"/>
      <c r="CB781" s="15"/>
      <c r="CC781" s="697"/>
      <c r="CD781" s="1086"/>
      <c r="CE781" s="15"/>
      <c r="CF781" s="15"/>
      <c r="CG781" s="936"/>
      <c r="CH781" s="15"/>
      <c r="CI781" s="15"/>
      <c r="CJ781" s="15"/>
      <c r="CK781" s="1107"/>
      <c r="CL781" s="22"/>
      <c r="CM781" s="22"/>
      <c r="CN781" s="1107"/>
      <c r="CR781" s="223"/>
      <c r="CS781" s="952"/>
      <c r="CT781" s="1066"/>
      <c r="CU781" s="972"/>
      <c r="CV781" s="983"/>
      <c r="CW781" s="222"/>
      <c r="CX781" s="697"/>
      <c r="DC781" s="222"/>
      <c r="DJ781" s="889"/>
      <c r="DM781" s="890"/>
      <c r="DN781" s="952"/>
      <c r="DO781" s="75"/>
      <c r="DP781" s="962"/>
      <c r="DQ781" s="983"/>
      <c r="DV781" s="889"/>
    </row>
    <row r="782" spans="1:126" s="74" customFormat="1">
      <c r="A782" s="15"/>
      <c r="B782" s="15"/>
      <c r="C782" s="15"/>
      <c r="D782" s="15"/>
      <c r="E782" s="6"/>
      <c r="F782" s="6"/>
      <c r="G782" s="6"/>
      <c r="K782" s="222"/>
      <c r="V782" s="1430"/>
      <c r="AA782" s="223"/>
      <c r="AC782" s="889"/>
      <c r="AF782" s="890"/>
      <c r="AJ782" s="889"/>
      <c r="AN782" s="222"/>
      <c r="BC782" s="223"/>
      <c r="BD782" s="222"/>
      <c r="BH782" s="611"/>
      <c r="BJ782" s="15"/>
      <c r="BK782" s="15"/>
      <c r="BO782" s="223"/>
      <c r="BQ782" s="889"/>
      <c r="BT782" s="890"/>
      <c r="BX782" s="889"/>
      <c r="CB782" s="15"/>
      <c r="CC782" s="697"/>
      <c r="CD782" s="1086"/>
      <c r="CE782" s="15"/>
      <c r="CF782" s="15"/>
      <c r="CG782" s="936"/>
      <c r="CH782" s="15"/>
      <c r="CI782" s="15"/>
      <c r="CJ782" s="15"/>
      <c r="CK782" s="1107"/>
      <c r="CL782" s="22"/>
      <c r="CM782" s="22"/>
      <c r="CN782" s="1107"/>
      <c r="CR782" s="223"/>
      <c r="CS782" s="952"/>
      <c r="CT782" s="1066"/>
      <c r="CU782" s="972"/>
      <c r="CV782" s="983"/>
      <c r="CW782" s="222"/>
      <c r="CX782" s="697"/>
      <c r="DC782" s="222"/>
      <c r="DJ782" s="889"/>
      <c r="DM782" s="890"/>
      <c r="DN782" s="952"/>
      <c r="DO782" s="75"/>
      <c r="DP782" s="962"/>
      <c r="DQ782" s="983"/>
      <c r="DV782" s="889"/>
    </row>
    <row r="783" spans="1:126" s="74" customFormat="1">
      <c r="A783" s="15"/>
      <c r="B783" s="15"/>
      <c r="C783" s="15"/>
      <c r="D783" s="15"/>
      <c r="E783" s="6"/>
      <c r="F783" s="6"/>
      <c r="G783" s="6"/>
      <c r="K783" s="222"/>
      <c r="V783" s="1430"/>
      <c r="AA783" s="223"/>
      <c r="AC783" s="889"/>
      <c r="AF783" s="890"/>
      <c r="AJ783" s="889"/>
      <c r="AN783" s="222"/>
      <c r="BC783" s="223"/>
      <c r="BD783" s="222"/>
      <c r="BH783" s="611"/>
      <c r="BJ783" s="15"/>
      <c r="BK783" s="15"/>
      <c r="BO783" s="223"/>
      <c r="BQ783" s="889"/>
      <c r="BT783" s="890"/>
      <c r="BX783" s="889"/>
      <c r="CB783" s="15"/>
      <c r="CC783" s="697"/>
      <c r="CD783" s="1086"/>
      <c r="CE783" s="15"/>
      <c r="CF783" s="15"/>
      <c r="CG783" s="936"/>
      <c r="CH783" s="15"/>
      <c r="CI783" s="15"/>
      <c r="CJ783" s="15"/>
      <c r="CK783" s="1107"/>
      <c r="CL783" s="22"/>
      <c r="CM783" s="22"/>
      <c r="CN783" s="1107"/>
      <c r="CR783" s="223"/>
      <c r="CS783" s="952"/>
      <c r="CT783" s="1066"/>
      <c r="CU783" s="972"/>
      <c r="CV783" s="983"/>
      <c r="CW783" s="222"/>
      <c r="CX783" s="697"/>
      <c r="DC783" s="222"/>
      <c r="DJ783" s="889"/>
      <c r="DM783" s="890"/>
      <c r="DN783" s="952"/>
      <c r="DO783" s="75"/>
      <c r="DP783" s="962"/>
      <c r="DQ783" s="983"/>
      <c r="DV783" s="889"/>
    </row>
    <row r="784" spans="1:126" s="74" customFormat="1">
      <c r="A784" s="15"/>
      <c r="B784" s="15"/>
      <c r="C784" s="15"/>
      <c r="D784" s="15"/>
      <c r="E784" s="6"/>
      <c r="F784" s="6"/>
      <c r="G784" s="6"/>
      <c r="K784" s="222"/>
      <c r="V784" s="1430"/>
      <c r="AA784" s="223"/>
      <c r="AC784" s="889"/>
      <c r="AF784" s="890"/>
      <c r="AJ784" s="889"/>
      <c r="AN784" s="222"/>
      <c r="BC784" s="223"/>
      <c r="BD784" s="222"/>
      <c r="BH784" s="611"/>
      <c r="BJ784" s="15"/>
      <c r="BK784" s="15"/>
      <c r="BO784" s="223"/>
      <c r="BQ784" s="889"/>
      <c r="BT784" s="890"/>
      <c r="BX784" s="889"/>
      <c r="CB784" s="15"/>
      <c r="CC784" s="697"/>
      <c r="CD784" s="1086"/>
      <c r="CE784" s="15"/>
      <c r="CF784" s="15"/>
      <c r="CG784" s="936"/>
      <c r="CH784" s="15"/>
      <c r="CI784" s="15"/>
      <c r="CJ784" s="15"/>
      <c r="CK784" s="1107"/>
      <c r="CL784" s="22"/>
      <c r="CM784" s="22"/>
      <c r="CN784" s="1107"/>
      <c r="CR784" s="223"/>
      <c r="CS784" s="952"/>
      <c r="CT784" s="1066"/>
      <c r="CU784" s="972"/>
      <c r="CV784" s="983"/>
      <c r="CW784" s="222"/>
      <c r="CX784" s="697"/>
      <c r="DC784" s="222"/>
      <c r="DJ784" s="889"/>
      <c r="DM784" s="890"/>
      <c r="DN784" s="952"/>
      <c r="DO784" s="75"/>
      <c r="DP784" s="962"/>
      <c r="DQ784" s="983"/>
      <c r="DV784" s="889"/>
    </row>
    <row r="785" spans="1:126" s="74" customFormat="1">
      <c r="A785" s="15"/>
      <c r="B785" s="15"/>
      <c r="C785" s="15"/>
      <c r="D785" s="15"/>
      <c r="E785" s="6"/>
      <c r="F785" s="6"/>
      <c r="G785" s="6"/>
      <c r="K785" s="222"/>
      <c r="V785" s="1430"/>
      <c r="AA785" s="223"/>
      <c r="AC785" s="889"/>
      <c r="AF785" s="890"/>
      <c r="AJ785" s="889"/>
      <c r="AN785" s="222"/>
      <c r="BC785" s="223"/>
      <c r="BD785" s="222"/>
      <c r="BH785" s="611"/>
      <c r="BJ785" s="15"/>
      <c r="BK785" s="15"/>
      <c r="BO785" s="223"/>
      <c r="BQ785" s="889"/>
      <c r="BT785" s="890"/>
      <c r="BX785" s="889"/>
      <c r="CB785" s="15"/>
      <c r="CC785" s="697"/>
      <c r="CD785" s="1086"/>
      <c r="CE785" s="15"/>
      <c r="CF785" s="15"/>
      <c r="CG785" s="936"/>
      <c r="CH785" s="15"/>
      <c r="CI785" s="15"/>
      <c r="CJ785" s="15"/>
      <c r="CK785" s="1107"/>
      <c r="CL785" s="22"/>
      <c r="CM785" s="22"/>
      <c r="CN785" s="1107"/>
      <c r="CR785" s="223"/>
      <c r="CS785" s="952"/>
      <c r="CT785" s="1066"/>
      <c r="CU785" s="972"/>
      <c r="CV785" s="983"/>
      <c r="CW785" s="222"/>
      <c r="CX785" s="697"/>
      <c r="DC785" s="222"/>
      <c r="DJ785" s="889"/>
      <c r="DM785" s="890"/>
      <c r="DN785" s="952"/>
      <c r="DO785" s="75"/>
      <c r="DP785" s="962"/>
      <c r="DQ785" s="983"/>
      <c r="DV785" s="889"/>
    </row>
    <row r="786" spans="1:126" s="74" customFormat="1">
      <c r="A786" s="15"/>
      <c r="B786" s="15"/>
      <c r="C786" s="15"/>
      <c r="D786" s="15"/>
      <c r="E786" s="6"/>
      <c r="F786" s="6"/>
      <c r="G786" s="6"/>
      <c r="K786" s="222"/>
      <c r="V786" s="1430"/>
      <c r="AA786" s="223"/>
      <c r="AC786" s="889"/>
      <c r="AF786" s="890"/>
      <c r="AJ786" s="889"/>
      <c r="AN786" s="222"/>
      <c r="BC786" s="223"/>
      <c r="BD786" s="222"/>
      <c r="BH786" s="611"/>
      <c r="BJ786" s="15"/>
      <c r="BK786" s="15"/>
      <c r="BO786" s="223"/>
      <c r="BQ786" s="889"/>
      <c r="BT786" s="890"/>
      <c r="BX786" s="889"/>
      <c r="CB786" s="15"/>
      <c r="CC786" s="697"/>
      <c r="CD786" s="1086"/>
      <c r="CE786" s="15"/>
      <c r="CF786" s="15"/>
      <c r="CG786" s="936"/>
      <c r="CH786" s="15"/>
      <c r="CI786" s="15"/>
      <c r="CJ786" s="15"/>
      <c r="CK786" s="1107"/>
      <c r="CL786" s="22"/>
      <c r="CM786" s="22"/>
      <c r="CN786" s="1107"/>
      <c r="CR786" s="223"/>
      <c r="CS786" s="952"/>
      <c r="CT786" s="1066"/>
      <c r="CU786" s="972"/>
      <c r="CV786" s="983"/>
      <c r="CW786" s="222"/>
      <c r="CX786" s="697"/>
      <c r="DC786" s="222"/>
      <c r="DJ786" s="889"/>
      <c r="DM786" s="890"/>
      <c r="DN786" s="952"/>
      <c r="DO786" s="75"/>
      <c r="DP786" s="962"/>
      <c r="DQ786" s="983"/>
      <c r="DV786" s="889"/>
    </row>
    <row r="787" spans="1:126" s="74" customFormat="1">
      <c r="A787" s="15"/>
      <c r="B787" s="15"/>
      <c r="C787" s="15"/>
      <c r="D787" s="15"/>
      <c r="E787" s="6"/>
      <c r="F787" s="6"/>
      <c r="G787" s="6"/>
      <c r="K787" s="222"/>
      <c r="V787" s="1430"/>
      <c r="AA787" s="223"/>
      <c r="AC787" s="889"/>
      <c r="AF787" s="890"/>
      <c r="AJ787" s="889"/>
      <c r="AN787" s="222"/>
      <c r="BC787" s="223"/>
      <c r="BD787" s="222"/>
      <c r="BH787" s="611"/>
      <c r="BJ787" s="15"/>
      <c r="BK787" s="15"/>
      <c r="BO787" s="223"/>
      <c r="BQ787" s="889"/>
      <c r="BT787" s="890"/>
      <c r="BX787" s="889"/>
      <c r="CB787" s="15"/>
      <c r="CC787" s="697"/>
      <c r="CD787" s="1086"/>
      <c r="CE787" s="15"/>
      <c r="CF787" s="15"/>
      <c r="CG787" s="936"/>
      <c r="CH787" s="15"/>
      <c r="CI787" s="15"/>
      <c r="CJ787" s="15"/>
      <c r="CK787" s="1107"/>
      <c r="CL787" s="22"/>
      <c r="CM787" s="22"/>
      <c r="CN787" s="1107"/>
      <c r="CR787" s="223"/>
      <c r="CS787" s="952"/>
      <c r="CT787" s="1066"/>
      <c r="CU787" s="972"/>
      <c r="CV787" s="983"/>
      <c r="CW787" s="222"/>
      <c r="CX787" s="697"/>
      <c r="DC787" s="222"/>
      <c r="DJ787" s="889"/>
      <c r="DM787" s="890"/>
      <c r="DN787" s="952"/>
      <c r="DO787" s="75"/>
      <c r="DP787" s="962"/>
      <c r="DQ787" s="983"/>
      <c r="DV787" s="889"/>
    </row>
    <row r="788" spans="1:126" s="74" customFormat="1">
      <c r="A788" s="15"/>
      <c r="B788" s="15"/>
      <c r="C788" s="15"/>
      <c r="D788" s="15"/>
      <c r="E788" s="6"/>
      <c r="F788" s="6"/>
      <c r="G788" s="6"/>
      <c r="K788" s="222"/>
      <c r="V788" s="1430"/>
      <c r="AA788" s="223"/>
      <c r="AC788" s="889"/>
      <c r="AF788" s="890"/>
      <c r="AJ788" s="889"/>
      <c r="AN788" s="222"/>
      <c r="BC788" s="223"/>
      <c r="BD788" s="222"/>
      <c r="BH788" s="611"/>
      <c r="BJ788" s="15"/>
      <c r="BK788" s="15"/>
      <c r="BO788" s="223"/>
      <c r="BQ788" s="889"/>
      <c r="BT788" s="890"/>
      <c r="BX788" s="889"/>
      <c r="CB788" s="15"/>
      <c r="CC788" s="697"/>
      <c r="CD788" s="1086"/>
      <c r="CE788" s="15"/>
      <c r="CF788" s="15"/>
      <c r="CG788" s="936"/>
      <c r="CH788" s="15"/>
      <c r="CI788" s="15"/>
      <c r="CJ788" s="15"/>
      <c r="CK788" s="1107"/>
      <c r="CL788" s="22"/>
      <c r="CM788" s="22"/>
      <c r="CN788" s="1107"/>
      <c r="CR788" s="223"/>
      <c r="CS788" s="952"/>
      <c r="CT788" s="1066"/>
      <c r="CU788" s="972"/>
      <c r="CV788" s="983"/>
      <c r="CW788" s="222"/>
      <c r="CX788" s="697"/>
      <c r="DC788" s="222"/>
      <c r="DJ788" s="889"/>
      <c r="DM788" s="890"/>
      <c r="DN788" s="952"/>
      <c r="DO788" s="75"/>
      <c r="DP788" s="962"/>
      <c r="DQ788" s="983"/>
      <c r="DV788" s="889"/>
    </row>
    <row r="789" spans="1:126" s="74" customFormat="1">
      <c r="A789" s="15"/>
      <c r="B789" s="15"/>
      <c r="C789" s="15"/>
      <c r="D789" s="15"/>
      <c r="E789" s="6"/>
      <c r="F789" s="6"/>
      <c r="G789" s="6"/>
      <c r="K789" s="222"/>
      <c r="V789" s="1430"/>
      <c r="AA789" s="223"/>
      <c r="AC789" s="889"/>
      <c r="AF789" s="890"/>
      <c r="AJ789" s="889"/>
      <c r="AN789" s="222"/>
      <c r="BC789" s="223"/>
      <c r="BD789" s="222"/>
      <c r="BH789" s="611"/>
      <c r="BJ789" s="15"/>
      <c r="BK789" s="15"/>
      <c r="BO789" s="223"/>
      <c r="BQ789" s="889"/>
      <c r="BT789" s="890"/>
      <c r="BX789" s="889"/>
      <c r="CB789" s="15"/>
      <c r="CC789" s="697"/>
      <c r="CD789" s="1086"/>
      <c r="CE789" s="15"/>
      <c r="CF789" s="15"/>
      <c r="CG789" s="936"/>
      <c r="CH789" s="15"/>
      <c r="CI789" s="15"/>
      <c r="CJ789" s="15"/>
      <c r="CK789" s="1107"/>
      <c r="CL789" s="22"/>
      <c r="CM789" s="22"/>
      <c r="CN789" s="1107"/>
      <c r="CR789" s="223"/>
      <c r="CS789" s="952"/>
      <c r="CT789" s="1066"/>
      <c r="CU789" s="972"/>
      <c r="CV789" s="983"/>
      <c r="CW789" s="222"/>
      <c r="CX789" s="697"/>
      <c r="DC789" s="222"/>
      <c r="DJ789" s="889"/>
      <c r="DM789" s="890"/>
      <c r="DN789" s="952"/>
      <c r="DO789" s="75"/>
      <c r="DP789" s="962"/>
      <c r="DQ789" s="983"/>
      <c r="DV789" s="889"/>
    </row>
    <row r="790" spans="1:126" s="74" customFormat="1">
      <c r="A790" s="15"/>
      <c r="B790" s="15"/>
      <c r="C790" s="15"/>
      <c r="D790" s="15"/>
      <c r="E790" s="6"/>
      <c r="F790" s="6"/>
      <c r="G790" s="6"/>
      <c r="K790" s="222"/>
      <c r="V790" s="1430"/>
      <c r="AA790" s="223"/>
      <c r="AC790" s="889"/>
      <c r="AF790" s="890"/>
      <c r="AJ790" s="889"/>
      <c r="AN790" s="222"/>
      <c r="BC790" s="223"/>
      <c r="BD790" s="222"/>
      <c r="BH790" s="611"/>
      <c r="BJ790" s="15"/>
      <c r="BK790" s="15"/>
      <c r="BO790" s="223"/>
      <c r="BQ790" s="889"/>
      <c r="BT790" s="890"/>
      <c r="BX790" s="889"/>
      <c r="CB790" s="15"/>
      <c r="CC790" s="697"/>
      <c r="CD790" s="1086"/>
      <c r="CE790" s="15"/>
      <c r="CF790" s="15"/>
      <c r="CG790" s="936"/>
      <c r="CH790" s="15"/>
      <c r="CI790" s="15"/>
      <c r="CJ790" s="15"/>
      <c r="CK790" s="1107"/>
      <c r="CL790" s="22"/>
      <c r="CM790" s="22"/>
      <c r="CN790" s="1107"/>
      <c r="CR790" s="223"/>
      <c r="CS790" s="952"/>
      <c r="CT790" s="1066"/>
      <c r="CU790" s="972"/>
      <c r="CV790" s="983"/>
      <c r="CW790" s="222"/>
      <c r="CX790" s="697"/>
      <c r="DC790" s="222"/>
      <c r="DJ790" s="889"/>
      <c r="DM790" s="890"/>
      <c r="DN790" s="952"/>
      <c r="DO790" s="75"/>
      <c r="DP790" s="962"/>
      <c r="DQ790" s="983"/>
      <c r="DV790" s="889"/>
    </row>
    <row r="791" spans="1:126" s="74" customFormat="1">
      <c r="A791" s="15"/>
      <c r="B791" s="15"/>
      <c r="C791" s="15"/>
      <c r="D791" s="15"/>
      <c r="E791" s="6"/>
      <c r="F791" s="6"/>
      <c r="G791" s="6"/>
      <c r="K791" s="222"/>
      <c r="V791" s="1430"/>
      <c r="AA791" s="223"/>
      <c r="AC791" s="889"/>
      <c r="AF791" s="890"/>
      <c r="AJ791" s="889"/>
      <c r="AN791" s="222"/>
      <c r="BC791" s="223"/>
      <c r="BD791" s="222"/>
      <c r="BH791" s="611"/>
      <c r="BJ791" s="15"/>
      <c r="BK791" s="15"/>
      <c r="BO791" s="223"/>
      <c r="BQ791" s="889"/>
      <c r="BT791" s="890"/>
      <c r="BX791" s="889"/>
      <c r="CB791" s="15"/>
      <c r="CC791" s="697"/>
      <c r="CD791" s="1086"/>
      <c r="CE791" s="15"/>
      <c r="CF791" s="15"/>
      <c r="CG791" s="936"/>
      <c r="CH791" s="15"/>
      <c r="CI791" s="15"/>
      <c r="CJ791" s="15"/>
      <c r="CK791" s="1107"/>
      <c r="CL791" s="22"/>
      <c r="CM791" s="22"/>
      <c r="CN791" s="1107"/>
      <c r="CR791" s="223"/>
      <c r="CS791" s="952"/>
      <c r="CT791" s="1066"/>
      <c r="CU791" s="972"/>
      <c r="CV791" s="983"/>
      <c r="CW791" s="222"/>
      <c r="CX791" s="697"/>
      <c r="DC791" s="222"/>
      <c r="DJ791" s="889"/>
      <c r="DM791" s="890"/>
      <c r="DN791" s="952"/>
      <c r="DO791" s="75"/>
      <c r="DP791" s="962"/>
      <c r="DQ791" s="983"/>
      <c r="DV791" s="889"/>
    </row>
    <row r="792" spans="1:126" s="74" customFormat="1">
      <c r="A792" s="15"/>
      <c r="B792" s="15"/>
      <c r="C792" s="15"/>
      <c r="D792" s="15"/>
      <c r="E792" s="6"/>
      <c r="F792" s="6"/>
      <c r="G792" s="6"/>
      <c r="K792" s="222"/>
      <c r="V792" s="1430"/>
      <c r="AA792" s="223"/>
      <c r="AC792" s="889"/>
      <c r="AF792" s="890"/>
      <c r="AJ792" s="889"/>
      <c r="AN792" s="222"/>
      <c r="BC792" s="223"/>
      <c r="BD792" s="222"/>
      <c r="BH792" s="611"/>
      <c r="BJ792" s="15"/>
      <c r="BK792" s="15"/>
      <c r="BO792" s="223"/>
      <c r="BQ792" s="889"/>
      <c r="BT792" s="890"/>
      <c r="BX792" s="889"/>
      <c r="CB792" s="15"/>
      <c r="CC792" s="697"/>
      <c r="CD792" s="1086"/>
      <c r="CE792" s="15"/>
      <c r="CF792" s="15"/>
      <c r="CG792" s="936"/>
      <c r="CH792" s="15"/>
      <c r="CI792" s="15"/>
      <c r="CJ792" s="15"/>
      <c r="CK792" s="1107"/>
      <c r="CL792" s="22"/>
      <c r="CM792" s="22"/>
      <c r="CN792" s="1107"/>
      <c r="CR792" s="223"/>
      <c r="CS792" s="952"/>
      <c r="CT792" s="1066"/>
      <c r="CU792" s="972"/>
      <c r="CV792" s="983"/>
      <c r="CW792" s="222"/>
      <c r="CX792" s="697"/>
      <c r="DC792" s="222"/>
      <c r="DJ792" s="889"/>
      <c r="DM792" s="890"/>
      <c r="DN792" s="952"/>
      <c r="DO792" s="75"/>
      <c r="DP792" s="962"/>
      <c r="DQ792" s="983"/>
      <c r="DV792" s="889"/>
    </row>
    <row r="793" spans="1:126" s="74" customFormat="1">
      <c r="A793" s="15"/>
      <c r="B793" s="15"/>
      <c r="C793" s="15"/>
      <c r="D793" s="15"/>
      <c r="E793" s="6"/>
      <c r="F793" s="6"/>
      <c r="G793" s="6"/>
      <c r="K793" s="222"/>
      <c r="V793" s="1430"/>
      <c r="AA793" s="223"/>
      <c r="AC793" s="889"/>
      <c r="AF793" s="890"/>
      <c r="AJ793" s="889"/>
      <c r="AN793" s="222"/>
      <c r="BC793" s="223"/>
      <c r="BD793" s="222"/>
      <c r="BH793" s="611"/>
      <c r="BJ793" s="15"/>
      <c r="BK793" s="15"/>
      <c r="BO793" s="223"/>
      <c r="BQ793" s="889"/>
      <c r="BT793" s="890"/>
      <c r="BX793" s="889"/>
      <c r="CB793" s="15"/>
      <c r="CC793" s="697"/>
      <c r="CD793" s="1086"/>
      <c r="CE793" s="15"/>
      <c r="CF793" s="15"/>
      <c r="CG793" s="936"/>
      <c r="CH793" s="15"/>
      <c r="CI793" s="15"/>
      <c r="CJ793" s="15"/>
      <c r="CK793" s="1107"/>
      <c r="CL793" s="22"/>
      <c r="CM793" s="22"/>
      <c r="CN793" s="1107"/>
      <c r="CR793" s="223"/>
      <c r="CS793" s="952"/>
      <c r="CT793" s="1066"/>
      <c r="CU793" s="972"/>
      <c r="CV793" s="983"/>
      <c r="CW793" s="222"/>
      <c r="CX793" s="697"/>
      <c r="DC793" s="222"/>
      <c r="DJ793" s="889"/>
      <c r="DM793" s="890"/>
      <c r="DN793" s="952"/>
      <c r="DO793" s="75"/>
      <c r="DP793" s="962"/>
      <c r="DQ793" s="983"/>
      <c r="DV793" s="889"/>
    </row>
    <row r="794" spans="1:126" s="74" customFormat="1">
      <c r="A794" s="15"/>
      <c r="B794" s="15"/>
      <c r="C794" s="15"/>
      <c r="D794" s="15"/>
      <c r="E794" s="6"/>
      <c r="F794" s="6"/>
      <c r="G794" s="6"/>
      <c r="K794" s="222"/>
      <c r="V794" s="1430"/>
      <c r="AA794" s="223"/>
      <c r="AC794" s="889"/>
      <c r="AF794" s="890"/>
      <c r="AJ794" s="889"/>
      <c r="AN794" s="222"/>
      <c r="BC794" s="223"/>
      <c r="BD794" s="222"/>
      <c r="BH794" s="611"/>
      <c r="BJ794" s="15"/>
      <c r="BK794" s="15"/>
      <c r="BO794" s="223"/>
      <c r="BQ794" s="889"/>
      <c r="BT794" s="890"/>
      <c r="BX794" s="889"/>
      <c r="CB794" s="15"/>
      <c r="CC794" s="697"/>
      <c r="CD794" s="1086"/>
      <c r="CE794" s="15"/>
      <c r="CF794" s="15"/>
      <c r="CG794" s="936"/>
      <c r="CH794" s="15"/>
      <c r="CI794" s="15"/>
      <c r="CJ794" s="15"/>
      <c r="CK794" s="1107"/>
      <c r="CL794" s="22"/>
      <c r="CM794" s="22"/>
      <c r="CN794" s="1107"/>
      <c r="CR794" s="223"/>
      <c r="CS794" s="952"/>
      <c r="CT794" s="1066"/>
      <c r="CU794" s="972"/>
      <c r="CV794" s="983"/>
      <c r="CW794" s="222"/>
      <c r="CX794" s="697"/>
      <c r="DC794" s="222"/>
      <c r="DJ794" s="889"/>
      <c r="DM794" s="890"/>
      <c r="DN794" s="952"/>
      <c r="DO794" s="75"/>
      <c r="DP794" s="962"/>
      <c r="DQ794" s="983"/>
      <c r="DV794" s="889"/>
    </row>
    <row r="795" spans="1:126" s="74" customFormat="1">
      <c r="A795" s="15"/>
      <c r="B795" s="15"/>
      <c r="C795" s="15"/>
      <c r="D795" s="15"/>
      <c r="E795" s="6"/>
      <c r="F795" s="6"/>
      <c r="G795" s="6"/>
      <c r="K795" s="222"/>
      <c r="V795" s="1430"/>
      <c r="AA795" s="223"/>
      <c r="AC795" s="889"/>
      <c r="AF795" s="890"/>
      <c r="AJ795" s="889"/>
      <c r="AN795" s="222"/>
      <c r="BC795" s="223"/>
      <c r="BD795" s="222"/>
      <c r="BH795" s="611"/>
      <c r="BJ795" s="15"/>
      <c r="BK795" s="15"/>
      <c r="BO795" s="223"/>
      <c r="BQ795" s="889"/>
      <c r="BT795" s="890"/>
      <c r="BX795" s="889"/>
      <c r="CB795" s="15"/>
      <c r="CC795" s="697"/>
      <c r="CD795" s="1086"/>
      <c r="CE795" s="15"/>
      <c r="CF795" s="15"/>
      <c r="CG795" s="936"/>
      <c r="CH795" s="15"/>
      <c r="CI795" s="15"/>
      <c r="CJ795" s="15"/>
      <c r="CK795" s="1107"/>
      <c r="CL795" s="22"/>
      <c r="CM795" s="22"/>
      <c r="CN795" s="1107"/>
      <c r="CR795" s="223"/>
      <c r="CS795" s="952"/>
      <c r="CT795" s="1066"/>
      <c r="CU795" s="972"/>
      <c r="CV795" s="983"/>
      <c r="CW795" s="222"/>
      <c r="CX795" s="697"/>
      <c r="DC795" s="222"/>
      <c r="DJ795" s="889"/>
      <c r="DM795" s="890"/>
      <c r="DN795" s="952"/>
      <c r="DO795" s="75"/>
      <c r="DP795" s="962"/>
      <c r="DQ795" s="983"/>
      <c r="DV795" s="889"/>
    </row>
    <row r="796" spans="1:126" s="74" customFormat="1">
      <c r="A796" s="15"/>
      <c r="B796" s="15"/>
      <c r="C796" s="15"/>
      <c r="D796" s="15"/>
      <c r="E796" s="6"/>
      <c r="F796" s="6"/>
      <c r="G796" s="6"/>
      <c r="K796" s="222"/>
      <c r="V796" s="1430"/>
      <c r="AA796" s="223"/>
      <c r="AC796" s="889"/>
      <c r="AF796" s="890"/>
      <c r="AJ796" s="889"/>
      <c r="AN796" s="222"/>
      <c r="BC796" s="223"/>
      <c r="BD796" s="222"/>
      <c r="BH796" s="611"/>
      <c r="BJ796" s="15"/>
      <c r="BK796" s="15"/>
      <c r="BO796" s="223"/>
      <c r="BQ796" s="889"/>
      <c r="BT796" s="890"/>
      <c r="BX796" s="889"/>
      <c r="CB796" s="15"/>
      <c r="CC796" s="697"/>
      <c r="CD796" s="1086"/>
      <c r="CE796" s="15"/>
      <c r="CF796" s="15"/>
      <c r="CG796" s="936"/>
      <c r="CH796" s="15"/>
      <c r="CI796" s="15"/>
      <c r="CJ796" s="15"/>
      <c r="CK796" s="1107"/>
      <c r="CL796" s="22"/>
      <c r="CM796" s="22"/>
      <c r="CN796" s="1107"/>
      <c r="CR796" s="223"/>
      <c r="CS796" s="952"/>
      <c r="CT796" s="1066"/>
      <c r="CU796" s="972"/>
      <c r="CV796" s="983"/>
      <c r="CW796" s="222"/>
      <c r="CX796" s="697"/>
      <c r="DC796" s="222"/>
      <c r="DJ796" s="889"/>
      <c r="DM796" s="890"/>
      <c r="DN796" s="952"/>
      <c r="DO796" s="75"/>
      <c r="DP796" s="962"/>
      <c r="DQ796" s="983"/>
      <c r="DV796" s="889"/>
    </row>
    <row r="797" spans="1:126" s="74" customFormat="1">
      <c r="A797" s="15"/>
      <c r="B797" s="15"/>
      <c r="C797" s="15"/>
      <c r="D797" s="15"/>
      <c r="E797" s="6"/>
      <c r="F797" s="6"/>
      <c r="G797" s="6"/>
      <c r="K797" s="222"/>
      <c r="V797" s="1430"/>
      <c r="AA797" s="223"/>
      <c r="AC797" s="889"/>
      <c r="AF797" s="890"/>
      <c r="AJ797" s="889"/>
      <c r="AN797" s="222"/>
      <c r="BC797" s="223"/>
      <c r="BD797" s="222"/>
      <c r="BH797" s="611"/>
      <c r="BJ797" s="15"/>
      <c r="BK797" s="15"/>
      <c r="BO797" s="223"/>
      <c r="BQ797" s="889"/>
      <c r="BT797" s="890"/>
      <c r="BX797" s="889"/>
      <c r="CB797" s="15"/>
      <c r="CC797" s="697"/>
      <c r="CD797" s="1086"/>
      <c r="CE797" s="15"/>
      <c r="CF797" s="15"/>
      <c r="CG797" s="936"/>
      <c r="CH797" s="15"/>
      <c r="CI797" s="15"/>
      <c r="CJ797" s="15"/>
      <c r="CK797" s="1107"/>
      <c r="CL797" s="22"/>
      <c r="CM797" s="22"/>
      <c r="CN797" s="1107"/>
      <c r="CR797" s="223"/>
      <c r="CS797" s="952"/>
      <c r="CT797" s="1066"/>
      <c r="CU797" s="972"/>
      <c r="CV797" s="983"/>
      <c r="CW797" s="222"/>
      <c r="CX797" s="697"/>
      <c r="DC797" s="222"/>
      <c r="DJ797" s="889"/>
      <c r="DM797" s="890"/>
      <c r="DN797" s="952"/>
      <c r="DO797" s="75"/>
      <c r="DP797" s="962"/>
      <c r="DQ797" s="983"/>
      <c r="DV797" s="889"/>
    </row>
    <row r="798" spans="1:126" s="74" customFormat="1">
      <c r="A798" s="15"/>
      <c r="B798" s="15"/>
      <c r="C798" s="15"/>
      <c r="D798" s="15"/>
      <c r="E798" s="6"/>
      <c r="F798" s="6"/>
      <c r="G798" s="6"/>
      <c r="K798" s="222"/>
      <c r="V798" s="1430"/>
      <c r="AA798" s="223"/>
      <c r="AC798" s="889"/>
      <c r="AF798" s="890"/>
      <c r="AJ798" s="889"/>
      <c r="AN798" s="222"/>
      <c r="BC798" s="223"/>
      <c r="BD798" s="222"/>
      <c r="BH798" s="611"/>
      <c r="BJ798" s="15"/>
      <c r="BK798" s="15"/>
      <c r="BO798" s="223"/>
      <c r="BQ798" s="889"/>
      <c r="BT798" s="890"/>
      <c r="BX798" s="889"/>
      <c r="CB798" s="15"/>
      <c r="CC798" s="697"/>
      <c r="CD798" s="1086"/>
      <c r="CE798" s="15"/>
      <c r="CF798" s="15"/>
      <c r="CG798" s="936"/>
      <c r="CH798" s="15"/>
      <c r="CI798" s="15"/>
      <c r="CJ798" s="15"/>
      <c r="CK798" s="1107"/>
      <c r="CL798" s="22"/>
      <c r="CM798" s="22"/>
      <c r="CN798" s="1107"/>
      <c r="CR798" s="223"/>
      <c r="CS798" s="952"/>
      <c r="CT798" s="1066"/>
      <c r="CU798" s="972"/>
      <c r="CV798" s="983"/>
      <c r="CW798" s="222"/>
      <c r="CX798" s="697"/>
      <c r="DC798" s="222"/>
      <c r="DJ798" s="889"/>
      <c r="DM798" s="890"/>
      <c r="DN798" s="952"/>
      <c r="DO798" s="75"/>
      <c r="DP798" s="962"/>
      <c r="DQ798" s="983"/>
      <c r="DV798" s="889"/>
    </row>
    <row r="799" spans="1:126" s="74" customFormat="1">
      <c r="A799" s="15"/>
      <c r="B799" s="15"/>
      <c r="C799" s="15"/>
      <c r="D799" s="15"/>
      <c r="E799" s="6"/>
      <c r="F799" s="6"/>
      <c r="G799" s="6"/>
      <c r="K799" s="222"/>
      <c r="V799" s="1430"/>
      <c r="AA799" s="223"/>
      <c r="AC799" s="889"/>
      <c r="AF799" s="890"/>
      <c r="AJ799" s="889"/>
      <c r="AN799" s="222"/>
      <c r="BC799" s="223"/>
      <c r="BD799" s="222"/>
      <c r="BH799" s="611"/>
      <c r="BJ799" s="15"/>
      <c r="BK799" s="15"/>
      <c r="BO799" s="223"/>
      <c r="BQ799" s="889"/>
      <c r="BT799" s="890"/>
      <c r="BX799" s="889"/>
      <c r="CB799" s="15"/>
      <c r="CC799" s="697"/>
      <c r="CD799" s="1086"/>
      <c r="CE799" s="15"/>
      <c r="CF799" s="15"/>
      <c r="CG799" s="936"/>
      <c r="CH799" s="15"/>
      <c r="CI799" s="15"/>
      <c r="CJ799" s="15"/>
      <c r="CK799" s="1107"/>
      <c r="CL799" s="22"/>
      <c r="CM799" s="22"/>
      <c r="CN799" s="1107"/>
      <c r="CR799" s="223"/>
      <c r="CS799" s="952"/>
      <c r="CT799" s="1066"/>
      <c r="CU799" s="972"/>
      <c r="CV799" s="983"/>
      <c r="CW799" s="222"/>
      <c r="CX799" s="697"/>
      <c r="DC799" s="222"/>
      <c r="DJ799" s="889"/>
      <c r="DM799" s="890"/>
      <c r="DN799" s="952"/>
      <c r="DO799" s="75"/>
      <c r="DP799" s="962"/>
      <c r="DQ799" s="983"/>
      <c r="DV799" s="889"/>
    </row>
    <row r="800" spans="1:126" s="74" customFormat="1">
      <c r="A800" s="15"/>
      <c r="B800" s="15"/>
      <c r="C800" s="15"/>
      <c r="D800" s="15"/>
      <c r="E800" s="6"/>
      <c r="F800" s="6"/>
      <c r="G800" s="6"/>
      <c r="K800" s="222"/>
      <c r="V800" s="1430"/>
      <c r="AA800" s="223"/>
      <c r="AC800" s="889"/>
      <c r="AF800" s="890"/>
      <c r="AJ800" s="889"/>
      <c r="AN800" s="222"/>
      <c r="BC800" s="223"/>
      <c r="BD800" s="222"/>
      <c r="BH800" s="611"/>
      <c r="BJ800" s="15"/>
      <c r="BK800" s="15"/>
      <c r="BO800" s="223"/>
      <c r="BQ800" s="889"/>
      <c r="BT800" s="890"/>
      <c r="BX800" s="889"/>
      <c r="CB800" s="15"/>
      <c r="CC800" s="697"/>
      <c r="CD800" s="1086"/>
      <c r="CE800" s="15"/>
      <c r="CF800" s="15"/>
      <c r="CG800" s="936"/>
      <c r="CH800" s="15"/>
      <c r="CI800" s="15"/>
      <c r="CJ800" s="15"/>
      <c r="CK800" s="1107"/>
      <c r="CL800" s="22"/>
      <c r="CM800" s="22"/>
      <c r="CN800" s="1107"/>
      <c r="CR800" s="223"/>
      <c r="CS800" s="952"/>
      <c r="CT800" s="1066"/>
      <c r="CU800" s="972"/>
      <c r="CV800" s="983"/>
      <c r="CW800" s="222"/>
      <c r="CX800" s="697"/>
      <c r="DC800" s="222"/>
      <c r="DJ800" s="889"/>
      <c r="DM800" s="890"/>
      <c r="DN800" s="952"/>
      <c r="DO800" s="75"/>
      <c r="DP800" s="962"/>
      <c r="DQ800" s="983"/>
      <c r="DV800" s="889"/>
    </row>
    <row r="801" spans="1:126" s="74" customFormat="1">
      <c r="A801" s="15"/>
      <c r="B801" s="15"/>
      <c r="C801" s="15"/>
      <c r="D801" s="15"/>
      <c r="E801" s="6"/>
      <c r="F801" s="6"/>
      <c r="G801" s="6"/>
      <c r="K801" s="222"/>
      <c r="V801" s="1430"/>
      <c r="AA801" s="223"/>
      <c r="AC801" s="889"/>
      <c r="AF801" s="890"/>
      <c r="AJ801" s="889"/>
      <c r="AN801" s="222"/>
      <c r="BC801" s="223"/>
      <c r="BD801" s="222"/>
      <c r="BH801" s="611"/>
      <c r="BJ801" s="15"/>
      <c r="BK801" s="15"/>
      <c r="BO801" s="223"/>
      <c r="BQ801" s="889"/>
      <c r="BT801" s="890"/>
      <c r="BX801" s="889"/>
      <c r="CB801" s="15"/>
      <c r="CC801" s="697"/>
      <c r="CD801" s="1086"/>
      <c r="CE801" s="15"/>
      <c r="CF801" s="15"/>
      <c r="CG801" s="936"/>
      <c r="CH801" s="15"/>
      <c r="CI801" s="15"/>
      <c r="CJ801" s="15"/>
      <c r="CK801" s="1107"/>
      <c r="CL801" s="22"/>
      <c r="CM801" s="22"/>
      <c r="CN801" s="1107"/>
      <c r="CR801" s="223"/>
      <c r="CS801" s="952"/>
      <c r="CT801" s="1066"/>
      <c r="CU801" s="972"/>
      <c r="CV801" s="983"/>
      <c r="CW801" s="222"/>
      <c r="CX801" s="697"/>
      <c r="DC801" s="222"/>
      <c r="DJ801" s="889"/>
      <c r="DM801" s="890"/>
      <c r="DN801" s="952"/>
      <c r="DO801" s="75"/>
      <c r="DP801" s="962"/>
      <c r="DQ801" s="983"/>
      <c r="DV801" s="889"/>
    </row>
    <row r="802" spans="1:126" s="74" customFormat="1">
      <c r="A802" s="15"/>
      <c r="B802" s="15"/>
      <c r="C802" s="15"/>
      <c r="D802" s="15"/>
      <c r="E802" s="6"/>
      <c r="F802" s="6"/>
      <c r="G802" s="6"/>
      <c r="K802" s="222"/>
      <c r="V802" s="1430"/>
      <c r="AA802" s="223"/>
      <c r="AC802" s="889"/>
      <c r="AF802" s="890"/>
      <c r="AJ802" s="889"/>
      <c r="AN802" s="222"/>
      <c r="BC802" s="223"/>
      <c r="BD802" s="222"/>
      <c r="BH802" s="611"/>
      <c r="BJ802" s="15"/>
      <c r="BK802" s="15"/>
      <c r="BO802" s="223"/>
      <c r="BQ802" s="889"/>
      <c r="BT802" s="890"/>
      <c r="BX802" s="889"/>
      <c r="CB802" s="15"/>
      <c r="CC802" s="697"/>
      <c r="CD802" s="1086"/>
      <c r="CE802" s="15"/>
      <c r="CF802" s="15"/>
      <c r="CG802" s="936"/>
      <c r="CH802" s="15"/>
      <c r="CI802" s="15"/>
      <c r="CJ802" s="15"/>
      <c r="CK802" s="1107"/>
      <c r="CL802" s="22"/>
      <c r="CM802" s="22"/>
      <c r="CN802" s="1107"/>
      <c r="CR802" s="223"/>
      <c r="CS802" s="952"/>
      <c r="CT802" s="1066"/>
      <c r="CU802" s="972"/>
      <c r="CV802" s="983"/>
      <c r="CW802" s="222"/>
      <c r="CX802" s="697"/>
      <c r="DC802" s="222"/>
      <c r="DJ802" s="889"/>
      <c r="DM802" s="890"/>
      <c r="DN802" s="952"/>
      <c r="DO802" s="75"/>
      <c r="DP802" s="962"/>
      <c r="DQ802" s="983"/>
      <c r="DV802" s="889"/>
    </row>
    <row r="803" spans="1:126" s="74" customFormat="1">
      <c r="A803" s="15"/>
      <c r="B803" s="15"/>
      <c r="C803" s="15"/>
      <c r="D803" s="15"/>
      <c r="E803" s="6"/>
      <c r="F803" s="6"/>
      <c r="G803" s="6"/>
      <c r="K803" s="222"/>
      <c r="V803" s="1430"/>
      <c r="AA803" s="223"/>
      <c r="AC803" s="889"/>
      <c r="AF803" s="890"/>
      <c r="AJ803" s="889"/>
      <c r="AN803" s="222"/>
      <c r="BC803" s="223"/>
      <c r="BD803" s="222"/>
      <c r="BH803" s="611"/>
      <c r="BJ803" s="15"/>
      <c r="BK803" s="15"/>
      <c r="BO803" s="223"/>
      <c r="BQ803" s="889"/>
      <c r="BT803" s="890"/>
      <c r="BX803" s="889"/>
      <c r="CB803" s="15"/>
      <c r="CC803" s="697"/>
      <c r="CD803" s="1086"/>
      <c r="CE803" s="15"/>
      <c r="CF803" s="15"/>
      <c r="CG803" s="936"/>
      <c r="CH803" s="15"/>
      <c r="CI803" s="15"/>
      <c r="CJ803" s="15"/>
      <c r="CK803" s="1107"/>
      <c r="CL803" s="22"/>
      <c r="CM803" s="22"/>
      <c r="CN803" s="1107"/>
      <c r="CR803" s="223"/>
      <c r="CS803" s="952"/>
      <c r="CT803" s="1066"/>
      <c r="CU803" s="972"/>
      <c r="CV803" s="983"/>
      <c r="CW803" s="222"/>
      <c r="CX803" s="697"/>
      <c r="DC803" s="222"/>
      <c r="DJ803" s="889"/>
      <c r="DM803" s="890"/>
      <c r="DN803" s="952"/>
      <c r="DO803" s="75"/>
      <c r="DP803" s="962"/>
      <c r="DQ803" s="983"/>
      <c r="DV803" s="889"/>
    </row>
    <row r="804" spans="1:126" s="74" customFormat="1">
      <c r="A804" s="15"/>
      <c r="B804" s="15"/>
      <c r="C804" s="15"/>
      <c r="D804" s="15"/>
      <c r="E804" s="6"/>
      <c r="F804" s="6"/>
      <c r="G804" s="6"/>
      <c r="K804" s="222"/>
      <c r="V804" s="1430"/>
      <c r="AA804" s="223"/>
      <c r="AC804" s="889"/>
      <c r="AF804" s="890"/>
      <c r="AJ804" s="889"/>
      <c r="AN804" s="222"/>
      <c r="BC804" s="223"/>
      <c r="BD804" s="222"/>
      <c r="BH804" s="611"/>
      <c r="BJ804" s="15"/>
      <c r="BK804" s="15"/>
      <c r="BO804" s="223"/>
      <c r="BQ804" s="889"/>
      <c r="BT804" s="890"/>
      <c r="BX804" s="889"/>
      <c r="CB804" s="15"/>
      <c r="CC804" s="697"/>
      <c r="CD804" s="1086"/>
      <c r="CE804" s="15"/>
      <c r="CF804" s="15"/>
      <c r="CG804" s="936"/>
      <c r="CH804" s="15"/>
      <c r="CI804" s="15"/>
      <c r="CJ804" s="15"/>
      <c r="CK804" s="1107"/>
      <c r="CL804" s="22"/>
      <c r="CM804" s="22"/>
      <c r="CN804" s="1107"/>
      <c r="CR804" s="223"/>
      <c r="CS804" s="952"/>
      <c r="CT804" s="1066"/>
      <c r="CU804" s="972"/>
      <c r="CV804" s="983"/>
      <c r="CW804" s="222"/>
      <c r="CX804" s="697"/>
      <c r="DC804" s="222"/>
      <c r="DJ804" s="889"/>
      <c r="DM804" s="890"/>
      <c r="DN804" s="952"/>
      <c r="DO804" s="75"/>
      <c r="DP804" s="962"/>
      <c r="DQ804" s="983"/>
      <c r="DV804" s="889"/>
    </row>
    <row r="805" spans="1:126" s="74" customFormat="1">
      <c r="A805" s="15"/>
      <c r="B805" s="15"/>
      <c r="C805" s="15"/>
      <c r="D805" s="15"/>
      <c r="E805" s="6"/>
      <c r="F805" s="6"/>
      <c r="G805" s="6"/>
      <c r="K805" s="222"/>
      <c r="V805" s="1430"/>
      <c r="AA805" s="223"/>
      <c r="AC805" s="889"/>
      <c r="AF805" s="890"/>
      <c r="AJ805" s="889"/>
      <c r="AN805" s="222"/>
      <c r="BC805" s="223"/>
      <c r="BD805" s="222"/>
      <c r="BH805" s="611"/>
      <c r="BJ805" s="15"/>
      <c r="BK805" s="15"/>
      <c r="BO805" s="223"/>
      <c r="BQ805" s="889"/>
      <c r="BT805" s="890"/>
      <c r="BX805" s="889"/>
      <c r="CB805" s="15"/>
      <c r="CC805" s="697"/>
      <c r="CD805" s="1086"/>
      <c r="CE805" s="15"/>
      <c r="CF805" s="15"/>
      <c r="CG805" s="936"/>
      <c r="CH805" s="15"/>
      <c r="CI805" s="15"/>
      <c r="CJ805" s="15"/>
      <c r="CK805" s="1107"/>
      <c r="CL805" s="22"/>
      <c r="CM805" s="22"/>
      <c r="CN805" s="1107"/>
      <c r="CR805" s="223"/>
      <c r="CS805" s="952"/>
      <c r="CT805" s="1066"/>
      <c r="CU805" s="972"/>
      <c r="CV805" s="983"/>
      <c r="CW805" s="222"/>
      <c r="CX805" s="697"/>
      <c r="DC805" s="222"/>
      <c r="DJ805" s="889"/>
      <c r="DM805" s="890"/>
      <c r="DN805" s="952"/>
      <c r="DO805" s="75"/>
      <c r="DP805" s="962"/>
      <c r="DQ805" s="983"/>
      <c r="DV805" s="889"/>
    </row>
    <row r="806" spans="1:126" s="74" customFormat="1">
      <c r="A806" s="15"/>
      <c r="B806" s="15"/>
      <c r="C806" s="15"/>
      <c r="D806" s="15"/>
      <c r="E806" s="6"/>
      <c r="F806" s="6"/>
      <c r="G806" s="6"/>
      <c r="K806" s="222"/>
      <c r="V806" s="1430"/>
      <c r="AA806" s="223"/>
      <c r="AC806" s="889"/>
      <c r="AF806" s="890"/>
      <c r="AJ806" s="889"/>
      <c r="AN806" s="222"/>
      <c r="BC806" s="223"/>
      <c r="BD806" s="222"/>
      <c r="BH806" s="611"/>
      <c r="BJ806" s="15"/>
      <c r="BK806" s="15"/>
      <c r="BO806" s="223"/>
      <c r="BQ806" s="889"/>
      <c r="BT806" s="890"/>
      <c r="BX806" s="889"/>
      <c r="CB806" s="15"/>
      <c r="CC806" s="697"/>
      <c r="CD806" s="1086"/>
      <c r="CE806" s="15"/>
      <c r="CF806" s="15"/>
      <c r="CG806" s="936"/>
      <c r="CH806" s="15"/>
      <c r="CI806" s="15"/>
      <c r="CJ806" s="15"/>
      <c r="CK806" s="1107"/>
      <c r="CL806" s="22"/>
      <c r="CM806" s="22"/>
      <c r="CN806" s="1107"/>
      <c r="CR806" s="223"/>
      <c r="CS806" s="952"/>
      <c r="CT806" s="1066"/>
      <c r="CU806" s="972"/>
      <c r="CV806" s="983"/>
      <c r="CW806" s="222"/>
      <c r="CX806" s="697"/>
      <c r="DC806" s="222"/>
      <c r="DJ806" s="889"/>
      <c r="DM806" s="890"/>
      <c r="DN806" s="952"/>
      <c r="DO806" s="75"/>
      <c r="DP806" s="962"/>
      <c r="DQ806" s="983"/>
      <c r="DV806" s="889"/>
    </row>
    <row r="807" spans="1:126" s="74" customFormat="1">
      <c r="A807" s="15"/>
      <c r="B807" s="15"/>
      <c r="C807" s="15"/>
      <c r="D807" s="15"/>
      <c r="E807" s="6"/>
      <c r="F807" s="6"/>
      <c r="G807" s="6"/>
      <c r="K807" s="222"/>
      <c r="V807" s="1430"/>
      <c r="AA807" s="223"/>
      <c r="AC807" s="889"/>
      <c r="AF807" s="890"/>
      <c r="AJ807" s="889"/>
      <c r="AN807" s="222"/>
      <c r="BC807" s="223"/>
      <c r="BD807" s="222"/>
      <c r="BH807" s="611"/>
      <c r="BJ807" s="15"/>
      <c r="BK807" s="15"/>
      <c r="BO807" s="223"/>
      <c r="BQ807" s="889"/>
      <c r="BT807" s="890"/>
      <c r="BX807" s="889"/>
      <c r="CB807" s="15"/>
      <c r="CC807" s="697"/>
      <c r="CD807" s="1086"/>
      <c r="CE807" s="15"/>
      <c r="CF807" s="15"/>
      <c r="CG807" s="936"/>
      <c r="CH807" s="15"/>
      <c r="CI807" s="15"/>
      <c r="CJ807" s="15"/>
      <c r="CK807" s="1107"/>
      <c r="CL807" s="22"/>
      <c r="CM807" s="22"/>
      <c r="CN807" s="1107"/>
      <c r="CR807" s="223"/>
      <c r="CS807" s="952"/>
      <c r="CT807" s="1066"/>
      <c r="CU807" s="972"/>
      <c r="CV807" s="983"/>
      <c r="CW807" s="222"/>
      <c r="CX807" s="697"/>
      <c r="DC807" s="222"/>
      <c r="DJ807" s="889"/>
      <c r="DM807" s="890"/>
      <c r="DN807" s="952"/>
      <c r="DO807" s="75"/>
      <c r="DP807" s="962"/>
      <c r="DQ807" s="983"/>
      <c r="DV807" s="889"/>
    </row>
    <row r="808" spans="1:126" s="74" customFormat="1">
      <c r="A808" s="15"/>
      <c r="B808" s="15"/>
      <c r="C808" s="15"/>
      <c r="D808" s="15"/>
      <c r="E808" s="6"/>
      <c r="F808" s="6"/>
      <c r="G808" s="6"/>
      <c r="K808" s="222"/>
      <c r="V808" s="1430"/>
      <c r="AA808" s="223"/>
      <c r="AC808" s="889"/>
      <c r="AF808" s="890"/>
      <c r="AJ808" s="889"/>
      <c r="AN808" s="222"/>
      <c r="BC808" s="223"/>
      <c r="BD808" s="222"/>
      <c r="BH808" s="611"/>
      <c r="BJ808" s="15"/>
      <c r="BK808" s="15"/>
      <c r="BO808" s="223"/>
      <c r="BQ808" s="889"/>
      <c r="BT808" s="890"/>
      <c r="BX808" s="889"/>
      <c r="CB808" s="15"/>
      <c r="CC808" s="697"/>
      <c r="CD808" s="1086"/>
      <c r="CE808" s="15"/>
      <c r="CF808" s="15"/>
      <c r="CG808" s="936"/>
      <c r="CH808" s="15"/>
      <c r="CI808" s="15"/>
      <c r="CJ808" s="15"/>
      <c r="CK808" s="1107"/>
      <c r="CL808" s="22"/>
      <c r="CM808" s="22"/>
      <c r="CN808" s="1107"/>
      <c r="CR808" s="223"/>
      <c r="CS808" s="952"/>
      <c r="CT808" s="1066"/>
      <c r="CU808" s="972"/>
      <c r="CV808" s="983"/>
      <c r="CW808" s="222"/>
      <c r="CX808" s="697"/>
      <c r="DC808" s="222"/>
      <c r="DJ808" s="889"/>
      <c r="DM808" s="890"/>
      <c r="DN808" s="952"/>
      <c r="DO808" s="75"/>
      <c r="DP808" s="962"/>
      <c r="DQ808" s="983"/>
      <c r="DV808" s="889"/>
    </row>
    <row r="809" spans="1:126" s="74" customFormat="1">
      <c r="A809" s="15"/>
      <c r="B809" s="15"/>
      <c r="C809" s="15"/>
      <c r="D809" s="15"/>
      <c r="E809" s="6"/>
      <c r="F809" s="6"/>
      <c r="G809" s="6"/>
      <c r="K809" s="222"/>
      <c r="V809" s="1430"/>
      <c r="AA809" s="223"/>
      <c r="AC809" s="889"/>
      <c r="AF809" s="890"/>
      <c r="AJ809" s="889"/>
      <c r="AN809" s="222"/>
      <c r="BC809" s="223"/>
      <c r="BD809" s="222"/>
      <c r="BH809" s="611"/>
      <c r="BJ809" s="15"/>
      <c r="BK809" s="15"/>
      <c r="BO809" s="223"/>
      <c r="BQ809" s="889"/>
      <c r="BT809" s="890"/>
      <c r="BX809" s="889"/>
      <c r="CB809" s="15"/>
      <c r="CC809" s="697"/>
      <c r="CD809" s="1086"/>
      <c r="CE809" s="15"/>
      <c r="CF809" s="15"/>
      <c r="CG809" s="936"/>
      <c r="CH809" s="15"/>
      <c r="CI809" s="15"/>
      <c r="CJ809" s="15"/>
      <c r="CK809" s="1107"/>
      <c r="CL809" s="22"/>
      <c r="CM809" s="22"/>
      <c r="CN809" s="1107"/>
      <c r="CR809" s="223"/>
      <c r="CS809" s="952"/>
      <c r="CT809" s="1066"/>
      <c r="CU809" s="972"/>
      <c r="CV809" s="983"/>
      <c r="CW809" s="222"/>
      <c r="CX809" s="697"/>
      <c r="DC809" s="222"/>
      <c r="DJ809" s="889"/>
      <c r="DM809" s="890"/>
      <c r="DN809" s="952"/>
      <c r="DO809" s="75"/>
      <c r="DP809" s="962"/>
      <c r="DQ809" s="983"/>
      <c r="DV809" s="889"/>
    </row>
    <row r="810" spans="1:126" s="74" customFormat="1">
      <c r="A810" s="15"/>
      <c r="B810" s="15"/>
      <c r="C810" s="15"/>
      <c r="D810" s="15"/>
      <c r="E810" s="6"/>
      <c r="F810" s="6"/>
      <c r="G810" s="6"/>
      <c r="K810" s="222"/>
      <c r="V810" s="1430"/>
      <c r="AA810" s="223"/>
      <c r="AC810" s="889"/>
      <c r="AF810" s="890"/>
      <c r="AJ810" s="889"/>
      <c r="AN810" s="222"/>
      <c r="BC810" s="223"/>
      <c r="BD810" s="222"/>
      <c r="BH810" s="611"/>
      <c r="BJ810" s="15"/>
      <c r="BK810" s="15"/>
      <c r="BO810" s="223"/>
      <c r="BQ810" s="889"/>
      <c r="BT810" s="890"/>
      <c r="BX810" s="889"/>
      <c r="CB810" s="15"/>
      <c r="CC810" s="697"/>
      <c r="CD810" s="1086"/>
      <c r="CE810" s="15"/>
      <c r="CF810" s="15"/>
      <c r="CG810" s="936"/>
      <c r="CH810" s="15"/>
      <c r="CI810" s="15"/>
      <c r="CJ810" s="15"/>
      <c r="CK810" s="1107"/>
      <c r="CL810" s="22"/>
      <c r="CM810" s="22"/>
      <c r="CN810" s="1107"/>
      <c r="CR810" s="223"/>
      <c r="CS810" s="952"/>
      <c r="CT810" s="1066"/>
      <c r="CU810" s="972"/>
      <c r="CV810" s="983"/>
      <c r="CW810" s="222"/>
      <c r="CX810" s="697"/>
      <c r="DC810" s="222"/>
      <c r="DJ810" s="889"/>
      <c r="DM810" s="890"/>
      <c r="DN810" s="952"/>
      <c r="DO810" s="75"/>
      <c r="DP810" s="962"/>
      <c r="DQ810" s="983"/>
      <c r="DV810" s="889"/>
    </row>
    <row r="811" spans="1:126" s="74" customFormat="1">
      <c r="A811" s="15"/>
      <c r="B811" s="15"/>
      <c r="C811" s="15"/>
      <c r="D811" s="15"/>
      <c r="E811" s="6"/>
      <c r="F811" s="6"/>
      <c r="G811" s="6"/>
      <c r="K811" s="222"/>
      <c r="V811" s="1430"/>
      <c r="AA811" s="223"/>
      <c r="AC811" s="889"/>
      <c r="AF811" s="890"/>
      <c r="AJ811" s="889"/>
      <c r="AN811" s="222"/>
      <c r="BC811" s="223"/>
      <c r="BD811" s="222"/>
      <c r="BH811" s="611"/>
      <c r="BJ811" s="15"/>
      <c r="BK811" s="15"/>
      <c r="BO811" s="223"/>
      <c r="BQ811" s="889"/>
      <c r="BT811" s="890"/>
      <c r="BX811" s="889"/>
      <c r="CB811" s="15"/>
      <c r="CC811" s="697"/>
      <c r="CD811" s="1086"/>
      <c r="CE811" s="15"/>
      <c r="CF811" s="15"/>
      <c r="CG811" s="936"/>
      <c r="CH811" s="15"/>
      <c r="CI811" s="15"/>
      <c r="CJ811" s="15"/>
      <c r="CK811" s="1107"/>
      <c r="CL811" s="22"/>
      <c r="CM811" s="22"/>
      <c r="CN811" s="1107"/>
      <c r="CR811" s="223"/>
      <c r="CS811" s="952"/>
      <c r="CT811" s="1066"/>
      <c r="CU811" s="972"/>
      <c r="CV811" s="983"/>
      <c r="CW811" s="222"/>
      <c r="CX811" s="697"/>
      <c r="DC811" s="222"/>
      <c r="DJ811" s="889"/>
      <c r="DM811" s="890"/>
      <c r="DN811" s="952"/>
      <c r="DO811" s="75"/>
      <c r="DP811" s="962"/>
      <c r="DQ811" s="983"/>
      <c r="DV811" s="889"/>
    </row>
    <row r="812" spans="1:126" s="74" customFormat="1">
      <c r="A812" s="15"/>
      <c r="B812" s="15"/>
      <c r="C812" s="15"/>
      <c r="D812" s="15"/>
      <c r="E812" s="6"/>
      <c r="F812" s="6"/>
      <c r="G812" s="6"/>
      <c r="K812" s="222"/>
      <c r="V812" s="1430"/>
      <c r="AA812" s="223"/>
      <c r="AC812" s="889"/>
      <c r="AF812" s="890"/>
      <c r="AJ812" s="889"/>
      <c r="AN812" s="222"/>
      <c r="BC812" s="223"/>
      <c r="BD812" s="222"/>
      <c r="BH812" s="611"/>
      <c r="BJ812" s="15"/>
      <c r="BK812" s="15"/>
      <c r="BO812" s="223"/>
      <c r="BQ812" s="889"/>
      <c r="BT812" s="890"/>
      <c r="BX812" s="889"/>
      <c r="CB812" s="15"/>
      <c r="CC812" s="697"/>
      <c r="CD812" s="1086"/>
      <c r="CE812" s="15"/>
      <c r="CF812" s="15"/>
      <c r="CG812" s="936"/>
      <c r="CH812" s="15"/>
      <c r="CI812" s="15"/>
      <c r="CJ812" s="15"/>
      <c r="CK812" s="1107"/>
      <c r="CL812" s="22"/>
      <c r="CM812" s="22"/>
      <c r="CN812" s="1107"/>
      <c r="CR812" s="223"/>
      <c r="CS812" s="952"/>
      <c r="CT812" s="1066"/>
      <c r="CU812" s="972"/>
      <c r="CV812" s="983"/>
      <c r="CW812" s="222"/>
      <c r="CX812" s="697"/>
      <c r="DC812" s="222"/>
      <c r="DJ812" s="889"/>
      <c r="DM812" s="890"/>
      <c r="DN812" s="952"/>
      <c r="DO812" s="75"/>
      <c r="DP812" s="962"/>
      <c r="DQ812" s="983"/>
      <c r="DV812" s="889"/>
    </row>
    <row r="813" spans="1:126" s="74" customFormat="1">
      <c r="A813" s="15"/>
      <c r="B813" s="15"/>
      <c r="C813" s="15"/>
      <c r="D813" s="15"/>
      <c r="E813" s="6"/>
      <c r="F813" s="6"/>
      <c r="G813" s="6"/>
      <c r="K813" s="222"/>
      <c r="V813" s="1430"/>
      <c r="AA813" s="223"/>
      <c r="AC813" s="889"/>
      <c r="AF813" s="890"/>
      <c r="AJ813" s="889"/>
      <c r="AN813" s="222"/>
      <c r="BC813" s="223"/>
      <c r="BD813" s="222"/>
      <c r="BH813" s="611"/>
      <c r="BJ813" s="15"/>
      <c r="BK813" s="15"/>
      <c r="BO813" s="223"/>
      <c r="BQ813" s="889"/>
      <c r="BT813" s="890"/>
      <c r="BX813" s="889"/>
      <c r="CB813" s="15"/>
      <c r="CC813" s="697"/>
      <c r="CD813" s="1086"/>
      <c r="CE813" s="15"/>
      <c r="CF813" s="15"/>
      <c r="CG813" s="936"/>
      <c r="CH813" s="15"/>
      <c r="CI813" s="15"/>
      <c r="CJ813" s="15"/>
      <c r="CK813" s="1107"/>
      <c r="CL813" s="22"/>
      <c r="CM813" s="22"/>
      <c r="CN813" s="1107"/>
      <c r="CR813" s="223"/>
      <c r="CS813" s="952"/>
      <c r="CT813" s="1066"/>
      <c r="CU813" s="972"/>
      <c r="CV813" s="983"/>
      <c r="CW813" s="222"/>
      <c r="CX813" s="697"/>
      <c r="DC813" s="222"/>
      <c r="DJ813" s="889"/>
      <c r="DM813" s="890"/>
      <c r="DN813" s="952"/>
      <c r="DO813" s="75"/>
      <c r="DP813" s="962"/>
      <c r="DQ813" s="983"/>
      <c r="DV813" s="889"/>
    </row>
    <row r="814" spans="1:126" s="74" customFormat="1">
      <c r="A814" s="15"/>
      <c r="B814" s="15"/>
      <c r="C814" s="15"/>
      <c r="D814" s="15"/>
      <c r="E814" s="6"/>
      <c r="F814" s="6"/>
      <c r="G814" s="6"/>
      <c r="K814" s="222"/>
      <c r="V814" s="1430"/>
      <c r="AA814" s="223"/>
      <c r="AC814" s="889"/>
      <c r="AF814" s="890"/>
      <c r="AJ814" s="889"/>
      <c r="AN814" s="222"/>
      <c r="BC814" s="223"/>
      <c r="BD814" s="222"/>
      <c r="BH814" s="611"/>
      <c r="BJ814" s="15"/>
      <c r="BK814" s="15"/>
      <c r="BO814" s="223"/>
      <c r="BQ814" s="889"/>
      <c r="BT814" s="890"/>
      <c r="BX814" s="889"/>
      <c r="CB814" s="15"/>
      <c r="CC814" s="697"/>
      <c r="CD814" s="1086"/>
      <c r="CE814" s="15"/>
      <c r="CF814" s="15"/>
      <c r="CG814" s="936"/>
      <c r="CH814" s="15"/>
      <c r="CI814" s="15"/>
      <c r="CJ814" s="15"/>
      <c r="CK814" s="1107"/>
      <c r="CL814" s="22"/>
      <c r="CM814" s="22"/>
      <c r="CN814" s="1107"/>
      <c r="CR814" s="223"/>
      <c r="CS814" s="952"/>
      <c r="CT814" s="1066"/>
      <c r="CU814" s="972"/>
      <c r="CV814" s="983"/>
      <c r="CW814" s="222"/>
      <c r="CX814" s="697"/>
      <c r="DC814" s="222"/>
      <c r="DJ814" s="889"/>
      <c r="DM814" s="890"/>
      <c r="DN814" s="952"/>
      <c r="DO814" s="75"/>
      <c r="DP814" s="962"/>
      <c r="DQ814" s="983"/>
      <c r="DV814" s="889"/>
    </row>
    <row r="815" spans="1:126" s="74" customFormat="1">
      <c r="A815" s="15"/>
      <c r="B815" s="15"/>
      <c r="C815" s="15"/>
      <c r="D815" s="15"/>
      <c r="E815" s="6"/>
      <c r="F815" s="6"/>
      <c r="G815" s="6"/>
      <c r="K815" s="222"/>
      <c r="V815" s="1430"/>
      <c r="AA815" s="223"/>
      <c r="AC815" s="889"/>
      <c r="AF815" s="890"/>
      <c r="AJ815" s="889"/>
      <c r="AN815" s="222"/>
      <c r="BC815" s="223"/>
      <c r="BD815" s="222"/>
      <c r="BH815" s="611"/>
      <c r="BJ815" s="15"/>
      <c r="BK815" s="15"/>
      <c r="BO815" s="223"/>
      <c r="BQ815" s="889"/>
      <c r="BT815" s="890"/>
      <c r="BX815" s="889"/>
      <c r="CB815" s="15"/>
      <c r="CC815" s="697"/>
      <c r="CD815" s="1086"/>
      <c r="CE815" s="15"/>
      <c r="CF815" s="15"/>
      <c r="CG815" s="936"/>
      <c r="CH815" s="15"/>
      <c r="CI815" s="15"/>
      <c r="CJ815" s="15"/>
      <c r="CK815" s="1107"/>
      <c r="CL815" s="22"/>
      <c r="CM815" s="22"/>
      <c r="CN815" s="1107"/>
      <c r="CR815" s="223"/>
      <c r="CS815" s="952"/>
      <c r="CT815" s="1066"/>
      <c r="CU815" s="972"/>
      <c r="CV815" s="983"/>
      <c r="CW815" s="222"/>
      <c r="CX815" s="697"/>
      <c r="DC815" s="222"/>
      <c r="DJ815" s="889"/>
      <c r="DM815" s="890"/>
      <c r="DN815" s="952"/>
      <c r="DO815" s="75"/>
      <c r="DP815" s="962"/>
      <c r="DQ815" s="983"/>
      <c r="DV815" s="889"/>
    </row>
    <row r="816" spans="1:126" s="74" customFormat="1">
      <c r="A816" s="15"/>
      <c r="B816" s="15"/>
      <c r="C816" s="15"/>
      <c r="D816" s="15"/>
      <c r="E816" s="6"/>
      <c r="F816" s="6"/>
      <c r="G816" s="6"/>
      <c r="K816" s="222"/>
      <c r="V816" s="1430"/>
      <c r="AA816" s="223"/>
      <c r="AC816" s="889"/>
      <c r="AF816" s="890"/>
      <c r="AJ816" s="889"/>
      <c r="AN816" s="222"/>
      <c r="BC816" s="223"/>
      <c r="BD816" s="222"/>
      <c r="BH816" s="611"/>
      <c r="BJ816" s="15"/>
      <c r="BK816" s="15"/>
      <c r="BO816" s="223"/>
      <c r="BQ816" s="889"/>
      <c r="BT816" s="890"/>
      <c r="BX816" s="889"/>
      <c r="CB816" s="15"/>
      <c r="CC816" s="697"/>
      <c r="CD816" s="1086"/>
      <c r="CE816" s="15"/>
      <c r="CF816" s="15"/>
      <c r="CG816" s="936"/>
      <c r="CH816" s="15"/>
      <c r="CI816" s="15"/>
      <c r="CJ816" s="15"/>
      <c r="CK816" s="1107"/>
      <c r="CL816" s="22"/>
      <c r="CM816" s="22"/>
      <c r="CN816" s="1107"/>
      <c r="CR816" s="223"/>
      <c r="CS816" s="952"/>
      <c r="CT816" s="1066"/>
      <c r="CU816" s="972"/>
      <c r="CV816" s="983"/>
      <c r="CW816" s="222"/>
      <c r="CX816" s="697"/>
      <c r="DC816" s="222"/>
      <c r="DJ816" s="889"/>
      <c r="DM816" s="890"/>
      <c r="DN816" s="952"/>
      <c r="DO816" s="75"/>
      <c r="DP816" s="962"/>
      <c r="DQ816" s="983"/>
      <c r="DV816" s="889"/>
    </row>
    <row r="817" spans="1:126" s="74" customFormat="1">
      <c r="A817" s="15"/>
      <c r="B817" s="15"/>
      <c r="C817" s="15"/>
      <c r="D817" s="15"/>
      <c r="E817" s="6"/>
      <c r="F817" s="6"/>
      <c r="G817" s="6"/>
      <c r="K817" s="222"/>
      <c r="V817" s="1430"/>
      <c r="AA817" s="223"/>
      <c r="AC817" s="889"/>
      <c r="AF817" s="890"/>
      <c r="AJ817" s="889"/>
      <c r="AN817" s="222"/>
      <c r="BC817" s="223"/>
      <c r="BD817" s="222"/>
      <c r="BH817" s="611"/>
      <c r="BJ817" s="15"/>
      <c r="BK817" s="15"/>
      <c r="BO817" s="223"/>
      <c r="BQ817" s="889"/>
      <c r="BT817" s="890"/>
      <c r="BX817" s="889"/>
      <c r="CB817" s="15"/>
      <c r="CC817" s="697"/>
      <c r="CD817" s="1086"/>
      <c r="CE817" s="15"/>
      <c r="CF817" s="15"/>
      <c r="CG817" s="936"/>
      <c r="CH817" s="15"/>
      <c r="CI817" s="15"/>
      <c r="CJ817" s="15"/>
      <c r="CK817" s="1107"/>
      <c r="CL817" s="22"/>
      <c r="CM817" s="22"/>
      <c r="CN817" s="1107"/>
      <c r="CR817" s="223"/>
      <c r="CS817" s="952"/>
      <c r="CT817" s="1066"/>
      <c r="CU817" s="972"/>
      <c r="CV817" s="983"/>
      <c r="CW817" s="222"/>
      <c r="CX817" s="697"/>
      <c r="DC817" s="222"/>
      <c r="DJ817" s="889"/>
      <c r="DM817" s="890"/>
      <c r="DN817" s="952"/>
      <c r="DO817" s="75"/>
      <c r="DP817" s="962"/>
      <c r="DQ817" s="983"/>
      <c r="DV817" s="889"/>
    </row>
    <row r="818" spans="1:126" s="74" customFormat="1">
      <c r="A818" s="15"/>
      <c r="B818" s="15"/>
      <c r="C818" s="15"/>
      <c r="D818" s="15"/>
      <c r="E818" s="6"/>
      <c r="F818" s="6"/>
      <c r="G818" s="6"/>
      <c r="K818" s="222"/>
      <c r="V818" s="1430"/>
      <c r="AA818" s="223"/>
      <c r="AC818" s="889"/>
      <c r="AF818" s="890"/>
      <c r="AJ818" s="889"/>
      <c r="AN818" s="222"/>
      <c r="BC818" s="223"/>
      <c r="BD818" s="222"/>
      <c r="BH818" s="611"/>
      <c r="BJ818" s="15"/>
      <c r="BK818" s="15"/>
      <c r="BO818" s="223"/>
      <c r="BQ818" s="889"/>
      <c r="BT818" s="890"/>
      <c r="BX818" s="889"/>
      <c r="CB818" s="15"/>
      <c r="CC818" s="697"/>
      <c r="CD818" s="1086"/>
      <c r="CE818" s="15"/>
      <c r="CF818" s="15"/>
      <c r="CG818" s="936"/>
      <c r="CH818" s="15"/>
      <c r="CI818" s="15"/>
      <c r="CJ818" s="15"/>
      <c r="CK818" s="1107"/>
      <c r="CL818" s="22"/>
      <c r="CM818" s="22"/>
      <c r="CN818" s="1107"/>
      <c r="CR818" s="223"/>
      <c r="CS818" s="952"/>
      <c r="CT818" s="1066"/>
      <c r="CU818" s="972"/>
      <c r="CV818" s="983"/>
      <c r="CW818" s="222"/>
      <c r="CX818" s="697"/>
      <c r="DC818" s="222"/>
      <c r="DJ818" s="889"/>
      <c r="DM818" s="890"/>
      <c r="DN818" s="952"/>
      <c r="DO818" s="75"/>
      <c r="DP818" s="962"/>
      <c r="DQ818" s="983"/>
      <c r="DV818" s="889"/>
    </row>
    <row r="819" spans="1:126" s="74" customFormat="1">
      <c r="A819" s="15"/>
      <c r="B819" s="15"/>
      <c r="C819" s="15"/>
      <c r="D819" s="15"/>
      <c r="E819" s="6"/>
      <c r="F819" s="6"/>
      <c r="G819" s="6"/>
      <c r="K819" s="222"/>
      <c r="V819" s="1430"/>
      <c r="AA819" s="223"/>
      <c r="AC819" s="889"/>
      <c r="AF819" s="890"/>
      <c r="AJ819" s="889"/>
      <c r="AN819" s="222"/>
      <c r="BC819" s="223"/>
      <c r="BD819" s="222"/>
      <c r="BH819" s="611"/>
      <c r="BJ819" s="15"/>
      <c r="BK819" s="15"/>
      <c r="BO819" s="223"/>
      <c r="BQ819" s="889"/>
      <c r="BT819" s="890"/>
      <c r="BX819" s="889"/>
      <c r="CB819" s="15"/>
      <c r="CC819" s="697"/>
      <c r="CD819" s="1086"/>
      <c r="CE819" s="15"/>
      <c r="CF819" s="15"/>
      <c r="CG819" s="936"/>
      <c r="CH819" s="15"/>
      <c r="CI819" s="15"/>
      <c r="CJ819" s="15"/>
      <c r="CK819" s="1107"/>
      <c r="CL819" s="22"/>
      <c r="CM819" s="22"/>
      <c r="CN819" s="1107"/>
      <c r="CR819" s="223"/>
      <c r="CS819" s="952"/>
      <c r="CT819" s="1066"/>
      <c r="CU819" s="972"/>
      <c r="CV819" s="983"/>
      <c r="CW819" s="222"/>
      <c r="CX819" s="697"/>
      <c r="DC819" s="222"/>
      <c r="DJ819" s="889"/>
      <c r="DM819" s="890"/>
      <c r="DN819" s="952"/>
      <c r="DO819" s="75"/>
      <c r="DP819" s="962"/>
      <c r="DQ819" s="983"/>
      <c r="DV819" s="889"/>
    </row>
    <row r="820" spans="1:126" s="74" customFormat="1">
      <c r="A820" s="15"/>
      <c r="B820" s="15"/>
      <c r="C820" s="15"/>
      <c r="D820" s="15"/>
      <c r="E820" s="6"/>
      <c r="F820" s="6"/>
      <c r="G820" s="6"/>
      <c r="K820" s="222"/>
      <c r="V820" s="1430"/>
      <c r="AA820" s="223"/>
      <c r="AC820" s="889"/>
      <c r="AF820" s="890"/>
      <c r="AJ820" s="889"/>
      <c r="AN820" s="222"/>
      <c r="BC820" s="223"/>
      <c r="BD820" s="222"/>
      <c r="BH820" s="611"/>
      <c r="BJ820" s="15"/>
      <c r="BK820" s="15"/>
      <c r="BO820" s="223"/>
      <c r="BQ820" s="889"/>
      <c r="BT820" s="890"/>
      <c r="BX820" s="889"/>
      <c r="CB820" s="15"/>
      <c r="CC820" s="697"/>
      <c r="CD820" s="1086"/>
      <c r="CE820" s="15"/>
      <c r="CF820" s="15"/>
      <c r="CG820" s="936"/>
      <c r="CH820" s="15"/>
      <c r="CI820" s="15"/>
      <c r="CJ820" s="15"/>
      <c r="CK820" s="1107"/>
      <c r="CL820" s="22"/>
      <c r="CM820" s="22"/>
      <c r="CN820" s="1107"/>
      <c r="CR820" s="223"/>
      <c r="CS820" s="952"/>
      <c r="CT820" s="1066"/>
      <c r="CU820" s="972"/>
      <c r="CV820" s="983"/>
      <c r="CW820" s="222"/>
      <c r="CX820" s="697"/>
      <c r="DC820" s="222"/>
      <c r="DJ820" s="889"/>
      <c r="DM820" s="890"/>
      <c r="DN820" s="952"/>
      <c r="DO820" s="75"/>
      <c r="DP820" s="962"/>
      <c r="DQ820" s="983"/>
      <c r="DV820" s="889"/>
    </row>
    <row r="821" spans="1:126" s="74" customFormat="1">
      <c r="A821" s="15"/>
      <c r="B821" s="15"/>
      <c r="C821" s="15"/>
      <c r="D821" s="15"/>
      <c r="E821" s="6"/>
      <c r="F821" s="6"/>
      <c r="G821" s="6"/>
      <c r="K821" s="222"/>
      <c r="V821" s="1430"/>
      <c r="AA821" s="223"/>
      <c r="AC821" s="889"/>
      <c r="AF821" s="890"/>
      <c r="AJ821" s="889"/>
      <c r="AN821" s="222"/>
      <c r="BC821" s="223"/>
      <c r="BD821" s="222"/>
      <c r="BH821" s="611"/>
      <c r="BJ821" s="15"/>
      <c r="BK821" s="15"/>
      <c r="BO821" s="223"/>
      <c r="BQ821" s="889"/>
      <c r="BT821" s="890"/>
      <c r="BX821" s="889"/>
      <c r="CB821" s="15"/>
      <c r="CC821" s="697"/>
      <c r="CD821" s="1086"/>
      <c r="CE821" s="15"/>
      <c r="CF821" s="15"/>
      <c r="CG821" s="936"/>
      <c r="CH821" s="15"/>
      <c r="CI821" s="15"/>
      <c r="CJ821" s="15"/>
      <c r="CK821" s="1107"/>
      <c r="CL821" s="22"/>
      <c r="CM821" s="22"/>
      <c r="CN821" s="1107"/>
      <c r="CR821" s="223"/>
      <c r="CS821" s="952"/>
      <c r="CT821" s="1066"/>
      <c r="CU821" s="972"/>
      <c r="CV821" s="983"/>
      <c r="CW821" s="222"/>
      <c r="CX821" s="697"/>
      <c r="DC821" s="222"/>
      <c r="DJ821" s="889"/>
      <c r="DM821" s="890"/>
      <c r="DN821" s="952"/>
      <c r="DO821" s="75"/>
      <c r="DP821" s="962"/>
      <c r="DQ821" s="983"/>
      <c r="DV821" s="889"/>
    </row>
    <row r="822" spans="1:126" s="74" customFormat="1">
      <c r="A822" s="15"/>
      <c r="B822" s="15"/>
      <c r="C822" s="15"/>
      <c r="D822" s="15"/>
      <c r="E822" s="6"/>
      <c r="F822" s="6"/>
      <c r="G822" s="6"/>
      <c r="K822" s="222"/>
      <c r="V822" s="1430"/>
      <c r="AA822" s="223"/>
      <c r="AC822" s="889"/>
      <c r="AF822" s="890"/>
      <c r="AJ822" s="889"/>
      <c r="AN822" s="222"/>
      <c r="BC822" s="223"/>
      <c r="BD822" s="222"/>
      <c r="BH822" s="611"/>
      <c r="BJ822" s="15"/>
      <c r="BK822" s="15"/>
      <c r="BO822" s="223"/>
      <c r="BQ822" s="889"/>
      <c r="BT822" s="890"/>
      <c r="BX822" s="889"/>
      <c r="CB822" s="15"/>
      <c r="CC822" s="697"/>
      <c r="CD822" s="1086"/>
      <c r="CE822" s="15"/>
      <c r="CF822" s="15"/>
      <c r="CG822" s="936"/>
      <c r="CH822" s="15"/>
      <c r="CI822" s="15"/>
      <c r="CJ822" s="15"/>
      <c r="CK822" s="1107"/>
      <c r="CL822" s="22"/>
      <c r="CM822" s="22"/>
      <c r="CN822" s="1107"/>
      <c r="CR822" s="223"/>
      <c r="CS822" s="952"/>
      <c r="CT822" s="1066"/>
      <c r="CU822" s="972"/>
      <c r="CV822" s="983"/>
      <c r="CW822" s="222"/>
      <c r="CX822" s="697"/>
      <c r="DC822" s="222"/>
      <c r="DJ822" s="889"/>
      <c r="DM822" s="890"/>
      <c r="DN822" s="952"/>
      <c r="DO822" s="75"/>
      <c r="DP822" s="962"/>
      <c r="DQ822" s="983"/>
      <c r="DV822" s="889"/>
    </row>
    <row r="823" spans="1:126" s="74" customFormat="1">
      <c r="A823" s="15"/>
      <c r="B823" s="15"/>
      <c r="C823" s="15"/>
      <c r="D823" s="15"/>
      <c r="E823" s="6"/>
      <c r="F823" s="6"/>
      <c r="G823" s="6"/>
      <c r="K823" s="222"/>
      <c r="V823" s="1430"/>
      <c r="AA823" s="223"/>
      <c r="AC823" s="889"/>
      <c r="AF823" s="890"/>
      <c r="AJ823" s="889"/>
      <c r="AN823" s="222"/>
      <c r="BC823" s="223"/>
      <c r="BD823" s="222"/>
      <c r="BH823" s="611"/>
      <c r="BJ823" s="15"/>
      <c r="BK823" s="15"/>
      <c r="BO823" s="223"/>
      <c r="BQ823" s="889"/>
      <c r="BT823" s="890"/>
      <c r="BX823" s="889"/>
      <c r="CB823" s="15"/>
      <c r="CC823" s="697"/>
      <c r="CD823" s="1086"/>
      <c r="CE823" s="15"/>
      <c r="CF823" s="15"/>
      <c r="CG823" s="936"/>
      <c r="CH823" s="15"/>
      <c r="CI823" s="15"/>
      <c r="CJ823" s="15"/>
      <c r="CK823" s="1107"/>
      <c r="CL823" s="22"/>
      <c r="CM823" s="22"/>
      <c r="CN823" s="1107"/>
      <c r="CR823" s="223"/>
      <c r="CS823" s="952"/>
      <c r="CT823" s="1066"/>
      <c r="CU823" s="972"/>
      <c r="CV823" s="983"/>
      <c r="CW823" s="222"/>
      <c r="CX823" s="697"/>
      <c r="DC823" s="222"/>
      <c r="DJ823" s="889"/>
      <c r="DM823" s="890"/>
      <c r="DN823" s="952"/>
      <c r="DO823" s="75"/>
      <c r="DP823" s="962"/>
      <c r="DQ823" s="983"/>
      <c r="DV823" s="889"/>
    </row>
    <row r="824" spans="1:126" s="74" customFormat="1">
      <c r="A824" s="15"/>
      <c r="B824" s="15"/>
      <c r="C824" s="15"/>
      <c r="D824" s="15"/>
      <c r="E824" s="6"/>
      <c r="F824" s="6"/>
      <c r="G824" s="6"/>
      <c r="K824" s="222"/>
      <c r="V824" s="1430"/>
      <c r="AA824" s="223"/>
      <c r="AC824" s="889"/>
      <c r="AF824" s="890"/>
      <c r="AJ824" s="889"/>
      <c r="AN824" s="222"/>
      <c r="BC824" s="223"/>
      <c r="BD824" s="222"/>
      <c r="BH824" s="611"/>
      <c r="BJ824" s="15"/>
      <c r="BK824" s="15"/>
      <c r="BO824" s="223"/>
      <c r="BQ824" s="889"/>
      <c r="BT824" s="890"/>
      <c r="BX824" s="889"/>
      <c r="CB824" s="15"/>
      <c r="CC824" s="697"/>
      <c r="CD824" s="1086"/>
      <c r="CE824" s="15"/>
      <c r="CF824" s="15"/>
      <c r="CG824" s="936"/>
      <c r="CH824" s="15"/>
      <c r="CI824" s="15"/>
      <c r="CJ824" s="15"/>
      <c r="CK824" s="1107"/>
      <c r="CL824" s="22"/>
      <c r="CM824" s="22"/>
      <c r="CN824" s="1107"/>
      <c r="CR824" s="223"/>
      <c r="CS824" s="952"/>
      <c r="CT824" s="1066"/>
      <c r="CU824" s="972"/>
      <c r="CV824" s="983"/>
      <c r="CW824" s="222"/>
      <c r="CX824" s="697"/>
      <c r="DC824" s="222"/>
      <c r="DJ824" s="889"/>
      <c r="DM824" s="890"/>
      <c r="DN824" s="952"/>
      <c r="DO824" s="75"/>
      <c r="DP824" s="962"/>
      <c r="DQ824" s="983"/>
      <c r="DV824" s="889"/>
    </row>
    <row r="825" spans="1:126" s="74" customFormat="1">
      <c r="A825" s="15"/>
      <c r="B825" s="15"/>
      <c r="C825" s="15"/>
      <c r="D825" s="15"/>
      <c r="E825" s="6"/>
      <c r="F825" s="6"/>
      <c r="G825" s="6"/>
      <c r="K825" s="222"/>
      <c r="V825" s="1430"/>
      <c r="AA825" s="223"/>
      <c r="AC825" s="889"/>
      <c r="AF825" s="890"/>
      <c r="AJ825" s="889"/>
      <c r="AN825" s="222"/>
      <c r="BC825" s="223"/>
      <c r="BD825" s="222"/>
      <c r="BH825" s="611"/>
      <c r="BJ825" s="15"/>
      <c r="BK825" s="15"/>
      <c r="BO825" s="223"/>
      <c r="BQ825" s="889"/>
      <c r="BT825" s="890"/>
      <c r="BX825" s="889"/>
      <c r="CB825" s="15"/>
      <c r="CC825" s="697"/>
      <c r="CD825" s="1086"/>
      <c r="CE825" s="15"/>
      <c r="CF825" s="15"/>
      <c r="CG825" s="936"/>
      <c r="CH825" s="15"/>
      <c r="CI825" s="15"/>
      <c r="CJ825" s="15"/>
      <c r="CK825" s="1107"/>
      <c r="CL825" s="22"/>
      <c r="CM825" s="22"/>
      <c r="CN825" s="1107"/>
      <c r="CR825" s="223"/>
      <c r="CS825" s="952"/>
      <c r="CT825" s="1066"/>
      <c r="CU825" s="972"/>
      <c r="CV825" s="983"/>
      <c r="CW825" s="222"/>
      <c r="CX825" s="697"/>
      <c r="DC825" s="222"/>
      <c r="DJ825" s="889"/>
      <c r="DM825" s="890"/>
      <c r="DN825" s="952"/>
      <c r="DO825" s="75"/>
      <c r="DP825" s="962"/>
      <c r="DQ825" s="983"/>
      <c r="DV825" s="889"/>
    </row>
    <row r="826" spans="1:126" s="74" customFormat="1">
      <c r="A826" s="15"/>
      <c r="B826" s="15"/>
      <c r="C826" s="15"/>
      <c r="D826" s="15"/>
      <c r="E826" s="6"/>
      <c r="F826" s="6"/>
      <c r="G826" s="6"/>
      <c r="K826" s="222"/>
      <c r="V826" s="1430"/>
      <c r="AA826" s="223"/>
      <c r="AC826" s="889"/>
      <c r="AF826" s="890"/>
      <c r="AJ826" s="889"/>
      <c r="AN826" s="222"/>
      <c r="BC826" s="223"/>
      <c r="BD826" s="222"/>
      <c r="BH826" s="611"/>
      <c r="BJ826" s="15"/>
      <c r="BK826" s="15"/>
      <c r="BO826" s="223"/>
      <c r="BQ826" s="889"/>
      <c r="BT826" s="890"/>
      <c r="BX826" s="889"/>
      <c r="CB826" s="15"/>
      <c r="CC826" s="697"/>
      <c r="CD826" s="1086"/>
      <c r="CE826" s="15"/>
      <c r="CF826" s="15"/>
      <c r="CG826" s="936"/>
      <c r="CH826" s="15"/>
      <c r="CI826" s="15"/>
      <c r="CJ826" s="15"/>
      <c r="CK826" s="1107"/>
      <c r="CL826" s="22"/>
      <c r="CM826" s="22"/>
      <c r="CN826" s="1107"/>
      <c r="CR826" s="223"/>
      <c r="CS826" s="952"/>
      <c r="CT826" s="1066"/>
      <c r="CU826" s="972"/>
      <c r="CV826" s="983"/>
      <c r="CW826" s="222"/>
      <c r="CX826" s="697"/>
      <c r="DC826" s="222"/>
      <c r="DJ826" s="889"/>
      <c r="DM826" s="890"/>
      <c r="DN826" s="952"/>
      <c r="DO826" s="75"/>
      <c r="DP826" s="962"/>
      <c r="DQ826" s="983"/>
      <c r="DV826" s="889"/>
    </row>
    <row r="827" spans="1:126" s="74" customFormat="1">
      <c r="A827" s="15"/>
      <c r="B827" s="15"/>
      <c r="C827" s="15"/>
      <c r="D827" s="15"/>
      <c r="E827" s="6"/>
      <c r="F827" s="6"/>
      <c r="G827" s="6"/>
      <c r="K827" s="222"/>
      <c r="V827" s="1430"/>
      <c r="AA827" s="223"/>
      <c r="AC827" s="889"/>
      <c r="AF827" s="890"/>
      <c r="AJ827" s="889"/>
      <c r="AN827" s="222"/>
      <c r="BC827" s="223"/>
      <c r="BD827" s="222"/>
      <c r="BH827" s="611"/>
      <c r="BJ827" s="15"/>
      <c r="BK827" s="15"/>
      <c r="BO827" s="223"/>
      <c r="BQ827" s="889"/>
      <c r="BT827" s="890"/>
      <c r="BX827" s="889"/>
      <c r="CB827" s="15"/>
      <c r="CC827" s="697"/>
      <c r="CD827" s="1086"/>
      <c r="CE827" s="15"/>
      <c r="CF827" s="15"/>
      <c r="CG827" s="936"/>
      <c r="CH827" s="15"/>
      <c r="CI827" s="15"/>
      <c r="CJ827" s="15"/>
      <c r="CK827" s="1107"/>
      <c r="CL827" s="22"/>
      <c r="CM827" s="22"/>
      <c r="CN827" s="1107"/>
      <c r="CR827" s="223"/>
      <c r="CS827" s="952"/>
      <c r="CT827" s="1066"/>
      <c r="CU827" s="972"/>
      <c r="CV827" s="983"/>
      <c r="CW827" s="222"/>
      <c r="CX827" s="697"/>
      <c r="DC827" s="222"/>
      <c r="DJ827" s="889"/>
      <c r="DM827" s="890"/>
      <c r="DN827" s="952"/>
      <c r="DO827" s="75"/>
      <c r="DP827" s="962"/>
      <c r="DQ827" s="983"/>
      <c r="DV827" s="889"/>
    </row>
    <row r="828" spans="1:126" s="74" customFormat="1">
      <c r="A828" s="15"/>
      <c r="B828" s="15"/>
      <c r="C828" s="15"/>
      <c r="D828" s="15"/>
      <c r="E828" s="6"/>
      <c r="F828" s="6"/>
      <c r="G828" s="6"/>
      <c r="K828" s="222"/>
      <c r="V828" s="1430"/>
      <c r="AA828" s="223"/>
      <c r="AC828" s="889"/>
      <c r="AF828" s="890"/>
      <c r="AJ828" s="889"/>
      <c r="AN828" s="222"/>
      <c r="BC828" s="223"/>
      <c r="BD828" s="222"/>
      <c r="BH828" s="611"/>
      <c r="BJ828" s="15"/>
      <c r="BK828" s="15"/>
      <c r="BO828" s="223"/>
      <c r="BQ828" s="889"/>
      <c r="BT828" s="890"/>
      <c r="BX828" s="889"/>
      <c r="CB828" s="15"/>
      <c r="CC828" s="697"/>
      <c r="CD828" s="1086"/>
      <c r="CE828" s="15"/>
      <c r="CF828" s="15"/>
      <c r="CG828" s="936"/>
      <c r="CH828" s="15"/>
      <c r="CI828" s="15"/>
      <c r="CJ828" s="15"/>
      <c r="CK828" s="1107"/>
      <c r="CL828" s="22"/>
      <c r="CM828" s="22"/>
      <c r="CN828" s="1107"/>
      <c r="CR828" s="223"/>
      <c r="CS828" s="952"/>
      <c r="CT828" s="1066"/>
      <c r="CU828" s="972"/>
      <c r="CV828" s="983"/>
      <c r="CW828" s="222"/>
      <c r="CX828" s="697"/>
      <c r="DC828" s="222"/>
      <c r="DJ828" s="889"/>
      <c r="DM828" s="890"/>
      <c r="DN828" s="952"/>
      <c r="DO828" s="75"/>
      <c r="DP828" s="962"/>
      <c r="DQ828" s="983"/>
      <c r="DV828" s="889"/>
    </row>
    <row r="829" spans="1:126" s="74" customFormat="1">
      <c r="A829" s="15"/>
      <c r="B829" s="15"/>
      <c r="C829" s="15"/>
      <c r="D829" s="15"/>
      <c r="E829" s="6"/>
      <c r="F829" s="6"/>
      <c r="G829" s="6"/>
      <c r="K829" s="222"/>
      <c r="V829" s="1430"/>
      <c r="AA829" s="223"/>
      <c r="AC829" s="889"/>
      <c r="AF829" s="890"/>
      <c r="AJ829" s="889"/>
      <c r="AN829" s="222"/>
      <c r="BC829" s="223"/>
      <c r="BD829" s="222"/>
      <c r="BH829" s="611"/>
      <c r="BJ829" s="15"/>
      <c r="BK829" s="15"/>
      <c r="BO829" s="223"/>
      <c r="BQ829" s="889"/>
      <c r="BT829" s="890"/>
      <c r="BX829" s="889"/>
      <c r="CB829" s="15"/>
      <c r="CC829" s="697"/>
      <c r="CD829" s="1086"/>
      <c r="CE829" s="15"/>
      <c r="CF829" s="15"/>
      <c r="CG829" s="936"/>
      <c r="CH829" s="15"/>
      <c r="CI829" s="15"/>
      <c r="CJ829" s="15"/>
      <c r="CK829" s="1107"/>
      <c r="CL829" s="22"/>
      <c r="CM829" s="22"/>
      <c r="CN829" s="1107"/>
      <c r="CR829" s="223"/>
      <c r="CS829" s="952"/>
      <c r="CT829" s="1066"/>
      <c r="CU829" s="972"/>
      <c r="CV829" s="983"/>
      <c r="CW829" s="222"/>
      <c r="CX829" s="697"/>
      <c r="DC829" s="222"/>
      <c r="DJ829" s="889"/>
      <c r="DM829" s="890"/>
      <c r="DN829" s="952"/>
      <c r="DO829" s="75"/>
      <c r="DP829" s="962"/>
      <c r="DQ829" s="983"/>
      <c r="DV829" s="889"/>
    </row>
    <row r="830" spans="1:126" s="74" customFormat="1">
      <c r="A830" s="15"/>
      <c r="B830" s="15"/>
      <c r="C830" s="15"/>
      <c r="D830" s="15"/>
      <c r="E830" s="6"/>
      <c r="F830" s="6"/>
      <c r="G830" s="6"/>
      <c r="K830" s="222"/>
      <c r="V830" s="1430"/>
      <c r="AA830" s="223"/>
      <c r="AC830" s="889"/>
      <c r="AF830" s="890"/>
      <c r="AJ830" s="889"/>
      <c r="AN830" s="222"/>
      <c r="BC830" s="223"/>
      <c r="BD830" s="222"/>
      <c r="BH830" s="611"/>
      <c r="BJ830" s="15"/>
      <c r="BK830" s="15"/>
      <c r="BO830" s="223"/>
      <c r="BQ830" s="889"/>
      <c r="BT830" s="890"/>
      <c r="BX830" s="889"/>
      <c r="CB830" s="15"/>
      <c r="CC830" s="697"/>
      <c r="CD830" s="1086"/>
      <c r="CE830" s="15"/>
      <c r="CF830" s="15"/>
      <c r="CG830" s="936"/>
      <c r="CH830" s="15"/>
      <c r="CI830" s="15"/>
      <c r="CJ830" s="15"/>
      <c r="CK830" s="1107"/>
      <c r="CL830" s="22"/>
      <c r="CM830" s="22"/>
      <c r="CN830" s="1107"/>
      <c r="CR830" s="223"/>
      <c r="CS830" s="952"/>
      <c r="CT830" s="1066"/>
      <c r="CU830" s="972"/>
      <c r="CV830" s="983"/>
      <c r="CW830" s="222"/>
      <c r="CX830" s="697"/>
      <c r="DC830" s="222"/>
      <c r="DJ830" s="889"/>
      <c r="DM830" s="890"/>
      <c r="DN830" s="952"/>
      <c r="DO830" s="75"/>
      <c r="DP830" s="962"/>
      <c r="DQ830" s="983"/>
      <c r="DV830" s="889"/>
    </row>
    <row r="831" spans="1:126" s="74" customFormat="1">
      <c r="A831" s="15"/>
      <c r="B831" s="15"/>
      <c r="C831" s="15"/>
      <c r="D831" s="15"/>
      <c r="E831" s="6"/>
      <c r="F831" s="6"/>
      <c r="G831" s="6"/>
      <c r="K831" s="222"/>
      <c r="V831" s="1430"/>
      <c r="AA831" s="223"/>
      <c r="AC831" s="889"/>
      <c r="AF831" s="890"/>
      <c r="AJ831" s="889"/>
      <c r="AN831" s="222"/>
      <c r="BC831" s="223"/>
      <c r="BD831" s="222"/>
      <c r="BH831" s="611"/>
      <c r="BJ831" s="15"/>
      <c r="BK831" s="15"/>
      <c r="BO831" s="223"/>
      <c r="BQ831" s="889"/>
      <c r="BT831" s="890"/>
      <c r="BX831" s="889"/>
      <c r="CB831" s="15"/>
      <c r="CC831" s="697"/>
      <c r="CD831" s="1086"/>
      <c r="CE831" s="15"/>
      <c r="CF831" s="15"/>
      <c r="CG831" s="936"/>
      <c r="CH831" s="15"/>
      <c r="CI831" s="15"/>
      <c r="CJ831" s="15"/>
      <c r="CK831" s="1107"/>
      <c r="CL831" s="22"/>
      <c r="CM831" s="22"/>
      <c r="CN831" s="1107"/>
      <c r="CR831" s="223"/>
      <c r="CS831" s="952"/>
      <c r="CT831" s="1066"/>
      <c r="CU831" s="972"/>
      <c r="CV831" s="983"/>
      <c r="CW831" s="222"/>
      <c r="CX831" s="697"/>
      <c r="DC831" s="222"/>
      <c r="DJ831" s="889"/>
      <c r="DM831" s="890"/>
      <c r="DN831" s="952"/>
      <c r="DO831" s="75"/>
      <c r="DP831" s="962"/>
      <c r="DQ831" s="983"/>
      <c r="DV831" s="889"/>
    </row>
    <row r="832" spans="1:126" s="74" customFormat="1">
      <c r="A832" s="15"/>
      <c r="B832" s="15"/>
      <c r="C832" s="15"/>
      <c r="D832" s="15"/>
      <c r="E832" s="6"/>
      <c r="F832" s="6"/>
      <c r="G832" s="6"/>
      <c r="K832" s="222"/>
      <c r="V832" s="1430"/>
      <c r="AA832" s="223"/>
      <c r="AC832" s="889"/>
      <c r="AF832" s="890"/>
      <c r="AJ832" s="889"/>
      <c r="AN832" s="222"/>
      <c r="BC832" s="223"/>
      <c r="BD832" s="222"/>
      <c r="BH832" s="611"/>
      <c r="BJ832" s="15"/>
      <c r="BK832" s="15"/>
      <c r="BO832" s="223"/>
      <c r="BQ832" s="889"/>
      <c r="BT832" s="890"/>
      <c r="BX832" s="889"/>
      <c r="CB832" s="15"/>
      <c r="CC832" s="697"/>
      <c r="CD832" s="1086"/>
      <c r="CE832" s="15"/>
      <c r="CF832" s="15"/>
      <c r="CG832" s="936"/>
      <c r="CH832" s="15"/>
      <c r="CI832" s="15"/>
      <c r="CJ832" s="15"/>
      <c r="CK832" s="1107"/>
      <c r="CL832" s="22"/>
      <c r="CM832" s="22"/>
      <c r="CN832" s="1107"/>
      <c r="CR832" s="223"/>
      <c r="CS832" s="952"/>
      <c r="CT832" s="1066"/>
      <c r="CU832" s="972"/>
      <c r="CV832" s="983"/>
      <c r="CW832" s="222"/>
      <c r="CX832" s="697"/>
      <c r="DC832" s="222"/>
      <c r="DJ832" s="889"/>
      <c r="DM832" s="890"/>
      <c r="DN832" s="952"/>
      <c r="DO832" s="75"/>
      <c r="DP832" s="962"/>
      <c r="DQ832" s="983"/>
      <c r="DV832" s="889"/>
    </row>
    <row r="833" spans="1:126" s="74" customFormat="1">
      <c r="A833" s="15"/>
      <c r="B833" s="15"/>
      <c r="C833" s="15"/>
      <c r="D833" s="15"/>
      <c r="E833" s="6"/>
      <c r="F833" s="6"/>
      <c r="G833" s="6"/>
      <c r="K833" s="222"/>
      <c r="V833" s="1430"/>
      <c r="AA833" s="223"/>
      <c r="AC833" s="889"/>
      <c r="AF833" s="890"/>
      <c r="AJ833" s="889"/>
      <c r="AN833" s="222"/>
      <c r="BC833" s="223"/>
      <c r="BD833" s="222"/>
      <c r="BH833" s="611"/>
      <c r="BJ833" s="15"/>
      <c r="BK833" s="15"/>
      <c r="BO833" s="223"/>
      <c r="BQ833" s="889"/>
      <c r="BT833" s="890"/>
      <c r="BX833" s="889"/>
      <c r="CB833" s="15"/>
      <c r="CC833" s="697"/>
      <c r="CD833" s="1086"/>
      <c r="CE833" s="15"/>
      <c r="CF833" s="15"/>
      <c r="CG833" s="936"/>
      <c r="CH833" s="15"/>
      <c r="CI833" s="15"/>
      <c r="CJ833" s="15"/>
      <c r="CK833" s="1107"/>
      <c r="CL833" s="22"/>
      <c r="CM833" s="22"/>
      <c r="CN833" s="1107"/>
      <c r="CR833" s="223"/>
      <c r="CS833" s="952"/>
      <c r="CT833" s="1066"/>
      <c r="CU833" s="972"/>
      <c r="CV833" s="983"/>
      <c r="CW833" s="222"/>
      <c r="CX833" s="697"/>
      <c r="DC833" s="222"/>
      <c r="DJ833" s="889"/>
      <c r="DM833" s="890"/>
      <c r="DN833" s="952"/>
      <c r="DO833" s="75"/>
      <c r="DP833" s="962"/>
      <c r="DQ833" s="983"/>
      <c r="DV833" s="889"/>
    </row>
    <row r="834" spans="1:126" s="74" customFormat="1">
      <c r="A834" s="15"/>
      <c r="B834" s="15"/>
      <c r="C834" s="15"/>
      <c r="D834" s="15"/>
      <c r="E834" s="6"/>
      <c r="F834" s="6"/>
      <c r="G834" s="6"/>
      <c r="K834" s="222"/>
      <c r="V834" s="1430"/>
      <c r="AA834" s="223"/>
      <c r="AC834" s="889"/>
      <c r="AF834" s="890"/>
      <c r="AJ834" s="889"/>
      <c r="AN834" s="222"/>
      <c r="BC834" s="223"/>
      <c r="BD834" s="222"/>
      <c r="BH834" s="611"/>
      <c r="BJ834" s="15"/>
      <c r="BK834" s="15"/>
      <c r="BO834" s="223"/>
      <c r="BQ834" s="889"/>
      <c r="BT834" s="890"/>
      <c r="BX834" s="889"/>
      <c r="CB834" s="15"/>
      <c r="CC834" s="697"/>
      <c r="CD834" s="1086"/>
      <c r="CE834" s="15"/>
      <c r="CF834" s="15"/>
      <c r="CG834" s="936"/>
      <c r="CH834" s="15"/>
      <c r="CI834" s="15"/>
      <c r="CJ834" s="15"/>
      <c r="CK834" s="1107"/>
      <c r="CL834" s="22"/>
      <c r="CM834" s="22"/>
      <c r="CN834" s="1107"/>
      <c r="CR834" s="223"/>
      <c r="CS834" s="952"/>
      <c r="CT834" s="1066"/>
      <c r="CU834" s="972"/>
      <c r="CV834" s="983"/>
      <c r="CW834" s="222"/>
      <c r="CX834" s="697"/>
      <c r="DC834" s="222"/>
      <c r="DJ834" s="889"/>
      <c r="DM834" s="890"/>
      <c r="DN834" s="952"/>
      <c r="DO834" s="75"/>
      <c r="DP834" s="962"/>
      <c r="DQ834" s="983"/>
      <c r="DV834" s="889"/>
    </row>
    <row r="835" spans="1:126" s="74" customFormat="1">
      <c r="A835" s="15"/>
      <c r="B835" s="15"/>
      <c r="C835" s="15"/>
      <c r="D835" s="15"/>
      <c r="E835" s="6"/>
      <c r="F835" s="6"/>
      <c r="G835" s="6"/>
      <c r="K835" s="222"/>
      <c r="V835" s="1430"/>
      <c r="AA835" s="223"/>
      <c r="AC835" s="889"/>
      <c r="AF835" s="890"/>
      <c r="AJ835" s="889"/>
      <c r="AN835" s="222"/>
      <c r="BC835" s="223"/>
      <c r="BD835" s="222"/>
      <c r="BH835" s="611"/>
      <c r="BJ835" s="15"/>
      <c r="BK835" s="15"/>
      <c r="BO835" s="223"/>
      <c r="BQ835" s="889"/>
      <c r="BT835" s="890"/>
      <c r="BX835" s="889"/>
      <c r="CB835" s="15"/>
      <c r="CC835" s="697"/>
      <c r="CD835" s="1086"/>
      <c r="CE835" s="15"/>
      <c r="CF835" s="15"/>
      <c r="CG835" s="936"/>
      <c r="CH835" s="15"/>
      <c r="CI835" s="15"/>
      <c r="CJ835" s="15"/>
      <c r="CK835" s="1107"/>
      <c r="CL835" s="22"/>
      <c r="CM835" s="22"/>
      <c r="CN835" s="1107"/>
      <c r="CR835" s="223"/>
      <c r="CS835" s="952"/>
      <c r="CT835" s="1066"/>
      <c r="CU835" s="972"/>
      <c r="CV835" s="983"/>
      <c r="CW835" s="222"/>
      <c r="CX835" s="697"/>
      <c r="DC835" s="222"/>
      <c r="DJ835" s="889"/>
      <c r="DM835" s="890"/>
      <c r="DN835" s="952"/>
      <c r="DO835" s="75"/>
      <c r="DP835" s="962"/>
      <c r="DQ835" s="983"/>
      <c r="DV835" s="889"/>
    </row>
    <row r="836" spans="1:126" s="74" customFormat="1">
      <c r="A836" s="15"/>
      <c r="B836" s="15"/>
      <c r="C836" s="15"/>
      <c r="D836" s="15"/>
      <c r="E836" s="6"/>
      <c r="F836" s="6"/>
      <c r="G836" s="6"/>
      <c r="K836" s="222"/>
      <c r="V836" s="1430"/>
      <c r="AA836" s="223"/>
      <c r="AC836" s="889"/>
      <c r="AF836" s="890"/>
      <c r="AJ836" s="889"/>
      <c r="AN836" s="222"/>
      <c r="BC836" s="223"/>
      <c r="BD836" s="222"/>
      <c r="BH836" s="611"/>
      <c r="BJ836" s="15"/>
      <c r="BK836" s="15"/>
      <c r="BO836" s="223"/>
      <c r="BQ836" s="889"/>
      <c r="BT836" s="890"/>
      <c r="BX836" s="889"/>
      <c r="CB836" s="15"/>
      <c r="CC836" s="697"/>
      <c r="CD836" s="1086"/>
      <c r="CE836" s="15"/>
      <c r="CF836" s="15"/>
      <c r="CG836" s="936"/>
      <c r="CH836" s="15"/>
      <c r="CI836" s="15"/>
      <c r="CJ836" s="15"/>
      <c r="CK836" s="1107"/>
      <c r="CL836" s="22"/>
      <c r="CM836" s="22"/>
      <c r="CN836" s="1107"/>
      <c r="CR836" s="223"/>
      <c r="CS836" s="952"/>
      <c r="CT836" s="1066"/>
      <c r="CU836" s="972"/>
      <c r="CV836" s="983"/>
      <c r="CW836" s="222"/>
      <c r="CX836" s="697"/>
      <c r="DC836" s="222"/>
      <c r="DJ836" s="889"/>
      <c r="DM836" s="890"/>
      <c r="DN836" s="952"/>
      <c r="DO836" s="75"/>
      <c r="DP836" s="962"/>
      <c r="DQ836" s="983"/>
      <c r="DV836" s="889"/>
    </row>
    <row r="837" spans="1:126" s="74" customFormat="1">
      <c r="A837" s="15"/>
      <c r="B837" s="15"/>
      <c r="C837" s="15"/>
      <c r="D837" s="15"/>
      <c r="E837" s="6"/>
      <c r="F837" s="6"/>
      <c r="G837" s="6"/>
      <c r="K837" s="222"/>
      <c r="V837" s="1430"/>
      <c r="AA837" s="223"/>
      <c r="AC837" s="889"/>
      <c r="AF837" s="890"/>
      <c r="AJ837" s="889"/>
      <c r="AN837" s="222"/>
      <c r="BC837" s="223"/>
      <c r="BD837" s="222"/>
      <c r="BH837" s="611"/>
      <c r="BJ837" s="15"/>
      <c r="BK837" s="15"/>
      <c r="BO837" s="223"/>
      <c r="BQ837" s="889"/>
      <c r="BT837" s="890"/>
      <c r="BX837" s="889"/>
      <c r="CB837" s="15"/>
      <c r="CC837" s="697"/>
      <c r="CD837" s="1086"/>
      <c r="CE837" s="15"/>
      <c r="CF837" s="15"/>
      <c r="CG837" s="936"/>
      <c r="CH837" s="15"/>
      <c r="CI837" s="15"/>
      <c r="CJ837" s="15"/>
      <c r="CK837" s="1107"/>
      <c r="CL837" s="22"/>
      <c r="CM837" s="22"/>
      <c r="CN837" s="1107"/>
      <c r="CR837" s="223"/>
      <c r="CS837" s="952"/>
      <c r="CT837" s="1066"/>
      <c r="CU837" s="972"/>
      <c r="CV837" s="983"/>
      <c r="CW837" s="222"/>
      <c r="CX837" s="697"/>
      <c r="DC837" s="222"/>
      <c r="DJ837" s="889"/>
      <c r="DM837" s="890"/>
      <c r="DN837" s="952"/>
      <c r="DO837" s="75"/>
      <c r="DP837" s="962"/>
      <c r="DQ837" s="983"/>
      <c r="DV837" s="889"/>
    </row>
    <row r="838" spans="1:126" s="74" customFormat="1">
      <c r="A838" s="15"/>
      <c r="B838" s="15"/>
      <c r="C838" s="15"/>
      <c r="D838" s="15"/>
      <c r="E838" s="6"/>
      <c r="F838" s="6"/>
      <c r="G838" s="6"/>
      <c r="K838" s="222"/>
      <c r="V838" s="1430"/>
      <c r="AA838" s="223"/>
      <c r="AC838" s="889"/>
      <c r="AF838" s="890"/>
      <c r="AJ838" s="889"/>
      <c r="AN838" s="222"/>
      <c r="BC838" s="223"/>
      <c r="BD838" s="222"/>
      <c r="BH838" s="611"/>
      <c r="BJ838" s="15"/>
      <c r="BK838" s="15"/>
      <c r="BO838" s="223"/>
      <c r="BQ838" s="889"/>
      <c r="BT838" s="890"/>
      <c r="BX838" s="889"/>
      <c r="CB838" s="15"/>
      <c r="CC838" s="697"/>
      <c r="CD838" s="1086"/>
      <c r="CE838" s="15"/>
      <c r="CF838" s="15"/>
      <c r="CG838" s="936"/>
      <c r="CH838" s="15"/>
      <c r="CI838" s="15"/>
      <c r="CJ838" s="15"/>
      <c r="CK838" s="1107"/>
      <c r="CL838" s="22"/>
      <c r="CM838" s="22"/>
      <c r="CN838" s="1107"/>
      <c r="CR838" s="223"/>
      <c r="CS838" s="952"/>
      <c r="CT838" s="1066"/>
      <c r="CU838" s="972"/>
      <c r="CV838" s="983"/>
      <c r="CW838" s="222"/>
      <c r="CX838" s="697"/>
      <c r="DC838" s="222"/>
      <c r="DJ838" s="889"/>
      <c r="DM838" s="890"/>
      <c r="DN838" s="952"/>
      <c r="DO838" s="75"/>
      <c r="DP838" s="962"/>
      <c r="DQ838" s="983"/>
      <c r="DV838" s="889"/>
    </row>
    <row r="839" spans="1:126" s="74" customFormat="1">
      <c r="A839" s="15"/>
      <c r="B839" s="15"/>
      <c r="C839" s="15"/>
      <c r="D839" s="15"/>
      <c r="E839" s="6"/>
      <c r="F839" s="6"/>
      <c r="G839" s="6"/>
      <c r="K839" s="222"/>
      <c r="V839" s="1430"/>
      <c r="AA839" s="223"/>
      <c r="AC839" s="889"/>
      <c r="AF839" s="890"/>
      <c r="AJ839" s="889"/>
      <c r="AN839" s="222"/>
      <c r="BC839" s="223"/>
      <c r="BD839" s="222"/>
      <c r="BH839" s="611"/>
      <c r="BJ839" s="15"/>
      <c r="BK839" s="15"/>
      <c r="BO839" s="223"/>
      <c r="BQ839" s="889"/>
      <c r="BT839" s="890"/>
      <c r="BX839" s="889"/>
      <c r="CB839" s="15"/>
      <c r="CC839" s="697"/>
      <c r="CD839" s="1086"/>
      <c r="CE839" s="15"/>
      <c r="CF839" s="15"/>
      <c r="CG839" s="936"/>
      <c r="CH839" s="15"/>
      <c r="CI839" s="15"/>
      <c r="CJ839" s="15"/>
      <c r="CK839" s="1107"/>
      <c r="CL839" s="22"/>
      <c r="CM839" s="22"/>
      <c r="CN839" s="1107"/>
      <c r="CR839" s="223"/>
      <c r="CS839" s="952"/>
      <c r="CT839" s="1066"/>
      <c r="CU839" s="972"/>
      <c r="CV839" s="983"/>
      <c r="CW839" s="222"/>
      <c r="CX839" s="697"/>
      <c r="DC839" s="222"/>
      <c r="DJ839" s="889"/>
      <c r="DM839" s="890"/>
      <c r="DN839" s="952"/>
      <c r="DO839" s="75"/>
      <c r="DP839" s="962"/>
      <c r="DQ839" s="983"/>
      <c r="DV839" s="889"/>
    </row>
    <row r="840" spans="1:126" s="74" customFormat="1">
      <c r="A840" s="15"/>
      <c r="B840" s="15"/>
      <c r="C840" s="15"/>
      <c r="D840" s="15"/>
      <c r="E840" s="6"/>
      <c r="F840" s="6"/>
      <c r="G840" s="6"/>
      <c r="K840" s="222"/>
      <c r="V840" s="1430"/>
      <c r="AA840" s="223"/>
      <c r="AC840" s="889"/>
      <c r="AF840" s="890"/>
      <c r="AJ840" s="889"/>
      <c r="AN840" s="222"/>
      <c r="BC840" s="223"/>
      <c r="BD840" s="222"/>
      <c r="BH840" s="611"/>
      <c r="BJ840" s="15"/>
      <c r="BK840" s="15"/>
      <c r="BO840" s="223"/>
      <c r="BQ840" s="889"/>
      <c r="BT840" s="890"/>
      <c r="BX840" s="889"/>
      <c r="CB840" s="15"/>
      <c r="CC840" s="697"/>
      <c r="CD840" s="1086"/>
      <c r="CE840" s="15"/>
      <c r="CF840" s="15"/>
      <c r="CG840" s="936"/>
      <c r="CH840" s="15"/>
      <c r="CI840" s="15"/>
      <c r="CJ840" s="15"/>
      <c r="CK840" s="1107"/>
      <c r="CL840" s="22"/>
      <c r="CM840" s="22"/>
      <c r="CN840" s="1107"/>
      <c r="CR840" s="223"/>
      <c r="CS840" s="952"/>
      <c r="CT840" s="1066"/>
      <c r="CU840" s="972"/>
      <c r="CV840" s="983"/>
      <c r="CW840" s="222"/>
      <c r="CX840" s="697"/>
      <c r="DC840" s="222"/>
      <c r="DJ840" s="889"/>
      <c r="DM840" s="890"/>
      <c r="DN840" s="952"/>
      <c r="DO840" s="75"/>
      <c r="DP840" s="962"/>
      <c r="DQ840" s="983"/>
      <c r="DV840" s="889"/>
    </row>
    <row r="841" spans="1:126" s="74" customFormat="1">
      <c r="A841" s="15"/>
      <c r="B841" s="15"/>
      <c r="C841" s="15"/>
      <c r="D841" s="15"/>
      <c r="E841" s="6"/>
      <c r="F841" s="6"/>
      <c r="G841" s="6"/>
      <c r="K841" s="222"/>
      <c r="V841" s="1430"/>
      <c r="AA841" s="223"/>
      <c r="AC841" s="889"/>
      <c r="AF841" s="890"/>
      <c r="AJ841" s="889"/>
      <c r="AN841" s="222"/>
      <c r="BC841" s="223"/>
      <c r="BD841" s="222"/>
      <c r="BH841" s="611"/>
      <c r="BJ841" s="15"/>
      <c r="BK841" s="15"/>
      <c r="BO841" s="223"/>
      <c r="BQ841" s="889"/>
      <c r="BT841" s="890"/>
      <c r="BX841" s="889"/>
      <c r="CB841" s="15"/>
      <c r="CC841" s="697"/>
      <c r="CD841" s="1086"/>
      <c r="CE841" s="15"/>
      <c r="CF841" s="15"/>
      <c r="CG841" s="936"/>
      <c r="CH841" s="15"/>
      <c r="CI841" s="15"/>
      <c r="CJ841" s="15"/>
      <c r="CK841" s="1107"/>
      <c r="CL841" s="22"/>
      <c r="CM841" s="22"/>
      <c r="CN841" s="1107"/>
      <c r="CR841" s="223"/>
      <c r="CS841" s="952"/>
      <c r="CT841" s="1066"/>
      <c r="CU841" s="972"/>
      <c r="CV841" s="983"/>
      <c r="CW841" s="222"/>
      <c r="CX841" s="697"/>
      <c r="DC841" s="222"/>
      <c r="DJ841" s="889"/>
      <c r="DM841" s="890"/>
      <c r="DN841" s="952"/>
      <c r="DO841" s="75"/>
      <c r="DP841" s="962"/>
      <c r="DQ841" s="983"/>
      <c r="DV841" s="889"/>
    </row>
    <row r="842" spans="1:126" s="74" customFormat="1">
      <c r="A842" s="15"/>
      <c r="B842" s="15"/>
      <c r="C842" s="15"/>
      <c r="D842" s="15"/>
      <c r="E842" s="6"/>
      <c r="F842" s="6"/>
      <c r="G842" s="6"/>
      <c r="K842" s="222"/>
      <c r="V842" s="1430"/>
      <c r="AA842" s="223"/>
      <c r="AC842" s="889"/>
      <c r="AF842" s="890"/>
      <c r="AJ842" s="889"/>
      <c r="AN842" s="222"/>
      <c r="BC842" s="223"/>
      <c r="BD842" s="222"/>
      <c r="BH842" s="611"/>
      <c r="BJ842" s="15"/>
      <c r="BK842" s="15"/>
      <c r="BO842" s="223"/>
      <c r="BQ842" s="889"/>
      <c r="BT842" s="890"/>
      <c r="BX842" s="889"/>
      <c r="CB842" s="15"/>
      <c r="CC842" s="697"/>
      <c r="CD842" s="1086"/>
      <c r="CE842" s="15"/>
      <c r="CF842" s="15"/>
      <c r="CG842" s="936"/>
      <c r="CH842" s="15"/>
      <c r="CI842" s="15"/>
      <c r="CJ842" s="15"/>
      <c r="CK842" s="1107"/>
      <c r="CL842" s="22"/>
      <c r="CM842" s="22"/>
      <c r="CN842" s="1107"/>
      <c r="CR842" s="223"/>
      <c r="CS842" s="952"/>
      <c r="CT842" s="1066"/>
      <c r="CU842" s="972"/>
      <c r="CV842" s="983"/>
      <c r="CW842" s="222"/>
      <c r="CX842" s="697"/>
      <c r="DC842" s="222"/>
      <c r="DJ842" s="889"/>
      <c r="DM842" s="890"/>
      <c r="DN842" s="952"/>
      <c r="DO842" s="75"/>
      <c r="DP842" s="962"/>
      <c r="DQ842" s="983"/>
      <c r="DV842" s="889"/>
    </row>
    <row r="843" spans="1:126" s="74" customFormat="1">
      <c r="A843" s="15"/>
      <c r="B843" s="15"/>
      <c r="C843" s="15"/>
      <c r="D843" s="15"/>
      <c r="E843" s="6"/>
      <c r="F843" s="6"/>
      <c r="G843" s="6"/>
      <c r="K843" s="222"/>
      <c r="V843" s="1430"/>
      <c r="AA843" s="223"/>
      <c r="AC843" s="889"/>
      <c r="AF843" s="890"/>
      <c r="AJ843" s="889"/>
      <c r="AN843" s="222"/>
      <c r="BC843" s="223"/>
      <c r="BD843" s="222"/>
      <c r="BH843" s="611"/>
      <c r="BJ843" s="15"/>
      <c r="BK843" s="15"/>
      <c r="BO843" s="223"/>
      <c r="BQ843" s="889"/>
      <c r="BT843" s="890"/>
      <c r="BX843" s="889"/>
      <c r="CB843" s="15"/>
      <c r="CC843" s="697"/>
      <c r="CD843" s="1086"/>
      <c r="CE843" s="15"/>
      <c r="CF843" s="15"/>
      <c r="CG843" s="936"/>
      <c r="CH843" s="15"/>
      <c r="CI843" s="15"/>
      <c r="CJ843" s="15"/>
      <c r="CK843" s="1107"/>
      <c r="CL843" s="22"/>
      <c r="CM843" s="22"/>
      <c r="CN843" s="1107"/>
      <c r="CR843" s="223"/>
      <c r="CS843" s="952"/>
      <c r="CT843" s="1066"/>
      <c r="CU843" s="972"/>
      <c r="CV843" s="983"/>
      <c r="CW843" s="222"/>
      <c r="CX843" s="697"/>
      <c r="DC843" s="222"/>
      <c r="DJ843" s="889"/>
      <c r="DM843" s="890"/>
      <c r="DN843" s="952"/>
      <c r="DO843" s="75"/>
      <c r="DP843" s="962"/>
      <c r="DQ843" s="983"/>
      <c r="DV843" s="889"/>
    </row>
    <row r="844" spans="1:126" s="74" customFormat="1">
      <c r="A844" s="15"/>
      <c r="B844" s="15"/>
      <c r="C844" s="15"/>
      <c r="D844" s="15"/>
      <c r="E844" s="6"/>
      <c r="F844" s="6"/>
      <c r="G844" s="6"/>
      <c r="K844" s="222"/>
      <c r="V844" s="1430"/>
      <c r="AA844" s="223"/>
      <c r="AC844" s="889"/>
      <c r="AF844" s="890"/>
      <c r="AJ844" s="889"/>
      <c r="AN844" s="222"/>
      <c r="BC844" s="223"/>
      <c r="BD844" s="222"/>
      <c r="BH844" s="611"/>
      <c r="BJ844" s="15"/>
      <c r="BK844" s="15"/>
      <c r="BO844" s="223"/>
      <c r="BQ844" s="889"/>
      <c r="BT844" s="890"/>
      <c r="BX844" s="889"/>
      <c r="CB844" s="15"/>
      <c r="CC844" s="697"/>
      <c r="CD844" s="1086"/>
      <c r="CE844" s="15"/>
      <c r="CF844" s="15"/>
      <c r="CG844" s="936"/>
      <c r="CH844" s="15"/>
      <c r="CI844" s="15"/>
      <c r="CJ844" s="15"/>
      <c r="CK844" s="1107"/>
      <c r="CL844" s="22"/>
      <c r="CM844" s="22"/>
      <c r="CN844" s="1107"/>
      <c r="CR844" s="223"/>
      <c r="CS844" s="952"/>
      <c r="CT844" s="1066"/>
      <c r="CU844" s="972"/>
      <c r="CV844" s="983"/>
      <c r="CW844" s="222"/>
      <c r="CX844" s="697"/>
      <c r="DC844" s="222"/>
      <c r="DJ844" s="889"/>
      <c r="DM844" s="890"/>
      <c r="DN844" s="952"/>
      <c r="DO844" s="75"/>
      <c r="DP844" s="962"/>
      <c r="DQ844" s="983"/>
      <c r="DV844" s="889"/>
    </row>
    <row r="845" spans="1:126" s="74" customFormat="1">
      <c r="A845" s="15"/>
      <c r="B845" s="15"/>
      <c r="C845" s="15"/>
      <c r="D845" s="15"/>
      <c r="E845" s="6"/>
      <c r="F845" s="6"/>
      <c r="G845" s="6"/>
      <c r="K845" s="222"/>
      <c r="V845" s="1430"/>
      <c r="AA845" s="223"/>
      <c r="AC845" s="889"/>
      <c r="AF845" s="890"/>
      <c r="AJ845" s="889"/>
      <c r="AN845" s="222"/>
      <c r="BC845" s="223"/>
      <c r="BD845" s="222"/>
      <c r="BH845" s="611"/>
      <c r="BJ845" s="15"/>
      <c r="BK845" s="15"/>
      <c r="BO845" s="223"/>
      <c r="BQ845" s="889"/>
      <c r="BT845" s="890"/>
      <c r="BX845" s="889"/>
      <c r="CB845" s="15"/>
      <c r="CC845" s="697"/>
      <c r="CD845" s="1086"/>
      <c r="CE845" s="15"/>
      <c r="CF845" s="15"/>
      <c r="CG845" s="936"/>
      <c r="CH845" s="15"/>
      <c r="CI845" s="15"/>
      <c r="CJ845" s="15"/>
      <c r="CK845" s="1107"/>
      <c r="CL845" s="22"/>
      <c r="CM845" s="22"/>
      <c r="CN845" s="1107"/>
      <c r="CR845" s="223"/>
      <c r="CS845" s="952"/>
      <c r="CT845" s="1066"/>
      <c r="CU845" s="972"/>
      <c r="CV845" s="983"/>
      <c r="CW845" s="222"/>
      <c r="CX845" s="697"/>
      <c r="DC845" s="222"/>
      <c r="DJ845" s="889"/>
      <c r="DM845" s="890"/>
      <c r="DN845" s="952"/>
      <c r="DO845" s="75"/>
      <c r="DP845" s="962"/>
      <c r="DQ845" s="983"/>
      <c r="DV845" s="889"/>
    </row>
    <row r="846" spans="1:126" s="74" customFormat="1">
      <c r="A846" s="15"/>
      <c r="B846" s="15"/>
      <c r="C846" s="15"/>
      <c r="D846" s="15"/>
      <c r="E846" s="6"/>
      <c r="F846" s="6"/>
      <c r="G846" s="6"/>
      <c r="K846" s="222"/>
      <c r="V846" s="1430"/>
      <c r="AA846" s="223"/>
      <c r="AC846" s="889"/>
      <c r="AF846" s="890"/>
      <c r="AJ846" s="889"/>
      <c r="AN846" s="222"/>
      <c r="BC846" s="223"/>
      <c r="BD846" s="222"/>
      <c r="BH846" s="611"/>
      <c r="BJ846" s="15"/>
      <c r="BK846" s="15"/>
      <c r="BO846" s="223"/>
      <c r="BQ846" s="889"/>
      <c r="BT846" s="890"/>
      <c r="BX846" s="889"/>
      <c r="CB846" s="15"/>
      <c r="CC846" s="697"/>
      <c r="CD846" s="1086"/>
      <c r="CE846" s="15"/>
      <c r="CF846" s="15"/>
      <c r="CG846" s="936"/>
      <c r="CH846" s="15"/>
      <c r="CI846" s="15"/>
      <c r="CJ846" s="15"/>
      <c r="CK846" s="1107"/>
      <c r="CL846" s="22"/>
      <c r="CM846" s="22"/>
      <c r="CN846" s="1107"/>
      <c r="CR846" s="223"/>
      <c r="CS846" s="952"/>
      <c r="CT846" s="1066"/>
      <c r="CU846" s="972"/>
      <c r="CV846" s="983"/>
      <c r="CW846" s="222"/>
      <c r="CX846" s="697"/>
      <c r="DC846" s="222"/>
      <c r="DJ846" s="889"/>
      <c r="DM846" s="890"/>
      <c r="DN846" s="952"/>
      <c r="DO846" s="75"/>
      <c r="DP846" s="962"/>
      <c r="DQ846" s="983"/>
      <c r="DV846" s="889"/>
    </row>
    <row r="847" spans="1:126" s="74" customFormat="1">
      <c r="A847" s="15"/>
      <c r="B847" s="15"/>
      <c r="C847" s="15"/>
      <c r="D847" s="15"/>
      <c r="E847" s="6"/>
      <c r="F847" s="6"/>
      <c r="G847" s="6"/>
      <c r="K847" s="222"/>
      <c r="V847" s="1430"/>
      <c r="AA847" s="223"/>
      <c r="AC847" s="889"/>
      <c r="AF847" s="890"/>
      <c r="AJ847" s="889"/>
      <c r="AN847" s="222"/>
      <c r="BC847" s="223"/>
      <c r="BD847" s="222"/>
      <c r="BH847" s="611"/>
      <c r="BJ847" s="15"/>
      <c r="BK847" s="15"/>
      <c r="BO847" s="223"/>
      <c r="BQ847" s="889"/>
      <c r="BT847" s="890"/>
      <c r="BX847" s="889"/>
      <c r="CB847" s="15"/>
      <c r="CC847" s="697"/>
      <c r="CD847" s="1086"/>
      <c r="CE847" s="15"/>
      <c r="CF847" s="15"/>
      <c r="CG847" s="936"/>
      <c r="CH847" s="15"/>
      <c r="CI847" s="15"/>
      <c r="CJ847" s="15"/>
      <c r="CK847" s="1107"/>
      <c r="CL847" s="22"/>
      <c r="CM847" s="22"/>
      <c r="CN847" s="1107"/>
      <c r="CR847" s="223"/>
      <c r="CS847" s="952"/>
      <c r="CT847" s="1066"/>
      <c r="CU847" s="972"/>
      <c r="CV847" s="983"/>
      <c r="CW847" s="222"/>
      <c r="CX847" s="697"/>
      <c r="DC847" s="222"/>
      <c r="DJ847" s="889"/>
      <c r="DM847" s="890"/>
      <c r="DN847" s="952"/>
      <c r="DO847" s="75"/>
      <c r="DP847" s="962"/>
      <c r="DQ847" s="983"/>
      <c r="DV847" s="889"/>
    </row>
    <row r="848" spans="1:126" s="74" customFormat="1">
      <c r="A848" s="15"/>
      <c r="B848" s="15"/>
      <c r="C848" s="15"/>
      <c r="D848" s="15"/>
      <c r="E848" s="6"/>
      <c r="F848" s="6"/>
      <c r="G848" s="6"/>
      <c r="K848" s="222"/>
      <c r="V848" s="1430"/>
      <c r="AA848" s="223"/>
      <c r="AC848" s="889"/>
      <c r="AF848" s="890"/>
      <c r="AJ848" s="889"/>
      <c r="AN848" s="222"/>
      <c r="BC848" s="223"/>
      <c r="BD848" s="222"/>
      <c r="BH848" s="611"/>
      <c r="BJ848" s="15"/>
      <c r="BK848" s="15"/>
      <c r="BO848" s="223"/>
      <c r="BQ848" s="889"/>
      <c r="BT848" s="890"/>
      <c r="BX848" s="889"/>
      <c r="CB848" s="15"/>
      <c r="CC848" s="697"/>
      <c r="CD848" s="1086"/>
      <c r="CE848" s="15"/>
      <c r="CF848" s="15"/>
      <c r="CG848" s="936"/>
      <c r="CH848" s="15"/>
      <c r="CI848" s="15"/>
      <c r="CJ848" s="15"/>
      <c r="CK848" s="1107"/>
      <c r="CL848" s="22"/>
      <c r="CM848" s="22"/>
      <c r="CN848" s="1107"/>
      <c r="CR848" s="223"/>
      <c r="CS848" s="952"/>
      <c r="CT848" s="1066"/>
      <c r="CU848" s="972"/>
      <c r="CV848" s="983"/>
      <c r="CW848" s="222"/>
      <c r="CX848" s="697"/>
      <c r="DC848" s="222"/>
      <c r="DJ848" s="889"/>
      <c r="DM848" s="890"/>
      <c r="DN848" s="952"/>
      <c r="DO848" s="75"/>
      <c r="DP848" s="962"/>
      <c r="DQ848" s="983"/>
      <c r="DV848" s="889"/>
    </row>
    <row r="849" spans="1:126" s="74" customFormat="1">
      <c r="A849" s="15"/>
      <c r="B849" s="15"/>
      <c r="C849" s="15"/>
      <c r="D849" s="15"/>
      <c r="E849" s="6"/>
      <c r="F849" s="6"/>
      <c r="G849" s="6"/>
      <c r="K849" s="222"/>
      <c r="V849" s="1430"/>
      <c r="AA849" s="223"/>
      <c r="AC849" s="889"/>
      <c r="AF849" s="890"/>
      <c r="AJ849" s="889"/>
      <c r="AN849" s="222"/>
      <c r="BC849" s="223"/>
      <c r="BD849" s="222"/>
      <c r="BH849" s="611"/>
      <c r="BJ849" s="15"/>
      <c r="BK849" s="15"/>
      <c r="BO849" s="223"/>
      <c r="BQ849" s="889"/>
      <c r="BT849" s="890"/>
      <c r="BX849" s="889"/>
      <c r="CB849" s="15"/>
      <c r="CC849" s="697"/>
      <c r="CD849" s="1086"/>
      <c r="CE849" s="15"/>
      <c r="CF849" s="15"/>
      <c r="CG849" s="936"/>
      <c r="CH849" s="15"/>
      <c r="CI849" s="15"/>
      <c r="CJ849" s="15"/>
      <c r="CK849" s="1107"/>
      <c r="CL849" s="22"/>
      <c r="CM849" s="22"/>
      <c r="CN849" s="1107"/>
      <c r="CR849" s="223"/>
      <c r="CS849" s="952"/>
      <c r="CT849" s="1066"/>
      <c r="CU849" s="972"/>
      <c r="CV849" s="983"/>
      <c r="CW849" s="222"/>
      <c r="CX849" s="697"/>
      <c r="DC849" s="222"/>
      <c r="DJ849" s="889"/>
      <c r="DM849" s="890"/>
      <c r="DN849" s="952"/>
      <c r="DO849" s="75"/>
      <c r="DP849" s="962"/>
      <c r="DQ849" s="983"/>
      <c r="DV849" s="889"/>
    </row>
    <row r="850" spans="1:126" s="74" customFormat="1">
      <c r="A850" s="15"/>
      <c r="B850" s="15"/>
      <c r="C850" s="15"/>
      <c r="D850" s="15"/>
      <c r="E850" s="6"/>
      <c r="F850" s="6"/>
      <c r="G850" s="6"/>
      <c r="K850" s="222"/>
      <c r="V850" s="1430"/>
      <c r="AA850" s="223"/>
      <c r="AC850" s="889"/>
      <c r="AF850" s="890"/>
      <c r="AJ850" s="889"/>
      <c r="AN850" s="222"/>
      <c r="BC850" s="223"/>
      <c r="BD850" s="222"/>
      <c r="BH850" s="611"/>
      <c r="BJ850" s="15"/>
      <c r="BK850" s="15"/>
      <c r="BO850" s="223"/>
      <c r="BQ850" s="889"/>
      <c r="BT850" s="890"/>
      <c r="BX850" s="889"/>
      <c r="CB850" s="15"/>
      <c r="CC850" s="697"/>
      <c r="CD850" s="1086"/>
      <c r="CE850" s="15"/>
      <c r="CF850" s="15"/>
      <c r="CG850" s="936"/>
      <c r="CH850" s="15"/>
      <c r="CI850" s="15"/>
      <c r="CJ850" s="15"/>
      <c r="CK850" s="1107"/>
      <c r="CL850" s="22"/>
      <c r="CM850" s="22"/>
      <c r="CN850" s="1107"/>
      <c r="CR850" s="223"/>
      <c r="CS850" s="952"/>
      <c r="CT850" s="1066"/>
      <c r="CU850" s="972"/>
      <c r="CV850" s="983"/>
      <c r="CW850" s="222"/>
      <c r="CX850" s="697"/>
      <c r="DC850" s="222"/>
      <c r="DJ850" s="889"/>
      <c r="DM850" s="890"/>
      <c r="DN850" s="952"/>
      <c r="DO850" s="75"/>
      <c r="DP850" s="962"/>
      <c r="DQ850" s="983"/>
      <c r="DV850" s="889"/>
    </row>
    <row r="851" spans="1:126" s="74" customFormat="1">
      <c r="A851" s="15"/>
      <c r="B851" s="15"/>
      <c r="C851" s="15"/>
      <c r="D851" s="15"/>
      <c r="E851" s="6"/>
      <c r="F851" s="6"/>
      <c r="G851" s="6"/>
      <c r="K851" s="222"/>
      <c r="V851" s="1430"/>
      <c r="AA851" s="223"/>
      <c r="AC851" s="889"/>
      <c r="AF851" s="890"/>
      <c r="AJ851" s="889"/>
      <c r="AN851" s="222"/>
      <c r="BC851" s="223"/>
      <c r="BD851" s="222"/>
      <c r="BH851" s="611"/>
      <c r="BJ851" s="15"/>
      <c r="BK851" s="15"/>
      <c r="BO851" s="223"/>
      <c r="BQ851" s="889"/>
      <c r="BT851" s="890"/>
      <c r="BX851" s="889"/>
      <c r="CB851" s="15"/>
      <c r="CC851" s="697"/>
      <c r="CD851" s="1086"/>
      <c r="CE851" s="15"/>
      <c r="CF851" s="15"/>
      <c r="CG851" s="936"/>
      <c r="CH851" s="15"/>
      <c r="CI851" s="15"/>
      <c r="CJ851" s="15"/>
      <c r="CK851" s="1107"/>
      <c r="CL851" s="22"/>
      <c r="CM851" s="22"/>
      <c r="CN851" s="1107"/>
      <c r="CR851" s="223"/>
      <c r="CS851" s="952"/>
      <c r="CT851" s="1066"/>
      <c r="CU851" s="972"/>
      <c r="CV851" s="983"/>
      <c r="CW851" s="222"/>
      <c r="CX851" s="697"/>
      <c r="DC851" s="222"/>
      <c r="DJ851" s="889"/>
      <c r="DM851" s="890"/>
      <c r="DN851" s="952"/>
      <c r="DO851" s="75"/>
      <c r="DP851" s="962"/>
      <c r="DQ851" s="983"/>
      <c r="DV851" s="889"/>
    </row>
    <row r="852" spans="1:126" s="74" customFormat="1">
      <c r="A852" s="15"/>
      <c r="B852" s="15"/>
      <c r="C852" s="15"/>
      <c r="D852" s="15"/>
      <c r="E852" s="6"/>
      <c r="F852" s="6"/>
      <c r="G852" s="6"/>
      <c r="K852" s="222"/>
      <c r="V852" s="1430"/>
      <c r="AA852" s="223"/>
      <c r="AC852" s="889"/>
      <c r="AF852" s="890"/>
      <c r="AJ852" s="889"/>
      <c r="AN852" s="222"/>
      <c r="BC852" s="223"/>
      <c r="BD852" s="222"/>
      <c r="BH852" s="611"/>
      <c r="BJ852" s="15"/>
      <c r="BK852" s="15"/>
      <c r="BO852" s="223"/>
      <c r="BQ852" s="889"/>
      <c r="BT852" s="890"/>
      <c r="BX852" s="889"/>
      <c r="CB852" s="15"/>
      <c r="CC852" s="697"/>
      <c r="CD852" s="1086"/>
      <c r="CE852" s="15"/>
      <c r="CF852" s="15"/>
      <c r="CG852" s="936"/>
      <c r="CH852" s="15"/>
      <c r="CI852" s="15"/>
      <c r="CJ852" s="15"/>
      <c r="CK852" s="1107"/>
      <c r="CL852" s="22"/>
      <c r="CM852" s="22"/>
      <c r="CN852" s="1107"/>
      <c r="CR852" s="223"/>
      <c r="CS852" s="952"/>
      <c r="CT852" s="1066"/>
      <c r="CU852" s="972"/>
      <c r="CV852" s="983"/>
      <c r="CW852" s="222"/>
      <c r="CX852" s="697"/>
      <c r="DC852" s="222"/>
      <c r="DJ852" s="889"/>
      <c r="DM852" s="890"/>
      <c r="DN852" s="952"/>
      <c r="DO852" s="75"/>
      <c r="DP852" s="962"/>
      <c r="DQ852" s="983"/>
      <c r="DV852" s="889"/>
    </row>
    <row r="853" spans="1:126" s="74" customFormat="1">
      <c r="A853" s="15"/>
      <c r="B853" s="15"/>
      <c r="C853" s="15"/>
      <c r="D853" s="15"/>
      <c r="E853" s="6"/>
      <c r="F853" s="6"/>
      <c r="G853" s="6"/>
      <c r="K853" s="222"/>
      <c r="V853" s="1430"/>
      <c r="AA853" s="223"/>
      <c r="AC853" s="889"/>
      <c r="AF853" s="890"/>
      <c r="AJ853" s="889"/>
      <c r="AN853" s="222"/>
      <c r="BC853" s="223"/>
      <c r="BD853" s="222"/>
      <c r="BH853" s="611"/>
      <c r="BJ853" s="15"/>
      <c r="BK853" s="15"/>
      <c r="BO853" s="223"/>
      <c r="BQ853" s="889"/>
      <c r="BT853" s="890"/>
      <c r="BX853" s="889"/>
      <c r="CB853" s="15"/>
      <c r="CC853" s="697"/>
      <c r="CD853" s="1086"/>
      <c r="CE853" s="15"/>
      <c r="CF853" s="15"/>
      <c r="CG853" s="936"/>
      <c r="CH853" s="15"/>
      <c r="CI853" s="15"/>
      <c r="CJ853" s="15"/>
      <c r="CK853" s="1107"/>
      <c r="CL853" s="22"/>
      <c r="CM853" s="22"/>
      <c r="CN853" s="1107"/>
      <c r="CR853" s="223"/>
      <c r="CS853" s="952"/>
      <c r="CT853" s="1066"/>
      <c r="CU853" s="972"/>
      <c r="CV853" s="983"/>
      <c r="CW853" s="222"/>
      <c r="CX853" s="697"/>
      <c r="DC853" s="222"/>
      <c r="DJ853" s="889"/>
      <c r="DM853" s="890"/>
      <c r="DN853" s="952"/>
      <c r="DO853" s="75"/>
      <c r="DP853" s="962"/>
      <c r="DQ853" s="983"/>
      <c r="DV853" s="889"/>
    </row>
    <row r="854" spans="1:126" s="74" customFormat="1">
      <c r="A854" s="15"/>
      <c r="B854" s="15"/>
      <c r="C854" s="15"/>
      <c r="D854" s="15"/>
      <c r="E854" s="6"/>
      <c r="F854" s="6"/>
      <c r="G854" s="6"/>
      <c r="K854" s="222"/>
      <c r="V854" s="1430"/>
      <c r="AA854" s="223"/>
      <c r="AC854" s="889"/>
      <c r="AF854" s="890"/>
      <c r="AJ854" s="889"/>
      <c r="AN854" s="222"/>
      <c r="BC854" s="223"/>
      <c r="BD854" s="222"/>
      <c r="BH854" s="611"/>
      <c r="BJ854" s="15"/>
      <c r="BK854" s="15"/>
      <c r="BO854" s="223"/>
      <c r="BQ854" s="889"/>
      <c r="BT854" s="890"/>
      <c r="BX854" s="889"/>
      <c r="CB854" s="15"/>
      <c r="CC854" s="697"/>
      <c r="CD854" s="1086"/>
      <c r="CE854" s="15"/>
      <c r="CF854" s="15"/>
      <c r="CG854" s="936"/>
      <c r="CH854" s="15"/>
      <c r="CI854" s="15"/>
      <c r="CJ854" s="15"/>
      <c r="CK854" s="1107"/>
      <c r="CL854" s="22"/>
      <c r="CM854" s="22"/>
      <c r="CN854" s="1107"/>
      <c r="CR854" s="223"/>
      <c r="CS854" s="952"/>
      <c r="CT854" s="1066"/>
      <c r="CU854" s="972"/>
      <c r="CV854" s="983"/>
      <c r="CW854" s="222"/>
      <c r="CX854" s="697"/>
      <c r="DC854" s="222"/>
      <c r="DJ854" s="889"/>
      <c r="DM854" s="890"/>
      <c r="DN854" s="952"/>
      <c r="DO854" s="75"/>
      <c r="DP854" s="962"/>
      <c r="DQ854" s="983"/>
      <c r="DV854" s="889"/>
    </row>
    <row r="855" spans="1:126" s="74" customFormat="1">
      <c r="A855" s="15"/>
      <c r="B855" s="15"/>
      <c r="C855" s="15"/>
      <c r="D855" s="15"/>
      <c r="E855" s="6"/>
      <c r="F855" s="6"/>
      <c r="G855" s="6"/>
      <c r="K855" s="222"/>
      <c r="V855" s="1430"/>
      <c r="AA855" s="223"/>
      <c r="AC855" s="889"/>
      <c r="AF855" s="890"/>
      <c r="AJ855" s="889"/>
      <c r="AN855" s="222"/>
      <c r="BC855" s="223"/>
      <c r="BD855" s="222"/>
      <c r="BH855" s="611"/>
      <c r="BJ855" s="15"/>
      <c r="BK855" s="15"/>
      <c r="BO855" s="223"/>
      <c r="BQ855" s="889"/>
      <c r="BT855" s="890"/>
      <c r="BX855" s="889"/>
      <c r="CB855" s="15"/>
      <c r="CC855" s="697"/>
      <c r="CD855" s="1086"/>
      <c r="CE855" s="15"/>
      <c r="CF855" s="15"/>
      <c r="CG855" s="936"/>
      <c r="CH855" s="15"/>
      <c r="CI855" s="15"/>
      <c r="CJ855" s="15"/>
      <c r="CK855" s="1107"/>
      <c r="CL855" s="22"/>
      <c r="CM855" s="22"/>
      <c r="CN855" s="1107"/>
      <c r="CR855" s="223"/>
      <c r="CS855" s="952"/>
      <c r="CT855" s="1066"/>
      <c r="CU855" s="972"/>
      <c r="CV855" s="983"/>
      <c r="CW855" s="222"/>
      <c r="CX855" s="697"/>
      <c r="DC855" s="222"/>
      <c r="DJ855" s="889"/>
      <c r="DM855" s="890"/>
      <c r="DN855" s="952"/>
      <c r="DO855" s="75"/>
      <c r="DP855" s="962"/>
      <c r="DQ855" s="983"/>
      <c r="DV855" s="889"/>
    </row>
    <row r="856" spans="1:126" s="74" customFormat="1">
      <c r="A856" s="15"/>
      <c r="B856" s="15"/>
      <c r="C856" s="15"/>
      <c r="D856" s="15"/>
      <c r="E856" s="6"/>
      <c r="F856" s="6"/>
      <c r="G856" s="6"/>
      <c r="K856" s="222"/>
      <c r="V856" s="1430"/>
      <c r="AA856" s="223"/>
      <c r="AC856" s="889"/>
      <c r="AF856" s="890"/>
      <c r="AJ856" s="889"/>
      <c r="AN856" s="222"/>
      <c r="BC856" s="223"/>
      <c r="BD856" s="222"/>
      <c r="BH856" s="611"/>
      <c r="BJ856" s="15"/>
      <c r="BK856" s="15"/>
      <c r="BO856" s="223"/>
      <c r="BQ856" s="889"/>
      <c r="BT856" s="890"/>
      <c r="BX856" s="889"/>
      <c r="CB856" s="15"/>
      <c r="CC856" s="697"/>
      <c r="CD856" s="1086"/>
      <c r="CE856" s="15"/>
      <c r="CF856" s="15"/>
      <c r="CG856" s="936"/>
      <c r="CH856" s="15"/>
      <c r="CI856" s="15"/>
      <c r="CJ856" s="15"/>
      <c r="CK856" s="1107"/>
      <c r="CL856" s="22"/>
      <c r="CM856" s="22"/>
      <c r="CN856" s="1107"/>
      <c r="CR856" s="223"/>
      <c r="CS856" s="952"/>
      <c r="CT856" s="1066"/>
      <c r="CU856" s="972"/>
      <c r="CV856" s="983"/>
      <c r="CW856" s="222"/>
      <c r="CX856" s="697"/>
      <c r="DC856" s="222"/>
      <c r="DJ856" s="889"/>
      <c r="DM856" s="890"/>
      <c r="DN856" s="952"/>
      <c r="DO856" s="75"/>
      <c r="DP856" s="962"/>
      <c r="DQ856" s="983"/>
      <c r="DV856" s="889"/>
    </row>
    <row r="857" spans="1:126" s="74" customFormat="1">
      <c r="A857" s="15"/>
      <c r="B857" s="15"/>
      <c r="C857" s="15"/>
      <c r="D857" s="15"/>
      <c r="E857" s="6"/>
      <c r="F857" s="6"/>
      <c r="G857" s="6"/>
      <c r="K857" s="222"/>
      <c r="V857" s="1430"/>
      <c r="AA857" s="223"/>
      <c r="AC857" s="889"/>
      <c r="AF857" s="890"/>
      <c r="AJ857" s="889"/>
      <c r="AN857" s="222"/>
      <c r="BC857" s="223"/>
      <c r="BD857" s="222"/>
      <c r="BH857" s="611"/>
      <c r="BJ857" s="15"/>
      <c r="BK857" s="15"/>
      <c r="BO857" s="223"/>
      <c r="BQ857" s="889"/>
      <c r="BT857" s="890"/>
      <c r="BX857" s="889"/>
      <c r="CB857" s="15"/>
      <c r="CC857" s="697"/>
      <c r="CD857" s="1086"/>
      <c r="CE857" s="15"/>
      <c r="CF857" s="15"/>
      <c r="CG857" s="936"/>
      <c r="CH857" s="15"/>
      <c r="CI857" s="15"/>
      <c r="CJ857" s="15"/>
      <c r="CK857" s="1107"/>
      <c r="CL857" s="22"/>
      <c r="CM857" s="22"/>
      <c r="CN857" s="1107"/>
      <c r="CR857" s="223"/>
      <c r="CS857" s="952"/>
      <c r="CT857" s="1066"/>
      <c r="CU857" s="972"/>
      <c r="CV857" s="983"/>
      <c r="CW857" s="222"/>
      <c r="CX857" s="697"/>
      <c r="DC857" s="222"/>
      <c r="DJ857" s="889"/>
      <c r="DM857" s="890"/>
      <c r="DN857" s="952"/>
      <c r="DO857" s="75"/>
      <c r="DP857" s="962"/>
      <c r="DQ857" s="983"/>
      <c r="DV857" s="889"/>
    </row>
    <row r="858" spans="1:126" s="74" customFormat="1">
      <c r="A858" s="15"/>
      <c r="B858" s="15"/>
      <c r="C858" s="15"/>
      <c r="D858" s="15"/>
      <c r="E858" s="6"/>
      <c r="F858" s="6"/>
      <c r="G858" s="6"/>
      <c r="K858" s="222"/>
      <c r="V858" s="1430"/>
      <c r="AA858" s="223"/>
      <c r="AC858" s="889"/>
      <c r="AF858" s="890"/>
      <c r="AJ858" s="889"/>
      <c r="AN858" s="222"/>
      <c r="BC858" s="223"/>
      <c r="BD858" s="222"/>
      <c r="BH858" s="611"/>
      <c r="BJ858" s="15"/>
      <c r="BK858" s="15"/>
      <c r="BO858" s="223"/>
      <c r="BQ858" s="889"/>
      <c r="BT858" s="890"/>
      <c r="BX858" s="889"/>
      <c r="CB858" s="15"/>
      <c r="CC858" s="697"/>
      <c r="CD858" s="1086"/>
      <c r="CE858" s="15"/>
      <c r="CF858" s="15"/>
      <c r="CG858" s="936"/>
      <c r="CH858" s="15"/>
      <c r="CI858" s="15"/>
      <c r="CJ858" s="15"/>
      <c r="CK858" s="1107"/>
      <c r="CL858" s="22"/>
      <c r="CM858" s="22"/>
      <c r="CN858" s="1107"/>
      <c r="CR858" s="223"/>
      <c r="CS858" s="952"/>
      <c r="CT858" s="1066"/>
      <c r="CU858" s="972"/>
      <c r="CV858" s="983"/>
      <c r="CW858" s="222"/>
      <c r="CX858" s="697"/>
      <c r="DC858" s="222"/>
      <c r="DJ858" s="889"/>
      <c r="DM858" s="890"/>
      <c r="DN858" s="952"/>
      <c r="DO858" s="75"/>
      <c r="DP858" s="962"/>
      <c r="DQ858" s="983"/>
      <c r="DV858" s="889"/>
    </row>
    <row r="859" spans="1:126" s="74" customFormat="1">
      <c r="A859" s="15"/>
      <c r="B859" s="15"/>
      <c r="C859" s="15"/>
      <c r="D859" s="15"/>
      <c r="E859" s="6"/>
      <c r="F859" s="6"/>
      <c r="G859" s="6"/>
      <c r="K859" s="222"/>
      <c r="V859" s="1430"/>
      <c r="AA859" s="223"/>
      <c r="AC859" s="889"/>
      <c r="AF859" s="890"/>
      <c r="AJ859" s="889"/>
      <c r="AN859" s="222"/>
      <c r="BC859" s="223"/>
      <c r="BD859" s="222"/>
      <c r="BH859" s="611"/>
      <c r="BJ859" s="15"/>
      <c r="BK859" s="15"/>
      <c r="BO859" s="223"/>
      <c r="BQ859" s="889"/>
      <c r="BT859" s="890"/>
      <c r="BX859" s="889"/>
      <c r="CB859" s="15"/>
      <c r="CC859" s="697"/>
      <c r="CD859" s="1086"/>
      <c r="CE859" s="15"/>
      <c r="CF859" s="15"/>
      <c r="CG859" s="936"/>
      <c r="CH859" s="15"/>
      <c r="CI859" s="15"/>
      <c r="CJ859" s="15"/>
      <c r="CK859" s="1107"/>
      <c r="CL859" s="22"/>
      <c r="CM859" s="22"/>
      <c r="CN859" s="1107"/>
      <c r="CR859" s="223"/>
      <c r="CS859" s="952"/>
      <c r="CT859" s="1066"/>
      <c r="CU859" s="972"/>
      <c r="CV859" s="983"/>
      <c r="CW859" s="222"/>
      <c r="CX859" s="697"/>
      <c r="DC859" s="222"/>
      <c r="DJ859" s="889"/>
      <c r="DM859" s="890"/>
      <c r="DN859" s="952"/>
      <c r="DO859" s="75"/>
      <c r="DP859" s="962"/>
      <c r="DQ859" s="983"/>
      <c r="DV859" s="889"/>
    </row>
    <row r="860" spans="1:126" s="74" customFormat="1">
      <c r="A860" s="15"/>
      <c r="B860" s="15"/>
      <c r="C860" s="15"/>
      <c r="D860" s="15"/>
      <c r="E860" s="6"/>
      <c r="F860" s="6"/>
      <c r="G860" s="6"/>
      <c r="K860" s="222"/>
      <c r="V860" s="1430"/>
      <c r="AA860" s="223"/>
      <c r="AC860" s="889"/>
      <c r="AF860" s="890"/>
      <c r="AJ860" s="889"/>
      <c r="AN860" s="222"/>
      <c r="BC860" s="223"/>
      <c r="BD860" s="222"/>
      <c r="BH860" s="611"/>
      <c r="BJ860" s="15"/>
      <c r="BK860" s="15"/>
      <c r="BO860" s="223"/>
      <c r="BQ860" s="889"/>
      <c r="BT860" s="890"/>
      <c r="BX860" s="889"/>
      <c r="CB860" s="15"/>
      <c r="CC860" s="697"/>
      <c r="CD860" s="1086"/>
      <c r="CE860" s="15"/>
      <c r="CF860" s="15"/>
      <c r="CG860" s="936"/>
      <c r="CH860" s="15"/>
      <c r="CI860" s="15"/>
      <c r="CJ860" s="15"/>
      <c r="CK860" s="1107"/>
      <c r="CL860" s="22"/>
      <c r="CM860" s="22"/>
      <c r="CN860" s="1107"/>
      <c r="CR860" s="223"/>
      <c r="CS860" s="952"/>
      <c r="CT860" s="1066"/>
      <c r="CU860" s="972"/>
      <c r="CV860" s="983"/>
      <c r="CW860" s="222"/>
      <c r="CX860" s="697"/>
      <c r="DC860" s="222"/>
      <c r="DJ860" s="889"/>
      <c r="DM860" s="890"/>
      <c r="DN860" s="952"/>
      <c r="DO860" s="75"/>
      <c r="DP860" s="962"/>
      <c r="DQ860" s="983"/>
      <c r="DV860" s="889"/>
    </row>
    <row r="861" spans="1:126" s="74" customFormat="1">
      <c r="A861" s="15"/>
      <c r="B861" s="15"/>
      <c r="C861" s="15"/>
      <c r="D861" s="15"/>
      <c r="E861" s="6"/>
      <c r="F861" s="6"/>
      <c r="G861" s="6"/>
      <c r="K861" s="222"/>
      <c r="V861" s="1430"/>
      <c r="AA861" s="223"/>
      <c r="AC861" s="889"/>
      <c r="AF861" s="890"/>
      <c r="AJ861" s="889"/>
      <c r="AN861" s="222"/>
      <c r="BC861" s="223"/>
      <c r="BD861" s="222"/>
      <c r="BH861" s="611"/>
      <c r="BJ861" s="15"/>
      <c r="BK861" s="15"/>
      <c r="BO861" s="223"/>
      <c r="BQ861" s="889"/>
      <c r="BT861" s="890"/>
      <c r="BX861" s="889"/>
      <c r="CB861" s="15"/>
      <c r="CC861" s="697"/>
      <c r="CD861" s="1086"/>
      <c r="CE861" s="15"/>
      <c r="CF861" s="15"/>
      <c r="CG861" s="936"/>
      <c r="CH861" s="15"/>
      <c r="CI861" s="15"/>
      <c r="CJ861" s="15"/>
      <c r="CK861" s="1107"/>
      <c r="CL861" s="22"/>
      <c r="CM861" s="22"/>
      <c r="CN861" s="1107"/>
      <c r="CR861" s="223"/>
      <c r="CS861" s="952"/>
      <c r="CT861" s="1066"/>
      <c r="CU861" s="972"/>
      <c r="CV861" s="983"/>
      <c r="CW861" s="222"/>
      <c r="CX861" s="697"/>
      <c r="DC861" s="222"/>
      <c r="DJ861" s="889"/>
      <c r="DM861" s="890"/>
      <c r="DN861" s="952"/>
      <c r="DO861" s="75"/>
      <c r="DP861" s="962"/>
      <c r="DQ861" s="983"/>
      <c r="DV861" s="889"/>
    </row>
    <row r="862" spans="1:126" s="74" customFormat="1">
      <c r="A862" s="15"/>
      <c r="B862" s="15"/>
      <c r="C862" s="15"/>
      <c r="D862" s="15"/>
      <c r="E862" s="6"/>
      <c r="F862" s="6"/>
      <c r="G862" s="6"/>
      <c r="K862" s="222"/>
      <c r="V862" s="1430"/>
      <c r="AA862" s="223"/>
      <c r="AC862" s="889"/>
      <c r="AF862" s="890"/>
      <c r="AJ862" s="889"/>
      <c r="AN862" s="222"/>
      <c r="BC862" s="223"/>
      <c r="BD862" s="222"/>
      <c r="BH862" s="611"/>
      <c r="BJ862" s="15"/>
      <c r="BK862" s="15"/>
      <c r="BO862" s="223"/>
      <c r="BQ862" s="889"/>
      <c r="BT862" s="890"/>
      <c r="BX862" s="889"/>
      <c r="CB862" s="15"/>
      <c r="CC862" s="697"/>
      <c r="CD862" s="1086"/>
      <c r="CE862" s="15"/>
      <c r="CF862" s="15"/>
      <c r="CG862" s="936"/>
      <c r="CH862" s="15"/>
      <c r="CI862" s="15"/>
      <c r="CJ862" s="15"/>
      <c r="CK862" s="1107"/>
      <c r="CL862" s="22"/>
      <c r="CM862" s="22"/>
      <c r="CN862" s="1107"/>
      <c r="CR862" s="223"/>
      <c r="CS862" s="952"/>
      <c r="CT862" s="1066"/>
      <c r="CU862" s="972"/>
      <c r="CV862" s="983"/>
      <c r="CW862" s="222"/>
      <c r="CX862" s="697"/>
      <c r="DC862" s="222"/>
      <c r="DJ862" s="889"/>
      <c r="DM862" s="890"/>
      <c r="DN862" s="952"/>
      <c r="DO862" s="75"/>
      <c r="DP862" s="962"/>
      <c r="DQ862" s="983"/>
      <c r="DV862" s="889"/>
    </row>
    <row r="863" spans="1:126" s="74" customFormat="1">
      <c r="A863" s="15"/>
      <c r="B863" s="15"/>
      <c r="C863" s="15"/>
      <c r="D863" s="15"/>
      <c r="E863" s="6"/>
      <c r="F863" s="6"/>
      <c r="G863" s="6"/>
      <c r="K863" s="222"/>
      <c r="V863" s="1430"/>
      <c r="AA863" s="223"/>
      <c r="AC863" s="889"/>
      <c r="AF863" s="890"/>
      <c r="AJ863" s="889"/>
      <c r="AN863" s="222"/>
      <c r="BC863" s="223"/>
      <c r="BD863" s="222"/>
      <c r="BH863" s="611"/>
      <c r="BJ863" s="15"/>
      <c r="BK863" s="15"/>
      <c r="BO863" s="223"/>
      <c r="BQ863" s="889"/>
      <c r="BT863" s="890"/>
      <c r="BX863" s="889"/>
      <c r="CB863" s="15"/>
      <c r="CC863" s="697"/>
      <c r="CD863" s="1086"/>
      <c r="CE863" s="15"/>
      <c r="CF863" s="15"/>
      <c r="CG863" s="936"/>
      <c r="CH863" s="15"/>
      <c r="CI863" s="15"/>
      <c r="CJ863" s="15"/>
      <c r="CK863" s="1107"/>
      <c r="CL863" s="22"/>
      <c r="CM863" s="22"/>
      <c r="CN863" s="1107"/>
      <c r="CR863" s="223"/>
      <c r="CS863" s="952"/>
      <c r="CT863" s="1066"/>
      <c r="CU863" s="972"/>
      <c r="CV863" s="983"/>
      <c r="CW863" s="222"/>
      <c r="CX863" s="697"/>
      <c r="DC863" s="222"/>
      <c r="DJ863" s="889"/>
      <c r="DM863" s="890"/>
      <c r="DN863" s="952"/>
      <c r="DO863" s="75"/>
      <c r="DP863" s="962"/>
      <c r="DQ863" s="983"/>
      <c r="DV863" s="889"/>
    </row>
    <row r="864" spans="1:126" s="74" customFormat="1">
      <c r="A864" s="15"/>
      <c r="B864" s="15"/>
      <c r="C864" s="15"/>
      <c r="D864" s="15"/>
      <c r="E864" s="6"/>
      <c r="F864" s="6"/>
      <c r="G864" s="6"/>
      <c r="K864" s="222"/>
      <c r="V864" s="1430"/>
      <c r="AA864" s="223"/>
      <c r="AC864" s="889"/>
      <c r="AF864" s="890"/>
      <c r="AJ864" s="889"/>
      <c r="AN864" s="222"/>
      <c r="BC864" s="223"/>
      <c r="BD864" s="222"/>
      <c r="BH864" s="611"/>
      <c r="BJ864" s="15"/>
      <c r="BK864" s="15"/>
      <c r="BO864" s="223"/>
      <c r="BQ864" s="889"/>
      <c r="BT864" s="890"/>
      <c r="BX864" s="889"/>
      <c r="CB864" s="15"/>
      <c r="CC864" s="697"/>
      <c r="CD864" s="1086"/>
      <c r="CE864" s="15"/>
      <c r="CF864" s="15"/>
      <c r="CG864" s="936"/>
      <c r="CH864" s="15"/>
      <c r="CI864" s="15"/>
      <c r="CJ864" s="15"/>
      <c r="CK864" s="1107"/>
      <c r="CL864" s="22"/>
      <c r="CM864" s="22"/>
      <c r="CN864" s="1107"/>
      <c r="CR864" s="223"/>
      <c r="CS864" s="952"/>
      <c r="CT864" s="1066"/>
      <c r="CU864" s="972"/>
      <c r="CV864" s="983"/>
      <c r="CW864" s="222"/>
      <c r="CX864" s="697"/>
      <c r="DC864" s="222"/>
      <c r="DJ864" s="889"/>
      <c r="DM864" s="890"/>
      <c r="DN864" s="952"/>
      <c r="DO864" s="75"/>
      <c r="DP864" s="962"/>
      <c r="DQ864" s="983"/>
      <c r="DV864" s="889"/>
    </row>
    <row r="865" spans="1:126" s="74" customFormat="1">
      <c r="A865" s="15"/>
      <c r="B865" s="15"/>
      <c r="C865" s="15"/>
      <c r="D865" s="15"/>
      <c r="E865" s="6"/>
      <c r="F865" s="6"/>
      <c r="G865" s="6"/>
      <c r="K865" s="222"/>
      <c r="V865" s="1430"/>
      <c r="AA865" s="223"/>
      <c r="AC865" s="889"/>
      <c r="AF865" s="890"/>
      <c r="AJ865" s="889"/>
      <c r="AN865" s="222"/>
      <c r="BC865" s="223"/>
      <c r="BD865" s="222"/>
      <c r="BH865" s="611"/>
      <c r="BJ865" s="15"/>
      <c r="BK865" s="15"/>
      <c r="BO865" s="223"/>
      <c r="BQ865" s="889"/>
      <c r="BT865" s="890"/>
      <c r="BX865" s="889"/>
      <c r="CB865" s="15"/>
      <c r="CC865" s="697"/>
      <c r="CD865" s="1086"/>
      <c r="CE865" s="15"/>
      <c r="CF865" s="15"/>
      <c r="CG865" s="936"/>
      <c r="CH865" s="15"/>
      <c r="CI865" s="15"/>
      <c r="CJ865" s="15"/>
      <c r="CK865" s="1107"/>
      <c r="CL865" s="22"/>
      <c r="CM865" s="22"/>
      <c r="CN865" s="1107"/>
      <c r="CR865" s="223"/>
      <c r="CS865" s="952"/>
      <c r="CT865" s="1066"/>
      <c r="CU865" s="972"/>
      <c r="CV865" s="983"/>
      <c r="CW865" s="222"/>
      <c r="CX865" s="697"/>
      <c r="DC865" s="222"/>
      <c r="DJ865" s="889"/>
      <c r="DM865" s="890"/>
      <c r="DN865" s="952"/>
      <c r="DO865" s="75"/>
      <c r="DP865" s="962"/>
      <c r="DQ865" s="983"/>
      <c r="DV865" s="889"/>
    </row>
    <row r="866" spans="1:126" s="74" customFormat="1">
      <c r="A866" s="15"/>
      <c r="B866" s="15"/>
      <c r="C866" s="15"/>
      <c r="D866" s="15"/>
      <c r="E866" s="6"/>
      <c r="F866" s="6"/>
      <c r="G866" s="6"/>
      <c r="K866" s="222"/>
      <c r="V866" s="1430"/>
      <c r="AA866" s="223"/>
      <c r="AC866" s="889"/>
      <c r="AF866" s="890"/>
      <c r="AJ866" s="889"/>
      <c r="AN866" s="222"/>
      <c r="BC866" s="223"/>
      <c r="BD866" s="222"/>
      <c r="BH866" s="611"/>
      <c r="BJ866" s="15"/>
      <c r="BK866" s="15"/>
      <c r="BO866" s="223"/>
      <c r="BQ866" s="889"/>
      <c r="BT866" s="890"/>
      <c r="BX866" s="889"/>
      <c r="CB866" s="15"/>
      <c r="CC866" s="697"/>
      <c r="CD866" s="1086"/>
      <c r="CE866" s="15"/>
      <c r="CF866" s="15"/>
      <c r="CG866" s="936"/>
      <c r="CH866" s="15"/>
      <c r="CI866" s="15"/>
      <c r="CJ866" s="15"/>
      <c r="CK866" s="1107"/>
      <c r="CL866" s="22"/>
      <c r="CM866" s="22"/>
      <c r="CN866" s="1107"/>
      <c r="CR866" s="223"/>
      <c r="CS866" s="952"/>
      <c r="CT866" s="1066"/>
      <c r="CU866" s="972"/>
      <c r="CV866" s="983"/>
      <c r="CW866" s="222"/>
      <c r="CX866" s="697"/>
      <c r="DC866" s="222"/>
      <c r="DJ866" s="889"/>
      <c r="DM866" s="890"/>
      <c r="DN866" s="952"/>
      <c r="DO866" s="75"/>
      <c r="DP866" s="962"/>
      <c r="DQ866" s="983"/>
      <c r="DV866" s="889"/>
    </row>
    <row r="867" spans="1:126" s="74" customFormat="1">
      <c r="A867" s="15"/>
      <c r="B867" s="15"/>
      <c r="C867" s="15"/>
      <c r="D867" s="15"/>
      <c r="E867" s="6"/>
      <c r="F867" s="6"/>
      <c r="G867" s="6"/>
      <c r="K867" s="222"/>
      <c r="V867" s="1430"/>
      <c r="AA867" s="223"/>
      <c r="AC867" s="889"/>
      <c r="AF867" s="890"/>
      <c r="AJ867" s="889"/>
      <c r="AN867" s="222"/>
      <c r="BC867" s="223"/>
      <c r="BD867" s="222"/>
      <c r="BH867" s="611"/>
      <c r="BJ867" s="15"/>
      <c r="BK867" s="15"/>
      <c r="BO867" s="223"/>
      <c r="BQ867" s="889"/>
      <c r="BT867" s="890"/>
      <c r="BX867" s="889"/>
      <c r="CB867" s="15"/>
      <c r="CC867" s="697"/>
      <c r="CD867" s="1086"/>
      <c r="CE867" s="15"/>
      <c r="CF867" s="15"/>
      <c r="CG867" s="936"/>
      <c r="CH867" s="15"/>
      <c r="CI867" s="15"/>
      <c r="CJ867" s="15"/>
      <c r="CK867" s="1107"/>
      <c r="CL867" s="22"/>
      <c r="CM867" s="22"/>
      <c r="CN867" s="1107"/>
      <c r="CR867" s="223"/>
      <c r="CS867" s="952"/>
      <c r="CT867" s="1066"/>
      <c r="CU867" s="972"/>
      <c r="CV867" s="983"/>
      <c r="CW867" s="222"/>
      <c r="CX867" s="697"/>
      <c r="DC867" s="222"/>
      <c r="DJ867" s="889"/>
      <c r="DM867" s="890"/>
      <c r="DN867" s="952"/>
      <c r="DO867" s="75"/>
      <c r="DP867" s="962"/>
      <c r="DQ867" s="983"/>
      <c r="DV867" s="889"/>
    </row>
    <row r="868" spans="1:126" s="74" customFormat="1">
      <c r="A868" s="15"/>
      <c r="B868" s="15"/>
      <c r="C868" s="15"/>
      <c r="D868" s="15"/>
      <c r="E868" s="6"/>
      <c r="F868" s="6"/>
      <c r="G868" s="6"/>
      <c r="K868" s="222"/>
      <c r="V868" s="1430"/>
      <c r="AA868" s="223"/>
      <c r="AC868" s="889"/>
      <c r="AF868" s="890"/>
      <c r="AJ868" s="889"/>
      <c r="AN868" s="222"/>
      <c r="BC868" s="223"/>
      <c r="BD868" s="222"/>
      <c r="BH868" s="611"/>
      <c r="BJ868" s="15"/>
      <c r="BK868" s="15"/>
      <c r="BO868" s="223"/>
      <c r="BQ868" s="889"/>
      <c r="BT868" s="890"/>
      <c r="BX868" s="889"/>
      <c r="CB868" s="15"/>
      <c r="CC868" s="697"/>
      <c r="CD868" s="1086"/>
      <c r="CE868" s="15"/>
      <c r="CF868" s="15"/>
      <c r="CG868" s="936"/>
      <c r="CH868" s="15"/>
      <c r="CI868" s="15"/>
      <c r="CJ868" s="15"/>
      <c r="CK868" s="1107"/>
      <c r="CL868" s="22"/>
      <c r="CM868" s="22"/>
      <c r="CN868" s="1107"/>
      <c r="CR868" s="223"/>
      <c r="CS868" s="952"/>
      <c r="CT868" s="1066"/>
      <c r="CU868" s="972"/>
      <c r="CV868" s="983"/>
      <c r="CW868" s="222"/>
      <c r="CX868" s="697"/>
      <c r="DC868" s="222"/>
      <c r="DJ868" s="889"/>
      <c r="DM868" s="890"/>
      <c r="DN868" s="952"/>
      <c r="DO868" s="75"/>
      <c r="DP868" s="962"/>
      <c r="DQ868" s="983"/>
      <c r="DV868" s="889"/>
    </row>
    <row r="869" spans="1:126" s="74" customFormat="1">
      <c r="A869" s="15"/>
      <c r="B869" s="15"/>
      <c r="C869" s="15"/>
      <c r="D869" s="15"/>
      <c r="E869" s="6"/>
      <c r="F869" s="6"/>
      <c r="G869" s="6"/>
      <c r="K869" s="222"/>
      <c r="V869" s="1430"/>
      <c r="AA869" s="223"/>
      <c r="AC869" s="889"/>
      <c r="AF869" s="890"/>
      <c r="AJ869" s="889"/>
      <c r="AN869" s="222"/>
      <c r="BC869" s="223"/>
      <c r="BD869" s="222"/>
      <c r="BH869" s="611"/>
      <c r="BJ869" s="15"/>
      <c r="BK869" s="15"/>
      <c r="BO869" s="223"/>
      <c r="BQ869" s="889"/>
      <c r="BT869" s="890"/>
      <c r="BX869" s="889"/>
      <c r="CB869" s="15"/>
      <c r="CC869" s="697"/>
      <c r="CD869" s="1086"/>
      <c r="CE869" s="15"/>
      <c r="CF869" s="15"/>
      <c r="CG869" s="936"/>
      <c r="CH869" s="15"/>
      <c r="CI869" s="15"/>
      <c r="CJ869" s="15"/>
      <c r="CK869" s="1107"/>
      <c r="CL869" s="22"/>
      <c r="CM869" s="22"/>
      <c r="CN869" s="1107"/>
      <c r="CR869" s="223"/>
      <c r="CS869" s="952"/>
      <c r="CT869" s="1066"/>
      <c r="CU869" s="972"/>
      <c r="CV869" s="983"/>
      <c r="CW869" s="222"/>
      <c r="CX869" s="697"/>
      <c r="DC869" s="222"/>
      <c r="DJ869" s="889"/>
      <c r="DM869" s="890"/>
      <c r="DN869" s="952"/>
      <c r="DO869" s="75"/>
      <c r="DP869" s="962"/>
      <c r="DQ869" s="983"/>
      <c r="DV869" s="889"/>
    </row>
    <row r="870" spans="1:126" s="74" customFormat="1">
      <c r="A870" s="15"/>
      <c r="B870" s="15"/>
      <c r="C870" s="15"/>
      <c r="D870" s="15"/>
      <c r="E870" s="6"/>
      <c r="F870" s="6"/>
      <c r="G870" s="6"/>
      <c r="K870" s="222"/>
      <c r="V870" s="1430"/>
      <c r="AA870" s="223"/>
      <c r="AC870" s="889"/>
      <c r="AF870" s="890"/>
      <c r="AJ870" s="889"/>
      <c r="AN870" s="222"/>
      <c r="BC870" s="223"/>
      <c r="BD870" s="222"/>
      <c r="BH870" s="611"/>
      <c r="BJ870" s="15"/>
      <c r="BK870" s="15"/>
      <c r="BO870" s="223"/>
      <c r="BQ870" s="889"/>
      <c r="BT870" s="890"/>
      <c r="BX870" s="889"/>
      <c r="CB870" s="15"/>
      <c r="CC870" s="697"/>
      <c r="CD870" s="1086"/>
      <c r="CE870" s="15"/>
      <c r="CF870" s="15"/>
      <c r="CG870" s="936"/>
      <c r="CH870" s="15"/>
      <c r="CI870" s="15"/>
      <c r="CJ870" s="15"/>
      <c r="CK870" s="1107"/>
      <c r="CL870" s="22"/>
      <c r="CM870" s="22"/>
      <c r="CN870" s="1107"/>
      <c r="CR870" s="223"/>
      <c r="CS870" s="952"/>
      <c r="CT870" s="1066"/>
      <c r="CU870" s="972"/>
      <c r="CV870" s="983"/>
      <c r="CW870" s="222"/>
      <c r="CX870" s="697"/>
      <c r="DC870" s="222"/>
      <c r="DJ870" s="889"/>
      <c r="DM870" s="890"/>
      <c r="DN870" s="952"/>
      <c r="DO870" s="75"/>
      <c r="DP870" s="962"/>
      <c r="DQ870" s="983"/>
      <c r="DV870" s="889"/>
    </row>
    <row r="871" spans="1:126" s="74" customFormat="1">
      <c r="A871" s="15"/>
      <c r="B871" s="15"/>
      <c r="C871" s="15"/>
      <c r="D871" s="15"/>
      <c r="E871" s="6"/>
      <c r="F871" s="6"/>
      <c r="G871" s="6"/>
      <c r="K871" s="222"/>
      <c r="V871" s="1430"/>
      <c r="AA871" s="223"/>
      <c r="AC871" s="889"/>
      <c r="AF871" s="890"/>
      <c r="AJ871" s="889"/>
      <c r="AN871" s="222"/>
      <c r="BC871" s="223"/>
      <c r="BD871" s="222"/>
      <c r="BH871" s="611"/>
      <c r="BJ871" s="15"/>
      <c r="BK871" s="15"/>
      <c r="BO871" s="223"/>
      <c r="BQ871" s="889"/>
      <c r="BT871" s="890"/>
      <c r="BX871" s="889"/>
      <c r="CB871" s="15"/>
      <c r="CC871" s="697"/>
      <c r="CD871" s="1086"/>
      <c r="CE871" s="15"/>
      <c r="CF871" s="15"/>
      <c r="CG871" s="936"/>
      <c r="CH871" s="15"/>
      <c r="CI871" s="15"/>
      <c r="CJ871" s="15"/>
      <c r="CK871" s="1107"/>
      <c r="CL871" s="22"/>
      <c r="CM871" s="22"/>
      <c r="CN871" s="1107"/>
      <c r="CR871" s="223"/>
      <c r="CS871" s="952"/>
      <c r="CT871" s="1066"/>
      <c r="CU871" s="972"/>
      <c r="CV871" s="983"/>
      <c r="CW871" s="222"/>
      <c r="CX871" s="697"/>
      <c r="DC871" s="222"/>
      <c r="DJ871" s="889"/>
      <c r="DM871" s="890"/>
      <c r="DN871" s="952"/>
      <c r="DO871" s="75"/>
      <c r="DP871" s="962"/>
      <c r="DQ871" s="983"/>
      <c r="DV871" s="889"/>
    </row>
    <row r="872" spans="1:126" s="74" customFormat="1">
      <c r="A872" s="15"/>
      <c r="B872" s="15"/>
      <c r="C872" s="15"/>
      <c r="D872" s="15"/>
      <c r="E872" s="6"/>
      <c r="F872" s="6"/>
      <c r="G872" s="6"/>
      <c r="K872" s="222"/>
      <c r="V872" s="1430"/>
      <c r="AA872" s="223"/>
      <c r="AC872" s="889"/>
      <c r="AF872" s="890"/>
      <c r="AJ872" s="889"/>
      <c r="AN872" s="222"/>
      <c r="BC872" s="223"/>
      <c r="BD872" s="222"/>
      <c r="BH872" s="611"/>
      <c r="BJ872" s="15"/>
      <c r="BK872" s="15"/>
      <c r="BO872" s="223"/>
      <c r="BQ872" s="889"/>
      <c r="BT872" s="890"/>
      <c r="BX872" s="889"/>
      <c r="CB872" s="15"/>
      <c r="CC872" s="697"/>
      <c r="CD872" s="1086"/>
      <c r="CE872" s="15"/>
      <c r="CF872" s="15"/>
      <c r="CG872" s="936"/>
      <c r="CH872" s="15"/>
      <c r="CI872" s="15"/>
      <c r="CJ872" s="15"/>
      <c r="CK872" s="1107"/>
      <c r="CL872" s="22"/>
      <c r="CM872" s="22"/>
      <c r="CN872" s="1107"/>
      <c r="CR872" s="223"/>
      <c r="CS872" s="952"/>
      <c r="CT872" s="1066"/>
      <c r="CU872" s="972"/>
      <c r="CV872" s="983"/>
      <c r="CW872" s="222"/>
      <c r="CX872" s="697"/>
      <c r="DC872" s="222"/>
      <c r="DJ872" s="889"/>
      <c r="DM872" s="890"/>
      <c r="DN872" s="952"/>
      <c r="DO872" s="75"/>
      <c r="DP872" s="962"/>
      <c r="DQ872" s="983"/>
      <c r="DV872" s="889"/>
    </row>
    <row r="873" spans="1:126" s="74" customFormat="1">
      <c r="A873" s="15"/>
      <c r="B873" s="15"/>
      <c r="C873" s="15"/>
      <c r="D873" s="15"/>
      <c r="E873" s="6"/>
      <c r="F873" s="6"/>
      <c r="G873" s="6"/>
      <c r="K873" s="222"/>
      <c r="V873" s="1430"/>
      <c r="AA873" s="223"/>
      <c r="AC873" s="889"/>
      <c r="AF873" s="890"/>
      <c r="AJ873" s="889"/>
      <c r="AN873" s="222"/>
      <c r="BC873" s="223"/>
      <c r="BD873" s="222"/>
      <c r="BH873" s="611"/>
      <c r="BJ873" s="15"/>
      <c r="BK873" s="15"/>
      <c r="BO873" s="223"/>
      <c r="BQ873" s="889"/>
      <c r="BT873" s="890"/>
      <c r="BX873" s="889"/>
      <c r="CB873" s="15"/>
      <c r="CC873" s="697"/>
      <c r="CD873" s="1086"/>
      <c r="CE873" s="15"/>
      <c r="CF873" s="15"/>
      <c r="CG873" s="936"/>
      <c r="CH873" s="15"/>
      <c r="CI873" s="15"/>
      <c r="CJ873" s="15"/>
      <c r="CK873" s="1107"/>
      <c r="CL873" s="22"/>
      <c r="CM873" s="22"/>
      <c r="CN873" s="1107"/>
      <c r="CR873" s="223"/>
      <c r="CS873" s="952"/>
      <c r="CT873" s="1066"/>
      <c r="CU873" s="972"/>
      <c r="CV873" s="983"/>
      <c r="CW873" s="222"/>
      <c r="CX873" s="697"/>
      <c r="DC873" s="222"/>
      <c r="DJ873" s="889"/>
      <c r="DM873" s="890"/>
      <c r="DN873" s="952"/>
      <c r="DO873" s="75"/>
      <c r="DP873" s="962"/>
      <c r="DQ873" s="983"/>
      <c r="DV873" s="889"/>
    </row>
    <row r="874" spans="1:126" s="74" customFormat="1">
      <c r="A874" s="15"/>
      <c r="B874" s="15"/>
      <c r="C874" s="15"/>
      <c r="D874" s="15"/>
      <c r="E874" s="6"/>
      <c r="F874" s="6"/>
      <c r="G874" s="6"/>
      <c r="K874" s="222"/>
      <c r="V874" s="1430"/>
      <c r="AA874" s="223"/>
      <c r="AC874" s="889"/>
      <c r="AF874" s="890"/>
      <c r="AJ874" s="889"/>
      <c r="AN874" s="222"/>
      <c r="BC874" s="223"/>
      <c r="BD874" s="222"/>
      <c r="BH874" s="611"/>
      <c r="BJ874" s="15"/>
      <c r="BK874" s="15"/>
      <c r="BO874" s="223"/>
      <c r="BQ874" s="889"/>
      <c r="BT874" s="890"/>
      <c r="BX874" s="889"/>
      <c r="CB874" s="15"/>
      <c r="CC874" s="697"/>
      <c r="CD874" s="1086"/>
      <c r="CE874" s="15"/>
      <c r="CF874" s="15"/>
      <c r="CG874" s="936"/>
      <c r="CH874" s="15"/>
      <c r="CI874" s="15"/>
      <c r="CJ874" s="15"/>
      <c r="CK874" s="1107"/>
      <c r="CL874" s="22"/>
      <c r="CM874" s="22"/>
      <c r="CN874" s="1107"/>
      <c r="CR874" s="223"/>
      <c r="CS874" s="952"/>
      <c r="CT874" s="1066"/>
      <c r="CU874" s="972"/>
      <c r="CV874" s="983"/>
      <c r="CW874" s="222"/>
      <c r="CX874" s="697"/>
      <c r="DC874" s="222"/>
      <c r="DJ874" s="889"/>
      <c r="DM874" s="890"/>
      <c r="DN874" s="952"/>
      <c r="DO874" s="75"/>
      <c r="DP874" s="962"/>
      <c r="DQ874" s="983"/>
      <c r="DV874" s="889"/>
    </row>
    <row r="875" spans="1:126" s="74" customFormat="1">
      <c r="A875" s="15"/>
      <c r="B875" s="15"/>
      <c r="C875" s="15"/>
      <c r="D875" s="15"/>
      <c r="E875" s="6"/>
      <c r="F875" s="6"/>
      <c r="G875" s="6"/>
      <c r="K875" s="222"/>
      <c r="V875" s="1430"/>
      <c r="AA875" s="223"/>
      <c r="AC875" s="889"/>
      <c r="AF875" s="890"/>
      <c r="AJ875" s="889"/>
      <c r="AN875" s="222"/>
      <c r="BC875" s="223"/>
      <c r="BD875" s="222"/>
      <c r="BH875" s="611"/>
      <c r="BJ875" s="15"/>
      <c r="BK875" s="15"/>
      <c r="BO875" s="223"/>
      <c r="BQ875" s="889"/>
      <c r="BT875" s="890"/>
      <c r="BX875" s="889"/>
      <c r="CB875" s="15"/>
      <c r="CC875" s="697"/>
      <c r="CD875" s="1086"/>
      <c r="CE875" s="15"/>
      <c r="CF875" s="15"/>
      <c r="CG875" s="936"/>
      <c r="CH875" s="15"/>
      <c r="CI875" s="15"/>
      <c r="CJ875" s="15"/>
      <c r="CK875" s="1107"/>
      <c r="CL875" s="22"/>
      <c r="CM875" s="22"/>
      <c r="CN875" s="1107"/>
      <c r="CR875" s="223"/>
      <c r="CS875" s="952"/>
      <c r="CT875" s="1066"/>
      <c r="CU875" s="972"/>
      <c r="CV875" s="983"/>
      <c r="CW875" s="222"/>
      <c r="CX875" s="697"/>
      <c r="DC875" s="222"/>
      <c r="DJ875" s="889"/>
      <c r="DM875" s="890"/>
      <c r="DN875" s="952"/>
      <c r="DO875" s="75"/>
      <c r="DP875" s="962"/>
      <c r="DQ875" s="983"/>
      <c r="DV875" s="889"/>
    </row>
    <row r="876" spans="1:126" s="74" customFormat="1">
      <c r="A876" s="15"/>
      <c r="B876" s="15"/>
      <c r="C876" s="15"/>
      <c r="D876" s="15"/>
      <c r="E876" s="6"/>
      <c r="F876" s="6"/>
      <c r="G876" s="6"/>
      <c r="K876" s="222"/>
      <c r="V876" s="1430"/>
      <c r="AA876" s="223"/>
      <c r="AC876" s="889"/>
      <c r="AF876" s="890"/>
      <c r="AJ876" s="889"/>
      <c r="AN876" s="222"/>
      <c r="BC876" s="223"/>
      <c r="BD876" s="222"/>
      <c r="BH876" s="611"/>
      <c r="BJ876" s="15"/>
      <c r="BK876" s="15"/>
      <c r="BO876" s="223"/>
      <c r="BQ876" s="889"/>
      <c r="BT876" s="890"/>
      <c r="BX876" s="889"/>
      <c r="CB876" s="15"/>
      <c r="CC876" s="697"/>
      <c r="CD876" s="1086"/>
      <c r="CE876" s="15"/>
      <c r="CF876" s="15"/>
      <c r="CG876" s="936"/>
      <c r="CH876" s="15"/>
      <c r="CI876" s="15"/>
      <c r="CJ876" s="15"/>
      <c r="CK876" s="1107"/>
      <c r="CL876" s="22"/>
      <c r="CM876" s="22"/>
      <c r="CN876" s="1107"/>
      <c r="CR876" s="223"/>
      <c r="CS876" s="952"/>
      <c r="CT876" s="1066"/>
      <c r="CU876" s="972"/>
      <c r="CV876" s="983"/>
      <c r="CW876" s="222"/>
      <c r="CX876" s="697"/>
      <c r="DC876" s="222"/>
      <c r="DJ876" s="889"/>
      <c r="DM876" s="890"/>
      <c r="DN876" s="952"/>
      <c r="DO876" s="75"/>
      <c r="DP876" s="962"/>
      <c r="DQ876" s="983"/>
      <c r="DV876" s="889"/>
    </row>
    <row r="877" spans="1:126" s="74" customFormat="1">
      <c r="A877" s="15"/>
      <c r="B877" s="15"/>
      <c r="C877" s="15"/>
      <c r="D877" s="15"/>
      <c r="E877" s="6"/>
      <c r="F877" s="6"/>
      <c r="G877" s="6"/>
      <c r="K877" s="222"/>
      <c r="V877" s="1430"/>
      <c r="AA877" s="223"/>
      <c r="AC877" s="889"/>
      <c r="AF877" s="890"/>
      <c r="AJ877" s="889"/>
      <c r="AN877" s="222"/>
      <c r="BC877" s="223"/>
      <c r="BD877" s="222"/>
      <c r="BH877" s="611"/>
      <c r="BJ877" s="15"/>
      <c r="BK877" s="15"/>
      <c r="BO877" s="223"/>
      <c r="BQ877" s="889"/>
      <c r="BT877" s="890"/>
      <c r="BX877" s="889"/>
      <c r="CB877" s="15"/>
      <c r="CC877" s="697"/>
      <c r="CD877" s="1086"/>
      <c r="CE877" s="15"/>
      <c r="CF877" s="15"/>
      <c r="CG877" s="936"/>
      <c r="CH877" s="15"/>
      <c r="CI877" s="15"/>
      <c r="CJ877" s="15"/>
      <c r="CK877" s="1107"/>
      <c r="CL877" s="22"/>
      <c r="CM877" s="22"/>
      <c r="CN877" s="1107"/>
      <c r="CR877" s="223"/>
      <c r="CS877" s="952"/>
      <c r="CT877" s="1066"/>
      <c r="CU877" s="972"/>
      <c r="CV877" s="983"/>
      <c r="CW877" s="222"/>
      <c r="CX877" s="697"/>
      <c r="DC877" s="222"/>
      <c r="DJ877" s="889"/>
      <c r="DM877" s="890"/>
      <c r="DN877" s="952"/>
      <c r="DO877" s="75"/>
      <c r="DP877" s="962"/>
      <c r="DQ877" s="983"/>
      <c r="DV877" s="889"/>
    </row>
    <row r="878" spans="1:126" s="74" customFormat="1">
      <c r="A878" s="15"/>
      <c r="B878" s="15"/>
      <c r="C878" s="15"/>
      <c r="D878" s="15"/>
      <c r="E878" s="6"/>
      <c r="F878" s="6"/>
      <c r="G878" s="6"/>
      <c r="K878" s="222"/>
      <c r="V878" s="1430"/>
      <c r="AA878" s="223"/>
      <c r="AC878" s="889"/>
      <c r="AF878" s="890"/>
      <c r="AJ878" s="889"/>
      <c r="AN878" s="222"/>
      <c r="BC878" s="223"/>
      <c r="BD878" s="222"/>
      <c r="BH878" s="611"/>
      <c r="BJ878" s="15"/>
      <c r="BK878" s="15"/>
      <c r="BO878" s="223"/>
      <c r="BQ878" s="889"/>
      <c r="BT878" s="890"/>
      <c r="BX878" s="889"/>
      <c r="CB878" s="15"/>
      <c r="CC878" s="697"/>
      <c r="CD878" s="1086"/>
      <c r="CE878" s="15"/>
      <c r="CF878" s="15"/>
      <c r="CG878" s="936"/>
      <c r="CH878" s="15"/>
      <c r="CI878" s="15"/>
      <c r="CJ878" s="15"/>
      <c r="CK878" s="1107"/>
      <c r="CL878" s="22"/>
      <c r="CM878" s="22"/>
      <c r="CN878" s="1107"/>
      <c r="CR878" s="223"/>
      <c r="CS878" s="952"/>
      <c r="CT878" s="1066"/>
      <c r="CU878" s="972"/>
      <c r="CV878" s="983"/>
      <c r="CW878" s="222"/>
      <c r="CX878" s="697"/>
      <c r="DC878" s="222"/>
      <c r="DJ878" s="889"/>
      <c r="DM878" s="890"/>
      <c r="DN878" s="952"/>
      <c r="DO878" s="75"/>
      <c r="DP878" s="962"/>
      <c r="DQ878" s="983"/>
      <c r="DV878" s="889"/>
    </row>
    <row r="879" spans="1:126" s="74" customFormat="1">
      <c r="A879" s="15"/>
      <c r="B879" s="15"/>
      <c r="C879" s="15"/>
      <c r="D879" s="15"/>
      <c r="E879" s="6"/>
      <c r="F879" s="6"/>
      <c r="G879" s="6"/>
      <c r="K879" s="222"/>
      <c r="V879" s="1430"/>
      <c r="AA879" s="223"/>
      <c r="AC879" s="889"/>
      <c r="AF879" s="890"/>
      <c r="AJ879" s="889"/>
      <c r="AN879" s="222"/>
      <c r="BC879" s="223"/>
      <c r="BD879" s="222"/>
      <c r="BH879" s="611"/>
      <c r="BJ879" s="15"/>
      <c r="BK879" s="15"/>
      <c r="BO879" s="223"/>
      <c r="BQ879" s="889"/>
      <c r="BT879" s="890"/>
      <c r="BX879" s="889"/>
      <c r="CB879" s="15"/>
      <c r="CC879" s="697"/>
      <c r="CD879" s="1086"/>
      <c r="CE879" s="15"/>
      <c r="CF879" s="15"/>
      <c r="CG879" s="936"/>
      <c r="CH879" s="15"/>
      <c r="CI879" s="15"/>
      <c r="CJ879" s="15"/>
      <c r="CK879" s="1107"/>
      <c r="CL879" s="22"/>
      <c r="CM879" s="22"/>
      <c r="CN879" s="1107"/>
      <c r="CR879" s="223"/>
      <c r="CS879" s="952"/>
      <c r="CT879" s="1066"/>
      <c r="CU879" s="972"/>
      <c r="CV879" s="983"/>
      <c r="CW879" s="222"/>
      <c r="CX879" s="697"/>
      <c r="DC879" s="222"/>
      <c r="DJ879" s="889"/>
      <c r="DM879" s="890"/>
      <c r="DN879" s="952"/>
      <c r="DO879" s="75"/>
      <c r="DP879" s="962"/>
      <c r="DQ879" s="983"/>
      <c r="DV879" s="889"/>
    </row>
    <row r="880" spans="1:126" s="74" customFormat="1">
      <c r="A880" s="15"/>
      <c r="B880" s="15"/>
      <c r="C880" s="15"/>
      <c r="D880" s="15"/>
      <c r="E880" s="6"/>
      <c r="F880" s="6"/>
      <c r="G880" s="6"/>
      <c r="K880" s="222"/>
      <c r="V880" s="1430"/>
      <c r="AA880" s="223"/>
      <c r="AC880" s="889"/>
      <c r="AF880" s="890"/>
      <c r="AJ880" s="889"/>
      <c r="AN880" s="222"/>
      <c r="BC880" s="223"/>
      <c r="BD880" s="222"/>
      <c r="BH880" s="611"/>
      <c r="BJ880" s="15"/>
      <c r="BK880" s="15"/>
      <c r="BO880" s="223"/>
      <c r="BQ880" s="889"/>
      <c r="BT880" s="890"/>
      <c r="BX880" s="889"/>
      <c r="CB880" s="15"/>
      <c r="CC880" s="697"/>
      <c r="CD880" s="1086"/>
      <c r="CE880" s="15"/>
      <c r="CF880" s="15"/>
      <c r="CG880" s="936"/>
      <c r="CH880" s="15"/>
      <c r="CI880" s="15"/>
      <c r="CJ880" s="15"/>
      <c r="CK880" s="1107"/>
      <c r="CL880" s="22"/>
      <c r="CM880" s="22"/>
      <c r="CN880" s="1107"/>
      <c r="CR880" s="223"/>
      <c r="CS880" s="952"/>
      <c r="CT880" s="1066"/>
      <c r="CU880" s="972"/>
      <c r="CV880" s="983"/>
      <c r="CW880" s="222"/>
      <c r="CX880" s="697"/>
      <c r="DC880" s="222"/>
      <c r="DJ880" s="889"/>
      <c r="DM880" s="890"/>
      <c r="DN880" s="952"/>
      <c r="DO880" s="75"/>
      <c r="DP880" s="962"/>
      <c r="DQ880" s="983"/>
      <c r="DV880" s="889"/>
    </row>
    <row r="881" spans="1:126" s="74" customFormat="1">
      <c r="A881" s="15"/>
      <c r="B881" s="15"/>
      <c r="C881" s="15"/>
      <c r="D881" s="15"/>
      <c r="E881" s="6"/>
      <c r="F881" s="6"/>
      <c r="G881" s="6"/>
      <c r="K881" s="222"/>
      <c r="V881" s="1430"/>
      <c r="AA881" s="223"/>
      <c r="AC881" s="889"/>
      <c r="AF881" s="890"/>
      <c r="AJ881" s="889"/>
      <c r="AN881" s="222"/>
      <c r="BC881" s="223"/>
      <c r="BD881" s="222"/>
      <c r="BH881" s="611"/>
      <c r="BJ881" s="15"/>
      <c r="BK881" s="15"/>
      <c r="BO881" s="223"/>
      <c r="BQ881" s="889"/>
      <c r="BT881" s="890"/>
      <c r="BX881" s="889"/>
      <c r="CB881" s="15"/>
      <c r="CC881" s="697"/>
      <c r="CD881" s="1086"/>
      <c r="CE881" s="15"/>
      <c r="CF881" s="15"/>
      <c r="CG881" s="936"/>
      <c r="CH881" s="15"/>
      <c r="CI881" s="15"/>
      <c r="CJ881" s="15"/>
      <c r="CK881" s="1107"/>
      <c r="CL881" s="22"/>
      <c r="CM881" s="22"/>
      <c r="CN881" s="1107"/>
      <c r="CR881" s="223"/>
      <c r="CS881" s="952"/>
      <c r="CT881" s="1066"/>
      <c r="CU881" s="972"/>
      <c r="CV881" s="983"/>
      <c r="CW881" s="222"/>
      <c r="CX881" s="697"/>
      <c r="DC881" s="222"/>
      <c r="DJ881" s="889"/>
      <c r="DM881" s="890"/>
      <c r="DN881" s="952"/>
      <c r="DO881" s="75"/>
      <c r="DP881" s="962"/>
      <c r="DQ881" s="983"/>
      <c r="DV881" s="889"/>
    </row>
    <row r="882" spans="1:126" s="74" customFormat="1">
      <c r="A882" s="15"/>
      <c r="B882" s="15"/>
      <c r="C882" s="15"/>
      <c r="D882" s="15"/>
      <c r="E882" s="6"/>
      <c r="F882" s="6"/>
      <c r="G882" s="6"/>
      <c r="K882" s="222"/>
      <c r="V882" s="1430"/>
      <c r="AA882" s="223"/>
      <c r="AC882" s="889"/>
      <c r="AF882" s="890"/>
      <c r="AJ882" s="889"/>
      <c r="AN882" s="222"/>
      <c r="BC882" s="223"/>
      <c r="BD882" s="222"/>
      <c r="BH882" s="611"/>
      <c r="BJ882" s="15"/>
      <c r="BK882" s="15"/>
      <c r="BO882" s="223"/>
      <c r="BQ882" s="889"/>
      <c r="BT882" s="890"/>
      <c r="BX882" s="889"/>
      <c r="CB882" s="15"/>
      <c r="CC882" s="697"/>
      <c r="CD882" s="1086"/>
      <c r="CE882" s="15"/>
      <c r="CF882" s="15"/>
      <c r="CG882" s="936"/>
      <c r="CH882" s="15"/>
      <c r="CI882" s="15"/>
      <c r="CJ882" s="15"/>
      <c r="CK882" s="1107"/>
      <c r="CL882" s="22"/>
      <c r="CM882" s="22"/>
      <c r="CN882" s="1107"/>
      <c r="CR882" s="223"/>
      <c r="CS882" s="952"/>
      <c r="CT882" s="1066"/>
      <c r="CU882" s="972"/>
      <c r="CV882" s="983"/>
      <c r="CW882" s="222"/>
      <c r="CX882" s="697"/>
      <c r="DC882" s="222"/>
      <c r="DJ882" s="889"/>
      <c r="DM882" s="890"/>
      <c r="DN882" s="952"/>
      <c r="DO882" s="75"/>
      <c r="DP882" s="962"/>
      <c r="DQ882" s="983"/>
      <c r="DV882" s="889"/>
    </row>
    <row r="883" spans="1:126" s="74" customFormat="1">
      <c r="A883" s="15"/>
      <c r="B883" s="15"/>
      <c r="C883" s="15"/>
      <c r="D883" s="15"/>
      <c r="E883" s="6"/>
      <c r="F883" s="6"/>
      <c r="G883" s="6"/>
      <c r="K883" s="222"/>
      <c r="V883" s="1430"/>
      <c r="AA883" s="223"/>
      <c r="AC883" s="889"/>
      <c r="AF883" s="890"/>
      <c r="AJ883" s="889"/>
      <c r="AN883" s="222"/>
      <c r="BC883" s="223"/>
      <c r="BD883" s="222"/>
      <c r="BH883" s="611"/>
      <c r="BJ883" s="15"/>
      <c r="BK883" s="15"/>
      <c r="BO883" s="223"/>
      <c r="BQ883" s="889"/>
      <c r="BT883" s="890"/>
      <c r="BX883" s="889"/>
      <c r="CB883" s="15"/>
      <c r="CC883" s="697"/>
      <c r="CD883" s="1086"/>
      <c r="CE883" s="15"/>
      <c r="CF883" s="15"/>
      <c r="CG883" s="936"/>
      <c r="CH883" s="15"/>
      <c r="CI883" s="15"/>
      <c r="CJ883" s="15"/>
      <c r="CK883" s="1107"/>
      <c r="CL883" s="22"/>
      <c r="CM883" s="22"/>
      <c r="CN883" s="1107"/>
      <c r="CR883" s="223"/>
      <c r="CS883" s="952"/>
      <c r="CT883" s="1066"/>
      <c r="CU883" s="972"/>
      <c r="CV883" s="983"/>
      <c r="CW883" s="222"/>
      <c r="CX883" s="697"/>
      <c r="DC883" s="222"/>
      <c r="DJ883" s="889"/>
      <c r="DM883" s="890"/>
      <c r="DN883" s="952"/>
      <c r="DO883" s="75"/>
      <c r="DP883" s="962"/>
      <c r="DQ883" s="983"/>
      <c r="DV883" s="889"/>
    </row>
    <row r="884" spans="1:126" s="74" customFormat="1">
      <c r="A884" s="15"/>
      <c r="B884" s="15"/>
      <c r="C884" s="15"/>
      <c r="D884" s="15"/>
      <c r="E884" s="6"/>
      <c r="F884" s="6"/>
      <c r="G884" s="6"/>
      <c r="K884" s="222"/>
      <c r="V884" s="1430"/>
      <c r="AA884" s="223"/>
      <c r="AC884" s="889"/>
      <c r="AF884" s="890"/>
      <c r="AJ884" s="889"/>
      <c r="AN884" s="222"/>
      <c r="BC884" s="223"/>
      <c r="BD884" s="222"/>
      <c r="BH884" s="611"/>
      <c r="BJ884" s="15"/>
      <c r="BK884" s="15"/>
      <c r="BO884" s="223"/>
      <c r="BQ884" s="889"/>
      <c r="BT884" s="890"/>
      <c r="BX884" s="889"/>
      <c r="CB884" s="15"/>
      <c r="CC884" s="697"/>
      <c r="CD884" s="1086"/>
      <c r="CE884" s="15"/>
      <c r="CF884" s="15"/>
      <c r="CG884" s="936"/>
      <c r="CH884" s="15"/>
      <c r="CI884" s="15"/>
      <c r="CJ884" s="15"/>
      <c r="CK884" s="1107"/>
      <c r="CL884" s="22"/>
      <c r="CM884" s="22"/>
      <c r="CN884" s="1107"/>
      <c r="CR884" s="223"/>
      <c r="CS884" s="952"/>
      <c r="CT884" s="1066"/>
      <c r="CU884" s="972"/>
      <c r="CV884" s="983"/>
      <c r="CW884" s="222"/>
      <c r="CX884" s="697"/>
      <c r="DC884" s="222"/>
      <c r="DJ884" s="889"/>
      <c r="DM884" s="890"/>
      <c r="DN884" s="952"/>
      <c r="DO884" s="75"/>
      <c r="DP884" s="962"/>
      <c r="DQ884" s="983"/>
      <c r="DV884" s="889"/>
    </row>
    <row r="885" spans="1:126" s="74" customFormat="1">
      <c r="A885" s="15"/>
      <c r="B885" s="15"/>
      <c r="C885" s="15"/>
      <c r="D885" s="15"/>
      <c r="E885" s="6"/>
      <c r="F885" s="6"/>
      <c r="G885" s="6"/>
      <c r="K885" s="222"/>
      <c r="V885" s="1430"/>
      <c r="AA885" s="223"/>
      <c r="AC885" s="889"/>
      <c r="AF885" s="890"/>
      <c r="AJ885" s="889"/>
      <c r="AN885" s="222"/>
      <c r="BC885" s="223"/>
      <c r="BD885" s="222"/>
      <c r="BH885" s="611"/>
      <c r="BJ885" s="15"/>
      <c r="BK885" s="15"/>
      <c r="BO885" s="223"/>
      <c r="BQ885" s="889"/>
      <c r="BT885" s="890"/>
      <c r="BX885" s="889"/>
      <c r="CB885" s="15"/>
      <c r="CC885" s="697"/>
      <c r="CD885" s="1086"/>
      <c r="CE885" s="15"/>
      <c r="CF885" s="15"/>
      <c r="CG885" s="936"/>
      <c r="CH885" s="15"/>
      <c r="CI885" s="15"/>
      <c r="CJ885" s="15"/>
      <c r="CK885" s="1107"/>
      <c r="CL885" s="22"/>
      <c r="CM885" s="22"/>
      <c r="CN885" s="1107"/>
      <c r="CR885" s="223"/>
      <c r="CS885" s="952"/>
      <c r="CT885" s="1066"/>
      <c r="CU885" s="972"/>
      <c r="CV885" s="983"/>
      <c r="CW885" s="222"/>
      <c r="CX885" s="697"/>
      <c r="DC885" s="222"/>
      <c r="DJ885" s="889"/>
      <c r="DM885" s="890"/>
      <c r="DN885" s="952"/>
      <c r="DO885" s="75"/>
      <c r="DP885" s="962"/>
      <c r="DQ885" s="983"/>
      <c r="DV885" s="889"/>
    </row>
    <row r="886" spans="1:126" s="74" customFormat="1">
      <c r="A886" s="15"/>
      <c r="B886" s="15"/>
      <c r="C886" s="15"/>
      <c r="D886" s="15"/>
      <c r="E886" s="6"/>
      <c r="F886" s="6"/>
      <c r="G886" s="6"/>
      <c r="K886" s="222"/>
      <c r="V886" s="1430"/>
      <c r="AA886" s="223"/>
      <c r="AC886" s="889"/>
      <c r="AF886" s="890"/>
      <c r="AJ886" s="889"/>
      <c r="AN886" s="222"/>
      <c r="BC886" s="223"/>
      <c r="BD886" s="222"/>
      <c r="BH886" s="611"/>
      <c r="BJ886" s="15"/>
      <c r="BK886" s="15"/>
      <c r="BO886" s="223"/>
      <c r="BQ886" s="889"/>
      <c r="BT886" s="890"/>
      <c r="BX886" s="889"/>
      <c r="CB886" s="15"/>
      <c r="CC886" s="697"/>
      <c r="CD886" s="1086"/>
      <c r="CE886" s="15"/>
      <c r="CF886" s="15"/>
      <c r="CG886" s="936"/>
      <c r="CH886" s="15"/>
      <c r="CI886" s="15"/>
      <c r="CJ886" s="15"/>
      <c r="CK886" s="1107"/>
      <c r="CL886" s="22"/>
      <c r="CM886" s="22"/>
      <c r="CN886" s="1107"/>
      <c r="CR886" s="223"/>
      <c r="CS886" s="952"/>
      <c r="CT886" s="1066"/>
      <c r="CU886" s="972"/>
      <c r="CV886" s="983"/>
      <c r="CW886" s="222"/>
      <c r="CX886" s="697"/>
      <c r="DC886" s="222"/>
      <c r="DJ886" s="889"/>
      <c r="DM886" s="890"/>
      <c r="DN886" s="952"/>
      <c r="DO886" s="75"/>
      <c r="DP886" s="962"/>
      <c r="DQ886" s="983"/>
      <c r="DV886" s="889"/>
    </row>
    <row r="887" spans="1:126" s="74" customFormat="1">
      <c r="A887" s="15"/>
      <c r="B887" s="15"/>
      <c r="C887" s="15"/>
      <c r="D887" s="15"/>
      <c r="E887" s="6"/>
      <c r="F887" s="6"/>
      <c r="G887" s="6"/>
      <c r="K887" s="222"/>
      <c r="V887" s="1430"/>
      <c r="AA887" s="223"/>
      <c r="AC887" s="889"/>
      <c r="AF887" s="890"/>
      <c r="AJ887" s="889"/>
      <c r="AN887" s="222"/>
      <c r="BC887" s="223"/>
      <c r="BD887" s="222"/>
      <c r="BH887" s="611"/>
      <c r="BJ887" s="15"/>
      <c r="BK887" s="15"/>
      <c r="BO887" s="223"/>
      <c r="BQ887" s="889"/>
      <c r="BT887" s="890"/>
      <c r="BX887" s="889"/>
      <c r="CB887" s="15"/>
      <c r="CC887" s="697"/>
      <c r="CD887" s="1086"/>
      <c r="CE887" s="15"/>
      <c r="CF887" s="15"/>
      <c r="CG887" s="936"/>
      <c r="CH887" s="15"/>
      <c r="CI887" s="15"/>
      <c r="CJ887" s="15"/>
      <c r="CK887" s="1107"/>
      <c r="CL887" s="22"/>
      <c r="CM887" s="22"/>
      <c r="CN887" s="1107"/>
      <c r="CR887" s="223"/>
      <c r="CS887" s="952"/>
      <c r="CT887" s="1066"/>
      <c r="CU887" s="972"/>
      <c r="CV887" s="983"/>
      <c r="CW887" s="222"/>
      <c r="CX887" s="697"/>
      <c r="DC887" s="222"/>
      <c r="DJ887" s="889"/>
      <c r="DM887" s="890"/>
      <c r="DN887" s="952"/>
      <c r="DO887" s="75"/>
      <c r="DP887" s="962"/>
      <c r="DQ887" s="983"/>
      <c r="DV887" s="889"/>
    </row>
    <row r="888" spans="1:126" s="74" customFormat="1">
      <c r="A888" s="15"/>
      <c r="B888" s="15"/>
      <c r="C888" s="15"/>
      <c r="D888" s="15"/>
      <c r="E888" s="6"/>
      <c r="F888" s="6"/>
      <c r="G888" s="6"/>
      <c r="K888" s="222"/>
      <c r="V888" s="1430"/>
      <c r="AA888" s="223"/>
      <c r="AC888" s="889"/>
      <c r="AF888" s="890"/>
      <c r="AJ888" s="889"/>
      <c r="AN888" s="222"/>
      <c r="BC888" s="223"/>
      <c r="BD888" s="222"/>
      <c r="BH888" s="611"/>
      <c r="BJ888" s="15"/>
      <c r="BK888" s="15"/>
      <c r="BO888" s="223"/>
      <c r="BQ888" s="889"/>
      <c r="BT888" s="890"/>
      <c r="BX888" s="889"/>
      <c r="CB888" s="15"/>
      <c r="CC888" s="697"/>
      <c r="CD888" s="1086"/>
      <c r="CE888" s="15"/>
      <c r="CF888" s="15"/>
      <c r="CG888" s="936"/>
      <c r="CH888" s="15"/>
      <c r="CI888" s="15"/>
      <c r="CJ888" s="15"/>
      <c r="CK888" s="1107"/>
      <c r="CL888" s="22"/>
      <c r="CM888" s="22"/>
      <c r="CN888" s="1107"/>
      <c r="CR888" s="223"/>
      <c r="CS888" s="952"/>
      <c r="CT888" s="1066"/>
      <c r="CU888" s="972"/>
      <c r="CV888" s="983"/>
      <c r="CW888" s="222"/>
      <c r="CX888" s="697"/>
      <c r="DC888" s="222"/>
      <c r="DJ888" s="889"/>
      <c r="DM888" s="890"/>
      <c r="DN888" s="952"/>
      <c r="DO888" s="75"/>
      <c r="DP888" s="962"/>
      <c r="DQ888" s="983"/>
      <c r="DV888" s="889"/>
    </row>
    <row r="889" spans="1:126" s="74" customFormat="1">
      <c r="A889" s="15"/>
      <c r="B889" s="15"/>
      <c r="C889" s="15"/>
      <c r="D889" s="15"/>
      <c r="E889" s="6"/>
      <c r="F889" s="6"/>
      <c r="G889" s="6"/>
      <c r="K889" s="222"/>
      <c r="V889" s="1430"/>
      <c r="AA889" s="223"/>
      <c r="AC889" s="889"/>
      <c r="AF889" s="890"/>
      <c r="AJ889" s="889"/>
      <c r="AN889" s="222"/>
      <c r="BC889" s="223"/>
      <c r="BD889" s="222"/>
      <c r="BH889" s="611"/>
      <c r="BJ889" s="15"/>
      <c r="BK889" s="15"/>
      <c r="BO889" s="223"/>
      <c r="BQ889" s="889"/>
      <c r="BT889" s="890"/>
      <c r="BX889" s="889"/>
      <c r="CB889" s="15"/>
      <c r="CC889" s="697"/>
      <c r="CD889" s="1086"/>
      <c r="CE889" s="15"/>
      <c r="CF889" s="15"/>
      <c r="CG889" s="936"/>
      <c r="CH889" s="15"/>
      <c r="CI889" s="15"/>
      <c r="CJ889" s="15"/>
      <c r="CK889" s="1107"/>
      <c r="CL889" s="22"/>
      <c r="CM889" s="22"/>
      <c r="CN889" s="1107"/>
      <c r="CR889" s="223"/>
      <c r="CS889" s="952"/>
      <c r="CT889" s="1066"/>
      <c r="CU889" s="972"/>
      <c r="CV889" s="983"/>
      <c r="CW889" s="222"/>
      <c r="CX889" s="697"/>
      <c r="DC889" s="222"/>
      <c r="DJ889" s="889"/>
      <c r="DM889" s="890"/>
      <c r="DN889" s="952"/>
      <c r="DO889" s="75"/>
      <c r="DP889" s="962"/>
      <c r="DQ889" s="983"/>
      <c r="DV889" s="889"/>
    </row>
    <row r="890" spans="1:126" s="74" customFormat="1">
      <c r="A890" s="15"/>
      <c r="B890" s="15"/>
      <c r="C890" s="15"/>
      <c r="D890" s="15"/>
      <c r="E890" s="6"/>
      <c r="F890" s="6"/>
      <c r="G890" s="6"/>
      <c r="K890" s="222"/>
      <c r="V890" s="1430"/>
      <c r="AA890" s="223"/>
      <c r="AC890" s="889"/>
      <c r="AF890" s="890"/>
      <c r="AJ890" s="889"/>
      <c r="AN890" s="222"/>
      <c r="BC890" s="223"/>
      <c r="BD890" s="222"/>
      <c r="BH890" s="611"/>
      <c r="BJ890" s="15"/>
      <c r="BK890" s="15"/>
      <c r="BO890" s="223"/>
      <c r="BQ890" s="889"/>
      <c r="BT890" s="890"/>
      <c r="BX890" s="889"/>
      <c r="CB890" s="15"/>
      <c r="CC890" s="697"/>
      <c r="CD890" s="1086"/>
      <c r="CE890" s="15"/>
      <c r="CF890" s="15"/>
      <c r="CG890" s="936"/>
      <c r="CH890" s="15"/>
      <c r="CI890" s="15"/>
      <c r="CJ890" s="15"/>
      <c r="CK890" s="1107"/>
      <c r="CL890" s="22"/>
      <c r="CM890" s="22"/>
      <c r="CN890" s="1107"/>
      <c r="CR890" s="223"/>
      <c r="CS890" s="952"/>
      <c r="CT890" s="1066"/>
      <c r="CU890" s="972"/>
      <c r="CV890" s="983"/>
      <c r="CW890" s="222"/>
      <c r="CX890" s="697"/>
      <c r="DC890" s="222"/>
      <c r="DJ890" s="889"/>
      <c r="DM890" s="890"/>
      <c r="DN890" s="952"/>
      <c r="DO890" s="75"/>
      <c r="DP890" s="962"/>
      <c r="DQ890" s="983"/>
      <c r="DV890" s="889"/>
    </row>
    <row r="891" spans="1:126" s="74" customFormat="1">
      <c r="A891" s="15"/>
      <c r="B891" s="15"/>
      <c r="C891" s="15"/>
      <c r="D891" s="15"/>
      <c r="E891" s="6"/>
      <c r="F891" s="6"/>
      <c r="G891" s="6"/>
      <c r="K891" s="222"/>
      <c r="V891" s="1430"/>
      <c r="AA891" s="223"/>
      <c r="AC891" s="889"/>
      <c r="AF891" s="890"/>
      <c r="AJ891" s="889"/>
      <c r="AN891" s="222"/>
      <c r="BC891" s="223"/>
      <c r="BD891" s="222"/>
      <c r="BH891" s="611"/>
      <c r="BJ891" s="15"/>
      <c r="BK891" s="15"/>
      <c r="BO891" s="223"/>
      <c r="BQ891" s="889"/>
      <c r="BT891" s="890"/>
      <c r="BX891" s="889"/>
      <c r="CB891" s="15"/>
      <c r="CC891" s="697"/>
      <c r="CD891" s="1086"/>
      <c r="CE891" s="15"/>
      <c r="CF891" s="15"/>
      <c r="CG891" s="936"/>
      <c r="CH891" s="15"/>
      <c r="CI891" s="15"/>
      <c r="CJ891" s="15"/>
      <c r="CK891" s="1107"/>
      <c r="CL891" s="22"/>
      <c r="CM891" s="22"/>
      <c r="CN891" s="1107"/>
      <c r="CR891" s="223"/>
      <c r="CS891" s="952"/>
      <c r="CT891" s="1066"/>
      <c r="CU891" s="972"/>
      <c r="CV891" s="983"/>
      <c r="CW891" s="222"/>
      <c r="CX891" s="697"/>
      <c r="DC891" s="222"/>
      <c r="DJ891" s="889"/>
      <c r="DM891" s="890"/>
      <c r="DN891" s="952"/>
      <c r="DO891" s="75"/>
      <c r="DP891" s="962"/>
      <c r="DQ891" s="983"/>
      <c r="DV891" s="889"/>
    </row>
    <row r="892" spans="1:126" s="74" customFormat="1">
      <c r="A892" s="15"/>
      <c r="B892" s="15"/>
      <c r="C892" s="15"/>
      <c r="D892" s="15"/>
      <c r="E892" s="6"/>
      <c r="F892" s="6"/>
      <c r="G892" s="6"/>
      <c r="K892" s="222"/>
      <c r="V892" s="1430"/>
      <c r="AA892" s="223"/>
      <c r="AC892" s="889"/>
      <c r="AF892" s="890"/>
      <c r="AJ892" s="889"/>
      <c r="AN892" s="222"/>
      <c r="BC892" s="223"/>
      <c r="BD892" s="222"/>
      <c r="BH892" s="611"/>
      <c r="BJ892" s="15"/>
      <c r="BK892" s="15"/>
      <c r="BO892" s="223"/>
      <c r="BQ892" s="889"/>
      <c r="BT892" s="890"/>
      <c r="BX892" s="889"/>
      <c r="CB892" s="15"/>
      <c r="CC892" s="697"/>
      <c r="CD892" s="1086"/>
      <c r="CE892" s="15"/>
      <c r="CF892" s="15"/>
      <c r="CG892" s="936"/>
      <c r="CH892" s="15"/>
      <c r="CI892" s="15"/>
      <c r="CJ892" s="15"/>
      <c r="CK892" s="1107"/>
      <c r="CL892" s="22"/>
      <c r="CM892" s="22"/>
      <c r="CN892" s="1107"/>
      <c r="CR892" s="223"/>
      <c r="CS892" s="952"/>
      <c r="CT892" s="1066"/>
      <c r="CU892" s="972"/>
      <c r="CV892" s="983"/>
      <c r="CW892" s="222"/>
      <c r="CX892" s="697"/>
      <c r="DC892" s="222"/>
      <c r="DJ892" s="889"/>
      <c r="DM892" s="890"/>
      <c r="DN892" s="952"/>
      <c r="DO892" s="75"/>
      <c r="DP892" s="962"/>
      <c r="DQ892" s="983"/>
      <c r="DV892" s="889"/>
    </row>
    <row r="893" spans="1:126" s="74" customFormat="1">
      <c r="A893" s="15"/>
      <c r="B893" s="15"/>
      <c r="C893" s="15"/>
      <c r="D893" s="15"/>
      <c r="E893" s="6"/>
      <c r="F893" s="6"/>
      <c r="G893" s="6"/>
      <c r="K893" s="222"/>
      <c r="V893" s="1430"/>
      <c r="AA893" s="223"/>
      <c r="AC893" s="889"/>
      <c r="AF893" s="890"/>
      <c r="AJ893" s="889"/>
      <c r="AN893" s="222"/>
      <c r="BC893" s="223"/>
      <c r="BD893" s="222"/>
      <c r="BH893" s="611"/>
      <c r="BJ893" s="15"/>
      <c r="BK893" s="15"/>
      <c r="BO893" s="223"/>
      <c r="BQ893" s="889"/>
      <c r="BT893" s="890"/>
      <c r="BX893" s="889"/>
      <c r="CB893" s="15"/>
      <c r="CC893" s="697"/>
      <c r="CD893" s="1086"/>
      <c r="CE893" s="15"/>
      <c r="CF893" s="15"/>
      <c r="CG893" s="936"/>
      <c r="CH893" s="15"/>
      <c r="CI893" s="15"/>
      <c r="CJ893" s="15"/>
      <c r="CK893" s="1107"/>
      <c r="CL893" s="22"/>
      <c r="CM893" s="22"/>
      <c r="CN893" s="1107"/>
      <c r="CR893" s="223"/>
      <c r="CS893" s="952"/>
      <c r="CT893" s="1066"/>
      <c r="CU893" s="972"/>
      <c r="CV893" s="983"/>
      <c r="CW893" s="222"/>
      <c r="CX893" s="697"/>
      <c r="DC893" s="222"/>
      <c r="DJ893" s="889"/>
      <c r="DM893" s="890"/>
      <c r="DN893" s="952"/>
      <c r="DO893" s="75"/>
      <c r="DP893" s="962"/>
      <c r="DQ893" s="983"/>
      <c r="DV893" s="889"/>
    </row>
    <row r="894" spans="1:126" s="74" customFormat="1">
      <c r="A894" s="15"/>
      <c r="B894" s="15"/>
      <c r="C894" s="15"/>
      <c r="D894" s="15"/>
      <c r="E894" s="6"/>
      <c r="F894" s="6"/>
      <c r="G894" s="6"/>
      <c r="K894" s="222"/>
      <c r="V894" s="1430"/>
      <c r="AA894" s="223"/>
      <c r="AC894" s="889"/>
      <c r="AF894" s="890"/>
      <c r="AJ894" s="889"/>
      <c r="AN894" s="222"/>
      <c r="BC894" s="223"/>
      <c r="BD894" s="222"/>
      <c r="BH894" s="611"/>
      <c r="BJ894" s="15"/>
      <c r="BK894" s="15"/>
      <c r="BO894" s="223"/>
      <c r="BQ894" s="889"/>
      <c r="BT894" s="890"/>
      <c r="BX894" s="889"/>
      <c r="CB894" s="15"/>
      <c r="CC894" s="697"/>
      <c r="CD894" s="1086"/>
      <c r="CE894" s="15"/>
      <c r="CF894" s="15"/>
      <c r="CG894" s="936"/>
      <c r="CH894" s="15"/>
      <c r="CI894" s="15"/>
      <c r="CJ894" s="15"/>
      <c r="CK894" s="1107"/>
      <c r="CL894" s="22"/>
      <c r="CM894" s="22"/>
      <c r="CN894" s="1107"/>
      <c r="CR894" s="223"/>
      <c r="CS894" s="952"/>
      <c r="CT894" s="1066"/>
      <c r="CU894" s="972"/>
      <c r="CV894" s="983"/>
      <c r="CW894" s="222"/>
      <c r="CX894" s="697"/>
      <c r="DC894" s="222"/>
      <c r="DJ894" s="889"/>
      <c r="DM894" s="890"/>
      <c r="DN894" s="952"/>
      <c r="DO894" s="75"/>
      <c r="DP894" s="962"/>
      <c r="DQ894" s="983"/>
      <c r="DV894" s="889"/>
    </row>
    <row r="895" spans="1:126" s="74" customFormat="1">
      <c r="A895" s="15"/>
      <c r="B895" s="15"/>
      <c r="C895" s="15"/>
      <c r="D895" s="15"/>
      <c r="E895" s="6"/>
      <c r="F895" s="6"/>
      <c r="G895" s="6"/>
      <c r="K895" s="222"/>
      <c r="V895" s="1430"/>
      <c r="AA895" s="223"/>
      <c r="AC895" s="889"/>
      <c r="AF895" s="890"/>
      <c r="AJ895" s="889"/>
      <c r="AN895" s="222"/>
      <c r="BC895" s="223"/>
      <c r="BD895" s="222"/>
      <c r="BH895" s="611"/>
      <c r="BJ895" s="15"/>
      <c r="BK895" s="15"/>
      <c r="BO895" s="223"/>
      <c r="BQ895" s="889"/>
      <c r="BT895" s="890"/>
      <c r="BX895" s="889"/>
      <c r="CB895" s="15"/>
      <c r="CC895" s="697"/>
      <c r="CD895" s="1086"/>
      <c r="CE895" s="15"/>
      <c r="CF895" s="15"/>
      <c r="CG895" s="936"/>
      <c r="CH895" s="15"/>
      <c r="CI895" s="15"/>
      <c r="CJ895" s="15"/>
      <c r="CK895" s="1107"/>
      <c r="CL895" s="22"/>
      <c r="CM895" s="22"/>
      <c r="CN895" s="1107"/>
      <c r="CR895" s="223"/>
      <c r="CS895" s="952"/>
      <c r="CT895" s="1066"/>
      <c r="CU895" s="972"/>
      <c r="CV895" s="983"/>
      <c r="CW895" s="222"/>
      <c r="CX895" s="697"/>
      <c r="DC895" s="222"/>
      <c r="DJ895" s="889"/>
      <c r="DM895" s="890"/>
      <c r="DN895" s="952"/>
      <c r="DO895" s="75"/>
      <c r="DP895" s="962"/>
      <c r="DQ895" s="983"/>
      <c r="DV895" s="889"/>
    </row>
    <row r="896" spans="1:126" s="74" customFormat="1">
      <c r="A896" s="15"/>
      <c r="B896" s="15"/>
      <c r="C896" s="15"/>
      <c r="D896" s="15"/>
      <c r="E896" s="6"/>
      <c r="F896" s="6"/>
      <c r="G896" s="6"/>
      <c r="K896" s="222"/>
      <c r="V896" s="1430"/>
      <c r="AA896" s="223"/>
      <c r="AC896" s="889"/>
      <c r="AF896" s="890"/>
      <c r="AJ896" s="889"/>
      <c r="AN896" s="222"/>
      <c r="BC896" s="223"/>
      <c r="BD896" s="222"/>
      <c r="BH896" s="611"/>
      <c r="BJ896" s="15"/>
      <c r="BK896" s="15"/>
      <c r="BO896" s="223"/>
      <c r="BQ896" s="889"/>
      <c r="BT896" s="890"/>
      <c r="BX896" s="889"/>
      <c r="CB896" s="15"/>
      <c r="CC896" s="697"/>
      <c r="CD896" s="1086"/>
      <c r="CE896" s="15"/>
      <c r="CF896" s="15"/>
      <c r="CG896" s="936"/>
      <c r="CH896" s="15"/>
      <c r="CI896" s="15"/>
      <c r="CJ896" s="15"/>
      <c r="CK896" s="1107"/>
      <c r="CL896" s="22"/>
      <c r="CM896" s="22"/>
      <c r="CN896" s="1107"/>
      <c r="CR896" s="223"/>
      <c r="CS896" s="952"/>
      <c r="CT896" s="1066"/>
      <c r="CU896" s="972"/>
      <c r="CV896" s="983"/>
      <c r="CW896" s="222"/>
      <c r="CX896" s="697"/>
      <c r="DC896" s="222"/>
      <c r="DJ896" s="889"/>
      <c r="DM896" s="890"/>
      <c r="DN896" s="952"/>
      <c r="DO896" s="75"/>
      <c r="DP896" s="962"/>
      <c r="DQ896" s="983"/>
      <c r="DV896" s="889"/>
    </row>
    <row r="897" spans="1:126" s="74" customFormat="1">
      <c r="A897" s="15"/>
      <c r="B897" s="15"/>
      <c r="C897" s="15"/>
      <c r="D897" s="15"/>
      <c r="E897" s="6"/>
      <c r="F897" s="6"/>
      <c r="G897" s="6"/>
      <c r="K897" s="222"/>
      <c r="V897" s="1430"/>
      <c r="AA897" s="223"/>
      <c r="AC897" s="889"/>
      <c r="AF897" s="890"/>
      <c r="AJ897" s="889"/>
      <c r="AN897" s="222"/>
      <c r="BC897" s="223"/>
      <c r="BD897" s="222"/>
      <c r="BH897" s="611"/>
      <c r="BJ897" s="15"/>
      <c r="BK897" s="15"/>
      <c r="BO897" s="223"/>
      <c r="BQ897" s="889"/>
      <c r="BT897" s="890"/>
      <c r="BX897" s="889"/>
      <c r="CB897" s="15"/>
      <c r="CC897" s="697"/>
      <c r="CD897" s="1086"/>
      <c r="CE897" s="15"/>
      <c r="CF897" s="15"/>
      <c r="CG897" s="936"/>
      <c r="CH897" s="15"/>
      <c r="CI897" s="15"/>
      <c r="CJ897" s="15"/>
      <c r="CK897" s="1107"/>
      <c r="CL897" s="22"/>
      <c r="CM897" s="22"/>
      <c r="CN897" s="1107"/>
      <c r="CR897" s="223"/>
      <c r="CS897" s="952"/>
      <c r="CT897" s="1066"/>
      <c r="CU897" s="972"/>
      <c r="CV897" s="983"/>
      <c r="CW897" s="222"/>
      <c r="CX897" s="697"/>
      <c r="DC897" s="222"/>
      <c r="DJ897" s="889"/>
      <c r="DM897" s="890"/>
      <c r="DN897" s="952"/>
      <c r="DO897" s="75"/>
      <c r="DP897" s="962"/>
      <c r="DQ897" s="983"/>
      <c r="DV897" s="889"/>
    </row>
    <row r="898" spans="1:126" s="74" customFormat="1">
      <c r="A898" s="15"/>
      <c r="B898" s="15"/>
      <c r="C898" s="15"/>
      <c r="D898" s="15"/>
      <c r="E898" s="6"/>
      <c r="F898" s="6"/>
      <c r="G898" s="6"/>
      <c r="K898" s="222"/>
      <c r="V898" s="1430"/>
      <c r="AA898" s="223"/>
      <c r="AC898" s="889"/>
      <c r="AF898" s="890"/>
      <c r="AJ898" s="889"/>
      <c r="AN898" s="222"/>
      <c r="BC898" s="223"/>
      <c r="BD898" s="222"/>
      <c r="BH898" s="611"/>
      <c r="BJ898" s="15"/>
      <c r="BK898" s="15"/>
      <c r="BO898" s="223"/>
      <c r="BQ898" s="889"/>
      <c r="BT898" s="890"/>
      <c r="BX898" s="889"/>
      <c r="CB898" s="15"/>
      <c r="CC898" s="697"/>
      <c r="CD898" s="1086"/>
      <c r="CE898" s="15"/>
      <c r="CF898" s="15"/>
      <c r="CG898" s="936"/>
      <c r="CH898" s="15"/>
      <c r="CI898" s="15"/>
      <c r="CJ898" s="15"/>
      <c r="CK898" s="1107"/>
      <c r="CL898" s="22"/>
      <c r="CM898" s="22"/>
      <c r="CN898" s="1107"/>
      <c r="CR898" s="223"/>
      <c r="CS898" s="952"/>
      <c r="CT898" s="1066"/>
      <c r="CU898" s="972"/>
      <c r="CV898" s="983"/>
      <c r="CW898" s="222"/>
      <c r="CX898" s="697"/>
      <c r="DC898" s="222"/>
      <c r="DJ898" s="889"/>
      <c r="DM898" s="890"/>
      <c r="DN898" s="952"/>
      <c r="DO898" s="75"/>
      <c r="DP898" s="962"/>
      <c r="DQ898" s="983"/>
      <c r="DV898" s="889"/>
    </row>
    <row r="899" spans="1:126" s="74" customFormat="1">
      <c r="A899" s="15"/>
      <c r="B899" s="15"/>
      <c r="C899" s="15"/>
      <c r="D899" s="15"/>
      <c r="E899" s="6"/>
      <c r="F899" s="6"/>
      <c r="G899" s="6"/>
      <c r="K899" s="222"/>
      <c r="V899" s="1430"/>
      <c r="AA899" s="223"/>
      <c r="AC899" s="889"/>
      <c r="AF899" s="890"/>
      <c r="AJ899" s="889"/>
      <c r="AN899" s="222"/>
      <c r="BC899" s="223"/>
      <c r="BD899" s="222"/>
      <c r="BH899" s="611"/>
      <c r="BJ899" s="15"/>
      <c r="BK899" s="15"/>
      <c r="BO899" s="223"/>
      <c r="BQ899" s="889"/>
      <c r="BT899" s="890"/>
      <c r="BX899" s="889"/>
      <c r="CB899" s="15"/>
      <c r="CC899" s="697"/>
      <c r="CD899" s="1086"/>
      <c r="CE899" s="15"/>
      <c r="CF899" s="15"/>
      <c r="CG899" s="936"/>
      <c r="CH899" s="15"/>
      <c r="CI899" s="15"/>
      <c r="CJ899" s="15"/>
      <c r="CK899" s="1107"/>
      <c r="CL899" s="22"/>
      <c r="CM899" s="22"/>
      <c r="CN899" s="1107"/>
      <c r="CR899" s="223"/>
      <c r="CS899" s="952"/>
      <c r="CT899" s="1066"/>
      <c r="CU899" s="972"/>
      <c r="CV899" s="983"/>
      <c r="CW899" s="222"/>
      <c r="CX899" s="697"/>
      <c r="DC899" s="222"/>
      <c r="DJ899" s="889"/>
      <c r="DM899" s="890"/>
      <c r="DN899" s="952"/>
      <c r="DO899" s="75"/>
      <c r="DP899" s="962"/>
      <c r="DQ899" s="983"/>
      <c r="DV899" s="889"/>
    </row>
    <row r="900" spans="1:126" s="74" customFormat="1">
      <c r="A900" s="15"/>
      <c r="B900" s="15"/>
      <c r="C900" s="15"/>
      <c r="D900" s="15"/>
      <c r="E900" s="6"/>
      <c r="F900" s="6"/>
      <c r="G900" s="6"/>
      <c r="K900" s="222"/>
      <c r="V900" s="1430"/>
      <c r="AA900" s="223"/>
      <c r="AC900" s="889"/>
      <c r="AF900" s="890"/>
      <c r="AJ900" s="889"/>
      <c r="AN900" s="222"/>
      <c r="BC900" s="223"/>
      <c r="BD900" s="222"/>
      <c r="BH900" s="611"/>
      <c r="BJ900" s="15"/>
      <c r="BK900" s="15"/>
      <c r="BO900" s="223"/>
      <c r="BQ900" s="889"/>
      <c r="BT900" s="890"/>
      <c r="BX900" s="889"/>
      <c r="CB900" s="15"/>
      <c r="CC900" s="697"/>
      <c r="CD900" s="1086"/>
      <c r="CE900" s="15"/>
      <c r="CF900" s="15"/>
      <c r="CG900" s="936"/>
      <c r="CH900" s="15"/>
      <c r="CI900" s="15"/>
      <c r="CJ900" s="15"/>
      <c r="CK900" s="1107"/>
      <c r="CL900" s="22"/>
      <c r="CM900" s="22"/>
      <c r="CN900" s="1107"/>
      <c r="CR900" s="223"/>
      <c r="CS900" s="952"/>
      <c r="CT900" s="1066"/>
      <c r="CU900" s="972"/>
      <c r="CV900" s="983"/>
      <c r="CW900" s="222"/>
      <c r="CX900" s="697"/>
      <c r="DC900" s="222"/>
      <c r="DJ900" s="889"/>
      <c r="DM900" s="890"/>
      <c r="DN900" s="952"/>
      <c r="DO900" s="75"/>
      <c r="DP900" s="962"/>
      <c r="DQ900" s="983"/>
      <c r="DV900" s="889"/>
    </row>
    <row r="901" spans="1:126" s="74" customFormat="1">
      <c r="A901" s="15"/>
      <c r="B901" s="15"/>
      <c r="C901" s="15"/>
      <c r="D901" s="15"/>
      <c r="E901" s="6"/>
      <c r="F901" s="6"/>
      <c r="G901" s="6"/>
      <c r="K901" s="222"/>
      <c r="V901" s="1430"/>
      <c r="AA901" s="223"/>
      <c r="AC901" s="889"/>
      <c r="AF901" s="890"/>
      <c r="AJ901" s="889"/>
      <c r="AN901" s="222"/>
      <c r="BC901" s="223"/>
      <c r="BD901" s="222"/>
      <c r="BH901" s="611"/>
      <c r="BJ901" s="15"/>
      <c r="BK901" s="15"/>
      <c r="BO901" s="223"/>
      <c r="BQ901" s="889"/>
      <c r="BT901" s="890"/>
      <c r="BX901" s="889"/>
      <c r="CB901" s="15"/>
      <c r="CC901" s="697"/>
      <c r="CD901" s="1086"/>
      <c r="CE901" s="15"/>
      <c r="CF901" s="15"/>
      <c r="CG901" s="936"/>
      <c r="CH901" s="15"/>
      <c r="CI901" s="15"/>
      <c r="CJ901" s="15"/>
      <c r="CK901" s="1107"/>
      <c r="CL901" s="22"/>
      <c r="CM901" s="22"/>
      <c r="CN901" s="1107"/>
      <c r="CR901" s="223"/>
      <c r="CS901" s="952"/>
      <c r="CT901" s="1066"/>
      <c r="CU901" s="972"/>
      <c r="CV901" s="983"/>
      <c r="CW901" s="222"/>
      <c r="CX901" s="697"/>
      <c r="DC901" s="222"/>
      <c r="DJ901" s="889"/>
      <c r="DM901" s="890"/>
      <c r="DN901" s="952"/>
      <c r="DO901" s="75"/>
      <c r="DP901" s="962"/>
      <c r="DQ901" s="983"/>
      <c r="DV901" s="889"/>
    </row>
    <row r="902" spans="1:126" s="74" customFormat="1">
      <c r="A902" s="15"/>
      <c r="B902" s="15"/>
      <c r="C902" s="15"/>
      <c r="D902" s="15"/>
      <c r="E902" s="6"/>
      <c r="F902" s="6"/>
      <c r="G902" s="6"/>
      <c r="K902" s="222"/>
      <c r="V902" s="1430"/>
      <c r="AA902" s="223"/>
      <c r="AC902" s="889"/>
      <c r="AF902" s="890"/>
      <c r="AJ902" s="889"/>
      <c r="AN902" s="222"/>
      <c r="BC902" s="223"/>
      <c r="BD902" s="222"/>
      <c r="BH902" s="611"/>
      <c r="BJ902" s="15"/>
      <c r="BK902" s="15"/>
      <c r="BO902" s="223"/>
      <c r="BQ902" s="889"/>
      <c r="BT902" s="890"/>
      <c r="BX902" s="889"/>
      <c r="CB902" s="15"/>
      <c r="CC902" s="697"/>
      <c r="CD902" s="1086"/>
      <c r="CE902" s="15"/>
      <c r="CF902" s="15"/>
      <c r="CG902" s="936"/>
      <c r="CH902" s="15"/>
      <c r="CI902" s="15"/>
      <c r="CJ902" s="15"/>
      <c r="CK902" s="1107"/>
      <c r="CL902" s="22"/>
      <c r="CM902" s="22"/>
      <c r="CN902" s="1107"/>
      <c r="CR902" s="223"/>
      <c r="CS902" s="952"/>
      <c r="CT902" s="1066"/>
      <c r="CU902" s="972"/>
      <c r="CV902" s="983"/>
      <c r="CW902" s="222"/>
      <c r="CX902" s="697"/>
      <c r="DC902" s="222"/>
      <c r="DJ902" s="889"/>
      <c r="DM902" s="890"/>
      <c r="DN902" s="952"/>
      <c r="DO902" s="75"/>
      <c r="DP902" s="962"/>
      <c r="DQ902" s="983"/>
      <c r="DV902" s="889"/>
    </row>
    <row r="903" spans="1:126" s="74" customFormat="1">
      <c r="A903" s="15"/>
      <c r="B903" s="15"/>
      <c r="C903" s="15"/>
      <c r="D903" s="15"/>
      <c r="E903" s="6"/>
      <c r="F903" s="6"/>
      <c r="G903" s="6"/>
      <c r="K903" s="222"/>
      <c r="V903" s="1430"/>
      <c r="AA903" s="223"/>
      <c r="AC903" s="889"/>
      <c r="AF903" s="890"/>
      <c r="AJ903" s="889"/>
      <c r="AN903" s="222"/>
      <c r="BC903" s="223"/>
      <c r="BD903" s="222"/>
      <c r="BH903" s="611"/>
      <c r="BJ903" s="15"/>
      <c r="BK903" s="15"/>
      <c r="BO903" s="223"/>
      <c r="BQ903" s="889"/>
      <c r="BT903" s="890"/>
      <c r="BX903" s="889"/>
      <c r="CB903" s="15"/>
      <c r="CC903" s="697"/>
      <c r="CD903" s="1086"/>
      <c r="CE903" s="15"/>
      <c r="CF903" s="15"/>
      <c r="CG903" s="936"/>
      <c r="CH903" s="15"/>
      <c r="CI903" s="15"/>
      <c r="CJ903" s="15"/>
      <c r="CK903" s="1107"/>
      <c r="CL903" s="22"/>
      <c r="CM903" s="22"/>
      <c r="CN903" s="1107"/>
      <c r="CR903" s="223"/>
      <c r="CS903" s="952"/>
      <c r="CT903" s="1066"/>
      <c r="CU903" s="972"/>
      <c r="CV903" s="983"/>
      <c r="CW903" s="222"/>
      <c r="CX903" s="697"/>
      <c r="DC903" s="222"/>
      <c r="DJ903" s="889"/>
      <c r="DM903" s="890"/>
      <c r="DN903" s="952"/>
      <c r="DO903" s="75"/>
      <c r="DP903" s="962"/>
      <c r="DQ903" s="983"/>
      <c r="DV903" s="889"/>
    </row>
    <row r="904" spans="1:126" s="74" customFormat="1">
      <c r="A904" s="15"/>
      <c r="B904" s="15"/>
      <c r="C904" s="15"/>
      <c r="D904" s="15"/>
      <c r="E904" s="6"/>
      <c r="F904" s="6"/>
      <c r="G904" s="6"/>
      <c r="K904" s="222"/>
      <c r="V904" s="1430"/>
      <c r="AA904" s="223"/>
      <c r="AC904" s="889"/>
      <c r="AF904" s="890"/>
      <c r="AJ904" s="889"/>
      <c r="AN904" s="222"/>
      <c r="BC904" s="223"/>
      <c r="BD904" s="222"/>
      <c r="BH904" s="611"/>
      <c r="BJ904" s="15"/>
      <c r="BK904" s="15"/>
      <c r="BO904" s="223"/>
      <c r="BQ904" s="889"/>
      <c r="BT904" s="890"/>
      <c r="BX904" s="889"/>
      <c r="CB904" s="15"/>
      <c r="CC904" s="697"/>
      <c r="CD904" s="1086"/>
      <c r="CE904" s="15"/>
      <c r="CF904" s="15"/>
      <c r="CG904" s="936"/>
      <c r="CH904" s="15"/>
      <c r="CI904" s="15"/>
      <c r="CJ904" s="15"/>
      <c r="CK904" s="1107"/>
      <c r="CL904" s="22"/>
      <c r="CM904" s="22"/>
      <c r="CN904" s="1107"/>
      <c r="CR904" s="223"/>
      <c r="CS904" s="952"/>
      <c r="CT904" s="1066"/>
      <c r="CU904" s="972"/>
      <c r="CV904" s="983"/>
      <c r="CW904" s="222"/>
      <c r="CX904" s="697"/>
      <c r="DC904" s="222"/>
      <c r="DJ904" s="889"/>
      <c r="DM904" s="890"/>
      <c r="DN904" s="952"/>
      <c r="DO904" s="75"/>
      <c r="DP904" s="962"/>
      <c r="DQ904" s="983"/>
      <c r="DV904" s="889"/>
    </row>
    <row r="905" spans="1:126" s="74" customFormat="1">
      <c r="A905" s="15"/>
      <c r="B905" s="15"/>
      <c r="C905" s="15"/>
      <c r="D905" s="15"/>
      <c r="E905" s="6"/>
      <c r="F905" s="6"/>
      <c r="G905" s="6"/>
      <c r="K905" s="222"/>
      <c r="V905" s="1430"/>
      <c r="AA905" s="223"/>
      <c r="AC905" s="889"/>
      <c r="AF905" s="890"/>
      <c r="AJ905" s="889"/>
      <c r="AN905" s="222"/>
      <c r="BC905" s="223"/>
      <c r="BD905" s="222"/>
      <c r="BH905" s="611"/>
      <c r="BJ905" s="15"/>
      <c r="BK905" s="15"/>
      <c r="BO905" s="223"/>
      <c r="BQ905" s="889"/>
      <c r="BT905" s="890"/>
      <c r="BX905" s="889"/>
      <c r="CB905" s="15"/>
      <c r="CC905" s="697"/>
      <c r="CD905" s="1086"/>
      <c r="CE905" s="15"/>
      <c r="CF905" s="15"/>
      <c r="CG905" s="936"/>
      <c r="CH905" s="15"/>
      <c r="CI905" s="15"/>
      <c r="CJ905" s="15"/>
      <c r="CK905" s="1107"/>
      <c r="CL905" s="22"/>
      <c r="CM905" s="22"/>
      <c r="CN905" s="1107"/>
      <c r="CR905" s="223"/>
      <c r="CS905" s="952"/>
      <c r="CT905" s="1066"/>
      <c r="CU905" s="972"/>
      <c r="CV905" s="983"/>
      <c r="CW905" s="222"/>
      <c r="CX905" s="697"/>
      <c r="DC905" s="222"/>
      <c r="DJ905" s="889"/>
      <c r="DM905" s="890"/>
      <c r="DN905" s="952"/>
      <c r="DO905" s="75"/>
      <c r="DP905" s="962"/>
      <c r="DQ905" s="983"/>
      <c r="DV905" s="889"/>
    </row>
    <row r="906" spans="1:126" s="74" customFormat="1">
      <c r="A906" s="15"/>
      <c r="B906" s="15"/>
      <c r="C906" s="15"/>
      <c r="D906" s="15"/>
      <c r="E906" s="6"/>
      <c r="F906" s="6"/>
      <c r="G906" s="6"/>
      <c r="K906" s="222"/>
      <c r="V906" s="1430"/>
      <c r="AA906" s="223"/>
      <c r="AC906" s="889"/>
      <c r="AF906" s="890"/>
      <c r="AJ906" s="889"/>
      <c r="AN906" s="222"/>
      <c r="BC906" s="223"/>
      <c r="BD906" s="222"/>
      <c r="BH906" s="611"/>
      <c r="BJ906" s="15"/>
      <c r="BK906" s="15"/>
      <c r="BO906" s="223"/>
      <c r="BQ906" s="889"/>
      <c r="BT906" s="890"/>
      <c r="BX906" s="889"/>
      <c r="CB906" s="15"/>
      <c r="CC906" s="697"/>
      <c r="CD906" s="1086"/>
      <c r="CE906" s="15"/>
      <c r="CF906" s="15"/>
      <c r="CG906" s="936"/>
      <c r="CH906" s="15"/>
      <c r="CI906" s="15"/>
      <c r="CJ906" s="15"/>
      <c r="CK906" s="1107"/>
      <c r="CL906" s="22"/>
      <c r="CM906" s="22"/>
      <c r="CN906" s="1107"/>
      <c r="CR906" s="223"/>
      <c r="CS906" s="952"/>
      <c r="CT906" s="1066"/>
      <c r="CU906" s="972"/>
      <c r="CV906" s="983"/>
      <c r="CW906" s="222"/>
      <c r="CX906" s="697"/>
      <c r="DC906" s="222"/>
      <c r="DJ906" s="889"/>
      <c r="DM906" s="890"/>
      <c r="DN906" s="952"/>
      <c r="DO906" s="75"/>
      <c r="DP906" s="962"/>
      <c r="DQ906" s="983"/>
      <c r="DV906" s="889"/>
    </row>
    <row r="907" spans="1:126" s="74" customFormat="1">
      <c r="A907" s="15"/>
      <c r="B907" s="15"/>
      <c r="C907" s="15"/>
      <c r="D907" s="15"/>
      <c r="E907" s="6"/>
      <c r="F907" s="6"/>
      <c r="G907" s="6"/>
      <c r="K907" s="222"/>
      <c r="V907" s="1430"/>
      <c r="AA907" s="223"/>
      <c r="AC907" s="889"/>
      <c r="AF907" s="890"/>
      <c r="AJ907" s="889"/>
      <c r="AN907" s="222"/>
      <c r="BC907" s="223"/>
      <c r="BD907" s="222"/>
      <c r="BH907" s="611"/>
      <c r="BJ907" s="15"/>
      <c r="BK907" s="15"/>
      <c r="BO907" s="223"/>
      <c r="BQ907" s="889"/>
      <c r="BT907" s="890"/>
      <c r="BX907" s="889"/>
      <c r="CB907" s="15"/>
      <c r="CC907" s="697"/>
      <c r="CD907" s="1086"/>
      <c r="CE907" s="15"/>
      <c r="CF907" s="15"/>
      <c r="CG907" s="936"/>
      <c r="CH907" s="15"/>
      <c r="CI907" s="15"/>
      <c r="CJ907" s="15"/>
      <c r="CK907" s="1107"/>
      <c r="CL907" s="22"/>
      <c r="CM907" s="22"/>
      <c r="CN907" s="1107"/>
      <c r="CR907" s="223"/>
      <c r="CS907" s="952"/>
      <c r="CT907" s="1066"/>
      <c r="CU907" s="972"/>
      <c r="CV907" s="983"/>
      <c r="CW907" s="222"/>
      <c r="CX907" s="697"/>
      <c r="DC907" s="222"/>
      <c r="DJ907" s="889"/>
      <c r="DM907" s="890"/>
      <c r="DN907" s="952"/>
      <c r="DO907" s="75"/>
      <c r="DP907" s="962"/>
      <c r="DQ907" s="983"/>
      <c r="DV907" s="889"/>
    </row>
    <row r="908" spans="1:126" s="74" customFormat="1">
      <c r="A908" s="15"/>
      <c r="B908" s="15"/>
      <c r="C908" s="15"/>
      <c r="D908" s="15"/>
      <c r="E908" s="6"/>
      <c r="F908" s="6"/>
      <c r="G908" s="6"/>
      <c r="K908" s="222"/>
      <c r="V908" s="1430"/>
      <c r="AA908" s="223"/>
      <c r="AC908" s="889"/>
      <c r="AF908" s="890"/>
      <c r="AJ908" s="889"/>
      <c r="AN908" s="222"/>
      <c r="BC908" s="223"/>
      <c r="BD908" s="222"/>
      <c r="BH908" s="611"/>
      <c r="BJ908" s="15"/>
      <c r="BK908" s="15"/>
      <c r="BO908" s="223"/>
      <c r="BQ908" s="889"/>
      <c r="BT908" s="890"/>
      <c r="BX908" s="889"/>
      <c r="CB908" s="15"/>
      <c r="CC908" s="697"/>
      <c r="CD908" s="1086"/>
      <c r="CE908" s="15"/>
      <c r="CF908" s="15"/>
      <c r="CG908" s="936"/>
      <c r="CH908" s="15"/>
      <c r="CI908" s="15"/>
      <c r="CJ908" s="15"/>
      <c r="CK908" s="1107"/>
      <c r="CL908" s="22"/>
      <c r="CM908" s="22"/>
      <c r="CN908" s="1107"/>
      <c r="CR908" s="223"/>
      <c r="CS908" s="952"/>
      <c r="CT908" s="1066"/>
      <c r="CU908" s="972"/>
      <c r="CV908" s="983"/>
      <c r="CW908" s="222"/>
      <c r="CX908" s="697"/>
      <c r="DC908" s="222"/>
      <c r="DJ908" s="889"/>
      <c r="DM908" s="890"/>
      <c r="DN908" s="952"/>
      <c r="DO908" s="75"/>
      <c r="DP908" s="962"/>
      <c r="DQ908" s="983"/>
      <c r="DV908" s="889"/>
    </row>
    <row r="909" spans="1:126" s="74" customFormat="1">
      <c r="A909" s="15"/>
      <c r="B909" s="15"/>
      <c r="C909" s="15"/>
      <c r="D909" s="15"/>
      <c r="E909" s="6"/>
      <c r="F909" s="6"/>
      <c r="G909" s="6"/>
      <c r="K909" s="222"/>
      <c r="V909" s="1430"/>
      <c r="AA909" s="223"/>
      <c r="AC909" s="889"/>
      <c r="AF909" s="890"/>
      <c r="AJ909" s="889"/>
      <c r="AN909" s="222"/>
      <c r="BC909" s="223"/>
      <c r="BD909" s="222"/>
      <c r="BH909" s="611"/>
      <c r="BJ909" s="15"/>
      <c r="BK909" s="15"/>
      <c r="BO909" s="223"/>
      <c r="BQ909" s="889"/>
      <c r="BT909" s="890"/>
      <c r="BX909" s="889"/>
      <c r="CB909" s="15"/>
      <c r="CC909" s="697"/>
      <c r="CD909" s="1086"/>
      <c r="CE909" s="15"/>
      <c r="CF909" s="15"/>
      <c r="CG909" s="936"/>
      <c r="CH909" s="15"/>
      <c r="CI909" s="15"/>
      <c r="CJ909" s="15"/>
      <c r="CK909" s="1107"/>
      <c r="CL909" s="22"/>
      <c r="CM909" s="22"/>
      <c r="CN909" s="1107"/>
      <c r="CR909" s="223"/>
      <c r="CS909" s="952"/>
      <c r="CT909" s="1066"/>
      <c r="CU909" s="972"/>
      <c r="CV909" s="983"/>
      <c r="CW909" s="222"/>
      <c r="CX909" s="697"/>
      <c r="DC909" s="222"/>
      <c r="DJ909" s="889"/>
      <c r="DM909" s="890"/>
      <c r="DN909" s="952"/>
      <c r="DO909" s="75"/>
      <c r="DP909" s="962"/>
      <c r="DQ909" s="983"/>
      <c r="DV909" s="889"/>
    </row>
    <row r="910" spans="1:126" s="74" customFormat="1">
      <c r="A910" s="15"/>
      <c r="B910" s="15"/>
      <c r="C910" s="15"/>
      <c r="D910" s="15"/>
      <c r="E910" s="6"/>
      <c r="F910" s="6"/>
      <c r="G910" s="6"/>
      <c r="K910" s="222"/>
      <c r="V910" s="1430"/>
      <c r="AA910" s="223"/>
      <c r="AC910" s="889"/>
      <c r="AF910" s="890"/>
      <c r="AJ910" s="889"/>
      <c r="AN910" s="222"/>
      <c r="BC910" s="223"/>
      <c r="BD910" s="222"/>
      <c r="BH910" s="611"/>
      <c r="BJ910" s="15"/>
      <c r="BK910" s="15"/>
      <c r="BO910" s="223"/>
      <c r="BQ910" s="889"/>
      <c r="BT910" s="890"/>
      <c r="BX910" s="889"/>
      <c r="CB910" s="15"/>
      <c r="CC910" s="697"/>
      <c r="CD910" s="1086"/>
      <c r="CE910" s="15"/>
      <c r="CF910" s="15"/>
      <c r="CG910" s="936"/>
      <c r="CH910" s="15"/>
      <c r="CI910" s="15"/>
      <c r="CJ910" s="15"/>
      <c r="CK910" s="1107"/>
      <c r="CL910" s="22"/>
      <c r="CM910" s="22"/>
      <c r="CN910" s="1107"/>
      <c r="CR910" s="223"/>
      <c r="CS910" s="952"/>
      <c r="CT910" s="1066"/>
      <c r="CU910" s="972"/>
      <c r="CV910" s="983"/>
      <c r="CW910" s="222"/>
      <c r="CX910" s="697"/>
      <c r="DC910" s="222"/>
      <c r="DJ910" s="889"/>
      <c r="DM910" s="890"/>
      <c r="DN910" s="952"/>
      <c r="DO910" s="75"/>
      <c r="DP910" s="962"/>
      <c r="DQ910" s="983"/>
      <c r="DV910" s="889"/>
    </row>
    <row r="911" spans="1:126" s="74" customFormat="1">
      <c r="A911" s="15"/>
      <c r="B911" s="15"/>
      <c r="C911" s="15"/>
      <c r="D911" s="15"/>
      <c r="E911" s="6"/>
      <c r="F911" s="6"/>
      <c r="G911" s="6"/>
      <c r="K911" s="222"/>
      <c r="V911" s="1430"/>
      <c r="AA911" s="223"/>
      <c r="AC911" s="889"/>
      <c r="AF911" s="890"/>
      <c r="AJ911" s="889"/>
      <c r="AN911" s="222"/>
      <c r="BC911" s="223"/>
      <c r="BD911" s="222"/>
      <c r="BH911" s="611"/>
      <c r="BJ911" s="15"/>
      <c r="BK911" s="15"/>
      <c r="BO911" s="223"/>
      <c r="BQ911" s="889"/>
      <c r="BT911" s="890"/>
      <c r="BX911" s="889"/>
      <c r="CB911" s="15"/>
      <c r="CC911" s="697"/>
      <c r="CD911" s="1086"/>
      <c r="CE911" s="15"/>
      <c r="CF911" s="15"/>
      <c r="CG911" s="936"/>
      <c r="CH911" s="15"/>
      <c r="CI911" s="15"/>
      <c r="CJ911" s="15"/>
      <c r="CK911" s="1107"/>
      <c r="CL911" s="22"/>
      <c r="CM911" s="22"/>
      <c r="CN911" s="1107"/>
      <c r="CR911" s="223"/>
      <c r="CS911" s="952"/>
      <c r="CT911" s="1066"/>
      <c r="CU911" s="972"/>
      <c r="CV911" s="983"/>
      <c r="CW911" s="222"/>
      <c r="CX911" s="697"/>
      <c r="DC911" s="222"/>
      <c r="DJ911" s="889"/>
      <c r="DM911" s="890"/>
      <c r="DN911" s="952"/>
      <c r="DO911" s="75"/>
      <c r="DP911" s="962"/>
      <c r="DQ911" s="983"/>
      <c r="DV911" s="889"/>
    </row>
    <row r="912" spans="1:126" s="74" customFormat="1">
      <c r="A912" s="15"/>
      <c r="B912" s="15"/>
      <c r="C912" s="15"/>
      <c r="D912" s="15"/>
      <c r="E912" s="6"/>
      <c r="F912" s="6"/>
      <c r="G912" s="6"/>
      <c r="K912" s="222"/>
      <c r="V912" s="1430"/>
      <c r="AA912" s="223"/>
      <c r="AC912" s="889"/>
      <c r="AF912" s="890"/>
      <c r="AJ912" s="889"/>
      <c r="AN912" s="222"/>
      <c r="BC912" s="223"/>
      <c r="BD912" s="222"/>
      <c r="BH912" s="611"/>
      <c r="BJ912" s="15"/>
      <c r="BK912" s="15"/>
      <c r="BO912" s="223"/>
      <c r="BQ912" s="889"/>
      <c r="BT912" s="890"/>
      <c r="BX912" s="889"/>
      <c r="CB912" s="15"/>
      <c r="CC912" s="697"/>
      <c r="CD912" s="1086"/>
      <c r="CE912" s="15"/>
      <c r="CF912" s="15"/>
      <c r="CG912" s="936"/>
      <c r="CH912" s="15"/>
      <c r="CI912" s="15"/>
      <c r="CJ912" s="15"/>
      <c r="CK912" s="1107"/>
      <c r="CL912" s="22"/>
      <c r="CM912" s="22"/>
      <c r="CN912" s="1107"/>
      <c r="CR912" s="223"/>
      <c r="CS912" s="952"/>
      <c r="CT912" s="1066"/>
      <c r="CU912" s="972"/>
      <c r="CV912" s="983"/>
      <c r="CW912" s="222"/>
      <c r="CX912" s="697"/>
      <c r="DC912" s="222"/>
      <c r="DJ912" s="889"/>
      <c r="DM912" s="890"/>
      <c r="DN912" s="952"/>
      <c r="DO912" s="75"/>
      <c r="DP912" s="962"/>
      <c r="DQ912" s="983"/>
      <c r="DV912" s="889"/>
    </row>
    <row r="913" spans="1:126" s="74" customFormat="1">
      <c r="A913" s="15"/>
      <c r="B913" s="15"/>
      <c r="C913" s="15"/>
      <c r="D913" s="15"/>
      <c r="E913" s="6"/>
      <c r="F913" s="6"/>
      <c r="G913" s="6"/>
      <c r="K913" s="222"/>
      <c r="V913" s="1430"/>
      <c r="AA913" s="223"/>
      <c r="AC913" s="889"/>
      <c r="AF913" s="890"/>
      <c r="AJ913" s="889"/>
      <c r="AN913" s="222"/>
      <c r="BC913" s="223"/>
      <c r="BD913" s="222"/>
      <c r="BH913" s="611"/>
      <c r="BJ913" s="15"/>
      <c r="BK913" s="15"/>
      <c r="BO913" s="223"/>
      <c r="BQ913" s="889"/>
      <c r="BT913" s="890"/>
      <c r="BX913" s="889"/>
      <c r="CB913" s="15"/>
      <c r="CC913" s="697"/>
      <c r="CD913" s="1086"/>
      <c r="CE913" s="15"/>
      <c r="CF913" s="15"/>
      <c r="CG913" s="936"/>
      <c r="CH913" s="15"/>
      <c r="CI913" s="15"/>
      <c r="CJ913" s="15"/>
      <c r="CK913" s="1107"/>
      <c r="CL913" s="22"/>
      <c r="CM913" s="22"/>
      <c r="CN913" s="1107"/>
      <c r="CR913" s="223"/>
      <c r="CS913" s="952"/>
      <c r="CT913" s="1066"/>
      <c r="CU913" s="972"/>
      <c r="CV913" s="983"/>
      <c r="CW913" s="222"/>
      <c r="CX913" s="697"/>
      <c r="DC913" s="222"/>
      <c r="DJ913" s="889"/>
      <c r="DM913" s="890"/>
      <c r="DN913" s="952"/>
      <c r="DO913" s="75"/>
      <c r="DP913" s="962"/>
      <c r="DQ913" s="983"/>
      <c r="DV913" s="889"/>
    </row>
    <row r="914" spans="1:126" s="74" customFormat="1">
      <c r="A914" s="15"/>
      <c r="B914" s="15"/>
      <c r="C914" s="15"/>
      <c r="D914" s="15"/>
      <c r="E914" s="6"/>
      <c r="F914" s="6"/>
      <c r="G914" s="6"/>
      <c r="K914" s="222"/>
      <c r="V914" s="1430"/>
      <c r="AA914" s="223"/>
      <c r="AC914" s="889"/>
      <c r="AF914" s="890"/>
      <c r="AJ914" s="889"/>
      <c r="AN914" s="222"/>
      <c r="BC914" s="223"/>
      <c r="BD914" s="222"/>
      <c r="BH914" s="611"/>
      <c r="BJ914" s="15"/>
      <c r="BK914" s="15"/>
      <c r="BO914" s="223"/>
      <c r="BQ914" s="889"/>
      <c r="BT914" s="890"/>
      <c r="BX914" s="889"/>
      <c r="CB914" s="15"/>
      <c r="CC914" s="697"/>
      <c r="CD914" s="1086"/>
      <c r="CE914" s="15"/>
      <c r="CF914" s="15"/>
      <c r="CG914" s="936"/>
      <c r="CH914" s="15"/>
      <c r="CI914" s="15"/>
      <c r="CJ914" s="15"/>
      <c r="CK914" s="1107"/>
      <c r="CL914" s="22"/>
      <c r="CM914" s="22"/>
      <c r="CN914" s="1107"/>
      <c r="CR914" s="223"/>
      <c r="CS914" s="952"/>
      <c r="CT914" s="1066"/>
      <c r="CU914" s="972"/>
      <c r="CV914" s="983"/>
      <c r="CW914" s="222"/>
      <c r="CX914" s="697"/>
      <c r="DC914" s="222"/>
      <c r="DJ914" s="889"/>
      <c r="DM914" s="890"/>
      <c r="DN914" s="952"/>
      <c r="DO914" s="75"/>
      <c r="DP914" s="962"/>
      <c r="DQ914" s="983"/>
      <c r="DV914" s="889"/>
    </row>
    <row r="915" spans="1:126" s="74" customFormat="1">
      <c r="A915" s="15"/>
      <c r="B915" s="15"/>
      <c r="C915" s="15"/>
      <c r="D915" s="15"/>
      <c r="E915" s="6"/>
      <c r="F915" s="6"/>
      <c r="G915" s="6"/>
      <c r="K915" s="222"/>
      <c r="V915" s="1430"/>
      <c r="AA915" s="223"/>
      <c r="AC915" s="889"/>
      <c r="AF915" s="890"/>
      <c r="AJ915" s="889"/>
      <c r="AN915" s="222"/>
      <c r="BC915" s="223"/>
      <c r="BD915" s="222"/>
      <c r="BH915" s="611"/>
      <c r="BJ915" s="15"/>
      <c r="BK915" s="15"/>
      <c r="BO915" s="223"/>
      <c r="BQ915" s="889"/>
      <c r="BT915" s="890"/>
      <c r="BX915" s="889"/>
      <c r="CB915" s="15"/>
      <c r="CC915" s="697"/>
      <c r="CD915" s="1086"/>
      <c r="CE915" s="15"/>
      <c r="CF915" s="15"/>
      <c r="CG915" s="936"/>
      <c r="CH915" s="15"/>
      <c r="CI915" s="15"/>
      <c r="CJ915" s="15"/>
      <c r="CK915" s="1107"/>
      <c r="CL915" s="22"/>
      <c r="CM915" s="22"/>
      <c r="CN915" s="1107"/>
      <c r="CR915" s="223"/>
      <c r="CS915" s="952"/>
      <c r="CT915" s="1066"/>
      <c r="CU915" s="972"/>
      <c r="CV915" s="983"/>
      <c r="CW915" s="222"/>
      <c r="CX915" s="697"/>
      <c r="DC915" s="222"/>
      <c r="DJ915" s="889"/>
      <c r="DM915" s="890"/>
      <c r="DN915" s="952"/>
      <c r="DO915" s="75"/>
      <c r="DP915" s="962"/>
      <c r="DQ915" s="983"/>
      <c r="DV915" s="889"/>
    </row>
    <row r="916" spans="1:126" s="74" customFormat="1">
      <c r="A916" s="15"/>
      <c r="B916" s="15"/>
      <c r="C916" s="15"/>
      <c r="D916" s="15"/>
      <c r="E916" s="6"/>
      <c r="F916" s="6"/>
      <c r="G916" s="6"/>
      <c r="K916" s="222"/>
      <c r="V916" s="1430"/>
      <c r="AA916" s="223"/>
      <c r="AC916" s="889"/>
      <c r="AF916" s="890"/>
      <c r="AJ916" s="889"/>
      <c r="AN916" s="222"/>
      <c r="BC916" s="223"/>
      <c r="BD916" s="222"/>
      <c r="BH916" s="611"/>
      <c r="BJ916" s="15"/>
      <c r="BK916" s="15"/>
      <c r="BO916" s="223"/>
      <c r="BQ916" s="889"/>
      <c r="BT916" s="890"/>
      <c r="BX916" s="889"/>
      <c r="CB916" s="15"/>
      <c r="CC916" s="697"/>
      <c r="CD916" s="1086"/>
      <c r="CE916" s="15"/>
      <c r="CF916" s="15"/>
      <c r="CG916" s="936"/>
      <c r="CH916" s="15"/>
      <c r="CI916" s="15"/>
      <c r="CJ916" s="15"/>
      <c r="CK916" s="1107"/>
      <c r="CL916" s="22"/>
      <c r="CM916" s="22"/>
      <c r="CN916" s="1107"/>
      <c r="CR916" s="223"/>
      <c r="CS916" s="952"/>
      <c r="CT916" s="1066"/>
      <c r="CU916" s="972"/>
      <c r="CV916" s="983"/>
      <c r="CW916" s="222"/>
      <c r="CX916" s="697"/>
      <c r="DC916" s="222"/>
      <c r="DJ916" s="889"/>
      <c r="DM916" s="890"/>
      <c r="DN916" s="952"/>
      <c r="DO916" s="75"/>
      <c r="DP916" s="962"/>
      <c r="DQ916" s="983"/>
      <c r="DV916" s="889"/>
    </row>
    <row r="917" spans="1:126" s="74" customFormat="1">
      <c r="A917" s="15"/>
      <c r="B917" s="15"/>
      <c r="C917" s="15"/>
      <c r="D917" s="15"/>
      <c r="E917" s="6"/>
      <c r="F917" s="6"/>
      <c r="G917" s="6"/>
      <c r="K917" s="222"/>
      <c r="V917" s="1430"/>
      <c r="AA917" s="223"/>
      <c r="AC917" s="889"/>
      <c r="AF917" s="890"/>
      <c r="AJ917" s="889"/>
      <c r="AN917" s="222"/>
      <c r="BC917" s="223"/>
      <c r="BD917" s="222"/>
      <c r="BH917" s="611"/>
      <c r="BJ917" s="15"/>
      <c r="BK917" s="15"/>
      <c r="BO917" s="223"/>
      <c r="BQ917" s="889"/>
      <c r="BT917" s="890"/>
      <c r="BX917" s="889"/>
      <c r="CB917" s="15"/>
      <c r="CC917" s="697"/>
      <c r="CD917" s="1086"/>
      <c r="CE917" s="15"/>
      <c r="CF917" s="15"/>
      <c r="CG917" s="936"/>
      <c r="CH917" s="15"/>
      <c r="CI917" s="15"/>
      <c r="CJ917" s="15"/>
      <c r="CK917" s="1107"/>
      <c r="CL917" s="22"/>
      <c r="CM917" s="22"/>
      <c r="CN917" s="1107"/>
      <c r="CR917" s="223"/>
      <c r="CS917" s="952"/>
      <c r="CT917" s="1066"/>
      <c r="CU917" s="972"/>
      <c r="CV917" s="983"/>
      <c r="CW917" s="222"/>
      <c r="CX917" s="697"/>
      <c r="DC917" s="222"/>
      <c r="DJ917" s="889"/>
      <c r="DM917" s="890"/>
      <c r="DN917" s="952"/>
      <c r="DO917" s="75"/>
      <c r="DP917" s="962"/>
      <c r="DQ917" s="983"/>
      <c r="DV917" s="889"/>
    </row>
    <row r="918" spans="1:126" s="74" customFormat="1">
      <c r="A918" s="15"/>
      <c r="B918" s="15"/>
      <c r="C918" s="15"/>
      <c r="D918" s="15"/>
      <c r="E918" s="6"/>
      <c r="F918" s="6"/>
      <c r="G918" s="6"/>
      <c r="K918" s="222"/>
      <c r="V918" s="1430"/>
      <c r="AA918" s="223"/>
      <c r="AC918" s="889"/>
      <c r="AF918" s="890"/>
      <c r="AJ918" s="889"/>
      <c r="AN918" s="222"/>
      <c r="BC918" s="223"/>
      <c r="BD918" s="222"/>
      <c r="BH918" s="611"/>
      <c r="BJ918" s="15"/>
      <c r="BK918" s="15"/>
      <c r="BO918" s="223"/>
      <c r="BQ918" s="889"/>
      <c r="BT918" s="890"/>
      <c r="BX918" s="889"/>
      <c r="CB918" s="15"/>
      <c r="CC918" s="697"/>
      <c r="CD918" s="1086"/>
      <c r="CE918" s="15"/>
      <c r="CF918" s="15"/>
      <c r="CG918" s="936"/>
      <c r="CH918" s="15"/>
      <c r="CI918" s="15"/>
      <c r="CJ918" s="15"/>
      <c r="CK918" s="1107"/>
      <c r="CL918" s="22"/>
      <c r="CM918" s="22"/>
      <c r="CN918" s="1107"/>
      <c r="CR918" s="223"/>
      <c r="CS918" s="952"/>
      <c r="CT918" s="1066"/>
      <c r="CU918" s="972"/>
      <c r="CV918" s="983"/>
      <c r="CW918" s="222"/>
      <c r="CX918" s="697"/>
      <c r="DC918" s="222"/>
      <c r="DJ918" s="889"/>
      <c r="DM918" s="890"/>
      <c r="DN918" s="952"/>
      <c r="DO918" s="75"/>
      <c r="DP918" s="962"/>
      <c r="DQ918" s="983"/>
      <c r="DV918" s="889"/>
    </row>
    <row r="919" spans="1:126" s="74" customFormat="1">
      <c r="A919" s="15"/>
      <c r="B919" s="15"/>
      <c r="C919" s="15"/>
      <c r="D919" s="15"/>
      <c r="E919" s="6"/>
      <c r="F919" s="6"/>
      <c r="G919" s="6"/>
      <c r="K919" s="222"/>
      <c r="V919" s="1430"/>
      <c r="AA919" s="223"/>
      <c r="AC919" s="889"/>
      <c r="AF919" s="890"/>
      <c r="AJ919" s="889"/>
      <c r="AN919" s="222"/>
      <c r="BC919" s="223"/>
      <c r="BD919" s="222"/>
      <c r="BH919" s="611"/>
      <c r="BJ919" s="15"/>
      <c r="BK919" s="15"/>
      <c r="BO919" s="223"/>
      <c r="BQ919" s="889"/>
      <c r="BT919" s="890"/>
      <c r="BX919" s="889"/>
      <c r="CB919" s="15"/>
      <c r="CC919" s="697"/>
      <c r="CD919" s="1086"/>
      <c r="CE919" s="15"/>
      <c r="CF919" s="15"/>
      <c r="CG919" s="936"/>
      <c r="CH919" s="15"/>
      <c r="CI919" s="15"/>
      <c r="CJ919" s="15"/>
      <c r="CK919" s="1107"/>
      <c r="CL919" s="22"/>
      <c r="CM919" s="22"/>
      <c r="CN919" s="1107"/>
      <c r="CR919" s="223"/>
      <c r="CS919" s="952"/>
      <c r="CT919" s="1066"/>
      <c r="CU919" s="972"/>
      <c r="CV919" s="983"/>
      <c r="CW919" s="222"/>
      <c r="CX919" s="697"/>
      <c r="DC919" s="222"/>
      <c r="DJ919" s="889"/>
      <c r="DM919" s="890"/>
      <c r="DN919" s="952"/>
      <c r="DO919" s="75"/>
      <c r="DP919" s="962"/>
      <c r="DQ919" s="983"/>
      <c r="DV919" s="889"/>
    </row>
    <row r="920" spans="1:126" s="74" customFormat="1">
      <c r="A920" s="15"/>
      <c r="B920" s="15"/>
      <c r="C920" s="15"/>
      <c r="D920" s="15"/>
      <c r="E920" s="6"/>
      <c r="F920" s="6"/>
      <c r="G920" s="6"/>
      <c r="K920" s="222"/>
      <c r="V920" s="1430"/>
      <c r="AA920" s="223"/>
      <c r="AC920" s="889"/>
      <c r="AF920" s="890"/>
      <c r="AJ920" s="889"/>
      <c r="AN920" s="222"/>
      <c r="BC920" s="223"/>
      <c r="BD920" s="222"/>
      <c r="BH920" s="611"/>
      <c r="BJ920" s="15"/>
      <c r="BK920" s="15"/>
      <c r="BO920" s="223"/>
      <c r="BQ920" s="889"/>
      <c r="BT920" s="890"/>
      <c r="BX920" s="889"/>
      <c r="CB920" s="15"/>
      <c r="CC920" s="697"/>
      <c r="CD920" s="1086"/>
      <c r="CE920" s="15"/>
      <c r="CF920" s="15"/>
      <c r="CG920" s="936"/>
      <c r="CH920" s="15"/>
      <c r="CI920" s="15"/>
      <c r="CJ920" s="15"/>
      <c r="CK920" s="1107"/>
      <c r="CL920" s="22"/>
      <c r="CM920" s="22"/>
      <c r="CN920" s="1107"/>
      <c r="CR920" s="223"/>
      <c r="CS920" s="952"/>
      <c r="CT920" s="1066"/>
      <c r="CU920" s="972"/>
      <c r="CV920" s="983"/>
      <c r="CW920" s="222"/>
      <c r="CX920" s="697"/>
      <c r="DC920" s="222"/>
      <c r="DJ920" s="889"/>
      <c r="DM920" s="890"/>
      <c r="DN920" s="952"/>
      <c r="DO920" s="75"/>
      <c r="DP920" s="962"/>
      <c r="DQ920" s="983"/>
      <c r="DV920" s="889"/>
    </row>
    <row r="921" spans="1:126" s="74" customFormat="1">
      <c r="A921" s="15"/>
      <c r="B921" s="15"/>
      <c r="C921" s="15"/>
      <c r="D921" s="15"/>
      <c r="E921" s="6"/>
      <c r="F921" s="6"/>
      <c r="G921" s="6"/>
      <c r="K921" s="222"/>
      <c r="V921" s="1430"/>
      <c r="AA921" s="223"/>
      <c r="AC921" s="889"/>
      <c r="AF921" s="890"/>
      <c r="AJ921" s="889"/>
      <c r="AN921" s="222"/>
      <c r="BC921" s="223"/>
      <c r="BD921" s="222"/>
      <c r="BH921" s="611"/>
      <c r="BJ921" s="15"/>
      <c r="BK921" s="15"/>
      <c r="BO921" s="223"/>
      <c r="BQ921" s="889"/>
      <c r="BT921" s="890"/>
      <c r="BX921" s="889"/>
      <c r="CB921" s="15"/>
      <c r="CC921" s="697"/>
      <c r="CD921" s="1086"/>
      <c r="CE921" s="15"/>
      <c r="CF921" s="15"/>
      <c r="CG921" s="936"/>
      <c r="CH921" s="15"/>
      <c r="CI921" s="15"/>
      <c r="CJ921" s="15"/>
      <c r="CK921" s="1107"/>
      <c r="CL921" s="22"/>
      <c r="CM921" s="22"/>
      <c r="CN921" s="1107"/>
      <c r="CR921" s="223"/>
      <c r="CS921" s="952"/>
      <c r="CT921" s="1066"/>
      <c r="CU921" s="972"/>
      <c r="CV921" s="983"/>
      <c r="CW921" s="222"/>
      <c r="CX921" s="697"/>
      <c r="DC921" s="222"/>
      <c r="DJ921" s="889"/>
      <c r="DM921" s="890"/>
      <c r="DN921" s="952"/>
      <c r="DO921" s="75"/>
      <c r="DP921" s="962"/>
      <c r="DQ921" s="983"/>
      <c r="DV921" s="889"/>
    </row>
    <row r="922" spans="1:126" s="74" customFormat="1">
      <c r="A922" s="15"/>
      <c r="B922" s="15"/>
      <c r="C922" s="15"/>
      <c r="D922" s="15"/>
      <c r="E922" s="6"/>
      <c r="F922" s="6"/>
      <c r="G922" s="6"/>
      <c r="K922" s="222"/>
      <c r="V922" s="1430"/>
      <c r="AA922" s="223"/>
      <c r="AC922" s="889"/>
      <c r="AF922" s="890"/>
      <c r="AJ922" s="889"/>
      <c r="AN922" s="222"/>
      <c r="BC922" s="223"/>
      <c r="BD922" s="222"/>
      <c r="BH922" s="611"/>
      <c r="BJ922" s="15"/>
      <c r="BK922" s="15"/>
      <c r="BO922" s="223"/>
      <c r="BQ922" s="889"/>
      <c r="BT922" s="890"/>
      <c r="BX922" s="889"/>
      <c r="CB922" s="15"/>
      <c r="CC922" s="697"/>
      <c r="CD922" s="1086"/>
      <c r="CE922" s="15"/>
      <c r="CF922" s="15"/>
      <c r="CG922" s="936"/>
      <c r="CH922" s="15"/>
      <c r="CI922" s="15"/>
      <c r="CJ922" s="15"/>
      <c r="CK922" s="1107"/>
      <c r="CL922" s="22"/>
      <c r="CM922" s="22"/>
      <c r="CN922" s="1107"/>
      <c r="CR922" s="223"/>
      <c r="CS922" s="952"/>
      <c r="CT922" s="1066"/>
      <c r="CU922" s="972"/>
      <c r="CV922" s="983"/>
      <c r="CW922" s="222"/>
      <c r="CX922" s="697"/>
      <c r="DC922" s="222"/>
      <c r="DJ922" s="889"/>
      <c r="DM922" s="890"/>
      <c r="DN922" s="952"/>
      <c r="DO922" s="75"/>
      <c r="DP922" s="962"/>
      <c r="DQ922" s="983"/>
      <c r="DV922" s="889"/>
    </row>
    <row r="923" spans="1:126" s="74" customFormat="1">
      <c r="A923" s="15"/>
      <c r="B923" s="15"/>
      <c r="C923" s="15"/>
      <c r="D923" s="15"/>
      <c r="E923" s="6"/>
      <c r="F923" s="6"/>
      <c r="G923" s="6"/>
      <c r="K923" s="222"/>
      <c r="V923" s="1430"/>
      <c r="AA923" s="223"/>
      <c r="AC923" s="889"/>
      <c r="AF923" s="890"/>
      <c r="AJ923" s="889"/>
      <c r="AN923" s="222"/>
      <c r="BC923" s="223"/>
      <c r="BD923" s="222"/>
      <c r="BH923" s="611"/>
      <c r="BJ923" s="15"/>
      <c r="BK923" s="15"/>
      <c r="BO923" s="223"/>
      <c r="BQ923" s="889"/>
      <c r="BT923" s="890"/>
      <c r="BX923" s="889"/>
      <c r="CB923" s="15"/>
      <c r="CC923" s="697"/>
      <c r="CD923" s="1086"/>
      <c r="CE923" s="15"/>
      <c r="CF923" s="15"/>
      <c r="CG923" s="936"/>
      <c r="CH923" s="15"/>
      <c r="CI923" s="15"/>
      <c r="CJ923" s="15"/>
      <c r="CK923" s="1107"/>
      <c r="CL923" s="22"/>
      <c r="CM923" s="22"/>
      <c r="CN923" s="1107"/>
      <c r="CR923" s="223"/>
      <c r="CS923" s="952"/>
      <c r="CT923" s="1066"/>
      <c r="CU923" s="972"/>
      <c r="CV923" s="983"/>
      <c r="CW923" s="222"/>
      <c r="CX923" s="697"/>
      <c r="DC923" s="222"/>
      <c r="DJ923" s="889"/>
      <c r="DM923" s="890"/>
      <c r="DN923" s="952"/>
      <c r="DO923" s="75"/>
      <c r="DP923" s="962"/>
      <c r="DQ923" s="983"/>
      <c r="DV923" s="889"/>
    </row>
    <row r="924" spans="1:126" s="74" customFormat="1">
      <c r="A924" s="15"/>
      <c r="B924" s="15"/>
      <c r="C924" s="15"/>
      <c r="D924" s="15"/>
      <c r="E924" s="6"/>
      <c r="F924" s="6"/>
      <c r="G924" s="6"/>
      <c r="K924" s="222"/>
      <c r="V924" s="1430"/>
      <c r="AA924" s="223"/>
      <c r="AC924" s="889"/>
      <c r="AF924" s="890"/>
      <c r="AJ924" s="889"/>
      <c r="AN924" s="222"/>
      <c r="BC924" s="223"/>
      <c r="BD924" s="222"/>
      <c r="BH924" s="611"/>
      <c r="BJ924" s="15"/>
      <c r="BK924" s="15"/>
      <c r="BO924" s="223"/>
      <c r="BQ924" s="889"/>
      <c r="BT924" s="890"/>
      <c r="BX924" s="889"/>
      <c r="CB924" s="15"/>
      <c r="CC924" s="697"/>
      <c r="CD924" s="1086"/>
      <c r="CE924" s="15"/>
      <c r="CF924" s="15"/>
      <c r="CG924" s="936"/>
      <c r="CH924" s="15"/>
      <c r="CI924" s="15"/>
      <c r="CJ924" s="15"/>
      <c r="CK924" s="1107"/>
      <c r="CL924" s="22"/>
      <c r="CM924" s="22"/>
      <c r="CN924" s="1107"/>
      <c r="CR924" s="223"/>
      <c r="CS924" s="952"/>
      <c r="CT924" s="1066"/>
      <c r="CU924" s="972"/>
      <c r="CV924" s="983"/>
      <c r="CW924" s="222"/>
      <c r="CX924" s="697"/>
      <c r="DC924" s="222"/>
      <c r="DJ924" s="889"/>
      <c r="DM924" s="890"/>
      <c r="DN924" s="952"/>
      <c r="DO924" s="75"/>
      <c r="DP924" s="962"/>
      <c r="DQ924" s="983"/>
      <c r="DV924" s="889"/>
    </row>
    <row r="925" spans="1:126" s="74" customFormat="1">
      <c r="A925" s="15"/>
      <c r="B925" s="15"/>
      <c r="C925" s="15"/>
      <c r="D925" s="15"/>
      <c r="E925" s="6"/>
      <c r="F925" s="6"/>
      <c r="G925" s="6"/>
      <c r="K925" s="222"/>
      <c r="V925" s="1430"/>
      <c r="AA925" s="223"/>
      <c r="AC925" s="889"/>
      <c r="AF925" s="890"/>
      <c r="AJ925" s="889"/>
      <c r="AN925" s="222"/>
      <c r="BC925" s="223"/>
      <c r="BD925" s="222"/>
      <c r="BH925" s="611"/>
      <c r="BJ925" s="15"/>
      <c r="BK925" s="15"/>
      <c r="BO925" s="223"/>
      <c r="BQ925" s="889"/>
      <c r="BT925" s="890"/>
      <c r="BX925" s="889"/>
      <c r="CB925" s="15"/>
      <c r="CC925" s="697"/>
      <c r="CD925" s="1086"/>
      <c r="CE925" s="15"/>
      <c r="CF925" s="15"/>
      <c r="CG925" s="936"/>
      <c r="CH925" s="15"/>
      <c r="CI925" s="15"/>
      <c r="CJ925" s="15"/>
      <c r="CK925" s="1107"/>
      <c r="CL925" s="22"/>
      <c r="CM925" s="22"/>
      <c r="CN925" s="1107"/>
      <c r="CR925" s="223"/>
      <c r="CS925" s="952"/>
      <c r="CT925" s="1066"/>
      <c r="CU925" s="972"/>
      <c r="CV925" s="983"/>
      <c r="CW925" s="222"/>
      <c r="CX925" s="697"/>
      <c r="DC925" s="222"/>
      <c r="DJ925" s="889"/>
      <c r="DM925" s="890"/>
      <c r="DN925" s="952"/>
      <c r="DO925" s="75"/>
      <c r="DP925" s="962"/>
      <c r="DQ925" s="983"/>
      <c r="DV925" s="889"/>
    </row>
    <row r="926" spans="1:126" s="74" customFormat="1">
      <c r="A926" s="15"/>
      <c r="B926" s="15"/>
      <c r="C926" s="15"/>
      <c r="D926" s="15"/>
      <c r="E926" s="6"/>
      <c r="F926" s="6"/>
      <c r="G926" s="6"/>
      <c r="K926" s="222"/>
      <c r="V926" s="1430"/>
      <c r="AA926" s="223"/>
      <c r="AC926" s="889"/>
      <c r="AF926" s="890"/>
      <c r="AJ926" s="889"/>
      <c r="AN926" s="222"/>
      <c r="BC926" s="223"/>
      <c r="BD926" s="222"/>
      <c r="BH926" s="611"/>
      <c r="BJ926" s="15"/>
      <c r="BK926" s="15"/>
      <c r="BO926" s="223"/>
      <c r="BQ926" s="889"/>
      <c r="BT926" s="890"/>
      <c r="BX926" s="889"/>
      <c r="CB926" s="15"/>
      <c r="CC926" s="697"/>
      <c r="CD926" s="1086"/>
      <c r="CE926" s="15"/>
      <c r="CF926" s="15"/>
      <c r="CG926" s="936"/>
      <c r="CH926" s="15"/>
      <c r="CI926" s="15"/>
      <c r="CJ926" s="15"/>
      <c r="CK926" s="1107"/>
      <c r="CL926" s="22"/>
      <c r="CM926" s="22"/>
      <c r="CN926" s="1107"/>
      <c r="CR926" s="223"/>
      <c r="CS926" s="952"/>
      <c r="CT926" s="1066"/>
      <c r="CU926" s="972"/>
      <c r="CV926" s="983"/>
      <c r="CW926" s="222"/>
      <c r="CX926" s="697"/>
      <c r="DC926" s="222"/>
      <c r="DJ926" s="889"/>
      <c r="DM926" s="890"/>
      <c r="DN926" s="952"/>
      <c r="DO926" s="75"/>
      <c r="DP926" s="962"/>
      <c r="DQ926" s="983"/>
      <c r="DV926" s="889"/>
    </row>
    <row r="927" spans="1:126" s="74" customFormat="1">
      <c r="A927" s="15"/>
      <c r="B927" s="15"/>
      <c r="C927" s="15"/>
      <c r="D927" s="15"/>
      <c r="E927" s="6"/>
      <c r="F927" s="6"/>
      <c r="G927" s="6"/>
      <c r="K927" s="222"/>
      <c r="V927" s="1430"/>
      <c r="AA927" s="223"/>
      <c r="AC927" s="889"/>
      <c r="AF927" s="890"/>
      <c r="AJ927" s="889"/>
      <c r="AN927" s="222"/>
      <c r="BC927" s="223"/>
      <c r="BD927" s="222"/>
      <c r="BH927" s="611"/>
      <c r="BJ927" s="15"/>
      <c r="BK927" s="15"/>
      <c r="BO927" s="223"/>
      <c r="BQ927" s="889"/>
      <c r="BT927" s="890"/>
      <c r="BX927" s="889"/>
      <c r="CB927" s="15"/>
      <c r="CC927" s="697"/>
      <c r="CD927" s="1086"/>
      <c r="CE927" s="15"/>
      <c r="CF927" s="15"/>
      <c r="CG927" s="936"/>
      <c r="CH927" s="15"/>
      <c r="CI927" s="15"/>
      <c r="CJ927" s="15"/>
      <c r="CK927" s="1107"/>
      <c r="CL927" s="22"/>
      <c r="CM927" s="22"/>
      <c r="CN927" s="1107"/>
      <c r="CR927" s="223"/>
      <c r="CS927" s="952"/>
      <c r="CT927" s="1066"/>
      <c r="CU927" s="972"/>
      <c r="CV927" s="983"/>
      <c r="CW927" s="222"/>
      <c r="CX927" s="697"/>
      <c r="DC927" s="222"/>
      <c r="DJ927" s="889"/>
      <c r="DM927" s="890"/>
      <c r="DN927" s="952"/>
      <c r="DO927" s="75"/>
      <c r="DP927" s="962"/>
      <c r="DQ927" s="983"/>
      <c r="DV927" s="889"/>
    </row>
    <row r="928" spans="1:126" s="74" customFormat="1">
      <c r="A928" s="15"/>
      <c r="B928" s="15"/>
      <c r="C928" s="15"/>
      <c r="D928" s="15"/>
      <c r="E928" s="6"/>
      <c r="F928" s="6"/>
      <c r="G928" s="6"/>
      <c r="K928" s="222"/>
      <c r="V928" s="1430"/>
      <c r="AA928" s="223"/>
      <c r="AC928" s="889"/>
      <c r="AF928" s="890"/>
      <c r="AJ928" s="889"/>
      <c r="AN928" s="222"/>
      <c r="BC928" s="223"/>
      <c r="BD928" s="222"/>
      <c r="BH928" s="611"/>
      <c r="BJ928" s="15"/>
      <c r="BK928" s="15"/>
      <c r="BO928" s="223"/>
      <c r="BQ928" s="889"/>
      <c r="BT928" s="890"/>
      <c r="BX928" s="889"/>
      <c r="CB928" s="15"/>
      <c r="CC928" s="697"/>
      <c r="CD928" s="1086"/>
      <c r="CE928" s="15"/>
      <c r="CF928" s="15"/>
      <c r="CG928" s="936"/>
      <c r="CH928" s="15"/>
      <c r="CI928" s="15"/>
      <c r="CJ928" s="15"/>
      <c r="CK928" s="1107"/>
      <c r="CL928" s="22"/>
      <c r="CM928" s="22"/>
      <c r="CN928" s="1107"/>
      <c r="CR928" s="223"/>
      <c r="CS928" s="952"/>
      <c r="CT928" s="1066"/>
      <c r="CU928" s="972"/>
      <c r="CV928" s="983"/>
      <c r="CW928" s="222"/>
      <c r="CX928" s="697"/>
      <c r="DC928" s="222"/>
      <c r="DJ928" s="889"/>
      <c r="DM928" s="890"/>
      <c r="DN928" s="952"/>
      <c r="DO928" s="75"/>
      <c r="DP928" s="962"/>
      <c r="DQ928" s="983"/>
      <c r="DV928" s="889"/>
    </row>
    <row r="929" spans="1:126" s="74" customFormat="1">
      <c r="A929" s="15"/>
      <c r="B929" s="15"/>
      <c r="C929" s="15"/>
      <c r="D929" s="15"/>
      <c r="E929" s="6"/>
      <c r="F929" s="6"/>
      <c r="G929" s="6"/>
      <c r="K929" s="222"/>
      <c r="V929" s="1430"/>
      <c r="AA929" s="223"/>
      <c r="AC929" s="889"/>
      <c r="AF929" s="890"/>
      <c r="AJ929" s="889"/>
      <c r="AN929" s="222"/>
      <c r="BC929" s="223"/>
      <c r="BD929" s="222"/>
      <c r="BH929" s="611"/>
      <c r="BJ929" s="15"/>
      <c r="BK929" s="15"/>
      <c r="BO929" s="223"/>
      <c r="BQ929" s="889"/>
      <c r="BT929" s="890"/>
      <c r="BX929" s="889"/>
      <c r="CB929" s="15"/>
      <c r="CC929" s="697"/>
      <c r="CD929" s="1086"/>
      <c r="CE929" s="15"/>
      <c r="CF929" s="15"/>
      <c r="CG929" s="936"/>
      <c r="CH929" s="15"/>
      <c r="CI929" s="15"/>
      <c r="CJ929" s="15"/>
      <c r="CK929" s="1107"/>
      <c r="CL929" s="22"/>
      <c r="CM929" s="22"/>
      <c r="CN929" s="1107"/>
      <c r="CR929" s="223"/>
      <c r="CS929" s="952"/>
      <c r="CT929" s="1066"/>
      <c r="CU929" s="972"/>
      <c r="CV929" s="983"/>
      <c r="CW929" s="222"/>
      <c r="CX929" s="697"/>
      <c r="DC929" s="222"/>
      <c r="DJ929" s="889"/>
      <c r="DM929" s="890"/>
      <c r="DN929" s="952"/>
      <c r="DO929" s="75"/>
      <c r="DP929" s="962"/>
      <c r="DQ929" s="983"/>
      <c r="DV929" s="889"/>
    </row>
    <row r="930" spans="1:126" s="74" customFormat="1">
      <c r="A930" s="15"/>
      <c r="B930" s="15"/>
      <c r="C930" s="15"/>
      <c r="D930" s="15"/>
      <c r="E930" s="6"/>
      <c r="F930" s="6"/>
      <c r="G930" s="6"/>
      <c r="K930" s="222"/>
      <c r="V930" s="1430"/>
      <c r="AA930" s="223"/>
      <c r="AC930" s="889"/>
      <c r="AF930" s="890"/>
      <c r="AJ930" s="889"/>
      <c r="AN930" s="222"/>
      <c r="BC930" s="223"/>
      <c r="BD930" s="222"/>
      <c r="BH930" s="611"/>
      <c r="BJ930" s="15"/>
      <c r="BK930" s="15"/>
      <c r="BO930" s="223"/>
      <c r="BQ930" s="889"/>
      <c r="BT930" s="890"/>
      <c r="BX930" s="889"/>
      <c r="CB930" s="15"/>
      <c r="CC930" s="697"/>
      <c r="CD930" s="1086"/>
      <c r="CE930" s="15"/>
      <c r="CF930" s="15"/>
      <c r="CG930" s="936"/>
      <c r="CH930" s="15"/>
      <c r="CI930" s="15"/>
      <c r="CJ930" s="15"/>
      <c r="CK930" s="1107"/>
      <c r="CL930" s="22"/>
      <c r="CM930" s="22"/>
      <c r="CN930" s="1107"/>
      <c r="CR930" s="223"/>
      <c r="CS930" s="952"/>
      <c r="CT930" s="1066"/>
      <c r="CU930" s="972"/>
      <c r="CV930" s="983"/>
      <c r="CW930" s="222"/>
      <c r="CX930" s="697"/>
      <c r="DC930" s="222"/>
      <c r="DJ930" s="889"/>
      <c r="DM930" s="890"/>
      <c r="DN930" s="952"/>
      <c r="DO930" s="75"/>
      <c r="DP930" s="962"/>
      <c r="DQ930" s="983"/>
      <c r="DV930" s="889"/>
    </row>
    <row r="931" spans="1:126" s="74" customFormat="1">
      <c r="A931" s="15"/>
      <c r="B931" s="15"/>
      <c r="C931" s="15"/>
      <c r="D931" s="15"/>
      <c r="E931" s="6"/>
      <c r="F931" s="6"/>
      <c r="G931" s="6"/>
      <c r="K931" s="222"/>
      <c r="V931" s="1430"/>
      <c r="AA931" s="223"/>
      <c r="AC931" s="889"/>
      <c r="AF931" s="890"/>
      <c r="AJ931" s="889"/>
      <c r="AN931" s="222"/>
      <c r="BC931" s="223"/>
      <c r="BD931" s="222"/>
      <c r="BH931" s="611"/>
      <c r="BJ931" s="15"/>
      <c r="BK931" s="15"/>
      <c r="BO931" s="223"/>
      <c r="BQ931" s="889"/>
      <c r="BT931" s="890"/>
      <c r="BX931" s="889"/>
      <c r="CB931" s="15"/>
      <c r="CC931" s="697"/>
      <c r="CD931" s="1086"/>
      <c r="CE931" s="15"/>
      <c r="CF931" s="15"/>
      <c r="CG931" s="936"/>
      <c r="CH931" s="15"/>
      <c r="CI931" s="15"/>
      <c r="CJ931" s="15"/>
      <c r="CK931" s="1107"/>
      <c r="CL931" s="22"/>
      <c r="CM931" s="22"/>
      <c r="CN931" s="1107"/>
      <c r="CR931" s="223"/>
      <c r="CS931" s="952"/>
      <c r="CT931" s="1066"/>
      <c r="CU931" s="972"/>
      <c r="CV931" s="983"/>
      <c r="CW931" s="222"/>
      <c r="CX931" s="697"/>
      <c r="DC931" s="222"/>
      <c r="DJ931" s="889"/>
      <c r="DM931" s="890"/>
      <c r="DN931" s="952"/>
      <c r="DO931" s="75"/>
      <c r="DP931" s="962"/>
      <c r="DQ931" s="983"/>
      <c r="DV931" s="889"/>
    </row>
    <row r="932" spans="1:126" s="74" customFormat="1">
      <c r="A932" s="15"/>
      <c r="B932" s="15"/>
      <c r="C932" s="15"/>
      <c r="D932" s="15"/>
      <c r="E932" s="6"/>
      <c r="F932" s="6"/>
      <c r="G932" s="6"/>
      <c r="K932" s="222"/>
      <c r="V932" s="1430"/>
      <c r="AA932" s="223"/>
      <c r="AC932" s="889"/>
      <c r="AF932" s="890"/>
      <c r="AJ932" s="889"/>
      <c r="AN932" s="222"/>
      <c r="BC932" s="223"/>
      <c r="BD932" s="222"/>
      <c r="BH932" s="611"/>
      <c r="BJ932" s="15"/>
      <c r="BK932" s="15"/>
      <c r="BO932" s="223"/>
      <c r="BQ932" s="889"/>
      <c r="BT932" s="890"/>
      <c r="BX932" s="889"/>
      <c r="CB932" s="15"/>
      <c r="CC932" s="697"/>
      <c r="CD932" s="1086"/>
      <c r="CE932" s="15"/>
      <c r="CF932" s="15"/>
      <c r="CG932" s="936"/>
      <c r="CH932" s="15"/>
      <c r="CI932" s="15"/>
      <c r="CJ932" s="15"/>
      <c r="CK932" s="1107"/>
      <c r="CL932" s="22"/>
      <c r="CM932" s="22"/>
      <c r="CN932" s="1107"/>
      <c r="CR932" s="223"/>
      <c r="CS932" s="952"/>
      <c r="CT932" s="1066"/>
      <c r="CU932" s="972"/>
      <c r="CV932" s="983"/>
      <c r="CW932" s="222"/>
      <c r="CX932" s="697"/>
      <c r="DC932" s="222"/>
      <c r="DJ932" s="889"/>
      <c r="DM932" s="890"/>
      <c r="DN932" s="952"/>
      <c r="DO932" s="75"/>
      <c r="DP932" s="962"/>
      <c r="DQ932" s="983"/>
      <c r="DV932" s="889"/>
    </row>
    <row r="933" spans="1:126" s="74" customFormat="1">
      <c r="A933" s="15"/>
      <c r="B933" s="15"/>
      <c r="C933" s="15"/>
      <c r="D933" s="15"/>
      <c r="E933" s="6"/>
      <c r="F933" s="6"/>
      <c r="G933" s="6"/>
      <c r="K933" s="222"/>
      <c r="V933" s="1430"/>
      <c r="AA933" s="223"/>
      <c r="AC933" s="889"/>
      <c r="AF933" s="890"/>
      <c r="AJ933" s="889"/>
      <c r="AN933" s="222"/>
      <c r="BC933" s="223"/>
      <c r="BD933" s="222"/>
      <c r="BH933" s="611"/>
      <c r="BJ933" s="15"/>
      <c r="BK933" s="15"/>
      <c r="BO933" s="223"/>
      <c r="BQ933" s="889"/>
      <c r="BT933" s="890"/>
      <c r="BX933" s="889"/>
      <c r="CB933" s="15"/>
      <c r="CC933" s="697"/>
      <c r="CD933" s="1086"/>
      <c r="CE933" s="15"/>
      <c r="CF933" s="15"/>
      <c r="CG933" s="936"/>
      <c r="CH933" s="15"/>
      <c r="CI933" s="15"/>
      <c r="CJ933" s="15"/>
      <c r="CK933" s="1107"/>
      <c r="CL933" s="22"/>
      <c r="CM933" s="22"/>
      <c r="CN933" s="1107"/>
      <c r="CR933" s="223"/>
      <c r="CS933" s="952"/>
      <c r="CT933" s="1066"/>
      <c r="CU933" s="972"/>
      <c r="CV933" s="983"/>
      <c r="CW933" s="222"/>
      <c r="CX933" s="697"/>
      <c r="DC933" s="222"/>
      <c r="DJ933" s="889"/>
      <c r="DM933" s="890"/>
      <c r="DN933" s="952"/>
      <c r="DO933" s="75"/>
      <c r="DP933" s="962"/>
      <c r="DQ933" s="983"/>
      <c r="DV933" s="889"/>
    </row>
    <row r="934" spans="1:126" s="74" customFormat="1">
      <c r="A934" s="15"/>
      <c r="B934" s="15"/>
      <c r="C934" s="15"/>
      <c r="D934" s="15"/>
      <c r="E934" s="6"/>
      <c r="F934" s="6"/>
      <c r="G934" s="6"/>
      <c r="K934" s="222"/>
      <c r="V934" s="1430"/>
      <c r="AA934" s="223"/>
      <c r="AC934" s="889"/>
      <c r="AF934" s="890"/>
      <c r="AJ934" s="889"/>
      <c r="AN934" s="222"/>
      <c r="BC934" s="223"/>
      <c r="BD934" s="222"/>
      <c r="BH934" s="611"/>
      <c r="BJ934" s="15"/>
      <c r="BK934" s="15"/>
      <c r="BO934" s="223"/>
      <c r="BQ934" s="889"/>
      <c r="BT934" s="890"/>
      <c r="BX934" s="889"/>
      <c r="CB934" s="15"/>
      <c r="CC934" s="697"/>
      <c r="CD934" s="1086"/>
      <c r="CE934" s="15"/>
      <c r="CF934" s="15"/>
      <c r="CG934" s="936"/>
      <c r="CH934" s="15"/>
      <c r="CI934" s="15"/>
      <c r="CJ934" s="15"/>
      <c r="CK934" s="1107"/>
      <c r="CL934" s="22"/>
      <c r="CM934" s="22"/>
      <c r="CN934" s="1107"/>
      <c r="CR934" s="223"/>
      <c r="CS934" s="952"/>
      <c r="CT934" s="1066"/>
      <c r="CU934" s="972"/>
      <c r="CV934" s="983"/>
      <c r="CW934" s="222"/>
      <c r="CX934" s="697"/>
      <c r="DC934" s="222"/>
      <c r="DJ934" s="889"/>
      <c r="DM934" s="890"/>
      <c r="DN934" s="952"/>
      <c r="DO934" s="75"/>
      <c r="DP934" s="962"/>
      <c r="DQ934" s="983"/>
      <c r="DV934" s="889"/>
    </row>
    <row r="935" spans="1:126" s="74" customFormat="1">
      <c r="A935" s="15"/>
      <c r="B935" s="15"/>
      <c r="C935" s="15"/>
      <c r="D935" s="15"/>
      <c r="E935" s="6"/>
      <c r="F935" s="6"/>
      <c r="G935" s="6"/>
      <c r="K935" s="222"/>
      <c r="V935" s="1430"/>
      <c r="AA935" s="223"/>
      <c r="AC935" s="889"/>
      <c r="AF935" s="890"/>
      <c r="AJ935" s="889"/>
      <c r="AN935" s="222"/>
      <c r="BC935" s="223"/>
      <c r="BD935" s="222"/>
      <c r="BH935" s="611"/>
      <c r="BJ935" s="15"/>
      <c r="BK935" s="15"/>
      <c r="BO935" s="223"/>
      <c r="BQ935" s="889"/>
      <c r="BT935" s="890"/>
      <c r="BX935" s="889"/>
      <c r="CB935" s="15"/>
      <c r="CC935" s="697"/>
      <c r="CD935" s="1086"/>
      <c r="CE935" s="15"/>
      <c r="CF935" s="15"/>
      <c r="CG935" s="936"/>
      <c r="CH935" s="15"/>
      <c r="CI935" s="15"/>
      <c r="CJ935" s="15"/>
      <c r="CK935" s="1107"/>
      <c r="CL935" s="22"/>
      <c r="CM935" s="22"/>
      <c r="CN935" s="1107"/>
      <c r="CR935" s="223"/>
      <c r="CS935" s="952"/>
      <c r="CT935" s="1066"/>
      <c r="CU935" s="972"/>
      <c r="CV935" s="983"/>
      <c r="CW935" s="222"/>
      <c r="CX935" s="697"/>
      <c r="DC935" s="222"/>
      <c r="DJ935" s="889"/>
      <c r="DM935" s="890"/>
      <c r="DN935" s="952"/>
      <c r="DO935" s="75"/>
      <c r="DP935" s="962"/>
      <c r="DQ935" s="983"/>
      <c r="DV935" s="889"/>
    </row>
    <row r="936" spans="1:126" s="74" customFormat="1">
      <c r="A936" s="15"/>
      <c r="B936" s="15"/>
      <c r="C936" s="15"/>
      <c r="D936" s="15"/>
      <c r="E936" s="6"/>
      <c r="F936" s="6"/>
      <c r="G936" s="6"/>
      <c r="K936" s="222"/>
      <c r="V936" s="1430"/>
      <c r="AA936" s="223"/>
      <c r="AC936" s="889"/>
      <c r="AF936" s="890"/>
      <c r="AJ936" s="889"/>
      <c r="AN936" s="222"/>
      <c r="BC936" s="223"/>
      <c r="BD936" s="222"/>
      <c r="BH936" s="611"/>
      <c r="BJ936" s="15"/>
      <c r="BK936" s="15"/>
      <c r="BO936" s="223"/>
      <c r="BQ936" s="889"/>
      <c r="BT936" s="890"/>
      <c r="BX936" s="889"/>
      <c r="CB936" s="15"/>
      <c r="CC936" s="697"/>
      <c r="CD936" s="1086"/>
      <c r="CE936" s="15"/>
      <c r="CF936" s="15"/>
      <c r="CG936" s="936"/>
      <c r="CH936" s="15"/>
      <c r="CI936" s="15"/>
      <c r="CJ936" s="15"/>
      <c r="CK936" s="1107"/>
      <c r="CL936" s="22"/>
      <c r="CM936" s="22"/>
      <c r="CN936" s="1107"/>
      <c r="CR936" s="223"/>
      <c r="CS936" s="952"/>
      <c r="CT936" s="1066"/>
      <c r="CU936" s="972"/>
      <c r="CV936" s="983"/>
      <c r="CW936" s="222"/>
      <c r="CX936" s="697"/>
      <c r="DC936" s="222"/>
      <c r="DJ936" s="889"/>
      <c r="DM936" s="890"/>
      <c r="DN936" s="952"/>
      <c r="DO936" s="75"/>
      <c r="DP936" s="962"/>
      <c r="DQ936" s="983"/>
      <c r="DV936" s="889"/>
    </row>
    <row r="937" spans="1:126" s="74" customFormat="1">
      <c r="A937" s="15"/>
      <c r="B937" s="15"/>
      <c r="C937" s="15"/>
      <c r="D937" s="15"/>
      <c r="E937" s="6"/>
      <c r="F937" s="6"/>
      <c r="G937" s="6"/>
      <c r="K937" s="222"/>
      <c r="V937" s="1430"/>
      <c r="AA937" s="223"/>
      <c r="AC937" s="889"/>
      <c r="AF937" s="890"/>
      <c r="AJ937" s="889"/>
      <c r="AN937" s="222"/>
      <c r="BC937" s="223"/>
      <c r="BD937" s="222"/>
      <c r="BH937" s="611"/>
      <c r="BJ937" s="15"/>
      <c r="BK937" s="15"/>
      <c r="BO937" s="223"/>
      <c r="BQ937" s="889"/>
      <c r="BT937" s="890"/>
      <c r="BX937" s="889"/>
      <c r="CB937" s="15"/>
      <c r="CC937" s="697"/>
      <c r="CD937" s="1086"/>
      <c r="CE937" s="15"/>
      <c r="CF937" s="15"/>
      <c r="CG937" s="936"/>
      <c r="CH937" s="15"/>
      <c r="CI937" s="15"/>
      <c r="CJ937" s="15"/>
      <c r="CK937" s="1107"/>
      <c r="CL937" s="22"/>
      <c r="CM937" s="22"/>
      <c r="CN937" s="1107"/>
      <c r="CR937" s="223"/>
      <c r="CS937" s="952"/>
      <c r="CT937" s="1066"/>
      <c r="CU937" s="972"/>
      <c r="CV937" s="983"/>
      <c r="CW937" s="222"/>
      <c r="CX937" s="697"/>
      <c r="DC937" s="222"/>
      <c r="DJ937" s="889"/>
      <c r="DM937" s="890"/>
      <c r="DN937" s="952"/>
      <c r="DO937" s="75"/>
      <c r="DP937" s="962"/>
      <c r="DQ937" s="983"/>
      <c r="DV937" s="889"/>
    </row>
    <row r="938" spans="1:126" s="74" customFormat="1">
      <c r="A938" s="15"/>
      <c r="B938" s="15"/>
      <c r="C938" s="15"/>
      <c r="D938" s="15"/>
      <c r="E938" s="6"/>
      <c r="F938" s="6"/>
      <c r="G938" s="6"/>
      <c r="K938" s="222"/>
      <c r="V938" s="1430"/>
      <c r="AA938" s="223"/>
      <c r="AC938" s="889"/>
      <c r="AF938" s="890"/>
      <c r="AJ938" s="889"/>
      <c r="AN938" s="222"/>
      <c r="BC938" s="223"/>
      <c r="BD938" s="222"/>
      <c r="BH938" s="611"/>
      <c r="BJ938" s="15"/>
      <c r="BK938" s="15"/>
      <c r="BO938" s="223"/>
      <c r="BQ938" s="889"/>
      <c r="BT938" s="890"/>
      <c r="BX938" s="889"/>
      <c r="CB938" s="15"/>
      <c r="CC938" s="697"/>
      <c r="CD938" s="1086"/>
      <c r="CE938" s="15"/>
      <c r="CF938" s="15"/>
      <c r="CG938" s="936"/>
      <c r="CH938" s="15"/>
      <c r="CI938" s="15"/>
      <c r="CJ938" s="15"/>
      <c r="CK938" s="1107"/>
      <c r="CL938" s="22"/>
      <c r="CM938" s="22"/>
      <c r="CN938" s="1107"/>
      <c r="CR938" s="223"/>
      <c r="CS938" s="952"/>
      <c r="CT938" s="1066"/>
      <c r="CU938" s="972"/>
      <c r="CV938" s="983"/>
      <c r="CW938" s="222"/>
      <c r="CX938" s="697"/>
      <c r="DC938" s="222"/>
      <c r="DJ938" s="889"/>
      <c r="DM938" s="890"/>
      <c r="DN938" s="952"/>
      <c r="DO938" s="75"/>
      <c r="DP938" s="962"/>
      <c r="DQ938" s="983"/>
      <c r="DV938" s="889"/>
    </row>
    <row r="939" spans="1:126" s="74" customFormat="1">
      <c r="A939" s="15"/>
      <c r="B939" s="15"/>
      <c r="C939" s="15"/>
      <c r="D939" s="15"/>
      <c r="E939" s="6"/>
      <c r="F939" s="6"/>
      <c r="G939" s="6"/>
      <c r="K939" s="222"/>
      <c r="V939" s="1430"/>
      <c r="AA939" s="223"/>
      <c r="AC939" s="889"/>
      <c r="AF939" s="890"/>
      <c r="AJ939" s="889"/>
      <c r="AN939" s="222"/>
      <c r="BC939" s="223"/>
      <c r="BD939" s="222"/>
      <c r="BH939" s="611"/>
      <c r="BJ939" s="15"/>
      <c r="BK939" s="15"/>
      <c r="BO939" s="223"/>
      <c r="BQ939" s="889"/>
      <c r="BT939" s="890"/>
      <c r="BX939" s="889"/>
      <c r="CB939" s="15"/>
      <c r="CC939" s="697"/>
      <c r="CD939" s="1086"/>
      <c r="CE939" s="15"/>
      <c r="CF939" s="15"/>
      <c r="CG939" s="936"/>
      <c r="CH939" s="15"/>
      <c r="CI939" s="15"/>
      <c r="CJ939" s="15"/>
      <c r="CK939" s="1107"/>
      <c r="CL939" s="22"/>
      <c r="CM939" s="22"/>
      <c r="CN939" s="1107"/>
      <c r="CR939" s="223"/>
      <c r="CS939" s="952"/>
      <c r="CT939" s="1066"/>
      <c r="CU939" s="972"/>
      <c r="CV939" s="983"/>
      <c r="CW939" s="222"/>
      <c r="CX939" s="697"/>
      <c r="DC939" s="222"/>
      <c r="DJ939" s="889"/>
      <c r="DM939" s="890"/>
      <c r="DN939" s="952"/>
      <c r="DO939" s="75"/>
      <c r="DP939" s="962"/>
      <c r="DQ939" s="983"/>
      <c r="DV939" s="889"/>
    </row>
    <row r="940" spans="1:126" s="74" customFormat="1">
      <c r="A940" s="15"/>
      <c r="B940" s="15"/>
      <c r="C940" s="15"/>
      <c r="D940" s="15"/>
      <c r="E940" s="6"/>
      <c r="F940" s="6"/>
      <c r="G940" s="6"/>
      <c r="K940" s="222"/>
      <c r="V940" s="1430"/>
      <c r="AA940" s="223"/>
      <c r="AC940" s="889"/>
      <c r="AF940" s="890"/>
      <c r="AJ940" s="889"/>
      <c r="AN940" s="222"/>
      <c r="BC940" s="223"/>
      <c r="BD940" s="222"/>
      <c r="BH940" s="611"/>
      <c r="BJ940" s="15"/>
      <c r="BK940" s="15"/>
      <c r="BO940" s="223"/>
      <c r="BQ940" s="889"/>
      <c r="BT940" s="890"/>
      <c r="BX940" s="889"/>
      <c r="CB940" s="15"/>
      <c r="CC940" s="697"/>
      <c r="CD940" s="1086"/>
      <c r="CE940" s="15"/>
      <c r="CF940" s="15"/>
      <c r="CG940" s="936"/>
      <c r="CH940" s="15"/>
      <c r="CI940" s="15"/>
      <c r="CJ940" s="15"/>
      <c r="CK940" s="1107"/>
      <c r="CL940" s="22"/>
      <c r="CM940" s="22"/>
      <c r="CN940" s="1107"/>
      <c r="CR940" s="223"/>
      <c r="CS940" s="952"/>
      <c r="CT940" s="1066"/>
      <c r="CU940" s="972"/>
      <c r="CV940" s="983"/>
      <c r="CW940" s="222"/>
      <c r="CX940" s="697"/>
      <c r="DC940" s="222"/>
      <c r="DJ940" s="889"/>
      <c r="DM940" s="890"/>
      <c r="DN940" s="952"/>
      <c r="DO940" s="75"/>
      <c r="DP940" s="962"/>
      <c r="DQ940" s="983"/>
      <c r="DV940" s="889"/>
    </row>
    <row r="941" spans="1:126" s="74" customFormat="1">
      <c r="A941" s="15"/>
      <c r="B941" s="15"/>
      <c r="C941" s="15"/>
      <c r="D941" s="15"/>
      <c r="E941" s="6"/>
      <c r="F941" s="6"/>
      <c r="G941" s="6"/>
      <c r="K941" s="222"/>
      <c r="V941" s="1430"/>
      <c r="AA941" s="223"/>
      <c r="AC941" s="889"/>
      <c r="AF941" s="890"/>
      <c r="AJ941" s="889"/>
      <c r="AN941" s="222"/>
      <c r="BC941" s="223"/>
      <c r="BD941" s="222"/>
      <c r="BH941" s="611"/>
      <c r="BJ941" s="15"/>
      <c r="BK941" s="15"/>
      <c r="BO941" s="223"/>
      <c r="BQ941" s="889"/>
      <c r="BT941" s="890"/>
      <c r="BX941" s="889"/>
      <c r="CB941" s="15"/>
      <c r="CC941" s="697"/>
      <c r="CD941" s="1086"/>
      <c r="CE941" s="15"/>
      <c r="CF941" s="15"/>
      <c r="CG941" s="936"/>
      <c r="CH941" s="15"/>
      <c r="CI941" s="15"/>
      <c r="CJ941" s="15"/>
      <c r="CK941" s="1107"/>
      <c r="CL941" s="22"/>
      <c r="CM941" s="22"/>
      <c r="CN941" s="1107"/>
      <c r="CR941" s="223"/>
      <c r="CS941" s="952"/>
      <c r="CT941" s="1066"/>
      <c r="CU941" s="972"/>
      <c r="CV941" s="983"/>
      <c r="CW941" s="222"/>
      <c r="CX941" s="697"/>
      <c r="DC941" s="222"/>
      <c r="DJ941" s="889"/>
      <c r="DM941" s="890"/>
      <c r="DN941" s="952"/>
      <c r="DO941" s="75"/>
      <c r="DP941" s="962"/>
      <c r="DQ941" s="983"/>
      <c r="DV941" s="889"/>
    </row>
    <row r="942" spans="1:126" s="74" customFormat="1">
      <c r="A942" s="15"/>
      <c r="B942" s="15"/>
      <c r="C942" s="15"/>
      <c r="D942" s="15"/>
      <c r="E942" s="6"/>
      <c r="F942" s="6"/>
      <c r="G942" s="6"/>
      <c r="K942" s="222"/>
      <c r="V942" s="1430"/>
      <c r="AA942" s="223"/>
      <c r="AC942" s="889"/>
      <c r="AF942" s="890"/>
      <c r="AJ942" s="889"/>
      <c r="AN942" s="222"/>
      <c r="BC942" s="223"/>
      <c r="BD942" s="222"/>
      <c r="BH942" s="611"/>
      <c r="BJ942" s="15"/>
      <c r="BK942" s="15"/>
      <c r="BO942" s="223"/>
      <c r="BQ942" s="889"/>
      <c r="BT942" s="890"/>
      <c r="BX942" s="889"/>
      <c r="CB942" s="15"/>
      <c r="CC942" s="697"/>
      <c r="CD942" s="1086"/>
      <c r="CE942" s="15"/>
      <c r="CF942" s="15"/>
      <c r="CG942" s="936"/>
      <c r="CH942" s="15"/>
      <c r="CI942" s="15"/>
      <c r="CJ942" s="15"/>
      <c r="CK942" s="1107"/>
      <c r="CL942" s="22"/>
      <c r="CM942" s="22"/>
      <c r="CN942" s="1107"/>
      <c r="CR942" s="223"/>
      <c r="CS942" s="952"/>
      <c r="CT942" s="1066"/>
      <c r="CU942" s="972"/>
      <c r="CV942" s="983"/>
      <c r="CW942" s="222"/>
      <c r="CX942" s="697"/>
      <c r="DC942" s="222"/>
      <c r="DJ942" s="889"/>
      <c r="DM942" s="890"/>
      <c r="DN942" s="952"/>
      <c r="DO942" s="75"/>
      <c r="DP942" s="962"/>
      <c r="DQ942" s="983"/>
      <c r="DV942" s="889"/>
    </row>
    <row r="943" spans="1:126" s="74" customFormat="1">
      <c r="A943" s="15"/>
      <c r="B943" s="15"/>
      <c r="C943" s="15"/>
      <c r="D943" s="15"/>
      <c r="E943" s="6"/>
      <c r="F943" s="6"/>
      <c r="G943" s="6"/>
      <c r="K943" s="222"/>
      <c r="V943" s="1430"/>
      <c r="AA943" s="223"/>
      <c r="AC943" s="889"/>
      <c r="AF943" s="890"/>
      <c r="AJ943" s="889"/>
      <c r="AN943" s="222"/>
      <c r="BC943" s="223"/>
      <c r="BD943" s="222"/>
      <c r="BH943" s="611"/>
      <c r="BJ943" s="15"/>
      <c r="BK943" s="15"/>
      <c r="BO943" s="223"/>
      <c r="BQ943" s="889"/>
      <c r="BT943" s="890"/>
      <c r="BX943" s="889"/>
      <c r="CB943" s="15"/>
      <c r="CC943" s="697"/>
      <c r="CD943" s="1086"/>
      <c r="CE943" s="15"/>
      <c r="CF943" s="15"/>
      <c r="CG943" s="936"/>
      <c r="CH943" s="15"/>
      <c r="CI943" s="15"/>
      <c r="CJ943" s="15"/>
      <c r="CK943" s="1107"/>
      <c r="CL943" s="22"/>
      <c r="CM943" s="22"/>
      <c r="CN943" s="1107"/>
      <c r="CR943" s="223"/>
      <c r="CS943" s="952"/>
      <c r="CT943" s="1066"/>
      <c r="CU943" s="972"/>
      <c r="CV943" s="983"/>
      <c r="CW943" s="222"/>
      <c r="CX943" s="697"/>
      <c r="DC943" s="222"/>
      <c r="DJ943" s="889"/>
      <c r="DM943" s="890"/>
      <c r="DN943" s="952"/>
      <c r="DO943" s="75"/>
      <c r="DP943" s="962"/>
      <c r="DQ943" s="983"/>
      <c r="DV943" s="889"/>
    </row>
    <row r="944" spans="1:126" s="74" customFormat="1">
      <c r="A944" s="15"/>
      <c r="B944" s="15"/>
      <c r="C944" s="15"/>
      <c r="D944" s="15"/>
      <c r="E944" s="6"/>
      <c r="F944" s="6"/>
      <c r="G944" s="6"/>
      <c r="K944" s="222"/>
      <c r="V944" s="1430"/>
      <c r="AA944" s="223"/>
      <c r="AC944" s="889"/>
      <c r="AF944" s="890"/>
      <c r="AJ944" s="889"/>
      <c r="AN944" s="222"/>
      <c r="BC944" s="223"/>
      <c r="BD944" s="222"/>
      <c r="BH944" s="611"/>
      <c r="BJ944" s="15"/>
      <c r="BK944" s="15"/>
      <c r="BO944" s="223"/>
      <c r="BQ944" s="889"/>
      <c r="BT944" s="890"/>
      <c r="BX944" s="889"/>
      <c r="CB944" s="15"/>
      <c r="CC944" s="697"/>
      <c r="CD944" s="1086"/>
      <c r="CE944" s="15"/>
      <c r="CF944" s="15"/>
      <c r="CG944" s="936"/>
      <c r="CH944" s="15"/>
      <c r="CI944" s="15"/>
      <c r="CJ944" s="15"/>
      <c r="CK944" s="1107"/>
      <c r="CL944" s="22"/>
      <c r="CM944" s="22"/>
      <c r="CN944" s="1107"/>
      <c r="CR944" s="223"/>
      <c r="CS944" s="952"/>
      <c r="CT944" s="1066"/>
      <c r="CU944" s="972"/>
      <c r="CV944" s="983"/>
      <c r="CW944" s="222"/>
      <c r="CX944" s="697"/>
      <c r="DC944" s="222"/>
      <c r="DJ944" s="889"/>
      <c r="DM944" s="890"/>
      <c r="DN944" s="952"/>
      <c r="DO944" s="75"/>
      <c r="DP944" s="962"/>
      <c r="DQ944" s="983"/>
      <c r="DV944" s="889"/>
    </row>
    <row r="945" spans="1:126" s="74" customFormat="1">
      <c r="A945" s="15"/>
      <c r="B945" s="15"/>
      <c r="C945" s="15"/>
      <c r="D945" s="15"/>
      <c r="E945" s="6"/>
      <c r="F945" s="6"/>
      <c r="G945" s="6"/>
      <c r="K945" s="222"/>
      <c r="V945" s="1430"/>
      <c r="AA945" s="223"/>
      <c r="AC945" s="889"/>
      <c r="AF945" s="890"/>
      <c r="AJ945" s="889"/>
      <c r="AN945" s="222"/>
      <c r="BC945" s="223"/>
      <c r="BD945" s="222"/>
      <c r="BH945" s="611"/>
      <c r="BJ945" s="15"/>
      <c r="BK945" s="15"/>
      <c r="BO945" s="223"/>
      <c r="BQ945" s="889"/>
      <c r="BT945" s="890"/>
      <c r="BX945" s="889"/>
      <c r="CB945" s="15"/>
      <c r="CC945" s="697"/>
      <c r="CD945" s="1086"/>
      <c r="CE945" s="15"/>
      <c r="CF945" s="15"/>
      <c r="CG945" s="936"/>
      <c r="CH945" s="15"/>
      <c r="CI945" s="15"/>
      <c r="CJ945" s="15"/>
      <c r="CK945" s="1107"/>
      <c r="CL945" s="22"/>
      <c r="CM945" s="22"/>
      <c r="CN945" s="1107"/>
      <c r="CR945" s="223"/>
      <c r="CS945" s="952"/>
      <c r="CT945" s="1066"/>
      <c r="CU945" s="972"/>
      <c r="CV945" s="983"/>
      <c r="CW945" s="222"/>
      <c r="CX945" s="697"/>
      <c r="DC945" s="222"/>
      <c r="DJ945" s="889"/>
      <c r="DM945" s="890"/>
      <c r="DN945" s="952"/>
      <c r="DO945" s="75"/>
      <c r="DP945" s="962"/>
      <c r="DQ945" s="983"/>
      <c r="DV945" s="889"/>
    </row>
    <row r="946" spans="1:126" s="74" customFormat="1">
      <c r="A946" s="15"/>
      <c r="B946" s="15"/>
      <c r="C946" s="15"/>
      <c r="D946" s="15"/>
      <c r="E946" s="6"/>
      <c r="F946" s="6"/>
      <c r="G946" s="6"/>
      <c r="K946" s="222"/>
      <c r="V946" s="1430"/>
      <c r="AA946" s="223"/>
      <c r="AC946" s="889"/>
      <c r="AF946" s="890"/>
      <c r="AJ946" s="889"/>
      <c r="AN946" s="222"/>
      <c r="BC946" s="223"/>
      <c r="BD946" s="222"/>
      <c r="BH946" s="611"/>
      <c r="BJ946" s="15"/>
      <c r="BK946" s="15"/>
      <c r="BO946" s="223"/>
      <c r="BQ946" s="889"/>
      <c r="BT946" s="890"/>
      <c r="BX946" s="889"/>
      <c r="CB946" s="15"/>
      <c r="CC946" s="697"/>
      <c r="CD946" s="1086"/>
      <c r="CE946" s="15"/>
      <c r="CF946" s="15"/>
      <c r="CG946" s="936"/>
      <c r="CH946" s="15"/>
      <c r="CI946" s="15"/>
      <c r="CJ946" s="15"/>
      <c r="CK946" s="1107"/>
      <c r="CL946" s="22"/>
      <c r="CM946" s="22"/>
      <c r="CN946" s="1107"/>
      <c r="CR946" s="223"/>
      <c r="CS946" s="952"/>
      <c r="CT946" s="1066"/>
      <c r="CU946" s="972"/>
      <c r="CV946" s="983"/>
      <c r="CW946" s="222"/>
      <c r="CX946" s="697"/>
      <c r="DC946" s="222"/>
      <c r="DJ946" s="889"/>
      <c r="DM946" s="890"/>
      <c r="DN946" s="952"/>
      <c r="DO946" s="75"/>
      <c r="DP946" s="962"/>
      <c r="DQ946" s="983"/>
      <c r="DV946" s="889"/>
    </row>
    <row r="947" spans="1:126" s="74" customFormat="1">
      <c r="A947" s="15"/>
      <c r="B947" s="15"/>
      <c r="C947" s="15"/>
      <c r="D947" s="15"/>
      <c r="E947" s="6"/>
      <c r="F947" s="6"/>
      <c r="G947" s="6"/>
      <c r="K947" s="222"/>
      <c r="V947" s="1430"/>
      <c r="AA947" s="223"/>
      <c r="AC947" s="889"/>
      <c r="AF947" s="890"/>
      <c r="AJ947" s="889"/>
      <c r="AN947" s="222"/>
      <c r="BC947" s="223"/>
      <c r="BD947" s="222"/>
      <c r="BH947" s="611"/>
      <c r="BJ947" s="15"/>
      <c r="BK947" s="15"/>
      <c r="BO947" s="223"/>
      <c r="BQ947" s="889"/>
      <c r="BT947" s="890"/>
      <c r="BX947" s="889"/>
      <c r="CB947" s="15"/>
      <c r="CC947" s="697"/>
      <c r="CD947" s="1086"/>
      <c r="CE947" s="15"/>
      <c r="CF947" s="15"/>
      <c r="CG947" s="936"/>
      <c r="CH947" s="15"/>
      <c r="CI947" s="15"/>
      <c r="CJ947" s="15"/>
      <c r="CK947" s="1107"/>
      <c r="CL947" s="22"/>
      <c r="CM947" s="22"/>
      <c r="CN947" s="1107"/>
      <c r="CR947" s="223"/>
      <c r="CS947" s="952"/>
      <c r="CT947" s="1066"/>
      <c r="CU947" s="972"/>
      <c r="CV947" s="983"/>
      <c r="CW947" s="222"/>
      <c r="CX947" s="697"/>
      <c r="DC947" s="222"/>
      <c r="DJ947" s="889"/>
      <c r="DM947" s="890"/>
      <c r="DN947" s="952"/>
      <c r="DO947" s="75"/>
      <c r="DP947" s="962"/>
      <c r="DQ947" s="983"/>
      <c r="DV947" s="889"/>
    </row>
    <row r="948" spans="1:126" s="74" customFormat="1">
      <c r="A948" s="15"/>
      <c r="B948" s="15"/>
      <c r="C948" s="15"/>
      <c r="D948" s="15"/>
      <c r="E948" s="6"/>
      <c r="F948" s="6"/>
      <c r="G948" s="6"/>
      <c r="K948" s="222"/>
      <c r="V948" s="1430"/>
      <c r="AA948" s="223"/>
      <c r="AC948" s="889"/>
      <c r="AF948" s="890"/>
      <c r="AJ948" s="889"/>
      <c r="AN948" s="222"/>
      <c r="BC948" s="223"/>
      <c r="BD948" s="222"/>
      <c r="BH948" s="611"/>
      <c r="BJ948" s="15"/>
      <c r="BK948" s="15"/>
      <c r="BO948" s="223"/>
      <c r="BQ948" s="889"/>
      <c r="BT948" s="890"/>
      <c r="BX948" s="889"/>
      <c r="CB948" s="15"/>
      <c r="CC948" s="697"/>
      <c r="CD948" s="1086"/>
      <c r="CE948" s="15"/>
      <c r="CF948" s="15"/>
      <c r="CG948" s="936"/>
      <c r="CH948" s="15"/>
      <c r="CI948" s="15"/>
      <c r="CJ948" s="15"/>
      <c r="CK948" s="1107"/>
      <c r="CL948" s="22"/>
      <c r="CM948" s="22"/>
      <c r="CN948" s="1107"/>
      <c r="CR948" s="223"/>
      <c r="CS948" s="952"/>
      <c r="CT948" s="1066"/>
      <c r="CU948" s="972"/>
      <c r="CV948" s="983"/>
      <c r="CW948" s="222"/>
      <c r="CX948" s="697"/>
      <c r="DC948" s="222"/>
      <c r="DJ948" s="889"/>
      <c r="DM948" s="890"/>
      <c r="DN948" s="952"/>
      <c r="DO948" s="75"/>
      <c r="DP948" s="962"/>
      <c r="DQ948" s="983"/>
      <c r="DV948" s="889"/>
    </row>
    <row r="949" spans="1:126" s="74" customFormat="1">
      <c r="A949" s="15"/>
      <c r="B949" s="15"/>
      <c r="C949" s="15"/>
      <c r="D949" s="15"/>
      <c r="E949" s="6"/>
      <c r="F949" s="6"/>
      <c r="G949" s="6"/>
      <c r="K949" s="222"/>
      <c r="V949" s="1430"/>
      <c r="AA949" s="223"/>
      <c r="AC949" s="889"/>
      <c r="AF949" s="890"/>
      <c r="AJ949" s="889"/>
      <c r="AN949" s="222"/>
      <c r="BC949" s="223"/>
      <c r="BD949" s="222"/>
      <c r="BH949" s="611"/>
      <c r="BJ949" s="15"/>
      <c r="BK949" s="15"/>
      <c r="BO949" s="223"/>
      <c r="BQ949" s="889"/>
      <c r="BT949" s="890"/>
      <c r="BX949" s="889"/>
      <c r="CB949" s="15"/>
      <c r="CC949" s="697"/>
      <c r="CD949" s="1086"/>
      <c r="CE949" s="15"/>
      <c r="CF949" s="15"/>
      <c r="CG949" s="936"/>
      <c r="CH949" s="15"/>
      <c r="CI949" s="15"/>
      <c r="CJ949" s="15"/>
      <c r="CK949" s="1107"/>
      <c r="CL949" s="22"/>
      <c r="CM949" s="22"/>
      <c r="CN949" s="1107"/>
      <c r="CR949" s="223"/>
      <c r="CS949" s="952"/>
      <c r="CT949" s="1066"/>
      <c r="CU949" s="972"/>
      <c r="CV949" s="983"/>
      <c r="CW949" s="222"/>
      <c r="CX949" s="697"/>
      <c r="DC949" s="222"/>
      <c r="DJ949" s="889"/>
      <c r="DM949" s="890"/>
      <c r="DN949" s="952"/>
      <c r="DO949" s="75"/>
      <c r="DP949" s="962"/>
      <c r="DQ949" s="983"/>
      <c r="DV949" s="889"/>
    </row>
    <row r="950" spans="1:126" s="74" customFormat="1">
      <c r="A950" s="15"/>
      <c r="B950" s="15"/>
      <c r="C950" s="15"/>
      <c r="D950" s="15"/>
      <c r="E950" s="6"/>
      <c r="F950" s="6"/>
      <c r="G950" s="6"/>
      <c r="K950" s="222"/>
      <c r="V950" s="1430"/>
      <c r="AA950" s="223"/>
      <c r="AC950" s="889"/>
      <c r="AF950" s="890"/>
      <c r="AJ950" s="889"/>
      <c r="AN950" s="222"/>
      <c r="BC950" s="223"/>
      <c r="BD950" s="222"/>
      <c r="BH950" s="611"/>
      <c r="BJ950" s="15"/>
      <c r="BK950" s="15"/>
      <c r="BO950" s="223"/>
      <c r="BQ950" s="889"/>
      <c r="BT950" s="890"/>
      <c r="BX950" s="889"/>
      <c r="CB950" s="15"/>
      <c r="CC950" s="697"/>
      <c r="CD950" s="1086"/>
      <c r="CE950" s="15"/>
      <c r="CF950" s="15"/>
      <c r="CG950" s="936"/>
      <c r="CH950" s="15"/>
      <c r="CI950" s="15"/>
      <c r="CJ950" s="15"/>
      <c r="CK950" s="1107"/>
      <c r="CL950" s="22"/>
      <c r="CM950" s="22"/>
      <c r="CN950" s="1107"/>
      <c r="CR950" s="223"/>
      <c r="CS950" s="952"/>
      <c r="CT950" s="1066"/>
      <c r="CU950" s="972"/>
      <c r="CV950" s="983"/>
      <c r="CW950" s="222"/>
      <c r="CX950" s="697"/>
      <c r="DC950" s="222"/>
      <c r="DJ950" s="889"/>
      <c r="DM950" s="890"/>
      <c r="DN950" s="952"/>
      <c r="DO950" s="75"/>
      <c r="DP950" s="962"/>
      <c r="DQ950" s="983"/>
      <c r="DV950" s="889"/>
    </row>
    <row r="951" spans="1:126" s="74" customFormat="1">
      <c r="A951" s="15"/>
      <c r="B951" s="15"/>
      <c r="C951" s="15"/>
      <c r="D951" s="15"/>
      <c r="E951" s="6"/>
      <c r="F951" s="6"/>
      <c r="G951" s="6"/>
      <c r="K951" s="222"/>
      <c r="V951" s="1430"/>
      <c r="AA951" s="223"/>
      <c r="AC951" s="889"/>
      <c r="AF951" s="890"/>
      <c r="AJ951" s="889"/>
      <c r="AN951" s="222"/>
      <c r="BC951" s="223"/>
      <c r="BD951" s="222"/>
      <c r="BH951" s="611"/>
      <c r="BJ951" s="15"/>
      <c r="BK951" s="15"/>
      <c r="BO951" s="223"/>
      <c r="BQ951" s="889"/>
      <c r="BT951" s="890"/>
      <c r="BX951" s="889"/>
      <c r="CB951" s="15"/>
      <c r="CC951" s="697"/>
      <c r="CD951" s="1086"/>
      <c r="CE951" s="15"/>
      <c r="CF951" s="15"/>
      <c r="CG951" s="936"/>
      <c r="CH951" s="15"/>
      <c r="CI951" s="15"/>
      <c r="CJ951" s="15"/>
      <c r="CK951" s="1107"/>
      <c r="CL951" s="22"/>
      <c r="CM951" s="22"/>
      <c r="CN951" s="1107"/>
      <c r="CR951" s="223"/>
      <c r="CS951" s="952"/>
      <c r="CT951" s="1066"/>
      <c r="CU951" s="972"/>
      <c r="CV951" s="983"/>
      <c r="CW951" s="222"/>
      <c r="CX951" s="697"/>
      <c r="DC951" s="222"/>
      <c r="DJ951" s="889"/>
      <c r="DM951" s="890"/>
      <c r="DN951" s="952"/>
      <c r="DO951" s="75"/>
      <c r="DP951" s="962"/>
      <c r="DQ951" s="983"/>
      <c r="DV951" s="889"/>
    </row>
    <row r="952" spans="1:126" s="74" customFormat="1">
      <c r="A952" s="15"/>
      <c r="B952" s="15"/>
      <c r="C952" s="15"/>
      <c r="D952" s="15"/>
      <c r="E952" s="6"/>
      <c r="F952" s="6"/>
      <c r="G952" s="6"/>
      <c r="K952" s="222"/>
      <c r="V952" s="1430"/>
      <c r="AA952" s="223"/>
      <c r="AC952" s="889"/>
      <c r="AF952" s="890"/>
      <c r="AJ952" s="889"/>
      <c r="AN952" s="222"/>
      <c r="BC952" s="223"/>
      <c r="BD952" s="222"/>
      <c r="BH952" s="611"/>
      <c r="BJ952" s="15"/>
      <c r="BK952" s="15"/>
      <c r="BO952" s="223"/>
      <c r="BQ952" s="889"/>
      <c r="BT952" s="890"/>
      <c r="BX952" s="889"/>
      <c r="CB952" s="15"/>
      <c r="CC952" s="697"/>
      <c r="CD952" s="1086"/>
      <c r="CE952" s="15"/>
      <c r="CF952" s="15"/>
      <c r="CG952" s="936"/>
      <c r="CH952" s="15"/>
      <c r="CI952" s="15"/>
      <c r="CJ952" s="15"/>
      <c r="CK952" s="1107"/>
      <c r="CL952" s="22"/>
      <c r="CM952" s="22"/>
      <c r="CN952" s="1107"/>
      <c r="CR952" s="223"/>
      <c r="CS952" s="952"/>
      <c r="CT952" s="1066"/>
      <c r="CU952" s="972"/>
      <c r="CV952" s="983"/>
      <c r="CW952" s="222"/>
      <c r="CX952" s="697"/>
      <c r="DC952" s="222"/>
      <c r="DJ952" s="889"/>
      <c r="DM952" s="890"/>
      <c r="DN952" s="952"/>
      <c r="DO952" s="75"/>
      <c r="DP952" s="962"/>
      <c r="DQ952" s="983"/>
      <c r="DV952" s="889"/>
    </row>
    <row r="953" spans="1:126" s="74" customFormat="1">
      <c r="A953" s="15"/>
      <c r="B953" s="15"/>
      <c r="C953" s="15"/>
      <c r="D953" s="15"/>
      <c r="E953" s="6"/>
      <c r="F953" s="6"/>
      <c r="G953" s="6"/>
      <c r="K953" s="222"/>
      <c r="V953" s="1430"/>
      <c r="AA953" s="223"/>
      <c r="AC953" s="889"/>
      <c r="AF953" s="890"/>
      <c r="AJ953" s="889"/>
      <c r="AN953" s="222"/>
      <c r="BC953" s="223"/>
      <c r="BD953" s="222"/>
      <c r="BH953" s="611"/>
      <c r="BJ953" s="15"/>
      <c r="BK953" s="15"/>
      <c r="BO953" s="223"/>
      <c r="BQ953" s="889"/>
      <c r="BT953" s="890"/>
      <c r="BX953" s="889"/>
      <c r="CB953" s="15"/>
      <c r="CC953" s="697"/>
      <c r="CD953" s="1086"/>
      <c r="CE953" s="15"/>
      <c r="CF953" s="15"/>
      <c r="CG953" s="936"/>
      <c r="CH953" s="15"/>
      <c r="CI953" s="15"/>
      <c r="CJ953" s="15"/>
      <c r="CK953" s="1107"/>
      <c r="CL953" s="22"/>
      <c r="CM953" s="22"/>
      <c r="CN953" s="1107"/>
      <c r="CR953" s="223"/>
      <c r="CS953" s="952"/>
      <c r="CT953" s="1066"/>
      <c r="CU953" s="972"/>
      <c r="CV953" s="983"/>
      <c r="CW953" s="222"/>
      <c r="CX953" s="697"/>
      <c r="DC953" s="222"/>
      <c r="DJ953" s="889"/>
      <c r="DM953" s="890"/>
      <c r="DN953" s="952"/>
      <c r="DO953" s="75"/>
      <c r="DP953" s="962"/>
      <c r="DQ953" s="983"/>
      <c r="DV953" s="889"/>
    </row>
    <row r="954" spans="1:126" s="74" customFormat="1">
      <c r="A954" s="15"/>
      <c r="B954" s="15"/>
      <c r="C954" s="15"/>
      <c r="D954" s="15"/>
      <c r="E954" s="6"/>
      <c r="F954" s="6"/>
      <c r="G954" s="6"/>
      <c r="K954" s="222"/>
      <c r="V954" s="1430"/>
      <c r="AA954" s="223"/>
      <c r="AC954" s="889"/>
      <c r="AF954" s="890"/>
      <c r="AJ954" s="889"/>
      <c r="AN954" s="222"/>
      <c r="BC954" s="223"/>
      <c r="BD954" s="222"/>
      <c r="BH954" s="611"/>
      <c r="BJ954" s="15"/>
      <c r="BK954" s="15"/>
      <c r="BO954" s="223"/>
      <c r="BQ954" s="889"/>
      <c r="BT954" s="890"/>
      <c r="BX954" s="889"/>
      <c r="CB954" s="15"/>
      <c r="CC954" s="697"/>
      <c r="CD954" s="1086"/>
      <c r="CE954" s="15"/>
      <c r="CF954" s="15"/>
      <c r="CG954" s="936"/>
      <c r="CH954" s="15"/>
      <c r="CI954" s="15"/>
      <c r="CJ954" s="15"/>
      <c r="CK954" s="1107"/>
      <c r="CL954" s="22"/>
      <c r="CM954" s="22"/>
      <c r="CN954" s="1107"/>
      <c r="CR954" s="223"/>
      <c r="CS954" s="952"/>
      <c r="CT954" s="1066"/>
      <c r="CU954" s="972"/>
      <c r="CV954" s="983"/>
      <c r="CW954" s="222"/>
      <c r="CX954" s="697"/>
      <c r="DC954" s="222"/>
      <c r="DJ954" s="889"/>
      <c r="DM954" s="890"/>
      <c r="DN954" s="952"/>
      <c r="DO954" s="75"/>
      <c r="DP954" s="962"/>
      <c r="DQ954" s="983"/>
      <c r="DV954" s="889"/>
    </row>
    <row r="955" spans="1:126" s="74" customFormat="1">
      <c r="A955" s="15"/>
      <c r="B955" s="15"/>
      <c r="C955" s="15"/>
      <c r="D955" s="15"/>
      <c r="E955" s="6"/>
      <c r="F955" s="6"/>
      <c r="G955" s="6"/>
      <c r="K955" s="222"/>
      <c r="V955" s="1430"/>
      <c r="AA955" s="223"/>
      <c r="AC955" s="889"/>
      <c r="AF955" s="890"/>
      <c r="AJ955" s="889"/>
      <c r="AN955" s="222"/>
      <c r="BC955" s="223"/>
      <c r="BD955" s="222"/>
      <c r="BH955" s="611"/>
      <c r="BJ955" s="15"/>
      <c r="BK955" s="15"/>
      <c r="BO955" s="223"/>
      <c r="BQ955" s="889"/>
      <c r="BT955" s="890"/>
      <c r="BX955" s="889"/>
      <c r="CB955" s="15"/>
      <c r="CC955" s="697"/>
      <c r="CD955" s="1086"/>
      <c r="CE955" s="15"/>
      <c r="CF955" s="15"/>
      <c r="CG955" s="936"/>
      <c r="CH955" s="15"/>
      <c r="CI955" s="15"/>
      <c r="CJ955" s="15"/>
      <c r="CK955" s="1107"/>
      <c r="CL955" s="22"/>
      <c r="CM955" s="22"/>
      <c r="CN955" s="1107"/>
      <c r="CR955" s="223"/>
      <c r="CS955" s="952"/>
      <c r="CT955" s="1066"/>
      <c r="CU955" s="972"/>
      <c r="CV955" s="983"/>
      <c r="CW955" s="222"/>
      <c r="CX955" s="697"/>
      <c r="DC955" s="222"/>
      <c r="DJ955" s="889"/>
      <c r="DM955" s="890"/>
      <c r="DN955" s="952"/>
      <c r="DO955" s="75"/>
      <c r="DP955" s="962"/>
      <c r="DQ955" s="983"/>
      <c r="DV955" s="889"/>
    </row>
    <row r="956" spans="1:126" s="74" customFormat="1">
      <c r="A956" s="15"/>
      <c r="B956" s="15"/>
      <c r="C956" s="15"/>
      <c r="D956" s="15"/>
      <c r="E956" s="6"/>
      <c r="F956" s="6"/>
      <c r="G956" s="6"/>
      <c r="K956" s="222"/>
      <c r="V956" s="1430"/>
      <c r="AA956" s="223"/>
      <c r="AC956" s="889"/>
      <c r="AF956" s="890"/>
      <c r="AJ956" s="889"/>
      <c r="AN956" s="222"/>
      <c r="BC956" s="223"/>
      <c r="BD956" s="222"/>
      <c r="BH956" s="611"/>
      <c r="BJ956" s="15"/>
      <c r="BK956" s="15"/>
      <c r="BO956" s="223"/>
      <c r="BQ956" s="889"/>
      <c r="BT956" s="890"/>
      <c r="BX956" s="889"/>
      <c r="CB956" s="15"/>
      <c r="CC956" s="697"/>
      <c r="CD956" s="1086"/>
      <c r="CE956" s="15"/>
      <c r="CF956" s="15"/>
      <c r="CG956" s="936"/>
      <c r="CH956" s="15"/>
      <c r="CI956" s="15"/>
      <c r="CJ956" s="15"/>
      <c r="CK956" s="1107"/>
      <c r="CL956" s="22"/>
      <c r="CM956" s="22"/>
      <c r="CN956" s="1107"/>
      <c r="CR956" s="223"/>
      <c r="CS956" s="952"/>
      <c r="CT956" s="1066"/>
      <c r="CU956" s="972"/>
      <c r="CV956" s="983"/>
      <c r="CW956" s="222"/>
      <c r="CX956" s="697"/>
      <c r="DC956" s="222"/>
      <c r="DJ956" s="889"/>
      <c r="DM956" s="890"/>
      <c r="DN956" s="952"/>
      <c r="DO956" s="75"/>
      <c r="DP956" s="962"/>
      <c r="DQ956" s="983"/>
      <c r="DV956" s="889"/>
    </row>
    <row r="957" spans="1:126" s="74" customFormat="1">
      <c r="A957" s="15"/>
      <c r="B957" s="15"/>
      <c r="C957" s="15"/>
      <c r="D957" s="15"/>
      <c r="E957" s="6"/>
      <c r="F957" s="6"/>
      <c r="G957" s="6"/>
      <c r="K957" s="222"/>
      <c r="V957" s="1430"/>
      <c r="AA957" s="223"/>
      <c r="AC957" s="889"/>
      <c r="AF957" s="890"/>
      <c r="AJ957" s="889"/>
      <c r="AN957" s="222"/>
      <c r="BC957" s="223"/>
      <c r="BD957" s="222"/>
      <c r="BH957" s="611"/>
      <c r="BJ957" s="15"/>
      <c r="BK957" s="15"/>
      <c r="BO957" s="223"/>
      <c r="BQ957" s="889"/>
      <c r="BT957" s="890"/>
      <c r="BX957" s="889"/>
      <c r="CB957" s="15"/>
      <c r="CC957" s="697"/>
      <c r="CD957" s="1086"/>
      <c r="CE957" s="15"/>
      <c r="CF957" s="15"/>
      <c r="CG957" s="936"/>
      <c r="CH957" s="15"/>
      <c r="CI957" s="15"/>
      <c r="CJ957" s="15"/>
      <c r="CK957" s="1107"/>
      <c r="CL957" s="22"/>
      <c r="CM957" s="22"/>
      <c r="CN957" s="1107"/>
      <c r="CR957" s="223"/>
      <c r="CS957" s="952"/>
      <c r="CT957" s="1066"/>
      <c r="CU957" s="972"/>
      <c r="CV957" s="983"/>
      <c r="CW957" s="222"/>
      <c r="CX957" s="697"/>
      <c r="DC957" s="222"/>
      <c r="DJ957" s="889"/>
      <c r="DM957" s="890"/>
      <c r="DN957" s="952"/>
      <c r="DO957" s="75"/>
      <c r="DP957" s="962"/>
      <c r="DQ957" s="983"/>
      <c r="DV957" s="889"/>
    </row>
    <row r="958" spans="1:126" s="74" customFormat="1">
      <c r="A958" s="15"/>
      <c r="B958" s="15"/>
      <c r="C958" s="15"/>
      <c r="D958" s="15"/>
      <c r="E958" s="6"/>
      <c r="F958" s="6"/>
      <c r="G958" s="6"/>
      <c r="K958" s="222"/>
      <c r="V958" s="1430"/>
      <c r="AA958" s="223"/>
      <c r="AC958" s="889"/>
      <c r="AF958" s="890"/>
      <c r="AJ958" s="889"/>
      <c r="AN958" s="222"/>
      <c r="BC958" s="223"/>
      <c r="BD958" s="222"/>
      <c r="BH958" s="611"/>
      <c r="BJ958" s="15"/>
      <c r="BK958" s="15"/>
      <c r="BO958" s="223"/>
      <c r="BQ958" s="889"/>
      <c r="BT958" s="890"/>
      <c r="BX958" s="889"/>
      <c r="CB958" s="15"/>
      <c r="CC958" s="697"/>
      <c r="CD958" s="1086"/>
      <c r="CE958" s="15"/>
      <c r="CF958" s="15"/>
      <c r="CG958" s="936"/>
      <c r="CH958" s="15"/>
      <c r="CI958" s="15"/>
      <c r="CJ958" s="15"/>
      <c r="CK958" s="1107"/>
      <c r="CL958" s="22"/>
      <c r="CM958" s="22"/>
      <c r="CN958" s="1107"/>
      <c r="CR958" s="223"/>
      <c r="CS958" s="952"/>
      <c r="CT958" s="1066"/>
      <c r="CU958" s="972"/>
      <c r="CV958" s="983"/>
      <c r="CW958" s="222"/>
      <c r="CX958" s="697"/>
      <c r="DC958" s="222"/>
      <c r="DJ958" s="889"/>
      <c r="DM958" s="890"/>
      <c r="DN958" s="952"/>
      <c r="DO958" s="75"/>
      <c r="DP958" s="962"/>
      <c r="DQ958" s="983"/>
      <c r="DV958" s="889"/>
    </row>
    <row r="959" spans="1:126" s="74" customFormat="1">
      <c r="A959" s="15"/>
      <c r="B959" s="15"/>
      <c r="C959" s="15"/>
      <c r="D959" s="15"/>
      <c r="E959" s="6"/>
      <c r="F959" s="6"/>
      <c r="G959" s="6"/>
      <c r="K959" s="222"/>
      <c r="V959" s="1430"/>
      <c r="AA959" s="223"/>
      <c r="AC959" s="889"/>
      <c r="AF959" s="890"/>
      <c r="AJ959" s="889"/>
      <c r="AN959" s="222"/>
      <c r="BC959" s="223"/>
      <c r="BD959" s="222"/>
      <c r="BH959" s="611"/>
      <c r="BJ959" s="15"/>
      <c r="BK959" s="15"/>
      <c r="BO959" s="223"/>
      <c r="BQ959" s="889"/>
      <c r="BT959" s="890"/>
      <c r="BX959" s="889"/>
      <c r="CB959" s="15"/>
      <c r="CC959" s="697"/>
      <c r="CD959" s="1086"/>
      <c r="CE959" s="15"/>
      <c r="CF959" s="15"/>
      <c r="CG959" s="936"/>
      <c r="CH959" s="15"/>
      <c r="CI959" s="15"/>
      <c r="CJ959" s="15"/>
      <c r="CK959" s="1107"/>
      <c r="CL959" s="22"/>
      <c r="CM959" s="22"/>
      <c r="CN959" s="1107"/>
      <c r="CR959" s="223"/>
      <c r="CS959" s="952"/>
      <c r="CT959" s="1066"/>
      <c r="CU959" s="972"/>
      <c r="CV959" s="983"/>
      <c r="CW959" s="222"/>
      <c r="CX959" s="697"/>
      <c r="DC959" s="222"/>
      <c r="DJ959" s="889"/>
      <c r="DM959" s="890"/>
      <c r="DN959" s="952"/>
      <c r="DO959" s="75"/>
      <c r="DP959" s="962"/>
      <c r="DQ959" s="983"/>
      <c r="DV959" s="889"/>
    </row>
    <row r="960" spans="1:126" s="74" customFormat="1">
      <c r="A960" s="15"/>
      <c r="B960" s="15"/>
      <c r="C960" s="15"/>
      <c r="D960" s="15"/>
      <c r="E960" s="6"/>
      <c r="F960" s="6"/>
      <c r="G960" s="6"/>
      <c r="K960" s="222"/>
      <c r="V960" s="1430"/>
      <c r="AA960" s="223"/>
      <c r="AC960" s="889"/>
      <c r="AF960" s="890"/>
      <c r="AJ960" s="889"/>
      <c r="AN960" s="222"/>
      <c r="BC960" s="223"/>
      <c r="BD960" s="222"/>
      <c r="BH960" s="611"/>
      <c r="BJ960" s="15"/>
      <c r="BK960" s="15"/>
      <c r="BO960" s="223"/>
      <c r="BQ960" s="889"/>
      <c r="BT960" s="890"/>
      <c r="BX960" s="889"/>
      <c r="CB960" s="15"/>
      <c r="CC960" s="697"/>
      <c r="CD960" s="1086"/>
      <c r="CE960" s="15"/>
      <c r="CF960" s="15"/>
      <c r="CG960" s="936"/>
      <c r="CH960" s="15"/>
      <c r="CI960" s="15"/>
      <c r="CJ960" s="15"/>
      <c r="CK960" s="1107"/>
      <c r="CL960" s="22"/>
      <c r="CM960" s="22"/>
      <c r="CN960" s="1107"/>
      <c r="CR960" s="223"/>
      <c r="CS960" s="952"/>
      <c r="CT960" s="1066"/>
      <c r="CU960" s="972"/>
      <c r="CV960" s="983"/>
      <c r="CW960" s="222"/>
      <c r="CX960" s="697"/>
      <c r="DC960" s="222"/>
      <c r="DJ960" s="889"/>
      <c r="DM960" s="890"/>
      <c r="DN960" s="952"/>
      <c r="DO960" s="75"/>
      <c r="DP960" s="962"/>
      <c r="DQ960" s="983"/>
      <c r="DV960" s="889"/>
    </row>
    <row r="961" spans="1:126" s="74" customFormat="1">
      <c r="A961" s="15"/>
      <c r="B961" s="15"/>
      <c r="C961" s="15"/>
      <c r="D961" s="15"/>
      <c r="E961" s="6"/>
      <c r="F961" s="6"/>
      <c r="G961" s="6"/>
      <c r="K961" s="222"/>
      <c r="V961" s="1430"/>
      <c r="AA961" s="223"/>
      <c r="AC961" s="889"/>
      <c r="AF961" s="890"/>
      <c r="AJ961" s="889"/>
      <c r="AN961" s="222"/>
      <c r="BC961" s="223"/>
      <c r="BD961" s="222"/>
      <c r="BH961" s="611"/>
      <c r="BJ961" s="15"/>
      <c r="BK961" s="15"/>
      <c r="BO961" s="223"/>
      <c r="BQ961" s="889"/>
      <c r="BT961" s="890"/>
      <c r="BX961" s="889"/>
      <c r="CB961" s="15"/>
      <c r="CC961" s="697"/>
      <c r="CD961" s="1086"/>
      <c r="CE961" s="15"/>
      <c r="CF961" s="15"/>
      <c r="CG961" s="936"/>
      <c r="CH961" s="15"/>
      <c r="CI961" s="15"/>
      <c r="CJ961" s="15"/>
      <c r="CK961" s="1107"/>
      <c r="CL961" s="22"/>
      <c r="CM961" s="22"/>
      <c r="CN961" s="1107"/>
      <c r="CR961" s="223"/>
      <c r="CS961" s="952"/>
      <c r="CT961" s="1066"/>
      <c r="CU961" s="972"/>
      <c r="CV961" s="983"/>
      <c r="CW961" s="222"/>
      <c r="CX961" s="697"/>
      <c r="DC961" s="222"/>
      <c r="DJ961" s="889"/>
      <c r="DM961" s="890"/>
      <c r="DN961" s="952"/>
      <c r="DO961" s="75"/>
      <c r="DP961" s="962"/>
      <c r="DQ961" s="983"/>
      <c r="DV961" s="889"/>
    </row>
    <row r="962" spans="1:126" s="74" customFormat="1">
      <c r="A962" s="15"/>
      <c r="B962" s="15"/>
      <c r="C962" s="15"/>
      <c r="D962" s="15"/>
      <c r="E962" s="6"/>
      <c r="F962" s="6"/>
      <c r="G962" s="6"/>
      <c r="K962" s="222"/>
      <c r="V962" s="1430"/>
      <c r="AA962" s="223"/>
      <c r="AC962" s="889"/>
      <c r="AF962" s="890"/>
      <c r="AJ962" s="889"/>
      <c r="AN962" s="222"/>
      <c r="BC962" s="223"/>
      <c r="BD962" s="222"/>
      <c r="BH962" s="611"/>
      <c r="BJ962" s="15"/>
      <c r="BK962" s="15"/>
      <c r="BO962" s="223"/>
      <c r="BQ962" s="889"/>
      <c r="BT962" s="890"/>
      <c r="BX962" s="889"/>
      <c r="CB962" s="15"/>
      <c r="CC962" s="697"/>
      <c r="CD962" s="1086"/>
      <c r="CE962" s="15"/>
      <c r="CF962" s="15"/>
      <c r="CG962" s="936"/>
      <c r="CH962" s="15"/>
      <c r="CI962" s="15"/>
      <c r="CJ962" s="15"/>
      <c r="CK962" s="1107"/>
      <c r="CL962" s="22"/>
      <c r="CM962" s="22"/>
      <c r="CN962" s="1107"/>
      <c r="CR962" s="223"/>
      <c r="CS962" s="952"/>
      <c r="CT962" s="1066"/>
      <c r="CU962" s="972"/>
      <c r="CV962" s="983"/>
      <c r="CW962" s="222"/>
      <c r="CX962" s="697"/>
      <c r="DC962" s="222"/>
      <c r="DJ962" s="889"/>
      <c r="DM962" s="890"/>
      <c r="DN962" s="952"/>
      <c r="DO962" s="75"/>
      <c r="DP962" s="962"/>
      <c r="DQ962" s="983"/>
      <c r="DV962" s="889"/>
    </row>
    <row r="963" spans="1:126" s="74" customFormat="1">
      <c r="A963" s="15"/>
      <c r="B963" s="15"/>
      <c r="C963" s="15"/>
      <c r="D963" s="15"/>
      <c r="E963" s="6"/>
      <c r="F963" s="6"/>
      <c r="G963" s="6"/>
      <c r="K963" s="222"/>
      <c r="V963" s="1430"/>
      <c r="AA963" s="223"/>
      <c r="AC963" s="889"/>
      <c r="AF963" s="890"/>
      <c r="AJ963" s="889"/>
      <c r="AN963" s="222"/>
      <c r="BC963" s="223"/>
      <c r="BD963" s="222"/>
      <c r="BH963" s="611"/>
      <c r="BJ963" s="15"/>
      <c r="BK963" s="15"/>
      <c r="BO963" s="223"/>
      <c r="BQ963" s="889"/>
      <c r="BT963" s="890"/>
      <c r="BX963" s="889"/>
      <c r="CB963" s="15"/>
      <c r="CC963" s="697"/>
      <c r="CD963" s="1086"/>
      <c r="CE963" s="15"/>
      <c r="CF963" s="15"/>
      <c r="CG963" s="936"/>
      <c r="CH963" s="15"/>
      <c r="CI963" s="15"/>
      <c r="CJ963" s="15"/>
      <c r="CK963" s="1107"/>
      <c r="CL963" s="22"/>
      <c r="CM963" s="22"/>
      <c r="CN963" s="1107"/>
      <c r="CR963" s="223"/>
      <c r="CS963" s="952"/>
      <c r="CT963" s="1066"/>
      <c r="CU963" s="972"/>
      <c r="CV963" s="983"/>
      <c r="CW963" s="222"/>
      <c r="CX963" s="697"/>
      <c r="DC963" s="222"/>
      <c r="DJ963" s="889"/>
      <c r="DM963" s="890"/>
      <c r="DN963" s="952"/>
      <c r="DO963" s="75"/>
      <c r="DP963" s="962"/>
      <c r="DQ963" s="983"/>
      <c r="DV963" s="889"/>
    </row>
    <row r="964" spans="1:126" s="74" customFormat="1">
      <c r="A964" s="15"/>
      <c r="B964" s="15"/>
      <c r="C964" s="15"/>
      <c r="D964" s="15"/>
      <c r="E964" s="6"/>
      <c r="F964" s="6"/>
      <c r="G964" s="6"/>
      <c r="K964" s="222"/>
      <c r="V964" s="1430"/>
      <c r="AA964" s="223"/>
      <c r="AC964" s="889"/>
      <c r="AF964" s="890"/>
      <c r="AJ964" s="889"/>
      <c r="AN964" s="222"/>
      <c r="BC964" s="223"/>
      <c r="BD964" s="222"/>
      <c r="BH964" s="611"/>
      <c r="BJ964" s="15"/>
      <c r="BK964" s="15"/>
      <c r="BO964" s="223"/>
      <c r="BQ964" s="889"/>
      <c r="BT964" s="890"/>
      <c r="BX964" s="889"/>
      <c r="CB964" s="15"/>
      <c r="CC964" s="697"/>
      <c r="CD964" s="1086"/>
      <c r="CE964" s="15"/>
      <c r="CF964" s="15"/>
      <c r="CG964" s="936"/>
      <c r="CH964" s="15"/>
      <c r="CI964" s="15"/>
      <c r="CJ964" s="15"/>
      <c r="CK964" s="1107"/>
      <c r="CL964" s="22"/>
      <c r="CM964" s="22"/>
      <c r="CN964" s="1107"/>
      <c r="CR964" s="223"/>
      <c r="CS964" s="952"/>
      <c r="CT964" s="1066"/>
      <c r="CU964" s="972"/>
      <c r="CV964" s="983"/>
      <c r="CW964" s="222"/>
      <c r="CX964" s="697"/>
      <c r="DC964" s="222"/>
      <c r="DJ964" s="889"/>
      <c r="DM964" s="890"/>
      <c r="DN964" s="952"/>
      <c r="DO964" s="75"/>
      <c r="DP964" s="962"/>
      <c r="DQ964" s="983"/>
      <c r="DV964" s="889"/>
    </row>
    <row r="965" spans="1:126" s="74" customFormat="1">
      <c r="A965" s="15"/>
      <c r="B965" s="15"/>
      <c r="C965" s="15"/>
      <c r="D965" s="15"/>
      <c r="E965" s="6"/>
      <c r="F965" s="6"/>
      <c r="G965" s="6"/>
      <c r="K965" s="222"/>
      <c r="V965" s="1430"/>
      <c r="AA965" s="223"/>
      <c r="AC965" s="889"/>
      <c r="AF965" s="890"/>
      <c r="AJ965" s="889"/>
      <c r="AN965" s="222"/>
      <c r="BC965" s="223"/>
      <c r="BD965" s="222"/>
      <c r="BH965" s="611"/>
      <c r="BJ965" s="15"/>
      <c r="BK965" s="15"/>
      <c r="BO965" s="223"/>
      <c r="BQ965" s="889"/>
      <c r="BT965" s="890"/>
      <c r="BX965" s="889"/>
      <c r="CB965" s="15"/>
      <c r="CC965" s="697"/>
      <c r="CD965" s="1086"/>
      <c r="CE965" s="15"/>
      <c r="CF965" s="15"/>
      <c r="CG965" s="936"/>
      <c r="CH965" s="15"/>
      <c r="CI965" s="15"/>
      <c r="CJ965" s="15"/>
      <c r="CK965" s="1107"/>
      <c r="CL965" s="22"/>
      <c r="CM965" s="22"/>
      <c r="CN965" s="1107"/>
      <c r="CR965" s="223"/>
      <c r="CS965" s="952"/>
      <c r="CT965" s="1066"/>
      <c r="CU965" s="972"/>
      <c r="CV965" s="983"/>
      <c r="CW965" s="222"/>
      <c r="CX965" s="697"/>
      <c r="DC965" s="222"/>
      <c r="DJ965" s="889"/>
      <c r="DM965" s="890"/>
      <c r="DN965" s="952"/>
      <c r="DO965" s="75"/>
      <c r="DP965" s="962"/>
      <c r="DQ965" s="983"/>
      <c r="DV965" s="889"/>
    </row>
    <row r="966" spans="1:126" s="74" customFormat="1">
      <c r="A966" s="15"/>
      <c r="B966" s="15"/>
      <c r="C966" s="15"/>
      <c r="D966" s="15"/>
      <c r="E966" s="6"/>
      <c r="F966" s="6"/>
      <c r="G966" s="6"/>
      <c r="K966" s="222"/>
      <c r="V966" s="1430"/>
      <c r="AA966" s="223"/>
      <c r="AC966" s="889"/>
      <c r="AF966" s="890"/>
      <c r="AJ966" s="889"/>
      <c r="AN966" s="222"/>
      <c r="BC966" s="223"/>
      <c r="BD966" s="222"/>
      <c r="BH966" s="611"/>
      <c r="BJ966" s="15"/>
      <c r="BK966" s="15"/>
      <c r="BO966" s="223"/>
      <c r="BQ966" s="889"/>
      <c r="BT966" s="890"/>
      <c r="BX966" s="889"/>
      <c r="CB966" s="15"/>
      <c r="CC966" s="697"/>
      <c r="CD966" s="1086"/>
      <c r="CE966" s="15"/>
      <c r="CF966" s="15"/>
      <c r="CG966" s="936"/>
      <c r="CH966" s="15"/>
      <c r="CI966" s="15"/>
      <c r="CJ966" s="15"/>
      <c r="CK966" s="1107"/>
      <c r="CL966" s="22"/>
      <c r="CM966" s="22"/>
      <c r="CN966" s="1107"/>
      <c r="CR966" s="223"/>
      <c r="CS966" s="952"/>
      <c r="CT966" s="1066"/>
      <c r="CU966" s="972"/>
      <c r="CV966" s="983"/>
      <c r="CW966" s="222"/>
      <c r="CX966" s="697"/>
      <c r="DC966" s="222"/>
      <c r="DJ966" s="889"/>
      <c r="DM966" s="890"/>
      <c r="DN966" s="952"/>
      <c r="DO966" s="75"/>
      <c r="DP966" s="962"/>
      <c r="DQ966" s="983"/>
      <c r="DV966" s="889"/>
    </row>
    <row r="967" spans="1:126" s="74" customFormat="1">
      <c r="A967" s="15"/>
      <c r="B967" s="15"/>
      <c r="C967" s="15"/>
      <c r="D967" s="15"/>
      <c r="E967" s="6"/>
      <c r="F967" s="6"/>
      <c r="G967" s="6"/>
      <c r="K967" s="222"/>
      <c r="V967" s="1430"/>
      <c r="AA967" s="223"/>
      <c r="AC967" s="889"/>
      <c r="AF967" s="890"/>
      <c r="AJ967" s="889"/>
      <c r="AN967" s="222"/>
      <c r="BC967" s="223"/>
      <c r="BD967" s="222"/>
      <c r="BH967" s="611"/>
      <c r="BJ967" s="15"/>
      <c r="BK967" s="15"/>
      <c r="BO967" s="223"/>
      <c r="BQ967" s="889"/>
      <c r="BT967" s="890"/>
      <c r="BX967" s="889"/>
      <c r="CB967" s="15"/>
      <c r="CC967" s="697"/>
      <c r="CD967" s="1086"/>
      <c r="CE967" s="15"/>
      <c r="CF967" s="15"/>
      <c r="CG967" s="936"/>
      <c r="CH967" s="15"/>
      <c r="CI967" s="15"/>
      <c r="CJ967" s="15"/>
      <c r="CK967" s="1107"/>
      <c r="CL967" s="22"/>
      <c r="CM967" s="22"/>
      <c r="CN967" s="1107"/>
      <c r="CR967" s="223"/>
      <c r="CS967" s="952"/>
      <c r="CT967" s="1066"/>
      <c r="CU967" s="972"/>
      <c r="CV967" s="983"/>
      <c r="CW967" s="222"/>
      <c r="CX967" s="697"/>
      <c r="DC967" s="222"/>
      <c r="DJ967" s="889"/>
      <c r="DM967" s="890"/>
      <c r="DN967" s="952"/>
      <c r="DO967" s="75"/>
      <c r="DP967" s="962"/>
      <c r="DQ967" s="983"/>
      <c r="DV967" s="889"/>
    </row>
    <row r="968" spans="1:126" s="74" customFormat="1">
      <c r="A968" s="15"/>
      <c r="B968" s="15"/>
      <c r="C968" s="15"/>
      <c r="D968" s="15"/>
      <c r="E968" s="6"/>
      <c r="F968" s="6"/>
      <c r="G968" s="6"/>
      <c r="K968" s="222"/>
      <c r="V968" s="1430"/>
      <c r="AA968" s="223"/>
      <c r="AC968" s="889"/>
      <c r="AF968" s="890"/>
      <c r="AJ968" s="889"/>
      <c r="AN968" s="222"/>
      <c r="BC968" s="223"/>
      <c r="BD968" s="222"/>
      <c r="BH968" s="611"/>
      <c r="BJ968" s="15"/>
      <c r="BK968" s="15"/>
      <c r="BO968" s="223"/>
      <c r="BQ968" s="889"/>
      <c r="BT968" s="890"/>
      <c r="BX968" s="889"/>
      <c r="CB968" s="15"/>
      <c r="CC968" s="697"/>
      <c r="CD968" s="1086"/>
      <c r="CE968" s="15"/>
      <c r="CF968" s="15"/>
      <c r="CG968" s="936"/>
      <c r="CH968" s="15"/>
      <c r="CI968" s="15"/>
      <c r="CJ968" s="15"/>
      <c r="CK968" s="1107"/>
      <c r="CL968" s="22"/>
      <c r="CM968" s="22"/>
      <c r="CN968" s="1107"/>
      <c r="CR968" s="223"/>
      <c r="CS968" s="952"/>
      <c r="CT968" s="1066"/>
      <c r="CU968" s="972"/>
      <c r="CV968" s="983"/>
      <c r="CW968" s="222"/>
      <c r="CX968" s="697"/>
      <c r="DC968" s="222"/>
      <c r="DJ968" s="889"/>
      <c r="DM968" s="890"/>
      <c r="DN968" s="952"/>
      <c r="DO968" s="75"/>
      <c r="DP968" s="962"/>
      <c r="DQ968" s="983"/>
      <c r="DV968" s="889"/>
    </row>
    <row r="969" spans="1:126" s="74" customFormat="1">
      <c r="A969" s="15"/>
      <c r="B969" s="15"/>
      <c r="C969" s="15"/>
      <c r="D969" s="15"/>
      <c r="E969" s="6"/>
      <c r="F969" s="6"/>
      <c r="G969" s="6"/>
      <c r="K969" s="222"/>
      <c r="V969" s="1430"/>
      <c r="AA969" s="223"/>
      <c r="AC969" s="889"/>
      <c r="AF969" s="890"/>
      <c r="AJ969" s="889"/>
      <c r="AN969" s="222"/>
      <c r="BC969" s="223"/>
      <c r="BD969" s="222"/>
      <c r="BH969" s="611"/>
      <c r="BJ969" s="15"/>
      <c r="BK969" s="15"/>
      <c r="BO969" s="223"/>
      <c r="BQ969" s="889"/>
      <c r="BT969" s="890"/>
      <c r="BX969" s="889"/>
      <c r="CB969" s="15"/>
      <c r="CC969" s="697"/>
      <c r="CD969" s="1086"/>
      <c r="CE969" s="15"/>
      <c r="CF969" s="15"/>
      <c r="CG969" s="936"/>
      <c r="CH969" s="15"/>
      <c r="CI969" s="15"/>
      <c r="CJ969" s="15"/>
      <c r="CK969" s="1107"/>
      <c r="CL969" s="22"/>
      <c r="CM969" s="22"/>
      <c r="CN969" s="1107"/>
      <c r="CR969" s="223"/>
      <c r="CS969" s="952"/>
      <c r="CT969" s="1066"/>
      <c r="CU969" s="972"/>
      <c r="CV969" s="983"/>
      <c r="CW969" s="222"/>
      <c r="CX969" s="697"/>
      <c r="DC969" s="222"/>
      <c r="DJ969" s="889"/>
      <c r="DM969" s="890"/>
      <c r="DN969" s="952"/>
      <c r="DO969" s="75"/>
      <c r="DP969" s="962"/>
      <c r="DQ969" s="983"/>
      <c r="DV969" s="889"/>
    </row>
    <row r="970" spans="1:126" s="74" customFormat="1">
      <c r="A970" s="15"/>
      <c r="B970" s="15"/>
      <c r="C970" s="15"/>
      <c r="D970" s="15"/>
      <c r="E970" s="6"/>
      <c r="F970" s="6"/>
      <c r="G970" s="6"/>
      <c r="K970" s="222"/>
      <c r="V970" s="1430"/>
      <c r="AA970" s="223"/>
      <c r="AC970" s="889"/>
      <c r="AF970" s="890"/>
      <c r="AJ970" s="889"/>
      <c r="AN970" s="222"/>
      <c r="BC970" s="223"/>
      <c r="BD970" s="222"/>
      <c r="BH970" s="611"/>
      <c r="BJ970" s="15"/>
      <c r="BK970" s="15"/>
      <c r="BO970" s="223"/>
      <c r="BQ970" s="889"/>
      <c r="BT970" s="890"/>
      <c r="BX970" s="889"/>
      <c r="CB970" s="15"/>
      <c r="CC970" s="697"/>
      <c r="CD970" s="1086"/>
      <c r="CE970" s="15"/>
      <c r="CF970" s="15"/>
      <c r="CG970" s="936"/>
      <c r="CH970" s="15"/>
      <c r="CI970" s="15"/>
      <c r="CJ970" s="15"/>
      <c r="CK970" s="1107"/>
      <c r="CL970" s="22"/>
      <c r="CM970" s="22"/>
      <c r="CN970" s="1107"/>
      <c r="CR970" s="223"/>
      <c r="CS970" s="952"/>
      <c r="CT970" s="1066"/>
      <c r="CU970" s="972"/>
      <c r="CV970" s="983"/>
      <c r="CW970" s="222"/>
      <c r="CX970" s="697"/>
      <c r="DC970" s="222"/>
      <c r="DJ970" s="889"/>
      <c r="DM970" s="890"/>
      <c r="DN970" s="952"/>
      <c r="DO970" s="75"/>
      <c r="DP970" s="962"/>
      <c r="DQ970" s="983"/>
      <c r="DV970" s="889"/>
    </row>
    <row r="971" spans="1:126" s="74" customFormat="1">
      <c r="A971" s="15"/>
      <c r="B971" s="15"/>
      <c r="C971" s="15"/>
      <c r="D971" s="15"/>
      <c r="E971" s="6"/>
      <c r="F971" s="6"/>
      <c r="G971" s="6"/>
      <c r="K971" s="222"/>
      <c r="V971" s="1430"/>
      <c r="AA971" s="223"/>
      <c r="AC971" s="889"/>
      <c r="AF971" s="890"/>
      <c r="AJ971" s="889"/>
      <c r="AN971" s="222"/>
      <c r="BC971" s="223"/>
      <c r="BD971" s="222"/>
      <c r="BH971" s="611"/>
      <c r="BJ971" s="15"/>
      <c r="BK971" s="15"/>
      <c r="BO971" s="223"/>
      <c r="BQ971" s="889"/>
      <c r="BT971" s="890"/>
      <c r="BX971" s="889"/>
      <c r="CB971" s="15"/>
      <c r="CC971" s="697"/>
      <c r="CD971" s="1086"/>
      <c r="CE971" s="15"/>
      <c r="CF971" s="15"/>
      <c r="CG971" s="936"/>
      <c r="CH971" s="15"/>
      <c r="CI971" s="15"/>
      <c r="CJ971" s="15"/>
      <c r="CK971" s="1107"/>
      <c r="CL971" s="22"/>
      <c r="CM971" s="22"/>
      <c r="CN971" s="1107"/>
      <c r="CR971" s="223"/>
      <c r="CS971" s="952"/>
      <c r="CT971" s="1066"/>
      <c r="CU971" s="972"/>
      <c r="CV971" s="983"/>
      <c r="CW971" s="222"/>
      <c r="CX971" s="697"/>
      <c r="DC971" s="222"/>
      <c r="DJ971" s="889"/>
      <c r="DM971" s="890"/>
      <c r="DN971" s="952"/>
      <c r="DO971" s="75"/>
      <c r="DP971" s="962"/>
      <c r="DQ971" s="983"/>
      <c r="DV971" s="889"/>
    </row>
    <row r="972" spans="1:126" s="74" customFormat="1">
      <c r="A972" s="15"/>
      <c r="B972" s="15"/>
      <c r="C972" s="15"/>
      <c r="D972" s="15"/>
      <c r="E972" s="6"/>
      <c r="F972" s="6"/>
      <c r="G972" s="6"/>
      <c r="K972" s="222"/>
      <c r="V972" s="1430"/>
      <c r="AA972" s="223"/>
      <c r="AC972" s="889"/>
      <c r="AF972" s="890"/>
      <c r="AJ972" s="889"/>
      <c r="AN972" s="222"/>
      <c r="BC972" s="223"/>
      <c r="BD972" s="222"/>
      <c r="BH972" s="611"/>
      <c r="BJ972" s="15"/>
      <c r="BK972" s="15"/>
      <c r="BO972" s="223"/>
      <c r="BQ972" s="889"/>
      <c r="BT972" s="890"/>
      <c r="BX972" s="889"/>
      <c r="CB972" s="15"/>
      <c r="CC972" s="697"/>
      <c r="CD972" s="1086"/>
      <c r="CE972" s="15"/>
      <c r="CF972" s="15"/>
      <c r="CG972" s="936"/>
      <c r="CH972" s="15"/>
      <c r="CI972" s="15"/>
      <c r="CJ972" s="15"/>
      <c r="CK972" s="1107"/>
      <c r="CL972" s="22"/>
      <c r="CM972" s="22"/>
      <c r="CN972" s="1107"/>
      <c r="CR972" s="223"/>
      <c r="CS972" s="952"/>
      <c r="CT972" s="1066"/>
      <c r="CU972" s="972"/>
      <c r="CV972" s="983"/>
      <c r="CW972" s="222"/>
      <c r="CX972" s="697"/>
      <c r="DC972" s="222"/>
      <c r="DJ972" s="889"/>
      <c r="DM972" s="890"/>
      <c r="DN972" s="952"/>
      <c r="DO972" s="75"/>
      <c r="DP972" s="962"/>
      <c r="DQ972" s="983"/>
      <c r="DV972" s="889"/>
    </row>
    <row r="973" spans="1:126" s="74" customFormat="1">
      <c r="A973" s="15"/>
      <c r="B973" s="15"/>
      <c r="C973" s="15"/>
      <c r="D973" s="15"/>
      <c r="E973" s="6"/>
      <c r="F973" s="6"/>
      <c r="G973" s="6"/>
      <c r="K973" s="222"/>
      <c r="V973" s="1430"/>
      <c r="AA973" s="223"/>
      <c r="AC973" s="889"/>
      <c r="AF973" s="890"/>
      <c r="AJ973" s="889"/>
      <c r="AN973" s="222"/>
      <c r="BC973" s="223"/>
      <c r="BD973" s="222"/>
      <c r="BH973" s="611"/>
      <c r="BJ973" s="15"/>
      <c r="BK973" s="15"/>
      <c r="BO973" s="223"/>
      <c r="BQ973" s="889"/>
      <c r="BT973" s="890"/>
      <c r="BX973" s="889"/>
      <c r="CB973" s="15"/>
      <c r="CC973" s="697"/>
      <c r="CD973" s="1086"/>
      <c r="CE973" s="15"/>
      <c r="CF973" s="15"/>
      <c r="CG973" s="936"/>
      <c r="CH973" s="15"/>
      <c r="CI973" s="15"/>
      <c r="CJ973" s="15"/>
      <c r="CK973" s="1107"/>
      <c r="CL973" s="22"/>
      <c r="CM973" s="22"/>
      <c r="CN973" s="1107"/>
      <c r="CR973" s="223"/>
      <c r="CS973" s="952"/>
      <c r="CT973" s="1066"/>
      <c r="CU973" s="972"/>
      <c r="CV973" s="983"/>
      <c r="CW973" s="222"/>
      <c r="CX973" s="697"/>
      <c r="DC973" s="222"/>
      <c r="DJ973" s="889"/>
      <c r="DM973" s="890"/>
      <c r="DN973" s="952"/>
      <c r="DO973" s="75"/>
      <c r="DP973" s="962"/>
      <c r="DQ973" s="983"/>
      <c r="DV973" s="889"/>
    </row>
    <row r="974" spans="1:126" s="74" customFormat="1">
      <c r="A974" s="15"/>
      <c r="B974" s="15"/>
      <c r="C974" s="15"/>
      <c r="D974" s="15"/>
      <c r="E974" s="6"/>
      <c r="F974" s="6"/>
      <c r="G974" s="6"/>
      <c r="K974" s="222"/>
      <c r="V974" s="1430"/>
      <c r="AA974" s="223"/>
      <c r="AC974" s="889"/>
      <c r="AF974" s="890"/>
      <c r="AJ974" s="889"/>
      <c r="AN974" s="222"/>
      <c r="BC974" s="223"/>
      <c r="BD974" s="222"/>
      <c r="BH974" s="611"/>
      <c r="BJ974" s="15"/>
      <c r="BK974" s="15"/>
      <c r="BO974" s="223"/>
      <c r="BQ974" s="889"/>
      <c r="BT974" s="890"/>
      <c r="BX974" s="889"/>
      <c r="CB974" s="15"/>
      <c r="CC974" s="697"/>
      <c r="CD974" s="1086"/>
      <c r="CE974" s="15"/>
      <c r="CF974" s="15"/>
      <c r="CG974" s="936"/>
      <c r="CH974" s="15"/>
      <c r="CI974" s="15"/>
      <c r="CJ974" s="15"/>
      <c r="CK974" s="1107"/>
      <c r="CL974" s="22"/>
      <c r="CM974" s="22"/>
      <c r="CN974" s="1107"/>
      <c r="CR974" s="223"/>
      <c r="CS974" s="952"/>
      <c r="CT974" s="1066"/>
      <c r="CU974" s="972"/>
      <c r="CV974" s="983"/>
      <c r="CW974" s="222"/>
      <c r="CX974" s="697"/>
      <c r="DC974" s="222"/>
      <c r="DJ974" s="889"/>
      <c r="DM974" s="890"/>
      <c r="DN974" s="952"/>
      <c r="DO974" s="75"/>
      <c r="DP974" s="962"/>
      <c r="DQ974" s="983"/>
      <c r="DV974" s="889"/>
    </row>
    <row r="975" spans="1:126" s="74" customFormat="1">
      <c r="A975" s="15"/>
      <c r="B975" s="15"/>
      <c r="C975" s="15"/>
      <c r="D975" s="15"/>
      <c r="E975" s="6"/>
      <c r="F975" s="6"/>
      <c r="G975" s="6"/>
      <c r="K975" s="222"/>
      <c r="V975" s="1430"/>
      <c r="AA975" s="223"/>
      <c r="AC975" s="889"/>
      <c r="AF975" s="890"/>
      <c r="AJ975" s="889"/>
      <c r="AN975" s="222"/>
      <c r="BC975" s="223"/>
      <c r="BD975" s="222"/>
      <c r="BH975" s="611"/>
      <c r="BJ975" s="15"/>
      <c r="BK975" s="15"/>
      <c r="BO975" s="223"/>
      <c r="BQ975" s="889"/>
      <c r="BT975" s="890"/>
      <c r="BX975" s="889"/>
      <c r="CB975" s="15"/>
      <c r="CC975" s="697"/>
      <c r="CD975" s="1086"/>
      <c r="CE975" s="15"/>
      <c r="CF975" s="15"/>
      <c r="CG975" s="936"/>
      <c r="CH975" s="15"/>
      <c r="CI975" s="15"/>
      <c r="CJ975" s="15"/>
      <c r="CK975" s="1107"/>
      <c r="CL975" s="22"/>
      <c r="CM975" s="22"/>
      <c r="CN975" s="1107"/>
      <c r="CR975" s="223"/>
      <c r="CS975" s="952"/>
      <c r="CT975" s="1066"/>
      <c r="CU975" s="972"/>
      <c r="CV975" s="983"/>
      <c r="CW975" s="222"/>
      <c r="CX975" s="697"/>
      <c r="DC975" s="222"/>
      <c r="DJ975" s="889"/>
      <c r="DM975" s="890"/>
      <c r="DN975" s="952"/>
      <c r="DO975" s="75"/>
      <c r="DP975" s="962"/>
      <c r="DQ975" s="983"/>
      <c r="DV975" s="889"/>
    </row>
    <row r="976" spans="1:126" s="74" customFormat="1">
      <c r="A976" s="15"/>
      <c r="B976" s="15"/>
      <c r="C976" s="15"/>
      <c r="D976" s="15"/>
      <c r="E976" s="6"/>
      <c r="F976" s="6"/>
      <c r="G976" s="6"/>
      <c r="K976" s="222"/>
      <c r="V976" s="1430"/>
      <c r="AA976" s="223"/>
      <c r="AC976" s="889"/>
      <c r="AF976" s="890"/>
      <c r="AJ976" s="889"/>
      <c r="AN976" s="222"/>
      <c r="BC976" s="223"/>
      <c r="BD976" s="222"/>
      <c r="BH976" s="611"/>
      <c r="BJ976" s="15"/>
      <c r="BK976" s="15"/>
      <c r="BO976" s="223"/>
      <c r="BQ976" s="889"/>
      <c r="BT976" s="890"/>
      <c r="BX976" s="889"/>
      <c r="CB976" s="15"/>
      <c r="CC976" s="697"/>
      <c r="CD976" s="1086"/>
      <c r="CE976" s="15"/>
      <c r="CF976" s="15"/>
      <c r="CG976" s="936"/>
      <c r="CH976" s="15"/>
      <c r="CI976" s="15"/>
      <c r="CJ976" s="15"/>
      <c r="CK976" s="1107"/>
      <c r="CL976" s="22"/>
      <c r="CM976" s="22"/>
      <c r="CN976" s="1107"/>
      <c r="CR976" s="223"/>
      <c r="CS976" s="952"/>
      <c r="CT976" s="1066"/>
      <c r="CU976" s="972"/>
      <c r="CV976" s="983"/>
      <c r="CW976" s="222"/>
      <c r="CX976" s="697"/>
      <c r="DC976" s="222"/>
      <c r="DJ976" s="889"/>
      <c r="DM976" s="890"/>
      <c r="DN976" s="952"/>
      <c r="DO976" s="75"/>
      <c r="DP976" s="962"/>
      <c r="DQ976" s="983"/>
      <c r="DV976" s="889"/>
    </row>
    <row r="977" spans="1:126" s="74" customFormat="1">
      <c r="A977" s="15"/>
      <c r="B977" s="15"/>
      <c r="C977" s="15"/>
      <c r="D977" s="15"/>
      <c r="E977" s="6"/>
      <c r="F977" s="6"/>
      <c r="G977" s="6"/>
      <c r="K977" s="222"/>
      <c r="V977" s="1430"/>
      <c r="AA977" s="223"/>
      <c r="AC977" s="889"/>
      <c r="AF977" s="890"/>
      <c r="AJ977" s="889"/>
      <c r="AN977" s="222"/>
      <c r="BC977" s="223"/>
      <c r="BD977" s="222"/>
      <c r="BH977" s="611"/>
      <c r="BJ977" s="15"/>
      <c r="BK977" s="15"/>
      <c r="BO977" s="223"/>
      <c r="BQ977" s="889"/>
      <c r="BT977" s="890"/>
      <c r="BX977" s="889"/>
      <c r="CB977" s="15"/>
      <c r="CC977" s="697"/>
      <c r="CD977" s="1086"/>
      <c r="CE977" s="15"/>
      <c r="CF977" s="15"/>
      <c r="CG977" s="936"/>
      <c r="CH977" s="15"/>
      <c r="CI977" s="15"/>
      <c r="CJ977" s="15"/>
      <c r="CK977" s="1107"/>
      <c r="CL977" s="22"/>
      <c r="CM977" s="22"/>
      <c r="CN977" s="1107"/>
      <c r="CR977" s="223"/>
      <c r="CS977" s="952"/>
      <c r="CT977" s="1066"/>
      <c r="CU977" s="972"/>
      <c r="CV977" s="983"/>
      <c r="CW977" s="222"/>
      <c r="CX977" s="697"/>
      <c r="DC977" s="222"/>
      <c r="DJ977" s="889"/>
      <c r="DM977" s="890"/>
      <c r="DN977" s="952"/>
      <c r="DO977" s="75"/>
      <c r="DP977" s="962"/>
      <c r="DQ977" s="983"/>
      <c r="DV977" s="889"/>
    </row>
    <row r="978" spans="1:126" s="74" customFormat="1">
      <c r="A978" s="15"/>
      <c r="B978" s="15"/>
      <c r="C978" s="15"/>
      <c r="D978" s="15"/>
      <c r="E978" s="6"/>
      <c r="F978" s="6"/>
      <c r="G978" s="6"/>
      <c r="K978" s="222"/>
      <c r="V978" s="1430"/>
      <c r="AA978" s="223"/>
      <c r="AC978" s="889"/>
      <c r="AF978" s="890"/>
      <c r="AJ978" s="889"/>
      <c r="AN978" s="222"/>
      <c r="BC978" s="223"/>
      <c r="BD978" s="222"/>
      <c r="BH978" s="611"/>
      <c r="BJ978" s="15"/>
      <c r="BK978" s="15"/>
      <c r="BO978" s="223"/>
      <c r="BQ978" s="889"/>
      <c r="BT978" s="890"/>
      <c r="BX978" s="889"/>
      <c r="CB978" s="15"/>
      <c r="CC978" s="697"/>
      <c r="CD978" s="1086"/>
      <c r="CE978" s="15"/>
      <c r="CF978" s="15"/>
      <c r="CG978" s="936"/>
      <c r="CH978" s="15"/>
      <c r="CI978" s="15"/>
      <c r="CJ978" s="15"/>
      <c r="CK978" s="1107"/>
      <c r="CL978" s="22"/>
      <c r="CM978" s="22"/>
      <c r="CN978" s="1107"/>
      <c r="CR978" s="223"/>
      <c r="CS978" s="952"/>
      <c r="CT978" s="1066"/>
      <c r="CU978" s="972"/>
      <c r="CV978" s="983"/>
      <c r="CW978" s="222"/>
      <c r="CX978" s="697"/>
      <c r="DC978" s="222"/>
      <c r="DJ978" s="889"/>
      <c r="DM978" s="890"/>
      <c r="DN978" s="952"/>
      <c r="DO978" s="75"/>
      <c r="DP978" s="962"/>
      <c r="DQ978" s="983"/>
      <c r="DV978" s="889"/>
    </row>
    <row r="979" spans="1:126" s="74" customFormat="1">
      <c r="A979" s="15"/>
      <c r="B979" s="15"/>
      <c r="C979" s="15"/>
      <c r="D979" s="15"/>
      <c r="E979" s="6"/>
      <c r="F979" s="6"/>
      <c r="G979" s="6"/>
      <c r="K979" s="222"/>
      <c r="V979" s="1430"/>
      <c r="AA979" s="223"/>
      <c r="AC979" s="889"/>
      <c r="AF979" s="890"/>
      <c r="AJ979" s="889"/>
      <c r="AN979" s="222"/>
      <c r="BC979" s="223"/>
      <c r="BD979" s="222"/>
      <c r="BH979" s="611"/>
      <c r="BJ979" s="15"/>
      <c r="BK979" s="15"/>
      <c r="BO979" s="223"/>
      <c r="BQ979" s="889"/>
      <c r="BT979" s="890"/>
      <c r="BX979" s="889"/>
      <c r="CB979" s="15"/>
      <c r="CC979" s="697"/>
      <c r="CD979" s="1086"/>
      <c r="CE979" s="15"/>
      <c r="CF979" s="15"/>
      <c r="CG979" s="936"/>
      <c r="CH979" s="15"/>
      <c r="CI979" s="15"/>
      <c r="CJ979" s="15"/>
      <c r="CK979" s="1107"/>
      <c r="CL979" s="22"/>
      <c r="CM979" s="22"/>
      <c r="CN979" s="1107"/>
      <c r="CR979" s="223"/>
      <c r="CS979" s="952"/>
      <c r="CT979" s="1066"/>
      <c r="CU979" s="972"/>
      <c r="CV979" s="983"/>
      <c r="CW979" s="222"/>
      <c r="CX979" s="697"/>
      <c r="DC979" s="222"/>
      <c r="DJ979" s="889"/>
      <c r="DM979" s="890"/>
      <c r="DN979" s="952"/>
      <c r="DO979" s="75"/>
      <c r="DP979" s="962"/>
      <c r="DQ979" s="983"/>
      <c r="DV979" s="889"/>
    </row>
    <row r="980" spans="1:126" s="74" customFormat="1">
      <c r="A980" s="15"/>
      <c r="B980" s="15"/>
      <c r="C980" s="15"/>
      <c r="D980" s="15"/>
      <c r="E980" s="6"/>
      <c r="F980" s="6"/>
      <c r="G980" s="6"/>
      <c r="K980" s="222"/>
      <c r="V980" s="1430"/>
      <c r="AA980" s="223"/>
      <c r="AC980" s="889"/>
      <c r="AF980" s="890"/>
      <c r="AJ980" s="889"/>
      <c r="AN980" s="222"/>
      <c r="BC980" s="223"/>
      <c r="BD980" s="222"/>
      <c r="BH980" s="611"/>
      <c r="BJ980" s="15"/>
      <c r="BK980" s="15"/>
      <c r="BO980" s="223"/>
      <c r="BQ980" s="889"/>
      <c r="BT980" s="890"/>
      <c r="BX980" s="889"/>
      <c r="CB980" s="15"/>
      <c r="CC980" s="697"/>
      <c r="CD980" s="1086"/>
      <c r="CE980" s="15"/>
      <c r="CF980" s="15"/>
      <c r="CG980" s="936"/>
      <c r="CH980" s="15"/>
      <c r="CI980" s="15"/>
      <c r="CJ980" s="15"/>
      <c r="CK980" s="1107"/>
      <c r="CL980" s="22"/>
      <c r="CM980" s="22"/>
      <c r="CN980" s="1107"/>
      <c r="CR980" s="223"/>
      <c r="CS980" s="952"/>
      <c r="CT980" s="1066"/>
      <c r="CU980" s="972"/>
      <c r="CV980" s="983"/>
      <c r="CW980" s="222"/>
      <c r="CX980" s="697"/>
      <c r="DC980" s="222"/>
      <c r="DJ980" s="889"/>
      <c r="DM980" s="890"/>
      <c r="DN980" s="952"/>
      <c r="DO980" s="75"/>
      <c r="DP980" s="962"/>
      <c r="DQ980" s="983"/>
      <c r="DV980" s="889"/>
    </row>
    <row r="981" spans="1:126" s="74" customFormat="1">
      <c r="A981" s="15"/>
      <c r="B981" s="15"/>
      <c r="C981" s="15"/>
      <c r="D981" s="15"/>
      <c r="E981" s="6"/>
      <c r="F981" s="6"/>
      <c r="G981" s="6"/>
      <c r="K981" s="222"/>
      <c r="V981" s="1430"/>
      <c r="AA981" s="223"/>
      <c r="AC981" s="889"/>
      <c r="AF981" s="890"/>
      <c r="AJ981" s="889"/>
      <c r="AN981" s="222"/>
      <c r="BC981" s="223"/>
      <c r="BD981" s="222"/>
      <c r="BH981" s="611"/>
      <c r="BJ981" s="15"/>
      <c r="BK981" s="15"/>
      <c r="BO981" s="223"/>
      <c r="BQ981" s="889"/>
      <c r="BT981" s="890"/>
      <c r="BX981" s="889"/>
      <c r="CB981" s="15"/>
      <c r="CC981" s="697"/>
      <c r="CD981" s="1086"/>
      <c r="CE981" s="15"/>
      <c r="CF981" s="15"/>
      <c r="CG981" s="936"/>
      <c r="CH981" s="15"/>
      <c r="CI981" s="15"/>
      <c r="CJ981" s="15"/>
      <c r="CK981" s="1107"/>
      <c r="CL981" s="22"/>
      <c r="CM981" s="22"/>
      <c r="CN981" s="1107"/>
      <c r="CR981" s="223"/>
      <c r="CS981" s="952"/>
      <c r="CT981" s="1066"/>
      <c r="CU981" s="972"/>
      <c r="CV981" s="983"/>
      <c r="CW981" s="222"/>
      <c r="CX981" s="697"/>
      <c r="DC981" s="222"/>
      <c r="DJ981" s="889"/>
      <c r="DM981" s="890"/>
      <c r="DN981" s="952"/>
      <c r="DO981" s="75"/>
      <c r="DP981" s="962"/>
      <c r="DQ981" s="983"/>
      <c r="DV981" s="889"/>
    </row>
    <row r="982" spans="1:126" s="74" customFormat="1">
      <c r="A982" s="15"/>
      <c r="B982" s="15"/>
      <c r="C982" s="15"/>
      <c r="D982" s="15"/>
      <c r="E982" s="6"/>
      <c r="F982" s="6"/>
      <c r="G982" s="6"/>
      <c r="K982" s="222"/>
      <c r="V982" s="1430"/>
      <c r="AA982" s="223"/>
      <c r="AC982" s="889"/>
      <c r="AF982" s="890"/>
      <c r="AJ982" s="889"/>
      <c r="AN982" s="222"/>
      <c r="BC982" s="223"/>
      <c r="BD982" s="222"/>
      <c r="BH982" s="611"/>
      <c r="BJ982" s="15"/>
      <c r="BK982" s="15"/>
      <c r="BO982" s="223"/>
      <c r="BQ982" s="889"/>
      <c r="BT982" s="890"/>
      <c r="BX982" s="889"/>
      <c r="CB982" s="15"/>
      <c r="CC982" s="697"/>
      <c r="CD982" s="1086"/>
      <c r="CE982" s="15"/>
      <c r="CF982" s="15"/>
      <c r="CG982" s="936"/>
      <c r="CH982" s="15"/>
      <c r="CI982" s="15"/>
      <c r="CJ982" s="15"/>
      <c r="CK982" s="1107"/>
      <c r="CL982" s="22"/>
      <c r="CM982" s="22"/>
      <c r="CN982" s="1107"/>
      <c r="CR982" s="223"/>
      <c r="CS982" s="952"/>
      <c r="CT982" s="1066"/>
      <c r="CU982" s="972"/>
      <c r="CV982" s="983"/>
      <c r="CW982" s="222"/>
      <c r="CX982" s="697"/>
      <c r="DC982" s="222"/>
      <c r="DJ982" s="889"/>
      <c r="DM982" s="890"/>
      <c r="DN982" s="952"/>
      <c r="DO982" s="75"/>
      <c r="DP982" s="962"/>
      <c r="DQ982" s="983"/>
      <c r="DV982" s="889"/>
    </row>
    <row r="983" spans="1:126" s="74" customFormat="1">
      <c r="A983" s="15"/>
      <c r="B983" s="15"/>
      <c r="C983" s="15"/>
      <c r="D983" s="15"/>
      <c r="E983" s="6"/>
      <c r="F983" s="6"/>
      <c r="G983" s="6"/>
      <c r="K983" s="222"/>
      <c r="V983" s="1430"/>
      <c r="AA983" s="223"/>
      <c r="AC983" s="889"/>
      <c r="AF983" s="890"/>
      <c r="AJ983" s="889"/>
      <c r="AN983" s="222"/>
      <c r="BC983" s="223"/>
      <c r="BD983" s="222"/>
      <c r="BH983" s="611"/>
      <c r="BJ983" s="15"/>
      <c r="BK983" s="15"/>
      <c r="BO983" s="223"/>
      <c r="BQ983" s="889"/>
      <c r="BT983" s="890"/>
      <c r="BX983" s="889"/>
      <c r="CB983" s="15"/>
      <c r="CC983" s="697"/>
      <c r="CD983" s="1086"/>
      <c r="CE983" s="15"/>
      <c r="CF983" s="15"/>
      <c r="CG983" s="936"/>
      <c r="CH983" s="15"/>
      <c r="CI983" s="15"/>
      <c r="CJ983" s="15"/>
      <c r="CK983" s="1107"/>
      <c r="CL983" s="22"/>
      <c r="CM983" s="22"/>
      <c r="CN983" s="1107"/>
      <c r="CR983" s="223"/>
      <c r="CS983" s="952"/>
      <c r="CT983" s="1066"/>
      <c r="CU983" s="972"/>
      <c r="CV983" s="983"/>
      <c r="CW983" s="222"/>
      <c r="CX983" s="697"/>
      <c r="DC983" s="222"/>
      <c r="DJ983" s="889"/>
      <c r="DM983" s="890"/>
      <c r="DN983" s="952"/>
      <c r="DO983" s="75"/>
      <c r="DP983" s="962"/>
      <c r="DQ983" s="983"/>
      <c r="DV983" s="889"/>
    </row>
    <row r="984" spans="1:126" s="74" customFormat="1">
      <c r="A984" s="15"/>
      <c r="B984" s="15"/>
      <c r="C984" s="15"/>
      <c r="D984" s="15"/>
      <c r="E984" s="6"/>
      <c r="F984" s="6"/>
      <c r="G984" s="6"/>
      <c r="K984" s="222"/>
      <c r="V984" s="1430"/>
      <c r="AA984" s="223"/>
      <c r="AC984" s="889"/>
      <c r="AF984" s="890"/>
      <c r="AJ984" s="889"/>
      <c r="AN984" s="222"/>
      <c r="BC984" s="223"/>
      <c r="BD984" s="222"/>
      <c r="BH984" s="611"/>
      <c r="BJ984" s="15"/>
      <c r="BK984" s="15"/>
      <c r="BO984" s="223"/>
      <c r="BQ984" s="889"/>
      <c r="BT984" s="890"/>
      <c r="BX984" s="889"/>
      <c r="CB984" s="15"/>
      <c r="CC984" s="697"/>
      <c r="CD984" s="1086"/>
      <c r="CE984" s="15"/>
      <c r="CF984" s="15"/>
      <c r="CG984" s="936"/>
      <c r="CH984" s="15"/>
      <c r="CI984" s="15"/>
      <c r="CJ984" s="15"/>
      <c r="CK984" s="1107"/>
      <c r="CL984" s="22"/>
      <c r="CM984" s="22"/>
      <c r="CN984" s="1107"/>
      <c r="CR984" s="223"/>
      <c r="CS984" s="952"/>
      <c r="CT984" s="1066"/>
      <c r="CU984" s="972"/>
      <c r="CV984" s="983"/>
      <c r="CW984" s="222"/>
      <c r="CX984" s="697"/>
      <c r="DC984" s="222"/>
      <c r="DJ984" s="889"/>
      <c r="DM984" s="890"/>
      <c r="DN984" s="952"/>
      <c r="DO984" s="75"/>
      <c r="DP984" s="962"/>
      <c r="DQ984" s="983"/>
      <c r="DV984" s="889"/>
    </row>
    <row r="985" spans="1:126" s="74" customFormat="1">
      <c r="A985" s="15"/>
      <c r="B985" s="15"/>
      <c r="C985" s="15"/>
      <c r="D985" s="15"/>
      <c r="E985" s="6"/>
      <c r="F985" s="6"/>
      <c r="G985" s="6"/>
      <c r="K985" s="222"/>
      <c r="V985" s="1430"/>
      <c r="AA985" s="223"/>
      <c r="AC985" s="889"/>
      <c r="AF985" s="890"/>
      <c r="AJ985" s="889"/>
      <c r="AN985" s="222"/>
      <c r="BC985" s="223"/>
      <c r="BD985" s="222"/>
      <c r="BH985" s="611"/>
      <c r="BJ985" s="15"/>
      <c r="BK985" s="15"/>
      <c r="BO985" s="223"/>
      <c r="BQ985" s="889"/>
      <c r="BT985" s="890"/>
      <c r="BX985" s="889"/>
      <c r="CB985" s="15"/>
      <c r="CC985" s="697"/>
      <c r="CD985" s="1086"/>
      <c r="CE985" s="15"/>
      <c r="CF985" s="15"/>
      <c r="CG985" s="936"/>
      <c r="CH985" s="15"/>
      <c r="CI985" s="15"/>
      <c r="CJ985" s="15"/>
      <c r="CK985" s="1107"/>
      <c r="CL985" s="22"/>
      <c r="CM985" s="22"/>
      <c r="CN985" s="1107"/>
      <c r="CR985" s="223"/>
      <c r="CS985" s="952"/>
      <c r="CT985" s="1066"/>
      <c r="CU985" s="972"/>
      <c r="CV985" s="983"/>
      <c r="CW985" s="222"/>
      <c r="CX985" s="697"/>
      <c r="DC985" s="222"/>
      <c r="DJ985" s="889"/>
      <c r="DM985" s="890"/>
      <c r="DN985" s="952"/>
      <c r="DO985" s="75"/>
      <c r="DP985" s="962"/>
      <c r="DQ985" s="983"/>
      <c r="DV985" s="889"/>
    </row>
    <row r="986" spans="1:126" s="74" customFormat="1">
      <c r="A986" s="15"/>
      <c r="B986" s="15"/>
      <c r="C986" s="15"/>
      <c r="D986" s="15"/>
      <c r="E986" s="6"/>
      <c r="F986" s="6"/>
      <c r="G986" s="6"/>
      <c r="K986" s="222"/>
      <c r="V986" s="1430"/>
      <c r="AA986" s="223"/>
      <c r="AC986" s="889"/>
      <c r="AF986" s="890"/>
      <c r="AJ986" s="889"/>
      <c r="AN986" s="222"/>
      <c r="BC986" s="223"/>
      <c r="BD986" s="222"/>
      <c r="BH986" s="611"/>
      <c r="BJ986" s="15"/>
      <c r="BK986" s="15"/>
      <c r="BO986" s="223"/>
      <c r="BQ986" s="889"/>
      <c r="BT986" s="890"/>
      <c r="BX986" s="889"/>
      <c r="CB986" s="15"/>
      <c r="CC986" s="697"/>
      <c r="CD986" s="1086"/>
      <c r="CE986" s="15"/>
      <c r="CF986" s="15"/>
      <c r="CG986" s="936"/>
      <c r="CH986" s="15"/>
      <c r="CI986" s="15"/>
      <c r="CJ986" s="15"/>
      <c r="CK986" s="1107"/>
      <c r="CL986" s="22"/>
      <c r="CM986" s="22"/>
      <c r="CN986" s="1107"/>
      <c r="CR986" s="223"/>
      <c r="CS986" s="952"/>
      <c r="CT986" s="1066"/>
      <c r="CU986" s="972"/>
      <c r="CV986" s="983"/>
      <c r="CW986" s="222"/>
      <c r="CX986" s="697"/>
      <c r="DC986" s="222"/>
      <c r="DJ986" s="889"/>
      <c r="DM986" s="890"/>
      <c r="DN986" s="952"/>
      <c r="DO986" s="75"/>
      <c r="DP986" s="962"/>
      <c r="DQ986" s="983"/>
      <c r="DV986" s="889"/>
    </row>
    <row r="987" spans="1:126" s="74" customFormat="1">
      <c r="A987" s="15"/>
      <c r="B987" s="15"/>
      <c r="C987" s="15"/>
      <c r="D987" s="15"/>
      <c r="E987" s="6"/>
      <c r="F987" s="6"/>
      <c r="G987" s="6"/>
      <c r="K987" s="222"/>
      <c r="V987" s="1430"/>
      <c r="AA987" s="223"/>
      <c r="AC987" s="889"/>
      <c r="AF987" s="890"/>
      <c r="AJ987" s="889"/>
      <c r="AN987" s="222"/>
      <c r="BC987" s="223"/>
      <c r="BD987" s="222"/>
      <c r="BH987" s="611"/>
      <c r="BJ987" s="15"/>
      <c r="BK987" s="15"/>
      <c r="BO987" s="223"/>
      <c r="BQ987" s="889"/>
      <c r="BT987" s="890"/>
      <c r="BX987" s="889"/>
      <c r="CB987" s="15"/>
      <c r="CC987" s="697"/>
      <c r="CD987" s="1086"/>
      <c r="CE987" s="15"/>
      <c r="CF987" s="15"/>
      <c r="CG987" s="936"/>
      <c r="CH987" s="15"/>
      <c r="CI987" s="15"/>
      <c r="CJ987" s="15"/>
      <c r="CK987" s="1107"/>
      <c r="CL987" s="22"/>
      <c r="CM987" s="22"/>
      <c r="CN987" s="1107"/>
      <c r="CR987" s="223"/>
      <c r="CS987" s="952"/>
      <c r="CT987" s="1066"/>
      <c r="CU987" s="972"/>
      <c r="CV987" s="983"/>
      <c r="CW987" s="222"/>
      <c r="CX987" s="697"/>
      <c r="DC987" s="222"/>
      <c r="DJ987" s="889"/>
      <c r="DM987" s="890"/>
      <c r="DN987" s="952"/>
      <c r="DO987" s="75"/>
      <c r="DP987" s="962"/>
      <c r="DQ987" s="983"/>
      <c r="DV987" s="889"/>
    </row>
    <row r="988" spans="1:126" s="74" customFormat="1">
      <c r="A988" s="15"/>
      <c r="B988" s="15"/>
      <c r="C988" s="15"/>
      <c r="D988" s="15"/>
      <c r="E988" s="6"/>
      <c r="F988" s="6"/>
      <c r="G988" s="6"/>
      <c r="K988" s="222"/>
      <c r="V988" s="1430"/>
      <c r="AA988" s="223"/>
      <c r="AC988" s="889"/>
      <c r="AF988" s="890"/>
      <c r="AJ988" s="889"/>
      <c r="AN988" s="222"/>
      <c r="BC988" s="223"/>
      <c r="BD988" s="222"/>
      <c r="BH988" s="611"/>
      <c r="BJ988" s="15"/>
      <c r="BK988" s="15"/>
      <c r="BO988" s="223"/>
      <c r="BQ988" s="889"/>
      <c r="BT988" s="890"/>
      <c r="BX988" s="889"/>
      <c r="CB988" s="15"/>
      <c r="CC988" s="697"/>
      <c r="CD988" s="1086"/>
      <c r="CE988" s="15"/>
      <c r="CF988" s="15"/>
      <c r="CG988" s="936"/>
      <c r="CH988" s="15"/>
      <c r="CI988" s="15"/>
      <c r="CJ988" s="15"/>
      <c r="CK988" s="1107"/>
      <c r="CL988" s="22"/>
      <c r="CM988" s="22"/>
      <c r="CN988" s="1107"/>
      <c r="CR988" s="223"/>
      <c r="CS988" s="952"/>
      <c r="CT988" s="1066"/>
      <c r="CU988" s="972"/>
      <c r="CV988" s="983"/>
      <c r="CW988" s="222"/>
      <c r="CX988" s="697"/>
      <c r="DC988" s="222"/>
      <c r="DJ988" s="889"/>
      <c r="DM988" s="890"/>
      <c r="DN988" s="952"/>
      <c r="DO988" s="75"/>
      <c r="DP988" s="962"/>
      <c r="DQ988" s="983"/>
      <c r="DV988" s="889"/>
    </row>
    <row r="989" spans="1:126" s="74" customFormat="1">
      <c r="A989" s="15"/>
      <c r="B989" s="15"/>
      <c r="C989" s="15"/>
      <c r="D989" s="15"/>
      <c r="E989" s="6"/>
      <c r="F989" s="6"/>
      <c r="G989" s="6"/>
      <c r="K989" s="222"/>
      <c r="V989" s="1430"/>
      <c r="AA989" s="223"/>
      <c r="AC989" s="889"/>
      <c r="AF989" s="890"/>
      <c r="AJ989" s="889"/>
      <c r="AN989" s="222"/>
      <c r="BC989" s="223"/>
      <c r="BD989" s="222"/>
      <c r="BH989" s="611"/>
      <c r="BJ989" s="15"/>
      <c r="BK989" s="15"/>
      <c r="BO989" s="223"/>
      <c r="BQ989" s="889"/>
      <c r="BT989" s="890"/>
      <c r="BX989" s="889"/>
      <c r="CB989" s="15"/>
      <c r="CC989" s="697"/>
      <c r="CD989" s="1086"/>
      <c r="CE989" s="15"/>
      <c r="CF989" s="15"/>
      <c r="CG989" s="936"/>
      <c r="CH989" s="15"/>
      <c r="CI989" s="15"/>
      <c r="CJ989" s="15"/>
      <c r="CK989" s="1107"/>
      <c r="CL989" s="22"/>
      <c r="CM989" s="22"/>
      <c r="CN989" s="1107"/>
      <c r="CR989" s="223"/>
      <c r="CS989" s="952"/>
      <c r="CT989" s="1066"/>
      <c r="CU989" s="972"/>
      <c r="CV989" s="983"/>
      <c r="CW989" s="222"/>
      <c r="CX989" s="697"/>
      <c r="DC989" s="222"/>
      <c r="DJ989" s="889"/>
      <c r="DM989" s="890"/>
      <c r="DN989" s="952"/>
      <c r="DO989" s="75"/>
      <c r="DP989" s="962"/>
      <c r="DQ989" s="983"/>
      <c r="DV989" s="889"/>
    </row>
    <row r="990" spans="1:126" s="74" customFormat="1">
      <c r="A990" s="15"/>
      <c r="B990" s="15"/>
      <c r="C990" s="15"/>
      <c r="D990" s="15"/>
      <c r="E990" s="6"/>
      <c r="F990" s="6"/>
      <c r="G990" s="6"/>
      <c r="K990" s="222"/>
      <c r="V990" s="1430"/>
      <c r="AA990" s="223"/>
      <c r="AC990" s="889"/>
      <c r="AF990" s="890"/>
      <c r="AJ990" s="889"/>
      <c r="AN990" s="222"/>
      <c r="BC990" s="223"/>
      <c r="BD990" s="222"/>
      <c r="BH990" s="611"/>
      <c r="BJ990" s="15"/>
      <c r="BK990" s="15"/>
      <c r="BO990" s="223"/>
      <c r="BQ990" s="889"/>
      <c r="BT990" s="890"/>
      <c r="BX990" s="889"/>
      <c r="CB990" s="15"/>
      <c r="CC990" s="697"/>
      <c r="CD990" s="1086"/>
      <c r="CE990" s="15"/>
      <c r="CF990" s="15"/>
      <c r="CG990" s="936"/>
      <c r="CH990" s="15"/>
      <c r="CI990" s="15"/>
      <c r="CJ990" s="15"/>
      <c r="CK990" s="1107"/>
      <c r="CL990" s="22"/>
      <c r="CM990" s="22"/>
      <c r="CN990" s="1107"/>
      <c r="CR990" s="223"/>
      <c r="CS990" s="952"/>
      <c r="CT990" s="1066"/>
      <c r="CU990" s="972"/>
      <c r="CV990" s="983"/>
      <c r="CW990" s="222"/>
      <c r="CX990" s="697"/>
      <c r="DC990" s="222"/>
      <c r="DJ990" s="889"/>
      <c r="DM990" s="890"/>
      <c r="DN990" s="952"/>
      <c r="DO990" s="75"/>
      <c r="DP990" s="962"/>
      <c r="DQ990" s="983"/>
      <c r="DV990" s="889"/>
    </row>
    <row r="991" spans="1:126" s="74" customFormat="1">
      <c r="A991" s="15"/>
      <c r="B991" s="15"/>
      <c r="C991" s="15"/>
      <c r="D991" s="15"/>
      <c r="E991" s="6"/>
      <c r="F991" s="6"/>
      <c r="G991" s="6"/>
      <c r="K991" s="222"/>
      <c r="V991" s="1430"/>
      <c r="AA991" s="223"/>
      <c r="AC991" s="889"/>
      <c r="AF991" s="890"/>
      <c r="AJ991" s="889"/>
      <c r="AN991" s="222"/>
      <c r="BC991" s="223"/>
      <c r="BD991" s="222"/>
      <c r="BH991" s="611"/>
      <c r="BJ991" s="15"/>
      <c r="BK991" s="15"/>
      <c r="BO991" s="223"/>
      <c r="BQ991" s="889"/>
      <c r="BT991" s="890"/>
      <c r="BX991" s="889"/>
      <c r="CB991" s="15"/>
      <c r="CC991" s="697"/>
      <c r="CD991" s="1086"/>
      <c r="CE991" s="15"/>
      <c r="CF991" s="15"/>
      <c r="CG991" s="936"/>
      <c r="CH991" s="15"/>
      <c r="CI991" s="15"/>
      <c r="CJ991" s="15"/>
      <c r="CK991" s="1107"/>
      <c r="CL991" s="22"/>
      <c r="CM991" s="22"/>
      <c r="CN991" s="1107"/>
      <c r="CR991" s="223"/>
      <c r="CS991" s="952"/>
      <c r="CT991" s="1066"/>
      <c r="CU991" s="972"/>
      <c r="CV991" s="983"/>
      <c r="CW991" s="222"/>
      <c r="CX991" s="697"/>
      <c r="DC991" s="222"/>
      <c r="DJ991" s="889"/>
      <c r="DM991" s="890"/>
      <c r="DN991" s="952"/>
      <c r="DO991" s="75"/>
      <c r="DP991" s="962"/>
      <c r="DQ991" s="983"/>
      <c r="DV991" s="889"/>
    </row>
    <row r="992" spans="1:126" s="74" customFormat="1">
      <c r="A992" s="15"/>
      <c r="B992" s="15"/>
      <c r="C992" s="15"/>
      <c r="D992" s="15"/>
      <c r="E992" s="6"/>
      <c r="F992" s="6"/>
      <c r="G992" s="6"/>
      <c r="K992" s="222"/>
      <c r="V992" s="1430"/>
      <c r="AA992" s="223"/>
      <c r="AC992" s="889"/>
      <c r="AF992" s="890"/>
      <c r="AJ992" s="889"/>
      <c r="AN992" s="222"/>
      <c r="BC992" s="223"/>
      <c r="BD992" s="222"/>
      <c r="BH992" s="611"/>
      <c r="BJ992" s="15"/>
      <c r="BK992" s="15"/>
      <c r="BO992" s="223"/>
      <c r="BQ992" s="889"/>
      <c r="BT992" s="890"/>
      <c r="BX992" s="889"/>
      <c r="CB992" s="15"/>
      <c r="CC992" s="697"/>
      <c r="CD992" s="1086"/>
      <c r="CE992" s="15"/>
      <c r="CF992" s="15"/>
      <c r="CG992" s="936"/>
      <c r="CH992" s="15"/>
      <c r="CI992" s="15"/>
      <c r="CJ992" s="15"/>
      <c r="CK992" s="1107"/>
      <c r="CL992" s="22"/>
      <c r="CM992" s="22"/>
      <c r="CN992" s="1107"/>
      <c r="CR992" s="223"/>
      <c r="CS992" s="952"/>
      <c r="CT992" s="1066"/>
      <c r="CU992" s="972"/>
      <c r="CV992" s="983"/>
      <c r="CW992" s="222"/>
      <c r="CX992" s="697"/>
      <c r="DC992" s="222"/>
      <c r="DJ992" s="889"/>
      <c r="DM992" s="890"/>
      <c r="DN992" s="952"/>
      <c r="DO992" s="75"/>
      <c r="DP992" s="962"/>
      <c r="DQ992" s="983"/>
      <c r="DV992" s="889"/>
    </row>
    <row r="993" spans="1:126" s="74" customFormat="1">
      <c r="A993" s="15"/>
      <c r="B993" s="15"/>
      <c r="C993" s="15"/>
      <c r="D993" s="15"/>
      <c r="E993" s="6"/>
      <c r="F993" s="6"/>
      <c r="G993" s="6"/>
      <c r="K993" s="222"/>
      <c r="V993" s="1430"/>
      <c r="AA993" s="223"/>
      <c r="AC993" s="889"/>
      <c r="AF993" s="890"/>
      <c r="AJ993" s="889"/>
      <c r="AN993" s="222"/>
      <c r="BC993" s="223"/>
      <c r="BD993" s="222"/>
      <c r="BH993" s="611"/>
      <c r="BJ993" s="15"/>
      <c r="BK993" s="15"/>
      <c r="BO993" s="223"/>
      <c r="BQ993" s="889"/>
      <c r="BT993" s="890"/>
      <c r="BX993" s="889"/>
      <c r="CB993" s="15"/>
      <c r="CC993" s="697"/>
      <c r="CD993" s="1086"/>
      <c r="CE993" s="15"/>
      <c r="CF993" s="15"/>
      <c r="CG993" s="936"/>
      <c r="CH993" s="15"/>
      <c r="CI993" s="15"/>
      <c r="CJ993" s="15"/>
      <c r="CK993" s="1107"/>
      <c r="CL993" s="22"/>
      <c r="CM993" s="22"/>
      <c r="CN993" s="1107"/>
      <c r="CR993" s="223"/>
      <c r="CS993" s="952"/>
      <c r="CT993" s="1066"/>
      <c r="CU993" s="972"/>
      <c r="CV993" s="983"/>
      <c r="CW993" s="222"/>
      <c r="CX993" s="697"/>
      <c r="DC993" s="222"/>
      <c r="DJ993" s="889"/>
      <c r="DM993" s="890"/>
      <c r="DN993" s="952"/>
      <c r="DO993" s="75"/>
      <c r="DP993" s="962"/>
      <c r="DQ993" s="983"/>
      <c r="DV993" s="889"/>
    </row>
    <row r="994" spans="1:126" s="74" customFormat="1">
      <c r="A994" s="15"/>
      <c r="B994" s="15"/>
      <c r="C994" s="15"/>
      <c r="D994" s="15"/>
      <c r="E994" s="6"/>
      <c r="F994" s="6"/>
      <c r="G994" s="6"/>
      <c r="K994" s="222"/>
      <c r="V994" s="1430"/>
      <c r="AA994" s="223"/>
      <c r="AC994" s="889"/>
      <c r="AF994" s="890"/>
      <c r="AJ994" s="889"/>
      <c r="AN994" s="222"/>
      <c r="BC994" s="223"/>
      <c r="BD994" s="222"/>
      <c r="BH994" s="611"/>
      <c r="BJ994" s="15"/>
      <c r="BK994" s="15"/>
      <c r="BO994" s="223"/>
      <c r="BQ994" s="889"/>
      <c r="BT994" s="890"/>
      <c r="BX994" s="889"/>
      <c r="CB994" s="15"/>
      <c r="CC994" s="697"/>
      <c r="CD994" s="1086"/>
      <c r="CE994" s="15"/>
      <c r="CF994" s="15"/>
      <c r="CG994" s="936"/>
      <c r="CH994" s="15"/>
      <c r="CI994" s="15"/>
      <c r="CJ994" s="15"/>
      <c r="CK994" s="1107"/>
      <c r="CL994" s="22"/>
      <c r="CM994" s="22"/>
      <c r="CN994" s="1107"/>
      <c r="CR994" s="223"/>
      <c r="CS994" s="952"/>
      <c r="CT994" s="1066"/>
      <c r="CU994" s="972"/>
      <c r="CV994" s="983"/>
      <c r="CW994" s="222"/>
      <c r="CX994" s="697"/>
      <c r="DC994" s="222"/>
      <c r="DJ994" s="889"/>
      <c r="DM994" s="890"/>
      <c r="DN994" s="952"/>
      <c r="DO994" s="75"/>
      <c r="DP994" s="962"/>
      <c r="DQ994" s="983"/>
      <c r="DV994" s="889"/>
    </row>
    <row r="995" spans="1:126" s="74" customFormat="1">
      <c r="A995" s="15"/>
      <c r="B995" s="15"/>
      <c r="C995" s="15"/>
      <c r="D995" s="15"/>
      <c r="E995" s="6"/>
      <c r="F995" s="6"/>
      <c r="G995" s="6"/>
      <c r="K995" s="222"/>
      <c r="V995" s="1430"/>
      <c r="AA995" s="223"/>
      <c r="AC995" s="889"/>
      <c r="AF995" s="890"/>
      <c r="AJ995" s="889"/>
      <c r="AN995" s="222"/>
      <c r="BC995" s="223"/>
      <c r="BD995" s="222"/>
      <c r="BH995" s="611"/>
      <c r="BJ995" s="15"/>
      <c r="BK995" s="15"/>
      <c r="BO995" s="223"/>
      <c r="BQ995" s="889"/>
      <c r="BT995" s="890"/>
      <c r="BX995" s="889"/>
      <c r="CB995" s="15"/>
      <c r="CC995" s="697"/>
      <c r="CD995" s="1086"/>
      <c r="CE995" s="15"/>
      <c r="CF995" s="15"/>
      <c r="CG995" s="936"/>
      <c r="CH995" s="15"/>
      <c r="CI995" s="15"/>
      <c r="CJ995" s="15"/>
      <c r="CK995" s="1107"/>
      <c r="CL995" s="22"/>
      <c r="CM995" s="22"/>
      <c r="CN995" s="1107"/>
      <c r="CR995" s="223"/>
      <c r="CS995" s="952"/>
      <c r="CT995" s="1066"/>
      <c r="CU995" s="972"/>
      <c r="CV995" s="983"/>
      <c r="CW995" s="222"/>
      <c r="CX995" s="697"/>
      <c r="DC995" s="222"/>
      <c r="DJ995" s="889"/>
      <c r="DM995" s="890"/>
      <c r="DN995" s="952"/>
      <c r="DO995" s="75"/>
      <c r="DP995" s="962"/>
      <c r="DQ995" s="983"/>
      <c r="DV995" s="889"/>
    </row>
    <row r="996" spans="1:126" s="74" customFormat="1">
      <c r="A996" s="15"/>
      <c r="B996" s="15"/>
      <c r="C996" s="15"/>
      <c r="D996" s="15"/>
      <c r="E996" s="6"/>
      <c r="F996" s="6"/>
      <c r="G996" s="6"/>
      <c r="K996" s="222"/>
      <c r="V996" s="1430"/>
      <c r="AA996" s="223"/>
      <c r="AC996" s="889"/>
      <c r="AF996" s="890"/>
      <c r="AJ996" s="889"/>
      <c r="AN996" s="222"/>
      <c r="BC996" s="223"/>
      <c r="BD996" s="222"/>
      <c r="BH996" s="611"/>
      <c r="BJ996" s="15"/>
      <c r="BK996" s="15"/>
      <c r="BO996" s="223"/>
      <c r="BQ996" s="889"/>
      <c r="BT996" s="890"/>
      <c r="BX996" s="889"/>
      <c r="CB996" s="15"/>
      <c r="CC996" s="697"/>
      <c r="CD996" s="1086"/>
      <c r="CE996" s="15"/>
      <c r="CF996" s="15"/>
      <c r="CG996" s="936"/>
      <c r="CH996" s="15"/>
      <c r="CI996" s="15"/>
      <c r="CJ996" s="15"/>
      <c r="CK996" s="1107"/>
      <c r="CL996" s="22"/>
      <c r="CM996" s="22"/>
      <c r="CN996" s="1107"/>
      <c r="CR996" s="223"/>
      <c r="CS996" s="952"/>
      <c r="CT996" s="1066"/>
      <c r="CU996" s="972"/>
      <c r="CV996" s="983"/>
      <c r="CW996" s="222"/>
      <c r="CX996" s="697"/>
      <c r="DC996" s="222"/>
      <c r="DJ996" s="889"/>
      <c r="DM996" s="890"/>
      <c r="DN996" s="952"/>
      <c r="DO996" s="75"/>
      <c r="DP996" s="962"/>
      <c r="DQ996" s="983"/>
      <c r="DV996" s="889"/>
    </row>
    <row r="997" spans="1:126" s="74" customFormat="1">
      <c r="A997" s="15"/>
      <c r="B997" s="15"/>
      <c r="C997" s="15"/>
      <c r="D997" s="15"/>
      <c r="E997" s="6"/>
      <c r="F997" s="6"/>
      <c r="G997" s="6"/>
      <c r="K997" s="222"/>
      <c r="V997" s="1430"/>
      <c r="AA997" s="223"/>
      <c r="AC997" s="889"/>
      <c r="AF997" s="890"/>
      <c r="AJ997" s="889"/>
      <c r="AN997" s="222"/>
      <c r="BC997" s="223"/>
      <c r="BD997" s="222"/>
      <c r="BH997" s="611"/>
      <c r="BJ997" s="15"/>
      <c r="BK997" s="15"/>
      <c r="BO997" s="223"/>
      <c r="BQ997" s="889"/>
      <c r="BT997" s="890"/>
      <c r="BX997" s="889"/>
      <c r="CB997" s="15"/>
      <c r="CC997" s="697"/>
      <c r="CD997" s="1086"/>
      <c r="CE997" s="15"/>
      <c r="CF997" s="15"/>
      <c r="CG997" s="936"/>
      <c r="CH997" s="15"/>
      <c r="CI997" s="15"/>
      <c r="CJ997" s="15"/>
      <c r="CK997" s="1107"/>
      <c r="CL997" s="22"/>
      <c r="CM997" s="22"/>
      <c r="CN997" s="1107"/>
      <c r="CR997" s="223"/>
      <c r="CS997" s="952"/>
      <c r="CT997" s="1066"/>
      <c r="CU997" s="972"/>
      <c r="CV997" s="983"/>
      <c r="CW997" s="222"/>
      <c r="CX997" s="697"/>
      <c r="DC997" s="222"/>
      <c r="DJ997" s="889"/>
      <c r="DM997" s="890"/>
      <c r="DN997" s="952"/>
      <c r="DO997" s="75"/>
      <c r="DP997" s="962"/>
      <c r="DQ997" s="983"/>
      <c r="DV997" s="889"/>
    </row>
    <row r="998" spans="1:126" s="74" customFormat="1">
      <c r="A998" s="15"/>
      <c r="B998" s="15"/>
      <c r="C998" s="15"/>
      <c r="D998" s="15"/>
      <c r="E998" s="6"/>
      <c r="F998" s="6"/>
      <c r="G998" s="6"/>
      <c r="K998" s="222"/>
      <c r="V998" s="1430"/>
      <c r="AA998" s="223"/>
      <c r="AC998" s="889"/>
      <c r="AF998" s="890"/>
      <c r="AJ998" s="889"/>
      <c r="AN998" s="222"/>
      <c r="BC998" s="223"/>
      <c r="BD998" s="222"/>
      <c r="BH998" s="611"/>
      <c r="BJ998" s="15"/>
      <c r="BK998" s="15"/>
      <c r="BO998" s="223"/>
      <c r="BQ998" s="889"/>
      <c r="BT998" s="890"/>
      <c r="BX998" s="889"/>
      <c r="CB998" s="15"/>
      <c r="CC998" s="697"/>
      <c r="CD998" s="1086"/>
      <c r="CE998" s="15"/>
      <c r="CF998" s="15"/>
      <c r="CG998" s="936"/>
      <c r="CH998" s="15"/>
      <c r="CI998" s="15"/>
      <c r="CJ998" s="15"/>
      <c r="CK998" s="1107"/>
      <c r="CL998" s="22"/>
      <c r="CM998" s="22"/>
      <c r="CN998" s="1107"/>
      <c r="CR998" s="223"/>
      <c r="CS998" s="952"/>
      <c r="CT998" s="1066"/>
      <c r="CU998" s="972"/>
      <c r="CV998" s="983"/>
      <c r="CW998" s="222"/>
      <c r="CX998" s="697"/>
      <c r="DC998" s="222"/>
      <c r="DJ998" s="889"/>
      <c r="DM998" s="890"/>
      <c r="DN998" s="952"/>
      <c r="DO998" s="75"/>
      <c r="DP998" s="962"/>
      <c r="DQ998" s="983"/>
      <c r="DV998" s="889"/>
    </row>
    <row r="999" spans="1:126" s="74" customFormat="1">
      <c r="A999" s="15"/>
      <c r="B999" s="15"/>
      <c r="C999" s="15"/>
      <c r="D999" s="15"/>
      <c r="E999" s="6"/>
      <c r="F999" s="6"/>
      <c r="G999" s="6"/>
      <c r="K999" s="222"/>
      <c r="V999" s="1430"/>
      <c r="AA999" s="223"/>
      <c r="AC999" s="889"/>
      <c r="AF999" s="890"/>
      <c r="AJ999" s="889"/>
      <c r="AN999" s="222"/>
      <c r="BC999" s="223"/>
      <c r="BD999" s="222"/>
      <c r="BH999" s="611"/>
      <c r="BJ999" s="15"/>
      <c r="BK999" s="15"/>
      <c r="BO999" s="223"/>
      <c r="BQ999" s="889"/>
      <c r="BT999" s="890"/>
      <c r="BX999" s="889"/>
      <c r="CB999" s="15"/>
      <c r="CC999" s="697"/>
      <c r="CD999" s="1086"/>
      <c r="CE999" s="15"/>
      <c r="CF999" s="15"/>
      <c r="CG999" s="936"/>
      <c r="CH999" s="15"/>
      <c r="CI999" s="15"/>
      <c r="CJ999" s="15"/>
      <c r="CK999" s="1107"/>
      <c r="CL999" s="22"/>
      <c r="CM999" s="22"/>
      <c r="CN999" s="1107"/>
      <c r="CR999" s="223"/>
      <c r="CS999" s="952"/>
      <c r="CT999" s="1066"/>
      <c r="CU999" s="972"/>
      <c r="CV999" s="983"/>
      <c r="CW999" s="222"/>
      <c r="CX999" s="697"/>
      <c r="DC999" s="222"/>
      <c r="DJ999" s="889"/>
      <c r="DM999" s="890"/>
      <c r="DN999" s="952"/>
      <c r="DO999" s="75"/>
      <c r="DP999" s="962"/>
      <c r="DQ999" s="983"/>
      <c r="DV999" s="889"/>
    </row>
    <row r="1000" spans="1:126" s="74" customFormat="1">
      <c r="A1000" s="15"/>
      <c r="B1000" s="15"/>
      <c r="C1000" s="15"/>
      <c r="D1000" s="15"/>
      <c r="E1000" s="6"/>
      <c r="F1000" s="6"/>
      <c r="G1000" s="6"/>
      <c r="K1000" s="222"/>
      <c r="V1000" s="1430"/>
      <c r="AA1000" s="223"/>
      <c r="AC1000" s="889"/>
      <c r="AF1000" s="890"/>
      <c r="AJ1000" s="889"/>
      <c r="AN1000" s="222"/>
      <c r="BC1000" s="223"/>
      <c r="BD1000" s="222"/>
      <c r="BH1000" s="611"/>
      <c r="BJ1000" s="15"/>
      <c r="BK1000" s="15"/>
      <c r="BO1000" s="223"/>
      <c r="BQ1000" s="889"/>
      <c r="BT1000" s="890"/>
      <c r="BX1000" s="889"/>
      <c r="CB1000" s="15"/>
      <c r="CC1000" s="697"/>
      <c r="CD1000" s="1086"/>
      <c r="CE1000" s="15"/>
      <c r="CF1000" s="15"/>
      <c r="CG1000" s="936"/>
      <c r="CH1000" s="15"/>
      <c r="CI1000" s="15"/>
      <c r="CJ1000" s="15"/>
      <c r="CK1000" s="1107"/>
      <c r="CL1000" s="22"/>
      <c r="CM1000" s="22"/>
      <c r="CN1000" s="1107"/>
      <c r="CR1000" s="223"/>
      <c r="CS1000" s="952"/>
      <c r="CT1000" s="1066"/>
      <c r="CU1000" s="972"/>
      <c r="CV1000" s="983"/>
      <c r="CW1000" s="222"/>
      <c r="CX1000" s="697"/>
      <c r="DC1000" s="222"/>
      <c r="DJ1000" s="889"/>
      <c r="DM1000" s="890"/>
      <c r="DN1000" s="952"/>
      <c r="DO1000" s="75"/>
      <c r="DP1000" s="962"/>
      <c r="DQ1000" s="983"/>
      <c r="DV1000" s="889"/>
    </row>
    <row r="1001" spans="1:126" s="74" customFormat="1">
      <c r="A1001" s="15"/>
      <c r="B1001" s="15"/>
      <c r="C1001" s="15"/>
      <c r="D1001" s="15"/>
      <c r="E1001" s="6"/>
      <c r="F1001" s="6"/>
      <c r="G1001" s="6"/>
      <c r="K1001" s="222"/>
      <c r="V1001" s="1430"/>
      <c r="AA1001" s="223"/>
      <c r="AC1001" s="889"/>
      <c r="AF1001" s="890"/>
      <c r="AJ1001" s="889"/>
      <c r="AN1001" s="222"/>
      <c r="BC1001" s="223"/>
      <c r="BD1001" s="222"/>
      <c r="BH1001" s="611"/>
      <c r="BJ1001" s="15"/>
      <c r="BK1001" s="15"/>
      <c r="BO1001" s="223"/>
      <c r="BQ1001" s="889"/>
      <c r="BT1001" s="890"/>
      <c r="BX1001" s="889"/>
      <c r="CB1001" s="15"/>
      <c r="CC1001" s="697"/>
      <c r="CD1001" s="1086"/>
      <c r="CE1001" s="15"/>
      <c r="CF1001" s="15"/>
      <c r="CG1001" s="936"/>
      <c r="CH1001" s="15"/>
      <c r="CI1001" s="15"/>
      <c r="CJ1001" s="15"/>
      <c r="CK1001" s="1107"/>
      <c r="CL1001" s="22"/>
      <c r="CM1001" s="22"/>
      <c r="CN1001" s="1107"/>
      <c r="CR1001" s="223"/>
      <c r="CS1001" s="952"/>
      <c r="CT1001" s="1066"/>
      <c r="CU1001" s="972"/>
      <c r="CV1001" s="983"/>
      <c r="CW1001" s="222"/>
      <c r="CX1001" s="697"/>
      <c r="DC1001" s="222"/>
      <c r="DJ1001" s="889"/>
      <c r="DM1001" s="890"/>
      <c r="DN1001" s="952"/>
      <c r="DO1001" s="75"/>
      <c r="DP1001" s="962"/>
      <c r="DQ1001" s="983"/>
      <c r="DV1001" s="889"/>
    </row>
    <row r="1002" spans="1:126" s="74" customFormat="1">
      <c r="A1002" s="15"/>
      <c r="B1002" s="15"/>
      <c r="C1002" s="15"/>
      <c r="D1002" s="15"/>
      <c r="E1002" s="6"/>
      <c r="F1002" s="6"/>
      <c r="G1002" s="6"/>
      <c r="K1002" s="222"/>
      <c r="V1002" s="1430"/>
      <c r="AA1002" s="223"/>
      <c r="AC1002" s="889"/>
      <c r="AF1002" s="890"/>
      <c r="AJ1002" s="889"/>
      <c r="AN1002" s="222"/>
      <c r="BC1002" s="223"/>
      <c r="BD1002" s="222"/>
      <c r="BH1002" s="611"/>
      <c r="BJ1002" s="15"/>
      <c r="BK1002" s="15"/>
      <c r="BO1002" s="223"/>
      <c r="BQ1002" s="889"/>
      <c r="BT1002" s="890"/>
      <c r="BX1002" s="889"/>
      <c r="CB1002" s="15"/>
      <c r="CC1002" s="697"/>
      <c r="CD1002" s="1086"/>
      <c r="CE1002" s="15"/>
      <c r="CF1002" s="15"/>
      <c r="CG1002" s="936"/>
      <c r="CH1002" s="15"/>
      <c r="CI1002" s="15"/>
      <c r="CJ1002" s="15"/>
      <c r="CK1002" s="1107"/>
      <c r="CL1002" s="22"/>
      <c r="CM1002" s="22"/>
      <c r="CN1002" s="1107"/>
      <c r="CR1002" s="223"/>
      <c r="CS1002" s="952"/>
      <c r="CT1002" s="1066"/>
      <c r="CU1002" s="972"/>
      <c r="CV1002" s="983"/>
      <c r="CW1002" s="222"/>
      <c r="CX1002" s="697"/>
      <c r="DC1002" s="222"/>
      <c r="DJ1002" s="889"/>
      <c r="DM1002" s="890"/>
      <c r="DN1002" s="952"/>
      <c r="DO1002" s="75"/>
      <c r="DP1002" s="962"/>
      <c r="DQ1002" s="983"/>
      <c r="DV1002" s="889"/>
    </row>
    <row r="1003" spans="1:126" s="74" customFormat="1">
      <c r="A1003" s="15"/>
      <c r="B1003" s="15"/>
      <c r="C1003" s="15"/>
      <c r="D1003" s="15"/>
      <c r="E1003" s="6"/>
      <c r="F1003" s="6"/>
      <c r="G1003" s="6"/>
      <c r="K1003" s="222"/>
      <c r="V1003" s="1430"/>
      <c r="AA1003" s="223"/>
      <c r="AC1003" s="889"/>
      <c r="AF1003" s="890"/>
      <c r="AJ1003" s="889"/>
      <c r="AN1003" s="222"/>
      <c r="BC1003" s="223"/>
      <c r="BD1003" s="222"/>
      <c r="BH1003" s="611"/>
      <c r="BJ1003" s="15"/>
      <c r="BK1003" s="15"/>
      <c r="BO1003" s="223"/>
      <c r="BQ1003" s="889"/>
      <c r="BT1003" s="890"/>
      <c r="BX1003" s="889"/>
      <c r="CB1003" s="15"/>
      <c r="CC1003" s="697"/>
      <c r="CD1003" s="1086"/>
      <c r="CE1003" s="15"/>
      <c r="CF1003" s="15"/>
      <c r="CG1003" s="936"/>
      <c r="CH1003" s="15"/>
      <c r="CI1003" s="15"/>
      <c r="CJ1003" s="15"/>
      <c r="CK1003" s="1107"/>
      <c r="CL1003" s="22"/>
      <c r="CM1003" s="22"/>
      <c r="CN1003" s="1107"/>
      <c r="CR1003" s="223"/>
      <c r="CS1003" s="952"/>
      <c r="CT1003" s="1066"/>
      <c r="CU1003" s="972"/>
      <c r="CV1003" s="983"/>
      <c r="CW1003" s="222"/>
      <c r="CX1003" s="697"/>
      <c r="DC1003" s="222"/>
      <c r="DJ1003" s="889"/>
      <c r="DM1003" s="890"/>
      <c r="DN1003" s="952"/>
      <c r="DO1003" s="75"/>
      <c r="DP1003" s="962"/>
      <c r="DQ1003" s="983"/>
      <c r="DV1003" s="889"/>
    </row>
    <row r="1004" spans="1:126" s="74" customFormat="1">
      <c r="A1004" s="15"/>
      <c r="B1004" s="15"/>
      <c r="C1004" s="15"/>
      <c r="D1004" s="15"/>
      <c r="E1004" s="6"/>
      <c r="F1004" s="6"/>
      <c r="G1004" s="6"/>
      <c r="K1004" s="222"/>
      <c r="V1004" s="1430"/>
      <c r="AA1004" s="223"/>
      <c r="AC1004" s="889"/>
      <c r="AF1004" s="890"/>
      <c r="AJ1004" s="889"/>
      <c r="AN1004" s="222"/>
      <c r="BC1004" s="223"/>
      <c r="BD1004" s="222"/>
      <c r="BH1004" s="611"/>
      <c r="BJ1004" s="15"/>
      <c r="BK1004" s="15"/>
      <c r="BO1004" s="223"/>
      <c r="BQ1004" s="889"/>
      <c r="BT1004" s="890"/>
      <c r="BX1004" s="889"/>
      <c r="CB1004" s="15"/>
      <c r="CC1004" s="697"/>
      <c r="CD1004" s="1086"/>
      <c r="CE1004" s="15"/>
      <c r="CF1004" s="15"/>
      <c r="CG1004" s="936"/>
      <c r="CH1004" s="15"/>
      <c r="CI1004" s="15"/>
      <c r="CJ1004" s="15"/>
      <c r="CK1004" s="1107"/>
      <c r="CL1004" s="22"/>
      <c r="CM1004" s="22"/>
      <c r="CN1004" s="1107"/>
      <c r="CR1004" s="223"/>
      <c r="CS1004" s="952"/>
      <c r="CT1004" s="1066"/>
      <c r="CU1004" s="972"/>
      <c r="CV1004" s="983"/>
      <c r="CW1004" s="222"/>
      <c r="CX1004" s="697"/>
      <c r="DC1004" s="222"/>
      <c r="DJ1004" s="889"/>
      <c r="DM1004" s="890"/>
      <c r="DN1004" s="952"/>
      <c r="DO1004" s="75"/>
      <c r="DP1004" s="962"/>
      <c r="DQ1004" s="983"/>
      <c r="DV1004" s="889"/>
    </row>
    <row r="1005" spans="1:126" s="74" customFormat="1">
      <c r="A1005" s="15"/>
      <c r="B1005" s="15"/>
      <c r="C1005" s="15"/>
      <c r="D1005" s="15"/>
      <c r="E1005" s="6"/>
      <c r="F1005" s="6"/>
      <c r="G1005" s="6"/>
      <c r="K1005" s="222"/>
      <c r="V1005" s="1430"/>
      <c r="AA1005" s="223"/>
      <c r="AC1005" s="889"/>
      <c r="AF1005" s="890"/>
      <c r="AJ1005" s="889"/>
      <c r="AN1005" s="222"/>
      <c r="BC1005" s="223"/>
      <c r="BD1005" s="222"/>
      <c r="BH1005" s="611"/>
      <c r="BJ1005" s="15"/>
      <c r="BK1005" s="15"/>
      <c r="BO1005" s="223"/>
      <c r="BQ1005" s="889"/>
      <c r="BT1005" s="890"/>
      <c r="BX1005" s="889"/>
      <c r="CB1005" s="15"/>
      <c r="CC1005" s="697"/>
      <c r="CD1005" s="1086"/>
      <c r="CE1005" s="15"/>
      <c r="CF1005" s="15"/>
      <c r="CG1005" s="936"/>
      <c r="CH1005" s="15"/>
      <c r="CI1005" s="15"/>
      <c r="CJ1005" s="15"/>
      <c r="CK1005" s="1107"/>
      <c r="CL1005" s="22"/>
      <c r="CM1005" s="22"/>
      <c r="CN1005" s="1107"/>
      <c r="CR1005" s="223"/>
      <c r="CS1005" s="952"/>
      <c r="CT1005" s="1066"/>
      <c r="CU1005" s="972"/>
      <c r="CV1005" s="983"/>
      <c r="CW1005" s="222"/>
      <c r="CX1005" s="697"/>
      <c r="DC1005" s="222"/>
      <c r="DJ1005" s="889"/>
      <c r="DM1005" s="890"/>
      <c r="DN1005" s="952"/>
      <c r="DO1005" s="75"/>
      <c r="DP1005" s="962"/>
      <c r="DQ1005" s="983"/>
      <c r="DV1005" s="889"/>
    </row>
    <row r="1006" spans="1:126" s="74" customFormat="1">
      <c r="A1006" s="15"/>
      <c r="B1006" s="15"/>
      <c r="C1006" s="15"/>
      <c r="D1006" s="15"/>
      <c r="E1006" s="6"/>
      <c r="F1006" s="6"/>
      <c r="G1006" s="6"/>
      <c r="K1006" s="222"/>
      <c r="V1006" s="1430"/>
      <c r="AA1006" s="223"/>
      <c r="AC1006" s="889"/>
      <c r="AF1006" s="890"/>
      <c r="AJ1006" s="889"/>
      <c r="AN1006" s="222"/>
      <c r="BC1006" s="223"/>
      <c r="BD1006" s="222"/>
      <c r="BH1006" s="611"/>
      <c r="BJ1006" s="15"/>
      <c r="BK1006" s="15"/>
      <c r="BO1006" s="223"/>
      <c r="BQ1006" s="889"/>
      <c r="BT1006" s="890"/>
      <c r="BX1006" s="889"/>
      <c r="CB1006" s="15"/>
      <c r="CC1006" s="697"/>
      <c r="CD1006" s="1086"/>
      <c r="CE1006" s="15"/>
      <c r="CF1006" s="15"/>
      <c r="CG1006" s="936"/>
      <c r="CH1006" s="15"/>
      <c r="CI1006" s="15"/>
      <c r="CJ1006" s="15"/>
      <c r="CK1006" s="1107"/>
      <c r="CL1006" s="22"/>
      <c r="CM1006" s="22"/>
      <c r="CN1006" s="1107"/>
      <c r="CR1006" s="223"/>
      <c r="CS1006" s="952"/>
      <c r="CT1006" s="1066"/>
      <c r="CU1006" s="972"/>
      <c r="CV1006" s="983"/>
      <c r="CW1006" s="222"/>
      <c r="CX1006" s="697"/>
      <c r="DC1006" s="222"/>
      <c r="DJ1006" s="889"/>
      <c r="DM1006" s="890"/>
      <c r="DN1006" s="952"/>
      <c r="DO1006" s="75"/>
      <c r="DP1006" s="962"/>
      <c r="DQ1006" s="983"/>
      <c r="DV1006" s="889"/>
    </row>
    <row r="1007" spans="1:126" s="74" customFormat="1">
      <c r="A1007" s="15"/>
      <c r="B1007" s="15"/>
      <c r="C1007" s="15"/>
      <c r="D1007" s="15"/>
      <c r="E1007" s="6"/>
      <c r="F1007" s="6"/>
      <c r="G1007" s="6"/>
      <c r="K1007" s="222"/>
      <c r="V1007" s="1430"/>
      <c r="AA1007" s="223"/>
      <c r="AC1007" s="889"/>
      <c r="AF1007" s="890"/>
      <c r="AJ1007" s="889"/>
      <c r="AN1007" s="222"/>
      <c r="BC1007" s="223"/>
      <c r="BD1007" s="222"/>
      <c r="BH1007" s="611"/>
      <c r="BJ1007" s="15"/>
      <c r="BK1007" s="15"/>
      <c r="BO1007" s="223"/>
      <c r="BQ1007" s="889"/>
      <c r="BT1007" s="890"/>
      <c r="BX1007" s="889"/>
      <c r="CB1007" s="15"/>
      <c r="CC1007" s="697"/>
      <c r="CD1007" s="1086"/>
      <c r="CE1007" s="15"/>
      <c r="CF1007" s="15"/>
      <c r="CG1007" s="936"/>
      <c r="CH1007" s="15"/>
      <c r="CI1007" s="15"/>
      <c r="CJ1007" s="15"/>
      <c r="CK1007" s="1107"/>
      <c r="CL1007" s="22"/>
      <c r="CM1007" s="22"/>
      <c r="CN1007" s="1107"/>
      <c r="CR1007" s="223"/>
      <c r="CS1007" s="952"/>
      <c r="CT1007" s="1066"/>
      <c r="CU1007" s="972"/>
      <c r="CV1007" s="983"/>
      <c r="CW1007" s="222"/>
      <c r="CX1007" s="697"/>
      <c r="DC1007" s="222"/>
      <c r="DJ1007" s="889"/>
      <c r="DM1007" s="890"/>
      <c r="DN1007" s="952"/>
      <c r="DO1007" s="75"/>
      <c r="DP1007" s="962"/>
      <c r="DQ1007" s="983"/>
      <c r="DV1007" s="889"/>
    </row>
    <row r="1008" spans="1:126" s="74" customFormat="1">
      <c r="A1008" s="15"/>
      <c r="B1008" s="15"/>
      <c r="C1008" s="15"/>
      <c r="D1008" s="15"/>
      <c r="E1008" s="6"/>
      <c r="F1008" s="6"/>
      <c r="G1008" s="6"/>
      <c r="K1008" s="222"/>
      <c r="V1008" s="1430"/>
      <c r="AA1008" s="223"/>
      <c r="AC1008" s="889"/>
      <c r="AF1008" s="890"/>
      <c r="AJ1008" s="889"/>
      <c r="AN1008" s="222"/>
      <c r="BC1008" s="223"/>
      <c r="BD1008" s="222"/>
      <c r="BH1008" s="611"/>
      <c r="BJ1008" s="15"/>
      <c r="BK1008" s="15"/>
      <c r="BO1008" s="223"/>
      <c r="BQ1008" s="889"/>
      <c r="BT1008" s="890"/>
      <c r="BX1008" s="889"/>
      <c r="CB1008" s="15"/>
      <c r="CC1008" s="697"/>
      <c r="CD1008" s="1086"/>
      <c r="CE1008" s="15"/>
      <c r="CF1008" s="15"/>
      <c r="CG1008" s="936"/>
      <c r="CH1008" s="15"/>
      <c r="CI1008" s="15"/>
      <c r="CJ1008" s="15"/>
      <c r="CK1008" s="1107"/>
      <c r="CL1008" s="22"/>
      <c r="CM1008" s="22"/>
      <c r="CN1008" s="1107"/>
      <c r="CR1008" s="223"/>
      <c r="CS1008" s="952"/>
      <c r="CT1008" s="1066"/>
      <c r="CU1008" s="972"/>
      <c r="CV1008" s="983"/>
      <c r="CW1008" s="222"/>
      <c r="CX1008" s="697"/>
      <c r="DC1008" s="222"/>
      <c r="DJ1008" s="889"/>
      <c r="DM1008" s="890"/>
      <c r="DN1008" s="952"/>
      <c r="DO1008" s="75"/>
      <c r="DP1008" s="962"/>
      <c r="DQ1008" s="983"/>
      <c r="DV1008" s="889"/>
    </row>
    <row r="1009" spans="1:126" s="74" customFormat="1">
      <c r="A1009" s="15"/>
      <c r="B1009" s="15"/>
      <c r="C1009" s="15"/>
      <c r="D1009" s="15"/>
      <c r="E1009" s="6"/>
      <c r="F1009" s="6"/>
      <c r="G1009" s="6"/>
      <c r="K1009" s="222"/>
      <c r="V1009" s="1430"/>
      <c r="AA1009" s="223"/>
      <c r="AC1009" s="889"/>
      <c r="AF1009" s="890"/>
      <c r="AJ1009" s="889"/>
      <c r="AN1009" s="222"/>
      <c r="BC1009" s="223"/>
      <c r="BD1009" s="222"/>
      <c r="BH1009" s="611"/>
      <c r="BJ1009" s="15"/>
      <c r="BK1009" s="15"/>
      <c r="BO1009" s="223"/>
      <c r="BQ1009" s="889"/>
      <c r="BT1009" s="890"/>
      <c r="BX1009" s="889"/>
      <c r="CB1009" s="15"/>
      <c r="CC1009" s="697"/>
      <c r="CD1009" s="1086"/>
      <c r="CE1009" s="15"/>
      <c r="CF1009" s="15"/>
      <c r="CG1009" s="936"/>
      <c r="CH1009" s="15"/>
      <c r="CI1009" s="15"/>
      <c r="CJ1009" s="15"/>
      <c r="CK1009" s="1107"/>
      <c r="CL1009" s="22"/>
      <c r="CM1009" s="22"/>
      <c r="CN1009" s="1107"/>
      <c r="CR1009" s="223"/>
      <c r="CS1009" s="952"/>
      <c r="CT1009" s="1066"/>
      <c r="CU1009" s="972"/>
      <c r="CV1009" s="983"/>
      <c r="CW1009" s="222"/>
      <c r="CX1009" s="697"/>
      <c r="DC1009" s="222"/>
      <c r="DJ1009" s="889"/>
      <c r="DM1009" s="890"/>
      <c r="DN1009" s="952"/>
      <c r="DO1009" s="75"/>
      <c r="DP1009" s="962"/>
      <c r="DQ1009" s="983"/>
      <c r="DV1009" s="889"/>
    </row>
    <row r="1010" spans="1:126" s="74" customFormat="1">
      <c r="A1010" s="15"/>
      <c r="B1010" s="15"/>
      <c r="C1010" s="15"/>
      <c r="D1010" s="15"/>
      <c r="E1010" s="6"/>
      <c r="F1010" s="6"/>
      <c r="G1010" s="6"/>
      <c r="K1010" s="222"/>
      <c r="V1010" s="1430"/>
      <c r="AA1010" s="223"/>
      <c r="AC1010" s="889"/>
      <c r="AF1010" s="890"/>
      <c r="AJ1010" s="889"/>
      <c r="AN1010" s="222"/>
      <c r="BC1010" s="223"/>
      <c r="BD1010" s="222"/>
      <c r="BH1010" s="611"/>
      <c r="BJ1010" s="15"/>
      <c r="BK1010" s="15"/>
      <c r="BO1010" s="223"/>
      <c r="BQ1010" s="889"/>
      <c r="BT1010" s="890"/>
      <c r="BX1010" s="889"/>
      <c r="CB1010" s="15"/>
      <c r="CC1010" s="697"/>
      <c r="CD1010" s="1086"/>
      <c r="CE1010" s="15"/>
      <c r="CF1010" s="15"/>
      <c r="CG1010" s="936"/>
      <c r="CH1010" s="15"/>
      <c r="CI1010" s="15"/>
      <c r="CJ1010" s="15"/>
      <c r="CK1010" s="1107"/>
      <c r="CL1010" s="22"/>
      <c r="CM1010" s="22"/>
      <c r="CN1010" s="1107"/>
      <c r="CR1010" s="223"/>
      <c r="CS1010" s="952"/>
      <c r="CT1010" s="1066"/>
      <c r="CU1010" s="972"/>
      <c r="CV1010" s="983"/>
      <c r="CW1010" s="222"/>
      <c r="CX1010" s="697"/>
      <c r="DC1010" s="222"/>
      <c r="DJ1010" s="889"/>
      <c r="DM1010" s="890"/>
      <c r="DN1010" s="952"/>
      <c r="DO1010" s="75"/>
      <c r="DP1010" s="962"/>
      <c r="DQ1010" s="983"/>
      <c r="DV1010" s="889"/>
    </row>
    <row r="1011" spans="1:126" s="74" customFormat="1">
      <c r="A1011" s="15"/>
      <c r="B1011" s="15"/>
      <c r="C1011" s="15"/>
      <c r="D1011" s="15"/>
      <c r="E1011" s="6"/>
      <c r="F1011" s="6"/>
      <c r="G1011" s="6"/>
      <c r="K1011" s="222"/>
      <c r="V1011" s="1430"/>
      <c r="AA1011" s="223"/>
      <c r="AC1011" s="889"/>
      <c r="AF1011" s="890"/>
      <c r="AJ1011" s="889"/>
      <c r="AN1011" s="222"/>
      <c r="BC1011" s="223"/>
      <c r="BD1011" s="222"/>
      <c r="BH1011" s="611"/>
      <c r="BJ1011" s="15"/>
      <c r="BK1011" s="15"/>
      <c r="BO1011" s="223"/>
      <c r="BQ1011" s="889"/>
      <c r="BT1011" s="890"/>
      <c r="BX1011" s="889"/>
      <c r="CB1011" s="15"/>
      <c r="CC1011" s="697"/>
      <c r="CD1011" s="1086"/>
      <c r="CE1011" s="15"/>
      <c r="CF1011" s="15"/>
      <c r="CG1011" s="936"/>
      <c r="CH1011" s="15"/>
      <c r="CI1011" s="15"/>
      <c r="CJ1011" s="15"/>
      <c r="CK1011" s="1107"/>
      <c r="CL1011" s="22"/>
      <c r="CM1011" s="22"/>
      <c r="CN1011" s="1107"/>
      <c r="CR1011" s="223"/>
      <c r="CS1011" s="952"/>
      <c r="CT1011" s="1066"/>
      <c r="CU1011" s="972"/>
      <c r="CV1011" s="983"/>
      <c r="CW1011" s="222"/>
      <c r="CX1011" s="697"/>
      <c r="DC1011" s="222"/>
      <c r="DJ1011" s="889"/>
      <c r="DM1011" s="890"/>
      <c r="DN1011" s="952"/>
      <c r="DO1011" s="75"/>
      <c r="DP1011" s="962"/>
      <c r="DQ1011" s="983"/>
      <c r="DV1011" s="889"/>
    </row>
    <row r="1012" spans="1:126" s="74" customFormat="1">
      <c r="A1012" s="15"/>
      <c r="B1012" s="15"/>
      <c r="C1012" s="15"/>
      <c r="D1012" s="15"/>
      <c r="E1012" s="6"/>
      <c r="F1012" s="6"/>
      <c r="G1012" s="6"/>
      <c r="K1012" s="222"/>
      <c r="V1012" s="1430"/>
      <c r="AA1012" s="223"/>
      <c r="AC1012" s="889"/>
      <c r="AF1012" s="890"/>
      <c r="AJ1012" s="889"/>
      <c r="AN1012" s="222"/>
      <c r="BC1012" s="223"/>
      <c r="BD1012" s="222"/>
      <c r="BH1012" s="611"/>
      <c r="BJ1012" s="15"/>
      <c r="BK1012" s="15"/>
      <c r="BO1012" s="223"/>
      <c r="BQ1012" s="889"/>
      <c r="BT1012" s="890"/>
      <c r="BX1012" s="889"/>
      <c r="CB1012" s="15"/>
      <c r="CC1012" s="697"/>
      <c r="CD1012" s="1086"/>
      <c r="CE1012" s="15"/>
      <c r="CF1012" s="15"/>
      <c r="CG1012" s="936"/>
      <c r="CH1012" s="15"/>
      <c r="CI1012" s="15"/>
      <c r="CJ1012" s="15"/>
      <c r="CK1012" s="1107"/>
      <c r="CL1012" s="22"/>
      <c r="CM1012" s="22"/>
      <c r="CN1012" s="1107"/>
      <c r="CR1012" s="223"/>
      <c r="CS1012" s="952"/>
      <c r="CT1012" s="1066"/>
      <c r="CU1012" s="972"/>
      <c r="CV1012" s="983"/>
      <c r="CW1012" s="222"/>
      <c r="CX1012" s="697"/>
      <c r="DC1012" s="222"/>
      <c r="DJ1012" s="889"/>
      <c r="DM1012" s="890"/>
      <c r="DN1012" s="952"/>
      <c r="DO1012" s="75"/>
      <c r="DP1012" s="962"/>
      <c r="DQ1012" s="983"/>
      <c r="DV1012" s="889"/>
    </row>
    <row r="1013" spans="1:126" s="74" customFormat="1">
      <c r="A1013" s="15"/>
      <c r="B1013" s="15"/>
      <c r="C1013" s="15"/>
      <c r="D1013" s="15"/>
      <c r="E1013" s="6"/>
      <c r="F1013" s="6"/>
      <c r="G1013" s="6"/>
      <c r="K1013" s="222"/>
      <c r="V1013" s="1430"/>
      <c r="AA1013" s="223"/>
      <c r="AC1013" s="889"/>
      <c r="AF1013" s="890"/>
      <c r="AJ1013" s="889"/>
      <c r="AN1013" s="222"/>
      <c r="BC1013" s="223"/>
      <c r="BD1013" s="222"/>
      <c r="BH1013" s="611"/>
      <c r="BJ1013" s="15"/>
      <c r="BK1013" s="15"/>
      <c r="BO1013" s="223"/>
      <c r="BQ1013" s="889"/>
      <c r="BT1013" s="890"/>
      <c r="BX1013" s="889"/>
      <c r="CB1013" s="15"/>
      <c r="CC1013" s="697"/>
      <c r="CD1013" s="1086"/>
      <c r="CE1013" s="15"/>
      <c r="CF1013" s="15"/>
      <c r="CG1013" s="936"/>
      <c r="CH1013" s="15"/>
      <c r="CI1013" s="15"/>
      <c r="CJ1013" s="15"/>
      <c r="CK1013" s="1107"/>
      <c r="CL1013" s="22"/>
      <c r="CM1013" s="22"/>
      <c r="CN1013" s="1107"/>
      <c r="CR1013" s="223"/>
      <c r="CS1013" s="952"/>
      <c r="CT1013" s="1066"/>
      <c r="CU1013" s="972"/>
      <c r="CV1013" s="983"/>
      <c r="CW1013" s="222"/>
      <c r="CX1013" s="697"/>
      <c r="DC1013" s="222"/>
      <c r="DJ1013" s="889"/>
      <c r="DM1013" s="890"/>
      <c r="DN1013" s="952"/>
      <c r="DO1013" s="75"/>
      <c r="DP1013" s="962"/>
      <c r="DQ1013" s="983"/>
      <c r="DV1013" s="889"/>
    </row>
    <row r="1014" spans="1:126" s="74" customFormat="1">
      <c r="A1014" s="15"/>
      <c r="B1014" s="15"/>
      <c r="C1014" s="15"/>
      <c r="D1014" s="15"/>
      <c r="E1014" s="6"/>
      <c r="F1014" s="6"/>
      <c r="G1014" s="6"/>
      <c r="K1014" s="222"/>
      <c r="V1014" s="1430"/>
      <c r="AA1014" s="223"/>
      <c r="AC1014" s="889"/>
      <c r="AF1014" s="890"/>
      <c r="AJ1014" s="889"/>
      <c r="AN1014" s="222"/>
      <c r="BC1014" s="223"/>
      <c r="BD1014" s="222"/>
      <c r="BH1014" s="611"/>
      <c r="BJ1014" s="15"/>
      <c r="BK1014" s="15"/>
      <c r="BO1014" s="223"/>
      <c r="BQ1014" s="889"/>
      <c r="BT1014" s="890"/>
      <c r="BX1014" s="889"/>
      <c r="CB1014" s="15"/>
      <c r="CC1014" s="697"/>
      <c r="CD1014" s="1086"/>
      <c r="CE1014" s="15"/>
      <c r="CF1014" s="15"/>
      <c r="CG1014" s="936"/>
      <c r="CH1014" s="15"/>
      <c r="CI1014" s="15"/>
      <c r="CJ1014" s="15"/>
      <c r="CK1014" s="1107"/>
      <c r="CL1014" s="22"/>
      <c r="CM1014" s="22"/>
      <c r="CN1014" s="1107"/>
      <c r="CR1014" s="223"/>
      <c r="CS1014" s="952"/>
      <c r="CT1014" s="1066"/>
      <c r="CU1014" s="972"/>
      <c r="CV1014" s="983"/>
      <c r="CW1014" s="222"/>
      <c r="CX1014" s="697"/>
      <c r="DC1014" s="222"/>
      <c r="DJ1014" s="889"/>
      <c r="DM1014" s="890"/>
      <c r="DN1014" s="952"/>
      <c r="DO1014" s="75"/>
      <c r="DP1014" s="962"/>
      <c r="DQ1014" s="983"/>
      <c r="DV1014" s="889"/>
    </row>
    <row r="1015" spans="1:126" s="74" customFormat="1">
      <c r="A1015" s="15"/>
      <c r="B1015" s="15"/>
      <c r="C1015" s="15"/>
      <c r="D1015" s="15"/>
      <c r="E1015" s="6"/>
      <c r="F1015" s="6"/>
      <c r="G1015" s="6"/>
      <c r="K1015" s="222"/>
      <c r="V1015" s="1430"/>
      <c r="AA1015" s="223"/>
      <c r="AC1015" s="889"/>
      <c r="AF1015" s="890"/>
      <c r="AJ1015" s="889"/>
      <c r="AN1015" s="222"/>
      <c r="BC1015" s="223"/>
      <c r="BD1015" s="222"/>
      <c r="BH1015" s="611"/>
      <c r="BJ1015" s="15"/>
      <c r="BK1015" s="15"/>
      <c r="BO1015" s="223"/>
      <c r="BQ1015" s="889"/>
      <c r="BT1015" s="890"/>
      <c r="BX1015" s="889"/>
      <c r="CB1015" s="15"/>
      <c r="CC1015" s="697"/>
      <c r="CD1015" s="1086"/>
      <c r="CE1015" s="15"/>
      <c r="CF1015" s="15"/>
      <c r="CG1015" s="936"/>
      <c r="CH1015" s="15"/>
      <c r="CI1015" s="15"/>
      <c r="CJ1015" s="15"/>
      <c r="CK1015" s="1107"/>
      <c r="CL1015" s="22"/>
      <c r="CM1015" s="22"/>
      <c r="CN1015" s="1107"/>
      <c r="CR1015" s="223"/>
      <c r="CS1015" s="952"/>
      <c r="CT1015" s="1066"/>
      <c r="CU1015" s="972"/>
      <c r="CV1015" s="983"/>
      <c r="CW1015" s="222"/>
      <c r="CX1015" s="697"/>
      <c r="DC1015" s="222"/>
      <c r="DJ1015" s="889"/>
      <c r="DM1015" s="890"/>
      <c r="DN1015" s="952"/>
      <c r="DO1015" s="75"/>
      <c r="DP1015" s="962"/>
      <c r="DQ1015" s="983"/>
      <c r="DV1015" s="889"/>
    </row>
    <row r="1016" spans="1:126" s="74" customFormat="1">
      <c r="A1016" s="15"/>
      <c r="B1016" s="15"/>
      <c r="C1016" s="15"/>
      <c r="D1016" s="15"/>
      <c r="E1016" s="6"/>
      <c r="F1016" s="6"/>
      <c r="G1016" s="6"/>
      <c r="K1016" s="222"/>
      <c r="V1016" s="1430"/>
      <c r="AA1016" s="223"/>
      <c r="AC1016" s="889"/>
      <c r="AF1016" s="890"/>
      <c r="AJ1016" s="889"/>
      <c r="AN1016" s="222"/>
      <c r="BC1016" s="223"/>
      <c r="BD1016" s="222"/>
      <c r="BH1016" s="611"/>
      <c r="BJ1016" s="15"/>
      <c r="BK1016" s="15"/>
      <c r="BO1016" s="223"/>
      <c r="BQ1016" s="889"/>
      <c r="BT1016" s="890"/>
      <c r="BX1016" s="889"/>
      <c r="CB1016" s="15"/>
      <c r="CC1016" s="697"/>
      <c r="CD1016" s="1086"/>
      <c r="CE1016" s="15"/>
      <c r="CF1016" s="15"/>
      <c r="CG1016" s="936"/>
      <c r="CH1016" s="15"/>
      <c r="CI1016" s="15"/>
      <c r="CJ1016" s="15"/>
      <c r="CK1016" s="1107"/>
      <c r="CL1016" s="22"/>
      <c r="CM1016" s="22"/>
      <c r="CN1016" s="1107"/>
      <c r="CR1016" s="223"/>
      <c r="CS1016" s="952"/>
      <c r="CT1016" s="1066"/>
      <c r="CU1016" s="972"/>
      <c r="CV1016" s="983"/>
      <c r="CW1016" s="222"/>
      <c r="CX1016" s="697"/>
      <c r="DC1016" s="222"/>
      <c r="DJ1016" s="889"/>
      <c r="DM1016" s="890"/>
      <c r="DN1016" s="952"/>
      <c r="DO1016" s="75"/>
      <c r="DP1016" s="962"/>
      <c r="DQ1016" s="983"/>
      <c r="DV1016" s="889"/>
    </row>
    <row r="1017" spans="1:126" s="74" customFormat="1">
      <c r="A1017" s="15"/>
      <c r="B1017" s="15"/>
      <c r="C1017" s="15"/>
      <c r="D1017" s="15"/>
      <c r="E1017" s="6"/>
      <c r="F1017" s="6"/>
      <c r="G1017" s="6"/>
      <c r="K1017" s="222"/>
      <c r="V1017" s="1430"/>
      <c r="AA1017" s="223"/>
      <c r="AC1017" s="889"/>
      <c r="AF1017" s="890"/>
      <c r="AJ1017" s="889"/>
      <c r="AN1017" s="222"/>
      <c r="BC1017" s="223"/>
      <c r="BD1017" s="222"/>
      <c r="BH1017" s="611"/>
      <c r="BJ1017" s="15"/>
      <c r="BK1017" s="15"/>
      <c r="BO1017" s="223"/>
      <c r="BQ1017" s="889"/>
      <c r="BT1017" s="890"/>
      <c r="BX1017" s="889"/>
      <c r="CB1017" s="15"/>
      <c r="CC1017" s="697"/>
      <c r="CD1017" s="1086"/>
      <c r="CE1017" s="15"/>
      <c r="CF1017" s="15"/>
      <c r="CG1017" s="936"/>
      <c r="CH1017" s="15"/>
      <c r="CI1017" s="15"/>
      <c r="CJ1017" s="15"/>
      <c r="CK1017" s="1107"/>
      <c r="CL1017" s="22"/>
      <c r="CM1017" s="22"/>
      <c r="CN1017" s="1107"/>
      <c r="CR1017" s="223"/>
      <c r="CS1017" s="952"/>
      <c r="CT1017" s="1066"/>
      <c r="CU1017" s="972"/>
      <c r="CV1017" s="983"/>
      <c r="CW1017" s="222"/>
      <c r="CX1017" s="697"/>
      <c r="DC1017" s="222"/>
      <c r="DJ1017" s="889"/>
      <c r="DM1017" s="890"/>
      <c r="DN1017" s="952"/>
      <c r="DO1017" s="75"/>
      <c r="DP1017" s="962"/>
      <c r="DQ1017" s="983"/>
      <c r="DV1017" s="889"/>
    </row>
    <row r="1018" spans="1:126" s="74" customFormat="1">
      <c r="A1018" s="15"/>
      <c r="B1018" s="15"/>
      <c r="C1018" s="15"/>
      <c r="D1018" s="15"/>
      <c r="E1018" s="6"/>
      <c r="F1018" s="6"/>
      <c r="G1018" s="6"/>
      <c r="K1018" s="222"/>
      <c r="V1018" s="1430"/>
      <c r="AA1018" s="223"/>
      <c r="AC1018" s="889"/>
      <c r="AF1018" s="890"/>
      <c r="AJ1018" s="889"/>
      <c r="AN1018" s="222"/>
      <c r="BC1018" s="223"/>
      <c r="BD1018" s="222"/>
      <c r="BH1018" s="611"/>
      <c r="BJ1018" s="15"/>
      <c r="BK1018" s="15"/>
      <c r="BO1018" s="223"/>
      <c r="BQ1018" s="889"/>
      <c r="BT1018" s="890"/>
      <c r="BX1018" s="889"/>
      <c r="CB1018" s="15"/>
      <c r="CC1018" s="697"/>
      <c r="CD1018" s="1086"/>
      <c r="CE1018" s="15"/>
      <c r="CF1018" s="15"/>
      <c r="CG1018" s="936"/>
      <c r="CH1018" s="15"/>
      <c r="CI1018" s="15"/>
      <c r="CJ1018" s="15"/>
      <c r="CK1018" s="1107"/>
      <c r="CL1018" s="22"/>
      <c r="CM1018" s="22"/>
      <c r="CN1018" s="1107"/>
      <c r="CR1018" s="223"/>
      <c r="CS1018" s="952"/>
      <c r="CT1018" s="1066"/>
      <c r="CU1018" s="972"/>
      <c r="CV1018" s="983"/>
      <c r="CW1018" s="222"/>
      <c r="CX1018" s="697"/>
      <c r="DC1018" s="222"/>
      <c r="DJ1018" s="889"/>
      <c r="DM1018" s="890"/>
      <c r="DN1018" s="952"/>
      <c r="DO1018" s="75"/>
      <c r="DP1018" s="962"/>
      <c r="DQ1018" s="983"/>
      <c r="DV1018" s="889"/>
    </row>
    <row r="1019" spans="1:126" s="74" customFormat="1">
      <c r="A1019" s="15"/>
      <c r="B1019" s="15"/>
      <c r="C1019" s="15"/>
      <c r="D1019" s="15"/>
      <c r="E1019" s="6"/>
      <c r="F1019" s="6"/>
      <c r="G1019" s="6"/>
      <c r="K1019" s="222"/>
      <c r="V1019" s="1430"/>
      <c r="AA1019" s="223"/>
      <c r="AC1019" s="889"/>
      <c r="AF1019" s="890"/>
      <c r="AJ1019" s="889"/>
      <c r="AN1019" s="222"/>
      <c r="BC1019" s="223"/>
      <c r="BD1019" s="222"/>
      <c r="BH1019" s="611"/>
      <c r="BJ1019" s="15"/>
      <c r="BK1019" s="15"/>
      <c r="BO1019" s="223"/>
      <c r="BQ1019" s="889"/>
      <c r="BT1019" s="890"/>
      <c r="BX1019" s="889"/>
      <c r="CB1019" s="15"/>
      <c r="CC1019" s="697"/>
      <c r="CD1019" s="1086"/>
      <c r="CE1019" s="15"/>
      <c r="CF1019" s="15"/>
      <c r="CG1019" s="936"/>
      <c r="CH1019" s="15"/>
      <c r="CI1019" s="15"/>
      <c r="CJ1019" s="15"/>
      <c r="CK1019" s="1107"/>
      <c r="CL1019" s="22"/>
      <c r="CM1019" s="22"/>
      <c r="CN1019" s="1107"/>
      <c r="CR1019" s="223"/>
      <c r="CS1019" s="952"/>
      <c r="CT1019" s="1066"/>
      <c r="CU1019" s="972"/>
      <c r="CV1019" s="983"/>
      <c r="CW1019" s="222"/>
      <c r="CX1019" s="697"/>
      <c r="DC1019" s="222"/>
      <c r="DJ1019" s="889"/>
      <c r="DM1019" s="890"/>
      <c r="DN1019" s="952"/>
      <c r="DO1019" s="75"/>
      <c r="DP1019" s="962"/>
      <c r="DQ1019" s="983"/>
      <c r="DV1019" s="889"/>
    </row>
    <row r="1020" spans="1:126" s="74" customFormat="1">
      <c r="A1020" s="15"/>
      <c r="B1020" s="15"/>
      <c r="C1020" s="15"/>
      <c r="D1020" s="15"/>
      <c r="E1020" s="6"/>
      <c r="F1020" s="6"/>
      <c r="G1020" s="6"/>
      <c r="K1020" s="222"/>
      <c r="V1020" s="1430"/>
      <c r="AA1020" s="223"/>
      <c r="AC1020" s="889"/>
      <c r="AF1020" s="890"/>
      <c r="AJ1020" s="889"/>
      <c r="AN1020" s="222"/>
      <c r="BC1020" s="223"/>
      <c r="BD1020" s="222"/>
      <c r="BH1020" s="611"/>
      <c r="BJ1020" s="15"/>
      <c r="BK1020" s="15"/>
      <c r="BO1020" s="223"/>
      <c r="BQ1020" s="889"/>
      <c r="BT1020" s="890"/>
      <c r="BX1020" s="889"/>
      <c r="CB1020" s="15"/>
      <c r="CC1020" s="697"/>
      <c r="CD1020" s="1086"/>
      <c r="CE1020" s="15"/>
      <c r="CF1020" s="15"/>
      <c r="CG1020" s="936"/>
      <c r="CH1020" s="15"/>
      <c r="CI1020" s="15"/>
      <c r="CJ1020" s="15"/>
      <c r="CK1020" s="1107"/>
      <c r="CL1020" s="22"/>
      <c r="CM1020" s="22"/>
      <c r="CN1020" s="1107"/>
      <c r="CR1020" s="223"/>
      <c r="CS1020" s="952"/>
      <c r="CT1020" s="1066"/>
      <c r="CU1020" s="972"/>
      <c r="CV1020" s="983"/>
      <c r="CW1020" s="222"/>
      <c r="CX1020" s="697"/>
      <c r="DC1020" s="222"/>
      <c r="DJ1020" s="889"/>
      <c r="DM1020" s="890"/>
      <c r="DN1020" s="952"/>
      <c r="DO1020" s="75"/>
      <c r="DP1020" s="962"/>
      <c r="DQ1020" s="983"/>
      <c r="DV1020" s="889"/>
    </row>
    <row r="1021" spans="1:126" s="74" customFormat="1">
      <c r="A1021" s="15"/>
      <c r="B1021" s="15"/>
      <c r="C1021" s="15"/>
      <c r="D1021" s="15"/>
      <c r="E1021" s="6"/>
      <c r="F1021" s="6"/>
      <c r="G1021" s="6"/>
      <c r="K1021" s="222"/>
      <c r="V1021" s="1430"/>
      <c r="AA1021" s="223"/>
      <c r="AC1021" s="889"/>
      <c r="AF1021" s="890"/>
      <c r="AJ1021" s="889"/>
      <c r="AN1021" s="222"/>
      <c r="BC1021" s="223"/>
      <c r="BD1021" s="222"/>
      <c r="BH1021" s="611"/>
      <c r="BJ1021" s="15"/>
      <c r="BK1021" s="15"/>
      <c r="BO1021" s="223"/>
      <c r="BQ1021" s="889"/>
      <c r="BT1021" s="890"/>
      <c r="BX1021" s="889"/>
      <c r="CB1021" s="15"/>
      <c r="CC1021" s="697"/>
      <c r="CD1021" s="1086"/>
      <c r="CE1021" s="15"/>
      <c r="CF1021" s="15"/>
      <c r="CG1021" s="936"/>
      <c r="CH1021" s="15"/>
      <c r="CI1021" s="15"/>
      <c r="CJ1021" s="15"/>
      <c r="CK1021" s="1107"/>
      <c r="CL1021" s="22"/>
      <c r="CM1021" s="22"/>
      <c r="CN1021" s="1107"/>
      <c r="CR1021" s="223"/>
      <c r="CS1021" s="952"/>
      <c r="CT1021" s="1066"/>
      <c r="CU1021" s="972"/>
      <c r="CV1021" s="983"/>
      <c r="CW1021" s="222"/>
      <c r="CX1021" s="697"/>
      <c r="DC1021" s="222"/>
      <c r="DJ1021" s="889"/>
      <c r="DM1021" s="890"/>
      <c r="DN1021" s="952"/>
      <c r="DO1021" s="75"/>
      <c r="DP1021" s="962"/>
      <c r="DQ1021" s="983"/>
      <c r="DV1021" s="889"/>
    </row>
    <row r="1022" spans="1:126" s="74" customFormat="1">
      <c r="A1022" s="15"/>
      <c r="B1022" s="15"/>
      <c r="C1022" s="15"/>
      <c r="D1022" s="15"/>
      <c r="E1022" s="6"/>
      <c r="F1022" s="6"/>
      <c r="G1022" s="6"/>
      <c r="K1022" s="222"/>
      <c r="V1022" s="1430"/>
      <c r="AA1022" s="223"/>
      <c r="AC1022" s="889"/>
      <c r="AF1022" s="890"/>
      <c r="AJ1022" s="889"/>
      <c r="AN1022" s="222"/>
      <c r="BC1022" s="223"/>
      <c r="BD1022" s="222"/>
      <c r="BH1022" s="611"/>
      <c r="BJ1022" s="15"/>
      <c r="BK1022" s="15"/>
      <c r="BO1022" s="223"/>
      <c r="BQ1022" s="889"/>
      <c r="BT1022" s="890"/>
      <c r="BX1022" s="889"/>
      <c r="CB1022" s="15"/>
      <c r="CC1022" s="697"/>
      <c r="CD1022" s="1086"/>
      <c r="CE1022" s="15"/>
      <c r="CF1022" s="15"/>
      <c r="CG1022" s="936"/>
      <c r="CH1022" s="15"/>
      <c r="CI1022" s="15"/>
      <c r="CJ1022" s="15"/>
      <c r="CK1022" s="1107"/>
      <c r="CL1022" s="22"/>
      <c r="CM1022" s="22"/>
      <c r="CN1022" s="1107"/>
      <c r="CR1022" s="223"/>
      <c r="CS1022" s="952"/>
      <c r="CT1022" s="1066"/>
      <c r="CU1022" s="972"/>
      <c r="CV1022" s="983"/>
      <c r="CW1022" s="222"/>
      <c r="CX1022" s="697"/>
      <c r="DC1022" s="222"/>
      <c r="DJ1022" s="889"/>
      <c r="DM1022" s="890"/>
      <c r="DN1022" s="952"/>
      <c r="DO1022" s="75"/>
      <c r="DP1022" s="962"/>
      <c r="DQ1022" s="983"/>
      <c r="DV1022" s="889"/>
    </row>
    <row r="1023" spans="1:126" s="74" customFormat="1">
      <c r="A1023" s="15"/>
      <c r="B1023" s="15"/>
      <c r="C1023" s="15"/>
      <c r="D1023" s="15"/>
      <c r="E1023" s="6"/>
      <c r="F1023" s="6"/>
      <c r="G1023" s="6"/>
      <c r="K1023" s="222"/>
      <c r="V1023" s="1430"/>
      <c r="AA1023" s="223"/>
      <c r="AC1023" s="889"/>
      <c r="AF1023" s="890"/>
      <c r="AJ1023" s="889"/>
      <c r="AN1023" s="222"/>
      <c r="BC1023" s="223"/>
      <c r="BD1023" s="222"/>
      <c r="BH1023" s="611"/>
      <c r="BJ1023" s="15"/>
      <c r="BK1023" s="15"/>
      <c r="BO1023" s="223"/>
      <c r="BQ1023" s="889"/>
      <c r="BT1023" s="890"/>
      <c r="BX1023" s="889"/>
      <c r="CB1023" s="15"/>
      <c r="CC1023" s="697"/>
      <c r="CD1023" s="1086"/>
      <c r="CE1023" s="15"/>
      <c r="CF1023" s="15"/>
      <c r="CG1023" s="936"/>
      <c r="CH1023" s="15"/>
      <c r="CI1023" s="15"/>
      <c r="CJ1023" s="15"/>
      <c r="CK1023" s="1107"/>
      <c r="CL1023" s="22"/>
      <c r="CM1023" s="22"/>
      <c r="CN1023" s="1107"/>
      <c r="CR1023" s="223"/>
      <c r="CS1023" s="952"/>
      <c r="CT1023" s="1066"/>
      <c r="CU1023" s="972"/>
      <c r="CV1023" s="983"/>
      <c r="CW1023" s="222"/>
      <c r="CX1023" s="697"/>
      <c r="DC1023" s="222"/>
      <c r="DJ1023" s="889"/>
      <c r="DM1023" s="890"/>
      <c r="DN1023" s="952"/>
      <c r="DO1023" s="75"/>
      <c r="DP1023" s="962"/>
      <c r="DQ1023" s="983"/>
      <c r="DV1023" s="889"/>
    </row>
    <row r="1024" spans="1:126" s="74" customFormat="1">
      <c r="A1024" s="15"/>
      <c r="B1024" s="15"/>
      <c r="C1024" s="15"/>
      <c r="D1024" s="15"/>
      <c r="E1024" s="6"/>
      <c r="F1024" s="6"/>
      <c r="G1024" s="6"/>
      <c r="K1024" s="222"/>
      <c r="V1024" s="1430"/>
      <c r="AA1024" s="223"/>
      <c r="AC1024" s="889"/>
      <c r="AF1024" s="890"/>
      <c r="AJ1024" s="889"/>
      <c r="AN1024" s="222"/>
      <c r="BC1024" s="223"/>
      <c r="BD1024" s="222"/>
      <c r="BH1024" s="611"/>
      <c r="BJ1024" s="15"/>
      <c r="BK1024" s="15"/>
      <c r="BO1024" s="223"/>
      <c r="BQ1024" s="889"/>
      <c r="BT1024" s="890"/>
      <c r="BX1024" s="889"/>
      <c r="CB1024" s="15"/>
      <c r="CC1024" s="697"/>
      <c r="CD1024" s="1086"/>
      <c r="CE1024" s="15"/>
      <c r="CF1024" s="15"/>
      <c r="CG1024" s="936"/>
      <c r="CH1024" s="15"/>
      <c r="CI1024" s="15"/>
      <c r="CJ1024" s="15"/>
      <c r="CK1024" s="1107"/>
      <c r="CL1024" s="22"/>
      <c r="CM1024" s="22"/>
      <c r="CN1024" s="1107"/>
      <c r="CR1024" s="223"/>
      <c r="CS1024" s="952"/>
      <c r="CT1024" s="1066"/>
      <c r="CU1024" s="972"/>
      <c r="CV1024" s="983"/>
      <c r="CW1024" s="222"/>
      <c r="CX1024" s="697"/>
      <c r="DC1024" s="222"/>
      <c r="DJ1024" s="889"/>
      <c r="DM1024" s="890"/>
      <c r="DN1024" s="952"/>
      <c r="DO1024" s="75"/>
      <c r="DP1024" s="962"/>
      <c r="DQ1024" s="983"/>
      <c r="DV1024" s="889"/>
    </row>
    <row r="1025" spans="1:126" s="74" customFormat="1">
      <c r="A1025" s="15"/>
      <c r="B1025" s="15"/>
      <c r="C1025" s="15"/>
      <c r="D1025" s="15"/>
      <c r="E1025" s="6"/>
      <c r="F1025" s="6"/>
      <c r="G1025" s="6"/>
      <c r="K1025" s="222"/>
      <c r="V1025" s="1430"/>
      <c r="AA1025" s="223"/>
      <c r="AC1025" s="889"/>
      <c r="AF1025" s="890"/>
      <c r="AJ1025" s="889"/>
      <c r="AN1025" s="222"/>
      <c r="BC1025" s="223"/>
      <c r="BD1025" s="222"/>
      <c r="BH1025" s="611"/>
      <c r="BJ1025" s="15"/>
      <c r="BK1025" s="15"/>
      <c r="BO1025" s="223"/>
      <c r="BQ1025" s="889"/>
      <c r="BT1025" s="890"/>
      <c r="BX1025" s="889"/>
      <c r="CB1025" s="15"/>
      <c r="CC1025" s="697"/>
      <c r="CD1025" s="1086"/>
      <c r="CE1025" s="15"/>
      <c r="CF1025" s="15"/>
      <c r="CG1025" s="936"/>
      <c r="CH1025" s="15"/>
      <c r="CI1025" s="15"/>
      <c r="CJ1025" s="15"/>
      <c r="CK1025" s="1107"/>
      <c r="CL1025" s="22"/>
      <c r="CM1025" s="22"/>
      <c r="CN1025" s="1107"/>
      <c r="CR1025" s="223"/>
      <c r="CS1025" s="952"/>
      <c r="CT1025" s="1066"/>
      <c r="CU1025" s="972"/>
      <c r="CV1025" s="983"/>
      <c r="CW1025" s="222"/>
      <c r="CX1025" s="697"/>
      <c r="DC1025" s="222"/>
      <c r="DJ1025" s="889"/>
      <c r="DM1025" s="890"/>
      <c r="DN1025" s="952"/>
      <c r="DO1025" s="75"/>
      <c r="DP1025" s="962"/>
      <c r="DQ1025" s="983"/>
      <c r="DV1025" s="889"/>
    </row>
    <row r="1026" spans="1:126" s="74" customFormat="1">
      <c r="A1026" s="15"/>
      <c r="B1026" s="15"/>
      <c r="C1026" s="15"/>
      <c r="D1026" s="15"/>
      <c r="E1026" s="6"/>
      <c r="F1026" s="6"/>
      <c r="G1026" s="6"/>
      <c r="K1026" s="222"/>
      <c r="V1026" s="1430"/>
      <c r="AA1026" s="223"/>
      <c r="AC1026" s="889"/>
      <c r="AF1026" s="890"/>
      <c r="AJ1026" s="889"/>
      <c r="AN1026" s="222"/>
      <c r="BC1026" s="223"/>
      <c r="BD1026" s="222"/>
      <c r="BH1026" s="611"/>
      <c r="BJ1026" s="15"/>
      <c r="BK1026" s="15"/>
      <c r="BO1026" s="223"/>
      <c r="BQ1026" s="889"/>
      <c r="BT1026" s="890"/>
      <c r="BX1026" s="889"/>
      <c r="CB1026" s="15"/>
      <c r="CC1026" s="697"/>
      <c r="CD1026" s="1086"/>
      <c r="CE1026" s="15"/>
      <c r="CF1026" s="15"/>
      <c r="CG1026" s="936"/>
      <c r="CH1026" s="15"/>
      <c r="CI1026" s="15"/>
      <c r="CJ1026" s="15"/>
      <c r="CK1026" s="1107"/>
      <c r="CL1026" s="22"/>
      <c r="CM1026" s="22"/>
      <c r="CN1026" s="1107"/>
      <c r="CR1026" s="223"/>
      <c r="CS1026" s="952"/>
      <c r="CT1026" s="1066"/>
      <c r="CU1026" s="972"/>
      <c r="CV1026" s="983"/>
      <c r="CW1026" s="222"/>
      <c r="CX1026" s="697"/>
      <c r="DC1026" s="222"/>
      <c r="DJ1026" s="889"/>
      <c r="DM1026" s="890"/>
      <c r="DN1026" s="952"/>
      <c r="DO1026" s="75"/>
      <c r="DP1026" s="962"/>
      <c r="DQ1026" s="983"/>
      <c r="DV1026" s="889"/>
    </row>
    <row r="1027" spans="1:126" s="74" customFormat="1">
      <c r="A1027" s="15"/>
      <c r="B1027" s="15"/>
      <c r="C1027" s="15"/>
      <c r="D1027" s="15"/>
      <c r="E1027" s="6"/>
      <c r="F1027" s="6"/>
      <c r="G1027" s="6"/>
      <c r="K1027" s="222"/>
      <c r="V1027" s="1430"/>
      <c r="AA1027" s="223"/>
      <c r="AC1027" s="889"/>
      <c r="AF1027" s="890"/>
      <c r="AJ1027" s="889"/>
      <c r="AN1027" s="222"/>
      <c r="BC1027" s="223"/>
      <c r="BD1027" s="222"/>
      <c r="BH1027" s="611"/>
      <c r="BJ1027" s="15"/>
      <c r="BK1027" s="15"/>
      <c r="BO1027" s="223"/>
      <c r="BQ1027" s="889"/>
      <c r="BT1027" s="890"/>
      <c r="BX1027" s="889"/>
      <c r="CB1027" s="15"/>
      <c r="CC1027" s="697"/>
      <c r="CD1027" s="1086"/>
      <c r="CE1027" s="15"/>
      <c r="CF1027" s="15"/>
      <c r="CG1027" s="936"/>
      <c r="CH1027" s="15"/>
      <c r="CI1027" s="15"/>
      <c r="CJ1027" s="15"/>
      <c r="CK1027" s="1107"/>
      <c r="CL1027" s="22"/>
      <c r="CM1027" s="22"/>
      <c r="CN1027" s="1107"/>
      <c r="CR1027" s="223"/>
      <c r="CS1027" s="952"/>
      <c r="CT1027" s="1066"/>
      <c r="CU1027" s="972"/>
      <c r="CV1027" s="983"/>
      <c r="CW1027" s="222"/>
      <c r="CX1027" s="697"/>
      <c r="DC1027" s="222"/>
      <c r="DJ1027" s="889"/>
      <c r="DM1027" s="890"/>
      <c r="DN1027" s="952"/>
      <c r="DO1027" s="75"/>
      <c r="DP1027" s="962"/>
      <c r="DQ1027" s="983"/>
      <c r="DV1027" s="889"/>
    </row>
    <row r="1028" spans="1:126" s="74" customFormat="1">
      <c r="A1028" s="15"/>
      <c r="B1028" s="15"/>
      <c r="C1028" s="15"/>
      <c r="D1028" s="15"/>
      <c r="E1028" s="6"/>
      <c r="F1028" s="6"/>
      <c r="G1028" s="6"/>
      <c r="K1028" s="222"/>
      <c r="V1028" s="1430"/>
      <c r="AA1028" s="223"/>
      <c r="AC1028" s="889"/>
      <c r="AF1028" s="890"/>
      <c r="AJ1028" s="889"/>
      <c r="AN1028" s="222"/>
      <c r="BC1028" s="223"/>
      <c r="BD1028" s="222"/>
      <c r="BH1028" s="611"/>
      <c r="BJ1028" s="15"/>
      <c r="BK1028" s="15"/>
      <c r="BO1028" s="223"/>
      <c r="BQ1028" s="889"/>
      <c r="BT1028" s="890"/>
      <c r="BX1028" s="889"/>
      <c r="CB1028" s="15"/>
      <c r="CC1028" s="697"/>
      <c r="CD1028" s="1086"/>
      <c r="CE1028" s="15"/>
      <c r="CF1028" s="15"/>
      <c r="CG1028" s="936"/>
      <c r="CH1028" s="15"/>
      <c r="CI1028" s="15"/>
      <c r="CJ1028" s="15"/>
      <c r="CK1028" s="1107"/>
      <c r="CL1028" s="22"/>
      <c r="CM1028" s="22"/>
      <c r="CN1028" s="1107"/>
      <c r="CR1028" s="223"/>
      <c r="CS1028" s="952"/>
      <c r="CT1028" s="1066"/>
      <c r="CU1028" s="972"/>
      <c r="CV1028" s="983"/>
      <c r="CW1028" s="222"/>
      <c r="CX1028" s="697"/>
      <c r="DC1028" s="222"/>
      <c r="DJ1028" s="889"/>
      <c r="DM1028" s="890"/>
      <c r="DN1028" s="952"/>
      <c r="DO1028" s="75"/>
      <c r="DP1028" s="962"/>
      <c r="DQ1028" s="983"/>
      <c r="DV1028" s="889"/>
    </row>
    <row r="1029" spans="1:126" s="74" customFormat="1">
      <c r="A1029" s="15"/>
      <c r="B1029" s="15"/>
      <c r="C1029" s="15"/>
      <c r="D1029" s="15"/>
      <c r="E1029" s="6"/>
      <c r="F1029" s="6"/>
      <c r="G1029" s="6"/>
      <c r="K1029" s="222"/>
      <c r="V1029" s="1430"/>
      <c r="AA1029" s="223"/>
      <c r="AC1029" s="889"/>
      <c r="AF1029" s="890"/>
      <c r="AJ1029" s="889"/>
      <c r="AN1029" s="222"/>
      <c r="BC1029" s="223"/>
      <c r="BD1029" s="222"/>
      <c r="BH1029" s="611"/>
      <c r="BJ1029" s="15"/>
      <c r="BK1029" s="15"/>
      <c r="BO1029" s="223"/>
      <c r="BQ1029" s="889"/>
      <c r="BT1029" s="890"/>
      <c r="BX1029" s="889"/>
      <c r="CB1029" s="15"/>
      <c r="CC1029" s="697"/>
      <c r="CD1029" s="1086"/>
      <c r="CE1029" s="15"/>
      <c r="CF1029" s="15"/>
      <c r="CG1029" s="936"/>
      <c r="CH1029" s="15"/>
      <c r="CI1029" s="15"/>
      <c r="CJ1029" s="15"/>
      <c r="CK1029" s="1107"/>
      <c r="CL1029" s="22"/>
      <c r="CM1029" s="22"/>
      <c r="CN1029" s="1107"/>
      <c r="CR1029" s="223"/>
      <c r="CS1029" s="952"/>
      <c r="CT1029" s="1066"/>
      <c r="CU1029" s="972"/>
      <c r="CV1029" s="983"/>
      <c r="CW1029" s="222"/>
      <c r="CX1029" s="697"/>
      <c r="DC1029" s="222"/>
      <c r="DJ1029" s="889"/>
      <c r="DM1029" s="890"/>
      <c r="DN1029" s="952"/>
      <c r="DO1029" s="75"/>
      <c r="DP1029" s="962"/>
      <c r="DQ1029" s="983"/>
      <c r="DV1029" s="889"/>
    </row>
    <row r="1030" spans="1:126" s="74" customFormat="1">
      <c r="A1030" s="15"/>
      <c r="B1030" s="15"/>
      <c r="C1030" s="15"/>
      <c r="D1030" s="15"/>
      <c r="E1030" s="6"/>
      <c r="F1030" s="6"/>
      <c r="G1030" s="6"/>
      <c r="K1030" s="222"/>
      <c r="V1030" s="1430"/>
      <c r="AA1030" s="223"/>
      <c r="AC1030" s="889"/>
      <c r="AF1030" s="890"/>
      <c r="AJ1030" s="889"/>
      <c r="AN1030" s="222"/>
      <c r="BC1030" s="223"/>
      <c r="BD1030" s="222"/>
      <c r="BH1030" s="611"/>
      <c r="BJ1030" s="15"/>
      <c r="BK1030" s="15"/>
      <c r="BO1030" s="223"/>
      <c r="BQ1030" s="889"/>
      <c r="BT1030" s="890"/>
      <c r="BX1030" s="889"/>
      <c r="CB1030" s="15"/>
      <c r="CC1030" s="697"/>
      <c r="CD1030" s="1086"/>
      <c r="CE1030" s="15"/>
      <c r="CF1030" s="15"/>
      <c r="CG1030" s="936"/>
      <c r="CH1030" s="15"/>
      <c r="CI1030" s="15"/>
      <c r="CJ1030" s="15"/>
      <c r="CK1030" s="1107"/>
      <c r="CL1030" s="22"/>
      <c r="CM1030" s="22"/>
      <c r="CN1030" s="1107"/>
      <c r="CR1030" s="223"/>
      <c r="CS1030" s="952"/>
      <c r="CT1030" s="1066"/>
      <c r="CU1030" s="972"/>
      <c r="CV1030" s="983"/>
      <c r="CW1030" s="222"/>
      <c r="CX1030" s="697"/>
      <c r="DC1030" s="222"/>
      <c r="DJ1030" s="889"/>
      <c r="DM1030" s="890"/>
      <c r="DN1030" s="952"/>
      <c r="DO1030" s="75"/>
      <c r="DP1030" s="962"/>
      <c r="DQ1030" s="983"/>
      <c r="DV1030" s="889"/>
    </row>
    <row r="1031" spans="1:126" s="74" customFormat="1">
      <c r="A1031" s="15"/>
      <c r="B1031" s="15"/>
      <c r="C1031" s="15"/>
      <c r="D1031" s="15"/>
      <c r="E1031" s="6"/>
      <c r="F1031" s="6"/>
      <c r="G1031" s="6"/>
      <c r="K1031" s="222"/>
      <c r="V1031" s="1430"/>
      <c r="AA1031" s="223"/>
      <c r="AC1031" s="889"/>
      <c r="AF1031" s="890"/>
      <c r="AJ1031" s="889"/>
      <c r="AN1031" s="222"/>
      <c r="BC1031" s="223"/>
      <c r="BD1031" s="222"/>
      <c r="BH1031" s="611"/>
      <c r="BJ1031" s="15"/>
      <c r="BK1031" s="15"/>
      <c r="BO1031" s="223"/>
      <c r="BQ1031" s="889"/>
      <c r="BT1031" s="890"/>
      <c r="BX1031" s="889"/>
      <c r="CB1031" s="15"/>
      <c r="CC1031" s="697"/>
      <c r="CD1031" s="1086"/>
      <c r="CE1031" s="15"/>
      <c r="CF1031" s="15"/>
      <c r="CG1031" s="936"/>
      <c r="CH1031" s="15"/>
      <c r="CI1031" s="15"/>
      <c r="CJ1031" s="15"/>
      <c r="CK1031" s="1107"/>
      <c r="CL1031" s="22"/>
      <c r="CM1031" s="22"/>
      <c r="CN1031" s="1107"/>
      <c r="CR1031" s="223"/>
      <c r="CS1031" s="952"/>
      <c r="CT1031" s="1066"/>
      <c r="CU1031" s="972"/>
      <c r="CV1031" s="983"/>
      <c r="CW1031" s="222"/>
      <c r="CX1031" s="697"/>
      <c r="DC1031" s="222"/>
      <c r="DJ1031" s="889"/>
      <c r="DM1031" s="890"/>
      <c r="DN1031" s="952"/>
      <c r="DO1031" s="75"/>
      <c r="DP1031" s="962"/>
      <c r="DQ1031" s="983"/>
      <c r="DV1031" s="889"/>
    </row>
    <row r="1032" spans="1:126" s="74" customFormat="1">
      <c r="A1032" s="15"/>
      <c r="B1032" s="15"/>
      <c r="C1032" s="15"/>
      <c r="D1032" s="15"/>
      <c r="E1032" s="6"/>
      <c r="F1032" s="6"/>
      <c r="G1032" s="6"/>
      <c r="K1032" s="222"/>
      <c r="V1032" s="1430"/>
      <c r="AA1032" s="223"/>
      <c r="AC1032" s="889"/>
      <c r="AF1032" s="890"/>
      <c r="AJ1032" s="889"/>
      <c r="AN1032" s="222"/>
      <c r="BC1032" s="223"/>
      <c r="BD1032" s="222"/>
      <c r="BH1032" s="611"/>
      <c r="BJ1032" s="15"/>
      <c r="BK1032" s="15"/>
      <c r="BO1032" s="223"/>
      <c r="BQ1032" s="889"/>
      <c r="BT1032" s="890"/>
      <c r="BX1032" s="889"/>
      <c r="CB1032" s="15"/>
      <c r="CC1032" s="697"/>
      <c r="CD1032" s="1086"/>
      <c r="CE1032" s="15"/>
      <c r="CF1032" s="15"/>
      <c r="CG1032" s="936"/>
      <c r="CH1032" s="15"/>
      <c r="CI1032" s="15"/>
      <c r="CJ1032" s="15"/>
      <c r="CK1032" s="1107"/>
      <c r="CL1032" s="22"/>
      <c r="CM1032" s="22"/>
      <c r="CN1032" s="1107"/>
      <c r="CR1032" s="223"/>
      <c r="CS1032" s="952"/>
      <c r="CT1032" s="1066"/>
      <c r="CU1032" s="972"/>
      <c r="CV1032" s="983"/>
      <c r="CW1032" s="222"/>
      <c r="CX1032" s="697"/>
      <c r="DC1032" s="222"/>
      <c r="DJ1032" s="889"/>
      <c r="DM1032" s="890"/>
      <c r="DN1032" s="952"/>
      <c r="DO1032" s="75"/>
      <c r="DP1032" s="962"/>
      <c r="DQ1032" s="983"/>
      <c r="DV1032" s="889"/>
    </row>
    <row r="1033" spans="1:126" s="74" customFormat="1">
      <c r="A1033" s="15"/>
      <c r="B1033" s="15"/>
      <c r="C1033" s="15"/>
      <c r="D1033" s="15"/>
      <c r="E1033" s="6"/>
      <c r="F1033" s="6"/>
      <c r="G1033" s="6"/>
      <c r="K1033" s="222"/>
      <c r="V1033" s="1430"/>
      <c r="AA1033" s="223"/>
      <c r="AC1033" s="889"/>
      <c r="AF1033" s="890"/>
      <c r="AJ1033" s="889"/>
      <c r="AN1033" s="222"/>
      <c r="BC1033" s="223"/>
      <c r="BD1033" s="222"/>
      <c r="BH1033" s="611"/>
      <c r="BJ1033" s="15"/>
      <c r="BK1033" s="15"/>
      <c r="BO1033" s="223"/>
      <c r="BQ1033" s="889"/>
      <c r="BT1033" s="890"/>
      <c r="BX1033" s="889"/>
      <c r="CB1033" s="15"/>
      <c r="CC1033" s="697"/>
      <c r="CD1033" s="1086"/>
      <c r="CE1033" s="15"/>
      <c r="CF1033" s="15"/>
      <c r="CG1033" s="936"/>
      <c r="CH1033" s="15"/>
      <c r="CI1033" s="15"/>
      <c r="CJ1033" s="15"/>
      <c r="CK1033" s="1107"/>
      <c r="CL1033" s="22"/>
      <c r="CM1033" s="22"/>
      <c r="CN1033" s="1107"/>
      <c r="CR1033" s="223"/>
      <c r="CS1033" s="952"/>
      <c r="CT1033" s="1066"/>
      <c r="CU1033" s="972"/>
      <c r="CV1033" s="983"/>
      <c r="CW1033" s="222"/>
      <c r="CX1033" s="697"/>
      <c r="DC1033" s="222"/>
      <c r="DJ1033" s="889"/>
      <c r="DM1033" s="890"/>
      <c r="DN1033" s="952"/>
      <c r="DO1033" s="75"/>
      <c r="DP1033" s="962"/>
      <c r="DQ1033" s="983"/>
      <c r="DV1033" s="889"/>
    </row>
    <row r="1034" spans="1:126" s="74" customFormat="1">
      <c r="A1034" s="15"/>
      <c r="B1034" s="15"/>
      <c r="C1034" s="15"/>
      <c r="D1034" s="15"/>
      <c r="E1034" s="6"/>
      <c r="F1034" s="6"/>
      <c r="G1034" s="6"/>
      <c r="K1034" s="222"/>
      <c r="V1034" s="1430"/>
      <c r="AA1034" s="223"/>
      <c r="AC1034" s="889"/>
      <c r="AF1034" s="890"/>
      <c r="AJ1034" s="889"/>
      <c r="AN1034" s="222"/>
      <c r="BC1034" s="223"/>
      <c r="BD1034" s="222"/>
      <c r="BH1034" s="611"/>
      <c r="BJ1034" s="15"/>
      <c r="BK1034" s="15"/>
      <c r="BO1034" s="223"/>
      <c r="BQ1034" s="889"/>
      <c r="BT1034" s="890"/>
      <c r="BX1034" s="889"/>
      <c r="CB1034" s="15"/>
      <c r="CC1034" s="697"/>
      <c r="CD1034" s="1086"/>
      <c r="CE1034" s="15"/>
      <c r="CF1034" s="15"/>
      <c r="CG1034" s="936"/>
      <c r="CH1034" s="15"/>
      <c r="CI1034" s="15"/>
      <c r="CJ1034" s="15"/>
      <c r="CK1034" s="1107"/>
      <c r="CL1034" s="22"/>
      <c r="CM1034" s="22"/>
      <c r="CN1034" s="1107"/>
      <c r="CR1034" s="223"/>
      <c r="CS1034" s="952"/>
      <c r="CT1034" s="1066"/>
      <c r="CU1034" s="972"/>
      <c r="CV1034" s="983"/>
      <c r="CW1034" s="222"/>
      <c r="CX1034" s="697"/>
      <c r="DC1034" s="222"/>
      <c r="DJ1034" s="889"/>
      <c r="DM1034" s="890"/>
      <c r="DN1034" s="952"/>
      <c r="DO1034" s="75"/>
      <c r="DP1034" s="962"/>
      <c r="DQ1034" s="983"/>
      <c r="DV1034" s="889"/>
    </row>
    <row r="1035" spans="1:126" s="74" customFormat="1">
      <c r="A1035" s="15"/>
      <c r="B1035" s="15"/>
      <c r="C1035" s="15"/>
      <c r="D1035" s="15"/>
      <c r="E1035" s="6"/>
      <c r="F1035" s="6"/>
      <c r="G1035" s="6"/>
      <c r="K1035" s="222"/>
      <c r="V1035" s="1430"/>
      <c r="AA1035" s="223"/>
      <c r="AC1035" s="889"/>
      <c r="AF1035" s="890"/>
      <c r="AJ1035" s="889"/>
      <c r="AN1035" s="222"/>
      <c r="BC1035" s="223"/>
      <c r="BD1035" s="222"/>
      <c r="BH1035" s="611"/>
      <c r="BJ1035" s="15"/>
      <c r="BK1035" s="15"/>
      <c r="BO1035" s="223"/>
      <c r="BQ1035" s="889"/>
      <c r="BT1035" s="890"/>
      <c r="BX1035" s="889"/>
      <c r="CB1035" s="15"/>
      <c r="CC1035" s="697"/>
      <c r="CD1035" s="1086"/>
      <c r="CE1035" s="15"/>
      <c r="CF1035" s="15"/>
      <c r="CG1035" s="936"/>
      <c r="CH1035" s="15"/>
      <c r="CI1035" s="15"/>
      <c r="CJ1035" s="15"/>
      <c r="CK1035" s="1107"/>
      <c r="CL1035" s="22"/>
      <c r="CM1035" s="22"/>
      <c r="CN1035" s="1107"/>
      <c r="CR1035" s="223"/>
      <c r="CS1035" s="952"/>
      <c r="CT1035" s="1066"/>
      <c r="CU1035" s="972"/>
      <c r="CV1035" s="983"/>
      <c r="CW1035" s="222"/>
      <c r="CX1035" s="697"/>
      <c r="DC1035" s="222"/>
      <c r="DJ1035" s="889"/>
      <c r="DM1035" s="890"/>
      <c r="DN1035" s="952"/>
      <c r="DO1035" s="75"/>
      <c r="DP1035" s="962"/>
      <c r="DQ1035" s="983"/>
      <c r="DV1035" s="889"/>
    </row>
    <row r="1036" spans="1:126" s="74" customFormat="1">
      <c r="A1036" s="15"/>
      <c r="B1036" s="15"/>
      <c r="C1036" s="15"/>
      <c r="D1036" s="15"/>
      <c r="E1036" s="6"/>
      <c r="F1036" s="6"/>
      <c r="G1036" s="6"/>
      <c r="K1036" s="222"/>
      <c r="V1036" s="1430"/>
      <c r="AA1036" s="223"/>
      <c r="AC1036" s="889"/>
      <c r="AF1036" s="890"/>
      <c r="AJ1036" s="889"/>
      <c r="AN1036" s="222"/>
      <c r="BC1036" s="223"/>
      <c r="BD1036" s="222"/>
      <c r="BH1036" s="611"/>
      <c r="BJ1036" s="15"/>
      <c r="BK1036" s="15"/>
      <c r="BO1036" s="223"/>
      <c r="BQ1036" s="889"/>
      <c r="BT1036" s="890"/>
      <c r="BX1036" s="889"/>
      <c r="CB1036" s="15"/>
      <c r="CC1036" s="697"/>
      <c r="CD1036" s="1086"/>
      <c r="CE1036" s="15"/>
      <c r="CF1036" s="15"/>
      <c r="CG1036" s="936"/>
      <c r="CH1036" s="15"/>
      <c r="CI1036" s="15"/>
      <c r="CJ1036" s="15"/>
      <c r="CK1036" s="1107"/>
      <c r="CL1036" s="22"/>
      <c r="CM1036" s="22"/>
      <c r="CN1036" s="1107"/>
      <c r="CR1036" s="223"/>
      <c r="CS1036" s="952"/>
      <c r="CT1036" s="1066"/>
      <c r="CU1036" s="972"/>
      <c r="CV1036" s="983"/>
      <c r="CW1036" s="222"/>
      <c r="CX1036" s="697"/>
      <c r="DC1036" s="222"/>
      <c r="DJ1036" s="889"/>
      <c r="DM1036" s="890"/>
      <c r="DN1036" s="952"/>
      <c r="DO1036" s="75"/>
      <c r="DP1036" s="962"/>
      <c r="DQ1036" s="983"/>
      <c r="DV1036" s="889"/>
    </row>
    <row r="1037" spans="1:126" s="74" customFormat="1">
      <c r="A1037" s="15"/>
      <c r="B1037" s="15"/>
      <c r="C1037" s="15"/>
      <c r="D1037" s="15"/>
      <c r="E1037" s="6"/>
      <c r="F1037" s="6"/>
      <c r="G1037" s="6"/>
      <c r="K1037" s="222"/>
      <c r="V1037" s="1430"/>
      <c r="AA1037" s="223"/>
      <c r="AC1037" s="889"/>
      <c r="AF1037" s="890"/>
      <c r="AJ1037" s="889"/>
      <c r="AN1037" s="222"/>
      <c r="BC1037" s="223"/>
      <c r="BD1037" s="222"/>
      <c r="BH1037" s="611"/>
      <c r="BJ1037" s="15"/>
      <c r="BK1037" s="15"/>
      <c r="BO1037" s="223"/>
      <c r="BQ1037" s="889"/>
      <c r="BT1037" s="890"/>
      <c r="BX1037" s="889"/>
      <c r="CB1037" s="15"/>
      <c r="CC1037" s="697"/>
      <c r="CD1037" s="1086"/>
      <c r="CE1037" s="15"/>
      <c r="CF1037" s="15"/>
      <c r="CG1037" s="936"/>
      <c r="CH1037" s="15"/>
      <c r="CI1037" s="15"/>
      <c r="CJ1037" s="15"/>
      <c r="CK1037" s="1107"/>
      <c r="CL1037" s="22"/>
      <c r="CM1037" s="22"/>
      <c r="CN1037" s="1107"/>
      <c r="CR1037" s="223"/>
      <c r="CS1037" s="952"/>
      <c r="CT1037" s="1066"/>
      <c r="CU1037" s="972"/>
      <c r="CV1037" s="983"/>
      <c r="CW1037" s="222"/>
      <c r="CX1037" s="697"/>
      <c r="DC1037" s="222"/>
      <c r="DJ1037" s="889"/>
      <c r="DM1037" s="890"/>
      <c r="DN1037" s="952"/>
      <c r="DO1037" s="75"/>
      <c r="DP1037" s="962"/>
      <c r="DQ1037" s="983"/>
      <c r="DV1037" s="889"/>
    </row>
    <row r="1038" spans="1:126" s="74" customFormat="1">
      <c r="A1038" s="15"/>
      <c r="B1038" s="15"/>
      <c r="C1038" s="15"/>
      <c r="D1038" s="15"/>
      <c r="E1038" s="6"/>
      <c r="F1038" s="6"/>
      <c r="G1038" s="6"/>
      <c r="K1038" s="222"/>
      <c r="V1038" s="1430"/>
      <c r="AA1038" s="223"/>
      <c r="AC1038" s="889"/>
      <c r="AF1038" s="890"/>
      <c r="AJ1038" s="889"/>
      <c r="AN1038" s="222"/>
      <c r="BC1038" s="223"/>
      <c r="BD1038" s="222"/>
      <c r="BH1038" s="611"/>
      <c r="BJ1038" s="15"/>
      <c r="BK1038" s="15"/>
      <c r="BO1038" s="223"/>
      <c r="BQ1038" s="889"/>
      <c r="BT1038" s="890"/>
      <c r="BX1038" s="889"/>
      <c r="CB1038" s="15"/>
      <c r="CC1038" s="697"/>
      <c r="CD1038" s="1086"/>
      <c r="CE1038" s="15"/>
      <c r="CF1038" s="15"/>
      <c r="CG1038" s="936"/>
      <c r="CH1038" s="15"/>
      <c r="CI1038" s="15"/>
      <c r="CJ1038" s="15"/>
      <c r="CK1038" s="1107"/>
      <c r="CL1038" s="22"/>
      <c r="CM1038" s="22"/>
      <c r="CN1038" s="1107"/>
      <c r="CR1038" s="223"/>
      <c r="CS1038" s="952"/>
      <c r="CT1038" s="1066"/>
      <c r="CU1038" s="972"/>
      <c r="CV1038" s="983"/>
      <c r="CW1038" s="222"/>
      <c r="CX1038" s="697"/>
      <c r="DC1038" s="222"/>
      <c r="DJ1038" s="889"/>
      <c r="DM1038" s="890"/>
      <c r="DN1038" s="952"/>
      <c r="DO1038" s="75"/>
      <c r="DP1038" s="962"/>
      <c r="DQ1038" s="983"/>
      <c r="DV1038" s="889"/>
    </row>
    <row r="1039" spans="1:126" s="74" customFormat="1">
      <c r="A1039" s="15"/>
      <c r="B1039" s="15"/>
      <c r="C1039" s="15"/>
      <c r="D1039" s="15"/>
      <c r="E1039" s="6"/>
      <c r="F1039" s="6"/>
      <c r="G1039" s="6"/>
      <c r="K1039" s="222"/>
      <c r="V1039" s="1430"/>
      <c r="AA1039" s="223"/>
      <c r="AC1039" s="889"/>
      <c r="AF1039" s="890"/>
      <c r="AJ1039" s="889"/>
      <c r="AN1039" s="222"/>
      <c r="BC1039" s="223"/>
      <c r="BD1039" s="222"/>
      <c r="BH1039" s="611"/>
      <c r="BJ1039" s="15"/>
      <c r="BK1039" s="15"/>
      <c r="BO1039" s="223"/>
      <c r="BQ1039" s="889"/>
      <c r="BT1039" s="890"/>
      <c r="BX1039" s="889"/>
      <c r="CB1039" s="15"/>
      <c r="CC1039" s="697"/>
      <c r="CD1039" s="1086"/>
      <c r="CE1039" s="15"/>
      <c r="CF1039" s="15"/>
      <c r="CG1039" s="936"/>
      <c r="CH1039" s="15"/>
      <c r="CI1039" s="15"/>
      <c r="CJ1039" s="15"/>
      <c r="CK1039" s="1107"/>
      <c r="CL1039" s="22"/>
      <c r="CM1039" s="22"/>
      <c r="CN1039" s="1107"/>
      <c r="CR1039" s="223"/>
      <c r="CS1039" s="952"/>
      <c r="CT1039" s="1066"/>
      <c r="CU1039" s="972"/>
      <c r="CV1039" s="983"/>
      <c r="CW1039" s="222"/>
      <c r="CX1039" s="697"/>
      <c r="DC1039" s="222"/>
      <c r="DJ1039" s="889"/>
      <c r="DM1039" s="890"/>
      <c r="DN1039" s="952"/>
      <c r="DO1039" s="75"/>
      <c r="DP1039" s="962"/>
      <c r="DQ1039" s="983"/>
      <c r="DV1039" s="889"/>
    </row>
    <row r="1040" spans="1:126" s="74" customFormat="1">
      <c r="A1040" s="15"/>
      <c r="B1040" s="15"/>
      <c r="C1040" s="15"/>
      <c r="D1040" s="15"/>
      <c r="E1040" s="6"/>
      <c r="F1040" s="6"/>
      <c r="G1040" s="6"/>
      <c r="K1040" s="222"/>
      <c r="V1040" s="1430"/>
      <c r="AA1040" s="223"/>
      <c r="AC1040" s="889"/>
      <c r="AF1040" s="890"/>
      <c r="AJ1040" s="889"/>
      <c r="AN1040" s="222"/>
      <c r="BC1040" s="223"/>
      <c r="BD1040" s="222"/>
      <c r="BH1040" s="611"/>
      <c r="BJ1040" s="15"/>
      <c r="BK1040" s="15"/>
      <c r="BO1040" s="223"/>
      <c r="BQ1040" s="889"/>
      <c r="BT1040" s="890"/>
      <c r="BX1040" s="889"/>
      <c r="CB1040" s="15"/>
      <c r="CC1040" s="697"/>
      <c r="CD1040" s="1086"/>
      <c r="CE1040" s="15"/>
      <c r="CF1040" s="15"/>
      <c r="CG1040" s="936"/>
      <c r="CH1040" s="15"/>
      <c r="CI1040" s="15"/>
      <c r="CJ1040" s="15"/>
      <c r="CK1040" s="1107"/>
      <c r="CL1040" s="22"/>
      <c r="CM1040" s="22"/>
      <c r="CN1040" s="1107"/>
      <c r="CR1040" s="223"/>
      <c r="CS1040" s="952"/>
      <c r="CT1040" s="1066"/>
      <c r="CU1040" s="972"/>
      <c r="CV1040" s="983"/>
      <c r="CW1040" s="222"/>
      <c r="CX1040" s="697"/>
      <c r="DC1040" s="222"/>
      <c r="DJ1040" s="889"/>
      <c r="DM1040" s="890"/>
      <c r="DN1040" s="952"/>
      <c r="DO1040" s="75"/>
      <c r="DP1040" s="962"/>
      <c r="DQ1040" s="983"/>
      <c r="DV1040" s="889"/>
    </row>
    <row r="1041" spans="1:126" s="74" customFormat="1">
      <c r="A1041" s="15"/>
      <c r="B1041" s="15"/>
      <c r="C1041" s="15"/>
      <c r="D1041" s="15"/>
      <c r="E1041" s="6"/>
      <c r="F1041" s="6"/>
      <c r="G1041" s="6"/>
      <c r="K1041" s="222"/>
      <c r="V1041" s="1430"/>
      <c r="AA1041" s="223"/>
      <c r="AC1041" s="889"/>
      <c r="AF1041" s="890"/>
      <c r="AJ1041" s="889"/>
      <c r="AN1041" s="222"/>
      <c r="BC1041" s="223"/>
      <c r="BD1041" s="222"/>
      <c r="BH1041" s="611"/>
      <c r="BJ1041" s="15"/>
      <c r="BK1041" s="15"/>
      <c r="BO1041" s="223"/>
      <c r="BQ1041" s="889"/>
      <c r="BT1041" s="890"/>
      <c r="BX1041" s="889"/>
      <c r="CB1041" s="15"/>
      <c r="CC1041" s="697"/>
      <c r="CD1041" s="1086"/>
      <c r="CE1041" s="15"/>
      <c r="CF1041" s="15"/>
      <c r="CG1041" s="936"/>
      <c r="CH1041" s="15"/>
      <c r="CI1041" s="15"/>
      <c r="CJ1041" s="15"/>
      <c r="CK1041" s="1107"/>
      <c r="CL1041" s="22"/>
      <c r="CM1041" s="22"/>
      <c r="CN1041" s="1107"/>
      <c r="CR1041" s="223"/>
      <c r="CS1041" s="952"/>
      <c r="CT1041" s="1066"/>
      <c r="CU1041" s="972"/>
      <c r="CV1041" s="983"/>
      <c r="CW1041" s="222"/>
      <c r="CX1041" s="697"/>
      <c r="DC1041" s="222"/>
      <c r="DJ1041" s="889"/>
      <c r="DM1041" s="890"/>
      <c r="DN1041" s="952"/>
      <c r="DO1041" s="75"/>
      <c r="DP1041" s="962"/>
      <c r="DQ1041" s="983"/>
      <c r="DV1041" s="889"/>
    </row>
    <row r="1042" spans="1:126" s="74" customFormat="1">
      <c r="A1042" s="15"/>
      <c r="B1042" s="15"/>
      <c r="C1042" s="15"/>
      <c r="D1042" s="15"/>
      <c r="E1042" s="6"/>
      <c r="F1042" s="6"/>
      <c r="G1042" s="6"/>
      <c r="K1042" s="222"/>
      <c r="V1042" s="1430"/>
      <c r="AA1042" s="223"/>
      <c r="AC1042" s="889"/>
      <c r="AF1042" s="890"/>
      <c r="AJ1042" s="889"/>
      <c r="AN1042" s="222"/>
      <c r="BC1042" s="223"/>
      <c r="BD1042" s="222"/>
      <c r="BH1042" s="611"/>
      <c r="BJ1042" s="15"/>
      <c r="BK1042" s="15"/>
      <c r="BO1042" s="223"/>
      <c r="BQ1042" s="889"/>
      <c r="BT1042" s="890"/>
      <c r="BX1042" s="889"/>
      <c r="CB1042" s="15"/>
      <c r="CC1042" s="697"/>
      <c r="CD1042" s="1086"/>
      <c r="CE1042" s="15"/>
      <c r="CF1042" s="15"/>
      <c r="CG1042" s="936"/>
      <c r="CH1042" s="15"/>
      <c r="CI1042" s="15"/>
      <c r="CJ1042" s="15"/>
      <c r="CK1042" s="1107"/>
      <c r="CL1042" s="22"/>
      <c r="CM1042" s="22"/>
      <c r="CN1042" s="1107"/>
      <c r="CR1042" s="223"/>
      <c r="CS1042" s="952"/>
      <c r="CT1042" s="1066"/>
      <c r="CU1042" s="972"/>
      <c r="CV1042" s="983"/>
      <c r="CW1042" s="222"/>
      <c r="CX1042" s="697"/>
      <c r="DC1042" s="222"/>
      <c r="DJ1042" s="889"/>
      <c r="DM1042" s="890"/>
      <c r="DN1042" s="952"/>
      <c r="DO1042" s="75"/>
      <c r="DP1042" s="962"/>
      <c r="DQ1042" s="983"/>
      <c r="DV1042" s="889"/>
    </row>
    <row r="1043" spans="1:126" s="74" customFormat="1">
      <c r="A1043" s="15"/>
      <c r="B1043" s="15"/>
      <c r="C1043" s="15"/>
      <c r="D1043" s="15"/>
      <c r="E1043" s="6"/>
      <c r="F1043" s="6"/>
      <c r="G1043" s="6"/>
      <c r="K1043" s="222"/>
      <c r="V1043" s="1430"/>
      <c r="AA1043" s="223"/>
      <c r="AC1043" s="889"/>
      <c r="AF1043" s="890"/>
      <c r="AJ1043" s="889"/>
      <c r="AN1043" s="222"/>
      <c r="BC1043" s="223"/>
      <c r="BD1043" s="222"/>
      <c r="BH1043" s="611"/>
      <c r="BJ1043" s="15"/>
      <c r="BK1043" s="15"/>
      <c r="BO1043" s="223"/>
      <c r="BQ1043" s="889"/>
      <c r="BT1043" s="890"/>
      <c r="BX1043" s="889"/>
      <c r="CB1043" s="15"/>
      <c r="CC1043" s="697"/>
      <c r="CD1043" s="1086"/>
      <c r="CE1043" s="15"/>
      <c r="CF1043" s="15"/>
      <c r="CG1043" s="936"/>
      <c r="CH1043" s="15"/>
      <c r="CI1043" s="15"/>
      <c r="CJ1043" s="15"/>
      <c r="CK1043" s="1107"/>
      <c r="CL1043" s="22"/>
      <c r="CM1043" s="22"/>
      <c r="CN1043" s="1107"/>
      <c r="CR1043" s="223"/>
      <c r="CS1043" s="952"/>
      <c r="CT1043" s="1066"/>
      <c r="CU1043" s="972"/>
      <c r="CV1043" s="983"/>
      <c r="CW1043" s="222"/>
      <c r="CX1043" s="697"/>
      <c r="DC1043" s="222"/>
      <c r="DJ1043" s="889"/>
      <c r="DM1043" s="890"/>
      <c r="DN1043" s="952"/>
      <c r="DO1043" s="75"/>
      <c r="DP1043" s="962"/>
      <c r="DQ1043" s="983"/>
      <c r="DV1043" s="889"/>
    </row>
    <row r="1044" spans="1:126" s="74" customFormat="1">
      <c r="A1044" s="15"/>
      <c r="B1044" s="15"/>
      <c r="C1044" s="15"/>
      <c r="D1044" s="15"/>
      <c r="E1044" s="6"/>
      <c r="F1044" s="6"/>
      <c r="G1044" s="6"/>
      <c r="K1044" s="222"/>
      <c r="V1044" s="1430"/>
      <c r="AA1044" s="223"/>
      <c r="AC1044" s="889"/>
      <c r="AF1044" s="890"/>
      <c r="AJ1044" s="889"/>
      <c r="AN1044" s="222"/>
      <c r="BC1044" s="223"/>
      <c r="BD1044" s="222"/>
      <c r="BH1044" s="611"/>
      <c r="BJ1044" s="15"/>
      <c r="BK1044" s="15"/>
      <c r="BO1044" s="223"/>
      <c r="BQ1044" s="889"/>
      <c r="BT1044" s="890"/>
      <c r="BX1044" s="889"/>
      <c r="CB1044" s="15"/>
      <c r="CC1044" s="697"/>
      <c r="CD1044" s="1086"/>
      <c r="CE1044" s="15"/>
      <c r="CF1044" s="15"/>
      <c r="CG1044" s="936"/>
      <c r="CH1044" s="15"/>
      <c r="CI1044" s="15"/>
      <c r="CJ1044" s="15"/>
      <c r="CK1044" s="1107"/>
      <c r="CL1044" s="22"/>
      <c r="CM1044" s="22"/>
      <c r="CN1044" s="1107"/>
      <c r="CR1044" s="223"/>
      <c r="CS1044" s="952"/>
      <c r="CT1044" s="1066"/>
      <c r="CU1044" s="972"/>
      <c r="CV1044" s="983"/>
      <c r="CW1044" s="222"/>
      <c r="CX1044" s="697"/>
      <c r="DC1044" s="222"/>
      <c r="DJ1044" s="889"/>
      <c r="DM1044" s="890"/>
      <c r="DN1044" s="952"/>
      <c r="DO1044" s="75"/>
      <c r="DP1044" s="962"/>
      <c r="DQ1044" s="983"/>
      <c r="DV1044" s="889"/>
    </row>
    <row r="1045" spans="1:126" s="74" customFormat="1">
      <c r="A1045" s="15"/>
      <c r="B1045" s="15"/>
      <c r="C1045" s="15"/>
      <c r="D1045" s="15"/>
      <c r="E1045" s="6"/>
      <c r="F1045" s="6"/>
      <c r="G1045" s="6"/>
      <c r="K1045" s="222"/>
      <c r="V1045" s="1430"/>
      <c r="AA1045" s="223"/>
      <c r="AC1045" s="889"/>
      <c r="AF1045" s="890"/>
      <c r="AJ1045" s="889"/>
      <c r="AN1045" s="222"/>
      <c r="BC1045" s="223"/>
      <c r="BD1045" s="222"/>
      <c r="BH1045" s="611"/>
      <c r="BJ1045" s="15"/>
      <c r="BK1045" s="15"/>
      <c r="BO1045" s="223"/>
      <c r="BQ1045" s="889"/>
      <c r="BT1045" s="890"/>
      <c r="BX1045" s="889"/>
      <c r="CB1045" s="15"/>
      <c r="CC1045" s="697"/>
      <c r="CD1045" s="1086"/>
      <c r="CE1045" s="15"/>
      <c r="CF1045" s="15"/>
      <c r="CG1045" s="936"/>
      <c r="CH1045" s="15"/>
      <c r="CI1045" s="15"/>
      <c r="CJ1045" s="15"/>
      <c r="CK1045" s="1107"/>
      <c r="CL1045" s="22"/>
      <c r="CM1045" s="22"/>
      <c r="CN1045" s="1107"/>
      <c r="CR1045" s="223"/>
      <c r="CS1045" s="952"/>
      <c r="CT1045" s="1066"/>
      <c r="CU1045" s="972"/>
      <c r="CV1045" s="983"/>
      <c r="CW1045" s="222"/>
      <c r="CX1045" s="697"/>
      <c r="DC1045" s="222"/>
      <c r="DJ1045" s="889"/>
      <c r="DM1045" s="890"/>
      <c r="DN1045" s="952"/>
      <c r="DO1045" s="75"/>
      <c r="DP1045" s="962"/>
      <c r="DQ1045" s="983"/>
      <c r="DV1045" s="889"/>
    </row>
    <row r="1046" spans="1:126" s="74" customFormat="1">
      <c r="A1046" s="15"/>
      <c r="B1046" s="15"/>
      <c r="C1046" s="15"/>
      <c r="D1046" s="15"/>
      <c r="E1046" s="6"/>
      <c r="F1046" s="6"/>
      <c r="G1046" s="6"/>
      <c r="K1046" s="222"/>
      <c r="V1046" s="1430"/>
      <c r="AA1046" s="223"/>
      <c r="AC1046" s="889"/>
      <c r="AF1046" s="890"/>
      <c r="AJ1046" s="889"/>
      <c r="AN1046" s="222"/>
      <c r="BC1046" s="223"/>
      <c r="BD1046" s="222"/>
      <c r="BH1046" s="611"/>
      <c r="BJ1046" s="15"/>
      <c r="BK1046" s="15"/>
      <c r="BO1046" s="223"/>
      <c r="BQ1046" s="889"/>
      <c r="BT1046" s="890"/>
      <c r="BX1046" s="889"/>
      <c r="CB1046" s="15"/>
      <c r="CC1046" s="697"/>
      <c r="CD1046" s="1086"/>
      <c r="CE1046" s="15"/>
      <c r="CF1046" s="15"/>
      <c r="CG1046" s="936"/>
      <c r="CH1046" s="15"/>
      <c r="CI1046" s="15"/>
      <c r="CJ1046" s="15"/>
      <c r="CK1046" s="1107"/>
      <c r="CL1046" s="22"/>
      <c r="CM1046" s="22"/>
      <c r="CN1046" s="1107"/>
      <c r="CR1046" s="223"/>
      <c r="CS1046" s="952"/>
      <c r="CT1046" s="1066"/>
      <c r="CU1046" s="972"/>
      <c r="CV1046" s="983"/>
      <c r="CW1046" s="222"/>
      <c r="CX1046" s="697"/>
      <c r="DC1046" s="222"/>
      <c r="DJ1046" s="889"/>
      <c r="DM1046" s="890"/>
      <c r="DN1046" s="952"/>
      <c r="DO1046" s="75"/>
      <c r="DP1046" s="962"/>
      <c r="DQ1046" s="983"/>
      <c r="DV1046" s="889"/>
    </row>
    <row r="1047" spans="1:126" s="74" customFormat="1">
      <c r="A1047" s="15"/>
      <c r="B1047" s="15"/>
      <c r="C1047" s="15"/>
      <c r="D1047" s="15"/>
      <c r="E1047" s="6"/>
      <c r="F1047" s="6"/>
      <c r="G1047" s="6"/>
      <c r="K1047" s="222"/>
      <c r="V1047" s="1430"/>
      <c r="AA1047" s="223"/>
      <c r="AC1047" s="889"/>
      <c r="AF1047" s="890"/>
      <c r="AJ1047" s="889"/>
      <c r="AN1047" s="222"/>
      <c r="BC1047" s="223"/>
      <c r="BD1047" s="222"/>
      <c r="BH1047" s="611"/>
      <c r="BJ1047" s="15"/>
      <c r="BK1047" s="15"/>
      <c r="BO1047" s="223"/>
      <c r="BQ1047" s="889"/>
      <c r="BT1047" s="890"/>
      <c r="BX1047" s="889"/>
      <c r="CB1047" s="15"/>
      <c r="CC1047" s="697"/>
      <c r="CD1047" s="1086"/>
      <c r="CE1047" s="15"/>
      <c r="CF1047" s="15"/>
      <c r="CG1047" s="936"/>
      <c r="CH1047" s="15"/>
      <c r="CI1047" s="15"/>
      <c r="CJ1047" s="15"/>
      <c r="CK1047" s="1107"/>
      <c r="CL1047" s="22"/>
      <c r="CM1047" s="22"/>
      <c r="CN1047" s="1107"/>
      <c r="CR1047" s="223"/>
      <c r="CS1047" s="952"/>
      <c r="CT1047" s="1066"/>
      <c r="CU1047" s="972"/>
      <c r="CV1047" s="983"/>
      <c r="CW1047" s="222"/>
      <c r="CX1047" s="697"/>
      <c r="DC1047" s="222"/>
      <c r="DJ1047" s="889"/>
      <c r="DM1047" s="890"/>
      <c r="DN1047" s="952"/>
      <c r="DO1047" s="75"/>
      <c r="DP1047" s="962"/>
      <c r="DQ1047" s="983"/>
      <c r="DV1047" s="889"/>
    </row>
    <row r="1048" spans="1:126" s="74" customFormat="1">
      <c r="A1048" s="15"/>
      <c r="B1048" s="15"/>
      <c r="C1048" s="15"/>
      <c r="D1048" s="15"/>
      <c r="E1048" s="6"/>
      <c r="F1048" s="6"/>
      <c r="G1048" s="6"/>
      <c r="K1048" s="222"/>
      <c r="V1048" s="1430"/>
      <c r="AA1048" s="223"/>
      <c r="AC1048" s="889"/>
      <c r="AF1048" s="890"/>
      <c r="AJ1048" s="889"/>
      <c r="AN1048" s="222"/>
      <c r="BC1048" s="223"/>
      <c r="BD1048" s="222"/>
      <c r="BH1048" s="611"/>
      <c r="BJ1048" s="15"/>
      <c r="BK1048" s="15"/>
      <c r="BO1048" s="223"/>
      <c r="BQ1048" s="889"/>
      <c r="BT1048" s="890"/>
      <c r="BX1048" s="889"/>
      <c r="CB1048" s="15"/>
      <c r="CC1048" s="697"/>
      <c r="CD1048" s="1086"/>
      <c r="CE1048" s="15"/>
      <c r="CF1048" s="15"/>
      <c r="CG1048" s="936"/>
      <c r="CH1048" s="15"/>
      <c r="CI1048" s="15"/>
      <c r="CJ1048" s="15"/>
      <c r="CK1048" s="1107"/>
      <c r="CL1048" s="22"/>
      <c r="CM1048" s="22"/>
      <c r="CN1048" s="1107"/>
      <c r="CR1048" s="223"/>
      <c r="CS1048" s="952"/>
      <c r="CT1048" s="1066"/>
      <c r="CU1048" s="972"/>
      <c r="CV1048" s="983"/>
      <c r="CW1048" s="222"/>
      <c r="CX1048" s="697"/>
      <c r="DC1048" s="222"/>
      <c r="DJ1048" s="889"/>
      <c r="DM1048" s="890"/>
      <c r="DN1048" s="952"/>
      <c r="DO1048" s="75"/>
      <c r="DP1048" s="962"/>
      <c r="DQ1048" s="983"/>
      <c r="DV1048" s="889"/>
    </row>
    <row r="1049" spans="1:126" s="74" customFormat="1">
      <c r="A1049" s="15"/>
      <c r="B1049" s="15"/>
      <c r="C1049" s="15"/>
      <c r="D1049" s="15"/>
      <c r="E1049" s="6"/>
      <c r="F1049" s="6"/>
      <c r="G1049" s="6"/>
      <c r="K1049" s="222"/>
      <c r="V1049" s="1430"/>
      <c r="AA1049" s="223"/>
      <c r="AC1049" s="889"/>
      <c r="AF1049" s="890"/>
      <c r="AJ1049" s="889"/>
      <c r="AN1049" s="222"/>
      <c r="BC1049" s="223"/>
      <c r="BD1049" s="222"/>
      <c r="BH1049" s="611"/>
      <c r="BJ1049" s="15"/>
      <c r="BK1049" s="15"/>
      <c r="BO1049" s="223"/>
      <c r="BQ1049" s="889"/>
      <c r="BT1049" s="890"/>
      <c r="BX1049" s="889"/>
      <c r="CB1049" s="15"/>
      <c r="CC1049" s="697"/>
      <c r="CD1049" s="1086"/>
      <c r="CE1049" s="15"/>
      <c r="CF1049" s="15"/>
      <c r="CG1049" s="936"/>
      <c r="CH1049" s="15"/>
      <c r="CI1049" s="15"/>
      <c r="CJ1049" s="15"/>
      <c r="CK1049" s="1107"/>
      <c r="CL1049" s="22"/>
      <c r="CM1049" s="22"/>
      <c r="CN1049" s="1107"/>
      <c r="CR1049" s="223"/>
      <c r="CS1049" s="952"/>
      <c r="CT1049" s="1066"/>
      <c r="CU1049" s="972"/>
      <c r="CV1049" s="983"/>
      <c r="CW1049" s="222"/>
      <c r="CX1049" s="697"/>
      <c r="DC1049" s="222"/>
      <c r="DJ1049" s="889"/>
      <c r="DM1049" s="890"/>
      <c r="DN1049" s="952"/>
      <c r="DO1049" s="75"/>
      <c r="DP1049" s="962"/>
      <c r="DQ1049" s="983"/>
      <c r="DV1049" s="889"/>
    </row>
    <row r="1050" spans="1:126" s="74" customFormat="1">
      <c r="A1050" s="15"/>
      <c r="B1050" s="15"/>
      <c r="C1050" s="15"/>
      <c r="D1050" s="15"/>
      <c r="E1050" s="6"/>
      <c r="F1050" s="6"/>
      <c r="G1050" s="6"/>
      <c r="K1050" s="222"/>
      <c r="V1050" s="1430"/>
      <c r="AA1050" s="223"/>
      <c r="AC1050" s="889"/>
      <c r="AF1050" s="890"/>
      <c r="AJ1050" s="889"/>
      <c r="AN1050" s="222"/>
      <c r="BC1050" s="223"/>
      <c r="BD1050" s="222"/>
      <c r="BH1050" s="611"/>
      <c r="BJ1050" s="15"/>
      <c r="BK1050" s="15"/>
      <c r="BO1050" s="223"/>
      <c r="BQ1050" s="889"/>
      <c r="BT1050" s="890"/>
      <c r="BX1050" s="889"/>
      <c r="CB1050" s="15"/>
      <c r="CC1050" s="697"/>
      <c r="CD1050" s="1086"/>
      <c r="CE1050" s="15"/>
      <c r="CF1050" s="15"/>
      <c r="CG1050" s="936"/>
      <c r="CH1050" s="15"/>
      <c r="CI1050" s="15"/>
      <c r="CJ1050" s="15"/>
      <c r="CK1050" s="1107"/>
      <c r="CL1050" s="22"/>
      <c r="CM1050" s="22"/>
      <c r="CN1050" s="1107"/>
      <c r="CR1050" s="223"/>
      <c r="CS1050" s="952"/>
      <c r="CT1050" s="1066"/>
      <c r="CU1050" s="972"/>
      <c r="CV1050" s="983"/>
      <c r="CW1050" s="222"/>
      <c r="CX1050" s="697"/>
      <c r="DC1050" s="222"/>
      <c r="DJ1050" s="889"/>
      <c r="DM1050" s="890"/>
      <c r="DN1050" s="952"/>
      <c r="DO1050" s="75"/>
      <c r="DP1050" s="962"/>
      <c r="DQ1050" s="983"/>
      <c r="DV1050" s="889"/>
    </row>
    <row r="1051" spans="1:126" s="74" customFormat="1">
      <c r="A1051" s="15"/>
      <c r="B1051" s="15"/>
      <c r="C1051" s="15"/>
      <c r="D1051" s="15"/>
      <c r="E1051" s="6"/>
      <c r="F1051" s="6"/>
      <c r="G1051" s="6"/>
      <c r="K1051" s="222"/>
      <c r="V1051" s="1430"/>
      <c r="AA1051" s="223"/>
      <c r="AC1051" s="889"/>
      <c r="AF1051" s="890"/>
      <c r="AJ1051" s="889"/>
      <c r="AN1051" s="222"/>
      <c r="BC1051" s="223"/>
      <c r="BD1051" s="222"/>
      <c r="BH1051" s="611"/>
      <c r="BJ1051" s="15"/>
      <c r="BK1051" s="15"/>
      <c r="BO1051" s="223"/>
      <c r="BQ1051" s="889"/>
      <c r="BT1051" s="890"/>
      <c r="BX1051" s="889"/>
      <c r="CB1051" s="15"/>
      <c r="CC1051" s="697"/>
      <c r="CD1051" s="1086"/>
      <c r="CE1051" s="15"/>
      <c r="CF1051" s="15"/>
      <c r="CG1051" s="936"/>
      <c r="CH1051" s="15"/>
      <c r="CI1051" s="15"/>
      <c r="CJ1051" s="15"/>
      <c r="CK1051" s="1107"/>
      <c r="CL1051" s="22"/>
      <c r="CM1051" s="22"/>
      <c r="CN1051" s="1107"/>
      <c r="CR1051" s="223"/>
      <c r="CS1051" s="952"/>
      <c r="CT1051" s="1066"/>
      <c r="CU1051" s="972"/>
      <c r="CV1051" s="983"/>
      <c r="CW1051" s="222"/>
      <c r="CX1051" s="697"/>
      <c r="DC1051" s="222"/>
      <c r="DJ1051" s="889"/>
      <c r="DM1051" s="890"/>
      <c r="DN1051" s="952"/>
      <c r="DO1051" s="75"/>
      <c r="DP1051" s="962"/>
      <c r="DQ1051" s="983"/>
      <c r="DV1051" s="889"/>
    </row>
    <row r="1052" spans="1:126" s="74" customFormat="1">
      <c r="A1052" s="15"/>
      <c r="B1052" s="15"/>
      <c r="C1052" s="15"/>
      <c r="D1052" s="15"/>
      <c r="E1052" s="6"/>
      <c r="F1052" s="6"/>
      <c r="G1052" s="6"/>
      <c r="K1052" s="222"/>
      <c r="V1052" s="1430"/>
      <c r="AA1052" s="223"/>
      <c r="AC1052" s="889"/>
      <c r="AF1052" s="890"/>
      <c r="AJ1052" s="889"/>
      <c r="AN1052" s="222"/>
      <c r="BC1052" s="223"/>
      <c r="BD1052" s="222"/>
      <c r="BH1052" s="611"/>
      <c r="BJ1052" s="15"/>
      <c r="BK1052" s="15"/>
      <c r="BO1052" s="223"/>
      <c r="BQ1052" s="889"/>
      <c r="BT1052" s="890"/>
      <c r="BX1052" s="889"/>
      <c r="CB1052" s="15"/>
      <c r="CC1052" s="697"/>
      <c r="CD1052" s="1086"/>
      <c r="CE1052" s="15"/>
      <c r="CF1052" s="15"/>
      <c r="CG1052" s="936"/>
      <c r="CH1052" s="15"/>
      <c r="CI1052" s="15"/>
      <c r="CJ1052" s="15"/>
      <c r="CK1052" s="1107"/>
      <c r="CL1052" s="22"/>
      <c r="CM1052" s="22"/>
      <c r="CN1052" s="1107"/>
      <c r="CR1052" s="223"/>
      <c r="CS1052" s="952"/>
      <c r="CT1052" s="1066"/>
      <c r="CU1052" s="972"/>
      <c r="CV1052" s="983"/>
      <c r="CW1052" s="222"/>
      <c r="CX1052" s="697"/>
      <c r="DC1052" s="222"/>
      <c r="DJ1052" s="889"/>
      <c r="DM1052" s="890"/>
      <c r="DN1052" s="952"/>
      <c r="DO1052" s="75"/>
      <c r="DP1052" s="962"/>
      <c r="DQ1052" s="983"/>
      <c r="DV1052" s="889"/>
    </row>
    <row r="1053" spans="1:126" s="74" customFormat="1">
      <c r="A1053" s="15"/>
      <c r="B1053" s="15"/>
      <c r="C1053" s="15"/>
      <c r="D1053" s="15"/>
      <c r="E1053" s="6"/>
      <c r="F1053" s="6"/>
      <c r="G1053" s="6"/>
      <c r="K1053" s="222"/>
      <c r="V1053" s="1430"/>
      <c r="AA1053" s="223"/>
      <c r="AC1053" s="889"/>
      <c r="AF1053" s="890"/>
      <c r="AJ1053" s="889"/>
      <c r="AN1053" s="222"/>
      <c r="BC1053" s="223"/>
      <c r="BD1053" s="222"/>
      <c r="BH1053" s="611"/>
      <c r="BJ1053" s="15"/>
      <c r="BK1053" s="15"/>
      <c r="BO1053" s="223"/>
      <c r="BQ1053" s="889"/>
      <c r="BT1053" s="890"/>
      <c r="BX1053" s="889"/>
      <c r="CB1053" s="15"/>
      <c r="CC1053" s="697"/>
      <c r="CD1053" s="1086"/>
      <c r="CE1053" s="15"/>
      <c r="CF1053" s="15"/>
      <c r="CG1053" s="936"/>
      <c r="CH1053" s="15"/>
      <c r="CI1053" s="15"/>
      <c r="CJ1053" s="15"/>
      <c r="CK1053" s="1107"/>
      <c r="CL1053" s="22"/>
      <c r="CM1053" s="22"/>
      <c r="CN1053" s="1107"/>
      <c r="CR1053" s="223"/>
      <c r="CS1053" s="952"/>
      <c r="CT1053" s="1066"/>
      <c r="CU1053" s="972"/>
      <c r="CV1053" s="983"/>
      <c r="CW1053" s="222"/>
      <c r="CX1053" s="697"/>
      <c r="DC1053" s="222"/>
      <c r="DJ1053" s="889"/>
      <c r="DM1053" s="890"/>
      <c r="DN1053" s="952"/>
      <c r="DO1053" s="75"/>
      <c r="DP1053" s="962"/>
      <c r="DQ1053" s="983"/>
      <c r="DV1053" s="889"/>
    </row>
    <row r="1054" spans="1:126" s="74" customFormat="1">
      <c r="A1054" s="15"/>
      <c r="B1054" s="15"/>
      <c r="C1054" s="15"/>
      <c r="D1054" s="15"/>
      <c r="E1054" s="6"/>
      <c r="F1054" s="6"/>
      <c r="G1054" s="6"/>
      <c r="K1054" s="222"/>
      <c r="V1054" s="1430"/>
      <c r="AA1054" s="223"/>
      <c r="AC1054" s="889"/>
      <c r="AF1054" s="890"/>
      <c r="AJ1054" s="889"/>
      <c r="AN1054" s="222"/>
      <c r="BC1054" s="223"/>
      <c r="BD1054" s="222"/>
      <c r="BH1054" s="611"/>
      <c r="BJ1054" s="15"/>
      <c r="BK1054" s="15"/>
      <c r="BO1054" s="223"/>
      <c r="BQ1054" s="889"/>
      <c r="BT1054" s="890"/>
      <c r="BX1054" s="889"/>
      <c r="CB1054" s="15"/>
      <c r="CC1054" s="697"/>
      <c r="CD1054" s="1086"/>
      <c r="CE1054" s="15"/>
      <c r="CF1054" s="15"/>
      <c r="CG1054" s="936"/>
      <c r="CH1054" s="15"/>
      <c r="CI1054" s="15"/>
      <c r="CJ1054" s="15"/>
      <c r="CK1054" s="1107"/>
      <c r="CL1054" s="22"/>
      <c r="CM1054" s="22"/>
      <c r="CN1054" s="1107"/>
      <c r="CR1054" s="223"/>
      <c r="CS1054" s="952"/>
      <c r="CT1054" s="1066"/>
      <c r="CU1054" s="972"/>
      <c r="CV1054" s="983"/>
      <c r="CW1054" s="222"/>
      <c r="CX1054" s="697"/>
      <c r="DC1054" s="222"/>
      <c r="DJ1054" s="889"/>
      <c r="DM1054" s="890"/>
      <c r="DN1054" s="952"/>
      <c r="DO1054" s="75"/>
      <c r="DP1054" s="962"/>
      <c r="DQ1054" s="983"/>
      <c r="DV1054" s="889"/>
    </row>
    <row r="1055" spans="1:126" s="74" customFormat="1">
      <c r="A1055" s="15"/>
      <c r="B1055" s="15"/>
      <c r="C1055" s="15"/>
      <c r="D1055" s="15"/>
      <c r="E1055" s="6"/>
      <c r="F1055" s="6"/>
      <c r="G1055" s="6"/>
      <c r="K1055" s="222"/>
      <c r="V1055" s="1430"/>
      <c r="AA1055" s="223"/>
      <c r="AC1055" s="889"/>
      <c r="AF1055" s="890"/>
      <c r="AJ1055" s="889"/>
      <c r="AN1055" s="222"/>
      <c r="BC1055" s="223"/>
      <c r="BD1055" s="222"/>
      <c r="BH1055" s="611"/>
      <c r="BJ1055" s="15"/>
      <c r="BK1055" s="15"/>
      <c r="BO1055" s="223"/>
      <c r="BQ1055" s="889"/>
      <c r="BT1055" s="890"/>
      <c r="BX1055" s="889"/>
      <c r="CB1055" s="15"/>
      <c r="CC1055" s="697"/>
      <c r="CD1055" s="1086"/>
      <c r="CE1055" s="15"/>
      <c r="CF1055" s="15"/>
      <c r="CG1055" s="936"/>
      <c r="CH1055" s="15"/>
      <c r="CI1055" s="15"/>
      <c r="CJ1055" s="15"/>
      <c r="CK1055" s="1107"/>
      <c r="CL1055" s="22"/>
      <c r="CM1055" s="22"/>
      <c r="CN1055" s="1107"/>
      <c r="CR1055" s="223"/>
      <c r="CS1055" s="952"/>
      <c r="CT1055" s="1066"/>
      <c r="CU1055" s="972"/>
      <c r="CV1055" s="983"/>
      <c r="CW1055" s="222"/>
      <c r="CX1055" s="697"/>
      <c r="DC1055" s="222"/>
      <c r="DJ1055" s="889"/>
      <c r="DM1055" s="890"/>
      <c r="DN1055" s="952"/>
      <c r="DO1055" s="75"/>
      <c r="DP1055" s="962"/>
      <c r="DQ1055" s="983"/>
      <c r="DV1055" s="889"/>
    </row>
    <row r="1056" spans="1:126" s="74" customFormat="1">
      <c r="A1056" s="15"/>
      <c r="B1056" s="15"/>
      <c r="C1056" s="15"/>
      <c r="D1056" s="15"/>
      <c r="E1056" s="6"/>
      <c r="F1056" s="6"/>
      <c r="G1056" s="6"/>
      <c r="K1056" s="222"/>
      <c r="V1056" s="1430"/>
      <c r="AA1056" s="223"/>
      <c r="AC1056" s="889"/>
      <c r="AF1056" s="890"/>
      <c r="AJ1056" s="889"/>
      <c r="AN1056" s="222"/>
      <c r="BC1056" s="223"/>
      <c r="BD1056" s="222"/>
      <c r="BH1056" s="611"/>
      <c r="BJ1056" s="15"/>
      <c r="BK1056" s="15"/>
      <c r="BO1056" s="223"/>
      <c r="BQ1056" s="889"/>
      <c r="BT1056" s="890"/>
      <c r="BX1056" s="889"/>
      <c r="CB1056" s="15"/>
      <c r="CC1056" s="697"/>
      <c r="CD1056" s="1086"/>
      <c r="CE1056" s="15"/>
      <c r="CF1056" s="15"/>
      <c r="CG1056" s="936"/>
      <c r="CH1056" s="15"/>
      <c r="CI1056" s="15"/>
      <c r="CJ1056" s="15"/>
      <c r="CK1056" s="1107"/>
      <c r="CL1056" s="22"/>
      <c r="CM1056" s="22"/>
      <c r="CN1056" s="1107"/>
      <c r="CR1056" s="223"/>
      <c r="CS1056" s="952"/>
      <c r="CT1056" s="1066"/>
      <c r="CU1056" s="972"/>
      <c r="CV1056" s="983"/>
      <c r="CW1056" s="222"/>
      <c r="CX1056" s="697"/>
      <c r="DC1056" s="222"/>
      <c r="DJ1056" s="889"/>
      <c r="DM1056" s="890"/>
      <c r="DN1056" s="952"/>
      <c r="DO1056" s="75"/>
      <c r="DP1056" s="962"/>
      <c r="DQ1056" s="983"/>
      <c r="DV1056" s="889"/>
    </row>
    <row r="1057" spans="1:126" s="74" customFormat="1">
      <c r="A1057" s="15"/>
      <c r="B1057" s="15"/>
      <c r="C1057" s="15"/>
      <c r="D1057" s="15"/>
      <c r="E1057" s="6"/>
      <c r="F1057" s="6"/>
      <c r="G1057" s="6"/>
      <c r="K1057" s="222"/>
      <c r="V1057" s="1430"/>
      <c r="AA1057" s="223"/>
      <c r="AC1057" s="889"/>
      <c r="AF1057" s="890"/>
      <c r="AJ1057" s="889"/>
      <c r="AN1057" s="222"/>
      <c r="BC1057" s="223"/>
      <c r="BD1057" s="222"/>
      <c r="BH1057" s="611"/>
      <c r="BJ1057" s="15"/>
      <c r="BK1057" s="15"/>
      <c r="BO1057" s="223"/>
      <c r="BQ1057" s="889"/>
      <c r="BT1057" s="890"/>
      <c r="BX1057" s="889"/>
      <c r="CB1057" s="15"/>
      <c r="CC1057" s="697"/>
      <c r="CD1057" s="1086"/>
      <c r="CE1057" s="15"/>
      <c r="CF1057" s="15"/>
      <c r="CG1057" s="936"/>
      <c r="CH1057" s="15"/>
      <c r="CI1057" s="15"/>
      <c r="CJ1057" s="15"/>
      <c r="CK1057" s="1107"/>
      <c r="CL1057" s="22"/>
      <c r="CM1057" s="22"/>
      <c r="CN1057" s="1107"/>
      <c r="CR1057" s="223"/>
      <c r="CS1057" s="952"/>
      <c r="CT1057" s="1066"/>
      <c r="CU1057" s="972"/>
      <c r="CV1057" s="983"/>
      <c r="CW1057" s="222"/>
      <c r="CX1057" s="697"/>
      <c r="DC1057" s="222"/>
      <c r="DJ1057" s="889"/>
      <c r="DM1057" s="890"/>
      <c r="DN1057" s="952"/>
      <c r="DO1057" s="75"/>
      <c r="DP1057" s="962"/>
      <c r="DQ1057" s="983"/>
      <c r="DV1057" s="889"/>
    </row>
    <row r="1058" spans="1:126" s="74" customFormat="1">
      <c r="A1058" s="15"/>
      <c r="B1058" s="15"/>
      <c r="C1058" s="15"/>
      <c r="D1058" s="15"/>
      <c r="E1058" s="6"/>
      <c r="F1058" s="6"/>
      <c r="G1058" s="6"/>
      <c r="K1058" s="222"/>
      <c r="V1058" s="1430"/>
      <c r="AA1058" s="223"/>
      <c r="AC1058" s="889"/>
      <c r="AF1058" s="890"/>
      <c r="AJ1058" s="889"/>
      <c r="AN1058" s="222"/>
      <c r="BC1058" s="223"/>
      <c r="BD1058" s="222"/>
      <c r="BH1058" s="611"/>
      <c r="BJ1058" s="15"/>
      <c r="BK1058" s="15"/>
      <c r="BO1058" s="223"/>
      <c r="BQ1058" s="889"/>
      <c r="BT1058" s="890"/>
      <c r="BX1058" s="889"/>
      <c r="CB1058" s="15"/>
      <c r="CC1058" s="697"/>
      <c r="CD1058" s="1086"/>
      <c r="CE1058" s="15"/>
      <c r="CF1058" s="15"/>
      <c r="CG1058" s="936"/>
      <c r="CH1058" s="15"/>
      <c r="CI1058" s="15"/>
      <c r="CJ1058" s="15"/>
      <c r="CK1058" s="1107"/>
      <c r="CL1058" s="22"/>
      <c r="CM1058" s="22"/>
      <c r="CN1058" s="1107"/>
      <c r="CR1058" s="223"/>
      <c r="CS1058" s="952"/>
      <c r="CT1058" s="1066"/>
      <c r="CU1058" s="972"/>
      <c r="CV1058" s="983"/>
      <c r="CW1058" s="222"/>
      <c r="CX1058" s="697"/>
      <c r="DC1058" s="222"/>
      <c r="DJ1058" s="889"/>
      <c r="DM1058" s="890"/>
      <c r="DN1058" s="952"/>
      <c r="DO1058" s="75"/>
      <c r="DP1058" s="962"/>
      <c r="DQ1058" s="983"/>
      <c r="DV1058" s="889"/>
    </row>
    <row r="1059" spans="1:126" s="74" customFormat="1">
      <c r="A1059" s="15"/>
      <c r="B1059" s="15"/>
      <c r="C1059" s="15"/>
      <c r="D1059" s="15"/>
      <c r="E1059" s="6"/>
      <c r="F1059" s="6"/>
      <c r="G1059" s="6"/>
      <c r="K1059" s="222"/>
      <c r="V1059" s="1430"/>
      <c r="AA1059" s="223"/>
      <c r="AC1059" s="889"/>
      <c r="AF1059" s="890"/>
      <c r="AJ1059" s="889"/>
      <c r="AN1059" s="222"/>
      <c r="BC1059" s="223"/>
      <c r="BD1059" s="222"/>
      <c r="BH1059" s="611"/>
      <c r="BJ1059" s="15"/>
      <c r="BK1059" s="15"/>
      <c r="BO1059" s="223"/>
      <c r="BQ1059" s="889"/>
      <c r="BT1059" s="890"/>
      <c r="BX1059" s="889"/>
      <c r="CB1059" s="15"/>
      <c r="CC1059" s="697"/>
      <c r="CD1059" s="1086"/>
      <c r="CE1059" s="15"/>
      <c r="CF1059" s="15"/>
      <c r="CG1059" s="936"/>
      <c r="CH1059" s="15"/>
      <c r="CI1059" s="15"/>
      <c r="CJ1059" s="15"/>
      <c r="CK1059" s="1107"/>
      <c r="CL1059" s="22"/>
      <c r="CM1059" s="22"/>
      <c r="CN1059" s="1107"/>
      <c r="CR1059" s="223"/>
      <c r="CS1059" s="952"/>
      <c r="CT1059" s="1066"/>
      <c r="CU1059" s="972"/>
      <c r="CV1059" s="983"/>
      <c r="CW1059" s="222"/>
      <c r="CX1059" s="697"/>
      <c r="DC1059" s="222"/>
      <c r="DJ1059" s="889"/>
      <c r="DM1059" s="890"/>
      <c r="DN1059" s="952"/>
      <c r="DO1059" s="75"/>
      <c r="DP1059" s="962"/>
      <c r="DQ1059" s="983"/>
      <c r="DV1059" s="889"/>
    </row>
    <row r="1060" spans="1:126" s="74" customFormat="1">
      <c r="A1060" s="15"/>
      <c r="B1060" s="15"/>
      <c r="C1060" s="15"/>
      <c r="D1060" s="15"/>
      <c r="E1060" s="6"/>
      <c r="F1060" s="6"/>
      <c r="G1060" s="6"/>
      <c r="K1060" s="222"/>
      <c r="V1060" s="1430"/>
      <c r="AA1060" s="223"/>
      <c r="AC1060" s="889"/>
      <c r="AF1060" s="890"/>
      <c r="AJ1060" s="889"/>
      <c r="AN1060" s="222"/>
      <c r="BC1060" s="223"/>
      <c r="BD1060" s="222"/>
      <c r="BH1060" s="611"/>
      <c r="BJ1060" s="15"/>
      <c r="BK1060" s="15"/>
      <c r="BO1060" s="223"/>
      <c r="BQ1060" s="889"/>
      <c r="BT1060" s="890"/>
      <c r="BX1060" s="889"/>
      <c r="CB1060" s="15"/>
      <c r="CC1060" s="697"/>
      <c r="CD1060" s="1086"/>
      <c r="CE1060" s="15"/>
      <c r="CF1060" s="15"/>
      <c r="CG1060" s="936"/>
      <c r="CH1060" s="15"/>
      <c r="CI1060" s="15"/>
      <c r="CJ1060" s="15"/>
      <c r="CK1060" s="1107"/>
      <c r="CL1060" s="22"/>
      <c r="CM1060" s="22"/>
      <c r="CN1060" s="1107"/>
      <c r="CR1060" s="223"/>
      <c r="CS1060" s="952"/>
      <c r="CT1060" s="1066"/>
      <c r="CU1060" s="972"/>
      <c r="CV1060" s="983"/>
      <c r="CW1060" s="222"/>
      <c r="CX1060" s="697"/>
      <c r="DC1060" s="222"/>
      <c r="DJ1060" s="889"/>
      <c r="DM1060" s="890"/>
      <c r="DN1060" s="952"/>
      <c r="DO1060" s="75"/>
      <c r="DP1060" s="962"/>
      <c r="DQ1060" s="983"/>
      <c r="DV1060" s="889"/>
    </row>
    <row r="1061" spans="1:126" s="74" customFormat="1">
      <c r="A1061" s="15"/>
      <c r="B1061" s="15"/>
      <c r="C1061" s="15"/>
      <c r="D1061" s="15"/>
      <c r="E1061" s="6"/>
      <c r="F1061" s="6"/>
      <c r="G1061" s="6"/>
      <c r="K1061" s="222"/>
      <c r="V1061" s="1430"/>
      <c r="AA1061" s="223"/>
      <c r="AC1061" s="889"/>
      <c r="AF1061" s="890"/>
      <c r="AJ1061" s="889"/>
      <c r="AN1061" s="222"/>
      <c r="BC1061" s="223"/>
      <c r="BD1061" s="222"/>
      <c r="BH1061" s="611"/>
      <c r="BJ1061" s="15"/>
      <c r="BK1061" s="15"/>
      <c r="BO1061" s="223"/>
      <c r="BQ1061" s="889"/>
      <c r="BT1061" s="890"/>
      <c r="BX1061" s="889"/>
      <c r="CB1061" s="15"/>
      <c r="CC1061" s="697"/>
      <c r="CD1061" s="1086"/>
      <c r="CE1061" s="15"/>
      <c r="CF1061" s="15"/>
      <c r="CG1061" s="936"/>
      <c r="CH1061" s="15"/>
      <c r="CI1061" s="15"/>
      <c r="CJ1061" s="15"/>
      <c r="CK1061" s="1107"/>
      <c r="CL1061" s="22"/>
      <c r="CM1061" s="22"/>
      <c r="CN1061" s="1107"/>
      <c r="CR1061" s="223"/>
      <c r="CS1061" s="952"/>
      <c r="CT1061" s="1066"/>
      <c r="CU1061" s="972"/>
      <c r="CV1061" s="983"/>
      <c r="CW1061" s="222"/>
      <c r="CX1061" s="697"/>
      <c r="DC1061" s="222"/>
      <c r="DJ1061" s="889"/>
      <c r="DM1061" s="890"/>
      <c r="DN1061" s="952"/>
      <c r="DO1061" s="75"/>
      <c r="DP1061" s="962"/>
      <c r="DQ1061" s="983"/>
      <c r="DV1061" s="889"/>
    </row>
    <row r="1062" spans="1:126" s="74" customFormat="1">
      <c r="A1062" s="15"/>
      <c r="B1062" s="15"/>
      <c r="C1062" s="15"/>
      <c r="D1062" s="15"/>
      <c r="E1062" s="6"/>
      <c r="F1062" s="6"/>
      <c r="G1062" s="6"/>
      <c r="K1062" s="222"/>
      <c r="V1062" s="1430"/>
      <c r="AA1062" s="223"/>
      <c r="AC1062" s="889"/>
      <c r="AF1062" s="890"/>
      <c r="AJ1062" s="889"/>
      <c r="AN1062" s="222"/>
      <c r="BC1062" s="223"/>
      <c r="BD1062" s="222"/>
      <c r="BH1062" s="611"/>
      <c r="BJ1062" s="15"/>
      <c r="BK1062" s="15"/>
      <c r="BO1062" s="223"/>
      <c r="BQ1062" s="889"/>
      <c r="BT1062" s="890"/>
      <c r="BX1062" s="889"/>
      <c r="CB1062" s="15"/>
      <c r="CC1062" s="697"/>
      <c r="CD1062" s="1086"/>
      <c r="CE1062" s="15"/>
      <c r="CF1062" s="15"/>
      <c r="CG1062" s="936"/>
      <c r="CH1062" s="15"/>
      <c r="CI1062" s="15"/>
      <c r="CJ1062" s="15"/>
      <c r="CK1062" s="1107"/>
      <c r="CL1062" s="22"/>
      <c r="CM1062" s="22"/>
      <c r="CN1062" s="1107"/>
      <c r="CR1062" s="223"/>
      <c r="CS1062" s="952"/>
      <c r="CT1062" s="1066"/>
      <c r="CU1062" s="972"/>
      <c r="CV1062" s="983"/>
      <c r="CW1062" s="222"/>
      <c r="CX1062" s="697"/>
      <c r="DC1062" s="222"/>
      <c r="DJ1062" s="889"/>
      <c r="DM1062" s="890"/>
      <c r="DN1062" s="952"/>
      <c r="DO1062" s="75"/>
      <c r="DP1062" s="962"/>
      <c r="DQ1062" s="983"/>
      <c r="DV1062" s="889"/>
    </row>
    <row r="1063" spans="1:126" s="74" customFormat="1">
      <c r="A1063" s="15"/>
      <c r="B1063" s="15"/>
      <c r="C1063" s="15"/>
      <c r="D1063" s="15"/>
      <c r="E1063" s="6"/>
      <c r="F1063" s="6"/>
      <c r="G1063" s="6"/>
      <c r="K1063" s="222"/>
      <c r="V1063" s="1430"/>
      <c r="AA1063" s="223"/>
      <c r="AC1063" s="889"/>
      <c r="AF1063" s="890"/>
      <c r="AJ1063" s="889"/>
      <c r="AN1063" s="222"/>
      <c r="BC1063" s="223"/>
      <c r="BD1063" s="222"/>
      <c r="BH1063" s="611"/>
      <c r="BJ1063" s="15"/>
      <c r="BK1063" s="15"/>
      <c r="BO1063" s="223"/>
      <c r="BQ1063" s="889"/>
      <c r="BT1063" s="890"/>
      <c r="BX1063" s="889"/>
      <c r="CB1063" s="15"/>
      <c r="CC1063" s="697"/>
      <c r="CD1063" s="1086"/>
      <c r="CE1063" s="15"/>
      <c r="CF1063" s="15"/>
      <c r="CG1063" s="936"/>
      <c r="CH1063" s="15"/>
      <c r="CI1063" s="15"/>
      <c r="CJ1063" s="15"/>
      <c r="CK1063" s="1107"/>
      <c r="CL1063" s="22"/>
      <c r="CM1063" s="22"/>
      <c r="CN1063" s="1107"/>
      <c r="CR1063" s="223"/>
      <c r="CS1063" s="952"/>
      <c r="CT1063" s="1066"/>
      <c r="CU1063" s="972"/>
      <c r="CV1063" s="983"/>
      <c r="CW1063" s="222"/>
      <c r="CX1063" s="697"/>
      <c r="DC1063" s="222"/>
      <c r="DJ1063" s="889"/>
      <c r="DM1063" s="890"/>
      <c r="DN1063" s="952"/>
      <c r="DO1063" s="75"/>
      <c r="DP1063" s="962"/>
      <c r="DQ1063" s="983"/>
      <c r="DV1063" s="889"/>
    </row>
    <row r="1064" spans="1:126" s="74" customFormat="1">
      <c r="A1064" s="15"/>
      <c r="B1064" s="15"/>
      <c r="C1064" s="15"/>
      <c r="D1064" s="15"/>
      <c r="E1064" s="6"/>
      <c r="F1064" s="6"/>
      <c r="G1064" s="6"/>
      <c r="K1064" s="222"/>
      <c r="V1064" s="1430"/>
      <c r="AA1064" s="223"/>
      <c r="AC1064" s="889"/>
      <c r="AF1064" s="890"/>
      <c r="AJ1064" s="889"/>
      <c r="AN1064" s="222"/>
      <c r="BC1064" s="223"/>
      <c r="BD1064" s="222"/>
      <c r="BH1064" s="611"/>
      <c r="BJ1064" s="15"/>
      <c r="BK1064" s="15"/>
      <c r="BO1064" s="223"/>
      <c r="BQ1064" s="889"/>
      <c r="BT1064" s="890"/>
      <c r="BX1064" s="889"/>
      <c r="CB1064" s="15"/>
      <c r="CC1064" s="697"/>
      <c r="CD1064" s="1086"/>
      <c r="CE1064" s="15"/>
      <c r="CF1064" s="15"/>
      <c r="CG1064" s="936"/>
      <c r="CH1064" s="15"/>
      <c r="CI1064" s="15"/>
      <c r="CJ1064" s="15"/>
      <c r="CK1064" s="1107"/>
      <c r="CL1064" s="22"/>
      <c r="CM1064" s="22"/>
      <c r="CN1064" s="1107"/>
      <c r="CR1064" s="223"/>
      <c r="CS1064" s="952"/>
      <c r="CT1064" s="1066"/>
      <c r="CU1064" s="972"/>
      <c r="CV1064" s="983"/>
      <c r="CW1064" s="222"/>
      <c r="CX1064" s="697"/>
      <c r="DC1064" s="222"/>
      <c r="DJ1064" s="889"/>
      <c r="DM1064" s="890"/>
      <c r="DN1064" s="952"/>
      <c r="DO1064" s="75"/>
      <c r="DP1064" s="962"/>
      <c r="DQ1064" s="983"/>
      <c r="DV1064" s="889"/>
    </row>
    <row r="1065" spans="1:126" s="74" customFormat="1">
      <c r="A1065" s="15"/>
      <c r="B1065" s="15"/>
      <c r="C1065" s="15"/>
      <c r="D1065" s="15"/>
      <c r="E1065" s="6"/>
      <c r="F1065" s="6"/>
      <c r="G1065" s="6"/>
      <c r="K1065" s="222"/>
      <c r="V1065" s="1430"/>
      <c r="AA1065" s="223"/>
      <c r="AC1065" s="889"/>
      <c r="AF1065" s="890"/>
      <c r="AJ1065" s="889"/>
      <c r="AN1065" s="222"/>
      <c r="BC1065" s="223"/>
      <c r="BD1065" s="222"/>
      <c r="BH1065" s="611"/>
      <c r="BJ1065" s="15"/>
      <c r="BK1065" s="15"/>
      <c r="BO1065" s="223"/>
      <c r="BQ1065" s="889"/>
      <c r="BT1065" s="890"/>
      <c r="BX1065" s="889"/>
      <c r="CB1065" s="15"/>
      <c r="CC1065" s="697"/>
      <c r="CD1065" s="1086"/>
      <c r="CE1065" s="15"/>
      <c r="CF1065" s="15"/>
      <c r="CG1065" s="936"/>
      <c r="CH1065" s="15"/>
      <c r="CI1065" s="15"/>
      <c r="CJ1065" s="15"/>
      <c r="CK1065" s="1107"/>
      <c r="CL1065" s="22"/>
      <c r="CM1065" s="22"/>
      <c r="CN1065" s="1107"/>
      <c r="CR1065" s="223"/>
      <c r="CS1065" s="952"/>
      <c r="CT1065" s="1066"/>
      <c r="CU1065" s="972"/>
      <c r="CV1065" s="983"/>
      <c r="CW1065" s="222"/>
      <c r="CX1065" s="697"/>
      <c r="DC1065" s="222"/>
      <c r="DJ1065" s="889"/>
      <c r="DM1065" s="890"/>
      <c r="DN1065" s="952"/>
      <c r="DO1065" s="75"/>
      <c r="DP1065" s="962"/>
      <c r="DQ1065" s="983"/>
      <c r="DV1065" s="889"/>
    </row>
    <row r="1066" spans="1:126" s="74" customFormat="1">
      <c r="A1066" s="15"/>
      <c r="B1066" s="15"/>
      <c r="C1066" s="15"/>
      <c r="D1066" s="15"/>
      <c r="E1066" s="6"/>
      <c r="F1066" s="6"/>
      <c r="G1066" s="6"/>
      <c r="K1066" s="222"/>
      <c r="V1066" s="1430"/>
      <c r="AA1066" s="223"/>
      <c r="AC1066" s="889"/>
      <c r="AF1066" s="890"/>
      <c r="AJ1066" s="889"/>
      <c r="AN1066" s="222"/>
      <c r="BC1066" s="223"/>
      <c r="BD1066" s="222"/>
      <c r="BH1066" s="611"/>
      <c r="BJ1066" s="15"/>
      <c r="BK1066" s="15"/>
      <c r="BO1066" s="223"/>
      <c r="BQ1066" s="889"/>
      <c r="BT1066" s="890"/>
      <c r="BX1066" s="889"/>
      <c r="CB1066" s="15"/>
      <c r="CC1066" s="697"/>
      <c r="CD1066" s="1086"/>
      <c r="CE1066" s="15"/>
      <c r="CF1066" s="15"/>
      <c r="CG1066" s="936"/>
      <c r="CH1066" s="15"/>
      <c r="CI1066" s="15"/>
      <c r="CJ1066" s="15"/>
      <c r="CK1066" s="1107"/>
      <c r="CL1066" s="22"/>
      <c r="CM1066" s="22"/>
      <c r="CN1066" s="1107"/>
      <c r="CR1066" s="223"/>
      <c r="CS1066" s="952"/>
      <c r="CT1066" s="1066"/>
      <c r="CU1066" s="972"/>
      <c r="CV1066" s="983"/>
      <c r="CW1066" s="222"/>
      <c r="CX1066" s="697"/>
      <c r="DC1066" s="222"/>
      <c r="DJ1066" s="889"/>
      <c r="DM1066" s="890"/>
      <c r="DN1066" s="952"/>
      <c r="DO1066" s="75"/>
      <c r="DP1066" s="962"/>
      <c r="DQ1066" s="983"/>
      <c r="DV1066" s="889"/>
    </row>
    <row r="1067" spans="1:126" s="74" customFormat="1">
      <c r="A1067" s="15"/>
      <c r="B1067" s="15"/>
      <c r="C1067" s="15"/>
      <c r="D1067" s="15"/>
      <c r="E1067" s="6"/>
      <c r="F1067" s="6"/>
      <c r="G1067" s="6"/>
      <c r="K1067" s="222"/>
      <c r="V1067" s="1430"/>
      <c r="AA1067" s="223"/>
      <c r="AC1067" s="889"/>
      <c r="AF1067" s="890"/>
      <c r="AJ1067" s="889"/>
      <c r="AN1067" s="222"/>
      <c r="BC1067" s="223"/>
      <c r="BD1067" s="222"/>
      <c r="BH1067" s="611"/>
      <c r="BJ1067" s="15"/>
      <c r="BK1067" s="15"/>
      <c r="BO1067" s="223"/>
      <c r="BQ1067" s="889"/>
      <c r="BT1067" s="890"/>
      <c r="BX1067" s="889"/>
      <c r="CB1067" s="15"/>
      <c r="CC1067" s="697"/>
      <c r="CD1067" s="1086"/>
      <c r="CE1067" s="15"/>
      <c r="CF1067" s="15"/>
      <c r="CG1067" s="936"/>
      <c r="CH1067" s="15"/>
      <c r="CI1067" s="15"/>
      <c r="CJ1067" s="15"/>
      <c r="CK1067" s="1107"/>
      <c r="CL1067" s="22"/>
      <c r="CM1067" s="22"/>
      <c r="CN1067" s="1107"/>
      <c r="CR1067" s="223"/>
      <c r="CS1067" s="952"/>
      <c r="CT1067" s="1066"/>
      <c r="CU1067" s="972"/>
      <c r="CV1067" s="983"/>
      <c r="CW1067" s="222"/>
      <c r="CX1067" s="697"/>
      <c r="DC1067" s="222"/>
      <c r="DJ1067" s="889"/>
      <c r="DM1067" s="890"/>
      <c r="DN1067" s="952"/>
      <c r="DO1067" s="75"/>
      <c r="DP1067" s="962"/>
      <c r="DQ1067" s="983"/>
      <c r="DV1067" s="889"/>
    </row>
    <row r="1068" spans="1:126" s="74" customFormat="1">
      <c r="A1068" s="15"/>
      <c r="B1068" s="15"/>
      <c r="C1068" s="15"/>
      <c r="D1068" s="15"/>
      <c r="E1068" s="6"/>
      <c r="F1068" s="6"/>
      <c r="G1068" s="6"/>
      <c r="K1068" s="222"/>
      <c r="V1068" s="1430"/>
      <c r="AA1068" s="223"/>
      <c r="AC1068" s="889"/>
      <c r="AF1068" s="890"/>
      <c r="AJ1068" s="889"/>
      <c r="AN1068" s="222"/>
      <c r="BC1068" s="223"/>
      <c r="BD1068" s="222"/>
      <c r="BH1068" s="611"/>
      <c r="BJ1068" s="15"/>
      <c r="BK1068" s="15"/>
      <c r="BO1068" s="223"/>
      <c r="BQ1068" s="889"/>
      <c r="BT1068" s="890"/>
      <c r="BX1068" s="889"/>
      <c r="CB1068" s="15"/>
      <c r="CC1068" s="697"/>
      <c r="CD1068" s="1086"/>
      <c r="CE1068" s="15"/>
      <c r="CF1068" s="15"/>
      <c r="CG1068" s="936"/>
      <c r="CH1068" s="15"/>
      <c r="CI1068" s="15"/>
      <c r="CJ1068" s="15"/>
      <c r="CK1068" s="1107"/>
      <c r="CL1068" s="22"/>
      <c r="CM1068" s="22"/>
      <c r="CN1068" s="1107"/>
      <c r="CR1068" s="223"/>
      <c r="CS1068" s="952"/>
      <c r="CT1068" s="1066"/>
      <c r="CU1068" s="972"/>
      <c r="CV1068" s="983"/>
      <c r="CW1068" s="222"/>
      <c r="CX1068" s="697"/>
      <c r="DC1068" s="222"/>
      <c r="DJ1068" s="889"/>
      <c r="DM1068" s="890"/>
      <c r="DN1068" s="952"/>
      <c r="DO1068" s="75"/>
      <c r="DP1068" s="962"/>
      <c r="DQ1068" s="983"/>
      <c r="DV1068" s="889"/>
    </row>
    <row r="1069" spans="1:126" s="74" customFormat="1">
      <c r="A1069" s="15"/>
      <c r="B1069" s="15"/>
      <c r="C1069" s="15"/>
      <c r="D1069" s="15"/>
      <c r="E1069" s="6"/>
      <c r="F1069" s="6"/>
      <c r="G1069" s="6"/>
      <c r="K1069" s="222"/>
      <c r="V1069" s="1430"/>
      <c r="AA1069" s="223"/>
      <c r="AC1069" s="889"/>
      <c r="AF1069" s="890"/>
      <c r="AJ1069" s="889"/>
      <c r="AN1069" s="222"/>
      <c r="BC1069" s="223"/>
      <c r="BD1069" s="222"/>
      <c r="BH1069" s="611"/>
      <c r="BJ1069" s="15"/>
      <c r="BK1069" s="15"/>
      <c r="BO1069" s="223"/>
      <c r="BQ1069" s="889"/>
      <c r="BT1069" s="890"/>
      <c r="BX1069" s="889"/>
      <c r="CB1069" s="15"/>
      <c r="CC1069" s="697"/>
      <c r="CD1069" s="1086"/>
      <c r="CE1069" s="15"/>
      <c r="CF1069" s="15"/>
      <c r="CG1069" s="936"/>
      <c r="CH1069" s="15"/>
      <c r="CI1069" s="15"/>
      <c r="CJ1069" s="15"/>
      <c r="CK1069" s="1107"/>
      <c r="CL1069" s="22"/>
      <c r="CM1069" s="22"/>
      <c r="CN1069" s="1107"/>
      <c r="CR1069" s="223"/>
      <c r="CS1069" s="952"/>
      <c r="CT1069" s="1066"/>
      <c r="CU1069" s="972"/>
      <c r="CV1069" s="983"/>
      <c r="CW1069" s="222"/>
      <c r="CX1069" s="697"/>
      <c r="DC1069" s="222"/>
      <c r="DJ1069" s="889"/>
      <c r="DM1069" s="890"/>
      <c r="DN1069" s="952"/>
      <c r="DO1069" s="75"/>
      <c r="DP1069" s="962"/>
      <c r="DQ1069" s="983"/>
      <c r="DV1069" s="889"/>
    </row>
    <row r="1070" spans="1:126" s="74" customFormat="1">
      <c r="A1070" s="15"/>
      <c r="B1070" s="15"/>
      <c r="C1070" s="15"/>
      <c r="D1070" s="15"/>
      <c r="E1070" s="6"/>
      <c r="F1070" s="6"/>
      <c r="G1070" s="6"/>
      <c r="K1070" s="222"/>
      <c r="V1070" s="1430"/>
      <c r="AA1070" s="223"/>
      <c r="AC1070" s="889"/>
      <c r="AF1070" s="890"/>
      <c r="AJ1070" s="889"/>
      <c r="AN1070" s="222"/>
      <c r="BC1070" s="223"/>
      <c r="BD1070" s="222"/>
      <c r="BH1070" s="611"/>
      <c r="BJ1070" s="15"/>
      <c r="BK1070" s="15"/>
      <c r="BO1070" s="223"/>
      <c r="BQ1070" s="889"/>
      <c r="BT1070" s="890"/>
      <c r="BX1070" s="889"/>
      <c r="CB1070" s="15"/>
      <c r="CC1070" s="697"/>
      <c r="CD1070" s="1086"/>
      <c r="CE1070" s="15"/>
      <c r="CF1070" s="15"/>
      <c r="CG1070" s="936"/>
      <c r="CH1070" s="15"/>
      <c r="CI1070" s="15"/>
      <c r="CJ1070" s="15"/>
      <c r="CK1070" s="1107"/>
      <c r="CL1070" s="22"/>
      <c r="CM1070" s="22"/>
      <c r="CN1070" s="1107"/>
      <c r="CR1070" s="223"/>
      <c r="CS1070" s="952"/>
      <c r="CT1070" s="1066"/>
      <c r="CU1070" s="972"/>
      <c r="CV1070" s="983"/>
      <c r="CW1070" s="222"/>
      <c r="CX1070" s="697"/>
      <c r="DC1070" s="222"/>
      <c r="DJ1070" s="889"/>
      <c r="DM1070" s="890"/>
      <c r="DN1070" s="952"/>
      <c r="DO1070" s="75"/>
      <c r="DP1070" s="962"/>
      <c r="DQ1070" s="983"/>
      <c r="DV1070" s="889"/>
    </row>
    <row r="1071" spans="1:126" s="74" customFormat="1">
      <c r="A1071" s="15"/>
      <c r="B1071" s="15"/>
      <c r="C1071" s="15"/>
      <c r="D1071" s="15"/>
      <c r="E1071" s="6"/>
      <c r="F1071" s="6"/>
      <c r="G1071" s="6"/>
      <c r="K1071" s="222"/>
      <c r="V1071" s="1430"/>
      <c r="AA1071" s="223"/>
      <c r="AC1071" s="889"/>
      <c r="AF1071" s="890"/>
      <c r="AJ1071" s="889"/>
      <c r="AN1071" s="222"/>
      <c r="BC1071" s="223"/>
      <c r="BD1071" s="222"/>
      <c r="BH1071" s="611"/>
      <c r="BJ1071" s="15"/>
      <c r="BK1071" s="15"/>
      <c r="BO1071" s="223"/>
      <c r="BQ1071" s="889"/>
      <c r="BT1071" s="890"/>
      <c r="BX1071" s="889"/>
      <c r="CB1071" s="15"/>
      <c r="CC1071" s="697"/>
      <c r="CD1071" s="1086"/>
      <c r="CE1071" s="15"/>
      <c r="CF1071" s="15"/>
      <c r="CG1071" s="936"/>
      <c r="CH1071" s="15"/>
      <c r="CI1071" s="15"/>
      <c r="CJ1071" s="15"/>
      <c r="CK1071" s="1107"/>
      <c r="CL1071" s="22"/>
      <c r="CM1071" s="22"/>
      <c r="CN1071" s="1107"/>
      <c r="CR1071" s="223"/>
      <c r="CS1071" s="952"/>
      <c r="CT1071" s="1066"/>
      <c r="CU1071" s="972"/>
      <c r="CV1071" s="983"/>
      <c r="CW1071" s="222"/>
      <c r="CX1071" s="697"/>
      <c r="DC1071" s="222"/>
      <c r="DJ1071" s="889"/>
      <c r="DM1071" s="890"/>
      <c r="DN1071" s="952"/>
      <c r="DO1071" s="75"/>
      <c r="DP1071" s="962"/>
      <c r="DQ1071" s="983"/>
      <c r="DV1071" s="889"/>
    </row>
    <row r="1072" spans="1:126" s="74" customFormat="1">
      <c r="A1072" s="15"/>
      <c r="B1072" s="15"/>
      <c r="C1072" s="15"/>
      <c r="D1072" s="15"/>
      <c r="E1072" s="6"/>
      <c r="F1072" s="6"/>
      <c r="G1072" s="6"/>
      <c r="K1072" s="222"/>
      <c r="V1072" s="1430"/>
      <c r="AA1072" s="223"/>
      <c r="AC1072" s="889"/>
      <c r="AF1072" s="890"/>
      <c r="AJ1072" s="889"/>
      <c r="AN1072" s="222"/>
      <c r="BC1072" s="223"/>
      <c r="BD1072" s="222"/>
      <c r="BH1072" s="611"/>
      <c r="BJ1072" s="15"/>
      <c r="BK1072" s="15"/>
      <c r="BO1072" s="223"/>
      <c r="BQ1072" s="889"/>
      <c r="BT1072" s="890"/>
      <c r="BX1072" s="889"/>
      <c r="CB1072" s="15"/>
      <c r="CC1072" s="697"/>
      <c r="CD1072" s="1086"/>
      <c r="CE1072" s="15"/>
      <c r="CF1072" s="15"/>
      <c r="CG1072" s="936"/>
      <c r="CH1072" s="15"/>
      <c r="CI1072" s="15"/>
      <c r="CJ1072" s="15"/>
      <c r="CK1072" s="1107"/>
      <c r="CL1072" s="22"/>
      <c r="CM1072" s="22"/>
      <c r="CN1072" s="1107"/>
      <c r="CR1072" s="223"/>
      <c r="CS1072" s="952"/>
      <c r="CT1072" s="1066"/>
      <c r="CU1072" s="972"/>
      <c r="CV1072" s="983"/>
      <c r="CW1072" s="222"/>
      <c r="CX1072" s="697"/>
      <c r="DC1072" s="222"/>
      <c r="DJ1072" s="889"/>
      <c r="DM1072" s="890"/>
      <c r="DN1072" s="952"/>
      <c r="DO1072" s="75"/>
      <c r="DP1072" s="962"/>
      <c r="DQ1072" s="983"/>
      <c r="DV1072" s="889"/>
    </row>
    <row r="1073" spans="1:126" s="74" customFormat="1">
      <c r="A1073" s="15"/>
      <c r="B1073" s="15"/>
      <c r="C1073" s="15"/>
      <c r="D1073" s="15"/>
      <c r="E1073" s="6"/>
      <c r="F1073" s="6"/>
      <c r="G1073" s="6"/>
      <c r="K1073" s="222"/>
      <c r="V1073" s="1430"/>
      <c r="AA1073" s="223"/>
      <c r="AC1073" s="889"/>
      <c r="AF1073" s="890"/>
      <c r="AJ1073" s="889"/>
      <c r="AN1073" s="222"/>
      <c r="BC1073" s="223"/>
      <c r="BD1073" s="222"/>
      <c r="BH1073" s="611"/>
      <c r="BJ1073" s="15"/>
      <c r="BK1073" s="15"/>
      <c r="BO1073" s="223"/>
      <c r="BQ1073" s="889"/>
      <c r="BT1073" s="890"/>
      <c r="BX1073" s="889"/>
      <c r="CB1073" s="15"/>
      <c r="CC1073" s="697"/>
      <c r="CD1073" s="1086"/>
      <c r="CE1073" s="15"/>
      <c r="CF1073" s="15"/>
      <c r="CG1073" s="936"/>
      <c r="CH1073" s="15"/>
      <c r="CI1073" s="15"/>
      <c r="CJ1073" s="15"/>
      <c r="CK1073" s="1107"/>
      <c r="CL1073" s="22"/>
      <c r="CM1073" s="22"/>
      <c r="CN1073" s="1107"/>
      <c r="CR1073" s="223"/>
      <c r="CS1073" s="952"/>
      <c r="CT1073" s="1066"/>
      <c r="CU1073" s="972"/>
      <c r="CV1073" s="983"/>
      <c r="CW1073" s="222"/>
      <c r="CX1073" s="697"/>
      <c r="DC1073" s="222"/>
      <c r="DJ1073" s="889"/>
      <c r="DM1073" s="890"/>
      <c r="DN1073" s="952"/>
      <c r="DO1073" s="75"/>
      <c r="DP1073" s="962"/>
      <c r="DQ1073" s="983"/>
      <c r="DV1073" s="889"/>
    </row>
    <row r="1074" spans="1:126" s="74" customFormat="1">
      <c r="A1074" s="15"/>
      <c r="B1074" s="15"/>
      <c r="C1074" s="15"/>
      <c r="D1074" s="15"/>
      <c r="E1074" s="6"/>
      <c r="F1074" s="6"/>
      <c r="G1074" s="6"/>
      <c r="K1074" s="222"/>
      <c r="V1074" s="1430"/>
      <c r="AA1074" s="223"/>
      <c r="AC1074" s="889"/>
      <c r="AF1074" s="890"/>
      <c r="AJ1074" s="889"/>
      <c r="AN1074" s="222"/>
      <c r="BC1074" s="223"/>
      <c r="BD1074" s="222"/>
      <c r="BH1074" s="611"/>
      <c r="BJ1074" s="15"/>
      <c r="BK1074" s="15"/>
      <c r="BO1074" s="223"/>
      <c r="BQ1074" s="889"/>
      <c r="BT1074" s="890"/>
      <c r="BX1074" s="889"/>
      <c r="CB1074" s="15"/>
      <c r="CC1074" s="697"/>
      <c r="CD1074" s="1086"/>
      <c r="CE1074" s="15"/>
      <c r="CF1074" s="15"/>
      <c r="CG1074" s="936"/>
      <c r="CH1074" s="15"/>
      <c r="CI1074" s="15"/>
      <c r="CJ1074" s="15"/>
      <c r="CK1074" s="1107"/>
      <c r="CL1074" s="22"/>
      <c r="CM1074" s="22"/>
      <c r="CN1074" s="1107"/>
      <c r="CR1074" s="223"/>
      <c r="CS1074" s="952"/>
      <c r="CT1074" s="1066"/>
      <c r="CU1074" s="972"/>
      <c r="CV1074" s="983"/>
      <c r="CW1074" s="222"/>
      <c r="CX1074" s="697"/>
      <c r="DC1074" s="222"/>
      <c r="DJ1074" s="889"/>
      <c r="DM1074" s="890"/>
      <c r="DN1074" s="952"/>
      <c r="DO1074" s="75"/>
      <c r="DP1074" s="962"/>
      <c r="DQ1074" s="983"/>
      <c r="DV1074" s="889"/>
    </row>
    <row r="1075" spans="1:126" s="74" customFormat="1">
      <c r="A1075" s="15"/>
      <c r="B1075" s="15"/>
      <c r="C1075" s="15"/>
      <c r="D1075" s="15"/>
      <c r="E1075" s="6"/>
      <c r="F1075" s="6"/>
      <c r="G1075" s="6"/>
      <c r="K1075" s="222"/>
      <c r="V1075" s="1430"/>
      <c r="AA1075" s="223"/>
      <c r="AC1075" s="889"/>
      <c r="AF1075" s="890"/>
      <c r="AJ1075" s="889"/>
      <c r="AN1075" s="222"/>
      <c r="BC1075" s="223"/>
      <c r="BD1075" s="222"/>
      <c r="BH1075" s="611"/>
      <c r="BJ1075" s="15"/>
      <c r="BK1075" s="15"/>
      <c r="BO1075" s="223"/>
      <c r="BQ1075" s="889"/>
      <c r="BT1075" s="890"/>
      <c r="BX1075" s="889"/>
      <c r="CB1075" s="15"/>
      <c r="CC1075" s="697"/>
      <c r="CD1075" s="1086"/>
      <c r="CE1075" s="15"/>
      <c r="CF1075" s="15"/>
      <c r="CG1075" s="936"/>
      <c r="CH1075" s="15"/>
      <c r="CI1075" s="15"/>
      <c r="CJ1075" s="15"/>
      <c r="CK1075" s="1107"/>
      <c r="CL1075" s="22"/>
      <c r="CM1075" s="22"/>
      <c r="CN1075" s="1107"/>
      <c r="CR1075" s="223"/>
      <c r="CS1075" s="952"/>
      <c r="CT1075" s="1066"/>
      <c r="CU1075" s="972"/>
      <c r="CV1075" s="983"/>
      <c r="CW1075" s="222"/>
      <c r="CX1075" s="697"/>
      <c r="DC1075" s="222"/>
      <c r="DJ1075" s="889"/>
      <c r="DM1075" s="890"/>
      <c r="DN1075" s="952"/>
      <c r="DO1075" s="75"/>
      <c r="DP1075" s="962"/>
      <c r="DQ1075" s="983"/>
      <c r="DV1075" s="889"/>
    </row>
    <row r="1076" spans="1:126" s="74" customFormat="1">
      <c r="A1076" s="15"/>
      <c r="B1076" s="15"/>
      <c r="C1076" s="15"/>
      <c r="D1076" s="15"/>
      <c r="E1076" s="6"/>
      <c r="F1076" s="6"/>
      <c r="G1076" s="6"/>
      <c r="K1076" s="222"/>
      <c r="V1076" s="1430"/>
      <c r="AA1076" s="223"/>
      <c r="AC1076" s="889"/>
      <c r="AF1076" s="890"/>
      <c r="AJ1076" s="889"/>
      <c r="AN1076" s="222"/>
      <c r="BC1076" s="223"/>
      <c r="BD1076" s="222"/>
      <c r="BH1076" s="611"/>
      <c r="BJ1076" s="15"/>
      <c r="BK1076" s="15"/>
      <c r="BO1076" s="223"/>
      <c r="BQ1076" s="889"/>
      <c r="BT1076" s="890"/>
      <c r="BX1076" s="889"/>
      <c r="CB1076" s="15"/>
      <c r="CC1076" s="697"/>
      <c r="CD1076" s="1086"/>
      <c r="CE1076" s="15"/>
      <c r="CF1076" s="15"/>
      <c r="CG1076" s="936"/>
      <c r="CH1076" s="15"/>
      <c r="CI1076" s="15"/>
      <c r="CJ1076" s="15"/>
      <c r="CK1076" s="1107"/>
      <c r="CL1076" s="22"/>
      <c r="CM1076" s="22"/>
      <c r="CN1076" s="1107"/>
      <c r="CR1076" s="223"/>
      <c r="CS1076" s="952"/>
      <c r="CT1076" s="1066"/>
      <c r="CU1076" s="972"/>
      <c r="CV1076" s="983"/>
      <c r="CW1076" s="222"/>
      <c r="CX1076" s="697"/>
      <c r="DC1076" s="222"/>
      <c r="DJ1076" s="889"/>
      <c r="DM1076" s="890"/>
      <c r="DN1076" s="952"/>
      <c r="DO1076" s="75"/>
      <c r="DP1076" s="962"/>
      <c r="DQ1076" s="983"/>
      <c r="DV1076" s="889"/>
    </row>
    <row r="1077" spans="1:126" s="74" customFormat="1">
      <c r="A1077" s="15"/>
      <c r="B1077" s="15"/>
      <c r="C1077" s="15"/>
      <c r="D1077" s="15"/>
      <c r="E1077" s="6"/>
      <c r="F1077" s="6"/>
      <c r="G1077" s="6"/>
      <c r="K1077" s="222"/>
      <c r="V1077" s="1430"/>
      <c r="AA1077" s="223"/>
      <c r="AC1077" s="889"/>
      <c r="AF1077" s="890"/>
      <c r="AJ1077" s="889"/>
      <c r="AN1077" s="222"/>
      <c r="BC1077" s="223"/>
      <c r="BD1077" s="222"/>
      <c r="BH1077" s="611"/>
      <c r="BJ1077" s="15"/>
      <c r="BK1077" s="15"/>
      <c r="BO1077" s="223"/>
      <c r="BQ1077" s="889"/>
      <c r="BT1077" s="890"/>
      <c r="BX1077" s="889"/>
      <c r="CB1077" s="15"/>
      <c r="CC1077" s="697"/>
      <c r="CD1077" s="1086"/>
      <c r="CE1077" s="15"/>
      <c r="CF1077" s="15"/>
      <c r="CG1077" s="936"/>
      <c r="CH1077" s="15"/>
      <c r="CI1077" s="15"/>
      <c r="CJ1077" s="15"/>
      <c r="CK1077" s="1107"/>
      <c r="CL1077" s="22"/>
      <c r="CM1077" s="22"/>
      <c r="CN1077" s="1107"/>
      <c r="CR1077" s="223"/>
      <c r="CS1077" s="952"/>
      <c r="CT1077" s="1066"/>
      <c r="CU1077" s="972"/>
      <c r="CV1077" s="983"/>
      <c r="CW1077" s="222"/>
      <c r="CX1077" s="697"/>
      <c r="DC1077" s="222"/>
      <c r="DJ1077" s="889"/>
      <c r="DM1077" s="890"/>
      <c r="DN1077" s="952"/>
      <c r="DO1077" s="75"/>
      <c r="DP1077" s="962"/>
      <c r="DQ1077" s="983"/>
      <c r="DV1077" s="889"/>
    </row>
    <row r="1078" spans="1:126" s="74" customFormat="1">
      <c r="A1078" s="15"/>
      <c r="B1078" s="15"/>
      <c r="C1078" s="15"/>
      <c r="D1078" s="15"/>
      <c r="E1078" s="6"/>
      <c r="F1078" s="6"/>
      <c r="G1078" s="6"/>
      <c r="K1078" s="222"/>
      <c r="V1078" s="1430"/>
      <c r="AA1078" s="223"/>
      <c r="AC1078" s="889"/>
      <c r="AF1078" s="890"/>
      <c r="AJ1078" s="889"/>
      <c r="AN1078" s="222"/>
      <c r="BC1078" s="223"/>
      <c r="BD1078" s="222"/>
      <c r="BH1078" s="611"/>
      <c r="BJ1078" s="15"/>
      <c r="BK1078" s="15"/>
      <c r="BO1078" s="223"/>
      <c r="BQ1078" s="889"/>
      <c r="BT1078" s="890"/>
      <c r="BX1078" s="889"/>
      <c r="CB1078" s="15"/>
      <c r="CC1078" s="697"/>
      <c r="CD1078" s="1086"/>
      <c r="CE1078" s="15"/>
      <c r="CF1078" s="15"/>
      <c r="CG1078" s="936"/>
      <c r="CH1078" s="15"/>
      <c r="CI1078" s="15"/>
      <c r="CJ1078" s="15"/>
      <c r="CK1078" s="1107"/>
      <c r="CL1078" s="22"/>
      <c r="CM1078" s="22"/>
      <c r="CN1078" s="1107"/>
      <c r="CR1078" s="223"/>
      <c r="CS1078" s="952"/>
      <c r="CT1078" s="1066"/>
      <c r="CU1078" s="972"/>
      <c r="CV1078" s="983"/>
      <c r="CW1078" s="222"/>
      <c r="CX1078" s="697"/>
      <c r="DC1078" s="222"/>
      <c r="DJ1078" s="889"/>
      <c r="DM1078" s="890"/>
      <c r="DN1078" s="952"/>
      <c r="DO1078" s="75"/>
      <c r="DP1078" s="962"/>
      <c r="DQ1078" s="983"/>
      <c r="DV1078" s="889"/>
    </row>
    <row r="1079" spans="1:126" s="74" customFormat="1">
      <c r="A1079" s="15"/>
      <c r="B1079" s="15"/>
      <c r="C1079" s="15"/>
      <c r="D1079" s="15"/>
      <c r="E1079" s="6"/>
      <c r="F1079" s="6"/>
      <c r="G1079" s="6"/>
      <c r="K1079" s="222"/>
      <c r="V1079" s="1430"/>
      <c r="AA1079" s="223"/>
      <c r="AC1079" s="889"/>
      <c r="AF1079" s="890"/>
      <c r="AJ1079" s="889"/>
      <c r="AN1079" s="222"/>
      <c r="BC1079" s="223"/>
      <c r="BD1079" s="222"/>
      <c r="BH1079" s="611"/>
      <c r="BJ1079" s="15"/>
      <c r="BK1079" s="15"/>
      <c r="BO1079" s="223"/>
      <c r="BQ1079" s="889"/>
      <c r="BT1079" s="890"/>
      <c r="BX1079" s="889"/>
      <c r="CB1079" s="15"/>
      <c r="CC1079" s="697"/>
      <c r="CD1079" s="1086"/>
      <c r="CE1079" s="15"/>
      <c r="CF1079" s="15"/>
      <c r="CG1079" s="936"/>
      <c r="CH1079" s="15"/>
      <c r="CI1079" s="15"/>
      <c r="CJ1079" s="15"/>
      <c r="CK1079" s="1107"/>
      <c r="CL1079" s="22"/>
      <c r="CM1079" s="22"/>
      <c r="CN1079" s="1107"/>
      <c r="CR1079" s="223"/>
      <c r="CS1079" s="952"/>
      <c r="CT1079" s="1066"/>
      <c r="CU1079" s="972"/>
      <c r="CV1079" s="983"/>
      <c r="CW1079" s="222"/>
      <c r="CX1079" s="697"/>
      <c r="DC1079" s="222"/>
      <c r="DJ1079" s="889"/>
      <c r="DM1079" s="890"/>
      <c r="DN1079" s="952"/>
      <c r="DO1079" s="75"/>
      <c r="DP1079" s="962"/>
      <c r="DQ1079" s="983"/>
      <c r="DV1079" s="889"/>
    </row>
    <row r="1080" spans="1:126" s="74" customFormat="1">
      <c r="A1080" s="15"/>
      <c r="B1080" s="15"/>
      <c r="C1080" s="15"/>
      <c r="D1080" s="15"/>
      <c r="E1080" s="6"/>
      <c r="F1080" s="6"/>
      <c r="G1080" s="6"/>
      <c r="K1080" s="222"/>
      <c r="V1080" s="1430"/>
      <c r="AA1080" s="223"/>
      <c r="AC1080" s="889"/>
      <c r="AF1080" s="890"/>
      <c r="AJ1080" s="889"/>
      <c r="AN1080" s="222"/>
      <c r="BC1080" s="223"/>
      <c r="BD1080" s="222"/>
      <c r="BH1080" s="611"/>
      <c r="BJ1080" s="15"/>
      <c r="BK1080" s="15"/>
      <c r="BO1080" s="223"/>
      <c r="BQ1080" s="889"/>
      <c r="BT1080" s="890"/>
      <c r="BX1080" s="889"/>
      <c r="CB1080" s="15"/>
      <c r="CC1080" s="697"/>
      <c r="CD1080" s="1086"/>
      <c r="CE1080" s="15"/>
      <c r="CF1080" s="15"/>
      <c r="CG1080" s="936"/>
      <c r="CH1080" s="15"/>
      <c r="CI1080" s="15"/>
      <c r="CJ1080" s="15"/>
      <c r="CK1080" s="1107"/>
      <c r="CL1080" s="22"/>
      <c r="CM1080" s="22"/>
      <c r="CN1080" s="1107"/>
      <c r="CR1080" s="223"/>
      <c r="CS1080" s="952"/>
      <c r="CT1080" s="1066"/>
      <c r="CU1080" s="972"/>
      <c r="CV1080" s="983"/>
      <c r="CW1080" s="222"/>
      <c r="CX1080" s="697"/>
      <c r="DC1080" s="222"/>
      <c r="DJ1080" s="889"/>
      <c r="DM1080" s="890"/>
      <c r="DN1080" s="952"/>
      <c r="DO1080" s="75"/>
      <c r="DP1080" s="962"/>
      <c r="DQ1080" s="983"/>
      <c r="DV1080" s="889"/>
    </row>
    <row r="1081" spans="1:126" s="74" customFormat="1">
      <c r="A1081" s="15"/>
      <c r="B1081" s="15"/>
      <c r="C1081" s="15"/>
      <c r="D1081" s="15"/>
      <c r="E1081" s="6"/>
      <c r="F1081" s="6"/>
      <c r="G1081" s="6"/>
      <c r="K1081" s="222"/>
      <c r="V1081" s="1430"/>
      <c r="AA1081" s="223"/>
      <c r="AC1081" s="889"/>
      <c r="AF1081" s="890"/>
      <c r="AJ1081" s="889"/>
      <c r="AN1081" s="222"/>
      <c r="BC1081" s="223"/>
      <c r="BD1081" s="222"/>
      <c r="BH1081" s="611"/>
      <c r="BJ1081" s="15"/>
      <c r="BK1081" s="15"/>
      <c r="BO1081" s="223"/>
      <c r="BQ1081" s="889"/>
      <c r="BT1081" s="890"/>
      <c r="BX1081" s="889"/>
      <c r="CB1081" s="15"/>
      <c r="CC1081" s="697"/>
      <c r="CD1081" s="1086"/>
      <c r="CE1081" s="15"/>
      <c r="CF1081" s="15"/>
      <c r="CG1081" s="936"/>
      <c r="CH1081" s="15"/>
      <c r="CI1081" s="15"/>
      <c r="CJ1081" s="15"/>
      <c r="CK1081" s="1107"/>
      <c r="CL1081" s="22"/>
      <c r="CM1081" s="22"/>
      <c r="CN1081" s="1107"/>
      <c r="CR1081" s="223"/>
      <c r="CS1081" s="952"/>
      <c r="CT1081" s="1066"/>
      <c r="CU1081" s="972"/>
      <c r="CV1081" s="983"/>
      <c r="CW1081" s="222"/>
      <c r="CX1081" s="697"/>
      <c r="DC1081" s="222"/>
      <c r="DJ1081" s="889"/>
      <c r="DM1081" s="890"/>
      <c r="DN1081" s="952"/>
      <c r="DO1081" s="75"/>
      <c r="DP1081" s="962"/>
      <c r="DQ1081" s="983"/>
      <c r="DV1081" s="889"/>
    </row>
    <row r="1082" spans="1:126" s="74" customFormat="1">
      <c r="A1082" s="15"/>
      <c r="B1082" s="15"/>
      <c r="C1082" s="15"/>
      <c r="D1082" s="15"/>
      <c r="E1082" s="6"/>
      <c r="F1082" s="6"/>
      <c r="G1082" s="6"/>
      <c r="K1082" s="222"/>
      <c r="V1082" s="1430"/>
      <c r="AA1082" s="223"/>
      <c r="AC1082" s="889"/>
      <c r="AF1082" s="890"/>
      <c r="AJ1082" s="889"/>
      <c r="AN1082" s="222"/>
      <c r="BC1082" s="223"/>
      <c r="BD1082" s="222"/>
      <c r="BH1082" s="611"/>
      <c r="BJ1082" s="15"/>
      <c r="BK1082" s="15"/>
      <c r="BO1082" s="223"/>
      <c r="BQ1082" s="889"/>
      <c r="BT1082" s="890"/>
      <c r="BX1082" s="889"/>
      <c r="CB1082" s="15"/>
      <c r="CC1082" s="697"/>
      <c r="CD1082" s="1086"/>
      <c r="CE1082" s="15"/>
      <c r="CF1082" s="15"/>
      <c r="CG1082" s="936"/>
      <c r="CH1082" s="15"/>
      <c r="CI1082" s="15"/>
      <c r="CJ1082" s="15"/>
      <c r="CK1082" s="1107"/>
      <c r="CL1082" s="22"/>
      <c r="CM1082" s="22"/>
      <c r="CN1082" s="1107"/>
      <c r="CR1082" s="223"/>
      <c r="CS1082" s="952"/>
      <c r="CT1082" s="1066"/>
      <c r="CU1082" s="972"/>
      <c r="CV1082" s="983"/>
      <c r="CW1082" s="222"/>
      <c r="CX1082" s="697"/>
      <c r="DC1082" s="222"/>
      <c r="DJ1082" s="889"/>
      <c r="DM1082" s="890"/>
      <c r="DN1082" s="952"/>
      <c r="DO1082" s="75"/>
      <c r="DP1082" s="962"/>
      <c r="DQ1082" s="983"/>
      <c r="DV1082" s="889"/>
    </row>
    <row r="1083" spans="1:126" s="74" customFormat="1">
      <c r="A1083" s="15"/>
      <c r="B1083" s="15"/>
      <c r="C1083" s="15"/>
      <c r="D1083" s="15"/>
      <c r="E1083" s="6"/>
      <c r="F1083" s="6"/>
      <c r="G1083" s="6"/>
      <c r="K1083" s="222"/>
      <c r="V1083" s="1430"/>
      <c r="AA1083" s="223"/>
      <c r="AC1083" s="889"/>
      <c r="AF1083" s="890"/>
      <c r="AJ1083" s="889"/>
      <c r="AN1083" s="222"/>
      <c r="BC1083" s="223"/>
      <c r="BD1083" s="222"/>
      <c r="BH1083" s="611"/>
      <c r="BJ1083" s="15"/>
      <c r="BK1083" s="15"/>
      <c r="BO1083" s="223"/>
      <c r="BQ1083" s="889"/>
      <c r="BT1083" s="890"/>
      <c r="BX1083" s="889"/>
      <c r="CB1083" s="15"/>
      <c r="CC1083" s="697"/>
      <c r="CD1083" s="1086"/>
      <c r="CE1083" s="15"/>
      <c r="CF1083" s="15"/>
      <c r="CG1083" s="936"/>
      <c r="CH1083" s="15"/>
      <c r="CI1083" s="15"/>
      <c r="CJ1083" s="15"/>
      <c r="CK1083" s="1107"/>
      <c r="CL1083" s="22"/>
      <c r="CM1083" s="22"/>
      <c r="CN1083" s="1107"/>
      <c r="CR1083" s="223"/>
      <c r="CS1083" s="952"/>
      <c r="CT1083" s="1066"/>
      <c r="CU1083" s="972"/>
      <c r="CV1083" s="983"/>
      <c r="CW1083" s="222"/>
      <c r="CX1083" s="697"/>
      <c r="DC1083" s="222"/>
      <c r="DJ1083" s="889"/>
      <c r="DM1083" s="890"/>
      <c r="DN1083" s="952"/>
      <c r="DO1083" s="75"/>
      <c r="DP1083" s="962"/>
      <c r="DQ1083" s="983"/>
      <c r="DV1083" s="889"/>
    </row>
    <row r="1084" spans="1:126" s="74" customFormat="1">
      <c r="A1084" s="15"/>
      <c r="B1084" s="15"/>
      <c r="C1084" s="15"/>
      <c r="D1084" s="15"/>
      <c r="E1084" s="6"/>
      <c r="F1084" s="6"/>
      <c r="G1084" s="6"/>
      <c r="K1084" s="222"/>
      <c r="V1084" s="1430"/>
      <c r="AA1084" s="223"/>
      <c r="AC1084" s="889"/>
      <c r="AF1084" s="890"/>
      <c r="AJ1084" s="889"/>
      <c r="AN1084" s="222"/>
      <c r="BC1084" s="223"/>
      <c r="BD1084" s="222"/>
      <c r="BH1084" s="611"/>
      <c r="BJ1084" s="15"/>
      <c r="BK1084" s="15"/>
      <c r="BO1084" s="223"/>
      <c r="BQ1084" s="889"/>
      <c r="BT1084" s="890"/>
      <c r="BX1084" s="889"/>
      <c r="CB1084" s="15"/>
      <c r="CC1084" s="697"/>
      <c r="CD1084" s="1086"/>
      <c r="CE1084" s="15"/>
      <c r="CF1084" s="15"/>
      <c r="CG1084" s="936"/>
      <c r="CH1084" s="15"/>
      <c r="CI1084" s="15"/>
      <c r="CJ1084" s="15"/>
      <c r="CK1084" s="1107"/>
      <c r="CL1084" s="22"/>
      <c r="CM1084" s="22"/>
      <c r="CN1084" s="1107"/>
      <c r="CR1084" s="223"/>
      <c r="CS1084" s="952"/>
      <c r="CT1084" s="1066"/>
      <c r="CU1084" s="972"/>
      <c r="CV1084" s="983"/>
      <c r="CW1084" s="222"/>
      <c r="CX1084" s="697"/>
      <c r="DC1084" s="222"/>
      <c r="DJ1084" s="889"/>
      <c r="DM1084" s="890"/>
      <c r="DN1084" s="952"/>
      <c r="DO1084" s="75"/>
      <c r="DP1084" s="962"/>
      <c r="DQ1084" s="983"/>
      <c r="DV1084" s="889"/>
    </row>
    <row r="1085" spans="1:126" s="74" customFormat="1">
      <c r="A1085" s="15"/>
      <c r="B1085" s="15"/>
      <c r="C1085" s="15"/>
      <c r="D1085" s="15"/>
      <c r="E1085" s="6"/>
      <c r="F1085" s="6"/>
      <c r="G1085" s="6"/>
      <c r="K1085" s="222"/>
      <c r="V1085" s="1430"/>
      <c r="AA1085" s="223"/>
      <c r="AC1085" s="889"/>
      <c r="AF1085" s="890"/>
      <c r="AJ1085" s="889"/>
      <c r="AN1085" s="222"/>
      <c r="BC1085" s="223"/>
      <c r="BD1085" s="222"/>
      <c r="BH1085" s="611"/>
      <c r="BJ1085" s="15"/>
      <c r="BK1085" s="15"/>
      <c r="BO1085" s="223"/>
      <c r="BQ1085" s="889"/>
      <c r="BT1085" s="890"/>
      <c r="BX1085" s="889"/>
      <c r="CB1085" s="15"/>
      <c r="CC1085" s="697"/>
      <c r="CD1085" s="1086"/>
      <c r="CE1085" s="15"/>
      <c r="CF1085" s="15"/>
      <c r="CG1085" s="936"/>
      <c r="CH1085" s="15"/>
      <c r="CI1085" s="15"/>
      <c r="CJ1085" s="15"/>
      <c r="CK1085" s="1107"/>
      <c r="CL1085" s="22"/>
      <c r="CM1085" s="22"/>
      <c r="CN1085" s="1107"/>
      <c r="CR1085" s="223"/>
      <c r="CS1085" s="952"/>
      <c r="CT1085" s="1066"/>
      <c r="CU1085" s="972"/>
      <c r="CV1085" s="983"/>
      <c r="CW1085" s="222"/>
      <c r="CX1085" s="697"/>
      <c r="DC1085" s="222"/>
      <c r="DJ1085" s="889"/>
      <c r="DM1085" s="890"/>
      <c r="DN1085" s="952"/>
      <c r="DO1085" s="75"/>
      <c r="DP1085" s="962"/>
      <c r="DQ1085" s="983"/>
      <c r="DV1085" s="889"/>
    </row>
    <row r="1086" spans="1:126" s="74" customFormat="1">
      <c r="A1086" s="15"/>
      <c r="B1086" s="15"/>
      <c r="C1086" s="15"/>
      <c r="D1086" s="15"/>
      <c r="E1086" s="6"/>
      <c r="F1086" s="6"/>
      <c r="G1086" s="6"/>
      <c r="K1086" s="222"/>
      <c r="V1086" s="1430"/>
      <c r="AA1086" s="223"/>
      <c r="AC1086" s="889"/>
      <c r="AF1086" s="890"/>
      <c r="AJ1086" s="889"/>
      <c r="AN1086" s="222"/>
      <c r="BC1086" s="223"/>
      <c r="BD1086" s="222"/>
      <c r="BH1086" s="611"/>
      <c r="BJ1086" s="15"/>
      <c r="BK1086" s="15"/>
      <c r="BO1086" s="223"/>
      <c r="BQ1086" s="889"/>
      <c r="BT1086" s="890"/>
      <c r="BX1086" s="889"/>
      <c r="CB1086" s="15"/>
      <c r="CC1086" s="697"/>
      <c r="CD1086" s="1086"/>
      <c r="CE1086" s="15"/>
      <c r="CF1086" s="15"/>
      <c r="CG1086" s="936"/>
      <c r="CH1086" s="15"/>
      <c r="CI1086" s="15"/>
      <c r="CJ1086" s="15"/>
      <c r="CK1086" s="1107"/>
      <c r="CL1086" s="22"/>
      <c r="CM1086" s="22"/>
      <c r="CN1086" s="1107"/>
      <c r="CR1086" s="223"/>
      <c r="CS1086" s="952"/>
      <c r="CT1086" s="1066"/>
      <c r="CU1086" s="972"/>
      <c r="CV1086" s="983"/>
      <c r="CW1086" s="222"/>
      <c r="CX1086" s="697"/>
      <c r="DC1086" s="222"/>
      <c r="DJ1086" s="889"/>
      <c r="DM1086" s="890"/>
      <c r="DN1086" s="952"/>
      <c r="DO1086" s="75"/>
      <c r="DP1086" s="962"/>
      <c r="DQ1086" s="983"/>
      <c r="DV1086" s="889"/>
    </row>
    <row r="1087" spans="1:126" s="74" customFormat="1">
      <c r="A1087" s="15"/>
      <c r="B1087" s="15"/>
      <c r="C1087" s="15"/>
      <c r="D1087" s="15"/>
      <c r="E1087" s="6"/>
      <c r="F1087" s="6"/>
      <c r="G1087" s="6"/>
      <c r="K1087" s="222"/>
      <c r="V1087" s="1430"/>
      <c r="AA1087" s="223"/>
      <c r="AC1087" s="889"/>
      <c r="AF1087" s="890"/>
      <c r="AJ1087" s="889"/>
      <c r="AN1087" s="222"/>
      <c r="BC1087" s="223"/>
      <c r="BD1087" s="222"/>
      <c r="BH1087" s="611"/>
      <c r="BJ1087" s="15"/>
      <c r="BK1087" s="15"/>
      <c r="BO1087" s="223"/>
      <c r="BQ1087" s="889"/>
      <c r="BT1087" s="890"/>
      <c r="BX1087" s="889"/>
      <c r="CB1087" s="15"/>
      <c r="CC1087" s="697"/>
      <c r="CD1087" s="1086"/>
      <c r="CE1087" s="15"/>
      <c r="CF1087" s="15"/>
      <c r="CG1087" s="936"/>
      <c r="CH1087" s="15"/>
      <c r="CI1087" s="15"/>
      <c r="CJ1087" s="15"/>
      <c r="CK1087" s="1107"/>
      <c r="CL1087" s="22"/>
      <c r="CM1087" s="22"/>
      <c r="CN1087" s="1107"/>
      <c r="CR1087" s="223"/>
      <c r="CS1087" s="952"/>
      <c r="CT1087" s="1066"/>
      <c r="CU1087" s="972"/>
      <c r="CV1087" s="983"/>
      <c r="CW1087" s="222"/>
      <c r="CX1087" s="697"/>
      <c r="DC1087" s="222"/>
      <c r="DJ1087" s="889"/>
      <c r="DM1087" s="890"/>
      <c r="DN1087" s="952"/>
      <c r="DO1087" s="75"/>
      <c r="DP1087" s="962"/>
      <c r="DQ1087" s="983"/>
      <c r="DV1087" s="889"/>
    </row>
    <row r="1088" spans="1:126" s="74" customFormat="1">
      <c r="A1088" s="15"/>
      <c r="B1088" s="15"/>
      <c r="C1088" s="15"/>
      <c r="D1088" s="15"/>
      <c r="E1088" s="6"/>
      <c r="F1088" s="6"/>
      <c r="G1088" s="6"/>
      <c r="K1088" s="222"/>
      <c r="V1088" s="1430"/>
      <c r="AA1088" s="223"/>
      <c r="AC1088" s="889"/>
      <c r="AF1088" s="890"/>
      <c r="AJ1088" s="889"/>
      <c r="AN1088" s="222"/>
      <c r="BC1088" s="223"/>
      <c r="BD1088" s="222"/>
      <c r="BH1088" s="611"/>
      <c r="BJ1088" s="15"/>
      <c r="BK1088" s="15"/>
      <c r="BO1088" s="223"/>
      <c r="BQ1088" s="889"/>
      <c r="BT1088" s="890"/>
      <c r="BX1088" s="889"/>
      <c r="CB1088" s="15"/>
      <c r="CC1088" s="697"/>
      <c r="CD1088" s="1086"/>
      <c r="CE1088" s="15"/>
      <c r="CF1088" s="15"/>
      <c r="CG1088" s="936"/>
      <c r="CH1088" s="15"/>
      <c r="CI1088" s="15"/>
      <c r="CJ1088" s="15"/>
      <c r="CK1088" s="1107"/>
      <c r="CL1088" s="22"/>
      <c r="CM1088" s="22"/>
      <c r="CN1088" s="1107"/>
      <c r="CR1088" s="223"/>
      <c r="CS1088" s="952"/>
      <c r="CT1088" s="1066"/>
      <c r="CU1088" s="972"/>
      <c r="CV1088" s="983"/>
      <c r="CW1088" s="222"/>
      <c r="CX1088" s="697"/>
      <c r="DC1088" s="222"/>
      <c r="DJ1088" s="889"/>
      <c r="DM1088" s="890"/>
      <c r="DN1088" s="952"/>
      <c r="DO1088" s="75"/>
      <c r="DP1088" s="962"/>
      <c r="DQ1088" s="983"/>
      <c r="DV1088" s="889"/>
    </row>
    <row r="1089" spans="1:126" s="74" customFormat="1">
      <c r="A1089" s="15"/>
      <c r="B1089" s="15"/>
      <c r="C1089" s="15"/>
      <c r="D1089" s="15"/>
      <c r="E1089" s="6"/>
      <c r="F1089" s="6"/>
      <c r="G1089" s="6"/>
      <c r="K1089" s="222"/>
      <c r="V1089" s="1430"/>
      <c r="AA1089" s="223"/>
      <c r="AC1089" s="889"/>
      <c r="AF1089" s="890"/>
      <c r="AJ1089" s="889"/>
      <c r="AN1089" s="222"/>
      <c r="BC1089" s="223"/>
      <c r="BD1089" s="222"/>
      <c r="BH1089" s="611"/>
      <c r="BJ1089" s="15"/>
      <c r="BK1089" s="15"/>
      <c r="BO1089" s="223"/>
      <c r="BQ1089" s="889"/>
      <c r="BT1089" s="890"/>
      <c r="BX1089" s="889"/>
      <c r="CB1089" s="15"/>
      <c r="CC1089" s="697"/>
      <c r="CD1089" s="1086"/>
      <c r="CE1089" s="15"/>
      <c r="CF1089" s="15"/>
      <c r="CG1089" s="936"/>
      <c r="CH1089" s="15"/>
      <c r="CI1089" s="15"/>
      <c r="CJ1089" s="15"/>
      <c r="CK1089" s="1107"/>
      <c r="CL1089" s="22"/>
      <c r="CM1089" s="22"/>
      <c r="CN1089" s="1107"/>
      <c r="CR1089" s="223"/>
      <c r="CS1089" s="952"/>
      <c r="CT1089" s="1066"/>
      <c r="CU1089" s="972"/>
      <c r="CV1089" s="983"/>
      <c r="CW1089" s="222"/>
      <c r="CX1089" s="697"/>
      <c r="DC1089" s="222"/>
      <c r="DJ1089" s="889"/>
      <c r="DM1089" s="890"/>
      <c r="DN1089" s="952"/>
      <c r="DO1089" s="75"/>
      <c r="DP1089" s="962"/>
      <c r="DQ1089" s="983"/>
      <c r="DV1089" s="889"/>
    </row>
    <row r="1090" spans="1:126" s="74" customFormat="1">
      <c r="A1090" s="15"/>
      <c r="B1090" s="15"/>
      <c r="C1090" s="15"/>
      <c r="D1090" s="15"/>
      <c r="E1090" s="6"/>
      <c r="F1090" s="6"/>
      <c r="G1090" s="6"/>
      <c r="K1090" s="222"/>
      <c r="V1090" s="1430"/>
      <c r="AA1090" s="223"/>
      <c r="AC1090" s="889"/>
      <c r="AF1090" s="890"/>
      <c r="AJ1090" s="889"/>
      <c r="AN1090" s="222"/>
      <c r="BC1090" s="223"/>
      <c r="BD1090" s="222"/>
      <c r="BH1090" s="611"/>
      <c r="BJ1090" s="15"/>
      <c r="BK1090" s="15"/>
      <c r="BO1090" s="223"/>
      <c r="BQ1090" s="889"/>
      <c r="BT1090" s="890"/>
      <c r="BX1090" s="889"/>
      <c r="CB1090" s="15"/>
      <c r="CC1090" s="697"/>
      <c r="CD1090" s="1086"/>
      <c r="CE1090" s="15"/>
      <c r="CF1090" s="15"/>
      <c r="CG1090" s="936"/>
      <c r="CH1090" s="15"/>
      <c r="CI1090" s="15"/>
      <c r="CJ1090" s="15"/>
      <c r="CK1090" s="1107"/>
      <c r="CL1090" s="22"/>
      <c r="CM1090" s="22"/>
      <c r="CN1090" s="1107"/>
      <c r="CR1090" s="223"/>
      <c r="CS1090" s="952"/>
      <c r="CT1090" s="1066"/>
      <c r="CU1090" s="972"/>
      <c r="CV1090" s="983"/>
      <c r="CW1090" s="222"/>
      <c r="CX1090" s="697"/>
      <c r="DC1090" s="222"/>
      <c r="DJ1090" s="889"/>
      <c r="DM1090" s="890"/>
      <c r="DN1090" s="952"/>
      <c r="DO1090" s="75"/>
      <c r="DP1090" s="962"/>
      <c r="DQ1090" s="983"/>
      <c r="DV1090" s="889"/>
    </row>
    <row r="1091" spans="1:126" s="74" customFormat="1">
      <c r="A1091" s="15"/>
      <c r="B1091" s="15"/>
      <c r="C1091" s="15"/>
      <c r="D1091" s="15"/>
      <c r="E1091" s="6"/>
      <c r="F1091" s="6"/>
      <c r="G1091" s="6"/>
      <c r="K1091" s="222"/>
      <c r="V1091" s="1430"/>
      <c r="AA1091" s="223"/>
      <c r="AC1091" s="889"/>
      <c r="AF1091" s="890"/>
      <c r="AJ1091" s="889"/>
      <c r="AN1091" s="222"/>
      <c r="BC1091" s="223"/>
      <c r="BD1091" s="222"/>
      <c r="BH1091" s="611"/>
      <c r="BJ1091" s="15"/>
      <c r="BK1091" s="15"/>
      <c r="BO1091" s="223"/>
      <c r="BQ1091" s="889"/>
      <c r="BT1091" s="890"/>
      <c r="BX1091" s="889"/>
      <c r="CB1091" s="15"/>
      <c r="CC1091" s="697"/>
      <c r="CD1091" s="1086"/>
      <c r="CE1091" s="15"/>
      <c r="CF1091" s="15"/>
      <c r="CG1091" s="936"/>
      <c r="CH1091" s="15"/>
      <c r="CI1091" s="15"/>
      <c r="CJ1091" s="15"/>
      <c r="CK1091" s="1107"/>
      <c r="CL1091" s="22"/>
      <c r="CM1091" s="22"/>
      <c r="CN1091" s="1107"/>
      <c r="CR1091" s="223"/>
      <c r="CS1091" s="952"/>
      <c r="CT1091" s="1066"/>
      <c r="CU1091" s="972"/>
      <c r="CV1091" s="983"/>
      <c r="CW1091" s="222"/>
      <c r="CX1091" s="697"/>
      <c r="DC1091" s="222"/>
      <c r="DJ1091" s="889"/>
      <c r="DM1091" s="890"/>
      <c r="DN1091" s="952"/>
      <c r="DO1091" s="75"/>
      <c r="DP1091" s="962"/>
      <c r="DQ1091" s="983"/>
      <c r="DV1091" s="889"/>
    </row>
    <row r="1092" spans="1:126" s="74" customFormat="1">
      <c r="A1092" s="15"/>
      <c r="B1092" s="15"/>
      <c r="C1092" s="15"/>
      <c r="D1092" s="15"/>
      <c r="E1092" s="6"/>
      <c r="F1092" s="6"/>
      <c r="G1092" s="6"/>
      <c r="K1092" s="222"/>
      <c r="V1092" s="1430"/>
      <c r="AA1092" s="223"/>
      <c r="AC1092" s="889"/>
      <c r="AF1092" s="890"/>
      <c r="AJ1092" s="889"/>
      <c r="AN1092" s="222"/>
      <c r="BC1092" s="223"/>
      <c r="BD1092" s="222"/>
      <c r="BH1092" s="611"/>
      <c r="BJ1092" s="15"/>
      <c r="BK1092" s="15"/>
      <c r="BO1092" s="223"/>
      <c r="BQ1092" s="889"/>
      <c r="BT1092" s="890"/>
      <c r="BX1092" s="889"/>
      <c r="CB1092" s="15"/>
      <c r="CC1092" s="697"/>
      <c r="CD1092" s="1086"/>
      <c r="CE1092" s="15"/>
      <c r="CF1092" s="15"/>
      <c r="CG1092" s="936"/>
      <c r="CH1092" s="15"/>
      <c r="CI1092" s="15"/>
      <c r="CJ1092" s="15"/>
      <c r="CK1092" s="1107"/>
      <c r="CL1092" s="22"/>
      <c r="CM1092" s="22"/>
      <c r="CN1092" s="1107"/>
      <c r="CR1092" s="223"/>
      <c r="CS1092" s="952"/>
      <c r="CT1092" s="1066"/>
      <c r="CU1092" s="972"/>
      <c r="CV1092" s="983"/>
      <c r="CW1092" s="222"/>
      <c r="CX1092" s="697"/>
      <c r="DC1092" s="222"/>
      <c r="DJ1092" s="889"/>
      <c r="DM1092" s="890"/>
      <c r="DN1092" s="952"/>
      <c r="DO1092" s="75"/>
      <c r="DP1092" s="962"/>
      <c r="DQ1092" s="983"/>
      <c r="DV1092" s="889"/>
    </row>
    <row r="1093" spans="1:126" s="74" customFormat="1">
      <c r="A1093" s="15"/>
      <c r="B1093" s="15"/>
      <c r="C1093" s="15"/>
      <c r="D1093" s="15"/>
      <c r="E1093" s="6"/>
      <c r="F1093" s="6"/>
      <c r="G1093" s="6"/>
      <c r="K1093" s="222"/>
      <c r="V1093" s="1430"/>
      <c r="AA1093" s="223"/>
      <c r="AC1093" s="889"/>
      <c r="AF1093" s="890"/>
      <c r="AJ1093" s="889"/>
      <c r="AN1093" s="222"/>
      <c r="BC1093" s="223"/>
      <c r="BD1093" s="222"/>
      <c r="BH1093" s="611"/>
      <c r="BJ1093" s="15"/>
      <c r="BK1093" s="15"/>
      <c r="BO1093" s="223"/>
      <c r="BQ1093" s="889"/>
      <c r="BT1093" s="890"/>
      <c r="BX1093" s="889"/>
      <c r="CB1093" s="15"/>
      <c r="CC1093" s="697"/>
      <c r="CD1093" s="1086"/>
      <c r="CE1093" s="15"/>
      <c r="CF1093" s="15"/>
      <c r="CG1093" s="936"/>
      <c r="CH1093" s="15"/>
      <c r="CI1093" s="15"/>
      <c r="CJ1093" s="15"/>
      <c r="CK1093" s="1107"/>
      <c r="CL1093" s="22"/>
      <c r="CM1093" s="22"/>
      <c r="CN1093" s="1107"/>
      <c r="CR1093" s="223"/>
      <c r="CS1093" s="952"/>
      <c r="CT1093" s="1066"/>
      <c r="CU1093" s="972"/>
      <c r="CV1093" s="983"/>
      <c r="CW1093" s="222"/>
      <c r="CX1093" s="697"/>
      <c r="DC1093" s="222"/>
      <c r="DJ1093" s="889"/>
      <c r="DM1093" s="890"/>
      <c r="DN1093" s="952"/>
      <c r="DO1093" s="75"/>
      <c r="DP1093" s="962"/>
      <c r="DQ1093" s="983"/>
      <c r="DV1093" s="889"/>
    </row>
    <row r="1094" spans="1:126" s="74" customFormat="1">
      <c r="A1094" s="15"/>
      <c r="B1094" s="15"/>
      <c r="C1094" s="15"/>
      <c r="D1094" s="15"/>
      <c r="E1094" s="6"/>
      <c r="F1094" s="6"/>
      <c r="G1094" s="6"/>
      <c r="K1094" s="222"/>
      <c r="V1094" s="1430"/>
      <c r="AA1094" s="223"/>
      <c r="AC1094" s="889"/>
      <c r="AF1094" s="890"/>
      <c r="AJ1094" s="889"/>
      <c r="AN1094" s="222"/>
      <c r="BC1094" s="223"/>
      <c r="BD1094" s="222"/>
      <c r="BH1094" s="611"/>
      <c r="BJ1094" s="15"/>
      <c r="BK1094" s="15"/>
      <c r="BO1094" s="223"/>
      <c r="BQ1094" s="889"/>
      <c r="BT1094" s="890"/>
      <c r="BX1094" s="889"/>
      <c r="CB1094" s="15"/>
      <c r="CC1094" s="697"/>
      <c r="CD1094" s="1086"/>
      <c r="CE1094" s="15"/>
      <c r="CF1094" s="15"/>
      <c r="CG1094" s="936"/>
      <c r="CH1094" s="15"/>
      <c r="CI1094" s="15"/>
      <c r="CJ1094" s="15"/>
      <c r="CK1094" s="1107"/>
      <c r="CL1094" s="22"/>
      <c r="CM1094" s="22"/>
      <c r="CN1094" s="1107"/>
      <c r="CR1094" s="223"/>
      <c r="CS1094" s="952"/>
      <c r="CT1094" s="1066"/>
      <c r="CU1094" s="972"/>
      <c r="CV1094" s="983"/>
      <c r="CW1094" s="222"/>
      <c r="CX1094" s="697"/>
      <c r="DC1094" s="222"/>
      <c r="DJ1094" s="889"/>
      <c r="DM1094" s="890"/>
      <c r="DN1094" s="952"/>
      <c r="DO1094" s="75"/>
      <c r="DP1094" s="962"/>
      <c r="DQ1094" s="983"/>
      <c r="DV1094" s="889"/>
    </row>
    <row r="1095" spans="1:126" s="74" customFormat="1">
      <c r="A1095" s="15"/>
      <c r="B1095" s="15"/>
      <c r="C1095" s="15"/>
      <c r="D1095" s="15"/>
      <c r="E1095" s="6"/>
      <c r="F1095" s="6"/>
      <c r="G1095" s="6"/>
      <c r="K1095" s="222"/>
      <c r="V1095" s="1430"/>
      <c r="AA1095" s="223"/>
      <c r="AC1095" s="889"/>
      <c r="AF1095" s="890"/>
      <c r="AJ1095" s="889"/>
      <c r="AN1095" s="222"/>
      <c r="BC1095" s="223"/>
      <c r="BD1095" s="222"/>
      <c r="BH1095" s="611"/>
      <c r="BJ1095" s="15"/>
      <c r="BK1095" s="15"/>
      <c r="BO1095" s="223"/>
      <c r="BQ1095" s="889"/>
      <c r="BT1095" s="890"/>
      <c r="BX1095" s="889"/>
      <c r="CB1095" s="15"/>
      <c r="CC1095" s="697"/>
      <c r="CD1095" s="1086"/>
      <c r="CE1095" s="15"/>
      <c r="CF1095" s="15"/>
      <c r="CG1095" s="936"/>
      <c r="CH1095" s="15"/>
      <c r="CI1095" s="15"/>
      <c r="CJ1095" s="15"/>
      <c r="CK1095" s="1107"/>
      <c r="CL1095" s="22"/>
      <c r="CM1095" s="22"/>
      <c r="CN1095" s="1107"/>
      <c r="CR1095" s="223"/>
      <c r="CS1095" s="952"/>
      <c r="CT1095" s="1066"/>
      <c r="CU1095" s="972"/>
      <c r="CV1095" s="983"/>
      <c r="CW1095" s="222"/>
      <c r="CX1095" s="697"/>
      <c r="DC1095" s="222"/>
      <c r="DJ1095" s="889"/>
      <c r="DM1095" s="890"/>
      <c r="DN1095" s="952"/>
      <c r="DO1095" s="75"/>
      <c r="DP1095" s="962"/>
      <c r="DQ1095" s="983"/>
      <c r="DV1095" s="889"/>
    </row>
    <row r="1096" spans="1:126" s="74" customFormat="1">
      <c r="A1096" s="15"/>
      <c r="B1096" s="15"/>
      <c r="C1096" s="15"/>
      <c r="D1096" s="15"/>
      <c r="E1096" s="6"/>
      <c r="F1096" s="6"/>
      <c r="G1096" s="6"/>
      <c r="K1096" s="222"/>
      <c r="V1096" s="1430"/>
      <c r="AA1096" s="223"/>
      <c r="AC1096" s="889"/>
      <c r="AF1096" s="890"/>
      <c r="AJ1096" s="889"/>
      <c r="AN1096" s="222"/>
      <c r="BC1096" s="223"/>
      <c r="BD1096" s="222"/>
      <c r="BH1096" s="611"/>
      <c r="BJ1096" s="15"/>
      <c r="BK1096" s="15"/>
      <c r="BO1096" s="223"/>
      <c r="BQ1096" s="889"/>
      <c r="BT1096" s="890"/>
      <c r="BX1096" s="889"/>
      <c r="CB1096" s="15"/>
      <c r="CC1096" s="697"/>
      <c r="CD1096" s="1086"/>
      <c r="CE1096" s="15"/>
      <c r="CF1096" s="15"/>
      <c r="CG1096" s="936"/>
      <c r="CH1096" s="15"/>
      <c r="CI1096" s="15"/>
      <c r="CJ1096" s="15"/>
      <c r="CK1096" s="1107"/>
      <c r="CL1096" s="22"/>
      <c r="CM1096" s="22"/>
      <c r="CN1096" s="1107"/>
      <c r="CR1096" s="223"/>
      <c r="CS1096" s="952"/>
      <c r="CT1096" s="1066"/>
      <c r="CU1096" s="972"/>
      <c r="CV1096" s="983"/>
      <c r="CW1096" s="222"/>
      <c r="CX1096" s="697"/>
      <c r="DC1096" s="222"/>
      <c r="DJ1096" s="889"/>
      <c r="DM1096" s="890"/>
      <c r="DN1096" s="952"/>
      <c r="DO1096" s="75"/>
      <c r="DP1096" s="962"/>
      <c r="DQ1096" s="983"/>
      <c r="DV1096" s="889"/>
    </row>
    <row r="1097" spans="1:126" s="74" customFormat="1">
      <c r="A1097" s="15"/>
      <c r="B1097" s="15"/>
      <c r="C1097" s="15"/>
      <c r="D1097" s="15"/>
      <c r="E1097" s="6"/>
      <c r="F1097" s="6"/>
      <c r="G1097" s="6"/>
      <c r="K1097" s="222"/>
      <c r="V1097" s="1430"/>
      <c r="AA1097" s="223"/>
      <c r="AC1097" s="889"/>
      <c r="AF1097" s="890"/>
      <c r="AJ1097" s="889"/>
      <c r="AN1097" s="222"/>
      <c r="BC1097" s="223"/>
      <c r="BD1097" s="222"/>
      <c r="BH1097" s="611"/>
      <c r="BJ1097" s="15"/>
      <c r="BK1097" s="15"/>
      <c r="BO1097" s="223"/>
      <c r="BQ1097" s="889"/>
      <c r="BT1097" s="890"/>
      <c r="BX1097" s="889"/>
      <c r="CB1097" s="15"/>
      <c r="CC1097" s="697"/>
      <c r="CD1097" s="1086"/>
      <c r="CE1097" s="15"/>
      <c r="CF1097" s="15"/>
      <c r="CG1097" s="936"/>
      <c r="CH1097" s="15"/>
      <c r="CI1097" s="15"/>
      <c r="CJ1097" s="15"/>
      <c r="CK1097" s="1107"/>
      <c r="CL1097" s="22"/>
      <c r="CM1097" s="22"/>
      <c r="CN1097" s="1107"/>
      <c r="CR1097" s="223"/>
      <c r="CS1097" s="952"/>
      <c r="CT1097" s="1066"/>
      <c r="CU1097" s="972"/>
      <c r="CV1097" s="983"/>
      <c r="CW1097" s="222"/>
      <c r="CX1097" s="697"/>
      <c r="DC1097" s="222"/>
      <c r="DJ1097" s="889"/>
      <c r="DM1097" s="890"/>
      <c r="DN1097" s="952"/>
      <c r="DO1097" s="75"/>
      <c r="DP1097" s="962"/>
      <c r="DQ1097" s="983"/>
      <c r="DV1097" s="889"/>
    </row>
    <row r="1098" spans="1:126" s="74" customFormat="1">
      <c r="A1098" s="15"/>
      <c r="B1098" s="15"/>
      <c r="C1098" s="15"/>
      <c r="D1098" s="15"/>
      <c r="E1098" s="6"/>
      <c r="F1098" s="6"/>
      <c r="G1098" s="6"/>
      <c r="K1098" s="222"/>
      <c r="V1098" s="1430"/>
      <c r="AA1098" s="223"/>
      <c r="AC1098" s="889"/>
      <c r="AF1098" s="890"/>
      <c r="AJ1098" s="889"/>
      <c r="AN1098" s="222"/>
      <c r="BC1098" s="223"/>
      <c r="BD1098" s="222"/>
      <c r="BH1098" s="611"/>
      <c r="BJ1098" s="15"/>
      <c r="BK1098" s="15"/>
      <c r="BO1098" s="223"/>
      <c r="BQ1098" s="889"/>
      <c r="BT1098" s="890"/>
      <c r="BX1098" s="889"/>
      <c r="CB1098" s="15"/>
      <c r="CC1098" s="697"/>
      <c r="CD1098" s="1086"/>
      <c r="CE1098" s="15"/>
      <c r="CF1098" s="15"/>
      <c r="CG1098" s="936"/>
      <c r="CH1098" s="15"/>
      <c r="CI1098" s="15"/>
      <c r="CJ1098" s="15"/>
      <c r="CK1098" s="1107"/>
      <c r="CL1098" s="22"/>
      <c r="CM1098" s="22"/>
      <c r="CN1098" s="1107"/>
      <c r="CR1098" s="223"/>
      <c r="CS1098" s="952"/>
      <c r="CT1098" s="1066"/>
      <c r="CU1098" s="972"/>
      <c r="CV1098" s="983"/>
      <c r="CW1098" s="222"/>
      <c r="CX1098" s="697"/>
      <c r="DC1098" s="222"/>
      <c r="DJ1098" s="889"/>
      <c r="DM1098" s="890"/>
      <c r="DN1098" s="952"/>
      <c r="DO1098" s="75"/>
      <c r="DP1098" s="962"/>
      <c r="DQ1098" s="983"/>
      <c r="DV1098" s="889"/>
    </row>
    <row r="1099" spans="1:126" s="74" customFormat="1">
      <c r="A1099" s="15"/>
      <c r="B1099" s="15"/>
      <c r="C1099" s="15"/>
      <c r="D1099" s="15"/>
      <c r="E1099" s="6"/>
      <c r="F1099" s="6"/>
      <c r="G1099" s="6"/>
      <c r="K1099" s="222"/>
      <c r="V1099" s="1430"/>
      <c r="AA1099" s="223"/>
      <c r="AC1099" s="889"/>
      <c r="AF1099" s="890"/>
      <c r="AJ1099" s="889"/>
      <c r="AN1099" s="222"/>
      <c r="BC1099" s="223"/>
      <c r="BD1099" s="222"/>
      <c r="BH1099" s="611"/>
      <c r="BJ1099" s="15"/>
      <c r="BK1099" s="15"/>
      <c r="BO1099" s="223"/>
      <c r="BQ1099" s="889"/>
      <c r="BT1099" s="890"/>
      <c r="BX1099" s="889"/>
      <c r="CB1099" s="15"/>
      <c r="CC1099" s="697"/>
      <c r="CD1099" s="1086"/>
      <c r="CE1099" s="15"/>
      <c r="CF1099" s="15"/>
      <c r="CG1099" s="936"/>
      <c r="CH1099" s="15"/>
      <c r="CI1099" s="15"/>
      <c r="CJ1099" s="15"/>
      <c r="CK1099" s="1107"/>
      <c r="CL1099" s="22"/>
      <c r="CM1099" s="22"/>
      <c r="CN1099" s="1107"/>
      <c r="CR1099" s="223"/>
      <c r="CS1099" s="952"/>
      <c r="CT1099" s="1066"/>
      <c r="CU1099" s="972"/>
      <c r="CV1099" s="983"/>
      <c r="CW1099" s="222"/>
      <c r="CX1099" s="697"/>
      <c r="DC1099" s="222"/>
      <c r="DJ1099" s="889"/>
      <c r="DM1099" s="890"/>
      <c r="DN1099" s="952"/>
      <c r="DO1099" s="75"/>
      <c r="DP1099" s="962"/>
      <c r="DQ1099" s="983"/>
      <c r="DV1099" s="889"/>
    </row>
    <row r="1100" spans="1:126" s="74" customFormat="1">
      <c r="A1100" s="15"/>
      <c r="B1100" s="15"/>
      <c r="C1100" s="15"/>
      <c r="D1100" s="15"/>
      <c r="E1100" s="6"/>
      <c r="F1100" s="6"/>
      <c r="G1100" s="6"/>
      <c r="K1100" s="222"/>
      <c r="V1100" s="1430"/>
      <c r="AA1100" s="223"/>
      <c r="AC1100" s="889"/>
      <c r="AF1100" s="890"/>
      <c r="AJ1100" s="889"/>
      <c r="AN1100" s="222"/>
      <c r="BC1100" s="223"/>
      <c r="BD1100" s="222"/>
      <c r="BH1100" s="611"/>
      <c r="BJ1100" s="15"/>
      <c r="BK1100" s="15"/>
      <c r="BO1100" s="223"/>
      <c r="BQ1100" s="889"/>
      <c r="BT1100" s="890"/>
      <c r="BX1100" s="889"/>
      <c r="CB1100" s="15"/>
      <c r="CC1100" s="697"/>
      <c r="CD1100" s="1086"/>
      <c r="CE1100" s="15"/>
      <c r="CF1100" s="15"/>
      <c r="CG1100" s="936"/>
      <c r="CH1100" s="15"/>
      <c r="CI1100" s="15"/>
      <c r="CJ1100" s="15"/>
      <c r="CK1100" s="1107"/>
      <c r="CL1100" s="22"/>
      <c r="CM1100" s="22"/>
      <c r="CN1100" s="1107"/>
      <c r="CR1100" s="223"/>
      <c r="CS1100" s="952"/>
      <c r="CT1100" s="1066"/>
      <c r="CU1100" s="972"/>
      <c r="CV1100" s="983"/>
      <c r="CW1100" s="222"/>
      <c r="CX1100" s="697"/>
      <c r="DC1100" s="222"/>
      <c r="DJ1100" s="889"/>
      <c r="DM1100" s="890"/>
      <c r="DN1100" s="952"/>
      <c r="DO1100" s="75"/>
      <c r="DP1100" s="962"/>
      <c r="DQ1100" s="983"/>
      <c r="DV1100" s="889"/>
    </row>
    <row r="1101" spans="1:126" s="74" customFormat="1">
      <c r="A1101" s="15"/>
      <c r="B1101" s="15"/>
      <c r="C1101" s="15"/>
      <c r="D1101" s="15"/>
      <c r="E1101" s="6"/>
      <c r="F1101" s="6"/>
      <c r="G1101" s="6"/>
      <c r="K1101" s="222"/>
      <c r="V1101" s="1430"/>
      <c r="AA1101" s="223"/>
      <c r="AC1101" s="889"/>
      <c r="AF1101" s="890"/>
      <c r="AJ1101" s="889"/>
      <c r="AN1101" s="222"/>
      <c r="BC1101" s="223"/>
      <c r="BD1101" s="222"/>
      <c r="BH1101" s="611"/>
      <c r="BJ1101" s="15"/>
      <c r="BK1101" s="15"/>
      <c r="BO1101" s="223"/>
      <c r="BQ1101" s="889"/>
      <c r="BT1101" s="890"/>
      <c r="BX1101" s="889"/>
      <c r="CB1101" s="15"/>
      <c r="CC1101" s="697"/>
      <c r="CD1101" s="1086"/>
      <c r="CE1101" s="15"/>
      <c r="CF1101" s="15"/>
      <c r="CG1101" s="936"/>
      <c r="CH1101" s="15"/>
      <c r="CI1101" s="15"/>
      <c r="CJ1101" s="15"/>
      <c r="CK1101" s="1107"/>
      <c r="CL1101" s="22"/>
      <c r="CM1101" s="22"/>
      <c r="CN1101" s="1107"/>
      <c r="CR1101" s="223"/>
      <c r="CS1101" s="952"/>
      <c r="CT1101" s="1066"/>
      <c r="CU1101" s="972"/>
      <c r="CV1101" s="983"/>
      <c r="CW1101" s="222"/>
      <c r="CX1101" s="697"/>
      <c r="DC1101" s="222"/>
      <c r="DJ1101" s="889"/>
      <c r="DM1101" s="890"/>
      <c r="DN1101" s="952"/>
      <c r="DO1101" s="75"/>
      <c r="DP1101" s="962"/>
      <c r="DQ1101" s="983"/>
      <c r="DV1101" s="889"/>
    </row>
    <row r="1102" spans="1:126" s="74" customFormat="1">
      <c r="A1102" s="15"/>
      <c r="B1102" s="15"/>
      <c r="C1102" s="15"/>
      <c r="D1102" s="15"/>
      <c r="E1102" s="6"/>
      <c r="F1102" s="6"/>
      <c r="G1102" s="6"/>
      <c r="K1102" s="222"/>
      <c r="V1102" s="1430"/>
      <c r="AA1102" s="223"/>
      <c r="AC1102" s="889"/>
      <c r="AF1102" s="890"/>
      <c r="AJ1102" s="889"/>
      <c r="AN1102" s="222"/>
      <c r="BC1102" s="223"/>
      <c r="BD1102" s="222"/>
      <c r="BH1102" s="611"/>
      <c r="BJ1102" s="15"/>
      <c r="BK1102" s="15"/>
      <c r="BO1102" s="223"/>
      <c r="BQ1102" s="889"/>
      <c r="BT1102" s="890"/>
      <c r="BX1102" s="889"/>
      <c r="CB1102" s="15"/>
      <c r="CC1102" s="697"/>
      <c r="CD1102" s="1086"/>
      <c r="CE1102" s="15"/>
      <c r="CF1102" s="15"/>
      <c r="CG1102" s="936"/>
      <c r="CH1102" s="15"/>
      <c r="CI1102" s="15"/>
      <c r="CJ1102" s="15"/>
      <c r="CK1102" s="1107"/>
      <c r="CL1102" s="22"/>
      <c r="CM1102" s="22"/>
      <c r="CN1102" s="1107"/>
      <c r="CR1102" s="223"/>
      <c r="CS1102" s="952"/>
      <c r="CT1102" s="1066"/>
      <c r="CU1102" s="972"/>
      <c r="CV1102" s="983"/>
      <c r="CW1102" s="222"/>
      <c r="CX1102" s="697"/>
      <c r="DC1102" s="222"/>
      <c r="DJ1102" s="889"/>
      <c r="DM1102" s="890"/>
      <c r="DN1102" s="952"/>
      <c r="DO1102" s="75"/>
      <c r="DP1102" s="962"/>
      <c r="DQ1102" s="983"/>
      <c r="DV1102" s="889"/>
    </row>
    <row r="1103" spans="1:126" s="74" customFormat="1">
      <c r="A1103" s="15"/>
      <c r="B1103" s="15"/>
      <c r="C1103" s="15"/>
      <c r="D1103" s="15"/>
      <c r="E1103" s="6"/>
      <c r="F1103" s="6"/>
      <c r="G1103" s="6"/>
      <c r="K1103" s="222"/>
      <c r="V1103" s="1430"/>
      <c r="AA1103" s="223"/>
      <c r="AC1103" s="889"/>
      <c r="AF1103" s="890"/>
      <c r="AJ1103" s="889"/>
      <c r="AN1103" s="222"/>
      <c r="BC1103" s="223"/>
      <c r="BD1103" s="222"/>
      <c r="BH1103" s="611"/>
      <c r="BJ1103" s="15"/>
      <c r="BK1103" s="15"/>
      <c r="BO1103" s="223"/>
      <c r="BQ1103" s="889"/>
      <c r="BT1103" s="890"/>
      <c r="BX1103" s="889"/>
      <c r="CB1103" s="15"/>
      <c r="CC1103" s="697"/>
      <c r="CD1103" s="1086"/>
      <c r="CE1103" s="15"/>
      <c r="CF1103" s="15"/>
      <c r="CG1103" s="936"/>
      <c r="CH1103" s="15"/>
      <c r="CI1103" s="15"/>
      <c r="CJ1103" s="15"/>
      <c r="CK1103" s="1107"/>
      <c r="CL1103" s="22"/>
      <c r="CM1103" s="22"/>
      <c r="CN1103" s="1107"/>
      <c r="CR1103" s="223"/>
      <c r="CS1103" s="952"/>
      <c r="CT1103" s="1066"/>
      <c r="CU1103" s="972"/>
      <c r="CV1103" s="983"/>
      <c r="CW1103" s="222"/>
      <c r="CX1103" s="697"/>
      <c r="DC1103" s="222"/>
      <c r="DJ1103" s="889"/>
      <c r="DM1103" s="890"/>
      <c r="DN1103" s="952"/>
      <c r="DO1103" s="75"/>
      <c r="DP1103" s="962"/>
      <c r="DQ1103" s="983"/>
      <c r="DV1103" s="889"/>
    </row>
    <row r="1104" spans="1:126" s="74" customFormat="1">
      <c r="A1104" s="15"/>
      <c r="B1104" s="15"/>
      <c r="C1104" s="15"/>
      <c r="D1104" s="15"/>
      <c r="E1104" s="6"/>
      <c r="F1104" s="6"/>
      <c r="G1104" s="6"/>
      <c r="K1104" s="222"/>
      <c r="V1104" s="1430"/>
      <c r="AA1104" s="223"/>
      <c r="AC1104" s="889"/>
      <c r="AF1104" s="890"/>
      <c r="AJ1104" s="889"/>
      <c r="AN1104" s="222"/>
      <c r="BC1104" s="223"/>
      <c r="BD1104" s="222"/>
      <c r="BH1104" s="611"/>
      <c r="BJ1104" s="15"/>
      <c r="BK1104" s="15"/>
      <c r="BO1104" s="223"/>
      <c r="BQ1104" s="889"/>
      <c r="BT1104" s="890"/>
      <c r="BX1104" s="889"/>
      <c r="CB1104" s="15"/>
      <c r="CC1104" s="697"/>
      <c r="CD1104" s="1086"/>
      <c r="CE1104" s="15"/>
      <c r="CF1104" s="15"/>
      <c r="CG1104" s="936"/>
      <c r="CH1104" s="15"/>
      <c r="CI1104" s="15"/>
      <c r="CJ1104" s="15"/>
      <c r="CK1104" s="1107"/>
      <c r="CL1104" s="22"/>
      <c r="CM1104" s="22"/>
      <c r="CN1104" s="1107"/>
      <c r="CR1104" s="223"/>
      <c r="CS1104" s="952"/>
      <c r="CT1104" s="1066"/>
      <c r="CU1104" s="972"/>
      <c r="CV1104" s="983"/>
      <c r="CW1104" s="222"/>
      <c r="CX1104" s="697"/>
      <c r="DC1104" s="222"/>
      <c r="DJ1104" s="889"/>
      <c r="DM1104" s="890"/>
      <c r="DN1104" s="952"/>
      <c r="DO1104" s="75"/>
      <c r="DP1104" s="962"/>
      <c r="DQ1104" s="983"/>
      <c r="DV1104" s="889"/>
    </row>
    <row r="1105" spans="1:126" s="74" customFormat="1">
      <c r="A1105" s="15"/>
      <c r="B1105" s="15"/>
      <c r="C1105" s="15"/>
      <c r="D1105" s="15"/>
      <c r="E1105" s="6"/>
      <c r="F1105" s="6"/>
      <c r="G1105" s="6"/>
      <c r="K1105" s="222"/>
      <c r="V1105" s="1430"/>
      <c r="AA1105" s="223"/>
      <c r="AC1105" s="889"/>
      <c r="AF1105" s="890"/>
      <c r="AJ1105" s="889"/>
      <c r="AN1105" s="222"/>
      <c r="BC1105" s="223"/>
      <c r="BD1105" s="222"/>
      <c r="BH1105" s="611"/>
      <c r="BJ1105" s="15"/>
      <c r="BK1105" s="15"/>
      <c r="BO1105" s="223"/>
      <c r="BQ1105" s="889"/>
      <c r="BT1105" s="890"/>
      <c r="BX1105" s="889"/>
      <c r="CB1105" s="15"/>
      <c r="CC1105" s="697"/>
      <c r="CD1105" s="1086"/>
      <c r="CE1105" s="15"/>
      <c r="CF1105" s="15"/>
      <c r="CG1105" s="936"/>
      <c r="CH1105" s="15"/>
      <c r="CI1105" s="15"/>
      <c r="CJ1105" s="15"/>
      <c r="CK1105" s="1107"/>
      <c r="CL1105" s="22"/>
      <c r="CM1105" s="22"/>
      <c r="CN1105" s="1107"/>
      <c r="CR1105" s="223"/>
      <c r="CS1105" s="952"/>
      <c r="CT1105" s="1066"/>
      <c r="CU1105" s="972"/>
      <c r="CV1105" s="983"/>
      <c r="CW1105" s="222"/>
      <c r="CX1105" s="697"/>
      <c r="DC1105" s="222"/>
      <c r="DJ1105" s="889"/>
      <c r="DM1105" s="890"/>
      <c r="DN1105" s="952"/>
      <c r="DO1105" s="75"/>
      <c r="DP1105" s="962"/>
      <c r="DQ1105" s="983"/>
      <c r="DV1105" s="889"/>
    </row>
    <row r="1106" spans="1:126" s="74" customFormat="1">
      <c r="A1106" s="15"/>
      <c r="B1106" s="15"/>
      <c r="C1106" s="15"/>
      <c r="D1106" s="15"/>
      <c r="E1106" s="6"/>
      <c r="F1106" s="6"/>
      <c r="G1106" s="6"/>
      <c r="K1106" s="222"/>
      <c r="V1106" s="1430"/>
      <c r="AA1106" s="223"/>
      <c r="AC1106" s="889"/>
      <c r="AF1106" s="890"/>
      <c r="AJ1106" s="889"/>
      <c r="AN1106" s="222"/>
      <c r="BC1106" s="223"/>
      <c r="BD1106" s="222"/>
      <c r="BH1106" s="611"/>
      <c r="BJ1106" s="15"/>
      <c r="BK1106" s="15"/>
      <c r="BO1106" s="223"/>
      <c r="BQ1106" s="889"/>
      <c r="BT1106" s="890"/>
      <c r="BX1106" s="889"/>
      <c r="CB1106" s="15"/>
      <c r="CC1106" s="697"/>
      <c r="CD1106" s="1086"/>
      <c r="CE1106" s="15"/>
      <c r="CF1106" s="15"/>
      <c r="CG1106" s="936"/>
      <c r="CH1106" s="15"/>
      <c r="CI1106" s="15"/>
      <c r="CJ1106" s="15"/>
      <c r="CK1106" s="1107"/>
      <c r="CL1106" s="22"/>
      <c r="CM1106" s="22"/>
      <c r="CN1106" s="1107"/>
      <c r="CR1106" s="223"/>
      <c r="CS1106" s="952"/>
      <c r="CT1106" s="1066"/>
      <c r="CU1106" s="972"/>
      <c r="CV1106" s="983"/>
      <c r="CW1106" s="222"/>
      <c r="CX1106" s="697"/>
      <c r="DC1106" s="222"/>
      <c r="DJ1106" s="889"/>
      <c r="DM1106" s="890"/>
      <c r="DN1106" s="952"/>
      <c r="DO1106" s="75"/>
      <c r="DP1106" s="962"/>
      <c r="DQ1106" s="983"/>
      <c r="DV1106" s="889"/>
    </row>
    <row r="1107" spans="1:126" s="74" customFormat="1">
      <c r="A1107" s="15"/>
      <c r="B1107" s="15"/>
      <c r="C1107" s="15"/>
      <c r="D1107" s="15"/>
      <c r="E1107" s="6"/>
      <c r="F1107" s="6"/>
      <c r="G1107" s="6"/>
      <c r="K1107" s="222"/>
      <c r="V1107" s="1430"/>
      <c r="AA1107" s="223"/>
      <c r="AC1107" s="889"/>
      <c r="AF1107" s="890"/>
      <c r="AJ1107" s="889"/>
      <c r="AN1107" s="222"/>
      <c r="BC1107" s="223"/>
      <c r="BD1107" s="222"/>
      <c r="BH1107" s="611"/>
      <c r="BJ1107" s="15"/>
      <c r="BK1107" s="15"/>
      <c r="BO1107" s="223"/>
      <c r="BQ1107" s="889"/>
      <c r="BT1107" s="890"/>
      <c r="BX1107" s="889"/>
      <c r="CB1107" s="15"/>
      <c r="CC1107" s="697"/>
      <c r="CD1107" s="1086"/>
      <c r="CE1107" s="15"/>
      <c r="CF1107" s="15"/>
      <c r="CG1107" s="936"/>
      <c r="CH1107" s="15"/>
      <c r="CI1107" s="15"/>
      <c r="CJ1107" s="15"/>
      <c r="CK1107" s="1107"/>
      <c r="CL1107" s="22"/>
      <c r="CM1107" s="22"/>
      <c r="CN1107" s="1107"/>
      <c r="CR1107" s="223"/>
      <c r="CS1107" s="952"/>
      <c r="CT1107" s="1066"/>
      <c r="CU1107" s="972"/>
      <c r="CV1107" s="983"/>
      <c r="CW1107" s="222"/>
      <c r="CX1107" s="697"/>
      <c r="DC1107" s="222"/>
      <c r="DJ1107" s="889"/>
      <c r="DM1107" s="890"/>
      <c r="DN1107" s="952"/>
      <c r="DO1107" s="75"/>
      <c r="DP1107" s="962"/>
      <c r="DQ1107" s="983"/>
      <c r="DV1107" s="889"/>
    </row>
    <row r="1108" spans="1:126" s="74" customFormat="1">
      <c r="A1108" s="15"/>
      <c r="B1108" s="15"/>
      <c r="C1108" s="15"/>
      <c r="D1108" s="15"/>
      <c r="E1108" s="6"/>
      <c r="F1108" s="6"/>
      <c r="G1108" s="6"/>
      <c r="K1108" s="222"/>
      <c r="V1108" s="1430"/>
      <c r="AA1108" s="223"/>
      <c r="AC1108" s="889"/>
      <c r="AF1108" s="890"/>
      <c r="AJ1108" s="889"/>
      <c r="AN1108" s="222"/>
      <c r="BC1108" s="223"/>
      <c r="BD1108" s="222"/>
      <c r="BH1108" s="611"/>
      <c r="BJ1108" s="15"/>
      <c r="BK1108" s="15"/>
      <c r="BO1108" s="223"/>
      <c r="BQ1108" s="889"/>
      <c r="BT1108" s="890"/>
      <c r="BX1108" s="889"/>
      <c r="CB1108" s="15"/>
      <c r="CC1108" s="697"/>
      <c r="CD1108" s="1086"/>
      <c r="CE1108" s="15"/>
      <c r="CF1108" s="15"/>
      <c r="CG1108" s="936"/>
      <c r="CH1108" s="15"/>
      <c r="CI1108" s="15"/>
      <c r="CJ1108" s="15"/>
      <c r="CK1108" s="1107"/>
      <c r="CL1108" s="22"/>
      <c r="CM1108" s="22"/>
      <c r="CN1108" s="1107"/>
      <c r="CR1108" s="223"/>
      <c r="CS1108" s="952"/>
      <c r="CT1108" s="1066"/>
      <c r="CU1108" s="972"/>
      <c r="CV1108" s="983"/>
      <c r="CW1108" s="222"/>
      <c r="CX1108" s="697"/>
      <c r="DC1108" s="222"/>
      <c r="DJ1108" s="889"/>
      <c r="DM1108" s="890"/>
      <c r="DN1108" s="952"/>
      <c r="DO1108" s="75"/>
      <c r="DP1108" s="962"/>
      <c r="DQ1108" s="983"/>
      <c r="DV1108" s="889"/>
    </row>
    <row r="1109" spans="1:126" s="74" customFormat="1">
      <c r="A1109" s="15"/>
      <c r="B1109" s="15"/>
      <c r="C1109" s="15"/>
      <c r="D1109" s="15"/>
      <c r="E1109" s="6"/>
      <c r="F1109" s="6"/>
      <c r="G1109" s="6"/>
      <c r="K1109" s="222"/>
      <c r="V1109" s="1430"/>
      <c r="AA1109" s="223"/>
      <c r="AC1109" s="889"/>
      <c r="AF1109" s="890"/>
      <c r="AJ1109" s="889"/>
      <c r="AN1109" s="222"/>
      <c r="BC1109" s="223"/>
      <c r="BD1109" s="222"/>
      <c r="BH1109" s="611"/>
      <c r="BJ1109" s="15"/>
      <c r="BK1109" s="15"/>
      <c r="BO1109" s="223"/>
      <c r="BQ1109" s="889"/>
      <c r="BT1109" s="890"/>
      <c r="BX1109" s="889"/>
      <c r="CB1109" s="15"/>
      <c r="CC1109" s="697"/>
      <c r="CD1109" s="1086"/>
      <c r="CE1109" s="15"/>
      <c r="CF1109" s="15"/>
      <c r="CG1109" s="936"/>
      <c r="CH1109" s="15"/>
      <c r="CI1109" s="15"/>
      <c r="CJ1109" s="15"/>
      <c r="CK1109" s="1107"/>
      <c r="CL1109" s="22"/>
      <c r="CM1109" s="22"/>
      <c r="CN1109" s="1107"/>
      <c r="CR1109" s="223"/>
      <c r="CS1109" s="952"/>
      <c r="CT1109" s="1066"/>
      <c r="CU1109" s="972"/>
      <c r="CV1109" s="983"/>
      <c r="CW1109" s="222"/>
      <c r="CX1109" s="697"/>
      <c r="DC1109" s="222"/>
      <c r="DJ1109" s="889"/>
      <c r="DM1109" s="890"/>
      <c r="DN1109" s="952"/>
      <c r="DO1109" s="75"/>
      <c r="DP1109" s="962"/>
      <c r="DQ1109" s="983"/>
      <c r="DV1109" s="889"/>
    </row>
    <row r="1110" spans="1:126" s="74" customFormat="1">
      <c r="A1110" s="15"/>
      <c r="B1110" s="15"/>
      <c r="C1110" s="15"/>
      <c r="D1110" s="15"/>
      <c r="E1110" s="6"/>
      <c r="F1110" s="6"/>
      <c r="G1110" s="6"/>
      <c r="K1110" s="222"/>
      <c r="V1110" s="1430"/>
      <c r="AA1110" s="223"/>
      <c r="AC1110" s="889"/>
      <c r="AF1110" s="890"/>
      <c r="AJ1110" s="889"/>
      <c r="AN1110" s="222"/>
      <c r="BC1110" s="223"/>
      <c r="BD1110" s="222"/>
      <c r="BH1110" s="611"/>
      <c r="BJ1110" s="15"/>
      <c r="BK1110" s="15"/>
      <c r="BO1110" s="223"/>
      <c r="BQ1110" s="889"/>
      <c r="BT1110" s="890"/>
      <c r="BX1110" s="889"/>
      <c r="CB1110" s="15"/>
      <c r="CC1110" s="697"/>
      <c r="CD1110" s="1086"/>
      <c r="CE1110" s="15"/>
      <c r="CF1110" s="15"/>
      <c r="CG1110" s="936"/>
      <c r="CH1110" s="15"/>
      <c r="CI1110" s="15"/>
      <c r="CJ1110" s="15"/>
      <c r="CK1110" s="1107"/>
      <c r="CL1110" s="22"/>
      <c r="CM1110" s="22"/>
      <c r="CN1110" s="1107"/>
      <c r="CR1110" s="223"/>
      <c r="CS1110" s="952"/>
      <c r="CT1110" s="1066"/>
      <c r="CU1110" s="972"/>
      <c r="CV1110" s="983"/>
      <c r="CW1110" s="222"/>
      <c r="CX1110" s="697"/>
      <c r="DC1110" s="222"/>
      <c r="DJ1110" s="889"/>
      <c r="DM1110" s="890"/>
      <c r="DN1110" s="952"/>
      <c r="DO1110" s="75"/>
      <c r="DP1110" s="962"/>
      <c r="DQ1110" s="983"/>
      <c r="DV1110" s="889"/>
    </row>
    <row r="1111" spans="1:126" s="74" customFormat="1">
      <c r="A1111" s="15"/>
      <c r="B1111" s="15"/>
      <c r="C1111" s="15"/>
      <c r="D1111" s="15"/>
      <c r="E1111" s="6"/>
      <c r="F1111" s="6"/>
      <c r="G1111" s="6"/>
      <c r="K1111" s="222"/>
      <c r="V1111" s="1430"/>
      <c r="AA1111" s="223"/>
      <c r="AC1111" s="889"/>
      <c r="AF1111" s="890"/>
      <c r="AJ1111" s="889"/>
      <c r="AN1111" s="222"/>
      <c r="BC1111" s="223"/>
      <c r="BD1111" s="222"/>
      <c r="BH1111" s="611"/>
      <c r="BJ1111" s="15"/>
      <c r="BK1111" s="15"/>
      <c r="BO1111" s="223"/>
      <c r="BQ1111" s="889"/>
      <c r="BT1111" s="890"/>
      <c r="BX1111" s="889"/>
      <c r="CB1111" s="15"/>
      <c r="CC1111" s="697"/>
      <c r="CD1111" s="1086"/>
      <c r="CE1111" s="15"/>
      <c r="CF1111" s="15"/>
      <c r="CG1111" s="936"/>
      <c r="CH1111" s="15"/>
      <c r="CI1111" s="15"/>
      <c r="CJ1111" s="15"/>
      <c r="CK1111" s="1107"/>
      <c r="CL1111" s="22"/>
      <c r="CM1111" s="22"/>
      <c r="CN1111" s="1107"/>
      <c r="CR1111" s="223"/>
      <c r="CS1111" s="952"/>
      <c r="CT1111" s="1066"/>
      <c r="CU1111" s="972"/>
      <c r="CV1111" s="983"/>
      <c r="CW1111" s="222"/>
      <c r="CX1111" s="697"/>
      <c r="DC1111" s="222"/>
      <c r="DJ1111" s="889"/>
      <c r="DM1111" s="890"/>
      <c r="DN1111" s="952"/>
      <c r="DO1111" s="75"/>
      <c r="DP1111" s="962"/>
      <c r="DQ1111" s="983"/>
      <c r="DV1111" s="889"/>
    </row>
    <row r="1112" spans="1:126" s="74" customFormat="1">
      <c r="A1112" s="15"/>
      <c r="B1112" s="15"/>
      <c r="C1112" s="15"/>
      <c r="D1112" s="15"/>
      <c r="E1112" s="6"/>
      <c r="F1112" s="6"/>
      <c r="G1112" s="6"/>
      <c r="K1112" s="222"/>
      <c r="V1112" s="1430"/>
      <c r="AA1112" s="223"/>
      <c r="AC1112" s="889"/>
      <c r="AF1112" s="890"/>
      <c r="AJ1112" s="889"/>
      <c r="AN1112" s="222"/>
      <c r="BC1112" s="223"/>
      <c r="BD1112" s="222"/>
      <c r="BH1112" s="611"/>
      <c r="BJ1112" s="15"/>
      <c r="BK1112" s="15"/>
      <c r="BO1112" s="223"/>
      <c r="BQ1112" s="889"/>
      <c r="BT1112" s="890"/>
      <c r="BX1112" s="889"/>
      <c r="CB1112" s="15"/>
      <c r="CC1112" s="697"/>
      <c r="CD1112" s="1086"/>
      <c r="CE1112" s="15"/>
      <c r="CF1112" s="15"/>
      <c r="CG1112" s="936"/>
      <c r="CH1112" s="15"/>
      <c r="CI1112" s="15"/>
      <c r="CJ1112" s="15"/>
      <c r="CK1112" s="1107"/>
      <c r="CL1112" s="22"/>
      <c r="CM1112" s="22"/>
      <c r="CN1112" s="1107"/>
      <c r="CR1112" s="223"/>
      <c r="CS1112" s="952"/>
      <c r="CT1112" s="1066"/>
      <c r="CU1112" s="972"/>
      <c r="CV1112" s="983"/>
      <c r="CW1112" s="222"/>
      <c r="CX1112" s="697"/>
      <c r="DC1112" s="222"/>
      <c r="DJ1112" s="889"/>
      <c r="DM1112" s="890"/>
      <c r="DN1112" s="952"/>
      <c r="DO1112" s="75"/>
      <c r="DP1112" s="962"/>
      <c r="DQ1112" s="983"/>
      <c r="DV1112" s="889"/>
    </row>
    <row r="1113" spans="1:126" s="74" customFormat="1">
      <c r="A1113" s="15"/>
      <c r="B1113" s="15"/>
      <c r="C1113" s="15"/>
      <c r="D1113" s="15"/>
      <c r="E1113" s="6"/>
      <c r="F1113" s="6"/>
      <c r="G1113" s="6"/>
      <c r="K1113" s="222"/>
      <c r="V1113" s="1430"/>
      <c r="AA1113" s="223"/>
      <c r="AC1113" s="889"/>
      <c r="AF1113" s="890"/>
      <c r="AJ1113" s="889"/>
      <c r="AN1113" s="222"/>
      <c r="BC1113" s="223"/>
      <c r="BD1113" s="222"/>
      <c r="BH1113" s="611"/>
      <c r="BJ1113" s="15"/>
      <c r="BK1113" s="15"/>
      <c r="BO1113" s="223"/>
      <c r="BQ1113" s="889"/>
      <c r="BT1113" s="890"/>
      <c r="BX1113" s="889"/>
      <c r="CB1113" s="15"/>
      <c r="CC1113" s="697"/>
      <c r="CD1113" s="1086"/>
      <c r="CE1113" s="15"/>
      <c r="CF1113" s="15"/>
      <c r="CG1113" s="936"/>
      <c r="CH1113" s="15"/>
      <c r="CI1113" s="15"/>
      <c r="CJ1113" s="15"/>
      <c r="CK1113" s="1107"/>
      <c r="CL1113" s="22"/>
      <c r="CM1113" s="22"/>
      <c r="CN1113" s="1107"/>
      <c r="CR1113" s="223"/>
      <c r="CS1113" s="952"/>
      <c r="CT1113" s="1066"/>
      <c r="CU1113" s="972"/>
      <c r="CV1113" s="983"/>
      <c r="CW1113" s="222"/>
      <c r="CX1113" s="697"/>
      <c r="DC1113" s="222"/>
      <c r="DJ1113" s="889"/>
      <c r="DM1113" s="890"/>
      <c r="DN1113" s="952"/>
      <c r="DO1113" s="75"/>
      <c r="DP1113" s="962"/>
      <c r="DQ1113" s="983"/>
      <c r="DV1113" s="889"/>
    </row>
    <row r="1114" spans="1:126" s="74" customFormat="1">
      <c r="A1114" s="15"/>
      <c r="B1114" s="15"/>
      <c r="C1114" s="15"/>
      <c r="D1114" s="15"/>
      <c r="E1114" s="6"/>
      <c r="F1114" s="6"/>
      <c r="G1114" s="6"/>
      <c r="K1114" s="222"/>
      <c r="V1114" s="1430"/>
      <c r="AA1114" s="223"/>
      <c r="AC1114" s="889"/>
      <c r="AF1114" s="890"/>
      <c r="AJ1114" s="889"/>
      <c r="AN1114" s="222"/>
      <c r="BC1114" s="223"/>
      <c r="BD1114" s="222"/>
      <c r="BH1114" s="611"/>
      <c r="BJ1114" s="15"/>
      <c r="BK1114" s="15"/>
      <c r="BO1114" s="223"/>
      <c r="BQ1114" s="889"/>
      <c r="BT1114" s="890"/>
      <c r="BX1114" s="889"/>
      <c r="CB1114" s="15"/>
      <c r="CC1114" s="697"/>
      <c r="CD1114" s="1086"/>
      <c r="CE1114" s="15"/>
      <c r="CF1114" s="15"/>
      <c r="CG1114" s="936"/>
      <c r="CH1114" s="15"/>
      <c r="CI1114" s="15"/>
      <c r="CJ1114" s="15"/>
      <c r="CK1114" s="1107"/>
      <c r="CL1114" s="22"/>
      <c r="CM1114" s="22"/>
      <c r="CN1114" s="1107"/>
      <c r="CR1114" s="223"/>
      <c r="CS1114" s="952"/>
      <c r="CT1114" s="1066"/>
      <c r="CU1114" s="972"/>
      <c r="CV1114" s="983"/>
      <c r="CW1114" s="222"/>
      <c r="CX1114" s="697"/>
      <c r="DC1114" s="222"/>
      <c r="DJ1114" s="889"/>
      <c r="DM1114" s="890"/>
      <c r="DN1114" s="952"/>
      <c r="DO1114" s="75"/>
      <c r="DP1114" s="962"/>
      <c r="DQ1114" s="983"/>
      <c r="DV1114" s="889"/>
    </row>
    <row r="1115" spans="1:126" s="74" customFormat="1">
      <c r="A1115" s="15"/>
      <c r="B1115" s="15"/>
      <c r="C1115" s="15"/>
      <c r="D1115" s="15"/>
      <c r="E1115" s="6"/>
      <c r="F1115" s="6"/>
      <c r="G1115" s="6"/>
      <c r="K1115" s="222"/>
      <c r="V1115" s="1430"/>
      <c r="AA1115" s="223"/>
      <c r="AC1115" s="889"/>
      <c r="AF1115" s="890"/>
      <c r="AJ1115" s="889"/>
      <c r="AN1115" s="222"/>
      <c r="BC1115" s="223"/>
      <c r="BD1115" s="222"/>
      <c r="BH1115" s="611"/>
      <c r="BJ1115" s="15"/>
      <c r="BK1115" s="15"/>
      <c r="BO1115" s="223"/>
      <c r="BQ1115" s="889"/>
      <c r="BT1115" s="890"/>
      <c r="BX1115" s="889"/>
      <c r="CB1115" s="15"/>
      <c r="CC1115" s="697"/>
      <c r="CD1115" s="1086"/>
      <c r="CE1115" s="15"/>
      <c r="CF1115" s="15"/>
      <c r="CG1115" s="936"/>
      <c r="CH1115" s="15"/>
      <c r="CI1115" s="15"/>
      <c r="CJ1115" s="15"/>
      <c r="CK1115" s="1107"/>
      <c r="CL1115" s="22"/>
      <c r="CM1115" s="22"/>
      <c r="CN1115" s="1107"/>
      <c r="CR1115" s="223"/>
      <c r="CS1115" s="952"/>
      <c r="CT1115" s="1066"/>
      <c r="CU1115" s="972"/>
      <c r="CV1115" s="983"/>
      <c r="CW1115" s="222"/>
      <c r="CX1115" s="697"/>
      <c r="DC1115" s="222"/>
      <c r="DJ1115" s="889"/>
      <c r="DM1115" s="890"/>
      <c r="DN1115" s="952"/>
      <c r="DO1115" s="75"/>
      <c r="DP1115" s="962"/>
      <c r="DQ1115" s="983"/>
      <c r="DV1115" s="889"/>
    </row>
    <row r="1116" spans="1:126" s="74" customFormat="1">
      <c r="A1116" s="15"/>
      <c r="B1116" s="15"/>
      <c r="C1116" s="15"/>
      <c r="D1116" s="15"/>
      <c r="E1116" s="6"/>
      <c r="F1116" s="6"/>
      <c r="G1116" s="6"/>
      <c r="K1116" s="222"/>
      <c r="V1116" s="1430"/>
      <c r="AA1116" s="223"/>
      <c r="AC1116" s="889"/>
      <c r="AF1116" s="890"/>
      <c r="AJ1116" s="889"/>
      <c r="AN1116" s="222"/>
      <c r="BC1116" s="223"/>
      <c r="BD1116" s="222"/>
      <c r="BH1116" s="611"/>
      <c r="BJ1116" s="15"/>
      <c r="BK1116" s="15"/>
      <c r="BO1116" s="223"/>
      <c r="BQ1116" s="889"/>
      <c r="BT1116" s="890"/>
      <c r="BX1116" s="889"/>
      <c r="CB1116" s="15"/>
      <c r="CC1116" s="697"/>
      <c r="CD1116" s="1086"/>
      <c r="CE1116" s="15"/>
      <c r="CF1116" s="15"/>
      <c r="CG1116" s="936"/>
      <c r="CH1116" s="15"/>
      <c r="CI1116" s="15"/>
      <c r="CJ1116" s="15"/>
      <c r="CK1116" s="1107"/>
      <c r="CL1116" s="22"/>
      <c r="CM1116" s="22"/>
      <c r="CN1116" s="1107"/>
      <c r="CR1116" s="223"/>
      <c r="CS1116" s="952"/>
      <c r="CT1116" s="1066"/>
      <c r="CU1116" s="972"/>
      <c r="CV1116" s="983"/>
      <c r="CW1116" s="222"/>
      <c r="CX1116" s="697"/>
      <c r="DC1116" s="222"/>
      <c r="DJ1116" s="889"/>
      <c r="DM1116" s="890"/>
      <c r="DN1116" s="952"/>
      <c r="DO1116" s="75"/>
      <c r="DP1116" s="962"/>
      <c r="DQ1116" s="983"/>
      <c r="DV1116" s="889"/>
    </row>
    <row r="1117" spans="1:126" s="74" customFormat="1">
      <c r="A1117" s="15"/>
      <c r="B1117" s="15"/>
      <c r="C1117" s="15"/>
      <c r="D1117" s="15"/>
      <c r="E1117" s="6"/>
      <c r="F1117" s="6"/>
      <c r="G1117" s="6"/>
      <c r="K1117" s="222"/>
      <c r="V1117" s="1430"/>
      <c r="AA1117" s="223"/>
      <c r="AC1117" s="889"/>
      <c r="AF1117" s="890"/>
      <c r="AJ1117" s="889"/>
      <c r="AN1117" s="222"/>
      <c r="BC1117" s="223"/>
      <c r="BD1117" s="222"/>
      <c r="BH1117" s="611"/>
      <c r="BJ1117" s="15"/>
      <c r="BK1117" s="15"/>
      <c r="BO1117" s="223"/>
      <c r="BQ1117" s="889"/>
      <c r="BT1117" s="890"/>
      <c r="BX1117" s="889"/>
      <c r="CB1117" s="15"/>
      <c r="CC1117" s="697"/>
      <c r="CD1117" s="1086"/>
      <c r="CE1117" s="15"/>
      <c r="CF1117" s="15"/>
      <c r="CG1117" s="936"/>
      <c r="CH1117" s="15"/>
      <c r="CI1117" s="15"/>
      <c r="CJ1117" s="15"/>
      <c r="CK1117" s="1107"/>
      <c r="CL1117" s="22"/>
      <c r="CM1117" s="22"/>
      <c r="CN1117" s="1107"/>
      <c r="CR1117" s="223"/>
      <c r="CS1117" s="952"/>
      <c r="CT1117" s="1066"/>
      <c r="CU1117" s="972"/>
      <c r="CV1117" s="983"/>
      <c r="CW1117" s="222"/>
      <c r="CX1117" s="697"/>
      <c r="DC1117" s="222"/>
      <c r="DJ1117" s="889"/>
      <c r="DM1117" s="890"/>
      <c r="DN1117" s="952"/>
      <c r="DO1117" s="75"/>
      <c r="DP1117" s="962"/>
      <c r="DQ1117" s="983"/>
      <c r="DV1117" s="889"/>
    </row>
    <row r="1118" spans="1:126" s="74" customFormat="1">
      <c r="A1118" s="15"/>
      <c r="B1118" s="15"/>
      <c r="C1118" s="15"/>
      <c r="D1118" s="15"/>
      <c r="E1118" s="6"/>
      <c r="F1118" s="6"/>
      <c r="G1118" s="6"/>
      <c r="K1118" s="222"/>
      <c r="V1118" s="1430"/>
      <c r="AA1118" s="223"/>
      <c r="AC1118" s="889"/>
      <c r="AF1118" s="890"/>
      <c r="AJ1118" s="889"/>
      <c r="AN1118" s="222"/>
      <c r="BC1118" s="223"/>
      <c r="BD1118" s="222"/>
      <c r="BH1118" s="611"/>
      <c r="BJ1118" s="15"/>
      <c r="BK1118" s="15"/>
      <c r="BO1118" s="223"/>
      <c r="BQ1118" s="889"/>
      <c r="BT1118" s="890"/>
      <c r="BX1118" s="889"/>
      <c r="CB1118" s="15"/>
      <c r="CC1118" s="697"/>
      <c r="CD1118" s="1086"/>
      <c r="CE1118" s="15"/>
      <c r="CF1118" s="15"/>
      <c r="CG1118" s="936"/>
      <c r="CH1118" s="15"/>
      <c r="CI1118" s="15"/>
      <c r="CJ1118" s="15"/>
      <c r="CK1118" s="1107"/>
      <c r="CL1118" s="22"/>
      <c r="CM1118" s="22"/>
      <c r="CN1118" s="1107"/>
      <c r="CR1118" s="223"/>
      <c r="CS1118" s="952"/>
      <c r="CT1118" s="1066"/>
      <c r="CU1118" s="972"/>
      <c r="CV1118" s="983"/>
      <c r="CW1118" s="222"/>
      <c r="CX1118" s="697"/>
      <c r="DC1118" s="222"/>
      <c r="DJ1118" s="889"/>
      <c r="DM1118" s="890"/>
      <c r="DN1118" s="952"/>
      <c r="DO1118" s="75"/>
      <c r="DP1118" s="962"/>
      <c r="DQ1118" s="983"/>
      <c r="DV1118" s="889"/>
    </row>
    <row r="1119" spans="1:126" s="74" customFormat="1">
      <c r="A1119" s="15"/>
      <c r="B1119" s="15"/>
      <c r="C1119" s="15"/>
      <c r="D1119" s="15"/>
      <c r="E1119" s="6"/>
      <c r="F1119" s="6"/>
      <c r="G1119" s="6"/>
      <c r="K1119" s="222"/>
      <c r="V1119" s="1430"/>
      <c r="AA1119" s="223"/>
      <c r="AC1119" s="889"/>
      <c r="AF1119" s="890"/>
      <c r="AJ1119" s="889"/>
      <c r="AN1119" s="222"/>
      <c r="BC1119" s="223"/>
      <c r="BD1119" s="222"/>
      <c r="BH1119" s="611"/>
      <c r="BJ1119" s="15"/>
      <c r="BK1119" s="15"/>
      <c r="BO1119" s="223"/>
      <c r="BQ1119" s="889"/>
      <c r="BT1119" s="890"/>
      <c r="BX1119" s="889"/>
      <c r="CB1119" s="15"/>
      <c r="CC1119" s="697"/>
      <c r="CD1119" s="1086"/>
      <c r="CE1119" s="15"/>
      <c r="CF1119" s="15"/>
      <c r="CG1119" s="936"/>
      <c r="CH1119" s="15"/>
      <c r="CI1119" s="15"/>
      <c r="CJ1119" s="15"/>
      <c r="CK1119" s="1107"/>
      <c r="CL1119" s="22"/>
      <c r="CM1119" s="22"/>
      <c r="CN1119" s="1107"/>
      <c r="CR1119" s="223"/>
      <c r="CS1119" s="952"/>
      <c r="CT1119" s="1066"/>
      <c r="CU1119" s="972"/>
      <c r="CV1119" s="983"/>
      <c r="CW1119" s="222"/>
      <c r="CX1119" s="697"/>
      <c r="DC1119" s="222"/>
      <c r="DJ1119" s="889"/>
      <c r="DM1119" s="890"/>
      <c r="DN1119" s="952"/>
      <c r="DO1119" s="75"/>
      <c r="DP1119" s="962"/>
      <c r="DQ1119" s="983"/>
      <c r="DV1119" s="889"/>
    </row>
    <row r="1120" spans="1:126" s="74" customFormat="1">
      <c r="A1120" s="15"/>
      <c r="B1120" s="15"/>
      <c r="C1120" s="15"/>
      <c r="D1120" s="15"/>
      <c r="E1120" s="6"/>
      <c r="F1120" s="6"/>
      <c r="G1120" s="6"/>
      <c r="K1120" s="222"/>
      <c r="V1120" s="1430"/>
      <c r="AA1120" s="223"/>
      <c r="AC1120" s="889"/>
      <c r="AF1120" s="890"/>
      <c r="AJ1120" s="889"/>
      <c r="AN1120" s="222"/>
      <c r="BC1120" s="223"/>
      <c r="BD1120" s="222"/>
      <c r="BH1120" s="611"/>
      <c r="BJ1120" s="15"/>
      <c r="BK1120" s="15"/>
      <c r="BO1120" s="223"/>
      <c r="BQ1120" s="889"/>
      <c r="BT1120" s="890"/>
      <c r="BX1120" s="889"/>
      <c r="CB1120" s="15"/>
      <c r="CC1120" s="697"/>
      <c r="CD1120" s="1086"/>
      <c r="CE1120" s="15"/>
      <c r="CF1120" s="15"/>
      <c r="CG1120" s="936"/>
      <c r="CH1120" s="15"/>
      <c r="CI1120" s="15"/>
      <c r="CJ1120" s="15"/>
      <c r="CK1120" s="1107"/>
      <c r="CL1120" s="22"/>
      <c r="CM1120" s="22"/>
      <c r="CN1120" s="1107"/>
      <c r="CR1120" s="223"/>
      <c r="CS1120" s="952"/>
      <c r="CT1120" s="1066"/>
      <c r="CU1120" s="972"/>
      <c r="CV1120" s="983"/>
      <c r="CW1120" s="222"/>
      <c r="CX1120" s="697"/>
      <c r="DC1120" s="222"/>
      <c r="DJ1120" s="889"/>
      <c r="DM1120" s="890"/>
      <c r="DN1120" s="952"/>
      <c r="DO1120" s="75"/>
      <c r="DP1120" s="962"/>
      <c r="DQ1120" s="983"/>
      <c r="DV1120" s="889"/>
    </row>
    <row r="1121" spans="1:126" s="74" customFormat="1">
      <c r="A1121" s="15"/>
      <c r="B1121" s="15"/>
      <c r="C1121" s="15"/>
      <c r="D1121" s="15"/>
      <c r="E1121" s="6"/>
      <c r="F1121" s="6"/>
      <c r="G1121" s="6"/>
      <c r="K1121" s="222"/>
      <c r="V1121" s="1430"/>
      <c r="AA1121" s="223"/>
      <c r="AC1121" s="889"/>
      <c r="AF1121" s="890"/>
      <c r="AJ1121" s="889"/>
      <c r="AN1121" s="222"/>
      <c r="BC1121" s="223"/>
      <c r="BD1121" s="222"/>
      <c r="BH1121" s="611"/>
      <c r="BJ1121" s="15"/>
      <c r="BK1121" s="15"/>
      <c r="BO1121" s="223"/>
      <c r="BQ1121" s="889"/>
      <c r="BT1121" s="890"/>
      <c r="BX1121" s="889"/>
      <c r="CB1121" s="15"/>
      <c r="CC1121" s="697"/>
      <c r="CD1121" s="1086"/>
      <c r="CE1121" s="15"/>
      <c r="CF1121" s="15"/>
      <c r="CG1121" s="936"/>
      <c r="CH1121" s="15"/>
      <c r="CI1121" s="15"/>
      <c r="CJ1121" s="15"/>
      <c r="CK1121" s="1107"/>
      <c r="CL1121" s="22"/>
      <c r="CM1121" s="22"/>
      <c r="CN1121" s="1107"/>
      <c r="CR1121" s="223"/>
      <c r="CS1121" s="952"/>
      <c r="CT1121" s="1066"/>
      <c r="CU1121" s="972"/>
      <c r="CV1121" s="983"/>
      <c r="CW1121" s="222"/>
      <c r="CX1121" s="697"/>
      <c r="DC1121" s="222"/>
      <c r="DJ1121" s="889"/>
      <c r="DM1121" s="890"/>
      <c r="DN1121" s="952"/>
      <c r="DO1121" s="75"/>
      <c r="DP1121" s="962"/>
      <c r="DQ1121" s="983"/>
      <c r="DV1121" s="889"/>
    </row>
    <row r="1122" spans="1:126" s="74" customFormat="1">
      <c r="A1122" s="15"/>
      <c r="B1122" s="15"/>
      <c r="C1122" s="15"/>
      <c r="D1122" s="15"/>
      <c r="E1122" s="6"/>
      <c r="F1122" s="6"/>
      <c r="G1122" s="6"/>
      <c r="K1122" s="222"/>
      <c r="V1122" s="1430"/>
      <c r="AA1122" s="223"/>
      <c r="AC1122" s="889"/>
      <c r="AF1122" s="890"/>
      <c r="AJ1122" s="889"/>
      <c r="AN1122" s="222"/>
      <c r="BC1122" s="223"/>
      <c r="BD1122" s="222"/>
      <c r="BH1122" s="611"/>
      <c r="BJ1122" s="15"/>
      <c r="BK1122" s="15"/>
      <c r="BO1122" s="223"/>
      <c r="BQ1122" s="889"/>
      <c r="BT1122" s="890"/>
      <c r="BX1122" s="889"/>
      <c r="CB1122" s="15"/>
      <c r="CC1122" s="697"/>
      <c r="CD1122" s="1086"/>
      <c r="CE1122" s="15"/>
      <c r="CF1122" s="15"/>
      <c r="CG1122" s="936"/>
      <c r="CH1122" s="15"/>
      <c r="CI1122" s="15"/>
      <c r="CJ1122" s="15"/>
      <c r="CK1122" s="1107"/>
      <c r="CL1122" s="22"/>
      <c r="CM1122" s="22"/>
      <c r="CN1122" s="1107"/>
      <c r="CR1122" s="223"/>
      <c r="CS1122" s="952"/>
      <c r="CT1122" s="1066"/>
      <c r="CU1122" s="972"/>
      <c r="CV1122" s="983"/>
      <c r="CW1122" s="222"/>
      <c r="CX1122" s="697"/>
      <c r="DC1122" s="222"/>
      <c r="DJ1122" s="889"/>
      <c r="DM1122" s="890"/>
      <c r="DN1122" s="952"/>
      <c r="DO1122" s="75"/>
      <c r="DP1122" s="962"/>
      <c r="DQ1122" s="983"/>
      <c r="DV1122" s="889"/>
    </row>
    <row r="1123" spans="1:126" s="74" customFormat="1">
      <c r="A1123" s="15"/>
      <c r="B1123" s="15"/>
      <c r="C1123" s="15"/>
      <c r="D1123" s="15"/>
      <c r="E1123" s="6"/>
      <c r="F1123" s="6"/>
      <c r="G1123" s="6"/>
      <c r="K1123" s="222"/>
      <c r="V1123" s="1430"/>
      <c r="AA1123" s="223"/>
      <c r="AC1123" s="889"/>
      <c r="AF1123" s="890"/>
      <c r="AJ1123" s="889"/>
      <c r="AN1123" s="222"/>
      <c r="BC1123" s="223"/>
      <c r="BD1123" s="222"/>
      <c r="BH1123" s="611"/>
      <c r="BJ1123" s="15"/>
      <c r="BK1123" s="15"/>
      <c r="BO1123" s="223"/>
      <c r="BQ1123" s="889"/>
      <c r="BT1123" s="890"/>
      <c r="BX1123" s="889"/>
      <c r="CB1123" s="15"/>
      <c r="CC1123" s="697"/>
      <c r="CD1123" s="1086"/>
      <c r="CE1123" s="15"/>
      <c r="CF1123" s="15"/>
      <c r="CG1123" s="936"/>
      <c r="CH1123" s="15"/>
      <c r="CI1123" s="15"/>
      <c r="CJ1123" s="15"/>
      <c r="CK1123" s="1107"/>
      <c r="CL1123" s="22"/>
      <c r="CM1123" s="22"/>
      <c r="CN1123" s="1107"/>
      <c r="CR1123" s="223"/>
      <c r="CS1123" s="952"/>
      <c r="CT1123" s="1066"/>
      <c r="CU1123" s="972"/>
      <c r="CV1123" s="983"/>
      <c r="CW1123" s="222"/>
      <c r="CX1123" s="697"/>
      <c r="DC1123" s="222"/>
      <c r="DJ1123" s="889"/>
      <c r="DM1123" s="890"/>
      <c r="DN1123" s="952"/>
      <c r="DO1123" s="75"/>
      <c r="DP1123" s="962"/>
      <c r="DQ1123" s="983"/>
      <c r="DV1123" s="889"/>
    </row>
    <row r="1124" spans="1:126" s="74" customFormat="1">
      <c r="A1124" s="15"/>
      <c r="B1124" s="15"/>
      <c r="C1124" s="15"/>
      <c r="D1124" s="15"/>
      <c r="E1124" s="6"/>
      <c r="F1124" s="6"/>
      <c r="G1124" s="6"/>
      <c r="K1124" s="222"/>
      <c r="V1124" s="1430"/>
      <c r="AA1124" s="223"/>
      <c r="AC1124" s="889"/>
      <c r="AF1124" s="890"/>
      <c r="AJ1124" s="889"/>
      <c r="AN1124" s="222"/>
      <c r="BC1124" s="223"/>
      <c r="BD1124" s="222"/>
      <c r="BH1124" s="611"/>
      <c r="BJ1124" s="15"/>
      <c r="BK1124" s="15"/>
      <c r="BO1124" s="223"/>
      <c r="BQ1124" s="889"/>
      <c r="BT1124" s="890"/>
      <c r="BX1124" s="889"/>
      <c r="CB1124" s="15"/>
      <c r="CC1124" s="697"/>
      <c r="CD1124" s="1086"/>
      <c r="CE1124" s="15"/>
      <c r="CF1124" s="15"/>
      <c r="CG1124" s="936"/>
      <c r="CH1124" s="15"/>
      <c r="CI1124" s="15"/>
      <c r="CJ1124" s="15"/>
      <c r="CK1124" s="1107"/>
      <c r="CL1124" s="22"/>
      <c r="CM1124" s="22"/>
      <c r="CN1124" s="1107"/>
      <c r="CR1124" s="223"/>
      <c r="CS1124" s="952"/>
      <c r="CT1124" s="1066"/>
      <c r="CU1124" s="972"/>
      <c r="CV1124" s="983"/>
      <c r="CW1124" s="222"/>
      <c r="CX1124" s="697"/>
      <c r="DC1124" s="222"/>
      <c r="DJ1124" s="889"/>
      <c r="DM1124" s="890"/>
      <c r="DN1124" s="952"/>
      <c r="DO1124" s="75"/>
      <c r="DP1124" s="962"/>
      <c r="DQ1124" s="983"/>
      <c r="DV1124" s="889"/>
    </row>
    <row r="1125" spans="1:126" s="74" customFormat="1">
      <c r="A1125" s="15"/>
      <c r="B1125" s="15"/>
      <c r="C1125" s="15"/>
      <c r="D1125" s="15"/>
      <c r="E1125" s="6"/>
      <c r="F1125" s="6"/>
      <c r="G1125" s="6"/>
      <c r="K1125" s="222"/>
      <c r="V1125" s="1430"/>
      <c r="AA1125" s="223"/>
      <c r="AC1125" s="889"/>
      <c r="AF1125" s="890"/>
      <c r="AJ1125" s="889"/>
      <c r="AN1125" s="222"/>
      <c r="BC1125" s="223"/>
      <c r="BD1125" s="222"/>
      <c r="BH1125" s="611"/>
      <c r="BJ1125" s="15"/>
      <c r="BK1125" s="15"/>
      <c r="BO1125" s="223"/>
      <c r="BQ1125" s="889"/>
      <c r="BT1125" s="890"/>
      <c r="BX1125" s="889"/>
      <c r="CB1125" s="15"/>
      <c r="CC1125" s="697"/>
      <c r="CD1125" s="1086"/>
      <c r="CE1125" s="15"/>
      <c r="CF1125" s="15"/>
      <c r="CG1125" s="936"/>
      <c r="CH1125" s="15"/>
      <c r="CI1125" s="15"/>
      <c r="CJ1125" s="15"/>
      <c r="CK1125" s="1107"/>
      <c r="CL1125" s="22"/>
      <c r="CM1125" s="22"/>
      <c r="CN1125" s="1107"/>
      <c r="CR1125" s="223"/>
      <c r="CS1125" s="952"/>
      <c r="CT1125" s="1066"/>
      <c r="CU1125" s="972"/>
      <c r="CV1125" s="983"/>
      <c r="CW1125" s="222"/>
      <c r="CX1125" s="697"/>
      <c r="DC1125" s="222"/>
      <c r="DJ1125" s="889"/>
      <c r="DM1125" s="890"/>
      <c r="DN1125" s="952"/>
      <c r="DO1125" s="75"/>
      <c r="DP1125" s="962"/>
      <c r="DQ1125" s="983"/>
      <c r="DV1125" s="889"/>
    </row>
    <row r="1126" spans="1:126" s="74" customFormat="1">
      <c r="A1126" s="15"/>
      <c r="B1126" s="15"/>
      <c r="C1126" s="15"/>
      <c r="D1126" s="15"/>
      <c r="E1126" s="6"/>
      <c r="F1126" s="6"/>
      <c r="G1126" s="6"/>
      <c r="K1126" s="222"/>
      <c r="V1126" s="1430"/>
      <c r="AA1126" s="223"/>
      <c r="AC1126" s="889"/>
      <c r="AF1126" s="890"/>
      <c r="AJ1126" s="889"/>
      <c r="AN1126" s="222"/>
      <c r="BC1126" s="223"/>
      <c r="BD1126" s="222"/>
      <c r="BH1126" s="611"/>
      <c r="BJ1126" s="15"/>
      <c r="BK1126" s="15"/>
      <c r="BO1126" s="223"/>
      <c r="BQ1126" s="889"/>
      <c r="BT1126" s="890"/>
      <c r="BX1126" s="889"/>
      <c r="CB1126" s="15"/>
      <c r="CC1126" s="697"/>
      <c r="CD1126" s="1086"/>
      <c r="CE1126" s="15"/>
      <c r="CF1126" s="15"/>
      <c r="CG1126" s="936"/>
      <c r="CH1126" s="15"/>
      <c r="CI1126" s="15"/>
      <c r="CJ1126" s="15"/>
      <c r="CK1126" s="1107"/>
      <c r="CL1126" s="22"/>
      <c r="CM1126" s="22"/>
      <c r="CN1126" s="1107"/>
      <c r="CR1126" s="223"/>
      <c r="CS1126" s="952"/>
      <c r="CT1126" s="1066"/>
      <c r="CU1126" s="972"/>
      <c r="CV1126" s="983"/>
      <c r="CW1126" s="222"/>
      <c r="CX1126" s="697"/>
      <c r="DC1126" s="222"/>
      <c r="DJ1126" s="889"/>
      <c r="DM1126" s="890"/>
      <c r="DN1126" s="952"/>
      <c r="DO1126" s="75"/>
      <c r="DP1126" s="962"/>
      <c r="DQ1126" s="983"/>
      <c r="DV1126" s="889"/>
    </row>
    <row r="1127" spans="1:126" s="74" customFormat="1">
      <c r="A1127" s="15"/>
      <c r="B1127" s="15"/>
      <c r="C1127" s="15"/>
      <c r="D1127" s="15"/>
      <c r="E1127" s="6"/>
      <c r="F1127" s="6"/>
      <c r="G1127" s="6"/>
      <c r="K1127" s="222"/>
      <c r="V1127" s="1430"/>
      <c r="AA1127" s="223"/>
      <c r="AC1127" s="889"/>
      <c r="AF1127" s="890"/>
      <c r="AJ1127" s="889"/>
      <c r="AN1127" s="222"/>
      <c r="BC1127" s="223"/>
      <c r="BD1127" s="222"/>
      <c r="BH1127" s="611"/>
      <c r="BJ1127" s="15"/>
      <c r="BK1127" s="15"/>
      <c r="BO1127" s="223"/>
      <c r="BQ1127" s="889"/>
      <c r="BT1127" s="890"/>
      <c r="BX1127" s="889"/>
      <c r="CB1127" s="15"/>
      <c r="CC1127" s="697"/>
      <c r="CD1127" s="1086"/>
      <c r="CE1127" s="15"/>
      <c r="CF1127" s="15"/>
      <c r="CG1127" s="936"/>
      <c r="CH1127" s="15"/>
      <c r="CI1127" s="15"/>
      <c r="CJ1127" s="15"/>
      <c r="CK1127" s="1107"/>
      <c r="CL1127" s="22"/>
      <c r="CM1127" s="22"/>
      <c r="CN1127" s="1107"/>
      <c r="CR1127" s="223"/>
      <c r="CS1127" s="952"/>
      <c r="CT1127" s="1066"/>
      <c r="CU1127" s="972"/>
      <c r="CV1127" s="983"/>
      <c r="CW1127" s="222"/>
      <c r="CX1127" s="697"/>
      <c r="DC1127" s="222"/>
      <c r="DJ1127" s="889"/>
      <c r="DM1127" s="890"/>
      <c r="DN1127" s="952"/>
      <c r="DO1127" s="75"/>
      <c r="DP1127" s="962"/>
      <c r="DQ1127" s="983"/>
      <c r="DV1127" s="889"/>
    </row>
    <row r="1128" spans="1:126" s="74" customFormat="1">
      <c r="A1128" s="15"/>
      <c r="B1128" s="15"/>
      <c r="C1128" s="15"/>
      <c r="D1128" s="15"/>
      <c r="E1128" s="6"/>
      <c r="F1128" s="6"/>
      <c r="G1128" s="6"/>
      <c r="K1128" s="222"/>
      <c r="V1128" s="1430"/>
      <c r="AA1128" s="223"/>
      <c r="AC1128" s="889"/>
      <c r="AF1128" s="890"/>
      <c r="AJ1128" s="889"/>
      <c r="AN1128" s="222"/>
      <c r="BC1128" s="223"/>
      <c r="BD1128" s="222"/>
      <c r="BH1128" s="611"/>
      <c r="BJ1128" s="15"/>
      <c r="BK1128" s="15"/>
      <c r="BO1128" s="223"/>
      <c r="BQ1128" s="889"/>
      <c r="BT1128" s="890"/>
      <c r="BX1128" s="889"/>
      <c r="CB1128" s="15"/>
      <c r="CC1128" s="697"/>
      <c r="CD1128" s="1086"/>
      <c r="CE1128" s="15"/>
      <c r="CF1128" s="15"/>
      <c r="CG1128" s="936"/>
      <c r="CH1128" s="15"/>
      <c r="CI1128" s="15"/>
      <c r="CJ1128" s="15"/>
      <c r="CK1128" s="1107"/>
      <c r="CL1128" s="22"/>
      <c r="CM1128" s="22"/>
      <c r="CN1128" s="1107"/>
      <c r="CR1128" s="223"/>
      <c r="CS1128" s="952"/>
      <c r="CT1128" s="1066"/>
      <c r="CU1128" s="972"/>
      <c r="CV1128" s="983"/>
      <c r="CW1128" s="222"/>
      <c r="CX1128" s="697"/>
      <c r="DC1128" s="222"/>
      <c r="DJ1128" s="889"/>
      <c r="DM1128" s="890"/>
      <c r="DN1128" s="952"/>
      <c r="DO1128" s="75"/>
      <c r="DP1128" s="962"/>
      <c r="DQ1128" s="983"/>
      <c r="DV1128" s="889"/>
    </row>
    <row r="1129" spans="1:126" s="74" customFormat="1">
      <c r="A1129" s="15"/>
      <c r="B1129" s="15"/>
      <c r="C1129" s="15"/>
      <c r="D1129" s="15"/>
      <c r="E1129" s="6"/>
      <c r="F1129" s="6"/>
      <c r="G1129" s="6"/>
      <c r="K1129" s="222"/>
      <c r="V1129" s="1430"/>
      <c r="AA1129" s="223"/>
      <c r="AC1129" s="889"/>
      <c r="AF1129" s="890"/>
      <c r="AJ1129" s="889"/>
      <c r="AN1129" s="222"/>
      <c r="BC1129" s="223"/>
      <c r="BD1129" s="222"/>
      <c r="BH1129" s="611"/>
      <c r="BJ1129" s="15"/>
      <c r="BK1129" s="15"/>
      <c r="BO1129" s="223"/>
      <c r="BQ1129" s="889"/>
      <c r="BT1129" s="890"/>
      <c r="BX1129" s="889"/>
      <c r="CB1129" s="15"/>
      <c r="CC1129" s="697"/>
      <c r="CD1129" s="1086"/>
      <c r="CE1129" s="15"/>
      <c r="CF1129" s="15"/>
      <c r="CG1129" s="936"/>
      <c r="CH1129" s="15"/>
      <c r="CI1129" s="15"/>
      <c r="CJ1129" s="15"/>
      <c r="CK1129" s="1107"/>
      <c r="CL1129" s="22"/>
      <c r="CM1129" s="22"/>
      <c r="CN1129" s="1107"/>
      <c r="CR1129" s="223"/>
      <c r="CS1129" s="952"/>
      <c r="CT1129" s="1066"/>
      <c r="CU1129" s="972"/>
      <c r="CV1129" s="983"/>
      <c r="CW1129" s="222"/>
      <c r="CX1129" s="697"/>
      <c r="DC1129" s="222"/>
      <c r="DJ1129" s="889"/>
      <c r="DM1129" s="890"/>
      <c r="DN1129" s="952"/>
      <c r="DO1129" s="75"/>
      <c r="DP1129" s="962"/>
      <c r="DQ1129" s="983"/>
      <c r="DV1129" s="889"/>
    </row>
    <row r="1130" spans="1:126" s="74" customFormat="1">
      <c r="A1130" s="15"/>
      <c r="B1130" s="15"/>
      <c r="C1130" s="15"/>
      <c r="D1130" s="15"/>
      <c r="E1130" s="6"/>
      <c r="F1130" s="6"/>
      <c r="G1130" s="6"/>
      <c r="K1130" s="222"/>
      <c r="V1130" s="1430"/>
      <c r="AA1130" s="223"/>
      <c r="AC1130" s="889"/>
      <c r="AF1130" s="890"/>
      <c r="AJ1130" s="889"/>
      <c r="AN1130" s="222"/>
      <c r="BC1130" s="223"/>
      <c r="BD1130" s="222"/>
      <c r="BH1130" s="611"/>
      <c r="BJ1130" s="15"/>
      <c r="BK1130" s="15"/>
      <c r="BO1130" s="223"/>
      <c r="BQ1130" s="889"/>
      <c r="BT1130" s="890"/>
      <c r="BX1130" s="889"/>
      <c r="CB1130" s="15"/>
      <c r="CC1130" s="697"/>
      <c r="CD1130" s="1086"/>
      <c r="CE1130" s="15"/>
      <c r="CF1130" s="15"/>
      <c r="CG1130" s="936"/>
      <c r="CH1130" s="15"/>
      <c r="CI1130" s="15"/>
      <c r="CJ1130" s="15"/>
      <c r="CK1130" s="1107"/>
      <c r="CL1130" s="22"/>
      <c r="CM1130" s="22"/>
      <c r="CN1130" s="1107"/>
      <c r="CR1130" s="223"/>
      <c r="CS1130" s="952"/>
      <c r="CT1130" s="1066"/>
      <c r="CU1130" s="972"/>
      <c r="CV1130" s="983"/>
      <c r="CW1130" s="222"/>
      <c r="CX1130" s="697"/>
      <c r="DC1130" s="222"/>
      <c r="DJ1130" s="889"/>
      <c r="DM1130" s="890"/>
      <c r="DN1130" s="952"/>
      <c r="DO1130" s="75"/>
      <c r="DP1130" s="962"/>
      <c r="DQ1130" s="983"/>
      <c r="DV1130" s="889"/>
    </row>
    <row r="1131" spans="1:126" s="74" customFormat="1">
      <c r="A1131" s="15"/>
      <c r="B1131" s="15"/>
      <c r="C1131" s="15"/>
      <c r="D1131" s="15"/>
      <c r="E1131" s="6"/>
      <c r="F1131" s="6"/>
      <c r="G1131" s="6"/>
      <c r="K1131" s="222"/>
      <c r="V1131" s="1430"/>
      <c r="AA1131" s="223"/>
      <c r="AC1131" s="889"/>
      <c r="AF1131" s="890"/>
      <c r="AJ1131" s="889"/>
      <c r="AN1131" s="222"/>
      <c r="BC1131" s="223"/>
      <c r="BD1131" s="222"/>
      <c r="BH1131" s="611"/>
      <c r="BJ1131" s="15"/>
      <c r="BK1131" s="15"/>
      <c r="BO1131" s="223"/>
      <c r="BQ1131" s="889"/>
      <c r="BT1131" s="890"/>
      <c r="BX1131" s="889"/>
      <c r="CB1131" s="15"/>
      <c r="CC1131" s="697"/>
      <c r="CD1131" s="1086"/>
      <c r="CE1131" s="15"/>
      <c r="CF1131" s="15"/>
      <c r="CG1131" s="936"/>
      <c r="CH1131" s="15"/>
      <c r="CI1131" s="15"/>
      <c r="CJ1131" s="15"/>
      <c r="CK1131" s="1107"/>
      <c r="CL1131" s="22"/>
      <c r="CM1131" s="22"/>
      <c r="CN1131" s="1107"/>
      <c r="CR1131" s="223"/>
      <c r="CS1131" s="952"/>
      <c r="CT1131" s="1066"/>
      <c r="CU1131" s="972"/>
      <c r="CV1131" s="983"/>
      <c r="CW1131" s="222"/>
      <c r="CX1131" s="697"/>
      <c r="DC1131" s="222"/>
      <c r="DJ1131" s="889"/>
      <c r="DM1131" s="890"/>
      <c r="DN1131" s="952"/>
      <c r="DO1131" s="75"/>
      <c r="DP1131" s="962"/>
      <c r="DQ1131" s="983"/>
      <c r="DV1131" s="889"/>
    </row>
    <row r="1132" spans="1:126" s="74" customFormat="1">
      <c r="A1132" s="15"/>
      <c r="B1132" s="15"/>
      <c r="C1132" s="15"/>
      <c r="D1132" s="15"/>
      <c r="E1132" s="6"/>
      <c r="F1132" s="6"/>
      <c r="G1132" s="6"/>
      <c r="K1132" s="222"/>
      <c r="V1132" s="1430"/>
      <c r="AA1132" s="223"/>
      <c r="AC1132" s="889"/>
      <c r="AF1132" s="890"/>
      <c r="AJ1132" s="889"/>
      <c r="AN1132" s="222"/>
      <c r="BC1132" s="223"/>
      <c r="BD1132" s="222"/>
      <c r="BH1132" s="611"/>
      <c r="BJ1132" s="15"/>
      <c r="BK1132" s="15"/>
      <c r="BO1132" s="223"/>
      <c r="BQ1132" s="889"/>
      <c r="BT1132" s="890"/>
      <c r="BX1132" s="889"/>
      <c r="CB1132" s="15"/>
      <c r="CC1132" s="697"/>
      <c r="CD1132" s="1086"/>
      <c r="CE1132" s="15"/>
      <c r="CF1132" s="15"/>
      <c r="CG1132" s="936"/>
      <c r="CH1132" s="15"/>
      <c r="CI1132" s="15"/>
      <c r="CJ1132" s="15"/>
      <c r="CK1132" s="1107"/>
      <c r="CL1132" s="22"/>
      <c r="CM1132" s="22"/>
      <c r="CN1132" s="1107"/>
      <c r="CR1132" s="223"/>
      <c r="CS1132" s="952"/>
      <c r="CT1132" s="1066"/>
      <c r="CU1132" s="972"/>
      <c r="CV1132" s="983"/>
      <c r="CW1132" s="222"/>
      <c r="CX1132" s="697"/>
      <c r="DC1132" s="222"/>
      <c r="DJ1132" s="889"/>
      <c r="DM1132" s="890"/>
      <c r="DN1132" s="952"/>
      <c r="DO1132" s="75"/>
      <c r="DP1132" s="962"/>
      <c r="DQ1132" s="983"/>
      <c r="DV1132" s="889"/>
    </row>
    <row r="1133" spans="1:126" s="74" customFormat="1">
      <c r="A1133" s="15"/>
      <c r="B1133" s="15"/>
      <c r="C1133" s="15"/>
      <c r="D1133" s="15"/>
      <c r="E1133" s="6"/>
      <c r="F1133" s="6"/>
      <c r="G1133" s="6"/>
      <c r="K1133" s="222"/>
      <c r="V1133" s="1430"/>
      <c r="AA1133" s="223"/>
      <c r="AC1133" s="889"/>
      <c r="AF1133" s="890"/>
      <c r="AJ1133" s="889"/>
      <c r="AN1133" s="222"/>
      <c r="BC1133" s="223"/>
      <c r="BD1133" s="222"/>
      <c r="BH1133" s="611"/>
      <c r="BJ1133" s="15"/>
      <c r="BK1133" s="15"/>
      <c r="BO1133" s="223"/>
      <c r="BQ1133" s="889"/>
      <c r="BT1133" s="890"/>
      <c r="BX1133" s="889"/>
      <c r="CB1133" s="15"/>
      <c r="CC1133" s="697"/>
      <c r="CD1133" s="1086"/>
      <c r="CE1133" s="15"/>
      <c r="CF1133" s="15"/>
      <c r="CG1133" s="936"/>
      <c r="CH1133" s="15"/>
      <c r="CI1133" s="15"/>
      <c r="CJ1133" s="15"/>
      <c r="CK1133" s="1107"/>
      <c r="CL1133" s="22"/>
      <c r="CM1133" s="22"/>
      <c r="CN1133" s="1107"/>
      <c r="CR1133" s="223"/>
      <c r="CS1133" s="952"/>
      <c r="CT1133" s="1066"/>
      <c r="CU1133" s="972"/>
      <c r="CV1133" s="983"/>
      <c r="CW1133" s="222"/>
      <c r="CX1133" s="697"/>
      <c r="DC1133" s="222"/>
      <c r="DJ1133" s="889"/>
      <c r="DM1133" s="890"/>
      <c r="DN1133" s="952"/>
      <c r="DO1133" s="75"/>
      <c r="DP1133" s="962"/>
      <c r="DQ1133" s="983"/>
      <c r="DV1133" s="889"/>
    </row>
    <row r="1134" spans="1:126" s="74" customFormat="1">
      <c r="A1134" s="15"/>
      <c r="B1134" s="15"/>
      <c r="C1134" s="15"/>
      <c r="D1134" s="15"/>
      <c r="E1134" s="6"/>
      <c r="F1134" s="6"/>
      <c r="G1134" s="6"/>
      <c r="K1134" s="222"/>
      <c r="V1134" s="1430"/>
      <c r="AA1134" s="223"/>
      <c r="AC1134" s="889"/>
      <c r="AF1134" s="890"/>
      <c r="AJ1134" s="889"/>
      <c r="AN1134" s="222"/>
      <c r="BC1134" s="223"/>
      <c r="BD1134" s="222"/>
      <c r="BH1134" s="611"/>
      <c r="BJ1134" s="15"/>
      <c r="BK1134" s="15"/>
      <c r="BO1134" s="223"/>
      <c r="BQ1134" s="889"/>
      <c r="BT1134" s="890"/>
      <c r="BX1134" s="889"/>
      <c r="CB1134" s="15"/>
      <c r="CC1134" s="697"/>
      <c r="CD1134" s="1086"/>
      <c r="CE1134" s="15"/>
      <c r="CF1134" s="15"/>
      <c r="CG1134" s="936"/>
      <c r="CH1134" s="15"/>
      <c r="CI1134" s="15"/>
      <c r="CJ1134" s="15"/>
      <c r="CK1134" s="1107"/>
      <c r="CL1134" s="22"/>
      <c r="CM1134" s="22"/>
      <c r="CN1134" s="1107"/>
      <c r="CR1134" s="223"/>
      <c r="CS1134" s="952"/>
      <c r="CT1134" s="1066"/>
      <c r="CU1134" s="972"/>
      <c r="CV1134" s="983"/>
      <c r="CW1134" s="222"/>
      <c r="CX1134" s="697"/>
      <c r="DC1134" s="222"/>
      <c r="DJ1134" s="889"/>
      <c r="DM1134" s="890"/>
      <c r="DN1134" s="952"/>
      <c r="DO1134" s="75"/>
      <c r="DP1134" s="962"/>
      <c r="DQ1134" s="983"/>
      <c r="DV1134" s="889"/>
    </row>
    <row r="1135" spans="1:126" s="74" customFormat="1">
      <c r="A1135" s="15"/>
      <c r="B1135" s="15"/>
      <c r="C1135" s="15"/>
      <c r="D1135" s="15"/>
      <c r="E1135" s="6"/>
      <c r="F1135" s="6"/>
      <c r="G1135" s="6"/>
      <c r="K1135" s="222"/>
      <c r="V1135" s="1430"/>
      <c r="AA1135" s="223"/>
      <c r="AC1135" s="889"/>
      <c r="AF1135" s="890"/>
      <c r="AJ1135" s="889"/>
      <c r="AN1135" s="222"/>
      <c r="BC1135" s="223"/>
      <c r="BD1135" s="222"/>
      <c r="BH1135" s="611"/>
      <c r="BJ1135" s="15"/>
      <c r="BK1135" s="15"/>
      <c r="BO1135" s="223"/>
      <c r="BQ1135" s="889"/>
      <c r="BT1135" s="890"/>
      <c r="BX1135" s="889"/>
      <c r="CB1135" s="15"/>
      <c r="CC1135" s="697"/>
      <c r="CD1135" s="1086"/>
      <c r="CE1135" s="15"/>
      <c r="CF1135" s="15"/>
      <c r="CG1135" s="936"/>
      <c r="CH1135" s="15"/>
      <c r="CI1135" s="15"/>
      <c r="CJ1135" s="15"/>
      <c r="CK1135" s="1107"/>
      <c r="CL1135" s="22"/>
      <c r="CM1135" s="22"/>
      <c r="CN1135" s="1107"/>
      <c r="CR1135" s="223"/>
      <c r="CS1135" s="952"/>
      <c r="CT1135" s="1066"/>
      <c r="CU1135" s="972"/>
      <c r="CV1135" s="983"/>
      <c r="CW1135" s="222"/>
      <c r="CX1135" s="697"/>
      <c r="DC1135" s="222"/>
      <c r="DJ1135" s="889"/>
      <c r="DM1135" s="890"/>
      <c r="DN1135" s="952"/>
      <c r="DO1135" s="75"/>
      <c r="DP1135" s="962"/>
      <c r="DQ1135" s="983"/>
      <c r="DV1135" s="889"/>
    </row>
    <row r="1136" spans="1:126" s="74" customFormat="1">
      <c r="A1136" s="15"/>
      <c r="B1136" s="15"/>
      <c r="C1136" s="15"/>
      <c r="D1136" s="15"/>
      <c r="E1136" s="6"/>
      <c r="F1136" s="6"/>
      <c r="G1136" s="6"/>
      <c r="K1136" s="222"/>
      <c r="V1136" s="1430"/>
      <c r="AA1136" s="223"/>
      <c r="AC1136" s="889"/>
      <c r="AF1136" s="890"/>
      <c r="AJ1136" s="889"/>
      <c r="AN1136" s="222"/>
      <c r="BC1136" s="223"/>
      <c r="BD1136" s="222"/>
      <c r="BH1136" s="611"/>
      <c r="BJ1136" s="15"/>
      <c r="BK1136" s="15"/>
      <c r="BO1136" s="223"/>
      <c r="BQ1136" s="889"/>
      <c r="BT1136" s="890"/>
      <c r="BX1136" s="889"/>
      <c r="CB1136" s="15"/>
      <c r="CC1136" s="697"/>
      <c r="CD1136" s="1086"/>
      <c r="CE1136" s="15"/>
      <c r="CF1136" s="15"/>
      <c r="CG1136" s="936"/>
      <c r="CH1136" s="15"/>
      <c r="CI1136" s="15"/>
      <c r="CJ1136" s="15"/>
      <c r="CK1136" s="1107"/>
      <c r="CL1136" s="22"/>
      <c r="CM1136" s="22"/>
      <c r="CN1136" s="1107"/>
      <c r="CR1136" s="223"/>
      <c r="CS1136" s="952"/>
      <c r="CT1136" s="1066"/>
      <c r="CU1136" s="972"/>
      <c r="CV1136" s="983"/>
      <c r="CW1136" s="222"/>
      <c r="CX1136" s="697"/>
      <c r="DC1136" s="222"/>
      <c r="DJ1136" s="889"/>
      <c r="DM1136" s="890"/>
      <c r="DN1136" s="952"/>
      <c r="DO1136" s="75"/>
      <c r="DP1136" s="962"/>
      <c r="DQ1136" s="983"/>
      <c r="DV1136" s="889"/>
    </row>
    <row r="1137" spans="1:126" s="74" customFormat="1">
      <c r="A1137" s="15"/>
      <c r="B1137" s="15"/>
      <c r="C1137" s="15"/>
      <c r="D1137" s="15"/>
      <c r="E1137" s="6"/>
      <c r="F1137" s="6"/>
      <c r="G1137" s="6"/>
      <c r="K1137" s="222"/>
      <c r="V1137" s="1430"/>
      <c r="AA1137" s="223"/>
      <c r="AC1137" s="889"/>
      <c r="AF1137" s="890"/>
      <c r="AJ1137" s="889"/>
      <c r="AN1137" s="222"/>
      <c r="BC1137" s="223"/>
      <c r="BD1137" s="222"/>
      <c r="BH1137" s="611"/>
      <c r="BJ1137" s="15"/>
      <c r="BK1137" s="15"/>
      <c r="BO1137" s="223"/>
      <c r="BQ1137" s="889"/>
      <c r="BT1137" s="890"/>
      <c r="BX1137" s="889"/>
      <c r="CB1137" s="15"/>
      <c r="CC1137" s="697"/>
      <c r="CD1137" s="1086"/>
      <c r="CE1137" s="15"/>
      <c r="CF1137" s="15"/>
      <c r="CG1137" s="936"/>
      <c r="CH1137" s="15"/>
      <c r="CI1137" s="15"/>
      <c r="CJ1137" s="15"/>
      <c r="CK1137" s="1107"/>
      <c r="CL1137" s="22"/>
      <c r="CM1137" s="22"/>
      <c r="CN1137" s="1107"/>
      <c r="CR1137" s="223"/>
      <c r="CS1137" s="952"/>
      <c r="CT1137" s="1066"/>
      <c r="CU1137" s="972"/>
      <c r="CV1137" s="983"/>
      <c r="CW1137" s="222"/>
      <c r="CX1137" s="697"/>
      <c r="DC1137" s="222"/>
      <c r="DJ1137" s="889"/>
      <c r="DM1137" s="890"/>
      <c r="DN1137" s="952"/>
      <c r="DO1137" s="75"/>
      <c r="DP1137" s="962"/>
      <c r="DQ1137" s="983"/>
      <c r="DV1137" s="889"/>
    </row>
    <row r="1138" spans="1:126" s="74" customFormat="1">
      <c r="A1138" s="15"/>
      <c r="B1138" s="15"/>
      <c r="C1138" s="15"/>
      <c r="D1138" s="15"/>
      <c r="E1138" s="6"/>
      <c r="F1138" s="6"/>
      <c r="G1138" s="6"/>
      <c r="K1138" s="222"/>
      <c r="V1138" s="1430"/>
      <c r="AA1138" s="223"/>
      <c r="AC1138" s="889"/>
      <c r="AF1138" s="890"/>
      <c r="AJ1138" s="889"/>
      <c r="AN1138" s="222"/>
      <c r="BC1138" s="223"/>
      <c r="BD1138" s="222"/>
      <c r="BH1138" s="611"/>
      <c r="BJ1138" s="15"/>
      <c r="BK1138" s="15"/>
      <c r="BO1138" s="223"/>
      <c r="BQ1138" s="889"/>
      <c r="BT1138" s="890"/>
      <c r="BX1138" s="889"/>
      <c r="CB1138" s="15"/>
      <c r="CC1138" s="697"/>
      <c r="CD1138" s="1086"/>
      <c r="CE1138" s="15"/>
      <c r="CF1138" s="15"/>
      <c r="CG1138" s="936"/>
      <c r="CH1138" s="15"/>
      <c r="CI1138" s="15"/>
      <c r="CJ1138" s="15"/>
      <c r="CK1138" s="1107"/>
      <c r="CL1138" s="22"/>
      <c r="CM1138" s="22"/>
      <c r="CN1138" s="1107"/>
      <c r="CR1138" s="223"/>
      <c r="CS1138" s="952"/>
      <c r="CT1138" s="1066"/>
      <c r="CU1138" s="972"/>
      <c r="CV1138" s="983"/>
      <c r="CW1138" s="222"/>
      <c r="CX1138" s="697"/>
      <c r="DC1138" s="222"/>
      <c r="DJ1138" s="889"/>
      <c r="DM1138" s="890"/>
      <c r="DN1138" s="952"/>
      <c r="DO1138" s="75"/>
      <c r="DP1138" s="962"/>
      <c r="DQ1138" s="983"/>
      <c r="DV1138" s="889"/>
    </row>
    <row r="1139" spans="1:126" s="74" customFormat="1">
      <c r="A1139" s="15"/>
      <c r="B1139" s="15"/>
      <c r="C1139" s="15"/>
      <c r="D1139" s="15"/>
      <c r="E1139" s="6"/>
      <c r="F1139" s="6"/>
      <c r="G1139" s="6"/>
      <c r="K1139" s="222"/>
      <c r="V1139" s="1430"/>
      <c r="AA1139" s="223"/>
      <c r="AC1139" s="889"/>
      <c r="AF1139" s="890"/>
      <c r="AJ1139" s="889"/>
      <c r="AN1139" s="222"/>
      <c r="BC1139" s="223"/>
      <c r="BD1139" s="222"/>
      <c r="BH1139" s="611"/>
      <c r="BJ1139" s="15"/>
      <c r="BK1139" s="15"/>
      <c r="BO1139" s="223"/>
      <c r="BQ1139" s="889"/>
      <c r="BT1139" s="890"/>
      <c r="BX1139" s="889"/>
      <c r="CB1139" s="15"/>
      <c r="CC1139" s="697"/>
      <c r="CD1139" s="1086"/>
      <c r="CE1139" s="15"/>
      <c r="CF1139" s="15"/>
      <c r="CG1139" s="936"/>
      <c r="CH1139" s="15"/>
      <c r="CI1139" s="15"/>
      <c r="CJ1139" s="15"/>
      <c r="CK1139" s="1107"/>
      <c r="CL1139" s="22"/>
      <c r="CM1139" s="22"/>
      <c r="CN1139" s="1107"/>
      <c r="CR1139" s="223"/>
      <c r="CS1139" s="952"/>
      <c r="CT1139" s="1066"/>
      <c r="CU1139" s="972"/>
      <c r="CV1139" s="983"/>
      <c r="CW1139" s="222"/>
      <c r="CX1139" s="697"/>
      <c r="DC1139" s="222"/>
      <c r="DJ1139" s="889"/>
      <c r="DM1139" s="890"/>
      <c r="DN1139" s="952"/>
      <c r="DO1139" s="75"/>
      <c r="DP1139" s="962"/>
      <c r="DQ1139" s="983"/>
      <c r="DV1139" s="889"/>
    </row>
    <row r="1140" spans="1:126" s="74" customFormat="1">
      <c r="A1140" s="15"/>
      <c r="B1140" s="15"/>
      <c r="C1140" s="15"/>
      <c r="D1140" s="15"/>
      <c r="E1140" s="6"/>
      <c r="F1140" s="6"/>
      <c r="G1140" s="6"/>
      <c r="K1140" s="222"/>
      <c r="V1140" s="1430"/>
      <c r="AA1140" s="223"/>
      <c r="AC1140" s="889"/>
      <c r="AF1140" s="890"/>
      <c r="AJ1140" s="889"/>
      <c r="AN1140" s="222"/>
      <c r="BC1140" s="223"/>
      <c r="BD1140" s="222"/>
      <c r="BH1140" s="611"/>
      <c r="BJ1140" s="15"/>
      <c r="BK1140" s="15"/>
      <c r="BO1140" s="223"/>
      <c r="BQ1140" s="889"/>
      <c r="BT1140" s="890"/>
      <c r="BX1140" s="889"/>
      <c r="CB1140" s="15"/>
      <c r="CC1140" s="697"/>
      <c r="CD1140" s="1086"/>
      <c r="CE1140" s="15"/>
      <c r="CF1140" s="15"/>
      <c r="CG1140" s="936"/>
      <c r="CH1140" s="15"/>
      <c r="CI1140" s="15"/>
      <c r="CJ1140" s="15"/>
      <c r="CK1140" s="1107"/>
      <c r="CL1140" s="22"/>
      <c r="CM1140" s="22"/>
      <c r="CN1140" s="1107"/>
      <c r="CR1140" s="223"/>
      <c r="CS1140" s="952"/>
      <c r="CT1140" s="1066"/>
      <c r="CU1140" s="972"/>
      <c r="CV1140" s="983"/>
      <c r="CW1140" s="222"/>
      <c r="CX1140" s="697"/>
      <c r="DC1140" s="222"/>
      <c r="DJ1140" s="889"/>
      <c r="DM1140" s="890"/>
      <c r="DN1140" s="952"/>
      <c r="DO1140" s="75"/>
      <c r="DP1140" s="962"/>
      <c r="DQ1140" s="983"/>
      <c r="DV1140" s="889"/>
    </row>
    <row r="1141" spans="1:126" s="74" customFormat="1">
      <c r="A1141" s="15"/>
      <c r="B1141" s="15"/>
      <c r="C1141" s="15"/>
      <c r="D1141" s="15"/>
      <c r="E1141" s="6"/>
      <c r="F1141" s="6"/>
      <c r="G1141" s="6"/>
      <c r="K1141" s="222"/>
      <c r="V1141" s="1430"/>
      <c r="AA1141" s="223"/>
      <c r="AC1141" s="889"/>
      <c r="AF1141" s="890"/>
      <c r="AJ1141" s="889"/>
      <c r="AN1141" s="222"/>
      <c r="BC1141" s="223"/>
      <c r="BD1141" s="222"/>
      <c r="BH1141" s="611"/>
      <c r="BJ1141" s="15"/>
      <c r="BK1141" s="15"/>
      <c r="BO1141" s="223"/>
      <c r="BQ1141" s="889"/>
      <c r="BT1141" s="890"/>
      <c r="BX1141" s="889"/>
      <c r="CB1141" s="15"/>
      <c r="CC1141" s="697"/>
      <c r="CD1141" s="1086"/>
      <c r="CE1141" s="15"/>
      <c r="CF1141" s="15"/>
      <c r="CG1141" s="936"/>
      <c r="CH1141" s="15"/>
      <c r="CI1141" s="15"/>
      <c r="CJ1141" s="15"/>
      <c r="CK1141" s="1107"/>
      <c r="CL1141" s="22"/>
      <c r="CM1141" s="22"/>
      <c r="CN1141" s="1107"/>
      <c r="CR1141" s="223"/>
      <c r="CS1141" s="952"/>
      <c r="CT1141" s="1066"/>
      <c r="CU1141" s="972"/>
      <c r="CV1141" s="983"/>
      <c r="CW1141" s="222"/>
      <c r="CX1141" s="697"/>
      <c r="DC1141" s="222"/>
      <c r="DJ1141" s="889"/>
      <c r="DM1141" s="890"/>
      <c r="DN1141" s="952"/>
      <c r="DO1141" s="75"/>
      <c r="DP1141" s="962"/>
      <c r="DQ1141" s="983"/>
      <c r="DV1141" s="889"/>
    </row>
    <row r="1142" spans="1:126" s="74" customFormat="1">
      <c r="A1142" s="15"/>
      <c r="B1142" s="15"/>
      <c r="C1142" s="15"/>
      <c r="D1142" s="15"/>
      <c r="E1142" s="6"/>
      <c r="F1142" s="6"/>
      <c r="G1142" s="6"/>
      <c r="K1142" s="222"/>
      <c r="V1142" s="1430"/>
      <c r="AA1142" s="223"/>
      <c r="AC1142" s="889"/>
      <c r="AF1142" s="890"/>
      <c r="AJ1142" s="889"/>
      <c r="AN1142" s="222"/>
      <c r="BC1142" s="223"/>
      <c r="BD1142" s="222"/>
      <c r="BH1142" s="611"/>
      <c r="BJ1142" s="15"/>
      <c r="BK1142" s="15"/>
      <c r="BO1142" s="223"/>
      <c r="BQ1142" s="889"/>
      <c r="BT1142" s="890"/>
      <c r="BX1142" s="889"/>
      <c r="CB1142" s="15"/>
      <c r="CC1142" s="697"/>
      <c r="CD1142" s="1086"/>
      <c r="CE1142" s="15"/>
      <c r="CF1142" s="15"/>
      <c r="CG1142" s="936"/>
      <c r="CH1142" s="15"/>
      <c r="CI1142" s="15"/>
      <c r="CJ1142" s="15"/>
      <c r="CK1142" s="1107"/>
      <c r="CL1142" s="22"/>
      <c r="CM1142" s="22"/>
      <c r="CN1142" s="1107"/>
      <c r="CR1142" s="223"/>
      <c r="CS1142" s="952"/>
      <c r="CT1142" s="1066"/>
      <c r="CU1142" s="972"/>
      <c r="CV1142" s="983"/>
      <c r="CW1142" s="222"/>
      <c r="CX1142" s="697"/>
      <c r="DC1142" s="222"/>
      <c r="DJ1142" s="889"/>
      <c r="DM1142" s="890"/>
      <c r="DN1142" s="952"/>
      <c r="DO1142" s="75"/>
      <c r="DP1142" s="962"/>
      <c r="DQ1142" s="983"/>
      <c r="DV1142" s="889"/>
    </row>
    <row r="1143" spans="1:126" s="74" customFormat="1">
      <c r="A1143" s="15"/>
      <c r="B1143" s="15"/>
      <c r="C1143" s="15"/>
      <c r="D1143" s="15"/>
      <c r="E1143" s="6"/>
      <c r="F1143" s="6"/>
      <c r="G1143" s="6"/>
      <c r="K1143" s="222"/>
      <c r="V1143" s="1430"/>
      <c r="AA1143" s="223"/>
      <c r="AC1143" s="889"/>
      <c r="AF1143" s="890"/>
      <c r="AJ1143" s="889"/>
      <c r="AN1143" s="222"/>
      <c r="BC1143" s="223"/>
      <c r="BD1143" s="222"/>
      <c r="BH1143" s="611"/>
      <c r="BJ1143" s="15"/>
      <c r="BK1143" s="15"/>
      <c r="BO1143" s="223"/>
      <c r="BQ1143" s="889"/>
      <c r="BT1143" s="890"/>
      <c r="BX1143" s="889"/>
      <c r="CB1143" s="15"/>
      <c r="CC1143" s="697"/>
      <c r="CD1143" s="1086"/>
      <c r="CE1143" s="15"/>
      <c r="CF1143" s="15"/>
      <c r="CG1143" s="936"/>
      <c r="CH1143" s="15"/>
      <c r="CI1143" s="15"/>
      <c r="CJ1143" s="15"/>
      <c r="CK1143" s="1107"/>
      <c r="CL1143" s="22"/>
      <c r="CM1143" s="22"/>
      <c r="CN1143" s="1107"/>
      <c r="CR1143" s="223"/>
      <c r="CS1143" s="952"/>
      <c r="CT1143" s="1066"/>
      <c r="CU1143" s="972"/>
      <c r="CV1143" s="983"/>
      <c r="CW1143" s="222"/>
      <c r="CX1143" s="697"/>
      <c r="DC1143" s="222"/>
      <c r="DJ1143" s="889"/>
      <c r="DM1143" s="890"/>
      <c r="DN1143" s="952"/>
      <c r="DO1143" s="75"/>
      <c r="DP1143" s="962"/>
      <c r="DQ1143" s="983"/>
      <c r="DV1143" s="889"/>
    </row>
    <row r="1144" spans="1:126" s="74" customFormat="1">
      <c r="A1144" s="15"/>
      <c r="B1144" s="15"/>
      <c r="C1144" s="15"/>
      <c r="D1144" s="15"/>
      <c r="E1144" s="6"/>
      <c r="F1144" s="6"/>
      <c r="G1144" s="6"/>
      <c r="K1144" s="222"/>
      <c r="V1144" s="1430"/>
      <c r="AA1144" s="223"/>
      <c r="AC1144" s="889"/>
      <c r="AF1144" s="890"/>
      <c r="AJ1144" s="889"/>
      <c r="AN1144" s="222"/>
      <c r="BC1144" s="223"/>
      <c r="BD1144" s="222"/>
      <c r="BH1144" s="611"/>
      <c r="BJ1144" s="15"/>
      <c r="BK1144" s="15"/>
      <c r="BO1144" s="223"/>
      <c r="BQ1144" s="889"/>
      <c r="BT1144" s="890"/>
      <c r="BX1144" s="889"/>
      <c r="CB1144" s="15"/>
      <c r="CC1144" s="697"/>
      <c r="CD1144" s="1086"/>
      <c r="CE1144" s="15"/>
      <c r="CF1144" s="15"/>
      <c r="CG1144" s="936"/>
      <c r="CH1144" s="15"/>
      <c r="CI1144" s="15"/>
      <c r="CJ1144" s="15"/>
      <c r="CK1144" s="1107"/>
      <c r="CL1144" s="22"/>
      <c r="CM1144" s="22"/>
      <c r="CN1144" s="1107"/>
      <c r="CR1144" s="223"/>
      <c r="CS1144" s="952"/>
      <c r="CT1144" s="1066"/>
      <c r="CU1144" s="972"/>
      <c r="CV1144" s="983"/>
      <c r="CW1144" s="222"/>
      <c r="CX1144" s="697"/>
      <c r="DC1144" s="222"/>
      <c r="DJ1144" s="889"/>
      <c r="DM1144" s="890"/>
      <c r="DN1144" s="952"/>
      <c r="DO1144" s="75"/>
      <c r="DP1144" s="962"/>
      <c r="DQ1144" s="983"/>
      <c r="DV1144" s="889"/>
    </row>
    <row r="1145" spans="1:126" s="74" customFormat="1">
      <c r="A1145" s="15"/>
      <c r="B1145" s="15"/>
      <c r="C1145" s="15"/>
      <c r="D1145" s="15"/>
      <c r="E1145" s="6"/>
      <c r="F1145" s="6"/>
      <c r="G1145" s="6"/>
      <c r="K1145" s="222"/>
      <c r="V1145" s="1430"/>
      <c r="AA1145" s="223"/>
      <c r="AC1145" s="889"/>
      <c r="AF1145" s="890"/>
      <c r="AJ1145" s="889"/>
      <c r="AN1145" s="222"/>
      <c r="BC1145" s="223"/>
      <c r="BD1145" s="222"/>
      <c r="BH1145" s="611"/>
      <c r="BJ1145" s="15"/>
      <c r="BK1145" s="15"/>
      <c r="BO1145" s="223"/>
      <c r="BQ1145" s="889"/>
      <c r="BT1145" s="890"/>
      <c r="BX1145" s="889"/>
      <c r="CB1145" s="15"/>
      <c r="CC1145" s="697"/>
      <c r="CD1145" s="1086"/>
      <c r="CE1145" s="15"/>
      <c r="CF1145" s="15"/>
      <c r="CG1145" s="936"/>
      <c r="CH1145" s="15"/>
      <c r="CI1145" s="15"/>
      <c r="CJ1145" s="15"/>
      <c r="CK1145" s="1107"/>
      <c r="CL1145" s="22"/>
      <c r="CM1145" s="22"/>
      <c r="CN1145" s="1107"/>
      <c r="CR1145" s="223"/>
      <c r="CS1145" s="952"/>
      <c r="CT1145" s="1066"/>
      <c r="CU1145" s="972"/>
      <c r="CV1145" s="983"/>
      <c r="CW1145" s="222"/>
      <c r="CX1145" s="697"/>
      <c r="DC1145" s="222"/>
      <c r="DJ1145" s="889"/>
      <c r="DM1145" s="890"/>
      <c r="DN1145" s="952"/>
      <c r="DO1145" s="75"/>
      <c r="DP1145" s="962"/>
      <c r="DQ1145" s="983"/>
      <c r="DV1145" s="889"/>
    </row>
    <row r="1146" spans="1:126" s="74" customFormat="1">
      <c r="A1146" s="15"/>
      <c r="B1146" s="15"/>
      <c r="C1146" s="15"/>
      <c r="D1146" s="15"/>
      <c r="E1146" s="6"/>
      <c r="F1146" s="6"/>
      <c r="G1146" s="6"/>
      <c r="K1146" s="222"/>
      <c r="V1146" s="1430"/>
      <c r="AA1146" s="223"/>
      <c r="AC1146" s="889"/>
      <c r="AF1146" s="890"/>
      <c r="AJ1146" s="889"/>
      <c r="AN1146" s="222"/>
      <c r="BC1146" s="223"/>
      <c r="BD1146" s="222"/>
      <c r="BH1146" s="611"/>
      <c r="BJ1146" s="15"/>
      <c r="BK1146" s="15"/>
      <c r="BO1146" s="223"/>
      <c r="BQ1146" s="889"/>
      <c r="BT1146" s="890"/>
      <c r="BX1146" s="889"/>
      <c r="CB1146" s="15"/>
      <c r="CC1146" s="697"/>
      <c r="CD1146" s="1086"/>
      <c r="CE1146" s="15"/>
      <c r="CF1146" s="15"/>
      <c r="CG1146" s="936"/>
      <c r="CH1146" s="15"/>
      <c r="CI1146" s="15"/>
      <c r="CJ1146" s="15"/>
      <c r="CK1146" s="1107"/>
      <c r="CL1146" s="22"/>
      <c r="CM1146" s="22"/>
      <c r="CN1146" s="1107"/>
      <c r="CR1146" s="223"/>
      <c r="CS1146" s="952"/>
      <c r="CT1146" s="1066"/>
      <c r="CU1146" s="972"/>
      <c r="CV1146" s="983"/>
      <c r="CW1146" s="222"/>
      <c r="CX1146" s="697"/>
      <c r="DC1146" s="222"/>
      <c r="DJ1146" s="889"/>
      <c r="DM1146" s="890"/>
      <c r="DN1146" s="952"/>
      <c r="DO1146" s="75"/>
      <c r="DP1146" s="962"/>
      <c r="DQ1146" s="983"/>
      <c r="DV1146" s="889"/>
    </row>
    <row r="1147" spans="1:126" s="74" customFormat="1">
      <c r="A1147" s="15"/>
      <c r="B1147" s="15"/>
      <c r="C1147" s="15"/>
      <c r="D1147" s="15"/>
      <c r="E1147" s="6"/>
      <c r="F1147" s="6"/>
      <c r="G1147" s="6"/>
      <c r="K1147" s="222"/>
      <c r="V1147" s="1430"/>
      <c r="AA1147" s="223"/>
      <c r="AC1147" s="889"/>
      <c r="AF1147" s="890"/>
      <c r="AJ1147" s="889"/>
      <c r="AN1147" s="222"/>
      <c r="BC1147" s="223"/>
      <c r="BD1147" s="222"/>
      <c r="BH1147" s="611"/>
      <c r="BJ1147" s="15"/>
      <c r="BK1147" s="15"/>
      <c r="BO1147" s="223"/>
      <c r="BQ1147" s="889"/>
      <c r="BT1147" s="890"/>
      <c r="BX1147" s="889"/>
      <c r="CB1147" s="15"/>
      <c r="CC1147" s="697"/>
      <c r="CD1147" s="1086"/>
      <c r="CE1147" s="15"/>
      <c r="CF1147" s="15"/>
      <c r="CG1147" s="936"/>
      <c r="CH1147" s="15"/>
      <c r="CI1147" s="15"/>
      <c r="CJ1147" s="15"/>
      <c r="CK1147" s="1107"/>
      <c r="CL1147" s="22"/>
      <c r="CM1147" s="22"/>
      <c r="CN1147" s="1107"/>
      <c r="CR1147" s="223"/>
      <c r="CS1147" s="952"/>
      <c r="CT1147" s="1066"/>
      <c r="CU1147" s="972"/>
      <c r="CV1147" s="983"/>
      <c r="CW1147" s="222"/>
      <c r="CX1147" s="697"/>
      <c r="DC1147" s="222"/>
      <c r="DJ1147" s="889"/>
      <c r="DM1147" s="890"/>
      <c r="DN1147" s="952"/>
      <c r="DO1147" s="75"/>
      <c r="DP1147" s="962"/>
      <c r="DQ1147" s="983"/>
      <c r="DV1147" s="889"/>
    </row>
    <row r="1148" spans="1:126" s="74" customFormat="1">
      <c r="A1148" s="15"/>
      <c r="B1148" s="15"/>
      <c r="C1148" s="15"/>
      <c r="D1148" s="15"/>
      <c r="E1148" s="6"/>
      <c r="F1148" s="6"/>
      <c r="G1148" s="6"/>
      <c r="K1148" s="222"/>
      <c r="V1148" s="1430"/>
      <c r="AA1148" s="223"/>
      <c r="AC1148" s="889"/>
      <c r="AF1148" s="890"/>
      <c r="AJ1148" s="889"/>
      <c r="AN1148" s="222"/>
      <c r="BC1148" s="223"/>
      <c r="BD1148" s="222"/>
      <c r="BH1148" s="611"/>
      <c r="BJ1148" s="15"/>
      <c r="BK1148" s="15"/>
      <c r="BO1148" s="223"/>
      <c r="BQ1148" s="889"/>
      <c r="BT1148" s="890"/>
      <c r="BX1148" s="889"/>
      <c r="CB1148" s="15"/>
      <c r="CC1148" s="697"/>
      <c r="CD1148" s="1086"/>
      <c r="CE1148" s="15"/>
      <c r="CF1148" s="15"/>
      <c r="CG1148" s="936"/>
      <c r="CH1148" s="15"/>
      <c r="CI1148" s="15"/>
      <c r="CJ1148" s="15"/>
      <c r="CK1148" s="1107"/>
      <c r="CL1148" s="22"/>
      <c r="CM1148" s="22"/>
      <c r="CN1148" s="1107"/>
      <c r="CR1148" s="223"/>
      <c r="CS1148" s="952"/>
      <c r="CT1148" s="1066"/>
      <c r="CU1148" s="972"/>
      <c r="CV1148" s="983"/>
      <c r="CW1148" s="222"/>
      <c r="CX1148" s="697"/>
      <c r="DC1148" s="222"/>
      <c r="DJ1148" s="889"/>
      <c r="DM1148" s="890"/>
      <c r="DN1148" s="952"/>
      <c r="DO1148" s="75"/>
      <c r="DP1148" s="962"/>
      <c r="DQ1148" s="983"/>
      <c r="DV1148" s="889"/>
    </row>
    <row r="1149" spans="1:126" s="74" customFormat="1">
      <c r="A1149" s="15"/>
      <c r="B1149" s="15"/>
      <c r="C1149" s="15"/>
      <c r="D1149" s="15"/>
      <c r="E1149" s="6"/>
      <c r="F1149" s="6"/>
      <c r="G1149" s="6"/>
      <c r="K1149" s="222"/>
      <c r="V1149" s="1430"/>
      <c r="AA1149" s="223"/>
      <c r="AC1149" s="889"/>
      <c r="AF1149" s="890"/>
      <c r="AJ1149" s="889"/>
      <c r="AN1149" s="222"/>
      <c r="BC1149" s="223"/>
      <c r="BD1149" s="222"/>
      <c r="BH1149" s="611"/>
      <c r="BJ1149" s="15"/>
      <c r="BK1149" s="15"/>
      <c r="BO1149" s="223"/>
      <c r="BQ1149" s="889"/>
      <c r="BT1149" s="890"/>
      <c r="BX1149" s="889"/>
      <c r="CB1149" s="15"/>
      <c r="CC1149" s="697"/>
      <c r="CD1149" s="1086"/>
      <c r="CE1149" s="15"/>
      <c r="CF1149" s="15"/>
      <c r="CG1149" s="936"/>
      <c r="CH1149" s="15"/>
      <c r="CI1149" s="15"/>
      <c r="CJ1149" s="15"/>
      <c r="CK1149" s="1107"/>
      <c r="CL1149" s="22"/>
      <c r="CM1149" s="22"/>
      <c r="CN1149" s="1107"/>
      <c r="CR1149" s="223"/>
      <c r="CS1149" s="952"/>
      <c r="CT1149" s="1066"/>
      <c r="CU1149" s="972"/>
      <c r="CV1149" s="983"/>
      <c r="CW1149" s="222"/>
      <c r="CX1149" s="697"/>
      <c r="DC1149" s="222"/>
      <c r="DJ1149" s="889"/>
      <c r="DM1149" s="890"/>
      <c r="DN1149" s="952"/>
      <c r="DO1149" s="75"/>
      <c r="DP1149" s="962"/>
      <c r="DQ1149" s="983"/>
      <c r="DV1149" s="889"/>
    </row>
    <row r="1150" spans="1:126" s="74" customFormat="1">
      <c r="A1150" s="15"/>
      <c r="B1150" s="15"/>
      <c r="C1150" s="15"/>
      <c r="D1150" s="15"/>
      <c r="E1150" s="6"/>
      <c r="F1150" s="6"/>
      <c r="G1150" s="6"/>
      <c r="K1150" s="222"/>
      <c r="V1150" s="1430"/>
      <c r="AA1150" s="223"/>
      <c r="AC1150" s="889"/>
      <c r="AF1150" s="890"/>
      <c r="AJ1150" s="889"/>
      <c r="AN1150" s="222"/>
      <c r="BC1150" s="223"/>
      <c r="BD1150" s="222"/>
      <c r="BH1150" s="611"/>
      <c r="BJ1150" s="15"/>
      <c r="BK1150" s="15"/>
      <c r="BO1150" s="223"/>
      <c r="BQ1150" s="889"/>
      <c r="BT1150" s="890"/>
      <c r="BX1150" s="889"/>
      <c r="CB1150" s="15"/>
      <c r="CC1150" s="697"/>
      <c r="CD1150" s="1086"/>
      <c r="CE1150" s="15"/>
      <c r="CF1150" s="15"/>
      <c r="CG1150" s="936"/>
      <c r="CH1150" s="15"/>
      <c r="CI1150" s="15"/>
      <c r="CJ1150" s="15"/>
      <c r="CK1150" s="1107"/>
      <c r="CL1150" s="22"/>
      <c r="CM1150" s="22"/>
      <c r="CN1150" s="1107"/>
      <c r="CR1150" s="223"/>
      <c r="CS1150" s="952"/>
      <c r="CT1150" s="1066"/>
      <c r="CU1150" s="972"/>
      <c r="CV1150" s="983"/>
      <c r="CW1150" s="222"/>
      <c r="CX1150" s="697"/>
      <c r="DC1150" s="222"/>
      <c r="DJ1150" s="889"/>
      <c r="DM1150" s="890"/>
      <c r="DN1150" s="952"/>
      <c r="DO1150" s="75"/>
      <c r="DP1150" s="962"/>
      <c r="DQ1150" s="983"/>
      <c r="DV1150" s="889"/>
    </row>
    <row r="1151" spans="1:126" s="74" customFormat="1">
      <c r="A1151" s="15"/>
      <c r="B1151" s="15"/>
      <c r="C1151" s="15"/>
      <c r="D1151" s="15"/>
      <c r="E1151" s="6"/>
      <c r="F1151" s="6"/>
      <c r="G1151" s="6"/>
      <c r="K1151" s="222"/>
      <c r="V1151" s="1430"/>
      <c r="AA1151" s="223"/>
      <c r="AC1151" s="889"/>
      <c r="AF1151" s="890"/>
      <c r="AJ1151" s="889"/>
      <c r="AN1151" s="222"/>
      <c r="BC1151" s="223"/>
      <c r="BD1151" s="222"/>
      <c r="BH1151" s="611"/>
      <c r="BJ1151" s="15"/>
      <c r="BK1151" s="15"/>
      <c r="BO1151" s="223"/>
      <c r="BQ1151" s="889"/>
      <c r="BT1151" s="890"/>
      <c r="BX1151" s="889"/>
      <c r="CB1151" s="15"/>
      <c r="CC1151" s="697"/>
      <c r="CD1151" s="1086"/>
      <c r="CE1151" s="15"/>
      <c r="CF1151" s="15"/>
      <c r="CG1151" s="936"/>
      <c r="CH1151" s="15"/>
      <c r="CI1151" s="15"/>
      <c r="CJ1151" s="15"/>
      <c r="CK1151" s="1107"/>
      <c r="CL1151" s="22"/>
      <c r="CM1151" s="22"/>
      <c r="CN1151" s="1107"/>
      <c r="CR1151" s="223"/>
      <c r="CS1151" s="952"/>
      <c r="CT1151" s="1066"/>
      <c r="CU1151" s="972"/>
      <c r="CV1151" s="983"/>
      <c r="CW1151" s="222"/>
      <c r="CX1151" s="697"/>
      <c r="DC1151" s="222"/>
      <c r="DJ1151" s="889"/>
      <c r="DM1151" s="890"/>
      <c r="DN1151" s="952"/>
      <c r="DO1151" s="75"/>
      <c r="DP1151" s="962"/>
      <c r="DQ1151" s="983"/>
      <c r="DV1151" s="889"/>
    </row>
    <row r="1152" spans="1:126" s="74" customFormat="1">
      <c r="A1152" s="15"/>
      <c r="B1152" s="15"/>
      <c r="C1152" s="15"/>
      <c r="D1152" s="15"/>
      <c r="E1152" s="6"/>
      <c r="F1152" s="6"/>
      <c r="G1152" s="6"/>
      <c r="K1152" s="222"/>
      <c r="V1152" s="1430"/>
      <c r="AA1152" s="223"/>
      <c r="AC1152" s="889"/>
      <c r="AF1152" s="890"/>
      <c r="AJ1152" s="889"/>
      <c r="AN1152" s="222"/>
      <c r="BC1152" s="223"/>
      <c r="BD1152" s="222"/>
      <c r="BH1152" s="611"/>
      <c r="BJ1152" s="15"/>
      <c r="BK1152" s="15"/>
      <c r="BO1152" s="223"/>
      <c r="BQ1152" s="889"/>
      <c r="BT1152" s="890"/>
      <c r="BX1152" s="889"/>
      <c r="CB1152" s="15"/>
      <c r="CC1152" s="697"/>
      <c r="CD1152" s="1086"/>
      <c r="CE1152" s="15"/>
      <c r="CF1152" s="15"/>
      <c r="CG1152" s="936"/>
      <c r="CH1152" s="15"/>
      <c r="CI1152" s="15"/>
      <c r="CJ1152" s="15"/>
      <c r="CK1152" s="1107"/>
      <c r="CL1152" s="22"/>
      <c r="CM1152" s="22"/>
      <c r="CN1152" s="1107"/>
      <c r="CR1152" s="223"/>
      <c r="CS1152" s="952"/>
      <c r="CT1152" s="1066"/>
      <c r="CU1152" s="972"/>
      <c r="CV1152" s="983"/>
      <c r="CW1152" s="222"/>
      <c r="CX1152" s="697"/>
      <c r="DC1152" s="222"/>
      <c r="DJ1152" s="889"/>
      <c r="DM1152" s="890"/>
      <c r="DN1152" s="952"/>
      <c r="DO1152" s="75"/>
      <c r="DP1152" s="962"/>
      <c r="DQ1152" s="983"/>
      <c r="DV1152" s="889"/>
    </row>
    <row r="1153" spans="1:126" s="74" customFormat="1">
      <c r="A1153" s="15"/>
      <c r="B1153" s="15"/>
      <c r="C1153" s="15"/>
      <c r="D1153" s="15"/>
      <c r="E1153" s="6"/>
      <c r="F1153" s="6"/>
      <c r="G1153" s="6"/>
      <c r="K1153" s="222"/>
      <c r="V1153" s="1430"/>
      <c r="AA1153" s="223"/>
      <c r="AC1153" s="889"/>
      <c r="AF1153" s="890"/>
      <c r="AJ1153" s="889"/>
      <c r="AN1153" s="222"/>
      <c r="BC1153" s="223"/>
      <c r="BD1153" s="222"/>
      <c r="BH1153" s="611"/>
      <c r="BJ1153" s="15"/>
      <c r="BK1153" s="15"/>
      <c r="BO1153" s="223"/>
      <c r="BQ1153" s="889"/>
      <c r="BT1153" s="890"/>
      <c r="BX1153" s="889"/>
      <c r="CB1153" s="15"/>
      <c r="CC1153" s="697"/>
      <c r="CD1153" s="1086"/>
      <c r="CE1153" s="15"/>
      <c r="CF1153" s="15"/>
      <c r="CG1153" s="936"/>
      <c r="CH1153" s="15"/>
      <c r="CI1153" s="15"/>
      <c r="CJ1153" s="15"/>
      <c r="CK1153" s="1107"/>
      <c r="CL1153" s="22"/>
      <c r="CM1153" s="22"/>
      <c r="CN1153" s="1107"/>
      <c r="CR1153" s="223"/>
      <c r="CS1153" s="952"/>
      <c r="CT1153" s="1066"/>
      <c r="CU1153" s="972"/>
      <c r="CV1153" s="983"/>
      <c r="CW1153" s="222"/>
      <c r="CX1153" s="697"/>
      <c r="DC1153" s="222"/>
      <c r="DJ1153" s="889"/>
      <c r="DM1153" s="890"/>
      <c r="DN1153" s="952"/>
      <c r="DO1153" s="75"/>
      <c r="DP1153" s="962"/>
      <c r="DQ1153" s="983"/>
      <c r="DV1153" s="889"/>
    </row>
    <row r="1154" spans="1:126" s="74" customFormat="1">
      <c r="A1154" s="15"/>
      <c r="B1154" s="15"/>
      <c r="C1154" s="15"/>
      <c r="D1154" s="15"/>
      <c r="E1154" s="6"/>
      <c r="F1154" s="6"/>
      <c r="G1154" s="6"/>
      <c r="K1154" s="222"/>
      <c r="V1154" s="1430"/>
      <c r="AA1154" s="223"/>
      <c r="AC1154" s="889"/>
      <c r="AF1154" s="890"/>
      <c r="AJ1154" s="889"/>
      <c r="AN1154" s="222"/>
      <c r="BC1154" s="223"/>
      <c r="BD1154" s="222"/>
      <c r="BH1154" s="611"/>
      <c r="BJ1154" s="15"/>
      <c r="BK1154" s="15"/>
      <c r="BO1154" s="223"/>
      <c r="BQ1154" s="889"/>
      <c r="BT1154" s="890"/>
      <c r="BX1154" s="889"/>
      <c r="CB1154" s="15"/>
      <c r="CC1154" s="697"/>
      <c r="CD1154" s="1086"/>
      <c r="CE1154" s="15"/>
      <c r="CF1154" s="15"/>
      <c r="CG1154" s="936"/>
      <c r="CH1154" s="15"/>
      <c r="CI1154" s="15"/>
      <c r="CJ1154" s="15"/>
      <c r="CK1154" s="1107"/>
      <c r="CL1154" s="22"/>
      <c r="CM1154" s="22"/>
      <c r="CN1154" s="1107"/>
      <c r="CR1154" s="223"/>
      <c r="CS1154" s="952"/>
      <c r="CT1154" s="1066"/>
      <c r="CU1154" s="972"/>
      <c r="CV1154" s="983"/>
      <c r="CW1154" s="222"/>
      <c r="CX1154" s="697"/>
      <c r="DC1154" s="222"/>
      <c r="DJ1154" s="889"/>
      <c r="DM1154" s="890"/>
      <c r="DN1154" s="952"/>
      <c r="DO1154" s="75"/>
      <c r="DP1154" s="962"/>
      <c r="DQ1154" s="983"/>
      <c r="DV1154" s="889"/>
    </row>
    <row r="1155" spans="1:126" s="74" customFormat="1">
      <c r="A1155" s="15"/>
      <c r="B1155" s="15"/>
      <c r="C1155" s="15"/>
      <c r="D1155" s="15"/>
      <c r="E1155" s="6"/>
      <c r="F1155" s="6"/>
      <c r="G1155" s="6"/>
      <c r="K1155" s="222"/>
      <c r="V1155" s="1430"/>
      <c r="AA1155" s="223"/>
      <c r="AC1155" s="889"/>
      <c r="AF1155" s="890"/>
      <c r="AJ1155" s="889"/>
      <c r="AN1155" s="222"/>
      <c r="BC1155" s="223"/>
      <c r="BD1155" s="222"/>
      <c r="BH1155" s="611"/>
      <c r="BJ1155" s="15"/>
      <c r="BK1155" s="15"/>
      <c r="BO1155" s="223"/>
      <c r="BQ1155" s="889"/>
      <c r="BT1155" s="890"/>
      <c r="BX1155" s="889"/>
      <c r="CB1155" s="15"/>
      <c r="CC1155" s="697"/>
      <c r="CD1155" s="1086"/>
      <c r="CE1155" s="15"/>
      <c r="CF1155" s="15"/>
      <c r="CG1155" s="936"/>
      <c r="CH1155" s="15"/>
      <c r="CI1155" s="15"/>
      <c r="CJ1155" s="15"/>
      <c r="CK1155" s="1107"/>
      <c r="CL1155" s="22"/>
      <c r="CM1155" s="22"/>
      <c r="CN1155" s="1107"/>
      <c r="CR1155" s="223"/>
      <c r="CS1155" s="952"/>
      <c r="CT1155" s="1066"/>
      <c r="CU1155" s="972"/>
      <c r="CV1155" s="983"/>
      <c r="CW1155" s="222"/>
      <c r="CX1155" s="697"/>
      <c r="DC1155" s="222"/>
      <c r="DJ1155" s="889"/>
      <c r="DM1155" s="890"/>
      <c r="DN1155" s="952"/>
      <c r="DO1155" s="75"/>
      <c r="DP1155" s="962"/>
      <c r="DQ1155" s="983"/>
      <c r="DV1155" s="889"/>
    </row>
    <row r="1156" spans="1:126" s="74" customFormat="1">
      <c r="A1156" s="15"/>
      <c r="B1156" s="15"/>
      <c r="C1156" s="15"/>
      <c r="D1156" s="15"/>
      <c r="E1156" s="6"/>
      <c r="F1156" s="6"/>
      <c r="G1156" s="6"/>
      <c r="K1156" s="222"/>
      <c r="V1156" s="1430"/>
      <c r="AA1156" s="223"/>
      <c r="AC1156" s="889"/>
      <c r="AF1156" s="890"/>
      <c r="AJ1156" s="889"/>
      <c r="AN1156" s="222"/>
      <c r="BC1156" s="223"/>
      <c r="BD1156" s="222"/>
      <c r="BH1156" s="611"/>
      <c r="BJ1156" s="15"/>
      <c r="BK1156" s="15"/>
      <c r="BO1156" s="223"/>
      <c r="BQ1156" s="889"/>
      <c r="BT1156" s="890"/>
      <c r="BX1156" s="889"/>
      <c r="CB1156" s="15"/>
      <c r="CC1156" s="697"/>
      <c r="CD1156" s="1086"/>
      <c r="CE1156" s="15"/>
      <c r="CF1156" s="15"/>
      <c r="CG1156" s="936"/>
      <c r="CH1156" s="15"/>
      <c r="CI1156" s="15"/>
      <c r="CJ1156" s="15"/>
      <c r="CK1156" s="1107"/>
      <c r="CL1156" s="22"/>
      <c r="CM1156" s="22"/>
      <c r="CN1156" s="1107"/>
      <c r="CR1156" s="223"/>
      <c r="CS1156" s="952"/>
      <c r="CT1156" s="1066"/>
      <c r="CU1156" s="972"/>
      <c r="CV1156" s="983"/>
      <c r="CW1156" s="222"/>
      <c r="CX1156" s="697"/>
      <c r="DC1156" s="222"/>
      <c r="DJ1156" s="889"/>
      <c r="DM1156" s="890"/>
      <c r="DN1156" s="952"/>
      <c r="DO1156" s="75"/>
      <c r="DP1156" s="962"/>
      <c r="DQ1156" s="983"/>
      <c r="DV1156" s="889"/>
    </row>
    <row r="1157" spans="1:126" s="74" customFormat="1">
      <c r="A1157" s="15"/>
      <c r="B1157" s="15"/>
      <c r="C1157" s="15"/>
      <c r="D1157" s="15"/>
      <c r="E1157" s="6"/>
      <c r="F1157" s="6"/>
      <c r="G1157" s="6"/>
      <c r="K1157" s="222"/>
      <c r="V1157" s="1430"/>
      <c r="AA1157" s="223"/>
      <c r="AC1157" s="889"/>
      <c r="AF1157" s="890"/>
      <c r="AJ1157" s="889"/>
      <c r="AN1157" s="222"/>
      <c r="BC1157" s="223"/>
      <c r="BD1157" s="222"/>
      <c r="BH1157" s="611"/>
      <c r="BJ1157" s="15"/>
      <c r="BK1157" s="15"/>
      <c r="BO1157" s="223"/>
      <c r="BQ1157" s="889"/>
      <c r="BT1157" s="890"/>
      <c r="BX1157" s="889"/>
      <c r="CB1157" s="15"/>
      <c r="CC1157" s="697"/>
      <c r="CD1157" s="1086"/>
      <c r="CE1157" s="15"/>
      <c r="CF1157" s="15"/>
      <c r="CG1157" s="936"/>
      <c r="CH1157" s="15"/>
      <c r="CI1157" s="15"/>
      <c r="CJ1157" s="15"/>
      <c r="CK1157" s="1107"/>
      <c r="CL1157" s="22"/>
      <c r="CM1157" s="22"/>
      <c r="CN1157" s="1107"/>
      <c r="CR1157" s="223"/>
      <c r="CS1157" s="952"/>
      <c r="CT1157" s="1066"/>
      <c r="CU1157" s="972"/>
      <c r="CV1157" s="983"/>
      <c r="CW1157" s="222"/>
      <c r="CX1157" s="697"/>
      <c r="DC1157" s="222"/>
      <c r="DJ1157" s="889"/>
      <c r="DM1157" s="890"/>
      <c r="DN1157" s="952"/>
      <c r="DO1157" s="75"/>
      <c r="DP1157" s="962"/>
      <c r="DQ1157" s="983"/>
      <c r="DV1157" s="889"/>
    </row>
    <row r="1158" spans="1:126" s="74" customFormat="1">
      <c r="A1158" s="15"/>
      <c r="B1158" s="15"/>
      <c r="C1158" s="15"/>
      <c r="D1158" s="15"/>
      <c r="E1158" s="6"/>
      <c r="F1158" s="6"/>
      <c r="G1158" s="6"/>
      <c r="K1158" s="222"/>
      <c r="V1158" s="1430"/>
      <c r="AA1158" s="223"/>
      <c r="AC1158" s="889"/>
      <c r="AF1158" s="890"/>
      <c r="AJ1158" s="889"/>
      <c r="AN1158" s="222"/>
      <c r="BC1158" s="223"/>
      <c r="BD1158" s="222"/>
      <c r="BH1158" s="611"/>
      <c r="BJ1158" s="15"/>
      <c r="BK1158" s="15"/>
      <c r="BO1158" s="223"/>
      <c r="BQ1158" s="889"/>
      <c r="BT1158" s="890"/>
      <c r="BX1158" s="889"/>
      <c r="CB1158" s="15"/>
      <c r="CC1158" s="697"/>
      <c r="CD1158" s="1086"/>
      <c r="CE1158" s="15"/>
      <c r="CF1158" s="15"/>
      <c r="CG1158" s="936"/>
      <c r="CH1158" s="15"/>
      <c r="CI1158" s="15"/>
      <c r="CJ1158" s="15"/>
      <c r="CK1158" s="1107"/>
      <c r="CL1158" s="22"/>
      <c r="CM1158" s="22"/>
      <c r="CN1158" s="1107"/>
      <c r="CR1158" s="223"/>
      <c r="CS1158" s="952"/>
      <c r="CT1158" s="1066"/>
      <c r="CU1158" s="972"/>
      <c r="CV1158" s="983"/>
      <c r="CW1158" s="222"/>
      <c r="CX1158" s="697"/>
      <c r="DC1158" s="222"/>
      <c r="DJ1158" s="889"/>
      <c r="DM1158" s="890"/>
      <c r="DN1158" s="952"/>
      <c r="DO1158" s="75"/>
      <c r="DP1158" s="962"/>
      <c r="DQ1158" s="983"/>
      <c r="DV1158" s="889"/>
    </row>
    <row r="1159" spans="1:126" s="74" customFormat="1">
      <c r="A1159" s="15"/>
      <c r="B1159" s="15"/>
      <c r="C1159" s="15"/>
      <c r="D1159" s="15"/>
      <c r="E1159" s="6"/>
      <c r="F1159" s="6"/>
      <c r="G1159" s="6"/>
      <c r="K1159" s="222"/>
      <c r="V1159" s="1430"/>
      <c r="AA1159" s="223"/>
      <c r="AC1159" s="889"/>
      <c r="AF1159" s="890"/>
      <c r="AJ1159" s="889"/>
      <c r="AN1159" s="222"/>
      <c r="BC1159" s="223"/>
      <c r="BD1159" s="222"/>
      <c r="BH1159" s="611"/>
      <c r="BJ1159" s="15"/>
      <c r="BK1159" s="15"/>
      <c r="BO1159" s="223"/>
      <c r="BQ1159" s="889"/>
      <c r="BT1159" s="890"/>
      <c r="BX1159" s="889"/>
      <c r="CB1159" s="15"/>
      <c r="CC1159" s="697"/>
      <c r="CD1159" s="1086"/>
      <c r="CE1159" s="15"/>
      <c r="CF1159" s="15"/>
      <c r="CG1159" s="936"/>
      <c r="CH1159" s="15"/>
      <c r="CI1159" s="15"/>
      <c r="CJ1159" s="15"/>
      <c r="CK1159" s="1107"/>
      <c r="CL1159" s="22"/>
      <c r="CM1159" s="22"/>
      <c r="CN1159" s="1107"/>
      <c r="CR1159" s="223"/>
      <c r="CS1159" s="952"/>
      <c r="CT1159" s="1066"/>
      <c r="CU1159" s="972"/>
      <c r="CV1159" s="983"/>
      <c r="CW1159" s="222"/>
      <c r="CX1159" s="697"/>
      <c r="DC1159" s="222"/>
      <c r="DJ1159" s="889"/>
      <c r="DM1159" s="890"/>
      <c r="DN1159" s="952"/>
      <c r="DO1159" s="75"/>
      <c r="DP1159" s="962"/>
      <c r="DQ1159" s="983"/>
      <c r="DV1159" s="889"/>
    </row>
    <row r="1160" spans="1:126" s="74" customFormat="1">
      <c r="A1160" s="15"/>
      <c r="B1160" s="15"/>
      <c r="C1160" s="15"/>
      <c r="D1160" s="15"/>
      <c r="E1160" s="6"/>
      <c r="F1160" s="6"/>
      <c r="G1160" s="6"/>
      <c r="K1160" s="222"/>
      <c r="V1160" s="1430"/>
      <c r="AA1160" s="223"/>
      <c r="AC1160" s="889"/>
      <c r="AF1160" s="890"/>
      <c r="AJ1160" s="889"/>
      <c r="AN1160" s="222"/>
      <c r="BC1160" s="223"/>
      <c r="BD1160" s="222"/>
      <c r="BH1160" s="611"/>
      <c r="BJ1160" s="15"/>
      <c r="BK1160" s="15"/>
      <c r="BO1160" s="223"/>
      <c r="BQ1160" s="889"/>
      <c r="BT1160" s="890"/>
      <c r="BX1160" s="889"/>
      <c r="CB1160" s="15"/>
      <c r="CC1160" s="697"/>
      <c r="CD1160" s="1086"/>
      <c r="CE1160" s="15"/>
      <c r="CF1160" s="15"/>
      <c r="CG1160" s="936"/>
      <c r="CH1160" s="15"/>
      <c r="CI1160" s="15"/>
      <c r="CJ1160" s="15"/>
      <c r="CK1160" s="1107"/>
      <c r="CL1160" s="22"/>
      <c r="CM1160" s="22"/>
      <c r="CN1160" s="1107"/>
      <c r="CR1160" s="223"/>
      <c r="CS1160" s="952"/>
      <c r="CT1160" s="1066"/>
      <c r="CU1160" s="972"/>
      <c r="CV1160" s="983"/>
      <c r="CW1160" s="222"/>
      <c r="CX1160" s="697"/>
      <c r="DC1160" s="222"/>
      <c r="DJ1160" s="889"/>
      <c r="DM1160" s="890"/>
      <c r="DN1160" s="952"/>
      <c r="DO1160" s="75"/>
      <c r="DP1160" s="962"/>
      <c r="DQ1160" s="983"/>
      <c r="DV1160" s="889"/>
    </row>
    <row r="1161" spans="1:126" s="74" customFormat="1">
      <c r="A1161" s="15"/>
      <c r="B1161" s="15"/>
      <c r="C1161" s="15"/>
      <c r="D1161" s="15"/>
      <c r="E1161" s="6"/>
      <c r="F1161" s="6"/>
      <c r="G1161" s="6"/>
      <c r="K1161" s="222"/>
      <c r="V1161" s="1430"/>
      <c r="AA1161" s="223"/>
      <c r="AC1161" s="889"/>
      <c r="AF1161" s="890"/>
      <c r="AJ1161" s="889"/>
      <c r="AN1161" s="222"/>
      <c r="BC1161" s="223"/>
      <c r="BD1161" s="222"/>
      <c r="BH1161" s="611"/>
      <c r="BJ1161" s="15"/>
      <c r="BK1161" s="15"/>
      <c r="BO1161" s="223"/>
      <c r="BQ1161" s="889"/>
      <c r="BT1161" s="890"/>
      <c r="BX1161" s="889"/>
      <c r="CB1161" s="15"/>
      <c r="CC1161" s="697"/>
      <c r="CD1161" s="1086"/>
      <c r="CE1161" s="15"/>
      <c r="CF1161" s="15"/>
      <c r="CG1161" s="936"/>
      <c r="CH1161" s="15"/>
      <c r="CI1161" s="15"/>
      <c r="CJ1161" s="15"/>
      <c r="CK1161" s="1107"/>
      <c r="CL1161" s="22"/>
      <c r="CM1161" s="22"/>
      <c r="CN1161" s="1107"/>
      <c r="CR1161" s="223"/>
      <c r="CS1161" s="952"/>
      <c r="CT1161" s="1066"/>
      <c r="CU1161" s="972"/>
      <c r="CV1161" s="983"/>
      <c r="CW1161" s="222"/>
      <c r="CX1161" s="697"/>
      <c r="DC1161" s="222"/>
      <c r="DJ1161" s="889"/>
      <c r="DM1161" s="890"/>
      <c r="DN1161" s="952"/>
      <c r="DO1161" s="75"/>
      <c r="DP1161" s="962"/>
      <c r="DQ1161" s="983"/>
      <c r="DV1161" s="889"/>
    </row>
    <row r="1162" spans="1:126" s="74" customFormat="1">
      <c r="A1162" s="15"/>
      <c r="B1162" s="15"/>
      <c r="C1162" s="15"/>
      <c r="D1162" s="15"/>
      <c r="E1162" s="6"/>
      <c r="F1162" s="6"/>
      <c r="G1162" s="6"/>
      <c r="K1162" s="222"/>
      <c r="V1162" s="1430"/>
      <c r="AA1162" s="223"/>
      <c r="AC1162" s="889"/>
      <c r="AF1162" s="890"/>
      <c r="AJ1162" s="889"/>
      <c r="AN1162" s="222"/>
      <c r="BC1162" s="223"/>
      <c r="BD1162" s="222"/>
      <c r="BH1162" s="611"/>
      <c r="BJ1162" s="15"/>
      <c r="BK1162" s="15"/>
      <c r="BO1162" s="223"/>
      <c r="BQ1162" s="889"/>
      <c r="BT1162" s="890"/>
      <c r="BX1162" s="889"/>
      <c r="CB1162" s="15"/>
      <c r="CC1162" s="697"/>
      <c r="CD1162" s="1086"/>
      <c r="CE1162" s="15"/>
      <c r="CF1162" s="15"/>
      <c r="CG1162" s="936"/>
      <c r="CH1162" s="15"/>
      <c r="CI1162" s="15"/>
      <c r="CJ1162" s="15"/>
      <c r="CK1162" s="1107"/>
      <c r="CL1162" s="22"/>
      <c r="CM1162" s="22"/>
      <c r="CN1162" s="1107"/>
      <c r="CR1162" s="223"/>
      <c r="CS1162" s="952"/>
      <c r="CT1162" s="1066"/>
      <c r="CU1162" s="972"/>
      <c r="CV1162" s="983"/>
      <c r="CW1162" s="222"/>
      <c r="CX1162" s="697"/>
      <c r="DC1162" s="222"/>
      <c r="DJ1162" s="889"/>
      <c r="DM1162" s="890"/>
      <c r="DN1162" s="952"/>
      <c r="DO1162" s="75"/>
      <c r="DP1162" s="962"/>
      <c r="DQ1162" s="983"/>
      <c r="DV1162" s="889"/>
    </row>
    <row r="1163" spans="1:126" s="74" customFormat="1">
      <c r="A1163" s="15"/>
      <c r="B1163" s="15"/>
      <c r="C1163" s="15"/>
      <c r="D1163" s="15"/>
      <c r="E1163" s="6"/>
      <c r="F1163" s="6"/>
      <c r="G1163" s="6"/>
      <c r="K1163" s="222"/>
      <c r="V1163" s="1430"/>
      <c r="AA1163" s="223"/>
      <c r="AC1163" s="889"/>
      <c r="AF1163" s="890"/>
      <c r="AJ1163" s="889"/>
      <c r="AN1163" s="222"/>
      <c r="BC1163" s="223"/>
      <c r="BD1163" s="222"/>
      <c r="BH1163" s="611"/>
      <c r="BJ1163" s="15"/>
      <c r="BK1163" s="15"/>
      <c r="BO1163" s="223"/>
      <c r="BQ1163" s="889"/>
      <c r="BT1163" s="890"/>
      <c r="BX1163" s="889"/>
      <c r="CB1163" s="15"/>
      <c r="CC1163" s="697"/>
      <c r="CD1163" s="1086"/>
      <c r="CE1163" s="15"/>
      <c r="CF1163" s="15"/>
      <c r="CG1163" s="936"/>
      <c r="CH1163" s="15"/>
      <c r="CI1163" s="15"/>
      <c r="CJ1163" s="15"/>
      <c r="CK1163" s="1107"/>
      <c r="CL1163" s="22"/>
      <c r="CM1163" s="22"/>
      <c r="CN1163" s="1107"/>
      <c r="CR1163" s="223"/>
      <c r="CS1163" s="952"/>
      <c r="CT1163" s="1066"/>
      <c r="CU1163" s="972"/>
      <c r="CV1163" s="983"/>
      <c r="CW1163" s="222"/>
      <c r="CX1163" s="697"/>
      <c r="DC1163" s="222"/>
      <c r="DJ1163" s="889"/>
      <c r="DM1163" s="890"/>
      <c r="DN1163" s="952"/>
      <c r="DO1163" s="75"/>
      <c r="DP1163" s="962"/>
      <c r="DQ1163" s="983"/>
      <c r="DV1163" s="889"/>
    </row>
    <row r="1164" spans="1:126" s="74" customFormat="1">
      <c r="A1164" s="15"/>
      <c r="B1164" s="15"/>
      <c r="C1164" s="15"/>
      <c r="D1164" s="15"/>
      <c r="E1164" s="6"/>
      <c r="F1164" s="6"/>
      <c r="G1164" s="6"/>
      <c r="K1164" s="222"/>
      <c r="V1164" s="1430"/>
      <c r="AA1164" s="223"/>
      <c r="AC1164" s="889"/>
      <c r="AF1164" s="890"/>
      <c r="AJ1164" s="889"/>
      <c r="AN1164" s="222"/>
      <c r="BC1164" s="223"/>
      <c r="BD1164" s="222"/>
      <c r="BH1164" s="611"/>
      <c r="BJ1164" s="15"/>
      <c r="BK1164" s="15"/>
      <c r="BO1164" s="223"/>
      <c r="BQ1164" s="889"/>
      <c r="BT1164" s="890"/>
      <c r="BX1164" s="889"/>
      <c r="CB1164" s="15"/>
      <c r="CC1164" s="697"/>
      <c r="CD1164" s="1086"/>
      <c r="CE1164" s="15"/>
      <c r="CF1164" s="15"/>
      <c r="CG1164" s="936"/>
      <c r="CH1164" s="15"/>
      <c r="CI1164" s="15"/>
      <c r="CJ1164" s="15"/>
      <c r="CK1164" s="1107"/>
      <c r="CL1164" s="22"/>
      <c r="CM1164" s="22"/>
      <c r="CN1164" s="1107"/>
      <c r="CR1164" s="223"/>
      <c r="CS1164" s="952"/>
      <c r="CT1164" s="1066"/>
      <c r="CU1164" s="972"/>
      <c r="CV1164" s="983"/>
      <c r="CW1164" s="222"/>
      <c r="CX1164" s="697"/>
      <c r="DC1164" s="222"/>
      <c r="DJ1164" s="889"/>
      <c r="DM1164" s="890"/>
      <c r="DN1164" s="952"/>
      <c r="DO1164" s="75"/>
      <c r="DP1164" s="962"/>
      <c r="DQ1164" s="983"/>
      <c r="DV1164" s="889"/>
    </row>
    <row r="1165" spans="1:126" s="74" customFormat="1">
      <c r="A1165" s="15"/>
      <c r="B1165" s="15"/>
      <c r="C1165" s="15"/>
      <c r="D1165" s="15"/>
      <c r="E1165" s="6"/>
      <c r="F1165" s="6"/>
      <c r="G1165" s="6"/>
      <c r="K1165" s="222"/>
      <c r="V1165" s="1430"/>
      <c r="AA1165" s="223"/>
      <c r="AC1165" s="889"/>
      <c r="AF1165" s="890"/>
      <c r="AJ1165" s="889"/>
      <c r="AN1165" s="222"/>
      <c r="BC1165" s="223"/>
      <c r="BD1165" s="222"/>
      <c r="BH1165" s="611"/>
      <c r="BJ1165" s="15"/>
      <c r="BK1165" s="15"/>
      <c r="BO1165" s="223"/>
      <c r="BQ1165" s="889"/>
      <c r="BT1165" s="890"/>
      <c r="BX1165" s="889"/>
      <c r="CB1165" s="15"/>
      <c r="CC1165" s="697"/>
      <c r="CD1165" s="1086"/>
      <c r="CE1165" s="15"/>
      <c r="CF1165" s="15"/>
      <c r="CG1165" s="936"/>
      <c r="CH1165" s="15"/>
      <c r="CI1165" s="15"/>
      <c r="CJ1165" s="15"/>
      <c r="CK1165" s="1107"/>
      <c r="CL1165" s="22"/>
      <c r="CM1165" s="22"/>
      <c r="CN1165" s="1107"/>
      <c r="CR1165" s="223"/>
      <c r="CS1165" s="952"/>
      <c r="CT1165" s="1066"/>
      <c r="CU1165" s="972"/>
      <c r="CV1165" s="983"/>
      <c r="CW1165" s="222"/>
      <c r="CX1165" s="697"/>
      <c r="DC1165" s="222"/>
      <c r="DJ1165" s="889"/>
      <c r="DM1165" s="890"/>
      <c r="DN1165" s="952"/>
      <c r="DO1165" s="75"/>
      <c r="DP1165" s="962"/>
      <c r="DQ1165" s="983"/>
      <c r="DV1165" s="889"/>
    </row>
    <row r="1166" spans="1:126" s="74" customFormat="1">
      <c r="A1166" s="15"/>
      <c r="B1166" s="15"/>
      <c r="C1166" s="15"/>
      <c r="D1166" s="15"/>
      <c r="E1166" s="6"/>
      <c r="F1166" s="6"/>
      <c r="G1166" s="6"/>
      <c r="K1166" s="222"/>
      <c r="V1166" s="1430"/>
      <c r="AA1166" s="223"/>
      <c r="AC1166" s="889"/>
      <c r="AF1166" s="890"/>
      <c r="AJ1166" s="889"/>
      <c r="AN1166" s="222"/>
      <c r="BC1166" s="223"/>
      <c r="BD1166" s="222"/>
      <c r="BH1166" s="611"/>
      <c r="BJ1166" s="15"/>
      <c r="BK1166" s="15"/>
      <c r="BO1166" s="223"/>
      <c r="BQ1166" s="889"/>
      <c r="BT1166" s="890"/>
      <c r="BX1166" s="889"/>
      <c r="CB1166" s="15"/>
      <c r="CC1166" s="697"/>
      <c r="CD1166" s="1086"/>
      <c r="CE1166" s="15"/>
      <c r="CF1166" s="15"/>
      <c r="CG1166" s="936"/>
      <c r="CH1166" s="15"/>
      <c r="CI1166" s="15"/>
      <c r="CJ1166" s="15"/>
      <c r="CK1166" s="1107"/>
      <c r="CL1166" s="22"/>
      <c r="CM1166" s="22"/>
      <c r="CN1166" s="1107"/>
      <c r="CR1166" s="223"/>
      <c r="CS1166" s="952"/>
      <c r="CT1166" s="1066"/>
      <c r="CU1166" s="972"/>
      <c r="CV1166" s="983"/>
      <c r="CW1166" s="222"/>
      <c r="CX1166" s="697"/>
      <c r="DC1166" s="222"/>
      <c r="DJ1166" s="889"/>
      <c r="DM1166" s="890"/>
      <c r="DN1166" s="952"/>
      <c r="DO1166" s="75"/>
      <c r="DP1166" s="962"/>
      <c r="DQ1166" s="983"/>
      <c r="DV1166" s="889"/>
    </row>
    <row r="1167" spans="1:126" s="74" customFormat="1">
      <c r="A1167" s="15"/>
      <c r="B1167" s="15"/>
      <c r="C1167" s="15"/>
      <c r="D1167" s="15"/>
      <c r="E1167" s="6"/>
      <c r="F1167" s="6"/>
      <c r="G1167" s="6"/>
      <c r="K1167" s="222"/>
      <c r="V1167" s="1430"/>
      <c r="AA1167" s="223"/>
      <c r="AC1167" s="889"/>
      <c r="AF1167" s="890"/>
      <c r="AJ1167" s="889"/>
      <c r="AN1167" s="222"/>
      <c r="BC1167" s="223"/>
      <c r="BD1167" s="222"/>
      <c r="BH1167" s="611"/>
      <c r="BJ1167" s="15"/>
      <c r="BK1167" s="15"/>
      <c r="BO1167" s="223"/>
      <c r="BQ1167" s="889"/>
      <c r="BT1167" s="890"/>
      <c r="BX1167" s="889"/>
      <c r="CB1167" s="15"/>
      <c r="CC1167" s="697"/>
      <c r="CD1167" s="1086"/>
      <c r="CE1167" s="15"/>
      <c r="CF1167" s="15"/>
      <c r="CG1167" s="936"/>
      <c r="CH1167" s="15"/>
      <c r="CI1167" s="15"/>
      <c r="CJ1167" s="15"/>
      <c r="CK1167" s="1107"/>
      <c r="CL1167" s="22"/>
      <c r="CM1167" s="22"/>
      <c r="CN1167" s="1107"/>
      <c r="CR1167" s="223"/>
      <c r="CS1167" s="952"/>
      <c r="CT1167" s="1066"/>
      <c r="CU1167" s="972"/>
      <c r="CV1167" s="983"/>
      <c r="CW1167" s="222"/>
      <c r="CX1167" s="697"/>
      <c r="DC1167" s="222"/>
      <c r="DJ1167" s="889"/>
      <c r="DM1167" s="890"/>
      <c r="DN1167" s="952"/>
      <c r="DO1167" s="75"/>
      <c r="DP1167" s="962"/>
      <c r="DQ1167" s="983"/>
      <c r="DV1167" s="889"/>
    </row>
    <row r="1168" spans="1:126" s="74" customFormat="1">
      <c r="A1168" s="15"/>
      <c r="B1168" s="15"/>
      <c r="C1168" s="15"/>
      <c r="D1168" s="15"/>
      <c r="E1168" s="6"/>
      <c r="F1168" s="6"/>
      <c r="G1168" s="6"/>
      <c r="K1168" s="222"/>
      <c r="V1168" s="1430"/>
      <c r="AA1168" s="223"/>
      <c r="AC1168" s="889"/>
      <c r="AF1168" s="890"/>
      <c r="AJ1168" s="889"/>
      <c r="AN1168" s="222"/>
      <c r="BC1168" s="223"/>
      <c r="BD1168" s="222"/>
      <c r="BH1168" s="611"/>
      <c r="BJ1168" s="15"/>
      <c r="BK1168" s="15"/>
      <c r="BO1168" s="223"/>
      <c r="BQ1168" s="889"/>
      <c r="BT1168" s="890"/>
      <c r="BX1168" s="889"/>
      <c r="CB1168" s="15"/>
      <c r="CC1168" s="697"/>
      <c r="CD1168" s="1086"/>
      <c r="CE1168" s="15"/>
      <c r="CF1168" s="15"/>
      <c r="CG1168" s="936"/>
      <c r="CH1168" s="15"/>
      <c r="CI1168" s="15"/>
      <c r="CJ1168" s="15"/>
      <c r="CK1168" s="1107"/>
      <c r="CL1168" s="22"/>
      <c r="CM1168" s="22"/>
      <c r="CN1168" s="1107"/>
      <c r="CR1168" s="223"/>
      <c r="CS1168" s="952"/>
      <c r="CT1168" s="1066"/>
      <c r="CU1168" s="972"/>
      <c r="CV1168" s="983"/>
      <c r="CW1168" s="222"/>
      <c r="CX1168" s="697"/>
      <c r="DC1168" s="222"/>
      <c r="DJ1168" s="889"/>
      <c r="DM1168" s="890"/>
      <c r="DN1168" s="952"/>
      <c r="DO1168" s="75"/>
      <c r="DP1168" s="962"/>
      <c r="DQ1168" s="983"/>
      <c r="DV1168" s="889"/>
    </row>
    <row r="1169" spans="1:126" s="74" customFormat="1">
      <c r="A1169" s="15"/>
      <c r="B1169" s="15"/>
      <c r="C1169" s="15"/>
      <c r="D1169" s="15"/>
      <c r="E1169" s="6"/>
      <c r="F1169" s="6"/>
      <c r="G1169" s="6"/>
      <c r="K1169" s="222"/>
      <c r="V1169" s="1430"/>
      <c r="AA1169" s="223"/>
      <c r="AC1169" s="889"/>
      <c r="AF1169" s="890"/>
      <c r="AJ1169" s="889"/>
      <c r="AN1169" s="222"/>
      <c r="BC1169" s="223"/>
      <c r="BD1169" s="222"/>
      <c r="BH1169" s="611"/>
      <c r="BJ1169" s="15"/>
      <c r="BK1169" s="15"/>
      <c r="BO1169" s="223"/>
      <c r="BQ1169" s="889"/>
      <c r="BT1169" s="890"/>
      <c r="BX1169" s="889"/>
      <c r="CB1169" s="15"/>
      <c r="CC1169" s="697"/>
      <c r="CD1169" s="1086"/>
      <c r="CE1169" s="15"/>
      <c r="CF1169" s="15"/>
      <c r="CG1169" s="936"/>
      <c r="CH1169" s="15"/>
      <c r="CI1169" s="15"/>
      <c r="CJ1169" s="15"/>
      <c r="CK1169" s="1107"/>
      <c r="CL1169" s="22"/>
      <c r="CM1169" s="22"/>
      <c r="CN1169" s="1107"/>
      <c r="CR1169" s="223"/>
      <c r="CS1169" s="952"/>
      <c r="CT1169" s="1066"/>
      <c r="CU1169" s="972"/>
      <c r="CV1169" s="983"/>
      <c r="CW1169" s="222"/>
      <c r="CX1169" s="697"/>
      <c r="DC1169" s="222"/>
      <c r="DJ1169" s="889"/>
      <c r="DM1169" s="890"/>
      <c r="DN1169" s="952"/>
      <c r="DO1169" s="75"/>
      <c r="DP1169" s="962"/>
      <c r="DQ1169" s="983"/>
      <c r="DV1169" s="889"/>
    </row>
    <row r="1170" spans="1:126" s="74" customFormat="1">
      <c r="A1170" s="15"/>
      <c r="B1170" s="15"/>
      <c r="C1170" s="15"/>
      <c r="D1170" s="15"/>
      <c r="E1170" s="6"/>
      <c r="F1170" s="6"/>
      <c r="G1170" s="6"/>
      <c r="K1170" s="222"/>
      <c r="V1170" s="1430"/>
      <c r="AA1170" s="223"/>
      <c r="AC1170" s="889"/>
      <c r="AF1170" s="890"/>
      <c r="AJ1170" s="889"/>
      <c r="AN1170" s="222"/>
      <c r="BC1170" s="223"/>
      <c r="BD1170" s="222"/>
      <c r="BH1170" s="611"/>
      <c r="BJ1170" s="15"/>
      <c r="BK1170" s="15"/>
      <c r="BO1170" s="223"/>
      <c r="BQ1170" s="889"/>
      <c r="BT1170" s="890"/>
      <c r="BX1170" s="889"/>
      <c r="CB1170" s="15"/>
      <c r="CC1170" s="697"/>
      <c r="CD1170" s="1086"/>
      <c r="CE1170" s="15"/>
      <c r="CF1170" s="15"/>
      <c r="CG1170" s="936"/>
      <c r="CH1170" s="15"/>
      <c r="CI1170" s="15"/>
      <c r="CJ1170" s="15"/>
      <c r="CK1170" s="1107"/>
      <c r="CL1170" s="22"/>
      <c r="CM1170" s="22"/>
      <c r="CN1170" s="1107"/>
      <c r="CR1170" s="223"/>
      <c r="CS1170" s="952"/>
      <c r="CT1170" s="1066"/>
      <c r="CU1170" s="972"/>
      <c r="CV1170" s="983"/>
      <c r="CW1170" s="222"/>
      <c r="CX1170" s="697"/>
      <c r="DC1170" s="222"/>
      <c r="DJ1170" s="889"/>
      <c r="DM1170" s="890"/>
      <c r="DN1170" s="952"/>
      <c r="DO1170" s="75"/>
      <c r="DP1170" s="962"/>
      <c r="DQ1170" s="983"/>
      <c r="DV1170" s="889"/>
    </row>
    <row r="1171" spans="1:126" s="74" customFormat="1">
      <c r="A1171" s="15"/>
      <c r="B1171" s="15"/>
      <c r="C1171" s="15"/>
      <c r="D1171" s="15"/>
      <c r="E1171" s="6"/>
      <c r="F1171" s="6"/>
      <c r="G1171" s="6"/>
      <c r="K1171" s="222"/>
      <c r="V1171" s="1430"/>
      <c r="AA1171" s="223"/>
      <c r="AC1171" s="889"/>
      <c r="AF1171" s="890"/>
      <c r="AJ1171" s="889"/>
      <c r="AN1171" s="222"/>
      <c r="BC1171" s="223"/>
      <c r="BD1171" s="222"/>
      <c r="BH1171" s="611"/>
      <c r="BJ1171" s="15"/>
      <c r="BK1171" s="15"/>
      <c r="BO1171" s="223"/>
      <c r="BQ1171" s="889"/>
      <c r="BT1171" s="890"/>
      <c r="BX1171" s="889"/>
      <c r="CB1171" s="15"/>
      <c r="CC1171" s="697"/>
      <c r="CD1171" s="1086"/>
      <c r="CE1171" s="15"/>
      <c r="CF1171" s="15"/>
      <c r="CG1171" s="936"/>
      <c r="CH1171" s="15"/>
      <c r="CI1171" s="15"/>
      <c r="CJ1171" s="15"/>
      <c r="CK1171" s="1107"/>
      <c r="CL1171" s="22"/>
      <c r="CM1171" s="22"/>
      <c r="CN1171" s="1107"/>
      <c r="CR1171" s="223"/>
      <c r="CS1171" s="952"/>
      <c r="CT1171" s="1066"/>
      <c r="CU1171" s="972"/>
      <c r="CV1171" s="983"/>
      <c r="CW1171" s="222"/>
      <c r="CX1171" s="697"/>
      <c r="DC1171" s="222"/>
      <c r="DJ1171" s="889"/>
      <c r="DM1171" s="890"/>
      <c r="DN1171" s="952"/>
      <c r="DO1171" s="75"/>
      <c r="DP1171" s="962"/>
      <c r="DQ1171" s="983"/>
      <c r="DV1171" s="889"/>
    </row>
    <row r="1172" spans="1:126" s="74" customFormat="1">
      <c r="A1172" s="15"/>
      <c r="B1172" s="15"/>
      <c r="C1172" s="15"/>
      <c r="D1172" s="15"/>
      <c r="E1172" s="6"/>
      <c r="F1172" s="6"/>
      <c r="G1172" s="6"/>
      <c r="K1172" s="222"/>
      <c r="V1172" s="1430"/>
      <c r="AA1172" s="223"/>
      <c r="AC1172" s="889"/>
      <c r="AF1172" s="890"/>
      <c r="AJ1172" s="889"/>
      <c r="AN1172" s="222"/>
      <c r="BC1172" s="223"/>
      <c r="BD1172" s="222"/>
      <c r="BH1172" s="611"/>
      <c r="BJ1172" s="15"/>
      <c r="BK1172" s="15"/>
      <c r="BO1172" s="223"/>
      <c r="BQ1172" s="889"/>
      <c r="BT1172" s="890"/>
      <c r="BX1172" s="889"/>
      <c r="CB1172" s="15"/>
      <c r="CC1172" s="697"/>
      <c r="CD1172" s="1086"/>
      <c r="CE1172" s="15"/>
      <c r="CF1172" s="15"/>
      <c r="CG1172" s="936"/>
      <c r="CH1172" s="15"/>
      <c r="CI1172" s="15"/>
      <c r="CJ1172" s="15"/>
      <c r="CK1172" s="1107"/>
      <c r="CL1172" s="22"/>
      <c r="CM1172" s="22"/>
      <c r="CN1172" s="1107"/>
      <c r="CR1172" s="223"/>
      <c r="CS1172" s="952"/>
      <c r="CT1172" s="1066"/>
      <c r="CU1172" s="972"/>
      <c r="CV1172" s="983"/>
      <c r="CW1172" s="222"/>
      <c r="CX1172" s="697"/>
      <c r="DC1172" s="222"/>
      <c r="DJ1172" s="889"/>
      <c r="DM1172" s="890"/>
      <c r="DN1172" s="952"/>
      <c r="DO1172" s="75"/>
      <c r="DP1172" s="962"/>
      <c r="DQ1172" s="983"/>
      <c r="DV1172" s="889"/>
    </row>
    <row r="1173" spans="1:126" s="74" customFormat="1">
      <c r="A1173" s="15"/>
      <c r="B1173" s="15"/>
      <c r="C1173" s="15"/>
      <c r="D1173" s="15"/>
      <c r="E1173" s="6"/>
      <c r="F1173" s="6"/>
      <c r="G1173" s="6"/>
      <c r="K1173" s="222"/>
      <c r="V1173" s="1430"/>
      <c r="AA1173" s="223"/>
      <c r="AC1173" s="889"/>
      <c r="AF1173" s="890"/>
      <c r="AJ1173" s="889"/>
      <c r="AN1173" s="222"/>
      <c r="BC1173" s="223"/>
      <c r="BD1173" s="222"/>
      <c r="BH1173" s="611"/>
      <c r="BJ1173" s="15"/>
      <c r="BK1173" s="15"/>
      <c r="BO1173" s="223"/>
      <c r="BQ1173" s="889"/>
      <c r="BT1173" s="890"/>
      <c r="BX1173" s="889"/>
      <c r="CB1173" s="15"/>
      <c r="CC1173" s="697"/>
      <c r="CD1173" s="1086"/>
      <c r="CE1173" s="15"/>
      <c r="CF1173" s="15"/>
      <c r="CG1173" s="936"/>
      <c r="CH1173" s="15"/>
      <c r="CI1173" s="15"/>
      <c r="CJ1173" s="15"/>
      <c r="CK1173" s="1107"/>
      <c r="CL1173" s="22"/>
      <c r="CM1173" s="22"/>
      <c r="CN1173" s="1107"/>
      <c r="CR1173" s="223"/>
      <c r="CS1173" s="952"/>
      <c r="CT1173" s="1066"/>
      <c r="CU1173" s="972"/>
      <c r="CV1173" s="983"/>
      <c r="CW1173" s="222"/>
      <c r="CX1173" s="697"/>
      <c r="DC1173" s="222"/>
      <c r="DJ1173" s="889"/>
      <c r="DM1173" s="890"/>
      <c r="DN1173" s="952"/>
      <c r="DO1173" s="75"/>
      <c r="DP1173" s="962"/>
      <c r="DQ1173" s="983"/>
      <c r="DV1173" s="889"/>
    </row>
    <row r="1174" spans="1:126" s="74" customFormat="1">
      <c r="A1174" s="15"/>
      <c r="B1174" s="15"/>
      <c r="C1174" s="15"/>
      <c r="D1174" s="15"/>
      <c r="E1174" s="6"/>
      <c r="F1174" s="6"/>
      <c r="G1174" s="6"/>
      <c r="K1174" s="222"/>
      <c r="V1174" s="1430"/>
      <c r="AA1174" s="223"/>
      <c r="AC1174" s="889"/>
      <c r="AF1174" s="890"/>
      <c r="AJ1174" s="889"/>
      <c r="AN1174" s="222"/>
      <c r="BC1174" s="223"/>
      <c r="BD1174" s="222"/>
      <c r="BH1174" s="611"/>
      <c r="BJ1174" s="15"/>
      <c r="BK1174" s="15"/>
      <c r="BO1174" s="223"/>
      <c r="BQ1174" s="889"/>
      <c r="BT1174" s="890"/>
      <c r="BX1174" s="889"/>
      <c r="CB1174" s="15"/>
      <c r="CC1174" s="697"/>
      <c r="CD1174" s="1086"/>
      <c r="CE1174" s="15"/>
      <c r="CF1174" s="15"/>
      <c r="CG1174" s="936"/>
      <c r="CH1174" s="15"/>
      <c r="CI1174" s="15"/>
      <c r="CJ1174" s="15"/>
      <c r="CK1174" s="1107"/>
      <c r="CL1174" s="22"/>
      <c r="CM1174" s="22"/>
      <c r="CN1174" s="1107"/>
      <c r="CR1174" s="223"/>
      <c r="CS1174" s="952"/>
      <c r="CT1174" s="1066"/>
      <c r="CU1174" s="972"/>
      <c r="CV1174" s="983"/>
      <c r="CW1174" s="222"/>
      <c r="CX1174" s="697"/>
      <c r="DC1174" s="222"/>
      <c r="DJ1174" s="889"/>
      <c r="DM1174" s="890"/>
      <c r="DN1174" s="952"/>
      <c r="DO1174" s="75"/>
      <c r="DP1174" s="962"/>
      <c r="DQ1174" s="983"/>
      <c r="DV1174" s="889"/>
    </row>
    <row r="1175" spans="1:126" s="74" customFormat="1">
      <c r="A1175" s="15"/>
      <c r="B1175" s="15"/>
      <c r="C1175" s="15"/>
      <c r="D1175" s="15"/>
      <c r="E1175" s="6"/>
      <c r="F1175" s="6"/>
      <c r="G1175" s="6"/>
      <c r="K1175" s="222"/>
      <c r="V1175" s="1430"/>
      <c r="AA1175" s="223"/>
      <c r="AC1175" s="889"/>
      <c r="AF1175" s="890"/>
      <c r="AJ1175" s="889"/>
      <c r="AN1175" s="222"/>
      <c r="BC1175" s="223"/>
      <c r="BD1175" s="222"/>
      <c r="BH1175" s="611"/>
      <c r="BJ1175" s="15"/>
      <c r="BK1175" s="15"/>
      <c r="BO1175" s="223"/>
      <c r="BQ1175" s="889"/>
      <c r="BT1175" s="890"/>
      <c r="BX1175" s="889"/>
      <c r="CB1175" s="15"/>
      <c r="CC1175" s="697"/>
      <c r="CD1175" s="1086"/>
      <c r="CE1175" s="15"/>
      <c r="CF1175" s="15"/>
      <c r="CG1175" s="936"/>
      <c r="CH1175" s="15"/>
      <c r="CI1175" s="15"/>
      <c r="CJ1175" s="15"/>
      <c r="CK1175" s="1107"/>
      <c r="CL1175" s="22"/>
      <c r="CM1175" s="22"/>
      <c r="CN1175" s="1107"/>
      <c r="CR1175" s="223"/>
      <c r="CS1175" s="952"/>
      <c r="CT1175" s="1066"/>
      <c r="CU1175" s="972"/>
      <c r="CV1175" s="983"/>
      <c r="CW1175" s="222"/>
      <c r="CX1175" s="697"/>
      <c r="DC1175" s="222"/>
      <c r="DJ1175" s="889"/>
      <c r="DM1175" s="890"/>
      <c r="DN1175" s="952"/>
      <c r="DO1175" s="75"/>
      <c r="DP1175" s="962"/>
      <c r="DQ1175" s="983"/>
      <c r="DV1175" s="889"/>
    </row>
    <row r="1176" spans="1:126" s="74" customFormat="1">
      <c r="A1176" s="15"/>
      <c r="B1176" s="15"/>
      <c r="C1176" s="15"/>
      <c r="D1176" s="15"/>
      <c r="E1176" s="6"/>
      <c r="F1176" s="6"/>
      <c r="G1176" s="6"/>
      <c r="K1176" s="222"/>
      <c r="V1176" s="1430"/>
      <c r="AA1176" s="223"/>
      <c r="AC1176" s="889"/>
      <c r="AF1176" s="890"/>
      <c r="AJ1176" s="889"/>
      <c r="AN1176" s="222"/>
      <c r="BC1176" s="223"/>
      <c r="BD1176" s="222"/>
      <c r="BH1176" s="611"/>
      <c r="BJ1176" s="15"/>
      <c r="BK1176" s="15"/>
      <c r="BO1176" s="223"/>
      <c r="BQ1176" s="889"/>
      <c r="BT1176" s="890"/>
      <c r="BX1176" s="889"/>
      <c r="CB1176" s="15"/>
      <c r="CC1176" s="697"/>
      <c r="CD1176" s="1086"/>
      <c r="CE1176" s="15"/>
      <c r="CF1176" s="15"/>
      <c r="CG1176" s="936"/>
      <c r="CH1176" s="15"/>
      <c r="CI1176" s="15"/>
      <c r="CJ1176" s="15"/>
      <c r="CK1176" s="1107"/>
      <c r="CL1176" s="22"/>
      <c r="CM1176" s="22"/>
      <c r="CN1176" s="1107"/>
      <c r="CR1176" s="223"/>
      <c r="CS1176" s="952"/>
      <c r="CT1176" s="1066"/>
      <c r="CU1176" s="972"/>
      <c r="CV1176" s="983"/>
      <c r="CW1176" s="222"/>
      <c r="CX1176" s="697"/>
      <c r="DC1176" s="222"/>
      <c r="DJ1176" s="889"/>
      <c r="DM1176" s="890"/>
      <c r="DN1176" s="952"/>
      <c r="DO1176" s="75"/>
      <c r="DP1176" s="962"/>
      <c r="DQ1176" s="983"/>
      <c r="DV1176" s="889"/>
    </row>
    <row r="1177" spans="1:126" s="74" customFormat="1">
      <c r="A1177" s="15"/>
      <c r="B1177" s="15"/>
      <c r="C1177" s="15"/>
      <c r="D1177" s="15"/>
      <c r="E1177" s="6"/>
      <c r="F1177" s="6"/>
      <c r="G1177" s="6"/>
      <c r="K1177" s="222"/>
      <c r="V1177" s="1430"/>
      <c r="AA1177" s="223"/>
      <c r="AC1177" s="889"/>
      <c r="AF1177" s="890"/>
      <c r="AJ1177" s="889"/>
      <c r="AN1177" s="222"/>
      <c r="BC1177" s="223"/>
      <c r="BD1177" s="222"/>
      <c r="BH1177" s="611"/>
      <c r="BJ1177" s="15"/>
      <c r="BK1177" s="15"/>
      <c r="BO1177" s="223"/>
      <c r="BQ1177" s="889"/>
      <c r="BT1177" s="890"/>
      <c r="BX1177" s="889"/>
      <c r="CB1177" s="15"/>
      <c r="CC1177" s="697"/>
      <c r="CD1177" s="1086"/>
      <c r="CE1177" s="15"/>
      <c r="CF1177" s="15"/>
      <c r="CG1177" s="936"/>
      <c r="CH1177" s="15"/>
      <c r="CI1177" s="15"/>
      <c r="CJ1177" s="15"/>
      <c r="CK1177" s="1107"/>
      <c r="CL1177" s="22"/>
      <c r="CM1177" s="22"/>
      <c r="CN1177" s="1107"/>
      <c r="CR1177" s="223"/>
      <c r="CS1177" s="952"/>
      <c r="CT1177" s="1066"/>
      <c r="CU1177" s="972"/>
      <c r="CV1177" s="983"/>
      <c r="CW1177" s="222"/>
      <c r="CX1177" s="697"/>
      <c r="DC1177" s="222"/>
      <c r="DJ1177" s="889"/>
      <c r="DM1177" s="890"/>
      <c r="DN1177" s="952"/>
      <c r="DO1177" s="75"/>
      <c r="DP1177" s="962"/>
      <c r="DQ1177" s="983"/>
      <c r="DV1177" s="889"/>
    </row>
    <row r="1178" spans="1:126" s="74" customFormat="1">
      <c r="A1178" s="15"/>
      <c r="B1178" s="15"/>
      <c r="C1178" s="15"/>
      <c r="D1178" s="15"/>
      <c r="E1178" s="6"/>
      <c r="F1178" s="6"/>
      <c r="G1178" s="6"/>
      <c r="K1178" s="222"/>
      <c r="V1178" s="1430"/>
      <c r="AA1178" s="223"/>
      <c r="AC1178" s="889"/>
      <c r="AF1178" s="890"/>
      <c r="AJ1178" s="889"/>
      <c r="AN1178" s="222"/>
      <c r="BC1178" s="223"/>
      <c r="BD1178" s="222"/>
      <c r="BH1178" s="611"/>
      <c r="BJ1178" s="15"/>
      <c r="BK1178" s="15"/>
      <c r="BO1178" s="223"/>
      <c r="BQ1178" s="889"/>
      <c r="BT1178" s="890"/>
      <c r="BX1178" s="889"/>
      <c r="CB1178" s="15"/>
      <c r="CC1178" s="697"/>
      <c r="CD1178" s="1086"/>
      <c r="CE1178" s="15"/>
      <c r="CF1178" s="15"/>
      <c r="CG1178" s="936"/>
      <c r="CH1178" s="15"/>
      <c r="CI1178" s="15"/>
      <c r="CJ1178" s="15"/>
      <c r="CK1178" s="1107"/>
      <c r="CL1178" s="22"/>
      <c r="CM1178" s="22"/>
      <c r="CN1178" s="1107"/>
      <c r="CR1178" s="223"/>
      <c r="CS1178" s="952"/>
      <c r="CT1178" s="1066"/>
      <c r="CU1178" s="972"/>
      <c r="CV1178" s="983"/>
      <c r="CW1178" s="222"/>
      <c r="CX1178" s="697"/>
      <c r="DC1178" s="222"/>
      <c r="DJ1178" s="889"/>
      <c r="DM1178" s="890"/>
      <c r="DN1178" s="952"/>
      <c r="DO1178" s="75"/>
      <c r="DP1178" s="962"/>
      <c r="DQ1178" s="983"/>
      <c r="DV1178" s="889"/>
    </row>
    <row r="1179" spans="1:126" s="74" customFormat="1">
      <c r="A1179" s="15"/>
      <c r="B1179" s="15"/>
      <c r="C1179" s="15"/>
      <c r="D1179" s="15"/>
      <c r="E1179" s="6"/>
      <c r="F1179" s="6"/>
      <c r="G1179" s="6"/>
      <c r="K1179" s="222"/>
      <c r="V1179" s="1430"/>
      <c r="AA1179" s="223"/>
      <c r="AC1179" s="889"/>
      <c r="AF1179" s="890"/>
      <c r="AJ1179" s="889"/>
      <c r="AN1179" s="222"/>
      <c r="BC1179" s="223"/>
      <c r="BD1179" s="222"/>
      <c r="BH1179" s="611"/>
      <c r="BJ1179" s="15"/>
      <c r="BK1179" s="15"/>
      <c r="BO1179" s="223"/>
      <c r="BQ1179" s="889"/>
      <c r="BT1179" s="890"/>
      <c r="BX1179" s="889"/>
      <c r="CB1179" s="15"/>
      <c r="CC1179" s="697"/>
      <c r="CD1179" s="1086"/>
      <c r="CE1179" s="15"/>
      <c r="CF1179" s="15"/>
      <c r="CG1179" s="936"/>
      <c r="CH1179" s="15"/>
      <c r="CI1179" s="15"/>
      <c r="CJ1179" s="15"/>
      <c r="CK1179" s="1107"/>
      <c r="CL1179" s="22"/>
      <c r="CM1179" s="22"/>
      <c r="CN1179" s="1107"/>
      <c r="CR1179" s="223"/>
      <c r="CS1179" s="952"/>
      <c r="CT1179" s="1066"/>
      <c r="CU1179" s="972"/>
      <c r="CV1179" s="983"/>
      <c r="CW1179" s="222"/>
      <c r="CX1179" s="697"/>
      <c r="DC1179" s="222"/>
      <c r="DJ1179" s="889"/>
      <c r="DM1179" s="890"/>
      <c r="DN1179" s="952"/>
      <c r="DO1179" s="75"/>
      <c r="DP1179" s="962"/>
      <c r="DQ1179" s="983"/>
      <c r="DV1179" s="889"/>
    </row>
    <row r="1180" spans="1:126" s="74" customFormat="1">
      <c r="A1180" s="15"/>
      <c r="B1180" s="15"/>
      <c r="C1180" s="15"/>
      <c r="D1180" s="15"/>
      <c r="E1180" s="6"/>
      <c r="F1180" s="6"/>
      <c r="G1180" s="6"/>
      <c r="K1180" s="222"/>
      <c r="V1180" s="1430"/>
      <c r="AA1180" s="223"/>
      <c r="AC1180" s="889"/>
      <c r="AF1180" s="890"/>
      <c r="AJ1180" s="889"/>
      <c r="AN1180" s="222"/>
      <c r="BC1180" s="223"/>
      <c r="BD1180" s="222"/>
      <c r="BH1180" s="611"/>
      <c r="BJ1180" s="15"/>
      <c r="BK1180" s="15"/>
      <c r="BO1180" s="223"/>
      <c r="BQ1180" s="889"/>
      <c r="BT1180" s="890"/>
      <c r="BX1180" s="889"/>
      <c r="CB1180" s="15"/>
      <c r="CC1180" s="697"/>
      <c r="CD1180" s="1086"/>
      <c r="CE1180" s="15"/>
      <c r="CF1180" s="15"/>
      <c r="CG1180" s="936"/>
      <c r="CH1180" s="15"/>
      <c r="CI1180" s="15"/>
      <c r="CJ1180" s="15"/>
      <c r="CK1180" s="1107"/>
      <c r="CL1180" s="22"/>
      <c r="CM1180" s="22"/>
      <c r="CN1180" s="1107"/>
      <c r="CR1180" s="223"/>
      <c r="CS1180" s="952"/>
      <c r="CT1180" s="1066"/>
      <c r="CU1180" s="972"/>
      <c r="CV1180" s="983"/>
      <c r="CW1180" s="222"/>
      <c r="CX1180" s="697"/>
      <c r="DC1180" s="222"/>
      <c r="DJ1180" s="889"/>
      <c r="DM1180" s="890"/>
      <c r="DN1180" s="952"/>
      <c r="DO1180" s="75"/>
      <c r="DP1180" s="962"/>
      <c r="DQ1180" s="983"/>
      <c r="DV1180" s="889"/>
    </row>
    <row r="1181" spans="1:126" s="74" customFormat="1">
      <c r="A1181" s="15"/>
      <c r="B1181" s="15"/>
      <c r="C1181" s="15"/>
      <c r="D1181" s="15"/>
      <c r="E1181" s="6"/>
      <c r="F1181" s="6"/>
      <c r="G1181" s="6"/>
      <c r="K1181" s="222"/>
      <c r="V1181" s="1430"/>
      <c r="AA1181" s="223"/>
      <c r="AC1181" s="889"/>
      <c r="AF1181" s="890"/>
      <c r="AJ1181" s="889"/>
      <c r="AN1181" s="222"/>
      <c r="BC1181" s="223"/>
      <c r="BD1181" s="222"/>
      <c r="BH1181" s="611"/>
      <c r="BJ1181" s="15"/>
      <c r="BK1181" s="15"/>
      <c r="BO1181" s="223"/>
      <c r="BQ1181" s="889"/>
      <c r="BT1181" s="890"/>
      <c r="BX1181" s="889"/>
      <c r="CB1181" s="15"/>
      <c r="CC1181" s="697"/>
      <c r="CD1181" s="1086"/>
      <c r="CE1181" s="15"/>
      <c r="CF1181" s="15"/>
      <c r="CG1181" s="936"/>
      <c r="CH1181" s="15"/>
      <c r="CI1181" s="15"/>
      <c r="CJ1181" s="15"/>
      <c r="CK1181" s="1107"/>
      <c r="CL1181" s="22"/>
      <c r="CM1181" s="22"/>
      <c r="CN1181" s="1107"/>
      <c r="CR1181" s="223"/>
      <c r="CS1181" s="952"/>
      <c r="CT1181" s="1066"/>
      <c r="CU1181" s="972"/>
      <c r="CV1181" s="983"/>
      <c r="CW1181" s="222"/>
      <c r="CX1181" s="697"/>
      <c r="DC1181" s="222"/>
      <c r="DJ1181" s="889"/>
      <c r="DM1181" s="890"/>
      <c r="DN1181" s="952"/>
      <c r="DO1181" s="75"/>
      <c r="DP1181" s="962"/>
      <c r="DQ1181" s="983"/>
      <c r="DV1181" s="889"/>
    </row>
    <row r="1182" spans="1:126" s="74" customFormat="1">
      <c r="A1182" s="15"/>
      <c r="B1182" s="15"/>
      <c r="C1182" s="15"/>
      <c r="D1182" s="15"/>
      <c r="E1182" s="6"/>
      <c r="F1182" s="6"/>
      <c r="G1182" s="6"/>
      <c r="K1182" s="222"/>
      <c r="V1182" s="1430"/>
      <c r="AA1182" s="223"/>
      <c r="AC1182" s="889"/>
      <c r="AF1182" s="890"/>
      <c r="AJ1182" s="889"/>
      <c r="AN1182" s="222"/>
      <c r="BC1182" s="223"/>
      <c r="BD1182" s="222"/>
      <c r="BH1182" s="611"/>
      <c r="BJ1182" s="15"/>
      <c r="BK1182" s="15"/>
      <c r="BO1182" s="223"/>
      <c r="BQ1182" s="889"/>
      <c r="BT1182" s="890"/>
      <c r="BX1182" s="889"/>
      <c r="CB1182" s="15"/>
      <c r="CC1182" s="697"/>
      <c r="CD1182" s="1086"/>
      <c r="CE1182" s="15"/>
      <c r="CF1182" s="15"/>
      <c r="CG1182" s="936"/>
      <c r="CH1182" s="15"/>
      <c r="CI1182" s="15"/>
      <c r="CJ1182" s="15"/>
      <c r="CK1182" s="1107"/>
      <c r="CL1182" s="22"/>
      <c r="CM1182" s="22"/>
      <c r="CN1182" s="1107"/>
      <c r="CR1182" s="223"/>
      <c r="CS1182" s="952"/>
      <c r="CT1182" s="1066"/>
      <c r="CU1182" s="972"/>
      <c r="CV1182" s="983"/>
      <c r="CW1182" s="222"/>
      <c r="CX1182" s="697"/>
      <c r="DC1182" s="222"/>
      <c r="DJ1182" s="889"/>
      <c r="DM1182" s="890"/>
      <c r="DN1182" s="952"/>
      <c r="DO1182" s="75"/>
      <c r="DP1182" s="962"/>
      <c r="DQ1182" s="983"/>
      <c r="DV1182" s="889"/>
    </row>
    <row r="1183" spans="1:126" s="74" customFormat="1">
      <c r="A1183" s="15"/>
      <c r="B1183" s="15"/>
      <c r="C1183" s="15"/>
      <c r="D1183" s="15"/>
      <c r="E1183" s="6"/>
      <c r="F1183" s="6"/>
      <c r="G1183" s="6"/>
      <c r="K1183" s="222"/>
      <c r="V1183" s="1430"/>
      <c r="AA1183" s="223"/>
      <c r="AC1183" s="889"/>
      <c r="AF1183" s="890"/>
      <c r="AJ1183" s="889"/>
      <c r="AN1183" s="222"/>
      <c r="BC1183" s="223"/>
      <c r="BD1183" s="222"/>
      <c r="BH1183" s="611"/>
      <c r="BJ1183" s="15"/>
      <c r="BK1183" s="15"/>
      <c r="BO1183" s="223"/>
      <c r="BQ1183" s="889"/>
      <c r="BT1183" s="890"/>
      <c r="BX1183" s="889"/>
      <c r="CB1183" s="15"/>
      <c r="CC1183" s="697"/>
      <c r="CD1183" s="1086"/>
      <c r="CE1183" s="15"/>
      <c r="CF1183" s="15"/>
      <c r="CG1183" s="936"/>
      <c r="CH1183" s="15"/>
      <c r="CI1183" s="15"/>
      <c r="CJ1183" s="15"/>
      <c r="CK1183" s="1107"/>
      <c r="CL1183" s="22"/>
      <c r="CM1183" s="22"/>
      <c r="CN1183" s="1107"/>
      <c r="CR1183" s="223"/>
      <c r="CS1183" s="952"/>
      <c r="CT1183" s="1066"/>
      <c r="CU1183" s="972"/>
      <c r="CV1183" s="983"/>
      <c r="CW1183" s="222"/>
      <c r="CX1183" s="697"/>
      <c r="DC1183" s="222"/>
      <c r="DJ1183" s="889"/>
      <c r="DM1183" s="890"/>
      <c r="DN1183" s="952"/>
      <c r="DO1183" s="75"/>
      <c r="DP1183" s="962"/>
      <c r="DQ1183" s="983"/>
      <c r="DV1183" s="889"/>
    </row>
    <row r="1184" spans="1:126" s="74" customFormat="1">
      <c r="A1184" s="15"/>
      <c r="B1184" s="15"/>
      <c r="C1184" s="15"/>
      <c r="D1184" s="15"/>
      <c r="E1184" s="6"/>
      <c r="F1184" s="6"/>
      <c r="G1184" s="6"/>
      <c r="K1184" s="222"/>
      <c r="V1184" s="1430"/>
      <c r="AA1184" s="223"/>
      <c r="AC1184" s="889"/>
      <c r="AF1184" s="890"/>
      <c r="AJ1184" s="889"/>
      <c r="AN1184" s="222"/>
      <c r="BC1184" s="223"/>
      <c r="BD1184" s="222"/>
      <c r="BH1184" s="611"/>
      <c r="BJ1184" s="15"/>
      <c r="BK1184" s="15"/>
      <c r="BO1184" s="223"/>
      <c r="BQ1184" s="889"/>
      <c r="BT1184" s="890"/>
      <c r="BX1184" s="889"/>
      <c r="CB1184" s="15"/>
      <c r="CC1184" s="697"/>
      <c r="CD1184" s="1086"/>
      <c r="CE1184" s="15"/>
      <c r="CF1184" s="15"/>
      <c r="CG1184" s="936"/>
      <c r="CH1184" s="15"/>
      <c r="CI1184" s="15"/>
      <c r="CJ1184" s="15"/>
      <c r="CK1184" s="1107"/>
      <c r="CL1184" s="22"/>
      <c r="CM1184" s="22"/>
      <c r="CN1184" s="1107"/>
      <c r="CR1184" s="223"/>
      <c r="CS1184" s="952"/>
      <c r="CT1184" s="1066"/>
      <c r="CU1184" s="972"/>
      <c r="CV1184" s="983"/>
      <c r="CW1184" s="222"/>
      <c r="CX1184" s="697"/>
      <c r="DC1184" s="222"/>
      <c r="DJ1184" s="889"/>
      <c r="DM1184" s="890"/>
      <c r="DN1184" s="952"/>
      <c r="DO1184" s="75"/>
      <c r="DP1184" s="962"/>
      <c r="DQ1184" s="983"/>
      <c r="DV1184" s="889"/>
    </row>
    <row r="1185" spans="1:126" s="74" customFormat="1">
      <c r="A1185" s="15"/>
      <c r="B1185" s="15"/>
      <c r="C1185" s="15"/>
      <c r="D1185" s="15"/>
      <c r="E1185" s="6"/>
      <c r="F1185" s="6"/>
      <c r="G1185" s="6"/>
      <c r="K1185" s="222"/>
      <c r="V1185" s="1430"/>
      <c r="AA1185" s="223"/>
      <c r="AC1185" s="889"/>
      <c r="AF1185" s="890"/>
      <c r="AJ1185" s="889"/>
      <c r="AN1185" s="222"/>
      <c r="BC1185" s="223"/>
      <c r="BD1185" s="222"/>
      <c r="BH1185" s="611"/>
      <c r="BJ1185" s="15"/>
      <c r="BK1185" s="15"/>
      <c r="BO1185" s="223"/>
      <c r="BQ1185" s="889"/>
      <c r="BT1185" s="890"/>
      <c r="BX1185" s="889"/>
      <c r="CB1185" s="15"/>
      <c r="CC1185" s="697"/>
      <c r="CD1185" s="1086"/>
      <c r="CE1185" s="15"/>
      <c r="CF1185" s="15"/>
      <c r="CG1185" s="936"/>
      <c r="CH1185" s="15"/>
      <c r="CI1185" s="15"/>
      <c r="CJ1185" s="15"/>
      <c r="CK1185" s="1107"/>
      <c r="CL1185" s="22"/>
      <c r="CM1185" s="22"/>
      <c r="CN1185" s="1107"/>
      <c r="CR1185" s="223"/>
      <c r="CS1185" s="952"/>
      <c r="CT1185" s="1066"/>
      <c r="CU1185" s="972"/>
      <c r="CV1185" s="983"/>
      <c r="CW1185" s="222"/>
      <c r="CX1185" s="697"/>
      <c r="DC1185" s="222"/>
      <c r="DJ1185" s="889"/>
      <c r="DM1185" s="890"/>
      <c r="DN1185" s="952"/>
      <c r="DO1185" s="75"/>
      <c r="DP1185" s="962"/>
      <c r="DQ1185" s="983"/>
      <c r="DV1185" s="889"/>
    </row>
    <row r="1186" spans="1:126" s="74" customFormat="1">
      <c r="A1186" s="15"/>
      <c r="B1186" s="15"/>
      <c r="C1186" s="15"/>
      <c r="D1186" s="15"/>
      <c r="E1186" s="6"/>
      <c r="F1186" s="6"/>
      <c r="G1186" s="6"/>
      <c r="K1186" s="222"/>
      <c r="V1186" s="1430"/>
      <c r="AA1186" s="223"/>
      <c r="AC1186" s="889"/>
      <c r="AF1186" s="890"/>
      <c r="AJ1186" s="889"/>
      <c r="AN1186" s="222"/>
      <c r="BC1186" s="223"/>
      <c r="BD1186" s="222"/>
      <c r="BH1186" s="611"/>
      <c r="BJ1186" s="15"/>
      <c r="BK1186" s="15"/>
      <c r="BO1186" s="223"/>
      <c r="BQ1186" s="889"/>
      <c r="BT1186" s="890"/>
      <c r="BX1186" s="889"/>
      <c r="CB1186" s="15"/>
      <c r="CC1186" s="697"/>
      <c r="CD1186" s="1086"/>
      <c r="CE1186" s="15"/>
      <c r="CF1186" s="15"/>
      <c r="CG1186" s="936"/>
      <c r="CH1186" s="15"/>
      <c r="CI1186" s="15"/>
      <c r="CJ1186" s="15"/>
      <c r="CK1186" s="1107"/>
      <c r="CL1186" s="22"/>
      <c r="CM1186" s="22"/>
      <c r="CN1186" s="1107"/>
      <c r="CR1186" s="223"/>
      <c r="CS1186" s="952"/>
      <c r="CT1186" s="1066"/>
      <c r="CU1186" s="972"/>
      <c r="CV1186" s="983"/>
      <c r="CW1186" s="222"/>
      <c r="CX1186" s="697"/>
      <c r="DC1186" s="222"/>
      <c r="DJ1186" s="889"/>
      <c r="DM1186" s="890"/>
      <c r="DN1186" s="952"/>
      <c r="DO1186" s="75"/>
      <c r="DP1186" s="962"/>
      <c r="DQ1186" s="983"/>
      <c r="DV1186" s="889"/>
    </row>
    <row r="1187" spans="1:126" s="74" customFormat="1">
      <c r="A1187" s="15"/>
      <c r="B1187" s="15"/>
      <c r="C1187" s="15"/>
      <c r="D1187" s="15"/>
      <c r="E1187" s="6"/>
      <c r="F1187" s="6"/>
      <c r="G1187" s="6"/>
      <c r="K1187" s="222"/>
      <c r="V1187" s="1430"/>
      <c r="AA1187" s="223"/>
      <c r="AC1187" s="889"/>
      <c r="AF1187" s="890"/>
      <c r="AJ1187" s="889"/>
      <c r="AN1187" s="222"/>
      <c r="BC1187" s="223"/>
      <c r="BD1187" s="222"/>
      <c r="BH1187" s="611"/>
      <c r="BJ1187" s="15"/>
      <c r="BK1187" s="15"/>
      <c r="BO1187" s="223"/>
      <c r="BQ1187" s="889"/>
      <c r="BT1187" s="890"/>
      <c r="BX1187" s="889"/>
      <c r="CB1187" s="15"/>
      <c r="CC1187" s="697"/>
      <c r="CD1187" s="1086"/>
      <c r="CE1187" s="15"/>
      <c r="CF1187" s="15"/>
      <c r="CG1187" s="936"/>
      <c r="CH1187" s="15"/>
      <c r="CI1187" s="15"/>
      <c r="CJ1187" s="15"/>
      <c r="CK1187" s="1107"/>
      <c r="CL1187" s="22"/>
      <c r="CM1187" s="22"/>
      <c r="CN1187" s="1107"/>
      <c r="CR1187" s="223"/>
      <c r="CS1187" s="952"/>
      <c r="CT1187" s="1066"/>
      <c r="CU1187" s="972"/>
      <c r="CV1187" s="983"/>
      <c r="CW1187" s="222"/>
      <c r="CX1187" s="697"/>
      <c r="DC1187" s="222"/>
      <c r="DJ1187" s="889"/>
      <c r="DM1187" s="890"/>
      <c r="DN1187" s="952"/>
      <c r="DO1187" s="75"/>
      <c r="DP1187" s="962"/>
      <c r="DQ1187" s="983"/>
      <c r="DV1187" s="889"/>
    </row>
    <row r="1188" spans="1:126" s="74" customFormat="1">
      <c r="A1188" s="15"/>
      <c r="B1188" s="15"/>
      <c r="C1188" s="15"/>
      <c r="D1188" s="15"/>
      <c r="E1188" s="6"/>
      <c r="F1188" s="6"/>
      <c r="G1188" s="6"/>
      <c r="K1188" s="222"/>
      <c r="V1188" s="1430"/>
      <c r="AA1188" s="223"/>
      <c r="AC1188" s="889"/>
      <c r="AF1188" s="890"/>
      <c r="AJ1188" s="889"/>
      <c r="AN1188" s="222"/>
      <c r="BC1188" s="223"/>
      <c r="BD1188" s="222"/>
      <c r="BH1188" s="611"/>
      <c r="BJ1188" s="15"/>
      <c r="BK1188" s="15"/>
      <c r="BO1188" s="223"/>
      <c r="BQ1188" s="889"/>
      <c r="BT1188" s="890"/>
      <c r="BX1188" s="889"/>
      <c r="CB1188" s="15"/>
      <c r="CC1188" s="697"/>
      <c r="CD1188" s="1086"/>
      <c r="CE1188" s="15"/>
      <c r="CF1188" s="15"/>
      <c r="CG1188" s="936"/>
      <c r="CH1188" s="15"/>
      <c r="CI1188" s="15"/>
      <c r="CJ1188" s="15"/>
      <c r="CK1188" s="1107"/>
      <c r="CL1188" s="22"/>
      <c r="CM1188" s="22"/>
      <c r="CN1188" s="1107"/>
      <c r="CR1188" s="223"/>
      <c r="CS1188" s="952"/>
      <c r="CT1188" s="1066"/>
      <c r="CU1188" s="972"/>
      <c r="CV1188" s="983"/>
      <c r="CW1188" s="222"/>
      <c r="CX1188" s="697"/>
      <c r="DC1188" s="222"/>
      <c r="DJ1188" s="889"/>
      <c r="DM1188" s="890"/>
      <c r="DN1188" s="952"/>
      <c r="DO1188" s="75"/>
      <c r="DP1188" s="962"/>
      <c r="DQ1188" s="983"/>
      <c r="DV1188" s="889"/>
    </row>
    <row r="1189" spans="1:126" s="74" customFormat="1">
      <c r="A1189" s="15"/>
      <c r="B1189" s="15"/>
      <c r="C1189" s="15"/>
      <c r="D1189" s="15"/>
      <c r="E1189" s="6"/>
      <c r="F1189" s="6"/>
      <c r="G1189" s="6"/>
      <c r="K1189" s="222"/>
      <c r="V1189" s="1430"/>
      <c r="AA1189" s="223"/>
      <c r="AC1189" s="889"/>
      <c r="AF1189" s="890"/>
      <c r="AJ1189" s="889"/>
      <c r="AN1189" s="222"/>
      <c r="BC1189" s="223"/>
      <c r="BD1189" s="222"/>
      <c r="BH1189" s="611"/>
      <c r="BJ1189" s="15"/>
      <c r="BK1189" s="15"/>
      <c r="BO1189" s="223"/>
      <c r="BQ1189" s="889"/>
      <c r="BT1189" s="890"/>
      <c r="BX1189" s="889"/>
      <c r="CB1189" s="15"/>
      <c r="CC1189" s="697"/>
      <c r="CD1189" s="1086"/>
      <c r="CE1189" s="15"/>
      <c r="CF1189" s="15"/>
      <c r="CG1189" s="936"/>
      <c r="CH1189" s="15"/>
      <c r="CI1189" s="15"/>
      <c r="CJ1189" s="15"/>
      <c r="CK1189" s="1107"/>
      <c r="CL1189" s="22"/>
      <c r="CM1189" s="22"/>
      <c r="CN1189" s="1107"/>
      <c r="CR1189" s="223"/>
      <c r="CS1189" s="952"/>
      <c r="CT1189" s="1066"/>
      <c r="CU1189" s="972"/>
      <c r="CV1189" s="983"/>
      <c r="CW1189" s="222"/>
      <c r="CX1189" s="697"/>
      <c r="DC1189" s="222"/>
      <c r="DJ1189" s="889"/>
      <c r="DM1189" s="890"/>
      <c r="DN1189" s="952"/>
      <c r="DO1189" s="75"/>
      <c r="DP1189" s="962"/>
      <c r="DQ1189" s="983"/>
      <c r="DV1189" s="889"/>
    </row>
    <row r="1190" spans="1:126" s="74" customFormat="1">
      <c r="A1190" s="15"/>
      <c r="B1190" s="15"/>
      <c r="C1190" s="15"/>
      <c r="D1190" s="15"/>
      <c r="E1190" s="6"/>
      <c r="F1190" s="6"/>
      <c r="G1190" s="6"/>
      <c r="K1190" s="222"/>
      <c r="V1190" s="1430"/>
      <c r="AA1190" s="223"/>
      <c r="AC1190" s="889"/>
      <c r="AF1190" s="890"/>
      <c r="AJ1190" s="889"/>
      <c r="AN1190" s="222"/>
      <c r="BC1190" s="223"/>
      <c r="BD1190" s="222"/>
      <c r="BH1190" s="611"/>
      <c r="BJ1190" s="15"/>
      <c r="BK1190" s="15"/>
      <c r="BO1190" s="223"/>
      <c r="BQ1190" s="889"/>
      <c r="BT1190" s="890"/>
      <c r="BX1190" s="889"/>
      <c r="CB1190" s="15"/>
      <c r="CC1190" s="697"/>
      <c r="CD1190" s="1086"/>
      <c r="CE1190" s="15"/>
      <c r="CF1190" s="15"/>
      <c r="CG1190" s="936"/>
      <c r="CH1190" s="15"/>
      <c r="CI1190" s="15"/>
      <c r="CJ1190" s="15"/>
      <c r="CK1190" s="1107"/>
      <c r="CL1190" s="22"/>
      <c r="CM1190" s="22"/>
      <c r="CN1190" s="1107"/>
      <c r="CR1190" s="223"/>
      <c r="CS1190" s="952"/>
      <c r="CT1190" s="1066"/>
      <c r="CU1190" s="972"/>
      <c r="CV1190" s="983"/>
      <c r="CW1190" s="222"/>
      <c r="CX1190" s="697"/>
      <c r="DC1190" s="222"/>
      <c r="DJ1190" s="889"/>
      <c r="DM1190" s="890"/>
      <c r="DN1190" s="952"/>
      <c r="DO1190" s="75"/>
      <c r="DP1190" s="962"/>
      <c r="DQ1190" s="983"/>
      <c r="DV1190" s="889"/>
    </row>
    <row r="1191" spans="1:126" s="74" customFormat="1">
      <c r="A1191" s="15"/>
      <c r="B1191" s="15"/>
      <c r="C1191" s="15"/>
      <c r="D1191" s="15"/>
      <c r="E1191" s="6"/>
      <c r="F1191" s="6"/>
      <c r="G1191" s="6"/>
      <c r="K1191" s="222"/>
      <c r="V1191" s="1430"/>
      <c r="AA1191" s="223"/>
      <c r="AC1191" s="889"/>
      <c r="AF1191" s="890"/>
      <c r="AJ1191" s="889"/>
      <c r="AN1191" s="222"/>
      <c r="BC1191" s="223"/>
      <c r="BD1191" s="222"/>
      <c r="BH1191" s="611"/>
      <c r="BJ1191" s="15"/>
      <c r="BK1191" s="15"/>
      <c r="BO1191" s="223"/>
      <c r="BQ1191" s="889"/>
      <c r="BT1191" s="890"/>
      <c r="BX1191" s="889"/>
      <c r="CB1191" s="15"/>
      <c r="CC1191" s="697"/>
      <c r="CD1191" s="1086"/>
      <c r="CE1191" s="15"/>
      <c r="CF1191" s="15"/>
      <c r="CG1191" s="936"/>
      <c r="CH1191" s="15"/>
      <c r="CI1191" s="15"/>
      <c r="CJ1191" s="15"/>
      <c r="CK1191" s="1107"/>
      <c r="CL1191" s="22"/>
      <c r="CM1191" s="22"/>
      <c r="CN1191" s="1107"/>
      <c r="CR1191" s="223"/>
      <c r="CS1191" s="952"/>
      <c r="CT1191" s="1066"/>
      <c r="CU1191" s="972"/>
      <c r="CV1191" s="983"/>
      <c r="CW1191" s="222"/>
      <c r="CX1191" s="697"/>
      <c r="DC1191" s="222"/>
      <c r="DJ1191" s="889"/>
      <c r="DM1191" s="890"/>
      <c r="DN1191" s="952"/>
      <c r="DO1191" s="75"/>
      <c r="DP1191" s="962"/>
      <c r="DQ1191" s="983"/>
      <c r="DV1191" s="889"/>
    </row>
    <row r="1192" spans="1:126" s="74" customFormat="1">
      <c r="A1192" s="15"/>
      <c r="B1192" s="15"/>
      <c r="C1192" s="15"/>
      <c r="D1192" s="15"/>
      <c r="E1192" s="6"/>
      <c r="F1192" s="6"/>
      <c r="G1192" s="6"/>
      <c r="K1192" s="222"/>
      <c r="V1192" s="1430"/>
      <c r="AA1192" s="223"/>
      <c r="AC1192" s="889"/>
      <c r="AF1192" s="890"/>
      <c r="AJ1192" s="889"/>
      <c r="AN1192" s="222"/>
      <c r="BC1192" s="223"/>
      <c r="BD1192" s="222"/>
      <c r="BH1192" s="611"/>
      <c r="BJ1192" s="15"/>
      <c r="BK1192" s="15"/>
      <c r="BO1192" s="223"/>
      <c r="BQ1192" s="889"/>
      <c r="BT1192" s="890"/>
      <c r="BX1192" s="889"/>
      <c r="CB1192" s="15"/>
      <c r="CC1192" s="697"/>
      <c r="CD1192" s="1086"/>
      <c r="CE1192" s="15"/>
      <c r="CF1192" s="15"/>
      <c r="CG1192" s="936"/>
      <c r="CH1192" s="15"/>
      <c r="CI1192" s="15"/>
      <c r="CJ1192" s="15"/>
      <c r="CK1192" s="1107"/>
      <c r="CL1192" s="22"/>
      <c r="CM1192" s="22"/>
      <c r="CN1192" s="1107"/>
      <c r="CR1192" s="223"/>
      <c r="CS1192" s="952"/>
      <c r="CT1192" s="1066"/>
      <c r="CU1192" s="972"/>
      <c r="CV1192" s="983"/>
      <c r="CW1192" s="222"/>
      <c r="CX1192" s="697"/>
      <c r="DC1192" s="222"/>
      <c r="DJ1192" s="889"/>
      <c r="DM1192" s="890"/>
      <c r="DN1192" s="952"/>
      <c r="DO1192" s="75"/>
      <c r="DP1192" s="962"/>
      <c r="DQ1192" s="983"/>
      <c r="DV1192" s="889"/>
    </row>
    <row r="1193" spans="1:126" s="74" customFormat="1">
      <c r="A1193" s="15"/>
      <c r="B1193" s="15"/>
      <c r="C1193" s="15"/>
      <c r="D1193" s="15"/>
      <c r="E1193" s="6"/>
      <c r="F1193" s="6"/>
      <c r="G1193" s="6"/>
      <c r="K1193" s="222"/>
      <c r="V1193" s="1430"/>
      <c r="AA1193" s="223"/>
      <c r="AC1193" s="889"/>
      <c r="AF1193" s="890"/>
      <c r="AJ1193" s="889"/>
      <c r="AN1193" s="222"/>
      <c r="BC1193" s="223"/>
      <c r="BD1193" s="222"/>
      <c r="BH1193" s="611"/>
      <c r="BJ1193" s="15"/>
      <c r="BK1193" s="15"/>
      <c r="BO1193" s="223"/>
      <c r="BQ1193" s="889"/>
      <c r="BT1193" s="890"/>
      <c r="BX1193" s="889"/>
      <c r="CB1193" s="15"/>
      <c r="CC1193" s="697"/>
      <c r="CD1193" s="1086"/>
      <c r="CE1193" s="15"/>
      <c r="CF1193" s="15"/>
      <c r="CG1193" s="936"/>
      <c r="CH1193" s="15"/>
      <c r="CI1193" s="15"/>
      <c r="CJ1193" s="15"/>
      <c r="CK1193" s="1107"/>
      <c r="CL1193" s="22"/>
      <c r="CM1193" s="22"/>
      <c r="CN1193" s="1107"/>
      <c r="CR1193" s="223"/>
      <c r="CS1193" s="952"/>
      <c r="CT1193" s="1066"/>
      <c r="CU1193" s="972"/>
      <c r="CV1193" s="983"/>
      <c r="CW1193" s="222"/>
      <c r="CX1193" s="697"/>
      <c r="DC1193" s="222"/>
      <c r="DJ1193" s="889"/>
      <c r="DM1193" s="890"/>
      <c r="DN1193" s="952"/>
      <c r="DO1193" s="75"/>
      <c r="DP1193" s="962"/>
      <c r="DQ1193" s="983"/>
      <c r="DV1193" s="889"/>
    </row>
    <row r="1194" spans="1:126" s="74" customFormat="1">
      <c r="A1194" s="15"/>
      <c r="B1194" s="15"/>
      <c r="C1194" s="15"/>
      <c r="D1194" s="15"/>
      <c r="E1194" s="6"/>
      <c r="F1194" s="6"/>
      <c r="G1194" s="6"/>
      <c r="K1194" s="222"/>
      <c r="V1194" s="1430"/>
      <c r="AA1194" s="223"/>
      <c r="AC1194" s="889"/>
      <c r="AF1194" s="890"/>
      <c r="AJ1194" s="889"/>
      <c r="AN1194" s="222"/>
      <c r="BC1194" s="223"/>
      <c r="BD1194" s="222"/>
      <c r="BH1194" s="611"/>
      <c r="BJ1194" s="15"/>
      <c r="BK1194" s="15"/>
      <c r="BO1194" s="223"/>
      <c r="BQ1194" s="889"/>
      <c r="BT1194" s="890"/>
      <c r="BX1194" s="889"/>
      <c r="CB1194" s="15"/>
      <c r="CC1194" s="697"/>
      <c r="CD1194" s="1086"/>
      <c r="CE1194" s="15"/>
      <c r="CF1194" s="15"/>
      <c r="CG1194" s="936"/>
      <c r="CH1194" s="15"/>
      <c r="CI1194" s="15"/>
      <c r="CJ1194" s="15"/>
      <c r="CK1194" s="1107"/>
      <c r="CL1194" s="22"/>
      <c r="CM1194" s="22"/>
      <c r="CN1194" s="1107"/>
      <c r="CR1194" s="223"/>
      <c r="CS1194" s="952"/>
      <c r="CT1194" s="1066"/>
      <c r="CU1194" s="972"/>
      <c r="CV1194" s="983"/>
      <c r="CW1194" s="222"/>
      <c r="CX1194" s="697"/>
      <c r="DC1194" s="222"/>
      <c r="DJ1194" s="889"/>
      <c r="DM1194" s="890"/>
      <c r="DN1194" s="952"/>
      <c r="DO1194" s="75"/>
      <c r="DP1194" s="962"/>
      <c r="DQ1194" s="983"/>
      <c r="DV1194" s="889"/>
    </row>
    <row r="1195" spans="1:126" s="74" customFormat="1">
      <c r="A1195" s="15"/>
      <c r="B1195" s="15"/>
      <c r="C1195" s="15"/>
      <c r="D1195" s="15"/>
      <c r="E1195" s="6"/>
      <c r="F1195" s="6"/>
      <c r="G1195" s="6"/>
      <c r="K1195" s="222"/>
      <c r="V1195" s="1430"/>
      <c r="AA1195" s="223"/>
      <c r="AC1195" s="889"/>
      <c r="AF1195" s="890"/>
      <c r="AJ1195" s="889"/>
      <c r="AN1195" s="222"/>
      <c r="BC1195" s="223"/>
      <c r="BD1195" s="222"/>
      <c r="BH1195" s="611"/>
      <c r="BJ1195" s="15"/>
      <c r="BK1195" s="15"/>
      <c r="BO1195" s="223"/>
      <c r="BQ1195" s="889"/>
      <c r="BT1195" s="890"/>
      <c r="BX1195" s="889"/>
      <c r="CB1195" s="15"/>
      <c r="CC1195" s="697"/>
      <c r="CD1195" s="1086"/>
      <c r="CE1195" s="15"/>
      <c r="CF1195" s="15"/>
      <c r="CG1195" s="936"/>
      <c r="CH1195" s="15"/>
      <c r="CI1195" s="15"/>
      <c r="CJ1195" s="15"/>
      <c r="CK1195" s="1107"/>
      <c r="CL1195" s="22"/>
      <c r="CM1195" s="22"/>
      <c r="CN1195" s="1107"/>
      <c r="CR1195" s="223"/>
      <c r="CS1195" s="952"/>
      <c r="CT1195" s="1066"/>
      <c r="CU1195" s="972"/>
      <c r="CV1195" s="983"/>
      <c r="CW1195" s="222"/>
      <c r="CX1195" s="697"/>
      <c r="DC1195" s="222"/>
      <c r="DJ1195" s="889"/>
      <c r="DM1195" s="890"/>
      <c r="DN1195" s="952"/>
      <c r="DO1195" s="75"/>
      <c r="DP1195" s="962"/>
      <c r="DQ1195" s="983"/>
      <c r="DV1195" s="889"/>
    </row>
    <row r="1196" spans="1:126" s="74" customFormat="1">
      <c r="A1196" s="15"/>
      <c r="B1196" s="15"/>
      <c r="C1196" s="15"/>
      <c r="D1196" s="15"/>
      <c r="E1196" s="6"/>
      <c r="F1196" s="6"/>
      <c r="G1196" s="6"/>
      <c r="K1196" s="222"/>
      <c r="V1196" s="1430"/>
      <c r="AA1196" s="223"/>
      <c r="AC1196" s="889"/>
      <c r="AF1196" s="890"/>
      <c r="AJ1196" s="889"/>
      <c r="AN1196" s="222"/>
      <c r="BC1196" s="223"/>
      <c r="BD1196" s="222"/>
      <c r="BH1196" s="611"/>
      <c r="BJ1196" s="15"/>
      <c r="BK1196" s="15"/>
      <c r="BO1196" s="223"/>
      <c r="BQ1196" s="889"/>
      <c r="BT1196" s="890"/>
      <c r="BX1196" s="889"/>
      <c r="CB1196" s="15"/>
      <c r="CC1196" s="697"/>
      <c r="CD1196" s="1086"/>
      <c r="CE1196" s="15"/>
      <c r="CF1196" s="15"/>
      <c r="CG1196" s="936"/>
      <c r="CH1196" s="15"/>
      <c r="CI1196" s="15"/>
      <c r="CJ1196" s="15"/>
      <c r="CK1196" s="1107"/>
      <c r="CL1196" s="22"/>
      <c r="CM1196" s="22"/>
      <c r="CN1196" s="1107"/>
      <c r="CR1196" s="223"/>
      <c r="CS1196" s="952"/>
      <c r="CT1196" s="1066"/>
      <c r="CU1196" s="972"/>
      <c r="CV1196" s="983"/>
      <c r="CW1196" s="222"/>
      <c r="CX1196" s="697"/>
      <c r="DC1196" s="222"/>
      <c r="DJ1196" s="889"/>
      <c r="DM1196" s="890"/>
      <c r="DN1196" s="952"/>
      <c r="DO1196" s="75"/>
      <c r="DP1196" s="962"/>
      <c r="DQ1196" s="983"/>
      <c r="DV1196" s="889"/>
    </row>
    <row r="1197" spans="1:126" s="74" customFormat="1">
      <c r="A1197" s="15"/>
      <c r="B1197" s="15"/>
      <c r="C1197" s="15"/>
      <c r="D1197" s="15"/>
      <c r="E1197" s="6"/>
      <c r="F1197" s="6"/>
      <c r="G1197" s="6"/>
      <c r="K1197" s="222"/>
      <c r="V1197" s="1430"/>
      <c r="AA1197" s="223"/>
      <c r="AC1197" s="889"/>
      <c r="AF1197" s="890"/>
      <c r="AJ1197" s="889"/>
      <c r="AN1197" s="222"/>
      <c r="BC1197" s="223"/>
      <c r="BD1197" s="222"/>
      <c r="BH1197" s="611"/>
      <c r="BJ1197" s="15"/>
      <c r="BK1197" s="15"/>
      <c r="BO1197" s="223"/>
      <c r="BQ1197" s="889"/>
      <c r="BT1197" s="890"/>
      <c r="BX1197" s="889"/>
      <c r="CB1197" s="15"/>
      <c r="CC1197" s="697"/>
      <c r="CD1197" s="1086"/>
      <c r="CE1197" s="15"/>
      <c r="CF1197" s="15"/>
      <c r="CG1197" s="936"/>
      <c r="CH1197" s="15"/>
      <c r="CI1197" s="15"/>
      <c r="CJ1197" s="15"/>
      <c r="CK1197" s="1107"/>
      <c r="CL1197" s="22"/>
      <c r="CM1197" s="22"/>
      <c r="CN1197" s="1107"/>
      <c r="CR1197" s="223"/>
      <c r="CS1197" s="952"/>
      <c r="CT1197" s="1066"/>
      <c r="CU1197" s="972"/>
      <c r="CV1197" s="983"/>
      <c r="CW1197" s="222"/>
      <c r="CX1197" s="697"/>
      <c r="DC1197" s="222"/>
      <c r="DJ1197" s="889"/>
      <c r="DM1197" s="890"/>
      <c r="DN1197" s="952"/>
      <c r="DO1197" s="75"/>
      <c r="DP1197" s="962"/>
      <c r="DQ1197" s="983"/>
      <c r="DV1197" s="889"/>
    </row>
    <row r="1198" spans="1:126" s="74" customFormat="1">
      <c r="A1198" s="15"/>
      <c r="B1198" s="15"/>
      <c r="C1198" s="15"/>
      <c r="D1198" s="15"/>
      <c r="E1198" s="6"/>
      <c r="F1198" s="6"/>
      <c r="G1198" s="6"/>
      <c r="K1198" s="222"/>
      <c r="V1198" s="1430"/>
      <c r="AA1198" s="223"/>
      <c r="AC1198" s="889"/>
      <c r="AF1198" s="890"/>
      <c r="AJ1198" s="889"/>
      <c r="AN1198" s="222"/>
      <c r="BC1198" s="223"/>
      <c r="BD1198" s="222"/>
      <c r="BH1198" s="611"/>
      <c r="BJ1198" s="15"/>
      <c r="BK1198" s="15"/>
      <c r="BO1198" s="223"/>
      <c r="BQ1198" s="889"/>
      <c r="BT1198" s="890"/>
      <c r="BX1198" s="889"/>
      <c r="CB1198" s="15"/>
      <c r="CC1198" s="697"/>
      <c r="CD1198" s="1086"/>
      <c r="CE1198" s="15"/>
      <c r="CF1198" s="15"/>
      <c r="CG1198" s="936"/>
      <c r="CH1198" s="15"/>
      <c r="CI1198" s="15"/>
      <c r="CJ1198" s="15"/>
      <c r="CK1198" s="1107"/>
      <c r="CL1198" s="22"/>
      <c r="CM1198" s="22"/>
      <c r="CN1198" s="1107"/>
      <c r="CR1198" s="223"/>
      <c r="CS1198" s="952"/>
      <c r="CT1198" s="1066"/>
      <c r="CU1198" s="972"/>
      <c r="CV1198" s="983"/>
      <c r="CW1198" s="222"/>
      <c r="CX1198" s="697"/>
      <c r="DC1198" s="222"/>
      <c r="DJ1198" s="889"/>
      <c r="DM1198" s="890"/>
      <c r="DN1198" s="952"/>
      <c r="DO1198" s="75"/>
      <c r="DP1198" s="962"/>
      <c r="DQ1198" s="983"/>
      <c r="DV1198" s="889"/>
    </row>
    <row r="1199" spans="1:126" s="74" customFormat="1">
      <c r="A1199" s="15"/>
      <c r="B1199" s="15"/>
      <c r="C1199" s="15"/>
      <c r="D1199" s="15"/>
      <c r="E1199" s="6"/>
      <c r="F1199" s="6"/>
      <c r="G1199" s="6"/>
      <c r="K1199" s="222"/>
      <c r="V1199" s="1430"/>
      <c r="AA1199" s="223"/>
      <c r="AC1199" s="889"/>
      <c r="AF1199" s="890"/>
      <c r="AJ1199" s="889"/>
      <c r="AN1199" s="222"/>
      <c r="BC1199" s="223"/>
      <c r="BD1199" s="222"/>
      <c r="BH1199" s="611"/>
      <c r="BJ1199" s="15"/>
      <c r="BK1199" s="15"/>
      <c r="BO1199" s="223"/>
      <c r="BQ1199" s="889"/>
      <c r="BT1199" s="890"/>
      <c r="BX1199" s="889"/>
      <c r="CB1199" s="15"/>
      <c r="CC1199" s="697"/>
      <c r="CD1199" s="1086"/>
      <c r="CE1199" s="15"/>
      <c r="CF1199" s="15"/>
      <c r="CG1199" s="936"/>
      <c r="CH1199" s="15"/>
      <c r="CI1199" s="15"/>
      <c r="CJ1199" s="15"/>
      <c r="CK1199" s="1107"/>
      <c r="CL1199" s="22"/>
      <c r="CM1199" s="22"/>
      <c r="CN1199" s="1107"/>
      <c r="CR1199" s="223"/>
      <c r="CS1199" s="952"/>
      <c r="CT1199" s="1066"/>
      <c r="CU1199" s="972"/>
      <c r="CV1199" s="983"/>
      <c r="CW1199" s="222"/>
      <c r="CX1199" s="697"/>
      <c r="DC1199" s="222"/>
      <c r="DJ1199" s="889"/>
      <c r="DM1199" s="890"/>
      <c r="DN1199" s="952"/>
      <c r="DO1199" s="75"/>
      <c r="DP1199" s="962"/>
      <c r="DQ1199" s="983"/>
      <c r="DV1199" s="889"/>
    </row>
    <row r="1200" spans="1:126" s="74" customFormat="1">
      <c r="A1200" s="15"/>
      <c r="B1200" s="15"/>
      <c r="C1200" s="15"/>
      <c r="D1200" s="15"/>
      <c r="E1200" s="6"/>
      <c r="F1200" s="6"/>
      <c r="G1200" s="6"/>
      <c r="K1200" s="222"/>
      <c r="V1200" s="1430"/>
      <c r="AA1200" s="223"/>
      <c r="AC1200" s="889"/>
      <c r="AF1200" s="890"/>
      <c r="AJ1200" s="889"/>
      <c r="AN1200" s="222"/>
      <c r="BC1200" s="223"/>
      <c r="BD1200" s="222"/>
      <c r="BH1200" s="611"/>
      <c r="BJ1200" s="15"/>
      <c r="BK1200" s="15"/>
      <c r="BO1200" s="223"/>
      <c r="BQ1200" s="889"/>
      <c r="BT1200" s="890"/>
      <c r="BX1200" s="889"/>
      <c r="CB1200" s="15"/>
      <c r="CC1200" s="697"/>
      <c r="CD1200" s="1086"/>
      <c r="CE1200" s="15"/>
      <c r="CF1200" s="15"/>
      <c r="CG1200" s="936"/>
      <c r="CH1200" s="15"/>
      <c r="CI1200" s="15"/>
      <c r="CJ1200" s="15"/>
      <c r="CK1200" s="1107"/>
      <c r="CL1200" s="22"/>
      <c r="CM1200" s="22"/>
      <c r="CN1200" s="1107"/>
      <c r="CR1200" s="223"/>
      <c r="CS1200" s="952"/>
      <c r="CT1200" s="1066"/>
      <c r="CU1200" s="972"/>
      <c r="CV1200" s="983"/>
      <c r="CW1200" s="222"/>
      <c r="CX1200" s="697"/>
      <c r="DC1200" s="222"/>
      <c r="DJ1200" s="889"/>
      <c r="DM1200" s="890"/>
      <c r="DN1200" s="952"/>
      <c r="DO1200" s="75"/>
      <c r="DP1200" s="962"/>
      <c r="DQ1200" s="983"/>
      <c r="DV1200" s="889"/>
    </row>
    <row r="1201" spans="1:126" s="74" customFormat="1">
      <c r="A1201" s="15"/>
      <c r="B1201" s="15"/>
      <c r="C1201" s="15"/>
      <c r="D1201" s="15"/>
      <c r="E1201" s="6"/>
      <c r="F1201" s="6"/>
      <c r="G1201" s="6"/>
      <c r="K1201" s="222"/>
      <c r="V1201" s="1430"/>
      <c r="AA1201" s="223"/>
      <c r="AC1201" s="889"/>
      <c r="AF1201" s="890"/>
      <c r="AJ1201" s="889"/>
      <c r="AN1201" s="222"/>
      <c r="BC1201" s="223"/>
      <c r="BD1201" s="222"/>
      <c r="BH1201" s="611"/>
      <c r="BJ1201" s="15"/>
      <c r="BK1201" s="15"/>
      <c r="BO1201" s="223"/>
      <c r="BQ1201" s="889"/>
      <c r="BT1201" s="890"/>
      <c r="BX1201" s="889"/>
      <c r="CB1201" s="15"/>
      <c r="CC1201" s="697"/>
      <c r="CD1201" s="1086"/>
      <c r="CE1201" s="15"/>
      <c r="CF1201" s="15"/>
      <c r="CG1201" s="936"/>
      <c r="CH1201" s="15"/>
      <c r="CI1201" s="15"/>
      <c r="CJ1201" s="15"/>
      <c r="CK1201" s="1107"/>
      <c r="CL1201" s="22"/>
      <c r="CM1201" s="22"/>
      <c r="CN1201" s="1107"/>
      <c r="CR1201" s="223"/>
      <c r="CS1201" s="952"/>
      <c r="CT1201" s="1066"/>
      <c r="CU1201" s="972"/>
      <c r="CV1201" s="983"/>
      <c r="CW1201" s="222"/>
      <c r="CX1201" s="697"/>
      <c r="DC1201" s="222"/>
      <c r="DJ1201" s="889"/>
      <c r="DM1201" s="890"/>
      <c r="DN1201" s="952"/>
      <c r="DO1201" s="75"/>
      <c r="DP1201" s="962"/>
      <c r="DQ1201" s="983"/>
      <c r="DV1201" s="889"/>
    </row>
    <row r="1202" spans="1:126" s="74" customFormat="1">
      <c r="A1202" s="15"/>
      <c r="B1202" s="15"/>
      <c r="C1202" s="15"/>
      <c r="D1202" s="15"/>
      <c r="E1202" s="6"/>
      <c r="F1202" s="6"/>
      <c r="G1202" s="6"/>
      <c r="K1202" s="222"/>
      <c r="V1202" s="1430"/>
      <c r="AA1202" s="223"/>
      <c r="AC1202" s="889"/>
      <c r="AF1202" s="890"/>
      <c r="AJ1202" s="889"/>
      <c r="AN1202" s="222"/>
      <c r="BC1202" s="223"/>
      <c r="BD1202" s="222"/>
      <c r="BH1202" s="611"/>
      <c r="BJ1202" s="15"/>
      <c r="BK1202" s="15"/>
      <c r="BO1202" s="223"/>
      <c r="BQ1202" s="889"/>
      <c r="BT1202" s="890"/>
      <c r="BX1202" s="889"/>
      <c r="CB1202" s="15"/>
      <c r="CC1202" s="697"/>
      <c r="CD1202" s="1086"/>
      <c r="CE1202" s="15"/>
      <c r="CF1202" s="15"/>
      <c r="CG1202" s="936"/>
      <c r="CH1202" s="15"/>
      <c r="CI1202" s="15"/>
      <c r="CJ1202" s="15"/>
      <c r="CK1202" s="1107"/>
      <c r="CL1202" s="22"/>
      <c r="CM1202" s="22"/>
      <c r="CN1202" s="1107"/>
      <c r="CR1202" s="223"/>
      <c r="CS1202" s="952"/>
      <c r="CT1202" s="1066"/>
      <c r="CU1202" s="972"/>
      <c r="CV1202" s="983"/>
      <c r="CW1202" s="222"/>
      <c r="CX1202" s="697"/>
      <c r="DC1202" s="222"/>
      <c r="DJ1202" s="889"/>
      <c r="DM1202" s="890"/>
      <c r="DN1202" s="952"/>
      <c r="DO1202" s="75"/>
      <c r="DP1202" s="962"/>
      <c r="DQ1202" s="983"/>
      <c r="DV1202" s="889"/>
    </row>
    <row r="1203" spans="1:126" s="74" customFormat="1">
      <c r="A1203" s="15"/>
      <c r="B1203" s="15"/>
      <c r="C1203" s="15"/>
      <c r="D1203" s="15"/>
      <c r="E1203" s="6"/>
      <c r="F1203" s="6"/>
      <c r="G1203" s="6"/>
      <c r="K1203" s="222"/>
      <c r="V1203" s="1430"/>
      <c r="AA1203" s="223"/>
      <c r="AC1203" s="889"/>
      <c r="AF1203" s="890"/>
      <c r="AJ1203" s="889"/>
      <c r="AN1203" s="222"/>
      <c r="BC1203" s="223"/>
      <c r="BD1203" s="222"/>
      <c r="BH1203" s="611"/>
      <c r="BJ1203" s="15"/>
      <c r="BK1203" s="15"/>
      <c r="BO1203" s="223"/>
      <c r="BQ1203" s="889"/>
      <c r="BT1203" s="890"/>
      <c r="BX1203" s="889"/>
      <c r="CB1203" s="15"/>
      <c r="CC1203" s="697"/>
      <c r="CD1203" s="1086"/>
      <c r="CE1203" s="15"/>
      <c r="CF1203" s="15"/>
      <c r="CG1203" s="936"/>
      <c r="CH1203" s="15"/>
      <c r="CI1203" s="15"/>
      <c r="CJ1203" s="15"/>
      <c r="CK1203" s="1107"/>
      <c r="CL1203" s="22"/>
      <c r="CM1203" s="22"/>
      <c r="CN1203" s="1107"/>
      <c r="CR1203" s="223"/>
      <c r="CS1203" s="952"/>
      <c r="CT1203" s="1066"/>
      <c r="CU1203" s="972"/>
      <c r="CV1203" s="983"/>
      <c r="CW1203" s="222"/>
      <c r="CX1203" s="697"/>
      <c r="DC1203" s="222"/>
      <c r="DJ1203" s="889"/>
      <c r="DM1203" s="890"/>
      <c r="DN1203" s="952"/>
      <c r="DO1203" s="75"/>
      <c r="DP1203" s="962"/>
      <c r="DQ1203" s="983"/>
      <c r="DV1203" s="889"/>
    </row>
    <row r="1204" spans="1:126" s="74" customFormat="1">
      <c r="A1204" s="15"/>
      <c r="B1204" s="15"/>
      <c r="C1204" s="15"/>
      <c r="D1204" s="15"/>
      <c r="E1204" s="6"/>
      <c r="F1204" s="6"/>
      <c r="G1204" s="6"/>
      <c r="K1204" s="222"/>
      <c r="V1204" s="1430"/>
      <c r="AA1204" s="223"/>
      <c r="AC1204" s="889"/>
      <c r="AF1204" s="890"/>
      <c r="AJ1204" s="889"/>
      <c r="AN1204" s="222"/>
      <c r="BC1204" s="223"/>
      <c r="BD1204" s="222"/>
      <c r="BH1204" s="611"/>
      <c r="BJ1204" s="15"/>
      <c r="BK1204" s="15"/>
      <c r="BO1204" s="223"/>
      <c r="BQ1204" s="889"/>
      <c r="BT1204" s="890"/>
      <c r="BX1204" s="889"/>
      <c r="CB1204" s="15"/>
      <c r="CC1204" s="697"/>
      <c r="CD1204" s="1086"/>
      <c r="CE1204" s="15"/>
      <c r="CF1204" s="15"/>
      <c r="CG1204" s="936"/>
      <c r="CH1204" s="15"/>
      <c r="CI1204" s="15"/>
      <c r="CJ1204" s="15"/>
      <c r="CK1204" s="1107"/>
      <c r="CL1204" s="22"/>
      <c r="CM1204" s="22"/>
      <c r="CN1204" s="1107"/>
      <c r="CR1204" s="223"/>
      <c r="CS1204" s="952"/>
      <c r="CT1204" s="1066"/>
      <c r="CU1204" s="972"/>
      <c r="CV1204" s="983"/>
      <c r="CW1204" s="222"/>
      <c r="CX1204" s="697"/>
      <c r="DC1204" s="222"/>
      <c r="DJ1204" s="889"/>
      <c r="DM1204" s="890"/>
      <c r="DN1204" s="952"/>
      <c r="DO1204" s="75"/>
      <c r="DP1204" s="962"/>
      <c r="DQ1204" s="983"/>
      <c r="DV1204" s="889"/>
    </row>
    <row r="1205" spans="1:126" s="74" customFormat="1">
      <c r="A1205" s="15"/>
      <c r="B1205" s="15"/>
      <c r="C1205" s="15"/>
      <c r="D1205" s="15"/>
      <c r="E1205" s="6"/>
      <c r="F1205" s="6"/>
      <c r="G1205" s="6"/>
      <c r="K1205" s="222"/>
      <c r="V1205" s="1430"/>
      <c r="AA1205" s="223"/>
      <c r="AC1205" s="889"/>
      <c r="AF1205" s="890"/>
      <c r="AJ1205" s="889"/>
      <c r="AN1205" s="222"/>
      <c r="BC1205" s="223"/>
      <c r="BD1205" s="222"/>
      <c r="BH1205" s="611"/>
      <c r="BJ1205" s="15"/>
      <c r="BK1205" s="15"/>
      <c r="BO1205" s="223"/>
      <c r="BQ1205" s="889"/>
      <c r="BT1205" s="890"/>
      <c r="BX1205" s="889"/>
      <c r="CB1205" s="15"/>
      <c r="CC1205" s="697"/>
      <c r="CD1205" s="1086"/>
      <c r="CE1205" s="15"/>
      <c r="CF1205" s="15"/>
      <c r="CG1205" s="936"/>
      <c r="CH1205" s="15"/>
      <c r="CI1205" s="15"/>
      <c r="CJ1205" s="15"/>
      <c r="CK1205" s="1107"/>
      <c r="CL1205" s="22"/>
      <c r="CM1205" s="22"/>
      <c r="CN1205" s="1107"/>
      <c r="CR1205" s="223"/>
      <c r="CS1205" s="952"/>
      <c r="CT1205" s="1066"/>
      <c r="CU1205" s="972"/>
      <c r="CV1205" s="983"/>
      <c r="CW1205" s="222"/>
      <c r="CX1205" s="697"/>
      <c r="DC1205" s="222"/>
      <c r="DJ1205" s="889"/>
      <c r="DM1205" s="890"/>
      <c r="DN1205" s="952"/>
      <c r="DO1205" s="75"/>
      <c r="DP1205" s="962"/>
      <c r="DQ1205" s="983"/>
      <c r="DV1205" s="889"/>
    </row>
    <row r="1206" spans="1:126" s="74" customFormat="1">
      <c r="A1206" s="15"/>
      <c r="B1206" s="15"/>
      <c r="C1206" s="15"/>
      <c r="D1206" s="15"/>
      <c r="E1206" s="6"/>
      <c r="F1206" s="6"/>
      <c r="G1206" s="6"/>
      <c r="K1206" s="222"/>
      <c r="V1206" s="1430"/>
      <c r="AA1206" s="223"/>
      <c r="AC1206" s="889"/>
      <c r="AF1206" s="890"/>
      <c r="AJ1206" s="889"/>
      <c r="AN1206" s="222"/>
      <c r="BC1206" s="223"/>
      <c r="BD1206" s="222"/>
      <c r="BH1206" s="611"/>
      <c r="BJ1206" s="15"/>
      <c r="BK1206" s="15"/>
      <c r="BO1206" s="223"/>
      <c r="BQ1206" s="889"/>
      <c r="BT1206" s="890"/>
      <c r="BX1206" s="889"/>
      <c r="CB1206" s="15"/>
      <c r="CC1206" s="697"/>
      <c r="CD1206" s="1086"/>
      <c r="CE1206" s="15"/>
      <c r="CF1206" s="15"/>
      <c r="CG1206" s="936"/>
      <c r="CH1206" s="15"/>
      <c r="CI1206" s="15"/>
      <c r="CJ1206" s="15"/>
      <c r="CK1206" s="1107"/>
      <c r="CL1206" s="22"/>
      <c r="CM1206" s="22"/>
      <c r="CN1206" s="1107"/>
      <c r="CR1206" s="223"/>
      <c r="CS1206" s="952"/>
      <c r="CT1206" s="1066"/>
      <c r="CU1206" s="972"/>
      <c r="CV1206" s="983"/>
      <c r="CW1206" s="222"/>
      <c r="CX1206" s="697"/>
      <c r="DC1206" s="222"/>
      <c r="DJ1206" s="889"/>
      <c r="DM1206" s="890"/>
      <c r="DN1206" s="952"/>
      <c r="DO1206" s="75"/>
      <c r="DP1206" s="962"/>
      <c r="DQ1206" s="983"/>
      <c r="DV1206" s="889"/>
    </row>
    <row r="1207" spans="1:126" s="74" customFormat="1">
      <c r="A1207" s="15"/>
      <c r="B1207" s="15"/>
      <c r="C1207" s="15"/>
      <c r="D1207" s="15"/>
      <c r="E1207" s="6"/>
      <c r="F1207" s="6"/>
      <c r="G1207" s="6"/>
      <c r="K1207" s="222"/>
      <c r="V1207" s="1430"/>
      <c r="AA1207" s="223"/>
      <c r="AC1207" s="889"/>
      <c r="AF1207" s="890"/>
      <c r="AJ1207" s="889"/>
      <c r="AN1207" s="222"/>
      <c r="BC1207" s="223"/>
      <c r="BD1207" s="222"/>
      <c r="BH1207" s="611"/>
      <c r="BJ1207" s="15"/>
      <c r="BK1207" s="15"/>
      <c r="BO1207" s="223"/>
      <c r="BQ1207" s="889"/>
      <c r="BT1207" s="890"/>
      <c r="BX1207" s="889"/>
      <c r="CB1207" s="15"/>
      <c r="CC1207" s="697"/>
      <c r="CD1207" s="1086"/>
      <c r="CE1207" s="15"/>
      <c r="CF1207" s="15"/>
      <c r="CG1207" s="936"/>
      <c r="CH1207" s="15"/>
      <c r="CI1207" s="15"/>
      <c r="CJ1207" s="15"/>
      <c r="CK1207" s="1107"/>
      <c r="CL1207" s="22"/>
      <c r="CM1207" s="22"/>
      <c r="CN1207" s="1107"/>
      <c r="CR1207" s="223"/>
      <c r="CS1207" s="952"/>
      <c r="CT1207" s="1066"/>
      <c r="CU1207" s="972"/>
      <c r="CV1207" s="983"/>
      <c r="CW1207" s="222"/>
      <c r="CX1207" s="697"/>
      <c r="DC1207" s="222"/>
      <c r="DJ1207" s="889"/>
      <c r="DM1207" s="890"/>
      <c r="DN1207" s="952"/>
      <c r="DO1207" s="75"/>
      <c r="DP1207" s="962"/>
      <c r="DQ1207" s="983"/>
      <c r="DV1207" s="889"/>
    </row>
    <row r="1208" spans="1:126" s="74" customFormat="1">
      <c r="A1208" s="15"/>
      <c r="B1208" s="15"/>
      <c r="C1208" s="15"/>
      <c r="D1208" s="15"/>
      <c r="E1208" s="6"/>
      <c r="F1208" s="6"/>
      <c r="G1208" s="6"/>
      <c r="K1208" s="222"/>
      <c r="V1208" s="1430"/>
      <c r="AA1208" s="223"/>
      <c r="AC1208" s="889"/>
      <c r="AF1208" s="890"/>
      <c r="AJ1208" s="889"/>
      <c r="AN1208" s="222"/>
      <c r="BC1208" s="223"/>
      <c r="BD1208" s="222"/>
      <c r="BH1208" s="611"/>
      <c r="BJ1208" s="15"/>
      <c r="BK1208" s="15"/>
      <c r="BO1208" s="223"/>
      <c r="BQ1208" s="889"/>
      <c r="BT1208" s="890"/>
      <c r="BX1208" s="889"/>
      <c r="CB1208" s="15"/>
      <c r="CC1208" s="697"/>
      <c r="CD1208" s="1086"/>
      <c r="CE1208" s="15"/>
      <c r="CF1208" s="15"/>
      <c r="CG1208" s="936"/>
      <c r="CH1208" s="15"/>
      <c r="CI1208" s="15"/>
      <c r="CJ1208" s="15"/>
      <c r="CK1208" s="1107"/>
      <c r="CL1208" s="22"/>
      <c r="CM1208" s="22"/>
      <c r="CN1208" s="1107"/>
      <c r="CR1208" s="223"/>
      <c r="CS1208" s="952"/>
      <c r="CT1208" s="1066"/>
      <c r="CU1208" s="972"/>
      <c r="CV1208" s="983"/>
      <c r="CW1208" s="222"/>
      <c r="CX1208" s="697"/>
      <c r="DC1208" s="222"/>
      <c r="DJ1208" s="889"/>
      <c r="DM1208" s="890"/>
      <c r="DN1208" s="952"/>
      <c r="DO1208" s="75"/>
      <c r="DP1208" s="962"/>
      <c r="DQ1208" s="983"/>
      <c r="DV1208" s="889"/>
    </row>
    <row r="1209" spans="1:126" s="74" customFormat="1">
      <c r="A1209" s="15"/>
      <c r="B1209" s="15"/>
      <c r="C1209" s="15"/>
      <c r="D1209" s="15"/>
      <c r="E1209" s="6"/>
      <c r="F1209" s="6"/>
      <c r="G1209" s="6"/>
      <c r="K1209" s="222"/>
      <c r="V1209" s="1430"/>
      <c r="AA1209" s="223"/>
      <c r="AC1209" s="889"/>
      <c r="AF1209" s="890"/>
      <c r="AJ1209" s="889"/>
      <c r="AN1209" s="222"/>
      <c r="BC1209" s="223"/>
      <c r="BD1209" s="222"/>
      <c r="BH1209" s="611"/>
      <c r="BJ1209" s="15"/>
      <c r="BK1209" s="15"/>
      <c r="BO1209" s="223"/>
      <c r="BQ1209" s="889"/>
      <c r="BT1209" s="890"/>
      <c r="BX1209" s="889"/>
      <c r="CB1209" s="15"/>
      <c r="CC1209" s="697"/>
      <c r="CD1209" s="1086"/>
      <c r="CE1209" s="15"/>
      <c r="CF1209" s="15"/>
      <c r="CG1209" s="936"/>
      <c r="CH1209" s="15"/>
      <c r="CI1209" s="15"/>
      <c r="CJ1209" s="15"/>
      <c r="CK1209" s="1107"/>
      <c r="CL1209" s="22"/>
      <c r="CM1209" s="22"/>
      <c r="CN1209" s="1107"/>
      <c r="CR1209" s="223"/>
      <c r="CS1209" s="952"/>
      <c r="CT1209" s="1066"/>
      <c r="CU1209" s="972"/>
      <c r="CV1209" s="983"/>
      <c r="CW1209" s="222"/>
      <c r="CX1209" s="697"/>
      <c r="DC1209" s="222"/>
      <c r="DJ1209" s="889"/>
      <c r="DM1209" s="890"/>
      <c r="DN1209" s="952"/>
      <c r="DO1209" s="75"/>
      <c r="DP1209" s="962"/>
      <c r="DQ1209" s="983"/>
      <c r="DV1209" s="889"/>
    </row>
    <row r="1210" spans="1:126" s="74" customFormat="1">
      <c r="A1210" s="15"/>
      <c r="B1210" s="15"/>
      <c r="C1210" s="15"/>
      <c r="D1210" s="15"/>
      <c r="E1210" s="6"/>
      <c r="F1210" s="6"/>
      <c r="G1210" s="6"/>
      <c r="K1210" s="222"/>
      <c r="V1210" s="1430"/>
      <c r="AA1210" s="223"/>
      <c r="AC1210" s="889"/>
      <c r="AF1210" s="890"/>
      <c r="AJ1210" s="889"/>
      <c r="AN1210" s="222"/>
      <c r="BC1210" s="223"/>
      <c r="BD1210" s="222"/>
      <c r="BH1210" s="611"/>
      <c r="BJ1210" s="15"/>
      <c r="BK1210" s="15"/>
      <c r="BO1210" s="223"/>
      <c r="BQ1210" s="889"/>
      <c r="BT1210" s="890"/>
      <c r="BX1210" s="889"/>
      <c r="CB1210" s="15"/>
      <c r="CC1210" s="697"/>
      <c r="CD1210" s="1086"/>
      <c r="CE1210" s="15"/>
      <c r="CF1210" s="15"/>
      <c r="CG1210" s="936"/>
      <c r="CH1210" s="15"/>
      <c r="CI1210" s="15"/>
      <c r="CJ1210" s="15"/>
      <c r="CK1210" s="1107"/>
      <c r="CL1210" s="22"/>
      <c r="CM1210" s="22"/>
      <c r="CN1210" s="1107"/>
      <c r="CR1210" s="223"/>
      <c r="CS1210" s="952"/>
      <c r="CT1210" s="1066"/>
      <c r="CU1210" s="972"/>
      <c r="CV1210" s="983"/>
      <c r="CW1210" s="222"/>
      <c r="CX1210" s="697"/>
      <c r="DC1210" s="222"/>
      <c r="DJ1210" s="889"/>
      <c r="DM1210" s="890"/>
      <c r="DN1210" s="952"/>
      <c r="DO1210" s="75"/>
      <c r="DP1210" s="962"/>
      <c r="DQ1210" s="983"/>
      <c r="DV1210" s="889"/>
    </row>
    <row r="1211" spans="1:126" s="74" customFormat="1">
      <c r="A1211" s="15"/>
      <c r="B1211" s="15"/>
      <c r="C1211" s="15"/>
      <c r="D1211" s="15"/>
      <c r="E1211" s="6"/>
      <c r="F1211" s="6"/>
      <c r="G1211" s="6"/>
      <c r="K1211" s="222"/>
      <c r="V1211" s="1430"/>
      <c r="AA1211" s="223"/>
      <c r="AC1211" s="889"/>
      <c r="AF1211" s="890"/>
      <c r="AJ1211" s="889"/>
      <c r="AN1211" s="222"/>
      <c r="BC1211" s="223"/>
      <c r="BD1211" s="222"/>
      <c r="BH1211" s="611"/>
      <c r="BJ1211" s="15"/>
      <c r="BK1211" s="15"/>
      <c r="BO1211" s="223"/>
      <c r="BQ1211" s="889"/>
      <c r="BT1211" s="890"/>
      <c r="BX1211" s="889"/>
      <c r="CB1211" s="15"/>
      <c r="CC1211" s="697"/>
      <c r="CD1211" s="1086"/>
      <c r="CE1211" s="15"/>
      <c r="CF1211" s="15"/>
      <c r="CG1211" s="936"/>
      <c r="CH1211" s="15"/>
      <c r="CI1211" s="15"/>
      <c r="CJ1211" s="15"/>
      <c r="CK1211" s="1107"/>
      <c r="CL1211" s="22"/>
      <c r="CM1211" s="22"/>
      <c r="CN1211" s="1107"/>
      <c r="CR1211" s="223"/>
      <c r="CS1211" s="952"/>
      <c r="CT1211" s="1066"/>
      <c r="CU1211" s="972"/>
      <c r="CV1211" s="983"/>
      <c r="CW1211" s="222"/>
      <c r="CX1211" s="697"/>
      <c r="DC1211" s="222"/>
      <c r="DJ1211" s="889"/>
      <c r="DM1211" s="890"/>
      <c r="DN1211" s="952"/>
      <c r="DO1211" s="75"/>
      <c r="DP1211" s="962"/>
      <c r="DQ1211" s="983"/>
      <c r="DV1211" s="889"/>
    </row>
    <row r="1212" spans="1:126" s="74" customFormat="1">
      <c r="A1212" s="15"/>
      <c r="B1212" s="15"/>
      <c r="C1212" s="15"/>
      <c r="D1212" s="15"/>
      <c r="E1212" s="6"/>
      <c r="F1212" s="6"/>
      <c r="G1212" s="6"/>
      <c r="K1212" s="222"/>
      <c r="V1212" s="1430"/>
      <c r="AA1212" s="223"/>
      <c r="AC1212" s="889"/>
      <c r="AF1212" s="890"/>
      <c r="AJ1212" s="889"/>
      <c r="AN1212" s="222"/>
      <c r="BC1212" s="223"/>
      <c r="BD1212" s="222"/>
      <c r="BH1212" s="611"/>
      <c r="BJ1212" s="15"/>
      <c r="BK1212" s="15"/>
      <c r="BO1212" s="223"/>
      <c r="BQ1212" s="889"/>
      <c r="BT1212" s="890"/>
      <c r="BX1212" s="889"/>
      <c r="CB1212" s="15"/>
      <c r="CC1212" s="697"/>
      <c r="CD1212" s="1086"/>
      <c r="CE1212" s="15"/>
      <c r="CF1212" s="15"/>
      <c r="CG1212" s="936"/>
      <c r="CH1212" s="15"/>
      <c r="CI1212" s="15"/>
      <c r="CJ1212" s="15"/>
      <c r="CK1212" s="1107"/>
      <c r="CL1212" s="22"/>
      <c r="CM1212" s="22"/>
      <c r="CN1212" s="1107"/>
      <c r="CR1212" s="223"/>
      <c r="CS1212" s="952"/>
      <c r="CT1212" s="1066"/>
      <c r="CU1212" s="972"/>
      <c r="CV1212" s="983"/>
      <c r="CW1212" s="222"/>
      <c r="CX1212" s="697"/>
      <c r="DC1212" s="222"/>
      <c r="DJ1212" s="889"/>
      <c r="DM1212" s="890"/>
      <c r="DN1212" s="952"/>
      <c r="DO1212" s="75"/>
      <c r="DP1212" s="962"/>
      <c r="DQ1212" s="983"/>
      <c r="DV1212" s="889"/>
    </row>
    <row r="1213" spans="1:126" s="74" customFormat="1">
      <c r="A1213" s="15"/>
      <c r="B1213" s="15"/>
      <c r="C1213" s="15"/>
      <c r="D1213" s="15"/>
      <c r="E1213" s="6"/>
      <c r="F1213" s="6"/>
      <c r="G1213" s="6"/>
      <c r="K1213" s="222"/>
      <c r="V1213" s="1430"/>
      <c r="AA1213" s="223"/>
      <c r="AC1213" s="889"/>
      <c r="AF1213" s="890"/>
      <c r="AJ1213" s="889"/>
      <c r="AN1213" s="222"/>
      <c r="BC1213" s="223"/>
      <c r="BD1213" s="222"/>
      <c r="BH1213" s="611"/>
      <c r="BJ1213" s="15"/>
      <c r="BK1213" s="15"/>
      <c r="BO1213" s="223"/>
      <c r="BQ1213" s="889"/>
      <c r="BT1213" s="890"/>
      <c r="BX1213" s="889"/>
      <c r="CB1213" s="15"/>
      <c r="CC1213" s="697"/>
      <c r="CD1213" s="1086"/>
      <c r="CE1213" s="15"/>
      <c r="CF1213" s="15"/>
      <c r="CG1213" s="936"/>
      <c r="CH1213" s="15"/>
      <c r="CI1213" s="15"/>
      <c r="CJ1213" s="15"/>
      <c r="CK1213" s="1107"/>
      <c r="CL1213" s="22"/>
      <c r="CM1213" s="22"/>
      <c r="CN1213" s="1107"/>
      <c r="CR1213" s="223"/>
      <c r="CS1213" s="952"/>
      <c r="CT1213" s="1066"/>
      <c r="CU1213" s="972"/>
      <c r="CV1213" s="983"/>
      <c r="CW1213" s="222"/>
      <c r="CX1213" s="697"/>
      <c r="DC1213" s="222"/>
      <c r="DJ1213" s="889"/>
      <c r="DM1213" s="890"/>
      <c r="DN1213" s="952"/>
      <c r="DO1213" s="75"/>
      <c r="DP1213" s="962"/>
      <c r="DQ1213" s="983"/>
      <c r="DV1213" s="889"/>
    </row>
    <row r="1214" spans="1:126" s="74" customFormat="1">
      <c r="A1214" s="15"/>
      <c r="B1214" s="15"/>
      <c r="C1214" s="15"/>
      <c r="D1214" s="15"/>
      <c r="E1214" s="6"/>
      <c r="F1214" s="6"/>
      <c r="G1214" s="6"/>
      <c r="K1214" s="222"/>
      <c r="V1214" s="1430"/>
      <c r="AA1214" s="223"/>
      <c r="AC1214" s="889"/>
      <c r="AF1214" s="890"/>
      <c r="AJ1214" s="889"/>
      <c r="AN1214" s="222"/>
      <c r="BC1214" s="223"/>
      <c r="BD1214" s="222"/>
      <c r="BH1214" s="611"/>
      <c r="BJ1214" s="15"/>
      <c r="BK1214" s="15"/>
      <c r="BO1214" s="223"/>
      <c r="BQ1214" s="889"/>
      <c r="BT1214" s="890"/>
      <c r="BX1214" s="889"/>
      <c r="CB1214" s="15"/>
      <c r="CC1214" s="697"/>
      <c r="CD1214" s="1086"/>
      <c r="CE1214" s="15"/>
      <c r="CF1214" s="15"/>
      <c r="CG1214" s="936"/>
      <c r="CH1214" s="15"/>
      <c r="CI1214" s="15"/>
      <c r="CJ1214" s="15"/>
      <c r="CK1214" s="1107"/>
      <c r="CL1214" s="22"/>
      <c r="CM1214" s="22"/>
      <c r="CN1214" s="1107"/>
      <c r="CR1214" s="223"/>
      <c r="CS1214" s="952"/>
      <c r="CT1214" s="1066"/>
      <c r="CU1214" s="972"/>
      <c r="CV1214" s="983"/>
      <c r="CW1214" s="222"/>
      <c r="CX1214" s="697"/>
      <c r="DC1214" s="222"/>
      <c r="DJ1214" s="889"/>
      <c r="DM1214" s="890"/>
      <c r="DN1214" s="952"/>
      <c r="DO1214" s="75"/>
      <c r="DP1214" s="962"/>
      <c r="DQ1214" s="983"/>
      <c r="DV1214" s="889"/>
    </row>
    <row r="1215" spans="1:126" s="74" customFormat="1">
      <c r="A1215" s="15"/>
      <c r="B1215" s="15"/>
      <c r="C1215" s="15"/>
      <c r="D1215" s="15"/>
      <c r="E1215" s="6"/>
      <c r="F1215" s="6"/>
      <c r="G1215" s="6"/>
      <c r="K1215" s="222"/>
      <c r="V1215" s="1430"/>
      <c r="AA1215" s="223"/>
      <c r="AC1215" s="889"/>
      <c r="AF1215" s="890"/>
      <c r="AJ1215" s="889"/>
      <c r="AN1215" s="222"/>
      <c r="BC1215" s="223"/>
      <c r="BD1215" s="222"/>
      <c r="BH1215" s="611"/>
      <c r="BJ1215" s="15"/>
      <c r="BK1215" s="15"/>
      <c r="BO1215" s="223"/>
      <c r="BQ1215" s="889"/>
      <c r="BT1215" s="890"/>
      <c r="BX1215" s="889"/>
      <c r="CB1215" s="15"/>
      <c r="CC1215" s="697"/>
      <c r="CD1215" s="1086"/>
      <c r="CE1215" s="15"/>
      <c r="CF1215" s="15"/>
      <c r="CG1215" s="936"/>
      <c r="CH1215" s="15"/>
      <c r="CI1215" s="15"/>
      <c r="CJ1215" s="15"/>
      <c r="CK1215" s="1107"/>
      <c r="CL1215" s="22"/>
      <c r="CM1215" s="22"/>
      <c r="CN1215" s="1107"/>
      <c r="CR1215" s="223"/>
      <c r="CS1215" s="952"/>
      <c r="CT1215" s="1066"/>
      <c r="CU1215" s="972"/>
      <c r="CV1215" s="983"/>
      <c r="CW1215" s="222"/>
      <c r="CX1215" s="697"/>
      <c r="DC1215" s="222"/>
      <c r="DJ1215" s="889"/>
      <c r="DM1215" s="890"/>
      <c r="DN1215" s="952"/>
      <c r="DO1215" s="75"/>
      <c r="DP1215" s="962"/>
      <c r="DQ1215" s="983"/>
      <c r="DV1215" s="889"/>
    </row>
    <row r="1216" spans="1:126" s="74" customFormat="1">
      <c r="A1216" s="15"/>
      <c r="B1216" s="15"/>
      <c r="C1216" s="15"/>
      <c r="D1216" s="15"/>
      <c r="E1216" s="6"/>
      <c r="F1216" s="6"/>
      <c r="G1216" s="6"/>
      <c r="K1216" s="222"/>
      <c r="V1216" s="1430"/>
      <c r="AA1216" s="223"/>
      <c r="AC1216" s="889"/>
      <c r="AF1216" s="890"/>
      <c r="AJ1216" s="889"/>
      <c r="AN1216" s="222"/>
      <c r="BC1216" s="223"/>
      <c r="BD1216" s="222"/>
      <c r="BH1216" s="611"/>
      <c r="BJ1216" s="15"/>
      <c r="BK1216" s="15"/>
      <c r="BO1216" s="223"/>
      <c r="BQ1216" s="889"/>
      <c r="BT1216" s="890"/>
      <c r="BX1216" s="889"/>
      <c r="CB1216" s="15"/>
      <c r="CC1216" s="697"/>
      <c r="CD1216" s="1086"/>
      <c r="CE1216" s="15"/>
      <c r="CF1216" s="15"/>
      <c r="CG1216" s="936"/>
      <c r="CH1216" s="15"/>
      <c r="CI1216" s="15"/>
      <c r="CJ1216" s="15"/>
      <c r="CK1216" s="1107"/>
      <c r="CL1216" s="22"/>
      <c r="CM1216" s="22"/>
      <c r="CN1216" s="1107"/>
      <c r="CR1216" s="223"/>
      <c r="CS1216" s="952"/>
      <c r="CT1216" s="1066"/>
      <c r="CU1216" s="972"/>
      <c r="CV1216" s="983"/>
      <c r="CW1216" s="222"/>
      <c r="CX1216" s="697"/>
      <c r="DC1216" s="222"/>
      <c r="DJ1216" s="889"/>
      <c r="DM1216" s="890"/>
      <c r="DN1216" s="952"/>
      <c r="DO1216" s="75"/>
      <c r="DP1216" s="962"/>
      <c r="DQ1216" s="983"/>
      <c r="DV1216" s="889"/>
    </row>
    <row r="1217" spans="1:126" s="74" customFormat="1">
      <c r="A1217" s="15"/>
      <c r="B1217" s="15"/>
      <c r="C1217" s="15"/>
      <c r="D1217" s="15"/>
      <c r="E1217" s="6"/>
      <c r="F1217" s="6"/>
      <c r="G1217" s="6"/>
      <c r="K1217" s="222"/>
      <c r="V1217" s="1430"/>
      <c r="AA1217" s="223"/>
      <c r="AC1217" s="889"/>
      <c r="AF1217" s="890"/>
      <c r="AJ1217" s="889"/>
      <c r="AN1217" s="222"/>
      <c r="BC1217" s="223"/>
      <c r="BD1217" s="222"/>
      <c r="BH1217" s="611"/>
      <c r="BJ1217" s="15"/>
      <c r="BK1217" s="15"/>
      <c r="BO1217" s="223"/>
      <c r="BQ1217" s="889"/>
      <c r="BT1217" s="890"/>
      <c r="BX1217" s="889"/>
      <c r="CB1217" s="15"/>
      <c r="CC1217" s="697"/>
      <c r="CD1217" s="1086"/>
      <c r="CE1217" s="15"/>
      <c r="CF1217" s="15"/>
      <c r="CG1217" s="936"/>
      <c r="CH1217" s="15"/>
      <c r="CI1217" s="15"/>
      <c r="CJ1217" s="15"/>
      <c r="CK1217" s="1107"/>
      <c r="CL1217" s="22"/>
      <c r="CM1217" s="22"/>
      <c r="CN1217" s="1107"/>
      <c r="CR1217" s="223"/>
      <c r="CS1217" s="952"/>
      <c r="CT1217" s="1066"/>
      <c r="CU1217" s="972"/>
      <c r="CV1217" s="983"/>
      <c r="CW1217" s="222"/>
      <c r="CX1217" s="697"/>
      <c r="DC1217" s="222"/>
      <c r="DJ1217" s="889"/>
      <c r="DM1217" s="890"/>
      <c r="DN1217" s="952"/>
      <c r="DO1217" s="75"/>
      <c r="DP1217" s="962"/>
      <c r="DQ1217" s="983"/>
      <c r="DV1217" s="889"/>
    </row>
    <row r="1218" spans="1:126" s="74" customFormat="1">
      <c r="A1218" s="15"/>
      <c r="B1218" s="15"/>
      <c r="C1218" s="15"/>
      <c r="D1218" s="15"/>
      <c r="E1218" s="6"/>
      <c r="F1218" s="6"/>
      <c r="G1218" s="6"/>
      <c r="K1218" s="222"/>
      <c r="V1218" s="1430"/>
      <c r="AA1218" s="223"/>
      <c r="AC1218" s="889"/>
      <c r="AF1218" s="890"/>
      <c r="AJ1218" s="889"/>
      <c r="AN1218" s="222"/>
      <c r="BC1218" s="223"/>
      <c r="BD1218" s="222"/>
      <c r="BH1218" s="611"/>
      <c r="BJ1218" s="15"/>
      <c r="BK1218" s="15"/>
      <c r="BO1218" s="223"/>
      <c r="BQ1218" s="889"/>
      <c r="BT1218" s="890"/>
      <c r="BX1218" s="889"/>
      <c r="CB1218" s="15"/>
      <c r="CC1218" s="697"/>
      <c r="CD1218" s="1086"/>
      <c r="CE1218" s="15"/>
      <c r="CF1218" s="15"/>
      <c r="CG1218" s="936"/>
      <c r="CH1218" s="15"/>
      <c r="CI1218" s="15"/>
      <c r="CJ1218" s="15"/>
      <c r="CK1218" s="1107"/>
      <c r="CL1218" s="22"/>
      <c r="CM1218" s="22"/>
      <c r="CN1218" s="1107"/>
      <c r="CR1218" s="223"/>
      <c r="CS1218" s="952"/>
      <c r="CT1218" s="1066"/>
      <c r="CU1218" s="972"/>
      <c r="CV1218" s="983"/>
      <c r="CW1218" s="222"/>
      <c r="CX1218" s="697"/>
      <c r="DC1218" s="222"/>
      <c r="DJ1218" s="889"/>
      <c r="DM1218" s="890"/>
      <c r="DN1218" s="952"/>
      <c r="DO1218" s="75"/>
      <c r="DP1218" s="962"/>
      <c r="DQ1218" s="983"/>
      <c r="DV1218" s="889"/>
    </row>
    <row r="1219" spans="1:126" s="74" customFormat="1">
      <c r="A1219" s="15"/>
      <c r="B1219" s="15"/>
      <c r="C1219" s="15"/>
      <c r="D1219" s="15"/>
      <c r="E1219" s="6"/>
      <c r="F1219" s="6"/>
      <c r="G1219" s="6"/>
      <c r="K1219" s="222"/>
      <c r="V1219" s="1430"/>
      <c r="AA1219" s="223"/>
      <c r="AC1219" s="889"/>
      <c r="AF1219" s="890"/>
      <c r="AJ1219" s="889"/>
      <c r="AN1219" s="222"/>
      <c r="BC1219" s="223"/>
      <c r="BD1219" s="222"/>
      <c r="BH1219" s="611"/>
      <c r="BJ1219" s="15"/>
      <c r="BK1219" s="15"/>
      <c r="BO1219" s="223"/>
      <c r="BQ1219" s="889"/>
      <c r="BT1219" s="890"/>
      <c r="BX1219" s="889"/>
      <c r="CB1219" s="15"/>
      <c r="CC1219" s="697"/>
      <c r="CD1219" s="1086"/>
      <c r="CE1219" s="15"/>
      <c r="CF1219" s="15"/>
      <c r="CG1219" s="936"/>
      <c r="CH1219" s="15"/>
      <c r="CI1219" s="15"/>
      <c r="CJ1219" s="15"/>
      <c r="CK1219" s="1107"/>
      <c r="CL1219" s="22"/>
      <c r="CM1219" s="22"/>
      <c r="CN1219" s="1107"/>
      <c r="CR1219" s="223"/>
      <c r="CS1219" s="952"/>
      <c r="CT1219" s="1066"/>
      <c r="CU1219" s="972"/>
      <c r="CV1219" s="983"/>
      <c r="CW1219" s="222"/>
      <c r="CX1219" s="697"/>
      <c r="DC1219" s="222"/>
      <c r="DJ1219" s="889"/>
      <c r="DM1219" s="890"/>
      <c r="DN1219" s="952"/>
      <c r="DO1219" s="75"/>
      <c r="DP1219" s="962"/>
      <c r="DQ1219" s="983"/>
      <c r="DV1219" s="889"/>
    </row>
    <row r="1220" spans="1:126" s="74" customFormat="1">
      <c r="A1220" s="15"/>
      <c r="B1220" s="15"/>
      <c r="C1220" s="15"/>
      <c r="D1220" s="15"/>
      <c r="E1220" s="6"/>
      <c r="F1220" s="6"/>
      <c r="G1220" s="6"/>
      <c r="K1220" s="222"/>
      <c r="V1220" s="1430"/>
      <c r="AA1220" s="223"/>
      <c r="AC1220" s="889"/>
      <c r="AF1220" s="890"/>
      <c r="AJ1220" s="889"/>
      <c r="AN1220" s="222"/>
      <c r="BC1220" s="223"/>
      <c r="BD1220" s="222"/>
      <c r="BH1220" s="611"/>
      <c r="BJ1220" s="15"/>
      <c r="BK1220" s="15"/>
      <c r="BO1220" s="223"/>
      <c r="BQ1220" s="889"/>
      <c r="BT1220" s="890"/>
      <c r="BX1220" s="889"/>
      <c r="CB1220" s="15"/>
      <c r="CC1220" s="697"/>
      <c r="CD1220" s="1086"/>
      <c r="CE1220" s="15"/>
      <c r="CF1220" s="15"/>
      <c r="CG1220" s="936"/>
      <c r="CH1220" s="15"/>
      <c r="CI1220" s="15"/>
      <c r="CJ1220" s="15"/>
      <c r="CK1220" s="1107"/>
      <c r="CL1220" s="22"/>
      <c r="CM1220" s="22"/>
      <c r="CN1220" s="1107"/>
      <c r="CR1220" s="223"/>
      <c r="CS1220" s="952"/>
      <c r="CT1220" s="1066"/>
      <c r="CU1220" s="972"/>
      <c r="CV1220" s="983"/>
      <c r="CW1220" s="222"/>
      <c r="CX1220" s="697"/>
      <c r="DC1220" s="222"/>
      <c r="DJ1220" s="889"/>
      <c r="DM1220" s="890"/>
      <c r="DN1220" s="952"/>
      <c r="DO1220" s="75"/>
      <c r="DP1220" s="962"/>
      <c r="DQ1220" s="983"/>
      <c r="DV1220" s="889"/>
    </row>
    <row r="1221" spans="1:126" s="74" customFormat="1">
      <c r="A1221" s="15"/>
      <c r="B1221" s="15"/>
      <c r="C1221" s="15"/>
      <c r="D1221" s="15"/>
      <c r="E1221" s="6"/>
      <c r="F1221" s="6"/>
      <c r="G1221" s="6"/>
      <c r="K1221" s="222"/>
      <c r="V1221" s="1430"/>
      <c r="AA1221" s="223"/>
      <c r="AC1221" s="889"/>
      <c r="AF1221" s="890"/>
      <c r="AJ1221" s="889"/>
      <c r="AN1221" s="222"/>
      <c r="BC1221" s="223"/>
      <c r="BD1221" s="222"/>
      <c r="BH1221" s="611"/>
      <c r="BJ1221" s="15"/>
      <c r="BK1221" s="15"/>
      <c r="BO1221" s="223"/>
      <c r="BQ1221" s="889"/>
      <c r="BT1221" s="890"/>
      <c r="BX1221" s="889"/>
      <c r="CB1221" s="15"/>
      <c r="CC1221" s="697"/>
      <c r="CD1221" s="1086"/>
      <c r="CE1221" s="15"/>
      <c r="CF1221" s="15"/>
      <c r="CG1221" s="936"/>
      <c r="CH1221" s="15"/>
      <c r="CI1221" s="15"/>
      <c r="CJ1221" s="15"/>
      <c r="CK1221" s="1107"/>
      <c r="CL1221" s="22"/>
      <c r="CM1221" s="22"/>
      <c r="CN1221" s="1107"/>
      <c r="CR1221" s="223"/>
      <c r="CS1221" s="952"/>
      <c r="CT1221" s="1066"/>
      <c r="CU1221" s="972"/>
      <c r="CV1221" s="983"/>
      <c r="CW1221" s="222"/>
      <c r="CX1221" s="697"/>
      <c r="DC1221" s="222"/>
      <c r="DJ1221" s="889"/>
      <c r="DM1221" s="890"/>
      <c r="DN1221" s="952"/>
      <c r="DO1221" s="75"/>
      <c r="DP1221" s="962"/>
      <c r="DQ1221" s="983"/>
      <c r="DV1221" s="889"/>
    </row>
    <row r="1222" spans="1:126" s="74" customFormat="1">
      <c r="A1222" s="15"/>
      <c r="B1222" s="15"/>
      <c r="C1222" s="15"/>
      <c r="D1222" s="15"/>
      <c r="E1222" s="6"/>
      <c r="F1222" s="6"/>
      <c r="G1222" s="6"/>
      <c r="K1222" s="222"/>
      <c r="V1222" s="1430"/>
      <c r="AA1222" s="223"/>
      <c r="AC1222" s="889"/>
      <c r="AF1222" s="890"/>
      <c r="AJ1222" s="889"/>
      <c r="AN1222" s="222"/>
      <c r="BC1222" s="223"/>
      <c r="BD1222" s="222"/>
      <c r="BH1222" s="611"/>
      <c r="BJ1222" s="15"/>
      <c r="BK1222" s="15"/>
      <c r="BO1222" s="223"/>
      <c r="BQ1222" s="889"/>
      <c r="BT1222" s="890"/>
      <c r="BX1222" s="889"/>
      <c r="CB1222" s="15"/>
      <c r="CC1222" s="697"/>
      <c r="CD1222" s="1086"/>
      <c r="CE1222" s="15"/>
      <c r="CF1222" s="15"/>
      <c r="CG1222" s="936"/>
      <c r="CH1222" s="15"/>
      <c r="CI1222" s="15"/>
      <c r="CJ1222" s="15"/>
      <c r="CK1222" s="1107"/>
      <c r="CL1222" s="22"/>
      <c r="CM1222" s="22"/>
      <c r="CN1222" s="1107"/>
      <c r="CR1222" s="223"/>
      <c r="CS1222" s="952"/>
      <c r="CT1222" s="1066"/>
      <c r="CU1222" s="972"/>
      <c r="CV1222" s="983"/>
      <c r="CW1222" s="222"/>
      <c r="CX1222" s="697"/>
      <c r="DC1222" s="222"/>
      <c r="DJ1222" s="889"/>
      <c r="DM1222" s="890"/>
      <c r="DN1222" s="952"/>
      <c r="DO1222" s="75"/>
      <c r="DP1222" s="962"/>
      <c r="DQ1222" s="983"/>
      <c r="DV1222" s="889"/>
    </row>
    <row r="1223" spans="1:126" s="74" customFormat="1">
      <c r="A1223" s="15"/>
      <c r="B1223" s="15"/>
      <c r="C1223" s="15"/>
      <c r="D1223" s="15"/>
      <c r="E1223" s="6"/>
      <c r="F1223" s="6"/>
      <c r="G1223" s="6"/>
      <c r="K1223" s="222"/>
      <c r="V1223" s="1430"/>
      <c r="AA1223" s="223"/>
      <c r="AC1223" s="889"/>
      <c r="AF1223" s="890"/>
      <c r="AJ1223" s="889"/>
      <c r="AN1223" s="222"/>
      <c r="BC1223" s="223"/>
      <c r="BD1223" s="222"/>
      <c r="BH1223" s="611"/>
      <c r="BJ1223" s="15"/>
      <c r="BK1223" s="15"/>
      <c r="BO1223" s="223"/>
      <c r="BQ1223" s="889"/>
      <c r="BT1223" s="890"/>
      <c r="BX1223" s="889"/>
      <c r="CB1223" s="15"/>
      <c r="CC1223" s="697"/>
      <c r="CD1223" s="1086"/>
      <c r="CE1223" s="15"/>
      <c r="CF1223" s="15"/>
      <c r="CG1223" s="936"/>
      <c r="CH1223" s="15"/>
      <c r="CI1223" s="15"/>
      <c r="CJ1223" s="15"/>
      <c r="CK1223" s="1107"/>
      <c r="CL1223" s="22"/>
      <c r="CM1223" s="22"/>
      <c r="CN1223" s="1107"/>
      <c r="CR1223" s="223"/>
      <c r="CS1223" s="952"/>
      <c r="CT1223" s="1066"/>
      <c r="CU1223" s="972"/>
      <c r="CV1223" s="983"/>
      <c r="CW1223" s="222"/>
      <c r="CX1223" s="697"/>
      <c r="DC1223" s="222"/>
      <c r="DJ1223" s="889"/>
      <c r="DM1223" s="890"/>
      <c r="DN1223" s="952"/>
      <c r="DO1223" s="75"/>
      <c r="DP1223" s="962"/>
      <c r="DQ1223" s="983"/>
      <c r="DV1223" s="889"/>
    </row>
    <row r="1224" spans="1:126" s="74" customFormat="1">
      <c r="A1224" s="15"/>
      <c r="B1224" s="15"/>
      <c r="C1224" s="15"/>
      <c r="D1224" s="15"/>
      <c r="E1224" s="6"/>
      <c r="F1224" s="6"/>
      <c r="G1224" s="6"/>
      <c r="K1224" s="222"/>
      <c r="V1224" s="1430"/>
      <c r="AA1224" s="223"/>
      <c r="AC1224" s="889"/>
      <c r="AF1224" s="890"/>
      <c r="AJ1224" s="889"/>
      <c r="AN1224" s="222"/>
      <c r="BC1224" s="223"/>
      <c r="BD1224" s="222"/>
      <c r="BH1224" s="611"/>
      <c r="BJ1224" s="15"/>
      <c r="BK1224" s="15"/>
      <c r="BO1224" s="223"/>
      <c r="BQ1224" s="889"/>
      <c r="BT1224" s="890"/>
      <c r="BX1224" s="889"/>
      <c r="CB1224" s="15"/>
      <c r="CC1224" s="697"/>
      <c r="CD1224" s="1086"/>
      <c r="CE1224" s="15"/>
      <c r="CF1224" s="15"/>
      <c r="CG1224" s="936"/>
      <c r="CH1224" s="15"/>
      <c r="CI1224" s="15"/>
      <c r="CJ1224" s="15"/>
      <c r="CK1224" s="1107"/>
      <c r="CL1224" s="22"/>
      <c r="CM1224" s="22"/>
      <c r="CN1224" s="1107"/>
      <c r="CR1224" s="223"/>
      <c r="CS1224" s="952"/>
      <c r="CT1224" s="1066"/>
      <c r="CU1224" s="972"/>
      <c r="CV1224" s="983"/>
      <c r="CW1224" s="222"/>
      <c r="CX1224" s="697"/>
      <c r="DC1224" s="222"/>
      <c r="DJ1224" s="889"/>
      <c r="DM1224" s="890"/>
      <c r="DN1224" s="952"/>
      <c r="DO1224" s="75"/>
      <c r="DP1224" s="962"/>
      <c r="DQ1224" s="983"/>
      <c r="DV1224" s="889"/>
    </row>
    <row r="1225" spans="1:126" s="74" customFormat="1">
      <c r="A1225" s="15"/>
      <c r="B1225" s="15"/>
      <c r="C1225" s="15"/>
      <c r="D1225" s="15"/>
      <c r="E1225" s="6"/>
      <c r="F1225" s="6"/>
      <c r="G1225" s="6"/>
      <c r="K1225" s="222"/>
      <c r="V1225" s="1430"/>
      <c r="AA1225" s="223"/>
      <c r="AC1225" s="889"/>
      <c r="AF1225" s="890"/>
      <c r="AJ1225" s="889"/>
      <c r="AN1225" s="222"/>
      <c r="BC1225" s="223"/>
      <c r="BD1225" s="222"/>
      <c r="BH1225" s="611"/>
      <c r="BJ1225" s="15"/>
      <c r="BK1225" s="15"/>
      <c r="BO1225" s="223"/>
      <c r="BQ1225" s="889"/>
      <c r="BT1225" s="890"/>
      <c r="BX1225" s="889"/>
      <c r="CB1225" s="15"/>
      <c r="CC1225" s="697"/>
      <c r="CD1225" s="1086"/>
      <c r="CE1225" s="15"/>
      <c r="CF1225" s="15"/>
      <c r="CG1225" s="936"/>
      <c r="CH1225" s="15"/>
      <c r="CI1225" s="15"/>
      <c r="CJ1225" s="15"/>
      <c r="CK1225" s="1107"/>
      <c r="CL1225" s="22"/>
      <c r="CM1225" s="22"/>
      <c r="CN1225" s="1107"/>
      <c r="CR1225" s="223"/>
      <c r="CS1225" s="952"/>
      <c r="CT1225" s="1066"/>
      <c r="CU1225" s="972"/>
      <c r="CV1225" s="983"/>
      <c r="CW1225" s="222"/>
      <c r="CX1225" s="697"/>
      <c r="DC1225" s="222"/>
      <c r="DJ1225" s="889"/>
      <c r="DM1225" s="890"/>
      <c r="DN1225" s="952"/>
      <c r="DO1225" s="75"/>
      <c r="DP1225" s="962"/>
      <c r="DQ1225" s="983"/>
      <c r="DV1225" s="889"/>
    </row>
    <row r="1226" spans="1:126" s="74" customFormat="1">
      <c r="A1226" s="15"/>
      <c r="B1226" s="15"/>
      <c r="C1226" s="15"/>
      <c r="D1226" s="15"/>
      <c r="E1226" s="6"/>
      <c r="F1226" s="6"/>
      <c r="G1226" s="6"/>
      <c r="K1226" s="222"/>
      <c r="V1226" s="1430"/>
      <c r="AA1226" s="223"/>
      <c r="AC1226" s="889"/>
      <c r="AF1226" s="890"/>
      <c r="AJ1226" s="889"/>
      <c r="AN1226" s="222"/>
      <c r="BC1226" s="223"/>
      <c r="BD1226" s="222"/>
      <c r="BH1226" s="611"/>
      <c r="BJ1226" s="15"/>
      <c r="BK1226" s="15"/>
      <c r="BO1226" s="223"/>
      <c r="BQ1226" s="889"/>
      <c r="BT1226" s="890"/>
      <c r="BX1226" s="889"/>
      <c r="CB1226" s="15"/>
      <c r="CC1226" s="697"/>
      <c r="CD1226" s="1086"/>
      <c r="CE1226" s="15"/>
      <c r="CF1226" s="15"/>
      <c r="CG1226" s="936"/>
      <c r="CH1226" s="15"/>
      <c r="CI1226" s="15"/>
      <c r="CJ1226" s="15"/>
      <c r="CK1226" s="1107"/>
      <c r="CL1226" s="22"/>
      <c r="CM1226" s="22"/>
      <c r="CN1226" s="1107"/>
      <c r="CR1226" s="223"/>
      <c r="CS1226" s="952"/>
      <c r="CT1226" s="1066"/>
      <c r="CU1226" s="972"/>
      <c r="CV1226" s="983"/>
      <c r="CW1226" s="222"/>
      <c r="CX1226" s="697"/>
      <c r="DC1226" s="222"/>
      <c r="DJ1226" s="889"/>
      <c r="DM1226" s="890"/>
      <c r="DN1226" s="952"/>
      <c r="DO1226" s="75"/>
      <c r="DP1226" s="962"/>
      <c r="DQ1226" s="983"/>
      <c r="DV1226" s="889"/>
    </row>
    <row r="1227" spans="1:126" s="74" customFormat="1">
      <c r="A1227" s="15"/>
      <c r="B1227" s="15"/>
      <c r="C1227" s="15"/>
      <c r="D1227" s="15"/>
      <c r="E1227" s="6"/>
      <c r="F1227" s="6"/>
      <c r="G1227" s="6"/>
      <c r="K1227" s="222"/>
      <c r="V1227" s="1430"/>
      <c r="AA1227" s="223"/>
      <c r="AC1227" s="889"/>
      <c r="AF1227" s="890"/>
      <c r="AJ1227" s="889"/>
      <c r="AN1227" s="222"/>
      <c r="BC1227" s="223"/>
      <c r="BD1227" s="222"/>
      <c r="BH1227" s="611"/>
      <c r="BJ1227" s="15"/>
      <c r="BK1227" s="15"/>
      <c r="BO1227" s="223"/>
      <c r="BQ1227" s="889"/>
      <c r="BT1227" s="890"/>
      <c r="BX1227" s="889"/>
      <c r="CB1227" s="15"/>
      <c r="CC1227" s="697"/>
      <c r="CD1227" s="1086"/>
      <c r="CE1227" s="15"/>
      <c r="CF1227" s="15"/>
      <c r="CG1227" s="936"/>
      <c r="CH1227" s="15"/>
      <c r="CI1227" s="15"/>
      <c r="CJ1227" s="15"/>
      <c r="CK1227" s="1107"/>
      <c r="CL1227" s="22"/>
      <c r="CM1227" s="22"/>
      <c r="CN1227" s="1107"/>
      <c r="CR1227" s="223"/>
      <c r="CS1227" s="952"/>
      <c r="CT1227" s="1066"/>
      <c r="CU1227" s="972"/>
      <c r="CV1227" s="983"/>
      <c r="CW1227" s="222"/>
      <c r="CX1227" s="697"/>
      <c r="DC1227" s="222"/>
      <c r="DJ1227" s="889"/>
      <c r="DM1227" s="890"/>
      <c r="DN1227" s="952"/>
      <c r="DO1227" s="75"/>
      <c r="DP1227" s="962"/>
      <c r="DQ1227" s="983"/>
      <c r="DV1227" s="889"/>
    </row>
    <row r="1228" spans="1:126" s="74" customFormat="1">
      <c r="A1228" s="15"/>
      <c r="B1228" s="15"/>
      <c r="C1228" s="15"/>
      <c r="D1228" s="15"/>
      <c r="E1228" s="6"/>
      <c r="F1228" s="6"/>
      <c r="G1228" s="6"/>
      <c r="K1228" s="222"/>
      <c r="V1228" s="1430"/>
      <c r="AA1228" s="223"/>
      <c r="AC1228" s="889"/>
      <c r="AF1228" s="890"/>
      <c r="AJ1228" s="889"/>
      <c r="AN1228" s="222"/>
      <c r="BC1228" s="223"/>
      <c r="BD1228" s="222"/>
      <c r="BH1228" s="611"/>
      <c r="BJ1228" s="15"/>
      <c r="BK1228" s="15"/>
      <c r="BO1228" s="223"/>
      <c r="BQ1228" s="889"/>
      <c r="BT1228" s="890"/>
      <c r="BX1228" s="889"/>
      <c r="CB1228" s="15"/>
      <c r="CC1228" s="697"/>
      <c r="CD1228" s="1086"/>
      <c r="CE1228" s="15"/>
      <c r="CF1228" s="15"/>
      <c r="CG1228" s="936"/>
      <c r="CH1228" s="15"/>
      <c r="CI1228" s="15"/>
      <c r="CJ1228" s="15"/>
      <c r="CK1228" s="1107"/>
      <c r="CL1228" s="22"/>
      <c r="CM1228" s="22"/>
      <c r="CN1228" s="1107"/>
      <c r="CR1228" s="223"/>
      <c r="CS1228" s="952"/>
      <c r="CT1228" s="1066"/>
      <c r="CU1228" s="972"/>
      <c r="CV1228" s="983"/>
      <c r="CW1228" s="222"/>
      <c r="CX1228" s="697"/>
      <c r="DC1228" s="222"/>
      <c r="DJ1228" s="889"/>
      <c r="DM1228" s="890"/>
      <c r="DN1228" s="952"/>
      <c r="DO1228" s="75"/>
      <c r="DP1228" s="962"/>
      <c r="DQ1228" s="983"/>
      <c r="DV1228" s="889"/>
    </row>
    <row r="1229" spans="1:126" s="74" customFormat="1">
      <c r="A1229" s="15"/>
      <c r="B1229" s="15"/>
      <c r="C1229" s="15"/>
      <c r="D1229" s="15"/>
      <c r="E1229" s="6"/>
      <c r="F1229" s="6"/>
      <c r="G1229" s="6"/>
      <c r="K1229" s="222"/>
      <c r="V1229" s="1430"/>
      <c r="AA1229" s="223"/>
      <c r="AC1229" s="889"/>
      <c r="AF1229" s="890"/>
      <c r="AJ1229" s="889"/>
      <c r="AN1229" s="222"/>
      <c r="BC1229" s="223"/>
      <c r="BD1229" s="222"/>
      <c r="BH1229" s="611"/>
      <c r="BJ1229" s="15"/>
      <c r="BK1229" s="15"/>
      <c r="BO1229" s="223"/>
      <c r="BQ1229" s="889"/>
      <c r="BT1229" s="890"/>
      <c r="BX1229" s="889"/>
      <c r="CB1229" s="15"/>
      <c r="CC1229" s="697"/>
      <c r="CD1229" s="1086"/>
      <c r="CE1229" s="15"/>
      <c r="CF1229" s="15"/>
      <c r="CG1229" s="936"/>
      <c r="CH1229" s="15"/>
      <c r="CI1229" s="15"/>
      <c r="CJ1229" s="15"/>
      <c r="CK1229" s="1107"/>
      <c r="CL1229" s="22"/>
      <c r="CM1229" s="22"/>
      <c r="CN1229" s="1107"/>
      <c r="CR1229" s="223"/>
      <c r="CS1229" s="952"/>
      <c r="CT1229" s="1066"/>
      <c r="CU1229" s="972"/>
      <c r="CV1229" s="983"/>
      <c r="CW1229" s="222"/>
      <c r="CX1229" s="697"/>
      <c r="DC1229" s="222"/>
      <c r="DJ1229" s="889"/>
      <c r="DM1229" s="890"/>
      <c r="DN1229" s="952"/>
      <c r="DO1229" s="75"/>
      <c r="DP1229" s="962"/>
      <c r="DQ1229" s="983"/>
      <c r="DV1229" s="889"/>
    </row>
    <row r="1230" spans="1:126" s="74" customFormat="1">
      <c r="A1230" s="15"/>
      <c r="B1230" s="15"/>
      <c r="C1230" s="15"/>
      <c r="D1230" s="15"/>
      <c r="E1230" s="6"/>
      <c r="F1230" s="6"/>
      <c r="G1230" s="6"/>
      <c r="K1230" s="222"/>
      <c r="V1230" s="1430"/>
      <c r="AA1230" s="223"/>
      <c r="AC1230" s="889"/>
      <c r="AF1230" s="890"/>
      <c r="AJ1230" s="889"/>
      <c r="AN1230" s="222"/>
      <c r="BC1230" s="223"/>
      <c r="BD1230" s="222"/>
      <c r="BH1230" s="611"/>
      <c r="BJ1230" s="15"/>
      <c r="BK1230" s="15"/>
      <c r="BO1230" s="223"/>
      <c r="BQ1230" s="889"/>
      <c r="BT1230" s="890"/>
      <c r="BX1230" s="889"/>
      <c r="CB1230" s="15"/>
      <c r="CC1230" s="697"/>
      <c r="CD1230" s="1086"/>
      <c r="CE1230" s="15"/>
      <c r="CF1230" s="15"/>
      <c r="CG1230" s="936"/>
      <c r="CH1230" s="15"/>
      <c r="CI1230" s="15"/>
      <c r="CJ1230" s="15"/>
      <c r="CK1230" s="1107"/>
      <c r="CL1230" s="22"/>
      <c r="CM1230" s="22"/>
      <c r="CN1230" s="1107"/>
      <c r="CR1230" s="223"/>
      <c r="CS1230" s="952"/>
      <c r="CT1230" s="1066"/>
      <c r="CU1230" s="972"/>
      <c r="CV1230" s="983"/>
      <c r="CW1230" s="222"/>
      <c r="CX1230" s="697"/>
      <c r="DC1230" s="222"/>
      <c r="DJ1230" s="889"/>
      <c r="DM1230" s="890"/>
      <c r="DN1230" s="952"/>
      <c r="DO1230" s="75"/>
      <c r="DP1230" s="962"/>
      <c r="DQ1230" s="983"/>
      <c r="DV1230" s="889"/>
    </row>
    <row r="1231" spans="1:126" s="74" customFormat="1">
      <c r="A1231" s="15"/>
      <c r="B1231" s="15"/>
      <c r="C1231" s="15"/>
      <c r="D1231" s="15"/>
      <c r="E1231" s="6"/>
      <c r="F1231" s="6"/>
      <c r="G1231" s="6"/>
      <c r="K1231" s="222"/>
      <c r="V1231" s="1430"/>
      <c r="AA1231" s="223"/>
      <c r="AC1231" s="889"/>
      <c r="AF1231" s="890"/>
      <c r="AJ1231" s="889"/>
      <c r="AN1231" s="222"/>
      <c r="BC1231" s="223"/>
      <c r="BD1231" s="222"/>
      <c r="BH1231" s="611"/>
      <c r="BJ1231" s="15"/>
      <c r="BK1231" s="15"/>
      <c r="BO1231" s="223"/>
      <c r="BQ1231" s="889"/>
      <c r="BT1231" s="890"/>
      <c r="BX1231" s="889"/>
      <c r="CB1231" s="15"/>
      <c r="CC1231" s="697"/>
      <c r="CD1231" s="1086"/>
      <c r="CE1231" s="15"/>
      <c r="CF1231" s="15"/>
      <c r="CG1231" s="936"/>
      <c r="CH1231" s="15"/>
      <c r="CI1231" s="15"/>
      <c r="CJ1231" s="15"/>
      <c r="CK1231" s="1107"/>
      <c r="CL1231" s="22"/>
      <c r="CM1231" s="22"/>
      <c r="CN1231" s="1107"/>
      <c r="CR1231" s="223"/>
      <c r="CS1231" s="952"/>
      <c r="CT1231" s="1066"/>
      <c r="CU1231" s="972"/>
      <c r="CV1231" s="983"/>
      <c r="CW1231" s="222"/>
      <c r="CX1231" s="697"/>
      <c r="DC1231" s="222"/>
      <c r="DJ1231" s="889"/>
      <c r="DM1231" s="890"/>
      <c r="DN1231" s="952"/>
      <c r="DO1231" s="75"/>
      <c r="DP1231" s="962"/>
      <c r="DQ1231" s="983"/>
      <c r="DV1231" s="889"/>
    </row>
    <row r="1232" spans="1:126" s="74" customFormat="1">
      <c r="A1232" s="15"/>
      <c r="B1232" s="15"/>
      <c r="C1232" s="15"/>
      <c r="D1232" s="15"/>
      <c r="E1232" s="6"/>
      <c r="F1232" s="6"/>
      <c r="G1232" s="6"/>
      <c r="K1232" s="222"/>
      <c r="V1232" s="1430"/>
      <c r="AA1232" s="223"/>
      <c r="AC1232" s="889"/>
      <c r="AF1232" s="890"/>
      <c r="AJ1232" s="889"/>
      <c r="AN1232" s="222"/>
      <c r="BC1232" s="223"/>
      <c r="BD1232" s="222"/>
      <c r="BH1232" s="611"/>
      <c r="BJ1232" s="15"/>
      <c r="BK1232" s="15"/>
      <c r="BO1232" s="223"/>
      <c r="BQ1232" s="889"/>
      <c r="BT1232" s="890"/>
      <c r="BX1232" s="889"/>
      <c r="CB1232" s="15"/>
      <c r="CC1232" s="697"/>
      <c r="CD1232" s="1086"/>
      <c r="CE1232" s="15"/>
      <c r="CF1232" s="15"/>
      <c r="CG1232" s="936"/>
      <c r="CH1232" s="15"/>
      <c r="CI1232" s="15"/>
      <c r="CJ1232" s="15"/>
      <c r="CK1232" s="1107"/>
      <c r="CL1232" s="22"/>
      <c r="CM1232" s="22"/>
      <c r="CN1232" s="1107"/>
      <c r="CR1232" s="223"/>
      <c r="CS1232" s="952"/>
      <c r="CT1232" s="1066"/>
      <c r="CU1232" s="972"/>
      <c r="CV1232" s="983"/>
      <c r="CW1232" s="222"/>
      <c r="CX1232" s="697"/>
      <c r="DC1232" s="222"/>
      <c r="DJ1232" s="889"/>
      <c r="DM1232" s="890"/>
      <c r="DN1232" s="952"/>
      <c r="DO1232" s="75"/>
      <c r="DP1232" s="962"/>
      <c r="DQ1232" s="983"/>
      <c r="DV1232" s="889"/>
    </row>
    <row r="1233" spans="1:126" s="74" customFormat="1">
      <c r="A1233" s="15"/>
      <c r="B1233" s="15"/>
      <c r="C1233" s="15"/>
      <c r="D1233" s="15"/>
      <c r="E1233" s="6"/>
      <c r="F1233" s="6"/>
      <c r="G1233" s="6"/>
      <c r="K1233" s="222"/>
      <c r="V1233" s="1430"/>
      <c r="AA1233" s="223"/>
      <c r="AC1233" s="889"/>
      <c r="AF1233" s="890"/>
      <c r="AJ1233" s="889"/>
      <c r="AN1233" s="222"/>
      <c r="BC1233" s="223"/>
      <c r="BD1233" s="222"/>
      <c r="BH1233" s="611"/>
      <c r="BJ1233" s="15"/>
      <c r="BK1233" s="15"/>
      <c r="BO1233" s="223"/>
      <c r="BQ1233" s="889"/>
      <c r="BT1233" s="890"/>
      <c r="BX1233" s="889"/>
      <c r="CB1233" s="15"/>
      <c r="CC1233" s="697"/>
      <c r="CD1233" s="1086"/>
      <c r="CE1233" s="15"/>
      <c r="CF1233" s="15"/>
      <c r="CG1233" s="936"/>
      <c r="CH1233" s="15"/>
      <c r="CI1233" s="15"/>
      <c r="CJ1233" s="15"/>
      <c r="CK1233" s="1107"/>
      <c r="CL1233" s="22"/>
      <c r="CM1233" s="22"/>
      <c r="CN1233" s="1107"/>
      <c r="CR1233" s="223"/>
      <c r="CS1233" s="952"/>
      <c r="CT1233" s="1066"/>
      <c r="CU1233" s="972"/>
      <c r="CV1233" s="983"/>
      <c r="CW1233" s="222"/>
      <c r="CX1233" s="697"/>
      <c r="DC1233" s="222"/>
      <c r="DJ1233" s="889"/>
      <c r="DM1233" s="890"/>
      <c r="DN1233" s="952"/>
      <c r="DO1233" s="75"/>
      <c r="DP1233" s="962"/>
      <c r="DQ1233" s="983"/>
      <c r="DV1233" s="889"/>
    </row>
    <row r="1234" spans="1:126" s="74" customFormat="1">
      <c r="A1234" s="15"/>
      <c r="B1234" s="15"/>
      <c r="C1234" s="15"/>
      <c r="D1234" s="15"/>
      <c r="E1234" s="6"/>
      <c r="F1234" s="6"/>
      <c r="G1234" s="6"/>
      <c r="K1234" s="222"/>
      <c r="V1234" s="1430"/>
      <c r="AA1234" s="223"/>
      <c r="AC1234" s="889"/>
      <c r="AF1234" s="890"/>
      <c r="AJ1234" s="889"/>
      <c r="AN1234" s="222"/>
      <c r="BC1234" s="223"/>
      <c r="BD1234" s="222"/>
      <c r="BH1234" s="611"/>
      <c r="BJ1234" s="15"/>
      <c r="BK1234" s="15"/>
      <c r="BO1234" s="223"/>
      <c r="BQ1234" s="889"/>
      <c r="BT1234" s="890"/>
      <c r="BX1234" s="889"/>
      <c r="CB1234" s="15"/>
      <c r="CC1234" s="697"/>
      <c r="CD1234" s="1086"/>
      <c r="CE1234" s="15"/>
      <c r="CF1234" s="15"/>
      <c r="CG1234" s="936"/>
      <c r="CH1234" s="15"/>
      <c r="CI1234" s="15"/>
      <c r="CJ1234" s="15"/>
      <c r="CK1234" s="1107"/>
      <c r="CL1234" s="22"/>
      <c r="CM1234" s="22"/>
      <c r="CN1234" s="1107"/>
      <c r="CR1234" s="223"/>
      <c r="CS1234" s="952"/>
      <c r="CT1234" s="1066"/>
      <c r="CU1234" s="972"/>
      <c r="CV1234" s="983"/>
      <c r="CW1234" s="222"/>
      <c r="CX1234" s="697"/>
      <c r="DC1234" s="222"/>
      <c r="DJ1234" s="889"/>
      <c r="DM1234" s="890"/>
      <c r="DN1234" s="952"/>
      <c r="DO1234" s="75"/>
      <c r="DP1234" s="962"/>
      <c r="DQ1234" s="983"/>
      <c r="DV1234" s="889"/>
    </row>
    <row r="1235" spans="1:126" s="74" customFormat="1">
      <c r="A1235" s="15"/>
      <c r="B1235" s="15"/>
      <c r="C1235" s="15"/>
      <c r="D1235" s="15"/>
      <c r="E1235" s="6"/>
      <c r="F1235" s="6"/>
      <c r="G1235" s="6"/>
      <c r="K1235" s="222"/>
      <c r="V1235" s="1430"/>
      <c r="AA1235" s="223"/>
      <c r="AC1235" s="889"/>
      <c r="AF1235" s="890"/>
      <c r="AJ1235" s="889"/>
      <c r="AN1235" s="222"/>
      <c r="BC1235" s="223"/>
      <c r="BD1235" s="222"/>
      <c r="BH1235" s="611"/>
      <c r="BJ1235" s="15"/>
      <c r="BK1235" s="15"/>
      <c r="BO1235" s="223"/>
      <c r="BQ1235" s="889"/>
      <c r="BT1235" s="890"/>
      <c r="BX1235" s="889"/>
      <c r="CB1235" s="15"/>
      <c r="CC1235" s="697"/>
      <c r="CD1235" s="1086"/>
      <c r="CE1235" s="15"/>
      <c r="CF1235" s="15"/>
      <c r="CG1235" s="936"/>
      <c r="CH1235" s="15"/>
      <c r="CI1235" s="15"/>
      <c r="CJ1235" s="15"/>
      <c r="CK1235" s="1107"/>
      <c r="CL1235" s="22"/>
      <c r="CM1235" s="22"/>
      <c r="CN1235" s="1107"/>
      <c r="CR1235" s="223"/>
      <c r="CS1235" s="952"/>
      <c r="CT1235" s="1066"/>
      <c r="CU1235" s="972"/>
      <c r="CV1235" s="983"/>
      <c r="CW1235" s="222"/>
      <c r="CX1235" s="697"/>
      <c r="DC1235" s="222"/>
      <c r="DJ1235" s="889"/>
      <c r="DM1235" s="890"/>
      <c r="DN1235" s="952"/>
      <c r="DO1235" s="75"/>
      <c r="DP1235" s="962"/>
      <c r="DQ1235" s="983"/>
      <c r="DV1235" s="889"/>
    </row>
    <row r="1236" spans="1:126" s="74" customFormat="1">
      <c r="A1236" s="15"/>
      <c r="B1236" s="15"/>
      <c r="C1236" s="15"/>
      <c r="D1236" s="15"/>
      <c r="E1236" s="6"/>
      <c r="F1236" s="6"/>
      <c r="G1236" s="6"/>
      <c r="K1236" s="222"/>
      <c r="V1236" s="1430"/>
      <c r="AA1236" s="223"/>
      <c r="AC1236" s="889"/>
      <c r="AF1236" s="890"/>
      <c r="AJ1236" s="889"/>
      <c r="AN1236" s="222"/>
      <c r="BC1236" s="223"/>
      <c r="BD1236" s="222"/>
      <c r="BH1236" s="611"/>
      <c r="BJ1236" s="15"/>
      <c r="BK1236" s="15"/>
      <c r="BO1236" s="223"/>
      <c r="BQ1236" s="889"/>
      <c r="BT1236" s="890"/>
      <c r="BX1236" s="889"/>
      <c r="CB1236" s="15"/>
      <c r="CC1236" s="697"/>
      <c r="CD1236" s="1086"/>
      <c r="CE1236" s="15"/>
      <c r="CF1236" s="15"/>
      <c r="CG1236" s="936"/>
      <c r="CH1236" s="15"/>
      <c r="CI1236" s="15"/>
      <c r="CJ1236" s="15"/>
      <c r="CK1236" s="1107"/>
      <c r="CL1236" s="22"/>
      <c r="CM1236" s="22"/>
      <c r="CN1236" s="1107"/>
      <c r="CR1236" s="223"/>
      <c r="CS1236" s="952"/>
      <c r="CT1236" s="1066"/>
      <c r="CU1236" s="972"/>
      <c r="CV1236" s="983"/>
      <c r="CW1236" s="222"/>
      <c r="CX1236" s="697"/>
      <c r="DC1236" s="222"/>
      <c r="DJ1236" s="889"/>
      <c r="DM1236" s="890"/>
      <c r="DN1236" s="952"/>
      <c r="DO1236" s="75"/>
      <c r="DP1236" s="962"/>
      <c r="DQ1236" s="983"/>
      <c r="DV1236" s="889"/>
    </row>
    <row r="1237" spans="1:126" s="74" customFormat="1">
      <c r="A1237" s="15"/>
      <c r="B1237" s="15"/>
      <c r="C1237" s="15"/>
      <c r="D1237" s="15"/>
      <c r="E1237" s="6"/>
      <c r="F1237" s="6"/>
      <c r="G1237" s="6"/>
      <c r="K1237" s="222"/>
      <c r="V1237" s="1430"/>
      <c r="AA1237" s="223"/>
      <c r="AC1237" s="889"/>
      <c r="AF1237" s="890"/>
      <c r="AJ1237" s="889"/>
      <c r="AN1237" s="222"/>
      <c r="BC1237" s="223"/>
      <c r="BD1237" s="222"/>
      <c r="BH1237" s="611"/>
      <c r="BJ1237" s="15"/>
      <c r="BK1237" s="15"/>
      <c r="BO1237" s="223"/>
      <c r="BQ1237" s="889"/>
      <c r="BT1237" s="890"/>
      <c r="BX1237" s="889"/>
      <c r="CB1237" s="15"/>
      <c r="CC1237" s="697"/>
      <c r="CD1237" s="1086"/>
      <c r="CE1237" s="15"/>
      <c r="CF1237" s="15"/>
      <c r="CG1237" s="936"/>
      <c r="CH1237" s="15"/>
      <c r="CI1237" s="15"/>
      <c r="CJ1237" s="15"/>
      <c r="CK1237" s="1107"/>
      <c r="CL1237" s="22"/>
      <c r="CM1237" s="22"/>
      <c r="CN1237" s="1107"/>
      <c r="CR1237" s="223"/>
      <c r="CS1237" s="952"/>
      <c r="CT1237" s="1066"/>
      <c r="CU1237" s="972"/>
      <c r="CV1237" s="983"/>
      <c r="CW1237" s="222"/>
      <c r="CX1237" s="697"/>
      <c r="DC1237" s="222"/>
      <c r="DJ1237" s="889"/>
      <c r="DM1237" s="890"/>
      <c r="DN1237" s="952"/>
      <c r="DO1237" s="75"/>
      <c r="DP1237" s="962"/>
      <c r="DQ1237" s="983"/>
      <c r="DV1237" s="889"/>
    </row>
    <row r="1238" spans="1:126" s="74" customFormat="1">
      <c r="A1238" s="15"/>
      <c r="B1238" s="15"/>
      <c r="C1238" s="15"/>
      <c r="D1238" s="15"/>
      <c r="E1238" s="6"/>
      <c r="F1238" s="6"/>
      <c r="G1238" s="6"/>
      <c r="K1238" s="222"/>
      <c r="V1238" s="1430"/>
      <c r="AA1238" s="223"/>
      <c r="AC1238" s="889"/>
      <c r="AF1238" s="890"/>
      <c r="AJ1238" s="889"/>
      <c r="AN1238" s="222"/>
      <c r="BC1238" s="223"/>
      <c r="BD1238" s="222"/>
      <c r="BH1238" s="611"/>
      <c r="BJ1238" s="15"/>
      <c r="BK1238" s="15"/>
      <c r="BO1238" s="223"/>
      <c r="BQ1238" s="889"/>
      <c r="BT1238" s="890"/>
      <c r="BX1238" s="889"/>
      <c r="CB1238" s="15"/>
      <c r="CC1238" s="697"/>
      <c r="CD1238" s="1086"/>
      <c r="CE1238" s="15"/>
      <c r="CF1238" s="15"/>
      <c r="CG1238" s="936"/>
      <c r="CH1238" s="15"/>
      <c r="CI1238" s="15"/>
      <c r="CJ1238" s="15"/>
      <c r="CK1238" s="1107"/>
      <c r="CL1238" s="22"/>
      <c r="CM1238" s="22"/>
      <c r="CN1238" s="1107"/>
      <c r="CR1238" s="223"/>
      <c r="CS1238" s="952"/>
      <c r="CT1238" s="1066"/>
      <c r="CU1238" s="972"/>
      <c r="CV1238" s="983"/>
      <c r="CW1238" s="222"/>
      <c r="CX1238" s="697"/>
      <c r="DC1238" s="222"/>
      <c r="DJ1238" s="889"/>
      <c r="DM1238" s="890"/>
      <c r="DN1238" s="952"/>
      <c r="DO1238" s="75"/>
      <c r="DP1238" s="962"/>
      <c r="DQ1238" s="983"/>
      <c r="DV1238" s="889"/>
    </row>
    <row r="1239" spans="1:126" s="74" customFormat="1">
      <c r="A1239" s="15"/>
      <c r="B1239" s="15"/>
      <c r="C1239" s="15"/>
      <c r="D1239" s="15"/>
      <c r="E1239" s="6"/>
      <c r="F1239" s="6"/>
      <c r="G1239" s="6"/>
      <c r="K1239" s="222"/>
      <c r="V1239" s="1430"/>
      <c r="AA1239" s="223"/>
      <c r="AC1239" s="889"/>
      <c r="AF1239" s="890"/>
      <c r="AJ1239" s="889"/>
      <c r="AN1239" s="222"/>
      <c r="BC1239" s="223"/>
      <c r="BD1239" s="222"/>
      <c r="BH1239" s="611"/>
      <c r="BJ1239" s="15"/>
      <c r="BK1239" s="15"/>
      <c r="BO1239" s="223"/>
      <c r="BQ1239" s="889"/>
      <c r="BT1239" s="890"/>
      <c r="BX1239" s="889"/>
      <c r="CB1239" s="15"/>
      <c r="CC1239" s="697"/>
      <c r="CD1239" s="1086"/>
      <c r="CE1239" s="15"/>
      <c r="CF1239" s="15"/>
      <c r="CG1239" s="936"/>
      <c r="CH1239" s="15"/>
      <c r="CI1239" s="15"/>
      <c r="CJ1239" s="15"/>
      <c r="CK1239" s="1107"/>
      <c r="CL1239" s="22"/>
      <c r="CM1239" s="22"/>
      <c r="CN1239" s="1107"/>
      <c r="CR1239" s="223"/>
      <c r="CS1239" s="952"/>
      <c r="CT1239" s="1066"/>
      <c r="CU1239" s="972"/>
      <c r="CV1239" s="983"/>
      <c r="CW1239" s="222"/>
      <c r="CX1239" s="697"/>
      <c r="DC1239" s="222"/>
      <c r="DJ1239" s="889"/>
      <c r="DM1239" s="890"/>
      <c r="DN1239" s="952"/>
      <c r="DO1239" s="75"/>
      <c r="DP1239" s="962"/>
      <c r="DQ1239" s="983"/>
      <c r="DV1239" s="889"/>
    </row>
    <row r="1240" spans="1:126" s="74" customFormat="1">
      <c r="A1240" s="15"/>
      <c r="B1240" s="15"/>
      <c r="C1240" s="15"/>
      <c r="D1240" s="15"/>
      <c r="E1240" s="6"/>
      <c r="F1240" s="6"/>
      <c r="G1240" s="6"/>
      <c r="K1240" s="222"/>
      <c r="V1240" s="1430"/>
      <c r="AA1240" s="223"/>
      <c r="AC1240" s="889"/>
      <c r="AF1240" s="890"/>
      <c r="AJ1240" s="889"/>
      <c r="AN1240" s="222"/>
      <c r="BC1240" s="223"/>
      <c r="BD1240" s="222"/>
      <c r="BH1240" s="611"/>
      <c r="BJ1240" s="15"/>
      <c r="BK1240" s="15"/>
      <c r="BO1240" s="223"/>
      <c r="BQ1240" s="889"/>
      <c r="BT1240" s="890"/>
      <c r="BX1240" s="889"/>
      <c r="CB1240" s="15"/>
      <c r="CC1240" s="697"/>
      <c r="CD1240" s="1086"/>
      <c r="CE1240" s="15"/>
      <c r="CF1240" s="15"/>
      <c r="CG1240" s="936"/>
      <c r="CH1240" s="15"/>
      <c r="CI1240" s="15"/>
      <c r="CJ1240" s="15"/>
      <c r="CK1240" s="1107"/>
      <c r="CL1240" s="22"/>
      <c r="CM1240" s="22"/>
      <c r="CN1240" s="1107"/>
      <c r="CR1240" s="223"/>
      <c r="CS1240" s="952"/>
      <c r="CT1240" s="1066"/>
      <c r="CU1240" s="972"/>
      <c r="CV1240" s="983"/>
      <c r="CW1240" s="222"/>
      <c r="CX1240" s="697"/>
      <c r="DC1240" s="222"/>
      <c r="DJ1240" s="889"/>
      <c r="DM1240" s="890"/>
      <c r="DN1240" s="952"/>
      <c r="DO1240" s="75"/>
      <c r="DP1240" s="962"/>
      <c r="DQ1240" s="983"/>
      <c r="DV1240" s="889"/>
    </row>
    <row r="1241" spans="1:126" s="74" customFormat="1">
      <c r="A1241" s="15"/>
      <c r="B1241" s="15"/>
      <c r="C1241" s="15"/>
      <c r="D1241" s="15"/>
      <c r="E1241" s="6"/>
      <c r="F1241" s="6"/>
      <c r="G1241" s="6"/>
      <c r="K1241" s="222"/>
      <c r="V1241" s="1430"/>
      <c r="AA1241" s="223"/>
      <c r="AC1241" s="889"/>
      <c r="AF1241" s="890"/>
      <c r="AJ1241" s="889"/>
      <c r="AN1241" s="222"/>
      <c r="BC1241" s="223"/>
      <c r="BD1241" s="222"/>
      <c r="BH1241" s="611"/>
      <c r="BJ1241" s="15"/>
      <c r="BK1241" s="15"/>
      <c r="BO1241" s="223"/>
      <c r="BQ1241" s="889"/>
      <c r="BT1241" s="890"/>
      <c r="BX1241" s="889"/>
      <c r="CB1241" s="15"/>
      <c r="CC1241" s="697"/>
      <c r="CD1241" s="1086"/>
      <c r="CE1241" s="15"/>
      <c r="CF1241" s="15"/>
      <c r="CG1241" s="936"/>
      <c r="CH1241" s="15"/>
      <c r="CI1241" s="15"/>
      <c r="CJ1241" s="15"/>
      <c r="CK1241" s="1107"/>
      <c r="CL1241" s="22"/>
      <c r="CM1241" s="22"/>
      <c r="CN1241" s="1107"/>
      <c r="CR1241" s="223"/>
      <c r="CS1241" s="952"/>
      <c r="CT1241" s="1066"/>
      <c r="CU1241" s="972"/>
      <c r="CV1241" s="983"/>
      <c r="CW1241" s="222"/>
      <c r="CX1241" s="697"/>
      <c r="DC1241" s="222"/>
      <c r="DJ1241" s="889"/>
      <c r="DM1241" s="890"/>
      <c r="DN1241" s="952"/>
      <c r="DO1241" s="75"/>
      <c r="DP1241" s="962"/>
      <c r="DQ1241" s="983"/>
      <c r="DV1241" s="889"/>
    </row>
    <row r="1242" spans="1:126" s="74" customFormat="1">
      <c r="A1242" s="15"/>
      <c r="B1242" s="15"/>
      <c r="C1242" s="15"/>
      <c r="D1242" s="15"/>
      <c r="E1242" s="6"/>
      <c r="F1242" s="6"/>
      <c r="G1242" s="6"/>
      <c r="K1242" s="222"/>
      <c r="V1242" s="1430"/>
      <c r="AA1242" s="223"/>
      <c r="AC1242" s="889"/>
      <c r="AF1242" s="890"/>
      <c r="AJ1242" s="889"/>
      <c r="AN1242" s="222"/>
      <c r="BC1242" s="223"/>
      <c r="BD1242" s="222"/>
      <c r="BH1242" s="611"/>
      <c r="BJ1242" s="15"/>
      <c r="BK1242" s="15"/>
      <c r="BO1242" s="223"/>
      <c r="BQ1242" s="889"/>
      <c r="BT1242" s="890"/>
      <c r="BX1242" s="889"/>
      <c r="CB1242" s="15"/>
      <c r="CC1242" s="697"/>
      <c r="CD1242" s="1086"/>
      <c r="CE1242" s="15"/>
      <c r="CF1242" s="15"/>
      <c r="CG1242" s="936"/>
      <c r="CH1242" s="15"/>
      <c r="CI1242" s="15"/>
      <c r="CJ1242" s="15"/>
      <c r="CK1242" s="1107"/>
      <c r="CL1242" s="22"/>
      <c r="CM1242" s="22"/>
      <c r="CN1242" s="1107"/>
      <c r="CR1242" s="223"/>
      <c r="CS1242" s="952"/>
      <c r="CT1242" s="1066"/>
      <c r="CU1242" s="972"/>
      <c r="CV1242" s="983"/>
      <c r="CW1242" s="222"/>
      <c r="CX1242" s="697"/>
      <c r="DC1242" s="222"/>
      <c r="DJ1242" s="889"/>
      <c r="DM1242" s="890"/>
      <c r="DN1242" s="952"/>
      <c r="DO1242" s="75"/>
      <c r="DP1242" s="962"/>
      <c r="DQ1242" s="983"/>
      <c r="DV1242" s="889"/>
    </row>
    <row r="1243" spans="1:126" s="74" customFormat="1">
      <c r="A1243" s="15"/>
      <c r="B1243" s="15"/>
      <c r="C1243" s="15"/>
      <c r="D1243" s="15"/>
      <c r="E1243" s="6"/>
      <c r="F1243" s="6"/>
      <c r="G1243" s="6"/>
      <c r="K1243" s="222"/>
      <c r="V1243" s="1430"/>
      <c r="AA1243" s="223"/>
      <c r="AC1243" s="889"/>
      <c r="AF1243" s="890"/>
      <c r="AJ1243" s="889"/>
      <c r="AN1243" s="222"/>
      <c r="BC1243" s="223"/>
      <c r="BD1243" s="222"/>
      <c r="BH1243" s="611"/>
      <c r="BJ1243" s="15"/>
      <c r="BK1243" s="15"/>
      <c r="BO1243" s="223"/>
      <c r="BQ1243" s="889"/>
      <c r="BT1243" s="890"/>
      <c r="BX1243" s="889"/>
      <c r="CB1243" s="15"/>
      <c r="CC1243" s="697"/>
      <c r="CD1243" s="1086"/>
      <c r="CE1243" s="15"/>
      <c r="CF1243" s="15"/>
      <c r="CG1243" s="936"/>
      <c r="CH1243" s="15"/>
      <c r="CI1243" s="15"/>
      <c r="CJ1243" s="15"/>
      <c r="CK1243" s="1107"/>
      <c r="CL1243" s="22"/>
      <c r="CM1243" s="22"/>
      <c r="CN1243" s="1107"/>
      <c r="CR1243" s="223"/>
      <c r="CS1243" s="952"/>
      <c r="CT1243" s="1066"/>
      <c r="CU1243" s="972"/>
      <c r="CV1243" s="983"/>
      <c r="CW1243" s="222"/>
      <c r="CX1243" s="697"/>
      <c r="DC1243" s="222"/>
      <c r="DJ1243" s="889"/>
      <c r="DM1243" s="890"/>
      <c r="DN1243" s="952"/>
      <c r="DO1243" s="75"/>
      <c r="DP1243" s="962"/>
      <c r="DQ1243" s="983"/>
      <c r="DV1243" s="889"/>
    </row>
    <row r="1244" spans="1:126" s="74" customFormat="1">
      <c r="A1244" s="15"/>
      <c r="B1244" s="15"/>
      <c r="C1244" s="15"/>
      <c r="D1244" s="15"/>
      <c r="E1244" s="6"/>
      <c r="F1244" s="6"/>
      <c r="G1244" s="6"/>
      <c r="K1244" s="222"/>
      <c r="V1244" s="1430"/>
      <c r="AA1244" s="223"/>
      <c r="AC1244" s="889"/>
      <c r="AF1244" s="890"/>
      <c r="AJ1244" s="889"/>
      <c r="AN1244" s="222"/>
      <c r="BC1244" s="223"/>
      <c r="BD1244" s="222"/>
      <c r="BH1244" s="611"/>
      <c r="BJ1244" s="15"/>
      <c r="BK1244" s="15"/>
      <c r="BO1244" s="223"/>
      <c r="BQ1244" s="889"/>
      <c r="BT1244" s="890"/>
      <c r="BX1244" s="889"/>
      <c r="CB1244" s="15"/>
      <c r="CC1244" s="697"/>
      <c r="CD1244" s="1086"/>
      <c r="CE1244" s="15"/>
      <c r="CF1244" s="15"/>
      <c r="CG1244" s="936"/>
      <c r="CH1244" s="15"/>
      <c r="CI1244" s="15"/>
      <c r="CJ1244" s="15"/>
      <c r="CK1244" s="1107"/>
      <c r="CL1244" s="22"/>
      <c r="CM1244" s="22"/>
      <c r="CN1244" s="1107"/>
      <c r="CR1244" s="223"/>
      <c r="CS1244" s="952"/>
      <c r="CT1244" s="1066"/>
      <c r="CU1244" s="972"/>
      <c r="CV1244" s="983"/>
      <c r="CW1244" s="222"/>
      <c r="CX1244" s="697"/>
      <c r="DC1244" s="222"/>
      <c r="DJ1244" s="889"/>
      <c r="DM1244" s="890"/>
      <c r="DN1244" s="952"/>
      <c r="DO1244" s="75"/>
      <c r="DP1244" s="962"/>
      <c r="DQ1244" s="983"/>
      <c r="DV1244" s="889"/>
    </row>
    <row r="1245" spans="1:126" s="74" customFormat="1">
      <c r="A1245" s="15"/>
      <c r="B1245" s="15"/>
      <c r="C1245" s="15"/>
      <c r="D1245" s="15"/>
      <c r="E1245" s="6"/>
      <c r="F1245" s="6"/>
      <c r="G1245" s="6"/>
      <c r="K1245" s="222"/>
      <c r="V1245" s="1430"/>
      <c r="AA1245" s="223"/>
      <c r="AC1245" s="889"/>
      <c r="AF1245" s="890"/>
      <c r="AJ1245" s="889"/>
      <c r="AN1245" s="222"/>
      <c r="BC1245" s="223"/>
      <c r="BD1245" s="222"/>
      <c r="BH1245" s="611"/>
      <c r="BJ1245" s="15"/>
      <c r="BK1245" s="15"/>
      <c r="BO1245" s="223"/>
      <c r="BQ1245" s="889"/>
      <c r="BT1245" s="890"/>
      <c r="BX1245" s="889"/>
      <c r="CB1245" s="15"/>
      <c r="CC1245" s="697"/>
      <c r="CD1245" s="1086"/>
      <c r="CE1245" s="15"/>
      <c r="CF1245" s="15"/>
      <c r="CG1245" s="936"/>
      <c r="CH1245" s="15"/>
      <c r="CI1245" s="15"/>
      <c r="CJ1245" s="15"/>
      <c r="CK1245" s="1107"/>
      <c r="CL1245" s="22"/>
      <c r="CM1245" s="22"/>
      <c r="CN1245" s="1107"/>
      <c r="CR1245" s="223"/>
      <c r="CS1245" s="952"/>
      <c r="CT1245" s="1066"/>
      <c r="CU1245" s="972"/>
      <c r="CV1245" s="983"/>
      <c r="CW1245" s="222"/>
      <c r="CX1245" s="697"/>
      <c r="DC1245" s="222"/>
      <c r="DJ1245" s="889"/>
      <c r="DM1245" s="890"/>
      <c r="DN1245" s="952"/>
      <c r="DO1245" s="75"/>
      <c r="DP1245" s="962"/>
      <c r="DQ1245" s="983"/>
      <c r="DV1245" s="889"/>
    </row>
    <row r="1246" spans="1:126" s="74" customFormat="1">
      <c r="A1246" s="15"/>
      <c r="B1246" s="15"/>
      <c r="C1246" s="15"/>
      <c r="D1246" s="15"/>
      <c r="E1246" s="6"/>
      <c r="F1246" s="6"/>
      <c r="G1246" s="6"/>
      <c r="K1246" s="222"/>
      <c r="V1246" s="1430"/>
      <c r="AA1246" s="223"/>
      <c r="AC1246" s="889"/>
      <c r="AF1246" s="890"/>
      <c r="AJ1246" s="889"/>
      <c r="AN1246" s="222"/>
      <c r="BC1246" s="223"/>
      <c r="BD1246" s="222"/>
      <c r="BH1246" s="611"/>
      <c r="BJ1246" s="15"/>
      <c r="BK1246" s="15"/>
      <c r="BO1246" s="223"/>
      <c r="BQ1246" s="889"/>
      <c r="BT1246" s="890"/>
      <c r="BX1246" s="889"/>
      <c r="CB1246" s="15"/>
      <c r="CC1246" s="697"/>
      <c r="CD1246" s="1086"/>
      <c r="CE1246" s="15"/>
      <c r="CF1246" s="15"/>
      <c r="CG1246" s="936"/>
      <c r="CH1246" s="15"/>
      <c r="CI1246" s="15"/>
      <c r="CJ1246" s="15"/>
      <c r="CK1246" s="1107"/>
      <c r="CL1246" s="22"/>
      <c r="CM1246" s="22"/>
      <c r="CN1246" s="1107"/>
      <c r="CR1246" s="223"/>
      <c r="CS1246" s="952"/>
      <c r="CT1246" s="1066"/>
      <c r="CU1246" s="972"/>
      <c r="CV1246" s="983"/>
      <c r="CW1246" s="222"/>
      <c r="CX1246" s="697"/>
      <c r="DC1246" s="222"/>
      <c r="DJ1246" s="889"/>
      <c r="DM1246" s="890"/>
      <c r="DN1246" s="952"/>
      <c r="DO1246" s="75"/>
      <c r="DP1246" s="962"/>
      <c r="DQ1246" s="983"/>
      <c r="DV1246" s="889"/>
    </row>
    <row r="1247" spans="1:126" s="74" customFormat="1">
      <c r="A1247" s="15"/>
      <c r="B1247" s="15"/>
      <c r="C1247" s="15"/>
      <c r="D1247" s="15"/>
      <c r="E1247" s="6"/>
      <c r="F1247" s="6"/>
      <c r="G1247" s="6"/>
      <c r="K1247" s="222"/>
      <c r="V1247" s="1430"/>
      <c r="AA1247" s="223"/>
      <c r="AC1247" s="889"/>
      <c r="AF1247" s="890"/>
      <c r="AJ1247" s="889"/>
      <c r="AN1247" s="222"/>
      <c r="BC1247" s="223"/>
      <c r="BD1247" s="222"/>
      <c r="BH1247" s="611"/>
      <c r="BJ1247" s="15"/>
      <c r="BK1247" s="15"/>
      <c r="BO1247" s="223"/>
      <c r="BQ1247" s="889"/>
      <c r="BT1247" s="890"/>
      <c r="BX1247" s="889"/>
      <c r="CB1247" s="15"/>
      <c r="CC1247" s="697"/>
      <c r="CD1247" s="1086"/>
      <c r="CE1247" s="15"/>
      <c r="CF1247" s="15"/>
      <c r="CG1247" s="936"/>
      <c r="CH1247" s="15"/>
      <c r="CI1247" s="15"/>
      <c r="CJ1247" s="15"/>
      <c r="CK1247" s="1107"/>
      <c r="CL1247" s="22"/>
      <c r="CM1247" s="22"/>
      <c r="CN1247" s="1107"/>
      <c r="CR1247" s="223"/>
      <c r="CS1247" s="952"/>
      <c r="CT1247" s="1066"/>
      <c r="CU1247" s="972"/>
      <c r="CV1247" s="983"/>
      <c r="CW1247" s="222"/>
      <c r="CX1247" s="697"/>
      <c r="DC1247" s="222"/>
      <c r="DJ1247" s="889"/>
      <c r="DM1247" s="890"/>
      <c r="DN1247" s="952"/>
      <c r="DO1247" s="75"/>
      <c r="DP1247" s="962"/>
      <c r="DQ1247" s="983"/>
      <c r="DV1247" s="889"/>
    </row>
    <row r="1248" spans="1:126" s="74" customFormat="1">
      <c r="A1248" s="15"/>
      <c r="B1248" s="15"/>
      <c r="C1248" s="15"/>
      <c r="D1248" s="15"/>
      <c r="E1248" s="6"/>
      <c r="F1248" s="6"/>
      <c r="G1248" s="6"/>
      <c r="K1248" s="222"/>
      <c r="V1248" s="1430"/>
      <c r="AA1248" s="223"/>
      <c r="AC1248" s="889"/>
      <c r="AF1248" s="890"/>
      <c r="AJ1248" s="889"/>
      <c r="AN1248" s="222"/>
      <c r="BC1248" s="223"/>
      <c r="BD1248" s="222"/>
      <c r="BH1248" s="611"/>
      <c r="BJ1248" s="15"/>
      <c r="BK1248" s="15"/>
      <c r="BO1248" s="223"/>
      <c r="BQ1248" s="889"/>
      <c r="BT1248" s="890"/>
      <c r="BX1248" s="889"/>
      <c r="CB1248" s="15"/>
      <c r="CC1248" s="697"/>
      <c r="CD1248" s="1086"/>
      <c r="CE1248" s="15"/>
      <c r="CF1248" s="15"/>
      <c r="CG1248" s="936"/>
      <c r="CH1248" s="15"/>
      <c r="CI1248" s="15"/>
      <c r="CJ1248" s="15"/>
      <c r="CK1248" s="1107"/>
      <c r="CL1248" s="22"/>
      <c r="CM1248" s="22"/>
      <c r="CN1248" s="1107"/>
      <c r="CR1248" s="223"/>
      <c r="CS1248" s="952"/>
      <c r="CT1248" s="1066"/>
      <c r="CU1248" s="972"/>
      <c r="CV1248" s="983"/>
      <c r="CW1248" s="222"/>
      <c r="CX1248" s="697"/>
      <c r="DC1248" s="222"/>
      <c r="DJ1248" s="889"/>
      <c r="DM1248" s="890"/>
      <c r="DN1248" s="952"/>
      <c r="DO1248" s="75"/>
      <c r="DP1248" s="962"/>
      <c r="DQ1248" s="983"/>
      <c r="DV1248" s="889"/>
    </row>
    <row r="1249" spans="1:126" s="74" customFormat="1">
      <c r="A1249" s="15"/>
      <c r="B1249" s="15"/>
      <c r="C1249" s="15"/>
      <c r="D1249" s="15"/>
      <c r="E1249" s="6"/>
      <c r="F1249" s="6"/>
      <c r="G1249" s="6"/>
      <c r="K1249" s="222"/>
      <c r="V1249" s="1430"/>
      <c r="AA1249" s="223"/>
      <c r="AC1249" s="889"/>
      <c r="AF1249" s="890"/>
      <c r="AJ1249" s="889"/>
      <c r="AN1249" s="222"/>
      <c r="BC1249" s="223"/>
      <c r="BD1249" s="222"/>
      <c r="BH1249" s="611"/>
      <c r="BJ1249" s="15"/>
      <c r="BK1249" s="15"/>
      <c r="BO1249" s="223"/>
      <c r="BQ1249" s="889"/>
      <c r="BT1249" s="890"/>
      <c r="BX1249" s="889"/>
      <c r="CB1249" s="15"/>
      <c r="CC1249" s="697"/>
      <c r="CD1249" s="1086"/>
      <c r="CE1249" s="15"/>
      <c r="CF1249" s="15"/>
      <c r="CG1249" s="936"/>
      <c r="CH1249" s="15"/>
      <c r="CI1249" s="15"/>
      <c r="CJ1249" s="15"/>
      <c r="CK1249" s="1107"/>
      <c r="CL1249" s="22"/>
      <c r="CM1249" s="22"/>
      <c r="CN1249" s="1107"/>
      <c r="CR1249" s="223"/>
      <c r="CS1249" s="952"/>
      <c r="CT1249" s="1066"/>
      <c r="CU1249" s="972"/>
      <c r="CV1249" s="983"/>
      <c r="CW1249" s="222"/>
      <c r="CX1249" s="697"/>
      <c r="DC1249" s="222"/>
      <c r="DJ1249" s="889"/>
      <c r="DM1249" s="890"/>
      <c r="DN1249" s="952"/>
      <c r="DO1249" s="75"/>
      <c r="DP1249" s="962"/>
      <c r="DQ1249" s="983"/>
      <c r="DV1249" s="889"/>
    </row>
    <row r="1250" spans="1:126" s="74" customFormat="1">
      <c r="A1250" s="15"/>
      <c r="B1250" s="15"/>
      <c r="C1250" s="15"/>
      <c r="D1250" s="15"/>
      <c r="E1250" s="6"/>
      <c r="F1250" s="6"/>
      <c r="G1250" s="6"/>
      <c r="K1250" s="222"/>
      <c r="V1250" s="1430"/>
      <c r="AA1250" s="223"/>
      <c r="AC1250" s="889"/>
      <c r="AF1250" s="890"/>
      <c r="AJ1250" s="889"/>
      <c r="AN1250" s="222"/>
      <c r="BC1250" s="223"/>
      <c r="BD1250" s="222"/>
      <c r="BH1250" s="611"/>
      <c r="BJ1250" s="15"/>
      <c r="BK1250" s="15"/>
      <c r="BO1250" s="223"/>
      <c r="BQ1250" s="889"/>
      <c r="BT1250" s="890"/>
      <c r="BX1250" s="889"/>
      <c r="CB1250" s="15"/>
      <c r="CC1250" s="697"/>
      <c r="CD1250" s="1086"/>
      <c r="CE1250" s="15"/>
      <c r="CF1250" s="15"/>
      <c r="CG1250" s="936"/>
      <c r="CH1250" s="15"/>
      <c r="CI1250" s="15"/>
      <c r="CJ1250" s="15"/>
      <c r="CK1250" s="1107"/>
      <c r="CL1250" s="22"/>
      <c r="CM1250" s="22"/>
      <c r="CN1250" s="1107"/>
      <c r="CR1250" s="223"/>
      <c r="CS1250" s="952"/>
      <c r="CT1250" s="1066"/>
      <c r="CU1250" s="972"/>
      <c r="CV1250" s="983"/>
      <c r="CW1250" s="222"/>
      <c r="CX1250" s="697"/>
      <c r="DC1250" s="222"/>
      <c r="DJ1250" s="889"/>
      <c r="DM1250" s="890"/>
      <c r="DN1250" s="952"/>
      <c r="DO1250" s="75"/>
      <c r="DP1250" s="962"/>
      <c r="DQ1250" s="983"/>
      <c r="DV1250" s="889"/>
    </row>
    <row r="1251" spans="1:126" s="74" customFormat="1">
      <c r="A1251" s="15"/>
      <c r="B1251" s="15"/>
      <c r="C1251" s="15"/>
      <c r="D1251" s="15"/>
      <c r="E1251" s="6"/>
      <c r="F1251" s="6"/>
      <c r="G1251" s="6"/>
      <c r="K1251" s="222"/>
      <c r="V1251" s="1430"/>
      <c r="AA1251" s="223"/>
      <c r="AC1251" s="889"/>
      <c r="AF1251" s="890"/>
      <c r="AJ1251" s="889"/>
      <c r="AN1251" s="222"/>
      <c r="BC1251" s="223"/>
      <c r="BD1251" s="222"/>
      <c r="BH1251" s="611"/>
      <c r="BJ1251" s="15"/>
      <c r="BK1251" s="15"/>
      <c r="BO1251" s="223"/>
      <c r="BQ1251" s="889"/>
      <c r="BT1251" s="890"/>
      <c r="BX1251" s="889"/>
      <c r="CB1251" s="15"/>
      <c r="CC1251" s="697"/>
      <c r="CD1251" s="1086"/>
      <c r="CE1251" s="15"/>
      <c r="CF1251" s="15"/>
      <c r="CG1251" s="936"/>
      <c r="CH1251" s="15"/>
      <c r="CI1251" s="15"/>
      <c r="CJ1251" s="15"/>
      <c r="CK1251" s="1107"/>
      <c r="CL1251" s="22"/>
      <c r="CM1251" s="22"/>
      <c r="CN1251" s="1107"/>
      <c r="CR1251" s="223"/>
      <c r="CS1251" s="952"/>
      <c r="CT1251" s="1066"/>
      <c r="CU1251" s="972"/>
      <c r="CV1251" s="983"/>
      <c r="CW1251" s="222"/>
      <c r="CX1251" s="697"/>
      <c r="DC1251" s="222"/>
      <c r="DJ1251" s="889"/>
      <c r="DM1251" s="890"/>
      <c r="DN1251" s="952"/>
      <c r="DO1251" s="75"/>
      <c r="DP1251" s="962"/>
      <c r="DQ1251" s="983"/>
      <c r="DV1251" s="889"/>
    </row>
    <row r="1252" spans="1:126" s="74" customFormat="1">
      <c r="A1252" s="15"/>
      <c r="B1252" s="15"/>
      <c r="C1252" s="15"/>
      <c r="D1252" s="15"/>
      <c r="E1252" s="6"/>
      <c r="F1252" s="6"/>
      <c r="G1252" s="6"/>
      <c r="K1252" s="222"/>
      <c r="V1252" s="1430"/>
      <c r="AA1252" s="223"/>
      <c r="AC1252" s="889"/>
      <c r="AF1252" s="890"/>
      <c r="AJ1252" s="889"/>
      <c r="AN1252" s="222"/>
      <c r="BC1252" s="223"/>
      <c r="BD1252" s="222"/>
      <c r="BH1252" s="611"/>
      <c r="BJ1252" s="15"/>
      <c r="BK1252" s="15"/>
      <c r="BO1252" s="223"/>
      <c r="BQ1252" s="889"/>
      <c r="BT1252" s="890"/>
      <c r="BX1252" s="889"/>
      <c r="CB1252" s="15"/>
      <c r="CC1252" s="697"/>
      <c r="CD1252" s="1086"/>
      <c r="CE1252" s="15"/>
      <c r="CF1252" s="15"/>
      <c r="CG1252" s="936"/>
      <c r="CH1252" s="15"/>
      <c r="CI1252" s="15"/>
      <c r="CJ1252" s="15"/>
      <c r="CK1252" s="1107"/>
      <c r="CL1252" s="22"/>
      <c r="CM1252" s="22"/>
      <c r="CN1252" s="1107"/>
      <c r="CR1252" s="223"/>
      <c r="CS1252" s="952"/>
      <c r="CT1252" s="1066"/>
      <c r="CU1252" s="972"/>
      <c r="CV1252" s="983"/>
      <c r="CW1252" s="222"/>
      <c r="CX1252" s="697"/>
      <c r="DC1252" s="222"/>
      <c r="DJ1252" s="889"/>
      <c r="DM1252" s="890"/>
      <c r="DN1252" s="952"/>
      <c r="DO1252" s="75"/>
      <c r="DP1252" s="962"/>
      <c r="DQ1252" s="983"/>
      <c r="DV1252" s="889"/>
    </row>
    <row r="1253" spans="1:126" s="74" customFormat="1">
      <c r="A1253" s="15"/>
      <c r="B1253" s="15"/>
      <c r="C1253" s="15"/>
      <c r="D1253" s="15"/>
      <c r="E1253" s="6"/>
      <c r="F1253" s="6"/>
      <c r="G1253" s="6"/>
      <c r="K1253" s="222"/>
      <c r="V1253" s="1430"/>
      <c r="AA1253" s="223"/>
      <c r="AC1253" s="889"/>
      <c r="AF1253" s="890"/>
      <c r="AJ1253" s="889"/>
      <c r="AN1253" s="222"/>
      <c r="BC1253" s="223"/>
      <c r="BD1253" s="222"/>
      <c r="BH1253" s="611"/>
      <c r="BJ1253" s="15"/>
      <c r="BK1253" s="15"/>
      <c r="BO1253" s="223"/>
      <c r="BQ1253" s="889"/>
      <c r="BT1253" s="890"/>
      <c r="BX1253" s="889"/>
      <c r="CB1253" s="15"/>
      <c r="CC1253" s="697"/>
      <c r="CD1253" s="1086"/>
      <c r="CE1253" s="15"/>
      <c r="CF1253" s="15"/>
      <c r="CG1253" s="936"/>
      <c r="CH1253" s="15"/>
      <c r="CI1253" s="15"/>
      <c r="CJ1253" s="15"/>
      <c r="CK1253" s="1107"/>
      <c r="CL1253" s="22"/>
      <c r="CM1253" s="22"/>
      <c r="CN1253" s="1107"/>
      <c r="CR1253" s="223"/>
      <c r="CS1253" s="952"/>
      <c r="CT1253" s="1066"/>
      <c r="CU1253" s="972"/>
      <c r="CV1253" s="983"/>
      <c r="CW1253" s="222"/>
      <c r="CX1253" s="697"/>
      <c r="DC1253" s="222"/>
      <c r="DJ1253" s="889"/>
      <c r="DM1253" s="890"/>
      <c r="DN1253" s="952"/>
      <c r="DO1253" s="75"/>
      <c r="DP1253" s="962"/>
      <c r="DQ1253" s="983"/>
      <c r="DV1253" s="889"/>
    </row>
    <row r="1254" spans="1:126" s="74" customFormat="1">
      <c r="A1254" s="15"/>
      <c r="B1254" s="15"/>
      <c r="C1254" s="15"/>
      <c r="D1254" s="15"/>
      <c r="E1254" s="6"/>
      <c r="F1254" s="6"/>
      <c r="G1254" s="6"/>
      <c r="K1254" s="222"/>
      <c r="V1254" s="1430"/>
      <c r="AA1254" s="223"/>
      <c r="AC1254" s="889"/>
      <c r="AF1254" s="890"/>
      <c r="AJ1254" s="889"/>
      <c r="AN1254" s="222"/>
      <c r="BC1254" s="223"/>
      <c r="BD1254" s="222"/>
      <c r="BH1254" s="611"/>
      <c r="BJ1254" s="15"/>
      <c r="BK1254" s="15"/>
      <c r="BO1254" s="223"/>
      <c r="BQ1254" s="889"/>
      <c r="BT1254" s="890"/>
      <c r="BX1254" s="889"/>
      <c r="CB1254" s="15"/>
      <c r="CC1254" s="697"/>
      <c r="CD1254" s="1086"/>
      <c r="CE1254" s="15"/>
      <c r="CF1254" s="15"/>
      <c r="CG1254" s="936"/>
      <c r="CH1254" s="15"/>
      <c r="CI1254" s="15"/>
      <c r="CJ1254" s="15"/>
      <c r="CK1254" s="1107"/>
      <c r="CL1254" s="22"/>
      <c r="CM1254" s="22"/>
      <c r="CN1254" s="1107"/>
      <c r="CR1254" s="223"/>
      <c r="CS1254" s="952"/>
      <c r="CT1254" s="1066"/>
      <c r="CU1254" s="972"/>
      <c r="CV1254" s="983"/>
      <c r="CW1254" s="222"/>
      <c r="CX1254" s="697"/>
      <c r="DC1254" s="222"/>
      <c r="DJ1254" s="889"/>
      <c r="DM1254" s="890"/>
      <c r="DN1254" s="952"/>
      <c r="DO1254" s="75"/>
      <c r="DP1254" s="962"/>
      <c r="DQ1254" s="983"/>
      <c r="DV1254" s="889"/>
    </row>
    <row r="1255" spans="1:126" s="74" customFormat="1">
      <c r="A1255" s="15"/>
      <c r="B1255" s="15"/>
      <c r="C1255" s="15"/>
      <c r="D1255" s="15"/>
      <c r="E1255" s="6"/>
      <c r="F1255" s="6"/>
      <c r="G1255" s="6"/>
      <c r="K1255" s="222"/>
      <c r="V1255" s="1430"/>
      <c r="AA1255" s="223"/>
      <c r="AC1255" s="889"/>
      <c r="AF1255" s="890"/>
      <c r="AJ1255" s="889"/>
      <c r="AN1255" s="222"/>
      <c r="BC1255" s="223"/>
      <c r="BD1255" s="222"/>
      <c r="BH1255" s="611"/>
      <c r="BJ1255" s="15"/>
      <c r="BK1255" s="15"/>
      <c r="BO1255" s="223"/>
      <c r="BQ1255" s="889"/>
      <c r="BT1255" s="890"/>
      <c r="BX1255" s="889"/>
      <c r="CB1255" s="15"/>
      <c r="CC1255" s="697"/>
      <c r="CD1255" s="1086"/>
      <c r="CE1255" s="15"/>
      <c r="CF1255" s="15"/>
      <c r="CG1255" s="936"/>
      <c r="CH1255" s="15"/>
      <c r="CI1255" s="15"/>
      <c r="CJ1255" s="15"/>
      <c r="CK1255" s="1107"/>
      <c r="CL1255" s="22"/>
      <c r="CM1255" s="22"/>
      <c r="CN1255" s="1107"/>
      <c r="CR1255" s="223"/>
      <c r="CS1255" s="952"/>
      <c r="CT1255" s="1066"/>
      <c r="CU1255" s="972"/>
      <c r="CV1255" s="983"/>
      <c r="CW1255" s="222"/>
      <c r="CX1255" s="697"/>
      <c r="DC1255" s="222"/>
      <c r="DJ1255" s="889"/>
      <c r="DM1255" s="890"/>
      <c r="DN1255" s="952"/>
      <c r="DO1255" s="75"/>
      <c r="DP1255" s="962"/>
      <c r="DQ1255" s="983"/>
      <c r="DV1255" s="889"/>
    </row>
    <row r="1256" spans="1:126" s="74" customFormat="1">
      <c r="A1256" s="15"/>
      <c r="B1256" s="15"/>
      <c r="C1256" s="15"/>
      <c r="D1256" s="15"/>
      <c r="E1256" s="6"/>
      <c r="F1256" s="6"/>
      <c r="G1256" s="6"/>
      <c r="K1256" s="222"/>
      <c r="V1256" s="1430"/>
      <c r="AA1256" s="223"/>
      <c r="AC1256" s="889"/>
      <c r="AF1256" s="890"/>
      <c r="AJ1256" s="889"/>
      <c r="AN1256" s="222"/>
      <c r="BC1256" s="223"/>
      <c r="BD1256" s="222"/>
      <c r="BH1256" s="611"/>
      <c r="BJ1256" s="15"/>
      <c r="BK1256" s="15"/>
      <c r="BO1256" s="223"/>
      <c r="BQ1256" s="889"/>
      <c r="BT1256" s="890"/>
      <c r="BX1256" s="889"/>
      <c r="CB1256" s="15"/>
      <c r="CC1256" s="697"/>
      <c r="CD1256" s="1086"/>
      <c r="CE1256" s="15"/>
      <c r="CF1256" s="15"/>
      <c r="CG1256" s="936"/>
      <c r="CH1256" s="15"/>
      <c r="CI1256" s="15"/>
      <c r="CJ1256" s="15"/>
      <c r="CK1256" s="1107"/>
      <c r="CL1256" s="22"/>
      <c r="CM1256" s="22"/>
      <c r="CN1256" s="1107"/>
      <c r="CR1256" s="223"/>
      <c r="CS1256" s="952"/>
      <c r="CT1256" s="1066"/>
      <c r="CU1256" s="972"/>
      <c r="CV1256" s="983"/>
      <c r="CW1256" s="222"/>
      <c r="CX1256" s="697"/>
      <c r="DC1256" s="222"/>
      <c r="DJ1256" s="889"/>
      <c r="DM1256" s="890"/>
      <c r="DN1256" s="952"/>
      <c r="DO1256" s="75"/>
      <c r="DP1256" s="962"/>
      <c r="DQ1256" s="983"/>
      <c r="DV1256" s="889"/>
    </row>
    <row r="1257" spans="1:126" s="74" customFormat="1">
      <c r="A1257" s="15"/>
      <c r="B1257" s="15"/>
      <c r="C1257" s="15"/>
      <c r="D1257" s="15"/>
      <c r="E1257" s="6"/>
      <c r="F1257" s="6"/>
      <c r="G1257" s="6"/>
      <c r="K1257" s="222"/>
      <c r="V1257" s="1430"/>
      <c r="AA1257" s="223"/>
      <c r="AC1257" s="889"/>
      <c r="AF1257" s="890"/>
      <c r="AJ1257" s="889"/>
      <c r="AN1257" s="222"/>
      <c r="BC1257" s="223"/>
      <c r="BD1257" s="222"/>
      <c r="BH1257" s="611"/>
      <c r="BJ1257" s="15"/>
      <c r="BK1257" s="15"/>
      <c r="BO1257" s="223"/>
      <c r="BQ1257" s="889"/>
      <c r="BT1257" s="890"/>
      <c r="BX1257" s="889"/>
      <c r="CB1257" s="15"/>
      <c r="CC1257" s="697"/>
      <c r="CD1257" s="1086"/>
      <c r="CE1257" s="15"/>
      <c r="CF1257" s="15"/>
      <c r="CG1257" s="936"/>
      <c r="CH1257" s="15"/>
      <c r="CI1257" s="15"/>
      <c r="CJ1257" s="15"/>
      <c r="CK1257" s="1107"/>
      <c r="CL1257" s="22"/>
      <c r="CM1257" s="22"/>
      <c r="CN1257" s="1107"/>
      <c r="CR1257" s="223"/>
      <c r="CS1257" s="952"/>
      <c r="CT1257" s="1066"/>
      <c r="CU1257" s="972"/>
      <c r="CV1257" s="983"/>
      <c r="CW1257" s="222"/>
      <c r="CX1257" s="697"/>
      <c r="DC1257" s="222"/>
      <c r="DJ1257" s="889"/>
      <c r="DM1257" s="890"/>
      <c r="DN1257" s="952"/>
      <c r="DO1257" s="75"/>
      <c r="DP1257" s="962"/>
      <c r="DQ1257" s="983"/>
      <c r="DV1257" s="889"/>
    </row>
    <row r="1258" spans="1:126" s="74" customFormat="1">
      <c r="A1258" s="15"/>
      <c r="B1258" s="15"/>
      <c r="C1258" s="15"/>
      <c r="D1258" s="15"/>
      <c r="E1258" s="6"/>
      <c r="F1258" s="6"/>
      <c r="G1258" s="6"/>
      <c r="K1258" s="222"/>
      <c r="V1258" s="1430"/>
      <c r="AA1258" s="223"/>
      <c r="AC1258" s="889"/>
      <c r="AF1258" s="890"/>
      <c r="AJ1258" s="889"/>
      <c r="AN1258" s="222"/>
      <c r="BC1258" s="223"/>
      <c r="BD1258" s="222"/>
      <c r="BH1258" s="611"/>
      <c r="BJ1258" s="15"/>
      <c r="BK1258" s="15"/>
      <c r="BO1258" s="223"/>
      <c r="BQ1258" s="889"/>
      <c r="BT1258" s="890"/>
      <c r="BX1258" s="889"/>
      <c r="CB1258" s="15"/>
      <c r="CC1258" s="697"/>
      <c r="CD1258" s="1086"/>
      <c r="CE1258" s="15"/>
      <c r="CF1258" s="15"/>
      <c r="CG1258" s="936"/>
      <c r="CH1258" s="15"/>
      <c r="CI1258" s="15"/>
      <c r="CJ1258" s="15"/>
      <c r="CK1258" s="1107"/>
      <c r="CL1258" s="22"/>
      <c r="CM1258" s="22"/>
      <c r="CN1258" s="1107"/>
      <c r="CR1258" s="223"/>
      <c r="CS1258" s="952"/>
      <c r="CT1258" s="1066"/>
      <c r="CU1258" s="972"/>
      <c r="CV1258" s="983"/>
      <c r="CW1258" s="222"/>
      <c r="CX1258" s="697"/>
      <c r="DC1258" s="222"/>
      <c r="DJ1258" s="889"/>
      <c r="DM1258" s="890"/>
      <c r="DN1258" s="952"/>
      <c r="DO1258" s="75"/>
      <c r="DP1258" s="962"/>
      <c r="DQ1258" s="983"/>
      <c r="DV1258" s="889"/>
    </row>
    <row r="1259" spans="1:126" s="74" customFormat="1">
      <c r="A1259" s="15"/>
      <c r="B1259" s="15"/>
      <c r="C1259" s="15"/>
      <c r="D1259" s="15"/>
      <c r="E1259" s="6"/>
      <c r="F1259" s="6"/>
      <c r="G1259" s="6"/>
      <c r="K1259" s="222"/>
      <c r="V1259" s="1430"/>
      <c r="AA1259" s="223"/>
      <c r="AC1259" s="889"/>
      <c r="AF1259" s="890"/>
      <c r="AJ1259" s="889"/>
      <c r="AN1259" s="222"/>
      <c r="BC1259" s="223"/>
      <c r="BD1259" s="222"/>
      <c r="BH1259" s="611"/>
      <c r="BJ1259" s="15"/>
      <c r="BK1259" s="15"/>
      <c r="BO1259" s="223"/>
      <c r="BQ1259" s="889"/>
      <c r="BT1259" s="890"/>
      <c r="BX1259" s="889"/>
      <c r="CB1259" s="15"/>
      <c r="CC1259" s="697"/>
      <c r="CD1259" s="1086"/>
      <c r="CE1259" s="15"/>
      <c r="CF1259" s="15"/>
      <c r="CG1259" s="936"/>
      <c r="CH1259" s="15"/>
      <c r="CI1259" s="15"/>
      <c r="CJ1259" s="15"/>
      <c r="CK1259" s="1107"/>
      <c r="CL1259" s="22"/>
      <c r="CM1259" s="22"/>
      <c r="CN1259" s="1107"/>
      <c r="CR1259" s="223"/>
      <c r="CS1259" s="952"/>
      <c r="CT1259" s="1066"/>
      <c r="CU1259" s="972"/>
      <c r="CV1259" s="983"/>
      <c r="CW1259" s="222"/>
      <c r="CX1259" s="697"/>
      <c r="DC1259" s="222"/>
      <c r="DJ1259" s="889"/>
      <c r="DM1259" s="890"/>
      <c r="DN1259" s="952"/>
      <c r="DO1259" s="75"/>
      <c r="DP1259" s="962"/>
      <c r="DQ1259" s="983"/>
      <c r="DV1259" s="889"/>
    </row>
    <row r="1260" spans="1:126" s="74" customFormat="1">
      <c r="A1260" s="15"/>
      <c r="B1260" s="15"/>
      <c r="C1260" s="15"/>
      <c r="D1260" s="15"/>
      <c r="E1260" s="6"/>
      <c r="F1260" s="6"/>
      <c r="G1260" s="6"/>
      <c r="K1260" s="222"/>
      <c r="V1260" s="1430"/>
      <c r="AA1260" s="223"/>
      <c r="AC1260" s="889"/>
      <c r="AF1260" s="890"/>
      <c r="AJ1260" s="889"/>
      <c r="AN1260" s="222"/>
      <c r="BC1260" s="223"/>
      <c r="BD1260" s="222"/>
      <c r="BH1260" s="611"/>
      <c r="BJ1260" s="15"/>
      <c r="BK1260" s="15"/>
      <c r="BO1260" s="223"/>
      <c r="BQ1260" s="889"/>
      <c r="BT1260" s="890"/>
      <c r="BX1260" s="889"/>
      <c r="CB1260" s="15"/>
      <c r="CC1260" s="697"/>
      <c r="CD1260" s="1086"/>
      <c r="CE1260" s="15"/>
      <c r="CF1260" s="15"/>
      <c r="CG1260" s="936"/>
      <c r="CH1260" s="15"/>
      <c r="CI1260" s="15"/>
      <c r="CJ1260" s="15"/>
      <c r="CK1260" s="1107"/>
      <c r="CL1260" s="22"/>
      <c r="CM1260" s="22"/>
      <c r="CN1260" s="1107"/>
      <c r="CR1260" s="223"/>
      <c r="CS1260" s="952"/>
      <c r="CT1260" s="1066"/>
      <c r="CU1260" s="972"/>
      <c r="CV1260" s="983"/>
      <c r="CW1260" s="222"/>
      <c r="CX1260" s="697"/>
      <c r="DC1260" s="222"/>
      <c r="DJ1260" s="889"/>
      <c r="DM1260" s="890"/>
      <c r="DN1260" s="952"/>
      <c r="DO1260" s="75"/>
      <c r="DP1260" s="962"/>
      <c r="DQ1260" s="983"/>
      <c r="DV1260" s="889"/>
    </row>
    <row r="1261" spans="1:126" s="74" customFormat="1">
      <c r="A1261" s="15"/>
      <c r="B1261" s="15"/>
      <c r="C1261" s="15"/>
      <c r="D1261" s="15"/>
      <c r="E1261" s="6"/>
      <c r="F1261" s="6"/>
      <c r="G1261" s="6"/>
      <c r="K1261" s="222"/>
      <c r="V1261" s="1430"/>
      <c r="AA1261" s="223"/>
      <c r="AC1261" s="889"/>
      <c r="AF1261" s="890"/>
      <c r="AJ1261" s="889"/>
      <c r="AN1261" s="222"/>
      <c r="BC1261" s="223"/>
      <c r="BD1261" s="222"/>
      <c r="BH1261" s="611"/>
      <c r="BJ1261" s="15"/>
      <c r="BK1261" s="15"/>
      <c r="BO1261" s="223"/>
      <c r="BQ1261" s="889"/>
      <c r="BT1261" s="890"/>
      <c r="BX1261" s="889"/>
      <c r="CB1261" s="15"/>
      <c r="CC1261" s="697"/>
      <c r="CD1261" s="1086"/>
      <c r="CE1261" s="15"/>
      <c r="CF1261" s="15"/>
      <c r="CG1261" s="936"/>
      <c r="CH1261" s="15"/>
      <c r="CI1261" s="15"/>
      <c r="CJ1261" s="15"/>
      <c r="CK1261" s="1107"/>
      <c r="CL1261" s="22"/>
      <c r="CM1261" s="22"/>
      <c r="CN1261" s="1107"/>
      <c r="CR1261" s="223"/>
      <c r="CS1261" s="952"/>
      <c r="CT1261" s="1066"/>
      <c r="CU1261" s="972"/>
      <c r="CV1261" s="983"/>
      <c r="CW1261" s="222"/>
      <c r="CX1261" s="697"/>
      <c r="DC1261" s="222"/>
      <c r="DJ1261" s="889"/>
      <c r="DM1261" s="890"/>
      <c r="DN1261" s="952"/>
      <c r="DO1261" s="75"/>
      <c r="DP1261" s="962"/>
      <c r="DQ1261" s="983"/>
      <c r="DV1261" s="889"/>
    </row>
    <row r="1262" spans="1:126" s="74" customFormat="1">
      <c r="A1262" s="15"/>
      <c r="B1262" s="15"/>
      <c r="C1262" s="15"/>
      <c r="D1262" s="15"/>
      <c r="E1262" s="6"/>
      <c r="F1262" s="6"/>
      <c r="G1262" s="6"/>
      <c r="K1262" s="222"/>
      <c r="V1262" s="1430"/>
      <c r="AA1262" s="223"/>
      <c r="AC1262" s="889"/>
      <c r="AF1262" s="890"/>
      <c r="AJ1262" s="889"/>
      <c r="AN1262" s="222"/>
      <c r="BC1262" s="223"/>
      <c r="BD1262" s="222"/>
      <c r="BH1262" s="611"/>
      <c r="BJ1262" s="15"/>
      <c r="BK1262" s="15"/>
      <c r="BO1262" s="223"/>
      <c r="BQ1262" s="889"/>
      <c r="BT1262" s="890"/>
      <c r="BX1262" s="889"/>
      <c r="CB1262" s="15"/>
      <c r="CC1262" s="697"/>
      <c r="CD1262" s="1086"/>
      <c r="CE1262" s="15"/>
      <c r="CF1262" s="15"/>
      <c r="CG1262" s="936"/>
      <c r="CH1262" s="15"/>
      <c r="CI1262" s="15"/>
      <c r="CJ1262" s="15"/>
      <c r="CK1262" s="1107"/>
      <c r="CL1262" s="22"/>
      <c r="CM1262" s="22"/>
      <c r="CN1262" s="1107"/>
      <c r="CR1262" s="223"/>
      <c r="CS1262" s="952"/>
      <c r="CT1262" s="1066"/>
      <c r="CU1262" s="972"/>
      <c r="CV1262" s="983"/>
      <c r="CW1262" s="222"/>
      <c r="CX1262" s="697"/>
      <c r="DC1262" s="222"/>
      <c r="DJ1262" s="889"/>
      <c r="DM1262" s="890"/>
      <c r="DN1262" s="952"/>
      <c r="DO1262" s="75"/>
      <c r="DP1262" s="962"/>
      <c r="DQ1262" s="983"/>
      <c r="DV1262" s="889"/>
    </row>
    <row r="1263" spans="1:126" s="74" customFormat="1">
      <c r="A1263" s="15"/>
      <c r="B1263" s="15"/>
      <c r="C1263" s="15"/>
      <c r="D1263" s="15"/>
      <c r="E1263" s="6"/>
      <c r="F1263" s="6"/>
      <c r="G1263" s="6"/>
      <c r="K1263" s="222"/>
      <c r="V1263" s="1430"/>
      <c r="AA1263" s="223"/>
      <c r="AC1263" s="889"/>
      <c r="AF1263" s="890"/>
      <c r="AJ1263" s="889"/>
      <c r="AN1263" s="222"/>
      <c r="BC1263" s="223"/>
      <c r="BD1263" s="222"/>
      <c r="BH1263" s="611"/>
      <c r="BJ1263" s="15"/>
      <c r="BK1263" s="15"/>
      <c r="BO1263" s="223"/>
      <c r="BQ1263" s="889"/>
      <c r="BT1263" s="890"/>
      <c r="BX1263" s="889"/>
      <c r="CB1263" s="15"/>
      <c r="CC1263" s="697"/>
      <c r="CD1263" s="1086"/>
      <c r="CE1263" s="15"/>
      <c r="CF1263" s="15"/>
      <c r="CG1263" s="936"/>
      <c r="CH1263" s="15"/>
      <c r="CI1263" s="15"/>
      <c r="CJ1263" s="15"/>
      <c r="CK1263" s="1107"/>
      <c r="CL1263" s="22"/>
      <c r="CM1263" s="22"/>
      <c r="CN1263" s="1107"/>
      <c r="CR1263" s="223"/>
      <c r="CS1263" s="952"/>
      <c r="CT1263" s="1066"/>
      <c r="CU1263" s="972"/>
      <c r="CV1263" s="983"/>
      <c r="CW1263" s="222"/>
      <c r="CX1263" s="697"/>
      <c r="DC1263" s="222"/>
      <c r="DJ1263" s="889"/>
      <c r="DM1263" s="890"/>
      <c r="DN1263" s="952"/>
      <c r="DO1263" s="75"/>
      <c r="DP1263" s="962"/>
      <c r="DQ1263" s="983"/>
      <c r="DV1263" s="889"/>
    </row>
    <row r="1264" spans="1:126" s="74" customFormat="1">
      <c r="A1264" s="15"/>
      <c r="B1264" s="15"/>
      <c r="C1264" s="15"/>
      <c r="D1264" s="15"/>
      <c r="E1264" s="6"/>
      <c r="F1264" s="6"/>
      <c r="G1264" s="6"/>
      <c r="K1264" s="222"/>
      <c r="V1264" s="1430"/>
      <c r="AA1264" s="223"/>
      <c r="AC1264" s="889"/>
      <c r="AF1264" s="890"/>
      <c r="AJ1264" s="889"/>
      <c r="AN1264" s="222"/>
      <c r="BC1264" s="223"/>
      <c r="BD1264" s="222"/>
      <c r="BH1264" s="611"/>
      <c r="BJ1264" s="15"/>
      <c r="BK1264" s="15"/>
      <c r="BO1264" s="223"/>
      <c r="BQ1264" s="889"/>
      <c r="BT1264" s="890"/>
      <c r="BX1264" s="889"/>
      <c r="CB1264" s="15"/>
      <c r="CC1264" s="697"/>
      <c r="CD1264" s="1086"/>
      <c r="CE1264" s="15"/>
      <c r="CF1264" s="15"/>
      <c r="CG1264" s="936"/>
      <c r="CH1264" s="15"/>
      <c r="CI1264" s="15"/>
      <c r="CJ1264" s="15"/>
      <c r="CK1264" s="1107"/>
      <c r="CL1264" s="22"/>
      <c r="CM1264" s="22"/>
      <c r="CN1264" s="1107"/>
      <c r="CR1264" s="223"/>
      <c r="CS1264" s="952"/>
      <c r="CT1264" s="1066"/>
      <c r="CU1264" s="972"/>
      <c r="CV1264" s="983"/>
      <c r="CW1264" s="222"/>
      <c r="CX1264" s="697"/>
      <c r="DC1264" s="222"/>
      <c r="DJ1264" s="889"/>
      <c r="DM1264" s="890"/>
      <c r="DN1264" s="952"/>
      <c r="DO1264" s="75"/>
      <c r="DP1264" s="962"/>
      <c r="DQ1264" s="983"/>
      <c r="DV1264" s="889"/>
    </row>
    <row r="1265" spans="1:126" s="74" customFormat="1">
      <c r="A1265" s="15"/>
      <c r="B1265" s="15"/>
      <c r="C1265" s="15"/>
      <c r="D1265" s="15"/>
      <c r="E1265" s="6"/>
      <c r="F1265" s="6"/>
      <c r="G1265" s="6"/>
      <c r="K1265" s="222"/>
      <c r="V1265" s="1430"/>
      <c r="AA1265" s="223"/>
      <c r="AC1265" s="889"/>
      <c r="AF1265" s="890"/>
      <c r="AJ1265" s="889"/>
      <c r="AN1265" s="222"/>
      <c r="BC1265" s="223"/>
      <c r="BD1265" s="222"/>
      <c r="BH1265" s="611"/>
      <c r="BJ1265" s="15"/>
      <c r="BK1265" s="15"/>
      <c r="BO1265" s="223"/>
      <c r="BQ1265" s="889"/>
      <c r="BT1265" s="890"/>
      <c r="BX1265" s="889"/>
      <c r="CB1265" s="15"/>
      <c r="CC1265" s="697"/>
      <c r="CD1265" s="1086"/>
      <c r="CE1265" s="15"/>
      <c r="CF1265" s="15"/>
      <c r="CG1265" s="936"/>
      <c r="CH1265" s="15"/>
      <c r="CI1265" s="15"/>
      <c r="CJ1265" s="15"/>
      <c r="CK1265" s="1107"/>
      <c r="CL1265" s="22"/>
      <c r="CM1265" s="22"/>
      <c r="CN1265" s="1107"/>
      <c r="CR1265" s="223"/>
      <c r="CS1265" s="952"/>
      <c r="CT1265" s="1066"/>
      <c r="CU1265" s="972"/>
      <c r="CV1265" s="983"/>
      <c r="CW1265" s="222"/>
      <c r="CX1265" s="697"/>
      <c r="DC1265" s="222"/>
      <c r="DJ1265" s="889"/>
      <c r="DM1265" s="890"/>
      <c r="DN1265" s="952"/>
      <c r="DO1265" s="75"/>
      <c r="DP1265" s="962"/>
      <c r="DQ1265" s="983"/>
      <c r="DV1265" s="889"/>
    </row>
    <row r="1266" spans="1:126" s="74" customFormat="1">
      <c r="A1266" s="15"/>
      <c r="B1266" s="15"/>
      <c r="C1266" s="15"/>
      <c r="D1266" s="15"/>
      <c r="E1266" s="6"/>
      <c r="F1266" s="6"/>
      <c r="G1266" s="6"/>
      <c r="K1266" s="222"/>
      <c r="V1266" s="1430"/>
      <c r="AA1266" s="223"/>
      <c r="AC1266" s="889"/>
      <c r="AF1266" s="890"/>
      <c r="AJ1266" s="889"/>
      <c r="AN1266" s="222"/>
      <c r="BC1266" s="223"/>
      <c r="BD1266" s="222"/>
      <c r="BH1266" s="611"/>
      <c r="BJ1266" s="15"/>
      <c r="BK1266" s="15"/>
      <c r="BO1266" s="223"/>
      <c r="BQ1266" s="889"/>
      <c r="BT1266" s="890"/>
      <c r="BX1266" s="889"/>
      <c r="CB1266" s="15"/>
      <c r="CC1266" s="697"/>
      <c r="CD1266" s="1086"/>
      <c r="CE1266" s="15"/>
      <c r="CF1266" s="15"/>
      <c r="CG1266" s="936"/>
      <c r="CH1266" s="15"/>
      <c r="CI1266" s="15"/>
      <c r="CJ1266" s="15"/>
      <c r="CK1266" s="1107"/>
      <c r="CL1266" s="22"/>
      <c r="CM1266" s="22"/>
      <c r="CN1266" s="1107"/>
      <c r="CR1266" s="223"/>
      <c r="CS1266" s="952"/>
      <c r="CT1266" s="1066"/>
      <c r="CU1266" s="972"/>
      <c r="CV1266" s="983"/>
      <c r="CW1266" s="222"/>
      <c r="CX1266" s="697"/>
      <c r="DC1266" s="222"/>
      <c r="DJ1266" s="889"/>
      <c r="DM1266" s="890"/>
      <c r="DN1266" s="952"/>
      <c r="DO1266" s="75"/>
      <c r="DP1266" s="962"/>
      <c r="DQ1266" s="983"/>
      <c r="DV1266" s="889"/>
    </row>
    <row r="1267" spans="1:126" s="74" customFormat="1">
      <c r="A1267" s="15"/>
      <c r="B1267" s="15"/>
      <c r="C1267" s="15"/>
      <c r="D1267" s="15"/>
      <c r="E1267" s="6"/>
      <c r="F1267" s="6"/>
      <c r="G1267" s="6"/>
      <c r="K1267" s="222"/>
      <c r="V1267" s="1430"/>
      <c r="AA1267" s="223"/>
      <c r="AC1267" s="889"/>
      <c r="AF1267" s="890"/>
      <c r="AJ1267" s="889"/>
      <c r="AN1267" s="222"/>
      <c r="BC1267" s="223"/>
      <c r="BD1267" s="222"/>
      <c r="BH1267" s="611"/>
      <c r="BJ1267" s="15"/>
      <c r="BK1267" s="15"/>
      <c r="BO1267" s="223"/>
      <c r="BQ1267" s="889"/>
      <c r="BT1267" s="890"/>
      <c r="BX1267" s="889"/>
      <c r="CB1267" s="15"/>
      <c r="CC1267" s="697"/>
      <c r="CD1267" s="1086"/>
      <c r="CE1267" s="15"/>
      <c r="CF1267" s="15"/>
      <c r="CG1267" s="936"/>
      <c r="CH1267" s="15"/>
      <c r="CI1267" s="15"/>
      <c r="CJ1267" s="15"/>
      <c r="CK1267" s="1107"/>
      <c r="CL1267" s="22"/>
      <c r="CM1267" s="22"/>
      <c r="CN1267" s="1107"/>
      <c r="CR1267" s="223"/>
      <c r="CS1267" s="952"/>
      <c r="CT1267" s="1066"/>
      <c r="CU1267" s="972"/>
      <c r="CV1267" s="983"/>
      <c r="CW1267" s="222"/>
      <c r="CX1267" s="697"/>
      <c r="DC1267" s="222"/>
      <c r="DJ1267" s="889"/>
      <c r="DM1267" s="890"/>
      <c r="DN1267" s="952"/>
      <c r="DO1267" s="75"/>
      <c r="DP1267" s="962"/>
      <c r="DQ1267" s="983"/>
      <c r="DV1267" s="889"/>
    </row>
    <row r="1268" spans="1:126" s="74" customFormat="1">
      <c r="A1268" s="15"/>
      <c r="B1268" s="15"/>
      <c r="C1268" s="15"/>
      <c r="D1268" s="15"/>
      <c r="E1268" s="6"/>
      <c r="F1268" s="6"/>
      <c r="G1268" s="6"/>
      <c r="K1268" s="222"/>
      <c r="V1268" s="1430"/>
      <c r="AA1268" s="223"/>
      <c r="AC1268" s="889"/>
      <c r="AF1268" s="890"/>
      <c r="AJ1268" s="889"/>
      <c r="AN1268" s="222"/>
      <c r="BC1268" s="223"/>
      <c r="BD1268" s="222"/>
      <c r="BH1268" s="611"/>
      <c r="BJ1268" s="15"/>
      <c r="BK1268" s="15"/>
      <c r="BO1268" s="223"/>
      <c r="BQ1268" s="889"/>
      <c r="BT1268" s="890"/>
      <c r="BX1268" s="889"/>
      <c r="CB1268" s="15"/>
      <c r="CC1268" s="697"/>
      <c r="CD1268" s="1086"/>
      <c r="CE1268" s="15"/>
      <c r="CF1268" s="15"/>
      <c r="CG1268" s="936"/>
      <c r="CH1268" s="15"/>
      <c r="CI1268" s="15"/>
      <c r="CJ1268" s="15"/>
      <c r="CK1268" s="1107"/>
      <c r="CL1268" s="22"/>
      <c r="CM1268" s="22"/>
      <c r="CN1268" s="1107"/>
      <c r="CR1268" s="223"/>
      <c r="CS1268" s="952"/>
      <c r="CT1268" s="1066"/>
      <c r="CU1268" s="972"/>
      <c r="CV1268" s="983"/>
      <c r="CW1268" s="222"/>
      <c r="CX1268" s="697"/>
      <c r="DC1268" s="222"/>
      <c r="DJ1268" s="889"/>
      <c r="DM1268" s="890"/>
      <c r="DN1268" s="952"/>
      <c r="DO1268" s="75"/>
      <c r="DP1268" s="962"/>
      <c r="DQ1268" s="983"/>
      <c r="DV1268" s="889"/>
    </row>
    <row r="1269" spans="1:126" s="74" customFormat="1">
      <c r="A1269" s="15"/>
      <c r="B1269" s="15"/>
      <c r="C1269" s="15"/>
      <c r="D1269" s="15"/>
      <c r="E1269" s="6"/>
      <c r="F1269" s="6"/>
      <c r="G1269" s="6"/>
      <c r="K1269" s="222"/>
      <c r="V1269" s="1430"/>
      <c r="AA1269" s="223"/>
      <c r="AC1269" s="889"/>
      <c r="AF1269" s="890"/>
      <c r="AJ1269" s="889"/>
      <c r="AN1269" s="222"/>
      <c r="BC1269" s="223"/>
      <c r="BD1269" s="222"/>
      <c r="BH1269" s="611"/>
      <c r="BJ1269" s="15"/>
      <c r="BK1269" s="15"/>
      <c r="BO1269" s="223"/>
      <c r="BQ1269" s="889"/>
      <c r="BT1269" s="890"/>
      <c r="BX1269" s="889"/>
      <c r="CB1269" s="15"/>
      <c r="CC1269" s="697"/>
      <c r="CD1269" s="1086"/>
      <c r="CE1269" s="15"/>
      <c r="CF1269" s="15"/>
      <c r="CG1269" s="936"/>
      <c r="CH1269" s="15"/>
      <c r="CI1269" s="15"/>
      <c r="CJ1269" s="15"/>
      <c r="CK1269" s="1107"/>
      <c r="CL1269" s="22"/>
      <c r="CM1269" s="22"/>
      <c r="CN1269" s="1107"/>
      <c r="CR1269" s="223"/>
      <c r="CS1269" s="952"/>
      <c r="CT1269" s="1066"/>
      <c r="CU1269" s="972"/>
      <c r="CV1269" s="983"/>
      <c r="CW1269" s="222"/>
      <c r="CX1269" s="697"/>
      <c r="DC1269" s="222"/>
      <c r="DJ1269" s="889"/>
      <c r="DM1269" s="890"/>
      <c r="DN1269" s="952"/>
      <c r="DO1269" s="75"/>
      <c r="DP1269" s="962"/>
      <c r="DQ1269" s="983"/>
      <c r="DV1269" s="889"/>
    </row>
    <row r="1270" spans="1:126" s="74" customFormat="1">
      <c r="A1270" s="15"/>
      <c r="B1270" s="15"/>
      <c r="C1270" s="15"/>
      <c r="D1270" s="15"/>
      <c r="E1270" s="6"/>
      <c r="F1270" s="6"/>
      <c r="G1270" s="6"/>
      <c r="K1270" s="222"/>
      <c r="V1270" s="1430"/>
      <c r="AA1270" s="223"/>
      <c r="AC1270" s="889"/>
      <c r="AF1270" s="890"/>
      <c r="AJ1270" s="889"/>
      <c r="AN1270" s="222"/>
      <c r="BC1270" s="223"/>
      <c r="BD1270" s="222"/>
      <c r="BH1270" s="611"/>
      <c r="BJ1270" s="15"/>
      <c r="BK1270" s="15"/>
      <c r="BO1270" s="223"/>
      <c r="BQ1270" s="889"/>
      <c r="BT1270" s="890"/>
      <c r="BX1270" s="889"/>
      <c r="CB1270" s="15"/>
      <c r="CC1270" s="697"/>
      <c r="CD1270" s="1086"/>
      <c r="CE1270" s="15"/>
      <c r="CF1270" s="15"/>
      <c r="CG1270" s="936"/>
      <c r="CH1270" s="15"/>
      <c r="CI1270" s="15"/>
      <c r="CJ1270" s="15"/>
      <c r="CK1270" s="1107"/>
      <c r="CL1270" s="22"/>
      <c r="CM1270" s="22"/>
      <c r="CN1270" s="1107"/>
      <c r="CR1270" s="223"/>
      <c r="CS1270" s="952"/>
      <c r="CT1270" s="1066"/>
      <c r="CU1270" s="972"/>
      <c r="CV1270" s="983"/>
      <c r="CW1270" s="222"/>
      <c r="CX1270" s="697"/>
      <c r="DC1270" s="222"/>
      <c r="DJ1270" s="889"/>
      <c r="DM1270" s="890"/>
      <c r="DN1270" s="952"/>
      <c r="DO1270" s="75"/>
      <c r="DP1270" s="962"/>
      <c r="DQ1270" s="983"/>
      <c r="DV1270" s="889"/>
    </row>
    <row r="1271" spans="1:126" s="74" customFormat="1">
      <c r="A1271" s="15"/>
      <c r="B1271" s="15"/>
      <c r="C1271" s="15"/>
      <c r="D1271" s="15"/>
      <c r="E1271" s="6"/>
      <c r="F1271" s="6"/>
      <c r="G1271" s="6"/>
      <c r="K1271" s="222"/>
      <c r="V1271" s="1430"/>
      <c r="AA1271" s="223"/>
      <c r="AC1271" s="889"/>
      <c r="AF1271" s="890"/>
      <c r="AJ1271" s="889"/>
      <c r="AN1271" s="222"/>
      <c r="BC1271" s="223"/>
      <c r="BD1271" s="222"/>
      <c r="BH1271" s="611"/>
      <c r="BJ1271" s="15"/>
      <c r="BK1271" s="15"/>
      <c r="BO1271" s="223"/>
      <c r="BQ1271" s="889"/>
      <c r="BT1271" s="890"/>
      <c r="BX1271" s="889"/>
      <c r="CB1271" s="15"/>
      <c r="CC1271" s="697"/>
      <c r="CD1271" s="1086"/>
      <c r="CE1271" s="15"/>
      <c r="CF1271" s="15"/>
      <c r="CG1271" s="936"/>
      <c r="CH1271" s="15"/>
      <c r="CI1271" s="15"/>
      <c r="CJ1271" s="15"/>
      <c r="CK1271" s="1107"/>
      <c r="CL1271" s="22"/>
      <c r="CM1271" s="22"/>
      <c r="CN1271" s="1107"/>
      <c r="CR1271" s="223"/>
      <c r="CS1271" s="952"/>
      <c r="CT1271" s="1066"/>
      <c r="CU1271" s="972"/>
      <c r="CV1271" s="983"/>
      <c r="CW1271" s="222"/>
      <c r="CX1271" s="697"/>
      <c r="DC1271" s="222"/>
      <c r="DJ1271" s="889"/>
      <c r="DM1271" s="890"/>
      <c r="DN1271" s="952"/>
      <c r="DO1271" s="75"/>
      <c r="DP1271" s="962"/>
      <c r="DQ1271" s="983"/>
      <c r="DV1271" s="889"/>
    </row>
    <row r="1272" spans="1:126" s="74" customFormat="1">
      <c r="A1272" s="15"/>
      <c r="B1272" s="15"/>
      <c r="C1272" s="15"/>
      <c r="D1272" s="15"/>
      <c r="E1272" s="6"/>
      <c r="F1272" s="6"/>
      <c r="G1272" s="6"/>
      <c r="K1272" s="222"/>
      <c r="V1272" s="1430"/>
      <c r="AA1272" s="223"/>
      <c r="AC1272" s="889"/>
      <c r="AF1272" s="890"/>
      <c r="AJ1272" s="889"/>
      <c r="AN1272" s="222"/>
      <c r="BC1272" s="223"/>
      <c r="BD1272" s="222"/>
      <c r="BH1272" s="611"/>
      <c r="BJ1272" s="15"/>
      <c r="BK1272" s="15"/>
      <c r="BO1272" s="223"/>
      <c r="BQ1272" s="889"/>
      <c r="BT1272" s="890"/>
      <c r="BX1272" s="889"/>
      <c r="CB1272" s="15"/>
      <c r="CC1272" s="697"/>
      <c r="CD1272" s="1086"/>
      <c r="CE1272" s="15"/>
      <c r="CF1272" s="15"/>
      <c r="CG1272" s="936"/>
      <c r="CH1272" s="15"/>
      <c r="CI1272" s="15"/>
      <c r="CJ1272" s="15"/>
      <c r="CK1272" s="1107"/>
      <c r="CL1272" s="22"/>
      <c r="CM1272" s="22"/>
      <c r="CN1272" s="1107"/>
      <c r="CR1272" s="223"/>
      <c r="CS1272" s="952"/>
      <c r="CT1272" s="1066"/>
      <c r="CU1272" s="972"/>
      <c r="CV1272" s="983"/>
      <c r="CW1272" s="222"/>
      <c r="CX1272" s="697"/>
      <c r="DC1272" s="222"/>
      <c r="DJ1272" s="889"/>
      <c r="DM1272" s="890"/>
      <c r="DN1272" s="952"/>
      <c r="DO1272" s="75"/>
      <c r="DP1272" s="962"/>
      <c r="DQ1272" s="983"/>
      <c r="DV1272" s="889"/>
    </row>
    <row r="1273" spans="1:126" s="74" customFormat="1">
      <c r="A1273" s="15"/>
      <c r="B1273" s="15"/>
      <c r="C1273" s="15"/>
      <c r="D1273" s="15"/>
      <c r="E1273" s="6"/>
      <c r="F1273" s="6"/>
      <c r="G1273" s="6"/>
      <c r="K1273" s="222"/>
      <c r="V1273" s="1430"/>
      <c r="AA1273" s="223"/>
      <c r="AC1273" s="889"/>
      <c r="AF1273" s="890"/>
      <c r="AJ1273" s="889"/>
      <c r="AN1273" s="222"/>
      <c r="BC1273" s="223"/>
      <c r="BD1273" s="222"/>
      <c r="BH1273" s="611"/>
      <c r="BJ1273" s="15"/>
      <c r="BK1273" s="15"/>
      <c r="BO1273" s="223"/>
      <c r="BQ1273" s="889"/>
      <c r="BT1273" s="890"/>
      <c r="BX1273" s="889"/>
      <c r="CB1273" s="15"/>
      <c r="CC1273" s="697"/>
      <c r="CD1273" s="1086"/>
      <c r="CE1273" s="15"/>
      <c r="CF1273" s="15"/>
      <c r="CG1273" s="936"/>
      <c r="CH1273" s="15"/>
      <c r="CI1273" s="15"/>
      <c r="CJ1273" s="15"/>
      <c r="CK1273" s="1107"/>
      <c r="CL1273" s="22"/>
      <c r="CM1273" s="22"/>
      <c r="CN1273" s="1107"/>
      <c r="CR1273" s="223"/>
      <c r="CS1273" s="952"/>
      <c r="CT1273" s="1066"/>
      <c r="CU1273" s="972"/>
      <c r="CV1273" s="983"/>
      <c r="CW1273" s="222"/>
      <c r="CX1273" s="697"/>
      <c r="DC1273" s="222"/>
      <c r="DJ1273" s="889"/>
      <c r="DM1273" s="890"/>
      <c r="DN1273" s="952"/>
      <c r="DO1273" s="75"/>
      <c r="DP1273" s="962"/>
      <c r="DQ1273" s="983"/>
      <c r="DV1273" s="889"/>
    </row>
    <row r="1274" spans="1:126" s="74" customFormat="1">
      <c r="A1274" s="15"/>
      <c r="B1274" s="15"/>
      <c r="C1274" s="15"/>
      <c r="D1274" s="15"/>
      <c r="E1274" s="6"/>
      <c r="F1274" s="6"/>
      <c r="G1274" s="6"/>
      <c r="K1274" s="222"/>
      <c r="V1274" s="1430"/>
      <c r="AA1274" s="223"/>
      <c r="AC1274" s="889"/>
      <c r="AF1274" s="890"/>
      <c r="AJ1274" s="889"/>
      <c r="AN1274" s="222"/>
      <c r="BC1274" s="223"/>
      <c r="BD1274" s="222"/>
      <c r="BH1274" s="611"/>
      <c r="BJ1274" s="15"/>
      <c r="BK1274" s="15"/>
      <c r="BO1274" s="223"/>
      <c r="BQ1274" s="889"/>
      <c r="BT1274" s="890"/>
      <c r="BX1274" s="889"/>
      <c r="CB1274" s="15"/>
      <c r="CC1274" s="697"/>
      <c r="CD1274" s="1086"/>
      <c r="CE1274" s="15"/>
      <c r="CF1274" s="15"/>
      <c r="CG1274" s="936"/>
      <c r="CH1274" s="15"/>
      <c r="CI1274" s="15"/>
      <c r="CJ1274" s="15"/>
      <c r="CK1274" s="1107"/>
      <c r="CL1274" s="22"/>
      <c r="CM1274" s="22"/>
      <c r="CN1274" s="1107"/>
      <c r="CR1274" s="223"/>
      <c r="CS1274" s="952"/>
      <c r="CT1274" s="1066"/>
      <c r="CU1274" s="972"/>
      <c r="CV1274" s="983"/>
      <c r="CW1274" s="222"/>
      <c r="CX1274" s="697"/>
      <c r="DC1274" s="222"/>
      <c r="DJ1274" s="889"/>
      <c r="DM1274" s="890"/>
      <c r="DN1274" s="952"/>
      <c r="DO1274" s="75"/>
      <c r="DP1274" s="962"/>
      <c r="DQ1274" s="983"/>
      <c r="DV1274" s="889"/>
    </row>
    <row r="1275" spans="1:126" s="74" customFormat="1">
      <c r="A1275" s="15"/>
      <c r="B1275" s="15"/>
      <c r="C1275" s="15"/>
      <c r="D1275" s="15"/>
      <c r="E1275" s="6"/>
      <c r="F1275" s="6"/>
      <c r="G1275" s="6"/>
      <c r="K1275" s="222"/>
      <c r="V1275" s="1430"/>
      <c r="AA1275" s="223"/>
      <c r="AC1275" s="889"/>
      <c r="AF1275" s="890"/>
      <c r="AJ1275" s="889"/>
      <c r="AN1275" s="222"/>
      <c r="BC1275" s="223"/>
      <c r="BD1275" s="222"/>
      <c r="BH1275" s="611"/>
      <c r="BJ1275" s="15"/>
      <c r="BK1275" s="15"/>
      <c r="BO1275" s="223"/>
      <c r="BQ1275" s="889"/>
      <c r="BT1275" s="890"/>
      <c r="BX1275" s="889"/>
      <c r="CB1275" s="15"/>
      <c r="CC1275" s="697"/>
      <c r="CD1275" s="1086"/>
      <c r="CE1275" s="15"/>
      <c r="CF1275" s="15"/>
      <c r="CG1275" s="936"/>
      <c r="CH1275" s="15"/>
      <c r="CI1275" s="15"/>
      <c r="CJ1275" s="15"/>
      <c r="CK1275" s="1107"/>
      <c r="CL1275" s="22"/>
      <c r="CM1275" s="22"/>
      <c r="CN1275" s="1107"/>
      <c r="CR1275" s="223"/>
      <c r="CS1275" s="952"/>
      <c r="CT1275" s="1066"/>
      <c r="CU1275" s="972"/>
      <c r="CV1275" s="983"/>
      <c r="CW1275" s="222"/>
      <c r="CX1275" s="697"/>
      <c r="DC1275" s="222"/>
      <c r="DJ1275" s="889"/>
      <c r="DM1275" s="890"/>
      <c r="DN1275" s="952"/>
      <c r="DO1275" s="75"/>
      <c r="DP1275" s="962"/>
      <c r="DQ1275" s="983"/>
      <c r="DV1275" s="889"/>
    </row>
    <row r="1276" spans="1:126" s="74" customFormat="1">
      <c r="A1276" s="15"/>
      <c r="B1276" s="15"/>
      <c r="C1276" s="15"/>
      <c r="D1276" s="15"/>
      <c r="E1276" s="6"/>
      <c r="F1276" s="6"/>
      <c r="G1276" s="6"/>
      <c r="K1276" s="222"/>
      <c r="V1276" s="1430"/>
      <c r="AA1276" s="223"/>
      <c r="AC1276" s="889"/>
      <c r="AF1276" s="890"/>
      <c r="AJ1276" s="889"/>
      <c r="AN1276" s="222"/>
      <c r="BC1276" s="223"/>
      <c r="BD1276" s="222"/>
      <c r="BH1276" s="611"/>
      <c r="BJ1276" s="15"/>
      <c r="BK1276" s="15"/>
      <c r="BO1276" s="223"/>
      <c r="BQ1276" s="889"/>
      <c r="BT1276" s="890"/>
      <c r="BX1276" s="889"/>
      <c r="CB1276" s="15"/>
      <c r="CC1276" s="697"/>
      <c r="CD1276" s="1086"/>
      <c r="CE1276" s="15"/>
      <c r="CF1276" s="15"/>
      <c r="CG1276" s="936"/>
      <c r="CH1276" s="15"/>
      <c r="CI1276" s="15"/>
      <c r="CJ1276" s="15"/>
      <c r="CK1276" s="1107"/>
      <c r="CL1276" s="22"/>
      <c r="CM1276" s="22"/>
      <c r="CN1276" s="1107"/>
      <c r="CR1276" s="223"/>
      <c r="CS1276" s="952"/>
      <c r="CT1276" s="1066"/>
      <c r="CU1276" s="972"/>
      <c r="CV1276" s="983"/>
      <c r="CW1276" s="222"/>
      <c r="CX1276" s="697"/>
      <c r="DC1276" s="222"/>
      <c r="DJ1276" s="889"/>
      <c r="DM1276" s="890"/>
      <c r="DN1276" s="952"/>
      <c r="DO1276" s="75"/>
      <c r="DP1276" s="962"/>
      <c r="DQ1276" s="983"/>
      <c r="DV1276" s="889"/>
    </row>
    <row r="1277" spans="1:126" s="74" customFormat="1">
      <c r="A1277" s="15"/>
      <c r="B1277" s="15"/>
      <c r="C1277" s="15"/>
      <c r="D1277" s="15"/>
      <c r="E1277" s="6"/>
      <c r="F1277" s="6"/>
      <c r="G1277" s="6"/>
      <c r="K1277" s="222"/>
      <c r="V1277" s="1430"/>
      <c r="AA1277" s="223"/>
      <c r="AC1277" s="889"/>
      <c r="AF1277" s="890"/>
      <c r="AJ1277" s="889"/>
      <c r="AN1277" s="222"/>
      <c r="BC1277" s="223"/>
      <c r="BD1277" s="222"/>
      <c r="BH1277" s="611"/>
      <c r="BJ1277" s="15"/>
      <c r="BK1277" s="15"/>
      <c r="BO1277" s="223"/>
      <c r="BQ1277" s="889"/>
      <c r="BT1277" s="890"/>
      <c r="BX1277" s="889"/>
      <c r="CB1277" s="15"/>
      <c r="CC1277" s="697"/>
      <c r="CD1277" s="1086"/>
      <c r="CE1277" s="15"/>
      <c r="CF1277" s="15"/>
      <c r="CG1277" s="936"/>
      <c r="CH1277" s="15"/>
      <c r="CI1277" s="15"/>
      <c r="CJ1277" s="15"/>
      <c r="CK1277" s="1107"/>
      <c r="CL1277" s="22"/>
      <c r="CM1277" s="22"/>
      <c r="CN1277" s="1107"/>
      <c r="CR1277" s="223"/>
      <c r="CS1277" s="952"/>
      <c r="CT1277" s="1066"/>
      <c r="CU1277" s="972"/>
      <c r="CV1277" s="983"/>
      <c r="CW1277" s="222"/>
      <c r="CX1277" s="697"/>
      <c r="DC1277" s="222"/>
      <c r="DJ1277" s="889"/>
      <c r="DM1277" s="890"/>
      <c r="DN1277" s="952"/>
      <c r="DO1277" s="75"/>
      <c r="DP1277" s="962"/>
      <c r="DQ1277" s="983"/>
      <c r="DV1277" s="889"/>
    </row>
    <row r="1278" spans="1:126" s="74" customFormat="1">
      <c r="A1278" s="15"/>
      <c r="B1278" s="15"/>
      <c r="C1278" s="15"/>
      <c r="D1278" s="15"/>
      <c r="E1278" s="6"/>
      <c r="F1278" s="6"/>
      <c r="G1278" s="6"/>
      <c r="K1278" s="222"/>
      <c r="V1278" s="1430"/>
      <c r="AA1278" s="223"/>
      <c r="AC1278" s="889"/>
      <c r="AF1278" s="890"/>
      <c r="AJ1278" s="889"/>
      <c r="AN1278" s="222"/>
      <c r="BC1278" s="223"/>
      <c r="BD1278" s="222"/>
      <c r="BH1278" s="611"/>
      <c r="BJ1278" s="15"/>
      <c r="BK1278" s="15"/>
      <c r="BO1278" s="223"/>
      <c r="BQ1278" s="889"/>
      <c r="BT1278" s="890"/>
      <c r="BX1278" s="889"/>
      <c r="CB1278" s="15"/>
      <c r="CC1278" s="697"/>
      <c r="CD1278" s="1086"/>
      <c r="CE1278" s="15"/>
      <c r="CF1278" s="15"/>
      <c r="CG1278" s="936"/>
      <c r="CH1278" s="15"/>
      <c r="CI1278" s="15"/>
      <c r="CJ1278" s="15"/>
      <c r="CK1278" s="1107"/>
      <c r="CL1278" s="22"/>
      <c r="CM1278" s="22"/>
      <c r="CN1278" s="1107"/>
      <c r="CR1278" s="223"/>
      <c r="CS1278" s="952"/>
      <c r="CT1278" s="1066"/>
      <c r="CU1278" s="972"/>
      <c r="CV1278" s="983"/>
      <c r="CW1278" s="222"/>
      <c r="CX1278" s="697"/>
      <c r="DC1278" s="222"/>
      <c r="DJ1278" s="889"/>
      <c r="DM1278" s="890"/>
      <c r="DN1278" s="952"/>
      <c r="DO1278" s="75"/>
      <c r="DP1278" s="962"/>
      <c r="DQ1278" s="983"/>
      <c r="DV1278" s="889"/>
    </row>
    <row r="1279" spans="1:126" s="74" customFormat="1">
      <c r="A1279" s="15"/>
      <c r="B1279" s="15"/>
      <c r="C1279" s="15"/>
      <c r="D1279" s="15"/>
      <c r="E1279" s="6"/>
      <c r="F1279" s="6"/>
      <c r="G1279" s="6"/>
      <c r="K1279" s="222"/>
      <c r="V1279" s="1430"/>
      <c r="AA1279" s="223"/>
      <c r="AC1279" s="889"/>
      <c r="AF1279" s="890"/>
      <c r="AJ1279" s="889"/>
      <c r="AN1279" s="222"/>
      <c r="BC1279" s="223"/>
      <c r="BD1279" s="222"/>
      <c r="BH1279" s="611"/>
      <c r="BJ1279" s="15"/>
      <c r="BK1279" s="15"/>
      <c r="BO1279" s="223"/>
      <c r="BQ1279" s="889"/>
      <c r="BT1279" s="890"/>
      <c r="BX1279" s="889"/>
      <c r="CB1279" s="15"/>
      <c r="CC1279" s="697"/>
      <c r="CD1279" s="1086"/>
      <c r="CE1279" s="15"/>
      <c r="CF1279" s="15"/>
      <c r="CG1279" s="936"/>
      <c r="CH1279" s="15"/>
      <c r="CI1279" s="15"/>
      <c r="CJ1279" s="15"/>
      <c r="CK1279" s="1107"/>
      <c r="CL1279" s="22"/>
      <c r="CM1279" s="22"/>
      <c r="CN1279" s="1107"/>
      <c r="CR1279" s="223"/>
      <c r="CS1279" s="952"/>
      <c r="CT1279" s="1066"/>
      <c r="CU1279" s="972"/>
      <c r="CV1279" s="983"/>
      <c r="CW1279" s="222"/>
      <c r="CX1279" s="697"/>
      <c r="DC1279" s="222"/>
      <c r="DJ1279" s="889"/>
      <c r="DM1279" s="890"/>
      <c r="DN1279" s="952"/>
      <c r="DO1279" s="75"/>
      <c r="DP1279" s="962"/>
      <c r="DQ1279" s="983"/>
      <c r="DV1279" s="889"/>
    </row>
    <row r="1280" spans="1:126" s="74" customFormat="1">
      <c r="A1280" s="15"/>
      <c r="B1280" s="15"/>
      <c r="C1280" s="15"/>
      <c r="D1280" s="15"/>
      <c r="E1280" s="6"/>
      <c r="F1280" s="6"/>
      <c r="G1280" s="6"/>
      <c r="K1280" s="222"/>
      <c r="V1280" s="1430"/>
      <c r="AA1280" s="223"/>
      <c r="AC1280" s="889"/>
      <c r="AF1280" s="890"/>
      <c r="AJ1280" s="889"/>
      <c r="AN1280" s="222"/>
      <c r="BC1280" s="223"/>
      <c r="BD1280" s="222"/>
      <c r="BH1280" s="611"/>
      <c r="BJ1280" s="15"/>
      <c r="BK1280" s="15"/>
      <c r="BO1280" s="223"/>
      <c r="BQ1280" s="889"/>
      <c r="BT1280" s="890"/>
      <c r="BX1280" s="889"/>
      <c r="CB1280" s="15"/>
      <c r="CC1280" s="697"/>
      <c r="CD1280" s="1086"/>
      <c r="CE1280" s="15"/>
      <c r="CF1280" s="15"/>
      <c r="CG1280" s="936"/>
      <c r="CH1280" s="15"/>
      <c r="CI1280" s="15"/>
      <c r="CJ1280" s="15"/>
      <c r="CK1280" s="1107"/>
      <c r="CL1280" s="22"/>
      <c r="CM1280" s="22"/>
      <c r="CN1280" s="1107"/>
      <c r="CR1280" s="223"/>
      <c r="CS1280" s="952"/>
      <c r="CT1280" s="1066"/>
      <c r="CU1280" s="972"/>
      <c r="CV1280" s="983"/>
      <c r="CW1280" s="222"/>
      <c r="CX1280" s="697"/>
      <c r="DC1280" s="222"/>
      <c r="DJ1280" s="889"/>
      <c r="DM1280" s="890"/>
      <c r="DN1280" s="952"/>
      <c r="DO1280" s="75"/>
      <c r="DP1280" s="962"/>
      <c r="DQ1280" s="983"/>
      <c r="DV1280" s="889"/>
    </row>
    <row r="1281" spans="1:126" s="74" customFormat="1">
      <c r="A1281" s="15"/>
      <c r="B1281" s="15"/>
      <c r="C1281" s="15"/>
      <c r="D1281" s="15"/>
      <c r="E1281" s="6"/>
      <c r="F1281" s="6"/>
      <c r="G1281" s="6"/>
      <c r="K1281" s="222"/>
      <c r="V1281" s="1430"/>
      <c r="AA1281" s="223"/>
      <c r="AC1281" s="889"/>
      <c r="AF1281" s="890"/>
      <c r="AJ1281" s="889"/>
      <c r="AN1281" s="222"/>
      <c r="BC1281" s="223"/>
      <c r="BD1281" s="222"/>
      <c r="BH1281" s="611"/>
      <c r="BJ1281" s="15"/>
      <c r="BK1281" s="15"/>
      <c r="BO1281" s="223"/>
      <c r="BQ1281" s="889"/>
      <c r="BT1281" s="890"/>
      <c r="BX1281" s="889"/>
      <c r="CB1281" s="15"/>
      <c r="CC1281" s="697"/>
      <c r="CD1281" s="1086"/>
      <c r="CE1281" s="15"/>
      <c r="CF1281" s="15"/>
      <c r="CG1281" s="936"/>
      <c r="CH1281" s="15"/>
      <c r="CI1281" s="15"/>
      <c r="CJ1281" s="15"/>
      <c r="CK1281" s="1107"/>
      <c r="CL1281" s="22"/>
      <c r="CM1281" s="22"/>
      <c r="CN1281" s="1107"/>
      <c r="CR1281" s="223"/>
      <c r="CS1281" s="952"/>
      <c r="CT1281" s="1066"/>
      <c r="CU1281" s="972"/>
      <c r="CV1281" s="983"/>
      <c r="CW1281" s="222"/>
      <c r="CX1281" s="697"/>
      <c r="DC1281" s="222"/>
      <c r="DJ1281" s="889"/>
      <c r="DM1281" s="890"/>
      <c r="DN1281" s="952"/>
      <c r="DO1281" s="75"/>
      <c r="DP1281" s="962"/>
      <c r="DQ1281" s="983"/>
      <c r="DV1281" s="889"/>
    </row>
    <row r="1282" spans="1:126" s="74" customFormat="1">
      <c r="A1282" s="15"/>
      <c r="B1282" s="15"/>
      <c r="C1282" s="15"/>
      <c r="D1282" s="15"/>
      <c r="E1282" s="6"/>
      <c r="F1282" s="6"/>
      <c r="G1282" s="6"/>
      <c r="K1282" s="222"/>
      <c r="V1282" s="1430"/>
      <c r="AA1282" s="223"/>
      <c r="AC1282" s="889"/>
      <c r="AF1282" s="890"/>
      <c r="AJ1282" s="889"/>
      <c r="AN1282" s="222"/>
      <c r="BC1282" s="223"/>
      <c r="BD1282" s="222"/>
      <c r="BH1282" s="611"/>
      <c r="BJ1282" s="15"/>
      <c r="BK1282" s="15"/>
      <c r="BO1282" s="223"/>
      <c r="BQ1282" s="889"/>
      <c r="BT1282" s="890"/>
      <c r="BX1282" s="889"/>
      <c r="CB1282" s="15"/>
      <c r="CC1282" s="697"/>
      <c r="CD1282" s="1086"/>
      <c r="CE1282" s="15"/>
      <c r="CF1282" s="15"/>
      <c r="CG1282" s="936"/>
      <c r="CH1282" s="15"/>
      <c r="CI1282" s="15"/>
      <c r="CJ1282" s="15"/>
      <c r="CK1282" s="1107"/>
      <c r="CL1282" s="22"/>
      <c r="CM1282" s="22"/>
      <c r="CN1282" s="1107"/>
      <c r="CR1282" s="223"/>
      <c r="CS1282" s="952"/>
      <c r="CT1282" s="1066"/>
      <c r="CU1282" s="972"/>
      <c r="CV1282" s="983"/>
      <c r="CW1282" s="222"/>
      <c r="CX1282" s="697"/>
      <c r="DC1282" s="222"/>
      <c r="DJ1282" s="889"/>
      <c r="DM1282" s="890"/>
      <c r="DN1282" s="952"/>
      <c r="DO1282" s="75"/>
      <c r="DP1282" s="962"/>
      <c r="DQ1282" s="983"/>
      <c r="DV1282" s="889"/>
    </row>
    <row r="1283" spans="1:126" s="74" customFormat="1">
      <c r="A1283" s="15"/>
      <c r="B1283" s="15"/>
      <c r="C1283" s="15"/>
      <c r="D1283" s="15"/>
      <c r="E1283" s="6"/>
      <c r="F1283" s="6"/>
      <c r="G1283" s="6"/>
      <c r="K1283" s="222"/>
      <c r="V1283" s="1430"/>
      <c r="AA1283" s="223"/>
      <c r="AC1283" s="889"/>
      <c r="AF1283" s="890"/>
      <c r="AJ1283" s="889"/>
      <c r="AN1283" s="222"/>
      <c r="BC1283" s="223"/>
      <c r="BD1283" s="222"/>
      <c r="BH1283" s="611"/>
      <c r="BJ1283" s="15"/>
      <c r="BK1283" s="15"/>
      <c r="BO1283" s="223"/>
      <c r="BQ1283" s="889"/>
      <c r="BT1283" s="890"/>
      <c r="BX1283" s="889"/>
      <c r="CB1283" s="15"/>
      <c r="CC1283" s="697"/>
      <c r="CD1283" s="1086"/>
      <c r="CE1283" s="15"/>
      <c r="CF1283" s="15"/>
      <c r="CG1283" s="936"/>
      <c r="CH1283" s="15"/>
      <c r="CI1283" s="15"/>
      <c r="CJ1283" s="15"/>
      <c r="CK1283" s="1107"/>
      <c r="CL1283" s="22"/>
      <c r="CM1283" s="22"/>
      <c r="CN1283" s="1107"/>
      <c r="CR1283" s="223"/>
      <c r="CS1283" s="952"/>
      <c r="CT1283" s="1066"/>
      <c r="CU1283" s="972"/>
      <c r="CV1283" s="983"/>
      <c r="CW1283" s="222"/>
      <c r="CX1283" s="697"/>
      <c r="DC1283" s="222"/>
      <c r="DJ1283" s="889"/>
      <c r="DM1283" s="890"/>
      <c r="DN1283" s="952"/>
      <c r="DO1283" s="75"/>
      <c r="DP1283" s="962"/>
      <c r="DQ1283" s="983"/>
      <c r="DV1283" s="889"/>
    </row>
    <row r="1284" spans="1:126" s="74" customFormat="1">
      <c r="A1284" s="15"/>
      <c r="B1284" s="15"/>
      <c r="C1284" s="15"/>
      <c r="D1284" s="15"/>
      <c r="E1284" s="6"/>
      <c r="F1284" s="6"/>
      <c r="G1284" s="6"/>
      <c r="K1284" s="222"/>
      <c r="V1284" s="1430"/>
      <c r="AA1284" s="223"/>
      <c r="AC1284" s="889"/>
      <c r="AF1284" s="890"/>
      <c r="AJ1284" s="889"/>
      <c r="AN1284" s="222"/>
      <c r="BC1284" s="223"/>
      <c r="BD1284" s="222"/>
      <c r="BH1284" s="611"/>
      <c r="BJ1284" s="15"/>
      <c r="BK1284" s="15"/>
      <c r="BO1284" s="223"/>
      <c r="BQ1284" s="889"/>
      <c r="BT1284" s="890"/>
      <c r="BX1284" s="889"/>
      <c r="CB1284" s="15"/>
      <c r="CC1284" s="697"/>
      <c r="CD1284" s="1086"/>
      <c r="CE1284" s="15"/>
      <c r="CF1284" s="15"/>
      <c r="CG1284" s="936"/>
      <c r="CH1284" s="15"/>
      <c r="CI1284" s="15"/>
      <c r="CJ1284" s="15"/>
      <c r="CK1284" s="1107"/>
      <c r="CL1284" s="22"/>
      <c r="CM1284" s="22"/>
      <c r="CN1284" s="1107"/>
      <c r="CR1284" s="223"/>
      <c r="CS1284" s="952"/>
      <c r="CT1284" s="1066"/>
      <c r="CU1284" s="972"/>
      <c r="CV1284" s="983"/>
      <c r="CW1284" s="222"/>
      <c r="CX1284" s="697"/>
      <c r="DC1284" s="222"/>
      <c r="DJ1284" s="889"/>
      <c r="DM1284" s="890"/>
      <c r="DN1284" s="952"/>
      <c r="DO1284" s="75"/>
      <c r="DP1284" s="962"/>
      <c r="DQ1284" s="983"/>
      <c r="DV1284" s="889"/>
    </row>
    <row r="1285" spans="1:126" s="74" customFormat="1">
      <c r="A1285" s="15"/>
      <c r="B1285" s="15"/>
      <c r="C1285" s="15"/>
      <c r="D1285" s="15"/>
      <c r="E1285" s="6"/>
      <c r="F1285" s="6"/>
      <c r="G1285" s="6"/>
      <c r="K1285" s="222"/>
      <c r="V1285" s="1430"/>
      <c r="AA1285" s="223"/>
      <c r="AC1285" s="889"/>
      <c r="AF1285" s="890"/>
      <c r="AJ1285" s="889"/>
      <c r="AN1285" s="222"/>
      <c r="BC1285" s="223"/>
      <c r="BD1285" s="222"/>
      <c r="BH1285" s="611"/>
      <c r="BJ1285" s="15"/>
      <c r="BK1285" s="15"/>
      <c r="BO1285" s="223"/>
      <c r="BQ1285" s="889"/>
      <c r="BT1285" s="890"/>
      <c r="BX1285" s="889"/>
      <c r="CB1285" s="15"/>
      <c r="CC1285" s="697"/>
      <c r="CD1285" s="1086"/>
      <c r="CE1285" s="15"/>
      <c r="CF1285" s="15"/>
      <c r="CG1285" s="936"/>
      <c r="CH1285" s="15"/>
      <c r="CI1285" s="15"/>
      <c r="CJ1285" s="15"/>
      <c r="CK1285" s="1107"/>
      <c r="CL1285" s="22"/>
      <c r="CM1285" s="22"/>
      <c r="CN1285" s="1107"/>
      <c r="CR1285" s="223"/>
      <c r="CS1285" s="952"/>
      <c r="CT1285" s="1066"/>
      <c r="CU1285" s="972"/>
      <c r="CV1285" s="983"/>
      <c r="CW1285" s="222"/>
      <c r="CX1285" s="697"/>
      <c r="DC1285" s="222"/>
      <c r="DJ1285" s="889"/>
      <c r="DM1285" s="890"/>
      <c r="DN1285" s="952"/>
      <c r="DO1285" s="75"/>
      <c r="DP1285" s="962"/>
      <c r="DQ1285" s="983"/>
      <c r="DV1285" s="889"/>
    </row>
    <row r="1286" spans="1:126" s="74" customFormat="1">
      <c r="A1286" s="15"/>
      <c r="B1286" s="15"/>
      <c r="C1286" s="15"/>
      <c r="D1286" s="15"/>
      <c r="E1286" s="6"/>
      <c r="F1286" s="6"/>
      <c r="G1286" s="6"/>
      <c r="K1286" s="222"/>
      <c r="V1286" s="1430"/>
      <c r="AA1286" s="223"/>
      <c r="AC1286" s="889"/>
      <c r="AF1286" s="890"/>
      <c r="AJ1286" s="889"/>
      <c r="AN1286" s="222"/>
      <c r="BC1286" s="223"/>
      <c r="BD1286" s="222"/>
      <c r="BH1286" s="611"/>
      <c r="BJ1286" s="15"/>
      <c r="BK1286" s="15"/>
      <c r="BO1286" s="223"/>
      <c r="BQ1286" s="889"/>
      <c r="BT1286" s="890"/>
      <c r="BX1286" s="889"/>
      <c r="CB1286" s="15"/>
      <c r="CC1286" s="697"/>
      <c r="CD1286" s="1086"/>
      <c r="CE1286" s="15"/>
      <c r="CF1286" s="15"/>
      <c r="CG1286" s="936"/>
      <c r="CH1286" s="15"/>
      <c r="CI1286" s="15"/>
      <c r="CJ1286" s="15"/>
      <c r="CK1286" s="1107"/>
      <c r="CL1286" s="22"/>
      <c r="CM1286" s="22"/>
      <c r="CN1286" s="1107"/>
      <c r="CR1286" s="223"/>
      <c r="CS1286" s="952"/>
      <c r="CT1286" s="1066"/>
      <c r="CU1286" s="972"/>
      <c r="CV1286" s="983"/>
      <c r="CW1286" s="222"/>
      <c r="CX1286" s="697"/>
      <c r="DC1286" s="222"/>
      <c r="DJ1286" s="889"/>
      <c r="DM1286" s="890"/>
      <c r="DN1286" s="952"/>
      <c r="DO1286" s="75"/>
      <c r="DP1286" s="962"/>
      <c r="DQ1286" s="983"/>
      <c r="DV1286" s="889"/>
    </row>
    <row r="1287" spans="1:126" s="74" customFormat="1">
      <c r="A1287" s="15"/>
      <c r="B1287" s="15"/>
      <c r="C1287" s="15"/>
      <c r="D1287" s="15"/>
      <c r="E1287" s="6"/>
      <c r="F1287" s="6"/>
      <c r="G1287" s="6"/>
      <c r="K1287" s="222"/>
      <c r="V1287" s="1430"/>
      <c r="AA1287" s="223"/>
      <c r="AC1287" s="889"/>
      <c r="AF1287" s="890"/>
      <c r="AJ1287" s="889"/>
      <c r="AN1287" s="222"/>
      <c r="BC1287" s="223"/>
      <c r="BD1287" s="222"/>
      <c r="BH1287" s="611"/>
      <c r="BJ1287" s="15"/>
      <c r="BK1287" s="15"/>
      <c r="BO1287" s="223"/>
      <c r="BQ1287" s="889"/>
      <c r="BT1287" s="890"/>
      <c r="BX1287" s="889"/>
      <c r="CB1287" s="15"/>
      <c r="CC1287" s="697"/>
      <c r="CD1287" s="1086"/>
      <c r="CE1287" s="15"/>
      <c r="CF1287" s="15"/>
      <c r="CG1287" s="936"/>
      <c r="CH1287" s="15"/>
      <c r="CI1287" s="15"/>
      <c r="CJ1287" s="15"/>
      <c r="CK1287" s="1107"/>
      <c r="CL1287" s="22"/>
      <c r="CM1287" s="22"/>
      <c r="CN1287" s="1107"/>
      <c r="CR1287" s="223"/>
      <c r="CS1287" s="952"/>
      <c r="CT1287" s="1066"/>
      <c r="CU1287" s="972"/>
      <c r="CV1287" s="983"/>
      <c r="CW1287" s="222"/>
      <c r="CX1287" s="697"/>
      <c r="DC1287" s="222"/>
      <c r="DJ1287" s="889"/>
      <c r="DM1287" s="890"/>
      <c r="DN1287" s="952"/>
      <c r="DO1287" s="75"/>
      <c r="DP1287" s="962"/>
      <c r="DQ1287" s="983"/>
      <c r="DV1287" s="889"/>
    </row>
    <row r="1288" spans="1:126" s="74" customFormat="1">
      <c r="A1288" s="15"/>
      <c r="B1288" s="15"/>
      <c r="C1288" s="15"/>
      <c r="D1288" s="15"/>
      <c r="E1288" s="6"/>
      <c r="F1288" s="6"/>
      <c r="G1288" s="6"/>
      <c r="K1288" s="222"/>
      <c r="V1288" s="1430"/>
      <c r="AA1288" s="223"/>
      <c r="AC1288" s="889"/>
      <c r="AF1288" s="890"/>
      <c r="AJ1288" s="889"/>
      <c r="AN1288" s="222"/>
      <c r="BC1288" s="223"/>
      <c r="BD1288" s="222"/>
      <c r="BH1288" s="611"/>
      <c r="BJ1288" s="15"/>
      <c r="BK1288" s="15"/>
      <c r="BO1288" s="223"/>
      <c r="BQ1288" s="889"/>
      <c r="BT1288" s="890"/>
      <c r="BX1288" s="889"/>
      <c r="CB1288" s="15"/>
      <c r="CC1288" s="697"/>
      <c r="CD1288" s="1086"/>
      <c r="CE1288" s="15"/>
      <c r="CF1288" s="15"/>
      <c r="CG1288" s="936"/>
      <c r="CH1288" s="15"/>
      <c r="CI1288" s="15"/>
      <c r="CJ1288" s="15"/>
      <c r="CK1288" s="1107"/>
      <c r="CL1288" s="22"/>
      <c r="CM1288" s="22"/>
      <c r="CN1288" s="1107"/>
      <c r="CR1288" s="223"/>
      <c r="CS1288" s="952"/>
      <c r="CT1288" s="1066"/>
      <c r="CU1288" s="972"/>
      <c r="CV1288" s="983"/>
      <c r="CW1288" s="222"/>
      <c r="CX1288" s="697"/>
      <c r="DC1288" s="222"/>
      <c r="DJ1288" s="889"/>
      <c r="DM1288" s="890"/>
      <c r="DN1288" s="952"/>
      <c r="DO1288" s="75"/>
      <c r="DP1288" s="962"/>
      <c r="DQ1288" s="983"/>
      <c r="DV1288" s="889"/>
    </row>
    <row r="1289" spans="1:126" s="74" customFormat="1">
      <c r="A1289" s="15"/>
      <c r="B1289" s="15"/>
      <c r="C1289" s="15"/>
      <c r="D1289" s="15"/>
      <c r="E1289" s="6"/>
      <c r="F1289" s="6"/>
      <c r="G1289" s="6"/>
      <c r="K1289" s="222"/>
      <c r="V1289" s="1430"/>
      <c r="AA1289" s="223"/>
      <c r="AC1289" s="889"/>
      <c r="AF1289" s="890"/>
      <c r="AJ1289" s="889"/>
      <c r="AN1289" s="222"/>
      <c r="BC1289" s="223"/>
      <c r="BD1289" s="222"/>
      <c r="BH1289" s="611"/>
      <c r="BJ1289" s="15"/>
      <c r="BK1289" s="15"/>
      <c r="BO1289" s="223"/>
      <c r="BQ1289" s="889"/>
      <c r="BT1289" s="890"/>
      <c r="BX1289" s="889"/>
      <c r="CB1289" s="15"/>
      <c r="CC1289" s="697"/>
      <c r="CD1289" s="1086"/>
      <c r="CE1289" s="15"/>
      <c r="CF1289" s="15"/>
      <c r="CG1289" s="936"/>
      <c r="CH1289" s="15"/>
      <c r="CI1289" s="15"/>
      <c r="CJ1289" s="15"/>
      <c r="CK1289" s="1107"/>
      <c r="CL1289" s="22"/>
      <c r="CM1289" s="22"/>
      <c r="CN1289" s="1107"/>
      <c r="CR1289" s="223"/>
      <c r="CS1289" s="952"/>
      <c r="CT1289" s="1066"/>
      <c r="CU1289" s="972"/>
      <c r="CV1289" s="983"/>
      <c r="CW1289" s="222"/>
      <c r="CX1289" s="697"/>
      <c r="DC1289" s="222"/>
      <c r="DJ1289" s="889"/>
      <c r="DM1289" s="890"/>
      <c r="DN1289" s="952"/>
      <c r="DO1289" s="75"/>
      <c r="DP1289" s="962"/>
      <c r="DQ1289" s="983"/>
      <c r="DV1289" s="889"/>
    </row>
    <row r="1290" spans="1:126" s="74" customFormat="1">
      <c r="A1290" s="15"/>
      <c r="B1290" s="15"/>
      <c r="C1290" s="15"/>
      <c r="D1290" s="15"/>
      <c r="E1290" s="6"/>
      <c r="F1290" s="6"/>
      <c r="G1290" s="6"/>
      <c r="K1290" s="222"/>
      <c r="V1290" s="1430"/>
      <c r="AA1290" s="223"/>
      <c r="AC1290" s="889"/>
      <c r="AF1290" s="890"/>
      <c r="AJ1290" s="889"/>
      <c r="AN1290" s="222"/>
      <c r="BC1290" s="223"/>
      <c r="BD1290" s="222"/>
      <c r="BH1290" s="611"/>
      <c r="BJ1290" s="15"/>
      <c r="BK1290" s="15"/>
      <c r="BO1290" s="223"/>
      <c r="BQ1290" s="889"/>
      <c r="BT1290" s="890"/>
      <c r="BX1290" s="889"/>
      <c r="CB1290" s="15"/>
      <c r="CC1290" s="697"/>
      <c r="CD1290" s="1086"/>
      <c r="CE1290" s="15"/>
      <c r="CF1290" s="15"/>
      <c r="CG1290" s="936"/>
      <c r="CH1290" s="15"/>
      <c r="CI1290" s="15"/>
      <c r="CJ1290" s="15"/>
      <c r="CK1290" s="1107"/>
      <c r="CL1290" s="22"/>
      <c r="CM1290" s="22"/>
      <c r="CN1290" s="1107"/>
      <c r="CR1290" s="223"/>
      <c r="CS1290" s="952"/>
      <c r="CT1290" s="1066"/>
      <c r="CU1290" s="972"/>
      <c r="CV1290" s="983"/>
      <c r="CW1290" s="222"/>
      <c r="CX1290" s="697"/>
      <c r="DC1290" s="222"/>
      <c r="DJ1290" s="889"/>
      <c r="DM1290" s="890"/>
      <c r="DN1290" s="952"/>
      <c r="DO1290" s="75"/>
      <c r="DP1290" s="962"/>
      <c r="DQ1290" s="983"/>
      <c r="DV1290" s="889"/>
    </row>
    <row r="1291" spans="1:126" s="74" customFormat="1">
      <c r="A1291" s="15"/>
      <c r="B1291" s="15"/>
      <c r="C1291" s="15"/>
      <c r="D1291" s="15"/>
      <c r="E1291" s="6"/>
      <c r="F1291" s="6"/>
      <c r="G1291" s="6"/>
      <c r="K1291" s="222"/>
      <c r="V1291" s="1430"/>
      <c r="AA1291" s="223"/>
      <c r="AC1291" s="889"/>
      <c r="AF1291" s="890"/>
      <c r="AJ1291" s="889"/>
      <c r="AN1291" s="222"/>
      <c r="BC1291" s="223"/>
      <c r="BD1291" s="222"/>
      <c r="BH1291" s="611"/>
      <c r="BJ1291" s="15"/>
      <c r="BK1291" s="15"/>
      <c r="BO1291" s="223"/>
      <c r="BQ1291" s="889"/>
      <c r="BT1291" s="890"/>
      <c r="BX1291" s="889"/>
      <c r="CB1291" s="15"/>
      <c r="CC1291" s="697"/>
      <c r="CD1291" s="1086"/>
      <c r="CE1291" s="15"/>
      <c r="CF1291" s="15"/>
      <c r="CG1291" s="936"/>
      <c r="CH1291" s="15"/>
      <c r="CI1291" s="15"/>
      <c r="CJ1291" s="15"/>
      <c r="CK1291" s="1107"/>
      <c r="CL1291" s="22"/>
      <c r="CM1291" s="22"/>
      <c r="CN1291" s="1107"/>
      <c r="CR1291" s="223"/>
      <c r="CS1291" s="952"/>
      <c r="CT1291" s="1066"/>
      <c r="CU1291" s="972"/>
      <c r="CV1291" s="983"/>
      <c r="CW1291" s="222"/>
      <c r="CX1291" s="697"/>
      <c r="DC1291" s="222"/>
      <c r="DJ1291" s="889"/>
      <c r="DM1291" s="890"/>
      <c r="DN1291" s="952"/>
      <c r="DO1291" s="75"/>
      <c r="DP1291" s="962"/>
      <c r="DQ1291" s="983"/>
      <c r="DV1291" s="889"/>
    </row>
    <row r="1292" spans="1:126" s="74" customFormat="1">
      <c r="A1292" s="15"/>
      <c r="B1292" s="15"/>
      <c r="C1292" s="15"/>
      <c r="D1292" s="15"/>
      <c r="E1292" s="6"/>
      <c r="F1292" s="6"/>
      <c r="G1292" s="6"/>
      <c r="K1292" s="222"/>
      <c r="V1292" s="1430"/>
      <c r="AA1292" s="223"/>
      <c r="AC1292" s="889"/>
      <c r="AF1292" s="890"/>
      <c r="AJ1292" s="889"/>
      <c r="AN1292" s="222"/>
      <c r="BC1292" s="223"/>
      <c r="BD1292" s="222"/>
      <c r="BH1292" s="611"/>
      <c r="BJ1292" s="15"/>
      <c r="BK1292" s="15"/>
      <c r="BO1292" s="223"/>
      <c r="BQ1292" s="889"/>
      <c r="BT1292" s="890"/>
      <c r="BX1292" s="889"/>
      <c r="CB1292" s="15"/>
      <c r="CC1292" s="697"/>
      <c r="CD1292" s="1086"/>
      <c r="CE1292" s="15"/>
      <c r="CF1292" s="15"/>
      <c r="CG1292" s="936"/>
      <c r="CH1292" s="15"/>
      <c r="CI1292" s="15"/>
      <c r="CJ1292" s="15"/>
      <c r="CK1292" s="1107"/>
      <c r="CL1292" s="22"/>
      <c r="CM1292" s="22"/>
      <c r="CN1292" s="1107"/>
      <c r="CR1292" s="223"/>
      <c r="CS1292" s="952"/>
      <c r="CT1292" s="1066"/>
      <c r="CU1292" s="972"/>
      <c r="CV1292" s="983"/>
      <c r="CW1292" s="222"/>
      <c r="CX1292" s="697"/>
      <c r="DC1292" s="222"/>
      <c r="DJ1292" s="889"/>
      <c r="DM1292" s="890"/>
      <c r="DN1292" s="952"/>
      <c r="DO1292" s="75"/>
      <c r="DP1292" s="962"/>
      <c r="DQ1292" s="983"/>
      <c r="DV1292" s="889"/>
    </row>
    <row r="1293" spans="1:126" s="74" customFormat="1">
      <c r="A1293" s="15"/>
      <c r="B1293" s="15"/>
      <c r="C1293" s="15"/>
      <c r="D1293" s="15"/>
      <c r="E1293" s="6"/>
      <c r="F1293" s="6"/>
      <c r="G1293" s="6"/>
      <c r="K1293" s="222"/>
      <c r="V1293" s="1430"/>
      <c r="AA1293" s="223"/>
      <c r="AC1293" s="889"/>
      <c r="AF1293" s="890"/>
      <c r="AJ1293" s="889"/>
      <c r="AN1293" s="222"/>
      <c r="BC1293" s="223"/>
      <c r="BD1293" s="222"/>
      <c r="BH1293" s="611"/>
      <c r="BJ1293" s="15"/>
      <c r="BK1293" s="15"/>
      <c r="BO1293" s="223"/>
      <c r="BQ1293" s="889"/>
      <c r="BT1293" s="890"/>
      <c r="BX1293" s="889"/>
      <c r="CB1293" s="15"/>
      <c r="CC1293" s="697"/>
      <c r="CD1293" s="1086"/>
      <c r="CE1293" s="15"/>
      <c r="CF1293" s="15"/>
      <c r="CG1293" s="936"/>
      <c r="CH1293" s="15"/>
      <c r="CI1293" s="15"/>
      <c r="CJ1293" s="15"/>
      <c r="CK1293" s="1107"/>
      <c r="CL1293" s="22"/>
      <c r="CM1293" s="22"/>
      <c r="CN1293" s="1107"/>
      <c r="CR1293" s="223"/>
      <c r="CS1293" s="952"/>
      <c r="CT1293" s="1066"/>
      <c r="CU1293" s="972"/>
      <c r="CV1293" s="983"/>
      <c r="CW1293" s="222"/>
      <c r="CX1293" s="697"/>
      <c r="DC1293" s="222"/>
      <c r="DJ1293" s="889"/>
      <c r="DM1293" s="890"/>
      <c r="DN1293" s="952"/>
      <c r="DO1293" s="75"/>
      <c r="DP1293" s="962"/>
      <c r="DQ1293" s="983"/>
      <c r="DV1293" s="889"/>
    </row>
    <row r="1294" spans="1:126" s="74" customFormat="1">
      <c r="A1294" s="15"/>
      <c r="B1294" s="15"/>
      <c r="C1294" s="15"/>
      <c r="D1294" s="15"/>
      <c r="E1294" s="6"/>
      <c r="F1294" s="6"/>
      <c r="G1294" s="6"/>
      <c r="K1294" s="222"/>
      <c r="V1294" s="1430"/>
      <c r="AA1294" s="223"/>
      <c r="AC1294" s="889"/>
      <c r="AF1294" s="890"/>
      <c r="AJ1294" s="889"/>
      <c r="AN1294" s="222"/>
      <c r="BC1294" s="223"/>
      <c r="BD1294" s="222"/>
      <c r="BH1294" s="611"/>
      <c r="BJ1294" s="15"/>
      <c r="BK1294" s="15"/>
      <c r="BO1294" s="223"/>
      <c r="BQ1294" s="889"/>
      <c r="BT1294" s="890"/>
      <c r="BX1294" s="889"/>
      <c r="CB1294" s="15"/>
      <c r="CC1294" s="697"/>
      <c r="CD1294" s="1086"/>
      <c r="CE1294" s="15"/>
      <c r="CF1294" s="15"/>
      <c r="CG1294" s="936"/>
      <c r="CH1294" s="15"/>
      <c r="CI1294" s="15"/>
      <c r="CJ1294" s="15"/>
      <c r="CK1294" s="1107"/>
      <c r="CL1294" s="22"/>
      <c r="CM1294" s="22"/>
      <c r="CN1294" s="1107"/>
      <c r="CR1294" s="223"/>
      <c r="CS1294" s="952"/>
      <c r="CT1294" s="1066"/>
      <c r="CU1294" s="972"/>
      <c r="CV1294" s="983"/>
      <c r="CW1294" s="222"/>
      <c r="CX1294" s="697"/>
      <c r="DC1294" s="222"/>
      <c r="DJ1294" s="889"/>
      <c r="DM1294" s="890"/>
      <c r="DN1294" s="952"/>
      <c r="DO1294" s="75"/>
      <c r="DP1294" s="962"/>
      <c r="DQ1294" s="983"/>
      <c r="DV1294" s="889"/>
    </row>
    <row r="1295" spans="1:126" s="74" customFormat="1">
      <c r="A1295" s="15"/>
      <c r="B1295" s="15"/>
      <c r="C1295" s="15"/>
      <c r="D1295" s="15"/>
      <c r="E1295" s="6"/>
      <c r="F1295" s="6"/>
      <c r="G1295" s="6"/>
      <c r="K1295" s="222"/>
      <c r="V1295" s="1430"/>
      <c r="AA1295" s="223"/>
      <c r="AC1295" s="889"/>
      <c r="AF1295" s="890"/>
      <c r="AJ1295" s="889"/>
      <c r="AN1295" s="222"/>
      <c r="BC1295" s="223"/>
      <c r="BD1295" s="222"/>
      <c r="BH1295" s="611"/>
      <c r="BJ1295" s="15"/>
      <c r="BK1295" s="15"/>
      <c r="BO1295" s="223"/>
      <c r="BQ1295" s="889"/>
      <c r="BT1295" s="890"/>
      <c r="BX1295" s="889"/>
      <c r="CB1295" s="15"/>
      <c r="CC1295" s="697"/>
      <c r="CD1295" s="1086"/>
      <c r="CE1295" s="15"/>
      <c r="CF1295" s="15"/>
      <c r="CG1295" s="936"/>
      <c r="CH1295" s="15"/>
      <c r="CI1295" s="15"/>
      <c r="CJ1295" s="15"/>
      <c r="CK1295" s="1107"/>
      <c r="CL1295" s="22"/>
      <c r="CM1295" s="22"/>
      <c r="CN1295" s="1107"/>
      <c r="CR1295" s="223"/>
      <c r="CS1295" s="952"/>
      <c r="CT1295" s="1066"/>
      <c r="CU1295" s="972"/>
      <c r="CV1295" s="983"/>
      <c r="CW1295" s="222"/>
      <c r="CX1295" s="697"/>
      <c r="DC1295" s="222"/>
      <c r="DJ1295" s="889"/>
      <c r="DM1295" s="890"/>
      <c r="DN1295" s="952"/>
      <c r="DO1295" s="75"/>
      <c r="DP1295" s="962"/>
      <c r="DQ1295" s="983"/>
      <c r="DV1295" s="889"/>
    </row>
    <row r="1296" spans="1:126" s="74" customFormat="1">
      <c r="A1296" s="15"/>
      <c r="B1296" s="15"/>
      <c r="C1296" s="15"/>
      <c r="D1296" s="15"/>
      <c r="E1296" s="6"/>
      <c r="F1296" s="6"/>
      <c r="G1296" s="6"/>
      <c r="K1296" s="222"/>
      <c r="V1296" s="1430"/>
      <c r="AA1296" s="223"/>
      <c r="AC1296" s="889"/>
      <c r="AF1296" s="890"/>
      <c r="AJ1296" s="889"/>
      <c r="AN1296" s="222"/>
      <c r="BC1296" s="223"/>
      <c r="BD1296" s="222"/>
      <c r="BH1296" s="611"/>
      <c r="BJ1296" s="15"/>
      <c r="BK1296" s="15"/>
      <c r="BO1296" s="223"/>
      <c r="BQ1296" s="889"/>
      <c r="BT1296" s="890"/>
      <c r="BX1296" s="889"/>
      <c r="CB1296" s="15"/>
      <c r="CC1296" s="697"/>
      <c r="CD1296" s="1086"/>
      <c r="CE1296" s="15"/>
      <c r="CF1296" s="15"/>
      <c r="CG1296" s="936"/>
      <c r="CH1296" s="15"/>
      <c r="CI1296" s="15"/>
      <c r="CJ1296" s="15"/>
      <c r="CK1296" s="1107"/>
      <c r="CL1296" s="22"/>
      <c r="CM1296" s="22"/>
      <c r="CN1296" s="1107"/>
      <c r="CR1296" s="223"/>
      <c r="CS1296" s="952"/>
      <c r="CT1296" s="1066"/>
      <c r="CU1296" s="972"/>
      <c r="CV1296" s="983"/>
      <c r="CW1296" s="222"/>
      <c r="CX1296" s="697"/>
      <c r="DC1296" s="222"/>
      <c r="DJ1296" s="889"/>
      <c r="DM1296" s="890"/>
      <c r="DN1296" s="952"/>
      <c r="DO1296" s="75"/>
      <c r="DP1296" s="962"/>
      <c r="DQ1296" s="983"/>
      <c r="DV1296" s="889"/>
    </row>
    <row r="1297" spans="1:126" s="74" customFormat="1">
      <c r="A1297" s="15"/>
      <c r="B1297" s="15"/>
      <c r="C1297" s="15"/>
      <c r="D1297" s="15"/>
      <c r="E1297" s="6"/>
      <c r="F1297" s="6"/>
      <c r="G1297" s="6"/>
      <c r="K1297" s="222"/>
      <c r="V1297" s="1430"/>
      <c r="AA1297" s="223"/>
      <c r="AC1297" s="889"/>
      <c r="AF1297" s="890"/>
      <c r="AJ1297" s="889"/>
      <c r="AN1297" s="222"/>
      <c r="BC1297" s="223"/>
      <c r="BD1297" s="222"/>
      <c r="BH1297" s="611"/>
      <c r="BJ1297" s="15"/>
      <c r="BK1297" s="15"/>
      <c r="BO1297" s="223"/>
      <c r="BQ1297" s="889"/>
      <c r="BT1297" s="890"/>
      <c r="BX1297" s="889"/>
      <c r="CB1297" s="15"/>
      <c r="CC1297" s="697"/>
      <c r="CD1297" s="1086"/>
      <c r="CE1297" s="15"/>
      <c r="CF1297" s="15"/>
      <c r="CG1297" s="936"/>
      <c r="CH1297" s="15"/>
      <c r="CI1297" s="15"/>
      <c r="CJ1297" s="15"/>
      <c r="CK1297" s="1107"/>
      <c r="CL1297" s="22"/>
      <c r="CM1297" s="22"/>
      <c r="CN1297" s="1107"/>
      <c r="CR1297" s="223"/>
      <c r="CS1297" s="952"/>
      <c r="CT1297" s="1066"/>
      <c r="CU1297" s="972"/>
      <c r="CV1297" s="983"/>
      <c r="CW1297" s="222"/>
      <c r="CX1297" s="697"/>
      <c r="DC1297" s="222"/>
      <c r="DJ1297" s="889"/>
      <c r="DM1297" s="890"/>
      <c r="DN1297" s="952"/>
      <c r="DO1297" s="75"/>
      <c r="DP1297" s="962"/>
      <c r="DQ1297" s="983"/>
      <c r="DV1297" s="889"/>
    </row>
    <row r="1298" spans="1:126" s="74" customFormat="1">
      <c r="A1298" s="15"/>
      <c r="B1298" s="15"/>
      <c r="C1298" s="15"/>
      <c r="D1298" s="15"/>
      <c r="E1298" s="6"/>
      <c r="F1298" s="6"/>
      <c r="G1298" s="6"/>
      <c r="K1298" s="222"/>
      <c r="V1298" s="1430"/>
      <c r="AA1298" s="223"/>
      <c r="AC1298" s="889"/>
      <c r="AF1298" s="890"/>
      <c r="AJ1298" s="889"/>
      <c r="AN1298" s="222"/>
      <c r="BC1298" s="223"/>
      <c r="BD1298" s="222"/>
      <c r="BH1298" s="611"/>
      <c r="BJ1298" s="15"/>
      <c r="BK1298" s="15"/>
      <c r="BO1298" s="223"/>
      <c r="BQ1298" s="889"/>
      <c r="BT1298" s="890"/>
      <c r="BX1298" s="889"/>
      <c r="CB1298" s="15"/>
      <c r="CC1298" s="697"/>
      <c r="CD1298" s="1086"/>
      <c r="CE1298" s="15"/>
      <c r="CF1298" s="15"/>
      <c r="CG1298" s="936"/>
      <c r="CH1298" s="15"/>
      <c r="CI1298" s="15"/>
      <c r="CJ1298" s="15"/>
      <c r="CK1298" s="1107"/>
      <c r="CL1298" s="22"/>
      <c r="CM1298" s="22"/>
      <c r="CN1298" s="1107"/>
      <c r="CR1298" s="223"/>
      <c r="CS1298" s="952"/>
      <c r="CT1298" s="1066"/>
      <c r="CU1298" s="972"/>
      <c r="CV1298" s="983"/>
      <c r="CW1298" s="222"/>
      <c r="CX1298" s="697"/>
      <c r="DC1298" s="222"/>
      <c r="DJ1298" s="889"/>
      <c r="DM1298" s="890"/>
      <c r="DN1298" s="952"/>
      <c r="DO1298" s="75"/>
      <c r="DP1298" s="962"/>
      <c r="DQ1298" s="983"/>
      <c r="DV1298" s="889"/>
    </row>
    <row r="1299" spans="1:126" s="74" customFormat="1">
      <c r="A1299" s="15"/>
      <c r="B1299" s="15"/>
      <c r="C1299" s="15"/>
      <c r="D1299" s="15"/>
      <c r="E1299" s="6"/>
      <c r="F1299" s="6"/>
      <c r="G1299" s="6"/>
      <c r="K1299" s="222"/>
      <c r="V1299" s="1430"/>
      <c r="AA1299" s="223"/>
      <c r="AC1299" s="889"/>
      <c r="AF1299" s="890"/>
      <c r="AJ1299" s="889"/>
      <c r="AN1299" s="222"/>
      <c r="BC1299" s="223"/>
      <c r="BD1299" s="222"/>
      <c r="BH1299" s="611"/>
      <c r="BJ1299" s="15"/>
      <c r="BK1299" s="15"/>
      <c r="BO1299" s="223"/>
      <c r="BQ1299" s="889"/>
      <c r="BT1299" s="890"/>
      <c r="BX1299" s="889"/>
      <c r="CB1299" s="15"/>
      <c r="CC1299" s="697"/>
      <c r="CD1299" s="1086"/>
      <c r="CE1299" s="15"/>
      <c r="CF1299" s="15"/>
      <c r="CG1299" s="936"/>
      <c r="CH1299" s="15"/>
      <c r="CI1299" s="15"/>
      <c r="CJ1299" s="15"/>
      <c r="CK1299" s="1107"/>
      <c r="CL1299" s="22"/>
      <c r="CM1299" s="22"/>
      <c r="CN1299" s="1107"/>
      <c r="CR1299" s="223"/>
      <c r="CS1299" s="952"/>
      <c r="CT1299" s="1066"/>
      <c r="CU1299" s="972"/>
      <c r="CV1299" s="983"/>
      <c r="CW1299" s="222"/>
      <c r="CX1299" s="697"/>
      <c r="DC1299" s="222"/>
      <c r="DJ1299" s="889"/>
      <c r="DM1299" s="890"/>
      <c r="DN1299" s="952"/>
      <c r="DO1299" s="75"/>
      <c r="DP1299" s="962"/>
      <c r="DQ1299" s="983"/>
      <c r="DV1299" s="889"/>
    </row>
    <row r="1300" spans="1:126" s="74" customFormat="1">
      <c r="A1300" s="15"/>
      <c r="B1300" s="15"/>
      <c r="C1300" s="15"/>
      <c r="D1300" s="15"/>
      <c r="E1300" s="6"/>
      <c r="F1300" s="6"/>
      <c r="G1300" s="6"/>
      <c r="K1300" s="222"/>
      <c r="V1300" s="1430"/>
      <c r="AA1300" s="223"/>
      <c r="AC1300" s="889"/>
      <c r="AF1300" s="890"/>
      <c r="AJ1300" s="889"/>
      <c r="AN1300" s="222"/>
      <c r="BC1300" s="223"/>
      <c r="BD1300" s="222"/>
      <c r="BH1300" s="611"/>
      <c r="BJ1300" s="15"/>
      <c r="BK1300" s="15"/>
      <c r="BO1300" s="223"/>
      <c r="BQ1300" s="889"/>
      <c r="BT1300" s="890"/>
      <c r="BX1300" s="889"/>
      <c r="CB1300" s="15"/>
      <c r="CC1300" s="697"/>
      <c r="CD1300" s="1086"/>
      <c r="CE1300" s="15"/>
      <c r="CF1300" s="15"/>
      <c r="CG1300" s="936"/>
      <c r="CH1300" s="15"/>
      <c r="CI1300" s="15"/>
      <c r="CJ1300" s="15"/>
      <c r="CK1300" s="1107"/>
      <c r="CL1300" s="22"/>
      <c r="CM1300" s="22"/>
      <c r="CN1300" s="1107"/>
      <c r="CR1300" s="223"/>
      <c r="CS1300" s="952"/>
      <c r="CT1300" s="1066"/>
      <c r="CU1300" s="972"/>
      <c r="CV1300" s="983"/>
      <c r="CW1300" s="222"/>
      <c r="CX1300" s="697"/>
      <c r="DC1300" s="222"/>
      <c r="DJ1300" s="889"/>
      <c r="DM1300" s="890"/>
      <c r="DN1300" s="952"/>
      <c r="DO1300" s="75"/>
      <c r="DP1300" s="962"/>
      <c r="DQ1300" s="983"/>
      <c r="DV1300" s="889"/>
    </row>
    <row r="1301" spans="1:126" s="74" customFormat="1">
      <c r="A1301" s="15"/>
      <c r="B1301" s="15"/>
      <c r="C1301" s="15"/>
      <c r="D1301" s="15"/>
      <c r="E1301" s="6"/>
      <c r="F1301" s="6"/>
      <c r="G1301" s="6"/>
      <c r="K1301" s="222"/>
      <c r="V1301" s="1430"/>
      <c r="AA1301" s="223"/>
      <c r="AC1301" s="889"/>
      <c r="AF1301" s="890"/>
      <c r="AJ1301" s="889"/>
      <c r="AN1301" s="222"/>
      <c r="BC1301" s="223"/>
      <c r="BD1301" s="222"/>
      <c r="BH1301" s="611"/>
      <c r="BJ1301" s="15"/>
      <c r="BK1301" s="15"/>
      <c r="BO1301" s="223"/>
      <c r="BQ1301" s="889"/>
      <c r="BT1301" s="890"/>
      <c r="BX1301" s="889"/>
      <c r="CB1301" s="15"/>
      <c r="CC1301" s="697"/>
      <c r="CD1301" s="1086"/>
      <c r="CE1301" s="15"/>
      <c r="CF1301" s="15"/>
      <c r="CG1301" s="936"/>
      <c r="CH1301" s="15"/>
      <c r="CI1301" s="15"/>
      <c r="CJ1301" s="15"/>
      <c r="CK1301" s="1107"/>
      <c r="CL1301" s="22"/>
      <c r="CM1301" s="22"/>
      <c r="CN1301" s="1107"/>
      <c r="CR1301" s="223"/>
      <c r="CS1301" s="952"/>
      <c r="CT1301" s="1066"/>
      <c r="CU1301" s="972"/>
      <c r="CV1301" s="983"/>
      <c r="CW1301" s="222"/>
      <c r="CX1301" s="697"/>
      <c r="DC1301" s="222"/>
      <c r="DJ1301" s="889"/>
      <c r="DM1301" s="890"/>
      <c r="DN1301" s="952"/>
      <c r="DO1301" s="75"/>
      <c r="DP1301" s="962"/>
      <c r="DQ1301" s="983"/>
      <c r="DV1301" s="889"/>
    </row>
    <row r="1302" spans="1:126" s="74" customFormat="1">
      <c r="A1302" s="15"/>
      <c r="B1302" s="15"/>
      <c r="C1302" s="15"/>
      <c r="D1302" s="15"/>
      <c r="E1302" s="6"/>
      <c r="F1302" s="6"/>
      <c r="G1302" s="6"/>
      <c r="K1302" s="222"/>
      <c r="V1302" s="1430"/>
      <c r="AA1302" s="223"/>
      <c r="AC1302" s="889"/>
      <c r="AF1302" s="890"/>
      <c r="AJ1302" s="889"/>
      <c r="AN1302" s="222"/>
      <c r="BC1302" s="223"/>
      <c r="BD1302" s="222"/>
      <c r="BH1302" s="611"/>
      <c r="BJ1302" s="15"/>
      <c r="BK1302" s="15"/>
      <c r="BO1302" s="223"/>
      <c r="BQ1302" s="889"/>
      <c r="BT1302" s="890"/>
      <c r="BX1302" s="889"/>
      <c r="CB1302" s="15"/>
      <c r="CC1302" s="697"/>
      <c r="CD1302" s="1086"/>
      <c r="CE1302" s="15"/>
      <c r="CF1302" s="15"/>
      <c r="CG1302" s="936"/>
      <c r="CH1302" s="15"/>
      <c r="CI1302" s="15"/>
      <c r="CJ1302" s="15"/>
      <c r="CK1302" s="1107"/>
      <c r="CL1302" s="22"/>
      <c r="CM1302" s="22"/>
      <c r="CN1302" s="1107"/>
      <c r="CR1302" s="223"/>
      <c r="CS1302" s="952"/>
      <c r="CT1302" s="1066"/>
      <c r="CU1302" s="972"/>
      <c r="CV1302" s="983"/>
      <c r="CW1302" s="222"/>
      <c r="CX1302" s="697"/>
      <c r="DC1302" s="222"/>
      <c r="DJ1302" s="889"/>
      <c r="DM1302" s="890"/>
      <c r="DN1302" s="952"/>
      <c r="DO1302" s="75"/>
      <c r="DP1302" s="962"/>
      <c r="DQ1302" s="983"/>
      <c r="DV1302" s="889"/>
    </row>
    <row r="1303" spans="1:126" s="74" customFormat="1">
      <c r="A1303" s="15"/>
      <c r="B1303" s="15"/>
      <c r="C1303" s="15"/>
      <c r="D1303" s="15"/>
      <c r="E1303" s="6"/>
      <c r="F1303" s="6"/>
      <c r="G1303" s="6"/>
      <c r="K1303" s="222"/>
      <c r="V1303" s="1430"/>
      <c r="AA1303" s="223"/>
      <c r="AC1303" s="889"/>
      <c r="AF1303" s="890"/>
      <c r="AJ1303" s="889"/>
      <c r="AN1303" s="222"/>
      <c r="BC1303" s="223"/>
      <c r="BD1303" s="222"/>
      <c r="BH1303" s="611"/>
      <c r="BJ1303" s="15"/>
      <c r="BK1303" s="15"/>
      <c r="BO1303" s="223"/>
      <c r="BQ1303" s="889"/>
      <c r="BT1303" s="890"/>
      <c r="BX1303" s="889"/>
      <c r="CB1303" s="15"/>
      <c r="CC1303" s="697"/>
      <c r="CD1303" s="1086"/>
      <c r="CE1303" s="15"/>
      <c r="CF1303" s="15"/>
      <c r="CG1303" s="936"/>
      <c r="CH1303" s="15"/>
      <c r="CI1303" s="15"/>
      <c r="CJ1303" s="15"/>
      <c r="CK1303" s="1107"/>
      <c r="CL1303" s="22"/>
      <c r="CM1303" s="22"/>
      <c r="CN1303" s="1107"/>
      <c r="CR1303" s="223"/>
      <c r="CS1303" s="952"/>
      <c r="CT1303" s="1066"/>
      <c r="CU1303" s="972"/>
      <c r="CV1303" s="983"/>
      <c r="CW1303" s="222"/>
      <c r="CX1303" s="697"/>
      <c r="DC1303" s="222"/>
      <c r="DJ1303" s="889"/>
      <c r="DM1303" s="890"/>
      <c r="DN1303" s="952"/>
      <c r="DO1303" s="75"/>
      <c r="DP1303" s="962"/>
      <c r="DQ1303" s="983"/>
      <c r="DV1303" s="889"/>
    </row>
    <row r="1304" spans="1:126" s="74" customFormat="1">
      <c r="A1304" s="15"/>
      <c r="B1304" s="15"/>
      <c r="C1304" s="15"/>
      <c r="D1304" s="15"/>
      <c r="E1304" s="6"/>
      <c r="F1304" s="6"/>
      <c r="G1304" s="6"/>
      <c r="K1304" s="222"/>
      <c r="V1304" s="1430"/>
      <c r="AA1304" s="223"/>
      <c r="AC1304" s="889"/>
      <c r="AF1304" s="890"/>
      <c r="AJ1304" s="889"/>
      <c r="AN1304" s="222"/>
      <c r="BC1304" s="223"/>
      <c r="BD1304" s="222"/>
      <c r="BH1304" s="611"/>
      <c r="BJ1304" s="15"/>
      <c r="BK1304" s="15"/>
      <c r="BO1304" s="223"/>
      <c r="BQ1304" s="889"/>
      <c r="BT1304" s="890"/>
      <c r="BX1304" s="889"/>
      <c r="CB1304" s="15"/>
      <c r="CC1304" s="697"/>
      <c r="CD1304" s="1086"/>
      <c r="CE1304" s="15"/>
      <c r="CF1304" s="15"/>
      <c r="CG1304" s="936"/>
      <c r="CH1304" s="15"/>
      <c r="CI1304" s="15"/>
      <c r="CJ1304" s="15"/>
      <c r="CK1304" s="1107"/>
      <c r="CL1304" s="22"/>
      <c r="CM1304" s="22"/>
      <c r="CN1304" s="1107"/>
      <c r="CR1304" s="223"/>
      <c r="CS1304" s="952"/>
      <c r="CT1304" s="1066"/>
      <c r="CU1304" s="972"/>
      <c r="CV1304" s="983"/>
      <c r="CW1304" s="222"/>
      <c r="CX1304" s="697"/>
      <c r="DC1304" s="222"/>
      <c r="DJ1304" s="889"/>
      <c r="DM1304" s="890"/>
      <c r="DN1304" s="952"/>
      <c r="DO1304" s="75"/>
      <c r="DP1304" s="962"/>
      <c r="DQ1304" s="983"/>
      <c r="DV1304" s="889"/>
    </row>
    <row r="1305" spans="1:126" s="74" customFormat="1">
      <c r="A1305" s="15"/>
      <c r="B1305" s="15"/>
      <c r="C1305" s="15"/>
      <c r="D1305" s="15"/>
      <c r="E1305" s="6"/>
      <c r="F1305" s="6"/>
      <c r="G1305" s="6"/>
      <c r="K1305" s="222"/>
      <c r="V1305" s="1430"/>
      <c r="AA1305" s="223"/>
      <c r="AC1305" s="889"/>
      <c r="AF1305" s="890"/>
      <c r="AJ1305" s="889"/>
      <c r="AN1305" s="222"/>
      <c r="BC1305" s="223"/>
      <c r="BD1305" s="222"/>
      <c r="BH1305" s="611"/>
      <c r="BJ1305" s="15"/>
      <c r="BK1305" s="15"/>
      <c r="BO1305" s="223"/>
      <c r="BQ1305" s="889"/>
      <c r="BT1305" s="890"/>
      <c r="BX1305" s="889"/>
      <c r="CB1305" s="15"/>
      <c r="CC1305" s="697"/>
      <c r="CD1305" s="1086"/>
      <c r="CE1305" s="15"/>
      <c r="CF1305" s="15"/>
      <c r="CG1305" s="936"/>
      <c r="CH1305" s="15"/>
      <c r="CI1305" s="15"/>
      <c r="CJ1305" s="15"/>
      <c r="CK1305" s="1107"/>
      <c r="CL1305" s="22"/>
      <c r="CM1305" s="22"/>
      <c r="CN1305" s="1107"/>
      <c r="CR1305" s="223"/>
      <c r="CS1305" s="952"/>
      <c r="CT1305" s="1066"/>
      <c r="CU1305" s="972"/>
      <c r="CV1305" s="983"/>
      <c r="CW1305" s="222"/>
      <c r="CX1305" s="697"/>
      <c r="DC1305" s="222"/>
      <c r="DJ1305" s="889"/>
      <c r="DM1305" s="890"/>
      <c r="DN1305" s="952"/>
      <c r="DO1305" s="75"/>
      <c r="DP1305" s="962"/>
      <c r="DQ1305" s="983"/>
      <c r="DV1305" s="889"/>
    </row>
    <row r="1306" spans="1:126" s="74" customFormat="1">
      <c r="A1306" s="15"/>
      <c r="B1306" s="15"/>
      <c r="C1306" s="15"/>
      <c r="D1306" s="15"/>
      <c r="E1306" s="6"/>
      <c r="F1306" s="6"/>
      <c r="G1306" s="6"/>
      <c r="K1306" s="222"/>
      <c r="V1306" s="1430"/>
      <c r="AA1306" s="223"/>
      <c r="AC1306" s="889"/>
      <c r="AF1306" s="890"/>
      <c r="AJ1306" s="889"/>
      <c r="AN1306" s="222"/>
      <c r="BC1306" s="223"/>
      <c r="BD1306" s="222"/>
      <c r="BH1306" s="611"/>
      <c r="BJ1306" s="15"/>
      <c r="BK1306" s="15"/>
      <c r="BO1306" s="223"/>
      <c r="BQ1306" s="889"/>
      <c r="BT1306" s="890"/>
      <c r="BX1306" s="889"/>
      <c r="CB1306" s="15"/>
      <c r="CC1306" s="697"/>
      <c r="CD1306" s="1086"/>
      <c r="CE1306" s="15"/>
      <c r="CF1306" s="15"/>
      <c r="CG1306" s="936"/>
      <c r="CH1306" s="15"/>
      <c r="CI1306" s="15"/>
      <c r="CJ1306" s="15"/>
      <c r="CK1306" s="1107"/>
      <c r="CL1306" s="22"/>
      <c r="CM1306" s="22"/>
      <c r="CN1306" s="1107"/>
      <c r="CR1306" s="223"/>
      <c r="CS1306" s="952"/>
      <c r="CT1306" s="1066"/>
      <c r="CU1306" s="972"/>
      <c r="CV1306" s="983"/>
      <c r="CW1306" s="222"/>
      <c r="CX1306" s="697"/>
      <c r="DC1306" s="222"/>
      <c r="DJ1306" s="889"/>
      <c r="DM1306" s="890"/>
      <c r="DN1306" s="952"/>
      <c r="DO1306" s="75"/>
      <c r="DP1306" s="962"/>
      <c r="DQ1306" s="983"/>
      <c r="DV1306" s="889"/>
    </row>
    <row r="1307" spans="1:126" s="74" customFormat="1">
      <c r="A1307" s="15"/>
      <c r="B1307" s="15"/>
      <c r="C1307" s="15"/>
      <c r="D1307" s="15"/>
      <c r="E1307" s="6"/>
      <c r="F1307" s="6"/>
      <c r="G1307" s="6"/>
      <c r="K1307" s="222"/>
      <c r="V1307" s="1430"/>
      <c r="AA1307" s="223"/>
      <c r="AC1307" s="889"/>
      <c r="AF1307" s="890"/>
      <c r="AJ1307" s="889"/>
      <c r="AN1307" s="222"/>
      <c r="BC1307" s="223"/>
      <c r="BD1307" s="222"/>
      <c r="BH1307" s="611"/>
      <c r="BJ1307" s="15"/>
      <c r="BK1307" s="15"/>
      <c r="BO1307" s="223"/>
      <c r="BQ1307" s="889"/>
      <c r="BT1307" s="890"/>
      <c r="BX1307" s="889"/>
      <c r="CB1307" s="15"/>
      <c r="CC1307" s="697"/>
      <c r="CD1307" s="1086"/>
      <c r="CE1307" s="15"/>
      <c r="CF1307" s="15"/>
      <c r="CG1307" s="936"/>
      <c r="CH1307" s="15"/>
      <c r="CI1307" s="15"/>
      <c r="CJ1307" s="15"/>
      <c r="CK1307" s="1107"/>
      <c r="CL1307" s="22"/>
      <c r="CM1307" s="22"/>
      <c r="CN1307" s="1107"/>
      <c r="CR1307" s="223"/>
      <c r="CS1307" s="952"/>
      <c r="CT1307" s="1066"/>
      <c r="CU1307" s="972"/>
      <c r="CV1307" s="983"/>
      <c r="CW1307" s="222"/>
      <c r="CX1307" s="697"/>
      <c r="DC1307" s="222"/>
      <c r="DJ1307" s="889"/>
      <c r="DM1307" s="890"/>
      <c r="DN1307" s="952"/>
      <c r="DO1307" s="75"/>
      <c r="DP1307" s="962"/>
      <c r="DQ1307" s="983"/>
      <c r="DV1307" s="889"/>
    </row>
    <row r="1308" spans="1:126" s="74" customFormat="1">
      <c r="A1308" s="15"/>
      <c r="B1308" s="15"/>
      <c r="C1308" s="15"/>
      <c r="D1308" s="15"/>
      <c r="E1308" s="6"/>
      <c r="F1308" s="6"/>
      <c r="G1308" s="6"/>
      <c r="K1308" s="222"/>
      <c r="V1308" s="1430"/>
      <c r="AA1308" s="223"/>
      <c r="AC1308" s="889"/>
      <c r="AF1308" s="890"/>
      <c r="AJ1308" s="889"/>
      <c r="AN1308" s="222"/>
      <c r="BC1308" s="223"/>
      <c r="BD1308" s="222"/>
      <c r="BH1308" s="611"/>
      <c r="BJ1308" s="15"/>
      <c r="BK1308" s="15"/>
      <c r="BO1308" s="223"/>
      <c r="BQ1308" s="889"/>
      <c r="BT1308" s="890"/>
      <c r="BX1308" s="889"/>
      <c r="CB1308" s="15"/>
      <c r="CC1308" s="697"/>
      <c r="CD1308" s="1086"/>
      <c r="CE1308" s="15"/>
      <c r="CF1308" s="15"/>
      <c r="CG1308" s="936"/>
      <c r="CH1308" s="15"/>
      <c r="CI1308" s="15"/>
      <c r="CJ1308" s="15"/>
      <c r="CK1308" s="1107"/>
      <c r="CL1308" s="22"/>
      <c r="CM1308" s="22"/>
      <c r="CN1308" s="1107"/>
      <c r="CR1308" s="223"/>
      <c r="CS1308" s="952"/>
      <c r="CT1308" s="1066"/>
      <c r="CU1308" s="972"/>
      <c r="CV1308" s="983"/>
      <c r="CW1308" s="222"/>
      <c r="CX1308" s="697"/>
      <c r="DC1308" s="222"/>
      <c r="DJ1308" s="889"/>
      <c r="DM1308" s="890"/>
      <c r="DN1308" s="952"/>
      <c r="DO1308" s="75"/>
      <c r="DP1308" s="962"/>
      <c r="DQ1308" s="983"/>
      <c r="DV1308" s="889"/>
    </row>
    <row r="1309" spans="1:126" s="74" customFormat="1">
      <c r="A1309" s="15"/>
      <c r="B1309" s="15"/>
      <c r="C1309" s="15"/>
      <c r="D1309" s="15"/>
      <c r="E1309" s="6"/>
      <c r="F1309" s="6"/>
      <c r="G1309" s="6"/>
      <c r="K1309" s="222"/>
      <c r="V1309" s="1430"/>
      <c r="AA1309" s="223"/>
      <c r="AC1309" s="889"/>
      <c r="AF1309" s="890"/>
      <c r="AJ1309" s="889"/>
      <c r="AN1309" s="222"/>
      <c r="BC1309" s="223"/>
      <c r="BD1309" s="222"/>
      <c r="BH1309" s="611"/>
      <c r="BJ1309" s="15"/>
      <c r="BK1309" s="15"/>
      <c r="BO1309" s="223"/>
      <c r="BQ1309" s="889"/>
      <c r="BT1309" s="890"/>
      <c r="BX1309" s="889"/>
      <c r="CB1309" s="15"/>
      <c r="CC1309" s="697"/>
      <c r="CD1309" s="1086"/>
      <c r="CE1309" s="15"/>
      <c r="CF1309" s="15"/>
      <c r="CG1309" s="936"/>
      <c r="CH1309" s="15"/>
      <c r="CI1309" s="15"/>
      <c r="CJ1309" s="15"/>
      <c r="CK1309" s="1107"/>
      <c r="CL1309" s="22"/>
      <c r="CM1309" s="22"/>
      <c r="CN1309" s="1107"/>
      <c r="CR1309" s="223"/>
      <c r="CS1309" s="952"/>
      <c r="CT1309" s="1066"/>
      <c r="CU1309" s="972"/>
      <c r="CV1309" s="983"/>
      <c r="CW1309" s="222"/>
      <c r="CX1309" s="697"/>
      <c r="DC1309" s="222"/>
      <c r="DJ1309" s="889"/>
      <c r="DM1309" s="890"/>
      <c r="DN1309" s="952"/>
      <c r="DO1309" s="75"/>
      <c r="DP1309" s="962"/>
      <c r="DQ1309" s="983"/>
      <c r="DV1309" s="889"/>
    </row>
    <row r="1310" spans="1:126" s="74" customFormat="1">
      <c r="A1310" s="15"/>
      <c r="B1310" s="15"/>
      <c r="C1310" s="15"/>
      <c r="D1310" s="15"/>
      <c r="E1310" s="6"/>
      <c r="F1310" s="6"/>
      <c r="G1310" s="6"/>
      <c r="K1310" s="222"/>
      <c r="V1310" s="1430"/>
      <c r="AA1310" s="223"/>
      <c r="AC1310" s="889"/>
      <c r="AF1310" s="890"/>
      <c r="AJ1310" s="889"/>
      <c r="AN1310" s="222"/>
      <c r="BC1310" s="223"/>
      <c r="BD1310" s="222"/>
      <c r="BH1310" s="611"/>
      <c r="BJ1310" s="15"/>
      <c r="BK1310" s="15"/>
      <c r="BO1310" s="223"/>
      <c r="BQ1310" s="889"/>
      <c r="BT1310" s="890"/>
      <c r="BX1310" s="889"/>
      <c r="CB1310" s="15"/>
      <c r="CC1310" s="697"/>
      <c r="CD1310" s="1086"/>
      <c r="CE1310" s="15"/>
      <c r="CF1310" s="15"/>
      <c r="CG1310" s="936"/>
      <c r="CH1310" s="15"/>
      <c r="CI1310" s="15"/>
      <c r="CJ1310" s="15"/>
      <c r="CK1310" s="1107"/>
      <c r="CL1310" s="22"/>
      <c r="CM1310" s="22"/>
      <c r="CN1310" s="1107"/>
      <c r="CR1310" s="223"/>
      <c r="CS1310" s="952"/>
      <c r="CT1310" s="1066"/>
      <c r="CU1310" s="972"/>
      <c r="CV1310" s="983"/>
      <c r="CW1310" s="222"/>
      <c r="CX1310" s="697"/>
      <c r="DC1310" s="222"/>
      <c r="DJ1310" s="889"/>
      <c r="DM1310" s="890"/>
      <c r="DN1310" s="952"/>
      <c r="DO1310" s="75"/>
      <c r="DP1310" s="962"/>
      <c r="DQ1310" s="983"/>
      <c r="DV1310" s="889"/>
    </row>
    <row r="1311" spans="1:126" s="74" customFormat="1">
      <c r="A1311" s="15"/>
      <c r="B1311" s="15"/>
      <c r="C1311" s="15"/>
      <c r="D1311" s="15"/>
      <c r="E1311" s="6"/>
      <c r="F1311" s="6"/>
      <c r="G1311" s="6"/>
      <c r="K1311" s="222"/>
      <c r="V1311" s="1430"/>
      <c r="AA1311" s="223"/>
      <c r="AC1311" s="889"/>
      <c r="AF1311" s="890"/>
      <c r="AJ1311" s="889"/>
      <c r="AN1311" s="222"/>
      <c r="BC1311" s="223"/>
      <c r="BD1311" s="222"/>
      <c r="BH1311" s="611"/>
      <c r="BJ1311" s="15"/>
      <c r="BK1311" s="15"/>
      <c r="BO1311" s="223"/>
      <c r="BQ1311" s="889"/>
      <c r="BT1311" s="890"/>
      <c r="BX1311" s="889"/>
      <c r="CB1311" s="15"/>
      <c r="CC1311" s="697"/>
      <c r="CD1311" s="1086"/>
      <c r="CE1311" s="15"/>
      <c r="CF1311" s="15"/>
      <c r="CG1311" s="936"/>
      <c r="CH1311" s="15"/>
      <c r="CI1311" s="15"/>
      <c r="CJ1311" s="15"/>
      <c r="CK1311" s="1107"/>
      <c r="CL1311" s="22"/>
      <c r="CM1311" s="22"/>
      <c r="CN1311" s="1107"/>
      <c r="CR1311" s="223"/>
      <c r="CS1311" s="952"/>
      <c r="CT1311" s="1066"/>
      <c r="CU1311" s="972"/>
      <c r="CV1311" s="983"/>
      <c r="CW1311" s="222"/>
      <c r="CX1311" s="697"/>
      <c r="DC1311" s="222"/>
      <c r="DJ1311" s="889"/>
      <c r="DM1311" s="890"/>
      <c r="DN1311" s="952"/>
      <c r="DO1311" s="75"/>
      <c r="DP1311" s="962"/>
      <c r="DQ1311" s="983"/>
      <c r="DV1311" s="889"/>
    </row>
    <row r="1312" spans="1:126" s="74" customFormat="1">
      <c r="A1312" s="15"/>
      <c r="B1312" s="15"/>
      <c r="C1312" s="15"/>
      <c r="D1312" s="15"/>
      <c r="E1312" s="6"/>
      <c r="F1312" s="6"/>
      <c r="G1312" s="6"/>
      <c r="K1312" s="222"/>
      <c r="V1312" s="1430"/>
      <c r="AA1312" s="223"/>
      <c r="AC1312" s="889"/>
      <c r="AF1312" s="890"/>
      <c r="AJ1312" s="889"/>
      <c r="AN1312" s="222"/>
      <c r="BC1312" s="223"/>
      <c r="BD1312" s="222"/>
      <c r="BH1312" s="611"/>
      <c r="BJ1312" s="15"/>
      <c r="BK1312" s="15"/>
      <c r="BO1312" s="223"/>
      <c r="BQ1312" s="889"/>
      <c r="BT1312" s="890"/>
      <c r="BX1312" s="889"/>
      <c r="CB1312" s="15"/>
      <c r="CC1312" s="697"/>
      <c r="CD1312" s="1086"/>
      <c r="CE1312" s="15"/>
      <c r="CF1312" s="15"/>
      <c r="CG1312" s="936"/>
      <c r="CH1312" s="15"/>
      <c r="CI1312" s="15"/>
      <c r="CJ1312" s="15"/>
      <c r="CK1312" s="1107"/>
      <c r="CL1312" s="22"/>
      <c r="CM1312" s="22"/>
      <c r="CN1312" s="1107"/>
      <c r="CR1312" s="223"/>
      <c r="CS1312" s="952"/>
      <c r="CT1312" s="1066"/>
      <c r="CU1312" s="972"/>
      <c r="CV1312" s="983"/>
      <c r="CW1312" s="222"/>
      <c r="CX1312" s="697"/>
      <c r="DC1312" s="222"/>
      <c r="DJ1312" s="889"/>
      <c r="DM1312" s="890"/>
      <c r="DN1312" s="952"/>
      <c r="DO1312" s="75"/>
      <c r="DP1312" s="962"/>
      <c r="DQ1312" s="983"/>
      <c r="DV1312" s="889"/>
    </row>
    <row r="1313" spans="1:126" s="74" customFormat="1">
      <c r="A1313" s="15"/>
      <c r="B1313" s="15"/>
      <c r="C1313" s="15"/>
      <c r="D1313" s="15"/>
      <c r="E1313" s="6"/>
      <c r="F1313" s="6"/>
      <c r="G1313" s="6"/>
      <c r="K1313" s="222"/>
      <c r="V1313" s="1430"/>
      <c r="AA1313" s="223"/>
      <c r="AC1313" s="889"/>
      <c r="AF1313" s="890"/>
      <c r="AJ1313" s="889"/>
      <c r="AN1313" s="222"/>
      <c r="BC1313" s="223"/>
      <c r="BD1313" s="222"/>
      <c r="BH1313" s="611"/>
      <c r="BJ1313" s="15"/>
      <c r="BK1313" s="15"/>
      <c r="BO1313" s="223"/>
      <c r="BQ1313" s="889"/>
      <c r="BT1313" s="890"/>
      <c r="BX1313" s="889"/>
      <c r="CB1313" s="15"/>
      <c r="CC1313" s="697"/>
      <c r="CD1313" s="1086"/>
      <c r="CE1313" s="15"/>
      <c r="CF1313" s="15"/>
      <c r="CG1313" s="936"/>
      <c r="CH1313" s="15"/>
      <c r="CI1313" s="15"/>
      <c r="CJ1313" s="15"/>
      <c r="CK1313" s="1107"/>
      <c r="CL1313" s="22"/>
      <c r="CM1313" s="22"/>
      <c r="CN1313" s="1107"/>
      <c r="CR1313" s="223"/>
      <c r="CS1313" s="952"/>
      <c r="CT1313" s="1066"/>
      <c r="CU1313" s="972"/>
      <c r="CV1313" s="983"/>
      <c r="CW1313" s="222"/>
      <c r="CX1313" s="697"/>
      <c r="DC1313" s="222"/>
      <c r="DJ1313" s="889"/>
      <c r="DM1313" s="890"/>
      <c r="DN1313" s="952"/>
      <c r="DO1313" s="75"/>
      <c r="DP1313" s="962"/>
      <c r="DQ1313" s="983"/>
      <c r="DV1313" s="889"/>
    </row>
    <row r="1314" spans="1:126" s="74" customFormat="1">
      <c r="A1314" s="15"/>
      <c r="B1314" s="15"/>
      <c r="C1314" s="15"/>
      <c r="D1314" s="15"/>
      <c r="E1314" s="6"/>
      <c r="F1314" s="6"/>
      <c r="G1314" s="6"/>
      <c r="K1314" s="222"/>
      <c r="V1314" s="1430"/>
      <c r="AA1314" s="223"/>
      <c r="AC1314" s="889"/>
      <c r="AF1314" s="890"/>
      <c r="AJ1314" s="889"/>
      <c r="AN1314" s="222"/>
      <c r="BC1314" s="223"/>
      <c r="BD1314" s="222"/>
      <c r="BH1314" s="611"/>
      <c r="BJ1314" s="15"/>
      <c r="BK1314" s="15"/>
      <c r="BO1314" s="223"/>
      <c r="BQ1314" s="889"/>
      <c r="BT1314" s="890"/>
      <c r="BX1314" s="889"/>
      <c r="CB1314" s="15"/>
      <c r="CC1314" s="697"/>
      <c r="CD1314" s="1086"/>
      <c r="CE1314" s="15"/>
      <c r="CF1314" s="15"/>
      <c r="CG1314" s="936"/>
      <c r="CH1314" s="15"/>
      <c r="CI1314" s="15"/>
      <c r="CJ1314" s="15"/>
      <c r="CK1314" s="1107"/>
      <c r="CL1314" s="22"/>
      <c r="CM1314" s="22"/>
      <c r="CN1314" s="1107"/>
      <c r="CR1314" s="223"/>
      <c r="CS1314" s="952"/>
      <c r="CT1314" s="1066"/>
      <c r="CU1314" s="972"/>
      <c r="CV1314" s="983"/>
      <c r="CW1314" s="222"/>
      <c r="CX1314" s="697"/>
      <c r="DC1314" s="222"/>
      <c r="DJ1314" s="889"/>
      <c r="DM1314" s="890"/>
      <c r="DN1314" s="952"/>
      <c r="DO1314" s="75"/>
      <c r="DP1314" s="962"/>
      <c r="DQ1314" s="983"/>
      <c r="DV1314" s="889"/>
    </row>
    <row r="1315" spans="1:126" s="74" customFormat="1">
      <c r="A1315" s="15"/>
      <c r="B1315" s="15"/>
      <c r="C1315" s="15"/>
      <c r="D1315" s="15"/>
      <c r="E1315" s="6"/>
      <c r="F1315" s="6"/>
      <c r="G1315" s="6"/>
      <c r="K1315" s="222"/>
      <c r="V1315" s="1430"/>
      <c r="AA1315" s="223"/>
      <c r="AC1315" s="889"/>
      <c r="AF1315" s="890"/>
      <c r="AJ1315" s="889"/>
      <c r="AN1315" s="222"/>
      <c r="BC1315" s="223"/>
      <c r="BD1315" s="222"/>
      <c r="BH1315" s="611"/>
      <c r="BJ1315" s="15"/>
      <c r="BK1315" s="15"/>
      <c r="BO1315" s="223"/>
      <c r="BQ1315" s="889"/>
      <c r="BT1315" s="890"/>
      <c r="BX1315" s="889"/>
      <c r="CB1315" s="15"/>
      <c r="CC1315" s="697"/>
      <c r="CD1315" s="1086"/>
      <c r="CE1315" s="15"/>
      <c r="CF1315" s="15"/>
      <c r="CG1315" s="936"/>
      <c r="CH1315" s="15"/>
      <c r="CI1315" s="15"/>
      <c r="CJ1315" s="15"/>
      <c r="CK1315" s="1107"/>
      <c r="CL1315" s="22"/>
      <c r="CM1315" s="22"/>
      <c r="CN1315" s="1107"/>
      <c r="CR1315" s="223"/>
      <c r="CS1315" s="952"/>
      <c r="CT1315" s="1066"/>
      <c r="CU1315" s="972"/>
      <c r="CV1315" s="983"/>
      <c r="CW1315" s="222"/>
      <c r="CX1315" s="697"/>
      <c r="DC1315" s="222"/>
      <c r="DJ1315" s="889"/>
      <c r="DM1315" s="890"/>
      <c r="DN1315" s="952"/>
      <c r="DO1315" s="75"/>
      <c r="DP1315" s="962"/>
      <c r="DQ1315" s="983"/>
      <c r="DV1315" s="889"/>
    </row>
    <row r="1316" spans="1:126" s="74" customFormat="1">
      <c r="A1316" s="15"/>
      <c r="B1316" s="15"/>
      <c r="C1316" s="15"/>
      <c r="D1316" s="15"/>
      <c r="E1316" s="6"/>
      <c r="F1316" s="6"/>
      <c r="G1316" s="6"/>
      <c r="K1316" s="222"/>
      <c r="V1316" s="1430"/>
      <c r="AA1316" s="223"/>
      <c r="AC1316" s="889"/>
      <c r="AF1316" s="890"/>
      <c r="AJ1316" s="889"/>
      <c r="AN1316" s="222"/>
      <c r="BC1316" s="223"/>
      <c r="BD1316" s="222"/>
      <c r="BH1316" s="611"/>
      <c r="BJ1316" s="15"/>
      <c r="BK1316" s="15"/>
      <c r="BO1316" s="223"/>
      <c r="BQ1316" s="889"/>
      <c r="BT1316" s="890"/>
      <c r="BX1316" s="889"/>
      <c r="CB1316" s="15"/>
      <c r="CC1316" s="697"/>
      <c r="CD1316" s="1086"/>
      <c r="CE1316" s="15"/>
      <c r="CF1316" s="15"/>
      <c r="CG1316" s="936"/>
      <c r="CH1316" s="15"/>
      <c r="CI1316" s="15"/>
      <c r="CJ1316" s="15"/>
      <c r="CK1316" s="1107"/>
      <c r="CL1316" s="22"/>
      <c r="CM1316" s="22"/>
      <c r="CN1316" s="1107"/>
      <c r="CR1316" s="223"/>
      <c r="CS1316" s="952"/>
      <c r="CT1316" s="1066"/>
      <c r="CU1316" s="972"/>
      <c r="CV1316" s="983"/>
      <c r="CW1316" s="222"/>
      <c r="CX1316" s="697"/>
      <c r="DC1316" s="222"/>
      <c r="DJ1316" s="889"/>
      <c r="DM1316" s="890"/>
      <c r="DN1316" s="952"/>
      <c r="DO1316" s="75"/>
      <c r="DP1316" s="962"/>
      <c r="DQ1316" s="983"/>
      <c r="DV1316" s="889"/>
    </row>
    <row r="1317" spans="1:126" s="74" customFormat="1">
      <c r="A1317" s="15"/>
      <c r="B1317" s="15"/>
      <c r="C1317" s="15"/>
      <c r="D1317" s="15"/>
      <c r="E1317" s="6"/>
      <c r="F1317" s="6"/>
      <c r="G1317" s="6"/>
      <c r="K1317" s="222"/>
      <c r="V1317" s="1430"/>
      <c r="AA1317" s="223"/>
      <c r="AC1317" s="889"/>
      <c r="AF1317" s="890"/>
      <c r="AJ1317" s="889"/>
      <c r="AN1317" s="222"/>
      <c r="BC1317" s="223"/>
      <c r="BD1317" s="222"/>
      <c r="BH1317" s="611"/>
      <c r="BJ1317" s="15"/>
      <c r="BK1317" s="15"/>
      <c r="BO1317" s="223"/>
      <c r="BQ1317" s="889"/>
      <c r="BT1317" s="890"/>
      <c r="BX1317" s="889"/>
      <c r="CB1317" s="15"/>
      <c r="CC1317" s="697"/>
      <c r="CD1317" s="1086"/>
      <c r="CE1317" s="15"/>
      <c r="CF1317" s="15"/>
      <c r="CG1317" s="936"/>
      <c r="CH1317" s="15"/>
      <c r="CI1317" s="15"/>
      <c r="CJ1317" s="15"/>
      <c r="CK1317" s="1107"/>
      <c r="CL1317" s="22"/>
      <c r="CM1317" s="22"/>
      <c r="CN1317" s="1107"/>
      <c r="CR1317" s="223"/>
      <c r="CS1317" s="952"/>
      <c r="CT1317" s="1066"/>
      <c r="CU1317" s="972"/>
      <c r="CV1317" s="983"/>
      <c r="CW1317" s="222"/>
      <c r="CX1317" s="697"/>
      <c r="DC1317" s="222"/>
      <c r="DJ1317" s="889"/>
      <c r="DM1317" s="890"/>
      <c r="DN1317" s="952"/>
      <c r="DO1317" s="75"/>
      <c r="DP1317" s="962"/>
      <c r="DQ1317" s="983"/>
      <c r="DV1317" s="889"/>
    </row>
    <row r="1318" spans="1:126" s="74" customFormat="1">
      <c r="A1318" s="15"/>
      <c r="B1318" s="15"/>
      <c r="C1318" s="15"/>
      <c r="D1318" s="15"/>
      <c r="E1318" s="6"/>
      <c r="F1318" s="6"/>
      <c r="G1318" s="6"/>
      <c r="K1318" s="222"/>
      <c r="V1318" s="1430"/>
      <c r="AA1318" s="223"/>
      <c r="AC1318" s="889"/>
      <c r="AF1318" s="890"/>
      <c r="AJ1318" s="889"/>
      <c r="AN1318" s="222"/>
      <c r="BC1318" s="223"/>
      <c r="BD1318" s="222"/>
      <c r="BH1318" s="611"/>
      <c r="BJ1318" s="15"/>
      <c r="BK1318" s="15"/>
      <c r="BO1318" s="223"/>
      <c r="BQ1318" s="889"/>
      <c r="BT1318" s="890"/>
      <c r="BX1318" s="889"/>
      <c r="CB1318" s="15"/>
      <c r="CC1318" s="697"/>
      <c r="CD1318" s="1086"/>
      <c r="CE1318" s="15"/>
      <c r="CF1318" s="15"/>
      <c r="CG1318" s="936"/>
      <c r="CH1318" s="15"/>
      <c r="CI1318" s="15"/>
      <c r="CJ1318" s="15"/>
      <c r="CK1318" s="1107"/>
      <c r="CL1318" s="22"/>
      <c r="CM1318" s="22"/>
      <c r="CN1318" s="1107"/>
      <c r="CR1318" s="223"/>
      <c r="CS1318" s="952"/>
      <c r="CT1318" s="1066"/>
      <c r="CU1318" s="972"/>
      <c r="CV1318" s="983"/>
      <c r="CW1318" s="222"/>
      <c r="CX1318" s="697"/>
      <c r="DC1318" s="222"/>
      <c r="DJ1318" s="889"/>
      <c r="DM1318" s="890"/>
      <c r="DN1318" s="952"/>
      <c r="DO1318" s="75"/>
      <c r="DP1318" s="962"/>
      <c r="DQ1318" s="983"/>
      <c r="DV1318" s="889"/>
    </row>
    <row r="1319" spans="1:126" s="74" customFormat="1">
      <c r="A1319" s="15"/>
      <c r="B1319" s="15"/>
      <c r="C1319" s="15"/>
      <c r="D1319" s="15"/>
      <c r="E1319" s="6"/>
      <c r="F1319" s="6"/>
      <c r="G1319" s="6"/>
      <c r="K1319" s="222"/>
      <c r="V1319" s="1430"/>
      <c r="AA1319" s="223"/>
      <c r="AC1319" s="889"/>
      <c r="AF1319" s="890"/>
      <c r="AJ1319" s="889"/>
      <c r="AN1319" s="222"/>
      <c r="BC1319" s="223"/>
      <c r="BD1319" s="222"/>
      <c r="BH1319" s="611"/>
      <c r="BJ1319" s="15"/>
      <c r="BK1319" s="15"/>
      <c r="BO1319" s="223"/>
      <c r="BQ1319" s="889"/>
      <c r="BT1319" s="890"/>
      <c r="BX1319" s="889"/>
      <c r="CB1319" s="15"/>
      <c r="CC1319" s="697"/>
      <c r="CD1319" s="1086"/>
      <c r="CE1319" s="15"/>
      <c r="CF1319" s="15"/>
      <c r="CG1319" s="936"/>
      <c r="CH1319" s="15"/>
      <c r="CI1319" s="15"/>
      <c r="CJ1319" s="15"/>
      <c r="CK1319" s="1107"/>
      <c r="CL1319" s="22"/>
      <c r="CM1319" s="22"/>
      <c r="CN1319" s="1107"/>
      <c r="CR1319" s="223"/>
      <c r="CS1319" s="952"/>
      <c r="CT1319" s="1066"/>
      <c r="CU1319" s="972"/>
      <c r="CV1319" s="983"/>
      <c r="CW1319" s="222"/>
      <c r="CX1319" s="697"/>
      <c r="DC1319" s="222"/>
      <c r="DJ1319" s="889"/>
      <c r="DM1319" s="890"/>
      <c r="DN1319" s="952"/>
      <c r="DO1319" s="75"/>
      <c r="DP1319" s="962"/>
      <c r="DQ1319" s="983"/>
      <c r="DV1319" s="889"/>
    </row>
    <row r="1320" spans="1:126" s="74" customFormat="1">
      <c r="A1320" s="15"/>
      <c r="B1320" s="15"/>
      <c r="C1320" s="15"/>
      <c r="D1320" s="15"/>
      <c r="E1320" s="6"/>
      <c r="F1320" s="6"/>
      <c r="G1320" s="6"/>
      <c r="K1320" s="222"/>
      <c r="V1320" s="1430"/>
      <c r="AA1320" s="223"/>
      <c r="AC1320" s="889"/>
      <c r="AF1320" s="890"/>
      <c r="AJ1320" s="889"/>
      <c r="AN1320" s="222"/>
      <c r="BC1320" s="223"/>
      <c r="BD1320" s="222"/>
      <c r="BH1320" s="611"/>
      <c r="BJ1320" s="15"/>
      <c r="BK1320" s="15"/>
      <c r="BO1320" s="223"/>
      <c r="BQ1320" s="889"/>
      <c r="BT1320" s="890"/>
      <c r="BX1320" s="889"/>
      <c r="CB1320" s="15"/>
      <c r="CC1320" s="697"/>
      <c r="CD1320" s="1086"/>
      <c r="CE1320" s="15"/>
      <c r="CF1320" s="15"/>
      <c r="CG1320" s="936"/>
      <c r="CH1320" s="15"/>
      <c r="CI1320" s="15"/>
      <c r="CJ1320" s="15"/>
      <c r="CK1320" s="1107"/>
      <c r="CL1320" s="22"/>
      <c r="CM1320" s="22"/>
      <c r="CN1320" s="1107"/>
      <c r="CR1320" s="223"/>
      <c r="CS1320" s="952"/>
      <c r="CT1320" s="1066"/>
      <c r="CU1320" s="972"/>
      <c r="CV1320" s="983"/>
      <c r="CW1320" s="222"/>
      <c r="CX1320" s="697"/>
      <c r="DC1320" s="222"/>
      <c r="DJ1320" s="889"/>
      <c r="DM1320" s="890"/>
      <c r="DN1320" s="952"/>
      <c r="DO1320" s="75"/>
      <c r="DP1320" s="962"/>
      <c r="DQ1320" s="983"/>
      <c r="DV1320" s="889"/>
    </row>
    <row r="1321" spans="1:126" s="74" customFormat="1">
      <c r="A1321" s="15"/>
      <c r="B1321" s="15"/>
      <c r="C1321" s="15"/>
      <c r="D1321" s="15"/>
      <c r="E1321" s="6"/>
      <c r="F1321" s="6"/>
      <c r="G1321" s="6"/>
      <c r="K1321" s="222"/>
      <c r="V1321" s="1430"/>
      <c r="AA1321" s="223"/>
      <c r="AC1321" s="889"/>
      <c r="AF1321" s="890"/>
      <c r="AJ1321" s="889"/>
      <c r="AN1321" s="222"/>
      <c r="BC1321" s="223"/>
      <c r="BD1321" s="222"/>
      <c r="BH1321" s="611"/>
      <c r="BJ1321" s="15"/>
      <c r="BK1321" s="15"/>
      <c r="BO1321" s="223"/>
      <c r="BQ1321" s="889"/>
      <c r="BT1321" s="890"/>
      <c r="BX1321" s="889"/>
      <c r="CB1321" s="15"/>
      <c r="CC1321" s="697"/>
      <c r="CD1321" s="1086"/>
      <c r="CE1321" s="15"/>
      <c r="CF1321" s="15"/>
      <c r="CG1321" s="936"/>
      <c r="CH1321" s="15"/>
      <c r="CI1321" s="15"/>
      <c r="CJ1321" s="15"/>
      <c r="CK1321" s="1107"/>
      <c r="CL1321" s="22"/>
      <c r="CM1321" s="22"/>
      <c r="CN1321" s="1107"/>
      <c r="CR1321" s="223"/>
      <c r="CS1321" s="952"/>
      <c r="CT1321" s="1066"/>
      <c r="CU1321" s="972"/>
      <c r="CV1321" s="983"/>
      <c r="CW1321" s="222"/>
      <c r="CX1321" s="697"/>
      <c r="DC1321" s="222"/>
      <c r="DJ1321" s="889"/>
      <c r="DM1321" s="890"/>
      <c r="DN1321" s="952"/>
      <c r="DO1321" s="75"/>
      <c r="DP1321" s="962"/>
      <c r="DQ1321" s="983"/>
      <c r="DV1321" s="889"/>
    </row>
    <row r="1322" spans="1:126" s="74" customFormat="1">
      <c r="A1322" s="15"/>
      <c r="B1322" s="15"/>
      <c r="C1322" s="15"/>
      <c r="D1322" s="15"/>
      <c r="E1322" s="6"/>
      <c r="F1322" s="6"/>
      <c r="G1322" s="6"/>
      <c r="K1322" s="222"/>
      <c r="V1322" s="1430"/>
      <c r="AA1322" s="223"/>
      <c r="AC1322" s="889"/>
      <c r="AF1322" s="890"/>
      <c r="AJ1322" s="889"/>
      <c r="AN1322" s="222"/>
      <c r="BC1322" s="223"/>
      <c r="BD1322" s="222"/>
      <c r="BH1322" s="611"/>
      <c r="BJ1322" s="15"/>
      <c r="BK1322" s="15"/>
      <c r="BO1322" s="223"/>
      <c r="BQ1322" s="889"/>
      <c r="BT1322" s="890"/>
      <c r="BX1322" s="889"/>
      <c r="CB1322" s="15"/>
      <c r="CC1322" s="697"/>
      <c r="CD1322" s="1086"/>
      <c r="CE1322" s="15"/>
      <c r="CF1322" s="15"/>
      <c r="CG1322" s="936"/>
      <c r="CH1322" s="15"/>
      <c r="CI1322" s="15"/>
      <c r="CJ1322" s="15"/>
      <c r="CK1322" s="1107"/>
      <c r="CL1322" s="22"/>
      <c r="CM1322" s="22"/>
      <c r="CN1322" s="1107"/>
      <c r="CR1322" s="223"/>
      <c r="CS1322" s="952"/>
      <c r="CT1322" s="1066"/>
      <c r="CU1322" s="972"/>
      <c r="CV1322" s="983"/>
      <c r="CW1322" s="222"/>
      <c r="CX1322" s="697"/>
      <c r="DC1322" s="222"/>
      <c r="DJ1322" s="889"/>
      <c r="DM1322" s="890"/>
      <c r="DN1322" s="952"/>
      <c r="DO1322" s="75"/>
      <c r="DP1322" s="962"/>
      <c r="DQ1322" s="983"/>
      <c r="DV1322" s="889"/>
    </row>
    <row r="1323" spans="1:126" s="74" customFormat="1">
      <c r="A1323" s="15"/>
      <c r="B1323" s="15"/>
      <c r="C1323" s="15"/>
      <c r="D1323" s="15"/>
      <c r="E1323" s="6"/>
      <c r="F1323" s="6"/>
      <c r="G1323" s="6"/>
      <c r="K1323" s="222"/>
      <c r="V1323" s="1430"/>
      <c r="AA1323" s="223"/>
      <c r="AC1323" s="889"/>
      <c r="AF1323" s="890"/>
      <c r="AJ1323" s="889"/>
      <c r="AN1323" s="222"/>
      <c r="BC1323" s="223"/>
      <c r="BD1323" s="222"/>
      <c r="BH1323" s="611"/>
      <c r="BJ1323" s="15"/>
      <c r="BK1323" s="15"/>
      <c r="BO1323" s="223"/>
      <c r="BQ1323" s="889"/>
      <c r="BT1323" s="890"/>
      <c r="BX1323" s="889"/>
      <c r="CB1323" s="15"/>
      <c r="CC1323" s="697"/>
      <c r="CD1323" s="1086"/>
      <c r="CE1323" s="15"/>
      <c r="CF1323" s="15"/>
      <c r="CG1323" s="936"/>
      <c r="CH1323" s="15"/>
      <c r="CI1323" s="15"/>
      <c r="CJ1323" s="15"/>
      <c r="CK1323" s="1107"/>
      <c r="CL1323" s="22"/>
      <c r="CM1323" s="22"/>
      <c r="CN1323" s="1107"/>
      <c r="CR1323" s="223"/>
      <c r="CS1323" s="952"/>
      <c r="CT1323" s="1066"/>
      <c r="CU1323" s="972"/>
      <c r="CV1323" s="983"/>
      <c r="CW1323" s="222"/>
      <c r="CX1323" s="697"/>
      <c r="DC1323" s="222"/>
      <c r="DJ1323" s="889"/>
      <c r="DM1323" s="890"/>
      <c r="DN1323" s="952"/>
      <c r="DO1323" s="75"/>
      <c r="DP1323" s="962"/>
      <c r="DQ1323" s="983"/>
      <c r="DV1323" s="889"/>
    </row>
    <row r="1324" spans="1:126" s="74" customFormat="1">
      <c r="A1324" s="15"/>
      <c r="B1324" s="15"/>
      <c r="C1324" s="15"/>
      <c r="D1324" s="15"/>
      <c r="E1324" s="6"/>
      <c r="F1324" s="6"/>
      <c r="G1324" s="6"/>
      <c r="K1324" s="222"/>
      <c r="V1324" s="1430"/>
      <c r="AA1324" s="223"/>
      <c r="AC1324" s="889"/>
      <c r="AF1324" s="890"/>
      <c r="AJ1324" s="889"/>
      <c r="AN1324" s="222"/>
      <c r="BC1324" s="223"/>
      <c r="BD1324" s="222"/>
      <c r="BH1324" s="611"/>
      <c r="BJ1324" s="15"/>
      <c r="BK1324" s="15"/>
      <c r="BO1324" s="223"/>
      <c r="BQ1324" s="889"/>
      <c r="BT1324" s="890"/>
      <c r="BX1324" s="889"/>
      <c r="CB1324" s="15"/>
      <c r="CC1324" s="697"/>
      <c r="CD1324" s="1086"/>
      <c r="CE1324" s="15"/>
      <c r="CF1324" s="15"/>
      <c r="CG1324" s="936"/>
      <c r="CH1324" s="15"/>
      <c r="CI1324" s="15"/>
      <c r="CJ1324" s="15"/>
      <c r="CK1324" s="1107"/>
      <c r="CL1324" s="22"/>
      <c r="CM1324" s="22"/>
      <c r="CN1324" s="1107"/>
      <c r="CR1324" s="223"/>
      <c r="CS1324" s="952"/>
      <c r="CT1324" s="1066"/>
      <c r="CU1324" s="972"/>
      <c r="CV1324" s="983"/>
      <c r="CW1324" s="222"/>
      <c r="CX1324" s="697"/>
      <c r="DC1324" s="222"/>
      <c r="DJ1324" s="889"/>
      <c r="DM1324" s="890"/>
      <c r="DN1324" s="952"/>
      <c r="DO1324" s="75"/>
      <c r="DP1324" s="962"/>
      <c r="DQ1324" s="983"/>
      <c r="DV1324" s="889"/>
    </row>
    <row r="1325" spans="1:126" s="74" customFormat="1">
      <c r="A1325" s="15"/>
      <c r="B1325" s="15"/>
      <c r="C1325" s="15"/>
      <c r="D1325" s="15"/>
      <c r="E1325" s="6"/>
      <c r="F1325" s="6"/>
      <c r="G1325" s="6"/>
      <c r="K1325" s="222"/>
      <c r="V1325" s="1430"/>
      <c r="AA1325" s="223"/>
      <c r="AC1325" s="889"/>
      <c r="AF1325" s="890"/>
      <c r="AJ1325" s="889"/>
      <c r="AN1325" s="222"/>
      <c r="BC1325" s="223"/>
      <c r="BD1325" s="222"/>
      <c r="BH1325" s="611"/>
      <c r="BJ1325" s="15"/>
      <c r="BK1325" s="15"/>
      <c r="BO1325" s="223"/>
      <c r="BQ1325" s="889"/>
      <c r="BT1325" s="890"/>
      <c r="BX1325" s="889"/>
      <c r="CB1325" s="15"/>
      <c r="CC1325" s="697"/>
      <c r="CD1325" s="1086"/>
      <c r="CE1325" s="15"/>
      <c r="CF1325" s="15"/>
      <c r="CG1325" s="936"/>
      <c r="CH1325" s="15"/>
      <c r="CI1325" s="15"/>
      <c r="CJ1325" s="15"/>
      <c r="CK1325" s="1107"/>
      <c r="CL1325" s="22"/>
      <c r="CM1325" s="22"/>
      <c r="CN1325" s="1107"/>
      <c r="CR1325" s="223"/>
      <c r="CS1325" s="952"/>
      <c r="CT1325" s="1066"/>
      <c r="CU1325" s="972"/>
      <c r="CV1325" s="983"/>
      <c r="CW1325" s="222"/>
      <c r="CX1325" s="697"/>
      <c r="DC1325" s="222"/>
      <c r="DJ1325" s="889"/>
      <c r="DM1325" s="890"/>
      <c r="DN1325" s="952"/>
      <c r="DO1325" s="75"/>
      <c r="DP1325" s="962"/>
      <c r="DQ1325" s="983"/>
      <c r="DV1325" s="889"/>
    </row>
    <row r="1326" spans="1:126" s="74" customFormat="1">
      <c r="A1326" s="15"/>
      <c r="B1326" s="15"/>
      <c r="C1326" s="15"/>
      <c r="D1326" s="15"/>
      <c r="E1326" s="6"/>
      <c r="F1326" s="6"/>
      <c r="G1326" s="6"/>
      <c r="K1326" s="222"/>
      <c r="V1326" s="1430"/>
      <c r="AA1326" s="223"/>
      <c r="AC1326" s="889"/>
      <c r="AF1326" s="890"/>
      <c r="AJ1326" s="889"/>
      <c r="AN1326" s="222"/>
      <c r="BC1326" s="223"/>
      <c r="BD1326" s="222"/>
      <c r="BH1326" s="611"/>
      <c r="BJ1326" s="15"/>
      <c r="BK1326" s="15"/>
      <c r="BO1326" s="223"/>
      <c r="BQ1326" s="889"/>
      <c r="BT1326" s="890"/>
      <c r="BX1326" s="889"/>
      <c r="CB1326" s="15"/>
      <c r="CC1326" s="697"/>
      <c r="CD1326" s="1086"/>
      <c r="CE1326" s="15"/>
      <c r="CF1326" s="15"/>
      <c r="CG1326" s="936"/>
      <c r="CH1326" s="15"/>
      <c r="CI1326" s="15"/>
      <c r="CJ1326" s="15"/>
      <c r="CK1326" s="1107"/>
      <c r="CL1326" s="22"/>
      <c r="CM1326" s="22"/>
      <c r="CN1326" s="1107"/>
      <c r="CR1326" s="223"/>
      <c r="CS1326" s="952"/>
      <c r="CT1326" s="1066"/>
      <c r="CU1326" s="972"/>
      <c r="CV1326" s="983"/>
      <c r="CW1326" s="222"/>
      <c r="CX1326" s="697"/>
      <c r="DC1326" s="222"/>
      <c r="DJ1326" s="889"/>
      <c r="DM1326" s="890"/>
      <c r="DN1326" s="952"/>
      <c r="DO1326" s="75"/>
      <c r="DP1326" s="962"/>
      <c r="DQ1326" s="983"/>
      <c r="DV1326" s="889"/>
    </row>
    <row r="1327" spans="1:126" s="74" customFormat="1">
      <c r="A1327" s="15"/>
      <c r="B1327" s="15"/>
      <c r="C1327" s="15"/>
      <c r="D1327" s="15"/>
      <c r="E1327" s="6"/>
      <c r="F1327" s="6"/>
      <c r="G1327" s="6"/>
      <c r="K1327" s="222"/>
      <c r="V1327" s="1430"/>
      <c r="AA1327" s="223"/>
      <c r="AC1327" s="889"/>
      <c r="AF1327" s="890"/>
      <c r="AJ1327" s="889"/>
      <c r="AN1327" s="222"/>
      <c r="BC1327" s="223"/>
      <c r="BD1327" s="222"/>
      <c r="BH1327" s="611"/>
      <c r="BJ1327" s="15"/>
      <c r="BK1327" s="15"/>
      <c r="BO1327" s="223"/>
      <c r="BQ1327" s="889"/>
      <c r="BT1327" s="890"/>
      <c r="BX1327" s="889"/>
      <c r="CB1327" s="15"/>
      <c r="CC1327" s="697"/>
      <c r="CD1327" s="1086"/>
      <c r="CE1327" s="15"/>
      <c r="CF1327" s="15"/>
      <c r="CG1327" s="936"/>
      <c r="CH1327" s="15"/>
      <c r="CI1327" s="15"/>
      <c r="CJ1327" s="15"/>
      <c r="CK1327" s="1107"/>
      <c r="CL1327" s="22"/>
      <c r="CM1327" s="22"/>
      <c r="CN1327" s="1107"/>
      <c r="CR1327" s="223"/>
      <c r="CS1327" s="952"/>
      <c r="CT1327" s="1066"/>
      <c r="CU1327" s="972"/>
      <c r="CV1327" s="983"/>
      <c r="CW1327" s="222"/>
      <c r="CX1327" s="697"/>
      <c r="DC1327" s="222"/>
      <c r="DJ1327" s="889"/>
      <c r="DM1327" s="890"/>
      <c r="DN1327" s="952"/>
      <c r="DO1327" s="75"/>
      <c r="DP1327" s="962"/>
      <c r="DQ1327" s="983"/>
      <c r="DV1327" s="889"/>
    </row>
    <row r="1328" spans="1:126" s="74" customFormat="1">
      <c r="A1328" s="15"/>
      <c r="B1328" s="15"/>
      <c r="C1328" s="15"/>
      <c r="D1328" s="15"/>
      <c r="E1328" s="6"/>
      <c r="F1328" s="6"/>
      <c r="G1328" s="6"/>
      <c r="K1328" s="222"/>
      <c r="V1328" s="1430"/>
      <c r="AA1328" s="223"/>
      <c r="AC1328" s="889"/>
      <c r="AF1328" s="890"/>
      <c r="AJ1328" s="889"/>
      <c r="AN1328" s="222"/>
      <c r="BC1328" s="223"/>
      <c r="BD1328" s="222"/>
      <c r="BH1328" s="611"/>
      <c r="BJ1328" s="15"/>
      <c r="BK1328" s="15"/>
      <c r="BO1328" s="223"/>
      <c r="BQ1328" s="889"/>
      <c r="BT1328" s="890"/>
      <c r="BX1328" s="889"/>
      <c r="CB1328" s="15"/>
      <c r="CC1328" s="697"/>
      <c r="CD1328" s="1086"/>
      <c r="CE1328" s="15"/>
      <c r="CF1328" s="15"/>
      <c r="CG1328" s="936"/>
      <c r="CH1328" s="15"/>
      <c r="CI1328" s="15"/>
      <c r="CJ1328" s="15"/>
      <c r="CK1328" s="1107"/>
      <c r="CL1328" s="22"/>
      <c r="CM1328" s="22"/>
      <c r="CN1328" s="1107"/>
      <c r="CR1328" s="223"/>
      <c r="CS1328" s="952"/>
      <c r="CT1328" s="1066"/>
      <c r="CU1328" s="972"/>
      <c r="CV1328" s="983"/>
      <c r="CW1328" s="222"/>
      <c r="CX1328" s="697"/>
      <c r="DC1328" s="222"/>
      <c r="DJ1328" s="889"/>
      <c r="DM1328" s="890"/>
      <c r="DN1328" s="952"/>
      <c r="DO1328" s="75"/>
      <c r="DP1328" s="962"/>
      <c r="DQ1328" s="983"/>
      <c r="DV1328" s="889"/>
    </row>
    <row r="1329" spans="1:126" s="74" customFormat="1">
      <c r="A1329" s="15"/>
      <c r="B1329" s="15"/>
      <c r="C1329" s="15"/>
      <c r="D1329" s="15"/>
      <c r="E1329" s="6"/>
      <c r="F1329" s="6"/>
      <c r="G1329" s="6"/>
      <c r="K1329" s="222"/>
      <c r="V1329" s="1430"/>
      <c r="AA1329" s="223"/>
      <c r="AC1329" s="889"/>
      <c r="AF1329" s="890"/>
      <c r="AJ1329" s="889"/>
      <c r="AN1329" s="222"/>
      <c r="BC1329" s="223"/>
      <c r="BD1329" s="222"/>
      <c r="BH1329" s="611"/>
      <c r="BJ1329" s="15"/>
      <c r="BK1329" s="15"/>
      <c r="BO1329" s="223"/>
      <c r="BQ1329" s="889"/>
      <c r="BT1329" s="890"/>
      <c r="BX1329" s="889"/>
      <c r="CB1329" s="15"/>
      <c r="CC1329" s="697"/>
      <c r="CD1329" s="1086"/>
      <c r="CE1329" s="15"/>
      <c r="CF1329" s="15"/>
      <c r="CG1329" s="936"/>
      <c r="CH1329" s="15"/>
      <c r="CI1329" s="15"/>
      <c r="CJ1329" s="15"/>
      <c r="CK1329" s="1107"/>
      <c r="CL1329" s="22"/>
      <c r="CM1329" s="22"/>
      <c r="CN1329" s="1107"/>
      <c r="CR1329" s="223"/>
      <c r="CS1329" s="952"/>
      <c r="CT1329" s="1066"/>
      <c r="CU1329" s="972"/>
      <c r="CV1329" s="983"/>
      <c r="CW1329" s="222"/>
      <c r="CX1329" s="697"/>
      <c r="DC1329" s="222"/>
      <c r="DJ1329" s="889"/>
      <c r="DM1329" s="890"/>
      <c r="DN1329" s="952"/>
      <c r="DO1329" s="75"/>
      <c r="DP1329" s="962"/>
      <c r="DQ1329" s="983"/>
      <c r="DV1329" s="889"/>
    </row>
    <row r="1330" spans="1:126" s="74" customFormat="1">
      <c r="A1330" s="15"/>
      <c r="B1330" s="15"/>
      <c r="C1330" s="15"/>
      <c r="D1330" s="15"/>
      <c r="E1330" s="6"/>
      <c r="F1330" s="6"/>
      <c r="G1330" s="6"/>
      <c r="K1330" s="222"/>
      <c r="V1330" s="1430"/>
      <c r="AA1330" s="223"/>
      <c r="AC1330" s="889"/>
      <c r="AF1330" s="890"/>
      <c r="AJ1330" s="889"/>
      <c r="AN1330" s="222"/>
      <c r="BC1330" s="223"/>
      <c r="BD1330" s="222"/>
      <c r="BH1330" s="611"/>
      <c r="BJ1330" s="15"/>
      <c r="BK1330" s="15"/>
      <c r="BO1330" s="223"/>
      <c r="BQ1330" s="889"/>
      <c r="BT1330" s="890"/>
      <c r="BX1330" s="889"/>
      <c r="CB1330" s="15"/>
      <c r="CC1330" s="697"/>
      <c r="CD1330" s="1086"/>
      <c r="CE1330" s="15"/>
      <c r="CF1330" s="15"/>
      <c r="CG1330" s="936"/>
      <c r="CH1330" s="15"/>
      <c r="CI1330" s="15"/>
      <c r="CJ1330" s="15"/>
      <c r="CK1330" s="1107"/>
      <c r="CL1330" s="22"/>
      <c r="CM1330" s="22"/>
      <c r="CN1330" s="1107"/>
      <c r="CR1330" s="223"/>
      <c r="CS1330" s="952"/>
      <c r="CT1330" s="1066"/>
      <c r="CU1330" s="972"/>
      <c r="CV1330" s="983"/>
      <c r="CW1330" s="222"/>
      <c r="CX1330" s="697"/>
      <c r="DC1330" s="222"/>
      <c r="DJ1330" s="889"/>
      <c r="DM1330" s="890"/>
      <c r="DN1330" s="952"/>
      <c r="DO1330" s="75"/>
      <c r="DP1330" s="962"/>
      <c r="DQ1330" s="983"/>
      <c r="DV1330" s="889"/>
    </row>
    <row r="1331" spans="1:126" s="74" customFormat="1">
      <c r="A1331" s="15"/>
      <c r="B1331" s="15"/>
      <c r="C1331" s="15"/>
      <c r="D1331" s="15"/>
      <c r="E1331" s="6"/>
      <c r="F1331" s="6"/>
      <c r="G1331" s="6"/>
      <c r="K1331" s="222"/>
      <c r="V1331" s="1430"/>
      <c r="AA1331" s="223"/>
      <c r="AC1331" s="889"/>
      <c r="AF1331" s="890"/>
      <c r="AJ1331" s="889"/>
      <c r="AN1331" s="222"/>
      <c r="BC1331" s="223"/>
      <c r="BD1331" s="222"/>
      <c r="BH1331" s="611"/>
      <c r="BJ1331" s="15"/>
      <c r="BK1331" s="15"/>
      <c r="BO1331" s="223"/>
      <c r="BQ1331" s="889"/>
      <c r="BT1331" s="890"/>
      <c r="BX1331" s="889"/>
      <c r="CB1331" s="15"/>
      <c r="CC1331" s="697"/>
      <c r="CD1331" s="1086"/>
      <c r="CE1331" s="15"/>
      <c r="CF1331" s="15"/>
      <c r="CG1331" s="936"/>
      <c r="CH1331" s="15"/>
      <c r="CI1331" s="15"/>
      <c r="CJ1331" s="15"/>
      <c r="CK1331" s="1107"/>
      <c r="CL1331" s="22"/>
      <c r="CM1331" s="22"/>
      <c r="CN1331" s="1107"/>
      <c r="CR1331" s="223"/>
      <c r="CS1331" s="952"/>
      <c r="CT1331" s="1066"/>
      <c r="CU1331" s="972"/>
      <c r="CV1331" s="983"/>
      <c r="CW1331" s="222"/>
      <c r="CX1331" s="697"/>
      <c r="DC1331" s="222"/>
      <c r="DJ1331" s="889"/>
      <c r="DM1331" s="890"/>
      <c r="DN1331" s="952"/>
      <c r="DO1331" s="75"/>
      <c r="DP1331" s="962"/>
      <c r="DQ1331" s="983"/>
      <c r="DV1331" s="889"/>
    </row>
    <row r="1332" spans="1:126" s="74" customFormat="1">
      <c r="A1332" s="15"/>
      <c r="B1332" s="15"/>
      <c r="C1332" s="15"/>
      <c r="D1332" s="15"/>
      <c r="E1332" s="6"/>
      <c r="F1332" s="6"/>
      <c r="G1332" s="6"/>
      <c r="K1332" s="222"/>
      <c r="V1332" s="1430"/>
      <c r="AA1332" s="223"/>
      <c r="AC1332" s="889"/>
      <c r="AF1332" s="890"/>
      <c r="AJ1332" s="889"/>
      <c r="AN1332" s="222"/>
      <c r="BC1332" s="223"/>
      <c r="BD1332" s="222"/>
      <c r="BH1332" s="611"/>
      <c r="BJ1332" s="15"/>
      <c r="BK1332" s="15"/>
      <c r="BO1332" s="223"/>
      <c r="BQ1332" s="889"/>
      <c r="BT1332" s="890"/>
      <c r="BX1332" s="889"/>
      <c r="CB1332" s="15"/>
      <c r="CC1332" s="697"/>
      <c r="CD1332" s="1086"/>
      <c r="CE1332" s="15"/>
      <c r="CF1332" s="15"/>
      <c r="CG1332" s="936"/>
      <c r="CH1332" s="15"/>
      <c r="CI1332" s="15"/>
      <c r="CJ1332" s="15"/>
      <c r="CK1332" s="1107"/>
      <c r="CL1332" s="22"/>
      <c r="CM1332" s="22"/>
      <c r="CN1332" s="1107"/>
      <c r="CR1332" s="223"/>
      <c r="CS1332" s="952"/>
      <c r="CT1332" s="1066"/>
      <c r="CU1332" s="972"/>
      <c r="CV1332" s="983"/>
      <c r="CW1332" s="222"/>
      <c r="CX1332" s="697"/>
      <c r="DC1332" s="222"/>
      <c r="DJ1332" s="889"/>
      <c r="DM1332" s="890"/>
      <c r="DN1332" s="952"/>
      <c r="DO1332" s="75"/>
      <c r="DP1332" s="962"/>
      <c r="DQ1332" s="983"/>
      <c r="DV1332" s="889"/>
    </row>
    <row r="1333" spans="1:126" s="74" customFormat="1">
      <c r="A1333" s="15"/>
      <c r="B1333" s="15"/>
      <c r="C1333" s="15"/>
      <c r="D1333" s="15"/>
      <c r="E1333" s="6"/>
      <c r="F1333" s="6"/>
      <c r="G1333" s="6"/>
      <c r="K1333" s="222"/>
      <c r="V1333" s="1430"/>
      <c r="AA1333" s="223"/>
      <c r="AC1333" s="889"/>
      <c r="AF1333" s="890"/>
      <c r="AJ1333" s="889"/>
      <c r="AN1333" s="222"/>
      <c r="BC1333" s="223"/>
      <c r="BD1333" s="222"/>
      <c r="BH1333" s="611"/>
      <c r="BJ1333" s="15"/>
      <c r="BK1333" s="15"/>
      <c r="BO1333" s="223"/>
      <c r="BQ1333" s="889"/>
      <c r="BT1333" s="890"/>
      <c r="BX1333" s="889"/>
      <c r="CB1333" s="15"/>
      <c r="CC1333" s="697"/>
      <c r="CD1333" s="1086"/>
      <c r="CE1333" s="15"/>
      <c r="CF1333" s="15"/>
      <c r="CG1333" s="936"/>
      <c r="CH1333" s="15"/>
      <c r="CI1333" s="15"/>
      <c r="CJ1333" s="15"/>
      <c r="CK1333" s="1107"/>
      <c r="CL1333" s="22"/>
      <c r="CM1333" s="22"/>
      <c r="CN1333" s="1107"/>
      <c r="CR1333" s="223"/>
      <c r="CS1333" s="952"/>
      <c r="CT1333" s="1066"/>
      <c r="CU1333" s="972"/>
      <c r="CV1333" s="983"/>
      <c r="CW1333" s="222"/>
      <c r="CX1333" s="697"/>
      <c r="DC1333" s="222"/>
      <c r="DJ1333" s="889"/>
      <c r="DM1333" s="890"/>
      <c r="DN1333" s="952"/>
      <c r="DO1333" s="75"/>
      <c r="DP1333" s="962"/>
      <c r="DQ1333" s="983"/>
      <c r="DV1333" s="889"/>
    </row>
    <row r="1334" spans="1:126" s="74" customFormat="1">
      <c r="A1334" s="15"/>
      <c r="B1334" s="15"/>
      <c r="C1334" s="15"/>
      <c r="D1334" s="15"/>
      <c r="E1334" s="6"/>
      <c r="F1334" s="6"/>
      <c r="G1334" s="6"/>
      <c r="K1334" s="222"/>
      <c r="V1334" s="1430"/>
      <c r="AA1334" s="223"/>
      <c r="AC1334" s="889"/>
      <c r="AF1334" s="890"/>
      <c r="AJ1334" s="889"/>
      <c r="AN1334" s="222"/>
      <c r="BC1334" s="223"/>
      <c r="BD1334" s="222"/>
      <c r="BH1334" s="611"/>
      <c r="BJ1334" s="15"/>
      <c r="BK1334" s="15"/>
      <c r="BO1334" s="223"/>
      <c r="BQ1334" s="889"/>
      <c r="BT1334" s="890"/>
      <c r="BX1334" s="889"/>
      <c r="CB1334" s="15"/>
      <c r="CC1334" s="697"/>
      <c r="CD1334" s="1086"/>
      <c r="CE1334" s="15"/>
      <c r="CF1334" s="15"/>
      <c r="CG1334" s="936"/>
      <c r="CH1334" s="15"/>
      <c r="CI1334" s="15"/>
      <c r="CJ1334" s="15"/>
      <c r="CK1334" s="1107"/>
      <c r="CL1334" s="22"/>
      <c r="CM1334" s="22"/>
      <c r="CN1334" s="1107"/>
      <c r="CR1334" s="223"/>
      <c r="CS1334" s="952"/>
      <c r="CT1334" s="1066"/>
      <c r="CU1334" s="972"/>
      <c r="CV1334" s="983"/>
      <c r="CW1334" s="222"/>
      <c r="CX1334" s="697"/>
      <c r="DC1334" s="222"/>
      <c r="DJ1334" s="889"/>
      <c r="DM1334" s="890"/>
      <c r="DN1334" s="952"/>
      <c r="DO1334" s="75"/>
      <c r="DP1334" s="962"/>
      <c r="DQ1334" s="983"/>
      <c r="DV1334" s="889"/>
    </row>
    <row r="1335" spans="1:126" s="74" customFormat="1">
      <c r="A1335" s="15"/>
      <c r="B1335" s="15"/>
      <c r="C1335" s="15"/>
      <c r="D1335" s="15"/>
      <c r="E1335" s="6"/>
      <c r="F1335" s="6"/>
      <c r="G1335" s="6"/>
      <c r="K1335" s="222"/>
      <c r="V1335" s="1430"/>
      <c r="AA1335" s="223"/>
      <c r="AC1335" s="889"/>
      <c r="AF1335" s="890"/>
      <c r="AJ1335" s="889"/>
      <c r="AN1335" s="222"/>
      <c r="BC1335" s="223"/>
      <c r="BD1335" s="222"/>
      <c r="BH1335" s="611"/>
      <c r="BJ1335" s="15"/>
      <c r="BK1335" s="15"/>
      <c r="BO1335" s="223"/>
      <c r="BQ1335" s="889"/>
      <c r="BT1335" s="890"/>
      <c r="BX1335" s="889"/>
      <c r="CB1335" s="15"/>
      <c r="CC1335" s="697"/>
      <c r="CD1335" s="1086"/>
      <c r="CE1335" s="15"/>
      <c r="CF1335" s="15"/>
      <c r="CG1335" s="936"/>
      <c r="CH1335" s="15"/>
      <c r="CI1335" s="15"/>
      <c r="CJ1335" s="15"/>
      <c r="CK1335" s="1107"/>
      <c r="CL1335" s="22"/>
      <c r="CM1335" s="22"/>
      <c r="CN1335" s="1107"/>
      <c r="CR1335" s="223"/>
      <c r="CS1335" s="952"/>
      <c r="CT1335" s="1066"/>
      <c r="CU1335" s="972"/>
      <c r="CV1335" s="983"/>
      <c r="CW1335" s="222"/>
      <c r="CX1335" s="697"/>
      <c r="DC1335" s="222"/>
      <c r="DJ1335" s="889"/>
      <c r="DM1335" s="890"/>
      <c r="DN1335" s="952"/>
      <c r="DO1335" s="75"/>
      <c r="DP1335" s="962"/>
      <c r="DQ1335" s="983"/>
      <c r="DV1335" s="889"/>
    </row>
    <row r="1336" spans="1:126" s="74" customFormat="1">
      <c r="A1336" s="15"/>
      <c r="B1336" s="15"/>
      <c r="C1336" s="15"/>
      <c r="D1336" s="15"/>
      <c r="E1336" s="6"/>
      <c r="F1336" s="6"/>
      <c r="G1336" s="6"/>
      <c r="K1336" s="222"/>
      <c r="V1336" s="1430"/>
      <c r="AA1336" s="223"/>
      <c r="AC1336" s="889"/>
      <c r="AF1336" s="890"/>
      <c r="AJ1336" s="889"/>
      <c r="AN1336" s="222"/>
      <c r="BC1336" s="223"/>
      <c r="BD1336" s="222"/>
      <c r="BH1336" s="611"/>
      <c r="BJ1336" s="15"/>
      <c r="BK1336" s="15"/>
      <c r="BO1336" s="223"/>
      <c r="BQ1336" s="889"/>
      <c r="BT1336" s="890"/>
      <c r="BX1336" s="889"/>
      <c r="CB1336" s="15"/>
      <c r="CC1336" s="697"/>
      <c r="CD1336" s="1086"/>
      <c r="CE1336" s="15"/>
      <c r="CF1336" s="15"/>
      <c r="CG1336" s="936"/>
      <c r="CH1336" s="15"/>
      <c r="CI1336" s="15"/>
      <c r="CJ1336" s="15"/>
      <c r="CK1336" s="1107"/>
      <c r="CL1336" s="22"/>
      <c r="CM1336" s="22"/>
      <c r="CN1336" s="1107"/>
      <c r="CR1336" s="223"/>
      <c r="CS1336" s="952"/>
      <c r="CT1336" s="1066"/>
      <c r="CU1336" s="972"/>
      <c r="CV1336" s="983"/>
      <c r="CW1336" s="222"/>
      <c r="CX1336" s="697"/>
      <c r="DC1336" s="222"/>
      <c r="DJ1336" s="889"/>
      <c r="DM1336" s="890"/>
      <c r="DN1336" s="952"/>
      <c r="DO1336" s="75"/>
      <c r="DP1336" s="962"/>
      <c r="DQ1336" s="983"/>
      <c r="DV1336" s="889"/>
    </row>
    <row r="1337" spans="1:126" s="74" customFormat="1">
      <c r="A1337" s="15"/>
      <c r="B1337" s="15"/>
      <c r="C1337" s="15"/>
      <c r="D1337" s="15"/>
      <c r="E1337" s="6"/>
      <c r="F1337" s="6"/>
      <c r="G1337" s="6"/>
      <c r="K1337" s="222"/>
      <c r="V1337" s="1430"/>
      <c r="AA1337" s="223"/>
      <c r="AC1337" s="889"/>
      <c r="AF1337" s="890"/>
      <c r="AJ1337" s="889"/>
      <c r="AN1337" s="222"/>
      <c r="BC1337" s="223"/>
      <c r="BD1337" s="222"/>
      <c r="BH1337" s="611"/>
      <c r="BJ1337" s="15"/>
      <c r="BK1337" s="15"/>
      <c r="BO1337" s="223"/>
      <c r="BQ1337" s="889"/>
      <c r="BT1337" s="890"/>
      <c r="BX1337" s="889"/>
      <c r="CB1337" s="15"/>
      <c r="CC1337" s="697"/>
      <c r="CD1337" s="1086"/>
      <c r="CE1337" s="15"/>
      <c r="CF1337" s="15"/>
      <c r="CG1337" s="936"/>
      <c r="CH1337" s="15"/>
      <c r="CI1337" s="15"/>
      <c r="CJ1337" s="15"/>
      <c r="CK1337" s="1107"/>
      <c r="CL1337" s="22"/>
      <c r="CM1337" s="22"/>
      <c r="CN1337" s="1107"/>
      <c r="CR1337" s="223"/>
      <c r="CS1337" s="952"/>
      <c r="CT1337" s="1066"/>
      <c r="CU1337" s="972"/>
      <c r="CV1337" s="983"/>
      <c r="CW1337" s="222"/>
      <c r="CX1337" s="697"/>
      <c r="DC1337" s="222"/>
      <c r="DJ1337" s="889"/>
      <c r="DM1337" s="890"/>
      <c r="DN1337" s="952"/>
      <c r="DO1337" s="75"/>
      <c r="DP1337" s="962"/>
      <c r="DQ1337" s="983"/>
      <c r="DV1337" s="889"/>
    </row>
    <row r="1338" spans="1:126" s="74" customFormat="1">
      <c r="A1338" s="15"/>
      <c r="B1338" s="15"/>
      <c r="C1338" s="15"/>
      <c r="D1338" s="15"/>
      <c r="E1338" s="6"/>
      <c r="F1338" s="6"/>
      <c r="G1338" s="6"/>
      <c r="K1338" s="222"/>
      <c r="V1338" s="1430"/>
      <c r="AA1338" s="223"/>
      <c r="AC1338" s="889"/>
      <c r="AF1338" s="890"/>
      <c r="AJ1338" s="889"/>
      <c r="AN1338" s="222"/>
      <c r="BC1338" s="223"/>
      <c r="BD1338" s="222"/>
      <c r="BH1338" s="611"/>
      <c r="BJ1338" s="15"/>
      <c r="BK1338" s="15"/>
      <c r="BO1338" s="223"/>
      <c r="BQ1338" s="889"/>
      <c r="BT1338" s="890"/>
      <c r="BX1338" s="889"/>
      <c r="CB1338" s="15"/>
      <c r="CC1338" s="697"/>
      <c r="CD1338" s="1086"/>
      <c r="CE1338" s="15"/>
      <c r="CF1338" s="15"/>
      <c r="CG1338" s="936"/>
      <c r="CH1338" s="15"/>
      <c r="CI1338" s="15"/>
      <c r="CJ1338" s="15"/>
      <c r="CK1338" s="1107"/>
      <c r="CL1338" s="22"/>
      <c r="CM1338" s="22"/>
      <c r="CN1338" s="1107"/>
      <c r="CR1338" s="223"/>
      <c r="CS1338" s="952"/>
      <c r="CT1338" s="1066"/>
      <c r="CU1338" s="972"/>
      <c r="CV1338" s="983"/>
      <c r="CW1338" s="222"/>
      <c r="CX1338" s="697"/>
      <c r="DC1338" s="222"/>
      <c r="DJ1338" s="889"/>
      <c r="DM1338" s="890"/>
      <c r="DN1338" s="952"/>
      <c r="DO1338" s="75"/>
      <c r="DP1338" s="962"/>
      <c r="DQ1338" s="983"/>
      <c r="DV1338" s="889"/>
    </row>
    <row r="1339" spans="1:126" s="74" customFormat="1">
      <c r="A1339" s="15"/>
      <c r="B1339" s="15"/>
      <c r="C1339" s="15"/>
      <c r="D1339" s="15"/>
      <c r="E1339" s="6"/>
      <c r="F1339" s="6"/>
      <c r="G1339" s="6"/>
      <c r="K1339" s="222"/>
      <c r="V1339" s="1430"/>
      <c r="AA1339" s="223"/>
      <c r="AC1339" s="889"/>
      <c r="AF1339" s="890"/>
      <c r="AJ1339" s="889"/>
      <c r="AN1339" s="222"/>
      <c r="BC1339" s="223"/>
      <c r="BD1339" s="222"/>
      <c r="BH1339" s="611"/>
      <c r="BJ1339" s="15"/>
      <c r="BK1339" s="15"/>
      <c r="BO1339" s="223"/>
      <c r="BQ1339" s="889"/>
      <c r="BT1339" s="890"/>
      <c r="BX1339" s="889"/>
      <c r="CB1339" s="15"/>
      <c r="CC1339" s="697"/>
      <c r="CD1339" s="1086"/>
      <c r="CE1339" s="15"/>
      <c r="CF1339" s="15"/>
      <c r="CG1339" s="936"/>
      <c r="CH1339" s="15"/>
      <c r="CI1339" s="15"/>
      <c r="CJ1339" s="15"/>
      <c r="CK1339" s="1107"/>
      <c r="CL1339" s="22"/>
      <c r="CM1339" s="22"/>
      <c r="CN1339" s="1107"/>
      <c r="CR1339" s="223"/>
      <c r="CS1339" s="952"/>
      <c r="CT1339" s="1066"/>
      <c r="CU1339" s="972"/>
      <c r="CV1339" s="983"/>
      <c r="CW1339" s="222"/>
      <c r="CX1339" s="697"/>
      <c r="DC1339" s="222"/>
      <c r="DJ1339" s="889"/>
      <c r="DM1339" s="890"/>
      <c r="DN1339" s="952"/>
      <c r="DO1339" s="75"/>
      <c r="DP1339" s="962"/>
      <c r="DQ1339" s="983"/>
      <c r="DV1339" s="889"/>
    </row>
    <row r="1340" spans="1:126" s="74" customFormat="1">
      <c r="A1340" s="15"/>
      <c r="B1340" s="15"/>
      <c r="C1340" s="15"/>
      <c r="D1340" s="15"/>
      <c r="E1340" s="6"/>
      <c r="F1340" s="6"/>
      <c r="G1340" s="6"/>
      <c r="K1340" s="222"/>
      <c r="V1340" s="1430"/>
      <c r="AA1340" s="223"/>
      <c r="AC1340" s="889"/>
      <c r="AF1340" s="890"/>
      <c r="AJ1340" s="889"/>
      <c r="AN1340" s="222"/>
      <c r="BC1340" s="223"/>
      <c r="BD1340" s="222"/>
      <c r="BH1340" s="611"/>
      <c r="BJ1340" s="15"/>
      <c r="BK1340" s="15"/>
      <c r="BO1340" s="223"/>
      <c r="BQ1340" s="889"/>
      <c r="BT1340" s="890"/>
      <c r="BX1340" s="889"/>
      <c r="CB1340" s="15"/>
      <c r="CC1340" s="697"/>
      <c r="CD1340" s="1086"/>
      <c r="CE1340" s="15"/>
      <c r="CF1340" s="15"/>
      <c r="CG1340" s="936"/>
      <c r="CH1340" s="15"/>
      <c r="CI1340" s="15"/>
      <c r="CJ1340" s="15"/>
      <c r="CK1340" s="1107"/>
      <c r="CL1340" s="22"/>
      <c r="CM1340" s="22"/>
      <c r="CN1340" s="1107"/>
      <c r="CR1340" s="223"/>
      <c r="CS1340" s="952"/>
      <c r="CT1340" s="1066"/>
      <c r="CU1340" s="972"/>
      <c r="CV1340" s="983"/>
      <c r="CW1340" s="222"/>
      <c r="CX1340" s="697"/>
      <c r="DC1340" s="222"/>
      <c r="DJ1340" s="889"/>
      <c r="DM1340" s="890"/>
      <c r="DN1340" s="952"/>
      <c r="DO1340" s="75"/>
      <c r="DP1340" s="962"/>
      <c r="DQ1340" s="983"/>
      <c r="DV1340" s="889"/>
    </row>
    <row r="1341" spans="1:126" s="74" customFormat="1">
      <c r="A1341" s="15"/>
      <c r="B1341" s="15"/>
      <c r="C1341" s="15"/>
      <c r="D1341" s="15"/>
      <c r="E1341" s="6"/>
      <c r="F1341" s="6"/>
      <c r="G1341" s="6"/>
      <c r="K1341" s="222"/>
      <c r="V1341" s="1430"/>
      <c r="AA1341" s="223"/>
      <c r="AC1341" s="889"/>
      <c r="AF1341" s="890"/>
      <c r="AJ1341" s="889"/>
      <c r="AN1341" s="222"/>
      <c r="BC1341" s="223"/>
      <c r="BD1341" s="222"/>
      <c r="BH1341" s="611"/>
      <c r="BJ1341" s="15"/>
      <c r="BK1341" s="15"/>
      <c r="BO1341" s="223"/>
      <c r="BQ1341" s="889"/>
      <c r="BT1341" s="890"/>
      <c r="BX1341" s="889"/>
      <c r="CB1341" s="15"/>
      <c r="CC1341" s="697"/>
      <c r="CD1341" s="1086"/>
      <c r="CE1341" s="15"/>
      <c r="CF1341" s="15"/>
      <c r="CG1341" s="936"/>
      <c r="CH1341" s="15"/>
      <c r="CI1341" s="15"/>
      <c r="CJ1341" s="15"/>
      <c r="CK1341" s="1107"/>
      <c r="CL1341" s="22"/>
      <c r="CM1341" s="22"/>
      <c r="CN1341" s="1107"/>
      <c r="CR1341" s="223"/>
      <c r="CS1341" s="952"/>
      <c r="CT1341" s="1066"/>
      <c r="CU1341" s="972"/>
      <c r="CV1341" s="983"/>
      <c r="CW1341" s="222"/>
      <c r="CX1341" s="697"/>
      <c r="DC1341" s="222"/>
      <c r="DJ1341" s="889"/>
      <c r="DM1341" s="890"/>
      <c r="DN1341" s="952"/>
      <c r="DO1341" s="75"/>
      <c r="DP1341" s="962"/>
      <c r="DQ1341" s="983"/>
      <c r="DV1341" s="889"/>
    </row>
    <row r="1342" spans="1:126" s="74" customFormat="1">
      <c r="A1342" s="15"/>
      <c r="B1342" s="15"/>
      <c r="C1342" s="15"/>
      <c r="D1342" s="15"/>
      <c r="E1342" s="6"/>
      <c r="F1342" s="6"/>
      <c r="G1342" s="6"/>
      <c r="K1342" s="222"/>
      <c r="V1342" s="1430"/>
      <c r="AA1342" s="223"/>
      <c r="AC1342" s="889"/>
      <c r="AF1342" s="890"/>
      <c r="AJ1342" s="889"/>
      <c r="AN1342" s="222"/>
      <c r="BC1342" s="223"/>
      <c r="BD1342" s="222"/>
      <c r="BH1342" s="611"/>
      <c r="BJ1342" s="15"/>
      <c r="BK1342" s="15"/>
      <c r="BO1342" s="223"/>
      <c r="BQ1342" s="889"/>
      <c r="BT1342" s="890"/>
      <c r="BX1342" s="889"/>
      <c r="CB1342" s="15"/>
      <c r="CC1342" s="697"/>
      <c r="CD1342" s="1086"/>
      <c r="CE1342" s="15"/>
      <c r="CF1342" s="15"/>
      <c r="CG1342" s="936"/>
      <c r="CH1342" s="15"/>
      <c r="CI1342" s="15"/>
      <c r="CJ1342" s="15"/>
      <c r="CK1342" s="1107"/>
      <c r="CL1342" s="22"/>
      <c r="CM1342" s="22"/>
      <c r="CN1342" s="1107"/>
      <c r="CR1342" s="223"/>
      <c r="CS1342" s="952"/>
      <c r="CT1342" s="1066"/>
      <c r="CU1342" s="972"/>
      <c r="CV1342" s="983"/>
      <c r="CW1342" s="222"/>
      <c r="CX1342" s="697"/>
      <c r="DC1342" s="222"/>
      <c r="DJ1342" s="889"/>
      <c r="DM1342" s="890"/>
      <c r="DN1342" s="952"/>
      <c r="DO1342" s="75"/>
      <c r="DP1342" s="962"/>
      <c r="DQ1342" s="983"/>
      <c r="DV1342" s="889"/>
    </row>
    <row r="1343" spans="1:126" s="74" customFormat="1">
      <c r="A1343" s="15"/>
      <c r="B1343" s="15"/>
      <c r="C1343" s="15"/>
      <c r="D1343" s="15"/>
      <c r="E1343" s="6"/>
      <c r="F1343" s="6"/>
      <c r="G1343" s="6"/>
      <c r="K1343" s="222"/>
      <c r="V1343" s="1430"/>
      <c r="AA1343" s="223"/>
      <c r="AC1343" s="889"/>
      <c r="AF1343" s="890"/>
      <c r="AJ1343" s="889"/>
      <c r="AN1343" s="222"/>
      <c r="BC1343" s="223"/>
      <c r="BD1343" s="222"/>
      <c r="BH1343" s="611"/>
      <c r="BJ1343" s="15"/>
      <c r="BK1343" s="15"/>
      <c r="BO1343" s="223"/>
      <c r="BQ1343" s="889"/>
      <c r="BT1343" s="890"/>
      <c r="BX1343" s="889"/>
      <c r="CB1343" s="15"/>
      <c r="CC1343" s="697"/>
      <c r="CD1343" s="1086"/>
      <c r="CE1343" s="15"/>
      <c r="CF1343" s="15"/>
      <c r="CG1343" s="936"/>
      <c r="CH1343" s="15"/>
      <c r="CI1343" s="15"/>
      <c r="CJ1343" s="15"/>
      <c r="CK1343" s="1107"/>
      <c r="CL1343" s="22"/>
      <c r="CM1343" s="22"/>
      <c r="CN1343" s="1107"/>
      <c r="CR1343" s="223"/>
      <c r="CS1343" s="952"/>
      <c r="CT1343" s="1066"/>
      <c r="CU1343" s="972"/>
      <c r="CV1343" s="983"/>
      <c r="CW1343" s="222"/>
      <c r="CX1343" s="697"/>
      <c r="DC1343" s="222"/>
      <c r="DJ1343" s="889"/>
      <c r="DM1343" s="890"/>
      <c r="DN1343" s="952"/>
      <c r="DO1343" s="75"/>
      <c r="DP1343" s="962"/>
      <c r="DQ1343" s="983"/>
      <c r="DV1343" s="889"/>
    </row>
    <row r="1344" spans="1:126" s="74" customFormat="1">
      <c r="A1344" s="15"/>
      <c r="B1344" s="15"/>
      <c r="C1344" s="15"/>
      <c r="D1344" s="15"/>
      <c r="E1344" s="6"/>
      <c r="F1344" s="6"/>
      <c r="G1344" s="6"/>
      <c r="K1344" s="222"/>
      <c r="V1344" s="1430"/>
      <c r="AA1344" s="223"/>
      <c r="AC1344" s="889"/>
      <c r="AF1344" s="890"/>
      <c r="AJ1344" s="889"/>
      <c r="AN1344" s="222"/>
      <c r="BC1344" s="223"/>
      <c r="BD1344" s="222"/>
      <c r="BH1344" s="611"/>
      <c r="BJ1344" s="15"/>
      <c r="BK1344" s="15"/>
      <c r="BO1344" s="223"/>
      <c r="BQ1344" s="889"/>
      <c r="BT1344" s="890"/>
      <c r="BX1344" s="889"/>
      <c r="CB1344" s="15"/>
      <c r="CC1344" s="697"/>
      <c r="CD1344" s="1086"/>
      <c r="CE1344" s="15"/>
      <c r="CF1344" s="15"/>
      <c r="CG1344" s="936"/>
      <c r="CH1344" s="15"/>
      <c r="CI1344" s="15"/>
      <c r="CJ1344" s="15"/>
      <c r="CK1344" s="1107"/>
      <c r="CL1344" s="22"/>
      <c r="CM1344" s="22"/>
      <c r="CN1344" s="1107"/>
      <c r="CR1344" s="223"/>
      <c r="CS1344" s="952"/>
      <c r="CT1344" s="1066"/>
      <c r="CU1344" s="972"/>
      <c r="CV1344" s="983"/>
      <c r="CW1344" s="222"/>
      <c r="CX1344" s="697"/>
      <c r="DC1344" s="222"/>
      <c r="DJ1344" s="889"/>
      <c r="DM1344" s="890"/>
      <c r="DN1344" s="952"/>
      <c r="DO1344" s="75"/>
      <c r="DP1344" s="962"/>
      <c r="DQ1344" s="983"/>
      <c r="DV1344" s="889"/>
    </row>
    <row r="1345" spans="1:126" s="74" customFormat="1">
      <c r="A1345" s="15"/>
      <c r="B1345" s="15"/>
      <c r="C1345" s="15"/>
      <c r="D1345" s="15"/>
      <c r="E1345" s="6"/>
      <c r="F1345" s="6"/>
      <c r="G1345" s="6"/>
      <c r="K1345" s="222"/>
      <c r="V1345" s="1430"/>
      <c r="AA1345" s="223"/>
      <c r="AC1345" s="889"/>
      <c r="AF1345" s="890"/>
      <c r="AJ1345" s="889"/>
      <c r="AN1345" s="222"/>
      <c r="BC1345" s="223"/>
      <c r="BD1345" s="222"/>
      <c r="BH1345" s="611"/>
      <c r="BJ1345" s="15"/>
      <c r="BK1345" s="15"/>
      <c r="BO1345" s="223"/>
      <c r="BQ1345" s="889"/>
      <c r="BT1345" s="890"/>
      <c r="BX1345" s="889"/>
      <c r="CB1345" s="15"/>
      <c r="CC1345" s="697"/>
      <c r="CD1345" s="1086"/>
      <c r="CE1345" s="15"/>
      <c r="CF1345" s="15"/>
      <c r="CG1345" s="936"/>
      <c r="CH1345" s="15"/>
      <c r="CI1345" s="15"/>
      <c r="CJ1345" s="15"/>
      <c r="CK1345" s="1107"/>
      <c r="CL1345" s="22"/>
      <c r="CM1345" s="22"/>
      <c r="CN1345" s="1107"/>
      <c r="CR1345" s="223"/>
      <c r="CS1345" s="952"/>
      <c r="CT1345" s="1066"/>
      <c r="CU1345" s="972"/>
      <c r="CV1345" s="983"/>
      <c r="CW1345" s="222"/>
      <c r="CX1345" s="697"/>
      <c r="DC1345" s="222"/>
      <c r="DJ1345" s="889"/>
      <c r="DM1345" s="890"/>
      <c r="DN1345" s="952"/>
      <c r="DO1345" s="75"/>
      <c r="DP1345" s="962"/>
      <c r="DQ1345" s="983"/>
      <c r="DV1345" s="889"/>
    </row>
    <row r="1346" spans="1:126" s="74" customFormat="1">
      <c r="A1346" s="15"/>
      <c r="B1346" s="15"/>
      <c r="C1346" s="15"/>
      <c r="D1346" s="15"/>
      <c r="E1346" s="6"/>
      <c r="F1346" s="6"/>
      <c r="G1346" s="6"/>
      <c r="K1346" s="222"/>
      <c r="V1346" s="1430"/>
      <c r="AA1346" s="223"/>
      <c r="AC1346" s="889"/>
      <c r="AF1346" s="890"/>
      <c r="AJ1346" s="889"/>
      <c r="AN1346" s="222"/>
      <c r="BC1346" s="223"/>
      <c r="BD1346" s="222"/>
      <c r="BH1346" s="611"/>
      <c r="BJ1346" s="15"/>
      <c r="BK1346" s="15"/>
      <c r="BO1346" s="223"/>
      <c r="BQ1346" s="889"/>
      <c r="BT1346" s="890"/>
      <c r="BX1346" s="889"/>
      <c r="CB1346" s="15"/>
      <c r="CC1346" s="697"/>
      <c r="CD1346" s="1086"/>
      <c r="CE1346" s="15"/>
      <c r="CF1346" s="15"/>
      <c r="CG1346" s="936"/>
      <c r="CH1346" s="15"/>
      <c r="CI1346" s="15"/>
      <c r="CJ1346" s="15"/>
      <c r="CK1346" s="1107"/>
      <c r="CL1346" s="22"/>
      <c r="CM1346" s="22"/>
      <c r="CN1346" s="1107"/>
      <c r="CR1346" s="223"/>
      <c r="CS1346" s="952"/>
      <c r="CT1346" s="1066"/>
      <c r="CU1346" s="972"/>
      <c r="CV1346" s="983"/>
      <c r="CW1346" s="222"/>
      <c r="CX1346" s="697"/>
      <c r="DC1346" s="222"/>
      <c r="DJ1346" s="889"/>
      <c r="DM1346" s="890"/>
      <c r="DN1346" s="952"/>
      <c r="DO1346" s="75"/>
      <c r="DP1346" s="962"/>
      <c r="DQ1346" s="983"/>
      <c r="DV1346" s="889"/>
    </row>
    <row r="1347" spans="1:126" s="74" customFormat="1">
      <c r="A1347" s="15"/>
      <c r="B1347" s="15"/>
      <c r="C1347" s="15"/>
      <c r="D1347" s="15"/>
      <c r="E1347" s="6"/>
      <c r="F1347" s="6"/>
      <c r="G1347" s="6"/>
      <c r="K1347" s="222"/>
      <c r="V1347" s="1430"/>
      <c r="AA1347" s="223"/>
      <c r="AC1347" s="889"/>
      <c r="AF1347" s="890"/>
      <c r="AJ1347" s="889"/>
      <c r="AN1347" s="222"/>
      <c r="BC1347" s="223"/>
      <c r="BD1347" s="222"/>
      <c r="BH1347" s="611"/>
      <c r="BJ1347" s="15"/>
      <c r="BK1347" s="15"/>
      <c r="BO1347" s="223"/>
      <c r="BQ1347" s="889"/>
      <c r="BT1347" s="890"/>
      <c r="BX1347" s="889"/>
      <c r="CB1347" s="15"/>
      <c r="CC1347" s="697"/>
      <c r="CD1347" s="1086"/>
      <c r="CE1347" s="15"/>
      <c r="CF1347" s="15"/>
      <c r="CG1347" s="936"/>
      <c r="CH1347" s="15"/>
      <c r="CI1347" s="15"/>
      <c r="CJ1347" s="15"/>
      <c r="CK1347" s="1107"/>
      <c r="CL1347" s="22"/>
      <c r="CM1347" s="22"/>
      <c r="CN1347" s="1107"/>
      <c r="CR1347" s="223"/>
      <c r="CS1347" s="952"/>
      <c r="CT1347" s="1066"/>
      <c r="CU1347" s="972"/>
      <c r="CV1347" s="983"/>
      <c r="CW1347" s="222"/>
      <c r="CX1347" s="697"/>
      <c r="DC1347" s="222"/>
      <c r="DJ1347" s="889"/>
      <c r="DM1347" s="890"/>
      <c r="DN1347" s="952"/>
      <c r="DO1347" s="75"/>
      <c r="DP1347" s="962"/>
      <c r="DQ1347" s="983"/>
      <c r="DV1347" s="889"/>
    </row>
    <row r="1348" spans="1:126" s="74" customFormat="1">
      <c r="A1348" s="15"/>
      <c r="B1348" s="15"/>
      <c r="C1348" s="15"/>
      <c r="D1348" s="15"/>
      <c r="E1348" s="6"/>
      <c r="F1348" s="6"/>
      <c r="G1348" s="6"/>
      <c r="K1348" s="222"/>
      <c r="V1348" s="1430"/>
      <c r="AA1348" s="223"/>
      <c r="AC1348" s="889"/>
      <c r="AF1348" s="890"/>
      <c r="AJ1348" s="889"/>
      <c r="AN1348" s="222"/>
      <c r="BC1348" s="223"/>
      <c r="BD1348" s="222"/>
      <c r="BH1348" s="611"/>
      <c r="BJ1348" s="15"/>
      <c r="BK1348" s="15"/>
      <c r="BO1348" s="223"/>
      <c r="BQ1348" s="889"/>
      <c r="BT1348" s="890"/>
      <c r="BX1348" s="889"/>
      <c r="CB1348" s="15"/>
      <c r="CC1348" s="697"/>
      <c r="CD1348" s="1086"/>
      <c r="CE1348" s="15"/>
      <c r="CF1348" s="15"/>
      <c r="CG1348" s="936"/>
      <c r="CH1348" s="15"/>
      <c r="CI1348" s="15"/>
      <c r="CJ1348" s="15"/>
      <c r="CK1348" s="1107"/>
      <c r="CL1348" s="22"/>
      <c r="CM1348" s="22"/>
      <c r="CN1348" s="1107"/>
      <c r="CR1348" s="223"/>
      <c r="CS1348" s="952"/>
      <c r="CT1348" s="1066"/>
      <c r="CU1348" s="972"/>
      <c r="CV1348" s="983"/>
      <c r="CW1348" s="222"/>
      <c r="CX1348" s="697"/>
      <c r="DC1348" s="222"/>
      <c r="DJ1348" s="889"/>
      <c r="DM1348" s="890"/>
      <c r="DN1348" s="952"/>
      <c r="DO1348" s="75"/>
      <c r="DP1348" s="962"/>
      <c r="DQ1348" s="983"/>
      <c r="DV1348" s="889"/>
    </row>
    <row r="1349" spans="1:126" s="74" customFormat="1">
      <c r="A1349" s="15"/>
      <c r="B1349" s="15"/>
      <c r="C1349" s="15"/>
      <c r="D1349" s="15"/>
      <c r="E1349" s="6"/>
      <c r="F1349" s="6"/>
      <c r="G1349" s="6"/>
      <c r="K1349" s="222"/>
      <c r="V1349" s="1430"/>
      <c r="AA1349" s="223"/>
      <c r="AC1349" s="889"/>
      <c r="AF1349" s="890"/>
      <c r="AJ1349" s="889"/>
      <c r="AN1349" s="222"/>
      <c r="BC1349" s="223"/>
      <c r="BD1349" s="222"/>
      <c r="BH1349" s="611"/>
      <c r="BJ1349" s="15"/>
      <c r="BK1349" s="15"/>
      <c r="BO1349" s="223"/>
      <c r="BQ1349" s="889"/>
      <c r="BT1349" s="890"/>
      <c r="BX1349" s="889"/>
      <c r="CB1349" s="15"/>
      <c r="CC1349" s="697"/>
      <c r="CD1349" s="1086"/>
      <c r="CE1349" s="15"/>
      <c r="CF1349" s="15"/>
      <c r="CG1349" s="936"/>
      <c r="CH1349" s="15"/>
      <c r="CI1349" s="15"/>
      <c r="CJ1349" s="15"/>
      <c r="CK1349" s="1107"/>
      <c r="CL1349" s="22"/>
      <c r="CM1349" s="22"/>
      <c r="CN1349" s="1107"/>
      <c r="CR1349" s="223"/>
      <c r="CS1349" s="952"/>
      <c r="CT1349" s="1066"/>
      <c r="CU1349" s="972"/>
      <c r="CV1349" s="983"/>
      <c r="CW1349" s="222"/>
      <c r="CX1349" s="697"/>
      <c r="DC1349" s="222"/>
      <c r="DJ1349" s="889"/>
      <c r="DM1349" s="890"/>
      <c r="DN1349" s="952"/>
      <c r="DO1349" s="75"/>
      <c r="DP1349" s="962"/>
      <c r="DQ1349" s="983"/>
      <c r="DV1349" s="889"/>
    </row>
    <row r="1350" spans="1:126" s="74" customFormat="1">
      <c r="A1350" s="15"/>
      <c r="B1350" s="15"/>
      <c r="C1350" s="15"/>
      <c r="D1350" s="15"/>
      <c r="E1350" s="6"/>
      <c r="F1350" s="6"/>
      <c r="G1350" s="6"/>
      <c r="K1350" s="222"/>
      <c r="V1350" s="1430"/>
      <c r="AA1350" s="223"/>
      <c r="AC1350" s="889"/>
      <c r="AF1350" s="890"/>
      <c r="AJ1350" s="889"/>
      <c r="AN1350" s="222"/>
      <c r="BC1350" s="223"/>
      <c r="BD1350" s="222"/>
      <c r="BH1350" s="611"/>
      <c r="BJ1350" s="15"/>
      <c r="BK1350" s="15"/>
      <c r="BO1350" s="223"/>
      <c r="BQ1350" s="889"/>
      <c r="BT1350" s="890"/>
      <c r="BX1350" s="889"/>
      <c r="CB1350" s="15"/>
      <c r="CC1350" s="697"/>
      <c r="CD1350" s="1086"/>
      <c r="CE1350" s="15"/>
      <c r="CF1350" s="15"/>
      <c r="CG1350" s="936"/>
      <c r="CH1350" s="15"/>
      <c r="CI1350" s="15"/>
      <c r="CJ1350" s="15"/>
      <c r="CK1350" s="1107"/>
      <c r="CL1350" s="22"/>
      <c r="CM1350" s="22"/>
      <c r="CN1350" s="1107"/>
      <c r="CR1350" s="223"/>
      <c r="CS1350" s="952"/>
      <c r="CT1350" s="1066"/>
      <c r="CU1350" s="972"/>
      <c r="CV1350" s="983"/>
      <c r="CW1350" s="222"/>
      <c r="CX1350" s="697"/>
      <c r="DC1350" s="222"/>
      <c r="DJ1350" s="889"/>
      <c r="DM1350" s="890"/>
      <c r="DN1350" s="952"/>
      <c r="DO1350" s="75"/>
      <c r="DP1350" s="962"/>
      <c r="DQ1350" s="983"/>
      <c r="DV1350" s="889"/>
    </row>
    <row r="1351" spans="1:126" s="74" customFormat="1">
      <c r="A1351" s="15"/>
      <c r="B1351" s="15"/>
      <c r="C1351" s="15"/>
      <c r="D1351" s="15"/>
      <c r="E1351" s="6"/>
      <c r="F1351" s="6"/>
      <c r="G1351" s="6"/>
      <c r="K1351" s="222"/>
      <c r="V1351" s="1430"/>
      <c r="AA1351" s="223"/>
      <c r="AC1351" s="889"/>
      <c r="AF1351" s="890"/>
      <c r="AJ1351" s="889"/>
      <c r="AN1351" s="222"/>
      <c r="BC1351" s="223"/>
      <c r="BD1351" s="222"/>
      <c r="BH1351" s="611"/>
      <c r="BJ1351" s="15"/>
      <c r="BK1351" s="15"/>
      <c r="BO1351" s="223"/>
      <c r="BQ1351" s="889"/>
      <c r="BT1351" s="890"/>
      <c r="BX1351" s="889"/>
      <c r="CB1351" s="15"/>
      <c r="CC1351" s="697"/>
      <c r="CD1351" s="1086"/>
      <c r="CE1351" s="15"/>
      <c r="CF1351" s="15"/>
      <c r="CG1351" s="936"/>
      <c r="CH1351" s="15"/>
      <c r="CI1351" s="15"/>
      <c r="CJ1351" s="15"/>
      <c r="CK1351" s="1107"/>
      <c r="CL1351" s="22"/>
      <c r="CM1351" s="22"/>
      <c r="CN1351" s="1107"/>
      <c r="CR1351" s="223"/>
      <c r="CS1351" s="952"/>
      <c r="CT1351" s="1066"/>
      <c r="CU1351" s="972"/>
      <c r="CV1351" s="983"/>
      <c r="CW1351" s="222"/>
      <c r="CX1351" s="697"/>
      <c r="DC1351" s="222"/>
      <c r="DJ1351" s="889"/>
      <c r="DM1351" s="890"/>
      <c r="DN1351" s="952"/>
      <c r="DO1351" s="75"/>
      <c r="DP1351" s="962"/>
      <c r="DQ1351" s="983"/>
      <c r="DV1351" s="889"/>
    </row>
    <row r="1352" spans="1:126" s="74" customFormat="1">
      <c r="A1352" s="15"/>
      <c r="B1352" s="15"/>
      <c r="C1352" s="15"/>
      <c r="D1352" s="15"/>
      <c r="E1352" s="6"/>
      <c r="F1352" s="6"/>
      <c r="G1352" s="6"/>
      <c r="K1352" s="222"/>
      <c r="V1352" s="1430"/>
      <c r="AA1352" s="223"/>
      <c r="AC1352" s="889"/>
      <c r="AF1352" s="890"/>
      <c r="AJ1352" s="889"/>
      <c r="AN1352" s="222"/>
      <c r="BC1352" s="223"/>
      <c r="BD1352" s="222"/>
      <c r="BH1352" s="611"/>
      <c r="BJ1352" s="15"/>
      <c r="BK1352" s="15"/>
      <c r="BO1352" s="223"/>
      <c r="BQ1352" s="889"/>
      <c r="BT1352" s="890"/>
      <c r="BX1352" s="889"/>
      <c r="CB1352" s="15"/>
      <c r="CC1352" s="697"/>
      <c r="CD1352" s="1086"/>
      <c r="CE1352" s="15"/>
      <c r="CF1352" s="15"/>
      <c r="CG1352" s="936"/>
      <c r="CH1352" s="15"/>
      <c r="CI1352" s="15"/>
      <c r="CJ1352" s="15"/>
      <c r="CK1352" s="1107"/>
      <c r="CL1352" s="22"/>
      <c r="CM1352" s="22"/>
      <c r="CN1352" s="1107"/>
      <c r="CR1352" s="223"/>
      <c r="CS1352" s="952"/>
      <c r="CT1352" s="1066"/>
      <c r="CU1352" s="972"/>
      <c r="CV1352" s="983"/>
      <c r="CW1352" s="222"/>
      <c r="CX1352" s="697"/>
      <c r="DC1352" s="222"/>
      <c r="DJ1352" s="889"/>
      <c r="DM1352" s="890"/>
      <c r="DN1352" s="952"/>
      <c r="DO1352" s="75"/>
      <c r="DP1352" s="962"/>
      <c r="DQ1352" s="983"/>
      <c r="DV1352" s="889"/>
    </row>
    <row r="1353" spans="1:126" s="74" customFormat="1">
      <c r="A1353" s="15"/>
      <c r="B1353" s="15"/>
      <c r="C1353" s="15"/>
      <c r="D1353" s="15"/>
      <c r="E1353" s="6"/>
      <c r="F1353" s="6"/>
      <c r="G1353" s="6"/>
      <c r="K1353" s="222"/>
      <c r="V1353" s="1430"/>
      <c r="AA1353" s="223"/>
      <c r="AC1353" s="889"/>
      <c r="AF1353" s="890"/>
      <c r="AJ1353" s="889"/>
      <c r="AN1353" s="222"/>
      <c r="BC1353" s="223"/>
      <c r="BD1353" s="222"/>
      <c r="BH1353" s="611"/>
      <c r="BJ1353" s="15"/>
      <c r="BK1353" s="15"/>
      <c r="BO1353" s="223"/>
      <c r="BQ1353" s="889"/>
      <c r="BT1353" s="890"/>
      <c r="BX1353" s="889"/>
      <c r="CB1353" s="15"/>
      <c r="CC1353" s="697"/>
      <c r="CD1353" s="1086"/>
      <c r="CE1353" s="15"/>
      <c r="CF1353" s="15"/>
      <c r="CG1353" s="936"/>
      <c r="CH1353" s="15"/>
      <c r="CI1353" s="15"/>
      <c r="CJ1353" s="15"/>
      <c r="CK1353" s="1107"/>
      <c r="CL1353" s="22"/>
      <c r="CM1353" s="22"/>
      <c r="CN1353" s="1107"/>
      <c r="CR1353" s="223"/>
      <c r="CS1353" s="952"/>
      <c r="CT1353" s="1066"/>
      <c r="CU1353" s="972"/>
      <c r="CV1353" s="983"/>
      <c r="CW1353" s="222"/>
      <c r="CX1353" s="697"/>
      <c r="DC1353" s="222"/>
      <c r="DJ1353" s="889"/>
      <c r="DM1353" s="890"/>
      <c r="DN1353" s="952"/>
      <c r="DO1353" s="75"/>
      <c r="DP1353" s="962"/>
      <c r="DQ1353" s="983"/>
      <c r="DV1353" s="889"/>
    </row>
    <row r="1354" spans="1:126" s="74" customFormat="1">
      <c r="A1354" s="15"/>
      <c r="B1354" s="15"/>
      <c r="C1354" s="15"/>
      <c r="D1354" s="15"/>
      <c r="E1354" s="6"/>
      <c r="F1354" s="6"/>
      <c r="G1354" s="6"/>
      <c r="K1354" s="222"/>
      <c r="V1354" s="1430"/>
      <c r="AA1354" s="223"/>
      <c r="AC1354" s="889"/>
      <c r="AF1354" s="890"/>
      <c r="AJ1354" s="889"/>
      <c r="AN1354" s="222"/>
      <c r="BC1354" s="223"/>
      <c r="BD1354" s="222"/>
      <c r="BH1354" s="611"/>
      <c r="BJ1354" s="15"/>
      <c r="BK1354" s="15"/>
      <c r="BO1354" s="223"/>
      <c r="BQ1354" s="889"/>
      <c r="BT1354" s="890"/>
      <c r="BX1354" s="889"/>
      <c r="CB1354" s="15"/>
      <c r="CC1354" s="697"/>
      <c r="CD1354" s="1086"/>
      <c r="CE1354" s="15"/>
      <c r="CF1354" s="15"/>
      <c r="CG1354" s="936"/>
      <c r="CH1354" s="15"/>
      <c r="CI1354" s="15"/>
      <c r="CJ1354" s="15"/>
      <c r="CK1354" s="1107"/>
      <c r="CL1354" s="22"/>
      <c r="CM1354" s="22"/>
      <c r="CN1354" s="1107"/>
      <c r="CR1354" s="223"/>
      <c r="CS1354" s="952"/>
      <c r="CT1354" s="1066"/>
      <c r="CU1354" s="972"/>
      <c r="CV1354" s="983"/>
      <c r="CW1354" s="222"/>
      <c r="CX1354" s="697"/>
      <c r="DC1354" s="222"/>
      <c r="DJ1354" s="889"/>
      <c r="DM1354" s="890"/>
      <c r="DN1354" s="952"/>
      <c r="DO1354" s="75"/>
      <c r="DP1354" s="962"/>
      <c r="DQ1354" s="983"/>
      <c r="DV1354" s="889"/>
    </row>
    <row r="1355" spans="1:126" s="74" customFormat="1">
      <c r="A1355" s="15"/>
      <c r="B1355" s="15"/>
      <c r="C1355" s="15"/>
      <c r="D1355" s="15"/>
      <c r="E1355" s="6"/>
      <c r="F1355" s="6"/>
      <c r="G1355" s="6"/>
      <c r="K1355" s="222"/>
      <c r="V1355" s="1430"/>
      <c r="AA1355" s="223"/>
      <c r="AC1355" s="889"/>
      <c r="AF1355" s="890"/>
      <c r="AJ1355" s="889"/>
      <c r="AN1355" s="222"/>
      <c r="BC1355" s="223"/>
      <c r="BD1355" s="222"/>
      <c r="BH1355" s="611"/>
      <c r="BJ1355" s="15"/>
      <c r="BK1355" s="15"/>
      <c r="BO1355" s="223"/>
      <c r="BQ1355" s="889"/>
      <c r="BT1355" s="890"/>
      <c r="BX1355" s="889"/>
      <c r="CB1355" s="15"/>
      <c r="CC1355" s="697"/>
      <c r="CD1355" s="1086"/>
      <c r="CE1355" s="15"/>
      <c r="CF1355" s="15"/>
      <c r="CG1355" s="936"/>
      <c r="CH1355" s="15"/>
      <c r="CI1355" s="15"/>
      <c r="CJ1355" s="15"/>
      <c r="CK1355" s="1107"/>
      <c r="CL1355" s="22"/>
      <c r="CM1355" s="22"/>
      <c r="CN1355" s="1107"/>
      <c r="CR1355" s="223"/>
      <c r="CS1355" s="952"/>
      <c r="CT1355" s="1066"/>
      <c r="CU1355" s="972"/>
      <c r="CV1355" s="983"/>
      <c r="CW1355" s="222"/>
      <c r="CX1355" s="697"/>
      <c r="DC1355" s="222"/>
      <c r="DJ1355" s="889"/>
      <c r="DM1355" s="890"/>
      <c r="DN1355" s="952"/>
      <c r="DO1355" s="75"/>
      <c r="DP1355" s="962"/>
      <c r="DQ1355" s="983"/>
      <c r="DV1355" s="889"/>
    </row>
    <row r="1356" spans="1:126" s="74" customFormat="1">
      <c r="A1356" s="15"/>
      <c r="B1356" s="15"/>
      <c r="C1356" s="15"/>
      <c r="D1356" s="15"/>
      <c r="E1356" s="6"/>
      <c r="F1356" s="6"/>
      <c r="G1356" s="6"/>
      <c r="K1356" s="222"/>
      <c r="V1356" s="1430"/>
      <c r="AA1356" s="223"/>
      <c r="AC1356" s="889"/>
      <c r="AF1356" s="890"/>
      <c r="AJ1356" s="889"/>
      <c r="AN1356" s="222"/>
      <c r="BC1356" s="223"/>
      <c r="BD1356" s="222"/>
      <c r="BH1356" s="611"/>
      <c r="BJ1356" s="15"/>
      <c r="BK1356" s="15"/>
      <c r="BO1356" s="223"/>
      <c r="BQ1356" s="889"/>
      <c r="BT1356" s="890"/>
      <c r="BX1356" s="889"/>
      <c r="CB1356" s="15"/>
      <c r="CC1356" s="697"/>
      <c r="CD1356" s="1086"/>
      <c r="CE1356" s="15"/>
      <c r="CF1356" s="15"/>
      <c r="CG1356" s="936"/>
      <c r="CH1356" s="15"/>
      <c r="CI1356" s="15"/>
      <c r="CJ1356" s="15"/>
      <c r="CK1356" s="1107"/>
      <c r="CL1356" s="22"/>
      <c r="CM1356" s="22"/>
      <c r="CN1356" s="1107"/>
      <c r="CR1356" s="223"/>
      <c r="CS1356" s="952"/>
      <c r="CT1356" s="1066"/>
      <c r="CU1356" s="972"/>
      <c r="CV1356" s="983"/>
      <c r="CW1356" s="222"/>
      <c r="CX1356" s="697"/>
      <c r="DC1356" s="222"/>
      <c r="DJ1356" s="889"/>
      <c r="DM1356" s="890"/>
      <c r="DN1356" s="952"/>
      <c r="DO1356" s="75"/>
      <c r="DP1356" s="962"/>
      <c r="DQ1356" s="983"/>
      <c r="DV1356" s="889"/>
    </row>
    <row r="1357" spans="1:126" s="74" customFormat="1">
      <c r="A1357" s="15"/>
      <c r="B1357" s="15"/>
      <c r="C1357" s="15"/>
      <c r="D1357" s="15"/>
      <c r="E1357" s="6"/>
      <c r="F1357" s="6"/>
      <c r="G1357" s="6"/>
      <c r="K1357" s="222"/>
      <c r="V1357" s="1430"/>
      <c r="AA1357" s="223"/>
      <c r="AC1357" s="889"/>
      <c r="AF1357" s="890"/>
      <c r="AJ1357" s="889"/>
      <c r="AN1357" s="222"/>
      <c r="BC1357" s="223"/>
      <c r="BD1357" s="222"/>
      <c r="BH1357" s="611"/>
      <c r="BJ1357" s="15"/>
      <c r="BK1357" s="15"/>
      <c r="BO1357" s="223"/>
      <c r="BQ1357" s="889"/>
      <c r="BT1357" s="890"/>
      <c r="BX1357" s="889"/>
      <c r="CB1357" s="15"/>
      <c r="CC1357" s="697"/>
      <c r="CD1357" s="1086"/>
      <c r="CE1357" s="15"/>
      <c r="CF1357" s="15"/>
      <c r="CG1357" s="936"/>
      <c r="CH1357" s="15"/>
      <c r="CI1357" s="15"/>
      <c r="CJ1357" s="15"/>
      <c r="CK1357" s="1107"/>
      <c r="CL1357" s="22"/>
      <c r="CM1357" s="22"/>
      <c r="CN1357" s="1107"/>
      <c r="CR1357" s="223"/>
      <c r="CS1357" s="952"/>
      <c r="CT1357" s="1066"/>
      <c r="CU1357" s="972"/>
      <c r="CV1357" s="983"/>
      <c r="CW1357" s="222"/>
      <c r="CX1357" s="697"/>
      <c r="DC1357" s="222"/>
      <c r="DJ1357" s="889"/>
      <c r="DM1357" s="890"/>
      <c r="DN1357" s="952"/>
      <c r="DO1357" s="75"/>
      <c r="DP1357" s="962"/>
      <c r="DQ1357" s="983"/>
      <c r="DV1357" s="889"/>
    </row>
    <row r="1358" spans="1:126" s="74" customFormat="1">
      <c r="A1358" s="15"/>
      <c r="B1358" s="15"/>
      <c r="C1358" s="15"/>
      <c r="D1358" s="15"/>
      <c r="E1358" s="6"/>
      <c r="F1358" s="6"/>
      <c r="G1358" s="6"/>
      <c r="K1358" s="222"/>
      <c r="V1358" s="1430"/>
      <c r="AA1358" s="223"/>
      <c r="AC1358" s="889"/>
      <c r="AF1358" s="890"/>
      <c r="AJ1358" s="889"/>
      <c r="AN1358" s="222"/>
      <c r="BC1358" s="223"/>
      <c r="BD1358" s="222"/>
      <c r="BH1358" s="611"/>
      <c r="BJ1358" s="15"/>
      <c r="BK1358" s="15"/>
      <c r="BO1358" s="223"/>
      <c r="BQ1358" s="889"/>
      <c r="BT1358" s="890"/>
      <c r="BX1358" s="889"/>
      <c r="CB1358" s="15"/>
      <c r="CC1358" s="697"/>
      <c r="CD1358" s="1086"/>
      <c r="CE1358" s="15"/>
      <c r="CF1358" s="15"/>
      <c r="CG1358" s="936"/>
      <c r="CH1358" s="15"/>
      <c r="CI1358" s="15"/>
      <c r="CJ1358" s="15"/>
      <c r="CK1358" s="1107"/>
      <c r="CL1358" s="22"/>
      <c r="CM1358" s="22"/>
      <c r="CN1358" s="1107"/>
      <c r="CR1358" s="223"/>
      <c r="CS1358" s="952"/>
      <c r="CT1358" s="1066"/>
      <c r="CU1358" s="972"/>
      <c r="CV1358" s="983"/>
      <c r="CW1358" s="222"/>
      <c r="CX1358" s="697"/>
      <c r="DC1358" s="222"/>
      <c r="DJ1358" s="889"/>
      <c r="DM1358" s="890"/>
      <c r="DN1358" s="952"/>
      <c r="DO1358" s="75"/>
      <c r="DP1358" s="962"/>
      <c r="DQ1358" s="983"/>
      <c r="DV1358" s="889"/>
    </row>
    <row r="1359" spans="1:126" s="74" customFormat="1">
      <c r="A1359" s="15"/>
      <c r="B1359" s="15"/>
      <c r="C1359" s="15"/>
      <c r="D1359" s="15"/>
      <c r="E1359" s="6"/>
      <c r="F1359" s="6"/>
      <c r="G1359" s="6"/>
      <c r="K1359" s="222"/>
      <c r="V1359" s="1430"/>
      <c r="AA1359" s="223"/>
      <c r="AC1359" s="889"/>
      <c r="AF1359" s="890"/>
      <c r="AJ1359" s="889"/>
      <c r="AN1359" s="222"/>
      <c r="BC1359" s="223"/>
      <c r="BD1359" s="222"/>
      <c r="BH1359" s="611"/>
      <c r="BJ1359" s="15"/>
      <c r="BK1359" s="15"/>
      <c r="BO1359" s="223"/>
      <c r="BQ1359" s="889"/>
      <c r="BT1359" s="890"/>
      <c r="BX1359" s="889"/>
      <c r="CB1359" s="15"/>
      <c r="CC1359" s="697"/>
      <c r="CD1359" s="1086"/>
      <c r="CE1359" s="15"/>
      <c r="CF1359" s="15"/>
      <c r="CG1359" s="936"/>
      <c r="CH1359" s="15"/>
      <c r="CI1359" s="15"/>
      <c r="CJ1359" s="15"/>
      <c r="CK1359" s="1107"/>
      <c r="CL1359" s="22"/>
      <c r="CM1359" s="22"/>
      <c r="CN1359" s="1107"/>
      <c r="CR1359" s="223"/>
      <c r="CS1359" s="952"/>
      <c r="CT1359" s="1066"/>
      <c r="CU1359" s="972"/>
      <c r="CV1359" s="983"/>
      <c r="CW1359" s="222"/>
      <c r="CX1359" s="697"/>
      <c r="DC1359" s="222"/>
      <c r="DJ1359" s="889"/>
      <c r="DM1359" s="890"/>
      <c r="DN1359" s="952"/>
      <c r="DO1359" s="75"/>
      <c r="DP1359" s="962"/>
      <c r="DQ1359" s="983"/>
      <c r="DV1359" s="889"/>
    </row>
    <row r="1360" spans="1:126" s="74" customFormat="1">
      <c r="A1360" s="15"/>
      <c r="B1360" s="15"/>
      <c r="C1360" s="15"/>
      <c r="D1360" s="15"/>
      <c r="E1360" s="6"/>
      <c r="F1360" s="6"/>
      <c r="G1360" s="6"/>
      <c r="K1360" s="222"/>
      <c r="V1360" s="1430"/>
      <c r="AA1360" s="223"/>
      <c r="AC1360" s="889"/>
      <c r="AF1360" s="890"/>
      <c r="AJ1360" s="889"/>
      <c r="AN1360" s="222"/>
      <c r="BC1360" s="223"/>
      <c r="BD1360" s="222"/>
      <c r="BH1360" s="611"/>
      <c r="BJ1360" s="15"/>
      <c r="BK1360" s="15"/>
      <c r="BO1360" s="223"/>
      <c r="BQ1360" s="889"/>
      <c r="BT1360" s="890"/>
      <c r="BX1360" s="889"/>
      <c r="CB1360" s="15"/>
      <c r="CC1360" s="697"/>
      <c r="CD1360" s="1086"/>
      <c r="CE1360" s="15"/>
      <c r="CF1360" s="15"/>
      <c r="CG1360" s="936"/>
      <c r="CH1360" s="15"/>
      <c r="CI1360" s="15"/>
      <c r="CJ1360" s="15"/>
      <c r="CK1360" s="1107"/>
      <c r="CL1360" s="22"/>
      <c r="CM1360" s="22"/>
      <c r="CN1360" s="1107"/>
      <c r="CR1360" s="223"/>
      <c r="CS1360" s="952"/>
      <c r="CT1360" s="1066"/>
      <c r="CU1360" s="972"/>
      <c r="CV1360" s="983"/>
      <c r="CW1360" s="222"/>
      <c r="CX1360" s="697"/>
      <c r="DC1360" s="222"/>
      <c r="DJ1360" s="889"/>
      <c r="DM1360" s="890"/>
      <c r="DN1360" s="952"/>
      <c r="DO1360" s="75"/>
      <c r="DP1360" s="962"/>
      <c r="DQ1360" s="983"/>
      <c r="DV1360" s="889"/>
    </row>
    <row r="1361" spans="1:126" s="74" customFormat="1">
      <c r="A1361" s="15"/>
      <c r="B1361" s="15"/>
      <c r="C1361" s="15"/>
      <c r="D1361" s="15"/>
      <c r="E1361" s="6"/>
      <c r="F1361" s="6"/>
      <c r="G1361" s="6"/>
      <c r="K1361" s="222"/>
      <c r="V1361" s="1430"/>
      <c r="AA1361" s="223"/>
      <c r="AC1361" s="889"/>
      <c r="AF1361" s="890"/>
      <c r="AJ1361" s="889"/>
      <c r="AN1361" s="222"/>
      <c r="BC1361" s="223"/>
      <c r="BD1361" s="222"/>
      <c r="BH1361" s="611"/>
      <c r="BJ1361" s="15"/>
      <c r="BK1361" s="15"/>
      <c r="BO1361" s="223"/>
      <c r="BQ1361" s="889"/>
      <c r="BT1361" s="890"/>
      <c r="BX1361" s="889"/>
      <c r="CB1361" s="15"/>
      <c r="CC1361" s="697"/>
      <c r="CD1361" s="1086"/>
      <c r="CE1361" s="15"/>
      <c r="CF1361" s="15"/>
      <c r="CG1361" s="936"/>
      <c r="CH1361" s="15"/>
      <c r="CI1361" s="15"/>
      <c r="CJ1361" s="15"/>
      <c r="CK1361" s="1107"/>
      <c r="CL1361" s="22"/>
      <c r="CM1361" s="22"/>
      <c r="CN1361" s="1107"/>
      <c r="CR1361" s="223"/>
      <c r="CS1361" s="952"/>
      <c r="CT1361" s="1066"/>
      <c r="CU1361" s="972"/>
      <c r="CV1361" s="983"/>
      <c r="CW1361" s="222"/>
      <c r="CX1361" s="697"/>
      <c r="DC1361" s="222"/>
      <c r="DJ1361" s="889"/>
      <c r="DM1361" s="890"/>
      <c r="DN1361" s="952"/>
      <c r="DO1361" s="75"/>
      <c r="DP1361" s="962"/>
      <c r="DQ1361" s="983"/>
      <c r="DV1361" s="889"/>
    </row>
    <row r="1362" spans="1:126" s="74" customFormat="1">
      <c r="A1362" s="15"/>
      <c r="B1362" s="15"/>
      <c r="C1362" s="15"/>
      <c r="D1362" s="15"/>
      <c r="E1362" s="6"/>
      <c r="F1362" s="6"/>
      <c r="G1362" s="6"/>
      <c r="K1362" s="222"/>
      <c r="V1362" s="1430"/>
      <c r="AA1362" s="223"/>
      <c r="AC1362" s="889"/>
      <c r="AF1362" s="890"/>
      <c r="AJ1362" s="889"/>
      <c r="AN1362" s="222"/>
      <c r="BC1362" s="223"/>
      <c r="BD1362" s="222"/>
      <c r="BH1362" s="611"/>
      <c r="BJ1362" s="15"/>
      <c r="BK1362" s="15"/>
      <c r="BO1362" s="223"/>
      <c r="BQ1362" s="889"/>
      <c r="BT1362" s="890"/>
      <c r="BX1362" s="889"/>
      <c r="CB1362" s="15"/>
      <c r="CC1362" s="697"/>
      <c r="CD1362" s="1086"/>
      <c r="CE1362" s="15"/>
      <c r="CF1362" s="15"/>
      <c r="CG1362" s="936"/>
      <c r="CH1362" s="15"/>
      <c r="CI1362" s="15"/>
      <c r="CJ1362" s="15"/>
      <c r="CK1362" s="1107"/>
      <c r="CL1362" s="22"/>
      <c r="CM1362" s="22"/>
      <c r="CN1362" s="1107"/>
      <c r="CR1362" s="223"/>
      <c r="CS1362" s="952"/>
      <c r="CT1362" s="1066"/>
      <c r="CU1362" s="972"/>
      <c r="CV1362" s="983"/>
      <c r="CW1362" s="222"/>
      <c r="CX1362" s="697"/>
      <c r="DC1362" s="222"/>
      <c r="DJ1362" s="889"/>
      <c r="DM1362" s="890"/>
      <c r="DN1362" s="952"/>
      <c r="DO1362" s="75"/>
      <c r="DP1362" s="962"/>
      <c r="DQ1362" s="983"/>
      <c r="DV1362" s="889"/>
    </row>
    <row r="1363" spans="1:126" s="74" customFormat="1">
      <c r="A1363" s="15"/>
      <c r="B1363" s="15"/>
      <c r="C1363" s="15"/>
      <c r="D1363" s="15"/>
      <c r="E1363" s="6"/>
      <c r="F1363" s="6"/>
      <c r="G1363" s="6"/>
      <c r="K1363" s="222"/>
      <c r="V1363" s="1430"/>
      <c r="AA1363" s="223"/>
      <c r="AC1363" s="889"/>
      <c r="AF1363" s="890"/>
      <c r="AJ1363" s="889"/>
      <c r="AN1363" s="222"/>
      <c r="BC1363" s="223"/>
      <c r="BD1363" s="222"/>
      <c r="BH1363" s="611"/>
      <c r="BJ1363" s="15"/>
      <c r="BK1363" s="15"/>
      <c r="BO1363" s="223"/>
      <c r="BQ1363" s="889"/>
      <c r="BT1363" s="890"/>
      <c r="BX1363" s="889"/>
      <c r="CB1363" s="15"/>
      <c r="CC1363" s="697"/>
      <c r="CD1363" s="1086"/>
      <c r="CE1363" s="15"/>
      <c r="CF1363" s="15"/>
      <c r="CG1363" s="936"/>
      <c r="CH1363" s="15"/>
      <c r="CI1363" s="15"/>
      <c r="CJ1363" s="15"/>
      <c r="CK1363" s="1107"/>
      <c r="CL1363" s="22"/>
      <c r="CM1363" s="22"/>
      <c r="CN1363" s="1107"/>
      <c r="CR1363" s="223"/>
      <c r="CS1363" s="952"/>
      <c r="CT1363" s="1066"/>
      <c r="CU1363" s="972"/>
      <c r="CV1363" s="983"/>
      <c r="CW1363" s="222"/>
      <c r="CX1363" s="697"/>
      <c r="DC1363" s="222"/>
      <c r="DJ1363" s="889"/>
      <c r="DM1363" s="890"/>
      <c r="DN1363" s="952"/>
      <c r="DO1363" s="75"/>
      <c r="DP1363" s="962"/>
      <c r="DQ1363" s="983"/>
      <c r="DV1363" s="889"/>
    </row>
    <row r="1364" spans="1:126" s="74" customFormat="1">
      <c r="A1364" s="15"/>
      <c r="B1364" s="15"/>
      <c r="C1364" s="15"/>
      <c r="D1364" s="15"/>
      <c r="E1364" s="6"/>
      <c r="F1364" s="6"/>
      <c r="G1364" s="6"/>
      <c r="K1364" s="222"/>
      <c r="V1364" s="1430"/>
      <c r="AA1364" s="223"/>
      <c r="AC1364" s="889"/>
      <c r="AF1364" s="890"/>
      <c r="AJ1364" s="889"/>
      <c r="AN1364" s="222"/>
      <c r="BC1364" s="223"/>
      <c r="BD1364" s="222"/>
      <c r="BH1364" s="611"/>
      <c r="BJ1364" s="15"/>
      <c r="BK1364" s="15"/>
      <c r="BO1364" s="223"/>
      <c r="BQ1364" s="889"/>
      <c r="BT1364" s="890"/>
      <c r="BX1364" s="889"/>
      <c r="CB1364" s="15"/>
      <c r="CC1364" s="697"/>
      <c r="CD1364" s="1086"/>
      <c r="CE1364" s="15"/>
      <c r="CF1364" s="15"/>
      <c r="CG1364" s="936"/>
      <c r="CH1364" s="15"/>
      <c r="CI1364" s="15"/>
      <c r="CJ1364" s="15"/>
      <c r="CK1364" s="1107"/>
      <c r="CL1364" s="22"/>
      <c r="CM1364" s="22"/>
      <c r="CN1364" s="1107"/>
      <c r="CR1364" s="223"/>
      <c r="CS1364" s="952"/>
      <c r="CT1364" s="1066"/>
      <c r="CU1364" s="972"/>
      <c r="CV1364" s="983"/>
      <c r="CW1364" s="222"/>
      <c r="CX1364" s="697"/>
      <c r="DC1364" s="222"/>
      <c r="DJ1364" s="889"/>
      <c r="DM1364" s="890"/>
      <c r="DN1364" s="952"/>
      <c r="DO1364" s="75"/>
      <c r="DP1364" s="962"/>
      <c r="DQ1364" s="983"/>
      <c r="DV1364" s="889"/>
    </row>
    <row r="1365" spans="1:126" s="74" customFormat="1">
      <c r="A1365" s="15"/>
      <c r="B1365" s="15"/>
      <c r="C1365" s="15"/>
      <c r="D1365" s="15"/>
      <c r="E1365" s="6"/>
      <c r="F1365" s="6"/>
      <c r="G1365" s="6"/>
      <c r="K1365" s="222"/>
      <c r="V1365" s="1430"/>
      <c r="AA1365" s="223"/>
      <c r="AC1365" s="889"/>
      <c r="AF1365" s="890"/>
      <c r="AJ1365" s="889"/>
      <c r="AN1365" s="222"/>
      <c r="BC1365" s="223"/>
      <c r="BD1365" s="222"/>
      <c r="BH1365" s="611"/>
      <c r="BJ1365" s="15"/>
      <c r="BK1365" s="15"/>
      <c r="BO1365" s="223"/>
      <c r="BQ1365" s="889"/>
      <c r="BT1365" s="890"/>
      <c r="BX1365" s="889"/>
      <c r="CB1365" s="15"/>
      <c r="CC1365" s="697"/>
      <c r="CD1365" s="1086"/>
      <c r="CE1365" s="15"/>
      <c r="CF1365" s="15"/>
      <c r="CG1365" s="936"/>
      <c r="CH1365" s="15"/>
      <c r="CI1365" s="15"/>
      <c r="CJ1365" s="15"/>
      <c r="CK1365" s="1107"/>
      <c r="CL1365" s="22"/>
      <c r="CM1365" s="22"/>
      <c r="CN1365" s="1107"/>
      <c r="CR1365" s="223"/>
      <c r="CS1365" s="952"/>
      <c r="CT1365" s="1066"/>
      <c r="CU1365" s="972"/>
      <c r="CV1365" s="983"/>
      <c r="CW1365" s="222"/>
      <c r="CX1365" s="697"/>
      <c r="DC1365" s="222"/>
      <c r="DJ1365" s="889"/>
      <c r="DM1365" s="890"/>
      <c r="DN1365" s="952"/>
      <c r="DO1365" s="75"/>
      <c r="DP1365" s="962"/>
      <c r="DQ1365" s="983"/>
      <c r="DV1365" s="889"/>
    </row>
    <row r="1366" spans="1:126" s="74" customFormat="1">
      <c r="A1366" s="15"/>
      <c r="B1366" s="15"/>
      <c r="C1366" s="15"/>
      <c r="D1366" s="15"/>
      <c r="E1366" s="6"/>
      <c r="F1366" s="6"/>
      <c r="G1366" s="6"/>
      <c r="K1366" s="222"/>
      <c r="V1366" s="1430"/>
      <c r="AA1366" s="223"/>
      <c r="AC1366" s="889"/>
      <c r="AF1366" s="890"/>
      <c r="AJ1366" s="889"/>
      <c r="AN1366" s="222"/>
      <c r="BC1366" s="223"/>
      <c r="BD1366" s="222"/>
      <c r="BH1366" s="611"/>
      <c r="BJ1366" s="15"/>
      <c r="BK1366" s="15"/>
      <c r="BO1366" s="223"/>
      <c r="BQ1366" s="889"/>
      <c r="BT1366" s="890"/>
      <c r="BX1366" s="889"/>
      <c r="CB1366" s="15"/>
      <c r="CC1366" s="697"/>
      <c r="CD1366" s="1086"/>
      <c r="CE1366" s="15"/>
      <c r="CF1366" s="15"/>
      <c r="CG1366" s="936"/>
      <c r="CH1366" s="15"/>
      <c r="CI1366" s="15"/>
      <c r="CJ1366" s="15"/>
      <c r="CK1366" s="1107"/>
      <c r="CL1366" s="22"/>
      <c r="CM1366" s="22"/>
      <c r="CN1366" s="1107"/>
      <c r="CR1366" s="223"/>
      <c r="CS1366" s="952"/>
      <c r="CT1366" s="1066"/>
      <c r="CU1366" s="972"/>
      <c r="CV1366" s="983"/>
      <c r="CW1366" s="222"/>
      <c r="CX1366" s="697"/>
      <c r="DC1366" s="222"/>
      <c r="DJ1366" s="889"/>
      <c r="DM1366" s="890"/>
      <c r="DN1366" s="952"/>
      <c r="DO1366" s="75"/>
      <c r="DP1366" s="962"/>
      <c r="DQ1366" s="983"/>
      <c r="DV1366" s="889"/>
    </row>
    <row r="1367" spans="1:126" s="74" customFormat="1">
      <c r="A1367" s="15"/>
      <c r="B1367" s="15"/>
      <c r="C1367" s="15"/>
      <c r="D1367" s="15"/>
      <c r="E1367" s="6"/>
      <c r="F1367" s="6"/>
      <c r="G1367" s="6"/>
      <c r="K1367" s="222"/>
      <c r="V1367" s="1430"/>
      <c r="AA1367" s="223"/>
      <c r="AC1367" s="889"/>
      <c r="AF1367" s="890"/>
      <c r="AJ1367" s="889"/>
      <c r="AN1367" s="222"/>
      <c r="BC1367" s="223"/>
      <c r="BD1367" s="222"/>
      <c r="BH1367" s="611"/>
      <c r="BJ1367" s="15"/>
      <c r="BK1367" s="15"/>
      <c r="BO1367" s="223"/>
      <c r="BQ1367" s="889"/>
      <c r="BT1367" s="890"/>
      <c r="BX1367" s="889"/>
      <c r="CB1367" s="15"/>
      <c r="CC1367" s="697"/>
      <c r="CD1367" s="1086"/>
      <c r="CE1367" s="15"/>
      <c r="CF1367" s="15"/>
      <c r="CG1367" s="936"/>
      <c r="CH1367" s="15"/>
      <c r="CI1367" s="15"/>
      <c r="CJ1367" s="15"/>
      <c r="CK1367" s="1107"/>
      <c r="CL1367" s="22"/>
      <c r="CM1367" s="22"/>
      <c r="CN1367" s="1107"/>
      <c r="CR1367" s="223"/>
      <c r="CS1367" s="952"/>
      <c r="CT1367" s="1066"/>
      <c r="CU1367" s="972"/>
      <c r="CV1367" s="983"/>
      <c r="CW1367" s="222"/>
      <c r="CX1367" s="697"/>
      <c r="DC1367" s="222"/>
      <c r="DJ1367" s="889"/>
      <c r="DM1367" s="890"/>
      <c r="DN1367" s="952"/>
      <c r="DO1367" s="75"/>
      <c r="DP1367" s="962"/>
      <c r="DQ1367" s="983"/>
      <c r="DV1367" s="889"/>
    </row>
    <row r="1368" spans="1:126" s="74" customFormat="1">
      <c r="A1368" s="15"/>
      <c r="B1368" s="15"/>
      <c r="C1368" s="15"/>
      <c r="D1368" s="15"/>
      <c r="E1368" s="6"/>
      <c r="F1368" s="6"/>
      <c r="G1368" s="6"/>
      <c r="K1368" s="222"/>
      <c r="V1368" s="1430"/>
      <c r="AA1368" s="223"/>
      <c r="AC1368" s="889"/>
      <c r="AF1368" s="890"/>
      <c r="AJ1368" s="889"/>
      <c r="AN1368" s="222"/>
      <c r="BC1368" s="223"/>
      <c r="BD1368" s="222"/>
      <c r="BH1368" s="611"/>
      <c r="BJ1368" s="15"/>
      <c r="BK1368" s="15"/>
      <c r="BO1368" s="223"/>
      <c r="BQ1368" s="889"/>
      <c r="BT1368" s="890"/>
      <c r="BX1368" s="889"/>
      <c r="CB1368" s="15"/>
      <c r="CC1368" s="697"/>
      <c r="CD1368" s="1086"/>
      <c r="CE1368" s="15"/>
      <c r="CF1368" s="15"/>
      <c r="CG1368" s="936"/>
      <c r="CH1368" s="15"/>
      <c r="CI1368" s="15"/>
      <c r="CJ1368" s="15"/>
      <c r="CK1368" s="1107"/>
      <c r="CL1368" s="22"/>
      <c r="CM1368" s="22"/>
      <c r="CN1368" s="1107"/>
      <c r="CR1368" s="223"/>
      <c r="CS1368" s="952"/>
      <c r="CT1368" s="1066"/>
      <c r="CU1368" s="972"/>
      <c r="CV1368" s="983"/>
      <c r="CW1368" s="222"/>
      <c r="CX1368" s="697"/>
      <c r="DC1368" s="222"/>
      <c r="DJ1368" s="889"/>
      <c r="DM1368" s="890"/>
      <c r="DN1368" s="952"/>
      <c r="DO1368" s="75"/>
      <c r="DP1368" s="962"/>
      <c r="DQ1368" s="983"/>
      <c r="DV1368" s="889"/>
    </row>
    <row r="1369" spans="1:126" s="74" customFormat="1">
      <c r="A1369" s="15"/>
      <c r="B1369" s="15"/>
      <c r="C1369" s="15"/>
      <c r="D1369" s="15"/>
      <c r="E1369" s="6"/>
      <c r="F1369" s="6"/>
      <c r="G1369" s="6"/>
      <c r="K1369" s="222"/>
      <c r="V1369" s="1430"/>
      <c r="AA1369" s="223"/>
      <c r="AC1369" s="889"/>
      <c r="AF1369" s="890"/>
      <c r="AJ1369" s="889"/>
      <c r="AN1369" s="222"/>
      <c r="BC1369" s="223"/>
      <c r="BD1369" s="222"/>
      <c r="BH1369" s="611"/>
      <c r="BJ1369" s="15"/>
      <c r="BK1369" s="15"/>
      <c r="BO1369" s="223"/>
      <c r="BQ1369" s="889"/>
      <c r="BT1369" s="890"/>
      <c r="BX1369" s="889"/>
      <c r="CB1369" s="15"/>
      <c r="CC1369" s="697"/>
      <c r="CD1369" s="1086"/>
      <c r="CE1369" s="15"/>
      <c r="CF1369" s="15"/>
      <c r="CG1369" s="936"/>
      <c r="CH1369" s="15"/>
      <c r="CI1369" s="15"/>
      <c r="CJ1369" s="15"/>
      <c r="CK1369" s="1107"/>
      <c r="CL1369" s="22"/>
      <c r="CM1369" s="22"/>
      <c r="CN1369" s="1107"/>
      <c r="CR1369" s="223"/>
      <c r="CS1369" s="952"/>
      <c r="CT1369" s="1066"/>
      <c r="CU1369" s="972"/>
      <c r="CV1369" s="983"/>
      <c r="CW1369" s="222"/>
      <c r="CX1369" s="697"/>
      <c r="DC1369" s="222"/>
      <c r="DJ1369" s="889"/>
      <c r="DM1369" s="890"/>
      <c r="DN1369" s="952"/>
      <c r="DO1369" s="75"/>
      <c r="DP1369" s="962"/>
      <c r="DQ1369" s="983"/>
      <c r="DV1369" s="889"/>
    </row>
    <row r="1370" spans="1:126" s="74" customFormat="1">
      <c r="A1370" s="15"/>
      <c r="B1370" s="15"/>
      <c r="C1370" s="15"/>
      <c r="D1370" s="15"/>
      <c r="E1370" s="6"/>
      <c r="F1370" s="6"/>
      <c r="G1370" s="6"/>
      <c r="K1370" s="222"/>
      <c r="V1370" s="1430"/>
      <c r="AA1370" s="223"/>
      <c r="AC1370" s="889"/>
      <c r="AF1370" s="890"/>
      <c r="AJ1370" s="889"/>
      <c r="AN1370" s="222"/>
      <c r="BC1370" s="223"/>
      <c r="BD1370" s="222"/>
      <c r="BH1370" s="611"/>
      <c r="BJ1370" s="15"/>
      <c r="BK1370" s="15"/>
      <c r="BO1370" s="223"/>
      <c r="BQ1370" s="889"/>
      <c r="BT1370" s="890"/>
      <c r="BX1370" s="889"/>
      <c r="CB1370" s="15"/>
      <c r="CC1370" s="697"/>
      <c r="CD1370" s="1086"/>
      <c r="CE1370" s="15"/>
      <c r="CF1370" s="15"/>
      <c r="CG1370" s="936"/>
      <c r="CH1370" s="15"/>
      <c r="CI1370" s="15"/>
      <c r="CJ1370" s="15"/>
      <c r="CK1370" s="1107"/>
      <c r="CL1370" s="22"/>
      <c r="CM1370" s="22"/>
      <c r="CN1370" s="1107"/>
      <c r="CR1370" s="223"/>
      <c r="CS1370" s="952"/>
      <c r="CT1370" s="1066"/>
      <c r="CU1370" s="972"/>
      <c r="CV1370" s="983"/>
      <c r="CW1370" s="222"/>
      <c r="CX1370" s="697"/>
      <c r="DC1370" s="222"/>
      <c r="DJ1370" s="889"/>
      <c r="DM1370" s="890"/>
      <c r="DN1370" s="952"/>
      <c r="DO1370" s="75"/>
      <c r="DP1370" s="962"/>
      <c r="DQ1370" s="983"/>
      <c r="DV1370" s="889"/>
    </row>
    <row r="1371" spans="1:126" s="74" customFormat="1">
      <c r="A1371" s="15"/>
      <c r="B1371" s="15"/>
      <c r="C1371" s="15"/>
      <c r="D1371" s="15"/>
      <c r="E1371" s="6"/>
      <c r="F1371" s="6"/>
      <c r="G1371" s="6"/>
      <c r="K1371" s="222"/>
      <c r="V1371" s="1430"/>
      <c r="AA1371" s="223"/>
      <c r="AC1371" s="889"/>
      <c r="AF1371" s="890"/>
      <c r="AJ1371" s="889"/>
      <c r="AN1371" s="222"/>
      <c r="BC1371" s="223"/>
      <c r="BD1371" s="222"/>
      <c r="BH1371" s="611"/>
      <c r="BJ1371" s="15"/>
      <c r="BK1371" s="15"/>
      <c r="BO1371" s="223"/>
      <c r="BQ1371" s="889"/>
      <c r="BT1371" s="890"/>
      <c r="BX1371" s="889"/>
      <c r="CB1371" s="15"/>
      <c r="CC1371" s="697"/>
      <c r="CD1371" s="1086"/>
      <c r="CE1371" s="15"/>
      <c r="CF1371" s="15"/>
      <c r="CG1371" s="936"/>
      <c r="CH1371" s="15"/>
      <c r="CI1371" s="15"/>
      <c r="CJ1371" s="15"/>
      <c r="CK1371" s="1107"/>
      <c r="CL1371" s="22"/>
      <c r="CM1371" s="22"/>
      <c r="CN1371" s="1107"/>
      <c r="CR1371" s="223"/>
      <c r="CS1371" s="952"/>
      <c r="CT1371" s="1066"/>
      <c r="CU1371" s="972"/>
      <c r="CV1371" s="983"/>
      <c r="CW1371" s="222"/>
      <c r="CX1371" s="697"/>
      <c r="DC1371" s="222"/>
      <c r="DJ1371" s="889"/>
      <c r="DM1371" s="890"/>
      <c r="DN1371" s="952"/>
      <c r="DO1371" s="75"/>
      <c r="DP1371" s="962"/>
      <c r="DQ1371" s="983"/>
      <c r="DV1371" s="889"/>
    </row>
    <row r="1372" spans="1:126" s="74" customFormat="1">
      <c r="A1372" s="15"/>
      <c r="B1372" s="15"/>
      <c r="C1372" s="15"/>
      <c r="D1372" s="15"/>
      <c r="E1372" s="6"/>
      <c r="F1372" s="6"/>
      <c r="G1372" s="6"/>
      <c r="K1372" s="222"/>
      <c r="V1372" s="1430"/>
      <c r="AA1372" s="223"/>
      <c r="AC1372" s="889"/>
      <c r="AF1372" s="890"/>
      <c r="AJ1372" s="889"/>
      <c r="AN1372" s="222"/>
      <c r="BC1372" s="223"/>
      <c r="BD1372" s="222"/>
      <c r="BH1372" s="611"/>
      <c r="BJ1372" s="15"/>
      <c r="BK1372" s="15"/>
      <c r="BO1372" s="223"/>
      <c r="BQ1372" s="889"/>
      <c r="BT1372" s="890"/>
      <c r="BX1372" s="889"/>
      <c r="CB1372" s="15"/>
      <c r="CC1372" s="697"/>
      <c r="CD1372" s="1086"/>
      <c r="CE1372" s="15"/>
      <c r="CF1372" s="15"/>
      <c r="CG1372" s="936"/>
      <c r="CH1372" s="15"/>
      <c r="CI1372" s="15"/>
      <c r="CJ1372" s="15"/>
      <c r="CK1372" s="1107"/>
      <c r="CL1372" s="22"/>
      <c r="CM1372" s="22"/>
      <c r="CN1372" s="1107"/>
      <c r="CR1372" s="223"/>
      <c r="CS1372" s="952"/>
      <c r="CT1372" s="1066"/>
      <c r="CU1372" s="972"/>
      <c r="CV1372" s="983"/>
      <c r="CW1372" s="222"/>
      <c r="CX1372" s="697"/>
      <c r="DC1372" s="222"/>
      <c r="DJ1372" s="889"/>
      <c r="DM1372" s="890"/>
      <c r="DN1372" s="952"/>
      <c r="DO1372" s="75"/>
      <c r="DP1372" s="962"/>
      <c r="DQ1372" s="983"/>
      <c r="DV1372" s="889"/>
    </row>
    <row r="1373" spans="1:126" s="74" customFormat="1">
      <c r="A1373" s="15"/>
      <c r="B1373" s="15"/>
      <c r="C1373" s="15"/>
      <c r="D1373" s="15"/>
      <c r="E1373" s="6"/>
      <c r="F1373" s="6"/>
      <c r="G1373" s="6"/>
      <c r="K1373" s="222"/>
      <c r="V1373" s="1430"/>
      <c r="AA1373" s="223"/>
      <c r="AC1373" s="889"/>
      <c r="AF1373" s="890"/>
      <c r="AJ1373" s="889"/>
      <c r="AN1373" s="222"/>
      <c r="BC1373" s="223"/>
      <c r="BD1373" s="222"/>
      <c r="BH1373" s="611"/>
      <c r="BJ1373" s="15"/>
      <c r="BK1373" s="15"/>
      <c r="BO1373" s="223"/>
      <c r="BQ1373" s="889"/>
      <c r="BT1373" s="890"/>
      <c r="BX1373" s="889"/>
      <c r="CB1373" s="15"/>
      <c r="CC1373" s="697"/>
      <c r="CD1373" s="1086"/>
      <c r="CE1373" s="15"/>
      <c r="CF1373" s="15"/>
      <c r="CG1373" s="936"/>
      <c r="CH1373" s="15"/>
      <c r="CI1373" s="15"/>
      <c r="CJ1373" s="15"/>
      <c r="CK1373" s="1107"/>
      <c r="CL1373" s="22"/>
      <c r="CM1373" s="22"/>
      <c r="CN1373" s="1107"/>
      <c r="CR1373" s="223"/>
      <c r="CS1373" s="952"/>
      <c r="CT1373" s="1066"/>
      <c r="CU1373" s="972"/>
      <c r="CV1373" s="983"/>
      <c r="CW1373" s="222"/>
      <c r="CX1373" s="697"/>
      <c r="DC1373" s="222"/>
      <c r="DJ1373" s="889"/>
      <c r="DM1373" s="890"/>
      <c r="DN1373" s="952"/>
      <c r="DO1373" s="75"/>
      <c r="DP1373" s="962"/>
      <c r="DQ1373" s="983"/>
      <c r="DV1373" s="889"/>
    </row>
    <row r="1374" spans="1:126" s="74" customFormat="1">
      <c r="A1374" s="15"/>
      <c r="B1374" s="15"/>
      <c r="C1374" s="15"/>
      <c r="D1374" s="15"/>
      <c r="E1374" s="6"/>
      <c r="F1374" s="6"/>
      <c r="G1374" s="6"/>
      <c r="K1374" s="222"/>
      <c r="V1374" s="1430"/>
      <c r="AA1374" s="223"/>
      <c r="AC1374" s="889"/>
      <c r="AF1374" s="890"/>
      <c r="AJ1374" s="889"/>
      <c r="AN1374" s="222"/>
      <c r="BC1374" s="223"/>
      <c r="BD1374" s="222"/>
      <c r="BH1374" s="611"/>
      <c r="BJ1374" s="15"/>
      <c r="BK1374" s="15"/>
      <c r="BO1374" s="223"/>
      <c r="BQ1374" s="889"/>
      <c r="BT1374" s="890"/>
      <c r="BX1374" s="889"/>
      <c r="CB1374" s="15"/>
      <c r="CC1374" s="697"/>
      <c r="CD1374" s="1086"/>
      <c r="CE1374" s="15"/>
      <c r="CF1374" s="15"/>
      <c r="CG1374" s="936"/>
      <c r="CH1374" s="15"/>
      <c r="CI1374" s="15"/>
      <c r="CJ1374" s="15"/>
      <c r="CK1374" s="1107"/>
      <c r="CL1374" s="22"/>
      <c r="CM1374" s="22"/>
      <c r="CN1374" s="1107"/>
      <c r="CR1374" s="223"/>
      <c r="CS1374" s="952"/>
      <c r="CT1374" s="1066"/>
      <c r="CU1374" s="972"/>
      <c r="CV1374" s="983"/>
      <c r="CW1374" s="222"/>
      <c r="CX1374" s="697"/>
      <c r="DC1374" s="222"/>
      <c r="DJ1374" s="889"/>
      <c r="DM1374" s="890"/>
      <c r="DN1374" s="952"/>
      <c r="DO1374" s="75"/>
      <c r="DP1374" s="962"/>
      <c r="DQ1374" s="983"/>
      <c r="DV1374" s="889"/>
    </row>
    <row r="1375" spans="1:126" s="74" customFormat="1">
      <c r="A1375" s="15"/>
      <c r="B1375" s="15"/>
      <c r="C1375" s="15"/>
      <c r="D1375" s="15"/>
      <c r="E1375" s="6"/>
      <c r="F1375" s="6"/>
      <c r="G1375" s="6"/>
      <c r="K1375" s="222"/>
      <c r="V1375" s="1430"/>
      <c r="AA1375" s="223"/>
      <c r="AC1375" s="889"/>
      <c r="AF1375" s="890"/>
      <c r="AJ1375" s="889"/>
      <c r="AN1375" s="222"/>
      <c r="BC1375" s="223"/>
      <c r="BD1375" s="222"/>
      <c r="BH1375" s="611"/>
      <c r="BJ1375" s="15"/>
      <c r="BK1375" s="15"/>
      <c r="BO1375" s="223"/>
      <c r="BQ1375" s="889"/>
      <c r="BT1375" s="890"/>
      <c r="BX1375" s="889"/>
      <c r="CB1375" s="15"/>
      <c r="CC1375" s="697"/>
      <c r="CD1375" s="1086"/>
      <c r="CE1375" s="15"/>
      <c r="CF1375" s="15"/>
      <c r="CG1375" s="936"/>
      <c r="CH1375" s="15"/>
      <c r="CI1375" s="15"/>
      <c r="CJ1375" s="15"/>
      <c r="CK1375" s="1107"/>
      <c r="CL1375" s="22"/>
      <c r="CM1375" s="22"/>
      <c r="CN1375" s="1107"/>
      <c r="CR1375" s="223"/>
      <c r="CS1375" s="952"/>
      <c r="CT1375" s="1066"/>
      <c r="CU1375" s="972"/>
      <c r="CV1375" s="983"/>
      <c r="CW1375" s="222"/>
      <c r="CX1375" s="697"/>
      <c r="DC1375" s="222"/>
      <c r="DJ1375" s="889"/>
      <c r="DM1375" s="890"/>
      <c r="DN1375" s="952"/>
      <c r="DO1375" s="75"/>
      <c r="DP1375" s="962"/>
      <c r="DQ1375" s="983"/>
      <c r="DV1375" s="889"/>
    </row>
    <row r="1376" spans="1:126" s="74" customFormat="1">
      <c r="A1376" s="15"/>
      <c r="B1376" s="15"/>
      <c r="C1376" s="15"/>
      <c r="D1376" s="15"/>
      <c r="E1376" s="6"/>
      <c r="F1376" s="6"/>
      <c r="G1376" s="6"/>
      <c r="K1376" s="222"/>
      <c r="V1376" s="1430"/>
      <c r="AA1376" s="223"/>
      <c r="AC1376" s="889"/>
      <c r="AF1376" s="890"/>
      <c r="AJ1376" s="889"/>
      <c r="AN1376" s="222"/>
      <c r="BC1376" s="223"/>
      <c r="BD1376" s="222"/>
      <c r="BH1376" s="611"/>
      <c r="BJ1376" s="15"/>
      <c r="BK1376" s="15"/>
      <c r="BO1376" s="223"/>
      <c r="BQ1376" s="889"/>
      <c r="BT1376" s="890"/>
      <c r="BX1376" s="889"/>
      <c r="CB1376" s="15"/>
      <c r="CC1376" s="697"/>
      <c r="CD1376" s="1086"/>
      <c r="CE1376" s="15"/>
      <c r="CF1376" s="15"/>
      <c r="CG1376" s="936"/>
      <c r="CH1376" s="15"/>
      <c r="CI1376" s="15"/>
      <c r="CJ1376" s="15"/>
      <c r="CK1376" s="1107"/>
      <c r="CL1376" s="22"/>
      <c r="CM1376" s="22"/>
      <c r="CN1376" s="1107"/>
      <c r="CR1376" s="223"/>
      <c r="CS1376" s="952"/>
      <c r="CT1376" s="1066"/>
      <c r="CU1376" s="972"/>
      <c r="CV1376" s="983"/>
      <c r="CW1376" s="222"/>
      <c r="CX1376" s="697"/>
      <c r="DC1376" s="222"/>
      <c r="DJ1376" s="889"/>
      <c r="DM1376" s="890"/>
      <c r="DN1376" s="952"/>
      <c r="DO1376" s="75"/>
      <c r="DP1376" s="962"/>
      <c r="DQ1376" s="983"/>
      <c r="DV1376" s="889"/>
    </row>
    <row r="1377" spans="1:126" s="74" customFormat="1">
      <c r="A1377" s="15"/>
      <c r="B1377" s="15"/>
      <c r="C1377" s="15"/>
      <c r="D1377" s="15"/>
      <c r="E1377" s="6"/>
      <c r="F1377" s="6"/>
      <c r="G1377" s="6"/>
      <c r="K1377" s="222"/>
      <c r="V1377" s="1430"/>
      <c r="AA1377" s="223"/>
      <c r="AC1377" s="889"/>
      <c r="AF1377" s="890"/>
      <c r="AJ1377" s="889"/>
      <c r="AN1377" s="222"/>
      <c r="BC1377" s="223"/>
      <c r="BD1377" s="222"/>
      <c r="BH1377" s="611"/>
      <c r="BJ1377" s="15"/>
      <c r="BK1377" s="15"/>
      <c r="BO1377" s="223"/>
      <c r="BQ1377" s="889"/>
      <c r="BT1377" s="890"/>
      <c r="BX1377" s="889"/>
      <c r="CB1377" s="15"/>
      <c r="CC1377" s="697"/>
      <c r="CD1377" s="1086"/>
      <c r="CE1377" s="15"/>
      <c r="CF1377" s="15"/>
      <c r="CG1377" s="936"/>
      <c r="CH1377" s="15"/>
      <c r="CI1377" s="15"/>
      <c r="CJ1377" s="15"/>
      <c r="CK1377" s="1107"/>
      <c r="CL1377" s="22"/>
      <c r="CM1377" s="22"/>
      <c r="CN1377" s="1107"/>
      <c r="CR1377" s="223"/>
      <c r="CS1377" s="952"/>
      <c r="CT1377" s="1066"/>
      <c r="CU1377" s="972"/>
      <c r="CV1377" s="983"/>
      <c r="CW1377" s="222"/>
      <c r="CX1377" s="697"/>
      <c r="DC1377" s="222"/>
      <c r="DJ1377" s="889"/>
      <c r="DM1377" s="890"/>
      <c r="DN1377" s="952"/>
      <c r="DO1377" s="75"/>
      <c r="DP1377" s="962"/>
      <c r="DQ1377" s="983"/>
      <c r="DV1377" s="889"/>
    </row>
    <row r="1378" spans="1:126" s="74" customFormat="1">
      <c r="A1378" s="15"/>
      <c r="B1378" s="15"/>
      <c r="C1378" s="15"/>
      <c r="D1378" s="15"/>
      <c r="E1378" s="6"/>
      <c r="F1378" s="6"/>
      <c r="G1378" s="6"/>
      <c r="K1378" s="222"/>
      <c r="V1378" s="1430"/>
      <c r="AA1378" s="223"/>
      <c r="AC1378" s="889"/>
      <c r="AF1378" s="890"/>
      <c r="AJ1378" s="889"/>
      <c r="AN1378" s="222"/>
      <c r="BC1378" s="223"/>
      <c r="BD1378" s="222"/>
      <c r="BH1378" s="611"/>
      <c r="BJ1378" s="15"/>
      <c r="BK1378" s="15"/>
      <c r="BO1378" s="223"/>
      <c r="BQ1378" s="889"/>
      <c r="BT1378" s="890"/>
      <c r="BX1378" s="889"/>
      <c r="CB1378" s="15"/>
      <c r="CC1378" s="697"/>
      <c r="CD1378" s="1086"/>
      <c r="CE1378" s="15"/>
      <c r="CF1378" s="15"/>
      <c r="CG1378" s="936"/>
      <c r="CH1378" s="15"/>
      <c r="CI1378" s="15"/>
      <c r="CJ1378" s="15"/>
      <c r="CK1378" s="1107"/>
      <c r="CL1378" s="22"/>
      <c r="CM1378" s="22"/>
      <c r="CN1378" s="1107"/>
      <c r="CR1378" s="223"/>
      <c r="CS1378" s="952"/>
      <c r="CT1378" s="1066"/>
      <c r="CU1378" s="972"/>
      <c r="CV1378" s="983"/>
      <c r="CW1378" s="222"/>
      <c r="CX1378" s="697"/>
      <c r="DC1378" s="222"/>
      <c r="DJ1378" s="889"/>
      <c r="DM1378" s="890"/>
      <c r="DN1378" s="952"/>
      <c r="DO1378" s="75"/>
      <c r="DP1378" s="962"/>
      <c r="DQ1378" s="983"/>
      <c r="DV1378" s="889"/>
    </row>
    <row r="1379" spans="1:126" s="74" customFormat="1">
      <c r="A1379" s="15"/>
      <c r="B1379" s="15"/>
      <c r="C1379" s="15"/>
      <c r="D1379" s="15"/>
      <c r="E1379" s="6"/>
      <c r="F1379" s="6"/>
      <c r="G1379" s="6"/>
      <c r="K1379" s="222"/>
      <c r="V1379" s="1430"/>
      <c r="AA1379" s="223"/>
      <c r="AC1379" s="889"/>
      <c r="AF1379" s="890"/>
      <c r="AJ1379" s="889"/>
      <c r="AN1379" s="222"/>
      <c r="BC1379" s="223"/>
      <c r="BD1379" s="222"/>
      <c r="BH1379" s="611"/>
      <c r="BJ1379" s="15"/>
      <c r="BK1379" s="15"/>
      <c r="BO1379" s="223"/>
      <c r="BQ1379" s="889"/>
      <c r="BT1379" s="890"/>
      <c r="BX1379" s="889"/>
      <c r="CB1379" s="15"/>
      <c r="CC1379" s="697"/>
      <c r="CD1379" s="1086"/>
      <c r="CE1379" s="15"/>
      <c r="CF1379" s="15"/>
      <c r="CG1379" s="936"/>
      <c r="CH1379" s="15"/>
      <c r="CI1379" s="15"/>
      <c r="CJ1379" s="15"/>
      <c r="CK1379" s="1107"/>
      <c r="CL1379" s="22"/>
      <c r="CM1379" s="22"/>
      <c r="CN1379" s="1107"/>
      <c r="CR1379" s="223"/>
      <c r="CS1379" s="952"/>
      <c r="CT1379" s="1066"/>
      <c r="CU1379" s="972"/>
      <c r="CV1379" s="983"/>
      <c r="CW1379" s="222"/>
      <c r="CX1379" s="697"/>
      <c r="DC1379" s="222"/>
      <c r="DJ1379" s="889"/>
      <c r="DM1379" s="890"/>
      <c r="DN1379" s="952"/>
      <c r="DO1379" s="75"/>
      <c r="DP1379" s="962"/>
      <c r="DQ1379" s="983"/>
      <c r="DV1379" s="889"/>
    </row>
    <row r="1380" spans="1:126" s="74" customFormat="1">
      <c r="A1380" s="15"/>
      <c r="B1380" s="15"/>
      <c r="C1380" s="15"/>
      <c r="D1380" s="15"/>
      <c r="E1380" s="6"/>
      <c r="F1380" s="6"/>
      <c r="G1380" s="6"/>
      <c r="K1380" s="222"/>
      <c r="V1380" s="1430"/>
      <c r="AA1380" s="223"/>
      <c r="AC1380" s="889"/>
      <c r="AF1380" s="890"/>
      <c r="AJ1380" s="889"/>
      <c r="AN1380" s="222"/>
      <c r="BC1380" s="223"/>
      <c r="BD1380" s="222"/>
      <c r="BH1380" s="611"/>
      <c r="BJ1380" s="15"/>
      <c r="BK1380" s="15"/>
      <c r="BO1380" s="223"/>
      <c r="BQ1380" s="889"/>
      <c r="BT1380" s="890"/>
      <c r="BX1380" s="889"/>
      <c r="CB1380" s="15"/>
      <c r="CC1380" s="697"/>
      <c r="CD1380" s="1086"/>
      <c r="CE1380" s="15"/>
      <c r="CF1380" s="15"/>
      <c r="CG1380" s="936"/>
      <c r="CH1380" s="15"/>
      <c r="CI1380" s="15"/>
      <c r="CJ1380" s="15"/>
      <c r="CK1380" s="1107"/>
      <c r="CL1380" s="22"/>
      <c r="CM1380" s="22"/>
      <c r="CN1380" s="1107"/>
      <c r="CR1380" s="223"/>
      <c r="CS1380" s="952"/>
      <c r="CT1380" s="1066"/>
      <c r="CU1380" s="972"/>
      <c r="CV1380" s="983"/>
      <c r="CW1380" s="222"/>
      <c r="CX1380" s="697"/>
      <c r="DC1380" s="222"/>
      <c r="DJ1380" s="889"/>
      <c r="DM1380" s="890"/>
      <c r="DN1380" s="952"/>
      <c r="DO1380" s="75"/>
      <c r="DP1380" s="962"/>
      <c r="DQ1380" s="983"/>
      <c r="DV1380" s="889"/>
    </row>
    <row r="1381" spans="1:126" s="74" customFormat="1">
      <c r="A1381" s="15"/>
      <c r="B1381" s="15"/>
      <c r="C1381" s="15"/>
      <c r="D1381" s="15"/>
      <c r="E1381" s="6"/>
      <c r="F1381" s="6"/>
      <c r="G1381" s="6"/>
      <c r="K1381" s="222"/>
      <c r="V1381" s="1430"/>
      <c r="AA1381" s="223"/>
      <c r="AC1381" s="889"/>
      <c r="AF1381" s="890"/>
      <c r="AJ1381" s="889"/>
      <c r="AN1381" s="222"/>
      <c r="BC1381" s="223"/>
      <c r="BD1381" s="222"/>
      <c r="BH1381" s="611"/>
      <c r="BJ1381" s="15"/>
      <c r="BK1381" s="15"/>
      <c r="BO1381" s="223"/>
      <c r="BQ1381" s="889"/>
      <c r="BT1381" s="890"/>
      <c r="BX1381" s="889"/>
      <c r="CB1381" s="15"/>
      <c r="CC1381" s="697"/>
      <c r="CD1381" s="1086"/>
      <c r="CE1381" s="15"/>
      <c r="CF1381" s="15"/>
      <c r="CG1381" s="936"/>
      <c r="CH1381" s="15"/>
      <c r="CI1381" s="15"/>
      <c r="CJ1381" s="15"/>
      <c r="CK1381" s="1107"/>
      <c r="CL1381" s="22"/>
      <c r="CM1381" s="22"/>
      <c r="CN1381" s="1107"/>
      <c r="CR1381" s="223"/>
      <c r="CS1381" s="952"/>
      <c r="CT1381" s="1066"/>
      <c r="CU1381" s="972"/>
      <c r="CV1381" s="983"/>
      <c r="CW1381" s="222"/>
      <c r="CX1381" s="697"/>
      <c r="DC1381" s="222"/>
      <c r="DJ1381" s="889"/>
      <c r="DM1381" s="890"/>
      <c r="DN1381" s="952"/>
      <c r="DO1381" s="75"/>
      <c r="DP1381" s="962"/>
      <c r="DQ1381" s="983"/>
      <c r="DV1381" s="889"/>
    </row>
    <row r="1382" spans="1:126" s="74" customFormat="1">
      <c r="A1382" s="15"/>
      <c r="B1382" s="15"/>
      <c r="C1382" s="15"/>
      <c r="D1382" s="15"/>
      <c r="E1382" s="6"/>
      <c r="F1382" s="6"/>
      <c r="G1382" s="6"/>
      <c r="K1382" s="222"/>
      <c r="V1382" s="1430"/>
      <c r="AA1382" s="223"/>
      <c r="AC1382" s="889"/>
      <c r="AF1382" s="890"/>
      <c r="AJ1382" s="889"/>
      <c r="AN1382" s="222"/>
      <c r="BC1382" s="223"/>
      <c r="BD1382" s="222"/>
      <c r="BH1382" s="611"/>
      <c r="BJ1382" s="15"/>
      <c r="BK1382" s="15"/>
      <c r="BO1382" s="223"/>
      <c r="BQ1382" s="889"/>
      <c r="BT1382" s="890"/>
      <c r="BX1382" s="889"/>
      <c r="CB1382" s="15"/>
      <c r="CC1382" s="697"/>
      <c r="CD1382" s="1086"/>
      <c r="CE1382" s="15"/>
      <c r="CF1382" s="15"/>
      <c r="CG1382" s="936"/>
      <c r="CH1382" s="15"/>
      <c r="CI1382" s="15"/>
      <c r="CJ1382" s="15"/>
      <c r="CK1382" s="1107"/>
      <c r="CL1382" s="22"/>
      <c r="CM1382" s="22"/>
      <c r="CN1382" s="1107"/>
      <c r="CR1382" s="223"/>
      <c r="CS1382" s="952"/>
      <c r="CT1382" s="1066"/>
      <c r="CU1382" s="972"/>
      <c r="CV1382" s="983"/>
      <c r="CW1382" s="222"/>
      <c r="CX1382" s="697"/>
      <c r="DC1382" s="222"/>
      <c r="DJ1382" s="889"/>
      <c r="DM1382" s="890"/>
      <c r="DN1382" s="952"/>
      <c r="DO1382" s="75"/>
      <c r="DP1382" s="962"/>
      <c r="DQ1382" s="983"/>
      <c r="DV1382" s="889"/>
    </row>
    <row r="1383" spans="1:126" s="74" customFormat="1">
      <c r="A1383" s="15"/>
      <c r="B1383" s="15"/>
      <c r="C1383" s="15"/>
      <c r="D1383" s="15"/>
      <c r="E1383" s="6"/>
      <c r="F1383" s="6"/>
      <c r="G1383" s="6"/>
      <c r="K1383" s="222"/>
      <c r="V1383" s="1430"/>
      <c r="AA1383" s="223"/>
      <c r="AC1383" s="889"/>
      <c r="AF1383" s="890"/>
      <c r="AJ1383" s="889"/>
      <c r="AN1383" s="222"/>
      <c r="BC1383" s="223"/>
      <c r="BD1383" s="222"/>
      <c r="BH1383" s="611"/>
      <c r="BJ1383" s="15"/>
      <c r="BK1383" s="15"/>
      <c r="BO1383" s="223"/>
      <c r="BQ1383" s="889"/>
      <c r="BT1383" s="890"/>
      <c r="BX1383" s="889"/>
      <c r="CB1383" s="15"/>
      <c r="CC1383" s="697"/>
      <c r="CD1383" s="1086"/>
      <c r="CE1383" s="15"/>
      <c r="CF1383" s="15"/>
      <c r="CG1383" s="936"/>
      <c r="CH1383" s="15"/>
      <c r="CI1383" s="15"/>
      <c r="CJ1383" s="15"/>
      <c r="CK1383" s="1107"/>
      <c r="CL1383" s="22"/>
      <c r="CM1383" s="22"/>
      <c r="CN1383" s="1107"/>
      <c r="CR1383" s="223"/>
      <c r="CS1383" s="952"/>
      <c r="CT1383" s="1066"/>
      <c r="CU1383" s="972"/>
      <c r="CV1383" s="983"/>
      <c r="CW1383" s="222"/>
      <c r="CX1383" s="697"/>
      <c r="DC1383" s="222"/>
      <c r="DJ1383" s="889"/>
      <c r="DM1383" s="890"/>
      <c r="DN1383" s="952"/>
      <c r="DO1383" s="75"/>
      <c r="DP1383" s="962"/>
      <c r="DQ1383" s="983"/>
      <c r="DV1383" s="889"/>
    </row>
    <row r="1384" spans="1:126" s="74" customFormat="1">
      <c r="A1384" s="15"/>
      <c r="B1384" s="15"/>
      <c r="C1384" s="15"/>
      <c r="D1384" s="15"/>
      <c r="E1384" s="6"/>
      <c r="F1384" s="6"/>
      <c r="G1384" s="6"/>
      <c r="K1384" s="222"/>
      <c r="V1384" s="1430"/>
      <c r="AA1384" s="223"/>
      <c r="AC1384" s="889"/>
      <c r="AF1384" s="890"/>
      <c r="AJ1384" s="889"/>
      <c r="AN1384" s="222"/>
      <c r="BC1384" s="223"/>
      <c r="BD1384" s="222"/>
      <c r="BH1384" s="611"/>
      <c r="BJ1384" s="15"/>
      <c r="BK1384" s="15"/>
      <c r="BO1384" s="223"/>
      <c r="BQ1384" s="889"/>
      <c r="BT1384" s="890"/>
      <c r="BX1384" s="889"/>
      <c r="CB1384" s="15"/>
      <c r="CC1384" s="697"/>
      <c r="CD1384" s="1086"/>
      <c r="CE1384" s="15"/>
      <c r="CF1384" s="15"/>
      <c r="CG1384" s="936"/>
      <c r="CH1384" s="15"/>
      <c r="CI1384" s="15"/>
      <c r="CJ1384" s="15"/>
      <c r="CK1384" s="1107"/>
      <c r="CL1384" s="22"/>
      <c r="CM1384" s="22"/>
      <c r="CN1384" s="1107"/>
      <c r="CR1384" s="223"/>
      <c r="CS1384" s="952"/>
      <c r="CT1384" s="1066"/>
      <c r="CU1384" s="972"/>
      <c r="CV1384" s="983"/>
      <c r="CW1384" s="222"/>
      <c r="CX1384" s="697"/>
      <c r="DC1384" s="222"/>
      <c r="DJ1384" s="889"/>
      <c r="DM1384" s="890"/>
      <c r="DN1384" s="952"/>
      <c r="DO1384" s="75"/>
      <c r="DP1384" s="962"/>
      <c r="DQ1384" s="983"/>
      <c r="DV1384" s="889"/>
    </row>
    <row r="1385" spans="1:126" s="74" customFormat="1">
      <c r="A1385" s="15"/>
      <c r="B1385" s="15"/>
      <c r="C1385" s="15"/>
      <c r="D1385" s="15"/>
      <c r="E1385" s="6"/>
      <c r="F1385" s="6"/>
      <c r="G1385" s="6"/>
      <c r="K1385" s="222"/>
      <c r="V1385" s="1430"/>
      <c r="AA1385" s="223"/>
      <c r="AC1385" s="889"/>
      <c r="AF1385" s="890"/>
      <c r="AJ1385" s="889"/>
      <c r="AN1385" s="222"/>
      <c r="BC1385" s="223"/>
      <c r="BD1385" s="222"/>
      <c r="BH1385" s="611"/>
      <c r="BJ1385" s="15"/>
      <c r="BK1385" s="15"/>
      <c r="BO1385" s="223"/>
      <c r="BQ1385" s="889"/>
      <c r="BT1385" s="890"/>
      <c r="BX1385" s="889"/>
      <c r="CB1385" s="15"/>
      <c r="CC1385" s="697"/>
      <c r="CD1385" s="1086"/>
      <c r="CE1385" s="15"/>
      <c r="CF1385" s="15"/>
      <c r="CG1385" s="936"/>
      <c r="CH1385" s="15"/>
      <c r="CI1385" s="15"/>
      <c r="CJ1385" s="15"/>
      <c r="CK1385" s="1107"/>
      <c r="CL1385" s="22"/>
      <c r="CM1385" s="22"/>
      <c r="CN1385" s="1107"/>
      <c r="CR1385" s="223"/>
      <c r="CS1385" s="952"/>
      <c r="CT1385" s="1066"/>
      <c r="CU1385" s="972"/>
      <c r="CV1385" s="983"/>
      <c r="CW1385" s="222"/>
      <c r="CX1385" s="697"/>
      <c r="DC1385" s="222"/>
      <c r="DJ1385" s="889"/>
      <c r="DM1385" s="890"/>
      <c r="DN1385" s="952"/>
      <c r="DO1385" s="75"/>
      <c r="DP1385" s="962"/>
      <c r="DQ1385" s="983"/>
      <c r="DV1385" s="889"/>
    </row>
    <row r="1386" spans="1:126" s="74" customFormat="1">
      <c r="A1386" s="15"/>
      <c r="B1386" s="15"/>
      <c r="C1386" s="15"/>
      <c r="D1386" s="15"/>
      <c r="E1386" s="6"/>
      <c r="F1386" s="6"/>
      <c r="G1386" s="6"/>
      <c r="K1386" s="222"/>
      <c r="V1386" s="1430"/>
      <c r="AA1386" s="223"/>
      <c r="AC1386" s="889"/>
      <c r="AF1386" s="890"/>
      <c r="AJ1386" s="889"/>
      <c r="AN1386" s="222"/>
      <c r="BC1386" s="223"/>
      <c r="BD1386" s="222"/>
      <c r="BH1386" s="611"/>
      <c r="BJ1386" s="15"/>
      <c r="BK1386" s="15"/>
      <c r="BO1386" s="223"/>
      <c r="BQ1386" s="889"/>
      <c r="BT1386" s="890"/>
      <c r="BX1386" s="889"/>
      <c r="CB1386" s="15"/>
      <c r="CC1386" s="697"/>
      <c r="CD1386" s="1086"/>
      <c r="CE1386" s="15"/>
      <c r="CF1386" s="15"/>
      <c r="CG1386" s="936"/>
      <c r="CH1386" s="15"/>
      <c r="CI1386" s="15"/>
      <c r="CJ1386" s="15"/>
      <c r="CK1386" s="1107"/>
      <c r="CL1386" s="22"/>
      <c r="CM1386" s="22"/>
      <c r="CN1386" s="1107"/>
      <c r="CR1386" s="223"/>
      <c r="CS1386" s="952"/>
      <c r="CT1386" s="1066"/>
      <c r="CU1386" s="972"/>
      <c r="CV1386" s="983"/>
      <c r="CW1386" s="222"/>
      <c r="CX1386" s="697"/>
      <c r="DC1386" s="222"/>
      <c r="DJ1386" s="889"/>
      <c r="DM1386" s="890"/>
      <c r="DN1386" s="952"/>
      <c r="DO1386" s="75"/>
      <c r="DP1386" s="962"/>
      <c r="DQ1386" s="983"/>
      <c r="DV1386" s="889"/>
    </row>
    <row r="1387" spans="1:126" s="74" customFormat="1">
      <c r="A1387" s="15"/>
      <c r="B1387" s="15"/>
      <c r="C1387" s="15"/>
      <c r="D1387" s="15"/>
      <c r="E1387" s="6"/>
      <c r="F1387" s="6"/>
      <c r="G1387" s="6"/>
      <c r="K1387" s="222"/>
      <c r="V1387" s="1430"/>
      <c r="AA1387" s="223"/>
      <c r="AC1387" s="889"/>
      <c r="AF1387" s="890"/>
      <c r="AJ1387" s="889"/>
      <c r="AN1387" s="222"/>
      <c r="BC1387" s="223"/>
      <c r="BD1387" s="222"/>
      <c r="BH1387" s="611"/>
      <c r="BJ1387" s="15"/>
      <c r="BK1387" s="15"/>
      <c r="BO1387" s="223"/>
      <c r="BQ1387" s="889"/>
      <c r="BT1387" s="890"/>
      <c r="BX1387" s="889"/>
      <c r="CB1387" s="15"/>
      <c r="CC1387" s="697"/>
      <c r="CD1387" s="1086"/>
      <c r="CE1387" s="15"/>
      <c r="CF1387" s="15"/>
      <c r="CG1387" s="936"/>
      <c r="CH1387" s="15"/>
      <c r="CI1387" s="15"/>
      <c r="CJ1387" s="15"/>
      <c r="CK1387" s="1107"/>
      <c r="CL1387" s="22"/>
      <c r="CM1387" s="22"/>
      <c r="CN1387" s="1107"/>
      <c r="CR1387" s="223"/>
      <c r="CS1387" s="952"/>
      <c r="CT1387" s="1066"/>
      <c r="CU1387" s="972"/>
      <c r="CV1387" s="983"/>
      <c r="CW1387" s="222"/>
      <c r="CX1387" s="697"/>
      <c r="DC1387" s="222"/>
      <c r="DJ1387" s="889"/>
      <c r="DM1387" s="890"/>
      <c r="DN1387" s="952"/>
      <c r="DO1387" s="75"/>
      <c r="DP1387" s="962"/>
      <c r="DQ1387" s="983"/>
      <c r="DV1387" s="889"/>
    </row>
    <row r="1388" spans="1:126" s="74" customFormat="1">
      <c r="A1388" s="15"/>
      <c r="B1388" s="15"/>
      <c r="C1388" s="15"/>
      <c r="D1388" s="15"/>
      <c r="E1388" s="6"/>
      <c r="F1388" s="6"/>
      <c r="G1388" s="6"/>
      <c r="K1388" s="222"/>
      <c r="V1388" s="1430"/>
      <c r="AA1388" s="223"/>
      <c r="AC1388" s="889"/>
      <c r="AF1388" s="890"/>
      <c r="AJ1388" s="889"/>
      <c r="AN1388" s="222"/>
      <c r="BC1388" s="223"/>
      <c r="BD1388" s="222"/>
      <c r="BH1388" s="611"/>
      <c r="BJ1388" s="15"/>
      <c r="BK1388" s="15"/>
      <c r="BO1388" s="223"/>
      <c r="BQ1388" s="889"/>
      <c r="BT1388" s="890"/>
      <c r="BX1388" s="889"/>
      <c r="CB1388" s="15"/>
      <c r="CC1388" s="697"/>
      <c r="CD1388" s="1086"/>
      <c r="CE1388" s="15"/>
      <c r="CF1388" s="15"/>
      <c r="CG1388" s="936"/>
      <c r="CH1388" s="15"/>
      <c r="CI1388" s="15"/>
      <c r="CJ1388" s="15"/>
      <c r="CK1388" s="1107"/>
      <c r="CL1388" s="22"/>
      <c r="CM1388" s="22"/>
      <c r="CN1388" s="1107"/>
      <c r="CR1388" s="223"/>
      <c r="CS1388" s="952"/>
      <c r="CT1388" s="1066"/>
      <c r="CU1388" s="972"/>
      <c r="CV1388" s="983"/>
      <c r="CW1388" s="222"/>
      <c r="CX1388" s="697"/>
      <c r="DC1388" s="222"/>
      <c r="DJ1388" s="889"/>
      <c r="DM1388" s="890"/>
      <c r="DN1388" s="952"/>
      <c r="DO1388" s="75"/>
      <c r="DP1388" s="962"/>
      <c r="DQ1388" s="983"/>
      <c r="DV1388" s="889"/>
    </row>
    <row r="1389" spans="1:126" s="74" customFormat="1">
      <c r="A1389" s="15"/>
      <c r="B1389" s="15"/>
      <c r="C1389" s="15"/>
      <c r="D1389" s="15"/>
      <c r="E1389" s="6"/>
      <c r="F1389" s="6"/>
      <c r="G1389" s="6"/>
      <c r="K1389" s="222"/>
      <c r="V1389" s="1430"/>
      <c r="AA1389" s="223"/>
      <c r="AC1389" s="889"/>
      <c r="AF1389" s="890"/>
      <c r="AJ1389" s="889"/>
      <c r="AN1389" s="222"/>
      <c r="BC1389" s="223"/>
      <c r="BD1389" s="222"/>
      <c r="BH1389" s="611"/>
      <c r="BJ1389" s="15"/>
      <c r="BK1389" s="15"/>
      <c r="BO1389" s="223"/>
      <c r="BQ1389" s="889"/>
      <c r="BT1389" s="890"/>
      <c r="BX1389" s="889"/>
      <c r="CB1389" s="15"/>
      <c r="CC1389" s="697"/>
      <c r="CD1389" s="1086"/>
      <c r="CE1389" s="15"/>
      <c r="CF1389" s="15"/>
      <c r="CG1389" s="936"/>
      <c r="CH1389" s="15"/>
      <c r="CI1389" s="15"/>
      <c r="CJ1389" s="15"/>
      <c r="CK1389" s="1107"/>
      <c r="CL1389" s="22"/>
      <c r="CM1389" s="22"/>
      <c r="CN1389" s="1107"/>
      <c r="CR1389" s="223"/>
      <c r="CS1389" s="952"/>
      <c r="CT1389" s="1066"/>
      <c r="CU1389" s="972"/>
      <c r="CV1389" s="983"/>
      <c r="CW1389" s="222"/>
      <c r="CX1389" s="697"/>
      <c r="DC1389" s="222"/>
      <c r="DJ1389" s="889"/>
      <c r="DM1389" s="890"/>
      <c r="DN1389" s="952"/>
      <c r="DO1389" s="75"/>
      <c r="DP1389" s="962"/>
      <c r="DQ1389" s="983"/>
      <c r="DV1389" s="889"/>
    </row>
    <row r="1390" spans="1:126" s="74" customFormat="1">
      <c r="A1390" s="15"/>
      <c r="B1390" s="15"/>
      <c r="C1390" s="15"/>
      <c r="D1390" s="15"/>
      <c r="E1390" s="6"/>
      <c r="F1390" s="6"/>
      <c r="G1390" s="6"/>
      <c r="K1390" s="222"/>
      <c r="V1390" s="1430"/>
      <c r="AA1390" s="223"/>
      <c r="AC1390" s="889"/>
      <c r="AF1390" s="890"/>
      <c r="AJ1390" s="889"/>
      <c r="AN1390" s="222"/>
      <c r="BC1390" s="223"/>
      <c r="BD1390" s="222"/>
      <c r="BH1390" s="611"/>
      <c r="BJ1390" s="15"/>
      <c r="BK1390" s="15"/>
      <c r="BO1390" s="223"/>
      <c r="BQ1390" s="889"/>
      <c r="BT1390" s="890"/>
      <c r="BX1390" s="889"/>
      <c r="CB1390" s="15"/>
      <c r="CC1390" s="697"/>
      <c r="CD1390" s="1086"/>
      <c r="CE1390" s="15"/>
      <c r="CF1390" s="15"/>
      <c r="CG1390" s="936"/>
      <c r="CH1390" s="15"/>
      <c r="CI1390" s="15"/>
      <c r="CJ1390" s="15"/>
      <c r="CK1390" s="1107"/>
      <c r="CL1390" s="22"/>
      <c r="CM1390" s="22"/>
      <c r="CN1390" s="1107"/>
      <c r="CR1390" s="223"/>
      <c r="CS1390" s="952"/>
      <c r="CT1390" s="1066"/>
      <c r="CU1390" s="972"/>
      <c r="CV1390" s="983"/>
      <c r="CW1390" s="222"/>
      <c r="CX1390" s="697"/>
      <c r="DC1390" s="222"/>
      <c r="DJ1390" s="889"/>
      <c r="DM1390" s="890"/>
      <c r="DN1390" s="952"/>
      <c r="DO1390" s="75"/>
      <c r="DP1390" s="962"/>
      <c r="DQ1390" s="983"/>
      <c r="DV1390" s="889"/>
    </row>
    <row r="1391" spans="1:126" s="74" customFormat="1">
      <c r="A1391" s="15"/>
      <c r="B1391" s="15"/>
      <c r="C1391" s="15"/>
      <c r="D1391" s="15"/>
      <c r="E1391" s="6"/>
      <c r="F1391" s="6"/>
      <c r="G1391" s="6"/>
      <c r="K1391" s="222"/>
      <c r="V1391" s="1430"/>
      <c r="AA1391" s="223"/>
      <c r="AC1391" s="889"/>
      <c r="AF1391" s="890"/>
      <c r="AJ1391" s="889"/>
      <c r="AN1391" s="222"/>
      <c r="BC1391" s="223"/>
      <c r="BD1391" s="222"/>
      <c r="BH1391" s="611"/>
      <c r="BJ1391" s="15"/>
      <c r="BK1391" s="15"/>
      <c r="BO1391" s="223"/>
      <c r="BQ1391" s="889"/>
      <c r="BT1391" s="890"/>
      <c r="BX1391" s="889"/>
      <c r="CB1391" s="15"/>
      <c r="CC1391" s="697"/>
      <c r="CD1391" s="1086"/>
      <c r="CE1391" s="15"/>
      <c r="CF1391" s="15"/>
      <c r="CG1391" s="936"/>
      <c r="CH1391" s="15"/>
      <c r="CI1391" s="15"/>
      <c r="CJ1391" s="15"/>
      <c r="CK1391" s="1107"/>
      <c r="CL1391" s="22"/>
      <c r="CM1391" s="22"/>
      <c r="CN1391" s="1107"/>
      <c r="CR1391" s="223"/>
      <c r="CS1391" s="952"/>
      <c r="CT1391" s="1066"/>
      <c r="CU1391" s="972"/>
      <c r="CV1391" s="983"/>
      <c r="CW1391" s="222"/>
      <c r="CX1391" s="697"/>
      <c r="DC1391" s="222"/>
      <c r="DJ1391" s="889"/>
      <c r="DM1391" s="890"/>
      <c r="DN1391" s="952"/>
      <c r="DO1391" s="75"/>
      <c r="DP1391" s="962"/>
      <c r="DQ1391" s="983"/>
      <c r="DV1391" s="889"/>
    </row>
    <row r="1392" spans="1:126" s="74" customFormat="1">
      <c r="A1392" s="15"/>
      <c r="B1392" s="15"/>
      <c r="C1392" s="15"/>
      <c r="D1392" s="15"/>
      <c r="E1392" s="6"/>
      <c r="F1392" s="6"/>
      <c r="G1392" s="6"/>
      <c r="K1392" s="222"/>
      <c r="V1392" s="1430"/>
      <c r="AA1392" s="223"/>
      <c r="AC1392" s="889"/>
      <c r="AF1392" s="890"/>
      <c r="AJ1392" s="889"/>
      <c r="AN1392" s="222"/>
      <c r="BC1392" s="223"/>
      <c r="BD1392" s="222"/>
      <c r="BH1392" s="611"/>
      <c r="BJ1392" s="15"/>
      <c r="BK1392" s="15"/>
      <c r="BO1392" s="223"/>
      <c r="BQ1392" s="889"/>
      <c r="BT1392" s="890"/>
      <c r="BX1392" s="889"/>
      <c r="CB1392" s="15"/>
      <c r="CC1392" s="697"/>
      <c r="CD1392" s="1086"/>
      <c r="CE1392" s="15"/>
      <c r="CF1392" s="15"/>
      <c r="CG1392" s="936"/>
      <c r="CH1392" s="15"/>
      <c r="CI1392" s="15"/>
      <c r="CJ1392" s="15"/>
      <c r="CK1392" s="1107"/>
      <c r="CL1392" s="22"/>
      <c r="CM1392" s="22"/>
      <c r="CN1392" s="1107"/>
      <c r="CR1392" s="223"/>
      <c r="CS1392" s="952"/>
      <c r="CT1392" s="1066"/>
      <c r="CU1392" s="972"/>
      <c r="CV1392" s="983"/>
      <c r="CW1392" s="222"/>
      <c r="CX1392" s="697"/>
      <c r="DC1392" s="222"/>
      <c r="DJ1392" s="889"/>
      <c r="DM1392" s="890"/>
      <c r="DN1392" s="952"/>
      <c r="DO1392" s="75"/>
      <c r="DP1392" s="962"/>
      <c r="DQ1392" s="983"/>
      <c r="DV1392" s="889"/>
    </row>
    <row r="1393" spans="1:126" s="74" customFormat="1">
      <c r="A1393" s="15"/>
      <c r="B1393" s="15"/>
      <c r="C1393" s="15"/>
      <c r="D1393" s="15"/>
      <c r="E1393" s="6"/>
      <c r="F1393" s="6"/>
      <c r="G1393" s="6"/>
      <c r="K1393" s="222"/>
      <c r="V1393" s="1430"/>
      <c r="AA1393" s="223"/>
      <c r="AC1393" s="889"/>
      <c r="AF1393" s="890"/>
      <c r="AJ1393" s="889"/>
      <c r="AN1393" s="222"/>
      <c r="BC1393" s="223"/>
      <c r="BD1393" s="222"/>
      <c r="BH1393" s="611"/>
      <c r="BJ1393" s="15"/>
      <c r="BK1393" s="15"/>
      <c r="BO1393" s="223"/>
      <c r="BQ1393" s="889"/>
      <c r="BT1393" s="890"/>
      <c r="BX1393" s="889"/>
      <c r="CB1393" s="15"/>
      <c r="CC1393" s="697"/>
      <c r="CD1393" s="1086"/>
      <c r="CE1393" s="15"/>
      <c r="CF1393" s="15"/>
      <c r="CG1393" s="936"/>
      <c r="CH1393" s="15"/>
      <c r="CI1393" s="15"/>
      <c r="CJ1393" s="15"/>
      <c r="CK1393" s="1107"/>
      <c r="CL1393" s="22"/>
      <c r="CM1393" s="22"/>
      <c r="CN1393" s="1107"/>
      <c r="CR1393" s="223"/>
      <c r="CS1393" s="952"/>
      <c r="CT1393" s="1066"/>
      <c r="CU1393" s="972"/>
      <c r="CV1393" s="983"/>
      <c r="CW1393" s="222"/>
      <c r="CX1393" s="697"/>
      <c r="DC1393" s="222"/>
      <c r="DJ1393" s="889"/>
      <c r="DM1393" s="890"/>
      <c r="DN1393" s="952"/>
      <c r="DO1393" s="75"/>
      <c r="DP1393" s="962"/>
      <c r="DQ1393" s="983"/>
      <c r="DV1393" s="889"/>
    </row>
    <row r="1394" spans="1:126" s="74" customFormat="1">
      <c r="A1394" s="15"/>
      <c r="B1394" s="15"/>
      <c r="C1394" s="15"/>
      <c r="D1394" s="15"/>
      <c r="E1394" s="6"/>
      <c r="F1394" s="6"/>
      <c r="G1394" s="6"/>
      <c r="K1394" s="222"/>
      <c r="V1394" s="1430"/>
      <c r="AA1394" s="223"/>
      <c r="AC1394" s="889"/>
      <c r="AF1394" s="890"/>
      <c r="AJ1394" s="889"/>
      <c r="AN1394" s="222"/>
      <c r="BC1394" s="223"/>
      <c r="BD1394" s="222"/>
      <c r="BH1394" s="611"/>
      <c r="BJ1394" s="15"/>
      <c r="BK1394" s="15"/>
      <c r="BO1394" s="223"/>
      <c r="BQ1394" s="889"/>
      <c r="BT1394" s="890"/>
      <c r="BX1394" s="889"/>
      <c r="CB1394" s="15"/>
      <c r="CC1394" s="697"/>
      <c r="CD1394" s="1086"/>
      <c r="CE1394" s="15"/>
      <c r="CF1394" s="15"/>
      <c r="CG1394" s="936"/>
      <c r="CH1394" s="15"/>
      <c r="CI1394" s="15"/>
      <c r="CJ1394" s="15"/>
      <c r="CK1394" s="1107"/>
      <c r="CL1394" s="22"/>
      <c r="CM1394" s="22"/>
      <c r="CN1394" s="1107"/>
      <c r="CR1394" s="223"/>
      <c r="CS1394" s="952"/>
      <c r="CT1394" s="1066"/>
      <c r="CU1394" s="972"/>
      <c r="CV1394" s="983"/>
      <c r="CW1394" s="222"/>
      <c r="CX1394" s="697"/>
      <c r="DC1394" s="222"/>
      <c r="DJ1394" s="889"/>
      <c r="DM1394" s="890"/>
      <c r="DN1394" s="952"/>
      <c r="DO1394" s="75"/>
      <c r="DP1394" s="962"/>
      <c r="DQ1394" s="983"/>
      <c r="DV1394" s="889"/>
    </row>
    <row r="1395" spans="1:126" s="74" customFormat="1">
      <c r="A1395" s="15"/>
      <c r="B1395" s="15"/>
      <c r="C1395" s="15"/>
      <c r="D1395" s="15"/>
      <c r="E1395" s="6"/>
      <c r="F1395" s="6"/>
      <c r="G1395" s="6"/>
      <c r="K1395" s="222"/>
      <c r="V1395" s="1430"/>
      <c r="AA1395" s="223"/>
      <c r="AC1395" s="889"/>
      <c r="AF1395" s="890"/>
      <c r="AJ1395" s="889"/>
      <c r="AN1395" s="222"/>
      <c r="BC1395" s="223"/>
      <c r="BD1395" s="222"/>
      <c r="BH1395" s="611"/>
      <c r="BJ1395" s="15"/>
      <c r="BK1395" s="15"/>
      <c r="BO1395" s="223"/>
      <c r="BQ1395" s="889"/>
      <c r="BT1395" s="890"/>
      <c r="BX1395" s="889"/>
      <c r="CB1395" s="15"/>
      <c r="CC1395" s="697"/>
      <c r="CD1395" s="1086"/>
      <c r="CE1395" s="15"/>
      <c r="CF1395" s="15"/>
      <c r="CG1395" s="936"/>
      <c r="CH1395" s="15"/>
      <c r="CI1395" s="15"/>
      <c r="CJ1395" s="15"/>
      <c r="CK1395" s="1107"/>
      <c r="CL1395" s="22"/>
      <c r="CM1395" s="22"/>
      <c r="CN1395" s="1107"/>
      <c r="CR1395" s="223"/>
      <c r="CS1395" s="952"/>
      <c r="CT1395" s="1066"/>
      <c r="CU1395" s="972"/>
      <c r="CV1395" s="983"/>
      <c r="CW1395" s="222"/>
      <c r="CX1395" s="697"/>
      <c r="DC1395" s="222"/>
      <c r="DJ1395" s="889"/>
      <c r="DM1395" s="890"/>
      <c r="DN1395" s="952"/>
      <c r="DO1395" s="75"/>
      <c r="DP1395" s="962"/>
      <c r="DQ1395" s="983"/>
      <c r="DV1395" s="889"/>
    </row>
    <row r="1396" spans="1:126" s="74" customFormat="1">
      <c r="A1396" s="15"/>
      <c r="B1396" s="15"/>
      <c r="C1396" s="15"/>
      <c r="D1396" s="15"/>
      <c r="E1396" s="6"/>
      <c r="F1396" s="6"/>
      <c r="G1396" s="6"/>
      <c r="K1396" s="222"/>
      <c r="V1396" s="1430"/>
      <c r="AA1396" s="223"/>
      <c r="AC1396" s="889"/>
      <c r="AF1396" s="890"/>
      <c r="AJ1396" s="889"/>
      <c r="AN1396" s="222"/>
      <c r="BC1396" s="223"/>
      <c r="BD1396" s="222"/>
      <c r="BH1396" s="611"/>
      <c r="BJ1396" s="15"/>
      <c r="BK1396" s="15"/>
      <c r="BO1396" s="223"/>
      <c r="BQ1396" s="889"/>
      <c r="BT1396" s="890"/>
      <c r="BX1396" s="889"/>
      <c r="CB1396" s="15"/>
      <c r="CC1396" s="697"/>
      <c r="CD1396" s="1086"/>
      <c r="CE1396" s="15"/>
      <c r="CF1396" s="15"/>
      <c r="CG1396" s="936"/>
      <c r="CH1396" s="15"/>
      <c r="CI1396" s="15"/>
      <c r="CJ1396" s="15"/>
      <c r="CK1396" s="1107"/>
      <c r="CL1396" s="22"/>
      <c r="CM1396" s="22"/>
      <c r="CN1396" s="1107"/>
      <c r="CR1396" s="223"/>
      <c r="CS1396" s="952"/>
      <c r="CT1396" s="1066"/>
      <c r="CU1396" s="972"/>
      <c r="CV1396" s="983"/>
      <c r="CW1396" s="222"/>
      <c r="CX1396" s="697"/>
      <c r="DC1396" s="222"/>
      <c r="DJ1396" s="889"/>
      <c r="DM1396" s="890"/>
      <c r="DN1396" s="952"/>
      <c r="DO1396" s="75"/>
      <c r="DP1396" s="962"/>
      <c r="DQ1396" s="983"/>
      <c r="DV1396" s="889"/>
    </row>
    <row r="1397" spans="1:126" s="74" customFormat="1">
      <c r="A1397" s="15"/>
      <c r="B1397" s="15"/>
      <c r="C1397" s="15"/>
      <c r="D1397" s="15"/>
      <c r="E1397" s="6"/>
      <c r="F1397" s="6"/>
      <c r="G1397" s="6"/>
      <c r="K1397" s="222"/>
      <c r="V1397" s="1430"/>
      <c r="AA1397" s="223"/>
      <c r="AC1397" s="889"/>
      <c r="AF1397" s="890"/>
      <c r="AJ1397" s="889"/>
      <c r="AN1397" s="222"/>
      <c r="BC1397" s="223"/>
      <c r="BD1397" s="222"/>
      <c r="BH1397" s="611"/>
      <c r="BJ1397" s="15"/>
      <c r="BK1397" s="15"/>
      <c r="BO1397" s="223"/>
      <c r="BQ1397" s="889"/>
      <c r="BT1397" s="890"/>
      <c r="BX1397" s="889"/>
      <c r="CB1397" s="15"/>
      <c r="CC1397" s="697"/>
      <c r="CD1397" s="1086"/>
      <c r="CE1397" s="15"/>
      <c r="CF1397" s="15"/>
      <c r="CG1397" s="936"/>
      <c r="CH1397" s="15"/>
      <c r="CI1397" s="15"/>
      <c r="CJ1397" s="15"/>
      <c r="CK1397" s="1107"/>
      <c r="CL1397" s="22"/>
      <c r="CM1397" s="22"/>
      <c r="CN1397" s="1107"/>
      <c r="CR1397" s="223"/>
      <c r="CS1397" s="952"/>
      <c r="CT1397" s="1066"/>
      <c r="CU1397" s="972"/>
      <c r="CV1397" s="983"/>
      <c r="CW1397" s="222"/>
      <c r="CX1397" s="697"/>
      <c r="DC1397" s="222"/>
      <c r="DJ1397" s="889"/>
      <c r="DM1397" s="890"/>
      <c r="DN1397" s="952"/>
      <c r="DO1397" s="75"/>
      <c r="DP1397" s="962"/>
      <c r="DQ1397" s="983"/>
      <c r="DV1397" s="889"/>
    </row>
    <row r="1398" spans="1:126" s="74" customFormat="1">
      <c r="A1398" s="15"/>
      <c r="B1398" s="15"/>
      <c r="C1398" s="15"/>
      <c r="D1398" s="15"/>
      <c r="E1398" s="6"/>
      <c r="F1398" s="6"/>
      <c r="G1398" s="6"/>
      <c r="K1398" s="222"/>
      <c r="V1398" s="1430"/>
      <c r="AA1398" s="223"/>
      <c r="AC1398" s="889"/>
      <c r="AF1398" s="890"/>
      <c r="AJ1398" s="889"/>
      <c r="AN1398" s="222"/>
      <c r="BC1398" s="223"/>
      <c r="BD1398" s="222"/>
      <c r="BH1398" s="611"/>
      <c r="BJ1398" s="15"/>
      <c r="BK1398" s="15"/>
      <c r="BO1398" s="223"/>
      <c r="BQ1398" s="889"/>
      <c r="BT1398" s="890"/>
      <c r="BX1398" s="889"/>
      <c r="CB1398" s="15"/>
      <c r="CC1398" s="697"/>
      <c r="CD1398" s="1086"/>
      <c r="CE1398" s="15"/>
      <c r="CF1398" s="15"/>
      <c r="CG1398" s="936"/>
      <c r="CH1398" s="15"/>
      <c r="CI1398" s="15"/>
      <c r="CJ1398" s="15"/>
      <c r="CK1398" s="1107"/>
      <c r="CL1398" s="22"/>
      <c r="CM1398" s="22"/>
      <c r="CN1398" s="1107"/>
      <c r="CR1398" s="223"/>
      <c r="CS1398" s="952"/>
      <c r="CT1398" s="1066"/>
      <c r="CU1398" s="972"/>
      <c r="CV1398" s="983"/>
      <c r="CW1398" s="222"/>
      <c r="CX1398" s="697"/>
      <c r="DC1398" s="222"/>
      <c r="DJ1398" s="889"/>
      <c r="DM1398" s="890"/>
      <c r="DN1398" s="952"/>
      <c r="DO1398" s="75"/>
      <c r="DP1398" s="962"/>
      <c r="DQ1398" s="983"/>
      <c r="DV1398" s="889"/>
    </row>
    <row r="1399" spans="1:126" s="74" customFormat="1">
      <c r="A1399" s="15"/>
      <c r="B1399" s="15"/>
      <c r="C1399" s="15"/>
      <c r="D1399" s="15"/>
      <c r="E1399" s="6"/>
      <c r="F1399" s="6"/>
      <c r="G1399" s="6"/>
      <c r="K1399" s="222"/>
      <c r="V1399" s="1430"/>
      <c r="AA1399" s="223"/>
      <c r="AC1399" s="889"/>
      <c r="AF1399" s="890"/>
      <c r="AJ1399" s="889"/>
      <c r="AN1399" s="222"/>
      <c r="BC1399" s="223"/>
      <c r="BD1399" s="222"/>
      <c r="BH1399" s="611"/>
      <c r="BJ1399" s="15"/>
      <c r="BK1399" s="15"/>
      <c r="BO1399" s="223"/>
      <c r="BQ1399" s="889"/>
      <c r="BT1399" s="890"/>
      <c r="BX1399" s="889"/>
      <c r="CB1399" s="15"/>
      <c r="CC1399" s="697"/>
      <c r="CD1399" s="1086"/>
      <c r="CE1399" s="15"/>
      <c r="CF1399" s="15"/>
      <c r="CG1399" s="936"/>
      <c r="CH1399" s="15"/>
      <c r="CI1399" s="15"/>
      <c r="CJ1399" s="15"/>
      <c r="CK1399" s="1107"/>
      <c r="CL1399" s="22"/>
      <c r="CM1399" s="22"/>
      <c r="CN1399" s="1107"/>
      <c r="CR1399" s="223"/>
      <c r="CS1399" s="952"/>
      <c r="CT1399" s="1066"/>
      <c r="CU1399" s="972"/>
      <c r="CV1399" s="983"/>
      <c r="CW1399" s="222"/>
      <c r="CX1399" s="697"/>
      <c r="DC1399" s="222"/>
      <c r="DJ1399" s="889"/>
      <c r="DM1399" s="890"/>
      <c r="DN1399" s="952"/>
      <c r="DO1399" s="75"/>
      <c r="DP1399" s="962"/>
      <c r="DQ1399" s="983"/>
      <c r="DV1399" s="889"/>
    </row>
    <row r="1400" spans="1:126" s="74" customFormat="1">
      <c r="A1400" s="15"/>
      <c r="B1400" s="15"/>
      <c r="C1400" s="15"/>
      <c r="D1400" s="15"/>
      <c r="E1400" s="6"/>
      <c r="F1400" s="6"/>
      <c r="G1400" s="6"/>
      <c r="K1400" s="222"/>
      <c r="V1400" s="1430"/>
      <c r="AA1400" s="223"/>
      <c r="AC1400" s="889"/>
      <c r="AF1400" s="890"/>
      <c r="AJ1400" s="889"/>
      <c r="AN1400" s="222"/>
      <c r="BC1400" s="223"/>
      <c r="BD1400" s="222"/>
      <c r="BH1400" s="611"/>
      <c r="BJ1400" s="15"/>
      <c r="BK1400" s="15"/>
      <c r="BO1400" s="223"/>
      <c r="BQ1400" s="889"/>
      <c r="BT1400" s="890"/>
      <c r="BX1400" s="889"/>
      <c r="CB1400" s="15"/>
      <c r="CC1400" s="697"/>
      <c r="CD1400" s="1086"/>
      <c r="CE1400" s="15"/>
      <c r="CF1400" s="15"/>
      <c r="CG1400" s="936"/>
      <c r="CH1400" s="15"/>
      <c r="CI1400" s="15"/>
      <c r="CJ1400" s="15"/>
      <c r="CK1400" s="1107"/>
      <c r="CL1400" s="22"/>
      <c r="CM1400" s="22"/>
      <c r="CN1400" s="1107"/>
      <c r="CR1400" s="223"/>
      <c r="CS1400" s="952"/>
      <c r="CT1400" s="1066"/>
      <c r="CU1400" s="972"/>
      <c r="CV1400" s="983"/>
      <c r="CW1400" s="222"/>
      <c r="CX1400" s="697"/>
      <c r="DC1400" s="222"/>
      <c r="DJ1400" s="889"/>
      <c r="DM1400" s="890"/>
      <c r="DN1400" s="952"/>
      <c r="DO1400" s="75"/>
      <c r="DP1400" s="962"/>
      <c r="DQ1400" s="983"/>
      <c r="DV1400" s="889"/>
    </row>
    <row r="1401" spans="1:126" s="74" customFormat="1">
      <c r="A1401" s="15"/>
      <c r="B1401" s="15"/>
      <c r="C1401" s="15"/>
      <c r="D1401" s="15"/>
      <c r="E1401" s="6"/>
      <c r="F1401" s="6"/>
      <c r="G1401" s="6"/>
      <c r="K1401" s="222"/>
      <c r="V1401" s="1430"/>
      <c r="AA1401" s="223"/>
      <c r="AC1401" s="889"/>
      <c r="AF1401" s="890"/>
      <c r="AJ1401" s="889"/>
      <c r="AN1401" s="222"/>
      <c r="BC1401" s="223"/>
      <c r="BD1401" s="222"/>
      <c r="BH1401" s="611"/>
      <c r="BJ1401" s="15"/>
      <c r="BK1401" s="15"/>
      <c r="BO1401" s="223"/>
      <c r="BQ1401" s="889"/>
      <c r="BT1401" s="890"/>
      <c r="BX1401" s="889"/>
      <c r="CB1401" s="15"/>
      <c r="CC1401" s="697"/>
      <c r="CD1401" s="1086"/>
      <c r="CE1401" s="15"/>
      <c r="CF1401" s="15"/>
      <c r="CG1401" s="936"/>
      <c r="CH1401" s="15"/>
      <c r="CI1401" s="15"/>
      <c r="CJ1401" s="15"/>
      <c r="CK1401" s="1107"/>
      <c r="CL1401" s="22"/>
      <c r="CM1401" s="22"/>
      <c r="CN1401" s="1107"/>
      <c r="CR1401" s="223"/>
      <c r="CS1401" s="952"/>
      <c r="CT1401" s="1066"/>
      <c r="CU1401" s="972"/>
      <c r="CV1401" s="983"/>
      <c r="CW1401" s="222"/>
      <c r="CX1401" s="697"/>
      <c r="DC1401" s="222"/>
      <c r="DJ1401" s="889"/>
      <c r="DM1401" s="890"/>
      <c r="DN1401" s="952"/>
      <c r="DO1401" s="75"/>
      <c r="DP1401" s="962"/>
      <c r="DQ1401" s="983"/>
      <c r="DV1401" s="889"/>
    </row>
    <row r="1402" spans="1:126" s="74" customFormat="1">
      <c r="A1402" s="15"/>
      <c r="B1402" s="15"/>
      <c r="C1402" s="15"/>
      <c r="D1402" s="15"/>
      <c r="E1402" s="6"/>
      <c r="F1402" s="6"/>
      <c r="G1402" s="6"/>
      <c r="K1402" s="222"/>
      <c r="V1402" s="1430"/>
      <c r="AA1402" s="223"/>
      <c r="AC1402" s="889"/>
      <c r="AF1402" s="890"/>
      <c r="AJ1402" s="889"/>
      <c r="AN1402" s="222"/>
      <c r="BC1402" s="223"/>
      <c r="BD1402" s="222"/>
      <c r="BH1402" s="611"/>
      <c r="BJ1402" s="15"/>
      <c r="BK1402" s="15"/>
      <c r="BO1402" s="223"/>
      <c r="BQ1402" s="889"/>
      <c r="BT1402" s="890"/>
      <c r="BX1402" s="889"/>
      <c r="CB1402" s="15"/>
      <c r="CC1402" s="697"/>
      <c r="CD1402" s="1086"/>
      <c r="CE1402" s="15"/>
      <c r="CF1402" s="15"/>
      <c r="CG1402" s="936"/>
      <c r="CH1402" s="15"/>
      <c r="CI1402" s="15"/>
      <c r="CJ1402" s="15"/>
      <c r="CK1402" s="1107"/>
      <c r="CL1402" s="22"/>
      <c r="CM1402" s="22"/>
      <c r="CN1402" s="1107"/>
      <c r="CR1402" s="223"/>
      <c r="CS1402" s="952"/>
      <c r="CT1402" s="1066"/>
      <c r="CU1402" s="972"/>
      <c r="CV1402" s="983"/>
      <c r="CW1402" s="222"/>
      <c r="CX1402" s="697"/>
      <c r="DC1402" s="222"/>
      <c r="DJ1402" s="889"/>
      <c r="DM1402" s="890"/>
      <c r="DN1402" s="952"/>
      <c r="DO1402" s="75"/>
      <c r="DP1402" s="962"/>
      <c r="DQ1402" s="983"/>
      <c r="DV1402" s="889"/>
    </row>
    <row r="1403" spans="1:126" s="74" customFormat="1">
      <c r="A1403" s="15"/>
      <c r="B1403" s="15"/>
      <c r="C1403" s="15"/>
      <c r="D1403" s="15"/>
      <c r="E1403" s="6"/>
      <c r="F1403" s="6"/>
      <c r="G1403" s="6"/>
      <c r="K1403" s="222"/>
      <c r="V1403" s="1430"/>
      <c r="AA1403" s="223"/>
      <c r="AC1403" s="889"/>
      <c r="AF1403" s="890"/>
      <c r="AJ1403" s="889"/>
      <c r="AN1403" s="222"/>
      <c r="BC1403" s="223"/>
      <c r="BD1403" s="222"/>
      <c r="BH1403" s="611"/>
      <c r="BJ1403" s="15"/>
      <c r="BK1403" s="15"/>
      <c r="BO1403" s="223"/>
      <c r="BQ1403" s="889"/>
      <c r="BT1403" s="890"/>
      <c r="BX1403" s="889"/>
      <c r="CB1403" s="15"/>
      <c r="CC1403" s="697"/>
      <c r="CD1403" s="1086"/>
      <c r="CE1403" s="15"/>
      <c r="CF1403" s="15"/>
      <c r="CG1403" s="936"/>
      <c r="CH1403" s="15"/>
      <c r="CI1403" s="15"/>
      <c r="CJ1403" s="15"/>
      <c r="CK1403" s="1107"/>
      <c r="CL1403" s="22"/>
      <c r="CM1403" s="22"/>
      <c r="CN1403" s="1107"/>
      <c r="CR1403" s="223"/>
      <c r="CS1403" s="952"/>
      <c r="CT1403" s="1066"/>
      <c r="CU1403" s="972"/>
      <c r="CV1403" s="983"/>
      <c r="CW1403" s="222"/>
      <c r="CX1403" s="697"/>
      <c r="DC1403" s="222"/>
      <c r="DJ1403" s="889"/>
      <c r="DM1403" s="890"/>
      <c r="DN1403" s="952"/>
      <c r="DO1403" s="75"/>
      <c r="DP1403" s="962"/>
      <c r="DQ1403" s="983"/>
      <c r="DV1403" s="889"/>
    </row>
    <row r="1404" spans="1:126" s="74" customFormat="1">
      <c r="A1404" s="15"/>
      <c r="B1404" s="15"/>
      <c r="C1404" s="15"/>
      <c r="D1404" s="15"/>
      <c r="E1404" s="6"/>
      <c r="F1404" s="6"/>
      <c r="G1404" s="6"/>
      <c r="K1404" s="222"/>
      <c r="V1404" s="1430"/>
      <c r="AA1404" s="223"/>
      <c r="AC1404" s="889"/>
      <c r="AF1404" s="890"/>
      <c r="AJ1404" s="889"/>
      <c r="AN1404" s="222"/>
      <c r="BC1404" s="223"/>
      <c r="BD1404" s="222"/>
      <c r="BH1404" s="611"/>
      <c r="BJ1404" s="15"/>
      <c r="BK1404" s="15"/>
      <c r="BO1404" s="223"/>
      <c r="BQ1404" s="889"/>
      <c r="BT1404" s="890"/>
      <c r="BX1404" s="889"/>
      <c r="CB1404" s="15"/>
      <c r="CC1404" s="697"/>
      <c r="CD1404" s="1086"/>
      <c r="CE1404" s="15"/>
      <c r="CF1404" s="15"/>
      <c r="CG1404" s="936"/>
      <c r="CH1404" s="15"/>
      <c r="CI1404" s="15"/>
      <c r="CJ1404" s="15"/>
      <c r="CK1404" s="1107"/>
      <c r="CL1404" s="22"/>
      <c r="CM1404" s="22"/>
      <c r="CN1404" s="1107"/>
      <c r="CR1404" s="223"/>
      <c r="CS1404" s="952"/>
      <c r="CT1404" s="1066"/>
      <c r="CU1404" s="972"/>
      <c r="CV1404" s="983"/>
      <c r="CW1404" s="222"/>
      <c r="CX1404" s="697"/>
      <c r="DC1404" s="222"/>
      <c r="DJ1404" s="889"/>
      <c r="DM1404" s="890"/>
      <c r="DN1404" s="952"/>
      <c r="DO1404" s="75"/>
      <c r="DP1404" s="962"/>
      <c r="DQ1404" s="983"/>
      <c r="DV1404" s="889"/>
    </row>
    <row r="1405" spans="1:126" s="74" customFormat="1">
      <c r="A1405" s="15"/>
      <c r="B1405" s="15"/>
      <c r="C1405" s="15"/>
      <c r="D1405" s="15"/>
      <c r="E1405" s="6"/>
      <c r="F1405" s="6"/>
      <c r="G1405" s="6"/>
      <c r="K1405" s="222"/>
      <c r="V1405" s="1430"/>
      <c r="AA1405" s="223"/>
      <c r="AC1405" s="889"/>
      <c r="AF1405" s="890"/>
      <c r="AJ1405" s="889"/>
      <c r="AN1405" s="222"/>
      <c r="BC1405" s="223"/>
      <c r="BD1405" s="222"/>
      <c r="BH1405" s="611"/>
      <c r="BJ1405" s="15"/>
      <c r="BK1405" s="15"/>
      <c r="BO1405" s="223"/>
      <c r="BQ1405" s="889"/>
      <c r="BT1405" s="890"/>
      <c r="BX1405" s="889"/>
      <c r="CB1405" s="15"/>
      <c r="CC1405" s="697"/>
      <c r="CD1405" s="1086"/>
      <c r="CE1405" s="15"/>
      <c r="CF1405" s="15"/>
      <c r="CG1405" s="936"/>
      <c r="CH1405" s="15"/>
      <c r="CI1405" s="15"/>
      <c r="CJ1405" s="15"/>
      <c r="CK1405" s="1107"/>
      <c r="CL1405" s="22"/>
      <c r="CM1405" s="22"/>
      <c r="CN1405" s="1107"/>
      <c r="CR1405" s="223"/>
      <c r="CS1405" s="952"/>
      <c r="CT1405" s="1066"/>
      <c r="CU1405" s="972"/>
      <c r="CV1405" s="983"/>
      <c r="CW1405" s="222"/>
      <c r="CX1405" s="697"/>
      <c r="DC1405" s="222"/>
      <c r="DJ1405" s="889"/>
      <c r="DM1405" s="890"/>
      <c r="DN1405" s="952"/>
      <c r="DO1405" s="75"/>
      <c r="DP1405" s="962"/>
      <c r="DQ1405" s="983"/>
      <c r="DV1405" s="889"/>
    </row>
    <row r="1406" spans="1:126" s="74" customFormat="1">
      <c r="A1406" s="15"/>
      <c r="B1406" s="15"/>
      <c r="C1406" s="15"/>
      <c r="D1406" s="15"/>
      <c r="E1406" s="6"/>
      <c r="F1406" s="6"/>
      <c r="G1406" s="6"/>
      <c r="K1406" s="222"/>
      <c r="V1406" s="1430"/>
      <c r="AA1406" s="223"/>
      <c r="AC1406" s="889"/>
      <c r="AF1406" s="890"/>
      <c r="AJ1406" s="889"/>
      <c r="AN1406" s="222"/>
      <c r="BC1406" s="223"/>
      <c r="BD1406" s="222"/>
      <c r="BH1406" s="611"/>
      <c r="BJ1406" s="15"/>
      <c r="BK1406" s="15"/>
      <c r="BO1406" s="223"/>
      <c r="BQ1406" s="889"/>
      <c r="BT1406" s="890"/>
      <c r="BX1406" s="889"/>
      <c r="CB1406" s="15"/>
      <c r="CC1406" s="697"/>
      <c r="CD1406" s="1086"/>
      <c r="CE1406" s="15"/>
      <c r="CF1406" s="15"/>
      <c r="CG1406" s="936"/>
      <c r="CH1406" s="15"/>
      <c r="CI1406" s="15"/>
      <c r="CJ1406" s="15"/>
      <c r="CK1406" s="1107"/>
      <c r="CL1406" s="22"/>
      <c r="CM1406" s="22"/>
      <c r="CN1406" s="1107"/>
      <c r="CR1406" s="223"/>
      <c r="CS1406" s="952"/>
      <c r="CT1406" s="1066"/>
      <c r="CU1406" s="972"/>
      <c r="CV1406" s="983"/>
      <c r="CW1406" s="222"/>
      <c r="CX1406" s="697"/>
      <c r="DC1406" s="222"/>
      <c r="DJ1406" s="889"/>
      <c r="DM1406" s="890"/>
      <c r="DN1406" s="952"/>
      <c r="DO1406" s="75"/>
      <c r="DP1406" s="962"/>
      <c r="DQ1406" s="983"/>
      <c r="DV1406" s="889"/>
    </row>
    <row r="1407" spans="1:126" s="74" customFormat="1">
      <c r="A1407" s="15"/>
      <c r="B1407" s="15"/>
      <c r="C1407" s="15"/>
      <c r="D1407" s="15"/>
      <c r="E1407" s="6"/>
      <c r="F1407" s="6"/>
      <c r="G1407" s="6"/>
      <c r="K1407" s="222"/>
      <c r="V1407" s="1430"/>
      <c r="AA1407" s="223"/>
      <c r="AC1407" s="889"/>
      <c r="AF1407" s="890"/>
      <c r="AJ1407" s="889"/>
      <c r="AN1407" s="222"/>
      <c r="BC1407" s="223"/>
      <c r="BD1407" s="222"/>
      <c r="BH1407" s="611"/>
      <c r="BJ1407" s="15"/>
      <c r="BK1407" s="15"/>
      <c r="BO1407" s="223"/>
      <c r="BQ1407" s="889"/>
      <c r="BT1407" s="890"/>
      <c r="BX1407" s="889"/>
      <c r="CB1407" s="15"/>
      <c r="CC1407" s="697"/>
      <c r="CD1407" s="1086"/>
      <c r="CE1407" s="15"/>
      <c r="CF1407" s="15"/>
      <c r="CG1407" s="936"/>
      <c r="CH1407" s="15"/>
      <c r="CI1407" s="15"/>
      <c r="CJ1407" s="15"/>
      <c r="CK1407" s="1107"/>
      <c r="CL1407" s="22"/>
      <c r="CM1407" s="22"/>
      <c r="CN1407" s="1107"/>
      <c r="CR1407" s="223"/>
      <c r="CS1407" s="952"/>
      <c r="CT1407" s="1066"/>
      <c r="CU1407" s="972"/>
      <c r="CV1407" s="983"/>
      <c r="CW1407" s="222"/>
      <c r="CX1407" s="697"/>
      <c r="DC1407" s="222"/>
      <c r="DJ1407" s="889"/>
      <c r="DM1407" s="890"/>
      <c r="DN1407" s="952"/>
      <c r="DO1407" s="75"/>
      <c r="DP1407" s="962"/>
      <c r="DQ1407" s="983"/>
      <c r="DV1407" s="889"/>
    </row>
    <row r="1408" spans="1:126" s="74" customFormat="1">
      <c r="A1408" s="15"/>
      <c r="B1408" s="15"/>
      <c r="C1408" s="15"/>
      <c r="D1408" s="15"/>
      <c r="E1408" s="6"/>
      <c r="F1408" s="6"/>
      <c r="G1408" s="6"/>
      <c r="K1408" s="222"/>
      <c r="V1408" s="1430"/>
      <c r="AA1408" s="223"/>
      <c r="AC1408" s="889"/>
      <c r="AF1408" s="890"/>
      <c r="AJ1408" s="889"/>
      <c r="AN1408" s="222"/>
      <c r="BC1408" s="223"/>
      <c r="BD1408" s="222"/>
      <c r="BH1408" s="611"/>
      <c r="BJ1408" s="15"/>
      <c r="BK1408" s="15"/>
      <c r="BO1408" s="223"/>
      <c r="BQ1408" s="889"/>
      <c r="BT1408" s="890"/>
      <c r="BX1408" s="889"/>
      <c r="CB1408" s="15"/>
      <c r="CC1408" s="697"/>
      <c r="CD1408" s="1086"/>
      <c r="CE1408" s="15"/>
      <c r="CF1408" s="15"/>
      <c r="CG1408" s="936"/>
      <c r="CH1408" s="15"/>
      <c r="CI1408" s="15"/>
      <c r="CJ1408" s="15"/>
      <c r="CK1408" s="1107"/>
      <c r="CL1408" s="22"/>
      <c r="CM1408" s="22"/>
      <c r="CN1408" s="1107"/>
      <c r="CR1408" s="223"/>
      <c r="CS1408" s="952"/>
      <c r="CT1408" s="1066"/>
      <c r="CU1408" s="972"/>
      <c r="CV1408" s="983"/>
      <c r="CW1408" s="222"/>
      <c r="CX1408" s="697"/>
      <c r="DC1408" s="222"/>
      <c r="DJ1408" s="889"/>
      <c r="DM1408" s="890"/>
      <c r="DN1408" s="952"/>
      <c r="DO1408" s="75"/>
      <c r="DP1408" s="962"/>
      <c r="DQ1408" s="983"/>
      <c r="DV1408" s="889"/>
    </row>
    <row r="1409" spans="1:126" s="74" customFormat="1">
      <c r="A1409" s="15"/>
      <c r="B1409" s="15"/>
      <c r="C1409" s="15"/>
      <c r="D1409" s="15"/>
      <c r="E1409" s="6"/>
      <c r="F1409" s="6"/>
      <c r="G1409" s="6"/>
      <c r="K1409" s="222"/>
      <c r="V1409" s="1430"/>
      <c r="AA1409" s="223"/>
      <c r="AC1409" s="889"/>
      <c r="AF1409" s="890"/>
      <c r="AJ1409" s="889"/>
      <c r="AN1409" s="222"/>
      <c r="BC1409" s="223"/>
      <c r="BD1409" s="222"/>
      <c r="BH1409" s="611"/>
      <c r="BJ1409" s="15"/>
      <c r="BK1409" s="15"/>
      <c r="BO1409" s="223"/>
      <c r="BQ1409" s="889"/>
      <c r="BT1409" s="890"/>
      <c r="BX1409" s="889"/>
      <c r="CB1409" s="15"/>
      <c r="CC1409" s="697"/>
      <c r="CD1409" s="1086"/>
      <c r="CE1409" s="15"/>
      <c r="CF1409" s="15"/>
      <c r="CG1409" s="936"/>
      <c r="CH1409" s="15"/>
      <c r="CI1409" s="15"/>
      <c r="CJ1409" s="15"/>
      <c r="CK1409" s="1107"/>
      <c r="CL1409" s="22"/>
      <c r="CM1409" s="22"/>
      <c r="CN1409" s="1107"/>
      <c r="CR1409" s="223"/>
      <c r="CS1409" s="952"/>
      <c r="CT1409" s="1066"/>
      <c r="CU1409" s="972"/>
      <c r="CV1409" s="983"/>
      <c r="CW1409" s="222"/>
      <c r="CX1409" s="697"/>
      <c r="DC1409" s="222"/>
      <c r="DJ1409" s="889"/>
      <c r="DM1409" s="890"/>
      <c r="DN1409" s="952"/>
      <c r="DO1409" s="75"/>
      <c r="DP1409" s="962"/>
      <c r="DQ1409" s="983"/>
      <c r="DV1409" s="889"/>
    </row>
    <row r="1410" spans="1:126" s="74" customFormat="1">
      <c r="A1410" s="15"/>
      <c r="B1410" s="15"/>
      <c r="C1410" s="15"/>
      <c r="D1410" s="15"/>
      <c r="E1410" s="6"/>
      <c r="F1410" s="6"/>
      <c r="G1410" s="6"/>
      <c r="K1410" s="222"/>
      <c r="V1410" s="1430"/>
      <c r="AA1410" s="223"/>
      <c r="AC1410" s="889"/>
      <c r="AF1410" s="890"/>
      <c r="AJ1410" s="889"/>
      <c r="AN1410" s="222"/>
      <c r="BC1410" s="223"/>
      <c r="BD1410" s="222"/>
      <c r="BH1410" s="611"/>
      <c r="BJ1410" s="15"/>
      <c r="BK1410" s="15"/>
      <c r="BO1410" s="223"/>
      <c r="BQ1410" s="889"/>
      <c r="BT1410" s="890"/>
      <c r="BX1410" s="889"/>
      <c r="CB1410" s="15"/>
      <c r="CC1410" s="697"/>
      <c r="CD1410" s="1086"/>
      <c r="CE1410" s="15"/>
      <c r="CF1410" s="15"/>
      <c r="CG1410" s="936"/>
      <c r="CH1410" s="15"/>
      <c r="CI1410" s="15"/>
      <c r="CJ1410" s="15"/>
      <c r="CK1410" s="1107"/>
      <c r="CL1410" s="22"/>
      <c r="CM1410" s="22"/>
      <c r="CN1410" s="1107"/>
      <c r="CR1410" s="223"/>
      <c r="CS1410" s="952"/>
      <c r="CT1410" s="1066"/>
      <c r="CU1410" s="972"/>
      <c r="CV1410" s="983"/>
      <c r="CW1410" s="222"/>
      <c r="CX1410" s="697"/>
      <c r="DC1410" s="222"/>
      <c r="DJ1410" s="889"/>
      <c r="DM1410" s="890"/>
      <c r="DN1410" s="952"/>
      <c r="DO1410" s="75"/>
      <c r="DP1410" s="962"/>
      <c r="DQ1410" s="983"/>
      <c r="DV1410" s="889"/>
    </row>
    <row r="1411" spans="1:126" s="74" customFormat="1">
      <c r="A1411" s="15"/>
      <c r="B1411" s="15"/>
      <c r="C1411" s="15"/>
      <c r="D1411" s="15"/>
      <c r="E1411" s="6"/>
      <c r="F1411" s="6"/>
      <c r="G1411" s="6"/>
      <c r="K1411" s="222"/>
      <c r="V1411" s="1430"/>
      <c r="AA1411" s="223"/>
      <c r="AC1411" s="889"/>
      <c r="AF1411" s="890"/>
      <c r="AJ1411" s="889"/>
      <c r="AN1411" s="222"/>
      <c r="BC1411" s="223"/>
      <c r="BD1411" s="222"/>
      <c r="BH1411" s="611"/>
      <c r="BJ1411" s="15"/>
      <c r="BK1411" s="15"/>
      <c r="BO1411" s="223"/>
      <c r="BQ1411" s="889"/>
      <c r="BT1411" s="890"/>
      <c r="BX1411" s="889"/>
      <c r="CB1411" s="15"/>
      <c r="CC1411" s="697"/>
      <c r="CD1411" s="1086"/>
      <c r="CE1411" s="15"/>
      <c r="CF1411" s="15"/>
      <c r="CG1411" s="936"/>
      <c r="CH1411" s="15"/>
      <c r="CI1411" s="15"/>
      <c r="CJ1411" s="15"/>
      <c r="CK1411" s="1107"/>
      <c r="CL1411" s="22"/>
      <c r="CM1411" s="22"/>
      <c r="CN1411" s="1107"/>
      <c r="CR1411" s="223"/>
      <c r="CS1411" s="952"/>
      <c r="CT1411" s="1066"/>
      <c r="CU1411" s="972"/>
      <c r="CV1411" s="983"/>
      <c r="CW1411" s="222"/>
      <c r="CX1411" s="697"/>
      <c r="DC1411" s="222"/>
      <c r="DJ1411" s="889"/>
      <c r="DM1411" s="890"/>
      <c r="DN1411" s="952"/>
      <c r="DO1411" s="75"/>
      <c r="DP1411" s="962"/>
      <c r="DQ1411" s="983"/>
      <c r="DV1411" s="889"/>
    </row>
    <row r="1412" spans="1:126" s="74" customFormat="1">
      <c r="A1412" s="15"/>
      <c r="B1412" s="15"/>
      <c r="C1412" s="15"/>
      <c r="D1412" s="15"/>
      <c r="E1412" s="6"/>
      <c r="F1412" s="6"/>
      <c r="G1412" s="6"/>
      <c r="K1412" s="222"/>
      <c r="V1412" s="1430"/>
      <c r="AA1412" s="223"/>
      <c r="AC1412" s="889"/>
      <c r="AF1412" s="890"/>
      <c r="AJ1412" s="889"/>
      <c r="AN1412" s="222"/>
      <c r="BC1412" s="223"/>
      <c r="BD1412" s="222"/>
      <c r="BH1412" s="611"/>
      <c r="BJ1412" s="15"/>
      <c r="BK1412" s="15"/>
      <c r="BO1412" s="223"/>
      <c r="BQ1412" s="889"/>
      <c r="BT1412" s="890"/>
      <c r="BX1412" s="889"/>
      <c r="CB1412" s="15"/>
      <c r="CC1412" s="697"/>
      <c r="CD1412" s="1086"/>
      <c r="CE1412" s="15"/>
      <c r="CF1412" s="15"/>
      <c r="CG1412" s="936"/>
      <c r="CH1412" s="15"/>
      <c r="CI1412" s="15"/>
      <c r="CJ1412" s="15"/>
      <c r="CK1412" s="1107"/>
      <c r="CL1412" s="22"/>
      <c r="CM1412" s="22"/>
      <c r="CN1412" s="1107"/>
      <c r="CR1412" s="223"/>
      <c r="CS1412" s="952"/>
      <c r="CT1412" s="1066"/>
      <c r="CU1412" s="972"/>
      <c r="CV1412" s="983"/>
      <c r="CW1412" s="222"/>
      <c r="CX1412" s="697"/>
      <c r="DC1412" s="222"/>
      <c r="DJ1412" s="889"/>
      <c r="DM1412" s="890"/>
      <c r="DN1412" s="952"/>
      <c r="DO1412" s="75"/>
      <c r="DP1412" s="962"/>
      <c r="DQ1412" s="983"/>
      <c r="DV1412" s="889"/>
    </row>
    <row r="1413" spans="1:126" s="74" customFormat="1">
      <c r="A1413" s="15"/>
      <c r="B1413" s="15"/>
      <c r="C1413" s="15"/>
      <c r="D1413" s="15"/>
      <c r="E1413" s="6"/>
      <c r="F1413" s="6"/>
      <c r="G1413" s="6"/>
      <c r="K1413" s="222"/>
      <c r="V1413" s="1430"/>
      <c r="AA1413" s="223"/>
      <c r="AC1413" s="889"/>
      <c r="AF1413" s="890"/>
      <c r="AJ1413" s="889"/>
      <c r="AN1413" s="222"/>
      <c r="BC1413" s="223"/>
      <c r="BD1413" s="222"/>
      <c r="BH1413" s="611"/>
      <c r="BJ1413" s="15"/>
      <c r="BK1413" s="15"/>
      <c r="BO1413" s="223"/>
      <c r="BQ1413" s="889"/>
      <c r="BT1413" s="890"/>
      <c r="BX1413" s="889"/>
      <c r="CB1413" s="15"/>
      <c r="CC1413" s="697"/>
      <c r="CD1413" s="1086"/>
      <c r="CE1413" s="15"/>
      <c r="CF1413" s="15"/>
      <c r="CG1413" s="936"/>
      <c r="CH1413" s="15"/>
      <c r="CI1413" s="15"/>
      <c r="CJ1413" s="15"/>
      <c r="CK1413" s="1107"/>
      <c r="CL1413" s="22"/>
      <c r="CM1413" s="22"/>
      <c r="CN1413" s="1107"/>
      <c r="CR1413" s="223"/>
      <c r="CS1413" s="952"/>
      <c r="CT1413" s="1066"/>
      <c r="CU1413" s="972"/>
      <c r="CV1413" s="983"/>
      <c r="CW1413" s="222"/>
      <c r="CX1413" s="697"/>
      <c r="DC1413" s="222"/>
      <c r="DJ1413" s="889"/>
      <c r="DM1413" s="890"/>
      <c r="DN1413" s="952"/>
      <c r="DO1413" s="75"/>
      <c r="DP1413" s="962"/>
      <c r="DQ1413" s="983"/>
      <c r="DV1413" s="889"/>
    </row>
    <row r="1414" spans="1:126" s="74" customFormat="1">
      <c r="A1414" s="15"/>
      <c r="B1414" s="15"/>
      <c r="C1414" s="15"/>
      <c r="D1414" s="15"/>
      <c r="E1414" s="6"/>
      <c r="F1414" s="6"/>
      <c r="G1414" s="6"/>
      <c r="K1414" s="222"/>
      <c r="V1414" s="1430"/>
      <c r="AA1414" s="223"/>
      <c r="AC1414" s="889"/>
      <c r="AF1414" s="890"/>
      <c r="AJ1414" s="889"/>
      <c r="AN1414" s="222"/>
      <c r="BC1414" s="223"/>
      <c r="BD1414" s="222"/>
      <c r="BH1414" s="611"/>
      <c r="BJ1414" s="15"/>
      <c r="BK1414" s="15"/>
      <c r="BO1414" s="223"/>
      <c r="BQ1414" s="889"/>
      <c r="BT1414" s="890"/>
      <c r="BX1414" s="889"/>
      <c r="CB1414" s="15"/>
      <c r="CC1414" s="697"/>
      <c r="CD1414" s="1086"/>
      <c r="CE1414" s="15"/>
      <c r="CF1414" s="15"/>
      <c r="CG1414" s="936"/>
      <c r="CH1414" s="15"/>
      <c r="CI1414" s="15"/>
      <c r="CJ1414" s="15"/>
      <c r="CK1414" s="1107"/>
      <c r="CL1414" s="22"/>
      <c r="CM1414" s="22"/>
      <c r="CN1414" s="1107"/>
      <c r="CR1414" s="223"/>
      <c r="CS1414" s="952"/>
      <c r="CT1414" s="1066"/>
      <c r="CU1414" s="972"/>
      <c r="CV1414" s="983"/>
      <c r="CW1414" s="222"/>
      <c r="CX1414" s="697"/>
      <c r="DC1414" s="222"/>
      <c r="DJ1414" s="889"/>
      <c r="DM1414" s="890"/>
      <c r="DN1414" s="952"/>
      <c r="DO1414" s="75"/>
      <c r="DP1414" s="962"/>
      <c r="DQ1414" s="983"/>
      <c r="DV1414" s="889"/>
    </row>
    <row r="1415" spans="1:126" s="74" customFormat="1">
      <c r="A1415" s="15"/>
      <c r="B1415" s="15"/>
      <c r="C1415" s="15"/>
      <c r="D1415" s="15"/>
      <c r="E1415" s="6"/>
      <c r="F1415" s="6"/>
      <c r="G1415" s="6"/>
      <c r="K1415" s="222"/>
      <c r="V1415" s="1430"/>
      <c r="AA1415" s="223"/>
      <c r="AC1415" s="889"/>
      <c r="AF1415" s="890"/>
      <c r="AJ1415" s="889"/>
      <c r="AN1415" s="222"/>
      <c r="BC1415" s="223"/>
      <c r="BD1415" s="222"/>
      <c r="BH1415" s="611"/>
      <c r="BJ1415" s="15"/>
      <c r="BK1415" s="15"/>
      <c r="BO1415" s="223"/>
      <c r="BQ1415" s="889"/>
      <c r="BT1415" s="890"/>
      <c r="BX1415" s="889"/>
      <c r="CB1415" s="15"/>
      <c r="CC1415" s="697"/>
      <c r="CD1415" s="1086"/>
      <c r="CE1415" s="15"/>
      <c r="CF1415" s="15"/>
      <c r="CG1415" s="936"/>
      <c r="CH1415" s="15"/>
      <c r="CI1415" s="15"/>
      <c r="CJ1415" s="15"/>
      <c r="CK1415" s="1107"/>
      <c r="CL1415" s="22"/>
      <c r="CM1415" s="22"/>
      <c r="CN1415" s="1107"/>
      <c r="CR1415" s="223"/>
      <c r="CS1415" s="952"/>
      <c r="CT1415" s="1066"/>
      <c r="CU1415" s="972"/>
      <c r="CV1415" s="983"/>
      <c r="CW1415" s="222"/>
      <c r="CX1415" s="697"/>
      <c r="DC1415" s="222"/>
      <c r="DJ1415" s="889"/>
      <c r="DM1415" s="890"/>
      <c r="DN1415" s="952"/>
      <c r="DO1415" s="75"/>
      <c r="DP1415" s="962"/>
      <c r="DQ1415" s="983"/>
      <c r="DV1415" s="889"/>
    </row>
    <row r="1416" spans="1:126" s="74" customFormat="1">
      <c r="A1416" s="15"/>
      <c r="B1416" s="15"/>
      <c r="C1416" s="15"/>
      <c r="D1416" s="15"/>
      <c r="E1416" s="6"/>
      <c r="F1416" s="6"/>
      <c r="G1416" s="6"/>
      <c r="K1416" s="222"/>
      <c r="V1416" s="1430"/>
      <c r="AA1416" s="223"/>
      <c r="AC1416" s="889"/>
      <c r="AF1416" s="890"/>
      <c r="AJ1416" s="889"/>
      <c r="AN1416" s="222"/>
      <c r="BC1416" s="223"/>
      <c r="BD1416" s="222"/>
      <c r="BH1416" s="611"/>
      <c r="BJ1416" s="15"/>
      <c r="BK1416" s="15"/>
      <c r="BO1416" s="223"/>
      <c r="BQ1416" s="889"/>
      <c r="BT1416" s="890"/>
      <c r="BX1416" s="889"/>
      <c r="CB1416" s="15"/>
      <c r="CC1416" s="697"/>
      <c r="CD1416" s="1086"/>
      <c r="CE1416" s="15"/>
      <c r="CF1416" s="15"/>
      <c r="CG1416" s="936"/>
      <c r="CH1416" s="15"/>
      <c r="CI1416" s="15"/>
      <c r="CJ1416" s="15"/>
      <c r="CK1416" s="1107"/>
      <c r="CL1416" s="22"/>
      <c r="CM1416" s="22"/>
      <c r="CN1416" s="1107"/>
      <c r="CR1416" s="223"/>
      <c r="CS1416" s="952"/>
      <c r="CT1416" s="1066"/>
      <c r="CU1416" s="972"/>
      <c r="CV1416" s="983"/>
      <c r="CW1416" s="222"/>
      <c r="CX1416" s="697"/>
      <c r="DC1416" s="222"/>
      <c r="DJ1416" s="889"/>
      <c r="DM1416" s="890"/>
      <c r="DN1416" s="952"/>
      <c r="DO1416" s="75"/>
      <c r="DP1416" s="962"/>
      <c r="DQ1416" s="983"/>
      <c r="DV1416" s="889"/>
    </row>
    <row r="1417" spans="1:126" s="74" customFormat="1">
      <c r="A1417" s="15"/>
      <c r="B1417" s="15"/>
      <c r="C1417" s="15"/>
      <c r="D1417" s="15"/>
      <c r="E1417" s="6"/>
      <c r="F1417" s="6"/>
      <c r="G1417" s="6"/>
      <c r="K1417" s="222"/>
      <c r="V1417" s="1430"/>
      <c r="AA1417" s="223"/>
      <c r="AC1417" s="889"/>
      <c r="AF1417" s="890"/>
      <c r="AJ1417" s="889"/>
      <c r="AN1417" s="222"/>
      <c r="BC1417" s="223"/>
      <c r="BD1417" s="222"/>
      <c r="BH1417" s="611"/>
      <c r="BJ1417" s="15"/>
      <c r="BK1417" s="15"/>
      <c r="BO1417" s="223"/>
      <c r="BQ1417" s="889"/>
      <c r="BT1417" s="890"/>
      <c r="BX1417" s="889"/>
      <c r="CB1417" s="15"/>
      <c r="CC1417" s="697"/>
      <c r="CD1417" s="1086"/>
      <c r="CE1417" s="15"/>
      <c r="CF1417" s="15"/>
      <c r="CG1417" s="936"/>
      <c r="CH1417" s="15"/>
      <c r="CI1417" s="15"/>
      <c r="CJ1417" s="15"/>
      <c r="CK1417" s="1107"/>
      <c r="CL1417" s="22"/>
      <c r="CM1417" s="22"/>
      <c r="CN1417" s="1107"/>
      <c r="CR1417" s="223"/>
      <c r="CS1417" s="952"/>
      <c r="CT1417" s="1066"/>
      <c r="CU1417" s="972"/>
      <c r="CV1417" s="983"/>
      <c r="CW1417" s="222"/>
      <c r="CX1417" s="697"/>
      <c r="DC1417" s="222"/>
      <c r="DJ1417" s="889"/>
      <c r="DM1417" s="890"/>
      <c r="DN1417" s="952"/>
      <c r="DO1417" s="75"/>
      <c r="DP1417" s="962"/>
      <c r="DQ1417" s="983"/>
      <c r="DV1417" s="889"/>
    </row>
    <row r="1418" spans="1:126" s="74" customFormat="1">
      <c r="A1418" s="15"/>
      <c r="B1418" s="15"/>
      <c r="C1418" s="15"/>
      <c r="D1418" s="15"/>
      <c r="E1418" s="6"/>
      <c r="F1418" s="6"/>
      <c r="G1418" s="6"/>
      <c r="K1418" s="222"/>
      <c r="V1418" s="1430"/>
      <c r="AA1418" s="223"/>
      <c r="AC1418" s="889"/>
      <c r="AF1418" s="890"/>
      <c r="AJ1418" s="889"/>
      <c r="AN1418" s="222"/>
      <c r="BC1418" s="223"/>
      <c r="BD1418" s="222"/>
      <c r="BH1418" s="611"/>
      <c r="BJ1418" s="15"/>
      <c r="BK1418" s="15"/>
      <c r="BO1418" s="223"/>
      <c r="BQ1418" s="889"/>
      <c r="BT1418" s="890"/>
      <c r="BX1418" s="889"/>
      <c r="CB1418" s="15"/>
      <c r="CC1418" s="697"/>
      <c r="CD1418" s="1086"/>
      <c r="CE1418" s="15"/>
      <c r="CF1418" s="15"/>
      <c r="CG1418" s="936"/>
      <c r="CH1418" s="15"/>
      <c r="CI1418" s="15"/>
      <c r="CJ1418" s="15"/>
      <c r="CK1418" s="1107"/>
      <c r="CL1418" s="22"/>
      <c r="CM1418" s="22"/>
      <c r="CN1418" s="1107"/>
      <c r="CR1418" s="223"/>
      <c r="CS1418" s="952"/>
      <c r="CT1418" s="1066"/>
      <c r="CU1418" s="972"/>
      <c r="CV1418" s="983"/>
      <c r="CW1418" s="222"/>
      <c r="CX1418" s="697"/>
      <c r="DC1418" s="222"/>
      <c r="DJ1418" s="889"/>
      <c r="DM1418" s="890"/>
      <c r="DN1418" s="952"/>
      <c r="DO1418" s="75"/>
      <c r="DP1418" s="962"/>
      <c r="DQ1418" s="983"/>
      <c r="DV1418" s="889"/>
    </row>
    <row r="1419" spans="1:126" s="74" customFormat="1">
      <c r="A1419" s="15"/>
      <c r="B1419" s="15"/>
      <c r="C1419" s="15"/>
      <c r="D1419" s="15"/>
      <c r="E1419" s="6"/>
      <c r="F1419" s="6"/>
      <c r="G1419" s="6"/>
      <c r="K1419" s="222"/>
      <c r="V1419" s="1430"/>
      <c r="AA1419" s="223"/>
      <c r="AC1419" s="889"/>
      <c r="AF1419" s="890"/>
      <c r="AJ1419" s="889"/>
      <c r="AN1419" s="222"/>
      <c r="BC1419" s="223"/>
      <c r="BD1419" s="222"/>
      <c r="BH1419" s="611"/>
      <c r="BJ1419" s="15"/>
      <c r="BK1419" s="15"/>
      <c r="BO1419" s="223"/>
      <c r="BQ1419" s="889"/>
      <c r="BT1419" s="890"/>
      <c r="BX1419" s="889"/>
      <c r="CB1419" s="15"/>
      <c r="CC1419" s="697"/>
      <c r="CD1419" s="1086"/>
      <c r="CE1419" s="15"/>
      <c r="CF1419" s="15"/>
      <c r="CG1419" s="936"/>
      <c r="CH1419" s="15"/>
      <c r="CI1419" s="15"/>
      <c r="CJ1419" s="15"/>
      <c r="CK1419" s="1107"/>
      <c r="CL1419" s="22"/>
      <c r="CM1419" s="22"/>
      <c r="CN1419" s="1107"/>
      <c r="CR1419" s="223"/>
      <c r="CS1419" s="952"/>
      <c r="CT1419" s="1066"/>
      <c r="CU1419" s="972"/>
      <c r="CV1419" s="983"/>
      <c r="CW1419" s="222"/>
      <c r="CX1419" s="697"/>
      <c r="DC1419" s="222"/>
      <c r="DJ1419" s="889"/>
      <c r="DM1419" s="890"/>
      <c r="DN1419" s="952"/>
      <c r="DO1419" s="75"/>
      <c r="DP1419" s="962"/>
      <c r="DQ1419" s="983"/>
      <c r="DV1419" s="889"/>
    </row>
    <row r="1420" spans="1:126" s="74" customFormat="1">
      <c r="A1420" s="15"/>
      <c r="B1420" s="15"/>
      <c r="C1420" s="15"/>
      <c r="D1420" s="15"/>
      <c r="E1420" s="6"/>
      <c r="F1420" s="6"/>
      <c r="G1420" s="6"/>
      <c r="K1420" s="222"/>
      <c r="V1420" s="1430"/>
      <c r="AA1420" s="223"/>
      <c r="AC1420" s="889"/>
      <c r="AF1420" s="890"/>
      <c r="AJ1420" s="889"/>
      <c r="AN1420" s="222"/>
      <c r="BC1420" s="223"/>
      <c r="BD1420" s="222"/>
      <c r="BH1420" s="611"/>
      <c r="BJ1420" s="15"/>
      <c r="BK1420" s="15"/>
      <c r="BO1420" s="223"/>
      <c r="BQ1420" s="889"/>
      <c r="BT1420" s="890"/>
      <c r="BX1420" s="889"/>
      <c r="CB1420" s="15"/>
      <c r="CC1420" s="697"/>
      <c r="CD1420" s="1086"/>
      <c r="CE1420" s="15"/>
      <c r="CF1420" s="15"/>
      <c r="CG1420" s="936"/>
      <c r="CH1420" s="15"/>
      <c r="CI1420" s="15"/>
      <c r="CJ1420" s="15"/>
      <c r="CK1420" s="1107"/>
      <c r="CL1420" s="22"/>
      <c r="CM1420" s="22"/>
      <c r="CN1420" s="1107"/>
      <c r="CR1420" s="223"/>
      <c r="CS1420" s="952"/>
      <c r="CT1420" s="1066"/>
      <c r="CU1420" s="972"/>
      <c r="CV1420" s="983"/>
      <c r="CW1420" s="222"/>
      <c r="CX1420" s="697"/>
      <c r="DC1420" s="222"/>
      <c r="DJ1420" s="889"/>
      <c r="DM1420" s="890"/>
      <c r="DN1420" s="952"/>
      <c r="DO1420" s="75"/>
      <c r="DP1420" s="962"/>
      <c r="DQ1420" s="983"/>
      <c r="DV1420" s="889"/>
    </row>
    <row r="1421" spans="1:126" s="74" customFormat="1">
      <c r="A1421" s="15"/>
      <c r="B1421" s="15"/>
      <c r="C1421" s="15"/>
      <c r="D1421" s="15"/>
      <c r="E1421" s="6"/>
      <c r="F1421" s="6"/>
      <c r="G1421" s="6"/>
      <c r="K1421" s="222"/>
      <c r="V1421" s="1430"/>
      <c r="AA1421" s="223"/>
      <c r="AC1421" s="889"/>
      <c r="AF1421" s="890"/>
      <c r="AJ1421" s="889"/>
      <c r="AN1421" s="222"/>
      <c r="BC1421" s="223"/>
      <c r="BD1421" s="222"/>
      <c r="BH1421" s="611"/>
      <c r="BJ1421" s="15"/>
      <c r="BK1421" s="15"/>
      <c r="BO1421" s="223"/>
      <c r="BQ1421" s="889"/>
      <c r="BT1421" s="890"/>
      <c r="BX1421" s="889"/>
      <c r="CB1421" s="15"/>
      <c r="CC1421" s="697"/>
      <c r="CD1421" s="1086"/>
      <c r="CE1421" s="15"/>
      <c r="CF1421" s="15"/>
      <c r="CG1421" s="936"/>
      <c r="CH1421" s="15"/>
      <c r="CI1421" s="15"/>
      <c r="CJ1421" s="15"/>
      <c r="CK1421" s="1107"/>
      <c r="CL1421" s="22"/>
      <c r="CM1421" s="22"/>
      <c r="CN1421" s="1107"/>
      <c r="CR1421" s="223"/>
      <c r="CS1421" s="952"/>
      <c r="CT1421" s="1066"/>
      <c r="CU1421" s="972"/>
      <c r="CV1421" s="983"/>
      <c r="CW1421" s="222"/>
      <c r="CX1421" s="697"/>
      <c r="DC1421" s="222"/>
      <c r="DJ1421" s="889"/>
      <c r="DM1421" s="890"/>
      <c r="DN1421" s="952"/>
      <c r="DO1421" s="75"/>
      <c r="DP1421" s="962"/>
      <c r="DQ1421" s="983"/>
      <c r="DV1421" s="889"/>
    </row>
    <row r="1422" spans="1:126" s="74" customFormat="1">
      <c r="A1422" s="15"/>
      <c r="B1422" s="15"/>
      <c r="C1422" s="15"/>
      <c r="D1422" s="15"/>
      <c r="E1422" s="6"/>
      <c r="F1422" s="6"/>
      <c r="G1422" s="6"/>
      <c r="K1422" s="222"/>
      <c r="V1422" s="1430"/>
      <c r="AA1422" s="223"/>
      <c r="AC1422" s="889"/>
      <c r="AF1422" s="890"/>
      <c r="AJ1422" s="889"/>
      <c r="AN1422" s="222"/>
      <c r="BC1422" s="223"/>
      <c r="BD1422" s="222"/>
      <c r="BH1422" s="611"/>
      <c r="BJ1422" s="15"/>
      <c r="BK1422" s="15"/>
      <c r="BO1422" s="223"/>
      <c r="BQ1422" s="889"/>
      <c r="BT1422" s="890"/>
      <c r="BX1422" s="889"/>
      <c r="CB1422" s="15"/>
      <c r="CC1422" s="697"/>
      <c r="CD1422" s="1086"/>
      <c r="CE1422" s="15"/>
      <c r="CF1422" s="15"/>
      <c r="CG1422" s="936"/>
      <c r="CH1422" s="15"/>
      <c r="CI1422" s="15"/>
      <c r="CJ1422" s="15"/>
      <c r="CK1422" s="1107"/>
      <c r="CL1422" s="22"/>
      <c r="CM1422" s="22"/>
      <c r="CN1422" s="1107"/>
      <c r="CR1422" s="223"/>
      <c r="CS1422" s="952"/>
      <c r="CT1422" s="1066"/>
      <c r="CU1422" s="972"/>
      <c r="CV1422" s="983"/>
      <c r="CW1422" s="222"/>
      <c r="CX1422" s="697"/>
      <c r="DC1422" s="222"/>
      <c r="DJ1422" s="889"/>
      <c r="DM1422" s="890"/>
      <c r="DN1422" s="952"/>
      <c r="DO1422" s="75"/>
      <c r="DP1422" s="962"/>
      <c r="DQ1422" s="983"/>
      <c r="DV1422" s="889"/>
    </row>
    <row r="1423" spans="1:126" s="74" customFormat="1">
      <c r="A1423" s="15"/>
      <c r="B1423" s="15"/>
      <c r="C1423" s="15"/>
      <c r="D1423" s="15"/>
      <c r="E1423" s="6"/>
      <c r="F1423" s="6"/>
      <c r="G1423" s="6"/>
      <c r="K1423" s="222"/>
      <c r="V1423" s="1430"/>
      <c r="AA1423" s="223"/>
      <c r="AC1423" s="889"/>
      <c r="AF1423" s="890"/>
      <c r="AJ1423" s="889"/>
      <c r="AN1423" s="222"/>
      <c r="BC1423" s="223"/>
      <c r="BD1423" s="222"/>
      <c r="BH1423" s="611"/>
      <c r="BJ1423" s="15"/>
      <c r="BK1423" s="15"/>
      <c r="BO1423" s="223"/>
      <c r="BQ1423" s="889"/>
      <c r="BT1423" s="890"/>
      <c r="BX1423" s="889"/>
      <c r="CB1423" s="15"/>
      <c r="CC1423" s="697"/>
      <c r="CD1423" s="1086"/>
      <c r="CE1423" s="15"/>
      <c r="CF1423" s="15"/>
      <c r="CG1423" s="936"/>
      <c r="CH1423" s="15"/>
      <c r="CI1423" s="15"/>
      <c r="CJ1423" s="15"/>
      <c r="CK1423" s="1107"/>
      <c r="CL1423" s="22"/>
      <c r="CM1423" s="22"/>
      <c r="CN1423" s="1107"/>
      <c r="CR1423" s="223"/>
      <c r="CS1423" s="952"/>
      <c r="CT1423" s="1066"/>
      <c r="CU1423" s="972"/>
      <c r="CV1423" s="983"/>
      <c r="CW1423" s="222"/>
      <c r="CX1423" s="697"/>
      <c r="DC1423" s="222"/>
      <c r="DJ1423" s="889"/>
      <c r="DM1423" s="890"/>
      <c r="DN1423" s="952"/>
      <c r="DO1423" s="75"/>
      <c r="DP1423" s="962"/>
      <c r="DQ1423" s="983"/>
      <c r="DV1423" s="889"/>
    </row>
    <row r="1424" spans="1:126" s="74" customFormat="1">
      <c r="A1424" s="15"/>
      <c r="B1424" s="15"/>
      <c r="C1424" s="15"/>
      <c r="D1424" s="15"/>
      <c r="E1424" s="6"/>
      <c r="F1424" s="6"/>
      <c r="G1424" s="6"/>
      <c r="K1424" s="222"/>
      <c r="V1424" s="1430"/>
      <c r="AA1424" s="223"/>
      <c r="AC1424" s="889"/>
      <c r="AF1424" s="890"/>
      <c r="AJ1424" s="889"/>
      <c r="AN1424" s="222"/>
      <c r="BC1424" s="223"/>
      <c r="BD1424" s="222"/>
      <c r="BH1424" s="611"/>
      <c r="BJ1424" s="15"/>
      <c r="BK1424" s="15"/>
      <c r="BO1424" s="223"/>
      <c r="BQ1424" s="889"/>
      <c r="BT1424" s="890"/>
      <c r="BX1424" s="889"/>
      <c r="CB1424" s="15"/>
      <c r="CC1424" s="697"/>
      <c r="CD1424" s="1086"/>
      <c r="CE1424" s="15"/>
      <c r="CF1424" s="15"/>
      <c r="CG1424" s="936"/>
      <c r="CH1424" s="15"/>
      <c r="CI1424" s="15"/>
      <c r="CJ1424" s="15"/>
      <c r="CK1424" s="1107"/>
      <c r="CL1424" s="22"/>
      <c r="CM1424" s="22"/>
      <c r="CN1424" s="1107"/>
      <c r="CR1424" s="223"/>
      <c r="CS1424" s="952"/>
      <c r="CT1424" s="1066"/>
      <c r="CU1424" s="972"/>
      <c r="CV1424" s="983"/>
      <c r="CW1424" s="222"/>
      <c r="CX1424" s="697"/>
      <c r="DC1424" s="222"/>
      <c r="DJ1424" s="889"/>
      <c r="DM1424" s="890"/>
      <c r="DN1424" s="952"/>
      <c r="DO1424" s="75"/>
      <c r="DP1424" s="962"/>
      <c r="DQ1424" s="983"/>
      <c r="DV1424" s="889"/>
    </row>
    <row r="1425" spans="1:126" s="74" customFormat="1">
      <c r="A1425" s="15"/>
      <c r="B1425" s="15"/>
      <c r="C1425" s="15"/>
      <c r="D1425" s="15"/>
      <c r="E1425" s="6"/>
      <c r="F1425" s="6"/>
      <c r="G1425" s="6"/>
      <c r="K1425" s="222"/>
      <c r="V1425" s="1430"/>
      <c r="AA1425" s="223"/>
      <c r="AC1425" s="889"/>
      <c r="AF1425" s="890"/>
      <c r="AJ1425" s="889"/>
      <c r="AN1425" s="222"/>
      <c r="BC1425" s="223"/>
      <c r="BD1425" s="222"/>
      <c r="BH1425" s="611"/>
      <c r="BJ1425" s="15"/>
      <c r="BK1425" s="15"/>
      <c r="BO1425" s="223"/>
      <c r="BQ1425" s="889"/>
      <c r="BT1425" s="890"/>
      <c r="BX1425" s="889"/>
      <c r="CB1425" s="15"/>
      <c r="CC1425" s="697"/>
      <c r="CD1425" s="1086"/>
      <c r="CE1425" s="15"/>
      <c r="CF1425" s="15"/>
      <c r="CG1425" s="936"/>
      <c r="CH1425" s="15"/>
      <c r="CI1425" s="15"/>
      <c r="CJ1425" s="15"/>
      <c r="CK1425" s="1107"/>
      <c r="CL1425" s="22"/>
      <c r="CM1425" s="22"/>
      <c r="CN1425" s="1107"/>
      <c r="CR1425" s="223"/>
      <c r="CS1425" s="952"/>
      <c r="CT1425" s="1066"/>
      <c r="CU1425" s="972"/>
      <c r="CV1425" s="983"/>
      <c r="CW1425" s="222"/>
      <c r="CX1425" s="697"/>
      <c r="DC1425" s="222"/>
      <c r="DJ1425" s="889"/>
      <c r="DM1425" s="890"/>
      <c r="DN1425" s="952"/>
      <c r="DO1425" s="75"/>
      <c r="DP1425" s="962"/>
      <c r="DQ1425" s="983"/>
      <c r="DV1425" s="889"/>
    </row>
    <row r="1426" spans="1:126" s="74" customFormat="1">
      <c r="A1426" s="15"/>
      <c r="B1426" s="15"/>
      <c r="C1426" s="15"/>
      <c r="D1426" s="15"/>
      <c r="E1426" s="6"/>
      <c r="F1426" s="6"/>
      <c r="G1426" s="6"/>
      <c r="K1426" s="222"/>
      <c r="V1426" s="1430"/>
      <c r="AA1426" s="223"/>
      <c r="AC1426" s="889"/>
      <c r="AF1426" s="890"/>
      <c r="AJ1426" s="889"/>
      <c r="AN1426" s="222"/>
      <c r="BC1426" s="223"/>
      <c r="BD1426" s="222"/>
      <c r="BH1426" s="611"/>
      <c r="BJ1426" s="15"/>
      <c r="BK1426" s="15"/>
      <c r="BO1426" s="223"/>
      <c r="BQ1426" s="889"/>
      <c r="BT1426" s="890"/>
      <c r="BX1426" s="889"/>
      <c r="CB1426" s="15"/>
      <c r="CC1426" s="697"/>
      <c r="CD1426" s="1086"/>
      <c r="CE1426" s="15"/>
      <c r="CF1426" s="15"/>
      <c r="CG1426" s="936"/>
      <c r="CH1426" s="15"/>
      <c r="CI1426" s="15"/>
      <c r="CJ1426" s="15"/>
      <c r="CK1426" s="1107"/>
      <c r="CL1426" s="22"/>
      <c r="CM1426" s="22"/>
      <c r="CN1426" s="1107"/>
      <c r="CR1426" s="223"/>
      <c r="CS1426" s="952"/>
      <c r="CT1426" s="1066"/>
      <c r="CU1426" s="972"/>
      <c r="CV1426" s="983"/>
      <c r="CW1426" s="222"/>
      <c r="CX1426" s="697"/>
      <c r="DC1426" s="222"/>
      <c r="DJ1426" s="889"/>
      <c r="DM1426" s="890"/>
      <c r="DN1426" s="952"/>
      <c r="DO1426" s="75"/>
      <c r="DP1426" s="962"/>
      <c r="DQ1426" s="983"/>
      <c r="DV1426" s="889"/>
    </row>
    <row r="1427" spans="1:126" s="74" customFormat="1">
      <c r="A1427" s="15"/>
      <c r="B1427" s="15"/>
      <c r="C1427" s="15"/>
      <c r="D1427" s="15"/>
      <c r="E1427" s="6"/>
      <c r="F1427" s="6"/>
      <c r="G1427" s="6"/>
      <c r="K1427" s="222"/>
      <c r="V1427" s="1430"/>
      <c r="AA1427" s="223"/>
      <c r="AC1427" s="889"/>
      <c r="AF1427" s="890"/>
      <c r="AJ1427" s="889"/>
      <c r="AN1427" s="222"/>
      <c r="BC1427" s="223"/>
      <c r="BD1427" s="222"/>
      <c r="BH1427" s="611"/>
      <c r="BJ1427" s="15"/>
      <c r="BK1427" s="15"/>
      <c r="BO1427" s="223"/>
      <c r="BQ1427" s="889"/>
      <c r="BT1427" s="890"/>
      <c r="BX1427" s="889"/>
      <c r="CB1427" s="15"/>
      <c r="CC1427" s="697"/>
      <c r="CD1427" s="1086"/>
      <c r="CE1427" s="15"/>
      <c r="CF1427" s="15"/>
      <c r="CG1427" s="936"/>
      <c r="CH1427" s="15"/>
      <c r="CI1427" s="15"/>
      <c r="CJ1427" s="15"/>
      <c r="CK1427" s="1107"/>
      <c r="CL1427" s="22"/>
      <c r="CM1427" s="22"/>
      <c r="CN1427" s="1107"/>
      <c r="CR1427" s="223"/>
      <c r="CS1427" s="952"/>
      <c r="CT1427" s="1066"/>
      <c r="CU1427" s="972"/>
      <c r="CV1427" s="983"/>
      <c r="CW1427" s="222"/>
      <c r="CX1427" s="697"/>
      <c r="DC1427" s="222"/>
      <c r="DJ1427" s="889"/>
      <c r="DM1427" s="890"/>
      <c r="DN1427" s="952"/>
      <c r="DO1427" s="75"/>
      <c r="DP1427" s="962"/>
      <c r="DQ1427" s="983"/>
      <c r="DV1427" s="889"/>
    </row>
    <row r="1428" spans="1:126" s="74" customFormat="1">
      <c r="A1428" s="15"/>
      <c r="B1428" s="15"/>
      <c r="C1428" s="15"/>
      <c r="D1428" s="15"/>
      <c r="E1428" s="6"/>
      <c r="F1428" s="6"/>
      <c r="G1428" s="6"/>
      <c r="K1428" s="222"/>
      <c r="V1428" s="1430"/>
      <c r="AA1428" s="223"/>
      <c r="AC1428" s="889"/>
      <c r="AF1428" s="890"/>
      <c r="AJ1428" s="889"/>
      <c r="AN1428" s="222"/>
      <c r="BC1428" s="223"/>
      <c r="BD1428" s="222"/>
      <c r="BH1428" s="611"/>
      <c r="BJ1428" s="15"/>
      <c r="BK1428" s="15"/>
      <c r="BO1428" s="223"/>
      <c r="BQ1428" s="889"/>
      <c r="BT1428" s="890"/>
      <c r="BX1428" s="889"/>
      <c r="CB1428" s="15"/>
      <c r="CC1428" s="697"/>
      <c r="CD1428" s="1086"/>
      <c r="CE1428" s="15"/>
      <c r="CF1428" s="15"/>
      <c r="CG1428" s="936"/>
      <c r="CH1428" s="15"/>
      <c r="CI1428" s="15"/>
      <c r="CJ1428" s="15"/>
      <c r="CK1428" s="1107"/>
      <c r="CL1428" s="22"/>
      <c r="CM1428" s="22"/>
      <c r="CN1428" s="1107"/>
      <c r="CR1428" s="223"/>
      <c r="CS1428" s="952"/>
      <c r="CT1428" s="1066"/>
      <c r="CU1428" s="972"/>
      <c r="CV1428" s="983"/>
      <c r="CW1428" s="222"/>
      <c r="CX1428" s="697"/>
      <c r="DC1428" s="222"/>
      <c r="DJ1428" s="889"/>
      <c r="DM1428" s="890"/>
      <c r="DN1428" s="952"/>
      <c r="DO1428" s="75"/>
      <c r="DP1428" s="962"/>
      <c r="DQ1428" s="983"/>
      <c r="DV1428" s="889"/>
    </row>
    <row r="1429" spans="1:126" s="74" customFormat="1">
      <c r="A1429" s="15"/>
      <c r="B1429" s="15"/>
      <c r="C1429" s="15"/>
      <c r="D1429" s="15"/>
      <c r="E1429" s="6"/>
      <c r="F1429" s="6"/>
      <c r="G1429" s="6"/>
      <c r="K1429" s="222"/>
      <c r="V1429" s="1430"/>
      <c r="AA1429" s="223"/>
      <c r="AC1429" s="889"/>
      <c r="AF1429" s="890"/>
      <c r="AJ1429" s="889"/>
      <c r="AN1429" s="222"/>
      <c r="BC1429" s="223"/>
      <c r="BD1429" s="222"/>
      <c r="BH1429" s="611"/>
      <c r="BJ1429" s="15"/>
      <c r="BK1429" s="15"/>
      <c r="BO1429" s="223"/>
      <c r="BQ1429" s="889"/>
      <c r="BT1429" s="890"/>
      <c r="BX1429" s="889"/>
      <c r="CB1429" s="15"/>
      <c r="CC1429" s="697"/>
      <c r="CD1429" s="1086"/>
      <c r="CE1429" s="15"/>
      <c r="CF1429" s="15"/>
      <c r="CG1429" s="936"/>
      <c r="CH1429" s="15"/>
      <c r="CI1429" s="15"/>
      <c r="CJ1429" s="15"/>
      <c r="CK1429" s="1107"/>
      <c r="CL1429" s="22"/>
      <c r="CM1429" s="22"/>
      <c r="CN1429" s="1107"/>
      <c r="CR1429" s="223"/>
      <c r="CS1429" s="952"/>
      <c r="CT1429" s="1066"/>
      <c r="CU1429" s="972"/>
      <c r="CV1429" s="983"/>
      <c r="CW1429" s="222"/>
      <c r="CX1429" s="697"/>
      <c r="DC1429" s="222"/>
      <c r="DJ1429" s="889"/>
      <c r="DM1429" s="890"/>
      <c r="DN1429" s="952"/>
      <c r="DO1429" s="75"/>
      <c r="DP1429" s="962"/>
      <c r="DQ1429" s="983"/>
      <c r="DV1429" s="889"/>
    </row>
    <row r="1430" spans="1:126" s="74" customFormat="1">
      <c r="A1430" s="15"/>
      <c r="B1430" s="15"/>
      <c r="C1430" s="15"/>
      <c r="D1430" s="15"/>
      <c r="E1430" s="6"/>
      <c r="F1430" s="6"/>
      <c r="G1430" s="6"/>
      <c r="K1430" s="222"/>
      <c r="V1430" s="1430"/>
      <c r="AA1430" s="223"/>
      <c r="AC1430" s="889"/>
      <c r="AF1430" s="890"/>
      <c r="AJ1430" s="889"/>
      <c r="AN1430" s="222"/>
      <c r="BC1430" s="223"/>
      <c r="BD1430" s="222"/>
      <c r="BH1430" s="611"/>
      <c r="BJ1430" s="15"/>
      <c r="BK1430" s="15"/>
      <c r="BO1430" s="223"/>
      <c r="BQ1430" s="889"/>
      <c r="BT1430" s="890"/>
      <c r="BX1430" s="889"/>
      <c r="CB1430" s="15"/>
      <c r="CC1430" s="697"/>
      <c r="CD1430" s="1086"/>
      <c r="CE1430" s="15"/>
      <c r="CF1430" s="15"/>
      <c r="CG1430" s="936"/>
      <c r="CH1430" s="15"/>
      <c r="CI1430" s="15"/>
      <c r="CJ1430" s="15"/>
      <c r="CK1430" s="1107"/>
      <c r="CL1430" s="22"/>
      <c r="CM1430" s="22"/>
      <c r="CN1430" s="1107"/>
      <c r="CR1430" s="223"/>
      <c r="CS1430" s="952"/>
      <c r="CT1430" s="1066"/>
      <c r="CU1430" s="972"/>
      <c r="CV1430" s="983"/>
      <c r="CW1430" s="222"/>
      <c r="CX1430" s="697"/>
      <c r="DC1430" s="222"/>
      <c r="DJ1430" s="889"/>
      <c r="DM1430" s="890"/>
      <c r="DN1430" s="952"/>
      <c r="DO1430" s="75"/>
      <c r="DP1430" s="962"/>
      <c r="DQ1430" s="983"/>
      <c r="DV1430" s="889"/>
    </row>
    <row r="1431" spans="1:126" s="74" customFormat="1">
      <c r="A1431" s="15"/>
      <c r="B1431" s="15"/>
      <c r="C1431" s="15"/>
      <c r="D1431" s="15"/>
      <c r="E1431" s="6"/>
      <c r="F1431" s="6"/>
      <c r="G1431" s="6"/>
      <c r="K1431" s="222"/>
      <c r="V1431" s="1430"/>
      <c r="AA1431" s="223"/>
      <c r="AC1431" s="889"/>
      <c r="AF1431" s="890"/>
      <c r="AJ1431" s="889"/>
      <c r="AN1431" s="222"/>
      <c r="BC1431" s="223"/>
      <c r="BD1431" s="222"/>
      <c r="BH1431" s="611"/>
      <c r="BJ1431" s="15"/>
      <c r="BK1431" s="15"/>
      <c r="BO1431" s="223"/>
      <c r="BQ1431" s="889"/>
      <c r="BT1431" s="890"/>
      <c r="BX1431" s="889"/>
      <c r="CB1431" s="15"/>
      <c r="CC1431" s="697"/>
      <c r="CD1431" s="1086"/>
      <c r="CE1431" s="15"/>
      <c r="CF1431" s="15"/>
      <c r="CG1431" s="936"/>
      <c r="CH1431" s="15"/>
      <c r="CI1431" s="15"/>
      <c r="CJ1431" s="15"/>
      <c r="CK1431" s="1107"/>
      <c r="CL1431" s="22"/>
      <c r="CM1431" s="22"/>
      <c r="CN1431" s="1107"/>
      <c r="CR1431" s="223"/>
      <c r="CS1431" s="952"/>
      <c r="CT1431" s="1066"/>
      <c r="CU1431" s="972"/>
      <c r="CV1431" s="983"/>
      <c r="CW1431" s="222"/>
      <c r="CX1431" s="697"/>
      <c r="DC1431" s="222"/>
      <c r="DJ1431" s="889"/>
      <c r="DM1431" s="890"/>
      <c r="DN1431" s="952"/>
      <c r="DO1431" s="75"/>
      <c r="DP1431" s="962"/>
      <c r="DQ1431" s="983"/>
      <c r="DV1431" s="889"/>
    </row>
    <row r="1432" spans="1:126" s="74" customFormat="1">
      <c r="A1432" s="15"/>
      <c r="B1432" s="15"/>
      <c r="C1432" s="15"/>
      <c r="D1432" s="15"/>
      <c r="E1432" s="6"/>
      <c r="F1432" s="6"/>
      <c r="G1432" s="6"/>
      <c r="K1432" s="222"/>
      <c r="V1432" s="1430"/>
      <c r="AA1432" s="223"/>
      <c r="AC1432" s="889"/>
      <c r="AF1432" s="890"/>
      <c r="AJ1432" s="889"/>
      <c r="AN1432" s="222"/>
      <c r="BC1432" s="223"/>
      <c r="BD1432" s="222"/>
      <c r="BH1432" s="611"/>
      <c r="BJ1432" s="15"/>
      <c r="BK1432" s="15"/>
      <c r="BO1432" s="223"/>
      <c r="BQ1432" s="889"/>
      <c r="BT1432" s="890"/>
      <c r="BX1432" s="889"/>
      <c r="CB1432" s="15"/>
      <c r="CC1432" s="697"/>
      <c r="CD1432" s="1086"/>
      <c r="CE1432" s="15"/>
      <c r="CF1432" s="15"/>
      <c r="CG1432" s="936"/>
      <c r="CH1432" s="15"/>
      <c r="CI1432" s="15"/>
      <c r="CJ1432" s="15"/>
      <c r="CK1432" s="1107"/>
      <c r="CL1432" s="22"/>
      <c r="CM1432" s="22"/>
      <c r="CN1432" s="1107"/>
      <c r="CR1432" s="223"/>
      <c r="CS1432" s="952"/>
      <c r="CT1432" s="1066"/>
      <c r="CU1432" s="972"/>
      <c r="CV1432" s="983"/>
      <c r="CW1432" s="222"/>
      <c r="CX1432" s="697"/>
      <c r="DC1432" s="222"/>
      <c r="DJ1432" s="889"/>
      <c r="DM1432" s="890"/>
      <c r="DN1432" s="952"/>
      <c r="DO1432" s="75"/>
      <c r="DP1432" s="962"/>
      <c r="DQ1432" s="983"/>
      <c r="DV1432" s="889"/>
    </row>
    <row r="1433" spans="1:126" s="74" customFormat="1">
      <c r="A1433" s="15"/>
      <c r="B1433" s="15"/>
      <c r="C1433" s="15"/>
      <c r="D1433" s="15"/>
      <c r="E1433" s="6"/>
      <c r="F1433" s="6"/>
      <c r="G1433" s="6"/>
      <c r="K1433" s="222"/>
      <c r="V1433" s="1430"/>
      <c r="AA1433" s="223"/>
      <c r="AC1433" s="889"/>
      <c r="AF1433" s="890"/>
      <c r="AJ1433" s="889"/>
      <c r="AN1433" s="222"/>
      <c r="BC1433" s="223"/>
      <c r="BD1433" s="222"/>
      <c r="BH1433" s="611"/>
      <c r="BJ1433" s="15"/>
      <c r="BK1433" s="15"/>
      <c r="BO1433" s="223"/>
      <c r="BQ1433" s="889"/>
      <c r="BT1433" s="890"/>
      <c r="BX1433" s="889"/>
      <c r="CB1433" s="15"/>
      <c r="CC1433" s="697"/>
      <c r="CD1433" s="1086"/>
      <c r="CE1433" s="15"/>
      <c r="CF1433" s="15"/>
      <c r="CG1433" s="936"/>
      <c r="CH1433" s="15"/>
      <c r="CI1433" s="15"/>
      <c r="CJ1433" s="15"/>
      <c r="CK1433" s="1107"/>
      <c r="CL1433" s="22"/>
      <c r="CM1433" s="22"/>
      <c r="CN1433" s="1107"/>
      <c r="CR1433" s="223"/>
      <c r="CS1433" s="952"/>
      <c r="CT1433" s="1066"/>
      <c r="CU1433" s="972"/>
      <c r="CV1433" s="983"/>
      <c r="CW1433" s="222"/>
      <c r="CX1433" s="697"/>
      <c r="DC1433" s="222"/>
      <c r="DJ1433" s="889"/>
      <c r="DM1433" s="890"/>
      <c r="DN1433" s="952"/>
      <c r="DO1433" s="75"/>
      <c r="DP1433" s="962"/>
      <c r="DQ1433" s="983"/>
      <c r="DV1433" s="889"/>
    </row>
    <row r="1434" spans="1:126" s="74" customFormat="1">
      <c r="A1434" s="15"/>
      <c r="B1434" s="15"/>
      <c r="C1434" s="15"/>
      <c r="D1434" s="15"/>
      <c r="E1434" s="6"/>
      <c r="F1434" s="6"/>
      <c r="G1434" s="6"/>
      <c r="K1434" s="222"/>
      <c r="V1434" s="1430"/>
      <c r="AA1434" s="223"/>
      <c r="AC1434" s="889"/>
      <c r="AF1434" s="890"/>
      <c r="AJ1434" s="889"/>
      <c r="AN1434" s="222"/>
      <c r="BC1434" s="223"/>
      <c r="BD1434" s="222"/>
      <c r="BH1434" s="611"/>
      <c r="BJ1434" s="15"/>
      <c r="BK1434" s="15"/>
      <c r="BO1434" s="223"/>
      <c r="BQ1434" s="889"/>
      <c r="BT1434" s="890"/>
      <c r="BX1434" s="889"/>
      <c r="CB1434" s="15"/>
      <c r="CC1434" s="697"/>
      <c r="CD1434" s="1086"/>
      <c r="CE1434" s="15"/>
      <c r="CF1434" s="15"/>
      <c r="CG1434" s="936"/>
      <c r="CH1434" s="15"/>
      <c r="CI1434" s="15"/>
      <c r="CJ1434" s="15"/>
      <c r="CK1434" s="1107"/>
      <c r="CL1434" s="22"/>
      <c r="CM1434" s="22"/>
      <c r="CN1434" s="1107"/>
      <c r="CR1434" s="223"/>
      <c r="CS1434" s="952"/>
      <c r="CT1434" s="1066"/>
      <c r="CU1434" s="972"/>
      <c r="CV1434" s="983"/>
      <c r="CW1434" s="222"/>
      <c r="CX1434" s="697"/>
      <c r="DC1434" s="222"/>
      <c r="DJ1434" s="889"/>
      <c r="DM1434" s="890"/>
      <c r="DN1434" s="952"/>
      <c r="DO1434" s="75"/>
      <c r="DP1434" s="962"/>
      <c r="DQ1434" s="983"/>
      <c r="DV1434" s="889"/>
    </row>
    <row r="1435" spans="1:126" s="74" customFormat="1">
      <c r="A1435" s="15"/>
      <c r="B1435" s="15"/>
      <c r="C1435" s="15"/>
      <c r="D1435" s="15"/>
      <c r="E1435" s="6"/>
      <c r="F1435" s="6"/>
      <c r="G1435" s="6"/>
      <c r="K1435" s="222"/>
      <c r="V1435" s="1430"/>
      <c r="AA1435" s="223"/>
      <c r="AC1435" s="889"/>
      <c r="AF1435" s="890"/>
      <c r="AJ1435" s="889"/>
      <c r="AN1435" s="222"/>
      <c r="BC1435" s="223"/>
      <c r="BD1435" s="222"/>
      <c r="BH1435" s="611"/>
      <c r="BJ1435" s="15"/>
      <c r="BK1435" s="15"/>
      <c r="BO1435" s="223"/>
      <c r="BQ1435" s="889"/>
      <c r="BT1435" s="890"/>
      <c r="BX1435" s="889"/>
      <c r="CB1435" s="15"/>
      <c r="CC1435" s="697"/>
      <c r="CD1435" s="1086"/>
      <c r="CE1435" s="15"/>
      <c r="CF1435" s="15"/>
      <c r="CG1435" s="936"/>
      <c r="CH1435" s="15"/>
      <c r="CI1435" s="15"/>
      <c r="CJ1435" s="15"/>
      <c r="CK1435" s="1107"/>
      <c r="CL1435" s="22"/>
      <c r="CM1435" s="22"/>
      <c r="CN1435" s="1107"/>
      <c r="CR1435" s="223"/>
      <c r="CS1435" s="952"/>
      <c r="CT1435" s="1066"/>
      <c r="CU1435" s="972"/>
      <c r="CV1435" s="983"/>
      <c r="CW1435" s="222"/>
      <c r="CX1435" s="697"/>
      <c r="DC1435" s="222"/>
      <c r="DJ1435" s="889"/>
      <c r="DM1435" s="890"/>
      <c r="DN1435" s="952"/>
      <c r="DO1435" s="75"/>
      <c r="DP1435" s="962"/>
      <c r="DQ1435" s="983"/>
      <c r="DV1435" s="889"/>
    </row>
    <row r="1436" spans="1:126" s="74" customFormat="1">
      <c r="A1436" s="15"/>
      <c r="B1436" s="15"/>
      <c r="C1436" s="15"/>
      <c r="D1436" s="15"/>
      <c r="E1436" s="6"/>
      <c r="F1436" s="6"/>
      <c r="G1436" s="6"/>
      <c r="K1436" s="222"/>
      <c r="V1436" s="1430"/>
      <c r="AA1436" s="223"/>
      <c r="AC1436" s="889"/>
      <c r="AF1436" s="890"/>
      <c r="AJ1436" s="889"/>
      <c r="AN1436" s="222"/>
      <c r="BC1436" s="223"/>
      <c r="BD1436" s="222"/>
      <c r="BH1436" s="611"/>
      <c r="BJ1436" s="15"/>
      <c r="BK1436" s="15"/>
      <c r="BO1436" s="223"/>
      <c r="BQ1436" s="889"/>
      <c r="BT1436" s="890"/>
      <c r="BX1436" s="889"/>
      <c r="CB1436" s="15"/>
      <c r="CC1436" s="697"/>
      <c r="CD1436" s="1086"/>
      <c r="CE1436" s="15"/>
      <c r="CF1436" s="15"/>
      <c r="CG1436" s="936"/>
      <c r="CH1436" s="15"/>
      <c r="CI1436" s="15"/>
      <c r="CJ1436" s="15"/>
      <c r="CK1436" s="1107"/>
      <c r="CL1436" s="22"/>
      <c r="CM1436" s="22"/>
      <c r="CN1436" s="1107"/>
      <c r="CR1436" s="223"/>
      <c r="CS1436" s="952"/>
      <c r="CT1436" s="1066"/>
      <c r="CU1436" s="972"/>
      <c r="CV1436" s="983"/>
      <c r="CW1436" s="222"/>
      <c r="CX1436" s="697"/>
      <c r="DC1436" s="222"/>
      <c r="DJ1436" s="889"/>
      <c r="DM1436" s="890"/>
      <c r="DN1436" s="952"/>
      <c r="DO1436" s="75"/>
      <c r="DP1436" s="962"/>
      <c r="DQ1436" s="983"/>
      <c r="DV1436" s="889"/>
    </row>
    <row r="1437" spans="1:126" s="74" customFormat="1">
      <c r="A1437" s="15"/>
      <c r="B1437" s="15"/>
      <c r="C1437" s="15"/>
      <c r="D1437" s="15"/>
      <c r="E1437" s="6"/>
      <c r="F1437" s="6"/>
      <c r="G1437" s="6"/>
      <c r="K1437" s="222"/>
      <c r="V1437" s="1430"/>
      <c r="AA1437" s="223"/>
      <c r="AC1437" s="889"/>
      <c r="AF1437" s="890"/>
      <c r="AJ1437" s="889"/>
      <c r="AN1437" s="222"/>
      <c r="BC1437" s="223"/>
      <c r="BD1437" s="222"/>
      <c r="BH1437" s="611"/>
      <c r="BJ1437" s="15"/>
      <c r="BK1437" s="15"/>
      <c r="BO1437" s="223"/>
      <c r="BQ1437" s="889"/>
      <c r="BT1437" s="890"/>
      <c r="BX1437" s="889"/>
      <c r="CB1437" s="15"/>
      <c r="CC1437" s="697"/>
      <c r="CD1437" s="1086"/>
      <c r="CE1437" s="15"/>
      <c r="CF1437" s="15"/>
      <c r="CG1437" s="936"/>
      <c r="CH1437" s="15"/>
      <c r="CI1437" s="15"/>
      <c r="CJ1437" s="15"/>
      <c r="CK1437" s="1107"/>
      <c r="CL1437" s="22"/>
      <c r="CM1437" s="22"/>
      <c r="CN1437" s="1107"/>
      <c r="CR1437" s="223"/>
      <c r="CS1437" s="952"/>
      <c r="CT1437" s="1066"/>
      <c r="CU1437" s="972"/>
      <c r="CV1437" s="983"/>
      <c r="CW1437" s="222"/>
      <c r="CX1437" s="697"/>
      <c r="DC1437" s="222"/>
      <c r="DJ1437" s="889"/>
      <c r="DM1437" s="890"/>
      <c r="DN1437" s="952"/>
      <c r="DO1437" s="75"/>
      <c r="DP1437" s="962"/>
      <c r="DQ1437" s="983"/>
      <c r="DV1437" s="889"/>
    </row>
    <row r="1438" spans="1:126" s="74" customFormat="1">
      <c r="A1438" s="15"/>
      <c r="B1438" s="15"/>
      <c r="C1438" s="15"/>
      <c r="D1438" s="15"/>
      <c r="E1438" s="6"/>
      <c r="F1438" s="6"/>
      <c r="G1438" s="6"/>
      <c r="K1438" s="222"/>
      <c r="V1438" s="1430"/>
      <c r="AA1438" s="223"/>
      <c r="AC1438" s="889"/>
      <c r="AF1438" s="890"/>
      <c r="AJ1438" s="889"/>
      <c r="AN1438" s="222"/>
      <c r="BC1438" s="223"/>
      <c r="BD1438" s="222"/>
      <c r="BH1438" s="611"/>
      <c r="BJ1438" s="15"/>
      <c r="BK1438" s="15"/>
      <c r="BO1438" s="223"/>
      <c r="BQ1438" s="889"/>
      <c r="BT1438" s="890"/>
      <c r="BX1438" s="889"/>
      <c r="CB1438" s="15"/>
      <c r="CC1438" s="697"/>
      <c r="CD1438" s="1086"/>
      <c r="CE1438" s="15"/>
      <c r="CF1438" s="15"/>
      <c r="CG1438" s="936"/>
      <c r="CH1438" s="15"/>
      <c r="CI1438" s="15"/>
      <c r="CJ1438" s="15"/>
      <c r="CK1438" s="1107"/>
      <c r="CL1438" s="22"/>
      <c r="CM1438" s="22"/>
      <c r="CN1438" s="1107"/>
      <c r="CR1438" s="223"/>
      <c r="CS1438" s="952"/>
      <c r="CT1438" s="1066"/>
      <c r="CU1438" s="972"/>
      <c r="CV1438" s="983"/>
      <c r="CW1438" s="222"/>
      <c r="CX1438" s="697"/>
      <c r="DC1438" s="222"/>
      <c r="DJ1438" s="889"/>
      <c r="DM1438" s="890"/>
      <c r="DN1438" s="952"/>
      <c r="DO1438" s="75"/>
      <c r="DP1438" s="962"/>
      <c r="DQ1438" s="983"/>
      <c r="DV1438" s="889"/>
    </row>
    <row r="1439" spans="1:126" s="74" customFormat="1">
      <c r="A1439" s="15"/>
      <c r="B1439" s="15"/>
      <c r="C1439" s="15"/>
      <c r="D1439" s="15"/>
      <c r="E1439" s="6"/>
      <c r="F1439" s="6"/>
      <c r="G1439" s="6"/>
      <c r="K1439" s="222"/>
      <c r="V1439" s="1430"/>
      <c r="AA1439" s="223"/>
      <c r="AC1439" s="889"/>
      <c r="AF1439" s="890"/>
      <c r="AJ1439" s="889"/>
      <c r="AN1439" s="222"/>
      <c r="BC1439" s="223"/>
      <c r="BD1439" s="222"/>
      <c r="BH1439" s="611"/>
      <c r="BJ1439" s="15"/>
      <c r="BK1439" s="15"/>
      <c r="BO1439" s="223"/>
      <c r="BQ1439" s="889"/>
      <c r="BT1439" s="890"/>
      <c r="BX1439" s="889"/>
      <c r="CB1439" s="15"/>
      <c r="CC1439" s="697"/>
      <c r="CD1439" s="1086"/>
      <c r="CE1439" s="15"/>
      <c r="CF1439" s="15"/>
      <c r="CG1439" s="936"/>
      <c r="CH1439" s="15"/>
      <c r="CI1439" s="15"/>
      <c r="CJ1439" s="15"/>
      <c r="CK1439" s="1107"/>
      <c r="CL1439" s="22"/>
      <c r="CM1439" s="22"/>
      <c r="CN1439" s="1107"/>
      <c r="CR1439" s="223"/>
      <c r="CS1439" s="952"/>
      <c r="CT1439" s="1066"/>
      <c r="CU1439" s="972"/>
      <c r="CV1439" s="983"/>
      <c r="CW1439" s="222"/>
      <c r="CX1439" s="697"/>
      <c r="DC1439" s="222"/>
      <c r="DJ1439" s="889"/>
      <c r="DM1439" s="890"/>
      <c r="DN1439" s="952"/>
      <c r="DO1439" s="75"/>
      <c r="DP1439" s="962"/>
      <c r="DQ1439" s="983"/>
      <c r="DV1439" s="889"/>
    </row>
    <row r="1440" spans="1:126" s="74" customFormat="1">
      <c r="A1440" s="15"/>
      <c r="B1440" s="15"/>
      <c r="C1440" s="15"/>
      <c r="D1440" s="15"/>
      <c r="E1440" s="6"/>
      <c r="F1440" s="6"/>
      <c r="G1440" s="6"/>
      <c r="K1440" s="222"/>
      <c r="V1440" s="1430"/>
      <c r="AA1440" s="223"/>
      <c r="AC1440" s="889"/>
      <c r="AF1440" s="890"/>
      <c r="AJ1440" s="889"/>
      <c r="AN1440" s="222"/>
      <c r="BC1440" s="223"/>
      <c r="BD1440" s="222"/>
      <c r="BH1440" s="611"/>
      <c r="BJ1440" s="15"/>
      <c r="BK1440" s="15"/>
      <c r="BO1440" s="223"/>
      <c r="BQ1440" s="889"/>
      <c r="BT1440" s="890"/>
      <c r="BX1440" s="889"/>
      <c r="CB1440" s="15"/>
      <c r="CC1440" s="697"/>
      <c r="CD1440" s="1086"/>
      <c r="CE1440" s="15"/>
      <c r="CF1440" s="15"/>
      <c r="CG1440" s="936"/>
      <c r="CH1440" s="15"/>
      <c r="CI1440" s="15"/>
      <c r="CJ1440" s="15"/>
      <c r="CK1440" s="1107"/>
      <c r="CL1440" s="22"/>
      <c r="CM1440" s="22"/>
      <c r="CN1440" s="1107"/>
      <c r="CR1440" s="223"/>
      <c r="CS1440" s="952"/>
      <c r="CT1440" s="1066"/>
      <c r="CU1440" s="972"/>
      <c r="CV1440" s="983"/>
      <c r="CW1440" s="222"/>
      <c r="CX1440" s="697"/>
      <c r="DC1440" s="222"/>
      <c r="DJ1440" s="889"/>
      <c r="DM1440" s="890"/>
      <c r="DN1440" s="952"/>
      <c r="DO1440" s="75"/>
      <c r="DP1440" s="962"/>
      <c r="DQ1440" s="983"/>
      <c r="DV1440" s="889"/>
    </row>
    <row r="1441" spans="1:126" s="74" customFormat="1">
      <c r="A1441" s="15"/>
      <c r="B1441" s="15"/>
      <c r="C1441" s="15"/>
      <c r="D1441" s="15"/>
      <c r="E1441" s="6"/>
      <c r="F1441" s="6"/>
      <c r="G1441" s="6"/>
      <c r="K1441" s="222"/>
      <c r="V1441" s="1430"/>
      <c r="AA1441" s="223"/>
      <c r="AC1441" s="889"/>
      <c r="AF1441" s="890"/>
      <c r="AJ1441" s="889"/>
      <c r="AN1441" s="222"/>
      <c r="BC1441" s="223"/>
      <c r="BD1441" s="222"/>
      <c r="BH1441" s="611"/>
      <c r="BJ1441" s="15"/>
      <c r="BK1441" s="15"/>
      <c r="BO1441" s="223"/>
      <c r="BQ1441" s="889"/>
      <c r="BT1441" s="890"/>
      <c r="BX1441" s="889"/>
      <c r="CB1441" s="15"/>
      <c r="CC1441" s="697"/>
      <c r="CD1441" s="1086"/>
      <c r="CE1441" s="15"/>
      <c r="CF1441" s="15"/>
      <c r="CG1441" s="936"/>
      <c r="CH1441" s="15"/>
      <c r="CI1441" s="15"/>
      <c r="CJ1441" s="15"/>
      <c r="CK1441" s="1107"/>
      <c r="CL1441" s="22"/>
      <c r="CM1441" s="22"/>
      <c r="CN1441" s="1107"/>
      <c r="CR1441" s="223"/>
      <c r="CS1441" s="952"/>
      <c r="CT1441" s="1066"/>
      <c r="CU1441" s="972"/>
      <c r="CV1441" s="983"/>
      <c r="CW1441" s="222"/>
      <c r="CX1441" s="697"/>
      <c r="DC1441" s="222"/>
      <c r="DJ1441" s="889"/>
      <c r="DM1441" s="890"/>
      <c r="DN1441" s="952"/>
      <c r="DO1441" s="75"/>
      <c r="DP1441" s="962"/>
      <c r="DQ1441" s="983"/>
      <c r="DV1441" s="889"/>
    </row>
    <row r="1442" spans="1:126" s="74" customFormat="1">
      <c r="A1442" s="15"/>
      <c r="B1442" s="15"/>
      <c r="C1442" s="15"/>
      <c r="D1442" s="15"/>
      <c r="E1442" s="6"/>
      <c r="F1442" s="6"/>
      <c r="G1442" s="6"/>
      <c r="K1442" s="222"/>
      <c r="V1442" s="1430"/>
      <c r="AA1442" s="223"/>
      <c r="AC1442" s="889"/>
      <c r="AF1442" s="890"/>
      <c r="AJ1442" s="889"/>
      <c r="AN1442" s="222"/>
      <c r="BC1442" s="223"/>
      <c r="BD1442" s="222"/>
      <c r="BH1442" s="611"/>
      <c r="BJ1442" s="15"/>
      <c r="BK1442" s="15"/>
      <c r="BO1442" s="223"/>
      <c r="BQ1442" s="889"/>
      <c r="BT1442" s="890"/>
      <c r="BX1442" s="889"/>
      <c r="CB1442" s="15"/>
      <c r="CC1442" s="697"/>
      <c r="CD1442" s="1086"/>
      <c r="CE1442" s="15"/>
      <c r="CF1442" s="15"/>
      <c r="CG1442" s="936"/>
      <c r="CH1442" s="15"/>
      <c r="CI1442" s="15"/>
      <c r="CJ1442" s="15"/>
      <c r="CK1442" s="1107"/>
      <c r="CL1442" s="22"/>
      <c r="CM1442" s="22"/>
      <c r="CN1442" s="1107"/>
      <c r="CR1442" s="223"/>
      <c r="CS1442" s="952"/>
      <c r="CT1442" s="1066"/>
      <c r="CU1442" s="972"/>
      <c r="CV1442" s="983"/>
      <c r="CW1442" s="222"/>
      <c r="CX1442" s="697"/>
      <c r="DC1442" s="222"/>
      <c r="DJ1442" s="889"/>
      <c r="DM1442" s="890"/>
      <c r="DN1442" s="952"/>
      <c r="DO1442" s="75"/>
      <c r="DP1442" s="962"/>
      <c r="DQ1442" s="983"/>
      <c r="DV1442" s="889"/>
    </row>
    <row r="1443" spans="1:126" s="74" customFormat="1">
      <c r="A1443" s="15"/>
      <c r="B1443" s="15"/>
      <c r="C1443" s="15"/>
      <c r="D1443" s="15"/>
      <c r="E1443" s="6"/>
      <c r="F1443" s="6"/>
      <c r="G1443" s="6"/>
      <c r="K1443" s="222"/>
      <c r="V1443" s="1430"/>
      <c r="AA1443" s="223"/>
      <c r="AC1443" s="889"/>
      <c r="AF1443" s="890"/>
      <c r="AJ1443" s="889"/>
      <c r="AN1443" s="222"/>
      <c r="BC1443" s="223"/>
      <c r="BD1443" s="222"/>
      <c r="BH1443" s="611"/>
      <c r="BJ1443" s="15"/>
      <c r="BK1443" s="15"/>
      <c r="BO1443" s="223"/>
      <c r="BQ1443" s="889"/>
      <c r="BT1443" s="890"/>
      <c r="BX1443" s="889"/>
      <c r="CB1443" s="15"/>
      <c r="CC1443" s="697"/>
      <c r="CD1443" s="1086"/>
      <c r="CE1443" s="15"/>
      <c r="CF1443" s="15"/>
      <c r="CG1443" s="936"/>
      <c r="CH1443" s="15"/>
      <c r="CI1443" s="15"/>
      <c r="CJ1443" s="15"/>
      <c r="CK1443" s="1107"/>
      <c r="CL1443" s="22"/>
      <c r="CM1443" s="22"/>
      <c r="CN1443" s="1107"/>
      <c r="CR1443" s="223"/>
      <c r="CS1443" s="952"/>
      <c r="CT1443" s="1066"/>
      <c r="CU1443" s="972"/>
      <c r="CV1443" s="983"/>
      <c r="CW1443" s="222"/>
      <c r="CX1443" s="697"/>
      <c r="DC1443" s="222"/>
      <c r="DJ1443" s="889"/>
      <c r="DM1443" s="890"/>
      <c r="DN1443" s="952"/>
      <c r="DO1443" s="75"/>
      <c r="DP1443" s="962"/>
      <c r="DQ1443" s="983"/>
      <c r="DV1443" s="889"/>
    </row>
    <row r="1444" spans="1:126" s="74" customFormat="1">
      <c r="A1444" s="15"/>
      <c r="B1444" s="15"/>
      <c r="C1444" s="15"/>
      <c r="D1444" s="15"/>
      <c r="E1444" s="6"/>
      <c r="F1444" s="6"/>
      <c r="G1444" s="6"/>
      <c r="K1444" s="222"/>
      <c r="V1444" s="1430"/>
      <c r="AA1444" s="223"/>
      <c r="AC1444" s="889"/>
      <c r="AF1444" s="890"/>
      <c r="AJ1444" s="889"/>
      <c r="AN1444" s="222"/>
      <c r="BC1444" s="223"/>
      <c r="BD1444" s="222"/>
      <c r="BH1444" s="611"/>
      <c r="BJ1444" s="15"/>
      <c r="BK1444" s="15"/>
      <c r="BO1444" s="223"/>
      <c r="BQ1444" s="889"/>
      <c r="BT1444" s="890"/>
      <c r="BX1444" s="889"/>
      <c r="CB1444" s="15"/>
      <c r="CC1444" s="697"/>
      <c r="CD1444" s="1086"/>
      <c r="CE1444" s="15"/>
      <c r="CF1444" s="15"/>
      <c r="CG1444" s="936"/>
      <c r="CH1444" s="15"/>
      <c r="CI1444" s="15"/>
      <c r="CJ1444" s="15"/>
      <c r="CK1444" s="1107"/>
      <c r="CL1444" s="22"/>
      <c r="CM1444" s="22"/>
      <c r="CN1444" s="1107"/>
      <c r="CR1444" s="223"/>
      <c r="CS1444" s="952"/>
      <c r="CT1444" s="1066"/>
      <c r="CU1444" s="972"/>
      <c r="CV1444" s="983"/>
      <c r="CW1444" s="222"/>
      <c r="CX1444" s="697"/>
      <c r="DC1444" s="222"/>
      <c r="DJ1444" s="889"/>
      <c r="DM1444" s="890"/>
      <c r="DN1444" s="952"/>
      <c r="DO1444" s="75"/>
      <c r="DP1444" s="962"/>
      <c r="DQ1444" s="983"/>
      <c r="DV1444" s="889"/>
    </row>
    <row r="1445" spans="1:126" s="74" customFormat="1">
      <c r="A1445" s="15"/>
      <c r="B1445" s="15"/>
      <c r="C1445" s="15"/>
      <c r="D1445" s="15"/>
      <c r="E1445" s="6"/>
      <c r="F1445" s="6"/>
      <c r="G1445" s="6"/>
      <c r="K1445" s="222"/>
      <c r="V1445" s="1430"/>
      <c r="AA1445" s="223"/>
      <c r="AC1445" s="889"/>
      <c r="AF1445" s="890"/>
      <c r="AJ1445" s="889"/>
      <c r="AN1445" s="222"/>
      <c r="BC1445" s="223"/>
      <c r="BD1445" s="222"/>
      <c r="BH1445" s="611"/>
      <c r="BJ1445" s="15"/>
      <c r="BK1445" s="15"/>
      <c r="BO1445" s="223"/>
      <c r="BQ1445" s="889"/>
      <c r="BT1445" s="890"/>
      <c r="BX1445" s="889"/>
      <c r="CB1445" s="15"/>
      <c r="CC1445" s="697"/>
      <c r="CD1445" s="1086"/>
      <c r="CE1445" s="15"/>
      <c r="CF1445" s="15"/>
      <c r="CG1445" s="936"/>
      <c r="CH1445" s="15"/>
      <c r="CI1445" s="15"/>
      <c r="CJ1445" s="15"/>
      <c r="CK1445" s="1107"/>
      <c r="CL1445" s="22"/>
      <c r="CM1445" s="22"/>
      <c r="CN1445" s="1107"/>
      <c r="CR1445" s="223"/>
      <c r="CS1445" s="952"/>
      <c r="CT1445" s="1066"/>
      <c r="CU1445" s="972"/>
      <c r="CV1445" s="983"/>
      <c r="CW1445" s="222"/>
      <c r="CX1445" s="697"/>
      <c r="DC1445" s="222"/>
      <c r="DJ1445" s="889"/>
      <c r="DM1445" s="890"/>
      <c r="DN1445" s="952"/>
      <c r="DO1445" s="75"/>
      <c r="DP1445" s="962"/>
      <c r="DQ1445" s="983"/>
      <c r="DV1445" s="889"/>
    </row>
    <row r="1446" spans="1:126" s="74" customFormat="1">
      <c r="A1446" s="15"/>
      <c r="B1446" s="15"/>
      <c r="C1446" s="15"/>
      <c r="D1446" s="15"/>
      <c r="E1446" s="6"/>
      <c r="F1446" s="6"/>
      <c r="G1446" s="6"/>
      <c r="K1446" s="222"/>
      <c r="V1446" s="1430"/>
      <c r="AA1446" s="223"/>
      <c r="AC1446" s="889"/>
      <c r="AF1446" s="890"/>
      <c r="AJ1446" s="889"/>
      <c r="AN1446" s="222"/>
      <c r="BC1446" s="223"/>
      <c r="BD1446" s="222"/>
      <c r="BH1446" s="611"/>
      <c r="BJ1446" s="15"/>
      <c r="BK1446" s="15"/>
      <c r="BO1446" s="223"/>
      <c r="BQ1446" s="889"/>
      <c r="BT1446" s="890"/>
      <c r="BX1446" s="889"/>
      <c r="CB1446" s="15"/>
      <c r="CC1446" s="697"/>
      <c r="CD1446" s="1086"/>
      <c r="CE1446" s="15"/>
      <c r="CF1446" s="15"/>
      <c r="CG1446" s="936"/>
      <c r="CH1446" s="15"/>
      <c r="CI1446" s="15"/>
      <c r="CJ1446" s="15"/>
      <c r="CK1446" s="1107"/>
      <c r="CL1446" s="22"/>
      <c r="CM1446" s="22"/>
      <c r="CN1446" s="1107"/>
      <c r="CR1446" s="223"/>
      <c r="CS1446" s="952"/>
      <c r="CT1446" s="1066"/>
      <c r="CU1446" s="972"/>
      <c r="CV1446" s="983"/>
      <c r="CW1446" s="222"/>
      <c r="CX1446" s="697"/>
      <c r="DC1446" s="222"/>
      <c r="DJ1446" s="889"/>
      <c r="DM1446" s="890"/>
      <c r="DN1446" s="952"/>
      <c r="DO1446" s="75"/>
      <c r="DP1446" s="962"/>
      <c r="DQ1446" s="983"/>
      <c r="DV1446" s="889"/>
    </row>
    <row r="1447" spans="1:126" s="74" customFormat="1">
      <c r="A1447" s="15"/>
      <c r="B1447" s="15"/>
      <c r="C1447" s="15"/>
      <c r="D1447" s="15"/>
      <c r="E1447" s="6"/>
      <c r="F1447" s="6"/>
      <c r="G1447" s="6"/>
      <c r="K1447" s="222"/>
      <c r="V1447" s="1430"/>
      <c r="AA1447" s="223"/>
      <c r="AC1447" s="889"/>
      <c r="AF1447" s="890"/>
      <c r="AJ1447" s="889"/>
      <c r="AN1447" s="222"/>
      <c r="BC1447" s="223"/>
      <c r="BD1447" s="222"/>
      <c r="BH1447" s="611"/>
      <c r="BJ1447" s="15"/>
      <c r="BK1447" s="15"/>
      <c r="BO1447" s="223"/>
      <c r="BQ1447" s="889"/>
      <c r="BT1447" s="890"/>
      <c r="BX1447" s="889"/>
      <c r="CB1447" s="15"/>
      <c r="CC1447" s="697"/>
      <c r="CD1447" s="1086"/>
      <c r="CE1447" s="15"/>
      <c r="CF1447" s="15"/>
      <c r="CG1447" s="936"/>
      <c r="CH1447" s="15"/>
      <c r="CI1447" s="15"/>
      <c r="CJ1447" s="15"/>
      <c r="CK1447" s="1107"/>
      <c r="CL1447" s="22"/>
      <c r="CM1447" s="22"/>
      <c r="CN1447" s="1107"/>
      <c r="CR1447" s="223"/>
      <c r="CS1447" s="952"/>
      <c r="CT1447" s="1066"/>
      <c r="CU1447" s="972"/>
      <c r="CV1447" s="983"/>
      <c r="CW1447" s="222"/>
      <c r="CX1447" s="697"/>
      <c r="DC1447" s="222"/>
      <c r="DJ1447" s="889"/>
      <c r="DM1447" s="890"/>
      <c r="DN1447" s="952"/>
      <c r="DO1447" s="75"/>
      <c r="DP1447" s="962"/>
      <c r="DQ1447" s="983"/>
      <c r="DV1447" s="889"/>
    </row>
    <row r="1448" spans="1:126" s="74" customFormat="1">
      <c r="A1448" s="15"/>
      <c r="B1448" s="15"/>
      <c r="C1448" s="15"/>
      <c r="D1448" s="15"/>
      <c r="E1448" s="6"/>
      <c r="F1448" s="6"/>
      <c r="G1448" s="6"/>
      <c r="K1448" s="222"/>
      <c r="V1448" s="1430"/>
      <c r="AA1448" s="223"/>
      <c r="AC1448" s="889"/>
      <c r="AF1448" s="890"/>
      <c r="AJ1448" s="889"/>
      <c r="AN1448" s="222"/>
      <c r="BC1448" s="223"/>
      <c r="BD1448" s="222"/>
      <c r="BH1448" s="611"/>
      <c r="BJ1448" s="15"/>
      <c r="BK1448" s="15"/>
      <c r="BO1448" s="223"/>
      <c r="BQ1448" s="889"/>
      <c r="BT1448" s="890"/>
      <c r="BX1448" s="889"/>
      <c r="CB1448" s="15"/>
      <c r="CC1448" s="697"/>
      <c r="CD1448" s="1086"/>
      <c r="CE1448" s="15"/>
      <c r="CF1448" s="15"/>
      <c r="CG1448" s="936"/>
      <c r="CH1448" s="15"/>
      <c r="CI1448" s="15"/>
      <c r="CJ1448" s="15"/>
      <c r="CK1448" s="1107"/>
      <c r="CL1448" s="22"/>
      <c r="CM1448" s="22"/>
      <c r="CN1448" s="1107"/>
      <c r="CR1448" s="223"/>
      <c r="CS1448" s="952"/>
      <c r="CT1448" s="1066"/>
      <c r="CU1448" s="972"/>
      <c r="CV1448" s="983"/>
      <c r="CW1448" s="222"/>
      <c r="CX1448" s="697"/>
      <c r="DC1448" s="222"/>
      <c r="DJ1448" s="889"/>
      <c r="DM1448" s="890"/>
      <c r="DN1448" s="952"/>
      <c r="DO1448" s="75"/>
      <c r="DP1448" s="962"/>
      <c r="DQ1448" s="983"/>
      <c r="DV1448" s="889"/>
    </row>
    <row r="1449" spans="1:126" s="74" customFormat="1">
      <c r="A1449" s="15"/>
      <c r="B1449" s="15"/>
      <c r="C1449" s="15"/>
      <c r="D1449" s="15"/>
      <c r="E1449" s="6"/>
      <c r="F1449" s="6"/>
      <c r="G1449" s="6"/>
      <c r="K1449" s="222"/>
      <c r="V1449" s="1430"/>
      <c r="AA1449" s="223"/>
      <c r="AC1449" s="889"/>
      <c r="AF1449" s="890"/>
      <c r="AJ1449" s="889"/>
      <c r="AN1449" s="222"/>
      <c r="BC1449" s="223"/>
      <c r="BD1449" s="222"/>
      <c r="BH1449" s="611"/>
      <c r="BJ1449" s="15"/>
      <c r="BK1449" s="15"/>
      <c r="BO1449" s="223"/>
      <c r="BQ1449" s="889"/>
      <c r="BT1449" s="890"/>
      <c r="BX1449" s="889"/>
      <c r="CB1449" s="15"/>
      <c r="CC1449" s="697"/>
      <c r="CD1449" s="1086"/>
      <c r="CE1449" s="15"/>
      <c r="CF1449" s="15"/>
      <c r="CG1449" s="936"/>
      <c r="CH1449" s="15"/>
      <c r="CI1449" s="15"/>
      <c r="CJ1449" s="15"/>
      <c r="CK1449" s="1107"/>
      <c r="CL1449" s="22"/>
      <c r="CM1449" s="22"/>
      <c r="CN1449" s="1107"/>
      <c r="CR1449" s="223"/>
      <c r="CS1449" s="952"/>
      <c r="CT1449" s="1066"/>
      <c r="CU1449" s="972"/>
      <c r="CV1449" s="983"/>
      <c r="CW1449" s="222"/>
      <c r="CX1449" s="697"/>
      <c r="DC1449" s="222"/>
      <c r="DJ1449" s="889"/>
      <c r="DM1449" s="890"/>
      <c r="DN1449" s="952"/>
      <c r="DO1449" s="75"/>
      <c r="DP1449" s="962"/>
      <c r="DQ1449" s="983"/>
      <c r="DV1449" s="889"/>
    </row>
    <row r="1450" spans="1:126" s="74" customFormat="1">
      <c r="A1450" s="15"/>
      <c r="B1450" s="15"/>
      <c r="C1450" s="15"/>
      <c r="D1450" s="15"/>
      <c r="E1450" s="6"/>
      <c r="F1450" s="6"/>
      <c r="G1450" s="6"/>
      <c r="K1450" s="222"/>
      <c r="V1450" s="1430"/>
      <c r="AA1450" s="223"/>
      <c r="AC1450" s="889"/>
      <c r="AF1450" s="890"/>
      <c r="AJ1450" s="889"/>
      <c r="AN1450" s="222"/>
      <c r="BC1450" s="223"/>
      <c r="BD1450" s="222"/>
      <c r="BH1450" s="611"/>
      <c r="BJ1450" s="15"/>
      <c r="BK1450" s="15"/>
      <c r="BO1450" s="223"/>
      <c r="BQ1450" s="889"/>
      <c r="BT1450" s="890"/>
      <c r="BX1450" s="889"/>
      <c r="CB1450" s="15"/>
      <c r="CC1450" s="697"/>
      <c r="CD1450" s="1086"/>
      <c r="CE1450" s="15"/>
      <c r="CF1450" s="15"/>
      <c r="CG1450" s="936"/>
      <c r="CH1450" s="15"/>
      <c r="CI1450" s="15"/>
      <c r="CJ1450" s="15"/>
      <c r="CK1450" s="1107"/>
      <c r="CL1450" s="22"/>
      <c r="CM1450" s="22"/>
      <c r="CN1450" s="1107"/>
      <c r="CR1450" s="223"/>
      <c r="CS1450" s="952"/>
      <c r="CT1450" s="1066"/>
      <c r="CU1450" s="972"/>
      <c r="CV1450" s="983"/>
      <c r="CW1450" s="222"/>
      <c r="CX1450" s="697"/>
      <c r="DC1450" s="222"/>
      <c r="DJ1450" s="889"/>
      <c r="DM1450" s="890"/>
      <c r="DN1450" s="952"/>
      <c r="DO1450" s="75"/>
      <c r="DP1450" s="962"/>
      <c r="DQ1450" s="983"/>
      <c r="DV1450" s="889"/>
    </row>
    <row r="1451" spans="1:126" s="74" customFormat="1">
      <c r="A1451" s="15"/>
      <c r="B1451" s="15"/>
      <c r="C1451" s="15"/>
      <c r="D1451" s="15"/>
      <c r="E1451" s="6"/>
      <c r="F1451" s="6"/>
      <c r="G1451" s="6"/>
      <c r="K1451" s="222"/>
      <c r="V1451" s="1430"/>
      <c r="AA1451" s="223"/>
      <c r="AC1451" s="889"/>
      <c r="AF1451" s="890"/>
      <c r="AJ1451" s="889"/>
      <c r="AN1451" s="222"/>
      <c r="BC1451" s="223"/>
      <c r="BD1451" s="222"/>
      <c r="BH1451" s="611"/>
      <c r="BJ1451" s="15"/>
      <c r="BK1451" s="15"/>
      <c r="BO1451" s="223"/>
      <c r="BQ1451" s="889"/>
      <c r="BT1451" s="890"/>
      <c r="BX1451" s="889"/>
      <c r="CB1451" s="15"/>
      <c r="CC1451" s="697"/>
      <c r="CD1451" s="1086"/>
      <c r="CE1451" s="15"/>
      <c r="CF1451" s="15"/>
      <c r="CG1451" s="936"/>
      <c r="CH1451" s="15"/>
      <c r="CI1451" s="15"/>
      <c r="CJ1451" s="15"/>
      <c r="CK1451" s="1107"/>
      <c r="CL1451" s="22"/>
      <c r="CM1451" s="22"/>
      <c r="CN1451" s="1107"/>
      <c r="CR1451" s="223"/>
      <c r="CS1451" s="952"/>
      <c r="CT1451" s="1066"/>
      <c r="CU1451" s="972"/>
      <c r="CV1451" s="983"/>
      <c r="CW1451" s="222"/>
      <c r="CX1451" s="697"/>
      <c r="DC1451" s="222"/>
      <c r="DJ1451" s="889"/>
      <c r="DM1451" s="890"/>
      <c r="DN1451" s="952"/>
      <c r="DO1451" s="75"/>
      <c r="DP1451" s="962"/>
      <c r="DQ1451" s="983"/>
      <c r="DV1451" s="889"/>
    </row>
    <row r="1452" spans="1:126" s="74" customFormat="1">
      <c r="A1452" s="15"/>
      <c r="B1452" s="15"/>
      <c r="C1452" s="15"/>
      <c r="D1452" s="15"/>
      <c r="E1452" s="6"/>
      <c r="F1452" s="6"/>
      <c r="G1452" s="6"/>
      <c r="K1452" s="222"/>
      <c r="V1452" s="1430"/>
      <c r="AA1452" s="223"/>
      <c r="AC1452" s="889"/>
      <c r="AF1452" s="890"/>
      <c r="AJ1452" s="889"/>
      <c r="AN1452" s="222"/>
      <c r="BC1452" s="223"/>
      <c r="BD1452" s="222"/>
      <c r="BH1452" s="611"/>
      <c r="BJ1452" s="15"/>
      <c r="BK1452" s="15"/>
      <c r="BO1452" s="223"/>
      <c r="BQ1452" s="889"/>
      <c r="BT1452" s="890"/>
      <c r="BX1452" s="889"/>
      <c r="CB1452" s="15"/>
      <c r="CC1452" s="697"/>
      <c r="CD1452" s="1086"/>
      <c r="CE1452" s="15"/>
      <c r="CF1452" s="15"/>
      <c r="CG1452" s="936"/>
      <c r="CH1452" s="15"/>
      <c r="CI1452" s="15"/>
      <c r="CJ1452" s="15"/>
      <c r="CK1452" s="1107"/>
      <c r="CL1452" s="22"/>
      <c r="CM1452" s="22"/>
      <c r="CN1452" s="1107"/>
      <c r="CR1452" s="223"/>
      <c r="CS1452" s="952"/>
      <c r="CT1452" s="1066"/>
      <c r="CU1452" s="972"/>
      <c r="CV1452" s="983"/>
      <c r="CW1452" s="222"/>
      <c r="CX1452" s="697"/>
      <c r="DC1452" s="222"/>
      <c r="DJ1452" s="889"/>
      <c r="DM1452" s="890"/>
      <c r="DN1452" s="952"/>
      <c r="DO1452" s="75"/>
      <c r="DP1452" s="962"/>
      <c r="DQ1452" s="983"/>
      <c r="DV1452" s="889"/>
    </row>
    <row r="1453" spans="1:126" s="74" customFormat="1">
      <c r="A1453" s="15"/>
      <c r="B1453" s="15"/>
      <c r="C1453" s="15"/>
      <c r="D1453" s="15"/>
      <c r="E1453" s="6"/>
      <c r="F1453" s="6"/>
      <c r="G1453" s="6"/>
      <c r="K1453" s="222"/>
      <c r="V1453" s="1430"/>
      <c r="AA1453" s="223"/>
      <c r="AC1453" s="889"/>
      <c r="AF1453" s="890"/>
      <c r="AJ1453" s="889"/>
      <c r="AN1453" s="222"/>
      <c r="BC1453" s="223"/>
      <c r="BD1453" s="222"/>
      <c r="BH1453" s="611"/>
      <c r="BJ1453" s="15"/>
      <c r="BK1453" s="15"/>
      <c r="BO1453" s="223"/>
      <c r="BQ1453" s="889"/>
      <c r="BT1453" s="890"/>
      <c r="BX1453" s="889"/>
      <c r="CB1453" s="15"/>
      <c r="CC1453" s="697"/>
      <c r="CD1453" s="1086"/>
      <c r="CE1453" s="15"/>
      <c r="CF1453" s="15"/>
      <c r="CG1453" s="936"/>
      <c r="CH1453" s="15"/>
      <c r="CI1453" s="15"/>
      <c r="CJ1453" s="15"/>
      <c r="CK1453" s="1107"/>
      <c r="CL1453" s="22"/>
      <c r="CM1453" s="22"/>
      <c r="CN1453" s="1107"/>
      <c r="CR1453" s="223"/>
      <c r="CS1453" s="952"/>
      <c r="CT1453" s="1066"/>
      <c r="CU1453" s="972"/>
      <c r="CV1453" s="983"/>
      <c r="CW1453" s="222"/>
      <c r="CX1453" s="697"/>
      <c r="DC1453" s="222"/>
      <c r="DJ1453" s="889"/>
      <c r="DM1453" s="890"/>
      <c r="DN1453" s="952"/>
      <c r="DO1453" s="75"/>
      <c r="DP1453" s="962"/>
      <c r="DQ1453" s="983"/>
      <c r="DV1453" s="889"/>
    </row>
    <row r="1454" spans="1:126" s="74" customFormat="1">
      <c r="A1454" s="15"/>
      <c r="B1454" s="15"/>
      <c r="C1454" s="15"/>
      <c r="D1454" s="15"/>
      <c r="E1454" s="6"/>
      <c r="F1454" s="6"/>
      <c r="G1454" s="6"/>
      <c r="K1454" s="222"/>
      <c r="V1454" s="1430"/>
      <c r="AA1454" s="223"/>
      <c r="AC1454" s="889"/>
      <c r="AF1454" s="890"/>
      <c r="AJ1454" s="889"/>
      <c r="AN1454" s="222"/>
      <c r="BC1454" s="223"/>
      <c r="BD1454" s="222"/>
      <c r="BH1454" s="611"/>
      <c r="BJ1454" s="15"/>
      <c r="BK1454" s="15"/>
      <c r="BO1454" s="223"/>
      <c r="BQ1454" s="889"/>
      <c r="BT1454" s="890"/>
      <c r="BX1454" s="889"/>
      <c r="CB1454" s="15"/>
      <c r="CC1454" s="697"/>
      <c r="CD1454" s="1086"/>
      <c r="CE1454" s="15"/>
      <c r="CF1454" s="15"/>
      <c r="CG1454" s="936"/>
      <c r="CH1454" s="15"/>
      <c r="CI1454" s="15"/>
      <c r="CJ1454" s="15"/>
      <c r="CK1454" s="1107"/>
      <c r="CL1454" s="22"/>
      <c r="CM1454" s="22"/>
      <c r="CN1454" s="1107"/>
      <c r="CR1454" s="223"/>
      <c r="CS1454" s="952"/>
      <c r="CT1454" s="1066"/>
      <c r="CU1454" s="972"/>
      <c r="CV1454" s="983"/>
      <c r="CW1454" s="222"/>
      <c r="CX1454" s="697"/>
      <c r="DC1454" s="222"/>
      <c r="DJ1454" s="889"/>
      <c r="DM1454" s="890"/>
      <c r="DN1454" s="952"/>
      <c r="DO1454" s="75"/>
      <c r="DP1454" s="962"/>
      <c r="DQ1454" s="983"/>
      <c r="DV1454" s="889"/>
    </row>
    <row r="1455" spans="1:126" s="74" customFormat="1">
      <c r="A1455" s="15"/>
      <c r="B1455" s="15"/>
      <c r="C1455" s="15"/>
      <c r="D1455" s="15"/>
      <c r="E1455" s="6"/>
      <c r="F1455" s="6"/>
      <c r="G1455" s="6"/>
      <c r="K1455" s="222"/>
      <c r="V1455" s="1430"/>
      <c r="AA1455" s="223"/>
      <c r="AC1455" s="889"/>
      <c r="AF1455" s="890"/>
      <c r="AJ1455" s="889"/>
      <c r="AN1455" s="222"/>
      <c r="BC1455" s="223"/>
      <c r="BD1455" s="222"/>
      <c r="BH1455" s="611"/>
      <c r="BJ1455" s="15"/>
      <c r="BK1455" s="15"/>
      <c r="BO1455" s="223"/>
      <c r="BQ1455" s="889"/>
      <c r="BT1455" s="890"/>
      <c r="BX1455" s="889"/>
      <c r="CB1455" s="15"/>
      <c r="CC1455" s="697"/>
      <c r="CD1455" s="1086"/>
      <c r="CE1455" s="15"/>
      <c r="CF1455" s="15"/>
      <c r="CG1455" s="936"/>
      <c r="CH1455" s="15"/>
      <c r="CI1455" s="15"/>
      <c r="CJ1455" s="15"/>
      <c r="CK1455" s="1107"/>
      <c r="CL1455" s="22"/>
      <c r="CM1455" s="22"/>
      <c r="CN1455" s="1107"/>
      <c r="CR1455" s="223"/>
      <c r="CS1455" s="952"/>
      <c r="CT1455" s="1066"/>
      <c r="CU1455" s="972"/>
      <c r="CV1455" s="983"/>
      <c r="CW1455" s="222"/>
      <c r="CX1455" s="697"/>
      <c r="DC1455" s="222"/>
      <c r="DJ1455" s="889"/>
      <c r="DM1455" s="890"/>
      <c r="DN1455" s="952"/>
      <c r="DO1455" s="75"/>
      <c r="DP1455" s="962"/>
      <c r="DQ1455" s="983"/>
      <c r="DV1455" s="889"/>
    </row>
    <row r="1456" spans="1:126" s="74" customFormat="1">
      <c r="A1456" s="15"/>
      <c r="B1456" s="15"/>
      <c r="C1456" s="15"/>
      <c r="D1456" s="15"/>
      <c r="E1456" s="6"/>
      <c r="F1456" s="6"/>
      <c r="G1456" s="6"/>
      <c r="K1456" s="222"/>
      <c r="V1456" s="1430"/>
      <c r="AA1456" s="223"/>
      <c r="AC1456" s="889"/>
      <c r="AF1456" s="890"/>
      <c r="AJ1456" s="889"/>
      <c r="AN1456" s="222"/>
      <c r="BC1456" s="223"/>
      <c r="BD1456" s="222"/>
      <c r="BH1456" s="611"/>
      <c r="BJ1456" s="15"/>
      <c r="BK1456" s="15"/>
      <c r="BO1456" s="223"/>
      <c r="BQ1456" s="889"/>
      <c r="BT1456" s="890"/>
      <c r="BX1456" s="889"/>
      <c r="CB1456" s="15"/>
      <c r="CC1456" s="697"/>
      <c r="CD1456" s="1086"/>
      <c r="CE1456" s="15"/>
      <c r="CF1456" s="15"/>
      <c r="CG1456" s="936"/>
      <c r="CH1456" s="15"/>
      <c r="CI1456" s="15"/>
      <c r="CJ1456" s="15"/>
      <c r="CK1456" s="1107"/>
      <c r="CL1456" s="22"/>
      <c r="CM1456" s="22"/>
      <c r="CN1456" s="1107"/>
      <c r="CR1456" s="223"/>
      <c r="CS1456" s="952"/>
      <c r="CT1456" s="1066"/>
      <c r="CU1456" s="972"/>
      <c r="CV1456" s="983"/>
      <c r="CW1456" s="222"/>
      <c r="CX1456" s="697"/>
      <c r="DC1456" s="222"/>
      <c r="DJ1456" s="889"/>
      <c r="DM1456" s="890"/>
      <c r="DN1456" s="952"/>
      <c r="DO1456" s="75"/>
      <c r="DP1456" s="962"/>
      <c r="DQ1456" s="983"/>
      <c r="DV1456" s="889"/>
    </row>
    <row r="1457" spans="1:126" s="74" customFormat="1">
      <c r="A1457" s="15"/>
      <c r="B1457" s="15"/>
      <c r="C1457" s="15"/>
      <c r="D1457" s="15"/>
      <c r="E1457" s="6"/>
      <c r="F1457" s="6"/>
      <c r="G1457" s="6"/>
      <c r="K1457" s="222"/>
      <c r="V1457" s="1430"/>
      <c r="AA1457" s="223"/>
      <c r="AC1457" s="889"/>
      <c r="AF1457" s="890"/>
      <c r="AJ1457" s="889"/>
      <c r="AN1457" s="222"/>
      <c r="BC1457" s="223"/>
      <c r="BD1457" s="222"/>
      <c r="BH1457" s="611"/>
      <c r="BJ1457" s="15"/>
      <c r="BK1457" s="15"/>
      <c r="BO1457" s="223"/>
      <c r="BQ1457" s="889"/>
      <c r="BT1457" s="890"/>
      <c r="BX1457" s="889"/>
      <c r="CB1457" s="15"/>
      <c r="CC1457" s="697"/>
      <c r="CD1457" s="1086"/>
      <c r="CE1457" s="15"/>
      <c r="CF1457" s="15"/>
      <c r="CG1457" s="936"/>
      <c r="CH1457" s="15"/>
      <c r="CI1457" s="15"/>
      <c r="CJ1457" s="15"/>
      <c r="CK1457" s="1107"/>
      <c r="CL1457" s="22"/>
      <c r="CM1457" s="22"/>
      <c r="CN1457" s="1107"/>
      <c r="CR1457" s="223"/>
      <c r="CS1457" s="952"/>
      <c r="CT1457" s="1066"/>
      <c r="CU1457" s="972"/>
      <c r="CV1457" s="983"/>
      <c r="CW1457" s="222"/>
      <c r="CX1457" s="697"/>
      <c r="DC1457" s="222"/>
      <c r="DJ1457" s="889"/>
      <c r="DM1457" s="890"/>
      <c r="DN1457" s="952"/>
      <c r="DO1457" s="75"/>
      <c r="DP1457" s="962"/>
      <c r="DQ1457" s="983"/>
      <c r="DV1457" s="889"/>
    </row>
    <row r="1458" spans="1:126" s="74" customFormat="1">
      <c r="A1458" s="15"/>
      <c r="B1458" s="15"/>
      <c r="C1458" s="15"/>
      <c r="D1458" s="15"/>
      <c r="E1458" s="6"/>
      <c r="F1458" s="6"/>
      <c r="G1458" s="6"/>
      <c r="K1458" s="222"/>
      <c r="V1458" s="1430"/>
      <c r="AA1458" s="223"/>
      <c r="AC1458" s="889"/>
      <c r="AF1458" s="890"/>
      <c r="AJ1458" s="889"/>
      <c r="AN1458" s="222"/>
      <c r="BC1458" s="223"/>
      <c r="BD1458" s="222"/>
      <c r="BH1458" s="611"/>
      <c r="BJ1458" s="15"/>
      <c r="BK1458" s="15"/>
      <c r="BO1458" s="223"/>
      <c r="BQ1458" s="889"/>
      <c r="BT1458" s="890"/>
      <c r="BX1458" s="889"/>
      <c r="CB1458" s="15"/>
      <c r="CC1458" s="697"/>
      <c r="CD1458" s="1086"/>
      <c r="CE1458" s="15"/>
      <c r="CF1458" s="15"/>
      <c r="CG1458" s="936"/>
      <c r="CH1458" s="15"/>
      <c r="CI1458" s="15"/>
      <c r="CJ1458" s="15"/>
      <c r="CK1458" s="1107"/>
      <c r="CL1458" s="22"/>
      <c r="CM1458" s="22"/>
      <c r="CN1458" s="1107"/>
      <c r="CR1458" s="223"/>
      <c r="CS1458" s="952"/>
      <c r="CT1458" s="1066"/>
      <c r="CU1458" s="972"/>
      <c r="CV1458" s="983"/>
      <c r="CW1458" s="222"/>
      <c r="CX1458" s="697"/>
      <c r="DC1458" s="222"/>
      <c r="DJ1458" s="889"/>
      <c r="DM1458" s="890"/>
      <c r="DN1458" s="952"/>
      <c r="DO1458" s="75"/>
      <c r="DP1458" s="962"/>
      <c r="DQ1458" s="983"/>
      <c r="DV1458" s="889"/>
    </row>
    <row r="1459" spans="1:126" s="74" customFormat="1">
      <c r="A1459" s="15"/>
      <c r="B1459" s="15"/>
      <c r="C1459" s="15"/>
      <c r="D1459" s="15"/>
      <c r="E1459" s="6"/>
      <c r="F1459" s="6"/>
      <c r="G1459" s="6"/>
      <c r="K1459" s="222"/>
      <c r="V1459" s="1430"/>
      <c r="AA1459" s="223"/>
      <c r="AC1459" s="889"/>
      <c r="AF1459" s="890"/>
      <c r="AJ1459" s="889"/>
      <c r="AN1459" s="222"/>
      <c r="BC1459" s="223"/>
      <c r="BD1459" s="222"/>
      <c r="BH1459" s="611"/>
      <c r="BJ1459" s="15"/>
      <c r="BK1459" s="15"/>
      <c r="BO1459" s="223"/>
      <c r="BQ1459" s="889"/>
      <c r="BT1459" s="890"/>
      <c r="BX1459" s="889"/>
      <c r="CB1459" s="15"/>
      <c r="CC1459" s="697"/>
      <c r="CD1459" s="1086"/>
      <c r="CE1459" s="15"/>
      <c r="CF1459" s="15"/>
      <c r="CG1459" s="936"/>
      <c r="CH1459" s="15"/>
      <c r="CI1459" s="15"/>
      <c r="CJ1459" s="15"/>
      <c r="CK1459" s="1107"/>
      <c r="CL1459" s="22"/>
      <c r="CM1459" s="22"/>
      <c r="CN1459" s="1107"/>
      <c r="CR1459" s="223"/>
      <c r="CS1459" s="952"/>
      <c r="CT1459" s="1066"/>
      <c r="CU1459" s="972"/>
      <c r="CV1459" s="983"/>
      <c r="CW1459" s="222"/>
      <c r="CX1459" s="697"/>
      <c r="DC1459" s="222"/>
      <c r="DJ1459" s="889"/>
      <c r="DM1459" s="890"/>
      <c r="DN1459" s="952"/>
      <c r="DO1459" s="75"/>
      <c r="DP1459" s="962"/>
      <c r="DQ1459" s="983"/>
      <c r="DV1459" s="889"/>
    </row>
    <row r="1460" spans="1:126" s="74" customFormat="1">
      <c r="A1460" s="15"/>
      <c r="B1460" s="15"/>
      <c r="C1460" s="15"/>
      <c r="D1460" s="15"/>
      <c r="E1460" s="6"/>
      <c r="F1460" s="6"/>
      <c r="G1460" s="6"/>
      <c r="K1460" s="222"/>
      <c r="V1460" s="1430"/>
      <c r="AA1460" s="223"/>
      <c r="AC1460" s="889"/>
      <c r="AF1460" s="890"/>
      <c r="AJ1460" s="889"/>
      <c r="AN1460" s="222"/>
      <c r="BC1460" s="223"/>
      <c r="BD1460" s="222"/>
      <c r="BH1460" s="611"/>
      <c r="BJ1460" s="15"/>
      <c r="BK1460" s="15"/>
      <c r="BO1460" s="223"/>
      <c r="BQ1460" s="889"/>
      <c r="BT1460" s="890"/>
      <c r="BX1460" s="889"/>
      <c r="CB1460" s="15"/>
      <c r="CC1460" s="697"/>
      <c r="CD1460" s="1086"/>
      <c r="CE1460" s="15"/>
      <c r="CF1460" s="15"/>
      <c r="CG1460" s="936"/>
      <c r="CH1460" s="15"/>
      <c r="CI1460" s="15"/>
      <c r="CJ1460" s="15"/>
      <c r="CK1460" s="1107"/>
      <c r="CL1460" s="22"/>
      <c r="CM1460" s="22"/>
      <c r="CN1460" s="1107"/>
      <c r="CR1460" s="223"/>
      <c r="CS1460" s="952"/>
      <c r="CT1460" s="1066"/>
      <c r="CU1460" s="972"/>
      <c r="CV1460" s="983"/>
      <c r="CW1460" s="222"/>
      <c r="CX1460" s="697"/>
      <c r="DC1460" s="222"/>
      <c r="DJ1460" s="889"/>
      <c r="DM1460" s="890"/>
      <c r="DN1460" s="952"/>
      <c r="DO1460" s="75"/>
      <c r="DP1460" s="962"/>
      <c r="DQ1460" s="983"/>
      <c r="DV1460" s="889"/>
    </row>
    <row r="1461" spans="1:126" s="74" customFormat="1">
      <c r="A1461" s="15"/>
      <c r="B1461" s="15"/>
      <c r="C1461" s="15"/>
      <c r="D1461" s="15"/>
      <c r="E1461" s="6"/>
      <c r="F1461" s="6"/>
      <c r="G1461" s="6"/>
      <c r="K1461" s="222"/>
      <c r="V1461" s="1430"/>
      <c r="AA1461" s="223"/>
      <c r="AC1461" s="889"/>
      <c r="AF1461" s="890"/>
      <c r="AJ1461" s="889"/>
      <c r="AN1461" s="222"/>
      <c r="BC1461" s="223"/>
      <c r="BD1461" s="222"/>
      <c r="BH1461" s="611"/>
      <c r="BJ1461" s="15"/>
      <c r="BK1461" s="15"/>
      <c r="BO1461" s="223"/>
      <c r="BQ1461" s="889"/>
      <c r="BT1461" s="890"/>
      <c r="BX1461" s="889"/>
      <c r="CB1461" s="15"/>
      <c r="CC1461" s="697"/>
      <c r="CD1461" s="1086"/>
      <c r="CE1461" s="15"/>
      <c r="CF1461" s="15"/>
      <c r="CG1461" s="936"/>
      <c r="CH1461" s="15"/>
      <c r="CI1461" s="15"/>
      <c r="CJ1461" s="15"/>
      <c r="CK1461" s="1107"/>
      <c r="CL1461" s="22"/>
      <c r="CM1461" s="22"/>
      <c r="CN1461" s="1107"/>
      <c r="CR1461" s="223"/>
      <c r="CS1461" s="952"/>
      <c r="CT1461" s="1066"/>
      <c r="CU1461" s="972"/>
      <c r="CV1461" s="983"/>
      <c r="CW1461" s="222"/>
      <c r="CX1461" s="697"/>
      <c r="DC1461" s="222"/>
      <c r="DJ1461" s="889"/>
      <c r="DM1461" s="890"/>
      <c r="DN1461" s="952"/>
      <c r="DO1461" s="75"/>
      <c r="DP1461" s="962"/>
      <c r="DQ1461" s="983"/>
      <c r="DV1461" s="889"/>
    </row>
    <row r="1462" spans="1:126" s="74" customFormat="1">
      <c r="A1462" s="15"/>
      <c r="B1462" s="15"/>
      <c r="C1462" s="15"/>
      <c r="D1462" s="15"/>
      <c r="E1462" s="6"/>
      <c r="F1462" s="6"/>
      <c r="G1462" s="6"/>
      <c r="K1462" s="222"/>
      <c r="V1462" s="1430"/>
      <c r="AA1462" s="223"/>
      <c r="AC1462" s="889"/>
      <c r="AF1462" s="890"/>
      <c r="AJ1462" s="889"/>
      <c r="AN1462" s="222"/>
      <c r="BC1462" s="223"/>
      <c r="BD1462" s="222"/>
      <c r="BH1462" s="611"/>
      <c r="BJ1462" s="15"/>
      <c r="BK1462" s="15"/>
      <c r="BO1462" s="223"/>
      <c r="BQ1462" s="889"/>
      <c r="BT1462" s="890"/>
      <c r="BX1462" s="889"/>
      <c r="CB1462" s="15"/>
      <c r="CC1462" s="697"/>
      <c r="CD1462" s="1086"/>
      <c r="CE1462" s="15"/>
      <c r="CF1462" s="15"/>
      <c r="CG1462" s="936"/>
      <c r="CH1462" s="15"/>
      <c r="CI1462" s="15"/>
      <c r="CJ1462" s="15"/>
      <c r="CK1462" s="1107"/>
      <c r="CL1462" s="22"/>
      <c r="CM1462" s="22"/>
      <c r="CN1462" s="1107"/>
      <c r="CR1462" s="223"/>
      <c r="CS1462" s="952"/>
      <c r="CT1462" s="1066"/>
      <c r="CU1462" s="972"/>
      <c r="CV1462" s="983"/>
      <c r="CW1462" s="222"/>
      <c r="CX1462" s="697"/>
      <c r="DC1462" s="222"/>
      <c r="DJ1462" s="889"/>
      <c r="DM1462" s="890"/>
      <c r="DN1462" s="952"/>
      <c r="DO1462" s="75"/>
      <c r="DP1462" s="962"/>
      <c r="DQ1462" s="983"/>
      <c r="DV1462" s="889"/>
    </row>
    <row r="1463" spans="1:126" s="74" customFormat="1">
      <c r="A1463" s="15"/>
      <c r="B1463" s="15"/>
      <c r="C1463" s="15"/>
      <c r="D1463" s="15"/>
      <c r="E1463" s="6"/>
      <c r="F1463" s="6"/>
      <c r="G1463" s="6"/>
      <c r="K1463" s="222"/>
      <c r="V1463" s="1430"/>
      <c r="AA1463" s="223"/>
      <c r="AC1463" s="889"/>
      <c r="AF1463" s="890"/>
      <c r="AJ1463" s="889"/>
      <c r="AN1463" s="222"/>
      <c r="BC1463" s="223"/>
      <c r="BD1463" s="222"/>
      <c r="BH1463" s="611"/>
      <c r="BJ1463" s="15"/>
      <c r="BK1463" s="15"/>
      <c r="BO1463" s="223"/>
      <c r="BQ1463" s="889"/>
      <c r="BT1463" s="890"/>
      <c r="BX1463" s="889"/>
      <c r="CB1463" s="15"/>
      <c r="CC1463" s="697"/>
      <c r="CD1463" s="1086"/>
      <c r="CE1463" s="15"/>
      <c r="CF1463" s="15"/>
      <c r="CG1463" s="936"/>
      <c r="CH1463" s="15"/>
      <c r="CI1463" s="15"/>
      <c r="CJ1463" s="15"/>
      <c r="CK1463" s="1107"/>
      <c r="CL1463" s="22"/>
      <c r="CM1463" s="22"/>
      <c r="CN1463" s="1107"/>
      <c r="CR1463" s="223"/>
      <c r="CS1463" s="952"/>
      <c r="CT1463" s="1066"/>
      <c r="CU1463" s="972"/>
      <c r="CV1463" s="983"/>
      <c r="CW1463" s="222"/>
      <c r="CX1463" s="697"/>
      <c r="DC1463" s="222"/>
      <c r="DJ1463" s="889"/>
      <c r="DM1463" s="890"/>
      <c r="DN1463" s="952"/>
      <c r="DO1463" s="75"/>
      <c r="DP1463" s="962"/>
      <c r="DQ1463" s="983"/>
      <c r="DV1463" s="889"/>
    </row>
    <row r="1464" spans="1:126" s="74" customFormat="1">
      <c r="A1464" s="15"/>
      <c r="B1464" s="15"/>
      <c r="C1464" s="15"/>
      <c r="D1464" s="15"/>
      <c r="E1464" s="6"/>
      <c r="F1464" s="6"/>
      <c r="G1464" s="6"/>
      <c r="K1464" s="222"/>
      <c r="V1464" s="1430"/>
      <c r="AA1464" s="223"/>
      <c r="AC1464" s="889"/>
      <c r="AF1464" s="890"/>
      <c r="AJ1464" s="889"/>
      <c r="AN1464" s="222"/>
      <c r="BC1464" s="223"/>
      <c r="BD1464" s="222"/>
      <c r="BH1464" s="611"/>
      <c r="BJ1464" s="15"/>
      <c r="BK1464" s="15"/>
      <c r="BO1464" s="223"/>
      <c r="BQ1464" s="889"/>
      <c r="BT1464" s="890"/>
      <c r="BX1464" s="889"/>
      <c r="CB1464" s="15"/>
      <c r="CC1464" s="697"/>
      <c r="CD1464" s="1086"/>
      <c r="CE1464" s="15"/>
      <c r="CF1464" s="15"/>
      <c r="CG1464" s="936"/>
      <c r="CH1464" s="15"/>
      <c r="CI1464" s="15"/>
      <c r="CJ1464" s="15"/>
      <c r="CK1464" s="1107"/>
      <c r="CL1464" s="22"/>
      <c r="CM1464" s="22"/>
      <c r="CN1464" s="1107"/>
      <c r="CR1464" s="223"/>
      <c r="CS1464" s="952"/>
      <c r="CT1464" s="1066"/>
      <c r="CU1464" s="972"/>
      <c r="CV1464" s="983"/>
      <c r="CW1464" s="222"/>
      <c r="CX1464" s="697"/>
      <c r="DC1464" s="222"/>
      <c r="DJ1464" s="889"/>
      <c r="DM1464" s="890"/>
      <c r="DN1464" s="952"/>
      <c r="DO1464" s="75"/>
      <c r="DP1464" s="962"/>
      <c r="DQ1464" s="983"/>
      <c r="DV1464" s="889"/>
    </row>
    <row r="1465" spans="1:126" s="74" customFormat="1">
      <c r="A1465" s="15"/>
      <c r="B1465" s="15"/>
      <c r="C1465" s="15"/>
      <c r="D1465" s="15"/>
      <c r="E1465" s="6"/>
      <c r="F1465" s="6"/>
      <c r="G1465" s="6"/>
      <c r="K1465" s="222"/>
      <c r="V1465" s="1430"/>
      <c r="AA1465" s="223"/>
      <c r="AC1465" s="889"/>
      <c r="AF1465" s="890"/>
      <c r="AJ1465" s="889"/>
      <c r="AN1465" s="222"/>
      <c r="BC1465" s="223"/>
      <c r="BD1465" s="222"/>
      <c r="BH1465" s="611"/>
      <c r="BJ1465" s="15"/>
      <c r="BK1465" s="15"/>
      <c r="BO1465" s="223"/>
      <c r="BQ1465" s="889"/>
      <c r="BT1465" s="890"/>
      <c r="BX1465" s="889"/>
      <c r="CB1465" s="15"/>
      <c r="CC1465" s="697"/>
      <c r="CD1465" s="1086"/>
      <c r="CE1465" s="15"/>
      <c r="CF1465" s="15"/>
      <c r="CG1465" s="936"/>
      <c r="CH1465" s="15"/>
      <c r="CI1465" s="15"/>
      <c r="CJ1465" s="15"/>
      <c r="CK1465" s="1107"/>
      <c r="CL1465" s="22"/>
      <c r="CM1465" s="22"/>
      <c r="CN1465" s="1107"/>
      <c r="CR1465" s="223"/>
      <c r="CS1465" s="952"/>
      <c r="CT1465" s="1066"/>
      <c r="CU1465" s="972"/>
      <c r="CV1465" s="983"/>
      <c r="CW1465" s="222"/>
      <c r="CX1465" s="697"/>
      <c r="DC1465" s="222"/>
      <c r="DJ1465" s="889"/>
      <c r="DM1465" s="890"/>
      <c r="DN1465" s="952"/>
      <c r="DO1465" s="75"/>
      <c r="DP1465" s="962"/>
      <c r="DQ1465" s="983"/>
      <c r="DV1465" s="889"/>
    </row>
    <row r="1466" spans="1:126" s="74" customFormat="1">
      <c r="A1466" s="15"/>
      <c r="B1466" s="15"/>
      <c r="C1466" s="15"/>
      <c r="D1466" s="15"/>
      <c r="E1466" s="6"/>
      <c r="F1466" s="6"/>
      <c r="G1466" s="6"/>
      <c r="K1466" s="222"/>
      <c r="V1466" s="1430"/>
      <c r="AA1466" s="223"/>
      <c r="AC1466" s="889"/>
      <c r="AF1466" s="890"/>
      <c r="AJ1466" s="889"/>
      <c r="AN1466" s="222"/>
      <c r="BC1466" s="223"/>
      <c r="BD1466" s="222"/>
      <c r="BH1466" s="611"/>
      <c r="BJ1466" s="15"/>
      <c r="BK1466" s="15"/>
      <c r="BO1466" s="223"/>
      <c r="BQ1466" s="889"/>
      <c r="BT1466" s="890"/>
      <c r="BX1466" s="889"/>
      <c r="CB1466" s="15"/>
      <c r="CC1466" s="697"/>
      <c r="CD1466" s="1086"/>
      <c r="CE1466" s="15"/>
      <c r="CF1466" s="15"/>
      <c r="CG1466" s="936"/>
      <c r="CH1466" s="15"/>
      <c r="CI1466" s="15"/>
      <c r="CJ1466" s="15"/>
      <c r="CK1466" s="1107"/>
      <c r="CL1466" s="22"/>
      <c r="CM1466" s="22"/>
      <c r="CN1466" s="1107"/>
      <c r="CR1466" s="223"/>
      <c r="CS1466" s="952"/>
      <c r="CT1466" s="1066"/>
      <c r="CU1466" s="972"/>
      <c r="CV1466" s="983"/>
      <c r="CW1466" s="222"/>
      <c r="CX1466" s="697"/>
      <c r="DC1466" s="222"/>
      <c r="DJ1466" s="889"/>
      <c r="DM1466" s="890"/>
      <c r="DN1466" s="952"/>
      <c r="DO1466" s="75"/>
      <c r="DP1466" s="962"/>
      <c r="DQ1466" s="983"/>
      <c r="DV1466" s="889"/>
    </row>
    <row r="1467" spans="1:126" s="74" customFormat="1">
      <c r="A1467" s="15"/>
      <c r="B1467" s="15"/>
      <c r="C1467" s="15"/>
      <c r="D1467" s="15"/>
      <c r="E1467" s="6"/>
      <c r="F1467" s="6"/>
      <c r="G1467" s="6"/>
      <c r="K1467" s="222"/>
      <c r="V1467" s="1430"/>
      <c r="AA1467" s="223"/>
      <c r="AC1467" s="889"/>
      <c r="AF1467" s="890"/>
      <c r="AJ1467" s="889"/>
      <c r="AN1467" s="222"/>
      <c r="BC1467" s="223"/>
      <c r="BD1467" s="222"/>
      <c r="BH1467" s="611"/>
      <c r="BJ1467" s="15"/>
      <c r="BK1467" s="15"/>
      <c r="BO1467" s="223"/>
      <c r="BQ1467" s="889"/>
      <c r="BT1467" s="890"/>
      <c r="BX1467" s="889"/>
      <c r="CB1467" s="15"/>
      <c r="CC1467" s="697"/>
      <c r="CD1467" s="1086"/>
      <c r="CE1467" s="15"/>
      <c r="CF1467" s="15"/>
      <c r="CG1467" s="936"/>
      <c r="CH1467" s="15"/>
      <c r="CI1467" s="15"/>
      <c r="CJ1467" s="15"/>
      <c r="CK1467" s="1107"/>
      <c r="CL1467" s="22"/>
      <c r="CM1467" s="22"/>
      <c r="CN1467" s="1107"/>
      <c r="CR1467" s="223"/>
      <c r="CS1467" s="952"/>
      <c r="CT1467" s="1066"/>
      <c r="CU1467" s="972"/>
      <c r="CV1467" s="983"/>
      <c r="CW1467" s="222"/>
      <c r="CX1467" s="697"/>
      <c r="DC1467" s="222"/>
      <c r="DJ1467" s="889"/>
      <c r="DM1467" s="890"/>
      <c r="DN1467" s="952"/>
      <c r="DO1467" s="75"/>
      <c r="DP1467" s="962"/>
      <c r="DQ1467" s="983"/>
      <c r="DV1467" s="889"/>
    </row>
    <row r="1468" spans="1:126" s="74" customFormat="1">
      <c r="A1468" s="15"/>
      <c r="B1468" s="15"/>
      <c r="C1468" s="15"/>
      <c r="D1468" s="15"/>
      <c r="E1468" s="6"/>
      <c r="F1468" s="6"/>
      <c r="G1468" s="6"/>
      <c r="K1468" s="222"/>
      <c r="V1468" s="1430"/>
      <c r="AA1468" s="223"/>
      <c r="AC1468" s="889"/>
      <c r="AF1468" s="890"/>
      <c r="AJ1468" s="889"/>
      <c r="AN1468" s="222"/>
      <c r="BC1468" s="223"/>
      <c r="BD1468" s="222"/>
      <c r="BH1468" s="611"/>
      <c r="BJ1468" s="15"/>
      <c r="BK1468" s="15"/>
      <c r="BO1468" s="223"/>
      <c r="BQ1468" s="889"/>
      <c r="BT1468" s="890"/>
      <c r="BX1468" s="889"/>
      <c r="CB1468" s="15"/>
      <c r="CC1468" s="697"/>
      <c r="CD1468" s="1086"/>
      <c r="CE1468" s="15"/>
      <c r="CF1468" s="15"/>
      <c r="CG1468" s="936"/>
      <c r="CH1468" s="15"/>
      <c r="CI1468" s="15"/>
      <c r="CJ1468" s="15"/>
      <c r="CK1468" s="1107"/>
      <c r="CL1468" s="22"/>
      <c r="CM1468" s="22"/>
      <c r="CN1468" s="1107"/>
      <c r="CR1468" s="223"/>
      <c r="CS1468" s="952"/>
      <c r="CT1468" s="1066"/>
      <c r="CU1468" s="972"/>
      <c r="CV1468" s="983"/>
      <c r="CW1468" s="222"/>
      <c r="CX1468" s="697"/>
      <c r="DC1468" s="222"/>
      <c r="DJ1468" s="889"/>
      <c r="DM1468" s="890"/>
      <c r="DN1468" s="952"/>
      <c r="DO1468" s="75"/>
      <c r="DP1468" s="962"/>
      <c r="DQ1468" s="983"/>
      <c r="DV1468" s="889"/>
    </row>
    <row r="1469" spans="1:126" s="74" customFormat="1">
      <c r="A1469" s="15"/>
      <c r="B1469" s="15"/>
      <c r="C1469" s="15"/>
      <c r="D1469" s="15"/>
      <c r="E1469" s="6"/>
      <c r="F1469" s="6"/>
      <c r="G1469" s="6"/>
      <c r="K1469" s="222"/>
      <c r="V1469" s="1430"/>
      <c r="AA1469" s="223"/>
      <c r="AC1469" s="889"/>
      <c r="AF1469" s="890"/>
      <c r="AJ1469" s="889"/>
      <c r="AN1469" s="222"/>
      <c r="BC1469" s="223"/>
      <c r="BD1469" s="222"/>
      <c r="BH1469" s="611"/>
      <c r="BJ1469" s="15"/>
      <c r="BK1469" s="15"/>
      <c r="BO1469" s="223"/>
      <c r="BQ1469" s="889"/>
      <c r="BT1469" s="890"/>
      <c r="BX1469" s="889"/>
      <c r="CB1469" s="15"/>
      <c r="CC1469" s="697"/>
      <c r="CD1469" s="1086"/>
      <c r="CE1469" s="15"/>
      <c r="CF1469" s="15"/>
      <c r="CG1469" s="936"/>
      <c r="CH1469" s="15"/>
      <c r="CI1469" s="15"/>
      <c r="CJ1469" s="15"/>
      <c r="CK1469" s="1107"/>
      <c r="CL1469" s="22"/>
      <c r="CM1469" s="22"/>
      <c r="CN1469" s="1107"/>
      <c r="CR1469" s="223"/>
      <c r="CS1469" s="952"/>
      <c r="CT1469" s="1066"/>
      <c r="CU1469" s="972"/>
      <c r="CV1469" s="983"/>
      <c r="CW1469" s="222"/>
      <c r="CX1469" s="697"/>
      <c r="DC1469" s="222"/>
      <c r="DJ1469" s="889"/>
      <c r="DM1469" s="890"/>
      <c r="DN1469" s="952"/>
      <c r="DO1469" s="75"/>
      <c r="DP1469" s="962"/>
      <c r="DQ1469" s="983"/>
      <c r="DV1469" s="889"/>
    </row>
    <row r="1470" spans="1:126" s="74" customFormat="1">
      <c r="A1470" s="15"/>
      <c r="B1470" s="15"/>
      <c r="C1470" s="15"/>
      <c r="D1470" s="15"/>
      <c r="E1470" s="6"/>
      <c r="F1470" s="6"/>
      <c r="G1470" s="6"/>
      <c r="K1470" s="222"/>
      <c r="V1470" s="1430"/>
      <c r="AA1470" s="223"/>
      <c r="AC1470" s="889"/>
      <c r="AF1470" s="890"/>
      <c r="AJ1470" s="889"/>
      <c r="AN1470" s="222"/>
      <c r="BC1470" s="223"/>
      <c r="BD1470" s="222"/>
      <c r="BH1470" s="611"/>
      <c r="BJ1470" s="15"/>
      <c r="BK1470" s="15"/>
      <c r="BO1470" s="223"/>
      <c r="BQ1470" s="889"/>
      <c r="BT1470" s="890"/>
      <c r="BX1470" s="889"/>
      <c r="CB1470" s="15"/>
      <c r="CC1470" s="697"/>
      <c r="CD1470" s="1086"/>
      <c r="CE1470" s="15"/>
      <c r="CF1470" s="15"/>
      <c r="CG1470" s="936"/>
      <c r="CH1470" s="15"/>
      <c r="CI1470" s="15"/>
      <c r="CJ1470" s="15"/>
      <c r="CK1470" s="1107"/>
      <c r="CL1470" s="22"/>
      <c r="CM1470" s="22"/>
      <c r="CN1470" s="1107"/>
      <c r="CR1470" s="223"/>
      <c r="CS1470" s="952"/>
      <c r="CT1470" s="1066"/>
      <c r="CU1470" s="972"/>
      <c r="CV1470" s="983"/>
      <c r="CW1470" s="222"/>
      <c r="CX1470" s="697"/>
      <c r="DC1470" s="222"/>
      <c r="DJ1470" s="889"/>
      <c r="DM1470" s="890"/>
      <c r="DN1470" s="952"/>
      <c r="DO1470" s="75"/>
      <c r="DP1470" s="962"/>
      <c r="DQ1470" s="983"/>
      <c r="DV1470" s="889"/>
    </row>
    <row r="1471" spans="1:126" s="74" customFormat="1">
      <c r="A1471" s="15"/>
      <c r="B1471" s="15"/>
      <c r="C1471" s="15"/>
      <c r="D1471" s="15"/>
      <c r="E1471" s="6"/>
      <c r="F1471" s="6"/>
      <c r="G1471" s="6"/>
      <c r="K1471" s="222"/>
      <c r="V1471" s="1430"/>
      <c r="AA1471" s="223"/>
      <c r="AC1471" s="889"/>
      <c r="AF1471" s="890"/>
      <c r="AJ1471" s="889"/>
      <c r="AN1471" s="222"/>
      <c r="BC1471" s="223"/>
      <c r="BD1471" s="222"/>
      <c r="BH1471" s="611"/>
      <c r="BJ1471" s="15"/>
      <c r="BK1471" s="15"/>
      <c r="BO1471" s="223"/>
      <c r="BQ1471" s="889"/>
      <c r="BT1471" s="890"/>
      <c r="BX1471" s="889"/>
      <c r="CB1471" s="15"/>
      <c r="CC1471" s="697"/>
      <c r="CD1471" s="1086"/>
      <c r="CE1471" s="15"/>
      <c r="CF1471" s="15"/>
      <c r="CG1471" s="936"/>
      <c r="CH1471" s="15"/>
      <c r="CI1471" s="15"/>
      <c r="CJ1471" s="15"/>
      <c r="CK1471" s="1107"/>
      <c r="CL1471" s="22"/>
      <c r="CM1471" s="22"/>
      <c r="CN1471" s="1107"/>
      <c r="CR1471" s="223"/>
      <c r="CS1471" s="952"/>
      <c r="CT1471" s="1066"/>
      <c r="CU1471" s="972"/>
      <c r="CV1471" s="983"/>
      <c r="CW1471" s="222"/>
      <c r="CX1471" s="697"/>
      <c r="DC1471" s="222"/>
      <c r="DJ1471" s="889"/>
      <c r="DM1471" s="890"/>
      <c r="DN1471" s="952"/>
      <c r="DO1471" s="75"/>
      <c r="DP1471" s="962"/>
      <c r="DQ1471" s="983"/>
      <c r="DV1471" s="889"/>
    </row>
    <row r="1472" spans="1:126" s="74" customFormat="1">
      <c r="A1472" s="15"/>
      <c r="B1472" s="15"/>
      <c r="C1472" s="15"/>
      <c r="D1472" s="15"/>
      <c r="E1472" s="6"/>
      <c r="F1472" s="6"/>
      <c r="G1472" s="6"/>
      <c r="K1472" s="222"/>
      <c r="V1472" s="1430"/>
      <c r="AA1472" s="223"/>
      <c r="AC1472" s="889"/>
      <c r="AF1472" s="890"/>
      <c r="AJ1472" s="889"/>
      <c r="AN1472" s="222"/>
      <c r="BC1472" s="223"/>
      <c r="BD1472" s="222"/>
      <c r="BH1472" s="611"/>
      <c r="BJ1472" s="15"/>
      <c r="BK1472" s="15"/>
      <c r="BO1472" s="223"/>
      <c r="BQ1472" s="889"/>
      <c r="BT1472" s="890"/>
      <c r="BX1472" s="889"/>
      <c r="CB1472" s="15"/>
      <c r="CC1472" s="697"/>
      <c r="CD1472" s="1086"/>
      <c r="CE1472" s="15"/>
      <c r="CF1472" s="15"/>
      <c r="CG1472" s="936"/>
      <c r="CH1472" s="15"/>
      <c r="CI1472" s="15"/>
      <c r="CJ1472" s="15"/>
      <c r="CK1472" s="1107"/>
      <c r="CL1472" s="22"/>
      <c r="CM1472" s="22"/>
      <c r="CN1472" s="1107"/>
      <c r="CR1472" s="223"/>
      <c r="CS1472" s="952"/>
      <c r="CT1472" s="1066"/>
      <c r="CU1472" s="972"/>
      <c r="CV1472" s="983"/>
      <c r="CW1472" s="222"/>
      <c r="CX1472" s="697"/>
      <c r="DC1472" s="222"/>
      <c r="DJ1472" s="889"/>
      <c r="DM1472" s="890"/>
      <c r="DN1472" s="952"/>
      <c r="DO1472" s="75"/>
      <c r="DP1472" s="962"/>
      <c r="DQ1472" s="983"/>
      <c r="DV1472" s="889"/>
    </row>
    <row r="1473" spans="1:126" s="74" customFormat="1">
      <c r="A1473" s="15"/>
      <c r="B1473" s="15"/>
      <c r="C1473" s="15"/>
      <c r="D1473" s="15"/>
      <c r="E1473" s="6"/>
      <c r="F1473" s="6"/>
      <c r="G1473" s="6"/>
      <c r="K1473" s="222"/>
      <c r="V1473" s="1430"/>
      <c r="AA1473" s="223"/>
      <c r="AC1473" s="889"/>
      <c r="AF1473" s="890"/>
      <c r="AJ1473" s="889"/>
      <c r="AN1473" s="222"/>
      <c r="BC1473" s="223"/>
      <c r="BD1473" s="222"/>
      <c r="BH1473" s="611"/>
      <c r="BJ1473" s="15"/>
      <c r="BK1473" s="15"/>
      <c r="BO1473" s="223"/>
      <c r="BQ1473" s="889"/>
      <c r="BT1473" s="890"/>
      <c r="BX1473" s="889"/>
      <c r="CB1473" s="15"/>
      <c r="CC1473" s="697"/>
      <c r="CD1473" s="1086"/>
      <c r="CE1473" s="15"/>
      <c r="CF1473" s="15"/>
      <c r="CG1473" s="936"/>
      <c r="CH1473" s="15"/>
      <c r="CI1473" s="15"/>
      <c r="CJ1473" s="15"/>
      <c r="CK1473" s="1107"/>
      <c r="CL1473" s="22"/>
      <c r="CM1473" s="22"/>
      <c r="CN1473" s="1107"/>
      <c r="CR1473" s="223"/>
      <c r="CS1473" s="952"/>
      <c r="CT1473" s="1066"/>
      <c r="CU1473" s="972"/>
      <c r="CV1473" s="983"/>
      <c r="CW1473" s="222"/>
      <c r="CX1473" s="697"/>
      <c r="DC1473" s="222"/>
      <c r="DJ1473" s="889"/>
      <c r="DM1473" s="890"/>
      <c r="DN1473" s="952"/>
      <c r="DO1473" s="75"/>
      <c r="DP1473" s="962"/>
      <c r="DQ1473" s="983"/>
      <c r="DV1473" s="889"/>
    </row>
    <row r="1474" spans="1:126" s="74" customFormat="1">
      <c r="A1474" s="15"/>
      <c r="B1474" s="15"/>
      <c r="C1474" s="15"/>
      <c r="D1474" s="15"/>
      <c r="E1474" s="6"/>
      <c r="F1474" s="6"/>
      <c r="G1474" s="6"/>
      <c r="K1474" s="222"/>
      <c r="V1474" s="1430"/>
      <c r="AA1474" s="223"/>
      <c r="AC1474" s="889"/>
      <c r="AF1474" s="890"/>
      <c r="AJ1474" s="889"/>
      <c r="AN1474" s="222"/>
      <c r="BC1474" s="223"/>
      <c r="BD1474" s="222"/>
      <c r="BH1474" s="611"/>
      <c r="BJ1474" s="15"/>
      <c r="BK1474" s="15"/>
      <c r="BO1474" s="223"/>
      <c r="BQ1474" s="889"/>
      <c r="BT1474" s="890"/>
      <c r="BX1474" s="889"/>
      <c r="CB1474" s="15"/>
      <c r="CC1474" s="697"/>
      <c r="CD1474" s="1086"/>
      <c r="CE1474" s="15"/>
      <c r="CF1474" s="15"/>
      <c r="CG1474" s="936"/>
      <c r="CH1474" s="15"/>
      <c r="CI1474" s="15"/>
      <c r="CJ1474" s="15"/>
      <c r="CK1474" s="1107"/>
      <c r="CL1474" s="22"/>
      <c r="CM1474" s="22"/>
      <c r="CN1474" s="1107"/>
      <c r="CR1474" s="223"/>
      <c r="CS1474" s="952"/>
      <c r="CT1474" s="1066"/>
      <c r="CU1474" s="972"/>
      <c r="CV1474" s="983"/>
      <c r="CW1474" s="222"/>
      <c r="CX1474" s="697"/>
      <c r="DC1474" s="222"/>
      <c r="DJ1474" s="889"/>
      <c r="DM1474" s="890"/>
      <c r="DN1474" s="952"/>
      <c r="DO1474" s="75"/>
      <c r="DP1474" s="962"/>
      <c r="DQ1474" s="983"/>
      <c r="DV1474" s="889"/>
    </row>
    <row r="1475" spans="1:126" s="74" customFormat="1">
      <c r="A1475" s="15"/>
      <c r="B1475" s="15"/>
      <c r="C1475" s="15"/>
      <c r="D1475" s="15"/>
      <c r="E1475" s="6"/>
      <c r="F1475" s="6"/>
      <c r="G1475" s="6"/>
      <c r="K1475" s="222"/>
      <c r="V1475" s="1430"/>
      <c r="AA1475" s="223"/>
      <c r="AC1475" s="889"/>
      <c r="AF1475" s="890"/>
      <c r="AJ1475" s="889"/>
      <c r="AN1475" s="222"/>
      <c r="BC1475" s="223"/>
      <c r="BD1475" s="222"/>
      <c r="BH1475" s="611"/>
      <c r="BJ1475" s="15"/>
      <c r="BK1475" s="15"/>
      <c r="BO1475" s="223"/>
      <c r="BQ1475" s="889"/>
      <c r="BT1475" s="890"/>
      <c r="BX1475" s="889"/>
      <c r="CB1475" s="15"/>
      <c r="CC1475" s="697"/>
      <c r="CD1475" s="1086"/>
      <c r="CE1475" s="15"/>
      <c r="CF1475" s="15"/>
      <c r="CG1475" s="936"/>
      <c r="CH1475" s="15"/>
      <c r="CI1475" s="15"/>
      <c r="CJ1475" s="15"/>
      <c r="CK1475" s="1107"/>
      <c r="CL1475" s="22"/>
      <c r="CM1475" s="22"/>
      <c r="CN1475" s="1107"/>
      <c r="CR1475" s="223"/>
      <c r="CS1475" s="952"/>
      <c r="CT1475" s="1066"/>
      <c r="CU1475" s="972"/>
      <c r="CV1475" s="983"/>
      <c r="CW1475" s="222"/>
      <c r="CX1475" s="697"/>
      <c r="DC1475" s="222"/>
      <c r="DJ1475" s="889"/>
      <c r="DM1475" s="890"/>
      <c r="DN1475" s="952"/>
      <c r="DO1475" s="75"/>
      <c r="DP1475" s="962"/>
      <c r="DQ1475" s="983"/>
      <c r="DV1475" s="889"/>
    </row>
    <row r="1476" spans="1:126" s="74" customFormat="1">
      <c r="A1476" s="15"/>
      <c r="B1476" s="15"/>
      <c r="C1476" s="15"/>
      <c r="D1476" s="15"/>
      <c r="E1476" s="6"/>
      <c r="F1476" s="6"/>
      <c r="G1476" s="6"/>
      <c r="K1476" s="222"/>
      <c r="V1476" s="1430"/>
      <c r="AA1476" s="223"/>
      <c r="AC1476" s="889"/>
      <c r="AF1476" s="890"/>
      <c r="AJ1476" s="889"/>
      <c r="AN1476" s="222"/>
      <c r="BC1476" s="223"/>
      <c r="BD1476" s="222"/>
      <c r="BH1476" s="611"/>
      <c r="BJ1476" s="15"/>
      <c r="BK1476" s="15"/>
      <c r="BO1476" s="223"/>
      <c r="BQ1476" s="889"/>
      <c r="BT1476" s="890"/>
      <c r="BX1476" s="889"/>
      <c r="CB1476" s="15"/>
      <c r="CC1476" s="697"/>
      <c r="CD1476" s="1086"/>
      <c r="CE1476" s="15"/>
      <c r="CF1476" s="15"/>
      <c r="CG1476" s="936"/>
      <c r="CH1476" s="15"/>
      <c r="CI1476" s="15"/>
      <c r="CJ1476" s="15"/>
      <c r="CK1476" s="1107"/>
      <c r="CL1476" s="22"/>
      <c r="CM1476" s="22"/>
      <c r="CN1476" s="1107"/>
      <c r="CR1476" s="223"/>
      <c r="CS1476" s="952"/>
      <c r="CT1476" s="1066"/>
      <c r="CU1476" s="972"/>
      <c r="CV1476" s="983"/>
      <c r="CW1476" s="222"/>
      <c r="CX1476" s="697"/>
      <c r="DC1476" s="222"/>
      <c r="DJ1476" s="889"/>
      <c r="DM1476" s="890"/>
      <c r="DN1476" s="952"/>
      <c r="DO1476" s="75"/>
      <c r="DP1476" s="962"/>
      <c r="DQ1476" s="983"/>
      <c r="DV1476" s="889"/>
    </row>
    <row r="1477" spans="1:126" s="74" customFormat="1">
      <c r="A1477" s="15"/>
      <c r="B1477" s="15"/>
      <c r="C1477" s="15"/>
      <c r="D1477" s="15"/>
      <c r="E1477" s="6"/>
      <c r="F1477" s="6"/>
      <c r="G1477" s="6"/>
      <c r="K1477" s="222"/>
      <c r="V1477" s="1430"/>
      <c r="AA1477" s="223"/>
      <c r="AC1477" s="889"/>
      <c r="AF1477" s="890"/>
      <c r="AJ1477" s="889"/>
      <c r="AN1477" s="222"/>
      <c r="BC1477" s="223"/>
      <c r="BD1477" s="222"/>
      <c r="BH1477" s="611"/>
      <c r="BJ1477" s="15"/>
      <c r="BK1477" s="15"/>
      <c r="BO1477" s="223"/>
      <c r="BQ1477" s="889"/>
      <c r="BT1477" s="890"/>
      <c r="BX1477" s="889"/>
      <c r="CB1477" s="15"/>
      <c r="CC1477" s="697"/>
      <c r="CD1477" s="1086"/>
      <c r="CE1477" s="15"/>
      <c r="CF1477" s="15"/>
      <c r="CG1477" s="936"/>
      <c r="CH1477" s="15"/>
      <c r="CI1477" s="15"/>
      <c r="CJ1477" s="15"/>
      <c r="CK1477" s="1107"/>
      <c r="CL1477" s="22"/>
      <c r="CM1477" s="22"/>
      <c r="CN1477" s="1107"/>
      <c r="CR1477" s="223"/>
      <c r="CS1477" s="952"/>
      <c r="CT1477" s="1066"/>
      <c r="CU1477" s="972"/>
      <c r="CV1477" s="983"/>
      <c r="CW1477" s="222"/>
      <c r="CX1477" s="697"/>
      <c r="DC1477" s="222"/>
      <c r="DJ1477" s="889"/>
      <c r="DM1477" s="890"/>
      <c r="DN1477" s="952"/>
      <c r="DO1477" s="75"/>
      <c r="DP1477" s="962"/>
      <c r="DQ1477" s="983"/>
      <c r="DV1477" s="889"/>
    </row>
    <row r="1478" spans="1:126" s="74" customFormat="1">
      <c r="A1478" s="15"/>
      <c r="B1478" s="15"/>
      <c r="C1478" s="15"/>
      <c r="D1478" s="15"/>
      <c r="E1478" s="6"/>
      <c r="F1478" s="6"/>
      <c r="G1478" s="6"/>
      <c r="K1478" s="222"/>
      <c r="V1478" s="1430"/>
      <c r="AA1478" s="223"/>
      <c r="AC1478" s="889"/>
      <c r="AF1478" s="890"/>
      <c r="AJ1478" s="889"/>
      <c r="AN1478" s="222"/>
      <c r="BC1478" s="223"/>
      <c r="BD1478" s="222"/>
      <c r="BH1478" s="611"/>
      <c r="BJ1478" s="15"/>
      <c r="BK1478" s="15"/>
      <c r="BO1478" s="223"/>
      <c r="BQ1478" s="889"/>
      <c r="BT1478" s="890"/>
      <c r="BX1478" s="889"/>
      <c r="CB1478" s="15"/>
      <c r="CC1478" s="697"/>
      <c r="CD1478" s="1086"/>
      <c r="CE1478" s="15"/>
      <c r="CF1478" s="15"/>
      <c r="CG1478" s="936"/>
      <c r="CH1478" s="15"/>
      <c r="CI1478" s="15"/>
      <c r="CJ1478" s="15"/>
      <c r="CK1478" s="1107"/>
      <c r="CL1478" s="22"/>
      <c r="CM1478" s="22"/>
      <c r="CN1478" s="1107"/>
      <c r="CR1478" s="223"/>
      <c r="CS1478" s="952"/>
      <c r="CT1478" s="1066"/>
      <c r="CU1478" s="972"/>
      <c r="CV1478" s="983"/>
      <c r="CW1478" s="222"/>
      <c r="CX1478" s="697"/>
      <c r="DC1478" s="222"/>
      <c r="DJ1478" s="889"/>
      <c r="DM1478" s="890"/>
      <c r="DN1478" s="952"/>
      <c r="DO1478" s="75"/>
      <c r="DP1478" s="962"/>
      <c r="DQ1478" s="983"/>
      <c r="DV1478" s="889"/>
    </row>
    <row r="1479" spans="1:126" s="74" customFormat="1">
      <c r="A1479" s="15"/>
      <c r="B1479" s="15"/>
      <c r="C1479" s="15"/>
      <c r="D1479" s="15"/>
      <c r="E1479" s="6"/>
      <c r="F1479" s="6"/>
      <c r="G1479" s="6"/>
      <c r="K1479" s="222"/>
      <c r="V1479" s="1430"/>
      <c r="AA1479" s="223"/>
      <c r="AC1479" s="889"/>
      <c r="AF1479" s="890"/>
      <c r="AJ1479" s="889"/>
      <c r="AN1479" s="222"/>
      <c r="BC1479" s="223"/>
      <c r="BD1479" s="222"/>
      <c r="BH1479" s="611"/>
      <c r="BJ1479" s="15"/>
      <c r="BK1479" s="15"/>
      <c r="BO1479" s="223"/>
      <c r="BQ1479" s="889"/>
      <c r="BT1479" s="890"/>
      <c r="BX1479" s="889"/>
      <c r="CB1479" s="15"/>
      <c r="CC1479" s="697"/>
      <c r="CD1479" s="1086"/>
      <c r="CE1479" s="15"/>
      <c r="CF1479" s="15"/>
      <c r="CG1479" s="936"/>
      <c r="CH1479" s="15"/>
      <c r="CI1479" s="15"/>
      <c r="CJ1479" s="15"/>
      <c r="CK1479" s="1107"/>
      <c r="CL1479" s="22"/>
      <c r="CM1479" s="22"/>
      <c r="CN1479" s="1107"/>
      <c r="CR1479" s="223"/>
      <c r="CS1479" s="952"/>
      <c r="CT1479" s="1066"/>
      <c r="CU1479" s="972"/>
      <c r="CV1479" s="983"/>
      <c r="CW1479" s="222"/>
      <c r="CX1479" s="697"/>
      <c r="DC1479" s="222"/>
      <c r="DJ1479" s="889"/>
      <c r="DM1479" s="890"/>
      <c r="DN1479" s="952"/>
      <c r="DO1479" s="75"/>
      <c r="DP1479" s="962"/>
      <c r="DQ1479" s="983"/>
      <c r="DV1479" s="889"/>
    </row>
    <row r="1480" spans="1:126" s="74" customFormat="1">
      <c r="A1480" s="15"/>
      <c r="B1480" s="15"/>
      <c r="C1480" s="15"/>
      <c r="D1480" s="15"/>
      <c r="E1480" s="6"/>
      <c r="F1480" s="6"/>
      <c r="G1480" s="6"/>
      <c r="K1480" s="222"/>
      <c r="V1480" s="1430"/>
      <c r="AA1480" s="223"/>
      <c r="AC1480" s="889"/>
      <c r="AF1480" s="890"/>
      <c r="AJ1480" s="889"/>
      <c r="AN1480" s="222"/>
      <c r="BC1480" s="223"/>
      <c r="BD1480" s="222"/>
      <c r="BH1480" s="611"/>
      <c r="BJ1480" s="15"/>
      <c r="BK1480" s="15"/>
      <c r="BO1480" s="223"/>
      <c r="BQ1480" s="889"/>
      <c r="BT1480" s="890"/>
      <c r="BX1480" s="889"/>
      <c r="CB1480" s="15"/>
      <c r="CC1480" s="697"/>
      <c r="CD1480" s="1086"/>
      <c r="CE1480" s="15"/>
      <c r="CF1480" s="15"/>
      <c r="CG1480" s="936"/>
      <c r="CH1480" s="15"/>
      <c r="CI1480" s="15"/>
      <c r="CJ1480" s="15"/>
      <c r="CK1480" s="1107"/>
      <c r="CL1480" s="22"/>
      <c r="CM1480" s="22"/>
      <c r="CN1480" s="1107"/>
      <c r="CR1480" s="223"/>
      <c r="CS1480" s="952"/>
      <c r="CT1480" s="1066"/>
      <c r="CU1480" s="972"/>
      <c r="CV1480" s="983"/>
      <c r="CW1480" s="222"/>
      <c r="CX1480" s="697"/>
      <c r="DC1480" s="222"/>
      <c r="DJ1480" s="889"/>
      <c r="DM1480" s="890"/>
      <c r="DN1480" s="952"/>
      <c r="DO1480" s="75"/>
      <c r="DP1480" s="962"/>
      <c r="DQ1480" s="983"/>
      <c r="DV1480" s="889"/>
    </row>
    <row r="1481" spans="1:126" s="74" customFormat="1">
      <c r="A1481" s="15"/>
      <c r="B1481" s="15"/>
      <c r="C1481" s="15"/>
      <c r="D1481" s="15"/>
      <c r="E1481" s="6"/>
      <c r="F1481" s="6"/>
      <c r="G1481" s="6"/>
      <c r="K1481" s="222"/>
      <c r="V1481" s="1430"/>
      <c r="AA1481" s="223"/>
      <c r="AC1481" s="889"/>
      <c r="AF1481" s="890"/>
      <c r="AJ1481" s="889"/>
      <c r="AN1481" s="222"/>
      <c r="BC1481" s="223"/>
      <c r="BD1481" s="222"/>
      <c r="BH1481" s="611"/>
      <c r="BJ1481" s="15"/>
      <c r="BK1481" s="15"/>
      <c r="BO1481" s="223"/>
      <c r="BQ1481" s="889"/>
      <c r="BT1481" s="890"/>
      <c r="BX1481" s="889"/>
      <c r="CB1481" s="15"/>
      <c r="CC1481" s="697"/>
      <c r="CD1481" s="1086"/>
      <c r="CE1481" s="15"/>
      <c r="CF1481" s="15"/>
      <c r="CG1481" s="936"/>
      <c r="CH1481" s="15"/>
      <c r="CI1481" s="15"/>
      <c r="CJ1481" s="15"/>
      <c r="CK1481" s="1107"/>
      <c r="CL1481" s="22"/>
      <c r="CM1481" s="22"/>
      <c r="CN1481" s="1107"/>
      <c r="CR1481" s="223"/>
      <c r="CS1481" s="952"/>
      <c r="CT1481" s="1066"/>
      <c r="CU1481" s="972"/>
      <c r="CV1481" s="983"/>
      <c r="CW1481" s="222"/>
      <c r="CX1481" s="697"/>
      <c r="DC1481" s="222"/>
      <c r="DJ1481" s="889"/>
      <c r="DM1481" s="890"/>
      <c r="DN1481" s="952"/>
      <c r="DO1481" s="75"/>
      <c r="DP1481" s="962"/>
      <c r="DQ1481" s="983"/>
      <c r="DV1481" s="889"/>
    </row>
    <row r="1482" spans="1:126" s="74" customFormat="1">
      <c r="A1482" s="15"/>
      <c r="B1482" s="15"/>
      <c r="C1482" s="15"/>
      <c r="D1482" s="15"/>
      <c r="E1482" s="6"/>
      <c r="F1482" s="6"/>
      <c r="G1482" s="6"/>
      <c r="K1482" s="222"/>
      <c r="V1482" s="1430"/>
      <c r="AA1482" s="223"/>
      <c r="AC1482" s="889"/>
      <c r="AF1482" s="890"/>
      <c r="AJ1482" s="889"/>
      <c r="AN1482" s="222"/>
      <c r="BC1482" s="223"/>
      <c r="BD1482" s="222"/>
      <c r="BH1482" s="611"/>
      <c r="BJ1482" s="15"/>
      <c r="BK1482" s="15"/>
      <c r="BO1482" s="223"/>
      <c r="BQ1482" s="889"/>
      <c r="BT1482" s="890"/>
      <c r="BX1482" s="889"/>
      <c r="CB1482" s="15"/>
      <c r="CC1482" s="697"/>
      <c r="CD1482" s="1086"/>
      <c r="CE1482" s="15"/>
      <c r="CF1482" s="15"/>
      <c r="CG1482" s="936"/>
      <c r="CH1482" s="15"/>
      <c r="CI1482" s="15"/>
      <c r="CJ1482" s="15"/>
      <c r="CK1482" s="1107"/>
      <c r="CL1482" s="22"/>
      <c r="CM1482" s="22"/>
      <c r="CN1482" s="1107"/>
      <c r="CR1482" s="223"/>
      <c r="CS1482" s="952"/>
      <c r="CT1482" s="1066"/>
      <c r="CU1482" s="972"/>
      <c r="CV1482" s="983"/>
      <c r="CW1482" s="222"/>
      <c r="CX1482" s="697"/>
      <c r="DC1482" s="222"/>
      <c r="DJ1482" s="889"/>
      <c r="DM1482" s="890"/>
      <c r="DN1482" s="952"/>
      <c r="DO1482" s="75"/>
      <c r="DP1482" s="962"/>
      <c r="DQ1482" s="983"/>
      <c r="DV1482" s="889"/>
    </row>
    <row r="1483" spans="1:126" s="74" customFormat="1">
      <c r="A1483" s="15"/>
      <c r="B1483" s="15"/>
      <c r="C1483" s="15"/>
      <c r="D1483" s="15"/>
      <c r="E1483" s="6"/>
      <c r="F1483" s="6"/>
      <c r="G1483" s="6"/>
      <c r="K1483" s="222"/>
      <c r="V1483" s="1430"/>
      <c r="AA1483" s="223"/>
      <c r="AC1483" s="889"/>
      <c r="AF1483" s="890"/>
      <c r="AJ1483" s="889"/>
      <c r="AN1483" s="222"/>
      <c r="BC1483" s="223"/>
      <c r="BD1483" s="222"/>
      <c r="BH1483" s="611"/>
      <c r="BJ1483" s="15"/>
      <c r="BK1483" s="15"/>
      <c r="BO1483" s="223"/>
      <c r="BQ1483" s="889"/>
      <c r="BT1483" s="890"/>
      <c r="BX1483" s="889"/>
      <c r="CB1483" s="15"/>
      <c r="CC1483" s="697"/>
      <c r="CD1483" s="1086"/>
      <c r="CE1483" s="15"/>
      <c r="CF1483" s="15"/>
      <c r="CG1483" s="936"/>
      <c r="CH1483" s="15"/>
      <c r="CI1483" s="15"/>
      <c r="CJ1483" s="15"/>
      <c r="CK1483" s="1107"/>
      <c r="CL1483" s="22"/>
      <c r="CM1483" s="22"/>
      <c r="CN1483" s="1107"/>
      <c r="CR1483" s="223"/>
      <c r="CS1483" s="952"/>
      <c r="CT1483" s="1066"/>
      <c r="CU1483" s="972"/>
      <c r="CV1483" s="983"/>
      <c r="CW1483" s="222"/>
      <c r="CX1483" s="697"/>
      <c r="DC1483" s="222"/>
      <c r="DJ1483" s="889"/>
      <c r="DM1483" s="890"/>
      <c r="DN1483" s="952"/>
      <c r="DO1483" s="75"/>
      <c r="DP1483" s="962"/>
      <c r="DQ1483" s="983"/>
      <c r="DV1483" s="889"/>
    </row>
    <row r="1484" spans="1:126" s="74" customFormat="1">
      <c r="A1484" s="15"/>
      <c r="B1484" s="15"/>
      <c r="C1484" s="15"/>
      <c r="D1484" s="15"/>
      <c r="E1484" s="6"/>
      <c r="F1484" s="6"/>
      <c r="G1484" s="6"/>
      <c r="K1484" s="222"/>
      <c r="V1484" s="1430"/>
      <c r="AA1484" s="223"/>
      <c r="AC1484" s="889"/>
      <c r="AF1484" s="890"/>
      <c r="AJ1484" s="889"/>
      <c r="AN1484" s="222"/>
      <c r="BC1484" s="223"/>
      <c r="BD1484" s="222"/>
      <c r="BH1484" s="611"/>
      <c r="BJ1484" s="15"/>
      <c r="BK1484" s="15"/>
      <c r="BO1484" s="223"/>
      <c r="BQ1484" s="889"/>
      <c r="BT1484" s="890"/>
      <c r="BX1484" s="889"/>
      <c r="CB1484" s="15"/>
      <c r="CC1484" s="697"/>
      <c r="CD1484" s="1086"/>
      <c r="CE1484" s="15"/>
      <c r="CF1484" s="15"/>
      <c r="CG1484" s="936"/>
      <c r="CH1484" s="15"/>
      <c r="CI1484" s="15"/>
      <c r="CJ1484" s="15"/>
      <c r="CK1484" s="1107"/>
      <c r="CL1484" s="22"/>
      <c r="CM1484" s="22"/>
      <c r="CN1484" s="1107"/>
      <c r="CR1484" s="223"/>
      <c r="CS1484" s="952"/>
      <c r="CT1484" s="1066"/>
      <c r="CU1484" s="972"/>
      <c r="CV1484" s="983"/>
      <c r="CW1484" s="222"/>
      <c r="CX1484" s="697"/>
      <c r="DC1484" s="222"/>
      <c r="DJ1484" s="889"/>
      <c r="DM1484" s="890"/>
      <c r="DN1484" s="952"/>
      <c r="DO1484" s="75"/>
      <c r="DP1484" s="962"/>
      <c r="DQ1484" s="983"/>
      <c r="DV1484" s="889"/>
    </row>
    <row r="1485" spans="1:126" s="74" customFormat="1">
      <c r="A1485" s="15"/>
      <c r="B1485" s="15"/>
      <c r="C1485" s="15"/>
      <c r="D1485" s="15"/>
      <c r="E1485" s="6"/>
      <c r="F1485" s="6"/>
      <c r="G1485" s="6"/>
      <c r="K1485" s="222"/>
      <c r="V1485" s="1430"/>
      <c r="AA1485" s="223"/>
      <c r="AC1485" s="889"/>
      <c r="AF1485" s="890"/>
      <c r="AJ1485" s="889"/>
      <c r="AN1485" s="222"/>
      <c r="BC1485" s="223"/>
      <c r="BD1485" s="222"/>
      <c r="BH1485" s="611"/>
      <c r="BJ1485" s="15"/>
      <c r="BK1485" s="15"/>
      <c r="BO1485" s="223"/>
      <c r="BQ1485" s="889"/>
      <c r="BT1485" s="890"/>
      <c r="BX1485" s="889"/>
      <c r="CB1485" s="15"/>
      <c r="CC1485" s="697"/>
      <c r="CD1485" s="1086"/>
      <c r="CE1485" s="15"/>
      <c r="CF1485" s="15"/>
      <c r="CG1485" s="936"/>
      <c r="CH1485" s="15"/>
      <c r="CI1485" s="15"/>
      <c r="CJ1485" s="15"/>
      <c r="CK1485" s="1107"/>
      <c r="CL1485" s="22"/>
      <c r="CM1485" s="22"/>
      <c r="CN1485" s="1107"/>
      <c r="CR1485" s="223"/>
      <c r="CS1485" s="952"/>
      <c r="CT1485" s="1066"/>
      <c r="CU1485" s="972"/>
      <c r="CV1485" s="983"/>
      <c r="CW1485" s="222"/>
      <c r="CX1485" s="697"/>
      <c r="DC1485" s="222"/>
      <c r="DJ1485" s="889"/>
      <c r="DM1485" s="890"/>
      <c r="DN1485" s="952"/>
      <c r="DO1485" s="75"/>
      <c r="DP1485" s="962"/>
      <c r="DQ1485" s="983"/>
      <c r="DV1485" s="889"/>
    </row>
    <row r="1486" spans="1:126" s="74" customFormat="1">
      <c r="A1486" s="15"/>
      <c r="B1486" s="15"/>
      <c r="C1486" s="15"/>
      <c r="D1486" s="15"/>
      <c r="E1486" s="6"/>
      <c r="F1486" s="6"/>
      <c r="G1486" s="6"/>
      <c r="K1486" s="222"/>
      <c r="V1486" s="1430"/>
      <c r="AA1486" s="223"/>
      <c r="AC1486" s="889"/>
      <c r="AF1486" s="890"/>
      <c r="AJ1486" s="889"/>
      <c r="AN1486" s="222"/>
      <c r="BC1486" s="223"/>
      <c r="BD1486" s="222"/>
      <c r="BH1486" s="611"/>
      <c r="BJ1486" s="15"/>
      <c r="BK1486" s="15"/>
      <c r="BO1486" s="223"/>
      <c r="BQ1486" s="889"/>
      <c r="BT1486" s="890"/>
      <c r="BX1486" s="889"/>
      <c r="CB1486" s="15"/>
      <c r="CC1486" s="697"/>
      <c r="CD1486" s="1086"/>
      <c r="CE1486" s="15"/>
      <c r="CF1486" s="15"/>
      <c r="CG1486" s="936"/>
      <c r="CH1486" s="15"/>
      <c r="CI1486" s="15"/>
      <c r="CJ1486" s="15"/>
      <c r="CK1486" s="1107"/>
      <c r="CL1486" s="22"/>
      <c r="CM1486" s="22"/>
      <c r="CN1486" s="1107"/>
      <c r="CR1486" s="223"/>
      <c r="CS1486" s="952"/>
      <c r="CT1486" s="1066"/>
      <c r="CU1486" s="972"/>
      <c r="CV1486" s="983"/>
      <c r="CW1486" s="222"/>
      <c r="CX1486" s="697"/>
      <c r="DC1486" s="222"/>
      <c r="DJ1486" s="889"/>
      <c r="DM1486" s="890"/>
      <c r="DN1486" s="952"/>
      <c r="DO1486" s="75"/>
      <c r="DP1486" s="962"/>
      <c r="DQ1486" s="983"/>
      <c r="DV1486" s="889"/>
    </row>
    <row r="1487" spans="1:126" s="74" customFormat="1">
      <c r="A1487" s="15"/>
      <c r="B1487" s="15"/>
      <c r="C1487" s="15"/>
      <c r="D1487" s="15"/>
      <c r="E1487" s="6"/>
      <c r="F1487" s="6"/>
      <c r="G1487" s="6"/>
      <c r="K1487" s="222"/>
      <c r="V1487" s="1430"/>
      <c r="AA1487" s="223"/>
      <c r="AC1487" s="889"/>
      <c r="AF1487" s="890"/>
      <c r="AJ1487" s="889"/>
      <c r="AN1487" s="222"/>
      <c r="BC1487" s="223"/>
      <c r="BD1487" s="222"/>
      <c r="BH1487" s="611"/>
      <c r="BJ1487" s="15"/>
      <c r="BK1487" s="15"/>
      <c r="BO1487" s="223"/>
      <c r="BQ1487" s="889"/>
      <c r="BT1487" s="890"/>
      <c r="BX1487" s="889"/>
      <c r="CB1487" s="15"/>
      <c r="CC1487" s="697"/>
      <c r="CD1487" s="1086"/>
      <c r="CE1487" s="15"/>
      <c r="CF1487" s="15"/>
      <c r="CG1487" s="936"/>
      <c r="CH1487" s="15"/>
      <c r="CI1487" s="15"/>
      <c r="CJ1487" s="15"/>
      <c r="CK1487" s="1107"/>
      <c r="CL1487" s="22"/>
      <c r="CM1487" s="22"/>
      <c r="CN1487" s="1107"/>
      <c r="CR1487" s="223"/>
      <c r="CS1487" s="952"/>
      <c r="CT1487" s="1066"/>
      <c r="CU1487" s="972"/>
      <c r="CV1487" s="983"/>
      <c r="CW1487" s="222"/>
      <c r="CX1487" s="697"/>
      <c r="DC1487" s="222"/>
      <c r="DJ1487" s="889"/>
      <c r="DM1487" s="890"/>
      <c r="DN1487" s="952"/>
      <c r="DO1487" s="75"/>
      <c r="DP1487" s="962"/>
      <c r="DQ1487" s="983"/>
      <c r="DV1487" s="889"/>
    </row>
    <row r="1488" spans="1:126" s="74" customFormat="1">
      <c r="A1488" s="15"/>
      <c r="B1488" s="15"/>
      <c r="C1488" s="15"/>
      <c r="D1488" s="15"/>
      <c r="E1488" s="6"/>
      <c r="F1488" s="6"/>
      <c r="G1488" s="6"/>
      <c r="K1488" s="222"/>
      <c r="V1488" s="1430"/>
      <c r="AA1488" s="223"/>
      <c r="AC1488" s="889"/>
      <c r="AF1488" s="890"/>
      <c r="AJ1488" s="889"/>
      <c r="AN1488" s="222"/>
      <c r="BC1488" s="223"/>
      <c r="BD1488" s="222"/>
      <c r="BH1488" s="611"/>
      <c r="BJ1488" s="15"/>
      <c r="BK1488" s="15"/>
      <c r="BO1488" s="223"/>
      <c r="BQ1488" s="889"/>
      <c r="BT1488" s="890"/>
      <c r="BX1488" s="889"/>
      <c r="CB1488" s="15"/>
      <c r="CC1488" s="697"/>
      <c r="CD1488" s="1086"/>
      <c r="CE1488" s="15"/>
      <c r="CF1488" s="15"/>
      <c r="CG1488" s="936"/>
      <c r="CH1488" s="15"/>
      <c r="CI1488" s="15"/>
      <c r="CJ1488" s="15"/>
      <c r="CK1488" s="1107"/>
      <c r="CL1488" s="22"/>
      <c r="CM1488" s="22"/>
      <c r="CN1488" s="1107"/>
      <c r="CR1488" s="223"/>
      <c r="CS1488" s="952"/>
      <c r="CT1488" s="1066"/>
      <c r="CU1488" s="972"/>
      <c r="CV1488" s="983"/>
      <c r="CW1488" s="222"/>
      <c r="CX1488" s="697"/>
      <c r="DC1488" s="222"/>
      <c r="DJ1488" s="889"/>
      <c r="DM1488" s="890"/>
      <c r="DN1488" s="952"/>
      <c r="DO1488" s="75"/>
      <c r="DP1488" s="962"/>
      <c r="DQ1488" s="983"/>
      <c r="DV1488" s="889"/>
    </row>
    <row r="1489" spans="1:126" s="74" customFormat="1">
      <c r="A1489" s="15"/>
      <c r="B1489" s="15"/>
      <c r="C1489" s="15"/>
      <c r="D1489" s="15"/>
      <c r="E1489" s="6"/>
      <c r="F1489" s="6"/>
      <c r="G1489" s="6"/>
      <c r="K1489" s="222"/>
      <c r="V1489" s="1430"/>
      <c r="AA1489" s="223"/>
      <c r="AC1489" s="889"/>
      <c r="AF1489" s="890"/>
      <c r="AJ1489" s="889"/>
      <c r="AN1489" s="222"/>
      <c r="BC1489" s="223"/>
      <c r="BD1489" s="222"/>
      <c r="BH1489" s="611"/>
      <c r="BJ1489" s="15"/>
      <c r="BK1489" s="15"/>
      <c r="BO1489" s="223"/>
      <c r="BQ1489" s="889"/>
      <c r="BT1489" s="890"/>
      <c r="BX1489" s="889"/>
      <c r="CB1489" s="15"/>
      <c r="CC1489" s="697"/>
      <c r="CD1489" s="1086"/>
      <c r="CE1489" s="15"/>
      <c r="CF1489" s="15"/>
      <c r="CG1489" s="936"/>
      <c r="CH1489" s="15"/>
      <c r="CI1489" s="15"/>
      <c r="CJ1489" s="15"/>
      <c r="CK1489" s="1107"/>
      <c r="CL1489" s="22"/>
      <c r="CM1489" s="22"/>
      <c r="CN1489" s="1107"/>
      <c r="CR1489" s="223"/>
      <c r="CS1489" s="952"/>
      <c r="CT1489" s="1066"/>
      <c r="CU1489" s="972"/>
      <c r="CV1489" s="983"/>
      <c r="CW1489" s="222"/>
      <c r="CX1489" s="697"/>
      <c r="DC1489" s="222"/>
      <c r="DJ1489" s="889"/>
      <c r="DM1489" s="890"/>
      <c r="DN1489" s="952"/>
      <c r="DO1489" s="75"/>
      <c r="DP1489" s="962"/>
      <c r="DQ1489" s="983"/>
      <c r="DV1489" s="889"/>
    </row>
    <row r="1490" spans="1:126" s="74" customFormat="1">
      <c r="A1490" s="15"/>
      <c r="B1490" s="15"/>
      <c r="C1490" s="15"/>
      <c r="D1490" s="15"/>
      <c r="E1490" s="6"/>
      <c r="F1490" s="6"/>
      <c r="G1490" s="6"/>
      <c r="K1490" s="222"/>
      <c r="V1490" s="1430"/>
      <c r="AA1490" s="223"/>
      <c r="AC1490" s="889"/>
      <c r="AF1490" s="890"/>
      <c r="AJ1490" s="889"/>
      <c r="AN1490" s="222"/>
      <c r="BC1490" s="223"/>
      <c r="BD1490" s="222"/>
      <c r="BH1490" s="611"/>
      <c r="BJ1490" s="15"/>
      <c r="BK1490" s="15"/>
      <c r="BO1490" s="223"/>
      <c r="BQ1490" s="889"/>
      <c r="BT1490" s="890"/>
      <c r="BX1490" s="889"/>
      <c r="CB1490" s="15"/>
      <c r="CC1490" s="697"/>
      <c r="CD1490" s="1086"/>
      <c r="CE1490" s="15"/>
      <c r="CF1490" s="15"/>
      <c r="CG1490" s="936"/>
      <c r="CH1490" s="15"/>
      <c r="CI1490" s="15"/>
      <c r="CJ1490" s="15"/>
      <c r="CK1490" s="1107"/>
      <c r="CL1490" s="22"/>
      <c r="CM1490" s="22"/>
      <c r="CN1490" s="1107"/>
      <c r="CR1490" s="223"/>
      <c r="CS1490" s="952"/>
      <c r="CT1490" s="1066"/>
      <c r="CU1490" s="972"/>
      <c r="CV1490" s="983"/>
      <c r="CW1490" s="222"/>
      <c r="CX1490" s="697"/>
      <c r="DC1490" s="222"/>
      <c r="DJ1490" s="889"/>
      <c r="DM1490" s="890"/>
      <c r="DN1490" s="952"/>
      <c r="DO1490" s="75"/>
      <c r="DP1490" s="962"/>
      <c r="DQ1490" s="983"/>
      <c r="DV1490" s="889"/>
    </row>
    <row r="1491" spans="1:126" s="74" customFormat="1">
      <c r="A1491" s="15"/>
      <c r="B1491" s="15"/>
      <c r="C1491" s="15"/>
      <c r="D1491" s="15"/>
      <c r="E1491" s="6"/>
      <c r="F1491" s="6"/>
      <c r="G1491" s="6"/>
      <c r="K1491" s="222"/>
      <c r="V1491" s="1430"/>
      <c r="AA1491" s="223"/>
      <c r="AC1491" s="889"/>
      <c r="AF1491" s="890"/>
      <c r="AJ1491" s="889"/>
      <c r="AN1491" s="222"/>
      <c r="BC1491" s="223"/>
      <c r="BD1491" s="222"/>
      <c r="BH1491" s="611"/>
      <c r="BJ1491" s="15"/>
      <c r="BK1491" s="15"/>
      <c r="BO1491" s="223"/>
      <c r="BQ1491" s="889"/>
      <c r="BT1491" s="890"/>
      <c r="BX1491" s="889"/>
      <c r="CB1491" s="15"/>
      <c r="CC1491" s="697"/>
      <c r="CD1491" s="1086"/>
      <c r="CE1491" s="15"/>
      <c r="CF1491" s="15"/>
      <c r="CG1491" s="936"/>
      <c r="CH1491" s="15"/>
      <c r="CI1491" s="15"/>
      <c r="CJ1491" s="15"/>
      <c r="CK1491" s="1107"/>
      <c r="CL1491" s="22"/>
      <c r="CM1491" s="22"/>
      <c r="CN1491" s="1107"/>
      <c r="CR1491" s="223"/>
      <c r="CS1491" s="952"/>
      <c r="CT1491" s="1066"/>
      <c r="CU1491" s="972"/>
      <c r="CV1491" s="983"/>
      <c r="CW1491" s="222"/>
      <c r="CX1491" s="697"/>
      <c r="DC1491" s="222"/>
      <c r="DJ1491" s="889"/>
      <c r="DM1491" s="890"/>
      <c r="DN1491" s="952"/>
      <c r="DO1491" s="75"/>
      <c r="DP1491" s="962"/>
      <c r="DQ1491" s="983"/>
      <c r="DV1491" s="889"/>
    </row>
    <row r="1492" spans="1:126" s="74" customFormat="1">
      <c r="A1492" s="15"/>
      <c r="B1492" s="15"/>
      <c r="C1492" s="15"/>
      <c r="D1492" s="15"/>
      <c r="E1492" s="6"/>
      <c r="F1492" s="6"/>
      <c r="G1492" s="6"/>
      <c r="K1492" s="222"/>
      <c r="V1492" s="1430"/>
      <c r="AA1492" s="223"/>
      <c r="AC1492" s="889"/>
      <c r="AF1492" s="890"/>
      <c r="AJ1492" s="889"/>
      <c r="AN1492" s="222"/>
      <c r="BC1492" s="223"/>
      <c r="BD1492" s="222"/>
      <c r="BH1492" s="611"/>
      <c r="BJ1492" s="15"/>
      <c r="BK1492" s="15"/>
      <c r="BO1492" s="223"/>
      <c r="BQ1492" s="889"/>
      <c r="BT1492" s="890"/>
      <c r="BX1492" s="889"/>
      <c r="CB1492" s="15"/>
      <c r="CC1492" s="697"/>
      <c r="CD1492" s="1086"/>
      <c r="CE1492" s="15"/>
      <c r="CF1492" s="15"/>
      <c r="CG1492" s="936"/>
      <c r="CH1492" s="15"/>
      <c r="CI1492" s="15"/>
      <c r="CJ1492" s="15"/>
      <c r="CK1492" s="1107"/>
      <c r="CL1492" s="22"/>
      <c r="CM1492" s="22"/>
      <c r="CN1492" s="1107"/>
      <c r="CR1492" s="223"/>
      <c r="CS1492" s="952"/>
      <c r="CT1492" s="1066"/>
      <c r="CU1492" s="972"/>
      <c r="CV1492" s="983"/>
      <c r="CW1492" s="222"/>
      <c r="CX1492" s="697"/>
      <c r="DC1492" s="222"/>
      <c r="DJ1492" s="889"/>
      <c r="DM1492" s="890"/>
      <c r="DN1492" s="952"/>
      <c r="DO1492" s="75"/>
      <c r="DP1492" s="962"/>
      <c r="DQ1492" s="983"/>
      <c r="DV1492" s="889"/>
    </row>
    <row r="1493" spans="1:126" s="74" customFormat="1">
      <c r="A1493" s="15"/>
      <c r="B1493" s="15"/>
      <c r="C1493" s="15"/>
      <c r="D1493" s="15"/>
      <c r="E1493" s="6"/>
      <c r="F1493" s="6"/>
      <c r="G1493" s="6"/>
      <c r="K1493" s="222"/>
      <c r="V1493" s="1430"/>
      <c r="AA1493" s="223"/>
      <c r="AC1493" s="889"/>
      <c r="AF1493" s="890"/>
      <c r="AJ1493" s="889"/>
      <c r="AN1493" s="222"/>
      <c r="BC1493" s="223"/>
      <c r="BD1493" s="222"/>
      <c r="BH1493" s="611"/>
      <c r="BJ1493" s="15"/>
      <c r="BK1493" s="15"/>
      <c r="BO1493" s="223"/>
      <c r="BQ1493" s="889"/>
      <c r="BT1493" s="890"/>
      <c r="BX1493" s="889"/>
      <c r="CB1493" s="15"/>
      <c r="CC1493" s="697"/>
      <c r="CD1493" s="1086"/>
      <c r="CE1493" s="15"/>
      <c r="CF1493" s="15"/>
      <c r="CG1493" s="936"/>
      <c r="CH1493" s="15"/>
      <c r="CI1493" s="15"/>
      <c r="CJ1493" s="15"/>
      <c r="CK1493" s="1107"/>
      <c r="CL1493" s="22"/>
      <c r="CM1493" s="22"/>
      <c r="CN1493" s="1107"/>
      <c r="CR1493" s="223"/>
      <c r="CS1493" s="952"/>
      <c r="CT1493" s="1066"/>
      <c r="CU1493" s="972"/>
      <c r="CV1493" s="983"/>
      <c r="CW1493" s="222"/>
      <c r="CX1493" s="697"/>
      <c r="DC1493" s="222"/>
      <c r="DJ1493" s="889"/>
      <c r="DM1493" s="890"/>
      <c r="DN1493" s="952"/>
      <c r="DO1493" s="75"/>
      <c r="DP1493" s="962"/>
      <c r="DQ1493" s="983"/>
      <c r="DV1493" s="889"/>
    </row>
    <row r="1494" spans="1:126" s="74" customFormat="1">
      <c r="A1494" s="15"/>
      <c r="B1494" s="15"/>
      <c r="C1494" s="15"/>
      <c r="D1494" s="15"/>
      <c r="E1494" s="6"/>
      <c r="F1494" s="6"/>
      <c r="G1494" s="6"/>
      <c r="K1494" s="222"/>
      <c r="V1494" s="1430"/>
      <c r="AA1494" s="223"/>
      <c r="AC1494" s="889"/>
      <c r="AF1494" s="890"/>
      <c r="AJ1494" s="889"/>
      <c r="AN1494" s="222"/>
      <c r="BC1494" s="223"/>
      <c r="BD1494" s="222"/>
      <c r="BH1494" s="611"/>
      <c r="BJ1494" s="15"/>
      <c r="BK1494" s="15"/>
      <c r="BO1494" s="223"/>
      <c r="BQ1494" s="889"/>
      <c r="BT1494" s="890"/>
      <c r="BX1494" s="889"/>
      <c r="CB1494" s="15"/>
      <c r="CC1494" s="697"/>
      <c r="CD1494" s="1086"/>
      <c r="CE1494" s="15"/>
      <c r="CF1494" s="15"/>
      <c r="CG1494" s="936"/>
      <c r="CH1494" s="15"/>
      <c r="CI1494" s="15"/>
      <c r="CJ1494" s="15"/>
      <c r="CK1494" s="1107"/>
      <c r="CL1494" s="22"/>
      <c r="CM1494" s="22"/>
      <c r="CN1494" s="1107"/>
      <c r="CR1494" s="223"/>
      <c r="CS1494" s="952"/>
      <c r="CT1494" s="1066"/>
      <c r="CU1494" s="972"/>
      <c r="CV1494" s="983"/>
      <c r="CW1494" s="222"/>
      <c r="CX1494" s="697"/>
      <c r="DC1494" s="222"/>
      <c r="DJ1494" s="889"/>
      <c r="DM1494" s="890"/>
      <c r="DN1494" s="952"/>
      <c r="DO1494" s="75"/>
      <c r="DP1494" s="962"/>
      <c r="DQ1494" s="983"/>
      <c r="DV1494" s="889"/>
    </row>
    <row r="1495" spans="1:126" s="74" customFormat="1">
      <c r="A1495" s="15"/>
      <c r="B1495" s="15"/>
      <c r="C1495" s="15"/>
      <c r="D1495" s="15"/>
      <c r="E1495" s="6"/>
      <c r="F1495" s="6"/>
      <c r="G1495" s="6"/>
      <c r="K1495" s="222"/>
      <c r="V1495" s="1430"/>
      <c r="AA1495" s="223"/>
      <c r="AC1495" s="889"/>
      <c r="AF1495" s="890"/>
      <c r="AJ1495" s="889"/>
      <c r="AN1495" s="222"/>
      <c r="BC1495" s="223"/>
      <c r="BD1495" s="222"/>
      <c r="BH1495" s="611"/>
      <c r="BJ1495" s="15"/>
      <c r="BK1495" s="15"/>
      <c r="BO1495" s="223"/>
      <c r="BQ1495" s="889"/>
      <c r="BT1495" s="890"/>
      <c r="BX1495" s="889"/>
      <c r="CB1495" s="15"/>
      <c r="CC1495" s="697"/>
      <c r="CD1495" s="1086"/>
      <c r="CE1495" s="15"/>
      <c r="CF1495" s="15"/>
      <c r="CG1495" s="936"/>
      <c r="CH1495" s="15"/>
      <c r="CI1495" s="15"/>
      <c r="CJ1495" s="15"/>
      <c r="CK1495" s="1107"/>
      <c r="CL1495" s="22"/>
      <c r="CM1495" s="22"/>
      <c r="CN1495" s="1107"/>
      <c r="CR1495" s="223"/>
      <c r="CS1495" s="952"/>
      <c r="CT1495" s="1066"/>
      <c r="CU1495" s="972"/>
      <c r="CV1495" s="983"/>
      <c r="CW1495" s="222"/>
      <c r="CX1495" s="697"/>
      <c r="DC1495" s="222"/>
      <c r="DJ1495" s="889"/>
      <c r="DM1495" s="890"/>
      <c r="DN1495" s="952"/>
      <c r="DO1495" s="75"/>
      <c r="DP1495" s="962"/>
      <c r="DQ1495" s="983"/>
      <c r="DV1495" s="889"/>
    </row>
    <row r="1496" spans="1:126" s="74" customFormat="1">
      <c r="A1496" s="15"/>
      <c r="B1496" s="15"/>
      <c r="C1496" s="15"/>
      <c r="D1496" s="15"/>
      <c r="E1496" s="6"/>
      <c r="F1496" s="6"/>
      <c r="G1496" s="6"/>
      <c r="K1496" s="222"/>
      <c r="V1496" s="1430"/>
      <c r="AA1496" s="223"/>
      <c r="AC1496" s="889"/>
      <c r="AF1496" s="890"/>
      <c r="AJ1496" s="889"/>
      <c r="AN1496" s="222"/>
      <c r="BC1496" s="223"/>
      <c r="BD1496" s="222"/>
      <c r="BH1496" s="611"/>
      <c r="BJ1496" s="15"/>
      <c r="BK1496" s="15"/>
      <c r="BO1496" s="223"/>
      <c r="BQ1496" s="889"/>
      <c r="BT1496" s="890"/>
      <c r="BX1496" s="889"/>
      <c r="CB1496" s="15"/>
      <c r="CC1496" s="697"/>
      <c r="CD1496" s="1086"/>
      <c r="CE1496" s="15"/>
      <c r="CF1496" s="15"/>
      <c r="CG1496" s="936"/>
      <c r="CH1496" s="15"/>
      <c r="CI1496" s="15"/>
      <c r="CJ1496" s="15"/>
      <c r="CK1496" s="1107"/>
      <c r="CL1496" s="22"/>
      <c r="CM1496" s="22"/>
      <c r="CN1496" s="1107"/>
      <c r="CR1496" s="223"/>
      <c r="CS1496" s="952"/>
      <c r="CT1496" s="1066"/>
      <c r="CU1496" s="972"/>
      <c r="CV1496" s="983"/>
      <c r="CW1496" s="222"/>
      <c r="CX1496" s="697"/>
      <c r="DC1496" s="222"/>
      <c r="DJ1496" s="889"/>
      <c r="DM1496" s="890"/>
      <c r="DN1496" s="952"/>
      <c r="DO1496" s="75"/>
      <c r="DP1496" s="962"/>
      <c r="DQ1496" s="983"/>
      <c r="DV1496" s="889"/>
    </row>
    <row r="1497" spans="1:126" s="74" customFormat="1">
      <c r="A1497" s="15"/>
      <c r="B1497" s="15"/>
      <c r="C1497" s="15"/>
      <c r="D1497" s="15"/>
      <c r="E1497" s="6"/>
      <c r="F1497" s="6"/>
      <c r="G1497" s="6"/>
      <c r="K1497" s="222"/>
      <c r="V1497" s="1430"/>
      <c r="AA1497" s="223"/>
      <c r="AC1497" s="889"/>
      <c r="AF1497" s="890"/>
      <c r="AJ1497" s="889"/>
      <c r="AN1497" s="222"/>
      <c r="BC1497" s="223"/>
      <c r="BD1497" s="222"/>
      <c r="BH1497" s="611"/>
      <c r="BJ1497" s="15"/>
      <c r="BK1497" s="15"/>
      <c r="BO1497" s="223"/>
      <c r="BQ1497" s="889"/>
      <c r="BT1497" s="890"/>
      <c r="BX1497" s="889"/>
      <c r="CB1497" s="15"/>
      <c r="CC1497" s="697"/>
      <c r="CD1497" s="1086"/>
      <c r="CE1497" s="15"/>
      <c r="CF1497" s="15"/>
      <c r="CG1497" s="936"/>
      <c r="CH1497" s="15"/>
      <c r="CI1497" s="15"/>
      <c r="CJ1497" s="15"/>
      <c r="CK1497" s="1107"/>
      <c r="CL1497" s="22"/>
      <c r="CM1497" s="22"/>
      <c r="CN1497" s="1107"/>
      <c r="CR1497" s="223"/>
      <c r="CS1497" s="952"/>
      <c r="CT1497" s="1066"/>
      <c r="CU1497" s="972"/>
      <c r="CV1497" s="983"/>
      <c r="CW1497" s="222"/>
      <c r="CX1497" s="697"/>
      <c r="DC1497" s="222"/>
      <c r="DJ1497" s="889"/>
      <c r="DM1497" s="890"/>
      <c r="DN1497" s="952"/>
      <c r="DO1497" s="75"/>
      <c r="DP1497" s="962"/>
      <c r="DQ1497" s="983"/>
      <c r="DV1497" s="889"/>
    </row>
    <row r="1498" spans="1:126" s="74" customFormat="1">
      <c r="A1498" s="15"/>
      <c r="B1498" s="15"/>
      <c r="C1498" s="15"/>
      <c r="D1498" s="15"/>
      <c r="E1498" s="6"/>
      <c r="F1498" s="6"/>
      <c r="G1498" s="6"/>
      <c r="K1498" s="222"/>
      <c r="V1498" s="1430"/>
      <c r="AA1498" s="223"/>
      <c r="AC1498" s="889"/>
      <c r="AF1498" s="890"/>
      <c r="AJ1498" s="889"/>
      <c r="AN1498" s="222"/>
      <c r="BC1498" s="223"/>
      <c r="BD1498" s="222"/>
      <c r="BH1498" s="611"/>
      <c r="BJ1498" s="15"/>
      <c r="BK1498" s="15"/>
      <c r="BO1498" s="223"/>
      <c r="BQ1498" s="889"/>
      <c r="BT1498" s="890"/>
      <c r="BX1498" s="889"/>
      <c r="CB1498" s="15"/>
      <c r="CC1498" s="697"/>
      <c r="CD1498" s="1086"/>
      <c r="CE1498" s="15"/>
      <c r="CF1498" s="15"/>
      <c r="CG1498" s="936"/>
      <c r="CH1498" s="15"/>
      <c r="CI1498" s="15"/>
      <c r="CJ1498" s="15"/>
      <c r="CK1498" s="1107"/>
      <c r="CL1498" s="22"/>
      <c r="CM1498" s="22"/>
      <c r="CN1498" s="1107"/>
      <c r="CR1498" s="223"/>
      <c r="CS1498" s="952"/>
      <c r="CT1498" s="1066"/>
      <c r="CU1498" s="972"/>
      <c r="CV1498" s="983"/>
      <c r="CW1498" s="222"/>
      <c r="CX1498" s="697"/>
      <c r="DC1498" s="222"/>
      <c r="DJ1498" s="889"/>
      <c r="DM1498" s="890"/>
      <c r="DN1498" s="952"/>
      <c r="DO1498" s="75"/>
      <c r="DP1498" s="962"/>
      <c r="DQ1498" s="983"/>
      <c r="DV1498" s="889"/>
    </row>
    <row r="1499" spans="1:126" s="74" customFormat="1">
      <c r="A1499" s="15"/>
      <c r="B1499" s="15"/>
      <c r="C1499" s="15"/>
      <c r="D1499" s="15"/>
      <c r="E1499" s="6"/>
      <c r="F1499" s="6"/>
      <c r="G1499" s="6"/>
      <c r="K1499" s="222"/>
      <c r="V1499" s="1430"/>
      <c r="AA1499" s="223"/>
      <c r="AC1499" s="889"/>
      <c r="AF1499" s="890"/>
      <c r="AJ1499" s="889"/>
      <c r="AN1499" s="222"/>
      <c r="BC1499" s="223"/>
      <c r="BD1499" s="222"/>
      <c r="BH1499" s="611"/>
      <c r="BJ1499" s="15"/>
      <c r="BK1499" s="15"/>
      <c r="BO1499" s="223"/>
      <c r="BQ1499" s="889"/>
      <c r="BT1499" s="890"/>
      <c r="BX1499" s="889"/>
      <c r="CB1499" s="15"/>
      <c r="CC1499" s="697"/>
      <c r="CD1499" s="1086"/>
      <c r="CE1499" s="15"/>
      <c r="CF1499" s="15"/>
      <c r="CG1499" s="936"/>
      <c r="CH1499" s="15"/>
      <c r="CI1499" s="15"/>
      <c r="CJ1499" s="15"/>
      <c r="CK1499" s="1107"/>
      <c r="CL1499" s="22"/>
      <c r="CM1499" s="22"/>
      <c r="CN1499" s="1107"/>
      <c r="CR1499" s="223"/>
      <c r="CS1499" s="952"/>
      <c r="CT1499" s="1066"/>
      <c r="CU1499" s="972"/>
      <c r="CV1499" s="983"/>
      <c r="CW1499" s="222"/>
      <c r="CX1499" s="697"/>
      <c r="DC1499" s="222"/>
      <c r="DJ1499" s="889"/>
      <c r="DM1499" s="890"/>
      <c r="DN1499" s="952"/>
      <c r="DO1499" s="75"/>
      <c r="DP1499" s="962"/>
      <c r="DQ1499" s="983"/>
      <c r="DV1499" s="889"/>
    </row>
    <row r="1500" spans="1:126" s="74" customFormat="1">
      <c r="A1500" s="15"/>
      <c r="B1500" s="15"/>
      <c r="C1500" s="15"/>
      <c r="D1500" s="15"/>
      <c r="E1500" s="6"/>
      <c r="F1500" s="6"/>
      <c r="G1500" s="6"/>
      <c r="K1500" s="222"/>
      <c r="V1500" s="1430"/>
      <c r="AA1500" s="223"/>
      <c r="AC1500" s="889"/>
      <c r="AF1500" s="890"/>
      <c r="AJ1500" s="889"/>
      <c r="AN1500" s="222"/>
      <c r="BC1500" s="223"/>
      <c r="BD1500" s="222"/>
      <c r="BH1500" s="611"/>
      <c r="BJ1500" s="15"/>
      <c r="BK1500" s="15"/>
      <c r="BO1500" s="223"/>
      <c r="BQ1500" s="889"/>
      <c r="BT1500" s="890"/>
      <c r="BX1500" s="889"/>
      <c r="CB1500" s="15"/>
      <c r="CC1500" s="697"/>
      <c r="CD1500" s="1086"/>
      <c r="CE1500" s="15"/>
      <c r="CF1500" s="15"/>
      <c r="CG1500" s="936"/>
      <c r="CH1500" s="15"/>
      <c r="CI1500" s="15"/>
      <c r="CJ1500" s="15"/>
      <c r="CK1500" s="1107"/>
      <c r="CL1500" s="22"/>
      <c r="CM1500" s="22"/>
      <c r="CN1500" s="1107"/>
      <c r="CR1500" s="223"/>
      <c r="CS1500" s="952"/>
      <c r="CT1500" s="1066"/>
      <c r="CU1500" s="972"/>
      <c r="CV1500" s="983"/>
      <c r="CW1500" s="222"/>
      <c r="CX1500" s="697"/>
      <c r="DC1500" s="222"/>
      <c r="DJ1500" s="889"/>
      <c r="DM1500" s="890"/>
      <c r="DN1500" s="952"/>
      <c r="DO1500" s="75"/>
      <c r="DP1500" s="962"/>
      <c r="DQ1500" s="983"/>
      <c r="DV1500" s="889"/>
    </row>
    <row r="1501" spans="1:126" s="74" customFormat="1">
      <c r="A1501" s="15"/>
      <c r="B1501" s="15"/>
      <c r="C1501" s="15"/>
      <c r="D1501" s="15"/>
      <c r="E1501" s="6"/>
      <c r="F1501" s="6"/>
      <c r="G1501" s="6"/>
      <c r="K1501" s="222"/>
      <c r="V1501" s="1430"/>
      <c r="AA1501" s="223"/>
      <c r="AC1501" s="889"/>
      <c r="AF1501" s="890"/>
      <c r="AJ1501" s="889"/>
      <c r="AN1501" s="222"/>
      <c r="BC1501" s="223"/>
      <c r="BD1501" s="222"/>
      <c r="BH1501" s="611"/>
      <c r="BJ1501" s="15"/>
      <c r="BK1501" s="15"/>
      <c r="BO1501" s="223"/>
      <c r="BQ1501" s="889"/>
      <c r="BT1501" s="890"/>
      <c r="BX1501" s="889"/>
      <c r="CB1501" s="15"/>
      <c r="CC1501" s="697"/>
      <c r="CD1501" s="1086"/>
      <c r="CE1501" s="15"/>
      <c r="CF1501" s="15"/>
      <c r="CG1501" s="936"/>
      <c r="CH1501" s="15"/>
      <c r="CI1501" s="15"/>
      <c r="CJ1501" s="15"/>
      <c r="CK1501" s="1107"/>
      <c r="CL1501" s="22"/>
      <c r="CM1501" s="22"/>
      <c r="CN1501" s="1107"/>
      <c r="CR1501" s="223"/>
      <c r="CS1501" s="952"/>
      <c r="CT1501" s="1066"/>
      <c r="CU1501" s="972"/>
      <c r="CV1501" s="983"/>
      <c r="CW1501" s="222"/>
      <c r="CX1501" s="697"/>
      <c r="DC1501" s="222"/>
      <c r="DJ1501" s="889"/>
      <c r="DM1501" s="890"/>
      <c r="DN1501" s="952"/>
      <c r="DO1501" s="75"/>
      <c r="DP1501" s="962"/>
      <c r="DQ1501" s="983"/>
      <c r="DV1501" s="889"/>
    </row>
    <row r="1502" spans="1:126" s="74" customFormat="1">
      <c r="A1502" s="15"/>
      <c r="B1502" s="15"/>
      <c r="C1502" s="15"/>
      <c r="D1502" s="15"/>
      <c r="E1502" s="6"/>
      <c r="F1502" s="6"/>
      <c r="G1502" s="6"/>
      <c r="K1502" s="222"/>
      <c r="V1502" s="1430"/>
      <c r="AA1502" s="223"/>
      <c r="AC1502" s="889"/>
      <c r="AF1502" s="890"/>
      <c r="AJ1502" s="889"/>
      <c r="AN1502" s="222"/>
      <c r="BC1502" s="223"/>
      <c r="BD1502" s="222"/>
      <c r="BH1502" s="611"/>
      <c r="BJ1502" s="15"/>
      <c r="BK1502" s="15"/>
      <c r="BO1502" s="223"/>
      <c r="BQ1502" s="889"/>
      <c r="BT1502" s="890"/>
      <c r="BX1502" s="889"/>
      <c r="CB1502" s="15"/>
      <c r="CC1502" s="697"/>
      <c r="CD1502" s="1086"/>
      <c r="CE1502" s="15"/>
      <c r="CF1502" s="15"/>
      <c r="CG1502" s="936"/>
      <c r="CH1502" s="15"/>
      <c r="CI1502" s="15"/>
      <c r="CJ1502" s="15"/>
      <c r="CK1502" s="1107"/>
      <c r="CL1502" s="22"/>
      <c r="CM1502" s="22"/>
      <c r="CN1502" s="1107"/>
      <c r="CR1502" s="223"/>
      <c r="CS1502" s="952"/>
      <c r="CT1502" s="1066"/>
      <c r="CU1502" s="972"/>
      <c r="CV1502" s="983"/>
      <c r="CW1502" s="222"/>
      <c r="CX1502" s="697"/>
      <c r="DC1502" s="222"/>
      <c r="DJ1502" s="889"/>
      <c r="DM1502" s="890"/>
      <c r="DN1502" s="952"/>
      <c r="DO1502" s="75"/>
      <c r="DP1502" s="962"/>
      <c r="DQ1502" s="983"/>
      <c r="DV1502" s="889"/>
    </row>
    <row r="1503" spans="1:126" s="74" customFormat="1">
      <c r="A1503" s="15"/>
      <c r="B1503" s="15"/>
      <c r="C1503" s="15"/>
      <c r="D1503" s="15"/>
      <c r="E1503" s="6"/>
      <c r="F1503" s="6"/>
      <c r="G1503" s="6"/>
      <c r="K1503" s="222"/>
      <c r="V1503" s="1430"/>
      <c r="AA1503" s="223"/>
      <c r="AC1503" s="889"/>
      <c r="AF1503" s="890"/>
      <c r="AJ1503" s="889"/>
      <c r="AN1503" s="222"/>
      <c r="BC1503" s="223"/>
      <c r="BD1503" s="222"/>
      <c r="BH1503" s="611"/>
      <c r="BJ1503" s="15"/>
      <c r="BK1503" s="15"/>
      <c r="BO1503" s="223"/>
      <c r="BQ1503" s="889"/>
      <c r="BT1503" s="890"/>
      <c r="BX1503" s="889"/>
      <c r="CB1503" s="15"/>
      <c r="CC1503" s="697"/>
      <c r="CD1503" s="1086"/>
      <c r="CE1503" s="15"/>
      <c r="CF1503" s="15"/>
      <c r="CG1503" s="936"/>
      <c r="CH1503" s="15"/>
      <c r="CI1503" s="15"/>
      <c r="CJ1503" s="15"/>
      <c r="CK1503" s="1107"/>
      <c r="CL1503" s="22"/>
      <c r="CM1503" s="22"/>
      <c r="CN1503" s="1107"/>
      <c r="CR1503" s="223"/>
      <c r="CS1503" s="952"/>
      <c r="CT1503" s="1066"/>
      <c r="CU1503" s="972"/>
      <c r="CV1503" s="983"/>
      <c r="CW1503" s="222"/>
      <c r="CX1503" s="697"/>
      <c r="DC1503" s="222"/>
      <c r="DJ1503" s="889"/>
      <c r="DM1503" s="890"/>
      <c r="DN1503" s="952"/>
      <c r="DO1503" s="75"/>
      <c r="DP1503" s="962"/>
      <c r="DQ1503" s="983"/>
      <c r="DV1503" s="889"/>
    </row>
    <row r="1504" spans="1:126" s="74" customFormat="1">
      <c r="A1504" s="15"/>
      <c r="B1504" s="15"/>
      <c r="C1504" s="15"/>
      <c r="D1504" s="15"/>
      <c r="E1504" s="6"/>
      <c r="F1504" s="6"/>
      <c r="G1504" s="6"/>
      <c r="K1504" s="222"/>
      <c r="V1504" s="1430"/>
      <c r="AA1504" s="223"/>
      <c r="AC1504" s="889"/>
      <c r="AF1504" s="890"/>
      <c r="AJ1504" s="889"/>
      <c r="AN1504" s="222"/>
      <c r="BC1504" s="223"/>
      <c r="BD1504" s="222"/>
      <c r="BH1504" s="611"/>
      <c r="BJ1504" s="15"/>
      <c r="BK1504" s="15"/>
      <c r="BO1504" s="223"/>
      <c r="BQ1504" s="889"/>
      <c r="BT1504" s="890"/>
      <c r="BX1504" s="889"/>
      <c r="CB1504" s="15"/>
      <c r="CC1504" s="697"/>
      <c r="CD1504" s="1086"/>
      <c r="CE1504" s="15"/>
      <c r="CF1504" s="15"/>
      <c r="CG1504" s="936"/>
      <c r="CH1504" s="15"/>
      <c r="CI1504" s="15"/>
      <c r="CJ1504" s="15"/>
      <c r="CK1504" s="1107"/>
      <c r="CL1504" s="22"/>
      <c r="CM1504" s="22"/>
      <c r="CN1504" s="1107"/>
      <c r="CR1504" s="223"/>
      <c r="CS1504" s="952"/>
      <c r="CT1504" s="1066"/>
      <c r="CU1504" s="972"/>
      <c r="CV1504" s="983"/>
      <c r="CW1504" s="222"/>
      <c r="CX1504" s="697"/>
      <c r="DC1504" s="222"/>
      <c r="DJ1504" s="889"/>
      <c r="DM1504" s="890"/>
      <c r="DN1504" s="952"/>
      <c r="DO1504" s="75"/>
      <c r="DP1504" s="962"/>
      <c r="DQ1504" s="983"/>
      <c r="DV1504" s="889"/>
    </row>
    <row r="1505" spans="1:126" s="74" customFormat="1">
      <c r="A1505" s="15"/>
      <c r="B1505" s="15"/>
      <c r="C1505" s="15"/>
      <c r="D1505" s="15"/>
      <c r="E1505" s="6"/>
      <c r="F1505" s="6"/>
      <c r="G1505" s="6"/>
      <c r="K1505" s="222"/>
      <c r="V1505" s="1430"/>
      <c r="AA1505" s="223"/>
      <c r="AC1505" s="889"/>
      <c r="AF1505" s="890"/>
      <c r="AJ1505" s="889"/>
      <c r="AN1505" s="222"/>
      <c r="BC1505" s="223"/>
      <c r="BD1505" s="222"/>
      <c r="BH1505" s="611"/>
      <c r="BJ1505" s="15"/>
      <c r="BK1505" s="15"/>
      <c r="BO1505" s="223"/>
      <c r="BQ1505" s="889"/>
      <c r="BT1505" s="890"/>
      <c r="BX1505" s="889"/>
      <c r="CB1505" s="15"/>
      <c r="CC1505" s="697"/>
      <c r="CD1505" s="1086"/>
      <c r="CE1505" s="15"/>
      <c r="CF1505" s="15"/>
      <c r="CG1505" s="936"/>
      <c r="CH1505" s="15"/>
      <c r="CI1505" s="15"/>
      <c r="CJ1505" s="15"/>
      <c r="CK1505" s="1107"/>
      <c r="CL1505" s="22"/>
      <c r="CM1505" s="22"/>
      <c r="CN1505" s="1107"/>
      <c r="CR1505" s="223"/>
      <c r="CS1505" s="952"/>
      <c r="CT1505" s="1066"/>
      <c r="CU1505" s="972"/>
      <c r="CV1505" s="983"/>
      <c r="CW1505" s="222"/>
      <c r="CX1505" s="697"/>
      <c r="DC1505" s="222"/>
      <c r="DJ1505" s="889"/>
      <c r="DM1505" s="890"/>
      <c r="DN1505" s="952"/>
      <c r="DO1505" s="75"/>
      <c r="DP1505" s="962"/>
      <c r="DQ1505" s="983"/>
      <c r="DV1505" s="889"/>
    </row>
    <row r="1506" spans="1:126" s="74" customFormat="1">
      <c r="A1506" s="15"/>
      <c r="B1506" s="15"/>
      <c r="C1506" s="15"/>
      <c r="D1506" s="15"/>
      <c r="E1506" s="6"/>
      <c r="F1506" s="6"/>
      <c r="G1506" s="6"/>
      <c r="K1506" s="222"/>
      <c r="V1506" s="1430"/>
      <c r="AA1506" s="223"/>
      <c r="AC1506" s="889"/>
      <c r="AF1506" s="890"/>
      <c r="AJ1506" s="889"/>
      <c r="AN1506" s="222"/>
      <c r="BC1506" s="223"/>
      <c r="BD1506" s="222"/>
      <c r="BH1506" s="611"/>
      <c r="BJ1506" s="15"/>
      <c r="BK1506" s="15"/>
      <c r="BO1506" s="223"/>
      <c r="BQ1506" s="889"/>
      <c r="BT1506" s="890"/>
      <c r="BX1506" s="889"/>
      <c r="CB1506" s="15"/>
      <c r="CC1506" s="697"/>
      <c r="CD1506" s="1086"/>
      <c r="CE1506" s="15"/>
      <c r="CF1506" s="15"/>
      <c r="CG1506" s="936"/>
      <c r="CH1506" s="15"/>
      <c r="CI1506" s="15"/>
      <c r="CJ1506" s="15"/>
      <c r="CK1506" s="1107"/>
      <c r="CL1506" s="22"/>
      <c r="CM1506" s="22"/>
      <c r="CN1506" s="1107"/>
      <c r="CR1506" s="223"/>
      <c r="CS1506" s="952"/>
      <c r="CT1506" s="1066"/>
      <c r="CU1506" s="972"/>
      <c r="CV1506" s="983"/>
      <c r="CW1506" s="222"/>
      <c r="CX1506" s="697"/>
      <c r="DC1506" s="222"/>
      <c r="DJ1506" s="889"/>
      <c r="DM1506" s="890"/>
      <c r="DN1506" s="952"/>
      <c r="DO1506" s="75"/>
      <c r="DP1506" s="962"/>
      <c r="DQ1506" s="983"/>
      <c r="DV1506" s="889"/>
    </row>
    <row r="1507" spans="1:126" s="74" customFormat="1">
      <c r="A1507" s="15"/>
      <c r="B1507" s="15"/>
      <c r="C1507" s="15"/>
      <c r="D1507" s="15"/>
      <c r="E1507" s="6"/>
      <c r="F1507" s="6"/>
      <c r="G1507" s="6"/>
      <c r="K1507" s="222"/>
      <c r="V1507" s="1430"/>
      <c r="AA1507" s="223"/>
      <c r="AC1507" s="889"/>
      <c r="AF1507" s="890"/>
      <c r="AJ1507" s="889"/>
      <c r="AN1507" s="222"/>
      <c r="BC1507" s="223"/>
      <c r="BD1507" s="222"/>
      <c r="BH1507" s="611"/>
      <c r="BJ1507" s="15"/>
      <c r="BK1507" s="15"/>
      <c r="BO1507" s="223"/>
      <c r="BQ1507" s="889"/>
      <c r="BT1507" s="890"/>
      <c r="BX1507" s="889"/>
      <c r="CB1507" s="15"/>
      <c r="CC1507" s="697"/>
      <c r="CD1507" s="1086"/>
      <c r="CE1507" s="15"/>
      <c r="CF1507" s="15"/>
      <c r="CG1507" s="936"/>
      <c r="CH1507" s="15"/>
      <c r="CI1507" s="15"/>
      <c r="CJ1507" s="15"/>
      <c r="CK1507" s="1107"/>
      <c r="CL1507" s="22"/>
      <c r="CM1507" s="22"/>
      <c r="CN1507" s="1107"/>
      <c r="CR1507" s="223"/>
      <c r="CS1507" s="952"/>
      <c r="CT1507" s="1066"/>
      <c r="CU1507" s="972"/>
      <c r="CV1507" s="983"/>
      <c r="CW1507" s="222"/>
      <c r="CX1507" s="697"/>
      <c r="DC1507" s="222"/>
      <c r="DJ1507" s="889"/>
      <c r="DM1507" s="890"/>
      <c r="DN1507" s="952"/>
      <c r="DO1507" s="75"/>
      <c r="DP1507" s="962"/>
      <c r="DQ1507" s="983"/>
      <c r="DV1507" s="889"/>
    </row>
    <row r="1508" spans="1:126" s="74" customFormat="1">
      <c r="A1508" s="15"/>
      <c r="B1508" s="15"/>
      <c r="C1508" s="15"/>
      <c r="D1508" s="15"/>
      <c r="E1508" s="6"/>
      <c r="F1508" s="6"/>
      <c r="G1508" s="6"/>
      <c r="K1508" s="222"/>
      <c r="V1508" s="1430"/>
      <c r="AA1508" s="223"/>
      <c r="AC1508" s="889"/>
      <c r="AF1508" s="890"/>
      <c r="AJ1508" s="889"/>
      <c r="AN1508" s="222"/>
      <c r="BC1508" s="223"/>
      <c r="BD1508" s="222"/>
      <c r="BH1508" s="611"/>
      <c r="BJ1508" s="15"/>
      <c r="BK1508" s="15"/>
      <c r="BO1508" s="223"/>
      <c r="BQ1508" s="889"/>
      <c r="BT1508" s="890"/>
      <c r="BX1508" s="889"/>
      <c r="CB1508" s="15"/>
      <c r="CC1508" s="697"/>
      <c r="CD1508" s="1086"/>
      <c r="CE1508" s="15"/>
      <c r="CF1508" s="15"/>
      <c r="CG1508" s="936"/>
      <c r="CH1508" s="15"/>
      <c r="CI1508" s="15"/>
      <c r="CJ1508" s="15"/>
      <c r="CK1508" s="1107"/>
      <c r="CL1508" s="22"/>
      <c r="CM1508" s="22"/>
      <c r="CN1508" s="1107"/>
      <c r="CR1508" s="223"/>
      <c r="CS1508" s="952"/>
      <c r="CT1508" s="1066"/>
      <c r="CU1508" s="972"/>
      <c r="CV1508" s="983"/>
      <c r="CW1508" s="222"/>
      <c r="CX1508" s="697"/>
      <c r="DC1508" s="222"/>
      <c r="DJ1508" s="889"/>
      <c r="DM1508" s="890"/>
      <c r="DN1508" s="952"/>
      <c r="DO1508" s="75"/>
      <c r="DP1508" s="962"/>
      <c r="DQ1508" s="983"/>
      <c r="DV1508" s="889"/>
    </row>
    <row r="1509" spans="1:126" s="74" customFormat="1">
      <c r="A1509" s="15"/>
      <c r="B1509" s="15"/>
      <c r="C1509" s="15"/>
      <c r="D1509" s="15"/>
      <c r="E1509" s="6"/>
      <c r="F1509" s="6"/>
      <c r="G1509" s="6"/>
      <c r="K1509" s="222"/>
      <c r="V1509" s="1430"/>
      <c r="AA1509" s="223"/>
      <c r="AC1509" s="889"/>
      <c r="AF1509" s="890"/>
      <c r="AJ1509" s="889"/>
      <c r="AN1509" s="222"/>
      <c r="BC1509" s="223"/>
      <c r="BD1509" s="222"/>
      <c r="BH1509" s="611"/>
      <c r="BJ1509" s="15"/>
      <c r="BK1509" s="15"/>
      <c r="BO1509" s="223"/>
      <c r="BQ1509" s="889"/>
      <c r="BT1509" s="890"/>
      <c r="BX1509" s="889"/>
      <c r="CB1509" s="15"/>
      <c r="CC1509" s="697"/>
      <c r="CD1509" s="1086"/>
      <c r="CE1509" s="15"/>
      <c r="CF1509" s="15"/>
      <c r="CG1509" s="936"/>
      <c r="CH1509" s="15"/>
      <c r="CI1509" s="15"/>
      <c r="CJ1509" s="15"/>
      <c r="CK1509" s="1107"/>
      <c r="CL1509" s="22"/>
      <c r="CM1509" s="22"/>
      <c r="CN1509" s="1107"/>
      <c r="CR1509" s="223"/>
      <c r="CS1509" s="952"/>
      <c r="CT1509" s="1066"/>
      <c r="CU1509" s="972"/>
      <c r="CV1509" s="983"/>
      <c r="CW1509" s="222"/>
      <c r="CX1509" s="697"/>
      <c r="DC1509" s="222"/>
      <c r="DJ1509" s="889"/>
      <c r="DM1509" s="890"/>
      <c r="DN1509" s="952"/>
      <c r="DO1509" s="75"/>
      <c r="DP1509" s="962"/>
      <c r="DQ1509" s="983"/>
      <c r="DV1509" s="889"/>
    </row>
    <row r="1510" spans="1:126" s="74" customFormat="1">
      <c r="A1510" s="15"/>
      <c r="B1510" s="15"/>
      <c r="C1510" s="15"/>
      <c r="D1510" s="15"/>
      <c r="E1510" s="6"/>
      <c r="F1510" s="6"/>
      <c r="G1510" s="6"/>
      <c r="K1510" s="222"/>
      <c r="V1510" s="1430"/>
      <c r="AA1510" s="223"/>
      <c r="AC1510" s="889"/>
      <c r="AF1510" s="890"/>
      <c r="AJ1510" s="889"/>
      <c r="AN1510" s="222"/>
      <c r="BC1510" s="223"/>
      <c r="BD1510" s="222"/>
      <c r="BH1510" s="611"/>
      <c r="BJ1510" s="15"/>
      <c r="BK1510" s="15"/>
      <c r="BO1510" s="223"/>
      <c r="BQ1510" s="889"/>
      <c r="BT1510" s="890"/>
      <c r="BX1510" s="889"/>
      <c r="CB1510" s="15"/>
      <c r="CC1510" s="697"/>
      <c r="CD1510" s="1086"/>
      <c r="CE1510" s="15"/>
      <c r="CF1510" s="15"/>
      <c r="CG1510" s="936"/>
      <c r="CH1510" s="15"/>
      <c r="CI1510" s="15"/>
      <c r="CJ1510" s="15"/>
      <c r="CK1510" s="1107"/>
      <c r="CL1510" s="22"/>
      <c r="CM1510" s="22"/>
      <c r="CN1510" s="1107"/>
      <c r="CR1510" s="223"/>
      <c r="CS1510" s="952"/>
      <c r="CT1510" s="1066"/>
      <c r="CU1510" s="972"/>
      <c r="CV1510" s="983"/>
      <c r="CW1510" s="222"/>
      <c r="CX1510" s="697"/>
      <c r="DC1510" s="222"/>
      <c r="DJ1510" s="889"/>
      <c r="DM1510" s="890"/>
      <c r="DN1510" s="952"/>
      <c r="DO1510" s="75"/>
      <c r="DP1510" s="962"/>
      <c r="DQ1510" s="983"/>
      <c r="DV1510" s="889"/>
    </row>
    <row r="1511" spans="1:126" s="74" customFormat="1">
      <c r="A1511" s="15"/>
      <c r="B1511" s="15"/>
      <c r="C1511" s="15"/>
      <c r="D1511" s="15"/>
      <c r="E1511" s="6"/>
      <c r="F1511" s="6"/>
      <c r="G1511" s="6"/>
      <c r="K1511" s="222"/>
      <c r="V1511" s="1430"/>
      <c r="AA1511" s="223"/>
      <c r="AC1511" s="889"/>
      <c r="AF1511" s="890"/>
      <c r="AJ1511" s="889"/>
      <c r="AN1511" s="222"/>
      <c r="BC1511" s="223"/>
      <c r="BD1511" s="222"/>
      <c r="BH1511" s="611"/>
      <c r="BJ1511" s="15"/>
      <c r="BK1511" s="15"/>
      <c r="BO1511" s="223"/>
      <c r="BQ1511" s="889"/>
      <c r="BT1511" s="890"/>
      <c r="BX1511" s="889"/>
      <c r="CB1511" s="15"/>
      <c r="CC1511" s="697"/>
      <c r="CD1511" s="1086"/>
      <c r="CE1511" s="15"/>
      <c r="CF1511" s="15"/>
      <c r="CG1511" s="936"/>
      <c r="CH1511" s="15"/>
      <c r="CI1511" s="15"/>
      <c r="CJ1511" s="15"/>
      <c r="CK1511" s="1107"/>
      <c r="CL1511" s="22"/>
      <c r="CM1511" s="22"/>
      <c r="CN1511" s="1107"/>
      <c r="CR1511" s="223"/>
      <c r="CS1511" s="952"/>
      <c r="CT1511" s="1066"/>
      <c r="CU1511" s="972"/>
      <c r="CV1511" s="983"/>
      <c r="CW1511" s="222"/>
      <c r="CX1511" s="697"/>
      <c r="DC1511" s="222"/>
      <c r="DJ1511" s="889"/>
      <c r="DM1511" s="890"/>
      <c r="DN1511" s="952"/>
      <c r="DO1511" s="75"/>
      <c r="DP1511" s="962"/>
      <c r="DQ1511" s="983"/>
      <c r="DV1511" s="889"/>
    </row>
    <row r="1512" spans="1:126" s="74" customFormat="1">
      <c r="A1512" s="15"/>
      <c r="B1512" s="15"/>
      <c r="C1512" s="15"/>
      <c r="D1512" s="15"/>
      <c r="E1512" s="6"/>
      <c r="F1512" s="6"/>
      <c r="G1512" s="6"/>
      <c r="K1512" s="222"/>
      <c r="V1512" s="1430"/>
      <c r="AA1512" s="223"/>
      <c r="AC1512" s="889"/>
      <c r="AF1512" s="890"/>
      <c r="AJ1512" s="889"/>
      <c r="AN1512" s="222"/>
      <c r="BC1512" s="223"/>
      <c r="BD1512" s="222"/>
      <c r="BH1512" s="611"/>
      <c r="BJ1512" s="15"/>
      <c r="BK1512" s="15"/>
      <c r="BO1512" s="223"/>
      <c r="BQ1512" s="889"/>
      <c r="BT1512" s="890"/>
      <c r="BX1512" s="889"/>
      <c r="CB1512" s="15"/>
      <c r="CC1512" s="697"/>
      <c r="CD1512" s="1086"/>
      <c r="CE1512" s="15"/>
      <c r="CF1512" s="15"/>
      <c r="CG1512" s="936"/>
      <c r="CH1512" s="15"/>
      <c r="CI1512" s="15"/>
      <c r="CJ1512" s="15"/>
      <c r="CK1512" s="1107"/>
      <c r="CL1512" s="22"/>
      <c r="CM1512" s="22"/>
      <c r="CN1512" s="1107"/>
      <c r="CR1512" s="223"/>
      <c r="CS1512" s="952"/>
      <c r="CT1512" s="1066"/>
      <c r="CU1512" s="972"/>
      <c r="CV1512" s="983"/>
      <c r="CW1512" s="222"/>
      <c r="CX1512" s="697"/>
      <c r="DC1512" s="222"/>
      <c r="DJ1512" s="889"/>
      <c r="DM1512" s="890"/>
      <c r="DN1512" s="952"/>
      <c r="DO1512" s="75"/>
      <c r="DP1512" s="962"/>
      <c r="DQ1512" s="983"/>
      <c r="DV1512" s="889"/>
    </row>
    <row r="1513" spans="1:126" s="74" customFormat="1">
      <c r="A1513" s="15"/>
      <c r="B1513" s="15"/>
      <c r="C1513" s="15"/>
      <c r="D1513" s="15"/>
      <c r="E1513" s="6"/>
      <c r="F1513" s="6"/>
      <c r="G1513" s="6"/>
      <c r="K1513" s="222"/>
      <c r="V1513" s="1430"/>
      <c r="AA1513" s="223"/>
      <c r="AC1513" s="889"/>
      <c r="AF1513" s="890"/>
      <c r="AJ1513" s="889"/>
      <c r="AN1513" s="222"/>
      <c r="BC1513" s="223"/>
      <c r="BD1513" s="222"/>
      <c r="BH1513" s="611"/>
      <c r="BJ1513" s="15"/>
      <c r="BK1513" s="15"/>
      <c r="BO1513" s="223"/>
      <c r="BQ1513" s="889"/>
      <c r="BT1513" s="890"/>
      <c r="BX1513" s="889"/>
      <c r="CB1513" s="15"/>
      <c r="CC1513" s="697"/>
      <c r="CD1513" s="1086"/>
      <c r="CE1513" s="15"/>
      <c r="CF1513" s="15"/>
      <c r="CG1513" s="936"/>
      <c r="CH1513" s="15"/>
      <c r="CI1513" s="15"/>
      <c r="CJ1513" s="15"/>
      <c r="CK1513" s="1107"/>
      <c r="CL1513" s="22"/>
      <c r="CM1513" s="22"/>
      <c r="CN1513" s="1107"/>
      <c r="CR1513" s="223"/>
      <c r="CS1513" s="952"/>
      <c r="CT1513" s="1066"/>
      <c r="CU1513" s="972"/>
      <c r="CV1513" s="983"/>
      <c r="CW1513" s="222"/>
      <c r="CX1513" s="697"/>
      <c r="DC1513" s="222"/>
      <c r="DJ1513" s="889"/>
      <c r="DM1513" s="890"/>
      <c r="DN1513" s="952"/>
      <c r="DO1513" s="75"/>
      <c r="DP1513" s="962"/>
      <c r="DQ1513" s="983"/>
      <c r="DV1513" s="889"/>
    </row>
    <row r="1514" spans="1:126" s="74" customFormat="1">
      <c r="A1514" s="15"/>
      <c r="B1514" s="15"/>
      <c r="C1514" s="15"/>
      <c r="D1514" s="15"/>
      <c r="E1514" s="6"/>
      <c r="F1514" s="6"/>
      <c r="G1514" s="6"/>
      <c r="K1514" s="222"/>
      <c r="V1514" s="1430"/>
      <c r="AA1514" s="223"/>
      <c r="AC1514" s="889"/>
      <c r="AF1514" s="890"/>
      <c r="AJ1514" s="889"/>
      <c r="AN1514" s="222"/>
      <c r="BC1514" s="223"/>
      <c r="BD1514" s="222"/>
      <c r="BH1514" s="611"/>
      <c r="BJ1514" s="15"/>
      <c r="BK1514" s="15"/>
      <c r="BO1514" s="223"/>
      <c r="BQ1514" s="889"/>
      <c r="BT1514" s="890"/>
      <c r="BX1514" s="889"/>
      <c r="CB1514" s="15"/>
      <c r="CC1514" s="697"/>
      <c r="CD1514" s="1086"/>
      <c r="CE1514" s="15"/>
      <c r="CF1514" s="15"/>
      <c r="CG1514" s="936"/>
      <c r="CH1514" s="15"/>
      <c r="CI1514" s="15"/>
      <c r="CJ1514" s="15"/>
      <c r="CK1514" s="1107"/>
      <c r="CL1514" s="22"/>
      <c r="CM1514" s="22"/>
      <c r="CN1514" s="1107"/>
      <c r="CR1514" s="223"/>
      <c r="CS1514" s="952"/>
      <c r="CT1514" s="1066"/>
      <c r="CU1514" s="972"/>
      <c r="CV1514" s="983"/>
      <c r="CW1514" s="222"/>
      <c r="CX1514" s="697"/>
      <c r="DC1514" s="222"/>
      <c r="DJ1514" s="889"/>
      <c r="DM1514" s="890"/>
      <c r="DN1514" s="952"/>
      <c r="DO1514" s="75"/>
      <c r="DP1514" s="962"/>
      <c r="DQ1514" s="983"/>
      <c r="DV1514" s="889"/>
    </row>
    <row r="1515" spans="1:126" s="74" customFormat="1">
      <c r="A1515" s="15"/>
      <c r="B1515" s="15"/>
      <c r="C1515" s="15"/>
      <c r="D1515" s="15"/>
      <c r="E1515" s="6"/>
      <c r="F1515" s="6"/>
      <c r="G1515" s="6"/>
      <c r="K1515" s="222"/>
      <c r="V1515" s="1430"/>
      <c r="AA1515" s="223"/>
      <c r="AC1515" s="889"/>
      <c r="AF1515" s="890"/>
      <c r="AJ1515" s="889"/>
      <c r="AN1515" s="222"/>
      <c r="BC1515" s="223"/>
      <c r="BD1515" s="222"/>
      <c r="BH1515" s="611"/>
      <c r="BJ1515" s="15"/>
      <c r="BK1515" s="15"/>
      <c r="BO1515" s="223"/>
      <c r="BQ1515" s="889"/>
      <c r="BT1515" s="890"/>
      <c r="BX1515" s="889"/>
      <c r="CB1515" s="15"/>
      <c r="CC1515" s="697"/>
      <c r="CD1515" s="1086"/>
      <c r="CE1515" s="15"/>
      <c r="CF1515" s="15"/>
      <c r="CG1515" s="936"/>
      <c r="CH1515" s="15"/>
      <c r="CI1515" s="15"/>
      <c r="CJ1515" s="15"/>
      <c r="CK1515" s="1107"/>
      <c r="CL1515" s="22"/>
      <c r="CM1515" s="22"/>
      <c r="CN1515" s="1107"/>
      <c r="CR1515" s="223"/>
      <c r="CS1515" s="952"/>
      <c r="CT1515" s="1066"/>
      <c r="CU1515" s="972"/>
      <c r="CV1515" s="983"/>
      <c r="CW1515" s="222"/>
      <c r="CX1515" s="697"/>
      <c r="DC1515" s="222"/>
      <c r="DJ1515" s="889"/>
      <c r="DM1515" s="890"/>
      <c r="DN1515" s="952"/>
      <c r="DO1515" s="75"/>
      <c r="DP1515" s="962"/>
      <c r="DQ1515" s="983"/>
      <c r="DV1515" s="889"/>
    </row>
    <row r="1516" spans="1:126" s="74" customFormat="1">
      <c r="A1516" s="15"/>
      <c r="B1516" s="15"/>
      <c r="C1516" s="15"/>
      <c r="D1516" s="15"/>
      <c r="E1516" s="6"/>
      <c r="F1516" s="6"/>
      <c r="G1516" s="6"/>
      <c r="K1516" s="222"/>
      <c r="V1516" s="1430"/>
      <c r="AA1516" s="223"/>
      <c r="AC1516" s="889"/>
      <c r="AF1516" s="890"/>
      <c r="AJ1516" s="889"/>
      <c r="AN1516" s="222"/>
      <c r="BC1516" s="223"/>
      <c r="BD1516" s="222"/>
      <c r="BH1516" s="611"/>
      <c r="BJ1516" s="15"/>
      <c r="BK1516" s="15"/>
      <c r="BO1516" s="223"/>
      <c r="BQ1516" s="889"/>
      <c r="BT1516" s="890"/>
      <c r="BX1516" s="889"/>
      <c r="CB1516" s="15"/>
      <c r="CC1516" s="697"/>
      <c r="CD1516" s="1086"/>
      <c r="CE1516" s="15"/>
      <c r="CF1516" s="15"/>
      <c r="CG1516" s="936"/>
      <c r="CH1516" s="15"/>
      <c r="CI1516" s="15"/>
      <c r="CJ1516" s="15"/>
      <c r="CK1516" s="1107"/>
      <c r="CL1516" s="22"/>
      <c r="CM1516" s="22"/>
      <c r="CN1516" s="1107"/>
      <c r="CR1516" s="223"/>
      <c r="CS1516" s="952"/>
      <c r="CT1516" s="1066"/>
      <c r="CU1516" s="972"/>
      <c r="CV1516" s="983"/>
      <c r="CW1516" s="222"/>
      <c r="CX1516" s="697"/>
      <c r="DC1516" s="222"/>
      <c r="DJ1516" s="889"/>
      <c r="DM1516" s="890"/>
      <c r="DN1516" s="952"/>
      <c r="DO1516" s="75"/>
      <c r="DP1516" s="962"/>
      <c r="DQ1516" s="983"/>
      <c r="DV1516" s="889"/>
    </row>
    <row r="1517" spans="1:126" s="74" customFormat="1">
      <c r="A1517" s="15"/>
      <c r="B1517" s="15"/>
      <c r="C1517" s="15"/>
      <c r="D1517" s="15"/>
      <c r="E1517" s="6"/>
      <c r="F1517" s="6"/>
      <c r="G1517" s="6"/>
      <c r="K1517" s="222"/>
      <c r="V1517" s="1430"/>
      <c r="AA1517" s="223"/>
      <c r="AC1517" s="889"/>
      <c r="AF1517" s="890"/>
      <c r="AJ1517" s="889"/>
      <c r="AN1517" s="222"/>
      <c r="BC1517" s="223"/>
      <c r="BD1517" s="222"/>
      <c r="BH1517" s="611"/>
      <c r="BJ1517" s="15"/>
      <c r="BK1517" s="15"/>
      <c r="BO1517" s="223"/>
      <c r="BQ1517" s="889"/>
      <c r="BT1517" s="890"/>
      <c r="BX1517" s="889"/>
      <c r="CB1517" s="15"/>
      <c r="CC1517" s="697"/>
      <c r="CD1517" s="1086"/>
      <c r="CE1517" s="15"/>
      <c r="CF1517" s="15"/>
      <c r="CG1517" s="936"/>
      <c r="CH1517" s="15"/>
      <c r="CI1517" s="15"/>
      <c r="CJ1517" s="15"/>
      <c r="CK1517" s="1107"/>
      <c r="CL1517" s="22"/>
      <c r="CM1517" s="22"/>
      <c r="CN1517" s="1107"/>
      <c r="CR1517" s="223"/>
      <c r="CS1517" s="952"/>
      <c r="CT1517" s="1066"/>
      <c r="CU1517" s="972"/>
      <c r="CV1517" s="983"/>
      <c r="CW1517" s="222"/>
      <c r="CX1517" s="697"/>
      <c r="DC1517" s="222"/>
      <c r="DJ1517" s="889"/>
      <c r="DM1517" s="890"/>
      <c r="DN1517" s="952"/>
      <c r="DO1517" s="75"/>
      <c r="DP1517" s="962"/>
      <c r="DQ1517" s="983"/>
      <c r="DV1517" s="889"/>
    </row>
    <row r="1518" spans="1:126" s="74" customFormat="1">
      <c r="A1518" s="15"/>
      <c r="B1518" s="15"/>
      <c r="C1518" s="15"/>
      <c r="D1518" s="15"/>
      <c r="E1518" s="6"/>
      <c r="F1518" s="6"/>
      <c r="G1518" s="6"/>
      <c r="K1518" s="222"/>
      <c r="V1518" s="1430"/>
      <c r="AA1518" s="223"/>
      <c r="AC1518" s="889"/>
      <c r="AF1518" s="890"/>
      <c r="AJ1518" s="889"/>
      <c r="AN1518" s="222"/>
      <c r="BC1518" s="223"/>
      <c r="BD1518" s="222"/>
      <c r="BH1518" s="611"/>
      <c r="BJ1518" s="15"/>
      <c r="BK1518" s="15"/>
      <c r="BO1518" s="223"/>
      <c r="BQ1518" s="889"/>
      <c r="BT1518" s="890"/>
      <c r="BX1518" s="889"/>
      <c r="CB1518" s="15"/>
      <c r="CC1518" s="697"/>
      <c r="CD1518" s="1086"/>
      <c r="CE1518" s="15"/>
      <c r="CF1518" s="15"/>
      <c r="CG1518" s="936"/>
      <c r="CH1518" s="15"/>
      <c r="CI1518" s="15"/>
      <c r="CJ1518" s="15"/>
      <c r="CK1518" s="1107"/>
      <c r="CL1518" s="22"/>
      <c r="CM1518" s="22"/>
      <c r="CN1518" s="1107"/>
      <c r="CR1518" s="223"/>
      <c r="CS1518" s="952"/>
      <c r="CT1518" s="1066"/>
      <c r="CU1518" s="972"/>
      <c r="CV1518" s="983"/>
      <c r="CW1518" s="222"/>
      <c r="CX1518" s="697"/>
      <c r="DC1518" s="222"/>
      <c r="DJ1518" s="889"/>
      <c r="DM1518" s="890"/>
      <c r="DN1518" s="952"/>
      <c r="DO1518" s="75"/>
      <c r="DP1518" s="962"/>
      <c r="DQ1518" s="983"/>
      <c r="DV1518" s="889"/>
    </row>
    <row r="1519" spans="1:126" s="74" customFormat="1">
      <c r="A1519" s="15"/>
      <c r="B1519" s="15"/>
      <c r="C1519" s="15"/>
      <c r="D1519" s="15"/>
      <c r="E1519" s="6"/>
      <c r="F1519" s="6"/>
      <c r="G1519" s="6"/>
      <c r="K1519" s="222"/>
      <c r="V1519" s="1430"/>
      <c r="AA1519" s="223"/>
      <c r="AC1519" s="889"/>
      <c r="AF1519" s="890"/>
      <c r="AJ1519" s="889"/>
      <c r="AN1519" s="222"/>
      <c r="BC1519" s="223"/>
      <c r="BD1519" s="222"/>
      <c r="BH1519" s="611"/>
      <c r="BJ1519" s="15"/>
      <c r="BK1519" s="15"/>
      <c r="BO1519" s="223"/>
      <c r="BQ1519" s="889"/>
      <c r="BT1519" s="890"/>
      <c r="BX1519" s="889"/>
      <c r="CB1519" s="15"/>
      <c r="CC1519" s="697"/>
      <c r="CD1519" s="1086"/>
      <c r="CE1519" s="15"/>
      <c r="CF1519" s="15"/>
      <c r="CG1519" s="936"/>
      <c r="CH1519" s="15"/>
      <c r="CI1519" s="15"/>
      <c r="CJ1519" s="15"/>
      <c r="CK1519" s="1107"/>
      <c r="CL1519" s="22"/>
      <c r="CM1519" s="22"/>
      <c r="CN1519" s="1107"/>
      <c r="CR1519" s="223"/>
      <c r="CS1519" s="952"/>
      <c r="CT1519" s="1066"/>
      <c r="CU1519" s="972"/>
      <c r="CV1519" s="983"/>
      <c r="CW1519" s="222"/>
      <c r="CX1519" s="697"/>
      <c r="DC1519" s="222"/>
      <c r="DJ1519" s="889"/>
      <c r="DM1519" s="890"/>
      <c r="DN1519" s="952"/>
      <c r="DO1519" s="75"/>
      <c r="DP1519" s="962"/>
      <c r="DQ1519" s="983"/>
      <c r="DV1519" s="889"/>
    </row>
    <row r="1520" spans="1:126" s="74" customFormat="1">
      <c r="A1520" s="15"/>
      <c r="B1520" s="15"/>
      <c r="C1520" s="15"/>
      <c r="D1520" s="15"/>
      <c r="E1520" s="6"/>
      <c r="F1520" s="6"/>
      <c r="G1520" s="6"/>
      <c r="K1520" s="222"/>
      <c r="V1520" s="1430"/>
      <c r="AA1520" s="223"/>
      <c r="AC1520" s="889"/>
      <c r="AF1520" s="890"/>
      <c r="AJ1520" s="889"/>
      <c r="AN1520" s="222"/>
      <c r="BC1520" s="223"/>
      <c r="BD1520" s="222"/>
      <c r="BH1520" s="611"/>
      <c r="BJ1520" s="15"/>
      <c r="BK1520" s="15"/>
      <c r="BO1520" s="223"/>
      <c r="BQ1520" s="889"/>
      <c r="BT1520" s="890"/>
      <c r="BX1520" s="889"/>
      <c r="CB1520" s="15"/>
      <c r="CC1520" s="697"/>
      <c r="CD1520" s="1086"/>
      <c r="CE1520" s="15"/>
      <c r="CF1520" s="15"/>
      <c r="CG1520" s="936"/>
      <c r="CH1520" s="15"/>
      <c r="CI1520" s="15"/>
      <c r="CJ1520" s="15"/>
      <c r="CK1520" s="1107"/>
      <c r="CL1520" s="22"/>
      <c r="CM1520" s="22"/>
      <c r="CN1520" s="1107"/>
      <c r="CR1520" s="223"/>
      <c r="CS1520" s="952"/>
      <c r="CT1520" s="1066"/>
      <c r="CU1520" s="972"/>
      <c r="CV1520" s="983"/>
      <c r="CW1520" s="222"/>
      <c r="CX1520" s="697"/>
      <c r="DC1520" s="222"/>
      <c r="DJ1520" s="889"/>
      <c r="DM1520" s="890"/>
      <c r="DN1520" s="952"/>
      <c r="DO1520" s="75"/>
      <c r="DP1520" s="962"/>
      <c r="DQ1520" s="983"/>
      <c r="DV1520" s="889"/>
    </row>
    <row r="1521" spans="1:126" s="74" customFormat="1">
      <c r="A1521" s="15"/>
      <c r="B1521" s="15"/>
      <c r="C1521" s="15"/>
      <c r="D1521" s="15"/>
      <c r="E1521" s="6"/>
      <c r="F1521" s="6"/>
      <c r="G1521" s="6"/>
      <c r="K1521" s="222"/>
      <c r="V1521" s="1430"/>
      <c r="AA1521" s="223"/>
      <c r="AC1521" s="889"/>
      <c r="AF1521" s="890"/>
      <c r="AJ1521" s="889"/>
      <c r="AN1521" s="222"/>
      <c r="BC1521" s="223"/>
      <c r="BD1521" s="222"/>
      <c r="BH1521" s="611"/>
      <c r="BJ1521" s="15"/>
      <c r="BK1521" s="15"/>
      <c r="BO1521" s="223"/>
      <c r="BQ1521" s="889"/>
      <c r="BT1521" s="890"/>
      <c r="BX1521" s="889"/>
      <c r="CB1521" s="15"/>
      <c r="CC1521" s="697"/>
      <c r="CD1521" s="1086"/>
      <c r="CE1521" s="15"/>
      <c r="CF1521" s="15"/>
      <c r="CG1521" s="936"/>
      <c r="CH1521" s="15"/>
      <c r="CI1521" s="15"/>
      <c r="CJ1521" s="15"/>
      <c r="CK1521" s="1107"/>
      <c r="CL1521" s="22"/>
      <c r="CM1521" s="22"/>
      <c r="CN1521" s="1107"/>
      <c r="CR1521" s="223"/>
      <c r="CS1521" s="952"/>
      <c r="CT1521" s="1066"/>
      <c r="CU1521" s="972"/>
      <c r="CV1521" s="983"/>
      <c r="CW1521" s="222"/>
      <c r="CX1521" s="697"/>
      <c r="DC1521" s="222"/>
      <c r="DJ1521" s="889"/>
      <c r="DM1521" s="890"/>
      <c r="DN1521" s="952"/>
      <c r="DO1521" s="75"/>
      <c r="DP1521" s="962"/>
      <c r="DQ1521" s="983"/>
      <c r="DV1521" s="889"/>
    </row>
    <row r="1522" spans="1:126" s="74" customFormat="1">
      <c r="A1522" s="15"/>
      <c r="B1522" s="15"/>
      <c r="C1522" s="15"/>
      <c r="D1522" s="15"/>
      <c r="E1522" s="6"/>
      <c r="F1522" s="6"/>
      <c r="G1522" s="6"/>
      <c r="K1522" s="222"/>
      <c r="V1522" s="1430"/>
      <c r="AA1522" s="223"/>
      <c r="AC1522" s="889"/>
      <c r="AF1522" s="890"/>
      <c r="AJ1522" s="889"/>
      <c r="AN1522" s="222"/>
      <c r="BC1522" s="223"/>
      <c r="BD1522" s="222"/>
      <c r="BH1522" s="611"/>
      <c r="BJ1522" s="15"/>
      <c r="BK1522" s="15"/>
      <c r="BO1522" s="223"/>
      <c r="BQ1522" s="889"/>
      <c r="BT1522" s="890"/>
      <c r="BX1522" s="889"/>
      <c r="CB1522" s="15"/>
      <c r="CC1522" s="697"/>
      <c r="CD1522" s="1086"/>
      <c r="CE1522" s="15"/>
      <c r="CF1522" s="15"/>
      <c r="CG1522" s="936"/>
      <c r="CH1522" s="15"/>
      <c r="CI1522" s="15"/>
      <c r="CJ1522" s="15"/>
      <c r="CK1522" s="1107"/>
      <c r="CL1522" s="22"/>
      <c r="CM1522" s="22"/>
      <c r="CN1522" s="1107"/>
      <c r="CR1522" s="223"/>
      <c r="CS1522" s="952"/>
      <c r="CT1522" s="1066"/>
      <c r="CU1522" s="972"/>
      <c r="CV1522" s="983"/>
      <c r="CW1522" s="222"/>
      <c r="CX1522" s="697"/>
      <c r="DC1522" s="222"/>
      <c r="DJ1522" s="889"/>
      <c r="DM1522" s="890"/>
      <c r="DN1522" s="952"/>
      <c r="DO1522" s="75"/>
      <c r="DP1522" s="962"/>
      <c r="DQ1522" s="983"/>
      <c r="DV1522" s="889"/>
    </row>
    <row r="1523" spans="1:126" s="74" customFormat="1">
      <c r="A1523" s="15"/>
      <c r="B1523" s="15"/>
      <c r="C1523" s="15"/>
      <c r="D1523" s="15"/>
      <c r="E1523" s="6"/>
      <c r="F1523" s="6"/>
      <c r="G1523" s="6"/>
      <c r="K1523" s="222"/>
      <c r="V1523" s="1430"/>
      <c r="AA1523" s="223"/>
      <c r="AC1523" s="889"/>
      <c r="AF1523" s="890"/>
      <c r="AJ1523" s="889"/>
      <c r="AN1523" s="222"/>
      <c r="BC1523" s="223"/>
      <c r="BD1523" s="222"/>
      <c r="BH1523" s="611"/>
      <c r="BJ1523" s="15"/>
      <c r="BK1523" s="15"/>
      <c r="BO1523" s="223"/>
      <c r="BQ1523" s="889"/>
      <c r="BT1523" s="890"/>
      <c r="BX1523" s="889"/>
      <c r="CB1523" s="15"/>
      <c r="CC1523" s="697"/>
      <c r="CD1523" s="1086"/>
      <c r="CE1523" s="15"/>
      <c r="CF1523" s="15"/>
      <c r="CG1523" s="936"/>
      <c r="CH1523" s="15"/>
      <c r="CI1523" s="15"/>
      <c r="CJ1523" s="15"/>
      <c r="CK1523" s="1107"/>
      <c r="CL1523" s="22"/>
      <c r="CM1523" s="22"/>
      <c r="CN1523" s="1107"/>
      <c r="CR1523" s="223"/>
      <c r="CS1523" s="952"/>
      <c r="CT1523" s="1066"/>
      <c r="CU1523" s="972"/>
      <c r="CV1523" s="983"/>
      <c r="CW1523" s="222"/>
      <c r="CX1523" s="697"/>
      <c r="DC1523" s="222"/>
      <c r="DJ1523" s="889"/>
      <c r="DM1523" s="890"/>
      <c r="DN1523" s="952"/>
      <c r="DO1523" s="75"/>
      <c r="DP1523" s="962"/>
      <c r="DQ1523" s="983"/>
      <c r="DV1523" s="889"/>
    </row>
    <row r="1524" spans="1:126" s="74" customFormat="1">
      <c r="A1524" s="15"/>
      <c r="B1524" s="15"/>
      <c r="C1524" s="15"/>
      <c r="D1524" s="15"/>
      <c r="E1524" s="6"/>
      <c r="F1524" s="6"/>
      <c r="G1524" s="6"/>
      <c r="K1524" s="222"/>
      <c r="V1524" s="1430"/>
      <c r="AA1524" s="223"/>
      <c r="AC1524" s="889"/>
      <c r="AF1524" s="890"/>
      <c r="AJ1524" s="889"/>
      <c r="AN1524" s="222"/>
      <c r="BC1524" s="223"/>
      <c r="BD1524" s="222"/>
      <c r="BH1524" s="611"/>
      <c r="BJ1524" s="15"/>
      <c r="BK1524" s="15"/>
      <c r="BO1524" s="223"/>
      <c r="BQ1524" s="889"/>
      <c r="BT1524" s="890"/>
      <c r="BX1524" s="889"/>
      <c r="CB1524" s="15"/>
      <c r="CC1524" s="697"/>
      <c r="CD1524" s="1086"/>
      <c r="CE1524" s="15"/>
      <c r="CF1524" s="15"/>
      <c r="CG1524" s="936"/>
      <c r="CH1524" s="15"/>
      <c r="CI1524" s="15"/>
      <c r="CJ1524" s="15"/>
      <c r="CK1524" s="1107"/>
      <c r="CL1524" s="22"/>
      <c r="CM1524" s="22"/>
      <c r="CN1524" s="1107"/>
      <c r="CR1524" s="223"/>
      <c r="CS1524" s="952"/>
      <c r="CT1524" s="1066"/>
      <c r="CU1524" s="972"/>
      <c r="CV1524" s="983"/>
      <c r="CW1524" s="222"/>
      <c r="CX1524" s="697"/>
      <c r="DC1524" s="222"/>
      <c r="DJ1524" s="889"/>
      <c r="DM1524" s="890"/>
      <c r="DN1524" s="952"/>
      <c r="DO1524" s="75"/>
      <c r="DP1524" s="962"/>
      <c r="DQ1524" s="983"/>
      <c r="DV1524" s="889"/>
    </row>
    <row r="1525" spans="1:126" s="74" customFormat="1">
      <c r="A1525" s="15"/>
      <c r="B1525" s="15"/>
      <c r="C1525" s="15"/>
      <c r="D1525" s="15"/>
      <c r="E1525" s="6"/>
      <c r="F1525" s="6"/>
      <c r="G1525" s="6"/>
      <c r="K1525" s="222"/>
      <c r="V1525" s="1430"/>
      <c r="AA1525" s="223"/>
      <c r="AC1525" s="889"/>
      <c r="AF1525" s="890"/>
      <c r="AJ1525" s="889"/>
      <c r="AN1525" s="222"/>
      <c r="BC1525" s="223"/>
      <c r="BD1525" s="222"/>
      <c r="BH1525" s="611"/>
      <c r="BJ1525" s="15"/>
      <c r="BK1525" s="15"/>
      <c r="BO1525" s="223"/>
      <c r="BQ1525" s="889"/>
      <c r="BT1525" s="890"/>
      <c r="BX1525" s="889"/>
      <c r="CB1525" s="15"/>
      <c r="CC1525" s="697"/>
      <c r="CD1525" s="1086"/>
      <c r="CE1525" s="15"/>
      <c r="CF1525" s="15"/>
      <c r="CG1525" s="936"/>
      <c r="CH1525" s="15"/>
      <c r="CI1525" s="15"/>
      <c r="CJ1525" s="15"/>
      <c r="CK1525" s="1107"/>
      <c r="CL1525" s="22"/>
      <c r="CM1525" s="22"/>
      <c r="CN1525" s="1107"/>
      <c r="CR1525" s="223"/>
      <c r="CS1525" s="952"/>
      <c r="CT1525" s="1066"/>
      <c r="CU1525" s="972"/>
      <c r="CV1525" s="983"/>
      <c r="CW1525" s="222"/>
      <c r="CX1525" s="697"/>
      <c r="DC1525" s="222"/>
      <c r="DJ1525" s="889"/>
      <c r="DM1525" s="890"/>
      <c r="DN1525" s="952"/>
      <c r="DO1525" s="75"/>
      <c r="DP1525" s="962"/>
      <c r="DQ1525" s="983"/>
      <c r="DV1525" s="889"/>
    </row>
    <row r="1526" spans="1:126" s="74" customFormat="1">
      <c r="A1526" s="15"/>
      <c r="B1526" s="15"/>
      <c r="C1526" s="15"/>
      <c r="D1526" s="15"/>
      <c r="E1526" s="6"/>
      <c r="F1526" s="6"/>
      <c r="G1526" s="6"/>
      <c r="K1526" s="222"/>
      <c r="V1526" s="1430"/>
      <c r="AA1526" s="223"/>
      <c r="AC1526" s="889"/>
      <c r="AF1526" s="890"/>
      <c r="AJ1526" s="889"/>
      <c r="AN1526" s="222"/>
      <c r="BC1526" s="223"/>
      <c r="BD1526" s="222"/>
      <c r="BH1526" s="611"/>
      <c r="BJ1526" s="15"/>
      <c r="BK1526" s="15"/>
      <c r="BO1526" s="223"/>
      <c r="BQ1526" s="889"/>
      <c r="BT1526" s="890"/>
      <c r="BX1526" s="889"/>
      <c r="CB1526" s="15"/>
      <c r="CC1526" s="697"/>
      <c r="CD1526" s="1086"/>
      <c r="CE1526" s="15"/>
      <c r="CF1526" s="15"/>
      <c r="CG1526" s="936"/>
      <c r="CH1526" s="15"/>
      <c r="CI1526" s="15"/>
      <c r="CJ1526" s="15"/>
      <c r="CK1526" s="1107"/>
      <c r="CL1526" s="22"/>
      <c r="CM1526" s="22"/>
      <c r="CN1526" s="1107"/>
      <c r="CR1526" s="223"/>
      <c r="CS1526" s="952"/>
      <c r="CT1526" s="1066"/>
      <c r="CU1526" s="972"/>
      <c r="CV1526" s="983"/>
      <c r="CW1526" s="222"/>
      <c r="CX1526" s="697"/>
      <c r="DC1526" s="222"/>
      <c r="DJ1526" s="889"/>
      <c r="DM1526" s="890"/>
      <c r="DN1526" s="952"/>
      <c r="DO1526" s="75"/>
      <c r="DP1526" s="962"/>
      <c r="DQ1526" s="983"/>
      <c r="DV1526" s="889"/>
    </row>
    <row r="1527" spans="1:126" s="74" customFormat="1">
      <c r="A1527" s="15"/>
      <c r="B1527" s="15"/>
      <c r="C1527" s="15"/>
      <c r="D1527" s="15"/>
      <c r="E1527" s="6"/>
      <c r="F1527" s="6"/>
      <c r="G1527" s="6"/>
      <c r="K1527" s="222"/>
      <c r="V1527" s="1430"/>
      <c r="AA1527" s="223"/>
      <c r="AC1527" s="889"/>
      <c r="AF1527" s="890"/>
      <c r="AJ1527" s="889"/>
      <c r="AN1527" s="222"/>
      <c r="BC1527" s="223"/>
      <c r="BD1527" s="222"/>
      <c r="BH1527" s="611"/>
      <c r="BJ1527" s="15"/>
      <c r="BK1527" s="15"/>
      <c r="BO1527" s="223"/>
      <c r="BQ1527" s="889"/>
      <c r="BT1527" s="890"/>
      <c r="BX1527" s="889"/>
      <c r="CB1527" s="15"/>
      <c r="CC1527" s="697"/>
      <c r="CD1527" s="1086"/>
      <c r="CE1527" s="15"/>
      <c r="CF1527" s="15"/>
      <c r="CG1527" s="936"/>
      <c r="CH1527" s="15"/>
      <c r="CI1527" s="15"/>
      <c r="CJ1527" s="15"/>
      <c r="CK1527" s="1107"/>
      <c r="CL1527" s="22"/>
      <c r="CM1527" s="22"/>
      <c r="CN1527" s="1107"/>
      <c r="CR1527" s="223"/>
      <c r="CS1527" s="952"/>
      <c r="CT1527" s="1066"/>
      <c r="CU1527" s="972"/>
      <c r="CV1527" s="983"/>
      <c r="CW1527" s="222"/>
      <c r="CX1527" s="697"/>
      <c r="DC1527" s="222"/>
      <c r="DJ1527" s="889"/>
      <c r="DM1527" s="890"/>
      <c r="DN1527" s="952"/>
      <c r="DO1527" s="75"/>
      <c r="DP1527" s="962"/>
      <c r="DQ1527" s="983"/>
      <c r="DV1527" s="889"/>
    </row>
    <row r="1528" spans="1:126" s="74" customFormat="1">
      <c r="A1528" s="15"/>
      <c r="B1528" s="15"/>
      <c r="C1528" s="15"/>
      <c r="D1528" s="15"/>
      <c r="E1528" s="6"/>
      <c r="F1528" s="6"/>
      <c r="G1528" s="6"/>
      <c r="K1528" s="222"/>
      <c r="V1528" s="1430"/>
      <c r="AA1528" s="223"/>
      <c r="AC1528" s="889"/>
      <c r="AF1528" s="890"/>
      <c r="AJ1528" s="889"/>
      <c r="AN1528" s="222"/>
      <c r="BC1528" s="223"/>
      <c r="BD1528" s="222"/>
      <c r="BH1528" s="611"/>
      <c r="BJ1528" s="15"/>
      <c r="BK1528" s="15"/>
      <c r="BO1528" s="223"/>
      <c r="BQ1528" s="889"/>
      <c r="BT1528" s="890"/>
      <c r="BX1528" s="889"/>
      <c r="CB1528" s="15"/>
      <c r="CC1528" s="697"/>
      <c r="CD1528" s="1086"/>
      <c r="CE1528" s="15"/>
      <c r="CF1528" s="15"/>
      <c r="CG1528" s="936"/>
      <c r="CH1528" s="15"/>
      <c r="CI1528" s="15"/>
      <c r="CJ1528" s="15"/>
      <c r="CK1528" s="1107"/>
      <c r="CL1528" s="22"/>
      <c r="CM1528" s="22"/>
      <c r="CN1528" s="1107"/>
      <c r="CR1528" s="223"/>
      <c r="CS1528" s="952"/>
      <c r="CT1528" s="1066"/>
      <c r="CU1528" s="972"/>
      <c r="CV1528" s="983"/>
      <c r="CW1528" s="222"/>
      <c r="CX1528" s="697"/>
      <c r="DC1528" s="222"/>
      <c r="DJ1528" s="889"/>
      <c r="DM1528" s="890"/>
      <c r="DN1528" s="952"/>
      <c r="DO1528" s="75"/>
      <c r="DP1528" s="962"/>
      <c r="DQ1528" s="983"/>
      <c r="DV1528" s="889"/>
    </row>
    <row r="1529" spans="1:126" s="74" customFormat="1">
      <c r="A1529" s="15"/>
      <c r="B1529" s="15"/>
      <c r="C1529" s="15"/>
      <c r="D1529" s="15"/>
      <c r="E1529" s="6"/>
      <c r="F1529" s="6"/>
      <c r="G1529" s="6"/>
      <c r="K1529" s="222"/>
      <c r="V1529" s="1430"/>
      <c r="AA1529" s="223"/>
      <c r="AC1529" s="889"/>
      <c r="AF1529" s="890"/>
      <c r="AJ1529" s="889"/>
      <c r="AN1529" s="222"/>
      <c r="BC1529" s="223"/>
      <c r="BD1529" s="222"/>
      <c r="BH1529" s="611"/>
      <c r="BJ1529" s="15"/>
      <c r="BK1529" s="15"/>
      <c r="BO1529" s="223"/>
      <c r="BQ1529" s="889"/>
      <c r="BT1529" s="890"/>
      <c r="BX1529" s="889"/>
      <c r="CB1529" s="15"/>
      <c r="CC1529" s="697"/>
      <c r="CD1529" s="1086"/>
      <c r="CE1529" s="15"/>
      <c r="CF1529" s="15"/>
      <c r="CG1529" s="936"/>
      <c r="CH1529" s="15"/>
      <c r="CI1529" s="15"/>
      <c r="CJ1529" s="15"/>
      <c r="CK1529" s="1107"/>
      <c r="CL1529" s="22"/>
      <c r="CM1529" s="22"/>
      <c r="CN1529" s="1107"/>
      <c r="CR1529" s="223"/>
      <c r="CS1529" s="952"/>
      <c r="CT1529" s="1066"/>
      <c r="CU1529" s="972"/>
      <c r="CV1529" s="983"/>
      <c r="CW1529" s="222"/>
      <c r="CX1529" s="697"/>
      <c r="DC1529" s="222"/>
      <c r="DJ1529" s="889"/>
      <c r="DM1529" s="890"/>
      <c r="DN1529" s="952"/>
      <c r="DO1529" s="75"/>
      <c r="DP1529" s="962"/>
      <c r="DQ1529" s="983"/>
      <c r="DV1529" s="889"/>
    </row>
    <row r="1530" spans="1:126" s="74" customFormat="1">
      <c r="A1530" s="15"/>
      <c r="B1530" s="15"/>
      <c r="C1530" s="15"/>
      <c r="D1530" s="15"/>
      <c r="E1530" s="6"/>
      <c r="F1530" s="6"/>
      <c r="G1530" s="6"/>
      <c r="K1530" s="222"/>
      <c r="V1530" s="1430"/>
      <c r="AA1530" s="223"/>
      <c r="AC1530" s="889"/>
      <c r="AF1530" s="890"/>
      <c r="AJ1530" s="889"/>
      <c r="AN1530" s="222"/>
      <c r="BC1530" s="223"/>
      <c r="BD1530" s="222"/>
      <c r="BH1530" s="611"/>
      <c r="BJ1530" s="15"/>
      <c r="BK1530" s="15"/>
      <c r="BO1530" s="223"/>
      <c r="BQ1530" s="889"/>
      <c r="BT1530" s="890"/>
      <c r="BX1530" s="889"/>
      <c r="CB1530" s="15"/>
      <c r="CC1530" s="697"/>
      <c r="CD1530" s="1086"/>
      <c r="CE1530" s="15"/>
      <c r="CF1530" s="15"/>
      <c r="CG1530" s="936"/>
      <c r="CH1530" s="15"/>
      <c r="CI1530" s="15"/>
      <c r="CJ1530" s="15"/>
      <c r="CK1530" s="1107"/>
      <c r="CL1530" s="22"/>
      <c r="CM1530" s="22"/>
      <c r="CN1530" s="1107"/>
      <c r="CR1530" s="223"/>
      <c r="CS1530" s="952"/>
      <c r="CT1530" s="1066"/>
      <c r="CU1530" s="972"/>
      <c r="CV1530" s="983"/>
      <c r="CW1530" s="222"/>
      <c r="CX1530" s="697"/>
      <c r="DC1530" s="222"/>
      <c r="DJ1530" s="889"/>
      <c r="DM1530" s="890"/>
      <c r="DN1530" s="952"/>
      <c r="DO1530" s="75"/>
      <c r="DP1530" s="962"/>
      <c r="DQ1530" s="983"/>
      <c r="DV1530" s="889"/>
    </row>
    <row r="1531" spans="1:126" s="74" customFormat="1">
      <c r="A1531" s="15"/>
      <c r="B1531" s="15"/>
      <c r="C1531" s="15"/>
      <c r="D1531" s="15"/>
      <c r="E1531" s="6"/>
      <c r="F1531" s="6"/>
      <c r="G1531" s="6"/>
      <c r="K1531" s="222"/>
      <c r="V1531" s="1430"/>
      <c r="AA1531" s="223"/>
      <c r="AC1531" s="889"/>
      <c r="AF1531" s="890"/>
      <c r="AJ1531" s="889"/>
      <c r="AN1531" s="222"/>
      <c r="BC1531" s="223"/>
      <c r="BD1531" s="222"/>
      <c r="BH1531" s="611"/>
      <c r="BJ1531" s="15"/>
      <c r="BK1531" s="15"/>
      <c r="BO1531" s="223"/>
      <c r="BQ1531" s="889"/>
      <c r="BT1531" s="890"/>
      <c r="BX1531" s="889"/>
      <c r="CB1531" s="15"/>
      <c r="CC1531" s="697"/>
      <c r="CD1531" s="1086"/>
      <c r="CE1531" s="15"/>
      <c r="CF1531" s="15"/>
      <c r="CG1531" s="936"/>
      <c r="CH1531" s="15"/>
      <c r="CI1531" s="15"/>
      <c r="CJ1531" s="15"/>
      <c r="CK1531" s="1107"/>
      <c r="CL1531" s="22"/>
      <c r="CM1531" s="22"/>
      <c r="CN1531" s="1107"/>
      <c r="CR1531" s="223"/>
      <c r="CS1531" s="952"/>
      <c r="CT1531" s="1066"/>
      <c r="CU1531" s="972"/>
      <c r="CV1531" s="983"/>
      <c r="CW1531" s="222"/>
      <c r="CX1531" s="697"/>
      <c r="DC1531" s="222"/>
      <c r="DJ1531" s="889"/>
      <c r="DM1531" s="890"/>
      <c r="DN1531" s="952"/>
      <c r="DO1531" s="75"/>
      <c r="DP1531" s="962"/>
      <c r="DQ1531" s="983"/>
      <c r="DV1531" s="889"/>
    </row>
    <row r="1532" spans="1:126" s="74" customFormat="1">
      <c r="A1532" s="15"/>
      <c r="B1532" s="15"/>
      <c r="C1532" s="15"/>
      <c r="D1532" s="15"/>
      <c r="E1532" s="6"/>
      <c r="F1532" s="6"/>
      <c r="G1532" s="6"/>
      <c r="K1532" s="222"/>
      <c r="V1532" s="1430"/>
      <c r="AA1532" s="223"/>
      <c r="AC1532" s="889"/>
      <c r="AF1532" s="890"/>
      <c r="AJ1532" s="889"/>
      <c r="AN1532" s="222"/>
      <c r="BC1532" s="223"/>
      <c r="BD1532" s="222"/>
      <c r="BH1532" s="611"/>
      <c r="BJ1532" s="15"/>
      <c r="BK1532" s="15"/>
      <c r="BO1532" s="223"/>
      <c r="BQ1532" s="889"/>
      <c r="BT1532" s="890"/>
      <c r="BX1532" s="889"/>
      <c r="CB1532" s="15"/>
      <c r="CC1532" s="697"/>
      <c r="CD1532" s="1086"/>
      <c r="CE1532" s="15"/>
      <c r="CF1532" s="15"/>
      <c r="CG1532" s="936"/>
      <c r="CH1532" s="15"/>
      <c r="CI1532" s="15"/>
      <c r="CJ1532" s="15"/>
      <c r="CK1532" s="1107"/>
      <c r="CL1532" s="22"/>
      <c r="CM1532" s="22"/>
      <c r="CN1532" s="1107"/>
      <c r="CR1532" s="223"/>
      <c r="CS1532" s="952"/>
      <c r="CT1532" s="1066"/>
      <c r="CU1532" s="972"/>
      <c r="CV1532" s="983"/>
      <c r="CW1532" s="222"/>
      <c r="CX1532" s="697"/>
      <c r="DC1532" s="222"/>
      <c r="DJ1532" s="889"/>
      <c r="DM1532" s="890"/>
      <c r="DN1532" s="952"/>
      <c r="DO1532" s="75"/>
      <c r="DP1532" s="962"/>
      <c r="DQ1532" s="983"/>
      <c r="DV1532" s="889"/>
    </row>
    <row r="1533" spans="1:126" s="74" customFormat="1">
      <c r="A1533" s="15"/>
      <c r="B1533" s="15"/>
      <c r="C1533" s="15"/>
      <c r="D1533" s="15"/>
      <c r="E1533" s="6"/>
      <c r="F1533" s="6"/>
      <c r="G1533" s="6"/>
      <c r="K1533" s="222"/>
      <c r="V1533" s="1430"/>
      <c r="AA1533" s="223"/>
      <c r="AC1533" s="889"/>
      <c r="AF1533" s="890"/>
      <c r="AJ1533" s="889"/>
      <c r="AN1533" s="222"/>
      <c r="BC1533" s="223"/>
      <c r="BD1533" s="222"/>
      <c r="BH1533" s="611"/>
      <c r="BJ1533" s="15"/>
      <c r="BK1533" s="15"/>
      <c r="BO1533" s="223"/>
      <c r="BQ1533" s="889"/>
      <c r="BT1533" s="890"/>
      <c r="BX1533" s="889"/>
      <c r="CB1533" s="15"/>
      <c r="CC1533" s="697"/>
      <c r="CD1533" s="1086"/>
      <c r="CE1533" s="15"/>
      <c r="CF1533" s="15"/>
      <c r="CG1533" s="936"/>
      <c r="CH1533" s="15"/>
      <c r="CI1533" s="15"/>
      <c r="CJ1533" s="15"/>
      <c r="CK1533" s="1107"/>
      <c r="CL1533" s="22"/>
      <c r="CM1533" s="22"/>
      <c r="CN1533" s="1107"/>
      <c r="CR1533" s="223"/>
      <c r="CS1533" s="952"/>
      <c r="CT1533" s="1066"/>
      <c r="CU1533" s="972"/>
      <c r="CV1533" s="983"/>
      <c r="CW1533" s="222"/>
      <c r="CX1533" s="697"/>
      <c r="DC1533" s="222"/>
      <c r="DJ1533" s="889"/>
      <c r="DM1533" s="890"/>
      <c r="DN1533" s="952"/>
      <c r="DO1533" s="75"/>
      <c r="DP1533" s="962"/>
      <c r="DQ1533" s="983"/>
      <c r="DV1533" s="889"/>
    </row>
    <row r="1534" spans="1:126" s="74" customFormat="1">
      <c r="A1534" s="15"/>
      <c r="B1534" s="15"/>
      <c r="C1534" s="15"/>
      <c r="D1534" s="15"/>
      <c r="E1534" s="6"/>
      <c r="F1534" s="6"/>
      <c r="G1534" s="6"/>
      <c r="K1534" s="222"/>
      <c r="V1534" s="1430"/>
      <c r="AA1534" s="223"/>
      <c r="AC1534" s="889"/>
      <c r="AF1534" s="890"/>
      <c r="AJ1534" s="889"/>
      <c r="AN1534" s="222"/>
      <c r="BC1534" s="223"/>
      <c r="BD1534" s="222"/>
      <c r="BH1534" s="611"/>
      <c r="BJ1534" s="15"/>
      <c r="BK1534" s="15"/>
      <c r="BO1534" s="223"/>
      <c r="BQ1534" s="889"/>
      <c r="BT1534" s="890"/>
      <c r="BX1534" s="889"/>
      <c r="CB1534" s="15"/>
      <c r="CC1534" s="697"/>
      <c r="CD1534" s="1086"/>
      <c r="CE1534" s="15"/>
      <c r="CF1534" s="15"/>
      <c r="CG1534" s="936"/>
      <c r="CH1534" s="15"/>
      <c r="CI1534" s="15"/>
      <c r="CJ1534" s="15"/>
      <c r="CK1534" s="1107"/>
      <c r="CL1534" s="22"/>
      <c r="CM1534" s="22"/>
      <c r="CN1534" s="1107"/>
      <c r="CR1534" s="223"/>
      <c r="CS1534" s="952"/>
      <c r="CT1534" s="1066"/>
      <c r="CU1534" s="972"/>
      <c r="CV1534" s="983"/>
      <c r="CW1534" s="222"/>
      <c r="CX1534" s="697"/>
      <c r="DC1534" s="222"/>
      <c r="DJ1534" s="889"/>
      <c r="DM1534" s="890"/>
      <c r="DN1534" s="952"/>
      <c r="DO1534" s="75"/>
      <c r="DP1534" s="962"/>
      <c r="DQ1534" s="983"/>
      <c r="DV1534" s="889"/>
    </row>
    <row r="1535" spans="1:126" s="74" customFormat="1">
      <c r="A1535" s="15"/>
      <c r="B1535" s="15"/>
      <c r="C1535" s="15"/>
      <c r="D1535" s="15"/>
      <c r="E1535" s="6"/>
      <c r="F1535" s="6"/>
      <c r="G1535" s="6"/>
      <c r="K1535" s="222"/>
      <c r="V1535" s="1430"/>
      <c r="AA1535" s="223"/>
      <c r="AC1535" s="889"/>
      <c r="AF1535" s="890"/>
      <c r="AJ1535" s="889"/>
      <c r="AN1535" s="222"/>
      <c r="BC1535" s="223"/>
      <c r="BD1535" s="222"/>
      <c r="BH1535" s="611"/>
      <c r="BJ1535" s="15"/>
      <c r="BK1535" s="15"/>
      <c r="BO1535" s="223"/>
      <c r="BQ1535" s="889"/>
      <c r="BT1535" s="890"/>
      <c r="BX1535" s="889"/>
      <c r="CB1535" s="15"/>
      <c r="CC1535" s="697"/>
      <c r="CD1535" s="1086"/>
      <c r="CE1535" s="15"/>
      <c r="CF1535" s="15"/>
      <c r="CG1535" s="936"/>
      <c r="CH1535" s="15"/>
      <c r="CI1535" s="15"/>
      <c r="CJ1535" s="15"/>
      <c r="CK1535" s="1107"/>
      <c r="CL1535" s="22"/>
      <c r="CM1535" s="22"/>
      <c r="CN1535" s="1107"/>
      <c r="CR1535" s="223"/>
      <c r="CS1535" s="952"/>
      <c r="CT1535" s="1066"/>
      <c r="CU1535" s="972"/>
      <c r="CV1535" s="983"/>
      <c r="CW1535" s="222"/>
      <c r="CX1535" s="697"/>
      <c r="DC1535" s="222"/>
      <c r="DJ1535" s="889"/>
      <c r="DM1535" s="890"/>
      <c r="DN1535" s="952"/>
      <c r="DO1535" s="75"/>
      <c r="DP1535" s="962"/>
      <c r="DQ1535" s="983"/>
      <c r="DV1535" s="889"/>
    </row>
    <row r="1536" spans="1:126" s="74" customFormat="1">
      <c r="A1536" s="15"/>
      <c r="B1536" s="15"/>
      <c r="C1536" s="15"/>
      <c r="D1536" s="15"/>
      <c r="E1536" s="6"/>
      <c r="F1536" s="6"/>
      <c r="G1536" s="6"/>
      <c r="K1536" s="222"/>
      <c r="V1536" s="1430"/>
      <c r="AA1536" s="223"/>
      <c r="AC1536" s="889"/>
      <c r="AF1536" s="890"/>
      <c r="AJ1536" s="889"/>
      <c r="AN1536" s="222"/>
      <c r="BC1536" s="223"/>
      <c r="BD1536" s="222"/>
      <c r="BH1536" s="611"/>
      <c r="BJ1536" s="15"/>
      <c r="BK1536" s="15"/>
      <c r="BO1536" s="223"/>
      <c r="BQ1536" s="889"/>
      <c r="BT1536" s="890"/>
      <c r="BX1536" s="889"/>
      <c r="CB1536" s="15"/>
      <c r="CC1536" s="697"/>
      <c r="CD1536" s="1086"/>
      <c r="CE1536" s="15"/>
      <c r="CF1536" s="15"/>
      <c r="CG1536" s="936"/>
      <c r="CH1536" s="15"/>
      <c r="CI1536" s="15"/>
      <c r="CJ1536" s="15"/>
      <c r="CK1536" s="1107"/>
      <c r="CL1536" s="22"/>
      <c r="CM1536" s="22"/>
      <c r="CN1536" s="1107"/>
      <c r="CR1536" s="223"/>
      <c r="CS1536" s="952"/>
      <c r="CT1536" s="1066"/>
      <c r="CU1536" s="972"/>
      <c r="CV1536" s="983"/>
      <c r="CW1536" s="222"/>
      <c r="CX1536" s="697"/>
      <c r="DC1536" s="222"/>
      <c r="DJ1536" s="889"/>
      <c r="DM1536" s="890"/>
      <c r="DN1536" s="952"/>
      <c r="DO1536" s="75"/>
      <c r="DP1536" s="962"/>
      <c r="DQ1536" s="983"/>
      <c r="DV1536" s="889"/>
    </row>
    <row r="1537" spans="1:126" s="74" customFormat="1">
      <c r="A1537" s="15"/>
      <c r="B1537" s="15"/>
      <c r="C1537" s="15"/>
      <c r="D1537" s="15"/>
      <c r="E1537" s="6"/>
      <c r="F1537" s="6"/>
      <c r="G1537" s="6"/>
      <c r="K1537" s="222"/>
      <c r="V1537" s="1430"/>
      <c r="AA1537" s="223"/>
      <c r="AC1537" s="889"/>
      <c r="AF1537" s="890"/>
      <c r="AJ1537" s="889"/>
      <c r="AN1537" s="222"/>
      <c r="BC1537" s="223"/>
      <c r="BD1537" s="222"/>
      <c r="BH1537" s="611"/>
      <c r="BJ1537" s="15"/>
      <c r="BK1537" s="15"/>
      <c r="BO1537" s="223"/>
      <c r="BQ1537" s="889"/>
      <c r="BT1537" s="890"/>
      <c r="BX1537" s="889"/>
      <c r="CB1537" s="15"/>
      <c r="CC1537" s="697"/>
      <c r="CD1537" s="1086"/>
      <c r="CE1537" s="15"/>
      <c r="CF1537" s="15"/>
      <c r="CG1537" s="936"/>
      <c r="CH1537" s="15"/>
      <c r="CI1537" s="15"/>
      <c r="CJ1537" s="15"/>
      <c r="CK1537" s="1107"/>
      <c r="CL1537" s="22"/>
      <c r="CM1537" s="22"/>
      <c r="CN1537" s="1107"/>
      <c r="CR1537" s="223"/>
      <c r="CS1537" s="952"/>
      <c r="CT1537" s="1066"/>
      <c r="CU1537" s="972"/>
      <c r="CV1537" s="983"/>
      <c r="CW1537" s="222"/>
      <c r="CX1537" s="697"/>
      <c r="DC1537" s="222"/>
      <c r="DJ1537" s="889"/>
      <c r="DM1537" s="890"/>
      <c r="DN1537" s="952"/>
      <c r="DO1537" s="75"/>
      <c r="DP1537" s="962"/>
      <c r="DQ1537" s="983"/>
      <c r="DV1537" s="889"/>
    </row>
    <row r="1538" spans="1:126" s="74" customFormat="1">
      <c r="A1538" s="15"/>
      <c r="B1538" s="15"/>
      <c r="C1538" s="15"/>
      <c r="D1538" s="15"/>
      <c r="E1538" s="6"/>
      <c r="F1538" s="6"/>
      <c r="G1538" s="6"/>
      <c r="K1538" s="222"/>
      <c r="V1538" s="1430"/>
      <c r="AA1538" s="223"/>
      <c r="AC1538" s="889"/>
      <c r="AF1538" s="890"/>
      <c r="AJ1538" s="889"/>
      <c r="AN1538" s="222"/>
      <c r="BC1538" s="223"/>
      <c r="BD1538" s="222"/>
      <c r="BH1538" s="611"/>
      <c r="BJ1538" s="15"/>
      <c r="BK1538" s="15"/>
      <c r="BO1538" s="223"/>
      <c r="BQ1538" s="889"/>
      <c r="BT1538" s="890"/>
      <c r="BX1538" s="889"/>
      <c r="CB1538" s="15"/>
      <c r="CC1538" s="697"/>
      <c r="CD1538" s="1086"/>
      <c r="CE1538" s="15"/>
      <c r="CF1538" s="15"/>
      <c r="CG1538" s="936"/>
      <c r="CH1538" s="15"/>
      <c r="CI1538" s="15"/>
      <c r="CJ1538" s="15"/>
      <c r="CK1538" s="1107"/>
      <c r="CL1538" s="22"/>
      <c r="CM1538" s="22"/>
      <c r="CN1538" s="1107"/>
      <c r="CR1538" s="223"/>
      <c r="CS1538" s="952"/>
      <c r="CT1538" s="1066"/>
      <c r="CU1538" s="972"/>
      <c r="CV1538" s="983"/>
      <c r="CW1538" s="222"/>
      <c r="CX1538" s="697"/>
      <c r="DC1538" s="222"/>
      <c r="DJ1538" s="889"/>
      <c r="DM1538" s="890"/>
      <c r="DN1538" s="952"/>
      <c r="DO1538" s="75"/>
      <c r="DP1538" s="962"/>
      <c r="DQ1538" s="983"/>
      <c r="DV1538" s="889"/>
    </row>
    <row r="1539" spans="1:126" s="74" customFormat="1">
      <c r="A1539" s="15"/>
      <c r="B1539" s="15"/>
      <c r="C1539" s="15"/>
      <c r="D1539" s="15"/>
      <c r="E1539" s="6"/>
      <c r="F1539" s="6"/>
      <c r="G1539" s="6"/>
      <c r="K1539" s="222"/>
      <c r="V1539" s="1430"/>
      <c r="AA1539" s="223"/>
      <c r="AC1539" s="889"/>
      <c r="AF1539" s="890"/>
      <c r="AJ1539" s="889"/>
      <c r="AN1539" s="222"/>
      <c r="BC1539" s="223"/>
      <c r="BD1539" s="222"/>
      <c r="BH1539" s="611"/>
      <c r="BJ1539" s="15"/>
      <c r="BK1539" s="15"/>
      <c r="BO1539" s="223"/>
      <c r="BQ1539" s="889"/>
      <c r="BT1539" s="890"/>
      <c r="BX1539" s="889"/>
      <c r="CB1539" s="15"/>
      <c r="CC1539" s="697"/>
      <c r="CD1539" s="1086"/>
      <c r="CE1539" s="15"/>
      <c r="CF1539" s="15"/>
      <c r="CG1539" s="936"/>
      <c r="CH1539" s="15"/>
      <c r="CI1539" s="15"/>
      <c r="CJ1539" s="15"/>
      <c r="CK1539" s="1107"/>
      <c r="CL1539" s="22"/>
      <c r="CM1539" s="22"/>
      <c r="CN1539" s="1107"/>
      <c r="CR1539" s="223"/>
      <c r="CS1539" s="952"/>
      <c r="CT1539" s="1066"/>
      <c r="CU1539" s="972"/>
      <c r="CV1539" s="983"/>
      <c r="CW1539" s="222"/>
      <c r="CX1539" s="697"/>
      <c r="DC1539" s="222"/>
      <c r="DJ1539" s="889"/>
      <c r="DM1539" s="890"/>
      <c r="DN1539" s="952"/>
      <c r="DO1539" s="75"/>
      <c r="DP1539" s="962"/>
      <c r="DQ1539" s="983"/>
      <c r="DV1539" s="889"/>
    </row>
    <row r="1540" spans="1:126" s="74" customFormat="1">
      <c r="A1540" s="15"/>
      <c r="B1540" s="15"/>
      <c r="C1540" s="15"/>
      <c r="D1540" s="15"/>
      <c r="E1540" s="6"/>
      <c r="F1540" s="6"/>
      <c r="G1540" s="6"/>
      <c r="K1540" s="222"/>
      <c r="V1540" s="1430"/>
      <c r="AA1540" s="223"/>
      <c r="AC1540" s="889"/>
      <c r="AF1540" s="890"/>
      <c r="AJ1540" s="889"/>
      <c r="AN1540" s="222"/>
      <c r="BC1540" s="223"/>
      <c r="BD1540" s="222"/>
      <c r="BH1540" s="611"/>
      <c r="BJ1540" s="15"/>
      <c r="BK1540" s="15"/>
      <c r="BO1540" s="223"/>
      <c r="BQ1540" s="889"/>
      <c r="BT1540" s="890"/>
      <c r="BX1540" s="889"/>
      <c r="CB1540" s="15"/>
      <c r="CC1540" s="697"/>
      <c r="CD1540" s="1086"/>
      <c r="CE1540" s="15"/>
      <c r="CF1540" s="15"/>
      <c r="CG1540" s="936"/>
      <c r="CH1540" s="15"/>
      <c r="CI1540" s="15"/>
      <c r="CJ1540" s="15"/>
      <c r="CK1540" s="1107"/>
      <c r="CL1540" s="22"/>
      <c r="CM1540" s="22"/>
      <c r="CN1540" s="1107"/>
      <c r="CR1540" s="223"/>
      <c r="CS1540" s="952"/>
      <c r="CT1540" s="1066"/>
      <c r="CU1540" s="972"/>
      <c r="CV1540" s="983"/>
      <c r="CW1540" s="222"/>
      <c r="CX1540" s="697"/>
      <c r="DC1540" s="222"/>
      <c r="DJ1540" s="889"/>
      <c r="DM1540" s="890"/>
      <c r="DN1540" s="952"/>
      <c r="DO1540" s="75"/>
      <c r="DP1540" s="962"/>
      <c r="DQ1540" s="983"/>
      <c r="DV1540" s="889"/>
    </row>
    <row r="1541" spans="1:126" s="74" customFormat="1">
      <c r="A1541" s="15"/>
      <c r="B1541" s="15"/>
      <c r="C1541" s="15"/>
      <c r="D1541" s="15"/>
      <c r="E1541" s="6"/>
      <c r="F1541" s="6"/>
      <c r="G1541" s="6"/>
      <c r="K1541" s="222"/>
      <c r="V1541" s="1430"/>
      <c r="AA1541" s="223"/>
      <c r="AC1541" s="889"/>
      <c r="AF1541" s="890"/>
      <c r="AJ1541" s="889"/>
      <c r="AN1541" s="222"/>
      <c r="BC1541" s="223"/>
      <c r="BD1541" s="222"/>
      <c r="BH1541" s="611"/>
      <c r="BJ1541" s="15"/>
      <c r="BK1541" s="15"/>
      <c r="BO1541" s="223"/>
      <c r="BQ1541" s="889"/>
      <c r="BT1541" s="890"/>
      <c r="BX1541" s="889"/>
      <c r="CB1541" s="15"/>
      <c r="CC1541" s="697"/>
      <c r="CD1541" s="1086"/>
      <c r="CE1541" s="15"/>
      <c r="CF1541" s="15"/>
      <c r="CG1541" s="936"/>
      <c r="CH1541" s="15"/>
      <c r="CI1541" s="15"/>
      <c r="CJ1541" s="15"/>
      <c r="CK1541" s="1107"/>
      <c r="CL1541" s="22"/>
      <c r="CM1541" s="22"/>
      <c r="CN1541" s="1107"/>
      <c r="CR1541" s="223"/>
      <c r="CS1541" s="952"/>
      <c r="CT1541" s="1066"/>
      <c r="CU1541" s="972"/>
      <c r="CV1541" s="983"/>
      <c r="CW1541" s="222"/>
      <c r="CX1541" s="697"/>
      <c r="DC1541" s="222"/>
      <c r="DJ1541" s="889"/>
      <c r="DM1541" s="890"/>
      <c r="DN1541" s="952"/>
      <c r="DO1541" s="75"/>
      <c r="DP1541" s="962"/>
      <c r="DQ1541" s="983"/>
      <c r="DV1541" s="889"/>
    </row>
    <row r="1542" spans="1:126" s="74" customFormat="1">
      <c r="A1542" s="15"/>
      <c r="B1542" s="15"/>
      <c r="C1542" s="15"/>
      <c r="D1542" s="15"/>
      <c r="E1542" s="6"/>
      <c r="F1542" s="6"/>
      <c r="G1542" s="6"/>
      <c r="K1542" s="222"/>
      <c r="V1542" s="1430"/>
      <c r="AA1542" s="223"/>
      <c r="AC1542" s="889"/>
      <c r="AF1542" s="890"/>
      <c r="AJ1542" s="889"/>
      <c r="AN1542" s="222"/>
      <c r="BC1542" s="223"/>
      <c r="BD1542" s="222"/>
      <c r="BH1542" s="611"/>
      <c r="BJ1542" s="15"/>
      <c r="BK1542" s="15"/>
      <c r="BO1542" s="223"/>
      <c r="BQ1542" s="889"/>
      <c r="BT1542" s="890"/>
      <c r="BX1542" s="889"/>
      <c r="CB1542" s="15"/>
      <c r="CC1542" s="697"/>
      <c r="CD1542" s="1086"/>
      <c r="CE1542" s="15"/>
      <c r="CF1542" s="15"/>
      <c r="CG1542" s="936"/>
      <c r="CH1542" s="15"/>
      <c r="CI1542" s="15"/>
      <c r="CJ1542" s="15"/>
      <c r="CK1542" s="1107"/>
      <c r="CL1542" s="22"/>
      <c r="CM1542" s="22"/>
      <c r="CN1542" s="1107"/>
      <c r="CR1542" s="223"/>
      <c r="CS1542" s="952"/>
      <c r="CT1542" s="1066"/>
      <c r="CU1542" s="972"/>
      <c r="CV1542" s="983"/>
      <c r="CW1542" s="222"/>
      <c r="CX1542" s="697"/>
      <c r="DC1542" s="222"/>
      <c r="DJ1542" s="889"/>
      <c r="DM1542" s="890"/>
      <c r="DN1542" s="952"/>
      <c r="DO1542" s="75"/>
      <c r="DP1542" s="962"/>
      <c r="DQ1542" s="983"/>
      <c r="DV1542" s="889"/>
    </row>
    <row r="1543" spans="1:126" s="74" customFormat="1">
      <c r="A1543" s="15"/>
      <c r="B1543" s="15"/>
      <c r="C1543" s="15"/>
      <c r="D1543" s="15"/>
      <c r="E1543" s="6"/>
      <c r="F1543" s="6"/>
      <c r="G1543" s="6"/>
      <c r="K1543" s="222"/>
      <c r="V1543" s="1430"/>
      <c r="AA1543" s="223"/>
      <c r="AC1543" s="889"/>
      <c r="AF1543" s="890"/>
      <c r="AJ1543" s="889"/>
      <c r="AN1543" s="222"/>
      <c r="BC1543" s="223"/>
      <c r="BD1543" s="222"/>
      <c r="BH1543" s="611"/>
      <c r="BJ1543" s="15"/>
      <c r="BK1543" s="15"/>
      <c r="BO1543" s="223"/>
      <c r="BQ1543" s="889"/>
      <c r="BT1543" s="890"/>
      <c r="BX1543" s="889"/>
      <c r="CB1543" s="15"/>
      <c r="CC1543" s="697"/>
      <c r="CD1543" s="1086"/>
      <c r="CE1543" s="15"/>
      <c r="CF1543" s="15"/>
      <c r="CG1543" s="936"/>
      <c r="CH1543" s="15"/>
      <c r="CI1543" s="15"/>
      <c r="CJ1543" s="15"/>
      <c r="CK1543" s="1107"/>
      <c r="CL1543" s="22"/>
      <c r="CM1543" s="22"/>
      <c r="CN1543" s="1107"/>
      <c r="CR1543" s="223"/>
      <c r="CS1543" s="952"/>
      <c r="CT1543" s="1066"/>
      <c r="CU1543" s="972"/>
      <c r="CV1543" s="983"/>
      <c r="CW1543" s="222"/>
      <c r="CX1543" s="697"/>
      <c r="DC1543" s="222"/>
      <c r="DJ1543" s="889"/>
      <c r="DM1543" s="890"/>
      <c r="DN1543" s="952"/>
      <c r="DO1543" s="75"/>
      <c r="DP1543" s="962"/>
      <c r="DQ1543" s="983"/>
      <c r="DV1543" s="889"/>
    </row>
    <row r="1544" spans="1:126" s="74" customFormat="1">
      <c r="A1544" s="15"/>
      <c r="B1544" s="15"/>
      <c r="C1544" s="15"/>
      <c r="D1544" s="15"/>
      <c r="E1544" s="6"/>
      <c r="F1544" s="6"/>
      <c r="G1544" s="6"/>
      <c r="K1544" s="222"/>
      <c r="V1544" s="1430"/>
      <c r="AA1544" s="223"/>
      <c r="AC1544" s="889"/>
      <c r="AF1544" s="890"/>
      <c r="AJ1544" s="889"/>
      <c r="AN1544" s="222"/>
      <c r="BC1544" s="223"/>
      <c r="BD1544" s="222"/>
      <c r="BH1544" s="611"/>
      <c r="BJ1544" s="15"/>
      <c r="BK1544" s="15"/>
      <c r="BO1544" s="223"/>
      <c r="BQ1544" s="889"/>
      <c r="BT1544" s="890"/>
      <c r="BX1544" s="889"/>
      <c r="CB1544" s="15"/>
      <c r="CC1544" s="697"/>
      <c r="CD1544" s="1086"/>
      <c r="CE1544" s="15"/>
      <c r="CF1544" s="15"/>
      <c r="CG1544" s="936"/>
      <c r="CH1544" s="15"/>
      <c r="CI1544" s="15"/>
      <c r="CJ1544" s="15"/>
      <c r="CK1544" s="1107"/>
      <c r="CL1544" s="22"/>
      <c r="CM1544" s="22"/>
      <c r="CN1544" s="1107"/>
      <c r="CR1544" s="223"/>
      <c r="CS1544" s="952"/>
      <c r="CT1544" s="1066"/>
      <c r="CU1544" s="972"/>
      <c r="CV1544" s="983"/>
      <c r="CW1544" s="222"/>
      <c r="CX1544" s="697"/>
      <c r="DC1544" s="222"/>
      <c r="DJ1544" s="889"/>
      <c r="DM1544" s="890"/>
      <c r="DN1544" s="952"/>
      <c r="DO1544" s="75"/>
      <c r="DP1544" s="962"/>
      <c r="DQ1544" s="983"/>
      <c r="DV1544" s="889"/>
    </row>
    <row r="1545" spans="1:126" s="74" customFormat="1">
      <c r="A1545" s="15"/>
      <c r="B1545" s="15"/>
      <c r="C1545" s="15"/>
      <c r="D1545" s="15"/>
      <c r="E1545" s="6"/>
      <c r="F1545" s="6"/>
      <c r="G1545" s="6"/>
      <c r="K1545" s="222"/>
      <c r="V1545" s="1430"/>
      <c r="AA1545" s="223"/>
      <c r="AC1545" s="889"/>
      <c r="AF1545" s="890"/>
      <c r="AJ1545" s="889"/>
      <c r="AN1545" s="222"/>
      <c r="BC1545" s="223"/>
      <c r="BD1545" s="222"/>
      <c r="BH1545" s="611"/>
      <c r="BJ1545" s="15"/>
      <c r="BK1545" s="15"/>
      <c r="BO1545" s="223"/>
      <c r="BQ1545" s="889"/>
      <c r="BT1545" s="890"/>
      <c r="BX1545" s="889"/>
      <c r="CB1545" s="15"/>
      <c r="CC1545" s="697"/>
      <c r="CD1545" s="1086"/>
      <c r="CE1545" s="15"/>
      <c r="CF1545" s="15"/>
      <c r="CG1545" s="936"/>
      <c r="CH1545" s="15"/>
      <c r="CI1545" s="15"/>
      <c r="CJ1545" s="15"/>
      <c r="CK1545" s="1107"/>
      <c r="CL1545" s="22"/>
      <c r="CM1545" s="22"/>
      <c r="CN1545" s="1107"/>
      <c r="CR1545" s="223"/>
      <c r="CS1545" s="952"/>
      <c r="CT1545" s="1066"/>
      <c r="CU1545" s="972"/>
      <c r="CV1545" s="983"/>
      <c r="CW1545" s="222"/>
      <c r="CX1545" s="697"/>
      <c r="DC1545" s="222"/>
      <c r="DJ1545" s="889"/>
      <c r="DM1545" s="890"/>
      <c r="DN1545" s="952"/>
      <c r="DO1545" s="75"/>
      <c r="DP1545" s="962"/>
      <c r="DQ1545" s="983"/>
      <c r="DV1545" s="889"/>
    </row>
    <row r="1546" spans="1:126" s="74" customFormat="1">
      <c r="A1546" s="15"/>
      <c r="B1546" s="15"/>
      <c r="C1546" s="15"/>
      <c r="D1546" s="15"/>
      <c r="E1546" s="6"/>
      <c r="F1546" s="6"/>
      <c r="G1546" s="6"/>
      <c r="K1546" s="222"/>
      <c r="V1546" s="1430"/>
      <c r="AA1546" s="223"/>
      <c r="AC1546" s="889"/>
      <c r="AF1546" s="890"/>
      <c r="AJ1546" s="889"/>
      <c r="AN1546" s="222"/>
      <c r="BC1546" s="223"/>
      <c r="BD1546" s="222"/>
      <c r="BH1546" s="611"/>
      <c r="BJ1546" s="15"/>
      <c r="BK1546" s="15"/>
      <c r="BO1546" s="223"/>
      <c r="BQ1546" s="889"/>
      <c r="BT1546" s="890"/>
      <c r="BX1546" s="889"/>
      <c r="CB1546" s="15"/>
      <c r="CC1546" s="697"/>
      <c r="CD1546" s="1086"/>
      <c r="CE1546" s="15"/>
      <c r="CF1546" s="15"/>
      <c r="CG1546" s="936"/>
      <c r="CH1546" s="15"/>
      <c r="CI1546" s="15"/>
      <c r="CJ1546" s="15"/>
      <c r="CK1546" s="1107"/>
      <c r="CL1546" s="22"/>
      <c r="CM1546" s="22"/>
      <c r="CN1546" s="1107"/>
      <c r="CR1546" s="223"/>
      <c r="CS1546" s="952"/>
      <c r="CT1546" s="1066"/>
      <c r="CU1546" s="972"/>
      <c r="CV1546" s="983"/>
      <c r="CW1546" s="222"/>
      <c r="CX1546" s="697"/>
      <c r="DC1546" s="222"/>
      <c r="DJ1546" s="889"/>
      <c r="DM1546" s="890"/>
      <c r="DN1546" s="952"/>
      <c r="DO1546" s="75"/>
      <c r="DP1546" s="962"/>
      <c r="DQ1546" s="983"/>
      <c r="DV1546" s="889"/>
    </row>
    <row r="1547" spans="1:126" s="74" customFormat="1">
      <c r="A1547" s="15"/>
      <c r="B1547" s="15"/>
      <c r="C1547" s="15"/>
      <c r="D1547" s="15"/>
      <c r="E1547" s="6"/>
      <c r="F1547" s="6"/>
      <c r="G1547" s="6"/>
      <c r="K1547" s="222"/>
      <c r="V1547" s="1430"/>
      <c r="AA1547" s="223"/>
      <c r="AC1547" s="889"/>
      <c r="AF1547" s="890"/>
      <c r="AJ1547" s="889"/>
      <c r="AN1547" s="222"/>
      <c r="BC1547" s="223"/>
      <c r="BD1547" s="222"/>
      <c r="BH1547" s="611"/>
      <c r="BJ1547" s="15"/>
      <c r="BK1547" s="15"/>
      <c r="BO1547" s="223"/>
      <c r="BQ1547" s="889"/>
      <c r="BT1547" s="890"/>
      <c r="BX1547" s="889"/>
      <c r="CB1547" s="15"/>
      <c r="CC1547" s="697"/>
      <c r="CD1547" s="1086"/>
      <c r="CE1547" s="15"/>
      <c r="CF1547" s="15"/>
      <c r="CG1547" s="936"/>
      <c r="CH1547" s="15"/>
      <c r="CI1547" s="15"/>
      <c r="CJ1547" s="15"/>
      <c r="CK1547" s="1107"/>
      <c r="CL1547" s="22"/>
      <c r="CM1547" s="22"/>
      <c r="CN1547" s="1107"/>
      <c r="CR1547" s="223"/>
      <c r="CS1547" s="952"/>
      <c r="CT1547" s="1066"/>
      <c r="CU1547" s="972"/>
      <c r="CV1547" s="983"/>
      <c r="CW1547" s="222"/>
      <c r="CX1547" s="697"/>
      <c r="DC1547" s="222"/>
      <c r="DJ1547" s="889"/>
      <c r="DM1547" s="890"/>
      <c r="DN1547" s="952"/>
      <c r="DO1547" s="75"/>
      <c r="DP1547" s="962"/>
      <c r="DQ1547" s="983"/>
      <c r="DV1547" s="889"/>
    </row>
    <row r="1548" spans="1:126" s="74" customFormat="1">
      <c r="A1548" s="15"/>
      <c r="B1548" s="15"/>
      <c r="C1548" s="15"/>
      <c r="D1548" s="15"/>
      <c r="E1548" s="6"/>
      <c r="F1548" s="6"/>
      <c r="G1548" s="6"/>
      <c r="K1548" s="222"/>
      <c r="V1548" s="1430"/>
      <c r="AA1548" s="223"/>
      <c r="AC1548" s="889"/>
      <c r="AF1548" s="890"/>
      <c r="AJ1548" s="889"/>
      <c r="AN1548" s="222"/>
      <c r="BC1548" s="223"/>
      <c r="BD1548" s="222"/>
      <c r="BH1548" s="611"/>
      <c r="BJ1548" s="15"/>
      <c r="BK1548" s="15"/>
      <c r="BO1548" s="223"/>
      <c r="BQ1548" s="889"/>
      <c r="BT1548" s="890"/>
      <c r="BX1548" s="889"/>
      <c r="CB1548" s="15"/>
      <c r="CC1548" s="697"/>
      <c r="CD1548" s="1086"/>
      <c r="CE1548" s="15"/>
      <c r="CF1548" s="15"/>
      <c r="CG1548" s="936"/>
      <c r="CH1548" s="15"/>
      <c r="CI1548" s="15"/>
      <c r="CJ1548" s="15"/>
      <c r="CK1548" s="1107"/>
      <c r="CL1548" s="22"/>
      <c r="CM1548" s="22"/>
      <c r="CN1548" s="1107"/>
      <c r="CR1548" s="223"/>
      <c r="CS1548" s="952"/>
      <c r="CT1548" s="1066"/>
      <c r="CU1548" s="972"/>
      <c r="CV1548" s="983"/>
      <c r="CW1548" s="222"/>
      <c r="CX1548" s="697"/>
      <c r="DC1548" s="222"/>
      <c r="DJ1548" s="889"/>
      <c r="DM1548" s="890"/>
      <c r="DN1548" s="952"/>
      <c r="DO1548" s="75"/>
      <c r="DP1548" s="962"/>
      <c r="DQ1548" s="983"/>
      <c r="DV1548" s="889"/>
    </row>
    <row r="1549" spans="1:126" s="74" customFormat="1">
      <c r="A1549" s="15"/>
      <c r="B1549" s="15"/>
      <c r="C1549" s="15"/>
      <c r="D1549" s="15"/>
      <c r="E1549" s="6"/>
      <c r="F1549" s="6"/>
      <c r="G1549" s="6"/>
      <c r="K1549" s="222"/>
      <c r="V1549" s="1430"/>
      <c r="AA1549" s="223"/>
      <c r="AC1549" s="889"/>
      <c r="AF1549" s="890"/>
      <c r="AJ1549" s="889"/>
      <c r="AN1549" s="222"/>
      <c r="BC1549" s="223"/>
      <c r="BD1549" s="222"/>
      <c r="BH1549" s="611"/>
      <c r="BJ1549" s="15"/>
      <c r="BK1549" s="15"/>
      <c r="BO1549" s="223"/>
      <c r="BQ1549" s="889"/>
      <c r="BT1549" s="890"/>
      <c r="BX1549" s="889"/>
      <c r="CB1549" s="15"/>
      <c r="CC1549" s="697"/>
      <c r="CD1549" s="1086"/>
      <c r="CE1549" s="15"/>
      <c r="CF1549" s="15"/>
      <c r="CG1549" s="936"/>
      <c r="CH1549" s="15"/>
      <c r="CI1549" s="15"/>
      <c r="CJ1549" s="15"/>
      <c r="CK1549" s="1107"/>
      <c r="CL1549" s="22"/>
      <c r="CM1549" s="22"/>
      <c r="CN1549" s="1107"/>
      <c r="CR1549" s="223"/>
      <c r="CS1549" s="952"/>
      <c r="CT1549" s="1066"/>
      <c r="CU1549" s="972"/>
      <c r="CV1549" s="983"/>
      <c r="CW1549" s="222"/>
      <c r="CX1549" s="697"/>
      <c r="DC1549" s="222"/>
      <c r="DJ1549" s="889"/>
      <c r="DM1549" s="890"/>
      <c r="DN1549" s="952"/>
      <c r="DO1549" s="75"/>
      <c r="DP1549" s="962"/>
      <c r="DQ1549" s="983"/>
      <c r="DV1549" s="889"/>
    </row>
    <row r="1550" spans="1:126" s="74" customFormat="1">
      <c r="A1550" s="15"/>
      <c r="B1550" s="15"/>
      <c r="C1550" s="15"/>
      <c r="D1550" s="15"/>
      <c r="E1550" s="6"/>
      <c r="F1550" s="6"/>
      <c r="G1550" s="6"/>
      <c r="K1550" s="222"/>
      <c r="V1550" s="1430"/>
      <c r="AA1550" s="223"/>
      <c r="AC1550" s="889"/>
      <c r="AF1550" s="890"/>
      <c r="AJ1550" s="889"/>
      <c r="AN1550" s="222"/>
      <c r="BC1550" s="223"/>
      <c r="BD1550" s="222"/>
      <c r="BH1550" s="611"/>
      <c r="BJ1550" s="15"/>
      <c r="BK1550" s="15"/>
      <c r="BO1550" s="223"/>
      <c r="BQ1550" s="889"/>
      <c r="BT1550" s="890"/>
      <c r="BX1550" s="889"/>
      <c r="CB1550" s="15"/>
      <c r="CC1550" s="697"/>
      <c r="CD1550" s="1086"/>
      <c r="CE1550" s="15"/>
      <c r="CF1550" s="15"/>
      <c r="CG1550" s="936"/>
      <c r="CH1550" s="15"/>
      <c r="CI1550" s="15"/>
      <c r="CJ1550" s="15"/>
      <c r="CK1550" s="1107"/>
      <c r="CL1550" s="22"/>
      <c r="CM1550" s="22"/>
      <c r="CN1550" s="1107"/>
      <c r="CR1550" s="223"/>
      <c r="CS1550" s="952"/>
      <c r="CT1550" s="1066"/>
      <c r="CU1550" s="972"/>
      <c r="CV1550" s="983"/>
      <c r="CW1550" s="222"/>
      <c r="CX1550" s="697"/>
      <c r="DC1550" s="222"/>
      <c r="DJ1550" s="889"/>
      <c r="DM1550" s="890"/>
      <c r="DN1550" s="952"/>
      <c r="DO1550" s="75"/>
      <c r="DP1550" s="962"/>
      <c r="DQ1550" s="983"/>
      <c r="DV1550" s="889"/>
    </row>
    <row r="1551" spans="1:126" s="74" customFormat="1">
      <c r="A1551" s="15"/>
      <c r="B1551" s="15"/>
      <c r="C1551" s="15"/>
      <c r="D1551" s="15"/>
      <c r="E1551" s="6"/>
      <c r="F1551" s="6"/>
      <c r="G1551" s="6"/>
      <c r="K1551" s="222"/>
      <c r="V1551" s="1430"/>
      <c r="AA1551" s="223"/>
      <c r="AC1551" s="889"/>
      <c r="AF1551" s="890"/>
      <c r="AJ1551" s="889"/>
      <c r="AN1551" s="222"/>
      <c r="BC1551" s="223"/>
      <c r="BD1551" s="222"/>
      <c r="BH1551" s="611"/>
      <c r="BJ1551" s="15"/>
      <c r="BK1551" s="15"/>
      <c r="BO1551" s="223"/>
      <c r="BQ1551" s="889"/>
      <c r="BT1551" s="890"/>
      <c r="BX1551" s="889"/>
      <c r="CB1551" s="15"/>
      <c r="CC1551" s="697"/>
      <c r="CD1551" s="1086"/>
      <c r="CE1551" s="15"/>
      <c r="CF1551" s="15"/>
      <c r="CG1551" s="936"/>
      <c r="CH1551" s="15"/>
      <c r="CI1551" s="15"/>
      <c r="CJ1551" s="15"/>
      <c r="CK1551" s="1107"/>
      <c r="CL1551" s="22"/>
      <c r="CM1551" s="22"/>
      <c r="CN1551" s="1107"/>
      <c r="CR1551" s="223"/>
      <c r="CS1551" s="952"/>
      <c r="CT1551" s="1066"/>
      <c r="CU1551" s="972"/>
      <c r="CV1551" s="983"/>
      <c r="CW1551" s="222"/>
      <c r="CX1551" s="697"/>
      <c r="DC1551" s="222"/>
      <c r="DJ1551" s="889"/>
      <c r="DM1551" s="890"/>
      <c r="DN1551" s="952"/>
      <c r="DO1551" s="75"/>
      <c r="DP1551" s="962"/>
      <c r="DQ1551" s="983"/>
      <c r="DV1551" s="889"/>
    </row>
    <row r="1552" spans="1:126" s="74" customFormat="1">
      <c r="A1552" s="15"/>
      <c r="B1552" s="15"/>
      <c r="C1552" s="15"/>
      <c r="D1552" s="15"/>
      <c r="E1552" s="6"/>
      <c r="F1552" s="6"/>
      <c r="G1552" s="6"/>
      <c r="K1552" s="222"/>
      <c r="V1552" s="1430"/>
      <c r="AA1552" s="223"/>
      <c r="AC1552" s="889"/>
      <c r="AF1552" s="890"/>
      <c r="AJ1552" s="889"/>
      <c r="AN1552" s="222"/>
      <c r="BC1552" s="223"/>
      <c r="BD1552" s="222"/>
      <c r="BH1552" s="611"/>
      <c r="BJ1552" s="15"/>
      <c r="BK1552" s="15"/>
      <c r="BO1552" s="223"/>
      <c r="BQ1552" s="889"/>
      <c r="BT1552" s="890"/>
      <c r="BX1552" s="889"/>
      <c r="CB1552" s="15"/>
      <c r="CC1552" s="697"/>
      <c r="CD1552" s="1086"/>
      <c r="CE1552" s="15"/>
      <c r="CF1552" s="15"/>
      <c r="CG1552" s="936"/>
      <c r="CH1552" s="15"/>
      <c r="CI1552" s="15"/>
      <c r="CJ1552" s="15"/>
      <c r="CK1552" s="1107"/>
      <c r="CL1552" s="22"/>
      <c r="CM1552" s="22"/>
      <c r="CN1552" s="1107"/>
      <c r="CR1552" s="223"/>
      <c r="CS1552" s="952"/>
      <c r="CT1552" s="1066"/>
      <c r="CU1552" s="972"/>
      <c r="CV1552" s="983"/>
      <c r="CW1552" s="222"/>
      <c r="CX1552" s="697"/>
      <c r="DC1552" s="222"/>
      <c r="DJ1552" s="889"/>
      <c r="DM1552" s="890"/>
      <c r="DN1552" s="952"/>
      <c r="DO1552" s="75"/>
      <c r="DP1552" s="962"/>
      <c r="DQ1552" s="983"/>
      <c r="DV1552" s="889"/>
    </row>
    <row r="1553" spans="1:126" s="74" customFormat="1">
      <c r="A1553" s="15"/>
      <c r="B1553" s="15"/>
      <c r="C1553" s="15"/>
      <c r="D1553" s="15"/>
      <c r="E1553" s="6"/>
      <c r="F1553" s="6"/>
      <c r="G1553" s="6"/>
      <c r="K1553" s="222"/>
      <c r="V1553" s="1430"/>
      <c r="AA1553" s="223"/>
      <c r="AC1553" s="889"/>
      <c r="AF1553" s="890"/>
      <c r="AJ1553" s="889"/>
      <c r="AN1553" s="222"/>
      <c r="BC1553" s="223"/>
      <c r="BD1553" s="222"/>
      <c r="BH1553" s="611"/>
      <c r="BJ1553" s="15"/>
      <c r="BK1553" s="15"/>
      <c r="BO1553" s="223"/>
      <c r="BQ1553" s="889"/>
      <c r="BT1553" s="890"/>
      <c r="BX1553" s="889"/>
      <c r="CB1553" s="15"/>
      <c r="CC1553" s="697"/>
      <c r="CD1553" s="1086"/>
      <c r="CE1553" s="15"/>
      <c r="CF1553" s="15"/>
      <c r="CG1553" s="936"/>
      <c r="CH1553" s="15"/>
      <c r="CI1553" s="15"/>
      <c r="CJ1553" s="15"/>
      <c r="CK1553" s="1107"/>
      <c r="CL1553" s="22"/>
      <c r="CM1553" s="22"/>
      <c r="CN1553" s="1107"/>
      <c r="CR1553" s="223"/>
      <c r="CS1553" s="952"/>
      <c r="CT1553" s="1066"/>
      <c r="CU1553" s="972"/>
      <c r="CV1553" s="983"/>
      <c r="CW1553" s="222"/>
      <c r="CX1553" s="697"/>
      <c r="DC1553" s="222"/>
      <c r="DJ1553" s="889"/>
      <c r="DM1553" s="890"/>
      <c r="DN1553" s="952"/>
      <c r="DO1553" s="75"/>
      <c r="DP1553" s="962"/>
      <c r="DQ1553" s="983"/>
      <c r="DV1553" s="889"/>
    </row>
    <row r="1554" spans="1:126" s="74" customFormat="1">
      <c r="A1554" s="15"/>
      <c r="B1554" s="15"/>
      <c r="C1554" s="15"/>
      <c r="D1554" s="15"/>
      <c r="E1554" s="6"/>
      <c r="F1554" s="6"/>
      <c r="G1554" s="6"/>
      <c r="K1554" s="222"/>
      <c r="V1554" s="1430"/>
      <c r="AA1554" s="223"/>
      <c r="AC1554" s="889"/>
      <c r="AF1554" s="890"/>
      <c r="AJ1554" s="889"/>
      <c r="AN1554" s="222"/>
      <c r="BC1554" s="223"/>
      <c r="BD1554" s="222"/>
      <c r="BH1554" s="611"/>
      <c r="BJ1554" s="15"/>
      <c r="BK1554" s="15"/>
      <c r="BO1554" s="223"/>
      <c r="BQ1554" s="889"/>
      <c r="BT1554" s="890"/>
      <c r="BX1554" s="889"/>
      <c r="CB1554" s="15"/>
      <c r="CC1554" s="697"/>
      <c r="CD1554" s="1086"/>
      <c r="CE1554" s="15"/>
      <c r="CF1554" s="15"/>
      <c r="CG1554" s="936"/>
      <c r="CH1554" s="15"/>
      <c r="CI1554" s="15"/>
      <c r="CJ1554" s="15"/>
      <c r="CK1554" s="1107"/>
      <c r="CL1554" s="22"/>
      <c r="CM1554" s="22"/>
      <c r="CN1554" s="1107"/>
      <c r="CR1554" s="223"/>
      <c r="CS1554" s="952"/>
      <c r="CT1554" s="1066"/>
      <c r="CU1554" s="972"/>
      <c r="CV1554" s="983"/>
      <c r="CW1554" s="222"/>
      <c r="CX1554" s="697"/>
      <c r="DC1554" s="222"/>
      <c r="DJ1554" s="889"/>
      <c r="DM1554" s="890"/>
      <c r="DN1554" s="952"/>
      <c r="DO1554" s="75"/>
      <c r="DP1554" s="962"/>
      <c r="DQ1554" s="983"/>
      <c r="DV1554" s="889"/>
    </row>
    <row r="1555" spans="1:126" s="74" customFormat="1">
      <c r="A1555" s="15"/>
      <c r="B1555" s="15"/>
      <c r="C1555" s="15"/>
      <c r="D1555" s="15"/>
      <c r="E1555" s="6"/>
      <c r="F1555" s="6"/>
      <c r="G1555" s="6"/>
      <c r="K1555" s="222"/>
      <c r="V1555" s="1430"/>
      <c r="AA1555" s="223"/>
      <c r="AC1555" s="889"/>
      <c r="AF1555" s="890"/>
      <c r="AJ1555" s="889"/>
      <c r="AN1555" s="222"/>
      <c r="BC1555" s="223"/>
      <c r="BD1555" s="222"/>
      <c r="BH1555" s="611"/>
      <c r="BJ1555" s="15"/>
      <c r="BK1555" s="15"/>
      <c r="BO1555" s="223"/>
      <c r="BQ1555" s="889"/>
      <c r="BT1555" s="890"/>
      <c r="BX1555" s="889"/>
      <c r="CB1555" s="15"/>
      <c r="CC1555" s="697"/>
      <c r="CD1555" s="1086"/>
      <c r="CE1555" s="15"/>
      <c r="CF1555" s="15"/>
      <c r="CG1555" s="936"/>
      <c r="CH1555" s="15"/>
      <c r="CI1555" s="15"/>
      <c r="CJ1555" s="15"/>
      <c r="CK1555" s="1107"/>
      <c r="CL1555" s="22"/>
      <c r="CM1555" s="22"/>
      <c r="CN1555" s="1107"/>
      <c r="CR1555" s="223"/>
      <c r="CS1555" s="952"/>
      <c r="CT1555" s="1066"/>
      <c r="CU1555" s="972"/>
      <c r="CV1555" s="983"/>
      <c r="CW1555" s="222"/>
      <c r="CX1555" s="697"/>
      <c r="DC1555" s="222"/>
      <c r="DJ1555" s="889"/>
      <c r="DM1555" s="890"/>
      <c r="DN1555" s="952"/>
      <c r="DO1555" s="75"/>
      <c r="DP1555" s="962"/>
      <c r="DQ1555" s="983"/>
      <c r="DV1555" s="889"/>
    </row>
    <row r="1556" spans="1:126" s="74" customFormat="1">
      <c r="A1556" s="15"/>
      <c r="B1556" s="15"/>
      <c r="C1556" s="15"/>
      <c r="D1556" s="15"/>
      <c r="E1556" s="6"/>
      <c r="F1556" s="6"/>
      <c r="G1556" s="6"/>
      <c r="K1556" s="222"/>
      <c r="V1556" s="1430"/>
      <c r="AA1556" s="223"/>
      <c r="AC1556" s="889"/>
      <c r="AF1556" s="890"/>
      <c r="AJ1556" s="889"/>
      <c r="AN1556" s="222"/>
      <c r="BC1556" s="223"/>
      <c r="BD1556" s="222"/>
      <c r="BH1556" s="611"/>
      <c r="BJ1556" s="15"/>
      <c r="BK1556" s="15"/>
      <c r="BO1556" s="223"/>
      <c r="BQ1556" s="889"/>
      <c r="BT1556" s="890"/>
      <c r="BX1556" s="889"/>
      <c r="CB1556" s="15"/>
      <c r="CC1556" s="697"/>
      <c r="CD1556" s="1086"/>
      <c r="CE1556" s="15"/>
      <c r="CF1556" s="15"/>
      <c r="CG1556" s="936"/>
      <c r="CH1556" s="15"/>
      <c r="CI1556" s="15"/>
      <c r="CJ1556" s="15"/>
      <c r="CK1556" s="1107"/>
      <c r="CL1556" s="22"/>
      <c r="CM1556" s="22"/>
      <c r="CN1556" s="1107"/>
      <c r="CR1556" s="223"/>
      <c r="CS1556" s="952"/>
      <c r="CT1556" s="1066"/>
      <c r="CU1556" s="972"/>
      <c r="CV1556" s="983"/>
      <c r="CW1556" s="222"/>
      <c r="CX1556" s="697"/>
      <c r="DC1556" s="222"/>
      <c r="DJ1556" s="889"/>
      <c r="DM1556" s="890"/>
      <c r="DN1556" s="952"/>
      <c r="DO1556" s="75"/>
      <c r="DP1556" s="962"/>
      <c r="DQ1556" s="983"/>
      <c r="DV1556" s="889"/>
    </row>
    <row r="1557" spans="1:126" s="74" customFormat="1">
      <c r="A1557" s="15"/>
      <c r="B1557" s="15"/>
      <c r="C1557" s="15"/>
      <c r="D1557" s="15"/>
      <c r="E1557" s="6"/>
      <c r="F1557" s="6"/>
      <c r="G1557" s="6"/>
      <c r="K1557" s="222"/>
      <c r="V1557" s="1430"/>
      <c r="AA1557" s="223"/>
      <c r="AC1557" s="889"/>
      <c r="AF1557" s="890"/>
      <c r="AJ1557" s="889"/>
      <c r="AN1557" s="222"/>
      <c r="BC1557" s="223"/>
      <c r="BD1557" s="222"/>
      <c r="BH1557" s="611"/>
      <c r="BJ1557" s="15"/>
      <c r="BK1557" s="15"/>
      <c r="BO1557" s="223"/>
      <c r="BQ1557" s="889"/>
      <c r="BT1557" s="890"/>
      <c r="BX1557" s="889"/>
      <c r="CB1557" s="15"/>
      <c r="CC1557" s="697"/>
      <c r="CD1557" s="1086"/>
      <c r="CE1557" s="15"/>
      <c r="CF1557" s="15"/>
      <c r="CG1557" s="936"/>
      <c r="CH1557" s="15"/>
      <c r="CI1557" s="15"/>
      <c r="CJ1557" s="15"/>
      <c r="CK1557" s="1107"/>
      <c r="CL1557" s="22"/>
      <c r="CM1557" s="22"/>
      <c r="CN1557" s="1107"/>
      <c r="CR1557" s="223"/>
      <c r="CS1557" s="952"/>
      <c r="CT1557" s="1066"/>
      <c r="CU1557" s="972"/>
      <c r="CV1557" s="983"/>
      <c r="CW1557" s="222"/>
      <c r="CX1557" s="697"/>
      <c r="DC1557" s="222"/>
      <c r="DJ1557" s="889"/>
      <c r="DM1557" s="890"/>
      <c r="DN1557" s="952"/>
      <c r="DO1557" s="75"/>
      <c r="DP1557" s="962"/>
      <c r="DQ1557" s="983"/>
      <c r="DV1557" s="889"/>
    </row>
    <row r="1558" spans="1:126" s="74" customFormat="1">
      <c r="A1558" s="15"/>
      <c r="B1558" s="15"/>
      <c r="C1558" s="15"/>
      <c r="D1558" s="15"/>
      <c r="E1558" s="6"/>
      <c r="F1558" s="6"/>
      <c r="G1558" s="6"/>
      <c r="K1558" s="222"/>
      <c r="V1558" s="1430"/>
      <c r="AA1558" s="223"/>
      <c r="AC1558" s="889"/>
      <c r="AF1558" s="890"/>
      <c r="AJ1558" s="889"/>
      <c r="AN1558" s="222"/>
      <c r="BC1558" s="223"/>
      <c r="BD1558" s="222"/>
      <c r="BH1558" s="611"/>
      <c r="BJ1558" s="15"/>
      <c r="BK1558" s="15"/>
      <c r="BO1558" s="223"/>
      <c r="BQ1558" s="889"/>
      <c r="BT1558" s="890"/>
      <c r="BX1558" s="889"/>
      <c r="CB1558" s="15"/>
      <c r="CC1558" s="697"/>
      <c r="CD1558" s="1086"/>
      <c r="CE1558" s="15"/>
      <c r="CF1558" s="15"/>
      <c r="CG1558" s="936"/>
      <c r="CH1558" s="15"/>
      <c r="CI1558" s="15"/>
      <c r="CJ1558" s="15"/>
      <c r="CK1558" s="1107"/>
      <c r="CL1558" s="22"/>
      <c r="CM1558" s="22"/>
      <c r="CN1558" s="1107"/>
      <c r="CR1558" s="223"/>
      <c r="CS1558" s="952"/>
      <c r="CT1558" s="1066"/>
      <c r="CU1558" s="972"/>
      <c r="CV1558" s="983"/>
      <c r="CW1558" s="222"/>
      <c r="CX1558" s="697"/>
      <c r="DC1558" s="222"/>
      <c r="DJ1558" s="889"/>
      <c r="DM1558" s="890"/>
      <c r="DN1558" s="952"/>
      <c r="DO1558" s="75"/>
      <c r="DP1558" s="962"/>
      <c r="DQ1558" s="983"/>
      <c r="DV1558" s="889"/>
    </row>
    <row r="1559" spans="1:126" s="74" customFormat="1">
      <c r="A1559" s="15"/>
      <c r="B1559" s="15"/>
      <c r="C1559" s="15"/>
      <c r="D1559" s="15"/>
      <c r="E1559" s="6"/>
      <c r="F1559" s="6"/>
      <c r="G1559" s="6"/>
      <c r="K1559" s="222"/>
      <c r="V1559" s="1430"/>
      <c r="AA1559" s="223"/>
      <c r="AC1559" s="889"/>
      <c r="AF1559" s="890"/>
      <c r="AJ1559" s="889"/>
      <c r="AN1559" s="222"/>
      <c r="BC1559" s="223"/>
      <c r="BD1559" s="222"/>
      <c r="BH1559" s="611"/>
      <c r="BJ1559" s="15"/>
      <c r="BK1559" s="15"/>
      <c r="BO1559" s="223"/>
      <c r="BQ1559" s="889"/>
      <c r="BT1559" s="890"/>
      <c r="BX1559" s="889"/>
      <c r="CB1559" s="15"/>
      <c r="CC1559" s="697"/>
      <c r="CD1559" s="1086"/>
      <c r="CE1559" s="15"/>
      <c r="CF1559" s="15"/>
      <c r="CG1559" s="936"/>
      <c r="CH1559" s="15"/>
      <c r="CI1559" s="15"/>
      <c r="CJ1559" s="15"/>
      <c r="CK1559" s="1107"/>
      <c r="CL1559" s="22"/>
      <c r="CM1559" s="22"/>
      <c r="CN1559" s="1107"/>
      <c r="CR1559" s="223"/>
      <c r="CS1559" s="952"/>
      <c r="CT1559" s="1066"/>
      <c r="CU1559" s="972"/>
      <c r="CV1559" s="983"/>
      <c r="CW1559" s="222"/>
      <c r="CX1559" s="697"/>
      <c r="DC1559" s="222"/>
      <c r="DJ1559" s="889"/>
      <c r="DM1559" s="890"/>
      <c r="DN1559" s="952"/>
      <c r="DO1559" s="75"/>
      <c r="DP1559" s="962"/>
      <c r="DQ1559" s="983"/>
      <c r="DV1559" s="889"/>
    </row>
    <row r="1560" spans="1:126" s="74" customFormat="1">
      <c r="A1560" s="15"/>
      <c r="B1560" s="15"/>
      <c r="C1560" s="15"/>
      <c r="D1560" s="15"/>
      <c r="E1560" s="6"/>
      <c r="F1560" s="6"/>
      <c r="G1560" s="6"/>
      <c r="K1560" s="222"/>
      <c r="V1560" s="1430"/>
      <c r="AA1560" s="223"/>
      <c r="AC1560" s="889"/>
      <c r="AF1560" s="890"/>
      <c r="AJ1560" s="889"/>
      <c r="AN1560" s="222"/>
      <c r="BC1560" s="223"/>
      <c r="BD1560" s="222"/>
      <c r="BH1560" s="611"/>
      <c r="BJ1560" s="15"/>
      <c r="BK1560" s="15"/>
      <c r="BO1560" s="223"/>
      <c r="BQ1560" s="889"/>
      <c r="BT1560" s="890"/>
      <c r="BX1560" s="889"/>
      <c r="CB1560" s="15"/>
      <c r="CC1560" s="697"/>
      <c r="CD1560" s="1086"/>
      <c r="CE1560" s="15"/>
      <c r="CF1560" s="15"/>
      <c r="CG1560" s="936"/>
      <c r="CH1560" s="15"/>
      <c r="CI1560" s="15"/>
      <c r="CJ1560" s="15"/>
      <c r="CK1560" s="1107"/>
      <c r="CL1560" s="22"/>
      <c r="CM1560" s="22"/>
      <c r="CN1560" s="1107"/>
      <c r="CR1560" s="223"/>
      <c r="CS1560" s="952"/>
      <c r="CT1560" s="1066"/>
      <c r="CU1560" s="972"/>
      <c r="CV1560" s="983"/>
      <c r="CW1560" s="222"/>
      <c r="CX1560" s="697"/>
      <c r="DC1560" s="222"/>
      <c r="DJ1560" s="889"/>
      <c r="DM1560" s="890"/>
      <c r="DN1560" s="952"/>
      <c r="DO1560" s="75"/>
      <c r="DP1560" s="962"/>
      <c r="DQ1560" s="983"/>
      <c r="DV1560" s="889"/>
    </row>
    <row r="1561" spans="1:126" s="74" customFormat="1">
      <c r="A1561" s="15"/>
      <c r="B1561" s="15"/>
      <c r="C1561" s="15"/>
      <c r="D1561" s="15"/>
      <c r="E1561" s="6"/>
      <c r="F1561" s="6"/>
      <c r="G1561" s="6"/>
      <c r="K1561" s="222"/>
      <c r="V1561" s="1430"/>
      <c r="AA1561" s="223"/>
      <c r="AC1561" s="889"/>
      <c r="AF1561" s="890"/>
      <c r="AJ1561" s="889"/>
      <c r="AN1561" s="222"/>
      <c r="BC1561" s="223"/>
      <c r="BD1561" s="222"/>
      <c r="BH1561" s="611"/>
      <c r="BJ1561" s="15"/>
      <c r="BK1561" s="15"/>
      <c r="BO1561" s="223"/>
      <c r="BQ1561" s="889"/>
      <c r="BT1561" s="890"/>
      <c r="BX1561" s="889"/>
      <c r="CB1561" s="15"/>
      <c r="CC1561" s="697"/>
      <c r="CD1561" s="1086"/>
      <c r="CE1561" s="15"/>
      <c r="CF1561" s="15"/>
      <c r="CG1561" s="936"/>
      <c r="CH1561" s="15"/>
      <c r="CI1561" s="15"/>
      <c r="CJ1561" s="15"/>
      <c r="CK1561" s="1107"/>
      <c r="CL1561" s="22"/>
      <c r="CM1561" s="22"/>
      <c r="CN1561" s="1107"/>
      <c r="CR1561" s="223"/>
      <c r="CS1561" s="952"/>
      <c r="CT1561" s="1066"/>
      <c r="CU1561" s="972"/>
      <c r="CV1561" s="983"/>
      <c r="CW1561" s="222"/>
      <c r="CX1561" s="697"/>
      <c r="DC1561" s="222"/>
      <c r="DJ1561" s="889"/>
      <c r="DM1561" s="890"/>
      <c r="DN1561" s="952"/>
      <c r="DO1561" s="75"/>
      <c r="DP1561" s="962"/>
      <c r="DQ1561" s="983"/>
      <c r="DV1561" s="889"/>
    </row>
    <row r="1562" spans="1:126" s="74" customFormat="1">
      <c r="A1562" s="15"/>
      <c r="B1562" s="15"/>
      <c r="C1562" s="15"/>
      <c r="D1562" s="15"/>
      <c r="E1562" s="6"/>
      <c r="F1562" s="6"/>
      <c r="G1562" s="6"/>
      <c r="K1562" s="222"/>
      <c r="V1562" s="1430"/>
      <c r="AA1562" s="223"/>
      <c r="AC1562" s="889"/>
      <c r="AF1562" s="890"/>
      <c r="AJ1562" s="889"/>
      <c r="AN1562" s="222"/>
      <c r="BC1562" s="223"/>
      <c r="BD1562" s="222"/>
      <c r="BH1562" s="611"/>
      <c r="BJ1562" s="15"/>
      <c r="BK1562" s="15"/>
      <c r="BO1562" s="223"/>
      <c r="BQ1562" s="889"/>
      <c r="BT1562" s="890"/>
      <c r="BX1562" s="889"/>
      <c r="CB1562" s="15"/>
      <c r="CC1562" s="697"/>
      <c r="CD1562" s="1086"/>
      <c r="CE1562" s="15"/>
      <c r="CF1562" s="15"/>
      <c r="CG1562" s="936"/>
      <c r="CH1562" s="15"/>
      <c r="CI1562" s="15"/>
      <c r="CJ1562" s="15"/>
      <c r="CK1562" s="1107"/>
      <c r="CL1562" s="22"/>
      <c r="CM1562" s="22"/>
      <c r="CN1562" s="1107"/>
      <c r="CR1562" s="223"/>
      <c r="CS1562" s="952"/>
      <c r="CT1562" s="1066"/>
      <c r="CU1562" s="972"/>
      <c r="CV1562" s="983"/>
      <c r="CW1562" s="222"/>
      <c r="CX1562" s="697"/>
      <c r="DC1562" s="222"/>
      <c r="DJ1562" s="889"/>
      <c r="DM1562" s="890"/>
      <c r="DN1562" s="952"/>
      <c r="DO1562" s="75"/>
      <c r="DP1562" s="962"/>
      <c r="DQ1562" s="983"/>
      <c r="DV1562" s="889"/>
    </row>
    <row r="1563" spans="1:126" s="74" customFormat="1">
      <c r="A1563" s="15"/>
      <c r="B1563" s="15"/>
      <c r="C1563" s="15"/>
      <c r="D1563" s="15"/>
      <c r="E1563" s="6"/>
      <c r="F1563" s="6"/>
      <c r="G1563" s="6"/>
      <c r="K1563" s="222"/>
      <c r="V1563" s="1430"/>
      <c r="AA1563" s="223"/>
      <c r="AC1563" s="889"/>
      <c r="AF1563" s="890"/>
      <c r="AJ1563" s="889"/>
      <c r="AN1563" s="222"/>
      <c r="BC1563" s="223"/>
      <c r="BD1563" s="222"/>
      <c r="BH1563" s="611"/>
      <c r="BJ1563" s="15"/>
      <c r="BK1563" s="15"/>
      <c r="BO1563" s="223"/>
      <c r="BQ1563" s="889"/>
      <c r="BT1563" s="890"/>
      <c r="BX1563" s="889"/>
      <c r="CB1563" s="15"/>
      <c r="CC1563" s="697"/>
      <c r="CD1563" s="1086"/>
      <c r="CE1563" s="15"/>
      <c r="CF1563" s="15"/>
      <c r="CG1563" s="936"/>
      <c r="CH1563" s="15"/>
      <c r="CI1563" s="15"/>
      <c r="CJ1563" s="15"/>
      <c r="CK1563" s="1107"/>
      <c r="CL1563" s="22"/>
      <c r="CM1563" s="22"/>
      <c r="CN1563" s="1107"/>
      <c r="CR1563" s="223"/>
      <c r="CS1563" s="952"/>
      <c r="CT1563" s="1066"/>
      <c r="CU1563" s="972"/>
      <c r="CV1563" s="983"/>
      <c r="CW1563" s="222"/>
      <c r="CX1563" s="697"/>
      <c r="DC1563" s="222"/>
      <c r="DJ1563" s="889"/>
      <c r="DM1563" s="890"/>
      <c r="DN1563" s="952"/>
      <c r="DO1563" s="75"/>
      <c r="DP1563" s="962"/>
      <c r="DQ1563" s="983"/>
      <c r="DV1563" s="889"/>
    </row>
    <row r="1564" spans="1:126" s="74" customFormat="1">
      <c r="A1564" s="15"/>
      <c r="B1564" s="15"/>
      <c r="C1564" s="15"/>
      <c r="D1564" s="15"/>
      <c r="E1564" s="6"/>
      <c r="F1564" s="6"/>
      <c r="G1564" s="6"/>
      <c r="K1564" s="222"/>
      <c r="V1564" s="1430"/>
      <c r="AA1564" s="223"/>
      <c r="AC1564" s="889"/>
      <c r="AF1564" s="890"/>
      <c r="AJ1564" s="889"/>
      <c r="AN1564" s="222"/>
      <c r="BC1564" s="223"/>
      <c r="BD1564" s="222"/>
      <c r="BH1564" s="611"/>
      <c r="BJ1564" s="15"/>
      <c r="BK1564" s="15"/>
      <c r="BO1564" s="223"/>
      <c r="BQ1564" s="889"/>
      <c r="BT1564" s="890"/>
      <c r="BX1564" s="889"/>
      <c r="CB1564" s="15"/>
      <c r="CC1564" s="697"/>
      <c r="CD1564" s="1086"/>
      <c r="CE1564" s="15"/>
      <c r="CF1564" s="15"/>
      <c r="CG1564" s="936"/>
      <c r="CH1564" s="15"/>
      <c r="CI1564" s="15"/>
      <c r="CJ1564" s="15"/>
      <c r="CK1564" s="1107"/>
      <c r="CL1564" s="22"/>
      <c r="CM1564" s="22"/>
      <c r="CN1564" s="1107"/>
      <c r="CR1564" s="223"/>
      <c r="CS1564" s="952"/>
      <c r="CT1564" s="1066"/>
      <c r="CU1564" s="972"/>
      <c r="CV1564" s="983"/>
      <c r="CW1564" s="222"/>
      <c r="CX1564" s="697"/>
      <c r="DC1564" s="222"/>
      <c r="DJ1564" s="889"/>
      <c r="DM1564" s="890"/>
      <c r="DN1564" s="952"/>
      <c r="DO1564" s="75"/>
      <c r="DP1564" s="962"/>
      <c r="DQ1564" s="983"/>
      <c r="DV1564" s="889"/>
    </row>
    <row r="1565" spans="1:126" s="74" customFormat="1">
      <c r="A1565" s="15"/>
      <c r="B1565" s="15"/>
      <c r="C1565" s="15"/>
      <c r="D1565" s="15"/>
      <c r="E1565" s="6"/>
      <c r="F1565" s="6"/>
      <c r="G1565" s="6"/>
      <c r="K1565" s="222"/>
      <c r="V1565" s="1430"/>
      <c r="AA1565" s="223"/>
      <c r="AC1565" s="889"/>
      <c r="AF1565" s="890"/>
      <c r="AJ1565" s="889"/>
      <c r="AN1565" s="222"/>
      <c r="BC1565" s="223"/>
      <c r="BD1565" s="222"/>
      <c r="BH1565" s="611"/>
      <c r="BJ1565" s="15"/>
      <c r="BK1565" s="15"/>
      <c r="BO1565" s="223"/>
      <c r="BQ1565" s="889"/>
      <c r="BT1565" s="890"/>
      <c r="BX1565" s="889"/>
      <c r="CB1565" s="15"/>
      <c r="CC1565" s="697"/>
      <c r="CD1565" s="1086"/>
      <c r="CE1565" s="15"/>
      <c r="CF1565" s="15"/>
      <c r="CG1565" s="936"/>
      <c r="CH1565" s="15"/>
      <c r="CI1565" s="15"/>
      <c r="CJ1565" s="15"/>
      <c r="CK1565" s="1107"/>
      <c r="CL1565" s="22"/>
      <c r="CM1565" s="22"/>
      <c r="CN1565" s="1107"/>
      <c r="CR1565" s="223"/>
      <c r="CS1565" s="952"/>
      <c r="CT1565" s="1066"/>
      <c r="CU1565" s="972"/>
      <c r="CV1565" s="983"/>
      <c r="CW1565" s="222"/>
      <c r="CX1565" s="697"/>
      <c r="DC1565" s="222"/>
      <c r="DJ1565" s="889"/>
      <c r="DM1565" s="890"/>
      <c r="DN1565" s="952"/>
      <c r="DO1565" s="75"/>
      <c r="DP1565" s="962"/>
      <c r="DQ1565" s="983"/>
      <c r="DV1565" s="889"/>
    </row>
    <row r="1566" spans="1:126" s="74" customFormat="1">
      <c r="A1566" s="15"/>
      <c r="B1566" s="15"/>
      <c r="C1566" s="15"/>
      <c r="D1566" s="15"/>
      <c r="E1566" s="6"/>
      <c r="F1566" s="6"/>
      <c r="G1566" s="6"/>
      <c r="K1566" s="222"/>
      <c r="V1566" s="1430"/>
      <c r="AA1566" s="223"/>
      <c r="AC1566" s="889"/>
      <c r="AF1566" s="890"/>
      <c r="AJ1566" s="889"/>
      <c r="AN1566" s="222"/>
      <c r="BC1566" s="223"/>
      <c r="BD1566" s="222"/>
      <c r="BH1566" s="611"/>
      <c r="BJ1566" s="15"/>
      <c r="BK1566" s="15"/>
      <c r="BO1566" s="223"/>
      <c r="BQ1566" s="889"/>
      <c r="BT1566" s="890"/>
      <c r="BX1566" s="889"/>
      <c r="CB1566" s="15"/>
      <c r="CC1566" s="697"/>
      <c r="CD1566" s="1086"/>
      <c r="CE1566" s="15"/>
      <c r="CF1566" s="15"/>
      <c r="CG1566" s="936"/>
      <c r="CH1566" s="15"/>
      <c r="CI1566" s="15"/>
      <c r="CJ1566" s="15"/>
      <c r="CK1566" s="1107"/>
      <c r="CL1566" s="22"/>
      <c r="CM1566" s="22"/>
      <c r="CN1566" s="1107"/>
      <c r="CR1566" s="223"/>
      <c r="CS1566" s="952"/>
      <c r="CT1566" s="1066"/>
      <c r="CU1566" s="972"/>
      <c r="CV1566" s="983"/>
      <c r="CW1566" s="222"/>
      <c r="CX1566" s="697"/>
      <c r="DC1566" s="222"/>
      <c r="DJ1566" s="889"/>
      <c r="DM1566" s="890"/>
      <c r="DN1566" s="952"/>
      <c r="DO1566" s="75"/>
      <c r="DP1566" s="962"/>
      <c r="DQ1566" s="983"/>
      <c r="DV1566" s="889"/>
    </row>
    <row r="1567" spans="1:126" s="74" customFormat="1">
      <c r="A1567" s="15"/>
      <c r="B1567" s="15"/>
      <c r="C1567" s="15"/>
      <c r="D1567" s="15"/>
      <c r="E1567" s="6"/>
      <c r="F1567" s="6"/>
      <c r="G1567" s="6"/>
      <c r="K1567" s="222"/>
      <c r="V1567" s="1430"/>
      <c r="AA1567" s="223"/>
      <c r="AC1567" s="889"/>
      <c r="AF1567" s="890"/>
      <c r="AJ1567" s="889"/>
      <c r="AN1567" s="222"/>
      <c r="BC1567" s="223"/>
      <c r="BD1567" s="222"/>
      <c r="BH1567" s="611"/>
      <c r="BJ1567" s="15"/>
      <c r="BK1567" s="15"/>
      <c r="BO1567" s="223"/>
      <c r="BQ1567" s="889"/>
      <c r="BT1567" s="890"/>
      <c r="BX1567" s="889"/>
      <c r="CB1567" s="15"/>
      <c r="CC1567" s="697"/>
      <c r="CD1567" s="1086"/>
      <c r="CE1567" s="15"/>
      <c r="CF1567" s="15"/>
      <c r="CG1567" s="936"/>
      <c r="CH1567" s="15"/>
      <c r="CI1567" s="15"/>
      <c r="CJ1567" s="15"/>
      <c r="CK1567" s="1107"/>
      <c r="CL1567" s="22"/>
      <c r="CM1567" s="22"/>
      <c r="CN1567" s="1107"/>
      <c r="CR1567" s="223"/>
      <c r="CS1567" s="952"/>
      <c r="CT1567" s="1066"/>
      <c r="CU1567" s="972"/>
      <c r="CV1567" s="983"/>
      <c r="CW1567" s="222"/>
      <c r="CX1567" s="697"/>
      <c r="DC1567" s="222"/>
      <c r="DJ1567" s="889"/>
      <c r="DM1567" s="890"/>
      <c r="DN1567" s="952"/>
      <c r="DO1567" s="75"/>
      <c r="DP1567" s="962"/>
      <c r="DQ1567" s="983"/>
      <c r="DV1567" s="889"/>
    </row>
    <row r="1568" spans="1:126" s="74" customFormat="1">
      <c r="A1568" s="15"/>
      <c r="B1568" s="15"/>
      <c r="C1568" s="15"/>
      <c r="D1568" s="15"/>
      <c r="E1568" s="6"/>
      <c r="F1568" s="6"/>
      <c r="G1568" s="6"/>
      <c r="K1568" s="222"/>
      <c r="V1568" s="1430"/>
      <c r="AA1568" s="223"/>
      <c r="AC1568" s="889"/>
      <c r="AF1568" s="890"/>
      <c r="AJ1568" s="889"/>
      <c r="AN1568" s="222"/>
      <c r="BC1568" s="223"/>
      <c r="BD1568" s="222"/>
      <c r="BH1568" s="611"/>
      <c r="BJ1568" s="15"/>
      <c r="BK1568" s="15"/>
      <c r="BO1568" s="223"/>
      <c r="BQ1568" s="889"/>
      <c r="BT1568" s="890"/>
      <c r="BX1568" s="889"/>
      <c r="CB1568" s="15"/>
      <c r="CC1568" s="697"/>
      <c r="CD1568" s="1086"/>
      <c r="CE1568" s="15"/>
      <c r="CF1568" s="15"/>
      <c r="CG1568" s="936"/>
      <c r="CH1568" s="15"/>
      <c r="CI1568" s="15"/>
      <c r="CJ1568" s="15"/>
      <c r="CK1568" s="1107"/>
      <c r="CL1568" s="22"/>
      <c r="CM1568" s="22"/>
      <c r="CN1568" s="1107"/>
      <c r="CR1568" s="223"/>
      <c r="CS1568" s="952"/>
      <c r="CT1568" s="1066"/>
      <c r="CU1568" s="972"/>
      <c r="CV1568" s="983"/>
      <c r="CW1568" s="222"/>
      <c r="CX1568" s="697"/>
      <c r="DC1568" s="222"/>
      <c r="DJ1568" s="889"/>
      <c r="DM1568" s="890"/>
      <c r="DN1568" s="952"/>
      <c r="DO1568" s="75"/>
      <c r="DP1568" s="962"/>
      <c r="DQ1568" s="983"/>
      <c r="DV1568" s="889"/>
    </row>
    <row r="1569" spans="1:126" s="74" customFormat="1">
      <c r="A1569" s="15"/>
      <c r="B1569" s="15"/>
      <c r="C1569" s="15"/>
      <c r="D1569" s="15"/>
      <c r="E1569" s="6"/>
      <c r="F1569" s="6"/>
      <c r="G1569" s="6"/>
      <c r="K1569" s="222"/>
      <c r="V1569" s="1430"/>
      <c r="AA1569" s="223"/>
      <c r="AC1569" s="889"/>
      <c r="AF1569" s="890"/>
      <c r="AJ1569" s="889"/>
      <c r="AN1569" s="222"/>
      <c r="BC1569" s="223"/>
      <c r="BD1569" s="222"/>
      <c r="BH1569" s="611"/>
      <c r="BJ1569" s="15"/>
      <c r="BK1569" s="15"/>
      <c r="BO1569" s="223"/>
      <c r="BQ1569" s="889"/>
      <c r="BT1569" s="890"/>
      <c r="BX1569" s="889"/>
      <c r="CB1569" s="15"/>
      <c r="CC1569" s="697"/>
      <c r="CD1569" s="1086"/>
      <c r="CE1569" s="15"/>
      <c r="CF1569" s="15"/>
      <c r="CG1569" s="936"/>
      <c r="CH1569" s="15"/>
      <c r="CI1569" s="15"/>
      <c r="CJ1569" s="15"/>
      <c r="CK1569" s="1107"/>
      <c r="CL1569" s="22"/>
      <c r="CM1569" s="22"/>
      <c r="CN1569" s="1107"/>
      <c r="CR1569" s="223"/>
      <c r="CS1569" s="952"/>
      <c r="CT1569" s="1066"/>
      <c r="CU1569" s="972"/>
      <c r="CV1569" s="983"/>
      <c r="CW1569" s="222"/>
      <c r="CX1569" s="697"/>
      <c r="DC1569" s="222"/>
      <c r="DJ1569" s="889"/>
      <c r="DM1569" s="890"/>
      <c r="DN1569" s="952"/>
      <c r="DO1569" s="75"/>
      <c r="DP1569" s="962"/>
      <c r="DQ1569" s="983"/>
      <c r="DV1569" s="889"/>
    </row>
    <row r="1570" spans="1:126" s="74" customFormat="1">
      <c r="A1570" s="15"/>
      <c r="B1570" s="15"/>
      <c r="C1570" s="15"/>
      <c r="D1570" s="15"/>
      <c r="E1570" s="6"/>
      <c r="F1570" s="6"/>
      <c r="G1570" s="6"/>
      <c r="K1570" s="222"/>
      <c r="V1570" s="1430"/>
      <c r="AA1570" s="223"/>
      <c r="AC1570" s="889"/>
      <c r="AF1570" s="890"/>
      <c r="AJ1570" s="889"/>
      <c r="AN1570" s="222"/>
      <c r="BC1570" s="223"/>
      <c r="BD1570" s="222"/>
      <c r="BH1570" s="611"/>
      <c r="BJ1570" s="15"/>
      <c r="BK1570" s="15"/>
      <c r="BO1570" s="223"/>
      <c r="BQ1570" s="889"/>
      <c r="BT1570" s="890"/>
      <c r="BX1570" s="889"/>
      <c r="CB1570" s="15"/>
      <c r="CC1570" s="697"/>
      <c r="CD1570" s="1086"/>
      <c r="CE1570" s="15"/>
      <c r="CF1570" s="15"/>
      <c r="CG1570" s="936"/>
      <c r="CH1570" s="15"/>
      <c r="CI1570" s="15"/>
      <c r="CJ1570" s="15"/>
      <c r="CK1570" s="1107"/>
      <c r="CL1570" s="22"/>
      <c r="CM1570" s="22"/>
      <c r="CN1570" s="1107"/>
      <c r="CR1570" s="223"/>
      <c r="CS1570" s="952"/>
      <c r="CT1570" s="1066"/>
      <c r="CU1570" s="972"/>
      <c r="CV1570" s="983"/>
      <c r="CW1570" s="222"/>
      <c r="CX1570" s="697"/>
      <c r="DC1570" s="222"/>
      <c r="DJ1570" s="889"/>
      <c r="DM1570" s="890"/>
      <c r="DN1570" s="952"/>
      <c r="DO1570" s="75"/>
      <c r="DP1570" s="962"/>
      <c r="DQ1570" s="983"/>
      <c r="DV1570" s="889"/>
    </row>
    <row r="1571" spans="1:126" s="74" customFormat="1">
      <c r="A1571" s="15"/>
      <c r="B1571" s="15"/>
      <c r="C1571" s="15"/>
      <c r="D1571" s="15"/>
      <c r="E1571" s="6"/>
      <c r="F1571" s="6"/>
      <c r="G1571" s="6"/>
      <c r="K1571" s="222"/>
      <c r="V1571" s="1430"/>
      <c r="AA1571" s="223"/>
      <c r="AC1571" s="889"/>
      <c r="AF1571" s="890"/>
      <c r="AJ1571" s="889"/>
      <c r="AN1571" s="222"/>
      <c r="BC1571" s="223"/>
      <c r="BD1571" s="222"/>
      <c r="BH1571" s="611"/>
      <c r="BJ1571" s="15"/>
      <c r="BK1571" s="15"/>
      <c r="BO1571" s="223"/>
      <c r="BQ1571" s="889"/>
      <c r="BT1571" s="890"/>
      <c r="BX1571" s="889"/>
      <c r="CB1571" s="15"/>
      <c r="CC1571" s="697"/>
      <c r="CD1571" s="1086"/>
      <c r="CE1571" s="15"/>
      <c r="CF1571" s="15"/>
      <c r="CG1571" s="936"/>
      <c r="CH1571" s="15"/>
      <c r="CI1571" s="15"/>
      <c r="CJ1571" s="15"/>
      <c r="CK1571" s="1107"/>
      <c r="CL1571" s="22"/>
      <c r="CM1571" s="22"/>
      <c r="CN1571" s="1107"/>
      <c r="CR1571" s="223"/>
      <c r="CS1571" s="952"/>
      <c r="CT1571" s="1066"/>
      <c r="CU1571" s="972"/>
      <c r="CV1571" s="983"/>
      <c r="CW1571" s="222"/>
      <c r="CX1571" s="697"/>
      <c r="DC1571" s="222"/>
      <c r="DJ1571" s="889"/>
      <c r="DM1571" s="890"/>
      <c r="DN1571" s="952"/>
      <c r="DO1571" s="75"/>
      <c r="DP1571" s="962"/>
      <c r="DQ1571" s="983"/>
      <c r="DV1571" s="889"/>
    </row>
    <row r="1572" spans="1:126" s="74" customFormat="1">
      <c r="A1572" s="15"/>
      <c r="B1572" s="15"/>
      <c r="C1572" s="15"/>
      <c r="D1572" s="15"/>
      <c r="E1572" s="6"/>
      <c r="F1572" s="6"/>
      <c r="G1572" s="6"/>
      <c r="K1572" s="222"/>
      <c r="V1572" s="1430"/>
      <c r="AA1572" s="223"/>
      <c r="AC1572" s="889"/>
      <c r="AF1572" s="890"/>
      <c r="AJ1572" s="889"/>
      <c r="AN1572" s="222"/>
      <c r="BC1572" s="223"/>
      <c r="BD1572" s="222"/>
      <c r="BH1572" s="611"/>
      <c r="BJ1572" s="15"/>
      <c r="BK1572" s="15"/>
      <c r="BO1572" s="223"/>
      <c r="BQ1572" s="889"/>
      <c r="BT1572" s="890"/>
      <c r="BX1572" s="889"/>
      <c r="CB1572" s="15"/>
      <c r="CC1572" s="697"/>
      <c r="CD1572" s="1086"/>
      <c r="CE1572" s="15"/>
      <c r="CF1572" s="15"/>
      <c r="CG1572" s="936"/>
      <c r="CH1572" s="15"/>
      <c r="CI1572" s="15"/>
      <c r="CJ1572" s="15"/>
      <c r="CK1572" s="1107"/>
      <c r="CL1572" s="22"/>
      <c r="CM1572" s="22"/>
      <c r="CN1572" s="1107"/>
      <c r="CR1572" s="223"/>
      <c r="CS1572" s="952"/>
      <c r="CT1572" s="1066"/>
      <c r="CU1572" s="972"/>
      <c r="CV1572" s="983"/>
      <c r="CW1572" s="222"/>
      <c r="CX1572" s="697"/>
      <c r="DC1572" s="222"/>
      <c r="DJ1572" s="889"/>
      <c r="DM1572" s="890"/>
      <c r="DN1572" s="952"/>
      <c r="DO1572" s="75"/>
      <c r="DP1572" s="962"/>
      <c r="DQ1572" s="983"/>
      <c r="DV1572" s="889"/>
    </row>
    <row r="1573" spans="1:126" s="74" customFormat="1">
      <c r="A1573" s="15"/>
      <c r="B1573" s="15"/>
      <c r="C1573" s="15"/>
      <c r="D1573" s="15"/>
      <c r="E1573" s="6"/>
      <c r="F1573" s="6"/>
      <c r="G1573" s="6"/>
      <c r="K1573" s="222"/>
      <c r="V1573" s="1430"/>
      <c r="AA1573" s="223"/>
      <c r="AC1573" s="889"/>
      <c r="AF1573" s="890"/>
      <c r="AJ1573" s="889"/>
      <c r="AN1573" s="222"/>
      <c r="BC1573" s="223"/>
      <c r="BD1573" s="222"/>
      <c r="BH1573" s="611"/>
      <c r="BJ1573" s="15"/>
      <c r="BK1573" s="15"/>
      <c r="BO1573" s="223"/>
      <c r="BQ1573" s="889"/>
      <c r="BT1573" s="890"/>
      <c r="BX1573" s="889"/>
      <c r="CB1573" s="15"/>
      <c r="CC1573" s="697"/>
      <c r="CD1573" s="1086"/>
      <c r="CE1573" s="15"/>
      <c r="CF1573" s="15"/>
      <c r="CG1573" s="936"/>
      <c r="CH1573" s="15"/>
      <c r="CI1573" s="15"/>
      <c r="CJ1573" s="15"/>
      <c r="CK1573" s="1107"/>
      <c r="CL1573" s="22"/>
      <c r="CM1573" s="22"/>
      <c r="CN1573" s="1107"/>
      <c r="CR1573" s="223"/>
      <c r="CS1573" s="952"/>
      <c r="CT1573" s="1066"/>
      <c r="CU1573" s="972"/>
      <c r="CV1573" s="983"/>
      <c r="CW1573" s="222"/>
      <c r="CX1573" s="697"/>
      <c r="DC1573" s="222"/>
      <c r="DJ1573" s="889"/>
      <c r="DM1573" s="890"/>
      <c r="DN1573" s="952"/>
      <c r="DO1573" s="75"/>
      <c r="DP1573" s="962"/>
      <c r="DQ1573" s="983"/>
      <c r="DV1573" s="889"/>
    </row>
    <row r="1574" spans="1:126" s="74" customFormat="1">
      <c r="A1574" s="15"/>
      <c r="B1574" s="15"/>
      <c r="C1574" s="15"/>
      <c r="D1574" s="15"/>
      <c r="E1574" s="6"/>
      <c r="F1574" s="6"/>
      <c r="G1574" s="6"/>
      <c r="K1574" s="222"/>
      <c r="V1574" s="1430"/>
      <c r="AA1574" s="223"/>
      <c r="AC1574" s="889"/>
      <c r="AF1574" s="890"/>
      <c r="AJ1574" s="889"/>
      <c r="AN1574" s="222"/>
      <c r="BC1574" s="223"/>
      <c r="BD1574" s="222"/>
      <c r="BH1574" s="611"/>
      <c r="BJ1574" s="15"/>
      <c r="BK1574" s="15"/>
      <c r="BO1574" s="223"/>
      <c r="BQ1574" s="889"/>
      <c r="BT1574" s="890"/>
      <c r="BX1574" s="889"/>
      <c r="CB1574" s="15"/>
      <c r="CC1574" s="697"/>
      <c r="CD1574" s="1086"/>
      <c r="CE1574" s="15"/>
      <c r="CF1574" s="15"/>
      <c r="CG1574" s="936"/>
      <c r="CH1574" s="15"/>
      <c r="CI1574" s="15"/>
      <c r="CJ1574" s="15"/>
      <c r="CK1574" s="1107"/>
      <c r="CL1574" s="22"/>
      <c r="CM1574" s="22"/>
      <c r="CN1574" s="1107"/>
      <c r="CR1574" s="223"/>
      <c r="CS1574" s="952"/>
      <c r="CT1574" s="1066"/>
      <c r="CU1574" s="972"/>
      <c r="CV1574" s="983"/>
      <c r="CW1574" s="222"/>
      <c r="CX1574" s="697"/>
      <c r="DC1574" s="222"/>
      <c r="DJ1574" s="889"/>
      <c r="DM1574" s="890"/>
      <c r="DN1574" s="952"/>
      <c r="DO1574" s="75"/>
      <c r="DP1574" s="962"/>
      <c r="DQ1574" s="983"/>
      <c r="DV1574" s="889"/>
    </row>
    <row r="1575" spans="1:126" s="74" customFormat="1">
      <c r="A1575" s="15"/>
      <c r="B1575" s="15"/>
      <c r="C1575" s="15"/>
      <c r="D1575" s="15"/>
      <c r="E1575" s="6"/>
      <c r="F1575" s="6"/>
      <c r="G1575" s="6"/>
      <c r="K1575" s="222"/>
      <c r="V1575" s="1430"/>
      <c r="AA1575" s="223"/>
      <c r="AC1575" s="889"/>
      <c r="AF1575" s="890"/>
      <c r="AJ1575" s="889"/>
      <c r="AN1575" s="222"/>
      <c r="BC1575" s="223"/>
      <c r="BD1575" s="222"/>
      <c r="BH1575" s="611"/>
      <c r="BJ1575" s="15"/>
      <c r="BK1575" s="15"/>
      <c r="BO1575" s="223"/>
      <c r="BQ1575" s="889"/>
      <c r="BT1575" s="890"/>
      <c r="BX1575" s="889"/>
      <c r="CB1575" s="15"/>
      <c r="CC1575" s="697"/>
      <c r="CD1575" s="1086"/>
      <c r="CE1575" s="15"/>
      <c r="CF1575" s="15"/>
      <c r="CG1575" s="936"/>
      <c r="CH1575" s="15"/>
      <c r="CI1575" s="15"/>
      <c r="CJ1575" s="15"/>
      <c r="CK1575" s="1107"/>
      <c r="CL1575" s="22"/>
      <c r="CM1575" s="22"/>
      <c r="CN1575" s="1107"/>
      <c r="CR1575" s="223"/>
      <c r="CS1575" s="952"/>
      <c r="CT1575" s="1066"/>
      <c r="CU1575" s="972"/>
      <c r="CV1575" s="983"/>
      <c r="CW1575" s="222"/>
      <c r="CX1575" s="697"/>
      <c r="DC1575" s="222"/>
      <c r="DJ1575" s="889"/>
      <c r="DM1575" s="890"/>
      <c r="DN1575" s="952"/>
      <c r="DO1575" s="75"/>
      <c r="DP1575" s="962"/>
      <c r="DQ1575" s="983"/>
      <c r="DV1575" s="889"/>
    </row>
    <row r="1576" spans="1:126" s="74" customFormat="1">
      <c r="A1576" s="15"/>
      <c r="B1576" s="15"/>
      <c r="C1576" s="15"/>
      <c r="D1576" s="15"/>
      <c r="E1576" s="6"/>
      <c r="F1576" s="6"/>
      <c r="G1576" s="6"/>
      <c r="K1576" s="222"/>
      <c r="V1576" s="1430"/>
      <c r="AA1576" s="223"/>
      <c r="AC1576" s="889"/>
      <c r="AF1576" s="890"/>
      <c r="AJ1576" s="889"/>
      <c r="AN1576" s="222"/>
      <c r="BC1576" s="223"/>
      <c r="BD1576" s="222"/>
      <c r="BH1576" s="611"/>
      <c r="BJ1576" s="15"/>
      <c r="BK1576" s="15"/>
      <c r="BO1576" s="223"/>
      <c r="BQ1576" s="889"/>
      <c r="BT1576" s="890"/>
      <c r="BX1576" s="889"/>
      <c r="CB1576" s="15"/>
      <c r="CC1576" s="697"/>
      <c r="CD1576" s="1086"/>
      <c r="CE1576" s="15"/>
      <c r="CF1576" s="15"/>
      <c r="CG1576" s="936"/>
      <c r="CH1576" s="15"/>
      <c r="CI1576" s="15"/>
      <c r="CJ1576" s="15"/>
      <c r="CK1576" s="1107"/>
      <c r="CL1576" s="22"/>
      <c r="CM1576" s="22"/>
      <c r="CN1576" s="1107"/>
      <c r="CR1576" s="223"/>
      <c r="CS1576" s="952"/>
      <c r="CT1576" s="1066"/>
      <c r="CU1576" s="972"/>
      <c r="CV1576" s="983"/>
      <c r="CW1576" s="222"/>
      <c r="CX1576" s="697"/>
      <c r="DC1576" s="222"/>
      <c r="DJ1576" s="889"/>
      <c r="DM1576" s="890"/>
      <c r="DN1576" s="952"/>
      <c r="DO1576" s="75"/>
      <c r="DP1576" s="962"/>
      <c r="DQ1576" s="983"/>
      <c r="DV1576" s="889"/>
    </row>
    <row r="1577" spans="1:126" s="74" customFormat="1">
      <c r="A1577" s="15"/>
      <c r="B1577" s="15"/>
      <c r="C1577" s="15"/>
      <c r="D1577" s="15"/>
      <c r="E1577" s="6"/>
      <c r="F1577" s="6"/>
      <c r="G1577" s="6"/>
      <c r="K1577" s="222"/>
      <c r="V1577" s="1430"/>
      <c r="AA1577" s="223"/>
      <c r="AC1577" s="889"/>
      <c r="AF1577" s="890"/>
      <c r="AJ1577" s="889"/>
      <c r="AN1577" s="222"/>
      <c r="BC1577" s="223"/>
      <c r="BD1577" s="222"/>
      <c r="BH1577" s="611"/>
      <c r="BJ1577" s="15"/>
      <c r="BK1577" s="15"/>
      <c r="BO1577" s="223"/>
      <c r="BQ1577" s="889"/>
      <c r="BT1577" s="890"/>
      <c r="BX1577" s="889"/>
      <c r="CB1577" s="15"/>
      <c r="CC1577" s="697"/>
      <c r="CD1577" s="1086"/>
      <c r="CE1577" s="15"/>
      <c r="CF1577" s="15"/>
      <c r="CG1577" s="936"/>
      <c r="CH1577" s="15"/>
      <c r="CI1577" s="15"/>
      <c r="CJ1577" s="15"/>
      <c r="CK1577" s="1107"/>
      <c r="CL1577" s="22"/>
      <c r="CM1577" s="22"/>
      <c r="CN1577" s="1107"/>
      <c r="CR1577" s="223"/>
      <c r="CS1577" s="952"/>
      <c r="CT1577" s="1066"/>
      <c r="CU1577" s="972"/>
      <c r="CV1577" s="983"/>
      <c r="CW1577" s="222"/>
      <c r="CX1577" s="697"/>
      <c r="DC1577" s="222"/>
      <c r="DJ1577" s="889"/>
      <c r="DM1577" s="890"/>
      <c r="DN1577" s="952"/>
      <c r="DO1577" s="75"/>
      <c r="DP1577" s="962"/>
      <c r="DQ1577" s="983"/>
      <c r="DV1577" s="889"/>
    </row>
    <row r="1578" spans="1:126" s="74" customFormat="1">
      <c r="A1578" s="15"/>
      <c r="B1578" s="15"/>
      <c r="C1578" s="15"/>
      <c r="D1578" s="15"/>
      <c r="E1578" s="6"/>
      <c r="F1578" s="6"/>
      <c r="G1578" s="6"/>
      <c r="K1578" s="222"/>
      <c r="V1578" s="1430"/>
      <c r="AA1578" s="223"/>
      <c r="AC1578" s="889"/>
      <c r="AF1578" s="890"/>
      <c r="AJ1578" s="889"/>
      <c r="AN1578" s="222"/>
      <c r="BC1578" s="223"/>
      <c r="BD1578" s="222"/>
      <c r="BH1578" s="611"/>
      <c r="BJ1578" s="15"/>
      <c r="BK1578" s="15"/>
      <c r="BO1578" s="223"/>
      <c r="BQ1578" s="889"/>
      <c r="BT1578" s="890"/>
      <c r="BX1578" s="889"/>
      <c r="CB1578" s="15"/>
      <c r="CC1578" s="697"/>
      <c r="CD1578" s="1086"/>
      <c r="CE1578" s="15"/>
      <c r="CF1578" s="15"/>
      <c r="CG1578" s="936"/>
      <c r="CH1578" s="15"/>
      <c r="CI1578" s="15"/>
      <c r="CJ1578" s="15"/>
      <c r="CK1578" s="1107"/>
      <c r="CL1578" s="22"/>
      <c r="CM1578" s="22"/>
      <c r="CN1578" s="1107"/>
      <c r="CR1578" s="223"/>
      <c r="CS1578" s="952"/>
      <c r="CT1578" s="1066"/>
      <c r="CU1578" s="972"/>
      <c r="CV1578" s="983"/>
      <c r="CW1578" s="222"/>
      <c r="CX1578" s="697"/>
      <c r="DC1578" s="222"/>
      <c r="DJ1578" s="889"/>
      <c r="DM1578" s="890"/>
      <c r="DN1578" s="952"/>
      <c r="DO1578" s="75"/>
      <c r="DP1578" s="962"/>
      <c r="DQ1578" s="983"/>
      <c r="DV1578" s="889"/>
    </row>
    <row r="1579" spans="1:126" s="74" customFormat="1">
      <c r="A1579" s="15"/>
      <c r="B1579" s="15"/>
      <c r="C1579" s="15"/>
      <c r="D1579" s="15"/>
      <c r="E1579" s="6"/>
      <c r="F1579" s="6"/>
      <c r="G1579" s="6"/>
      <c r="K1579" s="222"/>
      <c r="V1579" s="1430"/>
      <c r="AA1579" s="223"/>
      <c r="AC1579" s="889"/>
      <c r="AF1579" s="890"/>
      <c r="AJ1579" s="889"/>
      <c r="AN1579" s="222"/>
      <c r="BC1579" s="223"/>
      <c r="BD1579" s="222"/>
      <c r="BH1579" s="611"/>
      <c r="BJ1579" s="15"/>
      <c r="BK1579" s="15"/>
      <c r="BO1579" s="223"/>
      <c r="BQ1579" s="889"/>
      <c r="BT1579" s="890"/>
      <c r="BX1579" s="889"/>
      <c r="CB1579" s="15"/>
      <c r="CC1579" s="697"/>
      <c r="CD1579" s="1086"/>
      <c r="CE1579" s="15"/>
      <c r="CF1579" s="15"/>
      <c r="CG1579" s="936"/>
      <c r="CH1579" s="15"/>
      <c r="CI1579" s="15"/>
      <c r="CJ1579" s="15"/>
      <c r="CK1579" s="1107"/>
      <c r="CL1579" s="22"/>
      <c r="CM1579" s="22"/>
      <c r="CN1579" s="1107"/>
      <c r="CR1579" s="223"/>
      <c r="CS1579" s="952"/>
      <c r="CT1579" s="1066"/>
      <c r="CU1579" s="972"/>
      <c r="CV1579" s="983"/>
      <c r="CW1579" s="222"/>
      <c r="CX1579" s="697"/>
      <c r="DC1579" s="222"/>
      <c r="DJ1579" s="889"/>
      <c r="DM1579" s="890"/>
      <c r="DN1579" s="952"/>
      <c r="DO1579" s="75"/>
      <c r="DP1579" s="962"/>
      <c r="DQ1579" s="983"/>
      <c r="DV1579" s="889"/>
    </row>
    <row r="1580" spans="1:126" s="74" customFormat="1">
      <c r="A1580" s="15"/>
      <c r="B1580" s="15"/>
      <c r="C1580" s="15"/>
      <c r="D1580" s="15"/>
      <c r="E1580" s="6"/>
      <c r="F1580" s="6"/>
      <c r="G1580" s="6"/>
      <c r="K1580" s="222"/>
      <c r="V1580" s="1430"/>
      <c r="AA1580" s="223"/>
      <c r="AC1580" s="889"/>
      <c r="AF1580" s="890"/>
      <c r="AJ1580" s="889"/>
      <c r="AN1580" s="222"/>
      <c r="BC1580" s="223"/>
      <c r="BD1580" s="222"/>
      <c r="BH1580" s="611"/>
      <c r="BJ1580" s="15"/>
      <c r="BK1580" s="15"/>
      <c r="BO1580" s="223"/>
      <c r="BQ1580" s="889"/>
      <c r="BT1580" s="890"/>
      <c r="BX1580" s="889"/>
      <c r="CB1580" s="15"/>
      <c r="CC1580" s="697"/>
      <c r="CD1580" s="1086"/>
      <c r="CE1580" s="15"/>
      <c r="CF1580" s="15"/>
      <c r="CG1580" s="936"/>
      <c r="CH1580" s="15"/>
      <c r="CI1580" s="15"/>
      <c r="CJ1580" s="15"/>
      <c r="CK1580" s="1107"/>
      <c r="CL1580" s="22"/>
      <c r="CM1580" s="22"/>
      <c r="CN1580" s="1107"/>
      <c r="CR1580" s="223"/>
      <c r="CS1580" s="952"/>
      <c r="CT1580" s="1066"/>
      <c r="CU1580" s="972"/>
      <c r="CV1580" s="983"/>
      <c r="CW1580" s="222"/>
      <c r="CX1580" s="697"/>
      <c r="DC1580" s="222"/>
      <c r="DJ1580" s="889"/>
      <c r="DM1580" s="890"/>
      <c r="DN1580" s="952"/>
      <c r="DO1580" s="75"/>
      <c r="DP1580" s="962"/>
      <c r="DQ1580" s="983"/>
      <c r="DV1580" s="889"/>
    </row>
    <row r="1581" spans="1:126" s="74" customFormat="1">
      <c r="A1581" s="15"/>
      <c r="B1581" s="15"/>
      <c r="C1581" s="15"/>
      <c r="D1581" s="15"/>
      <c r="E1581" s="6"/>
      <c r="F1581" s="6"/>
      <c r="G1581" s="6"/>
      <c r="K1581" s="222"/>
      <c r="V1581" s="1430"/>
      <c r="AA1581" s="223"/>
      <c r="AC1581" s="889"/>
      <c r="AF1581" s="890"/>
      <c r="AJ1581" s="889"/>
      <c r="AN1581" s="222"/>
      <c r="BC1581" s="223"/>
      <c r="BD1581" s="222"/>
      <c r="BH1581" s="611"/>
      <c r="BJ1581" s="15"/>
      <c r="BK1581" s="15"/>
      <c r="BO1581" s="223"/>
      <c r="BQ1581" s="889"/>
      <c r="BT1581" s="890"/>
      <c r="BX1581" s="889"/>
      <c r="CB1581" s="15"/>
      <c r="CC1581" s="697"/>
      <c r="CD1581" s="1086"/>
      <c r="CE1581" s="15"/>
      <c r="CF1581" s="15"/>
      <c r="CG1581" s="936"/>
      <c r="CH1581" s="15"/>
      <c r="CI1581" s="15"/>
      <c r="CJ1581" s="15"/>
      <c r="CK1581" s="1107"/>
      <c r="CL1581" s="22"/>
      <c r="CM1581" s="22"/>
      <c r="CN1581" s="1107"/>
      <c r="CR1581" s="223"/>
      <c r="CS1581" s="952"/>
      <c r="CT1581" s="1066"/>
      <c r="CU1581" s="972"/>
      <c r="CV1581" s="983"/>
      <c r="CW1581" s="222"/>
      <c r="CX1581" s="697"/>
      <c r="DC1581" s="222"/>
      <c r="DJ1581" s="889"/>
      <c r="DM1581" s="890"/>
      <c r="DN1581" s="952"/>
      <c r="DO1581" s="75"/>
      <c r="DP1581" s="962"/>
      <c r="DQ1581" s="983"/>
      <c r="DV1581" s="889"/>
    </row>
    <row r="1582" spans="1:126" s="74" customFormat="1">
      <c r="A1582" s="15"/>
      <c r="B1582" s="15"/>
      <c r="C1582" s="15"/>
      <c r="D1582" s="15"/>
      <c r="E1582" s="6"/>
      <c r="F1582" s="6"/>
      <c r="G1582" s="6"/>
      <c r="K1582" s="222"/>
      <c r="V1582" s="1430"/>
      <c r="AA1582" s="223"/>
      <c r="AC1582" s="889"/>
      <c r="AF1582" s="890"/>
      <c r="AJ1582" s="889"/>
      <c r="AN1582" s="222"/>
      <c r="BC1582" s="223"/>
      <c r="BD1582" s="222"/>
      <c r="BH1582" s="611"/>
      <c r="BJ1582" s="15"/>
      <c r="BK1582" s="15"/>
      <c r="BO1582" s="223"/>
      <c r="BQ1582" s="889"/>
      <c r="BT1582" s="890"/>
      <c r="BX1582" s="889"/>
      <c r="CB1582" s="15"/>
      <c r="CC1582" s="697"/>
      <c r="CD1582" s="1086"/>
      <c r="CE1582" s="15"/>
      <c r="CF1582" s="15"/>
      <c r="CG1582" s="936"/>
      <c r="CH1582" s="15"/>
      <c r="CI1582" s="15"/>
      <c r="CJ1582" s="15"/>
      <c r="CK1582" s="1107"/>
      <c r="CL1582" s="22"/>
      <c r="CM1582" s="22"/>
      <c r="CN1582" s="1107"/>
      <c r="CR1582" s="223"/>
      <c r="CS1582" s="952"/>
      <c r="CT1582" s="1066"/>
      <c r="CU1582" s="972"/>
      <c r="CV1582" s="983"/>
      <c r="CW1582" s="222"/>
      <c r="CX1582" s="697"/>
      <c r="DC1582" s="222"/>
      <c r="DJ1582" s="889"/>
      <c r="DM1582" s="890"/>
      <c r="DN1582" s="952"/>
      <c r="DO1582" s="75"/>
      <c r="DP1582" s="962"/>
      <c r="DQ1582" s="983"/>
      <c r="DV1582" s="889"/>
    </row>
    <row r="1583" spans="1:126" s="74" customFormat="1">
      <c r="A1583" s="15"/>
      <c r="B1583" s="15"/>
      <c r="C1583" s="15"/>
      <c r="D1583" s="15"/>
      <c r="E1583" s="6"/>
      <c r="F1583" s="6"/>
      <c r="G1583" s="6"/>
      <c r="K1583" s="222"/>
      <c r="V1583" s="1430"/>
      <c r="AA1583" s="223"/>
      <c r="AC1583" s="889"/>
      <c r="AF1583" s="890"/>
      <c r="AJ1583" s="889"/>
      <c r="AN1583" s="222"/>
      <c r="BC1583" s="223"/>
      <c r="BD1583" s="222"/>
      <c r="BH1583" s="611"/>
      <c r="BJ1583" s="15"/>
      <c r="BK1583" s="15"/>
      <c r="BO1583" s="223"/>
      <c r="BQ1583" s="889"/>
      <c r="BT1583" s="890"/>
      <c r="BX1583" s="889"/>
      <c r="CB1583" s="15"/>
      <c r="CC1583" s="697"/>
      <c r="CD1583" s="1086"/>
      <c r="CE1583" s="15"/>
      <c r="CF1583" s="15"/>
      <c r="CG1583" s="936"/>
      <c r="CH1583" s="15"/>
      <c r="CI1583" s="15"/>
      <c r="CJ1583" s="15"/>
      <c r="CK1583" s="1107"/>
      <c r="CL1583" s="22"/>
      <c r="CM1583" s="22"/>
      <c r="CN1583" s="1107"/>
      <c r="CR1583" s="223"/>
      <c r="CS1583" s="952"/>
      <c r="CT1583" s="1066"/>
      <c r="CU1583" s="972"/>
      <c r="CV1583" s="983"/>
      <c r="CW1583" s="222"/>
      <c r="CX1583" s="697"/>
      <c r="DC1583" s="222"/>
      <c r="DJ1583" s="889"/>
      <c r="DM1583" s="890"/>
      <c r="DN1583" s="952"/>
      <c r="DO1583" s="75"/>
      <c r="DP1583" s="962"/>
      <c r="DQ1583" s="983"/>
      <c r="DV1583" s="889"/>
    </row>
    <row r="1584" spans="1:126" s="74" customFormat="1">
      <c r="A1584" s="15"/>
      <c r="B1584" s="15"/>
      <c r="C1584" s="15"/>
      <c r="D1584" s="15"/>
      <c r="E1584" s="6"/>
      <c r="F1584" s="6"/>
      <c r="G1584" s="6"/>
      <c r="K1584" s="222"/>
      <c r="V1584" s="1430"/>
      <c r="AA1584" s="223"/>
      <c r="AC1584" s="889"/>
      <c r="AF1584" s="890"/>
      <c r="AJ1584" s="889"/>
      <c r="AN1584" s="222"/>
      <c r="BC1584" s="223"/>
      <c r="BD1584" s="222"/>
      <c r="BH1584" s="611"/>
      <c r="BJ1584" s="15"/>
      <c r="BK1584" s="15"/>
      <c r="BO1584" s="223"/>
      <c r="BQ1584" s="889"/>
      <c r="BT1584" s="890"/>
      <c r="BX1584" s="889"/>
      <c r="CB1584" s="15"/>
      <c r="CC1584" s="697"/>
      <c r="CD1584" s="1086"/>
      <c r="CE1584" s="15"/>
      <c r="CF1584" s="15"/>
      <c r="CG1584" s="936"/>
      <c r="CH1584" s="15"/>
      <c r="CI1584" s="15"/>
      <c r="CJ1584" s="15"/>
      <c r="CK1584" s="1107"/>
      <c r="CL1584" s="22"/>
      <c r="CM1584" s="22"/>
      <c r="CN1584" s="1107"/>
      <c r="CR1584" s="223"/>
      <c r="CS1584" s="952"/>
      <c r="CT1584" s="1066"/>
      <c r="CU1584" s="972"/>
      <c r="CV1584" s="983"/>
      <c r="CW1584" s="222"/>
      <c r="CX1584" s="697"/>
      <c r="DC1584" s="222"/>
      <c r="DJ1584" s="889"/>
      <c r="DM1584" s="890"/>
      <c r="DN1584" s="952"/>
      <c r="DO1584" s="75"/>
      <c r="DP1584" s="962"/>
      <c r="DQ1584" s="983"/>
      <c r="DV1584" s="889"/>
    </row>
    <row r="1585" spans="1:126" s="74" customFormat="1">
      <c r="A1585" s="15"/>
      <c r="B1585" s="15"/>
      <c r="C1585" s="15"/>
      <c r="D1585" s="15"/>
      <c r="E1585" s="6"/>
      <c r="F1585" s="6"/>
      <c r="G1585" s="6"/>
      <c r="K1585" s="222"/>
      <c r="V1585" s="1430"/>
      <c r="AA1585" s="223"/>
      <c r="AC1585" s="889"/>
      <c r="AF1585" s="890"/>
      <c r="AJ1585" s="889"/>
      <c r="AN1585" s="222"/>
      <c r="BC1585" s="223"/>
      <c r="BD1585" s="222"/>
      <c r="BH1585" s="611"/>
      <c r="BJ1585" s="15"/>
      <c r="BK1585" s="15"/>
      <c r="BO1585" s="223"/>
      <c r="BQ1585" s="889"/>
      <c r="BT1585" s="890"/>
      <c r="BX1585" s="889"/>
      <c r="CB1585" s="15"/>
      <c r="CC1585" s="697"/>
      <c r="CD1585" s="1086"/>
      <c r="CE1585" s="15"/>
      <c r="CF1585" s="15"/>
      <c r="CG1585" s="936"/>
      <c r="CH1585" s="15"/>
      <c r="CI1585" s="15"/>
      <c r="CJ1585" s="15"/>
      <c r="CK1585" s="1107"/>
      <c r="CL1585" s="22"/>
      <c r="CM1585" s="22"/>
      <c r="CN1585" s="1107"/>
      <c r="CR1585" s="223"/>
      <c r="CS1585" s="952"/>
      <c r="CT1585" s="1066"/>
      <c r="CU1585" s="972"/>
      <c r="CV1585" s="983"/>
      <c r="CW1585" s="222"/>
      <c r="CX1585" s="697"/>
      <c r="DC1585" s="222"/>
      <c r="DJ1585" s="889"/>
      <c r="DM1585" s="890"/>
      <c r="DN1585" s="952"/>
      <c r="DO1585" s="75"/>
      <c r="DP1585" s="962"/>
      <c r="DQ1585" s="983"/>
      <c r="DV1585" s="889"/>
    </row>
    <row r="1586" spans="1:126" s="74" customFormat="1">
      <c r="A1586" s="15"/>
      <c r="B1586" s="15"/>
      <c r="C1586" s="15"/>
      <c r="D1586" s="15"/>
      <c r="E1586" s="6"/>
      <c r="F1586" s="6"/>
      <c r="G1586" s="6"/>
      <c r="K1586" s="222"/>
      <c r="V1586" s="1430"/>
      <c r="AA1586" s="223"/>
      <c r="AC1586" s="889"/>
      <c r="AF1586" s="890"/>
      <c r="AJ1586" s="889"/>
      <c r="AN1586" s="222"/>
      <c r="BC1586" s="223"/>
      <c r="BD1586" s="222"/>
      <c r="BH1586" s="611"/>
      <c r="BJ1586" s="15"/>
      <c r="BK1586" s="15"/>
      <c r="BO1586" s="223"/>
      <c r="BQ1586" s="889"/>
      <c r="BT1586" s="890"/>
      <c r="BX1586" s="889"/>
      <c r="CB1586" s="15"/>
      <c r="CC1586" s="697"/>
      <c r="CD1586" s="1086"/>
      <c r="CE1586" s="15"/>
      <c r="CF1586" s="15"/>
      <c r="CG1586" s="936"/>
      <c r="CH1586" s="15"/>
      <c r="CI1586" s="15"/>
      <c r="CJ1586" s="15"/>
      <c r="CK1586" s="1107"/>
      <c r="CL1586" s="22"/>
      <c r="CM1586" s="22"/>
      <c r="CN1586" s="1107"/>
      <c r="CR1586" s="223"/>
      <c r="CS1586" s="952"/>
      <c r="CT1586" s="1066"/>
      <c r="CU1586" s="972"/>
      <c r="CV1586" s="983"/>
      <c r="CW1586" s="222"/>
      <c r="CX1586" s="697"/>
      <c r="DC1586" s="222"/>
      <c r="DJ1586" s="889"/>
      <c r="DM1586" s="890"/>
      <c r="DN1586" s="952"/>
      <c r="DO1586" s="75"/>
      <c r="DP1586" s="962"/>
      <c r="DQ1586" s="983"/>
      <c r="DV1586" s="889"/>
    </row>
    <row r="1587" spans="1:126" s="74" customFormat="1">
      <c r="A1587" s="15"/>
      <c r="B1587" s="15"/>
      <c r="C1587" s="15"/>
      <c r="D1587" s="15"/>
      <c r="E1587" s="6"/>
      <c r="F1587" s="6"/>
      <c r="G1587" s="6"/>
      <c r="K1587" s="222"/>
      <c r="V1587" s="1430"/>
      <c r="AA1587" s="223"/>
      <c r="AC1587" s="889"/>
      <c r="AF1587" s="890"/>
      <c r="AJ1587" s="889"/>
      <c r="AN1587" s="222"/>
      <c r="BC1587" s="223"/>
      <c r="BD1587" s="222"/>
      <c r="BH1587" s="611"/>
      <c r="BJ1587" s="15"/>
      <c r="BK1587" s="15"/>
      <c r="BO1587" s="223"/>
      <c r="BQ1587" s="889"/>
      <c r="BT1587" s="890"/>
      <c r="BX1587" s="889"/>
      <c r="CB1587" s="15"/>
      <c r="CC1587" s="697"/>
      <c r="CD1587" s="1086"/>
      <c r="CE1587" s="15"/>
      <c r="CF1587" s="15"/>
      <c r="CG1587" s="936"/>
      <c r="CH1587" s="15"/>
      <c r="CI1587" s="15"/>
      <c r="CJ1587" s="15"/>
      <c r="CK1587" s="1107"/>
      <c r="CL1587" s="22"/>
      <c r="CM1587" s="22"/>
      <c r="CN1587" s="1107"/>
      <c r="CR1587" s="223"/>
      <c r="CS1587" s="952"/>
      <c r="CT1587" s="1066"/>
      <c r="CU1587" s="972"/>
      <c r="CV1587" s="983"/>
      <c r="CW1587" s="222"/>
      <c r="CX1587" s="697"/>
      <c r="DC1587" s="222"/>
      <c r="DJ1587" s="889"/>
      <c r="DM1587" s="890"/>
      <c r="DN1587" s="952"/>
      <c r="DO1587" s="75"/>
      <c r="DP1587" s="962"/>
      <c r="DQ1587" s="983"/>
      <c r="DV1587" s="889"/>
    </row>
    <row r="1588" spans="1:126" s="74" customFormat="1">
      <c r="A1588" s="15"/>
      <c r="B1588" s="15"/>
      <c r="C1588" s="15"/>
      <c r="D1588" s="15"/>
      <c r="E1588" s="6"/>
      <c r="F1588" s="6"/>
      <c r="G1588" s="6"/>
      <c r="K1588" s="222"/>
      <c r="V1588" s="1430"/>
      <c r="AA1588" s="223"/>
      <c r="AC1588" s="889"/>
      <c r="AF1588" s="890"/>
      <c r="AJ1588" s="889"/>
      <c r="AN1588" s="222"/>
      <c r="BC1588" s="223"/>
      <c r="BD1588" s="222"/>
      <c r="BH1588" s="611"/>
      <c r="BJ1588" s="15"/>
      <c r="BK1588" s="15"/>
      <c r="BO1588" s="223"/>
      <c r="BQ1588" s="889"/>
      <c r="BT1588" s="890"/>
      <c r="BX1588" s="889"/>
      <c r="CB1588" s="15"/>
      <c r="CC1588" s="697"/>
      <c r="CD1588" s="1086"/>
      <c r="CE1588" s="15"/>
      <c r="CF1588" s="15"/>
      <c r="CG1588" s="936"/>
      <c r="CH1588" s="15"/>
      <c r="CI1588" s="15"/>
      <c r="CJ1588" s="15"/>
      <c r="CK1588" s="1107"/>
      <c r="CL1588" s="22"/>
      <c r="CM1588" s="22"/>
      <c r="CN1588" s="1107"/>
      <c r="CR1588" s="223"/>
      <c r="CS1588" s="952"/>
      <c r="CT1588" s="1066"/>
      <c r="CU1588" s="972"/>
      <c r="CV1588" s="983"/>
      <c r="CW1588" s="222"/>
      <c r="CX1588" s="697"/>
      <c r="DC1588" s="222"/>
      <c r="DJ1588" s="889"/>
      <c r="DM1588" s="890"/>
      <c r="DN1588" s="952"/>
      <c r="DO1588" s="75"/>
      <c r="DP1588" s="962"/>
      <c r="DQ1588" s="983"/>
      <c r="DV1588" s="889"/>
    </row>
    <row r="1589" spans="1:126" s="74" customFormat="1">
      <c r="A1589" s="15"/>
      <c r="B1589" s="15"/>
      <c r="C1589" s="15"/>
      <c r="D1589" s="15"/>
      <c r="E1589" s="6"/>
      <c r="F1589" s="6"/>
      <c r="G1589" s="6"/>
      <c r="K1589" s="222"/>
      <c r="V1589" s="1430"/>
      <c r="AA1589" s="223"/>
      <c r="AC1589" s="889"/>
      <c r="AF1589" s="890"/>
      <c r="AJ1589" s="889"/>
      <c r="AN1589" s="222"/>
      <c r="BC1589" s="223"/>
      <c r="BD1589" s="222"/>
      <c r="BH1589" s="611"/>
      <c r="BJ1589" s="15"/>
      <c r="BK1589" s="15"/>
      <c r="BO1589" s="223"/>
      <c r="BQ1589" s="889"/>
      <c r="BT1589" s="890"/>
      <c r="BX1589" s="889"/>
      <c r="CB1589" s="15"/>
      <c r="CC1589" s="697"/>
      <c r="CD1589" s="1086"/>
      <c r="CE1589" s="15"/>
      <c r="CF1589" s="15"/>
      <c r="CG1589" s="936"/>
      <c r="CH1589" s="15"/>
      <c r="CI1589" s="15"/>
      <c r="CJ1589" s="15"/>
      <c r="CK1589" s="1107"/>
      <c r="CL1589" s="22"/>
      <c r="CM1589" s="22"/>
      <c r="CN1589" s="1107"/>
      <c r="CR1589" s="223"/>
      <c r="CS1589" s="952"/>
      <c r="CT1589" s="1066"/>
      <c r="CU1589" s="972"/>
      <c r="CV1589" s="983"/>
      <c r="CW1589" s="222"/>
      <c r="CX1589" s="697"/>
      <c r="DC1589" s="222"/>
      <c r="DJ1589" s="889"/>
      <c r="DM1589" s="890"/>
      <c r="DN1589" s="952"/>
      <c r="DO1589" s="75"/>
      <c r="DP1589" s="962"/>
      <c r="DQ1589" s="983"/>
      <c r="DV1589" s="889"/>
    </row>
    <row r="1590" spans="1:126" s="74" customFormat="1">
      <c r="A1590" s="15"/>
      <c r="B1590" s="15"/>
      <c r="C1590" s="15"/>
      <c r="D1590" s="15"/>
      <c r="E1590" s="6"/>
      <c r="F1590" s="6"/>
      <c r="G1590" s="6"/>
      <c r="K1590" s="222"/>
      <c r="V1590" s="1430"/>
      <c r="AA1590" s="223"/>
      <c r="AC1590" s="889"/>
      <c r="AF1590" s="890"/>
      <c r="AJ1590" s="889"/>
      <c r="AN1590" s="222"/>
      <c r="BC1590" s="223"/>
      <c r="BD1590" s="222"/>
      <c r="BH1590" s="611"/>
      <c r="BJ1590" s="15"/>
      <c r="BK1590" s="15"/>
      <c r="BO1590" s="223"/>
      <c r="BQ1590" s="889"/>
      <c r="BT1590" s="890"/>
      <c r="BX1590" s="889"/>
      <c r="CB1590" s="15"/>
      <c r="CC1590" s="697"/>
      <c r="CD1590" s="1086"/>
      <c r="CE1590" s="15"/>
      <c r="CF1590" s="15"/>
      <c r="CG1590" s="936"/>
      <c r="CH1590" s="15"/>
      <c r="CI1590" s="15"/>
      <c r="CJ1590" s="15"/>
      <c r="CK1590" s="1107"/>
      <c r="CL1590" s="22"/>
      <c r="CM1590" s="22"/>
      <c r="CN1590" s="1107"/>
      <c r="CR1590" s="223"/>
      <c r="CS1590" s="952"/>
      <c r="CT1590" s="1066"/>
      <c r="CU1590" s="972"/>
      <c r="CV1590" s="983"/>
      <c r="CW1590" s="222"/>
      <c r="CX1590" s="697"/>
      <c r="DC1590" s="222"/>
      <c r="DJ1590" s="889"/>
      <c r="DM1590" s="890"/>
      <c r="DN1590" s="952"/>
      <c r="DO1590" s="75"/>
      <c r="DP1590" s="962"/>
      <c r="DQ1590" s="983"/>
      <c r="DV1590" s="889"/>
    </row>
    <row r="1591" spans="1:126" s="74" customFormat="1">
      <c r="A1591" s="15"/>
      <c r="B1591" s="15"/>
      <c r="C1591" s="15"/>
      <c r="D1591" s="15"/>
      <c r="E1591" s="6"/>
      <c r="F1591" s="6"/>
      <c r="G1591" s="6"/>
      <c r="K1591" s="222"/>
      <c r="V1591" s="1430"/>
      <c r="AA1591" s="223"/>
      <c r="AC1591" s="889"/>
      <c r="AF1591" s="890"/>
      <c r="AJ1591" s="889"/>
      <c r="AN1591" s="222"/>
      <c r="BC1591" s="223"/>
      <c r="BD1591" s="222"/>
      <c r="BH1591" s="611"/>
      <c r="BJ1591" s="15"/>
      <c r="BK1591" s="15"/>
      <c r="BO1591" s="223"/>
      <c r="BQ1591" s="889"/>
      <c r="BT1591" s="890"/>
      <c r="BX1591" s="889"/>
      <c r="CB1591" s="15"/>
      <c r="CC1591" s="697"/>
      <c r="CD1591" s="1086"/>
      <c r="CE1591" s="15"/>
      <c r="CF1591" s="15"/>
      <c r="CG1591" s="936"/>
      <c r="CH1591" s="15"/>
      <c r="CI1591" s="15"/>
      <c r="CJ1591" s="15"/>
      <c r="CK1591" s="1107"/>
      <c r="CL1591" s="22"/>
      <c r="CM1591" s="22"/>
      <c r="CN1591" s="1107"/>
      <c r="CR1591" s="223"/>
      <c r="CS1591" s="952"/>
      <c r="CT1591" s="1066"/>
      <c r="CU1591" s="972"/>
      <c r="CV1591" s="983"/>
      <c r="CW1591" s="222"/>
      <c r="CX1591" s="697"/>
      <c r="DC1591" s="222"/>
      <c r="DJ1591" s="889"/>
      <c r="DM1591" s="890"/>
      <c r="DN1591" s="952"/>
      <c r="DO1591" s="75"/>
      <c r="DP1591" s="962"/>
      <c r="DQ1591" s="983"/>
      <c r="DV1591" s="889"/>
    </row>
    <row r="1592" spans="1:126" s="74" customFormat="1">
      <c r="A1592" s="15"/>
      <c r="B1592" s="15"/>
      <c r="C1592" s="15"/>
      <c r="D1592" s="15"/>
      <c r="E1592" s="6"/>
      <c r="F1592" s="6"/>
      <c r="G1592" s="6"/>
      <c r="K1592" s="222"/>
      <c r="V1592" s="1430"/>
      <c r="AA1592" s="223"/>
      <c r="AC1592" s="889"/>
      <c r="AF1592" s="890"/>
      <c r="AJ1592" s="889"/>
      <c r="AN1592" s="222"/>
      <c r="BC1592" s="223"/>
      <c r="BD1592" s="222"/>
      <c r="BH1592" s="611"/>
      <c r="BJ1592" s="15"/>
      <c r="BK1592" s="15"/>
      <c r="BO1592" s="223"/>
      <c r="BQ1592" s="889"/>
      <c r="BT1592" s="890"/>
      <c r="BX1592" s="889"/>
      <c r="CB1592" s="15"/>
      <c r="CC1592" s="697"/>
      <c r="CD1592" s="1086"/>
      <c r="CE1592" s="15"/>
      <c r="CF1592" s="15"/>
      <c r="CG1592" s="936"/>
      <c r="CH1592" s="15"/>
      <c r="CI1592" s="15"/>
      <c r="CJ1592" s="15"/>
      <c r="CK1592" s="1107"/>
      <c r="CL1592" s="22"/>
      <c r="CM1592" s="22"/>
      <c r="CN1592" s="1107"/>
      <c r="CR1592" s="223"/>
      <c r="CS1592" s="952"/>
      <c r="CT1592" s="1066"/>
      <c r="CU1592" s="972"/>
      <c r="CV1592" s="983"/>
      <c r="CW1592" s="222"/>
      <c r="CX1592" s="697"/>
      <c r="DC1592" s="222"/>
      <c r="DJ1592" s="889"/>
      <c r="DM1592" s="890"/>
      <c r="DN1592" s="952"/>
      <c r="DO1592" s="75"/>
      <c r="DP1592" s="962"/>
      <c r="DQ1592" s="983"/>
      <c r="DV1592" s="889"/>
    </row>
    <row r="1593" spans="1:126" s="74" customFormat="1">
      <c r="A1593" s="15"/>
      <c r="B1593" s="15"/>
      <c r="C1593" s="15"/>
      <c r="D1593" s="15"/>
      <c r="E1593" s="6"/>
      <c r="F1593" s="6"/>
      <c r="G1593" s="6"/>
      <c r="K1593" s="222"/>
      <c r="V1593" s="1430"/>
      <c r="AA1593" s="223"/>
      <c r="AC1593" s="889"/>
      <c r="AF1593" s="890"/>
      <c r="AJ1593" s="889"/>
      <c r="AN1593" s="222"/>
      <c r="BC1593" s="223"/>
      <c r="BD1593" s="222"/>
      <c r="BH1593" s="611"/>
      <c r="BJ1593" s="15"/>
      <c r="BK1593" s="15"/>
      <c r="BO1593" s="223"/>
      <c r="BQ1593" s="889"/>
      <c r="BT1593" s="890"/>
      <c r="BX1593" s="889"/>
      <c r="CB1593" s="15"/>
      <c r="CC1593" s="697"/>
      <c r="CD1593" s="1086"/>
      <c r="CE1593" s="15"/>
      <c r="CF1593" s="15"/>
      <c r="CG1593" s="936"/>
      <c r="CH1593" s="15"/>
      <c r="CI1593" s="15"/>
      <c r="CJ1593" s="15"/>
      <c r="CK1593" s="1107"/>
      <c r="CL1593" s="22"/>
      <c r="CM1593" s="22"/>
      <c r="CN1593" s="1107"/>
      <c r="CR1593" s="223"/>
      <c r="CS1593" s="952"/>
      <c r="CT1593" s="1066"/>
      <c r="CU1593" s="972"/>
      <c r="CV1593" s="983"/>
      <c r="CW1593" s="222"/>
      <c r="CX1593" s="697"/>
      <c r="DC1593" s="222"/>
      <c r="DJ1593" s="889"/>
      <c r="DM1593" s="890"/>
      <c r="DN1593" s="952"/>
      <c r="DO1593" s="75"/>
      <c r="DP1593" s="962"/>
      <c r="DQ1593" s="983"/>
      <c r="DV1593" s="889"/>
    </row>
    <row r="1594" spans="1:126" s="74" customFormat="1">
      <c r="A1594" s="15"/>
      <c r="B1594" s="15"/>
      <c r="C1594" s="15"/>
      <c r="D1594" s="15"/>
      <c r="E1594" s="6"/>
      <c r="F1594" s="6"/>
      <c r="G1594" s="6"/>
      <c r="K1594" s="222"/>
      <c r="V1594" s="1430"/>
      <c r="AA1594" s="223"/>
      <c r="AC1594" s="889"/>
      <c r="AF1594" s="890"/>
      <c r="AJ1594" s="889"/>
      <c r="AN1594" s="222"/>
      <c r="BC1594" s="223"/>
      <c r="BD1594" s="222"/>
      <c r="BH1594" s="611"/>
      <c r="BJ1594" s="15"/>
      <c r="BK1594" s="15"/>
      <c r="BO1594" s="223"/>
      <c r="BQ1594" s="889"/>
      <c r="BT1594" s="890"/>
      <c r="BX1594" s="889"/>
      <c r="CB1594" s="15"/>
      <c r="CC1594" s="697"/>
      <c r="CD1594" s="1086"/>
      <c r="CE1594" s="15"/>
      <c r="CF1594" s="15"/>
      <c r="CG1594" s="936"/>
      <c r="CH1594" s="15"/>
      <c r="CI1594" s="15"/>
      <c r="CJ1594" s="15"/>
      <c r="CK1594" s="1107"/>
      <c r="CL1594" s="22"/>
      <c r="CM1594" s="22"/>
      <c r="CN1594" s="1107"/>
      <c r="CR1594" s="223"/>
      <c r="CS1594" s="952"/>
      <c r="CT1594" s="1066"/>
      <c r="CU1594" s="972"/>
      <c r="CV1594" s="983"/>
      <c r="CW1594" s="222"/>
      <c r="CX1594" s="697"/>
      <c r="DC1594" s="222"/>
      <c r="DJ1594" s="889"/>
      <c r="DM1594" s="890"/>
      <c r="DN1594" s="952"/>
      <c r="DO1594" s="75"/>
      <c r="DP1594" s="962"/>
      <c r="DQ1594" s="983"/>
      <c r="DV1594" s="889"/>
    </row>
    <row r="1595" spans="1:126" s="74" customFormat="1">
      <c r="A1595" s="15"/>
      <c r="B1595" s="15"/>
      <c r="C1595" s="15"/>
      <c r="D1595" s="15"/>
      <c r="E1595" s="6"/>
      <c r="F1595" s="6"/>
      <c r="G1595" s="6"/>
      <c r="K1595" s="222"/>
      <c r="V1595" s="1430"/>
      <c r="AA1595" s="223"/>
      <c r="AC1595" s="889"/>
      <c r="AF1595" s="890"/>
      <c r="AJ1595" s="889"/>
      <c r="AN1595" s="222"/>
      <c r="BC1595" s="223"/>
      <c r="BD1595" s="222"/>
      <c r="BH1595" s="611"/>
      <c r="BJ1595" s="15"/>
      <c r="BK1595" s="15"/>
      <c r="BO1595" s="223"/>
      <c r="BQ1595" s="889"/>
      <c r="BT1595" s="890"/>
      <c r="BX1595" s="889"/>
      <c r="CB1595" s="15"/>
      <c r="CC1595" s="697"/>
      <c r="CD1595" s="1086"/>
      <c r="CE1595" s="15"/>
      <c r="CF1595" s="15"/>
      <c r="CG1595" s="936"/>
      <c r="CH1595" s="15"/>
      <c r="CI1595" s="15"/>
      <c r="CJ1595" s="15"/>
      <c r="CK1595" s="1107"/>
      <c r="CL1595" s="22"/>
      <c r="CM1595" s="22"/>
      <c r="CN1595" s="1107"/>
      <c r="CR1595" s="223"/>
      <c r="CS1595" s="952"/>
      <c r="CT1595" s="1066"/>
      <c r="CU1595" s="972"/>
      <c r="CV1595" s="983"/>
      <c r="CW1595" s="222"/>
      <c r="CX1595" s="697"/>
      <c r="DC1595" s="222"/>
      <c r="DJ1595" s="889"/>
      <c r="DM1595" s="890"/>
      <c r="DN1595" s="952"/>
      <c r="DO1595" s="75"/>
      <c r="DP1595" s="962"/>
      <c r="DQ1595" s="983"/>
      <c r="DV1595" s="889"/>
    </row>
    <row r="1596" spans="1:126" s="74" customFormat="1">
      <c r="A1596" s="15"/>
      <c r="B1596" s="15"/>
      <c r="C1596" s="15"/>
      <c r="D1596" s="15"/>
      <c r="E1596" s="6"/>
      <c r="F1596" s="6"/>
      <c r="G1596" s="6"/>
      <c r="K1596" s="222"/>
      <c r="V1596" s="1430"/>
      <c r="AA1596" s="223"/>
      <c r="AC1596" s="889"/>
      <c r="AF1596" s="890"/>
      <c r="AJ1596" s="889"/>
      <c r="AN1596" s="222"/>
      <c r="BC1596" s="223"/>
      <c r="BD1596" s="222"/>
      <c r="BH1596" s="611"/>
      <c r="BJ1596" s="15"/>
      <c r="BK1596" s="15"/>
      <c r="BO1596" s="223"/>
      <c r="BQ1596" s="889"/>
      <c r="BT1596" s="890"/>
      <c r="BX1596" s="889"/>
      <c r="CB1596" s="15"/>
      <c r="CC1596" s="697"/>
      <c r="CD1596" s="1086"/>
      <c r="CE1596" s="15"/>
      <c r="CF1596" s="15"/>
      <c r="CG1596" s="936"/>
      <c r="CH1596" s="15"/>
      <c r="CI1596" s="15"/>
      <c r="CJ1596" s="15"/>
      <c r="CK1596" s="1107"/>
      <c r="CL1596" s="22"/>
      <c r="CM1596" s="22"/>
      <c r="CN1596" s="1107"/>
      <c r="CR1596" s="223"/>
      <c r="CS1596" s="952"/>
      <c r="CT1596" s="1066"/>
      <c r="CU1596" s="972"/>
      <c r="CV1596" s="983"/>
      <c r="CW1596" s="222"/>
      <c r="CX1596" s="697"/>
      <c r="DC1596" s="222"/>
      <c r="DJ1596" s="889"/>
      <c r="DM1596" s="890"/>
      <c r="DN1596" s="952"/>
      <c r="DO1596" s="75"/>
      <c r="DP1596" s="962"/>
      <c r="DQ1596" s="983"/>
      <c r="DV1596" s="889"/>
    </row>
    <row r="1597" spans="1:126" s="74" customFormat="1">
      <c r="A1597" s="15"/>
      <c r="B1597" s="15"/>
      <c r="C1597" s="15"/>
      <c r="D1597" s="15"/>
      <c r="E1597" s="6"/>
      <c r="F1597" s="6"/>
      <c r="G1597" s="6"/>
      <c r="K1597" s="222"/>
      <c r="V1597" s="1430"/>
      <c r="AA1597" s="223"/>
      <c r="AC1597" s="889"/>
      <c r="AF1597" s="890"/>
      <c r="AJ1597" s="889"/>
      <c r="AN1597" s="222"/>
      <c r="BC1597" s="223"/>
      <c r="BD1597" s="222"/>
      <c r="BH1597" s="611"/>
      <c r="BJ1597" s="15"/>
      <c r="BK1597" s="15"/>
      <c r="BO1597" s="223"/>
      <c r="BQ1597" s="889"/>
      <c r="BT1597" s="890"/>
      <c r="BX1597" s="889"/>
      <c r="CB1597" s="15"/>
      <c r="CC1597" s="697"/>
      <c r="CD1597" s="1086"/>
      <c r="CE1597" s="15"/>
      <c r="CF1597" s="15"/>
      <c r="CG1597" s="936"/>
      <c r="CH1597" s="15"/>
      <c r="CI1597" s="15"/>
      <c r="CJ1597" s="15"/>
      <c r="CK1597" s="1107"/>
      <c r="CL1597" s="22"/>
      <c r="CM1597" s="22"/>
      <c r="CN1597" s="1107"/>
      <c r="CR1597" s="223"/>
      <c r="CS1597" s="952"/>
      <c r="CT1597" s="1066"/>
      <c r="CU1597" s="972"/>
      <c r="CV1597" s="983"/>
      <c r="CW1597" s="222"/>
      <c r="CX1597" s="697"/>
      <c r="DC1597" s="222"/>
      <c r="DJ1597" s="889"/>
      <c r="DM1597" s="890"/>
      <c r="DN1597" s="952"/>
      <c r="DO1597" s="75"/>
      <c r="DP1597" s="962"/>
      <c r="DQ1597" s="983"/>
      <c r="DV1597" s="889"/>
    </row>
    <row r="1598" spans="1:126" s="74" customFormat="1">
      <c r="A1598" s="15"/>
      <c r="B1598" s="15"/>
      <c r="C1598" s="15"/>
      <c r="D1598" s="15"/>
      <c r="E1598" s="6"/>
      <c r="F1598" s="6"/>
      <c r="G1598" s="6"/>
      <c r="K1598" s="222"/>
      <c r="V1598" s="1430"/>
      <c r="AA1598" s="223"/>
      <c r="AC1598" s="889"/>
      <c r="AF1598" s="890"/>
      <c r="AJ1598" s="889"/>
      <c r="AN1598" s="222"/>
      <c r="BC1598" s="223"/>
      <c r="BD1598" s="222"/>
      <c r="BH1598" s="611"/>
      <c r="BJ1598" s="15"/>
      <c r="BK1598" s="15"/>
      <c r="BO1598" s="223"/>
      <c r="BQ1598" s="889"/>
      <c r="BT1598" s="890"/>
      <c r="BX1598" s="889"/>
      <c r="CB1598" s="15"/>
      <c r="CC1598" s="697"/>
      <c r="CD1598" s="1086"/>
      <c r="CE1598" s="15"/>
      <c r="CF1598" s="15"/>
      <c r="CG1598" s="936"/>
      <c r="CH1598" s="15"/>
      <c r="CI1598" s="15"/>
      <c r="CJ1598" s="15"/>
      <c r="CK1598" s="1107"/>
      <c r="CL1598" s="22"/>
      <c r="CM1598" s="22"/>
      <c r="CN1598" s="1107"/>
      <c r="CR1598" s="223"/>
      <c r="CS1598" s="952"/>
      <c r="CT1598" s="1066"/>
      <c r="CU1598" s="972"/>
      <c r="CV1598" s="983"/>
      <c r="CW1598" s="222"/>
      <c r="CX1598" s="697"/>
      <c r="DC1598" s="222"/>
      <c r="DJ1598" s="889"/>
      <c r="DM1598" s="890"/>
      <c r="DN1598" s="952"/>
      <c r="DO1598" s="75"/>
      <c r="DP1598" s="962"/>
      <c r="DQ1598" s="983"/>
      <c r="DV1598" s="889"/>
    </row>
    <row r="1599" spans="1:126" s="74" customFormat="1">
      <c r="A1599" s="15"/>
      <c r="B1599" s="15"/>
      <c r="C1599" s="15"/>
      <c r="D1599" s="15"/>
      <c r="E1599" s="6"/>
      <c r="F1599" s="6"/>
      <c r="G1599" s="6"/>
      <c r="K1599" s="222"/>
      <c r="V1599" s="1430"/>
      <c r="AA1599" s="223"/>
      <c r="AC1599" s="889"/>
      <c r="AF1599" s="890"/>
      <c r="AJ1599" s="889"/>
      <c r="AN1599" s="222"/>
      <c r="BC1599" s="223"/>
      <c r="BD1599" s="222"/>
      <c r="BH1599" s="611"/>
      <c r="BJ1599" s="15"/>
      <c r="BK1599" s="15"/>
      <c r="BO1599" s="223"/>
      <c r="BQ1599" s="889"/>
      <c r="BT1599" s="890"/>
      <c r="BX1599" s="889"/>
      <c r="CB1599" s="15"/>
      <c r="CC1599" s="697"/>
      <c r="CD1599" s="1086"/>
      <c r="CE1599" s="15"/>
      <c r="CF1599" s="15"/>
      <c r="CG1599" s="936"/>
      <c r="CH1599" s="15"/>
      <c r="CI1599" s="15"/>
      <c r="CJ1599" s="15"/>
      <c r="CK1599" s="1107"/>
      <c r="CL1599" s="22"/>
      <c r="CM1599" s="22"/>
      <c r="CN1599" s="1107"/>
      <c r="CR1599" s="223"/>
      <c r="CS1599" s="952"/>
      <c r="CT1599" s="1066"/>
      <c r="CU1599" s="972"/>
      <c r="CV1599" s="983"/>
      <c r="CW1599" s="222"/>
      <c r="CX1599" s="697"/>
      <c r="DC1599" s="222"/>
      <c r="DJ1599" s="889"/>
      <c r="DM1599" s="890"/>
      <c r="DN1599" s="952"/>
      <c r="DO1599" s="75"/>
      <c r="DP1599" s="962"/>
      <c r="DQ1599" s="983"/>
      <c r="DV1599" s="889"/>
    </row>
    <row r="1600" spans="1:126" s="74" customFormat="1">
      <c r="A1600" s="15"/>
      <c r="B1600" s="15"/>
      <c r="C1600" s="15"/>
      <c r="D1600" s="15"/>
      <c r="E1600" s="6"/>
      <c r="F1600" s="6"/>
      <c r="G1600" s="6"/>
      <c r="K1600" s="222"/>
      <c r="V1600" s="1430"/>
      <c r="AA1600" s="223"/>
      <c r="AC1600" s="889"/>
      <c r="AF1600" s="890"/>
      <c r="AJ1600" s="889"/>
      <c r="AN1600" s="222"/>
      <c r="BC1600" s="223"/>
      <c r="BD1600" s="222"/>
      <c r="BH1600" s="611"/>
      <c r="BJ1600" s="15"/>
      <c r="BK1600" s="15"/>
      <c r="BO1600" s="223"/>
      <c r="BQ1600" s="889"/>
      <c r="BT1600" s="890"/>
      <c r="BX1600" s="889"/>
      <c r="CB1600" s="15"/>
      <c r="CC1600" s="697"/>
      <c r="CD1600" s="1086"/>
      <c r="CE1600" s="15"/>
      <c r="CF1600" s="15"/>
      <c r="CG1600" s="936"/>
      <c r="CH1600" s="15"/>
      <c r="CI1600" s="15"/>
      <c r="CJ1600" s="15"/>
      <c r="CK1600" s="1107"/>
      <c r="CL1600" s="22"/>
      <c r="CM1600" s="22"/>
      <c r="CN1600" s="1107"/>
      <c r="CR1600" s="223"/>
      <c r="CS1600" s="952"/>
      <c r="CT1600" s="1066"/>
      <c r="CU1600" s="972"/>
      <c r="CV1600" s="983"/>
      <c r="CW1600" s="222"/>
      <c r="CX1600" s="697"/>
      <c r="DC1600" s="222"/>
      <c r="DJ1600" s="889"/>
      <c r="DM1600" s="890"/>
      <c r="DN1600" s="952"/>
      <c r="DO1600" s="75"/>
      <c r="DP1600" s="962"/>
      <c r="DQ1600" s="983"/>
      <c r="DV1600" s="889"/>
    </row>
    <row r="1601" spans="1:126" s="74" customFormat="1">
      <c r="A1601" s="15"/>
      <c r="B1601" s="15"/>
      <c r="C1601" s="15"/>
      <c r="D1601" s="15"/>
      <c r="E1601" s="6"/>
      <c r="F1601" s="6"/>
      <c r="G1601" s="6"/>
      <c r="K1601" s="222"/>
      <c r="V1601" s="1430"/>
      <c r="AA1601" s="223"/>
      <c r="AC1601" s="889"/>
      <c r="AF1601" s="890"/>
      <c r="AJ1601" s="889"/>
      <c r="AN1601" s="222"/>
      <c r="BC1601" s="223"/>
      <c r="BD1601" s="222"/>
      <c r="BH1601" s="611"/>
      <c r="BJ1601" s="15"/>
      <c r="BK1601" s="15"/>
      <c r="BO1601" s="223"/>
      <c r="BQ1601" s="889"/>
      <c r="BT1601" s="890"/>
      <c r="BX1601" s="889"/>
      <c r="CB1601" s="15"/>
      <c r="CC1601" s="697"/>
      <c r="CD1601" s="1086"/>
      <c r="CE1601" s="15"/>
      <c r="CF1601" s="15"/>
      <c r="CG1601" s="936"/>
      <c r="CH1601" s="15"/>
      <c r="CI1601" s="15"/>
      <c r="CJ1601" s="15"/>
      <c r="CK1601" s="1107"/>
      <c r="CL1601" s="22"/>
      <c r="CM1601" s="22"/>
      <c r="CN1601" s="1107"/>
      <c r="CR1601" s="223"/>
      <c r="CS1601" s="952"/>
      <c r="CT1601" s="1066"/>
      <c r="CU1601" s="972"/>
      <c r="CV1601" s="983"/>
      <c r="CW1601" s="222"/>
      <c r="CX1601" s="697"/>
      <c r="DC1601" s="222"/>
      <c r="DJ1601" s="889"/>
      <c r="DM1601" s="890"/>
      <c r="DN1601" s="952"/>
      <c r="DO1601" s="75"/>
      <c r="DP1601" s="962"/>
      <c r="DQ1601" s="983"/>
      <c r="DV1601" s="889"/>
    </row>
    <row r="1602" spans="1:126" s="74" customFormat="1">
      <c r="A1602" s="15"/>
      <c r="B1602" s="15"/>
      <c r="C1602" s="15"/>
      <c r="D1602" s="15"/>
      <c r="E1602" s="6"/>
      <c r="F1602" s="6"/>
      <c r="G1602" s="6"/>
      <c r="K1602" s="222"/>
      <c r="V1602" s="1430"/>
      <c r="AA1602" s="223"/>
      <c r="AC1602" s="889"/>
      <c r="AF1602" s="890"/>
      <c r="AJ1602" s="889"/>
      <c r="AN1602" s="222"/>
      <c r="BC1602" s="223"/>
      <c r="BD1602" s="222"/>
      <c r="BH1602" s="611"/>
      <c r="BJ1602" s="15"/>
      <c r="BK1602" s="15"/>
      <c r="BO1602" s="223"/>
      <c r="BQ1602" s="889"/>
      <c r="BT1602" s="890"/>
      <c r="BX1602" s="889"/>
      <c r="CB1602" s="15"/>
      <c r="CC1602" s="697"/>
      <c r="CD1602" s="1086"/>
      <c r="CE1602" s="15"/>
      <c r="CF1602" s="15"/>
      <c r="CG1602" s="936"/>
      <c r="CH1602" s="15"/>
      <c r="CI1602" s="15"/>
      <c r="CJ1602" s="15"/>
      <c r="CK1602" s="1107"/>
      <c r="CL1602" s="22"/>
      <c r="CM1602" s="22"/>
      <c r="CN1602" s="1107"/>
      <c r="CR1602" s="223"/>
      <c r="CS1602" s="952"/>
      <c r="CT1602" s="1066"/>
      <c r="CU1602" s="972"/>
      <c r="CV1602" s="983"/>
      <c r="CW1602" s="222"/>
      <c r="CX1602" s="697"/>
      <c r="DC1602" s="222"/>
      <c r="DJ1602" s="889"/>
      <c r="DM1602" s="890"/>
      <c r="DN1602" s="952"/>
      <c r="DO1602" s="75"/>
      <c r="DP1602" s="962"/>
      <c r="DQ1602" s="983"/>
      <c r="DV1602" s="889"/>
    </row>
    <row r="1603" spans="1:126" s="74" customFormat="1">
      <c r="A1603" s="15"/>
      <c r="B1603" s="15"/>
      <c r="C1603" s="15"/>
      <c r="D1603" s="15"/>
      <c r="E1603" s="6"/>
      <c r="F1603" s="6"/>
      <c r="G1603" s="6"/>
      <c r="K1603" s="222"/>
      <c r="V1603" s="1430"/>
      <c r="AA1603" s="223"/>
      <c r="AC1603" s="889"/>
      <c r="AF1603" s="890"/>
      <c r="AJ1603" s="889"/>
      <c r="AN1603" s="222"/>
      <c r="BC1603" s="223"/>
      <c r="BD1603" s="222"/>
      <c r="BH1603" s="611"/>
      <c r="BJ1603" s="15"/>
      <c r="BK1603" s="15"/>
      <c r="BO1603" s="223"/>
      <c r="BQ1603" s="889"/>
      <c r="BT1603" s="890"/>
      <c r="BX1603" s="889"/>
      <c r="CB1603" s="15"/>
      <c r="CC1603" s="697"/>
      <c r="CD1603" s="1086"/>
      <c r="CE1603" s="15"/>
      <c r="CF1603" s="15"/>
      <c r="CG1603" s="936"/>
      <c r="CH1603" s="15"/>
      <c r="CI1603" s="15"/>
      <c r="CJ1603" s="15"/>
      <c r="CK1603" s="1107"/>
      <c r="CL1603" s="22"/>
      <c r="CM1603" s="22"/>
      <c r="CN1603" s="1107"/>
      <c r="CR1603" s="223"/>
      <c r="CS1603" s="952"/>
      <c r="CT1603" s="1066"/>
      <c r="CU1603" s="972"/>
      <c r="CV1603" s="983"/>
      <c r="CW1603" s="222"/>
      <c r="CX1603" s="697"/>
      <c r="DC1603" s="222"/>
      <c r="DJ1603" s="889"/>
      <c r="DM1603" s="890"/>
      <c r="DN1603" s="952"/>
      <c r="DO1603" s="75"/>
      <c r="DP1603" s="962"/>
      <c r="DQ1603" s="983"/>
      <c r="DV1603" s="889"/>
    </row>
    <row r="1604" spans="1:126" s="74" customFormat="1">
      <c r="A1604" s="15"/>
      <c r="B1604" s="15"/>
      <c r="C1604" s="15"/>
      <c r="D1604" s="15"/>
      <c r="E1604" s="6"/>
      <c r="F1604" s="6"/>
      <c r="G1604" s="6"/>
      <c r="K1604" s="222"/>
      <c r="V1604" s="1430"/>
      <c r="AA1604" s="223"/>
      <c r="AC1604" s="889"/>
      <c r="AF1604" s="890"/>
      <c r="AJ1604" s="889"/>
      <c r="AN1604" s="222"/>
      <c r="BC1604" s="223"/>
      <c r="BD1604" s="222"/>
      <c r="BH1604" s="611"/>
      <c r="BJ1604" s="15"/>
      <c r="BK1604" s="15"/>
      <c r="BO1604" s="223"/>
      <c r="BQ1604" s="889"/>
      <c r="BT1604" s="890"/>
      <c r="BX1604" s="889"/>
      <c r="CB1604" s="15"/>
      <c r="CC1604" s="697"/>
      <c r="CD1604" s="1086"/>
      <c r="CE1604" s="15"/>
      <c r="CF1604" s="15"/>
      <c r="CG1604" s="936"/>
      <c r="CH1604" s="15"/>
      <c r="CI1604" s="15"/>
      <c r="CJ1604" s="15"/>
      <c r="CK1604" s="1107"/>
      <c r="CL1604" s="22"/>
      <c r="CM1604" s="22"/>
      <c r="CN1604" s="1107"/>
      <c r="CR1604" s="223"/>
      <c r="CS1604" s="952"/>
      <c r="CT1604" s="1066"/>
      <c r="CU1604" s="972"/>
      <c r="CV1604" s="983"/>
      <c r="CW1604" s="222"/>
      <c r="CX1604" s="697"/>
      <c r="DC1604" s="222"/>
      <c r="DJ1604" s="889"/>
      <c r="DM1604" s="890"/>
      <c r="DN1604" s="952"/>
      <c r="DO1604" s="75"/>
      <c r="DP1604" s="962"/>
      <c r="DQ1604" s="983"/>
      <c r="DV1604" s="889"/>
    </row>
    <row r="1605" spans="1:126" s="74" customFormat="1">
      <c r="A1605" s="15"/>
      <c r="B1605" s="15"/>
      <c r="C1605" s="15"/>
      <c r="D1605" s="15"/>
      <c r="E1605" s="6"/>
      <c r="F1605" s="6"/>
      <c r="G1605" s="6"/>
      <c r="K1605" s="222"/>
      <c r="V1605" s="1430"/>
      <c r="AA1605" s="223"/>
      <c r="AC1605" s="889"/>
      <c r="AF1605" s="890"/>
      <c r="AJ1605" s="889"/>
      <c r="AN1605" s="222"/>
      <c r="BC1605" s="223"/>
      <c r="BD1605" s="222"/>
      <c r="BH1605" s="611"/>
      <c r="BJ1605" s="15"/>
      <c r="BK1605" s="15"/>
      <c r="BO1605" s="223"/>
      <c r="BQ1605" s="889"/>
      <c r="BT1605" s="890"/>
      <c r="BX1605" s="889"/>
      <c r="CB1605" s="15"/>
      <c r="CC1605" s="697"/>
      <c r="CD1605" s="1086"/>
      <c r="CE1605" s="15"/>
      <c r="CF1605" s="15"/>
      <c r="CG1605" s="936"/>
      <c r="CH1605" s="15"/>
      <c r="CI1605" s="15"/>
      <c r="CJ1605" s="15"/>
      <c r="CK1605" s="1107"/>
      <c r="CL1605" s="22"/>
      <c r="CM1605" s="22"/>
      <c r="CN1605" s="1107"/>
      <c r="CR1605" s="223"/>
      <c r="CS1605" s="952"/>
      <c r="CT1605" s="1066"/>
      <c r="CU1605" s="972"/>
      <c r="CV1605" s="983"/>
      <c r="CW1605" s="222"/>
      <c r="CX1605" s="697"/>
      <c r="DC1605" s="222"/>
      <c r="DJ1605" s="889"/>
      <c r="DM1605" s="890"/>
      <c r="DN1605" s="952"/>
      <c r="DO1605" s="75"/>
      <c r="DP1605" s="962"/>
      <c r="DQ1605" s="983"/>
      <c r="DV1605" s="889"/>
    </row>
    <row r="1606" spans="1:126" s="74" customFormat="1">
      <c r="A1606" s="15"/>
      <c r="B1606" s="15"/>
      <c r="C1606" s="15"/>
      <c r="D1606" s="15"/>
      <c r="E1606" s="6"/>
      <c r="F1606" s="6"/>
      <c r="G1606" s="6"/>
      <c r="K1606" s="222"/>
      <c r="V1606" s="1430"/>
      <c r="AA1606" s="223"/>
      <c r="AC1606" s="889"/>
      <c r="AF1606" s="890"/>
      <c r="AJ1606" s="889"/>
      <c r="AN1606" s="222"/>
      <c r="BC1606" s="223"/>
      <c r="BD1606" s="222"/>
      <c r="BH1606" s="611"/>
      <c r="BJ1606" s="15"/>
      <c r="BK1606" s="15"/>
      <c r="BO1606" s="223"/>
      <c r="BQ1606" s="889"/>
      <c r="BT1606" s="890"/>
      <c r="BX1606" s="889"/>
      <c r="CB1606" s="15"/>
      <c r="CC1606" s="697"/>
      <c r="CD1606" s="1086"/>
      <c r="CE1606" s="15"/>
      <c r="CF1606" s="15"/>
      <c r="CG1606" s="936"/>
      <c r="CH1606" s="15"/>
      <c r="CI1606" s="15"/>
      <c r="CJ1606" s="15"/>
      <c r="CK1606" s="1107"/>
      <c r="CL1606" s="22"/>
      <c r="CM1606" s="22"/>
      <c r="CN1606" s="1107"/>
      <c r="CR1606" s="223"/>
      <c r="CS1606" s="952"/>
      <c r="CT1606" s="1066"/>
      <c r="CU1606" s="972"/>
      <c r="CV1606" s="983"/>
      <c r="CW1606" s="222"/>
      <c r="CX1606" s="697"/>
      <c r="DC1606" s="222"/>
      <c r="DJ1606" s="889"/>
      <c r="DM1606" s="890"/>
      <c r="DN1606" s="952"/>
      <c r="DO1606" s="75"/>
      <c r="DP1606" s="962"/>
      <c r="DQ1606" s="983"/>
      <c r="DV1606" s="889"/>
    </row>
    <row r="1607" spans="1:126" s="74" customFormat="1">
      <c r="A1607" s="15"/>
      <c r="B1607" s="15"/>
      <c r="C1607" s="15"/>
      <c r="D1607" s="15"/>
      <c r="E1607" s="6"/>
      <c r="F1607" s="6"/>
      <c r="G1607" s="6"/>
      <c r="K1607" s="222"/>
      <c r="V1607" s="1430"/>
      <c r="AA1607" s="223"/>
      <c r="AC1607" s="889"/>
      <c r="AF1607" s="890"/>
      <c r="AJ1607" s="889"/>
      <c r="AN1607" s="222"/>
      <c r="BC1607" s="223"/>
      <c r="BD1607" s="222"/>
      <c r="BH1607" s="611"/>
      <c r="BJ1607" s="15"/>
      <c r="BK1607" s="15"/>
      <c r="BO1607" s="223"/>
      <c r="BQ1607" s="889"/>
      <c r="BT1607" s="890"/>
      <c r="BX1607" s="889"/>
      <c r="CB1607" s="15"/>
      <c r="CC1607" s="697"/>
      <c r="CD1607" s="1086"/>
      <c r="CE1607" s="15"/>
      <c r="CF1607" s="15"/>
      <c r="CG1607" s="936"/>
      <c r="CH1607" s="15"/>
      <c r="CI1607" s="15"/>
      <c r="CJ1607" s="15"/>
      <c r="CK1607" s="1107"/>
      <c r="CL1607" s="22"/>
      <c r="CM1607" s="22"/>
      <c r="CN1607" s="1107"/>
      <c r="CR1607" s="223"/>
      <c r="CS1607" s="952"/>
      <c r="CT1607" s="1066"/>
      <c r="CU1607" s="972"/>
      <c r="CV1607" s="983"/>
      <c r="CW1607" s="222"/>
      <c r="CX1607" s="697"/>
      <c r="DC1607" s="222"/>
      <c r="DJ1607" s="889"/>
      <c r="DM1607" s="890"/>
      <c r="DN1607" s="952"/>
      <c r="DO1607" s="75"/>
      <c r="DP1607" s="962"/>
      <c r="DQ1607" s="983"/>
      <c r="DV1607" s="889"/>
    </row>
    <row r="1608" spans="1:126" s="74" customFormat="1">
      <c r="A1608" s="15"/>
      <c r="B1608" s="15"/>
      <c r="C1608" s="15"/>
      <c r="D1608" s="15"/>
      <c r="E1608" s="6"/>
      <c r="F1608" s="6"/>
      <c r="G1608" s="6"/>
      <c r="K1608" s="222"/>
      <c r="V1608" s="1430"/>
      <c r="AA1608" s="223"/>
      <c r="AC1608" s="889"/>
      <c r="AF1608" s="890"/>
      <c r="AJ1608" s="889"/>
      <c r="AN1608" s="222"/>
      <c r="BC1608" s="223"/>
      <c r="BD1608" s="222"/>
      <c r="BH1608" s="611"/>
      <c r="BJ1608" s="15"/>
      <c r="BK1608" s="15"/>
      <c r="BO1608" s="223"/>
      <c r="BQ1608" s="889"/>
      <c r="BT1608" s="890"/>
      <c r="BX1608" s="889"/>
      <c r="CB1608" s="15"/>
      <c r="CC1608" s="697"/>
      <c r="CD1608" s="1086"/>
      <c r="CE1608" s="15"/>
      <c r="CF1608" s="15"/>
      <c r="CG1608" s="936"/>
      <c r="CH1608" s="15"/>
      <c r="CI1608" s="15"/>
      <c r="CJ1608" s="15"/>
      <c r="CK1608" s="1107"/>
      <c r="CL1608" s="22"/>
      <c r="CM1608" s="22"/>
      <c r="CN1608" s="1107"/>
      <c r="CR1608" s="223"/>
      <c r="CS1608" s="952"/>
      <c r="CT1608" s="1066"/>
      <c r="CU1608" s="972"/>
      <c r="CV1608" s="983"/>
      <c r="CW1608" s="222"/>
      <c r="CX1608" s="697"/>
      <c r="DC1608" s="222"/>
      <c r="DJ1608" s="889"/>
      <c r="DM1608" s="890"/>
      <c r="DN1608" s="952"/>
      <c r="DO1608" s="75"/>
      <c r="DP1608" s="962"/>
      <c r="DQ1608" s="983"/>
      <c r="DV1608" s="889"/>
    </row>
    <row r="1609" spans="1:126" s="74" customFormat="1">
      <c r="A1609" s="15"/>
      <c r="B1609" s="15"/>
      <c r="C1609" s="15"/>
      <c r="D1609" s="15"/>
      <c r="E1609" s="6"/>
      <c r="F1609" s="6"/>
      <c r="G1609" s="6"/>
      <c r="K1609" s="222"/>
      <c r="V1609" s="1430"/>
      <c r="AA1609" s="223"/>
      <c r="AC1609" s="889"/>
      <c r="AF1609" s="890"/>
      <c r="AJ1609" s="889"/>
      <c r="AN1609" s="222"/>
      <c r="BC1609" s="223"/>
      <c r="BD1609" s="222"/>
      <c r="BH1609" s="611"/>
      <c r="BJ1609" s="15"/>
      <c r="BK1609" s="15"/>
      <c r="BO1609" s="223"/>
      <c r="BQ1609" s="889"/>
      <c r="BT1609" s="890"/>
      <c r="BX1609" s="889"/>
      <c r="CB1609" s="15"/>
      <c r="CC1609" s="697"/>
      <c r="CD1609" s="1086"/>
      <c r="CE1609" s="15"/>
      <c r="CF1609" s="15"/>
      <c r="CG1609" s="936"/>
      <c r="CH1609" s="15"/>
      <c r="CI1609" s="15"/>
      <c r="CJ1609" s="15"/>
      <c r="CK1609" s="1107"/>
      <c r="CL1609" s="22"/>
      <c r="CM1609" s="22"/>
      <c r="CN1609" s="1107"/>
      <c r="CR1609" s="223"/>
      <c r="CS1609" s="952"/>
      <c r="CT1609" s="1066"/>
      <c r="CU1609" s="972"/>
      <c r="CV1609" s="983"/>
      <c r="CW1609" s="222"/>
      <c r="CX1609" s="697"/>
      <c r="DC1609" s="222"/>
      <c r="DJ1609" s="889"/>
      <c r="DM1609" s="890"/>
      <c r="DN1609" s="952"/>
      <c r="DO1609" s="75"/>
      <c r="DP1609" s="962"/>
      <c r="DQ1609" s="983"/>
      <c r="DV1609" s="889"/>
    </row>
    <row r="1610" spans="1:126" s="74" customFormat="1">
      <c r="A1610" s="15"/>
      <c r="B1610" s="15"/>
      <c r="C1610" s="15"/>
      <c r="D1610" s="15"/>
      <c r="E1610" s="6"/>
      <c r="F1610" s="6"/>
      <c r="G1610" s="6"/>
      <c r="K1610" s="222"/>
      <c r="V1610" s="1430"/>
      <c r="AA1610" s="223"/>
      <c r="AC1610" s="889"/>
      <c r="AF1610" s="890"/>
      <c r="AJ1610" s="889"/>
      <c r="AN1610" s="222"/>
      <c r="BC1610" s="223"/>
      <c r="BD1610" s="222"/>
      <c r="BH1610" s="611"/>
      <c r="BJ1610" s="15"/>
      <c r="BK1610" s="15"/>
      <c r="BO1610" s="223"/>
      <c r="BQ1610" s="889"/>
      <c r="BT1610" s="890"/>
      <c r="BX1610" s="889"/>
      <c r="CB1610" s="15"/>
      <c r="CC1610" s="697"/>
      <c r="CD1610" s="1086"/>
      <c r="CE1610" s="15"/>
      <c r="CF1610" s="15"/>
      <c r="CG1610" s="936"/>
      <c r="CH1610" s="15"/>
      <c r="CI1610" s="15"/>
      <c r="CJ1610" s="15"/>
      <c r="CK1610" s="1107"/>
      <c r="CL1610" s="22"/>
      <c r="CM1610" s="22"/>
      <c r="CN1610" s="1107"/>
      <c r="CR1610" s="223"/>
      <c r="CS1610" s="952"/>
      <c r="CT1610" s="1066"/>
      <c r="CU1610" s="972"/>
      <c r="CV1610" s="983"/>
      <c r="CW1610" s="222"/>
      <c r="CX1610" s="697"/>
      <c r="DC1610" s="222"/>
      <c r="DJ1610" s="889"/>
      <c r="DM1610" s="890"/>
      <c r="DN1610" s="952"/>
      <c r="DO1610" s="75"/>
      <c r="DP1610" s="962"/>
      <c r="DQ1610" s="983"/>
      <c r="DV1610" s="889"/>
    </row>
    <row r="1611" spans="1:126" s="74" customFormat="1">
      <c r="A1611" s="15"/>
      <c r="B1611" s="15"/>
      <c r="C1611" s="15"/>
      <c r="D1611" s="15"/>
      <c r="E1611" s="6"/>
      <c r="F1611" s="6"/>
      <c r="G1611" s="6"/>
      <c r="K1611" s="222"/>
      <c r="V1611" s="1430"/>
      <c r="AA1611" s="223"/>
      <c r="AC1611" s="889"/>
      <c r="AF1611" s="890"/>
      <c r="AJ1611" s="889"/>
      <c r="AN1611" s="222"/>
      <c r="BC1611" s="223"/>
      <c r="BD1611" s="222"/>
      <c r="BH1611" s="611"/>
      <c r="BJ1611" s="15"/>
      <c r="BK1611" s="15"/>
      <c r="BO1611" s="223"/>
      <c r="BQ1611" s="889"/>
      <c r="BT1611" s="890"/>
      <c r="BX1611" s="889"/>
      <c r="CB1611" s="15"/>
      <c r="CC1611" s="697"/>
      <c r="CD1611" s="1086"/>
      <c r="CE1611" s="15"/>
      <c r="CF1611" s="15"/>
      <c r="CG1611" s="936"/>
      <c r="CH1611" s="15"/>
      <c r="CI1611" s="15"/>
      <c r="CJ1611" s="15"/>
      <c r="CK1611" s="1107"/>
      <c r="CL1611" s="22"/>
      <c r="CM1611" s="22"/>
      <c r="CN1611" s="1107"/>
      <c r="CR1611" s="223"/>
      <c r="CS1611" s="952"/>
      <c r="CT1611" s="1066"/>
      <c r="CU1611" s="972"/>
      <c r="CV1611" s="983"/>
      <c r="CW1611" s="222"/>
      <c r="CX1611" s="697"/>
      <c r="DC1611" s="222"/>
      <c r="DJ1611" s="889"/>
      <c r="DM1611" s="890"/>
      <c r="DN1611" s="952"/>
      <c r="DO1611" s="75"/>
      <c r="DP1611" s="962"/>
      <c r="DQ1611" s="983"/>
      <c r="DV1611" s="889"/>
    </row>
    <row r="1612" spans="1:126" s="74" customFormat="1">
      <c r="A1612" s="15"/>
      <c r="B1612" s="15"/>
      <c r="C1612" s="15"/>
      <c r="D1612" s="15"/>
      <c r="E1612" s="6"/>
      <c r="F1612" s="6"/>
      <c r="G1612" s="6"/>
      <c r="K1612" s="222"/>
      <c r="V1612" s="1430"/>
      <c r="AA1612" s="223"/>
      <c r="AC1612" s="889"/>
      <c r="AF1612" s="890"/>
      <c r="AJ1612" s="889"/>
      <c r="AN1612" s="222"/>
      <c r="BC1612" s="223"/>
      <c r="BD1612" s="222"/>
      <c r="BH1612" s="611"/>
      <c r="BJ1612" s="15"/>
      <c r="BK1612" s="15"/>
      <c r="BO1612" s="223"/>
      <c r="BQ1612" s="889"/>
      <c r="BT1612" s="890"/>
      <c r="BX1612" s="889"/>
      <c r="CB1612" s="15"/>
      <c r="CC1612" s="697"/>
      <c r="CD1612" s="1086"/>
      <c r="CE1612" s="15"/>
      <c r="CF1612" s="15"/>
      <c r="CG1612" s="936"/>
      <c r="CH1612" s="15"/>
      <c r="CI1612" s="15"/>
      <c r="CJ1612" s="15"/>
      <c r="CK1612" s="1107"/>
      <c r="CL1612" s="22"/>
      <c r="CM1612" s="22"/>
      <c r="CN1612" s="1107"/>
      <c r="CR1612" s="223"/>
      <c r="CS1612" s="952"/>
      <c r="CT1612" s="1066"/>
      <c r="CU1612" s="972"/>
      <c r="CV1612" s="983"/>
      <c r="CW1612" s="222"/>
      <c r="CX1612" s="697"/>
      <c r="DC1612" s="222"/>
      <c r="DJ1612" s="889"/>
      <c r="DM1612" s="890"/>
      <c r="DN1612" s="952"/>
      <c r="DO1612" s="75"/>
      <c r="DP1612" s="962"/>
      <c r="DQ1612" s="983"/>
      <c r="DV1612" s="889"/>
    </row>
    <row r="1613" spans="1:126" s="74" customFormat="1">
      <c r="A1613" s="15"/>
      <c r="B1613" s="15"/>
      <c r="C1613" s="15"/>
      <c r="D1613" s="15"/>
      <c r="E1613" s="6"/>
      <c r="F1613" s="6"/>
      <c r="G1613" s="6"/>
      <c r="K1613" s="222"/>
      <c r="V1613" s="1430"/>
      <c r="AA1613" s="223"/>
      <c r="AC1613" s="889"/>
      <c r="AF1613" s="890"/>
      <c r="AJ1613" s="889"/>
      <c r="AN1613" s="222"/>
      <c r="BC1613" s="223"/>
      <c r="BD1613" s="222"/>
      <c r="BH1613" s="611"/>
      <c r="BJ1613" s="15"/>
      <c r="BK1613" s="15"/>
      <c r="BO1613" s="223"/>
      <c r="BQ1613" s="889"/>
      <c r="BT1613" s="890"/>
      <c r="BX1613" s="889"/>
      <c r="CB1613" s="15"/>
      <c r="CC1613" s="697"/>
      <c r="CD1613" s="1086"/>
      <c r="CE1613" s="15"/>
      <c r="CF1613" s="15"/>
      <c r="CG1613" s="936"/>
      <c r="CH1613" s="15"/>
      <c r="CI1613" s="15"/>
      <c r="CJ1613" s="15"/>
      <c r="CK1613" s="1107"/>
      <c r="CL1613" s="22"/>
      <c r="CM1613" s="22"/>
      <c r="CN1613" s="1107"/>
      <c r="CR1613" s="223"/>
      <c r="CS1613" s="952"/>
      <c r="CT1613" s="1066"/>
      <c r="CU1613" s="972"/>
      <c r="CV1613" s="983"/>
      <c r="CW1613" s="222"/>
      <c r="CX1613" s="697"/>
      <c r="DC1613" s="222"/>
      <c r="DJ1613" s="889"/>
      <c r="DM1613" s="890"/>
      <c r="DN1613" s="952"/>
      <c r="DO1613" s="75"/>
      <c r="DP1613" s="962"/>
      <c r="DQ1613" s="983"/>
      <c r="DV1613" s="889"/>
    </row>
    <row r="1614" spans="1:126" s="74" customFormat="1">
      <c r="A1614" s="15"/>
      <c r="B1614" s="15"/>
      <c r="C1614" s="15"/>
      <c r="D1614" s="15"/>
      <c r="E1614" s="6"/>
      <c r="F1614" s="6"/>
      <c r="G1614" s="6"/>
      <c r="K1614" s="222"/>
      <c r="V1614" s="1430"/>
      <c r="AA1614" s="223"/>
      <c r="AC1614" s="889"/>
      <c r="AF1614" s="890"/>
      <c r="AJ1614" s="889"/>
      <c r="AN1614" s="222"/>
      <c r="BC1614" s="223"/>
      <c r="BD1614" s="222"/>
      <c r="BH1614" s="611"/>
      <c r="BJ1614" s="15"/>
      <c r="BK1614" s="15"/>
      <c r="BO1614" s="223"/>
      <c r="BQ1614" s="889"/>
      <c r="BT1614" s="890"/>
      <c r="BX1614" s="889"/>
      <c r="CB1614" s="15"/>
      <c r="CC1614" s="697"/>
      <c r="CD1614" s="1086"/>
      <c r="CE1614" s="15"/>
      <c r="CF1614" s="15"/>
      <c r="CG1614" s="936"/>
      <c r="CH1614" s="15"/>
      <c r="CI1614" s="15"/>
      <c r="CJ1614" s="15"/>
      <c r="CK1614" s="1107"/>
      <c r="CL1614" s="22"/>
      <c r="CM1614" s="22"/>
      <c r="CN1614" s="1107"/>
      <c r="CR1614" s="223"/>
      <c r="CS1614" s="952"/>
      <c r="CT1614" s="1066"/>
      <c r="CU1614" s="972"/>
      <c r="CV1614" s="983"/>
      <c r="CW1614" s="222"/>
      <c r="CX1614" s="697"/>
      <c r="DC1614" s="222"/>
      <c r="DJ1614" s="889"/>
      <c r="DM1614" s="890"/>
      <c r="DN1614" s="952"/>
      <c r="DO1614" s="75"/>
      <c r="DP1614" s="962"/>
      <c r="DQ1614" s="983"/>
      <c r="DV1614" s="889"/>
    </row>
    <row r="1615" spans="1:126" s="74" customFormat="1">
      <c r="A1615" s="15"/>
      <c r="B1615" s="15"/>
      <c r="C1615" s="15"/>
      <c r="D1615" s="15"/>
      <c r="E1615" s="6"/>
      <c r="F1615" s="6"/>
      <c r="G1615" s="6"/>
      <c r="K1615" s="222"/>
      <c r="V1615" s="1430"/>
      <c r="AA1615" s="223"/>
      <c r="AC1615" s="889"/>
      <c r="AF1615" s="890"/>
      <c r="AJ1615" s="889"/>
      <c r="AN1615" s="222"/>
      <c r="BC1615" s="223"/>
      <c r="BD1615" s="222"/>
      <c r="BH1615" s="611"/>
      <c r="BJ1615" s="15"/>
      <c r="BK1615" s="15"/>
      <c r="BO1615" s="223"/>
      <c r="BQ1615" s="889"/>
      <c r="BT1615" s="890"/>
      <c r="BX1615" s="889"/>
      <c r="CB1615" s="15"/>
      <c r="CC1615" s="697"/>
      <c r="CD1615" s="1086"/>
      <c r="CE1615" s="15"/>
      <c r="CF1615" s="15"/>
      <c r="CG1615" s="936"/>
      <c r="CH1615" s="15"/>
      <c r="CI1615" s="15"/>
      <c r="CJ1615" s="15"/>
      <c r="CK1615" s="1107"/>
      <c r="CL1615" s="22"/>
      <c r="CM1615" s="22"/>
      <c r="CN1615" s="1107"/>
      <c r="CR1615" s="223"/>
      <c r="CS1615" s="952"/>
      <c r="CT1615" s="1066"/>
      <c r="CU1615" s="972"/>
      <c r="CV1615" s="983"/>
      <c r="CW1615" s="222"/>
      <c r="CX1615" s="697"/>
      <c r="DC1615" s="222"/>
      <c r="DJ1615" s="889"/>
      <c r="DM1615" s="890"/>
      <c r="DN1615" s="952"/>
      <c r="DO1615" s="75"/>
      <c r="DP1615" s="962"/>
      <c r="DQ1615" s="983"/>
      <c r="DV1615" s="889"/>
    </row>
    <row r="1616" spans="1:126" s="74" customFormat="1">
      <c r="A1616" s="15"/>
      <c r="B1616" s="15"/>
      <c r="C1616" s="15"/>
      <c r="D1616" s="15"/>
      <c r="E1616" s="6"/>
      <c r="F1616" s="6"/>
      <c r="G1616" s="6"/>
      <c r="K1616" s="222"/>
      <c r="V1616" s="1430"/>
      <c r="AA1616" s="223"/>
      <c r="AC1616" s="889"/>
      <c r="AF1616" s="890"/>
      <c r="AJ1616" s="889"/>
      <c r="AN1616" s="222"/>
      <c r="BC1616" s="223"/>
      <c r="BD1616" s="222"/>
      <c r="BH1616" s="611"/>
      <c r="BJ1616" s="15"/>
      <c r="BK1616" s="15"/>
      <c r="BO1616" s="223"/>
      <c r="BQ1616" s="889"/>
      <c r="BT1616" s="890"/>
      <c r="BX1616" s="889"/>
      <c r="CB1616" s="15"/>
      <c r="CC1616" s="697"/>
      <c r="CD1616" s="1086"/>
      <c r="CE1616" s="15"/>
      <c r="CF1616" s="15"/>
      <c r="CG1616" s="936"/>
      <c r="CH1616" s="15"/>
      <c r="CI1616" s="15"/>
      <c r="CJ1616" s="15"/>
      <c r="CK1616" s="1107"/>
      <c r="CL1616" s="22"/>
      <c r="CM1616" s="22"/>
      <c r="CN1616" s="1107"/>
      <c r="CR1616" s="223"/>
      <c r="CS1616" s="952"/>
      <c r="CT1616" s="1066"/>
      <c r="CU1616" s="972"/>
      <c r="CV1616" s="983"/>
      <c r="CW1616" s="222"/>
      <c r="CX1616" s="697"/>
      <c r="DC1616" s="222"/>
      <c r="DJ1616" s="889"/>
      <c r="DM1616" s="890"/>
      <c r="DN1616" s="952"/>
      <c r="DO1616" s="75"/>
      <c r="DP1616" s="962"/>
      <c r="DQ1616" s="983"/>
      <c r="DV1616" s="889"/>
    </row>
    <row r="1617" spans="1:126" s="74" customFormat="1">
      <c r="A1617" s="15"/>
      <c r="B1617" s="15"/>
      <c r="C1617" s="15"/>
      <c r="D1617" s="15"/>
      <c r="E1617" s="6"/>
      <c r="F1617" s="6"/>
      <c r="G1617" s="6"/>
      <c r="K1617" s="222"/>
      <c r="V1617" s="1430"/>
      <c r="AA1617" s="223"/>
      <c r="AC1617" s="889"/>
      <c r="AF1617" s="890"/>
      <c r="AJ1617" s="889"/>
      <c r="AN1617" s="222"/>
      <c r="BC1617" s="223"/>
      <c r="BD1617" s="222"/>
      <c r="BH1617" s="611"/>
      <c r="BJ1617" s="15"/>
      <c r="BK1617" s="15"/>
      <c r="BO1617" s="223"/>
      <c r="BQ1617" s="889"/>
      <c r="BT1617" s="890"/>
      <c r="BX1617" s="889"/>
      <c r="CB1617" s="15"/>
      <c r="CC1617" s="697"/>
      <c r="CD1617" s="1086"/>
      <c r="CE1617" s="15"/>
      <c r="CF1617" s="15"/>
      <c r="CG1617" s="936"/>
      <c r="CH1617" s="15"/>
      <c r="CI1617" s="15"/>
      <c r="CJ1617" s="15"/>
      <c r="CK1617" s="1107"/>
      <c r="CL1617" s="22"/>
      <c r="CM1617" s="22"/>
      <c r="CN1617" s="1107"/>
      <c r="CR1617" s="223"/>
      <c r="CS1617" s="952"/>
      <c r="CT1617" s="1066"/>
      <c r="CU1617" s="972"/>
      <c r="CV1617" s="983"/>
      <c r="CW1617" s="222"/>
      <c r="CX1617" s="697"/>
      <c r="DC1617" s="222"/>
      <c r="DJ1617" s="889"/>
      <c r="DM1617" s="890"/>
      <c r="DN1617" s="952"/>
      <c r="DO1617" s="75"/>
      <c r="DP1617" s="962"/>
      <c r="DQ1617" s="983"/>
      <c r="DV1617" s="889"/>
    </row>
    <row r="1618" spans="1:126" s="74" customFormat="1">
      <c r="A1618" s="15"/>
      <c r="B1618" s="15"/>
      <c r="C1618" s="15"/>
      <c r="D1618" s="15"/>
      <c r="E1618" s="6"/>
      <c r="F1618" s="6"/>
      <c r="G1618" s="6"/>
      <c r="K1618" s="222"/>
      <c r="V1618" s="1430"/>
      <c r="AA1618" s="223"/>
      <c r="AC1618" s="889"/>
      <c r="AF1618" s="890"/>
      <c r="AJ1618" s="889"/>
      <c r="AN1618" s="222"/>
      <c r="BC1618" s="223"/>
      <c r="BD1618" s="222"/>
      <c r="BH1618" s="611"/>
      <c r="BJ1618" s="15"/>
      <c r="BK1618" s="15"/>
      <c r="BO1618" s="223"/>
      <c r="BQ1618" s="889"/>
      <c r="BT1618" s="890"/>
      <c r="BX1618" s="889"/>
      <c r="CB1618" s="15"/>
      <c r="CC1618" s="697"/>
      <c r="CD1618" s="1086"/>
      <c r="CE1618" s="15"/>
      <c r="CF1618" s="15"/>
      <c r="CG1618" s="936"/>
      <c r="CH1618" s="15"/>
      <c r="CI1618" s="15"/>
      <c r="CJ1618" s="15"/>
      <c r="CK1618" s="1107"/>
      <c r="CL1618" s="22"/>
      <c r="CM1618" s="22"/>
      <c r="CN1618" s="1107"/>
      <c r="CR1618" s="223"/>
      <c r="CS1618" s="952"/>
      <c r="CT1618" s="1066"/>
      <c r="CU1618" s="972"/>
      <c r="CV1618" s="983"/>
      <c r="CW1618" s="222"/>
      <c r="CX1618" s="697"/>
      <c r="DC1618" s="222"/>
      <c r="DJ1618" s="889"/>
      <c r="DM1618" s="890"/>
      <c r="DN1618" s="952"/>
      <c r="DO1618" s="75"/>
      <c r="DP1618" s="962"/>
      <c r="DQ1618" s="983"/>
      <c r="DV1618" s="889"/>
    </row>
    <row r="1619" spans="1:126" s="74" customFormat="1">
      <c r="A1619" s="15"/>
      <c r="B1619" s="15"/>
      <c r="C1619" s="15"/>
      <c r="D1619" s="15"/>
      <c r="E1619" s="6"/>
      <c r="F1619" s="6"/>
      <c r="G1619" s="6"/>
      <c r="K1619" s="222"/>
      <c r="V1619" s="1430"/>
      <c r="AA1619" s="223"/>
      <c r="AC1619" s="889"/>
      <c r="AF1619" s="890"/>
      <c r="AJ1619" s="889"/>
      <c r="AN1619" s="222"/>
      <c r="BC1619" s="223"/>
      <c r="BD1619" s="222"/>
      <c r="BH1619" s="611"/>
      <c r="BJ1619" s="15"/>
      <c r="BK1619" s="15"/>
      <c r="BO1619" s="223"/>
      <c r="BQ1619" s="889"/>
      <c r="BT1619" s="890"/>
      <c r="BX1619" s="889"/>
      <c r="CB1619" s="15"/>
      <c r="CC1619" s="697"/>
      <c r="CD1619" s="1086"/>
      <c r="CE1619" s="15"/>
      <c r="CF1619" s="15"/>
      <c r="CG1619" s="936"/>
      <c r="CH1619" s="15"/>
      <c r="CI1619" s="15"/>
      <c r="CJ1619" s="15"/>
      <c r="CK1619" s="1107"/>
      <c r="CL1619" s="22"/>
      <c r="CM1619" s="22"/>
      <c r="CN1619" s="1107"/>
      <c r="CR1619" s="223"/>
      <c r="CS1619" s="952"/>
      <c r="CT1619" s="1066"/>
      <c r="CU1619" s="972"/>
      <c r="CV1619" s="983"/>
      <c r="CW1619" s="222"/>
      <c r="CX1619" s="697"/>
      <c r="DC1619" s="222"/>
      <c r="DJ1619" s="889"/>
      <c r="DM1619" s="890"/>
      <c r="DN1619" s="952"/>
      <c r="DO1619" s="75"/>
      <c r="DP1619" s="962"/>
      <c r="DQ1619" s="983"/>
      <c r="DV1619" s="889"/>
    </row>
    <row r="1620" spans="1:126" s="74" customFormat="1">
      <c r="A1620" s="15"/>
      <c r="B1620" s="15"/>
      <c r="C1620" s="15"/>
      <c r="D1620" s="15"/>
      <c r="E1620" s="6"/>
      <c r="F1620" s="6"/>
      <c r="G1620" s="6"/>
      <c r="K1620" s="222"/>
      <c r="V1620" s="1430"/>
      <c r="AA1620" s="223"/>
      <c r="AC1620" s="889"/>
      <c r="AF1620" s="890"/>
      <c r="AJ1620" s="889"/>
      <c r="AN1620" s="222"/>
      <c r="BC1620" s="223"/>
      <c r="BD1620" s="222"/>
      <c r="BH1620" s="611"/>
      <c r="BJ1620" s="15"/>
      <c r="BK1620" s="15"/>
      <c r="BO1620" s="223"/>
      <c r="BQ1620" s="889"/>
      <c r="BT1620" s="890"/>
      <c r="BX1620" s="889"/>
      <c r="CB1620" s="15"/>
      <c r="CC1620" s="697"/>
      <c r="CD1620" s="1086"/>
      <c r="CE1620" s="15"/>
      <c r="CF1620" s="15"/>
      <c r="CG1620" s="936"/>
      <c r="CH1620" s="15"/>
      <c r="CI1620" s="15"/>
      <c r="CJ1620" s="15"/>
      <c r="CK1620" s="1107"/>
      <c r="CL1620" s="22"/>
      <c r="CM1620" s="22"/>
      <c r="CN1620" s="1107"/>
      <c r="CR1620" s="223"/>
      <c r="CS1620" s="952"/>
      <c r="CT1620" s="1066"/>
      <c r="CU1620" s="972"/>
      <c r="CV1620" s="983"/>
      <c r="CW1620" s="222"/>
      <c r="CX1620" s="697"/>
      <c r="DC1620" s="222"/>
      <c r="DJ1620" s="889"/>
      <c r="DM1620" s="890"/>
      <c r="DN1620" s="952"/>
      <c r="DO1620" s="75"/>
      <c r="DP1620" s="962"/>
      <c r="DQ1620" s="983"/>
      <c r="DV1620" s="889"/>
    </row>
    <row r="1621" spans="1:126" s="74" customFormat="1">
      <c r="A1621" s="15"/>
      <c r="B1621" s="15"/>
      <c r="C1621" s="15"/>
      <c r="D1621" s="15"/>
      <c r="E1621" s="6"/>
      <c r="F1621" s="6"/>
      <c r="G1621" s="6"/>
      <c r="K1621" s="222"/>
      <c r="V1621" s="1430"/>
      <c r="AA1621" s="223"/>
      <c r="AC1621" s="889"/>
      <c r="AF1621" s="890"/>
      <c r="AJ1621" s="889"/>
      <c r="AN1621" s="222"/>
      <c r="BC1621" s="223"/>
      <c r="BD1621" s="222"/>
      <c r="BH1621" s="611"/>
      <c r="BJ1621" s="15"/>
      <c r="BK1621" s="15"/>
      <c r="BO1621" s="223"/>
      <c r="BQ1621" s="889"/>
      <c r="BT1621" s="890"/>
      <c r="BX1621" s="889"/>
      <c r="CB1621" s="15"/>
      <c r="CC1621" s="697"/>
      <c r="CD1621" s="1086"/>
      <c r="CE1621" s="15"/>
      <c r="CF1621" s="15"/>
      <c r="CG1621" s="936"/>
      <c r="CH1621" s="15"/>
      <c r="CI1621" s="15"/>
      <c r="CJ1621" s="15"/>
      <c r="CK1621" s="1107"/>
      <c r="CL1621" s="22"/>
      <c r="CM1621" s="22"/>
      <c r="CN1621" s="1107"/>
      <c r="CR1621" s="223"/>
      <c r="CS1621" s="952"/>
      <c r="CT1621" s="1066"/>
      <c r="CU1621" s="972"/>
      <c r="CV1621" s="983"/>
      <c r="CW1621" s="222"/>
      <c r="CX1621" s="697"/>
      <c r="DC1621" s="222"/>
      <c r="DJ1621" s="889"/>
      <c r="DM1621" s="890"/>
      <c r="DN1621" s="952"/>
      <c r="DO1621" s="75"/>
      <c r="DP1621" s="962"/>
      <c r="DQ1621" s="983"/>
      <c r="DV1621" s="889"/>
    </row>
    <row r="1622" spans="1:126" s="74" customFormat="1">
      <c r="A1622" s="15"/>
      <c r="B1622" s="15"/>
      <c r="C1622" s="15"/>
      <c r="D1622" s="15"/>
      <c r="E1622" s="6"/>
      <c r="F1622" s="6"/>
      <c r="G1622" s="6"/>
      <c r="K1622" s="222"/>
      <c r="V1622" s="1430"/>
      <c r="AA1622" s="223"/>
      <c r="AC1622" s="889"/>
      <c r="AF1622" s="890"/>
      <c r="AJ1622" s="889"/>
      <c r="AN1622" s="222"/>
      <c r="BC1622" s="223"/>
      <c r="BD1622" s="222"/>
      <c r="BH1622" s="611"/>
      <c r="BJ1622" s="15"/>
      <c r="BK1622" s="15"/>
      <c r="BO1622" s="223"/>
      <c r="BQ1622" s="889"/>
      <c r="BT1622" s="890"/>
      <c r="BX1622" s="889"/>
      <c r="CB1622" s="15"/>
      <c r="CC1622" s="697"/>
      <c r="CD1622" s="1086"/>
      <c r="CE1622" s="15"/>
      <c r="CF1622" s="15"/>
      <c r="CG1622" s="936"/>
      <c r="CH1622" s="15"/>
      <c r="CI1622" s="15"/>
      <c r="CJ1622" s="15"/>
      <c r="CK1622" s="1107"/>
      <c r="CL1622" s="22"/>
      <c r="CM1622" s="22"/>
      <c r="CN1622" s="1107"/>
      <c r="CR1622" s="223"/>
      <c r="CS1622" s="952"/>
      <c r="CT1622" s="1066"/>
      <c r="CU1622" s="972"/>
      <c r="CV1622" s="983"/>
      <c r="CW1622" s="222"/>
      <c r="CX1622" s="697"/>
      <c r="DC1622" s="222"/>
      <c r="DJ1622" s="889"/>
      <c r="DM1622" s="890"/>
      <c r="DN1622" s="952"/>
      <c r="DO1622" s="75"/>
      <c r="DP1622" s="962"/>
      <c r="DQ1622" s="983"/>
      <c r="DV1622" s="889"/>
    </row>
    <row r="1623" spans="1:126" s="74" customFormat="1">
      <c r="A1623" s="15"/>
      <c r="B1623" s="15"/>
      <c r="C1623" s="15"/>
      <c r="D1623" s="15"/>
      <c r="E1623" s="6"/>
      <c r="F1623" s="6"/>
      <c r="G1623" s="6"/>
      <c r="K1623" s="222"/>
      <c r="V1623" s="1430"/>
      <c r="AA1623" s="223"/>
      <c r="AC1623" s="889"/>
      <c r="AF1623" s="890"/>
      <c r="AJ1623" s="889"/>
      <c r="AN1623" s="222"/>
      <c r="BC1623" s="223"/>
      <c r="BD1623" s="222"/>
      <c r="BH1623" s="611"/>
      <c r="BJ1623" s="15"/>
      <c r="BK1623" s="15"/>
      <c r="BO1623" s="223"/>
      <c r="BQ1623" s="889"/>
      <c r="BT1623" s="890"/>
      <c r="BX1623" s="889"/>
      <c r="CB1623" s="15"/>
      <c r="CC1623" s="697"/>
      <c r="CD1623" s="1086"/>
      <c r="CE1623" s="15"/>
      <c r="CF1623" s="15"/>
      <c r="CG1623" s="936"/>
      <c r="CH1623" s="15"/>
      <c r="CI1623" s="15"/>
      <c r="CJ1623" s="15"/>
      <c r="CK1623" s="1107"/>
      <c r="CL1623" s="22"/>
      <c r="CM1623" s="22"/>
      <c r="CN1623" s="1107"/>
      <c r="CR1623" s="223"/>
      <c r="CS1623" s="952"/>
      <c r="CT1623" s="1066"/>
      <c r="CU1623" s="972"/>
      <c r="CV1623" s="983"/>
      <c r="CW1623" s="222"/>
      <c r="CX1623" s="697"/>
      <c r="DC1623" s="222"/>
      <c r="DJ1623" s="889"/>
      <c r="DM1623" s="890"/>
      <c r="DN1623" s="952"/>
      <c r="DO1623" s="75"/>
      <c r="DP1623" s="962"/>
      <c r="DQ1623" s="983"/>
      <c r="DV1623" s="889"/>
    </row>
    <row r="1624" spans="1:126" s="74" customFormat="1">
      <c r="A1624" s="15"/>
      <c r="B1624" s="15"/>
      <c r="C1624" s="15"/>
      <c r="D1624" s="15"/>
      <c r="E1624" s="6"/>
      <c r="F1624" s="6"/>
      <c r="G1624" s="6"/>
      <c r="K1624" s="222"/>
      <c r="V1624" s="1430"/>
      <c r="AA1624" s="223"/>
      <c r="AC1624" s="889"/>
      <c r="AF1624" s="890"/>
      <c r="AJ1624" s="889"/>
      <c r="AN1624" s="222"/>
      <c r="BC1624" s="223"/>
      <c r="BD1624" s="222"/>
      <c r="BH1624" s="611"/>
      <c r="BJ1624" s="15"/>
      <c r="BK1624" s="15"/>
      <c r="BO1624" s="223"/>
      <c r="BQ1624" s="889"/>
      <c r="BT1624" s="890"/>
      <c r="BX1624" s="889"/>
      <c r="CB1624" s="15"/>
      <c r="CC1624" s="697"/>
      <c r="CD1624" s="1086"/>
      <c r="CE1624" s="15"/>
      <c r="CF1624" s="15"/>
      <c r="CG1624" s="936"/>
      <c r="CH1624" s="15"/>
      <c r="CI1624" s="15"/>
      <c r="CJ1624" s="15"/>
      <c r="CK1624" s="1107"/>
      <c r="CL1624" s="22"/>
      <c r="CM1624" s="22"/>
      <c r="CN1624" s="1107"/>
      <c r="CR1624" s="223"/>
      <c r="CS1624" s="952"/>
      <c r="CT1624" s="1066"/>
      <c r="CU1624" s="972"/>
      <c r="CV1624" s="983"/>
      <c r="CW1624" s="222"/>
      <c r="CX1624" s="697"/>
      <c r="DC1624" s="222"/>
      <c r="DJ1624" s="889"/>
      <c r="DM1624" s="890"/>
      <c r="DN1624" s="952"/>
      <c r="DO1624" s="75"/>
      <c r="DP1624" s="962"/>
      <c r="DQ1624" s="983"/>
      <c r="DV1624" s="889"/>
    </row>
    <row r="1625" spans="1:126" s="74" customFormat="1">
      <c r="A1625" s="15"/>
      <c r="B1625" s="15"/>
      <c r="C1625" s="15"/>
      <c r="D1625" s="15"/>
      <c r="E1625" s="6"/>
      <c r="F1625" s="6"/>
      <c r="G1625" s="6"/>
      <c r="K1625" s="222"/>
      <c r="V1625" s="1430"/>
      <c r="AA1625" s="223"/>
      <c r="AC1625" s="889"/>
      <c r="AF1625" s="890"/>
      <c r="AJ1625" s="889"/>
      <c r="AN1625" s="222"/>
      <c r="BC1625" s="223"/>
      <c r="BD1625" s="222"/>
      <c r="BH1625" s="611"/>
      <c r="BJ1625" s="15"/>
      <c r="BK1625" s="15"/>
      <c r="BO1625" s="223"/>
      <c r="BQ1625" s="889"/>
      <c r="BT1625" s="890"/>
      <c r="BX1625" s="889"/>
      <c r="CB1625" s="15"/>
      <c r="CC1625" s="697"/>
      <c r="CD1625" s="1086"/>
      <c r="CE1625" s="15"/>
      <c r="CF1625" s="15"/>
      <c r="CG1625" s="936"/>
      <c r="CH1625" s="15"/>
      <c r="CI1625" s="15"/>
      <c r="CJ1625" s="15"/>
      <c r="CK1625" s="1107"/>
      <c r="CL1625" s="22"/>
      <c r="CM1625" s="22"/>
      <c r="CN1625" s="1107"/>
      <c r="CR1625" s="223"/>
      <c r="CS1625" s="952"/>
      <c r="CT1625" s="1066"/>
      <c r="CU1625" s="972"/>
      <c r="CV1625" s="983"/>
      <c r="CW1625" s="222"/>
      <c r="CX1625" s="697"/>
      <c r="DC1625" s="222"/>
      <c r="DJ1625" s="889"/>
      <c r="DM1625" s="890"/>
      <c r="DN1625" s="952"/>
      <c r="DO1625" s="75"/>
      <c r="DP1625" s="962"/>
      <c r="DQ1625" s="983"/>
      <c r="DV1625" s="889"/>
    </row>
    <row r="1626" spans="1:126" s="74" customFormat="1">
      <c r="A1626" s="15"/>
      <c r="B1626" s="15"/>
      <c r="C1626" s="15"/>
      <c r="D1626" s="15"/>
      <c r="E1626" s="6"/>
      <c r="F1626" s="6"/>
      <c r="G1626" s="6"/>
      <c r="K1626" s="222"/>
      <c r="V1626" s="1430"/>
      <c r="AA1626" s="223"/>
      <c r="AC1626" s="889"/>
      <c r="AF1626" s="890"/>
      <c r="AJ1626" s="889"/>
      <c r="AN1626" s="222"/>
      <c r="BC1626" s="223"/>
      <c r="BD1626" s="222"/>
      <c r="BH1626" s="611"/>
      <c r="BJ1626" s="15"/>
      <c r="BK1626" s="15"/>
      <c r="BO1626" s="223"/>
      <c r="BQ1626" s="889"/>
      <c r="BT1626" s="890"/>
      <c r="BX1626" s="889"/>
      <c r="CB1626" s="15"/>
      <c r="CC1626" s="697"/>
      <c r="CD1626" s="1086"/>
      <c r="CE1626" s="15"/>
      <c r="CF1626" s="15"/>
      <c r="CG1626" s="936"/>
      <c r="CH1626" s="15"/>
      <c r="CI1626" s="15"/>
      <c r="CJ1626" s="15"/>
      <c r="CK1626" s="1107"/>
      <c r="CL1626" s="22"/>
      <c r="CM1626" s="22"/>
      <c r="CN1626" s="1107"/>
      <c r="CR1626" s="223"/>
      <c r="CS1626" s="952"/>
      <c r="CT1626" s="1066"/>
      <c r="CU1626" s="972"/>
      <c r="CV1626" s="983"/>
      <c r="CW1626" s="222"/>
      <c r="CX1626" s="697"/>
      <c r="DC1626" s="222"/>
      <c r="DJ1626" s="889"/>
      <c r="DM1626" s="890"/>
      <c r="DN1626" s="952"/>
      <c r="DO1626" s="75"/>
      <c r="DP1626" s="962"/>
      <c r="DQ1626" s="983"/>
      <c r="DV1626" s="889"/>
    </row>
    <row r="1627" spans="1:126" s="74" customFormat="1">
      <c r="A1627" s="15"/>
      <c r="B1627" s="15"/>
      <c r="C1627" s="15"/>
      <c r="D1627" s="15"/>
      <c r="E1627" s="6"/>
      <c r="F1627" s="6"/>
      <c r="G1627" s="6"/>
      <c r="K1627" s="222"/>
      <c r="V1627" s="1430"/>
      <c r="AA1627" s="223"/>
      <c r="AC1627" s="889"/>
      <c r="AF1627" s="890"/>
      <c r="AJ1627" s="889"/>
      <c r="AN1627" s="222"/>
      <c r="BC1627" s="223"/>
      <c r="BD1627" s="222"/>
      <c r="BH1627" s="611"/>
      <c r="BJ1627" s="15"/>
      <c r="BK1627" s="15"/>
      <c r="BO1627" s="223"/>
      <c r="BQ1627" s="889"/>
      <c r="BT1627" s="890"/>
      <c r="BX1627" s="889"/>
      <c r="CB1627" s="15"/>
      <c r="CC1627" s="697"/>
      <c r="CD1627" s="1086"/>
      <c r="CE1627" s="15"/>
      <c r="CF1627" s="15"/>
      <c r="CG1627" s="936"/>
      <c r="CH1627" s="15"/>
      <c r="CI1627" s="15"/>
      <c r="CJ1627" s="15"/>
      <c r="CK1627" s="1107"/>
      <c r="CL1627" s="22"/>
      <c r="CM1627" s="22"/>
      <c r="CN1627" s="1107"/>
      <c r="CR1627" s="223"/>
      <c r="CS1627" s="952"/>
      <c r="CT1627" s="1066"/>
      <c r="CU1627" s="972"/>
      <c r="CV1627" s="983"/>
      <c r="CW1627" s="222"/>
      <c r="CX1627" s="697"/>
      <c r="DC1627" s="222"/>
      <c r="DJ1627" s="889"/>
      <c r="DM1627" s="890"/>
      <c r="DN1627" s="952"/>
      <c r="DO1627" s="75"/>
      <c r="DP1627" s="962"/>
      <c r="DQ1627" s="983"/>
      <c r="DV1627" s="889"/>
    </row>
    <row r="1628" spans="1:126" s="74" customFormat="1">
      <c r="A1628" s="15"/>
      <c r="B1628" s="15"/>
      <c r="C1628" s="15"/>
      <c r="D1628" s="15"/>
      <c r="E1628" s="6"/>
      <c r="F1628" s="6"/>
      <c r="G1628" s="6"/>
      <c r="K1628" s="222"/>
      <c r="V1628" s="1430"/>
      <c r="AA1628" s="223"/>
      <c r="AC1628" s="889"/>
      <c r="AF1628" s="890"/>
      <c r="AJ1628" s="889"/>
      <c r="AN1628" s="222"/>
      <c r="BC1628" s="223"/>
      <c r="BD1628" s="222"/>
      <c r="BH1628" s="611"/>
      <c r="BJ1628" s="15"/>
      <c r="BK1628" s="15"/>
      <c r="BO1628" s="223"/>
      <c r="BQ1628" s="889"/>
      <c r="BT1628" s="890"/>
      <c r="BX1628" s="889"/>
      <c r="CB1628" s="15"/>
      <c r="CC1628" s="697"/>
      <c r="CD1628" s="1086"/>
      <c r="CE1628" s="15"/>
      <c r="CF1628" s="15"/>
      <c r="CG1628" s="936"/>
      <c r="CH1628" s="15"/>
      <c r="CI1628" s="15"/>
      <c r="CJ1628" s="15"/>
      <c r="CK1628" s="1107"/>
      <c r="CL1628" s="22"/>
      <c r="CM1628" s="22"/>
      <c r="CN1628" s="1107"/>
      <c r="CR1628" s="223"/>
      <c r="CS1628" s="952"/>
      <c r="CT1628" s="1066"/>
      <c r="CU1628" s="972"/>
      <c r="CV1628" s="983"/>
      <c r="CW1628" s="222"/>
      <c r="CX1628" s="697"/>
      <c r="DC1628" s="222"/>
      <c r="DJ1628" s="889"/>
      <c r="DM1628" s="890"/>
      <c r="DN1628" s="952"/>
      <c r="DO1628" s="75"/>
      <c r="DP1628" s="962"/>
      <c r="DQ1628" s="983"/>
      <c r="DV1628" s="889"/>
    </row>
    <row r="1629" spans="1:126" s="74" customFormat="1">
      <c r="A1629" s="15"/>
      <c r="B1629" s="15"/>
      <c r="C1629" s="15"/>
      <c r="D1629" s="15"/>
      <c r="E1629" s="6"/>
      <c r="F1629" s="6"/>
      <c r="G1629" s="6"/>
      <c r="K1629" s="222"/>
      <c r="V1629" s="1430"/>
      <c r="AA1629" s="223"/>
      <c r="AC1629" s="889"/>
      <c r="AF1629" s="890"/>
      <c r="AJ1629" s="889"/>
      <c r="AN1629" s="222"/>
      <c r="BC1629" s="223"/>
      <c r="BD1629" s="222"/>
      <c r="BH1629" s="611"/>
      <c r="BJ1629" s="15"/>
      <c r="BK1629" s="15"/>
      <c r="BO1629" s="223"/>
      <c r="BQ1629" s="889"/>
      <c r="BT1629" s="890"/>
      <c r="BX1629" s="889"/>
      <c r="CB1629" s="15"/>
      <c r="CC1629" s="697"/>
      <c r="CD1629" s="1086"/>
      <c r="CE1629" s="15"/>
      <c r="CF1629" s="15"/>
      <c r="CG1629" s="936"/>
      <c r="CH1629" s="15"/>
      <c r="CI1629" s="15"/>
      <c r="CJ1629" s="15"/>
      <c r="CK1629" s="1107"/>
      <c r="CL1629" s="22"/>
      <c r="CM1629" s="22"/>
      <c r="CN1629" s="1107"/>
      <c r="CR1629" s="223"/>
      <c r="CS1629" s="952"/>
      <c r="CT1629" s="1066"/>
      <c r="CU1629" s="972"/>
      <c r="CV1629" s="983"/>
      <c r="CW1629" s="222"/>
      <c r="CX1629" s="697"/>
      <c r="DC1629" s="222"/>
      <c r="DJ1629" s="889"/>
      <c r="DM1629" s="890"/>
      <c r="DN1629" s="952"/>
      <c r="DO1629" s="75"/>
      <c r="DP1629" s="962"/>
      <c r="DQ1629" s="983"/>
      <c r="DV1629" s="889"/>
    </row>
    <row r="1630" spans="1:126" s="74" customFormat="1">
      <c r="A1630" s="15"/>
      <c r="B1630" s="15"/>
      <c r="C1630" s="15"/>
      <c r="D1630" s="15"/>
      <c r="E1630" s="6"/>
      <c r="F1630" s="6"/>
      <c r="G1630" s="6"/>
      <c r="K1630" s="222"/>
      <c r="V1630" s="1430"/>
      <c r="AA1630" s="223"/>
      <c r="AC1630" s="889"/>
      <c r="AF1630" s="890"/>
      <c r="AJ1630" s="889"/>
      <c r="AN1630" s="222"/>
      <c r="BC1630" s="223"/>
      <c r="BD1630" s="222"/>
      <c r="BH1630" s="611"/>
      <c r="BJ1630" s="15"/>
      <c r="BK1630" s="15"/>
      <c r="BO1630" s="223"/>
      <c r="BQ1630" s="889"/>
      <c r="BT1630" s="890"/>
      <c r="BX1630" s="889"/>
      <c r="CB1630" s="15"/>
      <c r="CC1630" s="697"/>
      <c r="CD1630" s="1086"/>
      <c r="CE1630" s="15"/>
      <c r="CF1630" s="15"/>
      <c r="CG1630" s="936"/>
      <c r="CH1630" s="15"/>
      <c r="CI1630" s="15"/>
      <c r="CJ1630" s="15"/>
      <c r="CK1630" s="1107"/>
      <c r="CL1630" s="22"/>
      <c r="CM1630" s="22"/>
      <c r="CN1630" s="1107"/>
      <c r="CR1630" s="223"/>
      <c r="CS1630" s="952"/>
      <c r="CT1630" s="1066"/>
      <c r="CU1630" s="972"/>
      <c r="CV1630" s="983"/>
      <c r="CW1630" s="222"/>
      <c r="CX1630" s="697"/>
      <c r="DC1630" s="222"/>
      <c r="DJ1630" s="889"/>
      <c r="DM1630" s="890"/>
      <c r="DN1630" s="952"/>
      <c r="DO1630" s="75"/>
      <c r="DP1630" s="962"/>
      <c r="DQ1630" s="983"/>
      <c r="DV1630" s="889"/>
    </row>
    <row r="1631" spans="1:126" s="74" customFormat="1">
      <c r="A1631" s="15"/>
      <c r="B1631" s="15"/>
      <c r="C1631" s="15"/>
      <c r="D1631" s="15"/>
      <c r="E1631" s="6"/>
      <c r="F1631" s="6"/>
      <c r="G1631" s="6"/>
      <c r="K1631" s="222"/>
      <c r="V1631" s="1430"/>
      <c r="AA1631" s="223"/>
      <c r="AC1631" s="889"/>
      <c r="AF1631" s="890"/>
      <c r="AJ1631" s="889"/>
      <c r="AN1631" s="222"/>
      <c r="BC1631" s="223"/>
      <c r="BD1631" s="222"/>
      <c r="BH1631" s="611"/>
      <c r="BJ1631" s="15"/>
      <c r="BK1631" s="15"/>
      <c r="BO1631" s="223"/>
      <c r="BQ1631" s="889"/>
      <c r="BT1631" s="890"/>
      <c r="BX1631" s="889"/>
      <c r="CB1631" s="15"/>
      <c r="CC1631" s="697"/>
      <c r="CD1631" s="1086"/>
      <c r="CE1631" s="15"/>
      <c r="CF1631" s="15"/>
      <c r="CG1631" s="936"/>
      <c r="CH1631" s="15"/>
      <c r="CI1631" s="15"/>
      <c r="CJ1631" s="15"/>
      <c r="CK1631" s="1107"/>
      <c r="CL1631" s="22"/>
      <c r="CM1631" s="22"/>
      <c r="CN1631" s="1107"/>
      <c r="CR1631" s="223"/>
      <c r="CS1631" s="952"/>
      <c r="CT1631" s="1066"/>
      <c r="CU1631" s="972"/>
      <c r="CV1631" s="983"/>
      <c r="CW1631" s="222"/>
      <c r="CX1631" s="697"/>
      <c r="DC1631" s="222"/>
      <c r="DJ1631" s="889"/>
      <c r="DM1631" s="890"/>
      <c r="DN1631" s="952"/>
      <c r="DO1631" s="75"/>
      <c r="DP1631" s="962"/>
      <c r="DQ1631" s="983"/>
      <c r="DV1631" s="889"/>
    </row>
    <row r="1632" spans="1:126" s="74" customFormat="1">
      <c r="A1632" s="15"/>
      <c r="B1632" s="15"/>
      <c r="C1632" s="15"/>
      <c r="D1632" s="15"/>
      <c r="E1632" s="6"/>
      <c r="F1632" s="6"/>
      <c r="G1632" s="6"/>
      <c r="K1632" s="222"/>
      <c r="V1632" s="1430"/>
      <c r="AA1632" s="223"/>
      <c r="AC1632" s="889"/>
      <c r="AF1632" s="890"/>
      <c r="AJ1632" s="889"/>
      <c r="AN1632" s="222"/>
      <c r="BC1632" s="223"/>
      <c r="BD1632" s="222"/>
      <c r="BH1632" s="611"/>
      <c r="BJ1632" s="15"/>
      <c r="BK1632" s="15"/>
      <c r="BO1632" s="223"/>
      <c r="BQ1632" s="889"/>
      <c r="BT1632" s="890"/>
      <c r="BX1632" s="889"/>
      <c r="CB1632" s="15"/>
      <c r="CC1632" s="697"/>
      <c r="CD1632" s="1086"/>
      <c r="CE1632" s="15"/>
      <c r="CF1632" s="15"/>
      <c r="CG1632" s="936"/>
      <c r="CH1632" s="15"/>
      <c r="CI1632" s="15"/>
      <c r="CJ1632" s="15"/>
      <c r="CK1632" s="1107"/>
      <c r="CL1632" s="22"/>
      <c r="CM1632" s="22"/>
      <c r="CN1632" s="1107"/>
      <c r="CR1632" s="223"/>
      <c r="CS1632" s="952"/>
      <c r="CT1632" s="1066"/>
      <c r="CU1632" s="972"/>
      <c r="CV1632" s="983"/>
      <c r="CW1632" s="222"/>
      <c r="CX1632" s="697"/>
      <c r="DC1632" s="222"/>
      <c r="DJ1632" s="889"/>
      <c r="DM1632" s="890"/>
      <c r="DN1632" s="952"/>
      <c r="DO1632" s="75"/>
      <c r="DP1632" s="962"/>
      <c r="DQ1632" s="983"/>
      <c r="DV1632" s="889"/>
    </row>
    <row r="1633" spans="1:126" s="74" customFormat="1">
      <c r="A1633" s="15"/>
      <c r="B1633" s="15"/>
      <c r="C1633" s="15"/>
      <c r="D1633" s="15"/>
      <c r="E1633" s="6"/>
      <c r="F1633" s="6"/>
      <c r="G1633" s="6"/>
      <c r="K1633" s="222"/>
      <c r="V1633" s="1430"/>
      <c r="AA1633" s="223"/>
      <c r="AC1633" s="889"/>
      <c r="AF1633" s="890"/>
      <c r="AJ1633" s="889"/>
      <c r="AN1633" s="222"/>
      <c r="BC1633" s="223"/>
      <c r="BD1633" s="222"/>
      <c r="BH1633" s="611"/>
      <c r="BJ1633" s="15"/>
      <c r="BK1633" s="15"/>
      <c r="BO1633" s="223"/>
      <c r="BQ1633" s="889"/>
      <c r="BT1633" s="890"/>
      <c r="BX1633" s="889"/>
      <c r="CB1633" s="15"/>
      <c r="CC1633" s="697"/>
      <c r="CD1633" s="1086"/>
      <c r="CE1633" s="15"/>
      <c r="CF1633" s="15"/>
      <c r="CG1633" s="936"/>
      <c r="CH1633" s="15"/>
      <c r="CI1633" s="15"/>
      <c r="CJ1633" s="15"/>
      <c r="CK1633" s="1107"/>
      <c r="CL1633" s="22"/>
      <c r="CM1633" s="22"/>
      <c r="CN1633" s="1107"/>
      <c r="CR1633" s="223"/>
      <c r="CS1633" s="952"/>
      <c r="CT1633" s="1066"/>
      <c r="CU1633" s="972"/>
      <c r="CV1633" s="983"/>
      <c r="CW1633" s="222"/>
      <c r="CX1633" s="697"/>
      <c r="DC1633" s="222"/>
      <c r="DJ1633" s="889"/>
      <c r="DM1633" s="890"/>
      <c r="DN1633" s="952"/>
      <c r="DO1633" s="75"/>
      <c r="DP1633" s="962"/>
      <c r="DQ1633" s="983"/>
      <c r="DV1633" s="889"/>
    </row>
    <row r="1634" spans="1:126" s="74" customFormat="1">
      <c r="A1634" s="15"/>
      <c r="B1634" s="15"/>
      <c r="C1634" s="15"/>
      <c r="D1634" s="15"/>
      <c r="E1634" s="6"/>
      <c r="F1634" s="6"/>
      <c r="G1634" s="6"/>
      <c r="K1634" s="222"/>
      <c r="V1634" s="1430"/>
      <c r="AA1634" s="223"/>
      <c r="AC1634" s="889"/>
      <c r="AF1634" s="890"/>
      <c r="AJ1634" s="889"/>
      <c r="AN1634" s="222"/>
      <c r="BC1634" s="223"/>
      <c r="BD1634" s="222"/>
      <c r="BH1634" s="611"/>
      <c r="BJ1634" s="15"/>
      <c r="BK1634" s="15"/>
      <c r="BO1634" s="223"/>
      <c r="BQ1634" s="889"/>
      <c r="BT1634" s="890"/>
      <c r="BX1634" s="889"/>
      <c r="CB1634" s="15"/>
      <c r="CC1634" s="697"/>
      <c r="CD1634" s="1086"/>
      <c r="CE1634" s="15"/>
      <c r="CF1634" s="15"/>
      <c r="CG1634" s="936"/>
      <c r="CH1634" s="15"/>
      <c r="CI1634" s="15"/>
      <c r="CJ1634" s="15"/>
      <c r="CK1634" s="1107"/>
      <c r="CL1634" s="22"/>
      <c r="CM1634" s="22"/>
      <c r="CN1634" s="1107"/>
      <c r="CR1634" s="223"/>
      <c r="CS1634" s="952"/>
      <c r="CT1634" s="1066"/>
      <c r="CU1634" s="972"/>
      <c r="CV1634" s="983"/>
      <c r="CW1634" s="222"/>
      <c r="CX1634" s="697"/>
      <c r="DC1634" s="222"/>
      <c r="DJ1634" s="889"/>
      <c r="DM1634" s="890"/>
      <c r="DN1634" s="952"/>
      <c r="DO1634" s="75"/>
      <c r="DP1634" s="962"/>
      <c r="DQ1634" s="983"/>
      <c r="DV1634" s="889"/>
    </row>
    <row r="1635" spans="1:126" s="74" customFormat="1">
      <c r="A1635" s="15"/>
      <c r="B1635" s="15"/>
      <c r="C1635" s="15"/>
      <c r="D1635" s="15"/>
      <c r="E1635" s="6"/>
      <c r="F1635" s="6"/>
      <c r="G1635" s="6"/>
      <c r="K1635" s="222"/>
      <c r="V1635" s="1430"/>
      <c r="AA1635" s="223"/>
      <c r="AC1635" s="889"/>
      <c r="AF1635" s="890"/>
      <c r="AJ1635" s="889"/>
      <c r="AN1635" s="222"/>
      <c r="BC1635" s="223"/>
      <c r="BD1635" s="222"/>
      <c r="BH1635" s="611"/>
      <c r="BJ1635" s="15"/>
      <c r="BK1635" s="15"/>
      <c r="BO1635" s="223"/>
      <c r="BQ1635" s="889"/>
      <c r="BT1635" s="890"/>
      <c r="BX1635" s="889"/>
      <c r="CB1635" s="15"/>
      <c r="CC1635" s="697"/>
      <c r="CD1635" s="1086"/>
      <c r="CE1635" s="15"/>
      <c r="CF1635" s="15"/>
      <c r="CG1635" s="936"/>
      <c r="CH1635" s="15"/>
      <c r="CI1635" s="15"/>
      <c r="CJ1635" s="15"/>
      <c r="CK1635" s="1107"/>
      <c r="CL1635" s="22"/>
      <c r="CM1635" s="22"/>
      <c r="CN1635" s="1107"/>
      <c r="CR1635" s="223"/>
      <c r="CS1635" s="952"/>
      <c r="CT1635" s="1066"/>
      <c r="CU1635" s="972"/>
      <c r="CV1635" s="983"/>
      <c r="CW1635" s="222"/>
      <c r="CX1635" s="697"/>
      <c r="DC1635" s="222"/>
      <c r="DJ1635" s="889"/>
      <c r="DM1635" s="890"/>
      <c r="DN1635" s="952"/>
      <c r="DO1635" s="75"/>
      <c r="DP1635" s="962"/>
      <c r="DQ1635" s="983"/>
      <c r="DV1635" s="889"/>
    </row>
    <row r="1636" spans="1:126" s="74" customFormat="1">
      <c r="A1636" s="15"/>
      <c r="B1636" s="15"/>
      <c r="C1636" s="15"/>
      <c r="D1636" s="15"/>
      <c r="E1636" s="6"/>
      <c r="F1636" s="6"/>
      <c r="G1636" s="6"/>
      <c r="K1636" s="222"/>
      <c r="V1636" s="1430"/>
      <c r="AA1636" s="223"/>
      <c r="AC1636" s="889"/>
      <c r="AF1636" s="890"/>
      <c r="AJ1636" s="889"/>
      <c r="AN1636" s="222"/>
      <c r="BC1636" s="223"/>
      <c r="BD1636" s="222"/>
      <c r="BH1636" s="611"/>
      <c r="BJ1636" s="15"/>
      <c r="BK1636" s="15"/>
      <c r="BO1636" s="223"/>
      <c r="BQ1636" s="889"/>
      <c r="BT1636" s="890"/>
      <c r="BX1636" s="889"/>
      <c r="CB1636" s="15"/>
      <c r="CC1636" s="697"/>
      <c r="CD1636" s="1086"/>
      <c r="CE1636" s="15"/>
      <c r="CF1636" s="15"/>
      <c r="CG1636" s="936"/>
      <c r="CH1636" s="15"/>
      <c r="CI1636" s="15"/>
      <c r="CJ1636" s="15"/>
      <c r="CK1636" s="1107"/>
      <c r="CL1636" s="22"/>
      <c r="CM1636" s="22"/>
      <c r="CN1636" s="1107"/>
      <c r="CR1636" s="223"/>
      <c r="CS1636" s="952"/>
      <c r="CT1636" s="1066"/>
      <c r="CU1636" s="972"/>
      <c r="CV1636" s="983"/>
      <c r="CW1636" s="222"/>
      <c r="CX1636" s="697"/>
      <c r="DC1636" s="222"/>
      <c r="DJ1636" s="889"/>
      <c r="DM1636" s="890"/>
      <c r="DN1636" s="952"/>
      <c r="DO1636" s="75"/>
      <c r="DP1636" s="962"/>
      <c r="DQ1636" s="983"/>
      <c r="DV1636" s="889"/>
    </row>
    <row r="1637" spans="1:126" s="74" customFormat="1">
      <c r="A1637" s="15"/>
      <c r="B1637" s="15"/>
      <c r="C1637" s="15"/>
      <c r="D1637" s="15"/>
      <c r="E1637" s="6"/>
      <c r="F1637" s="6"/>
      <c r="G1637" s="6"/>
      <c r="K1637" s="222"/>
      <c r="V1637" s="1430"/>
      <c r="AA1637" s="223"/>
      <c r="AC1637" s="889"/>
      <c r="AF1637" s="890"/>
      <c r="AJ1637" s="889"/>
      <c r="AN1637" s="222"/>
      <c r="BC1637" s="223"/>
      <c r="BD1637" s="222"/>
      <c r="BH1637" s="611"/>
      <c r="BJ1637" s="15"/>
      <c r="BK1637" s="15"/>
      <c r="BO1637" s="223"/>
      <c r="BQ1637" s="889"/>
      <c r="BT1637" s="890"/>
      <c r="BX1637" s="889"/>
      <c r="CB1637" s="15"/>
      <c r="CC1637" s="697"/>
      <c r="CD1637" s="1086"/>
      <c r="CE1637" s="15"/>
      <c r="CF1637" s="15"/>
      <c r="CG1637" s="936"/>
      <c r="CH1637" s="15"/>
      <c r="CI1637" s="15"/>
      <c r="CJ1637" s="15"/>
      <c r="CK1637" s="1107"/>
      <c r="CL1637" s="22"/>
      <c r="CM1637" s="22"/>
      <c r="CN1637" s="1107"/>
      <c r="CR1637" s="223"/>
      <c r="CS1637" s="952"/>
      <c r="CT1637" s="1066"/>
      <c r="CU1637" s="972"/>
      <c r="CV1637" s="983"/>
      <c r="CW1637" s="222"/>
      <c r="CX1637" s="697"/>
      <c r="DC1637" s="222"/>
      <c r="DJ1637" s="889"/>
      <c r="DM1637" s="890"/>
      <c r="DN1637" s="952"/>
      <c r="DO1637" s="75"/>
      <c r="DP1637" s="962"/>
      <c r="DQ1637" s="983"/>
      <c r="DV1637" s="889"/>
    </row>
    <row r="1638" spans="1:126" s="74" customFormat="1">
      <c r="A1638" s="15"/>
      <c r="B1638" s="15"/>
      <c r="C1638" s="15"/>
      <c r="D1638" s="15"/>
      <c r="E1638" s="6"/>
      <c r="F1638" s="6"/>
      <c r="G1638" s="6"/>
      <c r="K1638" s="222"/>
      <c r="V1638" s="1430"/>
      <c r="AA1638" s="223"/>
      <c r="AC1638" s="889"/>
      <c r="AF1638" s="890"/>
      <c r="AJ1638" s="889"/>
      <c r="AN1638" s="222"/>
      <c r="BC1638" s="223"/>
      <c r="BD1638" s="222"/>
      <c r="BH1638" s="611"/>
      <c r="BJ1638" s="15"/>
      <c r="BK1638" s="15"/>
      <c r="BO1638" s="223"/>
      <c r="BQ1638" s="889"/>
      <c r="BT1638" s="890"/>
      <c r="BX1638" s="889"/>
      <c r="CB1638" s="15"/>
      <c r="CC1638" s="697"/>
      <c r="CD1638" s="1086"/>
      <c r="CE1638" s="15"/>
      <c r="CF1638" s="15"/>
      <c r="CG1638" s="936"/>
      <c r="CH1638" s="15"/>
      <c r="CI1638" s="15"/>
      <c r="CJ1638" s="15"/>
      <c r="CK1638" s="1107"/>
      <c r="CL1638" s="22"/>
      <c r="CM1638" s="22"/>
      <c r="CN1638" s="1107"/>
      <c r="CR1638" s="223"/>
      <c r="CS1638" s="952"/>
      <c r="CT1638" s="1066"/>
      <c r="CU1638" s="972"/>
      <c r="CV1638" s="983"/>
      <c r="CW1638" s="222"/>
      <c r="CX1638" s="697"/>
      <c r="DC1638" s="222"/>
      <c r="DJ1638" s="889"/>
      <c r="DM1638" s="890"/>
      <c r="DN1638" s="952"/>
      <c r="DO1638" s="75"/>
      <c r="DP1638" s="962"/>
      <c r="DQ1638" s="983"/>
      <c r="DV1638" s="889"/>
    </row>
    <row r="1639" spans="1:126" s="74" customFormat="1">
      <c r="A1639" s="15"/>
      <c r="B1639" s="15"/>
      <c r="C1639" s="15"/>
      <c r="D1639" s="15"/>
      <c r="E1639" s="6"/>
      <c r="F1639" s="6"/>
      <c r="G1639" s="6"/>
      <c r="K1639" s="222"/>
      <c r="V1639" s="1430"/>
      <c r="AA1639" s="223"/>
      <c r="AC1639" s="889"/>
      <c r="AF1639" s="890"/>
      <c r="AJ1639" s="889"/>
      <c r="AN1639" s="222"/>
      <c r="BC1639" s="223"/>
      <c r="BD1639" s="222"/>
      <c r="BH1639" s="611"/>
      <c r="BJ1639" s="15"/>
      <c r="BK1639" s="15"/>
      <c r="BO1639" s="223"/>
      <c r="BQ1639" s="889"/>
      <c r="BT1639" s="890"/>
      <c r="BX1639" s="889"/>
      <c r="CB1639" s="15"/>
      <c r="CC1639" s="697"/>
      <c r="CD1639" s="1086"/>
      <c r="CE1639" s="15"/>
      <c r="CF1639" s="15"/>
      <c r="CG1639" s="936"/>
      <c r="CH1639" s="15"/>
      <c r="CI1639" s="15"/>
      <c r="CJ1639" s="15"/>
      <c r="CK1639" s="1107"/>
      <c r="CL1639" s="22"/>
      <c r="CM1639" s="22"/>
      <c r="CN1639" s="1107"/>
      <c r="CR1639" s="223"/>
      <c r="CS1639" s="952"/>
      <c r="CT1639" s="1066"/>
      <c r="CU1639" s="972"/>
      <c r="CV1639" s="983"/>
      <c r="CW1639" s="222"/>
      <c r="CX1639" s="697"/>
      <c r="DC1639" s="222"/>
      <c r="DJ1639" s="889"/>
      <c r="DM1639" s="890"/>
      <c r="DN1639" s="952"/>
      <c r="DO1639" s="75"/>
      <c r="DP1639" s="962"/>
      <c r="DQ1639" s="983"/>
      <c r="DV1639" s="889"/>
    </row>
    <row r="1640" spans="1:126" s="74" customFormat="1">
      <c r="A1640" s="15"/>
      <c r="B1640" s="15"/>
      <c r="C1640" s="15"/>
      <c r="D1640" s="15"/>
      <c r="E1640" s="6"/>
      <c r="F1640" s="6"/>
      <c r="G1640" s="6"/>
      <c r="K1640" s="222"/>
      <c r="V1640" s="1430"/>
      <c r="AA1640" s="223"/>
      <c r="AC1640" s="889"/>
      <c r="AF1640" s="890"/>
      <c r="AJ1640" s="889"/>
      <c r="AN1640" s="222"/>
      <c r="BC1640" s="223"/>
      <c r="BD1640" s="222"/>
      <c r="BH1640" s="611"/>
      <c r="BJ1640" s="15"/>
      <c r="BK1640" s="15"/>
      <c r="BO1640" s="223"/>
      <c r="BQ1640" s="889"/>
      <c r="BT1640" s="890"/>
      <c r="BX1640" s="889"/>
      <c r="CB1640" s="15"/>
      <c r="CC1640" s="697"/>
      <c r="CD1640" s="1086"/>
      <c r="CE1640" s="15"/>
      <c r="CF1640" s="15"/>
      <c r="CG1640" s="936"/>
      <c r="CH1640" s="15"/>
      <c r="CI1640" s="15"/>
      <c r="CJ1640" s="15"/>
      <c r="CK1640" s="1107"/>
      <c r="CL1640" s="22"/>
      <c r="CM1640" s="22"/>
      <c r="CN1640" s="1107"/>
      <c r="CR1640" s="223"/>
      <c r="CS1640" s="952"/>
      <c r="CT1640" s="1066"/>
      <c r="CU1640" s="972"/>
      <c r="CV1640" s="983"/>
      <c r="CW1640" s="222"/>
      <c r="CX1640" s="697"/>
      <c r="DC1640" s="222"/>
      <c r="DJ1640" s="889"/>
      <c r="DM1640" s="890"/>
      <c r="DN1640" s="952"/>
      <c r="DO1640" s="75"/>
      <c r="DP1640" s="962"/>
      <c r="DQ1640" s="983"/>
      <c r="DV1640" s="889"/>
    </row>
    <row r="1641" spans="1:126" s="74" customFormat="1">
      <c r="A1641" s="15"/>
      <c r="B1641" s="15"/>
      <c r="C1641" s="15"/>
      <c r="D1641" s="15"/>
      <c r="E1641" s="6"/>
      <c r="F1641" s="6"/>
      <c r="G1641" s="6"/>
      <c r="K1641" s="222"/>
      <c r="V1641" s="1430"/>
      <c r="AA1641" s="223"/>
      <c r="AC1641" s="889"/>
      <c r="AF1641" s="890"/>
      <c r="AJ1641" s="889"/>
      <c r="AN1641" s="222"/>
      <c r="BC1641" s="223"/>
      <c r="BD1641" s="222"/>
      <c r="BH1641" s="611"/>
      <c r="BJ1641" s="15"/>
      <c r="BK1641" s="15"/>
      <c r="BO1641" s="223"/>
      <c r="BQ1641" s="889"/>
      <c r="BT1641" s="890"/>
      <c r="BX1641" s="889"/>
      <c r="CB1641" s="15"/>
      <c r="CC1641" s="697"/>
      <c r="CD1641" s="1086"/>
      <c r="CE1641" s="15"/>
      <c r="CF1641" s="15"/>
      <c r="CG1641" s="936"/>
      <c r="CH1641" s="15"/>
      <c r="CI1641" s="15"/>
      <c r="CJ1641" s="15"/>
      <c r="CK1641" s="1107"/>
      <c r="CL1641" s="22"/>
      <c r="CM1641" s="22"/>
      <c r="CN1641" s="1107"/>
      <c r="CR1641" s="223"/>
      <c r="CS1641" s="952"/>
      <c r="CT1641" s="1066"/>
      <c r="CU1641" s="972"/>
      <c r="CV1641" s="983"/>
      <c r="CW1641" s="222"/>
      <c r="CX1641" s="697"/>
      <c r="DC1641" s="222"/>
      <c r="DJ1641" s="889"/>
      <c r="DM1641" s="890"/>
      <c r="DN1641" s="952"/>
      <c r="DO1641" s="75"/>
      <c r="DP1641" s="962"/>
      <c r="DQ1641" s="983"/>
      <c r="DV1641" s="889"/>
    </row>
    <row r="1642" spans="1:126" s="74" customFormat="1">
      <c r="A1642" s="15"/>
      <c r="B1642" s="15"/>
      <c r="C1642" s="15"/>
      <c r="D1642" s="15"/>
      <c r="E1642" s="6"/>
      <c r="F1642" s="6"/>
      <c r="G1642" s="6"/>
      <c r="K1642" s="222"/>
      <c r="V1642" s="1430"/>
      <c r="AA1642" s="223"/>
      <c r="AC1642" s="889"/>
      <c r="AF1642" s="890"/>
      <c r="AJ1642" s="889"/>
      <c r="AN1642" s="222"/>
      <c r="BC1642" s="223"/>
      <c r="BD1642" s="222"/>
      <c r="BH1642" s="611"/>
      <c r="BJ1642" s="15"/>
      <c r="BK1642" s="15"/>
      <c r="BO1642" s="223"/>
      <c r="BQ1642" s="889"/>
      <c r="BT1642" s="890"/>
      <c r="BX1642" s="889"/>
      <c r="CB1642" s="15"/>
      <c r="CC1642" s="697"/>
      <c r="CD1642" s="1086"/>
      <c r="CE1642" s="15"/>
      <c r="CF1642" s="15"/>
      <c r="CG1642" s="936"/>
      <c r="CH1642" s="15"/>
      <c r="CI1642" s="15"/>
      <c r="CJ1642" s="15"/>
      <c r="CK1642" s="1107"/>
      <c r="CL1642" s="22"/>
      <c r="CM1642" s="22"/>
      <c r="CN1642" s="1107"/>
      <c r="CR1642" s="223"/>
      <c r="CS1642" s="952"/>
      <c r="CT1642" s="1066"/>
      <c r="CU1642" s="972"/>
      <c r="CV1642" s="983"/>
      <c r="CW1642" s="222"/>
      <c r="CX1642" s="697"/>
      <c r="DC1642" s="222"/>
      <c r="DJ1642" s="889"/>
      <c r="DM1642" s="890"/>
      <c r="DN1642" s="952"/>
      <c r="DO1642" s="75"/>
      <c r="DP1642" s="962"/>
      <c r="DQ1642" s="983"/>
      <c r="DV1642" s="889"/>
    </row>
    <row r="1643" spans="1:126" s="74" customFormat="1">
      <c r="A1643" s="15"/>
      <c r="B1643" s="15"/>
      <c r="C1643" s="15"/>
      <c r="D1643" s="15"/>
      <c r="E1643" s="6"/>
      <c r="F1643" s="6"/>
      <c r="G1643" s="6"/>
      <c r="K1643" s="222"/>
      <c r="V1643" s="1430"/>
      <c r="AA1643" s="223"/>
      <c r="AC1643" s="889"/>
      <c r="AF1643" s="890"/>
      <c r="AJ1643" s="889"/>
      <c r="AN1643" s="222"/>
      <c r="BC1643" s="223"/>
      <c r="BD1643" s="222"/>
      <c r="BH1643" s="611"/>
      <c r="BJ1643" s="15"/>
      <c r="BK1643" s="15"/>
      <c r="BO1643" s="223"/>
      <c r="BQ1643" s="889"/>
      <c r="BT1643" s="890"/>
      <c r="BX1643" s="889"/>
      <c r="CB1643" s="15"/>
      <c r="CC1643" s="697"/>
      <c r="CD1643" s="1086"/>
      <c r="CE1643" s="15"/>
      <c r="CF1643" s="15"/>
      <c r="CG1643" s="936"/>
      <c r="CH1643" s="15"/>
      <c r="CI1643" s="15"/>
      <c r="CJ1643" s="15"/>
      <c r="CK1643" s="1107"/>
      <c r="CL1643" s="22"/>
      <c r="CM1643" s="22"/>
      <c r="CN1643" s="1107"/>
      <c r="CR1643" s="223"/>
      <c r="CS1643" s="952"/>
      <c r="CT1643" s="1066"/>
      <c r="CU1643" s="972"/>
      <c r="CV1643" s="983"/>
      <c r="CW1643" s="222"/>
      <c r="CX1643" s="697"/>
      <c r="DC1643" s="222"/>
      <c r="DJ1643" s="889"/>
      <c r="DM1643" s="890"/>
      <c r="DN1643" s="952"/>
      <c r="DO1643" s="75"/>
      <c r="DP1643" s="962"/>
      <c r="DQ1643" s="983"/>
      <c r="DV1643" s="889"/>
    </row>
    <row r="1644" spans="1:126" s="74" customFormat="1">
      <c r="A1644" s="15"/>
      <c r="B1644" s="15"/>
      <c r="C1644" s="15"/>
      <c r="D1644" s="15"/>
      <c r="E1644" s="6"/>
      <c r="F1644" s="6"/>
      <c r="G1644" s="6"/>
      <c r="K1644" s="222"/>
      <c r="V1644" s="1430"/>
      <c r="AA1644" s="223"/>
      <c r="AC1644" s="889"/>
      <c r="AF1644" s="890"/>
      <c r="AJ1644" s="889"/>
      <c r="AN1644" s="222"/>
      <c r="BC1644" s="223"/>
      <c r="BD1644" s="222"/>
      <c r="BH1644" s="611"/>
      <c r="BJ1644" s="15"/>
      <c r="BK1644" s="15"/>
      <c r="BO1644" s="223"/>
      <c r="BQ1644" s="889"/>
      <c r="BT1644" s="890"/>
      <c r="BX1644" s="889"/>
      <c r="CB1644" s="15"/>
      <c r="CC1644" s="697"/>
      <c r="CD1644" s="1086"/>
      <c r="CE1644" s="15"/>
      <c r="CF1644" s="15"/>
      <c r="CG1644" s="936"/>
      <c r="CH1644" s="15"/>
      <c r="CI1644" s="15"/>
      <c r="CJ1644" s="15"/>
      <c r="CK1644" s="1107"/>
      <c r="CL1644" s="22"/>
      <c r="CM1644" s="22"/>
      <c r="CN1644" s="1107"/>
      <c r="CR1644" s="223"/>
      <c r="CS1644" s="952"/>
      <c r="CT1644" s="1066"/>
      <c r="CU1644" s="972"/>
      <c r="CV1644" s="983"/>
      <c r="CW1644" s="222"/>
      <c r="CX1644" s="697"/>
      <c r="DC1644" s="222"/>
      <c r="DJ1644" s="889"/>
      <c r="DM1644" s="890"/>
      <c r="DN1644" s="952"/>
      <c r="DO1644" s="75"/>
      <c r="DP1644" s="962"/>
      <c r="DQ1644" s="983"/>
      <c r="DV1644" s="889"/>
    </row>
    <row r="1645" spans="1:126" s="74" customFormat="1">
      <c r="A1645" s="15"/>
      <c r="B1645" s="15"/>
      <c r="C1645" s="15"/>
      <c r="D1645" s="15"/>
      <c r="E1645" s="6"/>
      <c r="F1645" s="6"/>
      <c r="G1645" s="6"/>
      <c r="K1645" s="222"/>
      <c r="V1645" s="1430"/>
      <c r="AA1645" s="223"/>
      <c r="AC1645" s="889"/>
      <c r="AF1645" s="890"/>
      <c r="AJ1645" s="889"/>
      <c r="AN1645" s="222"/>
      <c r="BC1645" s="223"/>
      <c r="BD1645" s="222"/>
      <c r="BH1645" s="611"/>
      <c r="BJ1645" s="15"/>
      <c r="BK1645" s="15"/>
      <c r="BO1645" s="223"/>
      <c r="BQ1645" s="889"/>
      <c r="BT1645" s="890"/>
      <c r="BX1645" s="889"/>
      <c r="CB1645" s="15"/>
      <c r="CC1645" s="697"/>
      <c r="CD1645" s="1086"/>
      <c r="CE1645" s="15"/>
      <c r="CF1645" s="15"/>
      <c r="CG1645" s="936"/>
      <c r="CH1645" s="15"/>
      <c r="CI1645" s="15"/>
      <c r="CJ1645" s="15"/>
      <c r="CK1645" s="1107"/>
      <c r="CL1645" s="22"/>
      <c r="CM1645" s="22"/>
      <c r="CN1645" s="1107"/>
      <c r="CR1645" s="223"/>
      <c r="CS1645" s="952"/>
      <c r="CT1645" s="1066"/>
      <c r="CU1645" s="972"/>
      <c r="CV1645" s="983"/>
      <c r="CW1645" s="222"/>
      <c r="CX1645" s="697"/>
      <c r="DC1645" s="222"/>
      <c r="DJ1645" s="889"/>
      <c r="DM1645" s="890"/>
      <c r="DN1645" s="952"/>
      <c r="DO1645" s="75"/>
      <c r="DP1645" s="962"/>
      <c r="DQ1645" s="983"/>
      <c r="DV1645" s="889"/>
    </row>
    <row r="1646" spans="1:126" s="74" customFormat="1">
      <c r="A1646" s="15"/>
      <c r="B1646" s="15"/>
      <c r="C1646" s="15"/>
      <c r="D1646" s="15"/>
      <c r="E1646" s="6"/>
      <c r="F1646" s="6"/>
      <c r="G1646" s="6"/>
      <c r="K1646" s="222"/>
      <c r="V1646" s="1430"/>
      <c r="AA1646" s="223"/>
      <c r="AC1646" s="889"/>
      <c r="AF1646" s="890"/>
      <c r="AJ1646" s="889"/>
      <c r="AN1646" s="222"/>
      <c r="BC1646" s="223"/>
      <c r="BD1646" s="222"/>
      <c r="BH1646" s="611"/>
      <c r="BJ1646" s="15"/>
      <c r="BK1646" s="15"/>
      <c r="BO1646" s="223"/>
      <c r="BQ1646" s="889"/>
      <c r="BT1646" s="890"/>
      <c r="BX1646" s="889"/>
      <c r="CB1646" s="15"/>
      <c r="CC1646" s="697"/>
      <c r="CD1646" s="1086"/>
      <c r="CE1646" s="15"/>
      <c r="CF1646" s="15"/>
      <c r="CG1646" s="936"/>
      <c r="CH1646" s="15"/>
      <c r="CI1646" s="15"/>
      <c r="CJ1646" s="15"/>
      <c r="CK1646" s="1107"/>
      <c r="CL1646" s="22"/>
      <c r="CM1646" s="22"/>
      <c r="CN1646" s="1107"/>
      <c r="CR1646" s="223"/>
      <c r="CS1646" s="952"/>
      <c r="CT1646" s="1066"/>
      <c r="CU1646" s="972"/>
      <c r="CV1646" s="983"/>
      <c r="CW1646" s="222"/>
      <c r="CX1646" s="697"/>
      <c r="DC1646" s="222"/>
      <c r="DJ1646" s="889"/>
      <c r="DM1646" s="890"/>
      <c r="DN1646" s="952"/>
      <c r="DO1646" s="75"/>
      <c r="DP1646" s="962"/>
      <c r="DQ1646" s="983"/>
      <c r="DV1646" s="889"/>
    </row>
    <row r="1647" spans="1:126" s="74" customFormat="1">
      <c r="A1647" s="15"/>
      <c r="B1647" s="15"/>
      <c r="C1647" s="15"/>
      <c r="D1647" s="15"/>
      <c r="E1647" s="6"/>
      <c r="F1647" s="6"/>
      <c r="G1647" s="6"/>
      <c r="K1647" s="222"/>
      <c r="V1647" s="1430"/>
      <c r="AA1647" s="223"/>
      <c r="AC1647" s="889"/>
      <c r="AF1647" s="890"/>
      <c r="AJ1647" s="889"/>
      <c r="AN1647" s="222"/>
      <c r="BC1647" s="223"/>
      <c r="BD1647" s="222"/>
      <c r="BH1647" s="611"/>
      <c r="BJ1647" s="15"/>
      <c r="BK1647" s="15"/>
      <c r="BO1647" s="223"/>
      <c r="BQ1647" s="889"/>
      <c r="BT1647" s="890"/>
      <c r="BX1647" s="889"/>
      <c r="CB1647" s="15"/>
      <c r="CC1647" s="697"/>
      <c r="CD1647" s="1086"/>
      <c r="CE1647" s="15"/>
      <c r="CF1647" s="15"/>
      <c r="CG1647" s="936"/>
      <c r="CH1647" s="15"/>
      <c r="CI1647" s="15"/>
      <c r="CJ1647" s="15"/>
      <c r="CK1647" s="1107"/>
      <c r="CL1647" s="22"/>
      <c r="CM1647" s="22"/>
      <c r="CN1647" s="1107"/>
      <c r="CR1647" s="223"/>
      <c r="CS1647" s="952"/>
      <c r="CT1647" s="1066"/>
      <c r="CU1647" s="972"/>
      <c r="CV1647" s="983"/>
      <c r="CW1647" s="222"/>
      <c r="CX1647" s="697"/>
      <c r="DC1647" s="222"/>
      <c r="DJ1647" s="889"/>
      <c r="DM1647" s="890"/>
      <c r="DN1647" s="952"/>
      <c r="DO1647" s="75"/>
      <c r="DP1647" s="962"/>
      <c r="DQ1647" s="983"/>
      <c r="DV1647" s="889"/>
    </row>
    <row r="1648" spans="1:126" s="74" customFormat="1">
      <c r="A1648" s="15"/>
      <c r="B1648" s="15"/>
      <c r="C1648" s="15"/>
      <c r="D1648" s="15"/>
      <c r="E1648" s="6"/>
      <c r="F1648" s="6"/>
      <c r="G1648" s="6"/>
      <c r="K1648" s="222"/>
      <c r="V1648" s="1430"/>
      <c r="AA1648" s="223"/>
      <c r="AC1648" s="889"/>
      <c r="AF1648" s="890"/>
      <c r="AJ1648" s="889"/>
      <c r="AN1648" s="222"/>
      <c r="BC1648" s="223"/>
      <c r="BD1648" s="222"/>
      <c r="BH1648" s="611"/>
      <c r="BJ1648" s="15"/>
      <c r="BK1648" s="15"/>
      <c r="BO1648" s="223"/>
      <c r="BQ1648" s="889"/>
      <c r="BT1648" s="890"/>
      <c r="BX1648" s="889"/>
      <c r="CB1648" s="15"/>
      <c r="CC1648" s="697"/>
      <c r="CD1648" s="1086"/>
      <c r="CE1648" s="15"/>
      <c r="CF1648" s="15"/>
      <c r="CG1648" s="936"/>
      <c r="CH1648" s="15"/>
      <c r="CI1648" s="15"/>
      <c r="CJ1648" s="15"/>
      <c r="CK1648" s="1107"/>
      <c r="CL1648" s="22"/>
      <c r="CM1648" s="22"/>
      <c r="CN1648" s="1107"/>
      <c r="CR1648" s="223"/>
      <c r="CS1648" s="952"/>
      <c r="CT1648" s="1066"/>
      <c r="CU1648" s="972"/>
      <c r="CV1648" s="983"/>
      <c r="CW1648" s="222"/>
      <c r="CX1648" s="697"/>
      <c r="DC1648" s="222"/>
      <c r="DJ1648" s="889"/>
      <c r="DM1648" s="890"/>
      <c r="DN1648" s="952"/>
      <c r="DO1648" s="75"/>
      <c r="DP1648" s="962"/>
      <c r="DQ1648" s="983"/>
      <c r="DV1648" s="889"/>
    </row>
    <row r="1649" spans="1:126" s="74" customFormat="1">
      <c r="A1649" s="15"/>
      <c r="B1649" s="15"/>
      <c r="C1649" s="15"/>
      <c r="D1649" s="15"/>
      <c r="E1649" s="6"/>
      <c r="F1649" s="6"/>
      <c r="G1649" s="6"/>
      <c r="K1649" s="222"/>
      <c r="V1649" s="1430"/>
      <c r="AA1649" s="223"/>
      <c r="AC1649" s="889"/>
      <c r="AF1649" s="890"/>
      <c r="AJ1649" s="889"/>
      <c r="AN1649" s="222"/>
      <c r="BC1649" s="223"/>
      <c r="BD1649" s="222"/>
      <c r="BH1649" s="611"/>
      <c r="BJ1649" s="15"/>
      <c r="BK1649" s="15"/>
      <c r="BO1649" s="223"/>
      <c r="BQ1649" s="889"/>
      <c r="BT1649" s="890"/>
      <c r="BX1649" s="889"/>
      <c r="CB1649" s="15"/>
      <c r="CC1649" s="697"/>
      <c r="CD1649" s="1086"/>
      <c r="CE1649" s="15"/>
      <c r="CF1649" s="15"/>
      <c r="CG1649" s="936"/>
      <c r="CH1649" s="15"/>
      <c r="CI1649" s="15"/>
      <c r="CJ1649" s="15"/>
      <c r="CK1649" s="1107"/>
      <c r="CL1649" s="22"/>
      <c r="CM1649" s="22"/>
      <c r="CN1649" s="1107"/>
      <c r="CR1649" s="223"/>
      <c r="CS1649" s="952"/>
      <c r="CT1649" s="1066"/>
      <c r="CU1649" s="972"/>
      <c r="CV1649" s="983"/>
      <c r="CW1649" s="222"/>
      <c r="CX1649" s="697"/>
      <c r="DC1649" s="222"/>
      <c r="DJ1649" s="889"/>
      <c r="DM1649" s="890"/>
      <c r="DN1649" s="952"/>
      <c r="DO1649" s="75"/>
      <c r="DP1649" s="962"/>
      <c r="DQ1649" s="983"/>
      <c r="DV1649" s="889"/>
    </row>
    <row r="1650" spans="1:126" s="74" customFormat="1">
      <c r="A1650" s="15"/>
      <c r="B1650" s="15"/>
      <c r="C1650" s="15"/>
      <c r="D1650" s="15"/>
      <c r="E1650" s="6"/>
      <c r="F1650" s="6"/>
      <c r="G1650" s="6"/>
      <c r="K1650" s="222"/>
      <c r="V1650" s="1430"/>
      <c r="AA1650" s="223"/>
      <c r="AC1650" s="889"/>
      <c r="AF1650" s="890"/>
      <c r="AJ1650" s="889"/>
      <c r="AN1650" s="222"/>
      <c r="BC1650" s="223"/>
      <c r="BD1650" s="222"/>
      <c r="BH1650" s="611"/>
      <c r="BJ1650" s="15"/>
      <c r="BK1650" s="15"/>
      <c r="BO1650" s="223"/>
      <c r="BQ1650" s="889"/>
      <c r="BT1650" s="890"/>
      <c r="BX1650" s="889"/>
      <c r="CB1650" s="15"/>
      <c r="CC1650" s="697"/>
      <c r="CD1650" s="1086"/>
      <c r="CE1650" s="15"/>
      <c r="CF1650" s="15"/>
      <c r="CG1650" s="936"/>
      <c r="CH1650" s="15"/>
      <c r="CI1650" s="15"/>
      <c r="CJ1650" s="15"/>
      <c r="CK1650" s="1107"/>
      <c r="CL1650" s="22"/>
      <c r="CM1650" s="22"/>
      <c r="CN1650" s="1107"/>
      <c r="CR1650" s="223"/>
      <c r="CS1650" s="952"/>
      <c r="CT1650" s="1066"/>
      <c r="CU1650" s="972"/>
      <c r="CV1650" s="983"/>
      <c r="CW1650" s="222"/>
      <c r="CX1650" s="697"/>
      <c r="DC1650" s="222"/>
      <c r="DJ1650" s="889"/>
      <c r="DM1650" s="890"/>
      <c r="DN1650" s="952"/>
      <c r="DO1650" s="75"/>
      <c r="DP1650" s="962"/>
      <c r="DQ1650" s="983"/>
      <c r="DV1650" s="889"/>
    </row>
    <row r="1651" spans="1:126" s="74" customFormat="1">
      <c r="A1651" s="15"/>
      <c r="B1651" s="15"/>
      <c r="C1651" s="15"/>
      <c r="D1651" s="15"/>
      <c r="E1651" s="6"/>
      <c r="F1651" s="6"/>
      <c r="G1651" s="6"/>
      <c r="K1651" s="222"/>
      <c r="V1651" s="1430"/>
      <c r="AA1651" s="223"/>
      <c r="AC1651" s="889"/>
      <c r="AF1651" s="890"/>
      <c r="AJ1651" s="889"/>
      <c r="AN1651" s="222"/>
      <c r="BC1651" s="223"/>
      <c r="BD1651" s="222"/>
      <c r="BH1651" s="611"/>
      <c r="BJ1651" s="15"/>
      <c r="BK1651" s="15"/>
      <c r="BO1651" s="223"/>
      <c r="BQ1651" s="889"/>
      <c r="BT1651" s="890"/>
      <c r="BX1651" s="889"/>
      <c r="CB1651" s="15"/>
      <c r="CC1651" s="697"/>
      <c r="CD1651" s="1086"/>
      <c r="CE1651" s="15"/>
      <c r="CF1651" s="15"/>
      <c r="CG1651" s="936"/>
      <c r="CH1651" s="15"/>
      <c r="CI1651" s="15"/>
      <c r="CJ1651" s="15"/>
      <c r="CK1651" s="1107"/>
      <c r="CL1651" s="22"/>
      <c r="CM1651" s="22"/>
      <c r="CN1651" s="1107"/>
      <c r="CR1651" s="223"/>
      <c r="CS1651" s="952"/>
      <c r="CT1651" s="1066"/>
      <c r="CU1651" s="972"/>
      <c r="CV1651" s="983"/>
      <c r="CW1651" s="222"/>
      <c r="CX1651" s="697"/>
      <c r="DC1651" s="222"/>
      <c r="DJ1651" s="889"/>
      <c r="DM1651" s="890"/>
      <c r="DN1651" s="952"/>
      <c r="DO1651" s="75"/>
      <c r="DP1651" s="962"/>
      <c r="DQ1651" s="983"/>
      <c r="DV1651" s="889"/>
    </row>
    <row r="1652" spans="1:126" s="74" customFormat="1">
      <c r="A1652" s="15"/>
      <c r="B1652" s="15"/>
      <c r="C1652" s="15"/>
      <c r="D1652" s="15"/>
      <c r="E1652" s="6"/>
      <c r="F1652" s="6"/>
      <c r="G1652" s="6"/>
      <c r="K1652" s="222"/>
      <c r="V1652" s="1430"/>
      <c r="AA1652" s="223"/>
      <c r="AC1652" s="889"/>
      <c r="AF1652" s="890"/>
      <c r="AJ1652" s="889"/>
      <c r="AN1652" s="222"/>
      <c r="BC1652" s="223"/>
      <c r="BD1652" s="222"/>
      <c r="BH1652" s="611"/>
      <c r="BJ1652" s="15"/>
      <c r="BK1652" s="15"/>
      <c r="BO1652" s="223"/>
      <c r="BQ1652" s="889"/>
      <c r="BT1652" s="890"/>
      <c r="BX1652" s="889"/>
      <c r="CB1652" s="15"/>
      <c r="CC1652" s="697"/>
      <c r="CD1652" s="1086"/>
      <c r="CE1652" s="15"/>
      <c r="CF1652" s="15"/>
      <c r="CG1652" s="936"/>
      <c r="CH1652" s="15"/>
      <c r="CI1652" s="15"/>
      <c r="CJ1652" s="15"/>
      <c r="CK1652" s="1107"/>
      <c r="CL1652" s="22"/>
      <c r="CM1652" s="22"/>
      <c r="CN1652" s="1107"/>
      <c r="CR1652" s="223"/>
      <c r="CS1652" s="952"/>
      <c r="CT1652" s="1066"/>
      <c r="CU1652" s="972"/>
      <c r="CV1652" s="983"/>
      <c r="CW1652" s="222"/>
      <c r="CX1652" s="697"/>
      <c r="DC1652" s="222"/>
      <c r="DJ1652" s="889"/>
      <c r="DM1652" s="890"/>
      <c r="DN1652" s="952"/>
      <c r="DO1652" s="75"/>
      <c r="DP1652" s="962"/>
      <c r="DQ1652" s="983"/>
      <c r="DV1652" s="889"/>
    </row>
    <row r="1653" spans="1:126" s="74" customFormat="1">
      <c r="A1653" s="15"/>
      <c r="B1653" s="15"/>
      <c r="C1653" s="15"/>
      <c r="D1653" s="15"/>
      <c r="E1653" s="6"/>
      <c r="F1653" s="6"/>
      <c r="G1653" s="6"/>
      <c r="K1653" s="222"/>
      <c r="V1653" s="1430"/>
      <c r="AA1653" s="223"/>
      <c r="AC1653" s="889"/>
      <c r="AF1653" s="890"/>
      <c r="AJ1653" s="889"/>
      <c r="AN1653" s="222"/>
      <c r="BC1653" s="223"/>
      <c r="BD1653" s="222"/>
      <c r="BH1653" s="611"/>
      <c r="BJ1653" s="15"/>
      <c r="BK1653" s="15"/>
      <c r="BO1653" s="223"/>
      <c r="BQ1653" s="889"/>
      <c r="BT1653" s="890"/>
      <c r="BX1653" s="889"/>
      <c r="CB1653" s="15"/>
      <c r="CC1653" s="697"/>
      <c r="CD1653" s="1086"/>
      <c r="CE1653" s="15"/>
      <c r="CF1653" s="15"/>
      <c r="CG1653" s="936"/>
      <c r="CH1653" s="15"/>
      <c r="CI1653" s="15"/>
      <c r="CJ1653" s="15"/>
      <c r="CK1653" s="1107"/>
      <c r="CL1653" s="22"/>
      <c r="CM1653" s="22"/>
      <c r="CN1653" s="1107"/>
      <c r="CR1653" s="223"/>
      <c r="CS1653" s="952"/>
      <c r="CT1653" s="1066"/>
      <c r="CU1653" s="972"/>
      <c r="CV1653" s="983"/>
      <c r="CW1653" s="222"/>
      <c r="CX1653" s="697"/>
      <c r="DC1653" s="222"/>
      <c r="DJ1653" s="889"/>
      <c r="DM1653" s="890"/>
      <c r="DN1653" s="952"/>
      <c r="DO1653" s="75"/>
      <c r="DP1653" s="962"/>
      <c r="DQ1653" s="983"/>
      <c r="DV1653" s="889"/>
    </row>
    <row r="1654" spans="1:126" s="74" customFormat="1">
      <c r="A1654" s="15"/>
      <c r="B1654" s="15"/>
      <c r="C1654" s="15"/>
      <c r="D1654" s="15"/>
      <c r="E1654" s="6"/>
      <c r="F1654" s="6"/>
      <c r="G1654" s="6"/>
      <c r="K1654" s="222"/>
      <c r="V1654" s="1430"/>
      <c r="AA1654" s="223"/>
      <c r="AC1654" s="889"/>
      <c r="AF1654" s="890"/>
      <c r="AJ1654" s="889"/>
      <c r="AN1654" s="222"/>
      <c r="BC1654" s="223"/>
      <c r="BD1654" s="222"/>
      <c r="BH1654" s="611"/>
      <c r="BJ1654" s="15"/>
      <c r="BK1654" s="15"/>
      <c r="BO1654" s="223"/>
      <c r="BQ1654" s="889"/>
      <c r="BT1654" s="890"/>
      <c r="BX1654" s="889"/>
      <c r="CB1654" s="15"/>
      <c r="CC1654" s="697"/>
      <c r="CD1654" s="1086"/>
      <c r="CE1654" s="15"/>
      <c r="CF1654" s="15"/>
      <c r="CG1654" s="936"/>
      <c r="CH1654" s="15"/>
      <c r="CI1654" s="15"/>
      <c r="CJ1654" s="15"/>
      <c r="CK1654" s="1107"/>
      <c r="CL1654" s="22"/>
      <c r="CM1654" s="22"/>
      <c r="CN1654" s="1107"/>
      <c r="CR1654" s="223"/>
      <c r="CS1654" s="952"/>
      <c r="CT1654" s="1066"/>
      <c r="CU1654" s="972"/>
      <c r="CV1654" s="983"/>
      <c r="CW1654" s="222"/>
      <c r="CX1654" s="697"/>
      <c r="DC1654" s="222"/>
      <c r="DJ1654" s="889"/>
      <c r="DM1654" s="890"/>
      <c r="DN1654" s="952"/>
      <c r="DO1654" s="75"/>
      <c r="DP1654" s="962"/>
      <c r="DQ1654" s="983"/>
      <c r="DV1654" s="889"/>
    </row>
    <row r="1655" spans="1:126" s="74" customFormat="1">
      <c r="A1655" s="15"/>
      <c r="B1655" s="15"/>
      <c r="C1655" s="15"/>
      <c r="D1655" s="15"/>
      <c r="E1655" s="6"/>
      <c r="F1655" s="6"/>
      <c r="G1655" s="6"/>
      <c r="K1655" s="222"/>
      <c r="V1655" s="1430"/>
      <c r="AA1655" s="223"/>
      <c r="AC1655" s="889"/>
      <c r="AF1655" s="890"/>
      <c r="AJ1655" s="889"/>
      <c r="AN1655" s="222"/>
      <c r="BC1655" s="223"/>
      <c r="BD1655" s="222"/>
      <c r="BH1655" s="611"/>
      <c r="BJ1655" s="15"/>
      <c r="BK1655" s="15"/>
      <c r="BO1655" s="223"/>
      <c r="BQ1655" s="889"/>
      <c r="BT1655" s="890"/>
      <c r="BX1655" s="889"/>
      <c r="CB1655" s="15"/>
      <c r="CC1655" s="697"/>
      <c r="CD1655" s="1086"/>
      <c r="CE1655" s="15"/>
      <c r="CF1655" s="15"/>
      <c r="CG1655" s="936"/>
      <c r="CH1655" s="15"/>
      <c r="CI1655" s="15"/>
      <c r="CJ1655" s="15"/>
      <c r="CK1655" s="1107"/>
      <c r="CL1655" s="22"/>
      <c r="CM1655" s="22"/>
      <c r="CN1655" s="1107"/>
      <c r="CR1655" s="223"/>
      <c r="CS1655" s="952"/>
      <c r="CT1655" s="1066"/>
      <c r="CU1655" s="972"/>
      <c r="CV1655" s="983"/>
      <c r="CW1655" s="222"/>
      <c r="CX1655" s="697"/>
      <c r="DC1655" s="222"/>
      <c r="DJ1655" s="889"/>
      <c r="DM1655" s="890"/>
      <c r="DN1655" s="952"/>
      <c r="DO1655" s="75"/>
      <c r="DP1655" s="962"/>
      <c r="DQ1655" s="983"/>
      <c r="DV1655" s="889"/>
    </row>
    <row r="1656" spans="1:126" s="74" customFormat="1">
      <c r="A1656" s="15"/>
      <c r="B1656" s="15"/>
      <c r="C1656" s="15"/>
      <c r="D1656" s="15"/>
      <c r="E1656" s="6"/>
      <c r="F1656" s="6"/>
      <c r="G1656" s="6"/>
      <c r="K1656" s="222"/>
      <c r="V1656" s="1430"/>
      <c r="AA1656" s="223"/>
      <c r="AC1656" s="889"/>
      <c r="AF1656" s="890"/>
      <c r="AJ1656" s="889"/>
      <c r="AN1656" s="222"/>
      <c r="BC1656" s="223"/>
      <c r="BD1656" s="222"/>
      <c r="BH1656" s="611"/>
      <c r="BJ1656" s="15"/>
      <c r="BK1656" s="15"/>
      <c r="BO1656" s="223"/>
      <c r="BQ1656" s="889"/>
      <c r="BT1656" s="890"/>
      <c r="BX1656" s="889"/>
      <c r="CB1656" s="15"/>
      <c r="CC1656" s="697"/>
      <c r="CD1656" s="1086"/>
      <c r="CE1656" s="15"/>
      <c r="CF1656" s="15"/>
      <c r="CG1656" s="936"/>
      <c r="CH1656" s="15"/>
      <c r="CI1656" s="15"/>
      <c r="CJ1656" s="15"/>
      <c r="CK1656" s="1107"/>
      <c r="CL1656" s="22"/>
      <c r="CM1656" s="22"/>
      <c r="CN1656" s="1107"/>
      <c r="CR1656" s="223"/>
      <c r="CS1656" s="952"/>
      <c r="CT1656" s="1066"/>
      <c r="CU1656" s="972"/>
      <c r="CV1656" s="983"/>
      <c r="CW1656" s="222"/>
      <c r="CX1656" s="697"/>
      <c r="DC1656" s="222"/>
      <c r="DJ1656" s="889"/>
      <c r="DM1656" s="890"/>
      <c r="DN1656" s="952"/>
      <c r="DO1656" s="75"/>
      <c r="DP1656" s="962"/>
      <c r="DQ1656" s="983"/>
      <c r="DV1656" s="889"/>
    </row>
    <row r="1657" spans="1:126" s="74" customFormat="1">
      <c r="A1657" s="15"/>
      <c r="B1657" s="15"/>
      <c r="C1657" s="15"/>
      <c r="D1657" s="15"/>
      <c r="E1657" s="6"/>
      <c r="F1657" s="6"/>
      <c r="G1657" s="6"/>
      <c r="K1657" s="222"/>
      <c r="V1657" s="1430"/>
      <c r="AA1657" s="223"/>
      <c r="AC1657" s="889"/>
      <c r="AF1657" s="890"/>
      <c r="AJ1657" s="889"/>
      <c r="AN1657" s="222"/>
      <c r="BC1657" s="223"/>
      <c r="BD1657" s="222"/>
      <c r="BH1657" s="611"/>
      <c r="BJ1657" s="15"/>
      <c r="BK1657" s="15"/>
      <c r="BO1657" s="223"/>
      <c r="BQ1657" s="889"/>
      <c r="BT1657" s="890"/>
      <c r="BX1657" s="889"/>
      <c r="CB1657" s="15"/>
      <c r="CC1657" s="697"/>
      <c r="CD1657" s="1086"/>
      <c r="CE1657" s="15"/>
      <c r="CF1657" s="15"/>
      <c r="CG1657" s="936"/>
      <c r="CH1657" s="15"/>
      <c r="CI1657" s="15"/>
      <c r="CJ1657" s="15"/>
      <c r="CK1657" s="1107"/>
      <c r="CL1657" s="22"/>
      <c r="CM1657" s="22"/>
      <c r="CN1657" s="1107"/>
      <c r="CR1657" s="223"/>
      <c r="CS1657" s="952"/>
      <c r="CT1657" s="1066"/>
      <c r="CU1657" s="972"/>
      <c r="CV1657" s="983"/>
      <c r="CW1657" s="222"/>
      <c r="CX1657" s="697"/>
      <c r="DC1657" s="222"/>
      <c r="DJ1657" s="889"/>
      <c r="DM1657" s="890"/>
      <c r="DN1657" s="952"/>
      <c r="DO1657" s="75"/>
      <c r="DP1657" s="962"/>
      <c r="DQ1657" s="983"/>
      <c r="DV1657" s="889"/>
    </row>
    <row r="1658" spans="1:126" s="74" customFormat="1">
      <c r="A1658" s="15"/>
      <c r="B1658" s="15"/>
      <c r="C1658" s="15"/>
      <c r="D1658" s="15"/>
      <c r="E1658" s="6"/>
      <c r="F1658" s="6"/>
      <c r="G1658" s="6"/>
      <c r="K1658" s="222"/>
      <c r="V1658" s="1430"/>
      <c r="AA1658" s="223"/>
      <c r="AC1658" s="889"/>
      <c r="AF1658" s="890"/>
      <c r="AJ1658" s="889"/>
      <c r="AN1658" s="222"/>
      <c r="BC1658" s="223"/>
      <c r="BD1658" s="222"/>
      <c r="BH1658" s="611"/>
      <c r="BJ1658" s="15"/>
      <c r="BK1658" s="15"/>
      <c r="BO1658" s="223"/>
      <c r="BQ1658" s="889"/>
      <c r="BT1658" s="890"/>
      <c r="BX1658" s="889"/>
      <c r="CB1658" s="15"/>
      <c r="CC1658" s="697"/>
      <c r="CD1658" s="1086"/>
      <c r="CE1658" s="15"/>
      <c r="CF1658" s="15"/>
      <c r="CG1658" s="936"/>
      <c r="CH1658" s="15"/>
      <c r="CI1658" s="15"/>
      <c r="CJ1658" s="15"/>
      <c r="CK1658" s="1107"/>
      <c r="CL1658" s="22"/>
      <c r="CM1658" s="22"/>
      <c r="CN1658" s="1107"/>
      <c r="CR1658" s="223"/>
      <c r="CS1658" s="952"/>
      <c r="CT1658" s="1066"/>
      <c r="CU1658" s="972"/>
      <c r="CV1658" s="983"/>
      <c r="CW1658" s="222"/>
      <c r="CX1658" s="697"/>
      <c r="DC1658" s="222"/>
      <c r="DJ1658" s="889"/>
      <c r="DM1658" s="890"/>
      <c r="DN1658" s="952"/>
      <c r="DO1658" s="75"/>
      <c r="DP1658" s="962"/>
      <c r="DQ1658" s="983"/>
      <c r="DV1658" s="889"/>
    </row>
    <row r="1659" spans="1:126" s="74" customFormat="1">
      <c r="A1659" s="15"/>
      <c r="B1659" s="15"/>
      <c r="C1659" s="15"/>
      <c r="D1659" s="15"/>
      <c r="E1659" s="6"/>
      <c r="F1659" s="6"/>
      <c r="G1659" s="6"/>
      <c r="K1659" s="222"/>
      <c r="V1659" s="1430"/>
      <c r="AA1659" s="223"/>
      <c r="AC1659" s="889"/>
      <c r="AF1659" s="890"/>
      <c r="AJ1659" s="889"/>
      <c r="AN1659" s="222"/>
      <c r="BC1659" s="223"/>
      <c r="BD1659" s="222"/>
      <c r="BH1659" s="611"/>
      <c r="BJ1659" s="15"/>
      <c r="BK1659" s="15"/>
      <c r="BO1659" s="223"/>
      <c r="BQ1659" s="889"/>
      <c r="BT1659" s="890"/>
      <c r="BX1659" s="889"/>
      <c r="CB1659" s="15"/>
      <c r="CC1659" s="697"/>
      <c r="CD1659" s="1086"/>
      <c r="CE1659" s="15"/>
      <c r="CF1659" s="15"/>
      <c r="CG1659" s="936"/>
      <c r="CH1659" s="15"/>
      <c r="CI1659" s="15"/>
      <c r="CJ1659" s="15"/>
      <c r="CK1659" s="1107"/>
      <c r="CL1659" s="22"/>
      <c r="CM1659" s="22"/>
      <c r="CN1659" s="1107"/>
      <c r="CR1659" s="223"/>
      <c r="CS1659" s="952"/>
      <c r="CT1659" s="1066"/>
      <c r="CU1659" s="972"/>
      <c r="CV1659" s="983"/>
      <c r="CW1659" s="222"/>
      <c r="CX1659" s="697"/>
      <c r="DC1659" s="222"/>
      <c r="DJ1659" s="889"/>
      <c r="DM1659" s="890"/>
      <c r="DN1659" s="952"/>
      <c r="DO1659" s="75"/>
      <c r="DP1659" s="962"/>
      <c r="DQ1659" s="983"/>
      <c r="DV1659" s="889"/>
    </row>
    <row r="1660" spans="1:126" s="74" customFormat="1">
      <c r="A1660" s="15"/>
      <c r="B1660" s="15"/>
      <c r="C1660" s="15"/>
      <c r="D1660" s="15"/>
      <c r="E1660" s="6"/>
      <c r="F1660" s="6"/>
      <c r="G1660" s="6"/>
      <c r="K1660" s="222"/>
      <c r="V1660" s="1430"/>
      <c r="AA1660" s="223"/>
      <c r="AC1660" s="889"/>
      <c r="AF1660" s="890"/>
      <c r="AJ1660" s="889"/>
      <c r="AN1660" s="222"/>
      <c r="BC1660" s="223"/>
      <c r="BD1660" s="222"/>
      <c r="BH1660" s="611"/>
      <c r="BJ1660" s="15"/>
      <c r="BK1660" s="15"/>
      <c r="BO1660" s="223"/>
      <c r="BQ1660" s="889"/>
      <c r="BT1660" s="890"/>
      <c r="BX1660" s="889"/>
      <c r="CB1660" s="15"/>
      <c r="CC1660" s="697"/>
      <c r="CD1660" s="1086"/>
      <c r="CE1660" s="15"/>
      <c r="CF1660" s="15"/>
      <c r="CG1660" s="936"/>
      <c r="CH1660" s="15"/>
      <c r="CI1660" s="15"/>
      <c r="CJ1660" s="15"/>
      <c r="CK1660" s="1107"/>
      <c r="CL1660" s="22"/>
      <c r="CM1660" s="22"/>
      <c r="CN1660" s="1107"/>
      <c r="CR1660" s="223"/>
      <c r="CS1660" s="952"/>
      <c r="CT1660" s="1066"/>
      <c r="CU1660" s="972"/>
      <c r="CV1660" s="983"/>
      <c r="CW1660" s="222"/>
      <c r="CX1660" s="697"/>
      <c r="DC1660" s="222"/>
      <c r="DJ1660" s="889"/>
      <c r="DM1660" s="890"/>
      <c r="DN1660" s="952"/>
      <c r="DO1660" s="75"/>
      <c r="DP1660" s="962"/>
      <c r="DQ1660" s="983"/>
      <c r="DV1660" s="889"/>
    </row>
    <row r="1661" spans="1:126" s="74" customFormat="1">
      <c r="A1661" s="15"/>
      <c r="B1661" s="15"/>
      <c r="C1661" s="15"/>
      <c r="D1661" s="15"/>
      <c r="E1661" s="6"/>
      <c r="F1661" s="6"/>
      <c r="G1661" s="6"/>
      <c r="K1661" s="222"/>
      <c r="V1661" s="1430"/>
      <c r="AA1661" s="223"/>
      <c r="AC1661" s="889"/>
      <c r="AF1661" s="890"/>
      <c r="AJ1661" s="889"/>
      <c r="AN1661" s="222"/>
      <c r="BC1661" s="223"/>
      <c r="BD1661" s="222"/>
      <c r="BH1661" s="611"/>
      <c r="BJ1661" s="15"/>
      <c r="BK1661" s="15"/>
      <c r="BO1661" s="223"/>
      <c r="BQ1661" s="889"/>
      <c r="BT1661" s="890"/>
      <c r="BX1661" s="889"/>
      <c r="CB1661" s="15"/>
      <c r="CC1661" s="697"/>
      <c r="CD1661" s="1086"/>
      <c r="CE1661" s="15"/>
      <c r="CF1661" s="15"/>
      <c r="CG1661" s="936"/>
      <c r="CH1661" s="15"/>
      <c r="CI1661" s="15"/>
      <c r="CJ1661" s="15"/>
      <c r="CK1661" s="1107"/>
      <c r="CL1661" s="22"/>
      <c r="CM1661" s="22"/>
      <c r="CN1661" s="1107"/>
      <c r="CR1661" s="223"/>
      <c r="CS1661" s="952"/>
      <c r="CT1661" s="1066"/>
      <c r="CU1661" s="972"/>
      <c r="CV1661" s="983"/>
      <c r="CW1661" s="222"/>
      <c r="CX1661" s="697"/>
      <c r="DC1661" s="222"/>
      <c r="DJ1661" s="889"/>
      <c r="DM1661" s="890"/>
      <c r="DN1661" s="952"/>
      <c r="DO1661" s="75"/>
      <c r="DP1661" s="962"/>
      <c r="DQ1661" s="983"/>
      <c r="DV1661" s="889"/>
    </row>
    <row r="1662" spans="1:126" s="74" customFormat="1">
      <c r="A1662" s="15"/>
      <c r="B1662" s="15"/>
      <c r="C1662" s="15"/>
      <c r="D1662" s="15"/>
      <c r="E1662" s="6"/>
      <c r="F1662" s="6"/>
      <c r="G1662" s="6"/>
      <c r="K1662" s="222"/>
      <c r="V1662" s="1430"/>
      <c r="AA1662" s="223"/>
      <c r="AC1662" s="889"/>
      <c r="AF1662" s="890"/>
      <c r="AJ1662" s="889"/>
      <c r="AN1662" s="222"/>
      <c r="BC1662" s="223"/>
      <c r="BD1662" s="222"/>
      <c r="BH1662" s="611"/>
      <c r="BJ1662" s="15"/>
      <c r="BK1662" s="15"/>
      <c r="BO1662" s="223"/>
      <c r="BQ1662" s="889"/>
      <c r="BT1662" s="890"/>
      <c r="BX1662" s="889"/>
      <c r="CB1662" s="15"/>
      <c r="CC1662" s="697"/>
      <c r="CD1662" s="1086"/>
      <c r="CE1662" s="15"/>
      <c r="CF1662" s="15"/>
      <c r="CG1662" s="936"/>
      <c r="CH1662" s="15"/>
      <c r="CI1662" s="15"/>
      <c r="CJ1662" s="15"/>
      <c r="CK1662" s="1107"/>
      <c r="CL1662" s="22"/>
      <c r="CM1662" s="22"/>
      <c r="CN1662" s="1107"/>
      <c r="CR1662" s="223"/>
      <c r="CS1662" s="952"/>
      <c r="CT1662" s="1066"/>
      <c r="CU1662" s="972"/>
      <c r="CV1662" s="983"/>
      <c r="CW1662" s="222"/>
      <c r="CX1662" s="697"/>
      <c r="DC1662" s="222"/>
      <c r="DJ1662" s="889"/>
      <c r="DM1662" s="890"/>
      <c r="DN1662" s="952"/>
      <c r="DO1662" s="75"/>
      <c r="DP1662" s="962"/>
      <c r="DQ1662" s="983"/>
      <c r="DV1662" s="889"/>
    </row>
    <row r="1663" spans="1:126" s="74" customFormat="1">
      <c r="A1663" s="15"/>
      <c r="B1663" s="15"/>
      <c r="C1663" s="15"/>
      <c r="D1663" s="15"/>
      <c r="E1663" s="6"/>
      <c r="F1663" s="6"/>
      <c r="G1663" s="6"/>
      <c r="K1663" s="222"/>
      <c r="V1663" s="1430"/>
      <c r="AA1663" s="223"/>
      <c r="AC1663" s="889"/>
      <c r="AF1663" s="890"/>
      <c r="AJ1663" s="889"/>
      <c r="AN1663" s="222"/>
      <c r="BC1663" s="223"/>
      <c r="BD1663" s="222"/>
      <c r="BH1663" s="611"/>
      <c r="BJ1663" s="15"/>
      <c r="BK1663" s="15"/>
      <c r="BO1663" s="223"/>
      <c r="BQ1663" s="889"/>
      <c r="BT1663" s="890"/>
      <c r="BX1663" s="889"/>
      <c r="CB1663" s="15"/>
      <c r="CC1663" s="697"/>
      <c r="CD1663" s="1086"/>
      <c r="CE1663" s="15"/>
      <c r="CF1663" s="15"/>
      <c r="CG1663" s="936"/>
      <c r="CH1663" s="15"/>
      <c r="CI1663" s="15"/>
      <c r="CJ1663" s="15"/>
      <c r="CK1663" s="1107"/>
      <c r="CL1663" s="22"/>
      <c r="CM1663" s="22"/>
      <c r="CN1663" s="1107"/>
      <c r="CR1663" s="223"/>
      <c r="CS1663" s="952"/>
      <c r="CT1663" s="1066"/>
      <c r="CU1663" s="972"/>
      <c r="CV1663" s="983"/>
      <c r="CW1663" s="222"/>
      <c r="CX1663" s="697"/>
      <c r="DC1663" s="222"/>
      <c r="DJ1663" s="889"/>
      <c r="DM1663" s="890"/>
      <c r="DN1663" s="952"/>
      <c r="DO1663" s="75"/>
      <c r="DP1663" s="962"/>
      <c r="DQ1663" s="983"/>
      <c r="DV1663" s="889"/>
    </row>
    <row r="1664" spans="1:126" s="74" customFormat="1">
      <c r="A1664" s="15"/>
      <c r="B1664" s="15"/>
      <c r="C1664" s="15"/>
      <c r="D1664" s="15"/>
      <c r="E1664" s="6"/>
      <c r="F1664" s="6"/>
      <c r="G1664" s="6"/>
      <c r="K1664" s="222"/>
      <c r="V1664" s="1430"/>
      <c r="AA1664" s="223"/>
      <c r="AC1664" s="889"/>
      <c r="AF1664" s="890"/>
      <c r="AJ1664" s="889"/>
      <c r="AN1664" s="222"/>
      <c r="BC1664" s="223"/>
      <c r="BD1664" s="222"/>
      <c r="BH1664" s="611"/>
      <c r="BJ1664" s="15"/>
      <c r="BK1664" s="15"/>
      <c r="BO1664" s="223"/>
      <c r="BQ1664" s="889"/>
      <c r="BT1664" s="890"/>
      <c r="BX1664" s="889"/>
      <c r="CB1664" s="15"/>
      <c r="CC1664" s="697"/>
      <c r="CD1664" s="1086"/>
      <c r="CE1664" s="15"/>
      <c r="CF1664" s="15"/>
      <c r="CG1664" s="936"/>
      <c r="CH1664" s="15"/>
      <c r="CI1664" s="15"/>
      <c r="CJ1664" s="15"/>
      <c r="CK1664" s="1107"/>
      <c r="CL1664" s="22"/>
      <c r="CM1664" s="22"/>
      <c r="CN1664" s="1107"/>
      <c r="CR1664" s="223"/>
      <c r="CS1664" s="952"/>
      <c r="CT1664" s="1066"/>
      <c r="CU1664" s="972"/>
      <c r="CV1664" s="983"/>
      <c r="CW1664" s="222"/>
      <c r="CX1664" s="697"/>
      <c r="DC1664" s="222"/>
      <c r="DJ1664" s="889"/>
      <c r="DM1664" s="890"/>
      <c r="DN1664" s="952"/>
      <c r="DO1664" s="75"/>
      <c r="DP1664" s="962"/>
      <c r="DQ1664" s="983"/>
      <c r="DV1664" s="889"/>
    </row>
    <row r="1665" spans="1:126" s="74" customFormat="1">
      <c r="A1665" s="15"/>
      <c r="B1665" s="15"/>
      <c r="C1665" s="15"/>
      <c r="D1665" s="15"/>
      <c r="E1665" s="6"/>
      <c r="F1665" s="6"/>
      <c r="G1665" s="6"/>
      <c r="K1665" s="222"/>
      <c r="V1665" s="1430"/>
      <c r="AA1665" s="223"/>
      <c r="AC1665" s="889"/>
      <c r="AF1665" s="890"/>
      <c r="AJ1665" s="889"/>
      <c r="AN1665" s="222"/>
      <c r="BC1665" s="223"/>
      <c r="BD1665" s="222"/>
      <c r="BH1665" s="611"/>
      <c r="BJ1665" s="15"/>
      <c r="BK1665" s="15"/>
      <c r="BO1665" s="223"/>
      <c r="BQ1665" s="889"/>
      <c r="BT1665" s="890"/>
      <c r="BX1665" s="889"/>
      <c r="CB1665" s="15"/>
      <c r="CC1665" s="697"/>
      <c r="CD1665" s="1086"/>
      <c r="CE1665" s="15"/>
      <c r="CF1665" s="15"/>
      <c r="CG1665" s="936"/>
      <c r="CH1665" s="15"/>
      <c r="CI1665" s="15"/>
      <c r="CJ1665" s="15"/>
      <c r="CK1665" s="1107"/>
      <c r="CL1665" s="22"/>
      <c r="CM1665" s="22"/>
      <c r="CN1665" s="1107"/>
      <c r="CR1665" s="223"/>
      <c r="CS1665" s="952"/>
      <c r="CT1665" s="1066"/>
      <c r="CU1665" s="972"/>
      <c r="CV1665" s="983"/>
      <c r="CW1665" s="222"/>
      <c r="CX1665" s="697"/>
      <c r="DC1665" s="222"/>
      <c r="DJ1665" s="889"/>
      <c r="DM1665" s="890"/>
      <c r="DN1665" s="952"/>
      <c r="DO1665" s="75"/>
      <c r="DP1665" s="962"/>
      <c r="DQ1665" s="983"/>
      <c r="DV1665" s="889"/>
    </row>
    <row r="1666" spans="1:126" s="74" customFormat="1">
      <c r="A1666" s="15"/>
      <c r="B1666" s="15"/>
      <c r="C1666" s="15"/>
      <c r="D1666" s="15"/>
      <c r="E1666" s="6"/>
      <c r="F1666" s="6"/>
      <c r="G1666" s="6"/>
      <c r="K1666" s="222"/>
      <c r="V1666" s="1430"/>
      <c r="AA1666" s="223"/>
      <c r="AC1666" s="889"/>
      <c r="AF1666" s="890"/>
      <c r="AJ1666" s="889"/>
      <c r="AN1666" s="222"/>
      <c r="BC1666" s="223"/>
      <c r="BD1666" s="222"/>
      <c r="BH1666" s="611"/>
      <c r="BJ1666" s="15"/>
      <c r="BK1666" s="15"/>
      <c r="BO1666" s="223"/>
      <c r="BQ1666" s="889"/>
      <c r="BT1666" s="890"/>
      <c r="BX1666" s="889"/>
      <c r="CB1666" s="15"/>
      <c r="CC1666" s="697"/>
      <c r="CD1666" s="1086"/>
      <c r="CE1666" s="15"/>
      <c r="CF1666" s="15"/>
      <c r="CG1666" s="936"/>
      <c r="CH1666" s="15"/>
      <c r="CI1666" s="15"/>
      <c r="CJ1666" s="15"/>
      <c r="CK1666" s="1107"/>
      <c r="CL1666" s="22"/>
      <c r="CM1666" s="22"/>
      <c r="CN1666" s="1107"/>
      <c r="CR1666" s="223"/>
      <c r="CS1666" s="952"/>
      <c r="CT1666" s="1066"/>
      <c r="CU1666" s="972"/>
      <c r="CV1666" s="983"/>
      <c r="CW1666" s="222"/>
      <c r="CX1666" s="697"/>
      <c r="DC1666" s="222"/>
      <c r="DJ1666" s="889"/>
      <c r="DM1666" s="890"/>
      <c r="DN1666" s="952"/>
      <c r="DO1666" s="75"/>
      <c r="DP1666" s="962"/>
      <c r="DQ1666" s="983"/>
      <c r="DV1666" s="889"/>
    </row>
    <row r="1667" spans="1:126" s="74" customFormat="1">
      <c r="A1667" s="15"/>
      <c r="B1667" s="15"/>
      <c r="C1667" s="15"/>
      <c r="D1667" s="15"/>
      <c r="E1667" s="6"/>
      <c r="F1667" s="6"/>
      <c r="G1667" s="6"/>
      <c r="K1667" s="222"/>
      <c r="V1667" s="1430"/>
      <c r="AA1667" s="223"/>
      <c r="AC1667" s="889"/>
      <c r="AF1667" s="890"/>
      <c r="AJ1667" s="889"/>
      <c r="AN1667" s="222"/>
      <c r="BC1667" s="223"/>
      <c r="BD1667" s="222"/>
      <c r="BH1667" s="611"/>
      <c r="BJ1667" s="15"/>
      <c r="BK1667" s="15"/>
      <c r="BO1667" s="223"/>
      <c r="BQ1667" s="889"/>
      <c r="BT1667" s="890"/>
      <c r="BX1667" s="889"/>
      <c r="CB1667" s="15"/>
      <c r="CC1667" s="697"/>
      <c r="CD1667" s="1086"/>
      <c r="CE1667" s="15"/>
      <c r="CF1667" s="15"/>
      <c r="CG1667" s="936"/>
      <c r="CH1667" s="15"/>
      <c r="CI1667" s="15"/>
      <c r="CJ1667" s="15"/>
      <c r="CK1667" s="1107"/>
      <c r="CL1667" s="22"/>
      <c r="CM1667" s="22"/>
      <c r="CN1667" s="1107"/>
      <c r="CR1667" s="223"/>
      <c r="CS1667" s="952"/>
      <c r="CT1667" s="1066"/>
      <c r="CU1667" s="972"/>
      <c r="CV1667" s="983"/>
      <c r="CW1667" s="222"/>
      <c r="CX1667" s="697"/>
      <c r="DC1667" s="222"/>
      <c r="DJ1667" s="889"/>
      <c r="DM1667" s="890"/>
      <c r="DN1667" s="952"/>
      <c r="DO1667" s="75"/>
      <c r="DP1667" s="962"/>
      <c r="DQ1667" s="983"/>
      <c r="DV1667" s="889"/>
    </row>
    <row r="1668" spans="1:126" s="74" customFormat="1">
      <c r="A1668" s="15"/>
      <c r="B1668" s="15"/>
      <c r="C1668" s="15"/>
      <c r="D1668" s="15"/>
      <c r="E1668" s="6"/>
      <c r="F1668" s="6"/>
      <c r="G1668" s="6"/>
      <c r="K1668" s="222"/>
      <c r="V1668" s="1430"/>
      <c r="AA1668" s="223"/>
      <c r="AC1668" s="889"/>
      <c r="AF1668" s="890"/>
      <c r="AJ1668" s="889"/>
      <c r="AN1668" s="222"/>
      <c r="BC1668" s="223"/>
      <c r="BD1668" s="222"/>
      <c r="BH1668" s="611"/>
      <c r="BJ1668" s="15"/>
      <c r="BK1668" s="15"/>
      <c r="BO1668" s="223"/>
      <c r="BQ1668" s="889"/>
      <c r="BT1668" s="890"/>
      <c r="BX1668" s="889"/>
      <c r="CB1668" s="15"/>
      <c r="CC1668" s="697"/>
      <c r="CD1668" s="1086"/>
      <c r="CE1668" s="15"/>
      <c r="CF1668" s="15"/>
      <c r="CG1668" s="936"/>
      <c r="CH1668" s="15"/>
      <c r="CI1668" s="15"/>
      <c r="CJ1668" s="15"/>
      <c r="CK1668" s="1107"/>
      <c r="CL1668" s="22"/>
      <c r="CM1668" s="22"/>
      <c r="CN1668" s="1107"/>
      <c r="CR1668" s="223"/>
      <c r="CS1668" s="952"/>
      <c r="CT1668" s="1066"/>
      <c r="CU1668" s="972"/>
      <c r="CV1668" s="983"/>
      <c r="CW1668" s="222"/>
      <c r="CX1668" s="697"/>
      <c r="DC1668" s="222"/>
      <c r="DJ1668" s="889"/>
      <c r="DM1668" s="890"/>
      <c r="DN1668" s="952"/>
      <c r="DO1668" s="75"/>
      <c r="DP1668" s="962"/>
      <c r="DQ1668" s="983"/>
      <c r="DV1668" s="889"/>
    </row>
    <row r="1669" spans="1:126" s="74" customFormat="1">
      <c r="A1669" s="15"/>
      <c r="B1669" s="15"/>
      <c r="C1669" s="15"/>
      <c r="D1669" s="15"/>
      <c r="E1669" s="6"/>
      <c r="F1669" s="6"/>
      <c r="G1669" s="6"/>
      <c r="K1669" s="222"/>
      <c r="V1669" s="1430"/>
      <c r="AA1669" s="223"/>
      <c r="AC1669" s="889"/>
      <c r="AF1669" s="890"/>
      <c r="AJ1669" s="889"/>
      <c r="AN1669" s="222"/>
      <c r="BC1669" s="223"/>
      <c r="BD1669" s="222"/>
      <c r="BH1669" s="611"/>
      <c r="BJ1669" s="15"/>
      <c r="BK1669" s="15"/>
      <c r="BO1669" s="223"/>
      <c r="BQ1669" s="889"/>
      <c r="BT1669" s="890"/>
      <c r="BX1669" s="889"/>
      <c r="CB1669" s="15"/>
      <c r="CC1669" s="697"/>
      <c r="CD1669" s="1086"/>
      <c r="CE1669" s="15"/>
      <c r="CF1669" s="15"/>
      <c r="CG1669" s="936"/>
      <c r="CH1669" s="15"/>
      <c r="CI1669" s="15"/>
      <c r="CJ1669" s="15"/>
      <c r="CK1669" s="1107"/>
      <c r="CL1669" s="22"/>
      <c r="CM1669" s="22"/>
      <c r="CN1669" s="1107"/>
      <c r="CR1669" s="223"/>
      <c r="CS1669" s="952"/>
      <c r="CT1669" s="1066"/>
      <c r="CU1669" s="972"/>
      <c r="CV1669" s="983"/>
      <c r="CW1669" s="222"/>
      <c r="CX1669" s="697"/>
      <c r="DC1669" s="222"/>
      <c r="DJ1669" s="889"/>
      <c r="DM1669" s="890"/>
      <c r="DN1669" s="952"/>
      <c r="DO1669" s="75"/>
      <c r="DP1669" s="962"/>
      <c r="DQ1669" s="983"/>
      <c r="DV1669" s="889"/>
    </row>
    <row r="1670" spans="1:126" s="74" customFormat="1">
      <c r="A1670" s="15"/>
      <c r="B1670" s="15"/>
      <c r="C1670" s="15"/>
      <c r="D1670" s="15"/>
      <c r="E1670" s="6"/>
      <c r="F1670" s="6"/>
      <c r="G1670" s="6"/>
      <c r="K1670" s="222"/>
      <c r="V1670" s="1430"/>
      <c r="AA1670" s="223"/>
      <c r="AC1670" s="889"/>
      <c r="AF1670" s="890"/>
      <c r="AJ1670" s="889"/>
      <c r="AN1670" s="222"/>
      <c r="BC1670" s="223"/>
      <c r="BD1670" s="222"/>
      <c r="BH1670" s="611"/>
      <c r="BJ1670" s="15"/>
      <c r="BK1670" s="15"/>
      <c r="BO1670" s="223"/>
      <c r="BQ1670" s="889"/>
      <c r="BT1670" s="890"/>
      <c r="BX1670" s="889"/>
      <c r="CB1670" s="15"/>
      <c r="CC1670" s="697"/>
      <c r="CD1670" s="1086"/>
      <c r="CE1670" s="15"/>
      <c r="CF1670" s="15"/>
      <c r="CG1670" s="936"/>
      <c r="CH1670" s="15"/>
      <c r="CI1670" s="15"/>
      <c r="CJ1670" s="15"/>
      <c r="CK1670" s="1107"/>
      <c r="CL1670" s="22"/>
      <c r="CM1670" s="22"/>
      <c r="CN1670" s="1107"/>
      <c r="CR1670" s="223"/>
      <c r="CS1670" s="952"/>
      <c r="CT1670" s="1066"/>
      <c r="CU1670" s="972"/>
      <c r="CV1670" s="983"/>
      <c r="CW1670" s="222"/>
      <c r="CX1670" s="697"/>
      <c r="DC1670" s="222"/>
      <c r="DJ1670" s="889"/>
      <c r="DM1670" s="890"/>
      <c r="DN1670" s="952"/>
      <c r="DO1670" s="75"/>
      <c r="DP1670" s="962"/>
      <c r="DQ1670" s="983"/>
      <c r="DV1670" s="889"/>
    </row>
    <row r="1671" spans="1:126" s="74" customFormat="1">
      <c r="A1671" s="15"/>
      <c r="B1671" s="15"/>
      <c r="C1671" s="15"/>
      <c r="D1671" s="15"/>
      <c r="E1671" s="6"/>
      <c r="F1671" s="6"/>
      <c r="G1671" s="6"/>
      <c r="K1671" s="222"/>
      <c r="V1671" s="1430"/>
      <c r="AA1671" s="223"/>
      <c r="AC1671" s="889"/>
      <c r="AF1671" s="890"/>
      <c r="AJ1671" s="889"/>
      <c r="AN1671" s="222"/>
      <c r="BC1671" s="223"/>
      <c r="BD1671" s="222"/>
      <c r="BH1671" s="611"/>
      <c r="BJ1671" s="15"/>
      <c r="BK1671" s="15"/>
      <c r="BO1671" s="223"/>
      <c r="BQ1671" s="889"/>
      <c r="BT1671" s="890"/>
      <c r="BX1671" s="889"/>
      <c r="CB1671" s="15"/>
      <c r="CC1671" s="697"/>
      <c r="CD1671" s="1086"/>
      <c r="CE1671" s="15"/>
      <c r="CF1671" s="15"/>
      <c r="CG1671" s="936"/>
      <c r="CH1671" s="15"/>
      <c r="CI1671" s="15"/>
      <c r="CJ1671" s="15"/>
      <c r="CK1671" s="1107"/>
      <c r="CL1671" s="22"/>
      <c r="CM1671" s="22"/>
      <c r="CN1671" s="1107"/>
      <c r="CR1671" s="223"/>
      <c r="CS1671" s="952"/>
      <c r="CT1671" s="1066"/>
      <c r="CU1671" s="972"/>
      <c r="CV1671" s="983"/>
      <c r="CW1671" s="222"/>
      <c r="CX1671" s="697"/>
      <c r="DC1671" s="222"/>
      <c r="DJ1671" s="889"/>
      <c r="DM1671" s="890"/>
      <c r="DN1671" s="952"/>
      <c r="DO1671" s="75"/>
      <c r="DP1671" s="962"/>
      <c r="DQ1671" s="983"/>
      <c r="DV1671" s="889"/>
    </row>
    <row r="1672" spans="1:126" s="74" customFormat="1">
      <c r="A1672" s="15"/>
      <c r="B1672" s="15"/>
      <c r="C1672" s="15"/>
      <c r="D1672" s="15"/>
      <c r="E1672" s="6"/>
      <c r="F1672" s="6"/>
      <c r="G1672" s="6"/>
      <c r="K1672" s="222"/>
      <c r="V1672" s="1430"/>
      <c r="AA1672" s="223"/>
      <c r="AC1672" s="889"/>
      <c r="AF1672" s="890"/>
      <c r="AJ1672" s="889"/>
      <c r="AN1672" s="222"/>
      <c r="BC1672" s="223"/>
      <c r="BD1672" s="222"/>
      <c r="BH1672" s="611"/>
      <c r="BJ1672" s="15"/>
      <c r="BK1672" s="15"/>
      <c r="BO1672" s="223"/>
      <c r="BQ1672" s="889"/>
      <c r="BT1672" s="890"/>
      <c r="BX1672" s="889"/>
      <c r="CB1672" s="15"/>
      <c r="CC1672" s="697"/>
      <c r="CD1672" s="1086"/>
      <c r="CE1672" s="15"/>
      <c r="CF1672" s="15"/>
      <c r="CG1672" s="936"/>
      <c r="CH1672" s="15"/>
      <c r="CI1672" s="15"/>
      <c r="CJ1672" s="15"/>
      <c r="CK1672" s="1107"/>
      <c r="CL1672" s="22"/>
      <c r="CM1672" s="22"/>
      <c r="CN1672" s="1107"/>
      <c r="CR1672" s="223"/>
      <c r="CS1672" s="952"/>
      <c r="CT1672" s="1066"/>
      <c r="CU1672" s="972"/>
      <c r="CV1672" s="983"/>
      <c r="CW1672" s="222"/>
      <c r="CX1672" s="697"/>
      <c r="DC1672" s="222"/>
      <c r="DJ1672" s="889"/>
      <c r="DM1672" s="890"/>
      <c r="DN1672" s="952"/>
      <c r="DO1672" s="75"/>
      <c r="DP1672" s="962"/>
      <c r="DQ1672" s="983"/>
      <c r="DV1672" s="889"/>
    </row>
    <row r="1673" spans="1:126" s="74" customFormat="1">
      <c r="A1673" s="15"/>
      <c r="B1673" s="15"/>
      <c r="C1673" s="15"/>
      <c r="D1673" s="15"/>
      <c r="E1673" s="6"/>
      <c r="F1673" s="6"/>
      <c r="G1673" s="6"/>
      <c r="K1673" s="222"/>
      <c r="V1673" s="1430"/>
      <c r="AA1673" s="223"/>
      <c r="AC1673" s="889"/>
      <c r="AF1673" s="890"/>
      <c r="AJ1673" s="889"/>
      <c r="AN1673" s="222"/>
      <c r="BC1673" s="223"/>
      <c r="BD1673" s="222"/>
      <c r="BH1673" s="611"/>
      <c r="BJ1673" s="15"/>
      <c r="BK1673" s="15"/>
      <c r="BO1673" s="223"/>
      <c r="BQ1673" s="889"/>
      <c r="BT1673" s="890"/>
      <c r="BX1673" s="889"/>
      <c r="CB1673" s="15"/>
      <c r="CC1673" s="697"/>
      <c r="CD1673" s="1086"/>
      <c r="CE1673" s="15"/>
      <c r="CF1673" s="15"/>
      <c r="CG1673" s="936"/>
      <c r="CH1673" s="15"/>
      <c r="CI1673" s="15"/>
      <c r="CJ1673" s="15"/>
      <c r="CK1673" s="1107"/>
      <c r="CL1673" s="22"/>
      <c r="CM1673" s="22"/>
      <c r="CN1673" s="1107"/>
      <c r="CR1673" s="223"/>
      <c r="CS1673" s="952"/>
      <c r="CT1673" s="1066"/>
      <c r="CU1673" s="972"/>
      <c r="CV1673" s="983"/>
      <c r="CW1673" s="222"/>
      <c r="CX1673" s="697"/>
      <c r="DC1673" s="222"/>
      <c r="DJ1673" s="889"/>
      <c r="DM1673" s="890"/>
      <c r="DN1673" s="952"/>
      <c r="DO1673" s="75"/>
      <c r="DP1673" s="962"/>
      <c r="DQ1673" s="983"/>
      <c r="DV1673" s="889"/>
    </row>
    <row r="1674" spans="1:126" s="74" customFormat="1">
      <c r="A1674" s="15"/>
      <c r="B1674" s="15"/>
      <c r="C1674" s="15"/>
      <c r="D1674" s="15"/>
      <c r="E1674" s="6"/>
      <c r="F1674" s="6"/>
      <c r="G1674" s="6"/>
      <c r="K1674" s="222"/>
      <c r="V1674" s="1430"/>
      <c r="AA1674" s="223"/>
      <c r="AC1674" s="889"/>
      <c r="AF1674" s="890"/>
      <c r="AJ1674" s="889"/>
      <c r="AN1674" s="222"/>
      <c r="BC1674" s="223"/>
      <c r="BD1674" s="222"/>
      <c r="BH1674" s="611"/>
      <c r="BJ1674" s="15"/>
      <c r="BK1674" s="15"/>
      <c r="BO1674" s="223"/>
      <c r="BQ1674" s="889"/>
      <c r="BT1674" s="890"/>
      <c r="BX1674" s="889"/>
      <c r="CB1674" s="15"/>
      <c r="CC1674" s="697"/>
      <c r="CD1674" s="1086"/>
      <c r="CE1674" s="15"/>
      <c r="CF1674" s="15"/>
      <c r="CG1674" s="936"/>
      <c r="CH1674" s="15"/>
      <c r="CI1674" s="15"/>
      <c r="CJ1674" s="15"/>
      <c r="CK1674" s="1107"/>
      <c r="CL1674" s="22"/>
      <c r="CM1674" s="22"/>
      <c r="CN1674" s="1107"/>
      <c r="CR1674" s="223"/>
      <c r="CS1674" s="952"/>
      <c r="CT1674" s="1066"/>
      <c r="CU1674" s="972"/>
      <c r="CV1674" s="983"/>
      <c r="CW1674" s="222"/>
      <c r="CX1674" s="697"/>
      <c r="DC1674" s="222"/>
      <c r="DJ1674" s="889"/>
      <c r="DM1674" s="890"/>
      <c r="DN1674" s="952"/>
      <c r="DO1674" s="75"/>
      <c r="DP1674" s="962"/>
      <c r="DQ1674" s="983"/>
      <c r="DV1674" s="889"/>
    </row>
    <row r="1675" spans="1:126" s="74" customFormat="1">
      <c r="A1675" s="15"/>
      <c r="B1675" s="15"/>
      <c r="C1675" s="15"/>
      <c r="D1675" s="15"/>
      <c r="E1675" s="6"/>
      <c r="F1675" s="6"/>
      <c r="G1675" s="6"/>
      <c r="K1675" s="222"/>
      <c r="V1675" s="1430"/>
      <c r="AA1675" s="223"/>
      <c r="AC1675" s="889"/>
      <c r="AF1675" s="890"/>
      <c r="AJ1675" s="889"/>
      <c r="AN1675" s="222"/>
      <c r="BC1675" s="223"/>
      <c r="BD1675" s="222"/>
      <c r="BH1675" s="611"/>
      <c r="BJ1675" s="15"/>
      <c r="BK1675" s="15"/>
      <c r="BO1675" s="223"/>
      <c r="BQ1675" s="889"/>
      <c r="BT1675" s="890"/>
      <c r="BX1675" s="889"/>
      <c r="CB1675" s="15"/>
      <c r="CC1675" s="697"/>
      <c r="CD1675" s="1086"/>
      <c r="CE1675" s="15"/>
      <c r="CF1675" s="15"/>
      <c r="CG1675" s="936"/>
      <c r="CH1675" s="15"/>
      <c r="CI1675" s="15"/>
      <c r="CJ1675" s="15"/>
      <c r="CK1675" s="1107"/>
      <c r="CL1675" s="22"/>
      <c r="CM1675" s="22"/>
      <c r="CN1675" s="1107"/>
      <c r="CR1675" s="223"/>
      <c r="CS1675" s="952"/>
      <c r="CT1675" s="1066"/>
      <c r="CU1675" s="972"/>
      <c r="CV1675" s="983"/>
      <c r="CW1675" s="222"/>
      <c r="CX1675" s="697"/>
      <c r="DC1675" s="222"/>
      <c r="DJ1675" s="889"/>
      <c r="DM1675" s="890"/>
      <c r="DN1675" s="952"/>
      <c r="DO1675" s="75"/>
      <c r="DP1675" s="962"/>
      <c r="DQ1675" s="983"/>
      <c r="DV1675" s="889"/>
    </row>
    <row r="1676" spans="1:126" s="74" customFormat="1">
      <c r="A1676" s="15"/>
      <c r="B1676" s="15"/>
      <c r="C1676" s="15"/>
      <c r="D1676" s="15"/>
      <c r="E1676" s="6"/>
      <c r="F1676" s="6"/>
      <c r="G1676" s="6"/>
      <c r="K1676" s="222"/>
      <c r="V1676" s="1430"/>
      <c r="AA1676" s="223"/>
      <c r="AC1676" s="889"/>
      <c r="AF1676" s="890"/>
      <c r="AJ1676" s="889"/>
      <c r="AN1676" s="222"/>
      <c r="BC1676" s="223"/>
      <c r="BD1676" s="222"/>
      <c r="BH1676" s="611"/>
      <c r="BJ1676" s="15"/>
      <c r="BK1676" s="15"/>
      <c r="BO1676" s="223"/>
      <c r="BQ1676" s="889"/>
      <c r="BT1676" s="890"/>
      <c r="BX1676" s="889"/>
      <c r="CB1676" s="15"/>
      <c r="CC1676" s="697"/>
      <c r="CD1676" s="1086"/>
      <c r="CE1676" s="15"/>
      <c r="CF1676" s="15"/>
      <c r="CG1676" s="936"/>
      <c r="CH1676" s="15"/>
      <c r="CI1676" s="15"/>
      <c r="CJ1676" s="15"/>
      <c r="CK1676" s="1107"/>
      <c r="CL1676" s="22"/>
      <c r="CM1676" s="22"/>
      <c r="CN1676" s="1107"/>
      <c r="CR1676" s="223"/>
      <c r="CS1676" s="952"/>
      <c r="CT1676" s="1066"/>
      <c r="CU1676" s="972"/>
      <c r="CV1676" s="983"/>
      <c r="CW1676" s="222"/>
      <c r="CX1676" s="697"/>
      <c r="DC1676" s="222"/>
      <c r="DJ1676" s="889"/>
      <c r="DM1676" s="890"/>
      <c r="DN1676" s="952"/>
      <c r="DO1676" s="75"/>
      <c r="DP1676" s="962"/>
      <c r="DQ1676" s="983"/>
      <c r="DV1676" s="889"/>
    </row>
    <row r="1677" spans="1:126" s="74" customFormat="1">
      <c r="A1677" s="15"/>
      <c r="B1677" s="15"/>
      <c r="C1677" s="15"/>
      <c r="D1677" s="15"/>
      <c r="E1677" s="6"/>
      <c r="F1677" s="6"/>
      <c r="G1677" s="6"/>
      <c r="K1677" s="222"/>
      <c r="V1677" s="1430"/>
      <c r="AA1677" s="223"/>
      <c r="AC1677" s="889"/>
      <c r="AF1677" s="890"/>
      <c r="AJ1677" s="889"/>
      <c r="AN1677" s="222"/>
      <c r="BC1677" s="223"/>
      <c r="BD1677" s="222"/>
      <c r="BH1677" s="611"/>
      <c r="BJ1677" s="15"/>
      <c r="BK1677" s="15"/>
      <c r="BO1677" s="223"/>
      <c r="BQ1677" s="889"/>
      <c r="BT1677" s="890"/>
      <c r="BX1677" s="889"/>
      <c r="CB1677" s="15"/>
      <c r="CC1677" s="697"/>
      <c r="CD1677" s="1086"/>
      <c r="CE1677" s="15"/>
      <c r="CF1677" s="15"/>
      <c r="CG1677" s="936"/>
      <c r="CH1677" s="15"/>
      <c r="CI1677" s="15"/>
      <c r="CJ1677" s="15"/>
      <c r="CK1677" s="1107"/>
      <c r="CL1677" s="22"/>
      <c r="CM1677" s="22"/>
      <c r="CN1677" s="1107"/>
      <c r="CR1677" s="223"/>
      <c r="CS1677" s="952"/>
      <c r="CT1677" s="1066"/>
      <c r="CU1677" s="972"/>
      <c r="CV1677" s="983"/>
      <c r="CW1677" s="222"/>
      <c r="CX1677" s="697"/>
      <c r="DC1677" s="222"/>
      <c r="DJ1677" s="889"/>
      <c r="DM1677" s="890"/>
      <c r="DN1677" s="952"/>
      <c r="DO1677" s="75"/>
      <c r="DP1677" s="962"/>
      <c r="DQ1677" s="983"/>
      <c r="DV1677" s="889"/>
    </row>
    <row r="1678" spans="1:126" s="74" customFormat="1">
      <c r="A1678" s="15"/>
      <c r="B1678" s="15"/>
      <c r="C1678" s="15"/>
      <c r="D1678" s="15"/>
      <c r="E1678" s="6"/>
      <c r="F1678" s="6"/>
      <c r="G1678" s="6"/>
      <c r="K1678" s="222"/>
      <c r="V1678" s="1430"/>
      <c r="AA1678" s="223"/>
      <c r="AC1678" s="889"/>
      <c r="AF1678" s="890"/>
      <c r="AJ1678" s="889"/>
      <c r="AN1678" s="222"/>
      <c r="BC1678" s="223"/>
      <c r="BD1678" s="222"/>
      <c r="BH1678" s="611"/>
      <c r="BJ1678" s="15"/>
      <c r="BK1678" s="15"/>
      <c r="BO1678" s="223"/>
      <c r="BQ1678" s="889"/>
      <c r="BT1678" s="890"/>
      <c r="BX1678" s="889"/>
      <c r="CB1678" s="15"/>
      <c r="CC1678" s="697"/>
      <c r="CD1678" s="1086"/>
      <c r="CE1678" s="15"/>
      <c r="CF1678" s="15"/>
      <c r="CG1678" s="936"/>
      <c r="CH1678" s="15"/>
      <c r="CI1678" s="15"/>
      <c r="CJ1678" s="15"/>
      <c r="CK1678" s="1107"/>
      <c r="CL1678" s="22"/>
      <c r="CM1678" s="22"/>
      <c r="CN1678" s="1107"/>
      <c r="CR1678" s="223"/>
      <c r="CS1678" s="952"/>
      <c r="CT1678" s="1066"/>
      <c r="CU1678" s="972"/>
      <c r="CV1678" s="983"/>
      <c r="CW1678" s="222"/>
      <c r="CX1678" s="697"/>
      <c r="DC1678" s="222"/>
      <c r="DJ1678" s="889"/>
      <c r="DM1678" s="890"/>
      <c r="DN1678" s="952"/>
      <c r="DO1678" s="75"/>
      <c r="DP1678" s="962"/>
      <c r="DQ1678" s="983"/>
      <c r="DV1678" s="889"/>
    </row>
    <row r="1679" spans="1:126" s="74" customFormat="1">
      <c r="A1679" s="15"/>
      <c r="B1679" s="15"/>
      <c r="C1679" s="15"/>
      <c r="D1679" s="15"/>
      <c r="E1679" s="6"/>
      <c r="F1679" s="6"/>
      <c r="G1679" s="6"/>
      <c r="K1679" s="222"/>
      <c r="V1679" s="1430"/>
      <c r="AA1679" s="223"/>
      <c r="AC1679" s="889"/>
      <c r="AF1679" s="890"/>
      <c r="AJ1679" s="889"/>
      <c r="AN1679" s="222"/>
      <c r="BC1679" s="223"/>
      <c r="BD1679" s="222"/>
      <c r="BH1679" s="611"/>
      <c r="BJ1679" s="15"/>
      <c r="BK1679" s="15"/>
      <c r="BO1679" s="223"/>
      <c r="BQ1679" s="889"/>
      <c r="BT1679" s="890"/>
      <c r="BX1679" s="889"/>
      <c r="CB1679" s="15"/>
      <c r="CC1679" s="697"/>
      <c r="CD1679" s="1086"/>
      <c r="CE1679" s="15"/>
      <c r="CF1679" s="15"/>
      <c r="CG1679" s="936"/>
      <c r="CH1679" s="15"/>
      <c r="CI1679" s="15"/>
      <c r="CJ1679" s="15"/>
      <c r="CK1679" s="1107"/>
      <c r="CL1679" s="22"/>
      <c r="CM1679" s="22"/>
      <c r="CN1679" s="1107"/>
      <c r="CR1679" s="223"/>
      <c r="CS1679" s="952"/>
      <c r="CT1679" s="1066"/>
      <c r="CU1679" s="972"/>
      <c r="CV1679" s="983"/>
      <c r="CW1679" s="222"/>
      <c r="CX1679" s="697"/>
      <c r="DC1679" s="222"/>
      <c r="DJ1679" s="889"/>
      <c r="DM1679" s="890"/>
      <c r="DN1679" s="952"/>
      <c r="DO1679" s="75"/>
      <c r="DP1679" s="962"/>
      <c r="DQ1679" s="983"/>
      <c r="DV1679" s="889"/>
    </row>
    <row r="1680" spans="1:126" s="74" customFormat="1">
      <c r="A1680" s="15"/>
      <c r="B1680" s="15"/>
      <c r="C1680" s="15"/>
      <c r="D1680" s="15"/>
      <c r="E1680" s="6"/>
      <c r="F1680" s="6"/>
      <c r="G1680" s="6"/>
      <c r="K1680" s="222"/>
      <c r="V1680" s="1430"/>
      <c r="AA1680" s="223"/>
      <c r="AC1680" s="889"/>
      <c r="AF1680" s="890"/>
      <c r="AJ1680" s="889"/>
      <c r="AN1680" s="222"/>
      <c r="BC1680" s="223"/>
      <c r="BD1680" s="222"/>
      <c r="BH1680" s="611"/>
      <c r="BJ1680" s="15"/>
      <c r="BK1680" s="15"/>
      <c r="BO1680" s="223"/>
      <c r="BQ1680" s="889"/>
      <c r="BT1680" s="890"/>
      <c r="BX1680" s="889"/>
      <c r="CB1680" s="15"/>
      <c r="CC1680" s="697"/>
      <c r="CD1680" s="1086"/>
      <c r="CE1680" s="15"/>
      <c r="CF1680" s="15"/>
      <c r="CG1680" s="936"/>
      <c r="CH1680" s="15"/>
      <c r="CI1680" s="15"/>
      <c r="CJ1680" s="15"/>
      <c r="CK1680" s="1107"/>
      <c r="CL1680" s="22"/>
      <c r="CM1680" s="22"/>
      <c r="CN1680" s="1107"/>
      <c r="CR1680" s="223"/>
      <c r="CS1680" s="952"/>
      <c r="CT1680" s="1066"/>
      <c r="CU1680" s="972"/>
      <c r="CV1680" s="983"/>
      <c r="CW1680" s="222"/>
      <c r="CX1680" s="697"/>
      <c r="DC1680" s="222"/>
      <c r="DJ1680" s="889"/>
      <c r="DM1680" s="890"/>
      <c r="DN1680" s="952"/>
      <c r="DO1680" s="75"/>
      <c r="DP1680" s="962"/>
      <c r="DQ1680" s="983"/>
      <c r="DV1680" s="889"/>
    </row>
    <row r="1681" spans="1:126" s="74" customFormat="1">
      <c r="A1681" s="15"/>
      <c r="B1681" s="15"/>
      <c r="C1681" s="15"/>
      <c r="D1681" s="15"/>
      <c r="E1681" s="6"/>
      <c r="F1681" s="6"/>
      <c r="G1681" s="6"/>
      <c r="K1681" s="222"/>
      <c r="V1681" s="1430"/>
      <c r="AA1681" s="223"/>
      <c r="AC1681" s="889"/>
      <c r="AF1681" s="890"/>
      <c r="AJ1681" s="889"/>
      <c r="AN1681" s="222"/>
      <c r="BC1681" s="223"/>
      <c r="BD1681" s="222"/>
      <c r="BH1681" s="611"/>
      <c r="BJ1681" s="15"/>
      <c r="BK1681" s="15"/>
      <c r="BO1681" s="223"/>
      <c r="BQ1681" s="889"/>
      <c r="BT1681" s="890"/>
      <c r="BX1681" s="889"/>
      <c r="CB1681" s="15"/>
      <c r="CC1681" s="697"/>
      <c r="CD1681" s="1086"/>
      <c r="CE1681" s="15"/>
      <c r="CF1681" s="15"/>
      <c r="CG1681" s="936"/>
      <c r="CH1681" s="15"/>
      <c r="CI1681" s="15"/>
      <c r="CJ1681" s="15"/>
      <c r="CK1681" s="1107"/>
      <c r="CL1681" s="22"/>
      <c r="CM1681" s="22"/>
      <c r="CN1681" s="1107"/>
      <c r="CR1681" s="223"/>
      <c r="CS1681" s="952"/>
      <c r="CT1681" s="1066"/>
      <c r="CU1681" s="972"/>
      <c r="CV1681" s="983"/>
      <c r="CW1681" s="222"/>
      <c r="CX1681" s="697"/>
      <c r="DC1681" s="222"/>
      <c r="DJ1681" s="889"/>
      <c r="DM1681" s="890"/>
      <c r="DN1681" s="952"/>
      <c r="DO1681" s="75"/>
      <c r="DP1681" s="962"/>
      <c r="DQ1681" s="983"/>
      <c r="DV1681" s="889"/>
    </row>
    <row r="1682" spans="1:126" s="74" customFormat="1">
      <c r="A1682" s="15"/>
      <c r="B1682" s="15"/>
      <c r="C1682" s="15"/>
      <c r="D1682" s="15"/>
      <c r="E1682" s="6"/>
      <c r="F1682" s="6"/>
      <c r="G1682" s="6"/>
      <c r="K1682" s="222"/>
      <c r="V1682" s="1430"/>
      <c r="AA1682" s="223"/>
      <c r="AC1682" s="889"/>
      <c r="AF1682" s="890"/>
      <c r="AJ1682" s="889"/>
      <c r="AN1682" s="222"/>
      <c r="BC1682" s="223"/>
      <c r="BD1682" s="222"/>
      <c r="BH1682" s="611"/>
      <c r="BJ1682" s="15"/>
      <c r="BK1682" s="15"/>
      <c r="BO1682" s="223"/>
      <c r="BQ1682" s="889"/>
      <c r="BT1682" s="890"/>
      <c r="BX1682" s="889"/>
      <c r="CB1682" s="15"/>
      <c r="CC1682" s="697"/>
      <c r="CD1682" s="1086"/>
      <c r="CE1682" s="15"/>
      <c r="CF1682" s="15"/>
      <c r="CG1682" s="936"/>
      <c r="CH1682" s="15"/>
      <c r="CI1682" s="15"/>
      <c r="CJ1682" s="15"/>
      <c r="CK1682" s="1107"/>
      <c r="CL1682" s="22"/>
      <c r="CM1682" s="22"/>
      <c r="CN1682" s="1107"/>
      <c r="CR1682" s="223"/>
      <c r="CS1682" s="952"/>
      <c r="CT1682" s="1066"/>
      <c r="CU1682" s="972"/>
      <c r="CV1682" s="983"/>
      <c r="CW1682" s="222"/>
      <c r="CX1682" s="697"/>
      <c r="DC1682" s="222"/>
      <c r="DJ1682" s="889"/>
      <c r="DM1682" s="890"/>
      <c r="DN1682" s="952"/>
      <c r="DO1682" s="75"/>
      <c r="DP1682" s="962"/>
      <c r="DQ1682" s="983"/>
      <c r="DV1682" s="889"/>
    </row>
    <row r="1683" spans="1:126" s="74" customFormat="1">
      <c r="A1683" s="15"/>
      <c r="B1683" s="15"/>
      <c r="C1683" s="15"/>
      <c r="D1683" s="15"/>
      <c r="E1683" s="6"/>
      <c r="F1683" s="6"/>
      <c r="G1683" s="6"/>
      <c r="K1683" s="222"/>
      <c r="V1683" s="1430"/>
      <c r="AA1683" s="223"/>
      <c r="AC1683" s="889"/>
      <c r="AF1683" s="890"/>
      <c r="AJ1683" s="889"/>
      <c r="AN1683" s="222"/>
      <c r="BC1683" s="223"/>
      <c r="BD1683" s="222"/>
      <c r="BH1683" s="611"/>
      <c r="BJ1683" s="15"/>
      <c r="BK1683" s="15"/>
      <c r="BO1683" s="223"/>
      <c r="BQ1683" s="889"/>
      <c r="BT1683" s="890"/>
      <c r="BX1683" s="889"/>
      <c r="CB1683" s="15"/>
      <c r="CC1683" s="697"/>
      <c r="CD1683" s="1086"/>
      <c r="CE1683" s="15"/>
      <c r="CF1683" s="15"/>
      <c r="CG1683" s="936"/>
      <c r="CH1683" s="15"/>
      <c r="CI1683" s="15"/>
      <c r="CJ1683" s="15"/>
      <c r="CK1683" s="1107"/>
      <c r="CL1683" s="22"/>
      <c r="CM1683" s="22"/>
      <c r="CN1683" s="1107"/>
      <c r="CR1683" s="223"/>
      <c r="CS1683" s="952"/>
      <c r="CT1683" s="1066"/>
      <c r="CU1683" s="972"/>
      <c r="CV1683" s="983"/>
      <c r="CW1683" s="222"/>
      <c r="CX1683" s="697"/>
      <c r="DC1683" s="222"/>
      <c r="DJ1683" s="889"/>
      <c r="DM1683" s="890"/>
      <c r="DN1683" s="952"/>
      <c r="DO1683" s="75"/>
      <c r="DP1683" s="962"/>
      <c r="DQ1683" s="983"/>
      <c r="DV1683" s="889"/>
    </row>
    <row r="1684" spans="1:126" s="74" customFormat="1">
      <c r="A1684" s="15"/>
      <c r="B1684" s="15"/>
      <c r="C1684" s="15"/>
      <c r="D1684" s="15"/>
      <c r="E1684" s="6"/>
      <c r="F1684" s="6"/>
      <c r="G1684" s="6"/>
      <c r="K1684" s="222"/>
      <c r="V1684" s="1430"/>
      <c r="AA1684" s="223"/>
      <c r="AC1684" s="889"/>
      <c r="AF1684" s="890"/>
      <c r="AJ1684" s="889"/>
      <c r="AN1684" s="222"/>
      <c r="BC1684" s="223"/>
      <c r="BD1684" s="222"/>
      <c r="BH1684" s="611"/>
      <c r="BJ1684" s="15"/>
      <c r="BK1684" s="15"/>
      <c r="BO1684" s="223"/>
      <c r="BQ1684" s="889"/>
      <c r="BT1684" s="890"/>
      <c r="BX1684" s="889"/>
      <c r="CB1684" s="15"/>
      <c r="CC1684" s="697"/>
      <c r="CD1684" s="1086"/>
      <c r="CE1684" s="15"/>
      <c r="CF1684" s="15"/>
      <c r="CG1684" s="936"/>
      <c r="CH1684" s="15"/>
      <c r="CI1684" s="15"/>
      <c r="CJ1684" s="15"/>
      <c r="CK1684" s="1107"/>
      <c r="CL1684" s="22"/>
      <c r="CM1684" s="22"/>
      <c r="CN1684" s="1107"/>
      <c r="CR1684" s="223"/>
      <c r="CS1684" s="952"/>
      <c r="CT1684" s="1066"/>
      <c r="CU1684" s="972"/>
      <c r="CV1684" s="983"/>
      <c r="CW1684" s="222"/>
      <c r="CX1684" s="697"/>
      <c r="DC1684" s="222"/>
      <c r="DJ1684" s="889"/>
      <c r="DM1684" s="890"/>
      <c r="DN1684" s="952"/>
      <c r="DO1684" s="75"/>
      <c r="DP1684" s="962"/>
      <c r="DQ1684" s="983"/>
      <c r="DV1684" s="889"/>
    </row>
    <row r="1685" spans="1:126" s="74" customFormat="1">
      <c r="A1685" s="15"/>
      <c r="B1685" s="15"/>
      <c r="C1685" s="15"/>
      <c r="D1685" s="15"/>
      <c r="E1685" s="6"/>
      <c r="F1685" s="6"/>
      <c r="G1685" s="6"/>
      <c r="K1685" s="222"/>
      <c r="V1685" s="1430"/>
      <c r="AA1685" s="223"/>
      <c r="AC1685" s="889"/>
      <c r="AF1685" s="890"/>
      <c r="AJ1685" s="889"/>
      <c r="AN1685" s="222"/>
      <c r="BC1685" s="223"/>
      <c r="BD1685" s="222"/>
      <c r="BH1685" s="611"/>
      <c r="BJ1685" s="15"/>
      <c r="BK1685" s="15"/>
      <c r="BO1685" s="223"/>
      <c r="BQ1685" s="889"/>
      <c r="BT1685" s="890"/>
      <c r="BX1685" s="889"/>
      <c r="CB1685" s="15"/>
      <c r="CC1685" s="697"/>
      <c r="CD1685" s="1086"/>
      <c r="CE1685" s="15"/>
      <c r="CF1685" s="15"/>
      <c r="CG1685" s="936"/>
      <c r="CH1685" s="15"/>
      <c r="CI1685" s="15"/>
      <c r="CJ1685" s="15"/>
      <c r="CK1685" s="1107"/>
      <c r="CL1685" s="22"/>
      <c r="CM1685" s="22"/>
      <c r="CN1685" s="1107"/>
      <c r="CR1685" s="223"/>
      <c r="CS1685" s="952"/>
      <c r="CT1685" s="1066"/>
      <c r="CU1685" s="972"/>
      <c r="CV1685" s="983"/>
      <c r="CW1685" s="222"/>
      <c r="CX1685" s="697"/>
      <c r="DC1685" s="222"/>
      <c r="DJ1685" s="889"/>
      <c r="DM1685" s="890"/>
      <c r="DN1685" s="952"/>
      <c r="DO1685" s="75"/>
      <c r="DP1685" s="962"/>
      <c r="DQ1685" s="983"/>
      <c r="DV1685" s="889"/>
    </row>
    <row r="1686" spans="1:126" s="74" customFormat="1">
      <c r="A1686" s="15"/>
      <c r="B1686" s="15"/>
      <c r="C1686" s="15"/>
      <c r="D1686" s="15"/>
      <c r="E1686" s="6"/>
      <c r="F1686" s="6"/>
      <c r="G1686" s="6"/>
      <c r="K1686" s="222"/>
      <c r="V1686" s="1430"/>
      <c r="AA1686" s="223"/>
      <c r="AC1686" s="889"/>
      <c r="AF1686" s="890"/>
      <c r="AJ1686" s="889"/>
      <c r="AN1686" s="222"/>
      <c r="BC1686" s="223"/>
      <c r="BD1686" s="222"/>
      <c r="BH1686" s="611"/>
      <c r="BJ1686" s="15"/>
      <c r="BK1686" s="15"/>
      <c r="BO1686" s="223"/>
      <c r="BQ1686" s="889"/>
      <c r="BT1686" s="890"/>
      <c r="BX1686" s="889"/>
      <c r="CB1686" s="15"/>
      <c r="CC1686" s="697"/>
      <c r="CD1686" s="1086"/>
      <c r="CE1686" s="15"/>
      <c r="CF1686" s="15"/>
      <c r="CG1686" s="936"/>
      <c r="CH1686" s="15"/>
      <c r="CI1686" s="15"/>
      <c r="CJ1686" s="15"/>
      <c r="CK1686" s="1107"/>
      <c r="CL1686" s="22"/>
      <c r="CM1686" s="22"/>
      <c r="CN1686" s="1107"/>
      <c r="CR1686" s="223"/>
      <c r="CS1686" s="952"/>
      <c r="CT1686" s="1066"/>
      <c r="CU1686" s="972"/>
      <c r="CV1686" s="983"/>
      <c r="CW1686" s="222"/>
      <c r="CX1686" s="697"/>
      <c r="DC1686" s="222"/>
      <c r="DJ1686" s="889"/>
      <c r="DM1686" s="890"/>
      <c r="DN1686" s="952"/>
      <c r="DO1686" s="75"/>
      <c r="DP1686" s="962"/>
      <c r="DQ1686" s="983"/>
      <c r="DV1686" s="889"/>
    </row>
    <row r="1687" spans="1:126" s="74" customFormat="1">
      <c r="A1687" s="15"/>
      <c r="B1687" s="15"/>
      <c r="C1687" s="15"/>
      <c r="D1687" s="15"/>
      <c r="E1687" s="6"/>
      <c r="F1687" s="6"/>
      <c r="G1687" s="6"/>
      <c r="K1687" s="222"/>
      <c r="V1687" s="1430"/>
      <c r="AA1687" s="223"/>
      <c r="AC1687" s="889"/>
      <c r="AF1687" s="890"/>
      <c r="AJ1687" s="889"/>
      <c r="AN1687" s="222"/>
      <c r="BC1687" s="223"/>
      <c r="BD1687" s="222"/>
      <c r="BH1687" s="611"/>
      <c r="BJ1687" s="15"/>
      <c r="BK1687" s="15"/>
      <c r="BO1687" s="223"/>
      <c r="BQ1687" s="889"/>
      <c r="BT1687" s="890"/>
      <c r="BX1687" s="889"/>
      <c r="CB1687" s="15"/>
      <c r="CC1687" s="697"/>
      <c r="CD1687" s="1086"/>
      <c r="CE1687" s="15"/>
      <c r="CF1687" s="15"/>
      <c r="CG1687" s="936"/>
      <c r="CH1687" s="15"/>
      <c r="CI1687" s="15"/>
      <c r="CJ1687" s="15"/>
      <c r="CK1687" s="1107"/>
      <c r="CL1687" s="22"/>
      <c r="CM1687" s="22"/>
      <c r="CN1687" s="1107"/>
      <c r="CR1687" s="223"/>
      <c r="CS1687" s="952"/>
      <c r="CT1687" s="1066"/>
      <c r="CU1687" s="972"/>
      <c r="CV1687" s="983"/>
      <c r="CW1687" s="222"/>
      <c r="CX1687" s="697"/>
      <c r="DC1687" s="222"/>
      <c r="DJ1687" s="889"/>
      <c r="DM1687" s="890"/>
      <c r="DN1687" s="952"/>
      <c r="DO1687" s="75"/>
      <c r="DP1687" s="962"/>
      <c r="DQ1687" s="983"/>
      <c r="DV1687" s="889"/>
    </row>
    <row r="1688" spans="1:126" s="74" customFormat="1">
      <c r="A1688" s="15"/>
      <c r="B1688" s="15"/>
      <c r="C1688" s="15"/>
      <c r="D1688" s="15"/>
      <c r="E1688" s="6"/>
      <c r="F1688" s="6"/>
      <c r="G1688" s="6"/>
      <c r="K1688" s="222"/>
      <c r="V1688" s="1430"/>
      <c r="AA1688" s="223"/>
      <c r="AC1688" s="889"/>
      <c r="AF1688" s="890"/>
      <c r="AJ1688" s="889"/>
      <c r="AN1688" s="222"/>
      <c r="BC1688" s="223"/>
      <c r="BD1688" s="222"/>
      <c r="BH1688" s="611"/>
      <c r="BJ1688" s="15"/>
      <c r="BK1688" s="15"/>
      <c r="BO1688" s="223"/>
      <c r="BQ1688" s="889"/>
      <c r="BT1688" s="890"/>
      <c r="BX1688" s="889"/>
      <c r="CB1688" s="15"/>
      <c r="CC1688" s="697"/>
      <c r="CD1688" s="1086"/>
      <c r="CE1688" s="15"/>
      <c r="CF1688" s="15"/>
      <c r="CG1688" s="936"/>
      <c r="CH1688" s="15"/>
      <c r="CI1688" s="15"/>
      <c r="CJ1688" s="15"/>
      <c r="CK1688" s="1107"/>
      <c r="CL1688" s="22"/>
      <c r="CM1688" s="22"/>
      <c r="CN1688" s="1107"/>
      <c r="CR1688" s="223"/>
      <c r="CS1688" s="952"/>
      <c r="CT1688" s="1066"/>
      <c r="CU1688" s="972"/>
      <c r="CV1688" s="983"/>
      <c r="CW1688" s="222"/>
      <c r="CX1688" s="697"/>
      <c r="DC1688" s="222"/>
      <c r="DJ1688" s="889"/>
      <c r="DM1688" s="890"/>
      <c r="DN1688" s="952"/>
      <c r="DO1688" s="75"/>
      <c r="DP1688" s="962"/>
      <c r="DQ1688" s="983"/>
      <c r="DV1688" s="889"/>
    </row>
    <row r="1689" spans="1:126" s="74" customFormat="1">
      <c r="A1689" s="15"/>
      <c r="B1689" s="15"/>
      <c r="C1689" s="15"/>
      <c r="D1689" s="15"/>
      <c r="E1689" s="6"/>
      <c r="F1689" s="6"/>
      <c r="G1689" s="6"/>
      <c r="K1689" s="222"/>
      <c r="V1689" s="1430"/>
      <c r="AA1689" s="223"/>
      <c r="AC1689" s="889"/>
      <c r="AF1689" s="890"/>
      <c r="AJ1689" s="889"/>
      <c r="AN1689" s="222"/>
      <c r="BC1689" s="223"/>
      <c r="BD1689" s="222"/>
      <c r="BH1689" s="611"/>
      <c r="BJ1689" s="15"/>
      <c r="BK1689" s="15"/>
      <c r="BO1689" s="223"/>
      <c r="BQ1689" s="889"/>
      <c r="BT1689" s="890"/>
      <c r="BX1689" s="889"/>
      <c r="CB1689" s="15"/>
      <c r="CC1689" s="697"/>
      <c r="CD1689" s="1086"/>
      <c r="CE1689" s="15"/>
      <c r="CF1689" s="15"/>
      <c r="CG1689" s="936"/>
      <c r="CH1689" s="15"/>
      <c r="CI1689" s="15"/>
      <c r="CJ1689" s="15"/>
      <c r="CK1689" s="1107"/>
      <c r="CL1689" s="22"/>
      <c r="CM1689" s="22"/>
      <c r="CN1689" s="1107"/>
      <c r="CR1689" s="223"/>
      <c r="CS1689" s="952"/>
      <c r="CT1689" s="1066"/>
      <c r="CU1689" s="972"/>
      <c r="CV1689" s="983"/>
      <c r="CW1689" s="222"/>
      <c r="CX1689" s="697"/>
      <c r="DC1689" s="222"/>
      <c r="DJ1689" s="889"/>
      <c r="DM1689" s="890"/>
      <c r="DN1689" s="952"/>
      <c r="DO1689" s="75"/>
      <c r="DP1689" s="962"/>
      <c r="DQ1689" s="983"/>
      <c r="DV1689" s="889"/>
    </row>
    <row r="1690" spans="1:126" s="74" customFormat="1">
      <c r="A1690" s="15"/>
      <c r="B1690" s="15"/>
      <c r="C1690" s="15"/>
      <c r="D1690" s="15"/>
      <c r="E1690" s="6"/>
      <c r="F1690" s="6"/>
      <c r="G1690" s="6"/>
      <c r="K1690" s="222"/>
      <c r="V1690" s="1430"/>
      <c r="AA1690" s="223"/>
      <c r="AC1690" s="889"/>
      <c r="AF1690" s="890"/>
      <c r="AJ1690" s="889"/>
      <c r="AN1690" s="222"/>
      <c r="BC1690" s="223"/>
      <c r="BD1690" s="222"/>
      <c r="BH1690" s="611"/>
      <c r="BJ1690" s="15"/>
      <c r="BK1690" s="15"/>
      <c r="BO1690" s="223"/>
      <c r="BQ1690" s="889"/>
      <c r="BT1690" s="890"/>
      <c r="BX1690" s="889"/>
      <c r="CB1690" s="15"/>
      <c r="CC1690" s="697"/>
      <c r="CD1690" s="1086"/>
      <c r="CE1690" s="15"/>
      <c r="CF1690" s="15"/>
      <c r="CG1690" s="936"/>
      <c r="CH1690" s="15"/>
      <c r="CI1690" s="15"/>
      <c r="CJ1690" s="15"/>
      <c r="CK1690" s="1107"/>
      <c r="CL1690" s="22"/>
      <c r="CM1690" s="22"/>
      <c r="CN1690" s="1107"/>
      <c r="CR1690" s="223"/>
      <c r="CS1690" s="952"/>
      <c r="CT1690" s="1066"/>
      <c r="CU1690" s="972"/>
      <c r="CV1690" s="983"/>
      <c r="CW1690" s="222"/>
      <c r="CX1690" s="697"/>
      <c r="DC1690" s="222"/>
      <c r="DJ1690" s="889"/>
      <c r="DM1690" s="890"/>
      <c r="DN1690" s="952"/>
      <c r="DO1690" s="75"/>
      <c r="DP1690" s="962"/>
      <c r="DQ1690" s="983"/>
      <c r="DV1690" s="889"/>
    </row>
    <row r="1691" spans="1:126" s="74" customFormat="1">
      <c r="A1691" s="15"/>
      <c r="B1691" s="15"/>
      <c r="C1691" s="15"/>
      <c r="D1691" s="15"/>
      <c r="E1691" s="6"/>
      <c r="F1691" s="6"/>
      <c r="G1691" s="6"/>
      <c r="K1691" s="222"/>
      <c r="V1691" s="1430"/>
      <c r="AA1691" s="223"/>
      <c r="AC1691" s="889"/>
      <c r="AF1691" s="890"/>
      <c r="AJ1691" s="889"/>
      <c r="AN1691" s="222"/>
      <c r="BC1691" s="223"/>
      <c r="BD1691" s="222"/>
      <c r="BH1691" s="611"/>
      <c r="BJ1691" s="15"/>
      <c r="BK1691" s="15"/>
      <c r="BO1691" s="223"/>
      <c r="BQ1691" s="889"/>
      <c r="BT1691" s="890"/>
      <c r="BX1691" s="889"/>
      <c r="CB1691" s="15"/>
      <c r="CC1691" s="697"/>
      <c r="CD1691" s="1086"/>
      <c r="CE1691" s="15"/>
      <c r="CF1691" s="15"/>
      <c r="CG1691" s="936"/>
      <c r="CH1691" s="15"/>
      <c r="CI1691" s="15"/>
      <c r="CJ1691" s="15"/>
      <c r="CK1691" s="1107"/>
      <c r="CL1691" s="22"/>
      <c r="CM1691" s="22"/>
      <c r="CN1691" s="1107"/>
      <c r="CR1691" s="223"/>
      <c r="CS1691" s="952"/>
      <c r="CT1691" s="1066"/>
      <c r="CU1691" s="972"/>
      <c r="CV1691" s="983"/>
      <c r="CW1691" s="222"/>
      <c r="CX1691" s="697"/>
      <c r="DC1691" s="222"/>
      <c r="DJ1691" s="889"/>
      <c r="DM1691" s="890"/>
      <c r="DN1691" s="952"/>
      <c r="DO1691" s="75"/>
      <c r="DP1691" s="962"/>
      <c r="DQ1691" s="983"/>
      <c r="DV1691" s="889"/>
    </row>
    <row r="1692" spans="1:126" s="74" customFormat="1">
      <c r="A1692" s="15"/>
      <c r="B1692" s="15"/>
      <c r="C1692" s="15"/>
      <c r="D1692" s="15"/>
      <c r="E1692" s="6"/>
      <c r="F1692" s="6"/>
      <c r="G1692" s="6"/>
      <c r="K1692" s="222"/>
      <c r="V1692" s="1430"/>
      <c r="AA1692" s="223"/>
      <c r="AC1692" s="889"/>
      <c r="AF1692" s="890"/>
      <c r="AJ1692" s="889"/>
      <c r="AN1692" s="222"/>
      <c r="BC1692" s="223"/>
      <c r="BD1692" s="222"/>
      <c r="BH1692" s="611"/>
      <c r="BJ1692" s="15"/>
      <c r="BK1692" s="15"/>
      <c r="BO1692" s="223"/>
      <c r="BQ1692" s="889"/>
      <c r="BT1692" s="890"/>
      <c r="BX1692" s="889"/>
      <c r="CB1692" s="15"/>
      <c r="CC1692" s="697"/>
      <c r="CD1692" s="1086"/>
      <c r="CE1692" s="15"/>
      <c r="CF1692" s="15"/>
      <c r="CG1692" s="936"/>
      <c r="CH1692" s="15"/>
      <c r="CI1692" s="15"/>
      <c r="CJ1692" s="15"/>
      <c r="CK1692" s="1107"/>
      <c r="CL1692" s="22"/>
      <c r="CM1692" s="22"/>
      <c r="CN1692" s="1107"/>
      <c r="CR1692" s="223"/>
      <c r="CS1692" s="952"/>
      <c r="CT1692" s="1066"/>
      <c r="CU1692" s="972"/>
      <c r="CV1692" s="983"/>
      <c r="CW1692" s="222"/>
      <c r="CX1692" s="697"/>
      <c r="DC1692" s="222"/>
      <c r="DJ1692" s="889"/>
      <c r="DM1692" s="890"/>
      <c r="DN1692" s="952"/>
      <c r="DO1692" s="75"/>
      <c r="DP1692" s="962"/>
      <c r="DQ1692" s="983"/>
      <c r="DV1692" s="889"/>
    </row>
    <row r="1693" spans="1:126" s="74" customFormat="1">
      <c r="A1693" s="15"/>
      <c r="B1693" s="15"/>
      <c r="C1693" s="15"/>
      <c r="D1693" s="15"/>
      <c r="E1693" s="6"/>
      <c r="F1693" s="6"/>
      <c r="G1693" s="6"/>
      <c r="K1693" s="222"/>
      <c r="V1693" s="1430"/>
      <c r="AA1693" s="223"/>
      <c r="AC1693" s="889"/>
      <c r="AF1693" s="890"/>
      <c r="AJ1693" s="889"/>
      <c r="AN1693" s="222"/>
      <c r="BC1693" s="223"/>
      <c r="BD1693" s="222"/>
      <c r="BH1693" s="611"/>
      <c r="BJ1693" s="15"/>
      <c r="BK1693" s="15"/>
      <c r="BO1693" s="223"/>
      <c r="BQ1693" s="889"/>
      <c r="BT1693" s="890"/>
      <c r="BX1693" s="889"/>
      <c r="CB1693" s="15"/>
      <c r="CC1693" s="697"/>
      <c r="CD1693" s="1086"/>
      <c r="CE1693" s="15"/>
      <c r="CF1693" s="15"/>
      <c r="CG1693" s="936"/>
      <c r="CH1693" s="15"/>
      <c r="CI1693" s="15"/>
      <c r="CJ1693" s="15"/>
      <c r="CK1693" s="1107"/>
      <c r="CL1693" s="22"/>
      <c r="CM1693" s="22"/>
      <c r="CN1693" s="1107"/>
      <c r="CR1693" s="223"/>
      <c r="CS1693" s="952"/>
      <c r="CT1693" s="1066"/>
      <c r="CU1693" s="972"/>
      <c r="CV1693" s="983"/>
      <c r="CW1693" s="222"/>
      <c r="CX1693" s="697"/>
      <c r="DC1693" s="222"/>
      <c r="DJ1693" s="889"/>
      <c r="DM1693" s="890"/>
      <c r="DN1693" s="952"/>
      <c r="DO1693" s="75"/>
      <c r="DP1693" s="962"/>
      <c r="DQ1693" s="983"/>
      <c r="DV1693" s="889"/>
    </row>
    <row r="1694" spans="1:126" s="74" customFormat="1">
      <c r="A1694" s="15"/>
      <c r="B1694" s="15"/>
      <c r="C1694" s="15"/>
      <c r="D1694" s="15"/>
      <c r="E1694" s="6"/>
      <c r="F1694" s="6"/>
      <c r="G1694" s="6"/>
      <c r="K1694" s="222"/>
      <c r="V1694" s="1430"/>
      <c r="AA1694" s="223"/>
      <c r="AC1694" s="889"/>
      <c r="AF1694" s="890"/>
      <c r="AJ1694" s="889"/>
      <c r="AN1694" s="222"/>
      <c r="BC1694" s="223"/>
      <c r="BD1694" s="222"/>
      <c r="BH1694" s="611"/>
      <c r="BJ1694" s="15"/>
      <c r="BK1694" s="15"/>
      <c r="BO1694" s="223"/>
      <c r="BQ1694" s="889"/>
      <c r="BT1694" s="890"/>
      <c r="BX1694" s="889"/>
      <c r="CB1694" s="15"/>
      <c r="CC1694" s="697"/>
      <c r="CD1694" s="1086"/>
      <c r="CE1694" s="15"/>
      <c r="CF1694" s="15"/>
      <c r="CG1694" s="936"/>
      <c r="CH1694" s="15"/>
      <c r="CI1694" s="15"/>
      <c r="CJ1694" s="15"/>
      <c r="CK1694" s="1107"/>
      <c r="CL1694" s="22"/>
      <c r="CM1694" s="22"/>
      <c r="CN1694" s="1107"/>
      <c r="CR1694" s="223"/>
      <c r="CS1694" s="952"/>
      <c r="CT1694" s="1066"/>
      <c r="CU1694" s="972"/>
      <c r="CV1694" s="983"/>
      <c r="CW1694" s="222"/>
      <c r="CX1694" s="697"/>
      <c r="DC1694" s="222"/>
      <c r="DJ1694" s="889"/>
      <c r="DM1694" s="890"/>
      <c r="DN1694" s="952"/>
      <c r="DO1694" s="75"/>
      <c r="DP1694" s="962"/>
      <c r="DQ1694" s="983"/>
      <c r="DV1694" s="889"/>
    </row>
    <row r="1695" spans="1:126" s="74" customFormat="1">
      <c r="A1695" s="15"/>
      <c r="B1695" s="15"/>
      <c r="C1695" s="15"/>
      <c r="D1695" s="15"/>
      <c r="E1695" s="6"/>
      <c r="F1695" s="6"/>
      <c r="G1695" s="6"/>
      <c r="K1695" s="222"/>
      <c r="V1695" s="1430"/>
      <c r="AA1695" s="223"/>
      <c r="AC1695" s="889"/>
      <c r="AF1695" s="890"/>
      <c r="AJ1695" s="889"/>
      <c r="AN1695" s="222"/>
      <c r="BC1695" s="223"/>
      <c r="BD1695" s="222"/>
      <c r="BH1695" s="611"/>
      <c r="BJ1695" s="15"/>
      <c r="BK1695" s="15"/>
      <c r="BO1695" s="223"/>
      <c r="BQ1695" s="889"/>
      <c r="BT1695" s="890"/>
      <c r="BX1695" s="889"/>
      <c r="CB1695" s="15"/>
      <c r="CC1695" s="697"/>
      <c r="CD1695" s="1086"/>
      <c r="CE1695" s="15"/>
      <c r="CF1695" s="15"/>
      <c r="CG1695" s="936"/>
      <c r="CH1695" s="15"/>
      <c r="CI1695" s="15"/>
      <c r="CJ1695" s="15"/>
      <c r="CK1695" s="1107"/>
      <c r="CL1695" s="22"/>
      <c r="CM1695" s="22"/>
      <c r="CN1695" s="1107"/>
      <c r="CR1695" s="223"/>
      <c r="CS1695" s="952"/>
      <c r="CT1695" s="1066"/>
      <c r="CU1695" s="972"/>
      <c r="CV1695" s="983"/>
      <c r="CW1695" s="222"/>
      <c r="CX1695" s="697"/>
      <c r="DC1695" s="222"/>
      <c r="DJ1695" s="889"/>
      <c r="DM1695" s="890"/>
      <c r="DN1695" s="952"/>
      <c r="DO1695" s="75"/>
      <c r="DP1695" s="962"/>
      <c r="DQ1695" s="983"/>
      <c r="DV1695" s="889"/>
    </row>
    <row r="1696" spans="1:126" s="74" customFormat="1">
      <c r="A1696" s="15"/>
      <c r="B1696" s="15"/>
      <c r="C1696" s="15"/>
      <c r="D1696" s="15"/>
      <c r="E1696" s="6"/>
      <c r="F1696" s="6"/>
      <c r="G1696" s="6"/>
      <c r="K1696" s="222"/>
      <c r="V1696" s="1430"/>
      <c r="AA1696" s="223"/>
      <c r="AC1696" s="889"/>
      <c r="AF1696" s="890"/>
      <c r="AJ1696" s="889"/>
      <c r="AN1696" s="222"/>
      <c r="BC1696" s="223"/>
      <c r="BD1696" s="222"/>
      <c r="BH1696" s="611"/>
      <c r="BJ1696" s="15"/>
      <c r="BK1696" s="15"/>
      <c r="BO1696" s="223"/>
      <c r="BQ1696" s="889"/>
      <c r="BT1696" s="890"/>
      <c r="BX1696" s="889"/>
      <c r="CB1696" s="15"/>
      <c r="CC1696" s="697"/>
      <c r="CD1696" s="1086"/>
      <c r="CE1696" s="15"/>
      <c r="CF1696" s="15"/>
      <c r="CG1696" s="936"/>
      <c r="CH1696" s="15"/>
      <c r="CI1696" s="15"/>
      <c r="CJ1696" s="15"/>
      <c r="CK1696" s="1107"/>
      <c r="CL1696" s="22"/>
      <c r="CM1696" s="22"/>
      <c r="CN1696" s="1107"/>
      <c r="CR1696" s="223"/>
      <c r="CS1696" s="952"/>
      <c r="CT1696" s="1066"/>
      <c r="CU1696" s="972"/>
      <c r="CV1696" s="983"/>
      <c r="CW1696" s="222"/>
      <c r="CX1696" s="697"/>
      <c r="DC1696" s="222"/>
      <c r="DJ1696" s="889"/>
      <c r="DM1696" s="890"/>
      <c r="DN1696" s="952"/>
      <c r="DO1696" s="75"/>
      <c r="DP1696" s="962"/>
      <c r="DQ1696" s="983"/>
      <c r="DV1696" s="889"/>
    </row>
    <row r="1697" spans="1:126" s="74" customFormat="1">
      <c r="A1697" s="15"/>
      <c r="B1697" s="15"/>
      <c r="C1697" s="15"/>
      <c r="D1697" s="15"/>
      <c r="E1697" s="6"/>
      <c r="F1697" s="6"/>
      <c r="G1697" s="6"/>
      <c r="K1697" s="222"/>
      <c r="V1697" s="1430"/>
      <c r="AA1697" s="223"/>
      <c r="AC1697" s="889"/>
      <c r="AF1697" s="890"/>
      <c r="AJ1697" s="889"/>
      <c r="AN1697" s="222"/>
      <c r="BC1697" s="223"/>
      <c r="BD1697" s="222"/>
      <c r="BH1697" s="611"/>
      <c r="BJ1697" s="15"/>
      <c r="BK1697" s="15"/>
      <c r="BO1697" s="223"/>
      <c r="BQ1697" s="889"/>
      <c r="BT1697" s="890"/>
      <c r="BX1697" s="889"/>
      <c r="CB1697" s="15"/>
      <c r="CC1697" s="697"/>
      <c r="CD1697" s="1086"/>
      <c r="CE1697" s="15"/>
      <c r="CF1697" s="15"/>
      <c r="CG1697" s="936"/>
      <c r="CH1697" s="15"/>
      <c r="CI1697" s="15"/>
      <c r="CJ1697" s="15"/>
      <c r="CK1697" s="1107"/>
      <c r="CL1697" s="22"/>
      <c r="CM1697" s="22"/>
      <c r="CN1697" s="1107"/>
      <c r="CR1697" s="223"/>
      <c r="CS1697" s="952"/>
      <c r="CT1697" s="1066"/>
      <c r="CU1697" s="972"/>
      <c r="CV1697" s="983"/>
      <c r="CW1697" s="222"/>
      <c r="CX1697" s="697"/>
      <c r="DC1697" s="222"/>
      <c r="DJ1697" s="889"/>
      <c r="DM1697" s="890"/>
      <c r="DN1697" s="952"/>
      <c r="DO1697" s="75"/>
      <c r="DP1697" s="962"/>
      <c r="DQ1697" s="983"/>
      <c r="DV1697" s="889"/>
    </row>
    <row r="1698" spans="1:126" s="74" customFormat="1">
      <c r="A1698" s="15"/>
      <c r="B1698" s="15"/>
      <c r="C1698" s="15"/>
      <c r="D1698" s="15"/>
      <c r="E1698" s="6"/>
      <c r="F1698" s="6"/>
      <c r="G1698" s="6"/>
      <c r="K1698" s="222"/>
      <c r="V1698" s="1430"/>
      <c r="AA1698" s="223"/>
      <c r="AC1698" s="889"/>
      <c r="AF1698" s="890"/>
      <c r="AJ1698" s="889"/>
      <c r="AN1698" s="222"/>
      <c r="BC1698" s="223"/>
      <c r="BD1698" s="222"/>
      <c r="BH1698" s="611"/>
      <c r="BJ1698" s="15"/>
      <c r="BK1698" s="15"/>
      <c r="BO1698" s="223"/>
      <c r="BQ1698" s="889"/>
      <c r="BT1698" s="890"/>
      <c r="BX1698" s="889"/>
      <c r="CB1698" s="15"/>
      <c r="CC1698" s="697"/>
      <c r="CD1698" s="1086"/>
      <c r="CE1698" s="15"/>
      <c r="CF1698" s="15"/>
      <c r="CG1698" s="936"/>
      <c r="CH1698" s="15"/>
      <c r="CI1698" s="15"/>
      <c r="CJ1698" s="15"/>
      <c r="CK1698" s="1107"/>
      <c r="CL1698" s="22"/>
      <c r="CM1698" s="22"/>
      <c r="CN1698" s="1107"/>
      <c r="CR1698" s="223"/>
      <c r="CS1698" s="952"/>
      <c r="CT1698" s="1066"/>
      <c r="CU1698" s="972"/>
      <c r="CV1698" s="983"/>
      <c r="CW1698" s="222"/>
      <c r="CX1698" s="697"/>
      <c r="DC1698" s="222"/>
      <c r="DJ1698" s="889"/>
      <c r="DM1698" s="890"/>
      <c r="DN1698" s="952"/>
      <c r="DO1698" s="75"/>
      <c r="DP1698" s="962"/>
      <c r="DQ1698" s="983"/>
      <c r="DV1698" s="889"/>
    </row>
    <row r="1699" spans="1:126" s="74" customFormat="1">
      <c r="A1699" s="15"/>
      <c r="B1699" s="15"/>
      <c r="C1699" s="15"/>
      <c r="D1699" s="15"/>
      <c r="E1699" s="6"/>
      <c r="F1699" s="6"/>
      <c r="G1699" s="6"/>
      <c r="K1699" s="222"/>
      <c r="V1699" s="1430"/>
      <c r="AA1699" s="223"/>
      <c r="AC1699" s="889"/>
      <c r="AF1699" s="890"/>
      <c r="AJ1699" s="889"/>
      <c r="AN1699" s="222"/>
      <c r="BC1699" s="223"/>
      <c r="BD1699" s="222"/>
      <c r="BH1699" s="611"/>
      <c r="BJ1699" s="15"/>
      <c r="BK1699" s="15"/>
      <c r="BO1699" s="223"/>
      <c r="BQ1699" s="889"/>
      <c r="BT1699" s="890"/>
      <c r="BX1699" s="889"/>
      <c r="CB1699" s="15"/>
      <c r="CC1699" s="697"/>
      <c r="CD1699" s="1086"/>
      <c r="CE1699" s="15"/>
      <c r="CF1699" s="15"/>
      <c r="CG1699" s="936"/>
      <c r="CH1699" s="15"/>
      <c r="CI1699" s="15"/>
      <c r="CJ1699" s="15"/>
      <c r="CK1699" s="1107"/>
      <c r="CL1699" s="22"/>
      <c r="CM1699" s="22"/>
      <c r="CN1699" s="1107"/>
      <c r="CR1699" s="223"/>
      <c r="CS1699" s="952"/>
      <c r="CT1699" s="1066"/>
      <c r="CU1699" s="972"/>
      <c r="CV1699" s="983"/>
      <c r="CW1699" s="222"/>
      <c r="CX1699" s="697"/>
      <c r="DC1699" s="222"/>
      <c r="DJ1699" s="889"/>
      <c r="DM1699" s="890"/>
      <c r="DN1699" s="952"/>
      <c r="DO1699" s="75"/>
      <c r="DP1699" s="962"/>
      <c r="DQ1699" s="983"/>
      <c r="DV1699" s="889"/>
    </row>
    <row r="1700" spans="1:126" s="74" customFormat="1">
      <c r="A1700" s="15"/>
      <c r="B1700" s="15"/>
      <c r="C1700" s="15"/>
      <c r="D1700" s="15"/>
      <c r="E1700" s="6"/>
      <c r="F1700" s="6"/>
      <c r="G1700" s="6"/>
      <c r="K1700" s="222"/>
      <c r="V1700" s="1430"/>
      <c r="AA1700" s="223"/>
      <c r="AC1700" s="889"/>
      <c r="AF1700" s="890"/>
      <c r="AJ1700" s="889"/>
      <c r="AN1700" s="222"/>
      <c r="BC1700" s="223"/>
      <c r="BD1700" s="222"/>
      <c r="BH1700" s="611"/>
      <c r="BJ1700" s="15"/>
      <c r="BK1700" s="15"/>
      <c r="BO1700" s="223"/>
      <c r="BQ1700" s="889"/>
      <c r="BT1700" s="890"/>
      <c r="BX1700" s="889"/>
      <c r="CB1700" s="15"/>
      <c r="CC1700" s="697"/>
      <c r="CD1700" s="1086"/>
      <c r="CE1700" s="15"/>
      <c r="CF1700" s="15"/>
      <c r="CG1700" s="936"/>
      <c r="CH1700" s="15"/>
      <c r="CI1700" s="15"/>
      <c r="CJ1700" s="15"/>
      <c r="CK1700" s="1107"/>
      <c r="CL1700" s="22"/>
      <c r="CM1700" s="22"/>
      <c r="CN1700" s="1107"/>
      <c r="CR1700" s="223"/>
      <c r="CS1700" s="952"/>
      <c r="CT1700" s="1066"/>
      <c r="CU1700" s="972"/>
      <c r="CV1700" s="983"/>
      <c r="CW1700" s="222"/>
      <c r="CX1700" s="697"/>
      <c r="DC1700" s="222"/>
      <c r="DJ1700" s="889"/>
      <c r="DM1700" s="890"/>
      <c r="DN1700" s="952"/>
      <c r="DO1700" s="75"/>
      <c r="DP1700" s="962"/>
      <c r="DQ1700" s="983"/>
      <c r="DV1700" s="889"/>
    </row>
    <row r="1701" spans="1:126" s="74" customFormat="1">
      <c r="A1701" s="15"/>
      <c r="B1701" s="15"/>
      <c r="C1701" s="15"/>
      <c r="D1701" s="15"/>
      <c r="E1701" s="6"/>
      <c r="F1701" s="6"/>
      <c r="G1701" s="6"/>
      <c r="K1701" s="222"/>
      <c r="V1701" s="1430"/>
      <c r="AA1701" s="223"/>
      <c r="AC1701" s="889"/>
      <c r="AF1701" s="890"/>
      <c r="AJ1701" s="889"/>
      <c r="AN1701" s="222"/>
      <c r="BC1701" s="223"/>
      <c r="BD1701" s="222"/>
      <c r="BH1701" s="611"/>
      <c r="BJ1701" s="15"/>
      <c r="BK1701" s="15"/>
      <c r="BO1701" s="223"/>
      <c r="BQ1701" s="889"/>
      <c r="BT1701" s="890"/>
      <c r="BX1701" s="889"/>
      <c r="CB1701" s="15"/>
      <c r="CC1701" s="697"/>
      <c r="CD1701" s="1086"/>
      <c r="CE1701" s="15"/>
      <c r="CF1701" s="15"/>
      <c r="CG1701" s="936"/>
      <c r="CH1701" s="15"/>
      <c r="CI1701" s="15"/>
      <c r="CJ1701" s="15"/>
      <c r="CK1701" s="1107"/>
      <c r="CL1701" s="22"/>
      <c r="CM1701" s="22"/>
      <c r="CN1701" s="1107"/>
      <c r="CR1701" s="223"/>
      <c r="CS1701" s="952"/>
      <c r="CT1701" s="1066"/>
      <c r="CU1701" s="972"/>
      <c r="CV1701" s="983"/>
      <c r="CW1701" s="222"/>
      <c r="CX1701" s="697"/>
      <c r="DC1701" s="222"/>
      <c r="DJ1701" s="889"/>
      <c r="DM1701" s="890"/>
      <c r="DN1701" s="952"/>
      <c r="DO1701" s="75"/>
      <c r="DP1701" s="962"/>
      <c r="DQ1701" s="983"/>
      <c r="DV1701" s="889"/>
    </row>
    <row r="1702" spans="1:126" s="74" customFormat="1">
      <c r="A1702" s="15"/>
      <c r="B1702" s="15"/>
      <c r="C1702" s="15"/>
      <c r="D1702" s="15"/>
      <c r="E1702" s="6"/>
      <c r="F1702" s="6"/>
      <c r="G1702" s="6"/>
      <c r="K1702" s="222"/>
      <c r="V1702" s="1430"/>
      <c r="AA1702" s="223"/>
      <c r="AC1702" s="889"/>
      <c r="AF1702" s="890"/>
      <c r="AJ1702" s="889"/>
      <c r="AN1702" s="222"/>
      <c r="BC1702" s="223"/>
      <c r="BD1702" s="222"/>
      <c r="BH1702" s="611"/>
      <c r="BJ1702" s="15"/>
      <c r="BK1702" s="15"/>
      <c r="BO1702" s="223"/>
      <c r="BQ1702" s="889"/>
      <c r="BT1702" s="890"/>
      <c r="BX1702" s="889"/>
      <c r="CB1702" s="15"/>
      <c r="CC1702" s="697"/>
      <c r="CD1702" s="1086"/>
      <c r="CE1702" s="15"/>
      <c r="CF1702" s="15"/>
      <c r="CG1702" s="936"/>
      <c r="CH1702" s="15"/>
      <c r="CI1702" s="15"/>
      <c r="CJ1702" s="15"/>
      <c r="CK1702" s="1107"/>
      <c r="CL1702" s="22"/>
      <c r="CM1702" s="22"/>
      <c r="CN1702" s="1107"/>
      <c r="CR1702" s="223"/>
      <c r="CS1702" s="952"/>
      <c r="CT1702" s="1066"/>
      <c r="CU1702" s="972"/>
      <c r="CV1702" s="983"/>
      <c r="CW1702" s="222"/>
      <c r="CX1702" s="697"/>
      <c r="DC1702" s="222"/>
      <c r="DJ1702" s="889"/>
      <c r="DM1702" s="890"/>
      <c r="DN1702" s="952"/>
      <c r="DO1702" s="75"/>
      <c r="DP1702" s="962"/>
      <c r="DQ1702" s="983"/>
      <c r="DV1702" s="889"/>
    </row>
    <row r="1703" spans="1:126" s="74" customFormat="1">
      <c r="A1703" s="15"/>
      <c r="B1703" s="15"/>
      <c r="C1703" s="15"/>
      <c r="D1703" s="15"/>
      <c r="E1703" s="6"/>
      <c r="F1703" s="6"/>
      <c r="G1703" s="6"/>
      <c r="K1703" s="222"/>
      <c r="V1703" s="1430"/>
      <c r="AA1703" s="223"/>
      <c r="AC1703" s="889"/>
      <c r="AF1703" s="890"/>
      <c r="AJ1703" s="889"/>
      <c r="AN1703" s="222"/>
      <c r="BC1703" s="223"/>
      <c r="BD1703" s="222"/>
      <c r="BH1703" s="611"/>
      <c r="BJ1703" s="15"/>
      <c r="BK1703" s="15"/>
      <c r="BO1703" s="223"/>
      <c r="BQ1703" s="889"/>
      <c r="BT1703" s="890"/>
      <c r="BX1703" s="889"/>
      <c r="CB1703" s="15"/>
      <c r="CC1703" s="697"/>
      <c r="CD1703" s="1086"/>
      <c r="CE1703" s="15"/>
      <c r="CF1703" s="15"/>
      <c r="CG1703" s="936"/>
      <c r="CH1703" s="15"/>
      <c r="CI1703" s="15"/>
      <c r="CJ1703" s="15"/>
      <c r="CK1703" s="1107"/>
      <c r="CL1703" s="22"/>
      <c r="CM1703" s="22"/>
      <c r="CN1703" s="1107"/>
      <c r="CR1703" s="223"/>
      <c r="CS1703" s="952"/>
      <c r="CT1703" s="1066"/>
      <c r="CU1703" s="972"/>
      <c r="CV1703" s="983"/>
      <c r="CW1703" s="222"/>
      <c r="CX1703" s="697"/>
      <c r="DC1703" s="222"/>
      <c r="DJ1703" s="889"/>
      <c r="DM1703" s="890"/>
      <c r="DN1703" s="952"/>
      <c r="DO1703" s="75"/>
      <c r="DP1703" s="962"/>
      <c r="DQ1703" s="983"/>
      <c r="DV1703" s="889"/>
    </row>
    <row r="1704" spans="1:126" s="74" customFormat="1">
      <c r="A1704" s="15"/>
      <c r="B1704" s="15"/>
      <c r="C1704" s="15"/>
      <c r="D1704" s="15"/>
      <c r="E1704" s="6"/>
      <c r="F1704" s="6"/>
      <c r="G1704" s="6"/>
      <c r="K1704" s="222"/>
      <c r="V1704" s="1430"/>
      <c r="AA1704" s="223"/>
      <c r="AC1704" s="889"/>
      <c r="AF1704" s="890"/>
      <c r="AJ1704" s="889"/>
      <c r="AN1704" s="222"/>
      <c r="BC1704" s="223"/>
      <c r="BD1704" s="222"/>
      <c r="BH1704" s="611"/>
      <c r="BJ1704" s="15"/>
      <c r="BK1704" s="15"/>
      <c r="BO1704" s="223"/>
      <c r="BQ1704" s="889"/>
      <c r="BT1704" s="890"/>
      <c r="BX1704" s="889"/>
      <c r="CB1704" s="15"/>
      <c r="CC1704" s="697"/>
      <c r="CD1704" s="1086"/>
      <c r="CE1704" s="15"/>
      <c r="CF1704" s="15"/>
      <c r="CG1704" s="936"/>
      <c r="CH1704" s="15"/>
      <c r="CI1704" s="15"/>
      <c r="CJ1704" s="15"/>
      <c r="CK1704" s="1107"/>
      <c r="CL1704" s="22"/>
      <c r="CM1704" s="22"/>
      <c r="CN1704" s="1107"/>
      <c r="CR1704" s="223"/>
      <c r="CS1704" s="952"/>
      <c r="CT1704" s="1066"/>
      <c r="CU1704" s="972"/>
      <c r="CV1704" s="983"/>
      <c r="CW1704" s="222"/>
      <c r="CX1704" s="697"/>
      <c r="DC1704" s="222"/>
      <c r="DJ1704" s="889"/>
      <c r="DM1704" s="890"/>
      <c r="DN1704" s="952"/>
      <c r="DO1704" s="75"/>
      <c r="DP1704" s="962"/>
      <c r="DQ1704" s="983"/>
      <c r="DV1704" s="889"/>
    </row>
    <row r="1705" spans="1:126" s="74" customFormat="1">
      <c r="A1705" s="15"/>
      <c r="B1705" s="15"/>
      <c r="C1705" s="15"/>
      <c r="D1705" s="15"/>
      <c r="E1705" s="6"/>
      <c r="F1705" s="6"/>
      <c r="G1705" s="6"/>
      <c r="K1705" s="222"/>
      <c r="V1705" s="1430"/>
      <c r="AA1705" s="223"/>
      <c r="AC1705" s="889"/>
      <c r="AF1705" s="890"/>
      <c r="AJ1705" s="889"/>
      <c r="AN1705" s="222"/>
      <c r="BC1705" s="223"/>
      <c r="BD1705" s="222"/>
      <c r="BH1705" s="611"/>
      <c r="BJ1705" s="15"/>
      <c r="BK1705" s="15"/>
      <c r="BO1705" s="223"/>
      <c r="BQ1705" s="889"/>
      <c r="BT1705" s="890"/>
      <c r="BX1705" s="889"/>
      <c r="CB1705" s="15"/>
      <c r="CC1705" s="697"/>
      <c r="CD1705" s="1086"/>
      <c r="CE1705" s="15"/>
      <c r="CF1705" s="15"/>
      <c r="CG1705" s="936"/>
      <c r="CH1705" s="15"/>
      <c r="CI1705" s="15"/>
      <c r="CJ1705" s="15"/>
      <c r="CK1705" s="1107"/>
      <c r="CL1705" s="22"/>
      <c r="CM1705" s="22"/>
      <c r="CN1705" s="1107"/>
      <c r="CR1705" s="223"/>
      <c r="CS1705" s="952"/>
      <c r="CT1705" s="1066"/>
      <c r="CU1705" s="972"/>
      <c r="CV1705" s="983"/>
      <c r="CW1705" s="222"/>
      <c r="CX1705" s="697"/>
      <c r="DC1705" s="222"/>
      <c r="DJ1705" s="889"/>
      <c r="DM1705" s="890"/>
      <c r="DN1705" s="952"/>
      <c r="DO1705" s="75"/>
      <c r="DP1705" s="962"/>
      <c r="DQ1705" s="983"/>
      <c r="DV1705" s="889"/>
    </row>
    <row r="1706" spans="1:126" s="74" customFormat="1">
      <c r="A1706" s="15"/>
      <c r="B1706" s="15"/>
      <c r="C1706" s="15"/>
      <c r="D1706" s="15"/>
      <c r="E1706" s="6"/>
      <c r="F1706" s="6"/>
      <c r="G1706" s="6"/>
      <c r="K1706" s="222"/>
      <c r="V1706" s="1430"/>
      <c r="AA1706" s="223"/>
      <c r="AC1706" s="889"/>
      <c r="AF1706" s="890"/>
      <c r="AJ1706" s="889"/>
      <c r="AN1706" s="222"/>
      <c r="BC1706" s="223"/>
      <c r="BD1706" s="222"/>
      <c r="BH1706" s="611"/>
      <c r="BJ1706" s="15"/>
      <c r="BK1706" s="15"/>
      <c r="BO1706" s="223"/>
      <c r="BQ1706" s="889"/>
      <c r="BT1706" s="890"/>
      <c r="BX1706" s="889"/>
      <c r="CB1706" s="15"/>
      <c r="CC1706" s="697"/>
      <c r="CD1706" s="1086"/>
      <c r="CE1706" s="15"/>
      <c r="CF1706" s="15"/>
      <c r="CG1706" s="936"/>
      <c r="CH1706" s="15"/>
      <c r="CI1706" s="15"/>
      <c r="CJ1706" s="15"/>
      <c r="CK1706" s="1107"/>
      <c r="CL1706" s="22"/>
      <c r="CM1706" s="22"/>
      <c r="CN1706" s="1107"/>
      <c r="CR1706" s="223"/>
      <c r="CS1706" s="952"/>
      <c r="CT1706" s="1066"/>
      <c r="CU1706" s="972"/>
      <c r="CV1706" s="983"/>
      <c r="CW1706" s="222"/>
      <c r="CX1706" s="697"/>
      <c r="DC1706" s="222"/>
      <c r="DJ1706" s="889"/>
      <c r="DM1706" s="890"/>
      <c r="DN1706" s="952"/>
      <c r="DO1706" s="75"/>
      <c r="DP1706" s="962"/>
      <c r="DQ1706" s="983"/>
      <c r="DV1706" s="889"/>
    </row>
    <row r="1707" spans="1:126" s="74" customFormat="1">
      <c r="A1707" s="15"/>
      <c r="B1707" s="15"/>
      <c r="C1707" s="15"/>
      <c r="D1707" s="15"/>
      <c r="E1707" s="6"/>
      <c r="F1707" s="6"/>
      <c r="G1707" s="6"/>
      <c r="K1707" s="222"/>
      <c r="V1707" s="1430"/>
      <c r="AA1707" s="223"/>
      <c r="AC1707" s="889"/>
      <c r="AF1707" s="890"/>
      <c r="AJ1707" s="889"/>
      <c r="AN1707" s="222"/>
      <c r="BC1707" s="223"/>
      <c r="BD1707" s="222"/>
      <c r="BH1707" s="611"/>
      <c r="BJ1707" s="15"/>
      <c r="BK1707" s="15"/>
      <c r="BO1707" s="223"/>
      <c r="BQ1707" s="889"/>
      <c r="BT1707" s="890"/>
      <c r="BX1707" s="889"/>
      <c r="CB1707" s="15"/>
      <c r="CC1707" s="697"/>
      <c r="CD1707" s="1086"/>
      <c r="CE1707" s="15"/>
      <c r="CF1707" s="15"/>
      <c r="CG1707" s="936"/>
      <c r="CH1707" s="15"/>
      <c r="CI1707" s="15"/>
      <c r="CJ1707" s="15"/>
      <c r="CK1707" s="1107"/>
      <c r="CL1707" s="22"/>
      <c r="CM1707" s="22"/>
      <c r="CN1707" s="1107"/>
      <c r="CR1707" s="223"/>
      <c r="CS1707" s="952"/>
      <c r="CT1707" s="1066"/>
      <c r="CU1707" s="972"/>
      <c r="CV1707" s="983"/>
      <c r="CW1707" s="222"/>
      <c r="CX1707" s="697"/>
      <c r="DC1707" s="222"/>
      <c r="DJ1707" s="889"/>
      <c r="DM1707" s="890"/>
      <c r="DN1707" s="952"/>
      <c r="DO1707" s="75"/>
      <c r="DP1707" s="962"/>
      <c r="DQ1707" s="983"/>
      <c r="DV1707" s="889"/>
    </row>
    <row r="1708" spans="1:126" s="74" customFormat="1">
      <c r="A1708" s="15"/>
      <c r="B1708" s="15"/>
      <c r="C1708" s="15"/>
      <c r="D1708" s="15"/>
      <c r="E1708" s="6"/>
      <c r="F1708" s="6"/>
      <c r="G1708" s="6"/>
      <c r="K1708" s="222"/>
      <c r="V1708" s="1430"/>
      <c r="AA1708" s="223"/>
      <c r="AC1708" s="889"/>
      <c r="AF1708" s="890"/>
      <c r="AJ1708" s="889"/>
      <c r="AN1708" s="222"/>
      <c r="BC1708" s="223"/>
      <c r="BD1708" s="222"/>
      <c r="BH1708" s="611"/>
      <c r="BJ1708" s="15"/>
      <c r="BK1708" s="15"/>
      <c r="BO1708" s="223"/>
      <c r="BQ1708" s="889"/>
      <c r="BT1708" s="890"/>
      <c r="BX1708" s="889"/>
      <c r="CB1708" s="15"/>
      <c r="CC1708" s="697"/>
      <c r="CD1708" s="1086"/>
      <c r="CE1708" s="15"/>
      <c r="CF1708" s="15"/>
      <c r="CG1708" s="936"/>
      <c r="CH1708" s="15"/>
      <c r="CI1708" s="15"/>
      <c r="CJ1708" s="15"/>
      <c r="CK1708" s="1107"/>
      <c r="CL1708" s="22"/>
      <c r="CM1708" s="22"/>
      <c r="CN1708" s="1107"/>
      <c r="CR1708" s="223"/>
      <c r="CS1708" s="952"/>
      <c r="CT1708" s="1066"/>
      <c r="CU1708" s="972"/>
      <c r="CV1708" s="983"/>
      <c r="CW1708" s="222"/>
      <c r="CX1708" s="697"/>
      <c r="DC1708" s="222"/>
      <c r="DJ1708" s="889"/>
      <c r="DM1708" s="890"/>
      <c r="DN1708" s="952"/>
      <c r="DO1708" s="75"/>
      <c r="DP1708" s="962"/>
      <c r="DQ1708" s="983"/>
      <c r="DV1708" s="889"/>
    </row>
    <row r="1709" spans="1:126" s="74" customFormat="1">
      <c r="A1709" s="15"/>
      <c r="B1709" s="15"/>
      <c r="C1709" s="15"/>
      <c r="D1709" s="15"/>
      <c r="E1709" s="6"/>
      <c r="F1709" s="6"/>
      <c r="G1709" s="6"/>
      <c r="K1709" s="222"/>
      <c r="V1709" s="1430"/>
      <c r="AA1709" s="223"/>
      <c r="AC1709" s="889"/>
      <c r="AF1709" s="890"/>
      <c r="AJ1709" s="889"/>
      <c r="AN1709" s="222"/>
      <c r="BC1709" s="223"/>
      <c r="BD1709" s="222"/>
      <c r="BH1709" s="611"/>
      <c r="BJ1709" s="15"/>
      <c r="BK1709" s="15"/>
      <c r="BO1709" s="223"/>
      <c r="BQ1709" s="889"/>
      <c r="BT1709" s="890"/>
      <c r="BX1709" s="889"/>
      <c r="CB1709" s="15"/>
      <c r="CC1709" s="697"/>
      <c r="CD1709" s="1086"/>
      <c r="CE1709" s="15"/>
      <c r="CF1709" s="15"/>
      <c r="CG1709" s="936"/>
      <c r="CH1709" s="15"/>
      <c r="CI1709" s="15"/>
      <c r="CJ1709" s="15"/>
      <c r="CK1709" s="1107"/>
      <c r="CL1709" s="22"/>
      <c r="CM1709" s="22"/>
      <c r="CN1709" s="1107"/>
      <c r="CR1709" s="223"/>
      <c r="CS1709" s="952"/>
      <c r="CT1709" s="1066"/>
      <c r="CU1709" s="972"/>
      <c r="CV1709" s="983"/>
      <c r="CW1709" s="222"/>
      <c r="CX1709" s="697"/>
      <c r="DC1709" s="222"/>
      <c r="DJ1709" s="889"/>
      <c r="DM1709" s="890"/>
      <c r="DN1709" s="952"/>
      <c r="DO1709" s="75"/>
      <c r="DP1709" s="962"/>
      <c r="DQ1709" s="983"/>
      <c r="DV1709" s="889"/>
    </row>
    <row r="1710" spans="1:126" s="74" customFormat="1">
      <c r="A1710" s="15"/>
      <c r="B1710" s="15"/>
      <c r="C1710" s="15"/>
      <c r="D1710" s="15"/>
      <c r="E1710" s="6"/>
      <c r="F1710" s="6"/>
      <c r="G1710" s="6"/>
      <c r="K1710" s="222"/>
      <c r="V1710" s="1430"/>
      <c r="AA1710" s="223"/>
      <c r="AC1710" s="889"/>
      <c r="AF1710" s="890"/>
      <c r="AJ1710" s="889"/>
      <c r="AN1710" s="222"/>
      <c r="BC1710" s="223"/>
      <c r="BD1710" s="222"/>
      <c r="BH1710" s="611"/>
      <c r="BJ1710" s="15"/>
      <c r="BK1710" s="15"/>
      <c r="BO1710" s="223"/>
      <c r="BQ1710" s="889"/>
      <c r="BT1710" s="890"/>
      <c r="BX1710" s="889"/>
      <c r="CB1710" s="15"/>
      <c r="CC1710" s="697"/>
      <c r="CD1710" s="1086"/>
      <c r="CE1710" s="15"/>
      <c r="CF1710" s="15"/>
      <c r="CG1710" s="936"/>
      <c r="CH1710" s="15"/>
      <c r="CI1710" s="15"/>
      <c r="CJ1710" s="15"/>
      <c r="CK1710" s="1107"/>
      <c r="CL1710" s="22"/>
      <c r="CM1710" s="22"/>
      <c r="CN1710" s="1107"/>
      <c r="CR1710" s="223"/>
      <c r="CS1710" s="952"/>
      <c r="CT1710" s="1066"/>
      <c r="CU1710" s="972"/>
      <c r="CV1710" s="983"/>
      <c r="CW1710" s="222"/>
      <c r="CX1710" s="697"/>
      <c r="DC1710" s="222"/>
      <c r="DJ1710" s="889"/>
      <c r="DM1710" s="890"/>
      <c r="DN1710" s="952"/>
      <c r="DO1710" s="75"/>
      <c r="DP1710" s="962"/>
      <c r="DQ1710" s="983"/>
      <c r="DV1710" s="889"/>
    </row>
    <row r="1711" spans="1:126" s="74" customFormat="1">
      <c r="A1711" s="15"/>
      <c r="B1711" s="15"/>
      <c r="C1711" s="15"/>
      <c r="D1711" s="15"/>
      <c r="E1711" s="6"/>
      <c r="F1711" s="6"/>
      <c r="G1711" s="6"/>
      <c r="K1711" s="222"/>
      <c r="V1711" s="1430"/>
      <c r="AA1711" s="223"/>
      <c r="AC1711" s="889"/>
      <c r="AF1711" s="890"/>
      <c r="AJ1711" s="889"/>
      <c r="AN1711" s="222"/>
      <c r="BC1711" s="223"/>
      <c r="BD1711" s="222"/>
      <c r="BH1711" s="611"/>
      <c r="BJ1711" s="15"/>
      <c r="BK1711" s="15"/>
      <c r="BO1711" s="223"/>
      <c r="BQ1711" s="889"/>
      <c r="BT1711" s="890"/>
      <c r="BX1711" s="889"/>
      <c r="CB1711" s="15"/>
      <c r="CC1711" s="697"/>
      <c r="CD1711" s="1086"/>
      <c r="CE1711" s="15"/>
      <c r="CF1711" s="15"/>
      <c r="CG1711" s="936"/>
      <c r="CH1711" s="15"/>
      <c r="CI1711" s="15"/>
      <c r="CJ1711" s="15"/>
      <c r="CK1711" s="1107"/>
      <c r="CL1711" s="22"/>
      <c r="CM1711" s="22"/>
      <c r="CN1711" s="1107"/>
      <c r="CR1711" s="223"/>
      <c r="CS1711" s="952"/>
      <c r="CT1711" s="1066"/>
      <c r="CU1711" s="972"/>
      <c r="CV1711" s="983"/>
      <c r="CW1711" s="222"/>
      <c r="CX1711" s="697"/>
      <c r="DC1711" s="222"/>
      <c r="DJ1711" s="889"/>
      <c r="DM1711" s="890"/>
      <c r="DN1711" s="952"/>
      <c r="DO1711" s="75"/>
      <c r="DP1711" s="962"/>
      <c r="DQ1711" s="983"/>
      <c r="DV1711" s="889"/>
    </row>
    <row r="1712" spans="1:126" s="74" customFormat="1">
      <c r="A1712" s="15"/>
      <c r="B1712" s="15"/>
      <c r="C1712" s="15"/>
      <c r="D1712" s="15"/>
      <c r="E1712" s="6"/>
      <c r="F1712" s="6"/>
      <c r="G1712" s="6"/>
      <c r="K1712" s="222"/>
      <c r="V1712" s="1430"/>
      <c r="AA1712" s="223"/>
      <c r="AC1712" s="889"/>
      <c r="AF1712" s="890"/>
      <c r="AJ1712" s="889"/>
      <c r="AN1712" s="222"/>
      <c r="BC1712" s="223"/>
      <c r="BD1712" s="222"/>
      <c r="BH1712" s="611"/>
      <c r="BJ1712" s="15"/>
      <c r="BK1712" s="15"/>
      <c r="BO1712" s="223"/>
      <c r="BQ1712" s="889"/>
      <c r="BT1712" s="890"/>
      <c r="BX1712" s="889"/>
      <c r="CB1712" s="15"/>
      <c r="CC1712" s="697"/>
      <c r="CD1712" s="1086"/>
      <c r="CE1712" s="15"/>
      <c r="CF1712" s="15"/>
      <c r="CG1712" s="936"/>
      <c r="CH1712" s="15"/>
      <c r="CI1712" s="15"/>
      <c r="CJ1712" s="15"/>
      <c r="CK1712" s="1107"/>
      <c r="CL1712" s="22"/>
      <c r="CM1712" s="22"/>
      <c r="CN1712" s="1107"/>
      <c r="CR1712" s="223"/>
      <c r="CS1712" s="952"/>
      <c r="CT1712" s="1066"/>
      <c r="CU1712" s="972"/>
      <c r="CV1712" s="983"/>
      <c r="CW1712" s="222"/>
      <c r="CX1712" s="697"/>
      <c r="DC1712" s="222"/>
      <c r="DJ1712" s="889"/>
      <c r="DM1712" s="890"/>
      <c r="DN1712" s="952"/>
      <c r="DO1712" s="75"/>
      <c r="DP1712" s="962"/>
      <c r="DQ1712" s="983"/>
      <c r="DV1712" s="889"/>
    </row>
    <row r="1713" spans="1:126" s="74" customFormat="1">
      <c r="A1713" s="15"/>
      <c r="B1713" s="15"/>
      <c r="C1713" s="15"/>
      <c r="D1713" s="15"/>
      <c r="E1713" s="6"/>
      <c r="F1713" s="6"/>
      <c r="G1713" s="6"/>
      <c r="K1713" s="222"/>
      <c r="V1713" s="1430"/>
      <c r="AA1713" s="223"/>
      <c r="AC1713" s="889"/>
      <c r="AF1713" s="890"/>
      <c r="AJ1713" s="889"/>
      <c r="AN1713" s="222"/>
      <c r="BC1713" s="223"/>
      <c r="BD1713" s="222"/>
      <c r="BH1713" s="611"/>
      <c r="BJ1713" s="15"/>
      <c r="BK1713" s="15"/>
      <c r="BO1713" s="223"/>
      <c r="BQ1713" s="889"/>
      <c r="BT1713" s="890"/>
      <c r="BX1713" s="889"/>
      <c r="CB1713" s="15"/>
      <c r="CC1713" s="697"/>
      <c r="CD1713" s="1086"/>
      <c r="CE1713" s="15"/>
      <c r="CF1713" s="15"/>
      <c r="CG1713" s="936"/>
      <c r="CH1713" s="15"/>
      <c r="CI1713" s="15"/>
      <c r="CJ1713" s="15"/>
      <c r="CK1713" s="1107"/>
      <c r="CL1713" s="22"/>
      <c r="CM1713" s="22"/>
      <c r="CN1713" s="1107"/>
      <c r="CR1713" s="223"/>
      <c r="CS1713" s="952"/>
      <c r="CT1713" s="1066"/>
      <c r="CU1713" s="972"/>
      <c r="CV1713" s="983"/>
      <c r="CW1713" s="222"/>
      <c r="CX1713" s="697"/>
      <c r="DC1713" s="222"/>
      <c r="DJ1713" s="889"/>
      <c r="DM1713" s="890"/>
      <c r="DN1713" s="952"/>
      <c r="DO1713" s="75"/>
      <c r="DP1713" s="962"/>
      <c r="DQ1713" s="983"/>
      <c r="DV1713" s="889"/>
    </row>
    <row r="1714" spans="1:126" s="74" customFormat="1">
      <c r="A1714" s="15"/>
      <c r="B1714" s="15"/>
      <c r="C1714" s="15"/>
      <c r="D1714" s="15"/>
      <c r="E1714" s="6"/>
      <c r="F1714" s="6"/>
      <c r="G1714" s="6"/>
      <c r="K1714" s="222"/>
      <c r="V1714" s="1430"/>
      <c r="AA1714" s="223"/>
      <c r="AC1714" s="889"/>
      <c r="AF1714" s="890"/>
      <c r="AJ1714" s="889"/>
      <c r="AN1714" s="222"/>
      <c r="BC1714" s="223"/>
      <c r="BD1714" s="222"/>
      <c r="BH1714" s="611"/>
      <c r="BJ1714" s="15"/>
      <c r="BK1714" s="15"/>
      <c r="BO1714" s="223"/>
      <c r="BQ1714" s="889"/>
      <c r="BT1714" s="890"/>
      <c r="BX1714" s="889"/>
      <c r="CB1714" s="15"/>
      <c r="CC1714" s="697"/>
      <c r="CD1714" s="1086"/>
      <c r="CE1714" s="15"/>
      <c r="CF1714" s="15"/>
      <c r="CG1714" s="936"/>
      <c r="CH1714" s="15"/>
      <c r="CI1714" s="15"/>
      <c r="CJ1714" s="15"/>
      <c r="CK1714" s="1107"/>
      <c r="CL1714" s="22"/>
      <c r="CM1714" s="22"/>
      <c r="CN1714" s="1107"/>
      <c r="CR1714" s="223"/>
      <c r="CS1714" s="952"/>
      <c r="CT1714" s="1066"/>
      <c r="CU1714" s="972"/>
      <c r="CV1714" s="983"/>
      <c r="CW1714" s="222"/>
      <c r="CX1714" s="697"/>
      <c r="DC1714" s="222"/>
      <c r="DJ1714" s="889"/>
      <c r="DM1714" s="890"/>
      <c r="DN1714" s="952"/>
      <c r="DO1714" s="75"/>
      <c r="DP1714" s="962"/>
      <c r="DQ1714" s="983"/>
      <c r="DV1714" s="889"/>
    </row>
    <row r="1715" spans="1:126" s="74" customFormat="1">
      <c r="A1715" s="15"/>
      <c r="B1715" s="15"/>
      <c r="C1715" s="15"/>
      <c r="D1715" s="15"/>
      <c r="E1715" s="6"/>
      <c r="F1715" s="6"/>
      <c r="G1715" s="6"/>
      <c r="K1715" s="222"/>
      <c r="V1715" s="1430"/>
      <c r="AA1715" s="223"/>
      <c r="AC1715" s="889"/>
      <c r="AF1715" s="890"/>
      <c r="AJ1715" s="889"/>
      <c r="AN1715" s="222"/>
      <c r="BC1715" s="223"/>
      <c r="BD1715" s="222"/>
      <c r="BH1715" s="611"/>
      <c r="BJ1715" s="15"/>
      <c r="BK1715" s="15"/>
      <c r="BO1715" s="223"/>
      <c r="BQ1715" s="889"/>
      <c r="BT1715" s="890"/>
      <c r="BX1715" s="889"/>
      <c r="CB1715" s="15"/>
      <c r="CC1715" s="697"/>
      <c r="CD1715" s="1086"/>
      <c r="CE1715" s="15"/>
      <c r="CF1715" s="15"/>
      <c r="CG1715" s="936"/>
      <c r="CH1715" s="15"/>
      <c r="CI1715" s="15"/>
      <c r="CJ1715" s="15"/>
      <c r="CK1715" s="1107"/>
      <c r="CL1715" s="22"/>
      <c r="CM1715" s="22"/>
      <c r="CN1715" s="1107"/>
      <c r="CR1715" s="223"/>
      <c r="CS1715" s="952"/>
      <c r="CT1715" s="1066"/>
      <c r="CU1715" s="972"/>
      <c r="CV1715" s="983"/>
      <c r="CW1715" s="222"/>
      <c r="CX1715" s="697"/>
      <c r="DC1715" s="222"/>
      <c r="DJ1715" s="889"/>
      <c r="DM1715" s="890"/>
      <c r="DN1715" s="952"/>
      <c r="DO1715" s="75"/>
      <c r="DP1715" s="962"/>
      <c r="DQ1715" s="983"/>
      <c r="DV1715" s="889"/>
    </row>
    <row r="1716" spans="1:126" s="74" customFormat="1">
      <c r="A1716" s="15"/>
      <c r="B1716" s="15"/>
      <c r="C1716" s="15"/>
      <c r="D1716" s="15"/>
      <c r="E1716" s="6"/>
      <c r="F1716" s="6"/>
      <c r="G1716" s="6"/>
      <c r="K1716" s="222"/>
      <c r="V1716" s="1430"/>
      <c r="AA1716" s="223"/>
      <c r="AC1716" s="889"/>
      <c r="AF1716" s="890"/>
      <c r="AJ1716" s="889"/>
      <c r="AN1716" s="222"/>
      <c r="BC1716" s="223"/>
      <c r="BD1716" s="222"/>
      <c r="BH1716" s="611"/>
      <c r="BJ1716" s="15"/>
      <c r="BK1716" s="15"/>
      <c r="BO1716" s="223"/>
      <c r="BQ1716" s="889"/>
      <c r="BT1716" s="890"/>
      <c r="BX1716" s="889"/>
      <c r="CB1716" s="15"/>
      <c r="CC1716" s="697"/>
      <c r="CD1716" s="1086"/>
      <c r="CE1716" s="15"/>
      <c r="CF1716" s="15"/>
      <c r="CG1716" s="936"/>
      <c r="CH1716" s="15"/>
      <c r="CI1716" s="15"/>
      <c r="CJ1716" s="15"/>
      <c r="CK1716" s="1107"/>
      <c r="CL1716" s="22"/>
      <c r="CM1716" s="22"/>
      <c r="CN1716" s="1107"/>
      <c r="CR1716" s="223"/>
      <c r="CS1716" s="952"/>
      <c r="CT1716" s="1066"/>
      <c r="CU1716" s="972"/>
      <c r="CV1716" s="983"/>
      <c r="CW1716" s="222"/>
      <c r="CX1716" s="697"/>
      <c r="DC1716" s="222"/>
      <c r="DJ1716" s="889"/>
      <c r="DM1716" s="890"/>
      <c r="DN1716" s="952"/>
      <c r="DO1716" s="75"/>
      <c r="DP1716" s="962"/>
      <c r="DQ1716" s="983"/>
      <c r="DV1716" s="889"/>
    </row>
    <row r="1717" spans="1:126" s="74" customFormat="1">
      <c r="A1717" s="15"/>
      <c r="B1717" s="15"/>
      <c r="C1717" s="15"/>
      <c r="D1717" s="15"/>
      <c r="E1717" s="6"/>
      <c r="F1717" s="6"/>
      <c r="G1717" s="6"/>
      <c r="K1717" s="222"/>
      <c r="V1717" s="1430"/>
      <c r="AA1717" s="223"/>
      <c r="AC1717" s="889"/>
      <c r="AF1717" s="890"/>
      <c r="AJ1717" s="889"/>
      <c r="AN1717" s="222"/>
      <c r="BC1717" s="223"/>
      <c r="BD1717" s="222"/>
      <c r="BH1717" s="611"/>
      <c r="BJ1717" s="15"/>
      <c r="BK1717" s="15"/>
      <c r="BO1717" s="223"/>
      <c r="BQ1717" s="889"/>
      <c r="BT1717" s="890"/>
      <c r="BX1717" s="889"/>
      <c r="CB1717" s="15"/>
      <c r="CC1717" s="697"/>
      <c r="CD1717" s="1086"/>
      <c r="CE1717" s="15"/>
      <c r="CF1717" s="15"/>
      <c r="CG1717" s="936"/>
      <c r="CH1717" s="15"/>
      <c r="CI1717" s="15"/>
      <c r="CJ1717" s="15"/>
      <c r="CK1717" s="1107"/>
      <c r="CL1717" s="22"/>
      <c r="CM1717" s="22"/>
      <c r="CN1717" s="1107"/>
      <c r="CR1717" s="223"/>
      <c r="CS1717" s="952"/>
      <c r="CT1717" s="1066"/>
      <c r="CU1717" s="972"/>
      <c r="CV1717" s="983"/>
      <c r="CW1717" s="222"/>
      <c r="CX1717" s="697"/>
      <c r="DC1717" s="222"/>
      <c r="DJ1717" s="889"/>
      <c r="DM1717" s="890"/>
      <c r="DN1717" s="952"/>
      <c r="DO1717" s="75"/>
      <c r="DP1717" s="962"/>
      <c r="DQ1717" s="983"/>
      <c r="DV1717" s="889"/>
    </row>
    <row r="1718" spans="1:126" s="74" customFormat="1">
      <c r="A1718" s="15"/>
      <c r="B1718" s="15"/>
      <c r="C1718" s="15"/>
      <c r="D1718" s="15"/>
      <c r="E1718" s="6"/>
      <c r="F1718" s="6"/>
      <c r="G1718" s="6"/>
      <c r="K1718" s="222"/>
      <c r="V1718" s="1430"/>
      <c r="AA1718" s="223"/>
      <c r="AC1718" s="889"/>
      <c r="AF1718" s="890"/>
      <c r="AJ1718" s="889"/>
      <c r="AN1718" s="222"/>
      <c r="BC1718" s="223"/>
      <c r="BD1718" s="222"/>
      <c r="BH1718" s="611"/>
      <c r="BJ1718" s="15"/>
      <c r="BK1718" s="15"/>
      <c r="BO1718" s="223"/>
      <c r="BQ1718" s="889"/>
      <c r="BT1718" s="890"/>
      <c r="BX1718" s="889"/>
      <c r="CB1718" s="15"/>
      <c r="CC1718" s="697"/>
      <c r="CD1718" s="1086"/>
      <c r="CE1718" s="15"/>
      <c r="CF1718" s="15"/>
      <c r="CG1718" s="936"/>
      <c r="CH1718" s="15"/>
      <c r="CI1718" s="15"/>
      <c r="CJ1718" s="15"/>
      <c r="CK1718" s="1107"/>
      <c r="CL1718" s="22"/>
      <c r="CM1718" s="22"/>
      <c r="CN1718" s="1107"/>
      <c r="CR1718" s="223"/>
      <c r="CS1718" s="952"/>
      <c r="CT1718" s="1066"/>
      <c r="CU1718" s="972"/>
      <c r="CV1718" s="983"/>
      <c r="CW1718" s="222"/>
      <c r="CX1718" s="697"/>
      <c r="DC1718" s="222"/>
      <c r="DJ1718" s="889"/>
      <c r="DM1718" s="890"/>
      <c r="DN1718" s="952"/>
      <c r="DO1718" s="75"/>
      <c r="DP1718" s="962"/>
      <c r="DQ1718" s="983"/>
      <c r="DV1718" s="889"/>
    </row>
    <row r="1719" spans="1:126" s="74" customFormat="1">
      <c r="A1719" s="15"/>
      <c r="B1719" s="15"/>
      <c r="C1719" s="15"/>
      <c r="D1719" s="15"/>
      <c r="E1719" s="6"/>
      <c r="F1719" s="6"/>
      <c r="G1719" s="6"/>
      <c r="K1719" s="222"/>
      <c r="V1719" s="1430"/>
      <c r="AA1719" s="223"/>
      <c r="AC1719" s="889"/>
      <c r="AF1719" s="890"/>
      <c r="AJ1719" s="889"/>
      <c r="AN1719" s="222"/>
      <c r="BC1719" s="223"/>
      <c r="BD1719" s="222"/>
      <c r="BH1719" s="611"/>
      <c r="BJ1719" s="15"/>
      <c r="BK1719" s="15"/>
      <c r="BO1719" s="223"/>
      <c r="BQ1719" s="889"/>
      <c r="BT1719" s="890"/>
      <c r="BX1719" s="889"/>
      <c r="CB1719" s="15"/>
      <c r="CC1719" s="697"/>
      <c r="CD1719" s="1086"/>
      <c r="CE1719" s="15"/>
      <c r="CF1719" s="15"/>
      <c r="CG1719" s="936"/>
      <c r="CH1719" s="15"/>
      <c r="CI1719" s="15"/>
      <c r="CJ1719" s="15"/>
      <c r="CK1719" s="1107"/>
      <c r="CL1719" s="22"/>
      <c r="CM1719" s="22"/>
      <c r="CN1719" s="1107"/>
      <c r="CR1719" s="223"/>
      <c r="CS1719" s="952"/>
      <c r="CT1719" s="1066"/>
      <c r="CU1719" s="972"/>
      <c r="CV1719" s="983"/>
      <c r="CW1719" s="222"/>
      <c r="CX1719" s="697"/>
      <c r="DC1719" s="222"/>
      <c r="DJ1719" s="889"/>
      <c r="DM1719" s="890"/>
      <c r="DN1719" s="952"/>
      <c r="DO1719" s="75"/>
      <c r="DP1719" s="962"/>
      <c r="DQ1719" s="983"/>
      <c r="DV1719" s="889"/>
    </row>
    <row r="1720" spans="1:126" s="74" customFormat="1">
      <c r="A1720" s="15"/>
      <c r="B1720" s="15"/>
      <c r="C1720" s="15"/>
      <c r="D1720" s="15"/>
      <c r="E1720" s="6"/>
      <c r="F1720" s="6"/>
      <c r="G1720" s="6"/>
      <c r="K1720" s="222"/>
      <c r="V1720" s="1430"/>
      <c r="AA1720" s="223"/>
      <c r="AC1720" s="889"/>
      <c r="AF1720" s="890"/>
      <c r="AJ1720" s="889"/>
      <c r="AN1720" s="222"/>
      <c r="BC1720" s="223"/>
      <c r="BD1720" s="222"/>
      <c r="BH1720" s="611"/>
      <c r="BJ1720" s="15"/>
      <c r="BK1720" s="15"/>
      <c r="BO1720" s="223"/>
      <c r="BQ1720" s="889"/>
      <c r="BT1720" s="890"/>
      <c r="BX1720" s="889"/>
      <c r="CB1720" s="15"/>
      <c r="CC1720" s="697"/>
      <c r="CD1720" s="1086"/>
      <c r="CE1720" s="15"/>
      <c r="CF1720" s="15"/>
      <c r="CG1720" s="936"/>
      <c r="CH1720" s="15"/>
      <c r="CI1720" s="15"/>
      <c r="CJ1720" s="15"/>
      <c r="CK1720" s="1107"/>
      <c r="CL1720" s="22"/>
      <c r="CM1720" s="22"/>
      <c r="CN1720" s="1107"/>
      <c r="CR1720" s="223"/>
      <c r="CS1720" s="952"/>
      <c r="CT1720" s="1066"/>
      <c r="CU1720" s="972"/>
      <c r="CV1720" s="983"/>
      <c r="CW1720" s="222"/>
      <c r="CX1720" s="697"/>
      <c r="DC1720" s="222"/>
      <c r="DJ1720" s="889"/>
      <c r="DM1720" s="890"/>
      <c r="DN1720" s="952"/>
      <c r="DO1720" s="75"/>
      <c r="DP1720" s="962"/>
      <c r="DQ1720" s="983"/>
      <c r="DV1720" s="889"/>
    </row>
    <row r="1721" spans="1:126" s="74" customFormat="1">
      <c r="A1721" s="15"/>
      <c r="B1721" s="15"/>
      <c r="C1721" s="15"/>
      <c r="D1721" s="15"/>
      <c r="E1721" s="6"/>
      <c r="F1721" s="6"/>
      <c r="G1721" s="6"/>
      <c r="K1721" s="222"/>
      <c r="V1721" s="1430"/>
      <c r="AA1721" s="223"/>
      <c r="AC1721" s="889"/>
      <c r="AF1721" s="890"/>
      <c r="AJ1721" s="889"/>
      <c r="AN1721" s="222"/>
      <c r="BC1721" s="223"/>
      <c r="BD1721" s="222"/>
      <c r="BH1721" s="611"/>
      <c r="BJ1721" s="15"/>
      <c r="BK1721" s="15"/>
      <c r="BO1721" s="223"/>
      <c r="BQ1721" s="889"/>
      <c r="BT1721" s="890"/>
      <c r="BX1721" s="889"/>
      <c r="CB1721" s="15"/>
      <c r="CC1721" s="697"/>
      <c r="CD1721" s="1086"/>
      <c r="CE1721" s="15"/>
      <c r="CF1721" s="15"/>
      <c r="CG1721" s="936"/>
      <c r="CH1721" s="15"/>
      <c r="CI1721" s="15"/>
      <c r="CJ1721" s="15"/>
      <c r="CK1721" s="1107"/>
      <c r="CL1721" s="22"/>
      <c r="CM1721" s="22"/>
      <c r="CN1721" s="1107"/>
      <c r="CR1721" s="223"/>
      <c r="CS1721" s="952"/>
      <c r="CT1721" s="1066"/>
      <c r="CU1721" s="972"/>
      <c r="CV1721" s="983"/>
      <c r="CW1721" s="222"/>
      <c r="CX1721" s="697"/>
      <c r="DC1721" s="222"/>
      <c r="DJ1721" s="889"/>
      <c r="DM1721" s="890"/>
      <c r="DN1721" s="952"/>
      <c r="DO1721" s="75"/>
      <c r="DP1721" s="962"/>
      <c r="DQ1721" s="983"/>
      <c r="DV1721" s="889"/>
    </row>
    <row r="1722" spans="1:126" s="74" customFormat="1">
      <c r="A1722" s="15"/>
      <c r="B1722" s="15"/>
      <c r="C1722" s="15"/>
      <c r="D1722" s="15"/>
      <c r="E1722" s="6"/>
      <c r="F1722" s="6"/>
      <c r="G1722" s="6"/>
      <c r="K1722" s="222"/>
      <c r="V1722" s="1430"/>
      <c r="AA1722" s="223"/>
      <c r="AC1722" s="889"/>
      <c r="AF1722" s="890"/>
      <c r="AJ1722" s="889"/>
      <c r="AN1722" s="222"/>
      <c r="BC1722" s="223"/>
      <c r="BD1722" s="222"/>
      <c r="BH1722" s="611"/>
      <c r="BJ1722" s="15"/>
      <c r="BK1722" s="15"/>
      <c r="BO1722" s="223"/>
      <c r="BQ1722" s="889"/>
      <c r="BT1722" s="890"/>
      <c r="BX1722" s="889"/>
      <c r="CB1722" s="15"/>
      <c r="CC1722" s="697"/>
      <c r="CD1722" s="1086"/>
      <c r="CE1722" s="15"/>
      <c r="CF1722" s="15"/>
      <c r="CG1722" s="936"/>
      <c r="CH1722" s="15"/>
      <c r="CI1722" s="15"/>
      <c r="CJ1722" s="15"/>
      <c r="CK1722" s="1107"/>
      <c r="CL1722" s="22"/>
      <c r="CM1722" s="22"/>
      <c r="CN1722" s="1107"/>
      <c r="CR1722" s="223"/>
      <c r="CS1722" s="952"/>
      <c r="CT1722" s="1066"/>
      <c r="CU1722" s="972"/>
      <c r="CV1722" s="983"/>
      <c r="CW1722" s="222"/>
      <c r="CX1722" s="697"/>
      <c r="DC1722" s="222"/>
      <c r="DJ1722" s="889"/>
      <c r="DM1722" s="890"/>
      <c r="DN1722" s="952"/>
      <c r="DO1722" s="75"/>
      <c r="DP1722" s="962"/>
      <c r="DQ1722" s="983"/>
      <c r="DV1722" s="889"/>
    </row>
    <row r="1723" spans="1:126" s="74" customFormat="1">
      <c r="A1723" s="15"/>
      <c r="B1723" s="15"/>
      <c r="C1723" s="15"/>
      <c r="D1723" s="15"/>
      <c r="E1723" s="6"/>
      <c r="F1723" s="6"/>
      <c r="G1723" s="6"/>
      <c r="K1723" s="222"/>
      <c r="V1723" s="1430"/>
      <c r="AA1723" s="223"/>
      <c r="AC1723" s="889"/>
      <c r="AF1723" s="890"/>
      <c r="AJ1723" s="889"/>
      <c r="AN1723" s="222"/>
      <c r="BC1723" s="223"/>
      <c r="BD1723" s="222"/>
      <c r="BH1723" s="611"/>
      <c r="BJ1723" s="15"/>
      <c r="BK1723" s="15"/>
      <c r="BO1723" s="223"/>
      <c r="BQ1723" s="889"/>
      <c r="BT1723" s="890"/>
      <c r="BX1723" s="889"/>
      <c r="CB1723" s="15"/>
      <c r="CC1723" s="697"/>
      <c r="CD1723" s="1086"/>
      <c r="CE1723" s="15"/>
      <c r="CF1723" s="15"/>
      <c r="CG1723" s="936"/>
      <c r="CH1723" s="15"/>
      <c r="CI1723" s="15"/>
      <c r="CJ1723" s="15"/>
      <c r="CK1723" s="1107"/>
      <c r="CL1723" s="22"/>
      <c r="CM1723" s="22"/>
      <c r="CN1723" s="1107"/>
      <c r="CR1723" s="223"/>
      <c r="CS1723" s="952"/>
      <c r="CT1723" s="1066"/>
      <c r="CU1723" s="972"/>
      <c r="CV1723" s="983"/>
      <c r="CW1723" s="222"/>
      <c r="CX1723" s="697"/>
      <c r="DC1723" s="222"/>
      <c r="DJ1723" s="889"/>
      <c r="DM1723" s="890"/>
      <c r="DN1723" s="952"/>
      <c r="DO1723" s="75"/>
      <c r="DP1723" s="962"/>
      <c r="DQ1723" s="983"/>
      <c r="DV1723" s="889"/>
    </row>
    <row r="1724" spans="1:126" s="74" customFormat="1">
      <c r="A1724" s="15"/>
      <c r="B1724" s="15"/>
      <c r="C1724" s="15"/>
      <c r="D1724" s="15"/>
      <c r="E1724" s="6"/>
      <c r="F1724" s="6"/>
      <c r="G1724" s="6"/>
      <c r="K1724" s="222"/>
      <c r="V1724" s="1430"/>
      <c r="AA1724" s="223"/>
      <c r="AC1724" s="889"/>
      <c r="AF1724" s="890"/>
      <c r="AJ1724" s="889"/>
      <c r="AN1724" s="222"/>
      <c r="BC1724" s="223"/>
      <c r="BD1724" s="222"/>
      <c r="BH1724" s="611"/>
      <c r="BJ1724" s="15"/>
      <c r="BK1724" s="15"/>
      <c r="BO1724" s="223"/>
      <c r="BQ1724" s="889"/>
      <c r="BT1724" s="890"/>
      <c r="BX1724" s="889"/>
      <c r="CB1724" s="15"/>
      <c r="CC1724" s="697"/>
      <c r="CD1724" s="1086"/>
      <c r="CE1724" s="15"/>
      <c r="CF1724" s="15"/>
      <c r="CG1724" s="936"/>
      <c r="CH1724" s="15"/>
      <c r="CI1724" s="15"/>
      <c r="CJ1724" s="15"/>
      <c r="CK1724" s="1107"/>
      <c r="CL1724" s="22"/>
      <c r="CM1724" s="22"/>
      <c r="CN1724" s="1107"/>
      <c r="CR1724" s="223"/>
      <c r="CS1724" s="952"/>
      <c r="CT1724" s="1066"/>
      <c r="CU1724" s="972"/>
      <c r="CV1724" s="983"/>
      <c r="CW1724" s="222"/>
      <c r="CX1724" s="697"/>
      <c r="DC1724" s="222"/>
      <c r="DJ1724" s="889"/>
      <c r="DM1724" s="890"/>
      <c r="DN1724" s="952"/>
      <c r="DO1724" s="75"/>
      <c r="DP1724" s="962"/>
      <c r="DQ1724" s="983"/>
      <c r="DV1724" s="889"/>
    </row>
    <row r="1725" spans="1:126" s="74" customFormat="1">
      <c r="A1725" s="15"/>
      <c r="B1725" s="15"/>
      <c r="C1725" s="15"/>
      <c r="D1725" s="15"/>
      <c r="E1725" s="6"/>
      <c r="F1725" s="6"/>
      <c r="G1725" s="6"/>
      <c r="K1725" s="222"/>
      <c r="V1725" s="1430"/>
      <c r="AA1725" s="223"/>
      <c r="AC1725" s="889"/>
      <c r="AF1725" s="890"/>
      <c r="AJ1725" s="889"/>
      <c r="AN1725" s="222"/>
      <c r="BC1725" s="223"/>
      <c r="BD1725" s="222"/>
      <c r="BH1725" s="611"/>
      <c r="BJ1725" s="15"/>
      <c r="BK1725" s="15"/>
      <c r="BO1725" s="223"/>
      <c r="BQ1725" s="889"/>
      <c r="BT1725" s="890"/>
      <c r="BX1725" s="889"/>
      <c r="CB1725" s="15"/>
      <c r="CC1725" s="697"/>
      <c r="CD1725" s="1086"/>
      <c r="CE1725" s="15"/>
      <c r="CF1725" s="15"/>
      <c r="CG1725" s="936"/>
      <c r="CH1725" s="15"/>
      <c r="CI1725" s="15"/>
      <c r="CJ1725" s="15"/>
      <c r="CK1725" s="1107"/>
      <c r="CL1725" s="22"/>
      <c r="CM1725" s="22"/>
      <c r="CN1725" s="1107"/>
      <c r="CR1725" s="223"/>
      <c r="CS1725" s="952"/>
      <c r="CT1725" s="1066"/>
      <c r="CU1725" s="972"/>
      <c r="CV1725" s="983"/>
      <c r="CW1725" s="222"/>
      <c r="CX1725" s="697"/>
      <c r="DC1725" s="222"/>
      <c r="DJ1725" s="889"/>
      <c r="DM1725" s="890"/>
      <c r="DN1725" s="952"/>
      <c r="DO1725" s="75"/>
      <c r="DP1725" s="962"/>
      <c r="DQ1725" s="983"/>
      <c r="DV1725" s="889"/>
    </row>
    <row r="1726" spans="1:126" s="74" customFormat="1">
      <c r="A1726" s="15"/>
      <c r="B1726" s="15"/>
      <c r="C1726" s="15"/>
      <c r="D1726" s="15"/>
      <c r="E1726" s="6"/>
      <c r="F1726" s="6"/>
      <c r="G1726" s="6"/>
      <c r="K1726" s="222"/>
      <c r="V1726" s="1430"/>
      <c r="AA1726" s="223"/>
      <c r="AC1726" s="889"/>
      <c r="AF1726" s="890"/>
      <c r="AJ1726" s="889"/>
      <c r="AN1726" s="222"/>
      <c r="BC1726" s="223"/>
      <c r="BD1726" s="222"/>
      <c r="BH1726" s="611"/>
      <c r="BJ1726" s="15"/>
      <c r="BK1726" s="15"/>
      <c r="BO1726" s="223"/>
      <c r="BQ1726" s="889"/>
      <c r="BT1726" s="890"/>
      <c r="BX1726" s="889"/>
      <c r="CB1726" s="15"/>
      <c r="CC1726" s="697"/>
      <c r="CD1726" s="1086"/>
      <c r="CE1726" s="15"/>
      <c r="CF1726" s="15"/>
      <c r="CG1726" s="936"/>
      <c r="CH1726" s="15"/>
      <c r="CI1726" s="15"/>
      <c r="CJ1726" s="15"/>
      <c r="CK1726" s="1107"/>
      <c r="CL1726" s="22"/>
      <c r="CM1726" s="22"/>
      <c r="CN1726" s="1107"/>
      <c r="CR1726" s="223"/>
      <c r="CS1726" s="952"/>
      <c r="CT1726" s="1066"/>
      <c r="CU1726" s="972"/>
      <c r="CV1726" s="983"/>
      <c r="CW1726" s="222"/>
      <c r="CX1726" s="697"/>
      <c r="DC1726" s="222"/>
      <c r="DJ1726" s="889"/>
      <c r="DM1726" s="890"/>
      <c r="DN1726" s="952"/>
      <c r="DO1726" s="75"/>
      <c r="DP1726" s="962"/>
      <c r="DQ1726" s="983"/>
      <c r="DV1726" s="889"/>
    </row>
    <row r="1727" spans="1:126" s="74" customFormat="1">
      <c r="A1727" s="15"/>
      <c r="B1727" s="15"/>
      <c r="C1727" s="15"/>
      <c r="D1727" s="15"/>
      <c r="E1727" s="6"/>
      <c r="F1727" s="6"/>
      <c r="G1727" s="6"/>
      <c r="K1727" s="222"/>
      <c r="V1727" s="1430"/>
      <c r="AA1727" s="223"/>
      <c r="AC1727" s="889"/>
      <c r="AF1727" s="890"/>
      <c r="AJ1727" s="889"/>
      <c r="AN1727" s="222"/>
      <c r="BC1727" s="223"/>
      <c r="BD1727" s="222"/>
      <c r="BH1727" s="611"/>
      <c r="BJ1727" s="15"/>
      <c r="BK1727" s="15"/>
      <c r="BO1727" s="223"/>
      <c r="BQ1727" s="889"/>
      <c r="BT1727" s="890"/>
      <c r="BX1727" s="889"/>
      <c r="CB1727" s="15"/>
      <c r="CC1727" s="697"/>
      <c r="CD1727" s="1086"/>
      <c r="CE1727" s="15"/>
      <c r="CF1727" s="15"/>
      <c r="CG1727" s="936"/>
      <c r="CH1727" s="15"/>
      <c r="CI1727" s="15"/>
      <c r="CJ1727" s="15"/>
      <c r="CK1727" s="1107"/>
      <c r="CL1727" s="22"/>
      <c r="CM1727" s="22"/>
      <c r="CN1727" s="1107"/>
      <c r="CR1727" s="223"/>
      <c r="CS1727" s="952"/>
      <c r="CT1727" s="1066"/>
      <c r="CU1727" s="972"/>
      <c r="CV1727" s="983"/>
      <c r="CW1727" s="222"/>
      <c r="CX1727" s="697"/>
      <c r="DC1727" s="222"/>
      <c r="DJ1727" s="889"/>
      <c r="DM1727" s="890"/>
      <c r="DN1727" s="952"/>
      <c r="DO1727" s="75"/>
      <c r="DP1727" s="962"/>
      <c r="DQ1727" s="983"/>
      <c r="DV1727" s="889"/>
    </row>
    <row r="1728" spans="1:126" s="74" customFormat="1">
      <c r="A1728" s="15"/>
      <c r="B1728" s="15"/>
      <c r="C1728" s="15"/>
      <c r="D1728" s="15"/>
      <c r="E1728" s="6"/>
      <c r="F1728" s="6"/>
      <c r="G1728" s="6"/>
      <c r="K1728" s="222"/>
      <c r="V1728" s="1430"/>
      <c r="AA1728" s="223"/>
      <c r="AC1728" s="889"/>
      <c r="AF1728" s="890"/>
      <c r="AJ1728" s="889"/>
      <c r="AN1728" s="222"/>
      <c r="BC1728" s="223"/>
      <c r="BD1728" s="222"/>
      <c r="BH1728" s="611"/>
      <c r="BJ1728" s="15"/>
      <c r="BK1728" s="15"/>
      <c r="BO1728" s="223"/>
      <c r="BQ1728" s="889"/>
      <c r="BT1728" s="890"/>
      <c r="BX1728" s="889"/>
      <c r="CB1728" s="15"/>
      <c r="CC1728" s="697"/>
      <c r="CD1728" s="1086"/>
      <c r="CE1728" s="15"/>
      <c r="CF1728" s="15"/>
      <c r="CG1728" s="936"/>
      <c r="CH1728" s="15"/>
      <c r="CI1728" s="15"/>
      <c r="CJ1728" s="15"/>
      <c r="CK1728" s="1107"/>
      <c r="CL1728" s="22"/>
      <c r="CM1728" s="22"/>
      <c r="CN1728" s="1107"/>
      <c r="CR1728" s="223"/>
      <c r="CS1728" s="952"/>
      <c r="CT1728" s="1066"/>
      <c r="CU1728" s="972"/>
      <c r="CV1728" s="983"/>
      <c r="CW1728" s="222"/>
      <c r="CX1728" s="697"/>
      <c r="DC1728" s="222"/>
      <c r="DJ1728" s="889"/>
      <c r="DM1728" s="890"/>
      <c r="DN1728" s="952"/>
      <c r="DO1728" s="75"/>
      <c r="DP1728" s="962"/>
      <c r="DQ1728" s="983"/>
      <c r="DV1728" s="889"/>
    </row>
    <row r="1729" spans="1:126" s="74" customFormat="1">
      <c r="A1729" s="15"/>
      <c r="B1729" s="15"/>
      <c r="C1729" s="15"/>
      <c r="D1729" s="15"/>
      <c r="E1729" s="6"/>
      <c r="F1729" s="6"/>
      <c r="G1729" s="6"/>
      <c r="K1729" s="222"/>
      <c r="V1729" s="1430"/>
      <c r="AA1729" s="223"/>
      <c r="AC1729" s="889"/>
      <c r="AF1729" s="890"/>
      <c r="AJ1729" s="889"/>
      <c r="AN1729" s="222"/>
      <c r="BC1729" s="223"/>
      <c r="BD1729" s="222"/>
      <c r="BH1729" s="611"/>
      <c r="BJ1729" s="15"/>
      <c r="BK1729" s="15"/>
      <c r="BO1729" s="223"/>
      <c r="BQ1729" s="889"/>
      <c r="BT1729" s="890"/>
      <c r="BX1729" s="889"/>
      <c r="CB1729" s="15"/>
      <c r="CC1729" s="697"/>
      <c r="CD1729" s="1086"/>
      <c r="CE1729" s="15"/>
      <c r="CF1729" s="15"/>
      <c r="CG1729" s="936"/>
      <c r="CH1729" s="15"/>
      <c r="CI1729" s="15"/>
      <c r="CJ1729" s="15"/>
      <c r="CK1729" s="1107"/>
      <c r="CL1729" s="22"/>
      <c r="CM1729" s="22"/>
      <c r="CN1729" s="1107"/>
      <c r="CR1729" s="223"/>
      <c r="CS1729" s="952"/>
      <c r="CT1729" s="1066"/>
      <c r="CU1729" s="972"/>
      <c r="CV1729" s="983"/>
      <c r="CW1729" s="222"/>
      <c r="CX1729" s="697"/>
      <c r="DC1729" s="222"/>
      <c r="DJ1729" s="889"/>
      <c r="DM1729" s="890"/>
      <c r="DN1729" s="952"/>
      <c r="DO1729" s="75"/>
      <c r="DP1729" s="962"/>
      <c r="DQ1729" s="983"/>
      <c r="DV1729" s="889"/>
    </row>
    <row r="1730" spans="1:126" s="74" customFormat="1">
      <c r="A1730" s="15"/>
      <c r="B1730" s="15"/>
      <c r="C1730" s="15"/>
      <c r="D1730" s="15"/>
      <c r="E1730" s="6"/>
      <c r="F1730" s="6"/>
      <c r="G1730" s="6"/>
      <c r="K1730" s="222"/>
      <c r="V1730" s="1430"/>
      <c r="AA1730" s="223"/>
      <c r="AC1730" s="889"/>
      <c r="AF1730" s="890"/>
      <c r="AJ1730" s="889"/>
      <c r="AN1730" s="222"/>
      <c r="BC1730" s="223"/>
      <c r="BD1730" s="222"/>
      <c r="BH1730" s="611"/>
      <c r="BJ1730" s="15"/>
      <c r="BK1730" s="15"/>
      <c r="BO1730" s="223"/>
      <c r="BQ1730" s="889"/>
      <c r="BT1730" s="890"/>
      <c r="BX1730" s="889"/>
      <c r="CB1730" s="15"/>
      <c r="CC1730" s="697"/>
      <c r="CD1730" s="1086"/>
      <c r="CE1730" s="15"/>
      <c r="CF1730" s="15"/>
      <c r="CG1730" s="936"/>
      <c r="CH1730" s="15"/>
      <c r="CI1730" s="15"/>
      <c r="CJ1730" s="15"/>
      <c r="CK1730" s="1107"/>
      <c r="CL1730" s="22"/>
      <c r="CM1730" s="22"/>
      <c r="CN1730" s="1107"/>
      <c r="CR1730" s="223"/>
      <c r="CS1730" s="952"/>
      <c r="CT1730" s="1066"/>
      <c r="CU1730" s="972"/>
      <c r="CV1730" s="983"/>
      <c r="CW1730" s="222"/>
      <c r="CX1730" s="697"/>
      <c r="DC1730" s="222"/>
      <c r="DJ1730" s="889"/>
      <c r="DM1730" s="890"/>
      <c r="DN1730" s="952"/>
      <c r="DO1730" s="75"/>
      <c r="DP1730" s="962"/>
      <c r="DQ1730" s="983"/>
      <c r="DV1730" s="889"/>
    </row>
    <row r="1731" spans="1:126" s="74" customFormat="1">
      <c r="A1731" s="15"/>
      <c r="B1731" s="15"/>
      <c r="C1731" s="15"/>
      <c r="D1731" s="15"/>
      <c r="E1731" s="6"/>
      <c r="F1731" s="6"/>
      <c r="G1731" s="6"/>
      <c r="K1731" s="222"/>
      <c r="V1731" s="1430"/>
      <c r="AA1731" s="223"/>
      <c r="AC1731" s="889"/>
      <c r="AF1731" s="890"/>
      <c r="AJ1731" s="889"/>
      <c r="AN1731" s="222"/>
      <c r="BC1731" s="223"/>
      <c r="BD1731" s="222"/>
      <c r="BH1731" s="611"/>
      <c r="BJ1731" s="15"/>
      <c r="BK1731" s="15"/>
      <c r="BO1731" s="223"/>
      <c r="BQ1731" s="889"/>
      <c r="BT1731" s="890"/>
      <c r="BX1731" s="889"/>
      <c r="CB1731" s="15"/>
      <c r="CC1731" s="697"/>
      <c r="CD1731" s="1086"/>
      <c r="CE1731" s="15"/>
      <c r="CF1731" s="15"/>
      <c r="CG1731" s="936"/>
      <c r="CH1731" s="15"/>
      <c r="CI1731" s="15"/>
      <c r="CJ1731" s="15"/>
      <c r="CK1731" s="1107"/>
      <c r="CL1731" s="22"/>
      <c r="CM1731" s="22"/>
      <c r="CN1731" s="1107"/>
      <c r="CR1731" s="223"/>
      <c r="CS1731" s="952"/>
      <c r="CT1731" s="1066"/>
      <c r="CU1731" s="972"/>
      <c r="CV1731" s="983"/>
      <c r="CW1731" s="222"/>
      <c r="CX1731" s="697"/>
      <c r="DC1731" s="222"/>
      <c r="DJ1731" s="889"/>
      <c r="DM1731" s="890"/>
      <c r="DN1731" s="952"/>
      <c r="DO1731" s="75"/>
      <c r="DP1731" s="962"/>
      <c r="DQ1731" s="983"/>
      <c r="DV1731" s="889"/>
    </row>
    <row r="1732" spans="1:126" s="74" customFormat="1">
      <c r="A1732" s="15"/>
      <c r="B1732" s="15"/>
      <c r="C1732" s="15"/>
      <c r="D1732" s="15"/>
      <c r="E1732" s="6"/>
      <c r="F1732" s="6"/>
      <c r="G1732" s="6"/>
      <c r="K1732" s="222"/>
      <c r="V1732" s="1430"/>
      <c r="AA1732" s="223"/>
      <c r="AC1732" s="889"/>
      <c r="AF1732" s="890"/>
      <c r="AJ1732" s="889"/>
      <c r="AN1732" s="222"/>
      <c r="BC1732" s="223"/>
      <c r="BD1732" s="222"/>
      <c r="BH1732" s="611"/>
      <c r="BJ1732" s="15"/>
      <c r="BK1732" s="15"/>
      <c r="BO1732" s="223"/>
      <c r="BQ1732" s="889"/>
      <c r="BT1732" s="890"/>
      <c r="BX1732" s="889"/>
      <c r="CB1732" s="15"/>
      <c r="CC1732" s="697"/>
      <c r="CD1732" s="1086"/>
      <c r="CE1732" s="15"/>
      <c r="CF1732" s="15"/>
      <c r="CG1732" s="936"/>
      <c r="CH1732" s="15"/>
      <c r="CI1732" s="15"/>
      <c r="CJ1732" s="15"/>
      <c r="CK1732" s="1107"/>
      <c r="CL1732" s="22"/>
      <c r="CM1732" s="22"/>
      <c r="CN1732" s="1107"/>
      <c r="CR1732" s="223"/>
      <c r="CS1732" s="952"/>
      <c r="CT1732" s="1066"/>
      <c r="CU1732" s="972"/>
      <c r="CV1732" s="983"/>
      <c r="CW1732" s="222"/>
      <c r="CX1732" s="697"/>
      <c r="DC1732" s="222"/>
      <c r="DJ1732" s="889"/>
      <c r="DM1732" s="890"/>
      <c r="DN1732" s="952"/>
      <c r="DO1732" s="75"/>
      <c r="DP1732" s="962"/>
      <c r="DQ1732" s="983"/>
      <c r="DV1732" s="889"/>
    </row>
    <row r="1733" spans="1:126" s="74" customFormat="1">
      <c r="A1733" s="15"/>
      <c r="B1733" s="15"/>
      <c r="C1733" s="15"/>
      <c r="D1733" s="15"/>
      <c r="E1733" s="6"/>
      <c r="F1733" s="6"/>
      <c r="G1733" s="6"/>
      <c r="K1733" s="222"/>
      <c r="V1733" s="1430"/>
      <c r="AA1733" s="223"/>
      <c r="AC1733" s="889"/>
      <c r="AF1733" s="890"/>
      <c r="AJ1733" s="889"/>
      <c r="AN1733" s="222"/>
      <c r="BC1733" s="223"/>
      <c r="BD1733" s="222"/>
      <c r="BH1733" s="611"/>
      <c r="BJ1733" s="15"/>
      <c r="BK1733" s="15"/>
      <c r="BO1733" s="223"/>
      <c r="BQ1733" s="889"/>
      <c r="BT1733" s="890"/>
      <c r="BX1733" s="889"/>
      <c r="CB1733" s="15"/>
      <c r="CC1733" s="697"/>
      <c r="CD1733" s="1086"/>
      <c r="CE1733" s="15"/>
      <c r="CF1733" s="15"/>
      <c r="CG1733" s="936"/>
      <c r="CH1733" s="15"/>
      <c r="CI1733" s="15"/>
      <c r="CJ1733" s="15"/>
      <c r="CK1733" s="1107"/>
      <c r="CL1733" s="22"/>
      <c r="CM1733" s="22"/>
      <c r="CN1733" s="1107"/>
      <c r="CR1733" s="223"/>
      <c r="CS1733" s="952"/>
      <c r="CT1733" s="1066"/>
      <c r="CU1733" s="972"/>
      <c r="CV1733" s="983"/>
      <c r="CW1733" s="222"/>
      <c r="CX1733" s="697"/>
      <c r="DC1733" s="222"/>
      <c r="DJ1733" s="889"/>
      <c r="DM1733" s="890"/>
      <c r="DN1733" s="952"/>
      <c r="DO1733" s="75"/>
      <c r="DP1733" s="962"/>
      <c r="DQ1733" s="983"/>
      <c r="DV1733" s="889"/>
    </row>
    <row r="1734" spans="1:126" s="74" customFormat="1">
      <c r="A1734" s="15"/>
      <c r="B1734" s="15"/>
      <c r="C1734" s="15"/>
      <c r="D1734" s="15"/>
      <c r="E1734" s="6"/>
      <c r="F1734" s="6"/>
      <c r="G1734" s="6"/>
      <c r="K1734" s="222"/>
      <c r="V1734" s="1430"/>
      <c r="AA1734" s="223"/>
      <c r="AC1734" s="889"/>
      <c r="AF1734" s="890"/>
      <c r="AJ1734" s="889"/>
      <c r="AN1734" s="222"/>
      <c r="BC1734" s="223"/>
      <c r="BD1734" s="222"/>
      <c r="BH1734" s="611"/>
      <c r="BJ1734" s="15"/>
      <c r="BK1734" s="15"/>
      <c r="BO1734" s="223"/>
      <c r="BQ1734" s="889"/>
      <c r="BT1734" s="890"/>
      <c r="BX1734" s="889"/>
      <c r="CB1734" s="15"/>
      <c r="CC1734" s="697"/>
      <c r="CD1734" s="1086"/>
      <c r="CE1734" s="15"/>
      <c r="CF1734" s="15"/>
      <c r="CG1734" s="936"/>
      <c r="CH1734" s="15"/>
      <c r="CI1734" s="15"/>
      <c r="CJ1734" s="15"/>
      <c r="CK1734" s="1107"/>
      <c r="CL1734" s="22"/>
      <c r="CM1734" s="22"/>
      <c r="CN1734" s="1107"/>
      <c r="CR1734" s="223"/>
      <c r="CS1734" s="952"/>
      <c r="CT1734" s="1066"/>
      <c r="CU1734" s="972"/>
      <c r="CV1734" s="983"/>
      <c r="CW1734" s="222"/>
      <c r="CX1734" s="697"/>
      <c r="DC1734" s="222"/>
      <c r="DJ1734" s="889"/>
      <c r="DM1734" s="890"/>
      <c r="DN1734" s="952"/>
      <c r="DO1734" s="75"/>
      <c r="DP1734" s="962"/>
      <c r="DQ1734" s="983"/>
      <c r="DV1734" s="889"/>
    </row>
    <row r="1735" spans="1:126" s="74" customFormat="1">
      <c r="A1735" s="15"/>
      <c r="B1735" s="15"/>
      <c r="C1735" s="15"/>
      <c r="D1735" s="15"/>
      <c r="E1735" s="6"/>
      <c r="F1735" s="6"/>
      <c r="G1735" s="6"/>
      <c r="K1735" s="222"/>
      <c r="V1735" s="1430"/>
      <c r="AA1735" s="223"/>
      <c r="AC1735" s="889"/>
      <c r="AF1735" s="890"/>
      <c r="AJ1735" s="889"/>
      <c r="AN1735" s="222"/>
      <c r="BC1735" s="223"/>
      <c r="BD1735" s="222"/>
      <c r="BH1735" s="611"/>
      <c r="BJ1735" s="15"/>
      <c r="BK1735" s="15"/>
      <c r="BO1735" s="223"/>
      <c r="BQ1735" s="889"/>
      <c r="BT1735" s="890"/>
      <c r="BX1735" s="889"/>
      <c r="CB1735" s="15"/>
      <c r="CC1735" s="697"/>
      <c r="CD1735" s="1086"/>
      <c r="CE1735" s="15"/>
      <c r="CF1735" s="15"/>
      <c r="CG1735" s="936"/>
      <c r="CH1735" s="15"/>
      <c r="CI1735" s="15"/>
      <c r="CJ1735" s="15"/>
      <c r="CK1735" s="1107"/>
      <c r="CL1735" s="22"/>
      <c r="CM1735" s="22"/>
      <c r="CN1735" s="1107"/>
      <c r="CR1735" s="223"/>
      <c r="CS1735" s="952"/>
      <c r="CT1735" s="1066"/>
      <c r="CU1735" s="972"/>
      <c r="CV1735" s="983"/>
      <c r="CW1735" s="222"/>
      <c r="CX1735" s="697"/>
      <c r="DC1735" s="222"/>
      <c r="DJ1735" s="889"/>
      <c r="DM1735" s="890"/>
      <c r="DN1735" s="952"/>
      <c r="DO1735" s="75"/>
      <c r="DP1735" s="962"/>
      <c r="DQ1735" s="983"/>
      <c r="DV1735" s="889"/>
    </row>
    <row r="1736" spans="1:126" s="74" customFormat="1">
      <c r="A1736" s="15"/>
      <c r="B1736" s="15"/>
      <c r="C1736" s="15"/>
      <c r="D1736" s="15"/>
      <c r="E1736" s="6"/>
      <c r="F1736" s="6"/>
      <c r="G1736" s="6"/>
      <c r="K1736" s="222"/>
      <c r="V1736" s="1430"/>
      <c r="AA1736" s="223"/>
      <c r="AC1736" s="889"/>
      <c r="AF1736" s="890"/>
      <c r="AJ1736" s="889"/>
      <c r="AN1736" s="222"/>
      <c r="BC1736" s="223"/>
      <c r="BD1736" s="222"/>
      <c r="BH1736" s="611"/>
      <c r="BJ1736" s="15"/>
      <c r="BK1736" s="15"/>
      <c r="BO1736" s="223"/>
      <c r="BQ1736" s="889"/>
      <c r="BT1736" s="890"/>
      <c r="BX1736" s="889"/>
      <c r="CB1736" s="15"/>
      <c r="CC1736" s="697"/>
      <c r="CD1736" s="1086"/>
      <c r="CE1736" s="15"/>
      <c r="CF1736" s="15"/>
      <c r="CG1736" s="936"/>
      <c r="CH1736" s="15"/>
      <c r="CI1736" s="15"/>
      <c r="CJ1736" s="15"/>
      <c r="CK1736" s="1107"/>
      <c r="CL1736" s="22"/>
      <c r="CM1736" s="22"/>
      <c r="CN1736" s="1107"/>
      <c r="CR1736" s="223"/>
      <c r="CS1736" s="952"/>
      <c r="CT1736" s="1066"/>
      <c r="CU1736" s="972"/>
      <c r="CV1736" s="983"/>
      <c r="CW1736" s="222"/>
      <c r="CX1736" s="697"/>
      <c r="DC1736" s="222"/>
      <c r="DJ1736" s="889"/>
      <c r="DM1736" s="890"/>
      <c r="DN1736" s="952"/>
      <c r="DO1736" s="75"/>
      <c r="DP1736" s="962"/>
      <c r="DQ1736" s="983"/>
      <c r="DV1736" s="889"/>
    </row>
    <row r="1737" spans="1:126" s="74" customFormat="1">
      <c r="A1737" s="15"/>
      <c r="B1737" s="15"/>
      <c r="C1737" s="15"/>
      <c r="D1737" s="15"/>
      <c r="E1737" s="6"/>
      <c r="F1737" s="6"/>
      <c r="G1737" s="6"/>
      <c r="K1737" s="222"/>
      <c r="V1737" s="1430"/>
      <c r="AA1737" s="223"/>
      <c r="AC1737" s="889"/>
      <c r="AF1737" s="890"/>
      <c r="AJ1737" s="889"/>
      <c r="AN1737" s="222"/>
      <c r="BC1737" s="223"/>
      <c r="BD1737" s="222"/>
      <c r="BH1737" s="611"/>
      <c r="BJ1737" s="15"/>
      <c r="BK1737" s="15"/>
      <c r="BO1737" s="223"/>
      <c r="BQ1737" s="889"/>
      <c r="BT1737" s="890"/>
      <c r="BX1737" s="889"/>
      <c r="CB1737" s="15"/>
      <c r="CC1737" s="697"/>
      <c r="CD1737" s="1086"/>
      <c r="CE1737" s="15"/>
      <c r="CF1737" s="15"/>
      <c r="CG1737" s="936"/>
      <c r="CH1737" s="15"/>
      <c r="CI1737" s="15"/>
      <c r="CJ1737" s="15"/>
      <c r="CK1737" s="1107"/>
      <c r="CL1737" s="22"/>
      <c r="CM1737" s="22"/>
      <c r="CN1737" s="1107"/>
      <c r="CR1737" s="223"/>
      <c r="CS1737" s="952"/>
      <c r="CT1737" s="1066"/>
      <c r="CU1737" s="972"/>
      <c r="CV1737" s="983"/>
      <c r="CW1737" s="222"/>
      <c r="CX1737" s="697"/>
      <c r="DC1737" s="222"/>
      <c r="DJ1737" s="889"/>
      <c r="DM1737" s="890"/>
      <c r="DN1737" s="952"/>
      <c r="DO1737" s="75"/>
      <c r="DP1737" s="962"/>
      <c r="DQ1737" s="983"/>
      <c r="DV1737" s="889"/>
    </row>
    <row r="1738" spans="1:126" s="74" customFormat="1">
      <c r="A1738" s="15"/>
      <c r="B1738" s="15"/>
      <c r="C1738" s="15"/>
      <c r="D1738" s="15"/>
      <c r="E1738" s="6"/>
      <c r="F1738" s="6"/>
      <c r="G1738" s="6"/>
      <c r="K1738" s="222"/>
      <c r="V1738" s="1430"/>
      <c r="AA1738" s="223"/>
      <c r="AC1738" s="889"/>
      <c r="AF1738" s="890"/>
      <c r="AJ1738" s="889"/>
      <c r="AN1738" s="222"/>
      <c r="BC1738" s="223"/>
      <c r="BD1738" s="222"/>
      <c r="BH1738" s="611"/>
      <c r="BJ1738" s="15"/>
      <c r="BK1738" s="15"/>
      <c r="BO1738" s="223"/>
      <c r="BQ1738" s="889"/>
      <c r="BT1738" s="890"/>
      <c r="BX1738" s="889"/>
      <c r="CB1738" s="15"/>
      <c r="CC1738" s="697"/>
      <c r="CD1738" s="1086"/>
      <c r="CE1738" s="15"/>
      <c r="CF1738" s="15"/>
      <c r="CG1738" s="936"/>
      <c r="CH1738" s="15"/>
      <c r="CI1738" s="15"/>
      <c r="CJ1738" s="15"/>
      <c r="CK1738" s="1107"/>
      <c r="CL1738" s="22"/>
      <c r="CM1738" s="22"/>
      <c r="CN1738" s="1107"/>
      <c r="CR1738" s="223"/>
      <c r="CS1738" s="952"/>
      <c r="CT1738" s="1066"/>
      <c r="CU1738" s="972"/>
      <c r="CV1738" s="983"/>
      <c r="CW1738" s="222"/>
      <c r="CX1738" s="697"/>
      <c r="DC1738" s="222"/>
      <c r="DJ1738" s="889"/>
      <c r="DM1738" s="890"/>
      <c r="DN1738" s="952"/>
      <c r="DO1738" s="75"/>
      <c r="DP1738" s="962"/>
      <c r="DQ1738" s="983"/>
      <c r="DV1738" s="889"/>
    </row>
    <row r="1739" spans="1:126" s="74" customFormat="1">
      <c r="A1739" s="15"/>
      <c r="B1739" s="15"/>
      <c r="C1739" s="15"/>
      <c r="D1739" s="15"/>
      <c r="E1739" s="6"/>
      <c r="F1739" s="6"/>
      <c r="G1739" s="6"/>
      <c r="K1739" s="222"/>
      <c r="V1739" s="1430"/>
      <c r="AA1739" s="223"/>
      <c r="AC1739" s="889"/>
      <c r="AF1739" s="890"/>
      <c r="AJ1739" s="889"/>
      <c r="AN1739" s="222"/>
      <c r="BC1739" s="223"/>
      <c r="BD1739" s="222"/>
      <c r="BH1739" s="611"/>
      <c r="BJ1739" s="15"/>
      <c r="BK1739" s="15"/>
      <c r="BO1739" s="223"/>
      <c r="BQ1739" s="889"/>
      <c r="BT1739" s="890"/>
      <c r="BX1739" s="889"/>
      <c r="CB1739" s="15"/>
      <c r="CC1739" s="697"/>
      <c r="CD1739" s="1086"/>
      <c r="CE1739" s="15"/>
      <c r="CF1739" s="15"/>
      <c r="CG1739" s="936"/>
      <c r="CH1739" s="15"/>
      <c r="CI1739" s="15"/>
      <c r="CJ1739" s="15"/>
      <c r="CK1739" s="1107"/>
      <c r="CL1739" s="22"/>
      <c r="CM1739" s="22"/>
      <c r="CN1739" s="1107"/>
      <c r="CR1739" s="223"/>
      <c r="CS1739" s="952"/>
      <c r="CT1739" s="1066"/>
      <c r="CU1739" s="972"/>
      <c r="CV1739" s="983"/>
      <c r="CW1739" s="222"/>
      <c r="CX1739" s="697"/>
      <c r="DC1739" s="222"/>
      <c r="DJ1739" s="889"/>
      <c r="DM1739" s="890"/>
      <c r="DN1739" s="952"/>
      <c r="DO1739" s="75"/>
      <c r="DP1739" s="962"/>
      <c r="DQ1739" s="983"/>
      <c r="DV1739" s="889"/>
    </row>
    <row r="1740" spans="1:126" s="74" customFormat="1">
      <c r="A1740" s="15"/>
      <c r="B1740" s="15"/>
      <c r="C1740" s="15"/>
      <c r="D1740" s="15"/>
      <c r="E1740" s="6"/>
      <c r="F1740" s="6"/>
      <c r="G1740" s="6"/>
      <c r="K1740" s="222"/>
      <c r="V1740" s="1430"/>
      <c r="AA1740" s="223"/>
      <c r="AC1740" s="889"/>
      <c r="AF1740" s="890"/>
      <c r="AJ1740" s="889"/>
      <c r="AN1740" s="222"/>
      <c r="BC1740" s="223"/>
      <c r="BD1740" s="222"/>
      <c r="BH1740" s="611"/>
      <c r="BJ1740" s="15"/>
      <c r="BK1740" s="15"/>
      <c r="BO1740" s="223"/>
      <c r="BQ1740" s="889"/>
      <c r="BT1740" s="890"/>
      <c r="BX1740" s="889"/>
      <c r="CB1740" s="15"/>
      <c r="CC1740" s="697"/>
      <c r="CD1740" s="1086"/>
      <c r="CE1740" s="15"/>
      <c r="CF1740" s="15"/>
      <c r="CG1740" s="936"/>
      <c r="CH1740" s="15"/>
      <c r="CI1740" s="15"/>
      <c r="CJ1740" s="15"/>
      <c r="CK1740" s="1107"/>
      <c r="CL1740" s="22"/>
      <c r="CM1740" s="22"/>
      <c r="CN1740" s="1107"/>
      <c r="CR1740" s="223"/>
      <c r="CS1740" s="952"/>
      <c r="CT1740" s="1066"/>
      <c r="CU1740" s="972"/>
      <c r="CV1740" s="983"/>
      <c r="CW1740" s="222"/>
      <c r="CX1740" s="697"/>
      <c r="DC1740" s="222"/>
      <c r="DJ1740" s="889"/>
      <c r="DM1740" s="890"/>
      <c r="DN1740" s="952"/>
      <c r="DO1740" s="75"/>
      <c r="DP1740" s="962"/>
      <c r="DQ1740" s="983"/>
      <c r="DV1740" s="889"/>
    </row>
    <row r="1741" spans="1:126" s="74" customFormat="1">
      <c r="A1741" s="15"/>
      <c r="B1741" s="15"/>
      <c r="C1741" s="15"/>
      <c r="D1741" s="15"/>
      <c r="E1741" s="6"/>
      <c r="F1741" s="6"/>
      <c r="G1741" s="6"/>
      <c r="K1741" s="222"/>
      <c r="V1741" s="1430"/>
      <c r="AA1741" s="223"/>
      <c r="AC1741" s="889"/>
      <c r="AF1741" s="890"/>
      <c r="AJ1741" s="889"/>
      <c r="AN1741" s="222"/>
      <c r="BC1741" s="223"/>
      <c r="BD1741" s="222"/>
      <c r="BH1741" s="611"/>
      <c r="BJ1741" s="15"/>
      <c r="BK1741" s="15"/>
      <c r="BO1741" s="223"/>
      <c r="BQ1741" s="889"/>
      <c r="BT1741" s="890"/>
      <c r="BX1741" s="889"/>
      <c r="CB1741" s="15"/>
      <c r="CC1741" s="697"/>
      <c r="CD1741" s="1086"/>
      <c r="CE1741" s="15"/>
      <c r="CF1741" s="15"/>
      <c r="CG1741" s="936"/>
      <c r="CH1741" s="15"/>
      <c r="CI1741" s="15"/>
      <c r="CJ1741" s="15"/>
      <c r="CK1741" s="1107"/>
      <c r="CL1741" s="22"/>
      <c r="CM1741" s="22"/>
      <c r="CN1741" s="1107"/>
      <c r="CR1741" s="223"/>
      <c r="CS1741" s="952"/>
      <c r="CT1741" s="1066"/>
      <c r="CU1741" s="972"/>
      <c r="CV1741" s="983"/>
      <c r="CW1741" s="222"/>
      <c r="CX1741" s="697"/>
      <c r="DC1741" s="222"/>
      <c r="DJ1741" s="889"/>
      <c r="DM1741" s="890"/>
      <c r="DN1741" s="952"/>
      <c r="DO1741" s="75"/>
      <c r="DP1741" s="962"/>
      <c r="DQ1741" s="983"/>
      <c r="DV1741" s="889"/>
    </row>
    <row r="1742" spans="1:126" s="74" customFormat="1">
      <c r="A1742" s="15"/>
      <c r="B1742" s="15"/>
      <c r="C1742" s="15"/>
      <c r="D1742" s="15"/>
      <c r="E1742" s="6"/>
      <c r="F1742" s="6"/>
      <c r="G1742" s="6"/>
      <c r="K1742" s="222"/>
      <c r="V1742" s="1430"/>
      <c r="AA1742" s="223"/>
      <c r="AC1742" s="889"/>
      <c r="AF1742" s="890"/>
      <c r="AJ1742" s="889"/>
      <c r="AN1742" s="222"/>
      <c r="BC1742" s="223"/>
      <c r="BD1742" s="222"/>
      <c r="BH1742" s="611"/>
      <c r="BJ1742" s="15"/>
      <c r="BK1742" s="15"/>
      <c r="BO1742" s="223"/>
      <c r="BQ1742" s="889"/>
      <c r="BT1742" s="890"/>
      <c r="BX1742" s="889"/>
      <c r="CB1742" s="15"/>
      <c r="CC1742" s="697"/>
      <c r="CD1742" s="1086"/>
      <c r="CE1742" s="15"/>
      <c r="CF1742" s="15"/>
      <c r="CG1742" s="936"/>
      <c r="CH1742" s="15"/>
      <c r="CI1742" s="15"/>
      <c r="CJ1742" s="15"/>
      <c r="CK1742" s="1107"/>
      <c r="CL1742" s="22"/>
      <c r="CM1742" s="22"/>
      <c r="CN1742" s="1107"/>
      <c r="CR1742" s="223"/>
      <c r="CS1742" s="952"/>
      <c r="CT1742" s="1066"/>
      <c r="CU1742" s="972"/>
      <c r="CV1742" s="983"/>
      <c r="CW1742" s="222"/>
      <c r="CX1742" s="697"/>
      <c r="DC1742" s="222"/>
      <c r="DJ1742" s="889"/>
      <c r="DM1742" s="890"/>
      <c r="DN1742" s="952"/>
      <c r="DO1742" s="75"/>
      <c r="DP1742" s="962"/>
      <c r="DQ1742" s="983"/>
      <c r="DV1742" s="889"/>
    </row>
    <row r="1743" spans="1:126" s="74" customFormat="1">
      <c r="A1743" s="15"/>
      <c r="B1743" s="15"/>
      <c r="C1743" s="15"/>
      <c r="D1743" s="15"/>
      <c r="E1743" s="6"/>
      <c r="F1743" s="6"/>
      <c r="G1743" s="6"/>
      <c r="K1743" s="222"/>
      <c r="V1743" s="1430"/>
      <c r="AA1743" s="223"/>
      <c r="AC1743" s="889"/>
      <c r="AF1743" s="890"/>
      <c r="AJ1743" s="889"/>
      <c r="AN1743" s="222"/>
      <c r="BC1743" s="223"/>
      <c r="BD1743" s="222"/>
      <c r="BH1743" s="611"/>
      <c r="BJ1743" s="15"/>
      <c r="BK1743" s="15"/>
      <c r="BO1743" s="223"/>
      <c r="BQ1743" s="889"/>
      <c r="BT1743" s="890"/>
      <c r="BX1743" s="889"/>
      <c r="CB1743" s="15"/>
      <c r="CC1743" s="697"/>
      <c r="CD1743" s="1086"/>
      <c r="CE1743" s="15"/>
      <c r="CF1743" s="15"/>
      <c r="CG1743" s="936"/>
      <c r="CH1743" s="15"/>
      <c r="CI1743" s="15"/>
      <c r="CJ1743" s="15"/>
      <c r="CK1743" s="1107"/>
      <c r="CL1743" s="22"/>
      <c r="CM1743" s="22"/>
      <c r="CN1743" s="1107"/>
      <c r="CR1743" s="223"/>
      <c r="CS1743" s="952"/>
      <c r="CT1743" s="1066"/>
      <c r="CU1743" s="972"/>
      <c r="CV1743" s="983"/>
      <c r="CW1743" s="222"/>
      <c r="CX1743" s="697"/>
      <c r="DC1743" s="222"/>
      <c r="DJ1743" s="889"/>
      <c r="DM1743" s="890"/>
      <c r="DN1743" s="952"/>
      <c r="DO1743" s="75"/>
      <c r="DP1743" s="962"/>
      <c r="DQ1743" s="983"/>
      <c r="DV1743" s="889"/>
    </row>
    <row r="1744" spans="1:126" s="74" customFormat="1">
      <c r="A1744" s="15"/>
      <c r="B1744" s="15"/>
      <c r="C1744" s="15"/>
      <c r="D1744" s="15"/>
      <c r="E1744" s="6"/>
      <c r="F1744" s="6"/>
      <c r="G1744" s="6"/>
      <c r="K1744" s="222"/>
      <c r="V1744" s="1430"/>
      <c r="AA1744" s="223"/>
      <c r="AC1744" s="889"/>
      <c r="AF1744" s="890"/>
      <c r="AJ1744" s="889"/>
      <c r="AN1744" s="222"/>
      <c r="BC1744" s="223"/>
      <c r="BD1744" s="222"/>
      <c r="BH1744" s="611"/>
      <c r="BJ1744" s="15"/>
      <c r="BK1744" s="15"/>
      <c r="BO1744" s="223"/>
      <c r="BQ1744" s="889"/>
      <c r="BT1744" s="890"/>
      <c r="BX1744" s="889"/>
      <c r="CB1744" s="15"/>
      <c r="CC1744" s="697"/>
      <c r="CD1744" s="1086"/>
      <c r="CE1744" s="15"/>
      <c r="CF1744" s="15"/>
      <c r="CG1744" s="936"/>
      <c r="CH1744" s="15"/>
      <c r="CI1744" s="15"/>
      <c r="CJ1744" s="15"/>
      <c r="CK1744" s="1107"/>
      <c r="CL1744" s="22"/>
      <c r="CM1744" s="22"/>
      <c r="CN1744" s="1107"/>
      <c r="CR1744" s="223"/>
      <c r="CS1744" s="952"/>
      <c r="CT1744" s="1066"/>
      <c r="CU1744" s="972"/>
      <c r="CV1744" s="983"/>
      <c r="CW1744" s="222"/>
      <c r="CX1744" s="697"/>
      <c r="DC1744" s="222"/>
      <c r="DJ1744" s="889"/>
      <c r="DM1744" s="890"/>
      <c r="DN1744" s="952"/>
      <c r="DO1744" s="75"/>
      <c r="DP1744" s="962"/>
      <c r="DQ1744" s="983"/>
      <c r="DV1744" s="889"/>
    </row>
    <row r="1745" spans="1:126" s="74" customFormat="1">
      <c r="A1745" s="15"/>
      <c r="B1745" s="15"/>
      <c r="C1745" s="15"/>
      <c r="D1745" s="15"/>
      <c r="E1745" s="6"/>
      <c r="F1745" s="6"/>
      <c r="G1745" s="6"/>
      <c r="K1745" s="222"/>
      <c r="V1745" s="1430"/>
      <c r="AA1745" s="223"/>
      <c r="AC1745" s="889"/>
      <c r="AF1745" s="890"/>
      <c r="AJ1745" s="889"/>
      <c r="AN1745" s="222"/>
      <c r="BC1745" s="223"/>
      <c r="BD1745" s="222"/>
      <c r="BH1745" s="611"/>
      <c r="BJ1745" s="15"/>
      <c r="BK1745" s="15"/>
      <c r="BO1745" s="223"/>
      <c r="BQ1745" s="889"/>
      <c r="BT1745" s="890"/>
      <c r="BX1745" s="889"/>
      <c r="CB1745" s="15"/>
      <c r="CC1745" s="697"/>
      <c r="CD1745" s="1086"/>
      <c r="CE1745" s="15"/>
      <c r="CF1745" s="15"/>
      <c r="CG1745" s="936"/>
      <c r="CH1745" s="15"/>
      <c r="CI1745" s="15"/>
      <c r="CJ1745" s="15"/>
      <c r="CK1745" s="1107"/>
      <c r="CL1745" s="22"/>
      <c r="CM1745" s="22"/>
      <c r="CN1745" s="1107"/>
      <c r="CR1745" s="223"/>
      <c r="CS1745" s="952"/>
      <c r="CT1745" s="1066"/>
      <c r="CU1745" s="972"/>
      <c r="CV1745" s="983"/>
      <c r="CW1745" s="222"/>
      <c r="CX1745" s="697"/>
      <c r="DC1745" s="222"/>
      <c r="DJ1745" s="889"/>
      <c r="DM1745" s="890"/>
      <c r="DN1745" s="952"/>
      <c r="DO1745" s="75"/>
      <c r="DP1745" s="962"/>
      <c r="DQ1745" s="983"/>
      <c r="DV1745" s="889"/>
    </row>
    <row r="1746" spans="1:126" s="74" customFormat="1">
      <c r="A1746" s="15"/>
      <c r="B1746" s="15"/>
      <c r="C1746" s="15"/>
      <c r="D1746" s="15"/>
      <c r="E1746" s="6"/>
      <c r="F1746" s="6"/>
      <c r="G1746" s="6"/>
      <c r="K1746" s="222"/>
      <c r="V1746" s="1430"/>
      <c r="AA1746" s="223"/>
      <c r="AC1746" s="889"/>
      <c r="AF1746" s="890"/>
      <c r="AJ1746" s="889"/>
      <c r="AN1746" s="222"/>
      <c r="BC1746" s="223"/>
      <c r="BD1746" s="222"/>
      <c r="BH1746" s="611"/>
      <c r="BJ1746" s="15"/>
      <c r="BK1746" s="15"/>
      <c r="BO1746" s="223"/>
      <c r="BQ1746" s="889"/>
      <c r="BT1746" s="890"/>
      <c r="BX1746" s="889"/>
      <c r="CB1746" s="15"/>
      <c r="CC1746" s="697"/>
      <c r="CD1746" s="1086"/>
      <c r="CE1746" s="15"/>
      <c r="CF1746" s="15"/>
      <c r="CG1746" s="936"/>
      <c r="CH1746" s="15"/>
      <c r="CI1746" s="15"/>
      <c r="CJ1746" s="15"/>
      <c r="CK1746" s="1107"/>
      <c r="CL1746" s="22"/>
      <c r="CM1746" s="22"/>
      <c r="CN1746" s="1107"/>
      <c r="CR1746" s="223"/>
      <c r="CS1746" s="952"/>
      <c r="CT1746" s="1066"/>
      <c r="CU1746" s="972"/>
      <c r="CV1746" s="983"/>
      <c r="CW1746" s="222"/>
      <c r="CX1746" s="697"/>
      <c r="DC1746" s="222"/>
      <c r="DJ1746" s="889"/>
      <c r="DM1746" s="890"/>
      <c r="DN1746" s="952"/>
      <c r="DO1746" s="75"/>
      <c r="DP1746" s="962"/>
      <c r="DQ1746" s="983"/>
      <c r="DV1746" s="889"/>
    </row>
    <row r="1747" spans="1:126" s="74" customFormat="1">
      <c r="A1747" s="15"/>
      <c r="B1747" s="15"/>
      <c r="C1747" s="15"/>
      <c r="D1747" s="15"/>
      <c r="E1747" s="6"/>
      <c r="F1747" s="6"/>
      <c r="G1747" s="6"/>
      <c r="K1747" s="222"/>
      <c r="V1747" s="1430"/>
      <c r="AA1747" s="223"/>
      <c r="AC1747" s="889"/>
      <c r="AF1747" s="890"/>
      <c r="AJ1747" s="889"/>
      <c r="AN1747" s="222"/>
      <c r="BC1747" s="223"/>
      <c r="BD1747" s="222"/>
      <c r="BH1747" s="611"/>
      <c r="BJ1747" s="15"/>
      <c r="BK1747" s="15"/>
      <c r="BO1747" s="223"/>
      <c r="BQ1747" s="889"/>
      <c r="BT1747" s="890"/>
      <c r="BX1747" s="889"/>
      <c r="CB1747" s="15"/>
      <c r="CC1747" s="697"/>
      <c r="CD1747" s="1086"/>
      <c r="CE1747" s="15"/>
      <c r="CF1747" s="15"/>
      <c r="CG1747" s="936"/>
      <c r="CH1747" s="15"/>
      <c r="CI1747" s="15"/>
      <c r="CJ1747" s="15"/>
      <c r="CK1747" s="1107"/>
      <c r="CL1747" s="22"/>
      <c r="CM1747" s="22"/>
      <c r="CN1747" s="1107"/>
      <c r="CR1747" s="223"/>
      <c r="CS1747" s="952"/>
      <c r="CT1747" s="1066"/>
      <c r="CU1747" s="972"/>
      <c r="CV1747" s="983"/>
      <c r="CW1747" s="222"/>
      <c r="CX1747" s="697"/>
      <c r="DC1747" s="222"/>
      <c r="DJ1747" s="889"/>
      <c r="DM1747" s="890"/>
      <c r="DN1747" s="952"/>
      <c r="DO1747" s="75"/>
      <c r="DP1747" s="962"/>
      <c r="DQ1747" s="983"/>
      <c r="DV1747" s="889"/>
    </row>
    <row r="1748" spans="1:126" s="74" customFormat="1">
      <c r="A1748" s="15"/>
      <c r="B1748" s="15"/>
      <c r="C1748" s="15"/>
      <c r="D1748" s="15"/>
      <c r="E1748" s="6"/>
      <c r="F1748" s="6"/>
      <c r="G1748" s="6"/>
      <c r="K1748" s="222"/>
      <c r="V1748" s="1430"/>
      <c r="AA1748" s="223"/>
      <c r="AC1748" s="889"/>
      <c r="AF1748" s="890"/>
      <c r="AJ1748" s="889"/>
      <c r="AN1748" s="222"/>
      <c r="BC1748" s="223"/>
      <c r="BD1748" s="222"/>
      <c r="BH1748" s="611"/>
      <c r="BJ1748" s="15"/>
      <c r="BK1748" s="15"/>
      <c r="BO1748" s="223"/>
      <c r="BQ1748" s="889"/>
      <c r="BT1748" s="890"/>
      <c r="BX1748" s="889"/>
      <c r="CB1748" s="15"/>
      <c r="CC1748" s="697"/>
      <c r="CD1748" s="1086"/>
      <c r="CE1748" s="15"/>
      <c r="CF1748" s="15"/>
      <c r="CG1748" s="936"/>
      <c r="CH1748" s="15"/>
      <c r="CI1748" s="15"/>
      <c r="CJ1748" s="15"/>
      <c r="CK1748" s="1107"/>
      <c r="CL1748" s="22"/>
      <c r="CM1748" s="22"/>
      <c r="CN1748" s="1107"/>
      <c r="CR1748" s="223"/>
      <c r="CS1748" s="952"/>
      <c r="CT1748" s="1066"/>
      <c r="CU1748" s="972"/>
      <c r="CV1748" s="983"/>
      <c r="CW1748" s="222"/>
      <c r="CX1748" s="697"/>
      <c r="DC1748" s="222"/>
      <c r="DJ1748" s="889"/>
      <c r="DM1748" s="890"/>
      <c r="DN1748" s="952"/>
      <c r="DO1748" s="75"/>
      <c r="DP1748" s="962"/>
      <c r="DQ1748" s="983"/>
      <c r="DV1748" s="889"/>
    </row>
    <row r="1749" spans="1:126" s="74" customFormat="1">
      <c r="A1749" s="15"/>
      <c r="B1749" s="15"/>
      <c r="C1749" s="15"/>
      <c r="D1749" s="15"/>
      <c r="E1749" s="6"/>
      <c r="F1749" s="6"/>
      <c r="G1749" s="6"/>
      <c r="K1749" s="222"/>
      <c r="V1749" s="1430"/>
      <c r="AA1749" s="223"/>
      <c r="AC1749" s="889"/>
      <c r="AF1749" s="890"/>
      <c r="AJ1749" s="889"/>
      <c r="AN1749" s="222"/>
      <c r="BC1749" s="223"/>
      <c r="BD1749" s="222"/>
      <c r="BH1749" s="611"/>
      <c r="BJ1749" s="15"/>
      <c r="BK1749" s="15"/>
      <c r="BO1749" s="223"/>
      <c r="BQ1749" s="889"/>
      <c r="BT1749" s="890"/>
      <c r="BX1749" s="889"/>
      <c r="CB1749" s="15"/>
      <c r="CC1749" s="697"/>
      <c r="CD1749" s="1086"/>
      <c r="CE1749" s="15"/>
      <c r="CF1749" s="15"/>
      <c r="CG1749" s="936"/>
      <c r="CH1749" s="15"/>
      <c r="CI1749" s="15"/>
      <c r="CJ1749" s="15"/>
      <c r="CK1749" s="1107"/>
      <c r="CL1749" s="22"/>
      <c r="CM1749" s="22"/>
      <c r="CN1749" s="1107"/>
      <c r="CR1749" s="223"/>
      <c r="CS1749" s="952"/>
      <c r="CT1749" s="1066"/>
      <c r="CU1749" s="972"/>
      <c r="CV1749" s="983"/>
      <c r="CW1749" s="222"/>
      <c r="CX1749" s="697"/>
      <c r="DC1749" s="222"/>
      <c r="DJ1749" s="889"/>
      <c r="DM1749" s="890"/>
      <c r="DN1749" s="952"/>
      <c r="DO1749" s="75"/>
      <c r="DP1749" s="962"/>
      <c r="DQ1749" s="983"/>
      <c r="DV1749" s="889"/>
    </row>
    <row r="1750" spans="1:126" s="74" customFormat="1">
      <c r="A1750" s="15"/>
      <c r="B1750" s="15"/>
      <c r="C1750" s="15"/>
      <c r="D1750" s="15"/>
      <c r="E1750" s="6"/>
      <c r="F1750" s="6"/>
      <c r="G1750" s="6"/>
      <c r="K1750" s="222"/>
      <c r="V1750" s="1430"/>
      <c r="AA1750" s="223"/>
      <c r="AC1750" s="889"/>
      <c r="AF1750" s="890"/>
      <c r="AJ1750" s="889"/>
      <c r="AN1750" s="222"/>
      <c r="BC1750" s="223"/>
      <c r="BD1750" s="222"/>
      <c r="BH1750" s="611"/>
      <c r="BJ1750" s="15"/>
      <c r="BK1750" s="15"/>
      <c r="BO1750" s="223"/>
      <c r="BQ1750" s="889"/>
      <c r="BT1750" s="890"/>
      <c r="BX1750" s="889"/>
      <c r="CB1750" s="15"/>
      <c r="CC1750" s="697"/>
      <c r="CD1750" s="1086"/>
      <c r="CE1750" s="15"/>
      <c r="CF1750" s="15"/>
      <c r="CG1750" s="936"/>
      <c r="CH1750" s="15"/>
      <c r="CI1750" s="15"/>
      <c r="CJ1750" s="15"/>
      <c r="CK1750" s="1107"/>
      <c r="CL1750" s="22"/>
      <c r="CM1750" s="22"/>
      <c r="CN1750" s="1107"/>
      <c r="CR1750" s="223"/>
      <c r="CS1750" s="952"/>
      <c r="CT1750" s="1066"/>
      <c r="CU1750" s="972"/>
      <c r="CV1750" s="983"/>
      <c r="CW1750" s="222"/>
      <c r="CX1750" s="697"/>
      <c r="DC1750" s="222"/>
      <c r="DJ1750" s="889"/>
      <c r="DM1750" s="890"/>
      <c r="DN1750" s="952"/>
      <c r="DO1750" s="75"/>
      <c r="DP1750" s="962"/>
      <c r="DQ1750" s="983"/>
      <c r="DV1750" s="889"/>
    </row>
    <row r="1751" spans="1:126" s="74" customFormat="1">
      <c r="A1751" s="15"/>
      <c r="B1751" s="15"/>
      <c r="C1751" s="15"/>
      <c r="D1751" s="15"/>
      <c r="E1751" s="6"/>
      <c r="F1751" s="6"/>
      <c r="G1751" s="6"/>
      <c r="K1751" s="222"/>
      <c r="V1751" s="1430"/>
      <c r="AA1751" s="223"/>
      <c r="AC1751" s="889"/>
      <c r="AF1751" s="890"/>
      <c r="AJ1751" s="889"/>
      <c r="AN1751" s="222"/>
      <c r="BC1751" s="223"/>
      <c r="BD1751" s="222"/>
      <c r="BH1751" s="611"/>
      <c r="BJ1751" s="15"/>
      <c r="BK1751" s="15"/>
      <c r="BO1751" s="223"/>
      <c r="BQ1751" s="889"/>
      <c r="BT1751" s="890"/>
      <c r="BX1751" s="889"/>
      <c r="CB1751" s="15"/>
      <c r="CC1751" s="697"/>
      <c r="CD1751" s="1086"/>
      <c r="CE1751" s="15"/>
      <c r="CF1751" s="15"/>
      <c r="CG1751" s="936"/>
      <c r="CH1751" s="15"/>
      <c r="CI1751" s="15"/>
      <c r="CJ1751" s="15"/>
      <c r="CK1751" s="1107"/>
      <c r="CL1751" s="22"/>
      <c r="CM1751" s="22"/>
      <c r="CN1751" s="1107"/>
      <c r="CR1751" s="223"/>
      <c r="CS1751" s="952"/>
      <c r="CT1751" s="1066"/>
      <c r="CU1751" s="972"/>
      <c r="CV1751" s="983"/>
      <c r="CW1751" s="222"/>
      <c r="CX1751" s="697"/>
      <c r="DC1751" s="222"/>
      <c r="DJ1751" s="889"/>
      <c r="DM1751" s="890"/>
      <c r="DN1751" s="952"/>
      <c r="DO1751" s="75"/>
      <c r="DP1751" s="962"/>
      <c r="DQ1751" s="983"/>
      <c r="DV1751" s="889"/>
    </row>
    <row r="1752" spans="1:126" s="74" customFormat="1">
      <c r="A1752" s="15"/>
      <c r="B1752" s="15"/>
      <c r="C1752" s="15"/>
      <c r="D1752" s="15"/>
      <c r="E1752" s="6"/>
      <c r="F1752" s="6"/>
      <c r="G1752" s="6"/>
      <c r="K1752" s="222"/>
      <c r="V1752" s="1430"/>
      <c r="AA1752" s="223"/>
      <c r="AC1752" s="889"/>
      <c r="AF1752" s="890"/>
      <c r="AJ1752" s="889"/>
      <c r="AN1752" s="222"/>
      <c r="BC1752" s="223"/>
      <c r="BD1752" s="222"/>
      <c r="BH1752" s="611"/>
      <c r="BJ1752" s="15"/>
      <c r="BK1752" s="15"/>
      <c r="BO1752" s="223"/>
      <c r="BQ1752" s="889"/>
      <c r="BT1752" s="890"/>
      <c r="BX1752" s="889"/>
      <c r="CB1752" s="15"/>
      <c r="CC1752" s="697"/>
      <c r="CD1752" s="1086"/>
      <c r="CE1752" s="15"/>
      <c r="CF1752" s="15"/>
      <c r="CG1752" s="936"/>
      <c r="CH1752" s="15"/>
      <c r="CI1752" s="15"/>
      <c r="CJ1752" s="15"/>
      <c r="CK1752" s="1107"/>
      <c r="CL1752" s="22"/>
      <c r="CM1752" s="22"/>
      <c r="CN1752" s="1107"/>
      <c r="CR1752" s="223"/>
      <c r="CS1752" s="952"/>
      <c r="CT1752" s="1066"/>
      <c r="CU1752" s="972"/>
      <c r="CV1752" s="983"/>
      <c r="CW1752" s="222"/>
      <c r="CX1752" s="697"/>
      <c r="DC1752" s="222"/>
      <c r="DJ1752" s="889"/>
      <c r="DM1752" s="890"/>
      <c r="DN1752" s="952"/>
      <c r="DO1752" s="75"/>
      <c r="DP1752" s="962"/>
      <c r="DQ1752" s="983"/>
      <c r="DV1752" s="889"/>
    </row>
    <row r="1753" spans="1:126" s="74" customFormat="1">
      <c r="A1753" s="15"/>
      <c r="B1753" s="15"/>
      <c r="C1753" s="15"/>
      <c r="D1753" s="15"/>
      <c r="E1753" s="6"/>
      <c r="F1753" s="6"/>
      <c r="G1753" s="6"/>
      <c r="K1753" s="222"/>
      <c r="V1753" s="1430"/>
      <c r="AA1753" s="223"/>
      <c r="AC1753" s="889"/>
      <c r="AF1753" s="890"/>
      <c r="AJ1753" s="889"/>
      <c r="AN1753" s="222"/>
      <c r="BC1753" s="223"/>
      <c r="BD1753" s="222"/>
      <c r="BH1753" s="611"/>
      <c r="BJ1753" s="15"/>
      <c r="BK1753" s="15"/>
      <c r="BO1753" s="223"/>
      <c r="BQ1753" s="889"/>
      <c r="BT1753" s="890"/>
      <c r="BX1753" s="889"/>
      <c r="CB1753" s="15"/>
      <c r="CC1753" s="697"/>
      <c r="CD1753" s="1086"/>
      <c r="CE1753" s="15"/>
      <c r="CF1753" s="15"/>
      <c r="CG1753" s="936"/>
      <c r="CH1753" s="15"/>
      <c r="CI1753" s="15"/>
      <c r="CJ1753" s="15"/>
      <c r="CK1753" s="1107"/>
      <c r="CL1753" s="22"/>
      <c r="CM1753" s="22"/>
      <c r="CN1753" s="1107"/>
      <c r="CR1753" s="223"/>
      <c r="CS1753" s="952"/>
      <c r="CT1753" s="1066"/>
      <c r="CU1753" s="972"/>
      <c r="CV1753" s="983"/>
      <c r="CW1753" s="222"/>
      <c r="CX1753" s="697"/>
      <c r="DC1753" s="222"/>
      <c r="DJ1753" s="889"/>
      <c r="DM1753" s="890"/>
      <c r="DN1753" s="952"/>
      <c r="DO1753" s="75"/>
      <c r="DP1753" s="962"/>
      <c r="DQ1753" s="983"/>
      <c r="DV1753" s="889"/>
    </row>
    <row r="1754" spans="1:126" s="74" customFormat="1">
      <c r="A1754" s="15"/>
      <c r="B1754" s="15"/>
      <c r="C1754" s="15"/>
      <c r="D1754" s="15"/>
      <c r="E1754" s="6"/>
      <c r="F1754" s="6"/>
      <c r="G1754" s="6"/>
      <c r="K1754" s="222"/>
      <c r="V1754" s="1430"/>
      <c r="AA1754" s="223"/>
      <c r="AC1754" s="889"/>
      <c r="AF1754" s="890"/>
      <c r="AJ1754" s="889"/>
      <c r="AN1754" s="222"/>
      <c r="BC1754" s="223"/>
      <c r="BD1754" s="222"/>
      <c r="BH1754" s="611"/>
      <c r="BJ1754" s="15"/>
      <c r="BK1754" s="15"/>
      <c r="BO1754" s="223"/>
      <c r="BQ1754" s="889"/>
      <c r="BT1754" s="890"/>
      <c r="BX1754" s="889"/>
      <c r="CB1754" s="15"/>
      <c r="CC1754" s="697"/>
      <c r="CD1754" s="1086"/>
      <c r="CE1754" s="15"/>
      <c r="CF1754" s="15"/>
      <c r="CG1754" s="936"/>
      <c r="CH1754" s="15"/>
      <c r="CI1754" s="15"/>
      <c r="CJ1754" s="15"/>
      <c r="CK1754" s="1107"/>
      <c r="CL1754" s="22"/>
      <c r="CM1754" s="22"/>
      <c r="CN1754" s="1107"/>
      <c r="CR1754" s="223"/>
      <c r="CS1754" s="952"/>
      <c r="CT1754" s="1066"/>
      <c r="CU1754" s="972"/>
      <c r="CV1754" s="983"/>
      <c r="CW1754" s="222"/>
      <c r="CX1754" s="697"/>
      <c r="DC1754" s="222"/>
      <c r="DJ1754" s="889"/>
      <c r="DM1754" s="890"/>
      <c r="DN1754" s="952"/>
      <c r="DO1754" s="75"/>
      <c r="DP1754" s="962"/>
      <c r="DQ1754" s="983"/>
      <c r="DV1754" s="889"/>
    </row>
    <row r="1755" spans="1:126" s="74" customFormat="1">
      <c r="A1755" s="15"/>
      <c r="B1755" s="15"/>
      <c r="C1755" s="15"/>
      <c r="D1755" s="15"/>
      <c r="E1755" s="6"/>
      <c r="F1755" s="6"/>
      <c r="G1755" s="6"/>
      <c r="K1755" s="222"/>
      <c r="V1755" s="1430"/>
      <c r="AA1755" s="223"/>
      <c r="AC1755" s="889"/>
      <c r="AF1755" s="890"/>
      <c r="AJ1755" s="889"/>
      <c r="AN1755" s="222"/>
      <c r="BC1755" s="223"/>
      <c r="BD1755" s="222"/>
      <c r="BH1755" s="611"/>
      <c r="BJ1755" s="15"/>
      <c r="BK1755" s="15"/>
      <c r="BO1755" s="223"/>
      <c r="BQ1755" s="889"/>
      <c r="BT1755" s="890"/>
      <c r="BX1755" s="889"/>
      <c r="CB1755" s="15"/>
      <c r="CC1755" s="697"/>
      <c r="CD1755" s="1086"/>
      <c r="CE1755" s="15"/>
      <c r="CF1755" s="15"/>
      <c r="CG1755" s="936"/>
      <c r="CH1755" s="15"/>
      <c r="CI1755" s="15"/>
      <c r="CJ1755" s="15"/>
      <c r="CK1755" s="1107"/>
      <c r="CL1755" s="22"/>
      <c r="CM1755" s="22"/>
      <c r="CN1755" s="1107"/>
      <c r="CR1755" s="223"/>
      <c r="CS1755" s="952"/>
      <c r="CT1755" s="1066"/>
      <c r="CU1755" s="972"/>
      <c r="CV1755" s="983"/>
      <c r="CW1755" s="222"/>
      <c r="CX1755" s="697"/>
      <c r="DC1755" s="222"/>
      <c r="DJ1755" s="889"/>
      <c r="DM1755" s="890"/>
      <c r="DN1755" s="952"/>
      <c r="DO1755" s="75"/>
      <c r="DP1755" s="962"/>
      <c r="DQ1755" s="983"/>
      <c r="DV1755" s="889"/>
    </row>
    <row r="1756" spans="1:126" s="74" customFormat="1">
      <c r="A1756" s="15"/>
      <c r="B1756" s="15"/>
      <c r="C1756" s="15"/>
      <c r="D1756" s="15"/>
      <c r="E1756" s="6"/>
      <c r="F1756" s="6"/>
      <c r="G1756" s="6"/>
      <c r="K1756" s="222"/>
      <c r="V1756" s="1430"/>
      <c r="AA1756" s="223"/>
      <c r="AC1756" s="889"/>
      <c r="AF1756" s="890"/>
      <c r="AJ1756" s="889"/>
      <c r="AN1756" s="222"/>
      <c r="BC1756" s="223"/>
      <c r="BD1756" s="222"/>
      <c r="BH1756" s="611"/>
      <c r="BJ1756" s="15"/>
      <c r="BK1756" s="15"/>
      <c r="BO1756" s="223"/>
      <c r="BQ1756" s="889"/>
      <c r="BT1756" s="890"/>
      <c r="BX1756" s="889"/>
      <c r="CB1756" s="15"/>
      <c r="CC1756" s="697"/>
      <c r="CD1756" s="1086"/>
      <c r="CE1756" s="15"/>
      <c r="CF1756" s="15"/>
      <c r="CG1756" s="936"/>
      <c r="CH1756" s="15"/>
      <c r="CI1756" s="15"/>
      <c r="CJ1756" s="15"/>
      <c r="CK1756" s="1107"/>
      <c r="CL1756" s="22"/>
      <c r="CM1756" s="22"/>
      <c r="CN1756" s="1107"/>
      <c r="CR1756" s="223"/>
      <c r="CS1756" s="952"/>
      <c r="CT1756" s="1066"/>
      <c r="CU1756" s="972"/>
      <c r="CV1756" s="983"/>
      <c r="CW1756" s="222"/>
      <c r="CX1756" s="697"/>
      <c r="DC1756" s="222"/>
      <c r="DJ1756" s="889"/>
      <c r="DM1756" s="890"/>
      <c r="DN1756" s="952"/>
      <c r="DO1756" s="75"/>
      <c r="DP1756" s="962"/>
      <c r="DQ1756" s="983"/>
      <c r="DV1756" s="889"/>
    </row>
    <row r="1757" spans="1:126" s="74" customFormat="1">
      <c r="A1757" s="15"/>
      <c r="B1757" s="15"/>
      <c r="C1757" s="15"/>
      <c r="D1757" s="15"/>
      <c r="E1757" s="6"/>
      <c r="F1757" s="6"/>
      <c r="G1757" s="6"/>
      <c r="K1757" s="222"/>
      <c r="V1757" s="1430"/>
      <c r="AA1757" s="223"/>
      <c r="AC1757" s="889"/>
      <c r="AF1757" s="890"/>
      <c r="AJ1757" s="889"/>
      <c r="AN1757" s="222"/>
      <c r="BC1757" s="223"/>
      <c r="BD1757" s="222"/>
      <c r="BH1757" s="611"/>
      <c r="BJ1757" s="15"/>
      <c r="BK1757" s="15"/>
      <c r="BO1757" s="223"/>
      <c r="BQ1757" s="889"/>
      <c r="BT1757" s="890"/>
      <c r="BX1757" s="889"/>
      <c r="CB1757" s="15"/>
      <c r="CC1757" s="697"/>
      <c r="CD1757" s="1086"/>
      <c r="CE1757" s="15"/>
      <c r="CF1757" s="15"/>
      <c r="CG1757" s="936"/>
      <c r="CH1757" s="15"/>
      <c r="CI1757" s="15"/>
      <c r="CJ1757" s="15"/>
      <c r="CK1757" s="1107"/>
      <c r="CL1757" s="22"/>
      <c r="CM1757" s="22"/>
      <c r="CN1757" s="1107"/>
      <c r="CR1757" s="223"/>
      <c r="CS1757" s="952"/>
      <c r="CT1757" s="1066"/>
      <c r="CU1757" s="972"/>
      <c r="CV1757" s="983"/>
      <c r="CW1757" s="222"/>
      <c r="CX1757" s="697"/>
      <c r="DC1757" s="222"/>
      <c r="DJ1757" s="889"/>
      <c r="DM1757" s="890"/>
      <c r="DN1757" s="952"/>
      <c r="DO1757" s="75"/>
      <c r="DP1757" s="962"/>
      <c r="DQ1757" s="983"/>
      <c r="DV1757" s="889"/>
    </row>
    <row r="1758" spans="1:126" s="74" customFormat="1">
      <c r="A1758" s="15"/>
      <c r="B1758" s="15"/>
      <c r="C1758" s="15"/>
      <c r="D1758" s="15"/>
      <c r="E1758" s="6"/>
      <c r="F1758" s="6"/>
      <c r="G1758" s="6"/>
      <c r="K1758" s="222"/>
      <c r="V1758" s="1430"/>
      <c r="AA1758" s="223"/>
      <c r="AC1758" s="889"/>
      <c r="AF1758" s="890"/>
      <c r="AJ1758" s="889"/>
      <c r="AN1758" s="222"/>
      <c r="BC1758" s="223"/>
      <c r="BD1758" s="222"/>
      <c r="BH1758" s="611"/>
      <c r="BJ1758" s="15"/>
      <c r="BK1758" s="15"/>
      <c r="BO1758" s="223"/>
      <c r="BQ1758" s="889"/>
      <c r="BT1758" s="890"/>
      <c r="BX1758" s="889"/>
      <c r="CB1758" s="15"/>
      <c r="CC1758" s="697"/>
      <c r="CD1758" s="1086"/>
      <c r="CE1758" s="15"/>
      <c r="CF1758" s="15"/>
      <c r="CG1758" s="936"/>
      <c r="CH1758" s="15"/>
      <c r="CI1758" s="15"/>
      <c r="CJ1758" s="15"/>
      <c r="CK1758" s="1107"/>
      <c r="CL1758" s="22"/>
      <c r="CM1758" s="22"/>
      <c r="CN1758" s="1107"/>
      <c r="CR1758" s="223"/>
      <c r="CS1758" s="952"/>
      <c r="CT1758" s="1066"/>
      <c r="CU1758" s="972"/>
      <c r="CV1758" s="983"/>
      <c r="CW1758" s="222"/>
      <c r="CX1758" s="697"/>
      <c r="DC1758" s="222"/>
      <c r="DJ1758" s="889"/>
      <c r="DM1758" s="890"/>
      <c r="DN1758" s="952"/>
      <c r="DO1758" s="75"/>
      <c r="DP1758" s="962"/>
      <c r="DQ1758" s="983"/>
      <c r="DV1758" s="889"/>
    </row>
    <row r="1759" spans="1:126" s="74" customFormat="1">
      <c r="A1759" s="15"/>
      <c r="B1759" s="15"/>
      <c r="C1759" s="15"/>
      <c r="D1759" s="15"/>
      <c r="E1759" s="6"/>
      <c r="F1759" s="6"/>
      <c r="G1759" s="6"/>
      <c r="K1759" s="222"/>
      <c r="V1759" s="1430"/>
      <c r="AA1759" s="223"/>
      <c r="AC1759" s="889"/>
      <c r="AF1759" s="890"/>
      <c r="AJ1759" s="889"/>
      <c r="AN1759" s="222"/>
      <c r="BC1759" s="223"/>
      <c r="BD1759" s="222"/>
      <c r="BH1759" s="611"/>
      <c r="BJ1759" s="15"/>
      <c r="BK1759" s="15"/>
      <c r="BO1759" s="223"/>
      <c r="BQ1759" s="889"/>
      <c r="BT1759" s="890"/>
      <c r="BX1759" s="889"/>
      <c r="CB1759" s="15"/>
      <c r="CC1759" s="697"/>
      <c r="CD1759" s="1086"/>
      <c r="CE1759" s="15"/>
      <c r="CF1759" s="15"/>
      <c r="CG1759" s="936"/>
      <c r="CH1759" s="15"/>
      <c r="CI1759" s="15"/>
      <c r="CJ1759" s="15"/>
      <c r="CK1759" s="1107"/>
      <c r="CL1759" s="22"/>
      <c r="CM1759" s="22"/>
      <c r="CN1759" s="1107"/>
      <c r="CR1759" s="223"/>
      <c r="CS1759" s="952"/>
      <c r="CT1759" s="1066"/>
      <c r="CU1759" s="972"/>
      <c r="CV1759" s="983"/>
      <c r="CW1759" s="222"/>
      <c r="CX1759" s="697"/>
      <c r="DC1759" s="222"/>
      <c r="DJ1759" s="889"/>
      <c r="DM1759" s="890"/>
      <c r="DN1759" s="952"/>
      <c r="DO1759" s="75"/>
      <c r="DP1759" s="962"/>
      <c r="DQ1759" s="983"/>
      <c r="DV1759" s="889"/>
    </row>
    <row r="1760" spans="1:126" s="74" customFormat="1">
      <c r="A1760" s="15"/>
      <c r="B1760" s="15"/>
      <c r="C1760" s="15"/>
      <c r="D1760" s="15"/>
      <c r="E1760" s="6"/>
      <c r="F1760" s="6"/>
      <c r="G1760" s="6"/>
      <c r="K1760" s="222"/>
      <c r="V1760" s="1430"/>
      <c r="AA1760" s="223"/>
      <c r="AC1760" s="889"/>
      <c r="AF1760" s="890"/>
      <c r="AJ1760" s="889"/>
      <c r="AN1760" s="222"/>
      <c r="BC1760" s="223"/>
      <c r="BD1760" s="222"/>
      <c r="BH1760" s="611"/>
      <c r="BJ1760" s="15"/>
      <c r="BK1760" s="15"/>
      <c r="BO1760" s="223"/>
      <c r="BQ1760" s="889"/>
      <c r="BT1760" s="890"/>
      <c r="BX1760" s="889"/>
      <c r="CB1760" s="15"/>
      <c r="CC1760" s="697"/>
      <c r="CD1760" s="1086"/>
      <c r="CE1760" s="15"/>
      <c r="CF1760" s="15"/>
      <c r="CG1760" s="936"/>
      <c r="CH1760" s="15"/>
      <c r="CI1760" s="15"/>
      <c r="CJ1760" s="15"/>
      <c r="CK1760" s="1107"/>
      <c r="CL1760" s="22"/>
      <c r="CM1760" s="22"/>
      <c r="CN1760" s="1107"/>
      <c r="CR1760" s="223"/>
      <c r="CS1760" s="952"/>
      <c r="CT1760" s="1066"/>
      <c r="CU1760" s="972"/>
      <c r="CV1760" s="983"/>
      <c r="CW1760" s="222"/>
      <c r="CX1760" s="697"/>
      <c r="DC1760" s="222"/>
      <c r="DJ1760" s="889"/>
      <c r="DM1760" s="890"/>
      <c r="DN1760" s="952"/>
      <c r="DO1760" s="75"/>
      <c r="DP1760" s="962"/>
      <c r="DQ1760" s="983"/>
      <c r="DV1760" s="889"/>
    </row>
    <row r="1761" spans="1:126" s="74" customFormat="1">
      <c r="A1761" s="15"/>
      <c r="B1761" s="15"/>
      <c r="C1761" s="15"/>
      <c r="D1761" s="15"/>
      <c r="E1761" s="6"/>
      <c r="F1761" s="6"/>
      <c r="G1761" s="6"/>
      <c r="K1761" s="222"/>
      <c r="V1761" s="1430"/>
      <c r="AA1761" s="223"/>
      <c r="AC1761" s="889"/>
      <c r="AF1761" s="890"/>
      <c r="AJ1761" s="889"/>
      <c r="AN1761" s="222"/>
      <c r="BC1761" s="223"/>
      <c r="BD1761" s="222"/>
      <c r="BH1761" s="611"/>
      <c r="BJ1761" s="15"/>
      <c r="BK1761" s="15"/>
      <c r="BO1761" s="223"/>
      <c r="BQ1761" s="889"/>
      <c r="BT1761" s="890"/>
      <c r="BX1761" s="889"/>
      <c r="CB1761" s="15"/>
      <c r="CC1761" s="697"/>
      <c r="CD1761" s="1086"/>
      <c r="CE1761" s="15"/>
      <c r="CF1761" s="15"/>
      <c r="CG1761" s="936"/>
      <c r="CH1761" s="15"/>
      <c r="CI1761" s="15"/>
      <c r="CJ1761" s="15"/>
      <c r="CK1761" s="1107"/>
      <c r="CL1761" s="22"/>
      <c r="CM1761" s="22"/>
      <c r="CN1761" s="1107"/>
      <c r="CR1761" s="223"/>
      <c r="CS1761" s="952"/>
      <c r="CT1761" s="1066"/>
      <c r="CU1761" s="972"/>
      <c r="CV1761" s="983"/>
      <c r="CW1761" s="222"/>
      <c r="CX1761" s="697"/>
      <c r="DC1761" s="222"/>
      <c r="DJ1761" s="889"/>
      <c r="DM1761" s="890"/>
      <c r="DN1761" s="952"/>
      <c r="DO1761" s="75"/>
      <c r="DP1761" s="962"/>
      <c r="DQ1761" s="983"/>
      <c r="DV1761" s="889"/>
    </row>
    <row r="1762" spans="1:126" s="74" customFormat="1">
      <c r="A1762" s="15"/>
      <c r="B1762" s="15"/>
      <c r="C1762" s="15"/>
      <c r="D1762" s="15"/>
      <c r="E1762" s="6"/>
      <c r="F1762" s="6"/>
      <c r="G1762" s="6"/>
      <c r="K1762" s="222"/>
      <c r="V1762" s="1430"/>
      <c r="AA1762" s="223"/>
      <c r="AC1762" s="889"/>
      <c r="AF1762" s="890"/>
      <c r="AJ1762" s="889"/>
      <c r="AN1762" s="222"/>
      <c r="BC1762" s="223"/>
      <c r="BD1762" s="222"/>
      <c r="BH1762" s="611"/>
      <c r="BJ1762" s="15"/>
      <c r="BK1762" s="15"/>
      <c r="BO1762" s="223"/>
      <c r="BQ1762" s="889"/>
      <c r="BT1762" s="890"/>
      <c r="BX1762" s="889"/>
      <c r="CB1762" s="15"/>
      <c r="CC1762" s="697"/>
      <c r="CD1762" s="1086"/>
      <c r="CE1762" s="15"/>
      <c r="CF1762" s="15"/>
      <c r="CG1762" s="936"/>
      <c r="CH1762" s="15"/>
      <c r="CI1762" s="15"/>
      <c r="CJ1762" s="15"/>
      <c r="CK1762" s="1107"/>
      <c r="CL1762" s="22"/>
      <c r="CM1762" s="22"/>
      <c r="CN1762" s="1107"/>
      <c r="CR1762" s="223"/>
      <c r="CS1762" s="952"/>
      <c r="CT1762" s="1066"/>
      <c r="CU1762" s="972"/>
      <c r="CV1762" s="983"/>
      <c r="CW1762" s="222"/>
      <c r="CX1762" s="697"/>
      <c r="DC1762" s="222"/>
      <c r="DJ1762" s="889"/>
      <c r="DM1762" s="890"/>
      <c r="DN1762" s="952"/>
      <c r="DO1762" s="75"/>
      <c r="DP1762" s="962"/>
      <c r="DQ1762" s="983"/>
      <c r="DV1762" s="889"/>
    </row>
    <row r="1763" spans="1:126" s="74" customFormat="1">
      <c r="A1763" s="15"/>
      <c r="B1763" s="15"/>
      <c r="C1763" s="15"/>
      <c r="D1763" s="15"/>
      <c r="E1763" s="6"/>
      <c r="F1763" s="6"/>
      <c r="G1763" s="6"/>
      <c r="K1763" s="222"/>
      <c r="V1763" s="1430"/>
      <c r="AA1763" s="223"/>
      <c r="AC1763" s="889"/>
      <c r="AF1763" s="890"/>
      <c r="AJ1763" s="889"/>
      <c r="AN1763" s="222"/>
      <c r="BC1763" s="223"/>
      <c r="BD1763" s="222"/>
      <c r="BH1763" s="611"/>
      <c r="BJ1763" s="15"/>
      <c r="BK1763" s="15"/>
      <c r="BO1763" s="223"/>
      <c r="BQ1763" s="889"/>
      <c r="BT1763" s="890"/>
      <c r="BX1763" s="889"/>
      <c r="CB1763" s="15"/>
      <c r="CC1763" s="697"/>
      <c r="CD1763" s="1086"/>
      <c r="CE1763" s="15"/>
      <c r="CF1763" s="15"/>
      <c r="CG1763" s="936"/>
      <c r="CH1763" s="15"/>
      <c r="CI1763" s="15"/>
      <c r="CJ1763" s="15"/>
      <c r="CK1763" s="1107"/>
      <c r="CL1763" s="22"/>
      <c r="CM1763" s="22"/>
      <c r="CN1763" s="1107"/>
      <c r="CR1763" s="223"/>
      <c r="CS1763" s="952"/>
      <c r="CT1763" s="1066"/>
      <c r="CU1763" s="972"/>
      <c r="CV1763" s="983"/>
      <c r="CW1763" s="222"/>
      <c r="CX1763" s="697"/>
      <c r="DC1763" s="222"/>
      <c r="DJ1763" s="889"/>
      <c r="DM1763" s="890"/>
      <c r="DN1763" s="952"/>
      <c r="DO1763" s="75"/>
      <c r="DP1763" s="962"/>
      <c r="DQ1763" s="983"/>
      <c r="DV1763" s="889"/>
    </row>
    <row r="1764" spans="1:126" s="74" customFormat="1">
      <c r="A1764" s="15"/>
      <c r="B1764" s="15"/>
      <c r="C1764" s="15"/>
      <c r="D1764" s="15"/>
      <c r="E1764" s="6"/>
      <c r="F1764" s="6"/>
      <c r="G1764" s="6"/>
      <c r="K1764" s="222"/>
      <c r="V1764" s="1430"/>
      <c r="AA1764" s="223"/>
      <c r="AC1764" s="889"/>
      <c r="AF1764" s="890"/>
      <c r="AJ1764" s="889"/>
      <c r="AN1764" s="222"/>
      <c r="BC1764" s="223"/>
      <c r="BD1764" s="222"/>
      <c r="BH1764" s="611"/>
      <c r="BJ1764" s="15"/>
      <c r="BK1764" s="15"/>
      <c r="BO1764" s="223"/>
      <c r="BQ1764" s="889"/>
      <c r="BT1764" s="890"/>
      <c r="BX1764" s="889"/>
      <c r="CB1764" s="15"/>
      <c r="CC1764" s="697"/>
      <c r="CD1764" s="1086"/>
      <c r="CE1764" s="15"/>
      <c r="CF1764" s="15"/>
      <c r="CG1764" s="936"/>
      <c r="CH1764" s="15"/>
      <c r="CI1764" s="15"/>
      <c r="CJ1764" s="15"/>
      <c r="CK1764" s="1107"/>
      <c r="CL1764" s="22"/>
      <c r="CM1764" s="22"/>
      <c r="CN1764" s="1107"/>
      <c r="CR1764" s="223"/>
      <c r="CS1764" s="952"/>
      <c r="CT1764" s="1066"/>
      <c r="CU1764" s="972"/>
      <c r="CV1764" s="983"/>
      <c r="CW1764" s="222"/>
      <c r="CX1764" s="697"/>
      <c r="DC1764" s="222"/>
      <c r="DJ1764" s="889"/>
      <c r="DM1764" s="890"/>
      <c r="DN1764" s="952"/>
      <c r="DO1764" s="75"/>
      <c r="DP1764" s="962"/>
      <c r="DQ1764" s="983"/>
      <c r="DV1764" s="889"/>
    </row>
    <row r="1765" spans="1:126" s="74" customFormat="1">
      <c r="A1765" s="15"/>
      <c r="B1765" s="15"/>
      <c r="C1765" s="15"/>
      <c r="D1765" s="15"/>
      <c r="E1765" s="6"/>
      <c r="F1765" s="6"/>
      <c r="G1765" s="6"/>
      <c r="K1765" s="222"/>
      <c r="V1765" s="1430"/>
      <c r="AA1765" s="223"/>
      <c r="AC1765" s="889"/>
      <c r="AF1765" s="890"/>
      <c r="AJ1765" s="889"/>
      <c r="AN1765" s="222"/>
      <c r="BC1765" s="223"/>
      <c r="BD1765" s="222"/>
      <c r="BH1765" s="611"/>
      <c r="BJ1765" s="15"/>
      <c r="BK1765" s="15"/>
      <c r="BO1765" s="223"/>
      <c r="BQ1765" s="889"/>
      <c r="BT1765" s="890"/>
      <c r="BX1765" s="889"/>
      <c r="CB1765" s="15"/>
      <c r="CC1765" s="697"/>
      <c r="CD1765" s="1086"/>
      <c r="CE1765" s="15"/>
      <c r="CF1765" s="15"/>
      <c r="CG1765" s="936"/>
      <c r="CH1765" s="15"/>
      <c r="CI1765" s="15"/>
      <c r="CJ1765" s="15"/>
      <c r="CK1765" s="1107"/>
      <c r="CL1765" s="22"/>
      <c r="CM1765" s="22"/>
      <c r="CN1765" s="1107"/>
      <c r="CR1765" s="223"/>
      <c r="CS1765" s="952"/>
      <c r="CT1765" s="1066"/>
      <c r="CU1765" s="972"/>
      <c r="CV1765" s="983"/>
      <c r="CW1765" s="222"/>
      <c r="CX1765" s="697"/>
      <c r="DC1765" s="222"/>
      <c r="DJ1765" s="889"/>
      <c r="DM1765" s="890"/>
      <c r="DN1765" s="952"/>
      <c r="DO1765" s="75"/>
      <c r="DP1765" s="962"/>
      <c r="DQ1765" s="983"/>
      <c r="DV1765" s="889"/>
    </row>
    <row r="1766" spans="1:126" s="74" customFormat="1">
      <c r="A1766" s="15"/>
      <c r="B1766" s="15"/>
      <c r="C1766" s="15"/>
      <c r="D1766" s="15"/>
      <c r="E1766" s="6"/>
      <c r="F1766" s="6"/>
      <c r="G1766" s="6"/>
      <c r="K1766" s="222"/>
      <c r="V1766" s="1430"/>
      <c r="AA1766" s="223"/>
      <c r="AC1766" s="889"/>
      <c r="AF1766" s="890"/>
      <c r="AJ1766" s="889"/>
      <c r="AN1766" s="222"/>
      <c r="BC1766" s="223"/>
      <c r="BD1766" s="222"/>
      <c r="BH1766" s="611"/>
      <c r="BJ1766" s="15"/>
      <c r="BK1766" s="15"/>
      <c r="BO1766" s="223"/>
      <c r="BQ1766" s="889"/>
      <c r="BT1766" s="890"/>
      <c r="BX1766" s="889"/>
      <c r="CB1766" s="15"/>
      <c r="CC1766" s="697"/>
      <c r="CD1766" s="1086"/>
      <c r="CE1766" s="15"/>
      <c r="CF1766" s="15"/>
      <c r="CG1766" s="936"/>
      <c r="CH1766" s="15"/>
      <c r="CI1766" s="15"/>
      <c r="CJ1766" s="15"/>
      <c r="CK1766" s="1107"/>
      <c r="CL1766" s="22"/>
      <c r="CM1766" s="22"/>
      <c r="CN1766" s="1107"/>
      <c r="CR1766" s="223"/>
      <c r="CS1766" s="952"/>
      <c r="CT1766" s="1066"/>
      <c r="CU1766" s="972"/>
      <c r="CV1766" s="983"/>
      <c r="CW1766" s="222"/>
      <c r="CX1766" s="697"/>
      <c r="DC1766" s="222"/>
      <c r="DJ1766" s="889"/>
      <c r="DM1766" s="890"/>
      <c r="DN1766" s="952"/>
      <c r="DO1766" s="75"/>
      <c r="DP1766" s="962"/>
      <c r="DQ1766" s="983"/>
      <c r="DV1766" s="889"/>
    </row>
    <row r="1767" spans="1:126" s="74" customFormat="1">
      <c r="A1767" s="15"/>
      <c r="B1767" s="15"/>
      <c r="C1767" s="15"/>
      <c r="D1767" s="15"/>
      <c r="E1767" s="6"/>
      <c r="F1767" s="6"/>
      <c r="G1767" s="6"/>
      <c r="K1767" s="222"/>
      <c r="V1767" s="1430"/>
      <c r="AA1767" s="223"/>
      <c r="AC1767" s="889"/>
      <c r="AF1767" s="890"/>
      <c r="AJ1767" s="889"/>
      <c r="AN1767" s="222"/>
      <c r="BC1767" s="223"/>
      <c r="BD1767" s="222"/>
      <c r="BH1767" s="611"/>
      <c r="BJ1767" s="15"/>
      <c r="BK1767" s="15"/>
      <c r="BO1767" s="223"/>
      <c r="BQ1767" s="889"/>
      <c r="BT1767" s="890"/>
      <c r="BX1767" s="889"/>
      <c r="CB1767" s="15"/>
      <c r="CC1767" s="697"/>
      <c r="CD1767" s="1086"/>
      <c r="CE1767" s="15"/>
      <c r="CF1767" s="15"/>
      <c r="CG1767" s="936"/>
      <c r="CH1767" s="15"/>
      <c r="CI1767" s="15"/>
      <c r="CJ1767" s="15"/>
      <c r="CK1767" s="1107"/>
      <c r="CL1767" s="22"/>
      <c r="CM1767" s="22"/>
      <c r="CN1767" s="1107"/>
      <c r="CR1767" s="223"/>
      <c r="CS1767" s="952"/>
      <c r="CT1767" s="1066"/>
      <c r="CU1767" s="972"/>
      <c r="CV1767" s="983"/>
      <c r="CW1767" s="222"/>
      <c r="CX1767" s="697"/>
      <c r="DC1767" s="222"/>
      <c r="DJ1767" s="889"/>
      <c r="DM1767" s="890"/>
      <c r="DN1767" s="952"/>
      <c r="DO1767" s="75"/>
      <c r="DP1767" s="962"/>
      <c r="DQ1767" s="983"/>
      <c r="DV1767" s="889"/>
    </row>
    <row r="1768" spans="1:126" s="74" customFormat="1">
      <c r="A1768" s="15"/>
      <c r="B1768" s="15"/>
      <c r="C1768" s="15"/>
      <c r="D1768" s="15"/>
      <c r="E1768" s="6"/>
      <c r="F1768" s="6"/>
      <c r="G1768" s="6"/>
      <c r="K1768" s="222"/>
      <c r="V1768" s="1430"/>
      <c r="AA1768" s="223"/>
      <c r="AC1768" s="889"/>
      <c r="AF1768" s="890"/>
      <c r="AJ1768" s="889"/>
      <c r="AN1768" s="222"/>
      <c r="BC1768" s="223"/>
      <c r="BD1768" s="222"/>
      <c r="BH1768" s="611"/>
      <c r="BJ1768" s="15"/>
      <c r="BK1768" s="15"/>
      <c r="BO1768" s="223"/>
      <c r="BQ1768" s="889"/>
      <c r="BT1768" s="890"/>
      <c r="BX1768" s="889"/>
      <c r="CB1768" s="15"/>
      <c r="CC1768" s="697"/>
      <c r="CD1768" s="1086"/>
      <c r="CE1768" s="15"/>
      <c r="CF1768" s="15"/>
      <c r="CG1768" s="936"/>
      <c r="CH1768" s="15"/>
      <c r="CI1768" s="15"/>
      <c r="CJ1768" s="15"/>
      <c r="CK1768" s="1107"/>
      <c r="CL1768" s="22"/>
      <c r="CM1768" s="22"/>
      <c r="CN1768" s="1107"/>
      <c r="CR1768" s="223"/>
      <c r="CS1768" s="952"/>
      <c r="CT1768" s="1066"/>
      <c r="CU1768" s="972"/>
      <c r="CV1768" s="983"/>
      <c r="CW1768" s="222"/>
      <c r="CX1768" s="697"/>
      <c r="DC1768" s="222"/>
      <c r="DJ1768" s="889"/>
      <c r="DM1768" s="890"/>
      <c r="DN1768" s="952"/>
      <c r="DO1768" s="75"/>
      <c r="DP1768" s="962"/>
      <c r="DQ1768" s="983"/>
      <c r="DV1768" s="889"/>
    </row>
    <row r="1769" spans="1:126" s="74" customFormat="1">
      <c r="A1769" s="15"/>
      <c r="B1769" s="15"/>
      <c r="C1769" s="15"/>
      <c r="D1769" s="15"/>
      <c r="E1769" s="6"/>
      <c r="F1769" s="6"/>
      <c r="G1769" s="6"/>
      <c r="K1769" s="222"/>
      <c r="V1769" s="1430"/>
      <c r="AA1769" s="223"/>
      <c r="AC1769" s="889"/>
      <c r="AF1769" s="890"/>
      <c r="AJ1769" s="889"/>
      <c r="AN1769" s="222"/>
      <c r="BC1769" s="223"/>
      <c r="BD1769" s="222"/>
      <c r="BH1769" s="611"/>
      <c r="BJ1769" s="15"/>
      <c r="BK1769" s="15"/>
      <c r="BO1769" s="223"/>
      <c r="BQ1769" s="889"/>
      <c r="BT1769" s="890"/>
      <c r="BX1769" s="889"/>
      <c r="CB1769" s="15"/>
      <c r="CC1769" s="697"/>
      <c r="CD1769" s="1086"/>
      <c r="CE1769" s="15"/>
      <c r="CF1769" s="15"/>
      <c r="CG1769" s="936"/>
      <c r="CH1769" s="15"/>
      <c r="CI1769" s="15"/>
      <c r="CJ1769" s="15"/>
      <c r="CK1769" s="1107"/>
      <c r="CL1769" s="22"/>
      <c r="CM1769" s="22"/>
      <c r="CN1769" s="1107"/>
      <c r="CR1769" s="223"/>
      <c r="CS1769" s="952"/>
      <c r="CT1769" s="1066"/>
      <c r="CU1769" s="972"/>
      <c r="CV1769" s="983"/>
      <c r="CW1769" s="222"/>
      <c r="CX1769" s="697"/>
      <c r="DC1769" s="222"/>
      <c r="DJ1769" s="889"/>
      <c r="DM1769" s="890"/>
      <c r="DN1769" s="952"/>
      <c r="DO1769" s="75"/>
      <c r="DP1769" s="962"/>
      <c r="DQ1769" s="983"/>
      <c r="DV1769" s="889"/>
    </row>
    <row r="1770" spans="1:126" s="74" customFormat="1">
      <c r="A1770" s="15"/>
      <c r="B1770" s="15"/>
      <c r="C1770" s="15"/>
      <c r="D1770" s="15"/>
      <c r="E1770" s="6"/>
      <c r="F1770" s="6"/>
      <c r="G1770" s="6"/>
      <c r="K1770" s="222"/>
      <c r="V1770" s="1430"/>
      <c r="AA1770" s="223"/>
      <c r="AC1770" s="889"/>
      <c r="AF1770" s="890"/>
      <c r="AJ1770" s="889"/>
      <c r="AN1770" s="222"/>
      <c r="BC1770" s="223"/>
      <c r="BD1770" s="222"/>
      <c r="BH1770" s="611"/>
      <c r="BJ1770" s="15"/>
      <c r="BK1770" s="15"/>
      <c r="BO1770" s="223"/>
      <c r="BQ1770" s="889"/>
      <c r="BT1770" s="890"/>
      <c r="BX1770" s="889"/>
      <c r="CB1770" s="15"/>
      <c r="CC1770" s="697"/>
      <c r="CD1770" s="1086"/>
      <c r="CE1770" s="15"/>
      <c r="CF1770" s="15"/>
      <c r="CG1770" s="936"/>
      <c r="CH1770" s="15"/>
      <c r="CI1770" s="15"/>
      <c r="CJ1770" s="15"/>
      <c r="CK1770" s="1107"/>
      <c r="CL1770" s="22"/>
      <c r="CM1770" s="22"/>
      <c r="CN1770" s="1107"/>
      <c r="CR1770" s="223"/>
      <c r="CS1770" s="952"/>
      <c r="CT1770" s="1066"/>
      <c r="CU1770" s="972"/>
      <c r="CV1770" s="983"/>
      <c r="CW1770" s="222"/>
      <c r="CX1770" s="697"/>
      <c r="DC1770" s="222"/>
      <c r="DJ1770" s="889"/>
      <c r="DM1770" s="890"/>
      <c r="DN1770" s="952"/>
      <c r="DO1770" s="75"/>
      <c r="DP1770" s="962"/>
      <c r="DQ1770" s="983"/>
      <c r="DV1770" s="889"/>
    </row>
    <row r="1771" spans="1:126" s="74" customFormat="1">
      <c r="A1771" s="15"/>
      <c r="B1771" s="15"/>
      <c r="C1771" s="15"/>
      <c r="D1771" s="15"/>
      <c r="E1771" s="6"/>
      <c r="F1771" s="6"/>
      <c r="G1771" s="6"/>
      <c r="K1771" s="222"/>
      <c r="V1771" s="1430"/>
      <c r="AA1771" s="223"/>
      <c r="AC1771" s="889"/>
      <c r="AF1771" s="890"/>
      <c r="AJ1771" s="889"/>
      <c r="AN1771" s="222"/>
      <c r="BC1771" s="223"/>
      <c r="BD1771" s="222"/>
      <c r="BH1771" s="611"/>
      <c r="BJ1771" s="15"/>
      <c r="BK1771" s="15"/>
      <c r="BO1771" s="223"/>
      <c r="BQ1771" s="889"/>
      <c r="BT1771" s="890"/>
      <c r="BX1771" s="889"/>
      <c r="CB1771" s="15"/>
      <c r="CC1771" s="697"/>
      <c r="CD1771" s="1086"/>
      <c r="CE1771" s="15"/>
      <c r="CF1771" s="15"/>
      <c r="CG1771" s="936"/>
      <c r="CH1771" s="15"/>
      <c r="CI1771" s="15"/>
      <c r="CJ1771" s="15"/>
      <c r="CK1771" s="1107"/>
      <c r="CL1771" s="22"/>
      <c r="CM1771" s="22"/>
      <c r="CN1771" s="1107"/>
      <c r="CR1771" s="223"/>
      <c r="CS1771" s="952"/>
      <c r="CT1771" s="1066"/>
      <c r="CU1771" s="972"/>
      <c r="CV1771" s="983"/>
      <c r="CW1771" s="222"/>
      <c r="CX1771" s="697"/>
      <c r="DC1771" s="222"/>
      <c r="DJ1771" s="889"/>
      <c r="DM1771" s="890"/>
      <c r="DN1771" s="952"/>
      <c r="DO1771" s="75"/>
      <c r="DP1771" s="962"/>
      <c r="DQ1771" s="983"/>
      <c r="DV1771" s="889"/>
    </row>
    <row r="1772" spans="1:126" s="74" customFormat="1">
      <c r="A1772" s="15"/>
      <c r="B1772" s="15"/>
      <c r="C1772" s="15"/>
      <c r="D1772" s="15"/>
      <c r="E1772" s="6"/>
      <c r="F1772" s="6"/>
      <c r="G1772" s="6"/>
      <c r="K1772" s="222"/>
      <c r="V1772" s="1430"/>
      <c r="AA1772" s="223"/>
      <c r="AC1772" s="889"/>
      <c r="AF1772" s="890"/>
      <c r="AJ1772" s="889"/>
      <c r="AN1772" s="222"/>
      <c r="BC1772" s="223"/>
      <c r="BD1772" s="222"/>
      <c r="BH1772" s="611"/>
      <c r="BJ1772" s="15"/>
      <c r="BK1772" s="15"/>
      <c r="BO1772" s="223"/>
      <c r="BQ1772" s="889"/>
      <c r="BT1772" s="890"/>
      <c r="BX1772" s="889"/>
      <c r="CB1772" s="15"/>
      <c r="CC1772" s="697"/>
      <c r="CD1772" s="1086"/>
      <c r="CE1772" s="15"/>
      <c r="CF1772" s="15"/>
      <c r="CG1772" s="936"/>
      <c r="CH1772" s="15"/>
      <c r="CI1772" s="15"/>
      <c r="CJ1772" s="15"/>
      <c r="CK1772" s="1107"/>
      <c r="CL1772" s="22"/>
      <c r="CM1772" s="22"/>
      <c r="CN1772" s="1107"/>
      <c r="CR1772" s="223"/>
      <c r="CS1772" s="952"/>
      <c r="CT1772" s="1066"/>
      <c r="CU1772" s="972"/>
      <c r="CV1772" s="983"/>
      <c r="CW1772" s="222"/>
      <c r="CX1772" s="697"/>
      <c r="DC1772" s="222"/>
      <c r="DJ1772" s="889"/>
      <c r="DM1772" s="890"/>
      <c r="DN1772" s="952"/>
      <c r="DO1772" s="75"/>
      <c r="DP1772" s="962"/>
      <c r="DQ1772" s="983"/>
      <c r="DV1772" s="889"/>
    </row>
    <row r="1773" spans="1:126" s="74" customFormat="1">
      <c r="A1773" s="15"/>
      <c r="B1773" s="15"/>
      <c r="C1773" s="15"/>
      <c r="D1773" s="15"/>
      <c r="E1773" s="6"/>
      <c r="F1773" s="6"/>
      <c r="G1773" s="6"/>
      <c r="K1773" s="222"/>
      <c r="V1773" s="1430"/>
      <c r="AA1773" s="223"/>
      <c r="AC1773" s="889"/>
      <c r="AF1773" s="890"/>
      <c r="AJ1773" s="889"/>
      <c r="AN1773" s="222"/>
      <c r="BC1773" s="223"/>
      <c r="BD1773" s="222"/>
      <c r="BH1773" s="611"/>
      <c r="BJ1773" s="15"/>
      <c r="BK1773" s="15"/>
      <c r="BO1773" s="223"/>
      <c r="BQ1773" s="889"/>
      <c r="BT1773" s="890"/>
      <c r="BX1773" s="889"/>
      <c r="CB1773" s="15"/>
      <c r="CC1773" s="697"/>
      <c r="CD1773" s="1086"/>
      <c r="CE1773" s="15"/>
      <c r="CF1773" s="15"/>
      <c r="CG1773" s="936"/>
      <c r="CH1773" s="15"/>
      <c r="CI1773" s="15"/>
      <c r="CJ1773" s="15"/>
      <c r="CK1773" s="1107"/>
      <c r="CL1773" s="22"/>
      <c r="CM1773" s="22"/>
      <c r="CN1773" s="1107"/>
      <c r="CR1773" s="223"/>
      <c r="CS1773" s="952"/>
      <c r="CT1773" s="1066"/>
      <c r="CU1773" s="972"/>
      <c r="CV1773" s="983"/>
      <c r="CW1773" s="222"/>
      <c r="CX1773" s="697"/>
      <c r="DC1773" s="222"/>
      <c r="DJ1773" s="889"/>
      <c r="DM1773" s="890"/>
      <c r="DN1773" s="952"/>
      <c r="DO1773" s="75"/>
      <c r="DP1773" s="962"/>
      <c r="DQ1773" s="983"/>
      <c r="DV1773" s="889"/>
    </row>
    <row r="1774" spans="1:126" s="74" customFormat="1">
      <c r="A1774" s="15"/>
      <c r="B1774" s="15"/>
      <c r="C1774" s="15"/>
      <c r="D1774" s="15"/>
      <c r="E1774" s="6"/>
      <c r="F1774" s="6"/>
      <c r="G1774" s="6"/>
      <c r="K1774" s="222"/>
      <c r="V1774" s="1430"/>
      <c r="AA1774" s="223"/>
      <c r="AC1774" s="889"/>
      <c r="AF1774" s="890"/>
      <c r="AJ1774" s="889"/>
      <c r="AN1774" s="222"/>
      <c r="BC1774" s="223"/>
      <c r="BD1774" s="222"/>
      <c r="BH1774" s="611"/>
      <c r="BJ1774" s="15"/>
      <c r="BK1774" s="15"/>
      <c r="BO1774" s="223"/>
      <c r="BQ1774" s="889"/>
      <c r="BT1774" s="890"/>
      <c r="BX1774" s="889"/>
      <c r="CB1774" s="15"/>
      <c r="CC1774" s="697"/>
      <c r="CD1774" s="1086"/>
      <c r="CE1774" s="15"/>
      <c r="CF1774" s="15"/>
      <c r="CG1774" s="936"/>
      <c r="CH1774" s="15"/>
      <c r="CI1774" s="15"/>
      <c r="CJ1774" s="15"/>
      <c r="CK1774" s="1107"/>
      <c r="CL1774" s="22"/>
      <c r="CM1774" s="22"/>
      <c r="CN1774" s="1107"/>
      <c r="CR1774" s="223"/>
      <c r="CS1774" s="952"/>
      <c r="CT1774" s="1066"/>
      <c r="CU1774" s="972"/>
      <c r="CV1774" s="983"/>
      <c r="CW1774" s="222"/>
      <c r="CX1774" s="697"/>
      <c r="DC1774" s="222"/>
      <c r="DJ1774" s="889"/>
      <c r="DM1774" s="890"/>
      <c r="DN1774" s="952"/>
      <c r="DO1774" s="75"/>
      <c r="DP1774" s="962"/>
      <c r="DQ1774" s="983"/>
      <c r="DV1774" s="889"/>
    </row>
    <row r="1775" spans="1:126" s="74" customFormat="1">
      <c r="A1775" s="15"/>
      <c r="B1775" s="15"/>
      <c r="C1775" s="15"/>
      <c r="D1775" s="15"/>
      <c r="E1775" s="6"/>
      <c r="F1775" s="6"/>
      <c r="G1775" s="6"/>
      <c r="K1775" s="222"/>
      <c r="V1775" s="1430"/>
      <c r="AA1775" s="223"/>
      <c r="AC1775" s="889"/>
      <c r="AF1775" s="890"/>
      <c r="AJ1775" s="889"/>
      <c r="AN1775" s="222"/>
      <c r="BC1775" s="223"/>
      <c r="BD1775" s="222"/>
      <c r="BH1775" s="611"/>
      <c r="BJ1775" s="15"/>
      <c r="BK1775" s="15"/>
      <c r="BO1775" s="223"/>
      <c r="BQ1775" s="889"/>
      <c r="BT1775" s="890"/>
      <c r="BX1775" s="889"/>
      <c r="CB1775" s="15"/>
      <c r="CC1775" s="697"/>
      <c r="CD1775" s="1086"/>
      <c r="CE1775" s="15"/>
      <c r="CF1775" s="15"/>
      <c r="CG1775" s="936"/>
      <c r="CH1775" s="15"/>
      <c r="CI1775" s="15"/>
      <c r="CJ1775" s="15"/>
      <c r="CK1775" s="1107"/>
      <c r="CL1775" s="22"/>
      <c r="CM1775" s="22"/>
      <c r="CN1775" s="1107"/>
      <c r="CR1775" s="223"/>
      <c r="CS1775" s="952"/>
      <c r="CT1775" s="1066"/>
      <c r="CU1775" s="972"/>
      <c r="CV1775" s="983"/>
      <c r="CW1775" s="222"/>
      <c r="CX1775" s="697"/>
      <c r="DC1775" s="222"/>
      <c r="DJ1775" s="889"/>
      <c r="DM1775" s="890"/>
      <c r="DN1775" s="952"/>
      <c r="DO1775" s="75"/>
      <c r="DP1775" s="962"/>
      <c r="DQ1775" s="983"/>
      <c r="DV1775" s="889"/>
    </row>
    <row r="1776" spans="1:126" s="74" customFormat="1">
      <c r="A1776" s="15"/>
      <c r="B1776" s="15"/>
      <c r="C1776" s="15"/>
      <c r="D1776" s="15"/>
      <c r="E1776" s="6"/>
      <c r="F1776" s="6"/>
      <c r="G1776" s="6"/>
      <c r="K1776" s="222"/>
      <c r="V1776" s="1430"/>
      <c r="AA1776" s="223"/>
      <c r="AC1776" s="889"/>
      <c r="AF1776" s="890"/>
      <c r="AJ1776" s="889"/>
      <c r="AN1776" s="222"/>
      <c r="BC1776" s="223"/>
      <c r="BD1776" s="222"/>
      <c r="BH1776" s="611"/>
      <c r="BJ1776" s="15"/>
      <c r="BK1776" s="15"/>
      <c r="BO1776" s="223"/>
      <c r="BQ1776" s="889"/>
      <c r="BT1776" s="890"/>
      <c r="BX1776" s="889"/>
      <c r="CB1776" s="15"/>
      <c r="CC1776" s="697"/>
      <c r="CD1776" s="1086"/>
      <c r="CE1776" s="15"/>
      <c r="CF1776" s="15"/>
      <c r="CG1776" s="936"/>
      <c r="CH1776" s="15"/>
      <c r="CI1776" s="15"/>
      <c r="CJ1776" s="15"/>
      <c r="CK1776" s="1107"/>
      <c r="CL1776" s="22"/>
      <c r="CM1776" s="22"/>
      <c r="CN1776" s="1107"/>
      <c r="CR1776" s="223"/>
      <c r="CS1776" s="952"/>
      <c r="CT1776" s="1066"/>
      <c r="CU1776" s="972"/>
      <c r="CV1776" s="983"/>
      <c r="CW1776" s="222"/>
      <c r="CX1776" s="697"/>
      <c r="DC1776" s="222"/>
      <c r="DJ1776" s="889"/>
      <c r="DM1776" s="890"/>
      <c r="DN1776" s="952"/>
      <c r="DO1776" s="75"/>
      <c r="DP1776" s="962"/>
      <c r="DQ1776" s="983"/>
      <c r="DV1776" s="889"/>
    </row>
    <row r="1777" spans="1:126" s="74" customFormat="1">
      <c r="A1777" s="15"/>
      <c r="B1777" s="15"/>
      <c r="C1777" s="15"/>
      <c r="D1777" s="15"/>
      <c r="E1777" s="6"/>
      <c r="F1777" s="6"/>
      <c r="G1777" s="6"/>
      <c r="K1777" s="222"/>
      <c r="V1777" s="1430"/>
      <c r="AA1777" s="223"/>
      <c r="AC1777" s="889"/>
      <c r="AF1777" s="890"/>
      <c r="AJ1777" s="889"/>
      <c r="AN1777" s="222"/>
      <c r="BC1777" s="223"/>
      <c r="BD1777" s="222"/>
      <c r="BH1777" s="611"/>
      <c r="BJ1777" s="15"/>
      <c r="BK1777" s="15"/>
      <c r="BO1777" s="223"/>
      <c r="BQ1777" s="889"/>
      <c r="BT1777" s="890"/>
      <c r="BX1777" s="889"/>
      <c r="CB1777" s="15"/>
      <c r="CC1777" s="697"/>
      <c r="CD1777" s="1086"/>
      <c r="CE1777" s="15"/>
      <c r="CF1777" s="15"/>
      <c r="CG1777" s="936"/>
      <c r="CH1777" s="15"/>
      <c r="CI1777" s="15"/>
      <c r="CJ1777" s="15"/>
      <c r="CK1777" s="1107"/>
      <c r="CL1777" s="22"/>
      <c r="CM1777" s="22"/>
      <c r="CN1777" s="1107"/>
      <c r="CR1777" s="223"/>
      <c r="CS1777" s="952"/>
      <c r="CT1777" s="1066"/>
      <c r="CU1777" s="972"/>
      <c r="CV1777" s="983"/>
      <c r="CW1777" s="222"/>
      <c r="CX1777" s="697"/>
      <c r="DC1777" s="222"/>
      <c r="DJ1777" s="889"/>
      <c r="DM1777" s="890"/>
      <c r="DN1777" s="952"/>
      <c r="DO1777" s="75"/>
      <c r="DP1777" s="962"/>
      <c r="DQ1777" s="983"/>
      <c r="DV1777" s="889"/>
    </row>
    <row r="1778" spans="1:126" s="74" customFormat="1">
      <c r="A1778" s="15"/>
      <c r="B1778" s="15"/>
      <c r="C1778" s="15"/>
      <c r="D1778" s="15"/>
      <c r="E1778" s="6"/>
      <c r="F1778" s="6"/>
      <c r="G1778" s="6"/>
      <c r="K1778" s="222"/>
      <c r="V1778" s="1430"/>
      <c r="AA1778" s="223"/>
      <c r="AC1778" s="889"/>
      <c r="AF1778" s="890"/>
      <c r="AJ1778" s="889"/>
      <c r="AN1778" s="222"/>
      <c r="BC1778" s="223"/>
      <c r="BD1778" s="222"/>
      <c r="BH1778" s="611"/>
      <c r="BJ1778" s="15"/>
      <c r="BK1778" s="15"/>
      <c r="BO1778" s="223"/>
      <c r="BQ1778" s="889"/>
      <c r="BT1778" s="890"/>
      <c r="BX1778" s="889"/>
      <c r="CB1778" s="15"/>
      <c r="CC1778" s="697"/>
      <c r="CD1778" s="1086"/>
      <c r="CE1778" s="15"/>
      <c r="CF1778" s="15"/>
      <c r="CG1778" s="936"/>
      <c r="CH1778" s="15"/>
      <c r="CI1778" s="15"/>
      <c r="CJ1778" s="15"/>
      <c r="CK1778" s="1107"/>
      <c r="CL1778" s="22"/>
      <c r="CM1778" s="22"/>
      <c r="CN1778" s="1107"/>
      <c r="CR1778" s="223"/>
      <c r="CS1778" s="952"/>
      <c r="CT1778" s="1066"/>
      <c r="CU1778" s="972"/>
      <c r="CV1778" s="983"/>
      <c r="CW1778" s="222"/>
      <c r="CX1778" s="697"/>
      <c r="DC1778" s="222"/>
      <c r="DJ1778" s="889"/>
      <c r="DM1778" s="890"/>
      <c r="DN1778" s="952"/>
      <c r="DO1778" s="75"/>
      <c r="DP1778" s="962"/>
      <c r="DQ1778" s="983"/>
      <c r="DV1778" s="889"/>
    </row>
    <row r="1779" spans="1:126" s="74" customFormat="1">
      <c r="A1779" s="15"/>
      <c r="B1779" s="15"/>
      <c r="C1779" s="15"/>
      <c r="D1779" s="15"/>
      <c r="E1779" s="6"/>
      <c r="F1779" s="6"/>
      <c r="G1779" s="6"/>
      <c r="K1779" s="222"/>
      <c r="V1779" s="1430"/>
      <c r="AA1779" s="223"/>
      <c r="AC1779" s="889"/>
      <c r="AF1779" s="890"/>
      <c r="AJ1779" s="889"/>
      <c r="AN1779" s="222"/>
      <c r="BC1779" s="223"/>
      <c r="BD1779" s="222"/>
      <c r="BH1779" s="611"/>
      <c r="BJ1779" s="15"/>
      <c r="BK1779" s="15"/>
      <c r="BO1779" s="223"/>
      <c r="BQ1779" s="889"/>
      <c r="BT1779" s="890"/>
      <c r="BX1779" s="889"/>
      <c r="CB1779" s="15"/>
      <c r="CC1779" s="697"/>
      <c r="CD1779" s="1086"/>
      <c r="CE1779" s="15"/>
      <c r="CF1779" s="15"/>
      <c r="CG1779" s="936"/>
      <c r="CH1779" s="15"/>
      <c r="CI1779" s="15"/>
      <c r="CJ1779" s="15"/>
      <c r="CK1779" s="1107"/>
      <c r="CL1779" s="22"/>
      <c r="CM1779" s="22"/>
      <c r="CN1779" s="1107"/>
      <c r="CR1779" s="223"/>
      <c r="CS1779" s="952"/>
      <c r="CT1779" s="1066"/>
      <c r="CU1779" s="972"/>
      <c r="CV1779" s="983"/>
      <c r="CW1779" s="222"/>
      <c r="CX1779" s="697"/>
      <c r="DC1779" s="222"/>
      <c r="DJ1779" s="889"/>
      <c r="DM1779" s="890"/>
      <c r="DN1779" s="952"/>
      <c r="DO1779" s="75"/>
      <c r="DP1779" s="962"/>
      <c r="DQ1779" s="983"/>
      <c r="DV1779" s="889"/>
    </row>
    <row r="1780" spans="1:126" s="74" customFormat="1">
      <c r="A1780" s="15"/>
      <c r="B1780" s="15"/>
      <c r="C1780" s="15"/>
      <c r="D1780" s="15"/>
      <c r="E1780" s="6"/>
      <c r="F1780" s="6"/>
      <c r="G1780" s="6"/>
      <c r="K1780" s="222"/>
      <c r="V1780" s="1430"/>
      <c r="AA1780" s="223"/>
      <c r="AC1780" s="889"/>
      <c r="AF1780" s="890"/>
      <c r="AJ1780" s="889"/>
      <c r="AN1780" s="222"/>
      <c r="BC1780" s="223"/>
      <c r="BD1780" s="222"/>
      <c r="BH1780" s="611"/>
      <c r="BJ1780" s="15"/>
      <c r="BK1780" s="15"/>
      <c r="BO1780" s="223"/>
      <c r="BQ1780" s="889"/>
      <c r="BT1780" s="890"/>
      <c r="BX1780" s="889"/>
      <c r="CB1780" s="15"/>
      <c r="CC1780" s="697"/>
      <c r="CD1780" s="1086"/>
      <c r="CE1780" s="15"/>
      <c r="CF1780" s="15"/>
      <c r="CG1780" s="936"/>
      <c r="CH1780" s="15"/>
      <c r="CI1780" s="15"/>
      <c r="CJ1780" s="15"/>
      <c r="CK1780" s="1107"/>
      <c r="CL1780" s="22"/>
      <c r="CM1780" s="22"/>
      <c r="CN1780" s="1107"/>
      <c r="CR1780" s="223"/>
      <c r="CS1780" s="952"/>
      <c r="CT1780" s="1066"/>
      <c r="CU1780" s="972"/>
      <c r="CV1780" s="983"/>
      <c r="CW1780" s="222"/>
      <c r="CX1780" s="697"/>
      <c r="DC1780" s="222"/>
      <c r="DJ1780" s="889"/>
      <c r="DM1780" s="890"/>
      <c r="DN1780" s="952"/>
      <c r="DO1780" s="75"/>
      <c r="DP1780" s="962"/>
      <c r="DQ1780" s="983"/>
      <c r="DV1780" s="889"/>
    </row>
    <row r="1781" spans="1:126" s="74" customFormat="1">
      <c r="A1781" s="15"/>
      <c r="B1781" s="15"/>
      <c r="C1781" s="15"/>
      <c r="D1781" s="15"/>
      <c r="E1781" s="6"/>
      <c r="F1781" s="6"/>
      <c r="G1781" s="6"/>
      <c r="K1781" s="222"/>
      <c r="V1781" s="1430"/>
      <c r="AA1781" s="223"/>
      <c r="AC1781" s="889"/>
      <c r="AF1781" s="890"/>
      <c r="AJ1781" s="889"/>
      <c r="AN1781" s="222"/>
      <c r="BC1781" s="223"/>
      <c r="BD1781" s="222"/>
      <c r="BH1781" s="611"/>
      <c r="BJ1781" s="15"/>
      <c r="BK1781" s="15"/>
      <c r="BO1781" s="223"/>
      <c r="BQ1781" s="889"/>
      <c r="BT1781" s="890"/>
      <c r="BX1781" s="889"/>
      <c r="CB1781" s="15"/>
      <c r="CC1781" s="697"/>
      <c r="CD1781" s="1086"/>
      <c r="CE1781" s="15"/>
      <c r="CF1781" s="15"/>
      <c r="CG1781" s="936"/>
      <c r="CH1781" s="15"/>
      <c r="CI1781" s="15"/>
      <c r="CJ1781" s="15"/>
      <c r="CK1781" s="1107"/>
      <c r="CL1781" s="22"/>
      <c r="CM1781" s="22"/>
      <c r="CN1781" s="1107"/>
      <c r="CR1781" s="223"/>
      <c r="CS1781" s="952"/>
      <c r="CT1781" s="1066"/>
      <c r="CU1781" s="972"/>
      <c r="CV1781" s="983"/>
      <c r="CW1781" s="222"/>
      <c r="CX1781" s="697"/>
      <c r="DC1781" s="222"/>
      <c r="DJ1781" s="889"/>
      <c r="DM1781" s="890"/>
      <c r="DN1781" s="952"/>
      <c r="DO1781" s="75"/>
      <c r="DP1781" s="962"/>
      <c r="DQ1781" s="983"/>
      <c r="DV1781" s="889"/>
    </row>
    <row r="1782" spans="1:126" s="74" customFormat="1">
      <c r="A1782" s="15"/>
      <c r="B1782" s="15"/>
      <c r="C1782" s="15"/>
      <c r="D1782" s="15"/>
      <c r="E1782" s="6"/>
      <c r="F1782" s="6"/>
      <c r="G1782" s="6"/>
      <c r="K1782" s="222"/>
      <c r="V1782" s="1430"/>
      <c r="AA1782" s="223"/>
      <c r="AC1782" s="889"/>
      <c r="AF1782" s="890"/>
      <c r="AJ1782" s="889"/>
      <c r="AN1782" s="222"/>
      <c r="BC1782" s="223"/>
      <c r="BD1782" s="222"/>
      <c r="BH1782" s="611"/>
      <c r="BJ1782" s="15"/>
      <c r="BK1782" s="15"/>
      <c r="BO1782" s="223"/>
      <c r="BQ1782" s="889"/>
      <c r="BT1782" s="890"/>
      <c r="BX1782" s="889"/>
      <c r="CB1782" s="15"/>
      <c r="CC1782" s="697"/>
      <c r="CD1782" s="1086"/>
      <c r="CE1782" s="15"/>
      <c r="CF1782" s="15"/>
      <c r="CG1782" s="936"/>
      <c r="CH1782" s="15"/>
      <c r="CI1782" s="15"/>
      <c r="CJ1782" s="15"/>
      <c r="CK1782" s="1107"/>
      <c r="CL1782" s="22"/>
      <c r="CM1782" s="22"/>
      <c r="CN1782" s="1107"/>
      <c r="CR1782" s="223"/>
      <c r="CS1782" s="952"/>
      <c r="CT1782" s="1066"/>
      <c r="CU1782" s="972"/>
      <c r="CV1782" s="983"/>
      <c r="CW1782" s="222"/>
      <c r="CX1782" s="697"/>
      <c r="DC1782" s="222"/>
      <c r="DJ1782" s="889"/>
      <c r="DM1782" s="890"/>
      <c r="DN1782" s="952"/>
      <c r="DO1782" s="75"/>
      <c r="DP1782" s="962"/>
      <c r="DQ1782" s="983"/>
      <c r="DV1782" s="889"/>
    </row>
    <row r="1783" spans="1:126" s="74" customFormat="1">
      <c r="A1783" s="15"/>
      <c r="B1783" s="15"/>
      <c r="C1783" s="15"/>
      <c r="D1783" s="15"/>
      <c r="E1783" s="6"/>
      <c r="F1783" s="6"/>
      <c r="G1783" s="6"/>
      <c r="K1783" s="222"/>
      <c r="V1783" s="1430"/>
      <c r="AA1783" s="223"/>
      <c r="AC1783" s="889"/>
      <c r="AF1783" s="890"/>
      <c r="AJ1783" s="889"/>
      <c r="AN1783" s="222"/>
      <c r="BC1783" s="223"/>
      <c r="BD1783" s="222"/>
      <c r="BH1783" s="611"/>
      <c r="BJ1783" s="15"/>
      <c r="BK1783" s="15"/>
      <c r="BO1783" s="223"/>
      <c r="BQ1783" s="889"/>
      <c r="BT1783" s="890"/>
      <c r="BX1783" s="889"/>
      <c r="CB1783" s="15"/>
      <c r="CC1783" s="697"/>
      <c r="CD1783" s="1086"/>
      <c r="CE1783" s="15"/>
      <c r="CF1783" s="15"/>
      <c r="CG1783" s="936"/>
      <c r="CH1783" s="15"/>
      <c r="CI1783" s="15"/>
      <c r="CJ1783" s="15"/>
      <c r="CK1783" s="1107"/>
      <c r="CL1783" s="22"/>
      <c r="CM1783" s="22"/>
      <c r="CN1783" s="1107"/>
      <c r="CR1783" s="223"/>
      <c r="CS1783" s="952"/>
      <c r="CT1783" s="1066"/>
      <c r="CU1783" s="972"/>
      <c r="CV1783" s="983"/>
      <c r="CW1783" s="222"/>
      <c r="CX1783" s="697"/>
      <c r="DC1783" s="222"/>
      <c r="DJ1783" s="889"/>
      <c r="DM1783" s="890"/>
      <c r="DN1783" s="952"/>
      <c r="DO1783" s="75"/>
      <c r="DP1783" s="962"/>
      <c r="DQ1783" s="983"/>
      <c r="DV1783" s="889"/>
    </row>
    <row r="1784" spans="1:126" s="74" customFormat="1">
      <c r="A1784" s="15"/>
      <c r="B1784" s="15"/>
      <c r="C1784" s="15"/>
      <c r="D1784" s="15"/>
      <c r="E1784" s="6"/>
      <c r="F1784" s="6"/>
      <c r="G1784" s="6"/>
      <c r="K1784" s="222"/>
      <c r="V1784" s="1430"/>
      <c r="AA1784" s="223"/>
      <c r="AC1784" s="889"/>
      <c r="AF1784" s="890"/>
      <c r="AJ1784" s="889"/>
      <c r="AN1784" s="222"/>
      <c r="BC1784" s="223"/>
      <c r="BD1784" s="222"/>
      <c r="BH1784" s="611"/>
      <c r="BJ1784" s="15"/>
      <c r="BK1784" s="15"/>
      <c r="BO1784" s="223"/>
      <c r="BQ1784" s="889"/>
      <c r="BT1784" s="890"/>
      <c r="BX1784" s="889"/>
      <c r="CB1784" s="15"/>
      <c r="CC1784" s="697"/>
      <c r="CD1784" s="1086"/>
      <c r="CE1784" s="15"/>
      <c r="CF1784" s="15"/>
      <c r="CG1784" s="936"/>
      <c r="CH1784" s="15"/>
      <c r="CI1784" s="15"/>
      <c r="CJ1784" s="15"/>
      <c r="CK1784" s="1107"/>
      <c r="CL1784" s="22"/>
      <c r="CM1784" s="22"/>
      <c r="CN1784" s="1107"/>
      <c r="CR1784" s="223"/>
      <c r="CS1784" s="952"/>
      <c r="CT1784" s="1066"/>
      <c r="CU1784" s="972"/>
      <c r="CV1784" s="983"/>
      <c r="CW1784" s="222"/>
      <c r="CX1784" s="697"/>
      <c r="DC1784" s="222"/>
      <c r="DJ1784" s="889"/>
      <c r="DM1784" s="890"/>
      <c r="DN1784" s="952"/>
      <c r="DO1784" s="75"/>
      <c r="DP1784" s="962"/>
      <c r="DQ1784" s="983"/>
      <c r="DV1784" s="889"/>
    </row>
    <row r="1785" spans="1:126" s="74" customFormat="1">
      <c r="A1785" s="15"/>
      <c r="B1785" s="15"/>
      <c r="C1785" s="15"/>
      <c r="D1785" s="15"/>
      <c r="E1785" s="6"/>
      <c r="F1785" s="6"/>
      <c r="G1785" s="6"/>
      <c r="K1785" s="222"/>
      <c r="V1785" s="1430"/>
      <c r="AA1785" s="223"/>
      <c r="AC1785" s="889"/>
      <c r="AF1785" s="890"/>
      <c r="AJ1785" s="889"/>
      <c r="AN1785" s="222"/>
      <c r="BC1785" s="223"/>
      <c r="BD1785" s="222"/>
      <c r="BH1785" s="611"/>
      <c r="BJ1785" s="15"/>
      <c r="BK1785" s="15"/>
      <c r="BO1785" s="223"/>
      <c r="BQ1785" s="889"/>
      <c r="BT1785" s="890"/>
      <c r="BX1785" s="889"/>
      <c r="CB1785" s="15"/>
      <c r="CC1785" s="697"/>
      <c r="CD1785" s="1086"/>
      <c r="CE1785" s="15"/>
      <c r="CF1785" s="15"/>
      <c r="CG1785" s="936"/>
      <c r="CH1785" s="15"/>
      <c r="CI1785" s="15"/>
      <c r="CJ1785" s="15"/>
      <c r="CK1785" s="1107"/>
      <c r="CL1785" s="22"/>
      <c r="CM1785" s="22"/>
      <c r="CN1785" s="1107"/>
      <c r="CR1785" s="223"/>
      <c r="CS1785" s="952"/>
      <c r="CT1785" s="1066"/>
      <c r="CU1785" s="972"/>
      <c r="CV1785" s="983"/>
      <c r="CW1785" s="222"/>
      <c r="CX1785" s="697"/>
      <c r="DC1785" s="222"/>
      <c r="DJ1785" s="889"/>
      <c r="DM1785" s="890"/>
      <c r="DN1785" s="952"/>
      <c r="DO1785" s="75"/>
      <c r="DP1785" s="962"/>
      <c r="DQ1785" s="983"/>
      <c r="DV1785" s="889"/>
    </row>
    <row r="1786" spans="1:126" s="74" customFormat="1">
      <c r="A1786" s="15"/>
      <c r="B1786" s="15"/>
      <c r="C1786" s="15"/>
      <c r="D1786" s="15"/>
      <c r="E1786" s="6"/>
      <c r="F1786" s="6"/>
      <c r="G1786" s="6"/>
      <c r="K1786" s="222"/>
      <c r="V1786" s="1430"/>
      <c r="AA1786" s="223"/>
      <c r="AC1786" s="889"/>
      <c r="AF1786" s="890"/>
      <c r="AJ1786" s="889"/>
      <c r="AN1786" s="222"/>
      <c r="BC1786" s="223"/>
      <c r="BD1786" s="222"/>
      <c r="BH1786" s="611"/>
      <c r="BJ1786" s="15"/>
      <c r="BK1786" s="15"/>
      <c r="BO1786" s="223"/>
      <c r="BQ1786" s="889"/>
      <c r="BT1786" s="890"/>
      <c r="BX1786" s="889"/>
      <c r="CB1786" s="15"/>
      <c r="CC1786" s="697"/>
      <c r="CD1786" s="1086"/>
      <c r="CE1786" s="15"/>
      <c r="CF1786" s="15"/>
      <c r="CG1786" s="936"/>
      <c r="CH1786" s="15"/>
      <c r="CI1786" s="15"/>
      <c r="CJ1786" s="15"/>
      <c r="CK1786" s="1107"/>
      <c r="CL1786" s="22"/>
      <c r="CM1786" s="22"/>
      <c r="CN1786" s="1107"/>
      <c r="CR1786" s="223"/>
      <c r="CS1786" s="952"/>
      <c r="CT1786" s="1066"/>
      <c r="CU1786" s="972"/>
      <c r="CV1786" s="983"/>
      <c r="CW1786" s="222"/>
      <c r="CX1786" s="697"/>
      <c r="DC1786" s="222"/>
      <c r="DJ1786" s="889"/>
      <c r="DM1786" s="890"/>
      <c r="DN1786" s="952"/>
      <c r="DO1786" s="75"/>
      <c r="DP1786" s="962"/>
      <c r="DQ1786" s="983"/>
      <c r="DV1786" s="889"/>
    </row>
    <row r="1787" spans="1:126" s="74" customFormat="1">
      <c r="A1787" s="15"/>
      <c r="B1787" s="15"/>
      <c r="C1787" s="15"/>
      <c r="D1787" s="15"/>
      <c r="E1787" s="6"/>
      <c r="F1787" s="6"/>
      <c r="G1787" s="6"/>
      <c r="K1787" s="222"/>
      <c r="V1787" s="1430"/>
      <c r="AA1787" s="223"/>
      <c r="AC1787" s="889"/>
      <c r="AF1787" s="890"/>
      <c r="AJ1787" s="889"/>
      <c r="AN1787" s="222"/>
      <c r="BC1787" s="223"/>
      <c r="BD1787" s="222"/>
      <c r="BH1787" s="611"/>
      <c r="BJ1787" s="15"/>
      <c r="BK1787" s="15"/>
      <c r="BO1787" s="223"/>
      <c r="BQ1787" s="889"/>
      <c r="BT1787" s="890"/>
      <c r="BX1787" s="889"/>
      <c r="CB1787" s="15"/>
      <c r="CC1787" s="697"/>
      <c r="CD1787" s="1086"/>
      <c r="CE1787" s="15"/>
      <c r="CF1787" s="15"/>
      <c r="CG1787" s="936"/>
      <c r="CH1787" s="15"/>
      <c r="CI1787" s="15"/>
      <c r="CJ1787" s="15"/>
      <c r="CK1787" s="1107"/>
      <c r="CL1787" s="22"/>
      <c r="CM1787" s="22"/>
      <c r="CN1787" s="1107"/>
      <c r="CR1787" s="223"/>
      <c r="CS1787" s="952"/>
      <c r="CT1787" s="1066"/>
      <c r="CU1787" s="972"/>
      <c r="CV1787" s="983"/>
      <c r="CW1787" s="222"/>
      <c r="CX1787" s="697"/>
      <c r="DC1787" s="222"/>
      <c r="DJ1787" s="889"/>
      <c r="DM1787" s="890"/>
      <c r="DN1787" s="952"/>
      <c r="DO1787" s="75"/>
      <c r="DP1787" s="962"/>
      <c r="DQ1787" s="983"/>
      <c r="DV1787" s="889"/>
    </row>
    <row r="1788" spans="1:126" s="74" customFormat="1">
      <c r="A1788" s="15"/>
      <c r="B1788" s="15"/>
      <c r="C1788" s="15"/>
      <c r="D1788" s="15"/>
      <c r="E1788" s="6"/>
      <c r="F1788" s="6"/>
      <c r="G1788" s="6"/>
      <c r="K1788" s="222"/>
      <c r="V1788" s="1430"/>
      <c r="AA1788" s="223"/>
      <c r="AC1788" s="889"/>
      <c r="AF1788" s="890"/>
      <c r="AJ1788" s="889"/>
      <c r="AN1788" s="222"/>
      <c r="BC1788" s="223"/>
      <c r="BD1788" s="222"/>
      <c r="BH1788" s="611"/>
      <c r="BJ1788" s="15"/>
      <c r="BK1788" s="15"/>
      <c r="BO1788" s="223"/>
      <c r="BQ1788" s="889"/>
      <c r="BT1788" s="890"/>
      <c r="BX1788" s="889"/>
      <c r="CB1788" s="15"/>
      <c r="CC1788" s="697"/>
      <c r="CD1788" s="1086"/>
      <c r="CE1788" s="15"/>
      <c r="CF1788" s="15"/>
      <c r="CG1788" s="936"/>
      <c r="CH1788" s="15"/>
      <c r="CI1788" s="15"/>
      <c r="CJ1788" s="15"/>
      <c r="CK1788" s="1107"/>
      <c r="CL1788" s="22"/>
      <c r="CM1788" s="22"/>
      <c r="CN1788" s="1107"/>
      <c r="CR1788" s="223"/>
      <c r="CS1788" s="952"/>
      <c r="CT1788" s="1066"/>
      <c r="CU1788" s="972"/>
      <c r="CV1788" s="983"/>
      <c r="CW1788" s="222"/>
      <c r="CX1788" s="697"/>
      <c r="DC1788" s="222"/>
      <c r="DJ1788" s="889"/>
      <c r="DM1788" s="890"/>
      <c r="DN1788" s="952"/>
      <c r="DO1788" s="75"/>
      <c r="DP1788" s="962"/>
      <c r="DQ1788" s="983"/>
      <c r="DV1788" s="889"/>
    </row>
    <row r="1789" spans="1:126" s="74" customFormat="1">
      <c r="A1789" s="15"/>
      <c r="B1789" s="15"/>
      <c r="C1789" s="15"/>
      <c r="D1789" s="15"/>
      <c r="E1789" s="6"/>
      <c r="F1789" s="6"/>
      <c r="G1789" s="6"/>
      <c r="K1789" s="222"/>
      <c r="V1789" s="1430"/>
      <c r="AA1789" s="223"/>
      <c r="AC1789" s="889"/>
      <c r="AF1789" s="890"/>
      <c r="AJ1789" s="889"/>
      <c r="AN1789" s="222"/>
      <c r="BC1789" s="223"/>
      <c r="BD1789" s="222"/>
      <c r="BH1789" s="611"/>
      <c r="BJ1789" s="15"/>
      <c r="BK1789" s="15"/>
      <c r="BO1789" s="223"/>
      <c r="BQ1789" s="889"/>
      <c r="BT1789" s="890"/>
      <c r="BX1789" s="889"/>
      <c r="CB1789" s="15"/>
      <c r="CC1789" s="697"/>
      <c r="CD1789" s="1086"/>
      <c r="CE1789" s="15"/>
      <c r="CF1789" s="15"/>
      <c r="CG1789" s="936"/>
      <c r="CH1789" s="15"/>
      <c r="CI1789" s="15"/>
      <c r="CJ1789" s="15"/>
      <c r="CK1789" s="1107"/>
      <c r="CL1789" s="22"/>
      <c r="CM1789" s="22"/>
      <c r="CN1789" s="1107"/>
      <c r="CR1789" s="223"/>
      <c r="CS1789" s="952"/>
      <c r="CT1789" s="1066"/>
      <c r="CU1789" s="972"/>
      <c r="CV1789" s="983"/>
      <c r="CW1789" s="222"/>
      <c r="CX1789" s="697"/>
      <c r="DC1789" s="222"/>
      <c r="DJ1789" s="889"/>
      <c r="DM1789" s="890"/>
      <c r="DN1789" s="952"/>
      <c r="DO1789" s="75"/>
      <c r="DP1789" s="962"/>
      <c r="DQ1789" s="983"/>
      <c r="DV1789" s="889"/>
    </row>
    <row r="1790" spans="1:126" s="74" customFormat="1">
      <c r="A1790" s="15"/>
      <c r="B1790" s="15"/>
      <c r="C1790" s="15"/>
      <c r="D1790" s="15"/>
      <c r="E1790" s="6"/>
      <c r="F1790" s="6"/>
      <c r="G1790" s="6"/>
      <c r="K1790" s="222"/>
      <c r="V1790" s="1430"/>
      <c r="AA1790" s="223"/>
      <c r="AC1790" s="889"/>
      <c r="AF1790" s="890"/>
      <c r="AJ1790" s="889"/>
      <c r="AN1790" s="222"/>
      <c r="BC1790" s="223"/>
      <c r="BD1790" s="222"/>
      <c r="BH1790" s="611"/>
      <c r="BJ1790" s="15"/>
      <c r="BK1790" s="15"/>
      <c r="BO1790" s="223"/>
      <c r="BQ1790" s="889"/>
      <c r="BT1790" s="890"/>
      <c r="BX1790" s="889"/>
      <c r="CB1790" s="15"/>
      <c r="CC1790" s="697"/>
      <c r="CD1790" s="1086"/>
      <c r="CE1790" s="15"/>
      <c r="CF1790" s="15"/>
      <c r="CG1790" s="936"/>
      <c r="CH1790" s="15"/>
      <c r="CI1790" s="15"/>
      <c r="CJ1790" s="15"/>
      <c r="CK1790" s="1107"/>
      <c r="CL1790" s="22"/>
      <c r="CM1790" s="22"/>
      <c r="CN1790" s="1107"/>
      <c r="CR1790" s="223"/>
      <c r="CS1790" s="952"/>
      <c r="CT1790" s="1066"/>
      <c r="CU1790" s="972"/>
      <c r="CV1790" s="983"/>
      <c r="CW1790" s="222"/>
      <c r="CX1790" s="697"/>
      <c r="DC1790" s="222"/>
      <c r="DJ1790" s="889"/>
      <c r="DM1790" s="890"/>
      <c r="DN1790" s="952"/>
      <c r="DO1790" s="75"/>
      <c r="DP1790" s="962"/>
      <c r="DQ1790" s="983"/>
      <c r="DV1790" s="889"/>
    </row>
    <row r="1791" spans="1:126" s="74" customFormat="1">
      <c r="A1791" s="15"/>
      <c r="B1791" s="15"/>
      <c r="C1791" s="15"/>
      <c r="D1791" s="15"/>
      <c r="E1791" s="6"/>
      <c r="F1791" s="6"/>
      <c r="G1791" s="6"/>
      <c r="K1791" s="222"/>
      <c r="V1791" s="1430"/>
      <c r="AA1791" s="223"/>
      <c r="AC1791" s="889"/>
      <c r="AF1791" s="890"/>
      <c r="AJ1791" s="889"/>
      <c r="AN1791" s="222"/>
      <c r="BC1791" s="223"/>
      <c r="BD1791" s="222"/>
      <c r="BH1791" s="611"/>
      <c r="BJ1791" s="15"/>
      <c r="BK1791" s="15"/>
      <c r="BO1791" s="223"/>
      <c r="BQ1791" s="889"/>
      <c r="BT1791" s="890"/>
      <c r="BX1791" s="889"/>
      <c r="CB1791" s="15"/>
      <c r="CC1791" s="697"/>
      <c r="CD1791" s="1086"/>
      <c r="CE1791" s="15"/>
      <c r="CF1791" s="15"/>
      <c r="CG1791" s="936"/>
      <c r="CH1791" s="15"/>
      <c r="CI1791" s="15"/>
      <c r="CJ1791" s="15"/>
      <c r="CK1791" s="1107"/>
      <c r="CL1791" s="22"/>
      <c r="CM1791" s="22"/>
      <c r="CN1791" s="1107"/>
      <c r="CR1791" s="223"/>
      <c r="CS1791" s="952"/>
      <c r="CT1791" s="1066"/>
      <c r="CU1791" s="972"/>
      <c r="CV1791" s="983"/>
      <c r="CW1791" s="222"/>
      <c r="CX1791" s="697"/>
      <c r="DC1791" s="222"/>
      <c r="DJ1791" s="889"/>
      <c r="DM1791" s="890"/>
      <c r="DN1791" s="952"/>
      <c r="DO1791" s="75"/>
      <c r="DP1791" s="962"/>
      <c r="DQ1791" s="983"/>
      <c r="DV1791" s="889"/>
    </row>
    <row r="1792" spans="1:126" s="74" customFormat="1">
      <c r="A1792" s="15"/>
      <c r="B1792" s="15"/>
      <c r="C1792" s="15"/>
      <c r="D1792" s="15"/>
      <c r="E1792" s="6"/>
      <c r="F1792" s="6"/>
      <c r="G1792" s="6"/>
      <c r="K1792" s="222"/>
      <c r="V1792" s="1430"/>
      <c r="AA1792" s="223"/>
      <c r="AC1792" s="889"/>
      <c r="AF1792" s="890"/>
      <c r="AJ1792" s="889"/>
      <c r="AN1792" s="222"/>
      <c r="BC1792" s="223"/>
      <c r="BD1792" s="222"/>
      <c r="BH1792" s="611"/>
      <c r="BJ1792" s="15"/>
      <c r="BK1792" s="15"/>
      <c r="BO1792" s="223"/>
      <c r="BQ1792" s="889"/>
      <c r="BT1792" s="890"/>
      <c r="BX1792" s="889"/>
      <c r="CB1792" s="15"/>
      <c r="CC1792" s="697"/>
      <c r="CD1792" s="1086"/>
      <c r="CE1792" s="15"/>
      <c r="CF1792" s="15"/>
      <c r="CG1792" s="936"/>
      <c r="CH1792" s="15"/>
      <c r="CI1792" s="15"/>
      <c r="CJ1792" s="15"/>
      <c r="CK1792" s="1107"/>
      <c r="CL1792" s="22"/>
      <c r="CM1792" s="22"/>
      <c r="CN1792" s="1107"/>
      <c r="CR1792" s="223"/>
      <c r="CS1792" s="952"/>
      <c r="CT1792" s="1066"/>
      <c r="CU1792" s="972"/>
      <c r="CV1792" s="983"/>
      <c r="CW1792" s="222"/>
      <c r="CX1792" s="697"/>
      <c r="DC1792" s="222"/>
      <c r="DJ1792" s="889"/>
      <c r="DM1792" s="890"/>
      <c r="DN1792" s="952"/>
      <c r="DO1792" s="75"/>
      <c r="DP1792" s="962"/>
      <c r="DQ1792" s="983"/>
      <c r="DV1792" s="889"/>
    </row>
    <row r="1793" spans="1:126" s="74" customFormat="1">
      <c r="A1793" s="15"/>
      <c r="B1793" s="15"/>
      <c r="C1793" s="15"/>
      <c r="D1793" s="15"/>
      <c r="E1793" s="6"/>
      <c r="F1793" s="6"/>
      <c r="G1793" s="6"/>
      <c r="K1793" s="222"/>
      <c r="V1793" s="1430"/>
      <c r="AA1793" s="223"/>
      <c r="AC1793" s="889"/>
      <c r="AF1793" s="890"/>
      <c r="AJ1793" s="889"/>
      <c r="AN1793" s="222"/>
      <c r="BC1793" s="223"/>
      <c r="BD1793" s="222"/>
      <c r="BH1793" s="611"/>
      <c r="BJ1793" s="15"/>
      <c r="BK1793" s="15"/>
      <c r="BO1793" s="223"/>
      <c r="BQ1793" s="889"/>
      <c r="BT1793" s="890"/>
      <c r="BX1793" s="889"/>
      <c r="CB1793" s="15"/>
      <c r="CC1793" s="697"/>
      <c r="CD1793" s="1086"/>
      <c r="CE1793" s="15"/>
      <c r="CF1793" s="15"/>
      <c r="CG1793" s="936"/>
      <c r="CH1793" s="15"/>
      <c r="CI1793" s="15"/>
      <c r="CJ1793" s="15"/>
      <c r="CK1793" s="1107"/>
      <c r="CL1793" s="22"/>
      <c r="CM1793" s="22"/>
      <c r="CN1793" s="1107"/>
      <c r="CR1793" s="223"/>
      <c r="CS1793" s="952"/>
      <c r="CT1793" s="1066"/>
      <c r="CU1793" s="972"/>
      <c r="CV1793" s="983"/>
      <c r="CW1793" s="222"/>
      <c r="CX1793" s="697"/>
      <c r="DC1793" s="222"/>
      <c r="DJ1793" s="889"/>
      <c r="DM1793" s="890"/>
      <c r="DN1793" s="952"/>
      <c r="DO1793" s="75"/>
      <c r="DP1793" s="962"/>
      <c r="DQ1793" s="983"/>
      <c r="DV1793" s="889"/>
    </row>
    <row r="1794" spans="1:126" s="74" customFormat="1">
      <c r="A1794" s="15"/>
      <c r="B1794" s="15"/>
      <c r="C1794" s="15"/>
      <c r="D1794" s="15"/>
      <c r="E1794" s="6"/>
      <c r="F1794" s="6"/>
      <c r="G1794" s="6"/>
      <c r="K1794" s="222"/>
      <c r="V1794" s="1430"/>
      <c r="AA1794" s="223"/>
      <c r="AC1794" s="889"/>
      <c r="AF1794" s="890"/>
      <c r="AJ1794" s="889"/>
      <c r="AN1794" s="222"/>
      <c r="BC1794" s="223"/>
      <c r="BD1794" s="222"/>
      <c r="BH1794" s="611"/>
      <c r="BJ1794" s="15"/>
      <c r="BK1794" s="15"/>
      <c r="BO1794" s="223"/>
      <c r="BQ1794" s="889"/>
      <c r="BT1794" s="890"/>
      <c r="BX1794" s="889"/>
      <c r="CB1794" s="15"/>
      <c r="CC1794" s="697"/>
      <c r="CD1794" s="1086"/>
      <c r="CE1794" s="15"/>
      <c r="CF1794" s="15"/>
      <c r="CG1794" s="936"/>
      <c r="CH1794" s="15"/>
      <c r="CI1794" s="15"/>
      <c r="CJ1794" s="15"/>
      <c r="CK1794" s="1107"/>
      <c r="CL1794" s="22"/>
      <c r="CM1794" s="22"/>
      <c r="CN1794" s="1107"/>
      <c r="CR1794" s="223"/>
      <c r="CS1794" s="952"/>
      <c r="CT1794" s="1066"/>
      <c r="CU1794" s="972"/>
      <c r="CV1794" s="983"/>
      <c r="CW1794" s="222"/>
      <c r="CX1794" s="697"/>
      <c r="DC1794" s="222"/>
      <c r="DJ1794" s="889"/>
      <c r="DM1794" s="890"/>
      <c r="DN1794" s="952"/>
      <c r="DO1794" s="75"/>
      <c r="DP1794" s="962"/>
      <c r="DQ1794" s="983"/>
      <c r="DV1794" s="889"/>
    </row>
    <row r="1795" spans="1:126" s="74" customFormat="1">
      <c r="A1795" s="15"/>
      <c r="B1795" s="15"/>
      <c r="C1795" s="15"/>
      <c r="D1795" s="15"/>
      <c r="E1795" s="6"/>
      <c r="F1795" s="6"/>
      <c r="G1795" s="6"/>
      <c r="K1795" s="222"/>
      <c r="V1795" s="1430"/>
      <c r="AA1795" s="223"/>
      <c r="AC1795" s="889"/>
      <c r="AF1795" s="890"/>
      <c r="AJ1795" s="889"/>
      <c r="AN1795" s="222"/>
      <c r="BC1795" s="223"/>
      <c r="BD1795" s="222"/>
      <c r="BH1795" s="611"/>
      <c r="BJ1795" s="15"/>
      <c r="BK1795" s="15"/>
      <c r="BO1795" s="223"/>
      <c r="BQ1795" s="889"/>
      <c r="BT1795" s="890"/>
      <c r="BX1795" s="889"/>
      <c r="CB1795" s="15"/>
      <c r="CC1795" s="697"/>
      <c r="CD1795" s="1086"/>
      <c r="CE1795" s="15"/>
      <c r="CF1795" s="15"/>
      <c r="CG1795" s="936"/>
      <c r="CH1795" s="15"/>
      <c r="CI1795" s="15"/>
      <c r="CJ1795" s="15"/>
      <c r="CK1795" s="1107"/>
      <c r="CL1795" s="22"/>
      <c r="CM1795" s="22"/>
      <c r="CN1795" s="1107"/>
      <c r="CR1795" s="223"/>
      <c r="CS1795" s="952"/>
      <c r="CT1795" s="1066"/>
      <c r="CU1795" s="972"/>
      <c r="CV1795" s="983"/>
      <c r="CW1795" s="222"/>
      <c r="CX1795" s="697"/>
      <c r="DC1795" s="222"/>
      <c r="DJ1795" s="889"/>
      <c r="DM1795" s="890"/>
      <c r="DN1795" s="952"/>
      <c r="DO1795" s="75"/>
      <c r="DP1795" s="962"/>
      <c r="DQ1795" s="983"/>
      <c r="DV1795" s="889"/>
    </row>
    <row r="1796" spans="1:126" s="74" customFormat="1">
      <c r="A1796" s="15"/>
      <c r="B1796" s="15"/>
      <c r="C1796" s="15"/>
      <c r="D1796" s="15"/>
      <c r="E1796" s="6"/>
      <c r="F1796" s="6"/>
      <c r="G1796" s="6"/>
      <c r="K1796" s="222"/>
      <c r="V1796" s="1430"/>
      <c r="AA1796" s="223"/>
      <c r="AC1796" s="889"/>
      <c r="AF1796" s="890"/>
      <c r="AJ1796" s="889"/>
      <c r="AN1796" s="222"/>
      <c r="BC1796" s="223"/>
      <c r="BD1796" s="222"/>
      <c r="BH1796" s="611"/>
      <c r="BJ1796" s="15"/>
      <c r="BK1796" s="15"/>
      <c r="BO1796" s="223"/>
      <c r="BQ1796" s="889"/>
      <c r="BT1796" s="890"/>
      <c r="BX1796" s="889"/>
      <c r="CB1796" s="15"/>
      <c r="CC1796" s="697"/>
      <c r="CD1796" s="1086"/>
      <c r="CE1796" s="15"/>
      <c r="CF1796" s="15"/>
      <c r="CG1796" s="936"/>
      <c r="CH1796" s="15"/>
      <c r="CI1796" s="15"/>
      <c r="CJ1796" s="15"/>
      <c r="CK1796" s="1107"/>
      <c r="CL1796" s="22"/>
      <c r="CM1796" s="22"/>
      <c r="CN1796" s="1107"/>
      <c r="CR1796" s="223"/>
      <c r="CS1796" s="952"/>
      <c r="CT1796" s="1066"/>
      <c r="CU1796" s="972"/>
      <c r="CV1796" s="983"/>
      <c r="CW1796" s="222"/>
      <c r="CX1796" s="697"/>
      <c r="DC1796" s="222"/>
      <c r="DJ1796" s="889"/>
      <c r="DM1796" s="890"/>
      <c r="DN1796" s="952"/>
      <c r="DO1796" s="75"/>
      <c r="DP1796" s="962"/>
      <c r="DQ1796" s="983"/>
      <c r="DV1796" s="889"/>
    </row>
    <row r="1797" spans="1:126" s="74" customFormat="1">
      <c r="A1797" s="15"/>
      <c r="B1797" s="15"/>
      <c r="C1797" s="15"/>
      <c r="D1797" s="15"/>
      <c r="E1797" s="6"/>
      <c r="F1797" s="6"/>
      <c r="G1797" s="6"/>
      <c r="K1797" s="222"/>
      <c r="V1797" s="1430"/>
      <c r="AA1797" s="223"/>
      <c r="AC1797" s="889"/>
      <c r="AF1797" s="890"/>
      <c r="AJ1797" s="889"/>
      <c r="AN1797" s="222"/>
      <c r="BC1797" s="223"/>
      <c r="BD1797" s="222"/>
      <c r="BH1797" s="611"/>
      <c r="BJ1797" s="15"/>
      <c r="BK1797" s="15"/>
      <c r="BO1797" s="223"/>
      <c r="BQ1797" s="889"/>
      <c r="BT1797" s="890"/>
      <c r="BX1797" s="889"/>
      <c r="CB1797" s="15"/>
      <c r="CC1797" s="697"/>
      <c r="CD1797" s="1086"/>
      <c r="CE1797" s="15"/>
      <c r="CF1797" s="15"/>
      <c r="CG1797" s="936"/>
      <c r="CH1797" s="15"/>
      <c r="CI1797" s="15"/>
      <c r="CJ1797" s="15"/>
      <c r="CK1797" s="1107"/>
      <c r="CL1797" s="22"/>
      <c r="CM1797" s="22"/>
      <c r="CN1797" s="1107"/>
      <c r="CR1797" s="223"/>
      <c r="CS1797" s="952"/>
      <c r="CT1797" s="1066"/>
      <c r="CU1797" s="972"/>
      <c r="CV1797" s="983"/>
      <c r="CW1797" s="222"/>
      <c r="CX1797" s="697"/>
      <c r="DC1797" s="222"/>
      <c r="DJ1797" s="889"/>
      <c r="DM1797" s="890"/>
      <c r="DN1797" s="952"/>
      <c r="DO1797" s="75"/>
      <c r="DP1797" s="962"/>
      <c r="DQ1797" s="983"/>
      <c r="DV1797" s="889"/>
    </row>
    <row r="1798" spans="1:126" s="74" customFormat="1">
      <c r="A1798" s="15"/>
      <c r="B1798" s="15"/>
      <c r="C1798" s="15"/>
      <c r="D1798" s="15"/>
      <c r="E1798" s="6"/>
      <c r="F1798" s="6"/>
      <c r="G1798" s="6"/>
      <c r="K1798" s="222"/>
      <c r="V1798" s="1430"/>
      <c r="AA1798" s="223"/>
      <c r="AC1798" s="889"/>
      <c r="AF1798" s="890"/>
      <c r="AJ1798" s="889"/>
      <c r="AN1798" s="222"/>
      <c r="BC1798" s="223"/>
      <c r="BD1798" s="222"/>
      <c r="BH1798" s="611"/>
      <c r="BJ1798" s="15"/>
      <c r="BK1798" s="15"/>
      <c r="BO1798" s="223"/>
      <c r="BQ1798" s="889"/>
      <c r="BT1798" s="890"/>
      <c r="BX1798" s="889"/>
      <c r="CB1798" s="15"/>
      <c r="CC1798" s="697"/>
      <c r="CD1798" s="1086"/>
      <c r="CE1798" s="15"/>
      <c r="CF1798" s="15"/>
      <c r="CG1798" s="936"/>
      <c r="CH1798" s="15"/>
      <c r="CI1798" s="15"/>
      <c r="CJ1798" s="15"/>
      <c r="CK1798" s="1107"/>
      <c r="CL1798" s="22"/>
      <c r="CM1798" s="22"/>
      <c r="CN1798" s="1107"/>
      <c r="CR1798" s="223"/>
      <c r="CS1798" s="952"/>
      <c r="CT1798" s="1066"/>
      <c r="CU1798" s="972"/>
      <c r="CV1798" s="983"/>
      <c r="CW1798" s="222"/>
      <c r="CX1798" s="697"/>
      <c r="DC1798" s="222"/>
      <c r="DJ1798" s="889"/>
      <c r="DM1798" s="890"/>
      <c r="DN1798" s="952"/>
      <c r="DO1798" s="75"/>
      <c r="DP1798" s="962"/>
      <c r="DQ1798" s="983"/>
      <c r="DV1798" s="889"/>
    </row>
    <row r="1799" spans="1:126" s="74" customFormat="1">
      <c r="A1799" s="15"/>
      <c r="B1799" s="15"/>
      <c r="C1799" s="15"/>
      <c r="D1799" s="15"/>
      <c r="E1799" s="6"/>
      <c r="F1799" s="6"/>
      <c r="G1799" s="6"/>
      <c r="K1799" s="222"/>
      <c r="V1799" s="1430"/>
      <c r="AA1799" s="223"/>
      <c r="AC1799" s="889"/>
      <c r="AF1799" s="890"/>
      <c r="AJ1799" s="889"/>
      <c r="AN1799" s="222"/>
      <c r="BC1799" s="223"/>
      <c r="BD1799" s="222"/>
      <c r="BH1799" s="611"/>
      <c r="BJ1799" s="15"/>
      <c r="BK1799" s="15"/>
      <c r="BO1799" s="223"/>
      <c r="BQ1799" s="889"/>
      <c r="BT1799" s="890"/>
      <c r="BX1799" s="889"/>
      <c r="CB1799" s="15"/>
      <c r="CC1799" s="697"/>
      <c r="CD1799" s="1086"/>
      <c r="CE1799" s="15"/>
      <c r="CF1799" s="15"/>
      <c r="CG1799" s="936"/>
      <c r="CH1799" s="15"/>
      <c r="CI1799" s="15"/>
      <c r="CJ1799" s="15"/>
      <c r="CK1799" s="1107"/>
      <c r="CL1799" s="22"/>
      <c r="CM1799" s="22"/>
      <c r="CN1799" s="1107"/>
      <c r="CR1799" s="223"/>
      <c r="CS1799" s="952"/>
      <c r="CT1799" s="1066"/>
      <c r="CU1799" s="972"/>
      <c r="CV1799" s="983"/>
      <c r="CW1799" s="222"/>
      <c r="CX1799" s="697"/>
      <c r="DC1799" s="222"/>
      <c r="DJ1799" s="889"/>
      <c r="DM1799" s="890"/>
      <c r="DN1799" s="952"/>
      <c r="DO1799" s="75"/>
      <c r="DP1799" s="962"/>
      <c r="DQ1799" s="983"/>
      <c r="DV1799" s="889"/>
    </row>
    <row r="1800" spans="1:126" s="74" customFormat="1">
      <c r="A1800" s="15"/>
      <c r="B1800" s="15"/>
      <c r="C1800" s="15"/>
      <c r="D1800" s="15"/>
      <c r="E1800" s="6"/>
      <c r="F1800" s="6"/>
      <c r="G1800" s="6"/>
      <c r="K1800" s="222"/>
      <c r="V1800" s="1430"/>
      <c r="AA1800" s="223"/>
      <c r="AC1800" s="889"/>
      <c r="AF1800" s="890"/>
      <c r="AJ1800" s="889"/>
      <c r="AN1800" s="222"/>
      <c r="BC1800" s="223"/>
      <c r="BD1800" s="222"/>
      <c r="BH1800" s="611"/>
      <c r="BJ1800" s="15"/>
      <c r="BK1800" s="15"/>
      <c r="BO1800" s="223"/>
      <c r="BQ1800" s="889"/>
      <c r="BT1800" s="890"/>
      <c r="BX1800" s="889"/>
      <c r="CB1800" s="15"/>
      <c r="CC1800" s="697"/>
      <c r="CD1800" s="1086"/>
      <c r="CE1800" s="15"/>
      <c r="CF1800" s="15"/>
      <c r="CG1800" s="936"/>
      <c r="CH1800" s="15"/>
      <c r="CI1800" s="15"/>
      <c r="CJ1800" s="15"/>
      <c r="CK1800" s="1107"/>
      <c r="CL1800" s="22"/>
      <c r="CM1800" s="22"/>
      <c r="CN1800" s="1107"/>
      <c r="CR1800" s="223"/>
      <c r="CS1800" s="952"/>
      <c r="CT1800" s="1066"/>
      <c r="CU1800" s="972"/>
      <c r="CV1800" s="983"/>
      <c r="CW1800" s="222"/>
      <c r="CX1800" s="697"/>
      <c r="DC1800" s="222"/>
      <c r="DJ1800" s="889"/>
      <c r="DM1800" s="890"/>
      <c r="DN1800" s="952"/>
      <c r="DO1800" s="75"/>
      <c r="DP1800" s="962"/>
      <c r="DQ1800" s="983"/>
      <c r="DV1800" s="889"/>
    </row>
    <row r="1801" spans="1:126" s="74" customFormat="1">
      <c r="A1801" s="15"/>
      <c r="B1801" s="15"/>
      <c r="C1801" s="15"/>
      <c r="D1801" s="15"/>
      <c r="E1801" s="6"/>
      <c r="F1801" s="6"/>
      <c r="G1801" s="6"/>
      <c r="K1801" s="222"/>
      <c r="V1801" s="1430"/>
      <c r="AA1801" s="223"/>
      <c r="AC1801" s="889"/>
      <c r="AF1801" s="890"/>
      <c r="AJ1801" s="889"/>
      <c r="AN1801" s="222"/>
      <c r="BC1801" s="223"/>
      <c r="BD1801" s="222"/>
      <c r="BH1801" s="611"/>
      <c r="BJ1801" s="15"/>
      <c r="BK1801" s="15"/>
      <c r="BO1801" s="223"/>
      <c r="BQ1801" s="889"/>
      <c r="BT1801" s="890"/>
      <c r="BX1801" s="889"/>
      <c r="CB1801" s="15"/>
      <c r="CC1801" s="697"/>
      <c r="CD1801" s="1086"/>
      <c r="CE1801" s="15"/>
      <c r="CF1801" s="15"/>
      <c r="CG1801" s="936"/>
      <c r="CH1801" s="15"/>
      <c r="CI1801" s="15"/>
      <c r="CJ1801" s="15"/>
      <c r="CK1801" s="1107"/>
      <c r="CL1801" s="22"/>
      <c r="CM1801" s="22"/>
      <c r="CN1801" s="1107"/>
      <c r="CR1801" s="223"/>
      <c r="CS1801" s="952"/>
      <c r="CT1801" s="1066"/>
      <c r="CU1801" s="972"/>
      <c r="CV1801" s="983"/>
      <c r="CW1801" s="222"/>
      <c r="CX1801" s="697"/>
      <c r="DC1801" s="222"/>
      <c r="DJ1801" s="889"/>
      <c r="DM1801" s="890"/>
      <c r="DN1801" s="952"/>
      <c r="DO1801" s="75"/>
      <c r="DP1801" s="962"/>
      <c r="DQ1801" s="983"/>
      <c r="DV1801" s="889"/>
    </row>
    <row r="1802" spans="1:126" s="74" customFormat="1">
      <c r="A1802" s="15"/>
      <c r="B1802" s="15"/>
      <c r="C1802" s="15"/>
      <c r="D1802" s="15"/>
      <c r="E1802" s="6"/>
      <c r="F1802" s="6"/>
      <c r="G1802" s="6"/>
      <c r="K1802" s="222"/>
      <c r="V1802" s="1430"/>
      <c r="AA1802" s="223"/>
      <c r="AC1802" s="889"/>
      <c r="AF1802" s="890"/>
      <c r="AJ1802" s="889"/>
      <c r="AN1802" s="222"/>
      <c r="BC1802" s="223"/>
      <c r="BD1802" s="222"/>
      <c r="BH1802" s="611"/>
      <c r="BJ1802" s="15"/>
      <c r="BK1802" s="15"/>
      <c r="BO1802" s="223"/>
      <c r="BQ1802" s="889"/>
      <c r="BT1802" s="890"/>
      <c r="BX1802" s="889"/>
      <c r="CB1802" s="15"/>
      <c r="CC1802" s="697"/>
      <c r="CD1802" s="1086"/>
      <c r="CE1802" s="15"/>
      <c r="CF1802" s="15"/>
      <c r="CG1802" s="936"/>
      <c r="CH1802" s="15"/>
      <c r="CI1802" s="15"/>
      <c r="CJ1802" s="15"/>
      <c r="CK1802" s="1107"/>
      <c r="CL1802" s="22"/>
      <c r="CM1802" s="22"/>
      <c r="CN1802" s="1107"/>
      <c r="CR1802" s="223"/>
      <c r="CS1802" s="952"/>
      <c r="CT1802" s="1066"/>
      <c r="CU1802" s="972"/>
      <c r="CV1802" s="983"/>
      <c r="CW1802" s="222"/>
      <c r="CX1802" s="697"/>
      <c r="DC1802" s="222"/>
      <c r="DJ1802" s="889"/>
      <c r="DM1802" s="890"/>
      <c r="DN1802" s="952"/>
      <c r="DO1802" s="75"/>
      <c r="DP1802" s="962"/>
      <c r="DQ1802" s="983"/>
      <c r="DV1802" s="889"/>
    </row>
    <row r="1803" spans="1:126" s="74" customFormat="1">
      <c r="A1803" s="15"/>
      <c r="B1803" s="15"/>
      <c r="C1803" s="15"/>
      <c r="D1803" s="15"/>
      <c r="E1803" s="6"/>
      <c r="F1803" s="6"/>
      <c r="G1803" s="6"/>
      <c r="K1803" s="222"/>
      <c r="V1803" s="1430"/>
      <c r="AA1803" s="223"/>
      <c r="AC1803" s="889"/>
      <c r="AF1803" s="890"/>
      <c r="AJ1803" s="889"/>
      <c r="AN1803" s="222"/>
      <c r="BC1803" s="223"/>
      <c r="BD1803" s="222"/>
      <c r="BH1803" s="611"/>
      <c r="BJ1803" s="15"/>
      <c r="BK1803" s="15"/>
      <c r="BO1803" s="223"/>
      <c r="BQ1803" s="889"/>
      <c r="BT1803" s="890"/>
      <c r="BX1803" s="889"/>
      <c r="CB1803" s="15"/>
      <c r="CC1803" s="697"/>
      <c r="CD1803" s="1086"/>
      <c r="CE1803" s="15"/>
      <c r="CF1803" s="15"/>
      <c r="CG1803" s="936"/>
      <c r="CH1803" s="15"/>
      <c r="CI1803" s="15"/>
      <c r="CJ1803" s="15"/>
      <c r="CK1803" s="1107"/>
      <c r="CL1803" s="22"/>
      <c r="CM1803" s="22"/>
      <c r="CN1803" s="1107"/>
      <c r="CR1803" s="223"/>
      <c r="CS1803" s="952"/>
      <c r="CT1803" s="1066"/>
      <c r="CU1803" s="972"/>
      <c r="CV1803" s="983"/>
      <c r="CW1803" s="222"/>
      <c r="CX1803" s="697"/>
      <c r="DC1803" s="222"/>
      <c r="DJ1803" s="889"/>
      <c r="DM1803" s="890"/>
      <c r="DN1803" s="952"/>
      <c r="DO1803" s="75"/>
      <c r="DP1803" s="962"/>
      <c r="DQ1803" s="983"/>
      <c r="DV1803" s="889"/>
    </row>
    <row r="1804" spans="1:126" s="74" customFormat="1">
      <c r="A1804" s="15"/>
      <c r="B1804" s="15"/>
      <c r="C1804" s="15"/>
      <c r="D1804" s="15"/>
      <c r="E1804" s="6"/>
      <c r="F1804" s="6"/>
      <c r="G1804" s="6"/>
      <c r="K1804" s="222"/>
      <c r="V1804" s="1430"/>
      <c r="AA1804" s="223"/>
      <c r="AC1804" s="889"/>
      <c r="AF1804" s="890"/>
      <c r="AJ1804" s="889"/>
      <c r="AN1804" s="222"/>
      <c r="BC1804" s="223"/>
      <c r="BD1804" s="222"/>
      <c r="BH1804" s="611"/>
      <c r="BJ1804" s="15"/>
      <c r="BK1804" s="15"/>
      <c r="BO1804" s="223"/>
      <c r="BQ1804" s="889"/>
      <c r="BT1804" s="890"/>
      <c r="BX1804" s="889"/>
      <c r="CB1804" s="15"/>
      <c r="CC1804" s="697"/>
      <c r="CD1804" s="1086"/>
      <c r="CE1804" s="15"/>
      <c r="CF1804" s="15"/>
      <c r="CG1804" s="936"/>
      <c r="CH1804" s="15"/>
      <c r="CI1804" s="15"/>
      <c r="CJ1804" s="15"/>
      <c r="CK1804" s="1107"/>
      <c r="CL1804" s="22"/>
      <c r="CM1804" s="22"/>
      <c r="CN1804" s="1107"/>
      <c r="CR1804" s="223"/>
      <c r="CS1804" s="952"/>
      <c r="CT1804" s="1066"/>
      <c r="CU1804" s="972"/>
      <c r="CV1804" s="983"/>
      <c r="CW1804" s="222"/>
      <c r="CX1804" s="697"/>
      <c r="DC1804" s="222"/>
      <c r="DJ1804" s="889"/>
      <c r="DM1804" s="890"/>
      <c r="DN1804" s="952"/>
      <c r="DO1804" s="75"/>
      <c r="DP1804" s="962"/>
      <c r="DQ1804" s="983"/>
      <c r="DV1804" s="889"/>
    </row>
    <row r="1805" spans="1:126" s="74" customFormat="1">
      <c r="A1805" s="15"/>
      <c r="B1805" s="15"/>
      <c r="C1805" s="15"/>
      <c r="D1805" s="15"/>
      <c r="E1805" s="6"/>
      <c r="F1805" s="6"/>
      <c r="G1805" s="6"/>
      <c r="K1805" s="222"/>
      <c r="V1805" s="1430"/>
      <c r="AA1805" s="223"/>
      <c r="AC1805" s="889"/>
      <c r="AF1805" s="890"/>
      <c r="AJ1805" s="889"/>
      <c r="AN1805" s="222"/>
      <c r="BC1805" s="223"/>
      <c r="BD1805" s="222"/>
      <c r="BH1805" s="611"/>
      <c r="BJ1805" s="15"/>
      <c r="BK1805" s="15"/>
      <c r="BO1805" s="223"/>
      <c r="BQ1805" s="889"/>
      <c r="BT1805" s="890"/>
      <c r="BX1805" s="889"/>
      <c r="CB1805" s="15"/>
      <c r="CC1805" s="697"/>
      <c r="CD1805" s="1086"/>
      <c r="CE1805" s="15"/>
      <c r="CF1805" s="15"/>
      <c r="CG1805" s="936"/>
      <c r="CH1805" s="15"/>
      <c r="CI1805" s="15"/>
      <c r="CJ1805" s="15"/>
      <c r="CK1805" s="1107"/>
      <c r="CL1805" s="22"/>
      <c r="CM1805" s="22"/>
      <c r="CN1805" s="1107"/>
      <c r="CR1805" s="223"/>
      <c r="CS1805" s="952"/>
      <c r="CT1805" s="1066"/>
      <c r="CU1805" s="972"/>
      <c r="CV1805" s="983"/>
      <c r="CW1805" s="222"/>
      <c r="CX1805" s="697"/>
      <c r="DC1805" s="222"/>
      <c r="DJ1805" s="889"/>
      <c r="DM1805" s="890"/>
      <c r="DN1805" s="952"/>
      <c r="DO1805" s="75"/>
      <c r="DP1805" s="962"/>
      <c r="DQ1805" s="983"/>
      <c r="DV1805" s="889"/>
    </row>
    <row r="1806" spans="1:126" s="74" customFormat="1">
      <c r="A1806" s="15"/>
      <c r="B1806" s="15"/>
      <c r="C1806" s="15"/>
      <c r="D1806" s="15"/>
      <c r="E1806" s="6"/>
      <c r="F1806" s="6"/>
      <c r="G1806" s="6"/>
      <c r="K1806" s="222"/>
      <c r="V1806" s="1430"/>
      <c r="AA1806" s="223"/>
      <c r="AC1806" s="889"/>
      <c r="AF1806" s="890"/>
      <c r="AJ1806" s="889"/>
      <c r="AN1806" s="222"/>
      <c r="BC1806" s="223"/>
      <c r="BD1806" s="222"/>
      <c r="BH1806" s="611"/>
      <c r="BJ1806" s="15"/>
      <c r="BK1806" s="15"/>
      <c r="BO1806" s="223"/>
      <c r="BQ1806" s="889"/>
      <c r="BT1806" s="890"/>
      <c r="BX1806" s="889"/>
      <c r="CB1806" s="15"/>
      <c r="CC1806" s="697"/>
      <c r="CD1806" s="1086"/>
      <c r="CE1806" s="15"/>
      <c r="CF1806" s="15"/>
      <c r="CG1806" s="936"/>
      <c r="CH1806" s="15"/>
      <c r="CI1806" s="15"/>
      <c r="CJ1806" s="15"/>
      <c r="CK1806" s="1107"/>
      <c r="CL1806" s="22"/>
      <c r="CM1806" s="22"/>
      <c r="CN1806" s="1107"/>
      <c r="CR1806" s="223"/>
      <c r="CS1806" s="952"/>
      <c r="CT1806" s="1066"/>
      <c r="CU1806" s="972"/>
      <c r="CV1806" s="983"/>
      <c r="CW1806" s="222"/>
      <c r="CX1806" s="697"/>
      <c r="DC1806" s="222"/>
      <c r="DJ1806" s="889"/>
      <c r="DM1806" s="890"/>
      <c r="DN1806" s="952"/>
      <c r="DO1806" s="75"/>
      <c r="DP1806" s="962"/>
      <c r="DQ1806" s="983"/>
      <c r="DV1806" s="889"/>
    </row>
    <row r="1807" spans="1:126" s="74" customFormat="1">
      <c r="A1807" s="15"/>
      <c r="B1807" s="15"/>
      <c r="C1807" s="15"/>
      <c r="D1807" s="15"/>
      <c r="E1807" s="6"/>
      <c r="F1807" s="6"/>
      <c r="G1807" s="6"/>
      <c r="K1807" s="222"/>
      <c r="V1807" s="1430"/>
      <c r="AA1807" s="223"/>
      <c r="AC1807" s="889"/>
      <c r="AF1807" s="890"/>
      <c r="AJ1807" s="889"/>
      <c r="AN1807" s="222"/>
      <c r="BC1807" s="223"/>
      <c r="BD1807" s="222"/>
      <c r="BH1807" s="611"/>
      <c r="BJ1807" s="15"/>
      <c r="BK1807" s="15"/>
      <c r="BO1807" s="223"/>
      <c r="BQ1807" s="889"/>
      <c r="BT1807" s="890"/>
      <c r="BX1807" s="889"/>
      <c r="CB1807" s="15"/>
      <c r="CC1807" s="697"/>
      <c r="CD1807" s="1086"/>
      <c r="CE1807" s="15"/>
      <c r="CF1807" s="15"/>
      <c r="CG1807" s="936"/>
      <c r="CH1807" s="15"/>
      <c r="CI1807" s="15"/>
      <c r="CJ1807" s="15"/>
      <c r="CK1807" s="1107"/>
      <c r="CL1807" s="22"/>
      <c r="CM1807" s="22"/>
      <c r="CN1807" s="1107"/>
      <c r="CR1807" s="223"/>
      <c r="CS1807" s="952"/>
      <c r="CT1807" s="1066"/>
      <c r="CU1807" s="972"/>
      <c r="CV1807" s="983"/>
      <c r="CW1807" s="222"/>
      <c r="CX1807" s="697"/>
      <c r="DC1807" s="222"/>
      <c r="DJ1807" s="889"/>
      <c r="DM1807" s="890"/>
      <c r="DN1807" s="952"/>
      <c r="DO1807" s="75"/>
      <c r="DP1807" s="962"/>
      <c r="DQ1807" s="983"/>
      <c r="DV1807" s="889"/>
    </row>
    <row r="1808" spans="1:126" s="74" customFormat="1">
      <c r="A1808" s="15"/>
      <c r="B1808" s="15"/>
      <c r="C1808" s="15"/>
      <c r="D1808" s="15"/>
      <c r="E1808" s="6"/>
      <c r="F1808" s="6"/>
      <c r="G1808" s="6"/>
      <c r="K1808" s="222"/>
      <c r="V1808" s="1430"/>
      <c r="AA1808" s="223"/>
      <c r="AC1808" s="889"/>
      <c r="AF1808" s="890"/>
      <c r="AJ1808" s="889"/>
      <c r="AN1808" s="222"/>
      <c r="BC1808" s="223"/>
      <c r="BD1808" s="222"/>
      <c r="BH1808" s="611"/>
      <c r="BJ1808" s="15"/>
      <c r="BK1808" s="15"/>
      <c r="BO1808" s="223"/>
      <c r="BQ1808" s="889"/>
      <c r="BT1808" s="890"/>
      <c r="BX1808" s="889"/>
      <c r="CB1808" s="15"/>
      <c r="CC1808" s="697"/>
      <c r="CD1808" s="1086"/>
      <c r="CE1808" s="15"/>
      <c r="CF1808" s="15"/>
      <c r="CG1808" s="936"/>
      <c r="CH1808" s="15"/>
      <c r="CI1808" s="15"/>
      <c r="CJ1808" s="15"/>
      <c r="CK1808" s="1107"/>
      <c r="CL1808" s="22"/>
      <c r="CM1808" s="22"/>
      <c r="CN1808" s="1107"/>
      <c r="CR1808" s="223"/>
      <c r="CS1808" s="952"/>
      <c r="CT1808" s="1066"/>
      <c r="CU1808" s="972"/>
      <c r="CV1808" s="983"/>
      <c r="CW1808" s="222"/>
      <c r="CX1808" s="697"/>
      <c r="DC1808" s="222"/>
      <c r="DJ1808" s="889"/>
      <c r="DM1808" s="890"/>
      <c r="DN1808" s="952"/>
      <c r="DO1808" s="75"/>
      <c r="DP1808" s="962"/>
      <c r="DQ1808" s="983"/>
      <c r="DV1808" s="889"/>
    </row>
    <row r="1809" spans="1:126" s="74" customFormat="1">
      <c r="A1809" s="15"/>
      <c r="B1809" s="15"/>
      <c r="C1809" s="15"/>
      <c r="D1809" s="15"/>
      <c r="E1809" s="6"/>
      <c r="F1809" s="6"/>
      <c r="G1809" s="6"/>
      <c r="K1809" s="222"/>
      <c r="V1809" s="1430"/>
      <c r="AA1809" s="223"/>
      <c r="AC1809" s="889"/>
      <c r="AF1809" s="890"/>
      <c r="AJ1809" s="889"/>
      <c r="AN1809" s="222"/>
      <c r="BC1809" s="223"/>
      <c r="BD1809" s="222"/>
      <c r="BH1809" s="611"/>
      <c r="BJ1809" s="15"/>
      <c r="BK1809" s="15"/>
      <c r="BO1809" s="223"/>
      <c r="BQ1809" s="889"/>
      <c r="BT1809" s="890"/>
      <c r="BX1809" s="889"/>
      <c r="CB1809" s="15"/>
      <c r="CC1809" s="697"/>
      <c r="CD1809" s="1086"/>
      <c r="CE1809" s="15"/>
      <c r="CF1809" s="15"/>
      <c r="CG1809" s="936"/>
      <c r="CH1809" s="15"/>
      <c r="CI1809" s="15"/>
      <c r="CJ1809" s="15"/>
      <c r="CK1809" s="1107"/>
      <c r="CL1809" s="22"/>
      <c r="CM1809" s="22"/>
      <c r="CN1809" s="1107"/>
      <c r="CR1809" s="223"/>
      <c r="CS1809" s="952"/>
      <c r="CT1809" s="1066"/>
      <c r="CU1809" s="972"/>
      <c r="CV1809" s="983"/>
      <c r="CW1809" s="222"/>
      <c r="CX1809" s="697"/>
      <c r="DC1809" s="222"/>
      <c r="DJ1809" s="889"/>
      <c r="DM1809" s="890"/>
      <c r="DN1809" s="952"/>
      <c r="DO1809" s="75"/>
      <c r="DP1809" s="962"/>
      <c r="DQ1809" s="983"/>
      <c r="DV1809" s="889"/>
    </row>
    <row r="1810" spans="1:126" s="74" customFormat="1">
      <c r="A1810" s="15"/>
      <c r="B1810" s="15"/>
      <c r="C1810" s="15"/>
      <c r="D1810" s="15"/>
      <c r="E1810" s="6"/>
      <c r="F1810" s="6"/>
      <c r="G1810" s="6"/>
      <c r="K1810" s="222"/>
      <c r="V1810" s="1430"/>
      <c r="AA1810" s="223"/>
      <c r="AC1810" s="889"/>
      <c r="AF1810" s="890"/>
      <c r="AJ1810" s="889"/>
      <c r="AN1810" s="222"/>
      <c r="BC1810" s="223"/>
      <c r="BD1810" s="222"/>
      <c r="BH1810" s="611"/>
      <c r="BJ1810" s="15"/>
      <c r="BK1810" s="15"/>
      <c r="BO1810" s="223"/>
      <c r="BQ1810" s="889"/>
      <c r="BT1810" s="890"/>
      <c r="BX1810" s="889"/>
      <c r="CB1810" s="15"/>
      <c r="CC1810" s="697"/>
      <c r="CD1810" s="1086"/>
      <c r="CE1810" s="15"/>
      <c r="CF1810" s="15"/>
      <c r="CG1810" s="936"/>
      <c r="CH1810" s="15"/>
      <c r="CI1810" s="15"/>
      <c r="CJ1810" s="15"/>
      <c r="CK1810" s="1107"/>
      <c r="CL1810" s="22"/>
      <c r="CM1810" s="22"/>
      <c r="CN1810" s="1107"/>
      <c r="CR1810" s="223"/>
      <c r="CS1810" s="952"/>
      <c r="CT1810" s="1066"/>
      <c r="CU1810" s="972"/>
      <c r="CV1810" s="983"/>
      <c r="CW1810" s="222"/>
      <c r="CX1810" s="697"/>
      <c r="DC1810" s="222"/>
      <c r="DJ1810" s="889"/>
      <c r="DM1810" s="890"/>
      <c r="DN1810" s="952"/>
      <c r="DO1810" s="75"/>
      <c r="DP1810" s="962"/>
      <c r="DQ1810" s="983"/>
      <c r="DV1810" s="889"/>
    </row>
    <row r="1811" spans="1:126" s="74" customFormat="1">
      <c r="A1811" s="15"/>
      <c r="B1811" s="15"/>
      <c r="C1811" s="15"/>
      <c r="D1811" s="15"/>
      <c r="E1811" s="6"/>
      <c r="F1811" s="6"/>
      <c r="G1811" s="6"/>
      <c r="K1811" s="222"/>
      <c r="V1811" s="1430"/>
      <c r="AA1811" s="223"/>
      <c r="AC1811" s="889"/>
      <c r="AF1811" s="890"/>
      <c r="AJ1811" s="889"/>
      <c r="AN1811" s="222"/>
      <c r="BC1811" s="223"/>
      <c r="BD1811" s="222"/>
      <c r="BH1811" s="611"/>
      <c r="BJ1811" s="15"/>
      <c r="BK1811" s="15"/>
      <c r="BO1811" s="223"/>
      <c r="BQ1811" s="889"/>
      <c r="BT1811" s="890"/>
      <c r="BX1811" s="889"/>
      <c r="CB1811" s="15"/>
      <c r="CC1811" s="697"/>
      <c r="CD1811" s="1086"/>
      <c r="CE1811" s="15"/>
      <c r="CF1811" s="15"/>
      <c r="CG1811" s="936"/>
      <c r="CH1811" s="15"/>
      <c r="CI1811" s="15"/>
      <c r="CJ1811" s="15"/>
      <c r="CK1811" s="1107"/>
      <c r="CL1811" s="22"/>
      <c r="CM1811" s="22"/>
      <c r="CN1811" s="1107"/>
      <c r="CR1811" s="223"/>
      <c r="CS1811" s="952"/>
      <c r="CT1811" s="1066"/>
      <c r="CU1811" s="972"/>
      <c r="CV1811" s="983"/>
      <c r="CW1811" s="222"/>
      <c r="CX1811" s="697"/>
      <c r="DC1811" s="222"/>
      <c r="DJ1811" s="889"/>
      <c r="DM1811" s="890"/>
      <c r="DN1811" s="952"/>
      <c r="DO1811" s="75"/>
      <c r="DP1811" s="962"/>
      <c r="DQ1811" s="983"/>
      <c r="DV1811" s="889"/>
    </row>
    <row r="1812" spans="1:126" s="74" customFormat="1">
      <c r="A1812" s="15"/>
      <c r="B1812" s="15"/>
      <c r="C1812" s="15"/>
      <c r="D1812" s="15"/>
      <c r="E1812" s="6"/>
      <c r="F1812" s="6"/>
      <c r="G1812" s="6"/>
      <c r="K1812" s="222"/>
      <c r="V1812" s="1430"/>
      <c r="AA1812" s="223"/>
      <c r="AC1812" s="889"/>
      <c r="AF1812" s="890"/>
      <c r="AJ1812" s="889"/>
      <c r="AN1812" s="222"/>
      <c r="BC1812" s="223"/>
      <c r="BD1812" s="222"/>
      <c r="BH1812" s="611"/>
      <c r="BJ1812" s="15"/>
      <c r="BK1812" s="15"/>
      <c r="BO1812" s="223"/>
      <c r="BQ1812" s="889"/>
      <c r="BT1812" s="890"/>
      <c r="BX1812" s="889"/>
      <c r="CB1812" s="15"/>
      <c r="CC1812" s="697"/>
      <c r="CD1812" s="1086"/>
      <c r="CE1812" s="15"/>
      <c r="CF1812" s="15"/>
      <c r="CG1812" s="936"/>
      <c r="CH1812" s="15"/>
      <c r="CI1812" s="15"/>
      <c r="CJ1812" s="15"/>
      <c r="CK1812" s="1107"/>
      <c r="CL1812" s="22"/>
      <c r="CM1812" s="22"/>
      <c r="CN1812" s="1107"/>
      <c r="CR1812" s="223"/>
      <c r="CS1812" s="952"/>
      <c r="CT1812" s="1066"/>
      <c r="CU1812" s="972"/>
      <c r="CV1812" s="983"/>
      <c r="CW1812" s="222"/>
      <c r="CX1812" s="697"/>
      <c r="DC1812" s="222"/>
      <c r="DJ1812" s="889"/>
      <c r="DM1812" s="890"/>
      <c r="DN1812" s="952"/>
      <c r="DO1812" s="75"/>
      <c r="DP1812" s="962"/>
      <c r="DQ1812" s="983"/>
      <c r="DV1812" s="889"/>
    </row>
    <row r="1813" spans="1:126" s="74" customFormat="1">
      <c r="A1813" s="15"/>
      <c r="B1813" s="15"/>
      <c r="C1813" s="15"/>
      <c r="D1813" s="15"/>
      <c r="E1813" s="6"/>
      <c r="F1813" s="6"/>
      <c r="G1813" s="6"/>
      <c r="K1813" s="222"/>
      <c r="V1813" s="1430"/>
      <c r="AA1813" s="223"/>
      <c r="AC1813" s="889"/>
      <c r="AF1813" s="890"/>
      <c r="AJ1813" s="889"/>
      <c r="AN1813" s="222"/>
      <c r="BC1813" s="223"/>
      <c r="BD1813" s="222"/>
      <c r="BH1813" s="611"/>
      <c r="BJ1813" s="15"/>
      <c r="BK1813" s="15"/>
      <c r="BO1813" s="223"/>
      <c r="BQ1813" s="889"/>
      <c r="BT1813" s="890"/>
      <c r="BX1813" s="889"/>
      <c r="CB1813" s="15"/>
      <c r="CC1813" s="697"/>
      <c r="CD1813" s="1086"/>
      <c r="CE1813" s="15"/>
      <c r="CF1813" s="15"/>
      <c r="CG1813" s="936"/>
      <c r="CH1813" s="15"/>
      <c r="CI1813" s="15"/>
      <c r="CJ1813" s="15"/>
      <c r="CK1813" s="1107"/>
      <c r="CL1813" s="22"/>
      <c r="CM1813" s="22"/>
      <c r="CN1813" s="1107"/>
      <c r="CR1813" s="223"/>
      <c r="CS1813" s="952"/>
      <c r="CT1813" s="1066"/>
      <c r="CU1813" s="972"/>
      <c r="CV1813" s="983"/>
      <c r="CW1813" s="222"/>
      <c r="CX1813" s="697"/>
      <c r="DC1813" s="222"/>
      <c r="DJ1813" s="889"/>
      <c r="DM1813" s="890"/>
      <c r="DN1813" s="952"/>
      <c r="DO1813" s="75"/>
      <c r="DP1813" s="962"/>
      <c r="DQ1813" s="983"/>
      <c r="DV1813" s="889"/>
    </row>
    <row r="1814" spans="1:126" s="74" customFormat="1">
      <c r="A1814" s="15"/>
      <c r="B1814" s="15"/>
      <c r="C1814" s="15"/>
      <c r="D1814" s="15"/>
      <c r="E1814" s="6"/>
      <c r="F1814" s="6"/>
      <c r="G1814" s="6"/>
      <c r="K1814" s="222"/>
      <c r="V1814" s="1430"/>
      <c r="AA1814" s="223"/>
      <c r="AC1814" s="889"/>
      <c r="AF1814" s="890"/>
      <c r="AJ1814" s="889"/>
      <c r="AN1814" s="222"/>
      <c r="BC1814" s="223"/>
      <c r="BD1814" s="222"/>
      <c r="BH1814" s="611"/>
      <c r="BJ1814" s="15"/>
      <c r="BK1814" s="15"/>
      <c r="BO1814" s="223"/>
      <c r="BQ1814" s="889"/>
      <c r="BT1814" s="890"/>
      <c r="BX1814" s="889"/>
      <c r="CB1814" s="15"/>
      <c r="CC1814" s="697"/>
      <c r="CD1814" s="1086"/>
      <c r="CE1814" s="15"/>
      <c r="CF1814" s="15"/>
      <c r="CG1814" s="936"/>
      <c r="CH1814" s="15"/>
      <c r="CI1814" s="15"/>
      <c r="CJ1814" s="15"/>
      <c r="CK1814" s="1107"/>
      <c r="CL1814" s="22"/>
      <c r="CM1814" s="22"/>
      <c r="CN1814" s="1107"/>
      <c r="CR1814" s="223"/>
      <c r="CS1814" s="952"/>
      <c r="CT1814" s="1066"/>
      <c r="CU1814" s="972"/>
      <c r="CV1814" s="983"/>
      <c r="CW1814" s="222"/>
      <c r="CX1814" s="697"/>
      <c r="DC1814" s="222"/>
      <c r="DJ1814" s="889"/>
      <c r="DM1814" s="890"/>
      <c r="DN1814" s="952"/>
      <c r="DO1814" s="75"/>
      <c r="DP1814" s="962"/>
      <c r="DQ1814" s="983"/>
      <c r="DV1814" s="889"/>
    </row>
    <row r="1815" spans="1:126" s="74" customFormat="1">
      <c r="A1815" s="15"/>
      <c r="B1815" s="15"/>
      <c r="C1815" s="15"/>
      <c r="D1815" s="15"/>
      <c r="E1815" s="6"/>
      <c r="F1815" s="6"/>
      <c r="G1815" s="6"/>
      <c r="K1815" s="222"/>
      <c r="V1815" s="1430"/>
      <c r="AA1815" s="223"/>
      <c r="AC1815" s="889"/>
      <c r="AF1815" s="890"/>
      <c r="AJ1815" s="889"/>
      <c r="AN1815" s="222"/>
      <c r="BC1815" s="223"/>
      <c r="BD1815" s="222"/>
      <c r="BH1815" s="611"/>
      <c r="BJ1815" s="15"/>
      <c r="BK1815" s="15"/>
      <c r="BO1815" s="223"/>
      <c r="BQ1815" s="889"/>
      <c r="BT1815" s="890"/>
      <c r="BX1815" s="889"/>
      <c r="CB1815" s="15"/>
      <c r="CC1815" s="697"/>
      <c r="CD1815" s="1086"/>
      <c r="CE1815" s="15"/>
      <c r="CF1815" s="15"/>
      <c r="CG1815" s="936"/>
      <c r="CH1815" s="15"/>
      <c r="CI1815" s="15"/>
      <c r="CJ1815" s="15"/>
      <c r="CK1815" s="1107"/>
      <c r="CL1815" s="22"/>
      <c r="CM1815" s="22"/>
      <c r="CN1815" s="1107"/>
      <c r="CR1815" s="223"/>
      <c r="CS1815" s="952"/>
      <c r="CT1815" s="1066"/>
      <c r="CU1815" s="972"/>
      <c r="CV1815" s="983"/>
      <c r="CW1815" s="222"/>
      <c r="CX1815" s="697"/>
      <c r="DC1815" s="222"/>
      <c r="DJ1815" s="889"/>
      <c r="DM1815" s="890"/>
      <c r="DN1815" s="952"/>
      <c r="DO1815" s="75"/>
      <c r="DP1815" s="962"/>
      <c r="DQ1815" s="983"/>
      <c r="DV1815" s="889"/>
    </row>
    <row r="1816" spans="1:126" s="74" customFormat="1">
      <c r="A1816" s="15"/>
      <c r="B1816" s="15"/>
      <c r="C1816" s="15"/>
      <c r="D1816" s="15"/>
      <c r="E1816" s="6"/>
      <c r="F1816" s="6"/>
      <c r="G1816" s="6"/>
      <c r="K1816" s="222"/>
      <c r="V1816" s="1430"/>
      <c r="AA1816" s="223"/>
      <c r="AC1816" s="889"/>
      <c r="AF1816" s="890"/>
      <c r="AJ1816" s="889"/>
      <c r="AN1816" s="222"/>
      <c r="BC1816" s="223"/>
      <c r="BD1816" s="222"/>
      <c r="BH1816" s="611"/>
      <c r="BJ1816" s="15"/>
      <c r="BK1816" s="15"/>
      <c r="BO1816" s="223"/>
      <c r="BQ1816" s="889"/>
      <c r="BT1816" s="890"/>
      <c r="BX1816" s="889"/>
      <c r="CB1816" s="15"/>
      <c r="CC1816" s="697"/>
      <c r="CD1816" s="1086"/>
      <c r="CE1816" s="15"/>
      <c r="CF1816" s="15"/>
      <c r="CG1816" s="936"/>
      <c r="CH1816" s="15"/>
      <c r="CI1816" s="15"/>
      <c r="CJ1816" s="15"/>
      <c r="CK1816" s="1107"/>
      <c r="CL1816" s="22"/>
      <c r="CM1816" s="22"/>
      <c r="CN1816" s="1107"/>
      <c r="CR1816" s="223"/>
      <c r="CS1816" s="952"/>
      <c r="CT1816" s="1066"/>
      <c r="CU1816" s="972"/>
      <c r="CV1816" s="983"/>
      <c r="CW1816" s="222"/>
      <c r="CX1816" s="697"/>
      <c r="DC1816" s="222"/>
      <c r="DJ1816" s="889"/>
      <c r="DM1816" s="890"/>
      <c r="DN1816" s="952"/>
      <c r="DO1816" s="75"/>
      <c r="DP1816" s="962"/>
      <c r="DQ1816" s="983"/>
      <c r="DV1816" s="889"/>
    </row>
    <row r="1817" spans="1:126" s="74" customFormat="1">
      <c r="A1817" s="15"/>
      <c r="B1817" s="15"/>
      <c r="C1817" s="15"/>
      <c r="D1817" s="15"/>
      <c r="E1817" s="6"/>
      <c r="F1817" s="6"/>
      <c r="G1817" s="6"/>
      <c r="K1817" s="222"/>
      <c r="V1817" s="1430"/>
      <c r="AA1817" s="223"/>
      <c r="AC1817" s="889"/>
      <c r="AF1817" s="890"/>
      <c r="AJ1817" s="889"/>
      <c r="AN1817" s="222"/>
      <c r="BC1817" s="223"/>
      <c r="BD1817" s="222"/>
      <c r="BH1817" s="611"/>
      <c r="BJ1817" s="15"/>
      <c r="BK1817" s="15"/>
      <c r="BO1817" s="223"/>
      <c r="BQ1817" s="889"/>
      <c r="BT1817" s="890"/>
      <c r="BX1817" s="889"/>
      <c r="CB1817" s="15"/>
      <c r="CC1817" s="697"/>
      <c r="CD1817" s="1086"/>
      <c r="CE1817" s="15"/>
      <c r="CF1817" s="15"/>
      <c r="CG1817" s="936"/>
      <c r="CH1817" s="15"/>
      <c r="CI1817" s="15"/>
      <c r="CJ1817" s="15"/>
      <c r="CK1817" s="1107"/>
      <c r="CL1817" s="22"/>
      <c r="CM1817" s="22"/>
      <c r="CN1817" s="1107"/>
      <c r="CR1817" s="223"/>
      <c r="CS1817" s="952"/>
      <c r="CT1817" s="1066"/>
      <c r="CU1817" s="972"/>
      <c r="CV1817" s="983"/>
      <c r="CW1817" s="222"/>
      <c r="CX1817" s="697"/>
      <c r="DC1817" s="222"/>
      <c r="DJ1817" s="889"/>
      <c r="DM1817" s="890"/>
      <c r="DN1817" s="952"/>
      <c r="DO1817" s="75"/>
      <c r="DP1817" s="962"/>
      <c r="DQ1817" s="983"/>
      <c r="DV1817" s="889"/>
    </row>
    <row r="1818" spans="1:126" s="74" customFormat="1">
      <c r="A1818" s="15"/>
      <c r="B1818" s="15"/>
      <c r="C1818" s="15"/>
      <c r="D1818" s="15"/>
      <c r="E1818" s="6"/>
      <c r="F1818" s="6"/>
      <c r="G1818" s="6"/>
      <c r="K1818" s="222"/>
      <c r="V1818" s="1430"/>
      <c r="AA1818" s="223"/>
      <c r="AC1818" s="889"/>
      <c r="AF1818" s="890"/>
      <c r="AJ1818" s="889"/>
      <c r="AN1818" s="222"/>
      <c r="BC1818" s="223"/>
      <c r="BD1818" s="222"/>
      <c r="BH1818" s="611"/>
      <c r="BJ1818" s="15"/>
      <c r="BK1818" s="15"/>
      <c r="BO1818" s="223"/>
      <c r="BQ1818" s="889"/>
      <c r="BT1818" s="890"/>
      <c r="BX1818" s="889"/>
      <c r="CB1818" s="15"/>
      <c r="CC1818" s="697"/>
      <c r="CD1818" s="1086"/>
      <c r="CE1818" s="15"/>
      <c r="CF1818" s="15"/>
      <c r="CG1818" s="936"/>
      <c r="CH1818" s="15"/>
      <c r="CI1818" s="15"/>
      <c r="CJ1818" s="15"/>
      <c r="CK1818" s="1107"/>
      <c r="CL1818" s="22"/>
      <c r="CM1818" s="22"/>
      <c r="CN1818" s="1107"/>
      <c r="CR1818" s="223"/>
      <c r="CS1818" s="952"/>
      <c r="CT1818" s="1066"/>
      <c r="CU1818" s="972"/>
      <c r="CV1818" s="983"/>
      <c r="CW1818" s="222"/>
      <c r="CX1818" s="697"/>
      <c r="DC1818" s="222"/>
      <c r="DJ1818" s="889"/>
      <c r="DM1818" s="890"/>
      <c r="DN1818" s="952"/>
      <c r="DO1818" s="75"/>
      <c r="DP1818" s="962"/>
      <c r="DQ1818" s="983"/>
      <c r="DV1818" s="889"/>
    </row>
    <row r="1819" spans="1:126" s="74" customFormat="1">
      <c r="A1819" s="15"/>
      <c r="B1819" s="15"/>
      <c r="C1819" s="15"/>
      <c r="D1819" s="15"/>
      <c r="E1819" s="6"/>
      <c r="F1819" s="6"/>
      <c r="G1819" s="6"/>
      <c r="K1819" s="222"/>
      <c r="V1819" s="1430"/>
      <c r="AA1819" s="223"/>
      <c r="AC1819" s="889"/>
      <c r="AF1819" s="890"/>
      <c r="AJ1819" s="889"/>
      <c r="AN1819" s="222"/>
      <c r="BC1819" s="223"/>
      <c r="BD1819" s="222"/>
      <c r="BH1819" s="611"/>
      <c r="BJ1819" s="15"/>
      <c r="BK1819" s="15"/>
      <c r="BO1819" s="223"/>
      <c r="BQ1819" s="889"/>
      <c r="BT1819" s="890"/>
      <c r="BX1819" s="889"/>
      <c r="CB1819" s="15"/>
      <c r="CC1819" s="697"/>
      <c r="CD1819" s="1086"/>
      <c r="CE1819" s="15"/>
      <c r="CF1819" s="15"/>
      <c r="CG1819" s="936"/>
      <c r="CH1819" s="15"/>
      <c r="CI1819" s="15"/>
      <c r="CJ1819" s="15"/>
      <c r="CK1819" s="1107"/>
      <c r="CL1819" s="22"/>
      <c r="CM1819" s="22"/>
      <c r="CN1819" s="1107"/>
      <c r="CR1819" s="223"/>
      <c r="CS1819" s="952"/>
      <c r="CT1819" s="1066"/>
      <c r="CU1819" s="972"/>
      <c r="CV1819" s="983"/>
      <c r="CW1819" s="222"/>
      <c r="CX1819" s="697"/>
      <c r="DC1819" s="222"/>
      <c r="DJ1819" s="889"/>
      <c r="DM1819" s="890"/>
      <c r="DN1819" s="952"/>
      <c r="DO1819" s="75"/>
      <c r="DP1819" s="962"/>
      <c r="DQ1819" s="983"/>
      <c r="DV1819" s="889"/>
    </row>
    <row r="1820" spans="1:126" s="74" customFormat="1">
      <c r="A1820" s="15"/>
      <c r="B1820" s="15"/>
      <c r="C1820" s="15"/>
      <c r="D1820" s="15"/>
      <c r="E1820" s="6"/>
      <c r="F1820" s="6"/>
      <c r="G1820" s="6"/>
      <c r="K1820" s="222"/>
      <c r="V1820" s="1430"/>
      <c r="AA1820" s="223"/>
      <c r="AC1820" s="889"/>
      <c r="AF1820" s="890"/>
      <c r="AJ1820" s="889"/>
      <c r="AN1820" s="222"/>
      <c r="BC1820" s="223"/>
      <c r="BD1820" s="222"/>
      <c r="BH1820" s="611"/>
      <c r="BJ1820" s="15"/>
      <c r="BK1820" s="15"/>
      <c r="BO1820" s="223"/>
      <c r="BQ1820" s="889"/>
      <c r="BT1820" s="890"/>
      <c r="BX1820" s="889"/>
      <c r="CB1820" s="15"/>
      <c r="CC1820" s="697"/>
      <c r="CD1820" s="1086"/>
      <c r="CE1820" s="15"/>
      <c r="CF1820" s="15"/>
      <c r="CG1820" s="936"/>
      <c r="CH1820" s="15"/>
      <c r="CI1820" s="15"/>
      <c r="CJ1820" s="15"/>
      <c r="CK1820" s="1107"/>
      <c r="CL1820" s="22"/>
      <c r="CM1820" s="22"/>
      <c r="CN1820" s="1107"/>
      <c r="CR1820" s="223"/>
      <c r="CS1820" s="952"/>
      <c r="CT1820" s="1066"/>
      <c r="CU1820" s="972"/>
      <c r="CV1820" s="983"/>
      <c r="CW1820" s="222"/>
      <c r="CX1820" s="697"/>
      <c r="DC1820" s="222"/>
      <c r="DJ1820" s="889"/>
      <c r="DM1820" s="890"/>
      <c r="DN1820" s="952"/>
      <c r="DO1820" s="75"/>
      <c r="DP1820" s="962"/>
      <c r="DQ1820" s="983"/>
      <c r="DV1820" s="889"/>
    </row>
    <row r="1821" spans="1:126" s="74" customFormat="1">
      <c r="A1821" s="15"/>
      <c r="B1821" s="15"/>
      <c r="C1821" s="15"/>
      <c r="D1821" s="15"/>
      <c r="E1821" s="6"/>
      <c r="F1821" s="6"/>
      <c r="G1821" s="6"/>
      <c r="K1821" s="222"/>
      <c r="V1821" s="1430"/>
      <c r="AA1821" s="223"/>
      <c r="AC1821" s="889"/>
      <c r="AF1821" s="890"/>
      <c r="AJ1821" s="889"/>
      <c r="AN1821" s="222"/>
      <c r="BC1821" s="223"/>
      <c r="BD1821" s="222"/>
      <c r="BH1821" s="611"/>
      <c r="BJ1821" s="15"/>
      <c r="BK1821" s="15"/>
      <c r="BO1821" s="223"/>
      <c r="BQ1821" s="889"/>
      <c r="BT1821" s="890"/>
      <c r="BX1821" s="889"/>
      <c r="CB1821" s="15"/>
      <c r="CC1821" s="697"/>
      <c r="CD1821" s="1086"/>
      <c r="CE1821" s="15"/>
      <c r="CF1821" s="15"/>
      <c r="CG1821" s="936"/>
      <c r="CH1821" s="15"/>
      <c r="CI1821" s="15"/>
      <c r="CJ1821" s="15"/>
      <c r="CK1821" s="1107"/>
      <c r="CL1821" s="22"/>
      <c r="CM1821" s="22"/>
      <c r="CN1821" s="1107"/>
      <c r="CR1821" s="223"/>
      <c r="CS1821" s="952"/>
      <c r="CT1821" s="1066"/>
      <c r="CU1821" s="972"/>
      <c r="CV1821" s="983"/>
      <c r="CW1821" s="222"/>
      <c r="CX1821" s="697"/>
      <c r="DC1821" s="222"/>
      <c r="DJ1821" s="889"/>
      <c r="DM1821" s="890"/>
      <c r="DN1821" s="952"/>
      <c r="DO1821" s="75"/>
      <c r="DP1821" s="962"/>
      <c r="DQ1821" s="983"/>
      <c r="DV1821" s="889"/>
    </row>
    <row r="1822" spans="1:126" s="74" customFormat="1">
      <c r="A1822" s="15"/>
      <c r="B1822" s="15"/>
      <c r="C1822" s="15"/>
      <c r="D1822" s="15"/>
      <c r="E1822" s="6"/>
      <c r="F1822" s="6"/>
      <c r="G1822" s="6"/>
      <c r="K1822" s="222"/>
      <c r="V1822" s="1430"/>
      <c r="AA1822" s="223"/>
      <c r="AC1822" s="889"/>
      <c r="AF1822" s="890"/>
      <c r="AJ1822" s="889"/>
      <c r="AN1822" s="222"/>
      <c r="BC1822" s="223"/>
      <c r="BD1822" s="222"/>
      <c r="BH1822" s="611"/>
      <c r="BJ1822" s="15"/>
      <c r="BK1822" s="15"/>
      <c r="BO1822" s="223"/>
      <c r="BQ1822" s="889"/>
      <c r="BT1822" s="890"/>
      <c r="BX1822" s="889"/>
      <c r="CB1822" s="15"/>
      <c r="CC1822" s="697"/>
      <c r="CD1822" s="1086"/>
      <c r="CE1822" s="15"/>
      <c r="CF1822" s="15"/>
      <c r="CG1822" s="936"/>
      <c r="CH1822" s="15"/>
      <c r="CI1822" s="15"/>
      <c r="CJ1822" s="15"/>
      <c r="CK1822" s="1107"/>
      <c r="CL1822" s="22"/>
      <c r="CM1822" s="22"/>
      <c r="CN1822" s="1107"/>
      <c r="CR1822" s="223"/>
      <c r="CS1822" s="952"/>
      <c r="CT1822" s="1066"/>
      <c r="CU1822" s="972"/>
      <c r="CV1822" s="983"/>
      <c r="CW1822" s="222"/>
      <c r="CX1822" s="697"/>
      <c r="DC1822" s="222"/>
      <c r="DJ1822" s="889"/>
      <c r="DM1822" s="890"/>
      <c r="DN1822" s="952"/>
      <c r="DO1822" s="75"/>
      <c r="DP1822" s="962"/>
      <c r="DQ1822" s="983"/>
      <c r="DV1822" s="889"/>
    </row>
    <row r="1823" spans="1:126" s="74" customFormat="1">
      <c r="A1823" s="15"/>
      <c r="B1823" s="15"/>
      <c r="C1823" s="15"/>
      <c r="D1823" s="15"/>
      <c r="E1823" s="6"/>
      <c r="F1823" s="6"/>
      <c r="G1823" s="6"/>
      <c r="K1823" s="222"/>
      <c r="V1823" s="1430"/>
      <c r="AA1823" s="223"/>
      <c r="AC1823" s="889"/>
      <c r="AF1823" s="890"/>
      <c r="AJ1823" s="889"/>
      <c r="AN1823" s="222"/>
      <c r="BC1823" s="223"/>
      <c r="BD1823" s="222"/>
      <c r="BH1823" s="611"/>
      <c r="BJ1823" s="15"/>
      <c r="BK1823" s="15"/>
      <c r="BO1823" s="223"/>
      <c r="BQ1823" s="889"/>
      <c r="BT1823" s="890"/>
      <c r="BX1823" s="889"/>
      <c r="CB1823" s="15"/>
      <c r="CC1823" s="697"/>
      <c r="CD1823" s="1086"/>
      <c r="CE1823" s="15"/>
      <c r="CF1823" s="15"/>
      <c r="CG1823" s="936"/>
      <c r="CH1823" s="15"/>
      <c r="CI1823" s="15"/>
      <c r="CJ1823" s="15"/>
      <c r="CK1823" s="1107"/>
      <c r="CL1823" s="22"/>
      <c r="CM1823" s="22"/>
      <c r="CN1823" s="1107"/>
      <c r="CR1823" s="223"/>
      <c r="CS1823" s="952"/>
      <c r="CT1823" s="1066"/>
      <c r="CU1823" s="972"/>
      <c r="CV1823" s="983"/>
      <c r="CW1823" s="222"/>
      <c r="CX1823" s="697"/>
      <c r="DC1823" s="222"/>
      <c r="DJ1823" s="889"/>
      <c r="DM1823" s="890"/>
      <c r="DN1823" s="952"/>
      <c r="DO1823" s="75"/>
      <c r="DP1823" s="962"/>
      <c r="DQ1823" s="983"/>
      <c r="DV1823" s="889"/>
    </row>
    <row r="1824" spans="1:126" s="74" customFormat="1">
      <c r="A1824" s="15"/>
      <c r="B1824" s="15"/>
      <c r="C1824" s="15"/>
      <c r="D1824" s="15"/>
      <c r="E1824" s="6"/>
      <c r="F1824" s="6"/>
      <c r="G1824" s="6"/>
      <c r="K1824" s="222"/>
      <c r="V1824" s="1430"/>
      <c r="AA1824" s="223"/>
      <c r="AC1824" s="889"/>
      <c r="AF1824" s="890"/>
      <c r="AJ1824" s="889"/>
      <c r="AN1824" s="222"/>
      <c r="BC1824" s="223"/>
      <c r="BD1824" s="222"/>
      <c r="BH1824" s="611"/>
      <c r="BJ1824" s="15"/>
      <c r="BK1824" s="15"/>
      <c r="BO1824" s="223"/>
      <c r="BQ1824" s="889"/>
      <c r="BT1824" s="890"/>
      <c r="BX1824" s="889"/>
      <c r="CB1824" s="15"/>
      <c r="CC1824" s="697"/>
      <c r="CD1824" s="1086"/>
      <c r="CE1824" s="15"/>
      <c r="CF1824" s="15"/>
      <c r="CG1824" s="936"/>
      <c r="CH1824" s="15"/>
      <c r="CI1824" s="15"/>
      <c r="CJ1824" s="15"/>
      <c r="CK1824" s="1107"/>
      <c r="CL1824" s="22"/>
      <c r="CM1824" s="22"/>
      <c r="CN1824" s="1107"/>
      <c r="CR1824" s="223"/>
      <c r="CS1824" s="952"/>
      <c r="CT1824" s="1066"/>
      <c r="CU1824" s="972"/>
      <c r="CV1824" s="983"/>
      <c r="CW1824" s="222"/>
      <c r="CX1824" s="697"/>
      <c r="DC1824" s="222"/>
      <c r="DJ1824" s="889"/>
      <c r="DM1824" s="890"/>
      <c r="DN1824" s="952"/>
      <c r="DO1824" s="75"/>
      <c r="DP1824" s="962"/>
      <c r="DQ1824" s="983"/>
      <c r="DV1824" s="889"/>
    </row>
    <row r="1825" spans="1:126" s="74" customFormat="1">
      <c r="A1825" s="15"/>
      <c r="B1825" s="15"/>
      <c r="C1825" s="15"/>
      <c r="D1825" s="15"/>
      <c r="E1825" s="6"/>
      <c r="F1825" s="6"/>
      <c r="G1825" s="6"/>
      <c r="K1825" s="222"/>
      <c r="V1825" s="1430"/>
      <c r="AA1825" s="223"/>
      <c r="AC1825" s="889"/>
      <c r="AF1825" s="890"/>
      <c r="AJ1825" s="889"/>
      <c r="AN1825" s="222"/>
      <c r="BC1825" s="223"/>
      <c r="BD1825" s="222"/>
      <c r="BH1825" s="611"/>
      <c r="BJ1825" s="15"/>
      <c r="BK1825" s="15"/>
      <c r="BO1825" s="223"/>
      <c r="BQ1825" s="889"/>
      <c r="BT1825" s="890"/>
      <c r="BX1825" s="889"/>
      <c r="CB1825" s="15"/>
      <c r="CC1825" s="697"/>
      <c r="CD1825" s="1086"/>
      <c r="CE1825" s="15"/>
      <c r="CF1825" s="15"/>
      <c r="CG1825" s="936"/>
      <c r="CH1825" s="15"/>
      <c r="CI1825" s="15"/>
      <c r="CJ1825" s="15"/>
      <c r="CK1825" s="1107"/>
      <c r="CL1825" s="22"/>
      <c r="CM1825" s="22"/>
      <c r="CN1825" s="1107"/>
      <c r="CR1825" s="223"/>
      <c r="CS1825" s="952"/>
      <c r="CT1825" s="1066"/>
      <c r="CU1825" s="972"/>
      <c r="CV1825" s="983"/>
      <c r="CW1825" s="222"/>
      <c r="CX1825" s="697"/>
      <c r="DC1825" s="222"/>
      <c r="DJ1825" s="889"/>
      <c r="DM1825" s="890"/>
      <c r="DN1825" s="952"/>
      <c r="DO1825" s="75"/>
      <c r="DP1825" s="962"/>
      <c r="DQ1825" s="983"/>
      <c r="DV1825" s="889"/>
    </row>
    <row r="1826" spans="1:126" s="74" customFormat="1">
      <c r="A1826" s="15"/>
      <c r="B1826" s="15"/>
      <c r="C1826" s="15"/>
      <c r="D1826" s="15"/>
      <c r="E1826" s="6"/>
      <c r="F1826" s="6"/>
      <c r="G1826" s="6"/>
      <c r="K1826" s="222"/>
      <c r="V1826" s="1430"/>
      <c r="AA1826" s="223"/>
      <c r="AC1826" s="889"/>
      <c r="AF1826" s="890"/>
      <c r="AJ1826" s="889"/>
      <c r="AN1826" s="222"/>
      <c r="BC1826" s="223"/>
      <c r="BD1826" s="222"/>
      <c r="BH1826" s="611"/>
      <c r="BJ1826" s="15"/>
      <c r="BK1826" s="15"/>
      <c r="BO1826" s="223"/>
      <c r="BQ1826" s="889"/>
      <c r="BT1826" s="890"/>
      <c r="BX1826" s="889"/>
      <c r="CB1826" s="15"/>
      <c r="CC1826" s="697"/>
      <c r="CD1826" s="1086"/>
      <c r="CE1826" s="15"/>
      <c r="CF1826" s="15"/>
      <c r="CG1826" s="936"/>
      <c r="CH1826" s="15"/>
      <c r="CI1826" s="15"/>
      <c r="CJ1826" s="15"/>
      <c r="CK1826" s="1107"/>
      <c r="CL1826" s="22"/>
      <c r="CM1826" s="22"/>
      <c r="CN1826" s="1107"/>
      <c r="CR1826" s="223"/>
      <c r="CS1826" s="952"/>
      <c r="CT1826" s="1066"/>
      <c r="CU1826" s="972"/>
      <c r="CV1826" s="983"/>
      <c r="CW1826" s="222"/>
      <c r="CX1826" s="697"/>
      <c r="DC1826" s="222"/>
      <c r="DJ1826" s="889"/>
      <c r="DM1826" s="890"/>
      <c r="DN1826" s="952"/>
      <c r="DO1826" s="75"/>
      <c r="DP1826" s="962"/>
      <c r="DQ1826" s="983"/>
      <c r="DV1826" s="889"/>
    </row>
    <row r="1827" spans="1:126" s="74" customFormat="1">
      <c r="A1827" s="15"/>
      <c r="B1827" s="15"/>
      <c r="C1827" s="15"/>
      <c r="D1827" s="15"/>
      <c r="E1827" s="6"/>
      <c r="F1827" s="6"/>
      <c r="G1827" s="6"/>
      <c r="K1827" s="222"/>
      <c r="V1827" s="1430"/>
      <c r="AA1827" s="223"/>
      <c r="AC1827" s="889"/>
      <c r="AF1827" s="890"/>
      <c r="AJ1827" s="889"/>
      <c r="AN1827" s="222"/>
      <c r="BC1827" s="223"/>
      <c r="BD1827" s="222"/>
      <c r="BH1827" s="611"/>
      <c r="BJ1827" s="15"/>
      <c r="BK1827" s="15"/>
      <c r="BO1827" s="223"/>
      <c r="BQ1827" s="889"/>
      <c r="BT1827" s="890"/>
      <c r="BX1827" s="889"/>
      <c r="CB1827" s="15"/>
      <c r="CC1827" s="697"/>
      <c r="CD1827" s="1086"/>
      <c r="CE1827" s="15"/>
      <c r="CF1827" s="15"/>
      <c r="CG1827" s="936"/>
      <c r="CH1827" s="15"/>
      <c r="CI1827" s="15"/>
      <c r="CJ1827" s="15"/>
      <c r="CK1827" s="1107"/>
      <c r="CL1827" s="22"/>
      <c r="CM1827" s="22"/>
      <c r="CN1827" s="1107"/>
      <c r="CR1827" s="223"/>
      <c r="CS1827" s="952"/>
      <c r="CT1827" s="1066"/>
      <c r="CU1827" s="972"/>
      <c r="CV1827" s="983"/>
      <c r="CW1827" s="222"/>
      <c r="CX1827" s="697"/>
      <c r="DC1827" s="222"/>
      <c r="DJ1827" s="889"/>
      <c r="DM1827" s="890"/>
      <c r="DN1827" s="952"/>
      <c r="DO1827" s="75"/>
      <c r="DP1827" s="962"/>
      <c r="DQ1827" s="983"/>
      <c r="DV1827" s="889"/>
    </row>
    <row r="1828" spans="1:126" s="74" customFormat="1">
      <c r="A1828" s="15"/>
      <c r="B1828" s="15"/>
      <c r="C1828" s="15"/>
      <c r="D1828" s="15"/>
      <c r="E1828" s="6"/>
      <c r="F1828" s="6"/>
      <c r="G1828" s="6"/>
      <c r="K1828" s="222"/>
      <c r="V1828" s="1430"/>
      <c r="AA1828" s="223"/>
      <c r="AC1828" s="889"/>
      <c r="AF1828" s="890"/>
      <c r="AJ1828" s="889"/>
      <c r="AN1828" s="222"/>
      <c r="BC1828" s="223"/>
      <c r="BD1828" s="222"/>
      <c r="BH1828" s="611"/>
      <c r="BJ1828" s="15"/>
      <c r="BK1828" s="15"/>
      <c r="BO1828" s="223"/>
      <c r="BQ1828" s="889"/>
      <c r="BT1828" s="890"/>
      <c r="BX1828" s="889"/>
      <c r="CB1828" s="15"/>
      <c r="CC1828" s="697"/>
      <c r="CD1828" s="1086"/>
      <c r="CE1828" s="15"/>
      <c r="CF1828" s="15"/>
      <c r="CG1828" s="936"/>
      <c r="CH1828" s="15"/>
      <c r="CI1828" s="15"/>
      <c r="CJ1828" s="15"/>
      <c r="CK1828" s="1107"/>
      <c r="CL1828" s="22"/>
      <c r="CM1828" s="22"/>
      <c r="CN1828" s="1107"/>
      <c r="CR1828" s="223"/>
      <c r="CS1828" s="952"/>
      <c r="CT1828" s="1066"/>
      <c r="CU1828" s="972"/>
      <c r="CV1828" s="983"/>
      <c r="CW1828" s="222"/>
      <c r="CX1828" s="697"/>
      <c r="DC1828" s="222"/>
      <c r="DJ1828" s="889"/>
      <c r="DM1828" s="890"/>
      <c r="DN1828" s="952"/>
      <c r="DO1828" s="75"/>
      <c r="DP1828" s="962"/>
      <c r="DQ1828" s="983"/>
      <c r="DV1828" s="889"/>
    </row>
    <row r="1829" spans="1:126" s="74" customFormat="1">
      <c r="A1829" s="15"/>
      <c r="B1829" s="15"/>
      <c r="C1829" s="15"/>
      <c r="D1829" s="15"/>
      <c r="E1829" s="6"/>
      <c r="F1829" s="6"/>
      <c r="G1829" s="6"/>
      <c r="K1829" s="222"/>
      <c r="V1829" s="1430"/>
      <c r="AA1829" s="223"/>
      <c r="AC1829" s="889"/>
      <c r="AF1829" s="890"/>
      <c r="AJ1829" s="889"/>
      <c r="AN1829" s="222"/>
      <c r="BC1829" s="223"/>
      <c r="BD1829" s="222"/>
      <c r="BH1829" s="611"/>
      <c r="BJ1829" s="15"/>
      <c r="BK1829" s="15"/>
      <c r="BO1829" s="223"/>
      <c r="BQ1829" s="889"/>
      <c r="BT1829" s="890"/>
      <c r="BX1829" s="889"/>
      <c r="CB1829" s="15"/>
      <c r="CC1829" s="697"/>
      <c r="CD1829" s="1086"/>
      <c r="CE1829" s="15"/>
      <c r="CF1829" s="15"/>
      <c r="CG1829" s="936"/>
      <c r="CH1829" s="15"/>
      <c r="CI1829" s="15"/>
      <c r="CJ1829" s="15"/>
      <c r="CK1829" s="1107"/>
      <c r="CL1829" s="22"/>
      <c r="CM1829" s="22"/>
      <c r="CN1829" s="1107"/>
      <c r="CR1829" s="223"/>
      <c r="CS1829" s="952"/>
      <c r="CT1829" s="1066"/>
      <c r="CU1829" s="972"/>
      <c r="CV1829" s="983"/>
      <c r="CW1829" s="222"/>
      <c r="CX1829" s="697"/>
      <c r="DC1829" s="222"/>
      <c r="DJ1829" s="889"/>
      <c r="DM1829" s="890"/>
      <c r="DN1829" s="952"/>
      <c r="DO1829" s="75"/>
      <c r="DP1829" s="962"/>
      <c r="DQ1829" s="983"/>
      <c r="DV1829" s="889"/>
    </row>
    <row r="1830" spans="1:126" s="74" customFormat="1">
      <c r="A1830" s="15"/>
      <c r="B1830" s="15"/>
      <c r="C1830" s="15"/>
      <c r="D1830" s="15"/>
      <c r="E1830" s="6"/>
      <c r="F1830" s="6"/>
      <c r="G1830" s="6"/>
      <c r="K1830" s="222"/>
      <c r="V1830" s="1430"/>
      <c r="AA1830" s="223"/>
      <c r="AC1830" s="889"/>
      <c r="AF1830" s="890"/>
      <c r="AJ1830" s="889"/>
      <c r="AN1830" s="222"/>
      <c r="BC1830" s="223"/>
      <c r="BD1830" s="222"/>
      <c r="BH1830" s="611"/>
      <c r="BJ1830" s="15"/>
      <c r="BK1830" s="15"/>
      <c r="BO1830" s="223"/>
      <c r="BQ1830" s="889"/>
      <c r="BT1830" s="890"/>
      <c r="BX1830" s="889"/>
      <c r="CB1830" s="15"/>
      <c r="CC1830" s="697"/>
      <c r="CD1830" s="1086"/>
      <c r="CE1830" s="15"/>
      <c r="CF1830" s="15"/>
      <c r="CG1830" s="936"/>
      <c r="CH1830" s="15"/>
      <c r="CI1830" s="15"/>
      <c r="CJ1830" s="15"/>
      <c r="CK1830" s="1107"/>
      <c r="CL1830" s="22"/>
      <c r="CM1830" s="22"/>
      <c r="CN1830" s="1107"/>
      <c r="CR1830" s="223"/>
      <c r="CS1830" s="952"/>
      <c r="CT1830" s="1066"/>
      <c r="CU1830" s="972"/>
      <c r="CV1830" s="983"/>
      <c r="CW1830" s="222"/>
      <c r="CX1830" s="697"/>
      <c r="DC1830" s="222"/>
      <c r="DJ1830" s="889"/>
      <c r="DM1830" s="890"/>
      <c r="DN1830" s="952"/>
      <c r="DO1830" s="75"/>
      <c r="DP1830" s="962"/>
      <c r="DQ1830" s="983"/>
      <c r="DV1830" s="889"/>
    </row>
    <row r="1831" spans="1:126" s="74" customFormat="1">
      <c r="A1831" s="15"/>
      <c r="B1831" s="15"/>
      <c r="C1831" s="15"/>
      <c r="D1831" s="15"/>
      <c r="E1831" s="6"/>
      <c r="F1831" s="6"/>
      <c r="G1831" s="6"/>
      <c r="K1831" s="222"/>
      <c r="V1831" s="1430"/>
      <c r="AA1831" s="223"/>
      <c r="AC1831" s="889"/>
      <c r="AF1831" s="890"/>
      <c r="AJ1831" s="889"/>
      <c r="AN1831" s="222"/>
      <c r="BC1831" s="223"/>
      <c r="BD1831" s="222"/>
      <c r="BH1831" s="611"/>
      <c r="BJ1831" s="15"/>
      <c r="BK1831" s="15"/>
      <c r="BO1831" s="223"/>
      <c r="BQ1831" s="889"/>
      <c r="BT1831" s="890"/>
      <c r="BX1831" s="889"/>
      <c r="CB1831" s="15"/>
      <c r="CC1831" s="697"/>
      <c r="CD1831" s="1086"/>
      <c r="CE1831" s="15"/>
      <c r="CF1831" s="15"/>
      <c r="CG1831" s="936"/>
      <c r="CH1831" s="15"/>
      <c r="CI1831" s="15"/>
      <c r="CJ1831" s="15"/>
      <c r="CK1831" s="1107"/>
      <c r="CL1831" s="22"/>
      <c r="CM1831" s="22"/>
      <c r="CN1831" s="1107"/>
      <c r="CR1831" s="223"/>
      <c r="CS1831" s="952"/>
      <c r="CT1831" s="1066"/>
      <c r="CU1831" s="972"/>
      <c r="CV1831" s="983"/>
      <c r="CW1831" s="222"/>
      <c r="CX1831" s="697"/>
      <c r="DC1831" s="222"/>
      <c r="DJ1831" s="889"/>
      <c r="DM1831" s="890"/>
      <c r="DN1831" s="952"/>
      <c r="DO1831" s="75"/>
      <c r="DP1831" s="962"/>
      <c r="DQ1831" s="983"/>
      <c r="DV1831" s="889"/>
    </row>
    <row r="1832" spans="1:126" s="74" customFormat="1">
      <c r="A1832" s="15"/>
      <c r="B1832" s="15"/>
      <c r="C1832" s="15"/>
      <c r="D1832" s="15"/>
      <c r="E1832" s="6"/>
      <c r="F1832" s="6"/>
      <c r="G1832" s="6"/>
      <c r="K1832" s="222"/>
      <c r="V1832" s="1430"/>
      <c r="AA1832" s="223"/>
      <c r="AC1832" s="889"/>
      <c r="AF1832" s="890"/>
      <c r="AJ1832" s="889"/>
      <c r="AN1832" s="222"/>
      <c r="BC1832" s="223"/>
      <c r="BD1832" s="222"/>
      <c r="BH1832" s="611"/>
      <c r="BJ1832" s="15"/>
      <c r="BK1832" s="15"/>
      <c r="BO1832" s="223"/>
      <c r="BQ1832" s="889"/>
      <c r="BT1832" s="890"/>
      <c r="BX1832" s="889"/>
      <c r="CB1832" s="15"/>
      <c r="CC1832" s="697"/>
      <c r="CD1832" s="1086"/>
      <c r="CE1832" s="15"/>
      <c r="CF1832" s="15"/>
      <c r="CG1832" s="936"/>
      <c r="CH1832" s="15"/>
      <c r="CI1832" s="15"/>
      <c r="CJ1832" s="15"/>
      <c r="CK1832" s="1107"/>
      <c r="CL1832" s="22"/>
      <c r="CM1832" s="22"/>
      <c r="CN1832" s="1107"/>
      <c r="CR1832" s="223"/>
      <c r="CS1832" s="952"/>
      <c r="CT1832" s="1066"/>
      <c r="CU1832" s="972"/>
      <c r="CV1832" s="983"/>
      <c r="CW1832" s="222"/>
      <c r="CX1832" s="697"/>
      <c r="DC1832" s="222"/>
      <c r="DJ1832" s="889"/>
      <c r="DM1832" s="890"/>
      <c r="DN1832" s="952"/>
      <c r="DO1832" s="75"/>
      <c r="DP1832" s="962"/>
      <c r="DQ1832" s="983"/>
      <c r="DV1832" s="889"/>
    </row>
    <row r="1833" spans="1:126" s="74" customFormat="1">
      <c r="A1833" s="15"/>
      <c r="B1833" s="15"/>
      <c r="C1833" s="15"/>
      <c r="D1833" s="15"/>
      <c r="E1833" s="6"/>
      <c r="F1833" s="6"/>
      <c r="G1833" s="6"/>
      <c r="K1833" s="222"/>
      <c r="V1833" s="1430"/>
      <c r="AA1833" s="223"/>
      <c r="AC1833" s="889"/>
      <c r="AF1833" s="890"/>
      <c r="AJ1833" s="889"/>
      <c r="AN1833" s="222"/>
      <c r="BC1833" s="223"/>
      <c r="BD1833" s="222"/>
      <c r="BH1833" s="611"/>
      <c r="BJ1833" s="15"/>
      <c r="BK1833" s="15"/>
      <c r="BO1833" s="223"/>
      <c r="BQ1833" s="889"/>
      <c r="BT1833" s="890"/>
      <c r="BX1833" s="889"/>
      <c r="CB1833" s="15"/>
      <c r="CC1833" s="697"/>
      <c r="CD1833" s="1086"/>
      <c r="CE1833" s="15"/>
      <c r="CF1833" s="15"/>
      <c r="CG1833" s="936"/>
      <c r="CH1833" s="15"/>
      <c r="CI1833" s="15"/>
      <c r="CJ1833" s="15"/>
      <c r="CK1833" s="1107"/>
      <c r="CL1833" s="22"/>
      <c r="CM1833" s="22"/>
      <c r="CN1833" s="1107"/>
      <c r="CR1833" s="223"/>
      <c r="CS1833" s="952"/>
      <c r="CT1833" s="1066"/>
      <c r="CU1833" s="972"/>
      <c r="CV1833" s="983"/>
      <c r="CW1833" s="222"/>
      <c r="CX1833" s="697"/>
      <c r="DC1833" s="222"/>
      <c r="DJ1833" s="889"/>
      <c r="DM1833" s="890"/>
      <c r="DN1833" s="952"/>
      <c r="DO1833" s="75"/>
      <c r="DP1833" s="962"/>
      <c r="DQ1833" s="983"/>
      <c r="DV1833" s="889"/>
    </row>
    <row r="1834" spans="1:126" s="74" customFormat="1">
      <c r="A1834" s="15"/>
      <c r="B1834" s="15"/>
      <c r="C1834" s="15"/>
      <c r="D1834" s="15"/>
      <c r="E1834" s="6"/>
      <c r="F1834" s="6"/>
      <c r="G1834" s="6"/>
      <c r="K1834" s="222"/>
      <c r="V1834" s="1430"/>
      <c r="AA1834" s="223"/>
      <c r="AC1834" s="889"/>
      <c r="AF1834" s="890"/>
      <c r="AJ1834" s="889"/>
      <c r="AN1834" s="222"/>
      <c r="BC1834" s="223"/>
      <c r="BD1834" s="222"/>
      <c r="BH1834" s="611"/>
      <c r="BJ1834" s="15"/>
      <c r="BK1834" s="15"/>
      <c r="BO1834" s="223"/>
      <c r="BQ1834" s="889"/>
      <c r="BT1834" s="890"/>
      <c r="BX1834" s="889"/>
      <c r="CB1834" s="15"/>
      <c r="CC1834" s="697"/>
      <c r="CD1834" s="1086"/>
      <c r="CE1834" s="15"/>
      <c r="CF1834" s="15"/>
      <c r="CG1834" s="936"/>
      <c r="CH1834" s="15"/>
      <c r="CI1834" s="15"/>
      <c r="CJ1834" s="15"/>
      <c r="CK1834" s="1107"/>
      <c r="CL1834" s="22"/>
      <c r="CM1834" s="22"/>
      <c r="CN1834" s="1107"/>
      <c r="CR1834" s="223"/>
      <c r="CS1834" s="952"/>
      <c r="CT1834" s="1066"/>
      <c r="CU1834" s="972"/>
      <c r="CV1834" s="983"/>
      <c r="CW1834" s="222"/>
      <c r="CX1834" s="697"/>
      <c r="DC1834" s="222"/>
      <c r="DJ1834" s="889"/>
      <c r="DM1834" s="890"/>
      <c r="DN1834" s="952"/>
      <c r="DO1834" s="75"/>
      <c r="DP1834" s="962"/>
      <c r="DQ1834" s="983"/>
      <c r="DV1834" s="889"/>
    </row>
    <row r="1835" spans="1:126" s="74" customFormat="1">
      <c r="A1835" s="15"/>
      <c r="B1835" s="15"/>
      <c r="C1835" s="15"/>
      <c r="D1835" s="15"/>
      <c r="E1835" s="6"/>
      <c r="F1835" s="6"/>
      <c r="G1835" s="6"/>
      <c r="K1835" s="222"/>
      <c r="V1835" s="1430"/>
      <c r="AA1835" s="223"/>
      <c r="AC1835" s="889"/>
      <c r="AF1835" s="890"/>
      <c r="AJ1835" s="889"/>
      <c r="AN1835" s="222"/>
      <c r="BC1835" s="223"/>
      <c r="BD1835" s="222"/>
      <c r="BH1835" s="611"/>
      <c r="BJ1835" s="15"/>
      <c r="BK1835" s="15"/>
      <c r="BO1835" s="223"/>
      <c r="BQ1835" s="889"/>
      <c r="BT1835" s="890"/>
      <c r="BX1835" s="889"/>
      <c r="CB1835" s="15"/>
      <c r="CC1835" s="697"/>
      <c r="CD1835" s="1086"/>
      <c r="CE1835" s="15"/>
      <c r="CF1835" s="15"/>
      <c r="CG1835" s="936"/>
      <c r="CH1835" s="15"/>
      <c r="CI1835" s="15"/>
      <c r="CJ1835" s="15"/>
      <c r="CK1835" s="1107"/>
      <c r="CL1835" s="22"/>
      <c r="CM1835" s="22"/>
      <c r="CN1835" s="1107"/>
      <c r="CR1835" s="223"/>
      <c r="CS1835" s="952"/>
      <c r="CT1835" s="1066"/>
      <c r="CU1835" s="972"/>
      <c r="CV1835" s="983"/>
      <c r="CW1835" s="222"/>
      <c r="CX1835" s="697"/>
      <c r="DC1835" s="222"/>
      <c r="DJ1835" s="889"/>
      <c r="DM1835" s="890"/>
      <c r="DN1835" s="952"/>
      <c r="DO1835" s="75"/>
      <c r="DP1835" s="962"/>
      <c r="DQ1835" s="983"/>
      <c r="DV1835" s="889"/>
    </row>
    <row r="1836" spans="1:126" s="74" customFormat="1">
      <c r="A1836" s="15"/>
      <c r="B1836" s="15"/>
      <c r="C1836" s="15"/>
      <c r="D1836" s="15"/>
      <c r="E1836" s="6"/>
      <c r="F1836" s="6"/>
      <c r="G1836" s="6"/>
      <c r="K1836" s="222"/>
      <c r="V1836" s="1430"/>
      <c r="AA1836" s="223"/>
      <c r="AC1836" s="889"/>
      <c r="AF1836" s="890"/>
      <c r="AJ1836" s="889"/>
      <c r="AN1836" s="222"/>
      <c r="BC1836" s="223"/>
      <c r="BD1836" s="222"/>
      <c r="BH1836" s="611"/>
      <c r="BJ1836" s="15"/>
      <c r="BK1836" s="15"/>
      <c r="BO1836" s="223"/>
      <c r="BQ1836" s="889"/>
      <c r="BT1836" s="890"/>
      <c r="BX1836" s="889"/>
      <c r="CB1836" s="15"/>
      <c r="CC1836" s="697"/>
      <c r="CD1836" s="1086"/>
      <c r="CE1836" s="15"/>
      <c r="CF1836" s="15"/>
      <c r="CG1836" s="936"/>
      <c r="CH1836" s="15"/>
      <c r="CI1836" s="15"/>
      <c r="CJ1836" s="15"/>
      <c r="CK1836" s="1107"/>
      <c r="CL1836" s="22"/>
      <c r="CM1836" s="22"/>
      <c r="CN1836" s="1107"/>
      <c r="CR1836" s="223"/>
      <c r="CS1836" s="952"/>
      <c r="CT1836" s="1066"/>
      <c r="CU1836" s="972"/>
      <c r="CV1836" s="983"/>
      <c r="CW1836" s="222"/>
      <c r="CX1836" s="697"/>
      <c r="DC1836" s="222"/>
      <c r="DJ1836" s="889"/>
      <c r="DM1836" s="890"/>
      <c r="DN1836" s="952"/>
      <c r="DO1836" s="75"/>
      <c r="DP1836" s="962"/>
      <c r="DQ1836" s="983"/>
      <c r="DV1836" s="889"/>
    </row>
    <row r="1837" spans="1:126" s="74" customFormat="1">
      <c r="A1837" s="15"/>
      <c r="B1837" s="15"/>
      <c r="C1837" s="15"/>
      <c r="D1837" s="15"/>
      <c r="E1837" s="6"/>
      <c r="F1837" s="6"/>
      <c r="G1837" s="6"/>
      <c r="K1837" s="222"/>
      <c r="V1837" s="1430"/>
      <c r="AA1837" s="223"/>
      <c r="AC1837" s="889"/>
      <c r="AF1837" s="890"/>
      <c r="AJ1837" s="889"/>
      <c r="AN1837" s="222"/>
      <c r="BC1837" s="223"/>
      <c r="BD1837" s="222"/>
      <c r="BH1837" s="611"/>
      <c r="BJ1837" s="15"/>
      <c r="BK1837" s="15"/>
      <c r="BO1837" s="223"/>
      <c r="BQ1837" s="889"/>
      <c r="BT1837" s="890"/>
      <c r="BX1837" s="889"/>
      <c r="CB1837" s="15"/>
      <c r="CC1837" s="697"/>
      <c r="CD1837" s="1086"/>
      <c r="CE1837" s="15"/>
      <c r="CF1837" s="15"/>
      <c r="CG1837" s="936"/>
      <c r="CH1837" s="15"/>
      <c r="CI1837" s="15"/>
      <c r="CJ1837" s="15"/>
      <c r="CK1837" s="1107"/>
      <c r="CL1837" s="22"/>
      <c r="CM1837" s="22"/>
      <c r="CN1837" s="1107"/>
      <c r="CR1837" s="223"/>
      <c r="CS1837" s="952"/>
      <c r="CT1837" s="1066"/>
      <c r="CU1837" s="972"/>
      <c r="CV1837" s="983"/>
      <c r="CW1837" s="222"/>
      <c r="CX1837" s="697"/>
      <c r="DC1837" s="222"/>
      <c r="DJ1837" s="889"/>
      <c r="DM1837" s="890"/>
      <c r="DN1837" s="952"/>
      <c r="DO1837" s="75"/>
      <c r="DP1837" s="962"/>
      <c r="DQ1837" s="983"/>
      <c r="DV1837" s="889"/>
    </row>
    <row r="1838" spans="1:126" s="74" customFormat="1">
      <c r="A1838" s="15"/>
      <c r="B1838" s="15"/>
      <c r="C1838" s="15"/>
      <c r="D1838" s="15"/>
      <c r="E1838" s="6"/>
      <c r="F1838" s="6"/>
      <c r="G1838" s="6"/>
      <c r="K1838" s="222"/>
      <c r="V1838" s="1430"/>
      <c r="AA1838" s="223"/>
      <c r="AC1838" s="889"/>
      <c r="AF1838" s="890"/>
      <c r="AJ1838" s="889"/>
      <c r="AN1838" s="222"/>
      <c r="BC1838" s="223"/>
      <c r="BD1838" s="222"/>
      <c r="BH1838" s="611"/>
      <c r="BJ1838" s="15"/>
      <c r="BK1838" s="15"/>
      <c r="BO1838" s="223"/>
      <c r="BQ1838" s="889"/>
      <c r="BT1838" s="890"/>
      <c r="BX1838" s="889"/>
      <c r="CB1838" s="15"/>
      <c r="CC1838" s="697"/>
      <c r="CD1838" s="1086"/>
      <c r="CE1838" s="15"/>
      <c r="CF1838" s="15"/>
      <c r="CG1838" s="936"/>
      <c r="CH1838" s="15"/>
      <c r="CI1838" s="15"/>
      <c r="CJ1838" s="15"/>
      <c r="CK1838" s="1107"/>
      <c r="CL1838" s="22"/>
      <c r="CM1838" s="22"/>
      <c r="CN1838" s="1107"/>
      <c r="CR1838" s="223"/>
      <c r="CS1838" s="952"/>
      <c r="CT1838" s="1066"/>
      <c r="CU1838" s="972"/>
      <c r="CV1838" s="983"/>
      <c r="CW1838" s="222"/>
      <c r="CX1838" s="697"/>
      <c r="DC1838" s="222"/>
      <c r="DJ1838" s="889"/>
      <c r="DM1838" s="890"/>
      <c r="DN1838" s="952"/>
      <c r="DO1838" s="75"/>
      <c r="DP1838" s="962"/>
      <c r="DQ1838" s="983"/>
      <c r="DV1838" s="889"/>
    </row>
    <row r="1839" spans="1:126" s="74" customFormat="1">
      <c r="A1839" s="15"/>
      <c r="B1839" s="15"/>
      <c r="C1839" s="15"/>
      <c r="D1839" s="15"/>
      <c r="E1839" s="6"/>
      <c r="F1839" s="6"/>
      <c r="G1839" s="6"/>
      <c r="K1839" s="222"/>
      <c r="V1839" s="1430"/>
      <c r="AA1839" s="223"/>
      <c r="AC1839" s="889"/>
      <c r="AF1839" s="890"/>
      <c r="AJ1839" s="889"/>
      <c r="AN1839" s="222"/>
      <c r="BC1839" s="223"/>
      <c r="BD1839" s="222"/>
      <c r="BH1839" s="611"/>
      <c r="BJ1839" s="15"/>
      <c r="BK1839" s="15"/>
      <c r="BO1839" s="223"/>
      <c r="BQ1839" s="889"/>
      <c r="BT1839" s="890"/>
      <c r="BX1839" s="889"/>
      <c r="CB1839" s="15"/>
      <c r="CC1839" s="697"/>
      <c r="CD1839" s="1086"/>
      <c r="CE1839" s="15"/>
      <c r="CF1839" s="15"/>
      <c r="CG1839" s="936"/>
      <c r="CH1839" s="15"/>
      <c r="CI1839" s="15"/>
      <c r="CJ1839" s="15"/>
      <c r="CK1839" s="1107"/>
      <c r="CL1839" s="22"/>
      <c r="CM1839" s="22"/>
      <c r="CN1839" s="1107"/>
      <c r="CR1839" s="223"/>
      <c r="CS1839" s="952"/>
      <c r="CT1839" s="1066"/>
      <c r="CU1839" s="972"/>
      <c r="CV1839" s="983"/>
      <c r="CW1839" s="222"/>
      <c r="CX1839" s="697"/>
      <c r="DC1839" s="222"/>
      <c r="DJ1839" s="889"/>
      <c r="DM1839" s="890"/>
      <c r="DN1839" s="952"/>
      <c r="DO1839" s="75"/>
      <c r="DP1839" s="962"/>
      <c r="DQ1839" s="983"/>
      <c r="DV1839" s="889"/>
    </row>
    <row r="1840" spans="1:126" s="74" customFormat="1">
      <c r="A1840" s="15"/>
      <c r="B1840" s="15"/>
      <c r="C1840" s="15"/>
      <c r="D1840" s="15"/>
      <c r="E1840" s="6"/>
      <c r="F1840" s="6"/>
      <c r="G1840" s="6"/>
      <c r="K1840" s="222"/>
      <c r="V1840" s="1430"/>
      <c r="AA1840" s="223"/>
      <c r="AC1840" s="889"/>
      <c r="AF1840" s="890"/>
      <c r="AJ1840" s="889"/>
      <c r="AN1840" s="222"/>
      <c r="BC1840" s="223"/>
      <c r="BD1840" s="222"/>
      <c r="BH1840" s="611"/>
      <c r="BJ1840" s="15"/>
      <c r="BK1840" s="15"/>
      <c r="BO1840" s="223"/>
      <c r="BQ1840" s="889"/>
      <c r="BT1840" s="890"/>
      <c r="BX1840" s="889"/>
      <c r="CB1840" s="15"/>
      <c r="CC1840" s="697"/>
      <c r="CD1840" s="1086"/>
      <c r="CE1840" s="15"/>
      <c r="CF1840" s="15"/>
      <c r="CG1840" s="936"/>
      <c r="CH1840" s="15"/>
      <c r="CI1840" s="15"/>
      <c r="CJ1840" s="15"/>
      <c r="CK1840" s="1107"/>
      <c r="CL1840" s="22"/>
      <c r="CM1840" s="22"/>
      <c r="CN1840" s="1107"/>
      <c r="CR1840" s="223"/>
      <c r="CS1840" s="952"/>
      <c r="CT1840" s="1066"/>
      <c r="CU1840" s="972"/>
      <c r="CV1840" s="983"/>
      <c r="CW1840" s="222"/>
      <c r="CX1840" s="697"/>
      <c r="DC1840" s="222"/>
      <c r="DJ1840" s="889"/>
      <c r="DM1840" s="890"/>
      <c r="DN1840" s="952"/>
      <c r="DO1840" s="75"/>
      <c r="DP1840" s="962"/>
      <c r="DQ1840" s="983"/>
      <c r="DV1840" s="889"/>
    </row>
    <row r="1841" spans="1:126" s="74" customFormat="1">
      <c r="A1841" s="15"/>
      <c r="B1841" s="15"/>
      <c r="C1841" s="15"/>
      <c r="D1841" s="15"/>
      <c r="E1841" s="6"/>
      <c r="F1841" s="6"/>
      <c r="G1841" s="6"/>
      <c r="K1841" s="222"/>
      <c r="V1841" s="1430"/>
      <c r="AA1841" s="223"/>
      <c r="AC1841" s="889"/>
      <c r="AF1841" s="890"/>
      <c r="AJ1841" s="889"/>
      <c r="AN1841" s="222"/>
      <c r="BC1841" s="223"/>
      <c r="BD1841" s="222"/>
      <c r="BH1841" s="611"/>
      <c r="BJ1841" s="15"/>
      <c r="BK1841" s="15"/>
      <c r="BO1841" s="223"/>
      <c r="BQ1841" s="889"/>
      <c r="BT1841" s="890"/>
      <c r="BX1841" s="889"/>
      <c r="CB1841" s="15"/>
      <c r="CC1841" s="697"/>
      <c r="CD1841" s="1086"/>
      <c r="CE1841" s="15"/>
      <c r="CF1841" s="15"/>
      <c r="CG1841" s="936"/>
      <c r="CH1841" s="15"/>
      <c r="CI1841" s="15"/>
      <c r="CJ1841" s="15"/>
      <c r="CK1841" s="1107"/>
      <c r="CL1841" s="22"/>
      <c r="CM1841" s="22"/>
      <c r="CN1841" s="1107"/>
      <c r="CR1841" s="223"/>
      <c r="CS1841" s="952"/>
      <c r="CT1841" s="1066"/>
      <c r="CU1841" s="972"/>
      <c r="CV1841" s="983"/>
      <c r="CW1841" s="222"/>
      <c r="CX1841" s="697"/>
      <c r="DC1841" s="222"/>
      <c r="DJ1841" s="889"/>
      <c r="DM1841" s="890"/>
      <c r="DN1841" s="952"/>
      <c r="DO1841" s="75"/>
      <c r="DP1841" s="962"/>
      <c r="DQ1841" s="983"/>
      <c r="DV1841" s="889"/>
    </row>
    <row r="1842" spans="1:126" s="74" customFormat="1">
      <c r="A1842" s="15"/>
      <c r="B1842" s="15"/>
      <c r="C1842" s="15"/>
      <c r="D1842" s="15"/>
      <c r="E1842" s="6"/>
      <c r="F1842" s="6"/>
      <c r="G1842" s="6"/>
      <c r="K1842" s="222"/>
      <c r="V1842" s="1430"/>
      <c r="AA1842" s="223"/>
      <c r="AC1842" s="889"/>
      <c r="AF1842" s="890"/>
      <c r="AJ1842" s="889"/>
      <c r="AN1842" s="222"/>
      <c r="BC1842" s="223"/>
      <c r="BD1842" s="222"/>
      <c r="BH1842" s="611"/>
      <c r="BJ1842" s="15"/>
      <c r="BK1842" s="15"/>
      <c r="BO1842" s="223"/>
      <c r="BQ1842" s="889"/>
      <c r="BT1842" s="890"/>
      <c r="BX1842" s="889"/>
      <c r="CB1842" s="15"/>
      <c r="CC1842" s="697"/>
      <c r="CD1842" s="1086"/>
      <c r="CE1842" s="15"/>
      <c r="CF1842" s="15"/>
      <c r="CG1842" s="936"/>
      <c r="CH1842" s="15"/>
      <c r="CI1842" s="15"/>
      <c r="CJ1842" s="15"/>
      <c r="CK1842" s="1107"/>
      <c r="CL1842" s="22"/>
      <c r="CM1842" s="22"/>
      <c r="CN1842" s="1107"/>
      <c r="CR1842" s="223"/>
      <c r="CS1842" s="952"/>
      <c r="CT1842" s="1066"/>
      <c r="CU1842" s="972"/>
      <c r="CV1842" s="983"/>
      <c r="CW1842" s="222"/>
      <c r="CX1842" s="697"/>
      <c r="DC1842" s="222"/>
      <c r="DJ1842" s="889"/>
      <c r="DM1842" s="890"/>
      <c r="DN1842" s="952"/>
      <c r="DO1842" s="75"/>
      <c r="DP1842" s="962"/>
      <c r="DQ1842" s="983"/>
      <c r="DV1842" s="889"/>
    </row>
    <row r="1843" spans="1:126" s="74" customFormat="1">
      <c r="A1843" s="15"/>
      <c r="B1843" s="15"/>
      <c r="C1843" s="15"/>
      <c r="D1843" s="15"/>
      <c r="E1843" s="6"/>
      <c r="F1843" s="6"/>
      <c r="G1843" s="6"/>
      <c r="K1843" s="222"/>
      <c r="V1843" s="1430"/>
      <c r="AA1843" s="223"/>
      <c r="AC1843" s="889"/>
      <c r="AF1843" s="890"/>
      <c r="AJ1843" s="889"/>
      <c r="AN1843" s="222"/>
      <c r="BC1843" s="223"/>
      <c r="BD1843" s="222"/>
      <c r="BH1843" s="611"/>
      <c r="BJ1843" s="15"/>
      <c r="BK1843" s="15"/>
      <c r="BO1843" s="223"/>
      <c r="BQ1843" s="889"/>
      <c r="BT1843" s="890"/>
      <c r="BX1843" s="889"/>
      <c r="CB1843" s="15"/>
      <c r="CC1843" s="697"/>
      <c r="CD1843" s="1086"/>
      <c r="CE1843" s="15"/>
      <c r="CF1843" s="15"/>
      <c r="CG1843" s="936"/>
      <c r="CH1843" s="15"/>
      <c r="CI1843" s="15"/>
      <c r="CJ1843" s="15"/>
      <c r="CK1843" s="1107"/>
      <c r="CL1843" s="22"/>
      <c r="CM1843" s="22"/>
      <c r="CN1843" s="1107"/>
      <c r="CR1843" s="223"/>
      <c r="CS1843" s="952"/>
      <c r="CT1843" s="1066"/>
      <c r="CU1843" s="972"/>
      <c r="CV1843" s="983"/>
      <c r="CW1843" s="222"/>
      <c r="CX1843" s="697"/>
      <c r="DC1843" s="222"/>
      <c r="DJ1843" s="889"/>
      <c r="DM1843" s="890"/>
      <c r="DN1843" s="952"/>
      <c r="DO1843" s="75"/>
      <c r="DP1843" s="962"/>
      <c r="DQ1843" s="983"/>
      <c r="DV1843" s="889"/>
    </row>
    <row r="1844" spans="1:126" s="74" customFormat="1">
      <c r="A1844" s="15"/>
      <c r="B1844" s="15"/>
      <c r="C1844" s="15"/>
      <c r="D1844" s="15"/>
      <c r="E1844" s="6"/>
      <c r="F1844" s="6"/>
      <c r="G1844" s="6"/>
      <c r="K1844" s="222"/>
      <c r="V1844" s="1430"/>
      <c r="AA1844" s="223"/>
      <c r="AC1844" s="889"/>
      <c r="AF1844" s="890"/>
      <c r="AJ1844" s="889"/>
      <c r="AN1844" s="222"/>
      <c r="BC1844" s="223"/>
      <c r="BD1844" s="222"/>
      <c r="BH1844" s="611"/>
      <c r="BJ1844" s="15"/>
      <c r="BK1844" s="15"/>
      <c r="BO1844" s="223"/>
      <c r="BQ1844" s="889"/>
      <c r="BT1844" s="890"/>
      <c r="BX1844" s="889"/>
      <c r="CB1844" s="15"/>
      <c r="CC1844" s="697"/>
      <c r="CD1844" s="1086"/>
      <c r="CE1844" s="15"/>
      <c r="CF1844" s="15"/>
      <c r="CG1844" s="936"/>
      <c r="CH1844" s="15"/>
      <c r="CI1844" s="15"/>
      <c r="CJ1844" s="15"/>
      <c r="CK1844" s="1107"/>
      <c r="CL1844" s="22"/>
      <c r="CM1844" s="22"/>
      <c r="CN1844" s="1107"/>
      <c r="CR1844" s="223"/>
      <c r="CS1844" s="952"/>
      <c r="CT1844" s="1066"/>
      <c r="CU1844" s="972"/>
      <c r="CV1844" s="983"/>
      <c r="CW1844" s="222"/>
      <c r="CX1844" s="697"/>
      <c r="DC1844" s="222"/>
      <c r="DJ1844" s="889"/>
      <c r="DM1844" s="890"/>
      <c r="DN1844" s="952"/>
      <c r="DO1844" s="75"/>
      <c r="DP1844" s="962"/>
      <c r="DQ1844" s="983"/>
      <c r="DV1844" s="889"/>
    </row>
    <row r="1845" spans="1:126" s="74" customFormat="1">
      <c r="A1845" s="15"/>
      <c r="B1845" s="15"/>
      <c r="C1845" s="15"/>
      <c r="D1845" s="15"/>
      <c r="E1845" s="6"/>
      <c r="F1845" s="6"/>
      <c r="G1845" s="6"/>
      <c r="K1845" s="222"/>
      <c r="V1845" s="1430"/>
      <c r="AA1845" s="223"/>
      <c r="AC1845" s="889"/>
      <c r="AF1845" s="890"/>
      <c r="AJ1845" s="889"/>
      <c r="AN1845" s="222"/>
      <c r="BC1845" s="223"/>
      <c r="BD1845" s="222"/>
      <c r="BH1845" s="611"/>
      <c r="BJ1845" s="15"/>
      <c r="BK1845" s="15"/>
      <c r="BO1845" s="223"/>
      <c r="BQ1845" s="889"/>
      <c r="BT1845" s="890"/>
      <c r="BX1845" s="889"/>
      <c r="CB1845" s="15"/>
      <c r="CC1845" s="697"/>
      <c r="CD1845" s="1086"/>
      <c r="CE1845" s="15"/>
      <c r="CF1845" s="15"/>
      <c r="CG1845" s="936"/>
      <c r="CH1845" s="15"/>
      <c r="CI1845" s="15"/>
      <c r="CJ1845" s="15"/>
      <c r="CK1845" s="1107"/>
      <c r="CL1845" s="22"/>
      <c r="CM1845" s="22"/>
      <c r="CN1845" s="1107"/>
      <c r="CR1845" s="223"/>
      <c r="CS1845" s="952"/>
      <c r="CT1845" s="1066"/>
      <c r="CU1845" s="972"/>
      <c r="CV1845" s="983"/>
      <c r="CW1845" s="222"/>
      <c r="CX1845" s="697"/>
      <c r="DC1845" s="222"/>
      <c r="DJ1845" s="889"/>
      <c r="DM1845" s="890"/>
      <c r="DN1845" s="952"/>
      <c r="DO1845" s="75"/>
      <c r="DP1845" s="962"/>
      <c r="DQ1845" s="983"/>
      <c r="DV1845" s="889"/>
    </row>
    <row r="1846" spans="1:126" s="74" customFormat="1">
      <c r="A1846" s="15"/>
      <c r="B1846" s="15"/>
      <c r="C1846" s="15"/>
      <c r="D1846" s="15"/>
      <c r="E1846" s="6"/>
      <c r="F1846" s="6"/>
      <c r="G1846" s="6"/>
      <c r="K1846" s="222"/>
      <c r="V1846" s="1430"/>
      <c r="AA1846" s="223"/>
      <c r="AC1846" s="889"/>
      <c r="AF1846" s="890"/>
      <c r="AJ1846" s="889"/>
      <c r="AN1846" s="222"/>
      <c r="BC1846" s="223"/>
      <c r="BD1846" s="222"/>
      <c r="BH1846" s="611"/>
      <c r="BJ1846" s="15"/>
      <c r="BK1846" s="15"/>
      <c r="BO1846" s="223"/>
      <c r="BQ1846" s="889"/>
      <c r="BT1846" s="890"/>
      <c r="BX1846" s="889"/>
      <c r="CB1846" s="15"/>
      <c r="CC1846" s="697"/>
      <c r="CD1846" s="1086"/>
      <c r="CE1846" s="15"/>
      <c r="CF1846" s="15"/>
      <c r="CG1846" s="936"/>
      <c r="CH1846" s="15"/>
      <c r="CI1846" s="15"/>
      <c r="CJ1846" s="15"/>
      <c r="CK1846" s="1107"/>
      <c r="CL1846" s="22"/>
      <c r="CM1846" s="22"/>
      <c r="CN1846" s="1107"/>
      <c r="CR1846" s="223"/>
      <c r="CS1846" s="952"/>
      <c r="CT1846" s="1066"/>
      <c r="CU1846" s="972"/>
      <c r="CV1846" s="983"/>
      <c r="CW1846" s="222"/>
      <c r="CX1846" s="697"/>
      <c r="DC1846" s="222"/>
      <c r="DJ1846" s="889"/>
      <c r="DM1846" s="890"/>
      <c r="DN1846" s="952"/>
      <c r="DO1846" s="75"/>
      <c r="DP1846" s="962"/>
      <c r="DQ1846" s="983"/>
      <c r="DV1846" s="889"/>
    </row>
    <row r="1847" spans="1:126" s="74" customFormat="1">
      <c r="A1847" s="15"/>
      <c r="B1847" s="15"/>
      <c r="C1847" s="15"/>
      <c r="D1847" s="15"/>
      <c r="E1847" s="6"/>
      <c r="F1847" s="6"/>
      <c r="G1847" s="6"/>
      <c r="K1847" s="222"/>
      <c r="V1847" s="1430"/>
      <c r="AA1847" s="223"/>
      <c r="AC1847" s="889"/>
      <c r="AF1847" s="890"/>
      <c r="AJ1847" s="889"/>
      <c r="AN1847" s="222"/>
      <c r="BC1847" s="223"/>
      <c r="BD1847" s="222"/>
      <c r="BH1847" s="611"/>
      <c r="BJ1847" s="15"/>
      <c r="BK1847" s="15"/>
      <c r="BO1847" s="223"/>
      <c r="BQ1847" s="889"/>
      <c r="BT1847" s="890"/>
      <c r="BX1847" s="889"/>
      <c r="CB1847" s="15"/>
      <c r="CC1847" s="697"/>
      <c r="CD1847" s="1086"/>
      <c r="CE1847" s="15"/>
      <c r="CF1847" s="15"/>
      <c r="CG1847" s="936"/>
      <c r="CH1847" s="15"/>
      <c r="CI1847" s="15"/>
      <c r="CJ1847" s="15"/>
      <c r="CK1847" s="1107"/>
      <c r="CL1847" s="22"/>
      <c r="CM1847" s="22"/>
      <c r="CN1847" s="1107"/>
      <c r="CR1847" s="223"/>
      <c r="CS1847" s="952"/>
      <c r="CT1847" s="1066"/>
      <c r="CU1847" s="972"/>
      <c r="CV1847" s="983"/>
      <c r="CW1847" s="222"/>
      <c r="CX1847" s="697"/>
      <c r="DC1847" s="222"/>
      <c r="DJ1847" s="889"/>
      <c r="DM1847" s="890"/>
      <c r="DN1847" s="952"/>
      <c r="DO1847" s="75"/>
      <c r="DP1847" s="962"/>
      <c r="DQ1847" s="983"/>
      <c r="DV1847" s="889"/>
    </row>
    <row r="1848" spans="1:126" s="74" customFormat="1">
      <c r="A1848" s="15"/>
      <c r="B1848" s="15"/>
      <c r="C1848" s="15"/>
      <c r="D1848" s="15"/>
      <c r="E1848" s="6"/>
      <c r="F1848" s="6"/>
      <c r="G1848" s="6"/>
      <c r="K1848" s="222"/>
      <c r="V1848" s="1430"/>
      <c r="AA1848" s="223"/>
      <c r="AC1848" s="889"/>
      <c r="AF1848" s="890"/>
      <c r="AJ1848" s="889"/>
      <c r="AN1848" s="222"/>
      <c r="BC1848" s="223"/>
      <c r="BD1848" s="222"/>
      <c r="BH1848" s="611"/>
      <c r="BJ1848" s="15"/>
      <c r="BK1848" s="15"/>
      <c r="BO1848" s="223"/>
      <c r="BQ1848" s="889"/>
      <c r="BT1848" s="890"/>
      <c r="BX1848" s="889"/>
      <c r="CB1848" s="15"/>
      <c r="CC1848" s="697"/>
      <c r="CD1848" s="1086"/>
      <c r="CE1848" s="15"/>
      <c r="CF1848" s="15"/>
      <c r="CG1848" s="936"/>
      <c r="CH1848" s="15"/>
      <c r="CI1848" s="15"/>
      <c r="CJ1848" s="15"/>
      <c r="CK1848" s="1107"/>
      <c r="CL1848" s="22"/>
      <c r="CM1848" s="22"/>
      <c r="CN1848" s="1107"/>
      <c r="CR1848" s="223"/>
      <c r="CS1848" s="952"/>
      <c r="CT1848" s="1066"/>
      <c r="CU1848" s="972"/>
      <c r="CV1848" s="983"/>
      <c r="CW1848" s="222"/>
      <c r="CX1848" s="697"/>
      <c r="DC1848" s="222"/>
      <c r="DJ1848" s="889"/>
      <c r="DM1848" s="890"/>
      <c r="DN1848" s="952"/>
      <c r="DO1848" s="75"/>
      <c r="DP1848" s="962"/>
      <c r="DQ1848" s="983"/>
      <c r="DV1848" s="889"/>
    </row>
    <row r="1849" spans="1:126" s="74" customFormat="1">
      <c r="A1849" s="15"/>
      <c r="B1849" s="15"/>
      <c r="C1849" s="15"/>
      <c r="D1849" s="15"/>
      <c r="E1849" s="6"/>
      <c r="F1849" s="6"/>
      <c r="G1849" s="6"/>
      <c r="K1849" s="222"/>
      <c r="V1849" s="1430"/>
      <c r="AA1849" s="223"/>
      <c r="AC1849" s="889"/>
      <c r="AF1849" s="890"/>
      <c r="AJ1849" s="889"/>
      <c r="AN1849" s="222"/>
      <c r="BC1849" s="223"/>
      <c r="BD1849" s="222"/>
      <c r="BH1849" s="611"/>
      <c r="BJ1849" s="15"/>
      <c r="BK1849" s="15"/>
      <c r="BO1849" s="223"/>
      <c r="BQ1849" s="889"/>
      <c r="BT1849" s="890"/>
      <c r="BX1849" s="889"/>
      <c r="CB1849" s="15"/>
      <c r="CC1849" s="697"/>
      <c r="CD1849" s="1086"/>
      <c r="CE1849" s="15"/>
      <c r="CF1849" s="15"/>
      <c r="CG1849" s="936"/>
      <c r="CH1849" s="15"/>
      <c r="CI1849" s="15"/>
      <c r="CJ1849" s="15"/>
      <c r="CK1849" s="1107"/>
      <c r="CL1849" s="22"/>
      <c r="CM1849" s="22"/>
      <c r="CN1849" s="1107"/>
      <c r="CR1849" s="223"/>
      <c r="CS1849" s="952"/>
      <c r="CT1849" s="1066"/>
      <c r="CU1849" s="972"/>
      <c r="CV1849" s="983"/>
      <c r="CW1849" s="222"/>
      <c r="CX1849" s="697"/>
      <c r="DC1849" s="222"/>
      <c r="DJ1849" s="889"/>
      <c r="DM1849" s="890"/>
      <c r="DN1849" s="952"/>
      <c r="DO1849" s="75"/>
      <c r="DP1849" s="962"/>
      <c r="DQ1849" s="983"/>
      <c r="DV1849" s="889"/>
    </row>
    <row r="1850" spans="1:126" s="74" customFormat="1">
      <c r="A1850" s="15"/>
      <c r="B1850" s="15"/>
      <c r="C1850" s="15"/>
      <c r="D1850" s="15"/>
      <c r="E1850" s="6"/>
      <c r="F1850" s="6"/>
      <c r="G1850" s="6"/>
      <c r="K1850" s="222"/>
      <c r="V1850" s="1430"/>
      <c r="AA1850" s="223"/>
      <c r="AC1850" s="889"/>
      <c r="AF1850" s="890"/>
      <c r="AJ1850" s="889"/>
      <c r="AN1850" s="222"/>
      <c r="BC1850" s="223"/>
      <c r="BD1850" s="222"/>
      <c r="BH1850" s="611"/>
      <c r="BJ1850" s="15"/>
      <c r="BK1850" s="15"/>
      <c r="BO1850" s="223"/>
      <c r="BQ1850" s="889"/>
      <c r="BT1850" s="890"/>
      <c r="BX1850" s="889"/>
      <c r="CB1850" s="15"/>
      <c r="CC1850" s="697"/>
      <c r="CD1850" s="1086"/>
      <c r="CE1850" s="15"/>
      <c r="CF1850" s="15"/>
      <c r="CG1850" s="936"/>
      <c r="CH1850" s="15"/>
      <c r="CI1850" s="15"/>
      <c r="CJ1850" s="15"/>
      <c r="CK1850" s="1107"/>
      <c r="CL1850" s="22"/>
      <c r="CM1850" s="22"/>
      <c r="CN1850" s="1107"/>
      <c r="CR1850" s="223"/>
      <c r="CS1850" s="952"/>
      <c r="CT1850" s="1066"/>
      <c r="CU1850" s="972"/>
      <c r="CV1850" s="983"/>
      <c r="CW1850" s="222"/>
      <c r="CX1850" s="697"/>
      <c r="DC1850" s="222"/>
      <c r="DJ1850" s="889"/>
      <c r="DM1850" s="890"/>
      <c r="DN1850" s="952"/>
      <c r="DO1850" s="75"/>
      <c r="DP1850" s="962"/>
      <c r="DQ1850" s="983"/>
      <c r="DV1850" s="889"/>
    </row>
    <row r="1851" spans="1:126" s="74" customFormat="1">
      <c r="A1851" s="15"/>
      <c r="B1851" s="15"/>
      <c r="C1851" s="15"/>
      <c r="D1851" s="15"/>
      <c r="E1851" s="6"/>
      <c r="F1851" s="6"/>
      <c r="G1851" s="6"/>
      <c r="K1851" s="222"/>
      <c r="V1851" s="1430"/>
      <c r="AA1851" s="223"/>
      <c r="AC1851" s="889"/>
      <c r="AF1851" s="890"/>
      <c r="AJ1851" s="889"/>
      <c r="AN1851" s="222"/>
      <c r="BC1851" s="223"/>
      <c r="BD1851" s="222"/>
      <c r="BH1851" s="611"/>
      <c r="BJ1851" s="15"/>
      <c r="BK1851" s="15"/>
      <c r="BO1851" s="223"/>
      <c r="BQ1851" s="889"/>
      <c r="BT1851" s="890"/>
      <c r="BX1851" s="889"/>
      <c r="CB1851" s="15"/>
      <c r="CC1851" s="697"/>
      <c r="CD1851" s="1086"/>
      <c r="CE1851" s="15"/>
      <c r="CF1851" s="15"/>
      <c r="CG1851" s="936"/>
      <c r="CH1851" s="15"/>
      <c r="CI1851" s="15"/>
      <c r="CJ1851" s="15"/>
      <c r="CK1851" s="1107"/>
      <c r="CL1851" s="22"/>
      <c r="CM1851" s="22"/>
      <c r="CN1851" s="1107"/>
      <c r="CR1851" s="223"/>
      <c r="CS1851" s="952"/>
      <c r="CT1851" s="1066"/>
      <c r="CU1851" s="972"/>
      <c r="CV1851" s="983"/>
      <c r="CW1851" s="222"/>
      <c r="CX1851" s="697"/>
      <c r="DC1851" s="222"/>
      <c r="DJ1851" s="889"/>
      <c r="DM1851" s="890"/>
      <c r="DN1851" s="952"/>
      <c r="DO1851" s="75"/>
      <c r="DP1851" s="962"/>
      <c r="DQ1851" s="983"/>
      <c r="DV1851" s="889"/>
    </row>
    <row r="1852" spans="1:126" s="74" customFormat="1">
      <c r="A1852" s="15"/>
      <c r="B1852" s="15"/>
      <c r="C1852" s="15"/>
      <c r="D1852" s="15"/>
      <c r="E1852" s="6"/>
      <c r="F1852" s="6"/>
      <c r="G1852" s="6"/>
      <c r="K1852" s="222"/>
      <c r="V1852" s="1430"/>
      <c r="AA1852" s="223"/>
      <c r="AC1852" s="889"/>
      <c r="AF1852" s="890"/>
      <c r="AJ1852" s="889"/>
      <c r="AN1852" s="222"/>
      <c r="BC1852" s="223"/>
      <c r="BD1852" s="222"/>
      <c r="BH1852" s="611"/>
      <c r="BJ1852" s="15"/>
      <c r="BK1852" s="15"/>
      <c r="BO1852" s="223"/>
      <c r="BQ1852" s="889"/>
      <c r="BT1852" s="890"/>
      <c r="BX1852" s="889"/>
      <c r="CB1852" s="15"/>
      <c r="CC1852" s="697"/>
      <c r="CD1852" s="1086"/>
      <c r="CE1852" s="15"/>
      <c r="CF1852" s="15"/>
      <c r="CG1852" s="936"/>
      <c r="CH1852" s="15"/>
      <c r="CI1852" s="15"/>
      <c r="CJ1852" s="15"/>
      <c r="CK1852" s="1107"/>
      <c r="CL1852" s="22"/>
      <c r="CM1852" s="22"/>
      <c r="CN1852" s="1107"/>
      <c r="CR1852" s="223"/>
      <c r="CS1852" s="952"/>
      <c r="CT1852" s="1066"/>
      <c r="CU1852" s="972"/>
      <c r="CV1852" s="983"/>
      <c r="CW1852" s="222"/>
      <c r="CX1852" s="697"/>
      <c r="DC1852" s="222"/>
      <c r="DJ1852" s="889"/>
      <c r="DM1852" s="890"/>
      <c r="DN1852" s="952"/>
      <c r="DO1852" s="75"/>
      <c r="DP1852" s="962"/>
      <c r="DQ1852" s="983"/>
      <c r="DV1852" s="889"/>
    </row>
    <row r="1853" spans="1:126" s="74" customFormat="1">
      <c r="A1853" s="15"/>
      <c r="B1853" s="15"/>
      <c r="C1853" s="15"/>
      <c r="D1853" s="15"/>
      <c r="E1853" s="6"/>
      <c r="F1853" s="6"/>
      <c r="G1853" s="6"/>
      <c r="K1853" s="222"/>
      <c r="V1853" s="1430"/>
      <c r="AA1853" s="223"/>
      <c r="AC1853" s="889"/>
      <c r="AF1853" s="890"/>
      <c r="AJ1853" s="889"/>
      <c r="AN1853" s="222"/>
      <c r="BC1853" s="223"/>
      <c r="BD1853" s="222"/>
      <c r="BH1853" s="611"/>
      <c r="BJ1853" s="15"/>
      <c r="BK1853" s="15"/>
      <c r="BO1853" s="223"/>
      <c r="BQ1853" s="889"/>
      <c r="BT1853" s="890"/>
      <c r="BX1853" s="889"/>
      <c r="CB1853" s="15"/>
      <c r="CC1853" s="697"/>
      <c r="CD1853" s="1086"/>
      <c r="CE1853" s="15"/>
      <c r="CF1853" s="15"/>
      <c r="CG1853" s="936"/>
      <c r="CH1853" s="15"/>
      <c r="CI1853" s="15"/>
      <c r="CJ1853" s="15"/>
      <c r="CK1853" s="1107"/>
      <c r="CL1853" s="22"/>
      <c r="CM1853" s="22"/>
      <c r="CN1853" s="1107"/>
      <c r="CR1853" s="223"/>
      <c r="CS1853" s="952"/>
      <c r="CT1853" s="1066"/>
      <c r="CU1853" s="972"/>
      <c r="CV1853" s="983"/>
      <c r="CW1853" s="222"/>
      <c r="CX1853" s="697"/>
      <c r="DC1853" s="222"/>
      <c r="DJ1853" s="889"/>
      <c r="DM1853" s="890"/>
      <c r="DN1853" s="952"/>
      <c r="DO1853" s="75"/>
      <c r="DP1853" s="962"/>
      <c r="DQ1853" s="983"/>
      <c r="DV1853" s="889"/>
    </row>
    <row r="1854" spans="1:126" s="74" customFormat="1">
      <c r="A1854" s="15"/>
      <c r="B1854" s="15"/>
      <c r="C1854" s="15"/>
      <c r="D1854" s="15"/>
      <c r="E1854" s="6"/>
      <c r="F1854" s="6"/>
      <c r="G1854" s="6"/>
      <c r="K1854" s="222"/>
      <c r="V1854" s="1430"/>
      <c r="AA1854" s="223"/>
      <c r="AC1854" s="889"/>
      <c r="AF1854" s="890"/>
      <c r="AJ1854" s="889"/>
      <c r="AN1854" s="222"/>
      <c r="BC1854" s="223"/>
      <c r="BD1854" s="222"/>
      <c r="BH1854" s="611"/>
      <c r="BJ1854" s="15"/>
      <c r="BK1854" s="15"/>
      <c r="BO1854" s="223"/>
      <c r="BQ1854" s="889"/>
      <c r="BT1854" s="890"/>
      <c r="BX1854" s="889"/>
      <c r="CB1854" s="15"/>
      <c r="CC1854" s="697"/>
      <c r="CD1854" s="1086"/>
      <c r="CE1854" s="15"/>
      <c r="CF1854" s="15"/>
      <c r="CG1854" s="936"/>
      <c r="CH1854" s="15"/>
      <c r="CI1854" s="15"/>
      <c r="CJ1854" s="15"/>
      <c r="CK1854" s="1107"/>
      <c r="CL1854" s="22"/>
      <c r="CM1854" s="22"/>
      <c r="CN1854" s="1107"/>
      <c r="CR1854" s="223"/>
      <c r="CS1854" s="952"/>
      <c r="CT1854" s="1066"/>
      <c r="CU1854" s="972"/>
      <c r="CV1854" s="983"/>
      <c r="CW1854" s="222"/>
      <c r="CX1854" s="697"/>
      <c r="DC1854" s="222"/>
      <c r="DJ1854" s="889"/>
      <c r="DM1854" s="890"/>
      <c r="DN1854" s="952"/>
      <c r="DO1854" s="75"/>
      <c r="DP1854" s="962"/>
      <c r="DQ1854" s="983"/>
      <c r="DV1854" s="889"/>
    </row>
    <row r="1855" spans="1:126" s="74" customFormat="1">
      <c r="A1855" s="15"/>
      <c r="B1855" s="15"/>
      <c r="C1855" s="15"/>
      <c r="D1855" s="15"/>
      <c r="E1855" s="6"/>
      <c r="F1855" s="6"/>
      <c r="G1855" s="6"/>
      <c r="K1855" s="222"/>
      <c r="V1855" s="1430"/>
      <c r="AA1855" s="223"/>
      <c r="AC1855" s="889"/>
      <c r="AF1855" s="890"/>
      <c r="AJ1855" s="889"/>
      <c r="AN1855" s="222"/>
      <c r="BC1855" s="223"/>
      <c r="BD1855" s="222"/>
      <c r="BH1855" s="611"/>
      <c r="BJ1855" s="15"/>
      <c r="BK1855" s="15"/>
      <c r="BO1855" s="223"/>
      <c r="BQ1855" s="889"/>
      <c r="BT1855" s="890"/>
      <c r="BX1855" s="889"/>
      <c r="CB1855" s="15"/>
      <c r="CC1855" s="697"/>
      <c r="CD1855" s="1086"/>
      <c r="CE1855" s="15"/>
      <c r="CF1855" s="15"/>
      <c r="CG1855" s="936"/>
      <c r="CH1855" s="15"/>
      <c r="CI1855" s="15"/>
      <c r="CJ1855" s="15"/>
      <c r="CK1855" s="1107"/>
      <c r="CL1855" s="22"/>
      <c r="CM1855" s="22"/>
      <c r="CN1855" s="1107"/>
      <c r="CR1855" s="223"/>
      <c r="CS1855" s="952"/>
      <c r="CT1855" s="1066"/>
      <c r="CU1855" s="972"/>
      <c r="CV1855" s="983"/>
      <c r="CW1855" s="222"/>
      <c r="CX1855" s="697"/>
      <c r="DC1855" s="222"/>
      <c r="DJ1855" s="889"/>
      <c r="DM1855" s="890"/>
      <c r="DN1855" s="952"/>
      <c r="DO1855" s="75"/>
      <c r="DP1855" s="962"/>
      <c r="DQ1855" s="983"/>
      <c r="DV1855" s="889"/>
    </row>
    <row r="1856" spans="1:126" s="74" customFormat="1">
      <c r="A1856" s="15"/>
      <c r="B1856" s="15"/>
      <c r="C1856" s="15"/>
      <c r="D1856" s="15"/>
      <c r="E1856" s="6"/>
      <c r="F1856" s="6"/>
      <c r="G1856" s="6"/>
      <c r="K1856" s="222"/>
      <c r="V1856" s="1430"/>
      <c r="AA1856" s="223"/>
      <c r="AC1856" s="889"/>
      <c r="AF1856" s="890"/>
      <c r="AJ1856" s="889"/>
      <c r="AN1856" s="222"/>
      <c r="BC1856" s="223"/>
      <c r="BD1856" s="222"/>
      <c r="BH1856" s="611"/>
      <c r="BJ1856" s="15"/>
      <c r="BK1856" s="15"/>
      <c r="BO1856" s="223"/>
      <c r="BQ1856" s="889"/>
      <c r="BT1856" s="890"/>
      <c r="BX1856" s="889"/>
      <c r="CB1856" s="15"/>
      <c r="CC1856" s="697"/>
      <c r="CD1856" s="1086"/>
      <c r="CE1856" s="15"/>
      <c r="CF1856" s="15"/>
      <c r="CG1856" s="936"/>
      <c r="CH1856" s="15"/>
      <c r="CI1856" s="15"/>
      <c r="CJ1856" s="15"/>
      <c r="CK1856" s="1107"/>
      <c r="CL1856" s="22"/>
      <c r="CM1856" s="22"/>
      <c r="CN1856" s="1107"/>
      <c r="CR1856" s="223"/>
      <c r="CS1856" s="952"/>
      <c r="CT1856" s="1066"/>
      <c r="CU1856" s="972"/>
      <c r="CV1856" s="983"/>
      <c r="CW1856" s="222"/>
      <c r="CX1856" s="697"/>
      <c r="DC1856" s="222"/>
      <c r="DJ1856" s="889"/>
      <c r="DM1856" s="890"/>
      <c r="DN1856" s="952"/>
      <c r="DO1856" s="75"/>
      <c r="DP1856" s="962"/>
      <c r="DQ1856" s="983"/>
      <c r="DV1856" s="889"/>
    </row>
    <row r="1857" spans="1:126" s="74" customFormat="1">
      <c r="A1857" s="15"/>
      <c r="B1857" s="15"/>
      <c r="C1857" s="15"/>
      <c r="D1857" s="15"/>
      <c r="E1857" s="6"/>
      <c r="F1857" s="6"/>
      <c r="G1857" s="6"/>
      <c r="K1857" s="222"/>
      <c r="V1857" s="1430"/>
      <c r="AA1857" s="223"/>
      <c r="AC1857" s="889"/>
      <c r="AF1857" s="890"/>
      <c r="AJ1857" s="889"/>
      <c r="AN1857" s="222"/>
      <c r="BC1857" s="223"/>
      <c r="BD1857" s="222"/>
      <c r="BH1857" s="611"/>
      <c r="BJ1857" s="15"/>
      <c r="BK1857" s="15"/>
      <c r="BO1857" s="223"/>
      <c r="BQ1857" s="889"/>
      <c r="BT1857" s="890"/>
      <c r="BX1857" s="889"/>
      <c r="CB1857" s="15"/>
      <c r="CC1857" s="697"/>
      <c r="CD1857" s="1086"/>
      <c r="CE1857" s="15"/>
      <c r="CF1857" s="15"/>
      <c r="CG1857" s="936"/>
      <c r="CH1857" s="15"/>
      <c r="CI1857" s="15"/>
      <c r="CJ1857" s="15"/>
      <c r="CK1857" s="1107"/>
      <c r="CL1857" s="22"/>
      <c r="CM1857" s="22"/>
      <c r="CN1857" s="1107"/>
      <c r="CR1857" s="223"/>
      <c r="CS1857" s="952"/>
      <c r="CT1857" s="1066"/>
      <c r="CU1857" s="972"/>
      <c r="CV1857" s="983"/>
      <c r="CW1857" s="222"/>
      <c r="CX1857" s="697"/>
      <c r="DC1857" s="222"/>
      <c r="DJ1857" s="889"/>
      <c r="DM1857" s="890"/>
      <c r="DN1857" s="952"/>
      <c r="DO1857" s="75"/>
      <c r="DP1857" s="962"/>
      <c r="DQ1857" s="983"/>
      <c r="DV1857" s="889"/>
    </row>
    <row r="1858" spans="1:126" s="74" customFormat="1">
      <c r="A1858" s="15"/>
      <c r="B1858" s="15"/>
      <c r="C1858" s="15"/>
      <c r="D1858" s="15"/>
      <c r="E1858" s="6"/>
      <c r="F1858" s="6"/>
      <c r="G1858" s="6"/>
      <c r="K1858" s="222"/>
      <c r="V1858" s="1430"/>
      <c r="AA1858" s="223"/>
      <c r="AC1858" s="889"/>
      <c r="AF1858" s="890"/>
      <c r="AJ1858" s="889"/>
      <c r="AN1858" s="222"/>
      <c r="BC1858" s="223"/>
      <c r="BD1858" s="222"/>
      <c r="BH1858" s="611"/>
      <c r="BJ1858" s="15"/>
      <c r="BK1858" s="15"/>
      <c r="BO1858" s="223"/>
      <c r="BQ1858" s="889"/>
      <c r="BT1858" s="890"/>
      <c r="BX1858" s="889"/>
      <c r="CB1858" s="15"/>
      <c r="CC1858" s="697"/>
      <c r="CD1858" s="1086"/>
      <c r="CE1858" s="15"/>
      <c r="CF1858" s="15"/>
      <c r="CG1858" s="936"/>
      <c r="CH1858" s="15"/>
      <c r="CI1858" s="15"/>
      <c r="CJ1858" s="15"/>
      <c r="CK1858" s="1107"/>
      <c r="CL1858" s="22"/>
      <c r="CM1858" s="22"/>
      <c r="CN1858" s="1107"/>
      <c r="CR1858" s="223"/>
      <c r="CS1858" s="952"/>
      <c r="CT1858" s="1066"/>
      <c r="CU1858" s="972"/>
      <c r="CV1858" s="983"/>
      <c r="CW1858" s="222"/>
      <c r="CX1858" s="697"/>
      <c r="DC1858" s="222"/>
      <c r="DJ1858" s="889"/>
      <c r="DM1858" s="890"/>
      <c r="DN1858" s="952"/>
      <c r="DO1858" s="75"/>
      <c r="DP1858" s="962"/>
      <c r="DQ1858" s="983"/>
      <c r="DV1858" s="889"/>
    </row>
    <row r="1859" spans="1:126" s="74" customFormat="1">
      <c r="A1859" s="15"/>
      <c r="B1859" s="15"/>
      <c r="C1859" s="15"/>
      <c r="D1859" s="15"/>
      <c r="E1859" s="6"/>
      <c r="F1859" s="6"/>
      <c r="G1859" s="6"/>
      <c r="K1859" s="222"/>
      <c r="V1859" s="1430"/>
      <c r="AA1859" s="223"/>
      <c r="AC1859" s="889"/>
      <c r="AF1859" s="890"/>
      <c r="AJ1859" s="889"/>
      <c r="AN1859" s="222"/>
      <c r="BC1859" s="223"/>
      <c r="BD1859" s="222"/>
      <c r="BH1859" s="611"/>
      <c r="BJ1859" s="15"/>
      <c r="BK1859" s="15"/>
      <c r="BO1859" s="223"/>
      <c r="BQ1859" s="889"/>
      <c r="BT1859" s="890"/>
      <c r="BX1859" s="889"/>
      <c r="CB1859" s="15"/>
      <c r="CC1859" s="697"/>
      <c r="CD1859" s="1086"/>
      <c r="CE1859" s="15"/>
      <c r="CF1859" s="15"/>
      <c r="CG1859" s="936"/>
      <c r="CH1859" s="15"/>
      <c r="CI1859" s="15"/>
      <c r="CJ1859" s="15"/>
      <c r="CK1859" s="1107"/>
      <c r="CL1859" s="22"/>
      <c r="CM1859" s="22"/>
      <c r="CN1859" s="1107"/>
      <c r="CR1859" s="223"/>
      <c r="CS1859" s="952"/>
      <c r="CT1859" s="1066"/>
      <c r="CU1859" s="972"/>
      <c r="CV1859" s="983"/>
      <c r="CW1859" s="222"/>
      <c r="CX1859" s="697"/>
      <c r="DC1859" s="222"/>
      <c r="DJ1859" s="889"/>
      <c r="DM1859" s="890"/>
      <c r="DN1859" s="952"/>
      <c r="DO1859" s="75"/>
      <c r="DP1859" s="962"/>
      <c r="DQ1859" s="983"/>
      <c r="DV1859" s="889"/>
    </row>
    <row r="1860" spans="1:126" s="74" customFormat="1">
      <c r="A1860" s="15"/>
      <c r="B1860" s="15"/>
      <c r="C1860" s="15"/>
      <c r="D1860" s="15"/>
      <c r="E1860" s="6"/>
      <c r="F1860" s="6"/>
      <c r="G1860" s="6"/>
      <c r="K1860" s="222"/>
      <c r="V1860" s="1430"/>
      <c r="AA1860" s="223"/>
      <c r="AC1860" s="889"/>
      <c r="AF1860" s="890"/>
      <c r="AJ1860" s="889"/>
      <c r="AN1860" s="222"/>
      <c r="BC1860" s="223"/>
      <c r="BD1860" s="222"/>
      <c r="BH1860" s="611"/>
      <c r="BJ1860" s="15"/>
      <c r="BK1860" s="15"/>
      <c r="BO1860" s="223"/>
      <c r="BQ1860" s="889"/>
      <c r="BT1860" s="890"/>
      <c r="BX1860" s="889"/>
      <c r="CB1860" s="15"/>
      <c r="CC1860" s="697"/>
      <c r="CD1860" s="1086"/>
      <c r="CE1860" s="15"/>
      <c r="CF1860" s="15"/>
      <c r="CG1860" s="936"/>
      <c r="CH1860" s="15"/>
      <c r="CI1860" s="15"/>
      <c r="CJ1860" s="15"/>
      <c r="CK1860" s="1107"/>
      <c r="CL1860" s="22"/>
      <c r="CM1860" s="22"/>
      <c r="CN1860" s="1107"/>
      <c r="CR1860" s="223"/>
      <c r="CS1860" s="952"/>
      <c r="CT1860" s="1066"/>
      <c r="CU1860" s="972"/>
      <c r="CV1860" s="983"/>
      <c r="CW1860" s="222"/>
      <c r="CX1860" s="697"/>
      <c r="DC1860" s="222"/>
      <c r="DJ1860" s="889"/>
      <c r="DM1860" s="890"/>
      <c r="DN1860" s="952"/>
      <c r="DO1860" s="75"/>
      <c r="DP1860" s="962"/>
      <c r="DQ1860" s="983"/>
      <c r="DV1860" s="889"/>
    </row>
    <row r="1861" spans="1:126" s="74" customFormat="1">
      <c r="A1861" s="15"/>
      <c r="B1861" s="15"/>
      <c r="C1861" s="15"/>
      <c r="D1861" s="15"/>
      <c r="E1861" s="6"/>
      <c r="F1861" s="6"/>
      <c r="G1861" s="6"/>
      <c r="K1861" s="222"/>
      <c r="V1861" s="1430"/>
      <c r="AA1861" s="223"/>
      <c r="AC1861" s="889"/>
      <c r="AF1861" s="890"/>
      <c r="AJ1861" s="889"/>
      <c r="AN1861" s="222"/>
      <c r="BC1861" s="223"/>
      <c r="BD1861" s="222"/>
      <c r="BH1861" s="611"/>
      <c r="BJ1861" s="15"/>
      <c r="BK1861" s="15"/>
      <c r="BO1861" s="223"/>
      <c r="BQ1861" s="889"/>
      <c r="BT1861" s="890"/>
      <c r="BX1861" s="889"/>
      <c r="CB1861" s="15"/>
      <c r="CC1861" s="697"/>
      <c r="CD1861" s="1086"/>
      <c r="CE1861" s="15"/>
      <c r="CF1861" s="15"/>
      <c r="CG1861" s="936"/>
      <c r="CH1861" s="15"/>
      <c r="CI1861" s="15"/>
      <c r="CJ1861" s="15"/>
      <c r="CK1861" s="1107"/>
      <c r="CL1861" s="22"/>
      <c r="CM1861" s="22"/>
      <c r="CN1861" s="1107"/>
      <c r="CR1861" s="223"/>
      <c r="CS1861" s="952"/>
      <c r="CT1861" s="1066"/>
      <c r="CU1861" s="972"/>
      <c r="CV1861" s="983"/>
      <c r="CW1861" s="222"/>
      <c r="CX1861" s="697"/>
      <c r="DC1861" s="222"/>
      <c r="DJ1861" s="889"/>
      <c r="DM1861" s="890"/>
      <c r="DN1861" s="952"/>
      <c r="DO1861" s="75"/>
      <c r="DP1861" s="962"/>
      <c r="DQ1861" s="983"/>
      <c r="DV1861" s="889"/>
    </row>
    <row r="1862" spans="1:126" s="74" customFormat="1">
      <c r="A1862" s="15"/>
      <c r="B1862" s="15"/>
      <c r="C1862" s="15"/>
      <c r="D1862" s="15"/>
      <c r="E1862" s="6"/>
      <c r="F1862" s="6"/>
      <c r="G1862" s="6"/>
      <c r="K1862" s="222"/>
      <c r="V1862" s="1430"/>
      <c r="AA1862" s="223"/>
      <c r="AC1862" s="889"/>
      <c r="AF1862" s="890"/>
      <c r="AJ1862" s="889"/>
      <c r="AN1862" s="222"/>
      <c r="BC1862" s="223"/>
      <c r="BD1862" s="222"/>
      <c r="BH1862" s="611"/>
      <c r="BJ1862" s="15"/>
      <c r="BK1862" s="15"/>
      <c r="BO1862" s="223"/>
      <c r="BQ1862" s="889"/>
      <c r="BT1862" s="890"/>
      <c r="BX1862" s="889"/>
      <c r="CB1862" s="15"/>
      <c r="CC1862" s="697"/>
      <c r="CD1862" s="1086"/>
      <c r="CE1862" s="15"/>
      <c r="CF1862" s="15"/>
      <c r="CG1862" s="936"/>
      <c r="CH1862" s="15"/>
      <c r="CI1862" s="15"/>
      <c r="CJ1862" s="15"/>
      <c r="CK1862" s="1107"/>
      <c r="CL1862" s="22"/>
      <c r="CM1862" s="22"/>
      <c r="CN1862" s="1107"/>
      <c r="CR1862" s="223"/>
      <c r="CS1862" s="952"/>
      <c r="CT1862" s="1066"/>
      <c r="CU1862" s="972"/>
      <c r="CV1862" s="983"/>
      <c r="CW1862" s="222"/>
      <c r="CX1862" s="697"/>
      <c r="DC1862" s="222"/>
      <c r="DJ1862" s="889"/>
      <c r="DM1862" s="890"/>
      <c r="DN1862" s="952"/>
      <c r="DO1862" s="75"/>
      <c r="DP1862" s="962"/>
      <c r="DQ1862" s="983"/>
      <c r="DV1862" s="889"/>
    </row>
    <row r="1863" spans="1:126" s="74" customFormat="1">
      <c r="A1863" s="15"/>
      <c r="B1863" s="15"/>
      <c r="C1863" s="15"/>
      <c r="D1863" s="15"/>
      <c r="E1863" s="6"/>
      <c r="F1863" s="6"/>
      <c r="G1863" s="6"/>
      <c r="K1863" s="222"/>
      <c r="V1863" s="1430"/>
      <c r="AA1863" s="223"/>
      <c r="AC1863" s="889"/>
      <c r="AF1863" s="890"/>
      <c r="AJ1863" s="889"/>
      <c r="AN1863" s="222"/>
      <c r="BC1863" s="223"/>
      <c r="BD1863" s="222"/>
      <c r="BH1863" s="611"/>
      <c r="BJ1863" s="15"/>
      <c r="BK1863" s="15"/>
      <c r="BO1863" s="223"/>
      <c r="BQ1863" s="889"/>
      <c r="BT1863" s="890"/>
      <c r="BX1863" s="889"/>
      <c r="CB1863" s="15"/>
      <c r="CC1863" s="697"/>
      <c r="CD1863" s="1086"/>
      <c r="CE1863" s="15"/>
      <c r="CF1863" s="15"/>
      <c r="CG1863" s="936"/>
      <c r="CH1863" s="15"/>
      <c r="CI1863" s="15"/>
      <c r="CJ1863" s="15"/>
      <c r="CK1863" s="1107"/>
      <c r="CL1863" s="22"/>
      <c r="CM1863" s="22"/>
      <c r="CN1863" s="1107"/>
      <c r="CR1863" s="223"/>
      <c r="CS1863" s="952"/>
      <c r="CT1863" s="1066"/>
      <c r="CU1863" s="972"/>
      <c r="CV1863" s="983"/>
      <c r="CW1863" s="222"/>
      <c r="CX1863" s="697"/>
      <c r="DC1863" s="222"/>
      <c r="DJ1863" s="889"/>
      <c r="DM1863" s="890"/>
      <c r="DN1863" s="952"/>
      <c r="DO1863" s="75"/>
      <c r="DP1863" s="962"/>
      <c r="DQ1863" s="983"/>
      <c r="DV1863" s="889"/>
    </row>
    <row r="1864" spans="1:126" s="74" customFormat="1">
      <c r="A1864" s="15"/>
      <c r="B1864" s="15"/>
      <c r="C1864" s="15"/>
      <c r="D1864" s="15"/>
      <c r="E1864" s="6"/>
      <c r="F1864" s="6"/>
      <c r="G1864" s="6"/>
      <c r="K1864" s="222"/>
      <c r="V1864" s="1430"/>
      <c r="AA1864" s="223"/>
      <c r="AC1864" s="889"/>
      <c r="AF1864" s="890"/>
      <c r="AJ1864" s="889"/>
      <c r="AN1864" s="222"/>
      <c r="BC1864" s="223"/>
      <c r="BD1864" s="222"/>
      <c r="BH1864" s="611"/>
      <c r="BJ1864" s="15"/>
      <c r="BK1864" s="15"/>
      <c r="BO1864" s="223"/>
      <c r="BQ1864" s="889"/>
      <c r="BT1864" s="890"/>
      <c r="BX1864" s="889"/>
      <c r="CB1864" s="15"/>
      <c r="CC1864" s="697"/>
      <c r="CD1864" s="1086"/>
      <c r="CE1864" s="15"/>
      <c r="CF1864" s="15"/>
      <c r="CG1864" s="936"/>
      <c r="CH1864" s="15"/>
      <c r="CI1864" s="15"/>
      <c r="CJ1864" s="15"/>
      <c r="CK1864" s="1107"/>
      <c r="CL1864" s="22"/>
      <c r="CM1864" s="22"/>
      <c r="CN1864" s="1107"/>
      <c r="CR1864" s="223"/>
      <c r="CS1864" s="952"/>
      <c r="CT1864" s="1066"/>
      <c r="CU1864" s="972"/>
      <c r="CV1864" s="983"/>
      <c r="CW1864" s="222"/>
      <c r="CX1864" s="697"/>
      <c r="DC1864" s="222"/>
      <c r="DJ1864" s="889"/>
      <c r="DM1864" s="890"/>
      <c r="DN1864" s="952"/>
      <c r="DO1864" s="75"/>
      <c r="DP1864" s="962"/>
      <c r="DQ1864" s="983"/>
      <c r="DV1864" s="889"/>
    </row>
    <row r="1865" spans="1:126" s="74" customFormat="1">
      <c r="A1865" s="15"/>
      <c r="B1865" s="15"/>
      <c r="C1865" s="15"/>
      <c r="D1865" s="15"/>
      <c r="E1865" s="6"/>
      <c r="F1865" s="6"/>
      <c r="G1865" s="6"/>
      <c r="K1865" s="222"/>
      <c r="V1865" s="1430"/>
      <c r="AA1865" s="223"/>
      <c r="AC1865" s="889"/>
      <c r="AF1865" s="890"/>
      <c r="AJ1865" s="889"/>
      <c r="AN1865" s="222"/>
      <c r="BC1865" s="223"/>
      <c r="BD1865" s="222"/>
      <c r="BH1865" s="611"/>
      <c r="BJ1865" s="15"/>
      <c r="BK1865" s="15"/>
      <c r="BO1865" s="223"/>
      <c r="BQ1865" s="889"/>
      <c r="BT1865" s="890"/>
      <c r="BX1865" s="889"/>
      <c r="CB1865" s="15"/>
      <c r="CC1865" s="697"/>
      <c r="CD1865" s="1086"/>
      <c r="CE1865" s="15"/>
      <c r="CF1865" s="15"/>
      <c r="CG1865" s="936"/>
      <c r="CH1865" s="15"/>
      <c r="CI1865" s="15"/>
      <c r="CJ1865" s="15"/>
      <c r="CK1865" s="1107"/>
      <c r="CL1865" s="22"/>
      <c r="CM1865" s="22"/>
      <c r="CN1865" s="1107"/>
      <c r="CR1865" s="223"/>
      <c r="CS1865" s="952"/>
      <c r="CT1865" s="1066"/>
      <c r="CU1865" s="972"/>
      <c r="CV1865" s="983"/>
      <c r="CW1865" s="222"/>
      <c r="CX1865" s="697"/>
      <c r="DC1865" s="222"/>
      <c r="DJ1865" s="889"/>
      <c r="DM1865" s="890"/>
      <c r="DN1865" s="952"/>
      <c r="DO1865" s="75"/>
      <c r="DP1865" s="962"/>
      <c r="DQ1865" s="983"/>
      <c r="DV1865" s="889"/>
    </row>
    <row r="1866" spans="1:126" s="74" customFormat="1">
      <c r="A1866" s="15"/>
      <c r="B1866" s="15"/>
      <c r="C1866" s="15"/>
      <c r="D1866" s="15"/>
      <c r="E1866" s="6"/>
      <c r="F1866" s="6"/>
      <c r="G1866" s="6"/>
      <c r="K1866" s="222"/>
      <c r="V1866" s="1430"/>
      <c r="AA1866" s="223"/>
      <c r="AC1866" s="889"/>
      <c r="AF1866" s="890"/>
      <c r="AJ1866" s="889"/>
      <c r="AN1866" s="222"/>
      <c r="BC1866" s="223"/>
      <c r="BD1866" s="222"/>
      <c r="BH1866" s="611"/>
      <c r="BJ1866" s="15"/>
      <c r="BK1866" s="15"/>
      <c r="BO1866" s="223"/>
      <c r="BQ1866" s="889"/>
      <c r="BT1866" s="890"/>
      <c r="BX1866" s="889"/>
      <c r="CB1866" s="15"/>
      <c r="CC1866" s="697"/>
      <c r="CD1866" s="1086"/>
      <c r="CE1866" s="15"/>
      <c r="CF1866" s="15"/>
      <c r="CG1866" s="936"/>
      <c r="CH1866" s="15"/>
      <c r="CI1866" s="15"/>
      <c r="CJ1866" s="15"/>
      <c r="CK1866" s="1107"/>
      <c r="CL1866" s="22"/>
      <c r="CM1866" s="22"/>
      <c r="CN1866" s="1107"/>
      <c r="CR1866" s="223"/>
      <c r="CS1866" s="952"/>
      <c r="CT1866" s="1066"/>
      <c r="CU1866" s="972"/>
      <c r="CV1866" s="983"/>
      <c r="CW1866" s="222"/>
      <c r="CX1866" s="697"/>
      <c r="DC1866" s="222"/>
      <c r="DJ1866" s="889"/>
      <c r="DM1866" s="890"/>
      <c r="DN1866" s="952"/>
      <c r="DO1866" s="75"/>
      <c r="DP1866" s="962"/>
      <c r="DQ1866" s="983"/>
      <c r="DV1866" s="889"/>
    </row>
    <row r="1867" spans="1:126" s="74" customFormat="1">
      <c r="A1867" s="15"/>
      <c r="B1867" s="15"/>
      <c r="C1867" s="15"/>
      <c r="D1867" s="15"/>
      <c r="E1867" s="6"/>
      <c r="F1867" s="6"/>
      <c r="G1867" s="6"/>
      <c r="K1867" s="222"/>
      <c r="V1867" s="1430"/>
      <c r="AA1867" s="223"/>
      <c r="AC1867" s="889"/>
      <c r="AF1867" s="890"/>
      <c r="AJ1867" s="889"/>
      <c r="AN1867" s="222"/>
      <c r="BC1867" s="223"/>
      <c r="BD1867" s="222"/>
      <c r="BH1867" s="611"/>
      <c r="BJ1867" s="15"/>
      <c r="BK1867" s="15"/>
      <c r="BO1867" s="223"/>
      <c r="BQ1867" s="889"/>
      <c r="BT1867" s="890"/>
      <c r="BX1867" s="889"/>
      <c r="CB1867" s="15"/>
      <c r="CC1867" s="697"/>
      <c r="CD1867" s="1086"/>
      <c r="CE1867" s="15"/>
      <c r="CF1867" s="15"/>
      <c r="CG1867" s="936"/>
      <c r="CH1867" s="15"/>
      <c r="CI1867" s="15"/>
      <c r="CJ1867" s="15"/>
      <c r="CK1867" s="1107"/>
      <c r="CL1867" s="22"/>
      <c r="CM1867" s="22"/>
      <c r="CN1867" s="1107"/>
      <c r="CR1867" s="223"/>
      <c r="CS1867" s="952"/>
      <c r="CT1867" s="1066"/>
      <c r="CU1867" s="972"/>
      <c r="CV1867" s="983"/>
      <c r="CW1867" s="222"/>
      <c r="CX1867" s="697"/>
      <c r="DC1867" s="222"/>
      <c r="DJ1867" s="889"/>
      <c r="DM1867" s="890"/>
      <c r="DN1867" s="952"/>
      <c r="DO1867" s="75"/>
      <c r="DP1867" s="962"/>
      <c r="DQ1867" s="983"/>
      <c r="DV1867" s="889"/>
    </row>
    <row r="1868" spans="1:126" s="74" customFormat="1">
      <c r="A1868" s="15"/>
      <c r="B1868" s="15"/>
      <c r="C1868" s="15"/>
      <c r="D1868" s="15"/>
      <c r="E1868" s="6"/>
      <c r="F1868" s="6"/>
      <c r="G1868" s="6"/>
      <c r="K1868" s="222"/>
      <c r="V1868" s="1430"/>
      <c r="AA1868" s="223"/>
      <c r="AC1868" s="889"/>
      <c r="AF1868" s="890"/>
      <c r="AJ1868" s="889"/>
      <c r="AN1868" s="222"/>
      <c r="BC1868" s="223"/>
      <c r="BD1868" s="222"/>
      <c r="BH1868" s="611"/>
      <c r="BJ1868" s="15"/>
      <c r="BK1868" s="15"/>
      <c r="BO1868" s="223"/>
      <c r="BQ1868" s="889"/>
      <c r="BT1868" s="890"/>
      <c r="BX1868" s="889"/>
      <c r="CB1868" s="15"/>
      <c r="CC1868" s="697"/>
      <c r="CD1868" s="1086"/>
      <c r="CE1868" s="15"/>
      <c r="CF1868" s="15"/>
      <c r="CG1868" s="936"/>
      <c r="CH1868" s="15"/>
      <c r="CI1868" s="15"/>
      <c r="CJ1868" s="15"/>
      <c r="CK1868" s="1107"/>
      <c r="CL1868" s="22"/>
      <c r="CM1868" s="22"/>
      <c r="CN1868" s="1107"/>
      <c r="CR1868" s="223"/>
      <c r="CS1868" s="952"/>
      <c r="CT1868" s="1066"/>
      <c r="CU1868" s="972"/>
      <c r="CV1868" s="983"/>
      <c r="CW1868" s="222"/>
      <c r="CX1868" s="697"/>
      <c r="DC1868" s="222"/>
      <c r="DJ1868" s="889"/>
      <c r="DM1868" s="890"/>
      <c r="DN1868" s="952"/>
      <c r="DO1868" s="75"/>
      <c r="DP1868" s="962"/>
      <c r="DQ1868" s="983"/>
      <c r="DV1868" s="889"/>
    </row>
    <row r="1869" spans="1:126" s="74" customFormat="1">
      <c r="A1869" s="15"/>
      <c r="B1869" s="15"/>
      <c r="C1869" s="15"/>
      <c r="D1869" s="15"/>
      <c r="E1869" s="6"/>
      <c r="F1869" s="6"/>
      <c r="G1869" s="6"/>
      <c r="K1869" s="222"/>
      <c r="V1869" s="1430"/>
      <c r="AA1869" s="223"/>
      <c r="AC1869" s="889"/>
      <c r="AF1869" s="890"/>
      <c r="AJ1869" s="889"/>
      <c r="AN1869" s="222"/>
      <c r="BC1869" s="223"/>
      <c r="BD1869" s="222"/>
      <c r="BH1869" s="611"/>
      <c r="BJ1869" s="15"/>
      <c r="BK1869" s="15"/>
      <c r="BO1869" s="223"/>
      <c r="BQ1869" s="889"/>
      <c r="BT1869" s="890"/>
      <c r="BX1869" s="889"/>
      <c r="CB1869" s="15"/>
      <c r="CC1869" s="697"/>
      <c r="CD1869" s="1086"/>
      <c r="CE1869" s="15"/>
      <c r="CF1869" s="15"/>
      <c r="CG1869" s="936"/>
      <c r="CH1869" s="15"/>
      <c r="CI1869" s="15"/>
      <c r="CJ1869" s="15"/>
      <c r="CK1869" s="1107"/>
      <c r="CL1869" s="22"/>
      <c r="CM1869" s="22"/>
      <c r="CN1869" s="1107"/>
      <c r="CR1869" s="223"/>
      <c r="CS1869" s="952"/>
      <c r="CT1869" s="1066"/>
      <c r="CU1869" s="972"/>
      <c r="CV1869" s="983"/>
      <c r="CW1869" s="222"/>
      <c r="CX1869" s="697"/>
      <c r="DC1869" s="222"/>
      <c r="DJ1869" s="889"/>
      <c r="DM1869" s="890"/>
      <c r="DN1869" s="952"/>
      <c r="DO1869" s="75"/>
      <c r="DP1869" s="962"/>
      <c r="DQ1869" s="983"/>
      <c r="DV1869" s="889"/>
    </row>
    <row r="1870" spans="1:126" s="74" customFormat="1">
      <c r="A1870" s="15"/>
      <c r="B1870" s="15"/>
      <c r="C1870" s="15"/>
      <c r="D1870" s="15"/>
      <c r="E1870" s="6"/>
      <c r="F1870" s="6"/>
      <c r="G1870" s="6"/>
      <c r="K1870" s="222"/>
      <c r="V1870" s="1430"/>
      <c r="AA1870" s="223"/>
      <c r="AC1870" s="889"/>
      <c r="AF1870" s="890"/>
      <c r="AJ1870" s="889"/>
      <c r="AN1870" s="222"/>
      <c r="BC1870" s="223"/>
      <c r="BD1870" s="222"/>
      <c r="BH1870" s="611"/>
      <c r="BJ1870" s="15"/>
      <c r="BK1870" s="15"/>
      <c r="BO1870" s="223"/>
      <c r="BQ1870" s="889"/>
      <c r="BT1870" s="890"/>
      <c r="BX1870" s="889"/>
      <c r="CB1870" s="15"/>
      <c r="CC1870" s="697"/>
      <c r="CD1870" s="1086"/>
      <c r="CE1870" s="15"/>
      <c r="CF1870" s="15"/>
      <c r="CG1870" s="936"/>
      <c r="CH1870" s="15"/>
      <c r="CI1870" s="15"/>
      <c r="CJ1870" s="15"/>
      <c r="CK1870" s="1107"/>
      <c r="CL1870" s="22"/>
      <c r="CM1870" s="22"/>
      <c r="CN1870" s="1107"/>
      <c r="CR1870" s="223"/>
      <c r="CS1870" s="952"/>
      <c r="CT1870" s="1066"/>
      <c r="CU1870" s="972"/>
      <c r="CV1870" s="983"/>
      <c r="CW1870" s="222"/>
      <c r="CX1870" s="697"/>
      <c r="DC1870" s="222"/>
      <c r="DJ1870" s="889"/>
      <c r="DM1870" s="890"/>
      <c r="DN1870" s="952"/>
      <c r="DO1870" s="75"/>
      <c r="DP1870" s="962"/>
      <c r="DQ1870" s="983"/>
      <c r="DV1870" s="889"/>
    </row>
    <row r="1871" spans="1:126" s="74" customFormat="1">
      <c r="A1871" s="15"/>
      <c r="B1871" s="15"/>
      <c r="C1871" s="15"/>
      <c r="D1871" s="15"/>
      <c r="E1871" s="6"/>
      <c r="F1871" s="6"/>
      <c r="G1871" s="6"/>
      <c r="K1871" s="222"/>
      <c r="V1871" s="1430"/>
      <c r="AA1871" s="223"/>
      <c r="AC1871" s="889"/>
      <c r="AF1871" s="890"/>
      <c r="AJ1871" s="889"/>
      <c r="AN1871" s="222"/>
      <c r="BC1871" s="223"/>
      <c r="BD1871" s="222"/>
      <c r="BH1871" s="611"/>
      <c r="BJ1871" s="15"/>
      <c r="BK1871" s="15"/>
      <c r="BO1871" s="223"/>
      <c r="BQ1871" s="889"/>
      <c r="BT1871" s="890"/>
      <c r="BX1871" s="889"/>
      <c r="CB1871" s="15"/>
      <c r="CC1871" s="697"/>
      <c r="CD1871" s="1086"/>
      <c r="CE1871" s="15"/>
      <c r="CF1871" s="15"/>
      <c r="CG1871" s="936"/>
      <c r="CH1871" s="15"/>
      <c r="CI1871" s="15"/>
      <c r="CJ1871" s="15"/>
      <c r="CK1871" s="1107"/>
      <c r="CL1871" s="22"/>
      <c r="CM1871" s="22"/>
      <c r="CN1871" s="1107"/>
      <c r="CR1871" s="223"/>
      <c r="CS1871" s="952"/>
      <c r="CT1871" s="1066"/>
      <c r="CU1871" s="972"/>
      <c r="CV1871" s="983"/>
      <c r="CW1871" s="222"/>
      <c r="CX1871" s="697"/>
      <c r="DC1871" s="222"/>
      <c r="DJ1871" s="889"/>
      <c r="DM1871" s="890"/>
      <c r="DN1871" s="952"/>
      <c r="DO1871" s="75"/>
      <c r="DP1871" s="962"/>
      <c r="DQ1871" s="983"/>
      <c r="DV1871" s="889"/>
    </row>
    <row r="1872" spans="1:126" s="74" customFormat="1">
      <c r="A1872" s="15"/>
      <c r="B1872" s="15"/>
      <c r="C1872" s="15"/>
      <c r="D1872" s="15"/>
      <c r="E1872" s="6"/>
      <c r="F1872" s="6"/>
      <c r="G1872" s="6"/>
      <c r="K1872" s="222"/>
      <c r="V1872" s="1430"/>
      <c r="AA1872" s="223"/>
      <c r="AC1872" s="889"/>
      <c r="AF1872" s="890"/>
      <c r="AJ1872" s="889"/>
      <c r="AN1872" s="222"/>
      <c r="BC1872" s="223"/>
      <c r="BD1872" s="222"/>
      <c r="BH1872" s="611"/>
      <c r="BJ1872" s="15"/>
      <c r="BK1872" s="15"/>
      <c r="BO1872" s="223"/>
      <c r="BQ1872" s="889"/>
      <c r="BT1872" s="890"/>
      <c r="BX1872" s="889"/>
      <c r="CB1872" s="15"/>
      <c r="CC1872" s="697"/>
      <c r="CD1872" s="1086"/>
      <c r="CE1872" s="15"/>
      <c r="CF1872" s="15"/>
      <c r="CG1872" s="936"/>
      <c r="CH1872" s="15"/>
      <c r="CI1872" s="15"/>
      <c r="CJ1872" s="15"/>
      <c r="CK1872" s="1107"/>
      <c r="CL1872" s="22"/>
      <c r="CM1872" s="22"/>
      <c r="CN1872" s="1107"/>
      <c r="CR1872" s="223"/>
      <c r="CS1872" s="952"/>
      <c r="CT1872" s="1066"/>
      <c r="CU1872" s="972"/>
      <c r="CV1872" s="983"/>
      <c r="CW1872" s="222"/>
      <c r="CX1872" s="697"/>
      <c r="DC1872" s="222"/>
      <c r="DJ1872" s="889"/>
      <c r="DM1872" s="890"/>
      <c r="DN1872" s="952"/>
      <c r="DO1872" s="75"/>
      <c r="DP1872" s="962"/>
      <c r="DQ1872" s="983"/>
      <c r="DV1872" s="889"/>
    </row>
    <row r="1873" spans="1:126" s="74" customFormat="1">
      <c r="A1873" s="15"/>
      <c r="B1873" s="15"/>
      <c r="C1873" s="15"/>
      <c r="D1873" s="15"/>
      <c r="E1873" s="6"/>
      <c r="F1873" s="6"/>
      <c r="G1873" s="6"/>
      <c r="K1873" s="222"/>
      <c r="V1873" s="1430"/>
      <c r="AA1873" s="223"/>
      <c r="AC1873" s="889"/>
      <c r="AF1873" s="890"/>
      <c r="AJ1873" s="889"/>
      <c r="AN1873" s="222"/>
      <c r="BC1873" s="223"/>
      <c r="BD1873" s="222"/>
      <c r="BH1873" s="611"/>
      <c r="BJ1873" s="15"/>
      <c r="BK1873" s="15"/>
      <c r="BO1873" s="223"/>
      <c r="BQ1873" s="889"/>
      <c r="BT1873" s="890"/>
      <c r="BX1873" s="889"/>
      <c r="CB1873" s="15"/>
      <c r="CC1873" s="697"/>
      <c r="CD1873" s="1086"/>
      <c r="CE1873" s="15"/>
      <c r="CF1873" s="15"/>
      <c r="CG1873" s="936"/>
      <c r="CH1873" s="15"/>
      <c r="CI1873" s="15"/>
      <c r="CJ1873" s="15"/>
      <c r="CK1873" s="1107"/>
      <c r="CL1873" s="22"/>
      <c r="CM1873" s="22"/>
      <c r="CN1873" s="1107"/>
      <c r="CR1873" s="223"/>
      <c r="CS1873" s="952"/>
      <c r="CT1873" s="1066"/>
      <c r="CU1873" s="972"/>
      <c r="CV1873" s="983"/>
      <c r="CW1873" s="222"/>
      <c r="CX1873" s="697"/>
      <c r="DC1873" s="222"/>
      <c r="DJ1873" s="889"/>
      <c r="DM1873" s="890"/>
      <c r="DN1873" s="952"/>
      <c r="DO1873" s="75"/>
      <c r="DP1873" s="962"/>
      <c r="DQ1873" s="983"/>
      <c r="DV1873" s="889"/>
    </row>
    <row r="1874" spans="1:126" s="74" customFormat="1">
      <c r="A1874" s="15"/>
      <c r="B1874" s="15"/>
      <c r="C1874" s="15"/>
      <c r="D1874" s="15"/>
      <c r="E1874" s="6"/>
      <c r="F1874" s="6"/>
      <c r="G1874" s="6"/>
      <c r="K1874" s="222"/>
      <c r="V1874" s="1430"/>
      <c r="AA1874" s="223"/>
      <c r="AC1874" s="889"/>
      <c r="AF1874" s="890"/>
      <c r="AJ1874" s="889"/>
      <c r="AN1874" s="222"/>
      <c r="BC1874" s="223"/>
      <c r="BD1874" s="222"/>
      <c r="BH1874" s="611"/>
      <c r="BJ1874" s="15"/>
      <c r="BK1874" s="15"/>
      <c r="BO1874" s="223"/>
      <c r="BQ1874" s="889"/>
      <c r="BT1874" s="890"/>
      <c r="BX1874" s="889"/>
      <c r="CB1874" s="15"/>
      <c r="CC1874" s="697"/>
      <c r="CD1874" s="1086"/>
      <c r="CE1874" s="15"/>
      <c r="CF1874" s="15"/>
      <c r="CG1874" s="936"/>
      <c r="CH1874" s="15"/>
      <c r="CI1874" s="15"/>
      <c r="CJ1874" s="15"/>
      <c r="CK1874" s="1107"/>
      <c r="CL1874" s="22"/>
      <c r="CM1874" s="22"/>
      <c r="CN1874" s="1107"/>
      <c r="CR1874" s="223"/>
      <c r="CS1874" s="952"/>
      <c r="CT1874" s="1066"/>
      <c r="CU1874" s="972"/>
      <c r="CV1874" s="983"/>
      <c r="CW1874" s="222"/>
      <c r="CX1874" s="697"/>
      <c r="DC1874" s="222"/>
      <c r="DJ1874" s="889"/>
      <c r="DM1874" s="890"/>
      <c r="DN1874" s="952"/>
      <c r="DO1874" s="75"/>
      <c r="DP1874" s="962"/>
      <c r="DQ1874" s="983"/>
      <c r="DV1874" s="889"/>
    </row>
    <row r="1875" spans="1:126" s="74" customFormat="1">
      <c r="A1875" s="15"/>
      <c r="B1875" s="15"/>
      <c r="C1875" s="15"/>
      <c r="D1875" s="15"/>
      <c r="E1875" s="6"/>
      <c r="F1875" s="6"/>
      <c r="G1875" s="6"/>
      <c r="K1875" s="222"/>
      <c r="V1875" s="1430"/>
      <c r="AA1875" s="223"/>
      <c r="AC1875" s="889"/>
      <c r="AF1875" s="890"/>
      <c r="AJ1875" s="889"/>
      <c r="AN1875" s="222"/>
      <c r="BC1875" s="223"/>
      <c r="BD1875" s="222"/>
      <c r="BH1875" s="611"/>
      <c r="BJ1875" s="15"/>
      <c r="BK1875" s="15"/>
      <c r="BO1875" s="223"/>
      <c r="BQ1875" s="889"/>
      <c r="BT1875" s="890"/>
      <c r="BX1875" s="889"/>
      <c r="CB1875" s="15"/>
      <c r="CC1875" s="697"/>
      <c r="CD1875" s="1086"/>
      <c r="CE1875" s="15"/>
      <c r="CF1875" s="15"/>
      <c r="CG1875" s="936"/>
      <c r="CH1875" s="15"/>
      <c r="CI1875" s="15"/>
      <c r="CJ1875" s="15"/>
      <c r="CK1875" s="1107"/>
      <c r="CL1875" s="22"/>
      <c r="CM1875" s="22"/>
      <c r="CN1875" s="1107"/>
      <c r="CR1875" s="223"/>
      <c r="CS1875" s="952"/>
      <c r="CT1875" s="1066"/>
      <c r="CU1875" s="972"/>
      <c r="CV1875" s="983"/>
      <c r="CW1875" s="222"/>
      <c r="CX1875" s="697"/>
      <c r="DC1875" s="222"/>
      <c r="DJ1875" s="889"/>
      <c r="DM1875" s="890"/>
      <c r="DN1875" s="952"/>
      <c r="DO1875" s="75"/>
      <c r="DP1875" s="962"/>
      <c r="DQ1875" s="983"/>
      <c r="DV1875" s="889"/>
    </row>
    <row r="1876" spans="1:126" s="74" customFormat="1">
      <c r="A1876" s="15"/>
      <c r="B1876" s="15"/>
      <c r="C1876" s="15"/>
      <c r="D1876" s="15"/>
      <c r="E1876" s="6"/>
      <c r="F1876" s="6"/>
      <c r="G1876" s="6"/>
      <c r="K1876" s="222"/>
      <c r="V1876" s="1430"/>
      <c r="AA1876" s="223"/>
      <c r="AC1876" s="889"/>
      <c r="AF1876" s="890"/>
      <c r="AJ1876" s="889"/>
      <c r="AN1876" s="222"/>
      <c r="BC1876" s="223"/>
      <c r="BD1876" s="222"/>
      <c r="BH1876" s="611"/>
      <c r="BJ1876" s="15"/>
      <c r="BK1876" s="15"/>
      <c r="BO1876" s="223"/>
      <c r="BQ1876" s="889"/>
      <c r="BT1876" s="890"/>
      <c r="BX1876" s="889"/>
      <c r="CB1876" s="15"/>
      <c r="CC1876" s="697"/>
      <c r="CD1876" s="1086"/>
      <c r="CE1876" s="15"/>
      <c r="CF1876" s="15"/>
      <c r="CG1876" s="936"/>
      <c r="CH1876" s="15"/>
      <c r="CI1876" s="15"/>
      <c r="CJ1876" s="15"/>
      <c r="CK1876" s="1107"/>
      <c r="CL1876" s="22"/>
      <c r="CM1876" s="22"/>
      <c r="CN1876" s="1107"/>
      <c r="CR1876" s="223"/>
      <c r="CS1876" s="952"/>
      <c r="CT1876" s="1066"/>
      <c r="CU1876" s="972"/>
      <c r="CV1876" s="983"/>
      <c r="CW1876" s="222"/>
      <c r="CX1876" s="697"/>
      <c r="DC1876" s="222"/>
      <c r="DJ1876" s="889"/>
      <c r="DM1876" s="890"/>
      <c r="DN1876" s="952"/>
      <c r="DO1876" s="75"/>
      <c r="DP1876" s="962"/>
      <c r="DQ1876" s="983"/>
      <c r="DV1876" s="889"/>
    </row>
    <row r="1877" spans="1:126" s="74" customFormat="1">
      <c r="A1877" s="15"/>
      <c r="B1877" s="15"/>
      <c r="C1877" s="15"/>
      <c r="D1877" s="15"/>
      <c r="E1877" s="6"/>
      <c r="F1877" s="6"/>
      <c r="G1877" s="6"/>
      <c r="K1877" s="222"/>
      <c r="V1877" s="1430"/>
      <c r="AA1877" s="223"/>
      <c r="AC1877" s="889"/>
      <c r="AF1877" s="890"/>
      <c r="AJ1877" s="889"/>
      <c r="AN1877" s="222"/>
      <c r="BC1877" s="223"/>
      <c r="BD1877" s="222"/>
      <c r="BH1877" s="611"/>
      <c r="BJ1877" s="15"/>
      <c r="BK1877" s="15"/>
      <c r="BO1877" s="223"/>
      <c r="BQ1877" s="889"/>
      <c r="BT1877" s="890"/>
      <c r="BX1877" s="889"/>
      <c r="CB1877" s="15"/>
      <c r="CC1877" s="697"/>
      <c r="CD1877" s="1086"/>
      <c r="CE1877" s="15"/>
      <c r="CF1877" s="15"/>
      <c r="CG1877" s="936"/>
      <c r="CH1877" s="15"/>
      <c r="CI1877" s="15"/>
      <c r="CJ1877" s="15"/>
      <c r="CK1877" s="1107"/>
      <c r="CL1877" s="22"/>
      <c r="CM1877" s="22"/>
      <c r="CN1877" s="1107"/>
      <c r="CR1877" s="223"/>
      <c r="CS1877" s="952"/>
      <c r="CT1877" s="1066"/>
      <c r="CU1877" s="972"/>
      <c r="CV1877" s="983"/>
      <c r="CW1877" s="222"/>
      <c r="CX1877" s="697"/>
      <c r="DC1877" s="222"/>
      <c r="DJ1877" s="889"/>
      <c r="DM1877" s="890"/>
      <c r="DN1877" s="952"/>
      <c r="DO1877" s="75"/>
      <c r="DP1877" s="962"/>
      <c r="DQ1877" s="983"/>
      <c r="DV1877" s="889"/>
    </row>
    <row r="1878" spans="1:126" s="74" customFormat="1">
      <c r="A1878" s="15"/>
      <c r="B1878" s="15"/>
      <c r="C1878" s="15"/>
      <c r="D1878" s="15"/>
      <c r="E1878" s="6"/>
      <c r="F1878" s="6"/>
      <c r="G1878" s="6"/>
      <c r="K1878" s="222"/>
      <c r="V1878" s="1430"/>
      <c r="AA1878" s="223"/>
      <c r="AC1878" s="889"/>
      <c r="AF1878" s="890"/>
      <c r="AJ1878" s="889"/>
      <c r="AN1878" s="222"/>
      <c r="BC1878" s="223"/>
      <c r="BD1878" s="222"/>
      <c r="BH1878" s="611"/>
      <c r="BJ1878" s="15"/>
      <c r="BK1878" s="15"/>
      <c r="BO1878" s="223"/>
      <c r="BQ1878" s="889"/>
      <c r="BT1878" s="890"/>
      <c r="BX1878" s="889"/>
      <c r="CB1878" s="15"/>
      <c r="CC1878" s="697"/>
      <c r="CD1878" s="1086"/>
      <c r="CE1878" s="15"/>
      <c r="CF1878" s="15"/>
      <c r="CG1878" s="936"/>
      <c r="CH1878" s="15"/>
      <c r="CI1878" s="15"/>
      <c r="CJ1878" s="15"/>
      <c r="CK1878" s="1107"/>
      <c r="CL1878" s="22"/>
      <c r="CM1878" s="22"/>
      <c r="CN1878" s="1107"/>
      <c r="CR1878" s="223"/>
      <c r="CS1878" s="952"/>
      <c r="CT1878" s="1066"/>
      <c r="CU1878" s="972"/>
      <c r="CV1878" s="983"/>
      <c r="CW1878" s="222"/>
      <c r="CX1878" s="697"/>
      <c r="DC1878" s="222"/>
      <c r="DJ1878" s="889"/>
      <c r="DM1878" s="890"/>
      <c r="DN1878" s="952"/>
      <c r="DO1878" s="75"/>
      <c r="DP1878" s="962"/>
      <c r="DQ1878" s="983"/>
      <c r="DV1878" s="889"/>
    </row>
    <row r="1879" spans="1:126" s="74" customFormat="1">
      <c r="A1879" s="15"/>
      <c r="B1879" s="15"/>
      <c r="C1879" s="15"/>
      <c r="D1879" s="15"/>
      <c r="E1879" s="6"/>
      <c r="F1879" s="6"/>
      <c r="G1879" s="6"/>
      <c r="K1879" s="222"/>
      <c r="V1879" s="1430"/>
      <c r="AA1879" s="223"/>
      <c r="AC1879" s="889"/>
      <c r="AF1879" s="890"/>
      <c r="AJ1879" s="889"/>
      <c r="AN1879" s="222"/>
      <c r="BC1879" s="223"/>
      <c r="BD1879" s="222"/>
      <c r="BH1879" s="611"/>
      <c r="BJ1879" s="15"/>
      <c r="BK1879" s="15"/>
      <c r="BO1879" s="223"/>
      <c r="BQ1879" s="889"/>
      <c r="BT1879" s="890"/>
      <c r="BX1879" s="889"/>
      <c r="CB1879" s="15"/>
      <c r="CC1879" s="697"/>
      <c r="CD1879" s="1086"/>
      <c r="CE1879" s="15"/>
      <c r="CF1879" s="15"/>
      <c r="CG1879" s="936"/>
      <c r="CH1879" s="15"/>
      <c r="CI1879" s="15"/>
      <c r="CJ1879" s="15"/>
      <c r="CK1879" s="1107"/>
      <c r="CL1879" s="22"/>
      <c r="CM1879" s="22"/>
      <c r="CN1879" s="1107"/>
      <c r="CR1879" s="223"/>
      <c r="CS1879" s="952"/>
      <c r="CT1879" s="1066"/>
      <c r="CU1879" s="972"/>
      <c r="CV1879" s="983"/>
      <c r="CW1879" s="222"/>
      <c r="CX1879" s="697"/>
      <c r="DC1879" s="222"/>
      <c r="DJ1879" s="889"/>
      <c r="DM1879" s="890"/>
      <c r="DN1879" s="952"/>
      <c r="DO1879" s="75"/>
      <c r="DP1879" s="962"/>
      <c r="DQ1879" s="983"/>
      <c r="DV1879" s="889"/>
    </row>
    <row r="1880" spans="1:126" s="74" customFormat="1">
      <c r="A1880" s="15"/>
      <c r="B1880" s="15"/>
      <c r="C1880" s="15"/>
      <c r="D1880" s="15"/>
      <c r="E1880" s="6"/>
      <c r="F1880" s="6"/>
      <c r="G1880" s="6"/>
      <c r="K1880" s="222"/>
      <c r="V1880" s="1430"/>
      <c r="AA1880" s="223"/>
      <c r="AC1880" s="889"/>
      <c r="AF1880" s="890"/>
      <c r="AJ1880" s="889"/>
      <c r="AN1880" s="222"/>
      <c r="BC1880" s="223"/>
      <c r="BD1880" s="222"/>
      <c r="BH1880" s="611"/>
      <c r="BJ1880" s="15"/>
      <c r="BK1880" s="15"/>
      <c r="BO1880" s="223"/>
      <c r="BQ1880" s="889"/>
      <c r="BT1880" s="890"/>
      <c r="BX1880" s="889"/>
      <c r="CB1880" s="15"/>
      <c r="CC1880" s="697"/>
      <c r="CD1880" s="1086"/>
      <c r="CE1880" s="15"/>
      <c r="CF1880" s="15"/>
      <c r="CG1880" s="936"/>
      <c r="CH1880" s="15"/>
      <c r="CI1880" s="15"/>
      <c r="CJ1880" s="15"/>
      <c r="CK1880" s="1107"/>
      <c r="CL1880" s="22"/>
      <c r="CM1880" s="22"/>
      <c r="CN1880" s="1107"/>
      <c r="CR1880" s="223"/>
      <c r="CS1880" s="952"/>
      <c r="CT1880" s="1066"/>
      <c r="CU1880" s="972"/>
      <c r="CV1880" s="983"/>
      <c r="CW1880" s="222"/>
      <c r="CX1880" s="697"/>
      <c r="DC1880" s="222"/>
      <c r="DJ1880" s="889"/>
      <c r="DM1880" s="890"/>
      <c r="DN1880" s="952"/>
      <c r="DO1880" s="75"/>
      <c r="DP1880" s="962"/>
      <c r="DQ1880" s="983"/>
      <c r="DV1880" s="889"/>
    </row>
    <row r="1881" spans="1:126" s="74" customFormat="1">
      <c r="A1881" s="15"/>
      <c r="B1881" s="15"/>
      <c r="C1881" s="15"/>
      <c r="D1881" s="15"/>
      <c r="E1881" s="6"/>
      <c r="F1881" s="6"/>
      <c r="G1881" s="6"/>
      <c r="K1881" s="222"/>
      <c r="V1881" s="1430"/>
      <c r="AA1881" s="223"/>
      <c r="AC1881" s="889"/>
      <c r="AF1881" s="890"/>
      <c r="AJ1881" s="889"/>
      <c r="AN1881" s="222"/>
      <c r="BC1881" s="223"/>
      <c r="BD1881" s="222"/>
      <c r="BH1881" s="611"/>
      <c r="BJ1881" s="15"/>
      <c r="BK1881" s="15"/>
      <c r="BO1881" s="223"/>
      <c r="BQ1881" s="889"/>
      <c r="BT1881" s="890"/>
      <c r="BX1881" s="889"/>
      <c r="CB1881" s="15"/>
      <c r="CC1881" s="697"/>
      <c r="CD1881" s="1086"/>
      <c r="CE1881" s="15"/>
      <c r="CF1881" s="15"/>
      <c r="CG1881" s="936"/>
      <c r="CH1881" s="15"/>
      <c r="CI1881" s="15"/>
      <c r="CJ1881" s="15"/>
      <c r="CK1881" s="1107"/>
      <c r="CL1881" s="22"/>
      <c r="CM1881" s="22"/>
      <c r="CN1881" s="1107"/>
      <c r="CR1881" s="223"/>
      <c r="CS1881" s="952"/>
      <c r="CT1881" s="1066"/>
      <c r="CU1881" s="972"/>
      <c r="CV1881" s="983"/>
      <c r="CW1881" s="222"/>
      <c r="CX1881" s="697"/>
      <c r="DC1881" s="222"/>
      <c r="DJ1881" s="889"/>
      <c r="DM1881" s="890"/>
      <c r="DN1881" s="952"/>
      <c r="DO1881" s="75"/>
      <c r="DP1881" s="962"/>
      <c r="DQ1881" s="983"/>
      <c r="DV1881" s="889"/>
    </row>
    <row r="1882" spans="1:126" s="74" customFormat="1">
      <c r="A1882" s="15"/>
      <c r="B1882" s="15"/>
      <c r="C1882" s="15"/>
      <c r="D1882" s="15"/>
      <c r="E1882" s="6"/>
      <c r="F1882" s="6"/>
      <c r="G1882" s="6"/>
      <c r="K1882" s="222"/>
      <c r="V1882" s="1430"/>
      <c r="AA1882" s="223"/>
      <c r="AC1882" s="889"/>
      <c r="AF1882" s="890"/>
      <c r="AJ1882" s="889"/>
      <c r="AN1882" s="222"/>
      <c r="BC1882" s="223"/>
      <c r="BD1882" s="222"/>
      <c r="BH1882" s="611"/>
      <c r="BJ1882" s="15"/>
      <c r="BK1882" s="15"/>
      <c r="BO1882" s="223"/>
      <c r="BQ1882" s="889"/>
      <c r="BT1882" s="890"/>
      <c r="BX1882" s="889"/>
      <c r="CB1882" s="15"/>
      <c r="CC1882" s="697"/>
      <c r="CD1882" s="1086"/>
      <c r="CE1882" s="15"/>
      <c r="CF1882" s="15"/>
      <c r="CG1882" s="936"/>
      <c r="CH1882" s="15"/>
      <c r="CI1882" s="15"/>
      <c r="CJ1882" s="15"/>
      <c r="CK1882" s="1107"/>
      <c r="CL1882" s="22"/>
      <c r="CM1882" s="22"/>
      <c r="CN1882" s="1107"/>
      <c r="CR1882" s="223"/>
      <c r="CS1882" s="952"/>
      <c r="CT1882" s="1066"/>
      <c r="CU1882" s="972"/>
      <c r="CV1882" s="983"/>
      <c r="CW1882" s="222"/>
      <c r="CX1882" s="697"/>
      <c r="DC1882" s="222"/>
      <c r="DJ1882" s="889"/>
      <c r="DM1882" s="890"/>
      <c r="DN1882" s="952"/>
      <c r="DO1882" s="75"/>
      <c r="DP1882" s="962"/>
      <c r="DQ1882" s="983"/>
      <c r="DV1882" s="889"/>
    </row>
    <row r="1883" spans="1:126" s="74" customFormat="1">
      <c r="A1883" s="15"/>
      <c r="B1883" s="15"/>
      <c r="C1883" s="15"/>
      <c r="D1883" s="15"/>
      <c r="E1883" s="6"/>
      <c r="F1883" s="6"/>
      <c r="G1883" s="6"/>
      <c r="K1883" s="222"/>
      <c r="V1883" s="1430"/>
      <c r="AA1883" s="223"/>
      <c r="AC1883" s="889"/>
      <c r="AF1883" s="890"/>
      <c r="AJ1883" s="889"/>
      <c r="AN1883" s="222"/>
      <c r="BC1883" s="223"/>
      <c r="BD1883" s="222"/>
      <c r="BH1883" s="611"/>
      <c r="BJ1883" s="15"/>
      <c r="BK1883" s="15"/>
      <c r="BO1883" s="223"/>
      <c r="BQ1883" s="889"/>
      <c r="BT1883" s="890"/>
      <c r="BX1883" s="889"/>
      <c r="CB1883" s="15"/>
      <c r="CC1883" s="697"/>
      <c r="CD1883" s="1086"/>
      <c r="CE1883" s="15"/>
      <c r="CF1883" s="15"/>
      <c r="CG1883" s="936"/>
      <c r="CH1883" s="15"/>
      <c r="CI1883" s="15"/>
      <c r="CJ1883" s="15"/>
      <c r="CK1883" s="1107"/>
      <c r="CL1883" s="22"/>
      <c r="CM1883" s="22"/>
      <c r="CN1883" s="1107"/>
      <c r="CR1883" s="223"/>
      <c r="CS1883" s="952"/>
      <c r="CT1883" s="1066"/>
      <c r="CU1883" s="972"/>
      <c r="CV1883" s="983"/>
      <c r="CW1883" s="222"/>
      <c r="CX1883" s="697"/>
      <c r="DC1883" s="222"/>
      <c r="DJ1883" s="889"/>
      <c r="DM1883" s="890"/>
      <c r="DN1883" s="952"/>
      <c r="DO1883" s="75"/>
      <c r="DP1883" s="962"/>
      <c r="DQ1883" s="983"/>
      <c r="DV1883" s="889"/>
    </row>
    <row r="1884" spans="1:126" s="74" customFormat="1">
      <c r="A1884" s="15"/>
      <c r="B1884" s="15"/>
      <c r="C1884" s="15"/>
      <c r="D1884" s="15"/>
      <c r="E1884" s="6"/>
      <c r="F1884" s="6"/>
      <c r="G1884" s="6"/>
      <c r="K1884" s="222"/>
      <c r="V1884" s="1430"/>
      <c r="AA1884" s="223"/>
      <c r="AC1884" s="889"/>
      <c r="AF1884" s="890"/>
      <c r="AJ1884" s="889"/>
      <c r="AN1884" s="222"/>
      <c r="BC1884" s="223"/>
      <c r="BD1884" s="222"/>
      <c r="BH1884" s="611"/>
      <c r="BJ1884" s="15"/>
      <c r="BK1884" s="15"/>
      <c r="BO1884" s="223"/>
      <c r="BQ1884" s="889"/>
      <c r="BT1884" s="890"/>
      <c r="BX1884" s="889"/>
      <c r="CB1884" s="15"/>
      <c r="CC1884" s="697"/>
      <c r="CD1884" s="1086"/>
      <c r="CE1884" s="15"/>
      <c r="CF1884" s="15"/>
      <c r="CG1884" s="936"/>
      <c r="CH1884" s="15"/>
      <c r="CI1884" s="15"/>
      <c r="CJ1884" s="15"/>
      <c r="CK1884" s="1107"/>
      <c r="CL1884" s="22"/>
      <c r="CM1884" s="22"/>
      <c r="CN1884" s="1107"/>
      <c r="CR1884" s="223"/>
      <c r="CS1884" s="952"/>
      <c r="CT1884" s="1066"/>
      <c r="CU1884" s="972"/>
      <c r="CV1884" s="983"/>
      <c r="CW1884" s="222"/>
      <c r="CX1884" s="697"/>
      <c r="DC1884" s="222"/>
      <c r="DJ1884" s="889"/>
      <c r="DM1884" s="890"/>
      <c r="DN1884" s="952"/>
      <c r="DO1884" s="75"/>
      <c r="DP1884" s="962"/>
      <c r="DQ1884" s="983"/>
      <c r="DV1884" s="889"/>
    </row>
    <row r="1885" spans="1:126" s="74" customFormat="1">
      <c r="A1885" s="15"/>
      <c r="B1885" s="15"/>
      <c r="C1885" s="15"/>
      <c r="D1885" s="15"/>
      <c r="E1885" s="6"/>
      <c r="F1885" s="6"/>
      <c r="G1885" s="6"/>
      <c r="K1885" s="222"/>
      <c r="V1885" s="1430"/>
      <c r="AA1885" s="223"/>
      <c r="AC1885" s="889"/>
      <c r="AF1885" s="890"/>
      <c r="AJ1885" s="889"/>
      <c r="AN1885" s="222"/>
      <c r="BC1885" s="223"/>
      <c r="BD1885" s="222"/>
      <c r="BH1885" s="611"/>
      <c r="BJ1885" s="15"/>
      <c r="BK1885" s="15"/>
      <c r="BO1885" s="223"/>
      <c r="BQ1885" s="889"/>
      <c r="BT1885" s="890"/>
      <c r="BX1885" s="889"/>
      <c r="CB1885" s="15"/>
      <c r="CC1885" s="697"/>
      <c r="CD1885" s="1086"/>
      <c r="CE1885" s="15"/>
      <c r="CF1885" s="15"/>
      <c r="CG1885" s="936"/>
      <c r="CH1885" s="15"/>
      <c r="CI1885" s="15"/>
      <c r="CJ1885" s="15"/>
      <c r="CK1885" s="1107"/>
      <c r="CL1885" s="22"/>
      <c r="CM1885" s="22"/>
      <c r="CN1885" s="1107"/>
      <c r="CR1885" s="223"/>
      <c r="CS1885" s="952"/>
      <c r="CT1885" s="1066"/>
      <c r="CU1885" s="972"/>
      <c r="CV1885" s="983"/>
      <c r="CW1885" s="222"/>
      <c r="CX1885" s="697"/>
      <c r="DC1885" s="222"/>
      <c r="DJ1885" s="889"/>
      <c r="DM1885" s="890"/>
      <c r="DN1885" s="952"/>
      <c r="DO1885" s="75"/>
      <c r="DP1885" s="962"/>
      <c r="DQ1885" s="983"/>
      <c r="DV1885" s="889"/>
    </row>
    <row r="1886" spans="1:126" s="74" customFormat="1">
      <c r="A1886" s="15"/>
      <c r="B1886" s="15"/>
      <c r="C1886" s="15"/>
      <c r="D1886" s="15"/>
      <c r="E1886" s="6"/>
      <c r="F1886" s="6"/>
      <c r="G1886" s="6"/>
      <c r="K1886" s="222"/>
      <c r="V1886" s="1430"/>
      <c r="AA1886" s="223"/>
      <c r="AC1886" s="889"/>
      <c r="AF1886" s="890"/>
      <c r="AJ1886" s="889"/>
      <c r="AN1886" s="222"/>
      <c r="BC1886" s="223"/>
      <c r="BD1886" s="222"/>
      <c r="BH1886" s="611"/>
      <c r="BJ1886" s="15"/>
      <c r="BK1886" s="15"/>
      <c r="BO1886" s="223"/>
      <c r="BQ1886" s="889"/>
      <c r="BT1886" s="890"/>
      <c r="BX1886" s="889"/>
      <c r="CB1886" s="15"/>
      <c r="CC1886" s="697"/>
      <c r="CD1886" s="1086"/>
      <c r="CE1886" s="15"/>
      <c r="CF1886" s="15"/>
      <c r="CG1886" s="936"/>
      <c r="CH1886" s="15"/>
      <c r="CI1886" s="15"/>
      <c r="CJ1886" s="15"/>
      <c r="CK1886" s="1107"/>
      <c r="CL1886" s="22"/>
      <c r="CM1886" s="22"/>
      <c r="CN1886" s="1107"/>
      <c r="CR1886" s="223"/>
      <c r="CS1886" s="952"/>
      <c r="CT1886" s="1066"/>
      <c r="CU1886" s="972"/>
      <c r="CV1886" s="983"/>
      <c r="CW1886" s="222"/>
      <c r="CX1886" s="697"/>
      <c r="DC1886" s="222"/>
      <c r="DJ1886" s="889"/>
      <c r="DM1886" s="890"/>
      <c r="DN1886" s="952"/>
      <c r="DO1886" s="75"/>
      <c r="DP1886" s="962"/>
      <c r="DQ1886" s="983"/>
      <c r="DV1886" s="889"/>
    </row>
    <row r="1887" spans="1:126" s="74" customFormat="1">
      <c r="A1887" s="15"/>
      <c r="B1887" s="15"/>
      <c r="C1887" s="15"/>
      <c r="D1887" s="15"/>
      <c r="E1887" s="6"/>
      <c r="F1887" s="6"/>
      <c r="G1887" s="6"/>
      <c r="K1887" s="222"/>
      <c r="V1887" s="1430"/>
      <c r="AA1887" s="223"/>
      <c r="AC1887" s="889"/>
      <c r="AF1887" s="890"/>
      <c r="AJ1887" s="889"/>
      <c r="AN1887" s="222"/>
      <c r="BC1887" s="223"/>
      <c r="BD1887" s="222"/>
      <c r="BH1887" s="611"/>
      <c r="BJ1887" s="15"/>
      <c r="BK1887" s="15"/>
      <c r="BO1887" s="223"/>
      <c r="BQ1887" s="889"/>
      <c r="BT1887" s="890"/>
      <c r="BX1887" s="889"/>
      <c r="CB1887" s="15"/>
      <c r="CC1887" s="697"/>
      <c r="CD1887" s="1086"/>
      <c r="CE1887" s="15"/>
      <c r="CF1887" s="15"/>
      <c r="CG1887" s="936"/>
      <c r="CH1887" s="15"/>
      <c r="CI1887" s="15"/>
      <c r="CJ1887" s="15"/>
      <c r="CK1887" s="1107"/>
      <c r="CL1887" s="22"/>
      <c r="CM1887" s="22"/>
      <c r="CN1887" s="1107"/>
      <c r="CR1887" s="223"/>
      <c r="CS1887" s="952"/>
      <c r="CT1887" s="1066"/>
      <c r="CU1887" s="972"/>
      <c r="CV1887" s="983"/>
      <c r="CW1887" s="222"/>
      <c r="CX1887" s="697"/>
      <c r="DC1887" s="222"/>
      <c r="DJ1887" s="889"/>
      <c r="DM1887" s="890"/>
      <c r="DN1887" s="952"/>
      <c r="DO1887" s="75"/>
      <c r="DP1887" s="962"/>
      <c r="DQ1887" s="983"/>
      <c r="DV1887" s="889"/>
    </row>
    <row r="1888" spans="1:126" s="74" customFormat="1">
      <c r="A1888" s="15"/>
      <c r="B1888" s="15"/>
      <c r="C1888" s="15"/>
      <c r="D1888" s="15"/>
      <c r="E1888" s="6"/>
      <c r="F1888" s="6"/>
      <c r="G1888" s="6"/>
      <c r="K1888" s="222"/>
      <c r="V1888" s="1430"/>
      <c r="AA1888" s="223"/>
      <c r="AC1888" s="889"/>
      <c r="AF1888" s="890"/>
      <c r="AJ1888" s="889"/>
      <c r="AN1888" s="222"/>
      <c r="BC1888" s="223"/>
      <c r="BD1888" s="222"/>
      <c r="BH1888" s="611"/>
      <c r="BJ1888" s="15"/>
      <c r="BK1888" s="15"/>
      <c r="BO1888" s="223"/>
      <c r="BQ1888" s="889"/>
      <c r="BT1888" s="890"/>
      <c r="BX1888" s="889"/>
      <c r="CB1888" s="15"/>
      <c r="CC1888" s="697"/>
      <c r="CD1888" s="1086"/>
      <c r="CE1888" s="15"/>
      <c r="CF1888" s="15"/>
      <c r="CG1888" s="936"/>
      <c r="CH1888" s="15"/>
      <c r="CI1888" s="15"/>
      <c r="CJ1888" s="15"/>
      <c r="CK1888" s="1107"/>
      <c r="CL1888" s="22"/>
      <c r="CM1888" s="22"/>
      <c r="CN1888" s="1107"/>
      <c r="CR1888" s="223"/>
      <c r="CS1888" s="952"/>
      <c r="CT1888" s="1066"/>
      <c r="CU1888" s="972"/>
      <c r="CV1888" s="983"/>
      <c r="CW1888" s="222"/>
      <c r="CX1888" s="697"/>
      <c r="DC1888" s="222"/>
      <c r="DJ1888" s="889"/>
      <c r="DM1888" s="890"/>
      <c r="DN1888" s="952"/>
      <c r="DO1888" s="75"/>
      <c r="DP1888" s="962"/>
      <c r="DQ1888" s="983"/>
      <c r="DV1888" s="889"/>
    </row>
    <row r="1889" spans="1:126" s="74" customFormat="1">
      <c r="A1889" s="15"/>
      <c r="B1889" s="15"/>
      <c r="C1889" s="15"/>
      <c r="D1889" s="15"/>
      <c r="E1889" s="6"/>
      <c r="F1889" s="6"/>
      <c r="G1889" s="6"/>
      <c r="K1889" s="222"/>
      <c r="V1889" s="1430"/>
      <c r="AA1889" s="223"/>
      <c r="AC1889" s="889"/>
      <c r="AF1889" s="890"/>
      <c r="AJ1889" s="889"/>
      <c r="AN1889" s="222"/>
      <c r="BC1889" s="223"/>
      <c r="BD1889" s="222"/>
      <c r="BH1889" s="611"/>
      <c r="BJ1889" s="15"/>
      <c r="BK1889" s="15"/>
      <c r="BO1889" s="223"/>
      <c r="BQ1889" s="889"/>
      <c r="BT1889" s="890"/>
      <c r="BX1889" s="889"/>
      <c r="CB1889" s="15"/>
      <c r="CC1889" s="697"/>
      <c r="CD1889" s="1086"/>
      <c r="CE1889" s="15"/>
      <c r="CF1889" s="15"/>
      <c r="CG1889" s="936"/>
      <c r="CH1889" s="15"/>
      <c r="CI1889" s="15"/>
      <c r="CJ1889" s="15"/>
      <c r="CK1889" s="1107"/>
      <c r="CL1889" s="22"/>
      <c r="CM1889" s="22"/>
      <c r="CN1889" s="1107"/>
      <c r="CR1889" s="223"/>
      <c r="CS1889" s="952"/>
      <c r="CT1889" s="1066"/>
      <c r="CU1889" s="972"/>
      <c r="CV1889" s="983"/>
      <c r="CW1889" s="222"/>
      <c r="CX1889" s="697"/>
      <c r="DC1889" s="222"/>
      <c r="DJ1889" s="889"/>
      <c r="DM1889" s="890"/>
      <c r="DN1889" s="952"/>
      <c r="DO1889" s="75"/>
      <c r="DP1889" s="962"/>
      <c r="DQ1889" s="983"/>
      <c r="DV1889" s="889"/>
    </row>
    <row r="1890" spans="1:126" s="74" customFormat="1">
      <c r="A1890" s="15"/>
      <c r="B1890" s="15"/>
      <c r="C1890" s="15"/>
      <c r="D1890" s="15"/>
      <c r="E1890" s="6"/>
      <c r="F1890" s="6"/>
      <c r="G1890" s="6"/>
      <c r="K1890" s="222"/>
      <c r="V1890" s="1430"/>
      <c r="AA1890" s="223"/>
      <c r="AC1890" s="889"/>
      <c r="AF1890" s="890"/>
      <c r="AJ1890" s="889"/>
      <c r="AN1890" s="222"/>
      <c r="BC1890" s="223"/>
      <c r="BD1890" s="222"/>
      <c r="BH1890" s="611"/>
      <c r="BJ1890" s="15"/>
      <c r="BK1890" s="15"/>
      <c r="BO1890" s="223"/>
      <c r="BQ1890" s="889"/>
      <c r="BT1890" s="890"/>
      <c r="BX1890" s="889"/>
      <c r="CB1890" s="15"/>
      <c r="CC1890" s="697"/>
      <c r="CD1890" s="1086"/>
      <c r="CE1890" s="15"/>
      <c r="CF1890" s="15"/>
      <c r="CG1890" s="936"/>
      <c r="CH1890" s="15"/>
      <c r="CI1890" s="15"/>
      <c r="CJ1890" s="15"/>
      <c r="CK1890" s="1107"/>
      <c r="CL1890" s="22"/>
      <c r="CM1890" s="22"/>
      <c r="CN1890" s="1107"/>
      <c r="CR1890" s="223"/>
      <c r="CS1890" s="952"/>
      <c r="CT1890" s="1066"/>
      <c r="CU1890" s="972"/>
      <c r="CV1890" s="983"/>
      <c r="CW1890" s="222"/>
      <c r="CX1890" s="697"/>
      <c r="DC1890" s="222"/>
      <c r="DJ1890" s="889"/>
      <c r="DM1890" s="890"/>
      <c r="DN1890" s="952"/>
      <c r="DO1890" s="75"/>
      <c r="DP1890" s="962"/>
      <c r="DQ1890" s="983"/>
      <c r="DV1890" s="889"/>
    </row>
    <row r="1891" spans="1:126" s="74" customFormat="1">
      <c r="A1891" s="15"/>
      <c r="B1891" s="15"/>
      <c r="C1891" s="15"/>
      <c r="D1891" s="15"/>
      <c r="E1891" s="6"/>
      <c r="F1891" s="6"/>
      <c r="G1891" s="6"/>
      <c r="K1891" s="222"/>
      <c r="V1891" s="1430"/>
      <c r="AA1891" s="223"/>
      <c r="AC1891" s="889"/>
      <c r="AF1891" s="890"/>
      <c r="AJ1891" s="889"/>
      <c r="AN1891" s="222"/>
      <c r="BC1891" s="223"/>
      <c r="BD1891" s="222"/>
      <c r="BH1891" s="611"/>
      <c r="BJ1891" s="15"/>
      <c r="BK1891" s="15"/>
      <c r="BO1891" s="223"/>
      <c r="BQ1891" s="889"/>
      <c r="BT1891" s="890"/>
      <c r="BX1891" s="889"/>
      <c r="CB1891" s="15"/>
      <c r="CC1891" s="697"/>
      <c r="CD1891" s="1086"/>
      <c r="CE1891" s="15"/>
      <c r="CF1891" s="15"/>
      <c r="CG1891" s="936"/>
      <c r="CH1891" s="15"/>
      <c r="CI1891" s="15"/>
      <c r="CJ1891" s="15"/>
      <c r="CK1891" s="1107"/>
      <c r="CL1891" s="22"/>
      <c r="CM1891" s="22"/>
      <c r="CN1891" s="1107"/>
      <c r="CR1891" s="223"/>
      <c r="CS1891" s="952"/>
      <c r="CT1891" s="1066"/>
      <c r="CU1891" s="972"/>
      <c r="CV1891" s="983"/>
      <c r="CW1891" s="222"/>
      <c r="CX1891" s="697"/>
      <c r="DC1891" s="222"/>
      <c r="DJ1891" s="889"/>
      <c r="DM1891" s="890"/>
      <c r="DN1891" s="952"/>
      <c r="DO1891" s="75"/>
      <c r="DP1891" s="962"/>
      <c r="DQ1891" s="983"/>
      <c r="DV1891" s="889"/>
    </row>
    <row r="1892" spans="1:126" s="74" customFormat="1">
      <c r="A1892" s="15"/>
      <c r="B1892" s="15"/>
      <c r="C1892" s="15"/>
      <c r="D1892" s="15"/>
      <c r="E1892" s="6"/>
      <c r="F1892" s="6"/>
      <c r="G1892" s="6"/>
      <c r="K1892" s="222"/>
      <c r="V1892" s="1430"/>
      <c r="AA1892" s="223"/>
      <c r="AC1892" s="889"/>
      <c r="AF1892" s="890"/>
      <c r="AJ1892" s="889"/>
      <c r="AN1892" s="222"/>
      <c r="BC1892" s="223"/>
      <c r="BD1892" s="222"/>
      <c r="BH1892" s="611"/>
      <c r="BJ1892" s="15"/>
      <c r="BK1892" s="15"/>
      <c r="BO1892" s="223"/>
      <c r="BQ1892" s="889"/>
      <c r="BT1892" s="890"/>
      <c r="BX1892" s="889"/>
      <c r="CB1892" s="15"/>
      <c r="CC1892" s="697"/>
      <c r="CD1892" s="1086"/>
      <c r="CE1892" s="15"/>
      <c r="CF1892" s="15"/>
      <c r="CG1892" s="936"/>
      <c r="CH1892" s="15"/>
      <c r="CI1892" s="15"/>
      <c r="CJ1892" s="15"/>
      <c r="CK1892" s="1107"/>
      <c r="CL1892" s="22"/>
      <c r="CM1892" s="22"/>
      <c r="CN1892" s="1107"/>
      <c r="CR1892" s="223"/>
      <c r="CS1892" s="952"/>
      <c r="CT1892" s="1066"/>
      <c r="CU1892" s="972"/>
      <c r="CV1892" s="983"/>
      <c r="CW1892" s="222"/>
      <c r="CX1892" s="697"/>
      <c r="DC1892" s="222"/>
      <c r="DJ1892" s="889"/>
      <c r="DM1892" s="890"/>
      <c r="DN1892" s="952"/>
      <c r="DO1892" s="75"/>
      <c r="DP1892" s="962"/>
      <c r="DQ1892" s="983"/>
      <c r="DV1892" s="889"/>
    </row>
    <row r="1893" spans="1:126" s="74" customFormat="1">
      <c r="A1893" s="15"/>
      <c r="B1893" s="15"/>
      <c r="C1893" s="15"/>
      <c r="D1893" s="15"/>
      <c r="E1893" s="6"/>
      <c r="F1893" s="6"/>
      <c r="G1893" s="6"/>
      <c r="K1893" s="222"/>
      <c r="V1893" s="1430"/>
      <c r="AA1893" s="223"/>
      <c r="AC1893" s="889"/>
      <c r="AF1893" s="890"/>
      <c r="AJ1893" s="889"/>
      <c r="AN1893" s="222"/>
      <c r="BC1893" s="223"/>
      <c r="BD1893" s="222"/>
      <c r="BH1893" s="611"/>
      <c r="BJ1893" s="15"/>
      <c r="BK1893" s="15"/>
      <c r="BO1893" s="223"/>
      <c r="BQ1893" s="889"/>
      <c r="BT1893" s="890"/>
      <c r="BX1893" s="889"/>
      <c r="CB1893" s="15"/>
      <c r="CC1893" s="697"/>
      <c r="CD1893" s="1086"/>
      <c r="CE1893" s="15"/>
      <c r="CF1893" s="15"/>
      <c r="CG1893" s="936"/>
      <c r="CH1893" s="15"/>
      <c r="CI1893" s="15"/>
      <c r="CJ1893" s="15"/>
      <c r="CK1893" s="1107"/>
      <c r="CL1893" s="22"/>
      <c r="CM1893" s="22"/>
      <c r="CN1893" s="1107"/>
      <c r="CR1893" s="223"/>
      <c r="CS1893" s="952"/>
      <c r="CT1893" s="1066"/>
      <c r="CU1893" s="972"/>
      <c r="CV1893" s="983"/>
      <c r="CW1893" s="222"/>
      <c r="CX1893" s="697"/>
      <c r="DC1893" s="222"/>
      <c r="DJ1893" s="889"/>
      <c r="DM1893" s="890"/>
      <c r="DN1893" s="952"/>
      <c r="DO1893" s="75"/>
      <c r="DP1893" s="962"/>
      <c r="DQ1893" s="983"/>
      <c r="DV1893" s="889"/>
    </row>
    <row r="1894" spans="1:126" s="74" customFormat="1">
      <c r="A1894" s="15"/>
      <c r="B1894" s="15"/>
      <c r="C1894" s="15"/>
      <c r="D1894" s="15"/>
      <c r="E1894" s="6"/>
      <c r="F1894" s="6"/>
      <c r="G1894" s="6"/>
      <c r="K1894" s="222"/>
      <c r="V1894" s="1430"/>
      <c r="AA1894" s="223"/>
      <c r="AC1894" s="889"/>
      <c r="AF1894" s="890"/>
      <c r="AJ1894" s="889"/>
      <c r="AN1894" s="222"/>
      <c r="BC1894" s="223"/>
      <c r="BD1894" s="222"/>
      <c r="BH1894" s="611"/>
      <c r="BJ1894" s="15"/>
      <c r="BK1894" s="15"/>
      <c r="BO1894" s="223"/>
      <c r="BQ1894" s="889"/>
      <c r="BT1894" s="890"/>
      <c r="BX1894" s="889"/>
      <c r="CB1894" s="15"/>
      <c r="CC1894" s="697"/>
      <c r="CD1894" s="1086"/>
      <c r="CE1894" s="15"/>
      <c r="CF1894" s="15"/>
      <c r="CG1894" s="936"/>
      <c r="CH1894" s="15"/>
      <c r="CI1894" s="15"/>
      <c r="CJ1894" s="15"/>
      <c r="CK1894" s="1107"/>
      <c r="CL1894" s="22"/>
      <c r="CM1894" s="22"/>
      <c r="CN1894" s="1107"/>
      <c r="CR1894" s="223"/>
      <c r="CS1894" s="952"/>
      <c r="CT1894" s="1066"/>
      <c r="CU1894" s="972"/>
      <c r="CV1894" s="983"/>
      <c r="CW1894" s="222"/>
      <c r="CX1894" s="697"/>
      <c r="DC1894" s="222"/>
      <c r="DJ1894" s="889"/>
      <c r="DM1894" s="890"/>
      <c r="DN1894" s="952"/>
      <c r="DO1894" s="75"/>
      <c r="DP1894" s="962"/>
      <c r="DQ1894" s="983"/>
      <c r="DV1894" s="889"/>
    </row>
    <row r="1895" spans="1:126" s="74" customFormat="1">
      <c r="A1895" s="15"/>
      <c r="B1895" s="15"/>
      <c r="C1895" s="15"/>
      <c r="D1895" s="15"/>
      <c r="E1895" s="6"/>
      <c r="F1895" s="6"/>
      <c r="G1895" s="6"/>
      <c r="K1895" s="222"/>
      <c r="V1895" s="1430"/>
      <c r="AA1895" s="223"/>
      <c r="AC1895" s="889"/>
      <c r="AF1895" s="890"/>
      <c r="AJ1895" s="889"/>
      <c r="AN1895" s="222"/>
      <c r="BC1895" s="223"/>
      <c r="BD1895" s="222"/>
      <c r="BH1895" s="611"/>
      <c r="BJ1895" s="15"/>
      <c r="BK1895" s="15"/>
      <c r="BO1895" s="223"/>
      <c r="BQ1895" s="889"/>
      <c r="BT1895" s="890"/>
      <c r="BX1895" s="889"/>
      <c r="CB1895" s="15"/>
      <c r="CC1895" s="697"/>
      <c r="CD1895" s="1086"/>
      <c r="CE1895" s="15"/>
      <c r="CF1895" s="15"/>
      <c r="CG1895" s="936"/>
      <c r="CH1895" s="15"/>
      <c r="CI1895" s="15"/>
      <c r="CJ1895" s="15"/>
      <c r="CK1895" s="1107"/>
      <c r="CL1895" s="22"/>
      <c r="CM1895" s="22"/>
      <c r="CN1895" s="1107"/>
      <c r="CR1895" s="223"/>
      <c r="CS1895" s="952"/>
      <c r="CT1895" s="1066"/>
      <c r="CU1895" s="972"/>
      <c r="CV1895" s="983"/>
      <c r="CW1895" s="222"/>
      <c r="CX1895" s="697"/>
      <c r="DC1895" s="222"/>
      <c r="DJ1895" s="889"/>
      <c r="DM1895" s="890"/>
      <c r="DN1895" s="952"/>
      <c r="DO1895" s="75"/>
      <c r="DP1895" s="962"/>
      <c r="DQ1895" s="983"/>
      <c r="DV1895" s="889"/>
    </row>
    <row r="1896" spans="1:126" s="74" customFormat="1">
      <c r="A1896" s="15"/>
      <c r="B1896" s="15"/>
      <c r="C1896" s="15"/>
      <c r="D1896" s="15"/>
      <c r="E1896" s="6"/>
      <c r="F1896" s="6"/>
      <c r="G1896" s="6"/>
      <c r="K1896" s="222"/>
      <c r="V1896" s="1430"/>
      <c r="AA1896" s="223"/>
      <c r="AC1896" s="889"/>
      <c r="AF1896" s="890"/>
      <c r="AJ1896" s="889"/>
      <c r="AN1896" s="222"/>
      <c r="BC1896" s="223"/>
      <c r="BD1896" s="222"/>
      <c r="BH1896" s="611"/>
      <c r="BJ1896" s="15"/>
      <c r="BK1896" s="15"/>
      <c r="BO1896" s="223"/>
      <c r="BQ1896" s="889"/>
      <c r="BT1896" s="890"/>
      <c r="BX1896" s="889"/>
      <c r="CB1896" s="15"/>
      <c r="CC1896" s="697"/>
      <c r="CD1896" s="1086"/>
      <c r="CE1896" s="15"/>
      <c r="CF1896" s="15"/>
      <c r="CG1896" s="936"/>
      <c r="CH1896" s="15"/>
      <c r="CI1896" s="15"/>
      <c r="CJ1896" s="15"/>
      <c r="CK1896" s="1107"/>
      <c r="CL1896" s="22"/>
      <c r="CM1896" s="22"/>
      <c r="CN1896" s="1107"/>
      <c r="CR1896" s="223"/>
      <c r="CS1896" s="952"/>
      <c r="CT1896" s="1066"/>
      <c r="CU1896" s="972"/>
      <c r="CV1896" s="983"/>
      <c r="CW1896" s="222"/>
      <c r="CX1896" s="697"/>
      <c r="DC1896" s="222"/>
      <c r="DJ1896" s="889"/>
      <c r="DM1896" s="890"/>
      <c r="DN1896" s="952"/>
      <c r="DO1896" s="75"/>
      <c r="DP1896" s="962"/>
      <c r="DQ1896" s="983"/>
      <c r="DV1896" s="889"/>
    </row>
    <row r="1897" spans="1:126" s="74" customFormat="1">
      <c r="A1897" s="15"/>
      <c r="B1897" s="15"/>
      <c r="C1897" s="15"/>
      <c r="D1897" s="15"/>
      <c r="E1897" s="6"/>
      <c r="F1897" s="6"/>
      <c r="G1897" s="6"/>
      <c r="K1897" s="222"/>
      <c r="V1897" s="1430"/>
      <c r="AA1897" s="223"/>
      <c r="AC1897" s="889"/>
      <c r="AF1897" s="890"/>
      <c r="AJ1897" s="889"/>
      <c r="AN1897" s="222"/>
      <c r="BC1897" s="223"/>
      <c r="BD1897" s="222"/>
      <c r="BH1897" s="611"/>
      <c r="BJ1897" s="15"/>
      <c r="BK1897" s="15"/>
      <c r="BO1897" s="223"/>
      <c r="BQ1897" s="889"/>
      <c r="BT1897" s="890"/>
      <c r="BX1897" s="889"/>
      <c r="CB1897" s="15"/>
      <c r="CC1897" s="697"/>
      <c r="CD1897" s="1086"/>
      <c r="CE1897" s="15"/>
      <c r="CF1897" s="15"/>
      <c r="CG1897" s="936"/>
      <c r="CH1897" s="15"/>
      <c r="CI1897" s="15"/>
      <c r="CJ1897" s="15"/>
      <c r="CK1897" s="1107"/>
      <c r="CL1897" s="22"/>
      <c r="CM1897" s="22"/>
      <c r="CN1897" s="1107"/>
      <c r="CR1897" s="223"/>
      <c r="CS1897" s="952"/>
      <c r="CT1897" s="1066"/>
      <c r="CU1897" s="972"/>
      <c r="CV1897" s="983"/>
      <c r="CW1897" s="222"/>
      <c r="CX1897" s="697"/>
      <c r="DC1897" s="222"/>
      <c r="DJ1897" s="889"/>
      <c r="DM1897" s="890"/>
      <c r="DN1897" s="952"/>
      <c r="DO1897" s="75"/>
      <c r="DP1897" s="962"/>
      <c r="DQ1897" s="983"/>
      <c r="DV1897" s="889"/>
    </row>
    <row r="1898" spans="1:126" s="74" customFormat="1">
      <c r="A1898" s="15"/>
      <c r="B1898" s="15"/>
      <c r="C1898" s="15"/>
      <c r="D1898" s="15"/>
      <c r="E1898" s="6"/>
      <c r="F1898" s="6"/>
      <c r="G1898" s="6"/>
      <c r="K1898" s="222"/>
      <c r="V1898" s="1430"/>
      <c r="AA1898" s="223"/>
      <c r="AC1898" s="889"/>
      <c r="AF1898" s="890"/>
      <c r="AJ1898" s="889"/>
      <c r="AN1898" s="222"/>
      <c r="BC1898" s="223"/>
      <c r="BD1898" s="222"/>
      <c r="BH1898" s="611"/>
      <c r="BJ1898" s="15"/>
      <c r="BK1898" s="15"/>
      <c r="BO1898" s="223"/>
      <c r="BQ1898" s="889"/>
      <c r="BT1898" s="890"/>
      <c r="BX1898" s="889"/>
      <c r="CB1898" s="15"/>
      <c r="CC1898" s="697"/>
      <c r="CD1898" s="1086"/>
      <c r="CE1898" s="15"/>
      <c r="CF1898" s="15"/>
      <c r="CG1898" s="936"/>
      <c r="CH1898" s="15"/>
      <c r="CI1898" s="15"/>
      <c r="CJ1898" s="15"/>
      <c r="CK1898" s="1107"/>
      <c r="CL1898" s="22"/>
      <c r="CM1898" s="22"/>
      <c r="CN1898" s="1107"/>
      <c r="CR1898" s="223"/>
      <c r="CS1898" s="952"/>
      <c r="CT1898" s="1066"/>
      <c r="CU1898" s="972"/>
      <c r="CV1898" s="983"/>
      <c r="CW1898" s="222"/>
      <c r="CX1898" s="697"/>
      <c r="DC1898" s="222"/>
      <c r="DJ1898" s="889"/>
      <c r="DM1898" s="890"/>
      <c r="DN1898" s="952"/>
      <c r="DO1898" s="75"/>
      <c r="DP1898" s="962"/>
      <c r="DQ1898" s="983"/>
      <c r="DV1898" s="889"/>
    </row>
    <row r="1899" spans="1:126" s="74" customFormat="1">
      <c r="A1899" s="15"/>
      <c r="B1899" s="15"/>
      <c r="C1899" s="15"/>
      <c r="D1899" s="15"/>
      <c r="E1899" s="6"/>
      <c r="F1899" s="6"/>
      <c r="G1899" s="6"/>
      <c r="K1899" s="222"/>
      <c r="V1899" s="1430"/>
      <c r="AA1899" s="223"/>
      <c r="AC1899" s="889"/>
      <c r="AF1899" s="890"/>
      <c r="AJ1899" s="889"/>
      <c r="AN1899" s="222"/>
      <c r="BC1899" s="223"/>
      <c r="BD1899" s="222"/>
      <c r="BH1899" s="611"/>
      <c r="BJ1899" s="15"/>
      <c r="BK1899" s="15"/>
      <c r="BO1899" s="223"/>
      <c r="BQ1899" s="889"/>
      <c r="BT1899" s="890"/>
      <c r="BX1899" s="889"/>
      <c r="CB1899" s="15"/>
      <c r="CC1899" s="697"/>
      <c r="CD1899" s="1086"/>
      <c r="CE1899" s="15"/>
      <c r="CF1899" s="15"/>
      <c r="CG1899" s="936"/>
      <c r="CH1899" s="15"/>
      <c r="CI1899" s="15"/>
      <c r="CJ1899" s="15"/>
      <c r="CK1899" s="1107"/>
      <c r="CL1899" s="22"/>
      <c r="CM1899" s="22"/>
      <c r="CN1899" s="1107"/>
      <c r="CR1899" s="223"/>
      <c r="CS1899" s="952"/>
      <c r="CT1899" s="1066"/>
      <c r="CU1899" s="972"/>
      <c r="CV1899" s="983"/>
      <c r="CW1899" s="222"/>
      <c r="CX1899" s="697"/>
      <c r="DC1899" s="222"/>
      <c r="DJ1899" s="889"/>
      <c r="DM1899" s="890"/>
      <c r="DN1899" s="952"/>
      <c r="DO1899" s="75"/>
      <c r="DP1899" s="962"/>
      <c r="DQ1899" s="983"/>
      <c r="DV1899" s="889"/>
    </row>
    <row r="1900" spans="1:126" s="74" customFormat="1">
      <c r="A1900" s="15"/>
      <c r="B1900" s="15"/>
      <c r="C1900" s="15"/>
      <c r="D1900" s="15"/>
      <c r="E1900" s="6"/>
      <c r="F1900" s="6"/>
      <c r="G1900" s="6"/>
      <c r="K1900" s="222"/>
      <c r="V1900" s="1430"/>
      <c r="AA1900" s="223"/>
      <c r="AC1900" s="889"/>
      <c r="AF1900" s="890"/>
      <c r="AJ1900" s="889"/>
      <c r="AN1900" s="222"/>
      <c r="BC1900" s="223"/>
      <c r="BD1900" s="222"/>
      <c r="BH1900" s="611"/>
      <c r="BJ1900" s="15"/>
      <c r="BK1900" s="15"/>
      <c r="BO1900" s="223"/>
      <c r="BQ1900" s="889"/>
      <c r="BT1900" s="890"/>
      <c r="BX1900" s="889"/>
      <c r="CB1900" s="15"/>
      <c r="CC1900" s="697"/>
      <c r="CD1900" s="1086"/>
      <c r="CE1900" s="15"/>
      <c r="CF1900" s="15"/>
      <c r="CG1900" s="936"/>
      <c r="CH1900" s="15"/>
      <c r="CI1900" s="15"/>
      <c r="CJ1900" s="15"/>
      <c r="CK1900" s="1107"/>
      <c r="CL1900" s="22"/>
      <c r="CM1900" s="22"/>
      <c r="CN1900" s="1107"/>
      <c r="CR1900" s="223"/>
      <c r="CS1900" s="952"/>
      <c r="CT1900" s="1066"/>
      <c r="CU1900" s="972"/>
      <c r="CV1900" s="983"/>
      <c r="CW1900" s="222"/>
      <c r="CX1900" s="697"/>
      <c r="DC1900" s="222"/>
      <c r="DJ1900" s="889"/>
      <c r="DM1900" s="890"/>
      <c r="DN1900" s="952"/>
      <c r="DO1900" s="75"/>
      <c r="DP1900" s="962"/>
      <c r="DQ1900" s="983"/>
      <c r="DV1900" s="889"/>
    </row>
    <row r="1901" spans="1:126" s="74" customFormat="1">
      <c r="A1901" s="15"/>
      <c r="B1901" s="15"/>
      <c r="C1901" s="15"/>
      <c r="D1901" s="15"/>
      <c r="E1901" s="6"/>
      <c r="F1901" s="6"/>
      <c r="G1901" s="6"/>
      <c r="K1901" s="222"/>
      <c r="V1901" s="1430"/>
      <c r="AA1901" s="223"/>
      <c r="AC1901" s="889"/>
      <c r="AF1901" s="890"/>
      <c r="AJ1901" s="889"/>
      <c r="AN1901" s="222"/>
      <c r="BC1901" s="223"/>
      <c r="BD1901" s="222"/>
      <c r="BH1901" s="611"/>
      <c r="BJ1901" s="15"/>
      <c r="BK1901" s="15"/>
      <c r="BO1901" s="223"/>
      <c r="BQ1901" s="889"/>
      <c r="BT1901" s="890"/>
      <c r="BX1901" s="889"/>
      <c r="CB1901" s="15"/>
      <c r="CC1901" s="697"/>
      <c r="CD1901" s="1086"/>
      <c r="CE1901" s="15"/>
      <c r="CF1901" s="15"/>
      <c r="CG1901" s="936"/>
      <c r="CH1901" s="15"/>
      <c r="CI1901" s="15"/>
      <c r="CJ1901" s="15"/>
      <c r="CK1901" s="1107"/>
      <c r="CL1901" s="22"/>
      <c r="CM1901" s="22"/>
      <c r="CN1901" s="1107"/>
      <c r="CR1901" s="223"/>
      <c r="CS1901" s="952"/>
      <c r="CT1901" s="1066"/>
      <c r="CU1901" s="972"/>
      <c r="CV1901" s="983"/>
      <c r="CW1901" s="222"/>
      <c r="CX1901" s="697"/>
      <c r="DC1901" s="222"/>
      <c r="DJ1901" s="889"/>
      <c r="DM1901" s="890"/>
      <c r="DN1901" s="952"/>
      <c r="DO1901" s="75"/>
      <c r="DP1901" s="962"/>
      <c r="DQ1901" s="983"/>
      <c r="DV1901" s="889"/>
    </row>
    <row r="1902" spans="1:126" s="74" customFormat="1">
      <c r="A1902" s="15"/>
      <c r="B1902" s="15"/>
      <c r="C1902" s="15"/>
      <c r="D1902" s="15"/>
      <c r="E1902" s="6"/>
      <c r="F1902" s="6"/>
      <c r="G1902" s="6"/>
      <c r="K1902" s="222"/>
      <c r="V1902" s="1430"/>
      <c r="AA1902" s="223"/>
      <c r="AC1902" s="889"/>
      <c r="AF1902" s="890"/>
      <c r="AJ1902" s="889"/>
      <c r="AN1902" s="222"/>
      <c r="BC1902" s="223"/>
      <c r="BD1902" s="222"/>
      <c r="BH1902" s="611"/>
      <c r="BJ1902" s="15"/>
      <c r="BK1902" s="15"/>
      <c r="BO1902" s="223"/>
      <c r="BQ1902" s="889"/>
      <c r="BT1902" s="890"/>
      <c r="BX1902" s="889"/>
      <c r="CB1902" s="15"/>
      <c r="CC1902" s="697"/>
      <c r="CD1902" s="1086"/>
      <c r="CE1902" s="15"/>
      <c r="CF1902" s="15"/>
      <c r="CG1902" s="936"/>
      <c r="CH1902" s="15"/>
      <c r="CI1902" s="15"/>
      <c r="CJ1902" s="15"/>
      <c r="CK1902" s="1107"/>
      <c r="CL1902" s="22"/>
      <c r="CM1902" s="22"/>
      <c r="CN1902" s="1107"/>
      <c r="CR1902" s="223"/>
      <c r="CS1902" s="952"/>
      <c r="CT1902" s="1066"/>
      <c r="CU1902" s="972"/>
      <c r="CV1902" s="983"/>
      <c r="CW1902" s="222"/>
      <c r="CX1902" s="697"/>
      <c r="DC1902" s="222"/>
      <c r="DJ1902" s="889"/>
      <c r="DM1902" s="890"/>
      <c r="DN1902" s="952"/>
      <c r="DO1902" s="75"/>
      <c r="DP1902" s="962"/>
      <c r="DQ1902" s="983"/>
      <c r="DV1902" s="889"/>
    </row>
    <row r="1903" spans="1:126" s="74" customFormat="1">
      <c r="A1903" s="15"/>
      <c r="B1903" s="15"/>
      <c r="C1903" s="15"/>
      <c r="D1903" s="15"/>
      <c r="E1903" s="6"/>
      <c r="F1903" s="6"/>
      <c r="G1903" s="6"/>
      <c r="K1903" s="222"/>
      <c r="V1903" s="1430"/>
      <c r="AA1903" s="223"/>
      <c r="AC1903" s="889"/>
      <c r="AF1903" s="890"/>
      <c r="AJ1903" s="889"/>
      <c r="AN1903" s="222"/>
      <c r="BC1903" s="223"/>
      <c r="BD1903" s="222"/>
      <c r="BH1903" s="611"/>
      <c r="BJ1903" s="15"/>
      <c r="BK1903" s="15"/>
      <c r="BO1903" s="223"/>
      <c r="BQ1903" s="889"/>
      <c r="BT1903" s="890"/>
      <c r="BX1903" s="889"/>
      <c r="CB1903" s="15"/>
      <c r="CC1903" s="697"/>
      <c r="CD1903" s="1086"/>
      <c r="CE1903" s="15"/>
      <c r="CF1903" s="15"/>
      <c r="CG1903" s="936"/>
      <c r="CH1903" s="15"/>
      <c r="CI1903" s="15"/>
      <c r="CJ1903" s="15"/>
      <c r="CK1903" s="1107"/>
      <c r="CL1903" s="22"/>
      <c r="CM1903" s="22"/>
      <c r="CN1903" s="1107"/>
      <c r="CR1903" s="223"/>
      <c r="CS1903" s="952"/>
      <c r="CT1903" s="1066"/>
      <c r="CU1903" s="972"/>
      <c r="CV1903" s="983"/>
      <c r="CW1903" s="222"/>
      <c r="CX1903" s="697"/>
      <c r="DC1903" s="222"/>
      <c r="DJ1903" s="889"/>
      <c r="DM1903" s="890"/>
      <c r="DN1903" s="952"/>
      <c r="DO1903" s="75"/>
      <c r="DP1903" s="962"/>
      <c r="DQ1903" s="983"/>
      <c r="DV1903" s="889"/>
    </row>
    <row r="1904" spans="1:126" s="74" customFormat="1">
      <c r="A1904" s="15"/>
      <c r="B1904" s="15"/>
      <c r="C1904" s="15"/>
      <c r="D1904" s="15"/>
      <c r="E1904" s="6"/>
      <c r="F1904" s="6"/>
      <c r="G1904" s="6"/>
      <c r="K1904" s="222"/>
      <c r="V1904" s="1430"/>
      <c r="AA1904" s="223"/>
      <c r="AC1904" s="889"/>
      <c r="AF1904" s="890"/>
      <c r="AJ1904" s="889"/>
      <c r="AN1904" s="222"/>
      <c r="BC1904" s="223"/>
      <c r="BD1904" s="222"/>
      <c r="BH1904" s="611"/>
      <c r="BJ1904" s="15"/>
      <c r="BK1904" s="15"/>
      <c r="BO1904" s="223"/>
      <c r="BQ1904" s="889"/>
      <c r="BT1904" s="890"/>
      <c r="BX1904" s="889"/>
      <c r="CB1904" s="15"/>
      <c r="CC1904" s="697"/>
      <c r="CD1904" s="1086"/>
      <c r="CE1904" s="15"/>
      <c r="CF1904" s="15"/>
      <c r="CG1904" s="936"/>
      <c r="CH1904" s="15"/>
      <c r="CI1904" s="15"/>
      <c r="CJ1904" s="15"/>
      <c r="CK1904" s="1107"/>
      <c r="CL1904" s="22"/>
      <c r="CM1904" s="22"/>
      <c r="CN1904" s="1107"/>
      <c r="CR1904" s="223"/>
      <c r="CS1904" s="952"/>
      <c r="CT1904" s="1066"/>
      <c r="CU1904" s="972"/>
      <c r="CV1904" s="983"/>
      <c r="CW1904" s="222"/>
      <c r="CX1904" s="697"/>
      <c r="DC1904" s="222"/>
      <c r="DJ1904" s="889"/>
      <c r="DM1904" s="890"/>
      <c r="DN1904" s="952"/>
      <c r="DO1904" s="75"/>
      <c r="DP1904" s="962"/>
      <c r="DQ1904" s="983"/>
      <c r="DV1904" s="889"/>
    </row>
    <row r="1905" spans="1:126" s="74" customFormat="1">
      <c r="A1905" s="15"/>
      <c r="B1905" s="15"/>
      <c r="C1905" s="15"/>
      <c r="D1905" s="15"/>
      <c r="E1905" s="6"/>
      <c r="F1905" s="6"/>
      <c r="G1905" s="6"/>
      <c r="K1905" s="222"/>
      <c r="V1905" s="1430"/>
      <c r="AA1905" s="223"/>
      <c r="AC1905" s="889"/>
      <c r="AF1905" s="890"/>
      <c r="AJ1905" s="889"/>
      <c r="AN1905" s="222"/>
      <c r="BC1905" s="223"/>
      <c r="BD1905" s="222"/>
      <c r="BH1905" s="611"/>
      <c r="BJ1905" s="15"/>
      <c r="BK1905" s="15"/>
      <c r="BO1905" s="223"/>
      <c r="BQ1905" s="889"/>
      <c r="BT1905" s="890"/>
      <c r="BX1905" s="889"/>
      <c r="CB1905" s="15"/>
      <c r="CC1905" s="697"/>
      <c r="CD1905" s="1086"/>
      <c r="CE1905" s="15"/>
      <c r="CF1905" s="15"/>
      <c r="CG1905" s="936"/>
      <c r="CH1905" s="15"/>
      <c r="CI1905" s="15"/>
      <c r="CJ1905" s="15"/>
      <c r="CK1905" s="1107"/>
      <c r="CL1905" s="22"/>
      <c r="CM1905" s="22"/>
      <c r="CN1905" s="1107"/>
      <c r="CR1905" s="223"/>
      <c r="CS1905" s="952"/>
      <c r="CT1905" s="1066"/>
      <c r="CU1905" s="972"/>
      <c r="CV1905" s="983"/>
      <c r="CW1905" s="222"/>
      <c r="CX1905" s="697"/>
      <c r="DC1905" s="222"/>
      <c r="DJ1905" s="889"/>
      <c r="DM1905" s="890"/>
      <c r="DN1905" s="952"/>
      <c r="DO1905" s="75"/>
      <c r="DP1905" s="962"/>
      <c r="DQ1905" s="983"/>
      <c r="DV1905" s="889"/>
    </row>
    <row r="1906" spans="1:126" s="74" customFormat="1">
      <c r="A1906" s="15"/>
      <c r="B1906" s="15"/>
      <c r="C1906" s="15"/>
      <c r="D1906" s="15"/>
      <c r="E1906" s="6"/>
      <c r="F1906" s="6"/>
      <c r="G1906" s="6"/>
      <c r="K1906" s="222"/>
      <c r="V1906" s="1430"/>
      <c r="AA1906" s="223"/>
      <c r="AC1906" s="889"/>
      <c r="AF1906" s="890"/>
      <c r="AJ1906" s="889"/>
      <c r="AN1906" s="222"/>
      <c r="BC1906" s="223"/>
      <c r="BD1906" s="222"/>
      <c r="BH1906" s="611"/>
      <c r="BJ1906" s="15"/>
      <c r="BK1906" s="15"/>
      <c r="BO1906" s="223"/>
      <c r="BQ1906" s="889"/>
      <c r="BT1906" s="890"/>
      <c r="BX1906" s="889"/>
      <c r="CB1906" s="15"/>
      <c r="CC1906" s="697"/>
      <c r="CD1906" s="1086"/>
      <c r="CE1906" s="15"/>
      <c r="CF1906" s="15"/>
      <c r="CG1906" s="936"/>
      <c r="CH1906" s="15"/>
      <c r="CI1906" s="15"/>
      <c r="CJ1906" s="15"/>
      <c r="CK1906" s="1107"/>
      <c r="CL1906" s="22"/>
      <c r="CM1906" s="22"/>
      <c r="CN1906" s="1107"/>
      <c r="CR1906" s="223"/>
      <c r="CS1906" s="952"/>
      <c r="CT1906" s="1066"/>
      <c r="CU1906" s="972"/>
      <c r="CV1906" s="983"/>
      <c r="CW1906" s="222"/>
      <c r="CX1906" s="697"/>
      <c r="DC1906" s="222"/>
      <c r="DJ1906" s="889"/>
      <c r="DM1906" s="890"/>
      <c r="DN1906" s="952"/>
      <c r="DO1906" s="75"/>
      <c r="DP1906" s="962"/>
      <c r="DQ1906" s="983"/>
      <c r="DV1906" s="889"/>
    </row>
    <row r="1907" spans="1:126" s="74" customFormat="1">
      <c r="A1907" s="15"/>
      <c r="B1907" s="15"/>
      <c r="C1907" s="15"/>
      <c r="D1907" s="15"/>
      <c r="E1907" s="6"/>
      <c r="F1907" s="6"/>
      <c r="G1907" s="6"/>
      <c r="K1907" s="222"/>
      <c r="V1907" s="1430"/>
      <c r="AA1907" s="223"/>
      <c r="AC1907" s="889"/>
      <c r="AF1907" s="890"/>
      <c r="AJ1907" s="889"/>
      <c r="AN1907" s="222"/>
      <c r="BC1907" s="223"/>
      <c r="BD1907" s="222"/>
      <c r="BH1907" s="611"/>
      <c r="BJ1907" s="15"/>
      <c r="BK1907" s="15"/>
      <c r="BO1907" s="223"/>
      <c r="BQ1907" s="889"/>
      <c r="BT1907" s="890"/>
      <c r="BX1907" s="889"/>
      <c r="CB1907" s="15"/>
      <c r="CC1907" s="697"/>
      <c r="CD1907" s="1086"/>
      <c r="CE1907" s="15"/>
      <c r="CF1907" s="15"/>
      <c r="CG1907" s="936"/>
      <c r="CH1907" s="15"/>
      <c r="CI1907" s="15"/>
      <c r="CJ1907" s="15"/>
      <c r="CK1907" s="1107"/>
      <c r="CL1907" s="22"/>
      <c r="CM1907" s="22"/>
      <c r="CN1907" s="1107"/>
      <c r="CR1907" s="223"/>
      <c r="CS1907" s="952"/>
      <c r="CT1907" s="1066"/>
      <c r="CU1907" s="972"/>
      <c r="CV1907" s="983"/>
      <c r="CW1907" s="222"/>
      <c r="CX1907" s="697"/>
      <c r="DC1907" s="222"/>
      <c r="DJ1907" s="889"/>
      <c r="DM1907" s="890"/>
      <c r="DN1907" s="952"/>
      <c r="DO1907" s="75"/>
      <c r="DP1907" s="962"/>
      <c r="DQ1907" s="983"/>
      <c r="DV1907" s="889"/>
    </row>
    <row r="1908" spans="1:126" s="74" customFormat="1">
      <c r="A1908" s="15"/>
      <c r="B1908" s="15"/>
      <c r="C1908" s="15"/>
      <c r="D1908" s="15"/>
      <c r="E1908" s="6"/>
      <c r="F1908" s="6"/>
      <c r="G1908" s="6"/>
      <c r="K1908" s="222"/>
      <c r="V1908" s="1430"/>
      <c r="AA1908" s="223"/>
      <c r="AC1908" s="889"/>
      <c r="AF1908" s="890"/>
      <c r="AJ1908" s="889"/>
      <c r="AN1908" s="222"/>
      <c r="BC1908" s="223"/>
      <c r="BD1908" s="222"/>
      <c r="BH1908" s="611"/>
      <c r="BJ1908" s="15"/>
      <c r="BK1908" s="15"/>
      <c r="BO1908" s="223"/>
      <c r="BQ1908" s="889"/>
      <c r="BT1908" s="890"/>
      <c r="BX1908" s="889"/>
      <c r="CB1908" s="15"/>
      <c r="CC1908" s="697"/>
      <c r="CD1908" s="1086"/>
      <c r="CE1908" s="15"/>
      <c r="CF1908" s="15"/>
      <c r="CG1908" s="936"/>
      <c r="CH1908" s="15"/>
      <c r="CI1908" s="15"/>
      <c r="CJ1908" s="15"/>
      <c r="CK1908" s="1107"/>
      <c r="CL1908" s="22"/>
      <c r="CM1908" s="22"/>
      <c r="CN1908" s="1107"/>
      <c r="CR1908" s="223"/>
      <c r="CS1908" s="952"/>
      <c r="CT1908" s="1066"/>
      <c r="CU1908" s="972"/>
      <c r="CV1908" s="983"/>
      <c r="CW1908" s="222"/>
      <c r="CX1908" s="697"/>
      <c r="DC1908" s="222"/>
      <c r="DJ1908" s="889"/>
      <c r="DM1908" s="890"/>
      <c r="DN1908" s="952"/>
      <c r="DO1908" s="75"/>
      <c r="DP1908" s="962"/>
      <c r="DQ1908" s="983"/>
      <c r="DV1908" s="889"/>
    </row>
    <row r="1909" spans="1:126" s="74" customFormat="1">
      <c r="A1909" s="15"/>
      <c r="B1909" s="15"/>
      <c r="C1909" s="15"/>
      <c r="D1909" s="15"/>
      <c r="E1909" s="6"/>
      <c r="F1909" s="6"/>
      <c r="G1909" s="6"/>
      <c r="K1909" s="222"/>
      <c r="V1909" s="1430"/>
      <c r="AA1909" s="223"/>
      <c r="AC1909" s="889"/>
      <c r="AF1909" s="890"/>
      <c r="AJ1909" s="889"/>
      <c r="AN1909" s="222"/>
      <c r="BC1909" s="223"/>
      <c r="BD1909" s="222"/>
      <c r="BH1909" s="611"/>
      <c r="BJ1909" s="15"/>
      <c r="BK1909" s="15"/>
      <c r="BO1909" s="223"/>
      <c r="BQ1909" s="889"/>
      <c r="BT1909" s="890"/>
      <c r="BX1909" s="889"/>
      <c r="CB1909" s="15"/>
      <c r="CC1909" s="697"/>
      <c r="CD1909" s="1086"/>
      <c r="CE1909" s="15"/>
      <c r="CF1909" s="15"/>
      <c r="CG1909" s="936"/>
      <c r="CH1909" s="15"/>
      <c r="CI1909" s="15"/>
      <c r="CJ1909" s="15"/>
      <c r="CK1909" s="1107"/>
      <c r="CL1909" s="22"/>
      <c r="CM1909" s="22"/>
      <c r="CN1909" s="1107"/>
      <c r="CR1909" s="223"/>
      <c r="CS1909" s="952"/>
      <c r="CT1909" s="1066"/>
      <c r="CU1909" s="972"/>
      <c r="CV1909" s="983"/>
      <c r="CW1909" s="222"/>
      <c r="CX1909" s="697"/>
      <c r="DC1909" s="222"/>
      <c r="DJ1909" s="889"/>
      <c r="DM1909" s="890"/>
      <c r="DN1909" s="952"/>
      <c r="DO1909" s="75"/>
      <c r="DP1909" s="962"/>
      <c r="DQ1909" s="983"/>
      <c r="DV1909" s="889"/>
    </row>
    <row r="1910" spans="1:126" s="74" customFormat="1">
      <c r="A1910" s="15"/>
      <c r="B1910" s="15"/>
      <c r="C1910" s="15"/>
      <c r="D1910" s="15"/>
      <c r="E1910" s="6"/>
      <c r="F1910" s="6"/>
      <c r="G1910" s="6"/>
      <c r="K1910" s="222"/>
      <c r="V1910" s="1430"/>
      <c r="AA1910" s="223"/>
      <c r="AC1910" s="889"/>
      <c r="AF1910" s="890"/>
      <c r="AJ1910" s="889"/>
      <c r="AN1910" s="222"/>
      <c r="BC1910" s="223"/>
      <c r="BD1910" s="222"/>
      <c r="BH1910" s="611"/>
      <c r="BJ1910" s="15"/>
      <c r="BK1910" s="15"/>
      <c r="BO1910" s="223"/>
      <c r="BQ1910" s="889"/>
      <c r="BT1910" s="890"/>
      <c r="BX1910" s="889"/>
      <c r="CB1910" s="15"/>
      <c r="CC1910" s="697"/>
      <c r="CD1910" s="1086"/>
      <c r="CE1910" s="15"/>
      <c r="CF1910" s="15"/>
      <c r="CG1910" s="936"/>
      <c r="CH1910" s="15"/>
      <c r="CI1910" s="15"/>
      <c r="CJ1910" s="15"/>
      <c r="CK1910" s="1107"/>
      <c r="CL1910" s="22"/>
      <c r="CM1910" s="22"/>
      <c r="CN1910" s="1107"/>
      <c r="CR1910" s="223"/>
      <c r="CS1910" s="952"/>
      <c r="CT1910" s="1066"/>
      <c r="CU1910" s="972"/>
      <c r="CV1910" s="983"/>
      <c r="CW1910" s="222"/>
      <c r="CX1910" s="697"/>
      <c r="DC1910" s="222"/>
      <c r="DJ1910" s="889"/>
      <c r="DM1910" s="890"/>
      <c r="DN1910" s="952"/>
      <c r="DO1910" s="75"/>
      <c r="DP1910" s="962"/>
      <c r="DQ1910" s="983"/>
      <c r="DV1910" s="889"/>
    </row>
    <row r="1911" spans="1:126" s="74" customFormat="1">
      <c r="A1911" s="15"/>
      <c r="B1911" s="15"/>
      <c r="C1911" s="15"/>
      <c r="D1911" s="15"/>
      <c r="E1911" s="6"/>
      <c r="F1911" s="6"/>
      <c r="G1911" s="6"/>
      <c r="K1911" s="222"/>
      <c r="V1911" s="1430"/>
      <c r="AA1911" s="223"/>
      <c r="AC1911" s="889"/>
      <c r="AF1911" s="890"/>
      <c r="AJ1911" s="889"/>
      <c r="AN1911" s="222"/>
      <c r="BC1911" s="223"/>
      <c r="BD1911" s="222"/>
      <c r="BH1911" s="611"/>
      <c r="BJ1911" s="15"/>
      <c r="BK1911" s="15"/>
      <c r="BO1911" s="223"/>
      <c r="BQ1911" s="889"/>
      <c r="BT1911" s="890"/>
      <c r="BX1911" s="889"/>
      <c r="CB1911" s="15"/>
      <c r="CC1911" s="697"/>
      <c r="CD1911" s="1086"/>
      <c r="CE1911" s="15"/>
      <c r="CF1911" s="15"/>
      <c r="CG1911" s="936"/>
      <c r="CH1911" s="15"/>
      <c r="CI1911" s="15"/>
      <c r="CJ1911" s="15"/>
      <c r="CK1911" s="1107"/>
      <c r="CL1911" s="22"/>
      <c r="CM1911" s="22"/>
      <c r="CN1911" s="1107"/>
      <c r="CR1911" s="223"/>
      <c r="CS1911" s="952"/>
      <c r="CT1911" s="1066"/>
      <c r="CU1911" s="972"/>
      <c r="CV1911" s="983"/>
      <c r="CW1911" s="222"/>
      <c r="CX1911" s="697"/>
      <c r="DC1911" s="222"/>
      <c r="DJ1911" s="889"/>
      <c r="DM1911" s="890"/>
      <c r="DN1911" s="952"/>
      <c r="DO1911" s="75"/>
      <c r="DP1911" s="962"/>
      <c r="DQ1911" s="983"/>
      <c r="DV1911" s="889"/>
    </row>
    <row r="1912" spans="1:126" s="74" customFormat="1">
      <c r="A1912" s="15"/>
      <c r="B1912" s="15"/>
      <c r="C1912" s="15"/>
      <c r="D1912" s="15"/>
      <c r="E1912" s="6"/>
      <c r="F1912" s="6"/>
      <c r="G1912" s="6"/>
      <c r="K1912" s="222"/>
      <c r="V1912" s="1430"/>
      <c r="AA1912" s="223"/>
      <c r="AC1912" s="889"/>
      <c r="AF1912" s="890"/>
      <c r="AJ1912" s="889"/>
      <c r="AN1912" s="222"/>
      <c r="BC1912" s="223"/>
      <c r="BD1912" s="222"/>
      <c r="BH1912" s="611"/>
      <c r="BJ1912" s="15"/>
      <c r="BK1912" s="15"/>
      <c r="BO1912" s="223"/>
      <c r="BQ1912" s="889"/>
      <c r="BT1912" s="890"/>
      <c r="BX1912" s="889"/>
      <c r="CB1912" s="15"/>
      <c r="CC1912" s="697"/>
      <c r="CD1912" s="1086"/>
      <c r="CE1912" s="15"/>
      <c r="CF1912" s="15"/>
      <c r="CG1912" s="936"/>
      <c r="CH1912" s="15"/>
      <c r="CI1912" s="15"/>
      <c r="CJ1912" s="15"/>
      <c r="CK1912" s="1107"/>
      <c r="CL1912" s="22"/>
      <c r="CM1912" s="22"/>
      <c r="CN1912" s="1107"/>
      <c r="CR1912" s="223"/>
      <c r="CS1912" s="952"/>
      <c r="CT1912" s="1066"/>
      <c r="CU1912" s="972"/>
      <c r="CV1912" s="983"/>
      <c r="CW1912" s="222"/>
      <c r="CX1912" s="697"/>
      <c r="DC1912" s="222"/>
      <c r="DJ1912" s="889"/>
      <c r="DM1912" s="890"/>
      <c r="DN1912" s="952"/>
      <c r="DO1912" s="75"/>
      <c r="DP1912" s="962"/>
      <c r="DQ1912" s="983"/>
      <c r="DV1912" s="889"/>
    </row>
    <row r="1913" spans="1:126" s="74" customFormat="1">
      <c r="A1913" s="15"/>
      <c r="B1913" s="15"/>
      <c r="C1913" s="15"/>
      <c r="D1913" s="15"/>
      <c r="E1913" s="6"/>
      <c r="F1913" s="6"/>
      <c r="G1913" s="6"/>
      <c r="K1913" s="222"/>
      <c r="V1913" s="1430"/>
      <c r="AA1913" s="223"/>
      <c r="AC1913" s="889"/>
      <c r="AF1913" s="890"/>
      <c r="AJ1913" s="889"/>
      <c r="AN1913" s="222"/>
      <c r="BC1913" s="223"/>
      <c r="BD1913" s="222"/>
      <c r="BH1913" s="611"/>
      <c r="BJ1913" s="15"/>
      <c r="BK1913" s="15"/>
      <c r="BO1913" s="223"/>
      <c r="BQ1913" s="889"/>
      <c r="BT1913" s="890"/>
      <c r="BX1913" s="889"/>
      <c r="CB1913" s="15"/>
      <c r="CC1913" s="697"/>
      <c r="CD1913" s="1086"/>
      <c r="CE1913" s="15"/>
      <c r="CF1913" s="15"/>
      <c r="CG1913" s="936"/>
      <c r="CH1913" s="15"/>
      <c r="CI1913" s="15"/>
      <c r="CJ1913" s="15"/>
      <c r="CK1913" s="1107"/>
      <c r="CL1913" s="22"/>
      <c r="CM1913" s="22"/>
      <c r="CN1913" s="1107"/>
      <c r="CR1913" s="223"/>
      <c r="CS1913" s="952"/>
      <c r="CT1913" s="1066"/>
      <c r="CU1913" s="972"/>
      <c r="CV1913" s="983"/>
      <c r="CW1913" s="222"/>
      <c r="CX1913" s="697"/>
      <c r="DC1913" s="222"/>
      <c r="DJ1913" s="889"/>
      <c r="DM1913" s="890"/>
      <c r="DN1913" s="952"/>
      <c r="DO1913" s="75"/>
      <c r="DP1913" s="962"/>
      <c r="DQ1913" s="983"/>
      <c r="DV1913" s="889"/>
    </row>
    <row r="1914" spans="1:126" s="74" customFormat="1">
      <c r="A1914" s="15"/>
      <c r="B1914" s="15"/>
      <c r="C1914" s="15"/>
      <c r="D1914" s="15"/>
      <c r="E1914" s="6"/>
      <c r="F1914" s="6"/>
      <c r="G1914" s="6"/>
      <c r="K1914" s="222"/>
      <c r="V1914" s="1430"/>
      <c r="AA1914" s="223"/>
      <c r="AC1914" s="889"/>
      <c r="AF1914" s="890"/>
      <c r="AJ1914" s="889"/>
      <c r="AN1914" s="222"/>
      <c r="BC1914" s="223"/>
      <c r="BD1914" s="222"/>
      <c r="BH1914" s="611"/>
      <c r="BJ1914" s="15"/>
      <c r="BK1914" s="15"/>
      <c r="BO1914" s="223"/>
      <c r="BQ1914" s="889"/>
      <c r="BT1914" s="890"/>
      <c r="BX1914" s="889"/>
      <c r="CB1914" s="15"/>
      <c r="CC1914" s="697"/>
      <c r="CD1914" s="1086"/>
      <c r="CE1914" s="15"/>
      <c r="CF1914" s="15"/>
      <c r="CG1914" s="936"/>
      <c r="CH1914" s="15"/>
      <c r="CI1914" s="15"/>
      <c r="CJ1914" s="15"/>
      <c r="CK1914" s="1107"/>
      <c r="CL1914" s="22"/>
      <c r="CM1914" s="22"/>
      <c r="CN1914" s="1107"/>
      <c r="CR1914" s="223"/>
      <c r="CS1914" s="952"/>
      <c r="CT1914" s="1066"/>
      <c r="CU1914" s="972"/>
      <c r="CV1914" s="983"/>
      <c r="CW1914" s="222"/>
      <c r="CX1914" s="697"/>
      <c r="DC1914" s="222"/>
      <c r="DJ1914" s="889"/>
      <c r="DM1914" s="890"/>
      <c r="DN1914" s="952"/>
      <c r="DO1914" s="75"/>
      <c r="DP1914" s="962"/>
      <c r="DQ1914" s="983"/>
      <c r="DV1914" s="889"/>
    </row>
    <row r="1915" spans="1:126" s="74" customFormat="1">
      <c r="A1915" s="15"/>
      <c r="B1915" s="15"/>
      <c r="C1915" s="15"/>
      <c r="D1915" s="15"/>
      <c r="E1915" s="6"/>
      <c r="F1915" s="6"/>
      <c r="G1915" s="6"/>
      <c r="K1915" s="222"/>
      <c r="V1915" s="1430"/>
      <c r="AA1915" s="223"/>
      <c r="AC1915" s="889"/>
      <c r="AF1915" s="890"/>
      <c r="AJ1915" s="889"/>
      <c r="AN1915" s="222"/>
      <c r="BC1915" s="223"/>
      <c r="BD1915" s="222"/>
      <c r="BH1915" s="611"/>
      <c r="BJ1915" s="15"/>
      <c r="BK1915" s="15"/>
      <c r="BO1915" s="223"/>
      <c r="BQ1915" s="889"/>
      <c r="BT1915" s="890"/>
      <c r="BX1915" s="889"/>
      <c r="CB1915" s="15"/>
      <c r="CC1915" s="697"/>
      <c r="CD1915" s="1086"/>
      <c r="CE1915" s="15"/>
      <c r="CF1915" s="15"/>
      <c r="CG1915" s="936"/>
      <c r="CH1915" s="15"/>
      <c r="CI1915" s="15"/>
      <c r="CJ1915" s="15"/>
      <c r="CK1915" s="1107"/>
      <c r="CL1915" s="22"/>
      <c r="CM1915" s="22"/>
      <c r="CN1915" s="1107"/>
      <c r="CR1915" s="223"/>
      <c r="CS1915" s="952"/>
      <c r="CT1915" s="1066"/>
      <c r="CU1915" s="972"/>
      <c r="CV1915" s="983"/>
      <c r="CW1915" s="222"/>
      <c r="CX1915" s="697"/>
      <c r="DC1915" s="222"/>
      <c r="DJ1915" s="889"/>
      <c r="DM1915" s="890"/>
      <c r="DN1915" s="952"/>
      <c r="DO1915" s="75"/>
      <c r="DP1915" s="962"/>
      <c r="DQ1915" s="983"/>
      <c r="DV1915" s="889"/>
    </row>
    <row r="1916" spans="1:126" s="74" customFormat="1">
      <c r="A1916" s="15"/>
      <c r="B1916" s="15"/>
      <c r="C1916" s="15"/>
      <c r="D1916" s="15"/>
      <c r="E1916" s="6"/>
      <c r="F1916" s="6"/>
      <c r="G1916" s="6"/>
      <c r="K1916" s="222"/>
      <c r="V1916" s="1430"/>
      <c r="AA1916" s="223"/>
      <c r="AC1916" s="889"/>
      <c r="AF1916" s="890"/>
      <c r="AJ1916" s="889"/>
      <c r="AN1916" s="222"/>
      <c r="BC1916" s="223"/>
      <c r="BD1916" s="222"/>
      <c r="BH1916" s="611"/>
      <c r="BJ1916" s="15"/>
      <c r="BK1916" s="15"/>
      <c r="BO1916" s="223"/>
      <c r="BQ1916" s="889"/>
      <c r="BT1916" s="890"/>
      <c r="BX1916" s="889"/>
      <c r="CB1916" s="15"/>
      <c r="CC1916" s="697"/>
      <c r="CD1916" s="1086"/>
      <c r="CE1916" s="15"/>
      <c r="CF1916" s="15"/>
      <c r="CG1916" s="936"/>
      <c r="CH1916" s="15"/>
      <c r="CI1916" s="15"/>
      <c r="CJ1916" s="15"/>
      <c r="CK1916" s="1107"/>
      <c r="CL1916" s="22"/>
      <c r="CM1916" s="22"/>
      <c r="CN1916" s="1107"/>
      <c r="CR1916" s="223"/>
      <c r="CS1916" s="952"/>
      <c r="CT1916" s="1066"/>
      <c r="CU1916" s="972"/>
      <c r="CV1916" s="983"/>
      <c r="CW1916" s="222"/>
      <c r="CX1916" s="697"/>
      <c r="DC1916" s="222"/>
      <c r="DJ1916" s="889"/>
      <c r="DM1916" s="890"/>
      <c r="DN1916" s="952"/>
      <c r="DO1916" s="75"/>
      <c r="DP1916" s="962"/>
      <c r="DQ1916" s="983"/>
      <c r="DV1916" s="889"/>
    </row>
    <row r="1917" spans="1:126" s="74" customFormat="1">
      <c r="A1917" s="15"/>
      <c r="B1917" s="15"/>
      <c r="C1917" s="15"/>
      <c r="D1917" s="15"/>
      <c r="E1917" s="6"/>
      <c r="F1917" s="6"/>
      <c r="G1917" s="6"/>
      <c r="K1917" s="222"/>
      <c r="V1917" s="1430"/>
      <c r="AA1917" s="223"/>
      <c r="AC1917" s="889"/>
      <c r="AF1917" s="890"/>
      <c r="AJ1917" s="889"/>
      <c r="AN1917" s="222"/>
      <c r="BC1917" s="223"/>
      <c r="BD1917" s="222"/>
      <c r="BH1917" s="611"/>
      <c r="BJ1917" s="15"/>
      <c r="BK1917" s="15"/>
      <c r="BO1917" s="223"/>
      <c r="BQ1917" s="889"/>
      <c r="BT1917" s="890"/>
      <c r="BX1917" s="889"/>
      <c r="CB1917" s="15"/>
      <c r="CC1917" s="697"/>
      <c r="CD1917" s="1086"/>
      <c r="CE1917" s="15"/>
      <c r="CF1917" s="15"/>
      <c r="CG1917" s="936"/>
      <c r="CH1917" s="15"/>
      <c r="CI1917" s="15"/>
      <c r="CJ1917" s="15"/>
      <c r="CK1917" s="1107"/>
      <c r="CL1917" s="22"/>
      <c r="CM1917" s="22"/>
      <c r="CN1917" s="1107"/>
      <c r="CR1917" s="223"/>
      <c r="CS1917" s="952"/>
      <c r="CT1917" s="1066"/>
      <c r="CU1917" s="972"/>
      <c r="CV1917" s="983"/>
      <c r="CW1917" s="222"/>
      <c r="CX1917" s="697"/>
      <c r="DC1917" s="222"/>
      <c r="DJ1917" s="889"/>
      <c r="DM1917" s="890"/>
      <c r="DN1917" s="952"/>
      <c r="DO1917" s="75"/>
      <c r="DP1917" s="962"/>
      <c r="DQ1917" s="983"/>
      <c r="DV1917" s="889"/>
    </row>
    <row r="1918" spans="1:126" s="74" customFormat="1">
      <c r="A1918" s="15"/>
      <c r="B1918" s="15"/>
      <c r="C1918" s="15"/>
      <c r="D1918" s="15"/>
      <c r="E1918" s="6"/>
      <c r="F1918" s="6"/>
      <c r="G1918" s="6"/>
      <c r="K1918" s="222"/>
      <c r="V1918" s="1430"/>
      <c r="AA1918" s="223"/>
      <c r="AC1918" s="889"/>
      <c r="AF1918" s="890"/>
      <c r="AJ1918" s="889"/>
      <c r="AN1918" s="222"/>
      <c r="BC1918" s="223"/>
      <c r="BD1918" s="222"/>
      <c r="BH1918" s="611"/>
      <c r="BJ1918" s="15"/>
      <c r="BK1918" s="15"/>
      <c r="BO1918" s="223"/>
      <c r="BQ1918" s="889"/>
      <c r="BT1918" s="890"/>
      <c r="BX1918" s="889"/>
      <c r="CB1918" s="15"/>
      <c r="CC1918" s="697"/>
      <c r="CD1918" s="1086"/>
      <c r="CE1918" s="15"/>
      <c r="CF1918" s="15"/>
      <c r="CG1918" s="936"/>
      <c r="CH1918" s="15"/>
      <c r="CI1918" s="15"/>
      <c r="CJ1918" s="15"/>
      <c r="CK1918" s="1107"/>
      <c r="CL1918" s="22"/>
      <c r="CM1918" s="22"/>
      <c r="CN1918" s="1107"/>
      <c r="CR1918" s="223"/>
      <c r="CS1918" s="952"/>
      <c r="CT1918" s="1066"/>
      <c r="CU1918" s="972"/>
      <c r="CV1918" s="983"/>
      <c r="CW1918" s="222"/>
      <c r="CX1918" s="697"/>
      <c r="DC1918" s="222"/>
      <c r="DJ1918" s="889"/>
      <c r="DM1918" s="890"/>
      <c r="DN1918" s="952"/>
      <c r="DO1918" s="75"/>
      <c r="DP1918" s="962"/>
      <c r="DQ1918" s="983"/>
      <c r="DV1918" s="889"/>
    </row>
    <row r="1919" spans="1:126" s="74" customFormat="1">
      <c r="A1919" s="15"/>
      <c r="B1919" s="15"/>
      <c r="C1919" s="15"/>
      <c r="D1919" s="15"/>
      <c r="E1919" s="6"/>
      <c r="F1919" s="6"/>
      <c r="G1919" s="6"/>
      <c r="K1919" s="222"/>
      <c r="V1919" s="1430"/>
      <c r="AA1919" s="223"/>
      <c r="AC1919" s="889"/>
      <c r="AF1919" s="890"/>
      <c r="AJ1919" s="889"/>
      <c r="AN1919" s="222"/>
      <c r="BC1919" s="223"/>
      <c r="BD1919" s="222"/>
      <c r="BH1919" s="611"/>
      <c r="BJ1919" s="15"/>
      <c r="BK1919" s="15"/>
      <c r="BO1919" s="223"/>
      <c r="BQ1919" s="889"/>
      <c r="BT1919" s="890"/>
      <c r="BX1919" s="889"/>
      <c r="CB1919" s="15"/>
      <c r="CC1919" s="697"/>
      <c r="CD1919" s="1086"/>
      <c r="CE1919" s="15"/>
      <c r="CF1919" s="15"/>
      <c r="CG1919" s="936"/>
      <c r="CH1919" s="15"/>
      <c r="CI1919" s="15"/>
      <c r="CJ1919" s="15"/>
      <c r="CK1919" s="1107"/>
      <c r="CL1919" s="22"/>
      <c r="CM1919" s="22"/>
      <c r="CN1919" s="1107"/>
      <c r="CR1919" s="223"/>
      <c r="CS1919" s="952"/>
      <c r="CT1919" s="1066"/>
      <c r="CU1919" s="972"/>
      <c r="CV1919" s="983"/>
      <c r="CW1919" s="222"/>
      <c r="CX1919" s="697"/>
      <c r="DC1919" s="222"/>
      <c r="DJ1919" s="889"/>
      <c r="DM1919" s="890"/>
      <c r="DN1919" s="952"/>
      <c r="DO1919" s="75"/>
      <c r="DP1919" s="962"/>
      <c r="DQ1919" s="983"/>
      <c r="DV1919" s="889"/>
    </row>
    <row r="1920" spans="1:126" s="74" customFormat="1">
      <c r="A1920" s="15"/>
      <c r="B1920" s="15"/>
      <c r="C1920" s="15"/>
      <c r="D1920" s="15"/>
      <c r="E1920" s="6"/>
      <c r="F1920" s="6"/>
      <c r="G1920" s="6"/>
      <c r="K1920" s="222"/>
      <c r="V1920" s="1430"/>
      <c r="AA1920" s="223"/>
      <c r="AC1920" s="889"/>
      <c r="AF1920" s="890"/>
      <c r="AJ1920" s="889"/>
      <c r="AN1920" s="222"/>
      <c r="BC1920" s="223"/>
      <c r="BD1920" s="222"/>
      <c r="BH1920" s="611"/>
      <c r="BJ1920" s="15"/>
      <c r="BK1920" s="15"/>
      <c r="BO1920" s="223"/>
      <c r="BQ1920" s="889"/>
      <c r="BT1920" s="890"/>
      <c r="BX1920" s="889"/>
      <c r="CB1920" s="15"/>
      <c r="CC1920" s="697"/>
      <c r="CD1920" s="1086"/>
      <c r="CE1920" s="15"/>
      <c r="CF1920" s="15"/>
      <c r="CG1920" s="936"/>
      <c r="CH1920" s="15"/>
      <c r="CI1920" s="15"/>
      <c r="CJ1920" s="15"/>
      <c r="CK1920" s="1107"/>
      <c r="CL1920" s="22"/>
      <c r="CM1920" s="22"/>
      <c r="CN1920" s="1107"/>
      <c r="CR1920" s="223"/>
      <c r="CS1920" s="952"/>
      <c r="CT1920" s="1066"/>
      <c r="CU1920" s="972"/>
      <c r="CV1920" s="983"/>
      <c r="CW1920" s="222"/>
      <c r="CX1920" s="697"/>
      <c r="DC1920" s="222"/>
      <c r="DJ1920" s="889"/>
      <c r="DM1920" s="890"/>
      <c r="DN1920" s="952"/>
      <c r="DO1920" s="75"/>
      <c r="DP1920" s="962"/>
      <c r="DQ1920" s="983"/>
      <c r="DV1920" s="889"/>
    </row>
    <row r="1921" spans="1:126" s="74" customFormat="1">
      <c r="A1921" s="15"/>
      <c r="B1921" s="15"/>
      <c r="C1921" s="15"/>
      <c r="D1921" s="15"/>
      <c r="E1921" s="6"/>
      <c r="F1921" s="6"/>
      <c r="G1921" s="6"/>
      <c r="K1921" s="222"/>
      <c r="V1921" s="1430"/>
      <c r="AA1921" s="223"/>
      <c r="AC1921" s="889"/>
      <c r="AF1921" s="890"/>
      <c r="AJ1921" s="889"/>
      <c r="AN1921" s="222"/>
      <c r="BC1921" s="223"/>
      <c r="BD1921" s="222"/>
      <c r="BH1921" s="611"/>
      <c r="BJ1921" s="15"/>
      <c r="BK1921" s="15"/>
      <c r="BO1921" s="223"/>
      <c r="BQ1921" s="889"/>
      <c r="BT1921" s="890"/>
      <c r="BX1921" s="889"/>
      <c r="CB1921" s="15"/>
      <c r="CC1921" s="697"/>
      <c r="CD1921" s="1086"/>
      <c r="CE1921" s="15"/>
      <c r="CF1921" s="15"/>
      <c r="CG1921" s="936"/>
      <c r="CH1921" s="15"/>
      <c r="CI1921" s="15"/>
      <c r="CJ1921" s="15"/>
      <c r="CK1921" s="1107"/>
      <c r="CL1921" s="22"/>
      <c r="CM1921" s="22"/>
      <c r="CN1921" s="1107"/>
      <c r="CR1921" s="223"/>
      <c r="CS1921" s="952"/>
      <c r="CT1921" s="1066"/>
      <c r="CU1921" s="972"/>
      <c r="CV1921" s="983"/>
      <c r="CW1921" s="222"/>
      <c r="CX1921" s="697"/>
      <c r="DC1921" s="222"/>
      <c r="DJ1921" s="889"/>
      <c r="DM1921" s="890"/>
      <c r="DN1921" s="952"/>
      <c r="DO1921" s="75"/>
      <c r="DP1921" s="962"/>
      <c r="DQ1921" s="983"/>
      <c r="DV1921" s="889"/>
    </row>
    <row r="1922" spans="1:126" s="74" customFormat="1">
      <c r="A1922" s="15"/>
      <c r="B1922" s="15"/>
      <c r="C1922" s="15"/>
      <c r="D1922" s="15"/>
      <c r="E1922" s="6"/>
      <c r="F1922" s="6"/>
      <c r="G1922" s="6"/>
      <c r="K1922" s="222"/>
      <c r="V1922" s="1430"/>
      <c r="AA1922" s="223"/>
      <c r="AC1922" s="889"/>
      <c r="AF1922" s="890"/>
      <c r="AJ1922" s="889"/>
      <c r="AN1922" s="222"/>
      <c r="BC1922" s="223"/>
      <c r="BD1922" s="222"/>
      <c r="BH1922" s="611"/>
      <c r="BJ1922" s="15"/>
      <c r="BK1922" s="15"/>
      <c r="BO1922" s="223"/>
      <c r="BQ1922" s="889"/>
      <c r="BT1922" s="890"/>
      <c r="BX1922" s="889"/>
      <c r="CB1922" s="15"/>
      <c r="CC1922" s="697"/>
      <c r="CD1922" s="1086"/>
      <c r="CE1922" s="15"/>
      <c r="CF1922" s="15"/>
      <c r="CG1922" s="936"/>
      <c r="CH1922" s="15"/>
      <c r="CI1922" s="15"/>
      <c r="CJ1922" s="15"/>
      <c r="CK1922" s="1107"/>
      <c r="CL1922" s="22"/>
      <c r="CM1922" s="22"/>
      <c r="CN1922" s="1107"/>
      <c r="CR1922" s="223"/>
      <c r="CS1922" s="952"/>
      <c r="CT1922" s="1066"/>
      <c r="CU1922" s="972"/>
      <c r="CV1922" s="983"/>
      <c r="CW1922" s="222"/>
      <c r="CX1922" s="697"/>
      <c r="DC1922" s="222"/>
      <c r="DJ1922" s="889"/>
      <c r="DM1922" s="890"/>
      <c r="DN1922" s="952"/>
      <c r="DO1922" s="75"/>
      <c r="DP1922" s="962"/>
      <c r="DQ1922" s="983"/>
      <c r="DV1922" s="889"/>
    </row>
    <row r="1923" spans="1:126" s="74" customFormat="1">
      <c r="A1923" s="15"/>
      <c r="B1923" s="15"/>
      <c r="C1923" s="15"/>
      <c r="D1923" s="15"/>
      <c r="E1923" s="6"/>
      <c r="F1923" s="6"/>
      <c r="G1923" s="6"/>
      <c r="K1923" s="222"/>
      <c r="V1923" s="1430"/>
      <c r="AA1923" s="223"/>
      <c r="AC1923" s="889"/>
      <c r="AF1923" s="890"/>
      <c r="AJ1923" s="889"/>
      <c r="AN1923" s="222"/>
      <c r="BC1923" s="223"/>
      <c r="BD1923" s="222"/>
      <c r="BH1923" s="611"/>
      <c r="BJ1923" s="15"/>
      <c r="BK1923" s="15"/>
      <c r="BO1923" s="223"/>
      <c r="BQ1923" s="889"/>
      <c r="BT1923" s="890"/>
      <c r="BX1923" s="889"/>
      <c r="CB1923" s="15"/>
      <c r="CC1923" s="697"/>
      <c r="CD1923" s="1086"/>
      <c r="CE1923" s="15"/>
      <c r="CF1923" s="15"/>
      <c r="CG1923" s="936"/>
      <c r="CH1923" s="15"/>
      <c r="CI1923" s="15"/>
      <c r="CJ1923" s="15"/>
      <c r="CK1923" s="1107"/>
      <c r="CL1923" s="22"/>
      <c r="CM1923" s="22"/>
      <c r="CN1923" s="1107"/>
      <c r="CR1923" s="223"/>
      <c r="CS1923" s="952"/>
      <c r="CT1923" s="1066"/>
      <c r="CU1923" s="972"/>
      <c r="CV1923" s="983"/>
      <c r="CW1923" s="222"/>
      <c r="CX1923" s="697"/>
      <c r="DC1923" s="222"/>
      <c r="DJ1923" s="889"/>
      <c r="DM1923" s="890"/>
      <c r="DN1923" s="952"/>
      <c r="DO1923" s="75"/>
      <c r="DP1923" s="962"/>
      <c r="DQ1923" s="983"/>
      <c r="DV1923" s="889"/>
    </row>
    <row r="1924" spans="1:126" s="74" customFormat="1">
      <c r="A1924" s="15"/>
      <c r="B1924" s="15"/>
      <c r="C1924" s="15"/>
      <c r="D1924" s="15"/>
      <c r="E1924" s="6"/>
      <c r="F1924" s="6"/>
      <c r="G1924" s="6"/>
      <c r="K1924" s="222"/>
      <c r="V1924" s="1430"/>
      <c r="AA1924" s="223"/>
      <c r="AC1924" s="889"/>
      <c r="AF1924" s="890"/>
      <c r="AJ1924" s="889"/>
      <c r="AN1924" s="222"/>
      <c r="BC1924" s="223"/>
      <c r="BD1924" s="222"/>
      <c r="BH1924" s="611"/>
      <c r="BJ1924" s="15"/>
      <c r="BK1924" s="15"/>
      <c r="BO1924" s="223"/>
      <c r="BQ1924" s="889"/>
      <c r="BT1924" s="890"/>
      <c r="BX1924" s="889"/>
      <c r="CB1924" s="15"/>
      <c r="CC1924" s="697"/>
      <c r="CD1924" s="1086"/>
      <c r="CE1924" s="15"/>
      <c r="CF1924" s="15"/>
      <c r="CG1924" s="936"/>
      <c r="CH1924" s="15"/>
      <c r="CI1924" s="15"/>
      <c r="CJ1924" s="15"/>
      <c r="CK1924" s="1107"/>
      <c r="CL1924" s="22"/>
      <c r="CM1924" s="22"/>
      <c r="CN1924" s="1107"/>
      <c r="CR1924" s="223"/>
      <c r="CS1924" s="952"/>
      <c r="CT1924" s="1066"/>
      <c r="CU1924" s="972"/>
      <c r="CV1924" s="983"/>
      <c r="CW1924" s="222"/>
      <c r="CX1924" s="697"/>
      <c r="DC1924" s="222"/>
      <c r="DJ1924" s="889"/>
      <c r="DM1924" s="890"/>
      <c r="DN1924" s="952"/>
      <c r="DO1924" s="75"/>
      <c r="DP1924" s="962"/>
      <c r="DQ1924" s="983"/>
      <c r="DV1924" s="889"/>
    </row>
    <row r="1925" spans="1:126" s="74" customFormat="1">
      <c r="A1925" s="15"/>
      <c r="B1925" s="15"/>
      <c r="C1925" s="15"/>
      <c r="D1925" s="15"/>
      <c r="E1925" s="6"/>
      <c r="F1925" s="6"/>
      <c r="G1925" s="6"/>
      <c r="K1925" s="222"/>
      <c r="V1925" s="1430"/>
      <c r="AA1925" s="223"/>
      <c r="AC1925" s="889"/>
      <c r="AF1925" s="890"/>
      <c r="AJ1925" s="889"/>
      <c r="AN1925" s="222"/>
      <c r="BC1925" s="223"/>
      <c r="BD1925" s="222"/>
      <c r="BH1925" s="611"/>
      <c r="BJ1925" s="15"/>
      <c r="BK1925" s="15"/>
      <c r="BO1925" s="223"/>
      <c r="BQ1925" s="889"/>
      <c r="BT1925" s="890"/>
      <c r="BX1925" s="889"/>
      <c r="CB1925" s="15"/>
      <c r="CC1925" s="697"/>
      <c r="CD1925" s="1086"/>
      <c r="CE1925" s="15"/>
      <c r="CF1925" s="15"/>
      <c r="CG1925" s="936"/>
      <c r="CH1925" s="15"/>
      <c r="CI1925" s="15"/>
      <c r="CJ1925" s="15"/>
      <c r="CK1925" s="1107"/>
      <c r="CL1925" s="22"/>
      <c r="CM1925" s="22"/>
      <c r="CN1925" s="1107"/>
      <c r="CR1925" s="223"/>
      <c r="CS1925" s="952"/>
      <c r="CT1925" s="1066"/>
      <c r="CU1925" s="972"/>
      <c r="CV1925" s="983"/>
      <c r="CW1925" s="222"/>
      <c r="CX1925" s="697"/>
      <c r="DC1925" s="222"/>
      <c r="DJ1925" s="889"/>
      <c r="DM1925" s="890"/>
      <c r="DN1925" s="952"/>
      <c r="DO1925" s="75"/>
      <c r="DP1925" s="962"/>
      <c r="DQ1925" s="983"/>
      <c r="DV1925" s="889"/>
    </row>
    <row r="1926" spans="1:126" s="74" customFormat="1">
      <c r="A1926" s="15"/>
      <c r="B1926" s="15"/>
      <c r="C1926" s="15"/>
      <c r="D1926" s="15"/>
      <c r="E1926" s="6"/>
      <c r="F1926" s="6"/>
      <c r="G1926" s="6"/>
      <c r="K1926" s="222"/>
      <c r="V1926" s="1430"/>
      <c r="AA1926" s="223"/>
      <c r="AC1926" s="889"/>
      <c r="AF1926" s="890"/>
      <c r="AJ1926" s="889"/>
      <c r="AN1926" s="222"/>
      <c r="BC1926" s="223"/>
      <c r="BD1926" s="222"/>
      <c r="BH1926" s="611"/>
      <c r="BJ1926" s="15"/>
      <c r="BK1926" s="15"/>
      <c r="BO1926" s="223"/>
      <c r="BQ1926" s="889"/>
      <c r="BT1926" s="890"/>
      <c r="BX1926" s="889"/>
      <c r="CB1926" s="15"/>
      <c r="CC1926" s="697"/>
      <c r="CD1926" s="1086"/>
      <c r="CE1926" s="15"/>
      <c r="CF1926" s="15"/>
      <c r="CG1926" s="936"/>
      <c r="CH1926" s="15"/>
      <c r="CI1926" s="15"/>
      <c r="CJ1926" s="15"/>
      <c r="CK1926" s="1107"/>
      <c r="CL1926" s="22"/>
      <c r="CM1926" s="22"/>
      <c r="CN1926" s="1107"/>
      <c r="CR1926" s="223"/>
      <c r="CS1926" s="952"/>
      <c r="CT1926" s="1066"/>
      <c r="CU1926" s="972"/>
      <c r="CV1926" s="983"/>
      <c r="CW1926" s="222"/>
      <c r="CX1926" s="697"/>
      <c r="DC1926" s="222"/>
      <c r="DJ1926" s="889"/>
      <c r="DM1926" s="890"/>
      <c r="DN1926" s="952"/>
      <c r="DO1926" s="75"/>
      <c r="DP1926" s="962"/>
      <c r="DQ1926" s="983"/>
      <c r="DV1926" s="889"/>
    </row>
    <row r="1927" spans="1:126" s="74" customFormat="1">
      <c r="A1927" s="15"/>
      <c r="B1927" s="15"/>
      <c r="C1927" s="15"/>
      <c r="D1927" s="15"/>
      <c r="E1927" s="6"/>
      <c r="F1927" s="6"/>
      <c r="G1927" s="6"/>
      <c r="K1927" s="222"/>
      <c r="V1927" s="1430"/>
      <c r="AA1927" s="223"/>
      <c r="AC1927" s="889"/>
      <c r="AF1927" s="890"/>
      <c r="AJ1927" s="889"/>
      <c r="AN1927" s="222"/>
      <c r="BC1927" s="223"/>
      <c r="BD1927" s="222"/>
      <c r="BH1927" s="611"/>
      <c r="BJ1927" s="15"/>
      <c r="BK1927" s="15"/>
      <c r="BO1927" s="223"/>
      <c r="BQ1927" s="889"/>
      <c r="BT1927" s="890"/>
      <c r="BX1927" s="889"/>
      <c r="CB1927" s="15"/>
      <c r="CC1927" s="697"/>
      <c r="CD1927" s="1086"/>
      <c r="CE1927" s="15"/>
      <c r="CF1927" s="15"/>
      <c r="CG1927" s="936"/>
      <c r="CH1927" s="15"/>
      <c r="CI1927" s="15"/>
      <c r="CJ1927" s="15"/>
      <c r="CK1927" s="1107"/>
      <c r="CL1927" s="22"/>
      <c r="CM1927" s="22"/>
      <c r="CN1927" s="1107"/>
      <c r="CR1927" s="223"/>
      <c r="CS1927" s="952"/>
      <c r="CT1927" s="1066"/>
      <c r="CU1927" s="972"/>
      <c r="CV1927" s="983"/>
      <c r="CW1927" s="222"/>
      <c r="CX1927" s="697"/>
      <c r="DC1927" s="222"/>
      <c r="DJ1927" s="889"/>
      <c r="DM1927" s="890"/>
      <c r="DN1927" s="952"/>
      <c r="DO1927" s="75"/>
      <c r="DP1927" s="962"/>
      <c r="DQ1927" s="983"/>
      <c r="DV1927" s="889"/>
    </row>
    <row r="1928" spans="1:126" s="74" customFormat="1">
      <c r="A1928" s="15"/>
      <c r="B1928" s="15"/>
      <c r="C1928" s="15"/>
      <c r="D1928" s="15"/>
      <c r="E1928" s="6"/>
      <c r="F1928" s="6"/>
      <c r="G1928" s="6"/>
      <c r="K1928" s="222"/>
      <c r="V1928" s="1430"/>
      <c r="AA1928" s="223"/>
      <c r="AC1928" s="889"/>
      <c r="AF1928" s="890"/>
      <c r="AJ1928" s="889"/>
      <c r="AN1928" s="222"/>
      <c r="BC1928" s="223"/>
      <c r="BD1928" s="222"/>
      <c r="BH1928" s="611"/>
      <c r="BJ1928" s="15"/>
      <c r="BK1928" s="15"/>
      <c r="BO1928" s="223"/>
      <c r="BQ1928" s="889"/>
      <c r="BT1928" s="890"/>
      <c r="BX1928" s="889"/>
      <c r="CB1928" s="15"/>
      <c r="CC1928" s="697"/>
      <c r="CD1928" s="1086"/>
      <c r="CE1928" s="15"/>
      <c r="CF1928" s="15"/>
      <c r="CG1928" s="936"/>
      <c r="CH1928" s="15"/>
      <c r="CI1928" s="15"/>
      <c r="CJ1928" s="15"/>
      <c r="CK1928" s="1107"/>
      <c r="CL1928" s="22"/>
      <c r="CM1928" s="22"/>
      <c r="CN1928" s="1107"/>
      <c r="CR1928" s="223"/>
      <c r="CS1928" s="952"/>
      <c r="CT1928" s="1066"/>
      <c r="CU1928" s="972"/>
      <c r="CV1928" s="983"/>
      <c r="CW1928" s="222"/>
      <c r="CX1928" s="697"/>
      <c r="DC1928" s="222"/>
      <c r="DJ1928" s="889"/>
      <c r="DM1928" s="890"/>
      <c r="DN1928" s="952"/>
      <c r="DO1928" s="75"/>
      <c r="DP1928" s="962"/>
      <c r="DQ1928" s="983"/>
      <c r="DV1928" s="889"/>
    </row>
    <row r="1929" spans="1:126" s="74" customFormat="1">
      <c r="A1929" s="15"/>
      <c r="B1929" s="15"/>
      <c r="C1929" s="15"/>
      <c r="D1929" s="15"/>
      <c r="E1929" s="6"/>
      <c r="F1929" s="6"/>
      <c r="G1929" s="6"/>
      <c r="K1929" s="222"/>
      <c r="V1929" s="1430"/>
      <c r="AA1929" s="223"/>
      <c r="AC1929" s="889"/>
      <c r="AF1929" s="890"/>
      <c r="AJ1929" s="889"/>
      <c r="AN1929" s="222"/>
      <c r="BC1929" s="223"/>
      <c r="BD1929" s="222"/>
      <c r="BH1929" s="611"/>
      <c r="BJ1929" s="15"/>
      <c r="BK1929" s="15"/>
      <c r="BO1929" s="223"/>
      <c r="BQ1929" s="889"/>
      <c r="BT1929" s="890"/>
      <c r="BX1929" s="889"/>
      <c r="CB1929" s="15"/>
      <c r="CC1929" s="697"/>
      <c r="CD1929" s="1086"/>
      <c r="CE1929" s="15"/>
      <c r="CF1929" s="15"/>
      <c r="CG1929" s="936"/>
      <c r="CH1929" s="15"/>
      <c r="CI1929" s="15"/>
      <c r="CJ1929" s="15"/>
      <c r="CK1929" s="1107"/>
      <c r="CL1929" s="22"/>
      <c r="CM1929" s="22"/>
      <c r="CN1929" s="1107"/>
      <c r="CR1929" s="223"/>
      <c r="CS1929" s="952"/>
      <c r="CT1929" s="1066"/>
      <c r="CU1929" s="972"/>
      <c r="CV1929" s="983"/>
      <c r="CW1929" s="222"/>
      <c r="CX1929" s="697"/>
      <c r="DC1929" s="222"/>
      <c r="DJ1929" s="889"/>
      <c r="DM1929" s="890"/>
      <c r="DN1929" s="952"/>
      <c r="DO1929" s="75"/>
      <c r="DP1929" s="962"/>
      <c r="DQ1929" s="983"/>
      <c r="DV1929" s="889"/>
    </row>
    <row r="1930" spans="1:126" s="74" customFormat="1">
      <c r="A1930" s="15"/>
      <c r="B1930" s="15"/>
      <c r="C1930" s="15"/>
      <c r="D1930" s="15"/>
      <c r="E1930" s="6"/>
      <c r="F1930" s="6"/>
      <c r="G1930" s="6"/>
      <c r="K1930" s="222"/>
      <c r="V1930" s="1430"/>
      <c r="AA1930" s="223"/>
      <c r="AC1930" s="889"/>
      <c r="AF1930" s="890"/>
      <c r="AJ1930" s="889"/>
      <c r="AN1930" s="222"/>
      <c r="BC1930" s="223"/>
      <c r="BD1930" s="222"/>
      <c r="BH1930" s="611"/>
      <c r="BJ1930" s="15"/>
      <c r="BK1930" s="15"/>
      <c r="BO1930" s="223"/>
      <c r="BQ1930" s="889"/>
      <c r="BT1930" s="890"/>
      <c r="BX1930" s="889"/>
      <c r="CB1930" s="15"/>
      <c r="CC1930" s="697"/>
      <c r="CD1930" s="1086"/>
      <c r="CE1930" s="15"/>
      <c r="CF1930" s="15"/>
      <c r="CG1930" s="936"/>
      <c r="CH1930" s="15"/>
      <c r="CI1930" s="15"/>
      <c r="CJ1930" s="15"/>
      <c r="CK1930" s="1107"/>
      <c r="CL1930" s="22"/>
      <c r="CM1930" s="22"/>
      <c r="CN1930" s="1107"/>
      <c r="CR1930" s="223"/>
      <c r="CS1930" s="952"/>
      <c r="CT1930" s="1066"/>
      <c r="CU1930" s="972"/>
      <c r="CV1930" s="983"/>
      <c r="CW1930" s="222"/>
      <c r="CX1930" s="697"/>
      <c r="DC1930" s="222"/>
      <c r="DJ1930" s="889"/>
      <c r="DM1930" s="890"/>
      <c r="DN1930" s="952"/>
      <c r="DO1930" s="75"/>
      <c r="DP1930" s="962"/>
      <c r="DQ1930" s="983"/>
      <c r="DV1930" s="889"/>
    </row>
    <row r="1931" spans="1:126" s="74" customFormat="1">
      <c r="A1931" s="15"/>
      <c r="B1931" s="15"/>
      <c r="C1931" s="15"/>
      <c r="D1931" s="15"/>
      <c r="E1931" s="6"/>
      <c r="F1931" s="6"/>
      <c r="G1931" s="6"/>
      <c r="K1931" s="222"/>
      <c r="V1931" s="1430"/>
      <c r="AA1931" s="223"/>
      <c r="AC1931" s="889"/>
      <c r="AF1931" s="890"/>
      <c r="AJ1931" s="889"/>
      <c r="AN1931" s="222"/>
      <c r="BC1931" s="223"/>
      <c r="BD1931" s="222"/>
      <c r="BH1931" s="611"/>
      <c r="BJ1931" s="15"/>
      <c r="BK1931" s="15"/>
      <c r="BO1931" s="223"/>
      <c r="BQ1931" s="889"/>
      <c r="BT1931" s="890"/>
      <c r="BX1931" s="889"/>
      <c r="CB1931" s="15"/>
      <c r="CC1931" s="697"/>
      <c r="CD1931" s="1086"/>
      <c r="CE1931" s="15"/>
      <c r="CF1931" s="15"/>
      <c r="CG1931" s="936"/>
      <c r="CH1931" s="15"/>
      <c r="CI1931" s="15"/>
      <c r="CJ1931" s="15"/>
      <c r="CK1931" s="1107"/>
      <c r="CL1931" s="22"/>
      <c r="CM1931" s="22"/>
      <c r="CN1931" s="1107"/>
      <c r="CR1931" s="223"/>
      <c r="CS1931" s="952"/>
      <c r="CT1931" s="1066"/>
      <c r="CU1931" s="972"/>
      <c r="CV1931" s="983"/>
      <c r="CW1931" s="222"/>
      <c r="CX1931" s="697"/>
      <c r="DC1931" s="222"/>
      <c r="DJ1931" s="889"/>
      <c r="DM1931" s="890"/>
      <c r="DN1931" s="952"/>
      <c r="DO1931" s="75"/>
      <c r="DP1931" s="962"/>
      <c r="DQ1931" s="983"/>
      <c r="DV1931" s="889"/>
    </row>
    <row r="1932" spans="1:126" s="74" customFormat="1">
      <c r="A1932" s="15"/>
      <c r="B1932" s="15"/>
      <c r="C1932" s="15"/>
      <c r="D1932" s="15"/>
      <c r="E1932" s="6"/>
      <c r="F1932" s="6"/>
      <c r="G1932" s="6"/>
      <c r="K1932" s="222"/>
      <c r="V1932" s="1430"/>
      <c r="AA1932" s="223"/>
      <c r="AC1932" s="889"/>
      <c r="AF1932" s="890"/>
      <c r="AJ1932" s="889"/>
      <c r="AN1932" s="222"/>
      <c r="BC1932" s="223"/>
      <c r="BD1932" s="222"/>
      <c r="BH1932" s="611"/>
      <c r="BJ1932" s="15"/>
      <c r="BK1932" s="15"/>
      <c r="BO1932" s="223"/>
      <c r="BQ1932" s="889"/>
      <c r="BT1932" s="890"/>
      <c r="BX1932" s="889"/>
      <c r="CB1932" s="15"/>
      <c r="CC1932" s="697"/>
      <c r="CD1932" s="1086"/>
      <c r="CE1932" s="15"/>
      <c r="CF1932" s="15"/>
      <c r="CG1932" s="936"/>
      <c r="CH1932" s="15"/>
      <c r="CI1932" s="15"/>
      <c r="CJ1932" s="15"/>
      <c r="CK1932" s="1107"/>
      <c r="CL1932" s="22"/>
      <c r="CM1932" s="22"/>
      <c r="CN1932" s="1107"/>
      <c r="CR1932" s="223"/>
      <c r="CS1932" s="952"/>
      <c r="CT1932" s="1066"/>
      <c r="CU1932" s="972"/>
      <c r="CV1932" s="983"/>
      <c r="CW1932" s="222"/>
      <c r="CX1932" s="697"/>
      <c r="DC1932" s="222"/>
      <c r="DJ1932" s="889"/>
      <c r="DM1932" s="890"/>
      <c r="DN1932" s="952"/>
      <c r="DO1932" s="75"/>
      <c r="DP1932" s="962"/>
      <c r="DQ1932" s="983"/>
      <c r="DV1932" s="889"/>
    </row>
    <row r="1933" spans="1:126" s="74" customFormat="1">
      <c r="A1933" s="15"/>
      <c r="B1933" s="15"/>
      <c r="C1933" s="15"/>
      <c r="D1933" s="15"/>
      <c r="E1933" s="6"/>
      <c r="F1933" s="6"/>
      <c r="G1933" s="6"/>
      <c r="K1933" s="222"/>
      <c r="V1933" s="1430"/>
      <c r="AA1933" s="223"/>
      <c r="AC1933" s="889"/>
      <c r="AF1933" s="890"/>
      <c r="AJ1933" s="889"/>
      <c r="AN1933" s="222"/>
      <c r="BC1933" s="223"/>
      <c r="BD1933" s="222"/>
      <c r="BH1933" s="611"/>
      <c r="BJ1933" s="15"/>
      <c r="BK1933" s="15"/>
      <c r="BO1933" s="223"/>
      <c r="BQ1933" s="889"/>
      <c r="BT1933" s="890"/>
      <c r="BX1933" s="889"/>
      <c r="CB1933" s="15"/>
      <c r="CC1933" s="697"/>
      <c r="CD1933" s="1086"/>
      <c r="CE1933" s="15"/>
      <c r="CF1933" s="15"/>
      <c r="CG1933" s="936"/>
      <c r="CH1933" s="15"/>
      <c r="CI1933" s="15"/>
      <c r="CJ1933" s="15"/>
      <c r="CK1933" s="1107"/>
      <c r="CL1933" s="22"/>
      <c r="CM1933" s="22"/>
      <c r="CN1933" s="1107"/>
      <c r="CR1933" s="223"/>
      <c r="CS1933" s="952"/>
      <c r="CT1933" s="1066"/>
      <c r="CU1933" s="972"/>
      <c r="CV1933" s="983"/>
      <c r="CW1933" s="222"/>
      <c r="CX1933" s="697"/>
      <c r="DC1933" s="222"/>
      <c r="DJ1933" s="889"/>
      <c r="DM1933" s="890"/>
      <c r="DN1933" s="952"/>
      <c r="DO1933" s="75"/>
      <c r="DP1933" s="962"/>
      <c r="DQ1933" s="983"/>
      <c r="DV1933" s="889"/>
    </row>
    <row r="1934" spans="1:126" s="74" customFormat="1">
      <c r="A1934" s="15"/>
      <c r="B1934" s="15"/>
      <c r="C1934" s="15"/>
      <c r="D1934" s="15"/>
      <c r="E1934" s="6"/>
      <c r="F1934" s="6"/>
      <c r="G1934" s="6"/>
      <c r="K1934" s="222"/>
      <c r="V1934" s="1430"/>
      <c r="AA1934" s="223"/>
      <c r="AC1934" s="889"/>
      <c r="AF1934" s="890"/>
      <c r="AJ1934" s="889"/>
      <c r="AN1934" s="222"/>
      <c r="BC1934" s="223"/>
      <c r="BD1934" s="222"/>
      <c r="BH1934" s="611"/>
      <c r="BJ1934" s="15"/>
      <c r="BK1934" s="15"/>
      <c r="BO1934" s="223"/>
      <c r="BQ1934" s="889"/>
      <c r="BT1934" s="890"/>
      <c r="BX1934" s="889"/>
      <c r="CB1934" s="15"/>
      <c r="CC1934" s="697"/>
      <c r="CD1934" s="1086"/>
      <c r="CE1934" s="15"/>
      <c r="CF1934" s="15"/>
      <c r="CG1934" s="936"/>
      <c r="CH1934" s="15"/>
      <c r="CI1934" s="15"/>
      <c r="CJ1934" s="15"/>
      <c r="CK1934" s="1107"/>
      <c r="CL1934" s="22"/>
      <c r="CM1934" s="22"/>
      <c r="CN1934" s="1107"/>
      <c r="CR1934" s="223"/>
      <c r="CS1934" s="952"/>
      <c r="CT1934" s="1066"/>
      <c r="CU1934" s="972"/>
      <c r="CV1934" s="983"/>
      <c r="CW1934" s="222"/>
      <c r="CX1934" s="697"/>
      <c r="DC1934" s="222"/>
      <c r="DJ1934" s="889"/>
      <c r="DM1934" s="890"/>
      <c r="DN1934" s="952"/>
      <c r="DO1934" s="75"/>
      <c r="DP1934" s="962"/>
      <c r="DQ1934" s="983"/>
      <c r="DV1934" s="889"/>
    </row>
    <row r="1935" spans="1:126" s="74" customFormat="1">
      <c r="A1935" s="15"/>
      <c r="B1935" s="15"/>
      <c r="C1935" s="15"/>
      <c r="D1935" s="15"/>
      <c r="E1935" s="6"/>
      <c r="F1935" s="6"/>
      <c r="G1935" s="6"/>
      <c r="K1935" s="222"/>
      <c r="V1935" s="1430"/>
      <c r="AA1935" s="223"/>
      <c r="AC1935" s="889"/>
      <c r="AF1935" s="890"/>
      <c r="AJ1935" s="889"/>
      <c r="AN1935" s="222"/>
      <c r="BC1935" s="223"/>
      <c r="BD1935" s="222"/>
      <c r="BH1935" s="611"/>
      <c r="BJ1935" s="15"/>
      <c r="BK1935" s="15"/>
      <c r="BO1935" s="223"/>
      <c r="BQ1935" s="889"/>
      <c r="BT1935" s="890"/>
      <c r="BX1935" s="889"/>
      <c r="CB1935" s="15"/>
      <c r="CC1935" s="697"/>
      <c r="CD1935" s="1086"/>
      <c r="CE1935" s="15"/>
      <c r="CF1935" s="15"/>
      <c r="CG1935" s="936"/>
      <c r="CH1935" s="15"/>
      <c r="CI1935" s="15"/>
      <c r="CJ1935" s="15"/>
      <c r="CK1935" s="1107"/>
      <c r="CL1935" s="22"/>
      <c r="CM1935" s="22"/>
      <c r="CN1935" s="1107"/>
      <c r="CR1935" s="223"/>
      <c r="CS1935" s="952"/>
      <c r="CT1935" s="1066"/>
      <c r="CU1935" s="972"/>
      <c r="CV1935" s="983"/>
      <c r="CW1935" s="222"/>
      <c r="CX1935" s="697"/>
      <c r="DC1935" s="222"/>
      <c r="DJ1935" s="889"/>
      <c r="DM1935" s="890"/>
      <c r="DN1935" s="952"/>
      <c r="DO1935" s="75"/>
      <c r="DP1935" s="962"/>
      <c r="DQ1935" s="983"/>
      <c r="DV1935" s="889"/>
    </row>
    <row r="1936" spans="1:126" s="74" customFormat="1">
      <c r="A1936" s="15"/>
      <c r="B1936" s="15"/>
      <c r="C1936" s="15"/>
      <c r="D1936" s="15"/>
      <c r="E1936" s="6"/>
      <c r="F1936" s="6"/>
      <c r="G1936" s="6"/>
      <c r="K1936" s="222"/>
      <c r="V1936" s="1430"/>
      <c r="AA1936" s="223"/>
      <c r="AC1936" s="889"/>
      <c r="AF1936" s="890"/>
      <c r="AJ1936" s="889"/>
      <c r="AN1936" s="222"/>
      <c r="BC1936" s="223"/>
      <c r="BD1936" s="222"/>
      <c r="BH1936" s="611"/>
      <c r="BJ1936" s="15"/>
      <c r="BK1936" s="15"/>
      <c r="BO1936" s="223"/>
      <c r="BQ1936" s="889"/>
      <c r="BT1936" s="890"/>
      <c r="BX1936" s="889"/>
      <c r="CB1936" s="15"/>
      <c r="CC1936" s="697"/>
      <c r="CD1936" s="1086"/>
      <c r="CE1936" s="15"/>
      <c r="CF1936" s="15"/>
      <c r="CG1936" s="936"/>
      <c r="CH1936" s="15"/>
      <c r="CI1936" s="15"/>
      <c r="CJ1936" s="15"/>
      <c r="CK1936" s="1107"/>
      <c r="CL1936" s="22"/>
      <c r="CM1936" s="22"/>
      <c r="CN1936" s="1107"/>
      <c r="CR1936" s="223"/>
      <c r="CS1936" s="952"/>
      <c r="CT1936" s="1066"/>
      <c r="CU1936" s="972"/>
      <c r="CV1936" s="983"/>
      <c r="CW1936" s="222"/>
      <c r="CX1936" s="697"/>
      <c r="DC1936" s="222"/>
      <c r="DJ1936" s="889"/>
      <c r="DM1936" s="890"/>
      <c r="DN1936" s="952"/>
      <c r="DO1936" s="75"/>
      <c r="DP1936" s="962"/>
      <c r="DQ1936" s="983"/>
      <c r="DV1936" s="889"/>
    </row>
    <row r="1937" spans="1:126" s="74" customFormat="1">
      <c r="A1937" s="15"/>
      <c r="B1937" s="15"/>
      <c r="C1937" s="15"/>
      <c r="D1937" s="15"/>
      <c r="E1937" s="6"/>
      <c r="F1937" s="6"/>
      <c r="G1937" s="6"/>
      <c r="K1937" s="222"/>
      <c r="V1937" s="1430"/>
      <c r="AA1937" s="223"/>
      <c r="AC1937" s="889"/>
      <c r="AF1937" s="890"/>
      <c r="AJ1937" s="889"/>
      <c r="AN1937" s="222"/>
      <c r="BC1937" s="223"/>
      <c r="BD1937" s="222"/>
      <c r="BH1937" s="611"/>
      <c r="BJ1937" s="15"/>
      <c r="BK1937" s="15"/>
      <c r="BO1937" s="223"/>
      <c r="BQ1937" s="889"/>
      <c r="BT1937" s="890"/>
      <c r="BX1937" s="889"/>
      <c r="CB1937" s="15"/>
      <c r="CC1937" s="697"/>
      <c r="CD1937" s="1086"/>
      <c r="CE1937" s="15"/>
      <c r="CF1937" s="15"/>
      <c r="CG1937" s="936"/>
      <c r="CH1937" s="15"/>
      <c r="CI1937" s="15"/>
      <c r="CJ1937" s="15"/>
      <c r="CK1937" s="1107"/>
      <c r="CL1937" s="22"/>
      <c r="CM1937" s="22"/>
      <c r="CN1937" s="1107"/>
      <c r="CR1937" s="223"/>
      <c r="CS1937" s="952"/>
      <c r="CT1937" s="1066"/>
      <c r="CU1937" s="972"/>
      <c r="CV1937" s="983"/>
      <c r="CW1937" s="222"/>
      <c r="CX1937" s="697"/>
      <c r="DC1937" s="222"/>
      <c r="DJ1937" s="889"/>
      <c r="DM1937" s="890"/>
      <c r="DN1937" s="952"/>
      <c r="DO1937" s="75"/>
      <c r="DP1937" s="962"/>
      <c r="DQ1937" s="983"/>
      <c r="DV1937" s="889"/>
    </row>
    <row r="1938" spans="1:126" s="74" customFormat="1">
      <c r="A1938" s="15"/>
      <c r="B1938" s="15"/>
      <c r="C1938" s="15"/>
      <c r="D1938" s="15"/>
      <c r="E1938" s="6"/>
      <c r="F1938" s="6"/>
      <c r="G1938" s="6"/>
      <c r="K1938" s="222"/>
      <c r="V1938" s="1430"/>
      <c r="AA1938" s="223"/>
      <c r="AC1938" s="889"/>
      <c r="AF1938" s="890"/>
      <c r="AJ1938" s="889"/>
      <c r="AN1938" s="222"/>
      <c r="BC1938" s="223"/>
      <c r="BD1938" s="222"/>
      <c r="BH1938" s="611"/>
      <c r="BJ1938" s="15"/>
      <c r="BK1938" s="15"/>
      <c r="BO1938" s="223"/>
      <c r="BQ1938" s="889"/>
      <c r="BT1938" s="890"/>
      <c r="BX1938" s="889"/>
      <c r="CB1938" s="15"/>
      <c r="CC1938" s="697"/>
      <c r="CD1938" s="1086"/>
      <c r="CE1938" s="15"/>
      <c r="CF1938" s="15"/>
      <c r="CG1938" s="936"/>
      <c r="CH1938" s="15"/>
      <c r="CI1938" s="15"/>
      <c r="CJ1938" s="15"/>
      <c r="CK1938" s="1107"/>
      <c r="CL1938" s="22"/>
      <c r="CM1938" s="22"/>
      <c r="CN1938" s="1107"/>
      <c r="CR1938" s="223"/>
      <c r="CS1938" s="952"/>
      <c r="CT1938" s="1066"/>
      <c r="CU1938" s="972"/>
      <c r="CV1938" s="983"/>
      <c r="CW1938" s="222"/>
      <c r="CX1938" s="697"/>
      <c r="DC1938" s="222"/>
      <c r="DJ1938" s="889"/>
      <c r="DM1938" s="890"/>
      <c r="DN1938" s="952"/>
      <c r="DO1938" s="75"/>
      <c r="DP1938" s="962"/>
      <c r="DQ1938" s="983"/>
      <c r="DV1938" s="889"/>
    </row>
    <row r="1939" spans="1:126" s="74" customFormat="1">
      <c r="A1939" s="15"/>
      <c r="B1939" s="15"/>
      <c r="C1939" s="15"/>
      <c r="D1939" s="15"/>
      <c r="E1939" s="6"/>
      <c r="F1939" s="6"/>
      <c r="G1939" s="6"/>
      <c r="K1939" s="222"/>
      <c r="V1939" s="1430"/>
      <c r="AA1939" s="223"/>
      <c r="AC1939" s="889"/>
      <c r="AF1939" s="890"/>
      <c r="AJ1939" s="889"/>
      <c r="AN1939" s="222"/>
      <c r="BC1939" s="223"/>
      <c r="BD1939" s="222"/>
      <c r="BH1939" s="611"/>
      <c r="BJ1939" s="15"/>
      <c r="BK1939" s="15"/>
      <c r="BO1939" s="223"/>
      <c r="BQ1939" s="889"/>
      <c r="BT1939" s="890"/>
      <c r="BX1939" s="889"/>
      <c r="CB1939" s="15"/>
      <c r="CC1939" s="697"/>
      <c r="CD1939" s="1086"/>
      <c r="CE1939" s="15"/>
      <c r="CF1939" s="15"/>
      <c r="CG1939" s="936"/>
      <c r="CH1939" s="15"/>
      <c r="CI1939" s="15"/>
      <c r="CJ1939" s="15"/>
      <c r="CK1939" s="1107"/>
      <c r="CL1939" s="22"/>
      <c r="CM1939" s="22"/>
      <c r="CN1939" s="1107"/>
      <c r="CR1939" s="223"/>
      <c r="CS1939" s="952"/>
      <c r="CT1939" s="1066"/>
      <c r="CU1939" s="972"/>
      <c r="CV1939" s="983"/>
      <c r="CW1939" s="222"/>
      <c r="CX1939" s="697"/>
      <c r="DC1939" s="222"/>
      <c r="DJ1939" s="889"/>
      <c r="DM1939" s="890"/>
      <c r="DN1939" s="952"/>
      <c r="DO1939" s="75"/>
      <c r="DP1939" s="962"/>
      <c r="DQ1939" s="983"/>
      <c r="DV1939" s="889"/>
    </row>
    <row r="1940" spans="1:126" s="74" customFormat="1">
      <c r="A1940" s="15"/>
      <c r="B1940" s="15"/>
      <c r="C1940" s="15"/>
      <c r="D1940" s="15"/>
      <c r="E1940" s="6"/>
      <c r="F1940" s="6"/>
      <c r="G1940" s="6"/>
      <c r="K1940" s="222"/>
      <c r="V1940" s="1430"/>
      <c r="AA1940" s="223"/>
      <c r="AC1940" s="889"/>
      <c r="AF1940" s="890"/>
      <c r="AJ1940" s="889"/>
      <c r="AN1940" s="222"/>
      <c r="BC1940" s="223"/>
      <c r="BD1940" s="222"/>
      <c r="BH1940" s="611"/>
      <c r="BJ1940" s="15"/>
      <c r="BK1940" s="15"/>
      <c r="BO1940" s="223"/>
      <c r="BQ1940" s="889"/>
      <c r="BT1940" s="890"/>
      <c r="BX1940" s="889"/>
      <c r="CB1940" s="15"/>
      <c r="CC1940" s="697"/>
      <c r="CD1940" s="1086"/>
      <c r="CE1940" s="15"/>
      <c r="CF1940" s="15"/>
      <c r="CG1940" s="936"/>
      <c r="CH1940" s="15"/>
      <c r="CI1940" s="15"/>
      <c r="CJ1940" s="15"/>
      <c r="CK1940" s="1107"/>
      <c r="CL1940" s="22"/>
      <c r="CM1940" s="22"/>
      <c r="CN1940" s="1107"/>
      <c r="CR1940" s="223"/>
      <c r="CS1940" s="952"/>
      <c r="CT1940" s="1066"/>
      <c r="CU1940" s="972"/>
      <c r="CV1940" s="983"/>
      <c r="CW1940" s="222"/>
      <c r="CX1940" s="697"/>
      <c r="DC1940" s="222"/>
      <c r="DJ1940" s="889"/>
      <c r="DM1940" s="890"/>
      <c r="DN1940" s="952"/>
      <c r="DO1940" s="75"/>
      <c r="DP1940" s="962"/>
      <c r="DQ1940" s="983"/>
      <c r="DV1940" s="889"/>
    </row>
    <row r="1941" spans="1:126" s="74" customFormat="1">
      <c r="A1941" s="15"/>
      <c r="B1941" s="15"/>
      <c r="C1941" s="15"/>
      <c r="D1941" s="15"/>
      <c r="E1941" s="6"/>
      <c r="F1941" s="6"/>
      <c r="G1941" s="6"/>
      <c r="K1941" s="222"/>
      <c r="V1941" s="1430"/>
      <c r="AA1941" s="223"/>
      <c r="AC1941" s="889"/>
      <c r="AF1941" s="890"/>
      <c r="AJ1941" s="889"/>
      <c r="AN1941" s="222"/>
      <c r="BC1941" s="223"/>
      <c r="BD1941" s="222"/>
      <c r="BH1941" s="611"/>
      <c r="BJ1941" s="15"/>
      <c r="BK1941" s="15"/>
      <c r="BO1941" s="223"/>
      <c r="BQ1941" s="889"/>
      <c r="BT1941" s="890"/>
      <c r="BX1941" s="889"/>
      <c r="CB1941" s="15"/>
      <c r="CC1941" s="697"/>
      <c r="CD1941" s="1086"/>
      <c r="CE1941" s="15"/>
      <c r="CF1941" s="15"/>
      <c r="CG1941" s="936"/>
      <c r="CH1941" s="15"/>
      <c r="CI1941" s="15"/>
      <c r="CJ1941" s="15"/>
      <c r="CK1941" s="1107"/>
      <c r="CL1941" s="22"/>
      <c r="CM1941" s="22"/>
      <c r="CN1941" s="1107"/>
      <c r="CR1941" s="223"/>
      <c r="CS1941" s="952"/>
      <c r="CT1941" s="1066"/>
      <c r="CU1941" s="972"/>
      <c r="CV1941" s="983"/>
      <c r="CW1941" s="222"/>
      <c r="CX1941" s="697"/>
      <c r="DC1941" s="222"/>
      <c r="DJ1941" s="889"/>
      <c r="DM1941" s="890"/>
      <c r="DN1941" s="952"/>
      <c r="DO1941" s="75"/>
      <c r="DP1941" s="962"/>
      <c r="DQ1941" s="983"/>
      <c r="DV1941" s="889"/>
    </row>
    <row r="1942" spans="1:126" s="74" customFormat="1">
      <c r="A1942" s="15"/>
      <c r="B1942" s="15"/>
      <c r="C1942" s="15"/>
      <c r="D1942" s="15"/>
      <c r="E1942" s="6"/>
      <c r="F1942" s="6"/>
      <c r="G1942" s="6"/>
      <c r="K1942" s="222"/>
      <c r="V1942" s="1430"/>
      <c r="AA1942" s="223"/>
      <c r="AC1942" s="889"/>
      <c r="AF1942" s="890"/>
      <c r="AJ1942" s="889"/>
      <c r="AN1942" s="222"/>
      <c r="BC1942" s="223"/>
      <c r="BD1942" s="222"/>
      <c r="BH1942" s="611"/>
      <c r="BJ1942" s="15"/>
      <c r="BK1942" s="15"/>
      <c r="BO1942" s="223"/>
      <c r="BQ1942" s="889"/>
      <c r="BT1942" s="890"/>
      <c r="BX1942" s="889"/>
      <c r="CB1942" s="15"/>
      <c r="CC1942" s="697"/>
      <c r="CD1942" s="1086"/>
      <c r="CE1942" s="15"/>
      <c r="CF1942" s="15"/>
      <c r="CG1942" s="936"/>
      <c r="CH1942" s="15"/>
      <c r="CI1942" s="15"/>
      <c r="CJ1942" s="15"/>
      <c r="CK1942" s="1107"/>
      <c r="CL1942" s="22"/>
      <c r="CM1942" s="22"/>
      <c r="CN1942" s="1107"/>
      <c r="CR1942" s="223"/>
      <c r="CS1942" s="952"/>
      <c r="CT1942" s="1066"/>
      <c r="CU1942" s="972"/>
      <c r="CV1942" s="983"/>
      <c r="CW1942" s="222"/>
      <c r="CX1942" s="697"/>
      <c r="DC1942" s="222"/>
      <c r="DJ1942" s="889"/>
      <c r="DM1942" s="890"/>
      <c r="DN1942" s="952"/>
      <c r="DO1942" s="75"/>
      <c r="DP1942" s="962"/>
      <c r="DQ1942" s="983"/>
      <c r="DV1942" s="889"/>
    </row>
    <row r="1943" spans="1:126" s="74" customFormat="1">
      <c r="A1943" s="15"/>
      <c r="B1943" s="15"/>
      <c r="C1943" s="15"/>
      <c r="D1943" s="15"/>
      <c r="E1943" s="6"/>
      <c r="F1943" s="6"/>
      <c r="G1943" s="6"/>
      <c r="K1943" s="222"/>
      <c r="V1943" s="1430"/>
      <c r="AA1943" s="223"/>
      <c r="AC1943" s="889"/>
      <c r="AF1943" s="890"/>
      <c r="AJ1943" s="889"/>
      <c r="AN1943" s="222"/>
      <c r="BC1943" s="223"/>
      <c r="BD1943" s="222"/>
      <c r="BH1943" s="611"/>
      <c r="BJ1943" s="15"/>
      <c r="BK1943" s="15"/>
      <c r="BO1943" s="223"/>
      <c r="BQ1943" s="889"/>
      <c r="BT1943" s="890"/>
      <c r="BX1943" s="889"/>
      <c r="CB1943" s="15"/>
      <c r="CC1943" s="697"/>
      <c r="CD1943" s="1086"/>
      <c r="CE1943" s="15"/>
      <c r="CF1943" s="15"/>
      <c r="CG1943" s="936"/>
      <c r="CH1943" s="15"/>
      <c r="CI1943" s="15"/>
      <c r="CJ1943" s="15"/>
      <c r="CK1943" s="1107"/>
      <c r="CL1943" s="22"/>
      <c r="CM1943" s="22"/>
      <c r="CN1943" s="1107"/>
      <c r="CR1943" s="223"/>
      <c r="CS1943" s="952"/>
      <c r="CT1943" s="1066"/>
      <c r="CU1943" s="972"/>
      <c r="CV1943" s="983"/>
      <c r="CW1943" s="222"/>
      <c r="CX1943" s="697"/>
      <c r="DC1943" s="222"/>
      <c r="DJ1943" s="889"/>
      <c r="DM1943" s="890"/>
      <c r="DN1943" s="952"/>
      <c r="DO1943" s="75"/>
      <c r="DP1943" s="962"/>
      <c r="DQ1943" s="983"/>
      <c r="DV1943" s="889"/>
    </row>
    <row r="1944" spans="1:126" s="74" customFormat="1">
      <c r="A1944" s="15"/>
      <c r="B1944" s="15"/>
      <c r="C1944" s="15"/>
      <c r="D1944" s="15"/>
      <c r="E1944" s="6"/>
      <c r="F1944" s="6"/>
      <c r="G1944" s="6"/>
      <c r="K1944" s="222"/>
      <c r="V1944" s="1430"/>
      <c r="AA1944" s="223"/>
      <c r="AC1944" s="889"/>
      <c r="AF1944" s="890"/>
      <c r="AJ1944" s="889"/>
      <c r="AN1944" s="222"/>
      <c r="BC1944" s="223"/>
      <c r="BD1944" s="222"/>
      <c r="BH1944" s="611"/>
      <c r="BJ1944" s="15"/>
      <c r="BK1944" s="15"/>
      <c r="BO1944" s="223"/>
      <c r="BQ1944" s="889"/>
      <c r="BT1944" s="890"/>
      <c r="BX1944" s="889"/>
      <c r="CB1944" s="15"/>
      <c r="CC1944" s="697"/>
      <c r="CD1944" s="1086"/>
      <c r="CE1944" s="15"/>
      <c r="CF1944" s="15"/>
      <c r="CG1944" s="936"/>
      <c r="CH1944" s="15"/>
      <c r="CI1944" s="15"/>
      <c r="CJ1944" s="15"/>
      <c r="CK1944" s="1107"/>
      <c r="CL1944" s="22"/>
      <c r="CM1944" s="22"/>
      <c r="CN1944" s="1107"/>
      <c r="CR1944" s="223"/>
      <c r="CS1944" s="952"/>
      <c r="CT1944" s="1066"/>
      <c r="CU1944" s="972"/>
      <c r="CV1944" s="983"/>
      <c r="CW1944" s="222"/>
      <c r="CX1944" s="697"/>
      <c r="DC1944" s="222"/>
      <c r="DJ1944" s="889"/>
      <c r="DM1944" s="890"/>
      <c r="DN1944" s="952"/>
      <c r="DO1944" s="75"/>
      <c r="DP1944" s="962"/>
      <c r="DQ1944" s="983"/>
      <c r="DV1944" s="889"/>
    </row>
    <row r="1945" spans="1:126" s="74" customFormat="1">
      <c r="A1945" s="15"/>
      <c r="B1945" s="15"/>
      <c r="C1945" s="15"/>
      <c r="D1945" s="15"/>
      <c r="E1945" s="6"/>
      <c r="F1945" s="6"/>
      <c r="G1945" s="6"/>
      <c r="K1945" s="222"/>
      <c r="V1945" s="1430"/>
      <c r="AA1945" s="223"/>
      <c r="AC1945" s="889"/>
      <c r="AF1945" s="890"/>
      <c r="AJ1945" s="889"/>
      <c r="AN1945" s="222"/>
      <c r="BC1945" s="223"/>
      <c r="BD1945" s="222"/>
      <c r="BH1945" s="611"/>
      <c r="BJ1945" s="15"/>
      <c r="BK1945" s="15"/>
      <c r="BO1945" s="223"/>
      <c r="BQ1945" s="889"/>
      <c r="BT1945" s="890"/>
      <c r="BX1945" s="889"/>
      <c r="CB1945" s="15"/>
      <c r="CC1945" s="697"/>
      <c r="CD1945" s="1086"/>
      <c r="CE1945" s="15"/>
      <c r="CF1945" s="15"/>
      <c r="CG1945" s="936"/>
      <c r="CH1945" s="15"/>
      <c r="CI1945" s="15"/>
      <c r="CJ1945" s="15"/>
      <c r="CK1945" s="1107"/>
      <c r="CL1945" s="22"/>
      <c r="CM1945" s="22"/>
      <c r="CN1945" s="1107"/>
      <c r="CR1945" s="223"/>
      <c r="CS1945" s="952"/>
      <c r="CT1945" s="1066"/>
      <c r="CU1945" s="972"/>
      <c r="CV1945" s="983"/>
      <c r="CW1945" s="222"/>
      <c r="CX1945" s="697"/>
      <c r="DC1945" s="222"/>
      <c r="DJ1945" s="889"/>
      <c r="DM1945" s="890"/>
      <c r="DN1945" s="952"/>
      <c r="DO1945" s="75"/>
      <c r="DP1945" s="962"/>
      <c r="DQ1945" s="983"/>
      <c r="DV1945" s="889"/>
    </row>
    <row r="1946" spans="1:126" s="74" customFormat="1">
      <c r="A1946" s="15"/>
      <c r="B1946" s="15"/>
      <c r="C1946" s="15"/>
      <c r="D1946" s="15"/>
      <c r="E1946" s="6"/>
      <c r="F1946" s="6"/>
      <c r="G1946" s="6"/>
      <c r="K1946" s="222"/>
      <c r="V1946" s="1430"/>
      <c r="AA1946" s="223"/>
      <c r="AC1946" s="889"/>
      <c r="AF1946" s="890"/>
      <c r="AJ1946" s="889"/>
      <c r="AN1946" s="222"/>
      <c r="BC1946" s="223"/>
      <c r="BD1946" s="222"/>
      <c r="BH1946" s="611"/>
      <c r="BJ1946" s="15"/>
      <c r="BK1946" s="15"/>
      <c r="BO1946" s="223"/>
      <c r="BQ1946" s="889"/>
      <c r="BT1946" s="890"/>
      <c r="BX1946" s="889"/>
      <c r="CB1946" s="15"/>
      <c r="CC1946" s="697"/>
      <c r="CD1946" s="1086"/>
      <c r="CE1946" s="15"/>
      <c r="CF1946" s="15"/>
      <c r="CG1946" s="936"/>
      <c r="CH1946" s="15"/>
      <c r="CI1946" s="15"/>
      <c r="CJ1946" s="15"/>
      <c r="CK1946" s="1107"/>
      <c r="CL1946" s="22"/>
      <c r="CM1946" s="22"/>
      <c r="CN1946" s="1107"/>
      <c r="CR1946" s="223"/>
      <c r="CS1946" s="952"/>
      <c r="CT1946" s="1066"/>
      <c r="CU1946" s="972"/>
      <c r="CV1946" s="983"/>
      <c r="CW1946" s="222"/>
      <c r="CX1946" s="697"/>
      <c r="DC1946" s="222"/>
      <c r="DJ1946" s="889"/>
      <c r="DM1946" s="890"/>
      <c r="DN1946" s="952"/>
      <c r="DO1946" s="75"/>
      <c r="DP1946" s="962"/>
      <c r="DQ1946" s="983"/>
      <c r="DV1946" s="889"/>
    </row>
    <row r="1947" spans="1:126" s="74" customFormat="1">
      <c r="A1947" s="15"/>
      <c r="B1947" s="15"/>
      <c r="C1947" s="15"/>
      <c r="D1947" s="15"/>
      <c r="E1947" s="6"/>
      <c r="F1947" s="6"/>
      <c r="G1947" s="6"/>
      <c r="K1947" s="222"/>
      <c r="V1947" s="1430"/>
      <c r="AA1947" s="223"/>
      <c r="AC1947" s="889"/>
      <c r="AF1947" s="890"/>
      <c r="AJ1947" s="889"/>
      <c r="AN1947" s="222"/>
      <c r="BC1947" s="223"/>
      <c r="BD1947" s="222"/>
      <c r="BH1947" s="611"/>
      <c r="BJ1947" s="15"/>
      <c r="BK1947" s="15"/>
      <c r="BO1947" s="223"/>
      <c r="BQ1947" s="889"/>
      <c r="BT1947" s="890"/>
      <c r="BX1947" s="889"/>
      <c r="CB1947" s="15"/>
      <c r="CC1947" s="697"/>
      <c r="CD1947" s="1086"/>
      <c r="CE1947" s="15"/>
      <c r="CF1947" s="15"/>
      <c r="CG1947" s="936"/>
      <c r="CH1947" s="15"/>
      <c r="CI1947" s="15"/>
      <c r="CJ1947" s="15"/>
      <c r="CK1947" s="1107"/>
      <c r="CL1947" s="22"/>
      <c r="CM1947" s="22"/>
      <c r="CN1947" s="1107"/>
      <c r="CR1947" s="223"/>
      <c r="CS1947" s="952"/>
      <c r="CT1947" s="1066"/>
      <c r="CU1947" s="972"/>
      <c r="CV1947" s="983"/>
      <c r="CW1947" s="222"/>
      <c r="CX1947" s="697"/>
      <c r="DC1947" s="222"/>
      <c r="DJ1947" s="889"/>
      <c r="DM1947" s="890"/>
      <c r="DN1947" s="952"/>
      <c r="DO1947" s="75"/>
      <c r="DP1947" s="962"/>
      <c r="DQ1947" s="983"/>
      <c r="DV1947" s="889"/>
    </row>
    <row r="1948" spans="1:126" s="74" customFormat="1">
      <c r="A1948" s="15"/>
      <c r="B1948" s="15"/>
      <c r="C1948" s="15"/>
      <c r="D1948" s="15"/>
      <c r="E1948" s="6"/>
      <c r="F1948" s="6"/>
      <c r="G1948" s="6"/>
      <c r="K1948" s="222"/>
      <c r="V1948" s="1430"/>
      <c r="AA1948" s="223"/>
      <c r="AC1948" s="889"/>
      <c r="AF1948" s="890"/>
      <c r="AJ1948" s="889"/>
      <c r="AN1948" s="222"/>
      <c r="BC1948" s="223"/>
      <c r="BD1948" s="222"/>
      <c r="BH1948" s="611"/>
      <c r="BJ1948" s="15"/>
      <c r="BK1948" s="15"/>
      <c r="BO1948" s="223"/>
      <c r="BQ1948" s="889"/>
      <c r="BT1948" s="890"/>
      <c r="BX1948" s="889"/>
      <c r="CB1948" s="15"/>
      <c r="CC1948" s="697"/>
      <c r="CD1948" s="1086"/>
      <c r="CE1948" s="15"/>
      <c r="CF1948" s="15"/>
      <c r="CG1948" s="936"/>
      <c r="CH1948" s="15"/>
      <c r="CI1948" s="15"/>
      <c r="CJ1948" s="15"/>
      <c r="CK1948" s="1107"/>
      <c r="CL1948" s="22"/>
      <c r="CM1948" s="22"/>
      <c r="CN1948" s="1107"/>
      <c r="CR1948" s="223"/>
      <c r="CS1948" s="952"/>
      <c r="CT1948" s="1066"/>
      <c r="CU1948" s="972"/>
      <c r="CV1948" s="983"/>
      <c r="CW1948" s="222"/>
      <c r="CX1948" s="697"/>
      <c r="DC1948" s="222"/>
      <c r="DJ1948" s="889"/>
      <c r="DM1948" s="890"/>
      <c r="DN1948" s="952"/>
      <c r="DO1948" s="75"/>
      <c r="DP1948" s="962"/>
      <c r="DQ1948" s="983"/>
      <c r="DV1948" s="889"/>
    </row>
    <row r="1949" spans="1:126" s="74" customFormat="1">
      <c r="A1949" s="15"/>
      <c r="B1949" s="15"/>
      <c r="C1949" s="15"/>
      <c r="D1949" s="15"/>
      <c r="E1949" s="6"/>
      <c r="F1949" s="6"/>
      <c r="G1949" s="6"/>
      <c r="K1949" s="222"/>
      <c r="V1949" s="1430"/>
      <c r="AA1949" s="223"/>
      <c r="AC1949" s="889"/>
      <c r="AF1949" s="890"/>
      <c r="AJ1949" s="889"/>
      <c r="AN1949" s="222"/>
      <c r="BC1949" s="223"/>
      <c r="BD1949" s="222"/>
      <c r="BH1949" s="611"/>
      <c r="BJ1949" s="15"/>
      <c r="BK1949" s="15"/>
      <c r="BO1949" s="223"/>
      <c r="BQ1949" s="889"/>
      <c r="BT1949" s="890"/>
      <c r="BX1949" s="889"/>
      <c r="CB1949" s="15"/>
      <c r="CC1949" s="697"/>
      <c r="CD1949" s="1086"/>
      <c r="CE1949" s="15"/>
      <c r="CF1949" s="15"/>
      <c r="CG1949" s="936"/>
      <c r="CH1949" s="15"/>
      <c r="CI1949" s="15"/>
      <c r="CJ1949" s="15"/>
      <c r="CK1949" s="1107"/>
      <c r="CL1949" s="22"/>
      <c r="CM1949" s="22"/>
      <c r="CN1949" s="1107"/>
      <c r="CR1949" s="223"/>
      <c r="CS1949" s="952"/>
      <c r="CT1949" s="1066"/>
      <c r="CU1949" s="972"/>
      <c r="CV1949" s="983"/>
      <c r="CW1949" s="222"/>
      <c r="CX1949" s="697"/>
      <c r="DC1949" s="222"/>
      <c r="DJ1949" s="889"/>
      <c r="DM1949" s="890"/>
      <c r="DN1949" s="952"/>
      <c r="DO1949" s="75"/>
      <c r="DP1949" s="962"/>
      <c r="DQ1949" s="983"/>
      <c r="DV1949" s="889"/>
    </row>
    <row r="1950" spans="1:126" s="74" customFormat="1">
      <c r="A1950" s="15"/>
      <c r="B1950" s="15"/>
      <c r="C1950" s="15"/>
      <c r="D1950" s="15"/>
      <c r="E1950" s="6"/>
      <c r="F1950" s="6"/>
      <c r="G1950" s="6"/>
      <c r="K1950" s="222"/>
      <c r="V1950" s="1430"/>
      <c r="AA1950" s="223"/>
      <c r="AC1950" s="889"/>
      <c r="AF1950" s="890"/>
      <c r="AJ1950" s="889"/>
      <c r="AN1950" s="222"/>
      <c r="BC1950" s="223"/>
      <c r="BD1950" s="222"/>
      <c r="BH1950" s="611"/>
      <c r="BJ1950" s="15"/>
      <c r="BK1950" s="15"/>
      <c r="BO1950" s="223"/>
      <c r="BQ1950" s="889"/>
      <c r="BT1950" s="890"/>
      <c r="BX1950" s="889"/>
      <c r="CB1950" s="15"/>
      <c r="CC1950" s="697"/>
      <c r="CD1950" s="1086"/>
      <c r="CE1950" s="15"/>
      <c r="CF1950" s="15"/>
      <c r="CG1950" s="936"/>
      <c r="CH1950" s="15"/>
      <c r="CI1950" s="15"/>
      <c r="CJ1950" s="15"/>
      <c r="CK1950" s="1107"/>
      <c r="CL1950" s="22"/>
      <c r="CM1950" s="22"/>
      <c r="CN1950" s="1107"/>
      <c r="CR1950" s="223"/>
      <c r="CS1950" s="952"/>
      <c r="CT1950" s="1066"/>
      <c r="CU1950" s="972"/>
      <c r="CV1950" s="983"/>
      <c r="CW1950" s="222"/>
      <c r="CX1950" s="697"/>
      <c r="DC1950" s="222"/>
      <c r="DJ1950" s="889"/>
      <c r="DM1950" s="890"/>
      <c r="DN1950" s="952"/>
      <c r="DO1950" s="75"/>
      <c r="DP1950" s="962"/>
      <c r="DQ1950" s="983"/>
      <c r="DV1950" s="889"/>
    </row>
    <row r="1951" spans="1:126" s="74" customFormat="1">
      <c r="A1951" s="15"/>
      <c r="B1951" s="15"/>
      <c r="C1951" s="15"/>
      <c r="D1951" s="15"/>
      <c r="E1951" s="6"/>
      <c r="F1951" s="6"/>
      <c r="G1951" s="6"/>
      <c r="K1951" s="222"/>
      <c r="V1951" s="1430"/>
      <c r="AA1951" s="223"/>
      <c r="AC1951" s="889"/>
      <c r="AF1951" s="890"/>
      <c r="AJ1951" s="889"/>
      <c r="AN1951" s="222"/>
      <c r="BC1951" s="223"/>
      <c r="BD1951" s="222"/>
      <c r="BH1951" s="611"/>
      <c r="BJ1951" s="15"/>
      <c r="BK1951" s="15"/>
      <c r="BO1951" s="223"/>
      <c r="BQ1951" s="889"/>
      <c r="BT1951" s="890"/>
      <c r="BX1951" s="889"/>
      <c r="CB1951" s="15"/>
      <c r="CC1951" s="697"/>
      <c r="CD1951" s="1086"/>
      <c r="CE1951" s="15"/>
      <c r="CF1951" s="15"/>
      <c r="CG1951" s="936"/>
      <c r="CH1951" s="15"/>
      <c r="CI1951" s="15"/>
      <c r="CJ1951" s="15"/>
      <c r="CK1951" s="1107"/>
      <c r="CL1951" s="22"/>
      <c r="CM1951" s="22"/>
      <c r="CN1951" s="1107"/>
      <c r="CR1951" s="223"/>
      <c r="CS1951" s="952"/>
      <c r="CT1951" s="1066"/>
      <c r="CU1951" s="972"/>
      <c r="CV1951" s="983"/>
      <c r="CW1951" s="222"/>
      <c r="CX1951" s="697"/>
      <c r="DC1951" s="222"/>
      <c r="DJ1951" s="889"/>
      <c r="DM1951" s="890"/>
      <c r="DN1951" s="952"/>
      <c r="DO1951" s="75"/>
      <c r="DP1951" s="962"/>
      <c r="DQ1951" s="983"/>
      <c r="DV1951" s="889"/>
    </row>
    <row r="1952" spans="1:126" s="74" customFormat="1">
      <c r="A1952" s="15"/>
      <c r="B1952" s="15"/>
      <c r="C1952" s="15"/>
      <c r="D1952" s="15"/>
      <c r="E1952" s="6"/>
      <c r="F1952" s="6"/>
      <c r="G1952" s="6"/>
      <c r="K1952" s="222"/>
      <c r="V1952" s="1430"/>
      <c r="AA1952" s="223"/>
      <c r="AC1952" s="889"/>
      <c r="AF1952" s="890"/>
      <c r="AJ1952" s="889"/>
      <c r="AN1952" s="222"/>
      <c r="BC1952" s="223"/>
      <c r="BD1952" s="222"/>
      <c r="BH1952" s="611"/>
      <c r="BJ1952" s="15"/>
      <c r="BK1952" s="15"/>
      <c r="BO1952" s="223"/>
      <c r="BQ1952" s="889"/>
      <c r="BT1952" s="890"/>
      <c r="BX1952" s="889"/>
      <c r="CB1952" s="15"/>
      <c r="CC1952" s="697"/>
      <c r="CD1952" s="1086"/>
      <c r="CE1952" s="15"/>
      <c r="CF1952" s="15"/>
      <c r="CG1952" s="936"/>
      <c r="CH1952" s="15"/>
      <c r="CI1952" s="15"/>
      <c r="CJ1952" s="15"/>
      <c r="CK1952" s="1107"/>
      <c r="CL1952" s="22"/>
      <c r="CM1952" s="22"/>
      <c r="CN1952" s="1107"/>
      <c r="CR1952" s="223"/>
      <c r="CS1952" s="952"/>
      <c r="CT1952" s="1066"/>
      <c r="CU1952" s="972"/>
      <c r="CV1952" s="983"/>
      <c r="CW1952" s="222"/>
      <c r="CX1952" s="697"/>
      <c r="DC1952" s="222"/>
      <c r="DJ1952" s="889"/>
      <c r="DM1952" s="890"/>
      <c r="DN1952" s="952"/>
      <c r="DO1952" s="75"/>
      <c r="DP1952" s="962"/>
      <c r="DQ1952" s="983"/>
      <c r="DV1952" s="889"/>
    </row>
    <row r="1953" spans="1:126" s="74" customFormat="1">
      <c r="A1953" s="15"/>
      <c r="B1953" s="15"/>
      <c r="C1953" s="15"/>
      <c r="D1953" s="15"/>
      <c r="E1953" s="6"/>
      <c r="F1953" s="6"/>
      <c r="G1953" s="6"/>
      <c r="K1953" s="222"/>
      <c r="V1953" s="1430"/>
      <c r="AA1953" s="223"/>
      <c r="AC1953" s="889"/>
      <c r="AF1953" s="890"/>
      <c r="AJ1953" s="889"/>
      <c r="AN1953" s="222"/>
      <c r="BC1953" s="223"/>
      <c r="BD1953" s="222"/>
      <c r="BH1953" s="611"/>
      <c r="BJ1953" s="15"/>
      <c r="BK1953" s="15"/>
      <c r="BO1953" s="223"/>
      <c r="BQ1953" s="889"/>
      <c r="BT1953" s="890"/>
      <c r="BX1953" s="889"/>
      <c r="CB1953" s="15"/>
      <c r="CC1953" s="697"/>
      <c r="CD1953" s="1086"/>
      <c r="CE1953" s="15"/>
      <c r="CF1953" s="15"/>
      <c r="CG1953" s="936"/>
      <c r="CH1953" s="15"/>
      <c r="CI1953" s="15"/>
      <c r="CJ1953" s="15"/>
      <c r="CK1953" s="1107"/>
      <c r="CL1953" s="22"/>
      <c r="CM1953" s="22"/>
      <c r="CN1953" s="1107"/>
      <c r="CR1953" s="223"/>
      <c r="CS1953" s="952"/>
      <c r="CT1953" s="1066"/>
      <c r="CU1953" s="972"/>
      <c r="CV1953" s="983"/>
      <c r="CW1953" s="222"/>
      <c r="CX1953" s="697"/>
      <c r="DC1953" s="222"/>
      <c r="DJ1953" s="889"/>
      <c r="DM1953" s="890"/>
      <c r="DN1953" s="952"/>
      <c r="DO1953" s="75"/>
      <c r="DP1953" s="962"/>
      <c r="DQ1953" s="983"/>
      <c r="DV1953" s="889"/>
    </row>
    <row r="1954" spans="1:126" s="74" customFormat="1">
      <c r="A1954" s="15"/>
      <c r="B1954" s="15"/>
      <c r="C1954" s="15"/>
      <c r="D1954" s="15"/>
      <c r="E1954" s="6"/>
      <c r="F1954" s="6"/>
      <c r="G1954" s="6"/>
      <c r="K1954" s="222"/>
      <c r="V1954" s="1430"/>
      <c r="AA1954" s="223"/>
      <c r="AC1954" s="889"/>
      <c r="AF1954" s="890"/>
      <c r="AJ1954" s="889"/>
      <c r="AN1954" s="222"/>
      <c r="BC1954" s="223"/>
      <c r="BD1954" s="222"/>
      <c r="BH1954" s="611"/>
      <c r="BJ1954" s="15"/>
      <c r="BK1954" s="15"/>
      <c r="BO1954" s="223"/>
      <c r="BQ1954" s="889"/>
      <c r="BT1954" s="890"/>
      <c r="BX1954" s="889"/>
      <c r="CB1954" s="15"/>
      <c r="CC1954" s="697"/>
      <c r="CD1954" s="1086"/>
      <c r="CE1954" s="15"/>
      <c r="CF1954" s="15"/>
      <c r="CG1954" s="936"/>
      <c r="CH1954" s="15"/>
      <c r="CI1954" s="15"/>
      <c r="CJ1954" s="15"/>
      <c r="CK1954" s="1107"/>
      <c r="CL1954" s="22"/>
      <c r="CM1954" s="22"/>
      <c r="CN1954" s="1107"/>
      <c r="CR1954" s="223"/>
      <c r="CS1954" s="952"/>
      <c r="CT1954" s="1066"/>
      <c r="CU1954" s="972"/>
      <c r="CV1954" s="983"/>
      <c r="CW1954" s="222"/>
      <c r="CX1954" s="697"/>
      <c r="DC1954" s="222"/>
      <c r="DJ1954" s="889"/>
      <c r="DM1954" s="890"/>
      <c r="DN1954" s="952"/>
      <c r="DO1954" s="75"/>
      <c r="DP1954" s="962"/>
      <c r="DQ1954" s="983"/>
      <c r="DV1954" s="889"/>
    </row>
    <row r="1955" spans="1:126" s="74" customFormat="1">
      <c r="A1955" s="15"/>
      <c r="B1955" s="15"/>
      <c r="C1955" s="15"/>
      <c r="D1955" s="15"/>
      <c r="E1955" s="6"/>
      <c r="F1955" s="6"/>
      <c r="G1955" s="6"/>
      <c r="K1955" s="222"/>
      <c r="V1955" s="1430"/>
      <c r="AA1955" s="223"/>
      <c r="AC1955" s="889"/>
      <c r="AF1955" s="890"/>
      <c r="AJ1955" s="889"/>
      <c r="AN1955" s="222"/>
      <c r="BC1955" s="223"/>
      <c r="BD1955" s="222"/>
      <c r="BH1955" s="611"/>
      <c r="BJ1955" s="15"/>
      <c r="BK1955" s="15"/>
      <c r="BO1955" s="223"/>
      <c r="BQ1955" s="889"/>
      <c r="BT1955" s="890"/>
      <c r="BX1955" s="889"/>
      <c r="CB1955" s="15"/>
      <c r="CC1955" s="697"/>
      <c r="CD1955" s="1086"/>
      <c r="CE1955" s="15"/>
      <c r="CF1955" s="15"/>
      <c r="CG1955" s="936"/>
      <c r="CH1955" s="15"/>
      <c r="CI1955" s="15"/>
      <c r="CJ1955" s="15"/>
      <c r="CK1955" s="1107"/>
      <c r="CL1955" s="22"/>
      <c r="CM1955" s="22"/>
      <c r="CN1955" s="1107"/>
      <c r="CR1955" s="223"/>
      <c r="CS1955" s="952"/>
      <c r="CT1955" s="1066"/>
      <c r="CU1955" s="972"/>
      <c r="CV1955" s="983"/>
      <c r="CW1955" s="222"/>
      <c r="CX1955" s="697"/>
      <c r="DC1955" s="222"/>
      <c r="DJ1955" s="889"/>
      <c r="DM1955" s="890"/>
      <c r="DN1955" s="952"/>
      <c r="DO1955" s="75"/>
      <c r="DP1955" s="962"/>
      <c r="DQ1955" s="983"/>
      <c r="DV1955" s="889"/>
    </row>
    <row r="1956" spans="1:126" s="74" customFormat="1">
      <c r="A1956" s="15"/>
      <c r="B1956" s="15"/>
      <c r="C1956" s="15"/>
      <c r="D1956" s="15"/>
      <c r="E1956" s="6"/>
      <c r="F1956" s="6"/>
      <c r="G1956" s="6"/>
      <c r="K1956" s="222"/>
      <c r="V1956" s="1430"/>
      <c r="AA1956" s="223"/>
      <c r="AC1956" s="889"/>
      <c r="AF1956" s="890"/>
      <c r="AJ1956" s="889"/>
      <c r="AN1956" s="222"/>
      <c r="BC1956" s="223"/>
      <c r="BD1956" s="222"/>
      <c r="BH1956" s="611"/>
      <c r="BJ1956" s="15"/>
      <c r="BK1956" s="15"/>
      <c r="BO1956" s="223"/>
      <c r="BQ1956" s="889"/>
      <c r="BT1956" s="890"/>
      <c r="BX1956" s="889"/>
      <c r="CB1956" s="15"/>
      <c r="CC1956" s="697"/>
      <c r="CD1956" s="1086"/>
      <c r="CE1956" s="15"/>
      <c r="CF1956" s="15"/>
      <c r="CG1956" s="936"/>
      <c r="CH1956" s="15"/>
      <c r="CI1956" s="15"/>
      <c r="CJ1956" s="15"/>
      <c r="CK1956" s="1107"/>
      <c r="CL1956" s="22"/>
      <c r="CM1956" s="22"/>
      <c r="CN1956" s="1107"/>
      <c r="CR1956" s="223"/>
      <c r="CS1956" s="952"/>
      <c r="CT1956" s="1066"/>
      <c r="CU1956" s="972"/>
      <c r="CV1956" s="983"/>
      <c r="CW1956" s="222"/>
      <c r="CX1956" s="697"/>
      <c r="DC1956" s="222"/>
      <c r="DJ1956" s="889"/>
      <c r="DM1956" s="890"/>
      <c r="DN1956" s="952"/>
      <c r="DO1956" s="75"/>
      <c r="DP1956" s="962"/>
      <c r="DQ1956" s="983"/>
      <c r="DV1956" s="889"/>
    </row>
    <row r="1957" spans="1:126" s="74" customFormat="1">
      <c r="A1957" s="15"/>
      <c r="B1957" s="15"/>
      <c r="C1957" s="15"/>
      <c r="D1957" s="15"/>
      <c r="E1957" s="6"/>
      <c r="F1957" s="6"/>
      <c r="G1957" s="6"/>
      <c r="K1957" s="222"/>
      <c r="V1957" s="1430"/>
      <c r="AA1957" s="223"/>
      <c r="AC1957" s="889"/>
      <c r="AF1957" s="890"/>
      <c r="AJ1957" s="889"/>
      <c r="AN1957" s="222"/>
      <c r="BC1957" s="223"/>
      <c r="BD1957" s="222"/>
      <c r="BH1957" s="611"/>
      <c r="BJ1957" s="15"/>
      <c r="BK1957" s="15"/>
      <c r="BO1957" s="223"/>
      <c r="BQ1957" s="889"/>
      <c r="BT1957" s="890"/>
      <c r="BX1957" s="889"/>
      <c r="CB1957" s="15"/>
      <c r="CC1957" s="697"/>
      <c r="CD1957" s="1086"/>
      <c r="CE1957" s="15"/>
      <c r="CF1957" s="15"/>
      <c r="CG1957" s="936"/>
      <c r="CH1957" s="15"/>
      <c r="CI1957" s="15"/>
      <c r="CJ1957" s="15"/>
      <c r="CK1957" s="1107"/>
      <c r="CL1957" s="22"/>
      <c r="CM1957" s="22"/>
      <c r="CN1957" s="1107"/>
      <c r="CR1957" s="223"/>
      <c r="CS1957" s="952"/>
      <c r="CT1957" s="1066"/>
      <c r="CU1957" s="972"/>
      <c r="CV1957" s="983"/>
      <c r="CW1957" s="222"/>
      <c r="CX1957" s="697"/>
      <c r="DC1957" s="222"/>
      <c r="DJ1957" s="889"/>
      <c r="DM1957" s="890"/>
      <c r="DN1957" s="952"/>
      <c r="DO1957" s="75"/>
      <c r="DP1957" s="962"/>
      <c r="DQ1957" s="983"/>
      <c r="DV1957" s="889"/>
    </row>
    <row r="1958" spans="1:126" s="74" customFormat="1">
      <c r="A1958" s="15"/>
      <c r="B1958" s="15"/>
      <c r="C1958" s="15"/>
      <c r="D1958" s="15"/>
      <c r="E1958" s="6"/>
      <c r="F1958" s="6"/>
      <c r="G1958" s="6"/>
      <c r="K1958" s="222"/>
      <c r="V1958" s="1430"/>
      <c r="AA1958" s="223"/>
      <c r="AC1958" s="889"/>
      <c r="AF1958" s="890"/>
      <c r="AJ1958" s="889"/>
      <c r="AN1958" s="222"/>
      <c r="BC1958" s="223"/>
      <c r="BD1958" s="222"/>
      <c r="BH1958" s="611"/>
      <c r="BJ1958" s="15"/>
      <c r="BK1958" s="15"/>
      <c r="BO1958" s="223"/>
      <c r="BQ1958" s="889"/>
      <c r="BT1958" s="890"/>
      <c r="BX1958" s="889"/>
      <c r="CB1958" s="15"/>
      <c r="CC1958" s="697"/>
      <c r="CD1958" s="1086"/>
      <c r="CE1958" s="15"/>
      <c r="CF1958" s="15"/>
      <c r="CG1958" s="936"/>
      <c r="CH1958" s="15"/>
      <c r="CI1958" s="15"/>
      <c r="CJ1958" s="15"/>
      <c r="CK1958" s="1107"/>
      <c r="CL1958" s="22"/>
      <c r="CM1958" s="22"/>
      <c r="CN1958" s="1107"/>
      <c r="CR1958" s="223"/>
      <c r="CS1958" s="952"/>
      <c r="CT1958" s="1066"/>
      <c r="CU1958" s="972"/>
      <c r="CV1958" s="983"/>
      <c r="CW1958" s="222"/>
      <c r="CX1958" s="697"/>
      <c r="DC1958" s="222"/>
      <c r="DJ1958" s="889"/>
      <c r="DM1958" s="890"/>
      <c r="DN1958" s="952"/>
      <c r="DO1958" s="75"/>
      <c r="DP1958" s="962"/>
      <c r="DQ1958" s="983"/>
      <c r="DV1958" s="889"/>
    </row>
    <row r="1959" spans="1:126" s="74" customFormat="1">
      <c r="A1959" s="15"/>
      <c r="B1959" s="15"/>
      <c r="C1959" s="15"/>
      <c r="D1959" s="15"/>
      <c r="E1959" s="6"/>
      <c r="F1959" s="6"/>
      <c r="G1959" s="6"/>
      <c r="K1959" s="222"/>
      <c r="V1959" s="1430"/>
      <c r="AA1959" s="223"/>
      <c r="AC1959" s="889"/>
      <c r="AF1959" s="890"/>
      <c r="AJ1959" s="889"/>
      <c r="AN1959" s="222"/>
      <c r="BC1959" s="223"/>
      <c r="BD1959" s="222"/>
      <c r="BH1959" s="611"/>
      <c r="BJ1959" s="15"/>
      <c r="BK1959" s="15"/>
      <c r="BO1959" s="223"/>
      <c r="BQ1959" s="889"/>
      <c r="BT1959" s="890"/>
      <c r="BX1959" s="889"/>
      <c r="CB1959" s="15"/>
      <c r="CC1959" s="697"/>
      <c r="CD1959" s="1086"/>
      <c r="CE1959" s="15"/>
      <c r="CF1959" s="15"/>
      <c r="CG1959" s="936"/>
      <c r="CH1959" s="15"/>
      <c r="CI1959" s="15"/>
      <c r="CJ1959" s="15"/>
      <c r="CK1959" s="1107"/>
      <c r="CL1959" s="22"/>
      <c r="CM1959" s="22"/>
      <c r="CN1959" s="1107"/>
      <c r="CR1959" s="223"/>
      <c r="CS1959" s="952"/>
      <c r="CT1959" s="1066"/>
      <c r="CU1959" s="972"/>
      <c r="CV1959" s="983"/>
      <c r="CW1959" s="222"/>
      <c r="CX1959" s="697"/>
      <c r="DC1959" s="222"/>
      <c r="DJ1959" s="889"/>
      <c r="DM1959" s="890"/>
      <c r="DN1959" s="952"/>
      <c r="DO1959" s="75"/>
      <c r="DP1959" s="962"/>
      <c r="DQ1959" s="983"/>
      <c r="DV1959" s="889"/>
    </row>
    <row r="1960" spans="1:126" s="74" customFormat="1">
      <c r="A1960" s="15"/>
      <c r="B1960" s="15"/>
      <c r="C1960" s="15"/>
      <c r="D1960" s="15"/>
      <c r="E1960" s="6"/>
      <c r="F1960" s="6"/>
      <c r="G1960" s="6"/>
      <c r="K1960" s="222"/>
      <c r="V1960" s="1430"/>
      <c r="AA1960" s="223"/>
      <c r="AC1960" s="889"/>
      <c r="AF1960" s="890"/>
      <c r="AJ1960" s="889"/>
      <c r="AN1960" s="222"/>
      <c r="BC1960" s="223"/>
      <c r="BD1960" s="222"/>
      <c r="BH1960" s="611"/>
      <c r="BJ1960" s="15"/>
      <c r="BK1960" s="15"/>
      <c r="BO1960" s="223"/>
      <c r="BQ1960" s="889"/>
      <c r="BT1960" s="890"/>
      <c r="BX1960" s="889"/>
      <c r="CB1960" s="15"/>
      <c r="CC1960" s="697"/>
      <c r="CD1960" s="1086"/>
      <c r="CE1960" s="15"/>
      <c r="CF1960" s="15"/>
      <c r="CG1960" s="936"/>
      <c r="CH1960" s="15"/>
      <c r="CI1960" s="15"/>
      <c r="CJ1960" s="15"/>
      <c r="CK1960" s="1107"/>
      <c r="CL1960" s="22"/>
      <c r="CM1960" s="22"/>
      <c r="CN1960" s="1107"/>
      <c r="CR1960" s="223"/>
      <c r="CS1960" s="952"/>
      <c r="CT1960" s="1066"/>
      <c r="CU1960" s="972"/>
      <c r="CV1960" s="983"/>
      <c r="CW1960" s="222"/>
      <c r="CX1960" s="697"/>
      <c r="DC1960" s="222"/>
      <c r="DJ1960" s="889"/>
      <c r="DM1960" s="890"/>
      <c r="DN1960" s="952"/>
      <c r="DO1960" s="75"/>
      <c r="DP1960" s="962"/>
      <c r="DQ1960" s="983"/>
      <c r="DV1960" s="889"/>
    </row>
    <row r="1961" spans="1:126" s="74" customFormat="1">
      <c r="A1961" s="15"/>
      <c r="B1961" s="15"/>
      <c r="C1961" s="15"/>
      <c r="D1961" s="15"/>
      <c r="E1961" s="6"/>
      <c r="F1961" s="6"/>
      <c r="G1961" s="6"/>
      <c r="K1961" s="222"/>
      <c r="V1961" s="1430"/>
      <c r="AA1961" s="223"/>
      <c r="AC1961" s="889"/>
      <c r="AF1961" s="890"/>
      <c r="AJ1961" s="889"/>
      <c r="AN1961" s="222"/>
      <c r="BC1961" s="223"/>
      <c r="BD1961" s="222"/>
      <c r="BH1961" s="611"/>
      <c r="BJ1961" s="15"/>
      <c r="BK1961" s="15"/>
      <c r="BO1961" s="223"/>
      <c r="BQ1961" s="889"/>
      <c r="BT1961" s="890"/>
      <c r="BX1961" s="889"/>
      <c r="CB1961" s="15"/>
      <c r="CC1961" s="697"/>
      <c r="CD1961" s="1086"/>
      <c r="CE1961" s="15"/>
      <c r="CF1961" s="15"/>
      <c r="CG1961" s="936"/>
      <c r="CH1961" s="15"/>
      <c r="CI1961" s="15"/>
      <c r="CJ1961" s="15"/>
      <c r="CK1961" s="1107"/>
      <c r="CL1961" s="22"/>
      <c r="CM1961" s="22"/>
      <c r="CN1961" s="1107"/>
      <c r="CR1961" s="223"/>
      <c r="CS1961" s="952"/>
      <c r="CT1961" s="1066"/>
      <c r="CU1961" s="972"/>
      <c r="CV1961" s="983"/>
      <c r="CW1961" s="222"/>
      <c r="CX1961" s="697"/>
      <c r="DC1961" s="222"/>
      <c r="DJ1961" s="889"/>
      <c r="DM1961" s="890"/>
      <c r="DN1961" s="952"/>
      <c r="DO1961" s="75"/>
      <c r="DP1961" s="962"/>
      <c r="DQ1961" s="983"/>
      <c r="DV1961" s="889"/>
    </row>
    <row r="1962" spans="1:126" s="74" customFormat="1">
      <c r="A1962" s="15"/>
      <c r="B1962" s="15"/>
      <c r="C1962" s="15"/>
      <c r="D1962" s="15"/>
      <c r="E1962" s="6"/>
      <c r="F1962" s="6"/>
      <c r="G1962" s="6"/>
      <c r="K1962" s="222"/>
      <c r="V1962" s="1430"/>
      <c r="AA1962" s="223"/>
      <c r="AC1962" s="889"/>
      <c r="AF1962" s="890"/>
      <c r="AJ1962" s="889"/>
      <c r="AN1962" s="222"/>
      <c r="BC1962" s="223"/>
      <c r="BD1962" s="222"/>
      <c r="BH1962" s="611"/>
      <c r="BJ1962" s="15"/>
      <c r="BK1962" s="15"/>
      <c r="BO1962" s="223"/>
      <c r="BQ1962" s="889"/>
      <c r="BT1962" s="890"/>
      <c r="BX1962" s="889"/>
      <c r="CB1962" s="15"/>
      <c r="CC1962" s="697"/>
      <c r="CD1962" s="1086"/>
      <c r="CE1962" s="15"/>
      <c r="CF1962" s="15"/>
      <c r="CG1962" s="936"/>
      <c r="CH1962" s="15"/>
      <c r="CI1962" s="15"/>
      <c r="CJ1962" s="15"/>
      <c r="CK1962" s="1107"/>
      <c r="CL1962" s="22"/>
      <c r="CM1962" s="22"/>
      <c r="CN1962" s="1107"/>
      <c r="CR1962" s="223"/>
      <c r="CS1962" s="952"/>
      <c r="CT1962" s="1066"/>
      <c r="CU1962" s="972"/>
      <c r="CV1962" s="983"/>
      <c r="CW1962" s="222"/>
      <c r="CX1962" s="697"/>
      <c r="DC1962" s="222"/>
      <c r="DJ1962" s="889"/>
      <c r="DM1962" s="890"/>
      <c r="DN1962" s="952"/>
      <c r="DO1962" s="75"/>
      <c r="DP1962" s="962"/>
      <c r="DQ1962" s="983"/>
      <c r="DV1962" s="889"/>
    </row>
    <row r="1963" spans="1:126" s="74" customFormat="1">
      <c r="A1963" s="15"/>
      <c r="B1963" s="15"/>
      <c r="C1963" s="15"/>
      <c r="D1963" s="15"/>
      <c r="E1963" s="6"/>
      <c r="F1963" s="6"/>
      <c r="G1963" s="6"/>
      <c r="K1963" s="222"/>
      <c r="V1963" s="1430"/>
      <c r="AA1963" s="223"/>
      <c r="AC1963" s="889"/>
      <c r="AF1963" s="890"/>
      <c r="AJ1963" s="889"/>
      <c r="AN1963" s="222"/>
      <c r="BC1963" s="223"/>
      <c r="BD1963" s="222"/>
      <c r="BH1963" s="611"/>
      <c r="BJ1963" s="15"/>
      <c r="BK1963" s="15"/>
      <c r="BO1963" s="223"/>
      <c r="BQ1963" s="889"/>
      <c r="BT1963" s="890"/>
      <c r="BX1963" s="889"/>
      <c r="CB1963" s="15"/>
      <c r="CC1963" s="697"/>
      <c r="CD1963" s="1086"/>
      <c r="CE1963" s="15"/>
      <c r="CF1963" s="15"/>
      <c r="CG1963" s="936"/>
      <c r="CH1963" s="15"/>
      <c r="CI1963" s="15"/>
      <c r="CJ1963" s="15"/>
      <c r="CK1963" s="1107"/>
      <c r="CL1963" s="22"/>
      <c r="CM1963" s="22"/>
      <c r="CN1963" s="1107"/>
      <c r="CR1963" s="223"/>
      <c r="CS1963" s="952"/>
      <c r="CT1963" s="1066"/>
      <c r="CU1963" s="972"/>
      <c r="CV1963" s="983"/>
      <c r="CW1963" s="222"/>
      <c r="CX1963" s="697"/>
      <c r="DC1963" s="222"/>
      <c r="DJ1963" s="889"/>
      <c r="DM1963" s="890"/>
      <c r="DN1963" s="952"/>
      <c r="DO1963" s="75"/>
      <c r="DP1963" s="962"/>
      <c r="DQ1963" s="983"/>
      <c r="DV1963" s="889"/>
    </row>
    <row r="1964" spans="1:126" s="74" customFormat="1">
      <c r="A1964" s="15"/>
      <c r="B1964" s="15"/>
      <c r="C1964" s="15"/>
      <c r="D1964" s="15"/>
      <c r="E1964" s="6"/>
      <c r="F1964" s="6"/>
      <c r="G1964" s="6"/>
      <c r="K1964" s="222"/>
      <c r="V1964" s="1430"/>
      <c r="AA1964" s="223"/>
      <c r="AC1964" s="889"/>
      <c r="AF1964" s="890"/>
      <c r="AJ1964" s="889"/>
      <c r="AN1964" s="222"/>
      <c r="BC1964" s="223"/>
      <c r="BD1964" s="222"/>
      <c r="BH1964" s="611"/>
      <c r="BJ1964" s="15"/>
      <c r="BK1964" s="15"/>
      <c r="BO1964" s="223"/>
      <c r="BQ1964" s="889"/>
      <c r="BT1964" s="890"/>
      <c r="BX1964" s="889"/>
      <c r="CB1964" s="15"/>
      <c r="CC1964" s="697"/>
      <c r="CD1964" s="1086"/>
      <c r="CE1964" s="15"/>
      <c r="CF1964" s="15"/>
      <c r="CG1964" s="936"/>
      <c r="CH1964" s="15"/>
      <c r="CI1964" s="15"/>
      <c r="CJ1964" s="15"/>
      <c r="CK1964" s="1107"/>
      <c r="CL1964" s="22"/>
      <c r="CM1964" s="22"/>
      <c r="CN1964" s="1107"/>
      <c r="CR1964" s="223"/>
      <c r="CS1964" s="952"/>
      <c r="CT1964" s="1066"/>
      <c r="CU1964" s="972"/>
      <c r="CV1964" s="983"/>
      <c r="CW1964" s="222"/>
      <c r="CX1964" s="697"/>
      <c r="DC1964" s="222"/>
      <c r="DJ1964" s="889"/>
      <c r="DM1964" s="890"/>
      <c r="DN1964" s="952"/>
      <c r="DO1964" s="75"/>
      <c r="DP1964" s="962"/>
      <c r="DQ1964" s="983"/>
      <c r="DV1964" s="889"/>
    </row>
    <row r="1965" spans="1:126" s="74" customFormat="1">
      <c r="A1965" s="15"/>
      <c r="B1965" s="15"/>
      <c r="C1965" s="15"/>
      <c r="D1965" s="15"/>
      <c r="E1965" s="6"/>
      <c r="F1965" s="6"/>
      <c r="G1965" s="6"/>
      <c r="K1965" s="222"/>
      <c r="V1965" s="1430"/>
      <c r="AA1965" s="223"/>
      <c r="AC1965" s="889"/>
      <c r="AF1965" s="890"/>
      <c r="AJ1965" s="889"/>
      <c r="AN1965" s="222"/>
      <c r="BC1965" s="223"/>
      <c r="BD1965" s="222"/>
      <c r="BH1965" s="611"/>
      <c r="BJ1965" s="15"/>
      <c r="BK1965" s="15"/>
      <c r="BO1965" s="223"/>
      <c r="BQ1965" s="889"/>
      <c r="BT1965" s="890"/>
      <c r="BX1965" s="889"/>
      <c r="CB1965" s="15"/>
      <c r="CC1965" s="697"/>
      <c r="CD1965" s="1086"/>
      <c r="CE1965" s="15"/>
      <c r="CF1965" s="15"/>
      <c r="CG1965" s="936"/>
      <c r="CH1965" s="15"/>
      <c r="CI1965" s="15"/>
      <c r="CJ1965" s="15"/>
      <c r="CK1965" s="1107"/>
      <c r="CL1965" s="22"/>
      <c r="CM1965" s="22"/>
      <c r="CN1965" s="1107"/>
      <c r="CR1965" s="223"/>
      <c r="CS1965" s="952"/>
      <c r="CT1965" s="1066"/>
      <c r="CU1965" s="972"/>
      <c r="CV1965" s="983"/>
      <c r="CW1965" s="222"/>
      <c r="CX1965" s="697"/>
      <c r="DC1965" s="222"/>
      <c r="DJ1965" s="889"/>
      <c r="DM1965" s="890"/>
      <c r="DN1965" s="952"/>
      <c r="DO1965" s="75"/>
      <c r="DP1965" s="962"/>
      <c r="DQ1965" s="983"/>
      <c r="DV1965" s="889"/>
    </row>
    <row r="1966" spans="1:126" s="74" customFormat="1">
      <c r="A1966" s="15"/>
      <c r="B1966" s="15"/>
      <c r="C1966" s="15"/>
      <c r="D1966" s="15"/>
      <c r="E1966" s="6"/>
      <c r="F1966" s="6"/>
      <c r="G1966" s="6"/>
      <c r="K1966" s="222"/>
      <c r="V1966" s="1430"/>
      <c r="AA1966" s="223"/>
      <c r="AC1966" s="889"/>
      <c r="AF1966" s="890"/>
      <c r="AJ1966" s="889"/>
      <c r="AN1966" s="222"/>
      <c r="BC1966" s="223"/>
      <c r="BD1966" s="222"/>
      <c r="BH1966" s="611"/>
      <c r="BJ1966" s="15"/>
      <c r="BK1966" s="15"/>
      <c r="BO1966" s="223"/>
      <c r="BQ1966" s="889"/>
      <c r="BT1966" s="890"/>
      <c r="BX1966" s="889"/>
      <c r="CB1966" s="15"/>
      <c r="CC1966" s="697"/>
      <c r="CD1966" s="1086"/>
      <c r="CE1966" s="15"/>
      <c r="CF1966" s="15"/>
      <c r="CG1966" s="936"/>
      <c r="CH1966" s="15"/>
      <c r="CI1966" s="15"/>
      <c r="CJ1966" s="15"/>
      <c r="CK1966" s="1107"/>
      <c r="CL1966" s="22"/>
      <c r="CM1966" s="22"/>
      <c r="CN1966" s="1107"/>
      <c r="CR1966" s="223"/>
      <c r="CS1966" s="952"/>
      <c r="CT1966" s="1066"/>
      <c r="CU1966" s="972"/>
      <c r="CV1966" s="983"/>
      <c r="CW1966" s="222"/>
      <c r="CX1966" s="697"/>
      <c r="DC1966" s="222"/>
      <c r="DJ1966" s="889"/>
      <c r="DM1966" s="890"/>
      <c r="DN1966" s="952"/>
      <c r="DO1966" s="75"/>
      <c r="DP1966" s="962"/>
      <c r="DQ1966" s="983"/>
      <c r="DV1966" s="889"/>
    </row>
    <row r="1967" spans="1:126" s="74" customFormat="1">
      <c r="A1967" s="15"/>
      <c r="B1967" s="15"/>
      <c r="C1967" s="15"/>
      <c r="D1967" s="15"/>
      <c r="E1967" s="6"/>
      <c r="F1967" s="6"/>
      <c r="G1967" s="6"/>
      <c r="K1967" s="222"/>
      <c r="V1967" s="1430"/>
      <c r="AA1967" s="223"/>
      <c r="AC1967" s="889"/>
      <c r="AF1967" s="890"/>
      <c r="AJ1967" s="889"/>
      <c r="AN1967" s="222"/>
      <c r="BC1967" s="223"/>
      <c r="BD1967" s="222"/>
      <c r="BH1967" s="611"/>
      <c r="BJ1967" s="15"/>
      <c r="BK1967" s="15"/>
      <c r="BO1967" s="223"/>
      <c r="BQ1967" s="889"/>
      <c r="BT1967" s="890"/>
      <c r="BX1967" s="889"/>
      <c r="CB1967" s="15"/>
      <c r="CC1967" s="697"/>
      <c r="CD1967" s="1086"/>
      <c r="CE1967" s="15"/>
      <c r="CF1967" s="15"/>
      <c r="CG1967" s="936"/>
      <c r="CH1967" s="15"/>
      <c r="CI1967" s="15"/>
      <c r="CJ1967" s="15"/>
      <c r="CK1967" s="1107"/>
      <c r="CL1967" s="22"/>
      <c r="CM1967" s="22"/>
      <c r="CN1967" s="1107"/>
      <c r="CR1967" s="223"/>
      <c r="CS1967" s="952"/>
      <c r="CT1967" s="1066"/>
      <c r="CU1967" s="972"/>
      <c r="CV1967" s="983"/>
      <c r="CW1967" s="222"/>
      <c r="CX1967" s="697"/>
      <c r="DC1967" s="222"/>
      <c r="DJ1967" s="889"/>
      <c r="DM1967" s="890"/>
      <c r="DN1967" s="952"/>
      <c r="DO1967" s="75"/>
      <c r="DP1967" s="962"/>
      <c r="DQ1967" s="983"/>
      <c r="DV1967" s="889"/>
    </row>
    <row r="1968" spans="1:126" s="74" customFormat="1">
      <c r="A1968" s="15"/>
      <c r="B1968" s="15"/>
      <c r="C1968" s="15"/>
      <c r="D1968" s="15"/>
      <c r="E1968" s="6"/>
      <c r="F1968" s="6"/>
      <c r="G1968" s="6"/>
      <c r="K1968" s="222"/>
      <c r="V1968" s="1430"/>
      <c r="AA1968" s="223"/>
      <c r="AC1968" s="889"/>
      <c r="AF1968" s="890"/>
      <c r="AJ1968" s="889"/>
      <c r="AN1968" s="222"/>
      <c r="BC1968" s="223"/>
      <c r="BD1968" s="222"/>
      <c r="BH1968" s="611"/>
      <c r="BJ1968" s="15"/>
      <c r="BK1968" s="15"/>
      <c r="BO1968" s="223"/>
      <c r="BQ1968" s="889"/>
      <c r="BT1968" s="890"/>
      <c r="BX1968" s="889"/>
      <c r="CB1968" s="15"/>
      <c r="CC1968" s="697"/>
      <c r="CD1968" s="1086"/>
      <c r="CE1968" s="15"/>
      <c r="CF1968" s="15"/>
      <c r="CG1968" s="936"/>
      <c r="CH1968" s="15"/>
      <c r="CI1968" s="15"/>
      <c r="CJ1968" s="15"/>
      <c r="CK1968" s="1107"/>
      <c r="CL1968" s="22"/>
      <c r="CM1968" s="22"/>
      <c r="CN1968" s="1107"/>
      <c r="CR1968" s="223"/>
      <c r="CS1968" s="952"/>
      <c r="CT1968" s="1066"/>
      <c r="CU1968" s="972"/>
      <c r="CV1968" s="983"/>
      <c r="CW1968" s="222"/>
      <c r="CX1968" s="697"/>
      <c r="DC1968" s="222"/>
      <c r="DJ1968" s="889"/>
      <c r="DM1968" s="890"/>
      <c r="DN1968" s="952"/>
      <c r="DO1968" s="75"/>
      <c r="DP1968" s="962"/>
      <c r="DQ1968" s="983"/>
      <c r="DV1968" s="889"/>
    </row>
    <row r="1969" spans="1:126" s="74" customFormat="1">
      <c r="A1969" s="15"/>
      <c r="B1969" s="15"/>
      <c r="C1969" s="15"/>
      <c r="D1969" s="15"/>
      <c r="E1969" s="6"/>
      <c r="F1969" s="6"/>
      <c r="G1969" s="6"/>
      <c r="K1969" s="222"/>
      <c r="V1969" s="1430"/>
      <c r="AA1969" s="223"/>
      <c r="AC1969" s="889"/>
      <c r="AF1969" s="890"/>
      <c r="AJ1969" s="889"/>
      <c r="AN1969" s="222"/>
      <c r="BC1969" s="223"/>
      <c r="BD1969" s="222"/>
      <c r="BH1969" s="611"/>
      <c r="BJ1969" s="15"/>
      <c r="BK1969" s="15"/>
      <c r="BO1969" s="223"/>
      <c r="BQ1969" s="889"/>
      <c r="BT1969" s="890"/>
      <c r="BX1969" s="889"/>
      <c r="CB1969" s="15"/>
      <c r="CC1969" s="697"/>
      <c r="CD1969" s="1086"/>
      <c r="CE1969" s="15"/>
      <c r="CF1969" s="15"/>
      <c r="CG1969" s="936"/>
      <c r="CH1969" s="15"/>
      <c r="CI1969" s="15"/>
      <c r="CJ1969" s="15"/>
      <c r="CK1969" s="1107"/>
      <c r="CL1969" s="22"/>
      <c r="CM1969" s="22"/>
      <c r="CN1969" s="1107"/>
      <c r="CR1969" s="223"/>
      <c r="CS1969" s="952"/>
      <c r="CT1969" s="1066"/>
      <c r="CU1969" s="972"/>
      <c r="CV1969" s="983"/>
      <c r="CW1969" s="222"/>
      <c r="CX1969" s="697"/>
      <c r="DC1969" s="222"/>
      <c r="DJ1969" s="889"/>
      <c r="DM1969" s="890"/>
      <c r="DN1969" s="952"/>
      <c r="DO1969" s="75"/>
      <c r="DP1969" s="962"/>
      <c r="DQ1969" s="983"/>
      <c r="DV1969" s="889"/>
    </row>
    <row r="1970" spans="1:126" s="74" customFormat="1">
      <c r="A1970" s="15"/>
      <c r="B1970" s="15"/>
      <c r="C1970" s="15"/>
      <c r="D1970" s="15"/>
      <c r="E1970" s="6"/>
      <c r="F1970" s="6"/>
      <c r="G1970" s="6"/>
      <c r="K1970" s="222"/>
      <c r="V1970" s="1430"/>
      <c r="AA1970" s="223"/>
      <c r="AC1970" s="889"/>
      <c r="AF1970" s="890"/>
      <c r="AJ1970" s="889"/>
      <c r="AN1970" s="222"/>
      <c r="BC1970" s="223"/>
      <c r="BD1970" s="222"/>
      <c r="BH1970" s="611"/>
      <c r="BJ1970" s="15"/>
      <c r="BK1970" s="15"/>
      <c r="BO1970" s="223"/>
      <c r="BQ1970" s="889"/>
      <c r="BT1970" s="890"/>
      <c r="BX1970" s="889"/>
      <c r="CB1970" s="15"/>
      <c r="CC1970" s="697"/>
      <c r="CD1970" s="1086"/>
      <c r="CE1970" s="15"/>
      <c r="CF1970" s="15"/>
      <c r="CG1970" s="936"/>
      <c r="CH1970" s="15"/>
      <c r="CI1970" s="15"/>
      <c r="CJ1970" s="15"/>
      <c r="CK1970" s="1107"/>
      <c r="CL1970" s="22"/>
      <c r="CM1970" s="22"/>
      <c r="CN1970" s="1107"/>
      <c r="CR1970" s="223"/>
      <c r="CS1970" s="952"/>
      <c r="CT1970" s="1066"/>
      <c r="CU1970" s="972"/>
      <c r="CV1970" s="983"/>
      <c r="CW1970" s="222"/>
      <c r="CX1970" s="697"/>
      <c r="DC1970" s="222"/>
      <c r="DJ1970" s="889"/>
      <c r="DM1970" s="890"/>
      <c r="DN1970" s="952"/>
      <c r="DO1970" s="75"/>
      <c r="DP1970" s="962"/>
      <c r="DQ1970" s="983"/>
      <c r="DV1970" s="889"/>
    </row>
    <row r="1971" spans="1:126" s="74" customFormat="1">
      <c r="A1971" s="15"/>
      <c r="B1971" s="15"/>
      <c r="C1971" s="15"/>
      <c r="D1971" s="15"/>
      <c r="E1971" s="6"/>
      <c r="F1971" s="6"/>
      <c r="G1971" s="6"/>
      <c r="K1971" s="222"/>
      <c r="V1971" s="1430"/>
      <c r="AA1971" s="223"/>
      <c r="AC1971" s="889"/>
      <c r="AF1971" s="890"/>
      <c r="AJ1971" s="889"/>
      <c r="AN1971" s="222"/>
      <c r="BC1971" s="223"/>
      <c r="BD1971" s="222"/>
      <c r="BH1971" s="611"/>
      <c r="BJ1971" s="15"/>
      <c r="BK1971" s="15"/>
      <c r="BO1971" s="223"/>
      <c r="BQ1971" s="889"/>
      <c r="BT1971" s="890"/>
      <c r="BX1971" s="889"/>
      <c r="CB1971" s="15"/>
      <c r="CC1971" s="697"/>
      <c r="CD1971" s="1086"/>
      <c r="CE1971" s="15"/>
      <c r="CF1971" s="15"/>
      <c r="CG1971" s="936"/>
      <c r="CH1971" s="15"/>
      <c r="CI1971" s="15"/>
      <c r="CJ1971" s="15"/>
      <c r="CK1971" s="1107"/>
      <c r="CL1971" s="22"/>
      <c r="CM1971" s="22"/>
      <c r="CN1971" s="1107"/>
      <c r="CR1971" s="223"/>
      <c r="CS1971" s="952"/>
      <c r="CT1971" s="1066"/>
      <c r="CU1971" s="972"/>
      <c r="CV1971" s="983"/>
      <c r="CW1971" s="222"/>
      <c r="CX1971" s="697"/>
      <c r="DC1971" s="222"/>
      <c r="DJ1971" s="889"/>
      <c r="DM1971" s="890"/>
      <c r="DN1971" s="952"/>
      <c r="DO1971" s="75"/>
      <c r="DP1971" s="962"/>
      <c r="DQ1971" s="983"/>
      <c r="DV1971" s="889"/>
    </row>
    <row r="1972" spans="1:126" s="74" customFormat="1">
      <c r="A1972" s="15"/>
      <c r="B1972" s="15"/>
      <c r="C1972" s="15"/>
      <c r="D1972" s="15"/>
      <c r="E1972" s="6"/>
      <c r="F1972" s="6"/>
      <c r="G1972" s="6"/>
      <c r="K1972" s="222"/>
      <c r="V1972" s="1430"/>
      <c r="AA1972" s="223"/>
      <c r="AC1972" s="889"/>
      <c r="AF1972" s="890"/>
      <c r="AJ1972" s="889"/>
      <c r="AN1972" s="222"/>
      <c r="BC1972" s="223"/>
      <c r="BD1972" s="222"/>
      <c r="BH1972" s="611"/>
      <c r="BJ1972" s="15"/>
      <c r="BK1972" s="15"/>
      <c r="BO1972" s="223"/>
      <c r="BQ1972" s="889"/>
      <c r="BT1972" s="890"/>
      <c r="BX1972" s="889"/>
      <c r="CB1972" s="15"/>
      <c r="CC1972" s="697"/>
      <c r="CD1972" s="1086"/>
      <c r="CE1972" s="15"/>
      <c r="CF1972" s="15"/>
      <c r="CG1972" s="936"/>
      <c r="CH1972" s="15"/>
      <c r="CI1972" s="15"/>
      <c r="CJ1972" s="15"/>
      <c r="CK1972" s="1107"/>
      <c r="CL1972" s="22"/>
      <c r="CM1972" s="22"/>
      <c r="CN1972" s="1107"/>
      <c r="CR1972" s="223"/>
      <c r="CS1972" s="952"/>
      <c r="CT1972" s="1066"/>
      <c r="CU1972" s="972"/>
      <c r="CV1972" s="983"/>
      <c r="CW1972" s="222"/>
      <c r="CX1972" s="697"/>
      <c r="DC1972" s="222"/>
      <c r="DJ1972" s="889"/>
      <c r="DM1972" s="890"/>
      <c r="DN1972" s="952"/>
      <c r="DO1972" s="75"/>
      <c r="DP1972" s="962"/>
      <c r="DQ1972" s="983"/>
      <c r="DV1972" s="889"/>
    </row>
    <row r="1973" spans="1:126" s="74" customFormat="1">
      <c r="A1973" s="15"/>
      <c r="B1973" s="15"/>
      <c r="C1973" s="15"/>
      <c r="D1973" s="15"/>
      <c r="E1973" s="6"/>
      <c r="F1973" s="6"/>
      <c r="G1973" s="6"/>
      <c r="K1973" s="222"/>
      <c r="V1973" s="1430"/>
      <c r="AA1973" s="223"/>
      <c r="AC1973" s="889"/>
      <c r="AF1973" s="890"/>
      <c r="AJ1973" s="889"/>
      <c r="AN1973" s="222"/>
      <c r="BC1973" s="223"/>
      <c r="BD1973" s="222"/>
      <c r="BH1973" s="611"/>
      <c r="BJ1973" s="15"/>
      <c r="BK1973" s="15"/>
      <c r="BO1973" s="223"/>
      <c r="BQ1973" s="889"/>
      <c r="BT1973" s="890"/>
      <c r="BX1973" s="889"/>
      <c r="CB1973" s="15"/>
      <c r="CC1973" s="697"/>
      <c r="CD1973" s="1086"/>
      <c r="CE1973" s="15"/>
      <c r="CF1973" s="15"/>
      <c r="CG1973" s="936"/>
      <c r="CH1973" s="15"/>
      <c r="CI1973" s="15"/>
      <c r="CJ1973" s="15"/>
      <c r="CK1973" s="1107"/>
      <c r="CL1973" s="22"/>
      <c r="CM1973" s="22"/>
      <c r="CN1973" s="1107"/>
      <c r="CR1973" s="223"/>
      <c r="CS1973" s="952"/>
      <c r="CT1973" s="1066"/>
      <c r="CU1973" s="972"/>
      <c r="CV1973" s="983"/>
      <c r="CW1973" s="222"/>
      <c r="CX1973" s="697"/>
      <c r="DC1973" s="222"/>
      <c r="DJ1973" s="889"/>
      <c r="DM1973" s="890"/>
      <c r="DN1973" s="952"/>
      <c r="DO1973" s="75"/>
      <c r="DP1973" s="962"/>
      <c r="DQ1973" s="983"/>
      <c r="DV1973" s="889"/>
    </row>
    <row r="1974" spans="1:126" s="74" customFormat="1">
      <c r="A1974" s="15"/>
      <c r="B1974" s="15"/>
      <c r="C1974" s="15"/>
      <c r="D1974" s="15"/>
      <c r="E1974" s="6"/>
      <c r="F1974" s="6"/>
      <c r="G1974" s="6"/>
      <c r="K1974" s="222"/>
      <c r="V1974" s="1430"/>
      <c r="AA1974" s="223"/>
      <c r="AC1974" s="889"/>
      <c r="AF1974" s="890"/>
      <c r="AJ1974" s="889"/>
      <c r="AN1974" s="222"/>
      <c r="BC1974" s="223"/>
      <c r="BD1974" s="222"/>
      <c r="BH1974" s="611"/>
      <c r="BJ1974" s="15"/>
      <c r="BK1974" s="15"/>
      <c r="BO1974" s="223"/>
      <c r="BQ1974" s="889"/>
      <c r="BT1974" s="890"/>
      <c r="BX1974" s="889"/>
      <c r="CB1974" s="15"/>
      <c r="CC1974" s="697"/>
      <c r="CD1974" s="1086"/>
      <c r="CE1974" s="15"/>
      <c r="CF1974" s="15"/>
      <c r="CG1974" s="936"/>
      <c r="CH1974" s="15"/>
      <c r="CI1974" s="15"/>
      <c r="CJ1974" s="15"/>
      <c r="CK1974" s="1107"/>
      <c r="CL1974" s="22"/>
      <c r="CM1974" s="22"/>
      <c r="CN1974" s="1107"/>
      <c r="CR1974" s="223"/>
      <c r="CS1974" s="952"/>
      <c r="CT1974" s="1066"/>
      <c r="CU1974" s="972"/>
      <c r="CV1974" s="983"/>
      <c r="CW1974" s="222"/>
      <c r="CX1974" s="697"/>
      <c r="DC1974" s="222"/>
      <c r="DJ1974" s="889"/>
      <c r="DM1974" s="890"/>
      <c r="DN1974" s="952"/>
      <c r="DO1974" s="75"/>
      <c r="DP1974" s="962"/>
      <c r="DQ1974" s="983"/>
      <c r="DV1974" s="889"/>
    </row>
    <row r="1975" spans="1:126" s="74" customFormat="1">
      <c r="A1975" s="15"/>
      <c r="B1975" s="15"/>
      <c r="C1975" s="15"/>
      <c r="D1975" s="15"/>
      <c r="E1975" s="6"/>
      <c r="F1975" s="6"/>
      <c r="G1975" s="6"/>
      <c r="K1975" s="222"/>
      <c r="V1975" s="1430"/>
      <c r="AA1975" s="223"/>
      <c r="AC1975" s="889"/>
      <c r="AF1975" s="890"/>
      <c r="AJ1975" s="889"/>
      <c r="AN1975" s="222"/>
      <c r="BC1975" s="223"/>
      <c r="BD1975" s="222"/>
      <c r="BH1975" s="611"/>
      <c r="BJ1975" s="15"/>
      <c r="BK1975" s="15"/>
      <c r="BO1975" s="223"/>
      <c r="BQ1975" s="889"/>
      <c r="BT1975" s="890"/>
      <c r="BX1975" s="889"/>
      <c r="CB1975" s="15"/>
      <c r="CC1975" s="697"/>
      <c r="CD1975" s="1086"/>
      <c r="CE1975" s="15"/>
      <c r="CF1975" s="15"/>
      <c r="CG1975" s="936"/>
      <c r="CH1975" s="15"/>
      <c r="CI1975" s="15"/>
      <c r="CJ1975" s="15"/>
      <c r="CK1975" s="1107"/>
      <c r="CL1975" s="22"/>
      <c r="CM1975" s="22"/>
      <c r="CN1975" s="1107"/>
      <c r="CR1975" s="223"/>
      <c r="CS1975" s="952"/>
      <c r="CT1975" s="1066"/>
      <c r="CU1975" s="972"/>
      <c r="CV1975" s="983"/>
      <c r="CW1975" s="222"/>
      <c r="CX1975" s="697"/>
      <c r="DC1975" s="222"/>
      <c r="DJ1975" s="889"/>
      <c r="DM1975" s="890"/>
      <c r="DN1975" s="952"/>
      <c r="DO1975" s="75"/>
      <c r="DP1975" s="962"/>
      <c r="DQ1975" s="983"/>
      <c r="DV1975" s="889"/>
    </row>
    <row r="1976" spans="1:126" s="74" customFormat="1">
      <c r="A1976" s="15"/>
      <c r="B1976" s="15"/>
      <c r="C1976" s="15"/>
      <c r="D1976" s="15"/>
      <c r="E1976" s="6"/>
      <c r="F1976" s="6"/>
      <c r="G1976" s="6"/>
      <c r="K1976" s="222"/>
      <c r="V1976" s="1430"/>
      <c r="AA1976" s="223"/>
      <c r="AC1976" s="889"/>
      <c r="AF1976" s="890"/>
      <c r="AJ1976" s="889"/>
      <c r="AN1976" s="222"/>
      <c r="BC1976" s="223"/>
      <c r="BD1976" s="222"/>
      <c r="BH1976" s="611"/>
      <c r="BJ1976" s="15"/>
      <c r="BK1976" s="15"/>
      <c r="BO1976" s="223"/>
      <c r="BQ1976" s="889"/>
      <c r="BT1976" s="890"/>
      <c r="BX1976" s="889"/>
      <c r="CB1976" s="15"/>
      <c r="CC1976" s="697"/>
      <c r="CD1976" s="1086"/>
      <c r="CE1976" s="15"/>
      <c r="CF1976" s="15"/>
      <c r="CG1976" s="936"/>
      <c r="CH1976" s="15"/>
      <c r="CI1976" s="15"/>
      <c r="CJ1976" s="15"/>
      <c r="CK1976" s="1107"/>
      <c r="CL1976" s="22"/>
      <c r="CM1976" s="22"/>
      <c r="CN1976" s="1107"/>
      <c r="CR1976" s="223"/>
      <c r="CS1976" s="952"/>
      <c r="CT1976" s="1066"/>
      <c r="CU1976" s="972"/>
      <c r="CV1976" s="983"/>
      <c r="CW1976" s="222"/>
      <c r="CX1976" s="697"/>
      <c r="DC1976" s="222"/>
      <c r="DJ1976" s="889"/>
      <c r="DM1976" s="890"/>
      <c r="DN1976" s="952"/>
      <c r="DO1976" s="75"/>
      <c r="DP1976" s="962"/>
      <c r="DQ1976" s="983"/>
      <c r="DV1976" s="889"/>
    </row>
    <row r="1977" spans="1:126" s="74" customFormat="1">
      <c r="A1977" s="15"/>
      <c r="B1977" s="15"/>
      <c r="C1977" s="15"/>
      <c r="D1977" s="15"/>
      <c r="E1977" s="6"/>
      <c r="F1977" s="6"/>
      <c r="G1977" s="6"/>
      <c r="K1977" s="222"/>
      <c r="V1977" s="1430"/>
      <c r="AA1977" s="223"/>
      <c r="AC1977" s="889"/>
      <c r="AF1977" s="890"/>
      <c r="AJ1977" s="889"/>
      <c r="AN1977" s="222"/>
      <c r="BC1977" s="223"/>
      <c r="BD1977" s="222"/>
      <c r="BH1977" s="611"/>
      <c r="BJ1977" s="15"/>
      <c r="BK1977" s="15"/>
      <c r="BO1977" s="223"/>
      <c r="BQ1977" s="889"/>
      <c r="BT1977" s="890"/>
      <c r="BX1977" s="889"/>
      <c r="CB1977" s="15"/>
      <c r="CC1977" s="697"/>
      <c r="CD1977" s="1086"/>
      <c r="CE1977" s="15"/>
      <c r="CF1977" s="15"/>
      <c r="CG1977" s="936"/>
      <c r="CH1977" s="15"/>
      <c r="CI1977" s="15"/>
      <c r="CJ1977" s="15"/>
      <c r="CK1977" s="1107"/>
      <c r="CL1977" s="22"/>
      <c r="CM1977" s="22"/>
      <c r="CN1977" s="1107"/>
      <c r="CR1977" s="223"/>
      <c r="CS1977" s="952"/>
      <c r="CT1977" s="1066"/>
      <c r="CU1977" s="972"/>
      <c r="CV1977" s="983"/>
      <c r="CW1977" s="222"/>
      <c r="CX1977" s="697"/>
      <c r="DC1977" s="222"/>
      <c r="DJ1977" s="889"/>
      <c r="DM1977" s="890"/>
      <c r="DN1977" s="952"/>
      <c r="DO1977" s="75"/>
      <c r="DP1977" s="962"/>
      <c r="DQ1977" s="983"/>
      <c r="DV1977" s="889"/>
    </row>
    <row r="1978" spans="1:126" s="74" customFormat="1">
      <c r="A1978" s="15"/>
      <c r="B1978" s="15"/>
      <c r="C1978" s="15"/>
      <c r="D1978" s="15"/>
      <c r="E1978" s="6"/>
      <c r="F1978" s="6"/>
      <c r="G1978" s="6"/>
      <c r="K1978" s="222"/>
      <c r="V1978" s="1430"/>
      <c r="AA1978" s="223"/>
      <c r="AC1978" s="889"/>
      <c r="AF1978" s="890"/>
      <c r="AJ1978" s="889"/>
      <c r="AN1978" s="222"/>
      <c r="BC1978" s="223"/>
      <c r="BD1978" s="222"/>
      <c r="BH1978" s="611"/>
      <c r="BJ1978" s="15"/>
      <c r="BK1978" s="15"/>
      <c r="BO1978" s="223"/>
      <c r="BQ1978" s="889"/>
      <c r="BT1978" s="890"/>
      <c r="BX1978" s="889"/>
      <c r="CB1978" s="15"/>
      <c r="CC1978" s="697"/>
      <c r="CD1978" s="1086"/>
      <c r="CE1978" s="15"/>
      <c r="CF1978" s="15"/>
      <c r="CG1978" s="936"/>
      <c r="CH1978" s="15"/>
      <c r="CI1978" s="15"/>
      <c r="CJ1978" s="15"/>
      <c r="CK1978" s="1107"/>
      <c r="CL1978" s="22"/>
      <c r="CM1978" s="22"/>
      <c r="CN1978" s="1107"/>
      <c r="CR1978" s="223"/>
      <c r="CS1978" s="952"/>
      <c r="CT1978" s="1066"/>
      <c r="CU1978" s="972"/>
      <c r="CV1978" s="983"/>
      <c r="CW1978" s="222"/>
      <c r="CX1978" s="697"/>
      <c r="DC1978" s="222"/>
      <c r="DJ1978" s="889"/>
      <c r="DM1978" s="890"/>
      <c r="DN1978" s="952"/>
      <c r="DO1978" s="75"/>
      <c r="DP1978" s="962"/>
      <c r="DQ1978" s="983"/>
      <c r="DV1978" s="889"/>
    </row>
    <row r="1979" spans="1:126" s="74" customFormat="1">
      <c r="A1979" s="15"/>
      <c r="B1979" s="15"/>
      <c r="C1979" s="15"/>
      <c r="D1979" s="15"/>
      <c r="E1979" s="6"/>
      <c r="F1979" s="6"/>
      <c r="G1979" s="6"/>
      <c r="K1979" s="222"/>
      <c r="V1979" s="1430"/>
      <c r="AA1979" s="223"/>
      <c r="AC1979" s="889"/>
      <c r="AF1979" s="890"/>
      <c r="AJ1979" s="889"/>
      <c r="AN1979" s="222"/>
      <c r="BC1979" s="223"/>
      <c r="BD1979" s="222"/>
      <c r="BH1979" s="611"/>
      <c r="BJ1979" s="15"/>
      <c r="BK1979" s="15"/>
      <c r="BO1979" s="223"/>
      <c r="BQ1979" s="889"/>
      <c r="BT1979" s="890"/>
      <c r="BX1979" s="889"/>
      <c r="CB1979" s="15"/>
      <c r="CC1979" s="697"/>
      <c r="CD1979" s="1086"/>
      <c r="CE1979" s="15"/>
      <c r="CF1979" s="15"/>
      <c r="CG1979" s="936"/>
      <c r="CH1979" s="15"/>
      <c r="CI1979" s="15"/>
      <c r="CJ1979" s="15"/>
      <c r="CK1979" s="1107"/>
      <c r="CL1979" s="22"/>
      <c r="CM1979" s="22"/>
      <c r="CN1979" s="1107"/>
      <c r="CR1979" s="223"/>
      <c r="CS1979" s="952"/>
      <c r="CT1979" s="1066"/>
      <c r="CU1979" s="972"/>
      <c r="CV1979" s="983"/>
      <c r="CW1979" s="222"/>
      <c r="CX1979" s="697"/>
      <c r="DC1979" s="222"/>
      <c r="DJ1979" s="889"/>
      <c r="DM1979" s="890"/>
      <c r="DN1979" s="952"/>
      <c r="DO1979" s="75"/>
      <c r="DP1979" s="962"/>
      <c r="DQ1979" s="983"/>
      <c r="DV1979" s="889"/>
    </row>
    <row r="1980" spans="1:126" s="74" customFormat="1">
      <c r="A1980" s="15"/>
      <c r="B1980" s="15"/>
      <c r="C1980" s="15"/>
      <c r="D1980" s="15"/>
      <c r="E1980" s="6"/>
      <c r="F1980" s="6"/>
      <c r="G1980" s="6"/>
      <c r="K1980" s="222"/>
      <c r="V1980" s="1430"/>
      <c r="AA1980" s="223"/>
      <c r="AC1980" s="889"/>
      <c r="AF1980" s="890"/>
      <c r="AJ1980" s="889"/>
      <c r="AN1980" s="222"/>
      <c r="BC1980" s="223"/>
      <c r="BD1980" s="222"/>
      <c r="BH1980" s="611"/>
      <c r="BJ1980" s="15"/>
      <c r="BK1980" s="15"/>
      <c r="BO1980" s="223"/>
      <c r="BQ1980" s="889"/>
      <c r="BT1980" s="890"/>
      <c r="BX1980" s="889"/>
      <c r="CB1980" s="15"/>
      <c r="CC1980" s="697"/>
      <c r="CD1980" s="1086"/>
      <c r="CE1980" s="15"/>
      <c r="CF1980" s="15"/>
      <c r="CG1980" s="936"/>
      <c r="CH1980" s="15"/>
      <c r="CI1980" s="15"/>
      <c r="CJ1980" s="15"/>
      <c r="CK1980" s="1107"/>
      <c r="CL1980" s="22"/>
      <c r="CM1980" s="22"/>
      <c r="CN1980" s="1107"/>
      <c r="CR1980" s="223"/>
      <c r="CS1980" s="952"/>
      <c r="CT1980" s="1066"/>
      <c r="CU1980" s="972"/>
      <c r="CV1980" s="983"/>
      <c r="CW1980" s="222"/>
      <c r="CX1980" s="697"/>
      <c r="DC1980" s="222"/>
      <c r="DJ1980" s="889"/>
      <c r="DM1980" s="890"/>
      <c r="DN1980" s="952"/>
      <c r="DO1980" s="75"/>
      <c r="DP1980" s="962"/>
      <c r="DQ1980" s="983"/>
      <c r="DV1980" s="889"/>
    </row>
    <row r="1981" spans="1:126" s="74" customFormat="1">
      <c r="A1981" s="15"/>
      <c r="B1981" s="15"/>
      <c r="C1981" s="15"/>
      <c r="D1981" s="15"/>
      <c r="E1981" s="6"/>
      <c r="F1981" s="6"/>
      <c r="G1981" s="6"/>
      <c r="K1981" s="222"/>
      <c r="V1981" s="1430"/>
      <c r="AA1981" s="223"/>
      <c r="AC1981" s="889"/>
      <c r="AF1981" s="890"/>
      <c r="AJ1981" s="889"/>
      <c r="AN1981" s="222"/>
      <c r="BC1981" s="223"/>
      <c r="BD1981" s="222"/>
      <c r="BH1981" s="611"/>
      <c r="BJ1981" s="15"/>
      <c r="BK1981" s="15"/>
      <c r="BO1981" s="223"/>
      <c r="BQ1981" s="889"/>
      <c r="BT1981" s="890"/>
      <c r="BX1981" s="889"/>
      <c r="CB1981" s="15"/>
      <c r="CC1981" s="697"/>
      <c r="CD1981" s="1086"/>
      <c r="CE1981" s="15"/>
      <c r="CF1981" s="15"/>
      <c r="CG1981" s="936"/>
      <c r="CH1981" s="15"/>
      <c r="CI1981" s="15"/>
      <c r="CJ1981" s="15"/>
      <c r="CK1981" s="1107"/>
      <c r="CL1981" s="22"/>
      <c r="CM1981" s="22"/>
      <c r="CN1981" s="1107"/>
      <c r="CR1981" s="223"/>
      <c r="CS1981" s="952"/>
      <c r="CT1981" s="1066"/>
      <c r="CU1981" s="972"/>
      <c r="CV1981" s="983"/>
      <c r="CW1981" s="222"/>
      <c r="CX1981" s="697"/>
      <c r="DC1981" s="222"/>
      <c r="DJ1981" s="889"/>
      <c r="DM1981" s="890"/>
      <c r="DN1981" s="952"/>
      <c r="DO1981" s="75"/>
      <c r="DP1981" s="962"/>
      <c r="DQ1981" s="983"/>
      <c r="DV1981" s="889"/>
    </row>
    <row r="1982" spans="1:126" s="74" customFormat="1">
      <c r="A1982" s="15"/>
      <c r="B1982" s="15"/>
      <c r="C1982" s="15"/>
      <c r="D1982" s="15"/>
      <c r="E1982" s="6"/>
      <c r="F1982" s="6"/>
      <c r="G1982" s="6"/>
      <c r="K1982" s="222"/>
      <c r="V1982" s="1430"/>
      <c r="AA1982" s="223"/>
      <c r="AC1982" s="889"/>
      <c r="AF1982" s="890"/>
      <c r="AJ1982" s="889"/>
      <c r="AN1982" s="222"/>
      <c r="BC1982" s="223"/>
      <c r="BD1982" s="222"/>
      <c r="BH1982" s="611"/>
      <c r="BJ1982" s="15"/>
      <c r="BK1982" s="15"/>
      <c r="BO1982" s="223"/>
      <c r="BQ1982" s="889"/>
      <c r="BT1982" s="890"/>
      <c r="BX1982" s="889"/>
      <c r="CB1982" s="15"/>
      <c r="CC1982" s="697"/>
      <c r="CD1982" s="1086"/>
      <c r="CE1982" s="15"/>
      <c r="CF1982" s="15"/>
      <c r="CG1982" s="936"/>
      <c r="CH1982" s="15"/>
      <c r="CI1982" s="15"/>
      <c r="CJ1982" s="15"/>
      <c r="CK1982" s="1107"/>
      <c r="CL1982" s="22"/>
      <c r="CM1982" s="22"/>
      <c r="CN1982" s="1107"/>
      <c r="CR1982" s="223"/>
      <c r="CS1982" s="952"/>
      <c r="CT1982" s="1066"/>
      <c r="CU1982" s="972"/>
      <c r="CV1982" s="983"/>
      <c r="CW1982" s="222"/>
      <c r="CX1982" s="697"/>
      <c r="DC1982" s="222"/>
      <c r="DJ1982" s="889"/>
      <c r="DM1982" s="890"/>
      <c r="DN1982" s="952"/>
      <c r="DO1982" s="75"/>
      <c r="DP1982" s="962"/>
      <c r="DQ1982" s="983"/>
      <c r="DV1982" s="889"/>
    </row>
    <row r="1983" spans="1:126" s="74" customFormat="1">
      <c r="A1983" s="15"/>
      <c r="B1983" s="15"/>
      <c r="C1983" s="15"/>
      <c r="D1983" s="15"/>
      <c r="E1983" s="6"/>
      <c r="F1983" s="6"/>
      <c r="G1983" s="6"/>
      <c r="K1983" s="222"/>
      <c r="V1983" s="1430"/>
      <c r="AA1983" s="223"/>
      <c r="AC1983" s="889"/>
      <c r="AF1983" s="890"/>
      <c r="AJ1983" s="889"/>
      <c r="AN1983" s="222"/>
      <c r="BC1983" s="223"/>
      <c r="BD1983" s="222"/>
      <c r="BH1983" s="611"/>
      <c r="BJ1983" s="15"/>
      <c r="BK1983" s="15"/>
      <c r="BO1983" s="223"/>
      <c r="BQ1983" s="889"/>
      <c r="BT1983" s="890"/>
      <c r="BX1983" s="889"/>
      <c r="CB1983" s="15"/>
      <c r="CC1983" s="697"/>
      <c r="CD1983" s="1086"/>
      <c r="CE1983" s="15"/>
      <c r="CF1983" s="15"/>
      <c r="CG1983" s="936"/>
      <c r="CH1983" s="15"/>
      <c r="CI1983" s="15"/>
      <c r="CJ1983" s="15"/>
      <c r="CK1983" s="1107"/>
      <c r="CL1983" s="22"/>
      <c r="CM1983" s="22"/>
      <c r="CN1983" s="1107"/>
      <c r="CR1983" s="223"/>
      <c r="CS1983" s="952"/>
      <c r="CT1983" s="1066"/>
      <c r="CU1983" s="972"/>
      <c r="CV1983" s="983"/>
      <c r="CW1983" s="222"/>
      <c r="CX1983" s="697"/>
      <c r="DC1983" s="222"/>
      <c r="DJ1983" s="889"/>
      <c r="DM1983" s="890"/>
      <c r="DN1983" s="952"/>
      <c r="DO1983" s="75"/>
      <c r="DP1983" s="962"/>
      <c r="DQ1983" s="983"/>
      <c r="DV1983" s="889"/>
    </row>
    <row r="1984" spans="1:126" s="74" customFormat="1">
      <c r="A1984" s="15"/>
      <c r="B1984" s="15"/>
      <c r="C1984" s="15"/>
      <c r="D1984" s="15"/>
      <c r="E1984" s="6"/>
      <c r="F1984" s="6"/>
      <c r="G1984" s="6"/>
      <c r="K1984" s="222"/>
      <c r="V1984" s="1430"/>
      <c r="AA1984" s="223"/>
      <c r="AC1984" s="889"/>
      <c r="AF1984" s="890"/>
      <c r="AJ1984" s="889"/>
      <c r="AN1984" s="222"/>
      <c r="BC1984" s="223"/>
      <c r="BD1984" s="222"/>
      <c r="BH1984" s="611"/>
      <c r="BJ1984" s="15"/>
      <c r="BK1984" s="15"/>
      <c r="BO1984" s="223"/>
      <c r="BQ1984" s="889"/>
      <c r="BT1984" s="890"/>
      <c r="BX1984" s="889"/>
      <c r="CB1984" s="15"/>
      <c r="CC1984" s="697"/>
      <c r="CD1984" s="1086"/>
      <c r="CE1984" s="15"/>
      <c r="CF1984" s="15"/>
      <c r="CG1984" s="936"/>
      <c r="CH1984" s="15"/>
      <c r="CI1984" s="15"/>
      <c r="CJ1984" s="15"/>
      <c r="CK1984" s="1107"/>
      <c r="CL1984" s="22"/>
      <c r="CM1984" s="22"/>
      <c r="CN1984" s="1107"/>
      <c r="CR1984" s="223"/>
      <c r="CS1984" s="952"/>
      <c r="CT1984" s="1066"/>
      <c r="CU1984" s="972"/>
      <c r="CV1984" s="983"/>
      <c r="CW1984" s="222"/>
      <c r="CX1984" s="697"/>
      <c r="DC1984" s="222"/>
      <c r="DJ1984" s="889"/>
      <c r="DM1984" s="890"/>
      <c r="DN1984" s="952"/>
      <c r="DO1984" s="75"/>
      <c r="DP1984" s="962"/>
      <c r="DQ1984" s="983"/>
      <c r="DV1984" s="889"/>
    </row>
    <row r="1985" spans="1:126" s="74" customFormat="1">
      <c r="A1985" s="15"/>
      <c r="B1985" s="15"/>
      <c r="C1985" s="15"/>
      <c r="D1985" s="15"/>
      <c r="E1985" s="6"/>
      <c r="F1985" s="6"/>
      <c r="G1985" s="6"/>
      <c r="K1985" s="222"/>
      <c r="V1985" s="1430"/>
      <c r="AA1985" s="223"/>
      <c r="AC1985" s="889"/>
      <c r="AF1985" s="890"/>
      <c r="AJ1985" s="889"/>
      <c r="AN1985" s="222"/>
      <c r="BC1985" s="223"/>
      <c r="BD1985" s="222"/>
      <c r="BH1985" s="611"/>
      <c r="BJ1985" s="15"/>
      <c r="BK1985" s="15"/>
      <c r="BO1985" s="223"/>
      <c r="BQ1985" s="889"/>
      <c r="BT1985" s="890"/>
      <c r="BX1985" s="889"/>
      <c r="CB1985" s="15"/>
      <c r="CC1985" s="697"/>
      <c r="CD1985" s="1086"/>
      <c r="CE1985" s="15"/>
      <c r="CF1985" s="15"/>
      <c r="CG1985" s="936"/>
      <c r="CH1985" s="15"/>
      <c r="CI1985" s="15"/>
      <c r="CJ1985" s="15"/>
      <c r="CK1985" s="1107"/>
      <c r="CL1985" s="22"/>
      <c r="CM1985" s="22"/>
      <c r="CN1985" s="1107"/>
      <c r="CR1985" s="223"/>
      <c r="CS1985" s="952"/>
      <c r="CT1985" s="1066"/>
      <c r="CU1985" s="972"/>
      <c r="CV1985" s="983"/>
      <c r="CW1985" s="222"/>
      <c r="CX1985" s="697"/>
      <c r="DC1985" s="222"/>
      <c r="DJ1985" s="889"/>
      <c r="DM1985" s="890"/>
      <c r="DN1985" s="952"/>
      <c r="DO1985" s="75"/>
      <c r="DP1985" s="962"/>
      <c r="DQ1985" s="983"/>
      <c r="DV1985" s="889"/>
    </row>
    <row r="1986" spans="1:126" s="74" customFormat="1">
      <c r="A1986" s="15"/>
      <c r="B1986" s="15"/>
      <c r="C1986" s="15"/>
      <c r="D1986" s="15"/>
      <c r="E1986" s="6"/>
      <c r="F1986" s="6"/>
      <c r="G1986" s="6"/>
      <c r="K1986" s="222"/>
      <c r="V1986" s="1430"/>
      <c r="AA1986" s="223"/>
      <c r="AC1986" s="889"/>
      <c r="AF1986" s="890"/>
      <c r="AJ1986" s="889"/>
      <c r="AN1986" s="222"/>
      <c r="BC1986" s="223"/>
      <c r="BD1986" s="222"/>
      <c r="BH1986" s="611"/>
      <c r="BJ1986" s="15"/>
      <c r="BK1986" s="15"/>
      <c r="BO1986" s="223"/>
      <c r="BQ1986" s="889"/>
      <c r="BT1986" s="890"/>
      <c r="BX1986" s="889"/>
      <c r="CB1986" s="15"/>
      <c r="CC1986" s="697"/>
      <c r="CD1986" s="1086"/>
      <c r="CE1986" s="15"/>
      <c r="CF1986" s="15"/>
      <c r="CG1986" s="936"/>
      <c r="CH1986" s="15"/>
      <c r="CI1986" s="15"/>
      <c r="CJ1986" s="15"/>
      <c r="CK1986" s="1107"/>
      <c r="CL1986" s="22"/>
      <c r="CM1986" s="22"/>
      <c r="CN1986" s="1107"/>
      <c r="CR1986" s="223"/>
      <c r="CS1986" s="952"/>
      <c r="CT1986" s="1066"/>
      <c r="CU1986" s="972"/>
      <c r="CV1986" s="983"/>
      <c r="CW1986" s="222"/>
      <c r="CX1986" s="697"/>
      <c r="DC1986" s="222"/>
      <c r="DJ1986" s="889"/>
      <c r="DM1986" s="890"/>
      <c r="DN1986" s="952"/>
      <c r="DO1986" s="75"/>
      <c r="DP1986" s="962"/>
      <c r="DQ1986" s="983"/>
      <c r="DV1986" s="889"/>
    </row>
    <row r="1987" spans="1:126" s="74" customFormat="1">
      <c r="A1987" s="15"/>
      <c r="B1987" s="15"/>
      <c r="C1987" s="15"/>
      <c r="D1987" s="15"/>
      <c r="E1987" s="6"/>
      <c r="F1987" s="6"/>
      <c r="G1987" s="6"/>
      <c r="K1987" s="222"/>
      <c r="V1987" s="1430"/>
      <c r="AA1987" s="223"/>
      <c r="AC1987" s="889"/>
      <c r="AF1987" s="890"/>
      <c r="AJ1987" s="889"/>
      <c r="AN1987" s="222"/>
      <c r="BC1987" s="223"/>
      <c r="BD1987" s="222"/>
      <c r="BH1987" s="611"/>
      <c r="BJ1987" s="15"/>
      <c r="BK1987" s="15"/>
      <c r="BO1987" s="223"/>
      <c r="BQ1987" s="889"/>
      <c r="BT1987" s="890"/>
      <c r="BX1987" s="889"/>
      <c r="CB1987" s="15"/>
      <c r="CC1987" s="697"/>
      <c r="CD1987" s="1086"/>
      <c r="CE1987" s="15"/>
      <c r="CF1987" s="15"/>
      <c r="CG1987" s="936"/>
      <c r="CH1987" s="15"/>
      <c r="CI1987" s="15"/>
      <c r="CJ1987" s="15"/>
      <c r="CK1987" s="1107"/>
      <c r="CL1987" s="22"/>
      <c r="CM1987" s="22"/>
      <c r="CN1987" s="1107"/>
      <c r="CR1987" s="223"/>
      <c r="CS1987" s="952"/>
      <c r="CT1987" s="1066"/>
      <c r="CU1987" s="972"/>
      <c r="CV1987" s="983"/>
      <c r="CW1987" s="222"/>
      <c r="CX1987" s="697"/>
      <c r="DC1987" s="222"/>
      <c r="DJ1987" s="889"/>
      <c r="DM1987" s="890"/>
      <c r="DN1987" s="952"/>
      <c r="DO1987" s="75"/>
      <c r="DP1987" s="962"/>
      <c r="DQ1987" s="983"/>
      <c r="DV1987" s="889"/>
    </row>
    <row r="1988" spans="1:126" s="74" customFormat="1">
      <c r="A1988" s="15"/>
      <c r="B1988" s="15"/>
      <c r="C1988" s="15"/>
      <c r="D1988" s="15"/>
      <c r="E1988" s="6"/>
      <c r="F1988" s="6"/>
      <c r="G1988" s="6"/>
      <c r="K1988" s="222"/>
      <c r="V1988" s="1430"/>
      <c r="AA1988" s="223"/>
      <c r="AC1988" s="889"/>
      <c r="AF1988" s="890"/>
      <c r="AJ1988" s="889"/>
      <c r="AN1988" s="222"/>
      <c r="BC1988" s="223"/>
      <c r="BD1988" s="222"/>
      <c r="BH1988" s="611"/>
      <c r="BJ1988" s="15"/>
      <c r="BK1988" s="15"/>
      <c r="BO1988" s="223"/>
      <c r="BQ1988" s="889"/>
      <c r="BT1988" s="890"/>
      <c r="BX1988" s="889"/>
      <c r="CB1988" s="15"/>
      <c r="CC1988" s="697"/>
      <c r="CD1988" s="1086"/>
      <c r="CE1988" s="15"/>
      <c r="CF1988" s="15"/>
      <c r="CG1988" s="936"/>
      <c r="CH1988" s="15"/>
      <c r="CI1988" s="15"/>
      <c r="CJ1988" s="15"/>
      <c r="CK1988" s="1107"/>
      <c r="CL1988" s="22"/>
      <c r="CM1988" s="22"/>
      <c r="CN1988" s="1107"/>
      <c r="CR1988" s="223"/>
      <c r="CS1988" s="952"/>
      <c r="CT1988" s="1066"/>
      <c r="CU1988" s="972"/>
      <c r="CV1988" s="983"/>
      <c r="CW1988" s="222"/>
      <c r="CX1988" s="697"/>
      <c r="DC1988" s="222"/>
      <c r="DJ1988" s="889"/>
      <c r="DM1988" s="890"/>
      <c r="DN1988" s="952"/>
      <c r="DO1988" s="75"/>
      <c r="DP1988" s="962"/>
      <c r="DQ1988" s="983"/>
      <c r="DV1988" s="889"/>
    </row>
    <row r="1989" spans="1:126" s="74" customFormat="1">
      <c r="A1989" s="15"/>
      <c r="B1989" s="15"/>
      <c r="C1989" s="15"/>
      <c r="D1989" s="15"/>
      <c r="E1989" s="6"/>
      <c r="F1989" s="6"/>
      <c r="G1989" s="6"/>
      <c r="K1989" s="222"/>
      <c r="V1989" s="1430"/>
      <c r="AA1989" s="223"/>
      <c r="AC1989" s="889"/>
      <c r="AF1989" s="890"/>
      <c r="AJ1989" s="889"/>
      <c r="AN1989" s="222"/>
      <c r="BC1989" s="223"/>
      <c r="BD1989" s="222"/>
      <c r="BH1989" s="611"/>
      <c r="BJ1989" s="15"/>
      <c r="BK1989" s="15"/>
      <c r="BO1989" s="223"/>
      <c r="BQ1989" s="889"/>
      <c r="BT1989" s="890"/>
      <c r="BX1989" s="889"/>
      <c r="CB1989" s="15"/>
      <c r="CC1989" s="697"/>
      <c r="CD1989" s="1086"/>
      <c r="CE1989" s="15"/>
      <c r="CF1989" s="15"/>
      <c r="CG1989" s="936"/>
      <c r="CH1989" s="15"/>
      <c r="CI1989" s="15"/>
      <c r="CJ1989" s="15"/>
      <c r="CK1989" s="1107"/>
      <c r="CL1989" s="22"/>
      <c r="CM1989" s="22"/>
      <c r="CN1989" s="1107"/>
      <c r="CR1989" s="223"/>
      <c r="CS1989" s="952"/>
      <c r="CT1989" s="1066"/>
      <c r="CU1989" s="972"/>
      <c r="CV1989" s="983"/>
      <c r="CW1989" s="222"/>
      <c r="CX1989" s="697"/>
      <c r="DC1989" s="222"/>
      <c r="DJ1989" s="889"/>
      <c r="DM1989" s="890"/>
      <c r="DN1989" s="952"/>
      <c r="DO1989" s="75"/>
      <c r="DP1989" s="962"/>
      <c r="DQ1989" s="983"/>
      <c r="DV1989" s="889"/>
    </row>
    <row r="1990" spans="1:126" s="74" customFormat="1">
      <c r="A1990" s="15"/>
      <c r="B1990" s="15"/>
      <c r="C1990" s="15"/>
      <c r="D1990" s="15"/>
      <c r="E1990" s="6"/>
      <c r="F1990" s="6"/>
      <c r="G1990" s="6"/>
      <c r="K1990" s="222"/>
      <c r="V1990" s="1430"/>
      <c r="AA1990" s="223"/>
      <c r="AC1990" s="889"/>
      <c r="AF1990" s="890"/>
      <c r="AJ1990" s="889"/>
      <c r="AN1990" s="222"/>
      <c r="BC1990" s="223"/>
      <c r="BD1990" s="222"/>
      <c r="BH1990" s="611"/>
      <c r="BJ1990" s="15"/>
      <c r="BK1990" s="15"/>
      <c r="BO1990" s="223"/>
      <c r="BQ1990" s="889"/>
      <c r="BT1990" s="890"/>
      <c r="BX1990" s="889"/>
      <c r="CB1990" s="15"/>
      <c r="CC1990" s="697"/>
      <c r="CD1990" s="1086"/>
      <c r="CE1990" s="15"/>
      <c r="CF1990" s="15"/>
      <c r="CG1990" s="936"/>
      <c r="CH1990" s="15"/>
      <c r="CI1990" s="15"/>
      <c r="CJ1990" s="15"/>
      <c r="CK1990" s="1107"/>
      <c r="CL1990" s="22"/>
      <c r="CM1990" s="22"/>
      <c r="CN1990" s="1107"/>
      <c r="CR1990" s="223"/>
      <c r="CS1990" s="952"/>
      <c r="CT1990" s="1066"/>
      <c r="CU1990" s="972"/>
      <c r="CV1990" s="983"/>
      <c r="CW1990" s="222"/>
      <c r="CX1990" s="697"/>
      <c r="DC1990" s="222"/>
      <c r="DJ1990" s="889"/>
      <c r="DM1990" s="890"/>
      <c r="DN1990" s="952"/>
      <c r="DO1990" s="75"/>
      <c r="DP1990" s="962"/>
      <c r="DQ1990" s="983"/>
      <c r="DV1990" s="889"/>
    </row>
    <row r="1991" spans="1:126" s="74" customFormat="1">
      <c r="A1991" s="15"/>
      <c r="B1991" s="15"/>
      <c r="C1991" s="15"/>
      <c r="D1991" s="15"/>
      <c r="E1991" s="6"/>
      <c r="F1991" s="6"/>
      <c r="G1991" s="6"/>
      <c r="K1991" s="222"/>
      <c r="V1991" s="1430"/>
      <c r="AA1991" s="223"/>
      <c r="AC1991" s="889"/>
      <c r="AF1991" s="890"/>
      <c r="AJ1991" s="889"/>
      <c r="AN1991" s="222"/>
      <c r="BC1991" s="223"/>
      <c r="BD1991" s="222"/>
      <c r="BH1991" s="611"/>
      <c r="BJ1991" s="15"/>
      <c r="BK1991" s="15"/>
      <c r="BO1991" s="223"/>
      <c r="BQ1991" s="889"/>
      <c r="BT1991" s="890"/>
      <c r="BX1991" s="889"/>
      <c r="CB1991" s="15"/>
      <c r="CC1991" s="697"/>
      <c r="CD1991" s="1086"/>
      <c r="CE1991" s="15"/>
      <c r="CF1991" s="15"/>
      <c r="CG1991" s="936"/>
      <c r="CH1991" s="15"/>
      <c r="CI1991" s="15"/>
      <c r="CJ1991" s="15"/>
      <c r="CK1991" s="1107"/>
      <c r="CL1991" s="22"/>
      <c r="CM1991" s="22"/>
      <c r="CN1991" s="1107"/>
      <c r="CR1991" s="223"/>
      <c r="CS1991" s="952"/>
      <c r="CT1991" s="1066"/>
      <c r="CU1991" s="972"/>
      <c r="CV1991" s="983"/>
      <c r="CW1991" s="222"/>
      <c r="CX1991" s="697"/>
      <c r="DC1991" s="222"/>
      <c r="DJ1991" s="889"/>
      <c r="DM1991" s="890"/>
      <c r="DN1991" s="952"/>
      <c r="DO1991" s="75"/>
      <c r="DP1991" s="962"/>
      <c r="DQ1991" s="983"/>
      <c r="DV1991" s="889"/>
    </row>
    <row r="1992" spans="1:126" s="74" customFormat="1">
      <c r="A1992" s="15"/>
      <c r="B1992" s="15"/>
      <c r="C1992" s="15"/>
      <c r="D1992" s="15"/>
      <c r="E1992" s="6"/>
      <c r="F1992" s="6"/>
      <c r="G1992" s="6"/>
      <c r="K1992" s="222"/>
      <c r="V1992" s="1430"/>
      <c r="AA1992" s="223"/>
      <c r="AC1992" s="889"/>
      <c r="AF1992" s="890"/>
      <c r="AJ1992" s="889"/>
      <c r="AN1992" s="222"/>
      <c r="BC1992" s="223"/>
      <c r="BD1992" s="222"/>
      <c r="BH1992" s="611"/>
      <c r="BJ1992" s="15"/>
      <c r="BK1992" s="15"/>
      <c r="BO1992" s="223"/>
      <c r="BQ1992" s="889"/>
      <c r="BT1992" s="890"/>
      <c r="BX1992" s="889"/>
      <c r="CB1992" s="15"/>
      <c r="CC1992" s="697"/>
      <c r="CD1992" s="1086"/>
      <c r="CE1992" s="15"/>
      <c r="CF1992" s="15"/>
      <c r="CG1992" s="936"/>
      <c r="CH1992" s="15"/>
      <c r="CI1992" s="15"/>
      <c r="CJ1992" s="15"/>
      <c r="CK1992" s="1107"/>
      <c r="CL1992" s="22"/>
      <c r="CM1992" s="22"/>
      <c r="CN1992" s="1107"/>
      <c r="CR1992" s="223"/>
      <c r="CS1992" s="952"/>
      <c r="CT1992" s="1066"/>
      <c r="CU1992" s="972"/>
      <c r="CV1992" s="983"/>
      <c r="CW1992" s="222"/>
      <c r="CX1992" s="697"/>
      <c r="DC1992" s="222"/>
      <c r="DJ1992" s="889"/>
      <c r="DM1992" s="890"/>
      <c r="DN1992" s="952"/>
      <c r="DO1992" s="75"/>
      <c r="DP1992" s="962"/>
      <c r="DQ1992" s="983"/>
      <c r="DV1992" s="889"/>
    </row>
    <row r="1993" spans="1:126" s="74" customFormat="1">
      <c r="A1993" s="15"/>
      <c r="B1993" s="15"/>
      <c r="C1993" s="15"/>
      <c r="D1993" s="15"/>
      <c r="E1993" s="6"/>
      <c r="F1993" s="6"/>
      <c r="G1993" s="6"/>
      <c r="K1993" s="222"/>
      <c r="V1993" s="1430"/>
      <c r="AA1993" s="223"/>
      <c r="AC1993" s="889"/>
      <c r="AF1993" s="890"/>
      <c r="AJ1993" s="889"/>
      <c r="AN1993" s="222"/>
      <c r="BC1993" s="223"/>
      <c r="BD1993" s="222"/>
      <c r="BH1993" s="611"/>
      <c r="BJ1993" s="15"/>
      <c r="BK1993" s="15"/>
      <c r="BO1993" s="223"/>
      <c r="BQ1993" s="889"/>
      <c r="BT1993" s="890"/>
      <c r="BX1993" s="889"/>
      <c r="CB1993" s="15"/>
      <c r="CC1993" s="697"/>
      <c r="CD1993" s="1086"/>
      <c r="CE1993" s="15"/>
      <c r="CF1993" s="15"/>
      <c r="CG1993" s="936"/>
      <c r="CH1993" s="15"/>
      <c r="CI1993" s="15"/>
      <c r="CJ1993" s="15"/>
      <c r="CK1993" s="1107"/>
      <c r="CL1993" s="22"/>
      <c r="CM1993" s="22"/>
      <c r="CN1993" s="1107"/>
      <c r="CR1993" s="223"/>
      <c r="CS1993" s="952"/>
      <c r="CT1993" s="1066"/>
      <c r="CU1993" s="972"/>
      <c r="CV1993" s="983"/>
      <c r="CW1993" s="222"/>
      <c r="CX1993" s="697"/>
      <c r="DC1993" s="222"/>
      <c r="DJ1993" s="889"/>
      <c r="DM1993" s="890"/>
      <c r="DN1993" s="952"/>
      <c r="DO1993" s="75"/>
      <c r="DP1993" s="962"/>
      <c r="DQ1993" s="983"/>
      <c r="DV1993" s="889"/>
    </row>
    <row r="1994" spans="1:126" s="74" customFormat="1">
      <c r="A1994" s="15"/>
      <c r="B1994" s="15"/>
      <c r="C1994" s="15"/>
      <c r="D1994" s="15"/>
      <c r="E1994" s="6"/>
      <c r="F1994" s="6"/>
      <c r="G1994" s="6"/>
      <c r="K1994" s="222"/>
      <c r="V1994" s="1430"/>
      <c r="AA1994" s="223"/>
      <c r="AC1994" s="889"/>
      <c r="AF1994" s="890"/>
      <c r="AJ1994" s="889"/>
      <c r="AN1994" s="222"/>
      <c r="BC1994" s="223"/>
      <c r="BD1994" s="222"/>
      <c r="BH1994" s="611"/>
      <c r="BJ1994" s="15"/>
      <c r="BK1994" s="15"/>
      <c r="BO1994" s="223"/>
      <c r="BQ1994" s="889"/>
      <c r="BT1994" s="890"/>
      <c r="BX1994" s="889"/>
      <c r="CB1994" s="15"/>
      <c r="CC1994" s="697"/>
      <c r="CD1994" s="1086"/>
      <c r="CE1994" s="15"/>
      <c r="CF1994" s="15"/>
      <c r="CG1994" s="936"/>
      <c r="CH1994" s="15"/>
      <c r="CI1994" s="15"/>
      <c r="CJ1994" s="15"/>
      <c r="CK1994" s="1107"/>
      <c r="CL1994" s="22"/>
      <c r="CM1994" s="22"/>
      <c r="CN1994" s="1107"/>
      <c r="CR1994" s="223"/>
      <c r="CS1994" s="952"/>
      <c r="CT1994" s="1066"/>
      <c r="CU1994" s="972"/>
      <c r="CV1994" s="983"/>
      <c r="CW1994" s="222"/>
      <c r="CX1994" s="697"/>
      <c r="DC1994" s="222"/>
      <c r="DJ1994" s="889"/>
      <c r="DM1994" s="890"/>
      <c r="DN1994" s="952"/>
      <c r="DO1994" s="75"/>
      <c r="DP1994" s="962"/>
      <c r="DQ1994" s="983"/>
      <c r="DV1994" s="889"/>
    </row>
    <row r="1995" spans="1:126" s="74" customFormat="1">
      <c r="A1995" s="15"/>
      <c r="B1995" s="15"/>
      <c r="C1995" s="15"/>
      <c r="D1995" s="15"/>
      <c r="E1995" s="6"/>
      <c r="F1995" s="6"/>
      <c r="G1995" s="6"/>
      <c r="K1995" s="222"/>
      <c r="V1995" s="1430"/>
      <c r="AA1995" s="223"/>
      <c r="AC1995" s="889"/>
      <c r="AF1995" s="890"/>
      <c r="AJ1995" s="889"/>
      <c r="AN1995" s="222"/>
      <c r="BC1995" s="223"/>
      <c r="BD1995" s="222"/>
      <c r="BH1995" s="611"/>
      <c r="BJ1995" s="15"/>
      <c r="BK1995" s="15"/>
      <c r="BO1995" s="223"/>
      <c r="BQ1995" s="889"/>
      <c r="BT1995" s="890"/>
      <c r="BX1995" s="889"/>
      <c r="CB1995" s="15"/>
      <c r="CC1995" s="697"/>
      <c r="CD1995" s="1086"/>
      <c r="CE1995" s="15"/>
      <c r="CF1995" s="15"/>
      <c r="CG1995" s="936"/>
      <c r="CH1995" s="15"/>
      <c r="CI1995" s="15"/>
      <c r="CJ1995" s="15"/>
      <c r="CK1995" s="1107"/>
      <c r="CL1995" s="22"/>
      <c r="CM1995" s="22"/>
      <c r="CN1995" s="1107"/>
      <c r="CR1995" s="223"/>
      <c r="CS1995" s="952"/>
      <c r="CT1995" s="1066"/>
      <c r="CU1995" s="972"/>
      <c r="CV1995" s="983"/>
      <c r="CW1995" s="222"/>
      <c r="CX1995" s="697"/>
      <c r="DC1995" s="222"/>
      <c r="DJ1995" s="889"/>
      <c r="DM1995" s="890"/>
      <c r="DN1995" s="952"/>
      <c r="DO1995" s="75"/>
      <c r="DP1995" s="962"/>
      <c r="DQ1995" s="983"/>
      <c r="DV1995" s="889"/>
    </row>
    <row r="1996" spans="1:126" s="74" customFormat="1">
      <c r="A1996" s="15"/>
      <c r="B1996" s="15"/>
      <c r="C1996" s="15"/>
      <c r="D1996" s="15"/>
      <c r="E1996" s="6"/>
      <c r="F1996" s="6"/>
      <c r="G1996" s="6"/>
      <c r="K1996" s="222"/>
      <c r="V1996" s="1430"/>
      <c r="AA1996" s="223"/>
      <c r="AC1996" s="889"/>
      <c r="AF1996" s="890"/>
      <c r="AJ1996" s="889"/>
      <c r="AN1996" s="222"/>
      <c r="BC1996" s="223"/>
      <c r="BD1996" s="222"/>
      <c r="BH1996" s="611"/>
      <c r="BJ1996" s="15"/>
      <c r="BK1996" s="15"/>
      <c r="BO1996" s="223"/>
      <c r="BQ1996" s="889"/>
      <c r="BT1996" s="890"/>
      <c r="BX1996" s="889"/>
      <c r="CB1996" s="15"/>
      <c r="CC1996" s="697"/>
      <c r="CD1996" s="1086"/>
      <c r="CE1996" s="15"/>
      <c r="CF1996" s="15"/>
      <c r="CG1996" s="936"/>
      <c r="CH1996" s="15"/>
      <c r="CI1996" s="15"/>
      <c r="CJ1996" s="15"/>
      <c r="CK1996" s="1107"/>
      <c r="CL1996" s="22"/>
      <c r="CM1996" s="22"/>
      <c r="CN1996" s="1107"/>
      <c r="CR1996" s="223"/>
      <c r="CS1996" s="952"/>
      <c r="CT1996" s="1066"/>
      <c r="CU1996" s="972"/>
      <c r="CV1996" s="983"/>
      <c r="CW1996" s="222"/>
      <c r="CX1996" s="697"/>
      <c r="DC1996" s="222"/>
      <c r="DJ1996" s="889"/>
      <c r="DM1996" s="890"/>
      <c r="DN1996" s="952"/>
      <c r="DO1996" s="75"/>
      <c r="DP1996" s="962"/>
      <c r="DQ1996" s="983"/>
      <c r="DV1996" s="889"/>
    </row>
    <row r="1997" spans="1:126" s="74" customFormat="1">
      <c r="A1997" s="15"/>
      <c r="B1997" s="15"/>
      <c r="C1997" s="15"/>
      <c r="D1997" s="15"/>
      <c r="E1997" s="6"/>
      <c r="F1997" s="6"/>
      <c r="G1997" s="6"/>
      <c r="K1997" s="222"/>
      <c r="V1997" s="1430"/>
      <c r="AA1997" s="223"/>
      <c r="AC1997" s="889"/>
      <c r="AF1997" s="890"/>
      <c r="AJ1997" s="889"/>
      <c r="AN1997" s="222"/>
      <c r="BC1997" s="223"/>
      <c r="BD1997" s="222"/>
      <c r="BH1997" s="611"/>
      <c r="BJ1997" s="15"/>
      <c r="BK1997" s="15"/>
      <c r="BO1997" s="223"/>
      <c r="BQ1997" s="889"/>
      <c r="BT1997" s="890"/>
      <c r="BX1997" s="889"/>
      <c r="CB1997" s="15"/>
      <c r="CC1997" s="697"/>
      <c r="CD1997" s="1086"/>
      <c r="CE1997" s="15"/>
      <c r="CF1997" s="15"/>
      <c r="CG1997" s="936"/>
      <c r="CH1997" s="15"/>
      <c r="CI1997" s="15"/>
      <c r="CJ1997" s="15"/>
      <c r="CK1997" s="1107"/>
      <c r="CL1997" s="22"/>
      <c r="CM1997" s="22"/>
      <c r="CN1997" s="1107"/>
      <c r="CR1997" s="223"/>
      <c r="CS1997" s="952"/>
      <c r="CT1997" s="1066"/>
      <c r="CU1997" s="972"/>
      <c r="CV1997" s="983"/>
      <c r="CW1997" s="222"/>
      <c r="CX1997" s="697"/>
      <c r="DC1997" s="222"/>
      <c r="DJ1997" s="889"/>
      <c r="DM1997" s="890"/>
      <c r="DN1997" s="952"/>
      <c r="DO1997" s="75"/>
      <c r="DP1997" s="962"/>
      <c r="DQ1997" s="983"/>
      <c r="DV1997" s="889"/>
    </row>
    <row r="1998" spans="1:126" s="74" customFormat="1">
      <c r="A1998" s="15"/>
      <c r="B1998" s="15"/>
      <c r="C1998" s="15"/>
      <c r="D1998" s="15"/>
      <c r="E1998" s="6"/>
      <c r="F1998" s="6"/>
      <c r="G1998" s="6"/>
      <c r="K1998" s="222"/>
      <c r="V1998" s="1430"/>
      <c r="AA1998" s="223"/>
      <c r="AC1998" s="889"/>
      <c r="AF1998" s="890"/>
      <c r="AJ1998" s="889"/>
      <c r="AN1998" s="222"/>
      <c r="BC1998" s="223"/>
      <c r="BD1998" s="222"/>
      <c r="BH1998" s="611"/>
      <c r="BJ1998" s="15"/>
      <c r="BK1998" s="15"/>
      <c r="BO1998" s="223"/>
      <c r="BQ1998" s="889"/>
      <c r="BT1998" s="890"/>
      <c r="BX1998" s="889"/>
      <c r="CB1998" s="15"/>
      <c r="CC1998" s="697"/>
      <c r="CD1998" s="1086"/>
      <c r="CE1998" s="15"/>
      <c r="CF1998" s="15"/>
      <c r="CG1998" s="936"/>
      <c r="CH1998" s="15"/>
      <c r="CI1998" s="15"/>
      <c r="CJ1998" s="15"/>
      <c r="CK1998" s="1107"/>
      <c r="CL1998" s="22"/>
      <c r="CM1998" s="22"/>
      <c r="CN1998" s="1107"/>
      <c r="CR1998" s="223"/>
      <c r="CS1998" s="952"/>
      <c r="CT1998" s="1066"/>
      <c r="CU1998" s="972"/>
      <c r="CV1998" s="983"/>
      <c r="CW1998" s="222"/>
      <c r="CX1998" s="697"/>
      <c r="DC1998" s="222"/>
      <c r="DJ1998" s="889"/>
      <c r="DM1998" s="890"/>
      <c r="DN1998" s="952"/>
      <c r="DO1998" s="75"/>
      <c r="DP1998" s="962"/>
      <c r="DQ1998" s="983"/>
      <c r="DV1998" s="889"/>
    </row>
    <row r="1999" spans="1:126" s="74" customFormat="1">
      <c r="A1999" s="15"/>
      <c r="B1999" s="15"/>
      <c r="C1999" s="15"/>
      <c r="D1999" s="15"/>
      <c r="E1999" s="6"/>
      <c r="F1999" s="6"/>
      <c r="G1999" s="6"/>
      <c r="K1999" s="222"/>
      <c r="V1999" s="1430"/>
      <c r="AA1999" s="223"/>
      <c r="AC1999" s="889"/>
      <c r="AF1999" s="890"/>
      <c r="AJ1999" s="889"/>
      <c r="AN1999" s="222"/>
      <c r="BC1999" s="223"/>
      <c r="BD1999" s="222"/>
      <c r="BH1999" s="611"/>
      <c r="BJ1999" s="15"/>
      <c r="BK1999" s="15"/>
      <c r="BO1999" s="223"/>
      <c r="BQ1999" s="889"/>
      <c r="BT1999" s="890"/>
      <c r="BX1999" s="889"/>
      <c r="CB1999" s="15"/>
      <c r="CC1999" s="697"/>
      <c r="CD1999" s="1086"/>
      <c r="CE1999" s="15"/>
      <c r="CF1999" s="15"/>
      <c r="CG1999" s="936"/>
      <c r="CH1999" s="15"/>
      <c r="CI1999" s="15"/>
      <c r="CJ1999" s="15"/>
      <c r="CK1999" s="1107"/>
      <c r="CL1999" s="22"/>
      <c r="CM1999" s="22"/>
      <c r="CN1999" s="1107"/>
      <c r="CR1999" s="223"/>
      <c r="CS1999" s="952"/>
      <c r="CT1999" s="1066"/>
      <c r="CU1999" s="972"/>
      <c r="CV1999" s="983"/>
      <c r="CW1999" s="222"/>
      <c r="CX1999" s="697"/>
      <c r="DC1999" s="222"/>
      <c r="DJ1999" s="889"/>
      <c r="DM1999" s="890"/>
      <c r="DN1999" s="952"/>
      <c r="DO1999" s="75"/>
      <c r="DP1999" s="962"/>
      <c r="DQ1999" s="983"/>
      <c r="DV1999" s="889"/>
    </row>
    <row r="2000" spans="1:126" s="74" customFormat="1">
      <c r="A2000" s="15"/>
      <c r="B2000" s="15"/>
      <c r="C2000" s="15"/>
      <c r="D2000" s="15"/>
      <c r="E2000" s="6"/>
      <c r="F2000" s="6"/>
      <c r="G2000" s="6"/>
      <c r="K2000" s="222"/>
      <c r="V2000" s="1430"/>
      <c r="AA2000" s="223"/>
      <c r="AC2000" s="889"/>
      <c r="AF2000" s="890"/>
      <c r="AJ2000" s="889"/>
      <c r="AN2000" s="222"/>
      <c r="BC2000" s="223"/>
      <c r="BD2000" s="222"/>
      <c r="BH2000" s="611"/>
      <c r="BJ2000" s="15"/>
      <c r="BK2000" s="15"/>
      <c r="BO2000" s="223"/>
      <c r="BQ2000" s="889"/>
      <c r="BT2000" s="890"/>
      <c r="BX2000" s="889"/>
      <c r="CB2000" s="15"/>
      <c r="CC2000" s="697"/>
      <c r="CD2000" s="1086"/>
      <c r="CE2000" s="15"/>
      <c r="CF2000" s="15"/>
      <c r="CG2000" s="936"/>
      <c r="CH2000" s="15"/>
      <c r="CI2000" s="15"/>
      <c r="CJ2000" s="15"/>
      <c r="CK2000" s="1107"/>
      <c r="CL2000" s="22"/>
      <c r="CM2000" s="22"/>
      <c r="CN2000" s="1107"/>
      <c r="CR2000" s="223"/>
      <c r="CS2000" s="952"/>
      <c r="CT2000" s="1066"/>
      <c r="CU2000" s="972"/>
      <c r="CV2000" s="983"/>
      <c r="CW2000" s="222"/>
      <c r="CX2000" s="697"/>
      <c r="DC2000" s="222"/>
      <c r="DJ2000" s="889"/>
      <c r="DM2000" s="890"/>
      <c r="DN2000" s="952"/>
      <c r="DO2000" s="75"/>
      <c r="DP2000" s="962"/>
      <c r="DQ2000" s="983"/>
      <c r="DV2000" s="889"/>
    </row>
    <row r="2001" spans="1:126" s="74" customFormat="1">
      <c r="A2001" s="15"/>
      <c r="B2001" s="15"/>
      <c r="C2001" s="15"/>
      <c r="D2001" s="15"/>
      <c r="E2001" s="6"/>
      <c r="F2001" s="6"/>
      <c r="G2001" s="6"/>
      <c r="K2001" s="222"/>
      <c r="V2001" s="1430"/>
      <c r="AA2001" s="223"/>
      <c r="AC2001" s="889"/>
      <c r="AF2001" s="890"/>
      <c r="AJ2001" s="889"/>
      <c r="AN2001" s="222"/>
      <c r="BC2001" s="223"/>
      <c r="BD2001" s="222"/>
      <c r="BH2001" s="611"/>
      <c r="BJ2001" s="15"/>
      <c r="BK2001" s="15"/>
      <c r="BO2001" s="223"/>
      <c r="BQ2001" s="889"/>
      <c r="BT2001" s="890"/>
      <c r="BX2001" s="889"/>
      <c r="CB2001" s="15"/>
      <c r="CC2001" s="697"/>
      <c r="CD2001" s="1086"/>
      <c r="CE2001" s="15"/>
      <c r="CF2001" s="15"/>
      <c r="CG2001" s="936"/>
      <c r="CH2001" s="15"/>
      <c r="CI2001" s="15"/>
      <c r="CJ2001" s="15"/>
      <c r="CK2001" s="1107"/>
      <c r="CL2001" s="22"/>
      <c r="CM2001" s="22"/>
      <c r="CN2001" s="1107"/>
      <c r="CR2001" s="223"/>
      <c r="CS2001" s="952"/>
      <c r="CT2001" s="1066"/>
      <c r="CU2001" s="972"/>
      <c r="CV2001" s="983"/>
      <c r="CW2001" s="222"/>
      <c r="CX2001" s="697"/>
      <c r="DC2001" s="222"/>
      <c r="DJ2001" s="889"/>
      <c r="DM2001" s="890"/>
      <c r="DN2001" s="952"/>
      <c r="DO2001" s="75"/>
      <c r="DP2001" s="962"/>
      <c r="DQ2001" s="983"/>
      <c r="DV2001" s="889"/>
    </row>
    <row r="2002" spans="1:126" s="74" customFormat="1">
      <c r="A2002" s="15"/>
      <c r="B2002" s="15"/>
      <c r="C2002" s="15"/>
      <c r="D2002" s="15"/>
      <c r="E2002" s="6"/>
      <c r="F2002" s="6"/>
      <c r="G2002" s="6"/>
      <c r="K2002" s="222"/>
      <c r="V2002" s="1430"/>
      <c r="AA2002" s="223"/>
      <c r="AC2002" s="889"/>
      <c r="AF2002" s="890"/>
      <c r="AJ2002" s="889"/>
      <c r="AN2002" s="222"/>
      <c r="BC2002" s="223"/>
      <c r="BD2002" s="222"/>
      <c r="BH2002" s="611"/>
      <c r="BJ2002" s="15"/>
      <c r="BK2002" s="15"/>
      <c r="BO2002" s="223"/>
      <c r="BQ2002" s="889"/>
      <c r="BT2002" s="890"/>
      <c r="BX2002" s="889"/>
      <c r="CB2002" s="15"/>
      <c r="CC2002" s="697"/>
      <c r="CD2002" s="1086"/>
      <c r="CE2002" s="15"/>
      <c r="CF2002" s="15"/>
      <c r="CG2002" s="936"/>
      <c r="CH2002" s="15"/>
      <c r="CI2002" s="15"/>
      <c r="CJ2002" s="15"/>
      <c r="CK2002" s="1107"/>
      <c r="CL2002" s="22"/>
      <c r="CM2002" s="22"/>
      <c r="CN2002" s="1107"/>
      <c r="CR2002" s="223"/>
      <c r="CS2002" s="952"/>
      <c r="CT2002" s="1066"/>
      <c r="CU2002" s="972"/>
      <c r="CV2002" s="983"/>
      <c r="CW2002" s="222"/>
      <c r="CX2002" s="697"/>
      <c r="DC2002" s="222"/>
      <c r="DJ2002" s="889"/>
      <c r="DM2002" s="890"/>
      <c r="DN2002" s="952"/>
      <c r="DO2002" s="75"/>
      <c r="DP2002" s="962"/>
      <c r="DQ2002" s="983"/>
      <c r="DV2002" s="889"/>
    </row>
    <row r="2003" spans="1:126" s="74" customFormat="1">
      <c r="A2003" s="15"/>
      <c r="B2003" s="15"/>
      <c r="C2003" s="15"/>
      <c r="D2003" s="15"/>
      <c r="E2003" s="6"/>
      <c r="F2003" s="6"/>
      <c r="G2003" s="6"/>
      <c r="K2003" s="222"/>
      <c r="V2003" s="1430"/>
      <c r="AA2003" s="223"/>
      <c r="AC2003" s="889"/>
      <c r="AF2003" s="890"/>
      <c r="AJ2003" s="889"/>
      <c r="AN2003" s="222"/>
      <c r="BC2003" s="223"/>
      <c r="BD2003" s="222"/>
      <c r="BH2003" s="611"/>
      <c r="BJ2003" s="15"/>
      <c r="BK2003" s="15"/>
      <c r="BO2003" s="223"/>
      <c r="BQ2003" s="889"/>
      <c r="BT2003" s="890"/>
      <c r="BX2003" s="889"/>
      <c r="CB2003" s="15"/>
      <c r="CC2003" s="697"/>
      <c r="CD2003" s="1086"/>
      <c r="CE2003" s="15"/>
      <c r="CF2003" s="15"/>
      <c r="CG2003" s="936"/>
      <c r="CH2003" s="15"/>
      <c r="CI2003" s="15"/>
      <c r="CJ2003" s="15"/>
      <c r="CK2003" s="1107"/>
      <c r="CL2003" s="22"/>
      <c r="CM2003" s="22"/>
      <c r="CN2003" s="1107"/>
      <c r="CR2003" s="223"/>
      <c r="CS2003" s="952"/>
      <c r="CT2003" s="1066"/>
      <c r="CU2003" s="972"/>
      <c r="CV2003" s="983"/>
      <c r="CW2003" s="222"/>
      <c r="CX2003" s="697"/>
      <c r="DC2003" s="222"/>
      <c r="DJ2003" s="889"/>
      <c r="DM2003" s="890"/>
      <c r="DN2003" s="952"/>
      <c r="DO2003" s="75"/>
      <c r="DP2003" s="962"/>
      <c r="DQ2003" s="983"/>
      <c r="DV2003" s="889"/>
    </row>
    <row r="2004" spans="1:126" s="74" customFormat="1">
      <c r="A2004" s="15"/>
      <c r="B2004" s="15"/>
      <c r="C2004" s="15"/>
      <c r="D2004" s="15"/>
      <c r="E2004" s="6"/>
      <c r="F2004" s="6"/>
      <c r="G2004" s="6"/>
      <c r="K2004" s="222"/>
      <c r="V2004" s="1430"/>
      <c r="AA2004" s="223"/>
      <c r="AC2004" s="889"/>
      <c r="AF2004" s="890"/>
      <c r="AJ2004" s="889"/>
      <c r="AN2004" s="222"/>
      <c r="BC2004" s="223"/>
      <c r="BD2004" s="222"/>
      <c r="BH2004" s="611"/>
      <c r="BJ2004" s="15"/>
      <c r="BK2004" s="15"/>
      <c r="BO2004" s="223"/>
      <c r="BQ2004" s="889"/>
      <c r="BT2004" s="890"/>
      <c r="BX2004" s="889"/>
      <c r="CB2004" s="15"/>
      <c r="CC2004" s="697"/>
      <c r="CD2004" s="1086"/>
      <c r="CE2004" s="15"/>
      <c r="CF2004" s="15"/>
      <c r="CG2004" s="936"/>
      <c r="CH2004" s="15"/>
      <c r="CI2004" s="15"/>
      <c r="CJ2004" s="15"/>
      <c r="CK2004" s="1107"/>
      <c r="CL2004" s="22"/>
      <c r="CM2004" s="22"/>
      <c r="CN2004" s="1107"/>
      <c r="CR2004" s="223"/>
      <c r="CS2004" s="952"/>
      <c r="CT2004" s="1066"/>
      <c r="CU2004" s="972"/>
      <c r="CV2004" s="983"/>
      <c r="CW2004" s="222"/>
      <c r="CX2004" s="697"/>
      <c r="DC2004" s="222"/>
      <c r="DJ2004" s="889"/>
      <c r="DM2004" s="890"/>
      <c r="DN2004" s="952"/>
      <c r="DO2004" s="75"/>
      <c r="DP2004" s="962"/>
      <c r="DQ2004" s="983"/>
      <c r="DV2004" s="889"/>
    </row>
    <row r="2005" spans="1:126" s="74" customFormat="1">
      <c r="A2005" s="15"/>
      <c r="B2005" s="15"/>
      <c r="C2005" s="15"/>
      <c r="D2005" s="15"/>
      <c r="E2005" s="6"/>
      <c r="F2005" s="6"/>
      <c r="G2005" s="6"/>
      <c r="K2005" s="222"/>
      <c r="V2005" s="1430"/>
      <c r="AA2005" s="223"/>
      <c r="AC2005" s="889"/>
      <c r="AF2005" s="890"/>
      <c r="AJ2005" s="889"/>
      <c r="AN2005" s="222"/>
      <c r="BC2005" s="223"/>
      <c r="BD2005" s="222"/>
      <c r="BH2005" s="611"/>
      <c r="BJ2005" s="15"/>
      <c r="BK2005" s="15"/>
      <c r="BO2005" s="223"/>
      <c r="BQ2005" s="889"/>
      <c r="BT2005" s="890"/>
      <c r="BX2005" s="889"/>
      <c r="CB2005" s="15"/>
      <c r="CC2005" s="697"/>
      <c r="CD2005" s="1086"/>
      <c r="CE2005" s="15"/>
      <c r="CF2005" s="15"/>
      <c r="CG2005" s="936"/>
      <c r="CH2005" s="15"/>
      <c r="CI2005" s="15"/>
      <c r="CJ2005" s="15"/>
      <c r="CK2005" s="1107"/>
      <c r="CL2005" s="22"/>
      <c r="CM2005" s="22"/>
      <c r="CN2005" s="1107"/>
      <c r="CR2005" s="223"/>
      <c r="CS2005" s="952"/>
      <c r="CT2005" s="1066"/>
      <c r="CU2005" s="972"/>
      <c r="CV2005" s="983"/>
      <c r="CW2005" s="222"/>
      <c r="CX2005" s="697"/>
      <c r="DC2005" s="222"/>
      <c r="DJ2005" s="889"/>
      <c r="DM2005" s="890"/>
      <c r="DN2005" s="952"/>
      <c r="DO2005" s="75"/>
      <c r="DP2005" s="962"/>
      <c r="DQ2005" s="983"/>
      <c r="DV2005" s="889"/>
    </row>
    <row r="2006" spans="1:126" s="74" customFormat="1">
      <c r="A2006" s="15"/>
      <c r="B2006" s="15"/>
      <c r="C2006" s="15"/>
      <c r="D2006" s="15"/>
      <c r="E2006" s="6"/>
      <c r="F2006" s="6"/>
      <c r="G2006" s="6"/>
      <c r="K2006" s="222"/>
      <c r="V2006" s="1430"/>
      <c r="AA2006" s="223"/>
      <c r="AC2006" s="889"/>
      <c r="AF2006" s="890"/>
      <c r="AJ2006" s="889"/>
      <c r="AN2006" s="222"/>
      <c r="BC2006" s="223"/>
      <c r="BD2006" s="222"/>
      <c r="BH2006" s="611"/>
      <c r="BJ2006" s="15"/>
      <c r="BK2006" s="15"/>
      <c r="BO2006" s="223"/>
      <c r="BQ2006" s="889"/>
      <c r="BT2006" s="890"/>
      <c r="BX2006" s="889"/>
      <c r="CB2006" s="15"/>
      <c r="CC2006" s="697"/>
      <c r="CD2006" s="1086"/>
      <c r="CE2006" s="15"/>
      <c r="CF2006" s="15"/>
      <c r="CG2006" s="936"/>
      <c r="CH2006" s="15"/>
      <c r="CI2006" s="15"/>
      <c r="CJ2006" s="15"/>
      <c r="CK2006" s="1107"/>
      <c r="CL2006" s="22"/>
      <c r="CM2006" s="22"/>
      <c r="CN2006" s="1107"/>
      <c r="CR2006" s="223"/>
      <c r="CS2006" s="952"/>
      <c r="CT2006" s="1066"/>
      <c r="CU2006" s="972"/>
      <c r="CV2006" s="983"/>
      <c r="CW2006" s="222"/>
      <c r="CX2006" s="697"/>
      <c r="DC2006" s="222"/>
      <c r="DJ2006" s="889"/>
      <c r="DM2006" s="890"/>
      <c r="DN2006" s="952"/>
      <c r="DO2006" s="75"/>
      <c r="DP2006" s="962"/>
      <c r="DQ2006" s="983"/>
      <c r="DV2006" s="889"/>
    </row>
    <row r="2007" spans="1:126" s="74" customFormat="1">
      <c r="A2007" s="15"/>
      <c r="B2007" s="15"/>
      <c r="C2007" s="15"/>
      <c r="D2007" s="15"/>
      <c r="E2007" s="6"/>
      <c r="F2007" s="6"/>
      <c r="G2007" s="6"/>
      <c r="K2007" s="222"/>
      <c r="V2007" s="1430"/>
      <c r="AA2007" s="223"/>
      <c r="AC2007" s="889"/>
      <c r="AF2007" s="890"/>
      <c r="AJ2007" s="889"/>
      <c r="AN2007" s="222"/>
      <c r="BC2007" s="223"/>
      <c r="BD2007" s="222"/>
      <c r="BH2007" s="611"/>
      <c r="BJ2007" s="15"/>
      <c r="BK2007" s="15"/>
      <c r="BO2007" s="223"/>
      <c r="BQ2007" s="889"/>
      <c r="BT2007" s="890"/>
      <c r="BX2007" s="889"/>
      <c r="CB2007" s="15"/>
      <c r="CC2007" s="697"/>
      <c r="CD2007" s="1086"/>
      <c r="CE2007" s="15"/>
      <c r="CF2007" s="15"/>
      <c r="CG2007" s="936"/>
      <c r="CH2007" s="15"/>
      <c r="CI2007" s="15"/>
      <c r="CJ2007" s="15"/>
      <c r="CK2007" s="1107"/>
      <c r="CL2007" s="22"/>
      <c r="CM2007" s="22"/>
      <c r="CN2007" s="1107"/>
      <c r="CR2007" s="223"/>
      <c r="CS2007" s="952"/>
      <c r="CT2007" s="1066"/>
      <c r="CU2007" s="972"/>
      <c r="CV2007" s="983"/>
      <c r="CW2007" s="222"/>
      <c r="CX2007" s="697"/>
      <c r="DC2007" s="222"/>
      <c r="DJ2007" s="889"/>
      <c r="DM2007" s="890"/>
      <c r="DN2007" s="952"/>
      <c r="DO2007" s="75"/>
      <c r="DP2007" s="962"/>
      <c r="DQ2007" s="983"/>
      <c r="DV2007" s="889"/>
    </row>
    <row r="2008" spans="1:126" s="74" customFormat="1">
      <c r="A2008" s="15"/>
      <c r="B2008" s="15"/>
      <c r="C2008" s="15"/>
      <c r="D2008" s="15"/>
      <c r="E2008" s="6"/>
      <c r="F2008" s="6"/>
      <c r="G2008" s="6"/>
      <c r="K2008" s="222"/>
      <c r="V2008" s="1430"/>
      <c r="AA2008" s="223"/>
      <c r="AC2008" s="889"/>
      <c r="AF2008" s="890"/>
      <c r="AJ2008" s="889"/>
      <c r="AN2008" s="222"/>
      <c r="BC2008" s="223"/>
      <c r="BD2008" s="222"/>
      <c r="BH2008" s="611"/>
      <c r="BJ2008" s="15"/>
      <c r="BK2008" s="15"/>
      <c r="BO2008" s="223"/>
      <c r="BQ2008" s="889"/>
      <c r="BT2008" s="890"/>
      <c r="BX2008" s="889"/>
      <c r="CB2008" s="15"/>
      <c r="CC2008" s="697"/>
      <c r="CD2008" s="1086"/>
      <c r="CE2008" s="15"/>
      <c r="CF2008" s="15"/>
      <c r="CG2008" s="936"/>
      <c r="CH2008" s="15"/>
      <c r="CI2008" s="15"/>
      <c r="CJ2008" s="15"/>
      <c r="CK2008" s="1107"/>
      <c r="CL2008" s="22"/>
      <c r="CM2008" s="22"/>
      <c r="CN2008" s="1107"/>
      <c r="CR2008" s="223"/>
      <c r="CS2008" s="952"/>
      <c r="CT2008" s="1066"/>
      <c r="CU2008" s="972"/>
      <c r="CV2008" s="983"/>
      <c r="CW2008" s="222"/>
      <c r="CX2008" s="697"/>
      <c r="DC2008" s="222"/>
      <c r="DJ2008" s="889"/>
      <c r="DM2008" s="890"/>
      <c r="DN2008" s="952"/>
      <c r="DO2008" s="75"/>
      <c r="DP2008" s="962"/>
      <c r="DQ2008" s="983"/>
      <c r="DV2008" s="889"/>
    </row>
    <row r="2009" spans="1:126" s="74" customFormat="1">
      <c r="A2009" s="15"/>
      <c r="B2009" s="15"/>
      <c r="C2009" s="15"/>
      <c r="D2009" s="15"/>
      <c r="E2009" s="6"/>
      <c r="F2009" s="6"/>
      <c r="G2009" s="6"/>
      <c r="K2009" s="222"/>
      <c r="V2009" s="1430"/>
      <c r="AA2009" s="223"/>
      <c r="AC2009" s="889"/>
      <c r="AF2009" s="890"/>
      <c r="AJ2009" s="889"/>
      <c r="AN2009" s="222"/>
      <c r="BC2009" s="223"/>
      <c r="BD2009" s="222"/>
      <c r="BH2009" s="611"/>
      <c r="BJ2009" s="15"/>
      <c r="BK2009" s="15"/>
      <c r="BO2009" s="223"/>
      <c r="BQ2009" s="889"/>
      <c r="BT2009" s="890"/>
      <c r="BX2009" s="889"/>
      <c r="CB2009" s="15"/>
      <c r="CC2009" s="697"/>
      <c r="CD2009" s="1086"/>
      <c r="CE2009" s="15"/>
      <c r="CF2009" s="15"/>
      <c r="CG2009" s="936"/>
      <c r="CH2009" s="15"/>
      <c r="CI2009" s="15"/>
      <c r="CJ2009" s="15"/>
      <c r="CK2009" s="1107"/>
      <c r="CL2009" s="22"/>
      <c r="CM2009" s="22"/>
      <c r="CN2009" s="1107"/>
      <c r="CR2009" s="223"/>
      <c r="CS2009" s="952"/>
      <c r="CT2009" s="1066"/>
      <c r="CU2009" s="972"/>
      <c r="CV2009" s="983"/>
      <c r="CW2009" s="222"/>
      <c r="CX2009" s="697"/>
      <c r="DC2009" s="222"/>
      <c r="DJ2009" s="889"/>
      <c r="DM2009" s="890"/>
      <c r="DN2009" s="952"/>
      <c r="DO2009" s="75"/>
      <c r="DP2009" s="962"/>
      <c r="DQ2009" s="983"/>
      <c r="DV2009" s="889"/>
    </row>
    <row r="2010" spans="1:126" s="74" customFormat="1">
      <c r="A2010" s="15"/>
      <c r="B2010" s="15"/>
      <c r="C2010" s="15"/>
      <c r="D2010" s="15"/>
      <c r="E2010" s="6"/>
      <c r="F2010" s="6"/>
      <c r="G2010" s="6"/>
      <c r="K2010" s="222"/>
      <c r="V2010" s="1430"/>
      <c r="AA2010" s="223"/>
      <c r="AC2010" s="889"/>
      <c r="AF2010" s="890"/>
      <c r="AJ2010" s="889"/>
      <c r="AN2010" s="222"/>
      <c r="BC2010" s="223"/>
      <c r="BD2010" s="222"/>
      <c r="BH2010" s="611"/>
      <c r="BJ2010" s="15"/>
      <c r="BK2010" s="15"/>
      <c r="BO2010" s="223"/>
      <c r="BQ2010" s="889"/>
      <c r="BT2010" s="890"/>
      <c r="BX2010" s="889"/>
      <c r="CB2010" s="15"/>
      <c r="CC2010" s="697"/>
      <c r="CD2010" s="1086"/>
      <c r="CE2010" s="15"/>
      <c r="CF2010" s="15"/>
      <c r="CG2010" s="936"/>
      <c r="CH2010" s="15"/>
      <c r="CI2010" s="15"/>
      <c r="CJ2010" s="15"/>
      <c r="CK2010" s="1107"/>
      <c r="CL2010" s="22"/>
      <c r="CM2010" s="22"/>
      <c r="CN2010" s="1107"/>
      <c r="CR2010" s="223"/>
      <c r="CS2010" s="952"/>
      <c r="CT2010" s="1066"/>
      <c r="CU2010" s="972"/>
      <c r="CV2010" s="983"/>
      <c r="CW2010" s="222"/>
      <c r="CX2010" s="697"/>
      <c r="DC2010" s="222"/>
      <c r="DJ2010" s="889"/>
      <c r="DM2010" s="890"/>
      <c r="DN2010" s="952"/>
      <c r="DO2010" s="75"/>
      <c r="DP2010" s="962"/>
      <c r="DQ2010" s="983"/>
      <c r="DV2010" s="889"/>
    </row>
    <row r="2011" spans="1:126" s="74" customFormat="1">
      <c r="A2011" s="15"/>
      <c r="B2011" s="15"/>
      <c r="C2011" s="15"/>
      <c r="D2011" s="15"/>
      <c r="E2011" s="6"/>
      <c r="F2011" s="6"/>
      <c r="G2011" s="6"/>
      <c r="K2011" s="222"/>
      <c r="V2011" s="1430"/>
      <c r="AA2011" s="223"/>
      <c r="AC2011" s="889"/>
      <c r="AF2011" s="890"/>
      <c r="AJ2011" s="889"/>
      <c r="AN2011" s="222"/>
      <c r="BC2011" s="223"/>
      <c r="BD2011" s="222"/>
      <c r="BH2011" s="611"/>
      <c r="BJ2011" s="15"/>
      <c r="BK2011" s="15"/>
      <c r="BO2011" s="223"/>
      <c r="BQ2011" s="889"/>
      <c r="BT2011" s="890"/>
      <c r="BX2011" s="889"/>
      <c r="CB2011" s="15"/>
      <c r="CC2011" s="697"/>
      <c r="CD2011" s="1086"/>
      <c r="CE2011" s="15"/>
      <c r="CF2011" s="15"/>
      <c r="CG2011" s="936"/>
      <c r="CH2011" s="15"/>
      <c r="CI2011" s="15"/>
      <c r="CJ2011" s="15"/>
      <c r="CK2011" s="1107"/>
      <c r="CL2011" s="22"/>
      <c r="CM2011" s="22"/>
      <c r="CN2011" s="1107"/>
      <c r="CR2011" s="223"/>
      <c r="CS2011" s="952"/>
      <c r="CT2011" s="1066"/>
      <c r="CU2011" s="972"/>
      <c r="CV2011" s="983"/>
      <c r="CW2011" s="222"/>
      <c r="CX2011" s="697"/>
      <c r="DC2011" s="222"/>
      <c r="DJ2011" s="889"/>
      <c r="DM2011" s="890"/>
      <c r="DN2011" s="952"/>
      <c r="DO2011" s="75"/>
      <c r="DP2011" s="962"/>
      <c r="DQ2011" s="983"/>
      <c r="DV2011" s="889"/>
    </row>
    <row r="2012" spans="1:126" s="74" customFormat="1">
      <c r="A2012" s="15"/>
      <c r="B2012" s="15"/>
      <c r="C2012" s="15"/>
      <c r="D2012" s="15"/>
      <c r="E2012" s="6"/>
      <c r="F2012" s="6"/>
      <c r="G2012" s="6"/>
      <c r="K2012" s="222"/>
      <c r="V2012" s="1430"/>
      <c r="AA2012" s="223"/>
      <c r="AC2012" s="889"/>
      <c r="AF2012" s="890"/>
      <c r="AJ2012" s="889"/>
      <c r="AN2012" s="222"/>
      <c r="BC2012" s="223"/>
      <c r="BD2012" s="222"/>
      <c r="BH2012" s="611"/>
      <c r="BJ2012" s="15"/>
      <c r="BK2012" s="15"/>
      <c r="BO2012" s="223"/>
      <c r="BQ2012" s="889"/>
      <c r="BT2012" s="890"/>
      <c r="BX2012" s="889"/>
      <c r="CB2012" s="15"/>
      <c r="CC2012" s="697"/>
      <c r="CD2012" s="1086"/>
      <c r="CE2012" s="15"/>
      <c r="CF2012" s="15"/>
      <c r="CG2012" s="936"/>
      <c r="CH2012" s="15"/>
      <c r="CI2012" s="15"/>
      <c r="CJ2012" s="15"/>
      <c r="CK2012" s="1107"/>
      <c r="CL2012" s="22"/>
      <c r="CM2012" s="22"/>
      <c r="CN2012" s="1107"/>
      <c r="CR2012" s="223"/>
      <c r="CS2012" s="952"/>
      <c r="CT2012" s="1066"/>
      <c r="CU2012" s="972"/>
      <c r="CV2012" s="983"/>
      <c r="CW2012" s="222"/>
      <c r="CX2012" s="697"/>
      <c r="DC2012" s="222"/>
      <c r="DJ2012" s="889"/>
      <c r="DM2012" s="890"/>
      <c r="DN2012" s="952"/>
      <c r="DO2012" s="75"/>
      <c r="DP2012" s="962"/>
      <c r="DQ2012" s="983"/>
      <c r="DV2012" s="889"/>
    </row>
    <row r="2013" spans="1:126" s="74" customFormat="1">
      <c r="A2013" s="15"/>
      <c r="B2013" s="15"/>
      <c r="C2013" s="15"/>
      <c r="D2013" s="15"/>
      <c r="E2013" s="6"/>
      <c r="F2013" s="6"/>
      <c r="G2013" s="6"/>
      <c r="K2013" s="222"/>
      <c r="V2013" s="1430"/>
      <c r="AA2013" s="223"/>
      <c r="AC2013" s="889"/>
      <c r="AF2013" s="890"/>
      <c r="AJ2013" s="889"/>
      <c r="AN2013" s="222"/>
      <c r="BC2013" s="223"/>
      <c r="BD2013" s="222"/>
      <c r="BH2013" s="611"/>
      <c r="BJ2013" s="15"/>
      <c r="BK2013" s="15"/>
      <c r="BO2013" s="223"/>
      <c r="BQ2013" s="889"/>
      <c r="BT2013" s="890"/>
      <c r="BX2013" s="889"/>
      <c r="CB2013" s="15"/>
      <c r="CC2013" s="697"/>
      <c r="CD2013" s="1086"/>
      <c r="CE2013" s="15"/>
      <c r="CF2013" s="15"/>
      <c r="CG2013" s="936"/>
      <c r="CH2013" s="15"/>
      <c r="CI2013" s="15"/>
      <c r="CJ2013" s="15"/>
      <c r="CK2013" s="1107"/>
      <c r="CL2013" s="22"/>
      <c r="CM2013" s="22"/>
      <c r="CN2013" s="1107"/>
      <c r="CR2013" s="223"/>
      <c r="CS2013" s="952"/>
      <c r="CT2013" s="1066"/>
      <c r="CU2013" s="972"/>
      <c r="CV2013" s="983"/>
      <c r="CW2013" s="222"/>
      <c r="CX2013" s="697"/>
      <c r="DC2013" s="222"/>
      <c r="DJ2013" s="889"/>
      <c r="DM2013" s="890"/>
      <c r="DN2013" s="952"/>
      <c r="DO2013" s="75"/>
      <c r="DP2013" s="962"/>
      <c r="DQ2013" s="983"/>
      <c r="DV2013" s="889"/>
    </row>
    <row r="2014" spans="1:126" s="74" customFormat="1">
      <c r="A2014" s="15"/>
      <c r="B2014" s="15"/>
      <c r="C2014" s="15"/>
      <c r="D2014" s="15"/>
      <c r="E2014" s="6"/>
      <c r="F2014" s="6"/>
      <c r="G2014" s="6"/>
      <c r="K2014" s="222"/>
      <c r="V2014" s="1430"/>
      <c r="AA2014" s="223"/>
      <c r="AC2014" s="889"/>
      <c r="AF2014" s="890"/>
      <c r="AJ2014" s="889"/>
      <c r="AN2014" s="222"/>
      <c r="BC2014" s="223"/>
      <c r="BD2014" s="222"/>
      <c r="BH2014" s="611"/>
      <c r="BJ2014" s="15"/>
      <c r="BK2014" s="15"/>
      <c r="BO2014" s="223"/>
      <c r="BQ2014" s="889"/>
      <c r="BT2014" s="890"/>
      <c r="BX2014" s="889"/>
      <c r="CB2014" s="15"/>
      <c r="CC2014" s="697"/>
      <c r="CD2014" s="1086"/>
      <c r="CE2014" s="15"/>
      <c r="CF2014" s="15"/>
      <c r="CG2014" s="936"/>
      <c r="CH2014" s="15"/>
      <c r="CI2014" s="15"/>
      <c r="CJ2014" s="15"/>
      <c r="CK2014" s="1107"/>
      <c r="CL2014" s="22"/>
      <c r="CM2014" s="22"/>
      <c r="CN2014" s="1107"/>
      <c r="CR2014" s="223"/>
      <c r="CS2014" s="952"/>
      <c r="CT2014" s="1066"/>
      <c r="CU2014" s="972"/>
      <c r="CV2014" s="983"/>
      <c r="CW2014" s="222"/>
      <c r="CX2014" s="697"/>
      <c r="DC2014" s="222"/>
      <c r="DJ2014" s="889"/>
      <c r="DM2014" s="890"/>
      <c r="DN2014" s="952"/>
      <c r="DO2014" s="75"/>
      <c r="DP2014" s="962"/>
      <c r="DQ2014" s="983"/>
      <c r="DV2014" s="889"/>
    </row>
    <row r="2015" spans="1:126" s="74" customFormat="1">
      <c r="A2015" s="15"/>
      <c r="B2015" s="15"/>
      <c r="C2015" s="15"/>
      <c r="D2015" s="15"/>
      <c r="E2015" s="6"/>
      <c r="F2015" s="6"/>
      <c r="G2015" s="6"/>
      <c r="K2015" s="222"/>
      <c r="V2015" s="1430"/>
      <c r="AA2015" s="223"/>
      <c r="AC2015" s="889"/>
      <c r="AF2015" s="890"/>
      <c r="AJ2015" s="889"/>
      <c r="AN2015" s="222"/>
      <c r="BC2015" s="223"/>
      <c r="BD2015" s="222"/>
      <c r="BH2015" s="611"/>
      <c r="BJ2015" s="15"/>
      <c r="BK2015" s="15"/>
      <c r="BO2015" s="223"/>
      <c r="BQ2015" s="889"/>
      <c r="BT2015" s="890"/>
      <c r="BX2015" s="889"/>
      <c r="CB2015" s="15"/>
      <c r="CC2015" s="697"/>
      <c r="CD2015" s="1086"/>
      <c r="CE2015" s="15"/>
      <c r="CF2015" s="15"/>
      <c r="CG2015" s="936"/>
      <c r="CH2015" s="15"/>
      <c r="CI2015" s="15"/>
      <c r="CJ2015" s="15"/>
      <c r="CK2015" s="1107"/>
      <c r="CL2015" s="22"/>
      <c r="CM2015" s="22"/>
      <c r="CN2015" s="1107"/>
      <c r="CR2015" s="223"/>
      <c r="CS2015" s="952"/>
      <c r="CT2015" s="1066"/>
      <c r="CU2015" s="972"/>
      <c r="CV2015" s="983"/>
      <c r="CW2015" s="222"/>
      <c r="CX2015" s="697"/>
      <c r="DC2015" s="222"/>
      <c r="DJ2015" s="889"/>
      <c r="DM2015" s="890"/>
      <c r="DN2015" s="952"/>
      <c r="DO2015" s="75"/>
      <c r="DP2015" s="962"/>
      <c r="DQ2015" s="983"/>
      <c r="DV2015" s="889"/>
    </row>
    <row r="2016" spans="1:126" s="74" customFormat="1">
      <c r="A2016" s="15"/>
      <c r="B2016" s="15"/>
      <c r="C2016" s="15"/>
      <c r="D2016" s="15"/>
      <c r="E2016" s="6"/>
      <c r="F2016" s="6"/>
      <c r="G2016" s="6"/>
      <c r="K2016" s="222"/>
      <c r="V2016" s="1430"/>
      <c r="AA2016" s="223"/>
      <c r="AC2016" s="889"/>
      <c r="AF2016" s="890"/>
      <c r="AJ2016" s="889"/>
      <c r="AN2016" s="222"/>
      <c r="BC2016" s="223"/>
      <c r="BD2016" s="222"/>
      <c r="BH2016" s="611"/>
      <c r="BJ2016" s="15"/>
      <c r="BK2016" s="15"/>
      <c r="BO2016" s="223"/>
      <c r="BQ2016" s="889"/>
      <c r="BT2016" s="890"/>
      <c r="BX2016" s="889"/>
      <c r="CB2016" s="15"/>
      <c r="CC2016" s="697"/>
      <c r="CD2016" s="1086"/>
      <c r="CE2016" s="15"/>
      <c r="CF2016" s="15"/>
      <c r="CG2016" s="936"/>
      <c r="CH2016" s="15"/>
      <c r="CI2016" s="15"/>
      <c r="CJ2016" s="15"/>
      <c r="CK2016" s="1107"/>
      <c r="CL2016" s="22"/>
      <c r="CM2016" s="22"/>
      <c r="CN2016" s="1107"/>
      <c r="CR2016" s="223"/>
      <c r="CS2016" s="952"/>
      <c r="CT2016" s="1066"/>
      <c r="CU2016" s="972"/>
      <c r="CV2016" s="983"/>
      <c r="CW2016" s="222"/>
      <c r="CX2016" s="697"/>
      <c r="DC2016" s="222"/>
      <c r="DJ2016" s="889"/>
      <c r="DM2016" s="890"/>
      <c r="DN2016" s="952"/>
      <c r="DO2016" s="75"/>
      <c r="DP2016" s="962"/>
      <c r="DQ2016" s="983"/>
      <c r="DV2016" s="889"/>
    </row>
    <row r="2017" spans="1:126" s="74" customFormat="1">
      <c r="A2017" s="15"/>
      <c r="B2017" s="15"/>
      <c r="C2017" s="15"/>
      <c r="D2017" s="15"/>
      <c r="E2017" s="6"/>
      <c r="F2017" s="6"/>
      <c r="G2017" s="6"/>
      <c r="K2017" s="222"/>
      <c r="V2017" s="1430"/>
      <c r="AA2017" s="223"/>
      <c r="AC2017" s="889"/>
      <c r="AF2017" s="890"/>
      <c r="AJ2017" s="889"/>
      <c r="AN2017" s="222"/>
      <c r="BC2017" s="223"/>
      <c r="BD2017" s="222"/>
      <c r="BH2017" s="611"/>
      <c r="BJ2017" s="15"/>
      <c r="BK2017" s="15"/>
      <c r="BO2017" s="223"/>
      <c r="BQ2017" s="889"/>
      <c r="BT2017" s="890"/>
      <c r="BX2017" s="889"/>
      <c r="CB2017" s="15"/>
      <c r="CC2017" s="697"/>
      <c r="CD2017" s="1086"/>
      <c r="CE2017" s="15"/>
      <c r="CF2017" s="15"/>
      <c r="CG2017" s="936"/>
      <c r="CH2017" s="15"/>
      <c r="CI2017" s="15"/>
      <c r="CJ2017" s="15"/>
      <c r="CK2017" s="1107"/>
      <c r="CL2017" s="22"/>
      <c r="CM2017" s="22"/>
      <c r="CN2017" s="1107"/>
      <c r="CR2017" s="223"/>
      <c r="CS2017" s="952"/>
      <c r="CT2017" s="1066"/>
      <c r="CU2017" s="972"/>
      <c r="CV2017" s="983"/>
      <c r="CW2017" s="222"/>
      <c r="CX2017" s="697"/>
      <c r="DC2017" s="222"/>
      <c r="DJ2017" s="889"/>
      <c r="DM2017" s="890"/>
      <c r="DN2017" s="952"/>
      <c r="DO2017" s="75"/>
      <c r="DP2017" s="962"/>
      <c r="DQ2017" s="983"/>
      <c r="DV2017" s="889"/>
    </row>
    <row r="2018" spans="1:126" s="74" customFormat="1">
      <c r="A2018" s="15"/>
      <c r="B2018" s="15"/>
      <c r="C2018" s="15"/>
      <c r="D2018" s="15"/>
      <c r="E2018" s="6"/>
      <c r="F2018" s="6"/>
      <c r="G2018" s="6"/>
      <c r="K2018" s="222"/>
      <c r="V2018" s="1430"/>
      <c r="AA2018" s="223"/>
      <c r="AC2018" s="889"/>
      <c r="AF2018" s="890"/>
      <c r="AJ2018" s="889"/>
      <c r="AN2018" s="222"/>
      <c r="BC2018" s="223"/>
      <c r="BD2018" s="222"/>
      <c r="BH2018" s="611"/>
      <c r="BJ2018" s="15"/>
      <c r="BK2018" s="15"/>
      <c r="BO2018" s="223"/>
      <c r="BQ2018" s="889"/>
      <c r="BT2018" s="890"/>
      <c r="BX2018" s="889"/>
      <c r="CB2018" s="15"/>
      <c r="CC2018" s="697"/>
      <c r="CD2018" s="1086"/>
      <c r="CE2018" s="15"/>
      <c r="CF2018" s="15"/>
      <c r="CG2018" s="936"/>
      <c r="CH2018" s="15"/>
      <c r="CI2018" s="15"/>
      <c r="CJ2018" s="15"/>
      <c r="CK2018" s="1107"/>
      <c r="CL2018" s="22"/>
      <c r="CM2018" s="22"/>
      <c r="CN2018" s="1107"/>
      <c r="CR2018" s="223"/>
      <c r="CS2018" s="952"/>
      <c r="CT2018" s="1066"/>
      <c r="CU2018" s="972"/>
      <c r="CV2018" s="983"/>
      <c r="CW2018" s="222"/>
      <c r="CX2018" s="697"/>
      <c r="DC2018" s="222"/>
      <c r="DJ2018" s="889"/>
      <c r="DM2018" s="890"/>
      <c r="DN2018" s="952"/>
      <c r="DO2018" s="75"/>
      <c r="DP2018" s="962"/>
      <c r="DQ2018" s="983"/>
      <c r="DV2018" s="889"/>
    </row>
    <row r="2019" spans="1:126" s="74" customFormat="1">
      <c r="A2019" s="15"/>
      <c r="B2019" s="15"/>
      <c r="C2019" s="15"/>
      <c r="D2019" s="15"/>
      <c r="E2019" s="6"/>
      <c r="F2019" s="6"/>
      <c r="G2019" s="6"/>
      <c r="K2019" s="222"/>
      <c r="V2019" s="1430"/>
      <c r="AA2019" s="223"/>
      <c r="AC2019" s="889"/>
      <c r="AF2019" s="890"/>
      <c r="AJ2019" s="889"/>
      <c r="AN2019" s="222"/>
      <c r="BC2019" s="223"/>
      <c r="BD2019" s="222"/>
      <c r="BH2019" s="611"/>
      <c r="BJ2019" s="15"/>
      <c r="BK2019" s="15"/>
      <c r="BO2019" s="223"/>
      <c r="BQ2019" s="889"/>
      <c r="BT2019" s="890"/>
      <c r="BX2019" s="889"/>
      <c r="CB2019" s="15"/>
      <c r="CC2019" s="697"/>
      <c r="CD2019" s="1086"/>
      <c r="CE2019" s="15"/>
      <c r="CF2019" s="15"/>
      <c r="CG2019" s="936"/>
      <c r="CH2019" s="15"/>
      <c r="CI2019" s="15"/>
      <c r="CJ2019" s="15"/>
      <c r="CK2019" s="1107"/>
      <c r="CL2019" s="22"/>
      <c r="CM2019" s="22"/>
      <c r="CN2019" s="1107"/>
      <c r="CR2019" s="223"/>
      <c r="CS2019" s="952"/>
      <c r="CT2019" s="1066"/>
      <c r="CU2019" s="972"/>
      <c r="CV2019" s="983"/>
      <c r="CW2019" s="222"/>
      <c r="CX2019" s="697"/>
      <c r="DC2019" s="222"/>
      <c r="DJ2019" s="889"/>
      <c r="DM2019" s="890"/>
      <c r="DN2019" s="952"/>
      <c r="DO2019" s="75"/>
      <c r="DP2019" s="962"/>
      <c r="DQ2019" s="983"/>
      <c r="DV2019" s="889"/>
    </row>
    <row r="2020" spans="1:126" s="74" customFormat="1">
      <c r="A2020" s="15"/>
      <c r="B2020" s="15"/>
      <c r="C2020" s="15"/>
      <c r="D2020" s="15"/>
      <c r="E2020" s="6"/>
      <c r="F2020" s="6"/>
      <c r="G2020" s="6"/>
      <c r="K2020" s="222"/>
      <c r="V2020" s="1430"/>
      <c r="AA2020" s="223"/>
      <c r="AC2020" s="889"/>
      <c r="AF2020" s="890"/>
      <c r="AJ2020" s="889"/>
      <c r="AN2020" s="222"/>
      <c r="BC2020" s="223"/>
      <c r="BD2020" s="222"/>
      <c r="BH2020" s="611"/>
      <c r="BJ2020" s="15"/>
      <c r="BK2020" s="15"/>
      <c r="BO2020" s="223"/>
      <c r="BQ2020" s="889"/>
      <c r="BT2020" s="890"/>
      <c r="BX2020" s="889"/>
      <c r="CB2020" s="15"/>
      <c r="CC2020" s="697"/>
      <c r="CD2020" s="1086"/>
      <c r="CE2020" s="15"/>
      <c r="CF2020" s="15"/>
      <c r="CG2020" s="936"/>
      <c r="CH2020" s="15"/>
      <c r="CI2020" s="15"/>
      <c r="CJ2020" s="15"/>
      <c r="CK2020" s="1107"/>
      <c r="CL2020" s="22"/>
      <c r="CM2020" s="22"/>
      <c r="CN2020" s="1107"/>
      <c r="CR2020" s="223"/>
      <c r="CS2020" s="952"/>
      <c r="CT2020" s="1066"/>
      <c r="CU2020" s="972"/>
      <c r="CV2020" s="983"/>
      <c r="CW2020" s="222"/>
      <c r="CX2020" s="697"/>
      <c r="DC2020" s="222"/>
      <c r="DJ2020" s="889"/>
      <c r="DM2020" s="890"/>
      <c r="DN2020" s="952"/>
      <c r="DO2020" s="75"/>
      <c r="DP2020" s="962"/>
      <c r="DQ2020" s="983"/>
      <c r="DV2020" s="889"/>
    </row>
    <row r="2021" spans="1:126" s="74" customFormat="1">
      <c r="A2021" s="15"/>
      <c r="B2021" s="15"/>
      <c r="C2021" s="15"/>
      <c r="D2021" s="15"/>
      <c r="E2021" s="6"/>
      <c r="F2021" s="6"/>
      <c r="G2021" s="6"/>
      <c r="K2021" s="222"/>
      <c r="V2021" s="1430"/>
      <c r="AA2021" s="223"/>
      <c r="AC2021" s="889"/>
      <c r="AF2021" s="890"/>
      <c r="AJ2021" s="889"/>
      <c r="AN2021" s="222"/>
      <c r="BC2021" s="223"/>
      <c r="BD2021" s="222"/>
      <c r="BH2021" s="611"/>
      <c r="BJ2021" s="15"/>
      <c r="BK2021" s="15"/>
      <c r="BO2021" s="223"/>
      <c r="BQ2021" s="889"/>
      <c r="BT2021" s="890"/>
      <c r="BX2021" s="889"/>
      <c r="CB2021" s="15"/>
      <c r="CC2021" s="697"/>
      <c r="CD2021" s="1086"/>
      <c r="CE2021" s="15"/>
      <c r="CF2021" s="15"/>
      <c r="CG2021" s="936"/>
      <c r="CH2021" s="15"/>
      <c r="CI2021" s="15"/>
      <c r="CJ2021" s="15"/>
      <c r="CK2021" s="1107"/>
      <c r="CL2021" s="22"/>
      <c r="CM2021" s="22"/>
      <c r="CN2021" s="1107"/>
      <c r="CR2021" s="223"/>
      <c r="CS2021" s="952"/>
      <c r="CT2021" s="1066"/>
      <c r="CU2021" s="972"/>
      <c r="CV2021" s="983"/>
      <c r="CW2021" s="222"/>
      <c r="CX2021" s="697"/>
      <c r="DC2021" s="222"/>
      <c r="DJ2021" s="889"/>
      <c r="DM2021" s="890"/>
      <c r="DN2021" s="952"/>
      <c r="DO2021" s="75"/>
      <c r="DP2021" s="962"/>
      <c r="DQ2021" s="983"/>
      <c r="DV2021" s="889"/>
    </row>
    <row r="2022" spans="1:126" s="74" customFormat="1">
      <c r="A2022" s="15"/>
      <c r="B2022" s="15"/>
      <c r="C2022" s="15"/>
      <c r="D2022" s="15"/>
      <c r="E2022" s="6"/>
      <c r="F2022" s="6"/>
      <c r="G2022" s="6"/>
      <c r="K2022" s="222"/>
      <c r="V2022" s="1430"/>
      <c r="AA2022" s="223"/>
      <c r="AC2022" s="889"/>
      <c r="AF2022" s="890"/>
      <c r="AJ2022" s="889"/>
      <c r="AN2022" s="222"/>
      <c r="BC2022" s="223"/>
      <c r="BD2022" s="222"/>
      <c r="BH2022" s="611"/>
      <c r="BJ2022" s="15"/>
      <c r="BK2022" s="15"/>
      <c r="BO2022" s="223"/>
      <c r="BQ2022" s="889"/>
      <c r="BT2022" s="890"/>
      <c r="BX2022" s="889"/>
      <c r="CB2022" s="15"/>
      <c r="CC2022" s="697"/>
      <c r="CD2022" s="1086"/>
      <c r="CE2022" s="15"/>
      <c r="CF2022" s="15"/>
      <c r="CG2022" s="936"/>
      <c r="CH2022" s="15"/>
      <c r="CI2022" s="15"/>
      <c r="CJ2022" s="15"/>
      <c r="CK2022" s="1107"/>
      <c r="CL2022" s="22"/>
      <c r="CM2022" s="22"/>
      <c r="CN2022" s="1107"/>
      <c r="CR2022" s="223"/>
      <c r="CS2022" s="952"/>
      <c r="CT2022" s="1066"/>
      <c r="CU2022" s="972"/>
      <c r="CV2022" s="983"/>
      <c r="CW2022" s="222"/>
      <c r="CX2022" s="697"/>
      <c r="DC2022" s="222"/>
      <c r="DJ2022" s="889"/>
      <c r="DM2022" s="890"/>
      <c r="DN2022" s="952"/>
      <c r="DO2022" s="75"/>
      <c r="DP2022" s="962"/>
      <c r="DQ2022" s="983"/>
      <c r="DV2022" s="889"/>
    </row>
    <row r="2023" spans="1:126" s="74" customFormat="1">
      <c r="A2023" s="15"/>
      <c r="B2023" s="15"/>
      <c r="C2023" s="15"/>
      <c r="D2023" s="15"/>
      <c r="E2023" s="6"/>
      <c r="F2023" s="6"/>
      <c r="G2023" s="6"/>
      <c r="K2023" s="222"/>
      <c r="V2023" s="1430"/>
      <c r="AA2023" s="223"/>
      <c r="AC2023" s="889"/>
      <c r="AF2023" s="890"/>
      <c r="AJ2023" s="889"/>
      <c r="AN2023" s="222"/>
      <c r="BC2023" s="223"/>
      <c r="BD2023" s="222"/>
      <c r="BH2023" s="611"/>
      <c r="BJ2023" s="15"/>
      <c r="BK2023" s="15"/>
      <c r="BO2023" s="223"/>
      <c r="BQ2023" s="889"/>
      <c r="BT2023" s="890"/>
      <c r="BX2023" s="889"/>
      <c r="CB2023" s="15"/>
      <c r="CC2023" s="697"/>
      <c r="CD2023" s="1086"/>
      <c r="CE2023" s="15"/>
      <c r="CF2023" s="15"/>
      <c r="CG2023" s="936"/>
      <c r="CH2023" s="15"/>
      <c r="CI2023" s="15"/>
      <c r="CJ2023" s="15"/>
      <c r="CK2023" s="1107"/>
      <c r="CL2023" s="22"/>
      <c r="CM2023" s="22"/>
      <c r="CN2023" s="1107"/>
      <c r="CR2023" s="223"/>
      <c r="CS2023" s="952"/>
      <c r="CT2023" s="1066"/>
      <c r="CU2023" s="972"/>
      <c r="CV2023" s="983"/>
      <c r="CW2023" s="222"/>
      <c r="CX2023" s="697"/>
      <c r="DC2023" s="222"/>
      <c r="DJ2023" s="889"/>
      <c r="DM2023" s="890"/>
      <c r="DN2023" s="952"/>
      <c r="DO2023" s="75"/>
      <c r="DP2023" s="962"/>
      <c r="DQ2023" s="983"/>
      <c r="DV2023" s="889"/>
    </row>
    <row r="2024" spans="1:126" s="74" customFormat="1">
      <c r="A2024" s="15"/>
      <c r="B2024" s="15"/>
      <c r="C2024" s="15"/>
      <c r="D2024" s="15"/>
      <c r="E2024" s="6"/>
      <c r="F2024" s="6"/>
      <c r="G2024" s="6"/>
      <c r="K2024" s="222"/>
      <c r="V2024" s="1430"/>
      <c r="AA2024" s="223"/>
      <c r="AC2024" s="889"/>
      <c r="AF2024" s="890"/>
      <c r="AJ2024" s="889"/>
      <c r="AN2024" s="222"/>
      <c r="BC2024" s="223"/>
      <c r="BD2024" s="222"/>
      <c r="BH2024" s="611"/>
      <c r="BJ2024" s="15"/>
      <c r="BK2024" s="15"/>
      <c r="BO2024" s="223"/>
      <c r="BQ2024" s="889"/>
      <c r="BT2024" s="890"/>
      <c r="BX2024" s="889"/>
      <c r="CB2024" s="15"/>
      <c r="CC2024" s="697"/>
      <c r="CD2024" s="1086"/>
      <c r="CE2024" s="15"/>
      <c r="CF2024" s="15"/>
      <c r="CG2024" s="936"/>
      <c r="CH2024" s="15"/>
      <c r="CI2024" s="15"/>
      <c r="CJ2024" s="15"/>
      <c r="CK2024" s="1107"/>
      <c r="CL2024" s="22"/>
      <c r="CM2024" s="22"/>
      <c r="CN2024" s="1107"/>
      <c r="CR2024" s="223"/>
      <c r="CS2024" s="952"/>
      <c r="CT2024" s="1066"/>
      <c r="CU2024" s="972"/>
      <c r="CV2024" s="983"/>
      <c r="CW2024" s="222"/>
      <c r="CX2024" s="697"/>
      <c r="DC2024" s="222"/>
      <c r="DJ2024" s="889"/>
      <c r="DM2024" s="890"/>
      <c r="DN2024" s="952"/>
      <c r="DO2024" s="75"/>
      <c r="DP2024" s="962"/>
      <c r="DQ2024" s="983"/>
      <c r="DV2024" s="889"/>
    </row>
    <row r="2025" spans="1:126" s="74" customFormat="1">
      <c r="A2025" s="15"/>
      <c r="B2025" s="15"/>
      <c r="C2025" s="15"/>
      <c r="D2025" s="15"/>
      <c r="E2025" s="6"/>
      <c r="F2025" s="6"/>
      <c r="G2025" s="6"/>
      <c r="K2025" s="222"/>
      <c r="V2025" s="1430"/>
      <c r="AA2025" s="223"/>
      <c r="AC2025" s="889"/>
      <c r="AF2025" s="890"/>
      <c r="AJ2025" s="889"/>
      <c r="AN2025" s="222"/>
      <c r="BC2025" s="223"/>
      <c r="BD2025" s="222"/>
      <c r="BH2025" s="611"/>
      <c r="BJ2025" s="15"/>
      <c r="BK2025" s="15"/>
      <c r="BO2025" s="223"/>
      <c r="BQ2025" s="889"/>
      <c r="BT2025" s="890"/>
      <c r="BX2025" s="889"/>
      <c r="CB2025" s="15"/>
      <c r="CC2025" s="697"/>
      <c r="CD2025" s="1086"/>
      <c r="CE2025" s="15"/>
      <c r="CF2025" s="15"/>
      <c r="CG2025" s="936"/>
      <c r="CH2025" s="15"/>
      <c r="CI2025" s="15"/>
      <c r="CJ2025" s="15"/>
      <c r="CK2025" s="1107"/>
      <c r="CL2025" s="22"/>
      <c r="CM2025" s="22"/>
      <c r="CN2025" s="1107"/>
      <c r="CR2025" s="223"/>
      <c r="CS2025" s="952"/>
      <c r="CT2025" s="1066"/>
      <c r="CU2025" s="972"/>
      <c r="CV2025" s="983"/>
      <c r="CW2025" s="222"/>
      <c r="CX2025" s="697"/>
      <c r="DC2025" s="222"/>
      <c r="DJ2025" s="889"/>
      <c r="DM2025" s="890"/>
      <c r="DN2025" s="952"/>
      <c r="DO2025" s="75"/>
      <c r="DP2025" s="962"/>
      <c r="DQ2025" s="983"/>
      <c r="DV2025" s="889"/>
    </row>
    <row r="2026" spans="1:126" s="74" customFormat="1">
      <c r="A2026" s="15"/>
      <c r="B2026" s="15"/>
      <c r="C2026" s="15"/>
      <c r="D2026" s="15"/>
      <c r="E2026" s="6"/>
      <c r="F2026" s="6"/>
      <c r="G2026" s="6"/>
      <c r="K2026" s="222"/>
      <c r="V2026" s="1430"/>
      <c r="AA2026" s="223"/>
      <c r="AC2026" s="889"/>
      <c r="AF2026" s="890"/>
      <c r="AJ2026" s="889"/>
      <c r="AN2026" s="222"/>
      <c r="BC2026" s="223"/>
      <c r="BD2026" s="222"/>
      <c r="BH2026" s="611"/>
      <c r="BJ2026" s="15"/>
      <c r="BK2026" s="15"/>
      <c r="BO2026" s="223"/>
      <c r="BQ2026" s="889"/>
      <c r="BT2026" s="890"/>
      <c r="BX2026" s="889"/>
      <c r="CB2026" s="15"/>
      <c r="CC2026" s="697"/>
      <c r="CD2026" s="1086"/>
      <c r="CE2026" s="15"/>
      <c r="CF2026" s="15"/>
      <c r="CG2026" s="936"/>
      <c r="CH2026" s="15"/>
      <c r="CI2026" s="15"/>
      <c r="CJ2026" s="15"/>
      <c r="CK2026" s="1107"/>
      <c r="CL2026" s="22"/>
      <c r="CM2026" s="22"/>
      <c r="CN2026" s="1107"/>
      <c r="CR2026" s="223"/>
      <c r="CS2026" s="952"/>
      <c r="CT2026" s="1066"/>
      <c r="CU2026" s="972"/>
      <c r="CV2026" s="983"/>
      <c r="CW2026" s="222"/>
      <c r="CX2026" s="697"/>
      <c r="DC2026" s="222"/>
      <c r="DJ2026" s="889"/>
      <c r="DM2026" s="890"/>
      <c r="DN2026" s="952"/>
      <c r="DO2026" s="75"/>
      <c r="DP2026" s="962"/>
      <c r="DQ2026" s="983"/>
      <c r="DV2026" s="889"/>
    </row>
    <row r="2027" spans="1:126" s="74" customFormat="1">
      <c r="A2027" s="15"/>
      <c r="B2027" s="15"/>
      <c r="C2027" s="15"/>
      <c r="D2027" s="15"/>
      <c r="E2027" s="6"/>
      <c r="F2027" s="6"/>
      <c r="G2027" s="6"/>
      <c r="K2027" s="222"/>
      <c r="V2027" s="1430"/>
      <c r="AA2027" s="223"/>
      <c r="AC2027" s="889"/>
      <c r="AF2027" s="890"/>
      <c r="AJ2027" s="889"/>
      <c r="AN2027" s="222"/>
      <c r="BC2027" s="223"/>
      <c r="BD2027" s="222"/>
      <c r="BH2027" s="611"/>
      <c r="BJ2027" s="15"/>
      <c r="BK2027" s="15"/>
      <c r="BO2027" s="223"/>
      <c r="BQ2027" s="889"/>
      <c r="BT2027" s="890"/>
      <c r="BX2027" s="889"/>
      <c r="CB2027" s="15"/>
      <c r="CC2027" s="697"/>
      <c r="CD2027" s="1086"/>
      <c r="CE2027" s="15"/>
      <c r="CF2027" s="15"/>
      <c r="CG2027" s="936"/>
      <c r="CH2027" s="15"/>
      <c r="CI2027" s="15"/>
      <c r="CJ2027" s="15"/>
      <c r="CK2027" s="1107"/>
      <c r="CL2027" s="22"/>
      <c r="CM2027" s="22"/>
      <c r="CN2027" s="1107"/>
      <c r="CR2027" s="223"/>
      <c r="CS2027" s="952"/>
      <c r="CT2027" s="1066"/>
      <c r="CU2027" s="972"/>
      <c r="CV2027" s="983"/>
      <c r="CW2027" s="222"/>
      <c r="CX2027" s="697"/>
      <c r="DC2027" s="222"/>
      <c r="DJ2027" s="889"/>
      <c r="DM2027" s="890"/>
      <c r="DN2027" s="952"/>
      <c r="DO2027" s="75"/>
      <c r="DP2027" s="962"/>
      <c r="DQ2027" s="983"/>
      <c r="DV2027" s="889"/>
    </row>
    <row r="2028" spans="1:126" s="74" customFormat="1">
      <c r="A2028" s="15"/>
      <c r="B2028" s="15"/>
      <c r="C2028" s="15"/>
      <c r="D2028" s="15"/>
      <c r="E2028" s="6"/>
      <c r="F2028" s="6"/>
      <c r="G2028" s="6"/>
      <c r="K2028" s="222"/>
      <c r="V2028" s="1430"/>
      <c r="AA2028" s="223"/>
      <c r="AC2028" s="889"/>
      <c r="AF2028" s="890"/>
      <c r="AJ2028" s="889"/>
      <c r="AN2028" s="222"/>
      <c r="BC2028" s="223"/>
      <c r="BD2028" s="222"/>
      <c r="BH2028" s="611"/>
      <c r="BJ2028" s="15"/>
      <c r="BK2028" s="15"/>
      <c r="BO2028" s="223"/>
      <c r="BQ2028" s="889"/>
      <c r="BT2028" s="890"/>
      <c r="BX2028" s="889"/>
      <c r="CB2028" s="15"/>
      <c r="CC2028" s="697"/>
      <c r="CD2028" s="1086"/>
      <c r="CE2028" s="15"/>
      <c r="CF2028" s="15"/>
      <c r="CG2028" s="936"/>
      <c r="CH2028" s="15"/>
      <c r="CI2028" s="15"/>
      <c r="CJ2028" s="15"/>
      <c r="CK2028" s="1107"/>
      <c r="CL2028" s="22"/>
      <c r="CM2028" s="22"/>
      <c r="CN2028" s="1107"/>
      <c r="CR2028" s="223"/>
      <c r="CS2028" s="952"/>
      <c r="CT2028" s="1066"/>
      <c r="CU2028" s="972"/>
      <c r="CV2028" s="983"/>
      <c r="CW2028" s="222"/>
      <c r="CX2028" s="697"/>
      <c r="DC2028" s="222"/>
      <c r="DJ2028" s="889"/>
      <c r="DM2028" s="890"/>
      <c r="DN2028" s="952"/>
      <c r="DO2028" s="75"/>
      <c r="DP2028" s="962"/>
      <c r="DQ2028" s="983"/>
      <c r="DV2028" s="889"/>
    </row>
    <row r="2029" spans="1:126" s="74" customFormat="1">
      <c r="A2029" s="15"/>
      <c r="B2029" s="15"/>
      <c r="C2029" s="15"/>
      <c r="D2029" s="15"/>
      <c r="E2029" s="6"/>
      <c r="F2029" s="6"/>
      <c r="G2029" s="6"/>
      <c r="K2029" s="222"/>
      <c r="V2029" s="1430"/>
      <c r="AA2029" s="223"/>
      <c r="AC2029" s="889"/>
      <c r="AF2029" s="890"/>
      <c r="AJ2029" s="889"/>
      <c r="AN2029" s="222"/>
      <c r="BC2029" s="223"/>
      <c r="BD2029" s="222"/>
      <c r="BH2029" s="611"/>
      <c r="BJ2029" s="15"/>
      <c r="BK2029" s="15"/>
      <c r="BO2029" s="223"/>
      <c r="BQ2029" s="889"/>
      <c r="BT2029" s="890"/>
      <c r="BX2029" s="889"/>
      <c r="CB2029" s="15"/>
      <c r="CC2029" s="697"/>
      <c r="CD2029" s="1086"/>
      <c r="CE2029" s="15"/>
      <c r="CF2029" s="15"/>
      <c r="CG2029" s="936"/>
      <c r="CH2029" s="15"/>
      <c r="CI2029" s="15"/>
      <c r="CJ2029" s="15"/>
      <c r="CK2029" s="1107"/>
      <c r="CL2029" s="22"/>
      <c r="CM2029" s="22"/>
      <c r="CN2029" s="1107"/>
      <c r="CR2029" s="223"/>
      <c r="CS2029" s="952"/>
      <c r="CT2029" s="1066"/>
      <c r="CU2029" s="972"/>
      <c r="CV2029" s="983"/>
      <c r="CW2029" s="222"/>
      <c r="CX2029" s="697"/>
      <c r="DC2029" s="222"/>
      <c r="DJ2029" s="889"/>
      <c r="DM2029" s="890"/>
      <c r="DN2029" s="952"/>
      <c r="DO2029" s="75"/>
      <c r="DP2029" s="962"/>
      <c r="DQ2029" s="983"/>
      <c r="DV2029" s="889"/>
    </row>
    <row r="2030" spans="1:126" s="74" customFormat="1">
      <c r="A2030" s="15"/>
      <c r="B2030" s="15"/>
      <c r="C2030" s="15"/>
      <c r="D2030" s="15"/>
      <c r="E2030" s="6"/>
      <c r="F2030" s="6"/>
      <c r="G2030" s="6"/>
      <c r="K2030" s="222"/>
      <c r="V2030" s="1430"/>
      <c r="AA2030" s="223"/>
      <c r="AC2030" s="889"/>
      <c r="AF2030" s="890"/>
      <c r="AJ2030" s="889"/>
      <c r="AN2030" s="222"/>
      <c r="BC2030" s="223"/>
      <c r="BD2030" s="222"/>
      <c r="BH2030" s="611"/>
      <c r="BJ2030" s="15"/>
      <c r="BK2030" s="15"/>
      <c r="BO2030" s="223"/>
      <c r="BQ2030" s="889"/>
      <c r="BT2030" s="890"/>
      <c r="BX2030" s="889"/>
      <c r="CB2030" s="15"/>
      <c r="CC2030" s="697"/>
      <c r="CD2030" s="1086"/>
      <c r="CE2030" s="15"/>
      <c r="CF2030" s="15"/>
      <c r="CG2030" s="936"/>
      <c r="CH2030" s="15"/>
      <c r="CI2030" s="15"/>
      <c r="CJ2030" s="15"/>
      <c r="CK2030" s="1107"/>
      <c r="CL2030" s="22"/>
      <c r="CM2030" s="22"/>
      <c r="CN2030" s="1107"/>
      <c r="CR2030" s="223"/>
      <c r="CS2030" s="952"/>
      <c r="CT2030" s="1066"/>
      <c r="CU2030" s="972"/>
      <c r="CV2030" s="983"/>
      <c r="CW2030" s="222"/>
      <c r="CX2030" s="697"/>
      <c r="DC2030" s="222"/>
      <c r="DJ2030" s="889"/>
      <c r="DM2030" s="890"/>
      <c r="DN2030" s="952"/>
      <c r="DO2030" s="75"/>
      <c r="DP2030" s="962"/>
      <c r="DQ2030" s="983"/>
      <c r="DV2030" s="889"/>
    </row>
    <row r="2031" spans="1:126" s="74" customFormat="1">
      <c r="A2031" s="15"/>
      <c r="B2031" s="15"/>
      <c r="C2031" s="15"/>
      <c r="D2031" s="15"/>
      <c r="E2031" s="6"/>
      <c r="F2031" s="6"/>
      <c r="G2031" s="6"/>
      <c r="K2031" s="222"/>
      <c r="V2031" s="1430"/>
      <c r="AA2031" s="223"/>
      <c r="AC2031" s="889"/>
      <c r="AF2031" s="890"/>
      <c r="AJ2031" s="889"/>
      <c r="AN2031" s="222"/>
      <c r="BC2031" s="223"/>
      <c r="BD2031" s="222"/>
      <c r="BH2031" s="611"/>
      <c r="BJ2031" s="15"/>
      <c r="BK2031" s="15"/>
      <c r="BO2031" s="223"/>
      <c r="BQ2031" s="889"/>
      <c r="BT2031" s="890"/>
      <c r="BX2031" s="889"/>
      <c r="CB2031" s="15"/>
      <c r="CC2031" s="697"/>
      <c r="CD2031" s="1086"/>
      <c r="CE2031" s="15"/>
      <c r="CF2031" s="15"/>
      <c r="CG2031" s="936"/>
      <c r="CH2031" s="15"/>
      <c r="CI2031" s="15"/>
      <c r="CJ2031" s="15"/>
      <c r="CK2031" s="1107"/>
      <c r="CL2031" s="22"/>
      <c r="CM2031" s="22"/>
      <c r="CN2031" s="1107"/>
      <c r="CR2031" s="223"/>
      <c r="CS2031" s="952"/>
      <c r="CT2031" s="1066"/>
      <c r="CU2031" s="972"/>
      <c r="CV2031" s="983"/>
      <c r="CW2031" s="222"/>
      <c r="CX2031" s="697"/>
      <c r="DC2031" s="222"/>
      <c r="DJ2031" s="889"/>
      <c r="DM2031" s="890"/>
      <c r="DN2031" s="952"/>
      <c r="DO2031" s="75"/>
      <c r="DP2031" s="962"/>
      <c r="DQ2031" s="983"/>
      <c r="DV2031" s="889"/>
    </row>
    <row r="2032" spans="1:126" s="74" customFormat="1">
      <c r="A2032" s="15"/>
      <c r="B2032" s="15"/>
      <c r="C2032" s="15"/>
      <c r="D2032" s="15"/>
      <c r="E2032" s="6"/>
      <c r="F2032" s="6"/>
      <c r="G2032" s="6"/>
      <c r="K2032" s="222"/>
      <c r="V2032" s="1430"/>
      <c r="AA2032" s="223"/>
      <c r="AC2032" s="889"/>
      <c r="AF2032" s="890"/>
      <c r="AJ2032" s="889"/>
      <c r="AN2032" s="222"/>
      <c r="BC2032" s="223"/>
      <c r="BD2032" s="222"/>
      <c r="BH2032" s="611"/>
      <c r="BJ2032" s="15"/>
      <c r="BK2032" s="15"/>
      <c r="BO2032" s="223"/>
      <c r="BQ2032" s="889"/>
      <c r="BT2032" s="890"/>
      <c r="BX2032" s="889"/>
      <c r="CB2032" s="15"/>
      <c r="CC2032" s="697"/>
      <c r="CD2032" s="1086"/>
      <c r="CE2032" s="15"/>
      <c r="CF2032" s="15"/>
      <c r="CG2032" s="936"/>
      <c r="CH2032" s="15"/>
      <c r="CI2032" s="15"/>
      <c r="CJ2032" s="15"/>
      <c r="CK2032" s="1107"/>
      <c r="CL2032" s="22"/>
      <c r="CM2032" s="22"/>
      <c r="CN2032" s="1107"/>
      <c r="CR2032" s="223"/>
      <c r="CS2032" s="952"/>
      <c r="CT2032" s="1066"/>
      <c r="CU2032" s="972"/>
      <c r="CV2032" s="983"/>
      <c r="CW2032" s="222"/>
      <c r="CX2032" s="697"/>
      <c r="DC2032" s="222"/>
      <c r="DJ2032" s="889"/>
      <c r="DM2032" s="890"/>
      <c r="DN2032" s="952"/>
      <c r="DO2032" s="75"/>
      <c r="DP2032" s="962"/>
      <c r="DQ2032" s="983"/>
      <c r="DV2032" s="889"/>
    </row>
    <row r="2033" spans="1:126" s="74" customFormat="1">
      <c r="A2033" s="15"/>
      <c r="B2033" s="15"/>
      <c r="C2033" s="15"/>
      <c r="D2033" s="15"/>
      <c r="E2033" s="6"/>
      <c r="F2033" s="6"/>
      <c r="G2033" s="6"/>
      <c r="K2033" s="222"/>
      <c r="V2033" s="1430"/>
      <c r="AA2033" s="223"/>
      <c r="AC2033" s="889"/>
      <c r="AF2033" s="890"/>
      <c r="AJ2033" s="889"/>
      <c r="AN2033" s="222"/>
      <c r="BC2033" s="223"/>
      <c r="BD2033" s="222"/>
      <c r="BH2033" s="611"/>
      <c r="BJ2033" s="15"/>
      <c r="BK2033" s="15"/>
      <c r="BO2033" s="223"/>
      <c r="BQ2033" s="889"/>
      <c r="BT2033" s="890"/>
      <c r="BX2033" s="889"/>
      <c r="CB2033" s="15"/>
      <c r="CC2033" s="697"/>
      <c r="CD2033" s="1086"/>
      <c r="CE2033" s="15"/>
      <c r="CF2033" s="15"/>
      <c r="CG2033" s="936"/>
      <c r="CH2033" s="15"/>
      <c r="CI2033" s="15"/>
      <c r="CJ2033" s="15"/>
      <c r="CK2033" s="1107"/>
      <c r="CL2033" s="22"/>
      <c r="CM2033" s="22"/>
      <c r="CN2033" s="1107"/>
      <c r="CR2033" s="223"/>
      <c r="CS2033" s="952"/>
      <c r="CT2033" s="1066"/>
      <c r="CU2033" s="972"/>
      <c r="CV2033" s="983"/>
      <c r="CW2033" s="222"/>
      <c r="CX2033" s="697"/>
      <c r="DC2033" s="222"/>
      <c r="DJ2033" s="889"/>
      <c r="DM2033" s="890"/>
      <c r="DN2033" s="952"/>
      <c r="DO2033" s="75"/>
      <c r="DP2033" s="962"/>
      <c r="DQ2033" s="983"/>
      <c r="DV2033" s="889"/>
    </row>
    <row r="2034" spans="1:126" s="74" customFormat="1">
      <c r="A2034" s="15"/>
      <c r="B2034" s="15"/>
      <c r="C2034" s="15"/>
      <c r="D2034" s="15"/>
      <c r="E2034" s="6"/>
      <c r="F2034" s="6"/>
      <c r="G2034" s="6"/>
      <c r="K2034" s="222"/>
      <c r="V2034" s="1430"/>
      <c r="AA2034" s="223"/>
      <c r="AC2034" s="889"/>
      <c r="AF2034" s="890"/>
      <c r="AJ2034" s="889"/>
      <c r="AN2034" s="222"/>
      <c r="BC2034" s="223"/>
      <c r="BD2034" s="222"/>
      <c r="BH2034" s="611"/>
      <c r="BJ2034" s="15"/>
      <c r="BK2034" s="15"/>
      <c r="BO2034" s="223"/>
      <c r="BQ2034" s="889"/>
      <c r="BT2034" s="890"/>
      <c r="BX2034" s="889"/>
      <c r="CB2034" s="15"/>
      <c r="CC2034" s="697"/>
      <c r="CD2034" s="1086"/>
      <c r="CE2034" s="15"/>
      <c r="CF2034" s="15"/>
      <c r="CG2034" s="936"/>
      <c r="CH2034" s="15"/>
      <c r="CI2034" s="15"/>
      <c r="CJ2034" s="15"/>
      <c r="CK2034" s="1107"/>
      <c r="CL2034" s="22"/>
      <c r="CM2034" s="22"/>
      <c r="CN2034" s="1107"/>
      <c r="CR2034" s="223"/>
      <c r="CS2034" s="952"/>
      <c r="CT2034" s="1066"/>
      <c r="CU2034" s="972"/>
      <c r="CV2034" s="983"/>
      <c r="CW2034" s="222"/>
      <c r="CX2034" s="697"/>
      <c r="DC2034" s="222"/>
      <c r="DJ2034" s="889"/>
      <c r="DM2034" s="890"/>
      <c r="DN2034" s="952"/>
      <c r="DO2034" s="75"/>
      <c r="DP2034" s="962"/>
      <c r="DQ2034" s="983"/>
      <c r="DV2034" s="889"/>
    </row>
    <row r="2035" spans="1:126" s="74" customFormat="1">
      <c r="A2035" s="15"/>
      <c r="B2035" s="15"/>
      <c r="C2035" s="15"/>
      <c r="D2035" s="15"/>
      <c r="E2035" s="6"/>
      <c r="F2035" s="6"/>
      <c r="G2035" s="6"/>
      <c r="K2035" s="222"/>
      <c r="V2035" s="1430"/>
      <c r="AA2035" s="223"/>
      <c r="AC2035" s="889"/>
      <c r="AF2035" s="890"/>
      <c r="AJ2035" s="889"/>
      <c r="AN2035" s="222"/>
      <c r="BC2035" s="223"/>
      <c r="BD2035" s="222"/>
      <c r="BH2035" s="611"/>
      <c r="BJ2035" s="15"/>
      <c r="BK2035" s="15"/>
      <c r="BO2035" s="223"/>
      <c r="BQ2035" s="889"/>
      <c r="BT2035" s="890"/>
      <c r="BX2035" s="889"/>
      <c r="CB2035" s="15"/>
      <c r="CC2035" s="697"/>
      <c r="CD2035" s="1086"/>
      <c r="CE2035" s="15"/>
      <c r="CF2035" s="15"/>
      <c r="CG2035" s="936"/>
      <c r="CH2035" s="15"/>
      <c r="CI2035" s="15"/>
      <c r="CJ2035" s="15"/>
      <c r="CK2035" s="1107"/>
      <c r="CL2035" s="22"/>
      <c r="CM2035" s="22"/>
      <c r="CN2035" s="1107"/>
      <c r="CR2035" s="223"/>
      <c r="CS2035" s="952"/>
      <c r="CT2035" s="1066"/>
      <c r="CU2035" s="972"/>
      <c r="CV2035" s="983"/>
      <c r="CW2035" s="222"/>
      <c r="CX2035" s="697"/>
      <c r="DC2035" s="222"/>
      <c r="DJ2035" s="889"/>
      <c r="DM2035" s="890"/>
      <c r="DN2035" s="952"/>
      <c r="DO2035" s="75"/>
      <c r="DP2035" s="962"/>
      <c r="DQ2035" s="983"/>
      <c r="DV2035" s="889"/>
    </row>
    <row r="2036" spans="1:126" s="74" customFormat="1">
      <c r="A2036" s="15"/>
      <c r="B2036" s="15"/>
      <c r="C2036" s="15"/>
      <c r="D2036" s="15"/>
      <c r="E2036" s="6"/>
      <c r="F2036" s="6"/>
      <c r="G2036" s="6"/>
      <c r="K2036" s="222"/>
      <c r="V2036" s="1430"/>
      <c r="AA2036" s="223"/>
      <c r="AC2036" s="889"/>
      <c r="AF2036" s="890"/>
      <c r="AJ2036" s="889"/>
      <c r="AN2036" s="222"/>
      <c r="BC2036" s="223"/>
      <c r="BD2036" s="222"/>
      <c r="BH2036" s="611"/>
      <c r="BJ2036" s="15"/>
      <c r="BK2036" s="15"/>
      <c r="BO2036" s="223"/>
      <c r="BQ2036" s="889"/>
      <c r="BT2036" s="890"/>
      <c r="BX2036" s="889"/>
      <c r="CB2036" s="15"/>
      <c r="CC2036" s="697"/>
      <c r="CD2036" s="1086"/>
      <c r="CE2036" s="15"/>
      <c r="CF2036" s="15"/>
      <c r="CG2036" s="936"/>
      <c r="CH2036" s="15"/>
      <c r="CI2036" s="15"/>
      <c r="CJ2036" s="15"/>
      <c r="CK2036" s="1107"/>
      <c r="CL2036" s="22"/>
      <c r="CM2036" s="22"/>
      <c r="CN2036" s="1107"/>
      <c r="CR2036" s="223"/>
      <c r="CS2036" s="952"/>
      <c r="CT2036" s="1066"/>
      <c r="CU2036" s="972"/>
      <c r="CV2036" s="983"/>
      <c r="CW2036" s="222"/>
      <c r="CX2036" s="697"/>
      <c r="DC2036" s="222"/>
      <c r="DJ2036" s="889"/>
      <c r="DM2036" s="890"/>
      <c r="DN2036" s="952"/>
      <c r="DO2036" s="75"/>
      <c r="DP2036" s="962"/>
      <c r="DQ2036" s="983"/>
      <c r="DV2036" s="889"/>
    </row>
    <row r="2037" spans="1:126" s="74" customFormat="1">
      <c r="A2037" s="15"/>
      <c r="B2037" s="15"/>
      <c r="C2037" s="15"/>
      <c r="D2037" s="15"/>
      <c r="E2037" s="6"/>
      <c r="F2037" s="6"/>
      <c r="G2037" s="6"/>
      <c r="K2037" s="222"/>
      <c r="V2037" s="1430"/>
      <c r="AA2037" s="223"/>
      <c r="AC2037" s="889"/>
      <c r="AF2037" s="890"/>
      <c r="AJ2037" s="889"/>
      <c r="AN2037" s="222"/>
      <c r="BC2037" s="223"/>
      <c r="BD2037" s="222"/>
      <c r="BH2037" s="611"/>
      <c r="BJ2037" s="15"/>
      <c r="BK2037" s="15"/>
      <c r="BO2037" s="223"/>
      <c r="BQ2037" s="889"/>
      <c r="BT2037" s="890"/>
      <c r="BX2037" s="889"/>
      <c r="CB2037" s="15"/>
      <c r="CC2037" s="697"/>
      <c r="CD2037" s="1086"/>
      <c r="CE2037" s="15"/>
      <c r="CF2037" s="15"/>
      <c r="CG2037" s="936"/>
      <c r="CH2037" s="15"/>
      <c r="CI2037" s="15"/>
      <c r="CJ2037" s="15"/>
      <c r="CK2037" s="1107"/>
      <c r="CL2037" s="22"/>
      <c r="CM2037" s="22"/>
      <c r="CN2037" s="1107"/>
      <c r="CR2037" s="223"/>
      <c r="CS2037" s="952"/>
      <c r="CT2037" s="1066"/>
      <c r="CU2037" s="972"/>
      <c r="CV2037" s="983"/>
      <c r="CW2037" s="222"/>
      <c r="CX2037" s="697"/>
      <c r="DC2037" s="222"/>
      <c r="DJ2037" s="889"/>
      <c r="DM2037" s="890"/>
      <c r="DN2037" s="952"/>
      <c r="DO2037" s="75"/>
      <c r="DP2037" s="962"/>
      <c r="DQ2037" s="983"/>
      <c r="DV2037" s="889"/>
    </row>
    <row r="2038" spans="1:126" s="74" customFormat="1">
      <c r="A2038" s="15"/>
      <c r="B2038" s="15"/>
      <c r="C2038" s="15"/>
      <c r="D2038" s="15"/>
      <c r="E2038" s="6"/>
      <c r="F2038" s="6"/>
      <c r="G2038" s="6"/>
      <c r="K2038" s="222"/>
      <c r="V2038" s="1430"/>
      <c r="AA2038" s="223"/>
      <c r="AC2038" s="889"/>
      <c r="AF2038" s="890"/>
      <c r="AJ2038" s="889"/>
      <c r="AN2038" s="222"/>
      <c r="BC2038" s="223"/>
      <c r="BD2038" s="222"/>
      <c r="BH2038" s="611"/>
      <c r="BJ2038" s="15"/>
      <c r="BK2038" s="15"/>
      <c r="BO2038" s="223"/>
      <c r="BQ2038" s="889"/>
      <c r="BT2038" s="890"/>
      <c r="BX2038" s="889"/>
      <c r="CB2038" s="15"/>
      <c r="CC2038" s="697"/>
      <c r="CD2038" s="1086"/>
      <c r="CE2038" s="15"/>
      <c r="CF2038" s="15"/>
      <c r="CG2038" s="936"/>
      <c r="CH2038" s="15"/>
      <c r="CI2038" s="15"/>
      <c r="CJ2038" s="15"/>
      <c r="CK2038" s="1107"/>
      <c r="CL2038" s="22"/>
      <c r="CM2038" s="22"/>
      <c r="CN2038" s="1107"/>
      <c r="CR2038" s="223"/>
      <c r="CS2038" s="952"/>
      <c r="CT2038" s="1066"/>
      <c r="CU2038" s="972"/>
      <c r="CV2038" s="983"/>
      <c r="CW2038" s="222"/>
      <c r="CX2038" s="697"/>
      <c r="DC2038" s="222"/>
      <c r="DJ2038" s="889"/>
      <c r="DM2038" s="890"/>
      <c r="DN2038" s="952"/>
      <c r="DO2038" s="75"/>
      <c r="DP2038" s="962"/>
      <c r="DQ2038" s="983"/>
      <c r="DV2038" s="889"/>
    </row>
    <row r="2039" spans="1:126" s="74" customFormat="1">
      <c r="A2039" s="15"/>
      <c r="B2039" s="15"/>
      <c r="C2039" s="15"/>
      <c r="D2039" s="15"/>
      <c r="E2039" s="6"/>
      <c r="F2039" s="6"/>
      <c r="G2039" s="6"/>
      <c r="K2039" s="222"/>
      <c r="V2039" s="1430"/>
      <c r="AA2039" s="223"/>
      <c r="AC2039" s="889"/>
      <c r="AF2039" s="890"/>
      <c r="AJ2039" s="889"/>
      <c r="AN2039" s="222"/>
      <c r="BC2039" s="223"/>
      <c r="BD2039" s="222"/>
      <c r="BH2039" s="611"/>
      <c r="BJ2039" s="15"/>
      <c r="BK2039" s="15"/>
      <c r="BO2039" s="223"/>
      <c r="BQ2039" s="889"/>
      <c r="BT2039" s="890"/>
      <c r="BX2039" s="889"/>
      <c r="CB2039" s="15"/>
      <c r="CC2039" s="697"/>
      <c r="CD2039" s="1086"/>
      <c r="CE2039" s="15"/>
      <c r="CF2039" s="15"/>
      <c r="CG2039" s="936"/>
      <c r="CH2039" s="15"/>
      <c r="CI2039" s="15"/>
      <c r="CJ2039" s="15"/>
      <c r="CK2039" s="1107"/>
      <c r="CL2039" s="22"/>
      <c r="CM2039" s="22"/>
      <c r="CN2039" s="1107"/>
      <c r="CR2039" s="223"/>
      <c r="CS2039" s="952"/>
      <c r="CT2039" s="1066"/>
      <c r="CU2039" s="972"/>
      <c r="CV2039" s="983"/>
      <c r="CW2039" s="222"/>
      <c r="CX2039" s="697"/>
      <c r="DC2039" s="222"/>
      <c r="DJ2039" s="889"/>
      <c r="DM2039" s="890"/>
      <c r="DN2039" s="952"/>
      <c r="DO2039" s="75"/>
      <c r="DP2039" s="962"/>
      <c r="DQ2039" s="983"/>
      <c r="DV2039" s="889"/>
    </row>
    <row r="2040" spans="1:126" s="74" customFormat="1">
      <c r="A2040" s="15"/>
      <c r="B2040" s="15"/>
      <c r="C2040" s="15"/>
      <c r="D2040" s="15"/>
      <c r="E2040" s="6"/>
      <c r="F2040" s="6"/>
      <c r="G2040" s="6"/>
      <c r="K2040" s="222"/>
      <c r="V2040" s="1430"/>
      <c r="AA2040" s="223"/>
      <c r="AC2040" s="889"/>
      <c r="AF2040" s="890"/>
      <c r="AJ2040" s="889"/>
      <c r="AN2040" s="222"/>
      <c r="BC2040" s="223"/>
      <c r="BD2040" s="222"/>
      <c r="BH2040" s="611"/>
      <c r="BJ2040" s="15"/>
      <c r="BK2040" s="15"/>
      <c r="BO2040" s="223"/>
      <c r="BQ2040" s="889"/>
      <c r="BT2040" s="890"/>
      <c r="BX2040" s="889"/>
      <c r="CB2040" s="15"/>
      <c r="CC2040" s="697"/>
      <c r="CD2040" s="1086"/>
      <c r="CE2040" s="15"/>
      <c r="CF2040" s="15"/>
      <c r="CG2040" s="936"/>
      <c r="CH2040" s="15"/>
      <c r="CI2040" s="15"/>
      <c r="CJ2040" s="15"/>
      <c r="CK2040" s="1107"/>
      <c r="CL2040" s="22"/>
      <c r="CM2040" s="22"/>
      <c r="CN2040" s="1107"/>
      <c r="CR2040" s="223"/>
      <c r="CS2040" s="952"/>
      <c r="CT2040" s="1066"/>
      <c r="CU2040" s="972"/>
      <c r="CV2040" s="983"/>
      <c r="CW2040" s="222"/>
      <c r="CX2040" s="697"/>
      <c r="DC2040" s="222"/>
      <c r="DJ2040" s="889"/>
      <c r="DM2040" s="890"/>
      <c r="DN2040" s="952"/>
      <c r="DO2040" s="75"/>
      <c r="DP2040" s="962"/>
      <c r="DQ2040" s="983"/>
      <c r="DV2040" s="889"/>
    </row>
    <row r="2041" spans="1:126" s="74" customFormat="1">
      <c r="A2041" s="15"/>
      <c r="B2041" s="15"/>
      <c r="C2041" s="15"/>
      <c r="D2041" s="15"/>
      <c r="E2041" s="6"/>
      <c r="F2041" s="6"/>
      <c r="G2041" s="6"/>
      <c r="K2041" s="222"/>
      <c r="V2041" s="1430"/>
      <c r="AA2041" s="223"/>
      <c r="AC2041" s="889"/>
      <c r="AF2041" s="890"/>
      <c r="AJ2041" s="889"/>
      <c r="AN2041" s="222"/>
      <c r="BC2041" s="223"/>
      <c r="BD2041" s="222"/>
      <c r="BH2041" s="611"/>
      <c r="BJ2041" s="15"/>
      <c r="BK2041" s="15"/>
      <c r="BO2041" s="223"/>
      <c r="BQ2041" s="889"/>
      <c r="BT2041" s="890"/>
      <c r="BX2041" s="889"/>
      <c r="CB2041" s="15"/>
      <c r="CC2041" s="697"/>
      <c r="CD2041" s="1086"/>
      <c r="CE2041" s="15"/>
      <c r="CF2041" s="15"/>
      <c r="CG2041" s="936"/>
      <c r="CH2041" s="15"/>
      <c r="CI2041" s="15"/>
      <c r="CJ2041" s="15"/>
      <c r="CK2041" s="1107"/>
      <c r="CL2041" s="22"/>
      <c r="CM2041" s="22"/>
      <c r="CN2041" s="1107"/>
      <c r="CR2041" s="223"/>
      <c r="CS2041" s="952"/>
      <c r="CT2041" s="1066"/>
      <c r="CU2041" s="972"/>
      <c r="CV2041" s="983"/>
      <c r="CW2041" s="222"/>
      <c r="CX2041" s="697"/>
      <c r="DC2041" s="222"/>
      <c r="DJ2041" s="889"/>
      <c r="DM2041" s="890"/>
      <c r="DN2041" s="952"/>
      <c r="DO2041" s="75"/>
      <c r="DP2041" s="962"/>
      <c r="DQ2041" s="983"/>
      <c r="DV2041" s="889"/>
    </row>
    <row r="2042" spans="1:126" s="74" customFormat="1">
      <c r="A2042" s="15"/>
      <c r="B2042" s="15"/>
      <c r="C2042" s="15"/>
      <c r="D2042" s="15"/>
      <c r="E2042" s="6"/>
      <c r="F2042" s="6"/>
      <c r="G2042" s="6"/>
      <c r="K2042" s="222"/>
      <c r="V2042" s="1430"/>
      <c r="AA2042" s="223"/>
      <c r="AC2042" s="889"/>
      <c r="AF2042" s="890"/>
      <c r="AJ2042" s="889"/>
      <c r="AN2042" s="222"/>
      <c r="BC2042" s="223"/>
      <c r="BD2042" s="222"/>
      <c r="BH2042" s="611"/>
      <c r="BJ2042" s="15"/>
      <c r="BK2042" s="15"/>
      <c r="BO2042" s="223"/>
      <c r="BQ2042" s="889"/>
      <c r="BT2042" s="890"/>
      <c r="BX2042" s="889"/>
      <c r="CB2042" s="15"/>
      <c r="CC2042" s="697"/>
      <c r="CD2042" s="1086"/>
      <c r="CE2042" s="15"/>
      <c r="CF2042" s="15"/>
      <c r="CG2042" s="936"/>
      <c r="CH2042" s="15"/>
      <c r="CI2042" s="15"/>
      <c r="CJ2042" s="15"/>
      <c r="CK2042" s="1107"/>
      <c r="CL2042" s="22"/>
      <c r="CM2042" s="22"/>
      <c r="CN2042" s="1107"/>
      <c r="CR2042" s="223"/>
      <c r="CS2042" s="952"/>
      <c r="CT2042" s="1066"/>
      <c r="CU2042" s="972"/>
      <c r="CV2042" s="983"/>
      <c r="CW2042" s="222"/>
      <c r="CX2042" s="697"/>
      <c r="DC2042" s="222"/>
      <c r="DJ2042" s="889"/>
      <c r="DM2042" s="890"/>
      <c r="DN2042" s="952"/>
      <c r="DO2042" s="75"/>
      <c r="DP2042" s="962"/>
      <c r="DQ2042" s="983"/>
      <c r="DV2042" s="889"/>
    </row>
    <row r="2043" spans="1:126" s="74" customFormat="1">
      <c r="A2043" s="15"/>
      <c r="B2043" s="15"/>
      <c r="C2043" s="15"/>
      <c r="D2043" s="15"/>
      <c r="E2043" s="6"/>
      <c r="F2043" s="6"/>
      <c r="G2043" s="6"/>
      <c r="K2043" s="222"/>
      <c r="V2043" s="1430"/>
      <c r="AA2043" s="223"/>
      <c r="AC2043" s="889"/>
      <c r="AF2043" s="890"/>
      <c r="AJ2043" s="889"/>
      <c r="AN2043" s="222"/>
      <c r="BC2043" s="223"/>
      <c r="BD2043" s="222"/>
      <c r="BH2043" s="611"/>
      <c r="BJ2043" s="15"/>
      <c r="BK2043" s="15"/>
      <c r="BO2043" s="223"/>
      <c r="BQ2043" s="889"/>
      <c r="BT2043" s="890"/>
      <c r="BX2043" s="889"/>
      <c r="CB2043" s="15"/>
      <c r="CC2043" s="697"/>
      <c r="CD2043" s="1086"/>
      <c r="CE2043" s="15"/>
      <c r="CF2043" s="15"/>
      <c r="CG2043" s="936"/>
      <c r="CH2043" s="15"/>
      <c r="CI2043" s="15"/>
      <c r="CJ2043" s="15"/>
      <c r="CK2043" s="1107"/>
      <c r="CL2043" s="22"/>
      <c r="CM2043" s="22"/>
      <c r="CN2043" s="1107"/>
      <c r="CR2043" s="223"/>
      <c r="CS2043" s="952"/>
      <c r="CT2043" s="1066"/>
      <c r="CU2043" s="972"/>
      <c r="CV2043" s="983"/>
      <c r="CW2043" s="222"/>
      <c r="CX2043" s="697"/>
      <c r="DC2043" s="222"/>
      <c r="DJ2043" s="889"/>
      <c r="DM2043" s="890"/>
      <c r="DN2043" s="952"/>
      <c r="DO2043" s="75"/>
      <c r="DP2043" s="962"/>
      <c r="DQ2043" s="983"/>
      <c r="DV2043" s="889"/>
    </row>
    <row r="2044" spans="1:126" s="74" customFormat="1">
      <c r="A2044" s="15"/>
      <c r="B2044" s="15"/>
      <c r="C2044" s="15"/>
      <c r="D2044" s="15"/>
      <c r="E2044" s="6"/>
      <c r="F2044" s="6"/>
      <c r="G2044" s="6"/>
      <c r="K2044" s="222"/>
      <c r="V2044" s="1430"/>
      <c r="AA2044" s="223"/>
      <c r="AC2044" s="889"/>
      <c r="AF2044" s="890"/>
      <c r="AJ2044" s="889"/>
      <c r="AN2044" s="222"/>
      <c r="BC2044" s="223"/>
      <c r="BD2044" s="222"/>
      <c r="BH2044" s="611"/>
      <c r="BJ2044" s="15"/>
      <c r="BK2044" s="15"/>
      <c r="BO2044" s="223"/>
      <c r="BQ2044" s="889"/>
      <c r="BT2044" s="890"/>
      <c r="BX2044" s="889"/>
      <c r="CB2044" s="15"/>
      <c r="CC2044" s="697"/>
      <c r="CD2044" s="1086"/>
      <c r="CE2044" s="15"/>
      <c r="CF2044" s="15"/>
      <c r="CG2044" s="936"/>
      <c r="CH2044" s="15"/>
      <c r="CI2044" s="15"/>
      <c r="CJ2044" s="15"/>
      <c r="CK2044" s="1107"/>
      <c r="CL2044" s="22"/>
      <c r="CM2044" s="22"/>
      <c r="CN2044" s="1107"/>
      <c r="CR2044" s="223"/>
      <c r="CS2044" s="952"/>
      <c r="CT2044" s="1066"/>
      <c r="CU2044" s="972"/>
      <c r="CV2044" s="983"/>
      <c r="CW2044" s="222"/>
      <c r="CX2044" s="697"/>
      <c r="DC2044" s="222"/>
      <c r="DJ2044" s="889"/>
      <c r="DM2044" s="890"/>
      <c r="DN2044" s="952"/>
      <c r="DO2044" s="75"/>
      <c r="DP2044" s="962"/>
      <c r="DQ2044" s="983"/>
      <c r="DV2044" s="889"/>
    </row>
    <row r="2045" spans="1:126" s="74" customFormat="1">
      <c r="A2045" s="15"/>
      <c r="B2045" s="15"/>
      <c r="C2045" s="15"/>
      <c r="D2045" s="15"/>
      <c r="E2045" s="6"/>
      <c r="F2045" s="6"/>
      <c r="G2045" s="6"/>
      <c r="K2045" s="222"/>
      <c r="V2045" s="1430"/>
      <c r="AA2045" s="223"/>
      <c r="AC2045" s="889"/>
      <c r="AF2045" s="890"/>
      <c r="AJ2045" s="889"/>
      <c r="AN2045" s="222"/>
      <c r="BC2045" s="223"/>
      <c r="BD2045" s="222"/>
      <c r="BH2045" s="611"/>
      <c r="BJ2045" s="15"/>
      <c r="BK2045" s="15"/>
      <c r="BO2045" s="223"/>
      <c r="BQ2045" s="889"/>
      <c r="BT2045" s="890"/>
      <c r="BX2045" s="889"/>
      <c r="CB2045" s="15"/>
      <c r="CC2045" s="697"/>
      <c r="CD2045" s="1086"/>
      <c r="CE2045" s="15"/>
      <c r="CF2045" s="15"/>
      <c r="CG2045" s="936"/>
      <c r="CH2045" s="15"/>
      <c r="CI2045" s="15"/>
      <c r="CJ2045" s="15"/>
      <c r="CK2045" s="1107"/>
      <c r="CL2045" s="22"/>
      <c r="CM2045" s="22"/>
      <c r="CN2045" s="1107"/>
      <c r="CR2045" s="223"/>
      <c r="CS2045" s="952"/>
      <c r="CT2045" s="1066"/>
      <c r="CU2045" s="972"/>
      <c r="CV2045" s="983"/>
      <c r="CW2045" s="222"/>
      <c r="CX2045" s="697"/>
      <c r="DC2045" s="222"/>
      <c r="DJ2045" s="889"/>
      <c r="DM2045" s="890"/>
      <c r="DN2045" s="952"/>
      <c r="DO2045" s="75"/>
      <c r="DP2045" s="962"/>
      <c r="DQ2045" s="983"/>
      <c r="DV2045" s="889"/>
    </row>
    <row r="2046" spans="1:126" s="74" customFormat="1">
      <c r="A2046" s="15"/>
      <c r="B2046" s="15"/>
      <c r="C2046" s="15"/>
      <c r="D2046" s="15"/>
      <c r="E2046" s="6"/>
      <c r="F2046" s="6"/>
      <c r="G2046" s="6"/>
      <c r="K2046" s="222"/>
      <c r="V2046" s="1430"/>
      <c r="AA2046" s="223"/>
      <c r="AC2046" s="889"/>
      <c r="AF2046" s="890"/>
      <c r="AJ2046" s="889"/>
      <c r="AN2046" s="222"/>
      <c r="BC2046" s="223"/>
      <c r="BD2046" s="222"/>
      <c r="BH2046" s="611"/>
      <c r="BJ2046" s="15"/>
      <c r="BK2046" s="15"/>
      <c r="BO2046" s="223"/>
      <c r="BQ2046" s="889"/>
      <c r="BT2046" s="890"/>
      <c r="BX2046" s="889"/>
      <c r="CB2046" s="15"/>
      <c r="CC2046" s="697"/>
      <c r="CD2046" s="1086"/>
      <c r="CE2046" s="15"/>
      <c r="CF2046" s="15"/>
      <c r="CG2046" s="936"/>
      <c r="CH2046" s="15"/>
      <c r="CI2046" s="15"/>
      <c r="CJ2046" s="15"/>
      <c r="CK2046" s="1107"/>
      <c r="CL2046" s="22"/>
      <c r="CM2046" s="22"/>
      <c r="CN2046" s="1107"/>
      <c r="CR2046" s="223"/>
      <c r="CS2046" s="952"/>
      <c r="CT2046" s="1066"/>
      <c r="CU2046" s="972"/>
      <c r="CV2046" s="983"/>
      <c r="CW2046" s="222"/>
      <c r="CX2046" s="697"/>
      <c r="DC2046" s="222"/>
      <c r="DJ2046" s="889"/>
      <c r="DM2046" s="890"/>
      <c r="DN2046" s="952"/>
      <c r="DO2046" s="75"/>
      <c r="DP2046" s="962"/>
      <c r="DQ2046" s="983"/>
      <c r="DV2046" s="889"/>
    </row>
    <row r="2047" spans="1:126" s="74" customFormat="1">
      <c r="A2047" s="15"/>
      <c r="B2047" s="15"/>
      <c r="C2047" s="15"/>
      <c r="D2047" s="15"/>
      <c r="E2047" s="6"/>
      <c r="F2047" s="6"/>
      <c r="G2047" s="6"/>
      <c r="K2047" s="222"/>
      <c r="V2047" s="1430"/>
      <c r="AA2047" s="223"/>
      <c r="AC2047" s="889"/>
      <c r="AF2047" s="890"/>
      <c r="AJ2047" s="889"/>
      <c r="AN2047" s="222"/>
      <c r="BC2047" s="223"/>
      <c r="BD2047" s="222"/>
      <c r="BH2047" s="611"/>
      <c r="BJ2047" s="15"/>
      <c r="BK2047" s="15"/>
      <c r="BO2047" s="223"/>
      <c r="BQ2047" s="889"/>
      <c r="BT2047" s="890"/>
      <c r="BX2047" s="889"/>
      <c r="CB2047" s="15"/>
      <c r="CC2047" s="697"/>
      <c r="CD2047" s="1086"/>
      <c r="CE2047" s="15"/>
      <c r="CF2047" s="15"/>
      <c r="CG2047" s="936"/>
      <c r="CH2047" s="15"/>
      <c r="CI2047" s="15"/>
      <c r="CJ2047" s="15"/>
      <c r="CK2047" s="1107"/>
      <c r="CL2047" s="22"/>
      <c r="CM2047" s="22"/>
      <c r="CN2047" s="1107"/>
      <c r="CR2047" s="223"/>
      <c r="CS2047" s="952"/>
      <c r="CT2047" s="1066"/>
      <c r="CU2047" s="972"/>
      <c r="CV2047" s="983"/>
      <c r="CW2047" s="222"/>
      <c r="CX2047" s="697"/>
      <c r="DC2047" s="222"/>
      <c r="DJ2047" s="889"/>
      <c r="DM2047" s="890"/>
      <c r="DN2047" s="952"/>
      <c r="DO2047" s="75"/>
      <c r="DP2047" s="962"/>
      <c r="DQ2047" s="983"/>
      <c r="DV2047" s="889"/>
    </row>
    <row r="2048" spans="1:126" s="74" customFormat="1">
      <c r="A2048" s="15"/>
      <c r="B2048" s="15"/>
      <c r="C2048" s="15"/>
      <c r="D2048" s="15"/>
      <c r="E2048" s="6"/>
      <c r="F2048" s="6"/>
      <c r="G2048" s="6"/>
      <c r="K2048" s="222"/>
      <c r="V2048" s="1430"/>
      <c r="AA2048" s="223"/>
      <c r="AC2048" s="889"/>
      <c r="AF2048" s="890"/>
      <c r="AJ2048" s="889"/>
      <c r="AN2048" s="222"/>
      <c r="BC2048" s="223"/>
      <c r="BD2048" s="222"/>
      <c r="BH2048" s="611"/>
      <c r="BJ2048" s="15"/>
      <c r="BK2048" s="15"/>
      <c r="BO2048" s="223"/>
      <c r="BQ2048" s="889"/>
      <c r="BT2048" s="890"/>
      <c r="BX2048" s="889"/>
      <c r="CB2048" s="15"/>
      <c r="CC2048" s="697"/>
      <c r="CD2048" s="1086"/>
      <c r="CE2048" s="15"/>
      <c r="CF2048" s="15"/>
      <c r="CG2048" s="936"/>
      <c r="CH2048" s="15"/>
      <c r="CI2048" s="15"/>
      <c r="CJ2048" s="15"/>
      <c r="CK2048" s="1107"/>
      <c r="CL2048" s="22"/>
      <c r="CM2048" s="22"/>
      <c r="CN2048" s="1107"/>
      <c r="CR2048" s="223"/>
      <c r="CS2048" s="952"/>
      <c r="CT2048" s="1066"/>
      <c r="CU2048" s="972"/>
      <c r="CV2048" s="983"/>
      <c r="CW2048" s="222"/>
      <c r="CX2048" s="697"/>
      <c r="DC2048" s="222"/>
      <c r="DJ2048" s="889"/>
      <c r="DM2048" s="890"/>
      <c r="DN2048" s="952"/>
      <c r="DO2048" s="75"/>
      <c r="DP2048" s="962"/>
      <c r="DQ2048" s="983"/>
      <c r="DV2048" s="889"/>
    </row>
    <row r="2049" spans="1:126" s="74" customFormat="1">
      <c r="A2049" s="15"/>
      <c r="B2049" s="15"/>
      <c r="C2049" s="15"/>
      <c r="D2049" s="15"/>
      <c r="E2049" s="6"/>
      <c r="F2049" s="6"/>
      <c r="G2049" s="6"/>
      <c r="K2049" s="222"/>
      <c r="V2049" s="1430"/>
      <c r="AA2049" s="223"/>
      <c r="AC2049" s="889"/>
      <c r="AF2049" s="890"/>
      <c r="AJ2049" s="889"/>
      <c r="AN2049" s="222"/>
      <c r="BC2049" s="223"/>
      <c r="BD2049" s="222"/>
      <c r="BH2049" s="611"/>
      <c r="BJ2049" s="15"/>
      <c r="BK2049" s="15"/>
      <c r="BO2049" s="223"/>
      <c r="BQ2049" s="889"/>
      <c r="BT2049" s="890"/>
      <c r="BX2049" s="889"/>
      <c r="CB2049" s="15"/>
      <c r="CC2049" s="697"/>
      <c r="CD2049" s="1086"/>
      <c r="CE2049" s="15"/>
      <c r="CF2049" s="15"/>
      <c r="CG2049" s="936"/>
      <c r="CH2049" s="15"/>
      <c r="CI2049" s="15"/>
      <c r="CJ2049" s="15"/>
      <c r="CK2049" s="1107"/>
      <c r="CL2049" s="22"/>
      <c r="CM2049" s="22"/>
      <c r="CN2049" s="1107"/>
      <c r="CR2049" s="223"/>
      <c r="CS2049" s="952"/>
      <c r="CT2049" s="1066"/>
      <c r="CU2049" s="972"/>
      <c r="CV2049" s="983"/>
      <c r="CW2049" s="222"/>
      <c r="CX2049" s="697"/>
      <c r="DC2049" s="222"/>
      <c r="DJ2049" s="889"/>
      <c r="DM2049" s="890"/>
      <c r="DN2049" s="952"/>
      <c r="DO2049" s="75"/>
      <c r="DP2049" s="962"/>
      <c r="DQ2049" s="983"/>
      <c r="DV2049" s="889"/>
    </row>
    <row r="2050" spans="1:126" s="74" customFormat="1">
      <c r="A2050" s="15"/>
      <c r="B2050" s="15"/>
      <c r="C2050" s="15"/>
      <c r="D2050" s="15"/>
      <c r="E2050" s="6"/>
      <c r="F2050" s="6"/>
      <c r="G2050" s="6"/>
      <c r="K2050" s="222"/>
      <c r="V2050" s="1430"/>
      <c r="AA2050" s="223"/>
      <c r="AC2050" s="889"/>
      <c r="AF2050" s="890"/>
      <c r="AJ2050" s="889"/>
      <c r="AN2050" s="222"/>
      <c r="BC2050" s="223"/>
      <c r="BD2050" s="222"/>
      <c r="BH2050" s="611"/>
      <c r="BJ2050" s="15"/>
      <c r="BK2050" s="15"/>
      <c r="BO2050" s="223"/>
      <c r="BQ2050" s="889"/>
      <c r="BT2050" s="890"/>
      <c r="BX2050" s="889"/>
      <c r="CB2050" s="15"/>
      <c r="CC2050" s="697"/>
      <c r="CD2050" s="1086"/>
      <c r="CE2050" s="15"/>
      <c r="CF2050" s="15"/>
      <c r="CG2050" s="936"/>
      <c r="CH2050" s="15"/>
      <c r="CI2050" s="15"/>
      <c r="CJ2050" s="15"/>
      <c r="CK2050" s="1107"/>
      <c r="CL2050" s="22"/>
      <c r="CM2050" s="22"/>
      <c r="CN2050" s="1107"/>
      <c r="CR2050" s="223"/>
      <c r="CS2050" s="952"/>
      <c r="CT2050" s="1066"/>
      <c r="CU2050" s="972"/>
      <c r="CV2050" s="983"/>
      <c r="CW2050" s="222"/>
      <c r="CX2050" s="697"/>
      <c r="DC2050" s="222"/>
      <c r="DJ2050" s="889"/>
      <c r="DM2050" s="890"/>
      <c r="DN2050" s="952"/>
      <c r="DO2050" s="75"/>
      <c r="DP2050" s="962"/>
      <c r="DQ2050" s="983"/>
      <c r="DV2050" s="889"/>
    </row>
    <row r="2051" spans="1:126" s="74" customFormat="1">
      <c r="A2051" s="15"/>
      <c r="B2051" s="15"/>
      <c r="C2051" s="15"/>
      <c r="D2051" s="15"/>
      <c r="E2051" s="6"/>
      <c r="F2051" s="6"/>
      <c r="G2051" s="6"/>
      <c r="K2051" s="222"/>
      <c r="V2051" s="1430"/>
      <c r="AA2051" s="223"/>
      <c r="AC2051" s="889"/>
      <c r="AF2051" s="890"/>
      <c r="AJ2051" s="889"/>
      <c r="AN2051" s="222"/>
      <c r="BC2051" s="223"/>
      <c r="BD2051" s="222"/>
      <c r="BH2051" s="611"/>
      <c r="BJ2051" s="15"/>
      <c r="BK2051" s="15"/>
      <c r="BO2051" s="223"/>
      <c r="BQ2051" s="889"/>
      <c r="BT2051" s="890"/>
      <c r="BX2051" s="889"/>
      <c r="CB2051" s="15"/>
      <c r="CC2051" s="697"/>
      <c r="CD2051" s="1086"/>
      <c r="CE2051" s="15"/>
      <c r="CF2051" s="15"/>
      <c r="CG2051" s="936"/>
      <c r="CH2051" s="15"/>
      <c r="CI2051" s="15"/>
      <c r="CJ2051" s="15"/>
      <c r="CK2051" s="1107"/>
      <c r="CL2051" s="22"/>
      <c r="CM2051" s="22"/>
      <c r="CN2051" s="1107"/>
      <c r="CR2051" s="223"/>
      <c r="CS2051" s="952"/>
      <c r="CT2051" s="1066"/>
      <c r="CU2051" s="972"/>
      <c r="CV2051" s="983"/>
      <c r="CW2051" s="222"/>
      <c r="CX2051" s="697"/>
      <c r="DC2051" s="222"/>
      <c r="DJ2051" s="889"/>
      <c r="DM2051" s="890"/>
      <c r="DN2051" s="952"/>
      <c r="DO2051" s="75"/>
      <c r="DP2051" s="962"/>
      <c r="DQ2051" s="983"/>
      <c r="DV2051" s="889"/>
    </row>
    <row r="2052" spans="1:126" s="74" customFormat="1">
      <c r="A2052" s="15"/>
      <c r="B2052" s="15"/>
      <c r="C2052" s="15"/>
      <c r="D2052" s="15"/>
      <c r="E2052" s="6"/>
      <c r="F2052" s="6"/>
      <c r="G2052" s="6"/>
      <c r="K2052" s="222"/>
      <c r="V2052" s="1430"/>
      <c r="AA2052" s="223"/>
      <c r="AC2052" s="889"/>
      <c r="AF2052" s="890"/>
      <c r="AJ2052" s="889"/>
      <c r="AN2052" s="222"/>
      <c r="BC2052" s="223"/>
      <c r="BD2052" s="222"/>
      <c r="BH2052" s="611"/>
      <c r="BJ2052" s="15"/>
      <c r="BK2052" s="15"/>
      <c r="BO2052" s="223"/>
      <c r="BQ2052" s="889"/>
      <c r="BT2052" s="890"/>
      <c r="BX2052" s="889"/>
      <c r="CB2052" s="15"/>
      <c r="CC2052" s="697"/>
      <c r="CD2052" s="1086"/>
      <c r="CE2052" s="15"/>
      <c r="CF2052" s="15"/>
      <c r="CG2052" s="936"/>
      <c r="CH2052" s="15"/>
      <c r="CI2052" s="15"/>
      <c r="CJ2052" s="15"/>
      <c r="CK2052" s="1107"/>
      <c r="CL2052" s="22"/>
      <c r="CM2052" s="22"/>
      <c r="CN2052" s="1107"/>
      <c r="CR2052" s="223"/>
      <c r="CS2052" s="952"/>
      <c r="CT2052" s="1066"/>
      <c r="CU2052" s="972"/>
      <c r="CV2052" s="983"/>
      <c r="CW2052" s="222"/>
      <c r="CX2052" s="697"/>
      <c r="DC2052" s="222"/>
      <c r="DJ2052" s="889"/>
      <c r="DM2052" s="890"/>
      <c r="DN2052" s="952"/>
      <c r="DO2052" s="75"/>
      <c r="DP2052" s="962"/>
      <c r="DQ2052" s="983"/>
      <c r="DV2052" s="889"/>
    </row>
    <row r="2053" spans="1:126" s="74" customFormat="1">
      <c r="A2053" s="15"/>
      <c r="B2053" s="15"/>
      <c r="C2053" s="15"/>
      <c r="D2053" s="15"/>
      <c r="E2053" s="6"/>
      <c r="F2053" s="6"/>
      <c r="G2053" s="6"/>
      <c r="K2053" s="222"/>
      <c r="V2053" s="1430"/>
      <c r="AA2053" s="223"/>
      <c r="AC2053" s="889"/>
      <c r="AF2053" s="890"/>
      <c r="AJ2053" s="889"/>
      <c r="AN2053" s="222"/>
      <c r="BC2053" s="223"/>
      <c r="BD2053" s="222"/>
      <c r="BH2053" s="611"/>
      <c r="BJ2053" s="15"/>
      <c r="BK2053" s="15"/>
      <c r="BO2053" s="223"/>
      <c r="BQ2053" s="889"/>
      <c r="BT2053" s="890"/>
      <c r="BX2053" s="889"/>
      <c r="CB2053" s="15"/>
      <c r="CC2053" s="697"/>
      <c r="CD2053" s="1086"/>
      <c r="CE2053" s="15"/>
      <c r="CF2053" s="15"/>
      <c r="CG2053" s="936"/>
      <c r="CH2053" s="15"/>
      <c r="CI2053" s="15"/>
      <c r="CJ2053" s="15"/>
      <c r="CK2053" s="1107"/>
      <c r="CL2053" s="22"/>
      <c r="CM2053" s="22"/>
      <c r="CN2053" s="1107"/>
      <c r="CR2053" s="223"/>
      <c r="CS2053" s="952"/>
      <c r="CT2053" s="1066"/>
      <c r="CU2053" s="972"/>
      <c r="CV2053" s="983"/>
      <c r="CW2053" s="222"/>
      <c r="CX2053" s="697"/>
      <c r="DC2053" s="222"/>
      <c r="DJ2053" s="889"/>
      <c r="DM2053" s="890"/>
      <c r="DN2053" s="952"/>
      <c r="DO2053" s="75"/>
      <c r="DP2053" s="962"/>
      <c r="DQ2053" s="983"/>
      <c r="DV2053" s="889"/>
    </row>
    <row r="2054" spans="1:126" s="74" customFormat="1">
      <c r="A2054" s="15"/>
      <c r="B2054" s="15"/>
      <c r="C2054" s="15"/>
      <c r="D2054" s="15"/>
      <c r="E2054" s="6"/>
      <c r="F2054" s="6"/>
      <c r="G2054" s="6"/>
      <c r="K2054" s="222"/>
      <c r="V2054" s="1430"/>
      <c r="AA2054" s="223"/>
      <c r="AC2054" s="889"/>
      <c r="AF2054" s="890"/>
      <c r="AJ2054" s="889"/>
      <c r="AN2054" s="222"/>
      <c r="BC2054" s="223"/>
      <c r="BD2054" s="222"/>
      <c r="BH2054" s="611"/>
      <c r="BJ2054" s="15"/>
      <c r="BK2054" s="15"/>
      <c r="BO2054" s="223"/>
      <c r="BQ2054" s="889"/>
      <c r="BT2054" s="890"/>
      <c r="BX2054" s="889"/>
      <c r="CB2054" s="15"/>
      <c r="CC2054" s="697"/>
      <c r="CD2054" s="1086"/>
      <c r="CE2054" s="15"/>
      <c r="CF2054" s="15"/>
      <c r="CG2054" s="936"/>
      <c r="CH2054" s="15"/>
      <c r="CI2054" s="15"/>
      <c r="CJ2054" s="15"/>
      <c r="CK2054" s="1107"/>
      <c r="CL2054" s="22"/>
      <c r="CM2054" s="22"/>
      <c r="CN2054" s="1107"/>
      <c r="CR2054" s="223"/>
      <c r="CS2054" s="952"/>
      <c r="CT2054" s="1066"/>
      <c r="CU2054" s="972"/>
      <c r="CV2054" s="983"/>
      <c r="CW2054" s="222"/>
      <c r="CX2054" s="697"/>
      <c r="DC2054" s="222"/>
      <c r="DJ2054" s="889"/>
      <c r="DM2054" s="890"/>
      <c r="DN2054" s="952"/>
      <c r="DO2054" s="75"/>
      <c r="DP2054" s="962"/>
      <c r="DQ2054" s="983"/>
      <c r="DV2054" s="889"/>
    </row>
    <row r="2055" spans="1:126" s="74" customFormat="1">
      <c r="A2055" s="15"/>
      <c r="B2055" s="15"/>
      <c r="C2055" s="15"/>
      <c r="D2055" s="15"/>
      <c r="E2055" s="6"/>
      <c r="F2055" s="6"/>
      <c r="G2055" s="6"/>
      <c r="K2055" s="222"/>
      <c r="V2055" s="1430"/>
      <c r="AA2055" s="223"/>
      <c r="AC2055" s="889"/>
      <c r="AF2055" s="890"/>
      <c r="AJ2055" s="889"/>
      <c r="AN2055" s="222"/>
      <c r="BC2055" s="223"/>
      <c r="BD2055" s="222"/>
      <c r="BH2055" s="611"/>
      <c r="BJ2055" s="15"/>
      <c r="BK2055" s="15"/>
      <c r="BO2055" s="223"/>
      <c r="BQ2055" s="889"/>
      <c r="BT2055" s="890"/>
      <c r="BX2055" s="889"/>
      <c r="CB2055" s="15"/>
      <c r="CC2055" s="697"/>
      <c r="CD2055" s="1086"/>
      <c r="CE2055" s="15"/>
      <c r="CF2055" s="15"/>
      <c r="CG2055" s="936"/>
      <c r="CH2055" s="15"/>
      <c r="CI2055" s="15"/>
      <c r="CJ2055" s="15"/>
      <c r="CK2055" s="1107"/>
      <c r="CL2055" s="22"/>
      <c r="CM2055" s="22"/>
      <c r="CN2055" s="1107"/>
      <c r="CR2055" s="223"/>
      <c r="CS2055" s="952"/>
      <c r="CT2055" s="1066"/>
      <c r="CU2055" s="972"/>
      <c r="CV2055" s="983"/>
      <c r="CW2055" s="222"/>
      <c r="CX2055" s="697"/>
      <c r="DC2055" s="222"/>
      <c r="DJ2055" s="889"/>
      <c r="DM2055" s="890"/>
      <c r="DN2055" s="952"/>
      <c r="DO2055" s="75"/>
      <c r="DP2055" s="962"/>
      <c r="DQ2055" s="983"/>
      <c r="DV2055" s="889"/>
    </row>
    <row r="2056" spans="1:126" s="74" customFormat="1">
      <c r="A2056" s="15"/>
      <c r="B2056" s="15"/>
      <c r="C2056" s="15"/>
      <c r="D2056" s="15"/>
      <c r="E2056" s="6"/>
      <c r="F2056" s="6"/>
      <c r="G2056" s="6"/>
      <c r="K2056" s="222"/>
      <c r="V2056" s="1430"/>
      <c r="AA2056" s="223"/>
      <c r="AC2056" s="889"/>
      <c r="AF2056" s="890"/>
      <c r="AJ2056" s="889"/>
      <c r="AN2056" s="222"/>
      <c r="BC2056" s="223"/>
      <c r="BD2056" s="222"/>
      <c r="BH2056" s="611"/>
      <c r="BJ2056" s="15"/>
      <c r="BK2056" s="15"/>
      <c r="BO2056" s="223"/>
      <c r="BQ2056" s="889"/>
      <c r="BT2056" s="890"/>
      <c r="BX2056" s="889"/>
      <c r="CB2056" s="15"/>
      <c r="CC2056" s="697"/>
      <c r="CD2056" s="1086"/>
      <c r="CE2056" s="15"/>
      <c r="CF2056" s="15"/>
      <c r="CG2056" s="936"/>
      <c r="CH2056" s="15"/>
      <c r="CI2056" s="15"/>
      <c r="CJ2056" s="15"/>
      <c r="CK2056" s="1107"/>
      <c r="CL2056" s="22"/>
      <c r="CM2056" s="22"/>
      <c r="CN2056" s="1107"/>
      <c r="CR2056" s="223"/>
      <c r="CS2056" s="952"/>
      <c r="CT2056" s="1066"/>
      <c r="CU2056" s="972"/>
      <c r="CV2056" s="983"/>
      <c r="CW2056" s="222"/>
      <c r="CX2056" s="697"/>
      <c r="DC2056" s="222"/>
      <c r="DJ2056" s="889"/>
      <c r="DM2056" s="890"/>
      <c r="DN2056" s="952"/>
      <c r="DO2056" s="75"/>
      <c r="DP2056" s="962"/>
      <c r="DQ2056" s="983"/>
      <c r="DV2056" s="889"/>
    </row>
    <row r="2057" spans="1:126" s="74" customFormat="1">
      <c r="A2057" s="15"/>
      <c r="B2057" s="15"/>
      <c r="C2057" s="15"/>
      <c r="D2057" s="15"/>
      <c r="E2057" s="6"/>
      <c r="F2057" s="6"/>
      <c r="G2057" s="6"/>
      <c r="K2057" s="222"/>
      <c r="V2057" s="1430"/>
      <c r="AA2057" s="223"/>
      <c r="AC2057" s="889"/>
      <c r="AF2057" s="890"/>
      <c r="AJ2057" s="889"/>
      <c r="AN2057" s="222"/>
      <c r="BC2057" s="223"/>
      <c r="BD2057" s="222"/>
      <c r="BH2057" s="611"/>
      <c r="BJ2057" s="15"/>
      <c r="BK2057" s="15"/>
      <c r="BO2057" s="223"/>
      <c r="BQ2057" s="889"/>
      <c r="BT2057" s="890"/>
      <c r="BX2057" s="889"/>
      <c r="CB2057" s="15"/>
      <c r="CC2057" s="697"/>
      <c r="CD2057" s="1086"/>
      <c r="CE2057" s="15"/>
      <c r="CF2057" s="15"/>
      <c r="CG2057" s="936"/>
      <c r="CH2057" s="15"/>
      <c r="CI2057" s="15"/>
      <c r="CJ2057" s="15"/>
      <c r="CK2057" s="1107"/>
      <c r="CL2057" s="22"/>
      <c r="CM2057" s="22"/>
      <c r="CN2057" s="1107"/>
      <c r="CR2057" s="223"/>
      <c r="CS2057" s="952"/>
      <c r="CT2057" s="1066"/>
      <c r="CU2057" s="972"/>
      <c r="CV2057" s="983"/>
      <c r="CW2057" s="222"/>
      <c r="CX2057" s="697"/>
      <c r="DC2057" s="222"/>
      <c r="DJ2057" s="889"/>
      <c r="DM2057" s="890"/>
      <c r="DN2057" s="952"/>
      <c r="DO2057" s="75"/>
      <c r="DP2057" s="962"/>
      <c r="DQ2057" s="983"/>
      <c r="DV2057" s="889"/>
    </row>
    <row r="2058" spans="1:126" s="74" customFormat="1">
      <c r="A2058" s="15"/>
      <c r="B2058" s="15"/>
      <c r="C2058" s="15"/>
      <c r="D2058" s="15"/>
      <c r="E2058" s="6"/>
      <c r="F2058" s="6"/>
      <c r="G2058" s="6"/>
      <c r="K2058" s="222"/>
      <c r="V2058" s="1430"/>
      <c r="AA2058" s="223"/>
      <c r="AC2058" s="889"/>
      <c r="AF2058" s="890"/>
      <c r="AJ2058" s="889"/>
      <c r="AN2058" s="222"/>
      <c r="BC2058" s="223"/>
      <c r="BD2058" s="222"/>
      <c r="BH2058" s="611"/>
      <c r="BJ2058" s="15"/>
      <c r="BK2058" s="15"/>
      <c r="BO2058" s="223"/>
      <c r="BQ2058" s="889"/>
      <c r="BT2058" s="890"/>
      <c r="BX2058" s="889"/>
      <c r="CB2058" s="15"/>
      <c r="CC2058" s="697"/>
      <c r="CD2058" s="1086"/>
      <c r="CE2058" s="15"/>
      <c r="CF2058" s="15"/>
      <c r="CG2058" s="936"/>
      <c r="CH2058" s="15"/>
      <c r="CI2058" s="15"/>
      <c r="CJ2058" s="15"/>
      <c r="CK2058" s="1107"/>
      <c r="CL2058" s="22"/>
      <c r="CM2058" s="22"/>
      <c r="CN2058" s="1107"/>
      <c r="CR2058" s="223"/>
      <c r="CS2058" s="952"/>
      <c r="CT2058" s="1066"/>
      <c r="CU2058" s="972"/>
      <c r="CV2058" s="983"/>
      <c r="CW2058" s="222"/>
      <c r="CX2058" s="697"/>
      <c r="DC2058" s="222"/>
      <c r="DJ2058" s="889"/>
      <c r="DM2058" s="890"/>
      <c r="DN2058" s="952"/>
      <c r="DO2058" s="75"/>
      <c r="DP2058" s="962"/>
      <c r="DQ2058" s="983"/>
      <c r="DV2058" s="889"/>
    </row>
    <row r="2059" spans="1:126" s="74" customFormat="1">
      <c r="A2059" s="15"/>
      <c r="B2059" s="15"/>
      <c r="C2059" s="15"/>
      <c r="D2059" s="15"/>
      <c r="E2059" s="6"/>
      <c r="F2059" s="6"/>
      <c r="G2059" s="6"/>
      <c r="K2059" s="222"/>
      <c r="V2059" s="1430"/>
      <c r="AA2059" s="223"/>
      <c r="AC2059" s="889"/>
      <c r="AF2059" s="890"/>
      <c r="AJ2059" s="889"/>
      <c r="AN2059" s="222"/>
      <c r="BC2059" s="223"/>
      <c r="BD2059" s="222"/>
      <c r="BH2059" s="611"/>
      <c r="BJ2059" s="15"/>
      <c r="BK2059" s="15"/>
      <c r="BO2059" s="223"/>
      <c r="BQ2059" s="889"/>
      <c r="BT2059" s="890"/>
      <c r="BX2059" s="889"/>
      <c r="CB2059" s="15"/>
      <c r="CC2059" s="697"/>
      <c r="CD2059" s="1086"/>
      <c r="CE2059" s="15"/>
      <c r="CF2059" s="15"/>
      <c r="CG2059" s="936"/>
      <c r="CH2059" s="15"/>
      <c r="CI2059" s="15"/>
      <c r="CJ2059" s="15"/>
      <c r="CK2059" s="1107"/>
      <c r="CL2059" s="22"/>
      <c r="CM2059" s="22"/>
      <c r="CN2059" s="1107"/>
      <c r="CR2059" s="223"/>
      <c r="CS2059" s="952"/>
      <c r="CT2059" s="1066"/>
      <c r="CU2059" s="972"/>
      <c r="CV2059" s="983"/>
      <c r="CW2059" s="222"/>
      <c r="CX2059" s="697"/>
      <c r="DC2059" s="222"/>
      <c r="DJ2059" s="889"/>
      <c r="DM2059" s="890"/>
      <c r="DN2059" s="952"/>
      <c r="DO2059" s="75"/>
      <c r="DP2059" s="962"/>
      <c r="DQ2059" s="983"/>
      <c r="DV2059" s="889"/>
    </row>
    <row r="2060" spans="1:126" s="74" customFormat="1">
      <c r="A2060" s="15"/>
      <c r="B2060" s="15"/>
      <c r="C2060" s="15"/>
      <c r="D2060" s="15"/>
      <c r="E2060" s="6"/>
      <c r="F2060" s="6"/>
      <c r="G2060" s="6"/>
      <c r="K2060" s="222"/>
      <c r="V2060" s="1430"/>
      <c r="AA2060" s="223"/>
      <c r="AC2060" s="889"/>
      <c r="AF2060" s="890"/>
      <c r="AJ2060" s="889"/>
      <c r="AN2060" s="222"/>
      <c r="BC2060" s="223"/>
      <c r="BD2060" s="222"/>
      <c r="BH2060" s="611"/>
      <c r="BJ2060" s="15"/>
      <c r="BK2060" s="15"/>
      <c r="BO2060" s="223"/>
      <c r="BQ2060" s="889"/>
      <c r="BT2060" s="890"/>
      <c r="BX2060" s="889"/>
      <c r="CB2060" s="15"/>
      <c r="CC2060" s="697"/>
      <c r="CD2060" s="1086"/>
      <c r="CE2060" s="15"/>
      <c r="CF2060" s="15"/>
      <c r="CG2060" s="936"/>
      <c r="CH2060" s="15"/>
      <c r="CI2060" s="15"/>
      <c r="CJ2060" s="15"/>
      <c r="CK2060" s="1107"/>
      <c r="CL2060" s="22"/>
      <c r="CM2060" s="22"/>
      <c r="CN2060" s="1107"/>
      <c r="CR2060" s="223"/>
      <c r="CS2060" s="952"/>
      <c r="CT2060" s="1066"/>
      <c r="CU2060" s="972"/>
      <c r="CV2060" s="983"/>
      <c r="CW2060" s="222"/>
      <c r="CX2060" s="697"/>
      <c r="DC2060" s="222"/>
      <c r="DJ2060" s="889"/>
      <c r="DM2060" s="890"/>
      <c r="DN2060" s="952"/>
      <c r="DO2060" s="75"/>
      <c r="DP2060" s="962"/>
      <c r="DQ2060" s="983"/>
      <c r="DV2060" s="889"/>
    </row>
    <row r="2061" spans="1:126" s="74" customFormat="1">
      <c r="A2061" s="15"/>
      <c r="B2061" s="15"/>
      <c r="C2061" s="15"/>
      <c r="D2061" s="15"/>
      <c r="E2061" s="6"/>
      <c r="F2061" s="6"/>
      <c r="G2061" s="6"/>
      <c r="K2061" s="222"/>
      <c r="V2061" s="1430"/>
      <c r="AA2061" s="223"/>
      <c r="AC2061" s="889"/>
      <c r="AF2061" s="890"/>
      <c r="AJ2061" s="889"/>
      <c r="AN2061" s="222"/>
      <c r="BC2061" s="223"/>
      <c r="BD2061" s="222"/>
      <c r="BH2061" s="611"/>
      <c r="BJ2061" s="15"/>
      <c r="BK2061" s="15"/>
      <c r="BO2061" s="223"/>
      <c r="BQ2061" s="889"/>
      <c r="BT2061" s="890"/>
      <c r="BX2061" s="889"/>
      <c r="CB2061" s="15"/>
      <c r="CC2061" s="697"/>
      <c r="CD2061" s="1086"/>
      <c r="CE2061" s="15"/>
      <c r="CF2061" s="15"/>
      <c r="CG2061" s="936"/>
      <c r="CH2061" s="15"/>
      <c r="CI2061" s="15"/>
      <c r="CJ2061" s="15"/>
      <c r="CK2061" s="1107"/>
      <c r="CL2061" s="22"/>
      <c r="CM2061" s="22"/>
      <c r="CN2061" s="1107"/>
      <c r="CR2061" s="223"/>
      <c r="CS2061" s="952"/>
      <c r="CT2061" s="1066"/>
      <c r="CU2061" s="972"/>
      <c r="CV2061" s="983"/>
      <c r="CW2061" s="222"/>
      <c r="CX2061" s="697"/>
      <c r="DC2061" s="222"/>
      <c r="DJ2061" s="889"/>
      <c r="DM2061" s="890"/>
      <c r="DN2061" s="952"/>
      <c r="DO2061" s="75"/>
      <c r="DP2061" s="962"/>
      <c r="DQ2061" s="983"/>
      <c r="DV2061" s="889"/>
    </row>
    <row r="2062" spans="1:126" s="74" customFormat="1">
      <c r="A2062" s="15"/>
      <c r="B2062" s="15"/>
      <c r="C2062" s="15"/>
      <c r="D2062" s="15"/>
      <c r="E2062" s="6"/>
      <c r="F2062" s="6"/>
      <c r="G2062" s="6"/>
      <c r="K2062" s="222"/>
      <c r="V2062" s="1430"/>
      <c r="AA2062" s="223"/>
      <c r="AC2062" s="889"/>
      <c r="AF2062" s="890"/>
      <c r="AJ2062" s="889"/>
      <c r="AN2062" s="222"/>
      <c r="BC2062" s="223"/>
      <c r="BD2062" s="222"/>
      <c r="BH2062" s="611"/>
      <c r="BJ2062" s="15"/>
      <c r="BK2062" s="15"/>
      <c r="BO2062" s="223"/>
      <c r="BQ2062" s="889"/>
      <c r="BT2062" s="890"/>
      <c r="BX2062" s="889"/>
      <c r="CB2062" s="15"/>
      <c r="CC2062" s="697"/>
      <c r="CD2062" s="1086"/>
      <c r="CE2062" s="15"/>
      <c r="CF2062" s="15"/>
      <c r="CG2062" s="936"/>
      <c r="CH2062" s="15"/>
      <c r="CI2062" s="15"/>
      <c r="CJ2062" s="15"/>
      <c r="CK2062" s="1107"/>
      <c r="CL2062" s="22"/>
      <c r="CM2062" s="22"/>
      <c r="CN2062" s="1107"/>
      <c r="CR2062" s="223"/>
      <c r="CS2062" s="952"/>
      <c r="CT2062" s="1066"/>
      <c r="CU2062" s="972"/>
      <c r="CV2062" s="983"/>
      <c r="CW2062" s="222"/>
      <c r="CX2062" s="697"/>
      <c r="DC2062" s="222"/>
      <c r="DJ2062" s="889"/>
      <c r="DM2062" s="890"/>
      <c r="DN2062" s="952"/>
      <c r="DO2062" s="75"/>
      <c r="DP2062" s="962"/>
      <c r="DQ2062" s="983"/>
      <c r="DV2062" s="889"/>
    </row>
    <row r="2063" spans="1:126" s="74" customFormat="1">
      <c r="A2063" s="15"/>
      <c r="B2063" s="15"/>
      <c r="C2063" s="15"/>
      <c r="D2063" s="15"/>
      <c r="E2063" s="6"/>
      <c r="F2063" s="6"/>
      <c r="G2063" s="6"/>
      <c r="K2063" s="222"/>
      <c r="V2063" s="1430"/>
      <c r="AA2063" s="223"/>
      <c r="AC2063" s="889"/>
      <c r="AF2063" s="890"/>
      <c r="AJ2063" s="889"/>
      <c r="AN2063" s="222"/>
      <c r="BC2063" s="223"/>
      <c r="BD2063" s="222"/>
      <c r="BH2063" s="611"/>
      <c r="BJ2063" s="15"/>
      <c r="BK2063" s="15"/>
      <c r="BO2063" s="223"/>
      <c r="BQ2063" s="889"/>
      <c r="BT2063" s="890"/>
      <c r="BX2063" s="889"/>
      <c r="CB2063" s="15"/>
      <c r="CC2063" s="697"/>
      <c r="CD2063" s="1086"/>
      <c r="CE2063" s="15"/>
      <c r="CF2063" s="15"/>
      <c r="CG2063" s="936"/>
      <c r="CH2063" s="15"/>
      <c r="CI2063" s="15"/>
      <c r="CJ2063" s="15"/>
      <c r="CK2063" s="1107"/>
      <c r="CL2063" s="22"/>
      <c r="CM2063" s="22"/>
      <c r="CN2063" s="1107"/>
      <c r="CR2063" s="223"/>
      <c r="CS2063" s="952"/>
      <c r="CT2063" s="1066"/>
      <c r="CU2063" s="972"/>
      <c r="CV2063" s="983"/>
      <c r="CW2063" s="222"/>
      <c r="CX2063" s="697"/>
      <c r="DC2063" s="222"/>
      <c r="DJ2063" s="889"/>
      <c r="DM2063" s="890"/>
      <c r="DN2063" s="952"/>
      <c r="DO2063" s="75"/>
      <c r="DP2063" s="962"/>
      <c r="DQ2063" s="983"/>
      <c r="DV2063" s="889"/>
    </row>
    <row r="2064" spans="1:126" s="74" customFormat="1">
      <c r="A2064" s="15"/>
      <c r="B2064" s="15"/>
      <c r="C2064" s="15"/>
      <c r="D2064" s="15"/>
      <c r="E2064" s="6"/>
      <c r="F2064" s="6"/>
      <c r="G2064" s="6"/>
      <c r="K2064" s="222"/>
      <c r="V2064" s="1430"/>
      <c r="AA2064" s="223"/>
      <c r="AC2064" s="889"/>
      <c r="AF2064" s="890"/>
      <c r="AJ2064" s="889"/>
      <c r="AN2064" s="222"/>
      <c r="BC2064" s="223"/>
      <c r="BD2064" s="222"/>
      <c r="BH2064" s="611"/>
      <c r="BJ2064" s="15"/>
      <c r="BK2064" s="15"/>
      <c r="BO2064" s="223"/>
      <c r="BQ2064" s="889"/>
      <c r="BT2064" s="890"/>
      <c r="BX2064" s="889"/>
      <c r="CB2064" s="15"/>
      <c r="CC2064" s="697"/>
      <c r="CD2064" s="1086"/>
      <c r="CE2064" s="15"/>
      <c r="CF2064" s="15"/>
      <c r="CG2064" s="936"/>
      <c r="CH2064" s="15"/>
      <c r="CI2064" s="15"/>
      <c r="CJ2064" s="15"/>
      <c r="CK2064" s="1107"/>
      <c r="CL2064" s="22"/>
      <c r="CM2064" s="22"/>
      <c r="CN2064" s="1107"/>
      <c r="CR2064" s="223"/>
      <c r="CS2064" s="952"/>
      <c r="CT2064" s="1066"/>
      <c r="CU2064" s="972"/>
      <c r="CV2064" s="983"/>
      <c r="CW2064" s="222"/>
      <c r="CX2064" s="697"/>
      <c r="DC2064" s="222"/>
      <c r="DJ2064" s="889"/>
      <c r="DM2064" s="890"/>
      <c r="DN2064" s="952"/>
      <c r="DO2064" s="75"/>
      <c r="DP2064" s="962"/>
      <c r="DQ2064" s="983"/>
      <c r="DV2064" s="889"/>
    </row>
    <row r="2065" spans="1:126" s="74" customFormat="1">
      <c r="A2065" s="15"/>
      <c r="B2065" s="15"/>
      <c r="C2065" s="15"/>
      <c r="D2065" s="15"/>
      <c r="E2065" s="6"/>
      <c r="F2065" s="6"/>
      <c r="G2065" s="6"/>
      <c r="K2065" s="222"/>
      <c r="V2065" s="1430"/>
      <c r="AA2065" s="223"/>
      <c r="AC2065" s="889"/>
      <c r="AF2065" s="890"/>
      <c r="AJ2065" s="889"/>
      <c r="AN2065" s="222"/>
      <c r="BC2065" s="223"/>
      <c r="BD2065" s="222"/>
      <c r="BH2065" s="611"/>
      <c r="BJ2065" s="15"/>
      <c r="BK2065" s="15"/>
      <c r="BO2065" s="223"/>
      <c r="BQ2065" s="889"/>
      <c r="BT2065" s="890"/>
      <c r="BX2065" s="889"/>
      <c r="CB2065" s="15"/>
      <c r="CC2065" s="697"/>
      <c r="CD2065" s="1086"/>
      <c r="CE2065" s="15"/>
      <c r="CF2065" s="15"/>
      <c r="CG2065" s="936"/>
      <c r="CH2065" s="15"/>
      <c r="CI2065" s="15"/>
      <c r="CJ2065" s="15"/>
      <c r="CK2065" s="1107"/>
      <c r="CL2065" s="22"/>
      <c r="CM2065" s="22"/>
      <c r="CN2065" s="1107"/>
      <c r="CR2065" s="223"/>
      <c r="CS2065" s="952"/>
      <c r="CT2065" s="1066"/>
      <c r="CU2065" s="972"/>
      <c r="CV2065" s="983"/>
      <c r="CW2065" s="222"/>
      <c r="CX2065" s="697"/>
      <c r="DC2065" s="222"/>
      <c r="DJ2065" s="889"/>
      <c r="DM2065" s="890"/>
      <c r="DN2065" s="952"/>
      <c r="DO2065" s="75"/>
      <c r="DP2065" s="962"/>
      <c r="DQ2065" s="983"/>
      <c r="DV2065" s="889"/>
    </row>
    <row r="2066" spans="1:126" s="74" customFormat="1">
      <c r="A2066" s="15"/>
      <c r="B2066" s="15"/>
      <c r="C2066" s="15"/>
      <c r="D2066" s="15"/>
      <c r="E2066" s="6"/>
      <c r="F2066" s="6"/>
      <c r="G2066" s="6"/>
      <c r="K2066" s="222"/>
      <c r="V2066" s="1430"/>
      <c r="AA2066" s="223"/>
      <c r="AC2066" s="889"/>
      <c r="AF2066" s="890"/>
      <c r="AJ2066" s="889"/>
      <c r="AN2066" s="222"/>
      <c r="BC2066" s="223"/>
      <c r="BD2066" s="222"/>
      <c r="BH2066" s="611"/>
      <c r="BJ2066" s="15"/>
      <c r="BK2066" s="15"/>
      <c r="BO2066" s="223"/>
      <c r="BQ2066" s="889"/>
      <c r="BT2066" s="890"/>
      <c r="BX2066" s="889"/>
      <c r="CB2066" s="15"/>
      <c r="CC2066" s="697"/>
      <c r="CD2066" s="1086"/>
      <c r="CE2066" s="15"/>
      <c r="CF2066" s="15"/>
      <c r="CG2066" s="936"/>
      <c r="CH2066" s="15"/>
      <c r="CI2066" s="15"/>
      <c r="CJ2066" s="15"/>
      <c r="CK2066" s="1107"/>
      <c r="CL2066" s="22"/>
      <c r="CM2066" s="22"/>
      <c r="CN2066" s="1107"/>
      <c r="CR2066" s="223"/>
      <c r="CS2066" s="952"/>
      <c r="CT2066" s="1066"/>
      <c r="CU2066" s="972"/>
      <c r="CV2066" s="983"/>
      <c r="CW2066" s="222"/>
      <c r="CX2066" s="697"/>
      <c r="DC2066" s="222"/>
      <c r="DJ2066" s="889"/>
      <c r="DM2066" s="890"/>
      <c r="DN2066" s="952"/>
      <c r="DO2066" s="75"/>
      <c r="DP2066" s="962"/>
      <c r="DQ2066" s="983"/>
      <c r="DV2066" s="889"/>
    </row>
    <row r="2067" spans="1:126" s="74" customFormat="1">
      <c r="A2067" s="15"/>
      <c r="B2067" s="15"/>
      <c r="C2067" s="15"/>
      <c r="D2067" s="15"/>
      <c r="E2067" s="6"/>
      <c r="F2067" s="6"/>
      <c r="G2067" s="6"/>
      <c r="K2067" s="222"/>
      <c r="V2067" s="1430"/>
      <c r="AA2067" s="223"/>
      <c r="AC2067" s="889"/>
      <c r="AF2067" s="890"/>
      <c r="AJ2067" s="889"/>
      <c r="AN2067" s="222"/>
      <c r="BC2067" s="223"/>
      <c r="BD2067" s="222"/>
      <c r="BH2067" s="611"/>
      <c r="BJ2067" s="15"/>
      <c r="BK2067" s="15"/>
      <c r="BO2067" s="223"/>
      <c r="BQ2067" s="889"/>
      <c r="BT2067" s="890"/>
      <c r="BX2067" s="889"/>
      <c r="CB2067" s="15"/>
      <c r="CC2067" s="697"/>
      <c r="CD2067" s="1086"/>
      <c r="CE2067" s="15"/>
      <c r="CF2067" s="15"/>
      <c r="CG2067" s="936"/>
      <c r="CH2067" s="15"/>
      <c r="CI2067" s="15"/>
      <c r="CJ2067" s="15"/>
      <c r="CK2067" s="1107"/>
      <c r="CL2067" s="22"/>
      <c r="CM2067" s="22"/>
      <c r="CN2067" s="1107"/>
      <c r="CR2067" s="223"/>
      <c r="CS2067" s="952"/>
      <c r="CT2067" s="1066"/>
      <c r="CU2067" s="972"/>
      <c r="CV2067" s="983"/>
      <c r="CW2067" s="222"/>
      <c r="CX2067" s="697"/>
      <c r="DC2067" s="222"/>
      <c r="DJ2067" s="889"/>
      <c r="DM2067" s="890"/>
      <c r="DN2067" s="952"/>
      <c r="DO2067" s="75"/>
      <c r="DP2067" s="962"/>
      <c r="DQ2067" s="983"/>
      <c r="DV2067" s="889"/>
    </row>
    <row r="2068" spans="1:126" s="74" customFormat="1">
      <c r="A2068" s="15"/>
      <c r="B2068" s="15"/>
      <c r="C2068" s="15"/>
      <c r="D2068" s="15"/>
      <c r="E2068" s="6"/>
      <c r="F2068" s="6"/>
      <c r="G2068" s="6"/>
      <c r="K2068" s="222"/>
      <c r="V2068" s="1430"/>
      <c r="AA2068" s="223"/>
      <c r="AC2068" s="889"/>
      <c r="AF2068" s="890"/>
      <c r="AJ2068" s="889"/>
      <c r="AN2068" s="222"/>
      <c r="BC2068" s="223"/>
      <c r="BD2068" s="222"/>
      <c r="BH2068" s="611"/>
      <c r="BJ2068" s="15"/>
      <c r="BK2068" s="15"/>
      <c r="BO2068" s="223"/>
      <c r="BQ2068" s="889"/>
      <c r="BT2068" s="890"/>
      <c r="BX2068" s="889"/>
      <c r="CB2068" s="15"/>
      <c r="CC2068" s="697"/>
      <c r="CD2068" s="1086"/>
      <c r="CE2068" s="15"/>
      <c r="CF2068" s="15"/>
      <c r="CG2068" s="936"/>
      <c r="CH2068" s="15"/>
      <c r="CI2068" s="15"/>
      <c r="CJ2068" s="15"/>
      <c r="CK2068" s="1107"/>
      <c r="CL2068" s="22"/>
      <c r="CM2068" s="22"/>
      <c r="CN2068" s="1107"/>
      <c r="CR2068" s="223"/>
      <c r="CS2068" s="952"/>
      <c r="CT2068" s="1066"/>
      <c r="CU2068" s="972"/>
      <c r="CV2068" s="983"/>
      <c r="CW2068" s="222"/>
      <c r="CX2068" s="697"/>
      <c r="DC2068" s="222"/>
      <c r="DJ2068" s="889"/>
      <c r="DM2068" s="890"/>
      <c r="DN2068" s="952"/>
      <c r="DO2068" s="75"/>
      <c r="DP2068" s="962"/>
      <c r="DQ2068" s="983"/>
      <c r="DV2068" s="889"/>
    </row>
    <row r="2069" spans="1:126" s="74" customFormat="1">
      <c r="A2069" s="15"/>
      <c r="B2069" s="15"/>
      <c r="C2069" s="15"/>
      <c r="D2069" s="15"/>
      <c r="E2069" s="6"/>
      <c r="F2069" s="6"/>
      <c r="G2069" s="6"/>
      <c r="K2069" s="222"/>
      <c r="V2069" s="1430"/>
      <c r="AA2069" s="223"/>
      <c r="AC2069" s="889"/>
      <c r="AF2069" s="890"/>
      <c r="AJ2069" s="889"/>
      <c r="AN2069" s="222"/>
      <c r="BC2069" s="223"/>
      <c r="BD2069" s="222"/>
      <c r="BH2069" s="611"/>
      <c r="BJ2069" s="15"/>
      <c r="BK2069" s="15"/>
      <c r="BO2069" s="223"/>
      <c r="BQ2069" s="889"/>
      <c r="BT2069" s="890"/>
      <c r="BX2069" s="889"/>
      <c r="CB2069" s="15"/>
      <c r="CC2069" s="697"/>
      <c r="CD2069" s="1086"/>
      <c r="CE2069" s="15"/>
      <c r="CF2069" s="15"/>
      <c r="CG2069" s="936"/>
      <c r="CH2069" s="15"/>
      <c r="CI2069" s="15"/>
      <c r="CJ2069" s="15"/>
      <c r="CK2069" s="1107"/>
      <c r="CL2069" s="22"/>
      <c r="CM2069" s="22"/>
      <c r="CN2069" s="1107"/>
      <c r="CR2069" s="223"/>
      <c r="CS2069" s="952"/>
      <c r="CT2069" s="1066"/>
      <c r="CU2069" s="972"/>
      <c r="CV2069" s="983"/>
      <c r="CW2069" s="222"/>
      <c r="CX2069" s="697"/>
      <c r="DC2069" s="222"/>
      <c r="DJ2069" s="889"/>
      <c r="DM2069" s="890"/>
      <c r="DN2069" s="952"/>
      <c r="DO2069" s="75"/>
      <c r="DP2069" s="962"/>
      <c r="DQ2069" s="983"/>
      <c r="DV2069" s="889"/>
    </row>
    <row r="2070" spans="1:126" s="74" customFormat="1">
      <c r="A2070" s="15"/>
      <c r="B2070" s="15"/>
      <c r="C2070" s="15"/>
      <c r="D2070" s="15"/>
      <c r="E2070" s="6"/>
      <c r="F2070" s="6"/>
      <c r="G2070" s="6"/>
      <c r="K2070" s="222"/>
      <c r="V2070" s="1430"/>
      <c r="AA2070" s="223"/>
      <c r="AC2070" s="889"/>
      <c r="AF2070" s="890"/>
      <c r="AJ2070" s="889"/>
      <c r="AN2070" s="222"/>
      <c r="BC2070" s="223"/>
      <c r="BD2070" s="222"/>
      <c r="BH2070" s="611"/>
      <c r="BJ2070" s="15"/>
      <c r="BK2070" s="15"/>
      <c r="BO2070" s="223"/>
      <c r="BQ2070" s="889"/>
      <c r="BT2070" s="890"/>
      <c r="BX2070" s="889"/>
      <c r="CB2070" s="15"/>
      <c r="CC2070" s="697"/>
      <c r="CD2070" s="1086"/>
      <c r="CE2070" s="15"/>
      <c r="CF2070" s="15"/>
      <c r="CG2070" s="936"/>
      <c r="CH2070" s="15"/>
      <c r="CI2070" s="15"/>
      <c r="CJ2070" s="15"/>
      <c r="CK2070" s="1107"/>
      <c r="CL2070" s="22"/>
      <c r="CM2070" s="22"/>
      <c r="CN2070" s="1107"/>
      <c r="CR2070" s="223"/>
      <c r="CS2070" s="952"/>
      <c r="CT2070" s="1066"/>
      <c r="CU2070" s="972"/>
      <c r="CV2070" s="983"/>
      <c r="CW2070" s="222"/>
      <c r="CX2070" s="697"/>
      <c r="DC2070" s="222"/>
      <c r="DJ2070" s="889"/>
      <c r="DM2070" s="890"/>
      <c r="DN2070" s="952"/>
      <c r="DO2070" s="75"/>
      <c r="DP2070" s="962"/>
      <c r="DQ2070" s="983"/>
      <c r="DV2070" s="889"/>
    </row>
    <row r="2071" spans="1:126" s="74" customFormat="1">
      <c r="A2071" s="15"/>
      <c r="B2071" s="15"/>
      <c r="C2071" s="15"/>
      <c r="D2071" s="15"/>
      <c r="E2071" s="6"/>
      <c r="F2071" s="6"/>
      <c r="G2071" s="6"/>
      <c r="K2071" s="222"/>
      <c r="V2071" s="1430"/>
      <c r="AA2071" s="223"/>
      <c r="AC2071" s="889"/>
      <c r="AF2071" s="890"/>
      <c r="AJ2071" s="889"/>
      <c r="AN2071" s="222"/>
      <c r="BC2071" s="223"/>
      <c r="BD2071" s="222"/>
      <c r="BH2071" s="611"/>
      <c r="BJ2071" s="15"/>
      <c r="BK2071" s="15"/>
      <c r="BO2071" s="223"/>
      <c r="BQ2071" s="889"/>
      <c r="BT2071" s="890"/>
      <c r="BX2071" s="889"/>
      <c r="CB2071" s="15"/>
      <c r="CC2071" s="697"/>
      <c r="CD2071" s="1086"/>
      <c r="CE2071" s="15"/>
      <c r="CF2071" s="15"/>
      <c r="CG2071" s="936"/>
      <c r="CH2071" s="15"/>
      <c r="CI2071" s="15"/>
      <c r="CJ2071" s="15"/>
      <c r="CK2071" s="1107"/>
      <c r="CL2071" s="22"/>
      <c r="CM2071" s="22"/>
      <c r="CN2071" s="1107"/>
      <c r="CR2071" s="223"/>
      <c r="CS2071" s="952"/>
      <c r="CT2071" s="1066"/>
      <c r="CU2071" s="972"/>
      <c r="CV2071" s="983"/>
      <c r="CW2071" s="222"/>
      <c r="CX2071" s="697"/>
      <c r="DC2071" s="222"/>
      <c r="DJ2071" s="889"/>
      <c r="DM2071" s="890"/>
      <c r="DN2071" s="952"/>
      <c r="DO2071" s="75"/>
      <c r="DP2071" s="962"/>
      <c r="DQ2071" s="983"/>
      <c r="DV2071" s="889"/>
    </row>
    <row r="2072" spans="1:126" s="74" customFormat="1">
      <c r="A2072" s="15"/>
      <c r="B2072" s="15"/>
      <c r="C2072" s="15"/>
      <c r="D2072" s="15"/>
      <c r="E2072" s="6"/>
      <c r="F2072" s="6"/>
      <c r="G2072" s="6"/>
      <c r="K2072" s="222"/>
      <c r="V2072" s="1430"/>
      <c r="AA2072" s="223"/>
      <c r="AC2072" s="889"/>
      <c r="AF2072" s="890"/>
      <c r="AJ2072" s="889"/>
      <c r="AN2072" s="222"/>
      <c r="BC2072" s="223"/>
      <c r="BD2072" s="222"/>
      <c r="BH2072" s="611"/>
      <c r="BJ2072" s="15"/>
      <c r="BK2072" s="15"/>
      <c r="BO2072" s="223"/>
      <c r="BQ2072" s="889"/>
      <c r="BT2072" s="890"/>
      <c r="BX2072" s="889"/>
      <c r="CB2072" s="15"/>
      <c r="CC2072" s="697"/>
      <c r="CD2072" s="1086"/>
      <c r="CE2072" s="15"/>
      <c r="CF2072" s="15"/>
      <c r="CG2072" s="936"/>
      <c r="CH2072" s="15"/>
      <c r="CI2072" s="15"/>
      <c r="CJ2072" s="15"/>
      <c r="CK2072" s="1107"/>
      <c r="CL2072" s="22"/>
      <c r="CM2072" s="22"/>
      <c r="CN2072" s="1107"/>
      <c r="CR2072" s="223"/>
      <c r="CS2072" s="952"/>
      <c r="CT2072" s="1066"/>
      <c r="CU2072" s="972"/>
      <c r="CV2072" s="983"/>
      <c r="CW2072" s="222"/>
      <c r="CX2072" s="697"/>
      <c r="DC2072" s="222"/>
      <c r="DJ2072" s="889"/>
      <c r="DM2072" s="890"/>
      <c r="DN2072" s="952"/>
      <c r="DO2072" s="75"/>
      <c r="DP2072" s="962"/>
      <c r="DQ2072" s="983"/>
      <c r="DV2072" s="889"/>
    </row>
    <row r="2073" spans="1:126" s="74" customFormat="1">
      <c r="A2073" s="15"/>
      <c r="B2073" s="15"/>
      <c r="C2073" s="15"/>
      <c r="D2073" s="15"/>
      <c r="E2073" s="6"/>
      <c r="F2073" s="6"/>
      <c r="G2073" s="6"/>
      <c r="K2073" s="222"/>
      <c r="V2073" s="1430"/>
      <c r="AA2073" s="223"/>
      <c r="AC2073" s="889"/>
      <c r="AF2073" s="890"/>
      <c r="AJ2073" s="889"/>
      <c r="AN2073" s="222"/>
      <c r="BC2073" s="223"/>
      <c r="BD2073" s="222"/>
      <c r="BH2073" s="611"/>
      <c r="BJ2073" s="15"/>
      <c r="BK2073" s="15"/>
      <c r="BO2073" s="223"/>
      <c r="BQ2073" s="889"/>
      <c r="BT2073" s="890"/>
      <c r="BX2073" s="889"/>
      <c r="CB2073" s="15"/>
      <c r="CC2073" s="697"/>
      <c r="CD2073" s="1086"/>
      <c r="CE2073" s="15"/>
      <c r="CF2073" s="15"/>
      <c r="CG2073" s="936"/>
      <c r="CH2073" s="15"/>
      <c r="CI2073" s="15"/>
      <c r="CJ2073" s="15"/>
      <c r="CK2073" s="1107"/>
      <c r="CL2073" s="22"/>
      <c r="CM2073" s="22"/>
      <c r="CN2073" s="1107"/>
      <c r="CR2073" s="223"/>
      <c r="CS2073" s="952"/>
      <c r="CT2073" s="1066"/>
      <c r="CU2073" s="972"/>
      <c r="CV2073" s="983"/>
      <c r="CW2073" s="222"/>
      <c r="CX2073" s="697"/>
      <c r="DC2073" s="222"/>
      <c r="DJ2073" s="889"/>
      <c r="DM2073" s="890"/>
      <c r="DN2073" s="952"/>
      <c r="DO2073" s="75"/>
      <c r="DP2073" s="962"/>
      <c r="DQ2073" s="983"/>
      <c r="DV2073" s="889"/>
    </row>
    <row r="2074" spans="1:126" s="74" customFormat="1">
      <c r="A2074" s="15"/>
      <c r="B2074" s="15"/>
      <c r="C2074" s="15"/>
      <c r="D2074" s="15"/>
      <c r="E2074" s="6"/>
      <c r="F2074" s="6"/>
      <c r="G2074" s="6"/>
      <c r="K2074" s="222"/>
      <c r="V2074" s="1430"/>
      <c r="AA2074" s="223"/>
      <c r="AC2074" s="889"/>
      <c r="AF2074" s="890"/>
      <c r="AJ2074" s="889"/>
      <c r="AN2074" s="222"/>
      <c r="BC2074" s="223"/>
      <c r="BD2074" s="222"/>
      <c r="BH2074" s="611"/>
      <c r="BJ2074" s="15"/>
      <c r="BK2074" s="15"/>
      <c r="BO2074" s="223"/>
      <c r="BQ2074" s="889"/>
      <c r="BT2074" s="890"/>
      <c r="BX2074" s="889"/>
      <c r="CB2074" s="15"/>
      <c r="CC2074" s="697"/>
      <c r="CD2074" s="1086"/>
      <c r="CE2074" s="15"/>
      <c r="CF2074" s="15"/>
      <c r="CG2074" s="936"/>
      <c r="CH2074" s="15"/>
      <c r="CI2074" s="15"/>
      <c r="CJ2074" s="15"/>
      <c r="CK2074" s="1107"/>
      <c r="CL2074" s="22"/>
      <c r="CM2074" s="22"/>
      <c r="CN2074" s="1107"/>
      <c r="CR2074" s="223"/>
      <c r="CS2074" s="952"/>
      <c r="CT2074" s="1066"/>
      <c r="CU2074" s="972"/>
      <c r="CV2074" s="983"/>
      <c r="CW2074" s="222"/>
      <c r="CX2074" s="697"/>
      <c r="DC2074" s="222"/>
      <c r="DJ2074" s="889"/>
      <c r="DM2074" s="890"/>
      <c r="DN2074" s="952"/>
      <c r="DO2074" s="75"/>
      <c r="DP2074" s="962"/>
      <c r="DQ2074" s="983"/>
      <c r="DV2074" s="889"/>
    </row>
    <row r="2075" spans="1:126" s="74" customFormat="1">
      <c r="A2075" s="15"/>
      <c r="B2075" s="15"/>
      <c r="C2075" s="15"/>
      <c r="D2075" s="15"/>
      <c r="E2075" s="6"/>
      <c r="F2075" s="6"/>
      <c r="G2075" s="6"/>
      <c r="K2075" s="222"/>
      <c r="V2075" s="1430"/>
      <c r="AA2075" s="223"/>
      <c r="AC2075" s="889"/>
      <c r="AF2075" s="890"/>
      <c r="AJ2075" s="889"/>
      <c r="AN2075" s="222"/>
      <c r="BC2075" s="223"/>
      <c r="BD2075" s="222"/>
      <c r="BH2075" s="611"/>
      <c r="BJ2075" s="15"/>
      <c r="BK2075" s="15"/>
      <c r="BO2075" s="223"/>
      <c r="BQ2075" s="889"/>
      <c r="BT2075" s="890"/>
      <c r="BX2075" s="889"/>
      <c r="CB2075" s="15"/>
      <c r="CC2075" s="697"/>
      <c r="CD2075" s="1086"/>
      <c r="CE2075" s="15"/>
      <c r="CF2075" s="15"/>
      <c r="CG2075" s="936"/>
      <c r="CH2075" s="15"/>
      <c r="CI2075" s="15"/>
      <c r="CJ2075" s="15"/>
      <c r="CK2075" s="1107"/>
      <c r="CL2075" s="22"/>
      <c r="CM2075" s="22"/>
      <c r="CN2075" s="1107"/>
      <c r="CR2075" s="223"/>
      <c r="CS2075" s="952"/>
      <c r="CT2075" s="1066"/>
      <c r="CU2075" s="972"/>
      <c r="CV2075" s="983"/>
      <c r="CW2075" s="222"/>
      <c r="CX2075" s="697"/>
      <c r="DC2075" s="222"/>
      <c r="DJ2075" s="889"/>
      <c r="DM2075" s="890"/>
      <c r="DN2075" s="952"/>
      <c r="DO2075" s="75"/>
      <c r="DP2075" s="962"/>
      <c r="DQ2075" s="983"/>
      <c r="DV2075" s="889"/>
    </row>
    <row r="2076" spans="1:126" s="74" customFormat="1">
      <c r="A2076" s="15"/>
      <c r="B2076" s="15"/>
      <c r="C2076" s="15"/>
      <c r="D2076" s="15"/>
      <c r="E2076" s="6"/>
      <c r="F2076" s="6"/>
      <c r="G2076" s="6"/>
      <c r="K2076" s="222"/>
      <c r="V2076" s="1430"/>
      <c r="AA2076" s="223"/>
      <c r="AC2076" s="889"/>
      <c r="AF2076" s="890"/>
      <c r="AJ2076" s="889"/>
      <c r="AN2076" s="222"/>
      <c r="BC2076" s="223"/>
      <c r="BD2076" s="222"/>
      <c r="BH2076" s="611"/>
      <c r="BJ2076" s="15"/>
      <c r="BK2076" s="15"/>
      <c r="BO2076" s="223"/>
      <c r="BQ2076" s="889"/>
      <c r="BT2076" s="890"/>
      <c r="BX2076" s="889"/>
      <c r="CB2076" s="15"/>
      <c r="CC2076" s="697"/>
      <c r="CD2076" s="1086"/>
      <c r="CE2076" s="15"/>
      <c r="CF2076" s="15"/>
      <c r="CG2076" s="936"/>
      <c r="CH2076" s="15"/>
      <c r="CI2076" s="15"/>
      <c r="CJ2076" s="15"/>
      <c r="CK2076" s="1107"/>
      <c r="CL2076" s="22"/>
      <c r="CM2076" s="22"/>
      <c r="CN2076" s="1107"/>
      <c r="CR2076" s="223"/>
      <c r="CS2076" s="952"/>
      <c r="CT2076" s="1066"/>
      <c r="CU2076" s="972"/>
      <c r="CV2076" s="983"/>
      <c r="CW2076" s="222"/>
      <c r="CX2076" s="697"/>
      <c r="DC2076" s="222"/>
      <c r="DJ2076" s="889"/>
      <c r="DM2076" s="890"/>
      <c r="DN2076" s="952"/>
      <c r="DO2076" s="75"/>
      <c r="DP2076" s="962"/>
      <c r="DQ2076" s="983"/>
      <c r="DV2076" s="889"/>
    </row>
    <row r="2077" spans="1:126" s="74" customFormat="1">
      <c r="A2077" s="15"/>
      <c r="B2077" s="15"/>
      <c r="C2077" s="15"/>
      <c r="D2077" s="15"/>
      <c r="E2077" s="6"/>
      <c r="F2077" s="6"/>
      <c r="G2077" s="6"/>
      <c r="K2077" s="222"/>
      <c r="V2077" s="1430"/>
      <c r="AA2077" s="223"/>
      <c r="AC2077" s="889"/>
      <c r="AF2077" s="890"/>
      <c r="AJ2077" s="889"/>
      <c r="AN2077" s="222"/>
      <c r="BC2077" s="223"/>
      <c r="BD2077" s="222"/>
      <c r="BH2077" s="611"/>
      <c r="BJ2077" s="15"/>
      <c r="BK2077" s="15"/>
      <c r="BO2077" s="223"/>
      <c r="BQ2077" s="889"/>
      <c r="BT2077" s="890"/>
      <c r="BX2077" s="889"/>
      <c r="CB2077" s="15"/>
      <c r="CC2077" s="697"/>
      <c r="CD2077" s="1086"/>
      <c r="CE2077" s="15"/>
      <c r="CF2077" s="15"/>
      <c r="CG2077" s="936"/>
      <c r="CH2077" s="15"/>
      <c r="CI2077" s="15"/>
      <c r="CJ2077" s="15"/>
      <c r="CK2077" s="1107"/>
      <c r="CL2077" s="22"/>
      <c r="CM2077" s="22"/>
      <c r="CN2077" s="1107"/>
      <c r="CR2077" s="223"/>
      <c r="CS2077" s="952"/>
      <c r="CT2077" s="1066"/>
      <c r="CU2077" s="972"/>
      <c r="CV2077" s="983"/>
      <c r="CW2077" s="222"/>
      <c r="CX2077" s="697"/>
      <c r="DC2077" s="222"/>
      <c r="DJ2077" s="889"/>
      <c r="DM2077" s="890"/>
      <c r="DN2077" s="952"/>
      <c r="DO2077" s="75"/>
      <c r="DP2077" s="962"/>
      <c r="DQ2077" s="983"/>
      <c r="DV2077" s="889"/>
    </row>
    <row r="2078" spans="1:126" s="74" customFormat="1">
      <c r="A2078" s="15"/>
      <c r="B2078" s="15"/>
      <c r="C2078" s="15"/>
      <c r="D2078" s="15"/>
      <c r="E2078" s="6"/>
      <c r="F2078" s="6"/>
      <c r="G2078" s="6"/>
      <c r="K2078" s="222"/>
      <c r="V2078" s="1430"/>
      <c r="AA2078" s="223"/>
      <c r="AC2078" s="889"/>
      <c r="AF2078" s="890"/>
      <c r="AJ2078" s="889"/>
      <c r="AN2078" s="222"/>
      <c r="BC2078" s="223"/>
      <c r="BD2078" s="222"/>
      <c r="BH2078" s="611"/>
      <c r="BJ2078" s="15"/>
      <c r="BK2078" s="15"/>
      <c r="BO2078" s="223"/>
      <c r="BQ2078" s="889"/>
      <c r="BT2078" s="890"/>
      <c r="BX2078" s="889"/>
      <c r="CB2078" s="15"/>
      <c r="CC2078" s="697"/>
      <c r="CD2078" s="1086"/>
      <c r="CE2078" s="15"/>
      <c r="CF2078" s="15"/>
      <c r="CG2078" s="936"/>
      <c r="CH2078" s="15"/>
      <c r="CI2078" s="15"/>
      <c r="CJ2078" s="15"/>
      <c r="CK2078" s="1107"/>
      <c r="CL2078" s="22"/>
      <c r="CM2078" s="22"/>
      <c r="CN2078" s="1107"/>
      <c r="CR2078" s="223"/>
      <c r="CS2078" s="952"/>
      <c r="CT2078" s="1066"/>
      <c r="CU2078" s="972"/>
      <c r="CV2078" s="983"/>
      <c r="CW2078" s="222"/>
      <c r="CX2078" s="697"/>
      <c r="DC2078" s="222"/>
      <c r="DJ2078" s="889"/>
      <c r="DM2078" s="890"/>
      <c r="DN2078" s="952"/>
      <c r="DO2078" s="75"/>
      <c r="DP2078" s="962"/>
      <c r="DQ2078" s="983"/>
      <c r="DV2078" s="889"/>
    </row>
    <row r="2079" spans="1:126" s="74" customFormat="1">
      <c r="A2079" s="15"/>
      <c r="B2079" s="15"/>
      <c r="C2079" s="15"/>
      <c r="D2079" s="15"/>
      <c r="E2079" s="6"/>
      <c r="F2079" s="6"/>
      <c r="G2079" s="6"/>
      <c r="K2079" s="222"/>
      <c r="V2079" s="1430"/>
      <c r="AA2079" s="223"/>
      <c r="AC2079" s="889"/>
      <c r="AF2079" s="890"/>
      <c r="AJ2079" s="889"/>
      <c r="AN2079" s="222"/>
      <c r="BC2079" s="223"/>
      <c r="BD2079" s="222"/>
      <c r="BH2079" s="611"/>
      <c r="BJ2079" s="15"/>
      <c r="BK2079" s="15"/>
      <c r="BO2079" s="223"/>
      <c r="BQ2079" s="889"/>
      <c r="BT2079" s="890"/>
      <c r="BX2079" s="889"/>
      <c r="CB2079" s="15"/>
      <c r="CC2079" s="697"/>
      <c r="CD2079" s="1086"/>
      <c r="CE2079" s="15"/>
      <c r="CF2079" s="15"/>
      <c r="CG2079" s="936"/>
      <c r="CH2079" s="15"/>
      <c r="CI2079" s="15"/>
      <c r="CJ2079" s="15"/>
      <c r="CK2079" s="1107"/>
      <c r="CL2079" s="22"/>
      <c r="CM2079" s="22"/>
      <c r="CN2079" s="1107"/>
      <c r="CR2079" s="223"/>
      <c r="CS2079" s="952"/>
      <c r="CT2079" s="1066"/>
      <c r="CU2079" s="972"/>
      <c r="CV2079" s="983"/>
      <c r="CW2079" s="222"/>
      <c r="CX2079" s="697"/>
      <c r="DC2079" s="222"/>
      <c r="DJ2079" s="889"/>
      <c r="DM2079" s="890"/>
      <c r="DN2079" s="952"/>
      <c r="DO2079" s="75"/>
      <c r="DP2079" s="962"/>
      <c r="DQ2079" s="983"/>
      <c r="DV2079" s="889"/>
    </row>
    <row r="2080" spans="1:126" s="74" customFormat="1">
      <c r="A2080" s="15"/>
      <c r="B2080" s="15"/>
      <c r="C2080" s="15"/>
      <c r="D2080" s="15"/>
      <c r="E2080" s="6"/>
      <c r="F2080" s="6"/>
      <c r="G2080" s="6"/>
      <c r="K2080" s="222"/>
      <c r="V2080" s="1430"/>
      <c r="AA2080" s="223"/>
      <c r="AC2080" s="889"/>
      <c r="AF2080" s="890"/>
      <c r="AJ2080" s="889"/>
      <c r="AN2080" s="222"/>
      <c r="BC2080" s="223"/>
      <c r="BD2080" s="222"/>
      <c r="BH2080" s="611"/>
      <c r="BJ2080" s="15"/>
      <c r="BK2080" s="15"/>
      <c r="BO2080" s="223"/>
      <c r="BQ2080" s="889"/>
      <c r="BT2080" s="890"/>
      <c r="BX2080" s="889"/>
      <c r="CB2080" s="15"/>
      <c r="CC2080" s="697"/>
      <c r="CD2080" s="1086"/>
      <c r="CE2080" s="15"/>
      <c r="CF2080" s="15"/>
      <c r="CG2080" s="936"/>
      <c r="CH2080" s="15"/>
      <c r="CI2080" s="15"/>
      <c r="CJ2080" s="15"/>
      <c r="CK2080" s="1107"/>
      <c r="CL2080" s="22"/>
      <c r="CM2080" s="22"/>
      <c r="CN2080" s="1107"/>
      <c r="CR2080" s="223"/>
      <c r="CS2080" s="952"/>
      <c r="CT2080" s="1066"/>
      <c r="CU2080" s="972"/>
      <c r="CV2080" s="983"/>
      <c r="CW2080" s="222"/>
      <c r="CX2080" s="697"/>
      <c r="DC2080" s="222"/>
      <c r="DJ2080" s="889"/>
      <c r="DM2080" s="890"/>
      <c r="DN2080" s="952"/>
      <c r="DO2080" s="75"/>
      <c r="DP2080" s="962"/>
      <c r="DQ2080" s="983"/>
      <c r="DV2080" s="889"/>
    </row>
    <row r="2081" spans="1:126" s="74" customFormat="1">
      <c r="A2081" s="15"/>
      <c r="B2081" s="15"/>
      <c r="C2081" s="15"/>
      <c r="D2081" s="15"/>
      <c r="E2081" s="6"/>
      <c r="F2081" s="6"/>
      <c r="G2081" s="6"/>
      <c r="K2081" s="222"/>
      <c r="V2081" s="1430"/>
      <c r="AA2081" s="223"/>
      <c r="AC2081" s="889"/>
      <c r="AF2081" s="890"/>
      <c r="AJ2081" s="889"/>
      <c r="AN2081" s="222"/>
      <c r="BC2081" s="223"/>
      <c r="BD2081" s="222"/>
      <c r="BH2081" s="611"/>
      <c r="BJ2081" s="15"/>
      <c r="BK2081" s="15"/>
      <c r="BO2081" s="223"/>
      <c r="BQ2081" s="889"/>
      <c r="BT2081" s="890"/>
      <c r="BX2081" s="889"/>
      <c r="CB2081" s="15"/>
      <c r="CC2081" s="697"/>
      <c r="CD2081" s="1086"/>
      <c r="CE2081" s="15"/>
      <c r="CF2081" s="15"/>
      <c r="CG2081" s="936"/>
      <c r="CH2081" s="15"/>
      <c r="CI2081" s="15"/>
      <c r="CJ2081" s="15"/>
      <c r="CK2081" s="1107"/>
      <c r="CL2081" s="22"/>
      <c r="CM2081" s="22"/>
      <c r="CN2081" s="1107"/>
      <c r="CR2081" s="223"/>
      <c r="CS2081" s="952"/>
      <c r="CT2081" s="1066"/>
      <c r="CU2081" s="972"/>
      <c r="CV2081" s="983"/>
      <c r="CW2081" s="222"/>
      <c r="CX2081" s="697"/>
      <c r="DC2081" s="222"/>
      <c r="DJ2081" s="889"/>
      <c r="DM2081" s="890"/>
      <c r="DN2081" s="952"/>
      <c r="DO2081" s="75"/>
      <c r="DP2081" s="962"/>
      <c r="DQ2081" s="983"/>
      <c r="DV2081" s="889"/>
    </row>
    <row r="2082" spans="1:126" s="74" customFormat="1">
      <c r="A2082" s="15"/>
      <c r="B2082" s="15"/>
      <c r="C2082" s="15"/>
      <c r="D2082" s="15"/>
      <c r="E2082" s="6"/>
      <c r="F2082" s="6"/>
      <c r="G2082" s="6"/>
      <c r="K2082" s="222"/>
      <c r="V2082" s="1430"/>
      <c r="AA2082" s="223"/>
      <c r="AC2082" s="889"/>
      <c r="AF2082" s="890"/>
      <c r="AJ2082" s="889"/>
      <c r="AN2082" s="222"/>
      <c r="BC2082" s="223"/>
      <c r="BD2082" s="222"/>
      <c r="BH2082" s="611"/>
      <c r="BJ2082" s="15"/>
      <c r="BK2082" s="15"/>
      <c r="BO2082" s="223"/>
      <c r="BQ2082" s="889"/>
      <c r="BT2082" s="890"/>
      <c r="BX2082" s="889"/>
      <c r="CB2082" s="15"/>
      <c r="CC2082" s="697"/>
      <c r="CD2082" s="1086"/>
      <c r="CE2082" s="15"/>
      <c r="CF2082" s="15"/>
      <c r="CG2082" s="936"/>
      <c r="CH2082" s="15"/>
      <c r="CI2082" s="15"/>
      <c r="CJ2082" s="15"/>
      <c r="CK2082" s="1107"/>
      <c r="CL2082" s="22"/>
      <c r="CM2082" s="22"/>
      <c r="CN2082" s="1107"/>
      <c r="CR2082" s="223"/>
      <c r="CS2082" s="952"/>
      <c r="CT2082" s="1066"/>
      <c r="CU2082" s="972"/>
      <c r="CV2082" s="983"/>
      <c r="CW2082" s="222"/>
      <c r="CX2082" s="697"/>
      <c r="DC2082" s="222"/>
      <c r="DJ2082" s="889"/>
      <c r="DM2082" s="890"/>
      <c r="DN2082" s="952"/>
      <c r="DO2082" s="75"/>
      <c r="DP2082" s="962"/>
      <c r="DQ2082" s="983"/>
      <c r="DV2082" s="889"/>
    </row>
    <row r="2083" spans="1:126" s="74" customFormat="1">
      <c r="A2083" s="15"/>
      <c r="B2083" s="15"/>
      <c r="C2083" s="15"/>
      <c r="D2083" s="15"/>
      <c r="E2083" s="6"/>
      <c r="F2083" s="6"/>
      <c r="G2083" s="6"/>
      <c r="K2083" s="222"/>
      <c r="V2083" s="1430"/>
      <c r="AA2083" s="223"/>
      <c r="AC2083" s="889"/>
      <c r="AF2083" s="890"/>
      <c r="AJ2083" s="889"/>
      <c r="AN2083" s="222"/>
      <c r="BC2083" s="223"/>
      <c r="BD2083" s="222"/>
      <c r="BH2083" s="611"/>
      <c r="BJ2083" s="15"/>
      <c r="BK2083" s="15"/>
      <c r="BO2083" s="223"/>
      <c r="BQ2083" s="889"/>
      <c r="BT2083" s="890"/>
      <c r="BX2083" s="889"/>
      <c r="CB2083" s="15"/>
      <c r="CC2083" s="697"/>
      <c r="CD2083" s="1086"/>
      <c r="CE2083" s="15"/>
      <c r="CF2083" s="15"/>
      <c r="CG2083" s="936"/>
      <c r="CH2083" s="15"/>
      <c r="CI2083" s="15"/>
      <c r="CJ2083" s="15"/>
      <c r="CK2083" s="1107"/>
      <c r="CL2083" s="22"/>
      <c r="CM2083" s="22"/>
      <c r="CN2083" s="1107"/>
      <c r="CR2083" s="223"/>
      <c r="CS2083" s="952"/>
      <c r="CT2083" s="1066"/>
      <c r="CU2083" s="972"/>
      <c r="CV2083" s="983"/>
      <c r="CW2083" s="222"/>
      <c r="CX2083" s="697"/>
      <c r="DC2083" s="222"/>
      <c r="DJ2083" s="889"/>
      <c r="DM2083" s="890"/>
      <c r="DN2083" s="952"/>
      <c r="DO2083" s="75"/>
      <c r="DP2083" s="962"/>
      <c r="DQ2083" s="983"/>
      <c r="DV2083" s="889"/>
    </row>
    <row r="2084" spans="1:126" s="74" customFormat="1">
      <c r="A2084" s="15"/>
      <c r="B2084" s="15"/>
      <c r="C2084" s="15"/>
      <c r="D2084" s="15"/>
      <c r="E2084" s="6"/>
      <c r="F2084" s="6"/>
      <c r="G2084" s="6"/>
      <c r="K2084" s="222"/>
      <c r="V2084" s="1430"/>
      <c r="AA2084" s="223"/>
      <c r="AC2084" s="889"/>
      <c r="AF2084" s="890"/>
      <c r="AJ2084" s="889"/>
      <c r="AN2084" s="222"/>
      <c r="BC2084" s="223"/>
      <c r="BD2084" s="222"/>
      <c r="BH2084" s="611"/>
      <c r="BJ2084" s="15"/>
      <c r="BK2084" s="15"/>
      <c r="BO2084" s="223"/>
      <c r="BQ2084" s="889"/>
      <c r="BT2084" s="890"/>
      <c r="BX2084" s="889"/>
      <c r="CB2084" s="15"/>
      <c r="CC2084" s="697"/>
      <c r="CD2084" s="1086"/>
      <c r="CE2084" s="15"/>
      <c r="CF2084" s="15"/>
      <c r="CG2084" s="936"/>
      <c r="CH2084" s="15"/>
      <c r="CI2084" s="15"/>
      <c r="CJ2084" s="15"/>
      <c r="CK2084" s="1107"/>
      <c r="CL2084" s="22"/>
      <c r="CM2084" s="22"/>
      <c r="CN2084" s="1107"/>
      <c r="CR2084" s="223"/>
      <c r="CS2084" s="952"/>
      <c r="CT2084" s="1066"/>
      <c r="CU2084" s="972"/>
      <c r="CV2084" s="983"/>
      <c r="CW2084" s="222"/>
      <c r="CX2084" s="697"/>
      <c r="DC2084" s="222"/>
      <c r="DJ2084" s="889"/>
      <c r="DM2084" s="890"/>
      <c r="DN2084" s="952"/>
      <c r="DO2084" s="75"/>
      <c r="DP2084" s="962"/>
      <c r="DQ2084" s="983"/>
      <c r="DV2084" s="889"/>
    </row>
    <row r="2085" spans="1:126" s="74" customFormat="1">
      <c r="A2085" s="15"/>
      <c r="B2085" s="15"/>
      <c r="C2085" s="15"/>
      <c r="D2085" s="15"/>
      <c r="E2085" s="6"/>
      <c r="F2085" s="6"/>
      <c r="G2085" s="6"/>
      <c r="K2085" s="222"/>
      <c r="V2085" s="1430"/>
      <c r="AA2085" s="223"/>
      <c r="AC2085" s="889"/>
      <c r="AF2085" s="890"/>
      <c r="AJ2085" s="889"/>
      <c r="AN2085" s="222"/>
      <c r="BC2085" s="223"/>
      <c r="BD2085" s="222"/>
      <c r="BH2085" s="611"/>
      <c r="BJ2085" s="15"/>
      <c r="BK2085" s="15"/>
      <c r="BO2085" s="223"/>
      <c r="BQ2085" s="889"/>
      <c r="BT2085" s="890"/>
      <c r="BX2085" s="889"/>
      <c r="CB2085" s="15"/>
      <c r="CC2085" s="697"/>
      <c r="CD2085" s="1086"/>
      <c r="CE2085" s="15"/>
      <c r="CF2085" s="15"/>
      <c r="CG2085" s="936"/>
      <c r="CH2085" s="15"/>
      <c r="CI2085" s="15"/>
      <c r="CJ2085" s="15"/>
      <c r="CK2085" s="1107"/>
      <c r="CL2085" s="22"/>
      <c r="CM2085" s="22"/>
      <c r="CN2085" s="1107"/>
      <c r="CR2085" s="223"/>
      <c r="CS2085" s="952"/>
      <c r="CT2085" s="1066"/>
      <c r="CU2085" s="972"/>
      <c r="CV2085" s="983"/>
      <c r="CW2085" s="222"/>
      <c r="CX2085" s="697"/>
      <c r="DC2085" s="222"/>
      <c r="DJ2085" s="889"/>
      <c r="DM2085" s="890"/>
      <c r="DN2085" s="952"/>
      <c r="DO2085" s="75"/>
      <c r="DP2085" s="962"/>
      <c r="DQ2085" s="983"/>
      <c r="DV2085" s="889"/>
    </row>
    <row r="2086" spans="1:126" s="74" customFormat="1">
      <c r="A2086" s="15"/>
      <c r="B2086" s="15"/>
      <c r="C2086" s="15"/>
      <c r="D2086" s="15"/>
      <c r="E2086" s="6"/>
      <c r="F2086" s="6"/>
      <c r="G2086" s="6"/>
      <c r="K2086" s="222"/>
      <c r="V2086" s="1430"/>
      <c r="AA2086" s="223"/>
      <c r="AC2086" s="889"/>
      <c r="AF2086" s="890"/>
      <c r="AJ2086" s="889"/>
      <c r="AN2086" s="222"/>
      <c r="BC2086" s="223"/>
      <c r="BD2086" s="222"/>
      <c r="BH2086" s="611"/>
      <c r="BJ2086" s="15"/>
      <c r="BK2086" s="15"/>
      <c r="BO2086" s="223"/>
      <c r="BQ2086" s="889"/>
      <c r="BT2086" s="890"/>
      <c r="BX2086" s="889"/>
      <c r="CB2086" s="15"/>
      <c r="CC2086" s="697"/>
      <c r="CD2086" s="1086"/>
      <c r="CE2086" s="15"/>
      <c r="CF2086" s="15"/>
      <c r="CG2086" s="936"/>
      <c r="CH2086" s="15"/>
      <c r="CI2086" s="15"/>
      <c r="CJ2086" s="15"/>
      <c r="CK2086" s="1107"/>
      <c r="CL2086" s="22"/>
      <c r="CM2086" s="22"/>
      <c r="CN2086" s="1107"/>
      <c r="CR2086" s="223"/>
      <c r="CS2086" s="952"/>
      <c r="CT2086" s="1066"/>
      <c r="CU2086" s="972"/>
      <c r="CV2086" s="983"/>
      <c r="CW2086" s="222"/>
      <c r="CX2086" s="697"/>
      <c r="DC2086" s="222"/>
      <c r="DJ2086" s="889"/>
      <c r="DM2086" s="890"/>
      <c r="DN2086" s="952"/>
      <c r="DO2086" s="75"/>
      <c r="DP2086" s="962"/>
      <c r="DQ2086" s="983"/>
      <c r="DV2086" s="889"/>
    </row>
    <row r="2087" spans="1:126" s="74" customFormat="1">
      <c r="A2087" s="15"/>
      <c r="B2087" s="15"/>
      <c r="C2087" s="15"/>
      <c r="D2087" s="15"/>
      <c r="E2087" s="6"/>
      <c r="F2087" s="6"/>
      <c r="G2087" s="6"/>
      <c r="K2087" s="222"/>
      <c r="V2087" s="1430"/>
      <c r="AA2087" s="223"/>
      <c r="AC2087" s="889"/>
      <c r="AF2087" s="890"/>
      <c r="AJ2087" s="889"/>
      <c r="AN2087" s="222"/>
      <c r="BC2087" s="223"/>
      <c r="BD2087" s="222"/>
      <c r="BH2087" s="611"/>
      <c r="BJ2087" s="15"/>
      <c r="BK2087" s="15"/>
      <c r="BO2087" s="223"/>
      <c r="BQ2087" s="889"/>
      <c r="BT2087" s="890"/>
      <c r="BX2087" s="889"/>
      <c r="CB2087" s="15"/>
      <c r="CC2087" s="697"/>
      <c r="CD2087" s="1086"/>
      <c r="CE2087" s="15"/>
      <c r="CF2087" s="15"/>
      <c r="CG2087" s="936"/>
      <c r="CH2087" s="15"/>
      <c r="CI2087" s="15"/>
      <c r="CJ2087" s="15"/>
      <c r="CK2087" s="1107"/>
      <c r="CL2087" s="22"/>
      <c r="CM2087" s="22"/>
      <c r="CN2087" s="1107"/>
      <c r="CR2087" s="223"/>
      <c r="CS2087" s="952"/>
      <c r="CT2087" s="1066"/>
      <c r="CU2087" s="972"/>
      <c r="CV2087" s="983"/>
      <c r="CW2087" s="222"/>
      <c r="CX2087" s="697"/>
      <c r="DC2087" s="222"/>
      <c r="DJ2087" s="889"/>
      <c r="DM2087" s="890"/>
      <c r="DN2087" s="952"/>
      <c r="DO2087" s="75"/>
      <c r="DP2087" s="962"/>
      <c r="DQ2087" s="983"/>
      <c r="DV2087" s="889"/>
    </row>
    <row r="2088" spans="1:126" s="74" customFormat="1">
      <c r="A2088" s="15"/>
      <c r="B2088" s="15"/>
      <c r="C2088" s="15"/>
      <c r="D2088" s="15"/>
      <c r="E2088" s="6"/>
      <c r="F2088" s="6"/>
      <c r="G2088" s="6"/>
      <c r="K2088" s="222"/>
      <c r="V2088" s="1430"/>
      <c r="AA2088" s="223"/>
      <c r="AC2088" s="889"/>
      <c r="AF2088" s="890"/>
      <c r="AJ2088" s="889"/>
      <c r="AN2088" s="222"/>
      <c r="BC2088" s="223"/>
      <c r="BD2088" s="222"/>
      <c r="BH2088" s="611"/>
      <c r="BJ2088" s="15"/>
      <c r="BK2088" s="15"/>
      <c r="BO2088" s="223"/>
      <c r="BQ2088" s="889"/>
      <c r="BT2088" s="890"/>
      <c r="BX2088" s="889"/>
      <c r="CB2088" s="15"/>
      <c r="CC2088" s="697"/>
      <c r="CD2088" s="1086"/>
      <c r="CE2088" s="15"/>
      <c r="CF2088" s="15"/>
      <c r="CG2088" s="936"/>
      <c r="CH2088" s="15"/>
      <c r="CI2088" s="15"/>
      <c r="CJ2088" s="15"/>
      <c r="CK2088" s="1107"/>
      <c r="CL2088" s="22"/>
      <c r="CM2088" s="22"/>
      <c r="CN2088" s="1107"/>
      <c r="CR2088" s="223"/>
      <c r="CS2088" s="952"/>
      <c r="CT2088" s="1066"/>
      <c r="CU2088" s="972"/>
      <c r="CV2088" s="983"/>
      <c r="CW2088" s="222"/>
      <c r="CX2088" s="697"/>
      <c r="DC2088" s="222"/>
      <c r="DJ2088" s="889"/>
      <c r="DM2088" s="890"/>
      <c r="DN2088" s="952"/>
      <c r="DO2088" s="75"/>
      <c r="DP2088" s="962"/>
      <c r="DQ2088" s="983"/>
      <c r="DV2088" s="889"/>
    </row>
    <row r="2089" spans="1:126" s="74" customFormat="1">
      <c r="A2089" s="15"/>
      <c r="B2089" s="15"/>
      <c r="C2089" s="15"/>
      <c r="D2089" s="15"/>
      <c r="E2089" s="6"/>
      <c r="F2089" s="6"/>
      <c r="G2089" s="6"/>
      <c r="K2089" s="222"/>
      <c r="V2089" s="1430"/>
      <c r="AA2089" s="223"/>
      <c r="AC2089" s="889"/>
      <c r="AF2089" s="890"/>
      <c r="AJ2089" s="889"/>
      <c r="AN2089" s="222"/>
      <c r="BC2089" s="223"/>
      <c r="BD2089" s="222"/>
      <c r="BH2089" s="611"/>
      <c r="BJ2089" s="15"/>
      <c r="BK2089" s="15"/>
      <c r="BO2089" s="223"/>
      <c r="BQ2089" s="889"/>
      <c r="BT2089" s="890"/>
      <c r="BX2089" s="889"/>
      <c r="CB2089" s="15"/>
      <c r="CC2089" s="697"/>
      <c r="CD2089" s="1086"/>
      <c r="CE2089" s="15"/>
      <c r="CF2089" s="15"/>
      <c r="CG2089" s="936"/>
      <c r="CH2089" s="15"/>
      <c r="CI2089" s="15"/>
      <c r="CJ2089" s="15"/>
      <c r="CK2089" s="1107"/>
      <c r="CL2089" s="22"/>
      <c r="CM2089" s="22"/>
      <c r="CN2089" s="1107"/>
      <c r="CR2089" s="223"/>
      <c r="CS2089" s="952"/>
      <c r="CT2089" s="1066"/>
      <c r="CU2089" s="972"/>
      <c r="CV2089" s="983"/>
      <c r="CW2089" s="222"/>
      <c r="CX2089" s="697"/>
      <c r="DC2089" s="222"/>
      <c r="DJ2089" s="889"/>
      <c r="DM2089" s="890"/>
      <c r="DN2089" s="952"/>
      <c r="DO2089" s="75"/>
      <c r="DP2089" s="962"/>
      <c r="DQ2089" s="983"/>
      <c r="DV2089" s="889"/>
    </row>
    <row r="2090" spans="1:126" s="74" customFormat="1">
      <c r="A2090" s="15"/>
      <c r="B2090" s="15"/>
      <c r="C2090" s="15"/>
      <c r="D2090" s="15"/>
      <c r="E2090" s="6"/>
      <c r="F2090" s="6"/>
      <c r="G2090" s="6"/>
      <c r="K2090" s="222"/>
      <c r="V2090" s="1430"/>
      <c r="AA2090" s="223"/>
      <c r="AC2090" s="889"/>
      <c r="AF2090" s="890"/>
      <c r="AJ2090" s="889"/>
      <c r="AN2090" s="222"/>
      <c r="BC2090" s="223"/>
      <c r="BD2090" s="222"/>
      <c r="BH2090" s="611"/>
      <c r="BJ2090" s="15"/>
      <c r="BK2090" s="15"/>
      <c r="BO2090" s="223"/>
      <c r="BQ2090" s="889"/>
      <c r="BT2090" s="890"/>
      <c r="BX2090" s="889"/>
      <c r="CB2090" s="15"/>
      <c r="CC2090" s="697"/>
      <c r="CD2090" s="1086"/>
      <c r="CE2090" s="15"/>
      <c r="CF2090" s="15"/>
      <c r="CG2090" s="936"/>
      <c r="CH2090" s="15"/>
      <c r="CI2090" s="15"/>
      <c r="CJ2090" s="15"/>
      <c r="CK2090" s="1107"/>
      <c r="CL2090" s="22"/>
      <c r="CM2090" s="22"/>
      <c r="CN2090" s="1107"/>
      <c r="CR2090" s="223"/>
      <c r="CS2090" s="952"/>
      <c r="CT2090" s="1066"/>
      <c r="CU2090" s="972"/>
      <c r="CV2090" s="983"/>
      <c r="CW2090" s="222"/>
      <c r="CX2090" s="697"/>
      <c r="DC2090" s="222"/>
      <c r="DJ2090" s="889"/>
      <c r="DM2090" s="890"/>
      <c r="DN2090" s="952"/>
      <c r="DO2090" s="75"/>
      <c r="DP2090" s="962"/>
      <c r="DQ2090" s="983"/>
      <c r="DV2090" s="889"/>
    </row>
    <row r="2091" spans="1:126" s="74" customFormat="1">
      <c r="A2091" s="15"/>
      <c r="B2091" s="15"/>
      <c r="C2091" s="15"/>
      <c r="D2091" s="15"/>
      <c r="E2091" s="6"/>
      <c r="F2091" s="6"/>
      <c r="G2091" s="6"/>
      <c r="K2091" s="222"/>
      <c r="V2091" s="1430"/>
      <c r="AA2091" s="223"/>
      <c r="AC2091" s="889"/>
      <c r="AF2091" s="890"/>
      <c r="AJ2091" s="889"/>
      <c r="AN2091" s="222"/>
      <c r="BC2091" s="223"/>
      <c r="BD2091" s="222"/>
      <c r="BH2091" s="611"/>
      <c r="BJ2091" s="15"/>
      <c r="BK2091" s="15"/>
      <c r="BO2091" s="223"/>
      <c r="BQ2091" s="889"/>
      <c r="BT2091" s="890"/>
      <c r="BX2091" s="889"/>
      <c r="CB2091" s="15"/>
      <c r="CC2091" s="697"/>
      <c r="CD2091" s="1086"/>
      <c r="CE2091" s="15"/>
      <c r="CF2091" s="15"/>
      <c r="CG2091" s="936"/>
      <c r="CH2091" s="15"/>
      <c r="CI2091" s="15"/>
      <c r="CJ2091" s="15"/>
      <c r="CK2091" s="1107"/>
      <c r="CL2091" s="22"/>
      <c r="CM2091" s="22"/>
      <c r="CN2091" s="1107"/>
      <c r="CR2091" s="223"/>
      <c r="CS2091" s="952"/>
      <c r="CT2091" s="1066"/>
      <c r="CU2091" s="972"/>
      <c r="CV2091" s="983"/>
      <c r="CW2091" s="222"/>
      <c r="CX2091" s="697"/>
      <c r="DC2091" s="222"/>
      <c r="DJ2091" s="889"/>
      <c r="DM2091" s="890"/>
      <c r="DN2091" s="952"/>
      <c r="DO2091" s="75"/>
      <c r="DP2091" s="962"/>
      <c r="DQ2091" s="983"/>
      <c r="DV2091" s="889"/>
    </row>
    <row r="2092" spans="1:126" s="74" customFormat="1">
      <c r="A2092" s="15"/>
      <c r="B2092" s="15"/>
      <c r="C2092" s="15"/>
      <c r="D2092" s="15"/>
      <c r="E2092" s="6"/>
      <c r="F2092" s="6"/>
      <c r="G2092" s="6"/>
      <c r="K2092" s="222"/>
      <c r="V2092" s="1430"/>
      <c r="AA2092" s="223"/>
      <c r="AC2092" s="889"/>
      <c r="AF2092" s="890"/>
      <c r="AJ2092" s="889"/>
      <c r="AN2092" s="222"/>
      <c r="BC2092" s="223"/>
      <c r="BD2092" s="222"/>
      <c r="BH2092" s="611"/>
      <c r="BJ2092" s="15"/>
      <c r="BK2092" s="15"/>
      <c r="BO2092" s="223"/>
      <c r="BQ2092" s="889"/>
      <c r="BT2092" s="890"/>
      <c r="BX2092" s="889"/>
      <c r="CB2092" s="15"/>
      <c r="CC2092" s="697"/>
      <c r="CD2092" s="1086"/>
      <c r="CE2092" s="15"/>
      <c r="CF2092" s="15"/>
      <c r="CG2092" s="936"/>
      <c r="CH2092" s="15"/>
      <c r="CI2092" s="15"/>
      <c r="CJ2092" s="15"/>
      <c r="CK2092" s="1107"/>
      <c r="CL2092" s="22"/>
      <c r="CM2092" s="22"/>
      <c r="CN2092" s="1107"/>
      <c r="CR2092" s="223"/>
      <c r="CS2092" s="952"/>
      <c r="CT2092" s="1066"/>
      <c r="CU2092" s="972"/>
      <c r="CV2092" s="983"/>
      <c r="CW2092" s="222"/>
      <c r="CX2092" s="697"/>
      <c r="DC2092" s="222"/>
      <c r="DJ2092" s="889"/>
      <c r="DM2092" s="890"/>
      <c r="DN2092" s="952"/>
      <c r="DO2092" s="75"/>
      <c r="DP2092" s="962"/>
      <c r="DQ2092" s="983"/>
      <c r="DV2092" s="889"/>
    </row>
    <row r="2093" spans="1:126" s="74" customFormat="1">
      <c r="A2093" s="15"/>
      <c r="B2093" s="15"/>
      <c r="C2093" s="15"/>
      <c r="D2093" s="15"/>
      <c r="E2093" s="6"/>
      <c r="F2093" s="6"/>
      <c r="G2093" s="6"/>
      <c r="K2093" s="222"/>
      <c r="V2093" s="1430"/>
      <c r="AA2093" s="223"/>
      <c r="AC2093" s="889"/>
      <c r="AF2093" s="890"/>
      <c r="AJ2093" s="889"/>
      <c r="AN2093" s="222"/>
      <c r="BC2093" s="223"/>
      <c r="BD2093" s="222"/>
      <c r="BH2093" s="611"/>
      <c r="BJ2093" s="15"/>
      <c r="BK2093" s="15"/>
      <c r="BO2093" s="223"/>
      <c r="BQ2093" s="889"/>
      <c r="BT2093" s="890"/>
      <c r="BX2093" s="889"/>
      <c r="CB2093" s="15"/>
      <c r="CC2093" s="697"/>
      <c r="CD2093" s="1086"/>
      <c r="CE2093" s="15"/>
      <c r="CF2093" s="15"/>
      <c r="CG2093" s="936"/>
      <c r="CH2093" s="15"/>
      <c r="CI2093" s="15"/>
      <c r="CJ2093" s="15"/>
      <c r="CK2093" s="1107"/>
      <c r="CL2093" s="22"/>
      <c r="CM2093" s="22"/>
      <c r="CN2093" s="1107"/>
      <c r="CR2093" s="223"/>
      <c r="CS2093" s="952"/>
      <c r="CT2093" s="1066"/>
      <c r="CU2093" s="972"/>
      <c r="CV2093" s="983"/>
      <c r="CW2093" s="222"/>
      <c r="CX2093" s="697"/>
      <c r="DC2093" s="222"/>
      <c r="DJ2093" s="889"/>
      <c r="DM2093" s="890"/>
      <c r="DN2093" s="952"/>
      <c r="DO2093" s="75"/>
      <c r="DP2093" s="962"/>
      <c r="DQ2093" s="983"/>
      <c r="DV2093" s="889"/>
    </row>
    <row r="2094" spans="1:126" s="74" customFormat="1">
      <c r="A2094" s="15"/>
      <c r="B2094" s="15"/>
      <c r="C2094" s="15"/>
      <c r="D2094" s="15"/>
      <c r="E2094" s="6"/>
      <c r="F2094" s="6"/>
      <c r="G2094" s="6"/>
      <c r="K2094" s="222"/>
      <c r="V2094" s="1430"/>
      <c r="AA2094" s="223"/>
      <c r="AC2094" s="889"/>
      <c r="AF2094" s="890"/>
      <c r="AJ2094" s="889"/>
      <c r="AN2094" s="222"/>
      <c r="BC2094" s="223"/>
      <c r="BD2094" s="222"/>
      <c r="BH2094" s="611"/>
      <c r="BJ2094" s="15"/>
      <c r="BK2094" s="15"/>
      <c r="BO2094" s="223"/>
      <c r="BQ2094" s="889"/>
      <c r="BT2094" s="890"/>
      <c r="BX2094" s="889"/>
      <c r="CB2094" s="15"/>
      <c r="CC2094" s="697"/>
      <c r="CD2094" s="1086"/>
      <c r="CE2094" s="15"/>
      <c r="CF2094" s="15"/>
      <c r="CG2094" s="936"/>
      <c r="CH2094" s="15"/>
      <c r="CI2094" s="15"/>
      <c r="CJ2094" s="15"/>
      <c r="CK2094" s="1107"/>
      <c r="CL2094" s="22"/>
      <c r="CM2094" s="22"/>
      <c r="CN2094" s="1107"/>
      <c r="CR2094" s="223"/>
      <c r="CS2094" s="952"/>
      <c r="CT2094" s="1066"/>
      <c r="CU2094" s="972"/>
      <c r="CV2094" s="983"/>
      <c r="CW2094" s="222"/>
      <c r="CX2094" s="697"/>
      <c r="DC2094" s="222"/>
      <c r="DJ2094" s="889"/>
      <c r="DM2094" s="890"/>
      <c r="DN2094" s="952"/>
      <c r="DO2094" s="75"/>
      <c r="DP2094" s="962"/>
      <c r="DQ2094" s="983"/>
      <c r="DV2094" s="889"/>
    </row>
    <row r="2095" spans="1:126" s="74" customFormat="1">
      <c r="A2095" s="15"/>
      <c r="B2095" s="15"/>
      <c r="C2095" s="15"/>
      <c r="D2095" s="15"/>
      <c r="E2095" s="6"/>
      <c r="F2095" s="6"/>
      <c r="G2095" s="6"/>
      <c r="K2095" s="222"/>
      <c r="V2095" s="1430"/>
      <c r="AA2095" s="223"/>
      <c r="AC2095" s="889"/>
      <c r="AF2095" s="890"/>
      <c r="AJ2095" s="889"/>
      <c r="AN2095" s="222"/>
      <c r="BC2095" s="223"/>
      <c r="BD2095" s="222"/>
      <c r="BH2095" s="611"/>
      <c r="BJ2095" s="15"/>
      <c r="BK2095" s="15"/>
      <c r="BO2095" s="223"/>
      <c r="BQ2095" s="889"/>
      <c r="BT2095" s="890"/>
      <c r="BX2095" s="889"/>
      <c r="CB2095" s="15"/>
      <c r="CC2095" s="697"/>
      <c r="CD2095" s="1086"/>
      <c r="CE2095" s="15"/>
      <c r="CF2095" s="15"/>
      <c r="CG2095" s="936"/>
      <c r="CH2095" s="15"/>
      <c r="CI2095" s="15"/>
      <c r="CJ2095" s="15"/>
      <c r="CK2095" s="1107"/>
      <c r="CL2095" s="22"/>
      <c r="CM2095" s="22"/>
      <c r="CN2095" s="1107"/>
      <c r="CR2095" s="223"/>
      <c r="CS2095" s="952"/>
      <c r="CT2095" s="1066"/>
      <c r="CU2095" s="972"/>
      <c r="CV2095" s="983"/>
      <c r="CW2095" s="222"/>
      <c r="CX2095" s="697"/>
      <c r="DC2095" s="222"/>
      <c r="DJ2095" s="889"/>
      <c r="DM2095" s="890"/>
      <c r="DN2095" s="952"/>
      <c r="DO2095" s="75"/>
      <c r="DP2095" s="962"/>
      <c r="DQ2095" s="983"/>
      <c r="DV2095" s="889"/>
    </row>
    <row r="2096" spans="1:126" s="74" customFormat="1">
      <c r="A2096" s="15"/>
      <c r="B2096" s="15"/>
      <c r="C2096" s="15"/>
      <c r="D2096" s="15"/>
      <c r="E2096" s="6"/>
      <c r="F2096" s="6"/>
      <c r="G2096" s="6"/>
      <c r="K2096" s="222"/>
      <c r="V2096" s="1430"/>
      <c r="AA2096" s="223"/>
      <c r="AC2096" s="889"/>
      <c r="AF2096" s="890"/>
      <c r="AJ2096" s="889"/>
      <c r="AN2096" s="222"/>
      <c r="BC2096" s="223"/>
      <c r="BD2096" s="222"/>
      <c r="BH2096" s="611"/>
      <c r="BJ2096" s="15"/>
      <c r="BK2096" s="15"/>
      <c r="BO2096" s="223"/>
      <c r="BQ2096" s="889"/>
      <c r="BT2096" s="890"/>
      <c r="BX2096" s="889"/>
      <c r="CB2096" s="15"/>
      <c r="CC2096" s="697"/>
      <c r="CD2096" s="1086"/>
      <c r="CE2096" s="15"/>
      <c r="CF2096" s="15"/>
      <c r="CG2096" s="936"/>
      <c r="CH2096" s="15"/>
      <c r="CI2096" s="15"/>
      <c r="CJ2096" s="15"/>
      <c r="CK2096" s="1107"/>
      <c r="CL2096" s="22"/>
      <c r="CM2096" s="22"/>
      <c r="CN2096" s="1107"/>
      <c r="CR2096" s="223"/>
      <c r="CS2096" s="952"/>
      <c r="CT2096" s="1066"/>
      <c r="CU2096" s="972"/>
      <c r="CV2096" s="983"/>
      <c r="CW2096" s="222"/>
      <c r="CX2096" s="697"/>
      <c r="DC2096" s="222"/>
      <c r="DJ2096" s="889"/>
      <c r="DM2096" s="890"/>
      <c r="DN2096" s="952"/>
      <c r="DO2096" s="75"/>
      <c r="DP2096" s="962"/>
      <c r="DQ2096" s="983"/>
      <c r="DV2096" s="889"/>
    </row>
    <row r="2097" spans="1:126" s="74" customFormat="1">
      <c r="A2097" s="15"/>
      <c r="B2097" s="15"/>
      <c r="C2097" s="15"/>
      <c r="D2097" s="15"/>
      <c r="E2097" s="6"/>
      <c r="F2097" s="6"/>
      <c r="G2097" s="6"/>
      <c r="K2097" s="222"/>
      <c r="V2097" s="1430"/>
      <c r="AA2097" s="223"/>
      <c r="AC2097" s="889"/>
      <c r="AF2097" s="890"/>
      <c r="AJ2097" s="889"/>
      <c r="AN2097" s="222"/>
      <c r="BC2097" s="223"/>
      <c r="BD2097" s="222"/>
      <c r="BH2097" s="611"/>
      <c r="BJ2097" s="15"/>
      <c r="BK2097" s="15"/>
      <c r="BO2097" s="223"/>
      <c r="BQ2097" s="889"/>
      <c r="BT2097" s="890"/>
      <c r="BX2097" s="889"/>
      <c r="CB2097" s="15"/>
      <c r="CC2097" s="697"/>
      <c r="CD2097" s="1086"/>
      <c r="CE2097" s="15"/>
      <c r="CF2097" s="15"/>
      <c r="CG2097" s="936"/>
      <c r="CH2097" s="15"/>
      <c r="CI2097" s="15"/>
      <c r="CJ2097" s="15"/>
      <c r="CK2097" s="1107"/>
      <c r="CL2097" s="22"/>
      <c r="CM2097" s="22"/>
      <c r="CN2097" s="1107"/>
      <c r="CR2097" s="223"/>
      <c r="CS2097" s="952"/>
      <c r="CT2097" s="1066"/>
      <c r="CU2097" s="972"/>
      <c r="CV2097" s="983"/>
      <c r="CW2097" s="222"/>
      <c r="CX2097" s="697"/>
      <c r="DC2097" s="222"/>
      <c r="DJ2097" s="889"/>
      <c r="DM2097" s="890"/>
      <c r="DN2097" s="952"/>
      <c r="DO2097" s="75"/>
      <c r="DP2097" s="962"/>
      <c r="DQ2097" s="983"/>
      <c r="DV2097" s="889"/>
    </row>
    <row r="2098" spans="1:126" s="74" customFormat="1">
      <c r="A2098" s="15"/>
      <c r="B2098" s="15"/>
      <c r="C2098" s="15"/>
      <c r="D2098" s="15"/>
      <c r="E2098" s="6"/>
      <c r="F2098" s="6"/>
      <c r="G2098" s="6"/>
      <c r="K2098" s="222"/>
      <c r="V2098" s="1430"/>
      <c r="AA2098" s="223"/>
      <c r="AC2098" s="889"/>
      <c r="AF2098" s="890"/>
      <c r="AJ2098" s="889"/>
      <c r="AN2098" s="222"/>
      <c r="BC2098" s="223"/>
      <c r="BD2098" s="222"/>
      <c r="BH2098" s="611"/>
      <c r="BJ2098" s="15"/>
      <c r="BK2098" s="15"/>
      <c r="BO2098" s="223"/>
      <c r="BQ2098" s="889"/>
      <c r="BT2098" s="890"/>
      <c r="BX2098" s="889"/>
      <c r="CB2098" s="15"/>
      <c r="CC2098" s="697"/>
      <c r="CD2098" s="1086"/>
      <c r="CE2098" s="15"/>
      <c r="CF2098" s="15"/>
      <c r="CG2098" s="936"/>
      <c r="CH2098" s="15"/>
      <c r="CI2098" s="15"/>
      <c r="CJ2098" s="15"/>
      <c r="CK2098" s="1107"/>
      <c r="CL2098" s="22"/>
      <c r="CM2098" s="22"/>
      <c r="CN2098" s="1107"/>
      <c r="CR2098" s="223"/>
      <c r="CS2098" s="952"/>
      <c r="CT2098" s="1066"/>
      <c r="CU2098" s="972"/>
      <c r="CV2098" s="983"/>
      <c r="CW2098" s="222"/>
      <c r="CX2098" s="697"/>
      <c r="DC2098" s="222"/>
      <c r="DJ2098" s="889"/>
      <c r="DM2098" s="890"/>
      <c r="DN2098" s="952"/>
      <c r="DO2098" s="75"/>
      <c r="DP2098" s="962"/>
      <c r="DQ2098" s="983"/>
      <c r="DV2098" s="889"/>
    </row>
    <row r="2099" spans="1:126" s="74" customFormat="1">
      <c r="A2099" s="15"/>
      <c r="B2099" s="15"/>
      <c r="C2099" s="15"/>
      <c r="D2099" s="15"/>
      <c r="E2099" s="6"/>
      <c r="F2099" s="6"/>
      <c r="G2099" s="6"/>
      <c r="K2099" s="222"/>
      <c r="V2099" s="1430"/>
      <c r="AA2099" s="223"/>
      <c r="AC2099" s="889"/>
      <c r="AF2099" s="890"/>
      <c r="AJ2099" s="889"/>
      <c r="AN2099" s="222"/>
      <c r="BC2099" s="223"/>
      <c r="BD2099" s="222"/>
      <c r="BH2099" s="611"/>
      <c r="BJ2099" s="15"/>
      <c r="BK2099" s="15"/>
      <c r="BO2099" s="223"/>
      <c r="BQ2099" s="889"/>
      <c r="BT2099" s="890"/>
      <c r="BX2099" s="889"/>
      <c r="CB2099" s="15"/>
      <c r="CC2099" s="697"/>
      <c r="CD2099" s="1086"/>
      <c r="CE2099" s="15"/>
      <c r="CF2099" s="15"/>
      <c r="CG2099" s="936"/>
      <c r="CH2099" s="15"/>
      <c r="CI2099" s="15"/>
      <c r="CJ2099" s="15"/>
      <c r="CK2099" s="1107"/>
      <c r="CL2099" s="22"/>
      <c r="CM2099" s="22"/>
      <c r="CN2099" s="1107"/>
      <c r="CR2099" s="223"/>
      <c r="CS2099" s="952"/>
      <c r="CT2099" s="1066"/>
      <c r="CU2099" s="972"/>
      <c r="CV2099" s="983"/>
      <c r="CW2099" s="222"/>
      <c r="CX2099" s="697"/>
      <c r="DC2099" s="222"/>
      <c r="DJ2099" s="889"/>
      <c r="DM2099" s="890"/>
      <c r="DN2099" s="952"/>
      <c r="DO2099" s="75"/>
      <c r="DP2099" s="962"/>
      <c r="DQ2099" s="983"/>
      <c r="DV2099" s="889"/>
    </row>
    <row r="2100" spans="1:126" s="74" customFormat="1">
      <c r="A2100" s="15"/>
      <c r="B2100" s="15"/>
      <c r="C2100" s="15"/>
      <c r="D2100" s="15"/>
      <c r="E2100" s="6"/>
      <c r="F2100" s="6"/>
      <c r="G2100" s="6"/>
      <c r="K2100" s="222"/>
      <c r="V2100" s="1430"/>
      <c r="AA2100" s="223"/>
      <c r="AC2100" s="889"/>
      <c r="AF2100" s="890"/>
      <c r="AJ2100" s="889"/>
      <c r="AN2100" s="222"/>
      <c r="BC2100" s="223"/>
      <c r="BD2100" s="222"/>
      <c r="BH2100" s="611"/>
      <c r="BJ2100" s="15"/>
      <c r="BK2100" s="15"/>
      <c r="BO2100" s="223"/>
      <c r="BQ2100" s="889"/>
      <c r="BT2100" s="890"/>
      <c r="BX2100" s="889"/>
      <c r="CB2100" s="15"/>
      <c r="CC2100" s="697"/>
      <c r="CD2100" s="1086"/>
      <c r="CE2100" s="15"/>
      <c r="CF2100" s="15"/>
      <c r="CG2100" s="936"/>
      <c r="CH2100" s="15"/>
      <c r="CI2100" s="15"/>
      <c r="CJ2100" s="15"/>
      <c r="CK2100" s="1107"/>
      <c r="CL2100" s="22"/>
      <c r="CM2100" s="22"/>
      <c r="CN2100" s="1107"/>
      <c r="CR2100" s="223"/>
      <c r="CS2100" s="952"/>
      <c r="CT2100" s="1066"/>
      <c r="CU2100" s="972"/>
      <c r="CV2100" s="983"/>
      <c r="CW2100" s="222"/>
      <c r="CX2100" s="697"/>
      <c r="DC2100" s="222"/>
      <c r="DJ2100" s="889"/>
      <c r="DM2100" s="890"/>
      <c r="DN2100" s="952"/>
      <c r="DO2100" s="75"/>
      <c r="DP2100" s="962"/>
      <c r="DQ2100" s="983"/>
      <c r="DV2100" s="889"/>
    </row>
    <row r="2101" spans="1:126" s="74" customFormat="1">
      <c r="A2101" s="15"/>
      <c r="B2101" s="15"/>
      <c r="C2101" s="15"/>
      <c r="D2101" s="15"/>
      <c r="E2101" s="6"/>
      <c r="F2101" s="6"/>
      <c r="G2101" s="6"/>
      <c r="K2101" s="222"/>
      <c r="V2101" s="1430"/>
      <c r="AA2101" s="223"/>
      <c r="AC2101" s="889"/>
      <c r="AF2101" s="890"/>
      <c r="AJ2101" s="889"/>
      <c r="AN2101" s="222"/>
      <c r="BC2101" s="223"/>
      <c r="BD2101" s="222"/>
      <c r="BH2101" s="611"/>
      <c r="BJ2101" s="15"/>
      <c r="BK2101" s="15"/>
      <c r="BO2101" s="223"/>
      <c r="BQ2101" s="889"/>
      <c r="BT2101" s="890"/>
      <c r="BX2101" s="889"/>
      <c r="CB2101" s="15"/>
      <c r="CC2101" s="697"/>
      <c r="CD2101" s="1086"/>
      <c r="CE2101" s="15"/>
      <c r="CF2101" s="15"/>
      <c r="CG2101" s="936"/>
      <c r="CH2101" s="15"/>
      <c r="CI2101" s="15"/>
      <c r="CJ2101" s="15"/>
      <c r="CK2101" s="1107"/>
      <c r="CL2101" s="22"/>
      <c r="CM2101" s="22"/>
      <c r="CN2101" s="1107"/>
      <c r="CR2101" s="223"/>
      <c r="CS2101" s="952"/>
      <c r="CT2101" s="1066"/>
      <c r="CU2101" s="972"/>
      <c r="CV2101" s="983"/>
      <c r="CW2101" s="222"/>
      <c r="CX2101" s="697"/>
      <c r="DC2101" s="222"/>
      <c r="DJ2101" s="889"/>
      <c r="DM2101" s="890"/>
      <c r="DN2101" s="952"/>
      <c r="DO2101" s="75"/>
      <c r="DP2101" s="962"/>
      <c r="DQ2101" s="983"/>
      <c r="DV2101" s="889"/>
    </row>
    <row r="2102" spans="1:126" s="74" customFormat="1">
      <c r="A2102" s="15"/>
      <c r="B2102" s="15"/>
      <c r="C2102" s="15"/>
      <c r="D2102" s="15"/>
      <c r="E2102" s="6"/>
      <c r="F2102" s="6"/>
      <c r="G2102" s="6"/>
      <c r="K2102" s="222"/>
      <c r="V2102" s="1430"/>
      <c r="AA2102" s="223"/>
      <c r="AC2102" s="889"/>
      <c r="AF2102" s="890"/>
      <c r="AJ2102" s="889"/>
      <c r="AN2102" s="222"/>
      <c r="BC2102" s="223"/>
      <c r="BD2102" s="222"/>
      <c r="BH2102" s="611"/>
      <c r="BJ2102" s="15"/>
      <c r="BK2102" s="15"/>
      <c r="BO2102" s="223"/>
      <c r="BQ2102" s="889"/>
      <c r="BT2102" s="890"/>
      <c r="BX2102" s="889"/>
      <c r="CB2102" s="15"/>
      <c r="CC2102" s="697"/>
      <c r="CD2102" s="1086"/>
      <c r="CE2102" s="15"/>
      <c r="CF2102" s="15"/>
      <c r="CG2102" s="936"/>
      <c r="CH2102" s="15"/>
      <c r="CI2102" s="15"/>
      <c r="CJ2102" s="15"/>
      <c r="CK2102" s="1107"/>
      <c r="CL2102" s="22"/>
      <c r="CM2102" s="22"/>
      <c r="CN2102" s="1107"/>
      <c r="CR2102" s="223"/>
      <c r="CS2102" s="952"/>
      <c r="CT2102" s="1066"/>
      <c r="CU2102" s="972"/>
      <c r="CV2102" s="983"/>
      <c r="CW2102" s="222"/>
      <c r="CX2102" s="697"/>
      <c r="DC2102" s="222"/>
      <c r="DJ2102" s="889"/>
      <c r="DM2102" s="890"/>
      <c r="DN2102" s="952"/>
      <c r="DO2102" s="75"/>
      <c r="DP2102" s="962"/>
      <c r="DQ2102" s="983"/>
      <c r="DV2102" s="889"/>
    </row>
    <row r="2103" spans="1:126" s="74" customFormat="1">
      <c r="A2103" s="15"/>
      <c r="B2103" s="15"/>
      <c r="C2103" s="15"/>
      <c r="D2103" s="15"/>
      <c r="E2103" s="6"/>
      <c r="F2103" s="6"/>
      <c r="G2103" s="6"/>
      <c r="K2103" s="222"/>
      <c r="V2103" s="1430"/>
      <c r="AA2103" s="223"/>
      <c r="AC2103" s="889"/>
      <c r="AF2103" s="890"/>
      <c r="AJ2103" s="889"/>
      <c r="AN2103" s="222"/>
      <c r="BC2103" s="223"/>
      <c r="BD2103" s="222"/>
      <c r="BH2103" s="611"/>
      <c r="BJ2103" s="15"/>
      <c r="BK2103" s="15"/>
      <c r="BO2103" s="223"/>
      <c r="BQ2103" s="889"/>
      <c r="BT2103" s="890"/>
      <c r="BX2103" s="889"/>
      <c r="CB2103" s="15"/>
      <c r="CC2103" s="697"/>
      <c r="CD2103" s="1086"/>
      <c r="CE2103" s="15"/>
      <c r="CF2103" s="15"/>
      <c r="CG2103" s="936"/>
      <c r="CH2103" s="15"/>
      <c r="CI2103" s="15"/>
      <c r="CJ2103" s="15"/>
      <c r="CK2103" s="1107"/>
      <c r="CL2103" s="22"/>
      <c r="CM2103" s="22"/>
      <c r="CN2103" s="1107"/>
      <c r="CR2103" s="223"/>
      <c r="CS2103" s="952"/>
      <c r="CT2103" s="1066"/>
      <c r="CU2103" s="972"/>
      <c r="CV2103" s="983"/>
      <c r="CW2103" s="222"/>
      <c r="CX2103" s="697"/>
      <c r="DC2103" s="222"/>
      <c r="DJ2103" s="889"/>
      <c r="DM2103" s="890"/>
      <c r="DN2103" s="952"/>
      <c r="DO2103" s="75"/>
      <c r="DP2103" s="962"/>
      <c r="DQ2103" s="983"/>
      <c r="DV2103" s="889"/>
    </row>
    <row r="2104" spans="1:126" s="74" customFormat="1">
      <c r="A2104" s="15"/>
      <c r="B2104" s="15"/>
      <c r="C2104" s="15"/>
      <c r="D2104" s="15"/>
      <c r="E2104" s="6"/>
      <c r="F2104" s="6"/>
      <c r="G2104" s="6"/>
      <c r="K2104" s="222"/>
      <c r="V2104" s="1430"/>
      <c r="AA2104" s="223"/>
      <c r="AC2104" s="889"/>
      <c r="AF2104" s="890"/>
      <c r="AJ2104" s="889"/>
      <c r="AN2104" s="222"/>
      <c r="BC2104" s="223"/>
      <c r="BD2104" s="222"/>
      <c r="BH2104" s="611"/>
      <c r="BJ2104" s="15"/>
      <c r="BK2104" s="15"/>
      <c r="BO2104" s="223"/>
      <c r="BQ2104" s="889"/>
      <c r="BT2104" s="890"/>
      <c r="BX2104" s="889"/>
      <c r="CB2104" s="15"/>
      <c r="CC2104" s="697"/>
      <c r="CD2104" s="1086"/>
      <c r="CE2104" s="15"/>
      <c r="CF2104" s="15"/>
      <c r="CG2104" s="936"/>
      <c r="CH2104" s="15"/>
      <c r="CI2104" s="15"/>
      <c r="CJ2104" s="15"/>
      <c r="CK2104" s="1107"/>
      <c r="CL2104" s="22"/>
      <c r="CM2104" s="22"/>
      <c r="CN2104" s="1107"/>
      <c r="CR2104" s="223"/>
      <c r="CS2104" s="952"/>
      <c r="CT2104" s="1066"/>
      <c r="CU2104" s="972"/>
      <c r="CV2104" s="983"/>
      <c r="CW2104" s="222"/>
      <c r="CX2104" s="697"/>
      <c r="DC2104" s="222"/>
      <c r="DJ2104" s="889"/>
      <c r="DM2104" s="890"/>
      <c r="DN2104" s="952"/>
      <c r="DO2104" s="75"/>
      <c r="DP2104" s="962"/>
      <c r="DQ2104" s="983"/>
      <c r="DV2104" s="889"/>
    </row>
    <row r="2105" spans="1:126" s="74" customFormat="1">
      <c r="A2105" s="15"/>
      <c r="B2105" s="15"/>
      <c r="C2105" s="15"/>
      <c r="D2105" s="15"/>
      <c r="E2105" s="6"/>
      <c r="F2105" s="6"/>
      <c r="G2105" s="6"/>
      <c r="K2105" s="222"/>
      <c r="V2105" s="1430"/>
      <c r="AA2105" s="223"/>
      <c r="AC2105" s="889"/>
      <c r="AF2105" s="890"/>
      <c r="AJ2105" s="889"/>
      <c r="AN2105" s="222"/>
      <c r="BC2105" s="223"/>
      <c r="BD2105" s="222"/>
      <c r="BH2105" s="611"/>
      <c r="BJ2105" s="15"/>
      <c r="BK2105" s="15"/>
      <c r="BO2105" s="223"/>
      <c r="BQ2105" s="889"/>
      <c r="BT2105" s="890"/>
      <c r="BX2105" s="889"/>
      <c r="CB2105" s="15"/>
      <c r="CC2105" s="697"/>
      <c r="CD2105" s="1086"/>
      <c r="CE2105" s="15"/>
      <c r="CF2105" s="15"/>
      <c r="CG2105" s="936"/>
      <c r="CH2105" s="15"/>
      <c r="CI2105" s="15"/>
      <c r="CJ2105" s="15"/>
      <c r="CK2105" s="1107"/>
      <c r="CL2105" s="22"/>
      <c r="CM2105" s="22"/>
      <c r="CN2105" s="1107"/>
      <c r="CR2105" s="223"/>
      <c r="CS2105" s="952"/>
      <c r="CT2105" s="1066"/>
      <c r="CU2105" s="972"/>
      <c r="CV2105" s="983"/>
      <c r="CW2105" s="222"/>
      <c r="CX2105" s="697"/>
      <c r="DC2105" s="222"/>
      <c r="DJ2105" s="889"/>
      <c r="DM2105" s="890"/>
      <c r="DN2105" s="952"/>
      <c r="DO2105" s="75"/>
      <c r="DP2105" s="962"/>
      <c r="DQ2105" s="983"/>
      <c r="DV2105" s="889"/>
    </row>
    <row r="2106" spans="1:126" s="74" customFormat="1">
      <c r="A2106" s="15"/>
      <c r="B2106" s="15"/>
      <c r="C2106" s="15"/>
      <c r="D2106" s="15"/>
      <c r="E2106" s="6"/>
      <c r="F2106" s="6"/>
      <c r="G2106" s="6"/>
      <c r="K2106" s="222"/>
      <c r="V2106" s="1430"/>
      <c r="AA2106" s="223"/>
      <c r="AC2106" s="889"/>
      <c r="AF2106" s="890"/>
      <c r="AJ2106" s="889"/>
      <c r="AN2106" s="222"/>
      <c r="BC2106" s="223"/>
      <c r="BD2106" s="222"/>
      <c r="BH2106" s="611"/>
      <c r="BJ2106" s="15"/>
      <c r="BK2106" s="15"/>
      <c r="BO2106" s="223"/>
      <c r="BQ2106" s="889"/>
      <c r="BT2106" s="890"/>
      <c r="BX2106" s="889"/>
      <c r="CB2106" s="15"/>
      <c r="CC2106" s="697"/>
      <c r="CD2106" s="1086"/>
      <c r="CE2106" s="15"/>
      <c r="CF2106" s="15"/>
      <c r="CG2106" s="936"/>
      <c r="CH2106" s="15"/>
      <c r="CI2106" s="15"/>
      <c r="CJ2106" s="15"/>
      <c r="CK2106" s="1107"/>
      <c r="CL2106" s="22"/>
      <c r="CM2106" s="22"/>
      <c r="CN2106" s="1107"/>
      <c r="CR2106" s="223"/>
      <c r="CS2106" s="952"/>
      <c r="CT2106" s="1066"/>
      <c r="CU2106" s="972"/>
      <c r="CV2106" s="983"/>
      <c r="CW2106" s="222"/>
      <c r="CX2106" s="697"/>
      <c r="DC2106" s="222"/>
      <c r="DJ2106" s="889"/>
      <c r="DM2106" s="890"/>
      <c r="DN2106" s="952"/>
      <c r="DO2106" s="75"/>
      <c r="DP2106" s="962"/>
      <c r="DQ2106" s="983"/>
      <c r="DV2106" s="889"/>
    </row>
    <row r="2107" spans="1:126" s="74" customFormat="1">
      <c r="A2107" s="15"/>
      <c r="B2107" s="15"/>
      <c r="C2107" s="15"/>
      <c r="D2107" s="15"/>
      <c r="E2107" s="6"/>
      <c r="F2107" s="6"/>
      <c r="G2107" s="6"/>
      <c r="K2107" s="222"/>
      <c r="V2107" s="1430"/>
      <c r="AA2107" s="223"/>
      <c r="AC2107" s="889"/>
      <c r="AF2107" s="890"/>
      <c r="AJ2107" s="889"/>
      <c r="AN2107" s="222"/>
      <c r="BC2107" s="223"/>
      <c r="BD2107" s="222"/>
      <c r="BH2107" s="611"/>
      <c r="BJ2107" s="15"/>
      <c r="BK2107" s="15"/>
      <c r="BO2107" s="223"/>
      <c r="BQ2107" s="889"/>
      <c r="BT2107" s="890"/>
      <c r="BX2107" s="889"/>
      <c r="CB2107" s="15"/>
      <c r="CC2107" s="697"/>
      <c r="CD2107" s="1086"/>
      <c r="CE2107" s="15"/>
      <c r="CF2107" s="15"/>
      <c r="CG2107" s="936"/>
      <c r="CH2107" s="15"/>
      <c r="CI2107" s="15"/>
      <c r="CJ2107" s="15"/>
      <c r="CK2107" s="1107"/>
      <c r="CL2107" s="22"/>
      <c r="CM2107" s="22"/>
      <c r="CN2107" s="1107"/>
      <c r="CR2107" s="223"/>
      <c r="CS2107" s="952"/>
      <c r="CT2107" s="1066"/>
      <c r="CU2107" s="972"/>
      <c r="CV2107" s="983"/>
      <c r="CW2107" s="222"/>
      <c r="CX2107" s="697"/>
      <c r="DC2107" s="222"/>
      <c r="DJ2107" s="889"/>
      <c r="DM2107" s="890"/>
      <c r="DN2107" s="952"/>
      <c r="DO2107" s="75"/>
      <c r="DP2107" s="962"/>
      <c r="DQ2107" s="983"/>
      <c r="DV2107" s="889"/>
    </row>
    <row r="2108" spans="1:126" s="74" customFormat="1">
      <c r="A2108" s="15"/>
      <c r="B2108" s="15"/>
      <c r="C2108" s="15"/>
      <c r="D2108" s="15"/>
      <c r="E2108" s="6"/>
      <c r="F2108" s="6"/>
      <c r="G2108" s="6"/>
      <c r="K2108" s="222"/>
      <c r="V2108" s="1430"/>
      <c r="AA2108" s="223"/>
      <c r="AC2108" s="889"/>
      <c r="AF2108" s="890"/>
      <c r="AJ2108" s="889"/>
      <c r="AN2108" s="222"/>
      <c r="BC2108" s="223"/>
      <c r="BD2108" s="222"/>
      <c r="BH2108" s="611"/>
      <c r="BJ2108" s="15"/>
      <c r="BK2108" s="15"/>
      <c r="BO2108" s="223"/>
      <c r="BQ2108" s="889"/>
      <c r="BT2108" s="890"/>
      <c r="BX2108" s="889"/>
      <c r="CB2108" s="15"/>
      <c r="CC2108" s="697"/>
      <c r="CD2108" s="1086"/>
      <c r="CE2108" s="15"/>
      <c r="CF2108" s="15"/>
      <c r="CG2108" s="936"/>
      <c r="CH2108" s="15"/>
      <c r="CI2108" s="15"/>
      <c r="CJ2108" s="15"/>
      <c r="CK2108" s="1107"/>
      <c r="CL2108" s="22"/>
      <c r="CM2108" s="22"/>
      <c r="CN2108" s="1107"/>
      <c r="CR2108" s="223"/>
      <c r="CS2108" s="952"/>
      <c r="CT2108" s="1066"/>
      <c r="CU2108" s="972"/>
      <c r="CV2108" s="983"/>
      <c r="CW2108" s="222"/>
      <c r="CX2108" s="697"/>
      <c r="DC2108" s="222"/>
      <c r="DJ2108" s="889"/>
      <c r="DM2108" s="890"/>
      <c r="DN2108" s="952"/>
      <c r="DO2108" s="75"/>
      <c r="DP2108" s="962"/>
      <c r="DQ2108" s="983"/>
      <c r="DV2108" s="889"/>
    </row>
    <row r="2109" spans="1:126" s="74" customFormat="1">
      <c r="A2109" s="15"/>
      <c r="B2109" s="15"/>
      <c r="C2109" s="15"/>
      <c r="D2109" s="15"/>
      <c r="E2109" s="6"/>
      <c r="F2109" s="6"/>
      <c r="G2109" s="6"/>
      <c r="K2109" s="222"/>
      <c r="V2109" s="1430"/>
      <c r="AA2109" s="223"/>
      <c r="AC2109" s="889"/>
      <c r="AF2109" s="890"/>
      <c r="AJ2109" s="889"/>
      <c r="AN2109" s="222"/>
      <c r="BC2109" s="223"/>
      <c r="BD2109" s="222"/>
      <c r="BH2109" s="611"/>
      <c r="BJ2109" s="15"/>
      <c r="BK2109" s="15"/>
      <c r="BO2109" s="223"/>
      <c r="BQ2109" s="889"/>
      <c r="BT2109" s="890"/>
      <c r="BX2109" s="889"/>
      <c r="CB2109" s="15"/>
      <c r="CC2109" s="697"/>
      <c r="CD2109" s="1086"/>
      <c r="CE2109" s="15"/>
      <c r="CF2109" s="15"/>
      <c r="CG2109" s="936"/>
      <c r="CH2109" s="15"/>
      <c r="CI2109" s="15"/>
      <c r="CJ2109" s="15"/>
      <c r="CK2109" s="1107"/>
      <c r="CL2109" s="22"/>
      <c r="CM2109" s="22"/>
      <c r="CN2109" s="1107"/>
      <c r="CR2109" s="223"/>
      <c r="CS2109" s="952"/>
      <c r="CT2109" s="1066"/>
      <c r="CU2109" s="972"/>
      <c r="CV2109" s="983"/>
      <c r="CW2109" s="222"/>
      <c r="CX2109" s="697"/>
      <c r="DC2109" s="222"/>
      <c r="DJ2109" s="889"/>
      <c r="DM2109" s="890"/>
      <c r="DN2109" s="952"/>
      <c r="DO2109" s="75"/>
      <c r="DP2109" s="962"/>
      <c r="DQ2109" s="983"/>
      <c r="DV2109" s="889"/>
    </row>
    <row r="2110" spans="1:126" s="74" customFormat="1">
      <c r="A2110" s="15"/>
      <c r="B2110" s="15"/>
      <c r="C2110" s="15"/>
      <c r="D2110" s="15"/>
      <c r="E2110" s="6"/>
      <c r="F2110" s="6"/>
      <c r="G2110" s="6"/>
      <c r="K2110" s="222"/>
      <c r="V2110" s="1430"/>
      <c r="AA2110" s="223"/>
      <c r="AC2110" s="889"/>
      <c r="AF2110" s="890"/>
      <c r="AJ2110" s="889"/>
      <c r="AN2110" s="222"/>
      <c r="BC2110" s="223"/>
      <c r="BD2110" s="222"/>
      <c r="BH2110" s="611"/>
      <c r="BJ2110" s="15"/>
      <c r="BK2110" s="15"/>
      <c r="BO2110" s="223"/>
      <c r="BQ2110" s="889"/>
      <c r="BT2110" s="890"/>
      <c r="BX2110" s="889"/>
      <c r="CB2110" s="15"/>
      <c r="CC2110" s="697"/>
      <c r="CD2110" s="1086"/>
      <c r="CE2110" s="15"/>
      <c r="CF2110" s="15"/>
      <c r="CG2110" s="936"/>
      <c r="CH2110" s="15"/>
      <c r="CI2110" s="15"/>
      <c r="CJ2110" s="15"/>
      <c r="CK2110" s="1107"/>
      <c r="CL2110" s="22"/>
      <c r="CM2110" s="22"/>
      <c r="CN2110" s="1107"/>
      <c r="CR2110" s="223"/>
      <c r="CS2110" s="952"/>
      <c r="CT2110" s="1066"/>
      <c r="CU2110" s="972"/>
      <c r="CV2110" s="983"/>
      <c r="CW2110" s="222"/>
      <c r="CX2110" s="697"/>
      <c r="DC2110" s="222"/>
      <c r="DJ2110" s="889"/>
      <c r="DM2110" s="890"/>
      <c r="DN2110" s="952"/>
      <c r="DO2110" s="75"/>
      <c r="DP2110" s="962"/>
      <c r="DQ2110" s="983"/>
      <c r="DV2110" s="889"/>
    </row>
    <row r="2111" spans="1:126" s="74" customFormat="1">
      <c r="A2111" s="15"/>
      <c r="B2111" s="15"/>
      <c r="C2111" s="15"/>
      <c r="D2111" s="15"/>
      <c r="E2111" s="6"/>
      <c r="F2111" s="6"/>
      <c r="G2111" s="6"/>
      <c r="K2111" s="222"/>
      <c r="V2111" s="1430"/>
      <c r="AA2111" s="223"/>
      <c r="AC2111" s="889"/>
      <c r="AF2111" s="890"/>
      <c r="AJ2111" s="889"/>
      <c r="AN2111" s="222"/>
      <c r="BC2111" s="223"/>
      <c r="BD2111" s="222"/>
      <c r="BH2111" s="611"/>
      <c r="BJ2111" s="15"/>
      <c r="BK2111" s="15"/>
      <c r="BO2111" s="223"/>
      <c r="BQ2111" s="889"/>
      <c r="BT2111" s="890"/>
      <c r="BX2111" s="889"/>
      <c r="CB2111" s="15"/>
      <c r="CC2111" s="697"/>
      <c r="CD2111" s="1086"/>
      <c r="CE2111" s="15"/>
      <c r="CF2111" s="15"/>
      <c r="CG2111" s="936"/>
      <c r="CH2111" s="15"/>
      <c r="CI2111" s="15"/>
      <c r="CJ2111" s="15"/>
      <c r="CK2111" s="1107"/>
      <c r="CL2111" s="22"/>
      <c r="CM2111" s="22"/>
      <c r="CN2111" s="1107"/>
      <c r="CR2111" s="223"/>
      <c r="CS2111" s="952"/>
      <c r="CT2111" s="1066"/>
      <c r="CU2111" s="972"/>
      <c r="CV2111" s="983"/>
      <c r="CW2111" s="222"/>
      <c r="CX2111" s="697"/>
      <c r="DC2111" s="222"/>
      <c r="DJ2111" s="889"/>
      <c r="DM2111" s="890"/>
      <c r="DN2111" s="952"/>
      <c r="DO2111" s="75"/>
      <c r="DP2111" s="962"/>
      <c r="DQ2111" s="983"/>
      <c r="DV2111" s="889"/>
    </row>
    <row r="2112" spans="1:126" s="74" customFormat="1">
      <c r="A2112" s="15"/>
      <c r="B2112" s="15"/>
      <c r="C2112" s="15"/>
      <c r="D2112" s="15"/>
      <c r="E2112" s="6"/>
      <c r="F2112" s="6"/>
      <c r="G2112" s="6"/>
      <c r="K2112" s="222"/>
      <c r="V2112" s="1430"/>
      <c r="AA2112" s="223"/>
      <c r="AC2112" s="889"/>
      <c r="AF2112" s="890"/>
      <c r="AJ2112" s="889"/>
      <c r="AN2112" s="222"/>
      <c r="BC2112" s="223"/>
      <c r="BD2112" s="222"/>
      <c r="BH2112" s="611"/>
      <c r="BJ2112" s="15"/>
      <c r="BK2112" s="15"/>
      <c r="BO2112" s="223"/>
      <c r="BQ2112" s="889"/>
      <c r="BT2112" s="890"/>
      <c r="BX2112" s="889"/>
      <c r="CB2112" s="15"/>
      <c r="CC2112" s="697"/>
      <c r="CD2112" s="1086"/>
      <c r="CE2112" s="15"/>
      <c r="CF2112" s="15"/>
      <c r="CG2112" s="936"/>
      <c r="CH2112" s="15"/>
      <c r="CI2112" s="15"/>
      <c r="CJ2112" s="15"/>
      <c r="CK2112" s="1107"/>
      <c r="CL2112" s="22"/>
      <c r="CM2112" s="22"/>
      <c r="CN2112" s="1107"/>
      <c r="CR2112" s="223"/>
      <c r="CS2112" s="952"/>
      <c r="CT2112" s="1066"/>
      <c r="CU2112" s="972"/>
      <c r="CV2112" s="983"/>
      <c r="CW2112" s="222"/>
      <c r="CX2112" s="697"/>
      <c r="DC2112" s="222"/>
      <c r="DJ2112" s="889"/>
      <c r="DM2112" s="890"/>
      <c r="DN2112" s="952"/>
      <c r="DO2112" s="75"/>
      <c r="DP2112" s="962"/>
      <c r="DQ2112" s="983"/>
      <c r="DV2112" s="889"/>
    </row>
    <row r="2113" spans="1:126" s="74" customFormat="1">
      <c r="A2113" s="15"/>
      <c r="B2113" s="15"/>
      <c r="C2113" s="15"/>
      <c r="D2113" s="15"/>
      <c r="E2113" s="6"/>
      <c r="F2113" s="6"/>
      <c r="G2113" s="6"/>
      <c r="K2113" s="222"/>
      <c r="V2113" s="1430"/>
      <c r="AA2113" s="223"/>
      <c r="AC2113" s="889"/>
      <c r="AF2113" s="890"/>
      <c r="AJ2113" s="889"/>
      <c r="AN2113" s="222"/>
      <c r="BC2113" s="223"/>
      <c r="BD2113" s="222"/>
      <c r="BH2113" s="611"/>
      <c r="BJ2113" s="15"/>
      <c r="BK2113" s="15"/>
      <c r="BO2113" s="223"/>
      <c r="BQ2113" s="889"/>
      <c r="BT2113" s="890"/>
      <c r="BX2113" s="889"/>
      <c r="CB2113" s="15"/>
      <c r="CC2113" s="697"/>
      <c r="CD2113" s="1086"/>
      <c r="CE2113" s="15"/>
      <c r="CF2113" s="15"/>
      <c r="CG2113" s="936"/>
      <c r="CH2113" s="15"/>
      <c r="CI2113" s="15"/>
      <c r="CJ2113" s="15"/>
      <c r="CK2113" s="1107"/>
      <c r="CL2113" s="22"/>
      <c r="CM2113" s="22"/>
      <c r="CN2113" s="1107"/>
      <c r="CR2113" s="223"/>
      <c r="CS2113" s="952"/>
      <c r="CT2113" s="1066"/>
      <c r="CU2113" s="972"/>
      <c r="CV2113" s="983"/>
      <c r="CW2113" s="222"/>
      <c r="CX2113" s="697"/>
      <c r="DC2113" s="222"/>
      <c r="DJ2113" s="889"/>
      <c r="DM2113" s="890"/>
      <c r="DN2113" s="952"/>
      <c r="DO2113" s="75"/>
      <c r="DP2113" s="962"/>
      <c r="DQ2113" s="983"/>
      <c r="DV2113" s="889"/>
    </row>
    <row r="2114" spans="1:126" s="74" customFormat="1">
      <c r="A2114" s="15"/>
      <c r="B2114" s="15"/>
      <c r="C2114" s="15"/>
      <c r="D2114" s="15"/>
      <c r="E2114" s="6"/>
      <c r="F2114" s="6"/>
      <c r="G2114" s="6"/>
      <c r="K2114" s="222"/>
      <c r="V2114" s="1430"/>
      <c r="AA2114" s="223"/>
      <c r="AC2114" s="889"/>
      <c r="AF2114" s="890"/>
      <c r="AJ2114" s="889"/>
      <c r="AN2114" s="222"/>
      <c r="BC2114" s="223"/>
      <c r="BD2114" s="222"/>
      <c r="BH2114" s="611"/>
      <c r="BJ2114" s="15"/>
      <c r="BK2114" s="15"/>
      <c r="BO2114" s="223"/>
      <c r="BQ2114" s="889"/>
      <c r="BT2114" s="890"/>
      <c r="BX2114" s="889"/>
      <c r="CB2114" s="15"/>
      <c r="CC2114" s="697"/>
      <c r="CD2114" s="1086"/>
      <c r="CE2114" s="15"/>
      <c r="CF2114" s="15"/>
      <c r="CG2114" s="936"/>
      <c r="CH2114" s="15"/>
      <c r="CI2114" s="15"/>
      <c r="CJ2114" s="15"/>
      <c r="CK2114" s="1107"/>
      <c r="CL2114" s="22"/>
      <c r="CM2114" s="22"/>
      <c r="CN2114" s="1107"/>
      <c r="CR2114" s="223"/>
      <c r="CS2114" s="952"/>
      <c r="CT2114" s="1066"/>
      <c r="CU2114" s="972"/>
      <c r="CV2114" s="983"/>
      <c r="CW2114" s="222"/>
      <c r="CX2114" s="697"/>
      <c r="DC2114" s="222"/>
      <c r="DJ2114" s="889"/>
      <c r="DM2114" s="890"/>
      <c r="DN2114" s="952"/>
      <c r="DO2114" s="75"/>
      <c r="DP2114" s="962"/>
      <c r="DQ2114" s="983"/>
      <c r="DV2114" s="889"/>
    </row>
    <row r="2115" spans="1:126" s="74" customFormat="1">
      <c r="A2115" s="15"/>
      <c r="B2115" s="15"/>
      <c r="C2115" s="15"/>
      <c r="D2115" s="15"/>
      <c r="E2115" s="6"/>
      <c r="F2115" s="6"/>
      <c r="G2115" s="6"/>
      <c r="K2115" s="222"/>
      <c r="V2115" s="1430"/>
      <c r="AA2115" s="223"/>
      <c r="AC2115" s="889"/>
      <c r="AF2115" s="890"/>
      <c r="AJ2115" s="889"/>
      <c r="AN2115" s="222"/>
      <c r="BC2115" s="223"/>
      <c r="BD2115" s="222"/>
      <c r="BH2115" s="611"/>
      <c r="BJ2115" s="15"/>
      <c r="BK2115" s="15"/>
      <c r="BO2115" s="223"/>
      <c r="BQ2115" s="889"/>
      <c r="BT2115" s="890"/>
      <c r="BX2115" s="889"/>
      <c r="CB2115" s="15"/>
      <c r="CC2115" s="697"/>
      <c r="CD2115" s="1086"/>
      <c r="CE2115" s="15"/>
      <c r="CF2115" s="15"/>
      <c r="CG2115" s="936"/>
      <c r="CH2115" s="15"/>
      <c r="CI2115" s="15"/>
      <c r="CJ2115" s="15"/>
      <c r="CK2115" s="1107"/>
      <c r="CL2115" s="22"/>
      <c r="CM2115" s="22"/>
      <c r="CN2115" s="1107"/>
      <c r="CR2115" s="223"/>
      <c r="CS2115" s="952"/>
      <c r="CT2115" s="1066"/>
      <c r="CU2115" s="972"/>
      <c r="CV2115" s="983"/>
      <c r="CW2115" s="222"/>
      <c r="CX2115" s="697"/>
      <c r="DC2115" s="222"/>
      <c r="DJ2115" s="889"/>
      <c r="DM2115" s="890"/>
      <c r="DN2115" s="952"/>
      <c r="DO2115" s="75"/>
      <c r="DP2115" s="962"/>
      <c r="DQ2115" s="983"/>
      <c r="DV2115" s="889"/>
    </row>
    <row r="2116" spans="1:126" s="74" customFormat="1">
      <c r="A2116" s="15"/>
      <c r="B2116" s="15"/>
      <c r="C2116" s="15"/>
      <c r="D2116" s="15"/>
      <c r="E2116" s="6"/>
      <c r="F2116" s="6"/>
      <c r="G2116" s="6"/>
      <c r="K2116" s="222"/>
      <c r="V2116" s="1430"/>
      <c r="AA2116" s="223"/>
      <c r="AC2116" s="889"/>
      <c r="AF2116" s="890"/>
      <c r="AJ2116" s="889"/>
      <c r="AN2116" s="222"/>
      <c r="BC2116" s="223"/>
      <c r="BD2116" s="222"/>
      <c r="BH2116" s="611"/>
      <c r="BJ2116" s="15"/>
      <c r="BK2116" s="15"/>
      <c r="BO2116" s="223"/>
      <c r="BQ2116" s="889"/>
      <c r="BT2116" s="890"/>
      <c r="BX2116" s="889"/>
      <c r="CB2116" s="15"/>
      <c r="CC2116" s="697"/>
      <c r="CD2116" s="1086"/>
      <c r="CE2116" s="15"/>
      <c r="CF2116" s="15"/>
      <c r="CG2116" s="936"/>
      <c r="CH2116" s="15"/>
      <c r="CI2116" s="15"/>
      <c r="CJ2116" s="15"/>
      <c r="CK2116" s="1107"/>
      <c r="CL2116" s="22"/>
      <c r="CM2116" s="22"/>
      <c r="CN2116" s="1107"/>
      <c r="CR2116" s="223"/>
      <c r="CS2116" s="952"/>
      <c r="CT2116" s="1066"/>
      <c r="CU2116" s="972"/>
      <c r="CV2116" s="983"/>
      <c r="CW2116" s="222"/>
      <c r="CX2116" s="697"/>
      <c r="DC2116" s="222"/>
      <c r="DJ2116" s="889"/>
      <c r="DM2116" s="890"/>
      <c r="DN2116" s="952"/>
      <c r="DO2116" s="75"/>
      <c r="DP2116" s="962"/>
      <c r="DQ2116" s="983"/>
      <c r="DV2116" s="889"/>
    </row>
    <row r="2117" spans="1:126" s="74" customFormat="1">
      <c r="A2117" s="15"/>
      <c r="B2117" s="15"/>
      <c r="C2117" s="15"/>
      <c r="D2117" s="15"/>
      <c r="E2117" s="6"/>
      <c r="F2117" s="6"/>
      <c r="G2117" s="6"/>
      <c r="K2117" s="222"/>
      <c r="V2117" s="1430"/>
      <c r="AA2117" s="223"/>
      <c r="AC2117" s="889"/>
      <c r="AF2117" s="890"/>
      <c r="AJ2117" s="889"/>
      <c r="AN2117" s="222"/>
      <c r="BC2117" s="223"/>
      <c r="BD2117" s="222"/>
      <c r="BH2117" s="611"/>
      <c r="BJ2117" s="15"/>
      <c r="BK2117" s="15"/>
      <c r="BO2117" s="223"/>
      <c r="BQ2117" s="889"/>
      <c r="BT2117" s="890"/>
      <c r="BX2117" s="889"/>
      <c r="CB2117" s="15"/>
      <c r="CC2117" s="697"/>
      <c r="CD2117" s="1086"/>
      <c r="CE2117" s="15"/>
      <c r="CF2117" s="15"/>
      <c r="CG2117" s="936"/>
      <c r="CH2117" s="15"/>
      <c r="CI2117" s="15"/>
      <c r="CJ2117" s="15"/>
      <c r="CK2117" s="1107"/>
      <c r="CL2117" s="22"/>
      <c r="CM2117" s="22"/>
      <c r="CN2117" s="1107"/>
      <c r="CR2117" s="223"/>
      <c r="CS2117" s="952"/>
      <c r="CT2117" s="1066"/>
      <c r="CU2117" s="972"/>
      <c r="CV2117" s="983"/>
      <c r="CW2117" s="222"/>
      <c r="CX2117" s="697"/>
      <c r="DC2117" s="222"/>
      <c r="DJ2117" s="889"/>
      <c r="DM2117" s="890"/>
      <c r="DN2117" s="952"/>
      <c r="DO2117" s="75"/>
      <c r="DP2117" s="962"/>
      <c r="DQ2117" s="983"/>
      <c r="DV2117" s="889"/>
    </row>
    <row r="2118" spans="1:126" s="74" customFormat="1">
      <c r="A2118" s="15"/>
      <c r="B2118" s="15"/>
      <c r="C2118" s="15"/>
      <c r="D2118" s="15"/>
      <c r="E2118" s="6"/>
      <c r="F2118" s="6"/>
      <c r="G2118" s="6"/>
      <c r="K2118" s="222"/>
      <c r="V2118" s="1430"/>
      <c r="AA2118" s="223"/>
      <c r="AC2118" s="889"/>
      <c r="AF2118" s="890"/>
      <c r="AJ2118" s="889"/>
      <c r="AN2118" s="222"/>
      <c r="BC2118" s="223"/>
      <c r="BD2118" s="222"/>
      <c r="BH2118" s="611"/>
      <c r="BJ2118" s="15"/>
      <c r="BK2118" s="15"/>
      <c r="BO2118" s="223"/>
      <c r="BQ2118" s="889"/>
      <c r="BT2118" s="890"/>
      <c r="BX2118" s="889"/>
      <c r="CB2118" s="15"/>
      <c r="CC2118" s="697"/>
      <c r="CD2118" s="1086"/>
      <c r="CE2118" s="15"/>
      <c r="CF2118" s="15"/>
      <c r="CG2118" s="936"/>
      <c r="CH2118" s="15"/>
      <c r="CI2118" s="15"/>
      <c r="CJ2118" s="15"/>
      <c r="CK2118" s="1107"/>
      <c r="CL2118" s="22"/>
      <c r="CM2118" s="22"/>
      <c r="CN2118" s="1107"/>
      <c r="CR2118" s="223"/>
      <c r="CS2118" s="952"/>
      <c r="CT2118" s="1066"/>
      <c r="CU2118" s="972"/>
      <c r="CV2118" s="983"/>
      <c r="CW2118" s="222"/>
      <c r="CX2118" s="697"/>
      <c r="DC2118" s="222"/>
      <c r="DJ2118" s="889"/>
      <c r="DM2118" s="890"/>
      <c r="DN2118" s="952"/>
      <c r="DO2118" s="75"/>
      <c r="DP2118" s="962"/>
      <c r="DQ2118" s="983"/>
      <c r="DV2118" s="889"/>
    </row>
    <row r="2119" spans="1:126" s="74" customFormat="1">
      <c r="A2119" s="15"/>
      <c r="B2119" s="15"/>
      <c r="C2119" s="15"/>
      <c r="D2119" s="15"/>
      <c r="E2119" s="6"/>
      <c r="F2119" s="6"/>
      <c r="G2119" s="6"/>
      <c r="K2119" s="222"/>
      <c r="V2119" s="1430"/>
      <c r="AA2119" s="223"/>
      <c r="AC2119" s="889"/>
      <c r="AF2119" s="890"/>
      <c r="AJ2119" s="889"/>
      <c r="AN2119" s="222"/>
      <c r="BC2119" s="223"/>
      <c r="BD2119" s="222"/>
      <c r="BH2119" s="611"/>
      <c r="BJ2119" s="15"/>
      <c r="BK2119" s="15"/>
      <c r="BO2119" s="223"/>
      <c r="BQ2119" s="889"/>
      <c r="BT2119" s="890"/>
      <c r="BX2119" s="889"/>
      <c r="CB2119" s="15"/>
      <c r="CC2119" s="697"/>
      <c r="CD2119" s="1086"/>
      <c r="CE2119" s="15"/>
      <c r="CF2119" s="15"/>
      <c r="CG2119" s="936"/>
      <c r="CH2119" s="15"/>
      <c r="CI2119" s="15"/>
      <c r="CJ2119" s="15"/>
      <c r="CK2119" s="1107"/>
      <c r="CL2119" s="22"/>
      <c r="CM2119" s="22"/>
      <c r="CN2119" s="1107"/>
      <c r="CR2119" s="223"/>
      <c r="CS2119" s="952"/>
      <c r="CT2119" s="1066"/>
      <c r="CU2119" s="972"/>
      <c r="CV2119" s="983"/>
      <c r="CW2119" s="222"/>
      <c r="CX2119" s="697"/>
      <c r="DC2119" s="222"/>
      <c r="DJ2119" s="889"/>
      <c r="DM2119" s="890"/>
      <c r="DN2119" s="952"/>
      <c r="DO2119" s="75"/>
      <c r="DP2119" s="962"/>
      <c r="DQ2119" s="983"/>
      <c r="DV2119" s="889"/>
    </row>
    <row r="2120" spans="1:126" s="74" customFormat="1">
      <c r="A2120" s="15"/>
      <c r="B2120" s="15"/>
      <c r="C2120" s="15"/>
      <c r="D2120" s="15"/>
      <c r="E2120" s="6"/>
      <c r="F2120" s="6"/>
      <c r="G2120" s="6"/>
      <c r="K2120" s="222"/>
      <c r="V2120" s="1430"/>
      <c r="AA2120" s="223"/>
      <c r="AC2120" s="889"/>
      <c r="AF2120" s="890"/>
      <c r="AJ2120" s="889"/>
      <c r="AN2120" s="222"/>
      <c r="BC2120" s="223"/>
      <c r="BD2120" s="222"/>
      <c r="BH2120" s="611"/>
      <c r="BJ2120" s="15"/>
      <c r="BK2120" s="15"/>
      <c r="BO2120" s="223"/>
      <c r="BQ2120" s="889"/>
      <c r="BT2120" s="890"/>
      <c r="BX2120" s="889"/>
      <c r="CB2120" s="15"/>
      <c r="CC2120" s="697"/>
      <c r="CD2120" s="1086"/>
      <c r="CE2120" s="15"/>
      <c r="CF2120" s="15"/>
      <c r="CG2120" s="936"/>
      <c r="CH2120" s="15"/>
      <c r="CI2120" s="15"/>
      <c r="CJ2120" s="15"/>
      <c r="CK2120" s="1107"/>
      <c r="CL2120" s="22"/>
      <c r="CM2120" s="22"/>
      <c r="CN2120" s="1107"/>
      <c r="CR2120" s="223"/>
      <c r="CS2120" s="952"/>
      <c r="CT2120" s="1066"/>
      <c r="CU2120" s="972"/>
      <c r="CV2120" s="983"/>
      <c r="CW2120" s="222"/>
      <c r="CX2120" s="697"/>
      <c r="DC2120" s="222"/>
      <c r="DJ2120" s="889"/>
      <c r="DM2120" s="890"/>
      <c r="DN2120" s="952"/>
      <c r="DO2120" s="75"/>
      <c r="DP2120" s="962"/>
      <c r="DQ2120" s="983"/>
      <c r="DV2120" s="889"/>
    </row>
    <row r="2121" spans="1:126" s="74" customFormat="1">
      <c r="A2121" s="15"/>
      <c r="B2121" s="15"/>
      <c r="C2121" s="15"/>
      <c r="D2121" s="15"/>
      <c r="E2121" s="6"/>
      <c r="F2121" s="6"/>
      <c r="G2121" s="6"/>
      <c r="K2121" s="222"/>
      <c r="V2121" s="1430"/>
      <c r="AA2121" s="223"/>
      <c r="AC2121" s="889"/>
      <c r="AF2121" s="890"/>
      <c r="AJ2121" s="889"/>
      <c r="AN2121" s="222"/>
      <c r="BC2121" s="223"/>
      <c r="BD2121" s="222"/>
      <c r="BH2121" s="611"/>
      <c r="BJ2121" s="15"/>
      <c r="BK2121" s="15"/>
      <c r="BO2121" s="223"/>
      <c r="BQ2121" s="889"/>
      <c r="BT2121" s="890"/>
      <c r="BX2121" s="889"/>
      <c r="CB2121" s="15"/>
      <c r="CC2121" s="697"/>
      <c r="CD2121" s="1086"/>
      <c r="CE2121" s="15"/>
      <c r="CF2121" s="15"/>
      <c r="CG2121" s="936"/>
      <c r="CH2121" s="15"/>
      <c r="CI2121" s="15"/>
      <c r="CJ2121" s="15"/>
      <c r="CK2121" s="1107"/>
      <c r="CL2121" s="22"/>
      <c r="CM2121" s="22"/>
      <c r="CN2121" s="1107"/>
      <c r="CR2121" s="223"/>
      <c r="CS2121" s="952"/>
      <c r="CT2121" s="1066"/>
      <c r="CU2121" s="972"/>
      <c r="CV2121" s="983"/>
      <c r="CW2121" s="222"/>
      <c r="CX2121" s="697"/>
      <c r="DC2121" s="222"/>
      <c r="DJ2121" s="889"/>
      <c r="DM2121" s="890"/>
      <c r="DN2121" s="952"/>
      <c r="DO2121" s="75"/>
      <c r="DP2121" s="962"/>
      <c r="DQ2121" s="983"/>
      <c r="DV2121" s="889"/>
    </row>
    <row r="2122" spans="1:126" s="74" customFormat="1">
      <c r="A2122" s="15"/>
      <c r="B2122" s="15"/>
      <c r="C2122" s="15"/>
      <c r="D2122" s="15"/>
      <c r="E2122" s="6"/>
      <c r="F2122" s="6"/>
      <c r="G2122" s="6"/>
      <c r="K2122" s="222"/>
      <c r="V2122" s="1430"/>
      <c r="AA2122" s="223"/>
      <c r="AC2122" s="889"/>
      <c r="AF2122" s="890"/>
      <c r="AJ2122" s="889"/>
      <c r="AN2122" s="222"/>
      <c r="BC2122" s="223"/>
      <c r="BD2122" s="222"/>
      <c r="BH2122" s="611"/>
      <c r="BJ2122" s="15"/>
      <c r="BK2122" s="15"/>
      <c r="BO2122" s="223"/>
      <c r="BQ2122" s="889"/>
      <c r="BT2122" s="890"/>
      <c r="BX2122" s="889"/>
      <c r="CB2122" s="15"/>
      <c r="CC2122" s="697"/>
      <c r="CD2122" s="1086"/>
      <c r="CE2122" s="15"/>
      <c r="CF2122" s="15"/>
      <c r="CG2122" s="936"/>
      <c r="CH2122" s="15"/>
      <c r="CI2122" s="15"/>
      <c r="CJ2122" s="15"/>
      <c r="CK2122" s="1107"/>
      <c r="CL2122" s="22"/>
      <c r="CM2122" s="22"/>
      <c r="CN2122" s="1107"/>
      <c r="CR2122" s="223"/>
      <c r="CS2122" s="952"/>
      <c r="CT2122" s="1066"/>
      <c r="CU2122" s="972"/>
      <c r="CV2122" s="983"/>
      <c r="CW2122" s="222"/>
      <c r="CX2122" s="697"/>
      <c r="DC2122" s="222"/>
      <c r="DJ2122" s="889"/>
      <c r="DM2122" s="890"/>
      <c r="DN2122" s="952"/>
      <c r="DO2122" s="75"/>
      <c r="DP2122" s="962"/>
      <c r="DQ2122" s="983"/>
      <c r="DV2122" s="889"/>
    </row>
    <row r="2123" spans="1:126" s="74" customFormat="1">
      <c r="A2123" s="15"/>
      <c r="B2123" s="15"/>
      <c r="C2123" s="15"/>
      <c r="D2123" s="15"/>
      <c r="E2123" s="6"/>
      <c r="F2123" s="6"/>
      <c r="G2123" s="6"/>
      <c r="K2123" s="222"/>
      <c r="V2123" s="1430"/>
      <c r="AA2123" s="223"/>
      <c r="AC2123" s="889"/>
      <c r="AF2123" s="890"/>
      <c r="AJ2123" s="889"/>
      <c r="AN2123" s="222"/>
      <c r="BC2123" s="223"/>
      <c r="BD2123" s="222"/>
      <c r="BH2123" s="611"/>
      <c r="BJ2123" s="15"/>
      <c r="BK2123" s="15"/>
      <c r="BO2123" s="223"/>
      <c r="BQ2123" s="889"/>
      <c r="BT2123" s="890"/>
      <c r="BX2123" s="889"/>
      <c r="CB2123" s="15"/>
      <c r="CC2123" s="697"/>
      <c r="CD2123" s="1086"/>
      <c r="CE2123" s="15"/>
      <c r="CF2123" s="15"/>
      <c r="CG2123" s="936"/>
      <c r="CH2123" s="15"/>
      <c r="CI2123" s="15"/>
      <c r="CJ2123" s="15"/>
      <c r="CK2123" s="1107"/>
      <c r="CL2123" s="22"/>
      <c r="CM2123" s="22"/>
      <c r="CN2123" s="1107"/>
      <c r="CR2123" s="223"/>
      <c r="CS2123" s="952"/>
      <c r="CT2123" s="1066"/>
      <c r="CU2123" s="972"/>
      <c r="CV2123" s="983"/>
      <c r="CW2123" s="222"/>
      <c r="CX2123" s="697"/>
      <c r="DC2123" s="222"/>
      <c r="DJ2123" s="889"/>
      <c r="DM2123" s="890"/>
      <c r="DN2123" s="952"/>
      <c r="DO2123" s="75"/>
      <c r="DP2123" s="962"/>
      <c r="DQ2123" s="983"/>
      <c r="DV2123" s="889"/>
    </row>
    <row r="2124" spans="1:126" s="74" customFormat="1">
      <c r="A2124" s="15"/>
      <c r="B2124" s="15"/>
      <c r="C2124" s="15"/>
      <c r="D2124" s="15"/>
      <c r="E2124" s="6"/>
      <c r="F2124" s="6"/>
      <c r="G2124" s="6"/>
      <c r="K2124" s="222"/>
      <c r="V2124" s="1430"/>
      <c r="AA2124" s="223"/>
      <c r="AC2124" s="889"/>
      <c r="AF2124" s="890"/>
      <c r="AJ2124" s="889"/>
      <c r="AN2124" s="222"/>
      <c r="BC2124" s="223"/>
      <c r="BD2124" s="222"/>
      <c r="BH2124" s="611"/>
      <c r="BJ2124" s="15"/>
      <c r="BK2124" s="15"/>
      <c r="BO2124" s="223"/>
      <c r="BQ2124" s="889"/>
      <c r="BT2124" s="890"/>
      <c r="BX2124" s="889"/>
      <c r="CB2124" s="15"/>
      <c r="CC2124" s="697"/>
      <c r="CD2124" s="1086"/>
      <c r="CE2124" s="15"/>
      <c r="CF2124" s="15"/>
      <c r="CG2124" s="936"/>
      <c r="CH2124" s="15"/>
      <c r="CI2124" s="15"/>
      <c r="CJ2124" s="15"/>
      <c r="CK2124" s="1107"/>
      <c r="CL2124" s="22"/>
      <c r="CM2124" s="22"/>
      <c r="CN2124" s="1107"/>
      <c r="CR2124" s="223"/>
      <c r="CS2124" s="952"/>
      <c r="CT2124" s="1066"/>
      <c r="CU2124" s="972"/>
      <c r="CV2124" s="983"/>
      <c r="CW2124" s="222"/>
      <c r="CX2124" s="697"/>
      <c r="DC2124" s="222"/>
      <c r="DJ2124" s="889"/>
      <c r="DM2124" s="890"/>
      <c r="DN2124" s="952"/>
      <c r="DO2124" s="75"/>
      <c r="DP2124" s="962"/>
      <c r="DQ2124" s="983"/>
      <c r="DV2124" s="889"/>
    </row>
    <row r="2125" spans="1:126" s="74" customFormat="1">
      <c r="A2125" s="15"/>
      <c r="B2125" s="15"/>
      <c r="C2125" s="15"/>
      <c r="D2125" s="15"/>
      <c r="E2125" s="6"/>
      <c r="F2125" s="6"/>
      <c r="G2125" s="6"/>
      <c r="K2125" s="222"/>
      <c r="V2125" s="1430"/>
      <c r="AA2125" s="223"/>
      <c r="AC2125" s="889"/>
      <c r="AF2125" s="890"/>
      <c r="AJ2125" s="889"/>
      <c r="AN2125" s="222"/>
      <c r="BC2125" s="223"/>
      <c r="BD2125" s="222"/>
      <c r="BH2125" s="611"/>
      <c r="BJ2125" s="15"/>
      <c r="BK2125" s="15"/>
      <c r="BO2125" s="223"/>
      <c r="BQ2125" s="889"/>
      <c r="BT2125" s="890"/>
      <c r="BX2125" s="889"/>
      <c r="CB2125" s="15"/>
      <c r="CC2125" s="697"/>
      <c r="CD2125" s="1086"/>
      <c r="CE2125" s="15"/>
      <c r="CF2125" s="15"/>
      <c r="CG2125" s="936"/>
      <c r="CH2125" s="15"/>
      <c r="CI2125" s="15"/>
      <c r="CJ2125" s="15"/>
      <c r="CK2125" s="1107"/>
      <c r="CL2125" s="22"/>
      <c r="CM2125" s="22"/>
      <c r="CN2125" s="1107"/>
      <c r="CR2125" s="223"/>
      <c r="CS2125" s="952"/>
      <c r="CT2125" s="1066"/>
      <c r="CU2125" s="972"/>
      <c r="CV2125" s="983"/>
      <c r="CW2125" s="222"/>
      <c r="CX2125" s="697"/>
      <c r="DC2125" s="222"/>
      <c r="DJ2125" s="889"/>
      <c r="DM2125" s="890"/>
      <c r="DN2125" s="952"/>
      <c r="DO2125" s="75"/>
      <c r="DP2125" s="962"/>
      <c r="DQ2125" s="983"/>
      <c r="DV2125" s="889"/>
    </row>
    <row r="2126" spans="1:126" s="74" customFormat="1">
      <c r="A2126" s="15"/>
      <c r="B2126" s="15"/>
      <c r="C2126" s="15"/>
      <c r="D2126" s="15"/>
      <c r="E2126" s="6"/>
      <c r="F2126" s="6"/>
      <c r="G2126" s="6"/>
      <c r="K2126" s="222"/>
      <c r="V2126" s="1430"/>
      <c r="AA2126" s="223"/>
      <c r="AC2126" s="889"/>
      <c r="AF2126" s="890"/>
      <c r="AJ2126" s="889"/>
      <c r="AN2126" s="222"/>
      <c r="BC2126" s="223"/>
      <c r="BD2126" s="222"/>
      <c r="BH2126" s="611"/>
      <c r="BJ2126" s="15"/>
      <c r="BK2126" s="15"/>
      <c r="BO2126" s="223"/>
      <c r="BQ2126" s="889"/>
      <c r="BT2126" s="890"/>
      <c r="BX2126" s="889"/>
      <c r="CB2126" s="15"/>
      <c r="CC2126" s="697"/>
      <c r="CD2126" s="1086"/>
      <c r="CE2126" s="15"/>
      <c r="CF2126" s="15"/>
      <c r="CG2126" s="936"/>
      <c r="CH2126" s="15"/>
      <c r="CI2126" s="15"/>
      <c r="CJ2126" s="15"/>
      <c r="CK2126" s="1107"/>
      <c r="CL2126" s="22"/>
      <c r="CM2126" s="22"/>
      <c r="CN2126" s="1107"/>
      <c r="CR2126" s="223"/>
      <c r="CS2126" s="952"/>
      <c r="CT2126" s="1066"/>
      <c r="CU2126" s="972"/>
      <c r="CV2126" s="983"/>
      <c r="CW2126" s="222"/>
      <c r="CX2126" s="697"/>
      <c r="DC2126" s="222"/>
      <c r="DJ2126" s="889"/>
      <c r="DM2126" s="890"/>
      <c r="DN2126" s="952"/>
      <c r="DO2126" s="75"/>
      <c r="DP2126" s="962"/>
      <c r="DQ2126" s="983"/>
      <c r="DV2126" s="889"/>
    </row>
    <row r="2127" spans="1:126" s="74" customFormat="1">
      <c r="A2127" s="15"/>
      <c r="B2127" s="15"/>
      <c r="C2127" s="15"/>
      <c r="D2127" s="15"/>
      <c r="E2127" s="6"/>
      <c r="F2127" s="6"/>
      <c r="G2127" s="6"/>
      <c r="K2127" s="222"/>
      <c r="V2127" s="1430"/>
      <c r="AA2127" s="223"/>
      <c r="AC2127" s="889"/>
      <c r="AF2127" s="890"/>
      <c r="AJ2127" s="889"/>
      <c r="AN2127" s="222"/>
      <c r="BC2127" s="223"/>
      <c r="BD2127" s="222"/>
      <c r="BH2127" s="611"/>
      <c r="BJ2127" s="15"/>
      <c r="BK2127" s="15"/>
      <c r="BO2127" s="223"/>
      <c r="BQ2127" s="889"/>
      <c r="BT2127" s="890"/>
      <c r="BX2127" s="889"/>
      <c r="CB2127" s="15"/>
      <c r="CC2127" s="697"/>
      <c r="CD2127" s="1086"/>
      <c r="CE2127" s="15"/>
      <c r="CF2127" s="15"/>
      <c r="CG2127" s="936"/>
      <c r="CH2127" s="15"/>
      <c r="CI2127" s="15"/>
      <c r="CJ2127" s="15"/>
      <c r="CK2127" s="1107"/>
      <c r="CL2127" s="22"/>
      <c r="CM2127" s="22"/>
      <c r="CN2127" s="1107"/>
      <c r="CR2127" s="223"/>
      <c r="CS2127" s="952"/>
      <c r="CT2127" s="1066"/>
      <c r="CU2127" s="972"/>
      <c r="CV2127" s="983"/>
      <c r="CW2127" s="222"/>
      <c r="CX2127" s="697"/>
      <c r="DC2127" s="222"/>
      <c r="DJ2127" s="889"/>
      <c r="DM2127" s="890"/>
      <c r="DN2127" s="952"/>
      <c r="DO2127" s="75"/>
      <c r="DP2127" s="962"/>
      <c r="DQ2127" s="983"/>
      <c r="DV2127" s="889"/>
    </row>
    <row r="2128" spans="1:126" s="74" customFormat="1">
      <c r="A2128" s="15"/>
      <c r="B2128" s="15"/>
      <c r="C2128" s="15"/>
      <c r="D2128" s="15"/>
      <c r="E2128" s="6"/>
      <c r="F2128" s="6"/>
      <c r="G2128" s="6"/>
      <c r="K2128" s="222"/>
      <c r="V2128" s="1430"/>
      <c r="AA2128" s="223"/>
      <c r="AC2128" s="889"/>
      <c r="AF2128" s="890"/>
      <c r="AJ2128" s="889"/>
      <c r="AN2128" s="222"/>
      <c r="BC2128" s="223"/>
      <c r="BD2128" s="222"/>
      <c r="BH2128" s="611"/>
      <c r="BJ2128" s="15"/>
      <c r="BK2128" s="15"/>
      <c r="BO2128" s="223"/>
      <c r="BQ2128" s="889"/>
      <c r="BT2128" s="890"/>
      <c r="BX2128" s="889"/>
      <c r="CB2128" s="15"/>
      <c r="CC2128" s="697"/>
      <c r="CD2128" s="1086"/>
      <c r="CE2128" s="15"/>
      <c r="CF2128" s="15"/>
      <c r="CG2128" s="936"/>
      <c r="CH2128" s="15"/>
      <c r="CI2128" s="15"/>
      <c r="CJ2128" s="15"/>
      <c r="CK2128" s="1107"/>
      <c r="CL2128" s="22"/>
      <c r="CM2128" s="22"/>
      <c r="CN2128" s="1107"/>
      <c r="CR2128" s="223"/>
      <c r="CS2128" s="952"/>
      <c r="CT2128" s="1066"/>
      <c r="CU2128" s="972"/>
      <c r="CV2128" s="983"/>
      <c r="CW2128" s="222"/>
      <c r="CX2128" s="697"/>
      <c r="DC2128" s="222"/>
      <c r="DJ2128" s="889"/>
      <c r="DM2128" s="890"/>
      <c r="DN2128" s="952"/>
      <c r="DO2128" s="75"/>
      <c r="DP2128" s="962"/>
      <c r="DQ2128" s="983"/>
      <c r="DV2128" s="889"/>
    </row>
    <row r="2129" spans="1:126" s="74" customFormat="1">
      <c r="A2129" s="15"/>
      <c r="B2129" s="15"/>
      <c r="C2129" s="15"/>
      <c r="D2129" s="15"/>
      <c r="E2129" s="6"/>
      <c r="F2129" s="6"/>
      <c r="G2129" s="6"/>
      <c r="K2129" s="222"/>
      <c r="V2129" s="1430"/>
      <c r="AA2129" s="223"/>
      <c r="AC2129" s="889"/>
      <c r="AF2129" s="890"/>
      <c r="AJ2129" s="889"/>
      <c r="AN2129" s="222"/>
      <c r="BC2129" s="223"/>
      <c r="BD2129" s="222"/>
      <c r="BH2129" s="611"/>
      <c r="BJ2129" s="15"/>
      <c r="BK2129" s="15"/>
      <c r="BO2129" s="223"/>
      <c r="BQ2129" s="889"/>
      <c r="BT2129" s="890"/>
      <c r="BX2129" s="889"/>
      <c r="CB2129" s="15"/>
      <c r="CC2129" s="697"/>
      <c r="CD2129" s="1086"/>
      <c r="CE2129" s="15"/>
      <c r="CF2129" s="15"/>
      <c r="CG2129" s="936"/>
      <c r="CH2129" s="15"/>
      <c r="CI2129" s="15"/>
      <c r="CJ2129" s="15"/>
      <c r="CK2129" s="1107"/>
      <c r="CL2129" s="22"/>
      <c r="CM2129" s="22"/>
      <c r="CN2129" s="1107"/>
      <c r="CR2129" s="223"/>
      <c r="CS2129" s="952"/>
      <c r="CT2129" s="1066"/>
      <c r="CU2129" s="972"/>
      <c r="CV2129" s="983"/>
      <c r="CW2129" s="222"/>
      <c r="CX2129" s="697"/>
      <c r="DC2129" s="222"/>
      <c r="DJ2129" s="889"/>
      <c r="DM2129" s="890"/>
      <c r="DN2129" s="952"/>
      <c r="DO2129" s="75"/>
      <c r="DP2129" s="962"/>
      <c r="DQ2129" s="983"/>
      <c r="DV2129" s="889"/>
    </row>
    <row r="2130" spans="1:126" s="74" customFormat="1">
      <c r="A2130" s="15"/>
      <c r="B2130" s="15"/>
      <c r="C2130" s="15"/>
      <c r="D2130" s="15"/>
      <c r="E2130" s="6"/>
      <c r="F2130" s="6"/>
      <c r="G2130" s="6"/>
      <c r="K2130" s="222"/>
      <c r="V2130" s="1430"/>
      <c r="AA2130" s="223"/>
      <c r="AC2130" s="889"/>
      <c r="AF2130" s="890"/>
      <c r="AJ2130" s="889"/>
      <c r="AN2130" s="222"/>
      <c r="BC2130" s="223"/>
      <c r="BD2130" s="222"/>
      <c r="BH2130" s="611"/>
      <c r="BJ2130" s="15"/>
      <c r="BK2130" s="15"/>
      <c r="BO2130" s="223"/>
      <c r="BQ2130" s="889"/>
      <c r="BT2130" s="890"/>
      <c r="BX2130" s="889"/>
      <c r="CB2130" s="15"/>
      <c r="CC2130" s="697"/>
      <c r="CD2130" s="1086"/>
      <c r="CE2130" s="15"/>
      <c r="CF2130" s="15"/>
      <c r="CG2130" s="936"/>
      <c r="CH2130" s="15"/>
      <c r="CI2130" s="15"/>
      <c r="CJ2130" s="15"/>
      <c r="CK2130" s="1107"/>
      <c r="CL2130" s="22"/>
      <c r="CM2130" s="22"/>
      <c r="CN2130" s="1107"/>
      <c r="CR2130" s="223"/>
      <c r="CS2130" s="952"/>
      <c r="CT2130" s="1066"/>
      <c r="CU2130" s="972"/>
      <c r="CV2130" s="983"/>
      <c r="CW2130" s="222"/>
      <c r="CX2130" s="697"/>
      <c r="DC2130" s="222"/>
      <c r="DJ2130" s="889"/>
      <c r="DM2130" s="890"/>
      <c r="DN2130" s="952"/>
      <c r="DO2130" s="75"/>
      <c r="DP2130" s="962"/>
      <c r="DQ2130" s="983"/>
      <c r="DV2130" s="889"/>
    </row>
    <row r="2131" spans="1:126" s="74" customFormat="1">
      <c r="A2131" s="15"/>
      <c r="B2131" s="15"/>
      <c r="C2131" s="15"/>
      <c r="D2131" s="15"/>
      <c r="E2131" s="6"/>
      <c r="F2131" s="6"/>
      <c r="G2131" s="6"/>
      <c r="K2131" s="222"/>
      <c r="V2131" s="1430"/>
      <c r="AA2131" s="223"/>
      <c r="AC2131" s="889"/>
      <c r="AF2131" s="890"/>
      <c r="AJ2131" s="889"/>
      <c r="AN2131" s="222"/>
      <c r="BC2131" s="223"/>
      <c r="BD2131" s="222"/>
      <c r="BH2131" s="611"/>
      <c r="BJ2131" s="15"/>
      <c r="BK2131" s="15"/>
      <c r="BO2131" s="223"/>
      <c r="BQ2131" s="889"/>
      <c r="BT2131" s="890"/>
      <c r="BX2131" s="889"/>
      <c r="CB2131" s="15"/>
      <c r="CC2131" s="697"/>
      <c r="CD2131" s="1086"/>
      <c r="CE2131" s="15"/>
      <c r="CF2131" s="15"/>
      <c r="CG2131" s="936"/>
      <c r="CH2131" s="15"/>
      <c r="CI2131" s="15"/>
      <c r="CJ2131" s="15"/>
      <c r="CK2131" s="1107"/>
      <c r="CL2131" s="22"/>
      <c r="CM2131" s="22"/>
      <c r="CN2131" s="1107"/>
      <c r="CR2131" s="223"/>
      <c r="CS2131" s="952"/>
      <c r="CT2131" s="1066"/>
      <c r="CU2131" s="972"/>
      <c r="CV2131" s="983"/>
      <c r="CW2131" s="222"/>
      <c r="CX2131" s="697"/>
      <c r="DC2131" s="222"/>
      <c r="DJ2131" s="889"/>
      <c r="DM2131" s="890"/>
      <c r="DN2131" s="952"/>
      <c r="DO2131" s="75"/>
      <c r="DP2131" s="962"/>
      <c r="DQ2131" s="983"/>
      <c r="DV2131" s="889"/>
    </row>
    <row r="2132" spans="1:126" s="74" customFormat="1">
      <c r="A2132" s="15"/>
      <c r="B2132" s="15"/>
      <c r="C2132" s="15"/>
      <c r="D2132" s="15"/>
      <c r="E2132" s="6"/>
      <c r="F2132" s="6"/>
      <c r="G2132" s="6"/>
      <c r="K2132" s="222"/>
      <c r="V2132" s="1430"/>
      <c r="AA2132" s="223"/>
      <c r="AC2132" s="889"/>
      <c r="AF2132" s="890"/>
      <c r="AJ2132" s="889"/>
      <c r="AN2132" s="222"/>
      <c r="BC2132" s="223"/>
      <c r="BD2132" s="222"/>
      <c r="BH2132" s="611"/>
      <c r="BJ2132" s="15"/>
      <c r="BK2132" s="15"/>
      <c r="BO2132" s="223"/>
      <c r="BQ2132" s="889"/>
      <c r="BT2132" s="890"/>
      <c r="BX2132" s="889"/>
      <c r="CB2132" s="15"/>
      <c r="CC2132" s="697"/>
      <c r="CD2132" s="1086"/>
      <c r="CE2132" s="15"/>
      <c r="CF2132" s="15"/>
      <c r="CG2132" s="936"/>
      <c r="CH2132" s="15"/>
      <c r="CI2132" s="15"/>
      <c r="CJ2132" s="15"/>
      <c r="CK2132" s="1107"/>
      <c r="CL2132" s="22"/>
      <c r="CM2132" s="22"/>
      <c r="CN2132" s="1107"/>
      <c r="CR2132" s="223"/>
      <c r="CS2132" s="952"/>
      <c r="CT2132" s="1066"/>
      <c r="CU2132" s="972"/>
      <c r="CV2132" s="983"/>
      <c r="CW2132" s="222"/>
      <c r="CX2132" s="697"/>
      <c r="DC2132" s="222"/>
      <c r="DJ2132" s="889"/>
      <c r="DM2132" s="890"/>
      <c r="DN2132" s="952"/>
      <c r="DO2132" s="75"/>
      <c r="DP2132" s="962"/>
      <c r="DQ2132" s="983"/>
      <c r="DV2132" s="889"/>
    </row>
    <row r="2133" spans="1:126" s="74" customFormat="1">
      <c r="A2133" s="15"/>
      <c r="B2133" s="15"/>
      <c r="C2133" s="15"/>
      <c r="D2133" s="15"/>
      <c r="E2133" s="6"/>
      <c r="F2133" s="6"/>
      <c r="G2133" s="6"/>
      <c r="K2133" s="222"/>
      <c r="V2133" s="1430"/>
      <c r="AA2133" s="223"/>
      <c r="AC2133" s="889"/>
      <c r="AF2133" s="890"/>
      <c r="AJ2133" s="889"/>
      <c r="AN2133" s="222"/>
      <c r="BC2133" s="223"/>
      <c r="BD2133" s="222"/>
      <c r="BH2133" s="611"/>
      <c r="BJ2133" s="15"/>
      <c r="BK2133" s="15"/>
      <c r="BO2133" s="223"/>
      <c r="BQ2133" s="889"/>
      <c r="BT2133" s="890"/>
      <c r="BX2133" s="889"/>
      <c r="CB2133" s="15"/>
      <c r="CC2133" s="697"/>
      <c r="CD2133" s="1086"/>
      <c r="CE2133" s="15"/>
      <c r="CF2133" s="15"/>
      <c r="CG2133" s="936"/>
      <c r="CH2133" s="15"/>
      <c r="CI2133" s="15"/>
      <c r="CJ2133" s="15"/>
      <c r="CK2133" s="1107"/>
      <c r="CL2133" s="22"/>
      <c r="CM2133" s="22"/>
      <c r="CN2133" s="1107"/>
      <c r="CR2133" s="223"/>
      <c r="CS2133" s="952"/>
      <c r="CT2133" s="1066"/>
      <c r="CU2133" s="972"/>
      <c r="CV2133" s="983"/>
      <c r="CW2133" s="222"/>
      <c r="CX2133" s="697"/>
      <c r="DC2133" s="222"/>
      <c r="DJ2133" s="889"/>
      <c r="DM2133" s="890"/>
      <c r="DN2133" s="952"/>
      <c r="DO2133" s="75"/>
      <c r="DP2133" s="962"/>
      <c r="DQ2133" s="983"/>
      <c r="DV2133" s="889"/>
    </row>
    <row r="2134" spans="1:126" s="74" customFormat="1">
      <c r="A2134" s="15"/>
      <c r="B2134" s="15"/>
      <c r="C2134" s="15"/>
      <c r="D2134" s="15"/>
      <c r="E2134" s="6"/>
      <c r="F2134" s="6"/>
      <c r="G2134" s="6"/>
      <c r="K2134" s="222"/>
      <c r="V2134" s="1430"/>
      <c r="AA2134" s="223"/>
      <c r="AC2134" s="889"/>
      <c r="AF2134" s="890"/>
      <c r="AJ2134" s="889"/>
      <c r="AN2134" s="222"/>
      <c r="BC2134" s="223"/>
      <c r="BD2134" s="222"/>
      <c r="BH2134" s="611"/>
      <c r="BJ2134" s="15"/>
      <c r="BK2134" s="15"/>
      <c r="BO2134" s="223"/>
      <c r="BQ2134" s="889"/>
      <c r="BT2134" s="890"/>
      <c r="BX2134" s="889"/>
      <c r="CB2134" s="15"/>
      <c r="CC2134" s="697"/>
      <c r="CD2134" s="1086"/>
      <c r="CE2134" s="15"/>
      <c r="CF2134" s="15"/>
      <c r="CG2134" s="936"/>
      <c r="CH2134" s="15"/>
      <c r="CI2134" s="15"/>
      <c r="CJ2134" s="15"/>
      <c r="CK2134" s="1107"/>
      <c r="CL2134" s="22"/>
      <c r="CM2134" s="22"/>
      <c r="CN2134" s="1107"/>
      <c r="CR2134" s="223"/>
      <c r="CS2134" s="952"/>
      <c r="CT2134" s="1066"/>
      <c r="CU2134" s="972"/>
      <c r="CV2134" s="983"/>
      <c r="CW2134" s="222"/>
      <c r="CX2134" s="697"/>
      <c r="DC2134" s="222"/>
      <c r="DJ2134" s="889"/>
      <c r="DM2134" s="890"/>
      <c r="DN2134" s="952"/>
      <c r="DO2134" s="75"/>
      <c r="DP2134" s="962"/>
      <c r="DQ2134" s="983"/>
      <c r="DV2134" s="889"/>
    </row>
    <row r="2135" spans="1:126" s="74" customFormat="1">
      <c r="A2135" s="15"/>
      <c r="B2135" s="15"/>
      <c r="C2135" s="15"/>
      <c r="D2135" s="15"/>
      <c r="E2135" s="6"/>
      <c r="F2135" s="6"/>
      <c r="G2135" s="6"/>
      <c r="K2135" s="222"/>
      <c r="V2135" s="1430"/>
      <c r="AA2135" s="223"/>
      <c r="AC2135" s="889"/>
      <c r="AF2135" s="890"/>
      <c r="AJ2135" s="889"/>
      <c r="AN2135" s="222"/>
      <c r="BC2135" s="223"/>
      <c r="BD2135" s="222"/>
      <c r="BH2135" s="611"/>
      <c r="BJ2135" s="15"/>
      <c r="BK2135" s="15"/>
      <c r="BO2135" s="223"/>
      <c r="BQ2135" s="889"/>
      <c r="BT2135" s="890"/>
      <c r="BX2135" s="889"/>
      <c r="CB2135" s="15"/>
      <c r="CC2135" s="697"/>
      <c r="CD2135" s="1086"/>
      <c r="CE2135" s="15"/>
      <c r="CF2135" s="15"/>
      <c r="CG2135" s="936"/>
      <c r="CH2135" s="15"/>
      <c r="CI2135" s="15"/>
      <c r="CJ2135" s="15"/>
      <c r="CK2135" s="1107"/>
      <c r="CL2135" s="22"/>
      <c r="CM2135" s="22"/>
      <c r="CN2135" s="1107"/>
      <c r="CR2135" s="223"/>
      <c r="CS2135" s="952"/>
      <c r="CT2135" s="1066"/>
      <c r="CU2135" s="972"/>
      <c r="CV2135" s="983"/>
      <c r="CW2135" s="222"/>
      <c r="CX2135" s="697"/>
      <c r="DC2135" s="222"/>
      <c r="DJ2135" s="889"/>
      <c r="DM2135" s="890"/>
      <c r="DN2135" s="952"/>
      <c r="DO2135" s="75"/>
      <c r="DP2135" s="962"/>
      <c r="DQ2135" s="983"/>
      <c r="DV2135" s="889"/>
    </row>
    <row r="2136" spans="1:126" s="74" customFormat="1">
      <c r="A2136" s="15"/>
      <c r="B2136" s="15"/>
      <c r="C2136" s="15"/>
      <c r="D2136" s="15"/>
      <c r="E2136" s="6"/>
      <c r="F2136" s="6"/>
      <c r="G2136" s="6"/>
      <c r="K2136" s="222"/>
      <c r="V2136" s="1430"/>
      <c r="AA2136" s="223"/>
      <c r="AC2136" s="889"/>
      <c r="AF2136" s="890"/>
      <c r="AJ2136" s="889"/>
      <c r="AN2136" s="222"/>
      <c r="BC2136" s="223"/>
      <c r="BD2136" s="222"/>
      <c r="BH2136" s="611"/>
      <c r="BJ2136" s="15"/>
      <c r="BK2136" s="15"/>
      <c r="BO2136" s="223"/>
      <c r="BQ2136" s="889"/>
      <c r="BT2136" s="890"/>
      <c r="BX2136" s="889"/>
      <c r="CB2136" s="15"/>
      <c r="CC2136" s="697"/>
      <c r="CD2136" s="1086"/>
      <c r="CE2136" s="15"/>
      <c r="CF2136" s="15"/>
      <c r="CG2136" s="936"/>
      <c r="CH2136" s="15"/>
      <c r="CI2136" s="15"/>
      <c r="CJ2136" s="15"/>
      <c r="CK2136" s="1107"/>
      <c r="CL2136" s="22"/>
      <c r="CM2136" s="22"/>
      <c r="CN2136" s="1107"/>
      <c r="CR2136" s="223"/>
      <c r="CS2136" s="952"/>
      <c r="CT2136" s="1066"/>
      <c r="CU2136" s="972"/>
      <c r="CV2136" s="983"/>
      <c r="CW2136" s="222"/>
      <c r="CX2136" s="697"/>
      <c r="DC2136" s="222"/>
      <c r="DJ2136" s="889"/>
      <c r="DM2136" s="890"/>
      <c r="DN2136" s="952"/>
      <c r="DO2136" s="75"/>
      <c r="DP2136" s="962"/>
      <c r="DQ2136" s="983"/>
      <c r="DV2136" s="889"/>
    </row>
    <row r="2137" spans="1:126" s="74" customFormat="1">
      <c r="A2137" s="15"/>
      <c r="B2137" s="15"/>
      <c r="C2137" s="15"/>
      <c r="D2137" s="15"/>
      <c r="E2137" s="6"/>
      <c r="F2137" s="6"/>
      <c r="G2137" s="6"/>
      <c r="K2137" s="222"/>
      <c r="V2137" s="1430"/>
      <c r="AA2137" s="223"/>
      <c r="AC2137" s="889"/>
      <c r="AF2137" s="890"/>
      <c r="AJ2137" s="889"/>
      <c r="AN2137" s="222"/>
      <c r="BC2137" s="223"/>
      <c r="BD2137" s="222"/>
      <c r="BH2137" s="611"/>
      <c r="BJ2137" s="15"/>
      <c r="BK2137" s="15"/>
      <c r="BO2137" s="223"/>
      <c r="BQ2137" s="889"/>
      <c r="BT2137" s="890"/>
      <c r="BX2137" s="889"/>
      <c r="CB2137" s="15"/>
      <c r="CC2137" s="697"/>
      <c r="CD2137" s="1086"/>
      <c r="CE2137" s="15"/>
      <c r="CF2137" s="15"/>
      <c r="CG2137" s="936"/>
      <c r="CH2137" s="15"/>
      <c r="CI2137" s="15"/>
      <c r="CJ2137" s="15"/>
      <c r="CK2137" s="1107"/>
      <c r="CL2137" s="22"/>
      <c r="CM2137" s="22"/>
      <c r="CN2137" s="1107"/>
      <c r="CR2137" s="223"/>
      <c r="CS2137" s="952"/>
      <c r="CT2137" s="1066"/>
      <c r="CU2137" s="972"/>
      <c r="CV2137" s="983"/>
      <c r="CW2137" s="222"/>
      <c r="CX2137" s="697"/>
      <c r="DC2137" s="222"/>
      <c r="DJ2137" s="889"/>
      <c r="DM2137" s="890"/>
      <c r="DN2137" s="952"/>
      <c r="DO2137" s="75"/>
      <c r="DP2137" s="962"/>
      <c r="DQ2137" s="983"/>
      <c r="DV2137" s="889"/>
    </row>
    <row r="2138" spans="1:126" s="74" customFormat="1">
      <c r="A2138" s="15"/>
      <c r="B2138" s="15"/>
      <c r="C2138" s="15"/>
      <c r="D2138" s="15"/>
      <c r="E2138" s="6"/>
      <c r="F2138" s="6"/>
      <c r="G2138" s="6"/>
      <c r="K2138" s="222"/>
      <c r="V2138" s="1430"/>
      <c r="AA2138" s="223"/>
      <c r="AC2138" s="889"/>
      <c r="AF2138" s="890"/>
      <c r="AJ2138" s="889"/>
      <c r="AN2138" s="222"/>
      <c r="BC2138" s="223"/>
      <c r="BD2138" s="222"/>
      <c r="BH2138" s="611"/>
      <c r="BJ2138" s="15"/>
      <c r="BK2138" s="15"/>
      <c r="BO2138" s="223"/>
      <c r="BQ2138" s="889"/>
      <c r="BT2138" s="890"/>
      <c r="BX2138" s="889"/>
      <c r="CB2138" s="15"/>
      <c r="CC2138" s="697"/>
      <c r="CD2138" s="1086"/>
      <c r="CE2138" s="15"/>
      <c r="CF2138" s="15"/>
      <c r="CG2138" s="936"/>
      <c r="CH2138" s="15"/>
      <c r="CI2138" s="15"/>
      <c r="CJ2138" s="15"/>
      <c r="CK2138" s="1107"/>
      <c r="CL2138" s="22"/>
      <c r="CM2138" s="22"/>
      <c r="CN2138" s="1107"/>
      <c r="CR2138" s="223"/>
      <c r="CS2138" s="952"/>
      <c r="CT2138" s="1066"/>
      <c r="CU2138" s="972"/>
      <c r="CV2138" s="983"/>
      <c r="CW2138" s="222"/>
      <c r="CX2138" s="697"/>
      <c r="DC2138" s="222"/>
      <c r="DJ2138" s="889"/>
      <c r="DM2138" s="890"/>
      <c r="DN2138" s="952"/>
      <c r="DO2138" s="75"/>
      <c r="DP2138" s="962"/>
      <c r="DQ2138" s="983"/>
      <c r="DV2138" s="889"/>
    </row>
    <row r="2139" spans="1:126" s="74" customFormat="1">
      <c r="A2139" s="15"/>
      <c r="B2139" s="15"/>
      <c r="C2139" s="15"/>
      <c r="D2139" s="15"/>
      <c r="E2139" s="6"/>
      <c r="F2139" s="6"/>
      <c r="G2139" s="6"/>
      <c r="K2139" s="222"/>
      <c r="V2139" s="1430"/>
      <c r="AA2139" s="223"/>
      <c r="AC2139" s="889"/>
      <c r="AF2139" s="890"/>
      <c r="AJ2139" s="889"/>
      <c r="AN2139" s="222"/>
      <c r="BC2139" s="223"/>
      <c r="BD2139" s="222"/>
      <c r="BH2139" s="611"/>
      <c r="BJ2139" s="15"/>
      <c r="BK2139" s="15"/>
      <c r="BO2139" s="223"/>
      <c r="BQ2139" s="889"/>
      <c r="BT2139" s="890"/>
      <c r="BX2139" s="889"/>
      <c r="CB2139" s="15"/>
      <c r="CC2139" s="697"/>
      <c r="CD2139" s="1086"/>
      <c r="CE2139" s="15"/>
      <c r="CF2139" s="15"/>
      <c r="CG2139" s="936"/>
      <c r="CH2139" s="15"/>
      <c r="CI2139" s="15"/>
      <c r="CJ2139" s="15"/>
      <c r="CK2139" s="1107"/>
      <c r="CL2139" s="22"/>
      <c r="CM2139" s="22"/>
      <c r="CN2139" s="1107"/>
      <c r="CR2139" s="223"/>
      <c r="CS2139" s="952"/>
      <c r="CT2139" s="1066"/>
      <c r="CU2139" s="972"/>
      <c r="CV2139" s="983"/>
      <c r="CW2139" s="222"/>
      <c r="CX2139" s="697"/>
      <c r="DC2139" s="222"/>
      <c r="DJ2139" s="889"/>
      <c r="DM2139" s="890"/>
      <c r="DN2139" s="952"/>
      <c r="DO2139" s="75"/>
      <c r="DP2139" s="962"/>
      <c r="DQ2139" s="983"/>
      <c r="DV2139" s="889"/>
    </row>
    <row r="2140" spans="1:126" s="74" customFormat="1">
      <c r="A2140" s="15"/>
      <c r="B2140" s="15"/>
      <c r="C2140" s="15"/>
      <c r="D2140" s="15"/>
      <c r="E2140" s="6"/>
      <c r="F2140" s="6"/>
      <c r="G2140" s="6"/>
      <c r="K2140" s="222"/>
      <c r="V2140" s="1430"/>
      <c r="AA2140" s="223"/>
      <c r="AC2140" s="889"/>
      <c r="AF2140" s="890"/>
      <c r="AJ2140" s="889"/>
      <c r="AN2140" s="222"/>
      <c r="BC2140" s="223"/>
      <c r="BD2140" s="222"/>
      <c r="BH2140" s="611"/>
      <c r="BJ2140" s="15"/>
      <c r="BK2140" s="15"/>
      <c r="BO2140" s="223"/>
      <c r="BQ2140" s="889"/>
      <c r="BT2140" s="890"/>
      <c r="BX2140" s="889"/>
      <c r="CB2140" s="15"/>
      <c r="CC2140" s="697"/>
      <c r="CD2140" s="1086"/>
      <c r="CE2140" s="15"/>
      <c r="CF2140" s="15"/>
      <c r="CG2140" s="936"/>
      <c r="CH2140" s="15"/>
      <c r="CI2140" s="15"/>
      <c r="CJ2140" s="15"/>
      <c r="CK2140" s="1107"/>
      <c r="CL2140" s="22"/>
      <c r="CM2140" s="22"/>
      <c r="CN2140" s="1107"/>
      <c r="CR2140" s="223"/>
      <c r="CS2140" s="952"/>
      <c r="CT2140" s="1066"/>
      <c r="CU2140" s="972"/>
      <c r="CV2140" s="983"/>
      <c r="CW2140" s="222"/>
      <c r="CX2140" s="697"/>
      <c r="DC2140" s="222"/>
      <c r="DJ2140" s="889"/>
      <c r="DM2140" s="890"/>
      <c r="DN2140" s="952"/>
      <c r="DO2140" s="75"/>
      <c r="DP2140" s="962"/>
      <c r="DQ2140" s="983"/>
      <c r="DV2140" s="889"/>
    </row>
    <row r="2141" spans="1:126" s="74" customFormat="1">
      <c r="A2141" s="15"/>
      <c r="B2141" s="15"/>
      <c r="C2141" s="15"/>
      <c r="D2141" s="15"/>
      <c r="E2141" s="6"/>
      <c r="F2141" s="6"/>
      <c r="G2141" s="6"/>
      <c r="K2141" s="222"/>
      <c r="V2141" s="1430"/>
      <c r="AA2141" s="223"/>
      <c r="AC2141" s="889"/>
      <c r="AF2141" s="890"/>
      <c r="AJ2141" s="889"/>
      <c r="AN2141" s="222"/>
      <c r="BC2141" s="223"/>
      <c r="BD2141" s="222"/>
      <c r="BH2141" s="611"/>
      <c r="BJ2141" s="15"/>
      <c r="BK2141" s="15"/>
      <c r="BO2141" s="223"/>
      <c r="BQ2141" s="889"/>
      <c r="BT2141" s="890"/>
      <c r="BX2141" s="889"/>
      <c r="CB2141" s="15"/>
      <c r="CC2141" s="697"/>
      <c r="CD2141" s="1086"/>
      <c r="CE2141" s="15"/>
      <c r="CF2141" s="15"/>
      <c r="CG2141" s="936"/>
      <c r="CH2141" s="15"/>
      <c r="CI2141" s="15"/>
      <c r="CJ2141" s="15"/>
      <c r="CK2141" s="1107"/>
      <c r="CL2141" s="22"/>
      <c r="CM2141" s="22"/>
      <c r="CN2141" s="1107"/>
      <c r="CR2141" s="223"/>
      <c r="CS2141" s="952"/>
      <c r="CT2141" s="1066"/>
      <c r="CU2141" s="972"/>
      <c r="CV2141" s="983"/>
      <c r="CW2141" s="222"/>
      <c r="CX2141" s="697"/>
      <c r="DC2141" s="222"/>
      <c r="DJ2141" s="889"/>
      <c r="DM2141" s="890"/>
      <c r="DN2141" s="952"/>
      <c r="DO2141" s="75"/>
      <c r="DP2141" s="962"/>
      <c r="DQ2141" s="983"/>
      <c r="DV2141" s="889"/>
    </row>
    <row r="2142" spans="1:126" s="74" customFormat="1">
      <c r="A2142" s="15"/>
      <c r="B2142" s="15"/>
      <c r="C2142" s="15"/>
      <c r="D2142" s="15"/>
      <c r="E2142" s="6"/>
      <c r="F2142" s="6"/>
      <c r="G2142" s="6"/>
      <c r="K2142" s="222"/>
      <c r="V2142" s="1430"/>
      <c r="AA2142" s="223"/>
      <c r="AC2142" s="889"/>
      <c r="AF2142" s="890"/>
      <c r="AJ2142" s="889"/>
      <c r="AN2142" s="222"/>
      <c r="BC2142" s="223"/>
      <c r="BD2142" s="222"/>
      <c r="BH2142" s="611"/>
      <c r="BJ2142" s="15"/>
      <c r="BK2142" s="15"/>
      <c r="BO2142" s="223"/>
      <c r="BQ2142" s="889"/>
      <c r="BT2142" s="890"/>
      <c r="BX2142" s="889"/>
      <c r="CB2142" s="15"/>
      <c r="CC2142" s="697"/>
      <c r="CD2142" s="1086"/>
      <c r="CE2142" s="15"/>
      <c r="CF2142" s="15"/>
      <c r="CG2142" s="936"/>
      <c r="CH2142" s="15"/>
      <c r="CI2142" s="15"/>
      <c r="CJ2142" s="15"/>
      <c r="CK2142" s="1107"/>
      <c r="CL2142" s="22"/>
      <c r="CM2142" s="22"/>
      <c r="CN2142" s="1107"/>
      <c r="CR2142" s="223"/>
      <c r="CS2142" s="952"/>
      <c r="CT2142" s="1066"/>
      <c r="CU2142" s="972"/>
      <c r="CV2142" s="983"/>
      <c r="CW2142" s="222"/>
      <c r="CX2142" s="697"/>
      <c r="DC2142" s="222"/>
      <c r="DJ2142" s="889"/>
      <c r="DM2142" s="890"/>
      <c r="DN2142" s="952"/>
      <c r="DO2142" s="75"/>
      <c r="DP2142" s="962"/>
      <c r="DQ2142" s="983"/>
      <c r="DV2142" s="889"/>
    </row>
    <row r="2143" spans="1:126" s="74" customFormat="1">
      <c r="A2143" s="15"/>
      <c r="B2143" s="15"/>
      <c r="C2143" s="15"/>
      <c r="D2143" s="15"/>
      <c r="E2143" s="6"/>
      <c r="F2143" s="6"/>
      <c r="G2143" s="6"/>
      <c r="K2143" s="222"/>
      <c r="V2143" s="1430"/>
      <c r="AA2143" s="223"/>
      <c r="AC2143" s="889"/>
      <c r="AF2143" s="890"/>
      <c r="AJ2143" s="889"/>
      <c r="AN2143" s="222"/>
      <c r="BC2143" s="223"/>
      <c r="BD2143" s="222"/>
      <c r="BH2143" s="611"/>
      <c r="BJ2143" s="15"/>
      <c r="BK2143" s="15"/>
      <c r="BO2143" s="223"/>
      <c r="BQ2143" s="889"/>
      <c r="BT2143" s="890"/>
      <c r="BX2143" s="889"/>
      <c r="CB2143" s="15"/>
      <c r="CC2143" s="697"/>
      <c r="CD2143" s="1086"/>
      <c r="CE2143" s="15"/>
      <c r="CF2143" s="15"/>
      <c r="CG2143" s="936"/>
      <c r="CH2143" s="15"/>
      <c r="CI2143" s="15"/>
      <c r="CJ2143" s="15"/>
      <c r="CK2143" s="1107"/>
      <c r="CL2143" s="22"/>
      <c r="CM2143" s="22"/>
      <c r="CN2143" s="1107"/>
      <c r="CR2143" s="223"/>
      <c r="CS2143" s="952"/>
      <c r="CT2143" s="1066"/>
      <c r="CU2143" s="972"/>
      <c r="CV2143" s="983"/>
      <c r="CW2143" s="222"/>
      <c r="CX2143" s="697"/>
      <c r="DC2143" s="222"/>
      <c r="DJ2143" s="889"/>
      <c r="DM2143" s="890"/>
      <c r="DN2143" s="952"/>
      <c r="DO2143" s="75"/>
      <c r="DP2143" s="962"/>
      <c r="DQ2143" s="983"/>
      <c r="DV2143" s="889"/>
    </row>
    <row r="2144" spans="1:126" s="74" customFormat="1">
      <c r="A2144" s="15"/>
      <c r="B2144" s="15"/>
      <c r="C2144" s="15"/>
      <c r="D2144" s="15"/>
      <c r="E2144" s="6"/>
      <c r="F2144" s="6"/>
      <c r="G2144" s="6"/>
      <c r="K2144" s="222"/>
      <c r="V2144" s="1430"/>
      <c r="AA2144" s="223"/>
      <c r="AC2144" s="889"/>
      <c r="AF2144" s="890"/>
      <c r="AJ2144" s="889"/>
      <c r="AN2144" s="222"/>
      <c r="BC2144" s="223"/>
      <c r="BD2144" s="222"/>
      <c r="BH2144" s="611"/>
      <c r="BJ2144" s="15"/>
      <c r="BK2144" s="15"/>
      <c r="BO2144" s="223"/>
      <c r="BQ2144" s="889"/>
      <c r="BT2144" s="890"/>
      <c r="BX2144" s="889"/>
      <c r="CB2144" s="15"/>
      <c r="CC2144" s="697"/>
      <c r="CD2144" s="1086"/>
      <c r="CE2144" s="15"/>
      <c r="CF2144" s="15"/>
      <c r="CG2144" s="936"/>
      <c r="CH2144" s="15"/>
      <c r="CI2144" s="15"/>
      <c r="CJ2144" s="15"/>
      <c r="CK2144" s="1107"/>
      <c r="CL2144" s="22"/>
      <c r="CM2144" s="22"/>
      <c r="CN2144" s="1107"/>
      <c r="CR2144" s="223"/>
      <c r="CS2144" s="952"/>
      <c r="CT2144" s="1066"/>
      <c r="CU2144" s="972"/>
      <c r="CV2144" s="983"/>
      <c r="CW2144" s="222"/>
      <c r="CX2144" s="697"/>
      <c r="DC2144" s="222"/>
      <c r="DJ2144" s="889"/>
      <c r="DM2144" s="890"/>
      <c r="DN2144" s="952"/>
      <c r="DO2144" s="75"/>
      <c r="DP2144" s="962"/>
      <c r="DQ2144" s="983"/>
      <c r="DV2144" s="889"/>
    </row>
    <row r="2145" spans="1:126" s="74" customFormat="1">
      <c r="A2145" s="15"/>
      <c r="B2145" s="15"/>
      <c r="C2145" s="15"/>
      <c r="D2145" s="15"/>
      <c r="E2145" s="6"/>
      <c r="F2145" s="6"/>
      <c r="G2145" s="6"/>
      <c r="K2145" s="222"/>
      <c r="V2145" s="1430"/>
      <c r="AA2145" s="223"/>
      <c r="AC2145" s="889"/>
      <c r="AF2145" s="890"/>
      <c r="AJ2145" s="889"/>
      <c r="AN2145" s="222"/>
      <c r="BC2145" s="223"/>
      <c r="BD2145" s="222"/>
      <c r="BH2145" s="611"/>
      <c r="BJ2145" s="15"/>
      <c r="BK2145" s="15"/>
      <c r="BO2145" s="223"/>
      <c r="BQ2145" s="889"/>
      <c r="BT2145" s="890"/>
      <c r="BX2145" s="889"/>
      <c r="CB2145" s="15"/>
      <c r="CC2145" s="697"/>
      <c r="CD2145" s="1086"/>
      <c r="CE2145" s="15"/>
      <c r="CF2145" s="15"/>
      <c r="CG2145" s="936"/>
      <c r="CH2145" s="15"/>
      <c r="CI2145" s="15"/>
      <c r="CJ2145" s="15"/>
      <c r="CK2145" s="1107"/>
      <c r="CL2145" s="22"/>
      <c r="CM2145" s="22"/>
      <c r="CN2145" s="1107"/>
      <c r="CR2145" s="223"/>
      <c r="CS2145" s="952"/>
      <c r="CT2145" s="1066"/>
      <c r="CU2145" s="972"/>
      <c r="CV2145" s="983"/>
      <c r="CW2145" s="222"/>
      <c r="CX2145" s="697"/>
      <c r="DC2145" s="222"/>
      <c r="DJ2145" s="889"/>
      <c r="DM2145" s="890"/>
      <c r="DN2145" s="952"/>
      <c r="DO2145" s="75"/>
      <c r="DP2145" s="962"/>
      <c r="DQ2145" s="983"/>
      <c r="DV2145" s="889"/>
    </row>
    <row r="2146" spans="1:126" s="74" customFormat="1">
      <c r="A2146" s="15"/>
      <c r="B2146" s="15"/>
      <c r="C2146" s="15"/>
      <c r="D2146" s="15"/>
      <c r="E2146" s="6"/>
      <c r="F2146" s="6"/>
      <c r="G2146" s="6"/>
      <c r="K2146" s="222"/>
      <c r="V2146" s="1430"/>
      <c r="AA2146" s="223"/>
      <c r="AC2146" s="889"/>
      <c r="AF2146" s="890"/>
      <c r="AJ2146" s="889"/>
      <c r="AN2146" s="222"/>
      <c r="BC2146" s="223"/>
      <c r="BD2146" s="222"/>
      <c r="BH2146" s="611"/>
      <c r="BJ2146" s="15"/>
      <c r="BK2146" s="15"/>
      <c r="BO2146" s="223"/>
      <c r="BQ2146" s="889"/>
      <c r="BT2146" s="890"/>
      <c r="BX2146" s="889"/>
      <c r="CB2146" s="15"/>
      <c r="CC2146" s="697"/>
      <c r="CD2146" s="1086"/>
      <c r="CE2146" s="15"/>
      <c r="CF2146" s="15"/>
      <c r="CG2146" s="936"/>
      <c r="CH2146" s="15"/>
      <c r="CI2146" s="15"/>
      <c r="CJ2146" s="15"/>
      <c r="CK2146" s="1107"/>
      <c r="CL2146" s="22"/>
      <c r="CM2146" s="22"/>
      <c r="CN2146" s="1107"/>
      <c r="CR2146" s="223"/>
      <c r="CS2146" s="952"/>
      <c r="CT2146" s="1066"/>
      <c r="CU2146" s="972"/>
      <c r="CV2146" s="983"/>
      <c r="CW2146" s="222"/>
      <c r="CX2146" s="697"/>
      <c r="DC2146" s="222"/>
      <c r="DJ2146" s="889"/>
      <c r="DM2146" s="890"/>
      <c r="DN2146" s="952"/>
      <c r="DO2146" s="75"/>
      <c r="DP2146" s="962"/>
      <c r="DQ2146" s="983"/>
      <c r="DV2146" s="889"/>
    </row>
    <row r="2147" spans="1:126" s="74" customFormat="1">
      <c r="A2147" s="15"/>
      <c r="B2147" s="15"/>
      <c r="C2147" s="15"/>
      <c r="D2147" s="15"/>
      <c r="E2147" s="6"/>
      <c r="F2147" s="6"/>
      <c r="G2147" s="6"/>
      <c r="K2147" s="222"/>
      <c r="V2147" s="1430"/>
      <c r="AA2147" s="223"/>
      <c r="AC2147" s="889"/>
      <c r="AF2147" s="890"/>
      <c r="AJ2147" s="889"/>
      <c r="AN2147" s="222"/>
      <c r="BC2147" s="223"/>
      <c r="BD2147" s="222"/>
      <c r="BH2147" s="611"/>
      <c r="BJ2147" s="15"/>
      <c r="BK2147" s="15"/>
      <c r="BO2147" s="223"/>
      <c r="BQ2147" s="889"/>
      <c r="BT2147" s="890"/>
      <c r="BX2147" s="889"/>
      <c r="CB2147" s="15"/>
      <c r="CC2147" s="697"/>
      <c r="CD2147" s="1086"/>
      <c r="CE2147" s="15"/>
      <c r="CF2147" s="15"/>
      <c r="CG2147" s="936"/>
      <c r="CH2147" s="15"/>
      <c r="CI2147" s="15"/>
      <c r="CJ2147" s="15"/>
      <c r="CK2147" s="1107"/>
      <c r="CL2147" s="22"/>
      <c r="CM2147" s="22"/>
      <c r="CN2147" s="1107"/>
      <c r="CR2147" s="223"/>
      <c r="CS2147" s="952"/>
      <c r="CT2147" s="1066"/>
      <c r="CU2147" s="972"/>
      <c r="CV2147" s="983"/>
      <c r="CW2147" s="222"/>
      <c r="CX2147" s="697"/>
      <c r="DC2147" s="222"/>
      <c r="DJ2147" s="889"/>
      <c r="DM2147" s="890"/>
      <c r="DN2147" s="952"/>
      <c r="DO2147" s="75"/>
      <c r="DP2147" s="962"/>
      <c r="DQ2147" s="983"/>
      <c r="DV2147" s="889"/>
    </row>
    <row r="2148" spans="1:126" s="74" customFormat="1">
      <c r="A2148" s="15"/>
      <c r="B2148" s="15"/>
      <c r="C2148" s="15"/>
      <c r="D2148" s="15"/>
      <c r="E2148" s="6"/>
      <c r="F2148" s="6"/>
      <c r="G2148" s="6"/>
      <c r="K2148" s="222"/>
      <c r="V2148" s="1430"/>
      <c r="AA2148" s="223"/>
      <c r="AC2148" s="889"/>
      <c r="AF2148" s="890"/>
      <c r="AJ2148" s="889"/>
      <c r="AN2148" s="222"/>
      <c r="BC2148" s="223"/>
      <c r="BD2148" s="222"/>
      <c r="BH2148" s="611"/>
      <c r="BJ2148" s="15"/>
      <c r="BK2148" s="15"/>
      <c r="BO2148" s="223"/>
      <c r="BQ2148" s="889"/>
      <c r="BT2148" s="890"/>
      <c r="BX2148" s="889"/>
      <c r="CB2148" s="15"/>
      <c r="CC2148" s="697"/>
      <c r="CD2148" s="1086"/>
      <c r="CE2148" s="15"/>
      <c r="CF2148" s="15"/>
      <c r="CG2148" s="936"/>
      <c r="CH2148" s="15"/>
      <c r="CI2148" s="15"/>
      <c r="CJ2148" s="15"/>
      <c r="CK2148" s="1107"/>
      <c r="CL2148" s="22"/>
      <c r="CM2148" s="22"/>
      <c r="CN2148" s="1107"/>
      <c r="CR2148" s="223"/>
      <c r="CS2148" s="952"/>
      <c r="CT2148" s="1066"/>
      <c r="CU2148" s="972"/>
      <c r="CV2148" s="983"/>
      <c r="CW2148" s="222"/>
      <c r="CX2148" s="697"/>
      <c r="DC2148" s="222"/>
      <c r="DJ2148" s="889"/>
      <c r="DM2148" s="890"/>
      <c r="DN2148" s="952"/>
      <c r="DO2148" s="75"/>
      <c r="DP2148" s="962"/>
      <c r="DQ2148" s="983"/>
      <c r="DV2148" s="889"/>
    </row>
    <row r="2149" spans="1:126" s="74" customFormat="1">
      <c r="A2149" s="15"/>
      <c r="B2149" s="15"/>
      <c r="C2149" s="15"/>
      <c r="D2149" s="15"/>
      <c r="E2149" s="6"/>
      <c r="F2149" s="6"/>
      <c r="G2149" s="6"/>
      <c r="K2149" s="222"/>
      <c r="V2149" s="1430"/>
      <c r="AA2149" s="223"/>
      <c r="AC2149" s="889"/>
      <c r="AF2149" s="890"/>
      <c r="AJ2149" s="889"/>
      <c r="AN2149" s="222"/>
      <c r="BC2149" s="223"/>
      <c r="BD2149" s="222"/>
      <c r="BH2149" s="611"/>
      <c r="BJ2149" s="15"/>
      <c r="BK2149" s="15"/>
      <c r="BO2149" s="223"/>
      <c r="BQ2149" s="889"/>
      <c r="BT2149" s="890"/>
      <c r="BX2149" s="889"/>
      <c r="CB2149" s="15"/>
      <c r="CC2149" s="697"/>
      <c r="CD2149" s="1086"/>
      <c r="CE2149" s="15"/>
      <c r="CF2149" s="15"/>
      <c r="CG2149" s="936"/>
      <c r="CH2149" s="15"/>
      <c r="CI2149" s="15"/>
      <c r="CJ2149" s="15"/>
      <c r="CK2149" s="1107"/>
      <c r="CL2149" s="22"/>
      <c r="CM2149" s="22"/>
      <c r="CN2149" s="1107"/>
      <c r="CR2149" s="223"/>
      <c r="CS2149" s="952"/>
      <c r="CT2149" s="1066"/>
      <c r="CU2149" s="972"/>
      <c r="CV2149" s="983"/>
      <c r="CW2149" s="222"/>
      <c r="CX2149" s="697"/>
      <c r="DC2149" s="222"/>
      <c r="DJ2149" s="889"/>
      <c r="DM2149" s="890"/>
      <c r="DN2149" s="952"/>
      <c r="DO2149" s="75"/>
      <c r="DP2149" s="962"/>
      <c r="DQ2149" s="983"/>
      <c r="DV2149" s="889"/>
    </row>
    <row r="2150" spans="1:126" s="74" customFormat="1">
      <c r="A2150" s="15"/>
      <c r="B2150" s="15"/>
      <c r="C2150" s="15"/>
      <c r="D2150" s="15"/>
      <c r="E2150" s="6"/>
      <c r="F2150" s="6"/>
      <c r="G2150" s="6"/>
      <c r="K2150" s="222"/>
      <c r="V2150" s="1430"/>
      <c r="AA2150" s="223"/>
      <c r="AC2150" s="889"/>
      <c r="AF2150" s="890"/>
      <c r="AJ2150" s="889"/>
      <c r="AN2150" s="222"/>
      <c r="BC2150" s="223"/>
      <c r="BD2150" s="222"/>
      <c r="BH2150" s="611"/>
      <c r="BJ2150" s="15"/>
      <c r="BK2150" s="15"/>
      <c r="BO2150" s="223"/>
      <c r="BQ2150" s="889"/>
      <c r="BT2150" s="890"/>
      <c r="BX2150" s="889"/>
      <c r="CB2150" s="15"/>
      <c r="CC2150" s="697"/>
      <c r="CD2150" s="1086"/>
      <c r="CE2150" s="15"/>
      <c r="CF2150" s="15"/>
      <c r="CG2150" s="936"/>
      <c r="CH2150" s="15"/>
      <c r="CI2150" s="15"/>
      <c r="CJ2150" s="15"/>
      <c r="CK2150" s="1107"/>
      <c r="CL2150" s="22"/>
      <c r="CM2150" s="22"/>
      <c r="CN2150" s="1107"/>
      <c r="CR2150" s="223"/>
      <c r="CS2150" s="952"/>
      <c r="CT2150" s="1066"/>
      <c r="CU2150" s="972"/>
      <c r="CV2150" s="983"/>
      <c r="CW2150" s="222"/>
      <c r="CX2150" s="697"/>
      <c r="DC2150" s="222"/>
      <c r="DJ2150" s="889"/>
      <c r="DM2150" s="890"/>
      <c r="DN2150" s="952"/>
      <c r="DO2150" s="75"/>
      <c r="DP2150" s="962"/>
      <c r="DQ2150" s="983"/>
      <c r="DV2150" s="889"/>
    </row>
    <row r="2151" spans="1:126" s="74" customFormat="1">
      <c r="A2151" s="15"/>
      <c r="B2151" s="15"/>
      <c r="C2151" s="15"/>
      <c r="D2151" s="15"/>
      <c r="E2151" s="6"/>
      <c r="F2151" s="6"/>
      <c r="G2151" s="6"/>
      <c r="K2151" s="222"/>
      <c r="V2151" s="1430"/>
      <c r="AA2151" s="223"/>
      <c r="AC2151" s="889"/>
      <c r="AF2151" s="890"/>
      <c r="AJ2151" s="889"/>
      <c r="AN2151" s="222"/>
      <c r="BC2151" s="223"/>
      <c r="BD2151" s="222"/>
      <c r="BH2151" s="611"/>
      <c r="BJ2151" s="15"/>
      <c r="BK2151" s="15"/>
      <c r="BO2151" s="223"/>
      <c r="BQ2151" s="889"/>
      <c r="BT2151" s="890"/>
      <c r="BX2151" s="889"/>
      <c r="CB2151" s="15"/>
      <c r="CC2151" s="697"/>
      <c r="CD2151" s="1086"/>
      <c r="CE2151" s="15"/>
      <c r="CF2151" s="15"/>
      <c r="CG2151" s="936"/>
      <c r="CH2151" s="15"/>
      <c r="CI2151" s="15"/>
      <c r="CJ2151" s="15"/>
      <c r="CK2151" s="1107"/>
      <c r="CL2151" s="22"/>
      <c r="CM2151" s="22"/>
      <c r="CN2151" s="1107"/>
      <c r="CR2151" s="223"/>
      <c r="CS2151" s="952"/>
      <c r="CT2151" s="1066"/>
      <c r="CU2151" s="972"/>
      <c r="CV2151" s="983"/>
      <c r="CW2151" s="222"/>
      <c r="CX2151" s="697"/>
      <c r="DC2151" s="222"/>
      <c r="DJ2151" s="889"/>
      <c r="DM2151" s="890"/>
      <c r="DN2151" s="952"/>
      <c r="DO2151" s="75"/>
      <c r="DP2151" s="962"/>
      <c r="DQ2151" s="983"/>
      <c r="DV2151" s="889"/>
    </row>
    <row r="2152" spans="1:126" s="74" customFormat="1">
      <c r="A2152" s="15"/>
      <c r="B2152" s="15"/>
      <c r="C2152" s="15"/>
      <c r="D2152" s="15"/>
      <c r="E2152" s="6"/>
      <c r="F2152" s="6"/>
      <c r="G2152" s="6"/>
      <c r="K2152" s="222"/>
      <c r="V2152" s="1430"/>
      <c r="AA2152" s="223"/>
      <c r="AC2152" s="889"/>
      <c r="AF2152" s="890"/>
      <c r="AJ2152" s="889"/>
      <c r="AN2152" s="222"/>
      <c r="BC2152" s="223"/>
      <c r="BD2152" s="222"/>
      <c r="BH2152" s="611"/>
      <c r="BJ2152" s="15"/>
      <c r="BK2152" s="15"/>
      <c r="BO2152" s="223"/>
      <c r="BQ2152" s="889"/>
      <c r="BT2152" s="890"/>
      <c r="BX2152" s="889"/>
      <c r="CB2152" s="15"/>
      <c r="CC2152" s="697"/>
      <c r="CD2152" s="1086"/>
      <c r="CE2152" s="15"/>
      <c r="CF2152" s="15"/>
      <c r="CG2152" s="936"/>
      <c r="CH2152" s="15"/>
      <c r="CI2152" s="15"/>
      <c r="CJ2152" s="15"/>
      <c r="CK2152" s="1107"/>
      <c r="CL2152" s="22"/>
      <c r="CM2152" s="22"/>
      <c r="CN2152" s="1107"/>
      <c r="CR2152" s="223"/>
      <c r="CS2152" s="952"/>
      <c r="CT2152" s="1066"/>
      <c r="CU2152" s="972"/>
      <c r="CV2152" s="983"/>
      <c r="CW2152" s="222"/>
      <c r="CX2152" s="697"/>
      <c r="DC2152" s="222"/>
      <c r="DJ2152" s="889"/>
      <c r="DM2152" s="890"/>
      <c r="DN2152" s="952"/>
      <c r="DO2152" s="75"/>
      <c r="DP2152" s="962"/>
      <c r="DQ2152" s="983"/>
      <c r="DV2152" s="889"/>
    </row>
    <row r="2153" spans="1:126" s="74" customFormat="1">
      <c r="A2153" s="15"/>
      <c r="B2153" s="15"/>
      <c r="C2153" s="15"/>
      <c r="D2153" s="15"/>
      <c r="E2153" s="6"/>
      <c r="F2153" s="6"/>
      <c r="G2153" s="6"/>
      <c r="K2153" s="222"/>
      <c r="V2153" s="1430"/>
      <c r="AA2153" s="223"/>
      <c r="AC2153" s="889"/>
      <c r="AF2153" s="890"/>
      <c r="AJ2153" s="889"/>
      <c r="AN2153" s="222"/>
      <c r="BC2153" s="223"/>
      <c r="BD2153" s="222"/>
      <c r="BH2153" s="611"/>
      <c r="BJ2153" s="15"/>
      <c r="BK2153" s="15"/>
      <c r="BO2153" s="223"/>
      <c r="BQ2153" s="889"/>
      <c r="BT2153" s="890"/>
      <c r="BX2153" s="889"/>
      <c r="CB2153" s="15"/>
      <c r="CC2153" s="697"/>
      <c r="CD2153" s="1086"/>
      <c r="CE2153" s="15"/>
      <c r="CF2153" s="15"/>
      <c r="CG2153" s="936"/>
      <c r="CH2153" s="15"/>
      <c r="CI2153" s="15"/>
      <c r="CJ2153" s="15"/>
      <c r="CK2153" s="1107"/>
      <c r="CL2153" s="22"/>
      <c r="CM2153" s="22"/>
      <c r="CN2153" s="1107"/>
      <c r="CR2153" s="223"/>
      <c r="CS2153" s="952"/>
      <c r="CT2153" s="1066"/>
      <c r="CU2153" s="972"/>
      <c r="CV2153" s="983"/>
      <c r="CW2153" s="222"/>
      <c r="CX2153" s="697"/>
      <c r="DC2153" s="222"/>
      <c r="DJ2153" s="889"/>
      <c r="DM2153" s="890"/>
      <c r="DN2153" s="952"/>
      <c r="DO2153" s="75"/>
      <c r="DP2153" s="962"/>
      <c r="DQ2153" s="983"/>
      <c r="DV2153" s="889"/>
    </row>
    <row r="2154" spans="1:126" s="74" customFormat="1">
      <c r="A2154" s="15"/>
      <c r="B2154" s="15"/>
      <c r="C2154" s="15"/>
      <c r="D2154" s="15"/>
      <c r="E2154" s="6"/>
      <c r="F2154" s="6"/>
      <c r="G2154" s="6"/>
      <c r="K2154" s="222"/>
      <c r="V2154" s="1430"/>
      <c r="AA2154" s="223"/>
      <c r="AC2154" s="889"/>
      <c r="AF2154" s="890"/>
      <c r="AJ2154" s="889"/>
      <c r="AN2154" s="222"/>
      <c r="BC2154" s="223"/>
      <c r="BD2154" s="222"/>
      <c r="BH2154" s="611"/>
      <c r="BJ2154" s="15"/>
      <c r="BK2154" s="15"/>
      <c r="BO2154" s="223"/>
      <c r="BQ2154" s="889"/>
      <c r="BT2154" s="890"/>
      <c r="BX2154" s="889"/>
      <c r="CB2154" s="15"/>
      <c r="CC2154" s="697"/>
      <c r="CD2154" s="1086"/>
      <c r="CE2154" s="15"/>
      <c r="CF2154" s="15"/>
      <c r="CG2154" s="936"/>
      <c r="CH2154" s="15"/>
      <c r="CI2154" s="15"/>
      <c r="CJ2154" s="15"/>
      <c r="CK2154" s="1107"/>
      <c r="CL2154" s="22"/>
      <c r="CM2154" s="22"/>
      <c r="CN2154" s="1107"/>
      <c r="CR2154" s="223"/>
      <c r="CS2154" s="952"/>
      <c r="CT2154" s="1066"/>
      <c r="CU2154" s="972"/>
      <c r="CV2154" s="983"/>
      <c r="CW2154" s="222"/>
      <c r="CX2154" s="697"/>
      <c r="DC2154" s="222"/>
      <c r="DJ2154" s="889"/>
      <c r="DM2154" s="890"/>
      <c r="DN2154" s="952"/>
      <c r="DO2154" s="75"/>
      <c r="DP2154" s="962"/>
      <c r="DQ2154" s="983"/>
      <c r="DV2154" s="889"/>
    </row>
    <row r="2155" spans="1:126" s="74" customFormat="1">
      <c r="A2155" s="15"/>
      <c r="B2155" s="15"/>
      <c r="C2155" s="15"/>
      <c r="D2155" s="15"/>
      <c r="E2155" s="6"/>
      <c r="F2155" s="6"/>
      <c r="G2155" s="6"/>
      <c r="K2155" s="222"/>
      <c r="V2155" s="1430"/>
      <c r="AA2155" s="223"/>
      <c r="AC2155" s="889"/>
      <c r="AF2155" s="890"/>
      <c r="AJ2155" s="889"/>
      <c r="AN2155" s="222"/>
      <c r="BC2155" s="223"/>
      <c r="BD2155" s="222"/>
      <c r="BH2155" s="611"/>
      <c r="BJ2155" s="15"/>
      <c r="BK2155" s="15"/>
      <c r="BO2155" s="223"/>
      <c r="BQ2155" s="889"/>
      <c r="BT2155" s="890"/>
      <c r="BX2155" s="889"/>
      <c r="CB2155" s="15"/>
      <c r="CC2155" s="697"/>
      <c r="CD2155" s="1086"/>
      <c r="CE2155" s="15"/>
      <c r="CF2155" s="15"/>
      <c r="CG2155" s="936"/>
      <c r="CH2155" s="15"/>
      <c r="CI2155" s="15"/>
      <c r="CJ2155" s="15"/>
      <c r="CK2155" s="1107"/>
      <c r="CL2155" s="22"/>
      <c r="CM2155" s="22"/>
      <c r="CN2155" s="1107"/>
      <c r="CR2155" s="223"/>
      <c r="CS2155" s="952"/>
      <c r="CT2155" s="1066"/>
      <c r="CU2155" s="972"/>
      <c r="CV2155" s="983"/>
      <c r="CW2155" s="222"/>
      <c r="CX2155" s="697"/>
      <c r="DC2155" s="222"/>
      <c r="DJ2155" s="889"/>
      <c r="DM2155" s="890"/>
      <c r="DN2155" s="952"/>
      <c r="DO2155" s="75"/>
      <c r="DP2155" s="962"/>
      <c r="DQ2155" s="983"/>
      <c r="DV2155" s="889"/>
    </row>
    <row r="2156" spans="1:126" s="74" customFormat="1">
      <c r="A2156" s="15"/>
      <c r="B2156" s="15"/>
      <c r="C2156" s="15"/>
      <c r="D2156" s="15"/>
      <c r="E2156" s="6"/>
      <c r="F2156" s="6"/>
      <c r="G2156" s="6"/>
      <c r="K2156" s="222"/>
      <c r="V2156" s="1430"/>
      <c r="AA2156" s="223"/>
      <c r="AC2156" s="889"/>
      <c r="AF2156" s="890"/>
      <c r="AJ2156" s="889"/>
      <c r="AN2156" s="222"/>
      <c r="BC2156" s="223"/>
      <c r="BD2156" s="222"/>
      <c r="BH2156" s="611"/>
      <c r="BJ2156" s="15"/>
      <c r="BK2156" s="15"/>
      <c r="BO2156" s="223"/>
      <c r="BQ2156" s="889"/>
      <c r="BT2156" s="890"/>
      <c r="BX2156" s="889"/>
      <c r="CB2156" s="15"/>
      <c r="CC2156" s="697"/>
      <c r="CD2156" s="1086"/>
      <c r="CE2156" s="15"/>
      <c r="CF2156" s="15"/>
      <c r="CG2156" s="936"/>
      <c r="CH2156" s="15"/>
      <c r="CI2156" s="15"/>
      <c r="CJ2156" s="15"/>
      <c r="CK2156" s="1107"/>
      <c r="CL2156" s="22"/>
      <c r="CM2156" s="22"/>
      <c r="CN2156" s="1107"/>
      <c r="CR2156" s="223"/>
      <c r="CS2156" s="952"/>
      <c r="CT2156" s="1066"/>
      <c r="CU2156" s="972"/>
      <c r="CV2156" s="983"/>
      <c r="CW2156" s="222"/>
      <c r="CX2156" s="697"/>
      <c r="DC2156" s="222"/>
      <c r="DJ2156" s="889"/>
      <c r="DM2156" s="890"/>
      <c r="DN2156" s="952"/>
      <c r="DO2156" s="75"/>
      <c r="DP2156" s="962"/>
      <c r="DQ2156" s="983"/>
      <c r="DV2156" s="889"/>
    </row>
    <row r="2157" spans="1:126" s="74" customFormat="1">
      <c r="A2157" s="15"/>
      <c r="B2157" s="15"/>
      <c r="C2157" s="15"/>
      <c r="D2157" s="15"/>
      <c r="E2157" s="6"/>
      <c r="F2157" s="6"/>
      <c r="G2157" s="6"/>
      <c r="K2157" s="222"/>
      <c r="V2157" s="1430"/>
      <c r="AA2157" s="223"/>
      <c r="AC2157" s="889"/>
      <c r="AF2157" s="890"/>
      <c r="AJ2157" s="889"/>
      <c r="AN2157" s="222"/>
      <c r="BC2157" s="223"/>
      <c r="BD2157" s="222"/>
      <c r="BH2157" s="611"/>
      <c r="BJ2157" s="15"/>
      <c r="BK2157" s="15"/>
      <c r="BO2157" s="223"/>
      <c r="BQ2157" s="889"/>
      <c r="BT2157" s="890"/>
      <c r="BX2157" s="889"/>
      <c r="CB2157" s="15"/>
      <c r="CC2157" s="697"/>
      <c r="CD2157" s="1086"/>
      <c r="CE2157" s="15"/>
      <c r="CF2157" s="15"/>
      <c r="CG2157" s="936"/>
      <c r="CH2157" s="15"/>
      <c r="CI2157" s="15"/>
      <c r="CJ2157" s="15"/>
      <c r="CK2157" s="1107"/>
      <c r="CL2157" s="22"/>
      <c r="CM2157" s="22"/>
      <c r="CN2157" s="1107"/>
      <c r="CR2157" s="223"/>
      <c r="CS2157" s="952"/>
      <c r="CT2157" s="1066"/>
      <c r="CU2157" s="972"/>
      <c r="CV2157" s="983"/>
      <c r="CW2157" s="222"/>
      <c r="CX2157" s="697"/>
      <c r="DC2157" s="222"/>
      <c r="DJ2157" s="889"/>
      <c r="DM2157" s="890"/>
      <c r="DN2157" s="952"/>
      <c r="DO2157" s="75"/>
      <c r="DP2157" s="962"/>
      <c r="DQ2157" s="983"/>
      <c r="DV2157" s="889"/>
    </row>
    <row r="2158" spans="1:126" s="74" customFormat="1">
      <c r="A2158" s="15"/>
      <c r="B2158" s="15"/>
      <c r="C2158" s="15"/>
      <c r="D2158" s="15"/>
      <c r="E2158" s="6"/>
      <c r="F2158" s="6"/>
      <c r="G2158" s="6"/>
      <c r="K2158" s="222"/>
      <c r="V2158" s="1430"/>
      <c r="AA2158" s="223"/>
      <c r="AC2158" s="889"/>
      <c r="AF2158" s="890"/>
      <c r="AJ2158" s="889"/>
      <c r="AN2158" s="222"/>
      <c r="BC2158" s="223"/>
      <c r="BD2158" s="222"/>
      <c r="BH2158" s="611"/>
      <c r="BJ2158" s="15"/>
      <c r="BK2158" s="15"/>
      <c r="BO2158" s="223"/>
      <c r="BQ2158" s="889"/>
      <c r="BT2158" s="890"/>
      <c r="BX2158" s="889"/>
      <c r="CB2158" s="15"/>
      <c r="CC2158" s="697"/>
      <c r="CD2158" s="1086"/>
      <c r="CE2158" s="15"/>
      <c r="CF2158" s="15"/>
      <c r="CG2158" s="936"/>
      <c r="CH2158" s="15"/>
      <c r="CI2158" s="15"/>
      <c r="CJ2158" s="15"/>
      <c r="CK2158" s="1107"/>
      <c r="CL2158" s="22"/>
      <c r="CM2158" s="22"/>
      <c r="CN2158" s="1107"/>
      <c r="CR2158" s="223"/>
      <c r="CS2158" s="952"/>
      <c r="CT2158" s="1066"/>
      <c r="CU2158" s="972"/>
      <c r="CV2158" s="983"/>
      <c r="CW2158" s="222"/>
      <c r="CX2158" s="697"/>
      <c r="DC2158" s="222"/>
      <c r="DJ2158" s="889"/>
      <c r="DM2158" s="890"/>
      <c r="DN2158" s="952"/>
      <c r="DO2158" s="75"/>
      <c r="DP2158" s="962"/>
      <c r="DQ2158" s="983"/>
      <c r="DV2158" s="889"/>
    </row>
    <row r="2159" spans="1:126" s="74" customFormat="1">
      <c r="A2159" s="15"/>
      <c r="B2159" s="15"/>
      <c r="C2159" s="15"/>
      <c r="D2159" s="15"/>
      <c r="E2159" s="6"/>
      <c r="F2159" s="6"/>
      <c r="G2159" s="6"/>
      <c r="K2159" s="222"/>
      <c r="V2159" s="1430"/>
      <c r="AA2159" s="223"/>
      <c r="AC2159" s="889"/>
      <c r="AF2159" s="890"/>
      <c r="AJ2159" s="889"/>
      <c r="AN2159" s="222"/>
      <c r="BC2159" s="223"/>
      <c r="BD2159" s="222"/>
      <c r="BH2159" s="611"/>
      <c r="BJ2159" s="15"/>
      <c r="BK2159" s="15"/>
      <c r="BO2159" s="223"/>
      <c r="BQ2159" s="889"/>
      <c r="BT2159" s="890"/>
      <c r="BX2159" s="889"/>
      <c r="CB2159" s="15"/>
      <c r="CC2159" s="697"/>
      <c r="CD2159" s="1086"/>
      <c r="CE2159" s="15"/>
      <c r="CF2159" s="15"/>
      <c r="CG2159" s="936"/>
      <c r="CH2159" s="15"/>
      <c r="CI2159" s="15"/>
      <c r="CJ2159" s="15"/>
      <c r="CK2159" s="1107"/>
      <c r="CL2159" s="22"/>
      <c r="CM2159" s="22"/>
      <c r="CN2159" s="1107"/>
      <c r="CR2159" s="223"/>
      <c r="CS2159" s="952"/>
      <c r="CT2159" s="1066"/>
      <c r="CU2159" s="972"/>
      <c r="CV2159" s="983"/>
      <c r="CW2159" s="222"/>
      <c r="CX2159" s="697"/>
      <c r="DC2159" s="222"/>
      <c r="DJ2159" s="889"/>
      <c r="DM2159" s="890"/>
      <c r="DN2159" s="952"/>
      <c r="DO2159" s="75"/>
      <c r="DP2159" s="962"/>
      <c r="DQ2159" s="983"/>
      <c r="DV2159" s="889"/>
    </row>
    <row r="2160" spans="1:126" s="74" customFormat="1">
      <c r="A2160" s="15"/>
      <c r="B2160" s="15"/>
      <c r="C2160" s="15"/>
      <c r="D2160" s="15"/>
      <c r="E2160" s="6"/>
      <c r="F2160" s="6"/>
      <c r="G2160" s="6"/>
      <c r="K2160" s="222"/>
      <c r="V2160" s="1430"/>
      <c r="AA2160" s="223"/>
      <c r="AC2160" s="889"/>
      <c r="AF2160" s="890"/>
      <c r="AJ2160" s="889"/>
      <c r="AN2160" s="222"/>
      <c r="BC2160" s="223"/>
      <c r="BD2160" s="222"/>
      <c r="BH2160" s="611"/>
      <c r="BJ2160" s="15"/>
      <c r="BK2160" s="15"/>
      <c r="BO2160" s="223"/>
      <c r="BQ2160" s="889"/>
      <c r="BT2160" s="890"/>
      <c r="BX2160" s="889"/>
      <c r="CB2160" s="15"/>
      <c r="CC2160" s="697"/>
      <c r="CD2160" s="1086"/>
      <c r="CE2160" s="15"/>
      <c r="CF2160" s="15"/>
      <c r="CG2160" s="936"/>
      <c r="CH2160" s="15"/>
      <c r="CI2160" s="15"/>
      <c r="CJ2160" s="15"/>
      <c r="CK2160" s="1107"/>
      <c r="CL2160" s="22"/>
      <c r="CM2160" s="22"/>
      <c r="CN2160" s="1107"/>
      <c r="CR2160" s="223"/>
      <c r="CS2160" s="952"/>
      <c r="CT2160" s="1066"/>
      <c r="CU2160" s="972"/>
      <c r="CV2160" s="983"/>
      <c r="CW2160" s="222"/>
      <c r="CX2160" s="697"/>
      <c r="DC2160" s="222"/>
      <c r="DJ2160" s="889"/>
      <c r="DM2160" s="890"/>
      <c r="DN2160" s="952"/>
      <c r="DO2160" s="75"/>
      <c r="DP2160" s="962"/>
      <c r="DQ2160" s="983"/>
      <c r="DV2160" s="889"/>
    </row>
    <row r="2161" spans="1:126" s="74" customFormat="1">
      <c r="A2161" s="15"/>
      <c r="B2161" s="15"/>
      <c r="C2161" s="15"/>
      <c r="D2161" s="15"/>
      <c r="E2161" s="6"/>
      <c r="F2161" s="6"/>
      <c r="G2161" s="6"/>
      <c r="K2161" s="222"/>
      <c r="V2161" s="1430"/>
      <c r="AA2161" s="223"/>
      <c r="AC2161" s="889"/>
      <c r="AF2161" s="890"/>
      <c r="AJ2161" s="889"/>
      <c r="AN2161" s="222"/>
      <c r="BC2161" s="223"/>
      <c r="BD2161" s="222"/>
      <c r="BH2161" s="611"/>
      <c r="BJ2161" s="15"/>
      <c r="BK2161" s="15"/>
      <c r="BO2161" s="223"/>
      <c r="BQ2161" s="889"/>
      <c r="BT2161" s="890"/>
      <c r="BX2161" s="889"/>
      <c r="CB2161" s="15"/>
      <c r="CC2161" s="697"/>
      <c r="CD2161" s="1086"/>
      <c r="CE2161" s="15"/>
      <c r="CF2161" s="15"/>
      <c r="CG2161" s="936"/>
      <c r="CH2161" s="15"/>
      <c r="CI2161" s="15"/>
      <c r="CJ2161" s="15"/>
      <c r="CK2161" s="1107"/>
      <c r="CL2161" s="22"/>
      <c r="CM2161" s="22"/>
      <c r="CN2161" s="1107"/>
      <c r="CR2161" s="223"/>
      <c r="CS2161" s="952"/>
      <c r="CT2161" s="1066"/>
      <c r="CU2161" s="972"/>
      <c r="CV2161" s="983"/>
      <c r="CW2161" s="222"/>
      <c r="CX2161" s="697"/>
      <c r="DC2161" s="222"/>
      <c r="DJ2161" s="889"/>
      <c r="DM2161" s="890"/>
      <c r="DN2161" s="952"/>
      <c r="DO2161" s="75"/>
      <c r="DP2161" s="962"/>
      <c r="DQ2161" s="983"/>
      <c r="DV2161" s="889"/>
    </row>
    <row r="2162" spans="1:126" s="74" customFormat="1">
      <c r="A2162" s="15"/>
      <c r="B2162" s="15"/>
      <c r="C2162" s="15"/>
      <c r="D2162" s="15"/>
      <c r="E2162" s="6"/>
      <c r="F2162" s="6"/>
      <c r="G2162" s="6"/>
      <c r="K2162" s="222"/>
      <c r="V2162" s="1430"/>
      <c r="AA2162" s="223"/>
      <c r="AC2162" s="889"/>
      <c r="AF2162" s="890"/>
      <c r="AJ2162" s="889"/>
      <c r="AN2162" s="222"/>
      <c r="BC2162" s="223"/>
      <c r="BD2162" s="222"/>
      <c r="BH2162" s="611"/>
      <c r="BJ2162" s="15"/>
      <c r="BK2162" s="15"/>
      <c r="BO2162" s="223"/>
      <c r="BQ2162" s="889"/>
      <c r="BT2162" s="890"/>
      <c r="BX2162" s="889"/>
      <c r="CB2162" s="15"/>
      <c r="CC2162" s="697"/>
      <c r="CD2162" s="1086"/>
      <c r="CE2162" s="15"/>
      <c r="CF2162" s="15"/>
      <c r="CG2162" s="936"/>
      <c r="CH2162" s="15"/>
      <c r="CI2162" s="15"/>
      <c r="CJ2162" s="15"/>
      <c r="CK2162" s="1107"/>
      <c r="CL2162" s="22"/>
      <c r="CM2162" s="22"/>
      <c r="CN2162" s="1107"/>
      <c r="CR2162" s="223"/>
      <c r="CS2162" s="952"/>
      <c r="CT2162" s="1066"/>
      <c r="CU2162" s="972"/>
      <c r="CV2162" s="983"/>
      <c r="CW2162" s="222"/>
      <c r="CX2162" s="697"/>
      <c r="DC2162" s="222"/>
      <c r="DJ2162" s="889"/>
      <c r="DM2162" s="890"/>
      <c r="DN2162" s="952"/>
      <c r="DO2162" s="75"/>
      <c r="DP2162" s="962"/>
      <c r="DQ2162" s="983"/>
      <c r="DV2162" s="889"/>
    </row>
    <row r="2163" spans="1:126" s="74" customFormat="1">
      <c r="A2163" s="15"/>
      <c r="B2163" s="15"/>
      <c r="C2163" s="15"/>
      <c r="D2163" s="15"/>
      <c r="E2163" s="6"/>
      <c r="F2163" s="6"/>
      <c r="G2163" s="6"/>
      <c r="K2163" s="222"/>
      <c r="V2163" s="1430"/>
      <c r="AA2163" s="223"/>
      <c r="AC2163" s="889"/>
      <c r="AF2163" s="890"/>
      <c r="AJ2163" s="889"/>
      <c r="AN2163" s="222"/>
      <c r="BC2163" s="223"/>
      <c r="BD2163" s="222"/>
      <c r="BH2163" s="611"/>
      <c r="BJ2163" s="15"/>
      <c r="BK2163" s="15"/>
      <c r="BO2163" s="223"/>
      <c r="BQ2163" s="889"/>
      <c r="BT2163" s="890"/>
      <c r="BX2163" s="889"/>
      <c r="CB2163" s="15"/>
      <c r="CC2163" s="697"/>
      <c r="CD2163" s="1086"/>
      <c r="CE2163" s="15"/>
      <c r="CF2163" s="15"/>
      <c r="CG2163" s="936"/>
      <c r="CH2163" s="15"/>
      <c r="CI2163" s="15"/>
      <c r="CJ2163" s="15"/>
      <c r="CK2163" s="1107"/>
      <c r="CL2163" s="22"/>
      <c r="CM2163" s="22"/>
      <c r="CN2163" s="1107"/>
      <c r="CR2163" s="223"/>
      <c r="CS2163" s="952"/>
      <c r="CT2163" s="1066"/>
      <c r="CU2163" s="972"/>
      <c r="CV2163" s="983"/>
      <c r="CW2163" s="222"/>
      <c r="CX2163" s="697"/>
      <c r="DC2163" s="222"/>
      <c r="DJ2163" s="889"/>
      <c r="DM2163" s="890"/>
      <c r="DN2163" s="952"/>
      <c r="DO2163" s="75"/>
      <c r="DP2163" s="962"/>
      <c r="DQ2163" s="983"/>
      <c r="DV2163" s="889"/>
    </row>
    <row r="2164" spans="1:126" s="74" customFormat="1">
      <c r="A2164" s="15"/>
      <c r="B2164" s="15"/>
      <c r="C2164" s="15"/>
      <c r="D2164" s="15"/>
      <c r="E2164" s="6"/>
      <c r="F2164" s="6"/>
      <c r="G2164" s="6"/>
      <c r="K2164" s="222"/>
      <c r="V2164" s="1430"/>
      <c r="AA2164" s="223"/>
      <c r="AC2164" s="889"/>
      <c r="AF2164" s="890"/>
      <c r="AJ2164" s="889"/>
      <c r="AN2164" s="222"/>
      <c r="BC2164" s="223"/>
      <c r="BD2164" s="222"/>
      <c r="BH2164" s="611"/>
      <c r="BJ2164" s="15"/>
      <c r="BK2164" s="15"/>
      <c r="BO2164" s="223"/>
      <c r="BQ2164" s="889"/>
      <c r="BT2164" s="890"/>
      <c r="BX2164" s="889"/>
      <c r="CB2164" s="15"/>
      <c r="CC2164" s="697"/>
      <c r="CD2164" s="1086"/>
      <c r="CE2164" s="15"/>
      <c r="CF2164" s="15"/>
      <c r="CG2164" s="936"/>
      <c r="CH2164" s="15"/>
      <c r="CI2164" s="15"/>
      <c r="CJ2164" s="15"/>
      <c r="CK2164" s="1107"/>
      <c r="CL2164" s="22"/>
      <c r="CM2164" s="22"/>
      <c r="CN2164" s="1107"/>
      <c r="CR2164" s="223"/>
      <c r="CS2164" s="952"/>
      <c r="CT2164" s="1066"/>
      <c r="CU2164" s="972"/>
      <c r="CV2164" s="983"/>
      <c r="CW2164" s="222"/>
      <c r="CX2164" s="697"/>
      <c r="DC2164" s="222"/>
      <c r="DJ2164" s="889"/>
      <c r="DM2164" s="890"/>
      <c r="DN2164" s="952"/>
      <c r="DO2164" s="75"/>
      <c r="DP2164" s="962"/>
      <c r="DQ2164" s="983"/>
      <c r="DV2164" s="889"/>
    </row>
    <row r="2165" spans="1:126" s="74" customFormat="1">
      <c r="A2165" s="15"/>
      <c r="B2165" s="15"/>
      <c r="C2165" s="15"/>
      <c r="D2165" s="15"/>
      <c r="E2165" s="6"/>
      <c r="F2165" s="6"/>
      <c r="G2165" s="6"/>
      <c r="K2165" s="222"/>
      <c r="V2165" s="1430"/>
      <c r="AA2165" s="223"/>
      <c r="AC2165" s="889"/>
      <c r="AF2165" s="890"/>
      <c r="AJ2165" s="889"/>
      <c r="AN2165" s="222"/>
      <c r="BC2165" s="223"/>
      <c r="BD2165" s="222"/>
      <c r="BH2165" s="611"/>
      <c r="BJ2165" s="15"/>
      <c r="BK2165" s="15"/>
      <c r="BO2165" s="223"/>
      <c r="BQ2165" s="889"/>
      <c r="BT2165" s="890"/>
      <c r="BX2165" s="889"/>
      <c r="CB2165" s="15"/>
      <c r="CC2165" s="697"/>
      <c r="CD2165" s="1086"/>
      <c r="CE2165" s="15"/>
      <c r="CF2165" s="15"/>
      <c r="CG2165" s="936"/>
      <c r="CH2165" s="15"/>
      <c r="CI2165" s="15"/>
      <c r="CJ2165" s="15"/>
      <c r="CK2165" s="1107"/>
      <c r="CL2165" s="22"/>
      <c r="CM2165" s="22"/>
      <c r="CN2165" s="1107"/>
      <c r="CR2165" s="223"/>
      <c r="CS2165" s="952"/>
      <c r="CT2165" s="1066"/>
      <c r="CU2165" s="972"/>
      <c r="CV2165" s="983"/>
      <c r="CW2165" s="222"/>
      <c r="CX2165" s="697"/>
      <c r="DC2165" s="222"/>
      <c r="DJ2165" s="889"/>
      <c r="DM2165" s="890"/>
      <c r="DN2165" s="952"/>
      <c r="DO2165" s="75"/>
      <c r="DP2165" s="962"/>
      <c r="DQ2165" s="983"/>
      <c r="DV2165" s="889"/>
    </row>
    <row r="2166" spans="1:126" s="74" customFormat="1">
      <c r="A2166" s="15"/>
      <c r="B2166" s="15"/>
      <c r="C2166" s="15"/>
      <c r="D2166" s="15"/>
      <c r="E2166" s="6"/>
      <c r="F2166" s="6"/>
      <c r="G2166" s="6"/>
      <c r="K2166" s="222"/>
      <c r="V2166" s="1430"/>
      <c r="AA2166" s="223"/>
      <c r="AC2166" s="889"/>
      <c r="AF2166" s="890"/>
      <c r="AJ2166" s="889"/>
      <c r="AN2166" s="222"/>
      <c r="BC2166" s="223"/>
      <c r="BD2166" s="222"/>
      <c r="BH2166" s="611"/>
      <c r="BJ2166" s="15"/>
      <c r="BK2166" s="15"/>
      <c r="BO2166" s="223"/>
      <c r="BQ2166" s="889"/>
      <c r="BT2166" s="890"/>
      <c r="BX2166" s="889"/>
      <c r="CB2166" s="15"/>
      <c r="CC2166" s="697"/>
      <c r="CD2166" s="1086"/>
      <c r="CE2166" s="15"/>
      <c r="CF2166" s="15"/>
      <c r="CG2166" s="936"/>
      <c r="CH2166" s="15"/>
      <c r="CI2166" s="15"/>
      <c r="CJ2166" s="15"/>
      <c r="CK2166" s="1107"/>
      <c r="CL2166" s="22"/>
      <c r="CM2166" s="22"/>
      <c r="CN2166" s="1107"/>
      <c r="CR2166" s="223"/>
      <c r="CS2166" s="952"/>
      <c r="CT2166" s="1066"/>
      <c r="CU2166" s="972"/>
      <c r="CV2166" s="983"/>
      <c r="CW2166" s="222"/>
      <c r="CX2166" s="697"/>
      <c r="DC2166" s="222"/>
      <c r="DJ2166" s="889"/>
      <c r="DM2166" s="890"/>
      <c r="DN2166" s="952"/>
      <c r="DO2166" s="75"/>
      <c r="DP2166" s="962"/>
      <c r="DQ2166" s="983"/>
      <c r="DV2166" s="889"/>
    </row>
    <row r="2167" spans="1:126" s="74" customFormat="1">
      <c r="A2167" s="15"/>
      <c r="B2167" s="15"/>
      <c r="C2167" s="15"/>
      <c r="D2167" s="15"/>
      <c r="E2167" s="6"/>
      <c r="F2167" s="6"/>
      <c r="G2167" s="6"/>
      <c r="K2167" s="222"/>
      <c r="V2167" s="1430"/>
      <c r="AA2167" s="223"/>
      <c r="AC2167" s="889"/>
      <c r="AF2167" s="890"/>
      <c r="AJ2167" s="889"/>
      <c r="AN2167" s="222"/>
      <c r="BC2167" s="223"/>
      <c r="BD2167" s="222"/>
      <c r="BH2167" s="611"/>
      <c r="BJ2167" s="15"/>
      <c r="BK2167" s="15"/>
      <c r="BO2167" s="223"/>
      <c r="BQ2167" s="889"/>
      <c r="BT2167" s="890"/>
      <c r="BX2167" s="889"/>
      <c r="CB2167" s="15"/>
      <c r="CC2167" s="697"/>
      <c r="CD2167" s="1086"/>
      <c r="CE2167" s="15"/>
      <c r="CF2167" s="15"/>
      <c r="CG2167" s="936"/>
      <c r="CH2167" s="15"/>
      <c r="CI2167" s="15"/>
      <c r="CJ2167" s="15"/>
      <c r="CK2167" s="1107"/>
      <c r="CL2167" s="22"/>
      <c r="CM2167" s="22"/>
      <c r="CN2167" s="1107"/>
      <c r="CR2167" s="223"/>
      <c r="CS2167" s="952"/>
      <c r="CT2167" s="1066"/>
      <c r="CU2167" s="972"/>
      <c r="CV2167" s="983"/>
      <c r="CW2167" s="222"/>
      <c r="CX2167" s="697"/>
      <c r="DC2167" s="222"/>
      <c r="DJ2167" s="889"/>
      <c r="DM2167" s="890"/>
      <c r="DN2167" s="952"/>
      <c r="DO2167" s="75"/>
      <c r="DP2167" s="962"/>
      <c r="DQ2167" s="983"/>
      <c r="DV2167" s="889"/>
    </row>
    <row r="2168" spans="1:126" s="74" customFormat="1">
      <c r="A2168" s="15"/>
      <c r="B2168" s="15"/>
      <c r="C2168" s="15"/>
      <c r="D2168" s="15"/>
      <c r="E2168" s="6"/>
      <c r="F2168" s="6"/>
      <c r="G2168" s="6"/>
      <c r="K2168" s="222"/>
      <c r="V2168" s="1430"/>
      <c r="AA2168" s="223"/>
      <c r="AC2168" s="889"/>
      <c r="AF2168" s="890"/>
      <c r="AJ2168" s="889"/>
      <c r="AN2168" s="222"/>
      <c r="BC2168" s="223"/>
      <c r="BD2168" s="222"/>
      <c r="BH2168" s="611"/>
      <c r="BJ2168" s="15"/>
      <c r="BK2168" s="15"/>
      <c r="BO2168" s="223"/>
      <c r="BQ2168" s="889"/>
      <c r="BT2168" s="890"/>
      <c r="BX2168" s="889"/>
      <c r="CB2168" s="15"/>
      <c r="CC2168" s="697"/>
      <c r="CD2168" s="1086"/>
      <c r="CE2168" s="15"/>
      <c r="CF2168" s="15"/>
      <c r="CG2168" s="936"/>
      <c r="CH2168" s="15"/>
      <c r="CI2168" s="15"/>
      <c r="CJ2168" s="15"/>
      <c r="CK2168" s="1107"/>
      <c r="CL2168" s="22"/>
      <c r="CM2168" s="22"/>
      <c r="CN2168" s="1107"/>
      <c r="CR2168" s="223"/>
      <c r="CS2168" s="952"/>
      <c r="CT2168" s="1066"/>
      <c r="CU2168" s="972"/>
      <c r="CV2168" s="983"/>
      <c r="CW2168" s="222"/>
      <c r="CX2168" s="697"/>
      <c r="DC2168" s="222"/>
      <c r="DJ2168" s="889"/>
      <c r="DM2168" s="890"/>
      <c r="DN2168" s="952"/>
      <c r="DO2168" s="75"/>
      <c r="DP2168" s="962"/>
      <c r="DQ2168" s="983"/>
      <c r="DV2168" s="889"/>
    </row>
    <row r="2169" spans="1:126" s="74" customFormat="1">
      <c r="A2169" s="15"/>
      <c r="B2169" s="15"/>
      <c r="C2169" s="15"/>
      <c r="D2169" s="15"/>
      <c r="E2169" s="6"/>
      <c r="F2169" s="6"/>
      <c r="G2169" s="6"/>
      <c r="K2169" s="222"/>
      <c r="V2169" s="1430"/>
      <c r="AA2169" s="223"/>
      <c r="AC2169" s="889"/>
      <c r="AF2169" s="890"/>
      <c r="AJ2169" s="889"/>
      <c r="AN2169" s="222"/>
      <c r="BC2169" s="223"/>
      <c r="BD2169" s="222"/>
      <c r="BH2169" s="611"/>
      <c r="BJ2169" s="15"/>
      <c r="BK2169" s="15"/>
      <c r="BO2169" s="223"/>
      <c r="BQ2169" s="889"/>
      <c r="BT2169" s="890"/>
      <c r="BX2169" s="889"/>
      <c r="CB2169" s="15"/>
      <c r="CC2169" s="697"/>
      <c r="CD2169" s="1086"/>
      <c r="CE2169" s="15"/>
      <c r="CF2169" s="15"/>
      <c r="CG2169" s="936"/>
      <c r="CH2169" s="15"/>
      <c r="CI2169" s="15"/>
      <c r="CJ2169" s="15"/>
      <c r="CK2169" s="1107"/>
      <c r="CL2169" s="22"/>
      <c r="CM2169" s="22"/>
      <c r="CN2169" s="1107"/>
      <c r="CR2169" s="223"/>
      <c r="CS2169" s="952"/>
      <c r="CT2169" s="1066"/>
      <c r="CU2169" s="972"/>
      <c r="CV2169" s="983"/>
      <c r="CW2169" s="222"/>
      <c r="CX2169" s="697"/>
      <c r="DC2169" s="222"/>
      <c r="DJ2169" s="889"/>
      <c r="DM2169" s="890"/>
      <c r="DN2169" s="952"/>
      <c r="DO2169" s="75"/>
      <c r="DP2169" s="962"/>
      <c r="DQ2169" s="983"/>
      <c r="DV2169" s="889"/>
    </row>
    <row r="2170" spans="1:126" s="74" customFormat="1">
      <c r="A2170" s="15"/>
      <c r="B2170" s="15"/>
      <c r="C2170" s="15"/>
      <c r="D2170" s="15"/>
      <c r="E2170" s="6"/>
      <c r="F2170" s="6"/>
      <c r="G2170" s="6"/>
      <c r="K2170" s="222"/>
      <c r="V2170" s="1430"/>
      <c r="AA2170" s="223"/>
      <c r="AC2170" s="889"/>
      <c r="AF2170" s="890"/>
      <c r="AJ2170" s="889"/>
      <c r="AN2170" s="222"/>
      <c r="BC2170" s="223"/>
      <c r="BD2170" s="222"/>
      <c r="BH2170" s="611"/>
      <c r="BJ2170" s="15"/>
      <c r="BK2170" s="15"/>
      <c r="BO2170" s="223"/>
      <c r="BQ2170" s="889"/>
      <c r="BT2170" s="890"/>
      <c r="BX2170" s="889"/>
      <c r="CB2170" s="15"/>
      <c r="CC2170" s="697"/>
      <c r="CD2170" s="1086"/>
      <c r="CE2170" s="15"/>
      <c r="CF2170" s="15"/>
      <c r="CG2170" s="936"/>
      <c r="CH2170" s="15"/>
      <c r="CI2170" s="15"/>
      <c r="CJ2170" s="15"/>
      <c r="CK2170" s="1107"/>
      <c r="CL2170" s="22"/>
      <c r="CM2170" s="22"/>
      <c r="CN2170" s="1107"/>
      <c r="CR2170" s="223"/>
      <c r="CS2170" s="952"/>
      <c r="CT2170" s="1066"/>
      <c r="CU2170" s="972"/>
      <c r="CV2170" s="983"/>
      <c r="CW2170" s="222"/>
      <c r="CX2170" s="697"/>
      <c r="DC2170" s="222"/>
      <c r="DJ2170" s="889"/>
      <c r="DM2170" s="890"/>
      <c r="DN2170" s="952"/>
      <c r="DO2170" s="75"/>
      <c r="DP2170" s="962"/>
      <c r="DQ2170" s="983"/>
      <c r="DV2170" s="889"/>
    </row>
    <row r="2171" spans="1:126" s="74" customFormat="1">
      <c r="A2171" s="15"/>
      <c r="B2171" s="15"/>
      <c r="C2171" s="15"/>
      <c r="D2171" s="15"/>
      <c r="E2171" s="6"/>
      <c r="F2171" s="6"/>
      <c r="G2171" s="6"/>
      <c r="K2171" s="222"/>
      <c r="V2171" s="1430"/>
      <c r="AA2171" s="223"/>
      <c r="AC2171" s="889"/>
      <c r="AF2171" s="890"/>
      <c r="AJ2171" s="889"/>
      <c r="AN2171" s="222"/>
      <c r="BC2171" s="223"/>
      <c r="BD2171" s="222"/>
      <c r="BH2171" s="611"/>
      <c r="BJ2171" s="15"/>
      <c r="BK2171" s="15"/>
      <c r="BO2171" s="223"/>
      <c r="BQ2171" s="889"/>
      <c r="BT2171" s="890"/>
      <c r="BX2171" s="889"/>
      <c r="CB2171" s="15"/>
      <c r="CC2171" s="697"/>
      <c r="CD2171" s="1086"/>
      <c r="CE2171" s="15"/>
      <c r="CF2171" s="15"/>
      <c r="CG2171" s="936"/>
      <c r="CH2171" s="15"/>
      <c r="CI2171" s="15"/>
      <c r="CJ2171" s="15"/>
      <c r="CK2171" s="1107"/>
      <c r="CL2171" s="22"/>
      <c r="CM2171" s="22"/>
      <c r="CN2171" s="1107"/>
      <c r="CR2171" s="223"/>
      <c r="CS2171" s="952"/>
      <c r="CT2171" s="1066"/>
      <c r="CU2171" s="972"/>
      <c r="CV2171" s="983"/>
      <c r="CW2171" s="222"/>
      <c r="CX2171" s="697"/>
      <c r="DC2171" s="222"/>
      <c r="DJ2171" s="889"/>
      <c r="DM2171" s="890"/>
      <c r="DN2171" s="952"/>
      <c r="DO2171" s="75"/>
      <c r="DP2171" s="962"/>
      <c r="DQ2171" s="983"/>
      <c r="DV2171" s="889"/>
    </row>
    <row r="2172" spans="1:126" s="74" customFormat="1">
      <c r="A2172" s="15"/>
      <c r="B2172" s="15"/>
      <c r="C2172" s="15"/>
      <c r="D2172" s="15"/>
      <c r="E2172" s="6"/>
      <c r="F2172" s="6"/>
      <c r="G2172" s="6"/>
      <c r="K2172" s="222"/>
      <c r="V2172" s="1430"/>
      <c r="AA2172" s="223"/>
      <c r="AC2172" s="889"/>
      <c r="AF2172" s="890"/>
      <c r="AJ2172" s="889"/>
      <c r="AN2172" s="222"/>
      <c r="BC2172" s="223"/>
      <c r="BD2172" s="222"/>
      <c r="BH2172" s="611"/>
      <c r="BJ2172" s="15"/>
      <c r="BK2172" s="15"/>
      <c r="BO2172" s="223"/>
      <c r="BQ2172" s="889"/>
      <c r="BT2172" s="890"/>
      <c r="BX2172" s="889"/>
      <c r="CB2172" s="15"/>
      <c r="CC2172" s="697"/>
      <c r="CD2172" s="1086"/>
      <c r="CE2172" s="15"/>
      <c r="CF2172" s="15"/>
      <c r="CG2172" s="936"/>
      <c r="CH2172" s="15"/>
      <c r="CI2172" s="15"/>
      <c r="CJ2172" s="15"/>
      <c r="CK2172" s="1107"/>
      <c r="CL2172" s="22"/>
      <c r="CM2172" s="22"/>
      <c r="CN2172" s="1107"/>
      <c r="CR2172" s="223"/>
      <c r="CS2172" s="952"/>
      <c r="CT2172" s="1066"/>
      <c r="CU2172" s="972"/>
      <c r="CV2172" s="983"/>
      <c r="CW2172" s="222"/>
      <c r="CX2172" s="697"/>
      <c r="DC2172" s="222"/>
      <c r="DJ2172" s="889"/>
      <c r="DM2172" s="890"/>
      <c r="DN2172" s="952"/>
      <c r="DO2172" s="75"/>
      <c r="DP2172" s="962"/>
      <c r="DQ2172" s="983"/>
      <c r="DV2172" s="889"/>
    </row>
    <row r="2173" spans="1:126" s="74" customFormat="1">
      <c r="A2173" s="15"/>
      <c r="B2173" s="15"/>
      <c r="C2173" s="15"/>
      <c r="D2173" s="15"/>
      <c r="E2173" s="6"/>
      <c r="F2173" s="6"/>
      <c r="G2173" s="6"/>
      <c r="K2173" s="222"/>
      <c r="V2173" s="1430"/>
      <c r="AA2173" s="223"/>
      <c r="AC2173" s="889"/>
      <c r="AF2173" s="890"/>
      <c r="AJ2173" s="889"/>
      <c r="AN2173" s="222"/>
      <c r="BC2173" s="223"/>
      <c r="BD2173" s="222"/>
      <c r="BH2173" s="611"/>
      <c r="BJ2173" s="15"/>
      <c r="BK2173" s="15"/>
      <c r="BO2173" s="223"/>
      <c r="BQ2173" s="889"/>
      <c r="BT2173" s="890"/>
      <c r="BX2173" s="889"/>
      <c r="CB2173" s="15"/>
      <c r="CC2173" s="697"/>
      <c r="CD2173" s="1086"/>
      <c r="CE2173" s="15"/>
      <c r="CF2173" s="15"/>
      <c r="CG2173" s="936"/>
      <c r="CH2173" s="15"/>
      <c r="CI2173" s="15"/>
      <c r="CJ2173" s="15"/>
      <c r="CK2173" s="1107"/>
      <c r="CL2173" s="22"/>
      <c r="CM2173" s="22"/>
      <c r="CN2173" s="1107"/>
      <c r="CR2173" s="223"/>
      <c r="CS2173" s="952"/>
      <c r="CT2173" s="1066"/>
      <c r="CU2173" s="972"/>
      <c r="CV2173" s="983"/>
      <c r="CW2173" s="222"/>
      <c r="CX2173" s="697"/>
      <c r="DC2173" s="222"/>
      <c r="DJ2173" s="889"/>
      <c r="DM2173" s="890"/>
      <c r="DN2173" s="952"/>
      <c r="DO2173" s="75"/>
      <c r="DP2173" s="962"/>
      <c r="DQ2173" s="983"/>
      <c r="DV2173" s="889"/>
    </row>
    <row r="2174" spans="1:126" s="74" customFormat="1">
      <c r="A2174" s="15"/>
      <c r="B2174" s="15"/>
      <c r="C2174" s="15"/>
      <c r="D2174" s="15"/>
      <c r="E2174" s="6"/>
      <c r="F2174" s="6"/>
      <c r="G2174" s="6"/>
      <c r="K2174" s="222"/>
      <c r="V2174" s="1430"/>
      <c r="AA2174" s="223"/>
      <c r="AC2174" s="889"/>
      <c r="AF2174" s="890"/>
      <c r="AJ2174" s="889"/>
      <c r="AN2174" s="222"/>
      <c r="BC2174" s="223"/>
      <c r="BD2174" s="222"/>
      <c r="BH2174" s="611"/>
      <c r="BJ2174" s="15"/>
      <c r="BK2174" s="15"/>
      <c r="BO2174" s="223"/>
      <c r="BQ2174" s="889"/>
      <c r="BT2174" s="890"/>
      <c r="BX2174" s="889"/>
      <c r="CB2174" s="15"/>
      <c r="CC2174" s="697"/>
      <c r="CD2174" s="1086"/>
      <c r="CE2174" s="15"/>
      <c r="CF2174" s="15"/>
      <c r="CG2174" s="936"/>
      <c r="CH2174" s="15"/>
      <c r="CI2174" s="15"/>
      <c r="CJ2174" s="15"/>
      <c r="CK2174" s="1107"/>
      <c r="CL2174" s="22"/>
      <c r="CM2174" s="22"/>
      <c r="CN2174" s="1107"/>
      <c r="CR2174" s="223"/>
      <c r="CS2174" s="952"/>
      <c r="CT2174" s="1066"/>
      <c r="CU2174" s="972"/>
      <c r="CV2174" s="983"/>
      <c r="CW2174" s="222"/>
      <c r="CX2174" s="697"/>
      <c r="DC2174" s="222"/>
      <c r="DJ2174" s="889"/>
      <c r="DM2174" s="890"/>
      <c r="DN2174" s="952"/>
      <c r="DO2174" s="75"/>
      <c r="DP2174" s="962"/>
      <c r="DQ2174" s="983"/>
      <c r="DV2174" s="889"/>
    </row>
    <row r="2175" spans="1:126" s="74" customFormat="1">
      <c r="A2175" s="15"/>
      <c r="B2175" s="15"/>
      <c r="C2175" s="15"/>
      <c r="D2175" s="15"/>
      <c r="E2175" s="6"/>
      <c r="F2175" s="6"/>
      <c r="G2175" s="6"/>
      <c r="K2175" s="222"/>
      <c r="V2175" s="1430"/>
      <c r="AA2175" s="223"/>
      <c r="AC2175" s="889"/>
      <c r="AF2175" s="890"/>
      <c r="AJ2175" s="889"/>
      <c r="AN2175" s="222"/>
      <c r="BC2175" s="223"/>
      <c r="BD2175" s="222"/>
      <c r="BH2175" s="611"/>
      <c r="BJ2175" s="15"/>
      <c r="BK2175" s="15"/>
      <c r="BO2175" s="223"/>
      <c r="BQ2175" s="889"/>
      <c r="BT2175" s="890"/>
      <c r="BX2175" s="889"/>
      <c r="CB2175" s="15"/>
      <c r="CC2175" s="697"/>
      <c r="CD2175" s="1086"/>
      <c r="CE2175" s="15"/>
      <c r="CF2175" s="15"/>
      <c r="CG2175" s="936"/>
      <c r="CH2175" s="15"/>
      <c r="CI2175" s="15"/>
      <c r="CJ2175" s="15"/>
      <c r="CK2175" s="1107"/>
      <c r="CL2175" s="22"/>
      <c r="CM2175" s="22"/>
      <c r="CN2175" s="1107"/>
      <c r="CR2175" s="223"/>
      <c r="CS2175" s="952"/>
      <c r="CT2175" s="1066"/>
      <c r="CU2175" s="972"/>
      <c r="CV2175" s="983"/>
      <c r="CW2175" s="222"/>
      <c r="CX2175" s="697"/>
      <c r="DC2175" s="222"/>
      <c r="DJ2175" s="889"/>
      <c r="DM2175" s="890"/>
      <c r="DN2175" s="952"/>
      <c r="DO2175" s="75"/>
      <c r="DP2175" s="962"/>
      <c r="DQ2175" s="983"/>
      <c r="DV2175" s="889"/>
    </row>
    <row r="2176" spans="1:126" s="74" customFormat="1">
      <c r="A2176" s="15"/>
      <c r="B2176" s="15"/>
      <c r="C2176" s="15"/>
      <c r="D2176" s="15"/>
      <c r="E2176" s="6"/>
      <c r="F2176" s="6"/>
      <c r="G2176" s="6"/>
      <c r="K2176" s="222"/>
      <c r="V2176" s="1430"/>
      <c r="AA2176" s="223"/>
      <c r="AC2176" s="889"/>
      <c r="AF2176" s="890"/>
      <c r="AJ2176" s="889"/>
      <c r="AN2176" s="222"/>
      <c r="BC2176" s="223"/>
      <c r="BD2176" s="222"/>
      <c r="BH2176" s="611"/>
      <c r="BJ2176" s="15"/>
      <c r="BK2176" s="15"/>
      <c r="BO2176" s="223"/>
      <c r="BQ2176" s="889"/>
      <c r="BT2176" s="890"/>
      <c r="BX2176" s="889"/>
      <c r="CB2176" s="15"/>
      <c r="CC2176" s="697"/>
      <c r="CD2176" s="1086"/>
      <c r="CE2176" s="15"/>
      <c r="CF2176" s="15"/>
      <c r="CG2176" s="936"/>
      <c r="CH2176" s="15"/>
      <c r="CI2176" s="15"/>
      <c r="CJ2176" s="15"/>
      <c r="CK2176" s="1107"/>
      <c r="CL2176" s="22"/>
      <c r="CM2176" s="22"/>
      <c r="CN2176" s="1107"/>
      <c r="CR2176" s="223"/>
      <c r="CS2176" s="952"/>
      <c r="CT2176" s="1066"/>
      <c r="CU2176" s="972"/>
      <c r="CV2176" s="983"/>
      <c r="CW2176" s="222"/>
      <c r="CX2176" s="697"/>
      <c r="DC2176" s="222"/>
      <c r="DJ2176" s="889"/>
      <c r="DM2176" s="890"/>
      <c r="DN2176" s="952"/>
      <c r="DO2176" s="75"/>
      <c r="DP2176" s="962"/>
      <c r="DQ2176" s="983"/>
      <c r="DV2176" s="889"/>
    </row>
    <row r="2177" spans="1:126" s="74" customFormat="1">
      <c r="A2177" s="15"/>
      <c r="B2177" s="15"/>
      <c r="C2177" s="15"/>
      <c r="D2177" s="15"/>
      <c r="E2177" s="6"/>
      <c r="F2177" s="6"/>
      <c r="G2177" s="6"/>
      <c r="K2177" s="222"/>
      <c r="V2177" s="1430"/>
      <c r="AA2177" s="223"/>
      <c r="AC2177" s="889"/>
      <c r="AF2177" s="890"/>
      <c r="AJ2177" s="889"/>
      <c r="AN2177" s="222"/>
      <c r="BC2177" s="223"/>
      <c r="BD2177" s="222"/>
      <c r="BH2177" s="611"/>
      <c r="BJ2177" s="15"/>
      <c r="BK2177" s="15"/>
      <c r="BO2177" s="223"/>
      <c r="BQ2177" s="889"/>
      <c r="BT2177" s="890"/>
      <c r="BX2177" s="889"/>
      <c r="CB2177" s="15"/>
      <c r="CC2177" s="697"/>
      <c r="CD2177" s="1086"/>
      <c r="CE2177" s="15"/>
      <c r="CF2177" s="15"/>
      <c r="CG2177" s="936"/>
      <c r="CH2177" s="15"/>
      <c r="CI2177" s="15"/>
      <c r="CJ2177" s="15"/>
      <c r="CK2177" s="1107"/>
      <c r="CL2177" s="22"/>
      <c r="CM2177" s="22"/>
      <c r="CN2177" s="1107"/>
      <c r="CR2177" s="223"/>
      <c r="CS2177" s="952"/>
      <c r="CT2177" s="1066"/>
      <c r="CU2177" s="972"/>
      <c r="CV2177" s="983"/>
      <c r="CW2177" s="222"/>
      <c r="CX2177" s="697"/>
      <c r="DC2177" s="222"/>
      <c r="DJ2177" s="889"/>
      <c r="DM2177" s="890"/>
      <c r="DN2177" s="952"/>
      <c r="DO2177" s="75"/>
      <c r="DP2177" s="962"/>
      <c r="DQ2177" s="983"/>
      <c r="DV2177" s="889"/>
    </row>
    <row r="2178" spans="1:126" s="74" customFormat="1">
      <c r="A2178" s="15"/>
      <c r="B2178" s="15"/>
      <c r="C2178" s="15"/>
      <c r="D2178" s="15"/>
      <c r="E2178" s="6"/>
      <c r="F2178" s="6"/>
      <c r="G2178" s="6"/>
      <c r="K2178" s="222"/>
      <c r="V2178" s="1430"/>
      <c r="AA2178" s="223"/>
      <c r="AC2178" s="889"/>
      <c r="AF2178" s="890"/>
      <c r="AJ2178" s="889"/>
      <c r="AN2178" s="222"/>
      <c r="BC2178" s="223"/>
      <c r="BD2178" s="222"/>
      <c r="BH2178" s="611"/>
      <c r="BJ2178" s="15"/>
      <c r="BK2178" s="15"/>
      <c r="BO2178" s="223"/>
      <c r="BQ2178" s="889"/>
      <c r="BT2178" s="890"/>
      <c r="BX2178" s="889"/>
      <c r="CB2178" s="15"/>
      <c r="CC2178" s="697"/>
      <c r="CD2178" s="1086"/>
      <c r="CE2178" s="15"/>
      <c r="CF2178" s="15"/>
      <c r="CG2178" s="936"/>
      <c r="CH2178" s="15"/>
      <c r="CI2178" s="15"/>
      <c r="CJ2178" s="15"/>
      <c r="CK2178" s="1107"/>
      <c r="CL2178" s="22"/>
      <c r="CM2178" s="22"/>
      <c r="CN2178" s="1107"/>
      <c r="CR2178" s="223"/>
      <c r="CS2178" s="952"/>
      <c r="CT2178" s="1066"/>
      <c r="CU2178" s="972"/>
      <c r="CV2178" s="983"/>
      <c r="CW2178" s="222"/>
      <c r="CX2178" s="697"/>
      <c r="DC2178" s="222"/>
      <c r="DJ2178" s="889"/>
      <c r="DM2178" s="890"/>
      <c r="DN2178" s="952"/>
      <c r="DO2178" s="75"/>
      <c r="DP2178" s="962"/>
      <c r="DQ2178" s="983"/>
      <c r="DV2178" s="889"/>
    </row>
    <row r="2179" spans="1:126" s="74" customFormat="1">
      <c r="A2179" s="15"/>
      <c r="B2179" s="15"/>
      <c r="C2179" s="15"/>
      <c r="D2179" s="15"/>
      <c r="E2179" s="6"/>
      <c r="F2179" s="6"/>
      <c r="G2179" s="6"/>
      <c r="K2179" s="222"/>
      <c r="V2179" s="1430"/>
      <c r="AA2179" s="223"/>
      <c r="AC2179" s="889"/>
      <c r="AF2179" s="890"/>
      <c r="AJ2179" s="889"/>
      <c r="AN2179" s="222"/>
      <c r="BC2179" s="223"/>
      <c r="BD2179" s="222"/>
      <c r="BH2179" s="611"/>
      <c r="BJ2179" s="15"/>
      <c r="BK2179" s="15"/>
      <c r="BO2179" s="223"/>
      <c r="BQ2179" s="889"/>
      <c r="BT2179" s="890"/>
      <c r="BX2179" s="889"/>
      <c r="CB2179" s="15"/>
      <c r="CC2179" s="697"/>
      <c r="CD2179" s="1086"/>
      <c r="CE2179" s="15"/>
      <c r="CF2179" s="15"/>
      <c r="CG2179" s="936"/>
      <c r="CH2179" s="15"/>
      <c r="CI2179" s="15"/>
      <c r="CJ2179" s="15"/>
      <c r="CK2179" s="1107"/>
      <c r="CL2179" s="22"/>
      <c r="CM2179" s="22"/>
      <c r="CN2179" s="1107"/>
      <c r="CR2179" s="223"/>
      <c r="CS2179" s="952"/>
      <c r="CT2179" s="1066"/>
      <c r="CU2179" s="972"/>
      <c r="CV2179" s="983"/>
      <c r="CW2179" s="222"/>
      <c r="CX2179" s="697"/>
      <c r="DC2179" s="222"/>
      <c r="DJ2179" s="889"/>
      <c r="DM2179" s="890"/>
      <c r="DN2179" s="952"/>
      <c r="DO2179" s="75"/>
      <c r="DP2179" s="962"/>
      <c r="DQ2179" s="983"/>
      <c r="DV2179" s="889"/>
    </row>
    <row r="2180" spans="1:126" s="74" customFormat="1">
      <c r="A2180" s="15"/>
      <c r="B2180" s="15"/>
      <c r="C2180" s="15"/>
      <c r="D2180" s="15"/>
      <c r="E2180" s="6"/>
      <c r="F2180" s="6"/>
      <c r="G2180" s="6"/>
      <c r="K2180" s="222"/>
      <c r="V2180" s="1430"/>
      <c r="AA2180" s="223"/>
      <c r="AC2180" s="889"/>
      <c r="AF2180" s="890"/>
      <c r="AJ2180" s="889"/>
      <c r="AN2180" s="222"/>
      <c r="BC2180" s="223"/>
      <c r="BD2180" s="222"/>
      <c r="BH2180" s="611"/>
      <c r="BJ2180" s="15"/>
      <c r="BK2180" s="15"/>
      <c r="BO2180" s="223"/>
      <c r="BQ2180" s="889"/>
      <c r="BT2180" s="890"/>
      <c r="BX2180" s="889"/>
      <c r="CB2180" s="15"/>
      <c r="CC2180" s="697"/>
      <c r="CD2180" s="1086"/>
      <c r="CE2180" s="15"/>
      <c r="CF2180" s="15"/>
      <c r="CG2180" s="936"/>
      <c r="CH2180" s="15"/>
      <c r="CI2180" s="15"/>
      <c r="CJ2180" s="15"/>
      <c r="CK2180" s="1107"/>
      <c r="CL2180" s="22"/>
      <c r="CM2180" s="22"/>
      <c r="CN2180" s="1107"/>
      <c r="CR2180" s="223"/>
      <c r="CS2180" s="952"/>
      <c r="CT2180" s="1066"/>
      <c r="CU2180" s="972"/>
      <c r="CV2180" s="983"/>
      <c r="CW2180" s="222"/>
      <c r="CX2180" s="697"/>
      <c r="DC2180" s="222"/>
      <c r="DJ2180" s="889"/>
      <c r="DM2180" s="890"/>
      <c r="DN2180" s="952"/>
      <c r="DO2180" s="75"/>
      <c r="DP2180" s="962"/>
      <c r="DQ2180" s="983"/>
      <c r="DV2180" s="889"/>
    </row>
    <row r="2181" spans="1:126" s="74" customFormat="1">
      <c r="A2181" s="15"/>
      <c r="B2181" s="15"/>
      <c r="C2181" s="15"/>
      <c r="D2181" s="15"/>
      <c r="E2181" s="6"/>
      <c r="F2181" s="6"/>
      <c r="G2181" s="6"/>
      <c r="K2181" s="222"/>
      <c r="V2181" s="1430"/>
      <c r="AA2181" s="223"/>
      <c r="AC2181" s="889"/>
      <c r="AF2181" s="890"/>
      <c r="AJ2181" s="889"/>
      <c r="AN2181" s="222"/>
      <c r="BC2181" s="223"/>
      <c r="BD2181" s="222"/>
      <c r="BH2181" s="611"/>
      <c r="BJ2181" s="15"/>
      <c r="BK2181" s="15"/>
      <c r="BO2181" s="223"/>
      <c r="BQ2181" s="889"/>
      <c r="BT2181" s="890"/>
      <c r="BX2181" s="889"/>
      <c r="CB2181" s="15"/>
      <c r="CC2181" s="697"/>
      <c r="CD2181" s="1086"/>
      <c r="CE2181" s="15"/>
      <c r="CF2181" s="15"/>
      <c r="CG2181" s="936"/>
      <c r="CH2181" s="15"/>
      <c r="CI2181" s="15"/>
      <c r="CJ2181" s="15"/>
      <c r="CK2181" s="1107"/>
      <c r="CL2181" s="22"/>
      <c r="CM2181" s="22"/>
      <c r="CN2181" s="1107"/>
      <c r="CR2181" s="223"/>
      <c r="CS2181" s="952"/>
      <c r="CT2181" s="1066"/>
      <c r="CU2181" s="972"/>
      <c r="CV2181" s="983"/>
      <c r="CW2181" s="222"/>
      <c r="CX2181" s="697"/>
      <c r="DC2181" s="222"/>
      <c r="DJ2181" s="889"/>
      <c r="DM2181" s="890"/>
      <c r="DN2181" s="952"/>
      <c r="DO2181" s="75"/>
      <c r="DP2181" s="962"/>
      <c r="DQ2181" s="983"/>
      <c r="DV2181" s="889"/>
    </row>
    <row r="2182" spans="1:126" s="74" customFormat="1">
      <c r="A2182" s="15"/>
      <c r="B2182" s="15"/>
      <c r="C2182" s="15"/>
      <c r="D2182" s="15"/>
      <c r="E2182" s="6"/>
      <c r="F2182" s="6"/>
      <c r="G2182" s="6"/>
      <c r="K2182" s="222"/>
      <c r="V2182" s="1430"/>
      <c r="AA2182" s="223"/>
      <c r="AC2182" s="889"/>
      <c r="AF2182" s="890"/>
      <c r="AJ2182" s="889"/>
      <c r="AN2182" s="222"/>
      <c r="BC2182" s="223"/>
      <c r="BD2182" s="222"/>
      <c r="BH2182" s="611"/>
      <c r="BJ2182" s="15"/>
      <c r="BK2182" s="15"/>
      <c r="BO2182" s="223"/>
      <c r="BQ2182" s="889"/>
      <c r="BT2182" s="890"/>
      <c r="BX2182" s="889"/>
      <c r="CB2182" s="15"/>
      <c r="CC2182" s="697"/>
      <c r="CD2182" s="1086"/>
      <c r="CE2182" s="15"/>
      <c r="CF2182" s="15"/>
      <c r="CG2182" s="936"/>
      <c r="CH2182" s="15"/>
      <c r="CI2182" s="15"/>
      <c r="CJ2182" s="15"/>
      <c r="CK2182" s="1107"/>
      <c r="CL2182" s="22"/>
      <c r="CM2182" s="22"/>
      <c r="CN2182" s="1107"/>
      <c r="CR2182" s="223"/>
      <c r="CS2182" s="952"/>
      <c r="CT2182" s="1066"/>
      <c r="CU2182" s="972"/>
      <c r="CV2182" s="983"/>
      <c r="CW2182" s="222"/>
      <c r="CX2182" s="697"/>
      <c r="DC2182" s="222"/>
      <c r="DJ2182" s="889"/>
      <c r="DM2182" s="890"/>
      <c r="DN2182" s="952"/>
      <c r="DO2182" s="75"/>
      <c r="DP2182" s="962"/>
      <c r="DQ2182" s="983"/>
      <c r="DV2182" s="889"/>
    </row>
    <row r="2183" spans="1:126" s="74" customFormat="1">
      <c r="A2183" s="15"/>
      <c r="B2183" s="15"/>
      <c r="C2183" s="15"/>
      <c r="D2183" s="15"/>
      <c r="E2183" s="6"/>
      <c r="F2183" s="6"/>
      <c r="G2183" s="6"/>
      <c r="K2183" s="222"/>
      <c r="V2183" s="1430"/>
      <c r="AA2183" s="223"/>
      <c r="AC2183" s="889"/>
      <c r="AF2183" s="890"/>
      <c r="AJ2183" s="889"/>
      <c r="AN2183" s="222"/>
      <c r="BC2183" s="223"/>
      <c r="BD2183" s="222"/>
      <c r="BH2183" s="611"/>
      <c r="BJ2183" s="15"/>
      <c r="BK2183" s="15"/>
      <c r="BO2183" s="223"/>
      <c r="BQ2183" s="889"/>
      <c r="BT2183" s="890"/>
      <c r="BX2183" s="889"/>
      <c r="CB2183" s="15"/>
      <c r="CC2183" s="697"/>
      <c r="CD2183" s="1086"/>
      <c r="CE2183" s="15"/>
      <c r="CF2183" s="15"/>
      <c r="CG2183" s="936"/>
      <c r="CH2183" s="15"/>
      <c r="CI2183" s="15"/>
      <c r="CJ2183" s="15"/>
      <c r="CK2183" s="1107"/>
      <c r="CL2183" s="22"/>
      <c r="CM2183" s="22"/>
      <c r="CN2183" s="1107"/>
      <c r="CR2183" s="223"/>
      <c r="CS2183" s="952"/>
      <c r="CT2183" s="1066"/>
      <c r="CU2183" s="972"/>
      <c r="CV2183" s="983"/>
      <c r="CW2183" s="222"/>
      <c r="CX2183" s="697"/>
      <c r="DC2183" s="222"/>
      <c r="DJ2183" s="889"/>
      <c r="DM2183" s="890"/>
      <c r="DN2183" s="952"/>
      <c r="DO2183" s="75"/>
      <c r="DP2183" s="962"/>
      <c r="DQ2183" s="983"/>
      <c r="DV2183" s="889"/>
    </row>
    <row r="2184" spans="1:126" s="74" customFormat="1">
      <c r="A2184" s="15"/>
      <c r="B2184" s="15"/>
      <c r="C2184" s="15"/>
      <c r="D2184" s="15"/>
      <c r="E2184" s="6"/>
      <c r="F2184" s="6"/>
      <c r="G2184" s="6"/>
      <c r="K2184" s="222"/>
      <c r="V2184" s="1430"/>
      <c r="AA2184" s="223"/>
      <c r="AC2184" s="889"/>
      <c r="AF2184" s="890"/>
      <c r="AJ2184" s="889"/>
      <c r="AN2184" s="222"/>
      <c r="BC2184" s="223"/>
      <c r="BD2184" s="222"/>
      <c r="BH2184" s="611"/>
      <c r="BJ2184" s="15"/>
      <c r="BK2184" s="15"/>
      <c r="BO2184" s="223"/>
      <c r="BQ2184" s="889"/>
      <c r="BT2184" s="890"/>
      <c r="BX2184" s="889"/>
      <c r="CB2184" s="15"/>
      <c r="CC2184" s="697"/>
      <c r="CD2184" s="1086"/>
      <c r="CE2184" s="15"/>
      <c r="CF2184" s="15"/>
      <c r="CG2184" s="936"/>
      <c r="CH2184" s="15"/>
      <c r="CI2184" s="15"/>
      <c r="CJ2184" s="15"/>
      <c r="CK2184" s="1107"/>
      <c r="CL2184" s="22"/>
      <c r="CM2184" s="22"/>
      <c r="CN2184" s="1107"/>
      <c r="CR2184" s="223"/>
      <c r="CS2184" s="952"/>
      <c r="CT2184" s="1066"/>
      <c r="CU2184" s="972"/>
      <c r="CV2184" s="983"/>
      <c r="CW2184" s="222"/>
      <c r="CX2184" s="697"/>
      <c r="DC2184" s="222"/>
      <c r="DJ2184" s="889"/>
      <c r="DM2184" s="890"/>
      <c r="DN2184" s="952"/>
      <c r="DO2184" s="75"/>
      <c r="DP2184" s="962"/>
      <c r="DQ2184" s="983"/>
      <c r="DV2184" s="889"/>
    </row>
    <row r="2185" spans="1:126" s="74" customFormat="1">
      <c r="A2185" s="15"/>
      <c r="B2185" s="15"/>
      <c r="C2185" s="15"/>
      <c r="D2185" s="15"/>
      <c r="E2185" s="6"/>
      <c r="F2185" s="6"/>
      <c r="G2185" s="6"/>
      <c r="K2185" s="222"/>
      <c r="V2185" s="1430"/>
      <c r="AA2185" s="223"/>
      <c r="AC2185" s="889"/>
      <c r="AF2185" s="890"/>
      <c r="AJ2185" s="889"/>
      <c r="AN2185" s="222"/>
      <c r="BC2185" s="223"/>
      <c r="BD2185" s="222"/>
      <c r="BH2185" s="611"/>
      <c r="BJ2185" s="15"/>
      <c r="BK2185" s="15"/>
      <c r="BO2185" s="223"/>
      <c r="BQ2185" s="889"/>
      <c r="BT2185" s="890"/>
      <c r="BX2185" s="889"/>
      <c r="CB2185" s="15"/>
      <c r="CC2185" s="697"/>
      <c r="CD2185" s="1086"/>
      <c r="CE2185" s="15"/>
      <c r="CF2185" s="15"/>
      <c r="CG2185" s="936"/>
      <c r="CH2185" s="15"/>
      <c r="CI2185" s="15"/>
      <c r="CJ2185" s="15"/>
      <c r="CK2185" s="1107"/>
      <c r="CL2185" s="22"/>
      <c r="CM2185" s="22"/>
      <c r="CN2185" s="1107"/>
      <c r="CR2185" s="223"/>
      <c r="CS2185" s="952"/>
      <c r="CT2185" s="1066"/>
      <c r="CU2185" s="972"/>
      <c r="CV2185" s="983"/>
      <c r="CW2185" s="222"/>
      <c r="CX2185" s="697"/>
      <c r="DC2185" s="222"/>
      <c r="DJ2185" s="889"/>
      <c r="DM2185" s="890"/>
      <c r="DN2185" s="952"/>
      <c r="DO2185" s="75"/>
      <c r="DP2185" s="962"/>
      <c r="DQ2185" s="983"/>
      <c r="DV2185" s="889"/>
    </row>
    <row r="2186" spans="1:126" s="74" customFormat="1">
      <c r="A2186" s="15"/>
      <c r="B2186" s="15"/>
      <c r="C2186" s="15"/>
      <c r="D2186" s="15"/>
      <c r="E2186" s="6"/>
      <c r="F2186" s="6"/>
      <c r="G2186" s="6"/>
      <c r="K2186" s="222"/>
      <c r="V2186" s="1430"/>
      <c r="AA2186" s="223"/>
      <c r="AC2186" s="889"/>
      <c r="AF2186" s="890"/>
      <c r="AJ2186" s="889"/>
      <c r="AN2186" s="222"/>
      <c r="BC2186" s="223"/>
      <c r="BD2186" s="222"/>
      <c r="BH2186" s="611"/>
      <c r="BJ2186" s="15"/>
      <c r="BK2186" s="15"/>
      <c r="BO2186" s="223"/>
      <c r="BQ2186" s="889"/>
      <c r="BT2186" s="890"/>
      <c r="BX2186" s="889"/>
      <c r="CB2186" s="15"/>
      <c r="CC2186" s="697"/>
      <c r="CD2186" s="1086"/>
      <c r="CE2186" s="15"/>
      <c r="CF2186" s="15"/>
      <c r="CG2186" s="936"/>
      <c r="CH2186" s="15"/>
      <c r="CI2186" s="15"/>
      <c r="CJ2186" s="15"/>
      <c r="CK2186" s="1107"/>
      <c r="CL2186" s="22"/>
      <c r="CM2186" s="22"/>
      <c r="CN2186" s="1107"/>
      <c r="CR2186" s="223"/>
      <c r="CS2186" s="952"/>
      <c r="CT2186" s="1066"/>
      <c r="CU2186" s="972"/>
      <c r="CV2186" s="983"/>
      <c r="CW2186" s="222"/>
      <c r="CX2186" s="697"/>
      <c r="DC2186" s="222"/>
      <c r="DJ2186" s="889"/>
      <c r="DM2186" s="890"/>
      <c r="DN2186" s="952"/>
      <c r="DO2186" s="75"/>
      <c r="DP2186" s="962"/>
      <c r="DQ2186" s="983"/>
      <c r="DV2186" s="889"/>
    </row>
    <row r="2187" spans="1:126" s="74" customFormat="1">
      <c r="A2187" s="15"/>
      <c r="B2187" s="15"/>
      <c r="C2187" s="15"/>
      <c r="D2187" s="15"/>
      <c r="E2187" s="6"/>
      <c r="F2187" s="6"/>
      <c r="G2187" s="6"/>
      <c r="K2187" s="222"/>
      <c r="V2187" s="1430"/>
      <c r="AA2187" s="223"/>
      <c r="AC2187" s="889"/>
      <c r="AF2187" s="890"/>
      <c r="AJ2187" s="889"/>
      <c r="AN2187" s="222"/>
      <c r="BC2187" s="223"/>
      <c r="BD2187" s="222"/>
      <c r="BH2187" s="611"/>
      <c r="BJ2187" s="15"/>
      <c r="BK2187" s="15"/>
      <c r="BO2187" s="223"/>
      <c r="BQ2187" s="889"/>
      <c r="BT2187" s="890"/>
      <c r="BX2187" s="889"/>
      <c r="CB2187" s="15"/>
      <c r="CC2187" s="697"/>
      <c r="CD2187" s="1086"/>
      <c r="CE2187" s="15"/>
      <c r="CF2187" s="15"/>
      <c r="CG2187" s="936"/>
      <c r="CH2187" s="15"/>
      <c r="CI2187" s="15"/>
      <c r="CJ2187" s="15"/>
      <c r="CK2187" s="1107"/>
      <c r="CL2187" s="22"/>
      <c r="CM2187" s="22"/>
      <c r="CN2187" s="1107"/>
      <c r="CR2187" s="223"/>
      <c r="CS2187" s="952"/>
      <c r="CT2187" s="1066"/>
      <c r="CU2187" s="972"/>
      <c r="CV2187" s="983"/>
      <c r="CW2187" s="222"/>
      <c r="CX2187" s="697"/>
      <c r="DC2187" s="222"/>
      <c r="DJ2187" s="889"/>
      <c r="DM2187" s="890"/>
      <c r="DN2187" s="952"/>
      <c r="DO2187" s="75"/>
      <c r="DP2187" s="962"/>
      <c r="DQ2187" s="983"/>
      <c r="DV2187" s="889"/>
    </row>
    <row r="2188" spans="1:126" s="74" customFormat="1">
      <c r="A2188" s="15"/>
      <c r="B2188" s="15"/>
      <c r="C2188" s="15"/>
      <c r="D2188" s="15"/>
      <c r="E2188" s="6"/>
      <c r="F2188" s="6"/>
      <c r="G2188" s="6"/>
      <c r="K2188" s="222"/>
      <c r="V2188" s="1430"/>
      <c r="AA2188" s="223"/>
      <c r="AC2188" s="889"/>
      <c r="AF2188" s="890"/>
      <c r="AJ2188" s="889"/>
      <c r="AN2188" s="222"/>
      <c r="BC2188" s="223"/>
      <c r="BD2188" s="222"/>
      <c r="BH2188" s="611"/>
      <c r="BJ2188" s="15"/>
      <c r="BK2188" s="15"/>
      <c r="BO2188" s="223"/>
      <c r="BQ2188" s="889"/>
      <c r="BT2188" s="890"/>
      <c r="BX2188" s="889"/>
      <c r="CB2188" s="15"/>
      <c r="CC2188" s="697"/>
      <c r="CD2188" s="1086"/>
      <c r="CE2188" s="15"/>
      <c r="CF2188" s="15"/>
      <c r="CG2188" s="936"/>
      <c r="CH2188" s="15"/>
      <c r="CI2188" s="15"/>
      <c r="CJ2188" s="15"/>
      <c r="CK2188" s="1107"/>
      <c r="CL2188" s="22"/>
      <c r="CM2188" s="22"/>
      <c r="CN2188" s="1107"/>
      <c r="CR2188" s="223"/>
      <c r="CS2188" s="952"/>
      <c r="CT2188" s="1066"/>
      <c r="CU2188" s="972"/>
      <c r="CV2188" s="983"/>
      <c r="CW2188" s="222"/>
      <c r="CX2188" s="697"/>
      <c r="DC2188" s="222"/>
      <c r="DJ2188" s="889"/>
      <c r="DM2188" s="890"/>
      <c r="DN2188" s="952"/>
      <c r="DO2188" s="75"/>
      <c r="DP2188" s="962"/>
      <c r="DQ2188" s="983"/>
      <c r="DV2188" s="889"/>
    </row>
    <row r="2189" spans="1:126" s="74" customFormat="1">
      <c r="A2189" s="15"/>
      <c r="B2189" s="15"/>
      <c r="C2189" s="15"/>
      <c r="D2189" s="15"/>
      <c r="E2189" s="6"/>
      <c r="F2189" s="6"/>
      <c r="G2189" s="6"/>
      <c r="K2189" s="222"/>
      <c r="V2189" s="1430"/>
      <c r="AA2189" s="223"/>
      <c r="AC2189" s="889"/>
      <c r="AF2189" s="890"/>
      <c r="AJ2189" s="889"/>
      <c r="AN2189" s="222"/>
      <c r="BC2189" s="223"/>
      <c r="BD2189" s="222"/>
      <c r="BH2189" s="611"/>
      <c r="BJ2189" s="15"/>
      <c r="BK2189" s="15"/>
      <c r="BO2189" s="223"/>
      <c r="BQ2189" s="889"/>
      <c r="BT2189" s="890"/>
      <c r="BX2189" s="889"/>
      <c r="CB2189" s="15"/>
      <c r="CC2189" s="697"/>
      <c r="CD2189" s="1086"/>
      <c r="CE2189" s="15"/>
      <c r="CF2189" s="15"/>
      <c r="CG2189" s="936"/>
      <c r="CH2189" s="15"/>
      <c r="CI2189" s="15"/>
      <c r="CJ2189" s="15"/>
      <c r="CK2189" s="1107"/>
      <c r="CL2189" s="22"/>
      <c r="CM2189" s="22"/>
      <c r="CN2189" s="1107"/>
      <c r="CR2189" s="223"/>
      <c r="CS2189" s="952"/>
      <c r="CT2189" s="1066"/>
      <c r="CU2189" s="972"/>
      <c r="CV2189" s="983"/>
      <c r="CW2189" s="222"/>
      <c r="CX2189" s="697"/>
      <c r="DC2189" s="222"/>
      <c r="DJ2189" s="889"/>
      <c r="DM2189" s="890"/>
      <c r="DN2189" s="952"/>
      <c r="DO2189" s="75"/>
      <c r="DP2189" s="962"/>
      <c r="DQ2189" s="983"/>
      <c r="DV2189" s="889"/>
    </row>
    <row r="2190" spans="1:126" s="74" customFormat="1">
      <c r="A2190" s="15"/>
      <c r="B2190" s="15"/>
      <c r="C2190" s="15"/>
      <c r="D2190" s="15"/>
      <c r="E2190" s="6"/>
      <c r="F2190" s="6"/>
      <c r="G2190" s="6"/>
      <c r="K2190" s="222"/>
      <c r="V2190" s="1430"/>
      <c r="AA2190" s="223"/>
      <c r="AC2190" s="889"/>
      <c r="AF2190" s="890"/>
      <c r="AJ2190" s="889"/>
      <c r="AN2190" s="222"/>
      <c r="BC2190" s="223"/>
      <c r="BD2190" s="222"/>
      <c r="BH2190" s="611"/>
      <c r="BJ2190" s="15"/>
      <c r="BK2190" s="15"/>
      <c r="BO2190" s="223"/>
      <c r="BQ2190" s="889"/>
      <c r="BT2190" s="890"/>
      <c r="BX2190" s="889"/>
      <c r="CB2190" s="15"/>
      <c r="CC2190" s="697"/>
      <c r="CD2190" s="1086"/>
      <c r="CE2190" s="15"/>
      <c r="CF2190" s="15"/>
      <c r="CG2190" s="936"/>
      <c r="CH2190" s="15"/>
      <c r="CI2190" s="15"/>
      <c r="CJ2190" s="15"/>
      <c r="CK2190" s="1107"/>
      <c r="CL2190" s="22"/>
      <c r="CM2190" s="22"/>
      <c r="CN2190" s="1107"/>
      <c r="CR2190" s="223"/>
      <c r="CS2190" s="952"/>
      <c r="CT2190" s="1066"/>
      <c r="CU2190" s="972"/>
      <c r="CV2190" s="983"/>
      <c r="CW2190" s="222"/>
      <c r="CX2190" s="697"/>
      <c r="DC2190" s="222"/>
      <c r="DJ2190" s="889"/>
      <c r="DM2190" s="890"/>
      <c r="DN2190" s="952"/>
      <c r="DO2190" s="75"/>
      <c r="DP2190" s="962"/>
      <c r="DQ2190" s="983"/>
      <c r="DV2190" s="889"/>
    </row>
    <row r="2191" spans="1:126" s="74" customFormat="1">
      <c r="A2191" s="15"/>
      <c r="B2191" s="15"/>
      <c r="C2191" s="15"/>
      <c r="D2191" s="15"/>
      <c r="E2191" s="6"/>
      <c r="F2191" s="6"/>
      <c r="G2191" s="6"/>
      <c r="K2191" s="222"/>
      <c r="V2191" s="1430"/>
      <c r="AA2191" s="223"/>
      <c r="AC2191" s="889"/>
      <c r="AF2191" s="890"/>
      <c r="AJ2191" s="889"/>
      <c r="AN2191" s="222"/>
      <c r="BC2191" s="223"/>
      <c r="BD2191" s="222"/>
      <c r="BH2191" s="611"/>
      <c r="BJ2191" s="15"/>
      <c r="BK2191" s="15"/>
      <c r="BO2191" s="223"/>
      <c r="BQ2191" s="889"/>
      <c r="BT2191" s="890"/>
      <c r="BX2191" s="889"/>
      <c r="CB2191" s="15"/>
      <c r="CC2191" s="697"/>
      <c r="CD2191" s="1086"/>
      <c r="CE2191" s="15"/>
      <c r="CF2191" s="15"/>
      <c r="CG2191" s="936"/>
      <c r="CH2191" s="15"/>
      <c r="CI2191" s="15"/>
      <c r="CJ2191" s="15"/>
      <c r="CK2191" s="1107"/>
      <c r="CL2191" s="22"/>
      <c r="CM2191" s="22"/>
      <c r="CN2191" s="1107"/>
      <c r="CR2191" s="223"/>
      <c r="CS2191" s="952"/>
      <c r="CT2191" s="1066"/>
      <c r="CU2191" s="972"/>
      <c r="CV2191" s="983"/>
      <c r="CW2191" s="222"/>
      <c r="CX2191" s="697"/>
      <c r="DC2191" s="222"/>
      <c r="DJ2191" s="889"/>
      <c r="DM2191" s="890"/>
      <c r="DN2191" s="952"/>
      <c r="DO2191" s="75"/>
      <c r="DP2191" s="962"/>
      <c r="DQ2191" s="983"/>
      <c r="DV2191" s="889"/>
    </row>
    <row r="2192" spans="1:126" s="74" customFormat="1">
      <c r="A2192" s="15"/>
      <c r="B2192" s="15"/>
      <c r="C2192" s="15"/>
      <c r="D2192" s="15"/>
      <c r="E2192" s="6"/>
      <c r="F2192" s="6"/>
      <c r="G2192" s="6"/>
      <c r="K2192" s="222"/>
      <c r="V2192" s="1430"/>
      <c r="AA2192" s="223"/>
      <c r="AC2192" s="889"/>
      <c r="AF2192" s="890"/>
      <c r="AJ2192" s="889"/>
      <c r="AN2192" s="222"/>
      <c r="BC2192" s="223"/>
      <c r="BD2192" s="222"/>
      <c r="BH2192" s="611"/>
      <c r="BJ2192" s="15"/>
      <c r="BK2192" s="15"/>
      <c r="BO2192" s="223"/>
      <c r="BQ2192" s="889"/>
      <c r="BT2192" s="890"/>
      <c r="BX2192" s="889"/>
      <c r="CB2192" s="15"/>
      <c r="CC2192" s="697"/>
      <c r="CD2192" s="1086"/>
      <c r="CE2192" s="15"/>
      <c r="CF2192" s="15"/>
      <c r="CG2192" s="936"/>
      <c r="CH2192" s="15"/>
      <c r="CI2192" s="15"/>
      <c r="CJ2192" s="15"/>
      <c r="CK2192" s="1107"/>
      <c r="CL2192" s="22"/>
      <c r="CM2192" s="22"/>
      <c r="CN2192" s="1107"/>
      <c r="CR2192" s="223"/>
      <c r="CS2192" s="952"/>
      <c r="CT2192" s="1066"/>
      <c r="CU2192" s="972"/>
      <c r="CV2192" s="983"/>
      <c r="CW2192" s="222"/>
      <c r="CX2192" s="697"/>
      <c r="DC2192" s="222"/>
      <c r="DJ2192" s="889"/>
      <c r="DM2192" s="890"/>
      <c r="DN2192" s="952"/>
      <c r="DO2192" s="75"/>
      <c r="DP2192" s="962"/>
      <c r="DQ2192" s="983"/>
      <c r="DV2192" s="889"/>
    </row>
    <row r="2193" spans="1:126" s="74" customFormat="1">
      <c r="A2193" s="15"/>
      <c r="B2193" s="15"/>
      <c r="C2193" s="15"/>
      <c r="D2193" s="15"/>
      <c r="E2193" s="6"/>
      <c r="F2193" s="6"/>
      <c r="G2193" s="6"/>
      <c r="K2193" s="222"/>
      <c r="V2193" s="1430"/>
      <c r="AA2193" s="223"/>
      <c r="AC2193" s="889"/>
      <c r="AF2193" s="890"/>
      <c r="AJ2193" s="889"/>
      <c r="AN2193" s="222"/>
      <c r="BC2193" s="223"/>
      <c r="BD2193" s="222"/>
      <c r="BH2193" s="611"/>
      <c r="BJ2193" s="15"/>
      <c r="BK2193" s="15"/>
      <c r="BO2193" s="223"/>
      <c r="BQ2193" s="889"/>
      <c r="BT2193" s="890"/>
      <c r="BX2193" s="889"/>
      <c r="CB2193" s="15"/>
      <c r="CC2193" s="697"/>
      <c r="CD2193" s="1086"/>
      <c r="CE2193" s="15"/>
      <c r="CF2193" s="15"/>
      <c r="CG2193" s="936"/>
      <c r="CH2193" s="15"/>
      <c r="CI2193" s="15"/>
      <c r="CJ2193" s="15"/>
      <c r="CK2193" s="1107"/>
      <c r="CL2193" s="22"/>
      <c r="CM2193" s="22"/>
      <c r="CN2193" s="1107"/>
      <c r="CR2193" s="223"/>
      <c r="CS2193" s="952"/>
      <c r="CT2193" s="1066"/>
      <c r="CU2193" s="972"/>
      <c r="CV2193" s="983"/>
      <c r="CW2193" s="222"/>
      <c r="CX2193" s="697"/>
      <c r="DC2193" s="222"/>
      <c r="DJ2193" s="889"/>
      <c r="DM2193" s="890"/>
      <c r="DN2193" s="952"/>
      <c r="DO2193" s="75"/>
      <c r="DP2193" s="962"/>
      <c r="DQ2193" s="983"/>
      <c r="DV2193" s="889"/>
    </row>
    <row r="2194" spans="1:126" s="74" customFormat="1">
      <c r="A2194" s="15"/>
      <c r="B2194" s="15"/>
      <c r="C2194" s="15"/>
      <c r="D2194" s="15"/>
      <c r="E2194" s="6"/>
      <c r="F2194" s="6"/>
      <c r="G2194" s="6"/>
      <c r="K2194" s="222"/>
      <c r="V2194" s="1430"/>
      <c r="AA2194" s="223"/>
      <c r="AC2194" s="889"/>
      <c r="AF2194" s="890"/>
      <c r="AJ2194" s="889"/>
      <c r="AN2194" s="222"/>
      <c r="BC2194" s="223"/>
      <c r="BD2194" s="222"/>
      <c r="BH2194" s="611"/>
      <c r="BJ2194" s="15"/>
      <c r="BK2194" s="15"/>
      <c r="BO2194" s="223"/>
      <c r="BQ2194" s="889"/>
      <c r="BT2194" s="890"/>
      <c r="BX2194" s="889"/>
      <c r="CB2194" s="15"/>
      <c r="CC2194" s="697"/>
      <c r="CD2194" s="1086"/>
      <c r="CE2194" s="15"/>
      <c r="CF2194" s="15"/>
      <c r="CG2194" s="936"/>
      <c r="CH2194" s="15"/>
      <c r="CI2194" s="15"/>
      <c r="CJ2194" s="15"/>
      <c r="CK2194" s="1107"/>
      <c r="CL2194" s="22"/>
      <c r="CM2194" s="22"/>
      <c r="CN2194" s="1107"/>
      <c r="CR2194" s="223"/>
      <c r="CS2194" s="952"/>
      <c r="CT2194" s="1066"/>
      <c r="CU2194" s="972"/>
      <c r="CV2194" s="983"/>
      <c r="CW2194" s="222"/>
      <c r="CX2194" s="697"/>
      <c r="DC2194" s="222"/>
      <c r="DJ2194" s="889"/>
      <c r="DM2194" s="890"/>
      <c r="DN2194" s="952"/>
      <c r="DO2194" s="75"/>
      <c r="DP2194" s="962"/>
      <c r="DQ2194" s="983"/>
      <c r="DV2194" s="889"/>
    </row>
    <row r="2195" spans="1:126" s="74" customFormat="1">
      <c r="A2195" s="15"/>
      <c r="B2195" s="15"/>
      <c r="C2195" s="15"/>
      <c r="D2195" s="15"/>
      <c r="E2195" s="6"/>
      <c r="F2195" s="6"/>
      <c r="G2195" s="6"/>
      <c r="K2195" s="222"/>
      <c r="V2195" s="1430"/>
      <c r="AA2195" s="223"/>
      <c r="AC2195" s="889"/>
      <c r="AF2195" s="890"/>
      <c r="AJ2195" s="889"/>
      <c r="AN2195" s="222"/>
      <c r="BC2195" s="223"/>
      <c r="BD2195" s="222"/>
      <c r="BH2195" s="611"/>
      <c r="BJ2195" s="15"/>
      <c r="BK2195" s="15"/>
      <c r="BO2195" s="223"/>
      <c r="BQ2195" s="889"/>
      <c r="BT2195" s="890"/>
      <c r="BX2195" s="889"/>
      <c r="CB2195" s="15"/>
      <c r="CC2195" s="697"/>
      <c r="CD2195" s="1086"/>
      <c r="CE2195" s="15"/>
      <c r="CF2195" s="15"/>
      <c r="CG2195" s="936"/>
      <c r="CH2195" s="15"/>
      <c r="CI2195" s="15"/>
      <c r="CJ2195" s="15"/>
      <c r="CK2195" s="1107"/>
      <c r="CL2195" s="22"/>
      <c r="CM2195" s="22"/>
      <c r="CN2195" s="1107"/>
      <c r="CR2195" s="223"/>
      <c r="CS2195" s="952"/>
      <c r="CT2195" s="1066"/>
      <c r="CU2195" s="972"/>
      <c r="CV2195" s="983"/>
      <c r="CW2195" s="222"/>
      <c r="CX2195" s="697"/>
      <c r="DC2195" s="222"/>
      <c r="DJ2195" s="889"/>
      <c r="DM2195" s="890"/>
      <c r="DN2195" s="952"/>
      <c r="DO2195" s="75"/>
      <c r="DP2195" s="962"/>
      <c r="DQ2195" s="983"/>
      <c r="DV2195" s="889"/>
    </row>
    <row r="2196" spans="1:126" s="74" customFormat="1">
      <c r="A2196" s="15"/>
      <c r="B2196" s="15"/>
      <c r="C2196" s="15"/>
      <c r="D2196" s="15"/>
      <c r="E2196" s="6"/>
      <c r="F2196" s="6"/>
      <c r="G2196" s="6"/>
      <c r="K2196" s="222"/>
      <c r="V2196" s="1430"/>
      <c r="AA2196" s="223"/>
      <c r="AC2196" s="889"/>
      <c r="AF2196" s="890"/>
      <c r="AJ2196" s="889"/>
      <c r="AN2196" s="222"/>
      <c r="BC2196" s="223"/>
      <c r="BD2196" s="222"/>
      <c r="BH2196" s="611"/>
      <c r="BJ2196" s="15"/>
      <c r="BK2196" s="15"/>
      <c r="BO2196" s="223"/>
      <c r="BQ2196" s="889"/>
      <c r="BT2196" s="890"/>
      <c r="BX2196" s="889"/>
      <c r="CB2196" s="15"/>
      <c r="CC2196" s="697"/>
      <c r="CD2196" s="1086"/>
      <c r="CE2196" s="15"/>
      <c r="CF2196" s="15"/>
      <c r="CG2196" s="936"/>
      <c r="CH2196" s="15"/>
      <c r="CI2196" s="15"/>
      <c r="CJ2196" s="15"/>
      <c r="CK2196" s="1107"/>
      <c r="CL2196" s="22"/>
      <c r="CM2196" s="22"/>
      <c r="CN2196" s="1107"/>
      <c r="CR2196" s="223"/>
      <c r="CS2196" s="952"/>
      <c r="CT2196" s="1066"/>
      <c r="CU2196" s="972"/>
      <c r="CV2196" s="983"/>
      <c r="CW2196" s="222"/>
      <c r="CX2196" s="697"/>
      <c r="DC2196" s="222"/>
      <c r="DJ2196" s="889"/>
      <c r="DM2196" s="890"/>
      <c r="DN2196" s="952"/>
      <c r="DO2196" s="75"/>
      <c r="DP2196" s="962"/>
      <c r="DQ2196" s="983"/>
      <c r="DV2196" s="889"/>
    </row>
    <row r="2197" spans="1:126" s="74" customFormat="1">
      <c r="A2197" s="15"/>
      <c r="B2197" s="15"/>
      <c r="C2197" s="15"/>
      <c r="D2197" s="15"/>
      <c r="E2197" s="6"/>
      <c r="F2197" s="6"/>
      <c r="G2197" s="6"/>
      <c r="K2197" s="222"/>
      <c r="V2197" s="1430"/>
      <c r="AA2197" s="223"/>
      <c r="AC2197" s="889"/>
      <c r="AF2197" s="890"/>
      <c r="AJ2197" s="889"/>
      <c r="AN2197" s="222"/>
      <c r="BC2197" s="223"/>
      <c r="BD2197" s="222"/>
      <c r="BH2197" s="611"/>
      <c r="BJ2197" s="15"/>
      <c r="BK2197" s="15"/>
      <c r="BO2197" s="223"/>
      <c r="BQ2197" s="889"/>
      <c r="BT2197" s="890"/>
      <c r="BX2197" s="889"/>
      <c r="CB2197" s="15"/>
      <c r="CC2197" s="697"/>
      <c r="CD2197" s="1086"/>
      <c r="CE2197" s="15"/>
      <c r="CF2197" s="15"/>
      <c r="CG2197" s="936"/>
      <c r="CH2197" s="15"/>
      <c r="CI2197" s="15"/>
      <c r="CJ2197" s="15"/>
      <c r="CK2197" s="1107"/>
      <c r="CL2197" s="22"/>
      <c r="CM2197" s="22"/>
      <c r="CN2197" s="1107"/>
      <c r="CR2197" s="223"/>
      <c r="CS2197" s="952"/>
      <c r="CT2197" s="1066"/>
      <c r="CU2197" s="972"/>
      <c r="CV2197" s="983"/>
      <c r="CW2197" s="222"/>
      <c r="CX2197" s="697"/>
      <c r="DC2197" s="222"/>
      <c r="DJ2197" s="889"/>
      <c r="DM2197" s="890"/>
      <c r="DN2197" s="952"/>
      <c r="DO2197" s="75"/>
      <c r="DP2197" s="962"/>
      <c r="DQ2197" s="983"/>
      <c r="DV2197" s="889"/>
    </row>
    <row r="2198" spans="1:126" s="74" customFormat="1">
      <c r="A2198" s="15"/>
      <c r="B2198" s="15"/>
      <c r="C2198" s="15"/>
      <c r="D2198" s="15"/>
      <c r="E2198" s="6"/>
      <c r="F2198" s="6"/>
      <c r="G2198" s="6"/>
      <c r="K2198" s="222"/>
      <c r="V2198" s="1430"/>
      <c r="AA2198" s="223"/>
      <c r="AC2198" s="889"/>
      <c r="AF2198" s="890"/>
      <c r="AJ2198" s="889"/>
      <c r="AN2198" s="222"/>
      <c r="BC2198" s="223"/>
      <c r="BD2198" s="222"/>
      <c r="BH2198" s="611"/>
      <c r="BJ2198" s="15"/>
      <c r="BK2198" s="15"/>
      <c r="BO2198" s="223"/>
      <c r="BQ2198" s="889"/>
      <c r="BT2198" s="890"/>
      <c r="BX2198" s="889"/>
      <c r="CB2198" s="15"/>
      <c r="CC2198" s="697"/>
      <c r="CD2198" s="1086"/>
      <c r="CE2198" s="15"/>
      <c r="CF2198" s="15"/>
      <c r="CG2198" s="936"/>
      <c r="CH2198" s="15"/>
      <c r="CI2198" s="15"/>
      <c r="CJ2198" s="15"/>
      <c r="CK2198" s="1107"/>
      <c r="CL2198" s="22"/>
      <c r="CM2198" s="22"/>
      <c r="CN2198" s="1107"/>
      <c r="CR2198" s="223"/>
      <c r="CS2198" s="952"/>
      <c r="CT2198" s="1066"/>
      <c r="CU2198" s="972"/>
      <c r="CV2198" s="983"/>
      <c r="CW2198" s="222"/>
      <c r="CX2198" s="697"/>
      <c r="DC2198" s="222"/>
      <c r="DJ2198" s="889"/>
      <c r="DM2198" s="890"/>
      <c r="DN2198" s="952"/>
      <c r="DO2198" s="75"/>
      <c r="DP2198" s="962"/>
      <c r="DQ2198" s="983"/>
      <c r="DV2198" s="889"/>
    </row>
    <row r="2199" spans="1:126" s="74" customFormat="1">
      <c r="A2199" s="15"/>
      <c r="B2199" s="15"/>
      <c r="C2199" s="15"/>
      <c r="D2199" s="15"/>
      <c r="E2199" s="6"/>
      <c r="F2199" s="6"/>
      <c r="G2199" s="6"/>
      <c r="K2199" s="222"/>
      <c r="V2199" s="1430"/>
      <c r="AA2199" s="223"/>
      <c r="AC2199" s="889"/>
      <c r="AF2199" s="890"/>
      <c r="AJ2199" s="889"/>
      <c r="AN2199" s="222"/>
      <c r="BC2199" s="223"/>
      <c r="BD2199" s="222"/>
      <c r="BH2199" s="611"/>
      <c r="BJ2199" s="15"/>
      <c r="BK2199" s="15"/>
      <c r="BO2199" s="223"/>
      <c r="BQ2199" s="889"/>
      <c r="BT2199" s="890"/>
      <c r="BX2199" s="889"/>
      <c r="CB2199" s="15"/>
      <c r="CC2199" s="697"/>
      <c r="CD2199" s="1086"/>
      <c r="CE2199" s="15"/>
      <c r="CF2199" s="15"/>
      <c r="CG2199" s="936"/>
      <c r="CH2199" s="15"/>
      <c r="CI2199" s="15"/>
      <c r="CJ2199" s="15"/>
      <c r="CK2199" s="1107"/>
      <c r="CL2199" s="22"/>
      <c r="CM2199" s="22"/>
      <c r="CN2199" s="1107"/>
      <c r="CR2199" s="223"/>
      <c r="CS2199" s="952"/>
      <c r="CT2199" s="1066"/>
      <c r="CU2199" s="972"/>
      <c r="CV2199" s="983"/>
      <c r="CW2199" s="222"/>
      <c r="CX2199" s="697"/>
      <c r="DC2199" s="222"/>
      <c r="DJ2199" s="889"/>
      <c r="DM2199" s="890"/>
      <c r="DN2199" s="952"/>
      <c r="DO2199" s="75"/>
      <c r="DP2199" s="962"/>
      <c r="DQ2199" s="983"/>
      <c r="DV2199" s="889"/>
    </row>
    <row r="2200" spans="1:126" s="74" customFormat="1">
      <c r="A2200" s="15"/>
      <c r="B2200" s="15"/>
      <c r="C2200" s="15"/>
      <c r="D2200" s="15"/>
      <c r="E2200" s="6"/>
      <c r="F2200" s="6"/>
      <c r="G2200" s="6"/>
      <c r="K2200" s="222"/>
      <c r="V2200" s="1430"/>
      <c r="AA2200" s="223"/>
      <c r="AC2200" s="889"/>
      <c r="AF2200" s="890"/>
      <c r="AJ2200" s="889"/>
      <c r="AN2200" s="222"/>
      <c r="BC2200" s="223"/>
      <c r="BD2200" s="222"/>
      <c r="BH2200" s="611"/>
      <c r="BJ2200" s="15"/>
      <c r="BK2200" s="15"/>
      <c r="BO2200" s="223"/>
      <c r="BQ2200" s="889"/>
      <c r="BT2200" s="890"/>
      <c r="BX2200" s="889"/>
      <c r="CB2200" s="15"/>
      <c r="CC2200" s="697"/>
      <c r="CD2200" s="1086"/>
      <c r="CE2200" s="15"/>
      <c r="CF2200" s="15"/>
      <c r="CG2200" s="936"/>
      <c r="CH2200" s="15"/>
      <c r="CI2200" s="15"/>
      <c r="CJ2200" s="15"/>
      <c r="CK2200" s="1107"/>
      <c r="CL2200" s="22"/>
      <c r="CM2200" s="22"/>
      <c r="CN2200" s="1107"/>
      <c r="CR2200" s="223"/>
      <c r="CS2200" s="952"/>
      <c r="CT2200" s="1066"/>
      <c r="CU2200" s="972"/>
      <c r="CV2200" s="983"/>
      <c r="CW2200" s="222"/>
      <c r="CX2200" s="697"/>
      <c r="DC2200" s="222"/>
      <c r="DJ2200" s="889"/>
      <c r="DM2200" s="890"/>
      <c r="DN2200" s="952"/>
      <c r="DO2200" s="75"/>
      <c r="DP2200" s="962"/>
      <c r="DQ2200" s="983"/>
      <c r="DV2200" s="889"/>
    </row>
    <row r="2201" spans="1:126" s="74" customFormat="1">
      <c r="A2201" s="15"/>
      <c r="B2201" s="15"/>
      <c r="C2201" s="15"/>
      <c r="D2201" s="15"/>
      <c r="E2201" s="6"/>
      <c r="F2201" s="6"/>
      <c r="G2201" s="6"/>
      <c r="K2201" s="222"/>
      <c r="V2201" s="1430"/>
      <c r="AA2201" s="223"/>
      <c r="AC2201" s="889"/>
      <c r="AF2201" s="890"/>
      <c r="AJ2201" s="889"/>
      <c r="AN2201" s="222"/>
      <c r="BC2201" s="223"/>
      <c r="BD2201" s="222"/>
      <c r="BH2201" s="611"/>
      <c r="BJ2201" s="15"/>
      <c r="BK2201" s="15"/>
      <c r="BO2201" s="223"/>
      <c r="BQ2201" s="889"/>
      <c r="BT2201" s="890"/>
      <c r="BX2201" s="889"/>
      <c r="CB2201" s="15"/>
      <c r="CC2201" s="697"/>
      <c r="CD2201" s="1086"/>
      <c r="CE2201" s="15"/>
      <c r="CF2201" s="15"/>
      <c r="CG2201" s="936"/>
      <c r="CH2201" s="15"/>
      <c r="CI2201" s="15"/>
      <c r="CJ2201" s="15"/>
      <c r="CK2201" s="1107"/>
      <c r="CL2201" s="22"/>
      <c r="CM2201" s="22"/>
      <c r="CN2201" s="1107"/>
      <c r="CR2201" s="223"/>
      <c r="CS2201" s="952"/>
      <c r="CT2201" s="1066"/>
      <c r="CU2201" s="972"/>
      <c r="CV2201" s="983"/>
      <c r="CW2201" s="222"/>
      <c r="CX2201" s="697"/>
      <c r="DC2201" s="222"/>
      <c r="DJ2201" s="889"/>
      <c r="DM2201" s="890"/>
      <c r="DN2201" s="952"/>
      <c r="DO2201" s="75"/>
      <c r="DP2201" s="962"/>
      <c r="DQ2201" s="983"/>
      <c r="DV2201" s="889"/>
    </row>
    <row r="2202" spans="1:126" s="74" customFormat="1">
      <c r="A2202" s="15"/>
      <c r="B2202" s="15"/>
      <c r="C2202" s="15"/>
      <c r="D2202" s="15"/>
      <c r="E2202" s="6"/>
      <c r="F2202" s="6"/>
      <c r="G2202" s="6"/>
      <c r="K2202" s="222"/>
      <c r="V2202" s="1430"/>
      <c r="AA2202" s="223"/>
      <c r="AC2202" s="889"/>
      <c r="AF2202" s="890"/>
      <c r="AJ2202" s="889"/>
      <c r="AN2202" s="222"/>
      <c r="BC2202" s="223"/>
      <c r="BD2202" s="222"/>
      <c r="BH2202" s="611"/>
      <c r="BJ2202" s="15"/>
      <c r="BK2202" s="15"/>
      <c r="BO2202" s="223"/>
      <c r="BQ2202" s="889"/>
      <c r="BT2202" s="890"/>
      <c r="BX2202" s="889"/>
      <c r="CB2202" s="15"/>
      <c r="CC2202" s="697"/>
      <c r="CD2202" s="1086"/>
      <c r="CE2202" s="15"/>
      <c r="CF2202" s="15"/>
      <c r="CG2202" s="936"/>
      <c r="CH2202" s="15"/>
      <c r="CI2202" s="15"/>
      <c r="CJ2202" s="15"/>
      <c r="CK2202" s="1107"/>
      <c r="CL2202" s="22"/>
      <c r="CM2202" s="22"/>
      <c r="CN2202" s="1107"/>
      <c r="CR2202" s="223"/>
      <c r="CS2202" s="952"/>
      <c r="CT2202" s="1066"/>
      <c r="CU2202" s="972"/>
      <c r="CV2202" s="983"/>
      <c r="CW2202" s="222"/>
      <c r="CX2202" s="697"/>
      <c r="DC2202" s="222"/>
      <c r="DJ2202" s="889"/>
      <c r="DM2202" s="890"/>
      <c r="DN2202" s="952"/>
      <c r="DO2202" s="75"/>
      <c r="DP2202" s="962"/>
      <c r="DQ2202" s="983"/>
      <c r="DV2202" s="889"/>
    </row>
    <row r="2203" spans="1:126" s="74" customFormat="1">
      <c r="A2203" s="15"/>
      <c r="B2203" s="15"/>
      <c r="C2203" s="15"/>
      <c r="D2203" s="15"/>
      <c r="E2203" s="6"/>
      <c r="F2203" s="6"/>
      <c r="G2203" s="6"/>
      <c r="K2203" s="222"/>
      <c r="V2203" s="1430"/>
      <c r="AA2203" s="223"/>
      <c r="AC2203" s="889"/>
      <c r="AF2203" s="890"/>
      <c r="AJ2203" s="889"/>
      <c r="AN2203" s="222"/>
      <c r="BC2203" s="223"/>
      <c r="BD2203" s="222"/>
      <c r="BH2203" s="611"/>
      <c r="BJ2203" s="15"/>
      <c r="BK2203" s="15"/>
      <c r="BO2203" s="223"/>
      <c r="BQ2203" s="889"/>
      <c r="BT2203" s="890"/>
      <c r="BX2203" s="889"/>
      <c r="CB2203" s="15"/>
      <c r="CC2203" s="697"/>
      <c r="CD2203" s="1086"/>
      <c r="CE2203" s="15"/>
      <c r="CF2203" s="15"/>
      <c r="CG2203" s="936"/>
      <c r="CH2203" s="15"/>
      <c r="CI2203" s="15"/>
      <c r="CJ2203" s="15"/>
      <c r="CK2203" s="1107"/>
      <c r="CL2203" s="22"/>
      <c r="CM2203" s="22"/>
      <c r="CN2203" s="1107"/>
      <c r="CR2203" s="223"/>
      <c r="CS2203" s="952"/>
      <c r="CT2203" s="1066"/>
      <c r="CU2203" s="972"/>
      <c r="CV2203" s="983"/>
      <c r="CW2203" s="222"/>
      <c r="CX2203" s="697"/>
      <c r="DC2203" s="222"/>
      <c r="DJ2203" s="889"/>
      <c r="DM2203" s="890"/>
      <c r="DN2203" s="952"/>
      <c r="DO2203" s="75"/>
      <c r="DP2203" s="962"/>
      <c r="DQ2203" s="983"/>
      <c r="DV2203" s="889"/>
    </row>
    <row r="2204" spans="1:126" s="74" customFormat="1">
      <c r="A2204" s="15"/>
      <c r="B2204" s="15"/>
      <c r="C2204" s="15"/>
      <c r="D2204" s="15"/>
      <c r="E2204" s="6"/>
      <c r="F2204" s="6"/>
      <c r="G2204" s="6"/>
      <c r="K2204" s="222"/>
      <c r="V2204" s="1430"/>
      <c r="AA2204" s="223"/>
      <c r="AC2204" s="889"/>
      <c r="AF2204" s="890"/>
      <c r="AJ2204" s="889"/>
      <c r="AN2204" s="222"/>
      <c r="BC2204" s="223"/>
      <c r="BD2204" s="222"/>
      <c r="BH2204" s="611"/>
      <c r="BJ2204" s="15"/>
      <c r="BK2204" s="15"/>
      <c r="BO2204" s="223"/>
      <c r="BQ2204" s="889"/>
      <c r="BT2204" s="890"/>
      <c r="BX2204" s="889"/>
      <c r="CB2204" s="15"/>
      <c r="CC2204" s="697"/>
      <c r="CD2204" s="1086"/>
      <c r="CE2204" s="15"/>
      <c r="CF2204" s="15"/>
      <c r="CG2204" s="936"/>
      <c r="CH2204" s="15"/>
      <c r="CI2204" s="15"/>
      <c r="CJ2204" s="15"/>
      <c r="CK2204" s="1107"/>
      <c r="CL2204" s="22"/>
      <c r="CM2204" s="22"/>
      <c r="CN2204" s="1107"/>
      <c r="CR2204" s="223"/>
      <c r="CS2204" s="952"/>
      <c r="CT2204" s="1066"/>
      <c r="CU2204" s="972"/>
      <c r="CV2204" s="983"/>
      <c r="CW2204" s="222"/>
      <c r="CX2204" s="697"/>
      <c r="DC2204" s="222"/>
      <c r="DJ2204" s="889"/>
      <c r="DM2204" s="890"/>
      <c r="DN2204" s="952"/>
      <c r="DO2204" s="75"/>
      <c r="DP2204" s="962"/>
      <c r="DQ2204" s="983"/>
      <c r="DV2204" s="889"/>
    </row>
    <row r="2205" spans="1:126" s="74" customFormat="1">
      <c r="A2205" s="15"/>
      <c r="B2205" s="15"/>
      <c r="C2205" s="15"/>
      <c r="D2205" s="15"/>
      <c r="E2205" s="6"/>
      <c r="F2205" s="6"/>
      <c r="G2205" s="6"/>
      <c r="K2205" s="222"/>
      <c r="V2205" s="1430"/>
      <c r="AA2205" s="223"/>
      <c r="AC2205" s="889"/>
      <c r="AF2205" s="890"/>
      <c r="AJ2205" s="889"/>
      <c r="AN2205" s="222"/>
      <c r="BC2205" s="223"/>
      <c r="BD2205" s="222"/>
      <c r="BH2205" s="611"/>
      <c r="BJ2205" s="15"/>
      <c r="BK2205" s="15"/>
      <c r="BO2205" s="223"/>
      <c r="BQ2205" s="889"/>
      <c r="BT2205" s="890"/>
      <c r="BX2205" s="889"/>
      <c r="CB2205" s="15"/>
      <c r="CC2205" s="697"/>
      <c r="CD2205" s="1086"/>
      <c r="CE2205" s="15"/>
      <c r="CF2205" s="15"/>
      <c r="CG2205" s="936"/>
      <c r="CH2205" s="15"/>
      <c r="CI2205" s="15"/>
      <c r="CJ2205" s="15"/>
      <c r="CK2205" s="1107"/>
      <c r="CL2205" s="22"/>
      <c r="CM2205" s="22"/>
      <c r="CN2205" s="1107"/>
      <c r="CR2205" s="223"/>
      <c r="CS2205" s="952"/>
      <c r="CT2205" s="1066"/>
      <c r="CU2205" s="972"/>
      <c r="CV2205" s="983"/>
      <c r="CW2205" s="222"/>
      <c r="CX2205" s="697"/>
      <c r="DC2205" s="222"/>
      <c r="DJ2205" s="889"/>
      <c r="DM2205" s="890"/>
      <c r="DN2205" s="952"/>
      <c r="DO2205" s="75"/>
      <c r="DP2205" s="962"/>
      <c r="DQ2205" s="983"/>
      <c r="DV2205" s="889"/>
    </row>
    <row r="2206" spans="1:126" s="74" customFormat="1">
      <c r="A2206" s="15"/>
      <c r="B2206" s="15"/>
      <c r="C2206" s="15"/>
      <c r="D2206" s="15"/>
      <c r="E2206" s="6"/>
      <c r="F2206" s="6"/>
      <c r="G2206" s="6"/>
      <c r="K2206" s="222"/>
      <c r="V2206" s="1430"/>
      <c r="AA2206" s="223"/>
      <c r="AC2206" s="889"/>
      <c r="AF2206" s="890"/>
      <c r="AJ2206" s="889"/>
      <c r="AN2206" s="222"/>
      <c r="BC2206" s="223"/>
      <c r="BD2206" s="222"/>
      <c r="BH2206" s="611"/>
      <c r="BJ2206" s="15"/>
      <c r="BK2206" s="15"/>
      <c r="BO2206" s="223"/>
      <c r="BQ2206" s="889"/>
      <c r="BT2206" s="890"/>
      <c r="BX2206" s="889"/>
      <c r="CB2206" s="15"/>
      <c r="CC2206" s="697"/>
      <c r="CD2206" s="1086"/>
      <c r="CE2206" s="15"/>
      <c r="CF2206" s="15"/>
      <c r="CG2206" s="936"/>
      <c r="CH2206" s="15"/>
      <c r="CI2206" s="15"/>
      <c r="CJ2206" s="15"/>
      <c r="CK2206" s="1107"/>
      <c r="CL2206" s="22"/>
      <c r="CM2206" s="22"/>
      <c r="CN2206" s="1107"/>
      <c r="CR2206" s="223"/>
      <c r="CS2206" s="952"/>
      <c r="CT2206" s="1066"/>
      <c r="CU2206" s="972"/>
      <c r="CV2206" s="983"/>
      <c r="CW2206" s="222"/>
      <c r="CX2206" s="697"/>
      <c r="DC2206" s="222"/>
      <c r="DJ2206" s="889"/>
      <c r="DM2206" s="890"/>
      <c r="DN2206" s="952"/>
      <c r="DO2206" s="75"/>
      <c r="DP2206" s="962"/>
      <c r="DQ2206" s="983"/>
      <c r="DV2206" s="889"/>
    </row>
    <row r="2207" spans="1:126" s="74" customFormat="1">
      <c r="A2207" s="15"/>
      <c r="B2207" s="15"/>
      <c r="C2207" s="15"/>
      <c r="D2207" s="15"/>
      <c r="E2207" s="6"/>
      <c r="F2207" s="6"/>
      <c r="G2207" s="6"/>
      <c r="K2207" s="222"/>
      <c r="V2207" s="1430"/>
      <c r="AA2207" s="223"/>
      <c r="AC2207" s="889"/>
      <c r="AF2207" s="890"/>
      <c r="AJ2207" s="889"/>
      <c r="AN2207" s="222"/>
      <c r="BC2207" s="223"/>
      <c r="BD2207" s="222"/>
      <c r="BH2207" s="611"/>
      <c r="BJ2207" s="15"/>
      <c r="BK2207" s="15"/>
      <c r="BO2207" s="223"/>
      <c r="BQ2207" s="889"/>
      <c r="BT2207" s="890"/>
      <c r="BX2207" s="889"/>
      <c r="CB2207" s="15"/>
      <c r="CC2207" s="697"/>
      <c r="CD2207" s="1086"/>
      <c r="CE2207" s="15"/>
      <c r="CF2207" s="15"/>
      <c r="CG2207" s="936"/>
      <c r="CH2207" s="15"/>
      <c r="CI2207" s="15"/>
      <c r="CJ2207" s="15"/>
      <c r="CK2207" s="1107"/>
      <c r="CL2207" s="22"/>
      <c r="CM2207" s="22"/>
      <c r="CN2207" s="1107"/>
      <c r="CR2207" s="223"/>
      <c r="CS2207" s="952"/>
      <c r="CT2207" s="1066"/>
      <c r="CU2207" s="972"/>
      <c r="CV2207" s="983"/>
      <c r="CW2207" s="222"/>
      <c r="CX2207" s="697"/>
      <c r="DC2207" s="222"/>
      <c r="DJ2207" s="889"/>
      <c r="DM2207" s="890"/>
      <c r="DN2207" s="952"/>
      <c r="DO2207" s="75"/>
      <c r="DP2207" s="962"/>
      <c r="DQ2207" s="983"/>
      <c r="DV2207" s="889"/>
    </row>
    <row r="2208" spans="1:126" s="74" customFormat="1">
      <c r="A2208" s="15"/>
      <c r="B2208" s="15"/>
      <c r="C2208" s="15"/>
      <c r="D2208" s="15"/>
      <c r="E2208" s="6"/>
      <c r="F2208" s="6"/>
      <c r="G2208" s="6"/>
      <c r="K2208" s="222"/>
      <c r="V2208" s="1430"/>
      <c r="AA2208" s="223"/>
      <c r="AC2208" s="889"/>
      <c r="AF2208" s="890"/>
      <c r="AJ2208" s="889"/>
      <c r="AN2208" s="222"/>
      <c r="BC2208" s="223"/>
      <c r="BD2208" s="222"/>
      <c r="BH2208" s="611"/>
      <c r="BJ2208" s="15"/>
      <c r="BK2208" s="15"/>
      <c r="BO2208" s="223"/>
      <c r="BQ2208" s="889"/>
      <c r="BT2208" s="890"/>
      <c r="BX2208" s="889"/>
      <c r="CB2208" s="15"/>
      <c r="CC2208" s="697"/>
      <c r="CD2208" s="1086"/>
      <c r="CE2208" s="15"/>
      <c r="CF2208" s="15"/>
      <c r="CG2208" s="936"/>
      <c r="CH2208" s="15"/>
      <c r="CI2208" s="15"/>
      <c r="CJ2208" s="15"/>
      <c r="CK2208" s="1107"/>
      <c r="CL2208" s="22"/>
      <c r="CM2208" s="22"/>
      <c r="CN2208" s="1107"/>
      <c r="CR2208" s="223"/>
      <c r="CS2208" s="952"/>
      <c r="CT2208" s="1066"/>
      <c r="CU2208" s="972"/>
      <c r="CV2208" s="983"/>
      <c r="CW2208" s="222"/>
      <c r="CX2208" s="697"/>
      <c r="DC2208" s="222"/>
      <c r="DJ2208" s="889"/>
      <c r="DM2208" s="890"/>
      <c r="DN2208" s="952"/>
      <c r="DO2208" s="75"/>
      <c r="DP2208" s="962"/>
      <c r="DQ2208" s="983"/>
      <c r="DV2208" s="889"/>
    </row>
    <row r="2209" spans="1:126" s="74" customFormat="1">
      <c r="A2209" s="15"/>
      <c r="B2209" s="15"/>
      <c r="C2209" s="15"/>
      <c r="D2209" s="15"/>
      <c r="E2209" s="6"/>
      <c r="F2209" s="6"/>
      <c r="G2209" s="6"/>
      <c r="K2209" s="222"/>
      <c r="V2209" s="1430"/>
      <c r="AA2209" s="223"/>
      <c r="AC2209" s="889"/>
      <c r="AF2209" s="890"/>
      <c r="AJ2209" s="889"/>
      <c r="AN2209" s="222"/>
      <c r="BC2209" s="223"/>
      <c r="BD2209" s="222"/>
      <c r="BH2209" s="611"/>
      <c r="BJ2209" s="15"/>
      <c r="BK2209" s="15"/>
      <c r="BO2209" s="223"/>
      <c r="BQ2209" s="889"/>
      <c r="BT2209" s="890"/>
      <c r="BX2209" s="889"/>
      <c r="CB2209" s="15"/>
      <c r="CC2209" s="697"/>
      <c r="CD2209" s="1086"/>
      <c r="CE2209" s="15"/>
      <c r="CF2209" s="15"/>
      <c r="CG2209" s="936"/>
      <c r="CH2209" s="15"/>
      <c r="CI2209" s="15"/>
      <c r="CJ2209" s="15"/>
      <c r="CK2209" s="1107"/>
      <c r="CL2209" s="22"/>
      <c r="CM2209" s="22"/>
      <c r="CN2209" s="1107"/>
      <c r="CR2209" s="223"/>
      <c r="CS2209" s="952"/>
      <c r="CT2209" s="1066"/>
      <c r="CU2209" s="972"/>
      <c r="CV2209" s="983"/>
      <c r="CW2209" s="222"/>
      <c r="CX2209" s="697"/>
      <c r="DC2209" s="222"/>
      <c r="DJ2209" s="889"/>
      <c r="DM2209" s="890"/>
      <c r="DN2209" s="952"/>
      <c r="DO2209" s="75"/>
      <c r="DP2209" s="962"/>
      <c r="DQ2209" s="983"/>
      <c r="DV2209" s="889"/>
    </row>
    <row r="2210" spans="1:126" s="74" customFormat="1">
      <c r="A2210" s="15"/>
      <c r="B2210" s="15"/>
      <c r="C2210" s="15"/>
      <c r="D2210" s="15"/>
      <c r="E2210" s="6"/>
      <c r="F2210" s="6"/>
      <c r="G2210" s="6"/>
      <c r="K2210" s="222"/>
      <c r="V2210" s="1430"/>
      <c r="AA2210" s="223"/>
      <c r="AC2210" s="889"/>
      <c r="AF2210" s="890"/>
      <c r="AJ2210" s="889"/>
      <c r="AN2210" s="222"/>
      <c r="BC2210" s="223"/>
      <c r="BD2210" s="222"/>
      <c r="BH2210" s="611"/>
      <c r="BJ2210" s="15"/>
      <c r="BK2210" s="15"/>
      <c r="BO2210" s="223"/>
      <c r="BQ2210" s="889"/>
      <c r="BT2210" s="890"/>
      <c r="BX2210" s="889"/>
      <c r="CB2210" s="15"/>
      <c r="CC2210" s="697"/>
      <c r="CD2210" s="1086"/>
      <c r="CE2210" s="15"/>
      <c r="CF2210" s="15"/>
      <c r="CG2210" s="936"/>
      <c r="CH2210" s="15"/>
      <c r="CI2210" s="15"/>
      <c r="CJ2210" s="15"/>
      <c r="CK2210" s="1107"/>
      <c r="CL2210" s="22"/>
      <c r="CM2210" s="22"/>
      <c r="CN2210" s="1107"/>
      <c r="CR2210" s="223"/>
      <c r="CS2210" s="952"/>
      <c r="CT2210" s="1066"/>
      <c r="CU2210" s="972"/>
      <c r="CV2210" s="983"/>
      <c r="CW2210" s="222"/>
      <c r="CX2210" s="697"/>
      <c r="DC2210" s="222"/>
      <c r="DJ2210" s="889"/>
      <c r="DM2210" s="890"/>
      <c r="DN2210" s="952"/>
      <c r="DO2210" s="75"/>
      <c r="DP2210" s="962"/>
      <c r="DQ2210" s="983"/>
      <c r="DV2210" s="889"/>
    </row>
    <row r="2211" spans="1:126" s="74" customFormat="1">
      <c r="A2211" s="15"/>
      <c r="B2211" s="15"/>
      <c r="C2211" s="15"/>
      <c r="D2211" s="15"/>
      <c r="E2211" s="6"/>
      <c r="F2211" s="6"/>
      <c r="G2211" s="6"/>
      <c r="K2211" s="222"/>
      <c r="V2211" s="1430"/>
      <c r="AA2211" s="223"/>
      <c r="AC2211" s="889"/>
      <c r="AF2211" s="890"/>
      <c r="AJ2211" s="889"/>
      <c r="AN2211" s="222"/>
      <c r="BC2211" s="223"/>
      <c r="BD2211" s="222"/>
      <c r="BH2211" s="611"/>
      <c r="BJ2211" s="15"/>
      <c r="BK2211" s="15"/>
      <c r="BO2211" s="223"/>
      <c r="BQ2211" s="889"/>
      <c r="BT2211" s="890"/>
      <c r="BX2211" s="889"/>
      <c r="CB2211" s="15"/>
      <c r="CC2211" s="697"/>
      <c r="CD2211" s="1086"/>
      <c r="CE2211" s="15"/>
      <c r="CF2211" s="15"/>
      <c r="CG2211" s="936"/>
      <c r="CH2211" s="15"/>
      <c r="CI2211" s="15"/>
      <c r="CJ2211" s="15"/>
      <c r="CK2211" s="1107"/>
      <c r="CL2211" s="22"/>
      <c r="CM2211" s="22"/>
      <c r="CN2211" s="1107"/>
      <c r="CR2211" s="223"/>
      <c r="CS2211" s="952"/>
      <c r="CT2211" s="1066"/>
      <c r="CU2211" s="972"/>
      <c r="CV2211" s="983"/>
      <c r="CW2211" s="222"/>
      <c r="CX2211" s="697"/>
      <c r="DC2211" s="222"/>
      <c r="DJ2211" s="889"/>
      <c r="DM2211" s="890"/>
      <c r="DN2211" s="952"/>
      <c r="DO2211" s="75"/>
      <c r="DP2211" s="962"/>
      <c r="DQ2211" s="983"/>
      <c r="DV2211" s="889"/>
    </row>
    <row r="2212" spans="1:126" s="74" customFormat="1">
      <c r="A2212" s="15"/>
      <c r="B2212" s="15"/>
      <c r="C2212" s="15"/>
      <c r="D2212" s="15"/>
      <c r="E2212" s="6"/>
      <c r="F2212" s="6"/>
      <c r="G2212" s="6"/>
      <c r="K2212" s="222"/>
      <c r="V2212" s="1430"/>
      <c r="AA2212" s="223"/>
      <c r="AC2212" s="889"/>
      <c r="AF2212" s="890"/>
      <c r="AJ2212" s="889"/>
      <c r="AN2212" s="222"/>
      <c r="BC2212" s="223"/>
      <c r="BD2212" s="222"/>
      <c r="BH2212" s="611"/>
      <c r="BJ2212" s="15"/>
      <c r="BK2212" s="15"/>
      <c r="BO2212" s="223"/>
      <c r="BQ2212" s="889"/>
      <c r="BT2212" s="890"/>
      <c r="BX2212" s="889"/>
      <c r="CB2212" s="15"/>
      <c r="CC2212" s="697"/>
      <c r="CD2212" s="1086"/>
      <c r="CE2212" s="15"/>
      <c r="CF2212" s="15"/>
      <c r="CG2212" s="936"/>
      <c r="CH2212" s="15"/>
      <c r="CI2212" s="15"/>
      <c r="CJ2212" s="15"/>
      <c r="CK2212" s="1107"/>
      <c r="CL2212" s="22"/>
      <c r="CM2212" s="22"/>
      <c r="CN2212" s="1107"/>
      <c r="CR2212" s="223"/>
      <c r="CS2212" s="952"/>
      <c r="CT2212" s="1066"/>
      <c r="CU2212" s="972"/>
      <c r="CV2212" s="983"/>
      <c r="CW2212" s="222"/>
      <c r="CX2212" s="697"/>
      <c r="DC2212" s="222"/>
      <c r="DJ2212" s="889"/>
      <c r="DM2212" s="890"/>
      <c r="DN2212" s="952"/>
      <c r="DO2212" s="75"/>
      <c r="DP2212" s="962"/>
      <c r="DQ2212" s="983"/>
      <c r="DV2212" s="889"/>
    </row>
    <row r="2213" spans="1:126" s="74" customFormat="1">
      <c r="A2213" s="15"/>
      <c r="B2213" s="15"/>
      <c r="C2213" s="15"/>
      <c r="D2213" s="15"/>
      <c r="E2213" s="6"/>
      <c r="F2213" s="6"/>
      <c r="G2213" s="6"/>
      <c r="K2213" s="222"/>
      <c r="V2213" s="1430"/>
      <c r="AA2213" s="223"/>
      <c r="AC2213" s="889"/>
      <c r="AF2213" s="890"/>
      <c r="AJ2213" s="889"/>
      <c r="AN2213" s="222"/>
      <c r="BC2213" s="223"/>
      <c r="BD2213" s="222"/>
      <c r="BH2213" s="611"/>
      <c r="BJ2213" s="15"/>
      <c r="BK2213" s="15"/>
      <c r="BO2213" s="223"/>
      <c r="BQ2213" s="889"/>
      <c r="BT2213" s="890"/>
      <c r="BX2213" s="889"/>
      <c r="CB2213" s="15"/>
      <c r="CC2213" s="697"/>
      <c r="CD2213" s="1086"/>
      <c r="CE2213" s="15"/>
      <c r="CF2213" s="15"/>
      <c r="CG2213" s="936"/>
      <c r="CH2213" s="15"/>
      <c r="CI2213" s="15"/>
      <c r="CJ2213" s="15"/>
      <c r="CK2213" s="1107"/>
      <c r="CL2213" s="22"/>
      <c r="CM2213" s="22"/>
      <c r="CN2213" s="1107"/>
      <c r="CR2213" s="223"/>
      <c r="CS2213" s="952"/>
      <c r="CT2213" s="1066"/>
      <c r="CU2213" s="972"/>
      <c r="CV2213" s="983"/>
      <c r="CW2213" s="222"/>
      <c r="CX2213" s="697"/>
      <c r="DC2213" s="222"/>
      <c r="DJ2213" s="889"/>
      <c r="DM2213" s="890"/>
      <c r="DN2213" s="952"/>
      <c r="DO2213" s="75"/>
      <c r="DP2213" s="962"/>
      <c r="DQ2213" s="983"/>
      <c r="DV2213" s="889"/>
    </row>
    <row r="2214" spans="1:126" s="74" customFormat="1">
      <c r="A2214" s="15"/>
      <c r="B2214" s="15"/>
      <c r="C2214" s="15"/>
      <c r="D2214" s="15"/>
      <c r="E2214" s="6"/>
      <c r="F2214" s="6"/>
      <c r="G2214" s="6"/>
      <c r="K2214" s="222"/>
      <c r="V2214" s="1430"/>
      <c r="AA2214" s="223"/>
      <c r="AC2214" s="889"/>
      <c r="AF2214" s="890"/>
      <c r="AJ2214" s="889"/>
      <c r="AN2214" s="222"/>
      <c r="BC2214" s="223"/>
      <c r="BD2214" s="222"/>
      <c r="BH2214" s="611"/>
      <c r="BJ2214" s="15"/>
      <c r="BK2214" s="15"/>
      <c r="BO2214" s="223"/>
      <c r="BQ2214" s="889"/>
      <c r="BT2214" s="890"/>
      <c r="BX2214" s="889"/>
      <c r="CB2214" s="15"/>
      <c r="CC2214" s="697"/>
      <c r="CD2214" s="1086"/>
      <c r="CE2214" s="15"/>
      <c r="CF2214" s="15"/>
      <c r="CG2214" s="936"/>
      <c r="CH2214" s="15"/>
      <c r="CI2214" s="15"/>
      <c r="CJ2214" s="15"/>
      <c r="CK2214" s="1107"/>
      <c r="CL2214" s="22"/>
      <c r="CM2214" s="22"/>
      <c r="CN2214" s="1107"/>
      <c r="CR2214" s="223"/>
      <c r="CS2214" s="952"/>
      <c r="CT2214" s="1066"/>
      <c r="CU2214" s="972"/>
      <c r="CV2214" s="983"/>
      <c r="CW2214" s="222"/>
      <c r="CX2214" s="697"/>
      <c r="DC2214" s="222"/>
      <c r="DJ2214" s="889"/>
      <c r="DM2214" s="890"/>
      <c r="DN2214" s="952"/>
      <c r="DO2214" s="75"/>
      <c r="DP2214" s="962"/>
      <c r="DQ2214" s="983"/>
      <c r="DV2214" s="889"/>
    </row>
    <row r="2215" spans="1:126" s="74" customFormat="1">
      <c r="A2215" s="15"/>
      <c r="B2215" s="15"/>
      <c r="C2215" s="15"/>
      <c r="D2215" s="15"/>
      <c r="E2215" s="6"/>
      <c r="F2215" s="6"/>
      <c r="G2215" s="6"/>
      <c r="K2215" s="222"/>
      <c r="V2215" s="1430"/>
      <c r="AA2215" s="223"/>
      <c r="AC2215" s="889"/>
      <c r="AF2215" s="890"/>
      <c r="AJ2215" s="889"/>
      <c r="AN2215" s="222"/>
      <c r="BC2215" s="223"/>
      <c r="BD2215" s="222"/>
      <c r="BH2215" s="611"/>
      <c r="BJ2215" s="15"/>
      <c r="BK2215" s="15"/>
      <c r="BO2215" s="223"/>
      <c r="BQ2215" s="889"/>
      <c r="BT2215" s="890"/>
      <c r="BX2215" s="889"/>
      <c r="CB2215" s="15"/>
      <c r="CC2215" s="697"/>
      <c r="CD2215" s="1086"/>
      <c r="CE2215" s="15"/>
      <c r="CF2215" s="15"/>
      <c r="CG2215" s="936"/>
      <c r="CH2215" s="15"/>
      <c r="CI2215" s="15"/>
      <c r="CJ2215" s="15"/>
      <c r="CK2215" s="1107"/>
      <c r="CL2215" s="22"/>
      <c r="CM2215" s="22"/>
      <c r="CN2215" s="1107"/>
      <c r="CR2215" s="223"/>
      <c r="CS2215" s="952"/>
      <c r="CT2215" s="1066"/>
      <c r="CU2215" s="972"/>
      <c r="CV2215" s="983"/>
      <c r="CW2215" s="222"/>
      <c r="CX2215" s="697"/>
      <c r="DC2215" s="222"/>
      <c r="DJ2215" s="889"/>
      <c r="DM2215" s="890"/>
      <c r="DN2215" s="952"/>
      <c r="DO2215" s="75"/>
      <c r="DP2215" s="962"/>
      <c r="DQ2215" s="983"/>
      <c r="DV2215" s="889"/>
    </row>
    <row r="2216" spans="1:126" s="74" customFormat="1">
      <c r="A2216" s="15"/>
      <c r="B2216" s="15"/>
      <c r="C2216" s="15"/>
      <c r="D2216" s="15"/>
      <c r="E2216" s="6"/>
      <c r="F2216" s="6"/>
      <c r="G2216" s="6"/>
      <c r="K2216" s="222"/>
      <c r="V2216" s="1430"/>
      <c r="AA2216" s="223"/>
      <c r="AC2216" s="889"/>
      <c r="AF2216" s="890"/>
      <c r="AJ2216" s="889"/>
      <c r="AN2216" s="222"/>
      <c r="BC2216" s="223"/>
      <c r="BD2216" s="222"/>
      <c r="BH2216" s="611"/>
      <c r="BJ2216" s="15"/>
      <c r="BK2216" s="15"/>
      <c r="BO2216" s="223"/>
      <c r="BQ2216" s="889"/>
      <c r="BT2216" s="890"/>
      <c r="BX2216" s="889"/>
      <c r="CB2216" s="15"/>
      <c r="CC2216" s="697"/>
      <c r="CD2216" s="1086"/>
      <c r="CE2216" s="15"/>
      <c r="CF2216" s="15"/>
      <c r="CG2216" s="936"/>
      <c r="CH2216" s="15"/>
      <c r="CI2216" s="15"/>
      <c r="CJ2216" s="15"/>
      <c r="CK2216" s="1107"/>
      <c r="CL2216" s="22"/>
      <c r="CM2216" s="22"/>
      <c r="CN2216" s="1107"/>
      <c r="CR2216" s="223"/>
      <c r="CS2216" s="952"/>
      <c r="CT2216" s="1066"/>
      <c r="CU2216" s="972"/>
      <c r="CV2216" s="983"/>
      <c r="CW2216" s="222"/>
      <c r="CX2216" s="697"/>
      <c r="DC2216" s="222"/>
      <c r="DJ2216" s="889"/>
      <c r="DM2216" s="890"/>
      <c r="DN2216" s="952"/>
      <c r="DO2216" s="75"/>
      <c r="DP2216" s="962"/>
      <c r="DQ2216" s="983"/>
      <c r="DV2216" s="889"/>
    </row>
    <row r="2217" spans="1:126" s="74" customFormat="1">
      <c r="A2217" s="15"/>
      <c r="B2217" s="15"/>
      <c r="C2217" s="15"/>
      <c r="D2217" s="15"/>
      <c r="E2217" s="6"/>
      <c r="F2217" s="6"/>
      <c r="G2217" s="6"/>
      <c r="K2217" s="222"/>
      <c r="V2217" s="1430"/>
      <c r="AA2217" s="223"/>
      <c r="AC2217" s="889"/>
      <c r="AF2217" s="890"/>
      <c r="AJ2217" s="889"/>
      <c r="AN2217" s="222"/>
      <c r="BC2217" s="223"/>
      <c r="BD2217" s="222"/>
      <c r="BH2217" s="611"/>
      <c r="BJ2217" s="15"/>
      <c r="BK2217" s="15"/>
      <c r="BO2217" s="223"/>
      <c r="BQ2217" s="889"/>
      <c r="BT2217" s="890"/>
      <c r="BX2217" s="889"/>
      <c r="CB2217" s="15"/>
      <c r="CC2217" s="697"/>
      <c r="CD2217" s="1086"/>
      <c r="CE2217" s="15"/>
      <c r="CF2217" s="15"/>
      <c r="CG2217" s="936"/>
      <c r="CH2217" s="15"/>
      <c r="CI2217" s="15"/>
      <c r="CJ2217" s="15"/>
      <c r="CK2217" s="1107"/>
      <c r="CL2217" s="22"/>
      <c r="CM2217" s="22"/>
      <c r="CN2217" s="1107"/>
      <c r="CR2217" s="223"/>
      <c r="CS2217" s="952"/>
      <c r="CT2217" s="1066"/>
      <c r="CU2217" s="972"/>
      <c r="CV2217" s="983"/>
      <c r="CW2217" s="222"/>
      <c r="CX2217" s="697"/>
      <c r="DC2217" s="222"/>
      <c r="DJ2217" s="889"/>
      <c r="DM2217" s="890"/>
      <c r="DN2217" s="952"/>
      <c r="DO2217" s="75"/>
      <c r="DP2217" s="962"/>
      <c r="DQ2217" s="983"/>
      <c r="DV2217" s="889"/>
    </row>
    <row r="2218" spans="1:126" s="74" customFormat="1">
      <c r="A2218" s="15"/>
      <c r="B2218" s="15"/>
      <c r="C2218" s="15"/>
      <c r="D2218" s="15"/>
      <c r="E2218" s="6"/>
      <c r="F2218" s="6"/>
      <c r="G2218" s="6"/>
      <c r="K2218" s="222"/>
      <c r="V2218" s="1430"/>
      <c r="AA2218" s="223"/>
      <c r="AC2218" s="889"/>
      <c r="AF2218" s="890"/>
      <c r="AJ2218" s="889"/>
      <c r="AN2218" s="222"/>
      <c r="BC2218" s="223"/>
      <c r="BD2218" s="222"/>
      <c r="BH2218" s="611"/>
      <c r="BJ2218" s="15"/>
      <c r="BK2218" s="15"/>
      <c r="BO2218" s="223"/>
      <c r="BQ2218" s="889"/>
      <c r="BT2218" s="890"/>
      <c r="BX2218" s="889"/>
      <c r="CB2218" s="15"/>
      <c r="CC2218" s="697"/>
      <c r="CD2218" s="1086"/>
      <c r="CE2218" s="15"/>
      <c r="CF2218" s="15"/>
      <c r="CG2218" s="936"/>
      <c r="CH2218" s="15"/>
      <c r="CI2218" s="15"/>
      <c r="CJ2218" s="15"/>
      <c r="CK2218" s="1107"/>
      <c r="CL2218" s="22"/>
      <c r="CM2218" s="22"/>
      <c r="CN2218" s="1107"/>
      <c r="CR2218" s="223"/>
      <c r="CS2218" s="952"/>
      <c r="CT2218" s="1066"/>
      <c r="CU2218" s="972"/>
      <c r="CV2218" s="983"/>
      <c r="CW2218" s="222"/>
      <c r="CX2218" s="697"/>
      <c r="DC2218" s="222"/>
      <c r="DJ2218" s="889"/>
      <c r="DM2218" s="890"/>
      <c r="DN2218" s="952"/>
      <c r="DO2218" s="75"/>
      <c r="DP2218" s="962"/>
      <c r="DQ2218" s="983"/>
      <c r="DV2218" s="889"/>
    </row>
    <row r="2219" spans="1:126" s="74" customFormat="1">
      <c r="A2219" s="15"/>
      <c r="B2219" s="15"/>
      <c r="C2219" s="15"/>
      <c r="D2219" s="15"/>
      <c r="E2219" s="6"/>
      <c r="F2219" s="6"/>
      <c r="G2219" s="6"/>
      <c r="K2219" s="222"/>
      <c r="V2219" s="1430"/>
      <c r="AA2219" s="223"/>
      <c r="AC2219" s="889"/>
      <c r="AF2219" s="890"/>
      <c r="AJ2219" s="889"/>
      <c r="AN2219" s="222"/>
      <c r="BC2219" s="223"/>
      <c r="BD2219" s="222"/>
      <c r="BH2219" s="611"/>
      <c r="BJ2219" s="15"/>
      <c r="BK2219" s="15"/>
      <c r="BO2219" s="223"/>
      <c r="BQ2219" s="889"/>
      <c r="BT2219" s="890"/>
      <c r="BX2219" s="889"/>
      <c r="CB2219" s="15"/>
      <c r="CC2219" s="697"/>
      <c r="CD2219" s="1086"/>
      <c r="CE2219" s="15"/>
      <c r="CF2219" s="15"/>
      <c r="CG2219" s="936"/>
      <c r="CH2219" s="15"/>
      <c r="CI2219" s="15"/>
      <c r="CJ2219" s="15"/>
      <c r="CK2219" s="1107"/>
      <c r="CL2219" s="22"/>
      <c r="CM2219" s="22"/>
      <c r="CN2219" s="1107"/>
      <c r="CR2219" s="223"/>
      <c r="CS2219" s="952"/>
      <c r="CT2219" s="1066"/>
      <c r="CU2219" s="972"/>
      <c r="CV2219" s="983"/>
      <c r="CW2219" s="222"/>
      <c r="CX2219" s="697"/>
      <c r="DC2219" s="222"/>
      <c r="DJ2219" s="889"/>
      <c r="DM2219" s="890"/>
      <c r="DN2219" s="952"/>
      <c r="DO2219" s="75"/>
      <c r="DP2219" s="962"/>
      <c r="DQ2219" s="983"/>
      <c r="DV2219" s="889"/>
    </row>
    <row r="2220" spans="1:126" s="74" customFormat="1">
      <c r="A2220" s="15"/>
      <c r="B2220" s="15"/>
      <c r="C2220" s="15"/>
      <c r="D2220" s="15"/>
      <c r="E2220" s="6"/>
      <c r="F2220" s="6"/>
      <c r="G2220" s="6"/>
      <c r="K2220" s="222"/>
      <c r="V2220" s="1430"/>
      <c r="AA2220" s="223"/>
      <c r="AC2220" s="889"/>
      <c r="AF2220" s="890"/>
      <c r="AJ2220" s="889"/>
      <c r="AN2220" s="222"/>
      <c r="BC2220" s="223"/>
      <c r="BD2220" s="222"/>
      <c r="BH2220" s="611"/>
      <c r="BJ2220" s="15"/>
      <c r="BK2220" s="15"/>
      <c r="BO2220" s="223"/>
      <c r="BQ2220" s="889"/>
      <c r="BT2220" s="890"/>
      <c r="BX2220" s="889"/>
      <c r="CB2220" s="15"/>
      <c r="CC2220" s="697"/>
      <c r="CD2220" s="1086"/>
      <c r="CE2220" s="15"/>
      <c r="CF2220" s="15"/>
      <c r="CG2220" s="936"/>
      <c r="CH2220" s="15"/>
      <c r="CI2220" s="15"/>
      <c r="CJ2220" s="15"/>
      <c r="CK2220" s="1107"/>
      <c r="CL2220" s="22"/>
      <c r="CM2220" s="22"/>
      <c r="CN2220" s="1107"/>
      <c r="CR2220" s="223"/>
      <c r="CS2220" s="952"/>
      <c r="CT2220" s="1066"/>
      <c r="CU2220" s="972"/>
      <c r="CV2220" s="983"/>
      <c r="CW2220" s="222"/>
      <c r="CX2220" s="697"/>
      <c r="DC2220" s="222"/>
      <c r="DJ2220" s="889"/>
      <c r="DM2220" s="890"/>
      <c r="DN2220" s="952"/>
      <c r="DO2220" s="75"/>
      <c r="DP2220" s="962"/>
      <c r="DQ2220" s="983"/>
      <c r="DV2220" s="889"/>
    </row>
    <row r="2221" spans="1:126" s="74" customFormat="1">
      <c r="A2221" s="15"/>
      <c r="B2221" s="15"/>
      <c r="C2221" s="15"/>
      <c r="D2221" s="15"/>
      <c r="E2221" s="6"/>
      <c r="F2221" s="6"/>
      <c r="G2221" s="6"/>
      <c r="K2221" s="222"/>
      <c r="V2221" s="1430"/>
      <c r="AA2221" s="223"/>
      <c r="AC2221" s="889"/>
      <c r="AF2221" s="890"/>
      <c r="AJ2221" s="889"/>
      <c r="AN2221" s="222"/>
      <c r="BC2221" s="223"/>
      <c r="BD2221" s="222"/>
      <c r="BH2221" s="611"/>
      <c r="BJ2221" s="15"/>
      <c r="BK2221" s="15"/>
      <c r="BO2221" s="223"/>
      <c r="BQ2221" s="889"/>
      <c r="BT2221" s="890"/>
      <c r="BX2221" s="889"/>
      <c r="CB2221" s="15"/>
      <c r="CC2221" s="697"/>
      <c r="CD2221" s="1086"/>
      <c r="CE2221" s="15"/>
      <c r="CF2221" s="15"/>
      <c r="CG2221" s="936"/>
      <c r="CH2221" s="15"/>
      <c r="CI2221" s="15"/>
      <c r="CJ2221" s="15"/>
      <c r="CK2221" s="1107"/>
      <c r="CL2221" s="22"/>
      <c r="CM2221" s="22"/>
      <c r="CN2221" s="1107"/>
      <c r="CR2221" s="223"/>
      <c r="CS2221" s="952"/>
      <c r="CT2221" s="1066"/>
      <c r="CU2221" s="972"/>
      <c r="CV2221" s="983"/>
      <c r="CW2221" s="222"/>
      <c r="CX2221" s="697"/>
      <c r="DC2221" s="222"/>
      <c r="DJ2221" s="889"/>
      <c r="DM2221" s="890"/>
      <c r="DN2221" s="952"/>
      <c r="DO2221" s="75"/>
      <c r="DP2221" s="962"/>
      <c r="DQ2221" s="983"/>
      <c r="DV2221" s="889"/>
    </row>
    <row r="2222" spans="1:126" s="74" customFormat="1">
      <c r="A2222" s="15"/>
      <c r="B2222" s="15"/>
      <c r="C2222" s="15"/>
      <c r="D2222" s="15"/>
      <c r="E2222" s="6"/>
      <c r="F2222" s="6"/>
      <c r="G2222" s="6"/>
      <c r="K2222" s="222"/>
      <c r="V2222" s="1430"/>
      <c r="AA2222" s="223"/>
      <c r="AC2222" s="889"/>
      <c r="AF2222" s="890"/>
      <c r="AJ2222" s="889"/>
      <c r="AN2222" s="222"/>
      <c r="BC2222" s="223"/>
      <c r="BD2222" s="222"/>
      <c r="BH2222" s="611"/>
      <c r="BJ2222" s="15"/>
      <c r="BK2222" s="15"/>
      <c r="BO2222" s="223"/>
      <c r="BQ2222" s="889"/>
      <c r="BT2222" s="890"/>
      <c r="BX2222" s="889"/>
      <c r="CB2222" s="15"/>
      <c r="CC2222" s="697"/>
      <c r="CD2222" s="1086"/>
      <c r="CE2222" s="15"/>
      <c r="CF2222" s="15"/>
      <c r="CG2222" s="936"/>
      <c r="CH2222" s="15"/>
      <c r="CI2222" s="15"/>
      <c r="CJ2222" s="15"/>
      <c r="CK2222" s="1107"/>
      <c r="CL2222" s="22"/>
      <c r="CM2222" s="22"/>
      <c r="CN2222" s="1107"/>
      <c r="CR2222" s="223"/>
      <c r="CS2222" s="952"/>
      <c r="CT2222" s="1066"/>
      <c r="CU2222" s="972"/>
      <c r="CV2222" s="983"/>
      <c r="CW2222" s="222"/>
      <c r="CX2222" s="697"/>
      <c r="DC2222" s="222"/>
      <c r="DJ2222" s="889"/>
      <c r="DM2222" s="890"/>
      <c r="DN2222" s="952"/>
      <c r="DO2222" s="75"/>
      <c r="DP2222" s="962"/>
      <c r="DQ2222" s="983"/>
      <c r="DV2222" s="889"/>
    </row>
    <row r="2223" spans="1:126" s="74" customFormat="1">
      <c r="A2223" s="15"/>
      <c r="B2223" s="15"/>
      <c r="C2223" s="15"/>
      <c r="D2223" s="15"/>
      <c r="E2223" s="6"/>
      <c r="F2223" s="6"/>
      <c r="G2223" s="6"/>
      <c r="K2223" s="222"/>
      <c r="V2223" s="1430"/>
      <c r="AA2223" s="223"/>
      <c r="AC2223" s="889"/>
      <c r="AF2223" s="890"/>
      <c r="AJ2223" s="889"/>
      <c r="AN2223" s="222"/>
      <c r="BC2223" s="223"/>
      <c r="BD2223" s="222"/>
      <c r="BH2223" s="611"/>
      <c r="BJ2223" s="15"/>
      <c r="BK2223" s="15"/>
      <c r="BO2223" s="223"/>
      <c r="BQ2223" s="889"/>
      <c r="BT2223" s="890"/>
      <c r="BX2223" s="889"/>
      <c r="CB2223" s="15"/>
      <c r="CC2223" s="697"/>
      <c r="CD2223" s="1086"/>
      <c r="CE2223" s="15"/>
      <c r="CF2223" s="15"/>
      <c r="CG2223" s="936"/>
      <c r="CH2223" s="15"/>
      <c r="CI2223" s="15"/>
      <c r="CJ2223" s="15"/>
      <c r="CK2223" s="1107"/>
      <c r="CL2223" s="22"/>
      <c r="CM2223" s="22"/>
      <c r="CN2223" s="1107"/>
      <c r="CR2223" s="223"/>
      <c r="CS2223" s="952"/>
      <c r="CT2223" s="1066"/>
      <c r="CU2223" s="972"/>
      <c r="CV2223" s="983"/>
      <c r="CW2223" s="222"/>
      <c r="CX2223" s="697"/>
      <c r="DC2223" s="222"/>
      <c r="DJ2223" s="889"/>
      <c r="DM2223" s="890"/>
      <c r="DN2223" s="952"/>
      <c r="DO2223" s="75"/>
      <c r="DP2223" s="962"/>
      <c r="DQ2223" s="983"/>
      <c r="DV2223" s="889"/>
    </row>
    <row r="2224" spans="1:126" s="74" customFormat="1">
      <c r="A2224" s="15"/>
      <c r="B2224" s="15"/>
      <c r="C2224" s="15"/>
      <c r="D2224" s="15"/>
      <c r="E2224" s="6"/>
      <c r="F2224" s="6"/>
      <c r="G2224" s="6"/>
      <c r="K2224" s="222"/>
      <c r="V2224" s="1430"/>
      <c r="AA2224" s="223"/>
      <c r="AC2224" s="889"/>
      <c r="AF2224" s="890"/>
      <c r="AJ2224" s="889"/>
      <c r="AN2224" s="222"/>
      <c r="BC2224" s="223"/>
      <c r="BD2224" s="222"/>
      <c r="BH2224" s="611"/>
      <c r="BJ2224" s="15"/>
      <c r="BK2224" s="15"/>
      <c r="BO2224" s="223"/>
      <c r="BQ2224" s="889"/>
      <c r="BT2224" s="890"/>
      <c r="BX2224" s="889"/>
      <c r="CB2224" s="15"/>
      <c r="CC2224" s="697"/>
      <c r="CD2224" s="1086"/>
      <c r="CE2224" s="15"/>
      <c r="CF2224" s="15"/>
      <c r="CG2224" s="936"/>
      <c r="CH2224" s="15"/>
      <c r="CI2224" s="15"/>
      <c r="CJ2224" s="15"/>
      <c r="CK2224" s="1107"/>
      <c r="CL2224" s="22"/>
      <c r="CM2224" s="22"/>
      <c r="CN2224" s="1107"/>
      <c r="CR2224" s="223"/>
      <c r="CS2224" s="952"/>
      <c r="CT2224" s="1066"/>
      <c r="CU2224" s="972"/>
      <c r="CV2224" s="983"/>
      <c r="CW2224" s="222"/>
      <c r="CX2224" s="697"/>
      <c r="DC2224" s="222"/>
      <c r="DJ2224" s="889"/>
      <c r="DM2224" s="890"/>
      <c r="DN2224" s="952"/>
      <c r="DO2224" s="75"/>
      <c r="DP2224" s="962"/>
      <c r="DQ2224" s="983"/>
      <c r="DV2224" s="889"/>
    </row>
    <row r="2225" spans="1:126" s="74" customFormat="1">
      <c r="A2225" s="15"/>
      <c r="B2225" s="15"/>
      <c r="C2225" s="15"/>
      <c r="D2225" s="15"/>
      <c r="E2225" s="6"/>
      <c r="F2225" s="6"/>
      <c r="G2225" s="6"/>
      <c r="K2225" s="222"/>
      <c r="V2225" s="1430"/>
      <c r="AA2225" s="223"/>
      <c r="AC2225" s="889"/>
      <c r="AF2225" s="890"/>
      <c r="AJ2225" s="889"/>
      <c r="AN2225" s="222"/>
      <c r="BC2225" s="223"/>
      <c r="BD2225" s="222"/>
      <c r="BH2225" s="611"/>
      <c r="BJ2225" s="15"/>
      <c r="BK2225" s="15"/>
      <c r="BO2225" s="223"/>
      <c r="BQ2225" s="889"/>
      <c r="BT2225" s="890"/>
      <c r="BX2225" s="889"/>
      <c r="CB2225" s="15"/>
      <c r="CC2225" s="697"/>
      <c r="CD2225" s="1086"/>
      <c r="CE2225" s="15"/>
      <c r="CF2225" s="15"/>
      <c r="CG2225" s="936"/>
      <c r="CH2225" s="15"/>
      <c r="CI2225" s="15"/>
      <c r="CJ2225" s="15"/>
      <c r="CK2225" s="1107"/>
      <c r="CL2225" s="22"/>
      <c r="CM2225" s="22"/>
      <c r="CN2225" s="1107"/>
      <c r="CR2225" s="223"/>
      <c r="CS2225" s="952"/>
      <c r="CT2225" s="1066"/>
      <c r="CU2225" s="972"/>
      <c r="CV2225" s="983"/>
      <c r="CW2225" s="222"/>
      <c r="CX2225" s="697"/>
      <c r="DC2225" s="222"/>
      <c r="DJ2225" s="889"/>
      <c r="DM2225" s="890"/>
      <c r="DN2225" s="952"/>
      <c r="DO2225" s="75"/>
      <c r="DP2225" s="962"/>
      <c r="DQ2225" s="983"/>
      <c r="DV2225" s="889"/>
    </row>
    <row r="2226" spans="1:126" s="74" customFormat="1">
      <c r="A2226" s="15"/>
      <c r="B2226" s="15"/>
      <c r="C2226" s="15"/>
      <c r="D2226" s="15"/>
      <c r="E2226" s="6"/>
      <c r="F2226" s="6"/>
      <c r="G2226" s="6"/>
      <c r="K2226" s="222"/>
      <c r="V2226" s="1430"/>
      <c r="AA2226" s="223"/>
      <c r="AC2226" s="889"/>
      <c r="AF2226" s="890"/>
      <c r="AJ2226" s="889"/>
      <c r="AN2226" s="222"/>
      <c r="BC2226" s="223"/>
      <c r="BD2226" s="222"/>
      <c r="BH2226" s="611"/>
      <c r="BJ2226" s="15"/>
      <c r="BK2226" s="15"/>
      <c r="BO2226" s="223"/>
      <c r="BQ2226" s="889"/>
      <c r="BT2226" s="890"/>
      <c r="BX2226" s="889"/>
      <c r="CB2226" s="15"/>
      <c r="CC2226" s="697"/>
      <c r="CD2226" s="1086"/>
      <c r="CE2226" s="15"/>
      <c r="CF2226" s="15"/>
      <c r="CG2226" s="936"/>
      <c r="CH2226" s="15"/>
      <c r="CI2226" s="15"/>
      <c r="CJ2226" s="15"/>
      <c r="CK2226" s="1107"/>
      <c r="CL2226" s="22"/>
      <c r="CM2226" s="22"/>
      <c r="CN2226" s="1107"/>
      <c r="CR2226" s="223"/>
      <c r="CS2226" s="952"/>
      <c r="CT2226" s="1066"/>
      <c r="CU2226" s="972"/>
      <c r="CV2226" s="983"/>
      <c r="CW2226" s="222"/>
      <c r="CX2226" s="697"/>
      <c r="DC2226" s="222"/>
      <c r="DJ2226" s="889"/>
      <c r="DM2226" s="890"/>
      <c r="DN2226" s="952"/>
      <c r="DO2226" s="75"/>
      <c r="DP2226" s="962"/>
      <c r="DQ2226" s="983"/>
      <c r="DV2226" s="889"/>
    </row>
    <row r="2227" spans="1:126" s="74" customFormat="1">
      <c r="A2227" s="15"/>
      <c r="B2227" s="15"/>
      <c r="C2227" s="15"/>
      <c r="D2227" s="15"/>
      <c r="E2227" s="6"/>
      <c r="F2227" s="6"/>
      <c r="G2227" s="6"/>
      <c r="K2227" s="222"/>
      <c r="V2227" s="1430"/>
      <c r="AA2227" s="223"/>
      <c r="AC2227" s="889"/>
      <c r="AF2227" s="890"/>
      <c r="AJ2227" s="889"/>
      <c r="AN2227" s="222"/>
      <c r="BC2227" s="223"/>
      <c r="BD2227" s="222"/>
      <c r="BH2227" s="611"/>
      <c r="BJ2227" s="15"/>
      <c r="BK2227" s="15"/>
      <c r="BO2227" s="223"/>
      <c r="BQ2227" s="889"/>
      <c r="BT2227" s="890"/>
      <c r="BX2227" s="889"/>
      <c r="CB2227" s="15"/>
      <c r="CC2227" s="697"/>
      <c r="CD2227" s="1086"/>
      <c r="CE2227" s="15"/>
      <c r="CF2227" s="15"/>
      <c r="CG2227" s="936"/>
      <c r="CH2227" s="15"/>
      <c r="CI2227" s="15"/>
      <c r="CJ2227" s="15"/>
      <c r="CK2227" s="1107"/>
      <c r="CL2227" s="22"/>
      <c r="CM2227" s="22"/>
      <c r="CN2227" s="1107"/>
      <c r="CR2227" s="223"/>
      <c r="CS2227" s="952"/>
      <c r="CT2227" s="1066"/>
      <c r="CU2227" s="972"/>
      <c r="CV2227" s="983"/>
      <c r="CW2227" s="222"/>
      <c r="CX2227" s="697"/>
      <c r="DC2227" s="222"/>
      <c r="DJ2227" s="889"/>
      <c r="DM2227" s="890"/>
      <c r="DN2227" s="952"/>
      <c r="DO2227" s="75"/>
      <c r="DP2227" s="962"/>
      <c r="DQ2227" s="983"/>
      <c r="DV2227" s="889"/>
    </row>
    <row r="2228" spans="1:126" s="74" customFormat="1">
      <c r="A2228" s="15"/>
      <c r="B2228" s="15"/>
      <c r="C2228" s="15"/>
      <c r="D2228" s="15"/>
      <c r="E2228" s="6"/>
      <c r="F2228" s="6"/>
      <c r="G2228" s="6"/>
      <c r="K2228" s="222"/>
      <c r="V2228" s="1430"/>
      <c r="AA2228" s="223"/>
      <c r="AC2228" s="889"/>
      <c r="AF2228" s="890"/>
      <c r="AJ2228" s="889"/>
      <c r="AN2228" s="222"/>
      <c r="BC2228" s="223"/>
      <c r="BD2228" s="222"/>
      <c r="BH2228" s="611"/>
      <c r="BJ2228" s="15"/>
      <c r="BK2228" s="15"/>
      <c r="BO2228" s="223"/>
      <c r="BQ2228" s="889"/>
      <c r="BT2228" s="890"/>
      <c r="BX2228" s="889"/>
      <c r="CB2228" s="15"/>
      <c r="CC2228" s="697"/>
      <c r="CD2228" s="1086"/>
      <c r="CE2228" s="15"/>
      <c r="CF2228" s="15"/>
      <c r="CG2228" s="936"/>
      <c r="CH2228" s="15"/>
      <c r="CI2228" s="15"/>
      <c r="CJ2228" s="15"/>
      <c r="CK2228" s="1107"/>
      <c r="CL2228" s="22"/>
      <c r="CM2228" s="22"/>
      <c r="CN2228" s="1107"/>
      <c r="CR2228" s="223"/>
      <c r="CS2228" s="952"/>
      <c r="CT2228" s="1066"/>
      <c r="CU2228" s="972"/>
      <c r="CV2228" s="983"/>
      <c r="CW2228" s="222"/>
      <c r="CX2228" s="697"/>
      <c r="DC2228" s="222"/>
      <c r="DJ2228" s="889"/>
      <c r="DM2228" s="890"/>
      <c r="DN2228" s="952"/>
      <c r="DO2228" s="75"/>
      <c r="DP2228" s="962"/>
      <c r="DQ2228" s="983"/>
      <c r="DV2228" s="889"/>
    </row>
    <row r="2229" spans="1:126" s="74" customFormat="1">
      <c r="A2229" s="15"/>
      <c r="B2229" s="15"/>
      <c r="C2229" s="15"/>
      <c r="D2229" s="15"/>
      <c r="E2229" s="6"/>
      <c r="F2229" s="6"/>
      <c r="G2229" s="6"/>
      <c r="K2229" s="222"/>
      <c r="V2229" s="1430"/>
      <c r="AA2229" s="223"/>
      <c r="AC2229" s="889"/>
      <c r="AF2229" s="890"/>
      <c r="AJ2229" s="889"/>
      <c r="AN2229" s="222"/>
      <c r="BC2229" s="223"/>
      <c r="BD2229" s="222"/>
      <c r="BH2229" s="611"/>
      <c r="BJ2229" s="15"/>
      <c r="BK2229" s="15"/>
      <c r="BO2229" s="223"/>
      <c r="BQ2229" s="889"/>
      <c r="BT2229" s="890"/>
      <c r="BX2229" s="889"/>
      <c r="CB2229" s="15"/>
      <c r="CC2229" s="697"/>
      <c r="CD2229" s="1086"/>
      <c r="CE2229" s="15"/>
      <c r="CF2229" s="15"/>
      <c r="CG2229" s="936"/>
      <c r="CH2229" s="15"/>
      <c r="CI2229" s="15"/>
      <c r="CJ2229" s="15"/>
      <c r="CK2229" s="1107"/>
      <c r="CL2229" s="22"/>
      <c r="CM2229" s="22"/>
      <c r="CN2229" s="1107"/>
      <c r="CR2229" s="223"/>
      <c r="CS2229" s="952"/>
      <c r="CT2229" s="1066"/>
      <c r="CU2229" s="972"/>
      <c r="CV2229" s="983"/>
      <c r="CW2229" s="222"/>
      <c r="CX2229" s="697"/>
      <c r="DC2229" s="222"/>
      <c r="DJ2229" s="889"/>
      <c r="DM2229" s="890"/>
      <c r="DN2229" s="952"/>
      <c r="DO2229" s="75"/>
      <c r="DP2229" s="962"/>
      <c r="DQ2229" s="983"/>
      <c r="DV2229" s="889"/>
    </row>
    <row r="2230" spans="1:126" s="74" customFormat="1">
      <c r="A2230" s="15"/>
      <c r="B2230" s="15"/>
      <c r="C2230" s="15"/>
      <c r="D2230" s="15"/>
      <c r="E2230" s="6"/>
      <c r="F2230" s="6"/>
      <c r="G2230" s="6"/>
      <c r="K2230" s="222"/>
      <c r="V2230" s="1430"/>
      <c r="AA2230" s="223"/>
      <c r="AC2230" s="889"/>
      <c r="AF2230" s="890"/>
      <c r="AJ2230" s="889"/>
      <c r="AN2230" s="222"/>
      <c r="BC2230" s="223"/>
      <c r="BD2230" s="222"/>
      <c r="BH2230" s="611"/>
      <c r="BJ2230" s="15"/>
      <c r="BK2230" s="15"/>
      <c r="BO2230" s="223"/>
      <c r="BQ2230" s="889"/>
      <c r="BT2230" s="890"/>
      <c r="BX2230" s="889"/>
      <c r="CB2230" s="15"/>
      <c r="CC2230" s="697"/>
      <c r="CD2230" s="1086"/>
      <c r="CE2230" s="15"/>
      <c r="CF2230" s="15"/>
      <c r="CG2230" s="936"/>
      <c r="CH2230" s="15"/>
      <c r="CI2230" s="15"/>
      <c r="CJ2230" s="15"/>
      <c r="CK2230" s="1107"/>
      <c r="CL2230" s="22"/>
      <c r="CM2230" s="22"/>
      <c r="CN2230" s="1107"/>
      <c r="CR2230" s="223"/>
      <c r="CS2230" s="952"/>
      <c r="CT2230" s="1066"/>
      <c r="CU2230" s="972"/>
      <c r="CV2230" s="983"/>
      <c r="CW2230" s="222"/>
      <c r="CX2230" s="697"/>
      <c r="DC2230" s="222"/>
      <c r="DJ2230" s="889"/>
      <c r="DM2230" s="890"/>
      <c r="DN2230" s="952"/>
      <c r="DO2230" s="75"/>
      <c r="DP2230" s="962"/>
      <c r="DQ2230" s="983"/>
      <c r="DV2230" s="889"/>
    </row>
    <row r="2231" spans="1:126" s="74" customFormat="1">
      <c r="A2231" s="15"/>
      <c r="B2231" s="15"/>
      <c r="C2231" s="15"/>
      <c r="D2231" s="15"/>
      <c r="E2231" s="6"/>
      <c r="F2231" s="6"/>
      <c r="G2231" s="6"/>
      <c r="K2231" s="222"/>
      <c r="V2231" s="1430"/>
      <c r="AA2231" s="223"/>
      <c r="AC2231" s="889"/>
      <c r="AF2231" s="890"/>
      <c r="AJ2231" s="889"/>
      <c r="AN2231" s="222"/>
      <c r="BC2231" s="223"/>
      <c r="BD2231" s="222"/>
      <c r="BH2231" s="611"/>
      <c r="BJ2231" s="15"/>
      <c r="BK2231" s="15"/>
      <c r="BO2231" s="223"/>
      <c r="BQ2231" s="889"/>
      <c r="BT2231" s="890"/>
      <c r="BX2231" s="889"/>
      <c r="CB2231" s="15"/>
      <c r="CC2231" s="697"/>
      <c r="CD2231" s="1086"/>
      <c r="CE2231" s="15"/>
      <c r="CF2231" s="15"/>
      <c r="CG2231" s="936"/>
      <c r="CH2231" s="15"/>
      <c r="CI2231" s="15"/>
      <c r="CJ2231" s="15"/>
      <c r="CK2231" s="1107"/>
      <c r="CL2231" s="22"/>
      <c r="CM2231" s="22"/>
      <c r="CN2231" s="1107"/>
      <c r="CR2231" s="223"/>
      <c r="CS2231" s="952"/>
      <c r="CT2231" s="1066"/>
      <c r="CU2231" s="972"/>
      <c r="CV2231" s="983"/>
      <c r="CW2231" s="222"/>
      <c r="CX2231" s="697"/>
      <c r="DC2231" s="222"/>
      <c r="DJ2231" s="889"/>
      <c r="DM2231" s="890"/>
      <c r="DN2231" s="952"/>
      <c r="DO2231" s="75"/>
      <c r="DP2231" s="962"/>
      <c r="DQ2231" s="983"/>
      <c r="DV2231" s="889"/>
    </row>
    <row r="2232" spans="1:126" s="74" customFormat="1">
      <c r="A2232" s="15"/>
      <c r="B2232" s="15"/>
      <c r="C2232" s="15"/>
      <c r="D2232" s="15"/>
      <c r="E2232" s="6"/>
      <c r="F2232" s="6"/>
      <c r="G2232" s="6"/>
      <c r="K2232" s="222"/>
      <c r="V2232" s="1430"/>
      <c r="AA2232" s="223"/>
      <c r="AC2232" s="889"/>
      <c r="AF2232" s="890"/>
      <c r="AJ2232" s="889"/>
      <c r="AN2232" s="222"/>
      <c r="BC2232" s="223"/>
      <c r="BD2232" s="222"/>
      <c r="BH2232" s="611"/>
      <c r="BJ2232" s="15"/>
      <c r="BK2232" s="15"/>
      <c r="BO2232" s="223"/>
      <c r="BQ2232" s="889"/>
      <c r="BT2232" s="890"/>
      <c r="BX2232" s="889"/>
      <c r="CB2232" s="15"/>
      <c r="CC2232" s="697"/>
      <c r="CD2232" s="1086"/>
      <c r="CE2232" s="15"/>
      <c r="CF2232" s="15"/>
      <c r="CG2232" s="936"/>
      <c r="CH2232" s="15"/>
      <c r="CI2232" s="15"/>
      <c r="CJ2232" s="15"/>
      <c r="CK2232" s="1107"/>
      <c r="CL2232" s="22"/>
      <c r="CM2232" s="22"/>
      <c r="CN2232" s="1107"/>
      <c r="CR2232" s="223"/>
      <c r="CS2232" s="952"/>
      <c r="CT2232" s="1066"/>
      <c r="CU2232" s="972"/>
      <c r="CV2232" s="983"/>
      <c r="CW2232" s="222"/>
      <c r="CX2232" s="697"/>
      <c r="DC2232" s="222"/>
      <c r="DJ2232" s="889"/>
      <c r="DM2232" s="890"/>
      <c r="DN2232" s="952"/>
      <c r="DO2232" s="75"/>
      <c r="DP2232" s="962"/>
      <c r="DQ2232" s="983"/>
      <c r="DV2232" s="889"/>
    </row>
    <row r="2233" spans="1:126" s="74" customFormat="1">
      <c r="A2233" s="15"/>
      <c r="B2233" s="15"/>
      <c r="C2233" s="15"/>
      <c r="D2233" s="15"/>
      <c r="E2233" s="6"/>
      <c r="F2233" s="6"/>
      <c r="G2233" s="6"/>
      <c r="K2233" s="222"/>
      <c r="V2233" s="1430"/>
      <c r="AA2233" s="223"/>
      <c r="AC2233" s="889"/>
      <c r="AF2233" s="890"/>
      <c r="AJ2233" s="889"/>
      <c r="AN2233" s="222"/>
      <c r="BC2233" s="223"/>
      <c r="BD2233" s="222"/>
      <c r="BH2233" s="611"/>
      <c r="BJ2233" s="15"/>
      <c r="BK2233" s="15"/>
      <c r="BO2233" s="223"/>
      <c r="BQ2233" s="889"/>
      <c r="BT2233" s="890"/>
      <c r="BX2233" s="889"/>
      <c r="CB2233" s="15"/>
      <c r="CC2233" s="697"/>
      <c r="CD2233" s="1086"/>
      <c r="CE2233" s="15"/>
      <c r="CF2233" s="15"/>
      <c r="CG2233" s="936"/>
      <c r="CH2233" s="15"/>
      <c r="CI2233" s="15"/>
      <c r="CJ2233" s="15"/>
      <c r="CK2233" s="1107"/>
      <c r="CL2233" s="22"/>
      <c r="CM2233" s="22"/>
      <c r="CN2233" s="1107"/>
      <c r="CR2233" s="223"/>
      <c r="CS2233" s="952"/>
      <c r="CT2233" s="1066"/>
      <c r="CU2233" s="972"/>
      <c r="CV2233" s="983"/>
      <c r="CW2233" s="222"/>
      <c r="CX2233" s="697"/>
      <c r="DC2233" s="222"/>
      <c r="DJ2233" s="889"/>
      <c r="DM2233" s="890"/>
      <c r="DN2233" s="952"/>
      <c r="DO2233" s="75"/>
      <c r="DP2233" s="962"/>
      <c r="DQ2233" s="983"/>
      <c r="DV2233" s="889"/>
    </row>
    <row r="2234" spans="1:126" s="74" customFormat="1">
      <c r="A2234" s="15"/>
      <c r="B2234" s="15"/>
      <c r="C2234" s="15"/>
      <c r="D2234" s="15"/>
      <c r="E2234" s="6"/>
      <c r="F2234" s="6"/>
      <c r="G2234" s="6"/>
      <c r="K2234" s="222"/>
      <c r="V2234" s="1430"/>
      <c r="AA2234" s="223"/>
      <c r="AC2234" s="889"/>
      <c r="AF2234" s="890"/>
      <c r="AJ2234" s="889"/>
      <c r="AN2234" s="222"/>
      <c r="BC2234" s="223"/>
      <c r="BD2234" s="222"/>
      <c r="BH2234" s="611"/>
      <c r="BJ2234" s="15"/>
      <c r="BK2234" s="15"/>
      <c r="BO2234" s="223"/>
      <c r="BQ2234" s="889"/>
      <c r="BT2234" s="890"/>
      <c r="BX2234" s="889"/>
      <c r="CB2234" s="15"/>
      <c r="CC2234" s="697"/>
      <c r="CD2234" s="1086"/>
      <c r="CE2234" s="15"/>
      <c r="CF2234" s="15"/>
      <c r="CG2234" s="936"/>
      <c r="CH2234" s="15"/>
      <c r="CI2234" s="15"/>
      <c r="CJ2234" s="15"/>
      <c r="CK2234" s="1107"/>
      <c r="CL2234" s="22"/>
      <c r="CM2234" s="22"/>
      <c r="CN2234" s="1107"/>
      <c r="CR2234" s="223"/>
      <c r="CS2234" s="952"/>
      <c r="CT2234" s="1066"/>
      <c r="CU2234" s="972"/>
      <c r="CV2234" s="983"/>
      <c r="CW2234" s="222"/>
      <c r="CX2234" s="697"/>
      <c r="DC2234" s="222"/>
      <c r="DJ2234" s="889"/>
      <c r="DM2234" s="890"/>
      <c r="DN2234" s="952"/>
      <c r="DO2234" s="75"/>
      <c r="DP2234" s="962"/>
      <c r="DQ2234" s="983"/>
      <c r="DV2234" s="889"/>
    </row>
    <row r="2235" spans="1:126" s="74" customFormat="1">
      <c r="A2235" s="15"/>
      <c r="B2235" s="15"/>
      <c r="C2235" s="15"/>
      <c r="D2235" s="15"/>
      <c r="E2235" s="6"/>
      <c r="F2235" s="6"/>
      <c r="G2235" s="6"/>
      <c r="K2235" s="222"/>
      <c r="V2235" s="1430"/>
      <c r="AA2235" s="223"/>
      <c r="AC2235" s="889"/>
      <c r="AF2235" s="890"/>
      <c r="AJ2235" s="889"/>
      <c r="AN2235" s="222"/>
      <c r="BC2235" s="223"/>
      <c r="BD2235" s="222"/>
      <c r="BH2235" s="611"/>
      <c r="BJ2235" s="15"/>
      <c r="BK2235" s="15"/>
      <c r="BO2235" s="223"/>
      <c r="BQ2235" s="889"/>
      <c r="BT2235" s="890"/>
      <c r="BX2235" s="889"/>
      <c r="CB2235" s="15"/>
      <c r="CC2235" s="697"/>
      <c r="CD2235" s="1086"/>
      <c r="CE2235" s="15"/>
      <c r="CF2235" s="15"/>
      <c r="CG2235" s="936"/>
      <c r="CH2235" s="15"/>
      <c r="CI2235" s="15"/>
      <c r="CJ2235" s="15"/>
      <c r="CK2235" s="1107"/>
      <c r="CL2235" s="22"/>
      <c r="CM2235" s="22"/>
      <c r="CN2235" s="1107"/>
      <c r="CR2235" s="223"/>
      <c r="CS2235" s="952"/>
      <c r="CT2235" s="1066"/>
      <c r="CU2235" s="972"/>
      <c r="CV2235" s="983"/>
      <c r="CW2235" s="222"/>
      <c r="CX2235" s="697"/>
      <c r="DC2235" s="222"/>
      <c r="DJ2235" s="889"/>
      <c r="DM2235" s="890"/>
      <c r="DN2235" s="952"/>
      <c r="DO2235" s="75"/>
      <c r="DP2235" s="962"/>
      <c r="DQ2235" s="983"/>
      <c r="DV2235" s="889"/>
    </row>
    <row r="2236" spans="1:126" s="74" customFormat="1">
      <c r="A2236" s="15"/>
      <c r="B2236" s="15"/>
      <c r="C2236" s="15"/>
      <c r="D2236" s="15"/>
      <c r="E2236" s="6"/>
      <c r="F2236" s="6"/>
      <c r="G2236" s="6"/>
      <c r="K2236" s="222"/>
      <c r="V2236" s="1430"/>
      <c r="AA2236" s="223"/>
      <c r="AC2236" s="889"/>
      <c r="AF2236" s="890"/>
      <c r="AJ2236" s="889"/>
      <c r="AN2236" s="222"/>
      <c r="BC2236" s="223"/>
      <c r="BD2236" s="222"/>
      <c r="BH2236" s="611"/>
      <c r="BJ2236" s="15"/>
      <c r="BK2236" s="15"/>
      <c r="BO2236" s="223"/>
      <c r="BQ2236" s="889"/>
      <c r="BT2236" s="890"/>
      <c r="BX2236" s="889"/>
      <c r="CB2236" s="15"/>
      <c r="CC2236" s="697"/>
      <c r="CD2236" s="1086"/>
      <c r="CE2236" s="15"/>
      <c r="CF2236" s="15"/>
      <c r="CG2236" s="936"/>
      <c r="CH2236" s="15"/>
      <c r="CI2236" s="15"/>
      <c r="CJ2236" s="15"/>
      <c r="CK2236" s="1107"/>
      <c r="CL2236" s="22"/>
      <c r="CM2236" s="22"/>
      <c r="CN2236" s="1107"/>
      <c r="CR2236" s="223"/>
      <c r="CS2236" s="952"/>
      <c r="CT2236" s="1066"/>
      <c r="CU2236" s="972"/>
      <c r="CV2236" s="983"/>
      <c r="CW2236" s="222"/>
      <c r="CX2236" s="697"/>
      <c r="DC2236" s="222"/>
      <c r="DJ2236" s="889"/>
      <c r="DM2236" s="890"/>
      <c r="DN2236" s="952"/>
      <c r="DO2236" s="75"/>
      <c r="DP2236" s="962"/>
      <c r="DQ2236" s="983"/>
      <c r="DV2236" s="889"/>
    </row>
    <row r="2237" spans="1:126" s="74" customFormat="1">
      <c r="A2237" s="15"/>
      <c r="B2237" s="15"/>
      <c r="C2237" s="15"/>
      <c r="D2237" s="15"/>
      <c r="E2237" s="6"/>
      <c r="F2237" s="6"/>
      <c r="G2237" s="6"/>
      <c r="K2237" s="222"/>
      <c r="V2237" s="1430"/>
      <c r="AA2237" s="223"/>
      <c r="AC2237" s="889"/>
      <c r="AF2237" s="890"/>
      <c r="AJ2237" s="889"/>
      <c r="AN2237" s="222"/>
      <c r="BC2237" s="223"/>
      <c r="BD2237" s="222"/>
      <c r="BH2237" s="611"/>
      <c r="BJ2237" s="15"/>
      <c r="BK2237" s="15"/>
      <c r="BO2237" s="223"/>
      <c r="BQ2237" s="889"/>
      <c r="BT2237" s="890"/>
      <c r="BX2237" s="889"/>
      <c r="CB2237" s="15"/>
      <c r="CC2237" s="697"/>
      <c r="CD2237" s="1086"/>
      <c r="CE2237" s="15"/>
      <c r="CF2237" s="15"/>
      <c r="CG2237" s="936"/>
      <c r="CH2237" s="15"/>
      <c r="CI2237" s="15"/>
      <c r="CJ2237" s="15"/>
      <c r="CK2237" s="1107"/>
      <c r="CL2237" s="22"/>
      <c r="CM2237" s="22"/>
      <c r="CN2237" s="1107"/>
      <c r="CR2237" s="223"/>
      <c r="CS2237" s="952"/>
      <c r="CT2237" s="1066"/>
      <c r="CU2237" s="972"/>
      <c r="CV2237" s="983"/>
      <c r="CW2237" s="222"/>
      <c r="CX2237" s="697"/>
      <c r="DC2237" s="222"/>
      <c r="DJ2237" s="889"/>
      <c r="DM2237" s="890"/>
      <c r="DN2237" s="952"/>
      <c r="DO2237" s="75"/>
      <c r="DP2237" s="962"/>
      <c r="DQ2237" s="983"/>
      <c r="DV2237" s="889"/>
    </row>
    <row r="2238" spans="1:126" s="74" customFormat="1">
      <c r="A2238" s="15"/>
      <c r="B2238" s="15"/>
      <c r="C2238" s="15"/>
      <c r="D2238" s="15"/>
      <c r="E2238" s="6"/>
      <c r="F2238" s="6"/>
      <c r="G2238" s="6"/>
      <c r="K2238" s="222"/>
      <c r="V2238" s="1430"/>
      <c r="AA2238" s="223"/>
      <c r="AC2238" s="889"/>
      <c r="AF2238" s="890"/>
      <c r="AJ2238" s="889"/>
      <c r="AN2238" s="222"/>
      <c r="BC2238" s="223"/>
      <c r="BD2238" s="222"/>
      <c r="BH2238" s="611"/>
      <c r="BJ2238" s="15"/>
      <c r="BK2238" s="15"/>
      <c r="BO2238" s="223"/>
      <c r="BQ2238" s="889"/>
      <c r="BT2238" s="890"/>
      <c r="BX2238" s="889"/>
      <c r="CB2238" s="15"/>
      <c r="CC2238" s="697"/>
      <c r="CD2238" s="1086"/>
      <c r="CE2238" s="15"/>
      <c r="CF2238" s="15"/>
      <c r="CG2238" s="936"/>
      <c r="CH2238" s="15"/>
      <c r="CI2238" s="15"/>
      <c r="CJ2238" s="15"/>
      <c r="CK2238" s="1107"/>
      <c r="CL2238" s="22"/>
      <c r="CM2238" s="22"/>
      <c r="CN2238" s="1107"/>
      <c r="CR2238" s="223"/>
      <c r="CS2238" s="952"/>
      <c r="CT2238" s="1066"/>
      <c r="CU2238" s="972"/>
      <c r="CV2238" s="983"/>
      <c r="CW2238" s="222"/>
      <c r="CX2238" s="697"/>
      <c r="DC2238" s="222"/>
      <c r="DJ2238" s="889"/>
      <c r="DM2238" s="890"/>
      <c r="DN2238" s="952"/>
      <c r="DO2238" s="75"/>
      <c r="DP2238" s="962"/>
      <c r="DQ2238" s="983"/>
      <c r="DV2238" s="889"/>
    </row>
    <row r="2239" spans="1:126" s="74" customFormat="1">
      <c r="A2239" s="15"/>
      <c r="B2239" s="15"/>
      <c r="C2239" s="15"/>
      <c r="D2239" s="15"/>
      <c r="E2239" s="6"/>
      <c r="F2239" s="6"/>
      <c r="G2239" s="6"/>
      <c r="K2239" s="222"/>
      <c r="V2239" s="1430"/>
      <c r="AA2239" s="223"/>
      <c r="AC2239" s="889"/>
      <c r="AF2239" s="890"/>
      <c r="AJ2239" s="889"/>
      <c r="AN2239" s="222"/>
      <c r="BC2239" s="223"/>
      <c r="BD2239" s="222"/>
      <c r="BH2239" s="611"/>
      <c r="BJ2239" s="15"/>
      <c r="BK2239" s="15"/>
      <c r="BO2239" s="223"/>
      <c r="BQ2239" s="889"/>
      <c r="BT2239" s="890"/>
      <c r="BX2239" s="889"/>
      <c r="CB2239" s="15"/>
      <c r="CC2239" s="697"/>
      <c r="CD2239" s="1086"/>
      <c r="CE2239" s="15"/>
      <c r="CF2239" s="15"/>
      <c r="CG2239" s="936"/>
      <c r="CH2239" s="15"/>
      <c r="CI2239" s="15"/>
      <c r="CJ2239" s="15"/>
      <c r="CK2239" s="1107"/>
      <c r="CL2239" s="22"/>
      <c r="CM2239" s="22"/>
      <c r="CN2239" s="1107"/>
      <c r="CR2239" s="223"/>
      <c r="CS2239" s="952"/>
      <c r="CT2239" s="1066"/>
      <c r="CU2239" s="972"/>
      <c r="CV2239" s="983"/>
      <c r="CW2239" s="222"/>
      <c r="CX2239" s="697"/>
      <c r="DC2239" s="222"/>
      <c r="DJ2239" s="889"/>
      <c r="DM2239" s="890"/>
      <c r="DN2239" s="952"/>
      <c r="DO2239" s="75"/>
      <c r="DP2239" s="962"/>
      <c r="DQ2239" s="983"/>
      <c r="DV2239" s="889"/>
    </row>
    <row r="2240" spans="1:126" s="74" customFormat="1">
      <c r="A2240" s="15"/>
      <c r="B2240" s="15"/>
      <c r="C2240" s="15"/>
      <c r="D2240" s="15"/>
      <c r="E2240" s="6"/>
      <c r="F2240" s="6"/>
      <c r="G2240" s="6"/>
      <c r="K2240" s="222"/>
      <c r="V2240" s="1430"/>
      <c r="AA2240" s="223"/>
      <c r="AC2240" s="889"/>
      <c r="AF2240" s="890"/>
      <c r="AJ2240" s="889"/>
      <c r="AN2240" s="222"/>
      <c r="BC2240" s="223"/>
      <c r="BD2240" s="222"/>
      <c r="BH2240" s="611"/>
      <c r="BJ2240" s="15"/>
      <c r="BK2240" s="15"/>
      <c r="BO2240" s="223"/>
      <c r="BQ2240" s="889"/>
      <c r="BT2240" s="890"/>
      <c r="BX2240" s="889"/>
      <c r="CB2240" s="15"/>
      <c r="CC2240" s="697"/>
      <c r="CD2240" s="1086"/>
      <c r="CE2240" s="15"/>
      <c r="CF2240" s="15"/>
      <c r="CG2240" s="936"/>
      <c r="CH2240" s="15"/>
      <c r="CI2240" s="15"/>
      <c r="CJ2240" s="15"/>
      <c r="CK2240" s="1107"/>
      <c r="CL2240" s="22"/>
      <c r="CM2240" s="22"/>
      <c r="CN2240" s="1107"/>
      <c r="CR2240" s="223"/>
      <c r="CS2240" s="952"/>
      <c r="CT2240" s="1066"/>
      <c r="CU2240" s="972"/>
      <c r="CV2240" s="983"/>
      <c r="CW2240" s="222"/>
      <c r="CX2240" s="697"/>
      <c r="DC2240" s="222"/>
      <c r="DJ2240" s="889"/>
      <c r="DM2240" s="890"/>
      <c r="DN2240" s="952"/>
      <c r="DO2240" s="75"/>
      <c r="DP2240" s="962"/>
      <c r="DQ2240" s="983"/>
      <c r="DV2240" s="889"/>
    </row>
    <row r="2241" spans="1:126" s="74" customFormat="1">
      <c r="A2241" s="15"/>
      <c r="B2241" s="15"/>
      <c r="C2241" s="15"/>
      <c r="D2241" s="15"/>
      <c r="E2241" s="6"/>
      <c r="F2241" s="6"/>
      <c r="G2241" s="6"/>
      <c r="K2241" s="222"/>
      <c r="V2241" s="1430"/>
      <c r="AA2241" s="223"/>
      <c r="AC2241" s="889"/>
      <c r="AF2241" s="890"/>
      <c r="AJ2241" s="889"/>
      <c r="AN2241" s="222"/>
      <c r="BC2241" s="223"/>
      <c r="BD2241" s="222"/>
      <c r="BH2241" s="611"/>
      <c r="BJ2241" s="15"/>
      <c r="BK2241" s="15"/>
      <c r="BO2241" s="223"/>
      <c r="BQ2241" s="889"/>
      <c r="BT2241" s="890"/>
      <c r="BX2241" s="889"/>
      <c r="CB2241" s="15"/>
      <c r="CC2241" s="697"/>
      <c r="CD2241" s="1086"/>
      <c r="CE2241" s="15"/>
      <c r="CF2241" s="15"/>
      <c r="CG2241" s="936"/>
      <c r="CH2241" s="15"/>
      <c r="CI2241" s="15"/>
      <c r="CJ2241" s="15"/>
      <c r="CK2241" s="1107"/>
      <c r="CL2241" s="22"/>
      <c r="CM2241" s="22"/>
      <c r="CN2241" s="1107"/>
      <c r="CR2241" s="223"/>
      <c r="CS2241" s="952"/>
      <c r="CT2241" s="1066"/>
      <c r="CU2241" s="972"/>
      <c r="CV2241" s="983"/>
      <c r="CW2241" s="222"/>
      <c r="CX2241" s="697"/>
      <c r="DC2241" s="222"/>
      <c r="DJ2241" s="889"/>
      <c r="DM2241" s="890"/>
      <c r="DN2241" s="952"/>
      <c r="DO2241" s="75"/>
      <c r="DP2241" s="962"/>
      <c r="DQ2241" s="983"/>
      <c r="DV2241" s="889"/>
    </row>
    <row r="2242" spans="1:126" s="74" customFormat="1">
      <c r="A2242" s="15"/>
      <c r="B2242" s="15"/>
      <c r="C2242" s="15"/>
      <c r="D2242" s="15"/>
      <c r="E2242" s="6"/>
      <c r="F2242" s="6"/>
      <c r="G2242" s="6"/>
      <c r="K2242" s="222"/>
      <c r="V2242" s="1430"/>
      <c r="AA2242" s="223"/>
      <c r="AC2242" s="889"/>
      <c r="AF2242" s="890"/>
      <c r="AJ2242" s="889"/>
      <c r="AN2242" s="222"/>
      <c r="BC2242" s="223"/>
      <c r="BD2242" s="222"/>
      <c r="BH2242" s="611"/>
      <c r="BJ2242" s="15"/>
      <c r="BK2242" s="15"/>
      <c r="BO2242" s="223"/>
      <c r="BQ2242" s="889"/>
      <c r="BT2242" s="890"/>
      <c r="BX2242" s="889"/>
      <c r="CB2242" s="15"/>
      <c r="CC2242" s="697"/>
      <c r="CD2242" s="1086"/>
      <c r="CE2242" s="15"/>
      <c r="CF2242" s="15"/>
      <c r="CG2242" s="936"/>
      <c r="CH2242" s="15"/>
      <c r="CI2242" s="15"/>
      <c r="CJ2242" s="15"/>
      <c r="CK2242" s="1107"/>
      <c r="CL2242" s="22"/>
      <c r="CM2242" s="22"/>
      <c r="CN2242" s="1107"/>
      <c r="CR2242" s="223"/>
      <c r="CS2242" s="952"/>
      <c r="CT2242" s="1066"/>
      <c r="CU2242" s="972"/>
      <c r="CV2242" s="983"/>
      <c r="CW2242" s="222"/>
      <c r="CX2242" s="697"/>
      <c r="DC2242" s="222"/>
      <c r="DJ2242" s="889"/>
      <c r="DM2242" s="890"/>
      <c r="DN2242" s="952"/>
      <c r="DO2242" s="75"/>
      <c r="DP2242" s="962"/>
      <c r="DQ2242" s="983"/>
      <c r="DV2242" s="889"/>
    </row>
    <row r="2243" spans="1:126" s="74" customFormat="1">
      <c r="A2243" s="15"/>
      <c r="B2243" s="15"/>
      <c r="C2243" s="15"/>
      <c r="D2243" s="15"/>
      <c r="E2243" s="6"/>
      <c r="F2243" s="6"/>
      <c r="G2243" s="6"/>
      <c r="K2243" s="222"/>
      <c r="V2243" s="1430"/>
      <c r="AA2243" s="223"/>
      <c r="AC2243" s="889"/>
      <c r="AF2243" s="890"/>
      <c r="AJ2243" s="889"/>
      <c r="AN2243" s="222"/>
      <c r="BC2243" s="223"/>
      <c r="BD2243" s="222"/>
      <c r="BH2243" s="611"/>
      <c r="BJ2243" s="15"/>
      <c r="BK2243" s="15"/>
      <c r="BO2243" s="223"/>
      <c r="BQ2243" s="889"/>
      <c r="BT2243" s="890"/>
      <c r="BX2243" s="889"/>
      <c r="CB2243" s="15"/>
      <c r="CC2243" s="697"/>
      <c r="CD2243" s="1086"/>
      <c r="CE2243" s="15"/>
      <c r="CF2243" s="15"/>
      <c r="CG2243" s="936"/>
      <c r="CH2243" s="15"/>
      <c r="CI2243" s="15"/>
      <c r="CJ2243" s="15"/>
      <c r="CK2243" s="1107"/>
      <c r="CL2243" s="22"/>
      <c r="CM2243" s="22"/>
      <c r="CN2243" s="1107"/>
      <c r="CR2243" s="223"/>
      <c r="CS2243" s="952"/>
      <c r="CT2243" s="1066"/>
      <c r="CU2243" s="972"/>
      <c r="CV2243" s="983"/>
      <c r="CW2243" s="222"/>
      <c r="CX2243" s="697"/>
      <c r="DC2243" s="222"/>
      <c r="DJ2243" s="889"/>
      <c r="DM2243" s="890"/>
      <c r="DN2243" s="952"/>
      <c r="DO2243" s="75"/>
      <c r="DP2243" s="962"/>
      <c r="DQ2243" s="983"/>
      <c r="DV2243" s="889"/>
    </row>
    <row r="2244" spans="1:126" s="74" customFormat="1">
      <c r="A2244" s="15"/>
      <c r="B2244" s="15"/>
      <c r="C2244" s="15"/>
      <c r="D2244" s="15"/>
      <c r="E2244" s="6"/>
      <c r="F2244" s="6"/>
      <c r="G2244" s="6"/>
      <c r="K2244" s="222"/>
      <c r="V2244" s="1430"/>
      <c r="AA2244" s="223"/>
      <c r="AC2244" s="889"/>
      <c r="AF2244" s="890"/>
      <c r="AJ2244" s="889"/>
      <c r="AN2244" s="222"/>
      <c r="BC2244" s="223"/>
      <c r="BD2244" s="222"/>
      <c r="BH2244" s="611"/>
      <c r="BJ2244" s="15"/>
      <c r="BK2244" s="15"/>
      <c r="BO2244" s="223"/>
      <c r="BQ2244" s="889"/>
      <c r="BT2244" s="890"/>
      <c r="BX2244" s="889"/>
      <c r="CB2244" s="15"/>
      <c r="CC2244" s="697"/>
      <c r="CD2244" s="1086"/>
      <c r="CE2244" s="15"/>
      <c r="CF2244" s="15"/>
      <c r="CG2244" s="936"/>
      <c r="CH2244" s="15"/>
      <c r="CI2244" s="15"/>
      <c r="CJ2244" s="15"/>
      <c r="CK2244" s="1107"/>
      <c r="CL2244" s="22"/>
      <c r="CM2244" s="22"/>
      <c r="CN2244" s="1107"/>
      <c r="CR2244" s="223"/>
      <c r="CS2244" s="952"/>
      <c r="CT2244" s="1066"/>
      <c r="CU2244" s="972"/>
      <c r="CV2244" s="983"/>
      <c r="CW2244" s="222"/>
      <c r="CX2244" s="697"/>
      <c r="DC2244" s="222"/>
      <c r="DJ2244" s="889"/>
      <c r="DM2244" s="890"/>
      <c r="DN2244" s="952"/>
      <c r="DO2244" s="75"/>
      <c r="DP2244" s="962"/>
      <c r="DQ2244" s="983"/>
      <c r="DV2244" s="889"/>
    </row>
    <row r="2245" spans="1:126" s="74" customFormat="1">
      <c r="A2245" s="15"/>
      <c r="B2245" s="15"/>
      <c r="C2245" s="15"/>
      <c r="D2245" s="15"/>
      <c r="E2245" s="6"/>
      <c r="F2245" s="6"/>
      <c r="G2245" s="6"/>
      <c r="K2245" s="222"/>
      <c r="V2245" s="1430"/>
      <c r="AA2245" s="223"/>
      <c r="AC2245" s="889"/>
      <c r="AF2245" s="890"/>
      <c r="AJ2245" s="889"/>
      <c r="AN2245" s="222"/>
      <c r="BC2245" s="223"/>
      <c r="BD2245" s="222"/>
      <c r="BH2245" s="611"/>
      <c r="BJ2245" s="15"/>
      <c r="BK2245" s="15"/>
      <c r="BO2245" s="223"/>
      <c r="BQ2245" s="889"/>
      <c r="BT2245" s="890"/>
      <c r="BX2245" s="889"/>
      <c r="CB2245" s="15"/>
      <c r="CC2245" s="697"/>
      <c r="CD2245" s="1086"/>
      <c r="CE2245" s="15"/>
      <c r="CF2245" s="15"/>
      <c r="CG2245" s="936"/>
      <c r="CH2245" s="15"/>
      <c r="CI2245" s="15"/>
      <c r="CJ2245" s="15"/>
      <c r="CK2245" s="1107"/>
      <c r="CL2245" s="22"/>
      <c r="CM2245" s="22"/>
      <c r="CN2245" s="1107"/>
      <c r="CR2245" s="223"/>
      <c r="CS2245" s="952"/>
      <c r="CT2245" s="1066"/>
      <c r="CU2245" s="972"/>
      <c r="CV2245" s="983"/>
      <c r="CW2245" s="222"/>
      <c r="CX2245" s="697"/>
      <c r="DC2245" s="222"/>
      <c r="DJ2245" s="889"/>
      <c r="DM2245" s="890"/>
      <c r="DN2245" s="952"/>
      <c r="DO2245" s="75"/>
      <c r="DP2245" s="962"/>
      <c r="DQ2245" s="983"/>
      <c r="DV2245" s="889"/>
    </row>
    <row r="2246" spans="1:126" s="74" customFormat="1">
      <c r="A2246" s="15"/>
      <c r="B2246" s="15"/>
      <c r="C2246" s="15"/>
      <c r="D2246" s="15"/>
      <c r="E2246" s="6"/>
      <c r="F2246" s="6"/>
      <c r="G2246" s="6"/>
      <c r="K2246" s="222"/>
      <c r="V2246" s="1430"/>
      <c r="AA2246" s="223"/>
      <c r="AC2246" s="889"/>
      <c r="AF2246" s="890"/>
      <c r="AJ2246" s="889"/>
      <c r="AN2246" s="222"/>
      <c r="BC2246" s="223"/>
      <c r="BD2246" s="222"/>
      <c r="BH2246" s="611"/>
      <c r="BJ2246" s="15"/>
      <c r="BK2246" s="15"/>
      <c r="BO2246" s="223"/>
      <c r="BQ2246" s="889"/>
      <c r="BT2246" s="890"/>
      <c r="BX2246" s="889"/>
      <c r="CB2246" s="15"/>
      <c r="CC2246" s="697"/>
      <c r="CD2246" s="1086"/>
      <c r="CE2246" s="15"/>
      <c r="CF2246" s="15"/>
      <c r="CG2246" s="936"/>
      <c r="CH2246" s="15"/>
      <c r="CI2246" s="15"/>
      <c r="CJ2246" s="15"/>
      <c r="CK2246" s="1107"/>
      <c r="CL2246" s="22"/>
      <c r="CM2246" s="22"/>
      <c r="CN2246" s="1107"/>
      <c r="CR2246" s="223"/>
      <c r="CS2246" s="952"/>
      <c r="CT2246" s="1066"/>
      <c r="CU2246" s="972"/>
      <c r="CV2246" s="983"/>
      <c r="CW2246" s="222"/>
      <c r="CX2246" s="697"/>
      <c r="DC2246" s="222"/>
      <c r="DJ2246" s="889"/>
      <c r="DM2246" s="890"/>
      <c r="DN2246" s="952"/>
      <c r="DO2246" s="75"/>
      <c r="DP2246" s="962"/>
      <c r="DQ2246" s="983"/>
      <c r="DV2246" s="889"/>
    </row>
    <row r="2247" spans="1:126" s="74" customFormat="1">
      <c r="A2247" s="15"/>
      <c r="B2247" s="15"/>
      <c r="C2247" s="15"/>
      <c r="D2247" s="15"/>
      <c r="E2247" s="6"/>
      <c r="F2247" s="6"/>
      <c r="G2247" s="6"/>
      <c r="K2247" s="222"/>
      <c r="V2247" s="1430"/>
      <c r="AA2247" s="223"/>
      <c r="AC2247" s="889"/>
      <c r="AF2247" s="890"/>
      <c r="AJ2247" s="889"/>
      <c r="AN2247" s="222"/>
      <c r="BC2247" s="223"/>
      <c r="BD2247" s="222"/>
      <c r="BH2247" s="611"/>
      <c r="BJ2247" s="15"/>
      <c r="BK2247" s="15"/>
      <c r="BO2247" s="223"/>
      <c r="BQ2247" s="889"/>
      <c r="BT2247" s="890"/>
      <c r="BX2247" s="889"/>
      <c r="CB2247" s="15"/>
      <c r="CC2247" s="697"/>
      <c r="CD2247" s="1086"/>
      <c r="CE2247" s="15"/>
      <c r="CF2247" s="15"/>
      <c r="CG2247" s="936"/>
      <c r="CH2247" s="15"/>
      <c r="CI2247" s="15"/>
      <c r="CJ2247" s="15"/>
      <c r="CK2247" s="1107"/>
      <c r="CL2247" s="22"/>
      <c r="CM2247" s="22"/>
      <c r="CN2247" s="1107"/>
      <c r="CR2247" s="223"/>
      <c r="CS2247" s="952"/>
      <c r="CT2247" s="1066"/>
      <c r="CU2247" s="972"/>
      <c r="CV2247" s="983"/>
      <c r="CW2247" s="222"/>
      <c r="CX2247" s="697"/>
      <c r="DC2247" s="222"/>
      <c r="DJ2247" s="889"/>
      <c r="DM2247" s="890"/>
      <c r="DN2247" s="952"/>
      <c r="DO2247" s="75"/>
      <c r="DP2247" s="962"/>
      <c r="DQ2247" s="983"/>
      <c r="DV2247" s="889"/>
    </row>
    <row r="2248" spans="1:126" s="74" customFormat="1">
      <c r="A2248" s="15"/>
      <c r="B2248" s="15"/>
      <c r="C2248" s="15"/>
      <c r="D2248" s="15"/>
      <c r="E2248" s="6"/>
      <c r="F2248" s="6"/>
      <c r="G2248" s="6"/>
      <c r="K2248" s="222"/>
      <c r="V2248" s="1430"/>
      <c r="AA2248" s="223"/>
      <c r="AC2248" s="889"/>
      <c r="AF2248" s="890"/>
      <c r="AJ2248" s="889"/>
      <c r="AN2248" s="222"/>
      <c r="BC2248" s="223"/>
      <c r="BD2248" s="222"/>
      <c r="BH2248" s="611"/>
      <c r="BJ2248" s="15"/>
      <c r="BK2248" s="15"/>
      <c r="BO2248" s="223"/>
      <c r="BQ2248" s="889"/>
      <c r="BT2248" s="890"/>
      <c r="BX2248" s="889"/>
      <c r="CB2248" s="15"/>
      <c r="CC2248" s="697"/>
      <c r="CD2248" s="1086"/>
      <c r="CE2248" s="15"/>
      <c r="CF2248" s="15"/>
      <c r="CG2248" s="936"/>
      <c r="CH2248" s="15"/>
      <c r="CI2248" s="15"/>
      <c r="CJ2248" s="15"/>
      <c r="CK2248" s="1107"/>
      <c r="CL2248" s="22"/>
      <c r="CM2248" s="22"/>
      <c r="CN2248" s="1107"/>
      <c r="CR2248" s="223"/>
      <c r="CS2248" s="952"/>
      <c r="CT2248" s="1066"/>
      <c r="CU2248" s="972"/>
      <c r="CV2248" s="983"/>
      <c r="CW2248" s="222"/>
      <c r="CX2248" s="697"/>
      <c r="DC2248" s="222"/>
      <c r="DJ2248" s="889"/>
      <c r="DM2248" s="890"/>
      <c r="DN2248" s="952"/>
      <c r="DO2248" s="75"/>
      <c r="DP2248" s="962"/>
      <c r="DQ2248" s="983"/>
      <c r="DV2248" s="889"/>
    </row>
    <row r="2249" spans="1:126" s="74" customFormat="1">
      <c r="A2249" s="15"/>
      <c r="B2249" s="15"/>
      <c r="C2249" s="15"/>
      <c r="D2249" s="15"/>
      <c r="E2249" s="6"/>
      <c r="F2249" s="6"/>
      <c r="G2249" s="6"/>
      <c r="K2249" s="222"/>
      <c r="V2249" s="1430"/>
      <c r="AA2249" s="223"/>
      <c r="AC2249" s="889"/>
      <c r="AF2249" s="890"/>
      <c r="AJ2249" s="889"/>
      <c r="AN2249" s="222"/>
      <c r="BC2249" s="223"/>
      <c r="BD2249" s="222"/>
      <c r="BH2249" s="611"/>
      <c r="BJ2249" s="15"/>
      <c r="BK2249" s="15"/>
      <c r="BO2249" s="223"/>
      <c r="BQ2249" s="889"/>
      <c r="BT2249" s="890"/>
      <c r="BX2249" s="889"/>
      <c r="CB2249" s="15"/>
      <c r="CC2249" s="697"/>
      <c r="CD2249" s="1086"/>
      <c r="CE2249" s="15"/>
      <c r="CF2249" s="15"/>
      <c r="CG2249" s="936"/>
      <c r="CH2249" s="15"/>
      <c r="CI2249" s="15"/>
      <c r="CJ2249" s="15"/>
      <c r="CK2249" s="1107"/>
      <c r="CL2249" s="22"/>
      <c r="CM2249" s="22"/>
      <c r="CN2249" s="1107"/>
      <c r="CR2249" s="223"/>
      <c r="CS2249" s="952"/>
      <c r="CT2249" s="1066"/>
      <c r="CU2249" s="972"/>
      <c r="CV2249" s="983"/>
      <c r="CW2249" s="222"/>
      <c r="CX2249" s="697"/>
      <c r="DC2249" s="222"/>
      <c r="DJ2249" s="889"/>
      <c r="DM2249" s="890"/>
      <c r="DN2249" s="952"/>
      <c r="DO2249" s="75"/>
      <c r="DP2249" s="962"/>
      <c r="DQ2249" s="983"/>
      <c r="DV2249" s="889"/>
    </row>
    <row r="2250" spans="1:126" s="74" customFormat="1">
      <c r="A2250" s="15"/>
      <c r="B2250" s="15"/>
      <c r="C2250" s="15"/>
      <c r="D2250" s="15"/>
      <c r="E2250" s="6"/>
      <c r="F2250" s="6"/>
      <c r="G2250" s="6"/>
      <c r="K2250" s="222"/>
      <c r="V2250" s="1430"/>
      <c r="AA2250" s="223"/>
      <c r="AC2250" s="889"/>
      <c r="AF2250" s="890"/>
      <c r="AJ2250" s="889"/>
      <c r="AN2250" s="222"/>
      <c r="BC2250" s="223"/>
      <c r="BD2250" s="222"/>
      <c r="BH2250" s="611"/>
      <c r="BJ2250" s="15"/>
      <c r="BK2250" s="15"/>
      <c r="BO2250" s="223"/>
      <c r="BQ2250" s="889"/>
      <c r="BT2250" s="890"/>
      <c r="BX2250" s="889"/>
      <c r="CB2250" s="15"/>
      <c r="CC2250" s="697"/>
      <c r="CD2250" s="1086"/>
      <c r="CE2250" s="15"/>
      <c r="CF2250" s="15"/>
      <c r="CG2250" s="936"/>
      <c r="CH2250" s="15"/>
      <c r="CI2250" s="15"/>
      <c r="CJ2250" s="15"/>
      <c r="CK2250" s="1107"/>
      <c r="CL2250" s="22"/>
      <c r="CM2250" s="22"/>
      <c r="CN2250" s="1107"/>
      <c r="CR2250" s="223"/>
      <c r="CS2250" s="952"/>
      <c r="CT2250" s="1066"/>
      <c r="CU2250" s="972"/>
      <c r="CV2250" s="983"/>
      <c r="CW2250" s="222"/>
      <c r="CX2250" s="697"/>
      <c r="DC2250" s="222"/>
      <c r="DJ2250" s="889"/>
      <c r="DM2250" s="890"/>
      <c r="DN2250" s="952"/>
      <c r="DO2250" s="75"/>
      <c r="DP2250" s="962"/>
      <c r="DQ2250" s="983"/>
      <c r="DV2250" s="889"/>
    </row>
    <row r="2251" spans="1:126" s="74" customFormat="1">
      <c r="A2251" s="15"/>
      <c r="B2251" s="15"/>
      <c r="C2251" s="15"/>
      <c r="D2251" s="15"/>
      <c r="E2251" s="6"/>
      <c r="F2251" s="6"/>
      <c r="G2251" s="6"/>
      <c r="K2251" s="222"/>
      <c r="V2251" s="1430"/>
      <c r="AA2251" s="223"/>
      <c r="AC2251" s="889"/>
      <c r="AF2251" s="890"/>
      <c r="AJ2251" s="889"/>
      <c r="AN2251" s="222"/>
      <c r="BC2251" s="223"/>
      <c r="BD2251" s="222"/>
      <c r="BH2251" s="611"/>
      <c r="BJ2251" s="15"/>
      <c r="BK2251" s="15"/>
      <c r="BO2251" s="223"/>
      <c r="BQ2251" s="889"/>
      <c r="BT2251" s="890"/>
      <c r="BX2251" s="889"/>
      <c r="CB2251" s="15"/>
      <c r="CC2251" s="697"/>
      <c r="CD2251" s="1086"/>
      <c r="CE2251" s="15"/>
      <c r="CF2251" s="15"/>
      <c r="CG2251" s="936"/>
      <c r="CH2251" s="15"/>
      <c r="CI2251" s="15"/>
      <c r="CJ2251" s="15"/>
      <c r="CK2251" s="1107"/>
      <c r="CL2251" s="22"/>
      <c r="CM2251" s="22"/>
      <c r="CN2251" s="1107"/>
      <c r="CR2251" s="223"/>
      <c r="CS2251" s="952"/>
      <c r="CT2251" s="1066"/>
      <c r="CU2251" s="972"/>
      <c r="CV2251" s="983"/>
      <c r="CW2251" s="222"/>
      <c r="CX2251" s="697"/>
      <c r="DC2251" s="222"/>
      <c r="DJ2251" s="889"/>
      <c r="DM2251" s="890"/>
      <c r="DN2251" s="952"/>
      <c r="DO2251" s="75"/>
      <c r="DP2251" s="962"/>
      <c r="DQ2251" s="983"/>
      <c r="DV2251" s="889"/>
    </row>
    <row r="2252" spans="1:126" s="74" customFormat="1">
      <c r="A2252" s="15"/>
      <c r="B2252" s="15"/>
      <c r="C2252" s="15"/>
      <c r="D2252" s="15"/>
      <c r="E2252" s="6"/>
      <c r="F2252" s="6"/>
      <c r="G2252" s="6"/>
      <c r="K2252" s="222"/>
      <c r="V2252" s="1430"/>
      <c r="AA2252" s="223"/>
      <c r="AC2252" s="889"/>
      <c r="AF2252" s="890"/>
      <c r="AJ2252" s="889"/>
      <c r="AN2252" s="222"/>
      <c r="BC2252" s="223"/>
      <c r="BD2252" s="222"/>
      <c r="BH2252" s="611"/>
      <c r="BJ2252" s="15"/>
      <c r="BK2252" s="15"/>
      <c r="BO2252" s="223"/>
      <c r="BQ2252" s="889"/>
      <c r="BT2252" s="890"/>
      <c r="BX2252" s="889"/>
      <c r="CB2252" s="15"/>
      <c r="CC2252" s="697"/>
      <c r="CD2252" s="1086"/>
      <c r="CE2252" s="15"/>
      <c r="CF2252" s="15"/>
      <c r="CG2252" s="936"/>
      <c r="CH2252" s="15"/>
      <c r="CI2252" s="15"/>
      <c r="CJ2252" s="15"/>
      <c r="CK2252" s="1107"/>
      <c r="CL2252" s="22"/>
      <c r="CM2252" s="22"/>
      <c r="CN2252" s="1107"/>
      <c r="CR2252" s="223"/>
      <c r="CS2252" s="952"/>
      <c r="CT2252" s="1066"/>
      <c r="CU2252" s="972"/>
      <c r="CV2252" s="983"/>
      <c r="CW2252" s="222"/>
      <c r="CX2252" s="697"/>
      <c r="DC2252" s="222"/>
      <c r="DJ2252" s="889"/>
      <c r="DM2252" s="890"/>
      <c r="DN2252" s="952"/>
      <c r="DO2252" s="75"/>
      <c r="DP2252" s="962"/>
      <c r="DQ2252" s="983"/>
      <c r="DV2252" s="889"/>
    </row>
    <row r="2253" spans="1:126" s="74" customFormat="1">
      <c r="A2253" s="15"/>
      <c r="B2253" s="15"/>
      <c r="C2253" s="15"/>
      <c r="D2253" s="15"/>
      <c r="E2253" s="6"/>
      <c r="F2253" s="6"/>
      <c r="G2253" s="6"/>
      <c r="K2253" s="222"/>
      <c r="V2253" s="1430"/>
      <c r="AA2253" s="223"/>
      <c r="AC2253" s="889"/>
      <c r="AF2253" s="890"/>
      <c r="AJ2253" s="889"/>
      <c r="AN2253" s="222"/>
      <c r="BC2253" s="223"/>
      <c r="BD2253" s="222"/>
      <c r="BH2253" s="611"/>
      <c r="BJ2253" s="15"/>
      <c r="BK2253" s="15"/>
      <c r="BO2253" s="223"/>
      <c r="BQ2253" s="889"/>
      <c r="BT2253" s="890"/>
      <c r="BX2253" s="889"/>
      <c r="CB2253" s="15"/>
      <c r="CC2253" s="697"/>
      <c r="CD2253" s="1086"/>
      <c r="CE2253" s="15"/>
      <c r="CF2253" s="15"/>
      <c r="CG2253" s="936"/>
      <c r="CH2253" s="15"/>
      <c r="CI2253" s="15"/>
      <c r="CJ2253" s="15"/>
      <c r="CK2253" s="1107"/>
      <c r="CL2253" s="22"/>
      <c r="CM2253" s="22"/>
      <c r="CN2253" s="1107"/>
      <c r="CR2253" s="223"/>
      <c r="CS2253" s="952"/>
      <c r="CT2253" s="1066"/>
      <c r="CU2253" s="972"/>
      <c r="CV2253" s="983"/>
      <c r="CW2253" s="222"/>
      <c r="CX2253" s="697"/>
      <c r="DC2253" s="222"/>
      <c r="DJ2253" s="889"/>
      <c r="DM2253" s="890"/>
      <c r="DN2253" s="952"/>
      <c r="DO2253" s="75"/>
      <c r="DP2253" s="962"/>
      <c r="DQ2253" s="983"/>
      <c r="DV2253" s="889"/>
    </row>
    <row r="2254" spans="1:126" s="74" customFormat="1">
      <c r="A2254" s="15"/>
      <c r="B2254" s="15"/>
      <c r="C2254" s="15"/>
      <c r="D2254" s="15"/>
      <c r="E2254" s="6"/>
      <c r="F2254" s="6"/>
      <c r="G2254" s="6"/>
      <c r="K2254" s="222"/>
      <c r="V2254" s="1430"/>
      <c r="AA2254" s="223"/>
      <c r="AC2254" s="889"/>
      <c r="AF2254" s="890"/>
      <c r="AJ2254" s="889"/>
      <c r="AN2254" s="222"/>
      <c r="BC2254" s="223"/>
      <c r="BD2254" s="222"/>
      <c r="BH2254" s="611"/>
      <c r="BJ2254" s="15"/>
      <c r="BK2254" s="15"/>
      <c r="BO2254" s="223"/>
      <c r="BQ2254" s="889"/>
      <c r="BT2254" s="890"/>
      <c r="BX2254" s="889"/>
      <c r="CB2254" s="15"/>
      <c r="CC2254" s="697"/>
      <c r="CD2254" s="1086"/>
      <c r="CE2254" s="15"/>
      <c r="CF2254" s="15"/>
      <c r="CG2254" s="936"/>
      <c r="CH2254" s="15"/>
      <c r="CI2254" s="15"/>
      <c r="CJ2254" s="15"/>
      <c r="CK2254" s="1107"/>
      <c r="CL2254" s="22"/>
      <c r="CM2254" s="22"/>
      <c r="CN2254" s="1107"/>
      <c r="CR2254" s="223"/>
      <c r="CS2254" s="952"/>
      <c r="CT2254" s="1066"/>
      <c r="CU2254" s="972"/>
      <c r="CV2254" s="983"/>
      <c r="CW2254" s="222"/>
      <c r="CX2254" s="697"/>
      <c r="DC2254" s="222"/>
      <c r="DJ2254" s="889"/>
      <c r="DM2254" s="890"/>
      <c r="DN2254" s="952"/>
      <c r="DO2254" s="75"/>
      <c r="DP2254" s="962"/>
      <c r="DQ2254" s="983"/>
      <c r="DV2254" s="889"/>
    </row>
    <row r="2255" spans="1:126" s="74" customFormat="1">
      <c r="A2255" s="15"/>
      <c r="B2255" s="15"/>
      <c r="C2255" s="15"/>
      <c r="D2255" s="15"/>
      <c r="E2255" s="6"/>
      <c r="F2255" s="6"/>
      <c r="G2255" s="6"/>
      <c r="K2255" s="222"/>
      <c r="V2255" s="1430"/>
      <c r="AA2255" s="223"/>
      <c r="AC2255" s="889"/>
      <c r="AF2255" s="890"/>
      <c r="AJ2255" s="889"/>
      <c r="AN2255" s="222"/>
      <c r="BC2255" s="223"/>
      <c r="BD2255" s="222"/>
      <c r="BH2255" s="611"/>
      <c r="BJ2255" s="15"/>
      <c r="BK2255" s="15"/>
      <c r="BO2255" s="223"/>
      <c r="BQ2255" s="889"/>
      <c r="BT2255" s="890"/>
      <c r="BX2255" s="889"/>
      <c r="CB2255" s="15"/>
      <c r="CC2255" s="697"/>
      <c r="CD2255" s="1086"/>
      <c r="CE2255" s="15"/>
      <c r="CF2255" s="15"/>
      <c r="CG2255" s="936"/>
      <c r="CH2255" s="15"/>
      <c r="CI2255" s="15"/>
      <c r="CJ2255" s="15"/>
      <c r="CK2255" s="1107"/>
      <c r="CL2255" s="22"/>
      <c r="CM2255" s="22"/>
      <c r="CN2255" s="1107"/>
      <c r="CR2255" s="223"/>
      <c r="CS2255" s="952"/>
      <c r="CT2255" s="1066"/>
      <c r="CU2255" s="972"/>
      <c r="CV2255" s="983"/>
      <c r="CW2255" s="222"/>
      <c r="CX2255" s="697"/>
      <c r="DC2255" s="222"/>
      <c r="DJ2255" s="889"/>
      <c r="DM2255" s="890"/>
      <c r="DN2255" s="952"/>
      <c r="DO2255" s="75"/>
      <c r="DP2255" s="962"/>
      <c r="DQ2255" s="983"/>
      <c r="DV2255" s="889"/>
    </row>
    <row r="2256" spans="1:126" s="74" customFormat="1">
      <c r="A2256" s="15"/>
      <c r="B2256" s="15"/>
      <c r="C2256" s="15"/>
      <c r="D2256" s="15"/>
      <c r="E2256" s="6"/>
      <c r="F2256" s="6"/>
      <c r="G2256" s="6"/>
      <c r="K2256" s="222"/>
      <c r="V2256" s="1430"/>
      <c r="AA2256" s="223"/>
      <c r="AC2256" s="889"/>
      <c r="AF2256" s="890"/>
      <c r="AJ2256" s="889"/>
      <c r="AN2256" s="222"/>
      <c r="BC2256" s="223"/>
      <c r="BD2256" s="222"/>
      <c r="BH2256" s="611"/>
      <c r="BJ2256" s="15"/>
      <c r="BK2256" s="15"/>
      <c r="BO2256" s="223"/>
      <c r="BQ2256" s="889"/>
      <c r="BT2256" s="890"/>
      <c r="BX2256" s="889"/>
      <c r="CB2256" s="15"/>
      <c r="CC2256" s="697"/>
      <c r="CD2256" s="1086"/>
      <c r="CE2256" s="15"/>
      <c r="CF2256" s="15"/>
      <c r="CG2256" s="936"/>
      <c r="CH2256" s="15"/>
      <c r="CI2256" s="15"/>
      <c r="CJ2256" s="15"/>
      <c r="CK2256" s="1107"/>
      <c r="CL2256" s="22"/>
      <c r="CM2256" s="22"/>
      <c r="CN2256" s="1107"/>
      <c r="CR2256" s="223"/>
      <c r="CS2256" s="952"/>
      <c r="CT2256" s="1066"/>
      <c r="CU2256" s="972"/>
      <c r="CV2256" s="983"/>
      <c r="CW2256" s="222"/>
      <c r="CX2256" s="697"/>
      <c r="DC2256" s="222"/>
      <c r="DJ2256" s="889"/>
      <c r="DM2256" s="890"/>
      <c r="DN2256" s="952"/>
      <c r="DO2256" s="75"/>
      <c r="DP2256" s="962"/>
      <c r="DQ2256" s="983"/>
      <c r="DV2256" s="889"/>
    </row>
    <row r="2257" spans="1:126" s="74" customFormat="1">
      <c r="A2257" s="15"/>
      <c r="B2257" s="15"/>
      <c r="C2257" s="15"/>
      <c r="D2257" s="15"/>
      <c r="E2257" s="6"/>
      <c r="F2257" s="6"/>
      <c r="G2257" s="6"/>
      <c r="K2257" s="222"/>
      <c r="V2257" s="1430"/>
      <c r="AA2257" s="223"/>
      <c r="AC2257" s="889"/>
      <c r="AF2257" s="890"/>
      <c r="AJ2257" s="889"/>
      <c r="AN2257" s="222"/>
      <c r="BC2257" s="223"/>
      <c r="BD2257" s="222"/>
      <c r="BH2257" s="611"/>
      <c r="BJ2257" s="15"/>
      <c r="BK2257" s="15"/>
      <c r="BO2257" s="223"/>
      <c r="BQ2257" s="889"/>
      <c r="BT2257" s="890"/>
      <c r="BX2257" s="889"/>
      <c r="CB2257" s="15"/>
      <c r="CC2257" s="697"/>
      <c r="CD2257" s="1086"/>
      <c r="CE2257" s="15"/>
      <c r="CF2257" s="15"/>
      <c r="CG2257" s="936"/>
      <c r="CH2257" s="15"/>
      <c r="CI2257" s="15"/>
      <c r="CJ2257" s="15"/>
      <c r="CK2257" s="1107"/>
      <c r="CL2257" s="22"/>
      <c r="CM2257" s="22"/>
      <c r="CN2257" s="1107"/>
      <c r="CR2257" s="223"/>
      <c r="CS2257" s="952"/>
      <c r="CT2257" s="1066"/>
      <c r="CU2257" s="972"/>
      <c r="CV2257" s="983"/>
      <c r="CW2257" s="222"/>
      <c r="CX2257" s="697"/>
      <c r="DC2257" s="222"/>
      <c r="DJ2257" s="889"/>
      <c r="DM2257" s="890"/>
      <c r="DN2257" s="952"/>
      <c r="DO2257" s="75"/>
      <c r="DP2257" s="962"/>
      <c r="DQ2257" s="983"/>
      <c r="DV2257" s="889"/>
    </row>
    <row r="2258" spans="1:126" s="74" customFormat="1">
      <c r="A2258" s="15"/>
      <c r="B2258" s="15"/>
      <c r="C2258" s="15"/>
      <c r="D2258" s="15"/>
      <c r="E2258" s="6"/>
      <c r="F2258" s="6"/>
      <c r="G2258" s="6"/>
      <c r="K2258" s="222"/>
      <c r="V2258" s="1430"/>
      <c r="AA2258" s="223"/>
      <c r="AC2258" s="889"/>
      <c r="AF2258" s="890"/>
      <c r="AJ2258" s="889"/>
      <c r="AN2258" s="222"/>
      <c r="BC2258" s="223"/>
      <c r="BD2258" s="222"/>
      <c r="BH2258" s="611"/>
      <c r="BJ2258" s="15"/>
      <c r="BK2258" s="15"/>
      <c r="BO2258" s="223"/>
      <c r="BQ2258" s="889"/>
      <c r="BT2258" s="890"/>
      <c r="BX2258" s="889"/>
      <c r="CB2258" s="15"/>
      <c r="CC2258" s="697"/>
      <c r="CD2258" s="1086"/>
      <c r="CE2258" s="15"/>
      <c r="CF2258" s="15"/>
      <c r="CG2258" s="936"/>
      <c r="CH2258" s="15"/>
      <c r="CI2258" s="15"/>
      <c r="CJ2258" s="15"/>
      <c r="CK2258" s="1107"/>
      <c r="CL2258" s="22"/>
      <c r="CM2258" s="22"/>
      <c r="CN2258" s="1107"/>
      <c r="CR2258" s="223"/>
      <c r="CS2258" s="952"/>
      <c r="CT2258" s="1066"/>
      <c r="CU2258" s="972"/>
      <c r="CV2258" s="983"/>
      <c r="CW2258" s="222"/>
      <c r="CX2258" s="697"/>
      <c r="DC2258" s="222"/>
      <c r="DJ2258" s="889"/>
      <c r="DM2258" s="890"/>
      <c r="DN2258" s="952"/>
      <c r="DO2258" s="75"/>
      <c r="DP2258" s="962"/>
      <c r="DQ2258" s="983"/>
      <c r="DV2258" s="889"/>
    </row>
    <row r="2259" spans="1:126" s="74" customFormat="1">
      <c r="A2259" s="15"/>
      <c r="B2259" s="15"/>
      <c r="C2259" s="15"/>
      <c r="D2259" s="15"/>
      <c r="E2259" s="6"/>
      <c r="F2259" s="6"/>
      <c r="G2259" s="6"/>
      <c r="K2259" s="222"/>
      <c r="V2259" s="1430"/>
      <c r="AA2259" s="223"/>
      <c r="AC2259" s="889"/>
      <c r="AF2259" s="890"/>
      <c r="AJ2259" s="889"/>
      <c r="AN2259" s="222"/>
      <c r="BC2259" s="223"/>
      <c r="BD2259" s="222"/>
      <c r="BH2259" s="611"/>
      <c r="BJ2259" s="15"/>
      <c r="BK2259" s="15"/>
      <c r="BO2259" s="223"/>
      <c r="BQ2259" s="889"/>
      <c r="BT2259" s="890"/>
      <c r="BX2259" s="889"/>
      <c r="CB2259" s="15"/>
      <c r="CC2259" s="697"/>
      <c r="CD2259" s="1086"/>
      <c r="CE2259" s="15"/>
      <c r="CF2259" s="15"/>
      <c r="CG2259" s="936"/>
      <c r="CH2259" s="15"/>
      <c r="CI2259" s="15"/>
      <c r="CJ2259" s="15"/>
      <c r="CK2259" s="1107"/>
      <c r="CL2259" s="22"/>
      <c r="CM2259" s="22"/>
      <c r="CN2259" s="1107"/>
      <c r="CR2259" s="223"/>
      <c r="CS2259" s="952"/>
      <c r="CT2259" s="1066"/>
      <c r="CU2259" s="972"/>
      <c r="CV2259" s="983"/>
      <c r="CW2259" s="222"/>
      <c r="CX2259" s="697"/>
      <c r="DC2259" s="222"/>
      <c r="DJ2259" s="889"/>
      <c r="DM2259" s="890"/>
      <c r="DN2259" s="952"/>
      <c r="DO2259" s="75"/>
      <c r="DP2259" s="962"/>
      <c r="DQ2259" s="983"/>
      <c r="DV2259" s="889"/>
    </row>
    <row r="2260" spans="1:126" s="74" customFormat="1">
      <c r="A2260" s="15"/>
      <c r="B2260" s="15"/>
      <c r="C2260" s="15"/>
      <c r="D2260" s="15"/>
      <c r="E2260" s="6"/>
      <c r="F2260" s="6"/>
      <c r="G2260" s="6"/>
      <c r="K2260" s="222"/>
      <c r="V2260" s="1430"/>
      <c r="AA2260" s="223"/>
      <c r="AC2260" s="889"/>
      <c r="AF2260" s="890"/>
      <c r="AJ2260" s="889"/>
      <c r="AN2260" s="222"/>
      <c r="BC2260" s="223"/>
      <c r="BD2260" s="222"/>
      <c r="BH2260" s="611"/>
      <c r="BJ2260" s="15"/>
      <c r="BK2260" s="15"/>
      <c r="BO2260" s="223"/>
      <c r="BQ2260" s="889"/>
      <c r="BT2260" s="890"/>
      <c r="BX2260" s="889"/>
      <c r="CB2260" s="15"/>
      <c r="CC2260" s="697"/>
      <c r="CD2260" s="1086"/>
      <c r="CE2260" s="15"/>
      <c r="CF2260" s="15"/>
      <c r="CG2260" s="936"/>
      <c r="CH2260" s="15"/>
      <c r="CI2260" s="15"/>
      <c r="CJ2260" s="15"/>
      <c r="CK2260" s="1107"/>
      <c r="CL2260" s="22"/>
      <c r="CM2260" s="22"/>
      <c r="CN2260" s="1107"/>
      <c r="CR2260" s="223"/>
      <c r="CS2260" s="952"/>
      <c r="CT2260" s="1066"/>
      <c r="CU2260" s="972"/>
      <c r="CV2260" s="983"/>
      <c r="CW2260" s="222"/>
      <c r="CX2260" s="697"/>
      <c r="DC2260" s="222"/>
      <c r="DJ2260" s="889"/>
      <c r="DM2260" s="890"/>
      <c r="DN2260" s="952"/>
      <c r="DO2260" s="75"/>
      <c r="DP2260" s="962"/>
      <c r="DQ2260" s="983"/>
      <c r="DV2260" s="889"/>
    </row>
    <row r="2261" spans="1:126" s="74" customFormat="1">
      <c r="A2261" s="15"/>
      <c r="B2261" s="15"/>
      <c r="C2261" s="15"/>
      <c r="D2261" s="15"/>
      <c r="E2261" s="6"/>
      <c r="F2261" s="6"/>
      <c r="G2261" s="6"/>
      <c r="K2261" s="222"/>
      <c r="V2261" s="1430"/>
      <c r="AA2261" s="223"/>
      <c r="AC2261" s="889"/>
      <c r="AF2261" s="890"/>
      <c r="AJ2261" s="889"/>
      <c r="AN2261" s="222"/>
      <c r="BC2261" s="223"/>
      <c r="BD2261" s="222"/>
      <c r="BH2261" s="611"/>
      <c r="BJ2261" s="15"/>
      <c r="BK2261" s="15"/>
      <c r="BO2261" s="223"/>
      <c r="BQ2261" s="889"/>
      <c r="BT2261" s="890"/>
      <c r="BX2261" s="889"/>
      <c r="CB2261" s="15"/>
      <c r="CC2261" s="697"/>
      <c r="CD2261" s="1086"/>
      <c r="CE2261" s="15"/>
      <c r="CF2261" s="15"/>
      <c r="CG2261" s="936"/>
      <c r="CH2261" s="15"/>
      <c r="CI2261" s="15"/>
      <c r="CJ2261" s="15"/>
      <c r="CK2261" s="1107"/>
      <c r="CL2261" s="22"/>
      <c r="CM2261" s="22"/>
      <c r="CN2261" s="1107"/>
      <c r="CR2261" s="223"/>
      <c r="CS2261" s="952"/>
      <c r="CT2261" s="1066"/>
      <c r="CU2261" s="972"/>
      <c r="CV2261" s="983"/>
      <c r="CW2261" s="222"/>
      <c r="CX2261" s="697"/>
      <c r="DC2261" s="222"/>
      <c r="DJ2261" s="889"/>
      <c r="DM2261" s="890"/>
      <c r="DN2261" s="952"/>
      <c r="DO2261" s="75"/>
      <c r="DP2261" s="962"/>
      <c r="DQ2261" s="983"/>
      <c r="DV2261" s="889"/>
    </row>
    <row r="2262" spans="1:126" s="74" customFormat="1">
      <c r="A2262" s="15"/>
      <c r="B2262" s="15"/>
      <c r="C2262" s="15"/>
      <c r="D2262" s="15"/>
      <c r="E2262" s="6"/>
      <c r="F2262" s="6"/>
      <c r="G2262" s="6"/>
      <c r="K2262" s="222"/>
      <c r="V2262" s="1430"/>
      <c r="AA2262" s="223"/>
      <c r="AC2262" s="889"/>
      <c r="AF2262" s="890"/>
      <c r="AJ2262" s="889"/>
      <c r="AN2262" s="222"/>
      <c r="BC2262" s="223"/>
      <c r="BD2262" s="222"/>
      <c r="BH2262" s="611"/>
      <c r="BJ2262" s="15"/>
      <c r="BK2262" s="15"/>
      <c r="BO2262" s="223"/>
      <c r="BQ2262" s="889"/>
      <c r="BT2262" s="890"/>
      <c r="BX2262" s="889"/>
      <c r="CB2262" s="15"/>
      <c r="CC2262" s="697"/>
      <c r="CD2262" s="1086"/>
      <c r="CE2262" s="15"/>
      <c r="CF2262" s="15"/>
      <c r="CG2262" s="936"/>
      <c r="CH2262" s="15"/>
      <c r="CI2262" s="15"/>
      <c r="CJ2262" s="15"/>
      <c r="CK2262" s="1107"/>
      <c r="CL2262" s="22"/>
      <c r="CM2262" s="22"/>
      <c r="CN2262" s="1107"/>
      <c r="CR2262" s="223"/>
      <c r="CS2262" s="952"/>
      <c r="CT2262" s="1066"/>
      <c r="CU2262" s="972"/>
      <c r="CV2262" s="983"/>
      <c r="CW2262" s="222"/>
      <c r="CX2262" s="697"/>
      <c r="DC2262" s="222"/>
      <c r="DJ2262" s="889"/>
      <c r="DM2262" s="890"/>
      <c r="DN2262" s="952"/>
      <c r="DO2262" s="75"/>
      <c r="DP2262" s="962"/>
      <c r="DQ2262" s="983"/>
      <c r="DV2262" s="889"/>
    </row>
    <row r="2263" spans="1:126" s="74" customFormat="1">
      <c r="A2263" s="15"/>
      <c r="B2263" s="15"/>
      <c r="C2263" s="15"/>
      <c r="D2263" s="15"/>
      <c r="E2263" s="6"/>
      <c r="F2263" s="6"/>
      <c r="G2263" s="6"/>
      <c r="K2263" s="222"/>
      <c r="V2263" s="1430"/>
      <c r="AA2263" s="223"/>
      <c r="AC2263" s="889"/>
      <c r="AF2263" s="890"/>
      <c r="AJ2263" s="889"/>
      <c r="AN2263" s="222"/>
      <c r="BC2263" s="223"/>
      <c r="BD2263" s="222"/>
      <c r="BH2263" s="611"/>
      <c r="BJ2263" s="15"/>
      <c r="BK2263" s="15"/>
      <c r="BO2263" s="223"/>
      <c r="BQ2263" s="889"/>
      <c r="BT2263" s="890"/>
      <c r="BX2263" s="889"/>
      <c r="CB2263" s="15"/>
      <c r="CC2263" s="697"/>
      <c r="CD2263" s="1086"/>
      <c r="CE2263" s="15"/>
      <c r="CF2263" s="15"/>
      <c r="CG2263" s="936"/>
      <c r="CH2263" s="15"/>
      <c r="CI2263" s="15"/>
      <c r="CJ2263" s="15"/>
      <c r="CK2263" s="1107"/>
      <c r="CL2263" s="22"/>
      <c r="CM2263" s="22"/>
      <c r="CN2263" s="1107"/>
      <c r="CR2263" s="223"/>
      <c r="CS2263" s="952"/>
      <c r="CT2263" s="1066"/>
      <c r="CU2263" s="972"/>
      <c r="CV2263" s="983"/>
      <c r="CW2263" s="222"/>
      <c r="CX2263" s="697"/>
      <c r="DC2263" s="222"/>
      <c r="DJ2263" s="889"/>
      <c r="DM2263" s="890"/>
      <c r="DN2263" s="952"/>
      <c r="DO2263" s="75"/>
      <c r="DP2263" s="962"/>
      <c r="DQ2263" s="983"/>
      <c r="DV2263" s="889"/>
    </row>
    <row r="2264" spans="1:126" s="74" customFormat="1">
      <c r="A2264" s="15"/>
      <c r="B2264" s="15"/>
      <c r="C2264" s="15"/>
      <c r="D2264" s="15"/>
      <c r="E2264" s="6"/>
      <c r="F2264" s="6"/>
      <c r="G2264" s="6"/>
      <c r="K2264" s="222"/>
      <c r="V2264" s="1430"/>
      <c r="AA2264" s="223"/>
      <c r="AC2264" s="889"/>
      <c r="AF2264" s="890"/>
      <c r="AJ2264" s="889"/>
      <c r="AN2264" s="222"/>
      <c r="BC2264" s="223"/>
      <c r="BD2264" s="222"/>
      <c r="BH2264" s="611"/>
      <c r="BJ2264" s="15"/>
      <c r="BK2264" s="15"/>
      <c r="BO2264" s="223"/>
      <c r="BQ2264" s="889"/>
      <c r="BT2264" s="890"/>
      <c r="BX2264" s="889"/>
      <c r="CB2264" s="15"/>
      <c r="CC2264" s="697"/>
      <c r="CD2264" s="1086"/>
      <c r="CE2264" s="15"/>
      <c r="CF2264" s="15"/>
      <c r="CG2264" s="936"/>
      <c r="CH2264" s="15"/>
      <c r="CI2264" s="15"/>
      <c r="CJ2264" s="15"/>
      <c r="CK2264" s="1107"/>
      <c r="CL2264" s="22"/>
      <c r="CM2264" s="22"/>
      <c r="CN2264" s="1107"/>
      <c r="CR2264" s="223"/>
      <c r="CS2264" s="952"/>
      <c r="CT2264" s="1066"/>
      <c r="CU2264" s="972"/>
      <c r="CV2264" s="983"/>
      <c r="CW2264" s="222"/>
      <c r="CX2264" s="697"/>
      <c r="DC2264" s="222"/>
      <c r="DJ2264" s="889"/>
      <c r="DM2264" s="890"/>
      <c r="DN2264" s="952"/>
      <c r="DO2264" s="75"/>
      <c r="DP2264" s="962"/>
      <c r="DQ2264" s="983"/>
      <c r="DV2264" s="889"/>
    </row>
    <row r="2265" spans="1:126" s="74" customFormat="1">
      <c r="A2265" s="15"/>
      <c r="B2265" s="15"/>
      <c r="C2265" s="15"/>
      <c r="D2265" s="15"/>
      <c r="E2265" s="6"/>
      <c r="F2265" s="6"/>
      <c r="G2265" s="6"/>
      <c r="K2265" s="222"/>
      <c r="V2265" s="1430"/>
      <c r="AA2265" s="223"/>
      <c r="AC2265" s="889"/>
      <c r="AF2265" s="890"/>
      <c r="AJ2265" s="889"/>
      <c r="AN2265" s="222"/>
      <c r="BC2265" s="223"/>
      <c r="BD2265" s="222"/>
      <c r="BH2265" s="611"/>
      <c r="BJ2265" s="15"/>
      <c r="BK2265" s="15"/>
      <c r="BO2265" s="223"/>
      <c r="BQ2265" s="889"/>
      <c r="BT2265" s="890"/>
      <c r="BX2265" s="889"/>
      <c r="CB2265" s="15"/>
      <c r="CC2265" s="697"/>
      <c r="CD2265" s="1086"/>
      <c r="CE2265" s="15"/>
      <c r="CF2265" s="15"/>
      <c r="CG2265" s="936"/>
      <c r="CH2265" s="15"/>
      <c r="CI2265" s="15"/>
      <c r="CJ2265" s="15"/>
      <c r="CK2265" s="1107"/>
      <c r="CL2265" s="22"/>
      <c r="CM2265" s="22"/>
      <c r="CN2265" s="1107"/>
      <c r="CR2265" s="223"/>
      <c r="CS2265" s="952"/>
      <c r="CT2265" s="1066"/>
      <c r="CU2265" s="972"/>
      <c r="CV2265" s="983"/>
      <c r="CW2265" s="222"/>
      <c r="CX2265" s="697"/>
      <c r="DC2265" s="222"/>
      <c r="DJ2265" s="889"/>
      <c r="DM2265" s="890"/>
      <c r="DN2265" s="952"/>
      <c r="DO2265" s="75"/>
      <c r="DP2265" s="962"/>
      <c r="DQ2265" s="983"/>
      <c r="DV2265" s="889"/>
    </row>
    <row r="2266" spans="1:126" s="74" customFormat="1">
      <c r="A2266" s="15"/>
      <c r="B2266" s="15"/>
      <c r="C2266" s="15"/>
      <c r="D2266" s="15"/>
      <c r="E2266" s="6"/>
      <c r="F2266" s="6"/>
      <c r="G2266" s="6"/>
      <c r="K2266" s="222"/>
      <c r="V2266" s="1430"/>
      <c r="AA2266" s="223"/>
      <c r="AC2266" s="889"/>
      <c r="AF2266" s="890"/>
      <c r="AJ2266" s="889"/>
      <c r="AN2266" s="222"/>
      <c r="BC2266" s="223"/>
      <c r="BD2266" s="222"/>
      <c r="BH2266" s="611"/>
      <c r="BJ2266" s="15"/>
      <c r="BK2266" s="15"/>
      <c r="BO2266" s="223"/>
      <c r="BQ2266" s="889"/>
      <c r="BT2266" s="890"/>
      <c r="BX2266" s="889"/>
      <c r="CB2266" s="15"/>
      <c r="CC2266" s="697"/>
      <c r="CD2266" s="1086"/>
      <c r="CE2266" s="15"/>
      <c r="CF2266" s="15"/>
      <c r="CG2266" s="936"/>
      <c r="CH2266" s="15"/>
      <c r="CI2266" s="15"/>
      <c r="CJ2266" s="15"/>
      <c r="CK2266" s="1107"/>
      <c r="CL2266" s="22"/>
      <c r="CM2266" s="22"/>
      <c r="CN2266" s="1107"/>
      <c r="CR2266" s="223"/>
      <c r="CS2266" s="952"/>
      <c r="CT2266" s="1066"/>
      <c r="CU2266" s="972"/>
      <c r="CV2266" s="983"/>
      <c r="CW2266" s="222"/>
      <c r="CX2266" s="697"/>
      <c r="DC2266" s="222"/>
      <c r="DJ2266" s="889"/>
      <c r="DM2266" s="890"/>
      <c r="DN2266" s="952"/>
      <c r="DO2266" s="75"/>
      <c r="DP2266" s="962"/>
      <c r="DQ2266" s="983"/>
      <c r="DV2266" s="889"/>
    </row>
    <row r="2267" spans="1:126" s="74" customFormat="1">
      <c r="A2267" s="15"/>
      <c r="B2267" s="15"/>
      <c r="C2267" s="15"/>
      <c r="D2267" s="15"/>
      <c r="E2267" s="6"/>
      <c r="F2267" s="6"/>
      <c r="G2267" s="6"/>
      <c r="K2267" s="222"/>
      <c r="V2267" s="1430"/>
      <c r="AA2267" s="223"/>
      <c r="AC2267" s="889"/>
      <c r="AF2267" s="890"/>
      <c r="AJ2267" s="889"/>
      <c r="AN2267" s="222"/>
      <c r="BC2267" s="223"/>
      <c r="BD2267" s="222"/>
      <c r="BH2267" s="611"/>
      <c r="BJ2267" s="15"/>
      <c r="BK2267" s="15"/>
      <c r="BO2267" s="223"/>
      <c r="BQ2267" s="889"/>
      <c r="BT2267" s="890"/>
      <c r="BX2267" s="889"/>
      <c r="CB2267" s="15"/>
      <c r="CC2267" s="697"/>
      <c r="CD2267" s="1086"/>
      <c r="CE2267" s="15"/>
      <c r="CF2267" s="15"/>
      <c r="CG2267" s="936"/>
      <c r="CH2267" s="15"/>
      <c r="CI2267" s="15"/>
      <c r="CJ2267" s="15"/>
      <c r="CK2267" s="1107"/>
      <c r="CL2267" s="22"/>
      <c r="CM2267" s="22"/>
      <c r="CN2267" s="1107"/>
      <c r="CR2267" s="223"/>
      <c r="CS2267" s="952"/>
      <c r="CT2267" s="1066"/>
      <c r="CU2267" s="972"/>
      <c r="CV2267" s="983"/>
      <c r="CW2267" s="222"/>
      <c r="CX2267" s="697"/>
      <c r="DC2267" s="222"/>
      <c r="DJ2267" s="889"/>
      <c r="DM2267" s="890"/>
      <c r="DN2267" s="952"/>
      <c r="DO2267" s="75"/>
      <c r="DP2267" s="962"/>
      <c r="DQ2267" s="983"/>
      <c r="DV2267" s="889"/>
    </row>
    <row r="2268" spans="1:126" s="74" customFormat="1">
      <c r="A2268" s="15"/>
      <c r="B2268" s="15"/>
      <c r="C2268" s="15"/>
      <c r="D2268" s="15"/>
      <c r="E2268" s="6"/>
      <c r="F2268" s="6"/>
      <c r="G2268" s="6"/>
      <c r="K2268" s="222"/>
      <c r="V2268" s="1430"/>
      <c r="AA2268" s="223"/>
      <c r="AC2268" s="889"/>
      <c r="AF2268" s="890"/>
      <c r="AJ2268" s="889"/>
      <c r="AN2268" s="222"/>
      <c r="BC2268" s="223"/>
      <c r="BD2268" s="222"/>
      <c r="BH2268" s="611"/>
      <c r="BJ2268" s="15"/>
      <c r="BK2268" s="15"/>
      <c r="BO2268" s="223"/>
      <c r="BQ2268" s="889"/>
      <c r="BT2268" s="890"/>
      <c r="BX2268" s="889"/>
      <c r="CB2268" s="15"/>
      <c r="CC2268" s="697"/>
      <c r="CD2268" s="1086"/>
      <c r="CE2268" s="15"/>
      <c r="CF2268" s="15"/>
      <c r="CG2268" s="936"/>
      <c r="CH2268" s="15"/>
      <c r="CI2268" s="15"/>
      <c r="CJ2268" s="15"/>
      <c r="CK2268" s="1107"/>
      <c r="CL2268" s="22"/>
      <c r="CM2268" s="22"/>
      <c r="CN2268" s="1107"/>
      <c r="CR2268" s="223"/>
      <c r="CS2268" s="952"/>
      <c r="CT2268" s="1066"/>
      <c r="CU2268" s="972"/>
      <c r="CV2268" s="983"/>
      <c r="CW2268" s="222"/>
      <c r="CX2268" s="697"/>
      <c r="DC2268" s="222"/>
      <c r="DJ2268" s="889"/>
      <c r="DM2268" s="890"/>
      <c r="DN2268" s="952"/>
      <c r="DO2268" s="75"/>
      <c r="DP2268" s="962"/>
      <c r="DQ2268" s="983"/>
      <c r="DV2268" s="889"/>
    </row>
    <row r="2269" spans="1:126" s="74" customFormat="1">
      <c r="A2269" s="15"/>
      <c r="B2269" s="15"/>
      <c r="C2269" s="15"/>
      <c r="D2269" s="15"/>
      <c r="E2269" s="6"/>
      <c r="F2269" s="6"/>
      <c r="G2269" s="6"/>
      <c r="K2269" s="222"/>
      <c r="V2269" s="1430"/>
      <c r="AA2269" s="223"/>
      <c r="AC2269" s="889"/>
      <c r="AF2269" s="890"/>
      <c r="AJ2269" s="889"/>
      <c r="AN2269" s="222"/>
      <c r="BC2269" s="223"/>
      <c r="BD2269" s="222"/>
      <c r="BH2269" s="611"/>
      <c r="BJ2269" s="15"/>
      <c r="BK2269" s="15"/>
      <c r="BO2269" s="223"/>
      <c r="BQ2269" s="889"/>
      <c r="BT2269" s="890"/>
      <c r="BX2269" s="889"/>
      <c r="CB2269" s="15"/>
      <c r="CC2269" s="697"/>
      <c r="CD2269" s="1086"/>
      <c r="CE2269" s="15"/>
      <c r="CF2269" s="15"/>
      <c r="CG2269" s="936"/>
      <c r="CH2269" s="15"/>
      <c r="CI2269" s="15"/>
      <c r="CJ2269" s="15"/>
      <c r="CK2269" s="1107"/>
      <c r="CL2269" s="22"/>
      <c r="CM2269" s="22"/>
      <c r="CN2269" s="1107"/>
      <c r="CR2269" s="223"/>
      <c r="CS2269" s="952"/>
      <c r="CT2269" s="1066"/>
      <c r="CU2269" s="972"/>
      <c r="CV2269" s="983"/>
      <c r="CW2269" s="222"/>
      <c r="CX2269" s="697"/>
      <c r="DC2269" s="222"/>
      <c r="DJ2269" s="889"/>
      <c r="DM2269" s="890"/>
      <c r="DN2269" s="952"/>
      <c r="DO2269" s="75"/>
      <c r="DP2269" s="962"/>
      <c r="DQ2269" s="983"/>
      <c r="DV2269" s="889"/>
    </row>
    <row r="2270" spans="1:126" s="74" customFormat="1">
      <c r="A2270" s="15"/>
      <c r="B2270" s="15"/>
      <c r="C2270" s="15"/>
      <c r="D2270" s="15"/>
      <c r="E2270" s="6"/>
      <c r="F2270" s="6"/>
      <c r="G2270" s="6"/>
      <c r="K2270" s="222"/>
      <c r="V2270" s="1430"/>
      <c r="AA2270" s="223"/>
      <c r="AC2270" s="889"/>
      <c r="AF2270" s="890"/>
      <c r="AJ2270" s="889"/>
      <c r="AN2270" s="222"/>
      <c r="BC2270" s="223"/>
      <c r="BD2270" s="222"/>
      <c r="BH2270" s="611"/>
      <c r="BJ2270" s="15"/>
      <c r="BK2270" s="15"/>
      <c r="BO2270" s="223"/>
      <c r="BQ2270" s="889"/>
      <c r="BT2270" s="890"/>
      <c r="BX2270" s="889"/>
      <c r="CB2270" s="15"/>
      <c r="CC2270" s="697"/>
      <c r="CD2270" s="1086"/>
      <c r="CE2270" s="15"/>
      <c r="CF2270" s="15"/>
      <c r="CG2270" s="936"/>
      <c r="CH2270" s="15"/>
      <c r="CI2270" s="15"/>
      <c r="CJ2270" s="15"/>
      <c r="CK2270" s="1107"/>
      <c r="CL2270" s="22"/>
      <c r="CM2270" s="22"/>
      <c r="CN2270" s="1107"/>
      <c r="CR2270" s="223"/>
      <c r="CS2270" s="952"/>
      <c r="CT2270" s="1066"/>
      <c r="CU2270" s="972"/>
      <c r="CV2270" s="983"/>
      <c r="CW2270" s="222"/>
      <c r="CX2270" s="697"/>
      <c r="DC2270" s="222"/>
      <c r="DJ2270" s="889"/>
      <c r="DM2270" s="890"/>
      <c r="DN2270" s="952"/>
      <c r="DO2270" s="75"/>
      <c r="DP2270" s="962"/>
      <c r="DQ2270" s="983"/>
      <c r="DV2270" s="889"/>
    </row>
    <row r="2271" spans="1:126" s="74" customFormat="1">
      <c r="A2271" s="15"/>
      <c r="B2271" s="15"/>
      <c r="C2271" s="15"/>
      <c r="D2271" s="15"/>
      <c r="E2271" s="6"/>
      <c r="F2271" s="6"/>
      <c r="G2271" s="6"/>
      <c r="K2271" s="222"/>
      <c r="V2271" s="1430"/>
      <c r="AA2271" s="223"/>
      <c r="AC2271" s="889"/>
      <c r="AF2271" s="890"/>
      <c r="AJ2271" s="889"/>
      <c r="AN2271" s="222"/>
      <c r="BC2271" s="223"/>
      <c r="BD2271" s="222"/>
      <c r="BH2271" s="611"/>
      <c r="BJ2271" s="15"/>
      <c r="BK2271" s="15"/>
      <c r="BO2271" s="223"/>
      <c r="BQ2271" s="889"/>
      <c r="BT2271" s="890"/>
      <c r="BX2271" s="889"/>
      <c r="CB2271" s="15"/>
      <c r="CC2271" s="697"/>
      <c r="CD2271" s="1086"/>
      <c r="CE2271" s="15"/>
      <c r="CF2271" s="15"/>
      <c r="CG2271" s="936"/>
      <c r="CH2271" s="15"/>
      <c r="CI2271" s="15"/>
      <c r="CJ2271" s="15"/>
      <c r="CK2271" s="1107"/>
      <c r="CL2271" s="22"/>
      <c r="CM2271" s="22"/>
      <c r="CN2271" s="1107"/>
      <c r="CR2271" s="223"/>
      <c r="CS2271" s="952"/>
      <c r="CT2271" s="1066"/>
      <c r="CU2271" s="972"/>
      <c r="CV2271" s="983"/>
      <c r="CW2271" s="222"/>
      <c r="CX2271" s="697"/>
      <c r="DC2271" s="222"/>
      <c r="DJ2271" s="889"/>
      <c r="DM2271" s="890"/>
      <c r="DN2271" s="952"/>
      <c r="DO2271" s="75"/>
      <c r="DP2271" s="962"/>
      <c r="DQ2271" s="983"/>
      <c r="DV2271" s="889"/>
    </row>
    <row r="2272" spans="1:126" s="74" customFormat="1">
      <c r="A2272" s="15"/>
      <c r="B2272" s="15"/>
      <c r="C2272" s="15"/>
      <c r="D2272" s="15"/>
      <c r="E2272" s="6"/>
      <c r="F2272" s="6"/>
      <c r="G2272" s="6"/>
      <c r="K2272" s="222"/>
      <c r="V2272" s="1430"/>
      <c r="AA2272" s="223"/>
      <c r="AC2272" s="889"/>
      <c r="AF2272" s="890"/>
      <c r="AJ2272" s="889"/>
      <c r="AN2272" s="222"/>
      <c r="BC2272" s="223"/>
      <c r="BD2272" s="222"/>
      <c r="BH2272" s="611"/>
      <c r="BJ2272" s="15"/>
      <c r="BK2272" s="15"/>
      <c r="BO2272" s="223"/>
      <c r="BQ2272" s="889"/>
      <c r="BT2272" s="890"/>
      <c r="BX2272" s="889"/>
      <c r="CB2272" s="15"/>
      <c r="CC2272" s="697"/>
      <c r="CD2272" s="1086"/>
      <c r="CE2272" s="15"/>
      <c r="CF2272" s="15"/>
      <c r="CG2272" s="936"/>
      <c r="CH2272" s="15"/>
      <c r="CI2272" s="15"/>
      <c r="CJ2272" s="15"/>
      <c r="CK2272" s="1107"/>
      <c r="CL2272" s="22"/>
      <c r="CM2272" s="22"/>
      <c r="CN2272" s="1107"/>
      <c r="CR2272" s="223"/>
      <c r="CS2272" s="952"/>
      <c r="CT2272" s="1066"/>
      <c r="CU2272" s="972"/>
      <c r="CV2272" s="983"/>
      <c r="CW2272" s="222"/>
      <c r="CX2272" s="697"/>
      <c r="DC2272" s="222"/>
      <c r="DJ2272" s="889"/>
      <c r="DM2272" s="890"/>
      <c r="DN2272" s="952"/>
      <c r="DO2272" s="75"/>
      <c r="DP2272" s="962"/>
      <c r="DQ2272" s="983"/>
      <c r="DV2272" s="889"/>
    </row>
    <row r="2273" spans="1:126" s="74" customFormat="1">
      <c r="A2273" s="15"/>
      <c r="B2273" s="15"/>
      <c r="C2273" s="15"/>
      <c r="D2273" s="15"/>
      <c r="E2273" s="6"/>
      <c r="F2273" s="6"/>
      <c r="G2273" s="6"/>
      <c r="K2273" s="222"/>
      <c r="V2273" s="1430"/>
      <c r="AA2273" s="223"/>
      <c r="AC2273" s="889"/>
      <c r="AF2273" s="890"/>
      <c r="AJ2273" s="889"/>
      <c r="AN2273" s="222"/>
      <c r="BC2273" s="223"/>
      <c r="BD2273" s="222"/>
      <c r="BH2273" s="611"/>
      <c r="BJ2273" s="15"/>
      <c r="BK2273" s="15"/>
      <c r="BO2273" s="223"/>
      <c r="BQ2273" s="889"/>
      <c r="BT2273" s="890"/>
      <c r="BX2273" s="889"/>
      <c r="CB2273" s="15"/>
      <c r="CC2273" s="697"/>
      <c r="CD2273" s="1086"/>
      <c r="CE2273" s="15"/>
      <c r="CF2273" s="15"/>
      <c r="CG2273" s="936"/>
      <c r="CH2273" s="15"/>
      <c r="CI2273" s="15"/>
      <c r="CJ2273" s="15"/>
      <c r="CK2273" s="1107"/>
      <c r="CL2273" s="22"/>
      <c r="CM2273" s="22"/>
      <c r="CN2273" s="1107"/>
      <c r="CR2273" s="223"/>
      <c r="CS2273" s="952"/>
      <c r="CT2273" s="1066"/>
      <c r="CU2273" s="972"/>
      <c r="CV2273" s="983"/>
      <c r="CW2273" s="222"/>
      <c r="CX2273" s="697"/>
      <c r="DC2273" s="222"/>
      <c r="DJ2273" s="889"/>
      <c r="DM2273" s="890"/>
      <c r="DN2273" s="952"/>
      <c r="DO2273" s="75"/>
      <c r="DP2273" s="962"/>
      <c r="DQ2273" s="983"/>
      <c r="DV2273" s="889"/>
    </row>
    <row r="2274" spans="1:126" s="74" customFormat="1">
      <c r="A2274" s="15"/>
      <c r="B2274" s="15"/>
      <c r="C2274" s="15"/>
      <c r="D2274" s="15"/>
      <c r="E2274" s="6"/>
      <c r="F2274" s="6"/>
      <c r="G2274" s="6"/>
      <c r="K2274" s="222"/>
      <c r="V2274" s="1430"/>
      <c r="AA2274" s="223"/>
      <c r="AC2274" s="889"/>
      <c r="AF2274" s="890"/>
      <c r="AJ2274" s="889"/>
      <c r="AN2274" s="222"/>
      <c r="BC2274" s="223"/>
      <c r="BD2274" s="222"/>
      <c r="BH2274" s="611"/>
      <c r="BJ2274" s="15"/>
      <c r="BK2274" s="15"/>
      <c r="BO2274" s="223"/>
      <c r="BQ2274" s="889"/>
      <c r="BT2274" s="890"/>
      <c r="BX2274" s="889"/>
      <c r="CB2274" s="15"/>
      <c r="CC2274" s="697"/>
      <c r="CD2274" s="1086"/>
      <c r="CE2274" s="15"/>
      <c r="CF2274" s="15"/>
      <c r="CG2274" s="936"/>
      <c r="CH2274" s="15"/>
      <c r="CI2274" s="15"/>
      <c r="CJ2274" s="15"/>
      <c r="CK2274" s="1107"/>
      <c r="CL2274" s="22"/>
      <c r="CM2274" s="22"/>
      <c r="CN2274" s="1107"/>
      <c r="CR2274" s="223"/>
      <c r="CS2274" s="952"/>
      <c r="CT2274" s="1066"/>
      <c r="CU2274" s="972"/>
      <c r="CV2274" s="983"/>
      <c r="CW2274" s="222"/>
      <c r="CX2274" s="697"/>
      <c r="DC2274" s="222"/>
      <c r="DJ2274" s="889"/>
      <c r="DM2274" s="890"/>
      <c r="DN2274" s="952"/>
      <c r="DO2274" s="75"/>
      <c r="DP2274" s="962"/>
      <c r="DQ2274" s="983"/>
      <c r="DV2274" s="889"/>
    </row>
    <row r="2275" spans="1:126" s="74" customFormat="1">
      <c r="A2275" s="15"/>
      <c r="B2275" s="15"/>
      <c r="C2275" s="15"/>
      <c r="D2275" s="15"/>
      <c r="E2275" s="6"/>
      <c r="F2275" s="6"/>
      <c r="G2275" s="6"/>
      <c r="K2275" s="222"/>
      <c r="V2275" s="1430"/>
      <c r="AA2275" s="223"/>
      <c r="AC2275" s="889"/>
      <c r="AF2275" s="890"/>
      <c r="AJ2275" s="889"/>
      <c r="AN2275" s="222"/>
      <c r="BC2275" s="223"/>
      <c r="BD2275" s="222"/>
      <c r="BH2275" s="611"/>
      <c r="BJ2275" s="15"/>
      <c r="BK2275" s="15"/>
      <c r="BO2275" s="223"/>
      <c r="BQ2275" s="889"/>
      <c r="BT2275" s="890"/>
      <c r="BX2275" s="889"/>
      <c r="CB2275" s="15"/>
      <c r="CC2275" s="697"/>
      <c r="CD2275" s="1086"/>
      <c r="CE2275" s="15"/>
      <c r="CF2275" s="15"/>
      <c r="CG2275" s="936"/>
      <c r="CH2275" s="15"/>
      <c r="CI2275" s="15"/>
      <c r="CJ2275" s="15"/>
      <c r="CK2275" s="1107"/>
      <c r="CL2275" s="22"/>
      <c r="CM2275" s="22"/>
      <c r="CN2275" s="1107"/>
      <c r="CR2275" s="223"/>
      <c r="CS2275" s="952"/>
      <c r="CT2275" s="1066"/>
      <c r="CU2275" s="972"/>
      <c r="CV2275" s="983"/>
      <c r="CW2275" s="222"/>
      <c r="CX2275" s="697"/>
      <c r="DC2275" s="222"/>
      <c r="DJ2275" s="889"/>
      <c r="DM2275" s="890"/>
      <c r="DN2275" s="952"/>
      <c r="DO2275" s="75"/>
      <c r="DP2275" s="962"/>
      <c r="DQ2275" s="983"/>
      <c r="DV2275" s="889"/>
    </row>
    <row r="2276" spans="1:126" s="74" customFormat="1">
      <c r="A2276" s="15"/>
      <c r="B2276" s="15"/>
      <c r="C2276" s="15"/>
      <c r="D2276" s="15"/>
      <c r="E2276" s="6"/>
      <c r="F2276" s="6"/>
      <c r="G2276" s="6"/>
      <c r="K2276" s="222"/>
      <c r="V2276" s="1430"/>
      <c r="AA2276" s="223"/>
      <c r="AC2276" s="889"/>
      <c r="AF2276" s="890"/>
      <c r="AJ2276" s="889"/>
      <c r="AN2276" s="222"/>
      <c r="BC2276" s="223"/>
      <c r="BD2276" s="222"/>
      <c r="BH2276" s="611"/>
      <c r="BJ2276" s="15"/>
      <c r="BK2276" s="15"/>
      <c r="BO2276" s="223"/>
      <c r="BQ2276" s="889"/>
      <c r="BT2276" s="890"/>
      <c r="BX2276" s="889"/>
      <c r="CB2276" s="15"/>
      <c r="CC2276" s="697"/>
      <c r="CD2276" s="1086"/>
      <c r="CE2276" s="15"/>
      <c r="CF2276" s="15"/>
      <c r="CG2276" s="936"/>
      <c r="CH2276" s="15"/>
      <c r="CI2276" s="15"/>
      <c r="CJ2276" s="15"/>
      <c r="CK2276" s="1107"/>
      <c r="CL2276" s="22"/>
      <c r="CM2276" s="22"/>
      <c r="CN2276" s="1107"/>
      <c r="CR2276" s="223"/>
      <c r="CS2276" s="952"/>
      <c r="CT2276" s="1066"/>
      <c r="CU2276" s="972"/>
      <c r="CV2276" s="983"/>
      <c r="CW2276" s="222"/>
      <c r="CX2276" s="697"/>
      <c r="DC2276" s="222"/>
      <c r="DJ2276" s="889"/>
      <c r="DM2276" s="890"/>
      <c r="DN2276" s="952"/>
      <c r="DO2276" s="75"/>
      <c r="DP2276" s="962"/>
      <c r="DQ2276" s="983"/>
      <c r="DV2276" s="889"/>
    </row>
    <row r="2277" spans="1:126" s="74" customFormat="1">
      <c r="A2277" s="15"/>
      <c r="B2277" s="15"/>
      <c r="C2277" s="15"/>
      <c r="D2277" s="15"/>
      <c r="E2277" s="6"/>
      <c r="F2277" s="6"/>
      <c r="G2277" s="6"/>
      <c r="K2277" s="222"/>
      <c r="V2277" s="1430"/>
      <c r="AA2277" s="223"/>
      <c r="AC2277" s="889"/>
      <c r="AF2277" s="890"/>
      <c r="AJ2277" s="889"/>
      <c r="AN2277" s="222"/>
      <c r="BC2277" s="223"/>
      <c r="BD2277" s="222"/>
      <c r="BH2277" s="611"/>
      <c r="BJ2277" s="15"/>
      <c r="BK2277" s="15"/>
      <c r="BO2277" s="223"/>
      <c r="BQ2277" s="889"/>
      <c r="BT2277" s="890"/>
      <c r="BX2277" s="889"/>
      <c r="CB2277" s="15"/>
      <c r="CC2277" s="697"/>
      <c r="CD2277" s="1086"/>
      <c r="CE2277" s="15"/>
      <c r="CF2277" s="15"/>
      <c r="CG2277" s="936"/>
      <c r="CH2277" s="15"/>
      <c r="CI2277" s="15"/>
      <c r="CJ2277" s="15"/>
      <c r="CK2277" s="1107"/>
      <c r="CL2277" s="22"/>
      <c r="CM2277" s="22"/>
      <c r="CN2277" s="1107"/>
      <c r="CR2277" s="223"/>
      <c r="CS2277" s="952"/>
      <c r="CT2277" s="1066"/>
      <c r="CU2277" s="972"/>
      <c r="CV2277" s="983"/>
      <c r="CW2277" s="222"/>
      <c r="CX2277" s="697"/>
      <c r="DC2277" s="222"/>
      <c r="DJ2277" s="889"/>
      <c r="DM2277" s="890"/>
      <c r="DN2277" s="952"/>
      <c r="DO2277" s="75"/>
      <c r="DP2277" s="962"/>
      <c r="DQ2277" s="983"/>
      <c r="DV2277" s="889"/>
    </row>
    <row r="2278" spans="1:126" s="74" customFormat="1">
      <c r="A2278" s="15"/>
      <c r="B2278" s="15"/>
      <c r="C2278" s="15"/>
      <c r="D2278" s="15"/>
      <c r="E2278" s="6"/>
      <c r="F2278" s="6"/>
      <c r="G2278" s="6"/>
      <c r="K2278" s="222"/>
      <c r="V2278" s="1430"/>
      <c r="AA2278" s="223"/>
      <c r="AC2278" s="889"/>
      <c r="AF2278" s="890"/>
      <c r="AJ2278" s="889"/>
      <c r="AN2278" s="222"/>
      <c r="BC2278" s="223"/>
      <c r="BD2278" s="222"/>
      <c r="BH2278" s="611"/>
      <c r="BJ2278" s="15"/>
      <c r="BK2278" s="15"/>
      <c r="BO2278" s="223"/>
      <c r="BQ2278" s="889"/>
      <c r="BT2278" s="890"/>
      <c r="BX2278" s="889"/>
      <c r="CB2278" s="15"/>
      <c r="CC2278" s="697"/>
      <c r="CD2278" s="1086"/>
      <c r="CE2278" s="15"/>
      <c r="CF2278" s="15"/>
      <c r="CG2278" s="936"/>
      <c r="CH2278" s="15"/>
      <c r="CI2278" s="15"/>
      <c r="CJ2278" s="15"/>
      <c r="CK2278" s="1107"/>
      <c r="CL2278" s="22"/>
      <c r="CM2278" s="22"/>
      <c r="CN2278" s="1107"/>
      <c r="CR2278" s="223"/>
      <c r="CS2278" s="952"/>
      <c r="CT2278" s="1066"/>
      <c r="CU2278" s="972"/>
      <c r="CV2278" s="983"/>
      <c r="CW2278" s="222"/>
      <c r="CX2278" s="697"/>
      <c r="DC2278" s="222"/>
      <c r="DJ2278" s="889"/>
      <c r="DM2278" s="890"/>
      <c r="DN2278" s="952"/>
      <c r="DO2278" s="75"/>
      <c r="DP2278" s="962"/>
      <c r="DQ2278" s="983"/>
      <c r="DV2278" s="889"/>
    </row>
    <row r="2279" spans="1:126" s="74" customFormat="1">
      <c r="A2279" s="15"/>
      <c r="B2279" s="15"/>
      <c r="C2279" s="15"/>
      <c r="D2279" s="15"/>
      <c r="E2279" s="6"/>
      <c r="F2279" s="6"/>
      <c r="G2279" s="6"/>
      <c r="K2279" s="222"/>
      <c r="V2279" s="1430"/>
      <c r="AA2279" s="223"/>
      <c r="AC2279" s="889"/>
      <c r="AF2279" s="890"/>
      <c r="AJ2279" s="889"/>
      <c r="AN2279" s="222"/>
      <c r="BC2279" s="223"/>
      <c r="BD2279" s="222"/>
      <c r="BH2279" s="611"/>
      <c r="BJ2279" s="15"/>
      <c r="BK2279" s="15"/>
      <c r="BO2279" s="223"/>
      <c r="BQ2279" s="889"/>
      <c r="BT2279" s="890"/>
      <c r="BX2279" s="889"/>
      <c r="CB2279" s="15"/>
      <c r="CC2279" s="697"/>
      <c r="CD2279" s="1086"/>
      <c r="CE2279" s="15"/>
      <c r="CF2279" s="15"/>
      <c r="CG2279" s="936"/>
      <c r="CH2279" s="15"/>
      <c r="CI2279" s="15"/>
      <c r="CJ2279" s="15"/>
      <c r="CK2279" s="1107"/>
      <c r="CL2279" s="22"/>
      <c r="CM2279" s="22"/>
      <c r="CN2279" s="1107"/>
      <c r="CR2279" s="223"/>
      <c r="CS2279" s="952"/>
      <c r="CT2279" s="1066"/>
      <c r="CU2279" s="972"/>
      <c r="CV2279" s="983"/>
      <c r="CW2279" s="222"/>
      <c r="CX2279" s="697"/>
      <c r="DC2279" s="222"/>
      <c r="DJ2279" s="889"/>
      <c r="DM2279" s="890"/>
      <c r="DN2279" s="952"/>
      <c r="DO2279" s="75"/>
      <c r="DP2279" s="962"/>
      <c r="DQ2279" s="983"/>
      <c r="DV2279" s="889"/>
    </row>
    <row r="2280" spans="1:126" s="74" customFormat="1">
      <c r="A2280" s="15"/>
      <c r="B2280" s="15"/>
      <c r="C2280" s="15"/>
      <c r="D2280" s="15"/>
      <c r="E2280" s="6"/>
      <c r="F2280" s="6"/>
      <c r="G2280" s="6"/>
      <c r="K2280" s="222"/>
      <c r="V2280" s="1430"/>
      <c r="AA2280" s="223"/>
      <c r="AC2280" s="889"/>
      <c r="AF2280" s="890"/>
      <c r="AJ2280" s="889"/>
      <c r="AN2280" s="222"/>
      <c r="BC2280" s="223"/>
      <c r="BD2280" s="222"/>
      <c r="BH2280" s="611"/>
      <c r="BJ2280" s="15"/>
      <c r="BK2280" s="15"/>
      <c r="BO2280" s="223"/>
      <c r="BQ2280" s="889"/>
      <c r="BT2280" s="890"/>
      <c r="BX2280" s="889"/>
      <c r="CB2280" s="15"/>
      <c r="CC2280" s="697"/>
      <c r="CD2280" s="1086"/>
      <c r="CE2280" s="15"/>
      <c r="CF2280" s="15"/>
      <c r="CG2280" s="936"/>
      <c r="CH2280" s="15"/>
      <c r="CI2280" s="15"/>
      <c r="CJ2280" s="15"/>
      <c r="CK2280" s="1107"/>
      <c r="CL2280" s="22"/>
      <c r="CM2280" s="22"/>
      <c r="CN2280" s="1107"/>
      <c r="CR2280" s="223"/>
      <c r="CS2280" s="952"/>
      <c r="CT2280" s="1066"/>
      <c r="CU2280" s="972"/>
      <c r="CV2280" s="983"/>
      <c r="CW2280" s="222"/>
      <c r="CX2280" s="697"/>
      <c r="DC2280" s="222"/>
      <c r="DJ2280" s="889"/>
      <c r="DM2280" s="890"/>
      <c r="DN2280" s="952"/>
      <c r="DO2280" s="75"/>
      <c r="DP2280" s="962"/>
      <c r="DQ2280" s="983"/>
      <c r="DV2280" s="889"/>
    </row>
    <row r="2281" spans="1:126" s="74" customFormat="1">
      <c r="A2281" s="15"/>
      <c r="B2281" s="15"/>
      <c r="C2281" s="15"/>
      <c r="D2281" s="15"/>
      <c r="E2281" s="6"/>
      <c r="F2281" s="6"/>
      <c r="G2281" s="6"/>
      <c r="K2281" s="222"/>
      <c r="V2281" s="1430"/>
      <c r="AA2281" s="223"/>
      <c r="AC2281" s="889"/>
      <c r="AF2281" s="890"/>
      <c r="AJ2281" s="889"/>
      <c r="AN2281" s="222"/>
      <c r="BC2281" s="223"/>
      <c r="BD2281" s="222"/>
      <c r="BH2281" s="611"/>
      <c r="BJ2281" s="15"/>
      <c r="BK2281" s="15"/>
      <c r="BO2281" s="223"/>
      <c r="BQ2281" s="889"/>
      <c r="BT2281" s="890"/>
      <c r="BX2281" s="889"/>
      <c r="CB2281" s="15"/>
      <c r="CC2281" s="697"/>
      <c r="CD2281" s="1086"/>
      <c r="CE2281" s="15"/>
      <c r="CF2281" s="15"/>
      <c r="CG2281" s="936"/>
      <c r="CH2281" s="15"/>
      <c r="CI2281" s="15"/>
      <c r="CJ2281" s="15"/>
      <c r="CK2281" s="1107"/>
      <c r="CL2281" s="22"/>
      <c r="CM2281" s="22"/>
      <c r="CN2281" s="1107"/>
      <c r="CR2281" s="223"/>
      <c r="CS2281" s="952"/>
      <c r="CT2281" s="1066"/>
      <c r="CU2281" s="972"/>
      <c r="CV2281" s="983"/>
      <c r="CW2281" s="222"/>
      <c r="CX2281" s="697"/>
      <c r="DC2281" s="222"/>
      <c r="DJ2281" s="889"/>
      <c r="DM2281" s="890"/>
      <c r="DN2281" s="952"/>
      <c r="DO2281" s="75"/>
      <c r="DP2281" s="962"/>
      <c r="DQ2281" s="983"/>
      <c r="DV2281" s="889"/>
    </row>
    <row r="2282" spans="1:126" s="74" customFormat="1">
      <c r="A2282" s="15"/>
      <c r="B2282" s="15"/>
      <c r="C2282" s="15"/>
      <c r="D2282" s="15"/>
      <c r="E2282" s="6"/>
      <c r="F2282" s="6"/>
      <c r="G2282" s="6"/>
      <c r="K2282" s="222"/>
      <c r="V2282" s="1430"/>
      <c r="AA2282" s="223"/>
      <c r="AC2282" s="889"/>
      <c r="AF2282" s="890"/>
      <c r="AJ2282" s="889"/>
      <c r="AN2282" s="222"/>
      <c r="BC2282" s="223"/>
      <c r="BD2282" s="222"/>
      <c r="BH2282" s="611"/>
      <c r="BJ2282" s="15"/>
      <c r="BK2282" s="15"/>
      <c r="BO2282" s="223"/>
      <c r="BQ2282" s="889"/>
      <c r="BT2282" s="890"/>
      <c r="BX2282" s="889"/>
      <c r="CB2282" s="15"/>
      <c r="CC2282" s="697"/>
      <c r="CD2282" s="1086"/>
      <c r="CE2282" s="15"/>
      <c r="CF2282" s="15"/>
      <c r="CG2282" s="936"/>
      <c r="CH2282" s="15"/>
      <c r="CI2282" s="15"/>
      <c r="CJ2282" s="15"/>
      <c r="CK2282" s="1107"/>
      <c r="CL2282" s="22"/>
      <c r="CM2282" s="22"/>
      <c r="CN2282" s="1107"/>
      <c r="CR2282" s="223"/>
      <c r="CS2282" s="952"/>
      <c r="CT2282" s="1066"/>
      <c r="CU2282" s="972"/>
      <c r="CV2282" s="983"/>
      <c r="CW2282" s="222"/>
      <c r="CX2282" s="697"/>
      <c r="DC2282" s="222"/>
      <c r="DJ2282" s="889"/>
      <c r="DM2282" s="890"/>
      <c r="DN2282" s="952"/>
      <c r="DO2282" s="75"/>
      <c r="DP2282" s="962"/>
      <c r="DQ2282" s="983"/>
      <c r="DV2282" s="889"/>
    </row>
    <row r="2283" spans="1:126" s="74" customFormat="1">
      <c r="A2283" s="15"/>
      <c r="B2283" s="15"/>
      <c r="C2283" s="15"/>
      <c r="D2283" s="15"/>
      <c r="E2283" s="6"/>
      <c r="F2283" s="6"/>
      <c r="G2283" s="6"/>
      <c r="K2283" s="222"/>
      <c r="V2283" s="1430"/>
      <c r="AA2283" s="223"/>
      <c r="AC2283" s="889"/>
      <c r="AF2283" s="890"/>
      <c r="AJ2283" s="889"/>
      <c r="AN2283" s="222"/>
      <c r="BC2283" s="223"/>
      <c r="BD2283" s="222"/>
      <c r="BH2283" s="611"/>
      <c r="BJ2283" s="15"/>
      <c r="BK2283" s="15"/>
      <c r="BO2283" s="223"/>
      <c r="BQ2283" s="889"/>
      <c r="BT2283" s="890"/>
      <c r="BX2283" s="889"/>
      <c r="CB2283" s="15"/>
      <c r="CC2283" s="697"/>
      <c r="CD2283" s="1086"/>
      <c r="CE2283" s="15"/>
      <c r="CF2283" s="15"/>
      <c r="CG2283" s="936"/>
      <c r="CH2283" s="15"/>
      <c r="CI2283" s="15"/>
      <c r="CJ2283" s="15"/>
      <c r="CK2283" s="1107"/>
      <c r="CL2283" s="22"/>
      <c r="CM2283" s="22"/>
      <c r="CN2283" s="1107"/>
      <c r="CR2283" s="223"/>
      <c r="CS2283" s="952"/>
      <c r="CT2283" s="1066"/>
      <c r="CU2283" s="972"/>
      <c r="CV2283" s="983"/>
      <c r="CW2283" s="222"/>
      <c r="CX2283" s="697"/>
      <c r="DC2283" s="222"/>
      <c r="DJ2283" s="889"/>
      <c r="DM2283" s="890"/>
      <c r="DN2283" s="952"/>
      <c r="DO2283" s="75"/>
      <c r="DP2283" s="962"/>
      <c r="DQ2283" s="983"/>
      <c r="DV2283" s="889"/>
    </row>
    <row r="2284" spans="1:126" s="74" customFormat="1">
      <c r="A2284" s="15"/>
      <c r="B2284" s="15"/>
      <c r="C2284" s="15"/>
      <c r="D2284" s="15"/>
      <c r="E2284" s="6"/>
      <c r="F2284" s="6"/>
      <c r="G2284" s="6"/>
      <c r="K2284" s="222"/>
      <c r="V2284" s="1430"/>
      <c r="AA2284" s="223"/>
      <c r="AC2284" s="889"/>
      <c r="AF2284" s="890"/>
      <c r="AJ2284" s="889"/>
      <c r="AN2284" s="222"/>
      <c r="BC2284" s="223"/>
      <c r="BD2284" s="222"/>
      <c r="BH2284" s="611"/>
      <c r="BJ2284" s="15"/>
      <c r="BK2284" s="15"/>
      <c r="BO2284" s="223"/>
      <c r="BQ2284" s="889"/>
      <c r="BT2284" s="890"/>
      <c r="BX2284" s="889"/>
      <c r="CB2284" s="15"/>
      <c r="CC2284" s="697"/>
      <c r="CD2284" s="1086"/>
      <c r="CE2284" s="15"/>
      <c r="CF2284" s="15"/>
      <c r="CG2284" s="936"/>
      <c r="CH2284" s="15"/>
      <c r="CI2284" s="15"/>
      <c r="CJ2284" s="15"/>
      <c r="CK2284" s="1107"/>
      <c r="CL2284" s="22"/>
      <c r="CM2284" s="22"/>
      <c r="CN2284" s="1107"/>
      <c r="CR2284" s="223"/>
      <c r="CS2284" s="952"/>
      <c r="CT2284" s="1066"/>
      <c r="CU2284" s="972"/>
      <c r="CV2284" s="983"/>
      <c r="CW2284" s="222"/>
      <c r="CX2284" s="697"/>
      <c r="DC2284" s="222"/>
      <c r="DJ2284" s="889"/>
      <c r="DM2284" s="890"/>
      <c r="DN2284" s="952"/>
      <c r="DO2284" s="75"/>
      <c r="DP2284" s="962"/>
      <c r="DQ2284" s="983"/>
      <c r="DV2284" s="889"/>
    </row>
    <row r="2285" spans="1:126" s="74" customFormat="1">
      <c r="A2285" s="15"/>
      <c r="B2285" s="15"/>
      <c r="C2285" s="15"/>
      <c r="D2285" s="15"/>
      <c r="E2285" s="6"/>
      <c r="F2285" s="6"/>
      <c r="G2285" s="6"/>
      <c r="K2285" s="222"/>
      <c r="V2285" s="1430"/>
      <c r="AA2285" s="223"/>
      <c r="AC2285" s="889"/>
      <c r="AF2285" s="890"/>
      <c r="AJ2285" s="889"/>
      <c r="AN2285" s="222"/>
      <c r="BC2285" s="223"/>
      <c r="BD2285" s="222"/>
      <c r="BH2285" s="611"/>
      <c r="BJ2285" s="15"/>
      <c r="BK2285" s="15"/>
      <c r="BO2285" s="223"/>
      <c r="BQ2285" s="889"/>
      <c r="BT2285" s="890"/>
      <c r="BX2285" s="889"/>
      <c r="CB2285" s="15"/>
      <c r="CC2285" s="697"/>
      <c r="CD2285" s="1086"/>
      <c r="CE2285" s="15"/>
      <c r="CF2285" s="15"/>
      <c r="CG2285" s="936"/>
      <c r="CH2285" s="15"/>
      <c r="CI2285" s="15"/>
      <c r="CJ2285" s="15"/>
      <c r="CK2285" s="1107"/>
      <c r="CL2285" s="22"/>
      <c r="CM2285" s="22"/>
      <c r="CN2285" s="1107"/>
      <c r="CR2285" s="223"/>
      <c r="CS2285" s="952"/>
      <c r="CT2285" s="1066"/>
      <c r="CU2285" s="972"/>
      <c r="CV2285" s="983"/>
      <c r="CW2285" s="222"/>
      <c r="CX2285" s="697"/>
      <c r="DC2285" s="222"/>
      <c r="DJ2285" s="889"/>
      <c r="DM2285" s="890"/>
      <c r="DN2285" s="952"/>
      <c r="DO2285" s="75"/>
      <c r="DP2285" s="962"/>
      <c r="DQ2285" s="983"/>
      <c r="DV2285" s="889"/>
    </row>
    <row r="2286" spans="1:126" s="74" customFormat="1">
      <c r="A2286" s="15"/>
      <c r="B2286" s="15"/>
      <c r="C2286" s="15"/>
      <c r="D2286" s="15"/>
      <c r="E2286" s="6"/>
      <c r="F2286" s="6"/>
      <c r="G2286" s="6"/>
      <c r="K2286" s="222"/>
      <c r="V2286" s="1430"/>
      <c r="AA2286" s="223"/>
      <c r="AC2286" s="889"/>
      <c r="AF2286" s="890"/>
      <c r="AJ2286" s="889"/>
      <c r="AN2286" s="222"/>
      <c r="BC2286" s="223"/>
      <c r="BD2286" s="222"/>
      <c r="BH2286" s="611"/>
      <c r="BJ2286" s="15"/>
      <c r="BK2286" s="15"/>
      <c r="BO2286" s="223"/>
      <c r="BQ2286" s="889"/>
      <c r="BT2286" s="890"/>
      <c r="BX2286" s="889"/>
      <c r="CB2286" s="15"/>
      <c r="CC2286" s="697"/>
      <c r="CD2286" s="1086"/>
      <c r="CE2286" s="15"/>
      <c r="CF2286" s="15"/>
      <c r="CG2286" s="936"/>
      <c r="CH2286" s="15"/>
      <c r="CI2286" s="15"/>
      <c r="CJ2286" s="15"/>
      <c r="CK2286" s="1107"/>
      <c r="CL2286" s="22"/>
      <c r="CM2286" s="22"/>
      <c r="CN2286" s="1107"/>
      <c r="CR2286" s="223"/>
      <c r="CS2286" s="952"/>
      <c r="CT2286" s="1066"/>
      <c r="CU2286" s="972"/>
      <c r="CV2286" s="983"/>
      <c r="CW2286" s="222"/>
      <c r="CX2286" s="697"/>
      <c r="DC2286" s="222"/>
      <c r="DJ2286" s="889"/>
      <c r="DM2286" s="890"/>
      <c r="DN2286" s="952"/>
      <c r="DO2286" s="75"/>
      <c r="DP2286" s="962"/>
      <c r="DQ2286" s="983"/>
      <c r="DV2286" s="889"/>
    </row>
    <row r="2287" spans="1:126" s="74" customFormat="1">
      <c r="A2287" s="15"/>
      <c r="B2287" s="15"/>
      <c r="C2287" s="15"/>
      <c r="D2287" s="15"/>
      <c r="E2287" s="6"/>
      <c r="F2287" s="6"/>
      <c r="G2287" s="6"/>
      <c r="K2287" s="222"/>
      <c r="V2287" s="1430"/>
      <c r="AA2287" s="223"/>
      <c r="AC2287" s="889"/>
      <c r="AF2287" s="890"/>
      <c r="AJ2287" s="889"/>
      <c r="AN2287" s="222"/>
      <c r="BC2287" s="223"/>
      <c r="BD2287" s="222"/>
      <c r="BH2287" s="611"/>
      <c r="BJ2287" s="15"/>
      <c r="BK2287" s="15"/>
      <c r="BO2287" s="223"/>
      <c r="BQ2287" s="889"/>
      <c r="BT2287" s="890"/>
      <c r="BX2287" s="889"/>
      <c r="CB2287" s="15"/>
      <c r="CC2287" s="697"/>
      <c r="CD2287" s="1086"/>
      <c r="CE2287" s="15"/>
      <c r="CF2287" s="15"/>
      <c r="CG2287" s="936"/>
      <c r="CH2287" s="15"/>
      <c r="CI2287" s="15"/>
      <c r="CJ2287" s="15"/>
      <c r="CK2287" s="1107"/>
      <c r="CL2287" s="22"/>
      <c r="CM2287" s="22"/>
      <c r="CN2287" s="1107"/>
      <c r="CR2287" s="223"/>
      <c r="CS2287" s="952"/>
      <c r="CT2287" s="1066"/>
      <c r="CU2287" s="972"/>
      <c r="CV2287" s="983"/>
      <c r="CW2287" s="222"/>
      <c r="CX2287" s="697"/>
      <c r="DC2287" s="222"/>
      <c r="DJ2287" s="889"/>
      <c r="DM2287" s="890"/>
      <c r="DN2287" s="952"/>
      <c r="DO2287" s="75"/>
      <c r="DP2287" s="962"/>
      <c r="DQ2287" s="983"/>
      <c r="DV2287" s="889"/>
    </row>
    <row r="2288" spans="1:126" s="74" customFormat="1">
      <c r="A2288" s="15"/>
      <c r="B2288" s="15"/>
      <c r="C2288" s="15"/>
      <c r="D2288" s="15"/>
      <c r="E2288" s="6"/>
      <c r="F2288" s="6"/>
      <c r="G2288" s="6"/>
      <c r="K2288" s="222"/>
      <c r="V2288" s="1430"/>
      <c r="AA2288" s="223"/>
      <c r="AC2288" s="889"/>
      <c r="AF2288" s="890"/>
      <c r="AJ2288" s="889"/>
      <c r="AN2288" s="222"/>
      <c r="BC2288" s="223"/>
      <c r="BD2288" s="222"/>
      <c r="BH2288" s="611"/>
      <c r="BJ2288" s="15"/>
      <c r="BK2288" s="15"/>
      <c r="BO2288" s="223"/>
      <c r="BQ2288" s="889"/>
      <c r="BT2288" s="890"/>
      <c r="BX2288" s="889"/>
      <c r="CB2288" s="15"/>
      <c r="CC2288" s="697"/>
      <c r="CD2288" s="1086"/>
      <c r="CE2288" s="15"/>
      <c r="CF2288" s="15"/>
      <c r="CG2288" s="936"/>
      <c r="CH2288" s="15"/>
      <c r="CI2288" s="15"/>
      <c r="CJ2288" s="15"/>
      <c r="CK2288" s="1107"/>
      <c r="CL2288" s="22"/>
      <c r="CM2288" s="22"/>
      <c r="CN2288" s="1107"/>
      <c r="CR2288" s="223"/>
      <c r="CS2288" s="952"/>
      <c r="CT2288" s="1066"/>
      <c r="CU2288" s="972"/>
      <c r="CV2288" s="983"/>
      <c r="CW2288" s="222"/>
      <c r="CX2288" s="697"/>
      <c r="DC2288" s="222"/>
      <c r="DJ2288" s="889"/>
      <c r="DM2288" s="890"/>
      <c r="DN2288" s="952"/>
      <c r="DO2288" s="75"/>
      <c r="DP2288" s="962"/>
      <c r="DQ2288" s="983"/>
      <c r="DV2288" s="889"/>
    </row>
    <row r="2289" spans="1:126" s="74" customFormat="1">
      <c r="A2289" s="15"/>
      <c r="B2289" s="15"/>
      <c r="C2289" s="15"/>
      <c r="D2289" s="15"/>
      <c r="E2289" s="6"/>
      <c r="F2289" s="6"/>
      <c r="G2289" s="6"/>
      <c r="K2289" s="222"/>
      <c r="V2289" s="1430"/>
      <c r="AA2289" s="223"/>
      <c r="AC2289" s="889"/>
      <c r="AF2289" s="890"/>
      <c r="AJ2289" s="889"/>
      <c r="AN2289" s="222"/>
      <c r="BC2289" s="223"/>
      <c r="BD2289" s="222"/>
      <c r="BH2289" s="611"/>
      <c r="BJ2289" s="15"/>
      <c r="BK2289" s="15"/>
      <c r="BO2289" s="223"/>
      <c r="BQ2289" s="889"/>
      <c r="BT2289" s="890"/>
      <c r="BX2289" s="889"/>
      <c r="CB2289" s="15"/>
      <c r="CC2289" s="697"/>
      <c r="CD2289" s="1086"/>
      <c r="CE2289" s="15"/>
      <c r="CF2289" s="15"/>
      <c r="CG2289" s="936"/>
      <c r="CH2289" s="15"/>
      <c r="CI2289" s="15"/>
      <c r="CJ2289" s="15"/>
      <c r="CK2289" s="1107"/>
      <c r="CL2289" s="22"/>
      <c r="CM2289" s="22"/>
      <c r="CN2289" s="1107"/>
      <c r="CR2289" s="223"/>
      <c r="CS2289" s="952"/>
      <c r="CT2289" s="1066"/>
      <c r="CU2289" s="972"/>
      <c r="CV2289" s="983"/>
      <c r="CW2289" s="222"/>
      <c r="CX2289" s="697"/>
      <c r="DC2289" s="222"/>
      <c r="DJ2289" s="889"/>
      <c r="DM2289" s="890"/>
      <c r="DN2289" s="952"/>
      <c r="DO2289" s="75"/>
      <c r="DP2289" s="962"/>
      <c r="DQ2289" s="983"/>
      <c r="DV2289" s="889"/>
    </row>
    <row r="2290" spans="1:126" s="74" customFormat="1">
      <c r="A2290" s="15"/>
      <c r="B2290" s="15"/>
      <c r="C2290" s="15"/>
      <c r="D2290" s="15"/>
      <c r="E2290" s="6"/>
      <c r="F2290" s="6"/>
      <c r="G2290" s="6"/>
      <c r="K2290" s="222"/>
      <c r="V2290" s="1430"/>
      <c r="AA2290" s="223"/>
      <c r="AC2290" s="889"/>
      <c r="AF2290" s="890"/>
      <c r="AJ2290" s="889"/>
      <c r="AN2290" s="222"/>
      <c r="BC2290" s="223"/>
      <c r="BD2290" s="222"/>
      <c r="BH2290" s="611"/>
      <c r="BJ2290" s="15"/>
      <c r="BK2290" s="15"/>
      <c r="BO2290" s="223"/>
      <c r="BQ2290" s="889"/>
      <c r="BT2290" s="890"/>
      <c r="BX2290" s="889"/>
      <c r="CB2290" s="15"/>
      <c r="CC2290" s="697"/>
      <c r="CD2290" s="1086"/>
      <c r="CE2290" s="15"/>
      <c r="CF2290" s="15"/>
      <c r="CG2290" s="936"/>
      <c r="CH2290" s="15"/>
      <c r="CI2290" s="15"/>
      <c r="CJ2290" s="15"/>
      <c r="CK2290" s="1107"/>
      <c r="CL2290" s="22"/>
      <c r="CM2290" s="22"/>
      <c r="CN2290" s="1107"/>
      <c r="CR2290" s="223"/>
      <c r="CS2290" s="952"/>
      <c r="CT2290" s="1066"/>
      <c r="CU2290" s="972"/>
      <c r="CV2290" s="983"/>
      <c r="CW2290" s="222"/>
      <c r="CX2290" s="697"/>
      <c r="DC2290" s="222"/>
      <c r="DJ2290" s="889"/>
      <c r="DM2290" s="890"/>
      <c r="DN2290" s="952"/>
      <c r="DO2290" s="75"/>
      <c r="DP2290" s="962"/>
      <c r="DQ2290" s="983"/>
      <c r="DV2290" s="889"/>
    </row>
    <row r="2291" spans="1:126" s="74" customFormat="1">
      <c r="A2291" s="15"/>
      <c r="B2291" s="15"/>
      <c r="C2291" s="15"/>
      <c r="D2291" s="15"/>
      <c r="E2291" s="6"/>
      <c r="F2291" s="6"/>
      <c r="G2291" s="6"/>
      <c r="K2291" s="222"/>
      <c r="V2291" s="1430"/>
      <c r="AA2291" s="223"/>
      <c r="AC2291" s="889"/>
      <c r="AF2291" s="890"/>
      <c r="AJ2291" s="889"/>
      <c r="AN2291" s="222"/>
      <c r="BC2291" s="223"/>
      <c r="BD2291" s="222"/>
      <c r="BH2291" s="611"/>
      <c r="BJ2291" s="15"/>
      <c r="BK2291" s="15"/>
      <c r="BO2291" s="223"/>
      <c r="BQ2291" s="889"/>
      <c r="BT2291" s="890"/>
      <c r="BX2291" s="889"/>
      <c r="CB2291" s="15"/>
      <c r="CC2291" s="697"/>
      <c r="CD2291" s="1086"/>
      <c r="CE2291" s="15"/>
      <c r="CF2291" s="15"/>
      <c r="CG2291" s="936"/>
      <c r="CH2291" s="15"/>
      <c r="CI2291" s="15"/>
      <c r="CJ2291" s="15"/>
      <c r="CK2291" s="1107"/>
      <c r="CL2291" s="22"/>
      <c r="CM2291" s="22"/>
      <c r="CN2291" s="1107"/>
      <c r="CR2291" s="223"/>
      <c r="CS2291" s="952"/>
      <c r="CT2291" s="1066"/>
      <c r="CU2291" s="972"/>
      <c r="CV2291" s="983"/>
      <c r="CW2291" s="222"/>
      <c r="CX2291" s="697"/>
      <c r="DC2291" s="222"/>
      <c r="DJ2291" s="889"/>
      <c r="DM2291" s="890"/>
      <c r="DN2291" s="952"/>
      <c r="DO2291" s="75"/>
      <c r="DP2291" s="962"/>
      <c r="DQ2291" s="983"/>
      <c r="DV2291" s="889"/>
    </row>
    <row r="2292" spans="1:126" s="74" customFormat="1">
      <c r="A2292" s="15"/>
      <c r="B2292" s="15"/>
      <c r="C2292" s="15"/>
      <c r="D2292" s="15"/>
      <c r="E2292" s="6"/>
      <c r="F2292" s="6"/>
      <c r="G2292" s="6"/>
      <c r="K2292" s="222"/>
      <c r="V2292" s="1430"/>
      <c r="AA2292" s="223"/>
      <c r="AC2292" s="889"/>
      <c r="AF2292" s="890"/>
      <c r="AJ2292" s="889"/>
      <c r="AN2292" s="222"/>
      <c r="BC2292" s="223"/>
      <c r="BD2292" s="222"/>
      <c r="BH2292" s="611"/>
      <c r="BJ2292" s="15"/>
      <c r="BK2292" s="15"/>
      <c r="BO2292" s="223"/>
      <c r="BQ2292" s="889"/>
      <c r="BT2292" s="890"/>
      <c r="BX2292" s="889"/>
      <c r="CB2292" s="15"/>
      <c r="CC2292" s="697"/>
      <c r="CD2292" s="1086"/>
      <c r="CE2292" s="15"/>
      <c r="CF2292" s="15"/>
      <c r="CG2292" s="936"/>
      <c r="CH2292" s="15"/>
      <c r="CI2292" s="15"/>
      <c r="CJ2292" s="15"/>
      <c r="CK2292" s="1107"/>
      <c r="CL2292" s="22"/>
      <c r="CM2292" s="22"/>
      <c r="CN2292" s="1107"/>
      <c r="CR2292" s="223"/>
      <c r="CS2292" s="952"/>
      <c r="CT2292" s="1066"/>
      <c r="CU2292" s="972"/>
      <c r="CV2292" s="983"/>
      <c r="CW2292" s="222"/>
      <c r="CX2292" s="697"/>
      <c r="DC2292" s="222"/>
      <c r="DJ2292" s="889"/>
      <c r="DM2292" s="890"/>
      <c r="DN2292" s="952"/>
      <c r="DO2292" s="75"/>
      <c r="DP2292" s="962"/>
      <c r="DQ2292" s="983"/>
      <c r="DV2292" s="889"/>
    </row>
    <row r="2293" spans="1:126" s="74" customFormat="1">
      <c r="A2293" s="15"/>
      <c r="B2293" s="15"/>
      <c r="C2293" s="15"/>
      <c r="D2293" s="15"/>
      <c r="E2293" s="6"/>
      <c r="F2293" s="6"/>
      <c r="G2293" s="6"/>
      <c r="K2293" s="222"/>
      <c r="V2293" s="1430"/>
      <c r="AA2293" s="223"/>
      <c r="AC2293" s="889"/>
      <c r="AF2293" s="890"/>
      <c r="AJ2293" s="889"/>
      <c r="AN2293" s="222"/>
      <c r="BC2293" s="223"/>
      <c r="BD2293" s="222"/>
      <c r="BH2293" s="611"/>
      <c r="BJ2293" s="15"/>
      <c r="BK2293" s="15"/>
      <c r="BO2293" s="223"/>
      <c r="BQ2293" s="889"/>
      <c r="BT2293" s="890"/>
      <c r="BX2293" s="889"/>
      <c r="CB2293" s="15"/>
      <c r="CC2293" s="697"/>
      <c r="CD2293" s="1086"/>
      <c r="CE2293" s="15"/>
      <c r="CF2293" s="15"/>
      <c r="CG2293" s="936"/>
      <c r="CH2293" s="15"/>
      <c r="CI2293" s="15"/>
      <c r="CJ2293" s="15"/>
      <c r="CK2293" s="1107"/>
      <c r="CL2293" s="22"/>
      <c r="CM2293" s="22"/>
      <c r="CN2293" s="1107"/>
      <c r="CR2293" s="223"/>
      <c r="CS2293" s="952"/>
      <c r="CT2293" s="1066"/>
      <c r="CU2293" s="972"/>
      <c r="CV2293" s="983"/>
      <c r="CW2293" s="222"/>
      <c r="CX2293" s="697"/>
      <c r="DC2293" s="222"/>
      <c r="DJ2293" s="889"/>
      <c r="DM2293" s="890"/>
      <c r="DN2293" s="952"/>
      <c r="DO2293" s="75"/>
      <c r="DP2293" s="962"/>
      <c r="DQ2293" s="983"/>
      <c r="DV2293" s="889"/>
    </row>
    <row r="2294" spans="1:126" s="74" customFormat="1">
      <c r="A2294" s="15"/>
      <c r="B2294" s="15"/>
      <c r="C2294" s="15"/>
      <c r="D2294" s="15"/>
      <c r="E2294" s="6"/>
      <c r="F2294" s="6"/>
      <c r="G2294" s="6"/>
      <c r="K2294" s="222"/>
      <c r="V2294" s="1430"/>
      <c r="AA2294" s="223"/>
      <c r="AC2294" s="889"/>
      <c r="AF2294" s="890"/>
      <c r="AJ2294" s="889"/>
      <c r="AN2294" s="222"/>
      <c r="BC2294" s="223"/>
      <c r="BD2294" s="222"/>
      <c r="BH2294" s="611"/>
      <c r="BJ2294" s="15"/>
      <c r="BK2294" s="15"/>
      <c r="BO2294" s="223"/>
      <c r="BQ2294" s="889"/>
      <c r="BT2294" s="890"/>
      <c r="BX2294" s="889"/>
      <c r="CB2294" s="15"/>
      <c r="CC2294" s="697"/>
      <c r="CD2294" s="1086"/>
      <c r="CE2294" s="15"/>
      <c r="CF2294" s="15"/>
      <c r="CG2294" s="936"/>
      <c r="CH2294" s="15"/>
      <c r="CI2294" s="15"/>
      <c r="CJ2294" s="15"/>
      <c r="CK2294" s="1107"/>
      <c r="CL2294" s="22"/>
      <c r="CM2294" s="22"/>
      <c r="CN2294" s="1107"/>
      <c r="CR2294" s="223"/>
      <c r="CS2294" s="952"/>
      <c r="CT2294" s="1066"/>
      <c r="CU2294" s="972"/>
      <c r="CV2294" s="983"/>
      <c r="CW2294" s="222"/>
      <c r="CX2294" s="697"/>
      <c r="DC2294" s="222"/>
      <c r="DJ2294" s="889"/>
      <c r="DM2294" s="890"/>
      <c r="DN2294" s="952"/>
      <c r="DO2294" s="75"/>
      <c r="DP2294" s="962"/>
      <c r="DQ2294" s="983"/>
      <c r="DV2294" s="889"/>
    </row>
    <row r="2295" spans="1:126" s="74" customFormat="1">
      <c r="A2295" s="15"/>
      <c r="B2295" s="15"/>
      <c r="C2295" s="15"/>
      <c r="D2295" s="15"/>
      <c r="E2295" s="6"/>
      <c r="F2295" s="6"/>
      <c r="G2295" s="6"/>
      <c r="K2295" s="222"/>
      <c r="V2295" s="1430"/>
      <c r="AA2295" s="223"/>
      <c r="AC2295" s="889"/>
      <c r="AF2295" s="890"/>
      <c r="AJ2295" s="889"/>
      <c r="AN2295" s="222"/>
      <c r="BC2295" s="223"/>
      <c r="BD2295" s="222"/>
      <c r="BH2295" s="611"/>
      <c r="BJ2295" s="15"/>
      <c r="BK2295" s="15"/>
      <c r="BO2295" s="223"/>
      <c r="BQ2295" s="889"/>
      <c r="BT2295" s="890"/>
      <c r="BX2295" s="889"/>
      <c r="CB2295" s="15"/>
      <c r="CC2295" s="697"/>
      <c r="CD2295" s="1086"/>
      <c r="CE2295" s="15"/>
      <c r="CF2295" s="15"/>
      <c r="CG2295" s="936"/>
      <c r="CH2295" s="15"/>
      <c r="CI2295" s="15"/>
      <c r="CJ2295" s="15"/>
      <c r="CK2295" s="1107"/>
      <c r="CL2295" s="22"/>
      <c r="CM2295" s="22"/>
      <c r="CN2295" s="1107"/>
      <c r="CR2295" s="223"/>
      <c r="CS2295" s="952"/>
      <c r="CT2295" s="1066"/>
      <c r="CU2295" s="972"/>
      <c r="CV2295" s="983"/>
      <c r="CW2295" s="222"/>
      <c r="CX2295" s="697"/>
      <c r="DC2295" s="222"/>
      <c r="DJ2295" s="889"/>
      <c r="DM2295" s="890"/>
      <c r="DN2295" s="952"/>
      <c r="DO2295" s="75"/>
      <c r="DP2295" s="962"/>
      <c r="DQ2295" s="983"/>
      <c r="DV2295" s="889"/>
    </row>
    <row r="2296" spans="1:126" s="74" customFormat="1">
      <c r="A2296" s="15"/>
      <c r="B2296" s="15"/>
      <c r="C2296" s="15"/>
      <c r="D2296" s="15"/>
      <c r="E2296" s="6"/>
      <c r="F2296" s="6"/>
      <c r="G2296" s="6"/>
      <c r="K2296" s="222"/>
      <c r="V2296" s="1430"/>
      <c r="AA2296" s="223"/>
      <c r="AC2296" s="889"/>
      <c r="AF2296" s="890"/>
      <c r="AJ2296" s="889"/>
      <c r="AN2296" s="222"/>
      <c r="BC2296" s="223"/>
      <c r="BD2296" s="222"/>
      <c r="BH2296" s="611"/>
      <c r="BJ2296" s="15"/>
      <c r="BK2296" s="15"/>
      <c r="BO2296" s="223"/>
      <c r="BQ2296" s="889"/>
      <c r="BT2296" s="890"/>
      <c r="BX2296" s="889"/>
      <c r="CB2296" s="15"/>
      <c r="CC2296" s="697"/>
      <c r="CD2296" s="1086"/>
      <c r="CE2296" s="15"/>
      <c r="CF2296" s="15"/>
      <c r="CG2296" s="936"/>
      <c r="CH2296" s="15"/>
      <c r="CI2296" s="15"/>
      <c r="CJ2296" s="15"/>
      <c r="CK2296" s="1107"/>
      <c r="CL2296" s="22"/>
      <c r="CM2296" s="22"/>
      <c r="CN2296" s="1107"/>
      <c r="CR2296" s="223"/>
      <c r="CS2296" s="952"/>
      <c r="CT2296" s="1066"/>
      <c r="CU2296" s="972"/>
      <c r="CV2296" s="983"/>
      <c r="CW2296" s="222"/>
      <c r="CX2296" s="697"/>
      <c r="DC2296" s="222"/>
      <c r="DJ2296" s="889"/>
      <c r="DM2296" s="890"/>
      <c r="DN2296" s="952"/>
      <c r="DO2296" s="75"/>
      <c r="DP2296" s="962"/>
      <c r="DQ2296" s="983"/>
      <c r="DV2296" s="889"/>
    </row>
    <row r="2297" spans="1:126" s="74" customFormat="1">
      <c r="A2297" s="15"/>
      <c r="B2297" s="15"/>
      <c r="C2297" s="15"/>
      <c r="D2297" s="15"/>
      <c r="E2297" s="6"/>
      <c r="F2297" s="6"/>
      <c r="G2297" s="6"/>
      <c r="K2297" s="222"/>
      <c r="V2297" s="1430"/>
      <c r="AA2297" s="223"/>
      <c r="AC2297" s="889"/>
      <c r="AF2297" s="890"/>
      <c r="AJ2297" s="889"/>
      <c r="AN2297" s="222"/>
      <c r="BC2297" s="223"/>
      <c r="BD2297" s="222"/>
      <c r="BH2297" s="611"/>
      <c r="BJ2297" s="15"/>
      <c r="BK2297" s="15"/>
      <c r="BO2297" s="223"/>
      <c r="BQ2297" s="889"/>
      <c r="BT2297" s="890"/>
      <c r="BX2297" s="889"/>
      <c r="CB2297" s="15"/>
      <c r="CC2297" s="697"/>
      <c r="CD2297" s="1086"/>
      <c r="CE2297" s="15"/>
      <c r="CF2297" s="15"/>
      <c r="CG2297" s="936"/>
      <c r="CH2297" s="15"/>
      <c r="CI2297" s="15"/>
      <c r="CJ2297" s="15"/>
      <c r="CK2297" s="1107"/>
      <c r="CL2297" s="22"/>
      <c r="CM2297" s="22"/>
      <c r="CN2297" s="1107"/>
      <c r="CR2297" s="223"/>
      <c r="CS2297" s="952"/>
      <c r="CT2297" s="1066"/>
      <c r="CU2297" s="972"/>
      <c r="CV2297" s="983"/>
      <c r="CW2297" s="222"/>
      <c r="CX2297" s="697"/>
      <c r="DC2297" s="222"/>
      <c r="DJ2297" s="889"/>
      <c r="DM2297" s="890"/>
      <c r="DN2297" s="952"/>
      <c r="DO2297" s="75"/>
      <c r="DP2297" s="962"/>
      <c r="DQ2297" s="983"/>
      <c r="DV2297" s="889"/>
    </row>
    <row r="2298" spans="1:126" s="74" customFormat="1">
      <c r="A2298" s="15"/>
      <c r="B2298" s="15"/>
      <c r="C2298" s="15"/>
      <c r="D2298" s="15"/>
      <c r="E2298" s="6"/>
      <c r="F2298" s="6"/>
      <c r="G2298" s="6"/>
      <c r="K2298" s="222"/>
      <c r="V2298" s="1430"/>
      <c r="AA2298" s="223"/>
      <c r="AC2298" s="889"/>
      <c r="AF2298" s="890"/>
      <c r="AJ2298" s="889"/>
      <c r="AN2298" s="222"/>
      <c r="BC2298" s="223"/>
      <c r="BD2298" s="222"/>
      <c r="BH2298" s="611"/>
      <c r="BJ2298" s="15"/>
      <c r="BK2298" s="15"/>
      <c r="BO2298" s="223"/>
      <c r="BQ2298" s="889"/>
      <c r="BT2298" s="890"/>
      <c r="BX2298" s="889"/>
      <c r="CB2298" s="15"/>
      <c r="CC2298" s="697"/>
      <c r="CD2298" s="1086"/>
      <c r="CE2298" s="15"/>
      <c r="CF2298" s="15"/>
      <c r="CG2298" s="936"/>
      <c r="CH2298" s="15"/>
      <c r="CI2298" s="15"/>
      <c r="CJ2298" s="15"/>
      <c r="CK2298" s="1107"/>
      <c r="CL2298" s="22"/>
      <c r="CM2298" s="22"/>
      <c r="CN2298" s="1107"/>
      <c r="CR2298" s="223"/>
      <c r="CS2298" s="952"/>
      <c r="CT2298" s="1066"/>
      <c r="CU2298" s="972"/>
      <c r="CV2298" s="983"/>
      <c r="CW2298" s="222"/>
      <c r="CX2298" s="697"/>
      <c r="DC2298" s="222"/>
      <c r="DJ2298" s="889"/>
      <c r="DM2298" s="890"/>
      <c r="DN2298" s="952"/>
      <c r="DO2298" s="75"/>
      <c r="DP2298" s="962"/>
      <c r="DQ2298" s="983"/>
      <c r="DV2298" s="889"/>
    </row>
    <row r="2299" spans="1:126" s="74" customFormat="1">
      <c r="A2299" s="15"/>
      <c r="B2299" s="15"/>
      <c r="C2299" s="15"/>
      <c r="D2299" s="15"/>
      <c r="E2299" s="6"/>
      <c r="F2299" s="6"/>
      <c r="G2299" s="6"/>
      <c r="K2299" s="222"/>
      <c r="V2299" s="1430"/>
      <c r="AA2299" s="223"/>
      <c r="AC2299" s="889"/>
      <c r="AF2299" s="890"/>
      <c r="AJ2299" s="889"/>
      <c r="AN2299" s="222"/>
      <c r="BC2299" s="223"/>
      <c r="BD2299" s="222"/>
      <c r="BH2299" s="611"/>
      <c r="BJ2299" s="15"/>
      <c r="BK2299" s="15"/>
      <c r="BO2299" s="223"/>
      <c r="BQ2299" s="889"/>
      <c r="BT2299" s="890"/>
      <c r="BX2299" s="889"/>
      <c r="CB2299" s="15"/>
      <c r="CC2299" s="697"/>
      <c r="CD2299" s="1086"/>
      <c r="CE2299" s="15"/>
      <c r="CF2299" s="15"/>
      <c r="CG2299" s="936"/>
      <c r="CH2299" s="15"/>
      <c r="CI2299" s="15"/>
      <c r="CJ2299" s="15"/>
      <c r="CK2299" s="1107"/>
      <c r="CL2299" s="22"/>
      <c r="CM2299" s="22"/>
      <c r="CN2299" s="1107"/>
      <c r="CR2299" s="223"/>
      <c r="CS2299" s="952"/>
      <c r="CT2299" s="1066"/>
      <c r="CU2299" s="972"/>
      <c r="CV2299" s="983"/>
      <c r="CW2299" s="222"/>
      <c r="CX2299" s="697"/>
      <c r="DC2299" s="222"/>
      <c r="DJ2299" s="889"/>
      <c r="DM2299" s="890"/>
      <c r="DN2299" s="952"/>
      <c r="DO2299" s="75"/>
      <c r="DP2299" s="962"/>
      <c r="DQ2299" s="983"/>
      <c r="DV2299" s="889"/>
    </row>
    <row r="2300" spans="1:126" s="74" customFormat="1">
      <c r="A2300" s="15"/>
      <c r="B2300" s="15"/>
      <c r="C2300" s="15"/>
      <c r="D2300" s="15"/>
      <c r="E2300" s="6"/>
      <c r="F2300" s="6"/>
      <c r="G2300" s="6"/>
      <c r="K2300" s="222"/>
      <c r="V2300" s="1430"/>
      <c r="AA2300" s="223"/>
      <c r="AC2300" s="889"/>
      <c r="AF2300" s="890"/>
      <c r="AJ2300" s="889"/>
      <c r="AN2300" s="222"/>
      <c r="BC2300" s="223"/>
      <c r="BD2300" s="222"/>
      <c r="BH2300" s="611"/>
      <c r="BJ2300" s="15"/>
      <c r="BK2300" s="15"/>
      <c r="BO2300" s="223"/>
      <c r="BQ2300" s="889"/>
      <c r="BT2300" s="890"/>
      <c r="BX2300" s="889"/>
      <c r="CB2300" s="15"/>
      <c r="CC2300" s="697"/>
      <c r="CD2300" s="1086"/>
      <c r="CE2300" s="15"/>
      <c r="CF2300" s="15"/>
      <c r="CG2300" s="936"/>
      <c r="CH2300" s="15"/>
      <c r="CI2300" s="15"/>
      <c r="CJ2300" s="15"/>
      <c r="CK2300" s="1107"/>
      <c r="CL2300" s="22"/>
      <c r="CM2300" s="22"/>
      <c r="CN2300" s="1107"/>
      <c r="CR2300" s="223"/>
      <c r="CS2300" s="952"/>
      <c r="CT2300" s="1066"/>
      <c r="CU2300" s="972"/>
      <c r="CV2300" s="983"/>
      <c r="CW2300" s="222"/>
      <c r="CX2300" s="697"/>
      <c r="DC2300" s="222"/>
      <c r="DJ2300" s="889"/>
      <c r="DM2300" s="890"/>
      <c r="DN2300" s="952"/>
      <c r="DO2300" s="75"/>
      <c r="DP2300" s="962"/>
      <c r="DQ2300" s="983"/>
      <c r="DV2300" s="889"/>
    </row>
    <row r="2301" spans="1:126" s="74" customFormat="1">
      <c r="A2301" s="15"/>
      <c r="B2301" s="15"/>
      <c r="C2301" s="15"/>
      <c r="D2301" s="15"/>
      <c r="E2301" s="6"/>
      <c r="F2301" s="6"/>
      <c r="G2301" s="6"/>
      <c r="K2301" s="222"/>
      <c r="V2301" s="1430"/>
      <c r="AA2301" s="223"/>
      <c r="AC2301" s="889"/>
      <c r="AF2301" s="890"/>
      <c r="AJ2301" s="889"/>
      <c r="AN2301" s="222"/>
      <c r="BC2301" s="223"/>
      <c r="BD2301" s="222"/>
      <c r="BH2301" s="611"/>
      <c r="BJ2301" s="15"/>
      <c r="BK2301" s="15"/>
      <c r="BO2301" s="223"/>
      <c r="BQ2301" s="889"/>
      <c r="BT2301" s="890"/>
      <c r="BX2301" s="889"/>
      <c r="CB2301" s="15"/>
      <c r="CC2301" s="697"/>
      <c r="CD2301" s="1086"/>
      <c r="CE2301" s="15"/>
      <c r="CF2301" s="15"/>
      <c r="CG2301" s="936"/>
      <c r="CH2301" s="15"/>
      <c r="CI2301" s="15"/>
      <c r="CJ2301" s="15"/>
      <c r="CK2301" s="1107"/>
      <c r="CL2301" s="22"/>
      <c r="CM2301" s="22"/>
      <c r="CN2301" s="1107"/>
      <c r="CR2301" s="223"/>
      <c r="CS2301" s="952"/>
      <c r="CT2301" s="1066"/>
      <c r="CU2301" s="972"/>
      <c r="CV2301" s="983"/>
      <c r="CW2301" s="222"/>
      <c r="CX2301" s="697"/>
      <c r="DC2301" s="222"/>
      <c r="DJ2301" s="889"/>
      <c r="DM2301" s="890"/>
      <c r="DN2301" s="952"/>
      <c r="DO2301" s="75"/>
      <c r="DP2301" s="962"/>
      <c r="DQ2301" s="983"/>
      <c r="DV2301" s="889"/>
    </row>
    <row r="2302" spans="1:126" s="74" customFormat="1">
      <c r="A2302" s="15"/>
      <c r="B2302" s="15"/>
      <c r="C2302" s="15"/>
      <c r="D2302" s="15"/>
      <c r="E2302" s="6"/>
      <c r="F2302" s="6"/>
      <c r="G2302" s="6"/>
      <c r="K2302" s="222"/>
      <c r="V2302" s="1430"/>
      <c r="AA2302" s="223"/>
      <c r="AC2302" s="889"/>
      <c r="AF2302" s="890"/>
      <c r="AJ2302" s="889"/>
      <c r="AN2302" s="222"/>
      <c r="BC2302" s="223"/>
      <c r="BD2302" s="222"/>
      <c r="BH2302" s="611"/>
      <c r="BJ2302" s="15"/>
      <c r="BK2302" s="15"/>
      <c r="BO2302" s="223"/>
      <c r="BQ2302" s="889"/>
      <c r="BT2302" s="890"/>
      <c r="BX2302" s="889"/>
      <c r="CB2302" s="15"/>
      <c r="CC2302" s="697"/>
      <c r="CD2302" s="1086"/>
      <c r="CE2302" s="15"/>
      <c r="CF2302" s="15"/>
      <c r="CG2302" s="936"/>
      <c r="CH2302" s="15"/>
      <c r="CI2302" s="15"/>
      <c r="CJ2302" s="15"/>
      <c r="CK2302" s="1107"/>
      <c r="CL2302" s="22"/>
      <c r="CM2302" s="22"/>
      <c r="CN2302" s="1107"/>
      <c r="CR2302" s="223"/>
      <c r="CS2302" s="952"/>
      <c r="CT2302" s="1066"/>
      <c r="CU2302" s="972"/>
      <c r="CV2302" s="983"/>
      <c r="CW2302" s="222"/>
      <c r="CX2302" s="697"/>
      <c r="DC2302" s="222"/>
      <c r="DJ2302" s="889"/>
      <c r="DM2302" s="890"/>
      <c r="DN2302" s="952"/>
      <c r="DO2302" s="75"/>
      <c r="DP2302" s="962"/>
      <c r="DQ2302" s="983"/>
      <c r="DV2302" s="889"/>
    </row>
    <row r="2303" spans="1:126" s="74" customFormat="1">
      <c r="A2303" s="15"/>
      <c r="B2303" s="15"/>
      <c r="C2303" s="15"/>
      <c r="D2303" s="15"/>
      <c r="E2303" s="6"/>
      <c r="F2303" s="6"/>
      <c r="G2303" s="6"/>
      <c r="K2303" s="222"/>
      <c r="V2303" s="1430"/>
      <c r="AA2303" s="223"/>
      <c r="AC2303" s="889"/>
      <c r="AF2303" s="890"/>
      <c r="AJ2303" s="889"/>
      <c r="AN2303" s="222"/>
      <c r="BC2303" s="223"/>
      <c r="BD2303" s="222"/>
      <c r="BH2303" s="611"/>
      <c r="BJ2303" s="15"/>
      <c r="BK2303" s="15"/>
      <c r="BO2303" s="223"/>
      <c r="BQ2303" s="889"/>
      <c r="BT2303" s="890"/>
      <c r="BX2303" s="889"/>
      <c r="CB2303" s="15"/>
      <c r="CC2303" s="697"/>
      <c r="CD2303" s="1086"/>
      <c r="CE2303" s="15"/>
      <c r="CF2303" s="15"/>
      <c r="CG2303" s="936"/>
      <c r="CH2303" s="15"/>
      <c r="CI2303" s="15"/>
      <c r="CJ2303" s="15"/>
      <c r="CK2303" s="1107"/>
      <c r="CL2303" s="22"/>
      <c r="CM2303" s="22"/>
      <c r="CN2303" s="1107"/>
      <c r="CR2303" s="223"/>
      <c r="CS2303" s="952"/>
      <c r="CT2303" s="1066"/>
      <c r="CU2303" s="972"/>
      <c r="CV2303" s="983"/>
      <c r="CW2303" s="222"/>
      <c r="CX2303" s="697"/>
      <c r="DC2303" s="222"/>
      <c r="DJ2303" s="889"/>
      <c r="DM2303" s="890"/>
      <c r="DN2303" s="952"/>
      <c r="DO2303" s="75"/>
      <c r="DP2303" s="962"/>
      <c r="DQ2303" s="983"/>
      <c r="DV2303" s="889"/>
    </row>
    <row r="2304" spans="1:126" s="74" customFormat="1">
      <c r="A2304" s="15"/>
      <c r="B2304" s="15"/>
      <c r="C2304" s="15"/>
      <c r="D2304" s="15"/>
      <c r="E2304" s="6"/>
      <c r="F2304" s="6"/>
      <c r="G2304" s="6"/>
      <c r="K2304" s="222"/>
      <c r="V2304" s="1430"/>
      <c r="AA2304" s="223"/>
      <c r="AC2304" s="889"/>
      <c r="AF2304" s="890"/>
      <c r="AJ2304" s="889"/>
      <c r="AN2304" s="222"/>
      <c r="BC2304" s="223"/>
      <c r="BD2304" s="222"/>
      <c r="BH2304" s="611"/>
      <c r="BJ2304" s="15"/>
      <c r="BK2304" s="15"/>
      <c r="BO2304" s="223"/>
      <c r="BQ2304" s="889"/>
      <c r="BT2304" s="890"/>
      <c r="BX2304" s="889"/>
      <c r="CB2304" s="15"/>
      <c r="CC2304" s="697"/>
      <c r="CD2304" s="1086"/>
      <c r="CE2304" s="15"/>
      <c r="CF2304" s="15"/>
      <c r="CG2304" s="936"/>
      <c r="CH2304" s="15"/>
      <c r="CI2304" s="15"/>
      <c r="CJ2304" s="15"/>
      <c r="CK2304" s="1107"/>
      <c r="CL2304" s="22"/>
      <c r="CM2304" s="22"/>
      <c r="CN2304" s="1107"/>
      <c r="CR2304" s="223"/>
      <c r="CS2304" s="952"/>
      <c r="CT2304" s="1066"/>
      <c r="CU2304" s="972"/>
      <c r="CV2304" s="983"/>
      <c r="CW2304" s="222"/>
      <c r="CX2304" s="697"/>
      <c r="DC2304" s="222"/>
      <c r="DJ2304" s="889"/>
      <c r="DM2304" s="890"/>
      <c r="DN2304" s="952"/>
      <c r="DO2304" s="75"/>
      <c r="DP2304" s="962"/>
      <c r="DQ2304" s="983"/>
      <c r="DV2304" s="889"/>
    </row>
    <row r="2305" spans="1:126" s="74" customFormat="1">
      <c r="A2305" s="15"/>
      <c r="B2305" s="15"/>
      <c r="C2305" s="15"/>
      <c r="D2305" s="15"/>
      <c r="E2305" s="6"/>
      <c r="F2305" s="6"/>
      <c r="G2305" s="6"/>
      <c r="K2305" s="222"/>
      <c r="V2305" s="1430"/>
      <c r="AA2305" s="223"/>
      <c r="AC2305" s="889"/>
      <c r="AF2305" s="890"/>
      <c r="AJ2305" s="889"/>
      <c r="AN2305" s="222"/>
      <c r="BC2305" s="223"/>
      <c r="BD2305" s="222"/>
      <c r="BH2305" s="611"/>
      <c r="BJ2305" s="15"/>
      <c r="BK2305" s="15"/>
      <c r="BO2305" s="223"/>
      <c r="BQ2305" s="889"/>
      <c r="BT2305" s="890"/>
      <c r="BX2305" s="889"/>
      <c r="CB2305" s="15"/>
      <c r="CC2305" s="697"/>
      <c r="CD2305" s="1086"/>
      <c r="CE2305" s="15"/>
      <c r="CF2305" s="15"/>
      <c r="CG2305" s="936"/>
      <c r="CH2305" s="15"/>
      <c r="CI2305" s="15"/>
      <c r="CJ2305" s="15"/>
      <c r="CK2305" s="1107"/>
      <c r="CL2305" s="22"/>
      <c r="CM2305" s="22"/>
      <c r="CN2305" s="1107"/>
      <c r="CR2305" s="223"/>
      <c r="CS2305" s="952"/>
      <c r="CT2305" s="1066"/>
      <c r="CU2305" s="972"/>
      <c r="CV2305" s="983"/>
      <c r="CW2305" s="222"/>
      <c r="CX2305" s="697"/>
      <c r="DC2305" s="222"/>
      <c r="DJ2305" s="889"/>
      <c r="DM2305" s="890"/>
      <c r="DN2305" s="952"/>
      <c r="DO2305" s="75"/>
      <c r="DP2305" s="962"/>
      <c r="DQ2305" s="983"/>
      <c r="DV2305" s="889"/>
    </row>
    <row r="2306" spans="1:126" s="74" customFormat="1">
      <c r="A2306" s="15"/>
      <c r="B2306" s="15"/>
      <c r="C2306" s="15"/>
      <c r="D2306" s="15"/>
      <c r="E2306" s="6"/>
      <c r="F2306" s="6"/>
      <c r="G2306" s="6"/>
      <c r="K2306" s="222"/>
      <c r="V2306" s="1430"/>
      <c r="AA2306" s="223"/>
      <c r="AC2306" s="889"/>
      <c r="AF2306" s="890"/>
      <c r="AJ2306" s="889"/>
      <c r="AN2306" s="222"/>
      <c r="BC2306" s="223"/>
      <c r="BD2306" s="222"/>
      <c r="BH2306" s="611"/>
      <c r="BJ2306" s="15"/>
      <c r="BK2306" s="15"/>
      <c r="BO2306" s="223"/>
      <c r="BQ2306" s="889"/>
      <c r="BT2306" s="890"/>
      <c r="BX2306" s="889"/>
      <c r="CB2306" s="15"/>
      <c r="CC2306" s="697"/>
      <c r="CD2306" s="1086"/>
      <c r="CE2306" s="15"/>
      <c r="CF2306" s="15"/>
      <c r="CG2306" s="936"/>
      <c r="CH2306" s="15"/>
      <c r="CI2306" s="15"/>
      <c r="CJ2306" s="15"/>
      <c r="CK2306" s="1107"/>
      <c r="CL2306" s="22"/>
      <c r="CM2306" s="22"/>
      <c r="CN2306" s="1107"/>
      <c r="CR2306" s="223"/>
      <c r="CS2306" s="952"/>
      <c r="CT2306" s="1066"/>
      <c r="CU2306" s="972"/>
      <c r="CV2306" s="983"/>
      <c r="CW2306" s="222"/>
      <c r="CX2306" s="697"/>
      <c r="DC2306" s="222"/>
      <c r="DJ2306" s="889"/>
      <c r="DM2306" s="890"/>
      <c r="DN2306" s="952"/>
      <c r="DO2306" s="75"/>
      <c r="DP2306" s="962"/>
      <c r="DQ2306" s="983"/>
      <c r="DV2306" s="889"/>
    </row>
    <row r="2307" spans="1:126" s="74" customFormat="1">
      <c r="A2307" s="15"/>
      <c r="B2307" s="15"/>
      <c r="C2307" s="15"/>
      <c r="D2307" s="15"/>
      <c r="E2307" s="6"/>
      <c r="F2307" s="6"/>
      <c r="G2307" s="6"/>
      <c r="K2307" s="222"/>
      <c r="V2307" s="1430"/>
      <c r="AA2307" s="223"/>
      <c r="AC2307" s="889"/>
      <c r="AF2307" s="890"/>
      <c r="AJ2307" s="889"/>
      <c r="AN2307" s="222"/>
      <c r="BC2307" s="223"/>
      <c r="BD2307" s="222"/>
      <c r="BH2307" s="611"/>
      <c r="BJ2307" s="15"/>
      <c r="BK2307" s="15"/>
      <c r="BO2307" s="223"/>
      <c r="BQ2307" s="889"/>
      <c r="BT2307" s="890"/>
      <c r="BX2307" s="889"/>
      <c r="CB2307" s="15"/>
      <c r="CC2307" s="697"/>
      <c r="CD2307" s="1086"/>
      <c r="CE2307" s="15"/>
      <c r="CF2307" s="15"/>
      <c r="CG2307" s="936"/>
      <c r="CH2307" s="15"/>
      <c r="CI2307" s="15"/>
      <c r="CJ2307" s="15"/>
      <c r="CK2307" s="1107"/>
      <c r="CL2307" s="22"/>
      <c r="CM2307" s="22"/>
      <c r="CN2307" s="1107"/>
      <c r="CR2307" s="223"/>
      <c r="CS2307" s="952"/>
      <c r="CT2307" s="1066"/>
      <c r="CU2307" s="972"/>
      <c r="CV2307" s="983"/>
      <c r="CW2307" s="222"/>
      <c r="CX2307" s="697"/>
      <c r="DC2307" s="222"/>
      <c r="DJ2307" s="889"/>
      <c r="DM2307" s="890"/>
      <c r="DN2307" s="952"/>
      <c r="DO2307" s="75"/>
      <c r="DP2307" s="962"/>
      <c r="DQ2307" s="983"/>
      <c r="DV2307" s="889"/>
    </row>
    <row r="2308" spans="1:126" s="74" customFormat="1">
      <c r="A2308" s="15"/>
      <c r="B2308" s="15"/>
      <c r="C2308" s="15"/>
      <c r="D2308" s="15"/>
      <c r="E2308" s="6"/>
      <c r="F2308" s="6"/>
      <c r="G2308" s="6"/>
      <c r="K2308" s="222"/>
      <c r="V2308" s="1430"/>
      <c r="AA2308" s="223"/>
      <c r="AC2308" s="889"/>
      <c r="AF2308" s="890"/>
      <c r="AJ2308" s="889"/>
      <c r="AN2308" s="222"/>
      <c r="BC2308" s="223"/>
      <c r="BD2308" s="222"/>
      <c r="BH2308" s="611"/>
      <c r="BJ2308" s="15"/>
      <c r="BK2308" s="15"/>
      <c r="BO2308" s="223"/>
      <c r="BQ2308" s="889"/>
      <c r="BT2308" s="890"/>
      <c r="BX2308" s="889"/>
      <c r="CB2308" s="15"/>
      <c r="CC2308" s="697"/>
      <c r="CD2308" s="1086"/>
      <c r="CE2308" s="15"/>
      <c r="CF2308" s="15"/>
      <c r="CG2308" s="936"/>
      <c r="CH2308" s="15"/>
      <c r="CI2308" s="15"/>
      <c r="CJ2308" s="15"/>
      <c r="CK2308" s="1107"/>
      <c r="CL2308" s="22"/>
      <c r="CM2308" s="22"/>
      <c r="CN2308" s="1107"/>
      <c r="CR2308" s="223"/>
      <c r="CS2308" s="952"/>
      <c r="CT2308" s="1066"/>
      <c r="CU2308" s="972"/>
      <c r="CV2308" s="983"/>
      <c r="CW2308" s="222"/>
      <c r="CX2308" s="697"/>
      <c r="DC2308" s="222"/>
      <c r="DJ2308" s="889"/>
      <c r="DM2308" s="890"/>
      <c r="DN2308" s="952"/>
      <c r="DO2308" s="75"/>
      <c r="DP2308" s="962"/>
      <c r="DQ2308" s="983"/>
      <c r="DV2308" s="889"/>
    </row>
    <row r="2309" spans="1:126" s="74" customFormat="1">
      <c r="A2309" s="15"/>
      <c r="B2309" s="15"/>
      <c r="C2309" s="15"/>
      <c r="D2309" s="15"/>
      <c r="E2309" s="6"/>
      <c r="F2309" s="6"/>
      <c r="G2309" s="6"/>
      <c r="K2309" s="222"/>
      <c r="V2309" s="1430"/>
      <c r="AA2309" s="223"/>
      <c r="AC2309" s="889"/>
      <c r="AF2309" s="890"/>
      <c r="AJ2309" s="889"/>
      <c r="AN2309" s="222"/>
      <c r="BC2309" s="223"/>
      <c r="BD2309" s="222"/>
      <c r="BH2309" s="611"/>
      <c r="BJ2309" s="15"/>
      <c r="BK2309" s="15"/>
      <c r="BO2309" s="223"/>
      <c r="BQ2309" s="889"/>
      <c r="BT2309" s="890"/>
      <c r="BX2309" s="889"/>
      <c r="CB2309" s="15"/>
      <c r="CC2309" s="697"/>
      <c r="CD2309" s="1086"/>
      <c r="CE2309" s="15"/>
      <c r="CF2309" s="15"/>
      <c r="CG2309" s="936"/>
      <c r="CH2309" s="15"/>
      <c r="CI2309" s="15"/>
      <c r="CJ2309" s="15"/>
      <c r="CK2309" s="1107"/>
      <c r="CL2309" s="22"/>
      <c r="CM2309" s="22"/>
      <c r="CN2309" s="1107"/>
      <c r="CR2309" s="223"/>
      <c r="CS2309" s="952"/>
      <c r="CT2309" s="1066"/>
      <c r="CU2309" s="972"/>
      <c r="CV2309" s="983"/>
      <c r="CW2309" s="222"/>
      <c r="CX2309" s="697"/>
      <c r="DC2309" s="222"/>
      <c r="DJ2309" s="889"/>
      <c r="DM2309" s="890"/>
      <c r="DN2309" s="952"/>
      <c r="DO2309" s="75"/>
      <c r="DP2309" s="962"/>
      <c r="DQ2309" s="983"/>
      <c r="DV2309" s="889"/>
    </row>
    <row r="2310" spans="1:126" s="74" customFormat="1">
      <c r="A2310" s="15"/>
      <c r="B2310" s="15"/>
      <c r="C2310" s="15"/>
      <c r="D2310" s="15"/>
      <c r="E2310" s="6"/>
      <c r="F2310" s="6"/>
      <c r="G2310" s="6"/>
      <c r="K2310" s="222"/>
      <c r="V2310" s="1430"/>
      <c r="AA2310" s="223"/>
      <c r="AC2310" s="889"/>
      <c r="AF2310" s="890"/>
      <c r="AJ2310" s="889"/>
      <c r="AN2310" s="222"/>
      <c r="BC2310" s="223"/>
      <c r="BD2310" s="222"/>
      <c r="BH2310" s="611"/>
      <c r="BJ2310" s="15"/>
      <c r="BK2310" s="15"/>
      <c r="BO2310" s="223"/>
      <c r="BQ2310" s="889"/>
      <c r="BT2310" s="890"/>
      <c r="BX2310" s="889"/>
      <c r="CB2310" s="15"/>
      <c r="CC2310" s="697"/>
      <c r="CD2310" s="1086"/>
      <c r="CE2310" s="15"/>
      <c r="CF2310" s="15"/>
      <c r="CG2310" s="936"/>
      <c r="CH2310" s="15"/>
      <c r="CI2310" s="15"/>
      <c r="CJ2310" s="15"/>
      <c r="CK2310" s="1107"/>
      <c r="CL2310" s="22"/>
      <c r="CM2310" s="22"/>
      <c r="CN2310" s="1107"/>
      <c r="CR2310" s="223"/>
      <c r="CS2310" s="952"/>
      <c r="CT2310" s="1066"/>
      <c r="CU2310" s="972"/>
      <c r="CV2310" s="983"/>
      <c r="CW2310" s="222"/>
      <c r="CX2310" s="697"/>
      <c r="DC2310" s="222"/>
      <c r="DJ2310" s="889"/>
      <c r="DM2310" s="890"/>
      <c r="DN2310" s="952"/>
      <c r="DO2310" s="75"/>
      <c r="DP2310" s="962"/>
      <c r="DQ2310" s="983"/>
      <c r="DV2310" s="889"/>
    </row>
    <row r="2311" spans="1:126" s="74" customFormat="1">
      <c r="A2311" s="15"/>
      <c r="B2311" s="15"/>
      <c r="C2311" s="15"/>
      <c r="D2311" s="15"/>
      <c r="E2311" s="6"/>
      <c r="F2311" s="6"/>
      <c r="G2311" s="6"/>
      <c r="K2311" s="222"/>
      <c r="V2311" s="1430"/>
      <c r="AA2311" s="223"/>
      <c r="AC2311" s="889"/>
      <c r="AF2311" s="890"/>
      <c r="AJ2311" s="889"/>
      <c r="AN2311" s="222"/>
      <c r="BC2311" s="223"/>
      <c r="BD2311" s="222"/>
      <c r="BH2311" s="611"/>
      <c r="BJ2311" s="15"/>
      <c r="BK2311" s="15"/>
      <c r="BO2311" s="223"/>
      <c r="BQ2311" s="889"/>
      <c r="BT2311" s="890"/>
      <c r="BX2311" s="889"/>
      <c r="CB2311" s="15"/>
      <c r="CC2311" s="697"/>
      <c r="CD2311" s="1086"/>
      <c r="CE2311" s="15"/>
      <c r="CF2311" s="15"/>
      <c r="CG2311" s="936"/>
      <c r="CH2311" s="15"/>
      <c r="CI2311" s="15"/>
      <c r="CJ2311" s="15"/>
      <c r="CK2311" s="1107"/>
      <c r="CL2311" s="22"/>
      <c r="CM2311" s="22"/>
      <c r="CN2311" s="1107"/>
      <c r="CR2311" s="223"/>
      <c r="CS2311" s="952"/>
      <c r="CT2311" s="1066"/>
      <c r="CU2311" s="972"/>
      <c r="CV2311" s="983"/>
      <c r="CW2311" s="222"/>
      <c r="CX2311" s="697"/>
      <c r="DC2311" s="222"/>
      <c r="DJ2311" s="889"/>
      <c r="DM2311" s="890"/>
      <c r="DN2311" s="952"/>
      <c r="DO2311" s="75"/>
      <c r="DP2311" s="962"/>
      <c r="DQ2311" s="983"/>
      <c r="DV2311" s="889"/>
    </row>
    <row r="2312" spans="1:126" s="74" customFormat="1">
      <c r="A2312" s="15"/>
      <c r="B2312" s="15"/>
      <c r="C2312" s="15"/>
      <c r="D2312" s="15"/>
      <c r="E2312" s="6"/>
      <c r="F2312" s="6"/>
      <c r="G2312" s="6"/>
      <c r="K2312" s="222"/>
      <c r="V2312" s="1430"/>
      <c r="AA2312" s="223"/>
      <c r="AC2312" s="889"/>
      <c r="AF2312" s="890"/>
      <c r="AJ2312" s="889"/>
      <c r="AN2312" s="222"/>
      <c r="BC2312" s="223"/>
      <c r="BD2312" s="222"/>
      <c r="BH2312" s="611"/>
      <c r="BJ2312" s="15"/>
      <c r="BK2312" s="15"/>
      <c r="BO2312" s="223"/>
      <c r="BQ2312" s="889"/>
      <c r="BT2312" s="890"/>
      <c r="BX2312" s="889"/>
      <c r="CB2312" s="15"/>
      <c r="CC2312" s="697"/>
      <c r="CD2312" s="1086"/>
      <c r="CE2312" s="15"/>
      <c r="CF2312" s="15"/>
      <c r="CG2312" s="936"/>
      <c r="CH2312" s="15"/>
      <c r="CI2312" s="15"/>
      <c r="CJ2312" s="15"/>
      <c r="CK2312" s="1107"/>
      <c r="CL2312" s="22"/>
      <c r="CM2312" s="22"/>
      <c r="CN2312" s="1107"/>
      <c r="CR2312" s="223"/>
      <c r="CS2312" s="952"/>
      <c r="CT2312" s="1066"/>
      <c r="CU2312" s="972"/>
      <c r="CV2312" s="983"/>
      <c r="CW2312" s="222"/>
      <c r="CX2312" s="697"/>
      <c r="DC2312" s="222"/>
      <c r="DJ2312" s="889"/>
      <c r="DM2312" s="890"/>
      <c r="DN2312" s="952"/>
      <c r="DO2312" s="75"/>
      <c r="DP2312" s="962"/>
      <c r="DQ2312" s="983"/>
      <c r="DV2312" s="889"/>
    </row>
    <row r="2313" spans="1:126" s="74" customFormat="1">
      <c r="A2313" s="15"/>
      <c r="B2313" s="15"/>
      <c r="C2313" s="15"/>
      <c r="D2313" s="15"/>
      <c r="E2313" s="6"/>
      <c r="F2313" s="6"/>
      <c r="G2313" s="6"/>
      <c r="K2313" s="222"/>
      <c r="V2313" s="1430"/>
      <c r="AA2313" s="223"/>
      <c r="AC2313" s="889"/>
      <c r="AF2313" s="890"/>
      <c r="AJ2313" s="889"/>
      <c r="AN2313" s="222"/>
      <c r="BC2313" s="223"/>
      <c r="BD2313" s="222"/>
      <c r="BH2313" s="611"/>
      <c r="BJ2313" s="15"/>
      <c r="BK2313" s="15"/>
      <c r="BO2313" s="223"/>
      <c r="BQ2313" s="889"/>
      <c r="BT2313" s="890"/>
      <c r="BX2313" s="889"/>
      <c r="CB2313" s="15"/>
      <c r="CC2313" s="697"/>
      <c r="CD2313" s="1086"/>
      <c r="CE2313" s="15"/>
      <c r="CF2313" s="15"/>
      <c r="CG2313" s="936"/>
      <c r="CH2313" s="15"/>
      <c r="CI2313" s="15"/>
      <c r="CJ2313" s="15"/>
      <c r="CK2313" s="1107"/>
      <c r="CL2313" s="22"/>
      <c r="CM2313" s="22"/>
      <c r="CN2313" s="1107"/>
      <c r="CR2313" s="223"/>
      <c r="CS2313" s="952"/>
      <c r="CT2313" s="1066"/>
      <c r="CU2313" s="972"/>
      <c r="CV2313" s="983"/>
      <c r="CW2313" s="222"/>
      <c r="CX2313" s="697"/>
      <c r="DC2313" s="222"/>
      <c r="DJ2313" s="889"/>
      <c r="DM2313" s="890"/>
      <c r="DN2313" s="952"/>
      <c r="DO2313" s="75"/>
      <c r="DP2313" s="962"/>
      <c r="DQ2313" s="983"/>
      <c r="DV2313" s="889"/>
    </row>
    <row r="2314" spans="1:126" s="74" customFormat="1">
      <c r="A2314" s="15"/>
      <c r="B2314" s="15"/>
      <c r="C2314" s="15"/>
      <c r="D2314" s="15"/>
      <c r="E2314" s="6"/>
      <c r="F2314" s="6"/>
      <c r="G2314" s="6"/>
      <c r="K2314" s="222"/>
      <c r="V2314" s="1430"/>
      <c r="AA2314" s="223"/>
      <c r="AC2314" s="889"/>
      <c r="AF2314" s="890"/>
      <c r="AJ2314" s="889"/>
      <c r="AN2314" s="222"/>
      <c r="BC2314" s="223"/>
      <c r="BD2314" s="222"/>
      <c r="BH2314" s="611"/>
      <c r="BJ2314" s="15"/>
      <c r="BK2314" s="15"/>
      <c r="BO2314" s="223"/>
      <c r="BQ2314" s="889"/>
      <c r="BT2314" s="890"/>
      <c r="BX2314" s="889"/>
      <c r="CB2314" s="15"/>
      <c r="CC2314" s="697"/>
      <c r="CD2314" s="1086"/>
      <c r="CE2314" s="15"/>
      <c r="CF2314" s="15"/>
      <c r="CG2314" s="936"/>
      <c r="CH2314" s="15"/>
      <c r="CI2314" s="15"/>
      <c r="CJ2314" s="15"/>
      <c r="CK2314" s="1107"/>
      <c r="CL2314" s="22"/>
      <c r="CM2314" s="22"/>
      <c r="CN2314" s="1107"/>
      <c r="CR2314" s="223"/>
      <c r="CS2314" s="952"/>
      <c r="CT2314" s="1066"/>
      <c r="CU2314" s="972"/>
      <c r="CV2314" s="983"/>
      <c r="CW2314" s="222"/>
      <c r="CX2314" s="697"/>
      <c r="DC2314" s="222"/>
      <c r="DJ2314" s="889"/>
      <c r="DM2314" s="890"/>
      <c r="DN2314" s="952"/>
      <c r="DO2314" s="75"/>
      <c r="DP2314" s="962"/>
      <c r="DQ2314" s="983"/>
      <c r="DV2314" s="889"/>
    </row>
    <row r="2315" spans="1:126" s="74" customFormat="1">
      <c r="A2315" s="15"/>
      <c r="B2315" s="15"/>
      <c r="C2315" s="15"/>
      <c r="D2315" s="15"/>
      <c r="E2315" s="6"/>
      <c r="F2315" s="6"/>
      <c r="G2315" s="6"/>
      <c r="K2315" s="222"/>
      <c r="V2315" s="1430"/>
      <c r="AA2315" s="223"/>
      <c r="AC2315" s="889"/>
      <c r="AF2315" s="890"/>
      <c r="AJ2315" s="889"/>
      <c r="AN2315" s="222"/>
      <c r="BC2315" s="223"/>
      <c r="BD2315" s="222"/>
      <c r="BH2315" s="611"/>
      <c r="BJ2315" s="15"/>
      <c r="BK2315" s="15"/>
      <c r="BO2315" s="223"/>
      <c r="BQ2315" s="889"/>
      <c r="BT2315" s="890"/>
      <c r="BX2315" s="889"/>
      <c r="CB2315" s="15"/>
      <c r="CC2315" s="697"/>
      <c r="CD2315" s="1086"/>
      <c r="CE2315" s="15"/>
      <c r="CF2315" s="15"/>
      <c r="CG2315" s="936"/>
      <c r="CH2315" s="15"/>
      <c r="CI2315" s="15"/>
      <c r="CJ2315" s="15"/>
      <c r="CK2315" s="1107"/>
      <c r="CL2315" s="22"/>
      <c r="CM2315" s="22"/>
      <c r="CN2315" s="1107"/>
      <c r="CR2315" s="223"/>
      <c r="CS2315" s="952"/>
      <c r="CT2315" s="1066"/>
      <c r="CU2315" s="972"/>
      <c r="CV2315" s="983"/>
      <c r="CW2315" s="222"/>
      <c r="CX2315" s="697"/>
      <c r="DC2315" s="222"/>
      <c r="DJ2315" s="889"/>
      <c r="DM2315" s="890"/>
      <c r="DN2315" s="952"/>
      <c r="DO2315" s="75"/>
      <c r="DP2315" s="962"/>
      <c r="DQ2315" s="983"/>
      <c r="DV2315" s="889"/>
    </row>
    <row r="2316" spans="1:126" s="74" customFormat="1">
      <c r="A2316" s="15"/>
      <c r="B2316" s="15"/>
      <c r="C2316" s="15"/>
      <c r="D2316" s="15"/>
      <c r="E2316" s="6"/>
      <c r="F2316" s="6"/>
      <c r="G2316" s="6"/>
      <c r="K2316" s="222"/>
      <c r="V2316" s="1430"/>
      <c r="AA2316" s="223"/>
      <c r="AC2316" s="889"/>
      <c r="AF2316" s="890"/>
      <c r="AJ2316" s="889"/>
      <c r="AN2316" s="222"/>
      <c r="BC2316" s="223"/>
      <c r="BD2316" s="222"/>
      <c r="BH2316" s="611"/>
      <c r="BJ2316" s="15"/>
      <c r="BK2316" s="15"/>
      <c r="BO2316" s="223"/>
      <c r="BQ2316" s="889"/>
      <c r="BT2316" s="890"/>
      <c r="BX2316" s="889"/>
      <c r="CB2316" s="15"/>
      <c r="CC2316" s="697"/>
      <c r="CD2316" s="1086"/>
      <c r="CE2316" s="15"/>
      <c r="CF2316" s="15"/>
      <c r="CG2316" s="936"/>
      <c r="CH2316" s="15"/>
      <c r="CI2316" s="15"/>
      <c r="CJ2316" s="15"/>
      <c r="CK2316" s="1107"/>
      <c r="CL2316" s="22"/>
      <c r="CM2316" s="22"/>
      <c r="CN2316" s="1107"/>
      <c r="CR2316" s="223"/>
      <c r="CS2316" s="952"/>
      <c r="CT2316" s="1066"/>
      <c r="CU2316" s="972"/>
      <c r="CV2316" s="983"/>
      <c r="CW2316" s="222"/>
      <c r="CX2316" s="697"/>
      <c r="DC2316" s="222"/>
      <c r="DJ2316" s="889"/>
      <c r="DM2316" s="890"/>
      <c r="DN2316" s="952"/>
      <c r="DO2316" s="75"/>
      <c r="DP2316" s="962"/>
      <c r="DQ2316" s="983"/>
      <c r="DV2316" s="889"/>
    </row>
    <row r="2317" spans="1:126" s="74" customFormat="1">
      <c r="A2317" s="15"/>
      <c r="B2317" s="15"/>
      <c r="C2317" s="15"/>
      <c r="D2317" s="15"/>
      <c r="E2317" s="6"/>
      <c r="F2317" s="6"/>
      <c r="G2317" s="6"/>
      <c r="K2317" s="222"/>
      <c r="V2317" s="1430"/>
      <c r="AA2317" s="223"/>
      <c r="AC2317" s="889"/>
      <c r="AF2317" s="890"/>
      <c r="AJ2317" s="889"/>
      <c r="AN2317" s="222"/>
      <c r="BC2317" s="223"/>
      <c r="BD2317" s="222"/>
      <c r="BH2317" s="611"/>
      <c r="BJ2317" s="15"/>
      <c r="BK2317" s="15"/>
      <c r="BO2317" s="223"/>
      <c r="BQ2317" s="889"/>
      <c r="BT2317" s="890"/>
      <c r="BX2317" s="889"/>
      <c r="CB2317" s="15"/>
      <c r="CC2317" s="697"/>
      <c r="CD2317" s="1086"/>
      <c r="CE2317" s="15"/>
      <c r="CF2317" s="15"/>
      <c r="CG2317" s="936"/>
      <c r="CH2317" s="15"/>
      <c r="CI2317" s="15"/>
      <c r="CJ2317" s="15"/>
      <c r="CK2317" s="1107"/>
      <c r="CL2317" s="22"/>
      <c r="CM2317" s="22"/>
      <c r="CN2317" s="1107"/>
      <c r="CR2317" s="223"/>
      <c r="CS2317" s="952"/>
      <c r="CT2317" s="1066"/>
      <c r="CU2317" s="972"/>
      <c r="CV2317" s="983"/>
      <c r="CW2317" s="222"/>
      <c r="CX2317" s="697"/>
      <c r="DC2317" s="222"/>
      <c r="DJ2317" s="889"/>
      <c r="DM2317" s="890"/>
      <c r="DN2317" s="952"/>
      <c r="DO2317" s="75"/>
      <c r="DP2317" s="962"/>
      <c r="DQ2317" s="983"/>
      <c r="DV2317" s="889"/>
    </row>
    <row r="2318" spans="1:126" s="74" customFormat="1">
      <c r="A2318" s="15"/>
      <c r="B2318" s="15"/>
      <c r="C2318" s="15"/>
      <c r="D2318" s="15"/>
      <c r="E2318" s="6"/>
      <c r="F2318" s="6"/>
      <c r="G2318" s="6"/>
      <c r="K2318" s="222"/>
      <c r="V2318" s="1430"/>
      <c r="AA2318" s="223"/>
      <c r="AC2318" s="889"/>
      <c r="AF2318" s="890"/>
      <c r="AJ2318" s="889"/>
      <c r="AN2318" s="222"/>
      <c r="BC2318" s="223"/>
      <c r="BD2318" s="222"/>
      <c r="BH2318" s="611"/>
      <c r="BJ2318" s="15"/>
      <c r="BK2318" s="15"/>
      <c r="BO2318" s="223"/>
      <c r="BQ2318" s="889"/>
      <c r="BT2318" s="890"/>
      <c r="BX2318" s="889"/>
      <c r="CB2318" s="15"/>
      <c r="CC2318" s="697"/>
      <c r="CD2318" s="1086"/>
      <c r="CE2318" s="15"/>
      <c r="CF2318" s="15"/>
      <c r="CG2318" s="936"/>
      <c r="CH2318" s="15"/>
      <c r="CI2318" s="15"/>
      <c r="CJ2318" s="15"/>
      <c r="CK2318" s="1107"/>
      <c r="CL2318" s="22"/>
      <c r="CM2318" s="22"/>
      <c r="CN2318" s="1107"/>
      <c r="CR2318" s="223"/>
      <c r="CS2318" s="952"/>
      <c r="CT2318" s="1066"/>
      <c r="CU2318" s="972"/>
      <c r="CV2318" s="983"/>
      <c r="CW2318" s="222"/>
      <c r="CX2318" s="697"/>
      <c r="DC2318" s="222"/>
      <c r="DJ2318" s="889"/>
      <c r="DM2318" s="890"/>
      <c r="DN2318" s="952"/>
      <c r="DO2318" s="75"/>
      <c r="DP2318" s="962"/>
      <c r="DQ2318" s="983"/>
      <c r="DV2318" s="889"/>
    </row>
    <row r="2319" spans="1:126" s="74" customFormat="1">
      <c r="A2319" s="15"/>
      <c r="B2319" s="15"/>
      <c r="C2319" s="15"/>
      <c r="D2319" s="15"/>
      <c r="E2319" s="6"/>
      <c r="F2319" s="6"/>
      <c r="G2319" s="6"/>
      <c r="K2319" s="222"/>
      <c r="V2319" s="1430"/>
      <c r="AA2319" s="223"/>
      <c r="AC2319" s="889"/>
      <c r="AF2319" s="890"/>
      <c r="AJ2319" s="889"/>
      <c r="AN2319" s="222"/>
      <c r="BC2319" s="223"/>
      <c r="BD2319" s="222"/>
      <c r="BH2319" s="611"/>
      <c r="BJ2319" s="15"/>
      <c r="BK2319" s="15"/>
      <c r="BO2319" s="223"/>
      <c r="BQ2319" s="889"/>
      <c r="BT2319" s="890"/>
      <c r="BX2319" s="889"/>
      <c r="CB2319" s="15"/>
      <c r="CC2319" s="697"/>
      <c r="CD2319" s="1086"/>
      <c r="CE2319" s="15"/>
      <c r="CF2319" s="15"/>
      <c r="CG2319" s="936"/>
      <c r="CH2319" s="15"/>
      <c r="CI2319" s="15"/>
      <c r="CJ2319" s="15"/>
      <c r="CK2319" s="1107"/>
      <c r="CL2319" s="22"/>
      <c r="CM2319" s="22"/>
      <c r="CN2319" s="1107"/>
      <c r="CR2319" s="223"/>
      <c r="CS2319" s="952"/>
      <c r="CT2319" s="1066"/>
      <c r="CU2319" s="972"/>
      <c r="CV2319" s="983"/>
      <c r="CW2319" s="222"/>
      <c r="CX2319" s="697"/>
      <c r="DC2319" s="222"/>
      <c r="DJ2319" s="889"/>
      <c r="DM2319" s="890"/>
      <c r="DN2319" s="952"/>
      <c r="DO2319" s="75"/>
      <c r="DP2319" s="962"/>
      <c r="DQ2319" s="983"/>
      <c r="DV2319" s="889"/>
    </row>
    <row r="2320" spans="1:126" s="74" customFormat="1">
      <c r="A2320" s="15"/>
      <c r="B2320" s="15"/>
      <c r="C2320" s="15"/>
      <c r="D2320" s="15"/>
      <c r="E2320" s="6"/>
      <c r="F2320" s="6"/>
      <c r="G2320" s="6"/>
      <c r="K2320" s="222"/>
      <c r="V2320" s="1430"/>
      <c r="AA2320" s="223"/>
      <c r="AC2320" s="889"/>
      <c r="AF2320" s="890"/>
      <c r="AJ2320" s="889"/>
      <c r="AN2320" s="222"/>
      <c r="BC2320" s="223"/>
      <c r="BD2320" s="222"/>
      <c r="BH2320" s="611"/>
      <c r="BJ2320" s="15"/>
      <c r="BK2320" s="15"/>
      <c r="BO2320" s="223"/>
      <c r="BQ2320" s="889"/>
      <c r="BT2320" s="890"/>
      <c r="BX2320" s="889"/>
      <c r="CB2320" s="15"/>
      <c r="CC2320" s="697"/>
      <c r="CD2320" s="1086"/>
      <c r="CE2320" s="15"/>
      <c r="CF2320" s="15"/>
      <c r="CG2320" s="936"/>
      <c r="CH2320" s="15"/>
      <c r="CI2320" s="15"/>
      <c r="CJ2320" s="15"/>
      <c r="CK2320" s="1107"/>
      <c r="CL2320" s="22"/>
      <c r="CM2320" s="22"/>
      <c r="CN2320" s="1107"/>
      <c r="CR2320" s="223"/>
      <c r="CS2320" s="952"/>
      <c r="CT2320" s="1066"/>
      <c r="CU2320" s="972"/>
      <c r="CV2320" s="983"/>
      <c r="CW2320" s="222"/>
      <c r="CX2320" s="697"/>
      <c r="DC2320" s="222"/>
      <c r="DJ2320" s="889"/>
      <c r="DM2320" s="890"/>
      <c r="DN2320" s="952"/>
      <c r="DO2320" s="75"/>
      <c r="DP2320" s="962"/>
      <c r="DQ2320" s="983"/>
      <c r="DV2320" s="889"/>
    </row>
    <row r="2321" spans="1:126" s="74" customFormat="1">
      <c r="A2321" s="15"/>
      <c r="B2321" s="15"/>
      <c r="C2321" s="15"/>
      <c r="D2321" s="15"/>
      <c r="E2321" s="6"/>
      <c r="F2321" s="6"/>
      <c r="G2321" s="6"/>
      <c r="K2321" s="222"/>
      <c r="V2321" s="1430"/>
      <c r="AA2321" s="223"/>
      <c r="AC2321" s="889"/>
      <c r="AF2321" s="890"/>
      <c r="AJ2321" s="889"/>
      <c r="AN2321" s="222"/>
      <c r="BC2321" s="223"/>
      <c r="BD2321" s="222"/>
      <c r="BH2321" s="611"/>
      <c r="BJ2321" s="15"/>
      <c r="BK2321" s="15"/>
      <c r="BO2321" s="223"/>
      <c r="BQ2321" s="889"/>
      <c r="BT2321" s="890"/>
      <c r="BX2321" s="889"/>
      <c r="CB2321" s="15"/>
      <c r="CC2321" s="697"/>
      <c r="CD2321" s="1086"/>
      <c r="CE2321" s="15"/>
      <c r="CF2321" s="15"/>
      <c r="CG2321" s="936"/>
      <c r="CH2321" s="15"/>
      <c r="CI2321" s="15"/>
      <c r="CJ2321" s="15"/>
      <c r="CK2321" s="1107"/>
      <c r="CL2321" s="22"/>
      <c r="CM2321" s="22"/>
      <c r="CN2321" s="1107"/>
      <c r="CR2321" s="223"/>
      <c r="CS2321" s="952"/>
      <c r="CT2321" s="1066"/>
      <c r="CU2321" s="972"/>
      <c r="CV2321" s="983"/>
      <c r="CW2321" s="222"/>
      <c r="CX2321" s="697"/>
      <c r="DC2321" s="222"/>
      <c r="DJ2321" s="889"/>
      <c r="DM2321" s="890"/>
      <c r="DN2321" s="952"/>
      <c r="DO2321" s="75"/>
      <c r="DP2321" s="962"/>
      <c r="DQ2321" s="983"/>
      <c r="DV2321" s="889"/>
    </row>
    <row r="2322" spans="1:126" s="74" customFormat="1">
      <c r="A2322" s="15"/>
      <c r="B2322" s="15"/>
      <c r="C2322" s="15"/>
      <c r="D2322" s="15"/>
      <c r="E2322" s="6"/>
      <c r="F2322" s="6"/>
      <c r="G2322" s="6"/>
      <c r="K2322" s="222"/>
      <c r="V2322" s="1430"/>
      <c r="AA2322" s="223"/>
      <c r="AC2322" s="889"/>
      <c r="AF2322" s="890"/>
      <c r="AJ2322" s="889"/>
      <c r="AN2322" s="222"/>
      <c r="BC2322" s="223"/>
      <c r="BD2322" s="222"/>
      <c r="BH2322" s="611"/>
      <c r="BJ2322" s="15"/>
      <c r="BK2322" s="15"/>
      <c r="BO2322" s="223"/>
      <c r="BQ2322" s="889"/>
      <c r="BT2322" s="890"/>
      <c r="BX2322" s="889"/>
      <c r="CB2322" s="15"/>
      <c r="CC2322" s="697"/>
      <c r="CD2322" s="1086"/>
      <c r="CE2322" s="15"/>
      <c r="CF2322" s="15"/>
      <c r="CG2322" s="936"/>
      <c r="CH2322" s="15"/>
      <c r="CI2322" s="15"/>
      <c r="CJ2322" s="15"/>
      <c r="CK2322" s="1107"/>
      <c r="CL2322" s="22"/>
      <c r="CM2322" s="22"/>
      <c r="CN2322" s="1107"/>
      <c r="CR2322" s="223"/>
      <c r="CS2322" s="952"/>
      <c r="CT2322" s="1066"/>
      <c r="CU2322" s="972"/>
      <c r="CV2322" s="983"/>
      <c r="CW2322" s="222"/>
      <c r="CX2322" s="697"/>
      <c r="DC2322" s="222"/>
      <c r="DJ2322" s="889"/>
      <c r="DM2322" s="890"/>
      <c r="DN2322" s="952"/>
      <c r="DO2322" s="75"/>
      <c r="DP2322" s="962"/>
      <c r="DQ2322" s="983"/>
      <c r="DV2322" s="889"/>
    </row>
    <row r="2323" spans="1:126" s="74" customFormat="1">
      <c r="A2323" s="15"/>
      <c r="B2323" s="15"/>
      <c r="C2323" s="15"/>
      <c r="D2323" s="15"/>
      <c r="E2323" s="6"/>
      <c r="F2323" s="6"/>
      <c r="G2323" s="6"/>
      <c r="K2323" s="222"/>
      <c r="V2323" s="1430"/>
      <c r="AA2323" s="223"/>
      <c r="AC2323" s="889"/>
      <c r="AF2323" s="890"/>
      <c r="AJ2323" s="889"/>
      <c r="AN2323" s="222"/>
      <c r="BC2323" s="223"/>
      <c r="BD2323" s="222"/>
      <c r="BH2323" s="611"/>
      <c r="BJ2323" s="15"/>
      <c r="BK2323" s="15"/>
      <c r="BO2323" s="223"/>
      <c r="BQ2323" s="889"/>
      <c r="BT2323" s="890"/>
      <c r="BX2323" s="889"/>
      <c r="CB2323" s="15"/>
      <c r="CC2323" s="697"/>
      <c r="CD2323" s="1086"/>
      <c r="CE2323" s="15"/>
      <c r="CF2323" s="15"/>
      <c r="CG2323" s="936"/>
      <c r="CH2323" s="15"/>
      <c r="CI2323" s="15"/>
      <c r="CJ2323" s="15"/>
      <c r="CK2323" s="1107"/>
      <c r="CL2323" s="22"/>
      <c r="CM2323" s="22"/>
      <c r="CN2323" s="1107"/>
      <c r="CR2323" s="223"/>
      <c r="CS2323" s="952"/>
      <c r="CT2323" s="1066"/>
      <c r="CU2323" s="972"/>
      <c r="CV2323" s="983"/>
      <c r="CW2323" s="222"/>
      <c r="CX2323" s="697"/>
      <c r="DC2323" s="222"/>
      <c r="DJ2323" s="889"/>
      <c r="DM2323" s="890"/>
      <c r="DN2323" s="952"/>
      <c r="DO2323" s="75"/>
      <c r="DP2323" s="962"/>
      <c r="DQ2323" s="983"/>
      <c r="DV2323" s="889"/>
    </row>
    <row r="2324" spans="1:126" s="74" customFormat="1">
      <c r="A2324" s="15"/>
      <c r="B2324" s="15"/>
      <c r="C2324" s="15"/>
      <c r="D2324" s="15"/>
      <c r="E2324" s="6"/>
      <c r="F2324" s="6"/>
      <c r="G2324" s="6"/>
      <c r="K2324" s="222"/>
      <c r="V2324" s="1430"/>
      <c r="AA2324" s="223"/>
      <c r="AC2324" s="889"/>
      <c r="AF2324" s="890"/>
      <c r="AJ2324" s="889"/>
      <c r="AN2324" s="222"/>
      <c r="BC2324" s="223"/>
      <c r="BD2324" s="222"/>
      <c r="BH2324" s="611"/>
      <c r="BJ2324" s="15"/>
      <c r="BK2324" s="15"/>
      <c r="BO2324" s="223"/>
      <c r="BQ2324" s="889"/>
      <c r="BT2324" s="890"/>
      <c r="BX2324" s="889"/>
      <c r="CB2324" s="15"/>
      <c r="CC2324" s="697"/>
      <c r="CD2324" s="1086"/>
      <c r="CE2324" s="15"/>
      <c r="CF2324" s="15"/>
      <c r="CG2324" s="936"/>
      <c r="CH2324" s="15"/>
      <c r="CI2324" s="15"/>
      <c r="CJ2324" s="15"/>
      <c r="CK2324" s="1107"/>
      <c r="CL2324" s="22"/>
      <c r="CM2324" s="22"/>
      <c r="CN2324" s="1107"/>
      <c r="CR2324" s="223"/>
      <c r="CS2324" s="952"/>
      <c r="CT2324" s="1066"/>
      <c r="CU2324" s="972"/>
      <c r="CV2324" s="983"/>
      <c r="CW2324" s="222"/>
      <c r="CX2324" s="697"/>
      <c r="DC2324" s="222"/>
      <c r="DJ2324" s="889"/>
      <c r="DM2324" s="890"/>
      <c r="DN2324" s="952"/>
      <c r="DO2324" s="75"/>
      <c r="DP2324" s="962"/>
      <c r="DQ2324" s="983"/>
      <c r="DV2324" s="889"/>
    </row>
    <row r="2325" spans="1:126" s="74" customFormat="1">
      <c r="A2325" s="15"/>
      <c r="B2325" s="15"/>
      <c r="C2325" s="15"/>
      <c r="D2325" s="15"/>
      <c r="E2325" s="6"/>
      <c r="F2325" s="6"/>
      <c r="G2325" s="6"/>
      <c r="K2325" s="222"/>
      <c r="V2325" s="1430"/>
      <c r="AA2325" s="223"/>
      <c r="AC2325" s="889"/>
      <c r="AF2325" s="890"/>
      <c r="AJ2325" s="889"/>
      <c r="AN2325" s="222"/>
      <c r="BC2325" s="223"/>
      <c r="BD2325" s="222"/>
      <c r="BH2325" s="611"/>
      <c r="BJ2325" s="15"/>
      <c r="BK2325" s="15"/>
      <c r="BO2325" s="223"/>
      <c r="BQ2325" s="889"/>
      <c r="BT2325" s="890"/>
      <c r="BX2325" s="889"/>
      <c r="CB2325" s="15"/>
      <c r="CC2325" s="697"/>
      <c r="CD2325" s="1086"/>
      <c r="CE2325" s="15"/>
      <c r="CF2325" s="15"/>
      <c r="CG2325" s="936"/>
      <c r="CH2325" s="15"/>
      <c r="CI2325" s="15"/>
      <c r="CJ2325" s="15"/>
      <c r="CK2325" s="1107"/>
      <c r="CL2325" s="22"/>
      <c r="CM2325" s="22"/>
      <c r="CN2325" s="1107"/>
      <c r="CR2325" s="223"/>
      <c r="CS2325" s="952"/>
      <c r="CT2325" s="1066"/>
      <c r="CU2325" s="972"/>
      <c r="CV2325" s="983"/>
      <c r="CW2325" s="222"/>
      <c r="CX2325" s="697"/>
      <c r="DC2325" s="222"/>
      <c r="DJ2325" s="889"/>
      <c r="DM2325" s="890"/>
      <c r="DN2325" s="952"/>
      <c r="DO2325" s="75"/>
      <c r="DP2325" s="962"/>
      <c r="DQ2325" s="983"/>
      <c r="DV2325" s="889"/>
    </row>
    <row r="2326" spans="1:126" s="74" customFormat="1">
      <c r="A2326" s="15"/>
      <c r="B2326" s="15"/>
      <c r="C2326" s="15"/>
      <c r="D2326" s="15"/>
      <c r="E2326" s="6"/>
      <c r="F2326" s="6"/>
      <c r="G2326" s="6"/>
      <c r="K2326" s="222"/>
      <c r="V2326" s="1430"/>
      <c r="AA2326" s="223"/>
      <c r="AC2326" s="889"/>
      <c r="AF2326" s="890"/>
      <c r="AJ2326" s="889"/>
      <c r="AN2326" s="222"/>
      <c r="BC2326" s="223"/>
      <c r="BD2326" s="222"/>
      <c r="BH2326" s="611"/>
      <c r="BJ2326" s="15"/>
      <c r="BK2326" s="15"/>
      <c r="BO2326" s="223"/>
      <c r="BQ2326" s="889"/>
      <c r="BT2326" s="890"/>
      <c r="BX2326" s="889"/>
      <c r="CB2326" s="15"/>
      <c r="CC2326" s="697"/>
      <c r="CD2326" s="1086"/>
      <c r="CE2326" s="15"/>
      <c r="CF2326" s="15"/>
      <c r="CG2326" s="936"/>
      <c r="CH2326" s="15"/>
      <c r="CI2326" s="15"/>
      <c r="CJ2326" s="15"/>
      <c r="CK2326" s="1107"/>
      <c r="CL2326" s="22"/>
      <c r="CM2326" s="22"/>
      <c r="CN2326" s="1107"/>
      <c r="CR2326" s="223"/>
      <c r="CS2326" s="952"/>
      <c r="CT2326" s="1066"/>
      <c r="CU2326" s="972"/>
      <c r="CV2326" s="983"/>
      <c r="CW2326" s="222"/>
      <c r="CX2326" s="697"/>
      <c r="DC2326" s="222"/>
      <c r="DJ2326" s="889"/>
      <c r="DM2326" s="890"/>
      <c r="DN2326" s="952"/>
      <c r="DO2326" s="75"/>
      <c r="DP2326" s="962"/>
      <c r="DQ2326" s="983"/>
      <c r="DV2326" s="889"/>
    </row>
    <row r="2327" spans="1:126" s="74" customFormat="1">
      <c r="A2327" s="15"/>
      <c r="B2327" s="15"/>
      <c r="C2327" s="15"/>
      <c r="D2327" s="15"/>
      <c r="E2327" s="6"/>
      <c r="F2327" s="6"/>
      <c r="G2327" s="6"/>
      <c r="K2327" s="222"/>
      <c r="V2327" s="1430"/>
      <c r="AA2327" s="223"/>
      <c r="AC2327" s="889"/>
      <c r="AF2327" s="890"/>
      <c r="AJ2327" s="889"/>
      <c r="AN2327" s="222"/>
      <c r="BC2327" s="223"/>
      <c r="BD2327" s="222"/>
      <c r="BH2327" s="611"/>
      <c r="BJ2327" s="15"/>
      <c r="BK2327" s="15"/>
      <c r="BO2327" s="223"/>
      <c r="BQ2327" s="889"/>
      <c r="BT2327" s="890"/>
      <c r="BX2327" s="889"/>
      <c r="CB2327" s="15"/>
      <c r="CC2327" s="697"/>
      <c r="CD2327" s="1086"/>
      <c r="CE2327" s="15"/>
      <c r="CF2327" s="15"/>
      <c r="CG2327" s="936"/>
      <c r="CH2327" s="15"/>
      <c r="CI2327" s="15"/>
      <c r="CJ2327" s="15"/>
      <c r="CK2327" s="1107"/>
      <c r="CL2327" s="22"/>
      <c r="CM2327" s="22"/>
      <c r="CN2327" s="1107"/>
      <c r="CR2327" s="223"/>
      <c r="CS2327" s="952"/>
      <c r="CT2327" s="1066"/>
      <c r="CU2327" s="972"/>
      <c r="CV2327" s="983"/>
      <c r="CW2327" s="222"/>
      <c r="CX2327" s="697"/>
      <c r="DC2327" s="222"/>
      <c r="DJ2327" s="889"/>
      <c r="DM2327" s="890"/>
      <c r="DN2327" s="952"/>
      <c r="DO2327" s="75"/>
      <c r="DP2327" s="962"/>
      <c r="DQ2327" s="983"/>
      <c r="DV2327" s="889"/>
    </row>
    <row r="2328" spans="1:126" s="74" customFormat="1">
      <c r="A2328" s="15"/>
      <c r="B2328" s="15"/>
      <c r="C2328" s="15"/>
      <c r="D2328" s="15"/>
      <c r="E2328" s="6"/>
      <c r="F2328" s="6"/>
      <c r="G2328" s="6"/>
      <c r="K2328" s="222"/>
      <c r="V2328" s="1430"/>
      <c r="AA2328" s="223"/>
      <c r="AC2328" s="889"/>
      <c r="AF2328" s="890"/>
      <c r="AJ2328" s="889"/>
      <c r="AN2328" s="222"/>
      <c r="BC2328" s="223"/>
      <c r="BD2328" s="222"/>
      <c r="BH2328" s="611"/>
      <c r="BJ2328" s="15"/>
      <c r="BK2328" s="15"/>
      <c r="BO2328" s="223"/>
      <c r="BQ2328" s="889"/>
      <c r="BT2328" s="890"/>
      <c r="BX2328" s="889"/>
      <c r="CB2328" s="15"/>
      <c r="CC2328" s="697"/>
      <c r="CD2328" s="1086"/>
      <c r="CE2328" s="15"/>
      <c r="CF2328" s="15"/>
      <c r="CG2328" s="936"/>
      <c r="CH2328" s="15"/>
      <c r="CI2328" s="15"/>
      <c r="CJ2328" s="15"/>
      <c r="CK2328" s="1107"/>
      <c r="CL2328" s="22"/>
      <c r="CM2328" s="22"/>
      <c r="CN2328" s="1107"/>
      <c r="CR2328" s="223"/>
      <c r="CS2328" s="952"/>
      <c r="CT2328" s="1066"/>
      <c r="CU2328" s="972"/>
      <c r="CV2328" s="983"/>
      <c r="CW2328" s="222"/>
      <c r="CX2328" s="697"/>
      <c r="DC2328" s="222"/>
      <c r="DJ2328" s="889"/>
      <c r="DM2328" s="890"/>
      <c r="DN2328" s="952"/>
      <c r="DO2328" s="75"/>
      <c r="DP2328" s="962"/>
      <c r="DQ2328" s="983"/>
      <c r="DV2328" s="889"/>
    </row>
    <row r="2329" spans="1:126" s="74" customFormat="1">
      <c r="A2329" s="15"/>
      <c r="B2329" s="15"/>
      <c r="C2329" s="15"/>
      <c r="D2329" s="15"/>
      <c r="E2329" s="6"/>
      <c r="F2329" s="6"/>
      <c r="G2329" s="6"/>
      <c r="K2329" s="222"/>
      <c r="V2329" s="1430"/>
      <c r="AA2329" s="223"/>
      <c r="AC2329" s="889"/>
      <c r="AF2329" s="890"/>
      <c r="AJ2329" s="889"/>
      <c r="AN2329" s="222"/>
      <c r="BC2329" s="223"/>
      <c r="BD2329" s="222"/>
      <c r="BH2329" s="611"/>
      <c r="BJ2329" s="15"/>
      <c r="BK2329" s="15"/>
      <c r="BO2329" s="223"/>
      <c r="BQ2329" s="889"/>
      <c r="BT2329" s="890"/>
      <c r="BX2329" s="889"/>
      <c r="CB2329" s="15"/>
      <c r="CC2329" s="697"/>
      <c r="CD2329" s="1086"/>
      <c r="CE2329" s="15"/>
      <c r="CF2329" s="15"/>
      <c r="CG2329" s="936"/>
      <c r="CH2329" s="15"/>
      <c r="CI2329" s="15"/>
      <c r="CJ2329" s="15"/>
      <c r="CK2329" s="1107"/>
      <c r="CL2329" s="22"/>
      <c r="CM2329" s="22"/>
      <c r="CN2329" s="1107"/>
      <c r="CR2329" s="223"/>
      <c r="CS2329" s="952"/>
      <c r="CT2329" s="1066"/>
      <c r="CU2329" s="972"/>
      <c r="CV2329" s="983"/>
      <c r="CW2329" s="222"/>
      <c r="CX2329" s="697"/>
      <c r="DC2329" s="222"/>
      <c r="DJ2329" s="889"/>
      <c r="DM2329" s="890"/>
      <c r="DN2329" s="952"/>
      <c r="DO2329" s="75"/>
      <c r="DP2329" s="962"/>
      <c r="DQ2329" s="983"/>
      <c r="DV2329" s="889"/>
    </row>
    <row r="2330" spans="1:126" s="74" customFormat="1">
      <c r="A2330" s="15"/>
      <c r="B2330" s="15"/>
      <c r="C2330" s="15"/>
      <c r="D2330" s="15"/>
      <c r="E2330" s="6"/>
      <c r="F2330" s="6"/>
      <c r="G2330" s="6"/>
      <c r="K2330" s="222"/>
      <c r="V2330" s="1430"/>
      <c r="AA2330" s="223"/>
      <c r="AC2330" s="889"/>
      <c r="AF2330" s="890"/>
      <c r="AJ2330" s="889"/>
      <c r="AN2330" s="222"/>
      <c r="BC2330" s="223"/>
      <c r="BD2330" s="222"/>
      <c r="BH2330" s="611"/>
      <c r="BJ2330" s="15"/>
      <c r="BK2330" s="15"/>
      <c r="BO2330" s="223"/>
      <c r="BQ2330" s="889"/>
      <c r="BT2330" s="890"/>
      <c r="BX2330" s="889"/>
      <c r="CB2330" s="15"/>
      <c r="CC2330" s="697"/>
      <c r="CD2330" s="1086"/>
      <c r="CE2330" s="15"/>
      <c r="CF2330" s="15"/>
      <c r="CG2330" s="936"/>
      <c r="CH2330" s="15"/>
      <c r="CI2330" s="15"/>
      <c r="CJ2330" s="15"/>
      <c r="CK2330" s="1107"/>
      <c r="CL2330" s="22"/>
      <c r="CM2330" s="22"/>
      <c r="CN2330" s="1107"/>
      <c r="CR2330" s="223"/>
      <c r="CS2330" s="952"/>
      <c r="CT2330" s="1066"/>
      <c r="CU2330" s="972"/>
      <c r="CV2330" s="983"/>
      <c r="CW2330" s="222"/>
      <c r="CX2330" s="697"/>
      <c r="DC2330" s="222"/>
      <c r="DJ2330" s="889"/>
      <c r="DM2330" s="890"/>
      <c r="DN2330" s="952"/>
      <c r="DO2330" s="75"/>
      <c r="DP2330" s="962"/>
      <c r="DQ2330" s="983"/>
      <c r="DV2330" s="889"/>
    </row>
    <row r="2331" spans="1:126" s="74" customFormat="1">
      <c r="A2331" s="15"/>
      <c r="B2331" s="15"/>
      <c r="C2331" s="15"/>
      <c r="D2331" s="15"/>
      <c r="E2331" s="6"/>
      <c r="F2331" s="6"/>
      <c r="G2331" s="6"/>
      <c r="K2331" s="222"/>
      <c r="V2331" s="1430"/>
      <c r="AA2331" s="223"/>
      <c r="AC2331" s="889"/>
      <c r="AF2331" s="890"/>
      <c r="AJ2331" s="889"/>
      <c r="AN2331" s="222"/>
      <c r="BC2331" s="223"/>
      <c r="BD2331" s="222"/>
      <c r="BH2331" s="611"/>
      <c r="BJ2331" s="15"/>
      <c r="BK2331" s="15"/>
      <c r="BO2331" s="223"/>
      <c r="BQ2331" s="889"/>
      <c r="BT2331" s="890"/>
      <c r="BX2331" s="889"/>
      <c r="CB2331" s="15"/>
      <c r="CC2331" s="697"/>
      <c r="CD2331" s="1086"/>
      <c r="CE2331" s="15"/>
      <c r="CF2331" s="15"/>
      <c r="CG2331" s="936"/>
      <c r="CH2331" s="15"/>
      <c r="CI2331" s="15"/>
      <c r="CJ2331" s="15"/>
      <c r="CK2331" s="1107"/>
      <c r="CL2331" s="22"/>
      <c r="CM2331" s="22"/>
      <c r="CN2331" s="1107"/>
      <c r="CR2331" s="223"/>
      <c r="CS2331" s="952"/>
      <c r="CT2331" s="1066"/>
      <c r="CU2331" s="972"/>
      <c r="CV2331" s="983"/>
      <c r="CW2331" s="222"/>
      <c r="CX2331" s="697"/>
      <c r="DC2331" s="222"/>
      <c r="DJ2331" s="889"/>
      <c r="DM2331" s="890"/>
      <c r="DN2331" s="952"/>
      <c r="DO2331" s="75"/>
      <c r="DP2331" s="962"/>
      <c r="DQ2331" s="983"/>
      <c r="DV2331" s="889"/>
    </row>
    <row r="2332" spans="1:126" s="74" customFormat="1">
      <c r="A2332" s="15"/>
      <c r="B2332" s="15"/>
      <c r="C2332" s="15"/>
      <c r="D2332" s="15"/>
      <c r="E2332" s="6"/>
      <c r="F2332" s="6"/>
      <c r="G2332" s="6"/>
      <c r="K2332" s="222"/>
      <c r="V2332" s="1430"/>
      <c r="AA2332" s="223"/>
      <c r="AC2332" s="889"/>
      <c r="AF2332" s="890"/>
      <c r="AJ2332" s="889"/>
      <c r="AN2332" s="222"/>
      <c r="BC2332" s="223"/>
      <c r="BD2332" s="222"/>
      <c r="BH2332" s="611"/>
      <c r="BJ2332" s="15"/>
      <c r="BK2332" s="15"/>
      <c r="BO2332" s="223"/>
      <c r="BQ2332" s="889"/>
      <c r="BT2332" s="890"/>
      <c r="BX2332" s="889"/>
      <c r="CB2332" s="15"/>
      <c r="CC2332" s="697"/>
      <c r="CD2332" s="1086"/>
      <c r="CE2332" s="15"/>
      <c r="CF2332" s="15"/>
      <c r="CG2332" s="936"/>
      <c r="CH2332" s="15"/>
      <c r="CI2332" s="15"/>
      <c r="CJ2332" s="15"/>
      <c r="CK2332" s="1107"/>
      <c r="CL2332" s="22"/>
      <c r="CM2332" s="22"/>
      <c r="CN2332" s="1107"/>
      <c r="CR2332" s="223"/>
      <c r="CS2332" s="952"/>
      <c r="CT2332" s="1066"/>
      <c r="CU2332" s="972"/>
      <c r="CV2332" s="983"/>
      <c r="CW2332" s="222"/>
      <c r="CX2332" s="697"/>
      <c r="DC2332" s="222"/>
      <c r="DJ2332" s="889"/>
      <c r="DM2332" s="890"/>
      <c r="DN2332" s="952"/>
      <c r="DO2332" s="75"/>
      <c r="DP2332" s="962"/>
      <c r="DQ2332" s="983"/>
      <c r="DV2332" s="889"/>
    </row>
    <row r="2333" spans="1:126" s="74" customFormat="1">
      <c r="A2333" s="15"/>
      <c r="B2333" s="15"/>
      <c r="C2333" s="15"/>
      <c r="D2333" s="15"/>
      <c r="E2333" s="6"/>
      <c r="F2333" s="6"/>
      <c r="G2333" s="6"/>
      <c r="K2333" s="222"/>
      <c r="V2333" s="1430"/>
      <c r="AA2333" s="223"/>
      <c r="AC2333" s="889"/>
      <c r="AF2333" s="890"/>
      <c r="AJ2333" s="889"/>
      <c r="AN2333" s="222"/>
      <c r="BC2333" s="223"/>
      <c r="BD2333" s="222"/>
      <c r="BH2333" s="611"/>
      <c r="BJ2333" s="15"/>
      <c r="BK2333" s="15"/>
      <c r="BO2333" s="223"/>
      <c r="BQ2333" s="889"/>
      <c r="BT2333" s="890"/>
      <c r="BX2333" s="889"/>
      <c r="CB2333" s="15"/>
      <c r="CC2333" s="697"/>
      <c r="CD2333" s="1086"/>
      <c r="CE2333" s="15"/>
      <c r="CF2333" s="15"/>
      <c r="CG2333" s="936"/>
      <c r="CH2333" s="15"/>
      <c r="CI2333" s="15"/>
      <c r="CJ2333" s="15"/>
      <c r="CK2333" s="1107"/>
      <c r="CL2333" s="22"/>
      <c r="CM2333" s="22"/>
      <c r="CN2333" s="1107"/>
      <c r="CR2333" s="223"/>
      <c r="CS2333" s="952"/>
      <c r="CT2333" s="1066"/>
      <c r="CU2333" s="972"/>
      <c r="CV2333" s="983"/>
      <c r="CW2333" s="222"/>
      <c r="CX2333" s="697"/>
      <c r="DC2333" s="222"/>
      <c r="DJ2333" s="889"/>
      <c r="DM2333" s="890"/>
      <c r="DN2333" s="952"/>
      <c r="DO2333" s="75"/>
      <c r="DP2333" s="962"/>
      <c r="DQ2333" s="983"/>
      <c r="DV2333" s="889"/>
    </row>
    <row r="2334" spans="1:126" s="74" customFormat="1">
      <c r="A2334" s="15"/>
      <c r="B2334" s="15"/>
      <c r="C2334" s="15"/>
      <c r="D2334" s="15"/>
      <c r="E2334" s="6"/>
      <c r="F2334" s="6"/>
      <c r="G2334" s="6"/>
      <c r="K2334" s="222"/>
      <c r="V2334" s="1430"/>
      <c r="AA2334" s="223"/>
      <c r="AC2334" s="889"/>
      <c r="AF2334" s="890"/>
      <c r="AJ2334" s="889"/>
      <c r="AN2334" s="222"/>
      <c r="BC2334" s="223"/>
      <c r="BD2334" s="222"/>
      <c r="BH2334" s="611"/>
      <c r="BJ2334" s="15"/>
      <c r="BK2334" s="15"/>
      <c r="BO2334" s="223"/>
      <c r="BQ2334" s="889"/>
      <c r="BT2334" s="890"/>
      <c r="BX2334" s="889"/>
      <c r="CB2334" s="15"/>
      <c r="CC2334" s="697"/>
      <c r="CD2334" s="1086"/>
      <c r="CE2334" s="15"/>
      <c r="CF2334" s="15"/>
      <c r="CG2334" s="936"/>
      <c r="CH2334" s="15"/>
      <c r="CI2334" s="15"/>
      <c r="CJ2334" s="15"/>
      <c r="CK2334" s="1107"/>
      <c r="CL2334" s="22"/>
      <c r="CM2334" s="22"/>
      <c r="CN2334" s="1107"/>
      <c r="CR2334" s="223"/>
      <c r="CS2334" s="952"/>
      <c r="CT2334" s="1066"/>
      <c r="CU2334" s="972"/>
      <c r="CV2334" s="983"/>
      <c r="CW2334" s="222"/>
      <c r="CX2334" s="697"/>
      <c r="DC2334" s="222"/>
      <c r="DJ2334" s="889"/>
      <c r="DM2334" s="890"/>
      <c r="DN2334" s="952"/>
      <c r="DO2334" s="75"/>
      <c r="DP2334" s="962"/>
      <c r="DQ2334" s="983"/>
      <c r="DV2334" s="889"/>
    </row>
    <row r="2335" spans="1:126" s="74" customFormat="1">
      <c r="A2335" s="15"/>
      <c r="B2335" s="15"/>
      <c r="C2335" s="15"/>
      <c r="D2335" s="15"/>
      <c r="E2335" s="6"/>
      <c r="F2335" s="6"/>
      <c r="G2335" s="6"/>
      <c r="K2335" s="222"/>
      <c r="V2335" s="1430"/>
      <c r="AA2335" s="223"/>
      <c r="AC2335" s="889"/>
      <c r="AF2335" s="890"/>
      <c r="AJ2335" s="889"/>
      <c r="AN2335" s="222"/>
      <c r="BC2335" s="223"/>
      <c r="BD2335" s="222"/>
      <c r="BH2335" s="611"/>
      <c r="BJ2335" s="15"/>
      <c r="BK2335" s="15"/>
      <c r="BO2335" s="223"/>
      <c r="BQ2335" s="889"/>
      <c r="BT2335" s="890"/>
      <c r="BX2335" s="889"/>
      <c r="CB2335" s="15"/>
      <c r="CC2335" s="697"/>
      <c r="CD2335" s="1086"/>
      <c r="CE2335" s="15"/>
      <c r="CF2335" s="15"/>
      <c r="CG2335" s="936"/>
      <c r="CH2335" s="15"/>
      <c r="CI2335" s="15"/>
      <c r="CJ2335" s="15"/>
      <c r="CK2335" s="1107"/>
      <c r="CL2335" s="22"/>
      <c r="CM2335" s="22"/>
      <c r="CN2335" s="1107"/>
      <c r="CR2335" s="223"/>
      <c r="CS2335" s="952"/>
      <c r="CT2335" s="1066"/>
      <c r="CU2335" s="972"/>
      <c r="CV2335" s="983"/>
      <c r="CW2335" s="222"/>
      <c r="CX2335" s="697"/>
      <c r="DC2335" s="222"/>
      <c r="DJ2335" s="889"/>
      <c r="DM2335" s="890"/>
      <c r="DN2335" s="952"/>
      <c r="DO2335" s="75"/>
      <c r="DP2335" s="962"/>
      <c r="DQ2335" s="983"/>
      <c r="DV2335" s="889"/>
    </row>
    <row r="2336" spans="1:126" s="74" customFormat="1">
      <c r="A2336" s="15"/>
      <c r="B2336" s="15"/>
      <c r="C2336" s="15"/>
      <c r="D2336" s="15"/>
      <c r="E2336" s="6"/>
      <c r="F2336" s="6"/>
      <c r="G2336" s="6"/>
      <c r="K2336" s="222"/>
      <c r="V2336" s="1430"/>
      <c r="AA2336" s="223"/>
      <c r="AC2336" s="889"/>
      <c r="AF2336" s="890"/>
      <c r="AJ2336" s="889"/>
      <c r="AN2336" s="222"/>
      <c r="BC2336" s="223"/>
      <c r="BD2336" s="222"/>
      <c r="BH2336" s="611"/>
      <c r="BJ2336" s="15"/>
      <c r="BK2336" s="15"/>
      <c r="BO2336" s="223"/>
      <c r="BQ2336" s="889"/>
      <c r="BT2336" s="890"/>
      <c r="BX2336" s="889"/>
      <c r="CB2336" s="15"/>
      <c r="CC2336" s="697"/>
      <c r="CD2336" s="1086"/>
      <c r="CE2336" s="15"/>
      <c r="CF2336" s="15"/>
      <c r="CG2336" s="936"/>
      <c r="CH2336" s="15"/>
      <c r="CI2336" s="15"/>
      <c r="CJ2336" s="15"/>
      <c r="CK2336" s="1107"/>
      <c r="CL2336" s="22"/>
      <c r="CM2336" s="22"/>
      <c r="CN2336" s="1107"/>
      <c r="CR2336" s="223"/>
      <c r="CS2336" s="952"/>
      <c r="CT2336" s="1066"/>
      <c r="CU2336" s="972"/>
      <c r="CV2336" s="983"/>
      <c r="CW2336" s="222"/>
      <c r="CX2336" s="697"/>
      <c r="DC2336" s="222"/>
      <c r="DJ2336" s="889"/>
      <c r="DM2336" s="890"/>
      <c r="DN2336" s="952"/>
      <c r="DO2336" s="75"/>
      <c r="DP2336" s="962"/>
      <c r="DQ2336" s="983"/>
      <c r="DV2336" s="889"/>
    </row>
    <row r="2337" spans="1:126" s="74" customFormat="1">
      <c r="A2337" s="15"/>
      <c r="B2337" s="15"/>
      <c r="C2337" s="15"/>
      <c r="D2337" s="15"/>
      <c r="E2337" s="6"/>
      <c r="F2337" s="6"/>
      <c r="G2337" s="6"/>
      <c r="K2337" s="222"/>
      <c r="V2337" s="1430"/>
      <c r="AA2337" s="223"/>
      <c r="AC2337" s="889"/>
      <c r="AF2337" s="890"/>
      <c r="AJ2337" s="889"/>
      <c r="AN2337" s="222"/>
      <c r="BC2337" s="223"/>
      <c r="BD2337" s="222"/>
      <c r="BH2337" s="611"/>
      <c r="BJ2337" s="15"/>
      <c r="BK2337" s="15"/>
      <c r="BO2337" s="223"/>
      <c r="BQ2337" s="889"/>
      <c r="BT2337" s="890"/>
      <c r="BX2337" s="889"/>
      <c r="CB2337" s="15"/>
      <c r="CC2337" s="697"/>
      <c r="CD2337" s="1086"/>
      <c r="CE2337" s="15"/>
      <c r="CF2337" s="15"/>
      <c r="CG2337" s="936"/>
      <c r="CH2337" s="15"/>
      <c r="CI2337" s="15"/>
      <c r="CJ2337" s="15"/>
      <c r="CK2337" s="1107"/>
      <c r="CL2337" s="22"/>
      <c r="CM2337" s="22"/>
      <c r="CN2337" s="1107"/>
      <c r="CR2337" s="223"/>
      <c r="CS2337" s="952"/>
      <c r="CT2337" s="1066"/>
      <c r="CU2337" s="972"/>
      <c r="CV2337" s="983"/>
      <c r="CW2337" s="222"/>
      <c r="CX2337" s="697"/>
      <c r="DC2337" s="222"/>
      <c r="DJ2337" s="889"/>
      <c r="DM2337" s="890"/>
      <c r="DN2337" s="952"/>
      <c r="DO2337" s="75"/>
      <c r="DP2337" s="962"/>
      <c r="DQ2337" s="983"/>
      <c r="DV2337" s="889"/>
    </row>
    <row r="2338" spans="1:126" s="74" customFormat="1">
      <c r="A2338" s="15"/>
      <c r="B2338" s="15"/>
      <c r="C2338" s="15"/>
      <c r="D2338" s="15"/>
      <c r="E2338" s="6"/>
      <c r="F2338" s="6"/>
      <c r="G2338" s="6"/>
      <c r="K2338" s="222"/>
      <c r="V2338" s="1430"/>
      <c r="AA2338" s="223"/>
      <c r="AC2338" s="889"/>
      <c r="AF2338" s="890"/>
      <c r="AJ2338" s="889"/>
      <c r="AN2338" s="222"/>
      <c r="BC2338" s="223"/>
      <c r="BD2338" s="222"/>
      <c r="BH2338" s="611"/>
      <c r="BJ2338" s="15"/>
      <c r="BK2338" s="15"/>
      <c r="BO2338" s="223"/>
      <c r="BQ2338" s="889"/>
      <c r="BT2338" s="890"/>
      <c r="BX2338" s="889"/>
      <c r="CB2338" s="15"/>
      <c r="CC2338" s="697"/>
      <c r="CD2338" s="1086"/>
      <c r="CE2338" s="15"/>
      <c r="CF2338" s="15"/>
      <c r="CG2338" s="936"/>
      <c r="CH2338" s="15"/>
      <c r="CI2338" s="15"/>
      <c r="CJ2338" s="15"/>
      <c r="CK2338" s="1107"/>
      <c r="CL2338" s="22"/>
      <c r="CM2338" s="22"/>
      <c r="CN2338" s="1107"/>
      <c r="CR2338" s="223"/>
      <c r="CS2338" s="952"/>
      <c r="CT2338" s="1066"/>
      <c r="CU2338" s="972"/>
      <c r="CV2338" s="983"/>
      <c r="CW2338" s="222"/>
      <c r="CX2338" s="697"/>
      <c r="DC2338" s="222"/>
      <c r="DJ2338" s="889"/>
      <c r="DM2338" s="890"/>
      <c r="DN2338" s="952"/>
      <c r="DO2338" s="75"/>
      <c r="DP2338" s="962"/>
      <c r="DQ2338" s="983"/>
      <c r="DV2338" s="889"/>
    </row>
    <row r="2339" spans="1:126" s="74" customFormat="1">
      <c r="A2339" s="15"/>
      <c r="B2339" s="15"/>
      <c r="C2339" s="15"/>
      <c r="D2339" s="15"/>
      <c r="E2339" s="6"/>
      <c r="F2339" s="6"/>
      <c r="G2339" s="6"/>
      <c r="K2339" s="222"/>
      <c r="V2339" s="1430"/>
      <c r="AA2339" s="223"/>
      <c r="AC2339" s="889"/>
      <c r="AF2339" s="890"/>
      <c r="AJ2339" s="889"/>
      <c r="AN2339" s="222"/>
      <c r="BC2339" s="223"/>
      <c r="BD2339" s="222"/>
      <c r="BH2339" s="611"/>
      <c r="BJ2339" s="15"/>
      <c r="BK2339" s="15"/>
      <c r="BO2339" s="223"/>
      <c r="BQ2339" s="889"/>
      <c r="BT2339" s="890"/>
      <c r="BX2339" s="889"/>
      <c r="CB2339" s="15"/>
      <c r="CC2339" s="697"/>
      <c r="CD2339" s="1086"/>
      <c r="CE2339" s="15"/>
      <c r="CF2339" s="15"/>
      <c r="CG2339" s="936"/>
      <c r="CH2339" s="15"/>
      <c r="CI2339" s="15"/>
      <c r="CJ2339" s="15"/>
      <c r="CK2339" s="1107"/>
      <c r="CL2339" s="22"/>
      <c r="CM2339" s="22"/>
      <c r="CN2339" s="1107"/>
      <c r="CR2339" s="223"/>
      <c r="CS2339" s="952"/>
      <c r="CT2339" s="1066"/>
      <c r="CU2339" s="972"/>
      <c r="CV2339" s="983"/>
      <c r="CW2339" s="222"/>
      <c r="CX2339" s="697"/>
      <c r="DC2339" s="222"/>
      <c r="DJ2339" s="889"/>
      <c r="DM2339" s="890"/>
      <c r="DN2339" s="952"/>
      <c r="DO2339" s="75"/>
      <c r="DP2339" s="962"/>
      <c r="DQ2339" s="983"/>
      <c r="DV2339" s="889"/>
    </row>
    <row r="2340" spans="1:126" s="74" customFormat="1">
      <c r="A2340" s="15"/>
      <c r="B2340" s="15"/>
      <c r="C2340" s="15"/>
      <c r="D2340" s="15"/>
      <c r="E2340" s="6"/>
      <c r="F2340" s="6"/>
      <c r="G2340" s="6"/>
      <c r="K2340" s="222"/>
      <c r="V2340" s="1430"/>
      <c r="AA2340" s="223"/>
      <c r="AC2340" s="889"/>
      <c r="AF2340" s="890"/>
      <c r="AJ2340" s="889"/>
      <c r="AN2340" s="222"/>
      <c r="BC2340" s="223"/>
      <c r="BD2340" s="222"/>
      <c r="BH2340" s="611"/>
      <c r="BJ2340" s="15"/>
      <c r="BK2340" s="15"/>
      <c r="BO2340" s="223"/>
      <c r="BQ2340" s="889"/>
      <c r="BT2340" s="890"/>
      <c r="BX2340" s="889"/>
      <c r="CB2340" s="15"/>
      <c r="CC2340" s="697"/>
      <c r="CD2340" s="1086"/>
      <c r="CE2340" s="15"/>
      <c r="CF2340" s="15"/>
      <c r="CG2340" s="936"/>
      <c r="CH2340" s="15"/>
      <c r="CI2340" s="15"/>
      <c r="CJ2340" s="15"/>
      <c r="CK2340" s="1107"/>
      <c r="CL2340" s="22"/>
      <c r="CM2340" s="22"/>
      <c r="CN2340" s="1107"/>
      <c r="CR2340" s="223"/>
      <c r="CS2340" s="952"/>
      <c r="CT2340" s="1066"/>
      <c r="CU2340" s="972"/>
      <c r="CV2340" s="983"/>
      <c r="CW2340" s="222"/>
      <c r="CX2340" s="697"/>
      <c r="DC2340" s="222"/>
      <c r="DJ2340" s="889"/>
      <c r="DM2340" s="890"/>
      <c r="DN2340" s="952"/>
      <c r="DO2340" s="75"/>
      <c r="DP2340" s="962"/>
      <c r="DQ2340" s="983"/>
      <c r="DV2340" s="889"/>
    </row>
    <row r="2341" spans="1:126" s="74" customFormat="1">
      <c r="A2341" s="15"/>
      <c r="B2341" s="15"/>
      <c r="C2341" s="15"/>
      <c r="D2341" s="15"/>
      <c r="E2341" s="6"/>
      <c r="F2341" s="6"/>
      <c r="G2341" s="6"/>
      <c r="K2341" s="222"/>
      <c r="V2341" s="1430"/>
      <c r="AA2341" s="223"/>
      <c r="AC2341" s="889"/>
      <c r="AF2341" s="890"/>
      <c r="AJ2341" s="889"/>
      <c r="AN2341" s="222"/>
      <c r="BC2341" s="223"/>
      <c r="BD2341" s="222"/>
      <c r="BH2341" s="611"/>
      <c r="BJ2341" s="15"/>
      <c r="BK2341" s="15"/>
      <c r="BO2341" s="223"/>
      <c r="BQ2341" s="889"/>
      <c r="BT2341" s="890"/>
      <c r="BX2341" s="889"/>
      <c r="CB2341" s="15"/>
      <c r="CC2341" s="697"/>
      <c r="CD2341" s="1086"/>
      <c r="CE2341" s="15"/>
      <c r="CF2341" s="15"/>
      <c r="CG2341" s="936"/>
      <c r="CH2341" s="15"/>
      <c r="CI2341" s="15"/>
      <c r="CJ2341" s="15"/>
      <c r="CK2341" s="1107"/>
      <c r="CL2341" s="22"/>
      <c r="CM2341" s="22"/>
      <c r="CN2341" s="1107"/>
      <c r="CR2341" s="223"/>
      <c r="CS2341" s="952"/>
      <c r="CT2341" s="1066"/>
      <c r="CU2341" s="972"/>
      <c r="CV2341" s="983"/>
      <c r="CW2341" s="222"/>
      <c r="CX2341" s="697"/>
      <c r="DC2341" s="222"/>
      <c r="DJ2341" s="889"/>
      <c r="DM2341" s="890"/>
      <c r="DN2341" s="952"/>
      <c r="DO2341" s="75"/>
      <c r="DP2341" s="962"/>
      <c r="DQ2341" s="983"/>
      <c r="DV2341" s="889"/>
    </row>
    <row r="2342" spans="1:126" s="74" customFormat="1">
      <c r="A2342" s="15"/>
      <c r="B2342" s="15"/>
      <c r="C2342" s="15"/>
      <c r="D2342" s="15"/>
      <c r="E2342" s="6"/>
      <c r="F2342" s="6"/>
      <c r="G2342" s="6"/>
      <c r="K2342" s="222"/>
      <c r="V2342" s="1430"/>
      <c r="AA2342" s="223"/>
      <c r="AC2342" s="889"/>
      <c r="AF2342" s="890"/>
      <c r="AJ2342" s="889"/>
      <c r="AN2342" s="222"/>
      <c r="BC2342" s="223"/>
      <c r="BD2342" s="222"/>
      <c r="BH2342" s="611"/>
      <c r="BJ2342" s="15"/>
      <c r="BK2342" s="15"/>
      <c r="BO2342" s="223"/>
      <c r="BQ2342" s="889"/>
      <c r="BT2342" s="890"/>
      <c r="BX2342" s="889"/>
      <c r="CB2342" s="15"/>
      <c r="CC2342" s="697"/>
      <c r="CD2342" s="1086"/>
      <c r="CE2342" s="15"/>
      <c r="CF2342" s="15"/>
      <c r="CG2342" s="936"/>
      <c r="CH2342" s="15"/>
      <c r="CI2342" s="15"/>
      <c r="CJ2342" s="15"/>
      <c r="CK2342" s="1107"/>
      <c r="CL2342" s="22"/>
      <c r="CM2342" s="22"/>
      <c r="CN2342" s="1107"/>
      <c r="CR2342" s="223"/>
      <c r="CS2342" s="952"/>
      <c r="CT2342" s="1066"/>
      <c r="CU2342" s="972"/>
      <c r="CV2342" s="983"/>
      <c r="CW2342" s="222"/>
      <c r="CX2342" s="697"/>
      <c r="DC2342" s="222"/>
      <c r="DJ2342" s="889"/>
      <c r="DM2342" s="890"/>
      <c r="DN2342" s="952"/>
      <c r="DO2342" s="75"/>
      <c r="DP2342" s="962"/>
      <c r="DQ2342" s="983"/>
      <c r="DV2342" s="889"/>
    </row>
    <row r="2343" spans="1:126" s="74" customFormat="1">
      <c r="A2343" s="15"/>
      <c r="B2343" s="15"/>
      <c r="C2343" s="15"/>
      <c r="D2343" s="15"/>
      <c r="E2343" s="6"/>
      <c r="F2343" s="6"/>
      <c r="G2343" s="6"/>
      <c r="K2343" s="222"/>
      <c r="V2343" s="1430"/>
      <c r="AA2343" s="223"/>
      <c r="AC2343" s="889"/>
      <c r="AF2343" s="890"/>
      <c r="AJ2343" s="889"/>
      <c r="AN2343" s="222"/>
      <c r="BC2343" s="223"/>
      <c r="BD2343" s="222"/>
      <c r="BH2343" s="611"/>
      <c r="BJ2343" s="15"/>
      <c r="BK2343" s="15"/>
      <c r="BO2343" s="223"/>
      <c r="BQ2343" s="889"/>
      <c r="BT2343" s="890"/>
      <c r="BX2343" s="889"/>
      <c r="CB2343" s="15"/>
      <c r="CC2343" s="697"/>
      <c r="CD2343" s="1086"/>
      <c r="CE2343" s="15"/>
      <c r="CF2343" s="15"/>
      <c r="CG2343" s="936"/>
      <c r="CH2343" s="15"/>
      <c r="CI2343" s="15"/>
      <c r="CJ2343" s="15"/>
      <c r="CK2343" s="1107"/>
      <c r="CL2343" s="22"/>
      <c r="CM2343" s="22"/>
      <c r="CN2343" s="1107"/>
      <c r="CR2343" s="223"/>
      <c r="CS2343" s="952"/>
      <c r="CT2343" s="1066"/>
      <c r="CU2343" s="972"/>
      <c r="CV2343" s="983"/>
      <c r="CW2343" s="222"/>
      <c r="CX2343" s="697"/>
      <c r="DC2343" s="222"/>
      <c r="DJ2343" s="889"/>
      <c r="DM2343" s="890"/>
      <c r="DN2343" s="952"/>
      <c r="DO2343" s="75"/>
      <c r="DP2343" s="962"/>
      <c r="DQ2343" s="983"/>
      <c r="DV2343" s="889"/>
    </row>
    <row r="2344" spans="1:126" s="74" customFormat="1">
      <c r="A2344" s="15"/>
      <c r="B2344" s="15"/>
      <c r="C2344" s="15"/>
      <c r="D2344" s="15"/>
      <c r="E2344" s="6"/>
      <c r="F2344" s="6"/>
      <c r="G2344" s="6"/>
      <c r="K2344" s="222"/>
      <c r="V2344" s="1430"/>
      <c r="AA2344" s="223"/>
      <c r="AC2344" s="889"/>
      <c r="AF2344" s="890"/>
      <c r="AJ2344" s="889"/>
      <c r="AN2344" s="222"/>
      <c r="BC2344" s="223"/>
      <c r="BD2344" s="222"/>
      <c r="BH2344" s="611"/>
      <c r="BJ2344" s="15"/>
      <c r="BK2344" s="15"/>
      <c r="BO2344" s="223"/>
      <c r="BQ2344" s="889"/>
      <c r="BT2344" s="890"/>
      <c r="BX2344" s="889"/>
      <c r="CB2344" s="15"/>
      <c r="CC2344" s="697"/>
      <c r="CD2344" s="1086"/>
      <c r="CE2344" s="15"/>
      <c r="CF2344" s="15"/>
      <c r="CG2344" s="936"/>
      <c r="CH2344" s="15"/>
      <c r="CI2344" s="15"/>
      <c r="CJ2344" s="15"/>
      <c r="CK2344" s="1107"/>
      <c r="CL2344" s="22"/>
      <c r="CM2344" s="22"/>
      <c r="CN2344" s="1107"/>
      <c r="CR2344" s="223"/>
      <c r="CS2344" s="952"/>
      <c r="CT2344" s="1066"/>
      <c r="CU2344" s="972"/>
      <c r="CV2344" s="983"/>
      <c r="CW2344" s="222"/>
      <c r="CX2344" s="697"/>
      <c r="DC2344" s="222"/>
      <c r="DJ2344" s="889"/>
      <c r="DM2344" s="890"/>
      <c r="DN2344" s="952"/>
      <c r="DO2344" s="75"/>
      <c r="DP2344" s="962"/>
      <c r="DQ2344" s="983"/>
      <c r="DV2344" s="889"/>
    </row>
    <row r="2345" spans="1:126" s="74" customFormat="1">
      <c r="A2345" s="15"/>
      <c r="B2345" s="15"/>
      <c r="C2345" s="15"/>
      <c r="D2345" s="15"/>
      <c r="E2345" s="6"/>
      <c r="F2345" s="6"/>
      <c r="G2345" s="6"/>
      <c r="K2345" s="222"/>
      <c r="V2345" s="1430"/>
      <c r="AA2345" s="223"/>
      <c r="AC2345" s="889"/>
      <c r="AF2345" s="890"/>
      <c r="AJ2345" s="889"/>
      <c r="AN2345" s="222"/>
      <c r="BC2345" s="223"/>
      <c r="BD2345" s="222"/>
      <c r="BH2345" s="611"/>
      <c r="BJ2345" s="15"/>
      <c r="BK2345" s="15"/>
      <c r="BO2345" s="223"/>
      <c r="BQ2345" s="889"/>
      <c r="BT2345" s="890"/>
      <c r="BX2345" s="889"/>
      <c r="CB2345" s="15"/>
      <c r="CC2345" s="697"/>
      <c r="CD2345" s="1086"/>
      <c r="CE2345" s="15"/>
      <c r="CF2345" s="15"/>
      <c r="CG2345" s="936"/>
      <c r="CH2345" s="15"/>
      <c r="CI2345" s="15"/>
      <c r="CJ2345" s="15"/>
      <c r="CK2345" s="1107"/>
      <c r="CL2345" s="22"/>
      <c r="CM2345" s="22"/>
      <c r="CN2345" s="1107"/>
      <c r="CR2345" s="223"/>
      <c r="CS2345" s="952"/>
      <c r="CT2345" s="1066"/>
      <c r="CU2345" s="972"/>
      <c r="CV2345" s="983"/>
      <c r="CW2345" s="222"/>
      <c r="CX2345" s="697"/>
      <c r="DC2345" s="222"/>
      <c r="DJ2345" s="889"/>
      <c r="DM2345" s="890"/>
      <c r="DN2345" s="952"/>
      <c r="DO2345" s="75"/>
      <c r="DP2345" s="962"/>
      <c r="DQ2345" s="983"/>
      <c r="DV2345" s="889"/>
    </row>
    <row r="2346" spans="1:126" s="74" customFormat="1">
      <c r="A2346" s="15"/>
      <c r="B2346" s="15"/>
      <c r="C2346" s="15"/>
      <c r="D2346" s="15"/>
      <c r="E2346" s="6"/>
      <c r="F2346" s="6"/>
      <c r="G2346" s="6"/>
      <c r="K2346" s="222"/>
      <c r="V2346" s="1430"/>
      <c r="AA2346" s="223"/>
      <c r="AC2346" s="889"/>
      <c r="AF2346" s="890"/>
      <c r="AJ2346" s="889"/>
      <c r="AN2346" s="222"/>
      <c r="BC2346" s="223"/>
      <c r="BD2346" s="222"/>
      <c r="BH2346" s="611"/>
      <c r="BJ2346" s="15"/>
      <c r="BK2346" s="15"/>
      <c r="BO2346" s="223"/>
      <c r="BQ2346" s="889"/>
      <c r="BT2346" s="890"/>
      <c r="BX2346" s="889"/>
      <c r="CB2346" s="15"/>
      <c r="CC2346" s="697"/>
      <c r="CD2346" s="1086"/>
      <c r="CE2346" s="15"/>
      <c r="CF2346" s="15"/>
      <c r="CG2346" s="936"/>
      <c r="CH2346" s="15"/>
      <c r="CI2346" s="15"/>
      <c r="CJ2346" s="15"/>
      <c r="CK2346" s="1107"/>
      <c r="CL2346" s="22"/>
      <c r="CM2346" s="22"/>
      <c r="CN2346" s="1107"/>
      <c r="CR2346" s="223"/>
      <c r="CS2346" s="952"/>
      <c r="CT2346" s="1066"/>
      <c r="CU2346" s="972"/>
      <c r="CV2346" s="983"/>
      <c r="CW2346" s="222"/>
      <c r="CX2346" s="697"/>
      <c r="DC2346" s="222"/>
      <c r="DJ2346" s="889"/>
      <c r="DM2346" s="890"/>
      <c r="DN2346" s="952"/>
      <c r="DO2346" s="75"/>
      <c r="DP2346" s="962"/>
      <c r="DQ2346" s="983"/>
      <c r="DV2346" s="889"/>
    </row>
    <row r="2347" spans="1:126" s="74" customFormat="1">
      <c r="A2347" s="15"/>
      <c r="B2347" s="15"/>
      <c r="C2347" s="15"/>
      <c r="D2347" s="15"/>
      <c r="E2347" s="6"/>
      <c r="F2347" s="6"/>
      <c r="G2347" s="6"/>
      <c r="K2347" s="222"/>
      <c r="V2347" s="1430"/>
      <c r="AA2347" s="223"/>
      <c r="AC2347" s="889"/>
      <c r="AF2347" s="890"/>
      <c r="AJ2347" s="889"/>
      <c r="AN2347" s="222"/>
      <c r="BC2347" s="223"/>
      <c r="BD2347" s="222"/>
      <c r="BH2347" s="611"/>
      <c r="BJ2347" s="15"/>
      <c r="BK2347" s="15"/>
      <c r="BO2347" s="223"/>
      <c r="BQ2347" s="889"/>
      <c r="BT2347" s="890"/>
      <c r="BX2347" s="889"/>
      <c r="CB2347" s="15"/>
      <c r="CC2347" s="697"/>
      <c r="CD2347" s="1086"/>
      <c r="CE2347" s="15"/>
      <c r="CF2347" s="15"/>
      <c r="CG2347" s="936"/>
      <c r="CH2347" s="15"/>
      <c r="CI2347" s="15"/>
      <c r="CJ2347" s="15"/>
      <c r="CK2347" s="1107"/>
      <c r="CL2347" s="22"/>
      <c r="CM2347" s="22"/>
      <c r="CN2347" s="1107"/>
      <c r="CR2347" s="223"/>
      <c r="CS2347" s="952"/>
      <c r="CT2347" s="1066"/>
      <c r="CU2347" s="972"/>
      <c r="CV2347" s="983"/>
      <c r="CW2347" s="222"/>
      <c r="CX2347" s="697"/>
      <c r="DC2347" s="222"/>
      <c r="DJ2347" s="889"/>
      <c r="DM2347" s="890"/>
      <c r="DN2347" s="952"/>
      <c r="DO2347" s="75"/>
      <c r="DP2347" s="962"/>
      <c r="DQ2347" s="983"/>
      <c r="DV2347" s="889"/>
    </row>
    <row r="2348" spans="1:126" s="74" customFormat="1">
      <c r="A2348" s="15"/>
      <c r="B2348" s="15"/>
      <c r="C2348" s="15"/>
      <c r="D2348" s="15"/>
      <c r="E2348" s="6"/>
      <c r="F2348" s="6"/>
      <c r="G2348" s="6"/>
      <c r="K2348" s="222"/>
      <c r="V2348" s="1430"/>
      <c r="AA2348" s="223"/>
      <c r="AC2348" s="889"/>
      <c r="AF2348" s="890"/>
      <c r="AJ2348" s="889"/>
      <c r="AN2348" s="222"/>
      <c r="BC2348" s="223"/>
      <c r="BD2348" s="222"/>
      <c r="BH2348" s="611"/>
      <c r="BJ2348" s="15"/>
      <c r="BK2348" s="15"/>
      <c r="BO2348" s="223"/>
      <c r="BQ2348" s="889"/>
      <c r="BT2348" s="890"/>
      <c r="BX2348" s="889"/>
      <c r="CB2348" s="15"/>
      <c r="CC2348" s="697"/>
      <c r="CD2348" s="1086"/>
      <c r="CE2348" s="15"/>
      <c r="CF2348" s="15"/>
      <c r="CG2348" s="936"/>
      <c r="CH2348" s="15"/>
      <c r="CI2348" s="15"/>
      <c r="CJ2348" s="15"/>
      <c r="CK2348" s="1107"/>
      <c r="CL2348" s="22"/>
      <c r="CM2348" s="22"/>
      <c r="CN2348" s="1107"/>
      <c r="CR2348" s="223"/>
      <c r="CS2348" s="952"/>
      <c r="CT2348" s="1066"/>
      <c r="CU2348" s="972"/>
      <c r="CV2348" s="983"/>
      <c r="CW2348" s="222"/>
      <c r="CX2348" s="697"/>
      <c r="DC2348" s="222"/>
      <c r="DJ2348" s="889"/>
      <c r="DM2348" s="890"/>
      <c r="DN2348" s="952"/>
      <c r="DO2348" s="75"/>
      <c r="DP2348" s="962"/>
      <c r="DQ2348" s="983"/>
      <c r="DV2348" s="889"/>
    </row>
    <row r="2349" spans="1:126" s="74" customFormat="1">
      <c r="A2349" s="15"/>
      <c r="B2349" s="15"/>
      <c r="C2349" s="15"/>
      <c r="D2349" s="15"/>
      <c r="E2349" s="6"/>
      <c r="F2349" s="6"/>
      <c r="G2349" s="6"/>
      <c r="K2349" s="222"/>
      <c r="V2349" s="1430"/>
      <c r="AA2349" s="223"/>
      <c r="AC2349" s="889"/>
      <c r="AF2349" s="890"/>
      <c r="AJ2349" s="889"/>
      <c r="AN2349" s="222"/>
      <c r="BC2349" s="223"/>
      <c r="BD2349" s="222"/>
      <c r="BH2349" s="611"/>
      <c r="BJ2349" s="15"/>
      <c r="BK2349" s="15"/>
      <c r="BO2349" s="223"/>
      <c r="BQ2349" s="889"/>
      <c r="BT2349" s="890"/>
      <c r="BX2349" s="889"/>
      <c r="CB2349" s="15"/>
      <c r="CC2349" s="697"/>
      <c r="CD2349" s="1086"/>
      <c r="CE2349" s="15"/>
      <c r="CF2349" s="15"/>
      <c r="CG2349" s="936"/>
      <c r="CH2349" s="15"/>
      <c r="CI2349" s="15"/>
      <c r="CJ2349" s="15"/>
      <c r="CK2349" s="1107"/>
      <c r="CL2349" s="22"/>
      <c r="CM2349" s="22"/>
      <c r="CN2349" s="1107"/>
      <c r="CR2349" s="223"/>
      <c r="CS2349" s="952"/>
      <c r="CT2349" s="1066"/>
      <c r="CU2349" s="972"/>
      <c r="CV2349" s="983"/>
      <c r="CW2349" s="222"/>
      <c r="CX2349" s="697"/>
      <c r="DC2349" s="222"/>
      <c r="DJ2349" s="889"/>
      <c r="DM2349" s="890"/>
      <c r="DN2349" s="952"/>
      <c r="DO2349" s="75"/>
      <c r="DP2349" s="962"/>
      <c r="DQ2349" s="983"/>
      <c r="DV2349" s="889"/>
    </row>
    <row r="2350" spans="1:126" s="74" customFormat="1">
      <c r="A2350" s="15"/>
      <c r="B2350" s="15"/>
      <c r="C2350" s="15"/>
      <c r="D2350" s="15"/>
      <c r="E2350" s="6"/>
      <c r="F2350" s="6"/>
      <c r="G2350" s="6"/>
      <c r="K2350" s="222"/>
      <c r="V2350" s="1430"/>
      <c r="AA2350" s="223"/>
      <c r="AC2350" s="889"/>
      <c r="AF2350" s="890"/>
      <c r="AJ2350" s="889"/>
      <c r="AN2350" s="222"/>
      <c r="BC2350" s="223"/>
      <c r="BD2350" s="222"/>
      <c r="BH2350" s="611"/>
      <c r="BJ2350" s="15"/>
      <c r="BK2350" s="15"/>
      <c r="BO2350" s="223"/>
      <c r="BQ2350" s="889"/>
      <c r="BT2350" s="890"/>
      <c r="BX2350" s="889"/>
      <c r="CB2350" s="15"/>
      <c r="CC2350" s="697"/>
      <c r="CD2350" s="1086"/>
      <c r="CE2350" s="15"/>
      <c r="CF2350" s="15"/>
      <c r="CG2350" s="936"/>
      <c r="CH2350" s="15"/>
      <c r="CI2350" s="15"/>
      <c r="CJ2350" s="15"/>
      <c r="CK2350" s="1107"/>
      <c r="CL2350" s="22"/>
      <c r="CM2350" s="22"/>
      <c r="CN2350" s="1107"/>
      <c r="CR2350" s="223"/>
      <c r="CS2350" s="952"/>
      <c r="CT2350" s="1066"/>
      <c r="CU2350" s="972"/>
      <c r="CV2350" s="983"/>
      <c r="CW2350" s="222"/>
      <c r="CX2350" s="697"/>
      <c r="DC2350" s="222"/>
      <c r="DJ2350" s="889"/>
      <c r="DM2350" s="890"/>
      <c r="DN2350" s="952"/>
      <c r="DO2350" s="75"/>
      <c r="DP2350" s="962"/>
      <c r="DQ2350" s="983"/>
      <c r="DV2350" s="889"/>
    </row>
    <row r="2351" spans="1:126" s="74" customFormat="1">
      <c r="A2351" s="15"/>
      <c r="B2351" s="15"/>
      <c r="C2351" s="15"/>
      <c r="D2351" s="15"/>
      <c r="E2351" s="6"/>
      <c r="F2351" s="6"/>
      <c r="G2351" s="6"/>
      <c r="K2351" s="222"/>
      <c r="V2351" s="1430"/>
      <c r="AA2351" s="223"/>
      <c r="AC2351" s="889"/>
      <c r="AF2351" s="890"/>
      <c r="AJ2351" s="889"/>
      <c r="AN2351" s="222"/>
      <c r="BC2351" s="223"/>
      <c r="BD2351" s="222"/>
      <c r="BH2351" s="611"/>
      <c r="BJ2351" s="15"/>
      <c r="BK2351" s="15"/>
      <c r="BO2351" s="223"/>
      <c r="BQ2351" s="889"/>
      <c r="BT2351" s="890"/>
      <c r="BX2351" s="889"/>
      <c r="CB2351" s="15"/>
      <c r="CC2351" s="697"/>
      <c r="CD2351" s="1086"/>
      <c r="CE2351" s="15"/>
      <c r="CF2351" s="15"/>
      <c r="CG2351" s="936"/>
      <c r="CH2351" s="15"/>
      <c r="CI2351" s="15"/>
      <c r="CJ2351" s="15"/>
      <c r="CK2351" s="1107"/>
      <c r="CL2351" s="22"/>
      <c r="CM2351" s="22"/>
      <c r="CN2351" s="1107"/>
      <c r="CR2351" s="223"/>
      <c r="CS2351" s="952"/>
      <c r="CT2351" s="1066"/>
      <c r="CU2351" s="972"/>
      <c r="CV2351" s="983"/>
      <c r="CW2351" s="222"/>
      <c r="CX2351" s="697"/>
      <c r="DC2351" s="222"/>
      <c r="DJ2351" s="889"/>
      <c r="DM2351" s="890"/>
      <c r="DN2351" s="952"/>
      <c r="DO2351" s="75"/>
      <c r="DP2351" s="962"/>
      <c r="DQ2351" s="983"/>
      <c r="DV2351" s="889"/>
    </row>
    <row r="2352" spans="1:126" s="74" customFormat="1">
      <c r="A2352" s="15"/>
      <c r="B2352" s="15"/>
      <c r="C2352" s="15"/>
      <c r="D2352" s="15"/>
      <c r="E2352" s="6"/>
      <c r="F2352" s="6"/>
      <c r="G2352" s="6"/>
      <c r="K2352" s="222"/>
      <c r="V2352" s="1430"/>
      <c r="AA2352" s="223"/>
      <c r="AC2352" s="889"/>
      <c r="AF2352" s="890"/>
      <c r="AJ2352" s="889"/>
      <c r="AN2352" s="222"/>
      <c r="BC2352" s="223"/>
      <c r="BD2352" s="222"/>
      <c r="BH2352" s="611"/>
      <c r="BJ2352" s="15"/>
      <c r="BK2352" s="15"/>
      <c r="BO2352" s="223"/>
      <c r="BQ2352" s="889"/>
      <c r="BT2352" s="890"/>
      <c r="BX2352" s="889"/>
      <c r="CB2352" s="15"/>
      <c r="CC2352" s="697"/>
      <c r="CD2352" s="1086"/>
      <c r="CE2352" s="15"/>
      <c r="CF2352" s="15"/>
      <c r="CG2352" s="936"/>
      <c r="CH2352" s="15"/>
      <c r="CI2352" s="15"/>
      <c r="CJ2352" s="15"/>
      <c r="CK2352" s="1107"/>
      <c r="CL2352" s="22"/>
      <c r="CM2352" s="22"/>
      <c r="CN2352" s="1107"/>
      <c r="CR2352" s="223"/>
      <c r="CS2352" s="952"/>
      <c r="CT2352" s="1066"/>
      <c r="CU2352" s="972"/>
      <c r="CV2352" s="983"/>
      <c r="CW2352" s="222"/>
      <c r="CX2352" s="697"/>
      <c r="DC2352" s="222"/>
      <c r="DJ2352" s="889"/>
      <c r="DM2352" s="890"/>
      <c r="DN2352" s="952"/>
      <c r="DO2352" s="75"/>
      <c r="DP2352" s="962"/>
      <c r="DQ2352" s="983"/>
      <c r="DV2352" s="889"/>
    </row>
    <row r="2353" spans="1:126" s="74" customFormat="1">
      <c r="A2353" s="15"/>
      <c r="B2353" s="15"/>
      <c r="C2353" s="15"/>
      <c r="D2353" s="15"/>
      <c r="E2353" s="6"/>
      <c r="F2353" s="6"/>
      <c r="G2353" s="6"/>
      <c r="K2353" s="222"/>
      <c r="V2353" s="1430"/>
      <c r="AA2353" s="223"/>
      <c r="AC2353" s="889"/>
      <c r="AF2353" s="890"/>
      <c r="AJ2353" s="889"/>
      <c r="AN2353" s="222"/>
      <c r="BC2353" s="223"/>
      <c r="BD2353" s="222"/>
      <c r="BH2353" s="611"/>
      <c r="BJ2353" s="15"/>
      <c r="BK2353" s="15"/>
      <c r="BO2353" s="223"/>
      <c r="BQ2353" s="889"/>
      <c r="BT2353" s="890"/>
      <c r="BX2353" s="889"/>
      <c r="CB2353" s="15"/>
      <c r="CC2353" s="697"/>
      <c r="CD2353" s="1086"/>
      <c r="CE2353" s="15"/>
      <c r="CF2353" s="15"/>
      <c r="CG2353" s="936"/>
      <c r="CH2353" s="15"/>
      <c r="CI2353" s="15"/>
      <c r="CJ2353" s="15"/>
      <c r="CK2353" s="1107"/>
      <c r="CL2353" s="22"/>
      <c r="CM2353" s="22"/>
      <c r="CN2353" s="1107"/>
      <c r="CR2353" s="223"/>
      <c r="CS2353" s="952"/>
      <c r="CT2353" s="1066"/>
      <c r="CU2353" s="972"/>
      <c r="CV2353" s="983"/>
      <c r="CW2353" s="222"/>
      <c r="CX2353" s="697"/>
      <c r="DC2353" s="222"/>
      <c r="DJ2353" s="889"/>
      <c r="DM2353" s="890"/>
      <c r="DN2353" s="952"/>
      <c r="DO2353" s="75"/>
      <c r="DP2353" s="962"/>
      <c r="DQ2353" s="983"/>
      <c r="DV2353" s="889"/>
    </row>
    <row r="2354" spans="1:126" s="74" customFormat="1">
      <c r="A2354" s="15"/>
      <c r="B2354" s="15"/>
      <c r="C2354" s="15"/>
      <c r="D2354" s="15"/>
      <c r="E2354" s="6"/>
      <c r="F2354" s="6"/>
      <c r="G2354" s="6"/>
      <c r="K2354" s="222"/>
      <c r="V2354" s="1430"/>
      <c r="AA2354" s="223"/>
      <c r="AC2354" s="889"/>
      <c r="AF2354" s="890"/>
      <c r="AJ2354" s="889"/>
      <c r="AN2354" s="222"/>
      <c r="BC2354" s="223"/>
      <c r="BD2354" s="222"/>
      <c r="BH2354" s="611"/>
      <c r="BJ2354" s="15"/>
      <c r="BK2354" s="15"/>
      <c r="BO2354" s="223"/>
      <c r="BQ2354" s="889"/>
      <c r="BT2354" s="890"/>
      <c r="BX2354" s="889"/>
      <c r="CB2354" s="15"/>
      <c r="CC2354" s="697"/>
      <c r="CD2354" s="1086"/>
      <c r="CE2354" s="15"/>
      <c r="CF2354" s="15"/>
      <c r="CG2354" s="936"/>
      <c r="CH2354" s="15"/>
      <c r="CI2354" s="15"/>
      <c r="CJ2354" s="15"/>
      <c r="CK2354" s="1107"/>
      <c r="CL2354" s="22"/>
      <c r="CM2354" s="22"/>
      <c r="CN2354" s="1107"/>
      <c r="CR2354" s="223"/>
      <c r="CS2354" s="952"/>
      <c r="CT2354" s="1066"/>
      <c r="CU2354" s="972"/>
      <c r="CV2354" s="983"/>
      <c r="CW2354" s="222"/>
      <c r="CX2354" s="697"/>
      <c r="DC2354" s="222"/>
      <c r="DJ2354" s="889"/>
      <c r="DM2354" s="890"/>
      <c r="DN2354" s="952"/>
      <c r="DO2354" s="75"/>
      <c r="DP2354" s="962"/>
      <c r="DQ2354" s="983"/>
      <c r="DV2354" s="889"/>
    </row>
    <row r="2355" spans="1:126" s="74" customFormat="1">
      <c r="A2355" s="15"/>
      <c r="B2355" s="15"/>
      <c r="C2355" s="15"/>
      <c r="D2355" s="15"/>
      <c r="E2355" s="6"/>
      <c r="F2355" s="6"/>
      <c r="G2355" s="6"/>
      <c r="K2355" s="222"/>
      <c r="V2355" s="1430"/>
      <c r="AA2355" s="223"/>
      <c r="AC2355" s="889"/>
      <c r="AF2355" s="890"/>
      <c r="AJ2355" s="889"/>
      <c r="AN2355" s="222"/>
      <c r="BC2355" s="223"/>
      <c r="BD2355" s="222"/>
      <c r="BH2355" s="611"/>
      <c r="BJ2355" s="15"/>
      <c r="BK2355" s="15"/>
      <c r="BO2355" s="223"/>
      <c r="BQ2355" s="889"/>
      <c r="BT2355" s="890"/>
      <c r="BX2355" s="889"/>
      <c r="CB2355" s="15"/>
      <c r="CC2355" s="697"/>
      <c r="CD2355" s="1086"/>
      <c r="CE2355" s="15"/>
      <c r="CF2355" s="15"/>
      <c r="CG2355" s="936"/>
      <c r="CH2355" s="15"/>
      <c r="CI2355" s="15"/>
      <c r="CJ2355" s="15"/>
      <c r="CK2355" s="1107"/>
      <c r="CL2355" s="22"/>
      <c r="CM2355" s="22"/>
      <c r="CN2355" s="1107"/>
      <c r="CR2355" s="223"/>
      <c r="CS2355" s="952"/>
      <c r="CT2355" s="1066"/>
      <c r="CU2355" s="972"/>
      <c r="CV2355" s="983"/>
      <c r="CW2355" s="222"/>
      <c r="CX2355" s="697"/>
      <c r="DC2355" s="222"/>
      <c r="DJ2355" s="889"/>
      <c r="DM2355" s="890"/>
      <c r="DN2355" s="952"/>
      <c r="DO2355" s="75"/>
      <c r="DP2355" s="962"/>
      <c r="DQ2355" s="983"/>
      <c r="DV2355" s="889"/>
    </row>
    <row r="2356" spans="1:126" s="74" customFormat="1">
      <c r="A2356" s="15"/>
      <c r="B2356" s="15"/>
      <c r="C2356" s="15"/>
      <c r="D2356" s="15"/>
      <c r="E2356" s="6"/>
      <c r="F2356" s="6"/>
      <c r="G2356" s="6"/>
      <c r="K2356" s="222"/>
      <c r="V2356" s="1430"/>
      <c r="AA2356" s="223"/>
      <c r="AC2356" s="889"/>
      <c r="AF2356" s="890"/>
      <c r="AJ2356" s="889"/>
      <c r="AN2356" s="222"/>
      <c r="BC2356" s="223"/>
      <c r="BD2356" s="222"/>
      <c r="BH2356" s="611"/>
      <c r="BJ2356" s="15"/>
      <c r="BK2356" s="15"/>
      <c r="BO2356" s="223"/>
      <c r="BQ2356" s="889"/>
      <c r="BT2356" s="890"/>
      <c r="BX2356" s="889"/>
      <c r="CB2356" s="15"/>
      <c r="CC2356" s="697"/>
      <c r="CD2356" s="1086"/>
      <c r="CE2356" s="15"/>
      <c r="CF2356" s="15"/>
      <c r="CG2356" s="936"/>
      <c r="CH2356" s="15"/>
      <c r="CI2356" s="15"/>
      <c r="CJ2356" s="15"/>
      <c r="CK2356" s="1107"/>
      <c r="CL2356" s="22"/>
      <c r="CM2356" s="22"/>
      <c r="CN2356" s="1107"/>
      <c r="CR2356" s="223"/>
      <c r="CS2356" s="952"/>
      <c r="CT2356" s="1066"/>
      <c r="CU2356" s="972"/>
      <c r="CV2356" s="983"/>
      <c r="CW2356" s="222"/>
      <c r="CX2356" s="697"/>
      <c r="DC2356" s="222"/>
      <c r="DJ2356" s="889"/>
      <c r="DM2356" s="890"/>
      <c r="DN2356" s="952"/>
      <c r="DO2356" s="75"/>
      <c r="DP2356" s="962"/>
      <c r="DQ2356" s="983"/>
      <c r="DV2356" s="889"/>
    </row>
    <row r="2357" spans="1:126" s="74" customFormat="1">
      <c r="A2357" s="15"/>
      <c r="B2357" s="15"/>
      <c r="C2357" s="15"/>
      <c r="D2357" s="15"/>
      <c r="E2357" s="6"/>
      <c r="F2357" s="6"/>
      <c r="G2357" s="6"/>
      <c r="K2357" s="222"/>
      <c r="V2357" s="1430"/>
      <c r="AA2357" s="223"/>
      <c r="AC2357" s="889"/>
      <c r="AF2357" s="890"/>
      <c r="AJ2357" s="889"/>
      <c r="AN2357" s="222"/>
      <c r="BC2357" s="223"/>
      <c r="BD2357" s="222"/>
      <c r="BH2357" s="611"/>
      <c r="BJ2357" s="15"/>
      <c r="BK2357" s="15"/>
      <c r="BO2357" s="223"/>
      <c r="BQ2357" s="889"/>
      <c r="BT2357" s="890"/>
      <c r="BX2357" s="889"/>
      <c r="CB2357" s="15"/>
      <c r="CC2357" s="697"/>
      <c r="CD2357" s="1086"/>
      <c r="CE2357" s="15"/>
      <c r="CF2357" s="15"/>
      <c r="CG2357" s="936"/>
      <c r="CH2357" s="15"/>
      <c r="CI2357" s="15"/>
      <c r="CJ2357" s="15"/>
      <c r="CK2357" s="1107"/>
      <c r="CL2357" s="22"/>
      <c r="CM2357" s="22"/>
      <c r="CN2357" s="1107"/>
      <c r="CR2357" s="223"/>
      <c r="CS2357" s="952"/>
      <c r="CT2357" s="1066"/>
      <c r="CU2357" s="972"/>
      <c r="CV2357" s="983"/>
      <c r="CW2357" s="222"/>
      <c r="CX2357" s="697"/>
      <c r="DC2357" s="222"/>
      <c r="DJ2357" s="889"/>
      <c r="DM2357" s="890"/>
      <c r="DN2357" s="952"/>
      <c r="DO2357" s="75"/>
      <c r="DP2357" s="962"/>
      <c r="DQ2357" s="983"/>
      <c r="DV2357" s="889"/>
    </row>
    <row r="2358" spans="1:126" s="74" customFormat="1">
      <c r="A2358" s="15"/>
      <c r="B2358" s="15"/>
      <c r="C2358" s="15"/>
      <c r="D2358" s="15"/>
      <c r="E2358" s="6"/>
      <c r="F2358" s="6"/>
      <c r="G2358" s="6"/>
      <c r="K2358" s="222"/>
      <c r="V2358" s="1430"/>
      <c r="AA2358" s="223"/>
      <c r="AC2358" s="889"/>
      <c r="AF2358" s="890"/>
      <c r="AJ2358" s="889"/>
      <c r="AN2358" s="222"/>
      <c r="BC2358" s="223"/>
      <c r="BD2358" s="222"/>
      <c r="BH2358" s="611"/>
      <c r="BJ2358" s="15"/>
      <c r="BK2358" s="15"/>
      <c r="BO2358" s="223"/>
      <c r="BQ2358" s="889"/>
      <c r="BT2358" s="890"/>
      <c r="BX2358" s="889"/>
      <c r="CB2358" s="15"/>
      <c r="CC2358" s="697"/>
      <c r="CD2358" s="1086"/>
      <c r="CE2358" s="15"/>
      <c r="CF2358" s="15"/>
      <c r="CG2358" s="936"/>
      <c r="CH2358" s="15"/>
      <c r="CI2358" s="15"/>
      <c r="CJ2358" s="15"/>
      <c r="CK2358" s="1107"/>
      <c r="CL2358" s="22"/>
      <c r="CM2358" s="22"/>
      <c r="CN2358" s="1107"/>
      <c r="CR2358" s="223"/>
      <c r="CS2358" s="952"/>
      <c r="CT2358" s="1066"/>
      <c r="CU2358" s="972"/>
      <c r="CV2358" s="983"/>
      <c r="CW2358" s="222"/>
      <c r="CX2358" s="697"/>
      <c r="DC2358" s="222"/>
      <c r="DJ2358" s="889"/>
      <c r="DM2358" s="890"/>
      <c r="DN2358" s="952"/>
      <c r="DO2358" s="75"/>
      <c r="DP2358" s="962"/>
      <c r="DQ2358" s="983"/>
      <c r="DV2358" s="889"/>
    </row>
    <row r="2359" spans="1:126" s="74" customFormat="1">
      <c r="A2359" s="15"/>
      <c r="B2359" s="15"/>
      <c r="C2359" s="15"/>
      <c r="D2359" s="15"/>
      <c r="E2359" s="6"/>
      <c r="F2359" s="6"/>
      <c r="G2359" s="6"/>
      <c r="K2359" s="222"/>
      <c r="V2359" s="1430"/>
      <c r="AA2359" s="223"/>
      <c r="AC2359" s="889"/>
      <c r="AF2359" s="890"/>
      <c r="AJ2359" s="889"/>
      <c r="AN2359" s="222"/>
      <c r="BC2359" s="223"/>
      <c r="BD2359" s="222"/>
      <c r="BH2359" s="611"/>
      <c r="BJ2359" s="15"/>
      <c r="BK2359" s="15"/>
      <c r="BO2359" s="223"/>
      <c r="BQ2359" s="889"/>
      <c r="BT2359" s="890"/>
      <c r="BX2359" s="889"/>
      <c r="CB2359" s="15"/>
      <c r="CC2359" s="697"/>
      <c r="CD2359" s="1086"/>
      <c r="CE2359" s="15"/>
      <c r="CF2359" s="15"/>
      <c r="CG2359" s="936"/>
      <c r="CH2359" s="15"/>
      <c r="CI2359" s="15"/>
      <c r="CJ2359" s="15"/>
      <c r="CK2359" s="1107"/>
      <c r="CL2359" s="22"/>
      <c r="CM2359" s="22"/>
      <c r="CN2359" s="1107"/>
      <c r="CR2359" s="223"/>
      <c r="CS2359" s="952"/>
      <c r="CT2359" s="1066"/>
      <c r="CU2359" s="972"/>
      <c r="CV2359" s="983"/>
      <c r="CW2359" s="222"/>
      <c r="CX2359" s="697"/>
      <c r="DC2359" s="222"/>
      <c r="DJ2359" s="889"/>
      <c r="DM2359" s="890"/>
      <c r="DN2359" s="952"/>
      <c r="DO2359" s="75"/>
      <c r="DP2359" s="962"/>
      <c r="DQ2359" s="983"/>
      <c r="DV2359" s="889"/>
    </row>
    <row r="2360" spans="1:126" s="74" customFormat="1">
      <c r="A2360" s="15"/>
      <c r="B2360" s="15"/>
      <c r="C2360" s="15"/>
      <c r="D2360" s="15"/>
      <c r="E2360" s="6"/>
      <c r="F2360" s="6"/>
      <c r="G2360" s="6"/>
      <c r="K2360" s="222"/>
      <c r="V2360" s="1430"/>
      <c r="AA2360" s="223"/>
      <c r="AC2360" s="889"/>
      <c r="AF2360" s="890"/>
      <c r="AJ2360" s="889"/>
      <c r="AN2360" s="222"/>
      <c r="BC2360" s="223"/>
      <c r="BD2360" s="222"/>
      <c r="BH2360" s="611"/>
      <c r="BJ2360" s="15"/>
      <c r="BK2360" s="15"/>
      <c r="BO2360" s="223"/>
      <c r="BQ2360" s="889"/>
      <c r="BT2360" s="890"/>
      <c r="BX2360" s="889"/>
      <c r="CB2360" s="15"/>
      <c r="CC2360" s="697"/>
      <c r="CD2360" s="1086"/>
      <c r="CE2360" s="15"/>
      <c r="CF2360" s="15"/>
      <c r="CG2360" s="936"/>
      <c r="CH2360" s="15"/>
      <c r="CI2360" s="15"/>
      <c r="CJ2360" s="15"/>
      <c r="CK2360" s="1107"/>
      <c r="CL2360" s="22"/>
      <c r="CM2360" s="22"/>
      <c r="CN2360" s="1107"/>
      <c r="CR2360" s="223"/>
      <c r="CS2360" s="952"/>
      <c r="CT2360" s="1066"/>
      <c r="CU2360" s="972"/>
      <c r="CV2360" s="983"/>
      <c r="CW2360" s="222"/>
      <c r="CX2360" s="697"/>
      <c r="DC2360" s="222"/>
      <c r="DJ2360" s="889"/>
      <c r="DM2360" s="890"/>
      <c r="DN2360" s="952"/>
      <c r="DO2360" s="75"/>
      <c r="DP2360" s="962"/>
      <c r="DQ2360" s="983"/>
      <c r="DV2360" s="889"/>
    </row>
    <row r="2361" spans="1:126" s="74" customFormat="1">
      <c r="A2361" s="15"/>
      <c r="B2361" s="15"/>
      <c r="C2361" s="15"/>
      <c r="D2361" s="15"/>
      <c r="E2361" s="6"/>
      <c r="F2361" s="6"/>
      <c r="G2361" s="6"/>
      <c r="K2361" s="222"/>
      <c r="V2361" s="1430"/>
      <c r="AA2361" s="223"/>
      <c r="AC2361" s="889"/>
      <c r="AF2361" s="890"/>
      <c r="AJ2361" s="889"/>
      <c r="AN2361" s="222"/>
      <c r="BC2361" s="223"/>
      <c r="BD2361" s="222"/>
      <c r="BH2361" s="611"/>
      <c r="BJ2361" s="15"/>
      <c r="BK2361" s="15"/>
      <c r="BO2361" s="223"/>
      <c r="BQ2361" s="889"/>
      <c r="BT2361" s="890"/>
      <c r="BX2361" s="889"/>
      <c r="CB2361" s="15"/>
      <c r="CC2361" s="697"/>
      <c r="CD2361" s="1086"/>
      <c r="CE2361" s="15"/>
      <c r="CF2361" s="15"/>
      <c r="CG2361" s="936"/>
      <c r="CH2361" s="15"/>
      <c r="CI2361" s="15"/>
      <c r="CJ2361" s="15"/>
      <c r="CK2361" s="1107"/>
      <c r="CL2361" s="22"/>
      <c r="CM2361" s="22"/>
      <c r="CN2361" s="1107"/>
      <c r="CR2361" s="223"/>
      <c r="CS2361" s="952"/>
      <c r="CT2361" s="1066"/>
      <c r="CU2361" s="972"/>
      <c r="CV2361" s="983"/>
      <c r="CW2361" s="222"/>
      <c r="CX2361" s="697"/>
      <c r="DC2361" s="222"/>
      <c r="DJ2361" s="889"/>
      <c r="DM2361" s="890"/>
      <c r="DN2361" s="952"/>
      <c r="DO2361" s="75"/>
      <c r="DP2361" s="962"/>
      <c r="DQ2361" s="983"/>
      <c r="DV2361" s="889"/>
    </row>
    <row r="2362" spans="1:126" s="74" customFormat="1">
      <c r="A2362" s="15"/>
      <c r="B2362" s="15"/>
      <c r="C2362" s="15"/>
      <c r="D2362" s="15"/>
      <c r="E2362" s="6"/>
      <c r="F2362" s="6"/>
      <c r="G2362" s="6"/>
      <c r="K2362" s="222"/>
      <c r="V2362" s="1430"/>
      <c r="AA2362" s="223"/>
      <c r="AC2362" s="889"/>
      <c r="AF2362" s="890"/>
      <c r="AJ2362" s="889"/>
      <c r="AN2362" s="222"/>
      <c r="BC2362" s="223"/>
      <c r="BD2362" s="222"/>
      <c r="BH2362" s="611"/>
      <c r="BJ2362" s="15"/>
      <c r="BK2362" s="15"/>
      <c r="BO2362" s="223"/>
      <c r="BQ2362" s="889"/>
      <c r="BT2362" s="890"/>
      <c r="BX2362" s="889"/>
      <c r="CB2362" s="15"/>
      <c r="CC2362" s="697"/>
      <c r="CD2362" s="1086"/>
      <c r="CE2362" s="15"/>
      <c r="CF2362" s="15"/>
      <c r="CG2362" s="936"/>
      <c r="CH2362" s="15"/>
      <c r="CI2362" s="15"/>
      <c r="CJ2362" s="15"/>
      <c r="CK2362" s="1107"/>
      <c r="CL2362" s="22"/>
      <c r="CM2362" s="22"/>
      <c r="CN2362" s="1107"/>
      <c r="CR2362" s="223"/>
      <c r="CS2362" s="952"/>
      <c r="CT2362" s="1066"/>
      <c r="CU2362" s="972"/>
      <c r="CV2362" s="983"/>
      <c r="CW2362" s="222"/>
      <c r="CX2362" s="697"/>
      <c r="DC2362" s="222"/>
      <c r="DJ2362" s="889"/>
      <c r="DM2362" s="890"/>
      <c r="DN2362" s="952"/>
      <c r="DO2362" s="75"/>
      <c r="DP2362" s="962"/>
      <c r="DQ2362" s="983"/>
      <c r="DV2362" s="889"/>
    </row>
    <row r="2363" spans="1:126" s="74" customFormat="1">
      <c r="A2363" s="15"/>
      <c r="B2363" s="15"/>
      <c r="C2363" s="15"/>
      <c r="D2363" s="15"/>
      <c r="E2363" s="6"/>
      <c r="F2363" s="6"/>
      <c r="G2363" s="6"/>
      <c r="K2363" s="222"/>
      <c r="V2363" s="1430"/>
      <c r="AA2363" s="223"/>
      <c r="AC2363" s="889"/>
      <c r="AF2363" s="890"/>
      <c r="AJ2363" s="889"/>
      <c r="AN2363" s="222"/>
      <c r="BC2363" s="223"/>
      <c r="BD2363" s="222"/>
      <c r="BH2363" s="611"/>
      <c r="BJ2363" s="15"/>
      <c r="BK2363" s="15"/>
      <c r="BO2363" s="223"/>
      <c r="BQ2363" s="889"/>
      <c r="BT2363" s="890"/>
      <c r="BX2363" s="889"/>
      <c r="CB2363" s="15"/>
      <c r="CC2363" s="697"/>
      <c r="CD2363" s="1086"/>
      <c r="CE2363" s="15"/>
      <c r="CF2363" s="15"/>
      <c r="CG2363" s="936"/>
      <c r="CH2363" s="15"/>
      <c r="CI2363" s="15"/>
      <c r="CJ2363" s="15"/>
      <c r="CK2363" s="1107"/>
      <c r="CL2363" s="22"/>
      <c r="CM2363" s="22"/>
      <c r="CN2363" s="1107"/>
      <c r="CR2363" s="223"/>
      <c r="CS2363" s="952"/>
      <c r="CT2363" s="1066"/>
      <c r="CU2363" s="972"/>
      <c r="CV2363" s="983"/>
      <c r="CW2363" s="222"/>
      <c r="CX2363" s="697"/>
      <c r="DC2363" s="222"/>
      <c r="DJ2363" s="889"/>
      <c r="DM2363" s="890"/>
      <c r="DN2363" s="952"/>
      <c r="DO2363" s="75"/>
      <c r="DP2363" s="962"/>
      <c r="DQ2363" s="983"/>
      <c r="DV2363" s="889"/>
    </row>
    <row r="2364" spans="1:126" s="74" customFormat="1">
      <c r="A2364" s="15"/>
      <c r="B2364" s="15"/>
      <c r="C2364" s="15"/>
      <c r="D2364" s="15"/>
      <c r="E2364" s="6"/>
      <c r="F2364" s="6"/>
      <c r="G2364" s="6"/>
      <c r="K2364" s="222"/>
      <c r="V2364" s="1430"/>
      <c r="AA2364" s="223"/>
      <c r="AC2364" s="889"/>
      <c r="AF2364" s="890"/>
      <c r="AJ2364" s="889"/>
      <c r="AN2364" s="222"/>
      <c r="BC2364" s="223"/>
      <c r="BD2364" s="222"/>
      <c r="BH2364" s="611"/>
      <c r="BJ2364" s="15"/>
      <c r="BK2364" s="15"/>
      <c r="BO2364" s="223"/>
      <c r="BQ2364" s="889"/>
      <c r="BT2364" s="890"/>
      <c r="BX2364" s="889"/>
      <c r="CB2364" s="15"/>
      <c r="CC2364" s="697"/>
      <c r="CD2364" s="1086"/>
      <c r="CE2364" s="15"/>
      <c r="CF2364" s="15"/>
      <c r="CG2364" s="936"/>
      <c r="CH2364" s="15"/>
      <c r="CI2364" s="15"/>
      <c r="CJ2364" s="15"/>
      <c r="CK2364" s="1107"/>
      <c r="CL2364" s="22"/>
      <c r="CM2364" s="22"/>
      <c r="CN2364" s="1107"/>
      <c r="CR2364" s="223"/>
      <c r="CS2364" s="952"/>
      <c r="CT2364" s="1066"/>
      <c r="CU2364" s="972"/>
      <c r="CV2364" s="983"/>
      <c r="CW2364" s="222"/>
      <c r="CX2364" s="697"/>
      <c r="DC2364" s="222"/>
      <c r="DJ2364" s="889"/>
      <c r="DM2364" s="890"/>
      <c r="DN2364" s="952"/>
      <c r="DO2364" s="75"/>
      <c r="DP2364" s="962"/>
      <c r="DQ2364" s="983"/>
      <c r="DV2364" s="889"/>
    </row>
    <row r="2365" spans="1:126" s="74" customFormat="1">
      <c r="A2365" s="15"/>
      <c r="B2365" s="15"/>
      <c r="C2365" s="15"/>
      <c r="D2365" s="15"/>
      <c r="E2365" s="6"/>
      <c r="F2365" s="6"/>
      <c r="G2365" s="6"/>
      <c r="K2365" s="222"/>
      <c r="V2365" s="1430"/>
      <c r="AA2365" s="223"/>
      <c r="AC2365" s="889"/>
      <c r="AF2365" s="890"/>
      <c r="AJ2365" s="889"/>
      <c r="AN2365" s="222"/>
      <c r="BC2365" s="223"/>
      <c r="BD2365" s="222"/>
      <c r="BH2365" s="611"/>
      <c r="BJ2365" s="15"/>
      <c r="BK2365" s="15"/>
      <c r="BO2365" s="223"/>
      <c r="BQ2365" s="889"/>
      <c r="BT2365" s="890"/>
      <c r="BX2365" s="889"/>
      <c r="CB2365" s="15"/>
      <c r="CC2365" s="697"/>
      <c r="CD2365" s="1086"/>
      <c r="CE2365" s="15"/>
      <c r="CF2365" s="15"/>
      <c r="CG2365" s="936"/>
      <c r="CH2365" s="15"/>
      <c r="CI2365" s="15"/>
      <c r="CJ2365" s="15"/>
      <c r="CK2365" s="1107"/>
      <c r="CL2365" s="22"/>
      <c r="CM2365" s="22"/>
      <c r="CN2365" s="1107"/>
      <c r="CR2365" s="223"/>
      <c r="CS2365" s="952"/>
      <c r="CT2365" s="1066"/>
      <c r="CU2365" s="972"/>
      <c r="CV2365" s="983"/>
      <c r="CW2365" s="222"/>
      <c r="CX2365" s="697"/>
      <c r="DC2365" s="222"/>
      <c r="DJ2365" s="889"/>
      <c r="DM2365" s="890"/>
      <c r="DN2365" s="952"/>
      <c r="DO2365" s="75"/>
      <c r="DP2365" s="962"/>
      <c r="DQ2365" s="983"/>
      <c r="DV2365" s="889"/>
    </row>
    <row r="2366" spans="1:126" s="74" customFormat="1">
      <c r="A2366" s="15"/>
      <c r="B2366" s="15"/>
      <c r="C2366" s="15"/>
      <c r="D2366" s="15"/>
      <c r="E2366" s="6"/>
      <c r="F2366" s="6"/>
      <c r="G2366" s="6"/>
      <c r="K2366" s="222"/>
      <c r="V2366" s="1430"/>
      <c r="AA2366" s="223"/>
      <c r="AC2366" s="889"/>
      <c r="AF2366" s="890"/>
      <c r="AJ2366" s="889"/>
      <c r="AN2366" s="222"/>
      <c r="BC2366" s="223"/>
      <c r="BD2366" s="222"/>
      <c r="BH2366" s="611"/>
      <c r="BJ2366" s="15"/>
      <c r="BK2366" s="15"/>
      <c r="BO2366" s="223"/>
      <c r="BQ2366" s="889"/>
      <c r="BT2366" s="890"/>
      <c r="BX2366" s="889"/>
      <c r="CB2366" s="15"/>
      <c r="CC2366" s="697"/>
      <c r="CD2366" s="1086"/>
      <c r="CE2366" s="15"/>
      <c r="CF2366" s="15"/>
      <c r="CG2366" s="936"/>
      <c r="CH2366" s="15"/>
      <c r="CI2366" s="15"/>
      <c r="CJ2366" s="15"/>
      <c r="CK2366" s="1107"/>
      <c r="CL2366" s="22"/>
      <c r="CM2366" s="22"/>
      <c r="CN2366" s="1107"/>
      <c r="CR2366" s="223"/>
      <c r="CS2366" s="952"/>
      <c r="CT2366" s="1066"/>
      <c r="CU2366" s="972"/>
      <c r="CV2366" s="983"/>
      <c r="CW2366" s="222"/>
      <c r="CX2366" s="697"/>
      <c r="DC2366" s="222"/>
      <c r="DJ2366" s="889"/>
      <c r="DM2366" s="890"/>
      <c r="DN2366" s="952"/>
      <c r="DO2366" s="75"/>
      <c r="DP2366" s="962"/>
      <c r="DQ2366" s="983"/>
      <c r="DV2366" s="889"/>
    </row>
    <row r="2367" spans="1:126" s="74" customFormat="1">
      <c r="A2367" s="15"/>
      <c r="B2367" s="15"/>
      <c r="C2367" s="15"/>
      <c r="D2367" s="15"/>
      <c r="E2367" s="6"/>
      <c r="F2367" s="6"/>
      <c r="G2367" s="6"/>
      <c r="K2367" s="222"/>
      <c r="V2367" s="1430"/>
      <c r="AA2367" s="223"/>
      <c r="AC2367" s="889"/>
      <c r="AF2367" s="890"/>
      <c r="AJ2367" s="889"/>
      <c r="AN2367" s="222"/>
      <c r="BC2367" s="223"/>
      <c r="BD2367" s="222"/>
      <c r="BH2367" s="611"/>
      <c r="BJ2367" s="15"/>
      <c r="BK2367" s="15"/>
      <c r="BO2367" s="223"/>
      <c r="BQ2367" s="889"/>
      <c r="BT2367" s="890"/>
      <c r="BX2367" s="889"/>
      <c r="CB2367" s="15"/>
      <c r="CC2367" s="697"/>
      <c r="CD2367" s="1086"/>
      <c r="CE2367" s="15"/>
      <c r="CF2367" s="15"/>
      <c r="CG2367" s="936"/>
      <c r="CH2367" s="15"/>
      <c r="CI2367" s="15"/>
      <c r="CJ2367" s="15"/>
      <c r="CK2367" s="1107"/>
      <c r="CL2367" s="22"/>
      <c r="CM2367" s="22"/>
      <c r="CN2367" s="1107"/>
      <c r="CR2367" s="223"/>
      <c r="CS2367" s="952"/>
      <c r="CT2367" s="1066"/>
      <c r="CU2367" s="972"/>
      <c r="CV2367" s="983"/>
      <c r="CW2367" s="222"/>
      <c r="CX2367" s="697"/>
      <c r="DC2367" s="222"/>
      <c r="DJ2367" s="889"/>
      <c r="DM2367" s="890"/>
      <c r="DN2367" s="952"/>
      <c r="DO2367" s="75"/>
      <c r="DP2367" s="962"/>
      <c r="DQ2367" s="983"/>
      <c r="DV2367" s="889"/>
    </row>
    <row r="2368" spans="1:126" s="74" customFormat="1">
      <c r="A2368" s="15"/>
      <c r="B2368" s="15"/>
      <c r="C2368" s="15"/>
      <c r="D2368" s="15"/>
      <c r="E2368" s="6"/>
      <c r="F2368" s="6"/>
      <c r="G2368" s="6"/>
      <c r="K2368" s="222"/>
      <c r="V2368" s="1430"/>
      <c r="AA2368" s="223"/>
      <c r="AC2368" s="889"/>
      <c r="AF2368" s="890"/>
      <c r="AJ2368" s="889"/>
      <c r="AN2368" s="222"/>
      <c r="BC2368" s="223"/>
      <c r="BD2368" s="222"/>
      <c r="BH2368" s="611"/>
      <c r="BJ2368" s="15"/>
      <c r="BK2368" s="15"/>
      <c r="BO2368" s="223"/>
      <c r="BQ2368" s="889"/>
      <c r="BT2368" s="890"/>
      <c r="BX2368" s="889"/>
      <c r="CB2368" s="15"/>
      <c r="CC2368" s="697"/>
      <c r="CD2368" s="1086"/>
      <c r="CE2368" s="15"/>
      <c r="CF2368" s="15"/>
      <c r="CG2368" s="936"/>
      <c r="CH2368" s="15"/>
      <c r="CI2368" s="15"/>
      <c r="CJ2368" s="15"/>
      <c r="CK2368" s="1107"/>
      <c r="CL2368" s="22"/>
      <c r="CM2368" s="22"/>
      <c r="CN2368" s="1107"/>
      <c r="CR2368" s="223"/>
      <c r="CS2368" s="952"/>
      <c r="CT2368" s="1066"/>
      <c r="CU2368" s="972"/>
      <c r="CV2368" s="983"/>
      <c r="CW2368" s="222"/>
      <c r="CX2368" s="697"/>
      <c r="DC2368" s="222"/>
      <c r="DJ2368" s="889"/>
      <c r="DM2368" s="890"/>
      <c r="DN2368" s="952"/>
      <c r="DO2368" s="75"/>
      <c r="DP2368" s="962"/>
      <c r="DQ2368" s="983"/>
      <c r="DV2368" s="889"/>
    </row>
    <row r="2369" spans="1:126" s="74" customFormat="1">
      <c r="A2369" s="15"/>
      <c r="B2369" s="15"/>
      <c r="C2369" s="15"/>
      <c r="D2369" s="15"/>
      <c r="E2369" s="6"/>
      <c r="F2369" s="6"/>
      <c r="G2369" s="6"/>
      <c r="K2369" s="222"/>
      <c r="V2369" s="1430"/>
      <c r="AA2369" s="223"/>
      <c r="AC2369" s="889"/>
      <c r="AF2369" s="890"/>
      <c r="AJ2369" s="889"/>
      <c r="AN2369" s="222"/>
      <c r="BC2369" s="223"/>
      <c r="BD2369" s="222"/>
      <c r="BH2369" s="611"/>
      <c r="BJ2369" s="15"/>
      <c r="BK2369" s="15"/>
      <c r="BO2369" s="223"/>
      <c r="BQ2369" s="889"/>
      <c r="BT2369" s="890"/>
      <c r="BX2369" s="889"/>
      <c r="CB2369" s="15"/>
      <c r="CC2369" s="697"/>
      <c r="CD2369" s="1086"/>
      <c r="CE2369" s="15"/>
      <c r="CF2369" s="15"/>
      <c r="CG2369" s="936"/>
      <c r="CH2369" s="15"/>
      <c r="CI2369" s="15"/>
      <c r="CJ2369" s="15"/>
      <c r="CK2369" s="1107"/>
      <c r="CL2369" s="22"/>
      <c r="CM2369" s="22"/>
      <c r="CN2369" s="1107"/>
      <c r="CR2369" s="223"/>
      <c r="CS2369" s="952"/>
      <c r="CT2369" s="1066"/>
      <c r="CU2369" s="972"/>
      <c r="CV2369" s="983"/>
      <c r="CW2369" s="222"/>
      <c r="CX2369" s="697"/>
      <c r="DC2369" s="222"/>
      <c r="DJ2369" s="889"/>
      <c r="DM2369" s="890"/>
      <c r="DN2369" s="952"/>
      <c r="DO2369" s="75"/>
      <c r="DP2369" s="962"/>
      <c r="DQ2369" s="983"/>
      <c r="DV2369" s="889"/>
    </row>
    <row r="2370" spans="1:126" s="74" customFormat="1">
      <c r="A2370" s="15"/>
      <c r="B2370" s="15"/>
      <c r="C2370" s="15"/>
      <c r="D2370" s="15"/>
      <c r="E2370" s="6"/>
      <c r="F2370" s="6"/>
      <c r="G2370" s="6"/>
      <c r="K2370" s="222"/>
      <c r="V2370" s="1430"/>
      <c r="AA2370" s="223"/>
      <c r="AC2370" s="889"/>
      <c r="AF2370" s="890"/>
      <c r="AJ2370" s="889"/>
      <c r="AN2370" s="222"/>
      <c r="BC2370" s="223"/>
      <c r="BD2370" s="222"/>
      <c r="BH2370" s="611"/>
      <c r="BJ2370" s="15"/>
      <c r="BK2370" s="15"/>
      <c r="BO2370" s="223"/>
      <c r="BQ2370" s="889"/>
      <c r="BT2370" s="890"/>
      <c r="BX2370" s="889"/>
      <c r="CB2370" s="15"/>
      <c r="CC2370" s="697"/>
      <c r="CD2370" s="1086"/>
      <c r="CE2370" s="15"/>
      <c r="CF2370" s="15"/>
      <c r="CG2370" s="936"/>
      <c r="CH2370" s="15"/>
      <c r="CI2370" s="15"/>
      <c r="CJ2370" s="15"/>
      <c r="CK2370" s="1107"/>
      <c r="CL2370" s="22"/>
      <c r="CM2370" s="22"/>
      <c r="CN2370" s="1107"/>
      <c r="CR2370" s="223"/>
      <c r="CS2370" s="952"/>
      <c r="CT2370" s="1066"/>
      <c r="CU2370" s="972"/>
      <c r="CV2370" s="983"/>
      <c r="CW2370" s="222"/>
      <c r="CX2370" s="697"/>
      <c r="DC2370" s="222"/>
      <c r="DJ2370" s="889"/>
      <c r="DM2370" s="890"/>
      <c r="DN2370" s="952"/>
      <c r="DO2370" s="75"/>
      <c r="DP2370" s="962"/>
      <c r="DQ2370" s="983"/>
      <c r="DV2370" s="889"/>
    </row>
    <row r="2371" spans="1:126" s="74" customFormat="1">
      <c r="A2371" s="15"/>
      <c r="B2371" s="15"/>
      <c r="C2371" s="15"/>
      <c r="D2371" s="15"/>
      <c r="E2371" s="6"/>
      <c r="F2371" s="6"/>
      <c r="G2371" s="6"/>
      <c r="K2371" s="222"/>
      <c r="V2371" s="1430"/>
      <c r="AA2371" s="223"/>
      <c r="AC2371" s="889"/>
      <c r="AF2371" s="890"/>
      <c r="AJ2371" s="889"/>
      <c r="AN2371" s="222"/>
      <c r="BC2371" s="223"/>
      <c r="BD2371" s="222"/>
      <c r="BH2371" s="611"/>
      <c r="BJ2371" s="15"/>
      <c r="BK2371" s="15"/>
      <c r="BO2371" s="223"/>
      <c r="BQ2371" s="889"/>
      <c r="BT2371" s="890"/>
      <c r="BX2371" s="889"/>
      <c r="CB2371" s="15"/>
      <c r="CC2371" s="697"/>
      <c r="CD2371" s="1086"/>
      <c r="CE2371" s="15"/>
      <c r="CF2371" s="15"/>
      <c r="CG2371" s="936"/>
      <c r="CH2371" s="15"/>
      <c r="CI2371" s="15"/>
      <c r="CJ2371" s="15"/>
      <c r="CK2371" s="1107"/>
      <c r="CL2371" s="22"/>
      <c r="CM2371" s="22"/>
      <c r="CN2371" s="1107"/>
      <c r="CR2371" s="223"/>
      <c r="CS2371" s="952"/>
      <c r="CT2371" s="1066"/>
      <c r="CU2371" s="972"/>
      <c r="CV2371" s="983"/>
      <c r="CW2371" s="222"/>
      <c r="CX2371" s="697"/>
      <c r="DC2371" s="222"/>
      <c r="DJ2371" s="889"/>
      <c r="DM2371" s="890"/>
      <c r="DN2371" s="952"/>
      <c r="DO2371" s="75"/>
      <c r="DP2371" s="962"/>
      <c r="DQ2371" s="983"/>
      <c r="DV2371" s="889"/>
    </row>
    <row r="2372" spans="1:126" s="74" customFormat="1">
      <c r="A2372" s="15"/>
      <c r="B2372" s="15"/>
      <c r="C2372" s="15"/>
      <c r="D2372" s="15"/>
      <c r="E2372" s="6"/>
      <c r="F2372" s="6"/>
      <c r="G2372" s="6"/>
      <c r="K2372" s="222"/>
      <c r="V2372" s="1430"/>
      <c r="AA2372" s="223"/>
      <c r="AC2372" s="889"/>
      <c r="AF2372" s="890"/>
      <c r="AJ2372" s="889"/>
      <c r="AN2372" s="222"/>
      <c r="BC2372" s="223"/>
      <c r="BD2372" s="222"/>
      <c r="BH2372" s="611"/>
      <c r="BJ2372" s="15"/>
      <c r="BK2372" s="15"/>
      <c r="BO2372" s="223"/>
      <c r="BQ2372" s="889"/>
      <c r="BT2372" s="890"/>
      <c r="BX2372" s="889"/>
      <c r="CB2372" s="15"/>
      <c r="CC2372" s="697"/>
      <c r="CD2372" s="1086"/>
      <c r="CE2372" s="15"/>
      <c r="CF2372" s="15"/>
      <c r="CG2372" s="936"/>
      <c r="CH2372" s="15"/>
      <c r="CI2372" s="15"/>
      <c r="CJ2372" s="15"/>
      <c r="CK2372" s="1107"/>
      <c r="CL2372" s="22"/>
      <c r="CM2372" s="22"/>
      <c r="CN2372" s="1107"/>
      <c r="CR2372" s="223"/>
      <c r="CS2372" s="952"/>
      <c r="CT2372" s="1066"/>
      <c r="CU2372" s="972"/>
      <c r="CV2372" s="983"/>
      <c r="CW2372" s="222"/>
      <c r="CX2372" s="697"/>
      <c r="DC2372" s="222"/>
      <c r="DJ2372" s="889"/>
      <c r="DM2372" s="890"/>
      <c r="DN2372" s="952"/>
      <c r="DO2372" s="75"/>
      <c r="DP2372" s="962"/>
      <c r="DQ2372" s="983"/>
      <c r="DV2372" s="889"/>
    </row>
    <row r="2373" spans="1:126" s="74" customFormat="1">
      <c r="A2373" s="15"/>
      <c r="B2373" s="15"/>
      <c r="C2373" s="15"/>
      <c r="D2373" s="15"/>
      <c r="E2373" s="6"/>
      <c r="F2373" s="6"/>
      <c r="G2373" s="6"/>
      <c r="K2373" s="222"/>
      <c r="V2373" s="1430"/>
      <c r="AA2373" s="223"/>
      <c r="AC2373" s="889"/>
      <c r="AF2373" s="890"/>
      <c r="AJ2373" s="889"/>
      <c r="AN2373" s="222"/>
      <c r="BC2373" s="223"/>
      <c r="BD2373" s="222"/>
      <c r="BH2373" s="611"/>
      <c r="BJ2373" s="15"/>
      <c r="BK2373" s="15"/>
      <c r="BO2373" s="223"/>
      <c r="BQ2373" s="889"/>
      <c r="BT2373" s="890"/>
      <c r="BX2373" s="889"/>
      <c r="CB2373" s="15"/>
      <c r="CC2373" s="697"/>
      <c r="CD2373" s="1086"/>
      <c r="CE2373" s="15"/>
      <c r="CF2373" s="15"/>
      <c r="CG2373" s="936"/>
      <c r="CH2373" s="15"/>
      <c r="CI2373" s="15"/>
      <c r="CJ2373" s="15"/>
      <c r="CK2373" s="1107"/>
      <c r="CL2373" s="22"/>
      <c r="CM2373" s="22"/>
      <c r="CN2373" s="1107"/>
      <c r="CR2373" s="223"/>
      <c r="CS2373" s="952"/>
      <c r="CT2373" s="1066"/>
      <c r="CU2373" s="972"/>
      <c r="CV2373" s="983"/>
      <c r="CW2373" s="222"/>
      <c r="CX2373" s="697"/>
      <c r="DC2373" s="222"/>
      <c r="DJ2373" s="889"/>
      <c r="DM2373" s="890"/>
      <c r="DN2373" s="952"/>
      <c r="DO2373" s="75"/>
      <c r="DP2373" s="962"/>
      <c r="DQ2373" s="983"/>
      <c r="DV2373" s="889"/>
    </row>
    <row r="2374" spans="1:126" s="74" customFormat="1">
      <c r="A2374" s="15"/>
      <c r="B2374" s="15"/>
      <c r="C2374" s="15"/>
      <c r="D2374" s="15"/>
      <c r="E2374" s="6"/>
      <c r="F2374" s="6"/>
      <c r="G2374" s="6"/>
      <c r="K2374" s="222"/>
      <c r="V2374" s="1430"/>
      <c r="AA2374" s="223"/>
      <c r="AC2374" s="889"/>
      <c r="AF2374" s="890"/>
      <c r="AJ2374" s="889"/>
      <c r="AN2374" s="222"/>
      <c r="BC2374" s="223"/>
      <c r="BD2374" s="222"/>
      <c r="BH2374" s="611"/>
      <c r="BJ2374" s="15"/>
      <c r="BK2374" s="15"/>
      <c r="BO2374" s="223"/>
      <c r="BQ2374" s="889"/>
      <c r="BT2374" s="890"/>
      <c r="BX2374" s="889"/>
      <c r="CB2374" s="15"/>
      <c r="CC2374" s="697"/>
      <c r="CD2374" s="1086"/>
      <c r="CE2374" s="15"/>
      <c r="CF2374" s="15"/>
      <c r="CG2374" s="936"/>
      <c r="CH2374" s="15"/>
      <c r="CI2374" s="15"/>
      <c r="CJ2374" s="15"/>
      <c r="CK2374" s="1107"/>
      <c r="CL2374" s="22"/>
      <c r="CM2374" s="22"/>
      <c r="CN2374" s="1107"/>
      <c r="CR2374" s="223"/>
      <c r="CS2374" s="952"/>
      <c r="CT2374" s="1066"/>
      <c r="CU2374" s="972"/>
      <c r="CV2374" s="983"/>
      <c r="CW2374" s="222"/>
      <c r="CX2374" s="697"/>
      <c r="DC2374" s="222"/>
      <c r="DJ2374" s="889"/>
      <c r="DM2374" s="890"/>
      <c r="DN2374" s="952"/>
      <c r="DO2374" s="75"/>
      <c r="DP2374" s="962"/>
      <c r="DQ2374" s="983"/>
      <c r="DV2374" s="889"/>
    </row>
    <row r="2375" spans="1:126" s="74" customFormat="1">
      <c r="A2375" s="15"/>
      <c r="B2375" s="15"/>
      <c r="C2375" s="15"/>
      <c r="D2375" s="15"/>
      <c r="E2375" s="6"/>
      <c r="F2375" s="6"/>
      <c r="G2375" s="6"/>
      <c r="K2375" s="222"/>
      <c r="V2375" s="1430"/>
      <c r="AA2375" s="223"/>
      <c r="AC2375" s="889"/>
      <c r="AF2375" s="890"/>
      <c r="AJ2375" s="889"/>
      <c r="AN2375" s="222"/>
      <c r="BC2375" s="223"/>
      <c r="BD2375" s="222"/>
      <c r="BH2375" s="611"/>
      <c r="BJ2375" s="15"/>
      <c r="BK2375" s="15"/>
      <c r="BO2375" s="223"/>
      <c r="BQ2375" s="889"/>
      <c r="BT2375" s="890"/>
      <c r="BX2375" s="889"/>
      <c r="CB2375" s="15"/>
      <c r="CC2375" s="697"/>
      <c r="CD2375" s="1086"/>
      <c r="CE2375" s="15"/>
      <c r="CF2375" s="15"/>
      <c r="CG2375" s="936"/>
      <c r="CH2375" s="15"/>
      <c r="CI2375" s="15"/>
      <c r="CJ2375" s="15"/>
      <c r="CK2375" s="1107"/>
      <c r="CL2375" s="22"/>
      <c r="CM2375" s="22"/>
      <c r="CN2375" s="1107"/>
      <c r="CR2375" s="223"/>
      <c r="CS2375" s="952"/>
      <c r="CT2375" s="1066"/>
      <c r="CU2375" s="972"/>
      <c r="CV2375" s="983"/>
      <c r="CW2375" s="222"/>
      <c r="CX2375" s="697"/>
      <c r="DC2375" s="222"/>
      <c r="DJ2375" s="889"/>
      <c r="DM2375" s="890"/>
      <c r="DN2375" s="952"/>
      <c r="DO2375" s="75"/>
      <c r="DP2375" s="962"/>
      <c r="DQ2375" s="983"/>
      <c r="DV2375" s="889"/>
    </row>
    <row r="2376" spans="1:126" s="74" customFormat="1">
      <c r="A2376" s="15"/>
      <c r="B2376" s="15"/>
      <c r="C2376" s="15"/>
      <c r="D2376" s="15"/>
      <c r="E2376" s="6"/>
      <c r="F2376" s="6"/>
      <c r="G2376" s="6"/>
      <c r="K2376" s="222"/>
      <c r="V2376" s="1430"/>
      <c r="AA2376" s="223"/>
      <c r="AC2376" s="889"/>
      <c r="AF2376" s="890"/>
      <c r="AJ2376" s="889"/>
      <c r="AN2376" s="222"/>
      <c r="BC2376" s="223"/>
      <c r="BD2376" s="222"/>
      <c r="BH2376" s="611"/>
      <c r="BJ2376" s="15"/>
      <c r="BK2376" s="15"/>
      <c r="BO2376" s="223"/>
      <c r="BQ2376" s="889"/>
      <c r="BT2376" s="890"/>
      <c r="BX2376" s="889"/>
      <c r="CB2376" s="15"/>
      <c r="CC2376" s="697"/>
      <c r="CD2376" s="1086"/>
      <c r="CE2376" s="15"/>
      <c r="CF2376" s="15"/>
      <c r="CG2376" s="936"/>
      <c r="CH2376" s="15"/>
      <c r="CI2376" s="15"/>
      <c r="CJ2376" s="15"/>
      <c r="CK2376" s="1107"/>
      <c r="CL2376" s="22"/>
      <c r="CM2376" s="22"/>
      <c r="CN2376" s="1107"/>
      <c r="CR2376" s="223"/>
      <c r="CS2376" s="952"/>
      <c r="CT2376" s="1066"/>
      <c r="CU2376" s="972"/>
      <c r="CV2376" s="983"/>
      <c r="CW2376" s="222"/>
      <c r="CX2376" s="697"/>
      <c r="DC2376" s="222"/>
      <c r="DJ2376" s="889"/>
      <c r="DM2376" s="890"/>
      <c r="DN2376" s="952"/>
      <c r="DO2376" s="75"/>
      <c r="DP2376" s="962"/>
      <c r="DQ2376" s="983"/>
      <c r="DV2376" s="889"/>
    </row>
    <row r="2377" spans="1:126" s="74" customFormat="1">
      <c r="A2377" s="15"/>
      <c r="B2377" s="15"/>
      <c r="C2377" s="15"/>
      <c r="D2377" s="15"/>
      <c r="E2377" s="6"/>
      <c r="F2377" s="6"/>
      <c r="G2377" s="6"/>
      <c r="K2377" s="222"/>
      <c r="V2377" s="1430"/>
      <c r="AA2377" s="223"/>
      <c r="AC2377" s="889"/>
      <c r="AF2377" s="890"/>
      <c r="AJ2377" s="889"/>
      <c r="AN2377" s="222"/>
      <c r="BC2377" s="223"/>
      <c r="BD2377" s="222"/>
      <c r="BH2377" s="611"/>
      <c r="BJ2377" s="15"/>
      <c r="BK2377" s="15"/>
      <c r="BO2377" s="223"/>
      <c r="BQ2377" s="889"/>
      <c r="BT2377" s="890"/>
      <c r="BX2377" s="889"/>
      <c r="CB2377" s="15"/>
      <c r="CC2377" s="697"/>
      <c r="CD2377" s="1086"/>
      <c r="CE2377" s="15"/>
      <c r="CF2377" s="15"/>
      <c r="CG2377" s="936"/>
      <c r="CH2377" s="15"/>
      <c r="CI2377" s="15"/>
      <c r="CJ2377" s="15"/>
      <c r="CK2377" s="1107"/>
      <c r="CL2377" s="22"/>
      <c r="CM2377" s="22"/>
      <c r="CN2377" s="1107"/>
      <c r="CR2377" s="223"/>
      <c r="CS2377" s="952"/>
      <c r="CT2377" s="1066"/>
      <c r="CU2377" s="972"/>
      <c r="CV2377" s="983"/>
      <c r="CW2377" s="222"/>
      <c r="CX2377" s="697"/>
      <c r="DC2377" s="222"/>
      <c r="DJ2377" s="889"/>
      <c r="DM2377" s="890"/>
      <c r="DN2377" s="952"/>
      <c r="DO2377" s="75"/>
      <c r="DP2377" s="962"/>
      <c r="DQ2377" s="983"/>
      <c r="DV2377" s="889"/>
    </row>
    <row r="2378" spans="1:126" s="74" customFormat="1">
      <c r="A2378" s="15"/>
      <c r="B2378" s="15"/>
      <c r="C2378" s="15"/>
      <c r="D2378" s="15"/>
      <c r="E2378" s="6"/>
      <c r="F2378" s="6"/>
      <c r="G2378" s="6"/>
      <c r="K2378" s="222"/>
      <c r="V2378" s="1430"/>
      <c r="AA2378" s="223"/>
      <c r="AC2378" s="889"/>
      <c r="AF2378" s="890"/>
      <c r="AJ2378" s="889"/>
      <c r="AN2378" s="222"/>
      <c r="BC2378" s="223"/>
      <c r="BD2378" s="222"/>
      <c r="BH2378" s="611"/>
      <c r="BJ2378" s="15"/>
      <c r="BK2378" s="15"/>
      <c r="BO2378" s="223"/>
      <c r="BQ2378" s="889"/>
      <c r="BT2378" s="890"/>
      <c r="BX2378" s="889"/>
      <c r="CB2378" s="15"/>
      <c r="CC2378" s="697"/>
      <c r="CD2378" s="1086"/>
      <c r="CE2378" s="15"/>
      <c r="CF2378" s="15"/>
      <c r="CG2378" s="936"/>
      <c r="CH2378" s="15"/>
      <c r="CI2378" s="15"/>
      <c r="CJ2378" s="15"/>
      <c r="CK2378" s="1107"/>
      <c r="CL2378" s="22"/>
      <c r="CM2378" s="22"/>
      <c r="CN2378" s="1107"/>
      <c r="CR2378" s="223"/>
      <c r="CS2378" s="952"/>
      <c r="CT2378" s="1066"/>
      <c r="CU2378" s="972"/>
      <c r="CV2378" s="983"/>
      <c r="CW2378" s="222"/>
      <c r="CX2378" s="697"/>
      <c r="DC2378" s="222"/>
      <c r="DJ2378" s="889"/>
      <c r="DM2378" s="890"/>
      <c r="DN2378" s="952"/>
      <c r="DO2378" s="75"/>
      <c r="DP2378" s="962"/>
      <c r="DQ2378" s="983"/>
      <c r="DV2378" s="889"/>
    </row>
    <row r="2379" spans="1:126" s="74" customFormat="1">
      <c r="A2379" s="15"/>
      <c r="B2379" s="15"/>
      <c r="C2379" s="15"/>
      <c r="D2379" s="15"/>
      <c r="E2379" s="6"/>
      <c r="F2379" s="6"/>
      <c r="G2379" s="6"/>
      <c r="K2379" s="222"/>
      <c r="V2379" s="1430"/>
      <c r="AA2379" s="223"/>
      <c r="AC2379" s="889"/>
      <c r="AF2379" s="890"/>
      <c r="AJ2379" s="889"/>
      <c r="AN2379" s="222"/>
      <c r="BC2379" s="223"/>
      <c r="BD2379" s="222"/>
      <c r="BH2379" s="611"/>
      <c r="BJ2379" s="15"/>
      <c r="BK2379" s="15"/>
      <c r="BO2379" s="223"/>
      <c r="BQ2379" s="889"/>
      <c r="BT2379" s="890"/>
      <c r="BX2379" s="889"/>
      <c r="CB2379" s="15"/>
      <c r="CC2379" s="697"/>
      <c r="CD2379" s="1086"/>
      <c r="CE2379" s="15"/>
      <c r="CF2379" s="15"/>
      <c r="CG2379" s="936"/>
      <c r="CH2379" s="15"/>
      <c r="CI2379" s="15"/>
      <c r="CJ2379" s="15"/>
      <c r="CK2379" s="1107"/>
      <c r="CL2379" s="22"/>
      <c r="CM2379" s="22"/>
      <c r="CN2379" s="1107"/>
      <c r="CR2379" s="223"/>
      <c r="CS2379" s="952"/>
      <c r="CT2379" s="1066"/>
      <c r="CU2379" s="972"/>
      <c r="CV2379" s="983"/>
      <c r="CW2379" s="222"/>
      <c r="CX2379" s="697"/>
      <c r="DC2379" s="222"/>
      <c r="DJ2379" s="889"/>
      <c r="DM2379" s="890"/>
      <c r="DN2379" s="952"/>
      <c r="DO2379" s="75"/>
      <c r="DP2379" s="962"/>
      <c r="DQ2379" s="983"/>
      <c r="DV2379" s="889"/>
    </row>
    <row r="2380" spans="1:126" s="74" customFormat="1">
      <c r="A2380" s="15"/>
      <c r="B2380" s="15"/>
      <c r="C2380" s="15"/>
      <c r="D2380" s="15"/>
      <c r="E2380" s="6"/>
      <c r="F2380" s="6"/>
      <c r="G2380" s="6"/>
      <c r="K2380" s="222"/>
      <c r="V2380" s="1430"/>
      <c r="AA2380" s="223"/>
      <c r="AC2380" s="889"/>
      <c r="AF2380" s="890"/>
      <c r="AJ2380" s="889"/>
      <c r="AN2380" s="222"/>
      <c r="BC2380" s="223"/>
      <c r="BD2380" s="222"/>
      <c r="BH2380" s="611"/>
      <c r="BJ2380" s="15"/>
      <c r="BK2380" s="15"/>
      <c r="BO2380" s="223"/>
      <c r="BQ2380" s="889"/>
      <c r="BT2380" s="890"/>
      <c r="BX2380" s="889"/>
      <c r="CB2380" s="15"/>
      <c r="CC2380" s="697"/>
      <c r="CD2380" s="1086"/>
      <c r="CE2380" s="15"/>
      <c r="CF2380" s="15"/>
      <c r="CG2380" s="936"/>
      <c r="CH2380" s="15"/>
      <c r="CI2380" s="15"/>
      <c r="CJ2380" s="15"/>
      <c r="CK2380" s="1107"/>
      <c r="CL2380" s="22"/>
      <c r="CM2380" s="22"/>
      <c r="CN2380" s="1107"/>
      <c r="CR2380" s="223"/>
      <c r="CS2380" s="952"/>
      <c r="CT2380" s="1066"/>
      <c r="CU2380" s="972"/>
      <c r="CV2380" s="983"/>
      <c r="CW2380" s="222"/>
      <c r="CX2380" s="697"/>
      <c r="DC2380" s="222"/>
      <c r="DJ2380" s="889"/>
      <c r="DM2380" s="890"/>
      <c r="DN2380" s="952"/>
      <c r="DO2380" s="75"/>
      <c r="DP2380" s="962"/>
      <c r="DQ2380" s="983"/>
      <c r="DV2380" s="889"/>
    </row>
    <row r="2381" spans="1:126" s="74" customFormat="1">
      <c r="A2381" s="15"/>
      <c r="B2381" s="15"/>
      <c r="C2381" s="15"/>
      <c r="D2381" s="15"/>
      <c r="E2381" s="6"/>
      <c r="F2381" s="6"/>
      <c r="G2381" s="6"/>
      <c r="K2381" s="222"/>
      <c r="V2381" s="1430"/>
      <c r="AA2381" s="223"/>
      <c r="AC2381" s="889"/>
      <c r="AF2381" s="890"/>
      <c r="AJ2381" s="889"/>
      <c r="AN2381" s="222"/>
      <c r="BC2381" s="223"/>
      <c r="BD2381" s="222"/>
      <c r="BH2381" s="611"/>
      <c r="BJ2381" s="15"/>
      <c r="BK2381" s="15"/>
      <c r="BO2381" s="223"/>
      <c r="BQ2381" s="889"/>
      <c r="BT2381" s="890"/>
      <c r="BX2381" s="889"/>
      <c r="CB2381" s="15"/>
      <c r="CC2381" s="697"/>
      <c r="CD2381" s="1086"/>
      <c r="CE2381" s="15"/>
      <c r="CF2381" s="15"/>
      <c r="CG2381" s="936"/>
      <c r="CH2381" s="15"/>
      <c r="CI2381" s="15"/>
      <c r="CJ2381" s="15"/>
      <c r="CK2381" s="1107"/>
      <c r="CL2381" s="22"/>
      <c r="CM2381" s="22"/>
      <c r="CN2381" s="1107"/>
      <c r="CR2381" s="223"/>
      <c r="CS2381" s="952"/>
      <c r="CT2381" s="1066"/>
      <c r="CU2381" s="972"/>
      <c r="CV2381" s="983"/>
      <c r="CW2381" s="222"/>
      <c r="CX2381" s="697"/>
      <c r="DC2381" s="222"/>
      <c r="DJ2381" s="889"/>
      <c r="DM2381" s="890"/>
      <c r="DN2381" s="952"/>
      <c r="DO2381" s="75"/>
      <c r="DP2381" s="962"/>
      <c r="DQ2381" s="983"/>
      <c r="DV2381" s="889"/>
    </row>
    <row r="2382" spans="1:126" s="74" customFormat="1">
      <c r="A2382" s="15"/>
      <c r="B2382" s="15"/>
      <c r="C2382" s="15"/>
      <c r="D2382" s="15"/>
      <c r="E2382" s="6"/>
      <c r="F2382" s="6"/>
      <c r="G2382" s="6"/>
      <c r="K2382" s="222"/>
      <c r="V2382" s="1430"/>
      <c r="AA2382" s="223"/>
      <c r="AC2382" s="889"/>
      <c r="AF2382" s="890"/>
      <c r="AJ2382" s="889"/>
      <c r="AN2382" s="222"/>
      <c r="BC2382" s="223"/>
      <c r="BD2382" s="222"/>
      <c r="BH2382" s="611"/>
      <c r="BJ2382" s="15"/>
      <c r="BK2382" s="15"/>
      <c r="BO2382" s="223"/>
      <c r="BQ2382" s="889"/>
      <c r="BT2382" s="890"/>
      <c r="BX2382" s="889"/>
      <c r="CB2382" s="15"/>
      <c r="CC2382" s="697"/>
      <c r="CD2382" s="1086"/>
      <c r="CE2382" s="15"/>
      <c r="CF2382" s="15"/>
      <c r="CG2382" s="936"/>
      <c r="CH2382" s="15"/>
      <c r="CI2382" s="15"/>
      <c r="CJ2382" s="15"/>
      <c r="CK2382" s="1107"/>
      <c r="CL2382" s="22"/>
      <c r="CM2382" s="22"/>
      <c r="CN2382" s="1107"/>
      <c r="CR2382" s="223"/>
      <c r="CS2382" s="952"/>
      <c r="CT2382" s="1066"/>
      <c r="CU2382" s="972"/>
      <c r="CV2382" s="983"/>
      <c r="CW2382" s="222"/>
      <c r="CX2382" s="697"/>
      <c r="DC2382" s="222"/>
      <c r="DJ2382" s="889"/>
      <c r="DM2382" s="890"/>
      <c r="DN2382" s="952"/>
      <c r="DO2382" s="75"/>
      <c r="DP2382" s="962"/>
      <c r="DQ2382" s="983"/>
      <c r="DV2382" s="889"/>
    </row>
    <row r="2383" spans="1:126" s="74" customFormat="1">
      <c r="A2383" s="15"/>
      <c r="B2383" s="15"/>
      <c r="C2383" s="15"/>
      <c r="D2383" s="15"/>
      <c r="E2383" s="6"/>
      <c r="F2383" s="6"/>
      <c r="G2383" s="6"/>
      <c r="K2383" s="222"/>
      <c r="V2383" s="1430"/>
      <c r="AA2383" s="223"/>
      <c r="AC2383" s="889"/>
      <c r="AF2383" s="890"/>
      <c r="AJ2383" s="889"/>
      <c r="AN2383" s="222"/>
      <c r="BC2383" s="223"/>
      <c r="BD2383" s="222"/>
      <c r="BH2383" s="611"/>
      <c r="BJ2383" s="15"/>
      <c r="BK2383" s="15"/>
      <c r="BO2383" s="223"/>
      <c r="BQ2383" s="889"/>
      <c r="BT2383" s="890"/>
      <c r="BX2383" s="889"/>
      <c r="CB2383" s="15"/>
      <c r="CC2383" s="697"/>
      <c r="CD2383" s="1086"/>
      <c r="CE2383" s="15"/>
      <c r="CF2383" s="15"/>
      <c r="CG2383" s="936"/>
      <c r="CH2383" s="15"/>
      <c r="CI2383" s="15"/>
      <c r="CJ2383" s="15"/>
      <c r="CK2383" s="1107"/>
      <c r="CL2383" s="22"/>
      <c r="CM2383" s="22"/>
      <c r="CN2383" s="1107"/>
      <c r="CR2383" s="223"/>
      <c r="CS2383" s="952"/>
      <c r="CT2383" s="1066"/>
      <c r="CU2383" s="972"/>
      <c r="CV2383" s="983"/>
      <c r="CW2383" s="222"/>
      <c r="CX2383" s="697"/>
      <c r="DC2383" s="222"/>
      <c r="DJ2383" s="889"/>
      <c r="DM2383" s="890"/>
      <c r="DN2383" s="952"/>
      <c r="DO2383" s="75"/>
      <c r="DP2383" s="962"/>
      <c r="DQ2383" s="983"/>
      <c r="DV2383" s="889"/>
    </row>
    <row r="2384" spans="1:126" s="74" customFormat="1">
      <c r="A2384" s="15"/>
      <c r="B2384" s="15"/>
      <c r="C2384" s="15"/>
      <c r="D2384" s="15"/>
      <c r="E2384" s="6"/>
      <c r="F2384" s="6"/>
      <c r="G2384" s="6"/>
      <c r="K2384" s="222"/>
      <c r="V2384" s="1430"/>
      <c r="AA2384" s="223"/>
      <c r="AC2384" s="889"/>
      <c r="AF2384" s="890"/>
      <c r="AJ2384" s="889"/>
      <c r="AN2384" s="222"/>
      <c r="BC2384" s="223"/>
      <c r="BD2384" s="222"/>
      <c r="BH2384" s="611"/>
      <c r="BJ2384" s="15"/>
      <c r="BK2384" s="15"/>
      <c r="BO2384" s="223"/>
      <c r="BQ2384" s="889"/>
      <c r="BT2384" s="890"/>
      <c r="BX2384" s="889"/>
      <c r="CB2384" s="15"/>
      <c r="CC2384" s="697"/>
      <c r="CD2384" s="1086"/>
      <c r="CE2384" s="15"/>
      <c r="CF2384" s="15"/>
      <c r="CG2384" s="936"/>
      <c r="CH2384" s="15"/>
      <c r="CI2384" s="15"/>
      <c r="CJ2384" s="15"/>
      <c r="CK2384" s="1107"/>
      <c r="CL2384" s="22"/>
      <c r="CM2384" s="22"/>
      <c r="CN2384" s="1107"/>
      <c r="CR2384" s="223"/>
      <c r="CS2384" s="952"/>
      <c r="CT2384" s="1066"/>
      <c r="CU2384" s="972"/>
      <c r="CV2384" s="983"/>
      <c r="CW2384" s="222"/>
      <c r="CX2384" s="697"/>
      <c r="DC2384" s="222"/>
      <c r="DJ2384" s="889"/>
      <c r="DM2384" s="890"/>
      <c r="DN2384" s="952"/>
      <c r="DO2384" s="75"/>
      <c r="DP2384" s="962"/>
      <c r="DQ2384" s="983"/>
      <c r="DV2384" s="889"/>
    </row>
    <row r="2385" spans="1:126" s="74" customFormat="1">
      <c r="A2385" s="15"/>
      <c r="B2385" s="15"/>
      <c r="C2385" s="15"/>
      <c r="D2385" s="15"/>
      <c r="E2385" s="6"/>
      <c r="F2385" s="6"/>
      <c r="G2385" s="6"/>
      <c r="K2385" s="222"/>
      <c r="V2385" s="1430"/>
      <c r="AA2385" s="223"/>
      <c r="AC2385" s="889"/>
      <c r="AF2385" s="890"/>
      <c r="AJ2385" s="889"/>
      <c r="AN2385" s="222"/>
      <c r="BC2385" s="223"/>
      <c r="BD2385" s="222"/>
      <c r="BH2385" s="611"/>
      <c r="BJ2385" s="15"/>
      <c r="BK2385" s="15"/>
      <c r="BO2385" s="223"/>
      <c r="BQ2385" s="889"/>
      <c r="BT2385" s="890"/>
      <c r="BX2385" s="889"/>
      <c r="CB2385" s="15"/>
      <c r="CC2385" s="697"/>
      <c r="CD2385" s="1086"/>
      <c r="CE2385" s="15"/>
      <c r="CF2385" s="15"/>
      <c r="CG2385" s="936"/>
      <c r="CH2385" s="15"/>
      <c r="CI2385" s="15"/>
      <c r="CJ2385" s="15"/>
      <c r="CK2385" s="1107"/>
      <c r="CL2385" s="22"/>
      <c r="CM2385" s="22"/>
      <c r="CN2385" s="1107"/>
      <c r="CR2385" s="223"/>
      <c r="CS2385" s="952"/>
      <c r="CT2385" s="1066"/>
      <c r="CU2385" s="972"/>
      <c r="CV2385" s="983"/>
      <c r="CW2385" s="222"/>
      <c r="CX2385" s="697"/>
      <c r="DC2385" s="222"/>
      <c r="DJ2385" s="889"/>
      <c r="DM2385" s="890"/>
      <c r="DN2385" s="952"/>
      <c r="DO2385" s="75"/>
      <c r="DP2385" s="962"/>
      <c r="DQ2385" s="983"/>
      <c r="DV2385" s="889"/>
    </row>
    <row r="2386" spans="1:126" s="74" customFormat="1">
      <c r="A2386" s="15"/>
      <c r="B2386" s="15"/>
      <c r="C2386" s="15"/>
      <c r="D2386" s="15"/>
      <c r="E2386" s="6"/>
      <c r="F2386" s="6"/>
      <c r="G2386" s="6"/>
      <c r="K2386" s="222"/>
      <c r="V2386" s="1430"/>
      <c r="AA2386" s="223"/>
      <c r="AC2386" s="889"/>
      <c r="AF2386" s="890"/>
      <c r="AJ2386" s="889"/>
      <c r="AN2386" s="222"/>
      <c r="BC2386" s="223"/>
      <c r="BD2386" s="222"/>
      <c r="BH2386" s="611"/>
      <c r="BJ2386" s="15"/>
      <c r="BK2386" s="15"/>
      <c r="BO2386" s="223"/>
      <c r="BQ2386" s="889"/>
      <c r="BT2386" s="890"/>
      <c r="BX2386" s="889"/>
      <c r="CB2386" s="15"/>
      <c r="CC2386" s="697"/>
      <c r="CD2386" s="1086"/>
      <c r="CE2386" s="15"/>
      <c r="CF2386" s="15"/>
      <c r="CG2386" s="936"/>
      <c r="CH2386" s="15"/>
      <c r="CI2386" s="15"/>
      <c r="CJ2386" s="15"/>
      <c r="CK2386" s="1107"/>
      <c r="CL2386" s="22"/>
      <c r="CM2386" s="22"/>
      <c r="CN2386" s="1107"/>
      <c r="CR2386" s="223"/>
      <c r="CS2386" s="952"/>
      <c r="CT2386" s="1066"/>
      <c r="CU2386" s="972"/>
      <c r="CV2386" s="983"/>
      <c r="CW2386" s="222"/>
      <c r="CX2386" s="697"/>
      <c r="DC2386" s="222"/>
      <c r="DJ2386" s="889"/>
      <c r="DM2386" s="890"/>
      <c r="DN2386" s="952"/>
      <c r="DO2386" s="75"/>
      <c r="DP2386" s="962"/>
      <c r="DQ2386" s="983"/>
      <c r="DV2386" s="889"/>
    </row>
    <row r="2387" spans="1:126" s="74" customFormat="1">
      <c r="A2387" s="15"/>
      <c r="B2387" s="15"/>
      <c r="C2387" s="15"/>
      <c r="D2387" s="15"/>
      <c r="E2387" s="6"/>
      <c r="F2387" s="6"/>
      <c r="G2387" s="6"/>
      <c r="K2387" s="222"/>
      <c r="V2387" s="1430"/>
      <c r="AA2387" s="223"/>
      <c r="AC2387" s="889"/>
      <c r="AF2387" s="890"/>
      <c r="AJ2387" s="889"/>
      <c r="AN2387" s="222"/>
      <c r="BC2387" s="223"/>
      <c r="BD2387" s="222"/>
      <c r="BH2387" s="611"/>
      <c r="BJ2387" s="15"/>
      <c r="BK2387" s="15"/>
      <c r="BO2387" s="223"/>
      <c r="BQ2387" s="889"/>
      <c r="BT2387" s="890"/>
      <c r="BX2387" s="889"/>
      <c r="CB2387" s="15"/>
      <c r="CC2387" s="697"/>
      <c r="CD2387" s="1086"/>
      <c r="CE2387" s="15"/>
      <c r="CF2387" s="15"/>
      <c r="CG2387" s="936"/>
      <c r="CH2387" s="15"/>
      <c r="CI2387" s="15"/>
      <c r="CJ2387" s="15"/>
      <c r="CK2387" s="1107"/>
      <c r="CL2387" s="22"/>
      <c r="CM2387" s="22"/>
      <c r="CN2387" s="1107"/>
      <c r="CR2387" s="223"/>
      <c r="CS2387" s="952"/>
      <c r="CT2387" s="1066"/>
      <c r="CU2387" s="972"/>
      <c r="CV2387" s="983"/>
      <c r="CW2387" s="222"/>
      <c r="CX2387" s="697"/>
      <c r="DC2387" s="222"/>
      <c r="DJ2387" s="889"/>
      <c r="DM2387" s="890"/>
      <c r="DN2387" s="952"/>
      <c r="DO2387" s="75"/>
      <c r="DP2387" s="962"/>
      <c r="DQ2387" s="983"/>
      <c r="DV2387" s="889"/>
    </row>
    <row r="2388" spans="1:126" s="74" customFormat="1">
      <c r="A2388" s="15"/>
      <c r="B2388" s="15"/>
      <c r="C2388" s="15"/>
      <c r="D2388" s="15"/>
      <c r="E2388" s="6"/>
      <c r="F2388" s="6"/>
      <c r="G2388" s="6"/>
      <c r="K2388" s="222"/>
      <c r="V2388" s="1430"/>
      <c r="AA2388" s="223"/>
      <c r="AC2388" s="889"/>
      <c r="AF2388" s="890"/>
      <c r="AJ2388" s="889"/>
      <c r="AN2388" s="222"/>
      <c r="BC2388" s="223"/>
      <c r="BD2388" s="222"/>
      <c r="BH2388" s="611"/>
      <c r="BJ2388" s="15"/>
      <c r="BK2388" s="15"/>
      <c r="BO2388" s="223"/>
      <c r="BQ2388" s="889"/>
      <c r="BT2388" s="890"/>
      <c r="BX2388" s="889"/>
      <c r="CB2388" s="15"/>
      <c r="CC2388" s="697"/>
      <c r="CD2388" s="1086"/>
      <c r="CE2388" s="15"/>
      <c r="CF2388" s="15"/>
      <c r="CG2388" s="936"/>
      <c r="CH2388" s="15"/>
      <c r="CI2388" s="15"/>
      <c r="CJ2388" s="15"/>
      <c r="CK2388" s="1107"/>
      <c r="CL2388" s="22"/>
      <c r="CM2388" s="22"/>
      <c r="CN2388" s="1107"/>
      <c r="CR2388" s="223"/>
      <c r="CS2388" s="952"/>
      <c r="CT2388" s="1066"/>
      <c r="CU2388" s="972"/>
      <c r="CV2388" s="983"/>
      <c r="CW2388" s="222"/>
      <c r="CX2388" s="697"/>
      <c r="DC2388" s="222"/>
      <c r="DJ2388" s="889"/>
      <c r="DM2388" s="890"/>
      <c r="DN2388" s="952"/>
      <c r="DO2388" s="75"/>
      <c r="DP2388" s="962"/>
      <c r="DQ2388" s="983"/>
      <c r="DV2388" s="889"/>
    </row>
    <row r="2389" spans="1:126" s="74" customFormat="1">
      <c r="A2389" s="15"/>
      <c r="B2389" s="15"/>
      <c r="C2389" s="15"/>
      <c r="D2389" s="15"/>
      <c r="E2389" s="6"/>
      <c r="F2389" s="6"/>
      <c r="G2389" s="6"/>
      <c r="K2389" s="222"/>
      <c r="V2389" s="1430"/>
      <c r="AA2389" s="223"/>
      <c r="AC2389" s="889"/>
      <c r="AF2389" s="890"/>
      <c r="AJ2389" s="889"/>
      <c r="AN2389" s="222"/>
      <c r="BC2389" s="223"/>
      <c r="BD2389" s="222"/>
      <c r="BH2389" s="611"/>
      <c r="BJ2389" s="15"/>
      <c r="BK2389" s="15"/>
      <c r="BO2389" s="223"/>
      <c r="BQ2389" s="889"/>
      <c r="BT2389" s="890"/>
      <c r="BX2389" s="889"/>
      <c r="CB2389" s="15"/>
      <c r="CC2389" s="697"/>
      <c r="CD2389" s="1086"/>
      <c r="CE2389" s="15"/>
      <c r="CF2389" s="15"/>
      <c r="CG2389" s="936"/>
      <c r="CH2389" s="15"/>
      <c r="CI2389" s="15"/>
      <c r="CJ2389" s="15"/>
      <c r="CK2389" s="1107"/>
      <c r="CL2389" s="22"/>
      <c r="CM2389" s="22"/>
      <c r="CN2389" s="1107"/>
      <c r="CR2389" s="223"/>
      <c r="CS2389" s="952"/>
      <c r="CT2389" s="1066"/>
      <c r="CU2389" s="972"/>
      <c r="CV2389" s="983"/>
      <c r="CW2389" s="222"/>
      <c r="CX2389" s="697"/>
      <c r="DC2389" s="222"/>
      <c r="DJ2389" s="889"/>
      <c r="DM2389" s="890"/>
      <c r="DN2389" s="952"/>
      <c r="DO2389" s="75"/>
      <c r="DP2389" s="962"/>
      <c r="DQ2389" s="983"/>
      <c r="DV2389" s="889"/>
    </row>
    <row r="2390" spans="1:126" s="74" customFormat="1">
      <c r="A2390" s="15"/>
      <c r="B2390" s="15"/>
      <c r="C2390" s="15"/>
      <c r="D2390" s="15"/>
      <c r="E2390" s="6"/>
      <c r="F2390" s="6"/>
      <c r="G2390" s="6"/>
      <c r="K2390" s="222"/>
      <c r="V2390" s="1430"/>
      <c r="AA2390" s="223"/>
      <c r="AC2390" s="889"/>
      <c r="AF2390" s="890"/>
      <c r="AJ2390" s="889"/>
      <c r="AN2390" s="222"/>
      <c r="BC2390" s="223"/>
      <c r="BD2390" s="222"/>
      <c r="BH2390" s="611"/>
      <c r="BJ2390" s="15"/>
      <c r="BK2390" s="15"/>
      <c r="BO2390" s="223"/>
      <c r="BQ2390" s="889"/>
      <c r="BT2390" s="890"/>
      <c r="BX2390" s="889"/>
      <c r="CB2390" s="15"/>
      <c r="CC2390" s="697"/>
      <c r="CD2390" s="1086"/>
      <c r="CE2390" s="15"/>
      <c r="CF2390" s="15"/>
      <c r="CG2390" s="936"/>
      <c r="CH2390" s="15"/>
      <c r="CI2390" s="15"/>
      <c r="CJ2390" s="15"/>
      <c r="CK2390" s="1107"/>
      <c r="CL2390" s="22"/>
      <c r="CM2390" s="22"/>
      <c r="CN2390" s="1107"/>
      <c r="CR2390" s="223"/>
      <c r="CS2390" s="952"/>
      <c r="CT2390" s="1066"/>
      <c r="CU2390" s="972"/>
      <c r="CV2390" s="983"/>
      <c r="CW2390" s="222"/>
      <c r="CX2390" s="697"/>
      <c r="DC2390" s="222"/>
      <c r="DJ2390" s="889"/>
      <c r="DM2390" s="890"/>
      <c r="DN2390" s="952"/>
      <c r="DO2390" s="75"/>
      <c r="DP2390" s="962"/>
      <c r="DQ2390" s="983"/>
      <c r="DV2390" s="889"/>
    </row>
    <row r="2391" spans="1:126" s="74" customFormat="1">
      <c r="A2391" s="15"/>
      <c r="B2391" s="15"/>
      <c r="C2391" s="15"/>
      <c r="D2391" s="15"/>
      <c r="E2391" s="6"/>
      <c r="F2391" s="6"/>
      <c r="G2391" s="6"/>
      <c r="K2391" s="222"/>
      <c r="V2391" s="1430"/>
      <c r="AA2391" s="223"/>
      <c r="AC2391" s="889"/>
      <c r="AF2391" s="890"/>
      <c r="AJ2391" s="889"/>
      <c r="AN2391" s="222"/>
      <c r="BC2391" s="223"/>
      <c r="BD2391" s="222"/>
      <c r="BH2391" s="611"/>
      <c r="BJ2391" s="15"/>
      <c r="BK2391" s="15"/>
      <c r="BO2391" s="223"/>
      <c r="BQ2391" s="889"/>
      <c r="BT2391" s="890"/>
      <c r="BX2391" s="889"/>
      <c r="CB2391" s="15"/>
      <c r="CC2391" s="697"/>
      <c r="CD2391" s="1086"/>
      <c r="CE2391" s="15"/>
      <c r="CF2391" s="15"/>
      <c r="CG2391" s="936"/>
      <c r="CH2391" s="15"/>
      <c r="CI2391" s="15"/>
      <c r="CJ2391" s="15"/>
      <c r="CK2391" s="1107"/>
      <c r="CL2391" s="22"/>
      <c r="CM2391" s="22"/>
      <c r="CN2391" s="1107"/>
      <c r="CR2391" s="223"/>
      <c r="CS2391" s="952"/>
      <c r="CT2391" s="1066"/>
      <c r="CU2391" s="972"/>
      <c r="CV2391" s="983"/>
      <c r="CW2391" s="222"/>
      <c r="CX2391" s="697"/>
      <c r="DC2391" s="222"/>
      <c r="DJ2391" s="889"/>
      <c r="DM2391" s="890"/>
      <c r="DN2391" s="952"/>
      <c r="DO2391" s="75"/>
      <c r="DP2391" s="962"/>
      <c r="DQ2391" s="983"/>
      <c r="DV2391" s="889"/>
    </row>
    <row r="2392" spans="1:126" s="74" customFormat="1">
      <c r="A2392" s="15"/>
      <c r="B2392" s="15"/>
      <c r="C2392" s="15"/>
      <c r="D2392" s="15"/>
      <c r="E2392" s="6"/>
      <c r="F2392" s="6"/>
      <c r="G2392" s="6"/>
      <c r="K2392" s="222"/>
      <c r="V2392" s="1430"/>
      <c r="AA2392" s="223"/>
      <c r="AC2392" s="889"/>
      <c r="AF2392" s="890"/>
      <c r="AJ2392" s="889"/>
      <c r="AN2392" s="222"/>
      <c r="BC2392" s="223"/>
      <c r="BD2392" s="222"/>
      <c r="BH2392" s="611"/>
      <c r="BJ2392" s="15"/>
      <c r="BK2392" s="15"/>
      <c r="BO2392" s="223"/>
      <c r="BQ2392" s="889"/>
      <c r="BT2392" s="890"/>
      <c r="BX2392" s="889"/>
      <c r="CB2392" s="15"/>
      <c r="CC2392" s="697"/>
      <c r="CD2392" s="1086"/>
      <c r="CE2392" s="15"/>
      <c r="CF2392" s="15"/>
      <c r="CG2392" s="936"/>
      <c r="CH2392" s="15"/>
      <c r="CI2392" s="15"/>
      <c r="CJ2392" s="15"/>
      <c r="CK2392" s="1107"/>
      <c r="CL2392" s="22"/>
      <c r="CM2392" s="22"/>
      <c r="CN2392" s="1107"/>
      <c r="CR2392" s="223"/>
      <c r="CS2392" s="952"/>
      <c r="CT2392" s="1066"/>
      <c r="CU2392" s="972"/>
      <c r="CV2392" s="983"/>
      <c r="CW2392" s="222"/>
      <c r="CX2392" s="697"/>
      <c r="DC2392" s="222"/>
      <c r="DJ2392" s="889"/>
      <c r="DM2392" s="890"/>
      <c r="DN2392" s="952"/>
      <c r="DO2392" s="75"/>
      <c r="DP2392" s="962"/>
      <c r="DQ2392" s="983"/>
      <c r="DV2392" s="889"/>
    </row>
    <row r="2393" spans="1:126" s="74" customFormat="1">
      <c r="A2393" s="15"/>
      <c r="B2393" s="15"/>
      <c r="C2393" s="15"/>
      <c r="D2393" s="15"/>
      <c r="E2393" s="6"/>
      <c r="F2393" s="6"/>
      <c r="G2393" s="6"/>
      <c r="K2393" s="222"/>
      <c r="V2393" s="1430"/>
      <c r="AA2393" s="223"/>
      <c r="AC2393" s="889"/>
      <c r="AF2393" s="890"/>
      <c r="AJ2393" s="889"/>
      <c r="AN2393" s="222"/>
      <c r="BC2393" s="223"/>
      <c r="BD2393" s="222"/>
      <c r="BH2393" s="611"/>
      <c r="BJ2393" s="15"/>
      <c r="BK2393" s="15"/>
      <c r="BO2393" s="223"/>
      <c r="BQ2393" s="889"/>
      <c r="BT2393" s="890"/>
      <c r="BX2393" s="889"/>
      <c r="CB2393" s="15"/>
      <c r="CC2393" s="697"/>
      <c r="CD2393" s="1086"/>
      <c r="CE2393" s="15"/>
      <c r="CF2393" s="15"/>
      <c r="CG2393" s="936"/>
      <c r="CH2393" s="15"/>
      <c r="CI2393" s="15"/>
      <c r="CJ2393" s="15"/>
      <c r="CK2393" s="1107"/>
      <c r="CL2393" s="22"/>
      <c r="CM2393" s="22"/>
      <c r="CN2393" s="1107"/>
      <c r="CR2393" s="223"/>
      <c r="CS2393" s="952"/>
      <c r="CT2393" s="1066"/>
      <c r="CU2393" s="972"/>
      <c r="CV2393" s="983"/>
      <c r="CW2393" s="222"/>
      <c r="CX2393" s="697"/>
      <c r="DC2393" s="222"/>
      <c r="DJ2393" s="889"/>
      <c r="DM2393" s="890"/>
      <c r="DN2393" s="952"/>
      <c r="DO2393" s="75"/>
      <c r="DP2393" s="962"/>
      <c r="DQ2393" s="983"/>
      <c r="DV2393" s="889"/>
    </row>
    <row r="2394" spans="1:126" s="74" customFormat="1">
      <c r="A2394" s="15"/>
      <c r="B2394" s="15"/>
      <c r="C2394" s="15"/>
      <c r="D2394" s="15"/>
      <c r="E2394" s="6"/>
      <c r="F2394" s="6"/>
      <c r="G2394" s="6"/>
      <c r="K2394" s="222"/>
      <c r="V2394" s="1430"/>
      <c r="AA2394" s="223"/>
      <c r="AC2394" s="889"/>
      <c r="AF2394" s="890"/>
      <c r="AJ2394" s="889"/>
      <c r="AN2394" s="222"/>
      <c r="BC2394" s="223"/>
      <c r="BD2394" s="222"/>
      <c r="BH2394" s="611"/>
      <c r="BJ2394" s="15"/>
      <c r="BK2394" s="15"/>
      <c r="BO2394" s="223"/>
      <c r="BQ2394" s="889"/>
      <c r="BT2394" s="890"/>
      <c r="BX2394" s="889"/>
      <c r="CB2394" s="15"/>
      <c r="CC2394" s="697"/>
      <c r="CD2394" s="1086"/>
      <c r="CE2394" s="15"/>
      <c r="CF2394" s="15"/>
      <c r="CG2394" s="936"/>
      <c r="CH2394" s="15"/>
      <c r="CI2394" s="15"/>
      <c r="CJ2394" s="15"/>
      <c r="CK2394" s="1107"/>
      <c r="CL2394" s="22"/>
      <c r="CM2394" s="22"/>
      <c r="CN2394" s="1107"/>
      <c r="CR2394" s="223"/>
      <c r="CS2394" s="952"/>
      <c r="CT2394" s="1066"/>
      <c r="CU2394" s="972"/>
      <c r="CV2394" s="983"/>
      <c r="CW2394" s="222"/>
      <c r="CX2394" s="697"/>
      <c r="DC2394" s="222"/>
      <c r="DJ2394" s="889"/>
      <c r="DM2394" s="890"/>
      <c r="DN2394" s="952"/>
      <c r="DO2394" s="75"/>
      <c r="DP2394" s="962"/>
      <c r="DQ2394" s="983"/>
      <c r="DV2394" s="889"/>
    </row>
    <row r="2395" spans="1:126" s="74" customFormat="1">
      <c r="A2395" s="15"/>
      <c r="B2395" s="15"/>
      <c r="C2395" s="15"/>
      <c r="D2395" s="15"/>
      <c r="E2395" s="6"/>
      <c r="F2395" s="6"/>
      <c r="G2395" s="6"/>
      <c r="K2395" s="222"/>
      <c r="V2395" s="1430"/>
      <c r="AA2395" s="223"/>
      <c r="AC2395" s="889"/>
      <c r="AF2395" s="890"/>
      <c r="AJ2395" s="889"/>
      <c r="AN2395" s="222"/>
      <c r="BC2395" s="223"/>
      <c r="BD2395" s="222"/>
      <c r="BH2395" s="611"/>
      <c r="BJ2395" s="15"/>
      <c r="BK2395" s="15"/>
      <c r="BO2395" s="223"/>
      <c r="BQ2395" s="889"/>
      <c r="BT2395" s="890"/>
      <c r="BX2395" s="889"/>
      <c r="CB2395" s="15"/>
      <c r="CC2395" s="697"/>
      <c r="CD2395" s="1086"/>
      <c r="CE2395" s="15"/>
      <c r="CF2395" s="15"/>
      <c r="CG2395" s="936"/>
      <c r="CH2395" s="15"/>
      <c r="CI2395" s="15"/>
      <c r="CJ2395" s="15"/>
      <c r="CK2395" s="1107"/>
      <c r="CL2395" s="22"/>
      <c r="CM2395" s="22"/>
      <c r="CN2395" s="1107"/>
      <c r="CR2395" s="223"/>
      <c r="CS2395" s="952"/>
      <c r="CT2395" s="1066"/>
      <c r="CU2395" s="972"/>
      <c r="CV2395" s="983"/>
      <c r="CW2395" s="222"/>
      <c r="CX2395" s="697"/>
      <c r="DC2395" s="222"/>
      <c r="DJ2395" s="889"/>
      <c r="DM2395" s="890"/>
      <c r="DN2395" s="952"/>
      <c r="DO2395" s="75"/>
      <c r="DP2395" s="962"/>
      <c r="DQ2395" s="983"/>
      <c r="DV2395" s="889"/>
    </row>
    <row r="2396" spans="1:126" s="74" customFormat="1">
      <c r="A2396" s="15"/>
      <c r="B2396" s="15"/>
      <c r="C2396" s="15"/>
      <c r="D2396" s="15"/>
      <c r="E2396" s="6"/>
      <c r="F2396" s="6"/>
      <c r="G2396" s="6"/>
      <c r="K2396" s="222"/>
      <c r="V2396" s="1430"/>
      <c r="AA2396" s="223"/>
      <c r="AC2396" s="889"/>
      <c r="AF2396" s="890"/>
      <c r="AJ2396" s="889"/>
      <c r="AN2396" s="222"/>
      <c r="BC2396" s="223"/>
      <c r="BD2396" s="222"/>
      <c r="BH2396" s="611"/>
      <c r="BJ2396" s="15"/>
      <c r="BK2396" s="15"/>
      <c r="BO2396" s="223"/>
      <c r="BQ2396" s="889"/>
      <c r="BT2396" s="890"/>
      <c r="BX2396" s="889"/>
      <c r="CB2396" s="15"/>
      <c r="CC2396" s="697"/>
      <c r="CD2396" s="1086"/>
      <c r="CE2396" s="15"/>
      <c r="CF2396" s="15"/>
      <c r="CG2396" s="936"/>
      <c r="CH2396" s="15"/>
      <c r="CI2396" s="15"/>
      <c r="CJ2396" s="15"/>
      <c r="CK2396" s="1107"/>
      <c r="CL2396" s="22"/>
      <c r="CM2396" s="22"/>
      <c r="CN2396" s="1107"/>
      <c r="CR2396" s="223"/>
      <c r="CS2396" s="952"/>
      <c r="CT2396" s="1066"/>
      <c r="CU2396" s="972"/>
      <c r="CV2396" s="983"/>
      <c r="CW2396" s="222"/>
      <c r="CX2396" s="697"/>
      <c r="DC2396" s="222"/>
      <c r="DJ2396" s="889"/>
      <c r="DM2396" s="890"/>
      <c r="DN2396" s="952"/>
      <c r="DO2396" s="75"/>
      <c r="DP2396" s="962"/>
      <c r="DQ2396" s="983"/>
      <c r="DV2396" s="889"/>
    </row>
    <row r="2397" spans="1:126" s="74" customFormat="1">
      <c r="A2397" s="15"/>
      <c r="B2397" s="15"/>
      <c r="C2397" s="15"/>
      <c r="D2397" s="15"/>
      <c r="E2397" s="6"/>
      <c r="F2397" s="6"/>
      <c r="G2397" s="6"/>
      <c r="K2397" s="222"/>
      <c r="V2397" s="1430"/>
      <c r="AA2397" s="223"/>
      <c r="AC2397" s="889"/>
      <c r="AF2397" s="890"/>
      <c r="AJ2397" s="889"/>
      <c r="AN2397" s="222"/>
      <c r="BC2397" s="223"/>
      <c r="BD2397" s="222"/>
      <c r="BH2397" s="611"/>
      <c r="BJ2397" s="15"/>
      <c r="BK2397" s="15"/>
      <c r="BO2397" s="223"/>
      <c r="BQ2397" s="889"/>
      <c r="BT2397" s="890"/>
      <c r="BX2397" s="889"/>
      <c r="CB2397" s="15"/>
      <c r="CC2397" s="697"/>
      <c r="CD2397" s="1086"/>
      <c r="CE2397" s="15"/>
      <c r="CF2397" s="15"/>
      <c r="CG2397" s="936"/>
      <c r="CH2397" s="15"/>
      <c r="CI2397" s="15"/>
      <c r="CJ2397" s="15"/>
      <c r="CK2397" s="1107"/>
      <c r="CL2397" s="22"/>
      <c r="CM2397" s="22"/>
      <c r="CN2397" s="1107"/>
      <c r="CR2397" s="223"/>
      <c r="CS2397" s="952"/>
      <c r="CT2397" s="1066"/>
      <c r="CU2397" s="972"/>
      <c r="CV2397" s="983"/>
      <c r="CW2397" s="222"/>
      <c r="CX2397" s="697"/>
      <c r="DC2397" s="222"/>
      <c r="DJ2397" s="889"/>
      <c r="DM2397" s="890"/>
      <c r="DN2397" s="952"/>
      <c r="DO2397" s="75"/>
      <c r="DP2397" s="962"/>
      <c r="DQ2397" s="983"/>
      <c r="DV2397" s="889"/>
    </row>
    <row r="2398" spans="1:126" s="74" customFormat="1">
      <c r="A2398" s="15"/>
      <c r="B2398" s="15"/>
      <c r="C2398" s="15"/>
      <c r="D2398" s="15"/>
      <c r="E2398" s="6"/>
      <c r="F2398" s="6"/>
      <c r="G2398" s="6"/>
      <c r="K2398" s="222"/>
      <c r="V2398" s="1430"/>
      <c r="AA2398" s="223"/>
      <c r="AC2398" s="889"/>
      <c r="AF2398" s="890"/>
      <c r="AJ2398" s="889"/>
      <c r="AN2398" s="222"/>
      <c r="BC2398" s="223"/>
      <c r="BD2398" s="222"/>
      <c r="BH2398" s="611"/>
      <c r="BJ2398" s="15"/>
      <c r="BK2398" s="15"/>
      <c r="BO2398" s="223"/>
      <c r="BQ2398" s="889"/>
      <c r="BT2398" s="890"/>
      <c r="BX2398" s="889"/>
      <c r="CB2398" s="15"/>
      <c r="CC2398" s="697"/>
      <c r="CD2398" s="1086"/>
      <c r="CE2398" s="15"/>
      <c r="CF2398" s="15"/>
      <c r="CG2398" s="936"/>
      <c r="CH2398" s="15"/>
      <c r="CI2398" s="15"/>
      <c r="CJ2398" s="15"/>
      <c r="CK2398" s="1107"/>
      <c r="CL2398" s="22"/>
      <c r="CM2398" s="22"/>
      <c r="CN2398" s="1107"/>
      <c r="CR2398" s="223"/>
      <c r="CS2398" s="952"/>
      <c r="CT2398" s="1066"/>
      <c r="CU2398" s="972"/>
      <c r="CV2398" s="983"/>
      <c r="CW2398" s="222"/>
      <c r="CX2398" s="697"/>
      <c r="DC2398" s="222"/>
      <c r="DJ2398" s="889"/>
      <c r="DM2398" s="890"/>
      <c r="DN2398" s="952"/>
      <c r="DO2398" s="75"/>
      <c r="DP2398" s="962"/>
      <c r="DQ2398" s="983"/>
      <c r="DV2398" s="889"/>
    </row>
    <row r="2399" spans="1:126" s="74" customFormat="1">
      <c r="A2399" s="15"/>
      <c r="B2399" s="15"/>
      <c r="C2399" s="15"/>
      <c r="D2399" s="15"/>
      <c r="E2399" s="6"/>
      <c r="F2399" s="6"/>
      <c r="G2399" s="6"/>
      <c r="K2399" s="222"/>
      <c r="V2399" s="1430"/>
      <c r="AA2399" s="223"/>
      <c r="AC2399" s="889"/>
      <c r="AF2399" s="890"/>
      <c r="AJ2399" s="889"/>
      <c r="AN2399" s="222"/>
      <c r="BC2399" s="223"/>
      <c r="BD2399" s="222"/>
      <c r="BH2399" s="611"/>
      <c r="BJ2399" s="15"/>
      <c r="BK2399" s="15"/>
      <c r="BO2399" s="223"/>
      <c r="BQ2399" s="889"/>
      <c r="BT2399" s="890"/>
      <c r="BX2399" s="889"/>
      <c r="CB2399" s="15"/>
      <c r="CC2399" s="697"/>
      <c r="CD2399" s="1086"/>
      <c r="CE2399" s="15"/>
      <c r="CF2399" s="15"/>
      <c r="CG2399" s="936"/>
      <c r="CH2399" s="15"/>
      <c r="CI2399" s="15"/>
      <c r="CJ2399" s="15"/>
      <c r="CK2399" s="1107"/>
      <c r="CL2399" s="22"/>
      <c r="CM2399" s="22"/>
      <c r="CN2399" s="1107"/>
      <c r="CR2399" s="223"/>
      <c r="CS2399" s="952"/>
      <c r="CT2399" s="1066"/>
      <c r="CU2399" s="972"/>
      <c r="CV2399" s="983"/>
      <c r="CW2399" s="222"/>
      <c r="CX2399" s="697"/>
      <c r="DC2399" s="222"/>
      <c r="DJ2399" s="889"/>
      <c r="DM2399" s="890"/>
      <c r="DN2399" s="952"/>
      <c r="DO2399" s="75"/>
      <c r="DP2399" s="962"/>
      <c r="DQ2399" s="983"/>
      <c r="DV2399" s="889"/>
    </row>
    <row r="2400" spans="1:126" s="74" customFormat="1">
      <c r="A2400" s="15"/>
      <c r="B2400" s="15"/>
      <c r="C2400" s="15"/>
      <c r="D2400" s="15"/>
      <c r="E2400" s="6"/>
      <c r="F2400" s="6"/>
      <c r="G2400" s="6"/>
      <c r="K2400" s="222"/>
      <c r="V2400" s="1430"/>
      <c r="AA2400" s="223"/>
      <c r="AC2400" s="889"/>
      <c r="AF2400" s="890"/>
      <c r="AJ2400" s="889"/>
      <c r="AN2400" s="222"/>
      <c r="BC2400" s="223"/>
      <c r="BD2400" s="222"/>
      <c r="BH2400" s="611"/>
      <c r="BJ2400" s="15"/>
      <c r="BK2400" s="15"/>
      <c r="BO2400" s="223"/>
      <c r="BQ2400" s="889"/>
      <c r="BT2400" s="890"/>
      <c r="BX2400" s="889"/>
      <c r="CB2400" s="15"/>
      <c r="CC2400" s="697"/>
      <c r="CD2400" s="1086"/>
      <c r="CE2400" s="15"/>
      <c r="CF2400" s="15"/>
      <c r="CG2400" s="936"/>
      <c r="CH2400" s="15"/>
      <c r="CI2400" s="15"/>
      <c r="CJ2400" s="15"/>
      <c r="CK2400" s="1107"/>
      <c r="CL2400" s="22"/>
      <c r="CM2400" s="22"/>
      <c r="CN2400" s="1107"/>
      <c r="CR2400" s="223"/>
      <c r="CS2400" s="952"/>
      <c r="CT2400" s="1066"/>
      <c r="CU2400" s="972"/>
      <c r="CV2400" s="983"/>
      <c r="CW2400" s="222"/>
      <c r="CX2400" s="697"/>
      <c r="DC2400" s="222"/>
      <c r="DJ2400" s="889"/>
      <c r="DM2400" s="890"/>
      <c r="DN2400" s="952"/>
      <c r="DO2400" s="75"/>
      <c r="DP2400" s="962"/>
      <c r="DQ2400" s="983"/>
      <c r="DV2400" s="889"/>
    </row>
    <row r="2401" spans="1:126" s="74" customFormat="1">
      <c r="A2401" s="15"/>
      <c r="B2401" s="15"/>
      <c r="C2401" s="15"/>
      <c r="D2401" s="15"/>
      <c r="E2401" s="6"/>
      <c r="F2401" s="6"/>
      <c r="G2401" s="6"/>
      <c r="K2401" s="222"/>
      <c r="V2401" s="1430"/>
      <c r="AA2401" s="223"/>
      <c r="AC2401" s="889"/>
      <c r="AF2401" s="890"/>
      <c r="AJ2401" s="889"/>
      <c r="AN2401" s="222"/>
      <c r="BC2401" s="223"/>
      <c r="BD2401" s="222"/>
      <c r="BH2401" s="611"/>
      <c r="BJ2401" s="15"/>
      <c r="BK2401" s="15"/>
      <c r="BO2401" s="223"/>
      <c r="BQ2401" s="889"/>
      <c r="BT2401" s="890"/>
      <c r="BX2401" s="889"/>
      <c r="CB2401" s="15"/>
      <c r="CC2401" s="697"/>
      <c r="CD2401" s="1086"/>
      <c r="CE2401" s="15"/>
      <c r="CF2401" s="15"/>
      <c r="CG2401" s="936"/>
      <c r="CH2401" s="15"/>
      <c r="CI2401" s="15"/>
      <c r="CJ2401" s="15"/>
      <c r="CK2401" s="1107"/>
      <c r="CL2401" s="22"/>
      <c r="CM2401" s="22"/>
      <c r="CN2401" s="1107"/>
      <c r="CR2401" s="223"/>
      <c r="CS2401" s="952"/>
      <c r="CT2401" s="1066"/>
      <c r="CU2401" s="972"/>
      <c r="CV2401" s="983"/>
      <c r="CW2401" s="222"/>
      <c r="CX2401" s="697"/>
      <c r="DC2401" s="222"/>
      <c r="DJ2401" s="889"/>
      <c r="DM2401" s="890"/>
      <c r="DN2401" s="952"/>
      <c r="DO2401" s="75"/>
      <c r="DP2401" s="962"/>
      <c r="DQ2401" s="983"/>
      <c r="DV2401" s="889"/>
    </row>
    <row r="2402" spans="1:126" s="74" customFormat="1">
      <c r="A2402" s="15"/>
      <c r="B2402" s="15"/>
      <c r="C2402" s="15"/>
      <c r="D2402" s="15"/>
      <c r="E2402" s="6"/>
      <c r="F2402" s="6"/>
      <c r="G2402" s="6"/>
      <c r="K2402" s="222"/>
      <c r="V2402" s="1430"/>
      <c r="AA2402" s="223"/>
      <c r="AC2402" s="889"/>
      <c r="AF2402" s="890"/>
      <c r="AJ2402" s="889"/>
      <c r="AN2402" s="222"/>
      <c r="BC2402" s="223"/>
      <c r="BD2402" s="222"/>
      <c r="BH2402" s="611"/>
      <c r="BJ2402" s="15"/>
      <c r="BK2402" s="15"/>
      <c r="BO2402" s="223"/>
      <c r="BQ2402" s="889"/>
      <c r="BT2402" s="890"/>
      <c r="BX2402" s="889"/>
      <c r="CB2402" s="15"/>
      <c r="CC2402" s="697"/>
      <c r="CD2402" s="1086"/>
      <c r="CE2402" s="15"/>
      <c r="CF2402" s="15"/>
      <c r="CG2402" s="936"/>
      <c r="CH2402" s="15"/>
      <c r="CI2402" s="15"/>
      <c r="CJ2402" s="15"/>
      <c r="CK2402" s="1107"/>
      <c r="CL2402" s="22"/>
      <c r="CM2402" s="22"/>
      <c r="CN2402" s="1107"/>
      <c r="CR2402" s="223"/>
      <c r="CS2402" s="952"/>
      <c r="CT2402" s="1066"/>
      <c r="CU2402" s="972"/>
      <c r="CV2402" s="983"/>
      <c r="CW2402" s="222"/>
      <c r="CX2402" s="697"/>
      <c r="DC2402" s="222"/>
      <c r="DJ2402" s="889"/>
      <c r="DM2402" s="890"/>
      <c r="DN2402" s="952"/>
      <c r="DO2402" s="75"/>
      <c r="DP2402" s="962"/>
      <c r="DQ2402" s="983"/>
      <c r="DV2402" s="889"/>
    </row>
    <row r="2403" spans="1:126" s="74" customFormat="1">
      <c r="A2403" s="15"/>
      <c r="B2403" s="15"/>
      <c r="C2403" s="15"/>
      <c r="D2403" s="15"/>
      <c r="E2403" s="6"/>
      <c r="F2403" s="6"/>
      <c r="G2403" s="6"/>
      <c r="K2403" s="222"/>
      <c r="V2403" s="1430"/>
      <c r="AA2403" s="223"/>
      <c r="AC2403" s="889"/>
      <c r="AF2403" s="890"/>
      <c r="AJ2403" s="889"/>
      <c r="AN2403" s="222"/>
      <c r="BC2403" s="223"/>
      <c r="BD2403" s="222"/>
      <c r="BH2403" s="611"/>
      <c r="BJ2403" s="15"/>
      <c r="BK2403" s="15"/>
      <c r="BO2403" s="223"/>
      <c r="BQ2403" s="889"/>
      <c r="BT2403" s="890"/>
      <c r="BX2403" s="889"/>
      <c r="CB2403" s="15"/>
      <c r="CC2403" s="697"/>
      <c r="CD2403" s="1086"/>
      <c r="CE2403" s="15"/>
      <c r="CF2403" s="15"/>
      <c r="CG2403" s="936"/>
      <c r="CH2403" s="15"/>
      <c r="CI2403" s="15"/>
      <c r="CJ2403" s="15"/>
      <c r="CK2403" s="1107"/>
      <c r="CL2403" s="22"/>
      <c r="CM2403" s="22"/>
      <c r="CN2403" s="1107"/>
      <c r="CR2403" s="223"/>
      <c r="CS2403" s="952"/>
      <c r="CT2403" s="1066"/>
      <c r="CU2403" s="972"/>
      <c r="CV2403" s="983"/>
      <c r="CW2403" s="222"/>
      <c r="CX2403" s="697"/>
      <c r="DC2403" s="222"/>
      <c r="DJ2403" s="889"/>
      <c r="DM2403" s="890"/>
      <c r="DN2403" s="952"/>
      <c r="DO2403" s="75"/>
      <c r="DP2403" s="962"/>
      <c r="DQ2403" s="983"/>
      <c r="DV2403" s="889"/>
    </row>
    <row r="2404" spans="1:126" s="74" customFormat="1">
      <c r="A2404" s="15"/>
      <c r="B2404" s="15"/>
      <c r="C2404" s="15"/>
      <c r="D2404" s="15"/>
      <c r="E2404" s="6"/>
      <c r="F2404" s="6"/>
      <c r="G2404" s="6"/>
      <c r="K2404" s="222"/>
      <c r="V2404" s="1430"/>
      <c r="AA2404" s="223"/>
      <c r="AC2404" s="889"/>
      <c r="AF2404" s="890"/>
      <c r="AJ2404" s="889"/>
      <c r="AN2404" s="222"/>
      <c r="BC2404" s="223"/>
      <c r="BD2404" s="222"/>
      <c r="BH2404" s="611"/>
      <c r="BJ2404" s="15"/>
      <c r="BK2404" s="15"/>
      <c r="BO2404" s="223"/>
      <c r="BQ2404" s="889"/>
      <c r="BT2404" s="890"/>
      <c r="BX2404" s="889"/>
      <c r="CB2404" s="15"/>
      <c r="CC2404" s="697"/>
      <c r="CD2404" s="1086"/>
      <c r="CE2404" s="15"/>
      <c r="CF2404" s="15"/>
      <c r="CG2404" s="936"/>
      <c r="CH2404" s="15"/>
      <c r="CI2404" s="15"/>
      <c r="CJ2404" s="15"/>
      <c r="CK2404" s="1107"/>
      <c r="CL2404" s="22"/>
      <c r="CM2404" s="22"/>
      <c r="CN2404" s="1107"/>
      <c r="CR2404" s="223"/>
      <c r="CS2404" s="952"/>
      <c r="CT2404" s="1066"/>
      <c r="CU2404" s="972"/>
      <c r="CV2404" s="983"/>
      <c r="CW2404" s="222"/>
      <c r="CX2404" s="697"/>
      <c r="DC2404" s="222"/>
      <c r="DJ2404" s="889"/>
      <c r="DM2404" s="890"/>
      <c r="DN2404" s="952"/>
      <c r="DO2404" s="75"/>
      <c r="DP2404" s="962"/>
      <c r="DQ2404" s="983"/>
      <c r="DV2404" s="889"/>
    </row>
    <row r="2405" spans="1:126" s="74" customFormat="1">
      <c r="A2405" s="15"/>
      <c r="B2405" s="15"/>
      <c r="C2405" s="15"/>
      <c r="D2405" s="15"/>
      <c r="E2405" s="6"/>
      <c r="F2405" s="6"/>
      <c r="G2405" s="6"/>
      <c r="K2405" s="222"/>
      <c r="V2405" s="1430"/>
      <c r="AA2405" s="223"/>
      <c r="AC2405" s="889"/>
      <c r="AF2405" s="890"/>
      <c r="AJ2405" s="889"/>
      <c r="AN2405" s="222"/>
      <c r="BC2405" s="223"/>
      <c r="BD2405" s="222"/>
      <c r="BH2405" s="611"/>
      <c r="BJ2405" s="15"/>
      <c r="BK2405" s="15"/>
      <c r="BO2405" s="223"/>
      <c r="BQ2405" s="889"/>
      <c r="BT2405" s="890"/>
      <c r="BX2405" s="889"/>
      <c r="CB2405" s="15"/>
      <c r="CC2405" s="697"/>
      <c r="CD2405" s="1086"/>
      <c r="CE2405" s="15"/>
      <c r="CF2405" s="15"/>
      <c r="CG2405" s="936"/>
      <c r="CH2405" s="15"/>
      <c r="CI2405" s="15"/>
      <c r="CJ2405" s="15"/>
      <c r="CK2405" s="1107"/>
      <c r="CL2405" s="22"/>
      <c r="CM2405" s="22"/>
      <c r="CN2405" s="1107"/>
      <c r="CR2405" s="223"/>
      <c r="CS2405" s="952"/>
      <c r="CT2405" s="1066"/>
      <c r="CU2405" s="972"/>
      <c r="CV2405" s="983"/>
      <c r="CW2405" s="222"/>
      <c r="CX2405" s="697"/>
      <c r="DC2405" s="222"/>
      <c r="DJ2405" s="889"/>
      <c r="DM2405" s="890"/>
      <c r="DN2405" s="952"/>
      <c r="DO2405" s="75"/>
      <c r="DP2405" s="962"/>
      <c r="DQ2405" s="983"/>
      <c r="DV2405" s="889"/>
    </row>
    <row r="2406" spans="1:126" s="74" customFormat="1">
      <c r="A2406" s="15"/>
      <c r="B2406" s="15"/>
      <c r="C2406" s="15"/>
      <c r="D2406" s="15"/>
      <c r="E2406" s="6"/>
      <c r="F2406" s="6"/>
      <c r="G2406" s="6"/>
      <c r="K2406" s="222"/>
      <c r="V2406" s="1430"/>
      <c r="AA2406" s="223"/>
      <c r="AC2406" s="889"/>
      <c r="AF2406" s="890"/>
      <c r="AJ2406" s="889"/>
      <c r="AN2406" s="222"/>
      <c r="BC2406" s="223"/>
      <c r="BD2406" s="222"/>
      <c r="BH2406" s="611"/>
      <c r="BJ2406" s="15"/>
      <c r="BK2406" s="15"/>
      <c r="BO2406" s="223"/>
      <c r="BQ2406" s="889"/>
      <c r="BT2406" s="890"/>
      <c r="BX2406" s="889"/>
      <c r="CB2406" s="15"/>
      <c r="CC2406" s="697"/>
      <c r="CD2406" s="1086"/>
      <c r="CE2406" s="15"/>
      <c r="CF2406" s="15"/>
      <c r="CG2406" s="936"/>
      <c r="CH2406" s="15"/>
      <c r="CI2406" s="15"/>
      <c r="CJ2406" s="15"/>
      <c r="CK2406" s="1107"/>
      <c r="CL2406" s="22"/>
      <c r="CM2406" s="22"/>
      <c r="CN2406" s="1107"/>
      <c r="CR2406" s="223"/>
      <c r="CS2406" s="952"/>
      <c r="CT2406" s="1066"/>
      <c r="CU2406" s="972"/>
      <c r="CV2406" s="983"/>
      <c r="CW2406" s="222"/>
      <c r="CX2406" s="697"/>
      <c r="DC2406" s="222"/>
      <c r="DJ2406" s="889"/>
      <c r="DM2406" s="890"/>
      <c r="DN2406" s="952"/>
      <c r="DO2406" s="75"/>
      <c r="DP2406" s="962"/>
      <c r="DQ2406" s="983"/>
      <c r="DV2406" s="889"/>
    </row>
    <row r="2407" spans="1:126" s="74" customFormat="1">
      <c r="A2407" s="15"/>
      <c r="B2407" s="15"/>
      <c r="C2407" s="15"/>
      <c r="D2407" s="15"/>
      <c r="E2407" s="6"/>
      <c r="F2407" s="6"/>
      <c r="G2407" s="6"/>
      <c r="K2407" s="222"/>
      <c r="V2407" s="1430"/>
      <c r="AA2407" s="223"/>
      <c r="AC2407" s="889"/>
      <c r="AF2407" s="890"/>
      <c r="AJ2407" s="889"/>
      <c r="AN2407" s="222"/>
      <c r="BC2407" s="223"/>
      <c r="BD2407" s="222"/>
      <c r="BH2407" s="611"/>
      <c r="BJ2407" s="15"/>
      <c r="BK2407" s="15"/>
      <c r="BO2407" s="223"/>
      <c r="BQ2407" s="889"/>
      <c r="BT2407" s="890"/>
      <c r="BX2407" s="889"/>
      <c r="CB2407" s="15"/>
      <c r="CC2407" s="697"/>
      <c r="CD2407" s="1086"/>
      <c r="CE2407" s="15"/>
      <c r="CF2407" s="15"/>
      <c r="CG2407" s="936"/>
      <c r="CH2407" s="15"/>
      <c r="CI2407" s="15"/>
      <c r="CJ2407" s="15"/>
      <c r="CK2407" s="1107"/>
      <c r="CL2407" s="22"/>
      <c r="CM2407" s="22"/>
      <c r="CN2407" s="1107"/>
      <c r="CR2407" s="223"/>
      <c r="CS2407" s="952"/>
      <c r="CT2407" s="1066"/>
      <c r="CU2407" s="972"/>
      <c r="CV2407" s="983"/>
      <c r="CW2407" s="222"/>
      <c r="CX2407" s="697"/>
      <c r="DC2407" s="222"/>
      <c r="DJ2407" s="889"/>
      <c r="DM2407" s="890"/>
      <c r="DN2407" s="952"/>
      <c r="DO2407" s="75"/>
      <c r="DP2407" s="962"/>
      <c r="DQ2407" s="983"/>
      <c r="DV2407" s="889"/>
    </row>
    <row r="2408" spans="1:126" s="74" customFormat="1">
      <c r="A2408" s="15"/>
      <c r="B2408" s="15"/>
      <c r="C2408" s="15"/>
      <c r="D2408" s="15"/>
      <c r="E2408" s="6"/>
      <c r="F2408" s="6"/>
      <c r="G2408" s="6"/>
      <c r="K2408" s="222"/>
      <c r="V2408" s="1430"/>
      <c r="AA2408" s="223"/>
      <c r="AC2408" s="889"/>
      <c r="AF2408" s="890"/>
      <c r="AJ2408" s="889"/>
      <c r="AN2408" s="222"/>
      <c r="BC2408" s="223"/>
      <c r="BD2408" s="222"/>
      <c r="BH2408" s="611"/>
      <c r="BJ2408" s="15"/>
      <c r="BK2408" s="15"/>
      <c r="BO2408" s="223"/>
      <c r="BQ2408" s="889"/>
      <c r="BT2408" s="890"/>
      <c r="BX2408" s="889"/>
      <c r="CB2408" s="15"/>
      <c r="CC2408" s="697"/>
      <c r="CD2408" s="1086"/>
      <c r="CE2408" s="15"/>
      <c r="CF2408" s="15"/>
      <c r="CG2408" s="936"/>
      <c r="CH2408" s="15"/>
      <c r="CI2408" s="15"/>
      <c r="CJ2408" s="15"/>
      <c r="CK2408" s="1107"/>
      <c r="CL2408" s="22"/>
      <c r="CM2408" s="22"/>
      <c r="CN2408" s="1107"/>
      <c r="CR2408" s="223"/>
      <c r="CS2408" s="952"/>
      <c r="CT2408" s="1066"/>
      <c r="CU2408" s="972"/>
      <c r="CV2408" s="983"/>
      <c r="CW2408" s="222"/>
      <c r="CX2408" s="697"/>
      <c r="DC2408" s="222"/>
      <c r="DJ2408" s="889"/>
      <c r="DM2408" s="890"/>
      <c r="DN2408" s="952"/>
      <c r="DO2408" s="75"/>
      <c r="DP2408" s="962"/>
      <c r="DQ2408" s="983"/>
      <c r="DV2408" s="889"/>
    </row>
    <row r="2409" spans="1:126" s="74" customFormat="1">
      <c r="A2409" s="15"/>
      <c r="B2409" s="15"/>
      <c r="C2409" s="15"/>
      <c r="D2409" s="15"/>
      <c r="E2409" s="6"/>
      <c r="F2409" s="6"/>
      <c r="G2409" s="6"/>
      <c r="K2409" s="222"/>
      <c r="V2409" s="1430"/>
      <c r="AA2409" s="223"/>
      <c r="AC2409" s="889"/>
      <c r="AF2409" s="890"/>
      <c r="AJ2409" s="889"/>
      <c r="AN2409" s="222"/>
      <c r="BC2409" s="223"/>
      <c r="BD2409" s="222"/>
      <c r="BH2409" s="611"/>
      <c r="BJ2409" s="15"/>
      <c r="BK2409" s="15"/>
      <c r="BO2409" s="223"/>
      <c r="BQ2409" s="889"/>
      <c r="BT2409" s="890"/>
      <c r="BX2409" s="889"/>
      <c r="CB2409" s="15"/>
      <c r="CC2409" s="697"/>
      <c r="CD2409" s="1086"/>
      <c r="CE2409" s="15"/>
      <c r="CF2409" s="15"/>
      <c r="CG2409" s="936"/>
      <c r="CH2409" s="15"/>
      <c r="CI2409" s="15"/>
      <c r="CJ2409" s="15"/>
      <c r="CK2409" s="1107"/>
      <c r="CL2409" s="22"/>
      <c r="CM2409" s="22"/>
      <c r="CN2409" s="1107"/>
      <c r="CR2409" s="223"/>
      <c r="CS2409" s="952"/>
      <c r="CT2409" s="1066"/>
      <c r="CU2409" s="972"/>
      <c r="CV2409" s="983"/>
      <c r="CW2409" s="222"/>
      <c r="CX2409" s="697"/>
      <c r="DC2409" s="222"/>
      <c r="DJ2409" s="889"/>
      <c r="DM2409" s="890"/>
      <c r="DN2409" s="952"/>
      <c r="DO2409" s="75"/>
      <c r="DP2409" s="962"/>
      <c r="DQ2409" s="983"/>
      <c r="DV2409" s="889"/>
    </row>
    <row r="2410" spans="1:126" s="74" customFormat="1">
      <c r="A2410" s="15"/>
      <c r="B2410" s="15"/>
      <c r="C2410" s="15"/>
      <c r="D2410" s="15"/>
      <c r="E2410" s="6"/>
      <c r="F2410" s="6"/>
      <c r="G2410" s="6"/>
      <c r="K2410" s="222"/>
      <c r="V2410" s="1430"/>
      <c r="AA2410" s="223"/>
      <c r="AC2410" s="889"/>
      <c r="AF2410" s="890"/>
      <c r="AJ2410" s="889"/>
      <c r="AN2410" s="222"/>
      <c r="BC2410" s="223"/>
      <c r="BD2410" s="222"/>
      <c r="BH2410" s="611"/>
      <c r="BJ2410" s="15"/>
      <c r="BK2410" s="15"/>
      <c r="BO2410" s="223"/>
      <c r="BQ2410" s="889"/>
      <c r="BT2410" s="890"/>
      <c r="BX2410" s="889"/>
      <c r="CB2410" s="15"/>
      <c r="CC2410" s="697"/>
      <c r="CD2410" s="1086"/>
      <c r="CE2410" s="15"/>
      <c r="CF2410" s="15"/>
      <c r="CG2410" s="936"/>
      <c r="CH2410" s="15"/>
      <c r="CI2410" s="15"/>
      <c r="CJ2410" s="15"/>
      <c r="CK2410" s="1107"/>
      <c r="CL2410" s="22"/>
      <c r="CM2410" s="22"/>
      <c r="CN2410" s="1107"/>
      <c r="CR2410" s="223"/>
      <c r="CS2410" s="952"/>
      <c r="CT2410" s="1066"/>
      <c r="CU2410" s="972"/>
      <c r="CV2410" s="983"/>
      <c r="CW2410" s="222"/>
      <c r="CX2410" s="697"/>
      <c r="DC2410" s="222"/>
      <c r="DJ2410" s="889"/>
      <c r="DM2410" s="890"/>
      <c r="DN2410" s="952"/>
      <c r="DO2410" s="75"/>
      <c r="DP2410" s="962"/>
      <c r="DQ2410" s="983"/>
      <c r="DV2410" s="889"/>
    </row>
    <row r="2411" spans="1:126" s="74" customFormat="1">
      <c r="A2411" s="15"/>
      <c r="B2411" s="15"/>
      <c r="C2411" s="15"/>
      <c r="D2411" s="15"/>
      <c r="E2411" s="6"/>
      <c r="F2411" s="6"/>
      <c r="G2411" s="6"/>
      <c r="K2411" s="222"/>
      <c r="V2411" s="1430"/>
      <c r="AA2411" s="223"/>
      <c r="AC2411" s="889"/>
      <c r="AF2411" s="890"/>
      <c r="AJ2411" s="889"/>
      <c r="AN2411" s="222"/>
      <c r="BC2411" s="223"/>
      <c r="BD2411" s="222"/>
      <c r="BH2411" s="611"/>
      <c r="BJ2411" s="15"/>
      <c r="BK2411" s="15"/>
      <c r="BO2411" s="223"/>
      <c r="BQ2411" s="889"/>
      <c r="BT2411" s="890"/>
      <c r="BX2411" s="889"/>
      <c r="CB2411" s="15"/>
      <c r="CC2411" s="697"/>
      <c r="CD2411" s="1086"/>
      <c r="CE2411" s="15"/>
      <c r="CF2411" s="15"/>
      <c r="CG2411" s="936"/>
      <c r="CH2411" s="15"/>
      <c r="CI2411" s="15"/>
      <c r="CJ2411" s="15"/>
      <c r="CK2411" s="1107"/>
      <c r="CL2411" s="22"/>
      <c r="CM2411" s="22"/>
      <c r="CN2411" s="1107"/>
      <c r="CR2411" s="223"/>
      <c r="CS2411" s="952"/>
      <c r="CT2411" s="1066"/>
      <c r="CU2411" s="972"/>
      <c r="CV2411" s="983"/>
      <c r="CW2411" s="222"/>
      <c r="CX2411" s="697"/>
      <c r="DC2411" s="222"/>
      <c r="DJ2411" s="889"/>
      <c r="DM2411" s="890"/>
      <c r="DN2411" s="952"/>
      <c r="DO2411" s="75"/>
      <c r="DP2411" s="962"/>
      <c r="DQ2411" s="983"/>
      <c r="DV2411" s="889"/>
    </row>
    <row r="2412" spans="1:126" s="74" customFormat="1">
      <c r="A2412" s="15"/>
      <c r="B2412" s="15"/>
      <c r="C2412" s="15"/>
      <c r="D2412" s="15"/>
      <c r="E2412" s="6"/>
      <c r="F2412" s="6"/>
      <c r="G2412" s="6"/>
      <c r="K2412" s="222"/>
      <c r="V2412" s="1430"/>
      <c r="AA2412" s="223"/>
      <c r="AC2412" s="889"/>
      <c r="AF2412" s="890"/>
      <c r="AJ2412" s="889"/>
      <c r="AN2412" s="222"/>
      <c r="BC2412" s="223"/>
      <c r="BD2412" s="222"/>
      <c r="BH2412" s="611"/>
      <c r="BJ2412" s="15"/>
      <c r="BK2412" s="15"/>
      <c r="BO2412" s="223"/>
      <c r="BQ2412" s="889"/>
      <c r="BT2412" s="890"/>
      <c r="BX2412" s="889"/>
      <c r="CB2412" s="15"/>
      <c r="CC2412" s="697"/>
      <c r="CD2412" s="1086"/>
      <c r="CE2412" s="15"/>
      <c r="CF2412" s="15"/>
      <c r="CG2412" s="936"/>
      <c r="CH2412" s="15"/>
      <c r="CI2412" s="15"/>
      <c r="CJ2412" s="15"/>
      <c r="CK2412" s="1107"/>
      <c r="CL2412" s="22"/>
      <c r="CM2412" s="22"/>
      <c r="CN2412" s="1107"/>
      <c r="CR2412" s="223"/>
      <c r="CS2412" s="952"/>
      <c r="CT2412" s="1066"/>
      <c r="CU2412" s="972"/>
      <c r="CV2412" s="983"/>
      <c r="CW2412" s="222"/>
      <c r="CX2412" s="697"/>
      <c r="DC2412" s="222"/>
      <c r="DJ2412" s="889"/>
      <c r="DM2412" s="890"/>
      <c r="DN2412" s="952"/>
      <c r="DO2412" s="75"/>
      <c r="DP2412" s="962"/>
      <c r="DQ2412" s="983"/>
      <c r="DV2412" s="889"/>
    </row>
    <row r="2413" spans="1:126" s="74" customFormat="1">
      <c r="A2413" s="15"/>
      <c r="B2413" s="15"/>
      <c r="C2413" s="15"/>
      <c r="D2413" s="15"/>
      <c r="E2413" s="6"/>
      <c r="F2413" s="6"/>
      <c r="G2413" s="6"/>
      <c r="K2413" s="222"/>
      <c r="V2413" s="1430"/>
      <c r="AA2413" s="223"/>
      <c r="AC2413" s="889"/>
      <c r="AF2413" s="890"/>
      <c r="AJ2413" s="889"/>
      <c r="AN2413" s="222"/>
      <c r="BC2413" s="223"/>
      <c r="BD2413" s="222"/>
      <c r="BH2413" s="611"/>
      <c r="BJ2413" s="15"/>
      <c r="BK2413" s="15"/>
      <c r="BO2413" s="223"/>
      <c r="BQ2413" s="889"/>
      <c r="BT2413" s="890"/>
      <c r="BX2413" s="889"/>
      <c r="CB2413" s="15"/>
      <c r="CC2413" s="697"/>
      <c r="CD2413" s="1086"/>
      <c r="CE2413" s="15"/>
      <c r="CF2413" s="15"/>
      <c r="CG2413" s="936"/>
      <c r="CH2413" s="15"/>
      <c r="CI2413" s="15"/>
      <c r="CJ2413" s="15"/>
      <c r="CK2413" s="1107"/>
      <c r="CL2413" s="22"/>
      <c r="CM2413" s="22"/>
      <c r="CN2413" s="1107"/>
      <c r="CR2413" s="223"/>
      <c r="CS2413" s="952"/>
      <c r="CT2413" s="1066"/>
      <c r="CU2413" s="972"/>
      <c r="CV2413" s="983"/>
      <c r="CW2413" s="222"/>
      <c r="CX2413" s="697"/>
      <c r="DC2413" s="222"/>
      <c r="DJ2413" s="889"/>
      <c r="DM2413" s="890"/>
      <c r="DN2413" s="952"/>
      <c r="DO2413" s="75"/>
      <c r="DP2413" s="962"/>
      <c r="DQ2413" s="983"/>
      <c r="DV2413" s="889"/>
    </row>
    <row r="2414" spans="1:126" s="74" customFormat="1">
      <c r="A2414" s="15"/>
      <c r="B2414" s="15"/>
      <c r="C2414" s="15"/>
      <c r="D2414" s="15"/>
      <c r="E2414" s="6"/>
      <c r="F2414" s="6"/>
      <c r="G2414" s="6"/>
      <c r="K2414" s="222"/>
      <c r="V2414" s="1430"/>
      <c r="AA2414" s="223"/>
      <c r="AC2414" s="889"/>
      <c r="AF2414" s="890"/>
      <c r="AJ2414" s="889"/>
      <c r="AN2414" s="222"/>
      <c r="BC2414" s="223"/>
      <c r="BD2414" s="222"/>
      <c r="BH2414" s="611"/>
      <c r="BJ2414" s="15"/>
      <c r="BK2414" s="15"/>
      <c r="BO2414" s="223"/>
      <c r="BQ2414" s="889"/>
      <c r="BT2414" s="890"/>
      <c r="BX2414" s="889"/>
      <c r="CB2414" s="15"/>
      <c r="CC2414" s="697"/>
      <c r="CD2414" s="1086"/>
      <c r="CE2414" s="15"/>
      <c r="CF2414" s="15"/>
      <c r="CG2414" s="936"/>
      <c r="CH2414" s="15"/>
      <c r="CI2414" s="15"/>
      <c r="CJ2414" s="15"/>
      <c r="CK2414" s="1107"/>
      <c r="CL2414" s="22"/>
      <c r="CM2414" s="22"/>
      <c r="CN2414" s="1107"/>
      <c r="CR2414" s="223"/>
      <c r="CS2414" s="952"/>
      <c r="CT2414" s="1066"/>
      <c r="CU2414" s="972"/>
      <c r="CV2414" s="983"/>
      <c r="CW2414" s="222"/>
      <c r="CX2414" s="697"/>
      <c r="DC2414" s="222"/>
      <c r="DJ2414" s="889"/>
      <c r="DM2414" s="890"/>
      <c r="DN2414" s="952"/>
      <c r="DO2414" s="75"/>
      <c r="DP2414" s="962"/>
      <c r="DQ2414" s="983"/>
      <c r="DV2414" s="889"/>
    </row>
    <row r="2415" spans="1:126" s="74" customFormat="1">
      <c r="A2415" s="15"/>
      <c r="B2415" s="15"/>
      <c r="C2415" s="15"/>
      <c r="D2415" s="15"/>
      <c r="E2415" s="6"/>
      <c r="F2415" s="6"/>
      <c r="G2415" s="6"/>
      <c r="K2415" s="222"/>
      <c r="V2415" s="1430"/>
      <c r="AA2415" s="223"/>
      <c r="AC2415" s="889"/>
      <c r="AF2415" s="890"/>
      <c r="AJ2415" s="889"/>
      <c r="AN2415" s="222"/>
      <c r="BC2415" s="223"/>
      <c r="BD2415" s="222"/>
      <c r="BH2415" s="611"/>
      <c r="BJ2415" s="15"/>
      <c r="BK2415" s="15"/>
      <c r="BO2415" s="223"/>
      <c r="BQ2415" s="889"/>
      <c r="BT2415" s="890"/>
      <c r="BX2415" s="889"/>
      <c r="CB2415" s="15"/>
      <c r="CC2415" s="697"/>
      <c r="CD2415" s="1086"/>
      <c r="CE2415" s="15"/>
      <c r="CF2415" s="15"/>
      <c r="CG2415" s="936"/>
      <c r="CH2415" s="15"/>
      <c r="CI2415" s="15"/>
      <c r="CJ2415" s="15"/>
      <c r="CK2415" s="1107"/>
      <c r="CL2415" s="22"/>
      <c r="CM2415" s="22"/>
      <c r="CN2415" s="1107"/>
      <c r="CR2415" s="223"/>
      <c r="CS2415" s="952"/>
      <c r="CT2415" s="1066"/>
      <c r="CU2415" s="972"/>
      <c r="CV2415" s="983"/>
      <c r="CW2415" s="222"/>
      <c r="CX2415" s="697"/>
      <c r="DC2415" s="222"/>
      <c r="DJ2415" s="889"/>
      <c r="DM2415" s="890"/>
      <c r="DN2415" s="952"/>
      <c r="DO2415" s="75"/>
      <c r="DP2415" s="962"/>
      <c r="DQ2415" s="983"/>
      <c r="DV2415" s="889"/>
    </row>
    <row r="2416" spans="1:126" s="74" customFormat="1">
      <c r="A2416" s="15"/>
      <c r="B2416" s="15"/>
      <c r="C2416" s="15"/>
      <c r="D2416" s="15"/>
      <c r="E2416" s="6"/>
      <c r="F2416" s="6"/>
      <c r="G2416" s="6"/>
      <c r="K2416" s="222"/>
      <c r="V2416" s="1430"/>
      <c r="AA2416" s="223"/>
      <c r="AC2416" s="889"/>
      <c r="AF2416" s="890"/>
      <c r="AJ2416" s="889"/>
      <c r="AN2416" s="222"/>
      <c r="BC2416" s="223"/>
      <c r="BD2416" s="222"/>
      <c r="BH2416" s="611"/>
      <c r="BJ2416" s="15"/>
      <c r="BK2416" s="15"/>
      <c r="BO2416" s="223"/>
      <c r="BQ2416" s="889"/>
      <c r="BT2416" s="890"/>
      <c r="BX2416" s="889"/>
      <c r="CB2416" s="15"/>
      <c r="CC2416" s="697"/>
      <c r="CD2416" s="1086"/>
      <c r="CE2416" s="15"/>
      <c r="CF2416" s="15"/>
      <c r="CG2416" s="936"/>
      <c r="CH2416" s="15"/>
      <c r="CI2416" s="15"/>
      <c r="CJ2416" s="15"/>
      <c r="CK2416" s="1107"/>
      <c r="CL2416" s="22"/>
      <c r="CM2416" s="22"/>
      <c r="CN2416" s="1107"/>
      <c r="CR2416" s="223"/>
      <c r="CS2416" s="952"/>
      <c r="CT2416" s="1066"/>
      <c r="CU2416" s="972"/>
      <c r="CV2416" s="983"/>
      <c r="CW2416" s="222"/>
      <c r="CX2416" s="697"/>
      <c r="DC2416" s="222"/>
      <c r="DJ2416" s="889"/>
      <c r="DM2416" s="890"/>
      <c r="DN2416" s="952"/>
      <c r="DO2416" s="75"/>
      <c r="DP2416" s="962"/>
      <c r="DQ2416" s="983"/>
      <c r="DV2416" s="889"/>
    </row>
    <row r="2417" spans="1:126" s="74" customFormat="1">
      <c r="A2417" s="15"/>
      <c r="B2417" s="15"/>
      <c r="C2417" s="15"/>
      <c r="D2417" s="15"/>
      <c r="E2417" s="6"/>
      <c r="F2417" s="6"/>
      <c r="G2417" s="6"/>
      <c r="K2417" s="222"/>
      <c r="V2417" s="1430"/>
      <c r="AA2417" s="223"/>
      <c r="AC2417" s="889"/>
      <c r="AF2417" s="890"/>
      <c r="AJ2417" s="889"/>
      <c r="AN2417" s="222"/>
      <c r="BC2417" s="223"/>
      <c r="BD2417" s="222"/>
      <c r="BH2417" s="611"/>
      <c r="BJ2417" s="15"/>
      <c r="BK2417" s="15"/>
      <c r="BO2417" s="223"/>
      <c r="BQ2417" s="889"/>
      <c r="BT2417" s="890"/>
      <c r="BX2417" s="889"/>
      <c r="CB2417" s="15"/>
      <c r="CC2417" s="697"/>
      <c r="CD2417" s="1086"/>
      <c r="CE2417" s="15"/>
      <c r="CF2417" s="15"/>
      <c r="CG2417" s="936"/>
      <c r="CH2417" s="15"/>
      <c r="CI2417" s="15"/>
      <c r="CJ2417" s="15"/>
      <c r="CK2417" s="1107"/>
      <c r="CL2417" s="22"/>
      <c r="CM2417" s="22"/>
      <c r="CN2417" s="1107"/>
      <c r="CR2417" s="223"/>
      <c r="CS2417" s="952"/>
      <c r="CT2417" s="1066"/>
      <c r="CU2417" s="972"/>
      <c r="CV2417" s="983"/>
      <c r="CW2417" s="222"/>
      <c r="CX2417" s="697"/>
      <c r="DC2417" s="222"/>
      <c r="DJ2417" s="889"/>
      <c r="DM2417" s="890"/>
      <c r="DN2417" s="952"/>
      <c r="DO2417" s="75"/>
      <c r="DP2417" s="962"/>
      <c r="DQ2417" s="983"/>
      <c r="DV2417" s="889"/>
    </row>
    <row r="2418" spans="1:126" s="74" customFormat="1">
      <c r="A2418" s="15"/>
      <c r="B2418" s="15"/>
      <c r="C2418" s="15"/>
      <c r="D2418" s="15"/>
      <c r="E2418" s="6"/>
      <c r="F2418" s="6"/>
      <c r="G2418" s="6"/>
      <c r="K2418" s="222"/>
      <c r="V2418" s="1430"/>
      <c r="AA2418" s="223"/>
      <c r="AC2418" s="889"/>
      <c r="AF2418" s="890"/>
      <c r="AJ2418" s="889"/>
      <c r="AN2418" s="222"/>
      <c r="BC2418" s="223"/>
      <c r="BD2418" s="222"/>
      <c r="BH2418" s="611"/>
      <c r="BJ2418" s="15"/>
      <c r="BK2418" s="15"/>
      <c r="BO2418" s="223"/>
      <c r="BQ2418" s="889"/>
      <c r="BT2418" s="890"/>
      <c r="BX2418" s="889"/>
      <c r="CB2418" s="15"/>
      <c r="CC2418" s="697"/>
      <c r="CD2418" s="1086"/>
      <c r="CE2418" s="15"/>
      <c r="CF2418" s="15"/>
      <c r="CG2418" s="936"/>
      <c r="CH2418" s="15"/>
      <c r="CI2418" s="15"/>
      <c r="CJ2418" s="15"/>
      <c r="CK2418" s="1107"/>
      <c r="CL2418" s="22"/>
      <c r="CM2418" s="22"/>
      <c r="CN2418" s="1107"/>
      <c r="CR2418" s="223"/>
      <c r="CS2418" s="952"/>
      <c r="CT2418" s="1066"/>
      <c r="CU2418" s="972"/>
      <c r="CV2418" s="983"/>
      <c r="CW2418" s="222"/>
      <c r="CX2418" s="697"/>
      <c r="DC2418" s="222"/>
      <c r="DJ2418" s="889"/>
      <c r="DM2418" s="890"/>
      <c r="DN2418" s="952"/>
      <c r="DO2418" s="75"/>
      <c r="DP2418" s="962"/>
      <c r="DQ2418" s="983"/>
      <c r="DV2418" s="889"/>
    </row>
    <row r="2419" spans="1:126" s="74" customFormat="1">
      <c r="A2419" s="15"/>
      <c r="B2419" s="15"/>
      <c r="C2419" s="15"/>
      <c r="D2419" s="15"/>
      <c r="E2419" s="6"/>
      <c r="F2419" s="6"/>
      <c r="G2419" s="6"/>
      <c r="K2419" s="222"/>
      <c r="V2419" s="1430"/>
      <c r="AA2419" s="223"/>
      <c r="AC2419" s="889"/>
      <c r="AF2419" s="890"/>
      <c r="AJ2419" s="889"/>
      <c r="AN2419" s="222"/>
      <c r="BC2419" s="223"/>
      <c r="BD2419" s="222"/>
      <c r="BH2419" s="611"/>
      <c r="BJ2419" s="15"/>
      <c r="BK2419" s="15"/>
      <c r="BO2419" s="223"/>
      <c r="BQ2419" s="889"/>
      <c r="BT2419" s="890"/>
      <c r="BX2419" s="889"/>
      <c r="CB2419" s="15"/>
      <c r="CC2419" s="697"/>
      <c r="CD2419" s="1086"/>
      <c r="CE2419" s="15"/>
      <c r="CF2419" s="15"/>
      <c r="CG2419" s="936"/>
      <c r="CH2419" s="15"/>
      <c r="CI2419" s="15"/>
      <c r="CJ2419" s="15"/>
      <c r="CK2419" s="1107"/>
      <c r="CL2419" s="22"/>
      <c r="CM2419" s="22"/>
      <c r="CN2419" s="1107"/>
      <c r="CR2419" s="223"/>
      <c r="CS2419" s="952"/>
      <c r="CT2419" s="1066"/>
      <c r="CU2419" s="972"/>
      <c r="CV2419" s="983"/>
      <c r="CW2419" s="222"/>
      <c r="CX2419" s="697"/>
      <c r="DC2419" s="222"/>
      <c r="DJ2419" s="889"/>
      <c r="DM2419" s="890"/>
      <c r="DN2419" s="952"/>
      <c r="DO2419" s="75"/>
      <c r="DP2419" s="962"/>
      <c r="DQ2419" s="983"/>
      <c r="DV2419" s="889"/>
    </row>
    <row r="2420" spans="1:126" s="74" customFormat="1">
      <c r="A2420" s="15"/>
      <c r="B2420" s="15"/>
      <c r="C2420" s="15"/>
      <c r="D2420" s="15"/>
      <c r="E2420" s="6"/>
      <c r="F2420" s="6"/>
      <c r="G2420" s="6"/>
      <c r="K2420" s="222"/>
      <c r="V2420" s="1430"/>
      <c r="AA2420" s="223"/>
      <c r="AC2420" s="889"/>
      <c r="AF2420" s="890"/>
      <c r="AJ2420" s="889"/>
      <c r="AN2420" s="222"/>
      <c r="BC2420" s="223"/>
      <c r="BD2420" s="222"/>
      <c r="BH2420" s="611"/>
      <c r="BJ2420" s="15"/>
      <c r="BK2420" s="15"/>
      <c r="BO2420" s="223"/>
      <c r="BQ2420" s="889"/>
      <c r="BT2420" s="890"/>
      <c r="BX2420" s="889"/>
      <c r="CB2420" s="15"/>
      <c r="CC2420" s="697"/>
      <c r="CD2420" s="1086"/>
      <c r="CE2420" s="15"/>
      <c r="CF2420" s="15"/>
      <c r="CG2420" s="936"/>
      <c r="CH2420" s="15"/>
      <c r="CI2420" s="15"/>
      <c r="CJ2420" s="15"/>
      <c r="CK2420" s="1107"/>
      <c r="CL2420" s="22"/>
      <c r="CM2420" s="22"/>
      <c r="CN2420" s="1107"/>
      <c r="CR2420" s="223"/>
      <c r="CS2420" s="952"/>
      <c r="CT2420" s="1066"/>
      <c r="CU2420" s="972"/>
      <c r="CV2420" s="983"/>
      <c r="CW2420" s="222"/>
      <c r="CX2420" s="697"/>
      <c r="DC2420" s="222"/>
      <c r="DJ2420" s="889"/>
      <c r="DM2420" s="890"/>
      <c r="DN2420" s="952"/>
      <c r="DO2420" s="75"/>
      <c r="DP2420" s="962"/>
      <c r="DQ2420" s="983"/>
      <c r="DV2420" s="889"/>
    </row>
    <row r="2421" spans="1:126" s="74" customFormat="1">
      <c r="A2421" s="15"/>
      <c r="B2421" s="15"/>
      <c r="C2421" s="15"/>
      <c r="D2421" s="15"/>
      <c r="E2421" s="6"/>
      <c r="F2421" s="6"/>
      <c r="G2421" s="6"/>
      <c r="K2421" s="222"/>
      <c r="V2421" s="1430"/>
      <c r="AA2421" s="223"/>
      <c r="AC2421" s="889"/>
      <c r="AF2421" s="890"/>
      <c r="AJ2421" s="889"/>
      <c r="AN2421" s="222"/>
      <c r="BC2421" s="223"/>
      <c r="BD2421" s="222"/>
      <c r="BH2421" s="611"/>
      <c r="BJ2421" s="15"/>
      <c r="BK2421" s="15"/>
      <c r="BO2421" s="223"/>
      <c r="BQ2421" s="889"/>
      <c r="BT2421" s="890"/>
      <c r="BX2421" s="889"/>
      <c r="CB2421" s="15"/>
      <c r="CC2421" s="697"/>
      <c r="CD2421" s="1086"/>
      <c r="CE2421" s="15"/>
      <c r="CF2421" s="15"/>
      <c r="CG2421" s="936"/>
      <c r="CH2421" s="15"/>
      <c r="CI2421" s="15"/>
      <c r="CJ2421" s="15"/>
      <c r="CK2421" s="1107"/>
      <c r="CL2421" s="22"/>
      <c r="CM2421" s="22"/>
      <c r="CN2421" s="1107"/>
      <c r="CR2421" s="223"/>
      <c r="CS2421" s="952"/>
      <c r="CT2421" s="1066"/>
      <c r="CU2421" s="972"/>
      <c r="CV2421" s="983"/>
      <c r="CW2421" s="222"/>
      <c r="CX2421" s="697"/>
      <c r="DC2421" s="222"/>
      <c r="DJ2421" s="889"/>
      <c r="DM2421" s="890"/>
      <c r="DN2421" s="952"/>
      <c r="DO2421" s="75"/>
      <c r="DP2421" s="962"/>
      <c r="DQ2421" s="983"/>
      <c r="DV2421" s="889"/>
    </row>
    <row r="2422" spans="1:126" s="74" customFormat="1">
      <c r="A2422" s="15"/>
      <c r="B2422" s="15"/>
      <c r="C2422" s="15"/>
      <c r="D2422" s="15"/>
      <c r="E2422" s="6"/>
      <c r="F2422" s="6"/>
      <c r="G2422" s="6"/>
      <c r="K2422" s="222"/>
      <c r="V2422" s="1430"/>
      <c r="AA2422" s="223"/>
      <c r="AC2422" s="889"/>
      <c r="AF2422" s="890"/>
      <c r="AJ2422" s="889"/>
      <c r="AN2422" s="222"/>
      <c r="BC2422" s="223"/>
      <c r="BD2422" s="222"/>
      <c r="BH2422" s="611"/>
      <c r="BJ2422" s="15"/>
      <c r="BK2422" s="15"/>
      <c r="BO2422" s="223"/>
      <c r="BQ2422" s="889"/>
      <c r="BT2422" s="890"/>
      <c r="BX2422" s="889"/>
      <c r="CB2422" s="15"/>
      <c r="CC2422" s="697"/>
      <c r="CD2422" s="1086"/>
      <c r="CE2422" s="15"/>
      <c r="CF2422" s="15"/>
      <c r="CG2422" s="936"/>
      <c r="CH2422" s="15"/>
      <c r="CI2422" s="15"/>
      <c r="CJ2422" s="15"/>
      <c r="CK2422" s="1107"/>
      <c r="CL2422" s="22"/>
      <c r="CM2422" s="22"/>
      <c r="CN2422" s="1107"/>
      <c r="CR2422" s="223"/>
      <c r="CS2422" s="952"/>
      <c r="CT2422" s="1066"/>
      <c r="CU2422" s="972"/>
      <c r="CV2422" s="983"/>
      <c r="CW2422" s="222"/>
      <c r="CX2422" s="697"/>
      <c r="DC2422" s="222"/>
      <c r="DJ2422" s="889"/>
      <c r="DM2422" s="890"/>
      <c r="DN2422" s="952"/>
      <c r="DO2422" s="75"/>
      <c r="DP2422" s="962"/>
      <c r="DQ2422" s="983"/>
      <c r="DV2422" s="889"/>
    </row>
    <row r="2423" spans="1:126" s="74" customFormat="1">
      <c r="A2423" s="15"/>
      <c r="B2423" s="15"/>
      <c r="C2423" s="15"/>
      <c r="D2423" s="15"/>
      <c r="E2423" s="6"/>
      <c r="F2423" s="6"/>
      <c r="G2423" s="6"/>
      <c r="K2423" s="222"/>
      <c r="V2423" s="1430"/>
      <c r="AA2423" s="223"/>
      <c r="AC2423" s="889"/>
      <c r="AF2423" s="890"/>
      <c r="AJ2423" s="889"/>
      <c r="AN2423" s="222"/>
      <c r="BC2423" s="223"/>
      <c r="BD2423" s="222"/>
      <c r="BH2423" s="611"/>
      <c r="BJ2423" s="15"/>
      <c r="BK2423" s="15"/>
      <c r="BO2423" s="223"/>
      <c r="BQ2423" s="889"/>
      <c r="BT2423" s="890"/>
      <c r="BX2423" s="889"/>
      <c r="CB2423" s="15"/>
      <c r="CC2423" s="697"/>
      <c r="CD2423" s="1086"/>
      <c r="CE2423" s="15"/>
      <c r="CF2423" s="15"/>
      <c r="CG2423" s="936"/>
      <c r="CH2423" s="15"/>
      <c r="CI2423" s="15"/>
      <c r="CJ2423" s="15"/>
      <c r="CK2423" s="1107"/>
      <c r="CL2423" s="22"/>
      <c r="CM2423" s="22"/>
      <c r="CN2423" s="1107"/>
      <c r="CR2423" s="223"/>
      <c r="CS2423" s="952"/>
      <c r="CT2423" s="1066"/>
      <c r="CU2423" s="972"/>
      <c r="CV2423" s="983"/>
      <c r="CW2423" s="222"/>
      <c r="CX2423" s="697"/>
      <c r="DC2423" s="222"/>
      <c r="DJ2423" s="889"/>
      <c r="DM2423" s="890"/>
      <c r="DN2423" s="952"/>
      <c r="DO2423" s="75"/>
      <c r="DP2423" s="962"/>
      <c r="DQ2423" s="983"/>
      <c r="DV2423" s="889"/>
    </row>
    <row r="2424" spans="1:126" s="74" customFormat="1">
      <c r="A2424" s="15"/>
      <c r="B2424" s="15"/>
      <c r="C2424" s="15"/>
      <c r="D2424" s="15"/>
      <c r="E2424" s="6"/>
      <c r="F2424" s="6"/>
      <c r="G2424" s="6"/>
      <c r="K2424" s="222"/>
      <c r="V2424" s="1430"/>
      <c r="AA2424" s="223"/>
      <c r="AC2424" s="889"/>
      <c r="AF2424" s="890"/>
      <c r="AJ2424" s="889"/>
      <c r="AN2424" s="222"/>
      <c r="BC2424" s="223"/>
      <c r="BD2424" s="222"/>
      <c r="BH2424" s="611"/>
      <c r="BJ2424" s="15"/>
      <c r="BK2424" s="15"/>
      <c r="BO2424" s="223"/>
      <c r="BQ2424" s="889"/>
      <c r="BT2424" s="890"/>
      <c r="BX2424" s="889"/>
      <c r="CB2424" s="15"/>
      <c r="CC2424" s="697"/>
      <c r="CD2424" s="1086"/>
      <c r="CE2424" s="15"/>
      <c r="CF2424" s="15"/>
      <c r="CG2424" s="936"/>
      <c r="CH2424" s="15"/>
      <c r="CI2424" s="15"/>
      <c r="CJ2424" s="15"/>
      <c r="CK2424" s="1107"/>
      <c r="CL2424" s="22"/>
      <c r="CM2424" s="22"/>
      <c r="CN2424" s="1107"/>
      <c r="CR2424" s="223"/>
      <c r="CS2424" s="952"/>
      <c r="CT2424" s="1066"/>
      <c r="CU2424" s="972"/>
      <c r="CV2424" s="983"/>
      <c r="CW2424" s="222"/>
      <c r="CX2424" s="697"/>
      <c r="DC2424" s="222"/>
      <c r="DJ2424" s="889"/>
      <c r="DM2424" s="890"/>
      <c r="DN2424" s="952"/>
      <c r="DO2424" s="75"/>
      <c r="DP2424" s="962"/>
      <c r="DQ2424" s="983"/>
      <c r="DV2424" s="889"/>
    </row>
    <row r="2425" spans="1:126" s="74" customFormat="1">
      <c r="A2425" s="15"/>
      <c r="B2425" s="15"/>
      <c r="C2425" s="15"/>
      <c r="D2425" s="15"/>
      <c r="E2425" s="6"/>
      <c r="F2425" s="6"/>
      <c r="G2425" s="6"/>
      <c r="K2425" s="222"/>
      <c r="V2425" s="1430"/>
      <c r="AA2425" s="223"/>
      <c r="AC2425" s="889"/>
      <c r="AF2425" s="890"/>
      <c r="AJ2425" s="889"/>
      <c r="AN2425" s="222"/>
      <c r="BC2425" s="223"/>
      <c r="BD2425" s="222"/>
      <c r="BH2425" s="611"/>
      <c r="BJ2425" s="15"/>
      <c r="BK2425" s="15"/>
      <c r="BO2425" s="223"/>
      <c r="BQ2425" s="889"/>
      <c r="BT2425" s="890"/>
      <c r="BX2425" s="889"/>
      <c r="CB2425" s="15"/>
      <c r="CC2425" s="697"/>
      <c r="CD2425" s="1086"/>
      <c r="CE2425" s="15"/>
      <c r="CF2425" s="15"/>
      <c r="CG2425" s="936"/>
      <c r="CH2425" s="15"/>
      <c r="CI2425" s="15"/>
      <c r="CJ2425" s="15"/>
      <c r="CK2425" s="1107"/>
      <c r="CL2425" s="22"/>
      <c r="CM2425" s="22"/>
      <c r="CN2425" s="1107"/>
      <c r="CR2425" s="223"/>
      <c r="CS2425" s="952"/>
      <c r="CT2425" s="1066"/>
      <c r="CU2425" s="972"/>
      <c r="CV2425" s="983"/>
      <c r="CW2425" s="222"/>
      <c r="CX2425" s="697"/>
      <c r="DC2425" s="222"/>
      <c r="DJ2425" s="889"/>
      <c r="DM2425" s="890"/>
      <c r="DN2425" s="952"/>
      <c r="DO2425" s="75"/>
      <c r="DP2425" s="962"/>
      <c r="DQ2425" s="983"/>
      <c r="DV2425" s="889"/>
    </row>
    <row r="2426" spans="1:126" s="74" customFormat="1">
      <c r="A2426" s="15"/>
      <c r="B2426" s="15"/>
      <c r="C2426" s="15"/>
      <c r="D2426" s="15"/>
      <c r="E2426" s="6"/>
      <c r="F2426" s="6"/>
      <c r="G2426" s="6"/>
      <c r="K2426" s="222"/>
      <c r="V2426" s="1430"/>
      <c r="AA2426" s="223"/>
      <c r="AC2426" s="889"/>
      <c r="AF2426" s="890"/>
      <c r="AJ2426" s="889"/>
      <c r="AN2426" s="222"/>
      <c r="BC2426" s="223"/>
      <c r="BD2426" s="222"/>
      <c r="BH2426" s="611"/>
      <c r="BJ2426" s="15"/>
      <c r="BK2426" s="15"/>
      <c r="BO2426" s="223"/>
      <c r="BQ2426" s="889"/>
      <c r="BT2426" s="890"/>
      <c r="BX2426" s="889"/>
      <c r="CB2426" s="15"/>
      <c r="CC2426" s="697"/>
      <c r="CD2426" s="1086"/>
      <c r="CE2426" s="15"/>
      <c r="CF2426" s="15"/>
      <c r="CG2426" s="936"/>
      <c r="CH2426" s="15"/>
      <c r="CI2426" s="15"/>
      <c r="CJ2426" s="15"/>
      <c r="CK2426" s="1107"/>
      <c r="CL2426" s="22"/>
      <c r="CM2426" s="22"/>
      <c r="CN2426" s="1107"/>
      <c r="CR2426" s="223"/>
      <c r="CS2426" s="952"/>
      <c r="CT2426" s="1066"/>
      <c r="CU2426" s="972"/>
      <c r="CV2426" s="983"/>
      <c r="CW2426" s="222"/>
      <c r="CX2426" s="697"/>
      <c r="DC2426" s="222"/>
      <c r="DJ2426" s="889"/>
      <c r="DM2426" s="890"/>
      <c r="DN2426" s="952"/>
      <c r="DO2426" s="75"/>
      <c r="DP2426" s="962"/>
      <c r="DQ2426" s="983"/>
      <c r="DV2426" s="889"/>
    </row>
    <row r="2427" spans="1:126" s="74" customFormat="1">
      <c r="A2427" s="15"/>
      <c r="B2427" s="15"/>
      <c r="C2427" s="15"/>
      <c r="D2427" s="15"/>
      <c r="E2427" s="6"/>
      <c r="F2427" s="6"/>
      <c r="G2427" s="6"/>
      <c r="K2427" s="222"/>
      <c r="V2427" s="1430"/>
      <c r="AA2427" s="223"/>
      <c r="AC2427" s="889"/>
      <c r="AF2427" s="890"/>
      <c r="AJ2427" s="889"/>
      <c r="AN2427" s="222"/>
      <c r="BC2427" s="223"/>
      <c r="BD2427" s="222"/>
      <c r="BH2427" s="611"/>
      <c r="BJ2427" s="15"/>
      <c r="BK2427" s="15"/>
      <c r="BO2427" s="223"/>
      <c r="BQ2427" s="889"/>
      <c r="BT2427" s="890"/>
      <c r="BX2427" s="889"/>
      <c r="CB2427" s="15"/>
      <c r="CC2427" s="697"/>
      <c r="CD2427" s="1086"/>
      <c r="CE2427" s="15"/>
      <c r="CF2427" s="15"/>
      <c r="CG2427" s="936"/>
      <c r="CH2427" s="15"/>
      <c r="CI2427" s="15"/>
      <c r="CJ2427" s="15"/>
      <c r="CK2427" s="1107"/>
      <c r="CL2427" s="22"/>
      <c r="CM2427" s="22"/>
      <c r="CN2427" s="1107"/>
      <c r="CR2427" s="223"/>
      <c r="CS2427" s="952"/>
      <c r="CT2427" s="1066"/>
      <c r="CU2427" s="972"/>
      <c r="CV2427" s="983"/>
      <c r="CW2427" s="222"/>
      <c r="CX2427" s="697"/>
      <c r="DC2427" s="222"/>
      <c r="DJ2427" s="889"/>
      <c r="DM2427" s="890"/>
      <c r="DN2427" s="952"/>
      <c r="DO2427" s="75"/>
      <c r="DP2427" s="962"/>
      <c r="DQ2427" s="983"/>
      <c r="DV2427" s="889"/>
    </row>
    <row r="2428" spans="1:126" s="74" customFormat="1">
      <c r="A2428" s="15"/>
      <c r="B2428" s="15"/>
      <c r="C2428" s="15"/>
      <c r="D2428" s="15"/>
      <c r="E2428" s="6"/>
      <c r="F2428" s="6"/>
      <c r="G2428" s="6"/>
      <c r="K2428" s="222"/>
      <c r="V2428" s="1430"/>
      <c r="AA2428" s="223"/>
      <c r="AC2428" s="889"/>
      <c r="AF2428" s="890"/>
      <c r="AJ2428" s="889"/>
      <c r="AN2428" s="222"/>
      <c r="BC2428" s="223"/>
      <c r="BD2428" s="222"/>
      <c r="BH2428" s="611"/>
      <c r="BJ2428" s="15"/>
      <c r="BK2428" s="15"/>
      <c r="BO2428" s="223"/>
      <c r="BQ2428" s="889"/>
      <c r="BT2428" s="890"/>
      <c r="BX2428" s="889"/>
      <c r="CB2428" s="15"/>
      <c r="CC2428" s="697"/>
      <c r="CD2428" s="1086"/>
      <c r="CE2428" s="15"/>
      <c r="CF2428" s="15"/>
      <c r="CG2428" s="936"/>
      <c r="CH2428" s="15"/>
      <c r="CI2428" s="15"/>
      <c r="CJ2428" s="15"/>
      <c r="CK2428" s="1107"/>
      <c r="CL2428" s="22"/>
      <c r="CM2428" s="22"/>
      <c r="CN2428" s="1107"/>
      <c r="CR2428" s="223"/>
      <c r="CS2428" s="952"/>
      <c r="CT2428" s="1066"/>
      <c r="CU2428" s="972"/>
      <c r="CV2428" s="983"/>
      <c r="CW2428" s="222"/>
      <c r="CX2428" s="697"/>
      <c r="DC2428" s="222"/>
      <c r="DJ2428" s="889"/>
      <c r="DM2428" s="890"/>
      <c r="DN2428" s="952"/>
      <c r="DO2428" s="75"/>
      <c r="DP2428" s="962"/>
      <c r="DQ2428" s="983"/>
      <c r="DV2428" s="889"/>
    </row>
    <row r="2429" spans="1:126" s="74" customFormat="1">
      <c r="A2429" s="15"/>
      <c r="B2429" s="15"/>
      <c r="C2429" s="15"/>
      <c r="D2429" s="15"/>
      <c r="E2429" s="6"/>
      <c r="F2429" s="6"/>
      <c r="G2429" s="6"/>
      <c r="K2429" s="222"/>
      <c r="V2429" s="1430"/>
      <c r="AA2429" s="223"/>
      <c r="AC2429" s="889"/>
      <c r="AF2429" s="890"/>
      <c r="AJ2429" s="889"/>
      <c r="AN2429" s="222"/>
      <c r="BC2429" s="223"/>
      <c r="BD2429" s="222"/>
      <c r="BH2429" s="611"/>
      <c r="BJ2429" s="15"/>
      <c r="BK2429" s="15"/>
      <c r="BO2429" s="223"/>
      <c r="BQ2429" s="889"/>
      <c r="BT2429" s="890"/>
      <c r="BX2429" s="889"/>
      <c r="CB2429" s="15"/>
      <c r="CC2429" s="697"/>
      <c r="CD2429" s="1086"/>
      <c r="CE2429" s="15"/>
      <c r="CF2429" s="15"/>
      <c r="CG2429" s="936"/>
      <c r="CH2429" s="15"/>
      <c r="CI2429" s="15"/>
      <c r="CJ2429" s="15"/>
      <c r="CK2429" s="1107"/>
      <c r="CL2429" s="22"/>
      <c r="CM2429" s="22"/>
      <c r="CN2429" s="1107"/>
      <c r="CR2429" s="223"/>
      <c r="CS2429" s="952"/>
      <c r="CT2429" s="1066"/>
      <c r="CU2429" s="972"/>
      <c r="CV2429" s="983"/>
      <c r="CW2429" s="222"/>
      <c r="CX2429" s="697"/>
      <c r="DC2429" s="222"/>
      <c r="DJ2429" s="889"/>
      <c r="DM2429" s="890"/>
      <c r="DN2429" s="952"/>
      <c r="DO2429" s="75"/>
      <c r="DP2429" s="962"/>
      <c r="DQ2429" s="983"/>
      <c r="DV2429" s="889"/>
    </row>
    <row r="2430" spans="1:126" s="74" customFormat="1">
      <c r="A2430" s="15"/>
      <c r="B2430" s="15"/>
      <c r="C2430" s="15"/>
      <c r="D2430" s="15"/>
      <c r="E2430" s="6"/>
      <c r="F2430" s="6"/>
      <c r="G2430" s="6"/>
      <c r="K2430" s="222"/>
      <c r="V2430" s="1430"/>
      <c r="AA2430" s="223"/>
      <c r="AC2430" s="889"/>
      <c r="AF2430" s="890"/>
      <c r="AJ2430" s="889"/>
      <c r="AN2430" s="222"/>
      <c r="BC2430" s="223"/>
      <c r="BD2430" s="222"/>
      <c r="BH2430" s="611"/>
      <c r="BJ2430" s="15"/>
      <c r="BK2430" s="15"/>
      <c r="BO2430" s="223"/>
      <c r="BQ2430" s="889"/>
      <c r="BT2430" s="890"/>
      <c r="BX2430" s="889"/>
      <c r="CB2430" s="15"/>
      <c r="CC2430" s="697"/>
      <c r="CD2430" s="1086"/>
      <c r="CE2430" s="15"/>
      <c r="CF2430" s="15"/>
      <c r="CG2430" s="936"/>
      <c r="CH2430" s="15"/>
      <c r="CI2430" s="15"/>
      <c r="CJ2430" s="15"/>
      <c r="CK2430" s="1107"/>
      <c r="CL2430" s="22"/>
      <c r="CM2430" s="22"/>
      <c r="CN2430" s="1107"/>
      <c r="CR2430" s="223"/>
      <c r="CS2430" s="952"/>
      <c r="CT2430" s="1066"/>
      <c r="CU2430" s="972"/>
      <c r="CV2430" s="983"/>
      <c r="CW2430" s="222"/>
      <c r="CX2430" s="697"/>
      <c r="DC2430" s="222"/>
      <c r="DJ2430" s="889"/>
      <c r="DM2430" s="890"/>
      <c r="DN2430" s="952"/>
      <c r="DO2430" s="75"/>
      <c r="DP2430" s="962"/>
      <c r="DQ2430" s="983"/>
      <c r="DV2430" s="889"/>
    </row>
    <row r="2431" spans="1:126" s="74" customFormat="1">
      <c r="A2431" s="15"/>
      <c r="B2431" s="15"/>
      <c r="C2431" s="15"/>
      <c r="D2431" s="15"/>
      <c r="E2431" s="6"/>
      <c r="F2431" s="6"/>
      <c r="G2431" s="6"/>
      <c r="K2431" s="222"/>
      <c r="V2431" s="1430"/>
      <c r="AA2431" s="223"/>
      <c r="AC2431" s="889"/>
      <c r="AF2431" s="890"/>
      <c r="AJ2431" s="889"/>
      <c r="AN2431" s="222"/>
      <c r="BC2431" s="223"/>
      <c r="BD2431" s="222"/>
      <c r="BH2431" s="611"/>
      <c r="BJ2431" s="15"/>
      <c r="BK2431" s="15"/>
      <c r="BO2431" s="223"/>
      <c r="BQ2431" s="889"/>
      <c r="BT2431" s="890"/>
      <c r="BX2431" s="889"/>
      <c r="CB2431" s="15"/>
      <c r="CC2431" s="697"/>
      <c r="CD2431" s="1086"/>
      <c r="CE2431" s="15"/>
      <c r="CF2431" s="15"/>
      <c r="CG2431" s="936"/>
      <c r="CH2431" s="15"/>
      <c r="CI2431" s="15"/>
      <c r="CJ2431" s="15"/>
      <c r="CK2431" s="1107"/>
      <c r="CL2431" s="22"/>
      <c r="CM2431" s="22"/>
      <c r="CN2431" s="1107"/>
      <c r="CR2431" s="223"/>
      <c r="CS2431" s="952"/>
      <c r="CT2431" s="1066"/>
      <c r="CU2431" s="972"/>
      <c r="CV2431" s="983"/>
      <c r="CW2431" s="222"/>
      <c r="CX2431" s="697"/>
      <c r="DC2431" s="222"/>
      <c r="DJ2431" s="889"/>
      <c r="DM2431" s="890"/>
      <c r="DN2431" s="952"/>
      <c r="DO2431" s="75"/>
      <c r="DP2431" s="962"/>
      <c r="DQ2431" s="983"/>
      <c r="DV2431" s="889"/>
    </row>
    <row r="2432" spans="1:126" s="74" customFormat="1">
      <c r="A2432" s="15"/>
      <c r="B2432" s="15"/>
      <c r="C2432" s="15"/>
      <c r="D2432" s="15"/>
      <c r="E2432" s="6"/>
      <c r="F2432" s="6"/>
      <c r="G2432" s="6"/>
      <c r="K2432" s="222"/>
      <c r="V2432" s="1430"/>
      <c r="AA2432" s="223"/>
      <c r="AC2432" s="889"/>
      <c r="AF2432" s="890"/>
      <c r="AJ2432" s="889"/>
      <c r="AN2432" s="222"/>
      <c r="BC2432" s="223"/>
      <c r="BD2432" s="222"/>
      <c r="BH2432" s="611"/>
      <c r="BJ2432" s="15"/>
      <c r="BK2432" s="15"/>
      <c r="BO2432" s="223"/>
      <c r="BQ2432" s="889"/>
      <c r="BT2432" s="890"/>
      <c r="BX2432" s="889"/>
      <c r="CB2432" s="15"/>
      <c r="CC2432" s="697"/>
      <c r="CD2432" s="1086"/>
      <c r="CE2432" s="15"/>
      <c r="CF2432" s="15"/>
      <c r="CG2432" s="936"/>
      <c r="CH2432" s="15"/>
      <c r="CI2432" s="15"/>
      <c r="CJ2432" s="15"/>
      <c r="CK2432" s="1107"/>
      <c r="CL2432" s="22"/>
      <c r="CM2432" s="22"/>
      <c r="CN2432" s="1107"/>
      <c r="CR2432" s="223"/>
      <c r="CS2432" s="952"/>
      <c r="CT2432" s="1066"/>
      <c r="CU2432" s="972"/>
      <c r="CV2432" s="983"/>
      <c r="CW2432" s="222"/>
      <c r="CX2432" s="697"/>
      <c r="DC2432" s="222"/>
      <c r="DJ2432" s="889"/>
      <c r="DM2432" s="890"/>
      <c r="DN2432" s="952"/>
      <c r="DO2432" s="75"/>
      <c r="DP2432" s="962"/>
      <c r="DQ2432" s="983"/>
      <c r="DV2432" s="889"/>
    </row>
    <row r="2433" spans="1:126" s="74" customFormat="1">
      <c r="A2433" s="15"/>
      <c r="B2433" s="15"/>
      <c r="C2433" s="15"/>
      <c r="D2433" s="15"/>
      <c r="E2433" s="6"/>
      <c r="F2433" s="6"/>
      <c r="G2433" s="6"/>
      <c r="K2433" s="222"/>
      <c r="V2433" s="1430"/>
      <c r="AA2433" s="223"/>
      <c r="AC2433" s="889"/>
      <c r="AF2433" s="890"/>
      <c r="AJ2433" s="889"/>
      <c r="AN2433" s="222"/>
      <c r="BC2433" s="223"/>
      <c r="BD2433" s="222"/>
      <c r="BH2433" s="611"/>
      <c r="BJ2433" s="15"/>
      <c r="BK2433" s="15"/>
      <c r="BO2433" s="223"/>
      <c r="BQ2433" s="889"/>
      <c r="BT2433" s="890"/>
      <c r="BX2433" s="889"/>
      <c r="CB2433" s="15"/>
      <c r="CC2433" s="697"/>
      <c r="CD2433" s="1086"/>
      <c r="CE2433" s="15"/>
      <c r="CF2433" s="15"/>
      <c r="CG2433" s="936"/>
      <c r="CH2433" s="15"/>
      <c r="CI2433" s="15"/>
      <c r="CJ2433" s="15"/>
      <c r="CK2433" s="1107"/>
      <c r="CL2433" s="22"/>
      <c r="CM2433" s="22"/>
      <c r="CN2433" s="1107"/>
      <c r="CR2433" s="223"/>
      <c r="CS2433" s="952"/>
      <c r="CT2433" s="1066"/>
      <c r="CU2433" s="972"/>
      <c r="CV2433" s="983"/>
      <c r="CW2433" s="222"/>
      <c r="CX2433" s="697"/>
      <c r="DC2433" s="222"/>
      <c r="DJ2433" s="889"/>
      <c r="DM2433" s="890"/>
      <c r="DN2433" s="952"/>
      <c r="DO2433" s="75"/>
      <c r="DP2433" s="962"/>
      <c r="DQ2433" s="983"/>
      <c r="DV2433" s="889"/>
    </row>
    <row r="2434" spans="1:126" s="74" customFormat="1">
      <c r="A2434" s="15"/>
      <c r="B2434" s="15"/>
      <c r="C2434" s="15"/>
      <c r="D2434" s="15"/>
      <c r="E2434" s="6"/>
      <c r="F2434" s="6"/>
      <c r="G2434" s="6"/>
      <c r="K2434" s="222"/>
      <c r="V2434" s="1430"/>
      <c r="AA2434" s="223"/>
      <c r="AC2434" s="889"/>
      <c r="AF2434" s="890"/>
      <c r="AJ2434" s="889"/>
      <c r="AN2434" s="222"/>
      <c r="BC2434" s="223"/>
      <c r="BD2434" s="222"/>
      <c r="BH2434" s="611"/>
      <c r="BJ2434" s="15"/>
      <c r="BK2434" s="15"/>
      <c r="BO2434" s="223"/>
      <c r="BQ2434" s="889"/>
      <c r="BT2434" s="890"/>
      <c r="BX2434" s="889"/>
      <c r="CB2434" s="15"/>
      <c r="CC2434" s="697"/>
      <c r="CD2434" s="1086"/>
      <c r="CE2434" s="15"/>
      <c r="CF2434" s="15"/>
      <c r="CG2434" s="936"/>
      <c r="CH2434" s="15"/>
      <c r="CI2434" s="15"/>
      <c r="CJ2434" s="15"/>
      <c r="CK2434" s="1107"/>
      <c r="CL2434" s="22"/>
      <c r="CM2434" s="22"/>
      <c r="CN2434" s="1107"/>
      <c r="CR2434" s="223"/>
      <c r="CS2434" s="952"/>
      <c r="CT2434" s="1066"/>
      <c r="CU2434" s="972"/>
      <c r="CV2434" s="983"/>
      <c r="CW2434" s="222"/>
      <c r="CX2434" s="697"/>
      <c r="DC2434" s="222"/>
      <c r="DJ2434" s="889"/>
      <c r="DM2434" s="890"/>
      <c r="DN2434" s="952"/>
      <c r="DO2434" s="75"/>
      <c r="DP2434" s="962"/>
      <c r="DQ2434" s="983"/>
      <c r="DV2434" s="889"/>
    </row>
    <row r="2435" spans="1:126" s="74" customFormat="1">
      <c r="A2435" s="15"/>
      <c r="B2435" s="15"/>
      <c r="C2435" s="15"/>
      <c r="D2435" s="15"/>
      <c r="E2435" s="6"/>
      <c r="F2435" s="6"/>
      <c r="G2435" s="6"/>
      <c r="K2435" s="222"/>
      <c r="V2435" s="1430"/>
      <c r="AA2435" s="223"/>
      <c r="AC2435" s="889"/>
      <c r="AF2435" s="890"/>
      <c r="AJ2435" s="889"/>
      <c r="AN2435" s="222"/>
      <c r="BC2435" s="223"/>
      <c r="BD2435" s="222"/>
      <c r="BH2435" s="611"/>
      <c r="BJ2435" s="15"/>
      <c r="BK2435" s="15"/>
      <c r="BO2435" s="223"/>
      <c r="BQ2435" s="889"/>
      <c r="BT2435" s="890"/>
      <c r="BX2435" s="889"/>
      <c r="CB2435" s="15"/>
      <c r="CC2435" s="697"/>
      <c r="CD2435" s="1086"/>
      <c r="CE2435" s="15"/>
      <c r="CF2435" s="15"/>
      <c r="CG2435" s="936"/>
      <c r="CH2435" s="15"/>
      <c r="CI2435" s="15"/>
      <c r="CJ2435" s="15"/>
      <c r="CK2435" s="1107"/>
      <c r="CL2435" s="22"/>
      <c r="CM2435" s="22"/>
      <c r="CN2435" s="1107"/>
      <c r="CR2435" s="223"/>
      <c r="CS2435" s="952"/>
      <c r="CT2435" s="1066"/>
      <c r="CU2435" s="972"/>
      <c r="CV2435" s="983"/>
      <c r="CW2435" s="222"/>
      <c r="CX2435" s="697"/>
      <c r="DC2435" s="222"/>
      <c r="DJ2435" s="889"/>
      <c r="DM2435" s="890"/>
      <c r="DN2435" s="952"/>
      <c r="DO2435" s="75"/>
      <c r="DP2435" s="962"/>
      <c r="DQ2435" s="983"/>
      <c r="DV2435" s="889"/>
    </row>
    <row r="2436" spans="1:126" s="74" customFormat="1">
      <c r="A2436" s="15"/>
      <c r="B2436" s="15"/>
      <c r="C2436" s="15"/>
      <c r="D2436" s="15"/>
      <c r="E2436" s="6"/>
      <c r="F2436" s="6"/>
      <c r="G2436" s="6"/>
      <c r="K2436" s="222"/>
      <c r="V2436" s="1430"/>
      <c r="AA2436" s="223"/>
      <c r="AC2436" s="889"/>
      <c r="AF2436" s="890"/>
      <c r="AJ2436" s="889"/>
      <c r="AN2436" s="222"/>
      <c r="BC2436" s="223"/>
      <c r="BD2436" s="222"/>
      <c r="BH2436" s="611"/>
      <c r="BJ2436" s="15"/>
      <c r="BK2436" s="15"/>
      <c r="BO2436" s="223"/>
      <c r="BQ2436" s="889"/>
      <c r="BT2436" s="890"/>
      <c r="BX2436" s="889"/>
      <c r="CB2436" s="15"/>
      <c r="CC2436" s="697"/>
      <c r="CD2436" s="1086"/>
      <c r="CE2436" s="15"/>
      <c r="CF2436" s="15"/>
      <c r="CG2436" s="936"/>
      <c r="CH2436" s="15"/>
      <c r="CI2436" s="15"/>
      <c r="CJ2436" s="15"/>
      <c r="CK2436" s="1107"/>
      <c r="CL2436" s="22"/>
      <c r="CM2436" s="22"/>
      <c r="CN2436" s="1107"/>
      <c r="CR2436" s="223"/>
      <c r="CS2436" s="952"/>
      <c r="CT2436" s="1066"/>
      <c r="CU2436" s="972"/>
      <c r="CV2436" s="983"/>
      <c r="CW2436" s="222"/>
      <c r="CX2436" s="697"/>
      <c r="DC2436" s="222"/>
      <c r="DJ2436" s="889"/>
      <c r="DM2436" s="890"/>
      <c r="DN2436" s="952"/>
      <c r="DO2436" s="75"/>
      <c r="DP2436" s="962"/>
      <c r="DQ2436" s="983"/>
      <c r="DV2436" s="889"/>
    </row>
    <row r="2437" spans="1:126" s="74" customFormat="1">
      <c r="A2437" s="15"/>
      <c r="B2437" s="15"/>
      <c r="C2437" s="15"/>
      <c r="D2437" s="15"/>
      <c r="E2437" s="6"/>
      <c r="F2437" s="6"/>
      <c r="G2437" s="6"/>
      <c r="K2437" s="222"/>
      <c r="V2437" s="1430"/>
      <c r="AA2437" s="223"/>
      <c r="AC2437" s="889"/>
      <c r="AF2437" s="890"/>
      <c r="AJ2437" s="889"/>
      <c r="AN2437" s="222"/>
      <c r="BC2437" s="223"/>
      <c r="BD2437" s="222"/>
      <c r="BH2437" s="611"/>
      <c r="BJ2437" s="15"/>
      <c r="BK2437" s="15"/>
      <c r="BO2437" s="223"/>
      <c r="BQ2437" s="889"/>
      <c r="BT2437" s="890"/>
      <c r="BX2437" s="889"/>
      <c r="CB2437" s="15"/>
      <c r="CC2437" s="697"/>
      <c r="CD2437" s="1086"/>
      <c r="CE2437" s="15"/>
      <c r="CF2437" s="15"/>
      <c r="CG2437" s="936"/>
      <c r="CH2437" s="15"/>
      <c r="CI2437" s="15"/>
      <c r="CJ2437" s="15"/>
      <c r="CK2437" s="1107"/>
      <c r="CL2437" s="22"/>
      <c r="CM2437" s="22"/>
      <c r="CN2437" s="1107"/>
      <c r="CR2437" s="223"/>
      <c r="CS2437" s="952"/>
      <c r="CT2437" s="1066"/>
      <c r="CU2437" s="972"/>
      <c r="CV2437" s="983"/>
      <c r="CW2437" s="222"/>
      <c r="CX2437" s="697"/>
      <c r="DC2437" s="222"/>
      <c r="DJ2437" s="889"/>
      <c r="DM2437" s="890"/>
      <c r="DN2437" s="952"/>
      <c r="DO2437" s="75"/>
      <c r="DP2437" s="962"/>
      <c r="DQ2437" s="983"/>
      <c r="DV2437" s="889"/>
    </row>
    <row r="2438" spans="1:126" s="74" customFormat="1">
      <c r="A2438" s="15"/>
      <c r="B2438" s="15"/>
      <c r="C2438" s="15"/>
      <c r="D2438" s="15"/>
      <c r="E2438" s="6"/>
      <c r="F2438" s="6"/>
      <c r="G2438" s="6"/>
      <c r="K2438" s="222"/>
      <c r="V2438" s="1430"/>
      <c r="AA2438" s="223"/>
      <c r="AC2438" s="889"/>
      <c r="AF2438" s="890"/>
      <c r="AJ2438" s="889"/>
      <c r="AN2438" s="222"/>
      <c r="BC2438" s="223"/>
      <c r="BD2438" s="222"/>
      <c r="BH2438" s="611"/>
      <c r="BJ2438" s="15"/>
      <c r="BK2438" s="15"/>
      <c r="BO2438" s="223"/>
      <c r="BQ2438" s="889"/>
      <c r="BT2438" s="890"/>
      <c r="BX2438" s="889"/>
      <c r="CB2438" s="15"/>
      <c r="CC2438" s="697"/>
      <c r="CD2438" s="1086"/>
      <c r="CE2438" s="15"/>
      <c r="CF2438" s="15"/>
      <c r="CG2438" s="936"/>
      <c r="CH2438" s="15"/>
      <c r="CI2438" s="15"/>
      <c r="CJ2438" s="15"/>
      <c r="CK2438" s="1107"/>
      <c r="CL2438" s="22"/>
      <c r="CM2438" s="22"/>
      <c r="CN2438" s="1107"/>
      <c r="CR2438" s="223"/>
      <c r="CS2438" s="952"/>
      <c r="CT2438" s="1066"/>
      <c r="CU2438" s="972"/>
      <c r="CV2438" s="983"/>
      <c r="CW2438" s="222"/>
      <c r="CX2438" s="697"/>
      <c r="DC2438" s="222"/>
      <c r="DJ2438" s="889"/>
      <c r="DM2438" s="890"/>
      <c r="DN2438" s="952"/>
      <c r="DO2438" s="75"/>
      <c r="DP2438" s="962"/>
      <c r="DQ2438" s="983"/>
      <c r="DV2438" s="889"/>
    </row>
    <row r="2439" spans="1:126" s="74" customFormat="1">
      <c r="A2439" s="15"/>
      <c r="B2439" s="15"/>
      <c r="C2439" s="15"/>
      <c r="D2439" s="15"/>
      <c r="E2439" s="6"/>
      <c r="F2439" s="6"/>
      <c r="G2439" s="6"/>
      <c r="K2439" s="222"/>
      <c r="V2439" s="1430"/>
      <c r="AA2439" s="223"/>
      <c r="AC2439" s="889"/>
      <c r="AF2439" s="890"/>
      <c r="AJ2439" s="889"/>
      <c r="AN2439" s="222"/>
      <c r="BC2439" s="223"/>
      <c r="BD2439" s="222"/>
      <c r="BH2439" s="611"/>
      <c r="BJ2439" s="15"/>
      <c r="BK2439" s="15"/>
      <c r="BO2439" s="223"/>
      <c r="BQ2439" s="889"/>
      <c r="BT2439" s="890"/>
      <c r="BX2439" s="889"/>
      <c r="CB2439" s="15"/>
      <c r="CC2439" s="697"/>
      <c r="CD2439" s="1086"/>
      <c r="CE2439" s="15"/>
      <c r="CF2439" s="15"/>
      <c r="CG2439" s="936"/>
      <c r="CH2439" s="15"/>
      <c r="CI2439" s="15"/>
      <c r="CJ2439" s="15"/>
      <c r="CK2439" s="1107"/>
      <c r="CL2439" s="22"/>
      <c r="CM2439" s="22"/>
      <c r="CN2439" s="1107"/>
      <c r="CR2439" s="223"/>
      <c r="CS2439" s="952"/>
      <c r="CT2439" s="1066"/>
      <c r="CU2439" s="972"/>
      <c r="CV2439" s="983"/>
      <c r="CW2439" s="222"/>
      <c r="CX2439" s="697"/>
      <c r="DC2439" s="222"/>
      <c r="DJ2439" s="889"/>
      <c r="DM2439" s="890"/>
      <c r="DN2439" s="952"/>
      <c r="DO2439" s="75"/>
      <c r="DP2439" s="962"/>
      <c r="DQ2439" s="983"/>
      <c r="DV2439" s="889"/>
    </row>
    <row r="2440" spans="1:126" s="74" customFormat="1">
      <c r="A2440" s="15"/>
      <c r="B2440" s="15"/>
      <c r="C2440" s="15"/>
      <c r="D2440" s="15"/>
      <c r="E2440" s="6"/>
      <c r="F2440" s="6"/>
      <c r="G2440" s="6"/>
      <c r="K2440" s="222"/>
      <c r="V2440" s="1430"/>
      <c r="AA2440" s="223"/>
      <c r="AC2440" s="889"/>
      <c r="AF2440" s="890"/>
      <c r="AJ2440" s="889"/>
      <c r="AN2440" s="222"/>
      <c r="BC2440" s="223"/>
      <c r="BD2440" s="222"/>
      <c r="BH2440" s="611"/>
      <c r="BJ2440" s="15"/>
      <c r="BK2440" s="15"/>
      <c r="BO2440" s="223"/>
      <c r="BQ2440" s="889"/>
      <c r="BT2440" s="890"/>
      <c r="BX2440" s="889"/>
      <c r="CB2440" s="15"/>
      <c r="CC2440" s="697"/>
      <c r="CD2440" s="1086"/>
      <c r="CE2440" s="15"/>
      <c r="CF2440" s="15"/>
      <c r="CG2440" s="936"/>
      <c r="CH2440" s="15"/>
      <c r="CI2440" s="15"/>
      <c r="CJ2440" s="15"/>
      <c r="CK2440" s="1107"/>
      <c r="CL2440" s="22"/>
      <c r="CM2440" s="22"/>
      <c r="CN2440" s="1107"/>
      <c r="CR2440" s="223"/>
      <c r="CS2440" s="952"/>
      <c r="CT2440" s="1066"/>
      <c r="CU2440" s="972"/>
      <c r="CV2440" s="983"/>
      <c r="CW2440" s="222"/>
      <c r="CX2440" s="697"/>
      <c r="DC2440" s="222"/>
      <c r="DJ2440" s="889"/>
      <c r="DM2440" s="890"/>
      <c r="DN2440" s="952"/>
      <c r="DO2440" s="75"/>
      <c r="DP2440" s="962"/>
      <c r="DQ2440" s="983"/>
      <c r="DV2440" s="889"/>
    </row>
    <row r="2441" spans="1:126" s="74" customFormat="1">
      <c r="A2441" s="15"/>
      <c r="B2441" s="15"/>
      <c r="C2441" s="15"/>
      <c r="D2441" s="15"/>
      <c r="E2441" s="6"/>
      <c r="F2441" s="6"/>
      <c r="G2441" s="6"/>
      <c r="K2441" s="222"/>
      <c r="V2441" s="1430"/>
      <c r="AA2441" s="223"/>
      <c r="AC2441" s="889"/>
      <c r="AF2441" s="890"/>
      <c r="AJ2441" s="889"/>
      <c r="AN2441" s="222"/>
      <c r="BC2441" s="223"/>
      <c r="BD2441" s="222"/>
      <c r="BH2441" s="611"/>
      <c r="BJ2441" s="15"/>
      <c r="BK2441" s="15"/>
      <c r="BO2441" s="223"/>
      <c r="BQ2441" s="889"/>
      <c r="BT2441" s="890"/>
      <c r="BX2441" s="889"/>
      <c r="CB2441" s="15"/>
      <c r="CC2441" s="697"/>
      <c r="CD2441" s="1086"/>
      <c r="CE2441" s="15"/>
      <c r="CF2441" s="15"/>
      <c r="CG2441" s="936"/>
      <c r="CH2441" s="15"/>
      <c r="CI2441" s="15"/>
      <c r="CJ2441" s="15"/>
      <c r="CK2441" s="1107"/>
      <c r="CL2441" s="22"/>
      <c r="CM2441" s="22"/>
      <c r="CN2441" s="1107"/>
      <c r="CR2441" s="223"/>
      <c r="CS2441" s="952"/>
      <c r="CT2441" s="1066"/>
      <c r="CU2441" s="972"/>
      <c r="CV2441" s="983"/>
      <c r="CW2441" s="222"/>
      <c r="CX2441" s="697"/>
      <c r="DC2441" s="222"/>
      <c r="DJ2441" s="889"/>
      <c r="DM2441" s="890"/>
      <c r="DN2441" s="952"/>
      <c r="DO2441" s="75"/>
      <c r="DP2441" s="962"/>
      <c r="DQ2441" s="983"/>
      <c r="DV2441" s="889"/>
    </row>
    <row r="2442" spans="1:126" s="74" customFormat="1">
      <c r="A2442" s="15"/>
      <c r="B2442" s="15"/>
      <c r="C2442" s="15"/>
      <c r="D2442" s="15"/>
      <c r="E2442" s="6"/>
      <c r="F2442" s="6"/>
      <c r="G2442" s="6"/>
      <c r="K2442" s="222"/>
      <c r="V2442" s="1430"/>
      <c r="AA2442" s="223"/>
      <c r="AC2442" s="889"/>
      <c r="AF2442" s="890"/>
      <c r="AJ2442" s="889"/>
      <c r="AN2442" s="222"/>
      <c r="BC2442" s="223"/>
      <c r="BD2442" s="222"/>
      <c r="BH2442" s="611"/>
      <c r="BJ2442" s="15"/>
      <c r="BK2442" s="15"/>
      <c r="BO2442" s="223"/>
      <c r="BQ2442" s="889"/>
      <c r="BT2442" s="890"/>
      <c r="BX2442" s="889"/>
      <c r="CB2442" s="15"/>
      <c r="CC2442" s="697"/>
      <c r="CD2442" s="1086"/>
      <c r="CE2442" s="15"/>
      <c r="CF2442" s="15"/>
      <c r="CG2442" s="936"/>
      <c r="CH2442" s="15"/>
      <c r="CI2442" s="15"/>
      <c r="CJ2442" s="15"/>
      <c r="CK2442" s="1107"/>
      <c r="CL2442" s="22"/>
      <c r="CM2442" s="22"/>
      <c r="CN2442" s="1107"/>
      <c r="CR2442" s="223"/>
      <c r="CS2442" s="952"/>
      <c r="CT2442" s="1066"/>
      <c r="CU2442" s="972"/>
      <c r="CV2442" s="983"/>
      <c r="CW2442" s="222"/>
      <c r="CX2442" s="697"/>
      <c r="DC2442" s="222"/>
      <c r="DJ2442" s="889"/>
      <c r="DM2442" s="890"/>
      <c r="DN2442" s="952"/>
      <c r="DO2442" s="75"/>
      <c r="DP2442" s="962"/>
      <c r="DQ2442" s="983"/>
      <c r="DV2442" s="889"/>
    </row>
    <row r="2443" spans="1:126" s="74" customFormat="1">
      <c r="A2443" s="15"/>
      <c r="B2443" s="15"/>
      <c r="C2443" s="15"/>
      <c r="D2443" s="15"/>
      <c r="E2443" s="6"/>
      <c r="F2443" s="6"/>
      <c r="G2443" s="6"/>
      <c r="K2443" s="222"/>
      <c r="V2443" s="1430"/>
      <c r="AA2443" s="223"/>
      <c r="AC2443" s="889"/>
      <c r="AF2443" s="890"/>
      <c r="AJ2443" s="889"/>
      <c r="AN2443" s="222"/>
      <c r="BC2443" s="223"/>
      <c r="BD2443" s="222"/>
      <c r="BH2443" s="611"/>
      <c r="BJ2443" s="15"/>
      <c r="BK2443" s="15"/>
      <c r="BO2443" s="223"/>
      <c r="BQ2443" s="889"/>
      <c r="BT2443" s="890"/>
      <c r="BX2443" s="889"/>
      <c r="CB2443" s="15"/>
      <c r="CC2443" s="697"/>
      <c r="CD2443" s="1086"/>
      <c r="CE2443" s="15"/>
      <c r="CF2443" s="15"/>
      <c r="CG2443" s="936"/>
      <c r="CH2443" s="15"/>
      <c r="CI2443" s="15"/>
      <c r="CJ2443" s="15"/>
      <c r="CK2443" s="1107"/>
      <c r="CL2443" s="22"/>
      <c r="CM2443" s="22"/>
      <c r="CN2443" s="1107"/>
      <c r="CR2443" s="223"/>
      <c r="CS2443" s="952"/>
      <c r="CT2443" s="1066"/>
      <c r="CU2443" s="972"/>
      <c r="CV2443" s="983"/>
      <c r="CW2443" s="222"/>
      <c r="CX2443" s="697"/>
      <c r="DC2443" s="222"/>
      <c r="DJ2443" s="889"/>
      <c r="DM2443" s="890"/>
      <c r="DN2443" s="952"/>
      <c r="DO2443" s="75"/>
      <c r="DP2443" s="962"/>
      <c r="DQ2443" s="983"/>
      <c r="DV2443" s="889"/>
    </row>
    <row r="2444" spans="1:126" s="74" customFormat="1">
      <c r="A2444" s="15"/>
      <c r="B2444" s="15"/>
      <c r="C2444" s="15"/>
      <c r="D2444" s="15"/>
      <c r="E2444" s="6"/>
      <c r="F2444" s="6"/>
      <c r="G2444" s="6"/>
      <c r="K2444" s="222"/>
      <c r="V2444" s="1430"/>
      <c r="AA2444" s="223"/>
      <c r="AC2444" s="889"/>
      <c r="AF2444" s="890"/>
      <c r="AJ2444" s="889"/>
      <c r="AN2444" s="222"/>
      <c r="BC2444" s="223"/>
      <c r="BD2444" s="222"/>
      <c r="BH2444" s="611"/>
      <c r="BJ2444" s="15"/>
      <c r="BK2444" s="15"/>
      <c r="BO2444" s="223"/>
      <c r="BQ2444" s="889"/>
      <c r="BT2444" s="890"/>
      <c r="BX2444" s="889"/>
      <c r="CB2444" s="15"/>
      <c r="CC2444" s="697"/>
      <c r="CD2444" s="1086"/>
      <c r="CE2444" s="15"/>
      <c r="CF2444" s="15"/>
      <c r="CG2444" s="936"/>
      <c r="CH2444" s="15"/>
      <c r="CI2444" s="15"/>
      <c r="CJ2444" s="15"/>
      <c r="CK2444" s="1107"/>
      <c r="CL2444" s="22"/>
      <c r="CM2444" s="22"/>
      <c r="CN2444" s="1107"/>
      <c r="CR2444" s="223"/>
      <c r="CS2444" s="952"/>
      <c r="CT2444" s="1066"/>
      <c r="CU2444" s="972"/>
      <c r="CV2444" s="983"/>
      <c r="CW2444" s="222"/>
      <c r="CX2444" s="697"/>
      <c r="DC2444" s="222"/>
      <c r="DJ2444" s="889"/>
      <c r="DM2444" s="890"/>
      <c r="DN2444" s="952"/>
      <c r="DO2444" s="75"/>
      <c r="DP2444" s="962"/>
      <c r="DQ2444" s="983"/>
      <c r="DV2444" s="889"/>
    </row>
    <row r="2445" spans="1:126" s="74" customFormat="1">
      <c r="A2445" s="15"/>
      <c r="B2445" s="15"/>
      <c r="C2445" s="15"/>
      <c r="D2445" s="15"/>
      <c r="E2445" s="6"/>
      <c r="F2445" s="6"/>
      <c r="G2445" s="6"/>
      <c r="K2445" s="222"/>
      <c r="V2445" s="1430"/>
      <c r="AA2445" s="223"/>
      <c r="AC2445" s="889"/>
      <c r="AF2445" s="890"/>
      <c r="AJ2445" s="889"/>
      <c r="AN2445" s="222"/>
      <c r="BC2445" s="223"/>
      <c r="BD2445" s="222"/>
      <c r="BH2445" s="611"/>
      <c r="BJ2445" s="15"/>
      <c r="BK2445" s="15"/>
      <c r="BO2445" s="223"/>
      <c r="BQ2445" s="889"/>
      <c r="BT2445" s="890"/>
      <c r="BX2445" s="889"/>
      <c r="CB2445" s="15"/>
      <c r="CC2445" s="697"/>
      <c r="CD2445" s="1086"/>
      <c r="CE2445" s="15"/>
      <c r="CF2445" s="15"/>
      <c r="CG2445" s="936"/>
      <c r="CH2445" s="15"/>
      <c r="CI2445" s="15"/>
      <c r="CJ2445" s="15"/>
      <c r="CK2445" s="1107"/>
      <c r="CL2445" s="22"/>
      <c r="CM2445" s="22"/>
      <c r="CN2445" s="1107"/>
      <c r="CR2445" s="223"/>
      <c r="CS2445" s="952"/>
      <c r="CT2445" s="1066"/>
      <c r="CU2445" s="972"/>
      <c r="CV2445" s="983"/>
      <c r="CW2445" s="222"/>
      <c r="CX2445" s="697"/>
      <c r="DC2445" s="222"/>
      <c r="DJ2445" s="889"/>
      <c r="DM2445" s="890"/>
      <c r="DN2445" s="952"/>
      <c r="DO2445" s="75"/>
      <c r="DP2445" s="962"/>
      <c r="DQ2445" s="983"/>
      <c r="DV2445" s="889"/>
    </row>
    <row r="2446" spans="1:126" s="74" customFormat="1">
      <c r="A2446" s="15"/>
      <c r="B2446" s="15"/>
      <c r="C2446" s="15"/>
      <c r="D2446" s="15"/>
      <c r="E2446" s="6"/>
      <c r="F2446" s="6"/>
      <c r="G2446" s="6"/>
      <c r="K2446" s="222"/>
      <c r="V2446" s="1430"/>
      <c r="AA2446" s="223"/>
      <c r="AC2446" s="889"/>
      <c r="AF2446" s="890"/>
      <c r="AJ2446" s="889"/>
      <c r="AN2446" s="222"/>
      <c r="BC2446" s="223"/>
      <c r="BD2446" s="222"/>
      <c r="BH2446" s="611"/>
      <c r="BJ2446" s="15"/>
      <c r="BK2446" s="15"/>
      <c r="BO2446" s="223"/>
      <c r="BQ2446" s="889"/>
      <c r="BT2446" s="890"/>
      <c r="BX2446" s="889"/>
      <c r="CB2446" s="15"/>
      <c r="CC2446" s="697"/>
      <c r="CD2446" s="1086"/>
      <c r="CE2446" s="15"/>
      <c r="CF2446" s="15"/>
      <c r="CG2446" s="936"/>
      <c r="CH2446" s="15"/>
      <c r="CI2446" s="15"/>
      <c r="CJ2446" s="15"/>
      <c r="CK2446" s="1107"/>
      <c r="CL2446" s="22"/>
      <c r="CM2446" s="22"/>
      <c r="CN2446" s="1107"/>
      <c r="CR2446" s="223"/>
      <c r="CS2446" s="952"/>
      <c r="CT2446" s="1066"/>
      <c r="CU2446" s="972"/>
      <c r="CV2446" s="983"/>
      <c r="CW2446" s="222"/>
      <c r="CX2446" s="697"/>
      <c r="DC2446" s="222"/>
      <c r="DJ2446" s="889"/>
      <c r="DM2446" s="890"/>
      <c r="DN2446" s="952"/>
      <c r="DO2446" s="75"/>
      <c r="DP2446" s="962"/>
      <c r="DQ2446" s="983"/>
      <c r="DV2446" s="889"/>
    </row>
    <row r="2447" spans="1:126" s="74" customFormat="1">
      <c r="A2447" s="15"/>
      <c r="B2447" s="15"/>
      <c r="C2447" s="15"/>
      <c r="D2447" s="15"/>
      <c r="E2447" s="6"/>
      <c r="F2447" s="6"/>
      <c r="G2447" s="6"/>
      <c r="K2447" s="222"/>
      <c r="V2447" s="1430"/>
      <c r="AA2447" s="223"/>
      <c r="AC2447" s="889"/>
      <c r="AF2447" s="890"/>
      <c r="AJ2447" s="889"/>
      <c r="AN2447" s="222"/>
      <c r="BC2447" s="223"/>
      <c r="BD2447" s="222"/>
      <c r="BH2447" s="611"/>
      <c r="BJ2447" s="15"/>
      <c r="BK2447" s="15"/>
      <c r="BO2447" s="223"/>
      <c r="BQ2447" s="889"/>
      <c r="BT2447" s="890"/>
      <c r="BX2447" s="889"/>
      <c r="CB2447" s="15"/>
      <c r="CC2447" s="697"/>
      <c r="CD2447" s="1086"/>
      <c r="CE2447" s="15"/>
      <c r="CF2447" s="15"/>
      <c r="CG2447" s="936"/>
      <c r="CH2447" s="15"/>
      <c r="CI2447" s="15"/>
      <c r="CJ2447" s="15"/>
      <c r="CK2447" s="1107"/>
      <c r="CL2447" s="22"/>
      <c r="CM2447" s="22"/>
      <c r="CN2447" s="1107"/>
      <c r="CR2447" s="223"/>
      <c r="CS2447" s="952"/>
      <c r="CT2447" s="1066"/>
      <c r="CU2447" s="972"/>
      <c r="CV2447" s="983"/>
      <c r="CW2447" s="222"/>
      <c r="CX2447" s="697"/>
      <c r="DC2447" s="222"/>
      <c r="DJ2447" s="889"/>
      <c r="DM2447" s="890"/>
      <c r="DN2447" s="952"/>
      <c r="DO2447" s="75"/>
      <c r="DP2447" s="962"/>
      <c r="DQ2447" s="983"/>
      <c r="DV2447" s="889"/>
    </row>
    <row r="2448" spans="1:126" s="74" customFormat="1">
      <c r="A2448" s="15"/>
      <c r="B2448" s="15"/>
      <c r="C2448" s="15"/>
      <c r="D2448" s="15"/>
      <c r="E2448" s="6"/>
      <c r="F2448" s="6"/>
      <c r="G2448" s="6"/>
      <c r="K2448" s="222"/>
      <c r="V2448" s="1430"/>
      <c r="AA2448" s="223"/>
      <c r="AC2448" s="889"/>
      <c r="AF2448" s="890"/>
      <c r="AJ2448" s="889"/>
      <c r="AN2448" s="222"/>
      <c r="BC2448" s="223"/>
      <c r="BD2448" s="222"/>
      <c r="BH2448" s="611"/>
      <c r="BJ2448" s="15"/>
      <c r="BK2448" s="15"/>
      <c r="BO2448" s="223"/>
      <c r="BQ2448" s="889"/>
      <c r="BT2448" s="890"/>
      <c r="BX2448" s="889"/>
      <c r="CB2448" s="15"/>
      <c r="CC2448" s="697"/>
      <c r="CD2448" s="1086"/>
      <c r="CE2448" s="15"/>
      <c r="CF2448" s="15"/>
      <c r="CG2448" s="936"/>
      <c r="CH2448" s="15"/>
      <c r="CI2448" s="15"/>
      <c r="CJ2448" s="15"/>
      <c r="CK2448" s="1107"/>
      <c r="CL2448" s="22"/>
      <c r="CM2448" s="22"/>
      <c r="CN2448" s="1107"/>
      <c r="CR2448" s="223"/>
      <c r="CS2448" s="952"/>
      <c r="CT2448" s="1066"/>
      <c r="CU2448" s="972"/>
      <c r="CV2448" s="983"/>
      <c r="CW2448" s="222"/>
      <c r="CX2448" s="697"/>
      <c r="DC2448" s="222"/>
      <c r="DJ2448" s="889"/>
      <c r="DM2448" s="890"/>
      <c r="DN2448" s="952"/>
      <c r="DO2448" s="75"/>
      <c r="DP2448" s="962"/>
      <c r="DQ2448" s="983"/>
      <c r="DV2448" s="889"/>
    </row>
    <row r="2449" spans="1:126" s="74" customFormat="1">
      <c r="A2449" s="15"/>
      <c r="B2449" s="15"/>
      <c r="C2449" s="15"/>
      <c r="D2449" s="15"/>
      <c r="E2449" s="6"/>
      <c r="F2449" s="6"/>
      <c r="G2449" s="6"/>
      <c r="K2449" s="222"/>
      <c r="V2449" s="1430"/>
      <c r="AA2449" s="223"/>
      <c r="AC2449" s="889"/>
      <c r="AF2449" s="890"/>
      <c r="AJ2449" s="889"/>
      <c r="AN2449" s="222"/>
      <c r="BC2449" s="223"/>
      <c r="BD2449" s="222"/>
      <c r="BH2449" s="611"/>
      <c r="BJ2449" s="15"/>
      <c r="BK2449" s="15"/>
      <c r="BO2449" s="223"/>
      <c r="BQ2449" s="889"/>
      <c r="BT2449" s="890"/>
      <c r="BX2449" s="889"/>
      <c r="CB2449" s="15"/>
      <c r="CC2449" s="697"/>
      <c r="CD2449" s="1086"/>
      <c r="CE2449" s="15"/>
      <c r="CF2449" s="15"/>
      <c r="CG2449" s="936"/>
      <c r="CH2449" s="15"/>
      <c r="CI2449" s="15"/>
      <c r="CJ2449" s="15"/>
      <c r="CK2449" s="1107"/>
      <c r="CL2449" s="22"/>
      <c r="CM2449" s="22"/>
      <c r="CN2449" s="1107"/>
      <c r="CR2449" s="223"/>
      <c r="CS2449" s="952"/>
      <c r="CT2449" s="1066"/>
      <c r="CU2449" s="972"/>
      <c r="CV2449" s="983"/>
      <c r="CW2449" s="222"/>
      <c r="CX2449" s="697"/>
      <c r="DC2449" s="222"/>
      <c r="DJ2449" s="889"/>
      <c r="DM2449" s="890"/>
      <c r="DN2449" s="952"/>
      <c r="DO2449" s="75"/>
      <c r="DP2449" s="962"/>
      <c r="DQ2449" s="983"/>
      <c r="DV2449" s="889"/>
    </row>
    <row r="2450" spans="1:126" s="74" customFormat="1">
      <c r="A2450" s="15"/>
      <c r="B2450" s="15"/>
      <c r="C2450" s="15"/>
      <c r="D2450" s="15"/>
      <c r="E2450" s="6"/>
      <c r="F2450" s="6"/>
      <c r="G2450" s="6"/>
      <c r="K2450" s="222"/>
      <c r="V2450" s="1430"/>
      <c r="AA2450" s="223"/>
      <c r="AC2450" s="889"/>
      <c r="AF2450" s="890"/>
      <c r="AJ2450" s="889"/>
      <c r="AN2450" s="222"/>
      <c r="BC2450" s="223"/>
      <c r="BD2450" s="222"/>
      <c r="BH2450" s="611"/>
      <c r="BJ2450" s="15"/>
      <c r="BK2450" s="15"/>
      <c r="BO2450" s="223"/>
      <c r="BQ2450" s="889"/>
      <c r="BT2450" s="890"/>
      <c r="BX2450" s="889"/>
      <c r="CB2450" s="15"/>
      <c r="CC2450" s="697"/>
      <c r="CD2450" s="1086"/>
      <c r="CE2450" s="15"/>
      <c r="CF2450" s="15"/>
      <c r="CG2450" s="936"/>
      <c r="CH2450" s="15"/>
      <c r="CI2450" s="15"/>
      <c r="CJ2450" s="15"/>
      <c r="CK2450" s="1107"/>
      <c r="CL2450" s="22"/>
      <c r="CM2450" s="22"/>
      <c r="CN2450" s="1107"/>
      <c r="CR2450" s="223"/>
      <c r="CS2450" s="952"/>
      <c r="CT2450" s="1066"/>
      <c r="CU2450" s="972"/>
      <c r="CV2450" s="983"/>
      <c r="CW2450" s="222"/>
      <c r="CX2450" s="697"/>
      <c r="DC2450" s="222"/>
      <c r="DJ2450" s="889"/>
      <c r="DM2450" s="890"/>
      <c r="DN2450" s="952"/>
      <c r="DO2450" s="75"/>
      <c r="DP2450" s="962"/>
      <c r="DQ2450" s="983"/>
      <c r="DV2450" s="889"/>
    </row>
    <row r="2451" spans="1:126" s="74" customFormat="1">
      <c r="A2451" s="15"/>
      <c r="B2451" s="15"/>
      <c r="C2451" s="15"/>
      <c r="D2451" s="15"/>
      <c r="E2451" s="6"/>
      <c r="F2451" s="6"/>
      <c r="G2451" s="6"/>
      <c r="K2451" s="222"/>
      <c r="V2451" s="1430"/>
      <c r="AA2451" s="223"/>
      <c r="AC2451" s="889"/>
      <c r="AF2451" s="890"/>
      <c r="AJ2451" s="889"/>
      <c r="AN2451" s="222"/>
      <c r="BC2451" s="223"/>
      <c r="BD2451" s="222"/>
      <c r="BH2451" s="611"/>
      <c r="BJ2451" s="15"/>
      <c r="BK2451" s="15"/>
      <c r="BO2451" s="223"/>
      <c r="BQ2451" s="889"/>
      <c r="BT2451" s="890"/>
      <c r="BX2451" s="889"/>
      <c r="CB2451" s="15"/>
      <c r="CC2451" s="697"/>
      <c r="CD2451" s="1086"/>
      <c r="CE2451" s="15"/>
      <c r="CF2451" s="15"/>
      <c r="CG2451" s="936"/>
      <c r="CH2451" s="15"/>
      <c r="CI2451" s="15"/>
      <c r="CJ2451" s="15"/>
      <c r="CK2451" s="1107"/>
      <c r="CL2451" s="22"/>
      <c r="CM2451" s="22"/>
      <c r="CN2451" s="1107"/>
      <c r="CR2451" s="223"/>
      <c r="CS2451" s="952"/>
      <c r="CT2451" s="1066"/>
      <c r="CU2451" s="972"/>
      <c r="CV2451" s="983"/>
      <c r="CW2451" s="222"/>
      <c r="CX2451" s="697"/>
      <c r="DC2451" s="222"/>
      <c r="DJ2451" s="889"/>
      <c r="DM2451" s="890"/>
      <c r="DN2451" s="952"/>
      <c r="DO2451" s="75"/>
      <c r="DP2451" s="962"/>
      <c r="DQ2451" s="983"/>
      <c r="DV2451" s="889"/>
    </row>
    <row r="2452" spans="1:126" s="74" customFormat="1">
      <c r="A2452" s="15"/>
      <c r="B2452" s="15"/>
      <c r="C2452" s="15"/>
      <c r="D2452" s="15"/>
      <c r="E2452" s="6"/>
      <c r="F2452" s="6"/>
      <c r="G2452" s="6"/>
      <c r="K2452" s="222"/>
      <c r="V2452" s="1430"/>
      <c r="AA2452" s="223"/>
      <c r="AC2452" s="889"/>
      <c r="AF2452" s="890"/>
      <c r="AJ2452" s="889"/>
      <c r="AN2452" s="222"/>
      <c r="BC2452" s="223"/>
      <c r="BD2452" s="222"/>
      <c r="BH2452" s="611"/>
      <c r="BJ2452" s="15"/>
      <c r="BK2452" s="15"/>
      <c r="BO2452" s="223"/>
      <c r="BQ2452" s="889"/>
      <c r="BT2452" s="890"/>
      <c r="BX2452" s="889"/>
      <c r="CB2452" s="15"/>
      <c r="CC2452" s="697"/>
      <c r="CD2452" s="1086"/>
      <c r="CE2452" s="15"/>
      <c r="CF2452" s="15"/>
      <c r="CG2452" s="936"/>
      <c r="CH2452" s="15"/>
      <c r="CI2452" s="15"/>
      <c r="CJ2452" s="15"/>
      <c r="CK2452" s="1107"/>
      <c r="CL2452" s="22"/>
      <c r="CM2452" s="22"/>
      <c r="CN2452" s="1107"/>
      <c r="CR2452" s="223"/>
      <c r="CS2452" s="952"/>
      <c r="CT2452" s="1066"/>
      <c r="CU2452" s="972"/>
      <c r="CV2452" s="983"/>
      <c r="CW2452" s="222"/>
      <c r="CX2452" s="697"/>
      <c r="DC2452" s="222"/>
      <c r="DJ2452" s="889"/>
      <c r="DM2452" s="890"/>
      <c r="DN2452" s="952"/>
      <c r="DO2452" s="75"/>
      <c r="DP2452" s="962"/>
      <c r="DQ2452" s="983"/>
      <c r="DV2452" s="889"/>
    </row>
    <row r="2453" spans="1:126" s="74" customFormat="1">
      <c r="A2453" s="15"/>
      <c r="B2453" s="15"/>
      <c r="C2453" s="15"/>
      <c r="D2453" s="15"/>
      <c r="E2453" s="6"/>
      <c r="F2453" s="6"/>
      <c r="G2453" s="6"/>
      <c r="K2453" s="222"/>
      <c r="V2453" s="1430"/>
      <c r="AA2453" s="223"/>
      <c r="AC2453" s="889"/>
      <c r="AF2453" s="890"/>
      <c r="AJ2453" s="889"/>
      <c r="AN2453" s="222"/>
      <c r="BC2453" s="223"/>
      <c r="BD2453" s="222"/>
      <c r="BH2453" s="611"/>
      <c r="BJ2453" s="15"/>
      <c r="BK2453" s="15"/>
      <c r="BO2453" s="223"/>
      <c r="BQ2453" s="889"/>
      <c r="BT2453" s="890"/>
      <c r="BX2453" s="889"/>
      <c r="CB2453" s="15"/>
      <c r="CC2453" s="697"/>
      <c r="CD2453" s="1086"/>
      <c r="CE2453" s="15"/>
      <c r="CF2453" s="15"/>
      <c r="CG2453" s="936"/>
      <c r="CH2453" s="15"/>
      <c r="CI2453" s="15"/>
      <c r="CJ2453" s="15"/>
      <c r="CK2453" s="1107"/>
      <c r="CL2453" s="22"/>
      <c r="CM2453" s="22"/>
      <c r="CN2453" s="1107"/>
      <c r="CR2453" s="223"/>
      <c r="CS2453" s="952"/>
      <c r="CT2453" s="1066"/>
      <c r="CU2453" s="972"/>
      <c r="CV2453" s="983"/>
      <c r="CW2453" s="222"/>
      <c r="CX2453" s="697"/>
      <c r="DC2453" s="222"/>
      <c r="DJ2453" s="889"/>
      <c r="DM2453" s="890"/>
      <c r="DN2453" s="952"/>
      <c r="DO2453" s="75"/>
      <c r="DP2453" s="962"/>
      <c r="DQ2453" s="983"/>
      <c r="DV2453" s="889"/>
    </row>
    <row r="2454" spans="1:126" s="74" customFormat="1">
      <c r="A2454" s="15"/>
      <c r="B2454" s="15"/>
      <c r="C2454" s="15"/>
      <c r="D2454" s="15"/>
      <c r="E2454" s="6"/>
      <c r="F2454" s="6"/>
      <c r="G2454" s="6"/>
      <c r="K2454" s="222"/>
      <c r="V2454" s="1430"/>
      <c r="AA2454" s="223"/>
      <c r="AC2454" s="889"/>
      <c r="AF2454" s="890"/>
      <c r="AJ2454" s="889"/>
      <c r="AN2454" s="222"/>
      <c r="BC2454" s="223"/>
      <c r="BD2454" s="222"/>
      <c r="BH2454" s="611"/>
      <c r="BJ2454" s="15"/>
      <c r="BK2454" s="15"/>
      <c r="BO2454" s="223"/>
      <c r="BQ2454" s="889"/>
      <c r="BT2454" s="890"/>
      <c r="BX2454" s="889"/>
      <c r="CB2454" s="15"/>
      <c r="CC2454" s="697"/>
      <c r="CD2454" s="1086"/>
      <c r="CE2454" s="15"/>
      <c r="CF2454" s="15"/>
      <c r="CG2454" s="936"/>
      <c r="CH2454" s="15"/>
      <c r="CI2454" s="15"/>
      <c r="CJ2454" s="15"/>
      <c r="CK2454" s="1107"/>
      <c r="CL2454" s="22"/>
      <c r="CM2454" s="22"/>
      <c r="CN2454" s="1107"/>
      <c r="CR2454" s="223"/>
      <c r="CS2454" s="952"/>
      <c r="CT2454" s="1066"/>
      <c r="CU2454" s="972"/>
      <c r="CV2454" s="983"/>
      <c r="CW2454" s="222"/>
      <c r="CX2454" s="697"/>
      <c r="DC2454" s="222"/>
      <c r="DJ2454" s="889"/>
      <c r="DM2454" s="890"/>
      <c r="DN2454" s="952"/>
      <c r="DO2454" s="75"/>
      <c r="DP2454" s="962"/>
      <c r="DQ2454" s="983"/>
      <c r="DV2454" s="889"/>
    </row>
    <row r="2455" spans="1:126" s="74" customFormat="1">
      <c r="A2455" s="15"/>
      <c r="B2455" s="15"/>
      <c r="C2455" s="15"/>
      <c r="D2455" s="15"/>
      <c r="E2455" s="6"/>
      <c r="F2455" s="6"/>
      <c r="G2455" s="6"/>
      <c r="K2455" s="222"/>
      <c r="V2455" s="1430"/>
      <c r="AA2455" s="223"/>
      <c r="AC2455" s="889"/>
      <c r="AF2455" s="890"/>
      <c r="AJ2455" s="889"/>
      <c r="AN2455" s="222"/>
      <c r="BC2455" s="223"/>
      <c r="BD2455" s="222"/>
      <c r="BH2455" s="611"/>
      <c r="BJ2455" s="15"/>
      <c r="BK2455" s="15"/>
      <c r="BO2455" s="223"/>
      <c r="BQ2455" s="889"/>
      <c r="BT2455" s="890"/>
      <c r="BX2455" s="889"/>
      <c r="CB2455" s="15"/>
      <c r="CC2455" s="697"/>
      <c r="CD2455" s="1086"/>
      <c r="CE2455" s="15"/>
      <c r="CF2455" s="15"/>
      <c r="CG2455" s="936"/>
      <c r="CH2455" s="15"/>
      <c r="CI2455" s="15"/>
      <c r="CJ2455" s="15"/>
      <c r="CK2455" s="1107"/>
      <c r="CL2455" s="22"/>
      <c r="CM2455" s="22"/>
      <c r="CN2455" s="1107"/>
      <c r="CR2455" s="223"/>
      <c r="CS2455" s="952"/>
      <c r="CT2455" s="1066"/>
      <c r="CU2455" s="972"/>
      <c r="CV2455" s="983"/>
      <c r="CW2455" s="222"/>
      <c r="CX2455" s="697"/>
      <c r="DC2455" s="222"/>
      <c r="DJ2455" s="889"/>
      <c r="DM2455" s="890"/>
      <c r="DN2455" s="952"/>
      <c r="DO2455" s="75"/>
      <c r="DP2455" s="962"/>
      <c r="DQ2455" s="983"/>
      <c r="DV2455" s="889"/>
    </row>
    <row r="2456" spans="1:126" s="74" customFormat="1">
      <c r="A2456" s="15"/>
      <c r="B2456" s="15"/>
      <c r="C2456" s="15"/>
      <c r="D2456" s="15"/>
      <c r="E2456" s="6"/>
      <c r="F2456" s="6"/>
      <c r="G2456" s="6"/>
      <c r="K2456" s="222"/>
      <c r="V2456" s="1430"/>
      <c r="AA2456" s="223"/>
      <c r="AC2456" s="889"/>
      <c r="AF2456" s="890"/>
      <c r="AJ2456" s="889"/>
      <c r="AN2456" s="222"/>
      <c r="BC2456" s="223"/>
      <c r="BD2456" s="222"/>
      <c r="BH2456" s="611"/>
      <c r="BJ2456" s="15"/>
      <c r="BK2456" s="15"/>
      <c r="BO2456" s="223"/>
      <c r="BQ2456" s="889"/>
      <c r="BT2456" s="890"/>
      <c r="BX2456" s="889"/>
      <c r="CB2456" s="15"/>
      <c r="CC2456" s="697"/>
      <c r="CD2456" s="1086"/>
      <c r="CE2456" s="15"/>
      <c r="CF2456" s="15"/>
      <c r="CG2456" s="936"/>
      <c r="CH2456" s="15"/>
      <c r="CI2456" s="15"/>
      <c r="CJ2456" s="15"/>
      <c r="CK2456" s="1107"/>
      <c r="CL2456" s="22"/>
      <c r="CM2456" s="22"/>
      <c r="CN2456" s="1107"/>
      <c r="CR2456" s="223"/>
      <c r="CS2456" s="952"/>
      <c r="CT2456" s="1066"/>
      <c r="CU2456" s="972"/>
      <c r="CV2456" s="983"/>
      <c r="CW2456" s="222"/>
      <c r="CX2456" s="697"/>
      <c r="DC2456" s="222"/>
      <c r="DJ2456" s="889"/>
      <c r="DM2456" s="890"/>
      <c r="DN2456" s="952"/>
      <c r="DO2456" s="75"/>
      <c r="DP2456" s="962"/>
      <c r="DQ2456" s="983"/>
      <c r="DV2456" s="889"/>
    </row>
    <row r="2457" spans="1:126" s="74" customFormat="1">
      <c r="A2457" s="15"/>
      <c r="B2457" s="15"/>
      <c r="C2457" s="15"/>
      <c r="D2457" s="15"/>
      <c r="E2457" s="6"/>
      <c r="F2457" s="6"/>
      <c r="G2457" s="6"/>
      <c r="K2457" s="222"/>
      <c r="V2457" s="1430"/>
      <c r="AA2457" s="223"/>
      <c r="AC2457" s="889"/>
      <c r="AF2457" s="890"/>
      <c r="AJ2457" s="889"/>
      <c r="AN2457" s="222"/>
      <c r="BC2457" s="223"/>
      <c r="BD2457" s="222"/>
      <c r="BH2457" s="611"/>
      <c r="BJ2457" s="15"/>
      <c r="BK2457" s="15"/>
      <c r="BO2457" s="223"/>
      <c r="BQ2457" s="889"/>
      <c r="BT2457" s="890"/>
      <c r="BX2457" s="889"/>
      <c r="CB2457" s="15"/>
      <c r="CC2457" s="697"/>
      <c r="CD2457" s="1086"/>
      <c r="CE2457" s="15"/>
      <c r="CF2457" s="15"/>
      <c r="CG2457" s="936"/>
      <c r="CH2457" s="15"/>
      <c r="CI2457" s="15"/>
      <c r="CJ2457" s="15"/>
      <c r="CK2457" s="1107"/>
      <c r="CL2457" s="22"/>
      <c r="CM2457" s="22"/>
      <c r="CN2457" s="1107"/>
      <c r="CR2457" s="223"/>
      <c r="CS2457" s="952"/>
      <c r="CT2457" s="1066"/>
      <c r="CU2457" s="972"/>
      <c r="CV2457" s="983"/>
      <c r="CW2457" s="222"/>
      <c r="CX2457" s="697"/>
      <c r="DC2457" s="222"/>
      <c r="DJ2457" s="889"/>
      <c r="DM2457" s="890"/>
      <c r="DN2457" s="952"/>
      <c r="DO2457" s="75"/>
      <c r="DP2457" s="962"/>
      <c r="DQ2457" s="983"/>
      <c r="DV2457" s="889"/>
    </row>
    <row r="2458" spans="1:126" s="74" customFormat="1">
      <c r="A2458" s="15"/>
      <c r="B2458" s="15"/>
      <c r="C2458" s="15"/>
      <c r="D2458" s="15"/>
      <c r="E2458" s="6"/>
      <c r="F2458" s="6"/>
      <c r="G2458" s="6"/>
      <c r="K2458" s="222"/>
      <c r="V2458" s="1430"/>
      <c r="AA2458" s="223"/>
      <c r="AC2458" s="889"/>
      <c r="AF2458" s="890"/>
      <c r="AJ2458" s="889"/>
      <c r="AN2458" s="222"/>
      <c r="BC2458" s="223"/>
      <c r="BD2458" s="222"/>
      <c r="BH2458" s="611"/>
      <c r="BJ2458" s="15"/>
      <c r="BK2458" s="15"/>
      <c r="BO2458" s="223"/>
      <c r="BQ2458" s="889"/>
      <c r="BT2458" s="890"/>
      <c r="BX2458" s="889"/>
      <c r="CB2458" s="15"/>
      <c r="CC2458" s="697"/>
      <c r="CD2458" s="1086"/>
      <c r="CE2458" s="15"/>
      <c r="CF2458" s="15"/>
      <c r="CG2458" s="936"/>
      <c r="CH2458" s="15"/>
      <c r="CI2458" s="15"/>
      <c r="CJ2458" s="15"/>
      <c r="CK2458" s="1107"/>
      <c r="CL2458" s="22"/>
      <c r="CM2458" s="22"/>
      <c r="CN2458" s="1107"/>
      <c r="CR2458" s="223"/>
      <c r="CS2458" s="952"/>
      <c r="CT2458" s="1066"/>
      <c r="CU2458" s="972"/>
      <c r="CV2458" s="983"/>
      <c r="CW2458" s="222"/>
      <c r="CX2458" s="697"/>
      <c r="DC2458" s="222"/>
      <c r="DJ2458" s="889"/>
      <c r="DM2458" s="890"/>
      <c r="DN2458" s="952"/>
      <c r="DO2458" s="75"/>
      <c r="DP2458" s="962"/>
      <c r="DQ2458" s="983"/>
      <c r="DV2458" s="889"/>
    </row>
    <row r="2459" spans="1:126" s="74" customFormat="1">
      <c r="A2459" s="15"/>
      <c r="B2459" s="15"/>
      <c r="C2459" s="15"/>
      <c r="D2459" s="15"/>
      <c r="E2459" s="6"/>
      <c r="F2459" s="6"/>
      <c r="G2459" s="6"/>
      <c r="K2459" s="222"/>
      <c r="V2459" s="1430"/>
      <c r="AA2459" s="223"/>
      <c r="AC2459" s="889"/>
      <c r="AF2459" s="890"/>
      <c r="AJ2459" s="889"/>
      <c r="AN2459" s="222"/>
      <c r="BC2459" s="223"/>
      <c r="BD2459" s="222"/>
      <c r="BH2459" s="611"/>
      <c r="BJ2459" s="15"/>
      <c r="BK2459" s="15"/>
      <c r="BO2459" s="223"/>
      <c r="BQ2459" s="889"/>
      <c r="BT2459" s="890"/>
      <c r="BX2459" s="889"/>
      <c r="CB2459" s="15"/>
      <c r="CC2459" s="697"/>
      <c r="CD2459" s="1086"/>
      <c r="CE2459" s="15"/>
      <c r="CF2459" s="15"/>
      <c r="CG2459" s="936"/>
      <c r="CH2459" s="15"/>
      <c r="CI2459" s="15"/>
      <c r="CJ2459" s="15"/>
      <c r="CK2459" s="1107"/>
      <c r="CL2459" s="22"/>
      <c r="CM2459" s="22"/>
      <c r="CN2459" s="1107"/>
      <c r="CR2459" s="223"/>
      <c r="CS2459" s="952"/>
      <c r="CT2459" s="1066"/>
      <c r="CU2459" s="972"/>
      <c r="CV2459" s="983"/>
      <c r="CW2459" s="222"/>
      <c r="CX2459" s="697"/>
      <c r="DC2459" s="222"/>
      <c r="DJ2459" s="889"/>
      <c r="DM2459" s="890"/>
      <c r="DN2459" s="952"/>
      <c r="DO2459" s="75"/>
      <c r="DP2459" s="962"/>
      <c r="DQ2459" s="983"/>
      <c r="DV2459" s="889"/>
    </row>
    <row r="2460" spans="1:126" s="74" customFormat="1">
      <c r="A2460" s="15"/>
      <c r="B2460" s="15"/>
      <c r="C2460" s="15"/>
      <c r="D2460" s="15"/>
      <c r="E2460" s="6"/>
      <c r="F2460" s="6"/>
      <c r="G2460" s="6"/>
      <c r="K2460" s="222"/>
      <c r="V2460" s="1430"/>
      <c r="AA2460" s="223"/>
      <c r="AC2460" s="889"/>
      <c r="AF2460" s="890"/>
      <c r="AJ2460" s="889"/>
      <c r="AN2460" s="222"/>
      <c r="BC2460" s="223"/>
      <c r="BD2460" s="222"/>
      <c r="BH2460" s="611"/>
      <c r="BJ2460" s="15"/>
      <c r="BK2460" s="15"/>
      <c r="BO2460" s="223"/>
      <c r="BQ2460" s="889"/>
      <c r="BT2460" s="890"/>
      <c r="BX2460" s="889"/>
      <c r="CB2460" s="15"/>
      <c r="CC2460" s="697"/>
      <c r="CD2460" s="1086"/>
      <c r="CE2460" s="15"/>
      <c r="CF2460" s="15"/>
      <c r="CG2460" s="936"/>
      <c r="CH2460" s="15"/>
      <c r="CI2460" s="15"/>
      <c r="CJ2460" s="15"/>
      <c r="CK2460" s="1107"/>
      <c r="CL2460" s="22"/>
      <c r="CM2460" s="22"/>
      <c r="CN2460" s="1107"/>
      <c r="CR2460" s="223"/>
      <c r="CS2460" s="952"/>
      <c r="CT2460" s="1066"/>
      <c r="CU2460" s="972"/>
      <c r="CV2460" s="983"/>
      <c r="CW2460" s="222"/>
      <c r="CX2460" s="697"/>
      <c r="DC2460" s="222"/>
      <c r="DJ2460" s="889"/>
      <c r="DM2460" s="890"/>
      <c r="DN2460" s="952"/>
      <c r="DO2460" s="75"/>
      <c r="DP2460" s="962"/>
      <c r="DQ2460" s="983"/>
      <c r="DV2460" s="889"/>
    </row>
    <row r="2461" spans="1:126" s="74" customFormat="1">
      <c r="A2461" s="15"/>
      <c r="B2461" s="15"/>
      <c r="C2461" s="15"/>
      <c r="D2461" s="15"/>
      <c r="E2461" s="6"/>
      <c r="F2461" s="6"/>
      <c r="G2461" s="6"/>
      <c r="K2461" s="222"/>
      <c r="V2461" s="1430"/>
      <c r="AA2461" s="223"/>
      <c r="AC2461" s="889"/>
      <c r="AF2461" s="890"/>
      <c r="AJ2461" s="889"/>
      <c r="AN2461" s="222"/>
      <c r="BC2461" s="223"/>
      <c r="BD2461" s="222"/>
      <c r="BH2461" s="611"/>
      <c r="BJ2461" s="15"/>
      <c r="BK2461" s="15"/>
      <c r="BO2461" s="223"/>
      <c r="BQ2461" s="889"/>
      <c r="BT2461" s="890"/>
      <c r="BX2461" s="889"/>
      <c r="CB2461" s="15"/>
      <c r="CC2461" s="697"/>
      <c r="CD2461" s="1086"/>
      <c r="CE2461" s="15"/>
      <c r="CF2461" s="15"/>
      <c r="CG2461" s="936"/>
      <c r="CH2461" s="15"/>
      <c r="CI2461" s="15"/>
      <c r="CJ2461" s="15"/>
      <c r="CK2461" s="1107"/>
      <c r="CL2461" s="22"/>
      <c r="CM2461" s="22"/>
      <c r="CN2461" s="1107"/>
      <c r="CR2461" s="223"/>
      <c r="CS2461" s="952"/>
      <c r="CT2461" s="1066"/>
      <c r="CU2461" s="972"/>
      <c r="CV2461" s="983"/>
      <c r="CW2461" s="222"/>
      <c r="CX2461" s="697"/>
      <c r="DC2461" s="222"/>
      <c r="DJ2461" s="889"/>
      <c r="DM2461" s="890"/>
      <c r="DN2461" s="952"/>
      <c r="DO2461" s="75"/>
      <c r="DP2461" s="962"/>
      <c r="DQ2461" s="983"/>
      <c r="DV2461" s="889"/>
    </row>
    <row r="2462" spans="1:126" s="74" customFormat="1">
      <c r="A2462" s="15"/>
      <c r="B2462" s="15"/>
      <c r="C2462" s="15"/>
      <c r="D2462" s="15"/>
      <c r="E2462" s="6"/>
      <c r="F2462" s="6"/>
      <c r="G2462" s="6"/>
      <c r="K2462" s="222"/>
      <c r="V2462" s="1430"/>
      <c r="AA2462" s="223"/>
      <c r="AC2462" s="889"/>
      <c r="AF2462" s="890"/>
      <c r="AJ2462" s="889"/>
      <c r="AN2462" s="222"/>
      <c r="BC2462" s="223"/>
      <c r="BD2462" s="222"/>
      <c r="BH2462" s="611"/>
      <c r="BJ2462" s="15"/>
      <c r="BK2462" s="15"/>
      <c r="BO2462" s="223"/>
      <c r="BQ2462" s="889"/>
      <c r="BT2462" s="890"/>
      <c r="BX2462" s="889"/>
      <c r="CB2462" s="15"/>
      <c r="CC2462" s="697"/>
      <c r="CD2462" s="1086"/>
      <c r="CE2462" s="15"/>
      <c r="CF2462" s="15"/>
      <c r="CG2462" s="936"/>
      <c r="CH2462" s="15"/>
      <c r="CI2462" s="15"/>
      <c r="CJ2462" s="15"/>
      <c r="CK2462" s="1107"/>
      <c r="CL2462" s="22"/>
      <c r="CM2462" s="22"/>
      <c r="CN2462" s="1107"/>
      <c r="CR2462" s="223"/>
      <c r="CS2462" s="952"/>
      <c r="CT2462" s="1066"/>
      <c r="CU2462" s="972"/>
      <c r="CV2462" s="983"/>
      <c r="CW2462" s="222"/>
      <c r="CX2462" s="697"/>
      <c r="DC2462" s="222"/>
      <c r="DJ2462" s="889"/>
      <c r="DM2462" s="890"/>
      <c r="DN2462" s="952"/>
      <c r="DO2462" s="75"/>
      <c r="DP2462" s="962"/>
      <c r="DQ2462" s="983"/>
      <c r="DV2462" s="889"/>
    </row>
    <row r="2463" spans="1:126" s="74" customFormat="1">
      <c r="A2463" s="15"/>
      <c r="B2463" s="15"/>
      <c r="C2463" s="15"/>
      <c r="D2463" s="15"/>
      <c r="E2463" s="6"/>
      <c r="F2463" s="6"/>
      <c r="G2463" s="6"/>
      <c r="K2463" s="222"/>
      <c r="V2463" s="1430"/>
      <c r="AA2463" s="223"/>
      <c r="AC2463" s="889"/>
      <c r="AF2463" s="890"/>
      <c r="AJ2463" s="889"/>
      <c r="AN2463" s="222"/>
      <c r="BC2463" s="223"/>
      <c r="BD2463" s="222"/>
      <c r="BH2463" s="611"/>
      <c r="BJ2463" s="15"/>
      <c r="BK2463" s="15"/>
      <c r="BO2463" s="223"/>
      <c r="BQ2463" s="889"/>
      <c r="BT2463" s="890"/>
      <c r="BX2463" s="889"/>
      <c r="CB2463" s="15"/>
      <c r="CC2463" s="697"/>
      <c r="CD2463" s="1086"/>
      <c r="CE2463" s="15"/>
      <c r="CF2463" s="15"/>
      <c r="CG2463" s="936"/>
      <c r="CH2463" s="15"/>
      <c r="CI2463" s="15"/>
      <c r="CJ2463" s="15"/>
      <c r="CK2463" s="1107"/>
      <c r="CL2463" s="22"/>
      <c r="CM2463" s="22"/>
      <c r="CN2463" s="1107"/>
      <c r="CR2463" s="223"/>
      <c r="CS2463" s="952"/>
      <c r="CT2463" s="1066"/>
      <c r="CU2463" s="972"/>
      <c r="CV2463" s="983"/>
      <c r="CW2463" s="222"/>
      <c r="CX2463" s="697"/>
      <c r="DC2463" s="222"/>
      <c r="DJ2463" s="889"/>
      <c r="DM2463" s="890"/>
      <c r="DN2463" s="952"/>
      <c r="DO2463" s="75"/>
      <c r="DP2463" s="962"/>
      <c r="DQ2463" s="983"/>
      <c r="DV2463" s="889"/>
    </row>
    <row r="2464" spans="1:126" s="74" customFormat="1">
      <c r="A2464" s="15"/>
      <c r="B2464" s="15"/>
      <c r="C2464" s="15"/>
      <c r="D2464" s="15"/>
      <c r="E2464" s="6"/>
      <c r="F2464" s="6"/>
      <c r="G2464" s="6"/>
      <c r="K2464" s="222"/>
      <c r="V2464" s="1430"/>
      <c r="AA2464" s="223"/>
      <c r="AC2464" s="889"/>
      <c r="AF2464" s="890"/>
      <c r="AJ2464" s="889"/>
      <c r="AN2464" s="222"/>
      <c r="BC2464" s="223"/>
      <c r="BD2464" s="222"/>
      <c r="BH2464" s="611"/>
      <c r="BJ2464" s="15"/>
      <c r="BK2464" s="15"/>
      <c r="BO2464" s="223"/>
      <c r="BQ2464" s="889"/>
      <c r="BT2464" s="890"/>
      <c r="BX2464" s="889"/>
      <c r="CB2464" s="15"/>
      <c r="CC2464" s="697"/>
      <c r="CD2464" s="1086"/>
      <c r="CE2464" s="15"/>
      <c r="CF2464" s="15"/>
      <c r="CG2464" s="936"/>
      <c r="CH2464" s="15"/>
      <c r="CI2464" s="15"/>
      <c r="CJ2464" s="15"/>
      <c r="CK2464" s="1107"/>
      <c r="CL2464" s="22"/>
      <c r="CM2464" s="22"/>
      <c r="CN2464" s="1107"/>
      <c r="CR2464" s="223"/>
      <c r="CS2464" s="952"/>
      <c r="CT2464" s="1066"/>
      <c r="CU2464" s="972"/>
      <c r="CV2464" s="983"/>
      <c r="CW2464" s="222"/>
      <c r="CX2464" s="697"/>
      <c r="DC2464" s="222"/>
      <c r="DJ2464" s="889"/>
      <c r="DM2464" s="890"/>
      <c r="DN2464" s="952"/>
      <c r="DO2464" s="75"/>
      <c r="DP2464" s="962"/>
      <c r="DQ2464" s="983"/>
      <c r="DV2464" s="889"/>
    </row>
    <row r="2465" spans="1:126" s="74" customFormat="1">
      <c r="A2465" s="15"/>
      <c r="B2465" s="15"/>
      <c r="C2465" s="15"/>
      <c r="D2465" s="15"/>
      <c r="E2465" s="6"/>
      <c r="F2465" s="6"/>
      <c r="G2465" s="6"/>
      <c r="K2465" s="222"/>
      <c r="V2465" s="1430"/>
      <c r="AA2465" s="223"/>
      <c r="AC2465" s="889"/>
      <c r="AF2465" s="890"/>
      <c r="AJ2465" s="889"/>
      <c r="AN2465" s="222"/>
      <c r="BC2465" s="223"/>
      <c r="BD2465" s="222"/>
      <c r="BH2465" s="611"/>
      <c r="BJ2465" s="15"/>
      <c r="BK2465" s="15"/>
      <c r="BO2465" s="223"/>
      <c r="BQ2465" s="889"/>
      <c r="BT2465" s="890"/>
      <c r="BX2465" s="889"/>
      <c r="CB2465" s="15"/>
      <c r="CC2465" s="697"/>
      <c r="CD2465" s="1086"/>
      <c r="CE2465" s="15"/>
      <c r="CF2465" s="15"/>
      <c r="CG2465" s="936"/>
      <c r="CH2465" s="15"/>
      <c r="CI2465" s="15"/>
      <c r="CJ2465" s="15"/>
      <c r="CK2465" s="1107"/>
      <c r="CL2465" s="22"/>
      <c r="CM2465" s="22"/>
      <c r="CN2465" s="1107"/>
      <c r="CR2465" s="223"/>
      <c r="CS2465" s="952"/>
      <c r="CT2465" s="1066"/>
      <c r="CU2465" s="972"/>
      <c r="CV2465" s="983"/>
      <c r="CW2465" s="222"/>
      <c r="CX2465" s="697"/>
      <c r="DC2465" s="222"/>
      <c r="DJ2465" s="889"/>
      <c r="DM2465" s="890"/>
      <c r="DN2465" s="952"/>
      <c r="DO2465" s="75"/>
      <c r="DP2465" s="962"/>
      <c r="DQ2465" s="983"/>
      <c r="DV2465" s="889"/>
    </row>
    <row r="2466" spans="1:126" s="74" customFormat="1">
      <c r="A2466" s="15"/>
      <c r="B2466" s="15"/>
      <c r="C2466" s="15"/>
      <c r="D2466" s="15"/>
      <c r="E2466" s="6"/>
      <c r="F2466" s="6"/>
      <c r="G2466" s="6"/>
      <c r="K2466" s="222"/>
      <c r="V2466" s="1430"/>
      <c r="AA2466" s="223"/>
      <c r="AC2466" s="889"/>
      <c r="AF2466" s="890"/>
      <c r="AJ2466" s="889"/>
      <c r="AN2466" s="222"/>
      <c r="BC2466" s="223"/>
      <c r="BD2466" s="222"/>
      <c r="BH2466" s="611"/>
      <c r="BJ2466" s="15"/>
      <c r="BK2466" s="15"/>
      <c r="BO2466" s="223"/>
      <c r="BQ2466" s="889"/>
      <c r="BT2466" s="890"/>
      <c r="BX2466" s="889"/>
      <c r="CB2466" s="15"/>
      <c r="CC2466" s="697"/>
      <c r="CD2466" s="1086"/>
      <c r="CE2466" s="15"/>
      <c r="CF2466" s="15"/>
      <c r="CG2466" s="936"/>
      <c r="CH2466" s="15"/>
      <c r="CI2466" s="15"/>
      <c r="CJ2466" s="15"/>
      <c r="CK2466" s="1107"/>
      <c r="CL2466" s="22"/>
      <c r="CM2466" s="22"/>
      <c r="CN2466" s="1107"/>
      <c r="CR2466" s="223"/>
      <c r="CS2466" s="952"/>
      <c r="CT2466" s="1066"/>
      <c r="CU2466" s="972"/>
      <c r="CV2466" s="983"/>
      <c r="CW2466" s="222"/>
      <c r="CX2466" s="697"/>
      <c r="DC2466" s="222"/>
      <c r="DJ2466" s="889"/>
      <c r="DM2466" s="890"/>
      <c r="DN2466" s="952"/>
      <c r="DO2466" s="75"/>
      <c r="DP2466" s="962"/>
      <c r="DQ2466" s="983"/>
      <c r="DV2466" s="889"/>
    </row>
    <row r="2467" spans="1:126" s="74" customFormat="1">
      <c r="A2467" s="15"/>
      <c r="B2467" s="15"/>
      <c r="C2467" s="15"/>
      <c r="D2467" s="15"/>
      <c r="E2467" s="6"/>
      <c r="F2467" s="6"/>
      <c r="G2467" s="6"/>
      <c r="K2467" s="222"/>
      <c r="V2467" s="1430"/>
      <c r="AA2467" s="223"/>
      <c r="AC2467" s="889"/>
      <c r="AF2467" s="890"/>
      <c r="AJ2467" s="889"/>
      <c r="AN2467" s="222"/>
      <c r="BC2467" s="223"/>
      <c r="BD2467" s="222"/>
      <c r="BH2467" s="611"/>
      <c r="BJ2467" s="15"/>
      <c r="BK2467" s="15"/>
      <c r="BO2467" s="223"/>
      <c r="BQ2467" s="889"/>
      <c r="BT2467" s="890"/>
      <c r="BX2467" s="889"/>
      <c r="CB2467" s="15"/>
      <c r="CC2467" s="697"/>
      <c r="CD2467" s="1086"/>
      <c r="CE2467" s="15"/>
      <c r="CF2467" s="15"/>
      <c r="CG2467" s="936"/>
      <c r="CH2467" s="15"/>
      <c r="CI2467" s="15"/>
      <c r="CJ2467" s="15"/>
      <c r="CK2467" s="1107"/>
      <c r="CL2467" s="22"/>
      <c r="CM2467" s="22"/>
      <c r="CN2467" s="1107"/>
      <c r="CR2467" s="223"/>
      <c r="CS2467" s="952"/>
      <c r="CT2467" s="1066"/>
      <c r="CU2467" s="972"/>
      <c r="CV2467" s="983"/>
      <c r="CW2467" s="222"/>
      <c r="CX2467" s="697"/>
      <c r="DC2467" s="222"/>
      <c r="DJ2467" s="889"/>
      <c r="DM2467" s="890"/>
      <c r="DN2467" s="952"/>
      <c r="DO2467" s="75"/>
      <c r="DP2467" s="962"/>
      <c r="DQ2467" s="983"/>
      <c r="DV2467" s="889"/>
    </row>
    <row r="2468" spans="1:126" s="74" customFormat="1">
      <c r="A2468" s="15"/>
      <c r="B2468" s="15"/>
      <c r="C2468" s="15"/>
      <c r="D2468" s="15"/>
      <c r="E2468" s="6"/>
      <c r="F2468" s="6"/>
      <c r="G2468" s="6"/>
      <c r="K2468" s="222"/>
      <c r="V2468" s="1430"/>
      <c r="AA2468" s="223"/>
      <c r="AC2468" s="889"/>
      <c r="AF2468" s="890"/>
      <c r="AJ2468" s="889"/>
      <c r="AN2468" s="222"/>
      <c r="BC2468" s="223"/>
      <c r="BD2468" s="222"/>
      <c r="BH2468" s="611"/>
      <c r="BJ2468" s="15"/>
      <c r="BK2468" s="15"/>
      <c r="BO2468" s="223"/>
      <c r="BQ2468" s="889"/>
      <c r="BT2468" s="890"/>
      <c r="BX2468" s="889"/>
      <c r="CB2468" s="15"/>
      <c r="CC2468" s="697"/>
      <c r="CD2468" s="1086"/>
      <c r="CE2468" s="15"/>
      <c r="CF2468" s="15"/>
      <c r="CG2468" s="936"/>
      <c r="CH2468" s="15"/>
      <c r="CI2468" s="15"/>
      <c r="CJ2468" s="15"/>
      <c r="CK2468" s="1107"/>
      <c r="CL2468" s="22"/>
      <c r="CM2468" s="22"/>
      <c r="CN2468" s="1107"/>
      <c r="CR2468" s="223"/>
      <c r="CS2468" s="952"/>
      <c r="CT2468" s="1066"/>
      <c r="CU2468" s="972"/>
      <c r="CV2468" s="983"/>
      <c r="CW2468" s="222"/>
      <c r="CX2468" s="697"/>
      <c r="DC2468" s="222"/>
      <c r="DJ2468" s="889"/>
      <c r="DM2468" s="890"/>
      <c r="DN2468" s="952"/>
      <c r="DO2468" s="75"/>
      <c r="DP2468" s="962"/>
      <c r="DQ2468" s="983"/>
      <c r="DV2468" s="889"/>
    </row>
    <row r="2469" spans="1:126" s="74" customFormat="1">
      <c r="A2469" s="15"/>
      <c r="B2469" s="15"/>
      <c r="C2469" s="15"/>
      <c r="D2469" s="15"/>
      <c r="E2469" s="6"/>
      <c r="F2469" s="6"/>
      <c r="G2469" s="6"/>
      <c r="K2469" s="222"/>
      <c r="V2469" s="1430"/>
      <c r="AA2469" s="223"/>
      <c r="AC2469" s="889"/>
      <c r="AF2469" s="890"/>
      <c r="AJ2469" s="889"/>
      <c r="AN2469" s="222"/>
      <c r="BC2469" s="223"/>
      <c r="BD2469" s="222"/>
      <c r="BH2469" s="611"/>
      <c r="BJ2469" s="15"/>
      <c r="BK2469" s="15"/>
      <c r="BO2469" s="223"/>
      <c r="BQ2469" s="889"/>
      <c r="BT2469" s="890"/>
      <c r="BX2469" s="889"/>
      <c r="CB2469" s="15"/>
      <c r="CC2469" s="697"/>
      <c r="CD2469" s="1086"/>
      <c r="CE2469" s="15"/>
      <c r="CF2469" s="15"/>
      <c r="CG2469" s="936"/>
      <c r="CH2469" s="15"/>
      <c r="CI2469" s="15"/>
      <c r="CJ2469" s="15"/>
      <c r="CK2469" s="1107"/>
      <c r="CL2469" s="22"/>
      <c r="CM2469" s="22"/>
      <c r="CN2469" s="1107"/>
      <c r="CR2469" s="223"/>
      <c r="CS2469" s="952"/>
      <c r="CT2469" s="1066"/>
      <c r="CU2469" s="972"/>
      <c r="CV2469" s="983"/>
      <c r="CW2469" s="222"/>
      <c r="CX2469" s="697"/>
      <c r="DC2469" s="222"/>
      <c r="DJ2469" s="889"/>
      <c r="DM2469" s="890"/>
      <c r="DN2469" s="952"/>
      <c r="DO2469" s="75"/>
      <c r="DP2469" s="962"/>
      <c r="DQ2469" s="983"/>
      <c r="DV2469" s="889"/>
    </row>
    <row r="2470" spans="1:126" s="74" customFormat="1">
      <c r="A2470" s="15"/>
      <c r="B2470" s="15"/>
      <c r="C2470" s="15"/>
      <c r="D2470" s="15"/>
      <c r="E2470" s="6"/>
      <c r="F2470" s="6"/>
      <c r="G2470" s="6"/>
      <c r="K2470" s="222"/>
      <c r="V2470" s="1430"/>
      <c r="AA2470" s="223"/>
      <c r="AC2470" s="889"/>
      <c r="AF2470" s="890"/>
      <c r="AJ2470" s="889"/>
      <c r="AN2470" s="222"/>
      <c r="BC2470" s="223"/>
      <c r="BD2470" s="222"/>
      <c r="BH2470" s="611"/>
      <c r="BJ2470" s="15"/>
      <c r="BK2470" s="15"/>
      <c r="BO2470" s="223"/>
      <c r="BQ2470" s="889"/>
      <c r="BT2470" s="890"/>
      <c r="BX2470" s="889"/>
      <c r="CB2470" s="15"/>
      <c r="CC2470" s="697"/>
      <c r="CD2470" s="1086"/>
      <c r="CE2470" s="15"/>
      <c r="CF2470" s="15"/>
      <c r="CG2470" s="936"/>
      <c r="CH2470" s="15"/>
      <c r="CI2470" s="15"/>
      <c r="CJ2470" s="15"/>
      <c r="CK2470" s="1107"/>
      <c r="CL2470" s="22"/>
      <c r="CM2470" s="22"/>
      <c r="CN2470" s="1107"/>
      <c r="CR2470" s="223"/>
      <c r="CS2470" s="952"/>
      <c r="CT2470" s="1066"/>
      <c r="CU2470" s="972"/>
      <c r="CV2470" s="983"/>
      <c r="CW2470" s="222"/>
      <c r="CX2470" s="697"/>
      <c r="DC2470" s="222"/>
      <c r="DJ2470" s="889"/>
      <c r="DM2470" s="890"/>
      <c r="DN2470" s="952"/>
      <c r="DO2470" s="75"/>
      <c r="DP2470" s="962"/>
      <c r="DQ2470" s="983"/>
      <c r="DV2470" s="889"/>
    </row>
    <row r="2471" spans="1:126" s="74" customFormat="1">
      <c r="A2471" s="15"/>
      <c r="B2471" s="15"/>
      <c r="C2471" s="15"/>
      <c r="D2471" s="15"/>
      <c r="E2471" s="6"/>
      <c r="F2471" s="6"/>
      <c r="G2471" s="6"/>
      <c r="K2471" s="222"/>
      <c r="V2471" s="1430"/>
      <c r="AA2471" s="223"/>
      <c r="AC2471" s="889"/>
      <c r="AF2471" s="890"/>
      <c r="AJ2471" s="889"/>
      <c r="AN2471" s="222"/>
      <c r="BC2471" s="223"/>
      <c r="BD2471" s="222"/>
      <c r="BH2471" s="611"/>
      <c r="BJ2471" s="15"/>
      <c r="BK2471" s="15"/>
      <c r="BO2471" s="223"/>
      <c r="BQ2471" s="889"/>
      <c r="BT2471" s="890"/>
      <c r="BX2471" s="889"/>
      <c r="CB2471" s="15"/>
      <c r="CC2471" s="697"/>
      <c r="CD2471" s="1086"/>
      <c r="CE2471" s="15"/>
      <c r="CF2471" s="15"/>
      <c r="CG2471" s="936"/>
      <c r="CH2471" s="15"/>
      <c r="CI2471" s="15"/>
      <c r="CJ2471" s="15"/>
      <c r="CK2471" s="1107"/>
      <c r="CL2471" s="22"/>
      <c r="CM2471" s="22"/>
      <c r="CN2471" s="1107"/>
      <c r="CR2471" s="223"/>
      <c r="CS2471" s="952"/>
      <c r="CT2471" s="1066"/>
      <c r="CU2471" s="972"/>
      <c r="CV2471" s="983"/>
      <c r="CW2471" s="222"/>
      <c r="CX2471" s="697"/>
      <c r="DC2471" s="222"/>
      <c r="DJ2471" s="889"/>
      <c r="DM2471" s="890"/>
      <c r="DN2471" s="952"/>
      <c r="DO2471" s="75"/>
      <c r="DP2471" s="962"/>
      <c r="DQ2471" s="983"/>
      <c r="DV2471" s="889"/>
    </row>
    <row r="2472" spans="1:126" s="74" customFormat="1">
      <c r="A2472" s="15"/>
      <c r="B2472" s="15"/>
      <c r="C2472" s="15"/>
      <c r="D2472" s="15"/>
      <c r="E2472" s="6"/>
      <c r="F2472" s="6"/>
      <c r="G2472" s="6"/>
      <c r="K2472" s="222"/>
      <c r="V2472" s="1430"/>
      <c r="AA2472" s="223"/>
      <c r="AC2472" s="889"/>
      <c r="AF2472" s="890"/>
      <c r="AJ2472" s="889"/>
      <c r="AN2472" s="222"/>
      <c r="BC2472" s="223"/>
      <c r="BD2472" s="222"/>
      <c r="BH2472" s="611"/>
      <c r="BJ2472" s="15"/>
      <c r="BK2472" s="15"/>
      <c r="BO2472" s="223"/>
      <c r="BQ2472" s="889"/>
      <c r="BT2472" s="890"/>
      <c r="BX2472" s="889"/>
      <c r="CB2472" s="15"/>
      <c r="CC2472" s="697"/>
      <c r="CD2472" s="1086"/>
      <c r="CE2472" s="15"/>
      <c r="CF2472" s="15"/>
      <c r="CG2472" s="936"/>
      <c r="CH2472" s="15"/>
      <c r="CI2472" s="15"/>
      <c r="CJ2472" s="15"/>
      <c r="CK2472" s="1107"/>
      <c r="CL2472" s="22"/>
      <c r="CM2472" s="22"/>
      <c r="CN2472" s="1107"/>
      <c r="CR2472" s="223"/>
      <c r="CS2472" s="952"/>
      <c r="CT2472" s="1066"/>
      <c r="CU2472" s="972"/>
      <c r="CV2472" s="983"/>
      <c r="CW2472" s="222"/>
      <c r="CX2472" s="697"/>
      <c r="DC2472" s="222"/>
      <c r="DJ2472" s="889"/>
      <c r="DM2472" s="890"/>
      <c r="DN2472" s="952"/>
      <c r="DO2472" s="75"/>
      <c r="DP2472" s="962"/>
      <c r="DQ2472" s="983"/>
      <c r="DV2472" s="889"/>
    </row>
    <row r="2473" spans="1:126" s="74" customFormat="1">
      <c r="A2473" s="15"/>
      <c r="B2473" s="15"/>
      <c r="C2473" s="15"/>
      <c r="D2473" s="15"/>
      <c r="E2473" s="6"/>
      <c r="F2473" s="6"/>
      <c r="G2473" s="6"/>
      <c r="K2473" s="222"/>
      <c r="V2473" s="1430"/>
      <c r="AA2473" s="223"/>
      <c r="AC2473" s="889"/>
      <c r="AF2473" s="890"/>
      <c r="AJ2473" s="889"/>
      <c r="AN2473" s="222"/>
      <c r="BC2473" s="223"/>
      <c r="BD2473" s="222"/>
      <c r="BH2473" s="611"/>
      <c r="BJ2473" s="15"/>
      <c r="BK2473" s="15"/>
      <c r="BO2473" s="223"/>
      <c r="BQ2473" s="889"/>
      <c r="BT2473" s="890"/>
      <c r="BX2473" s="889"/>
      <c r="CB2473" s="15"/>
      <c r="CC2473" s="697"/>
      <c r="CD2473" s="1086"/>
      <c r="CE2473" s="15"/>
      <c r="CF2473" s="15"/>
      <c r="CG2473" s="936"/>
      <c r="CH2473" s="15"/>
      <c r="CI2473" s="15"/>
      <c r="CJ2473" s="15"/>
      <c r="CK2473" s="1107"/>
      <c r="CL2473" s="22"/>
      <c r="CM2473" s="22"/>
      <c r="CN2473" s="1107"/>
      <c r="CR2473" s="223"/>
      <c r="CS2473" s="952"/>
      <c r="CT2473" s="1066"/>
      <c r="CU2473" s="972"/>
      <c r="CV2473" s="983"/>
      <c r="CW2473" s="222"/>
      <c r="CX2473" s="697"/>
      <c r="DC2473" s="222"/>
      <c r="DJ2473" s="889"/>
      <c r="DM2473" s="890"/>
      <c r="DN2473" s="952"/>
      <c r="DO2473" s="75"/>
      <c r="DP2473" s="962"/>
      <c r="DQ2473" s="983"/>
      <c r="DV2473" s="889"/>
    </row>
    <row r="2474" spans="1:126" s="74" customFormat="1">
      <c r="A2474" s="15"/>
      <c r="B2474" s="15"/>
      <c r="C2474" s="15"/>
      <c r="D2474" s="15"/>
      <c r="E2474" s="6"/>
      <c r="F2474" s="6"/>
      <c r="G2474" s="6"/>
      <c r="K2474" s="222"/>
      <c r="V2474" s="1430"/>
      <c r="AA2474" s="223"/>
      <c r="AC2474" s="889"/>
      <c r="AF2474" s="890"/>
      <c r="AJ2474" s="889"/>
      <c r="AN2474" s="222"/>
      <c r="BC2474" s="223"/>
      <c r="BD2474" s="222"/>
      <c r="BH2474" s="611"/>
      <c r="BJ2474" s="15"/>
      <c r="BK2474" s="15"/>
      <c r="BO2474" s="223"/>
      <c r="BQ2474" s="889"/>
      <c r="BT2474" s="890"/>
      <c r="BX2474" s="889"/>
      <c r="CB2474" s="15"/>
      <c r="CC2474" s="697"/>
      <c r="CD2474" s="1086"/>
      <c r="CE2474" s="15"/>
      <c r="CF2474" s="15"/>
      <c r="CG2474" s="936"/>
      <c r="CH2474" s="15"/>
      <c r="CI2474" s="15"/>
      <c r="CJ2474" s="15"/>
      <c r="CK2474" s="1107"/>
      <c r="CL2474" s="22"/>
      <c r="CM2474" s="22"/>
      <c r="CN2474" s="1107"/>
      <c r="CR2474" s="223"/>
      <c r="CS2474" s="952"/>
      <c r="CT2474" s="1066"/>
      <c r="CU2474" s="972"/>
      <c r="CV2474" s="983"/>
      <c r="CW2474" s="222"/>
      <c r="CX2474" s="697"/>
      <c r="DC2474" s="222"/>
      <c r="DJ2474" s="889"/>
      <c r="DM2474" s="890"/>
      <c r="DN2474" s="952"/>
      <c r="DO2474" s="75"/>
      <c r="DP2474" s="962"/>
      <c r="DQ2474" s="983"/>
      <c r="DV2474" s="889"/>
    </row>
    <row r="2475" spans="1:126" s="74" customFormat="1">
      <c r="A2475" s="15"/>
      <c r="B2475" s="15"/>
      <c r="C2475" s="15"/>
      <c r="D2475" s="15"/>
      <c r="E2475" s="6"/>
      <c r="F2475" s="6"/>
      <c r="G2475" s="6"/>
      <c r="K2475" s="222"/>
      <c r="V2475" s="1430"/>
      <c r="AA2475" s="223"/>
      <c r="AC2475" s="889"/>
      <c r="AF2475" s="890"/>
      <c r="AJ2475" s="889"/>
      <c r="AN2475" s="222"/>
      <c r="BC2475" s="223"/>
      <c r="BD2475" s="222"/>
      <c r="BH2475" s="611"/>
      <c r="BJ2475" s="15"/>
      <c r="BK2475" s="15"/>
      <c r="BO2475" s="223"/>
      <c r="BQ2475" s="889"/>
      <c r="BT2475" s="890"/>
      <c r="BX2475" s="889"/>
      <c r="CB2475" s="15"/>
      <c r="CC2475" s="697"/>
      <c r="CD2475" s="1086"/>
      <c r="CE2475" s="15"/>
      <c r="CF2475" s="15"/>
      <c r="CG2475" s="936"/>
      <c r="CH2475" s="15"/>
      <c r="CI2475" s="15"/>
      <c r="CJ2475" s="15"/>
      <c r="CK2475" s="1107"/>
      <c r="CL2475" s="22"/>
      <c r="CM2475" s="22"/>
      <c r="CN2475" s="1107"/>
      <c r="CR2475" s="223"/>
      <c r="CS2475" s="952"/>
      <c r="CT2475" s="1066"/>
      <c r="CU2475" s="972"/>
      <c r="CV2475" s="983"/>
      <c r="CW2475" s="222"/>
      <c r="CX2475" s="697"/>
      <c r="DC2475" s="222"/>
      <c r="DJ2475" s="889"/>
      <c r="DM2475" s="890"/>
      <c r="DN2475" s="952"/>
      <c r="DO2475" s="75"/>
      <c r="DP2475" s="962"/>
      <c r="DQ2475" s="983"/>
      <c r="DV2475" s="889"/>
    </row>
    <row r="2476" spans="1:126" s="74" customFormat="1">
      <c r="A2476" s="15"/>
      <c r="B2476" s="15"/>
      <c r="C2476" s="15"/>
      <c r="D2476" s="15"/>
      <c r="E2476" s="6"/>
      <c r="F2476" s="6"/>
      <c r="G2476" s="6"/>
      <c r="K2476" s="222"/>
      <c r="V2476" s="1430"/>
      <c r="AA2476" s="223"/>
      <c r="AC2476" s="889"/>
      <c r="AF2476" s="890"/>
      <c r="AJ2476" s="889"/>
      <c r="AN2476" s="222"/>
      <c r="BC2476" s="223"/>
      <c r="BD2476" s="222"/>
      <c r="BH2476" s="611"/>
      <c r="BJ2476" s="15"/>
      <c r="BK2476" s="15"/>
      <c r="BO2476" s="223"/>
      <c r="BQ2476" s="889"/>
      <c r="BT2476" s="890"/>
      <c r="BX2476" s="889"/>
      <c r="CB2476" s="15"/>
      <c r="CC2476" s="697"/>
      <c r="CD2476" s="1086"/>
      <c r="CE2476" s="15"/>
      <c r="CF2476" s="15"/>
      <c r="CG2476" s="936"/>
      <c r="CH2476" s="15"/>
      <c r="CI2476" s="15"/>
      <c r="CJ2476" s="15"/>
      <c r="CK2476" s="1107"/>
      <c r="CL2476" s="22"/>
      <c r="CM2476" s="22"/>
      <c r="CN2476" s="1107"/>
      <c r="CR2476" s="223"/>
      <c r="CS2476" s="952"/>
      <c r="CT2476" s="1066"/>
      <c r="CU2476" s="972"/>
      <c r="CV2476" s="983"/>
      <c r="CW2476" s="222"/>
      <c r="CX2476" s="697"/>
      <c r="DC2476" s="222"/>
      <c r="DJ2476" s="889"/>
      <c r="DM2476" s="890"/>
      <c r="DN2476" s="952"/>
      <c r="DO2476" s="75"/>
      <c r="DP2476" s="962"/>
      <c r="DQ2476" s="983"/>
      <c r="DV2476" s="889"/>
    </row>
    <row r="2477" spans="1:126" s="74" customFormat="1">
      <c r="A2477" s="15"/>
      <c r="B2477" s="15"/>
      <c r="C2477" s="15"/>
      <c r="D2477" s="15"/>
      <c r="E2477" s="6"/>
      <c r="F2477" s="6"/>
      <c r="G2477" s="6"/>
      <c r="K2477" s="222"/>
      <c r="V2477" s="1430"/>
      <c r="AA2477" s="223"/>
      <c r="AC2477" s="889"/>
      <c r="AF2477" s="890"/>
      <c r="AJ2477" s="889"/>
      <c r="AN2477" s="222"/>
      <c r="BC2477" s="223"/>
      <c r="BD2477" s="222"/>
      <c r="BH2477" s="611"/>
      <c r="BJ2477" s="15"/>
      <c r="BK2477" s="15"/>
      <c r="BO2477" s="223"/>
      <c r="BQ2477" s="889"/>
      <c r="BT2477" s="890"/>
      <c r="BX2477" s="889"/>
      <c r="CB2477" s="15"/>
      <c r="CC2477" s="697"/>
      <c r="CD2477" s="1086"/>
      <c r="CE2477" s="15"/>
      <c r="CF2477" s="15"/>
      <c r="CG2477" s="936"/>
      <c r="CH2477" s="15"/>
      <c r="CI2477" s="15"/>
      <c r="CJ2477" s="15"/>
      <c r="CK2477" s="1107"/>
      <c r="CL2477" s="22"/>
      <c r="CM2477" s="22"/>
      <c r="CN2477" s="1107"/>
      <c r="CR2477" s="223"/>
      <c r="CS2477" s="952"/>
      <c r="CT2477" s="1066"/>
      <c r="CU2477" s="972"/>
      <c r="CV2477" s="983"/>
      <c r="CW2477" s="222"/>
      <c r="CX2477" s="697"/>
      <c r="DC2477" s="222"/>
      <c r="DJ2477" s="889"/>
      <c r="DM2477" s="890"/>
      <c r="DN2477" s="952"/>
      <c r="DO2477" s="75"/>
      <c r="DP2477" s="962"/>
      <c r="DQ2477" s="983"/>
      <c r="DV2477" s="889"/>
    </row>
    <row r="2478" spans="1:126" s="74" customFormat="1">
      <c r="A2478" s="15"/>
      <c r="B2478" s="15"/>
      <c r="C2478" s="15"/>
      <c r="D2478" s="15"/>
      <c r="E2478" s="6"/>
      <c r="F2478" s="6"/>
      <c r="G2478" s="6"/>
      <c r="K2478" s="222"/>
      <c r="V2478" s="1430"/>
      <c r="AA2478" s="223"/>
      <c r="AC2478" s="889"/>
      <c r="AF2478" s="890"/>
      <c r="AJ2478" s="889"/>
      <c r="AN2478" s="222"/>
      <c r="BC2478" s="223"/>
      <c r="BD2478" s="222"/>
      <c r="BH2478" s="611"/>
      <c r="BJ2478" s="15"/>
      <c r="BK2478" s="15"/>
      <c r="BO2478" s="223"/>
      <c r="BQ2478" s="889"/>
      <c r="BT2478" s="890"/>
      <c r="BX2478" s="889"/>
      <c r="CB2478" s="15"/>
      <c r="CC2478" s="697"/>
      <c r="CD2478" s="1086"/>
      <c r="CE2478" s="15"/>
      <c r="CF2478" s="15"/>
      <c r="CG2478" s="936"/>
      <c r="CH2478" s="15"/>
      <c r="CI2478" s="15"/>
      <c r="CJ2478" s="15"/>
      <c r="CK2478" s="1107"/>
      <c r="CL2478" s="22"/>
      <c r="CM2478" s="22"/>
      <c r="CN2478" s="1107"/>
      <c r="CR2478" s="223"/>
      <c r="CS2478" s="952"/>
      <c r="CT2478" s="1066"/>
      <c r="CU2478" s="972"/>
      <c r="CV2478" s="983"/>
      <c r="CW2478" s="222"/>
      <c r="CX2478" s="697"/>
      <c r="DC2478" s="222"/>
      <c r="DJ2478" s="889"/>
      <c r="DM2478" s="890"/>
      <c r="DN2478" s="952"/>
      <c r="DO2478" s="75"/>
      <c r="DP2478" s="962"/>
      <c r="DQ2478" s="983"/>
      <c r="DV2478" s="889"/>
    </row>
    <row r="2479" spans="1:126" s="74" customFormat="1">
      <c r="A2479" s="15"/>
      <c r="B2479" s="15"/>
      <c r="C2479" s="15"/>
      <c r="D2479" s="15"/>
      <c r="E2479" s="6"/>
      <c r="F2479" s="6"/>
      <c r="G2479" s="6"/>
      <c r="K2479" s="222"/>
      <c r="V2479" s="1430"/>
      <c r="AA2479" s="223"/>
      <c r="AC2479" s="889"/>
      <c r="AF2479" s="890"/>
      <c r="AJ2479" s="889"/>
      <c r="AN2479" s="222"/>
      <c r="BC2479" s="223"/>
      <c r="BD2479" s="222"/>
      <c r="BH2479" s="611"/>
      <c r="BJ2479" s="15"/>
      <c r="BK2479" s="15"/>
      <c r="BO2479" s="223"/>
      <c r="BQ2479" s="889"/>
      <c r="BT2479" s="890"/>
      <c r="BX2479" s="889"/>
      <c r="CB2479" s="15"/>
      <c r="CC2479" s="697"/>
      <c r="CD2479" s="1086"/>
      <c r="CE2479" s="15"/>
      <c r="CF2479" s="15"/>
      <c r="CG2479" s="936"/>
      <c r="CH2479" s="15"/>
      <c r="CI2479" s="15"/>
      <c r="CJ2479" s="15"/>
      <c r="CK2479" s="1107"/>
      <c r="CL2479" s="22"/>
      <c r="CM2479" s="22"/>
      <c r="CN2479" s="1107"/>
      <c r="CR2479" s="223"/>
      <c r="CS2479" s="952"/>
      <c r="CT2479" s="1066"/>
      <c r="CU2479" s="972"/>
      <c r="CV2479" s="983"/>
      <c r="CW2479" s="222"/>
      <c r="CX2479" s="697"/>
      <c r="DC2479" s="222"/>
      <c r="DJ2479" s="889"/>
      <c r="DM2479" s="890"/>
      <c r="DN2479" s="952"/>
      <c r="DO2479" s="75"/>
      <c r="DP2479" s="962"/>
      <c r="DQ2479" s="983"/>
      <c r="DV2479" s="889"/>
    </row>
    <row r="2480" spans="1:126" s="74" customFormat="1">
      <c r="A2480" s="15"/>
      <c r="B2480" s="15"/>
      <c r="C2480" s="15"/>
      <c r="D2480" s="15"/>
      <c r="E2480" s="6"/>
      <c r="F2480" s="6"/>
      <c r="G2480" s="6"/>
      <c r="K2480" s="222"/>
      <c r="V2480" s="1430"/>
      <c r="AA2480" s="223"/>
      <c r="AC2480" s="889"/>
      <c r="AF2480" s="890"/>
      <c r="AJ2480" s="889"/>
      <c r="AN2480" s="222"/>
      <c r="BC2480" s="223"/>
      <c r="BD2480" s="222"/>
      <c r="BH2480" s="611"/>
      <c r="BJ2480" s="15"/>
      <c r="BK2480" s="15"/>
      <c r="BO2480" s="223"/>
      <c r="BQ2480" s="889"/>
      <c r="BT2480" s="890"/>
      <c r="BX2480" s="889"/>
      <c r="CB2480" s="15"/>
      <c r="CC2480" s="697"/>
      <c r="CD2480" s="1086"/>
      <c r="CE2480" s="15"/>
      <c r="CF2480" s="15"/>
      <c r="CG2480" s="936"/>
      <c r="CH2480" s="15"/>
      <c r="CI2480" s="15"/>
      <c r="CJ2480" s="15"/>
      <c r="CK2480" s="1107"/>
      <c r="CL2480" s="22"/>
      <c r="CM2480" s="22"/>
      <c r="CN2480" s="1107"/>
      <c r="CR2480" s="223"/>
      <c r="CS2480" s="952"/>
      <c r="CT2480" s="1066"/>
      <c r="CU2480" s="972"/>
      <c r="CV2480" s="983"/>
      <c r="CW2480" s="222"/>
      <c r="CX2480" s="697"/>
      <c r="DC2480" s="222"/>
      <c r="DJ2480" s="889"/>
      <c r="DM2480" s="890"/>
      <c r="DN2480" s="952"/>
      <c r="DO2480" s="75"/>
      <c r="DP2480" s="962"/>
      <c r="DQ2480" s="983"/>
      <c r="DV2480" s="889"/>
    </row>
    <row r="2481" spans="1:126" s="74" customFormat="1">
      <c r="A2481" s="15"/>
      <c r="B2481" s="15"/>
      <c r="C2481" s="15"/>
      <c r="D2481" s="15"/>
      <c r="E2481" s="6"/>
      <c r="F2481" s="6"/>
      <c r="G2481" s="6"/>
      <c r="K2481" s="222"/>
      <c r="V2481" s="1430"/>
      <c r="AA2481" s="223"/>
      <c r="AC2481" s="889"/>
      <c r="AF2481" s="890"/>
      <c r="AJ2481" s="889"/>
      <c r="AN2481" s="222"/>
      <c r="BC2481" s="223"/>
      <c r="BD2481" s="222"/>
      <c r="BH2481" s="611"/>
      <c r="BJ2481" s="15"/>
      <c r="BK2481" s="15"/>
      <c r="BO2481" s="223"/>
      <c r="BQ2481" s="889"/>
      <c r="BT2481" s="890"/>
      <c r="BX2481" s="889"/>
      <c r="CB2481" s="15"/>
      <c r="CC2481" s="697"/>
      <c r="CD2481" s="1086"/>
      <c r="CE2481" s="15"/>
      <c r="CF2481" s="15"/>
      <c r="CG2481" s="936"/>
      <c r="CH2481" s="15"/>
      <c r="CI2481" s="15"/>
      <c r="CJ2481" s="15"/>
      <c r="CK2481" s="1107"/>
      <c r="CL2481" s="22"/>
      <c r="CM2481" s="22"/>
      <c r="CN2481" s="1107"/>
      <c r="CR2481" s="223"/>
      <c r="CS2481" s="952"/>
      <c r="CT2481" s="1066"/>
      <c r="CU2481" s="972"/>
      <c r="CV2481" s="983"/>
      <c r="CW2481" s="222"/>
      <c r="CX2481" s="697"/>
      <c r="DC2481" s="222"/>
      <c r="DJ2481" s="889"/>
      <c r="DM2481" s="890"/>
      <c r="DN2481" s="952"/>
      <c r="DO2481" s="75"/>
      <c r="DP2481" s="962"/>
      <c r="DQ2481" s="983"/>
      <c r="DV2481" s="889"/>
    </row>
    <row r="2482" spans="1:126" s="74" customFormat="1">
      <c r="A2482" s="15"/>
      <c r="B2482" s="15"/>
      <c r="C2482" s="15"/>
      <c r="D2482" s="15"/>
      <c r="E2482" s="6"/>
      <c r="F2482" s="6"/>
      <c r="G2482" s="6"/>
      <c r="K2482" s="222"/>
      <c r="V2482" s="1430"/>
      <c r="AA2482" s="223"/>
      <c r="AC2482" s="889"/>
      <c r="AF2482" s="890"/>
      <c r="AJ2482" s="889"/>
      <c r="AN2482" s="222"/>
      <c r="BC2482" s="223"/>
      <c r="BD2482" s="222"/>
      <c r="BH2482" s="611"/>
      <c r="BJ2482" s="15"/>
      <c r="BK2482" s="15"/>
      <c r="BO2482" s="223"/>
      <c r="BQ2482" s="889"/>
      <c r="BT2482" s="890"/>
      <c r="BX2482" s="889"/>
      <c r="CB2482" s="15"/>
      <c r="CC2482" s="697"/>
      <c r="CD2482" s="1086"/>
      <c r="CE2482" s="15"/>
      <c r="CF2482" s="15"/>
      <c r="CG2482" s="936"/>
      <c r="CH2482" s="15"/>
      <c r="CI2482" s="15"/>
      <c r="CJ2482" s="15"/>
      <c r="CK2482" s="1107"/>
      <c r="CL2482" s="22"/>
      <c r="CM2482" s="22"/>
      <c r="CN2482" s="1107"/>
      <c r="CR2482" s="223"/>
      <c r="CS2482" s="952"/>
      <c r="CT2482" s="1066"/>
      <c r="CU2482" s="972"/>
      <c r="CV2482" s="983"/>
      <c r="CW2482" s="222"/>
      <c r="CX2482" s="697"/>
      <c r="DC2482" s="222"/>
      <c r="DJ2482" s="889"/>
      <c r="DM2482" s="890"/>
      <c r="DN2482" s="952"/>
      <c r="DO2482" s="75"/>
      <c r="DP2482" s="962"/>
      <c r="DQ2482" s="983"/>
      <c r="DV2482" s="889"/>
    </row>
    <row r="2483" spans="1:126" s="74" customFormat="1">
      <c r="A2483" s="15"/>
      <c r="B2483" s="15"/>
      <c r="C2483" s="15"/>
      <c r="D2483" s="15"/>
      <c r="E2483" s="6"/>
      <c r="F2483" s="6"/>
      <c r="G2483" s="6"/>
      <c r="K2483" s="222"/>
      <c r="V2483" s="1430"/>
      <c r="AA2483" s="223"/>
      <c r="AC2483" s="889"/>
      <c r="AF2483" s="890"/>
      <c r="AJ2483" s="889"/>
      <c r="AN2483" s="222"/>
      <c r="BC2483" s="223"/>
      <c r="BD2483" s="222"/>
      <c r="BH2483" s="611"/>
      <c r="BJ2483" s="15"/>
      <c r="BK2483" s="15"/>
      <c r="BO2483" s="223"/>
      <c r="BQ2483" s="889"/>
      <c r="BT2483" s="890"/>
      <c r="BX2483" s="889"/>
      <c r="CB2483" s="15"/>
      <c r="CC2483" s="697"/>
      <c r="CD2483" s="1086"/>
      <c r="CE2483" s="15"/>
      <c r="CF2483" s="15"/>
      <c r="CG2483" s="936"/>
      <c r="CH2483" s="15"/>
      <c r="CI2483" s="15"/>
      <c r="CJ2483" s="15"/>
      <c r="CK2483" s="1107"/>
      <c r="CL2483" s="22"/>
      <c r="CM2483" s="22"/>
      <c r="CN2483" s="1107"/>
      <c r="CR2483" s="223"/>
      <c r="CS2483" s="952"/>
      <c r="CT2483" s="1066"/>
      <c r="CU2483" s="972"/>
      <c r="CV2483" s="983"/>
      <c r="CW2483" s="222"/>
      <c r="CX2483" s="697"/>
      <c r="DC2483" s="222"/>
      <c r="DJ2483" s="889"/>
      <c r="DM2483" s="890"/>
      <c r="DN2483" s="952"/>
      <c r="DO2483" s="75"/>
      <c r="DP2483" s="962"/>
      <c r="DQ2483" s="983"/>
      <c r="DV2483" s="889"/>
    </row>
    <row r="2484" spans="1:126" s="74" customFormat="1">
      <c r="A2484" s="15"/>
      <c r="B2484" s="15"/>
      <c r="C2484" s="15"/>
      <c r="D2484" s="15"/>
      <c r="E2484" s="6"/>
      <c r="F2484" s="6"/>
      <c r="G2484" s="6"/>
      <c r="K2484" s="222"/>
      <c r="V2484" s="1430"/>
      <c r="AA2484" s="223"/>
      <c r="AC2484" s="889"/>
      <c r="AF2484" s="890"/>
      <c r="AJ2484" s="889"/>
      <c r="AN2484" s="222"/>
      <c r="BC2484" s="223"/>
      <c r="BD2484" s="222"/>
      <c r="BH2484" s="611"/>
      <c r="BJ2484" s="15"/>
      <c r="BK2484" s="15"/>
      <c r="BO2484" s="223"/>
      <c r="BQ2484" s="889"/>
      <c r="BT2484" s="890"/>
      <c r="BX2484" s="889"/>
      <c r="CB2484" s="15"/>
      <c r="CC2484" s="697"/>
      <c r="CD2484" s="1086"/>
      <c r="CE2484" s="15"/>
      <c r="CF2484" s="15"/>
      <c r="CG2484" s="936"/>
      <c r="CH2484" s="15"/>
      <c r="CI2484" s="15"/>
      <c r="CJ2484" s="15"/>
      <c r="CK2484" s="1107"/>
      <c r="CL2484" s="22"/>
      <c r="CM2484" s="22"/>
      <c r="CN2484" s="1107"/>
      <c r="CR2484" s="223"/>
      <c r="CS2484" s="952"/>
      <c r="CT2484" s="1066"/>
      <c r="CU2484" s="972"/>
      <c r="CV2484" s="983"/>
      <c r="CW2484" s="222"/>
      <c r="CX2484" s="697"/>
      <c r="DC2484" s="222"/>
      <c r="DJ2484" s="889"/>
      <c r="DM2484" s="890"/>
      <c r="DN2484" s="952"/>
      <c r="DO2484" s="75"/>
      <c r="DP2484" s="962"/>
      <c r="DQ2484" s="983"/>
      <c r="DV2484" s="889"/>
    </row>
    <row r="2485" spans="1:126" s="74" customFormat="1">
      <c r="A2485" s="15"/>
      <c r="B2485" s="15"/>
      <c r="C2485" s="15"/>
      <c r="D2485" s="15"/>
      <c r="E2485" s="6"/>
      <c r="F2485" s="6"/>
      <c r="G2485" s="6"/>
      <c r="K2485" s="222"/>
      <c r="V2485" s="1430"/>
      <c r="AA2485" s="223"/>
      <c r="AC2485" s="889"/>
      <c r="AF2485" s="890"/>
      <c r="AJ2485" s="889"/>
      <c r="AN2485" s="222"/>
      <c r="BC2485" s="223"/>
      <c r="BD2485" s="222"/>
      <c r="BH2485" s="611"/>
      <c r="BJ2485" s="15"/>
      <c r="BK2485" s="15"/>
      <c r="BO2485" s="223"/>
      <c r="BQ2485" s="889"/>
      <c r="BT2485" s="890"/>
      <c r="BX2485" s="889"/>
      <c r="CB2485" s="15"/>
      <c r="CC2485" s="697"/>
      <c r="CD2485" s="1086"/>
      <c r="CE2485" s="15"/>
      <c r="CF2485" s="15"/>
      <c r="CG2485" s="936"/>
      <c r="CH2485" s="15"/>
      <c r="CI2485" s="15"/>
      <c r="CJ2485" s="15"/>
      <c r="CK2485" s="1107"/>
      <c r="CL2485" s="22"/>
      <c r="CM2485" s="22"/>
      <c r="CN2485" s="1107"/>
      <c r="CR2485" s="223"/>
      <c r="CS2485" s="952"/>
      <c r="CT2485" s="1066"/>
      <c r="CU2485" s="972"/>
      <c r="CV2485" s="983"/>
      <c r="CW2485" s="222"/>
      <c r="CX2485" s="697"/>
      <c r="DC2485" s="222"/>
      <c r="DJ2485" s="889"/>
      <c r="DM2485" s="890"/>
      <c r="DN2485" s="952"/>
      <c r="DO2485" s="75"/>
      <c r="DP2485" s="962"/>
      <c r="DQ2485" s="983"/>
      <c r="DV2485" s="889"/>
    </row>
    <row r="2486" spans="1:126" s="74" customFormat="1">
      <c r="A2486" s="15"/>
      <c r="B2486" s="15"/>
      <c r="C2486" s="15"/>
      <c r="D2486" s="15"/>
      <c r="E2486" s="6"/>
      <c r="F2486" s="6"/>
      <c r="G2486" s="6"/>
      <c r="K2486" s="222"/>
      <c r="V2486" s="1430"/>
      <c r="AA2486" s="223"/>
      <c r="AC2486" s="889"/>
      <c r="AF2486" s="890"/>
      <c r="AJ2486" s="889"/>
      <c r="AN2486" s="222"/>
      <c r="BC2486" s="223"/>
      <c r="BD2486" s="222"/>
      <c r="BH2486" s="611"/>
      <c r="BJ2486" s="15"/>
      <c r="BK2486" s="15"/>
      <c r="BO2486" s="223"/>
      <c r="BQ2486" s="889"/>
      <c r="BT2486" s="890"/>
      <c r="BX2486" s="889"/>
      <c r="CB2486" s="15"/>
      <c r="CC2486" s="697"/>
      <c r="CD2486" s="1086"/>
      <c r="CE2486" s="15"/>
      <c r="CF2486" s="15"/>
      <c r="CG2486" s="936"/>
      <c r="CH2486" s="15"/>
      <c r="CI2486" s="15"/>
      <c r="CJ2486" s="15"/>
      <c r="CK2486" s="1107"/>
      <c r="CL2486" s="22"/>
      <c r="CM2486" s="22"/>
      <c r="CN2486" s="1107"/>
      <c r="CR2486" s="223"/>
      <c r="CS2486" s="952"/>
      <c r="CT2486" s="1066"/>
      <c r="CU2486" s="972"/>
      <c r="CV2486" s="983"/>
      <c r="CW2486" s="222"/>
      <c r="CX2486" s="697"/>
      <c r="DC2486" s="222"/>
      <c r="DJ2486" s="889"/>
      <c r="DM2486" s="890"/>
      <c r="DN2486" s="952"/>
      <c r="DO2486" s="75"/>
      <c r="DP2486" s="962"/>
      <c r="DQ2486" s="983"/>
      <c r="DV2486" s="889"/>
    </row>
    <row r="2487" spans="1:126" s="74" customFormat="1">
      <c r="A2487" s="15"/>
      <c r="B2487" s="15"/>
      <c r="C2487" s="15"/>
      <c r="D2487" s="15"/>
      <c r="E2487" s="6"/>
      <c r="F2487" s="6"/>
      <c r="G2487" s="6"/>
      <c r="K2487" s="222"/>
      <c r="V2487" s="1430"/>
      <c r="AA2487" s="223"/>
      <c r="AC2487" s="889"/>
      <c r="AF2487" s="890"/>
      <c r="AJ2487" s="889"/>
      <c r="AN2487" s="222"/>
      <c r="BC2487" s="223"/>
      <c r="BD2487" s="222"/>
      <c r="BH2487" s="611"/>
      <c r="BJ2487" s="15"/>
      <c r="BK2487" s="15"/>
      <c r="BO2487" s="223"/>
      <c r="BQ2487" s="889"/>
      <c r="BT2487" s="890"/>
      <c r="BX2487" s="889"/>
      <c r="CB2487" s="15"/>
      <c r="CC2487" s="697"/>
      <c r="CD2487" s="1086"/>
      <c r="CE2487" s="15"/>
      <c r="CF2487" s="15"/>
      <c r="CG2487" s="936"/>
      <c r="CH2487" s="15"/>
      <c r="CI2487" s="15"/>
      <c r="CJ2487" s="15"/>
      <c r="CK2487" s="1107"/>
      <c r="CL2487" s="22"/>
      <c r="CM2487" s="22"/>
      <c r="CN2487" s="1107"/>
      <c r="CR2487" s="223"/>
      <c r="CS2487" s="952"/>
      <c r="CT2487" s="1066"/>
      <c r="CU2487" s="972"/>
      <c r="CV2487" s="983"/>
      <c r="CW2487" s="222"/>
      <c r="CX2487" s="697"/>
      <c r="DC2487" s="222"/>
      <c r="DJ2487" s="889"/>
      <c r="DM2487" s="890"/>
      <c r="DN2487" s="952"/>
      <c r="DO2487" s="75"/>
      <c r="DP2487" s="962"/>
      <c r="DQ2487" s="983"/>
      <c r="DV2487" s="889"/>
    </row>
    <row r="2488" spans="1:126" s="74" customFormat="1">
      <c r="A2488" s="15"/>
      <c r="B2488" s="15"/>
      <c r="C2488" s="15"/>
      <c r="D2488" s="15"/>
      <c r="E2488" s="6"/>
      <c r="F2488" s="6"/>
      <c r="G2488" s="6"/>
      <c r="K2488" s="222"/>
      <c r="V2488" s="1430"/>
      <c r="AA2488" s="223"/>
      <c r="AC2488" s="889"/>
      <c r="AF2488" s="890"/>
      <c r="AJ2488" s="889"/>
      <c r="AN2488" s="222"/>
      <c r="BC2488" s="223"/>
      <c r="BD2488" s="222"/>
      <c r="BH2488" s="611"/>
      <c r="BJ2488" s="15"/>
      <c r="BK2488" s="15"/>
      <c r="BO2488" s="223"/>
      <c r="BQ2488" s="889"/>
      <c r="BT2488" s="890"/>
      <c r="BX2488" s="889"/>
      <c r="CB2488" s="15"/>
      <c r="CC2488" s="697"/>
      <c r="CD2488" s="1086"/>
      <c r="CE2488" s="15"/>
      <c r="CF2488" s="15"/>
      <c r="CG2488" s="936"/>
      <c r="CH2488" s="15"/>
      <c r="CI2488" s="15"/>
      <c r="CJ2488" s="15"/>
      <c r="CK2488" s="1107"/>
      <c r="CL2488" s="22"/>
      <c r="CM2488" s="22"/>
      <c r="CN2488" s="1107"/>
      <c r="CR2488" s="223"/>
      <c r="CS2488" s="952"/>
      <c r="CT2488" s="1066"/>
      <c r="CU2488" s="972"/>
      <c r="CV2488" s="983"/>
      <c r="CW2488" s="222"/>
      <c r="CX2488" s="697"/>
      <c r="DC2488" s="222"/>
      <c r="DJ2488" s="889"/>
      <c r="DM2488" s="890"/>
      <c r="DN2488" s="952"/>
      <c r="DO2488" s="75"/>
      <c r="DP2488" s="962"/>
      <c r="DQ2488" s="983"/>
      <c r="DV2488" s="889"/>
    </row>
    <row r="2489" spans="1:126" s="74" customFormat="1">
      <c r="A2489" s="15"/>
      <c r="B2489" s="15"/>
      <c r="C2489" s="15"/>
      <c r="D2489" s="15"/>
      <c r="E2489" s="6"/>
      <c r="F2489" s="6"/>
      <c r="G2489" s="6"/>
      <c r="K2489" s="222"/>
      <c r="V2489" s="1430"/>
      <c r="AA2489" s="223"/>
      <c r="AC2489" s="889"/>
      <c r="AF2489" s="890"/>
      <c r="AJ2489" s="889"/>
      <c r="AN2489" s="222"/>
      <c r="BC2489" s="223"/>
      <c r="BD2489" s="222"/>
      <c r="BH2489" s="611"/>
      <c r="BJ2489" s="15"/>
      <c r="BK2489" s="15"/>
      <c r="BO2489" s="223"/>
      <c r="BQ2489" s="889"/>
      <c r="BT2489" s="890"/>
      <c r="BX2489" s="889"/>
      <c r="CB2489" s="15"/>
      <c r="CC2489" s="697"/>
      <c r="CD2489" s="1086"/>
      <c r="CE2489" s="15"/>
      <c r="CF2489" s="15"/>
      <c r="CG2489" s="936"/>
      <c r="CH2489" s="15"/>
      <c r="CI2489" s="15"/>
      <c r="CJ2489" s="15"/>
      <c r="CK2489" s="1107"/>
      <c r="CL2489" s="22"/>
      <c r="CM2489" s="22"/>
      <c r="CN2489" s="1107"/>
      <c r="CR2489" s="223"/>
      <c r="CS2489" s="952"/>
      <c r="CT2489" s="1066"/>
      <c r="CU2489" s="972"/>
      <c r="CV2489" s="983"/>
      <c r="CW2489" s="222"/>
      <c r="CX2489" s="697"/>
      <c r="DC2489" s="222"/>
      <c r="DJ2489" s="889"/>
      <c r="DM2489" s="890"/>
      <c r="DN2489" s="952"/>
      <c r="DO2489" s="75"/>
      <c r="DP2489" s="962"/>
      <c r="DQ2489" s="983"/>
      <c r="DV2489" s="889"/>
    </row>
    <row r="2490" spans="1:126" s="74" customFormat="1">
      <c r="A2490" s="15"/>
      <c r="B2490" s="15"/>
      <c r="C2490" s="15"/>
      <c r="D2490" s="15"/>
      <c r="E2490" s="6"/>
      <c r="F2490" s="6"/>
      <c r="G2490" s="6"/>
      <c r="K2490" s="222"/>
      <c r="V2490" s="1430"/>
      <c r="AA2490" s="223"/>
      <c r="AC2490" s="889"/>
      <c r="AF2490" s="890"/>
      <c r="AJ2490" s="889"/>
      <c r="AN2490" s="222"/>
      <c r="BC2490" s="223"/>
      <c r="BD2490" s="222"/>
      <c r="BH2490" s="611"/>
      <c r="BJ2490" s="15"/>
      <c r="BK2490" s="15"/>
      <c r="BO2490" s="223"/>
      <c r="BQ2490" s="889"/>
      <c r="BT2490" s="890"/>
      <c r="BX2490" s="889"/>
      <c r="CB2490" s="15"/>
      <c r="CC2490" s="697"/>
      <c r="CD2490" s="1086"/>
      <c r="CE2490" s="15"/>
      <c r="CF2490" s="15"/>
      <c r="CG2490" s="936"/>
      <c r="CH2490" s="15"/>
      <c r="CI2490" s="15"/>
      <c r="CJ2490" s="15"/>
      <c r="CK2490" s="1107"/>
      <c r="CL2490" s="22"/>
      <c r="CM2490" s="22"/>
      <c r="CN2490" s="1107"/>
      <c r="CR2490" s="223"/>
      <c r="CS2490" s="952"/>
      <c r="CT2490" s="1066"/>
      <c r="CU2490" s="972"/>
      <c r="CV2490" s="983"/>
      <c r="CW2490" s="222"/>
      <c r="CX2490" s="697"/>
      <c r="DC2490" s="222"/>
      <c r="DJ2490" s="889"/>
      <c r="DM2490" s="890"/>
      <c r="DN2490" s="952"/>
      <c r="DO2490" s="75"/>
      <c r="DP2490" s="962"/>
      <c r="DQ2490" s="983"/>
      <c r="DV2490" s="889"/>
    </row>
    <row r="2491" spans="1:126" s="74" customFormat="1">
      <c r="A2491" s="15"/>
      <c r="B2491" s="15"/>
      <c r="C2491" s="15"/>
      <c r="D2491" s="15"/>
      <c r="E2491" s="6"/>
      <c r="F2491" s="6"/>
      <c r="G2491" s="6"/>
      <c r="K2491" s="222"/>
      <c r="V2491" s="1430"/>
      <c r="AA2491" s="223"/>
      <c r="AC2491" s="889"/>
      <c r="AF2491" s="890"/>
      <c r="AJ2491" s="889"/>
      <c r="AN2491" s="222"/>
      <c r="BC2491" s="223"/>
      <c r="BD2491" s="222"/>
      <c r="BH2491" s="611"/>
      <c r="BJ2491" s="15"/>
      <c r="BK2491" s="15"/>
      <c r="BO2491" s="223"/>
      <c r="BQ2491" s="889"/>
      <c r="BT2491" s="890"/>
      <c r="BX2491" s="889"/>
      <c r="CB2491" s="15"/>
      <c r="CC2491" s="697"/>
      <c r="CD2491" s="1086"/>
      <c r="CE2491" s="15"/>
      <c r="CF2491" s="15"/>
      <c r="CG2491" s="936"/>
      <c r="CH2491" s="15"/>
      <c r="CI2491" s="15"/>
      <c r="CJ2491" s="15"/>
      <c r="CK2491" s="1107"/>
      <c r="CL2491" s="22"/>
      <c r="CM2491" s="22"/>
      <c r="CN2491" s="1107"/>
      <c r="CR2491" s="223"/>
      <c r="CS2491" s="952"/>
      <c r="CT2491" s="1066"/>
      <c r="CU2491" s="972"/>
      <c r="CV2491" s="983"/>
      <c r="CW2491" s="222"/>
      <c r="CX2491" s="697"/>
      <c r="DC2491" s="222"/>
      <c r="DJ2491" s="889"/>
      <c r="DM2491" s="890"/>
      <c r="DN2491" s="952"/>
      <c r="DO2491" s="75"/>
      <c r="DP2491" s="962"/>
      <c r="DQ2491" s="983"/>
      <c r="DV2491" s="889"/>
    </row>
    <row r="2492" spans="1:126" s="74" customFormat="1">
      <c r="A2492" s="15"/>
      <c r="B2492" s="15"/>
      <c r="C2492" s="15"/>
      <c r="D2492" s="15"/>
      <c r="E2492" s="6"/>
      <c r="F2492" s="6"/>
      <c r="G2492" s="6"/>
      <c r="K2492" s="222"/>
      <c r="V2492" s="1430"/>
      <c r="AA2492" s="223"/>
      <c r="AC2492" s="889"/>
      <c r="AF2492" s="890"/>
      <c r="AJ2492" s="889"/>
      <c r="AN2492" s="222"/>
      <c r="BC2492" s="223"/>
      <c r="BD2492" s="222"/>
      <c r="BH2492" s="611"/>
      <c r="BJ2492" s="15"/>
      <c r="BK2492" s="15"/>
      <c r="BO2492" s="223"/>
      <c r="BQ2492" s="889"/>
      <c r="BT2492" s="890"/>
      <c r="BX2492" s="889"/>
      <c r="CB2492" s="15"/>
      <c r="CC2492" s="697"/>
      <c r="CD2492" s="1086"/>
      <c r="CE2492" s="15"/>
      <c r="CF2492" s="15"/>
      <c r="CG2492" s="936"/>
      <c r="CH2492" s="15"/>
      <c r="CI2492" s="15"/>
      <c r="CJ2492" s="15"/>
      <c r="CK2492" s="1107"/>
      <c r="CL2492" s="22"/>
      <c r="CM2492" s="22"/>
      <c r="CN2492" s="1107"/>
      <c r="CR2492" s="223"/>
      <c r="CS2492" s="952"/>
      <c r="CT2492" s="1066"/>
      <c r="CU2492" s="972"/>
      <c r="CV2492" s="983"/>
      <c r="CW2492" s="222"/>
      <c r="CX2492" s="697"/>
      <c r="DC2492" s="222"/>
      <c r="DJ2492" s="889"/>
      <c r="DM2492" s="890"/>
      <c r="DN2492" s="952"/>
      <c r="DO2492" s="75"/>
      <c r="DP2492" s="962"/>
      <c r="DQ2492" s="983"/>
      <c r="DV2492" s="889"/>
    </row>
    <row r="2493" spans="1:126" s="74" customFormat="1">
      <c r="A2493" s="15"/>
      <c r="B2493" s="15"/>
      <c r="C2493" s="15"/>
      <c r="D2493" s="15"/>
      <c r="E2493" s="6"/>
      <c r="F2493" s="6"/>
      <c r="G2493" s="6"/>
      <c r="K2493" s="222"/>
      <c r="V2493" s="1430"/>
      <c r="AA2493" s="223"/>
      <c r="AC2493" s="889"/>
      <c r="AF2493" s="890"/>
      <c r="AJ2493" s="889"/>
      <c r="AN2493" s="222"/>
      <c r="BC2493" s="223"/>
      <c r="BD2493" s="222"/>
      <c r="BH2493" s="611"/>
      <c r="BJ2493" s="15"/>
      <c r="BK2493" s="15"/>
      <c r="BO2493" s="223"/>
      <c r="BQ2493" s="889"/>
      <c r="BT2493" s="890"/>
      <c r="BX2493" s="889"/>
      <c r="CB2493" s="15"/>
      <c r="CC2493" s="697"/>
      <c r="CD2493" s="1086"/>
      <c r="CE2493" s="15"/>
      <c r="CF2493" s="15"/>
      <c r="CG2493" s="936"/>
      <c r="CH2493" s="15"/>
      <c r="CI2493" s="15"/>
      <c r="CJ2493" s="15"/>
      <c r="CK2493" s="1107"/>
      <c r="CL2493" s="22"/>
      <c r="CM2493" s="22"/>
      <c r="CN2493" s="1107"/>
      <c r="CR2493" s="223"/>
      <c r="CS2493" s="952"/>
      <c r="CT2493" s="1066"/>
      <c r="CU2493" s="972"/>
      <c r="CV2493" s="983"/>
      <c r="CW2493" s="222"/>
      <c r="CX2493" s="697"/>
      <c r="DC2493" s="222"/>
      <c r="DJ2493" s="889"/>
      <c r="DM2493" s="890"/>
      <c r="DN2493" s="952"/>
      <c r="DO2493" s="75"/>
      <c r="DP2493" s="962"/>
      <c r="DQ2493" s="983"/>
      <c r="DV2493" s="889"/>
    </row>
    <row r="2494" spans="1:126" s="74" customFormat="1">
      <c r="A2494" s="15"/>
      <c r="B2494" s="15"/>
      <c r="C2494" s="15"/>
      <c r="D2494" s="15"/>
      <c r="E2494" s="6"/>
      <c r="F2494" s="6"/>
      <c r="G2494" s="6"/>
      <c r="K2494" s="222"/>
      <c r="V2494" s="1430"/>
      <c r="AA2494" s="223"/>
      <c r="AC2494" s="889"/>
      <c r="AF2494" s="890"/>
      <c r="AJ2494" s="889"/>
      <c r="AN2494" s="222"/>
      <c r="BC2494" s="223"/>
      <c r="BD2494" s="222"/>
      <c r="BH2494" s="611"/>
      <c r="BJ2494" s="15"/>
      <c r="BK2494" s="15"/>
      <c r="BO2494" s="223"/>
      <c r="BQ2494" s="889"/>
      <c r="BT2494" s="890"/>
      <c r="BX2494" s="889"/>
      <c r="CB2494" s="15"/>
      <c r="CC2494" s="697"/>
      <c r="CD2494" s="1086"/>
      <c r="CE2494" s="15"/>
      <c r="CF2494" s="15"/>
      <c r="CG2494" s="936"/>
      <c r="CH2494" s="15"/>
      <c r="CI2494" s="15"/>
      <c r="CJ2494" s="15"/>
      <c r="CK2494" s="1107"/>
      <c r="CL2494" s="22"/>
      <c r="CM2494" s="22"/>
      <c r="CN2494" s="1107"/>
      <c r="CR2494" s="223"/>
      <c r="CS2494" s="952"/>
      <c r="CT2494" s="1066"/>
      <c r="CU2494" s="972"/>
      <c r="CV2494" s="983"/>
      <c r="CW2494" s="222"/>
      <c r="CX2494" s="697"/>
      <c r="DC2494" s="222"/>
      <c r="DJ2494" s="889"/>
      <c r="DM2494" s="890"/>
      <c r="DN2494" s="952"/>
      <c r="DO2494" s="75"/>
      <c r="DP2494" s="962"/>
      <c r="DQ2494" s="983"/>
      <c r="DV2494" s="889"/>
    </row>
    <row r="2495" spans="1:126" s="74" customFormat="1">
      <c r="A2495" s="15"/>
      <c r="B2495" s="15"/>
      <c r="C2495" s="15"/>
      <c r="D2495" s="15"/>
      <c r="E2495" s="6"/>
      <c r="F2495" s="6"/>
      <c r="G2495" s="6"/>
      <c r="K2495" s="222"/>
      <c r="V2495" s="1430"/>
      <c r="AA2495" s="223"/>
      <c r="AC2495" s="889"/>
      <c r="AF2495" s="890"/>
      <c r="AJ2495" s="889"/>
      <c r="AN2495" s="222"/>
      <c r="BC2495" s="223"/>
      <c r="BD2495" s="222"/>
      <c r="BH2495" s="611"/>
      <c r="BJ2495" s="15"/>
      <c r="BK2495" s="15"/>
      <c r="BO2495" s="223"/>
      <c r="BQ2495" s="889"/>
      <c r="BT2495" s="890"/>
      <c r="BX2495" s="889"/>
      <c r="CB2495" s="15"/>
      <c r="CC2495" s="697"/>
      <c r="CD2495" s="1086"/>
      <c r="CE2495" s="15"/>
      <c r="CF2495" s="15"/>
      <c r="CG2495" s="936"/>
      <c r="CH2495" s="15"/>
      <c r="CI2495" s="15"/>
      <c r="CJ2495" s="15"/>
      <c r="CK2495" s="1107"/>
      <c r="CL2495" s="22"/>
      <c r="CM2495" s="22"/>
      <c r="CN2495" s="1107"/>
      <c r="CR2495" s="223"/>
      <c r="CS2495" s="952"/>
      <c r="CT2495" s="1066"/>
      <c r="CU2495" s="972"/>
      <c r="CV2495" s="983"/>
      <c r="CW2495" s="222"/>
      <c r="CX2495" s="697"/>
      <c r="DC2495" s="222"/>
      <c r="DJ2495" s="889"/>
      <c r="DM2495" s="890"/>
      <c r="DN2495" s="952"/>
      <c r="DO2495" s="75"/>
      <c r="DP2495" s="962"/>
      <c r="DQ2495" s="983"/>
      <c r="DV2495" s="889"/>
    </row>
    <row r="2496" spans="1:126" s="74" customFormat="1">
      <c r="A2496" s="15"/>
      <c r="B2496" s="15"/>
      <c r="C2496" s="15"/>
      <c r="D2496" s="15"/>
      <c r="E2496" s="6"/>
      <c r="F2496" s="6"/>
      <c r="G2496" s="6"/>
      <c r="K2496" s="222"/>
      <c r="V2496" s="1430"/>
      <c r="AA2496" s="223"/>
      <c r="AC2496" s="889"/>
      <c r="AF2496" s="890"/>
      <c r="AJ2496" s="889"/>
      <c r="AN2496" s="222"/>
      <c r="BC2496" s="223"/>
      <c r="BD2496" s="222"/>
      <c r="BH2496" s="611"/>
      <c r="BJ2496" s="15"/>
      <c r="BK2496" s="15"/>
      <c r="BO2496" s="223"/>
      <c r="BQ2496" s="889"/>
      <c r="BT2496" s="890"/>
      <c r="BX2496" s="889"/>
      <c r="CB2496" s="15"/>
      <c r="CC2496" s="697"/>
      <c r="CD2496" s="1086"/>
      <c r="CE2496" s="15"/>
      <c r="CF2496" s="15"/>
      <c r="CG2496" s="936"/>
      <c r="CH2496" s="15"/>
      <c r="CI2496" s="15"/>
      <c r="CJ2496" s="15"/>
      <c r="CK2496" s="1107"/>
      <c r="CL2496" s="22"/>
      <c r="CM2496" s="22"/>
      <c r="CN2496" s="1107"/>
      <c r="CR2496" s="223"/>
      <c r="CS2496" s="952"/>
      <c r="CT2496" s="1066"/>
      <c r="CU2496" s="972"/>
      <c r="CV2496" s="983"/>
      <c r="CW2496" s="222"/>
      <c r="CX2496" s="697"/>
      <c r="DC2496" s="222"/>
      <c r="DJ2496" s="889"/>
      <c r="DM2496" s="890"/>
      <c r="DN2496" s="952"/>
      <c r="DO2496" s="75"/>
      <c r="DP2496" s="962"/>
      <c r="DQ2496" s="983"/>
      <c r="DV2496" s="889"/>
    </row>
    <row r="2497" spans="1:126" s="74" customFormat="1">
      <c r="A2497" s="15"/>
      <c r="B2497" s="15"/>
      <c r="C2497" s="15"/>
      <c r="D2497" s="15"/>
      <c r="E2497" s="6"/>
      <c r="F2497" s="6"/>
      <c r="G2497" s="6"/>
      <c r="K2497" s="222"/>
      <c r="V2497" s="1430"/>
      <c r="AA2497" s="223"/>
      <c r="AC2497" s="889"/>
      <c r="AF2497" s="890"/>
      <c r="AJ2497" s="889"/>
      <c r="AN2497" s="222"/>
      <c r="BC2497" s="223"/>
      <c r="BD2497" s="222"/>
      <c r="BH2497" s="611"/>
      <c r="BJ2497" s="15"/>
      <c r="BK2497" s="15"/>
      <c r="BO2497" s="223"/>
      <c r="BQ2497" s="889"/>
      <c r="BT2497" s="890"/>
      <c r="BX2497" s="889"/>
      <c r="CB2497" s="15"/>
      <c r="CC2497" s="697"/>
      <c r="CD2497" s="1086"/>
      <c r="CE2497" s="15"/>
      <c r="CF2497" s="15"/>
      <c r="CG2497" s="936"/>
      <c r="CH2497" s="15"/>
      <c r="CI2497" s="15"/>
      <c r="CJ2497" s="15"/>
      <c r="CK2497" s="1107"/>
      <c r="CL2497" s="22"/>
      <c r="CM2497" s="22"/>
      <c r="CN2497" s="1107"/>
      <c r="CR2497" s="223"/>
      <c r="CS2497" s="952"/>
      <c r="CT2497" s="1066"/>
      <c r="CU2497" s="972"/>
      <c r="CV2497" s="983"/>
      <c r="CW2497" s="222"/>
      <c r="CX2497" s="697"/>
      <c r="DC2497" s="222"/>
      <c r="DJ2497" s="889"/>
      <c r="DM2497" s="890"/>
      <c r="DN2497" s="952"/>
      <c r="DO2497" s="75"/>
      <c r="DP2497" s="962"/>
      <c r="DQ2497" s="983"/>
      <c r="DV2497" s="889"/>
    </row>
    <row r="2498" spans="1:126" s="74" customFormat="1">
      <c r="A2498" s="15"/>
      <c r="B2498" s="15"/>
      <c r="C2498" s="15"/>
      <c r="D2498" s="15"/>
      <c r="E2498" s="6"/>
      <c r="F2498" s="6"/>
      <c r="G2498" s="6"/>
      <c r="K2498" s="222"/>
      <c r="V2498" s="1430"/>
      <c r="AA2498" s="223"/>
      <c r="AC2498" s="889"/>
      <c r="AF2498" s="890"/>
      <c r="AJ2498" s="889"/>
      <c r="AN2498" s="222"/>
      <c r="BC2498" s="223"/>
      <c r="BD2498" s="222"/>
      <c r="BH2498" s="611"/>
      <c r="BJ2498" s="15"/>
      <c r="BK2498" s="15"/>
      <c r="BO2498" s="223"/>
      <c r="BQ2498" s="889"/>
      <c r="BT2498" s="890"/>
      <c r="BX2498" s="889"/>
      <c r="CB2498" s="15"/>
      <c r="CC2498" s="697"/>
      <c r="CD2498" s="1086"/>
      <c r="CE2498" s="15"/>
      <c r="CF2498" s="15"/>
      <c r="CG2498" s="936"/>
      <c r="CH2498" s="15"/>
      <c r="CI2498" s="15"/>
      <c r="CJ2498" s="15"/>
      <c r="CK2498" s="1107"/>
      <c r="CL2498" s="22"/>
      <c r="CM2498" s="22"/>
      <c r="CN2498" s="1107"/>
      <c r="CR2498" s="223"/>
      <c r="CS2498" s="952"/>
      <c r="CT2498" s="1066"/>
      <c r="CU2498" s="972"/>
      <c r="CV2498" s="983"/>
      <c r="CW2498" s="222"/>
      <c r="CX2498" s="697"/>
      <c r="DC2498" s="222"/>
      <c r="DJ2498" s="889"/>
      <c r="DM2498" s="890"/>
      <c r="DN2498" s="952"/>
      <c r="DO2498" s="75"/>
      <c r="DP2498" s="962"/>
      <c r="DQ2498" s="983"/>
      <c r="DV2498" s="889"/>
    </row>
    <row r="2499" spans="1:126" s="74" customFormat="1">
      <c r="A2499" s="15"/>
      <c r="B2499" s="15"/>
      <c r="C2499" s="15"/>
      <c r="D2499" s="15"/>
      <c r="E2499" s="6"/>
      <c r="F2499" s="6"/>
      <c r="G2499" s="6"/>
      <c r="K2499" s="222"/>
      <c r="V2499" s="1430"/>
      <c r="AA2499" s="223"/>
      <c r="AC2499" s="889"/>
      <c r="AF2499" s="890"/>
      <c r="AJ2499" s="889"/>
      <c r="AN2499" s="222"/>
      <c r="BC2499" s="223"/>
      <c r="BD2499" s="222"/>
      <c r="BH2499" s="611"/>
      <c r="BJ2499" s="15"/>
      <c r="BK2499" s="15"/>
      <c r="BO2499" s="223"/>
      <c r="BQ2499" s="889"/>
      <c r="BT2499" s="890"/>
      <c r="BX2499" s="889"/>
      <c r="CB2499" s="15"/>
      <c r="CC2499" s="697"/>
      <c r="CD2499" s="1086"/>
      <c r="CE2499" s="15"/>
      <c r="CF2499" s="15"/>
      <c r="CG2499" s="936"/>
      <c r="CH2499" s="15"/>
      <c r="CI2499" s="15"/>
      <c r="CJ2499" s="15"/>
      <c r="CK2499" s="1107"/>
      <c r="CL2499" s="22"/>
      <c r="CM2499" s="22"/>
      <c r="CN2499" s="1107"/>
      <c r="CR2499" s="223"/>
      <c r="CS2499" s="952"/>
      <c r="CT2499" s="1066"/>
      <c r="CU2499" s="972"/>
      <c r="CV2499" s="983"/>
      <c r="CW2499" s="222"/>
      <c r="CX2499" s="697"/>
      <c r="DC2499" s="222"/>
      <c r="DJ2499" s="889"/>
      <c r="DM2499" s="890"/>
      <c r="DN2499" s="952"/>
      <c r="DO2499" s="75"/>
      <c r="DP2499" s="962"/>
      <c r="DQ2499" s="983"/>
      <c r="DV2499" s="889"/>
    </row>
    <row r="2500" spans="1:126" s="74" customFormat="1">
      <c r="A2500" s="15"/>
      <c r="B2500" s="15"/>
      <c r="C2500" s="15"/>
      <c r="D2500" s="15"/>
      <c r="E2500" s="6"/>
      <c r="F2500" s="6"/>
      <c r="G2500" s="6"/>
      <c r="K2500" s="222"/>
      <c r="V2500" s="1430"/>
      <c r="AA2500" s="223"/>
      <c r="AC2500" s="889"/>
      <c r="AF2500" s="890"/>
      <c r="AJ2500" s="889"/>
      <c r="AN2500" s="222"/>
      <c r="BC2500" s="223"/>
      <c r="BD2500" s="222"/>
      <c r="BH2500" s="611"/>
      <c r="BJ2500" s="15"/>
      <c r="BK2500" s="15"/>
      <c r="BO2500" s="223"/>
      <c r="BQ2500" s="889"/>
      <c r="BT2500" s="890"/>
      <c r="BX2500" s="889"/>
      <c r="CB2500" s="15"/>
      <c r="CC2500" s="697"/>
      <c r="CD2500" s="1086"/>
      <c r="CE2500" s="15"/>
      <c r="CF2500" s="15"/>
      <c r="CG2500" s="936"/>
      <c r="CH2500" s="15"/>
      <c r="CI2500" s="15"/>
      <c r="CJ2500" s="15"/>
      <c r="CK2500" s="1107"/>
      <c r="CL2500" s="22"/>
      <c r="CM2500" s="22"/>
      <c r="CN2500" s="1107"/>
      <c r="CR2500" s="223"/>
      <c r="CS2500" s="952"/>
      <c r="CT2500" s="1066"/>
      <c r="CU2500" s="972"/>
      <c r="CV2500" s="983"/>
      <c r="CW2500" s="222"/>
      <c r="CX2500" s="697"/>
      <c r="DC2500" s="222"/>
      <c r="DJ2500" s="889"/>
      <c r="DM2500" s="890"/>
      <c r="DN2500" s="952"/>
      <c r="DO2500" s="75"/>
      <c r="DP2500" s="962"/>
      <c r="DQ2500" s="983"/>
      <c r="DV2500" s="889"/>
    </row>
    <row r="2501" spans="1:126" s="74" customFormat="1">
      <c r="A2501" s="15"/>
      <c r="B2501" s="15"/>
      <c r="C2501" s="15"/>
      <c r="D2501" s="15"/>
      <c r="E2501" s="6"/>
      <c r="F2501" s="6"/>
      <c r="G2501" s="6"/>
      <c r="K2501" s="222"/>
      <c r="V2501" s="1430"/>
      <c r="AA2501" s="223"/>
      <c r="AC2501" s="889"/>
      <c r="AF2501" s="890"/>
      <c r="AJ2501" s="889"/>
      <c r="AN2501" s="222"/>
      <c r="BC2501" s="223"/>
      <c r="BD2501" s="222"/>
      <c r="BH2501" s="611"/>
      <c r="BJ2501" s="15"/>
      <c r="BK2501" s="15"/>
      <c r="BO2501" s="223"/>
      <c r="BQ2501" s="889"/>
      <c r="BT2501" s="890"/>
      <c r="BX2501" s="889"/>
      <c r="CB2501" s="15"/>
      <c r="CC2501" s="697"/>
      <c r="CD2501" s="1086"/>
      <c r="CE2501" s="15"/>
      <c r="CF2501" s="15"/>
      <c r="CG2501" s="936"/>
      <c r="CH2501" s="15"/>
      <c r="CI2501" s="15"/>
      <c r="CJ2501" s="15"/>
      <c r="CK2501" s="1107"/>
      <c r="CL2501" s="22"/>
      <c r="CM2501" s="22"/>
      <c r="CN2501" s="1107"/>
      <c r="CR2501" s="223"/>
      <c r="CS2501" s="952"/>
      <c r="CT2501" s="1066"/>
      <c r="CU2501" s="972"/>
      <c r="CV2501" s="983"/>
      <c r="CW2501" s="222"/>
      <c r="CX2501" s="697"/>
      <c r="DC2501" s="222"/>
      <c r="DJ2501" s="889"/>
      <c r="DM2501" s="890"/>
      <c r="DN2501" s="952"/>
      <c r="DO2501" s="75"/>
      <c r="DP2501" s="962"/>
      <c r="DQ2501" s="983"/>
      <c r="DV2501" s="889"/>
    </row>
    <row r="2502" spans="1:126" s="74" customFormat="1">
      <c r="A2502" s="15"/>
      <c r="B2502" s="15"/>
      <c r="C2502" s="15"/>
      <c r="D2502" s="15"/>
      <c r="E2502" s="6"/>
      <c r="F2502" s="6"/>
      <c r="G2502" s="6"/>
      <c r="K2502" s="222"/>
      <c r="V2502" s="1430"/>
      <c r="AA2502" s="223"/>
      <c r="AC2502" s="889"/>
      <c r="AF2502" s="890"/>
      <c r="AJ2502" s="889"/>
      <c r="AN2502" s="222"/>
      <c r="BC2502" s="223"/>
      <c r="BD2502" s="222"/>
      <c r="BH2502" s="611"/>
      <c r="BJ2502" s="15"/>
      <c r="BK2502" s="15"/>
      <c r="BO2502" s="223"/>
      <c r="BQ2502" s="889"/>
      <c r="BT2502" s="890"/>
      <c r="BX2502" s="889"/>
      <c r="CB2502" s="15"/>
      <c r="CC2502" s="697"/>
      <c r="CD2502" s="1086"/>
      <c r="CE2502" s="15"/>
      <c r="CF2502" s="15"/>
      <c r="CG2502" s="936"/>
      <c r="CH2502" s="15"/>
      <c r="CI2502" s="15"/>
      <c r="CJ2502" s="15"/>
      <c r="CK2502" s="1107"/>
      <c r="CL2502" s="22"/>
      <c r="CM2502" s="22"/>
      <c r="CN2502" s="1107"/>
      <c r="CR2502" s="223"/>
      <c r="CS2502" s="952"/>
      <c r="CT2502" s="1066"/>
      <c r="CU2502" s="972"/>
      <c r="CV2502" s="983"/>
      <c r="CW2502" s="222"/>
      <c r="CX2502" s="697"/>
      <c r="DC2502" s="222"/>
      <c r="DJ2502" s="889"/>
      <c r="DM2502" s="890"/>
      <c r="DN2502" s="952"/>
      <c r="DO2502" s="75"/>
      <c r="DP2502" s="962"/>
      <c r="DQ2502" s="983"/>
      <c r="DV2502" s="889"/>
    </row>
    <row r="2503" spans="1:126" s="74" customFormat="1">
      <c r="A2503" s="15"/>
      <c r="B2503" s="15"/>
      <c r="C2503" s="15"/>
      <c r="D2503" s="15"/>
      <c r="E2503" s="6"/>
      <c r="F2503" s="6"/>
      <c r="G2503" s="6"/>
      <c r="K2503" s="222"/>
      <c r="V2503" s="1430"/>
      <c r="AA2503" s="223"/>
      <c r="AC2503" s="889"/>
      <c r="AF2503" s="890"/>
      <c r="AJ2503" s="889"/>
      <c r="AN2503" s="222"/>
      <c r="BC2503" s="223"/>
      <c r="BD2503" s="222"/>
      <c r="BH2503" s="611"/>
      <c r="BJ2503" s="15"/>
      <c r="BK2503" s="15"/>
      <c r="BO2503" s="223"/>
      <c r="BQ2503" s="889"/>
      <c r="BT2503" s="890"/>
      <c r="BX2503" s="889"/>
      <c r="CB2503" s="15"/>
      <c r="CC2503" s="697"/>
      <c r="CD2503" s="1086"/>
      <c r="CE2503" s="15"/>
      <c r="CF2503" s="15"/>
      <c r="CG2503" s="936"/>
      <c r="CH2503" s="15"/>
      <c r="CI2503" s="15"/>
      <c r="CJ2503" s="15"/>
      <c r="CK2503" s="1107"/>
      <c r="CL2503" s="22"/>
      <c r="CM2503" s="22"/>
      <c r="CN2503" s="1107"/>
      <c r="CR2503" s="223"/>
      <c r="CS2503" s="952"/>
      <c r="CT2503" s="1066"/>
      <c r="CU2503" s="972"/>
      <c r="CV2503" s="983"/>
      <c r="CW2503" s="222"/>
      <c r="CX2503" s="697"/>
      <c r="DC2503" s="222"/>
      <c r="DJ2503" s="889"/>
      <c r="DM2503" s="890"/>
      <c r="DN2503" s="952"/>
      <c r="DO2503" s="75"/>
      <c r="DP2503" s="962"/>
      <c r="DQ2503" s="983"/>
      <c r="DV2503" s="889"/>
    </row>
    <row r="2504" spans="1:126" s="74" customFormat="1">
      <c r="A2504" s="15"/>
      <c r="B2504" s="15"/>
      <c r="C2504" s="15"/>
      <c r="D2504" s="15"/>
      <c r="E2504" s="6"/>
      <c r="F2504" s="6"/>
      <c r="G2504" s="6"/>
      <c r="K2504" s="222"/>
      <c r="V2504" s="1430"/>
      <c r="AA2504" s="223"/>
      <c r="AC2504" s="889"/>
      <c r="AF2504" s="890"/>
      <c r="AJ2504" s="889"/>
      <c r="AN2504" s="222"/>
      <c r="BC2504" s="223"/>
      <c r="BD2504" s="222"/>
      <c r="BH2504" s="611"/>
      <c r="BJ2504" s="15"/>
      <c r="BK2504" s="15"/>
      <c r="BO2504" s="223"/>
      <c r="BQ2504" s="889"/>
      <c r="BT2504" s="890"/>
      <c r="BX2504" s="889"/>
      <c r="CB2504" s="15"/>
      <c r="CC2504" s="697"/>
      <c r="CD2504" s="1086"/>
      <c r="CE2504" s="15"/>
      <c r="CF2504" s="15"/>
      <c r="CG2504" s="936"/>
      <c r="CH2504" s="15"/>
      <c r="CI2504" s="15"/>
      <c r="CJ2504" s="15"/>
      <c r="CK2504" s="1107"/>
      <c r="CL2504" s="22"/>
      <c r="CM2504" s="22"/>
      <c r="CN2504" s="1107"/>
      <c r="CR2504" s="223"/>
      <c r="CS2504" s="952"/>
      <c r="CT2504" s="1066"/>
      <c r="CU2504" s="972"/>
      <c r="CV2504" s="983"/>
      <c r="CW2504" s="222"/>
      <c r="CX2504" s="697"/>
      <c r="DC2504" s="222"/>
      <c r="DJ2504" s="889"/>
      <c r="DM2504" s="890"/>
      <c r="DN2504" s="952"/>
      <c r="DO2504" s="75"/>
      <c r="DP2504" s="962"/>
      <c r="DQ2504" s="983"/>
      <c r="DV2504" s="889"/>
    </row>
    <row r="2505" spans="1:126" s="74" customFormat="1">
      <c r="A2505" s="15"/>
      <c r="B2505" s="15"/>
      <c r="C2505" s="15"/>
      <c r="D2505" s="15"/>
      <c r="E2505" s="6"/>
      <c r="F2505" s="6"/>
      <c r="G2505" s="6"/>
      <c r="K2505" s="222"/>
      <c r="V2505" s="1430"/>
      <c r="AA2505" s="223"/>
      <c r="AC2505" s="889"/>
      <c r="AF2505" s="890"/>
      <c r="AJ2505" s="889"/>
      <c r="AN2505" s="222"/>
      <c r="BC2505" s="223"/>
      <c r="BD2505" s="222"/>
      <c r="BH2505" s="611"/>
      <c r="BJ2505" s="15"/>
      <c r="BK2505" s="15"/>
      <c r="BO2505" s="223"/>
      <c r="BQ2505" s="889"/>
      <c r="BT2505" s="890"/>
      <c r="BX2505" s="889"/>
      <c r="CB2505" s="15"/>
      <c r="CC2505" s="697"/>
      <c r="CD2505" s="1086"/>
      <c r="CE2505" s="15"/>
      <c r="CF2505" s="15"/>
      <c r="CG2505" s="936"/>
      <c r="CH2505" s="15"/>
      <c r="CI2505" s="15"/>
      <c r="CJ2505" s="15"/>
      <c r="CK2505" s="1107"/>
      <c r="CL2505" s="22"/>
      <c r="CM2505" s="22"/>
      <c r="CN2505" s="1107"/>
      <c r="CR2505" s="223"/>
      <c r="CS2505" s="952"/>
      <c r="CT2505" s="1066"/>
      <c r="CU2505" s="972"/>
      <c r="CV2505" s="983"/>
      <c r="CW2505" s="222"/>
      <c r="CX2505" s="697"/>
      <c r="DC2505" s="222"/>
      <c r="DJ2505" s="889"/>
      <c r="DM2505" s="890"/>
      <c r="DN2505" s="952"/>
      <c r="DO2505" s="75"/>
      <c r="DP2505" s="962"/>
      <c r="DQ2505" s="983"/>
      <c r="DV2505" s="889"/>
    </row>
    <row r="2506" spans="1:126" s="74" customFormat="1">
      <c r="A2506" s="15"/>
      <c r="B2506" s="15"/>
      <c r="C2506" s="15"/>
      <c r="D2506" s="15"/>
      <c r="E2506" s="6"/>
      <c r="F2506" s="6"/>
      <c r="G2506" s="6"/>
      <c r="K2506" s="222"/>
      <c r="V2506" s="1430"/>
      <c r="AA2506" s="223"/>
      <c r="AC2506" s="889"/>
      <c r="AF2506" s="890"/>
      <c r="AJ2506" s="889"/>
      <c r="AN2506" s="222"/>
      <c r="BC2506" s="223"/>
      <c r="BD2506" s="222"/>
      <c r="BH2506" s="611"/>
      <c r="BJ2506" s="15"/>
      <c r="BK2506" s="15"/>
      <c r="BO2506" s="223"/>
      <c r="BQ2506" s="889"/>
      <c r="BT2506" s="890"/>
      <c r="BX2506" s="889"/>
      <c r="CB2506" s="15"/>
      <c r="CC2506" s="697"/>
      <c r="CD2506" s="1086"/>
      <c r="CE2506" s="15"/>
      <c r="CF2506" s="15"/>
      <c r="CG2506" s="936"/>
      <c r="CH2506" s="15"/>
      <c r="CI2506" s="15"/>
      <c r="CJ2506" s="15"/>
      <c r="CK2506" s="1107"/>
      <c r="CL2506" s="22"/>
      <c r="CM2506" s="22"/>
      <c r="CN2506" s="1107"/>
      <c r="CR2506" s="223"/>
      <c r="CS2506" s="952"/>
      <c r="CT2506" s="1066"/>
      <c r="CU2506" s="972"/>
      <c r="CV2506" s="983"/>
      <c r="CW2506" s="222"/>
      <c r="CX2506" s="697"/>
      <c r="DC2506" s="222"/>
      <c r="DJ2506" s="889"/>
      <c r="DM2506" s="890"/>
      <c r="DN2506" s="952"/>
      <c r="DO2506" s="75"/>
      <c r="DP2506" s="962"/>
      <c r="DQ2506" s="983"/>
      <c r="DV2506" s="889"/>
    </row>
    <row r="2507" spans="1:126" s="74" customFormat="1">
      <c r="A2507" s="15"/>
      <c r="B2507" s="15"/>
      <c r="C2507" s="15"/>
      <c r="D2507" s="15"/>
      <c r="E2507" s="6"/>
      <c r="F2507" s="6"/>
      <c r="G2507" s="6"/>
      <c r="K2507" s="222"/>
      <c r="V2507" s="1430"/>
      <c r="AA2507" s="223"/>
      <c r="AC2507" s="889"/>
      <c r="AF2507" s="890"/>
      <c r="AJ2507" s="889"/>
      <c r="AN2507" s="222"/>
      <c r="BC2507" s="223"/>
      <c r="BD2507" s="222"/>
      <c r="BH2507" s="611"/>
      <c r="BJ2507" s="15"/>
      <c r="BK2507" s="15"/>
      <c r="BO2507" s="223"/>
      <c r="BQ2507" s="889"/>
      <c r="BT2507" s="890"/>
      <c r="BX2507" s="889"/>
      <c r="CB2507" s="15"/>
      <c r="CC2507" s="697"/>
      <c r="CD2507" s="1086"/>
      <c r="CE2507" s="15"/>
      <c r="CF2507" s="15"/>
      <c r="CG2507" s="936"/>
      <c r="CH2507" s="15"/>
      <c r="CI2507" s="15"/>
      <c r="CJ2507" s="15"/>
      <c r="CK2507" s="1107"/>
      <c r="CL2507" s="22"/>
      <c r="CM2507" s="22"/>
      <c r="CN2507" s="1107"/>
      <c r="CR2507" s="223"/>
      <c r="CS2507" s="952"/>
      <c r="CT2507" s="1066"/>
      <c r="CU2507" s="972"/>
      <c r="CV2507" s="983"/>
      <c r="CW2507" s="222"/>
      <c r="CX2507" s="697"/>
      <c r="DC2507" s="222"/>
      <c r="DJ2507" s="889"/>
      <c r="DM2507" s="890"/>
      <c r="DN2507" s="952"/>
      <c r="DO2507" s="75"/>
      <c r="DP2507" s="962"/>
      <c r="DQ2507" s="983"/>
      <c r="DV2507" s="889"/>
    </row>
    <row r="2508" spans="1:126" s="74" customFormat="1">
      <c r="A2508" s="15"/>
      <c r="B2508" s="15"/>
      <c r="C2508" s="15"/>
      <c r="D2508" s="15"/>
      <c r="E2508" s="6"/>
      <c r="F2508" s="6"/>
      <c r="G2508" s="6"/>
      <c r="K2508" s="222"/>
      <c r="V2508" s="1430"/>
      <c r="AA2508" s="223"/>
      <c r="AC2508" s="889"/>
      <c r="AF2508" s="890"/>
      <c r="AJ2508" s="889"/>
      <c r="AN2508" s="222"/>
      <c r="BC2508" s="223"/>
      <c r="BD2508" s="222"/>
      <c r="BH2508" s="611"/>
      <c r="BJ2508" s="15"/>
      <c r="BK2508" s="15"/>
      <c r="BO2508" s="223"/>
      <c r="BQ2508" s="889"/>
      <c r="BT2508" s="890"/>
      <c r="BX2508" s="889"/>
      <c r="CB2508" s="15"/>
      <c r="CC2508" s="697"/>
      <c r="CD2508" s="1086"/>
      <c r="CE2508" s="15"/>
      <c r="CF2508" s="15"/>
      <c r="CG2508" s="936"/>
      <c r="CH2508" s="15"/>
      <c r="CI2508" s="15"/>
      <c r="CJ2508" s="15"/>
      <c r="CK2508" s="1107"/>
      <c r="CL2508" s="22"/>
      <c r="CM2508" s="22"/>
      <c r="CN2508" s="1107"/>
      <c r="CR2508" s="223"/>
      <c r="CS2508" s="952"/>
      <c r="CT2508" s="1066"/>
      <c r="CU2508" s="972"/>
      <c r="CV2508" s="983"/>
      <c r="CW2508" s="222"/>
      <c r="CX2508" s="697"/>
      <c r="DC2508" s="222"/>
      <c r="DJ2508" s="889"/>
      <c r="DM2508" s="890"/>
      <c r="DN2508" s="952"/>
      <c r="DO2508" s="75"/>
      <c r="DP2508" s="962"/>
      <c r="DQ2508" s="983"/>
      <c r="DV2508" s="889"/>
    </row>
    <row r="2509" spans="1:126" s="74" customFormat="1">
      <c r="A2509" s="15"/>
      <c r="B2509" s="15"/>
      <c r="C2509" s="15"/>
      <c r="D2509" s="15"/>
      <c r="E2509" s="6"/>
      <c r="F2509" s="6"/>
      <c r="G2509" s="6"/>
      <c r="K2509" s="222"/>
      <c r="V2509" s="1430"/>
      <c r="AA2509" s="223"/>
      <c r="AC2509" s="889"/>
      <c r="AF2509" s="890"/>
      <c r="AJ2509" s="889"/>
      <c r="AN2509" s="222"/>
      <c r="BC2509" s="223"/>
      <c r="BD2509" s="222"/>
      <c r="BH2509" s="611"/>
      <c r="BJ2509" s="15"/>
      <c r="BK2509" s="15"/>
      <c r="BO2509" s="223"/>
      <c r="BQ2509" s="889"/>
      <c r="BT2509" s="890"/>
      <c r="BX2509" s="889"/>
      <c r="CB2509" s="15"/>
      <c r="CC2509" s="697"/>
      <c r="CD2509" s="1086"/>
      <c r="CE2509" s="15"/>
      <c r="CF2509" s="15"/>
      <c r="CG2509" s="936"/>
      <c r="CH2509" s="15"/>
      <c r="CI2509" s="15"/>
      <c r="CJ2509" s="15"/>
      <c r="CK2509" s="1107"/>
      <c r="CL2509" s="22"/>
      <c r="CM2509" s="22"/>
      <c r="CN2509" s="1107"/>
      <c r="CR2509" s="223"/>
      <c r="CS2509" s="952"/>
      <c r="CT2509" s="1066"/>
      <c r="CU2509" s="972"/>
      <c r="CV2509" s="983"/>
      <c r="CW2509" s="222"/>
      <c r="CX2509" s="697"/>
      <c r="DC2509" s="222"/>
      <c r="DJ2509" s="889"/>
      <c r="DM2509" s="890"/>
      <c r="DN2509" s="952"/>
      <c r="DO2509" s="75"/>
      <c r="DP2509" s="962"/>
      <c r="DQ2509" s="983"/>
      <c r="DV2509" s="889"/>
    </row>
    <row r="2510" spans="1:126" s="74" customFormat="1">
      <c r="A2510" s="15"/>
      <c r="B2510" s="15"/>
      <c r="C2510" s="15"/>
      <c r="D2510" s="15"/>
      <c r="E2510" s="6"/>
      <c r="F2510" s="6"/>
      <c r="G2510" s="6"/>
      <c r="K2510" s="222"/>
      <c r="V2510" s="1430"/>
      <c r="AA2510" s="223"/>
      <c r="AC2510" s="889"/>
      <c r="AF2510" s="890"/>
      <c r="AJ2510" s="889"/>
      <c r="AN2510" s="222"/>
      <c r="BC2510" s="223"/>
      <c r="BD2510" s="222"/>
      <c r="BH2510" s="611"/>
      <c r="BJ2510" s="15"/>
      <c r="BK2510" s="15"/>
      <c r="BO2510" s="223"/>
      <c r="BQ2510" s="889"/>
      <c r="BT2510" s="890"/>
      <c r="BX2510" s="889"/>
      <c r="CB2510" s="15"/>
      <c r="CC2510" s="697"/>
      <c r="CD2510" s="1086"/>
      <c r="CE2510" s="15"/>
      <c r="CF2510" s="15"/>
      <c r="CG2510" s="936"/>
      <c r="CH2510" s="15"/>
      <c r="CI2510" s="15"/>
      <c r="CJ2510" s="15"/>
      <c r="CK2510" s="1107"/>
      <c r="CL2510" s="22"/>
      <c r="CM2510" s="22"/>
      <c r="CN2510" s="1107"/>
      <c r="CR2510" s="223"/>
      <c r="CS2510" s="952"/>
      <c r="CT2510" s="1066"/>
      <c r="CU2510" s="972"/>
      <c r="CV2510" s="983"/>
      <c r="CW2510" s="222"/>
      <c r="CX2510" s="697"/>
      <c r="DC2510" s="222"/>
      <c r="DJ2510" s="889"/>
      <c r="DM2510" s="890"/>
      <c r="DN2510" s="952"/>
      <c r="DO2510" s="75"/>
      <c r="DP2510" s="962"/>
      <c r="DQ2510" s="983"/>
      <c r="DV2510" s="889"/>
    </row>
    <row r="2511" spans="1:126" s="74" customFormat="1">
      <c r="A2511" s="15"/>
      <c r="B2511" s="15"/>
      <c r="C2511" s="15"/>
      <c r="D2511" s="15"/>
      <c r="E2511" s="6"/>
      <c r="F2511" s="6"/>
      <c r="G2511" s="6"/>
      <c r="K2511" s="222"/>
      <c r="V2511" s="1430"/>
      <c r="AA2511" s="223"/>
      <c r="AC2511" s="889"/>
      <c r="AF2511" s="890"/>
      <c r="AJ2511" s="889"/>
      <c r="AN2511" s="222"/>
      <c r="BC2511" s="223"/>
      <c r="BD2511" s="222"/>
      <c r="BH2511" s="611"/>
      <c r="BJ2511" s="15"/>
      <c r="BK2511" s="15"/>
      <c r="BO2511" s="223"/>
      <c r="BQ2511" s="889"/>
      <c r="BT2511" s="890"/>
      <c r="BX2511" s="889"/>
      <c r="CB2511" s="15"/>
      <c r="CC2511" s="697"/>
      <c r="CD2511" s="1086"/>
      <c r="CE2511" s="15"/>
      <c r="CF2511" s="15"/>
      <c r="CG2511" s="936"/>
      <c r="CH2511" s="15"/>
      <c r="CI2511" s="15"/>
      <c r="CJ2511" s="15"/>
      <c r="CK2511" s="1107"/>
      <c r="CL2511" s="22"/>
      <c r="CM2511" s="22"/>
      <c r="CN2511" s="1107"/>
      <c r="CR2511" s="223"/>
      <c r="CS2511" s="952"/>
      <c r="CT2511" s="1066"/>
      <c r="CU2511" s="972"/>
      <c r="CV2511" s="983"/>
      <c r="CW2511" s="222"/>
      <c r="CX2511" s="697"/>
      <c r="DC2511" s="222"/>
      <c r="DJ2511" s="889"/>
      <c r="DM2511" s="890"/>
      <c r="DN2511" s="952"/>
      <c r="DO2511" s="75"/>
      <c r="DP2511" s="962"/>
      <c r="DQ2511" s="983"/>
      <c r="DV2511" s="889"/>
    </row>
    <row r="2512" spans="1:126" s="74" customFormat="1">
      <c r="A2512" s="15"/>
      <c r="B2512" s="15"/>
      <c r="C2512" s="15"/>
      <c r="D2512" s="15"/>
      <c r="E2512" s="6"/>
      <c r="F2512" s="6"/>
      <c r="G2512" s="6"/>
      <c r="K2512" s="222"/>
      <c r="V2512" s="1430"/>
      <c r="AA2512" s="223"/>
      <c r="AC2512" s="889"/>
      <c r="AF2512" s="890"/>
      <c r="AJ2512" s="889"/>
      <c r="AN2512" s="222"/>
      <c r="BC2512" s="223"/>
      <c r="BD2512" s="222"/>
      <c r="BH2512" s="611"/>
      <c r="BJ2512" s="15"/>
      <c r="BK2512" s="15"/>
      <c r="BO2512" s="223"/>
      <c r="BQ2512" s="889"/>
      <c r="BT2512" s="890"/>
      <c r="BX2512" s="889"/>
      <c r="CB2512" s="15"/>
      <c r="CC2512" s="697"/>
      <c r="CD2512" s="1086"/>
      <c r="CE2512" s="15"/>
      <c r="CF2512" s="15"/>
      <c r="CG2512" s="936"/>
      <c r="CH2512" s="15"/>
      <c r="CI2512" s="15"/>
      <c r="CJ2512" s="15"/>
      <c r="CK2512" s="1107"/>
      <c r="CL2512" s="22"/>
      <c r="CM2512" s="22"/>
      <c r="CN2512" s="1107"/>
      <c r="CR2512" s="223"/>
      <c r="CS2512" s="952"/>
      <c r="CT2512" s="1066"/>
      <c r="CU2512" s="972"/>
      <c r="CV2512" s="983"/>
      <c r="CW2512" s="222"/>
      <c r="CX2512" s="697"/>
      <c r="DC2512" s="222"/>
      <c r="DJ2512" s="889"/>
      <c r="DM2512" s="890"/>
      <c r="DN2512" s="952"/>
      <c r="DO2512" s="75"/>
      <c r="DP2512" s="962"/>
      <c r="DQ2512" s="983"/>
      <c r="DV2512" s="889"/>
    </row>
    <row r="2513" spans="1:126" s="74" customFormat="1">
      <c r="A2513" s="15"/>
      <c r="B2513" s="15"/>
      <c r="C2513" s="15"/>
      <c r="D2513" s="15"/>
      <c r="E2513" s="6"/>
      <c r="F2513" s="6"/>
      <c r="G2513" s="6"/>
      <c r="K2513" s="222"/>
      <c r="V2513" s="1430"/>
      <c r="AA2513" s="223"/>
      <c r="AC2513" s="889"/>
      <c r="AF2513" s="890"/>
      <c r="AJ2513" s="889"/>
      <c r="AN2513" s="222"/>
      <c r="BC2513" s="223"/>
      <c r="BD2513" s="222"/>
      <c r="BH2513" s="611"/>
      <c r="BJ2513" s="15"/>
      <c r="BK2513" s="15"/>
      <c r="BO2513" s="223"/>
      <c r="BQ2513" s="889"/>
      <c r="BT2513" s="890"/>
      <c r="BX2513" s="889"/>
      <c r="CB2513" s="15"/>
      <c r="CC2513" s="697"/>
      <c r="CD2513" s="1086"/>
      <c r="CE2513" s="15"/>
      <c r="CF2513" s="15"/>
      <c r="CG2513" s="936"/>
      <c r="CH2513" s="15"/>
      <c r="CI2513" s="15"/>
      <c r="CJ2513" s="15"/>
      <c r="CK2513" s="1107"/>
      <c r="CL2513" s="22"/>
      <c r="CM2513" s="22"/>
      <c r="CN2513" s="1107"/>
      <c r="CR2513" s="223"/>
      <c r="CS2513" s="952"/>
      <c r="CT2513" s="1066"/>
      <c r="CU2513" s="972"/>
      <c r="CV2513" s="983"/>
      <c r="CW2513" s="222"/>
      <c r="CX2513" s="697"/>
      <c r="DC2513" s="222"/>
      <c r="DJ2513" s="889"/>
      <c r="DM2513" s="890"/>
      <c r="DN2513" s="952"/>
      <c r="DO2513" s="75"/>
      <c r="DP2513" s="962"/>
      <c r="DQ2513" s="983"/>
      <c r="DV2513" s="889"/>
    </row>
    <row r="2514" spans="1:126" s="74" customFormat="1">
      <c r="A2514" s="15"/>
      <c r="B2514" s="15"/>
      <c r="C2514" s="15"/>
      <c r="D2514" s="15"/>
      <c r="E2514" s="6"/>
      <c r="F2514" s="6"/>
      <c r="G2514" s="6"/>
      <c r="K2514" s="222"/>
      <c r="V2514" s="1430"/>
      <c r="AA2514" s="223"/>
      <c r="AC2514" s="889"/>
      <c r="AF2514" s="890"/>
      <c r="AJ2514" s="889"/>
      <c r="AN2514" s="222"/>
      <c r="BC2514" s="223"/>
      <c r="BD2514" s="222"/>
      <c r="BH2514" s="611"/>
      <c r="BJ2514" s="15"/>
      <c r="BK2514" s="15"/>
      <c r="BO2514" s="223"/>
      <c r="BQ2514" s="889"/>
      <c r="BT2514" s="890"/>
      <c r="BX2514" s="889"/>
      <c r="CB2514" s="15"/>
      <c r="CC2514" s="697"/>
      <c r="CD2514" s="1086"/>
      <c r="CE2514" s="15"/>
      <c r="CF2514" s="15"/>
      <c r="CG2514" s="936"/>
      <c r="CH2514" s="15"/>
      <c r="CI2514" s="15"/>
      <c r="CJ2514" s="15"/>
      <c r="CK2514" s="1107"/>
      <c r="CL2514" s="22"/>
      <c r="CM2514" s="22"/>
      <c r="CN2514" s="1107"/>
      <c r="CR2514" s="223"/>
      <c r="CS2514" s="952"/>
      <c r="CT2514" s="1066"/>
      <c r="CU2514" s="972"/>
      <c r="CV2514" s="983"/>
      <c r="CW2514" s="222"/>
      <c r="CX2514" s="697"/>
      <c r="DC2514" s="222"/>
      <c r="DJ2514" s="889"/>
      <c r="DM2514" s="890"/>
      <c r="DN2514" s="952"/>
      <c r="DO2514" s="75"/>
      <c r="DP2514" s="962"/>
      <c r="DQ2514" s="983"/>
      <c r="DV2514" s="889"/>
    </row>
    <row r="2515" spans="1:126" s="74" customFormat="1">
      <c r="A2515" s="15"/>
      <c r="B2515" s="15"/>
      <c r="C2515" s="15"/>
      <c r="D2515" s="15"/>
      <c r="E2515" s="6"/>
      <c r="F2515" s="6"/>
      <c r="G2515" s="6"/>
      <c r="K2515" s="222"/>
      <c r="V2515" s="1430"/>
      <c r="AA2515" s="223"/>
      <c r="AC2515" s="889"/>
      <c r="AF2515" s="890"/>
      <c r="AJ2515" s="889"/>
      <c r="AN2515" s="222"/>
      <c r="BC2515" s="223"/>
      <c r="BD2515" s="222"/>
      <c r="BH2515" s="611"/>
      <c r="BJ2515" s="15"/>
      <c r="BK2515" s="15"/>
      <c r="BO2515" s="223"/>
      <c r="BQ2515" s="889"/>
      <c r="BT2515" s="890"/>
      <c r="BX2515" s="889"/>
      <c r="CB2515" s="15"/>
      <c r="CC2515" s="697"/>
      <c r="CD2515" s="1086"/>
      <c r="CE2515" s="15"/>
      <c r="CF2515" s="15"/>
      <c r="CG2515" s="936"/>
      <c r="CH2515" s="15"/>
      <c r="CI2515" s="15"/>
      <c r="CJ2515" s="15"/>
      <c r="CK2515" s="1107"/>
      <c r="CL2515" s="22"/>
      <c r="CM2515" s="22"/>
      <c r="CN2515" s="1107"/>
      <c r="CR2515" s="223"/>
      <c r="CS2515" s="952"/>
      <c r="CT2515" s="1066"/>
      <c r="CU2515" s="972"/>
      <c r="CV2515" s="983"/>
      <c r="CW2515" s="222"/>
      <c r="CX2515" s="697"/>
      <c r="DC2515" s="222"/>
      <c r="DJ2515" s="889"/>
      <c r="DM2515" s="890"/>
      <c r="DN2515" s="952"/>
      <c r="DO2515" s="75"/>
      <c r="DP2515" s="962"/>
      <c r="DQ2515" s="983"/>
      <c r="DV2515" s="889"/>
    </row>
    <row r="2516" spans="1:126" s="74" customFormat="1">
      <c r="A2516" s="15"/>
      <c r="B2516" s="15"/>
      <c r="C2516" s="15"/>
      <c r="D2516" s="15"/>
      <c r="E2516" s="6"/>
      <c r="F2516" s="6"/>
      <c r="G2516" s="6"/>
      <c r="K2516" s="222"/>
      <c r="V2516" s="1430"/>
      <c r="AA2516" s="223"/>
      <c r="AC2516" s="889"/>
      <c r="AF2516" s="890"/>
      <c r="AJ2516" s="889"/>
      <c r="AN2516" s="222"/>
      <c r="BC2516" s="223"/>
      <c r="BD2516" s="222"/>
      <c r="BH2516" s="611"/>
      <c r="BJ2516" s="15"/>
      <c r="BK2516" s="15"/>
      <c r="BO2516" s="223"/>
      <c r="BQ2516" s="889"/>
      <c r="BT2516" s="890"/>
      <c r="BX2516" s="889"/>
      <c r="CB2516" s="15"/>
      <c r="CC2516" s="697"/>
      <c r="CD2516" s="1086"/>
      <c r="CE2516" s="15"/>
      <c r="CF2516" s="15"/>
      <c r="CG2516" s="936"/>
      <c r="CH2516" s="15"/>
      <c r="CI2516" s="15"/>
      <c r="CJ2516" s="15"/>
      <c r="CK2516" s="1107"/>
      <c r="CL2516" s="22"/>
      <c r="CM2516" s="22"/>
      <c r="CN2516" s="1107"/>
      <c r="CR2516" s="223"/>
      <c r="CS2516" s="952"/>
      <c r="CT2516" s="1066"/>
      <c r="CU2516" s="972"/>
      <c r="CV2516" s="983"/>
      <c r="CW2516" s="222"/>
      <c r="CX2516" s="697"/>
      <c r="DC2516" s="222"/>
      <c r="DJ2516" s="889"/>
      <c r="DM2516" s="890"/>
      <c r="DN2516" s="952"/>
      <c r="DO2516" s="75"/>
      <c r="DP2516" s="962"/>
      <c r="DQ2516" s="983"/>
      <c r="DV2516" s="889"/>
    </row>
    <row r="2517" spans="1:126" s="74" customFormat="1">
      <c r="A2517" s="15"/>
      <c r="B2517" s="15"/>
      <c r="C2517" s="15"/>
      <c r="D2517" s="15"/>
      <c r="E2517" s="6"/>
      <c r="F2517" s="6"/>
      <c r="G2517" s="6"/>
      <c r="K2517" s="222"/>
      <c r="V2517" s="1430"/>
      <c r="AA2517" s="223"/>
      <c r="AC2517" s="889"/>
      <c r="AF2517" s="890"/>
      <c r="AJ2517" s="889"/>
      <c r="AN2517" s="222"/>
      <c r="BC2517" s="223"/>
      <c r="BD2517" s="222"/>
      <c r="BH2517" s="611"/>
      <c r="BJ2517" s="15"/>
      <c r="BK2517" s="15"/>
      <c r="BO2517" s="223"/>
      <c r="BQ2517" s="889"/>
      <c r="BT2517" s="890"/>
      <c r="BX2517" s="889"/>
      <c r="CB2517" s="15"/>
      <c r="CC2517" s="697"/>
      <c r="CD2517" s="1086"/>
      <c r="CE2517" s="15"/>
      <c r="CF2517" s="15"/>
      <c r="CG2517" s="936"/>
      <c r="CH2517" s="15"/>
      <c r="CI2517" s="15"/>
      <c r="CJ2517" s="15"/>
      <c r="CK2517" s="1107"/>
      <c r="CL2517" s="22"/>
      <c r="CM2517" s="22"/>
      <c r="CN2517" s="1107"/>
      <c r="CR2517" s="223"/>
      <c r="CS2517" s="952"/>
      <c r="CT2517" s="1066"/>
      <c r="CU2517" s="972"/>
      <c r="CV2517" s="983"/>
      <c r="CW2517" s="222"/>
      <c r="CX2517" s="697"/>
      <c r="DC2517" s="222"/>
      <c r="DJ2517" s="889"/>
      <c r="DM2517" s="890"/>
      <c r="DN2517" s="952"/>
      <c r="DO2517" s="75"/>
      <c r="DP2517" s="962"/>
      <c r="DQ2517" s="983"/>
      <c r="DV2517" s="889"/>
    </row>
    <row r="2518" spans="1:126" s="74" customFormat="1">
      <c r="A2518" s="15"/>
      <c r="B2518" s="15"/>
      <c r="C2518" s="15"/>
      <c r="D2518" s="15"/>
      <c r="E2518" s="6"/>
      <c r="F2518" s="6"/>
      <c r="G2518" s="6"/>
      <c r="K2518" s="222"/>
      <c r="V2518" s="1430"/>
      <c r="AA2518" s="223"/>
      <c r="AC2518" s="889"/>
      <c r="AF2518" s="890"/>
      <c r="AJ2518" s="889"/>
      <c r="AN2518" s="222"/>
      <c r="BC2518" s="223"/>
      <c r="BD2518" s="222"/>
      <c r="BH2518" s="611"/>
      <c r="BJ2518" s="15"/>
      <c r="BK2518" s="15"/>
      <c r="BO2518" s="223"/>
      <c r="BQ2518" s="889"/>
      <c r="BT2518" s="890"/>
      <c r="BX2518" s="889"/>
      <c r="CB2518" s="15"/>
      <c r="CC2518" s="697"/>
      <c r="CD2518" s="1086"/>
      <c r="CE2518" s="15"/>
      <c r="CF2518" s="15"/>
      <c r="CG2518" s="936"/>
      <c r="CH2518" s="15"/>
      <c r="CI2518" s="15"/>
      <c r="CJ2518" s="15"/>
      <c r="CK2518" s="1107"/>
      <c r="CL2518" s="22"/>
      <c r="CM2518" s="22"/>
      <c r="CN2518" s="1107"/>
      <c r="CR2518" s="223"/>
      <c r="CS2518" s="952"/>
      <c r="CT2518" s="1066"/>
      <c r="CU2518" s="972"/>
      <c r="CV2518" s="983"/>
      <c r="CW2518" s="222"/>
      <c r="CX2518" s="697"/>
      <c r="DC2518" s="222"/>
      <c r="DJ2518" s="889"/>
      <c r="DM2518" s="890"/>
      <c r="DN2518" s="952"/>
      <c r="DO2518" s="75"/>
      <c r="DP2518" s="962"/>
      <c r="DQ2518" s="983"/>
      <c r="DV2518" s="889"/>
    </row>
    <row r="2519" spans="1:126" s="74" customFormat="1">
      <c r="A2519" s="15"/>
      <c r="B2519" s="15"/>
      <c r="C2519" s="15"/>
      <c r="D2519" s="15"/>
      <c r="E2519" s="6"/>
      <c r="F2519" s="6"/>
      <c r="G2519" s="6"/>
      <c r="K2519" s="222"/>
      <c r="V2519" s="1430"/>
      <c r="AA2519" s="223"/>
      <c r="AC2519" s="889"/>
      <c r="AF2519" s="890"/>
      <c r="AJ2519" s="889"/>
      <c r="AN2519" s="222"/>
      <c r="BC2519" s="223"/>
      <c r="BD2519" s="222"/>
      <c r="BH2519" s="611"/>
      <c r="BJ2519" s="15"/>
      <c r="BK2519" s="15"/>
      <c r="BO2519" s="223"/>
      <c r="BQ2519" s="889"/>
      <c r="BT2519" s="890"/>
      <c r="BX2519" s="889"/>
      <c r="CB2519" s="15"/>
      <c r="CC2519" s="697"/>
      <c r="CD2519" s="1086"/>
      <c r="CE2519" s="15"/>
      <c r="CF2519" s="15"/>
      <c r="CG2519" s="936"/>
      <c r="CH2519" s="15"/>
      <c r="CI2519" s="15"/>
      <c r="CJ2519" s="15"/>
      <c r="CK2519" s="1107"/>
      <c r="CL2519" s="22"/>
      <c r="CM2519" s="22"/>
      <c r="CN2519" s="1107"/>
      <c r="CR2519" s="223"/>
      <c r="CS2519" s="952"/>
      <c r="CT2519" s="1066"/>
      <c r="CU2519" s="972"/>
      <c r="CV2519" s="983"/>
      <c r="CW2519" s="222"/>
      <c r="CX2519" s="697"/>
      <c r="DC2519" s="222"/>
      <c r="DJ2519" s="889"/>
      <c r="DM2519" s="890"/>
      <c r="DN2519" s="952"/>
      <c r="DO2519" s="75"/>
      <c r="DP2519" s="962"/>
      <c r="DQ2519" s="983"/>
      <c r="DV2519" s="889"/>
    </row>
    <row r="2520" spans="1:126" s="74" customFormat="1">
      <c r="A2520" s="15"/>
      <c r="B2520" s="15"/>
      <c r="C2520" s="15"/>
      <c r="D2520" s="15"/>
      <c r="E2520" s="6"/>
      <c r="F2520" s="6"/>
      <c r="G2520" s="6"/>
      <c r="K2520" s="222"/>
      <c r="V2520" s="1430"/>
      <c r="AA2520" s="223"/>
      <c r="AC2520" s="889"/>
      <c r="AF2520" s="890"/>
      <c r="AJ2520" s="889"/>
      <c r="AN2520" s="222"/>
      <c r="BC2520" s="223"/>
      <c r="BD2520" s="222"/>
      <c r="BH2520" s="611"/>
      <c r="BJ2520" s="15"/>
      <c r="BK2520" s="15"/>
      <c r="BO2520" s="223"/>
      <c r="BQ2520" s="889"/>
      <c r="BT2520" s="890"/>
      <c r="BX2520" s="889"/>
      <c r="CB2520" s="15"/>
      <c r="CC2520" s="697"/>
      <c r="CD2520" s="1086"/>
      <c r="CE2520" s="15"/>
      <c r="CF2520" s="15"/>
      <c r="CG2520" s="936"/>
      <c r="CH2520" s="15"/>
      <c r="CI2520" s="15"/>
      <c r="CJ2520" s="15"/>
      <c r="CK2520" s="1107"/>
      <c r="CL2520" s="22"/>
      <c r="CM2520" s="22"/>
      <c r="CN2520" s="1107"/>
      <c r="CR2520" s="223"/>
      <c r="CS2520" s="952"/>
      <c r="CT2520" s="1066"/>
      <c r="CU2520" s="972"/>
      <c r="CV2520" s="983"/>
      <c r="CW2520" s="222"/>
      <c r="CX2520" s="697"/>
      <c r="DC2520" s="222"/>
      <c r="DJ2520" s="889"/>
      <c r="DM2520" s="890"/>
      <c r="DN2520" s="952"/>
      <c r="DO2520" s="75"/>
      <c r="DP2520" s="962"/>
      <c r="DQ2520" s="983"/>
      <c r="DV2520" s="889"/>
    </row>
    <row r="2521" spans="1:126" s="74" customFormat="1">
      <c r="A2521" s="15"/>
      <c r="B2521" s="15"/>
      <c r="C2521" s="15"/>
      <c r="D2521" s="15"/>
      <c r="E2521" s="6"/>
      <c r="F2521" s="6"/>
      <c r="G2521" s="6"/>
      <c r="K2521" s="222"/>
      <c r="V2521" s="1430"/>
      <c r="AA2521" s="223"/>
      <c r="AC2521" s="889"/>
      <c r="AF2521" s="890"/>
      <c r="AJ2521" s="889"/>
      <c r="AN2521" s="222"/>
      <c r="BC2521" s="223"/>
      <c r="BD2521" s="222"/>
      <c r="BH2521" s="611"/>
      <c r="BJ2521" s="15"/>
      <c r="BK2521" s="15"/>
      <c r="BO2521" s="223"/>
      <c r="BQ2521" s="889"/>
      <c r="BT2521" s="890"/>
      <c r="BX2521" s="889"/>
      <c r="CB2521" s="15"/>
      <c r="CC2521" s="697"/>
      <c r="CD2521" s="1086"/>
      <c r="CE2521" s="15"/>
      <c r="CF2521" s="15"/>
      <c r="CG2521" s="936"/>
      <c r="CH2521" s="15"/>
      <c r="CI2521" s="15"/>
      <c r="CJ2521" s="15"/>
      <c r="CK2521" s="1107"/>
      <c r="CL2521" s="22"/>
      <c r="CM2521" s="22"/>
      <c r="CN2521" s="1107"/>
      <c r="CR2521" s="223"/>
      <c r="CS2521" s="952"/>
      <c r="CT2521" s="1066"/>
      <c r="CU2521" s="972"/>
      <c r="CV2521" s="983"/>
      <c r="CW2521" s="222"/>
      <c r="CX2521" s="697"/>
      <c r="DC2521" s="222"/>
      <c r="DJ2521" s="889"/>
      <c r="DM2521" s="890"/>
      <c r="DN2521" s="952"/>
      <c r="DO2521" s="75"/>
      <c r="DP2521" s="962"/>
      <c r="DQ2521" s="983"/>
      <c r="DV2521" s="889"/>
    </row>
    <row r="2522" spans="1:126" s="74" customFormat="1">
      <c r="A2522" s="15"/>
      <c r="B2522" s="15"/>
      <c r="C2522" s="15"/>
      <c r="D2522" s="15"/>
      <c r="E2522" s="6"/>
      <c r="F2522" s="6"/>
      <c r="G2522" s="6"/>
      <c r="K2522" s="222"/>
      <c r="V2522" s="1430"/>
      <c r="AA2522" s="223"/>
      <c r="AC2522" s="889"/>
      <c r="AF2522" s="890"/>
      <c r="AJ2522" s="889"/>
      <c r="AN2522" s="222"/>
      <c r="BC2522" s="223"/>
      <c r="BD2522" s="222"/>
      <c r="BH2522" s="611"/>
      <c r="BJ2522" s="15"/>
      <c r="BK2522" s="15"/>
      <c r="BO2522" s="223"/>
      <c r="BQ2522" s="889"/>
      <c r="BT2522" s="890"/>
      <c r="BX2522" s="889"/>
      <c r="CB2522" s="15"/>
      <c r="CC2522" s="697"/>
      <c r="CD2522" s="1086"/>
      <c r="CE2522" s="15"/>
      <c r="CF2522" s="15"/>
      <c r="CG2522" s="936"/>
      <c r="CH2522" s="15"/>
      <c r="CI2522" s="15"/>
      <c r="CJ2522" s="15"/>
      <c r="CK2522" s="1107"/>
      <c r="CL2522" s="22"/>
      <c r="CM2522" s="22"/>
      <c r="CN2522" s="1107"/>
      <c r="CR2522" s="223"/>
      <c r="CS2522" s="952"/>
      <c r="CT2522" s="1066"/>
      <c r="CU2522" s="972"/>
      <c r="CV2522" s="983"/>
      <c r="CW2522" s="222"/>
      <c r="CX2522" s="697"/>
      <c r="DC2522" s="222"/>
      <c r="DJ2522" s="889"/>
      <c r="DM2522" s="890"/>
      <c r="DN2522" s="952"/>
      <c r="DO2522" s="75"/>
      <c r="DP2522" s="962"/>
      <c r="DQ2522" s="983"/>
      <c r="DV2522" s="889"/>
    </row>
    <row r="2523" spans="1:126" s="74" customFormat="1">
      <c r="A2523" s="15"/>
      <c r="B2523" s="15"/>
      <c r="C2523" s="15"/>
      <c r="D2523" s="15"/>
      <c r="E2523" s="6"/>
      <c r="F2523" s="6"/>
      <c r="G2523" s="6"/>
      <c r="K2523" s="222"/>
      <c r="V2523" s="1430"/>
      <c r="AA2523" s="223"/>
      <c r="AC2523" s="889"/>
      <c r="AF2523" s="890"/>
      <c r="AJ2523" s="889"/>
      <c r="AN2523" s="222"/>
      <c r="BC2523" s="223"/>
      <c r="BD2523" s="222"/>
      <c r="BH2523" s="611"/>
      <c r="BJ2523" s="15"/>
      <c r="BK2523" s="15"/>
      <c r="BO2523" s="223"/>
      <c r="BQ2523" s="889"/>
      <c r="BT2523" s="890"/>
      <c r="BX2523" s="889"/>
      <c r="CB2523" s="15"/>
      <c r="CC2523" s="697"/>
      <c r="CD2523" s="1086"/>
      <c r="CE2523" s="15"/>
      <c r="CF2523" s="15"/>
      <c r="CG2523" s="936"/>
      <c r="CH2523" s="15"/>
      <c r="CI2523" s="15"/>
      <c r="CJ2523" s="15"/>
      <c r="CK2523" s="1107"/>
      <c r="CL2523" s="22"/>
      <c r="CM2523" s="22"/>
      <c r="CN2523" s="1107"/>
      <c r="CR2523" s="223"/>
      <c r="CS2523" s="952"/>
      <c r="CT2523" s="1066"/>
      <c r="CU2523" s="972"/>
      <c r="CV2523" s="983"/>
      <c r="CW2523" s="222"/>
      <c r="CX2523" s="697"/>
      <c r="DC2523" s="222"/>
      <c r="DJ2523" s="889"/>
      <c r="DM2523" s="890"/>
      <c r="DN2523" s="952"/>
      <c r="DO2523" s="75"/>
      <c r="DP2523" s="962"/>
      <c r="DQ2523" s="983"/>
      <c r="DV2523" s="889"/>
    </row>
    <row r="2524" spans="1:126" s="74" customFormat="1">
      <c r="A2524" s="15"/>
      <c r="B2524" s="15"/>
      <c r="C2524" s="15"/>
      <c r="D2524" s="15"/>
      <c r="E2524" s="6"/>
      <c r="F2524" s="6"/>
      <c r="G2524" s="6"/>
      <c r="K2524" s="222"/>
      <c r="V2524" s="1430"/>
      <c r="AA2524" s="223"/>
      <c r="AC2524" s="889"/>
      <c r="AF2524" s="890"/>
      <c r="AJ2524" s="889"/>
      <c r="AN2524" s="222"/>
      <c r="BC2524" s="223"/>
      <c r="BD2524" s="222"/>
      <c r="BH2524" s="611"/>
      <c r="BJ2524" s="15"/>
      <c r="BK2524" s="15"/>
      <c r="BO2524" s="223"/>
      <c r="BQ2524" s="889"/>
      <c r="BT2524" s="890"/>
      <c r="BX2524" s="889"/>
      <c r="CB2524" s="15"/>
      <c r="CC2524" s="697"/>
      <c r="CD2524" s="1086"/>
      <c r="CE2524" s="15"/>
      <c r="CF2524" s="15"/>
      <c r="CG2524" s="936"/>
      <c r="CH2524" s="15"/>
      <c r="CI2524" s="15"/>
      <c r="CJ2524" s="15"/>
      <c r="CK2524" s="1107"/>
      <c r="CL2524" s="22"/>
      <c r="CM2524" s="22"/>
      <c r="CN2524" s="1107"/>
      <c r="CR2524" s="223"/>
      <c r="CS2524" s="952"/>
      <c r="CT2524" s="1066"/>
      <c r="CU2524" s="972"/>
      <c r="CV2524" s="983"/>
      <c r="CW2524" s="222"/>
      <c r="CX2524" s="697"/>
      <c r="DC2524" s="222"/>
      <c r="DJ2524" s="889"/>
      <c r="DM2524" s="890"/>
      <c r="DN2524" s="952"/>
      <c r="DO2524" s="75"/>
      <c r="DP2524" s="962"/>
      <c r="DQ2524" s="983"/>
      <c r="DV2524" s="889"/>
    </row>
    <row r="2525" spans="1:126" s="74" customFormat="1">
      <c r="A2525" s="15"/>
      <c r="B2525" s="15"/>
      <c r="C2525" s="15"/>
      <c r="D2525" s="15"/>
      <c r="E2525" s="6"/>
      <c r="F2525" s="6"/>
      <c r="G2525" s="6"/>
      <c r="K2525" s="222"/>
      <c r="V2525" s="1430"/>
      <c r="AA2525" s="223"/>
      <c r="AC2525" s="889"/>
      <c r="AF2525" s="890"/>
      <c r="AJ2525" s="889"/>
      <c r="AN2525" s="222"/>
      <c r="BC2525" s="223"/>
      <c r="BD2525" s="222"/>
      <c r="BH2525" s="611"/>
      <c r="BJ2525" s="15"/>
      <c r="BK2525" s="15"/>
      <c r="BO2525" s="223"/>
      <c r="BQ2525" s="889"/>
      <c r="BT2525" s="890"/>
      <c r="BX2525" s="889"/>
      <c r="CB2525" s="15"/>
      <c r="CC2525" s="697"/>
      <c r="CD2525" s="1086"/>
      <c r="CE2525" s="15"/>
      <c r="CF2525" s="15"/>
      <c r="CG2525" s="936"/>
      <c r="CH2525" s="15"/>
      <c r="CI2525" s="15"/>
      <c r="CJ2525" s="15"/>
      <c r="CK2525" s="1107"/>
      <c r="CL2525" s="22"/>
      <c r="CM2525" s="22"/>
      <c r="CN2525" s="1107"/>
      <c r="CR2525" s="223"/>
      <c r="CS2525" s="952"/>
      <c r="CT2525" s="1066"/>
      <c r="CU2525" s="972"/>
      <c r="CV2525" s="983"/>
      <c r="CW2525" s="222"/>
      <c r="CX2525" s="697"/>
      <c r="DC2525" s="222"/>
      <c r="DJ2525" s="889"/>
      <c r="DM2525" s="890"/>
      <c r="DN2525" s="952"/>
      <c r="DO2525" s="75"/>
      <c r="DP2525" s="962"/>
      <c r="DQ2525" s="983"/>
      <c r="DV2525" s="889"/>
    </row>
    <row r="2526" spans="1:126" s="74" customFormat="1">
      <c r="A2526" s="15"/>
      <c r="B2526" s="15"/>
      <c r="C2526" s="15"/>
      <c r="D2526" s="15"/>
      <c r="E2526" s="6"/>
      <c r="F2526" s="6"/>
      <c r="G2526" s="6"/>
      <c r="K2526" s="222"/>
      <c r="V2526" s="1430"/>
      <c r="AA2526" s="223"/>
      <c r="AC2526" s="889"/>
      <c r="AF2526" s="890"/>
      <c r="AJ2526" s="889"/>
      <c r="AN2526" s="222"/>
      <c r="BC2526" s="223"/>
      <c r="BD2526" s="222"/>
      <c r="BH2526" s="611"/>
      <c r="BJ2526" s="15"/>
      <c r="BK2526" s="15"/>
      <c r="BO2526" s="223"/>
      <c r="BQ2526" s="889"/>
      <c r="BT2526" s="890"/>
      <c r="BX2526" s="889"/>
      <c r="CB2526" s="15"/>
      <c r="CC2526" s="697"/>
      <c r="CD2526" s="1086"/>
      <c r="CE2526" s="15"/>
      <c r="CF2526" s="15"/>
      <c r="CG2526" s="936"/>
      <c r="CH2526" s="15"/>
      <c r="CI2526" s="15"/>
      <c r="CJ2526" s="15"/>
      <c r="CK2526" s="1107"/>
      <c r="CL2526" s="22"/>
      <c r="CM2526" s="22"/>
      <c r="CN2526" s="1107"/>
      <c r="CR2526" s="223"/>
      <c r="CS2526" s="952"/>
      <c r="CT2526" s="1066"/>
      <c r="CU2526" s="972"/>
      <c r="CV2526" s="983"/>
      <c r="CW2526" s="222"/>
      <c r="CX2526" s="697"/>
      <c r="DC2526" s="222"/>
      <c r="DJ2526" s="889"/>
      <c r="DM2526" s="890"/>
      <c r="DN2526" s="952"/>
      <c r="DO2526" s="75"/>
      <c r="DP2526" s="962"/>
      <c r="DQ2526" s="983"/>
      <c r="DV2526" s="889"/>
    </row>
    <row r="2527" spans="1:126" s="74" customFormat="1">
      <c r="A2527" s="15"/>
      <c r="B2527" s="15"/>
      <c r="C2527" s="15"/>
      <c r="D2527" s="15"/>
      <c r="E2527" s="6"/>
      <c r="F2527" s="6"/>
      <c r="G2527" s="6"/>
      <c r="K2527" s="222"/>
      <c r="V2527" s="1430"/>
      <c r="AA2527" s="223"/>
      <c r="AC2527" s="889"/>
      <c r="AF2527" s="890"/>
      <c r="AJ2527" s="889"/>
      <c r="AN2527" s="222"/>
      <c r="BC2527" s="223"/>
      <c r="BD2527" s="222"/>
      <c r="BH2527" s="611"/>
      <c r="BJ2527" s="15"/>
      <c r="BK2527" s="15"/>
      <c r="BO2527" s="223"/>
      <c r="BQ2527" s="889"/>
      <c r="BT2527" s="890"/>
      <c r="BX2527" s="889"/>
      <c r="CB2527" s="15"/>
      <c r="CC2527" s="697"/>
      <c r="CD2527" s="1086"/>
      <c r="CE2527" s="15"/>
      <c r="CF2527" s="15"/>
      <c r="CG2527" s="936"/>
      <c r="CH2527" s="15"/>
      <c r="CI2527" s="15"/>
      <c r="CJ2527" s="15"/>
      <c r="CK2527" s="1107"/>
      <c r="CL2527" s="22"/>
      <c r="CM2527" s="22"/>
      <c r="CN2527" s="1107"/>
      <c r="CR2527" s="223"/>
      <c r="CS2527" s="952"/>
      <c r="CT2527" s="1066"/>
      <c r="CU2527" s="972"/>
      <c r="CV2527" s="983"/>
      <c r="CW2527" s="222"/>
      <c r="CX2527" s="697"/>
      <c r="DC2527" s="222"/>
      <c r="DJ2527" s="889"/>
      <c r="DM2527" s="890"/>
      <c r="DN2527" s="952"/>
      <c r="DO2527" s="75"/>
      <c r="DP2527" s="962"/>
      <c r="DQ2527" s="983"/>
      <c r="DV2527" s="889"/>
    </row>
    <row r="2528" spans="1:126" s="74" customFormat="1">
      <c r="A2528" s="15"/>
      <c r="B2528" s="15"/>
      <c r="C2528" s="15"/>
      <c r="D2528" s="15"/>
      <c r="E2528" s="6"/>
      <c r="F2528" s="6"/>
      <c r="G2528" s="6"/>
      <c r="K2528" s="222"/>
      <c r="V2528" s="1430"/>
      <c r="AA2528" s="223"/>
      <c r="AC2528" s="889"/>
      <c r="AF2528" s="890"/>
      <c r="AJ2528" s="889"/>
      <c r="AN2528" s="222"/>
      <c r="BC2528" s="223"/>
      <c r="BD2528" s="222"/>
      <c r="BH2528" s="611"/>
      <c r="BJ2528" s="15"/>
      <c r="BK2528" s="15"/>
      <c r="BO2528" s="223"/>
      <c r="BQ2528" s="889"/>
      <c r="BT2528" s="890"/>
      <c r="BX2528" s="889"/>
      <c r="CB2528" s="15"/>
      <c r="CC2528" s="697"/>
      <c r="CD2528" s="1086"/>
      <c r="CE2528" s="15"/>
      <c r="CF2528" s="15"/>
      <c r="CG2528" s="936"/>
      <c r="CH2528" s="15"/>
      <c r="CI2528" s="15"/>
      <c r="CJ2528" s="15"/>
      <c r="CK2528" s="1107"/>
      <c r="CL2528" s="22"/>
      <c r="CM2528" s="22"/>
      <c r="CN2528" s="1107"/>
      <c r="CR2528" s="223"/>
      <c r="CS2528" s="952"/>
      <c r="CT2528" s="1066"/>
      <c r="CU2528" s="972"/>
      <c r="CV2528" s="983"/>
      <c r="CW2528" s="222"/>
      <c r="CX2528" s="697"/>
      <c r="DC2528" s="222"/>
      <c r="DJ2528" s="889"/>
      <c r="DM2528" s="890"/>
      <c r="DN2528" s="952"/>
      <c r="DO2528" s="75"/>
      <c r="DP2528" s="962"/>
      <c r="DQ2528" s="983"/>
      <c r="DV2528" s="889"/>
    </row>
    <row r="2529" spans="1:126" s="74" customFormat="1">
      <c r="A2529" s="15"/>
      <c r="B2529" s="15"/>
      <c r="C2529" s="15"/>
      <c r="D2529" s="15"/>
      <c r="E2529" s="6"/>
      <c r="F2529" s="6"/>
      <c r="G2529" s="6"/>
      <c r="K2529" s="222"/>
      <c r="V2529" s="1430"/>
      <c r="AA2529" s="223"/>
      <c r="AC2529" s="889"/>
      <c r="AF2529" s="890"/>
      <c r="AJ2529" s="889"/>
      <c r="AN2529" s="222"/>
      <c r="BC2529" s="223"/>
      <c r="BD2529" s="222"/>
      <c r="BH2529" s="611"/>
      <c r="BJ2529" s="15"/>
      <c r="BK2529" s="15"/>
      <c r="BO2529" s="223"/>
      <c r="BQ2529" s="889"/>
      <c r="BT2529" s="890"/>
      <c r="BX2529" s="889"/>
      <c r="CB2529" s="15"/>
      <c r="CC2529" s="697"/>
      <c r="CD2529" s="1086"/>
      <c r="CE2529" s="15"/>
      <c r="CF2529" s="15"/>
      <c r="CG2529" s="936"/>
      <c r="CH2529" s="15"/>
      <c r="CI2529" s="15"/>
      <c r="CJ2529" s="15"/>
      <c r="CK2529" s="1107"/>
      <c r="CL2529" s="22"/>
      <c r="CM2529" s="22"/>
      <c r="CN2529" s="1107"/>
      <c r="CR2529" s="223"/>
      <c r="CS2529" s="952"/>
      <c r="CT2529" s="1066"/>
      <c r="CU2529" s="972"/>
      <c r="CV2529" s="983"/>
      <c r="CW2529" s="222"/>
      <c r="CX2529" s="697"/>
      <c r="DC2529" s="222"/>
      <c r="DJ2529" s="889"/>
      <c r="DM2529" s="890"/>
      <c r="DN2529" s="952"/>
      <c r="DO2529" s="75"/>
      <c r="DP2529" s="962"/>
      <c r="DQ2529" s="983"/>
      <c r="DV2529" s="889"/>
    </row>
    <row r="2530" spans="1:126" s="74" customFormat="1">
      <c r="A2530" s="15"/>
      <c r="B2530" s="15"/>
      <c r="C2530" s="15"/>
      <c r="D2530" s="15"/>
      <c r="E2530" s="6"/>
      <c r="F2530" s="6"/>
      <c r="G2530" s="6"/>
      <c r="K2530" s="222"/>
      <c r="V2530" s="1430"/>
      <c r="AA2530" s="223"/>
      <c r="AC2530" s="889"/>
      <c r="AF2530" s="890"/>
      <c r="AJ2530" s="889"/>
      <c r="AN2530" s="222"/>
      <c r="BC2530" s="223"/>
      <c r="BD2530" s="222"/>
      <c r="BH2530" s="611"/>
      <c r="BJ2530" s="15"/>
      <c r="BK2530" s="15"/>
      <c r="BO2530" s="223"/>
      <c r="BQ2530" s="889"/>
      <c r="BT2530" s="890"/>
      <c r="BX2530" s="889"/>
      <c r="CB2530" s="15"/>
      <c r="CC2530" s="697"/>
      <c r="CD2530" s="1086"/>
      <c r="CE2530" s="15"/>
      <c r="CF2530" s="15"/>
      <c r="CG2530" s="936"/>
      <c r="CH2530" s="15"/>
      <c r="CI2530" s="15"/>
      <c r="CJ2530" s="15"/>
      <c r="CK2530" s="1107"/>
      <c r="CL2530" s="22"/>
      <c r="CM2530" s="22"/>
      <c r="CN2530" s="1107"/>
      <c r="CR2530" s="223"/>
      <c r="CS2530" s="952"/>
      <c r="CT2530" s="1066"/>
      <c r="CU2530" s="972"/>
      <c r="CV2530" s="983"/>
      <c r="CW2530" s="222"/>
      <c r="CX2530" s="697"/>
      <c r="DC2530" s="222"/>
      <c r="DJ2530" s="889"/>
      <c r="DM2530" s="890"/>
      <c r="DN2530" s="952"/>
      <c r="DO2530" s="75"/>
      <c r="DP2530" s="962"/>
      <c r="DQ2530" s="983"/>
      <c r="DV2530" s="889"/>
    </row>
    <row r="2531" spans="1:126" s="74" customFormat="1">
      <c r="A2531" s="15"/>
      <c r="B2531" s="15"/>
      <c r="C2531" s="15"/>
      <c r="D2531" s="15"/>
      <c r="E2531" s="6"/>
      <c r="F2531" s="6"/>
      <c r="G2531" s="6"/>
      <c r="K2531" s="222"/>
      <c r="V2531" s="1430"/>
      <c r="AA2531" s="223"/>
      <c r="AC2531" s="889"/>
      <c r="AF2531" s="890"/>
      <c r="AJ2531" s="889"/>
      <c r="AN2531" s="222"/>
      <c r="BC2531" s="223"/>
      <c r="BD2531" s="222"/>
      <c r="BH2531" s="611"/>
      <c r="BJ2531" s="15"/>
      <c r="BK2531" s="15"/>
      <c r="BO2531" s="223"/>
      <c r="BQ2531" s="889"/>
      <c r="BT2531" s="890"/>
      <c r="BX2531" s="889"/>
      <c r="CB2531" s="15"/>
      <c r="CC2531" s="697"/>
      <c r="CD2531" s="1086"/>
      <c r="CE2531" s="15"/>
      <c r="CF2531" s="15"/>
      <c r="CG2531" s="936"/>
      <c r="CH2531" s="15"/>
      <c r="CI2531" s="15"/>
      <c r="CJ2531" s="15"/>
      <c r="CK2531" s="1107"/>
      <c r="CL2531" s="22"/>
      <c r="CM2531" s="22"/>
      <c r="CN2531" s="1107"/>
      <c r="CR2531" s="223"/>
      <c r="CS2531" s="952"/>
      <c r="CT2531" s="1066"/>
      <c r="CU2531" s="972"/>
      <c r="CV2531" s="983"/>
      <c r="CW2531" s="222"/>
      <c r="CX2531" s="697"/>
      <c r="DC2531" s="222"/>
      <c r="DJ2531" s="889"/>
      <c r="DM2531" s="890"/>
      <c r="DN2531" s="952"/>
      <c r="DO2531" s="75"/>
      <c r="DP2531" s="962"/>
      <c r="DQ2531" s="983"/>
      <c r="DV2531" s="889"/>
    </row>
    <row r="2532" spans="1:126" s="74" customFormat="1">
      <c r="A2532" s="15"/>
      <c r="B2532" s="15"/>
      <c r="C2532" s="15"/>
      <c r="D2532" s="15"/>
      <c r="E2532" s="6"/>
      <c r="F2532" s="6"/>
      <c r="G2532" s="6"/>
      <c r="K2532" s="222"/>
      <c r="V2532" s="1430"/>
      <c r="AA2532" s="223"/>
      <c r="AC2532" s="889"/>
      <c r="AF2532" s="890"/>
      <c r="AJ2532" s="889"/>
      <c r="AN2532" s="222"/>
      <c r="BC2532" s="223"/>
      <c r="BD2532" s="222"/>
      <c r="BH2532" s="611"/>
      <c r="BJ2532" s="15"/>
      <c r="BK2532" s="15"/>
      <c r="BO2532" s="223"/>
      <c r="BQ2532" s="889"/>
      <c r="BT2532" s="890"/>
      <c r="BX2532" s="889"/>
      <c r="CB2532" s="15"/>
      <c r="CC2532" s="697"/>
      <c r="CD2532" s="1086"/>
      <c r="CE2532" s="15"/>
      <c r="CF2532" s="15"/>
      <c r="CG2532" s="936"/>
      <c r="CH2532" s="15"/>
      <c r="CI2532" s="15"/>
      <c r="CJ2532" s="15"/>
      <c r="CK2532" s="1107"/>
      <c r="CL2532" s="22"/>
      <c r="CM2532" s="22"/>
      <c r="CN2532" s="1107"/>
      <c r="CR2532" s="223"/>
      <c r="CS2532" s="952"/>
      <c r="CT2532" s="1066"/>
      <c r="CU2532" s="972"/>
      <c r="CV2532" s="983"/>
      <c r="CW2532" s="222"/>
      <c r="CX2532" s="697"/>
      <c r="DC2532" s="222"/>
      <c r="DJ2532" s="889"/>
      <c r="DM2532" s="890"/>
      <c r="DN2532" s="952"/>
      <c r="DO2532" s="75"/>
      <c r="DP2532" s="962"/>
      <c r="DQ2532" s="983"/>
      <c r="DV2532" s="889"/>
    </row>
    <row r="2533" spans="1:126" s="74" customFormat="1">
      <c r="A2533" s="15"/>
      <c r="B2533" s="15"/>
      <c r="C2533" s="15"/>
      <c r="D2533" s="15"/>
      <c r="E2533" s="6"/>
      <c r="F2533" s="6"/>
      <c r="G2533" s="6"/>
      <c r="K2533" s="222"/>
      <c r="V2533" s="1430"/>
      <c r="AA2533" s="223"/>
      <c r="AC2533" s="889"/>
      <c r="AF2533" s="890"/>
      <c r="AJ2533" s="889"/>
      <c r="AN2533" s="222"/>
      <c r="BC2533" s="223"/>
      <c r="BD2533" s="222"/>
      <c r="BH2533" s="611"/>
      <c r="BJ2533" s="15"/>
      <c r="BK2533" s="15"/>
      <c r="BO2533" s="223"/>
      <c r="BQ2533" s="889"/>
      <c r="BT2533" s="890"/>
      <c r="BX2533" s="889"/>
      <c r="CB2533" s="15"/>
      <c r="CC2533" s="697"/>
      <c r="CD2533" s="1086"/>
      <c r="CE2533" s="15"/>
      <c r="CF2533" s="15"/>
      <c r="CG2533" s="936"/>
      <c r="CH2533" s="15"/>
      <c r="CI2533" s="15"/>
      <c r="CJ2533" s="15"/>
      <c r="CK2533" s="1107"/>
      <c r="CL2533" s="22"/>
      <c r="CM2533" s="22"/>
      <c r="CN2533" s="1107"/>
      <c r="CR2533" s="223"/>
      <c r="CS2533" s="952"/>
      <c r="CT2533" s="1066"/>
      <c r="CU2533" s="972"/>
      <c r="CV2533" s="983"/>
      <c r="CW2533" s="222"/>
      <c r="CX2533" s="697"/>
      <c r="DC2533" s="222"/>
      <c r="DJ2533" s="889"/>
      <c r="DM2533" s="890"/>
      <c r="DN2533" s="952"/>
      <c r="DO2533" s="75"/>
      <c r="DP2533" s="962"/>
      <c r="DQ2533" s="983"/>
      <c r="DV2533" s="889"/>
    </row>
    <row r="2534" spans="1:126" s="74" customFormat="1">
      <c r="A2534" s="15"/>
      <c r="B2534" s="15"/>
      <c r="C2534" s="15"/>
      <c r="D2534" s="15"/>
      <c r="E2534" s="6"/>
      <c r="F2534" s="6"/>
      <c r="G2534" s="6"/>
      <c r="K2534" s="222"/>
      <c r="V2534" s="1430"/>
      <c r="AA2534" s="223"/>
      <c r="AC2534" s="889"/>
      <c r="AF2534" s="890"/>
      <c r="AJ2534" s="889"/>
      <c r="AN2534" s="222"/>
      <c r="BC2534" s="223"/>
      <c r="BD2534" s="222"/>
      <c r="BH2534" s="611"/>
      <c r="BJ2534" s="15"/>
      <c r="BK2534" s="15"/>
      <c r="BO2534" s="223"/>
      <c r="BQ2534" s="889"/>
      <c r="BT2534" s="890"/>
      <c r="BX2534" s="889"/>
      <c r="CB2534" s="15"/>
      <c r="CC2534" s="697"/>
      <c r="CD2534" s="1086"/>
      <c r="CE2534" s="15"/>
      <c r="CF2534" s="15"/>
      <c r="CG2534" s="936"/>
      <c r="CH2534" s="15"/>
      <c r="CI2534" s="15"/>
      <c r="CJ2534" s="15"/>
      <c r="CK2534" s="1107"/>
      <c r="CL2534" s="22"/>
      <c r="CM2534" s="22"/>
      <c r="CN2534" s="1107"/>
      <c r="CR2534" s="223"/>
      <c r="CS2534" s="952"/>
      <c r="CT2534" s="1066"/>
      <c r="CU2534" s="972"/>
      <c r="CV2534" s="983"/>
      <c r="CW2534" s="222"/>
      <c r="CX2534" s="697"/>
      <c r="DC2534" s="222"/>
      <c r="DJ2534" s="889"/>
      <c r="DM2534" s="890"/>
      <c r="DN2534" s="952"/>
      <c r="DO2534" s="75"/>
      <c r="DP2534" s="962"/>
      <c r="DQ2534" s="983"/>
      <c r="DV2534" s="889"/>
    </row>
    <row r="2535" spans="1:126" s="74" customFormat="1">
      <c r="A2535" s="15"/>
      <c r="B2535" s="15"/>
      <c r="C2535" s="15"/>
      <c r="D2535" s="15"/>
      <c r="E2535" s="6"/>
      <c r="F2535" s="6"/>
      <c r="G2535" s="6"/>
      <c r="K2535" s="222"/>
      <c r="V2535" s="1430"/>
      <c r="AA2535" s="223"/>
      <c r="AC2535" s="889"/>
      <c r="AF2535" s="890"/>
      <c r="AJ2535" s="889"/>
      <c r="AN2535" s="222"/>
      <c r="BC2535" s="223"/>
      <c r="BD2535" s="222"/>
      <c r="BH2535" s="611"/>
      <c r="BJ2535" s="15"/>
      <c r="BK2535" s="15"/>
      <c r="BO2535" s="223"/>
      <c r="BQ2535" s="889"/>
      <c r="BT2535" s="890"/>
      <c r="BX2535" s="889"/>
      <c r="CB2535" s="15"/>
      <c r="CC2535" s="697"/>
      <c r="CD2535" s="1086"/>
      <c r="CE2535" s="15"/>
      <c r="CF2535" s="15"/>
      <c r="CG2535" s="936"/>
      <c r="CH2535" s="15"/>
      <c r="CI2535" s="15"/>
      <c r="CJ2535" s="15"/>
      <c r="CK2535" s="1107"/>
      <c r="CL2535" s="22"/>
      <c r="CM2535" s="22"/>
      <c r="CN2535" s="1107"/>
      <c r="CR2535" s="223"/>
      <c r="CS2535" s="952"/>
      <c r="CT2535" s="1066"/>
      <c r="CU2535" s="972"/>
      <c r="CV2535" s="983"/>
      <c r="CW2535" s="222"/>
      <c r="CX2535" s="697"/>
      <c r="DC2535" s="222"/>
      <c r="DJ2535" s="889"/>
      <c r="DM2535" s="890"/>
      <c r="DN2535" s="952"/>
      <c r="DO2535" s="75"/>
      <c r="DP2535" s="962"/>
      <c r="DQ2535" s="983"/>
      <c r="DV2535" s="889"/>
    </row>
    <row r="2536" spans="1:126" s="74" customFormat="1">
      <c r="A2536" s="15"/>
      <c r="B2536" s="15"/>
      <c r="C2536" s="15"/>
      <c r="D2536" s="15"/>
      <c r="E2536" s="6"/>
      <c r="F2536" s="6"/>
      <c r="G2536" s="6"/>
      <c r="K2536" s="222"/>
      <c r="V2536" s="1430"/>
      <c r="AA2536" s="223"/>
      <c r="AC2536" s="889"/>
      <c r="AF2536" s="890"/>
      <c r="AJ2536" s="889"/>
      <c r="AN2536" s="222"/>
      <c r="BC2536" s="223"/>
      <c r="BD2536" s="222"/>
      <c r="BH2536" s="611"/>
      <c r="BJ2536" s="15"/>
      <c r="BK2536" s="15"/>
      <c r="BO2536" s="223"/>
      <c r="BQ2536" s="889"/>
      <c r="BT2536" s="890"/>
      <c r="BX2536" s="889"/>
      <c r="CB2536" s="15"/>
      <c r="CC2536" s="697"/>
      <c r="CD2536" s="1086"/>
      <c r="CE2536" s="15"/>
      <c r="CF2536" s="15"/>
      <c r="CG2536" s="936"/>
      <c r="CH2536" s="15"/>
      <c r="CI2536" s="15"/>
      <c r="CJ2536" s="15"/>
      <c r="CK2536" s="1107"/>
      <c r="CL2536" s="22"/>
      <c r="CM2536" s="22"/>
      <c r="CN2536" s="1107"/>
      <c r="CR2536" s="223"/>
      <c r="CS2536" s="952"/>
      <c r="CT2536" s="1066"/>
      <c r="CU2536" s="972"/>
      <c r="CV2536" s="983"/>
      <c r="CW2536" s="222"/>
      <c r="CX2536" s="697"/>
      <c r="DC2536" s="222"/>
      <c r="DJ2536" s="889"/>
      <c r="DM2536" s="890"/>
      <c r="DN2536" s="952"/>
      <c r="DO2536" s="75"/>
      <c r="DP2536" s="962"/>
      <c r="DQ2536" s="983"/>
      <c r="DV2536" s="889"/>
    </row>
    <row r="2537" spans="1:126" s="74" customFormat="1">
      <c r="A2537" s="15"/>
      <c r="B2537" s="15"/>
      <c r="C2537" s="15"/>
      <c r="D2537" s="15"/>
      <c r="E2537" s="6"/>
      <c r="F2537" s="6"/>
      <c r="G2537" s="6"/>
      <c r="K2537" s="222"/>
      <c r="V2537" s="1430"/>
      <c r="AA2537" s="223"/>
      <c r="AC2537" s="889"/>
      <c r="AF2537" s="890"/>
      <c r="AJ2537" s="889"/>
      <c r="AN2537" s="222"/>
      <c r="BC2537" s="223"/>
      <c r="BD2537" s="222"/>
      <c r="BH2537" s="611"/>
      <c r="BJ2537" s="15"/>
      <c r="BK2537" s="15"/>
      <c r="BO2537" s="223"/>
      <c r="BQ2537" s="889"/>
      <c r="BT2537" s="890"/>
      <c r="BX2537" s="889"/>
      <c r="CB2537" s="15"/>
      <c r="CC2537" s="697"/>
      <c r="CD2537" s="1086"/>
      <c r="CE2537" s="15"/>
      <c r="CF2537" s="15"/>
      <c r="CG2537" s="936"/>
      <c r="CH2537" s="15"/>
      <c r="CI2537" s="15"/>
      <c r="CJ2537" s="15"/>
      <c r="CK2537" s="1107"/>
      <c r="CL2537" s="22"/>
      <c r="CM2537" s="22"/>
      <c r="CN2537" s="1107"/>
      <c r="CR2537" s="223"/>
      <c r="CS2537" s="952"/>
      <c r="CT2537" s="1066"/>
      <c r="CU2537" s="972"/>
      <c r="CV2537" s="983"/>
      <c r="CW2537" s="222"/>
      <c r="CX2537" s="697"/>
      <c r="DC2537" s="222"/>
      <c r="DJ2537" s="889"/>
      <c r="DM2537" s="890"/>
      <c r="DN2537" s="952"/>
      <c r="DO2537" s="75"/>
      <c r="DP2537" s="962"/>
      <c r="DQ2537" s="983"/>
      <c r="DV2537" s="889"/>
    </row>
    <row r="2538" spans="1:126" s="74" customFormat="1">
      <c r="A2538" s="15"/>
      <c r="B2538" s="15"/>
      <c r="C2538" s="15"/>
      <c r="D2538" s="15"/>
      <c r="E2538" s="6"/>
      <c r="F2538" s="6"/>
      <c r="G2538" s="6"/>
      <c r="K2538" s="222"/>
      <c r="V2538" s="1430"/>
      <c r="AA2538" s="223"/>
      <c r="AC2538" s="889"/>
      <c r="AF2538" s="890"/>
      <c r="AJ2538" s="889"/>
      <c r="AN2538" s="222"/>
      <c r="BC2538" s="223"/>
      <c r="BD2538" s="222"/>
      <c r="BH2538" s="611"/>
      <c r="BJ2538" s="15"/>
      <c r="BK2538" s="15"/>
      <c r="BO2538" s="223"/>
      <c r="BQ2538" s="889"/>
      <c r="BT2538" s="890"/>
      <c r="BX2538" s="889"/>
      <c r="CB2538" s="15"/>
      <c r="CC2538" s="697"/>
      <c r="CD2538" s="1086"/>
      <c r="CE2538" s="15"/>
      <c r="CF2538" s="15"/>
      <c r="CG2538" s="936"/>
      <c r="CH2538" s="15"/>
      <c r="CI2538" s="15"/>
      <c r="CJ2538" s="15"/>
      <c r="CK2538" s="1107"/>
      <c r="CL2538" s="22"/>
      <c r="CM2538" s="22"/>
      <c r="CN2538" s="1107"/>
      <c r="CR2538" s="223"/>
      <c r="CS2538" s="952"/>
      <c r="CT2538" s="1066"/>
      <c r="CU2538" s="972"/>
      <c r="CV2538" s="983"/>
      <c r="CW2538" s="222"/>
      <c r="CX2538" s="697"/>
      <c r="DC2538" s="222"/>
      <c r="DJ2538" s="889"/>
      <c r="DM2538" s="890"/>
      <c r="DN2538" s="952"/>
      <c r="DO2538" s="75"/>
      <c r="DP2538" s="962"/>
      <c r="DQ2538" s="983"/>
      <c r="DV2538" s="889"/>
    </row>
    <row r="2539" spans="1:126" s="74" customFormat="1">
      <c r="A2539" s="15"/>
      <c r="B2539" s="15"/>
      <c r="C2539" s="15"/>
      <c r="D2539" s="15"/>
      <c r="E2539" s="6"/>
      <c r="F2539" s="6"/>
      <c r="G2539" s="6"/>
      <c r="K2539" s="222"/>
      <c r="V2539" s="1430"/>
      <c r="AA2539" s="223"/>
      <c r="AC2539" s="889"/>
      <c r="AF2539" s="890"/>
      <c r="AJ2539" s="889"/>
      <c r="AN2539" s="222"/>
      <c r="BC2539" s="223"/>
      <c r="BD2539" s="222"/>
      <c r="BH2539" s="611"/>
      <c r="BJ2539" s="15"/>
      <c r="BK2539" s="15"/>
      <c r="BO2539" s="223"/>
      <c r="BQ2539" s="889"/>
      <c r="BT2539" s="890"/>
      <c r="BX2539" s="889"/>
      <c r="CB2539" s="15"/>
      <c r="CC2539" s="697"/>
      <c r="CD2539" s="1086"/>
      <c r="CE2539" s="15"/>
      <c r="CF2539" s="15"/>
      <c r="CG2539" s="936"/>
      <c r="CH2539" s="15"/>
      <c r="CI2539" s="15"/>
      <c r="CJ2539" s="15"/>
      <c r="CK2539" s="1107"/>
      <c r="CL2539" s="22"/>
      <c r="CM2539" s="22"/>
      <c r="CN2539" s="1107"/>
      <c r="CR2539" s="223"/>
      <c r="CS2539" s="952"/>
      <c r="CT2539" s="1066"/>
      <c r="CU2539" s="972"/>
      <c r="CV2539" s="983"/>
      <c r="CW2539" s="222"/>
      <c r="CX2539" s="697"/>
      <c r="DC2539" s="222"/>
      <c r="DJ2539" s="889"/>
      <c r="DM2539" s="890"/>
      <c r="DN2539" s="952"/>
      <c r="DO2539" s="75"/>
      <c r="DP2539" s="962"/>
      <c r="DQ2539" s="983"/>
      <c r="DV2539" s="889"/>
    </row>
    <row r="2540" spans="1:126" s="74" customFormat="1">
      <c r="A2540" s="15"/>
      <c r="B2540" s="15"/>
      <c r="C2540" s="15"/>
      <c r="D2540" s="15"/>
      <c r="E2540" s="6"/>
      <c r="F2540" s="6"/>
      <c r="G2540" s="6"/>
      <c r="K2540" s="222"/>
      <c r="V2540" s="1430"/>
      <c r="AA2540" s="223"/>
      <c r="AC2540" s="889"/>
      <c r="AF2540" s="890"/>
      <c r="AJ2540" s="889"/>
      <c r="AN2540" s="222"/>
      <c r="BC2540" s="223"/>
      <c r="BD2540" s="222"/>
      <c r="BH2540" s="611"/>
      <c r="BJ2540" s="15"/>
      <c r="BK2540" s="15"/>
      <c r="BO2540" s="223"/>
      <c r="BQ2540" s="889"/>
      <c r="BT2540" s="890"/>
      <c r="BX2540" s="889"/>
      <c r="CB2540" s="15"/>
      <c r="CC2540" s="697"/>
      <c r="CD2540" s="1086"/>
      <c r="CE2540" s="15"/>
      <c r="CF2540" s="15"/>
      <c r="CG2540" s="936"/>
      <c r="CH2540" s="15"/>
      <c r="CI2540" s="15"/>
      <c r="CJ2540" s="15"/>
      <c r="CK2540" s="1107"/>
      <c r="CL2540" s="22"/>
      <c r="CM2540" s="22"/>
      <c r="CN2540" s="1107"/>
      <c r="CR2540" s="223"/>
      <c r="CS2540" s="952"/>
      <c r="CT2540" s="1066"/>
      <c r="CU2540" s="972"/>
      <c r="CV2540" s="983"/>
      <c r="CW2540" s="222"/>
      <c r="CX2540" s="697"/>
      <c r="DC2540" s="222"/>
      <c r="DJ2540" s="889"/>
      <c r="DM2540" s="890"/>
      <c r="DN2540" s="952"/>
      <c r="DO2540" s="75"/>
      <c r="DP2540" s="962"/>
      <c r="DQ2540" s="983"/>
      <c r="DV2540" s="889"/>
    </row>
    <row r="2541" spans="1:126" s="74" customFormat="1">
      <c r="A2541" s="15"/>
      <c r="B2541" s="15"/>
      <c r="C2541" s="15"/>
      <c r="D2541" s="15"/>
      <c r="E2541" s="6"/>
      <c r="F2541" s="6"/>
      <c r="G2541" s="6"/>
      <c r="K2541" s="222"/>
      <c r="V2541" s="1430"/>
      <c r="AA2541" s="223"/>
      <c r="AC2541" s="889"/>
      <c r="AF2541" s="890"/>
      <c r="AJ2541" s="889"/>
      <c r="AN2541" s="222"/>
      <c r="BC2541" s="223"/>
      <c r="BD2541" s="222"/>
      <c r="BH2541" s="611"/>
      <c r="BJ2541" s="15"/>
      <c r="BK2541" s="15"/>
      <c r="BO2541" s="223"/>
      <c r="BQ2541" s="889"/>
      <c r="BT2541" s="890"/>
      <c r="BX2541" s="889"/>
      <c r="CB2541" s="15"/>
      <c r="CC2541" s="697"/>
      <c r="CD2541" s="1086"/>
      <c r="CE2541" s="15"/>
      <c r="CF2541" s="15"/>
      <c r="CG2541" s="936"/>
      <c r="CH2541" s="15"/>
      <c r="CI2541" s="15"/>
      <c r="CJ2541" s="15"/>
      <c r="CK2541" s="1107"/>
      <c r="CL2541" s="22"/>
      <c r="CM2541" s="22"/>
      <c r="CN2541" s="1107"/>
      <c r="CR2541" s="223"/>
      <c r="CS2541" s="952"/>
      <c r="CT2541" s="1066"/>
      <c r="CU2541" s="972"/>
      <c r="CV2541" s="983"/>
      <c r="CW2541" s="222"/>
      <c r="CX2541" s="697"/>
      <c r="DC2541" s="222"/>
      <c r="DJ2541" s="889"/>
      <c r="DM2541" s="890"/>
      <c r="DN2541" s="952"/>
      <c r="DO2541" s="75"/>
      <c r="DP2541" s="962"/>
      <c r="DQ2541" s="983"/>
      <c r="DV2541" s="889"/>
    </row>
    <row r="2542" spans="1:126" s="74" customFormat="1">
      <c r="A2542" s="15"/>
      <c r="B2542" s="15"/>
      <c r="C2542" s="15"/>
      <c r="D2542" s="15"/>
      <c r="E2542" s="6"/>
      <c r="F2542" s="6"/>
      <c r="G2542" s="6"/>
      <c r="K2542" s="222"/>
      <c r="V2542" s="1430"/>
      <c r="AA2542" s="223"/>
      <c r="AC2542" s="889"/>
      <c r="AF2542" s="890"/>
      <c r="AJ2542" s="889"/>
      <c r="AN2542" s="222"/>
      <c r="BC2542" s="223"/>
      <c r="BD2542" s="222"/>
      <c r="BH2542" s="611"/>
      <c r="BJ2542" s="15"/>
      <c r="BK2542" s="15"/>
      <c r="BO2542" s="223"/>
      <c r="BQ2542" s="889"/>
      <c r="BT2542" s="890"/>
      <c r="BX2542" s="889"/>
      <c r="CB2542" s="15"/>
      <c r="CC2542" s="697"/>
      <c r="CD2542" s="1086"/>
      <c r="CE2542" s="15"/>
      <c r="CF2542" s="15"/>
      <c r="CG2542" s="936"/>
      <c r="CH2542" s="15"/>
      <c r="CI2542" s="15"/>
      <c r="CJ2542" s="15"/>
      <c r="CK2542" s="1107"/>
      <c r="CL2542" s="22"/>
      <c r="CM2542" s="22"/>
      <c r="CN2542" s="1107"/>
      <c r="CR2542" s="223"/>
      <c r="CS2542" s="952"/>
      <c r="CT2542" s="1066"/>
      <c r="CU2542" s="972"/>
      <c r="CV2542" s="983"/>
      <c r="CW2542" s="222"/>
      <c r="CX2542" s="697"/>
      <c r="DC2542" s="222"/>
      <c r="DJ2542" s="889"/>
      <c r="DM2542" s="890"/>
      <c r="DN2542" s="952"/>
      <c r="DO2542" s="75"/>
      <c r="DP2542" s="962"/>
      <c r="DQ2542" s="983"/>
      <c r="DV2542" s="889"/>
    </row>
    <row r="2543" spans="1:126" s="74" customFormat="1">
      <c r="A2543" s="15"/>
      <c r="B2543" s="15"/>
      <c r="C2543" s="15"/>
      <c r="D2543" s="15"/>
      <c r="E2543" s="6"/>
      <c r="F2543" s="6"/>
      <c r="G2543" s="6"/>
      <c r="K2543" s="222"/>
      <c r="V2543" s="1430"/>
      <c r="AA2543" s="223"/>
      <c r="AC2543" s="889"/>
      <c r="AF2543" s="890"/>
      <c r="AJ2543" s="889"/>
      <c r="AN2543" s="222"/>
      <c r="BC2543" s="223"/>
      <c r="BD2543" s="222"/>
      <c r="BH2543" s="611"/>
      <c r="BJ2543" s="15"/>
      <c r="BK2543" s="15"/>
      <c r="BO2543" s="223"/>
      <c r="BQ2543" s="889"/>
      <c r="BT2543" s="890"/>
      <c r="BX2543" s="889"/>
      <c r="CB2543" s="15"/>
      <c r="CC2543" s="697"/>
      <c r="CD2543" s="1086"/>
      <c r="CE2543" s="15"/>
      <c r="CF2543" s="15"/>
      <c r="CG2543" s="936"/>
      <c r="CH2543" s="15"/>
      <c r="CI2543" s="15"/>
      <c r="CJ2543" s="15"/>
      <c r="CK2543" s="1107"/>
      <c r="CL2543" s="22"/>
      <c r="CM2543" s="22"/>
      <c r="CN2543" s="1107"/>
      <c r="CR2543" s="223"/>
      <c r="CS2543" s="952"/>
      <c r="CT2543" s="1066"/>
      <c r="CU2543" s="972"/>
      <c r="CV2543" s="983"/>
      <c r="CW2543" s="222"/>
      <c r="CX2543" s="697"/>
      <c r="DC2543" s="222"/>
      <c r="DJ2543" s="889"/>
      <c r="DM2543" s="890"/>
      <c r="DN2543" s="952"/>
      <c r="DO2543" s="75"/>
      <c r="DP2543" s="962"/>
      <c r="DQ2543" s="983"/>
      <c r="DV2543" s="889"/>
    </row>
    <row r="2544" spans="1:126" s="74" customFormat="1">
      <c r="A2544" s="15"/>
      <c r="B2544" s="15"/>
      <c r="C2544" s="15"/>
      <c r="D2544" s="15"/>
      <c r="E2544" s="6"/>
      <c r="F2544" s="6"/>
      <c r="G2544" s="6"/>
      <c r="K2544" s="222"/>
      <c r="V2544" s="1430"/>
      <c r="AA2544" s="223"/>
      <c r="AC2544" s="889"/>
      <c r="AF2544" s="890"/>
      <c r="AJ2544" s="889"/>
      <c r="AN2544" s="222"/>
      <c r="BC2544" s="223"/>
      <c r="BD2544" s="222"/>
      <c r="BH2544" s="611"/>
      <c r="BJ2544" s="15"/>
      <c r="BK2544" s="15"/>
      <c r="BO2544" s="223"/>
      <c r="BQ2544" s="889"/>
      <c r="BT2544" s="890"/>
      <c r="BX2544" s="889"/>
      <c r="CB2544" s="15"/>
      <c r="CC2544" s="697"/>
      <c r="CD2544" s="1086"/>
      <c r="CE2544" s="15"/>
      <c r="CF2544" s="15"/>
      <c r="CG2544" s="936"/>
      <c r="CH2544" s="15"/>
      <c r="CI2544" s="15"/>
      <c r="CJ2544" s="15"/>
      <c r="CK2544" s="1107"/>
      <c r="CL2544" s="22"/>
      <c r="CM2544" s="22"/>
      <c r="CN2544" s="1107"/>
      <c r="CR2544" s="223"/>
      <c r="CS2544" s="952"/>
      <c r="CT2544" s="1066"/>
      <c r="CU2544" s="972"/>
      <c r="CV2544" s="983"/>
      <c r="CW2544" s="222"/>
      <c r="CX2544" s="697"/>
      <c r="DC2544" s="222"/>
      <c r="DJ2544" s="889"/>
      <c r="DM2544" s="890"/>
      <c r="DN2544" s="952"/>
      <c r="DO2544" s="75"/>
      <c r="DP2544" s="962"/>
      <c r="DQ2544" s="983"/>
      <c r="DV2544" s="889"/>
    </row>
    <row r="2545" spans="1:126" s="74" customFormat="1">
      <c r="A2545" s="15"/>
      <c r="B2545" s="15"/>
      <c r="C2545" s="15"/>
      <c r="D2545" s="15"/>
      <c r="E2545" s="6"/>
      <c r="F2545" s="6"/>
      <c r="G2545" s="6"/>
      <c r="K2545" s="222"/>
      <c r="V2545" s="1430"/>
      <c r="AA2545" s="223"/>
      <c r="AC2545" s="889"/>
      <c r="AF2545" s="890"/>
      <c r="AJ2545" s="889"/>
      <c r="AN2545" s="222"/>
      <c r="BC2545" s="223"/>
      <c r="BD2545" s="222"/>
      <c r="BH2545" s="611"/>
      <c r="BJ2545" s="15"/>
      <c r="BK2545" s="15"/>
      <c r="BO2545" s="223"/>
      <c r="BQ2545" s="889"/>
      <c r="BT2545" s="890"/>
      <c r="BX2545" s="889"/>
      <c r="CB2545" s="15"/>
      <c r="CC2545" s="697"/>
      <c r="CD2545" s="1086"/>
      <c r="CE2545" s="15"/>
      <c r="CF2545" s="15"/>
      <c r="CG2545" s="936"/>
      <c r="CH2545" s="15"/>
      <c r="CI2545" s="15"/>
      <c r="CJ2545" s="15"/>
      <c r="CK2545" s="1107"/>
      <c r="CL2545" s="22"/>
      <c r="CM2545" s="22"/>
      <c r="CN2545" s="1107"/>
      <c r="CR2545" s="223"/>
      <c r="CS2545" s="952"/>
      <c r="CT2545" s="1066"/>
      <c r="CU2545" s="972"/>
      <c r="CV2545" s="983"/>
      <c r="CW2545" s="222"/>
      <c r="CX2545" s="697"/>
      <c r="DC2545" s="222"/>
      <c r="DJ2545" s="889"/>
      <c r="DM2545" s="890"/>
      <c r="DN2545" s="952"/>
      <c r="DO2545" s="75"/>
      <c r="DP2545" s="962"/>
      <c r="DQ2545" s="983"/>
      <c r="DV2545" s="889"/>
    </row>
    <row r="2546" spans="1:126" s="74" customFormat="1">
      <c r="A2546" s="15"/>
      <c r="B2546" s="15"/>
      <c r="C2546" s="15"/>
      <c r="D2546" s="15"/>
      <c r="E2546" s="6"/>
      <c r="F2546" s="6"/>
      <c r="G2546" s="6"/>
      <c r="K2546" s="222"/>
      <c r="V2546" s="1430"/>
      <c r="AA2546" s="223"/>
      <c r="AC2546" s="889"/>
      <c r="AF2546" s="890"/>
      <c r="AJ2546" s="889"/>
      <c r="AN2546" s="222"/>
      <c r="BC2546" s="223"/>
      <c r="BD2546" s="222"/>
      <c r="BH2546" s="611"/>
      <c r="BJ2546" s="15"/>
      <c r="BK2546" s="15"/>
      <c r="BO2546" s="223"/>
      <c r="BQ2546" s="889"/>
      <c r="BT2546" s="890"/>
      <c r="BX2546" s="889"/>
      <c r="CB2546" s="15"/>
      <c r="CC2546" s="697"/>
      <c r="CD2546" s="1086"/>
      <c r="CE2546" s="15"/>
      <c r="CF2546" s="15"/>
      <c r="CG2546" s="936"/>
      <c r="CH2546" s="15"/>
      <c r="CI2546" s="15"/>
      <c r="CJ2546" s="15"/>
      <c r="CK2546" s="1107"/>
      <c r="CL2546" s="22"/>
      <c r="CM2546" s="22"/>
      <c r="CN2546" s="1107"/>
      <c r="CR2546" s="223"/>
      <c r="CS2546" s="952"/>
      <c r="CT2546" s="1066"/>
      <c r="CU2546" s="972"/>
      <c r="CV2546" s="983"/>
      <c r="CW2546" s="222"/>
      <c r="CX2546" s="697"/>
      <c r="DC2546" s="222"/>
      <c r="DJ2546" s="889"/>
      <c r="DM2546" s="890"/>
      <c r="DN2546" s="952"/>
      <c r="DO2546" s="75"/>
      <c r="DP2546" s="962"/>
      <c r="DQ2546" s="983"/>
      <c r="DV2546" s="889"/>
    </row>
    <row r="2547" spans="1:126" s="74" customFormat="1">
      <c r="A2547" s="15"/>
      <c r="B2547" s="15"/>
      <c r="C2547" s="15"/>
      <c r="D2547" s="15"/>
      <c r="E2547" s="6"/>
      <c r="F2547" s="6"/>
      <c r="G2547" s="6"/>
      <c r="K2547" s="222"/>
      <c r="V2547" s="1430"/>
      <c r="AA2547" s="223"/>
      <c r="AC2547" s="889"/>
      <c r="AF2547" s="890"/>
      <c r="AJ2547" s="889"/>
      <c r="AN2547" s="222"/>
      <c r="BC2547" s="223"/>
      <c r="BD2547" s="222"/>
      <c r="BH2547" s="611"/>
      <c r="BJ2547" s="15"/>
      <c r="BK2547" s="15"/>
      <c r="BO2547" s="223"/>
      <c r="BQ2547" s="889"/>
      <c r="BT2547" s="890"/>
      <c r="BX2547" s="889"/>
      <c r="CB2547" s="15"/>
      <c r="CC2547" s="697"/>
      <c r="CD2547" s="1086"/>
      <c r="CE2547" s="15"/>
      <c r="CF2547" s="15"/>
      <c r="CG2547" s="936"/>
      <c r="CH2547" s="15"/>
      <c r="CI2547" s="15"/>
      <c r="CJ2547" s="15"/>
      <c r="CK2547" s="1107"/>
      <c r="CL2547" s="22"/>
      <c r="CM2547" s="22"/>
      <c r="CN2547" s="1107"/>
      <c r="CR2547" s="223"/>
      <c r="CS2547" s="952"/>
      <c r="CT2547" s="1066"/>
      <c r="CU2547" s="972"/>
      <c r="CV2547" s="983"/>
      <c r="CW2547" s="222"/>
      <c r="CX2547" s="697"/>
      <c r="DC2547" s="222"/>
      <c r="DJ2547" s="889"/>
      <c r="DM2547" s="890"/>
      <c r="DN2547" s="952"/>
      <c r="DO2547" s="75"/>
      <c r="DP2547" s="962"/>
      <c r="DQ2547" s="983"/>
      <c r="DV2547" s="889"/>
    </row>
    <row r="2548" spans="1:126" s="74" customFormat="1">
      <c r="A2548" s="15"/>
      <c r="B2548" s="15"/>
      <c r="C2548" s="15"/>
      <c r="D2548" s="15"/>
      <c r="E2548" s="6"/>
      <c r="F2548" s="6"/>
      <c r="G2548" s="6"/>
      <c r="K2548" s="222"/>
      <c r="V2548" s="1430"/>
      <c r="AA2548" s="223"/>
      <c r="AC2548" s="889"/>
      <c r="AF2548" s="890"/>
      <c r="AJ2548" s="889"/>
      <c r="AN2548" s="222"/>
      <c r="BC2548" s="223"/>
      <c r="BD2548" s="222"/>
      <c r="BH2548" s="611"/>
      <c r="BJ2548" s="15"/>
      <c r="BK2548" s="15"/>
      <c r="BO2548" s="223"/>
      <c r="BQ2548" s="889"/>
      <c r="BT2548" s="890"/>
      <c r="BX2548" s="889"/>
      <c r="CB2548" s="15"/>
      <c r="CC2548" s="697"/>
      <c r="CD2548" s="1086"/>
      <c r="CE2548" s="15"/>
      <c r="CF2548" s="15"/>
      <c r="CG2548" s="936"/>
      <c r="CH2548" s="15"/>
      <c r="CI2548" s="15"/>
      <c r="CJ2548" s="15"/>
      <c r="CK2548" s="1107"/>
      <c r="CL2548" s="22"/>
      <c r="CM2548" s="22"/>
      <c r="CN2548" s="1107"/>
      <c r="CR2548" s="223"/>
      <c r="CS2548" s="952"/>
      <c r="CT2548" s="1066"/>
      <c r="CU2548" s="972"/>
      <c r="CV2548" s="983"/>
      <c r="CW2548" s="222"/>
      <c r="CX2548" s="697"/>
      <c r="DC2548" s="222"/>
      <c r="DJ2548" s="889"/>
      <c r="DM2548" s="890"/>
      <c r="DN2548" s="952"/>
      <c r="DO2548" s="75"/>
      <c r="DP2548" s="962"/>
      <c r="DQ2548" s="983"/>
      <c r="DV2548" s="889"/>
    </row>
    <row r="2549" spans="1:126" s="74" customFormat="1">
      <c r="A2549" s="15"/>
      <c r="B2549" s="15"/>
      <c r="C2549" s="15"/>
      <c r="D2549" s="15"/>
      <c r="E2549" s="6"/>
      <c r="F2549" s="6"/>
      <c r="G2549" s="6"/>
      <c r="K2549" s="222"/>
      <c r="V2549" s="1430"/>
      <c r="AA2549" s="223"/>
      <c r="AC2549" s="889"/>
      <c r="AF2549" s="890"/>
      <c r="AJ2549" s="889"/>
      <c r="AN2549" s="222"/>
      <c r="BC2549" s="223"/>
      <c r="BD2549" s="222"/>
      <c r="BH2549" s="611"/>
      <c r="BJ2549" s="15"/>
      <c r="BK2549" s="15"/>
      <c r="BO2549" s="223"/>
      <c r="BQ2549" s="889"/>
      <c r="BT2549" s="890"/>
      <c r="BX2549" s="889"/>
      <c r="CB2549" s="15"/>
      <c r="CC2549" s="697"/>
      <c r="CD2549" s="1086"/>
      <c r="CE2549" s="15"/>
      <c r="CF2549" s="15"/>
      <c r="CG2549" s="936"/>
      <c r="CH2549" s="15"/>
      <c r="CI2549" s="15"/>
      <c r="CJ2549" s="15"/>
      <c r="CK2549" s="1107"/>
      <c r="CL2549" s="22"/>
      <c r="CM2549" s="22"/>
      <c r="CN2549" s="1107"/>
      <c r="CR2549" s="223"/>
      <c r="CS2549" s="952"/>
      <c r="CT2549" s="1066"/>
      <c r="CU2549" s="972"/>
      <c r="CV2549" s="983"/>
      <c r="CW2549" s="222"/>
      <c r="CX2549" s="697"/>
      <c r="DC2549" s="222"/>
      <c r="DJ2549" s="889"/>
      <c r="DM2549" s="890"/>
      <c r="DN2549" s="952"/>
      <c r="DO2549" s="75"/>
      <c r="DP2549" s="962"/>
      <c r="DQ2549" s="983"/>
      <c r="DV2549" s="889"/>
    </row>
    <row r="2550" spans="1:126" s="74" customFormat="1">
      <c r="A2550" s="15"/>
      <c r="B2550" s="15"/>
      <c r="C2550" s="15"/>
      <c r="D2550" s="15"/>
      <c r="E2550" s="6"/>
      <c r="F2550" s="6"/>
      <c r="G2550" s="6"/>
      <c r="K2550" s="222"/>
      <c r="V2550" s="1430"/>
      <c r="AA2550" s="223"/>
      <c r="AC2550" s="889"/>
      <c r="AF2550" s="890"/>
      <c r="AJ2550" s="889"/>
      <c r="AN2550" s="222"/>
      <c r="BC2550" s="223"/>
      <c r="BD2550" s="222"/>
      <c r="BH2550" s="611"/>
      <c r="BJ2550" s="15"/>
      <c r="BK2550" s="15"/>
      <c r="BO2550" s="223"/>
      <c r="BQ2550" s="889"/>
      <c r="BT2550" s="890"/>
      <c r="BX2550" s="889"/>
      <c r="CB2550" s="15"/>
      <c r="CC2550" s="697"/>
      <c r="CD2550" s="1086"/>
      <c r="CE2550" s="15"/>
      <c r="CF2550" s="15"/>
      <c r="CG2550" s="936"/>
      <c r="CH2550" s="15"/>
      <c r="CI2550" s="15"/>
      <c r="CJ2550" s="15"/>
      <c r="CK2550" s="1107"/>
      <c r="CL2550" s="22"/>
      <c r="CM2550" s="22"/>
      <c r="CN2550" s="1107"/>
      <c r="CR2550" s="223"/>
      <c r="CS2550" s="952"/>
      <c r="CT2550" s="1066"/>
      <c r="CU2550" s="972"/>
      <c r="CV2550" s="983"/>
      <c r="CW2550" s="222"/>
      <c r="CX2550" s="697"/>
      <c r="DC2550" s="222"/>
      <c r="DJ2550" s="889"/>
      <c r="DM2550" s="890"/>
      <c r="DN2550" s="952"/>
      <c r="DO2550" s="75"/>
      <c r="DP2550" s="962"/>
      <c r="DQ2550" s="983"/>
      <c r="DV2550" s="889"/>
    </row>
    <row r="2551" spans="1:126" s="74" customFormat="1">
      <c r="A2551" s="15"/>
      <c r="B2551" s="15"/>
      <c r="C2551" s="15"/>
      <c r="D2551" s="15"/>
      <c r="E2551" s="6"/>
      <c r="F2551" s="6"/>
      <c r="G2551" s="6"/>
      <c r="K2551" s="222"/>
      <c r="V2551" s="1430"/>
      <c r="AA2551" s="223"/>
      <c r="AC2551" s="889"/>
      <c r="AF2551" s="890"/>
      <c r="AJ2551" s="889"/>
      <c r="AN2551" s="222"/>
      <c r="BC2551" s="223"/>
      <c r="BD2551" s="222"/>
      <c r="BH2551" s="611"/>
      <c r="BJ2551" s="15"/>
      <c r="BK2551" s="15"/>
      <c r="BO2551" s="223"/>
      <c r="BQ2551" s="889"/>
      <c r="BT2551" s="890"/>
      <c r="BX2551" s="889"/>
      <c r="CB2551" s="15"/>
      <c r="CC2551" s="697"/>
      <c r="CD2551" s="1086"/>
      <c r="CE2551" s="15"/>
      <c r="CF2551" s="15"/>
      <c r="CG2551" s="936"/>
      <c r="CH2551" s="15"/>
      <c r="CI2551" s="15"/>
      <c r="CJ2551" s="15"/>
      <c r="CK2551" s="1107"/>
      <c r="CL2551" s="22"/>
      <c r="CM2551" s="22"/>
      <c r="CN2551" s="1107"/>
      <c r="CR2551" s="223"/>
      <c r="CS2551" s="952"/>
      <c r="CT2551" s="1066"/>
      <c r="CU2551" s="972"/>
      <c r="CV2551" s="983"/>
      <c r="CW2551" s="222"/>
      <c r="CX2551" s="697"/>
      <c r="DC2551" s="222"/>
      <c r="DJ2551" s="889"/>
      <c r="DM2551" s="890"/>
      <c r="DN2551" s="952"/>
      <c r="DO2551" s="75"/>
      <c r="DP2551" s="962"/>
      <c r="DQ2551" s="983"/>
      <c r="DV2551" s="889"/>
    </row>
    <row r="2552" spans="1:126" s="74" customFormat="1">
      <c r="A2552" s="15"/>
      <c r="B2552" s="15"/>
      <c r="C2552" s="15"/>
      <c r="D2552" s="15"/>
      <c r="E2552" s="6"/>
      <c r="F2552" s="6"/>
      <c r="G2552" s="6"/>
      <c r="K2552" s="222"/>
      <c r="V2552" s="1430"/>
      <c r="AA2552" s="223"/>
      <c r="AC2552" s="889"/>
      <c r="AF2552" s="890"/>
      <c r="AJ2552" s="889"/>
      <c r="AN2552" s="222"/>
      <c r="BC2552" s="223"/>
      <c r="BD2552" s="222"/>
      <c r="BH2552" s="611"/>
      <c r="BJ2552" s="15"/>
      <c r="BK2552" s="15"/>
      <c r="BO2552" s="223"/>
      <c r="BQ2552" s="889"/>
      <c r="BT2552" s="890"/>
      <c r="BX2552" s="889"/>
      <c r="CB2552" s="15"/>
      <c r="CC2552" s="697"/>
      <c r="CD2552" s="1086"/>
      <c r="CE2552" s="15"/>
      <c r="CF2552" s="15"/>
      <c r="CG2552" s="936"/>
      <c r="CH2552" s="15"/>
      <c r="CI2552" s="15"/>
      <c r="CJ2552" s="15"/>
      <c r="CK2552" s="1107"/>
      <c r="CL2552" s="22"/>
      <c r="CM2552" s="22"/>
      <c r="CN2552" s="1107"/>
      <c r="CR2552" s="223"/>
      <c r="CS2552" s="952"/>
      <c r="CT2552" s="1066"/>
      <c r="CU2552" s="972"/>
      <c r="CV2552" s="983"/>
      <c r="CW2552" s="222"/>
      <c r="CX2552" s="697"/>
      <c r="DC2552" s="222"/>
      <c r="DJ2552" s="889"/>
      <c r="DM2552" s="890"/>
      <c r="DN2552" s="952"/>
      <c r="DO2552" s="75"/>
      <c r="DP2552" s="962"/>
      <c r="DQ2552" s="983"/>
      <c r="DV2552" s="889"/>
    </row>
    <row r="2553" spans="1:126" s="74" customFormat="1">
      <c r="A2553" s="15"/>
      <c r="B2553" s="15"/>
      <c r="C2553" s="15"/>
      <c r="D2553" s="15"/>
      <c r="E2553" s="6"/>
      <c r="F2553" s="6"/>
      <c r="G2553" s="6"/>
      <c r="K2553" s="222"/>
      <c r="V2553" s="1430"/>
      <c r="AA2553" s="223"/>
      <c r="AC2553" s="889"/>
      <c r="AF2553" s="890"/>
      <c r="AJ2553" s="889"/>
      <c r="AN2553" s="222"/>
      <c r="BC2553" s="223"/>
      <c r="BD2553" s="222"/>
      <c r="BH2553" s="611"/>
      <c r="BJ2553" s="15"/>
      <c r="BK2553" s="15"/>
      <c r="BO2553" s="223"/>
      <c r="BQ2553" s="889"/>
      <c r="BT2553" s="890"/>
      <c r="BX2553" s="889"/>
      <c r="CB2553" s="15"/>
      <c r="CC2553" s="697"/>
      <c r="CD2553" s="1086"/>
      <c r="CE2553" s="15"/>
      <c r="CF2553" s="15"/>
      <c r="CG2553" s="936"/>
      <c r="CH2553" s="15"/>
      <c r="CI2553" s="15"/>
      <c r="CJ2553" s="15"/>
      <c r="CK2553" s="1107"/>
      <c r="CL2553" s="22"/>
      <c r="CM2553" s="22"/>
      <c r="CN2553" s="1107"/>
      <c r="CR2553" s="223"/>
      <c r="CS2553" s="952"/>
      <c r="CT2553" s="1066"/>
      <c r="CU2553" s="972"/>
      <c r="CV2553" s="983"/>
      <c r="CW2553" s="222"/>
      <c r="CX2553" s="697"/>
      <c r="DC2553" s="222"/>
      <c r="DJ2553" s="889"/>
      <c r="DM2553" s="890"/>
      <c r="DN2553" s="952"/>
      <c r="DO2553" s="75"/>
      <c r="DP2553" s="962"/>
      <c r="DQ2553" s="983"/>
      <c r="DV2553" s="889"/>
    </row>
    <row r="2554" spans="1:126" s="74" customFormat="1">
      <c r="A2554" s="15"/>
      <c r="B2554" s="15"/>
      <c r="C2554" s="15"/>
      <c r="D2554" s="15"/>
      <c r="E2554" s="6"/>
      <c r="F2554" s="6"/>
      <c r="G2554" s="6"/>
      <c r="K2554" s="222"/>
      <c r="V2554" s="1430"/>
      <c r="AA2554" s="223"/>
      <c r="AC2554" s="889"/>
      <c r="AF2554" s="890"/>
      <c r="AJ2554" s="889"/>
      <c r="AN2554" s="222"/>
      <c r="BC2554" s="223"/>
      <c r="BD2554" s="222"/>
      <c r="BH2554" s="611"/>
      <c r="BJ2554" s="15"/>
      <c r="BK2554" s="15"/>
      <c r="BO2554" s="223"/>
      <c r="BQ2554" s="889"/>
      <c r="BT2554" s="890"/>
      <c r="BX2554" s="889"/>
      <c r="CB2554" s="15"/>
      <c r="CC2554" s="697"/>
      <c r="CD2554" s="1086"/>
      <c r="CE2554" s="15"/>
      <c r="CF2554" s="15"/>
      <c r="CG2554" s="936"/>
      <c r="CH2554" s="15"/>
      <c r="CI2554" s="15"/>
      <c r="CJ2554" s="15"/>
      <c r="CK2554" s="1107"/>
      <c r="CL2554" s="22"/>
      <c r="CM2554" s="22"/>
      <c r="CN2554" s="1107"/>
      <c r="CR2554" s="223"/>
      <c r="CS2554" s="952"/>
      <c r="CT2554" s="1066"/>
      <c r="CU2554" s="972"/>
      <c r="CV2554" s="983"/>
      <c r="CW2554" s="222"/>
      <c r="CX2554" s="697"/>
      <c r="DC2554" s="222"/>
      <c r="DJ2554" s="889"/>
      <c r="DM2554" s="890"/>
      <c r="DN2554" s="952"/>
      <c r="DO2554" s="75"/>
      <c r="DP2554" s="962"/>
      <c r="DQ2554" s="983"/>
      <c r="DV2554" s="889"/>
    </row>
    <row r="2555" spans="1:126" s="74" customFormat="1">
      <c r="A2555" s="15"/>
      <c r="B2555" s="15"/>
      <c r="C2555" s="15"/>
      <c r="D2555" s="15"/>
      <c r="E2555" s="6"/>
      <c r="F2555" s="6"/>
      <c r="G2555" s="6"/>
      <c r="K2555" s="222"/>
      <c r="V2555" s="1430"/>
      <c r="AA2555" s="223"/>
      <c r="AC2555" s="889"/>
      <c r="AF2555" s="890"/>
      <c r="AJ2555" s="889"/>
      <c r="AN2555" s="222"/>
      <c r="BC2555" s="223"/>
      <c r="BD2555" s="222"/>
      <c r="BH2555" s="611"/>
      <c r="BJ2555" s="15"/>
      <c r="BK2555" s="15"/>
      <c r="BO2555" s="223"/>
      <c r="BQ2555" s="889"/>
      <c r="BT2555" s="890"/>
      <c r="BX2555" s="889"/>
      <c r="CB2555" s="15"/>
      <c r="CC2555" s="697"/>
      <c r="CD2555" s="1086"/>
      <c r="CE2555" s="15"/>
      <c r="CF2555" s="15"/>
      <c r="CG2555" s="936"/>
      <c r="CH2555" s="15"/>
      <c r="CI2555" s="15"/>
      <c r="CJ2555" s="15"/>
      <c r="CK2555" s="1107"/>
      <c r="CL2555" s="22"/>
      <c r="CM2555" s="22"/>
      <c r="CN2555" s="1107"/>
      <c r="CR2555" s="223"/>
      <c r="CS2555" s="952"/>
      <c r="CT2555" s="1066"/>
      <c r="CU2555" s="972"/>
      <c r="CV2555" s="983"/>
      <c r="CW2555" s="222"/>
      <c r="CX2555" s="697"/>
      <c r="DC2555" s="222"/>
      <c r="DJ2555" s="889"/>
      <c r="DM2555" s="890"/>
      <c r="DN2555" s="952"/>
      <c r="DO2555" s="75"/>
      <c r="DP2555" s="962"/>
      <c r="DQ2555" s="983"/>
      <c r="DV2555" s="889"/>
    </row>
    <row r="2556" spans="1:126" s="74" customFormat="1">
      <c r="A2556" s="15"/>
      <c r="B2556" s="15"/>
      <c r="C2556" s="15"/>
      <c r="D2556" s="15"/>
      <c r="E2556" s="6"/>
      <c r="F2556" s="6"/>
      <c r="G2556" s="6"/>
      <c r="K2556" s="222"/>
      <c r="V2556" s="1430"/>
      <c r="AA2556" s="223"/>
      <c r="AC2556" s="889"/>
      <c r="AF2556" s="890"/>
      <c r="AJ2556" s="889"/>
      <c r="AN2556" s="222"/>
      <c r="BC2556" s="223"/>
      <c r="BD2556" s="222"/>
      <c r="BH2556" s="611"/>
      <c r="BJ2556" s="15"/>
      <c r="BK2556" s="15"/>
      <c r="BO2556" s="223"/>
      <c r="BQ2556" s="889"/>
      <c r="BT2556" s="890"/>
      <c r="BX2556" s="889"/>
      <c r="CB2556" s="15"/>
      <c r="CC2556" s="697"/>
      <c r="CD2556" s="1086"/>
      <c r="CE2556" s="15"/>
      <c r="CF2556" s="15"/>
      <c r="CG2556" s="936"/>
      <c r="CH2556" s="15"/>
      <c r="CI2556" s="15"/>
      <c r="CJ2556" s="15"/>
      <c r="CK2556" s="1107"/>
      <c r="CL2556" s="22"/>
      <c r="CM2556" s="22"/>
      <c r="CN2556" s="1107"/>
      <c r="CR2556" s="223"/>
      <c r="CS2556" s="952"/>
      <c r="CT2556" s="1066"/>
      <c r="CU2556" s="972"/>
      <c r="CV2556" s="983"/>
      <c r="CW2556" s="222"/>
      <c r="CX2556" s="697"/>
      <c r="DC2556" s="222"/>
      <c r="DJ2556" s="889"/>
      <c r="DM2556" s="890"/>
      <c r="DN2556" s="952"/>
      <c r="DO2556" s="75"/>
      <c r="DP2556" s="962"/>
      <c r="DQ2556" s="983"/>
      <c r="DV2556" s="889"/>
    </row>
    <row r="2557" spans="1:126" s="74" customFormat="1">
      <c r="A2557" s="15"/>
      <c r="B2557" s="15"/>
      <c r="C2557" s="15"/>
      <c r="D2557" s="15"/>
      <c r="E2557" s="6"/>
      <c r="F2557" s="6"/>
      <c r="G2557" s="6"/>
      <c r="K2557" s="222"/>
      <c r="V2557" s="1430"/>
      <c r="AA2557" s="223"/>
      <c r="AC2557" s="889"/>
      <c r="AF2557" s="890"/>
      <c r="AJ2557" s="889"/>
      <c r="AN2557" s="222"/>
      <c r="BC2557" s="223"/>
      <c r="BD2557" s="222"/>
      <c r="BH2557" s="611"/>
      <c r="BJ2557" s="15"/>
      <c r="BK2557" s="15"/>
      <c r="BO2557" s="223"/>
      <c r="BQ2557" s="889"/>
      <c r="BT2557" s="890"/>
      <c r="BX2557" s="889"/>
      <c r="CB2557" s="15"/>
      <c r="CC2557" s="697"/>
      <c r="CD2557" s="1086"/>
      <c r="CE2557" s="15"/>
      <c r="CF2557" s="15"/>
      <c r="CG2557" s="936"/>
      <c r="CH2557" s="15"/>
      <c r="CI2557" s="15"/>
      <c r="CJ2557" s="15"/>
      <c r="CK2557" s="1107"/>
      <c r="CL2557" s="22"/>
      <c r="CM2557" s="22"/>
      <c r="CN2557" s="1107"/>
      <c r="CR2557" s="223"/>
      <c r="CS2557" s="952"/>
      <c r="CT2557" s="1066"/>
      <c r="CU2557" s="972"/>
      <c r="CV2557" s="983"/>
      <c r="CW2557" s="222"/>
      <c r="CX2557" s="697"/>
      <c r="DC2557" s="222"/>
      <c r="DJ2557" s="889"/>
      <c r="DM2557" s="890"/>
      <c r="DN2557" s="952"/>
      <c r="DO2557" s="75"/>
      <c r="DP2557" s="962"/>
      <c r="DQ2557" s="983"/>
      <c r="DV2557" s="889"/>
    </row>
    <row r="2558" spans="1:126" s="74" customFormat="1">
      <c r="A2558" s="15"/>
      <c r="B2558" s="15"/>
      <c r="C2558" s="15"/>
      <c r="D2558" s="15"/>
      <c r="E2558" s="6"/>
      <c r="F2558" s="6"/>
      <c r="G2558" s="6"/>
      <c r="K2558" s="222"/>
      <c r="V2558" s="1430"/>
      <c r="AA2558" s="223"/>
      <c r="AC2558" s="889"/>
      <c r="AF2558" s="890"/>
      <c r="AJ2558" s="889"/>
      <c r="AN2558" s="222"/>
      <c r="BC2558" s="223"/>
      <c r="BD2558" s="222"/>
      <c r="BH2558" s="611"/>
      <c r="BJ2558" s="15"/>
      <c r="BK2558" s="15"/>
      <c r="BO2558" s="223"/>
      <c r="BQ2558" s="889"/>
      <c r="BT2558" s="890"/>
      <c r="BX2558" s="889"/>
      <c r="CB2558" s="15"/>
      <c r="CC2558" s="697"/>
      <c r="CD2558" s="1086"/>
      <c r="CE2558" s="15"/>
      <c r="CF2558" s="15"/>
      <c r="CG2558" s="936"/>
      <c r="CH2558" s="15"/>
      <c r="CI2558" s="15"/>
      <c r="CJ2558" s="15"/>
      <c r="CK2558" s="1107"/>
      <c r="CL2558" s="22"/>
      <c r="CM2558" s="22"/>
      <c r="CN2558" s="1107"/>
      <c r="CR2558" s="223"/>
      <c r="CS2558" s="952"/>
      <c r="CT2558" s="1066"/>
      <c r="CU2558" s="972"/>
      <c r="CV2558" s="983"/>
      <c r="CW2558" s="222"/>
      <c r="CX2558" s="697"/>
      <c r="DC2558" s="222"/>
      <c r="DJ2558" s="889"/>
      <c r="DM2558" s="890"/>
      <c r="DN2558" s="952"/>
      <c r="DO2558" s="75"/>
      <c r="DP2558" s="962"/>
      <c r="DQ2558" s="983"/>
      <c r="DV2558" s="889"/>
    </row>
    <row r="2559" spans="1:126" s="74" customFormat="1">
      <c r="A2559" s="15"/>
      <c r="B2559" s="15"/>
      <c r="C2559" s="15"/>
      <c r="D2559" s="15"/>
      <c r="E2559" s="6"/>
      <c r="F2559" s="6"/>
      <c r="G2559" s="6"/>
      <c r="K2559" s="222"/>
      <c r="V2559" s="1430"/>
      <c r="AA2559" s="223"/>
      <c r="AC2559" s="889"/>
      <c r="AF2559" s="890"/>
      <c r="AJ2559" s="889"/>
      <c r="AN2559" s="222"/>
      <c r="BC2559" s="223"/>
      <c r="BD2559" s="222"/>
      <c r="BH2559" s="611"/>
      <c r="BJ2559" s="15"/>
      <c r="BK2559" s="15"/>
      <c r="BO2559" s="223"/>
      <c r="BQ2559" s="889"/>
      <c r="BT2559" s="890"/>
      <c r="BX2559" s="889"/>
      <c r="CB2559" s="15"/>
      <c r="CC2559" s="697"/>
      <c r="CD2559" s="1086"/>
      <c r="CE2559" s="15"/>
      <c r="CF2559" s="15"/>
      <c r="CG2559" s="936"/>
      <c r="CH2559" s="15"/>
      <c r="CI2559" s="15"/>
      <c r="CJ2559" s="15"/>
      <c r="CK2559" s="1107"/>
      <c r="CL2559" s="22"/>
      <c r="CM2559" s="22"/>
      <c r="CN2559" s="1107"/>
      <c r="CR2559" s="223"/>
      <c r="CS2559" s="952"/>
      <c r="CT2559" s="1066"/>
      <c r="CU2559" s="972"/>
      <c r="CV2559" s="983"/>
      <c r="CW2559" s="222"/>
      <c r="CX2559" s="697"/>
      <c r="DC2559" s="222"/>
      <c r="DJ2559" s="889"/>
      <c r="DM2559" s="890"/>
      <c r="DN2559" s="952"/>
      <c r="DO2559" s="75"/>
      <c r="DP2559" s="962"/>
      <c r="DQ2559" s="983"/>
      <c r="DV2559" s="889"/>
    </row>
    <row r="2560" spans="1:126" s="74" customFormat="1">
      <c r="A2560" s="15"/>
      <c r="B2560" s="15"/>
      <c r="C2560" s="15"/>
      <c r="D2560" s="15"/>
      <c r="E2560" s="6"/>
      <c r="F2560" s="6"/>
      <c r="G2560" s="6"/>
      <c r="K2560" s="222"/>
      <c r="V2560" s="1430"/>
      <c r="AA2560" s="223"/>
      <c r="AC2560" s="889"/>
      <c r="AF2560" s="890"/>
      <c r="AJ2560" s="889"/>
      <c r="AN2560" s="222"/>
      <c r="BC2560" s="223"/>
      <c r="BD2560" s="222"/>
      <c r="BH2560" s="611"/>
      <c r="BJ2560" s="15"/>
      <c r="BK2560" s="15"/>
      <c r="BO2560" s="223"/>
      <c r="BQ2560" s="889"/>
      <c r="BT2560" s="890"/>
      <c r="BX2560" s="889"/>
      <c r="CB2560" s="15"/>
      <c r="CC2560" s="697"/>
      <c r="CD2560" s="1086"/>
      <c r="CE2560" s="15"/>
      <c r="CF2560" s="15"/>
      <c r="CG2560" s="936"/>
      <c r="CH2560" s="15"/>
      <c r="CI2560" s="15"/>
      <c r="CJ2560" s="15"/>
      <c r="CK2560" s="1107"/>
      <c r="CL2560" s="22"/>
      <c r="CM2560" s="22"/>
      <c r="CN2560" s="1107"/>
      <c r="CR2560" s="223"/>
      <c r="CS2560" s="952"/>
      <c r="CT2560" s="1066"/>
      <c r="CU2560" s="972"/>
      <c r="CV2560" s="983"/>
      <c r="CW2560" s="222"/>
      <c r="CX2560" s="697"/>
      <c r="DC2560" s="222"/>
      <c r="DJ2560" s="889"/>
      <c r="DM2560" s="890"/>
      <c r="DN2560" s="952"/>
      <c r="DO2560" s="75"/>
      <c r="DP2560" s="962"/>
      <c r="DQ2560" s="983"/>
      <c r="DV2560" s="889"/>
    </row>
    <row r="2561" spans="1:126" s="74" customFormat="1">
      <c r="A2561" s="15"/>
      <c r="B2561" s="15"/>
      <c r="C2561" s="15"/>
      <c r="D2561" s="15"/>
      <c r="E2561" s="6"/>
      <c r="F2561" s="6"/>
      <c r="G2561" s="6"/>
      <c r="K2561" s="222"/>
      <c r="V2561" s="1430"/>
      <c r="AA2561" s="223"/>
      <c r="AC2561" s="889"/>
      <c r="AF2561" s="890"/>
      <c r="AJ2561" s="889"/>
      <c r="AN2561" s="222"/>
      <c r="BC2561" s="223"/>
      <c r="BD2561" s="222"/>
      <c r="BH2561" s="611"/>
      <c r="BJ2561" s="15"/>
      <c r="BK2561" s="15"/>
      <c r="BO2561" s="223"/>
      <c r="BQ2561" s="889"/>
      <c r="BT2561" s="890"/>
      <c r="BX2561" s="889"/>
      <c r="CB2561" s="15"/>
      <c r="CC2561" s="697"/>
      <c r="CD2561" s="1086"/>
      <c r="CE2561" s="15"/>
      <c r="CF2561" s="15"/>
      <c r="CG2561" s="936"/>
      <c r="CH2561" s="15"/>
      <c r="CI2561" s="15"/>
      <c r="CJ2561" s="15"/>
      <c r="CK2561" s="1107"/>
      <c r="CL2561" s="22"/>
      <c r="CM2561" s="22"/>
      <c r="CN2561" s="1107"/>
      <c r="CR2561" s="223"/>
      <c r="CS2561" s="952"/>
      <c r="CT2561" s="1066"/>
      <c r="CU2561" s="972"/>
      <c r="CV2561" s="983"/>
      <c r="CW2561" s="222"/>
      <c r="CX2561" s="697"/>
      <c r="DC2561" s="222"/>
      <c r="DJ2561" s="889"/>
      <c r="DM2561" s="890"/>
      <c r="DN2561" s="952"/>
      <c r="DO2561" s="75"/>
      <c r="DP2561" s="962"/>
      <c r="DQ2561" s="983"/>
      <c r="DV2561" s="889"/>
    </row>
    <row r="2562" spans="1:126" s="74" customFormat="1">
      <c r="A2562" s="15"/>
      <c r="B2562" s="15"/>
      <c r="C2562" s="15"/>
      <c r="D2562" s="15"/>
      <c r="E2562" s="6"/>
      <c r="F2562" s="6"/>
      <c r="G2562" s="6"/>
      <c r="K2562" s="222"/>
      <c r="V2562" s="1430"/>
      <c r="AA2562" s="223"/>
      <c r="AC2562" s="889"/>
      <c r="AF2562" s="890"/>
      <c r="AJ2562" s="889"/>
      <c r="AN2562" s="222"/>
      <c r="BC2562" s="223"/>
      <c r="BD2562" s="222"/>
      <c r="BH2562" s="611"/>
      <c r="BJ2562" s="15"/>
      <c r="BK2562" s="15"/>
      <c r="BO2562" s="223"/>
      <c r="BQ2562" s="889"/>
      <c r="BT2562" s="890"/>
      <c r="BX2562" s="889"/>
      <c r="CB2562" s="15"/>
      <c r="CC2562" s="697"/>
      <c r="CD2562" s="1086"/>
      <c r="CE2562" s="15"/>
      <c r="CF2562" s="15"/>
      <c r="CG2562" s="936"/>
      <c r="CH2562" s="15"/>
      <c r="CI2562" s="15"/>
      <c r="CJ2562" s="15"/>
      <c r="CK2562" s="1107"/>
      <c r="CL2562" s="22"/>
      <c r="CM2562" s="22"/>
      <c r="CN2562" s="1107"/>
      <c r="CR2562" s="223"/>
      <c r="CS2562" s="952"/>
      <c r="CT2562" s="1066"/>
      <c r="CU2562" s="972"/>
      <c r="CV2562" s="983"/>
      <c r="CW2562" s="222"/>
      <c r="CX2562" s="697"/>
      <c r="DC2562" s="222"/>
      <c r="DJ2562" s="889"/>
      <c r="DM2562" s="890"/>
      <c r="DN2562" s="952"/>
      <c r="DO2562" s="75"/>
      <c r="DP2562" s="962"/>
      <c r="DQ2562" s="983"/>
      <c r="DV2562" s="889"/>
    </row>
    <row r="2563" spans="1:126" s="74" customFormat="1">
      <c r="A2563" s="15"/>
      <c r="B2563" s="15"/>
      <c r="C2563" s="15"/>
      <c r="D2563" s="15"/>
      <c r="E2563" s="6"/>
      <c r="F2563" s="6"/>
      <c r="G2563" s="6"/>
      <c r="K2563" s="222"/>
      <c r="V2563" s="1430"/>
      <c r="AA2563" s="223"/>
      <c r="AC2563" s="889"/>
      <c r="AF2563" s="890"/>
      <c r="AJ2563" s="889"/>
      <c r="AN2563" s="222"/>
      <c r="BC2563" s="223"/>
      <c r="BD2563" s="222"/>
      <c r="BH2563" s="611"/>
      <c r="BJ2563" s="15"/>
      <c r="BK2563" s="15"/>
      <c r="BO2563" s="223"/>
      <c r="BQ2563" s="889"/>
      <c r="BT2563" s="890"/>
      <c r="BX2563" s="889"/>
      <c r="CB2563" s="15"/>
      <c r="CC2563" s="697"/>
      <c r="CD2563" s="1086"/>
      <c r="CE2563" s="15"/>
      <c r="CF2563" s="15"/>
      <c r="CG2563" s="936"/>
      <c r="CH2563" s="15"/>
      <c r="CI2563" s="15"/>
      <c r="CJ2563" s="15"/>
      <c r="CK2563" s="1107"/>
      <c r="CL2563" s="22"/>
      <c r="CM2563" s="22"/>
      <c r="CN2563" s="1107"/>
      <c r="CR2563" s="223"/>
      <c r="CS2563" s="952"/>
      <c r="CT2563" s="1066"/>
      <c r="CU2563" s="972"/>
      <c r="CV2563" s="983"/>
      <c r="CW2563" s="222"/>
      <c r="CX2563" s="697"/>
      <c r="DC2563" s="222"/>
      <c r="DJ2563" s="889"/>
      <c r="DM2563" s="890"/>
      <c r="DN2563" s="952"/>
      <c r="DO2563" s="75"/>
      <c r="DP2563" s="962"/>
      <c r="DQ2563" s="983"/>
      <c r="DV2563" s="889"/>
    </row>
    <row r="2564" spans="1:126" s="74" customFormat="1">
      <c r="A2564" s="15"/>
      <c r="B2564" s="15"/>
      <c r="C2564" s="15"/>
      <c r="D2564" s="15"/>
      <c r="E2564" s="6"/>
      <c r="F2564" s="6"/>
      <c r="G2564" s="6"/>
      <c r="K2564" s="222"/>
      <c r="V2564" s="1430"/>
      <c r="AA2564" s="223"/>
      <c r="AC2564" s="889"/>
      <c r="AF2564" s="890"/>
      <c r="AJ2564" s="889"/>
      <c r="AN2564" s="222"/>
      <c r="BC2564" s="223"/>
      <c r="BD2564" s="222"/>
      <c r="BH2564" s="611"/>
      <c r="BJ2564" s="15"/>
      <c r="BK2564" s="15"/>
      <c r="BO2564" s="223"/>
      <c r="BQ2564" s="889"/>
      <c r="BT2564" s="890"/>
      <c r="BX2564" s="889"/>
      <c r="CB2564" s="15"/>
      <c r="CC2564" s="697"/>
      <c r="CD2564" s="1086"/>
      <c r="CE2564" s="15"/>
      <c r="CF2564" s="15"/>
      <c r="CG2564" s="936"/>
      <c r="CH2564" s="15"/>
      <c r="CI2564" s="15"/>
      <c r="CJ2564" s="15"/>
      <c r="CK2564" s="1107"/>
      <c r="CL2564" s="22"/>
      <c r="CM2564" s="22"/>
      <c r="CN2564" s="1107"/>
      <c r="CR2564" s="223"/>
      <c r="CS2564" s="952"/>
      <c r="CT2564" s="1066"/>
      <c r="CU2564" s="972"/>
      <c r="CV2564" s="983"/>
      <c r="CW2564" s="222"/>
      <c r="CX2564" s="697"/>
      <c r="DC2564" s="222"/>
      <c r="DJ2564" s="889"/>
      <c r="DM2564" s="890"/>
      <c r="DN2564" s="952"/>
      <c r="DO2564" s="75"/>
      <c r="DP2564" s="962"/>
      <c r="DQ2564" s="983"/>
      <c r="DV2564" s="889"/>
    </row>
    <row r="2565" spans="1:126" s="74" customFormat="1">
      <c r="A2565" s="15"/>
      <c r="B2565" s="15"/>
      <c r="C2565" s="15"/>
      <c r="D2565" s="15"/>
      <c r="E2565" s="6"/>
      <c r="F2565" s="6"/>
      <c r="G2565" s="6"/>
      <c r="K2565" s="222"/>
      <c r="V2565" s="1430"/>
      <c r="AA2565" s="223"/>
      <c r="AC2565" s="889"/>
      <c r="AF2565" s="890"/>
      <c r="AJ2565" s="889"/>
      <c r="AN2565" s="222"/>
      <c r="BC2565" s="223"/>
      <c r="BD2565" s="222"/>
      <c r="BH2565" s="611"/>
      <c r="BJ2565" s="15"/>
      <c r="BK2565" s="15"/>
      <c r="BO2565" s="223"/>
      <c r="BQ2565" s="889"/>
      <c r="BT2565" s="890"/>
      <c r="BX2565" s="889"/>
      <c r="CB2565" s="15"/>
      <c r="CC2565" s="697"/>
      <c r="CD2565" s="1086"/>
      <c r="CE2565" s="15"/>
      <c r="CF2565" s="15"/>
      <c r="CG2565" s="936"/>
      <c r="CH2565" s="15"/>
      <c r="CI2565" s="15"/>
      <c r="CJ2565" s="15"/>
      <c r="CK2565" s="1107"/>
      <c r="CL2565" s="22"/>
      <c r="CM2565" s="22"/>
      <c r="CN2565" s="1107"/>
      <c r="CR2565" s="223"/>
      <c r="CS2565" s="952"/>
      <c r="CT2565" s="1066"/>
      <c r="CU2565" s="972"/>
      <c r="CV2565" s="983"/>
      <c r="CW2565" s="222"/>
      <c r="CX2565" s="697"/>
      <c r="DC2565" s="222"/>
      <c r="DJ2565" s="889"/>
      <c r="DM2565" s="890"/>
      <c r="DN2565" s="952"/>
      <c r="DO2565" s="75"/>
      <c r="DP2565" s="962"/>
      <c r="DQ2565" s="983"/>
      <c r="DV2565" s="889"/>
    </row>
    <row r="2566" spans="1:126" s="74" customFormat="1">
      <c r="A2566" s="15"/>
      <c r="B2566" s="15"/>
      <c r="C2566" s="15"/>
      <c r="D2566" s="15"/>
      <c r="E2566" s="6"/>
      <c r="F2566" s="6"/>
      <c r="G2566" s="6"/>
      <c r="K2566" s="222"/>
      <c r="V2566" s="1430"/>
      <c r="AA2566" s="223"/>
      <c r="AC2566" s="889"/>
      <c r="AF2566" s="890"/>
      <c r="AJ2566" s="889"/>
      <c r="AN2566" s="222"/>
      <c r="BC2566" s="223"/>
      <c r="BD2566" s="222"/>
      <c r="BH2566" s="611"/>
      <c r="BJ2566" s="15"/>
      <c r="BK2566" s="15"/>
      <c r="BO2566" s="223"/>
      <c r="BQ2566" s="889"/>
      <c r="BT2566" s="890"/>
      <c r="BX2566" s="889"/>
      <c r="CB2566" s="15"/>
      <c r="CC2566" s="697"/>
      <c r="CD2566" s="1086"/>
      <c r="CE2566" s="15"/>
      <c r="CF2566" s="15"/>
      <c r="CG2566" s="936"/>
      <c r="CH2566" s="15"/>
      <c r="CI2566" s="15"/>
      <c r="CJ2566" s="15"/>
      <c r="CK2566" s="1107"/>
      <c r="CL2566" s="22"/>
      <c r="CM2566" s="22"/>
      <c r="CN2566" s="1107"/>
      <c r="CR2566" s="223"/>
      <c r="CS2566" s="952"/>
      <c r="CT2566" s="1066"/>
      <c r="CU2566" s="972"/>
      <c r="CV2566" s="983"/>
      <c r="CW2566" s="222"/>
      <c r="CX2566" s="697"/>
      <c r="DC2566" s="222"/>
      <c r="DJ2566" s="889"/>
      <c r="DM2566" s="890"/>
      <c r="DN2566" s="952"/>
      <c r="DO2566" s="75"/>
      <c r="DP2566" s="962"/>
      <c r="DQ2566" s="983"/>
      <c r="DV2566" s="889"/>
    </row>
    <row r="2567" spans="1:126" s="74" customFormat="1">
      <c r="A2567" s="15"/>
      <c r="B2567" s="15"/>
      <c r="C2567" s="15"/>
      <c r="D2567" s="15"/>
      <c r="E2567" s="6"/>
      <c r="F2567" s="6"/>
      <c r="G2567" s="6"/>
      <c r="K2567" s="222"/>
      <c r="V2567" s="1430"/>
      <c r="AA2567" s="223"/>
      <c r="AC2567" s="889"/>
      <c r="AF2567" s="890"/>
      <c r="AJ2567" s="889"/>
      <c r="AN2567" s="222"/>
      <c r="BC2567" s="223"/>
      <c r="BD2567" s="222"/>
      <c r="BH2567" s="611"/>
      <c r="BJ2567" s="15"/>
      <c r="BK2567" s="15"/>
      <c r="BO2567" s="223"/>
      <c r="BQ2567" s="889"/>
      <c r="BT2567" s="890"/>
      <c r="BX2567" s="889"/>
      <c r="CB2567" s="15"/>
      <c r="CC2567" s="697"/>
      <c r="CD2567" s="1086"/>
      <c r="CE2567" s="15"/>
      <c r="CF2567" s="15"/>
      <c r="CG2567" s="936"/>
      <c r="CH2567" s="15"/>
      <c r="CI2567" s="15"/>
      <c r="CJ2567" s="15"/>
      <c r="CK2567" s="1107"/>
      <c r="CL2567" s="22"/>
      <c r="CM2567" s="22"/>
      <c r="CN2567" s="1107"/>
      <c r="CR2567" s="223"/>
      <c r="CS2567" s="952"/>
      <c r="CT2567" s="1066"/>
      <c r="CU2567" s="972"/>
      <c r="CV2567" s="983"/>
      <c r="CW2567" s="222"/>
      <c r="CX2567" s="697"/>
      <c r="DC2567" s="222"/>
      <c r="DJ2567" s="889"/>
      <c r="DM2567" s="890"/>
      <c r="DN2567" s="952"/>
      <c r="DO2567" s="75"/>
      <c r="DP2567" s="962"/>
      <c r="DQ2567" s="983"/>
      <c r="DV2567" s="889"/>
    </row>
    <row r="2568" spans="1:126" s="74" customFormat="1">
      <c r="A2568" s="15"/>
      <c r="B2568" s="15"/>
      <c r="C2568" s="15"/>
      <c r="D2568" s="15"/>
      <c r="E2568" s="6"/>
      <c r="F2568" s="6"/>
      <c r="G2568" s="6"/>
      <c r="K2568" s="222"/>
      <c r="V2568" s="1430"/>
      <c r="AA2568" s="223"/>
      <c r="AC2568" s="889"/>
      <c r="AF2568" s="890"/>
      <c r="AJ2568" s="889"/>
      <c r="AN2568" s="222"/>
      <c r="BC2568" s="223"/>
      <c r="BD2568" s="222"/>
      <c r="BH2568" s="611"/>
      <c r="BJ2568" s="15"/>
      <c r="BK2568" s="15"/>
      <c r="BO2568" s="223"/>
      <c r="BQ2568" s="889"/>
      <c r="BT2568" s="890"/>
      <c r="BX2568" s="889"/>
      <c r="CB2568" s="15"/>
      <c r="CC2568" s="697"/>
      <c r="CD2568" s="1086"/>
      <c r="CE2568" s="15"/>
      <c r="CF2568" s="15"/>
      <c r="CG2568" s="936"/>
      <c r="CH2568" s="15"/>
      <c r="CI2568" s="15"/>
      <c r="CJ2568" s="15"/>
      <c r="CK2568" s="1107"/>
      <c r="CL2568" s="22"/>
      <c r="CM2568" s="22"/>
      <c r="CN2568" s="1107"/>
      <c r="CR2568" s="223"/>
      <c r="CS2568" s="952"/>
      <c r="CT2568" s="1066"/>
      <c r="CU2568" s="972"/>
      <c r="CV2568" s="983"/>
      <c r="CW2568" s="222"/>
      <c r="CX2568" s="697"/>
      <c r="DC2568" s="222"/>
      <c r="DJ2568" s="889"/>
      <c r="DM2568" s="890"/>
      <c r="DN2568" s="952"/>
      <c r="DO2568" s="75"/>
      <c r="DP2568" s="962"/>
      <c r="DQ2568" s="983"/>
      <c r="DV2568" s="889"/>
    </row>
    <row r="2569" spans="1:126" s="74" customFormat="1">
      <c r="A2569" s="15"/>
      <c r="B2569" s="15"/>
      <c r="C2569" s="15"/>
      <c r="D2569" s="15"/>
      <c r="E2569" s="6"/>
      <c r="F2569" s="6"/>
      <c r="G2569" s="6"/>
      <c r="K2569" s="222"/>
      <c r="V2569" s="1430"/>
      <c r="AA2569" s="223"/>
      <c r="AC2569" s="889"/>
      <c r="AF2569" s="890"/>
      <c r="AJ2569" s="889"/>
      <c r="AN2569" s="222"/>
      <c r="BC2569" s="223"/>
      <c r="BD2569" s="222"/>
      <c r="BH2569" s="611"/>
      <c r="BJ2569" s="15"/>
      <c r="BK2569" s="15"/>
      <c r="BO2569" s="223"/>
      <c r="BQ2569" s="889"/>
      <c r="BT2569" s="890"/>
      <c r="BX2569" s="889"/>
      <c r="CB2569" s="15"/>
      <c r="CC2569" s="697"/>
      <c r="CD2569" s="1086"/>
      <c r="CE2569" s="15"/>
      <c r="CF2569" s="15"/>
      <c r="CG2569" s="936"/>
      <c r="CH2569" s="15"/>
      <c r="CI2569" s="15"/>
      <c r="CJ2569" s="15"/>
      <c r="CK2569" s="1107"/>
      <c r="CL2569" s="22"/>
      <c r="CM2569" s="22"/>
      <c r="CN2569" s="1107"/>
      <c r="CR2569" s="223"/>
      <c r="CS2569" s="952"/>
      <c r="CT2569" s="1066"/>
      <c r="CU2569" s="972"/>
      <c r="CV2569" s="983"/>
      <c r="CW2569" s="222"/>
      <c r="CX2569" s="697"/>
      <c r="DC2569" s="222"/>
      <c r="DJ2569" s="889"/>
      <c r="DM2569" s="890"/>
      <c r="DN2569" s="952"/>
      <c r="DO2569" s="75"/>
      <c r="DP2569" s="962"/>
      <c r="DQ2569" s="983"/>
      <c r="DV2569" s="889"/>
    </row>
    <row r="2570" spans="1:126" s="74" customFormat="1">
      <c r="A2570" s="15"/>
      <c r="B2570" s="15"/>
      <c r="C2570" s="15"/>
      <c r="D2570" s="15"/>
      <c r="E2570" s="6"/>
      <c r="F2570" s="6"/>
      <c r="G2570" s="6"/>
      <c r="K2570" s="222"/>
      <c r="V2570" s="1430"/>
      <c r="AA2570" s="223"/>
      <c r="AC2570" s="889"/>
      <c r="AF2570" s="890"/>
      <c r="AJ2570" s="889"/>
      <c r="AN2570" s="222"/>
      <c r="BC2570" s="223"/>
      <c r="BD2570" s="222"/>
      <c r="BH2570" s="611"/>
      <c r="BJ2570" s="15"/>
      <c r="BK2570" s="15"/>
      <c r="BO2570" s="223"/>
      <c r="BQ2570" s="889"/>
      <c r="BT2570" s="890"/>
      <c r="BX2570" s="889"/>
      <c r="CB2570" s="15"/>
      <c r="CC2570" s="697"/>
      <c r="CD2570" s="1086"/>
      <c r="CE2570" s="15"/>
      <c r="CF2570" s="15"/>
      <c r="CG2570" s="936"/>
      <c r="CH2570" s="15"/>
      <c r="CI2570" s="15"/>
      <c r="CJ2570" s="15"/>
      <c r="CK2570" s="1107"/>
      <c r="CL2570" s="22"/>
      <c r="CM2570" s="22"/>
      <c r="CN2570" s="1107"/>
      <c r="CR2570" s="223"/>
      <c r="CS2570" s="952"/>
      <c r="CT2570" s="1066"/>
      <c r="CU2570" s="972"/>
      <c r="CV2570" s="983"/>
      <c r="CW2570" s="222"/>
      <c r="CX2570" s="697"/>
      <c r="DC2570" s="222"/>
      <c r="DJ2570" s="889"/>
      <c r="DM2570" s="890"/>
      <c r="DN2570" s="952"/>
      <c r="DO2570" s="75"/>
      <c r="DP2570" s="962"/>
      <c r="DQ2570" s="983"/>
      <c r="DV2570" s="889"/>
    </row>
    <row r="2571" spans="1:126" s="74" customFormat="1">
      <c r="A2571" s="15"/>
      <c r="B2571" s="15"/>
      <c r="C2571" s="15"/>
      <c r="D2571" s="15"/>
      <c r="E2571" s="6"/>
      <c r="F2571" s="6"/>
      <c r="G2571" s="6"/>
      <c r="K2571" s="222"/>
      <c r="V2571" s="1430"/>
      <c r="AA2571" s="223"/>
      <c r="AC2571" s="889"/>
      <c r="AF2571" s="890"/>
      <c r="AJ2571" s="889"/>
      <c r="AN2571" s="222"/>
      <c r="BC2571" s="223"/>
      <c r="BD2571" s="222"/>
      <c r="BH2571" s="611"/>
      <c r="BJ2571" s="15"/>
      <c r="BK2571" s="15"/>
      <c r="BO2571" s="223"/>
      <c r="BQ2571" s="889"/>
      <c r="BT2571" s="890"/>
      <c r="BX2571" s="889"/>
      <c r="CB2571" s="15"/>
      <c r="CC2571" s="697"/>
      <c r="CD2571" s="1086"/>
      <c r="CE2571" s="15"/>
      <c r="CF2571" s="15"/>
      <c r="CG2571" s="936"/>
      <c r="CH2571" s="15"/>
      <c r="CI2571" s="15"/>
      <c r="CJ2571" s="15"/>
      <c r="CK2571" s="1107"/>
      <c r="CL2571" s="22"/>
      <c r="CM2571" s="22"/>
      <c r="CN2571" s="1107"/>
      <c r="CR2571" s="223"/>
      <c r="CS2571" s="952"/>
      <c r="CT2571" s="1066"/>
      <c r="CU2571" s="972"/>
      <c r="CV2571" s="983"/>
      <c r="CW2571" s="222"/>
      <c r="CX2571" s="697"/>
      <c r="DC2571" s="222"/>
      <c r="DJ2571" s="889"/>
      <c r="DM2571" s="890"/>
      <c r="DN2571" s="952"/>
      <c r="DO2571" s="75"/>
      <c r="DP2571" s="962"/>
      <c r="DQ2571" s="983"/>
      <c r="DV2571" s="889"/>
    </row>
    <row r="2572" spans="1:126" s="74" customFormat="1">
      <c r="A2572" s="15"/>
      <c r="B2572" s="15"/>
      <c r="C2572" s="15"/>
      <c r="D2572" s="15"/>
      <c r="E2572" s="6"/>
      <c r="F2572" s="6"/>
      <c r="G2572" s="6"/>
      <c r="K2572" s="222"/>
      <c r="V2572" s="1430"/>
      <c r="AA2572" s="223"/>
      <c r="AC2572" s="889"/>
      <c r="AF2572" s="890"/>
      <c r="AJ2572" s="889"/>
      <c r="AN2572" s="222"/>
      <c r="BC2572" s="223"/>
      <c r="BD2572" s="222"/>
      <c r="BH2572" s="611"/>
      <c r="BJ2572" s="15"/>
      <c r="BK2572" s="15"/>
      <c r="BO2572" s="223"/>
      <c r="BQ2572" s="889"/>
      <c r="BT2572" s="890"/>
      <c r="BX2572" s="889"/>
      <c r="CB2572" s="15"/>
      <c r="CC2572" s="697"/>
      <c r="CD2572" s="1086"/>
      <c r="CE2572" s="15"/>
      <c r="CF2572" s="15"/>
      <c r="CG2572" s="936"/>
      <c r="CH2572" s="15"/>
      <c r="CI2572" s="15"/>
      <c r="CJ2572" s="15"/>
      <c r="CK2572" s="1107"/>
      <c r="CL2572" s="22"/>
      <c r="CM2572" s="22"/>
      <c r="CN2572" s="1107"/>
      <c r="CR2572" s="223"/>
      <c r="CS2572" s="952"/>
      <c r="CT2572" s="1066"/>
      <c r="CU2572" s="972"/>
      <c r="CV2572" s="983"/>
      <c r="CW2572" s="222"/>
      <c r="CX2572" s="697"/>
      <c r="DC2572" s="222"/>
      <c r="DJ2572" s="889"/>
      <c r="DM2572" s="890"/>
      <c r="DN2572" s="952"/>
      <c r="DO2572" s="75"/>
      <c r="DP2572" s="962"/>
      <c r="DQ2572" s="983"/>
      <c r="DV2572" s="889"/>
    </row>
    <row r="2573" spans="1:126" s="74" customFormat="1">
      <c r="A2573" s="15"/>
      <c r="B2573" s="15"/>
      <c r="C2573" s="15"/>
      <c r="D2573" s="15"/>
      <c r="E2573" s="6"/>
      <c r="F2573" s="6"/>
      <c r="G2573" s="6"/>
      <c r="K2573" s="222"/>
      <c r="V2573" s="1430"/>
      <c r="AA2573" s="223"/>
      <c r="AC2573" s="889"/>
      <c r="AF2573" s="890"/>
      <c r="AJ2573" s="889"/>
      <c r="AN2573" s="222"/>
      <c r="BC2573" s="223"/>
      <c r="BD2573" s="222"/>
      <c r="BH2573" s="611"/>
      <c r="BJ2573" s="15"/>
      <c r="BK2573" s="15"/>
      <c r="BO2573" s="223"/>
      <c r="BQ2573" s="889"/>
      <c r="BT2573" s="890"/>
      <c r="BX2573" s="889"/>
      <c r="CB2573" s="15"/>
      <c r="CC2573" s="697"/>
      <c r="CD2573" s="1086"/>
      <c r="CE2573" s="15"/>
      <c r="CF2573" s="15"/>
      <c r="CG2573" s="936"/>
      <c r="CH2573" s="15"/>
      <c r="CI2573" s="15"/>
      <c r="CJ2573" s="15"/>
      <c r="CK2573" s="1107"/>
      <c r="CL2573" s="22"/>
      <c r="CM2573" s="22"/>
      <c r="CN2573" s="1107"/>
      <c r="CR2573" s="223"/>
      <c r="CS2573" s="952"/>
      <c r="CT2573" s="1066"/>
      <c r="CU2573" s="972"/>
      <c r="CV2573" s="983"/>
      <c r="CW2573" s="222"/>
      <c r="CX2573" s="697"/>
      <c r="DC2573" s="222"/>
      <c r="DJ2573" s="889"/>
      <c r="DM2573" s="890"/>
      <c r="DN2573" s="952"/>
      <c r="DO2573" s="75"/>
      <c r="DP2573" s="962"/>
      <c r="DQ2573" s="983"/>
      <c r="DV2573" s="889"/>
    </row>
    <row r="2574" spans="1:126" s="74" customFormat="1">
      <c r="A2574" s="15"/>
      <c r="B2574" s="15"/>
      <c r="C2574" s="15"/>
      <c r="D2574" s="15"/>
      <c r="E2574" s="6"/>
      <c r="F2574" s="6"/>
      <c r="G2574" s="6"/>
      <c r="K2574" s="222"/>
      <c r="V2574" s="1430"/>
      <c r="AA2574" s="223"/>
      <c r="AC2574" s="889"/>
      <c r="AF2574" s="890"/>
      <c r="AJ2574" s="889"/>
      <c r="AN2574" s="222"/>
      <c r="BC2574" s="223"/>
      <c r="BD2574" s="222"/>
      <c r="BH2574" s="611"/>
      <c r="BJ2574" s="15"/>
      <c r="BK2574" s="15"/>
      <c r="BO2574" s="223"/>
      <c r="BQ2574" s="889"/>
      <c r="BT2574" s="890"/>
      <c r="BX2574" s="889"/>
      <c r="CB2574" s="15"/>
      <c r="CC2574" s="697"/>
      <c r="CD2574" s="1086"/>
      <c r="CE2574" s="15"/>
      <c r="CF2574" s="15"/>
      <c r="CG2574" s="936"/>
      <c r="CH2574" s="15"/>
      <c r="CI2574" s="15"/>
      <c r="CJ2574" s="15"/>
      <c r="CK2574" s="1107"/>
      <c r="CL2574" s="22"/>
      <c r="CM2574" s="22"/>
      <c r="CN2574" s="1107"/>
      <c r="CR2574" s="223"/>
      <c r="CS2574" s="952"/>
      <c r="CT2574" s="1066"/>
      <c r="CU2574" s="972"/>
      <c r="CV2574" s="983"/>
      <c r="CW2574" s="222"/>
      <c r="CX2574" s="697"/>
      <c r="DC2574" s="222"/>
      <c r="DJ2574" s="889"/>
      <c r="DM2574" s="890"/>
      <c r="DN2574" s="952"/>
      <c r="DO2574" s="75"/>
      <c r="DP2574" s="962"/>
      <c r="DQ2574" s="983"/>
      <c r="DV2574" s="889"/>
    </row>
    <row r="2575" spans="1:126" s="74" customFormat="1">
      <c r="A2575" s="15"/>
      <c r="B2575" s="15"/>
      <c r="C2575" s="15"/>
      <c r="D2575" s="15"/>
      <c r="E2575" s="6"/>
      <c r="F2575" s="6"/>
      <c r="G2575" s="6"/>
      <c r="K2575" s="222"/>
      <c r="V2575" s="1430"/>
      <c r="AA2575" s="223"/>
      <c r="AC2575" s="889"/>
      <c r="AF2575" s="890"/>
      <c r="AJ2575" s="889"/>
      <c r="AN2575" s="222"/>
      <c r="BC2575" s="223"/>
      <c r="BD2575" s="222"/>
      <c r="BH2575" s="611"/>
      <c r="BJ2575" s="15"/>
      <c r="BK2575" s="15"/>
      <c r="BO2575" s="223"/>
      <c r="BQ2575" s="889"/>
      <c r="BT2575" s="890"/>
      <c r="BX2575" s="889"/>
      <c r="CB2575" s="15"/>
      <c r="CC2575" s="697"/>
      <c r="CD2575" s="1086"/>
      <c r="CE2575" s="15"/>
      <c r="CF2575" s="15"/>
      <c r="CG2575" s="936"/>
      <c r="CH2575" s="15"/>
      <c r="CI2575" s="15"/>
      <c r="CJ2575" s="15"/>
      <c r="CK2575" s="1107"/>
      <c r="CL2575" s="22"/>
      <c r="CM2575" s="22"/>
      <c r="CN2575" s="1107"/>
      <c r="CR2575" s="223"/>
      <c r="CS2575" s="952"/>
      <c r="CT2575" s="1066"/>
      <c r="CU2575" s="972"/>
      <c r="CV2575" s="983"/>
      <c r="CW2575" s="222"/>
      <c r="CX2575" s="697"/>
      <c r="DC2575" s="222"/>
      <c r="DJ2575" s="889"/>
      <c r="DM2575" s="890"/>
      <c r="DN2575" s="952"/>
      <c r="DO2575" s="75"/>
      <c r="DP2575" s="962"/>
      <c r="DQ2575" s="983"/>
      <c r="DV2575" s="889"/>
    </row>
    <row r="2576" spans="1:126" s="74" customFormat="1">
      <c r="A2576" s="15"/>
      <c r="B2576" s="15"/>
      <c r="C2576" s="15"/>
      <c r="D2576" s="15"/>
      <c r="E2576" s="6"/>
      <c r="F2576" s="6"/>
      <c r="G2576" s="6"/>
      <c r="K2576" s="222"/>
      <c r="V2576" s="1430"/>
      <c r="AA2576" s="223"/>
      <c r="AC2576" s="889"/>
      <c r="AF2576" s="890"/>
      <c r="AJ2576" s="889"/>
      <c r="AN2576" s="222"/>
      <c r="BC2576" s="223"/>
      <c r="BD2576" s="222"/>
      <c r="BH2576" s="611"/>
      <c r="BJ2576" s="15"/>
      <c r="BK2576" s="15"/>
      <c r="BO2576" s="223"/>
      <c r="BQ2576" s="889"/>
      <c r="BT2576" s="890"/>
      <c r="BX2576" s="889"/>
      <c r="CB2576" s="15"/>
      <c r="CC2576" s="697"/>
      <c r="CD2576" s="1086"/>
      <c r="CE2576" s="15"/>
      <c r="CF2576" s="15"/>
      <c r="CG2576" s="936"/>
      <c r="CH2576" s="15"/>
      <c r="CI2576" s="15"/>
      <c r="CJ2576" s="15"/>
      <c r="CK2576" s="1107"/>
      <c r="CL2576" s="22"/>
      <c r="CM2576" s="22"/>
      <c r="CN2576" s="1107"/>
      <c r="CR2576" s="223"/>
      <c r="CS2576" s="952"/>
      <c r="CT2576" s="1066"/>
      <c r="CU2576" s="972"/>
      <c r="CV2576" s="983"/>
      <c r="CW2576" s="222"/>
      <c r="CX2576" s="697"/>
      <c r="DC2576" s="222"/>
      <c r="DJ2576" s="889"/>
      <c r="DM2576" s="890"/>
      <c r="DN2576" s="952"/>
      <c r="DO2576" s="75"/>
      <c r="DP2576" s="962"/>
      <c r="DQ2576" s="983"/>
      <c r="DV2576" s="889"/>
    </row>
    <row r="2577" spans="1:126" s="74" customFormat="1">
      <c r="A2577" s="15"/>
      <c r="B2577" s="15"/>
      <c r="C2577" s="15"/>
      <c r="D2577" s="15"/>
      <c r="E2577" s="6"/>
      <c r="F2577" s="6"/>
      <c r="G2577" s="6"/>
      <c r="K2577" s="222"/>
      <c r="V2577" s="1430"/>
      <c r="AA2577" s="223"/>
      <c r="AC2577" s="889"/>
      <c r="AF2577" s="890"/>
      <c r="AJ2577" s="889"/>
      <c r="AN2577" s="222"/>
      <c r="BC2577" s="223"/>
      <c r="BD2577" s="222"/>
      <c r="BH2577" s="611"/>
      <c r="BJ2577" s="15"/>
      <c r="BK2577" s="15"/>
      <c r="BO2577" s="223"/>
      <c r="BQ2577" s="889"/>
      <c r="BT2577" s="890"/>
      <c r="BX2577" s="889"/>
      <c r="CB2577" s="15"/>
      <c r="CC2577" s="697"/>
      <c r="CD2577" s="1086"/>
      <c r="CE2577" s="15"/>
      <c r="CF2577" s="15"/>
      <c r="CG2577" s="936"/>
      <c r="CH2577" s="15"/>
      <c r="CI2577" s="15"/>
      <c r="CJ2577" s="15"/>
      <c r="CK2577" s="1107"/>
      <c r="CL2577" s="22"/>
      <c r="CM2577" s="22"/>
      <c r="CN2577" s="1107"/>
      <c r="CR2577" s="223"/>
      <c r="CS2577" s="952"/>
      <c r="CT2577" s="1066"/>
      <c r="CU2577" s="972"/>
      <c r="CV2577" s="983"/>
      <c r="CW2577" s="222"/>
      <c r="CX2577" s="697"/>
      <c r="DC2577" s="222"/>
      <c r="DJ2577" s="889"/>
      <c r="DM2577" s="890"/>
      <c r="DN2577" s="952"/>
      <c r="DO2577" s="75"/>
      <c r="DP2577" s="962"/>
      <c r="DQ2577" s="983"/>
      <c r="DV2577" s="889"/>
    </row>
    <row r="2578" spans="1:126" s="74" customFormat="1">
      <c r="A2578" s="15"/>
      <c r="B2578" s="15"/>
      <c r="C2578" s="15"/>
      <c r="D2578" s="15"/>
      <c r="E2578" s="6"/>
      <c r="F2578" s="6"/>
      <c r="G2578" s="6"/>
      <c r="K2578" s="222"/>
      <c r="V2578" s="1430"/>
      <c r="AA2578" s="223"/>
      <c r="AC2578" s="889"/>
      <c r="AF2578" s="890"/>
      <c r="AJ2578" s="889"/>
      <c r="AN2578" s="222"/>
      <c r="BC2578" s="223"/>
      <c r="BD2578" s="222"/>
      <c r="BH2578" s="611"/>
      <c r="BJ2578" s="15"/>
      <c r="BK2578" s="15"/>
      <c r="BO2578" s="223"/>
      <c r="BQ2578" s="889"/>
      <c r="BT2578" s="890"/>
      <c r="BX2578" s="889"/>
      <c r="CB2578" s="15"/>
      <c r="CC2578" s="697"/>
      <c r="CD2578" s="1086"/>
      <c r="CE2578" s="15"/>
      <c r="CF2578" s="15"/>
      <c r="CG2578" s="936"/>
      <c r="CH2578" s="15"/>
      <c r="CI2578" s="15"/>
      <c r="CJ2578" s="15"/>
      <c r="CK2578" s="1107"/>
      <c r="CL2578" s="22"/>
      <c r="CM2578" s="22"/>
      <c r="CN2578" s="1107"/>
      <c r="CR2578" s="223"/>
      <c r="CS2578" s="952"/>
      <c r="CT2578" s="1066"/>
      <c r="CU2578" s="972"/>
      <c r="CV2578" s="983"/>
      <c r="CW2578" s="222"/>
      <c r="CX2578" s="697"/>
      <c r="DC2578" s="222"/>
      <c r="DJ2578" s="889"/>
      <c r="DM2578" s="890"/>
      <c r="DN2578" s="952"/>
      <c r="DO2578" s="75"/>
      <c r="DP2578" s="962"/>
      <c r="DQ2578" s="983"/>
      <c r="DV2578" s="889"/>
    </row>
    <row r="2579" spans="1:126" s="74" customFormat="1">
      <c r="A2579" s="15"/>
      <c r="B2579" s="15"/>
      <c r="C2579" s="15"/>
      <c r="D2579" s="15"/>
      <c r="E2579" s="6"/>
      <c r="F2579" s="6"/>
      <c r="G2579" s="6"/>
      <c r="K2579" s="222"/>
      <c r="V2579" s="1430"/>
      <c r="AA2579" s="223"/>
      <c r="AC2579" s="889"/>
      <c r="AF2579" s="890"/>
      <c r="AJ2579" s="889"/>
      <c r="AN2579" s="222"/>
      <c r="BC2579" s="223"/>
      <c r="BD2579" s="222"/>
      <c r="BH2579" s="611"/>
      <c r="BJ2579" s="15"/>
      <c r="BK2579" s="15"/>
      <c r="BO2579" s="223"/>
      <c r="BQ2579" s="889"/>
      <c r="BT2579" s="890"/>
      <c r="BX2579" s="889"/>
      <c r="CB2579" s="15"/>
      <c r="CC2579" s="697"/>
      <c r="CD2579" s="1086"/>
      <c r="CE2579" s="15"/>
      <c r="CF2579" s="15"/>
      <c r="CG2579" s="936"/>
      <c r="CH2579" s="15"/>
      <c r="CI2579" s="15"/>
      <c r="CJ2579" s="15"/>
      <c r="CK2579" s="1107"/>
      <c r="CL2579" s="22"/>
      <c r="CM2579" s="22"/>
      <c r="CN2579" s="1107"/>
      <c r="CR2579" s="223"/>
      <c r="CS2579" s="952"/>
      <c r="CT2579" s="1066"/>
      <c r="CU2579" s="972"/>
      <c r="CV2579" s="983"/>
      <c r="CW2579" s="222"/>
      <c r="CX2579" s="697"/>
      <c r="DC2579" s="222"/>
      <c r="DJ2579" s="889"/>
      <c r="DM2579" s="890"/>
      <c r="DN2579" s="952"/>
      <c r="DO2579" s="75"/>
      <c r="DP2579" s="962"/>
      <c r="DQ2579" s="983"/>
      <c r="DV2579" s="889"/>
    </row>
    <row r="2580" spans="1:126" s="74" customFormat="1">
      <c r="A2580" s="15"/>
      <c r="B2580" s="15"/>
      <c r="C2580" s="15"/>
      <c r="D2580" s="15"/>
      <c r="E2580" s="6"/>
      <c r="F2580" s="6"/>
      <c r="G2580" s="6"/>
      <c r="K2580" s="222"/>
      <c r="V2580" s="1430"/>
      <c r="AA2580" s="223"/>
      <c r="AC2580" s="889"/>
      <c r="AF2580" s="890"/>
      <c r="AJ2580" s="889"/>
      <c r="AN2580" s="222"/>
      <c r="BC2580" s="223"/>
      <c r="BD2580" s="222"/>
      <c r="BH2580" s="611"/>
      <c r="BJ2580" s="15"/>
      <c r="BK2580" s="15"/>
      <c r="BO2580" s="223"/>
      <c r="BQ2580" s="889"/>
      <c r="BT2580" s="890"/>
      <c r="BX2580" s="889"/>
      <c r="CB2580" s="15"/>
      <c r="CC2580" s="697"/>
      <c r="CD2580" s="1086"/>
      <c r="CE2580" s="15"/>
      <c r="CF2580" s="15"/>
      <c r="CG2580" s="936"/>
      <c r="CH2580" s="15"/>
      <c r="CI2580" s="15"/>
      <c r="CJ2580" s="15"/>
      <c r="CK2580" s="1107"/>
      <c r="CL2580" s="22"/>
      <c r="CM2580" s="22"/>
      <c r="CN2580" s="1107"/>
      <c r="CR2580" s="223"/>
      <c r="CS2580" s="952"/>
      <c r="CT2580" s="1066"/>
      <c r="CU2580" s="972"/>
      <c r="CV2580" s="983"/>
      <c r="CW2580" s="222"/>
      <c r="CX2580" s="697"/>
      <c r="DC2580" s="222"/>
      <c r="DJ2580" s="889"/>
      <c r="DM2580" s="890"/>
      <c r="DN2580" s="952"/>
      <c r="DO2580" s="75"/>
      <c r="DP2580" s="962"/>
      <c r="DQ2580" s="983"/>
      <c r="DV2580" s="889"/>
    </row>
    <row r="2581" spans="1:126" s="74" customFormat="1">
      <c r="A2581" s="15"/>
      <c r="B2581" s="15"/>
      <c r="C2581" s="15"/>
      <c r="D2581" s="15"/>
      <c r="E2581" s="6"/>
      <c r="F2581" s="6"/>
      <c r="G2581" s="6"/>
      <c r="K2581" s="222"/>
      <c r="V2581" s="1430"/>
      <c r="AA2581" s="223"/>
      <c r="AC2581" s="889"/>
      <c r="AF2581" s="890"/>
      <c r="AJ2581" s="889"/>
      <c r="AN2581" s="222"/>
      <c r="BC2581" s="223"/>
      <c r="BD2581" s="222"/>
      <c r="BH2581" s="611"/>
      <c r="BJ2581" s="15"/>
      <c r="BK2581" s="15"/>
      <c r="BO2581" s="223"/>
      <c r="BQ2581" s="889"/>
      <c r="BT2581" s="890"/>
      <c r="BX2581" s="889"/>
      <c r="CB2581" s="15"/>
      <c r="CC2581" s="697"/>
      <c r="CD2581" s="1086"/>
      <c r="CE2581" s="15"/>
      <c r="CF2581" s="15"/>
      <c r="CG2581" s="936"/>
      <c r="CH2581" s="15"/>
      <c r="CI2581" s="15"/>
      <c r="CJ2581" s="15"/>
      <c r="CK2581" s="1107"/>
      <c r="CL2581" s="22"/>
      <c r="CM2581" s="22"/>
      <c r="CN2581" s="1107"/>
      <c r="CR2581" s="223"/>
      <c r="CS2581" s="952"/>
      <c r="CT2581" s="1066"/>
      <c r="CU2581" s="972"/>
      <c r="CV2581" s="983"/>
      <c r="CW2581" s="222"/>
      <c r="CX2581" s="697"/>
      <c r="DC2581" s="222"/>
      <c r="DJ2581" s="889"/>
      <c r="DM2581" s="890"/>
      <c r="DN2581" s="952"/>
      <c r="DO2581" s="75"/>
      <c r="DP2581" s="962"/>
      <c r="DQ2581" s="983"/>
      <c r="DV2581" s="889"/>
    </row>
    <row r="2582" spans="1:126" s="74" customFormat="1">
      <c r="A2582" s="15"/>
      <c r="B2582" s="15"/>
      <c r="C2582" s="15"/>
      <c r="D2582" s="15"/>
      <c r="E2582" s="6"/>
      <c r="F2582" s="6"/>
      <c r="G2582" s="6"/>
      <c r="K2582" s="222"/>
      <c r="V2582" s="1430"/>
      <c r="AA2582" s="223"/>
      <c r="AC2582" s="889"/>
      <c r="AF2582" s="890"/>
      <c r="AJ2582" s="889"/>
      <c r="AN2582" s="222"/>
      <c r="BC2582" s="223"/>
      <c r="BD2582" s="222"/>
      <c r="BH2582" s="611"/>
      <c r="BJ2582" s="15"/>
      <c r="BK2582" s="15"/>
      <c r="BO2582" s="223"/>
      <c r="BQ2582" s="889"/>
      <c r="BT2582" s="890"/>
      <c r="BX2582" s="889"/>
      <c r="CB2582" s="15"/>
      <c r="CC2582" s="697"/>
      <c r="CD2582" s="1086"/>
      <c r="CE2582" s="15"/>
      <c r="CF2582" s="15"/>
      <c r="CG2582" s="936"/>
      <c r="CH2582" s="15"/>
      <c r="CI2582" s="15"/>
      <c r="CJ2582" s="15"/>
      <c r="CK2582" s="1107"/>
      <c r="CL2582" s="22"/>
      <c r="CM2582" s="22"/>
      <c r="CN2582" s="1107"/>
      <c r="CR2582" s="223"/>
      <c r="CS2582" s="952"/>
      <c r="CT2582" s="1066"/>
      <c r="CU2582" s="972"/>
      <c r="CV2582" s="983"/>
      <c r="CW2582" s="222"/>
      <c r="CX2582" s="697"/>
      <c r="DC2582" s="222"/>
      <c r="DJ2582" s="889"/>
      <c r="DM2582" s="890"/>
      <c r="DN2582" s="952"/>
      <c r="DO2582" s="75"/>
      <c r="DP2582" s="962"/>
      <c r="DQ2582" s="983"/>
      <c r="DV2582" s="889"/>
    </row>
    <row r="2583" spans="1:126" s="74" customFormat="1">
      <c r="A2583" s="15"/>
      <c r="B2583" s="15"/>
      <c r="C2583" s="15"/>
      <c r="D2583" s="15"/>
      <c r="E2583" s="6"/>
      <c r="F2583" s="6"/>
      <c r="G2583" s="6"/>
      <c r="K2583" s="222"/>
      <c r="V2583" s="1430"/>
      <c r="AA2583" s="223"/>
      <c r="AC2583" s="889"/>
      <c r="AF2583" s="890"/>
      <c r="AJ2583" s="889"/>
      <c r="AN2583" s="222"/>
      <c r="BC2583" s="223"/>
      <c r="BD2583" s="222"/>
      <c r="BH2583" s="611"/>
      <c r="BJ2583" s="15"/>
      <c r="BK2583" s="15"/>
      <c r="BO2583" s="223"/>
      <c r="BQ2583" s="889"/>
      <c r="BT2583" s="890"/>
      <c r="BX2583" s="889"/>
      <c r="CB2583" s="15"/>
      <c r="CC2583" s="697"/>
      <c r="CD2583" s="1086"/>
      <c r="CE2583" s="15"/>
      <c r="CF2583" s="15"/>
      <c r="CG2583" s="936"/>
      <c r="CH2583" s="15"/>
      <c r="CI2583" s="15"/>
      <c r="CJ2583" s="15"/>
      <c r="CK2583" s="1107"/>
      <c r="CL2583" s="22"/>
      <c r="CM2583" s="22"/>
      <c r="CN2583" s="1107"/>
      <c r="CR2583" s="223"/>
      <c r="CS2583" s="952"/>
      <c r="CT2583" s="1066"/>
      <c r="CU2583" s="972"/>
      <c r="CV2583" s="983"/>
      <c r="CW2583" s="222"/>
      <c r="CX2583" s="697"/>
      <c r="DC2583" s="222"/>
      <c r="DJ2583" s="889"/>
      <c r="DM2583" s="890"/>
      <c r="DN2583" s="952"/>
      <c r="DO2583" s="75"/>
      <c r="DP2583" s="962"/>
      <c r="DQ2583" s="983"/>
      <c r="DV2583" s="889"/>
    </row>
    <row r="2584" spans="1:126" s="74" customFormat="1">
      <c r="A2584" s="15"/>
      <c r="B2584" s="15"/>
      <c r="C2584" s="15"/>
      <c r="D2584" s="15"/>
      <c r="E2584" s="6"/>
      <c r="F2584" s="6"/>
      <c r="G2584" s="6"/>
      <c r="K2584" s="222"/>
      <c r="V2584" s="1430"/>
      <c r="AA2584" s="223"/>
      <c r="AC2584" s="889"/>
      <c r="AF2584" s="890"/>
      <c r="AJ2584" s="889"/>
      <c r="AN2584" s="222"/>
      <c r="BC2584" s="223"/>
      <c r="BD2584" s="222"/>
      <c r="BH2584" s="611"/>
      <c r="BJ2584" s="15"/>
      <c r="BK2584" s="15"/>
      <c r="BO2584" s="223"/>
      <c r="BQ2584" s="889"/>
      <c r="BT2584" s="890"/>
      <c r="BX2584" s="889"/>
      <c r="CB2584" s="15"/>
      <c r="CC2584" s="697"/>
      <c r="CD2584" s="1086"/>
      <c r="CE2584" s="15"/>
      <c r="CF2584" s="15"/>
      <c r="CG2584" s="936"/>
      <c r="CH2584" s="15"/>
      <c r="CI2584" s="15"/>
      <c r="CJ2584" s="15"/>
      <c r="CK2584" s="1107"/>
      <c r="CL2584" s="22"/>
      <c r="CM2584" s="22"/>
      <c r="CN2584" s="1107"/>
      <c r="CR2584" s="223"/>
      <c r="CS2584" s="952"/>
      <c r="CT2584" s="1066"/>
      <c r="CU2584" s="972"/>
      <c r="CV2584" s="983"/>
      <c r="CW2584" s="222"/>
      <c r="CX2584" s="697"/>
      <c r="DC2584" s="222"/>
      <c r="DJ2584" s="889"/>
      <c r="DM2584" s="890"/>
      <c r="DN2584" s="952"/>
      <c r="DO2584" s="75"/>
      <c r="DP2584" s="962"/>
      <c r="DQ2584" s="983"/>
      <c r="DV2584" s="889"/>
    </row>
    <row r="2585" spans="1:126" s="74" customFormat="1">
      <c r="A2585" s="15"/>
      <c r="B2585" s="15"/>
      <c r="C2585" s="15"/>
      <c r="D2585" s="15"/>
      <c r="E2585" s="6"/>
      <c r="F2585" s="6"/>
      <c r="G2585" s="6"/>
      <c r="K2585" s="222"/>
      <c r="V2585" s="1430"/>
      <c r="AA2585" s="223"/>
      <c r="AC2585" s="889"/>
      <c r="AF2585" s="890"/>
      <c r="AJ2585" s="889"/>
      <c r="AN2585" s="222"/>
      <c r="BC2585" s="223"/>
      <c r="BD2585" s="222"/>
      <c r="BH2585" s="611"/>
      <c r="BJ2585" s="15"/>
      <c r="BK2585" s="15"/>
      <c r="BO2585" s="223"/>
      <c r="BQ2585" s="889"/>
      <c r="BT2585" s="890"/>
      <c r="BX2585" s="889"/>
      <c r="CB2585" s="15"/>
      <c r="CC2585" s="697"/>
      <c r="CD2585" s="1086"/>
      <c r="CE2585" s="15"/>
      <c r="CF2585" s="15"/>
      <c r="CG2585" s="936"/>
      <c r="CH2585" s="15"/>
      <c r="CI2585" s="15"/>
      <c r="CJ2585" s="15"/>
      <c r="CK2585" s="1107"/>
      <c r="CL2585" s="22"/>
      <c r="CM2585" s="22"/>
      <c r="CN2585" s="1107"/>
      <c r="CR2585" s="223"/>
      <c r="CS2585" s="952"/>
      <c r="CT2585" s="1066"/>
      <c r="CU2585" s="972"/>
      <c r="CV2585" s="983"/>
      <c r="CW2585" s="222"/>
      <c r="CX2585" s="697"/>
      <c r="DC2585" s="222"/>
      <c r="DJ2585" s="889"/>
      <c r="DM2585" s="890"/>
      <c r="DN2585" s="952"/>
      <c r="DO2585" s="75"/>
      <c r="DP2585" s="962"/>
      <c r="DQ2585" s="983"/>
      <c r="DV2585" s="889"/>
    </row>
    <row r="2586" spans="1:126" s="74" customFormat="1">
      <c r="A2586" s="15"/>
      <c r="B2586" s="15"/>
      <c r="C2586" s="15"/>
      <c r="D2586" s="15"/>
      <c r="E2586" s="6"/>
      <c r="F2586" s="6"/>
      <c r="G2586" s="6"/>
      <c r="K2586" s="222"/>
      <c r="V2586" s="1430"/>
      <c r="AA2586" s="223"/>
      <c r="AC2586" s="889"/>
      <c r="AF2586" s="890"/>
      <c r="AJ2586" s="889"/>
      <c r="AN2586" s="222"/>
      <c r="BC2586" s="223"/>
      <c r="BD2586" s="222"/>
      <c r="BH2586" s="611"/>
      <c r="BJ2586" s="15"/>
      <c r="BK2586" s="15"/>
      <c r="BO2586" s="223"/>
      <c r="BQ2586" s="889"/>
      <c r="BT2586" s="890"/>
      <c r="BX2586" s="889"/>
      <c r="CB2586" s="15"/>
      <c r="CC2586" s="697"/>
      <c r="CD2586" s="1086"/>
      <c r="CE2586" s="15"/>
      <c r="CF2586" s="15"/>
      <c r="CG2586" s="936"/>
      <c r="CH2586" s="15"/>
      <c r="CI2586" s="15"/>
      <c r="CJ2586" s="15"/>
      <c r="CK2586" s="1107"/>
      <c r="CL2586" s="22"/>
      <c r="CM2586" s="22"/>
      <c r="CN2586" s="1107"/>
      <c r="CR2586" s="223"/>
      <c r="CS2586" s="952"/>
      <c r="CT2586" s="1066"/>
      <c r="CU2586" s="972"/>
      <c r="CV2586" s="983"/>
      <c r="CW2586" s="222"/>
      <c r="CX2586" s="697"/>
      <c r="DC2586" s="222"/>
      <c r="DJ2586" s="889"/>
      <c r="DM2586" s="890"/>
      <c r="DN2586" s="952"/>
      <c r="DO2586" s="75"/>
      <c r="DP2586" s="962"/>
      <c r="DQ2586" s="983"/>
      <c r="DV2586" s="889"/>
    </row>
    <row r="2587" spans="1:126" s="74" customFormat="1">
      <c r="A2587" s="15"/>
      <c r="B2587" s="15"/>
      <c r="C2587" s="15"/>
      <c r="D2587" s="15"/>
      <c r="E2587" s="6"/>
      <c r="F2587" s="6"/>
      <c r="G2587" s="6"/>
      <c r="K2587" s="222"/>
      <c r="V2587" s="1430"/>
      <c r="AA2587" s="223"/>
      <c r="AC2587" s="889"/>
      <c r="AF2587" s="890"/>
      <c r="AJ2587" s="889"/>
      <c r="AN2587" s="222"/>
      <c r="BC2587" s="223"/>
      <c r="BD2587" s="222"/>
      <c r="BH2587" s="611"/>
      <c r="BJ2587" s="15"/>
      <c r="BK2587" s="15"/>
      <c r="BO2587" s="223"/>
      <c r="BQ2587" s="889"/>
      <c r="BT2587" s="890"/>
      <c r="BX2587" s="889"/>
      <c r="CB2587" s="15"/>
      <c r="CC2587" s="697"/>
      <c r="CD2587" s="1086"/>
      <c r="CE2587" s="15"/>
      <c r="CF2587" s="15"/>
      <c r="CG2587" s="936"/>
      <c r="CH2587" s="15"/>
      <c r="CI2587" s="15"/>
      <c r="CJ2587" s="15"/>
      <c r="CK2587" s="1107"/>
      <c r="CL2587" s="22"/>
      <c r="CM2587" s="22"/>
      <c r="CN2587" s="1107"/>
      <c r="CR2587" s="223"/>
      <c r="CS2587" s="952"/>
      <c r="CT2587" s="1066"/>
      <c r="CU2587" s="972"/>
      <c r="CV2587" s="983"/>
      <c r="CW2587" s="222"/>
      <c r="CX2587" s="697"/>
      <c r="DC2587" s="222"/>
      <c r="DJ2587" s="889"/>
      <c r="DM2587" s="890"/>
      <c r="DN2587" s="952"/>
      <c r="DO2587" s="75"/>
      <c r="DP2587" s="962"/>
      <c r="DQ2587" s="983"/>
      <c r="DV2587" s="889"/>
    </row>
    <row r="2588" spans="1:126" s="74" customFormat="1">
      <c r="A2588" s="15"/>
      <c r="B2588" s="15"/>
      <c r="C2588" s="15"/>
      <c r="D2588" s="15"/>
      <c r="E2588" s="6"/>
      <c r="F2588" s="6"/>
      <c r="G2588" s="6"/>
      <c r="K2588" s="222"/>
      <c r="V2588" s="1430"/>
      <c r="AA2588" s="223"/>
      <c r="AC2588" s="889"/>
      <c r="AF2588" s="890"/>
      <c r="AJ2588" s="889"/>
      <c r="AN2588" s="222"/>
      <c r="BC2588" s="223"/>
      <c r="BD2588" s="222"/>
      <c r="BH2588" s="611"/>
      <c r="BJ2588" s="15"/>
      <c r="BK2588" s="15"/>
      <c r="BO2588" s="223"/>
      <c r="BQ2588" s="889"/>
      <c r="BT2588" s="890"/>
      <c r="BX2588" s="889"/>
      <c r="CB2588" s="15"/>
      <c r="CC2588" s="697"/>
      <c r="CD2588" s="1086"/>
      <c r="CE2588" s="15"/>
      <c r="CF2588" s="15"/>
      <c r="CG2588" s="936"/>
      <c r="CH2588" s="15"/>
      <c r="CI2588" s="15"/>
      <c r="CJ2588" s="15"/>
      <c r="CK2588" s="1107"/>
      <c r="CL2588" s="22"/>
      <c r="CM2588" s="22"/>
      <c r="CN2588" s="1107"/>
      <c r="CR2588" s="223"/>
      <c r="CS2588" s="952"/>
      <c r="CT2588" s="1066"/>
      <c r="CU2588" s="972"/>
      <c r="CV2588" s="983"/>
      <c r="CW2588" s="222"/>
      <c r="CX2588" s="697"/>
      <c r="DC2588" s="222"/>
      <c r="DJ2588" s="889"/>
      <c r="DM2588" s="890"/>
      <c r="DN2588" s="952"/>
      <c r="DO2588" s="75"/>
      <c r="DP2588" s="962"/>
      <c r="DQ2588" s="983"/>
      <c r="DV2588" s="889"/>
    </row>
    <row r="2589" spans="1:126" s="74" customFormat="1">
      <c r="A2589" s="15"/>
      <c r="B2589" s="15"/>
      <c r="C2589" s="15"/>
      <c r="D2589" s="15"/>
      <c r="E2589" s="6"/>
      <c r="F2589" s="6"/>
      <c r="G2589" s="6"/>
      <c r="K2589" s="222"/>
      <c r="V2589" s="1430"/>
      <c r="AA2589" s="223"/>
      <c r="AC2589" s="889"/>
      <c r="AF2589" s="890"/>
      <c r="AJ2589" s="889"/>
      <c r="AN2589" s="222"/>
      <c r="BC2589" s="223"/>
      <c r="BD2589" s="222"/>
      <c r="BH2589" s="611"/>
      <c r="BJ2589" s="15"/>
      <c r="BK2589" s="15"/>
      <c r="BO2589" s="223"/>
      <c r="BQ2589" s="889"/>
      <c r="BT2589" s="890"/>
      <c r="BX2589" s="889"/>
      <c r="CB2589" s="15"/>
      <c r="CC2589" s="697"/>
      <c r="CD2589" s="1086"/>
      <c r="CE2589" s="15"/>
      <c r="CF2589" s="15"/>
      <c r="CG2589" s="936"/>
      <c r="CH2589" s="15"/>
      <c r="CI2589" s="15"/>
      <c r="CJ2589" s="15"/>
      <c r="CK2589" s="1107"/>
      <c r="CL2589" s="22"/>
      <c r="CM2589" s="22"/>
      <c r="CN2589" s="1107"/>
      <c r="CR2589" s="223"/>
      <c r="CS2589" s="952"/>
      <c r="CT2589" s="1066"/>
      <c r="CU2589" s="972"/>
      <c r="CV2589" s="983"/>
      <c r="CW2589" s="222"/>
      <c r="CX2589" s="697"/>
      <c r="DC2589" s="222"/>
      <c r="DJ2589" s="889"/>
      <c r="DM2589" s="890"/>
      <c r="DN2589" s="952"/>
      <c r="DO2589" s="75"/>
      <c r="DP2589" s="962"/>
      <c r="DQ2589" s="983"/>
      <c r="DV2589" s="889"/>
    </row>
    <row r="2590" spans="1:126" s="74" customFormat="1">
      <c r="A2590" s="15"/>
      <c r="B2590" s="15"/>
      <c r="C2590" s="15"/>
      <c r="D2590" s="15"/>
      <c r="E2590" s="6"/>
      <c r="F2590" s="6"/>
      <c r="G2590" s="6"/>
      <c r="K2590" s="222"/>
      <c r="V2590" s="1430"/>
      <c r="AA2590" s="223"/>
      <c r="AC2590" s="889"/>
      <c r="AF2590" s="890"/>
      <c r="AJ2590" s="889"/>
      <c r="AN2590" s="222"/>
      <c r="BC2590" s="223"/>
      <c r="BD2590" s="222"/>
      <c r="BH2590" s="611"/>
      <c r="BJ2590" s="15"/>
      <c r="BK2590" s="15"/>
      <c r="BO2590" s="223"/>
      <c r="BQ2590" s="889"/>
      <c r="BT2590" s="890"/>
      <c r="BX2590" s="889"/>
      <c r="CB2590" s="15"/>
      <c r="CC2590" s="697"/>
      <c r="CD2590" s="1086"/>
      <c r="CE2590" s="15"/>
      <c r="CF2590" s="15"/>
      <c r="CG2590" s="936"/>
      <c r="CH2590" s="15"/>
      <c r="CI2590" s="15"/>
      <c r="CJ2590" s="15"/>
      <c r="CK2590" s="1107"/>
      <c r="CL2590" s="22"/>
      <c r="CM2590" s="22"/>
      <c r="CN2590" s="1107"/>
      <c r="CR2590" s="223"/>
      <c r="CS2590" s="952"/>
      <c r="CT2590" s="1066"/>
      <c r="CU2590" s="972"/>
      <c r="CV2590" s="983"/>
      <c r="CW2590" s="222"/>
      <c r="CX2590" s="697"/>
      <c r="DC2590" s="222"/>
      <c r="DJ2590" s="889"/>
      <c r="DM2590" s="890"/>
      <c r="DN2590" s="952"/>
      <c r="DO2590" s="75"/>
      <c r="DP2590" s="962"/>
      <c r="DQ2590" s="983"/>
      <c r="DV2590" s="889"/>
    </row>
    <row r="2591" spans="1:126" s="74" customFormat="1">
      <c r="A2591" s="15"/>
      <c r="B2591" s="15"/>
      <c r="C2591" s="15"/>
      <c r="D2591" s="15"/>
      <c r="E2591" s="6"/>
      <c r="F2591" s="6"/>
      <c r="G2591" s="6"/>
      <c r="K2591" s="222"/>
      <c r="V2591" s="1430"/>
      <c r="AA2591" s="223"/>
      <c r="AC2591" s="889"/>
      <c r="AF2591" s="890"/>
      <c r="AJ2591" s="889"/>
      <c r="AN2591" s="222"/>
      <c r="BC2591" s="223"/>
      <c r="BD2591" s="222"/>
      <c r="BH2591" s="611"/>
      <c r="BJ2591" s="15"/>
      <c r="BK2591" s="15"/>
      <c r="BO2591" s="223"/>
      <c r="BQ2591" s="889"/>
      <c r="BT2591" s="890"/>
      <c r="BX2591" s="889"/>
      <c r="CB2591" s="15"/>
      <c r="CC2591" s="697"/>
      <c r="CD2591" s="1086"/>
      <c r="CE2591" s="15"/>
      <c r="CF2591" s="15"/>
      <c r="CG2591" s="936"/>
      <c r="CH2591" s="15"/>
      <c r="CI2591" s="15"/>
      <c r="CJ2591" s="15"/>
      <c r="CK2591" s="1107"/>
      <c r="CL2591" s="22"/>
      <c r="CM2591" s="22"/>
      <c r="CN2591" s="1107"/>
      <c r="CR2591" s="223"/>
      <c r="CS2591" s="952"/>
      <c r="CT2591" s="1066"/>
      <c r="CU2591" s="972"/>
      <c r="CV2591" s="983"/>
      <c r="CW2591" s="222"/>
      <c r="CX2591" s="697"/>
      <c r="DC2591" s="222"/>
      <c r="DJ2591" s="889"/>
      <c r="DM2591" s="890"/>
      <c r="DN2591" s="952"/>
      <c r="DO2591" s="75"/>
      <c r="DP2591" s="962"/>
      <c r="DQ2591" s="983"/>
      <c r="DV2591" s="889"/>
    </row>
    <row r="2592" spans="1:126" s="74" customFormat="1">
      <c r="A2592" s="15"/>
      <c r="B2592" s="15"/>
      <c r="C2592" s="15"/>
      <c r="D2592" s="15"/>
      <c r="E2592" s="6"/>
      <c r="F2592" s="6"/>
      <c r="G2592" s="6"/>
      <c r="K2592" s="222"/>
      <c r="V2592" s="1430"/>
      <c r="AA2592" s="223"/>
      <c r="AC2592" s="889"/>
      <c r="AF2592" s="890"/>
      <c r="AJ2592" s="889"/>
      <c r="AN2592" s="222"/>
      <c r="BC2592" s="223"/>
      <c r="BD2592" s="222"/>
      <c r="BH2592" s="611"/>
      <c r="BJ2592" s="15"/>
      <c r="BK2592" s="15"/>
      <c r="BO2592" s="223"/>
      <c r="BQ2592" s="889"/>
      <c r="BT2592" s="890"/>
      <c r="BX2592" s="889"/>
      <c r="CB2592" s="15"/>
      <c r="CC2592" s="697"/>
      <c r="CD2592" s="1086"/>
      <c r="CE2592" s="15"/>
      <c r="CF2592" s="15"/>
      <c r="CG2592" s="936"/>
      <c r="CH2592" s="15"/>
      <c r="CI2592" s="15"/>
      <c r="CJ2592" s="15"/>
      <c r="CK2592" s="1107"/>
      <c r="CL2592" s="22"/>
      <c r="CM2592" s="22"/>
      <c r="CN2592" s="1107"/>
      <c r="CR2592" s="223"/>
      <c r="CS2592" s="952"/>
      <c r="CT2592" s="1066"/>
      <c r="CU2592" s="972"/>
      <c r="CV2592" s="983"/>
      <c r="CW2592" s="222"/>
      <c r="CX2592" s="697"/>
      <c r="DC2592" s="222"/>
      <c r="DJ2592" s="889"/>
      <c r="DM2592" s="890"/>
      <c r="DN2592" s="952"/>
      <c r="DO2592" s="75"/>
      <c r="DP2592" s="962"/>
      <c r="DQ2592" s="983"/>
      <c r="DV2592" s="889"/>
    </row>
    <row r="2593" spans="1:126" s="74" customFormat="1">
      <c r="A2593" s="15"/>
      <c r="B2593" s="15"/>
      <c r="C2593" s="15"/>
      <c r="D2593" s="15"/>
      <c r="E2593" s="6"/>
      <c r="F2593" s="6"/>
      <c r="G2593" s="6"/>
      <c r="K2593" s="222"/>
      <c r="V2593" s="1430"/>
      <c r="AA2593" s="223"/>
      <c r="AC2593" s="889"/>
      <c r="AF2593" s="890"/>
      <c r="AJ2593" s="889"/>
      <c r="AN2593" s="222"/>
      <c r="BC2593" s="223"/>
      <c r="BD2593" s="222"/>
      <c r="BH2593" s="611"/>
      <c r="BJ2593" s="15"/>
      <c r="BK2593" s="15"/>
      <c r="BO2593" s="223"/>
      <c r="BQ2593" s="889"/>
      <c r="BT2593" s="890"/>
      <c r="BX2593" s="889"/>
      <c r="CB2593" s="15"/>
      <c r="CC2593" s="697"/>
      <c r="CD2593" s="1086"/>
      <c r="CE2593" s="15"/>
      <c r="CF2593" s="15"/>
      <c r="CG2593" s="936"/>
      <c r="CH2593" s="15"/>
      <c r="CI2593" s="15"/>
      <c r="CJ2593" s="15"/>
      <c r="CK2593" s="1107"/>
      <c r="CL2593" s="22"/>
      <c r="CM2593" s="22"/>
      <c r="CN2593" s="1107"/>
      <c r="CR2593" s="223"/>
      <c r="CS2593" s="952"/>
      <c r="CT2593" s="1066"/>
      <c r="CU2593" s="972"/>
      <c r="CV2593" s="983"/>
      <c r="CW2593" s="222"/>
      <c r="CX2593" s="697"/>
      <c r="DC2593" s="222"/>
      <c r="DJ2593" s="889"/>
      <c r="DM2593" s="890"/>
      <c r="DN2593" s="952"/>
      <c r="DO2593" s="75"/>
      <c r="DP2593" s="962"/>
      <c r="DQ2593" s="983"/>
      <c r="DV2593" s="889"/>
    </row>
    <row r="2594" spans="1:126" s="74" customFormat="1">
      <c r="A2594" s="15"/>
      <c r="B2594" s="15"/>
      <c r="C2594" s="15"/>
      <c r="D2594" s="15"/>
      <c r="E2594" s="6"/>
      <c r="F2594" s="6"/>
      <c r="G2594" s="6"/>
      <c r="K2594" s="222"/>
      <c r="V2594" s="1430"/>
      <c r="AA2594" s="223"/>
      <c r="AC2594" s="889"/>
      <c r="AF2594" s="890"/>
      <c r="AJ2594" s="889"/>
      <c r="AN2594" s="222"/>
      <c r="BC2594" s="223"/>
      <c r="BD2594" s="222"/>
      <c r="BH2594" s="611"/>
      <c r="BJ2594" s="15"/>
      <c r="BK2594" s="15"/>
      <c r="BO2594" s="223"/>
      <c r="BQ2594" s="889"/>
      <c r="BT2594" s="890"/>
      <c r="BX2594" s="889"/>
      <c r="CB2594" s="15"/>
      <c r="CC2594" s="697"/>
      <c r="CD2594" s="1086"/>
      <c r="CE2594" s="15"/>
      <c r="CF2594" s="15"/>
      <c r="CG2594" s="936"/>
      <c r="CH2594" s="15"/>
      <c r="CI2594" s="15"/>
      <c r="CJ2594" s="15"/>
      <c r="CK2594" s="1107"/>
      <c r="CL2594" s="22"/>
      <c r="CM2594" s="22"/>
      <c r="CN2594" s="1107"/>
      <c r="CR2594" s="223"/>
      <c r="CS2594" s="952"/>
      <c r="CT2594" s="1066"/>
      <c r="CU2594" s="972"/>
      <c r="CV2594" s="983"/>
      <c r="CW2594" s="222"/>
      <c r="CX2594" s="697"/>
      <c r="DC2594" s="222"/>
      <c r="DJ2594" s="889"/>
      <c r="DM2594" s="890"/>
      <c r="DN2594" s="952"/>
      <c r="DO2594" s="75"/>
      <c r="DP2594" s="962"/>
      <c r="DQ2594" s="983"/>
      <c r="DV2594" s="889"/>
    </row>
    <row r="2595" spans="1:126" s="74" customFormat="1">
      <c r="A2595" s="15"/>
      <c r="B2595" s="15"/>
      <c r="C2595" s="15"/>
      <c r="D2595" s="15"/>
      <c r="E2595" s="6"/>
      <c r="F2595" s="6"/>
      <c r="G2595" s="6"/>
      <c r="K2595" s="222"/>
      <c r="V2595" s="1430"/>
      <c r="AA2595" s="223"/>
      <c r="AC2595" s="889"/>
      <c r="AF2595" s="890"/>
      <c r="AJ2595" s="889"/>
      <c r="AN2595" s="222"/>
      <c r="BC2595" s="223"/>
      <c r="BD2595" s="222"/>
      <c r="BH2595" s="611"/>
      <c r="BJ2595" s="15"/>
      <c r="BK2595" s="15"/>
      <c r="BO2595" s="223"/>
      <c r="BQ2595" s="889"/>
      <c r="BT2595" s="890"/>
      <c r="BX2595" s="889"/>
      <c r="CB2595" s="15"/>
      <c r="CC2595" s="697"/>
      <c r="CD2595" s="1086"/>
      <c r="CE2595" s="15"/>
      <c r="CF2595" s="15"/>
      <c r="CG2595" s="936"/>
      <c r="CH2595" s="15"/>
      <c r="CI2595" s="15"/>
      <c r="CJ2595" s="15"/>
      <c r="CK2595" s="1107"/>
      <c r="CL2595" s="22"/>
      <c r="CM2595" s="22"/>
      <c r="CN2595" s="1107"/>
      <c r="CR2595" s="223"/>
      <c r="CS2595" s="952"/>
      <c r="CT2595" s="1066"/>
      <c r="CU2595" s="972"/>
      <c r="CV2595" s="983"/>
      <c r="CW2595" s="222"/>
      <c r="CX2595" s="697"/>
      <c r="DC2595" s="222"/>
      <c r="DJ2595" s="889"/>
      <c r="DM2595" s="890"/>
      <c r="DN2595" s="952"/>
      <c r="DO2595" s="75"/>
      <c r="DP2595" s="962"/>
      <c r="DQ2595" s="983"/>
      <c r="DV2595" s="889"/>
    </row>
    <row r="2596" spans="1:126" s="74" customFormat="1">
      <c r="A2596" s="15"/>
      <c r="B2596" s="15"/>
      <c r="C2596" s="15"/>
      <c r="D2596" s="15"/>
      <c r="E2596" s="6"/>
      <c r="F2596" s="6"/>
      <c r="G2596" s="6"/>
      <c r="K2596" s="222"/>
      <c r="V2596" s="1430"/>
      <c r="AA2596" s="223"/>
      <c r="AC2596" s="889"/>
      <c r="AF2596" s="890"/>
      <c r="AJ2596" s="889"/>
      <c r="AN2596" s="222"/>
      <c r="BC2596" s="223"/>
      <c r="BD2596" s="222"/>
      <c r="BH2596" s="611"/>
      <c r="BJ2596" s="15"/>
      <c r="BK2596" s="15"/>
      <c r="BO2596" s="223"/>
      <c r="BQ2596" s="889"/>
      <c r="BT2596" s="890"/>
      <c r="BX2596" s="889"/>
      <c r="CB2596" s="15"/>
      <c r="CC2596" s="697"/>
      <c r="CD2596" s="1086"/>
      <c r="CE2596" s="15"/>
      <c r="CF2596" s="15"/>
      <c r="CG2596" s="936"/>
      <c r="CH2596" s="15"/>
      <c r="CI2596" s="15"/>
      <c r="CJ2596" s="15"/>
      <c r="CK2596" s="1107"/>
      <c r="CL2596" s="22"/>
      <c r="CM2596" s="22"/>
      <c r="CN2596" s="1107"/>
      <c r="CR2596" s="223"/>
      <c r="CS2596" s="952"/>
      <c r="CT2596" s="1066"/>
      <c r="CU2596" s="972"/>
      <c r="CV2596" s="983"/>
      <c r="CW2596" s="222"/>
      <c r="CX2596" s="697"/>
      <c r="DC2596" s="222"/>
      <c r="DJ2596" s="889"/>
      <c r="DM2596" s="890"/>
      <c r="DN2596" s="952"/>
      <c r="DO2596" s="75"/>
      <c r="DP2596" s="962"/>
      <c r="DQ2596" s="983"/>
      <c r="DV2596" s="889"/>
    </row>
    <row r="2597" spans="1:126" s="74" customFormat="1">
      <c r="A2597" s="15"/>
      <c r="B2597" s="15"/>
      <c r="C2597" s="15"/>
      <c r="D2597" s="15"/>
      <c r="E2597" s="6"/>
      <c r="F2597" s="6"/>
      <c r="G2597" s="6"/>
      <c r="K2597" s="222"/>
      <c r="V2597" s="1430"/>
      <c r="AA2597" s="223"/>
      <c r="AC2597" s="889"/>
      <c r="AF2597" s="890"/>
      <c r="AJ2597" s="889"/>
      <c r="AN2597" s="222"/>
      <c r="BC2597" s="223"/>
      <c r="BD2597" s="222"/>
      <c r="BH2597" s="611"/>
      <c r="BJ2597" s="15"/>
      <c r="BK2597" s="15"/>
      <c r="BO2597" s="223"/>
      <c r="BQ2597" s="889"/>
      <c r="BT2597" s="890"/>
      <c r="BX2597" s="889"/>
      <c r="CB2597" s="15"/>
      <c r="CC2597" s="697"/>
      <c r="CD2597" s="1086"/>
      <c r="CE2597" s="15"/>
      <c r="CF2597" s="15"/>
      <c r="CG2597" s="936"/>
      <c r="CH2597" s="15"/>
      <c r="CI2597" s="15"/>
      <c r="CJ2597" s="15"/>
      <c r="CK2597" s="1107"/>
      <c r="CL2597" s="22"/>
      <c r="CM2597" s="22"/>
      <c r="CN2597" s="1107"/>
      <c r="CR2597" s="223"/>
      <c r="CS2597" s="952"/>
      <c r="CT2597" s="1066"/>
      <c r="CU2597" s="972"/>
      <c r="CV2597" s="983"/>
      <c r="CW2597" s="222"/>
      <c r="CX2597" s="697"/>
      <c r="DC2597" s="222"/>
      <c r="DJ2597" s="889"/>
      <c r="DM2597" s="890"/>
      <c r="DN2597" s="952"/>
      <c r="DO2597" s="75"/>
      <c r="DP2597" s="962"/>
      <c r="DQ2597" s="983"/>
      <c r="DV2597" s="889"/>
    </row>
    <row r="2598" spans="1:126" s="74" customFormat="1">
      <c r="A2598" s="15"/>
      <c r="B2598" s="15"/>
      <c r="C2598" s="15"/>
      <c r="D2598" s="15"/>
      <c r="E2598" s="6"/>
      <c r="F2598" s="6"/>
      <c r="G2598" s="6"/>
      <c r="K2598" s="222"/>
      <c r="V2598" s="1430"/>
      <c r="AA2598" s="223"/>
      <c r="AC2598" s="889"/>
      <c r="AF2598" s="890"/>
      <c r="AJ2598" s="889"/>
      <c r="AN2598" s="222"/>
      <c r="BC2598" s="223"/>
      <c r="BD2598" s="222"/>
      <c r="BH2598" s="611"/>
      <c r="BJ2598" s="15"/>
      <c r="BK2598" s="15"/>
      <c r="BO2598" s="223"/>
      <c r="BQ2598" s="889"/>
      <c r="BT2598" s="890"/>
      <c r="BX2598" s="889"/>
      <c r="CB2598" s="15"/>
      <c r="CC2598" s="697"/>
      <c r="CD2598" s="1086"/>
      <c r="CE2598" s="15"/>
      <c r="CF2598" s="15"/>
      <c r="CG2598" s="936"/>
      <c r="CH2598" s="15"/>
      <c r="CI2598" s="15"/>
      <c r="CJ2598" s="15"/>
      <c r="CK2598" s="1107"/>
      <c r="CL2598" s="22"/>
      <c r="CM2598" s="22"/>
      <c r="CN2598" s="1107"/>
      <c r="CR2598" s="223"/>
      <c r="CS2598" s="952"/>
      <c r="CT2598" s="1066"/>
      <c r="CU2598" s="972"/>
      <c r="CV2598" s="983"/>
      <c r="CW2598" s="222"/>
      <c r="CX2598" s="697"/>
      <c r="DC2598" s="222"/>
      <c r="DJ2598" s="889"/>
      <c r="DM2598" s="890"/>
      <c r="DN2598" s="952"/>
      <c r="DO2598" s="75"/>
      <c r="DP2598" s="962"/>
      <c r="DQ2598" s="983"/>
      <c r="DV2598" s="889"/>
    </row>
    <row r="2599" spans="1:126" s="74" customFormat="1">
      <c r="A2599" s="15"/>
      <c r="B2599" s="15"/>
      <c r="C2599" s="15"/>
      <c r="D2599" s="15"/>
      <c r="E2599" s="6"/>
      <c r="F2599" s="6"/>
      <c r="G2599" s="6"/>
      <c r="K2599" s="222"/>
      <c r="V2599" s="1430"/>
      <c r="AA2599" s="223"/>
      <c r="AC2599" s="889"/>
      <c r="AF2599" s="890"/>
      <c r="AJ2599" s="889"/>
      <c r="AN2599" s="222"/>
      <c r="BC2599" s="223"/>
      <c r="BD2599" s="222"/>
      <c r="BH2599" s="611"/>
      <c r="BJ2599" s="15"/>
      <c r="BK2599" s="15"/>
      <c r="BO2599" s="223"/>
      <c r="BQ2599" s="889"/>
      <c r="BT2599" s="890"/>
      <c r="BX2599" s="889"/>
      <c r="CB2599" s="15"/>
      <c r="CC2599" s="697"/>
      <c r="CD2599" s="1086"/>
      <c r="CE2599" s="15"/>
      <c r="CF2599" s="15"/>
      <c r="CG2599" s="936"/>
      <c r="CH2599" s="15"/>
      <c r="CI2599" s="15"/>
      <c r="CJ2599" s="15"/>
      <c r="CK2599" s="1107"/>
      <c r="CL2599" s="22"/>
      <c r="CM2599" s="22"/>
      <c r="CN2599" s="1107"/>
      <c r="CR2599" s="223"/>
      <c r="CS2599" s="952"/>
      <c r="CT2599" s="1066"/>
      <c r="CU2599" s="972"/>
      <c r="CV2599" s="983"/>
      <c r="CW2599" s="222"/>
      <c r="CX2599" s="697"/>
      <c r="DC2599" s="222"/>
      <c r="DJ2599" s="889"/>
      <c r="DM2599" s="890"/>
      <c r="DN2599" s="952"/>
      <c r="DO2599" s="75"/>
      <c r="DP2599" s="962"/>
      <c r="DQ2599" s="983"/>
      <c r="DV2599" s="889"/>
    </row>
    <row r="2600" spans="1:126" s="74" customFormat="1">
      <c r="A2600" s="15"/>
      <c r="B2600" s="15"/>
      <c r="C2600" s="15"/>
      <c r="D2600" s="15"/>
      <c r="E2600" s="6"/>
      <c r="F2600" s="6"/>
      <c r="G2600" s="6"/>
      <c r="K2600" s="222"/>
      <c r="V2600" s="1430"/>
      <c r="AA2600" s="223"/>
      <c r="AC2600" s="889"/>
      <c r="AF2600" s="890"/>
      <c r="AJ2600" s="889"/>
      <c r="AN2600" s="222"/>
      <c r="BC2600" s="223"/>
      <c r="BD2600" s="222"/>
      <c r="BH2600" s="611"/>
      <c r="BJ2600" s="15"/>
      <c r="BK2600" s="15"/>
      <c r="BO2600" s="223"/>
      <c r="BQ2600" s="889"/>
      <c r="BT2600" s="890"/>
      <c r="BX2600" s="889"/>
      <c r="CB2600" s="15"/>
      <c r="CC2600" s="697"/>
      <c r="CD2600" s="1086"/>
      <c r="CE2600" s="15"/>
      <c r="CF2600" s="15"/>
      <c r="CG2600" s="936"/>
      <c r="CH2600" s="15"/>
      <c r="CI2600" s="15"/>
      <c r="CJ2600" s="15"/>
      <c r="CK2600" s="1107"/>
      <c r="CL2600" s="22"/>
      <c r="CM2600" s="22"/>
      <c r="CN2600" s="1107"/>
      <c r="CR2600" s="223"/>
      <c r="CS2600" s="952"/>
      <c r="CT2600" s="1066"/>
      <c r="CU2600" s="972"/>
      <c r="CV2600" s="983"/>
      <c r="CW2600" s="222"/>
      <c r="CX2600" s="697"/>
      <c r="DC2600" s="222"/>
      <c r="DJ2600" s="889"/>
      <c r="DM2600" s="890"/>
      <c r="DN2600" s="952"/>
      <c r="DO2600" s="75"/>
      <c r="DP2600" s="962"/>
      <c r="DQ2600" s="983"/>
      <c r="DV2600" s="889"/>
    </row>
    <row r="2601" spans="1:126" s="74" customFormat="1">
      <c r="A2601" s="15"/>
      <c r="B2601" s="15"/>
      <c r="C2601" s="15"/>
      <c r="D2601" s="15"/>
      <c r="E2601" s="6"/>
      <c r="F2601" s="6"/>
      <c r="G2601" s="6"/>
      <c r="K2601" s="222"/>
      <c r="V2601" s="1430"/>
      <c r="AA2601" s="223"/>
      <c r="AC2601" s="889"/>
      <c r="AF2601" s="890"/>
      <c r="AJ2601" s="889"/>
      <c r="AN2601" s="222"/>
      <c r="BC2601" s="223"/>
      <c r="BD2601" s="222"/>
      <c r="BH2601" s="611"/>
      <c r="BJ2601" s="15"/>
      <c r="BK2601" s="15"/>
      <c r="BO2601" s="223"/>
      <c r="BQ2601" s="889"/>
      <c r="BT2601" s="890"/>
      <c r="BX2601" s="889"/>
      <c r="CB2601" s="15"/>
      <c r="CC2601" s="697"/>
      <c r="CD2601" s="1086"/>
      <c r="CE2601" s="15"/>
      <c r="CF2601" s="15"/>
      <c r="CG2601" s="936"/>
      <c r="CH2601" s="15"/>
      <c r="CI2601" s="15"/>
      <c r="CJ2601" s="15"/>
      <c r="CK2601" s="1107"/>
      <c r="CL2601" s="22"/>
      <c r="CM2601" s="22"/>
      <c r="CN2601" s="1107"/>
      <c r="CR2601" s="223"/>
      <c r="CS2601" s="952"/>
      <c r="CT2601" s="1066"/>
      <c r="CU2601" s="972"/>
      <c r="CV2601" s="983"/>
      <c r="CW2601" s="222"/>
      <c r="CX2601" s="697"/>
      <c r="DC2601" s="222"/>
      <c r="DJ2601" s="889"/>
      <c r="DM2601" s="890"/>
      <c r="DN2601" s="952"/>
      <c r="DO2601" s="75"/>
      <c r="DP2601" s="962"/>
      <c r="DQ2601" s="983"/>
      <c r="DV2601" s="889"/>
    </row>
    <row r="2602" spans="1:126" s="74" customFormat="1">
      <c r="A2602" s="15"/>
      <c r="B2602" s="15"/>
      <c r="C2602" s="15"/>
      <c r="D2602" s="15"/>
      <c r="E2602" s="6"/>
      <c r="F2602" s="6"/>
      <c r="G2602" s="6"/>
      <c r="K2602" s="222"/>
      <c r="V2602" s="1430"/>
      <c r="AA2602" s="223"/>
      <c r="AC2602" s="889"/>
      <c r="AF2602" s="890"/>
      <c r="AJ2602" s="889"/>
      <c r="AN2602" s="222"/>
      <c r="BC2602" s="223"/>
      <c r="BD2602" s="222"/>
      <c r="BH2602" s="611"/>
      <c r="BJ2602" s="15"/>
      <c r="BK2602" s="15"/>
      <c r="BO2602" s="223"/>
      <c r="BQ2602" s="889"/>
      <c r="BT2602" s="890"/>
      <c r="BX2602" s="889"/>
      <c r="CB2602" s="15"/>
      <c r="CC2602" s="697"/>
      <c r="CD2602" s="1086"/>
      <c r="CE2602" s="15"/>
      <c r="CF2602" s="15"/>
      <c r="CG2602" s="936"/>
      <c r="CH2602" s="15"/>
      <c r="CI2602" s="15"/>
      <c r="CJ2602" s="15"/>
      <c r="CK2602" s="1107"/>
      <c r="CL2602" s="22"/>
      <c r="CM2602" s="22"/>
      <c r="CN2602" s="1107"/>
      <c r="CR2602" s="223"/>
      <c r="CS2602" s="952"/>
      <c r="CT2602" s="1066"/>
      <c r="CU2602" s="972"/>
      <c r="CV2602" s="983"/>
      <c r="CW2602" s="222"/>
      <c r="CX2602" s="697"/>
      <c r="DC2602" s="222"/>
      <c r="DJ2602" s="889"/>
      <c r="DM2602" s="890"/>
      <c r="DN2602" s="952"/>
      <c r="DO2602" s="75"/>
      <c r="DP2602" s="962"/>
      <c r="DQ2602" s="983"/>
      <c r="DV2602" s="889"/>
    </row>
    <row r="2603" spans="1:126" s="74" customFormat="1">
      <c r="A2603" s="15"/>
      <c r="B2603" s="15"/>
      <c r="C2603" s="15"/>
      <c r="D2603" s="15"/>
      <c r="E2603" s="6"/>
      <c r="F2603" s="6"/>
      <c r="G2603" s="6"/>
      <c r="K2603" s="222"/>
      <c r="V2603" s="1430"/>
      <c r="AA2603" s="223"/>
      <c r="AC2603" s="889"/>
      <c r="AF2603" s="890"/>
      <c r="AJ2603" s="889"/>
      <c r="AN2603" s="222"/>
      <c r="BC2603" s="223"/>
      <c r="BD2603" s="222"/>
      <c r="BH2603" s="611"/>
      <c r="BJ2603" s="15"/>
      <c r="BK2603" s="15"/>
      <c r="BO2603" s="223"/>
      <c r="BQ2603" s="889"/>
      <c r="BT2603" s="890"/>
      <c r="BX2603" s="889"/>
      <c r="CB2603" s="15"/>
      <c r="CC2603" s="697"/>
      <c r="CD2603" s="1086"/>
      <c r="CE2603" s="15"/>
      <c r="CF2603" s="15"/>
      <c r="CG2603" s="936"/>
      <c r="CH2603" s="15"/>
      <c r="CI2603" s="15"/>
      <c r="CJ2603" s="15"/>
      <c r="CK2603" s="1107"/>
      <c r="CL2603" s="22"/>
      <c r="CM2603" s="22"/>
      <c r="CN2603" s="1107"/>
      <c r="CR2603" s="223"/>
      <c r="CS2603" s="952"/>
      <c r="CT2603" s="1066"/>
      <c r="CU2603" s="972"/>
      <c r="CV2603" s="983"/>
      <c r="CW2603" s="222"/>
      <c r="CX2603" s="697"/>
      <c r="DC2603" s="222"/>
      <c r="DJ2603" s="889"/>
      <c r="DM2603" s="890"/>
      <c r="DN2603" s="952"/>
      <c r="DO2603" s="75"/>
      <c r="DP2603" s="962"/>
      <c r="DQ2603" s="983"/>
      <c r="DV2603" s="889"/>
    </row>
    <row r="2604" spans="1:126" s="74" customFormat="1">
      <c r="A2604" s="15"/>
      <c r="B2604" s="15"/>
      <c r="C2604" s="15"/>
      <c r="D2604" s="15"/>
      <c r="E2604" s="6"/>
      <c r="F2604" s="6"/>
      <c r="G2604" s="6"/>
      <c r="K2604" s="222"/>
      <c r="V2604" s="1430"/>
      <c r="AA2604" s="223"/>
      <c r="AC2604" s="889"/>
      <c r="AF2604" s="890"/>
      <c r="AJ2604" s="889"/>
      <c r="AN2604" s="222"/>
      <c r="BC2604" s="223"/>
      <c r="BD2604" s="222"/>
      <c r="BH2604" s="611"/>
      <c r="BJ2604" s="15"/>
      <c r="BK2604" s="15"/>
      <c r="BO2604" s="223"/>
      <c r="BQ2604" s="889"/>
      <c r="BT2604" s="890"/>
      <c r="BX2604" s="889"/>
      <c r="CB2604" s="15"/>
      <c r="CC2604" s="697"/>
      <c r="CD2604" s="1086"/>
      <c r="CE2604" s="15"/>
      <c r="CF2604" s="15"/>
      <c r="CG2604" s="936"/>
      <c r="CH2604" s="15"/>
      <c r="CI2604" s="15"/>
      <c r="CJ2604" s="15"/>
      <c r="CK2604" s="1107"/>
      <c r="CL2604" s="22"/>
      <c r="CM2604" s="22"/>
      <c r="CN2604" s="1107"/>
      <c r="CR2604" s="223"/>
      <c r="CS2604" s="952"/>
      <c r="CT2604" s="1066"/>
      <c r="CU2604" s="972"/>
      <c r="CV2604" s="983"/>
      <c r="CW2604" s="222"/>
      <c r="CX2604" s="697"/>
      <c r="DC2604" s="222"/>
      <c r="DJ2604" s="889"/>
      <c r="DM2604" s="890"/>
      <c r="DN2604" s="952"/>
      <c r="DO2604" s="75"/>
      <c r="DP2604" s="962"/>
      <c r="DQ2604" s="983"/>
      <c r="DV2604" s="889"/>
    </row>
    <row r="2605" spans="1:126" s="74" customFormat="1">
      <c r="A2605" s="15"/>
      <c r="B2605" s="15"/>
      <c r="C2605" s="15"/>
      <c r="D2605" s="15"/>
      <c r="E2605" s="6"/>
      <c r="F2605" s="6"/>
      <c r="G2605" s="6"/>
      <c r="K2605" s="222"/>
      <c r="V2605" s="1430"/>
      <c r="AA2605" s="223"/>
      <c r="AC2605" s="889"/>
      <c r="AF2605" s="890"/>
      <c r="AJ2605" s="889"/>
      <c r="AN2605" s="222"/>
      <c r="BC2605" s="223"/>
      <c r="BD2605" s="222"/>
      <c r="BH2605" s="611"/>
      <c r="BJ2605" s="15"/>
      <c r="BK2605" s="15"/>
      <c r="BO2605" s="223"/>
      <c r="BQ2605" s="889"/>
      <c r="BT2605" s="890"/>
      <c r="BX2605" s="889"/>
      <c r="CB2605" s="15"/>
      <c r="CC2605" s="697"/>
      <c r="CD2605" s="1086"/>
      <c r="CE2605" s="15"/>
      <c r="CF2605" s="15"/>
      <c r="CG2605" s="936"/>
      <c r="CH2605" s="15"/>
      <c r="CI2605" s="15"/>
      <c r="CJ2605" s="15"/>
      <c r="CK2605" s="1107"/>
      <c r="CL2605" s="22"/>
      <c r="CM2605" s="22"/>
      <c r="CN2605" s="1107"/>
      <c r="CR2605" s="223"/>
      <c r="CS2605" s="952"/>
      <c r="CT2605" s="1066"/>
      <c r="CU2605" s="972"/>
      <c r="CV2605" s="983"/>
      <c r="CW2605" s="222"/>
      <c r="CX2605" s="697"/>
      <c r="DC2605" s="222"/>
      <c r="DJ2605" s="889"/>
      <c r="DM2605" s="890"/>
      <c r="DN2605" s="952"/>
      <c r="DO2605" s="75"/>
      <c r="DP2605" s="962"/>
      <c r="DQ2605" s="983"/>
      <c r="DV2605" s="889"/>
    </row>
    <row r="2606" spans="1:126" s="74" customFormat="1">
      <c r="A2606" s="15"/>
      <c r="B2606" s="15"/>
      <c r="C2606" s="15"/>
      <c r="D2606" s="15"/>
      <c r="E2606" s="6"/>
      <c r="F2606" s="6"/>
      <c r="G2606" s="6"/>
      <c r="K2606" s="222"/>
      <c r="V2606" s="1430"/>
      <c r="AA2606" s="223"/>
      <c r="AC2606" s="889"/>
      <c r="AF2606" s="890"/>
      <c r="AJ2606" s="889"/>
      <c r="AN2606" s="222"/>
      <c r="BC2606" s="223"/>
      <c r="BD2606" s="222"/>
      <c r="BH2606" s="611"/>
      <c r="BJ2606" s="15"/>
      <c r="BK2606" s="15"/>
      <c r="BO2606" s="223"/>
      <c r="BQ2606" s="889"/>
      <c r="BT2606" s="890"/>
      <c r="BX2606" s="889"/>
      <c r="CB2606" s="15"/>
      <c r="CC2606" s="697"/>
      <c r="CD2606" s="1086"/>
      <c r="CE2606" s="15"/>
      <c r="CF2606" s="15"/>
      <c r="CG2606" s="936"/>
      <c r="CH2606" s="15"/>
      <c r="CI2606" s="15"/>
      <c r="CJ2606" s="15"/>
      <c r="CK2606" s="1107"/>
      <c r="CL2606" s="22"/>
      <c r="CM2606" s="22"/>
      <c r="CN2606" s="1107"/>
      <c r="CR2606" s="223"/>
      <c r="CS2606" s="952"/>
      <c r="CT2606" s="1066"/>
      <c r="CU2606" s="972"/>
      <c r="CV2606" s="983"/>
      <c r="CW2606" s="222"/>
      <c r="CX2606" s="697"/>
      <c r="DC2606" s="222"/>
      <c r="DJ2606" s="889"/>
      <c r="DM2606" s="890"/>
      <c r="DN2606" s="952"/>
      <c r="DO2606" s="75"/>
      <c r="DP2606" s="962"/>
      <c r="DQ2606" s="983"/>
      <c r="DV2606" s="889"/>
    </row>
    <row r="2607" spans="1:126" s="74" customFormat="1">
      <c r="A2607" s="15"/>
      <c r="B2607" s="15"/>
      <c r="C2607" s="15"/>
      <c r="D2607" s="15"/>
      <c r="E2607" s="6"/>
      <c r="F2607" s="6"/>
      <c r="G2607" s="6"/>
      <c r="K2607" s="222"/>
      <c r="V2607" s="1430"/>
      <c r="AA2607" s="223"/>
      <c r="AC2607" s="889"/>
      <c r="AF2607" s="890"/>
      <c r="AJ2607" s="889"/>
      <c r="AN2607" s="222"/>
      <c r="BC2607" s="223"/>
      <c r="BD2607" s="222"/>
      <c r="BH2607" s="611"/>
      <c r="BJ2607" s="15"/>
      <c r="BK2607" s="15"/>
      <c r="BO2607" s="223"/>
      <c r="BQ2607" s="889"/>
      <c r="BT2607" s="890"/>
      <c r="BX2607" s="889"/>
      <c r="CB2607" s="15"/>
      <c r="CC2607" s="697"/>
      <c r="CD2607" s="1086"/>
      <c r="CE2607" s="15"/>
      <c r="CF2607" s="15"/>
      <c r="CG2607" s="936"/>
      <c r="CH2607" s="15"/>
      <c r="CI2607" s="15"/>
      <c r="CJ2607" s="15"/>
      <c r="CK2607" s="1107"/>
      <c r="CL2607" s="22"/>
      <c r="CM2607" s="22"/>
      <c r="CN2607" s="1107"/>
      <c r="CR2607" s="223"/>
      <c r="CS2607" s="952"/>
      <c r="CT2607" s="1066"/>
      <c r="CU2607" s="972"/>
      <c r="CV2607" s="983"/>
      <c r="CW2607" s="222"/>
      <c r="CX2607" s="697"/>
      <c r="DC2607" s="222"/>
      <c r="DJ2607" s="889"/>
      <c r="DM2607" s="890"/>
      <c r="DN2607" s="952"/>
      <c r="DO2607" s="75"/>
      <c r="DP2607" s="962"/>
      <c r="DQ2607" s="983"/>
      <c r="DV2607" s="889"/>
    </row>
    <row r="2608" spans="1:126" s="74" customFormat="1">
      <c r="A2608" s="15"/>
      <c r="B2608" s="15"/>
      <c r="C2608" s="15"/>
      <c r="D2608" s="15"/>
      <c r="E2608" s="6"/>
      <c r="F2608" s="6"/>
      <c r="G2608" s="6"/>
      <c r="K2608" s="222"/>
      <c r="V2608" s="1430"/>
      <c r="AA2608" s="223"/>
      <c r="AC2608" s="889"/>
      <c r="AF2608" s="890"/>
      <c r="AJ2608" s="889"/>
      <c r="AN2608" s="222"/>
      <c r="BC2608" s="223"/>
      <c r="BD2608" s="222"/>
      <c r="BH2608" s="611"/>
      <c r="BJ2608" s="15"/>
      <c r="BK2608" s="15"/>
      <c r="BO2608" s="223"/>
      <c r="BQ2608" s="889"/>
      <c r="BT2608" s="890"/>
      <c r="BX2608" s="889"/>
      <c r="CB2608" s="15"/>
      <c r="CC2608" s="697"/>
      <c r="CD2608" s="1086"/>
      <c r="CE2608" s="15"/>
      <c r="CF2608" s="15"/>
      <c r="CG2608" s="936"/>
      <c r="CH2608" s="15"/>
      <c r="CI2608" s="15"/>
      <c r="CJ2608" s="15"/>
      <c r="CK2608" s="1107"/>
      <c r="CL2608" s="22"/>
      <c r="CM2608" s="22"/>
      <c r="CN2608" s="1107"/>
      <c r="CR2608" s="223"/>
      <c r="CS2608" s="952"/>
      <c r="CT2608" s="1066"/>
      <c r="CU2608" s="972"/>
      <c r="CV2608" s="983"/>
      <c r="CW2608" s="222"/>
      <c r="CX2608" s="697"/>
      <c r="DC2608" s="222"/>
      <c r="DJ2608" s="889"/>
      <c r="DM2608" s="890"/>
      <c r="DN2608" s="952"/>
      <c r="DO2608" s="75"/>
      <c r="DP2608" s="962"/>
      <c r="DQ2608" s="983"/>
      <c r="DV2608" s="889"/>
    </row>
    <row r="2609" spans="1:126" s="74" customFormat="1">
      <c r="A2609" s="15"/>
      <c r="B2609" s="15"/>
      <c r="C2609" s="15"/>
      <c r="D2609" s="15"/>
      <c r="E2609" s="6"/>
      <c r="F2609" s="6"/>
      <c r="G2609" s="6"/>
      <c r="K2609" s="222"/>
      <c r="V2609" s="1430"/>
      <c r="AA2609" s="223"/>
      <c r="AC2609" s="889"/>
      <c r="AF2609" s="890"/>
      <c r="AJ2609" s="889"/>
      <c r="AN2609" s="222"/>
      <c r="BC2609" s="223"/>
      <c r="BD2609" s="222"/>
      <c r="BH2609" s="611"/>
      <c r="BJ2609" s="15"/>
      <c r="BK2609" s="15"/>
      <c r="BO2609" s="223"/>
      <c r="BQ2609" s="889"/>
      <c r="BT2609" s="890"/>
      <c r="BX2609" s="889"/>
      <c r="CB2609" s="15"/>
      <c r="CC2609" s="697"/>
      <c r="CD2609" s="1086"/>
      <c r="CE2609" s="15"/>
      <c r="CF2609" s="15"/>
      <c r="CG2609" s="936"/>
      <c r="CH2609" s="15"/>
      <c r="CI2609" s="15"/>
      <c r="CJ2609" s="15"/>
      <c r="CK2609" s="1107"/>
      <c r="CL2609" s="22"/>
      <c r="CM2609" s="22"/>
      <c r="CN2609" s="1107"/>
      <c r="CR2609" s="223"/>
      <c r="CS2609" s="952"/>
      <c r="CT2609" s="1066"/>
      <c r="CU2609" s="972"/>
      <c r="CV2609" s="983"/>
      <c r="CW2609" s="222"/>
      <c r="CX2609" s="697"/>
      <c r="DC2609" s="222"/>
      <c r="DJ2609" s="889"/>
      <c r="DM2609" s="890"/>
      <c r="DN2609" s="952"/>
      <c r="DO2609" s="75"/>
      <c r="DP2609" s="962"/>
      <c r="DQ2609" s="983"/>
      <c r="DV2609" s="889"/>
    </row>
    <row r="2610" spans="1:126" s="74" customFormat="1">
      <c r="A2610" s="15"/>
      <c r="B2610" s="15"/>
      <c r="C2610" s="15"/>
      <c r="D2610" s="15"/>
      <c r="E2610" s="6"/>
      <c r="F2610" s="6"/>
      <c r="G2610" s="6"/>
      <c r="K2610" s="222"/>
      <c r="V2610" s="1430"/>
      <c r="AA2610" s="223"/>
      <c r="AC2610" s="889"/>
      <c r="AF2610" s="890"/>
      <c r="AJ2610" s="889"/>
      <c r="AN2610" s="222"/>
      <c r="BC2610" s="223"/>
      <c r="BD2610" s="222"/>
      <c r="BH2610" s="611"/>
      <c r="BJ2610" s="15"/>
      <c r="BK2610" s="15"/>
      <c r="BO2610" s="223"/>
      <c r="BQ2610" s="889"/>
      <c r="BT2610" s="890"/>
      <c r="BX2610" s="889"/>
      <c r="CB2610" s="15"/>
      <c r="CC2610" s="697"/>
      <c r="CD2610" s="1086"/>
      <c r="CE2610" s="15"/>
      <c r="CF2610" s="15"/>
      <c r="CG2610" s="936"/>
      <c r="CH2610" s="15"/>
      <c r="CI2610" s="15"/>
      <c r="CJ2610" s="15"/>
      <c r="CK2610" s="1107"/>
      <c r="CL2610" s="22"/>
      <c r="CM2610" s="22"/>
      <c r="CN2610" s="1107"/>
      <c r="CR2610" s="223"/>
      <c r="CS2610" s="952"/>
      <c r="CT2610" s="1066"/>
      <c r="CU2610" s="972"/>
      <c r="CV2610" s="983"/>
      <c r="CW2610" s="222"/>
      <c r="CX2610" s="697"/>
      <c r="DC2610" s="222"/>
      <c r="DJ2610" s="889"/>
      <c r="DM2610" s="890"/>
      <c r="DN2610" s="952"/>
      <c r="DO2610" s="75"/>
      <c r="DP2610" s="962"/>
      <c r="DQ2610" s="983"/>
      <c r="DV2610" s="889"/>
    </row>
    <row r="2611" spans="1:126" s="74" customFormat="1">
      <c r="A2611" s="15"/>
      <c r="B2611" s="15"/>
      <c r="C2611" s="15"/>
      <c r="D2611" s="15"/>
      <c r="E2611" s="6"/>
      <c r="F2611" s="6"/>
      <c r="G2611" s="6"/>
      <c r="K2611" s="222"/>
      <c r="V2611" s="1430"/>
      <c r="AA2611" s="223"/>
      <c r="AC2611" s="889"/>
      <c r="AF2611" s="890"/>
      <c r="AJ2611" s="889"/>
      <c r="AN2611" s="222"/>
      <c r="BC2611" s="223"/>
      <c r="BD2611" s="222"/>
      <c r="BH2611" s="611"/>
      <c r="BJ2611" s="15"/>
      <c r="BK2611" s="15"/>
      <c r="BO2611" s="223"/>
      <c r="BQ2611" s="889"/>
      <c r="BT2611" s="890"/>
      <c r="BX2611" s="889"/>
      <c r="CB2611" s="15"/>
      <c r="CC2611" s="697"/>
      <c r="CD2611" s="1086"/>
      <c r="CE2611" s="15"/>
      <c r="CF2611" s="15"/>
      <c r="CG2611" s="936"/>
      <c r="CH2611" s="15"/>
      <c r="CI2611" s="15"/>
      <c r="CJ2611" s="15"/>
      <c r="CK2611" s="1107"/>
      <c r="CL2611" s="22"/>
      <c r="CM2611" s="22"/>
      <c r="CN2611" s="1107"/>
      <c r="CR2611" s="223"/>
      <c r="CS2611" s="952"/>
      <c r="CT2611" s="1066"/>
      <c r="CU2611" s="972"/>
      <c r="CV2611" s="983"/>
      <c r="CW2611" s="222"/>
      <c r="CX2611" s="697"/>
      <c r="DC2611" s="222"/>
      <c r="DJ2611" s="889"/>
      <c r="DM2611" s="890"/>
      <c r="DN2611" s="952"/>
      <c r="DO2611" s="75"/>
      <c r="DP2611" s="962"/>
      <c r="DQ2611" s="983"/>
      <c r="DV2611" s="889"/>
    </row>
    <row r="2612" spans="1:126" s="74" customFormat="1">
      <c r="A2612" s="15"/>
      <c r="B2612" s="15"/>
      <c r="C2612" s="15"/>
      <c r="D2612" s="15"/>
      <c r="E2612" s="6"/>
      <c r="F2612" s="6"/>
      <c r="G2612" s="6"/>
      <c r="K2612" s="222"/>
      <c r="V2612" s="1430"/>
      <c r="AA2612" s="223"/>
      <c r="AC2612" s="889"/>
      <c r="AF2612" s="890"/>
      <c r="AJ2612" s="889"/>
      <c r="AN2612" s="222"/>
      <c r="BC2612" s="223"/>
      <c r="BD2612" s="222"/>
      <c r="BH2612" s="611"/>
      <c r="BJ2612" s="15"/>
      <c r="BK2612" s="15"/>
      <c r="BO2612" s="223"/>
      <c r="BQ2612" s="889"/>
      <c r="BT2612" s="890"/>
      <c r="BX2612" s="889"/>
      <c r="CB2612" s="15"/>
      <c r="CC2612" s="697"/>
      <c r="CD2612" s="1086"/>
      <c r="CE2612" s="15"/>
      <c r="CF2612" s="15"/>
      <c r="CG2612" s="936"/>
      <c r="CH2612" s="15"/>
      <c r="CI2612" s="15"/>
      <c r="CJ2612" s="15"/>
      <c r="CK2612" s="1107"/>
      <c r="CL2612" s="22"/>
      <c r="CM2612" s="22"/>
      <c r="CN2612" s="1107"/>
      <c r="CR2612" s="223"/>
      <c r="CS2612" s="952"/>
      <c r="CT2612" s="1066"/>
      <c r="CU2612" s="972"/>
      <c r="CV2612" s="983"/>
      <c r="CW2612" s="222"/>
      <c r="CX2612" s="697"/>
      <c r="DC2612" s="222"/>
      <c r="DJ2612" s="889"/>
      <c r="DM2612" s="890"/>
      <c r="DN2612" s="952"/>
      <c r="DO2612" s="75"/>
      <c r="DP2612" s="962"/>
      <c r="DQ2612" s="983"/>
      <c r="DV2612" s="889"/>
    </row>
    <row r="2613" spans="1:126" s="74" customFormat="1">
      <c r="A2613" s="15"/>
      <c r="B2613" s="15"/>
      <c r="C2613" s="15"/>
      <c r="D2613" s="15"/>
      <c r="E2613" s="6"/>
      <c r="F2613" s="6"/>
      <c r="G2613" s="6"/>
      <c r="K2613" s="222"/>
      <c r="V2613" s="1430"/>
      <c r="AA2613" s="223"/>
      <c r="AC2613" s="889"/>
      <c r="AF2613" s="890"/>
      <c r="AJ2613" s="889"/>
      <c r="AN2613" s="222"/>
      <c r="BC2613" s="223"/>
      <c r="BD2613" s="222"/>
      <c r="BH2613" s="611"/>
      <c r="BJ2613" s="15"/>
      <c r="BK2613" s="15"/>
      <c r="BO2613" s="223"/>
      <c r="BQ2613" s="889"/>
      <c r="BT2613" s="890"/>
      <c r="BX2613" s="889"/>
      <c r="CB2613" s="15"/>
      <c r="CC2613" s="697"/>
      <c r="CD2613" s="1086"/>
      <c r="CE2613" s="15"/>
      <c r="CF2613" s="15"/>
      <c r="CG2613" s="936"/>
      <c r="CH2613" s="15"/>
      <c r="CI2613" s="15"/>
      <c r="CJ2613" s="15"/>
      <c r="CK2613" s="1107"/>
      <c r="CL2613" s="22"/>
      <c r="CM2613" s="22"/>
      <c r="CN2613" s="1107"/>
      <c r="CR2613" s="223"/>
      <c r="CS2613" s="952"/>
      <c r="CT2613" s="1066"/>
      <c r="CU2613" s="972"/>
      <c r="CV2613" s="983"/>
      <c r="CW2613" s="222"/>
      <c r="CX2613" s="697"/>
      <c r="DC2613" s="222"/>
      <c r="DJ2613" s="889"/>
      <c r="DM2613" s="890"/>
      <c r="DN2613" s="952"/>
      <c r="DO2613" s="75"/>
      <c r="DP2613" s="962"/>
      <c r="DQ2613" s="983"/>
      <c r="DV2613" s="889"/>
    </row>
    <row r="2614" spans="1:126" s="74" customFormat="1">
      <c r="A2614" s="15"/>
      <c r="B2614" s="15"/>
      <c r="C2614" s="15"/>
      <c r="D2614" s="15"/>
      <c r="E2614" s="6"/>
      <c r="F2614" s="6"/>
      <c r="G2614" s="6"/>
      <c r="K2614" s="222"/>
      <c r="V2614" s="1430"/>
      <c r="AA2614" s="223"/>
      <c r="AC2614" s="889"/>
      <c r="AF2614" s="890"/>
      <c r="AJ2614" s="889"/>
      <c r="AN2614" s="222"/>
      <c r="BC2614" s="223"/>
      <c r="BD2614" s="222"/>
      <c r="BH2614" s="611"/>
      <c r="BJ2614" s="15"/>
      <c r="BK2614" s="15"/>
      <c r="BO2614" s="223"/>
      <c r="BQ2614" s="889"/>
      <c r="BT2614" s="890"/>
      <c r="BX2614" s="889"/>
      <c r="CB2614" s="15"/>
      <c r="CC2614" s="697"/>
      <c r="CD2614" s="1086"/>
      <c r="CE2614" s="15"/>
      <c r="CF2614" s="15"/>
      <c r="CG2614" s="936"/>
      <c r="CH2614" s="15"/>
      <c r="CI2614" s="15"/>
      <c r="CJ2614" s="15"/>
      <c r="CK2614" s="1107"/>
      <c r="CL2614" s="22"/>
      <c r="CM2614" s="22"/>
      <c r="CN2614" s="1107"/>
      <c r="CR2614" s="223"/>
      <c r="CS2614" s="952"/>
      <c r="CT2614" s="1066"/>
      <c r="CU2614" s="972"/>
      <c r="CV2614" s="983"/>
      <c r="CW2614" s="222"/>
      <c r="CX2614" s="697"/>
      <c r="DC2614" s="222"/>
      <c r="DJ2614" s="889"/>
      <c r="DM2614" s="890"/>
      <c r="DN2614" s="952"/>
      <c r="DO2614" s="75"/>
      <c r="DP2614" s="962"/>
      <c r="DQ2614" s="983"/>
      <c r="DV2614" s="889"/>
    </row>
    <row r="2615" spans="1:126" s="74" customFormat="1">
      <c r="A2615" s="15"/>
      <c r="B2615" s="15"/>
      <c r="C2615" s="15"/>
      <c r="D2615" s="15"/>
      <c r="E2615" s="6"/>
      <c r="F2615" s="6"/>
      <c r="G2615" s="6"/>
      <c r="K2615" s="222"/>
      <c r="V2615" s="1430"/>
      <c r="AA2615" s="223"/>
      <c r="AC2615" s="889"/>
      <c r="AF2615" s="890"/>
      <c r="AJ2615" s="889"/>
      <c r="AN2615" s="222"/>
      <c r="BC2615" s="223"/>
      <c r="BD2615" s="222"/>
      <c r="BH2615" s="611"/>
      <c r="BJ2615" s="15"/>
      <c r="BK2615" s="15"/>
      <c r="BO2615" s="223"/>
      <c r="BQ2615" s="889"/>
      <c r="BT2615" s="890"/>
      <c r="BX2615" s="889"/>
      <c r="CB2615" s="15"/>
      <c r="CC2615" s="697"/>
      <c r="CD2615" s="1086"/>
      <c r="CE2615" s="15"/>
      <c r="CF2615" s="15"/>
      <c r="CG2615" s="936"/>
      <c r="CH2615" s="15"/>
      <c r="CI2615" s="15"/>
      <c r="CJ2615" s="15"/>
      <c r="CK2615" s="1107"/>
      <c r="CL2615" s="22"/>
      <c r="CM2615" s="22"/>
      <c r="CN2615" s="1107"/>
      <c r="CR2615" s="223"/>
      <c r="CS2615" s="952"/>
      <c r="CT2615" s="1066"/>
      <c r="CU2615" s="972"/>
      <c r="CV2615" s="983"/>
      <c r="CW2615" s="222"/>
      <c r="CX2615" s="697"/>
      <c r="DC2615" s="222"/>
      <c r="DJ2615" s="889"/>
      <c r="DM2615" s="890"/>
      <c r="DN2615" s="952"/>
      <c r="DO2615" s="75"/>
      <c r="DP2615" s="962"/>
      <c r="DQ2615" s="983"/>
      <c r="DV2615" s="889"/>
    </row>
    <row r="2616" spans="1:126" s="74" customFormat="1">
      <c r="A2616" s="15"/>
      <c r="B2616" s="15"/>
      <c r="C2616" s="15"/>
      <c r="D2616" s="15"/>
      <c r="E2616" s="6"/>
      <c r="F2616" s="6"/>
      <c r="G2616" s="6"/>
      <c r="K2616" s="222"/>
      <c r="V2616" s="1430"/>
      <c r="AA2616" s="223"/>
      <c r="AC2616" s="889"/>
      <c r="AF2616" s="890"/>
      <c r="AJ2616" s="889"/>
      <c r="AN2616" s="222"/>
      <c r="BC2616" s="223"/>
      <c r="BD2616" s="222"/>
      <c r="BH2616" s="611"/>
      <c r="BJ2616" s="15"/>
      <c r="BK2616" s="15"/>
      <c r="BO2616" s="223"/>
      <c r="BQ2616" s="889"/>
      <c r="BT2616" s="890"/>
      <c r="BX2616" s="889"/>
      <c r="CB2616" s="15"/>
      <c r="CC2616" s="697"/>
      <c r="CD2616" s="1086"/>
      <c r="CE2616" s="15"/>
      <c r="CF2616" s="15"/>
      <c r="CG2616" s="936"/>
      <c r="CH2616" s="15"/>
      <c r="CI2616" s="15"/>
      <c r="CJ2616" s="15"/>
      <c r="CK2616" s="1107"/>
      <c r="CL2616" s="22"/>
      <c r="CM2616" s="22"/>
      <c r="CN2616" s="1107"/>
      <c r="CR2616" s="223"/>
      <c r="CS2616" s="952"/>
      <c r="CT2616" s="1066"/>
      <c r="CU2616" s="972"/>
      <c r="CV2616" s="983"/>
      <c r="CW2616" s="222"/>
      <c r="CX2616" s="697"/>
      <c r="DC2616" s="222"/>
      <c r="DJ2616" s="889"/>
      <c r="DM2616" s="890"/>
      <c r="DN2616" s="952"/>
      <c r="DO2616" s="75"/>
      <c r="DP2616" s="962"/>
      <c r="DQ2616" s="983"/>
      <c r="DV2616" s="889"/>
    </row>
    <row r="2617" spans="1:126" s="74" customFormat="1">
      <c r="A2617" s="15"/>
      <c r="B2617" s="15"/>
      <c r="C2617" s="15"/>
      <c r="D2617" s="15"/>
      <c r="E2617" s="6"/>
      <c r="F2617" s="6"/>
      <c r="G2617" s="6"/>
      <c r="K2617" s="222"/>
      <c r="V2617" s="1430"/>
      <c r="AA2617" s="223"/>
      <c r="AC2617" s="889"/>
      <c r="AF2617" s="890"/>
      <c r="AJ2617" s="889"/>
      <c r="AN2617" s="222"/>
      <c r="BC2617" s="223"/>
      <c r="BD2617" s="222"/>
      <c r="BH2617" s="611"/>
      <c r="BJ2617" s="15"/>
      <c r="BK2617" s="15"/>
      <c r="BO2617" s="223"/>
      <c r="BQ2617" s="889"/>
      <c r="BT2617" s="890"/>
      <c r="BX2617" s="889"/>
      <c r="CB2617" s="15"/>
      <c r="CC2617" s="697"/>
      <c r="CD2617" s="1086"/>
      <c r="CE2617" s="15"/>
      <c r="CF2617" s="15"/>
      <c r="CG2617" s="936"/>
      <c r="CH2617" s="15"/>
      <c r="CI2617" s="15"/>
      <c r="CJ2617" s="15"/>
      <c r="CK2617" s="1107"/>
      <c r="CL2617" s="22"/>
      <c r="CM2617" s="22"/>
      <c r="CN2617" s="1107"/>
      <c r="CR2617" s="223"/>
      <c r="CS2617" s="952"/>
      <c r="CT2617" s="1066"/>
      <c r="CU2617" s="972"/>
      <c r="CV2617" s="983"/>
      <c r="CW2617" s="222"/>
      <c r="CX2617" s="697"/>
      <c r="DC2617" s="222"/>
      <c r="DJ2617" s="889"/>
      <c r="DM2617" s="890"/>
      <c r="DN2617" s="952"/>
      <c r="DO2617" s="75"/>
      <c r="DP2617" s="962"/>
      <c r="DQ2617" s="983"/>
      <c r="DV2617" s="889"/>
    </row>
    <row r="2618" spans="1:126" s="74" customFormat="1">
      <c r="A2618" s="15"/>
      <c r="B2618" s="15"/>
      <c r="C2618" s="15"/>
      <c r="D2618" s="15"/>
      <c r="E2618" s="6"/>
      <c r="F2618" s="6"/>
      <c r="G2618" s="6"/>
      <c r="K2618" s="222"/>
      <c r="V2618" s="1430"/>
      <c r="AA2618" s="223"/>
      <c r="AC2618" s="889"/>
      <c r="AF2618" s="890"/>
      <c r="AJ2618" s="889"/>
      <c r="AN2618" s="222"/>
      <c r="BC2618" s="223"/>
      <c r="BD2618" s="222"/>
      <c r="BH2618" s="611"/>
      <c r="BJ2618" s="15"/>
      <c r="BK2618" s="15"/>
      <c r="BO2618" s="223"/>
      <c r="BQ2618" s="889"/>
      <c r="BT2618" s="890"/>
      <c r="BX2618" s="889"/>
      <c r="CB2618" s="15"/>
      <c r="CC2618" s="697"/>
      <c r="CD2618" s="1086"/>
      <c r="CE2618" s="15"/>
      <c r="CF2618" s="15"/>
      <c r="CG2618" s="936"/>
      <c r="CH2618" s="15"/>
      <c r="CI2618" s="15"/>
      <c r="CJ2618" s="15"/>
      <c r="CK2618" s="1107"/>
      <c r="CL2618" s="22"/>
      <c r="CM2618" s="22"/>
      <c r="CN2618" s="1107"/>
      <c r="CR2618" s="223"/>
      <c r="CS2618" s="952"/>
      <c r="CT2618" s="1066"/>
      <c r="CU2618" s="972"/>
      <c r="CV2618" s="983"/>
      <c r="CW2618" s="222"/>
      <c r="CX2618" s="697"/>
      <c r="DC2618" s="222"/>
      <c r="DJ2618" s="889"/>
      <c r="DM2618" s="890"/>
      <c r="DN2618" s="952"/>
      <c r="DO2618" s="75"/>
      <c r="DP2618" s="962"/>
      <c r="DQ2618" s="983"/>
      <c r="DV2618" s="889"/>
    </row>
    <row r="2619" spans="1:126" s="74" customFormat="1">
      <c r="A2619" s="15"/>
      <c r="B2619" s="15"/>
      <c r="C2619" s="15"/>
      <c r="D2619" s="15"/>
      <c r="E2619" s="6"/>
      <c r="F2619" s="6"/>
      <c r="G2619" s="6"/>
      <c r="K2619" s="222"/>
      <c r="V2619" s="1430"/>
      <c r="AA2619" s="223"/>
      <c r="AC2619" s="889"/>
      <c r="AF2619" s="890"/>
      <c r="AJ2619" s="889"/>
      <c r="AN2619" s="222"/>
      <c r="BC2619" s="223"/>
      <c r="BD2619" s="222"/>
      <c r="BH2619" s="611"/>
      <c r="BJ2619" s="15"/>
      <c r="BK2619" s="15"/>
      <c r="BO2619" s="223"/>
      <c r="BQ2619" s="889"/>
      <c r="BT2619" s="890"/>
      <c r="BX2619" s="889"/>
      <c r="CB2619" s="15"/>
      <c r="CC2619" s="697"/>
      <c r="CD2619" s="1086"/>
      <c r="CE2619" s="15"/>
      <c r="CF2619" s="15"/>
      <c r="CG2619" s="936"/>
      <c r="CH2619" s="15"/>
      <c r="CI2619" s="15"/>
      <c r="CJ2619" s="15"/>
      <c r="CK2619" s="1107"/>
      <c r="CL2619" s="22"/>
      <c r="CM2619" s="22"/>
      <c r="CN2619" s="1107"/>
      <c r="CR2619" s="223"/>
      <c r="CS2619" s="952"/>
      <c r="CT2619" s="1066"/>
      <c r="CU2619" s="972"/>
      <c r="CV2619" s="983"/>
      <c r="CW2619" s="222"/>
      <c r="CX2619" s="697"/>
      <c r="DC2619" s="222"/>
      <c r="DJ2619" s="889"/>
      <c r="DM2619" s="890"/>
      <c r="DN2619" s="952"/>
      <c r="DO2619" s="75"/>
      <c r="DP2619" s="962"/>
      <c r="DQ2619" s="983"/>
      <c r="DV2619" s="889"/>
    </row>
    <row r="2620" spans="1:126" s="74" customFormat="1">
      <c r="A2620" s="15"/>
      <c r="B2620" s="15"/>
      <c r="C2620" s="15"/>
      <c r="D2620" s="15"/>
      <c r="E2620" s="6"/>
      <c r="F2620" s="6"/>
      <c r="G2620" s="6"/>
      <c r="K2620" s="222"/>
      <c r="V2620" s="1430"/>
      <c r="AA2620" s="223"/>
      <c r="AC2620" s="889"/>
      <c r="AF2620" s="890"/>
      <c r="AJ2620" s="889"/>
      <c r="AN2620" s="222"/>
      <c r="BC2620" s="223"/>
      <c r="BD2620" s="222"/>
      <c r="BH2620" s="611"/>
      <c r="BJ2620" s="15"/>
      <c r="BK2620" s="15"/>
      <c r="BO2620" s="223"/>
      <c r="BQ2620" s="889"/>
      <c r="BT2620" s="890"/>
      <c r="BX2620" s="889"/>
      <c r="CB2620" s="15"/>
      <c r="CC2620" s="697"/>
      <c r="CD2620" s="1086"/>
      <c r="CE2620" s="15"/>
      <c r="CF2620" s="15"/>
      <c r="CG2620" s="936"/>
      <c r="CH2620" s="15"/>
      <c r="CI2620" s="15"/>
      <c r="CJ2620" s="15"/>
      <c r="CK2620" s="1107"/>
      <c r="CL2620" s="22"/>
      <c r="CM2620" s="22"/>
      <c r="CN2620" s="1107"/>
      <c r="CR2620" s="223"/>
      <c r="CS2620" s="952"/>
      <c r="CT2620" s="1066"/>
      <c r="CU2620" s="972"/>
      <c r="CV2620" s="983"/>
      <c r="CW2620" s="222"/>
      <c r="CX2620" s="697"/>
      <c r="DC2620" s="222"/>
      <c r="DJ2620" s="889"/>
      <c r="DM2620" s="890"/>
      <c r="DN2620" s="952"/>
      <c r="DO2620" s="75"/>
      <c r="DP2620" s="962"/>
      <c r="DQ2620" s="983"/>
      <c r="DV2620" s="889"/>
    </row>
    <row r="2621" spans="1:126" s="74" customFormat="1">
      <c r="A2621" s="15"/>
      <c r="B2621" s="15"/>
      <c r="C2621" s="15"/>
      <c r="D2621" s="15"/>
      <c r="E2621" s="6"/>
      <c r="F2621" s="6"/>
      <c r="G2621" s="6"/>
      <c r="K2621" s="222"/>
      <c r="V2621" s="1430"/>
      <c r="AA2621" s="223"/>
      <c r="AC2621" s="889"/>
      <c r="AF2621" s="890"/>
      <c r="AJ2621" s="889"/>
      <c r="AN2621" s="222"/>
      <c r="BC2621" s="223"/>
      <c r="BD2621" s="222"/>
      <c r="BH2621" s="611"/>
      <c r="BJ2621" s="15"/>
      <c r="BK2621" s="15"/>
      <c r="BO2621" s="223"/>
      <c r="BQ2621" s="889"/>
      <c r="BT2621" s="890"/>
      <c r="BX2621" s="889"/>
      <c r="CB2621" s="15"/>
      <c r="CC2621" s="697"/>
      <c r="CD2621" s="1086"/>
      <c r="CE2621" s="15"/>
      <c r="CF2621" s="15"/>
      <c r="CG2621" s="936"/>
      <c r="CH2621" s="15"/>
      <c r="CI2621" s="15"/>
      <c r="CJ2621" s="15"/>
      <c r="CK2621" s="1107"/>
      <c r="CL2621" s="22"/>
      <c r="CM2621" s="22"/>
      <c r="CN2621" s="1107"/>
      <c r="CR2621" s="223"/>
      <c r="CS2621" s="952"/>
      <c r="CT2621" s="1066"/>
      <c r="CU2621" s="972"/>
      <c r="CV2621" s="983"/>
      <c r="CW2621" s="222"/>
      <c r="CX2621" s="697"/>
      <c r="DC2621" s="222"/>
      <c r="DJ2621" s="889"/>
      <c r="DM2621" s="890"/>
      <c r="DN2621" s="952"/>
      <c r="DO2621" s="75"/>
      <c r="DP2621" s="962"/>
      <c r="DQ2621" s="983"/>
      <c r="DV2621" s="889"/>
    </row>
    <row r="2622" spans="1:126" s="74" customFormat="1">
      <c r="A2622" s="15"/>
      <c r="B2622" s="15"/>
      <c r="C2622" s="15"/>
      <c r="D2622" s="15"/>
      <c r="E2622" s="6"/>
      <c r="F2622" s="6"/>
      <c r="G2622" s="6"/>
      <c r="K2622" s="222"/>
      <c r="V2622" s="1430"/>
      <c r="AA2622" s="223"/>
      <c r="AC2622" s="889"/>
      <c r="AF2622" s="890"/>
      <c r="AJ2622" s="889"/>
      <c r="AN2622" s="222"/>
      <c r="BC2622" s="223"/>
      <c r="BD2622" s="222"/>
      <c r="BH2622" s="611"/>
      <c r="BJ2622" s="15"/>
      <c r="BK2622" s="15"/>
      <c r="BO2622" s="223"/>
      <c r="BQ2622" s="889"/>
      <c r="BT2622" s="890"/>
      <c r="BX2622" s="889"/>
      <c r="CB2622" s="15"/>
      <c r="CC2622" s="697"/>
      <c r="CD2622" s="1086"/>
      <c r="CE2622" s="15"/>
      <c r="CF2622" s="15"/>
      <c r="CG2622" s="936"/>
      <c r="CH2622" s="15"/>
      <c r="CI2622" s="15"/>
      <c r="CJ2622" s="15"/>
      <c r="CK2622" s="1107"/>
      <c r="CL2622" s="22"/>
      <c r="CM2622" s="22"/>
      <c r="CN2622" s="1107"/>
      <c r="CR2622" s="223"/>
      <c r="CS2622" s="952"/>
      <c r="CT2622" s="1066"/>
      <c r="CU2622" s="972"/>
      <c r="CV2622" s="983"/>
      <c r="CW2622" s="222"/>
      <c r="CX2622" s="697"/>
      <c r="DC2622" s="222"/>
      <c r="DJ2622" s="889"/>
      <c r="DM2622" s="890"/>
      <c r="DN2622" s="952"/>
      <c r="DO2622" s="75"/>
      <c r="DP2622" s="962"/>
      <c r="DQ2622" s="983"/>
      <c r="DV2622" s="889"/>
    </row>
    <row r="2623" spans="1:126" s="74" customFormat="1">
      <c r="A2623" s="15"/>
      <c r="B2623" s="15"/>
      <c r="C2623" s="15"/>
      <c r="D2623" s="15"/>
      <c r="E2623" s="6"/>
      <c r="F2623" s="6"/>
      <c r="G2623" s="6"/>
      <c r="K2623" s="222"/>
      <c r="V2623" s="1430"/>
      <c r="AA2623" s="223"/>
      <c r="AC2623" s="889"/>
      <c r="AF2623" s="890"/>
      <c r="AJ2623" s="889"/>
      <c r="AN2623" s="222"/>
      <c r="BC2623" s="223"/>
      <c r="BD2623" s="222"/>
      <c r="BH2623" s="611"/>
      <c r="BJ2623" s="15"/>
      <c r="BK2623" s="15"/>
      <c r="BO2623" s="223"/>
      <c r="BQ2623" s="889"/>
      <c r="BT2623" s="890"/>
      <c r="BX2623" s="889"/>
      <c r="CB2623" s="15"/>
      <c r="CC2623" s="697"/>
      <c r="CD2623" s="1086"/>
      <c r="CE2623" s="15"/>
      <c r="CF2623" s="15"/>
      <c r="CG2623" s="936"/>
      <c r="CH2623" s="15"/>
      <c r="CI2623" s="15"/>
      <c r="CJ2623" s="15"/>
      <c r="CK2623" s="1107"/>
      <c r="CL2623" s="22"/>
      <c r="CM2623" s="22"/>
      <c r="CN2623" s="1107"/>
      <c r="CR2623" s="223"/>
      <c r="CS2623" s="952"/>
      <c r="CT2623" s="1066"/>
      <c r="CU2623" s="972"/>
      <c r="CV2623" s="983"/>
      <c r="CW2623" s="222"/>
      <c r="CX2623" s="697"/>
      <c r="DC2623" s="222"/>
      <c r="DJ2623" s="889"/>
      <c r="DM2623" s="890"/>
      <c r="DN2623" s="952"/>
      <c r="DO2623" s="75"/>
      <c r="DP2623" s="962"/>
      <c r="DQ2623" s="983"/>
      <c r="DV2623" s="889"/>
    </row>
    <row r="2624" spans="1:126" s="74" customFormat="1">
      <c r="A2624" s="15"/>
      <c r="B2624" s="15"/>
      <c r="C2624" s="15"/>
      <c r="D2624" s="15"/>
      <c r="E2624" s="6"/>
      <c r="F2624" s="6"/>
      <c r="G2624" s="6"/>
      <c r="K2624" s="222"/>
      <c r="V2624" s="1430"/>
      <c r="AA2624" s="223"/>
      <c r="AC2624" s="889"/>
      <c r="AF2624" s="890"/>
      <c r="AJ2624" s="889"/>
      <c r="AN2624" s="222"/>
      <c r="BC2624" s="223"/>
      <c r="BD2624" s="222"/>
      <c r="BH2624" s="611"/>
      <c r="BJ2624" s="15"/>
      <c r="BK2624" s="15"/>
      <c r="BO2624" s="223"/>
      <c r="BQ2624" s="889"/>
      <c r="BT2624" s="890"/>
      <c r="BX2624" s="889"/>
      <c r="CB2624" s="15"/>
      <c r="CC2624" s="697"/>
      <c r="CD2624" s="1086"/>
      <c r="CE2624" s="15"/>
      <c r="CF2624" s="15"/>
      <c r="CG2624" s="936"/>
      <c r="CH2624" s="15"/>
      <c r="CI2624" s="15"/>
      <c r="CJ2624" s="15"/>
      <c r="CK2624" s="1107"/>
      <c r="CL2624" s="22"/>
      <c r="CM2624" s="22"/>
      <c r="CN2624" s="1107"/>
      <c r="CR2624" s="223"/>
      <c r="CS2624" s="952"/>
      <c r="CT2624" s="1066"/>
      <c r="CU2624" s="972"/>
      <c r="CV2624" s="983"/>
      <c r="CW2624" s="222"/>
      <c r="CX2624" s="697"/>
      <c r="DC2624" s="222"/>
      <c r="DJ2624" s="889"/>
      <c r="DM2624" s="890"/>
      <c r="DN2624" s="952"/>
      <c r="DO2624" s="75"/>
      <c r="DP2624" s="962"/>
      <c r="DQ2624" s="983"/>
      <c r="DV2624" s="889"/>
    </row>
    <row r="2625" spans="1:126" s="74" customFormat="1">
      <c r="A2625" s="15"/>
      <c r="B2625" s="15"/>
      <c r="C2625" s="15"/>
      <c r="D2625" s="15"/>
      <c r="E2625" s="6"/>
      <c r="F2625" s="6"/>
      <c r="G2625" s="6"/>
      <c r="K2625" s="222"/>
      <c r="V2625" s="1430"/>
      <c r="AA2625" s="223"/>
      <c r="AC2625" s="889"/>
      <c r="AF2625" s="890"/>
      <c r="AJ2625" s="889"/>
      <c r="AN2625" s="222"/>
      <c r="BC2625" s="223"/>
      <c r="BD2625" s="222"/>
      <c r="BH2625" s="611"/>
      <c r="BJ2625" s="15"/>
      <c r="BK2625" s="15"/>
      <c r="BO2625" s="223"/>
      <c r="BQ2625" s="889"/>
      <c r="BT2625" s="890"/>
      <c r="BX2625" s="889"/>
      <c r="CB2625" s="15"/>
      <c r="CC2625" s="697"/>
      <c r="CD2625" s="1086"/>
      <c r="CE2625" s="15"/>
      <c r="CF2625" s="15"/>
      <c r="CG2625" s="936"/>
      <c r="CH2625" s="15"/>
      <c r="CI2625" s="15"/>
      <c r="CJ2625" s="15"/>
      <c r="CK2625" s="1107"/>
      <c r="CL2625" s="22"/>
      <c r="CM2625" s="22"/>
      <c r="CN2625" s="1107"/>
      <c r="CR2625" s="223"/>
      <c r="CS2625" s="952"/>
      <c r="CT2625" s="1066"/>
      <c r="CU2625" s="972"/>
      <c r="CV2625" s="983"/>
      <c r="CW2625" s="222"/>
      <c r="CX2625" s="697"/>
      <c r="DC2625" s="222"/>
      <c r="DJ2625" s="889"/>
      <c r="DM2625" s="890"/>
      <c r="DN2625" s="952"/>
      <c r="DO2625" s="75"/>
      <c r="DP2625" s="962"/>
      <c r="DQ2625" s="983"/>
      <c r="DV2625" s="889"/>
    </row>
    <row r="2626" spans="1:126" s="74" customFormat="1">
      <c r="A2626" s="15"/>
      <c r="B2626" s="15"/>
      <c r="C2626" s="15"/>
      <c r="D2626" s="15"/>
      <c r="E2626" s="6"/>
      <c r="F2626" s="6"/>
      <c r="G2626" s="6"/>
      <c r="K2626" s="222"/>
      <c r="V2626" s="1430"/>
      <c r="AA2626" s="223"/>
      <c r="AC2626" s="889"/>
      <c r="AF2626" s="890"/>
      <c r="AJ2626" s="889"/>
      <c r="AN2626" s="222"/>
      <c r="BC2626" s="223"/>
      <c r="BD2626" s="222"/>
      <c r="BH2626" s="611"/>
      <c r="BJ2626" s="15"/>
      <c r="BK2626" s="15"/>
      <c r="BO2626" s="223"/>
      <c r="BQ2626" s="889"/>
      <c r="BT2626" s="890"/>
      <c r="BX2626" s="889"/>
      <c r="CB2626" s="15"/>
      <c r="CC2626" s="697"/>
      <c r="CD2626" s="1086"/>
      <c r="CE2626" s="15"/>
      <c r="CF2626" s="15"/>
      <c r="CG2626" s="936"/>
      <c r="CH2626" s="15"/>
      <c r="CI2626" s="15"/>
      <c r="CJ2626" s="15"/>
      <c r="CK2626" s="1107"/>
      <c r="CL2626" s="22"/>
      <c r="CM2626" s="22"/>
      <c r="CN2626" s="1107"/>
      <c r="CR2626" s="223"/>
      <c r="CS2626" s="952"/>
      <c r="CT2626" s="1066"/>
      <c r="CU2626" s="972"/>
      <c r="CV2626" s="983"/>
      <c r="CW2626" s="222"/>
      <c r="CX2626" s="697"/>
      <c r="DC2626" s="222"/>
      <c r="DJ2626" s="889"/>
      <c r="DM2626" s="890"/>
      <c r="DN2626" s="952"/>
      <c r="DO2626" s="75"/>
      <c r="DP2626" s="962"/>
      <c r="DQ2626" s="983"/>
      <c r="DV2626" s="889"/>
    </row>
    <row r="2627" spans="1:126" s="74" customFormat="1">
      <c r="A2627" s="15"/>
      <c r="B2627" s="15"/>
      <c r="C2627" s="15"/>
      <c r="D2627" s="15"/>
      <c r="E2627" s="6"/>
      <c r="F2627" s="6"/>
      <c r="G2627" s="6"/>
      <c r="K2627" s="222"/>
      <c r="V2627" s="1430"/>
      <c r="AA2627" s="223"/>
      <c r="AC2627" s="889"/>
      <c r="AF2627" s="890"/>
      <c r="AJ2627" s="889"/>
      <c r="AN2627" s="222"/>
      <c r="BC2627" s="223"/>
      <c r="BD2627" s="222"/>
      <c r="BH2627" s="611"/>
      <c r="BJ2627" s="15"/>
      <c r="BK2627" s="15"/>
      <c r="BO2627" s="223"/>
      <c r="BQ2627" s="889"/>
      <c r="BT2627" s="890"/>
      <c r="BX2627" s="889"/>
      <c r="CB2627" s="15"/>
      <c r="CC2627" s="697"/>
      <c r="CD2627" s="1086"/>
      <c r="CE2627" s="15"/>
      <c r="CF2627" s="15"/>
      <c r="CG2627" s="936"/>
      <c r="CH2627" s="15"/>
      <c r="CI2627" s="15"/>
      <c r="CJ2627" s="15"/>
      <c r="CK2627" s="1107"/>
      <c r="CL2627" s="22"/>
      <c r="CM2627" s="22"/>
      <c r="CN2627" s="1107"/>
      <c r="CR2627" s="223"/>
      <c r="CS2627" s="952"/>
      <c r="CT2627" s="1066"/>
      <c r="CU2627" s="972"/>
      <c r="CV2627" s="983"/>
      <c r="CW2627" s="222"/>
      <c r="CX2627" s="697"/>
      <c r="DC2627" s="222"/>
      <c r="DJ2627" s="889"/>
      <c r="DM2627" s="890"/>
      <c r="DN2627" s="952"/>
      <c r="DO2627" s="75"/>
      <c r="DP2627" s="962"/>
      <c r="DQ2627" s="983"/>
      <c r="DV2627" s="889"/>
    </row>
    <row r="2628" spans="1:126" s="74" customFormat="1">
      <c r="A2628" s="15"/>
      <c r="B2628" s="15"/>
      <c r="C2628" s="15"/>
      <c r="D2628" s="15"/>
      <c r="E2628" s="6"/>
      <c r="F2628" s="6"/>
      <c r="G2628" s="6"/>
      <c r="K2628" s="222"/>
      <c r="V2628" s="1430"/>
      <c r="AA2628" s="223"/>
      <c r="AC2628" s="889"/>
      <c r="AF2628" s="890"/>
      <c r="AJ2628" s="889"/>
      <c r="AN2628" s="222"/>
      <c r="BC2628" s="223"/>
      <c r="BD2628" s="222"/>
      <c r="BH2628" s="611"/>
      <c r="BJ2628" s="15"/>
      <c r="BK2628" s="15"/>
      <c r="BO2628" s="223"/>
      <c r="BQ2628" s="889"/>
      <c r="BT2628" s="890"/>
      <c r="BX2628" s="889"/>
      <c r="CB2628" s="15"/>
      <c r="CC2628" s="697"/>
      <c r="CD2628" s="1086"/>
      <c r="CE2628" s="15"/>
      <c r="CF2628" s="15"/>
      <c r="CG2628" s="936"/>
      <c r="CH2628" s="15"/>
      <c r="CI2628" s="15"/>
      <c r="CJ2628" s="15"/>
      <c r="CK2628" s="1107"/>
      <c r="CL2628" s="22"/>
      <c r="CM2628" s="22"/>
      <c r="CN2628" s="1107"/>
      <c r="CR2628" s="223"/>
      <c r="CS2628" s="952"/>
      <c r="CT2628" s="1066"/>
      <c r="CU2628" s="972"/>
      <c r="CV2628" s="983"/>
      <c r="CW2628" s="222"/>
      <c r="CX2628" s="697"/>
      <c r="DC2628" s="222"/>
      <c r="DJ2628" s="889"/>
      <c r="DM2628" s="890"/>
      <c r="DN2628" s="952"/>
      <c r="DO2628" s="75"/>
      <c r="DP2628" s="962"/>
      <c r="DQ2628" s="983"/>
      <c r="DV2628" s="889"/>
    </row>
    <row r="2629" spans="1:126" s="74" customFormat="1">
      <c r="A2629" s="15"/>
      <c r="B2629" s="15"/>
      <c r="C2629" s="15"/>
      <c r="D2629" s="15"/>
      <c r="E2629" s="6"/>
      <c r="F2629" s="6"/>
      <c r="G2629" s="6"/>
      <c r="K2629" s="222"/>
      <c r="V2629" s="1430"/>
      <c r="AA2629" s="223"/>
      <c r="AC2629" s="889"/>
      <c r="AF2629" s="890"/>
      <c r="AJ2629" s="889"/>
      <c r="AN2629" s="222"/>
      <c r="BC2629" s="223"/>
      <c r="BD2629" s="222"/>
      <c r="BH2629" s="611"/>
      <c r="BJ2629" s="15"/>
      <c r="BK2629" s="15"/>
      <c r="BO2629" s="223"/>
      <c r="BQ2629" s="889"/>
      <c r="BT2629" s="890"/>
      <c r="BX2629" s="889"/>
      <c r="CB2629" s="15"/>
      <c r="CC2629" s="697"/>
      <c r="CD2629" s="1086"/>
      <c r="CE2629" s="15"/>
      <c r="CF2629" s="15"/>
      <c r="CG2629" s="936"/>
      <c r="CH2629" s="15"/>
      <c r="CI2629" s="15"/>
      <c r="CJ2629" s="15"/>
      <c r="CK2629" s="1107"/>
      <c r="CL2629" s="22"/>
      <c r="CM2629" s="22"/>
      <c r="CN2629" s="1107"/>
      <c r="CR2629" s="223"/>
      <c r="CS2629" s="952"/>
      <c r="CT2629" s="1066"/>
      <c r="CU2629" s="972"/>
      <c r="CV2629" s="983"/>
      <c r="CW2629" s="222"/>
      <c r="CX2629" s="697"/>
      <c r="DC2629" s="222"/>
      <c r="DJ2629" s="889"/>
      <c r="DM2629" s="890"/>
      <c r="DN2629" s="952"/>
      <c r="DO2629" s="75"/>
      <c r="DP2629" s="962"/>
      <c r="DQ2629" s="983"/>
      <c r="DV2629" s="889"/>
    </row>
    <row r="2630" spans="1:126" s="74" customFormat="1">
      <c r="A2630" s="15"/>
      <c r="B2630" s="15"/>
      <c r="C2630" s="15"/>
      <c r="D2630" s="15"/>
      <c r="E2630" s="6"/>
      <c r="F2630" s="6"/>
      <c r="G2630" s="6"/>
      <c r="K2630" s="222"/>
      <c r="V2630" s="1430"/>
      <c r="AA2630" s="223"/>
      <c r="AC2630" s="889"/>
      <c r="AF2630" s="890"/>
      <c r="AJ2630" s="889"/>
      <c r="AN2630" s="222"/>
      <c r="BC2630" s="223"/>
      <c r="BD2630" s="222"/>
      <c r="BH2630" s="611"/>
      <c r="BJ2630" s="15"/>
      <c r="BK2630" s="15"/>
      <c r="BO2630" s="223"/>
      <c r="BQ2630" s="889"/>
      <c r="BT2630" s="890"/>
      <c r="BX2630" s="889"/>
      <c r="CB2630" s="15"/>
      <c r="CC2630" s="697"/>
      <c r="CD2630" s="1086"/>
      <c r="CE2630" s="15"/>
      <c r="CF2630" s="15"/>
      <c r="CG2630" s="936"/>
      <c r="CH2630" s="15"/>
      <c r="CI2630" s="15"/>
      <c r="CJ2630" s="15"/>
      <c r="CK2630" s="1107"/>
      <c r="CL2630" s="22"/>
      <c r="CM2630" s="22"/>
      <c r="CN2630" s="1107"/>
      <c r="CR2630" s="223"/>
      <c r="CS2630" s="952"/>
      <c r="CT2630" s="1066"/>
      <c r="CU2630" s="972"/>
      <c r="CV2630" s="983"/>
      <c r="CW2630" s="222"/>
      <c r="CX2630" s="697"/>
      <c r="DC2630" s="222"/>
      <c r="DJ2630" s="889"/>
      <c r="DM2630" s="890"/>
      <c r="DN2630" s="952"/>
      <c r="DO2630" s="75"/>
      <c r="DP2630" s="962"/>
      <c r="DQ2630" s="983"/>
      <c r="DV2630" s="889"/>
    </row>
    <row r="2631" spans="1:126" s="74" customFormat="1">
      <c r="A2631" s="15"/>
      <c r="B2631" s="15"/>
      <c r="C2631" s="15"/>
      <c r="D2631" s="15"/>
      <c r="E2631" s="6"/>
      <c r="F2631" s="6"/>
      <c r="G2631" s="6"/>
      <c r="K2631" s="222"/>
      <c r="V2631" s="1430"/>
      <c r="AA2631" s="223"/>
      <c r="AC2631" s="889"/>
      <c r="AF2631" s="890"/>
      <c r="AJ2631" s="889"/>
      <c r="AN2631" s="222"/>
      <c r="BC2631" s="223"/>
      <c r="BD2631" s="222"/>
      <c r="BH2631" s="611"/>
      <c r="BJ2631" s="15"/>
      <c r="BK2631" s="15"/>
      <c r="BO2631" s="223"/>
      <c r="BQ2631" s="889"/>
      <c r="BT2631" s="890"/>
      <c r="BX2631" s="889"/>
      <c r="CB2631" s="15"/>
      <c r="CC2631" s="697"/>
      <c r="CD2631" s="1086"/>
      <c r="CE2631" s="15"/>
      <c r="CF2631" s="15"/>
      <c r="CG2631" s="936"/>
      <c r="CH2631" s="15"/>
      <c r="CI2631" s="15"/>
      <c r="CJ2631" s="15"/>
      <c r="CK2631" s="1107"/>
      <c r="CL2631" s="22"/>
      <c r="CM2631" s="22"/>
      <c r="CN2631" s="1107"/>
      <c r="CR2631" s="223"/>
      <c r="CS2631" s="952"/>
      <c r="CT2631" s="1066"/>
      <c r="CU2631" s="972"/>
      <c r="CV2631" s="983"/>
      <c r="CW2631" s="222"/>
      <c r="CX2631" s="697"/>
      <c r="DC2631" s="222"/>
      <c r="DJ2631" s="889"/>
      <c r="DM2631" s="890"/>
      <c r="DN2631" s="952"/>
      <c r="DO2631" s="75"/>
      <c r="DP2631" s="962"/>
      <c r="DQ2631" s="983"/>
      <c r="DV2631" s="889"/>
    </row>
    <row r="2632" spans="1:126" s="74" customFormat="1">
      <c r="A2632" s="15"/>
      <c r="B2632" s="15"/>
      <c r="C2632" s="15"/>
      <c r="D2632" s="15"/>
      <c r="E2632" s="6"/>
      <c r="F2632" s="6"/>
      <c r="G2632" s="6"/>
      <c r="K2632" s="222"/>
      <c r="V2632" s="1430"/>
      <c r="AA2632" s="223"/>
      <c r="AC2632" s="889"/>
      <c r="AF2632" s="890"/>
      <c r="AJ2632" s="889"/>
      <c r="AN2632" s="222"/>
      <c r="BC2632" s="223"/>
      <c r="BD2632" s="222"/>
      <c r="BH2632" s="611"/>
      <c r="BJ2632" s="15"/>
      <c r="BK2632" s="15"/>
      <c r="BO2632" s="223"/>
      <c r="BQ2632" s="889"/>
      <c r="BT2632" s="890"/>
      <c r="BX2632" s="889"/>
      <c r="CB2632" s="15"/>
      <c r="CC2632" s="697"/>
      <c r="CD2632" s="1086"/>
      <c r="CE2632" s="15"/>
      <c r="CF2632" s="15"/>
      <c r="CG2632" s="936"/>
      <c r="CH2632" s="15"/>
      <c r="CI2632" s="15"/>
      <c r="CJ2632" s="15"/>
      <c r="CK2632" s="1107"/>
      <c r="CL2632" s="22"/>
      <c r="CM2632" s="22"/>
      <c r="CN2632" s="1107"/>
      <c r="CR2632" s="223"/>
      <c r="CS2632" s="952"/>
      <c r="CT2632" s="1066"/>
      <c r="CU2632" s="972"/>
      <c r="CV2632" s="983"/>
      <c r="CW2632" s="222"/>
      <c r="CX2632" s="697"/>
      <c r="DC2632" s="222"/>
      <c r="DJ2632" s="889"/>
      <c r="DM2632" s="890"/>
      <c r="DN2632" s="952"/>
      <c r="DO2632" s="75"/>
      <c r="DP2632" s="962"/>
      <c r="DQ2632" s="983"/>
      <c r="DV2632" s="889"/>
    </row>
    <row r="2633" spans="1:126" s="74" customFormat="1">
      <c r="A2633" s="15"/>
      <c r="B2633" s="15"/>
      <c r="C2633" s="15"/>
      <c r="D2633" s="15"/>
      <c r="E2633" s="6"/>
      <c r="F2633" s="6"/>
      <c r="G2633" s="6"/>
      <c r="K2633" s="222"/>
      <c r="V2633" s="1430"/>
      <c r="AA2633" s="223"/>
      <c r="AC2633" s="889"/>
      <c r="AF2633" s="890"/>
      <c r="AJ2633" s="889"/>
      <c r="AN2633" s="222"/>
      <c r="BC2633" s="223"/>
      <c r="BD2633" s="222"/>
      <c r="BH2633" s="611"/>
      <c r="BJ2633" s="15"/>
      <c r="BK2633" s="15"/>
      <c r="BO2633" s="223"/>
      <c r="BQ2633" s="889"/>
      <c r="BT2633" s="890"/>
      <c r="BX2633" s="889"/>
      <c r="CB2633" s="15"/>
      <c r="CC2633" s="697"/>
      <c r="CD2633" s="1086"/>
      <c r="CE2633" s="15"/>
      <c r="CF2633" s="15"/>
      <c r="CG2633" s="936"/>
      <c r="CH2633" s="15"/>
      <c r="CI2633" s="15"/>
      <c r="CJ2633" s="15"/>
      <c r="CK2633" s="1107"/>
      <c r="CL2633" s="22"/>
      <c r="CM2633" s="22"/>
      <c r="CN2633" s="1107"/>
      <c r="CR2633" s="223"/>
      <c r="CS2633" s="952"/>
      <c r="CT2633" s="1066"/>
      <c r="CU2633" s="972"/>
      <c r="CV2633" s="983"/>
      <c r="CW2633" s="222"/>
      <c r="CX2633" s="697"/>
      <c r="DC2633" s="222"/>
      <c r="DJ2633" s="889"/>
      <c r="DM2633" s="890"/>
      <c r="DN2633" s="952"/>
      <c r="DO2633" s="75"/>
      <c r="DP2633" s="962"/>
      <c r="DQ2633" s="983"/>
      <c r="DV2633" s="889"/>
    </row>
    <row r="2634" spans="1:126" s="74" customFormat="1">
      <c r="A2634" s="15"/>
      <c r="B2634" s="15"/>
      <c r="C2634" s="15"/>
      <c r="D2634" s="15"/>
      <c r="E2634" s="6"/>
      <c r="F2634" s="6"/>
      <c r="G2634" s="6"/>
      <c r="K2634" s="222"/>
      <c r="V2634" s="1430"/>
      <c r="AA2634" s="223"/>
      <c r="AC2634" s="889"/>
      <c r="AF2634" s="890"/>
      <c r="AJ2634" s="889"/>
      <c r="AN2634" s="222"/>
      <c r="BC2634" s="223"/>
      <c r="BD2634" s="222"/>
      <c r="BH2634" s="611"/>
      <c r="BJ2634" s="15"/>
      <c r="BK2634" s="15"/>
      <c r="BO2634" s="223"/>
      <c r="BQ2634" s="889"/>
      <c r="BT2634" s="890"/>
      <c r="BX2634" s="889"/>
      <c r="CB2634" s="15"/>
      <c r="CC2634" s="697"/>
      <c r="CD2634" s="1086"/>
      <c r="CE2634" s="15"/>
      <c r="CF2634" s="15"/>
      <c r="CG2634" s="936"/>
      <c r="CH2634" s="15"/>
      <c r="CI2634" s="15"/>
      <c r="CJ2634" s="15"/>
      <c r="CK2634" s="1107"/>
      <c r="CL2634" s="22"/>
      <c r="CM2634" s="22"/>
      <c r="CN2634" s="1107"/>
      <c r="CR2634" s="223"/>
      <c r="CS2634" s="952"/>
      <c r="CT2634" s="1066"/>
      <c r="CU2634" s="972"/>
      <c r="CV2634" s="983"/>
      <c r="CW2634" s="222"/>
      <c r="CX2634" s="697"/>
      <c r="DC2634" s="222"/>
      <c r="DJ2634" s="889"/>
      <c r="DM2634" s="890"/>
      <c r="DN2634" s="952"/>
      <c r="DO2634" s="75"/>
      <c r="DP2634" s="962"/>
      <c r="DQ2634" s="983"/>
      <c r="DV2634" s="889"/>
    </row>
    <row r="2635" spans="1:126" s="74" customFormat="1">
      <c r="A2635" s="15"/>
      <c r="B2635" s="15"/>
      <c r="C2635" s="15"/>
      <c r="D2635" s="15"/>
      <c r="E2635" s="6"/>
      <c r="F2635" s="6"/>
      <c r="G2635" s="6"/>
      <c r="K2635" s="222"/>
      <c r="V2635" s="1430"/>
      <c r="AA2635" s="223"/>
      <c r="AC2635" s="889"/>
      <c r="AF2635" s="890"/>
      <c r="AJ2635" s="889"/>
      <c r="AN2635" s="222"/>
      <c r="BC2635" s="223"/>
      <c r="BD2635" s="222"/>
      <c r="BH2635" s="611"/>
      <c r="BJ2635" s="15"/>
      <c r="BK2635" s="15"/>
      <c r="BO2635" s="223"/>
      <c r="BQ2635" s="889"/>
      <c r="BT2635" s="890"/>
      <c r="BX2635" s="889"/>
      <c r="CB2635" s="15"/>
      <c r="CC2635" s="697"/>
      <c r="CD2635" s="1086"/>
      <c r="CE2635" s="15"/>
      <c r="CF2635" s="15"/>
      <c r="CG2635" s="936"/>
      <c r="CH2635" s="15"/>
      <c r="CI2635" s="15"/>
      <c r="CJ2635" s="15"/>
      <c r="CK2635" s="1107"/>
      <c r="CL2635" s="22"/>
      <c r="CM2635" s="22"/>
      <c r="CN2635" s="1107"/>
      <c r="CR2635" s="223"/>
      <c r="CS2635" s="952"/>
      <c r="CT2635" s="1066"/>
      <c r="CU2635" s="972"/>
      <c r="CV2635" s="983"/>
      <c r="CW2635" s="222"/>
      <c r="CX2635" s="697"/>
      <c r="DC2635" s="222"/>
      <c r="DJ2635" s="889"/>
      <c r="DM2635" s="890"/>
      <c r="DN2635" s="952"/>
      <c r="DO2635" s="75"/>
      <c r="DP2635" s="962"/>
      <c r="DQ2635" s="983"/>
      <c r="DV2635" s="889"/>
    </row>
    <row r="2636" spans="1:126" s="74" customFormat="1">
      <c r="A2636" s="15"/>
      <c r="B2636" s="15"/>
      <c r="C2636" s="15"/>
      <c r="D2636" s="15"/>
      <c r="E2636" s="6"/>
      <c r="F2636" s="6"/>
      <c r="G2636" s="6"/>
      <c r="K2636" s="222"/>
      <c r="V2636" s="1430"/>
      <c r="AA2636" s="223"/>
      <c r="AC2636" s="889"/>
      <c r="AF2636" s="890"/>
      <c r="AJ2636" s="889"/>
      <c r="AN2636" s="222"/>
      <c r="BC2636" s="223"/>
      <c r="BD2636" s="222"/>
      <c r="BH2636" s="611"/>
      <c r="BJ2636" s="15"/>
      <c r="BK2636" s="15"/>
      <c r="BO2636" s="223"/>
      <c r="BQ2636" s="889"/>
      <c r="BT2636" s="890"/>
      <c r="BX2636" s="889"/>
      <c r="CB2636" s="15"/>
      <c r="CC2636" s="697"/>
      <c r="CD2636" s="1086"/>
      <c r="CE2636" s="15"/>
      <c r="CF2636" s="15"/>
      <c r="CG2636" s="936"/>
      <c r="CH2636" s="15"/>
      <c r="CI2636" s="15"/>
      <c r="CJ2636" s="15"/>
      <c r="CK2636" s="1107"/>
      <c r="CL2636" s="22"/>
      <c r="CM2636" s="22"/>
      <c r="CN2636" s="1107"/>
      <c r="CR2636" s="223"/>
      <c r="CS2636" s="952"/>
      <c r="CT2636" s="1066"/>
      <c r="CU2636" s="972"/>
      <c r="CV2636" s="983"/>
      <c r="CW2636" s="222"/>
      <c r="CX2636" s="697"/>
      <c r="DC2636" s="222"/>
      <c r="DJ2636" s="889"/>
      <c r="DM2636" s="890"/>
      <c r="DN2636" s="952"/>
      <c r="DO2636" s="75"/>
      <c r="DP2636" s="962"/>
      <c r="DQ2636" s="983"/>
      <c r="DV2636" s="889"/>
    </row>
    <row r="2637" spans="1:126" s="74" customFormat="1">
      <c r="A2637" s="15"/>
      <c r="B2637" s="15"/>
      <c r="C2637" s="15"/>
      <c r="D2637" s="15"/>
      <c r="E2637" s="6"/>
      <c r="F2637" s="6"/>
      <c r="G2637" s="6"/>
      <c r="K2637" s="222"/>
      <c r="V2637" s="1430"/>
      <c r="AA2637" s="223"/>
      <c r="AC2637" s="889"/>
      <c r="AF2637" s="890"/>
      <c r="AJ2637" s="889"/>
      <c r="AN2637" s="222"/>
      <c r="BC2637" s="223"/>
      <c r="BD2637" s="222"/>
      <c r="BH2637" s="611"/>
      <c r="BJ2637" s="15"/>
      <c r="BK2637" s="15"/>
      <c r="BO2637" s="223"/>
      <c r="BQ2637" s="889"/>
      <c r="BT2637" s="890"/>
      <c r="BX2637" s="889"/>
      <c r="CB2637" s="15"/>
      <c r="CC2637" s="697"/>
      <c r="CD2637" s="1086"/>
      <c r="CE2637" s="15"/>
      <c r="CF2637" s="15"/>
      <c r="CG2637" s="936"/>
      <c r="CH2637" s="15"/>
      <c r="CI2637" s="15"/>
      <c r="CJ2637" s="15"/>
      <c r="CK2637" s="1107"/>
      <c r="CL2637" s="22"/>
      <c r="CM2637" s="22"/>
      <c r="CN2637" s="1107"/>
      <c r="CR2637" s="223"/>
      <c r="CS2637" s="952"/>
      <c r="CT2637" s="1066"/>
      <c r="CU2637" s="972"/>
      <c r="CV2637" s="983"/>
      <c r="CW2637" s="222"/>
      <c r="CX2637" s="697"/>
      <c r="DC2637" s="222"/>
      <c r="DJ2637" s="889"/>
      <c r="DM2637" s="890"/>
      <c r="DN2637" s="952"/>
      <c r="DO2637" s="75"/>
      <c r="DP2637" s="962"/>
      <c r="DQ2637" s="983"/>
      <c r="DV2637" s="889"/>
    </row>
    <row r="2638" spans="1:126" s="74" customFormat="1">
      <c r="A2638" s="15"/>
      <c r="B2638" s="15"/>
      <c r="C2638" s="15"/>
      <c r="D2638" s="15"/>
      <c r="E2638" s="6"/>
      <c r="F2638" s="6"/>
      <c r="G2638" s="6"/>
      <c r="K2638" s="222"/>
      <c r="V2638" s="1430"/>
      <c r="AA2638" s="223"/>
      <c r="AC2638" s="889"/>
      <c r="AF2638" s="890"/>
      <c r="AJ2638" s="889"/>
      <c r="AN2638" s="222"/>
      <c r="BC2638" s="223"/>
      <c r="BD2638" s="222"/>
      <c r="BH2638" s="611"/>
      <c r="BJ2638" s="15"/>
      <c r="BK2638" s="15"/>
      <c r="BO2638" s="223"/>
      <c r="BQ2638" s="889"/>
      <c r="BT2638" s="890"/>
      <c r="BX2638" s="889"/>
      <c r="CB2638" s="15"/>
      <c r="CC2638" s="697"/>
      <c r="CD2638" s="1086"/>
      <c r="CE2638" s="15"/>
      <c r="CF2638" s="15"/>
      <c r="CG2638" s="936"/>
      <c r="CH2638" s="15"/>
      <c r="CI2638" s="15"/>
      <c r="CJ2638" s="15"/>
      <c r="CK2638" s="1107"/>
      <c r="CL2638" s="22"/>
      <c r="CM2638" s="22"/>
      <c r="CN2638" s="1107"/>
      <c r="CR2638" s="223"/>
      <c r="CS2638" s="952"/>
      <c r="CT2638" s="1066"/>
      <c r="CU2638" s="972"/>
      <c r="CV2638" s="983"/>
      <c r="CW2638" s="222"/>
      <c r="CX2638" s="697"/>
      <c r="DC2638" s="222"/>
      <c r="DJ2638" s="889"/>
      <c r="DM2638" s="890"/>
      <c r="DN2638" s="952"/>
      <c r="DO2638" s="75"/>
      <c r="DP2638" s="962"/>
      <c r="DQ2638" s="983"/>
      <c r="DV2638" s="889"/>
    </row>
    <row r="2639" spans="1:126" s="74" customFormat="1">
      <c r="A2639" s="15"/>
      <c r="B2639" s="15"/>
      <c r="C2639" s="15"/>
      <c r="D2639" s="15"/>
      <c r="E2639" s="6"/>
      <c r="F2639" s="6"/>
      <c r="G2639" s="6"/>
      <c r="K2639" s="222"/>
      <c r="V2639" s="1430"/>
      <c r="AA2639" s="223"/>
      <c r="AC2639" s="889"/>
      <c r="AF2639" s="890"/>
      <c r="AJ2639" s="889"/>
      <c r="AN2639" s="222"/>
      <c r="BC2639" s="223"/>
      <c r="BD2639" s="222"/>
      <c r="BH2639" s="611"/>
      <c r="BJ2639" s="15"/>
      <c r="BK2639" s="15"/>
      <c r="BO2639" s="223"/>
      <c r="BQ2639" s="889"/>
      <c r="BT2639" s="890"/>
      <c r="BX2639" s="889"/>
      <c r="CB2639" s="15"/>
      <c r="CC2639" s="697"/>
      <c r="CD2639" s="1086"/>
      <c r="CE2639" s="15"/>
      <c r="CF2639" s="15"/>
      <c r="CG2639" s="936"/>
      <c r="CH2639" s="15"/>
      <c r="CI2639" s="15"/>
      <c r="CJ2639" s="15"/>
      <c r="CK2639" s="1107"/>
      <c r="CL2639" s="22"/>
      <c r="CM2639" s="22"/>
      <c r="CN2639" s="1107"/>
      <c r="CR2639" s="223"/>
      <c r="CS2639" s="952"/>
      <c r="CT2639" s="1066"/>
      <c r="CU2639" s="972"/>
      <c r="CV2639" s="983"/>
      <c r="CW2639" s="222"/>
      <c r="CX2639" s="697"/>
      <c r="DC2639" s="222"/>
      <c r="DJ2639" s="889"/>
      <c r="DM2639" s="890"/>
      <c r="DN2639" s="952"/>
      <c r="DO2639" s="75"/>
      <c r="DP2639" s="962"/>
      <c r="DQ2639" s="983"/>
      <c r="DV2639" s="889"/>
    </row>
    <row r="2640" spans="1:126" s="74" customFormat="1">
      <c r="A2640" s="15"/>
      <c r="B2640" s="15"/>
      <c r="C2640" s="15"/>
      <c r="D2640" s="15"/>
      <c r="E2640" s="6"/>
      <c r="F2640" s="6"/>
      <c r="G2640" s="6"/>
      <c r="K2640" s="222"/>
      <c r="V2640" s="1430"/>
      <c r="AA2640" s="223"/>
      <c r="AC2640" s="889"/>
      <c r="AF2640" s="890"/>
      <c r="AJ2640" s="889"/>
      <c r="AN2640" s="222"/>
      <c r="BC2640" s="223"/>
      <c r="BD2640" s="222"/>
      <c r="BH2640" s="611"/>
      <c r="BJ2640" s="15"/>
      <c r="BK2640" s="15"/>
      <c r="BO2640" s="223"/>
      <c r="BQ2640" s="889"/>
      <c r="BT2640" s="890"/>
      <c r="BX2640" s="889"/>
      <c r="CB2640" s="15"/>
      <c r="CC2640" s="697"/>
      <c r="CD2640" s="1086"/>
      <c r="CE2640" s="15"/>
      <c r="CF2640" s="15"/>
      <c r="CG2640" s="936"/>
      <c r="CH2640" s="15"/>
      <c r="CI2640" s="15"/>
      <c r="CJ2640" s="15"/>
      <c r="CK2640" s="1107"/>
      <c r="CL2640" s="22"/>
      <c r="CM2640" s="22"/>
      <c r="CN2640" s="1107"/>
      <c r="CR2640" s="223"/>
      <c r="CS2640" s="952"/>
      <c r="CT2640" s="1066"/>
      <c r="CU2640" s="972"/>
      <c r="CV2640" s="983"/>
      <c r="CW2640" s="222"/>
      <c r="CX2640" s="697"/>
      <c r="DC2640" s="222"/>
      <c r="DJ2640" s="889"/>
      <c r="DM2640" s="890"/>
      <c r="DN2640" s="952"/>
      <c r="DO2640" s="75"/>
      <c r="DP2640" s="962"/>
      <c r="DQ2640" s="983"/>
      <c r="DV2640" s="889"/>
    </row>
    <row r="2641" spans="1:126" s="74" customFormat="1">
      <c r="A2641" s="15"/>
      <c r="B2641" s="15"/>
      <c r="C2641" s="15"/>
      <c r="D2641" s="15"/>
      <c r="E2641" s="6"/>
      <c r="F2641" s="6"/>
      <c r="G2641" s="6"/>
      <c r="K2641" s="222"/>
      <c r="V2641" s="1430"/>
      <c r="AA2641" s="223"/>
      <c r="AC2641" s="889"/>
      <c r="AF2641" s="890"/>
      <c r="AJ2641" s="889"/>
      <c r="AN2641" s="222"/>
      <c r="BC2641" s="223"/>
      <c r="BD2641" s="222"/>
      <c r="BH2641" s="611"/>
      <c r="BJ2641" s="15"/>
      <c r="BK2641" s="15"/>
      <c r="BO2641" s="223"/>
      <c r="BQ2641" s="889"/>
      <c r="BT2641" s="890"/>
      <c r="BX2641" s="889"/>
      <c r="CB2641" s="15"/>
      <c r="CC2641" s="697"/>
      <c r="CD2641" s="1086"/>
      <c r="CE2641" s="15"/>
      <c r="CF2641" s="15"/>
      <c r="CG2641" s="936"/>
      <c r="CH2641" s="15"/>
      <c r="CI2641" s="15"/>
      <c r="CJ2641" s="15"/>
      <c r="CK2641" s="1107"/>
      <c r="CL2641" s="22"/>
      <c r="CM2641" s="22"/>
      <c r="CN2641" s="1107"/>
      <c r="CR2641" s="223"/>
      <c r="CS2641" s="952"/>
      <c r="CT2641" s="1066"/>
      <c r="CU2641" s="972"/>
      <c r="CV2641" s="983"/>
      <c r="CW2641" s="222"/>
      <c r="CX2641" s="697"/>
      <c r="DC2641" s="222"/>
      <c r="DJ2641" s="889"/>
      <c r="DM2641" s="890"/>
      <c r="DN2641" s="952"/>
      <c r="DO2641" s="75"/>
      <c r="DP2641" s="962"/>
      <c r="DQ2641" s="983"/>
      <c r="DV2641" s="889"/>
    </row>
    <row r="2642" spans="1:126" s="74" customFormat="1">
      <c r="A2642" s="15"/>
      <c r="B2642" s="15"/>
      <c r="C2642" s="15"/>
      <c r="D2642" s="15"/>
      <c r="E2642" s="6"/>
      <c r="F2642" s="6"/>
      <c r="G2642" s="6"/>
      <c r="K2642" s="222"/>
      <c r="V2642" s="1430"/>
      <c r="AA2642" s="223"/>
      <c r="AC2642" s="889"/>
      <c r="AF2642" s="890"/>
      <c r="AJ2642" s="889"/>
      <c r="AN2642" s="222"/>
      <c r="BC2642" s="223"/>
      <c r="BD2642" s="222"/>
      <c r="BH2642" s="611"/>
      <c r="BJ2642" s="15"/>
      <c r="BK2642" s="15"/>
      <c r="BO2642" s="223"/>
      <c r="BQ2642" s="889"/>
      <c r="BT2642" s="890"/>
      <c r="BX2642" s="889"/>
      <c r="CB2642" s="15"/>
      <c r="CC2642" s="697"/>
      <c r="CD2642" s="1086"/>
      <c r="CE2642" s="15"/>
      <c r="CF2642" s="15"/>
      <c r="CG2642" s="936"/>
      <c r="CH2642" s="15"/>
      <c r="CI2642" s="15"/>
      <c r="CJ2642" s="15"/>
      <c r="CK2642" s="1107"/>
      <c r="CL2642" s="22"/>
      <c r="CM2642" s="22"/>
      <c r="CN2642" s="1107"/>
      <c r="CR2642" s="223"/>
      <c r="CS2642" s="952"/>
      <c r="CT2642" s="1066"/>
      <c r="CU2642" s="972"/>
      <c r="CV2642" s="983"/>
      <c r="CW2642" s="222"/>
      <c r="CX2642" s="697"/>
      <c r="DC2642" s="222"/>
      <c r="DJ2642" s="889"/>
      <c r="DM2642" s="890"/>
      <c r="DN2642" s="952"/>
      <c r="DO2642" s="75"/>
      <c r="DP2642" s="962"/>
      <c r="DQ2642" s="983"/>
      <c r="DV2642" s="889"/>
    </row>
    <row r="2643" spans="1:126" s="74" customFormat="1">
      <c r="A2643" s="15"/>
      <c r="B2643" s="15"/>
      <c r="C2643" s="15"/>
      <c r="D2643" s="15"/>
      <c r="E2643" s="6"/>
      <c r="F2643" s="6"/>
      <c r="G2643" s="6"/>
      <c r="K2643" s="222"/>
      <c r="V2643" s="1430"/>
      <c r="AA2643" s="223"/>
      <c r="AC2643" s="889"/>
      <c r="AF2643" s="890"/>
      <c r="AJ2643" s="889"/>
      <c r="AN2643" s="222"/>
      <c r="BC2643" s="223"/>
      <c r="BD2643" s="222"/>
      <c r="BH2643" s="611"/>
      <c r="BJ2643" s="15"/>
      <c r="BK2643" s="15"/>
      <c r="BO2643" s="223"/>
      <c r="BQ2643" s="889"/>
      <c r="BT2643" s="890"/>
      <c r="BX2643" s="889"/>
      <c r="CB2643" s="15"/>
      <c r="CC2643" s="697"/>
      <c r="CD2643" s="1086"/>
      <c r="CE2643" s="15"/>
      <c r="CF2643" s="15"/>
      <c r="CG2643" s="936"/>
      <c r="CH2643" s="15"/>
      <c r="CI2643" s="15"/>
      <c r="CJ2643" s="15"/>
      <c r="CK2643" s="1107"/>
      <c r="CL2643" s="22"/>
      <c r="CM2643" s="22"/>
      <c r="CN2643" s="1107"/>
      <c r="CR2643" s="223"/>
      <c r="CS2643" s="952"/>
      <c r="CT2643" s="1066"/>
      <c r="CU2643" s="972"/>
      <c r="CV2643" s="983"/>
      <c r="CW2643" s="222"/>
      <c r="CX2643" s="697"/>
      <c r="DC2643" s="222"/>
      <c r="DJ2643" s="889"/>
      <c r="DM2643" s="890"/>
      <c r="DN2643" s="952"/>
      <c r="DO2643" s="75"/>
      <c r="DP2643" s="962"/>
      <c r="DQ2643" s="983"/>
      <c r="DV2643" s="889"/>
    </row>
    <row r="2644" spans="1:126" s="74" customFormat="1">
      <c r="A2644" s="15"/>
      <c r="B2644" s="15"/>
      <c r="C2644" s="15"/>
      <c r="D2644" s="15"/>
      <c r="E2644" s="6"/>
      <c r="F2644" s="6"/>
      <c r="G2644" s="6"/>
      <c r="K2644" s="222"/>
      <c r="V2644" s="1430"/>
      <c r="AA2644" s="223"/>
      <c r="AC2644" s="889"/>
      <c r="AF2644" s="890"/>
      <c r="AJ2644" s="889"/>
      <c r="AN2644" s="222"/>
      <c r="BC2644" s="223"/>
      <c r="BD2644" s="222"/>
      <c r="BH2644" s="611"/>
      <c r="BJ2644" s="15"/>
      <c r="BK2644" s="15"/>
      <c r="BO2644" s="223"/>
      <c r="BQ2644" s="889"/>
      <c r="BT2644" s="890"/>
      <c r="BX2644" s="889"/>
      <c r="CB2644" s="15"/>
      <c r="CC2644" s="697"/>
      <c r="CD2644" s="1086"/>
      <c r="CE2644" s="15"/>
      <c r="CF2644" s="15"/>
      <c r="CG2644" s="936"/>
      <c r="CH2644" s="15"/>
      <c r="CI2644" s="15"/>
      <c r="CJ2644" s="15"/>
      <c r="CK2644" s="1107"/>
      <c r="CL2644" s="22"/>
      <c r="CM2644" s="22"/>
      <c r="CN2644" s="1107"/>
      <c r="CR2644" s="223"/>
      <c r="CS2644" s="952"/>
      <c r="CT2644" s="1066"/>
      <c r="CU2644" s="972"/>
      <c r="CV2644" s="983"/>
      <c r="CW2644" s="222"/>
      <c r="CX2644" s="697"/>
      <c r="DC2644" s="222"/>
      <c r="DJ2644" s="889"/>
      <c r="DM2644" s="890"/>
      <c r="DN2644" s="952"/>
      <c r="DO2644" s="75"/>
      <c r="DP2644" s="962"/>
      <c r="DQ2644" s="983"/>
      <c r="DV2644" s="889"/>
    </row>
    <row r="2645" spans="1:126" s="74" customFormat="1">
      <c r="A2645" s="15"/>
      <c r="B2645" s="15"/>
      <c r="C2645" s="15"/>
      <c r="D2645" s="15"/>
      <c r="E2645" s="6"/>
      <c r="F2645" s="6"/>
      <c r="G2645" s="6"/>
      <c r="K2645" s="222"/>
      <c r="V2645" s="1430"/>
      <c r="AA2645" s="223"/>
      <c r="AC2645" s="889"/>
      <c r="AF2645" s="890"/>
      <c r="AJ2645" s="889"/>
      <c r="AN2645" s="222"/>
      <c r="BC2645" s="223"/>
      <c r="BD2645" s="222"/>
      <c r="BH2645" s="611"/>
      <c r="BJ2645" s="15"/>
      <c r="BK2645" s="15"/>
      <c r="BO2645" s="223"/>
      <c r="BQ2645" s="889"/>
      <c r="BT2645" s="890"/>
      <c r="BX2645" s="889"/>
      <c r="CB2645" s="15"/>
      <c r="CC2645" s="697"/>
      <c r="CD2645" s="1086"/>
      <c r="CE2645" s="15"/>
      <c r="CF2645" s="15"/>
      <c r="CG2645" s="936"/>
      <c r="CH2645" s="15"/>
      <c r="CI2645" s="15"/>
      <c r="CJ2645" s="15"/>
      <c r="CK2645" s="1107"/>
      <c r="CL2645" s="22"/>
      <c r="CM2645" s="22"/>
      <c r="CN2645" s="1107"/>
      <c r="CR2645" s="223"/>
      <c r="CS2645" s="952"/>
      <c r="CT2645" s="1066"/>
      <c r="CU2645" s="972"/>
      <c r="CV2645" s="983"/>
      <c r="CW2645" s="222"/>
      <c r="CX2645" s="697"/>
      <c r="DC2645" s="222"/>
      <c r="DJ2645" s="889"/>
      <c r="DM2645" s="890"/>
      <c r="DN2645" s="952"/>
      <c r="DO2645" s="75"/>
      <c r="DP2645" s="962"/>
      <c r="DQ2645" s="983"/>
      <c r="DV2645" s="889"/>
    </row>
    <row r="2646" spans="1:126" s="74" customFormat="1">
      <c r="A2646" s="15"/>
      <c r="B2646" s="15"/>
      <c r="C2646" s="15"/>
      <c r="D2646" s="15"/>
      <c r="E2646" s="6"/>
      <c r="F2646" s="6"/>
      <c r="G2646" s="6"/>
      <c r="K2646" s="222"/>
      <c r="V2646" s="1430"/>
      <c r="AA2646" s="223"/>
      <c r="AC2646" s="889"/>
      <c r="AF2646" s="890"/>
      <c r="AJ2646" s="889"/>
      <c r="AN2646" s="222"/>
      <c r="BC2646" s="223"/>
      <c r="BD2646" s="222"/>
      <c r="BH2646" s="611"/>
      <c r="BJ2646" s="15"/>
      <c r="BK2646" s="15"/>
      <c r="BO2646" s="223"/>
      <c r="BQ2646" s="889"/>
      <c r="BT2646" s="890"/>
      <c r="BX2646" s="889"/>
      <c r="CB2646" s="15"/>
      <c r="CC2646" s="697"/>
      <c r="CD2646" s="1086"/>
      <c r="CE2646" s="15"/>
      <c r="CF2646" s="15"/>
      <c r="CG2646" s="936"/>
      <c r="CH2646" s="15"/>
      <c r="CI2646" s="15"/>
      <c r="CJ2646" s="15"/>
      <c r="CK2646" s="1107"/>
      <c r="CL2646" s="22"/>
      <c r="CM2646" s="22"/>
      <c r="CN2646" s="1107"/>
      <c r="CR2646" s="223"/>
      <c r="CS2646" s="952"/>
      <c r="CT2646" s="1066"/>
      <c r="CU2646" s="972"/>
      <c r="CV2646" s="983"/>
      <c r="CW2646" s="222"/>
      <c r="CX2646" s="697"/>
      <c r="DC2646" s="222"/>
      <c r="DJ2646" s="889"/>
      <c r="DM2646" s="890"/>
      <c r="DN2646" s="952"/>
      <c r="DO2646" s="75"/>
      <c r="DP2646" s="962"/>
      <c r="DQ2646" s="983"/>
      <c r="DV2646" s="889"/>
    </row>
    <row r="2647" spans="1:126" s="74" customFormat="1">
      <c r="A2647" s="15"/>
      <c r="B2647" s="15"/>
      <c r="C2647" s="15"/>
      <c r="D2647" s="15"/>
      <c r="E2647" s="6"/>
      <c r="F2647" s="6"/>
      <c r="G2647" s="6"/>
      <c r="K2647" s="222"/>
      <c r="V2647" s="1430"/>
      <c r="AA2647" s="223"/>
      <c r="AC2647" s="889"/>
      <c r="AF2647" s="890"/>
      <c r="AJ2647" s="889"/>
      <c r="AN2647" s="222"/>
      <c r="BC2647" s="223"/>
      <c r="BD2647" s="222"/>
      <c r="BH2647" s="611"/>
      <c r="BJ2647" s="15"/>
      <c r="BK2647" s="15"/>
      <c r="BO2647" s="223"/>
      <c r="BQ2647" s="889"/>
      <c r="BT2647" s="890"/>
      <c r="BX2647" s="889"/>
      <c r="CB2647" s="15"/>
      <c r="CC2647" s="697"/>
      <c r="CD2647" s="1086"/>
      <c r="CE2647" s="15"/>
      <c r="CF2647" s="15"/>
      <c r="CG2647" s="936"/>
      <c r="CH2647" s="15"/>
      <c r="CI2647" s="15"/>
      <c r="CJ2647" s="15"/>
      <c r="CK2647" s="1107"/>
      <c r="CL2647" s="22"/>
      <c r="CM2647" s="22"/>
      <c r="CN2647" s="1107"/>
      <c r="CR2647" s="223"/>
      <c r="CS2647" s="952"/>
      <c r="CT2647" s="1066"/>
      <c r="CU2647" s="972"/>
      <c r="CV2647" s="983"/>
      <c r="CW2647" s="222"/>
      <c r="CX2647" s="697"/>
      <c r="DC2647" s="222"/>
      <c r="DJ2647" s="889"/>
      <c r="DM2647" s="890"/>
      <c r="DN2647" s="952"/>
      <c r="DO2647" s="75"/>
      <c r="DP2647" s="962"/>
      <c r="DQ2647" s="983"/>
      <c r="DV2647" s="889"/>
    </row>
    <row r="2648" spans="1:126" s="74" customFormat="1">
      <c r="A2648" s="15"/>
      <c r="B2648" s="15"/>
      <c r="C2648" s="15"/>
      <c r="D2648" s="15"/>
      <c r="E2648" s="6"/>
      <c r="F2648" s="6"/>
      <c r="G2648" s="6"/>
      <c r="K2648" s="222"/>
      <c r="V2648" s="1430"/>
      <c r="AA2648" s="223"/>
      <c r="AC2648" s="889"/>
      <c r="AF2648" s="890"/>
      <c r="AJ2648" s="889"/>
      <c r="AN2648" s="222"/>
      <c r="BC2648" s="223"/>
      <c r="BD2648" s="222"/>
      <c r="BH2648" s="611"/>
      <c r="BJ2648" s="15"/>
      <c r="BK2648" s="15"/>
      <c r="BO2648" s="223"/>
      <c r="BQ2648" s="889"/>
      <c r="BT2648" s="890"/>
      <c r="BX2648" s="889"/>
      <c r="CB2648" s="15"/>
      <c r="CC2648" s="697"/>
      <c r="CD2648" s="1086"/>
      <c r="CE2648" s="15"/>
      <c r="CF2648" s="15"/>
      <c r="CG2648" s="936"/>
      <c r="CH2648" s="15"/>
      <c r="CI2648" s="15"/>
      <c r="CJ2648" s="15"/>
      <c r="CK2648" s="1107"/>
      <c r="CL2648" s="22"/>
      <c r="CM2648" s="22"/>
      <c r="CN2648" s="1107"/>
      <c r="CR2648" s="223"/>
      <c r="CS2648" s="952"/>
      <c r="CT2648" s="1066"/>
      <c r="CU2648" s="972"/>
      <c r="CV2648" s="983"/>
      <c r="CW2648" s="222"/>
      <c r="CX2648" s="697"/>
      <c r="DC2648" s="222"/>
      <c r="DJ2648" s="889"/>
      <c r="DM2648" s="890"/>
      <c r="DN2648" s="952"/>
      <c r="DO2648" s="75"/>
      <c r="DP2648" s="962"/>
      <c r="DQ2648" s="983"/>
      <c r="DV2648" s="889"/>
    </row>
    <row r="2649" spans="1:126" s="74" customFormat="1">
      <c r="A2649" s="15"/>
      <c r="B2649" s="15"/>
      <c r="C2649" s="15"/>
      <c r="D2649" s="15"/>
      <c r="E2649" s="6"/>
      <c r="F2649" s="6"/>
      <c r="G2649" s="6"/>
      <c r="K2649" s="222"/>
      <c r="V2649" s="1430"/>
      <c r="AA2649" s="223"/>
      <c r="AC2649" s="889"/>
      <c r="AF2649" s="890"/>
      <c r="AJ2649" s="889"/>
      <c r="AN2649" s="222"/>
      <c r="BC2649" s="223"/>
      <c r="BD2649" s="222"/>
      <c r="BH2649" s="611"/>
      <c r="BJ2649" s="15"/>
      <c r="BK2649" s="15"/>
      <c r="BO2649" s="223"/>
      <c r="BQ2649" s="889"/>
      <c r="BT2649" s="890"/>
      <c r="BX2649" s="889"/>
      <c r="CB2649" s="15"/>
      <c r="CC2649" s="697"/>
      <c r="CD2649" s="1086"/>
      <c r="CE2649" s="15"/>
      <c r="CF2649" s="15"/>
      <c r="CG2649" s="936"/>
      <c r="CH2649" s="15"/>
      <c r="CI2649" s="15"/>
      <c r="CJ2649" s="15"/>
      <c r="CK2649" s="1107"/>
      <c r="CL2649" s="22"/>
      <c r="CM2649" s="22"/>
      <c r="CN2649" s="1107"/>
      <c r="CR2649" s="223"/>
      <c r="CS2649" s="952"/>
      <c r="CT2649" s="1066"/>
      <c r="CU2649" s="972"/>
      <c r="CV2649" s="983"/>
      <c r="CW2649" s="222"/>
      <c r="CX2649" s="697"/>
      <c r="DC2649" s="222"/>
      <c r="DJ2649" s="889"/>
      <c r="DM2649" s="890"/>
      <c r="DN2649" s="952"/>
      <c r="DO2649" s="75"/>
      <c r="DP2649" s="962"/>
      <c r="DQ2649" s="983"/>
      <c r="DV2649" s="889"/>
    </row>
    <row r="2650" spans="1:126" s="74" customFormat="1">
      <c r="A2650" s="15"/>
      <c r="B2650" s="15"/>
      <c r="C2650" s="15"/>
      <c r="D2650" s="15"/>
      <c r="E2650" s="6"/>
      <c r="F2650" s="6"/>
      <c r="G2650" s="6"/>
      <c r="K2650" s="222"/>
      <c r="V2650" s="1430"/>
      <c r="AA2650" s="223"/>
      <c r="AC2650" s="889"/>
      <c r="AF2650" s="890"/>
      <c r="AJ2650" s="889"/>
      <c r="AN2650" s="222"/>
      <c r="BC2650" s="223"/>
      <c r="BD2650" s="222"/>
      <c r="BH2650" s="611"/>
      <c r="BJ2650" s="15"/>
      <c r="BK2650" s="15"/>
      <c r="BO2650" s="223"/>
      <c r="BQ2650" s="889"/>
      <c r="BT2650" s="890"/>
      <c r="BX2650" s="889"/>
      <c r="CB2650" s="15"/>
      <c r="CC2650" s="697"/>
      <c r="CD2650" s="1086"/>
      <c r="CE2650" s="15"/>
      <c r="CF2650" s="15"/>
      <c r="CG2650" s="936"/>
      <c r="CH2650" s="15"/>
      <c r="CI2650" s="15"/>
      <c r="CJ2650" s="15"/>
      <c r="CK2650" s="1107"/>
      <c r="CL2650" s="22"/>
      <c r="CM2650" s="22"/>
      <c r="CN2650" s="1107"/>
      <c r="CR2650" s="223"/>
      <c r="CS2650" s="952"/>
      <c r="CT2650" s="1066"/>
      <c r="CU2650" s="972"/>
      <c r="CV2650" s="983"/>
      <c r="CW2650" s="222"/>
      <c r="CX2650" s="697"/>
      <c r="DC2650" s="222"/>
      <c r="DJ2650" s="889"/>
      <c r="DM2650" s="890"/>
      <c r="DN2650" s="952"/>
      <c r="DO2650" s="75"/>
      <c r="DP2650" s="962"/>
      <c r="DQ2650" s="983"/>
      <c r="DV2650" s="889"/>
    </row>
    <row r="2651" spans="1:126" s="74" customFormat="1">
      <c r="A2651" s="15"/>
      <c r="B2651" s="15"/>
      <c r="C2651" s="15"/>
      <c r="D2651" s="15"/>
      <c r="E2651" s="6"/>
      <c r="F2651" s="6"/>
      <c r="G2651" s="6"/>
      <c r="K2651" s="222"/>
      <c r="V2651" s="1430"/>
      <c r="AA2651" s="223"/>
      <c r="AC2651" s="889"/>
      <c r="AF2651" s="890"/>
      <c r="AJ2651" s="889"/>
      <c r="AN2651" s="222"/>
      <c r="BC2651" s="223"/>
      <c r="BD2651" s="222"/>
      <c r="BH2651" s="611"/>
      <c r="BJ2651" s="15"/>
      <c r="BK2651" s="15"/>
      <c r="BO2651" s="223"/>
      <c r="BQ2651" s="889"/>
      <c r="BT2651" s="890"/>
      <c r="BX2651" s="889"/>
      <c r="CB2651" s="15"/>
      <c r="CC2651" s="697"/>
      <c r="CD2651" s="1086"/>
      <c r="CE2651" s="15"/>
      <c r="CF2651" s="15"/>
      <c r="CG2651" s="936"/>
      <c r="CH2651" s="15"/>
      <c r="CI2651" s="15"/>
      <c r="CJ2651" s="15"/>
      <c r="CK2651" s="1107"/>
      <c r="CL2651" s="22"/>
      <c r="CM2651" s="22"/>
      <c r="CN2651" s="1107"/>
      <c r="CR2651" s="223"/>
      <c r="CS2651" s="952"/>
      <c r="CT2651" s="1066"/>
      <c r="CU2651" s="972"/>
      <c r="CV2651" s="983"/>
      <c r="CW2651" s="222"/>
      <c r="CX2651" s="697"/>
      <c r="DC2651" s="222"/>
      <c r="DJ2651" s="889"/>
      <c r="DM2651" s="890"/>
      <c r="DN2651" s="952"/>
      <c r="DO2651" s="75"/>
      <c r="DP2651" s="962"/>
      <c r="DQ2651" s="983"/>
      <c r="DV2651" s="889"/>
    </row>
    <row r="2652" spans="1:126" s="74" customFormat="1">
      <c r="A2652" s="15"/>
      <c r="B2652" s="15"/>
      <c r="C2652" s="15"/>
      <c r="D2652" s="15"/>
      <c r="E2652" s="6"/>
      <c r="F2652" s="6"/>
      <c r="G2652" s="6"/>
      <c r="K2652" s="222"/>
      <c r="V2652" s="1430"/>
      <c r="AA2652" s="223"/>
      <c r="AC2652" s="889"/>
      <c r="AF2652" s="890"/>
      <c r="AJ2652" s="889"/>
      <c r="AN2652" s="222"/>
      <c r="BC2652" s="223"/>
      <c r="BD2652" s="222"/>
      <c r="BH2652" s="611"/>
      <c r="BJ2652" s="15"/>
      <c r="BK2652" s="15"/>
      <c r="BO2652" s="223"/>
      <c r="BQ2652" s="889"/>
      <c r="BT2652" s="890"/>
      <c r="BX2652" s="889"/>
      <c r="CB2652" s="15"/>
      <c r="CC2652" s="697"/>
      <c r="CD2652" s="1086"/>
      <c r="CE2652" s="15"/>
      <c r="CF2652" s="15"/>
      <c r="CG2652" s="936"/>
      <c r="CH2652" s="15"/>
      <c r="CI2652" s="15"/>
      <c r="CJ2652" s="15"/>
      <c r="CK2652" s="1107"/>
      <c r="CL2652" s="22"/>
      <c r="CM2652" s="22"/>
      <c r="CN2652" s="1107"/>
      <c r="CR2652" s="223"/>
      <c r="CS2652" s="952"/>
      <c r="CT2652" s="1066"/>
      <c r="CU2652" s="972"/>
      <c r="CV2652" s="983"/>
      <c r="CW2652" s="222"/>
      <c r="CX2652" s="697"/>
      <c r="DC2652" s="222"/>
      <c r="DJ2652" s="889"/>
      <c r="DM2652" s="890"/>
      <c r="DN2652" s="952"/>
      <c r="DO2652" s="75"/>
      <c r="DP2652" s="962"/>
      <c r="DQ2652" s="983"/>
      <c r="DV2652" s="889"/>
    </row>
    <row r="2653" spans="1:126" s="74" customFormat="1">
      <c r="A2653" s="15"/>
      <c r="B2653" s="15"/>
      <c r="C2653" s="15"/>
      <c r="D2653" s="15"/>
      <c r="E2653" s="6"/>
      <c r="F2653" s="6"/>
      <c r="G2653" s="6"/>
      <c r="K2653" s="222"/>
      <c r="V2653" s="1430"/>
      <c r="AA2653" s="223"/>
      <c r="AC2653" s="889"/>
      <c r="AF2653" s="890"/>
      <c r="AJ2653" s="889"/>
      <c r="AN2653" s="222"/>
      <c r="BC2653" s="223"/>
      <c r="BD2653" s="222"/>
      <c r="BH2653" s="611"/>
      <c r="BJ2653" s="15"/>
      <c r="BK2653" s="15"/>
      <c r="BO2653" s="223"/>
      <c r="BQ2653" s="889"/>
      <c r="BT2653" s="890"/>
      <c r="BX2653" s="889"/>
      <c r="CB2653" s="15"/>
      <c r="CC2653" s="697"/>
      <c r="CD2653" s="1086"/>
      <c r="CE2653" s="15"/>
      <c r="CF2653" s="15"/>
      <c r="CG2653" s="936"/>
      <c r="CH2653" s="15"/>
      <c r="CI2653" s="15"/>
      <c r="CJ2653" s="15"/>
      <c r="CK2653" s="1107"/>
      <c r="CL2653" s="22"/>
      <c r="CM2653" s="22"/>
      <c r="CN2653" s="1107"/>
      <c r="CR2653" s="223"/>
      <c r="CS2653" s="952"/>
      <c r="CT2653" s="1066"/>
      <c r="CU2653" s="972"/>
      <c r="CV2653" s="983"/>
      <c r="CW2653" s="222"/>
      <c r="CX2653" s="697"/>
      <c r="DC2653" s="222"/>
      <c r="DJ2653" s="889"/>
      <c r="DM2653" s="890"/>
      <c r="DN2653" s="952"/>
      <c r="DO2653" s="75"/>
      <c r="DP2653" s="962"/>
      <c r="DQ2653" s="983"/>
      <c r="DV2653" s="889"/>
    </row>
    <row r="2654" spans="1:126" s="74" customFormat="1">
      <c r="A2654" s="15"/>
      <c r="B2654" s="15"/>
      <c r="C2654" s="15"/>
      <c r="D2654" s="15"/>
      <c r="E2654" s="6"/>
      <c r="F2654" s="6"/>
      <c r="G2654" s="6"/>
      <c r="K2654" s="222"/>
      <c r="V2654" s="1430"/>
      <c r="AA2654" s="223"/>
      <c r="AC2654" s="889"/>
      <c r="AF2654" s="890"/>
      <c r="AJ2654" s="889"/>
      <c r="AN2654" s="222"/>
      <c r="BC2654" s="223"/>
      <c r="BD2654" s="222"/>
      <c r="BH2654" s="611"/>
      <c r="BJ2654" s="15"/>
      <c r="BK2654" s="15"/>
      <c r="BO2654" s="223"/>
      <c r="BQ2654" s="889"/>
      <c r="BT2654" s="890"/>
      <c r="BX2654" s="889"/>
      <c r="CB2654" s="15"/>
      <c r="CC2654" s="697"/>
      <c r="CD2654" s="1086"/>
      <c r="CE2654" s="15"/>
      <c r="CF2654" s="15"/>
      <c r="CG2654" s="936"/>
      <c r="CH2654" s="15"/>
      <c r="CI2654" s="15"/>
      <c r="CJ2654" s="15"/>
      <c r="CK2654" s="1107"/>
      <c r="CL2654" s="22"/>
      <c r="CM2654" s="22"/>
      <c r="CN2654" s="1107"/>
      <c r="CR2654" s="223"/>
      <c r="CS2654" s="952"/>
      <c r="CT2654" s="1066"/>
      <c r="CU2654" s="972"/>
      <c r="CV2654" s="983"/>
      <c r="CW2654" s="222"/>
      <c r="CX2654" s="697"/>
      <c r="DC2654" s="222"/>
      <c r="DJ2654" s="889"/>
      <c r="DM2654" s="890"/>
      <c r="DN2654" s="952"/>
      <c r="DO2654" s="75"/>
      <c r="DP2654" s="962"/>
      <c r="DQ2654" s="983"/>
      <c r="DV2654" s="889"/>
    </row>
    <row r="2655" spans="1:126" s="74" customFormat="1">
      <c r="A2655" s="15"/>
      <c r="B2655" s="15"/>
      <c r="C2655" s="15"/>
      <c r="D2655" s="15"/>
      <c r="E2655" s="6"/>
      <c r="F2655" s="6"/>
      <c r="G2655" s="6"/>
      <c r="K2655" s="222"/>
      <c r="V2655" s="1430"/>
      <c r="AA2655" s="223"/>
      <c r="AC2655" s="889"/>
      <c r="AF2655" s="890"/>
      <c r="AJ2655" s="889"/>
      <c r="AN2655" s="222"/>
      <c r="BC2655" s="223"/>
      <c r="BD2655" s="222"/>
      <c r="BH2655" s="611"/>
      <c r="BJ2655" s="15"/>
      <c r="BK2655" s="15"/>
      <c r="BO2655" s="223"/>
      <c r="BQ2655" s="889"/>
      <c r="BT2655" s="890"/>
      <c r="BX2655" s="889"/>
      <c r="CB2655" s="15"/>
      <c r="CC2655" s="697"/>
      <c r="CD2655" s="1086"/>
      <c r="CE2655" s="15"/>
      <c r="CF2655" s="15"/>
      <c r="CG2655" s="936"/>
      <c r="CH2655" s="15"/>
      <c r="CI2655" s="15"/>
      <c r="CJ2655" s="15"/>
      <c r="CK2655" s="1107"/>
      <c r="CL2655" s="22"/>
      <c r="CM2655" s="22"/>
      <c r="CN2655" s="1107"/>
      <c r="CR2655" s="223"/>
      <c r="CS2655" s="952"/>
      <c r="CT2655" s="1066"/>
      <c r="CU2655" s="972"/>
      <c r="CV2655" s="983"/>
      <c r="CW2655" s="222"/>
      <c r="CX2655" s="697"/>
      <c r="DC2655" s="222"/>
      <c r="DJ2655" s="889"/>
      <c r="DM2655" s="890"/>
      <c r="DN2655" s="952"/>
      <c r="DO2655" s="75"/>
      <c r="DP2655" s="962"/>
      <c r="DQ2655" s="983"/>
      <c r="DV2655" s="889"/>
    </row>
    <row r="2656" spans="1:126" s="74" customFormat="1">
      <c r="A2656" s="15"/>
      <c r="B2656" s="15"/>
      <c r="C2656" s="15"/>
      <c r="D2656" s="15"/>
      <c r="E2656" s="6"/>
      <c r="F2656" s="6"/>
      <c r="G2656" s="6"/>
      <c r="K2656" s="222"/>
      <c r="V2656" s="1430"/>
      <c r="AA2656" s="223"/>
      <c r="AC2656" s="889"/>
      <c r="AF2656" s="890"/>
      <c r="AJ2656" s="889"/>
      <c r="AN2656" s="222"/>
      <c r="BC2656" s="223"/>
      <c r="BD2656" s="222"/>
      <c r="BH2656" s="611"/>
      <c r="BJ2656" s="15"/>
      <c r="BK2656" s="15"/>
      <c r="BO2656" s="223"/>
      <c r="BQ2656" s="889"/>
      <c r="BT2656" s="890"/>
      <c r="BX2656" s="889"/>
      <c r="CB2656" s="15"/>
      <c r="CC2656" s="697"/>
      <c r="CD2656" s="1086"/>
      <c r="CE2656" s="15"/>
      <c r="CF2656" s="15"/>
      <c r="CG2656" s="936"/>
      <c r="CH2656" s="15"/>
      <c r="CI2656" s="15"/>
      <c r="CJ2656" s="15"/>
      <c r="CK2656" s="1107"/>
      <c r="CL2656" s="22"/>
      <c r="CM2656" s="22"/>
      <c r="CN2656" s="1107"/>
      <c r="CR2656" s="223"/>
      <c r="CS2656" s="952"/>
      <c r="CT2656" s="1066"/>
      <c r="CU2656" s="972"/>
      <c r="CV2656" s="983"/>
      <c r="CW2656" s="222"/>
      <c r="CX2656" s="697"/>
      <c r="DC2656" s="222"/>
      <c r="DJ2656" s="889"/>
      <c r="DM2656" s="890"/>
      <c r="DN2656" s="952"/>
      <c r="DO2656" s="75"/>
      <c r="DP2656" s="962"/>
      <c r="DQ2656" s="983"/>
      <c r="DV2656" s="889"/>
    </row>
    <row r="2657" spans="1:126" s="74" customFormat="1">
      <c r="A2657" s="15"/>
      <c r="B2657" s="15"/>
      <c r="C2657" s="15"/>
      <c r="D2657" s="15"/>
      <c r="E2657" s="6"/>
      <c r="F2657" s="6"/>
      <c r="G2657" s="6"/>
      <c r="K2657" s="222"/>
      <c r="V2657" s="1430"/>
      <c r="AA2657" s="223"/>
      <c r="AC2657" s="889"/>
      <c r="AF2657" s="890"/>
      <c r="AJ2657" s="889"/>
      <c r="AN2657" s="222"/>
      <c r="BC2657" s="223"/>
      <c r="BD2657" s="222"/>
      <c r="BH2657" s="611"/>
      <c r="BJ2657" s="15"/>
      <c r="BK2657" s="15"/>
      <c r="BO2657" s="223"/>
      <c r="BQ2657" s="889"/>
      <c r="BT2657" s="890"/>
      <c r="BX2657" s="889"/>
      <c r="CB2657" s="15"/>
      <c r="CC2657" s="697"/>
      <c r="CD2657" s="1086"/>
      <c r="CE2657" s="15"/>
      <c r="CF2657" s="15"/>
      <c r="CG2657" s="936"/>
      <c r="CH2657" s="15"/>
      <c r="CI2657" s="15"/>
      <c r="CJ2657" s="15"/>
      <c r="CK2657" s="1107"/>
      <c r="CL2657" s="22"/>
      <c r="CM2657" s="22"/>
      <c r="CN2657" s="1107"/>
      <c r="CR2657" s="223"/>
      <c r="CS2657" s="952"/>
      <c r="CT2657" s="1066"/>
      <c r="CU2657" s="972"/>
      <c r="CV2657" s="983"/>
      <c r="CW2657" s="222"/>
      <c r="CX2657" s="697"/>
      <c r="DC2657" s="222"/>
      <c r="DJ2657" s="889"/>
      <c r="DM2657" s="890"/>
      <c r="DN2657" s="952"/>
      <c r="DO2657" s="75"/>
      <c r="DP2657" s="962"/>
      <c r="DQ2657" s="983"/>
      <c r="DV2657" s="889"/>
    </row>
    <row r="2658" spans="1:126" s="74" customFormat="1">
      <c r="A2658" s="15"/>
      <c r="B2658" s="15"/>
      <c r="C2658" s="15"/>
      <c r="D2658" s="15"/>
      <c r="E2658" s="6"/>
      <c r="F2658" s="6"/>
      <c r="G2658" s="6"/>
      <c r="K2658" s="222"/>
      <c r="V2658" s="1430"/>
      <c r="AA2658" s="223"/>
      <c r="AC2658" s="889"/>
      <c r="AF2658" s="890"/>
      <c r="AJ2658" s="889"/>
      <c r="AN2658" s="222"/>
      <c r="BC2658" s="223"/>
      <c r="BD2658" s="222"/>
      <c r="BH2658" s="611"/>
      <c r="BJ2658" s="15"/>
      <c r="BK2658" s="15"/>
      <c r="BO2658" s="223"/>
      <c r="BQ2658" s="889"/>
      <c r="BT2658" s="890"/>
      <c r="BX2658" s="889"/>
      <c r="CB2658" s="15"/>
      <c r="CC2658" s="697"/>
      <c r="CD2658" s="1086"/>
      <c r="CE2658" s="15"/>
      <c r="CF2658" s="15"/>
      <c r="CG2658" s="936"/>
      <c r="CH2658" s="15"/>
      <c r="CI2658" s="15"/>
      <c r="CJ2658" s="15"/>
      <c r="CK2658" s="1107"/>
      <c r="CL2658" s="22"/>
      <c r="CM2658" s="22"/>
      <c r="CN2658" s="1107"/>
      <c r="CR2658" s="223"/>
      <c r="CS2658" s="952"/>
      <c r="CT2658" s="1066"/>
      <c r="CU2658" s="972"/>
      <c r="CV2658" s="983"/>
      <c r="CW2658" s="222"/>
      <c r="CX2658" s="697"/>
      <c r="DC2658" s="222"/>
      <c r="DJ2658" s="889"/>
      <c r="DM2658" s="890"/>
      <c r="DN2658" s="952"/>
      <c r="DO2658" s="75"/>
      <c r="DP2658" s="962"/>
      <c r="DQ2658" s="983"/>
      <c r="DV2658" s="889"/>
    </row>
    <row r="2659" spans="1:126" s="74" customFormat="1">
      <c r="A2659" s="15"/>
      <c r="B2659" s="15"/>
      <c r="C2659" s="15"/>
      <c r="D2659" s="15"/>
      <c r="E2659" s="6"/>
      <c r="F2659" s="6"/>
      <c r="G2659" s="6"/>
      <c r="K2659" s="222"/>
      <c r="V2659" s="1430"/>
      <c r="AA2659" s="223"/>
      <c r="AC2659" s="889"/>
      <c r="AF2659" s="890"/>
      <c r="AJ2659" s="889"/>
      <c r="AN2659" s="222"/>
      <c r="BC2659" s="223"/>
      <c r="BD2659" s="222"/>
      <c r="BH2659" s="611"/>
      <c r="BJ2659" s="15"/>
      <c r="BK2659" s="15"/>
      <c r="BO2659" s="223"/>
      <c r="BQ2659" s="889"/>
      <c r="BT2659" s="890"/>
      <c r="BX2659" s="889"/>
      <c r="CB2659" s="15"/>
      <c r="CC2659" s="697"/>
      <c r="CD2659" s="1086"/>
      <c r="CE2659" s="15"/>
      <c r="CF2659" s="15"/>
      <c r="CG2659" s="936"/>
      <c r="CH2659" s="15"/>
      <c r="CI2659" s="15"/>
      <c r="CJ2659" s="15"/>
      <c r="CK2659" s="1107"/>
      <c r="CL2659" s="22"/>
      <c r="CM2659" s="22"/>
      <c r="CN2659" s="1107"/>
      <c r="CR2659" s="223"/>
      <c r="CS2659" s="952"/>
      <c r="CT2659" s="1066"/>
      <c r="CU2659" s="972"/>
      <c r="CV2659" s="983"/>
      <c r="CW2659" s="222"/>
      <c r="CX2659" s="697"/>
      <c r="DC2659" s="222"/>
      <c r="DJ2659" s="889"/>
      <c r="DM2659" s="890"/>
      <c r="DN2659" s="952"/>
      <c r="DO2659" s="75"/>
      <c r="DP2659" s="962"/>
      <c r="DQ2659" s="983"/>
      <c r="DV2659" s="889"/>
    </row>
    <row r="2660" spans="1:126" s="74" customFormat="1">
      <c r="A2660" s="15"/>
      <c r="B2660" s="15"/>
      <c r="C2660" s="15"/>
      <c r="D2660" s="15"/>
      <c r="E2660" s="6"/>
      <c r="F2660" s="6"/>
      <c r="G2660" s="6"/>
      <c r="K2660" s="222"/>
      <c r="V2660" s="1430"/>
      <c r="AA2660" s="223"/>
      <c r="AC2660" s="889"/>
      <c r="AF2660" s="890"/>
      <c r="AJ2660" s="889"/>
      <c r="AN2660" s="222"/>
      <c r="BC2660" s="223"/>
      <c r="BD2660" s="222"/>
      <c r="BH2660" s="611"/>
      <c r="BJ2660" s="15"/>
      <c r="BK2660" s="15"/>
      <c r="BO2660" s="223"/>
      <c r="BQ2660" s="889"/>
      <c r="BT2660" s="890"/>
      <c r="BX2660" s="889"/>
      <c r="CB2660" s="15"/>
      <c r="CC2660" s="697"/>
      <c r="CD2660" s="1086"/>
      <c r="CE2660" s="15"/>
      <c r="CF2660" s="15"/>
      <c r="CG2660" s="936"/>
      <c r="CH2660" s="15"/>
      <c r="CI2660" s="15"/>
      <c r="CJ2660" s="15"/>
      <c r="CK2660" s="1107"/>
      <c r="CL2660" s="22"/>
      <c r="CM2660" s="22"/>
      <c r="CN2660" s="1107"/>
      <c r="CR2660" s="223"/>
      <c r="CS2660" s="952"/>
      <c r="CT2660" s="1066"/>
      <c r="CU2660" s="972"/>
      <c r="CV2660" s="983"/>
      <c r="CW2660" s="222"/>
      <c r="CX2660" s="697"/>
      <c r="DC2660" s="222"/>
      <c r="DJ2660" s="889"/>
      <c r="DM2660" s="890"/>
      <c r="DN2660" s="952"/>
      <c r="DO2660" s="75"/>
      <c r="DP2660" s="962"/>
      <c r="DQ2660" s="983"/>
      <c r="DV2660" s="889"/>
    </row>
    <row r="2661" spans="1:126" s="74" customFormat="1">
      <c r="A2661" s="15"/>
      <c r="B2661" s="15"/>
      <c r="C2661" s="15"/>
      <c r="D2661" s="15"/>
      <c r="E2661" s="6"/>
      <c r="F2661" s="6"/>
      <c r="G2661" s="6"/>
      <c r="K2661" s="222"/>
      <c r="V2661" s="1430"/>
      <c r="AA2661" s="223"/>
      <c r="AC2661" s="889"/>
      <c r="AF2661" s="890"/>
      <c r="AJ2661" s="889"/>
      <c r="AN2661" s="222"/>
      <c r="BC2661" s="223"/>
      <c r="BD2661" s="222"/>
      <c r="BH2661" s="611"/>
      <c r="BJ2661" s="15"/>
      <c r="BK2661" s="15"/>
      <c r="BO2661" s="223"/>
      <c r="BQ2661" s="889"/>
      <c r="BT2661" s="890"/>
      <c r="BX2661" s="889"/>
      <c r="CB2661" s="15"/>
      <c r="CC2661" s="697"/>
      <c r="CD2661" s="1086"/>
      <c r="CE2661" s="15"/>
      <c r="CF2661" s="15"/>
      <c r="CG2661" s="936"/>
      <c r="CH2661" s="15"/>
      <c r="CI2661" s="15"/>
      <c r="CJ2661" s="15"/>
      <c r="CK2661" s="1107"/>
      <c r="CL2661" s="22"/>
      <c r="CM2661" s="22"/>
      <c r="CN2661" s="1107"/>
      <c r="CR2661" s="223"/>
      <c r="CS2661" s="952"/>
      <c r="CT2661" s="1066"/>
      <c r="CU2661" s="972"/>
      <c r="CV2661" s="983"/>
      <c r="CW2661" s="222"/>
      <c r="CX2661" s="697"/>
      <c r="DC2661" s="222"/>
      <c r="DJ2661" s="889"/>
      <c r="DM2661" s="890"/>
      <c r="DN2661" s="952"/>
      <c r="DO2661" s="75"/>
      <c r="DP2661" s="962"/>
      <c r="DQ2661" s="983"/>
      <c r="DV2661" s="889"/>
    </row>
    <row r="2662" spans="1:126" s="74" customFormat="1">
      <c r="A2662" s="15"/>
      <c r="B2662" s="15"/>
      <c r="C2662" s="15"/>
      <c r="D2662" s="15"/>
      <c r="E2662" s="6"/>
      <c r="F2662" s="6"/>
      <c r="G2662" s="6"/>
      <c r="K2662" s="222"/>
      <c r="V2662" s="1430"/>
      <c r="AA2662" s="223"/>
      <c r="AC2662" s="889"/>
      <c r="AF2662" s="890"/>
      <c r="AJ2662" s="889"/>
      <c r="AN2662" s="222"/>
      <c r="BC2662" s="223"/>
      <c r="BD2662" s="222"/>
      <c r="BH2662" s="611"/>
      <c r="BJ2662" s="15"/>
      <c r="BK2662" s="15"/>
      <c r="BO2662" s="223"/>
      <c r="BQ2662" s="889"/>
      <c r="BT2662" s="890"/>
      <c r="BX2662" s="889"/>
      <c r="CB2662" s="15"/>
      <c r="CC2662" s="697"/>
      <c r="CD2662" s="1086"/>
      <c r="CE2662" s="15"/>
      <c r="CF2662" s="15"/>
      <c r="CG2662" s="936"/>
      <c r="CH2662" s="15"/>
      <c r="CI2662" s="15"/>
      <c r="CJ2662" s="15"/>
      <c r="CK2662" s="1107"/>
      <c r="CL2662" s="22"/>
      <c r="CM2662" s="22"/>
      <c r="CN2662" s="1107"/>
      <c r="CR2662" s="223"/>
      <c r="CS2662" s="952"/>
      <c r="CT2662" s="1066"/>
      <c r="CU2662" s="972"/>
      <c r="CV2662" s="983"/>
      <c r="CW2662" s="222"/>
      <c r="CX2662" s="697"/>
      <c r="DC2662" s="222"/>
      <c r="DJ2662" s="889"/>
      <c r="DM2662" s="890"/>
      <c r="DN2662" s="952"/>
      <c r="DO2662" s="75"/>
      <c r="DP2662" s="962"/>
      <c r="DQ2662" s="983"/>
      <c r="DV2662" s="889"/>
    </row>
    <row r="2663" spans="1:126" s="74" customFormat="1">
      <c r="A2663" s="15"/>
      <c r="B2663" s="15"/>
      <c r="C2663" s="15"/>
      <c r="D2663" s="15"/>
      <c r="E2663" s="6"/>
      <c r="F2663" s="6"/>
      <c r="G2663" s="6"/>
      <c r="K2663" s="222"/>
      <c r="V2663" s="1430"/>
      <c r="AA2663" s="223"/>
      <c r="AC2663" s="889"/>
      <c r="AF2663" s="890"/>
      <c r="AJ2663" s="889"/>
      <c r="AN2663" s="222"/>
      <c r="BC2663" s="223"/>
      <c r="BD2663" s="222"/>
      <c r="BH2663" s="611"/>
      <c r="BJ2663" s="15"/>
      <c r="BK2663" s="15"/>
      <c r="BO2663" s="223"/>
      <c r="BQ2663" s="889"/>
      <c r="BT2663" s="890"/>
      <c r="BX2663" s="889"/>
      <c r="CB2663" s="15"/>
      <c r="CC2663" s="697"/>
      <c r="CD2663" s="1086"/>
      <c r="CE2663" s="15"/>
      <c r="CF2663" s="15"/>
      <c r="CG2663" s="936"/>
      <c r="CH2663" s="15"/>
      <c r="CI2663" s="15"/>
      <c r="CJ2663" s="15"/>
      <c r="CK2663" s="1107"/>
      <c r="CL2663" s="22"/>
      <c r="CM2663" s="22"/>
      <c r="CN2663" s="1107"/>
      <c r="CR2663" s="223"/>
      <c r="CS2663" s="952"/>
      <c r="CT2663" s="1066"/>
      <c r="CU2663" s="972"/>
      <c r="CV2663" s="983"/>
      <c r="CW2663" s="222"/>
      <c r="CX2663" s="697"/>
      <c r="DC2663" s="222"/>
      <c r="DJ2663" s="889"/>
      <c r="DM2663" s="890"/>
      <c r="DN2663" s="952"/>
      <c r="DO2663" s="75"/>
      <c r="DP2663" s="962"/>
      <c r="DQ2663" s="983"/>
      <c r="DV2663" s="889"/>
    </row>
    <row r="2664" spans="1:126" s="74" customFormat="1">
      <c r="A2664" s="15"/>
      <c r="B2664" s="15"/>
      <c r="C2664" s="15"/>
      <c r="D2664" s="15"/>
      <c r="E2664" s="6"/>
      <c r="F2664" s="6"/>
      <c r="G2664" s="6"/>
      <c r="K2664" s="222"/>
      <c r="V2664" s="1430"/>
      <c r="AA2664" s="223"/>
      <c r="AC2664" s="889"/>
      <c r="AF2664" s="890"/>
      <c r="AJ2664" s="889"/>
      <c r="AN2664" s="222"/>
      <c r="BC2664" s="223"/>
      <c r="BD2664" s="222"/>
      <c r="BH2664" s="611"/>
      <c r="BJ2664" s="15"/>
      <c r="BK2664" s="15"/>
      <c r="BO2664" s="223"/>
      <c r="BQ2664" s="889"/>
      <c r="BT2664" s="890"/>
      <c r="BX2664" s="889"/>
      <c r="CB2664" s="15"/>
      <c r="CC2664" s="697"/>
      <c r="CD2664" s="1086"/>
      <c r="CE2664" s="15"/>
      <c r="CF2664" s="15"/>
      <c r="CG2664" s="936"/>
      <c r="CH2664" s="15"/>
      <c r="CI2664" s="15"/>
      <c r="CJ2664" s="15"/>
      <c r="CK2664" s="1107"/>
      <c r="CL2664" s="22"/>
      <c r="CM2664" s="22"/>
      <c r="CN2664" s="1107"/>
      <c r="CR2664" s="223"/>
      <c r="CS2664" s="952"/>
      <c r="CT2664" s="1066"/>
      <c r="CU2664" s="972"/>
      <c r="CV2664" s="983"/>
      <c r="CW2664" s="222"/>
      <c r="CX2664" s="697"/>
      <c r="DC2664" s="222"/>
      <c r="DJ2664" s="889"/>
      <c r="DM2664" s="890"/>
      <c r="DN2664" s="952"/>
      <c r="DO2664" s="75"/>
      <c r="DP2664" s="962"/>
      <c r="DQ2664" s="983"/>
      <c r="DV2664" s="889"/>
    </row>
    <row r="2665" spans="1:126" s="74" customFormat="1">
      <c r="A2665" s="15"/>
      <c r="B2665" s="15"/>
      <c r="C2665" s="15"/>
      <c r="D2665" s="15"/>
      <c r="E2665" s="6"/>
      <c r="F2665" s="6"/>
      <c r="G2665" s="6"/>
      <c r="K2665" s="222"/>
      <c r="V2665" s="1430"/>
      <c r="AA2665" s="223"/>
      <c r="AC2665" s="889"/>
      <c r="AF2665" s="890"/>
      <c r="AJ2665" s="889"/>
      <c r="AN2665" s="222"/>
      <c r="BC2665" s="223"/>
      <c r="BD2665" s="222"/>
      <c r="BH2665" s="611"/>
      <c r="BJ2665" s="15"/>
      <c r="BK2665" s="15"/>
      <c r="BO2665" s="223"/>
      <c r="BQ2665" s="889"/>
      <c r="BT2665" s="890"/>
      <c r="BX2665" s="889"/>
      <c r="CB2665" s="15"/>
      <c r="CC2665" s="697"/>
      <c r="CD2665" s="1086"/>
      <c r="CE2665" s="15"/>
      <c r="CF2665" s="15"/>
      <c r="CG2665" s="936"/>
      <c r="CH2665" s="15"/>
      <c r="CI2665" s="15"/>
      <c r="CJ2665" s="15"/>
      <c r="CK2665" s="1107"/>
      <c r="CL2665" s="22"/>
      <c r="CM2665" s="22"/>
      <c r="CN2665" s="1107"/>
      <c r="CR2665" s="223"/>
      <c r="CS2665" s="952"/>
      <c r="CT2665" s="1066"/>
      <c r="CU2665" s="972"/>
      <c r="CV2665" s="983"/>
      <c r="CW2665" s="222"/>
      <c r="CX2665" s="697"/>
      <c r="DC2665" s="222"/>
      <c r="DJ2665" s="889"/>
      <c r="DM2665" s="890"/>
      <c r="DN2665" s="952"/>
      <c r="DO2665" s="75"/>
      <c r="DP2665" s="962"/>
      <c r="DQ2665" s="983"/>
      <c r="DV2665" s="889"/>
    </row>
    <row r="2666" spans="1:126" s="74" customFormat="1">
      <c r="A2666" s="15"/>
      <c r="B2666" s="15"/>
      <c r="C2666" s="15"/>
      <c r="D2666" s="15"/>
      <c r="E2666" s="6"/>
      <c r="F2666" s="6"/>
      <c r="G2666" s="6"/>
      <c r="K2666" s="222"/>
      <c r="V2666" s="1430"/>
      <c r="AA2666" s="223"/>
      <c r="AC2666" s="889"/>
      <c r="AF2666" s="890"/>
      <c r="AJ2666" s="889"/>
      <c r="AN2666" s="222"/>
      <c r="BC2666" s="223"/>
      <c r="BD2666" s="222"/>
      <c r="BH2666" s="611"/>
      <c r="BJ2666" s="15"/>
      <c r="BK2666" s="15"/>
      <c r="BO2666" s="223"/>
      <c r="BQ2666" s="889"/>
      <c r="BT2666" s="890"/>
      <c r="BX2666" s="889"/>
      <c r="CB2666" s="15"/>
      <c r="CC2666" s="697"/>
      <c r="CD2666" s="1086"/>
      <c r="CE2666" s="15"/>
      <c r="CF2666" s="15"/>
      <c r="CG2666" s="936"/>
      <c r="CH2666" s="15"/>
      <c r="CI2666" s="15"/>
      <c r="CJ2666" s="15"/>
      <c r="CK2666" s="1107"/>
      <c r="CL2666" s="22"/>
      <c r="CM2666" s="22"/>
      <c r="CN2666" s="1107"/>
      <c r="CR2666" s="223"/>
      <c r="CS2666" s="952"/>
      <c r="CT2666" s="1066"/>
      <c r="CU2666" s="972"/>
      <c r="CV2666" s="983"/>
      <c r="CW2666" s="222"/>
      <c r="CX2666" s="697"/>
      <c r="DC2666" s="222"/>
      <c r="DJ2666" s="889"/>
      <c r="DM2666" s="890"/>
      <c r="DN2666" s="952"/>
      <c r="DO2666" s="75"/>
      <c r="DP2666" s="962"/>
      <c r="DQ2666" s="983"/>
      <c r="DV2666" s="889"/>
    </row>
    <row r="2667" spans="1:126" s="74" customFormat="1">
      <c r="A2667" s="15"/>
      <c r="B2667" s="15"/>
      <c r="C2667" s="15"/>
      <c r="D2667" s="15"/>
      <c r="E2667" s="6"/>
      <c r="F2667" s="6"/>
      <c r="G2667" s="6"/>
      <c r="K2667" s="222"/>
      <c r="V2667" s="1430"/>
      <c r="AA2667" s="223"/>
      <c r="AC2667" s="889"/>
      <c r="AF2667" s="890"/>
      <c r="AJ2667" s="889"/>
      <c r="AN2667" s="222"/>
      <c r="BC2667" s="223"/>
      <c r="BD2667" s="222"/>
      <c r="BH2667" s="611"/>
      <c r="BJ2667" s="15"/>
      <c r="BK2667" s="15"/>
      <c r="BO2667" s="223"/>
      <c r="BQ2667" s="889"/>
      <c r="BT2667" s="890"/>
      <c r="BX2667" s="889"/>
      <c r="CB2667" s="15"/>
      <c r="CC2667" s="697"/>
      <c r="CD2667" s="1086"/>
      <c r="CE2667" s="15"/>
      <c r="CF2667" s="15"/>
      <c r="CG2667" s="936"/>
      <c r="CH2667" s="15"/>
      <c r="CI2667" s="15"/>
      <c r="CJ2667" s="15"/>
      <c r="CK2667" s="1107"/>
      <c r="CL2667" s="22"/>
      <c r="CM2667" s="22"/>
      <c r="CN2667" s="1107"/>
      <c r="CR2667" s="223"/>
      <c r="CS2667" s="952"/>
      <c r="CT2667" s="1066"/>
      <c r="CU2667" s="972"/>
      <c r="CV2667" s="983"/>
      <c r="CW2667" s="222"/>
      <c r="CX2667" s="697"/>
      <c r="DC2667" s="222"/>
      <c r="DJ2667" s="889"/>
      <c r="DM2667" s="890"/>
      <c r="DN2667" s="952"/>
      <c r="DO2667" s="75"/>
      <c r="DP2667" s="962"/>
      <c r="DQ2667" s="983"/>
      <c r="DV2667" s="889"/>
    </row>
    <row r="2668" spans="1:126" s="74" customFormat="1">
      <c r="A2668" s="15"/>
      <c r="B2668" s="15"/>
      <c r="C2668" s="15"/>
      <c r="D2668" s="15"/>
      <c r="E2668" s="6"/>
      <c r="F2668" s="6"/>
      <c r="G2668" s="6"/>
      <c r="K2668" s="222"/>
      <c r="V2668" s="1430"/>
      <c r="AA2668" s="223"/>
      <c r="AC2668" s="889"/>
      <c r="AF2668" s="890"/>
      <c r="AJ2668" s="889"/>
      <c r="AN2668" s="222"/>
      <c r="BC2668" s="223"/>
      <c r="BD2668" s="222"/>
      <c r="BH2668" s="611"/>
      <c r="BJ2668" s="15"/>
      <c r="BK2668" s="15"/>
      <c r="BO2668" s="223"/>
      <c r="BQ2668" s="889"/>
      <c r="BT2668" s="890"/>
      <c r="BX2668" s="889"/>
      <c r="CB2668" s="15"/>
      <c r="CC2668" s="697"/>
      <c r="CD2668" s="1086"/>
      <c r="CE2668" s="15"/>
      <c r="CF2668" s="15"/>
      <c r="CG2668" s="936"/>
      <c r="CH2668" s="15"/>
      <c r="CI2668" s="15"/>
      <c r="CJ2668" s="15"/>
      <c r="CK2668" s="1107"/>
      <c r="CL2668" s="22"/>
      <c r="CM2668" s="22"/>
      <c r="CN2668" s="1107"/>
      <c r="CR2668" s="223"/>
      <c r="CS2668" s="952"/>
      <c r="CT2668" s="1066"/>
      <c r="CU2668" s="972"/>
      <c r="CV2668" s="983"/>
      <c r="CW2668" s="222"/>
      <c r="CX2668" s="697"/>
      <c r="DC2668" s="222"/>
      <c r="DJ2668" s="889"/>
      <c r="DM2668" s="890"/>
      <c r="DN2668" s="952"/>
      <c r="DO2668" s="75"/>
      <c r="DP2668" s="962"/>
      <c r="DQ2668" s="983"/>
      <c r="DV2668" s="889"/>
    </row>
    <row r="2669" spans="1:126" s="74" customFormat="1">
      <c r="A2669" s="15"/>
      <c r="B2669" s="15"/>
      <c r="C2669" s="15"/>
      <c r="D2669" s="15"/>
      <c r="E2669" s="6"/>
      <c r="F2669" s="6"/>
      <c r="G2669" s="6"/>
      <c r="K2669" s="222"/>
      <c r="V2669" s="1430"/>
      <c r="AA2669" s="223"/>
      <c r="AC2669" s="889"/>
      <c r="AF2669" s="890"/>
      <c r="AJ2669" s="889"/>
      <c r="AN2669" s="222"/>
      <c r="BC2669" s="223"/>
      <c r="BD2669" s="222"/>
      <c r="BH2669" s="611"/>
      <c r="BJ2669" s="15"/>
      <c r="BK2669" s="15"/>
      <c r="BO2669" s="223"/>
      <c r="BQ2669" s="889"/>
      <c r="BT2669" s="890"/>
      <c r="BX2669" s="889"/>
      <c r="CB2669" s="15"/>
      <c r="CC2669" s="697"/>
      <c r="CD2669" s="1086"/>
      <c r="CE2669" s="15"/>
      <c r="CF2669" s="15"/>
      <c r="CG2669" s="936"/>
      <c r="CH2669" s="15"/>
      <c r="CI2669" s="15"/>
      <c r="CJ2669" s="15"/>
      <c r="CK2669" s="1107"/>
      <c r="CL2669" s="22"/>
      <c r="CM2669" s="22"/>
      <c r="CN2669" s="1107"/>
      <c r="CR2669" s="223"/>
      <c r="CS2669" s="952"/>
      <c r="CT2669" s="1066"/>
      <c r="CU2669" s="972"/>
      <c r="CV2669" s="983"/>
      <c r="CW2669" s="222"/>
      <c r="CX2669" s="697"/>
      <c r="DC2669" s="222"/>
      <c r="DJ2669" s="889"/>
      <c r="DM2669" s="890"/>
      <c r="DN2669" s="952"/>
      <c r="DO2669" s="75"/>
      <c r="DP2669" s="962"/>
      <c r="DQ2669" s="983"/>
      <c r="DV2669" s="889"/>
    </row>
    <row r="2670" spans="1:126" s="74" customFormat="1">
      <c r="A2670" s="15"/>
      <c r="B2670" s="15"/>
      <c r="C2670" s="15"/>
      <c r="D2670" s="15"/>
      <c r="E2670" s="6"/>
      <c r="F2670" s="6"/>
      <c r="G2670" s="6"/>
      <c r="K2670" s="222"/>
      <c r="V2670" s="1430"/>
      <c r="AA2670" s="223"/>
      <c r="AC2670" s="889"/>
      <c r="AF2670" s="890"/>
      <c r="AJ2670" s="889"/>
      <c r="AN2670" s="222"/>
      <c r="BC2670" s="223"/>
      <c r="BD2670" s="222"/>
      <c r="BH2670" s="611"/>
      <c r="BJ2670" s="15"/>
      <c r="BK2670" s="15"/>
      <c r="BO2670" s="223"/>
      <c r="BQ2670" s="889"/>
      <c r="BT2670" s="890"/>
      <c r="BX2670" s="889"/>
      <c r="CB2670" s="15"/>
      <c r="CC2670" s="697"/>
      <c r="CD2670" s="1086"/>
      <c r="CE2670" s="15"/>
      <c r="CF2670" s="15"/>
      <c r="CG2670" s="936"/>
      <c r="CH2670" s="15"/>
      <c r="CI2670" s="15"/>
      <c r="CJ2670" s="15"/>
      <c r="CK2670" s="1107"/>
      <c r="CL2670" s="22"/>
      <c r="CM2670" s="22"/>
      <c r="CN2670" s="1107"/>
      <c r="CR2670" s="223"/>
      <c r="CS2670" s="952"/>
      <c r="CT2670" s="1066"/>
      <c r="CU2670" s="972"/>
      <c r="CV2670" s="983"/>
      <c r="CW2670" s="222"/>
      <c r="CX2670" s="697"/>
      <c r="DC2670" s="222"/>
      <c r="DJ2670" s="889"/>
      <c r="DM2670" s="890"/>
      <c r="DN2670" s="952"/>
      <c r="DO2670" s="75"/>
      <c r="DP2670" s="962"/>
      <c r="DQ2670" s="983"/>
      <c r="DV2670" s="889"/>
    </row>
    <row r="2671" spans="1:126" s="74" customFormat="1">
      <c r="A2671" s="15"/>
      <c r="B2671" s="15"/>
      <c r="C2671" s="15"/>
      <c r="D2671" s="15"/>
      <c r="E2671" s="6"/>
      <c r="F2671" s="6"/>
      <c r="G2671" s="6"/>
      <c r="K2671" s="222"/>
      <c r="V2671" s="1430"/>
      <c r="AA2671" s="223"/>
      <c r="AC2671" s="889"/>
      <c r="AF2671" s="890"/>
      <c r="AJ2671" s="889"/>
      <c r="AN2671" s="222"/>
      <c r="BC2671" s="223"/>
      <c r="BD2671" s="222"/>
      <c r="BH2671" s="611"/>
      <c r="BJ2671" s="15"/>
      <c r="BK2671" s="15"/>
      <c r="BO2671" s="223"/>
      <c r="BQ2671" s="889"/>
      <c r="BT2671" s="890"/>
      <c r="BX2671" s="889"/>
      <c r="CB2671" s="15"/>
      <c r="CC2671" s="697"/>
      <c r="CD2671" s="1086"/>
      <c r="CE2671" s="15"/>
      <c r="CF2671" s="15"/>
      <c r="CG2671" s="936"/>
      <c r="CH2671" s="15"/>
      <c r="CI2671" s="15"/>
      <c r="CJ2671" s="15"/>
      <c r="CK2671" s="1107"/>
      <c r="CL2671" s="22"/>
      <c r="CM2671" s="22"/>
      <c r="CN2671" s="1107"/>
      <c r="CR2671" s="223"/>
      <c r="CS2671" s="952"/>
      <c r="CT2671" s="1066"/>
      <c r="CU2671" s="972"/>
      <c r="CV2671" s="983"/>
      <c r="CW2671" s="222"/>
      <c r="CX2671" s="697"/>
      <c r="DC2671" s="222"/>
      <c r="DJ2671" s="889"/>
      <c r="DM2671" s="890"/>
      <c r="DN2671" s="952"/>
      <c r="DO2671" s="75"/>
      <c r="DP2671" s="962"/>
      <c r="DQ2671" s="983"/>
      <c r="DV2671" s="889"/>
    </row>
    <row r="2672" spans="1:126" s="74" customFormat="1">
      <c r="A2672" s="15"/>
      <c r="B2672" s="15"/>
      <c r="C2672" s="15"/>
      <c r="D2672" s="15"/>
      <c r="E2672" s="6"/>
      <c r="F2672" s="6"/>
      <c r="G2672" s="6"/>
      <c r="K2672" s="222"/>
      <c r="V2672" s="1430"/>
      <c r="AA2672" s="223"/>
      <c r="AC2672" s="889"/>
      <c r="AF2672" s="890"/>
      <c r="AJ2672" s="889"/>
      <c r="AN2672" s="222"/>
      <c r="BC2672" s="223"/>
      <c r="BD2672" s="222"/>
      <c r="BH2672" s="611"/>
      <c r="BJ2672" s="15"/>
      <c r="BK2672" s="15"/>
      <c r="BO2672" s="223"/>
      <c r="BQ2672" s="889"/>
      <c r="BT2672" s="890"/>
      <c r="BX2672" s="889"/>
      <c r="CB2672" s="15"/>
      <c r="CC2672" s="697"/>
      <c r="CD2672" s="1086"/>
      <c r="CE2672" s="15"/>
      <c r="CF2672" s="15"/>
      <c r="CG2672" s="936"/>
      <c r="CH2672" s="15"/>
      <c r="CI2672" s="15"/>
      <c r="CJ2672" s="15"/>
      <c r="CK2672" s="1107"/>
      <c r="CL2672" s="22"/>
      <c r="CM2672" s="22"/>
      <c r="CN2672" s="1107"/>
      <c r="CR2672" s="223"/>
      <c r="CS2672" s="952"/>
      <c r="CT2672" s="1066"/>
      <c r="CU2672" s="972"/>
      <c r="CV2672" s="983"/>
      <c r="CW2672" s="222"/>
      <c r="CX2672" s="697"/>
      <c r="DC2672" s="222"/>
      <c r="DJ2672" s="889"/>
      <c r="DM2672" s="890"/>
      <c r="DN2672" s="952"/>
      <c r="DO2672" s="75"/>
      <c r="DP2672" s="962"/>
      <c r="DQ2672" s="983"/>
      <c r="DV2672" s="889"/>
    </row>
    <row r="2673" spans="1:126" s="74" customFormat="1">
      <c r="A2673" s="15"/>
      <c r="B2673" s="15"/>
      <c r="C2673" s="15"/>
      <c r="D2673" s="15"/>
      <c r="E2673" s="6"/>
      <c r="F2673" s="6"/>
      <c r="G2673" s="6"/>
      <c r="K2673" s="222"/>
      <c r="V2673" s="1430"/>
      <c r="AA2673" s="223"/>
      <c r="AC2673" s="889"/>
      <c r="AF2673" s="890"/>
      <c r="AJ2673" s="889"/>
      <c r="AN2673" s="222"/>
      <c r="BC2673" s="223"/>
      <c r="BD2673" s="222"/>
      <c r="BH2673" s="611"/>
      <c r="BJ2673" s="15"/>
      <c r="BK2673" s="15"/>
      <c r="BO2673" s="223"/>
      <c r="BQ2673" s="889"/>
      <c r="BT2673" s="890"/>
      <c r="BX2673" s="889"/>
      <c r="CB2673" s="15"/>
      <c r="CC2673" s="697"/>
      <c r="CD2673" s="1086"/>
      <c r="CE2673" s="15"/>
      <c r="CF2673" s="15"/>
      <c r="CG2673" s="936"/>
      <c r="CH2673" s="15"/>
      <c r="CI2673" s="15"/>
      <c r="CJ2673" s="15"/>
      <c r="CK2673" s="1107"/>
      <c r="CL2673" s="22"/>
      <c r="CM2673" s="22"/>
      <c r="CN2673" s="1107"/>
      <c r="CR2673" s="223"/>
      <c r="CS2673" s="952"/>
      <c r="CT2673" s="1066"/>
      <c r="CU2673" s="972"/>
      <c r="CV2673" s="983"/>
      <c r="CW2673" s="222"/>
      <c r="CX2673" s="697"/>
      <c r="DC2673" s="222"/>
      <c r="DJ2673" s="889"/>
      <c r="DM2673" s="890"/>
      <c r="DN2673" s="952"/>
      <c r="DO2673" s="75"/>
      <c r="DP2673" s="962"/>
      <c r="DQ2673" s="983"/>
      <c r="DV2673" s="889"/>
    </row>
    <row r="2674" spans="1:126" s="74" customFormat="1">
      <c r="A2674" s="15"/>
      <c r="B2674" s="15"/>
      <c r="C2674" s="15"/>
      <c r="D2674" s="15"/>
      <c r="E2674" s="6"/>
      <c r="F2674" s="6"/>
      <c r="G2674" s="6"/>
      <c r="K2674" s="222"/>
      <c r="V2674" s="1430"/>
      <c r="AA2674" s="223"/>
      <c r="AC2674" s="889"/>
      <c r="AF2674" s="890"/>
      <c r="AJ2674" s="889"/>
      <c r="AN2674" s="222"/>
      <c r="BC2674" s="223"/>
      <c r="BD2674" s="222"/>
      <c r="BH2674" s="611"/>
      <c r="BJ2674" s="15"/>
      <c r="BK2674" s="15"/>
      <c r="BO2674" s="223"/>
      <c r="BQ2674" s="889"/>
      <c r="BT2674" s="890"/>
      <c r="BX2674" s="889"/>
      <c r="CB2674" s="15"/>
      <c r="CC2674" s="697"/>
      <c r="CD2674" s="1086"/>
      <c r="CE2674" s="15"/>
      <c r="CF2674" s="15"/>
      <c r="CG2674" s="936"/>
      <c r="CH2674" s="15"/>
      <c r="CI2674" s="15"/>
      <c r="CJ2674" s="15"/>
      <c r="CK2674" s="1107"/>
      <c r="CL2674" s="22"/>
      <c r="CM2674" s="22"/>
      <c r="CN2674" s="1107"/>
      <c r="CR2674" s="223"/>
      <c r="CS2674" s="952"/>
      <c r="CT2674" s="1066"/>
      <c r="CU2674" s="972"/>
      <c r="CV2674" s="983"/>
      <c r="CW2674" s="222"/>
      <c r="CX2674" s="697"/>
      <c r="DC2674" s="222"/>
      <c r="DJ2674" s="889"/>
      <c r="DM2674" s="890"/>
      <c r="DN2674" s="952"/>
      <c r="DO2674" s="75"/>
      <c r="DP2674" s="962"/>
      <c r="DQ2674" s="983"/>
      <c r="DV2674" s="889"/>
    </row>
    <row r="2675" spans="1:126" s="74" customFormat="1">
      <c r="A2675" s="15"/>
      <c r="B2675" s="15"/>
      <c r="C2675" s="15"/>
      <c r="D2675" s="15"/>
      <c r="E2675" s="6"/>
      <c r="F2675" s="6"/>
      <c r="G2675" s="6"/>
      <c r="K2675" s="222"/>
      <c r="V2675" s="1430"/>
      <c r="AA2675" s="223"/>
      <c r="AC2675" s="889"/>
      <c r="AF2675" s="890"/>
      <c r="AJ2675" s="889"/>
      <c r="AN2675" s="222"/>
      <c r="BC2675" s="223"/>
      <c r="BD2675" s="222"/>
      <c r="BH2675" s="611"/>
      <c r="BJ2675" s="15"/>
      <c r="BK2675" s="15"/>
      <c r="BO2675" s="223"/>
      <c r="BQ2675" s="889"/>
      <c r="BT2675" s="890"/>
      <c r="BX2675" s="889"/>
      <c r="CB2675" s="15"/>
      <c r="CC2675" s="697"/>
      <c r="CD2675" s="1086"/>
      <c r="CE2675" s="15"/>
      <c r="CF2675" s="15"/>
      <c r="CG2675" s="936"/>
      <c r="CH2675" s="15"/>
      <c r="CI2675" s="15"/>
      <c r="CJ2675" s="15"/>
      <c r="CK2675" s="1107"/>
      <c r="CL2675" s="22"/>
      <c r="CM2675" s="22"/>
      <c r="CN2675" s="1107"/>
      <c r="CR2675" s="223"/>
      <c r="CS2675" s="952"/>
      <c r="CT2675" s="1066"/>
      <c r="CU2675" s="972"/>
      <c r="CV2675" s="983"/>
      <c r="CW2675" s="222"/>
      <c r="CX2675" s="697"/>
      <c r="DC2675" s="222"/>
      <c r="DJ2675" s="889"/>
      <c r="DM2675" s="890"/>
      <c r="DN2675" s="952"/>
      <c r="DO2675" s="75"/>
      <c r="DP2675" s="962"/>
      <c r="DQ2675" s="983"/>
      <c r="DV2675" s="889"/>
    </row>
    <row r="2676" spans="1:126" s="74" customFormat="1">
      <c r="A2676" s="15"/>
      <c r="B2676" s="15"/>
      <c r="C2676" s="15"/>
      <c r="D2676" s="15"/>
      <c r="E2676" s="6"/>
      <c r="F2676" s="6"/>
      <c r="G2676" s="6"/>
      <c r="K2676" s="222"/>
      <c r="V2676" s="1430"/>
      <c r="AA2676" s="223"/>
      <c r="AC2676" s="889"/>
      <c r="AF2676" s="890"/>
      <c r="AJ2676" s="889"/>
      <c r="AN2676" s="222"/>
      <c r="BC2676" s="223"/>
      <c r="BD2676" s="222"/>
      <c r="BH2676" s="611"/>
      <c r="BJ2676" s="15"/>
      <c r="BK2676" s="15"/>
      <c r="BO2676" s="223"/>
      <c r="BQ2676" s="889"/>
      <c r="BT2676" s="890"/>
      <c r="BX2676" s="889"/>
      <c r="CB2676" s="15"/>
      <c r="CC2676" s="697"/>
      <c r="CD2676" s="1086"/>
      <c r="CE2676" s="15"/>
      <c r="CF2676" s="15"/>
      <c r="CG2676" s="936"/>
      <c r="CH2676" s="15"/>
      <c r="CI2676" s="15"/>
      <c r="CJ2676" s="15"/>
      <c r="CK2676" s="1107"/>
      <c r="CL2676" s="22"/>
      <c r="CM2676" s="22"/>
      <c r="CN2676" s="1107"/>
      <c r="CR2676" s="223"/>
      <c r="CS2676" s="952"/>
      <c r="CT2676" s="1066"/>
      <c r="CU2676" s="972"/>
      <c r="CV2676" s="983"/>
      <c r="CW2676" s="222"/>
      <c r="CX2676" s="697"/>
      <c r="DC2676" s="222"/>
      <c r="DJ2676" s="889"/>
      <c r="DM2676" s="890"/>
      <c r="DN2676" s="952"/>
      <c r="DO2676" s="75"/>
      <c r="DP2676" s="962"/>
      <c r="DQ2676" s="983"/>
      <c r="DV2676" s="889"/>
    </row>
    <row r="2677" spans="1:126" s="74" customFormat="1">
      <c r="A2677" s="15"/>
      <c r="B2677" s="15"/>
      <c r="C2677" s="15"/>
      <c r="D2677" s="15"/>
      <c r="E2677" s="6"/>
      <c r="F2677" s="6"/>
      <c r="G2677" s="6"/>
      <c r="K2677" s="222"/>
      <c r="V2677" s="1430"/>
      <c r="AA2677" s="223"/>
      <c r="AC2677" s="889"/>
      <c r="AF2677" s="890"/>
      <c r="AJ2677" s="889"/>
      <c r="AN2677" s="222"/>
      <c r="BC2677" s="223"/>
      <c r="BD2677" s="222"/>
      <c r="BH2677" s="611"/>
      <c r="BJ2677" s="15"/>
      <c r="BK2677" s="15"/>
      <c r="BO2677" s="223"/>
      <c r="BQ2677" s="889"/>
      <c r="BT2677" s="890"/>
      <c r="BX2677" s="889"/>
      <c r="CB2677" s="15"/>
      <c r="CC2677" s="697"/>
      <c r="CD2677" s="1086"/>
      <c r="CE2677" s="15"/>
      <c r="CF2677" s="15"/>
      <c r="CG2677" s="936"/>
      <c r="CH2677" s="15"/>
      <c r="CI2677" s="15"/>
      <c r="CJ2677" s="15"/>
      <c r="CK2677" s="1107"/>
      <c r="CL2677" s="22"/>
      <c r="CM2677" s="22"/>
      <c r="CN2677" s="1107"/>
      <c r="CR2677" s="223"/>
      <c r="CS2677" s="952"/>
      <c r="CT2677" s="1066"/>
      <c r="CU2677" s="972"/>
      <c r="CV2677" s="983"/>
      <c r="CW2677" s="222"/>
      <c r="CX2677" s="697"/>
      <c r="DC2677" s="222"/>
      <c r="DJ2677" s="889"/>
      <c r="DM2677" s="890"/>
      <c r="DN2677" s="952"/>
      <c r="DO2677" s="75"/>
      <c r="DP2677" s="962"/>
      <c r="DQ2677" s="983"/>
      <c r="DV2677" s="889"/>
    </row>
    <row r="2678" spans="1:126" s="74" customFormat="1">
      <c r="A2678" s="15"/>
      <c r="B2678" s="15"/>
      <c r="C2678" s="15"/>
      <c r="D2678" s="15"/>
      <c r="E2678" s="6"/>
      <c r="F2678" s="6"/>
      <c r="G2678" s="6"/>
      <c r="K2678" s="222"/>
      <c r="V2678" s="1430"/>
      <c r="AA2678" s="223"/>
      <c r="AC2678" s="889"/>
      <c r="AF2678" s="890"/>
      <c r="AJ2678" s="889"/>
      <c r="AN2678" s="222"/>
      <c r="BC2678" s="223"/>
      <c r="BD2678" s="222"/>
      <c r="BH2678" s="611"/>
      <c r="BJ2678" s="15"/>
      <c r="BK2678" s="15"/>
      <c r="BO2678" s="223"/>
      <c r="BQ2678" s="889"/>
      <c r="BT2678" s="890"/>
      <c r="BX2678" s="889"/>
      <c r="CB2678" s="15"/>
      <c r="CC2678" s="697"/>
      <c r="CD2678" s="1086"/>
      <c r="CE2678" s="15"/>
      <c r="CF2678" s="15"/>
      <c r="CG2678" s="936"/>
      <c r="CH2678" s="15"/>
      <c r="CI2678" s="15"/>
      <c r="CJ2678" s="15"/>
      <c r="CK2678" s="1107"/>
      <c r="CL2678" s="22"/>
      <c r="CM2678" s="22"/>
      <c r="CN2678" s="1107"/>
      <c r="CR2678" s="223"/>
      <c r="CS2678" s="952"/>
      <c r="CT2678" s="1066"/>
      <c r="CU2678" s="972"/>
      <c r="CV2678" s="983"/>
      <c r="CW2678" s="222"/>
      <c r="CX2678" s="697"/>
      <c r="DC2678" s="222"/>
      <c r="DJ2678" s="889"/>
      <c r="DM2678" s="890"/>
      <c r="DN2678" s="952"/>
      <c r="DO2678" s="75"/>
      <c r="DP2678" s="962"/>
      <c r="DQ2678" s="983"/>
      <c r="DV2678" s="889"/>
    </row>
    <row r="2679" spans="1:126" s="74" customFormat="1">
      <c r="A2679" s="15"/>
      <c r="B2679" s="15"/>
      <c r="C2679" s="15"/>
      <c r="D2679" s="15"/>
      <c r="E2679" s="6"/>
      <c r="F2679" s="6"/>
      <c r="G2679" s="6"/>
      <c r="K2679" s="222"/>
      <c r="V2679" s="1430"/>
      <c r="AA2679" s="223"/>
      <c r="AC2679" s="889"/>
      <c r="AF2679" s="890"/>
      <c r="AJ2679" s="889"/>
      <c r="AN2679" s="222"/>
      <c r="BC2679" s="223"/>
      <c r="BD2679" s="222"/>
      <c r="BH2679" s="611"/>
      <c r="BJ2679" s="15"/>
      <c r="BK2679" s="15"/>
      <c r="BO2679" s="223"/>
      <c r="BQ2679" s="889"/>
      <c r="BT2679" s="890"/>
      <c r="BX2679" s="889"/>
      <c r="CB2679" s="15"/>
      <c r="CC2679" s="697"/>
      <c r="CD2679" s="1086"/>
      <c r="CE2679" s="15"/>
      <c r="CF2679" s="15"/>
      <c r="CG2679" s="936"/>
      <c r="CH2679" s="15"/>
      <c r="CI2679" s="15"/>
      <c r="CJ2679" s="15"/>
      <c r="CK2679" s="1107"/>
      <c r="CL2679" s="22"/>
      <c r="CM2679" s="22"/>
      <c r="CN2679" s="1107"/>
      <c r="CR2679" s="223"/>
      <c r="CS2679" s="952"/>
      <c r="CT2679" s="1066"/>
      <c r="CU2679" s="972"/>
      <c r="CV2679" s="983"/>
      <c r="CW2679" s="222"/>
      <c r="CX2679" s="697"/>
      <c r="DC2679" s="222"/>
      <c r="DJ2679" s="889"/>
      <c r="DM2679" s="890"/>
      <c r="DN2679" s="952"/>
      <c r="DO2679" s="75"/>
      <c r="DP2679" s="962"/>
      <c r="DQ2679" s="983"/>
      <c r="DV2679" s="889"/>
    </row>
    <row r="2680" spans="1:126" s="74" customFormat="1">
      <c r="A2680" s="15"/>
      <c r="B2680" s="15"/>
      <c r="C2680" s="15"/>
      <c r="D2680" s="15"/>
      <c r="E2680" s="6"/>
      <c r="F2680" s="6"/>
      <c r="G2680" s="6"/>
      <c r="K2680" s="222"/>
      <c r="V2680" s="1430"/>
      <c r="AA2680" s="223"/>
      <c r="AC2680" s="889"/>
      <c r="AF2680" s="890"/>
      <c r="AJ2680" s="889"/>
      <c r="AN2680" s="222"/>
      <c r="BC2680" s="223"/>
      <c r="BD2680" s="222"/>
      <c r="BH2680" s="611"/>
      <c r="BJ2680" s="15"/>
      <c r="BK2680" s="15"/>
      <c r="BO2680" s="223"/>
      <c r="BQ2680" s="889"/>
      <c r="BT2680" s="890"/>
      <c r="BX2680" s="889"/>
      <c r="CB2680" s="15"/>
      <c r="CC2680" s="697"/>
      <c r="CD2680" s="1086"/>
      <c r="CE2680" s="15"/>
      <c r="CF2680" s="15"/>
      <c r="CG2680" s="936"/>
      <c r="CH2680" s="15"/>
      <c r="CI2680" s="15"/>
      <c r="CJ2680" s="15"/>
      <c r="CK2680" s="1107"/>
      <c r="CL2680" s="22"/>
      <c r="CM2680" s="22"/>
      <c r="CN2680" s="1107"/>
      <c r="CR2680" s="223"/>
      <c r="CS2680" s="952"/>
      <c r="CT2680" s="1066"/>
      <c r="CU2680" s="972"/>
      <c r="CV2680" s="983"/>
      <c r="CW2680" s="222"/>
      <c r="CX2680" s="697"/>
      <c r="DC2680" s="222"/>
      <c r="DJ2680" s="889"/>
      <c r="DM2680" s="890"/>
      <c r="DN2680" s="952"/>
      <c r="DO2680" s="75"/>
      <c r="DP2680" s="962"/>
      <c r="DQ2680" s="983"/>
      <c r="DV2680" s="889"/>
    </row>
    <row r="2681" spans="1:126" s="74" customFormat="1">
      <c r="A2681" s="15"/>
      <c r="B2681" s="15"/>
      <c r="C2681" s="15"/>
      <c r="D2681" s="15"/>
      <c r="E2681" s="6"/>
      <c r="F2681" s="6"/>
      <c r="G2681" s="6"/>
      <c r="K2681" s="222"/>
      <c r="V2681" s="1430"/>
      <c r="AA2681" s="223"/>
      <c r="AC2681" s="889"/>
      <c r="AF2681" s="890"/>
      <c r="AJ2681" s="889"/>
      <c r="AN2681" s="222"/>
      <c r="BC2681" s="223"/>
      <c r="BD2681" s="222"/>
      <c r="BH2681" s="611"/>
      <c r="BJ2681" s="15"/>
      <c r="BK2681" s="15"/>
      <c r="BO2681" s="223"/>
      <c r="BQ2681" s="889"/>
      <c r="BT2681" s="890"/>
      <c r="BX2681" s="889"/>
      <c r="CB2681" s="15"/>
      <c r="CC2681" s="697"/>
      <c r="CD2681" s="1086"/>
      <c r="CE2681" s="15"/>
      <c r="CF2681" s="15"/>
      <c r="CG2681" s="936"/>
      <c r="CH2681" s="15"/>
      <c r="CI2681" s="15"/>
      <c r="CJ2681" s="15"/>
      <c r="CK2681" s="1107"/>
      <c r="CL2681" s="22"/>
      <c r="CM2681" s="22"/>
      <c r="CN2681" s="1107"/>
      <c r="CR2681" s="223"/>
      <c r="CS2681" s="952"/>
      <c r="CT2681" s="1066"/>
      <c r="CU2681" s="972"/>
      <c r="CV2681" s="983"/>
      <c r="CW2681" s="222"/>
      <c r="CX2681" s="697"/>
      <c r="DC2681" s="222"/>
      <c r="DJ2681" s="889"/>
      <c r="DM2681" s="890"/>
      <c r="DN2681" s="952"/>
      <c r="DO2681" s="75"/>
      <c r="DP2681" s="962"/>
      <c r="DQ2681" s="983"/>
      <c r="DV2681" s="889"/>
    </row>
    <row r="2682" spans="1:126" s="74" customFormat="1">
      <c r="A2682" s="15"/>
      <c r="B2682" s="15"/>
      <c r="C2682" s="15"/>
      <c r="D2682" s="15"/>
      <c r="E2682" s="6"/>
      <c r="F2682" s="6"/>
      <c r="G2682" s="6"/>
      <c r="K2682" s="222"/>
      <c r="V2682" s="1430"/>
      <c r="AA2682" s="223"/>
      <c r="AC2682" s="889"/>
      <c r="AF2682" s="890"/>
      <c r="AJ2682" s="889"/>
      <c r="AN2682" s="222"/>
      <c r="BC2682" s="223"/>
      <c r="BD2682" s="222"/>
      <c r="BH2682" s="611"/>
      <c r="BJ2682" s="15"/>
      <c r="BK2682" s="15"/>
      <c r="BO2682" s="223"/>
      <c r="BQ2682" s="889"/>
      <c r="BT2682" s="890"/>
      <c r="BX2682" s="889"/>
      <c r="CB2682" s="15"/>
      <c r="CC2682" s="697"/>
      <c r="CD2682" s="1086"/>
      <c r="CE2682" s="15"/>
      <c r="CF2682" s="15"/>
      <c r="CG2682" s="936"/>
      <c r="CH2682" s="15"/>
      <c r="CI2682" s="15"/>
      <c r="CJ2682" s="15"/>
      <c r="CK2682" s="1107"/>
      <c r="CL2682" s="22"/>
      <c r="CM2682" s="22"/>
      <c r="CN2682" s="1107"/>
      <c r="CR2682" s="223"/>
      <c r="CS2682" s="952"/>
      <c r="CT2682" s="1066"/>
      <c r="CU2682" s="972"/>
      <c r="CV2682" s="983"/>
      <c r="CW2682" s="222"/>
      <c r="CX2682" s="697"/>
      <c r="DC2682" s="222"/>
      <c r="DJ2682" s="889"/>
      <c r="DM2682" s="890"/>
      <c r="DN2682" s="952"/>
      <c r="DO2682" s="75"/>
      <c r="DP2682" s="962"/>
      <c r="DQ2682" s="983"/>
      <c r="DV2682" s="889"/>
    </row>
    <row r="2683" spans="1:126" s="74" customFormat="1">
      <c r="A2683" s="15"/>
      <c r="B2683" s="15"/>
      <c r="C2683" s="15"/>
      <c r="D2683" s="15"/>
      <c r="E2683" s="6"/>
      <c r="F2683" s="6"/>
      <c r="G2683" s="6"/>
      <c r="K2683" s="222"/>
      <c r="V2683" s="1430"/>
      <c r="AA2683" s="223"/>
      <c r="AC2683" s="889"/>
      <c r="AF2683" s="890"/>
      <c r="AJ2683" s="889"/>
      <c r="AN2683" s="222"/>
      <c r="BC2683" s="223"/>
      <c r="BD2683" s="222"/>
      <c r="BH2683" s="611"/>
      <c r="BJ2683" s="15"/>
      <c r="BK2683" s="15"/>
      <c r="BO2683" s="223"/>
      <c r="BQ2683" s="889"/>
      <c r="BT2683" s="890"/>
      <c r="BX2683" s="889"/>
      <c r="CB2683" s="15"/>
      <c r="CC2683" s="697"/>
      <c r="CD2683" s="1086"/>
      <c r="CE2683" s="15"/>
      <c r="CF2683" s="15"/>
      <c r="CG2683" s="936"/>
      <c r="CH2683" s="15"/>
      <c r="CI2683" s="15"/>
      <c r="CJ2683" s="15"/>
      <c r="CK2683" s="1107"/>
      <c r="CL2683" s="22"/>
      <c r="CM2683" s="22"/>
      <c r="CN2683" s="1107"/>
      <c r="CR2683" s="223"/>
      <c r="CS2683" s="952"/>
      <c r="CT2683" s="1066"/>
      <c r="CU2683" s="972"/>
      <c r="CV2683" s="983"/>
      <c r="CW2683" s="222"/>
      <c r="CX2683" s="697"/>
      <c r="DC2683" s="222"/>
      <c r="DJ2683" s="889"/>
      <c r="DM2683" s="890"/>
      <c r="DN2683" s="952"/>
      <c r="DO2683" s="75"/>
      <c r="DP2683" s="962"/>
      <c r="DQ2683" s="983"/>
      <c r="DV2683" s="889"/>
    </row>
    <row r="2684" spans="1:126" s="74" customFormat="1">
      <c r="A2684" s="15"/>
      <c r="B2684" s="15"/>
      <c r="C2684" s="15"/>
      <c r="D2684" s="15"/>
      <c r="E2684" s="6"/>
      <c r="F2684" s="6"/>
      <c r="G2684" s="6"/>
      <c r="K2684" s="222"/>
      <c r="V2684" s="1430"/>
      <c r="AA2684" s="223"/>
      <c r="AC2684" s="889"/>
      <c r="AF2684" s="890"/>
      <c r="AJ2684" s="889"/>
      <c r="AN2684" s="222"/>
      <c r="BC2684" s="223"/>
      <c r="BD2684" s="222"/>
      <c r="BH2684" s="611"/>
      <c r="BJ2684" s="15"/>
      <c r="BK2684" s="15"/>
      <c r="BO2684" s="223"/>
      <c r="BQ2684" s="889"/>
      <c r="BT2684" s="890"/>
      <c r="BX2684" s="889"/>
      <c r="CB2684" s="15"/>
      <c r="CC2684" s="697"/>
      <c r="CD2684" s="1086"/>
      <c r="CE2684" s="15"/>
      <c r="CF2684" s="15"/>
      <c r="CG2684" s="936"/>
      <c r="CH2684" s="15"/>
      <c r="CI2684" s="15"/>
      <c r="CJ2684" s="15"/>
      <c r="CK2684" s="1107"/>
      <c r="CL2684" s="22"/>
      <c r="CM2684" s="22"/>
      <c r="CN2684" s="1107"/>
      <c r="CR2684" s="223"/>
      <c r="CS2684" s="952"/>
      <c r="CT2684" s="1066"/>
      <c r="CU2684" s="972"/>
      <c r="CV2684" s="983"/>
      <c r="CW2684" s="222"/>
      <c r="CX2684" s="697"/>
      <c r="DC2684" s="222"/>
      <c r="DJ2684" s="889"/>
      <c r="DM2684" s="890"/>
      <c r="DN2684" s="952"/>
      <c r="DO2684" s="75"/>
      <c r="DP2684" s="962"/>
      <c r="DQ2684" s="983"/>
      <c r="DV2684" s="889"/>
    </row>
    <row r="2685" spans="1:126" s="74" customFormat="1">
      <c r="A2685" s="15"/>
      <c r="B2685" s="15"/>
      <c r="C2685" s="15"/>
      <c r="D2685" s="15"/>
      <c r="E2685" s="6"/>
      <c r="F2685" s="6"/>
      <c r="G2685" s="6"/>
      <c r="K2685" s="222"/>
      <c r="V2685" s="1430"/>
      <c r="AA2685" s="223"/>
      <c r="AC2685" s="889"/>
      <c r="AF2685" s="890"/>
      <c r="AJ2685" s="889"/>
      <c r="AN2685" s="222"/>
      <c r="BC2685" s="223"/>
      <c r="BD2685" s="222"/>
      <c r="BH2685" s="611"/>
      <c r="BJ2685" s="15"/>
      <c r="BK2685" s="15"/>
      <c r="BO2685" s="223"/>
      <c r="BQ2685" s="889"/>
      <c r="BT2685" s="890"/>
      <c r="BX2685" s="889"/>
      <c r="CB2685" s="15"/>
      <c r="CC2685" s="697"/>
      <c r="CD2685" s="1086"/>
      <c r="CE2685" s="15"/>
      <c r="CF2685" s="15"/>
      <c r="CG2685" s="936"/>
      <c r="CH2685" s="15"/>
      <c r="CI2685" s="15"/>
      <c r="CJ2685" s="15"/>
      <c r="CK2685" s="1107"/>
      <c r="CL2685" s="22"/>
      <c r="CM2685" s="22"/>
      <c r="CN2685" s="1107"/>
      <c r="CR2685" s="223"/>
      <c r="CS2685" s="952"/>
      <c r="CT2685" s="1066"/>
      <c r="CU2685" s="972"/>
      <c r="CV2685" s="983"/>
      <c r="CW2685" s="222"/>
      <c r="CX2685" s="697"/>
      <c r="DC2685" s="222"/>
      <c r="DJ2685" s="889"/>
      <c r="DM2685" s="890"/>
      <c r="DN2685" s="952"/>
      <c r="DO2685" s="75"/>
      <c r="DP2685" s="962"/>
      <c r="DQ2685" s="983"/>
      <c r="DV2685" s="889"/>
    </row>
    <row r="2686" spans="1:126" s="74" customFormat="1">
      <c r="A2686" s="15"/>
      <c r="B2686" s="15"/>
      <c r="C2686" s="15"/>
      <c r="D2686" s="15"/>
      <c r="E2686" s="6"/>
      <c r="F2686" s="6"/>
      <c r="G2686" s="6"/>
      <c r="K2686" s="222"/>
      <c r="V2686" s="1430"/>
      <c r="AA2686" s="223"/>
      <c r="AC2686" s="889"/>
      <c r="AF2686" s="890"/>
      <c r="AJ2686" s="889"/>
      <c r="AN2686" s="222"/>
      <c r="BC2686" s="223"/>
      <c r="BD2686" s="222"/>
      <c r="BH2686" s="611"/>
      <c r="BJ2686" s="15"/>
      <c r="BK2686" s="15"/>
      <c r="BO2686" s="223"/>
      <c r="BQ2686" s="889"/>
      <c r="BT2686" s="890"/>
      <c r="BX2686" s="889"/>
      <c r="CB2686" s="15"/>
      <c r="CC2686" s="697"/>
      <c r="CD2686" s="1086"/>
      <c r="CE2686" s="15"/>
      <c r="CF2686" s="15"/>
      <c r="CG2686" s="936"/>
      <c r="CH2686" s="15"/>
      <c r="CI2686" s="15"/>
      <c r="CJ2686" s="15"/>
      <c r="CK2686" s="1107"/>
      <c r="CL2686" s="22"/>
      <c r="CM2686" s="22"/>
      <c r="CN2686" s="1107"/>
      <c r="CR2686" s="223"/>
      <c r="CS2686" s="952"/>
      <c r="CT2686" s="1066"/>
      <c r="CU2686" s="972"/>
      <c r="CV2686" s="983"/>
      <c r="CW2686" s="222"/>
      <c r="CX2686" s="697"/>
      <c r="DC2686" s="222"/>
      <c r="DJ2686" s="889"/>
      <c r="DM2686" s="890"/>
      <c r="DN2686" s="952"/>
      <c r="DO2686" s="75"/>
      <c r="DP2686" s="962"/>
      <c r="DQ2686" s="983"/>
      <c r="DV2686" s="889"/>
    </row>
    <row r="2687" spans="1:126" s="74" customFormat="1">
      <c r="A2687" s="15"/>
      <c r="B2687" s="15"/>
      <c r="C2687" s="15"/>
      <c r="D2687" s="15"/>
      <c r="E2687" s="6"/>
      <c r="F2687" s="6"/>
      <c r="G2687" s="6"/>
      <c r="K2687" s="222"/>
      <c r="V2687" s="1430"/>
      <c r="AA2687" s="223"/>
      <c r="AC2687" s="889"/>
      <c r="AF2687" s="890"/>
      <c r="AJ2687" s="889"/>
      <c r="AN2687" s="222"/>
      <c r="BC2687" s="223"/>
      <c r="BD2687" s="222"/>
      <c r="BH2687" s="611"/>
      <c r="BJ2687" s="15"/>
      <c r="BK2687" s="15"/>
      <c r="BO2687" s="223"/>
      <c r="BQ2687" s="889"/>
      <c r="BT2687" s="890"/>
      <c r="BX2687" s="889"/>
      <c r="CB2687" s="15"/>
      <c r="CC2687" s="697"/>
      <c r="CD2687" s="1086"/>
      <c r="CE2687" s="15"/>
      <c r="CF2687" s="15"/>
      <c r="CG2687" s="936"/>
      <c r="CH2687" s="15"/>
      <c r="CI2687" s="15"/>
      <c r="CJ2687" s="15"/>
      <c r="CK2687" s="1107"/>
      <c r="CL2687" s="22"/>
      <c r="CM2687" s="22"/>
      <c r="CN2687" s="1107"/>
      <c r="CR2687" s="223"/>
      <c r="CS2687" s="952"/>
      <c r="CT2687" s="1066"/>
      <c r="CU2687" s="972"/>
      <c r="CV2687" s="983"/>
      <c r="CW2687" s="222"/>
      <c r="CX2687" s="697"/>
      <c r="DC2687" s="222"/>
      <c r="DJ2687" s="889"/>
      <c r="DM2687" s="890"/>
      <c r="DN2687" s="952"/>
      <c r="DO2687" s="75"/>
      <c r="DP2687" s="962"/>
      <c r="DQ2687" s="983"/>
      <c r="DV2687" s="889"/>
    </row>
    <row r="2688" spans="1:126" s="74" customFormat="1">
      <c r="A2688" s="15"/>
      <c r="B2688" s="15"/>
      <c r="C2688" s="15"/>
      <c r="D2688" s="15"/>
      <c r="E2688" s="6"/>
      <c r="F2688" s="6"/>
      <c r="G2688" s="6"/>
      <c r="K2688" s="222"/>
      <c r="V2688" s="1430"/>
      <c r="AA2688" s="223"/>
      <c r="AC2688" s="889"/>
      <c r="AF2688" s="890"/>
      <c r="AJ2688" s="889"/>
      <c r="AN2688" s="222"/>
      <c r="BC2688" s="223"/>
      <c r="BD2688" s="222"/>
      <c r="BH2688" s="611"/>
      <c r="BJ2688" s="15"/>
      <c r="BK2688" s="15"/>
      <c r="BO2688" s="223"/>
      <c r="BQ2688" s="889"/>
      <c r="BT2688" s="890"/>
      <c r="BX2688" s="889"/>
      <c r="CB2688" s="15"/>
      <c r="CC2688" s="697"/>
      <c r="CD2688" s="1086"/>
      <c r="CE2688" s="15"/>
      <c r="CF2688" s="15"/>
      <c r="CG2688" s="936"/>
      <c r="CH2688" s="15"/>
      <c r="CI2688" s="15"/>
      <c r="CJ2688" s="15"/>
      <c r="CK2688" s="1107"/>
      <c r="CL2688" s="22"/>
      <c r="CM2688" s="22"/>
      <c r="CN2688" s="1107"/>
      <c r="CR2688" s="223"/>
      <c r="CS2688" s="952"/>
      <c r="CT2688" s="1066"/>
      <c r="CU2688" s="972"/>
      <c r="CV2688" s="983"/>
      <c r="CW2688" s="222"/>
      <c r="CX2688" s="697"/>
      <c r="DC2688" s="222"/>
      <c r="DJ2688" s="889"/>
      <c r="DM2688" s="890"/>
      <c r="DN2688" s="952"/>
      <c r="DO2688" s="75"/>
      <c r="DP2688" s="962"/>
      <c r="DQ2688" s="983"/>
      <c r="DV2688" s="889"/>
    </row>
    <row r="2689" spans="1:126" s="74" customFormat="1">
      <c r="A2689" s="15"/>
      <c r="B2689" s="15"/>
      <c r="C2689" s="15"/>
      <c r="D2689" s="15"/>
      <c r="E2689" s="6"/>
      <c r="F2689" s="6"/>
      <c r="G2689" s="6"/>
      <c r="K2689" s="222"/>
      <c r="V2689" s="1430"/>
      <c r="AA2689" s="223"/>
      <c r="AC2689" s="889"/>
      <c r="AF2689" s="890"/>
      <c r="AJ2689" s="889"/>
      <c r="AN2689" s="222"/>
      <c r="BC2689" s="223"/>
      <c r="BD2689" s="222"/>
      <c r="BH2689" s="611"/>
      <c r="BJ2689" s="15"/>
      <c r="BK2689" s="15"/>
      <c r="BO2689" s="223"/>
      <c r="BQ2689" s="889"/>
      <c r="BT2689" s="890"/>
      <c r="BX2689" s="889"/>
      <c r="CB2689" s="15"/>
      <c r="CC2689" s="697"/>
      <c r="CD2689" s="1086"/>
      <c r="CE2689" s="15"/>
      <c r="CF2689" s="15"/>
      <c r="CG2689" s="936"/>
      <c r="CH2689" s="15"/>
      <c r="CI2689" s="15"/>
      <c r="CJ2689" s="15"/>
      <c r="CK2689" s="1107"/>
      <c r="CL2689" s="22"/>
      <c r="CM2689" s="22"/>
      <c r="CN2689" s="1107"/>
      <c r="CR2689" s="223"/>
      <c r="CS2689" s="952"/>
      <c r="CT2689" s="1066"/>
      <c r="CU2689" s="972"/>
      <c r="CV2689" s="983"/>
      <c r="CW2689" s="222"/>
      <c r="CX2689" s="697"/>
      <c r="DC2689" s="222"/>
      <c r="DJ2689" s="889"/>
      <c r="DM2689" s="890"/>
      <c r="DN2689" s="952"/>
      <c r="DO2689" s="75"/>
      <c r="DP2689" s="962"/>
      <c r="DQ2689" s="983"/>
      <c r="DV2689" s="889"/>
    </row>
    <row r="2690" spans="1:126" s="74" customFormat="1">
      <c r="A2690" s="15"/>
      <c r="B2690" s="15"/>
      <c r="C2690" s="15"/>
      <c r="D2690" s="15"/>
      <c r="E2690" s="6"/>
      <c r="F2690" s="6"/>
      <c r="G2690" s="6"/>
      <c r="K2690" s="222"/>
      <c r="V2690" s="1430"/>
      <c r="AA2690" s="223"/>
      <c r="AC2690" s="889"/>
      <c r="AF2690" s="890"/>
      <c r="AJ2690" s="889"/>
      <c r="AN2690" s="222"/>
      <c r="BC2690" s="223"/>
      <c r="BD2690" s="222"/>
      <c r="BH2690" s="611"/>
      <c r="BJ2690" s="15"/>
      <c r="BK2690" s="15"/>
      <c r="BO2690" s="223"/>
      <c r="BQ2690" s="889"/>
      <c r="BT2690" s="890"/>
      <c r="BX2690" s="889"/>
      <c r="CB2690" s="15"/>
      <c r="CC2690" s="697"/>
      <c r="CD2690" s="1086"/>
      <c r="CE2690" s="15"/>
      <c r="CF2690" s="15"/>
      <c r="CG2690" s="936"/>
      <c r="CH2690" s="15"/>
      <c r="CI2690" s="15"/>
      <c r="CJ2690" s="15"/>
      <c r="CK2690" s="1107"/>
      <c r="CL2690" s="22"/>
      <c r="CM2690" s="22"/>
      <c r="CN2690" s="1107"/>
      <c r="CR2690" s="223"/>
      <c r="CS2690" s="952"/>
      <c r="CT2690" s="1066"/>
      <c r="CU2690" s="972"/>
      <c r="CV2690" s="983"/>
      <c r="CW2690" s="222"/>
      <c r="CX2690" s="697"/>
      <c r="DC2690" s="222"/>
      <c r="DJ2690" s="889"/>
      <c r="DM2690" s="890"/>
      <c r="DN2690" s="952"/>
      <c r="DO2690" s="75"/>
      <c r="DP2690" s="962"/>
      <c r="DQ2690" s="983"/>
      <c r="DV2690" s="889"/>
    </row>
    <row r="2691" spans="1:126" s="74" customFormat="1">
      <c r="A2691" s="15"/>
      <c r="B2691" s="15"/>
      <c r="C2691" s="15"/>
      <c r="D2691" s="15"/>
      <c r="E2691" s="6"/>
      <c r="F2691" s="6"/>
      <c r="G2691" s="6"/>
      <c r="K2691" s="222"/>
      <c r="V2691" s="1430"/>
      <c r="AA2691" s="223"/>
      <c r="AC2691" s="889"/>
      <c r="AF2691" s="890"/>
      <c r="AJ2691" s="889"/>
      <c r="AN2691" s="222"/>
      <c r="BC2691" s="223"/>
      <c r="BD2691" s="222"/>
      <c r="BH2691" s="611"/>
      <c r="BJ2691" s="15"/>
      <c r="BK2691" s="15"/>
      <c r="BO2691" s="223"/>
      <c r="BQ2691" s="889"/>
      <c r="BT2691" s="890"/>
      <c r="BX2691" s="889"/>
      <c r="CB2691" s="15"/>
      <c r="CC2691" s="697"/>
      <c r="CD2691" s="1086"/>
      <c r="CE2691" s="15"/>
      <c r="CF2691" s="15"/>
      <c r="CG2691" s="936"/>
      <c r="CH2691" s="15"/>
      <c r="CI2691" s="15"/>
      <c r="CJ2691" s="15"/>
      <c r="CK2691" s="1107"/>
      <c r="CL2691" s="22"/>
      <c r="CM2691" s="22"/>
      <c r="CN2691" s="1107"/>
      <c r="CR2691" s="223"/>
      <c r="CS2691" s="952"/>
      <c r="CT2691" s="1066"/>
      <c r="CU2691" s="972"/>
      <c r="CV2691" s="983"/>
      <c r="CW2691" s="222"/>
      <c r="CX2691" s="697"/>
      <c r="DC2691" s="222"/>
      <c r="DJ2691" s="889"/>
      <c r="DM2691" s="890"/>
      <c r="DN2691" s="952"/>
      <c r="DO2691" s="75"/>
      <c r="DP2691" s="962"/>
      <c r="DQ2691" s="983"/>
      <c r="DV2691" s="889"/>
    </row>
    <row r="2692" spans="1:126" s="74" customFormat="1">
      <c r="A2692" s="15"/>
      <c r="B2692" s="15"/>
      <c r="C2692" s="15"/>
      <c r="D2692" s="15"/>
      <c r="E2692" s="6"/>
      <c r="F2692" s="6"/>
      <c r="G2692" s="6"/>
      <c r="K2692" s="222"/>
      <c r="V2692" s="1430"/>
      <c r="AA2692" s="223"/>
      <c r="AC2692" s="889"/>
      <c r="AF2692" s="890"/>
      <c r="AJ2692" s="889"/>
      <c r="AN2692" s="222"/>
      <c r="BC2692" s="223"/>
      <c r="BD2692" s="222"/>
      <c r="BH2692" s="611"/>
      <c r="BJ2692" s="15"/>
      <c r="BK2692" s="15"/>
      <c r="BO2692" s="223"/>
      <c r="BQ2692" s="889"/>
      <c r="BT2692" s="890"/>
      <c r="BX2692" s="889"/>
      <c r="CB2692" s="15"/>
      <c r="CC2692" s="697"/>
      <c r="CD2692" s="1086"/>
      <c r="CE2692" s="15"/>
      <c r="CF2692" s="15"/>
      <c r="CG2692" s="936"/>
      <c r="CH2692" s="15"/>
      <c r="CI2692" s="15"/>
      <c r="CJ2692" s="15"/>
      <c r="CK2692" s="1107"/>
      <c r="CL2692" s="22"/>
      <c r="CM2692" s="22"/>
      <c r="CN2692" s="1107"/>
      <c r="CR2692" s="223"/>
      <c r="CS2692" s="952"/>
      <c r="CT2692" s="1066"/>
      <c r="CU2692" s="972"/>
      <c r="CV2692" s="983"/>
      <c r="CW2692" s="222"/>
      <c r="CX2692" s="697"/>
      <c r="DC2692" s="222"/>
      <c r="DJ2692" s="889"/>
      <c r="DM2692" s="890"/>
      <c r="DN2692" s="952"/>
      <c r="DO2692" s="75"/>
      <c r="DP2692" s="962"/>
      <c r="DQ2692" s="983"/>
      <c r="DV2692" s="889"/>
    </row>
    <row r="2693" spans="1:126" s="74" customFormat="1">
      <c r="A2693" s="15"/>
      <c r="B2693" s="15"/>
      <c r="C2693" s="15"/>
      <c r="D2693" s="15"/>
      <c r="E2693" s="6"/>
      <c r="F2693" s="6"/>
      <c r="G2693" s="6"/>
      <c r="K2693" s="222"/>
      <c r="V2693" s="1430"/>
      <c r="AA2693" s="223"/>
      <c r="AC2693" s="889"/>
      <c r="AF2693" s="890"/>
      <c r="AJ2693" s="889"/>
      <c r="AN2693" s="222"/>
      <c r="BC2693" s="223"/>
      <c r="BD2693" s="222"/>
      <c r="BH2693" s="611"/>
      <c r="BJ2693" s="15"/>
      <c r="BK2693" s="15"/>
      <c r="BO2693" s="223"/>
      <c r="BQ2693" s="889"/>
      <c r="BT2693" s="890"/>
      <c r="BX2693" s="889"/>
      <c r="CB2693" s="15"/>
      <c r="CC2693" s="697"/>
      <c r="CD2693" s="1086"/>
      <c r="CE2693" s="15"/>
      <c r="CF2693" s="15"/>
      <c r="CG2693" s="936"/>
      <c r="CH2693" s="15"/>
      <c r="CI2693" s="15"/>
      <c r="CJ2693" s="15"/>
      <c r="CK2693" s="1107"/>
      <c r="CL2693" s="22"/>
      <c r="CM2693" s="22"/>
      <c r="CN2693" s="1107"/>
      <c r="CR2693" s="223"/>
      <c r="CS2693" s="952"/>
      <c r="CT2693" s="1066"/>
      <c r="CU2693" s="972"/>
      <c r="CV2693" s="983"/>
      <c r="CW2693" s="222"/>
      <c r="CX2693" s="697"/>
      <c r="DC2693" s="222"/>
      <c r="DJ2693" s="889"/>
      <c r="DM2693" s="890"/>
      <c r="DN2693" s="952"/>
      <c r="DO2693" s="75"/>
      <c r="DP2693" s="962"/>
      <c r="DQ2693" s="983"/>
      <c r="DV2693" s="889"/>
    </row>
    <row r="2694" spans="1:126" s="74" customFormat="1">
      <c r="A2694" s="15"/>
      <c r="B2694" s="15"/>
      <c r="C2694" s="15"/>
      <c r="D2694" s="15"/>
      <c r="E2694" s="6"/>
      <c r="F2694" s="6"/>
      <c r="G2694" s="6"/>
      <c r="K2694" s="222"/>
      <c r="V2694" s="1430"/>
      <c r="AA2694" s="223"/>
      <c r="AC2694" s="889"/>
      <c r="AF2694" s="890"/>
      <c r="AJ2694" s="889"/>
      <c r="AN2694" s="222"/>
      <c r="BC2694" s="223"/>
      <c r="BD2694" s="222"/>
      <c r="BH2694" s="611"/>
      <c r="BJ2694" s="15"/>
      <c r="BK2694" s="15"/>
      <c r="BO2694" s="223"/>
      <c r="BQ2694" s="889"/>
      <c r="BT2694" s="890"/>
      <c r="BX2694" s="889"/>
      <c r="CB2694" s="15"/>
      <c r="CC2694" s="697"/>
      <c r="CD2694" s="1086"/>
      <c r="CE2694" s="15"/>
      <c r="CF2694" s="15"/>
      <c r="CG2694" s="936"/>
      <c r="CH2694" s="15"/>
      <c r="CI2694" s="15"/>
      <c r="CJ2694" s="15"/>
      <c r="CK2694" s="1107"/>
      <c r="CL2694" s="22"/>
      <c r="CM2694" s="22"/>
      <c r="CN2694" s="1107"/>
      <c r="CR2694" s="223"/>
      <c r="CS2694" s="952"/>
      <c r="CT2694" s="1066"/>
      <c r="CU2694" s="972"/>
      <c r="CV2694" s="983"/>
      <c r="CW2694" s="222"/>
      <c r="CX2694" s="697"/>
      <c r="DC2694" s="222"/>
      <c r="DJ2694" s="889"/>
      <c r="DM2694" s="890"/>
      <c r="DN2694" s="952"/>
      <c r="DO2694" s="75"/>
      <c r="DP2694" s="962"/>
      <c r="DQ2694" s="983"/>
      <c r="DV2694" s="889"/>
    </row>
    <row r="2695" spans="1:126" s="74" customFormat="1">
      <c r="A2695" s="15"/>
      <c r="B2695" s="15"/>
      <c r="C2695" s="15"/>
      <c r="D2695" s="15"/>
      <c r="E2695" s="6"/>
      <c r="F2695" s="6"/>
      <c r="G2695" s="6"/>
      <c r="K2695" s="222"/>
      <c r="V2695" s="1430"/>
      <c r="AA2695" s="223"/>
      <c r="AC2695" s="889"/>
      <c r="AF2695" s="890"/>
      <c r="AJ2695" s="889"/>
      <c r="AN2695" s="222"/>
      <c r="BC2695" s="223"/>
      <c r="BD2695" s="222"/>
      <c r="BH2695" s="611"/>
      <c r="BJ2695" s="15"/>
      <c r="BK2695" s="15"/>
      <c r="BO2695" s="223"/>
      <c r="BQ2695" s="889"/>
      <c r="BT2695" s="890"/>
      <c r="BX2695" s="889"/>
      <c r="CB2695" s="15"/>
      <c r="CC2695" s="697"/>
      <c r="CD2695" s="1086"/>
      <c r="CE2695" s="15"/>
      <c r="CF2695" s="15"/>
      <c r="CG2695" s="936"/>
      <c r="CH2695" s="15"/>
      <c r="CI2695" s="15"/>
      <c r="CJ2695" s="15"/>
      <c r="CK2695" s="1107"/>
      <c r="CL2695" s="22"/>
      <c r="CM2695" s="22"/>
      <c r="CN2695" s="1107"/>
      <c r="CR2695" s="223"/>
      <c r="CS2695" s="952"/>
      <c r="CT2695" s="1066"/>
      <c r="CU2695" s="972"/>
      <c r="CV2695" s="983"/>
      <c r="CW2695" s="222"/>
      <c r="CX2695" s="697"/>
      <c r="DC2695" s="222"/>
      <c r="DJ2695" s="889"/>
      <c r="DM2695" s="890"/>
      <c r="DN2695" s="952"/>
      <c r="DO2695" s="75"/>
      <c r="DP2695" s="962"/>
      <c r="DQ2695" s="983"/>
      <c r="DV2695" s="889"/>
    </row>
    <row r="2696" spans="1:126" s="74" customFormat="1">
      <c r="A2696" s="15"/>
      <c r="B2696" s="15"/>
      <c r="C2696" s="15"/>
      <c r="D2696" s="15"/>
      <c r="E2696" s="6"/>
      <c r="F2696" s="6"/>
      <c r="G2696" s="6"/>
      <c r="K2696" s="222"/>
      <c r="V2696" s="1430"/>
      <c r="AA2696" s="223"/>
      <c r="AC2696" s="889"/>
      <c r="AF2696" s="890"/>
      <c r="AJ2696" s="889"/>
      <c r="AN2696" s="222"/>
      <c r="BC2696" s="223"/>
      <c r="BD2696" s="222"/>
      <c r="BH2696" s="611"/>
      <c r="BJ2696" s="15"/>
      <c r="BK2696" s="15"/>
      <c r="BO2696" s="223"/>
      <c r="BQ2696" s="889"/>
      <c r="BT2696" s="890"/>
      <c r="BX2696" s="889"/>
      <c r="CB2696" s="15"/>
      <c r="CC2696" s="697"/>
      <c r="CD2696" s="1086"/>
      <c r="CE2696" s="15"/>
      <c r="CF2696" s="15"/>
      <c r="CG2696" s="936"/>
      <c r="CH2696" s="15"/>
      <c r="CI2696" s="15"/>
      <c r="CJ2696" s="15"/>
      <c r="CK2696" s="1107"/>
      <c r="CL2696" s="22"/>
      <c r="CM2696" s="22"/>
      <c r="CN2696" s="1107"/>
      <c r="CR2696" s="223"/>
      <c r="CS2696" s="952"/>
      <c r="CT2696" s="1066"/>
      <c r="CU2696" s="972"/>
      <c r="CV2696" s="983"/>
      <c r="CW2696" s="222"/>
      <c r="CX2696" s="697"/>
      <c r="DC2696" s="222"/>
      <c r="DJ2696" s="889"/>
      <c r="DM2696" s="890"/>
      <c r="DN2696" s="952"/>
      <c r="DO2696" s="75"/>
      <c r="DP2696" s="962"/>
      <c r="DQ2696" s="983"/>
      <c r="DV2696" s="889"/>
    </row>
    <row r="2697" spans="1:126" s="74" customFormat="1">
      <c r="A2697" s="15"/>
      <c r="B2697" s="15"/>
      <c r="C2697" s="15"/>
      <c r="D2697" s="15"/>
      <c r="E2697" s="6"/>
      <c r="F2697" s="6"/>
      <c r="G2697" s="6"/>
      <c r="K2697" s="222"/>
      <c r="V2697" s="1430"/>
      <c r="AA2697" s="223"/>
      <c r="AC2697" s="889"/>
      <c r="AF2697" s="890"/>
      <c r="AJ2697" s="889"/>
      <c r="AN2697" s="222"/>
      <c r="BC2697" s="223"/>
      <c r="BD2697" s="222"/>
      <c r="BH2697" s="611"/>
      <c r="BJ2697" s="15"/>
      <c r="BK2697" s="15"/>
      <c r="BO2697" s="223"/>
      <c r="BQ2697" s="889"/>
      <c r="BT2697" s="890"/>
      <c r="BX2697" s="889"/>
      <c r="CB2697" s="15"/>
      <c r="CC2697" s="697"/>
      <c r="CD2697" s="1086"/>
      <c r="CE2697" s="15"/>
      <c r="CF2697" s="15"/>
      <c r="CG2697" s="936"/>
      <c r="CH2697" s="15"/>
      <c r="CI2697" s="15"/>
      <c r="CJ2697" s="15"/>
      <c r="CK2697" s="1107"/>
      <c r="CL2697" s="22"/>
      <c r="CM2697" s="22"/>
      <c r="CN2697" s="1107"/>
      <c r="CR2697" s="223"/>
      <c r="CS2697" s="952"/>
      <c r="CT2697" s="1066"/>
      <c r="CU2697" s="972"/>
      <c r="CV2697" s="983"/>
      <c r="CW2697" s="222"/>
      <c r="CX2697" s="697"/>
      <c r="DC2697" s="222"/>
      <c r="DJ2697" s="889"/>
      <c r="DM2697" s="890"/>
      <c r="DN2697" s="952"/>
      <c r="DO2697" s="75"/>
      <c r="DP2697" s="962"/>
      <c r="DQ2697" s="983"/>
      <c r="DV2697" s="889"/>
    </row>
    <row r="2698" spans="1:126" s="74" customFormat="1">
      <c r="A2698" s="15"/>
      <c r="B2698" s="15"/>
      <c r="C2698" s="15"/>
      <c r="D2698" s="15"/>
      <c r="E2698" s="6"/>
      <c r="F2698" s="6"/>
      <c r="G2698" s="6"/>
      <c r="K2698" s="222"/>
      <c r="V2698" s="1430"/>
      <c r="AA2698" s="223"/>
      <c r="AC2698" s="889"/>
      <c r="AF2698" s="890"/>
      <c r="AJ2698" s="889"/>
      <c r="AN2698" s="222"/>
      <c r="BC2698" s="223"/>
      <c r="BD2698" s="222"/>
      <c r="BH2698" s="611"/>
      <c r="BJ2698" s="15"/>
      <c r="BK2698" s="15"/>
      <c r="BO2698" s="223"/>
      <c r="BQ2698" s="889"/>
      <c r="BT2698" s="890"/>
      <c r="BX2698" s="889"/>
      <c r="CB2698" s="15"/>
      <c r="CC2698" s="697"/>
      <c r="CD2698" s="1086"/>
      <c r="CE2698" s="15"/>
      <c r="CF2698" s="15"/>
      <c r="CG2698" s="936"/>
      <c r="CH2698" s="15"/>
      <c r="CI2698" s="15"/>
      <c r="CJ2698" s="15"/>
      <c r="CK2698" s="1107"/>
      <c r="CL2698" s="22"/>
      <c r="CM2698" s="22"/>
      <c r="CN2698" s="1107"/>
      <c r="CR2698" s="223"/>
      <c r="CS2698" s="952"/>
      <c r="CT2698" s="1066"/>
      <c r="CU2698" s="972"/>
      <c r="CV2698" s="983"/>
      <c r="CW2698" s="222"/>
      <c r="CX2698" s="697"/>
      <c r="DC2698" s="222"/>
      <c r="DJ2698" s="889"/>
      <c r="DM2698" s="890"/>
      <c r="DN2698" s="952"/>
      <c r="DO2698" s="75"/>
      <c r="DP2698" s="962"/>
      <c r="DQ2698" s="983"/>
      <c r="DV2698" s="889"/>
    </row>
    <row r="2699" spans="1:126" s="74" customFormat="1">
      <c r="A2699" s="15"/>
      <c r="B2699" s="15"/>
      <c r="C2699" s="15"/>
      <c r="D2699" s="15"/>
      <c r="E2699" s="6"/>
      <c r="F2699" s="6"/>
      <c r="G2699" s="6"/>
      <c r="K2699" s="222"/>
      <c r="V2699" s="1430"/>
      <c r="AA2699" s="223"/>
      <c r="AC2699" s="889"/>
      <c r="AF2699" s="890"/>
      <c r="AJ2699" s="889"/>
      <c r="AN2699" s="222"/>
      <c r="BC2699" s="223"/>
      <c r="BD2699" s="222"/>
      <c r="BH2699" s="611"/>
      <c r="BJ2699" s="15"/>
      <c r="BK2699" s="15"/>
      <c r="BO2699" s="223"/>
      <c r="BQ2699" s="889"/>
      <c r="BT2699" s="890"/>
      <c r="BX2699" s="889"/>
      <c r="CB2699" s="15"/>
      <c r="CC2699" s="697"/>
      <c r="CD2699" s="1086"/>
      <c r="CE2699" s="15"/>
      <c r="CF2699" s="15"/>
      <c r="CG2699" s="936"/>
      <c r="CH2699" s="15"/>
      <c r="CI2699" s="15"/>
      <c r="CJ2699" s="15"/>
      <c r="CK2699" s="1107"/>
      <c r="CL2699" s="22"/>
      <c r="CM2699" s="22"/>
      <c r="CN2699" s="1107"/>
      <c r="CR2699" s="223"/>
      <c r="CS2699" s="952"/>
      <c r="CT2699" s="1066"/>
      <c r="CU2699" s="972"/>
      <c r="CV2699" s="983"/>
      <c r="CW2699" s="222"/>
      <c r="CX2699" s="697"/>
      <c r="DC2699" s="222"/>
      <c r="DJ2699" s="889"/>
      <c r="DM2699" s="890"/>
      <c r="DN2699" s="952"/>
      <c r="DO2699" s="75"/>
      <c r="DP2699" s="962"/>
      <c r="DQ2699" s="983"/>
      <c r="DV2699" s="889"/>
    </row>
    <row r="2700" spans="1:126" s="74" customFormat="1">
      <c r="A2700" s="15"/>
      <c r="B2700" s="15"/>
      <c r="C2700" s="15"/>
      <c r="D2700" s="15"/>
      <c r="E2700" s="6"/>
      <c r="F2700" s="6"/>
      <c r="G2700" s="6"/>
      <c r="K2700" s="222"/>
      <c r="V2700" s="1430"/>
      <c r="AA2700" s="223"/>
      <c r="AC2700" s="889"/>
      <c r="AF2700" s="890"/>
      <c r="AJ2700" s="889"/>
      <c r="AN2700" s="222"/>
      <c r="BC2700" s="223"/>
      <c r="BD2700" s="222"/>
      <c r="BH2700" s="611"/>
      <c r="BJ2700" s="15"/>
      <c r="BK2700" s="15"/>
      <c r="BO2700" s="223"/>
      <c r="BQ2700" s="889"/>
      <c r="BT2700" s="890"/>
      <c r="BX2700" s="889"/>
      <c r="CB2700" s="15"/>
      <c r="CC2700" s="697"/>
      <c r="CD2700" s="1086"/>
      <c r="CE2700" s="15"/>
      <c r="CF2700" s="15"/>
      <c r="CG2700" s="936"/>
      <c r="CH2700" s="15"/>
      <c r="CI2700" s="15"/>
      <c r="CJ2700" s="15"/>
      <c r="CK2700" s="1107"/>
      <c r="CL2700" s="22"/>
      <c r="CM2700" s="22"/>
      <c r="CN2700" s="1107"/>
      <c r="CR2700" s="223"/>
      <c r="CS2700" s="952"/>
      <c r="CT2700" s="1066"/>
      <c r="CU2700" s="972"/>
      <c r="CV2700" s="983"/>
      <c r="CW2700" s="222"/>
      <c r="CX2700" s="697"/>
      <c r="DC2700" s="222"/>
      <c r="DJ2700" s="889"/>
      <c r="DM2700" s="890"/>
      <c r="DN2700" s="952"/>
      <c r="DO2700" s="75"/>
      <c r="DP2700" s="962"/>
      <c r="DQ2700" s="983"/>
      <c r="DV2700" s="889"/>
    </row>
    <row r="2701" spans="1:126" s="74" customFormat="1">
      <c r="A2701" s="15"/>
      <c r="B2701" s="15"/>
      <c r="C2701" s="15"/>
      <c r="D2701" s="15"/>
      <c r="E2701" s="6"/>
      <c r="F2701" s="6"/>
      <c r="G2701" s="6"/>
      <c r="K2701" s="222"/>
      <c r="V2701" s="1430"/>
      <c r="AA2701" s="223"/>
      <c r="AC2701" s="889"/>
      <c r="AF2701" s="890"/>
      <c r="AJ2701" s="889"/>
      <c r="AN2701" s="222"/>
      <c r="BC2701" s="223"/>
      <c r="BD2701" s="222"/>
      <c r="BH2701" s="611"/>
      <c r="BJ2701" s="15"/>
      <c r="BK2701" s="15"/>
      <c r="BO2701" s="223"/>
      <c r="BQ2701" s="889"/>
      <c r="BT2701" s="890"/>
      <c r="BX2701" s="889"/>
      <c r="CB2701" s="15"/>
      <c r="CC2701" s="697"/>
      <c r="CD2701" s="1086"/>
      <c r="CE2701" s="15"/>
      <c r="CF2701" s="15"/>
      <c r="CG2701" s="936"/>
      <c r="CH2701" s="15"/>
      <c r="CI2701" s="15"/>
      <c r="CJ2701" s="15"/>
      <c r="CK2701" s="1107"/>
      <c r="CL2701" s="22"/>
      <c r="CM2701" s="22"/>
      <c r="CN2701" s="1107"/>
      <c r="CR2701" s="223"/>
      <c r="CS2701" s="952"/>
      <c r="CT2701" s="1066"/>
      <c r="CU2701" s="972"/>
      <c r="CV2701" s="983"/>
      <c r="CW2701" s="222"/>
      <c r="CX2701" s="697"/>
      <c r="DC2701" s="222"/>
      <c r="DJ2701" s="889"/>
      <c r="DM2701" s="890"/>
      <c r="DN2701" s="952"/>
      <c r="DO2701" s="75"/>
      <c r="DP2701" s="962"/>
      <c r="DQ2701" s="983"/>
      <c r="DV2701" s="889"/>
    </row>
    <row r="2702" spans="1:126" s="74" customFormat="1">
      <c r="A2702" s="15"/>
      <c r="B2702" s="15"/>
      <c r="C2702" s="15"/>
      <c r="D2702" s="15"/>
      <c r="E2702" s="6"/>
      <c r="F2702" s="6"/>
      <c r="G2702" s="6"/>
      <c r="K2702" s="222"/>
      <c r="V2702" s="1430"/>
      <c r="AA2702" s="223"/>
      <c r="AC2702" s="889"/>
      <c r="AF2702" s="890"/>
      <c r="AJ2702" s="889"/>
      <c r="AN2702" s="222"/>
      <c r="BC2702" s="223"/>
      <c r="BD2702" s="222"/>
      <c r="BH2702" s="611"/>
      <c r="BJ2702" s="15"/>
      <c r="BK2702" s="15"/>
      <c r="BO2702" s="223"/>
      <c r="BQ2702" s="889"/>
      <c r="BT2702" s="890"/>
      <c r="BX2702" s="889"/>
      <c r="CB2702" s="15"/>
      <c r="CC2702" s="697"/>
      <c r="CD2702" s="1086"/>
      <c r="CE2702" s="15"/>
      <c r="CF2702" s="15"/>
      <c r="CG2702" s="936"/>
      <c r="CH2702" s="15"/>
      <c r="CI2702" s="15"/>
      <c r="CJ2702" s="15"/>
      <c r="CK2702" s="1107"/>
      <c r="CL2702" s="22"/>
      <c r="CM2702" s="22"/>
      <c r="CN2702" s="1107"/>
      <c r="CR2702" s="223"/>
      <c r="CS2702" s="952"/>
      <c r="CT2702" s="1066"/>
      <c r="CU2702" s="972"/>
      <c r="CV2702" s="983"/>
      <c r="CW2702" s="222"/>
      <c r="CX2702" s="697"/>
      <c r="DC2702" s="222"/>
      <c r="DJ2702" s="889"/>
      <c r="DM2702" s="890"/>
      <c r="DN2702" s="952"/>
      <c r="DO2702" s="75"/>
      <c r="DP2702" s="962"/>
      <c r="DQ2702" s="983"/>
      <c r="DV2702" s="889"/>
    </row>
    <row r="2703" spans="1:126" s="74" customFormat="1">
      <c r="A2703" s="15"/>
      <c r="B2703" s="15"/>
      <c r="C2703" s="15"/>
      <c r="D2703" s="15"/>
      <c r="E2703" s="6"/>
      <c r="F2703" s="6"/>
      <c r="G2703" s="6"/>
      <c r="K2703" s="222"/>
      <c r="V2703" s="1430"/>
      <c r="AA2703" s="223"/>
      <c r="AC2703" s="889"/>
      <c r="AF2703" s="890"/>
      <c r="AJ2703" s="889"/>
      <c r="AN2703" s="222"/>
      <c r="BC2703" s="223"/>
      <c r="BD2703" s="222"/>
      <c r="BH2703" s="611"/>
      <c r="BJ2703" s="15"/>
      <c r="BK2703" s="15"/>
      <c r="BO2703" s="223"/>
      <c r="BQ2703" s="889"/>
      <c r="BT2703" s="890"/>
      <c r="BX2703" s="889"/>
      <c r="CB2703" s="15"/>
      <c r="CC2703" s="697"/>
      <c r="CD2703" s="1086"/>
      <c r="CE2703" s="15"/>
      <c r="CF2703" s="15"/>
      <c r="CG2703" s="936"/>
      <c r="CH2703" s="15"/>
      <c r="CI2703" s="15"/>
      <c r="CJ2703" s="15"/>
      <c r="CK2703" s="1107"/>
      <c r="CL2703" s="22"/>
      <c r="CM2703" s="22"/>
      <c r="CN2703" s="1107"/>
      <c r="CR2703" s="223"/>
      <c r="CS2703" s="952"/>
      <c r="CT2703" s="1066"/>
      <c r="CU2703" s="972"/>
      <c r="CV2703" s="983"/>
      <c r="CW2703" s="222"/>
      <c r="CX2703" s="697"/>
      <c r="DC2703" s="222"/>
      <c r="DJ2703" s="889"/>
      <c r="DM2703" s="890"/>
      <c r="DN2703" s="952"/>
      <c r="DO2703" s="75"/>
      <c r="DP2703" s="962"/>
      <c r="DQ2703" s="983"/>
      <c r="DV2703" s="889"/>
    </row>
    <row r="2704" spans="1:126" s="74" customFormat="1">
      <c r="A2704" s="15"/>
      <c r="B2704" s="15"/>
      <c r="C2704" s="15"/>
      <c r="D2704" s="15"/>
      <c r="E2704" s="6"/>
      <c r="F2704" s="6"/>
      <c r="G2704" s="6"/>
      <c r="K2704" s="222"/>
      <c r="V2704" s="1430"/>
      <c r="AA2704" s="223"/>
      <c r="AC2704" s="889"/>
      <c r="AF2704" s="890"/>
      <c r="AJ2704" s="889"/>
      <c r="AN2704" s="222"/>
      <c r="BC2704" s="223"/>
      <c r="BD2704" s="222"/>
      <c r="BH2704" s="611"/>
      <c r="BJ2704" s="15"/>
      <c r="BK2704" s="15"/>
      <c r="BO2704" s="223"/>
      <c r="BQ2704" s="889"/>
      <c r="BT2704" s="890"/>
      <c r="BX2704" s="889"/>
      <c r="CB2704" s="15"/>
      <c r="CC2704" s="697"/>
      <c r="CD2704" s="1086"/>
      <c r="CE2704" s="15"/>
      <c r="CF2704" s="15"/>
      <c r="CG2704" s="936"/>
      <c r="CH2704" s="15"/>
      <c r="CI2704" s="15"/>
      <c r="CJ2704" s="15"/>
      <c r="CK2704" s="1107"/>
      <c r="CL2704" s="22"/>
      <c r="CM2704" s="22"/>
      <c r="CN2704" s="1107"/>
      <c r="CR2704" s="223"/>
      <c r="CS2704" s="952"/>
      <c r="CT2704" s="1066"/>
      <c r="CU2704" s="972"/>
      <c r="CV2704" s="983"/>
      <c r="CW2704" s="222"/>
      <c r="CX2704" s="697"/>
      <c r="DC2704" s="222"/>
      <c r="DJ2704" s="889"/>
      <c r="DM2704" s="890"/>
      <c r="DN2704" s="952"/>
      <c r="DO2704" s="75"/>
      <c r="DP2704" s="962"/>
      <c r="DQ2704" s="983"/>
      <c r="DV2704" s="889"/>
    </row>
    <row r="2705" spans="1:126" s="74" customFormat="1">
      <c r="A2705" s="15"/>
      <c r="B2705" s="15"/>
      <c r="C2705" s="15"/>
      <c r="D2705" s="15"/>
      <c r="E2705" s="6"/>
      <c r="F2705" s="6"/>
      <c r="G2705" s="6"/>
      <c r="K2705" s="222"/>
      <c r="V2705" s="1430"/>
      <c r="AA2705" s="223"/>
      <c r="AC2705" s="889"/>
      <c r="AF2705" s="890"/>
      <c r="AJ2705" s="889"/>
      <c r="AN2705" s="222"/>
      <c r="BC2705" s="223"/>
      <c r="BD2705" s="222"/>
      <c r="BH2705" s="611"/>
      <c r="BJ2705" s="15"/>
      <c r="BK2705" s="15"/>
      <c r="BO2705" s="223"/>
      <c r="BQ2705" s="889"/>
      <c r="BT2705" s="890"/>
      <c r="BX2705" s="889"/>
      <c r="CB2705" s="15"/>
      <c r="CC2705" s="697"/>
      <c r="CD2705" s="1086"/>
      <c r="CE2705" s="15"/>
      <c r="CF2705" s="15"/>
      <c r="CG2705" s="936"/>
      <c r="CH2705" s="15"/>
      <c r="CI2705" s="15"/>
      <c r="CJ2705" s="15"/>
      <c r="CK2705" s="1107"/>
      <c r="CL2705" s="22"/>
      <c r="CM2705" s="22"/>
      <c r="CN2705" s="1107"/>
      <c r="CR2705" s="223"/>
      <c r="CS2705" s="952"/>
      <c r="CT2705" s="1066"/>
      <c r="CU2705" s="972"/>
      <c r="CV2705" s="983"/>
      <c r="CW2705" s="222"/>
      <c r="CX2705" s="697"/>
      <c r="DC2705" s="222"/>
      <c r="DJ2705" s="889"/>
      <c r="DM2705" s="890"/>
      <c r="DN2705" s="952"/>
      <c r="DO2705" s="75"/>
      <c r="DP2705" s="962"/>
      <c r="DQ2705" s="983"/>
      <c r="DV2705" s="889"/>
    </row>
    <row r="2706" spans="1:126" s="74" customFormat="1">
      <c r="A2706" s="15"/>
      <c r="B2706" s="15"/>
      <c r="C2706" s="15"/>
      <c r="D2706" s="15"/>
      <c r="E2706" s="6"/>
      <c r="F2706" s="6"/>
      <c r="G2706" s="6"/>
      <c r="K2706" s="222"/>
      <c r="V2706" s="1430"/>
      <c r="AA2706" s="223"/>
      <c r="AC2706" s="889"/>
      <c r="AF2706" s="890"/>
      <c r="AJ2706" s="889"/>
      <c r="AN2706" s="222"/>
      <c r="BC2706" s="223"/>
      <c r="BD2706" s="222"/>
      <c r="BH2706" s="611"/>
      <c r="BJ2706" s="15"/>
      <c r="BK2706" s="15"/>
      <c r="BO2706" s="223"/>
      <c r="BQ2706" s="889"/>
      <c r="BT2706" s="890"/>
      <c r="BX2706" s="889"/>
      <c r="CB2706" s="15"/>
      <c r="CC2706" s="697"/>
      <c r="CD2706" s="1086"/>
      <c r="CE2706" s="15"/>
      <c r="CF2706" s="15"/>
      <c r="CG2706" s="936"/>
      <c r="CH2706" s="15"/>
      <c r="CI2706" s="15"/>
      <c r="CJ2706" s="15"/>
      <c r="CK2706" s="1107"/>
      <c r="CL2706" s="22"/>
      <c r="CM2706" s="22"/>
      <c r="CN2706" s="1107"/>
      <c r="CR2706" s="223"/>
      <c r="CS2706" s="952"/>
      <c r="CT2706" s="1066"/>
      <c r="CU2706" s="972"/>
      <c r="CV2706" s="983"/>
      <c r="CW2706" s="222"/>
      <c r="CX2706" s="697"/>
      <c r="DC2706" s="222"/>
      <c r="DJ2706" s="889"/>
      <c r="DM2706" s="890"/>
      <c r="DN2706" s="952"/>
      <c r="DO2706" s="75"/>
      <c r="DP2706" s="962"/>
      <c r="DQ2706" s="983"/>
      <c r="DV2706" s="889"/>
    </row>
    <row r="2707" spans="1:126" s="74" customFormat="1">
      <c r="A2707" s="15"/>
      <c r="B2707" s="15"/>
      <c r="C2707" s="15"/>
      <c r="D2707" s="15"/>
      <c r="E2707" s="6"/>
      <c r="F2707" s="6"/>
      <c r="G2707" s="6"/>
      <c r="K2707" s="222"/>
      <c r="V2707" s="1430"/>
      <c r="AA2707" s="223"/>
      <c r="AC2707" s="889"/>
      <c r="AF2707" s="890"/>
      <c r="AJ2707" s="889"/>
      <c r="AN2707" s="222"/>
      <c r="BC2707" s="223"/>
      <c r="BD2707" s="222"/>
      <c r="BH2707" s="611"/>
      <c r="BJ2707" s="15"/>
      <c r="BK2707" s="15"/>
      <c r="BO2707" s="223"/>
      <c r="BQ2707" s="889"/>
      <c r="BT2707" s="890"/>
      <c r="BX2707" s="889"/>
      <c r="CB2707" s="15"/>
      <c r="CC2707" s="697"/>
      <c r="CD2707" s="1086"/>
      <c r="CE2707" s="15"/>
      <c r="CF2707" s="15"/>
      <c r="CG2707" s="936"/>
      <c r="CH2707" s="15"/>
      <c r="CI2707" s="15"/>
      <c r="CJ2707" s="15"/>
      <c r="CK2707" s="1107"/>
      <c r="CL2707" s="22"/>
      <c r="CM2707" s="22"/>
      <c r="CN2707" s="1107"/>
      <c r="CR2707" s="223"/>
      <c r="CS2707" s="952"/>
      <c r="CT2707" s="1066"/>
      <c r="CU2707" s="972"/>
      <c r="CV2707" s="983"/>
      <c r="CW2707" s="222"/>
      <c r="CX2707" s="697"/>
      <c r="DC2707" s="222"/>
      <c r="DJ2707" s="889"/>
      <c r="DM2707" s="890"/>
      <c r="DN2707" s="952"/>
      <c r="DO2707" s="75"/>
      <c r="DP2707" s="962"/>
      <c r="DQ2707" s="983"/>
      <c r="DV2707" s="889"/>
    </row>
    <row r="2708" spans="1:126" s="74" customFormat="1">
      <c r="A2708" s="15"/>
      <c r="B2708" s="15"/>
      <c r="C2708" s="15"/>
      <c r="D2708" s="15"/>
      <c r="E2708" s="6"/>
      <c r="F2708" s="6"/>
      <c r="G2708" s="6"/>
      <c r="K2708" s="222"/>
      <c r="V2708" s="1430"/>
      <c r="AA2708" s="223"/>
      <c r="AC2708" s="889"/>
      <c r="AF2708" s="890"/>
      <c r="AJ2708" s="889"/>
      <c r="AN2708" s="222"/>
      <c r="BC2708" s="223"/>
      <c r="BD2708" s="222"/>
      <c r="BH2708" s="611"/>
      <c r="BJ2708" s="15"/>
      <c r="BK2708" s="15"/>
      <c r="BO2708" s="223"/>
      <c r="BQ2708" s="889"/>
      <c r="BT2708" s="890"/>
      <c r="BX2708" s="889"/>
      <c r="CB2708" s="15"/>
      <c r="CC2708" s="697"/>
      <c r="CD2708" s="1086"/>
      <c r="CE2708" s="15"/>
      <c r="CF2708" s="15"/>
      <c r="CG2708" s="936"/>
      <c r="CH2708" s="15"/>
      <c r="CI2708" s="15"/>
      <c r="CJ2708" s="15"/>
      <c r="CK2708" s="1107"/>
      <c r="CL2708" s="22"/>
      <c r="CM2708" s="22"/>
      <c r="CN2708" s="1107"/>
      <c r="CR2708" s="223"/>
      <c r="CS2708" s="952"/>
      <c r="CT2708" s="1066"/>
      <c r="CU2708" s="972"/>
      <c r="CV2708" s="983"/>
      <c r="CW2708" s="222"/>
      <c r="CX2708" s="697"/>
      <c r="DC2708" s="222"/>
      <c r="DJ2708" s="889"/>
      <c r="DM2708" s="890"/>
      <c r="DN2708" s="952"/>
      <c r="DO2708" s="75"/>
      <c r="DP2708" s="962"/>
      <c r="DQ2708" s="983"/>
      <c r="DV2708" s="889"/>
    </row>
    <row r="2709" spans="1:126" s="74" customFormat="1">
      <c r="A2709" s="15"/>
      <c r="B2709" s="15"/>
      <c r="C2709" s="15"/>
      <c r="D2709" s="15"/>
      <c r="E2709" s="6"/>
      <c r="F2709" s="6"/>
      <c r="G2709" s="6"/>
      <c r="K2709" s="222"/>
      <c r="V2709" s="1430"/>
      <c r="AA2709" s="223"/>
      <c r="AC2709" s="889"/>
      <c r="AF2709" s="890"/>
      <c r="AJ2709" s="889"/>
      <c r="AN2709" s="222"/>
      <c r="BC2709" s="223"/>
      <c r="BD2709" s="222"/>
      <c r="BH2709" s="611"/>
      <c r="BJ2709" s="15"/>
      <c r="BK2709" s="15"/>
      <c r="BO2709" s="223"/>
      <c r="BQ2709" s="889"/>
      <c r="BT2709" s="890"/>
      <c r="BX2709" s="889"/>
      <c r="CB2709" s="15"/>
      <c r="CC2709" s="697"/>
      <c r="CD2709" s="1086"/>
      <c r="CE2709" s="15"/>
      <c r="CF2709" s="15"/>
      <c r="CG2709" s="936"/>
      <c r="CH2709" s="15"/>
      <c r="CI2709" s="15"/>
      <c r="CJ2709" s="15"/>
      <c r="CK2709" s="1107"/>
      <c r="CL2709" s="22"/>
      <c r="CM2709" s="22"/>
      <c r="CN2709" s="1107"/>
      <c r="CR2709" s="223"/>
      <c r="CS2709" s="952"/>
      <c r="CT2709" s="1066"/>
      <c r="CU2709" s="972"/>
      <c r="CV2709" s="983"/>
      <c r="CW2709" s="222"/>
      <c r="CX2709" s="697"/>
      <c r="DC2709" s="222"/>
      <c r="DJ2709" s="889"/>
      <c r="DM2709" s="890"/>
      <c r="DN2709" s="952"/>
      <c r="DO2709" s="75"/>
      <c r="DP2709" s="962"/>
      <c r="DQ2709" s="983"/>
      <c r="DV2709" s="889"/>
    </row>
    <row r="2710" spans="1:126" s="74" customFormat="1">
      <c r="A2710" s="15"/>
      <c r="B2710" s="15"/>
      <c r="C2710" s="15"/>
      <c r="D2710" s="15"/>
      <c r="E2710" s="6"/>
      <c r="F2710" s="6"/>
      <c r="G2710" s="6"/>
      <c r="K2710" s="222"/>
      <c r="V2710" s="1430"/>
      <c r="AA2710" s="223"/>
      <c r="AC2710" s="889"/>
      <c r="AF2710" s="890"/>
      <c r="AJ2710" s="889"/>
      <c r="AN2710" s="222"/>
      <c r="BC2710" s="223"/>
      <c r="BD2710" s="222"/>
      <c r="BH2710" s="611"/>
      <c r="BJ2710" s="15"/>
      <c r="BK2710" s="15"/>
      <c r="BO2710" s="223"/>
      <c r="BQ2710" s="889"/>
      <c r="BT2710" s="890"/>
      <c r="BX2710" s="889"/>
      <c r="CB2710" s="15"/>
      <c r="CC2710" s="697"/>
      <c r="CD2710" s="1086"/>
      <c r="CE2710" s="15"/>
      <c r="CF2710" s="15"/>
      <c r="CG2710" s="936"/>
      <c r="CH2710" s="15"/>
      <c r="CI2710" s="15"/>
      <c r="CJ2710" s="15"/>
      <c r="CK2710" s="1107"/>
      <c r="CL2710" s="22"/>
      <c r="CM2710" s="22"/>
      <c r="CN2710" s="1107"/>
      <c r="CR2710" s="223"/>
      <c r="CS2710" s="952"/>
      <c r="CT2710" s="1066"/>
      <c r="CU2710" s="972"/>
      <c r="CV2710" s="983"/>
      <c r="CW2710" s="222"/>
      <c r="CX2710" s="697"/>
      <c r="DC2710" s="222"/>
      <c r="DJ2710" s="889"/>
      <c r="DM2710" s="890"/>
      <c r="DN2710" s="952"/>
      <c r="DO2710" s="75"/>
      <c r="DP2710" s="962"/>
      <c r="DQ2710" s="983"/>
      <c r="DV2710" s="889"/>
    </row>
    <row r="2711" spans="1:126" s="74" customFormat="1">
      <c r="A2711" s="15"/>
      <c r="B2711" s="15"/>
      <c r="C2711" s="15"/>
      <c r="D2711" s="15"/>
      <c r="E2711" s="6"/>
      <c r="F2711" s="6"/>
      <c r="G2711" s="6"/>
      <c r="K2711" s="222"/>
      <c r="V2711" s="1430"/>
      <c r="AA2711" s="223"/>
      <c r="AC2711" s="889"/>
      <c r="AF2711" s="890"/>
      <c r="AJ2711" s="889"/>
      <c r="AN2711" s="222"/>
      <c r="BC2711" s="223"/>
      <c r="BD2711" s="222"/>
      <c r="BH2711" s="611"/>
      <c r="BJ2711" s="15"/>
      <c r="BK2711" s="15"/>
      <c r="BO2711" s="223"/>
      <c r="BQ2711" s="889"/>
      <c r="BT2711" s="890"/>
      <c r="BX2711" s="889"/>
      <c r="CB2711" s="15"/>
      <c r="CC2711" s="697"/>
      <c r="CD2711" s="1086"/>
      <c r="CE2711" s="15"/>
      <c r="CF2711" s="15"/>
      <c r="CG2711" s="936"/>
      <c r="CH2711" s="15"/>
      <c r="CI2711" s="15"/>
      <c r="CJ2711" s="15"/>
      <c r="CK2711" s="1107"/>
      <c r="CL2711" s="22"/>
      <c r="CM2711" s="22"/>
      <c r="CN2711" s="1107"/>
      <c r="CR2711" s="223"/>
      <c r="CS2711" s="952"/>
      <c r="CT2711" s="1066"/>
      <c r="CU2711" s="972"/>
      <c r="CV2711" s="983"/>
      <c r="CW2711" s="222"/>
      <c r="CX2711" s="697"/>
      <c r="DC2711" s="222"/>
      <c r="DJ2711" s="889"/>
      <c r="DM2711" s="890"/>
      <c r="DN2711" s="952"/>
      <c r="DO2711" s="75"/>
      <c r="DP2711" s="962"/>
      <c r="DQ2711" s="983"/>
      <c r="DV2711" s="889"/>
    </row>
    <row r="2712" spans="1:126" s="74" customFormat="1">
      <c r="A2712" s="15"/>
      <c r="B2712" s="15"/>
      <c r="C2712" s="15"/>
      <c r="D2712" s="15"/>
      <c r="E2712" s="6"/>
      <c r="F2712" s="6"/>
      <c r="G2712" s="6"/>
      <c r="K2712" s="222"/>
      <c r="V2712" s="1430"/>
      <c r="AA2712" s="223"/>
      <c r="AC2712" s="889"/>
      <c r="AF2712" s="890"/>
      <c r="AJ2712" s="889"/>
      <c r="AN2712" s="222"/>
      <c r="BC2712" s="223"/>
      <c r="BD2712" s="222"/>
      <c r="BH2712" s="611"/>
      <c r="BJ2712" s="15"/>
      <c r="BK2712" s="15"/>
      <c r="BO2712" s="223"/>
      <c r="BQ2712" s="889"/>
      <c r="BT2712" s="890"/>
      <c r="BX2712" s="889"/>
      <c r="CB2712" s="15"/>
      <c r="CC2712" s="697"/>
      <c r="CD2712" s="1086"/>
      <c r="CE2712" s="15"/>
      <c r="CF2712" s="15"/>
      <c r="CG2712" s="936"/>
      <c r="CH2712" s="15"/>
      <c r="CI2712" s="15"/>
      <c r="CJ2712" s="15"/>
      <c r="CK2712" s="1107"/>
      <c r="CL2712" s="22"/>
      <c r="CM2712" s="22"/>
      <c r="CN2712" s="1107"/>
      <c r="CR2712" s="223"/>
      <c r="CS2712" s="952"/>
      <c r="CT2712" s="1066"/>
      <c r="CU2712" s="972"/>
      <c r="CV2712" s="983"/>
      <c r="CW2712" s="222"/>
      <c r="CX2712" s="697"/>
      <c r="DC2712" s="222"/>
      <c r="DJ2712" s="889"/>
      <c r="DM2712" s="890"/>
      <c r="DN2712" s="952"/>
      <c r="DO2712" s="75"/>
      <c r="DP2712" s="962"/>
      <c r="DQ2712" s="983"/>
      <c r="DV2712" s="889"/>
    </row>
    <row r="2713" spans="1:126" s="74" customFormat="1">
      <c r="A2713" s="15"/>
      <c r="B2713" s="15"/>
      <c r="C2713" s="15"/>
      <c r="D2713" s="15"/>
      <c r="E2713" s="6"/>
      <c r="F2713" s="6"/>
      <c r="G2713" s="6"/>
      <c r="K2713" s="222"/>
      <c r="V2713" s="1430"/>
      <c r="AA2713" s="223"/>
      <c r="AC2713" s="889"/>
      <c r="AF2713" s="890"/>
      <c r="AJ2713" s="889"/>
      <c r="AN2713" s="222"/>
      <c r="BC2713" s="223"/>
      <c r="BD2713" s="222"/>
      <c r="BH2713" s="611"/>
      <c r="BJ2713" s="15"/>
      <c r="BK2713" s="15"/>
      <c r="BO2713" s="223"/>
      <c r="BQ2713" s="889"/>
      <c r="BT2713" s="890"/>
      <c r="BX2713" s="889"/>
      <c r="CB2713" s="15"/>
      <c r="CC2713" s="697"/>
      <c r="CD2713" s="1086"/>
      <c r="CE2713" s="15"/>
      <c r="CF2713" s="15"/>
      <c r="CG2713" s="936"/>
      <c r="CH2713" s="15"/>
      <c r="CI2713" s="15"/>
      <c r="CJ2713" s="15"/>
      <c r="CK2713" s="1107"/>
      <c r="CL2713" s="22"/>
      <c r="CM2713" s="22"/>
      <c r="CN2713" s="1107"/>
      <c r="CR2713" s="223"/>
      <c r="CS2713" s="952"/>
      <c r="CT2713" s="1066"/>
      <c r="CU2713" s="972"/>
      <c r="CV2713" s="983"/>
      <c r="CW2713" s="222"/>
      <c r="CX2713" s="697"/>
      <c r="DC2713" s="222"/>
      <c r="DJ2713" s="889"/>
      <c r="DM2713" s="890"/>
      <c r="DN2713" s="952"/>
      <c r="DO2713" s="75"/>
      <c r="DP2713" s="962"/>
      <c r="DQ2713" s="983"/>
      <c r="DV2713" s="889"/>
    </row>
    <row r="2714" spans="1:126" s="74" customFormat="1">
      <c r="A2714" s="15"/>
      <c r="B2714" s="15"/>
      <c r="C2714" s="15"/>
      <c r="D2714" s="15"/>
      <c r="E2714" s="6"/>
      <c r="F2714" s="6"/>
      <c r="G2714" s="6"/>
      <c r="K2714" s="222"/>
      <c r="V2714" s="1430"/>
      <c r="AA2714" s="223"/>
      <c r="AC2714" s="889"/>
      <c r="AF2714" s="890"/>
      <c r="AJ2714" s="889"/>
      <c r="AN2714" s="222"/>
      <c r="BC2714" s="223"/>
      <c r="BD2714" s="222"/>
      <c r="BH2714" s="611"/>
      <c r="BJ2714" s="15"/>
      <c r="BK2714" s="15"/>
      <c r="BO2714" s="223"/>
      <c r="BQ2714" s="889"/>
      <c r="BT2714" s="890"/>
      <c r="BX2714" s="889"/>
      <c r="CB2714" s="15"/>
      <c r="CC2714" s="697"/>
      <c r="CD2714" s="1086"/>
      <c r="CE2714" s="15"/>
      <c r="CF2714" s="15"/>
      <c r="CG2714" s="936"/>
      <c r="CH2714" s="15"/>
      <c r="CI2714" s="15"/>
      <c r="CJ2714" s="15"/>
      <c r="CK2714" s="1107"/>
      <c r="CL2714" s="22"/>
      <c r="CM2714" s="22"/>
      <c r="CN2714" s="1107"/>
      <c r="CR2714" s="223"/>
      <c r="CS2714" s="952"/>
      <c r="CT2714" s="1066"/>
      <c r="CU2714" s="972"/>
      <c r="CV2714" s="983"/>
      <c r="CW2714" s="222"/>
      <c r="CX2714" s="697"/>
      <c r="DC2714" s="222"/>
      <c r="DJ2714" s="889"/>
      <c r="DM2714" s="890"/>
      <c r="DN2714" s="952"/>
      <c r="DO2714" s="75"/>
      <c r="DP2714" s="962"/>
      <c r="DQ2714" s="983"/>
      <c r="DV2714" s="889"/>
    </row>
    <row r="2715" spans="1:126" s="74" customFormat="1">
      <c r="A2715" s="15"/>
      <c r="B2715" s="15"/>
      <c r="C2715" s="15"/>
      <c r="D2715" s="15"/>
      <c r="E2715" s="6"/>
      <c r="F2715" s="6"/>
      <c r="G2715" s="6"/>
      <c r="K2715" s="222"/>
      <c r="V2715" s="1430"/>
      <c r="AA2715" s="223"/>
      <c r="AC2715" s="889"/>
      <c r="AF2715" s="890"/>
      <c r="AJ2715" s="889"/>
      <c r="AN2715" s="222"/>
      <c r="BC2715" s="223"/>
      <c r="BD2715" s="222"/>
      <c r="BH2715" s="611"/>
      <c r="BJ2715" s="15"/>
      <c r="BK2715" s="15"/>
      <c r="BO2715" s="223"/>
      <c r="BQ2715" s="889"/>
      <c r="BT2715" s="890"/>
      <c r="BX2715" s="889"/>
      <c r="CB2715" s="15"/>
      <c r="CC2715" s="697"/>
      <c r="CD2715" s="1086"/>
      <c r="CE2715" s="15"/>
      <c r="CF2715" s="15"/>
      <c r="CG2715" s="936"/>
      <c r="CH2715" s="15"/>
      <c r="CI2715" s="15"/>
      <c r="CJ2715" s="15"/>
      <c r="CK2715" s="1107"/>
      <c r="CL2715" s="22"/>
      <c r="CM2715" s="22"/>
      <c r="CN2715" s="1107"/>
      <c r="CR2715" s="223"/>
      <c r="CS2715" s="952"/>
      <c r="CT2715" s="1066"/>
      <c r="CU2715" s="972"/>
      <c r="CV2715" s="983"/>
      <c r="CW2715" s="222"/>
      <c r="CX2715" s="697"/>
      <c r="DC2715" s="222"/>
      <c r="DJ2715" s="889"/>
      <c r="DM2715" s="890"/>
      <c r="DN2715" s="952"/>
      <c r="DO2715" s="75"/>
      <c r="DP2715" s="962"/>
      <c r="DQ2715" s="983"/>
      <c r="DV2715" s="889"/>
    </row>
    <row r="2716" spans="1:126" s="74" customFormat="1">
      <c r="A2716" s="15"/>
      <c r="B2716" s="15"/>
      <c r="C2716" s="15"/>
      <c r="D2716" s="15"/>
      <c r="E2716" s="6"/>
      <c r="F2716" s="6"/>
      <c r="G2716" s="6"/>
      <c r="K2716" s="222"/>
      <c r="V2716" s="1430"/>
      <c r="AA2716" s="223"/>
      <c r="AC2716" s="889"/>
      <c r="AF2716" s="890"/>
      <c r="AJ2716" s="889"/>
      <c r="AN2716" s="222"/>
      <c r="BC2716" s="223"/>
      <c r="BD2716" s="222"/>
      <c r="BH2716" s="611"/>
      <c r="BJ2716" s="15"/>
      <c r="BK2716" s="15"/>
      <c r="BO2716" s="223"/>
      <c r="BQ2716" s="889"/>
      <c r="BT2716" s="890"/>
      <c r="BX2716" s="889"/>
      <c r="CB2716" s="15"/>
      <c r="CC2716" s="697"/>
      <c r="CD2716" s="1086"/>
      <c r="CE2716" s="15"/>
      <c r="CF2716" s="15"/>
      <c r="CG2716" s="936"/>
      <c r="CH2716" s="15"/>
      <c r="CI2716" s="15"/>
      <c r="CJ2716" s="15"/>
      <c r="CK2716" s="1107"/>
      <c r="CL2716" s="22"/>
      <c r="CM2716" s="22"/>
      <c r="CN2716" s="1107"/>
      <c r="CR2716" s="223"/>
      <c r="CS2716" s="952"/>
      <c r="CT2716" s="1066"/>
      <c r="CU2716" s="972"/>
      <c r="CV2716" s="983"/>
      <c r="CW2716" s="222"/>
      <c r="CX2716" s="697"/>
      <c r="DC2716" s="222"/>
      <c r="DJ2716" s="889"/>
      <c r="DM2716" s="890"/>
      <c r="DN2716" s="952"/>
      <c r="DO2716" s="75"/>
      <c r="DP2716" s="962"/>
      <c r="DQ2716" s="983"/>
      <c r="DV2716" s="889"/>
    </row>
    <row r="2717" spans="1:126" s="74" customFormat="1">
      <c r="A2717" s="15"/>
      <c r="B2717" s="15"/>
      <c r="C2717" s="15"/>
      <c r="D2717" s="15"/>
      <c r="E2717" s="6"/>
      <c r="F2717" s="6"/>
      <c r="G2717" s="6"/>
      <c r="K2717" s="222"/>
      <c r="V2717" s="1430"/>
      <c r="AA2717" s="223"/>
      <c r="AC2717" s="889"/>
      <c r="AF2717" s="890"/>
      <c r="AJ2717" s="889"/>
      <c r="AN2717" s="222"/>
      <c r="BC2717" s="223"/>
      <c r="BD2717" s="222"/>
      <c r="BH2717" s="611"/>
      <c r="BJ2717" s="15"/>
      <c r="BK2717" s="15"/>
      <c r="BO2717" s="223"/>
      <c r="BQ2717" s="889"/>
      <c r="BT2717" s="890"/>
      <c r="BX2717" s="889"/>
      <c r="CB2717" s="15"/>
      <c r="CC2717" s="697"/>
      <c r="CD2717" s="1086"/>
      <c r="CE2717" s="15"/>
      <c r="CF2717" s="15"/>
      <c r="CG2717" s="936"/>
      <c r="CH2717" s="15"/>
      <c r="CI2717" s="15"/>
      <c r="CJ2717" s="15"/>
      <c r="CK2717" s="1107"/>
      <c r="CL2717" s="22"/>
      <c r="CM2717" s="22"/>
      <c r="CN2717" s="1107"/>
      <c r="CR2717" s="223"/>
      <c r="CS2717" s="952"/>
      <c r="CT2717" s="1066"/>
      <c r="CU2717" s="972"/>
      <c r="CV2717" s="983"/>
      <c r="CW2717" s="222"/>
      <c r="CX2717" s="697"/>
      <c r="DC2717" s="222"/>
      <c r="DJ2717" s="889"/>
      <c r="DM2717" s="890"/>
      <c r="DN2717" s="952"/>
      <c r="DO2717" s="75"/>
      <c r="DP2717" s="962"/>
      <c r="DQ2717" s="983"/>
      <c r="DV2717" s="889"/>
    </row>
    <row r="2718" spans="1:126" s="74" customFormat="1">
      <c r="A2718" s="15"/>
      <c r="B2718" s="15"/>
      <c r="C2718" s="15"/>
      <c r="D2718" s="15"/>
      <c r="E2718" s="6"/>
      <c r="F2718" s="6"/>
      <c r="G2718" s="6"/>
      <c r="K2718" s="222"/>
      <c r="V2718" s="1430"/>
      <c r="AA2718" s="223"/>
      <c r="AC2718" s="889"/>
      <c r="AF2718" s="890"/>
      <c r="AJ2718" s="889"/>
      <c r="AN2718" s="222"/>
      <c r="BC2718" s="223"/>
      <c r="BD2718" s="222"/>
      <c r="BH2718" s="611"/>
      <c r="BJ2718" s="15"/>
      <c r="BK2718" s="15"/>
      <c r="BO2718" s="223"/>
      <c r="BQ2718" s="889"/>
      <c r="BT2718" s="890"/>
      <c r="BX2718" s="889"/>
      <c r="CB2718" s="15"/>
      <c r="CC2718" s="697"/>
      <c r="CD2718" s="1086"/>
      <c r="CE2718" s="15"/>
      <c r="CF2718" s="15"/>
      <c r="CG2718" s="936"/>
      <c r="CH2718" s="15"/>
      <c r="CI2718" s="15"/>
      <c r="CJ2718" s="15"/>
      <c r="CK2718" s="1107"/>
      <c r="CL2718" s="22"/>
      <c r="CM2718" s="22"/>
      <c r="CN2718" s="1107"/>
      <c r="CR2718" s="223"/>
      <c r="CS2718" s="952"/>
      <c r="CT2718" s="1066"/>
      <c r="CU2718" s="972"/>
      <c r="CV2718" s="983"/>
      <c r="CW2718" s="222"/>
      <c r="CX2718" s="697"/>
      <c r="DC2718" s="222"/>
      <c r="DJ2718" s="889"/>
      <c r="DM2718" s="890"/>
      <c r="DN2718" s="952"/>
      <c r="DO2718" s="75"/>
      <c r="DP2718" s="962"/>
      <c r="DQ2718" s="983"/>
      <c r="DV2718" s="889"/>
    </row>
    <row r="2719" spans="1:126" s="74" customFormat="1">
      <c r="A2719" s="15"/>
      <c r="B2719" s="15"/>
      <c r="C2719" s="15"/>
      <c r="D2719" s="15"/>
      <c r="E2719" s="6"/>
      <c r="F2719" s="6"/>
      <c r="G2719" s="6"/>
      <c r="K2719" s="222"/>
      <c r="V2719" s="1430"/>
      <c r="AA2719" s="223"/>
      <c r="AC2719" s="889"/>
      <c r="AF2719" s="890"/>
      <c r="AJ2719" s="889"/>
      <c r="AN2719" s="222"/>
      <c r="BC2719" s="223"/>
      <c r="BD2719" s="222"/>
      <c r="BH2719" s="611"/>
      <c r="BJ2719" s="15"/>
      <c r="BK2719" s="15"/>
      <c r="BO2719" s="223"/>
      <c r="BQ2719" s="889"/>
      <c r="BT2719" s="890"/>
      <c r="BX2719" s="889"/>
      <c r="CB2719" s="15"/>
      <c r="CC2719" s="697"/>
      <c r="CD2719" s="1086"/>
      <c r="CE2719" s="15"/>
      <c r="CF2719" s="15"/>
      <c r="CG2719" s="936"/>
      <c r="CH2719" s="15"/>
      <c r="CI2719" s="15"/>
      <c r="CJ2719" s="15"/>
      <c r="CK2719" s="1107"/>
      <c r="CL2719" s="22"/>
      <c r="CM2719" s="22"/>
      <c r="CN2719" s="1107"/>
      <c r="CR2719" s="223"/>
      <c r="CS2719" s="952"/>
      <c r="CT2719" s="1066"/>
      <c r="CU2719" s="972"/>
      <c r="CV2719" s="983"/>
      <c r="CW2719" s="222"/>
      <c r="CX2719" s="697"/>
      <c r="DC2719" s="222"/>
      <c r="DJ2719" s="889"/>
      <c r="DM2719" s="890"/>
      <c r="DN2719" s="952"/>
      <c r="DO2719" s="75"/>
      <c r="DP2719" s="962"/>
      <c r="DQ2719" s="983"/>
      <c r="DV2719" s="889"/>
    </row>
    <row r="2720" spans="1:126" s="74" customFormat="1">
      <c r="A2720" s="15"/>
      <c r="B2720" s="15"/>
      <c r="C2720" s="15"/>
      <c r="D2720" s="15"/>
      <c r="E2720" s="6"/>
      <c r="F2720" s="6"/>
      <c r="G2720" s="6"/>
      <c r="K2720" s="222"/>
      <c r="V2720" s="1430"/>
      <c r="AA2720" s="223"/>
      <c r="AC2720" s="889"/>
      <c r="AF2720" s="890"/>
      <c r="AJ2720" s="889"/>
      <c r="AN2720" s="222"/>
      <c r="BC2720" s="223"/>
      <c r="BD2720" s="222"/>
      <c r="BH2720" s="611"/>
      <c r="BJ2720" s="15"/>
      <c r="BK2720" s="15"/>
      <c r="BO2720" s="223"/>
      <c r="BQ2720" s="889"/>
      <c r="BT2720" s="890"/>
      <c r="BX2720" s="889"/>
      <c r="CB2720" s="15"/>
      <c r="CC2720" s="697"/>
      <c r="CD2720" s="1086"/>
      <c r="CE2720" s="15"/>
      <c r="CF2720" s="15"/>
      <c r="CG2720" s="936"/>
      <c r="CH2720" s="15"/>
      <c r="CI2720" s="15"/>
      <c r="CJ2720" s="15"/>
      <c r="CK2720" s="1107"/>
      <c r="CL2720" s="22"/>
      <c r="CM2720" s="22"/>
      <c r="CN2720" s="1107"/>
      <c r="CR2720" s="223"/>
      <c r="CS2720" s="952"/>
      <c r="CT2720" s="1066"/>
      <c r="CU2720" s="972"/>
      <c r="CV2720" s="983"/>
      <c r="CW2720" s="222"/>
      <c r="CX2720" s="697"/>
      <c r="DC2720" s="222"/>
      <c r="DJ2720" s="889"/>
      <c r="DM2720" s="890"/>
      <c r="DN2720" s="952"/>
      <c r="DO2720" s="75"/>
      <c r="DP2720" s="962"/>
      <c r="DQ2720" s="983"/>
      <c r="DV2720" s="889"/>
    </row>
    <row r="2721" spans="1:126" s="74" customFormat="1">
      <c r="A2721" s="15"/>
      <c r="B2721" s="15"/>
      <c r="C2721" s="15"/>
      <c r="D2721" s="15"/>
      <c r="E2721" s="6"/>
      <c r="F2721" s="6"/>
      <c r="G2721" s="6"/>
      <c r="K2721" s="222"/>
      <c r="V2721" s="1430"/>
      <c r="AA2721" s="223"/>
      <c r="AC2721" s="889"/>
      <c r="AF2721" s="890"/>
      <c r="AJ2721" s="889"/>
      <c r="AN2721" s="222"/>
      <c r="BC2721" s="223"/>
      <c r="BD2721" s="222"/>
      <c r="BH2721" s="611"/>
      <c r="BJ2721" s="15"/>
      <c r="BK2721" s="15"/>
      <c r="BO2721" s="223"/>
      <c r="BQ2721" s="889"/>
      <c r="BT2721" s="890"/>
      <c r="BX2721" s="889"/>
      <c r="CB2721" s="15"/>
      <c r="CC2721" s="697"/>
      <c r="CD2721" s="1086"/>
      <c r="CE2721" s="15"/>
      <c r="CF2721" s="15"/>
      <c r="CG2721" s="936"/>
      <c r="CH2721" s="15"/>
      <c r="CI2721" s="15"/>
      <c r="CJ2721" s="15"/>
      <c r="CK2721" s="1107"/>
      <c r="CL2721" s="22"/>
      <c r="CM2721" s="22"/>
      <c r="CN2721" s="1107"/>
      <c r="CR2721" s="223"/>
      <c r="CS2721" s="952"/>
      <c r="CT2721" s="1066"/>
      <c r="CU2721" s="972"/>
      <c r="CV2721" s="983"/>
      <c r="CW2721" s="222"/>
      <c r="CX2721" s="697"/>
      <c r="DC2721" s="222"/>
      <c r="DJ2721" s="889"/>
      <c r="DM2721" s="890"/>
      <c r="DN2721" s="952"/>
      <c r="DO2721" s="75"/>
      <c r="DP2721" s="962"/>
      <c r="DQ2721" s="983"/>
      <c r="DV2721" s="889"/>
    </row>
    <row r="2722" spans="1:126" s="74" customFormat="1">
      <c r="A2722" s="15"/>
      <c r="B2722" s="15"/>
      <c r="C2722" s="15"/>
      <c r="D2722" s="15"/>
      <c r="E2722" s="6"/>
      <c r="F2722" s="6"/>
      <c r="G2722" s="6"/>
      <c r="K2722" s="222"/>
      <c r="V2722" s="1430"/>
      <c r="AA2722" s="223"/>
      <c r="AC2722" s="889"/>
      <c r="AF2722" s="890"/>
      <c r="AJ2722" s="889"/>
      <c r="AN2722" s="222"/>
      <c r="BC2722" s="223"/>
      <c r="BD2722" s="222"/>
      <c r="BH2722" s="611"/>
      <c r="BJ2722" s="15"/>
      <c r="BK2722" s="15"/>
      <c r="BO2722" s="223"/>
      <c r="BQ2722" s="889"/>
      <c r="BT2722" s="890"/>
      <c r="BX2722" s="889"/>
      <c r="CB2722" s="15"/>
      <c r="CC2722" s="697"/>
      <c r="CD2722" s="1086"/>
      <c r="CE2722" s="15"/>
      <c r="CF2722" s="15"/>
      <c r="CG2722" s="936"/>
      <c r="CH2722" s="15"/>
      <c r="CI2722" s="15"/>
      <c r="CJ2722" s="15"/>
      <c r="CK2722" s="1107"/>
      <c r="CL2722" s="22"/>
      <c r="CM2722" s="22"/>
      <c r="CN2722" s="1107"/>
      <c r="CR2722" s="223"/>
      <c r="CS2722" s="952"/>
      <c r="CT2722" s="1066"/>
      <c r="CU2722" s="972"/>
      <c r="CV2722" s="983"/>
      <c r="CW2722" s="222"/>
      <c r="CX2722" s="697"/>
      <c r="DC2722" s="222"/>
      <c r="DJ2722" s="889"/>
      <c r="DM2722" s="890"/>
      <c r="DN2722" s="952"/>
      <c r="DO2722" s="75"/>
      <c r="DP2722" s="962"/>
      <c r="DQ2722" s="983"/>
      <c r="DV2722" s="889"/>
    </row>
    <row r="2723" spans="1:126" s="74" customFormat="1">
      <c r="A2723" s="15"/>
      <c r="B2723" s="15"/>
      <c r="C2723" s="15"/>
      <c r="D2723" s="15"/>
      <c r="E2723" s="6"/>
      <c r="F2723" s="6"/>
      <c r="G2723" s="6"/>
      <c r="K2723" s="222"/>
      <c r="V2723" s="1430"/>
      <c r="AA2723" s="223"/>
      <c r="AC2723" s="889"/>
      <c r="AF2723" s="890"/>
      <c r="AJ2723" s="889"/>
      <c r="AN2723" s="222"/>
      <c r="BC2723" s="223"/>
      <c r="BD2723" s="222"/>
      <c r="BH2723" s="611"/>
      <c r="BJ2723" s="15"/>
      <c r="BK2723" s="15"/>
      <c r="BO2723" s="223"/>
      <c r="BQ2723" s="889"/>
      <c r="BT2723" s="890"/>
      <c r="BX2723" s="889"/>
      <c r="CB2723" s="15"/>
      <c r="CC2723" s="697"/>
      <c r="CD2723" s="1086"/>
      <c r="CE2723" s="15"/>
      <c r="CF2723" s="15"/>
      <c r="CG2723" s="936"/>
      <c r="CH2723" s="15"/>
      <c r="CI2723" s="15"/>
      <c r="CJ2723" s="15"/>
      <c r="CK2723" s="1107"/>
      <c r="CL2723" s="22"/>
      <c r="CM2723" s="22"/>
      <c r="CN2723" s="1107"/>
      <c r="CR2723" s="223"/>
      <c r="CS2723" s="952"/>
      <c r="CT2723" s="1066"/>
      <c r="CU2723" s="972"/>
      <c r="CV2723" s="983"/>
      <c r="CW2723" s="222"/>
      <c r="CX2723" s="697"/>
      <c r="DC2723" s="222"/>
      <c r="DJ2723" s="889"/>
      <c r="DM2723" s="890"/>
      <c r="DN2723" s="952"/>
      <c r="DO2723" s="75"/>
      <c r="DP2723" s="962"/>
      <c r="DQ2723" s="983"/>
      <c r="DV2723" s="889"/>
    </row>
    <row r="2724" spans="1:126" s="74" customFormat="1">
      <c r="A2724" s="15"/>
      <c r="B2724" s="15"/>
      <c r="C2724" s="15"/>
      <c r="D2724" s="15"/>
      <c r="E2724" s="6"/>
      <c r="F2724" s="6"/>
      <c r="G2724" s="6"/>
      <c r="K2724" s="222"/>
      <c r="V2724" s="1430"/>
      <c r="AA2724" s="223"/>
      <c r="AC2724" s="889"/>
      <c r="AF2724" s="890"/>
      <c r="AJ2724" s="889"/>
      <c r="AN2724" s="222"/>
      <c r="BC2724" s="223"/>
      <c r="BD2724" s="222"/>
      <c r="BH2724" s="611"/>
      <c r="BJ2724" s="15"/>
      <c r="BK2724" s="15"/>
      <c r="BO2724" s="223"/>
      <c r="BQ2724" s="889"/>
      <c r="BT2724" s="890"/>
      <c r="BX2724" s="889"/>
      <c r="CB2724" s="15"/>
      <c r="CC2724" s="697"/>
      <c r="CD2724" s="1086"/>
      <c r="CE2724" s="15"/>
      <c r="CF2724" s="15"/>
      <c r="CG2724" s="936"/>
      <c r="CH2724" s="15"/>
      <c r="CI2724" s="15"/>
      <c r="CJ2724" s="15"/>
      <c r="CK2724" s="1107"/>
      <c r="CL2724" s="22"/>
      <c r="CM2724" s="22"/>
      <c r="CN2724" s="1107"/>
      <c r="CR2724" s="223"/>
      <c r="CS2724" s="952"/>
      <c r="CT2724" s="1066"/>
      <c r="CU2724" s="972"/>
      <c r="CV2724" s="983"/>
      <c r="CW2724" s="222"/>
      <c r="CX2724" s="697"/>
      <c r="DC2724" s="222"/>
      <c r="DJ2724" s="889"/>
      <c r="DM2724" s="890"/>
      <c r="DN2724" s="952"/>
      <c r="DO2724" s="75"/>
      <c r="DP2724" s="962"/>
      <c r="DQ2724" s="983"/>
      <c r="DV2724" s="889"/>
    </row>
    <row r="2725" spans="1:126" s="74" customFormat="1">
      <c r="A2725" s="15"/>
      <c r="B2725" s="15"/>
      <c r="C2725" s="15"/>
      <c r="D2725" s="15"/>
      <c r="E2725" s="6"/>
      <c r="F2725" s="6"/>
      <c r="G2725" s="6"/>
      <c r="K2725" s="222"/>
      <c r="V2725" s="1430"/>
      <c r="AA2725" s="223"/>
      <c r="AC2725" s="889"/>
      <c r="AF2725" s="890"/>
      <c r="AJ2725" s="889"/>
      <c r="AN2725" s="222"/>
      <c r="BC2725" s="223"/>
      <c r="BD2725" s="222"/>
      <c r="BH2725" s="611"/>
      <c r="BJ2725" s="15"/>
      <c r="BK2725" s="15"/>
      <c r="BO2725" s="223"/>
      <c r="BQ2725" s="889"/>
      <c r="BT2725" s="890"/>
      <c r="BX2725" s="889"/>
      <c r="CB2725" s="15"/>
      <c r="CC2725" s="697"/>
      <c r="CD2725" s="1086"/>
      <c r="CE2725" s="15"/>
      <c r="CF2725" s="15"/>
      <c r="CG2725" s="936"/>
      <c r="CH2725" s="15"/>
      <c r="CI2725" s="15"/>
      <c r="CJ2725" s="15"/>
      <c r="CK2725" s="1107"/>
      <c r="CL2725" s="22"/>
      <c r="CM2725" s="22"/>
      <c r="CN2725" s="1107"/>
      <c r="CR2725" s="223"/>
      <c r="CS2725" s="952"/>
      <c r="CT2725" s="1066"/>
      <c r="CU2725" s="972"/>
      <c r="CV2725" s="983"/>
      <c r="CW2725" s="222"/>
      <c r="CX2725" s="697"/>
      <c r="DC2725" s="222"/>
      <c r="DJ2725" s="889"/>
      <c r="DM2725" s="890"/>
      <c r="DN2725" s="952"/>
      <c r="DO2725" s="75"/>
      <c r="DP2725" s="962"/>
      <c r="DQ2725" s="983"/>
      <c r="DV2725" s="889"/>
    </row>
    <row r="2726" spans="1:126" s="74" customFormat="1">
      <c r="A2726" s="15"/>
      <c r="B2726" s="15"/>
      <c r="C2726" s="15"/>
      <c r="D2726" s="15"/>
      <c r="E2726" s="6"/>
      <c r="F2726" s="6"/>
      <c r="G2726" s="6"/>
      <c r="K2726" s="222"/>
      <c r="V2726" s="1430"/>
      <c r="AA2726" s="223"/>
      <c r="AC2726" s="889"/>
      <c r="AF2726" s="890"/>
      <c r="AJ2726" s="889"/>
      <c r="AN2726" s="222"/>
      <c r="BC2726" s="223"/>
      <c r="BD2726" s="222"/>
      <c r="BH2726" s="611"/>
      <c r="BJ2726" s="15"/>
      <c r="BK2726" s="15"/>
      <c r="BO2726" s="223"/>
      <c r="BQ2726" s="889"/>
      <c r="BT2726" s="890"/>
      <c r="BX2726" s="889"/>
      <c r="CB2726" s="15"/>
      <c r="CC2726" s="697"/>
      <c r="CD2726" s="1086"/>
      <c r="CE2726" s="15"/>
      <c r="CF2726" s="15"/>
      <c r="CG2726" s="936"/>
      <c r="CH2726" s="15"/>
      <c r="CI2726" s="15"/>
      <c r="CJ2726" s="15"/>
      <c r="CK2726" s="1107"/>
      <c r="CL2726" s="22"/>
      <c r="CM2726" s="22"/>
      <c r="CN2726" s="1107"/>
      <c r="CR2726" s="223"/>
      <c r="CS2726" s="952"/>
      <c r="CT2726" s="1066"/>
      <c r="CU2726" s="972"/>
      <c r="CV2726" s="983"/>
      <c r="CW2726" s="222"/>
      <c r="CX2726" s="697"/>
      <c r="DC2726" s="222"/>
      <c r="DJ2726" s="889"/>
      <c r="DM2726" s="890"/>
      <c r="DN2726" s="952"/>
      <c r="DO2726" s="75"/>
      <c r="DP2726" s="962"/>
      <c r="DQ2726" s="983"/>
      <c r="DV2726" s="889"/>
    </row>
    <row r="2727" spans="1:126" s="74" customFormat="1">
      <c r="A2727" s="15"/>
      <c r="B2727" s="15"/>
      <c r="C2727" s="15"/>
      <c r="D2727" s="15"/>
      <c r="E2727" s="6"/>
      <c r="F2727" s="6"/>
      <c r="G2727" s="6"/>
      <c r="K2727" s="222"/>
      <c r="V2727" s="1430"/>
      <c r="AA2727" s="223"/>
      <c r="AC2727" s="889"/>
      <c r="AF2727" s="890"/>
      <c r="AJ2727" s="889"/>
      <c r="AN2727" s="222"/>
      <c r="BC2727" s="223"/>
      <c r="BD2727" s="222"/>
      <c r="BH2727" s="611"/>
      <c r="BJ2727" s="15"/>
      <c r="BK2727" s="15"/>
      <c r="BO2727" s="223"/>
      <c r="BQ2727" s="889"/>
      <c r="BT2727" s="890"/>
      <c r="BX2727" s="889"/>
      <c r="CB2727" s="15"/>
      <c r="CC2727" s="697"/>
      <c r="CD2727" s="1086"/>
      <c r="CE2727" s="15"/>
      <c r="CF2727" s="15"/>
      <c r="CG2727" s="936"/>
      <c r="CH2727" s="15"/>
      <c r="CI2727" s="15"/>
      <c r="CJ2727" s="15"/>
      <c r="CK2727" s="1107"/>
      <c r="CL2727" s="22"/>
      <c r="CM2727" s="22"/>
      <c r="CN2727" s="1107"/>
      <c r="CR2727" s="223"/>
      <c r="CS2727" s="952"/>
      <c r="CT2727" s="1066"/>
      <c r="CU2727" s="972"/>
      <c r="CV2727" s="983"/>
      <c r="CW2727" s="222"/>
      <c r="CX2727" s="697"/>
      <c r="DC2727" s="222"/>
      <c r="DJ2727" s="889"/>
      <c r="DM2727" s="890"/>
      <c r="DN2727" s="952"/>
      <c r="DO2727" s="75"/>
      <c r="DP2727" s="962"/>
      <c r="DQ2727" s="983"/>
      <c r="DV2727" s="889"/>
    </row>
    <row r="2728" spans="1:126" s="74" customFormat="1">
      <c r="A2728" s="15"/>
      <c r="B2728" s="15"/>
      <c r="C2728" s="15"/>
      <c r="D2728" s="15"/>
      <c r="E2728" s="6"/>
      <c r="F2728" s="6"/>
      <c r="G2728" s="6"/>
      <c r="K2728" s="222"/>
      <c r="V2728" s="1430"/>
      <c r="AA2728" s="223"/>
      <c r="AC2728" s="889"/>
      <c r="AF2728" s="890"/>
      <c r="AJ2728" s="889"/>
      <c r="AN2728" s="222"/>
      <c r="BC2728" s="223"/>
      <c r="BD2728" s="222"/>
      <c r="BH2728" s="611"/>
      <c r="BJ2728" s="15"/>
      <c r="BK2728" s="15"/>
      <c r="BO2728" s="223"/>
      <c r="BQ2728" s="889"/>
      <c r="BT2728" s="890"/>
      <c r="BX2728" s="889"/>
      <c r="CB2728" s="15"/>
      <c r="CC2728" s="697"/>
      <c r="CD2728" s="1086"/>
      <c r="CE2728" s="15"/>
      <c r="CF2728" s="15"/>
      <c r="CG2728" s="936"/>
      <c r="CH2728" s="15"/>
      <c r="CI2728" s="15"/>
      <c r="CJ2728" s="15"/>
      <c r="CK2728" s="1107"/>
      <c r="CL2728" s="22"/>
      <c r="CM2728" s="22"/>
      <c r="CN2728" s="1107"/>
      <c r="CR2728" s="223"/>
      <c r="CS2728" s="952"/>
      <c r="CT2728" s="1066"/>
      <c r="CU2728" s="972"/>
      <c r="CV2728" s="983"/>
      <c r="CW2728" s="222"/>
      <c r="CX2728" s="697"/>
      <c r="DC2728" s="222"/>
      <c r="DJ2728" s="889"/>
      <c r="DM2728" s="890"/>
      <c r="DN2728" s="952"/>
      <c r="DO2728" s="75"/>
      <c r="DP2728" s="962"/>
      <c r="DQ2728" s="983"/>
      <c r="DV2728" s="889"/>
    </row>
  </sheetData>
  <mergeCells count="6">
    <mergeCell ref="BL8:CA8"/>
    <mergeCell ref="CC8:CV8"/>
    <mergeCell ref="CX8:DQ8"/>
    <mergeCell ref="DS8:DY8"/>
    <mergeCell ref="CT9:CU9"/>
    <mergeCell ref="DO9:DP9"/>
  </mergeCells>
  <printOptions horizontalCentered="1"/>
  <pageMargins left="0.59055118110236227" right="0.59055118110236227" top="1.1811023622047245" bottom="0.98425196850393704" header="0" footer="0.47244094488188981"/>
  <pageSetup paperSize="9" scale="60" fitToHeight="3" orientation="landscape" r:id="rId1"/>
  <headerFooter alignWithMargins="0">
    <oddFooter>&amp;C&amp;"Times New Roman,Normal"&amp;12&amp;F   -   &amp;A&amp;R&amp;"Times New Roman,Normal"&amp;12&amp;P/&amp;N</oddFooter>
  </headerFooter>
  <rowBreaks count="1" manualBreakCount="1">
    <brk id="14" max="20" man="1"/>
  </rowBreaks>
  <legacyDrawing r:id="rId2"/>
</worksheet>
</file>

<file path=xl/worksheets/sheet2.xml><?xml version="1.0" encoding="utf-8"?>
<worksheet xmlns="http://schemas.openxmlformats.org/spreadsheetml/2006/main" xmlns:r="http://schemas.openxmlformats.org/officeDocument/2006/relationships">
  <sheetPr>
    <pageSetUpPr fitToPage="1"/>
  </sheetPr>
  <dimension ref="A2:BW90"/>
  <sheetViews>
    <sheetView showGridLines="0" tabSelected="1" topLeftCell="E5" zoomScale="70" zoomScaleNormal="70" workbookViewId="0">
      <pane xSplit="3" ySplit="2" topLeftCell="AT7" activePane="bottomRight" state="frozen"/>
      <selection activeCell="E5" sqref="E5"/>
      <selection pane="topRight" activeCell="H5" sqref="H5"/>
      <selection pane="bottomLeft" activeCell="E7" sqref="E7"/>
      <selection pane="bottomRight" activeCell="E21" sqref="E21"/>
    </sheetView>
  </sheetViews>
  <sheetFormatPr baseColWidth="10" defaultRowHeight="12.75"/>
  <cols>
    <col min="1" max="4" width="11.42578125" style="806"/>
    <col min="5" max="5" width="52.28515625" style="2634" customWidth="1"/>
    <col min="6" max="6" width="9.7109375" style="417" customWidth="1"/>
    <col min="7" max="7" width="16.85546875" style="2635" customWidth="1"/>
    <col min="8" max="8" width="8.5703125" style="2916" hidden="1" customWidth="1"/>
    <col min="9" max="9" width="8.5703125" style="2602" hidden="1" customWidth="1"/>
    <col min="10" max="11" width="9.140625" style="2602" hidden="1" customWidth="1"/>
    <col min="12" max="12" width="10.5703125" style="2602" hidden="1" customWidth="1"/>
    <col min="13" max="13" width="10.85546875" style="530" hidden="1" customWidth="1"/>
    <col min="14" max="14" width="10.140625" style="2602" hidden="1" customWidth="1"/>
    <col min="15" max="15" width="10.85546875" style="2602" hidden="1" customWidth="1"/>
    <col min="16" max="16" width="10.140625" style="2602" hidden="1" customWidth="1"/>
    <col min="17" max="17" width="10.28515625" style="2602" hidden="1" customWidth="1"/>
    <col min="18" max="18" width="8.7109375" style="2602" hidden="1" customWidth="1"/>
    <col min="19" max="20" width="8.85546875" style="2602" hidden="1" customWidth="1"/>
    <col min="21" max="21" width="9.7109375" style="2602" hidden="1" customWidth="1"/>
    <col min="22" max="23" width="8.85546875" style="2602" hidden="1" customWidth="1"/>
    <col min="24" max="24" width="9.140625" style="2808" hidden="1" customWidth="1"/>
    <col min="25" max="25" width="11" style="2602" hidden="1" customWidth="1"/>
    <col min="26" max="26" width="8.28515625" style="2602" hidden="1" customWidth="1"/>
    <col min="27" max="27" width="11.85546875" style="2809" hidden="1" customWidth="1"/>
    <col min="28" max="28" width="7.7109375" style="2808" hidden="1" customWidth="1"/>
    <col min="29" max="38" width="7.7109375" style="2602" hidden="1" customWidth="1"/>
    <col min="39" max="39" width="7.7109375" style="2917" hidden="1" customWidth="1"/>
    <col min="40" max="40" width="10.140625" style="2916" customWidth="1"/>
    <col min="41" max="41" width="8.42578125" style="2602" customWidth="1"/>
    <col min="42" max="44" width="7.7109375" style="2602" customWidth="1"/>
    <col min="45" max="45" width="7.85546875" style="2602" customWidth="1"/>
    <col min="46" max="46" width="8.28515625" style="2602" customWidth="1"/>
    <col min="47" max="47" width="8.140625" style="2602" customWidth="1"/>
    <col min="48" max="48" width="7.7109375" style="2602" customWidth="1"/>
    <col min="49" max="49" width="8.140625" style="2602" customWidth="1"/>
    <col min="50" max="51" width="8.28515625" style="2602" customWidth="1"/>
    <col min="52" max="53" width="7.7109375" style="2602" customWidth="1"/>
    <col min="54" max="54" width="8.140625" style="2602" customWidth="1"/>
    <col min="55" max="55" width="8.140625" style="2809" customWidth="1"/>
    <col min="56" max="56" width="11.42578125" style="2602"/>
    <col min="57" max="57" width="11.42578125" style="2808" customWidth="1"/>
    <col min="58" max="58" width="11.42578125" style="2917" customWidth="1"/>
    <col min="59" max="59" width="11.42578125" style="2602" customWidth="1"/>
    <col min="60" max="60" width="12.28515625" style="2602" customWidth="1"/>
    <col min="61" max="61" width="12.28515625" style="2584" customWidth="1"/>
    <col min="62" max="62" width="11.42578125" style="2602" customWidth="1"/>
    <col min="63" max="75" width="11.42578125" style="417"/>
    <col min="76" max="16384" width="11.42578125" style="806"/>
  </cols>
  <sheetData>
    <row r="2" spans="1:75" s="1671" customFormat="1">
      <c r="E2" s="1681"/>
      <c r="F2" s="2606"/>
      <c r="G2" s="2607"/>
      <c r="H2" s="2871"/>
      <c r="I2" s="2692"/>
      <c r="J2" s="2692"/>
      <c r="K2" s="2692"/>
      <c r="L2" s="2692"/>
      <c r="M2" s="1682"/>
      <c r="N2" s="2692"/>
      <c r="O2" s="2692"/>
      <c r="P2" s="2692"/>
      <c r="Q2" s="2692"/>
      <c r="R2" s="2692"/>
      <c r="S2" s="2692"/>
      <c r="T2" s="2692"/>
      <c r="U2" s="2692"/>
      <c r="V2" s="2692"/>
      <c r="W2" s="2692"/>
      <c r="X2" s="1709"/>
      <c r="Y2" s="2692"/>
      <c r="Z2" s="2692"/>
      <c r="AA2" s="2691"/>
      <c r="AB2" s="1709"/>
      <c r="AC2" s="2692"/>
      <c r="AD2" s="2692"/>
      <c r="AE2" s="2692"/>
      <c r="AF2" s="2692"/>
      <c r="AG2" s="2692"/>
      <c r="AH2" s="2692"/>
      <c r="AI2" s="2692"/>
      <c r="AJ2" s="2692"/>
      <c r="AK2" s="2692"/>
      <c r="AL2" s="2692"/>
      <c r="AM2" s="2872"/>
      <c r="AN2" s="2871"/>
      <c r="AO2" s="2692"/>
      <c r="AP2" s="2692"/>
      <c r="AQ2" s="2692"/>
      <c r="AR2" s="2692"/>
      <c r="AS2" s="2692"/>
      <c r="AT2" s="2692"/>
      <c r="AU2" s="2692"/>
      <c r="AV2" s="2692"/>
      <c r="AW2" s="2692"/>
      <c r="AX2" s="2692"/>
      <c r="AY2" s="2692"/>
      <c r="AZ2" s="2692"/>
      <c r="BA2" s="2692"/>
      <c r="BB2" s="2692"/>
      <c r="BC2" s="2691"/>
      <c r="BD2" s="2692"/>
      <c r="BE2" s="1709"/>
      <c r="BF2" s="2872"/>
      <c r="BG2" s="2102"/>
      <c r="BH2" s="2102"/>
      <c r="BI2" s="2579"/>
      <c r="BJ2" s="2102"/>
      <c r="BK2" s="2608"/>
      <c r="BL2" s="2608"/>
      <c r="BM2" s="2608"/>
      <c r="BN2" s="2608"/>
      <c r="BO2" s="2608"/>
      <c r="BP2" s="2608"/>
      <c r="BQ2" s="2608"/>
      <c r="BR2" s="2608"/>
      <c r="BS2" s="2608"/>
      <c r="BT2" s="2608"/>
      <c r="BU2" s="2608"/>
      <c r="BV2" s="2608"/>
      <c r="BW2" s="2608"/>
    </row>
    <row r="3" spans="1:75" s="1671" customFormat="1">
      <c r="E3" s="1681"/>
      <c r="F3" s="387" t="s">
        <v>340</v>
      </c>
      <c r="G3" s="2609" t="s">
        <v>341</v>
      </c>
      <c r="H3" s="2919">
        <v>8.3143999999999991</v>
      </c>
      <c r="I3" s="2692"/>
      <c r="J3" s="2692"/>
      <c r="K3" s="2692"/>
      <c r="L3" s="2692"/>
      <c r="M3" s="1682"/>
      <c r="N3" s="2692"/>
      <c r="O3" s="2692"/>
      <c r="P3" s="2692"/>
      <c r="Q3" s="2692"/>
      <c r="R3" s="2692"/>
      <c r="S3" s="2692"/>
      <c r="T3" s="2692"/>
      <c r="U3" s="2692"/>
      <c r="V3" s="2692"/>
      <c r="W3" s="2692"/>
      <c r="X3" s="1709"/>
      <c r="Y3" s="2692"/>
      <c r="Z3" s="2692"/>
      <c r="AA3" s="2691"/>
      <c r="AB3" s="1709"/>
      <c r="AC3" s="2692"/>
      <c r="AD3" s="2692"/>
      <c r="AE3" s="2692"/>
      <c r="AF3" s="2692"/>
      <c r="AG3" s="2692"/>
      <c r="AH3" s="2692"/>
      <c r="AI3" s="2692"/>
      <c r="AJ3" s="2692"/>
      <c r="AK3" s="2692"/>
      <c r="AL3" s="2692"/>
      <c r="AM3" s="2872"/>
      <c r="AN3" s="2871"/>
      <c r="AO3" s="2692"/>
      <c r="AP3" s="2692"/>
      <c r="AQ3" s="2692"/>
      <c r="AR3" s="2692"/>
      <c r="AS3" s="2692"/>
      <c r="AT3" s="2692"/>
      <c r="AU3" s="2692"/>
      <c r="AV3" s="2692"/>
      <c r="AW3" s="2692"/>
      <c r="AX3" s="2692"/>
      <c r="AY3" s="2692"/>
      <c r="AZ3" s="2692"/>
      <c r="BA3" s="2692"/>
      <c r="BB3" s="2692"/>
      <c r="BC3" s="2691"/>
      <c r="BD3" s="2692"/>
      <c r="BE3" s="1709"/>
      <c r="BF3" s="2872"/>
      <c r="BG3" s="2102"/>
      <c r="BH3" s="2102"/>
      <c r="BI3" s="2579"/>
      <c r="BJ3" s="2102"/>
      <c r="BK3" s="2608"/>
      <c r="BL3" s="2608"/>
      <c r="BM3" s="2608"/>
      <c r="BN3" s="2608"/>
      <c r="BO3" s="2608"/>
      <c r="BP3" s="2608"/>
      <c r="BQ3" s="2608"/>
      <c r="BR3" s="2608"/>
      <c r="BS3" s="2608"/>
      <c r="BT3" s="2608"/>
      <c r="BU3" s="2608"/>
      <c r="BV3" s="2608"/>
      <c r="BW3" s="2608"/>
    </row>
    <row r="4" spans="1:75" s="1671" customFormat="1" ht="13.5" thickBot="1">
      <c r="E4" s="1681"/>
      <c r="F4" s="387" t="s">
        <v>342</v>
      </c>
      <c r="G4" s="2609" t="s">
        <v>341</v>
      </c>
      <c r="H4" s="2920">
        <v>101300</v>
      </c>
      <c r="I4" s="2692"/>
      <c r="J4" s="2692"/>
      <c r="K4" s="2692"/>
      <c r="L4" s="2692"/>
      <c r="M4" s="1682"/>
      <c r="N4" s="2692"/>
      <c r="O4" s="2692"/>
      <c r="P4" s="2692"/>
      <c r="Q4" s="2692"/>
      <c r="R4" s="2692"/>
      <c r="S4" s="2692"/>
      <c r="T4" s="2692"/>
      <c r="U4" s="2692"/>
      <c r="V4" s="2692"/>
      <c r="W4" s="2692"/>
      <c r="X4" s="1709"/>
      <c r="Y4" s="2692"/>
      <c r="Z4" s="2692"/>
      <c r="AA4" s="2691"/>
      <c r="AB4" s="1709"/>
      <c r="AC4" s="2692"/>
      <c r="AD4" s="2692"/>
      <c r="AE4" s="2692"/>
      <c r="AF4" s="2692"/>
      <c r="AG4" s="2692"/>
      <c r="AH4" s="2692"/>
      <c r="AI4" s="2692"/>
      <c r="AJ4" s="2692"/>
      <c r="AK4" s="2692"/>
      <c r="AL4" s="2692"/>
      <c r="AM4" s="2872"/>
      <c r="AN4" s="2871"/>
      <c r="AO4" s="2692"/>
      <c r="AP4" s="2692"/>
      <c r="AQ4" s="2692"/>
      <c r="AR4" s="2692"/>
      <c r="AS4" s="2692"/>
      <c r="AT4" s="2692"/>
      <c r="AU4" s="2692"/>
      <c r="AV4" s="2692"/>
      <c r="AW4" s="2692"/>
      <c r="AX4" s="2692"/>
      <c r="AY4" s="2692"/>
      <c r="AZ4" s="2692"/>
      <c r="BA4" s="2692"/>
      <c r="BB4" s="2692"/>
      <c r="BC4" s="2691"/>
      <c r="BD4" s="2692"/>
      <c r="BE4" s="1709"/>
      <c r="BF4" s="2872"/>
      <c r="BG4" s="2102"/>
      <c r="BH4" s="2102"/>
      <c r="BI4" s="2579"/>
      <c r="BJ4" s="2102"/>
      <c r="BK4" s="2608"/>
      <c r="BL4" s="2608"/>
      <c r="BM4" s="2608"/>
      <c r="BN4" s="2608"/>
      <c r="BO4" s="2608"/>
      <c r="BP4" s="2608"/>
      <c r="BQ4" s="2608"/>
      <c r="BR4" s="2608"/>
      <c r="BS4" s="2608"/>
      <c r="BT4" s="2608"/>
      <c r="BU4" s="2608"/>
      <c r="BV4" s="2608"/>
      <c r="BW4" s="2608"/>
    </row>
    <row r="5" spans="1:75" s="2571" customFormat="1" ht="40.9" customHeight="1" thickBot="1">
      <c r="E5" s="2572" t="s">
        <v>0</v>
      </c>
      <c r="F5" s="2552" t="s">
        <v>2</v>
      </c>
      <c r="G5" s="2610" t="s">
        <v>3</v>
      </c>
      <c r="H5" s="2921" t="s">
        <v>223</v>
      </c>
      <c r="I5" s="2638" t="s">
        <v>223</v>
      </c>
      <c r="J5" s="2638" t="s">
        <v>226</v>
      </c>
      <c r="K5" s="2638" t="s">
        <v>227</v>
      </c>
      <c r="L5" s="2638" t="s">
        <v>225</v>
      </c>
      <c r="M5" s="2638" t="s">
        <v>225</v>
      </c>
      <c r="N5" s="2638" t="s">
        <v>230</v>
      </c>
      <c r="O5" s="2638" t="s">
        <v>230</v>
      </c>
      <c r="P5" s="2638" t="s">
        <v>228</v>
      </c>
      <c r="Q5" s="2638" t="s">
        <v>228</v>
      </c>
      <c r="R5" s="2638" t="s">
        <v>224</v>
      </c>
      <c r="S5" s="2638" t="s">
        <v>289</v>
      </c>
      <c r="T5" s="2638" t="s">
        <v>289</v>
      </c>
      <c r="U5" s="2638" t="s">
        <v>288</v>
      </c>
      <c r="V5" s="2638" t="s">
        <v>229</v>
      </c>
      <c r="W5" s="2638" t="s">
        <v>229</v>
      </c>
      <c r="X5" s="2946" t="s">
        <v>317</v>
      </c>
      <c r="Y5" s="2947" t="s">
        <v>318</v>
      </c>
      <c r="Z5" s="2947" t="s">
        <v>319</v>
      </c>
      <c r="AA5" s="2948" t="s">
        <v>320</v>
      </c>
      <c r="AB5" s="2946" t="s">
        <v>322</v>
      </c>
      <c r="AC5" s="2947" t="s">
        <v>323</v>
      </c>
      <c r="AD5" s="2947" t="s">
        <v>324</v>
      </c>
      <c r="AE5" s="2947" t="s">
        <v>325</v>
      </c>
      <c r="AF5" s="2947" t="s">
        <v>326</v>
      </c>
      <c r="AG5" s="2947" t="s">
        <v>327</v>
      </c>
      <c r="AH5" s="2947" t="s">
        <v>6</v>
      </c>
      <c r="AI5" s="2947" t="s">
        <v>7</v>
      </c>
      <c r="AJ5" s="2947" t="s">
        <v>8</v>
      </c>
      <c r="AK5" s="2947" t="s">
        <v>9</v>
      </c>
      <c r="AL5" s="2947" t="s">
        <v>328</v>
      </c>
      <c r="AM5" s="2949" t="s">
        <v>343</v>
      </c>
      <c r="AN5" s="2950" t="s">
        <v>321</v>
      </c>
      <c r="AO5" s="2951" t="s">
        <v>478</v>
      </c>
      <c r="AP5" s="2951" t="s">
        <v>477</v>
      </c>
      <c r="AQ5" s="2951" t="s">
        <v>488</v>
      </c>
      <c r="AR5" s="2951" t="s">
        <v>490</v>
      </c>
      <c r="AS5" s="2951" t="s">
        <v>479</v>
      </c>
      <c r="AT5" s="2951" t="s">
        <v>487</v>
      </c>
      <c r="AU5" s="2951" t="s">
        <v>491</v>
      </c>
      <c r="AV5" s="2951" t="s">
        <v>480</v>
      </c>
      <c r="AW5" s="2951" t="s">
        <v>485</v>
      </c>
      <c r="AX5" s="2951" t="s">
        <v>482</v>
      </c>
      <c r="AY5" s="2951" t="s">
        <v>484</v>
      </c>
      <c r="AZ5" s="2947" t="s">
        <v>481</v>
      </c>
      <c r="BA5" s="2951" t="s">
        <v>486</v>
      </c>
      <c r="BB5" s="2951" t="s">
        <v>483</v>
      </c>
      <c r="BC5" s="2952" t="s">
        <v>489</v>
      </c>
      <c r="BD5" s="2639" t="s">
        <v>445</v>
      </c>
      <c r="BE5" s="2848" t="s">
        <v>543</v>
      </c>
      <c r="BF5" s="2873" t="s">
        <v>544</v>
      </c>
      <c r="BG5" s="2640" t="s">
        <v>549</v>
      </c>
      <c r="BH5" s="2640" t="s">
        <v>550</v>
      </c>
      <c r="BI5" s="2641" t="s">
        <v>545</v>
      </c>
      <c r="BJ5" s="2580"/>
      <c r="BK5" s="2573"/>
      <c r="BL5" s="2573"/>
      <c r="BM5" s="2573"/>
      <c r="BN5" s="2573"/>
      <c r="BO5" s="2573"/>
      <c r="BP5" s="2573"/>
      <c r="BQ5" s="2573"/>
      <c r="BR5" s="2573"/>
      <c r="BS5" s="2573"/>
      <c r="BT5" s="2573"/>
      <c r="BU5" s="2573"/>
      <c r="BV5" s="2573"/>
      <c r="BW5" s="2573"/>
    </row>
    <row r="6" spans="1:75" s="2954" customFormat="1" ht="39" thickBot="1">
      <c r="A6" s="2953"/>
      <c r="E6" s="2572" t="s">
        <v>0</v>
      </c>
      <c r="F6" s="2552" t="s">
        <v>2</v>
      </c>
      <c r="G6" s="2610" t="s">
        <v>3</v>
      </c>
      <c r="H6" s="2921" t="s">
        <v>223</v>
      </c>
      <c r="I6" s="2638" t="s">
        <v>223</v>
      </c>
      <c r="J6" s="2638" t="s">
        <v>316</v>
      </c>
      <c r="K6" s="2638" t="s">
        <v>309</v>
      </c>
      <c r="L6" s="2638" t="s">
        <v>310</v>
      </c>
      <c r="M6" s="2638" t="s">
        <v>310</v>
      </c>
      <c r="N6" s="2638" t="s">
        <v>311</v>
      </c>
      <c r="O6" s="2638" t="s">
        <v>311</v>
      </c>
      <c r="P6" s="2638" t="s">
        <v>314</v>
      </c>
      <c r="Q6" s="2638" t="s">
        <v>314</v>
      </c>
      <c r="R6" s="2638" t="s">
        <v>315</v>
      </c>
      <c r="S6" s="2638" t="s">
        <v>1238</v>
      </c>
      <c r="T6" s="2638" t="s">
        <v>1238</v>
      </c>
      <c r="U6" s="2638" t="s">
        <v>313</v>
      </c>
      <c r="V6" s="2638" t="s">
        <v>312</v>
      </c>
      <c r="W6" s="2638" t="s">
        <v>312</v>
      </c>
      <c r="X6" s="2955" t="s">
        <v>350</v>
      </c>
      <c r="Y6" s="2638" t="s">
        <v>351</v>
      </c>
      <c r="Z6" s="2638" t="s">
        <v>303</v>
      </c>
      <c r="AA6" s="2956" t="s">
        <v>22</v>
      </c>
      <c r="AB6" s="2955" t="str">
        <f>AB5</f>
        <v>Ar 
&gt;EC8-EC10</v>
      </c>
      <c r="AC6" s="2638" t="str">
        <f t="shared" ref="AC6:AL6" si="0">AC5</f>
        <v>Ar
&gt;EC10-EC12</v>
      </c>
      <c r="AD6" s="2638" t="str">
        <f t="shared" si="0"/>
        <v>Ar
 &gt;EC12 - EC16</v>
      </c>
      <c r="AE6" s="2638" t="str">
        <f t="shared" si="0"/>
        <v>Ar
 &gt;EC16 - EC21</v>
      </c>
      <c r="AF6" s="2638" t="str">
        <f t="shared" si="0"/>
        <v>Ar
 &gt;EC21 - EC35</v>
      </c>
      <c r="AG6" s="2638" t="str">
        <f t="shared" si="0"/>
        <v>Al 
EC5-EC6</v>
      </c>
      <c r="AH6" s="2638" t="str">
        <f t="shared" si="0"/>
        <v>Al
&gt;EC6-EC8</v>
      </c>
      <c r="AI6" s="2638" t="str">
        <f t="shared" si="0"/>
        <v>Al 
&gt;EC8-EC10</v>
      </c>
      <c r="AJ6" s="2638" t="str">
        <f t="shared" si="0"/>
        <v>Al &gt;
EC10-EC12</v>
      </c>
      <c r="AK6" s="2638" t="str">
        <f t="shared" si="0"/>
        <v>Al 
&gt;EC12-EC16</v>
      </c>
      <c r="AL6" s="2638" t="str">
        <f t="shared" si="0"/>
        <v>Al 
&gt;EC16- EC21</v>
      </c>
      <c r="AM6" s="2957" t="s">
        <v>352</v>
      </c>
      <c r="AN6" s="2921" t="s">
        <v>4</v>
      </c>
      <c r="AO6" s="2638" t="s">
        <v>478</v>
      </c>
      <c r="AP6" s="2638" t="s">
        <v>477</v>
      </c>
      <c r="AQ6" s="2638" t="s">
        <v>488</v>
      </c>
      <c r="AR6" s="2638" t="s">
        <v>490</v>
      </c>
      <c r="AS6" s="2638" t="s">
        <v>479</v>
      </c>
      <c r="AT6" s="2638" t="s">
        <v>487</v>
      </c>
      <c r="AU6" s="2638" t="s">
        <v>491</v>
      </c>
      <c r="AV6" s="2638" t="s">
        <v>329</v>
      </c>
      <c r="AW6" s="2638" t="s">
        <v>485</v>
      </c>
      <c r="AX6" s="2638" t="s">
        <v>330</v>
      </c>
      <c r="AY6" s="2638" t="s">
        <v>331</v>
      </c>
      <c r="AZ6" s="2638" t="s">
        <v>636</v>
      </c>
      <c r="BA6" s="2638" t="s">
        <v>332</v>
      </c>
      <c r="BB6" s="2638" t="s">
        <v>333</v>
      </c>
      <c r="BC6" s="2956" t="s">
        <v>334</v>
      </c>
      <c r="BD6" s="2958" t="s">
        <v>445</v>
      </c>
      <c r="BE6" s="2959" t="s">
        <v>986</v>
      </c>
      <c r="BF6" s="2960" t="s">
        <v>600</v>
      </c>
      <c r="BG6" s="2640" t="s">
        <v>551</v>
      </c>
      <c r="BH6" s="2640" t="s">
        <v>601</v>
      </c>
      <c r="BI6" s="2961" t="s">
        <v>546</v>
      </c>
      <c r="BJ6" s="2638"/>
    </row>
    <row r="7" spans="1:75" s="2643" customFormat="1" ht="26.25" customHeight="1" thickBot="1">
      <c r="A7" s="2642"/>
      <c r="E7" s="2644" t="s">
        <v>514</v>
      </c>
      <c r="F7" s="2645"/>
      <c r="G7" s="2646"/>
      <c r="H7" s="2922" t="s">
        <v>1207</v>
      </c>
      <c r="I7" s="2647" t="s">
        <v>1207</v>
      </c>
      <c r="J7" s="2647" t="s">
        <v>1206</v>
      </c>
      <c r="K7" s="2647" t="s">
        <v>515</v>
      </c>
      <c r="L7" s="2647" t="s">
        <v>516</v>
      </c>
      <c r="M7" s="2647" t="s">
        <v>516</v>
      </c>
      <c r="N7" s="2647" t="s">
        <v>522</v>
      </c>
      <c r="O7" s="2647" t="s">
        <v>522</v>
      </c>
      <c r="P7" s="2647" t="s">
        <v>518</v>
      </c>
      <c r="Q7" s="2647" t="s">
        <v>518</v>
      </c>
      <c r="R7" s="2647" t="s">
        <v>517</v>
      </c>
      <c r="S7" s="2647" t="s">
        <v>521</v>
      </c>
      <c r="T7" s="2647" t="s">
        <v>521</v>
      </c>
      <c r="U7" s="2647" t="s">
        <v>519</v>
      </c>
      <c r="V7" s="2647" t="s">
        <v>520</v>
      </c>
      <c r="W7" s="2647" t="s">
        <v>520</v>
      </c>
      <c r="X7" s="2776" t="s">
        <v>523</v>
      </c>
      <c r="Y7" s="2649" t="s">
        <v>524</v>
      </c>
      <c r="Z7" s="2649" t="s">
        <v>525</v>
      </c>
      <c r="AA7" s="2777" t="s">
        <v>526</v>
      </c>
      <c r="AB7" s="2776" t="s">
        <v>35</v>
      </c>
      <c r="AC7" s="2649" t="s">
        <v>35</v>
      </c>
      <c r="AD7" s="2649" t="s">
        <v>35</v>
      </c>
      <c r="AE7" s="2649" t="s">
        <v>35</v>
      </c>
      <c r="AF7" s="2649" t="s">
        <v>35</v>
      </c>
      <c r="AG7" s="2649" t="s">
        <v>35</v>
      </c>
      <c r="AH7" s="2649" t="s">
        <v>35</v>
      </c>
      <c r="AI7" s="2649" t="s">
        <v>35</v>
      </c>
      <c r="AJ7" s="2649" t="s">
        <v>35</v>
      </c>
      <c r="AK7" s="2649" t="s">
        <v>35</v>
      </c>
      <c r="AL7" s="2649" t="s">
        <v>35</v>
      </c>
      <c r="AM7" s="2923" t="s">
        <v>35</v>
      </c>
      <c r="AN7" s="2874" t="s">
        <v>527</v>
      </c>
      <c r="AO7" s="2649" t="s">
        <v>528</v>
      </c>
      <c r="AP7" s="2649" t="s">
        <v>529</v>
      </c>
      <c r="AQ7" s="2649" t="s">
        <v>530</v>
      </c>
      <c r="AR7" s="2649" t="s">
        <v>531</v>
      </c>
      <c r="AS7" s="2649" t="s">
        <v>532</v>
      </c>
      <c r="AT7" s="2649" t="s">
        <v>533</v>
      </c>
      <c r="AU7" s="2649" t="s">
        <v>534</v>
      </c>
      <c r="AV7" s="2649" t="s">
        <v>535</v>
      </c>
      <c r="AW7" s="2649" t="s">
        <v>536</v>
      </c>
      <c r="AX7" s="2649" t="s">
        <v>537</v>
      </c>
      <c r="AY7" s="2649" t="s">
        <v>538</v>
      </c>
      <c r="AZ7" s="2649" t="s">
        <v>539</v>
      </c>
      <c r="BA7" s="2649" t="s">
        <v>540</v>
      </c>
      <c r="BB7" s="2649" t="s">
        <v>541</v>
      </c>
      <c r="BC7" s="2777" t="s">
        <v>542</v>
      </c>
      <c r="BD7" s="2650" t="s">
        <v>548</v>
      </c>
      <c r="BE7" s="2849" t="s">
        <v>547</v>
      </c>
      <c r="BF7" s="2875" t="s">
        <v>547</v>
      </c>
      <c r="BG7" s="2651" t="s">
        <v>552</v>
      </c>
      <c r="BH7" s="2651" t="s">
        <v>553</v>
      </c>
      <c r="BI7" s="2652"/>
      <c r="BJ7" s="2648"/>
    </row>
    <row r="8" spans="1:75" s="421" customFormat="1" ht="16.5" customHeight="1">
      <c r="A8" s="2962"/>
      <c r="E8" s="2591"/>
      <c r="G8" s="2593"/>
      <c r="H8" s="627"/>
      <c r="I8" s="530"/>
      <c r="J8" s="530"/>
      <c r="K8" s="530"/>
      <c r="L8" s="530"/>
      <c r="M8" s="530"/>
      <c r="N8" s="530"/>
      <c r="O8" s="530"/>
      <c r="P8" s="530"/>
      <c r="Q8" s="530"/>
      <c r="R8" s="530"/>
      <c r="S8" s="530"/>
      <c r="T8" s="530"/>
      <c r="U8" s="530"/>
      <c r="V8" s="530"/>
      <c r="W8" s="530"/>
      <c r="X8" s="829"/>
      <c r="Y8" s="530"/>
      <c r="Z8" s="530"/>
      <c r="AA8" s="830"/>
      <c r="AB8" s="829"/>
      <c r="AC8" s="530"/>
      <c r="AD8" s="530"/>
      <c r="AE8" s="530"/>
      <c r="AF8" s="530"/>
      <c r="AG8" s="530"/>
      <c r="AH8" s="530"/>
      <c r="AI8" s="530"/>
      <c r="AJ8" s="530"/>
      <c r="AK8" s="530"/>
      <c r="AL8" s="530"/>
      <c r="AM8" s="628"/>
      <c r="AN8" s="627"/>
      <c r="AO8" s="530"/>
      <c r="AP8" s="530"/>
      <c r="AQ8" s="530"/>
      <c r="AR8" s="530"/>
      <c r="AS8" s="530"/>
      <c r="AT8" s="1682"/>
      <c r="AU8" s="1682"/>
      <c r="AV8" s="1682"/>
      <c r="AW8" s="1682"/>
      <c r="AX8" s="1682"/>
      <c r="AY8" s="1682"/>
      <c r="AZ8" s="1682"/>
      <c r="BA8" s="1682"/>
      <c r="BB8" s="1682"/>
      <c r="BC8" s="830"/>
      <c r="BD8" s="530"/>
      <c r="BE8" s="829"/>
      <c r="BF8" s="628"/>
      <c r="BG8" s="530"/>
      <c r="BH8" s="530"/>
      <c r="BI8" s="530"/>
      <c r="BJ8" s="530"/>
    </row>
    <row r="9" spans="1:75" s="207" customFormat="1" ht="16.5" customHeight="1">
      <c r="A9" s="2963"/>
      <c r="E9" s="2590" t="s">
        <v>1205</v>
      </c>
      <c r="F9" s="207" t="s">
        <v>1175</v>
      </c>
      <c r="G9" s="348" t="s">
        <v>24</v>
      </c>
      <c r="H9" s="2924">
        <v>0.2</v>
      </c>
      <c r="I9" s="1629">
        <v>0.2</v>
      </c>
      <c r="J9" s="1629">
        <v>5</v>
      </c>
      <c r="K9" s="2585">
        <v>5.6000000000000001E-2</v>
      </c>
      <c r="L9" s="2585">
        <v>0.06</v>
      </c>
      <c r="M9" s="2585">
        <v>0.06</v>
      </c>
      <c r="N9" s="1629">
        <v>0.2</v>
      </c>
      <c r="O9" s="1629">
        <v>0.2</v>
      </c>
      <c r="P9" s="1629">
        <v>3.5000000000000003E-2</v>
      </c>
      <c r="Q9" s="1629">
        <v>3.5000000000000003E-2</v>
      </c>
      <c r="R9" s="1629">
        <v>0.4</v>
      </c>
      <c r="S9" s="2637">
        <f>'Valeurs Jalons Air'!T12</f>
        <v>6.3E-2</v>
      </c>
      <c r="T9" s="2637">
        <f>'Valeurs Jalons Air'!T12</f>
        <v>6.3E-2</v>
      </c>
      <c r="U9" s="2637">
        <f>'Valeurs Jalons Air'!T13</f>
        <v>3.7999999999999999E-2</v>
      </c>
      <c r="V9" s="2637">
        <f>'Valeurs Jalons Air'!T8</f>
        <v>1</v>
      </c>
      <c r="W9" s="2637">
        <f>'Valeurs Jalons Air'!T8</f>
        <v>1</v>
      </c>
      <c r="X9" s="2778">
        <f>0.003*X54</f>
        <v>9.6000000000000009E-3</v>
      </c>
      <c r="Y9" s="2653">
        <f>'Valeurs Jalons Air'!T16</f>
        <v>0.26</v>
      </c>
      <c r="Z9" s="2586">
        <v>0.26500000000000001</v>
      </c>
      <c r="AA9" s="2779">
        <f>'Valeurs Jalons Air'!T17</f>
        <v>0.1</v>
      </c>
      <c r="AB9" s="2817">
        <v>0.2</v>
      </c>
      <c r="AC9" s="2653">
        <v>0.2</v>
      </c>
      <c r="AD9" s="2653">
        <v>0.2</v>
      </c>
      <c r="AE9" s="2653" t="s">
        <v>1173</v>
      </c>
      <c r="AF9" s="2653" t="s">
        <v>1173</v>
      </c>
      <c r="AG9" s="2655">
        <v>18.399999999999999</v>
      </c>
      <c r="AH9" s="2653">
        <v>18.399999999999999</v>
      </c>
      <c r="AI9" s="2653">
        <v>1</v>
      </c>
      <c r="AJ9" s="2653">
        <v>1</v>
      </c>
      <c r="AK9" s="2653">
        <v>1</v>
      </c>
      <c r="AL9" s="2653" t="s">
        <v>1173</v>
      </c>
      <c r="AM9" s="2925" t="s">
        <v>1173</v>
      </c>
      <c r="AN9" s="2876">
        <v>3.0000000000000001E-3</v>
      </c>
      <c r="AO9" s="522" t="s">
        <v>1173</v>
      </c>
      <c r="AP9" s="522" t="s">
        <v>1173</v>
      </c>
      <c r="AQ9" s="522" t="s">
        <v>1173</v>
      </c>
      <c r="AR9" s="522" t="s">
        <v>1173</v>
      </c>
      <c r="AS9" s="522" t="s">
        <v>1173</v>
      </c>
      <c r="AT9" s="522" t="s">
        <v>1173</v>
      </c>
      <c r="AU9" s="522" t="s">
        <v>1173</v>
      </c>
      <c r="AV9" s="522" t="s">
        <v>1173</v>
      </c>
      <c r="AW9" s="522" t="s">
        <v>1173</v>
      </c>
      <c r="AX9" s="522" t="s">
        <v>1173</v>
      </c>
      <c r="AY9" s="522" t="s">
        <v>1173</v>
      </c>
      <c r="AZ9" s="522" t="s">
        <v>1173</v>
      </c>
      <c r="BA9" s="522" t="s">
        <v>1173</v>
      </c>
      <c r="BB9" s="522" t="s">
        <v>1173</v>
      </c>
      <c r="BC9" s="2786" t="s">
        <v>1173</v>
      </c>
      <c r="BD9" s="2659">
        <f>'Valeurs Jalons Air'!T22</f>
        <v>0.02</v>
      </c>
      <c r="BE9" s="2850">
        <v>5.0000000000000001E-4</v>
      </c>
      <c r="BF9" s="2877">
        <v>1E-3</v>
      </c>
      <c r="BG9" s="2588">
        <f>'Valeurs Jalons Air'!T34</f>
        <v>3.0000000000000001E-5</v>
      </c>
      <c r="BH9" s="2575">
        <f>0.0001/0.95*1*60/20</f>
        <v>3.1578947368421058E-4</v>
      </c>
      <c r="BI9" s="2587">
        <v>8.0000000000000004E-4</v>
      </c>
      <c r="BJ9" s="1629"/>
    </row>
    <row r="10" spans="1:75" s="2126" customFormat="1" ht="13.15" customHeight="1">
      <c r="A10" s="2149"/>
      <c r="B10" s="224"/>
      <c r="C10" s="2151"/>
      <c r="D10" s="2150"/>
      <c r="E10" s="2592" t="s">
        <v>292</v>
      </c>
      <c r="F10" s="2153" t="s">
        <v>293</v>
      </c>
      <c r="G10" s="2154" t="s">
        <v>295</v>
      </c>
      <c r="H10" s="2926">
        <v>7</v>
      </c>
      <c r="I10" s="2666">
        <v>7</v>
      </c>
      <c r="J10" s="2654">
        <v>7</v>
      </c>
      <c r="K10" s="2224">
        <v>1</v>
      </c>
      <c r="L10" s="2224">
        <v>1</v>
      </c>
      <c r="M10" s="2224">
        <v>1</v>
      </c>
      <c r="N10" s="2224">
        <v>1</v>
      </c>
      <c r="O10" s="2224">
        <v>1</v>
      </c>
      <c r="P10" s="2224">
        <v>1</v>
      </c>
      <c r="Q10" s="2224">
        <v>1</v>
      </c>
      <c r="R10" s="2224">
        <v>1</v>
      </c>
      <c r="S10" s="2224">
        <v>1</v>
      </c>
      <c r="T10" s="2224">
        <v>1</v>
      </c>
      <c r="U10" s="2224">
        <v>1</v>
      </c>
      <c r="V10" s="2224">
        <v>1</v>
      </c>
      <c r="W10" s="2224">
        <v>1</v>
      </c>
      <c r="X10" s="2780">
        <v>1</v>
      </c>
      <c r="Y10" s="2224">
        <v>1</v>
      </c>
      <c r="Z10" s="2224">
        <v>1</v>
      </c>
      <c r="AA10" s="2781">
        <v>7</v>
      </c>
      <c r="AB10" s="2780">
        <v>1</v>
      </c>
      <c r="AC10" s="2224">
        <v>1</v>
      </c>
      <c r="AD10" s="2224">
        <v>1</v>
      </c>
      <c r="AE10" s="2224">
        <v>1</v>
      </c>
      <c r="AF10" s="2224">
        <v>1</v>
      </c>
      <c r="AG10" s="2224">
        <v>1</v>
      </c>
      <c r="AH10" s="2224">
        <v>1</v>
      </c>
      <c r="AI10" s="2224">
        <v>1</v>
      </c>
      <c r="AJ10" s="2224">
        <v>1</v>
      </c>
      <c r="AK10" s="2224">
        <v>1</v>
      </c>
      <c r="AL10" s="2224">
        <v>1</v>
      </c>
      <c r="AM10" s="2879">
        <v>1</v>
      </c>
      <c r="AN10" s="2878">
        <v>7</v>
      </c>
      <c r="AO10" s="2224">
        <v>1</v>
      </c>
      <c r="AP10" s="2224">
        <v>1</v>
      </c>
      <c r="AQ10" s="2224">
        <v>1</v>
      </c>
      <c r="AR10" s="2224">
        <v>1</v>
      </c>
      <c r="AS10" s="2224">
        <v>1</v>
      </c>
      <c r="AT10" s="2224">
        <v>1</v>
      </c>
      <c r="AU10" s="2224">
        <v>1</v>
      </c>
      <c r="AV10" s="2224">
        <v>1</v>
      </c>
      <c r="AW10" s="2224">
        <v>1</v>
      </c>
      <c r="AX10" s="2224">
        <v>1</v>
      </c>
      <c r="AY10" s="2224">
        <v>1</v>
      </c>
      <c r="AZ10" s="2224">
        <v>1</v>
      </c>
      <c r="BA10" s="2224">
        <v>1</v>
      </c>
      <c r="BB10" s="2224">
        <v>1</v>
      </c>
      <c r="BC10" s="2826">
        <v>1</v>
      </c>
      <c r="BD10" s="2224">
        <v>1</v>
      </c>
      <c r="BE10" s="2780">
        <v>1</v>
      </c>
      <c r="BF10" s="2879">
        <v>1</v>
      </c>
      <c r="BG10" s="2224">
        <v>1</v>
      </c>
      <c r="BH10" s="2224">
        <v>1</v>
      </c>
      <c r="BI10" s="2654">
        <v>7</v>
      </c>
      <c r="BJ10" s="2589"/>
    </row>
    <row r="11" spans="1:75" s="419" customFormat="1" ht="27" customHeight="1">
      <c r="A11" s="2964"/>
      <c r="E11" s="2605" t="s">
        <v>1187</v>
      </c>
      <c r="F11" s="530"/>
      <c r="G11" s="628"/>
      <c r="H11" s="2927" t="s">
        <v>1200</v>
      </c>
      <c r="I11" s="2665" t="s">
        <v>1200</v>
      </c>
      <c r="J11" s="2581" t="s">
        <v>1172</v>
      </c>
      <c r="K11" s="2581" t="s">
        <v>512</v>
      </c>
      <c r="L11" s="2581" t="s">
        <v>1165</v>
      </c>
      <c r="M11" s="2581" t="s">
        <v>1165</v>
      </c>
      <c r="N11" s="2581" t="s">
        <v>1166</v>
      </c>
      <c r="O11" s="2581" t="s">
        <v>1166</v>
      </c>
      <c r="P11" s="2581" t="s">
        <v>1167</v>
      </c>
      <c r="Q11" s="2581" t="s">
        <v>1167</v>
      </c>
      <c r="R11" s="2581" t="s">
        <v>513</v>
      </c>
      <c r="S11" s="2581" t="s">
        <v>1168</v>
      </c>
      <c r="T11" s="2581" t="s">
        <v>1168</v>
      </c>
      <c r="U11" s="2581" t="s">
        <v>1168</v>
      </c>
      <c r="V11" s="2581" t="s">
        <v>1169</v>
      </c>
      <c r="W11" s="2581" t="s">
        <v>1169</v>
      </c>
      <c r="X11" s="2782" t="s">
        <v>1170</v>
      </c>
      <c r="Y11" s="2582" t="s">
        <v>1171</v>
      </c>
      <c r="Z11" s="2582" t="s">
        <v>439</v>
      </c>
      <c r="AA11" s="2783" t="s">
        <v>1172</v>
      </c>
      <c r="AB11" s="2788" t="s">
        <v>474</v>
      </c>
      <c r="AC11" s="419" t="s">
        <v>474</v>
      </c>
      <c r="AD11" s="419" t="s">
        <v>474</v>
      </c>
      <c r="AE11" s="419" t="s">
        <v>474</v>
      </c>
      <c r="AF11" s="419" t="s">
        <v>474</v>
      </c>
      <c r="AG11" s="419" t="s">
        <v>474</v>
      </c>
      <c r="AH11" s="419" t="s">
        <v>474</v>
      </c>
      <c r="AI11" s="419" t="s">
        <v>474</v>
      </c>
      <c r="AJ11" s="419" t="s">
        <v>474</v>
      </c>
      <c r="AK11" s="419" t="s">
        <v>474</v>
      </c>
      <c r="AL11" s="419" t="s">
        <v>474</v>
      </c>
      <c r="AM11" s="2928" t="s">
        <v>474</v>
      </c>
      <c r="AN11" s="2880" t="s">
        <v>1174</v>
      </c>
      <c r="AO11" s="4009" t="s">
        <v>1292</v>
      </c>
      <c r="AP11" s="4009"/>
      <c r="AQ11" s="4009"/>
      <c r="AR11" s="4009"/>
      <c r="AS11" s="4009"/>
      <c r="AT11" s="4009"/>
      <c r="AU11" s="4009"/>
      <c r="AV11" s="4009"/>
      <c r="AW11" s="4009"/>
      <c r="AX11" s="4009"/>
      <c r="AY11" s="4009"/>
      <c r="AZ11" s="4009"/>
      <c r="BA11" s="4009"/>
      <c r="BB11" s="4009"/>
      <c r="BC11" s="4010"/>
      <c r="BD11" s="2576" t="s">
        <v>512</v>
      </c>
      <c r="BE11" s="2851" t="s">
        <v>512</v>
      </c>
      <c r="BF11" s="2881" t="s">
        <v>512</v>
      </c>
      <c r="BG11" s="2577" t="s">
        <v>1176</v>
      </c>
      <c r="BH11" s="2578" t="s">
        <v>1177</v>
      </c>
      <c r="BI11" s="2576" t="s">
        <v>1185</v>
      </c>
    </row>
    <row r="12" spans="1:75" s="417" customFormat="1" ht="12.75" customHeight="1">
      <c r="A12" s="2965"/>
      <c r="E12" s="2634"/>
      <c r="G12" s="2635"/>
      <c r="H12" s="2916"/>
      <c r="I12" s="2602"/>
      <c r="J12" s="2602"/>
      <c r="K12" s="2602"/>
      <c r="L12" s="2602"/>
      <c r="M12" s="530"/>
      <c r="N12" s="2602"/>
      <c r="O12" s="2602"/>
      <c r="P12" s="2602"/>
      <c r="Q12" s="2602"/>
      <c r="R12" s="2602"/>
      <c r="S12" s="2602"/>
      <c r="T12" s="2602"/>
      <c r="U12" s="2602"/>
      <c r="V12" s="2602"/>
      <c r="W12" s="2602"/>
      <c r="X12" s="2808"/>
      <c r="Y12" s="2602"/>
      <c r="Z12" s="2602"/>
      <c r="AA12" s="2809"/>
      <c r="AB12" s="2808"/>
      <c r="AC12" s="2602"/>
      <c r="AD12" s="2602"/>
      <c r="AE12" s="2602"/>
      <c r="AF12" s="2602"/>
      <c r="AG12" s="2602"/>
      <c r="AH12" s="2602"/>
      <c r="AI12" s="2602"/>
      <c r="AJ12" s="2602"/>
      <c r="AK12" s="2602"/>
      <c r="AL12" s="2602"/>
      <c r="AM12" s="2917"/>
      <c r="AN12" s="2916"/>
      <c r="AO12" s="2602"/>
      <c r="AP12" s="2602"/>
      <c r="AQ12" s="2602"/>
      <c r="AR12" s="2602"/>
      <c r="AS12" s="2602"/>
      <c r="AT12" s="2602"/>
      <c r="AU12" s="2602"/>
      <c r="AV12" s="2602"/>
      <c r="AW12" s="2602"/>
      <c r="AX12" s="2602"/>
      <c r="AY12" s="2602"/>
      <c r="AZ12" s="2602"/>
      <c r="BA12" s="2602"/>
      <c r="BB12" s="2602"/>
      <c r="BC12" s="2809"/>
      <c r="BD12" s="2602"/>
      <c r="BE12" s="2808"/>
      <c r="BF12" s="2917"/>
      <c r="BG12" s="2602"/>
      <c r="BH12" s="2602"/>
      <c r="BI12" s="2584"/>
      <c r="BJ12" s="2602"/>
    </row>
    <row r="13" spans="1:75" s="421" customFormat="1" ht="16.899999999999999" customHeight="1">
      <c r="A13" s="2962"/>
      <c r="E13" s="2671" t="s">
        <v>1204</v>
      </c>
      <c r="G13" s="2593"/>
      <c r="H13" s="1270"/>
      <c r="I13" s="636"/>
      <c r="J13" s="636"/>
      <c r="K13" s="636"/>
      <c r="L13" s="636"/>
      <c r="M13" s="636"/>
      <c r="N13" s="636"/>
      <c r="O13" s="636"/>
      <c r="P13" s="2550"/>
      <c r="Q13" s="2550"/>
      <c r="R13" s="636"/>
      <c r="S13" s="636"/>
      <c r="T13" s="636"/>
      <c r="U13" s="2549"/>
      <c r="V13" s="636"/>
      <c r="W13" s="636"/>
      <c r="X13" s="829"/>
      <c r="Y13" s="419"/>
      <c r="Z13" s="419"/>
      <c r="AA13" s="2784"/>
      <c r="AB13" s="2788"/>
      <c r="AC13" s="419"/>
      <c r="AD13" s="419"/>
      <c r="AE13" s="419"/>
      <c r="AF13" s="419"/>
      <c r="AG13" s="419"/>
      <c r="AH13" s="419"/>
      <c r="AI13" s="419"/>
      <c r="AJ13" s="419"/>
      <c r="AK13" s="419"/>
      <c r="AL13" s="419"/>
      <c r="AM13" s="2928"/>
      <c r="AN13" s="2882"/>
      <c r="AO13" s="1620"/>
      <c r="AP13" s="1620"/>
      <c r="AQ13" s="1620"/>
      <c r="AR13" s="1620"/>
      <c r="AS13" s="1620"/>
      <c r="AT13" s="1620"/>
      <c r="AU13" s="1620"/>
      <c r="AV13" s="419"/>
      <c r="AW13" s="419"/>
      <c r="AX13" s="419"/>
      <c r="AY13" s="419"/>
      <c r="AZ13" s="418"/>
      <c r="BA13" s="419"/>
      <c r="BB13" s="1620"/>
      <c r="BC13" s="2827"/>
      <c r="BD13" s="530"/>
      <c r="BE13" s="829"/>
      <c r="BF13" s="628"/>
      <c r="BG13" s="530"/>
      <c r="BH13" s="530"/>
      <c r="BI13" s="530"/>
      <c r="BJ13" s="530"/>
    </row>
    <row r="14" spans="1:75" s="207" customFormat="1" ht="12.75" customHeight="1">
      <c r="A14" s="2963"/>
      <c r="E14" s="520" t="s">
        <v>1202</v>
      </c>
      <c r="F14" s="207" t="s">
        <v>25</v>
      </c>
      <c r="G14" s="348" t="s">
        <v>26</v>
      </c>
      <c r="H14" s="2876" t="s">
        <v>1173</v>
      </c>
      <c r="I14" s="522" t="s">
        <v>1173</v>
      </c>
      <c r="J14" s="522" t="s">
        <v>1173</v>
      </c>
      <c r="K14" s="2636">
        <v>1E-3</v>
      </c>
      <c r="L14" s="522" t="s">
        <v>1173</v>
      </c>
      <c r="M14" s="522" t="s">
        <v>1173</v>
      </c>
      <c r="N14" s="1629">
        <v>2E-3</v>
      </c>
      <c r="O14" s="1629">
        <v>2E-3</v>
      </c>
      <c r="P14" s="1629">
        <v>5.8999999999999999E-3</v>
      </c>
      <c r="Q14" s="1629">
        <v>5.8999999999999999E-3</v>
      </c>
      <c r="R14" s="2636">
        <v>1E-3</v>
      </c>
      <c r="S14" s="1629">
        <v>2.3E-2</v>
      </c>
      <c r="T14" s="1629">
        <v>2.3E-2</v>
      </c>
      <c r="U14" s="1629">
        <v>4.2000000000000003E-2</v>
      </c>
      <c r="V14" s="522" t="s">
        <v>1173</v>
      </c>
      <c r="W14" s="522" t="s">
        <v>1173</v>
      </c>
      <c r="X14" s="2785">
        <v>6.0000000000000001E-3</v>
      </c>
      <c r="Y14" s="522" t="s">
        <v>1173</v>
      </c>
      <c r="Z14" s="2636">
        <v>2.5000000000000001E-3</v>
      </c>
      <c r="AA14" s="2786" t="s">
        <v>1173</v>
      </c>
      <c r="AB14" s="2778" t="s">
        <v>1173</v>
      </c>
      <c r="AC14" s="522" t="s">
        <v>1173</v>
      </c>
      <c r="AD14" s="522" t="s">
        <v>1173</v>
      </c>
      <c r="AE14" s="522" t="s">
        <v>1173</v>
      </c>
      <c r="AF14" s="522" t="s">
        <v>1173</v>
      </c>
      <c r="AG14" s="522" t="s">
        <v>1173</v>
      </c>
      <c r="AH14" s="522" t="s">
        <v>1173</v>
      </c>
      <c r="AI14" s="522" t="s">
        <v>1173</v>
      </c>
      <c r="AJ14" s="522" t="s">
        <v>1173</v>
      </c>
      <c r="AK14" s="522" t="s">
        <v>1173</v>
      </c>
      <c r="AL14" s="522" t="s">
        <v>1173</v>
      </c>
      <c r="AM14" s="2898" t="s">
        <v>1173</v>
      </c>
      <c r="AN14" s="1628">
        <v>3.4000000000000002E-2</v>
      </c>
      <c r="AO14" s="1629">
        <f t="shared" ref="AO14:AY14" si="1">AO$16*$AZ14</f>
        <v>1.1000000000000001E-3</v>
      </c>
      <c r="AP14" s="1629">
        <f t="shared" si="1"/>
        <v>1.1000000000000001E-3</v>
      </c>
      <c r="AQ14" s="1629">
        <f t="shared" si="1"/>
        <v>1.1000000000000001E-3</v>
      </c>
      <c r="AR14" s="1629">
        <f t="shared" si="1"/>
        <v>1.1000000000000001E-3</v>
      </c>
      <c r="AS14" s="1629">
        <f t="shared" si="1"/>
        <v>1.1000000000000001E-2</v>
      </c>
      <c r="AT14" s="1629">
        <f t="shared" si="1"/>
        <v>1.1000000000000001E-3</v>
      </c>
      <c r="AU14" s="1629">
        <f t="shared" si="1"/>
        <v>1.1000000000000001E-3</v>
      </c>
      <c r="AV14" s="1629">
        <f t="shared" si="1"/>
        <v>0.11000000000000001</v>
      </c>
      <c r="AW14" s="1629">
        <f t="shared" si="1"/>
        <v>1.1000000000000001E-2</v>
      </c>
      <c r="AX14" s="1629">
        <f t="shared" si="1"/>
        <v>0.11000000000000001</v>
      </c>
      <c r="AY14" s="1629">
        <f t="shared" si="1"/>
        <v>0.11000000000000001</v>
      </c>
      <c r="AZ14" s="2598">
        <v>1.1000000000000001</v>
      </c>
      <c r="BA14" s="1629">
        <f>BA$16*$AZ14</f>
        <v>1.1000000000000001</v>
      </c>
      <c r="BB14" s="1629">
        <f>BB$16*$AZ14</f>
        <v>1.1000000000000001E-2</v>
      </c>
      <c r="BC14" s="2787">
        <f>BC$16*$AZ14</f>
        <v>0.11000000000000001</v>
      </c>
      <c r="BD14" s="1629" t="s">
        <v>1173</v>
      </c>
      <c r="BE14" s="2785">
        <f>BF14*2</f>
        <v>1.1399999999999999</v>
      </c>
      <c r="BF14" s="2883">
        <v>0.56999999999999995</v>
      </c>
      <c r="BG14" s="1629"/>
      <c r="BH14" s="1629"/>
      <c r="BI14" s="1629"/>
      <c r="BJ14" s="1629"/>
    </row>
    <row r="15" spans="1:75" s="207" customFormat="1" ht="12.75" customHeight="1">
      <c r="A15" s="2963"/>
      <c r="E15" s="520" t="s">
        <v>1203</v>
      </c>
      <c r="F15" s="207" t="s">
        <v>25</v>
      </c>
      <c r="G15" s="348" t="s">
        <v>26</v>
      </c>
      <c r="H15" s="1628" t="str">
        <f t="shared" ref="H15" si="2">H14</f>
        <v>ND</v>
      </c>
      <c r="I15" s="1629" t="str">
        <f t="shared" ref="I15" si="3">I14</f>
        <v>ND</v>
      </c>
      <c r="J15" s="1629" t="str">
        <f t="shared" ref="J15" si="4">J14</f>
        <v>ND</v>
      </c>
      <c r="K15" s="2637">
        <f>K14</f>
        <v>1E-3</v>
      </c>
      <c r="L15" s="1629" t="str">
        <f t="shared" ref="L15:M15" si="5">L14</f>
        <v>ND</v>
      </c>
      <c r="M15" s="1629" t="str">
        <f t="shared" si="5"/>
        <v>ND</v>
      </c>
      <c r="N15" s="1629">
        <f t="shared" ref="N15:W15" si="6">N14</f>
        <v>2E-3</v>
      </c>
      <c r="O15" s="1629">
        <f t="shared" si="6"/>
        <v>2E-3</v>
      </c>
      <c r="P15" s="1629">
        <f t="shared" si="6"/>
        <v>5.8999999999999999E-3</v>
      </c>
      <c r="Q15" s="1629">
        <f t="shared" si="6"/>
        <v>5.8999999999999999E-3</v>
      </c>
      <c r="R15" s="2637">
        <f t="shared" si="6"/>
        <v>1E-3</v>
      </c>
      <c r="S15" s="1629">
        <f t="shared" si="6"/>
        <v>2.3E-2</v>
      </c>
      <c r="T15" s="1629">
        <f t="shared" si="6"/>
        <v>2.3E-2</v>
      </c>
      <c r="U15" s="1629">
        <f t="shared" si="6"/>
        <v>4.2000000000000003E-2</v>
      </c>
      <c r="V15" s="1629" t="str">
        <f t="shared" si="6"/>
        <v>ND</v>
      </c>
      <c r="W15" s="1629" t="str">
        <f t="shared" si="6"/>
        <v>ND</v>
      </c>
      <c r="X15" s="2785">
        <f>X14</f>
        <v>6.0000000000000001E-3</v>
      </c>
      <c r="Y15" s="1629" t="str">
        <f t="shared" ref="Y15" si="7">Y14</f>
        <v>ND</v>
      </c>
      <c r="Z15" s="2637">
        <f>Z14</f>
        <v>2.5000000000000001E-3</v>
      </c>
      <c r="AA15" s="2787" t="str">
        <f t="shared" ref="AA15" si="8">AA14</f>
        <v>ND</v>
      </c>
      <c r="AB15" s="2785" t="str">
        <f t="shared" ref="AB15" si="9">AB14</f>
        <v>ND</v>
      </c>
      <c r="AC15" s="1629" t="str">
        <f t="shared" ref="AC15" si="10">AC14</f>
        <v>ND</v>
      </c>
      <c r="AD15" s="1629" t="str">
        <f t="shared" ref="AD15" si="11">AD14</f>
        <v>ND</v>
      </c>
      <c r="AE15" s="1629" t="str">
        <f t="shared" ref="AE15" si="12">AE14</f>
        <v>ND</v>
      </c>
      <c r="AF15" s="1629" t="str">
        <f t="shared" ref="AF15" si="13">AF14</f>
        <v>ND</v>
      </c>
      <c r="AG15" s="1629" t="str">
        <f t="shared" ref="AG15" si="14">AG14</f>
        <v>ND</v>
      </c>
      <c r="AH15" s="1629" t="str">
        <f t="shared" ref="AH15" si="15">AH14</f>
        <v>ND</v>
      </c>
      <c r="AI15" s="1629" t="str">
        <f t="shared" ref="AI15" si="16">AI14</f>
        <v>ND</v>
      </c>
      <c r="AJ15" s="1629" t="str">
        <f t="shared" ref="AJ15" si="17">AJ14</f>
        <v>ND</v>
      </c>
      <c r="AK15" s="1629" t="str">
        <f t="shared" ref="AK15" si="18">AK14</f>
        <v>ND</v>
      </c>
      <c r="AL15" s="1629" t="str">
        <f t="shared" ref="AL15" si="19">AL14</f>
        <v>ND</v>
      </c>
      <c r="AM15" s="1630" t="str">
        <f t="shared" ref="AM15" si="20">AM14</f>
        <v>ND</v>
      </c>
      <c r="AN15" s="1628">
        <f t="shared" ref="AN15:BD15" si="21">AN14</f>
        <v>3.4000000000000002E-2</v>
      </c>
      <c r="AO15" s="1629">
        <f t="shared" si="21"/>
        <v>1.1000000000000001E-3</v>
      </c>
      <c r="AP15" s="1629">
        <f t="shared" si="21"/>
        <v>1.1000000000000001E-3</v>
      </c>
      <c r="AQ15" s="1629">
        <f t="shared" si="21"/>
        <v>1.1000000000000001E-3</v>
      </c>
      <c r="AR15" s="1629">
        <f t="shared" si="21"/>
        <v>1.1000000000000001E-3</v>
      </c>
      <c r="AS15" s="1629">
        <f t="shared" si="21"/>
        <v>1.1000000000000001E-2</v>
      </c>
      <c r="AT15" s="1629">
        <f t="shared" si="21"/>
        <v>1.1000000000000001E-3</v>
      </c>
      <c r="AU15" s="1629">
        <f t="shared" si="21"/>
        <v>1.1000000000000001E-3</v>
      </c>
      <c r="AV15" s="1629">
        <f t="shared" si="21"/>
        <v>0.11000000000000001</v>
      </c>
      <c r="AW15" s="1629">
        <f t="shared" si="21"/>
        <v>1.1000000000000001E-2</v>
      </c>
      <c r="AX15" s="1629">
        <f t="shared" si="21"/>
        <v>0.11000000000000001</v>
      </c>
      <c r="AY15" s="1629">
        <f t="shared" si="21"/>
        <v>0.11000000000000001</v>
      </c>
      <c r="AZ15" s="1629">
        <f t="shared" si="21"/>
        <v>1.1000000000000001</v>
      </c>
      <c r="BA15" s="1629">
        <f t="shared" si="21"/>
        <v>1.1000000000000001</v>
      </c>
      <c r="BB15" s="1629">
        <f t="shared" si="21"/>
        <v>1.1000000000000001E-2</v>
      </c>
      <c r="BC15" s="2787">
        <f t="shared" si="21"/>
        <v>0.11000000000000001</v>
      </c>
      <c r="BD15" s="1629" t="str">
        <f t="shared" si="21"/>
        <v>ND</v>
      </c>
      <c r="BE15" s="2785">
        <f>BF15*2</f>
        <v>0.22</v>
      </c>
      <c r="BF15" s="2883">
        <v>0.11</v>
      </c>
      <c r="BG15" s="1629"/>
      <c r="BH15" s="1629"/>
      <c r="BI15" s="1629"/>
      <c r="BJ15" s="1629"/>
    </row>
    <row r="16" spans="1:75" s="421" customFormat="1" ht="16.899999999999999" customHeight="1">
      <c r="A16" s="2962"/>
      <c r="E16" s="2982" t="s">
        <v>1293</v>
      </c>
      <c r="G16" s="2593"/>
      <c r="H16" s="1270"/>
      <c r="I16" s="636"/>
      <c r="J16" s="636"/>
      <c r="K16" s="636"/>
      <c r="L16" s="636"/>
      <c r="M16" s="636"/>
      <c r="N16" s="636"/>
      <c r="O16" s="636"/>
      <c r="P16" s="2550"/>
      <c r="Q16" s="2550"/>
      <c r="R16" s="636"/>
      <c r="S16" s="636"/>
      <c r="T16" s="636"/>
      <c r="U16" s="2549"/>
      <c r="V16" s="636"/>
      <c r="W16" s="636"/>
      <c r="X16" s="829"/>
      <c r="Y16" s="419"/>
      <c r="Z16" s="419"/>
      <c r="AA16" s="2784"/>
      <c r="AB16" s="2788"/>
      <c r="AC16" s="419"/>
      <c r="AD16" s="419"/>
      <c r="AE16" s="419"/>
      <c r="AF16" s="419"/>
      <c r="AG16" s="419"/>
      <c r="AH16" s="419"/>
      <c r="AI16" s="419"/>
      <c r="AJ16" s="419"/>
      <c r="AK16" s="419"/>
      <c r="AL16" s="419"/>
      <c r="AM16" s="2928"/>
      <c r="AN16" s="2882">
        <v>1E-3</v>
      </c>
      <c r="AO16" s="1620">
        <v>1E-3</v>
      </c>
      <c r="AP16" s="1620">
        <v>1E-3</v>
      </c>
      <c r="AQ16" s="1620">
        <v>1E-3</v>
      </c>
      <c r="AR16" s="1620">
        <v>1E-3</v>
      </c>
      <c r="AS16" s="1620">
        <v>0.01</v>
      </c>
      <c r="AT16" s="1620">
        <v>1E-3</v>
      </c>
      <c r="AU16" s="1620">
        <v>1E-3</v>
      </c>
      <c r="AV16" s="419">
        <v>0.1</v>
      </c>
      <c r="AW16" s="419">
        <v>0.01</v>
      </c>
      <c r="AX16" s="419">
        <v>0.1</v>
      </c>
      <c r="AY16" s="419">
        <v>0.1</v>
      </c>
      <c r="AZ16" s="418">
        <v>1</v>
      </c>
      <c r="BA16" s="419">
        <v>1</v>
      </c>
      <c r="BB16" s="1620">
        <v>0.01</v>
      </c>
      <c r="BC16" s="2827">
        <v>0.1</v>
      </c>
      <c r="BD16" s="530"/>
      <c r="BE16" s="829"/>
      <c r="BF16" s="628"/>
      <c r="BG16" s="530"/>
      <c r="BH16" s="530"/>
      <c r="BI16" s="530"/>
      <c r="BJ16" s="530"/>
    </row>
    <row r="17" spans="1:62" s="76" customFormat="1" ht="26.25" customHeight="1">
      <c r="A17" s="2150"/>
      <c r="E17" s="809" t="s">
        <v>1188</v>
      </c>
      <c r="F17" s="518"/>
      <c r="G17" s="2594"/>
      <c r="H17" s="2929"/>
      <c r="I17" s="2599"/>
      <c r="J17" s="2599"/>
      <c r="K17" s="2603" t="s">
        <v>1186</v>
      </c>
      <c r="L17" s="2603"/>
      <c r="M17" s="2603"/>
      <c r="N17" s="2599" t="s">
        <v>1169</v>
      </c>
      <c r="O17" s="2599" t="s">
        <v>1169</v>
      </c>
      <c r="P17" s="2599" t="s">
        <v>1169</v>
      </c>
      <c r="Q17" s="2599" t="s">
        <v>1169</v>
      </c>
      <c r="R17" s="2599" t="s">
        <v>1189</v>
      </c>
      <c r="S17" s="2599" t="s">
        <v>1190</v>
      </c>
      <c r="T17" s="2599" t="s">
        <v>1190</v>
      </c>
      <c r="U17" s="2599" t="s">
        <v>1169</v>
      </c>
      <c r="V17" s="2599"/>
      <c r="W17" s="2599"/>
      <c r="X17" s="2788" t="s">
        <v>1171</v>
      </c>
      <c r="Y17" s="2603"/>
      <c r="Z17" s="2599" t="s">
        <v>1191</v>
      </c>
      <c r="AA17" s="2789"/>
      <c r="AB17" s="2828"/>
      <c r="AC17" s="2604"/>
      <c r="AD17" s="2604"/>
      <c r="AE17" s="2604"/>
      <c r="AF17" s="2604"/>
      <c r="AG17" s="2604"/>
      <c r="AH17" s="2604"/>
      <c r="AI17" s="2604"/>
      <c r="AJ17" s="2604"/>
      <c r="AK17" s="2604"/>
      <c r="AL17" s="2604"/>
      <c r="AM17" s="2884"/>
      <c r="AN17" s="4204" t="s">
        <v>1292</v>
      </c>
      <c r="AO17" s="4009"/>
      <c r="AP17" s="4009"/>
      <c r="AQ17" s="4009"/>
      <c r="AR17" s="4009"/>
      <c r="AS17" s="4009"/>
      <c r="AT17" s="4009"/>
      <c r="AU17" s="4009"/>
      <c r="AV17" s="4009"/>
      <c r="AW17" s="4009"/>
      <c r="AX17" s="4009"/>
      <c r="AY17" s="4009"/>
      <c r="AZ17" s="4009"/>
      <c r="BA17" s="4009"/>
      <c r="BB17" s="4009"/>
      <c r="BC17" s="4010"/>
      <c r="BD17" s="2578"/>
      <c r="BE17" s="2852" t="s">
        <v>1199</v>
      </c>
      <c r="BF17" s="2884" t="s">
        <v>554</v>
      </c>
      <c r="BG17" s="2578"/>
      <c r="BH17" s="2578"/>
      <c r="BI17" s="2578"/>
      <c r="BJ17" s="419"/>
    </row>
    <row r="18" spans="1:62" s="2966" customFormat="1" ht="41.25" customHeight="1" thickBot="1">
      <c r="A18" s="2348"/>
      <c r="E18" s="2967" t="s">
        <v>238</v>
      </c>
      <c r="F18" s="2968"/>
      <c r="G18" s="2969"/>
      <c r="H18" s="2970"/>
      <c r="I18" s="2661"/>
      <c r="J18" s="2661"/>
      <c r="K18" s="2971"/>
      <c r="L18" s="2971" t="s">
        <v>1196</v>
      </c>
      <c r="M18" s="2971" t="s">
        <v>1196</v>
      </c>
      <c r="N18" s="2661" t="s">
        <v>1192</v>
      </c>
      <c r="O18" s="2661" t="s">
        <v>1192</v>
      </c>
      <c r="P18" s="2972" t="s">
        <v>1197</v>
      </c>
      <c r="Q18" s="2972" t="s">
        <v>1197</v>
      </c>
      <c r="R18" s="2661"/>
      <c r="S18" s="2661"/>
      <c r="T18" s="2661"/>
      <c r="U18" s="2661"/>
      <c r="V18" s="2661"/>
      <c r="W18" s="2661"/>
      <c r="X18" s="2973" t="s">
        <v>1198</v>
      </c>
      <c r="Y18" s="2971" t="s">
        <v>1192</v>
      </c>
      <c r="Z18" s="2661"/>
      <c r="AA18" s="2974" t="s">
        <v>1193</v>
      </c>
      <c r="AB18" s="2975"/>
      <c r="AC18" s="2976"/>
      <c r="AD18" s="2976"/>
      <c r="AE18" s="2976"/>
      <c r="AF18" s="2976"/>
      <c r="AG18" s="2976"/>
      <c r="AH18" s="2976"/>
      <c r="AI18" s="2976"/>
      <c r="AJ18" s="2976"/>
      <c r="AK18" s="2976"/>
      <c r="AL18" s="2976"/>
      <c r="AM18" s="2977"/>
      <c r="AN18" s="2978" t="s">
        <v>1197</v>
      </c>
      <c r="AO18" s="4011" t="s">
        <v>1268</v>
      </c>
      <c r="AP18" s="4011"/>
      <c r="AQ18" s="4011"/>
      <c r="AR18" s="4011"/>
      <c r="AS18" s="4011"/>
      <c r="AT18" s="4011"/>
      <c r="AU18" s="4011"/>
      <c r="AV18" s="4011"/>
      <c r="AW18" s="4011"/>
      <c r="AX18" s="4011"/>
      <c r="AY18" s="4011"/>
      <c r="AZ18" s="4011"/>
      <c r="BA18" s="4011"/>
      <c r="BB18" s="4011"/>
      <c r="BC18" s="4012"/>
      <c r="BD18" s="2971" t="s">
        <v>1194</v>
      </c>
      <c r="BE18" s="2979" t="s">
        <v>1195</v>
      </c>
      <c r="BF18" s="2980" t="s">
        <v>1195</v>
      </c>
      <c r="BG18" s="2981"/>
      <c r="BH18" s="2981"/>
      <c r="BI18" s="2981"/>
      <c r="BJ18" s="2690"/>
    </row>
    <row r="19" spans="1:62" s="2656" customFormat="1" ht="13.5" customHeight="1" thickBot="1">
      <c r="A19" s="2983"/>
      <c r="E19" s="2667" t="s">
        <v>1254</v>
      </c>
      <c r="F19" s="2668"/>
      <c r="G19" s="2669"/>
      <c r="H19" s="2885"/>
      <c r="I19" s="2670" t="s">
        <v>1201</v>
      </c>
      <c r="J19" s="2657"/>
      <c r="K19" s="4205"/>
      <c r="L19" s="2660"/>
      <c r="M19" s="2660"/>
      <c r="N19" s="2657"/>
      <c r="O19" s="2664"/>
      <c r="P19" s="2661"/>
      <c r="Q19" s="2661"/>
      <c r="R19" s="2657"/>
      <c r="S19" s="2657"/>
      <c r="T19" s="2657"/>
      <c r="U19" s="2657"/>
      <c r="V19" s="2657"/>
      <c r="W19" s="2657"/>
      <c r="X19" s="2790"/>
      <c r="Y19" s="2660"/>
      <c r="Z19" s="2657"/>
      <c r="AA19" s="2791"/>
      <c r="AB19" s="2829"/>
      <c r="AC19" s="2662"/>
      <c r="AD19" s="2662"/>
      <c r="AE19" s="2662"/>
      <c r="AF19" s="2662"/>
      <c r="AG19" s="2662"/>
      <c r="AH19" s="2662"/>
      <c r="AI19" s="2662"/>
      <c r="AJ19" s="2662"/>
      <c r="AK19" s="2662"/>
      <c r="AL19" s="2662"/>
      <c r="AM19" s="2886"/>
      <c r="AN19" s="2885"/>
      <c r="AO19" s="2664"/>
      <c r="AP19" s="2657"/>
      <c r="AQ19" s="2657"/>
      <c r="AR19" s="2657"/>
      <c r="AS19" s="2657"/>
      <c r="AT19" s="2664"/>
      <c r="AU19" s="2657"/>
      <c r="AV19" s="2657"/>
      <c r="AW19" s="2657"/>
      <c r="AX19" s="2657"/>
      <c r="AY19" s="3610"/>
      <c r="AZ19" s="3611"/>
      <c r="BA19" s="2657"/>
      <c r="BB19" s="2657"/>
      <c r="BC19" s="2830"/>
      <c r="BD19" s="2663"/>
      <c r="BE19" s="2853"/>
      <c r="BF19" s="2886"/>
      <c r="BG19" s="2663"/>
      <c r="BH19" s="2663"/>
      <c r="BI19" s="2663"/>
      <c r="BJ19" s="2658"/>
    </row>
    <row r="20" spans="1:62" s="2753" customFormat="1" ht="12.75" customHeight="1">
      <c r="A20" s="2752"/>
      <c r="E20" s="2754" t="s">
        <v>1269</v>
      </c>
      <c r="F20" s="2755"/>
      <c r="G20" s="2756"/>
      <c r="H20" s="2887"/>
      <c r="I20" s="2758"/>
      <c r="J20" s="2757"/>
      <c r="K20" s="2759"/>
      <c r="L20" s="2759"/>
      <c r="M20" s="2759"/>
      <c r="N20" s="2757"/>
      <c r="O20" s="2760"/>
      <c r="P20" s="2761"/>
      <c r="Q20" s="2761"/>
      <c r="R20" s="2757"/>
      <c r="S20" s="2757"/>
      <c r="T20" s="2757"/>
      <c r="U20" s="2757"/>
      <c r="V20" s="2757"/>
      <c r="W20" s="2757"/>
      <c r="X20" s="2792"/>
      <c r="Y20" s="2759"/>
      <c r="Z20" s="2757"/>
      <c r="AA20" s="2793"/>
      <c r="AB20" s="2831"/>
      <c r="AC20" s="2762"/>
      <c r="AD20" s="2762"/>
      <c r="AE20" s="2762"/>
      <c r="AF20" s="2762"/>
      <c r="AG20" s="2762"/>
      <c r="AH20" s="2762"/>
      <c r="AI20" s="2762"/>
      <c r="AJ20" s="2762"/>
      <c r="AK20" s="2762"/>
      <c r="AL20" s="2762"/>
      <c r="AM20" s="2888"/>
      <c r="AN20" s="2887"/>
      <c r="AO20" s="2757"/>
      <c r="AP20" s="2757"/>
      <c r="AQ20" s="2757"/>
      <c r="AR20" s="2757"/>
      <c r="AS20" s="2757"/>
      <c r="AT20" s="2757"/>
      <c r="AU20" s="2757"/>
      <c r="AV20" s="2757"/>
      <c r="AW20" s="2757"/>
      <c r="AX20" s="2757"/>
      <c r="AY20" s="2757"/>
      <c r="AZ20" s="2763"/>
      <c r="BA20" s="2757"/>
      <c r="BB20" s="2757"/>
      <c r="BC20" s="2832"/>
      <c r="BD20" s="2764"/>
      <c r="BE20" s="2854"/>
      <c r="BF20" s="2888"/>
      <c r="BG20" s="2764"/>
      <c r="BH20" s="2764"/>
      <c r="BI20" s="2764"/>
      <c r="BJ20" s="499"/>
    </row>
    <row r="21" spans="1:62" s="2766" customFormat="1" ht="13.5" customHeight="1" thickBot="1">
      <c r="A21" s="2765"/>
      <c r="E21" s="2767"/>
      <c r="G21" s="2768"/>
      <c r="H21" s="2889"/>
      <c r="I21" s="2769"/>
      <c r="J21" s="2769"/>
      <c r="K21" s="2769"/>
      <c r="L21" s="2769"/>
      <c r="M21" s="2658"/>
      <c r="N21" s="2769"/>
      <c r="O21" s="2769"/>
      <c r="P21" s="2769"/>
      <c r="Q21" s="2769"/>
      <c r="R21" s="2769"/>
      <c r="S21" s="2769"/>
      <c r="T21" s="2769"/>
      <c r="U21" s="2769"/>
      <c r="V21" s="2769"/>
      <c r="W21" s="2769"/>
      <c r="X21" s="2794"/>
      <c r="Y21" s="2769"/>
      <c r="Z21" s="2769"/>
      <c r="AA21" s="2795"/>
      <c r="AB21" s="2794"/>
      <c r="AC21" s="2769"/>
      <c r="AD21" s="2769"/>
      <c r="AE21" s="2769"/>
      <c r="AF21" s="2769"/>
      <c r="AG21" s="2769"/>
      <c r="AH21" s="2769"/>
      <c r="AI21" s="2769"/>
      <c r="AJ21" s="2769"/>
      <c r="AK21" s="2769"/>
      <c r="AL21" s="2769"/>
      <c r="AM21" s="2890"/>
      <c r="AN21" s="2889"/>
      <c r="AO21" s="2769"/>
      <c r="AP21" s="2769"/>
      <c r="AQ21" s="2769"/>
      <c r="AR21" s="2769"/>
      <c r="AS21" s="2769"/>
      <c r="AT21" s="2769"/>
      <c r="AU21" s="2769"/>
      <c r="AV21" s="2769"/>
      <c r="AW21" s="2769"/>
      <c r="AX21" s="2769"/>
      <c r="AY21" s="2769"/>
      <c r="AZ21" s="2769"/>
      <c r="BA21" s="2769"/>
      <c r="BB21" s="2769"/>
      <c r="BC21" s="2795"/>
      <c r="BD21" s="2769"/>
      <c r="BE21" s="2794"/>
      <c r="BF21" s="2890"/>
      <c r="BG21" s="2769"/>
      <c r="BH21" s="2769"/>
      <c r="BI21" s="2770"/>
      <c r="BJ21" s="2769"/>
    </row>
    <row r="22" spans="1:62" s="2703" customFormat="1" ht="13.9" customHeight="1">
      <c r="A22" s="2984"/>
      <c r="E22" s="349" t="s">
        <v>10</v>
      </c>
      <c r="F22" s="205" t="s">
        <v>231</v>
      </c>
      <c r="G22" s="347" t="s">
        <v>11</v>
      </c>
      <c r="H22" s="2930">
        <v>74.12</v>
      </c>
      <c r="I22" s="2694">
        <v>74.12</v>
      </c>
      <c r="J22" s="2701">
        <v>72.11</v>
      </c>
      <c r="K22" s="2698">
        <v>62.5</v>
      </c>
      <c r="L22" s="2701">
        <v>96.94</v>
      </c>
      <c r="M22" s="2701">
        <v>96.94</v>
      </c>
      <c r="N22" s="2701">
        <v>131.38999999999999</v>
      </c>
      <c r="O22" s="2701">
        <v>131.38999999999999</v>
      </c>
      <c r="P22" s="2701">
        <v>165.83</v>
      </c>
      <c r="Q22" s="2701">
        <v>165.83</v>
      </c>
      <c r="R22" s="2701">
        <v>84.93</v>
      </c>
      <c r="S22" s="2701">
        <v>119.38</v>
      </c>
      <c r="T22" s="2701">
        <v>119.38</v>
      </c>
      <c r="U22" s="2701">
        <v>153.82</v>
      </c>
      <c r="V22" s="2701">
        <v>133.41999999999999</v>
      </c>
      <c r="W22" s="2701">
        <v>133.41999999999999</v>
      </c>
      <c r="X22" s="2796">
        <v>78</v>
      </c>
      <c r="Y22" s="2739">
        <v>90</v>
      </c>
      <c r="Z22" s="2739">
        <v>102</v>
      </c>
      <c r="AA22" s="2797">
        <v>102</v>
      </c>
      <c r="AB22" s="2833">
        <v>120</v>
      </c>
      <c r="AC22" s="2705">
        <v>130</v>
      </c>
      <c r="AD22" s="2705">
        <v>150</v>
      </c>
      <c r="AE22" s="2705">
        <v>190</v>
      </c>
      <c r="AF22" s="2705">
        <v>240</v>
      </c>
      <c r="AG22" s="2705">
        <v>81</v>
      </c>
      <c r="AH22" s="2705">
        <v>100</v>
      </c>
      <c r="AI22" s="2705">
        <v>130</v>
      </c>
      <c r="AJ22" s="2705">
        <v>160</v>
      </c>
      <c r="AK22" s="2705">
        <v>200</v>
      </c>
      <c r="AL22" s="2705">
        <v>270</v>
      </c>
      <c r="AM22" s="2931">
        <v>320</v>
      </c>
      <c r="AN22" s="2891">
        <v>128.19</v>
      </c>
      <c r="AO22" s="2700">
        <v>152.19999999999999</v>
      </c>
      <c r="AP22" s="2700">
        <v>154.21</v>
      </c>
      <c r="AQ22" s="2700">
        <v>166.2</v>
      </c>
      <c r="AR22" s="2700">
        <v>178.2</v>
      </c>
      <c r="AS22" s="2700">
        <v>178.2</v>
      </c>
      <c r="AT22" s="2700">
        <v>202.3</v>
      </c>
      <c r="AU22" s="2700">
        <v>202.3</v>
      </c>
      <c r="AV22" s="2700">
        <v>228.3</v>
      </c>
      <c r="AW22" s="2700">
        <v>228.3</v>
      </c>
      <c r="AX22" s="2700">
        <v>252.32</v>
      </c>
      <c r="AY22" s="2700">
        <v>252.32</v>
      </c>
      <c r="AZ22" s="2739">
        <v>252.3</v>
      </c>
      <c r="BA22" s="2700">
        <v>278.39999999999998</v>
      </c>
      <c r="BB22" s="2700">
        <v>268.36</v>
      </c>
      <c r="BC22" s="2840">
        <v>276.3</v>
      </c>
      <c r="BD22" s="2744">
        <v>94.11</v>
      </c>
      <c r="BE22" s="2855">
        <v>257.5</v>
      </c>
      <c r="BF22" s="2892">
        <v>257.5</v>
      </c>
      <c r="BG22" s="2745">
        <v>200.59</v>
      </c>
      <c r="BH22" s="2746">
        <v>215.08</v>
      </c>
      <c r="BI22" s="2702">
        <v>27.03</v>
      </c>
      <c r="BJ22" s="2701"/>
    </row>
    <row r="23" spans="1:62" s="421" customFormat="1" ht="13.9" customHeight="1">
      <c r="A23" s="2962"/>
      <c r="E23" s="349" t="s">
        <v>120</v>
      </c>
      <c r="F23" s="205"/>
      <c r="G23" s="347"/>
      <c r="H23" s="2932" t="s">
        <v>1220</v>
      </c>
      <c r="I23" s="2601" t="s">
        <v>1220</v>
      </c>
      <c r="J23" s="2601" t="s">
        <v>1220</v>
      </c>
      <c r="K23" s="530" t="s">
        <v>1223</v>
      </c>
      <c r="L23" s="1631" t="s">
        <v>1223</v>
      </c>
      <c r="M23" s="1631" t="s">
        <v>1223</v>
      </c>
      <c r="N23" s="1631" t="s">
        <v>1223</v>
      </c>
      <c r="O23" s="1631" t="s">
        <v>1223</v>
      </c>
      <c r="P23" s="530" t="s">
        <v>1220</v>
      </c>
      <c r="Q23" s="530" t="s">
        <v>1220</v>
      </c>
      <c r="R23" s="1631" t="s">
        <v>1223</v>
      </c>
      <c r="S23" s="1631" t="s">
        <v>1223</v>
      </c>
      <c r="T23" s="1631" t="s">
        <v>1223</v>
      </c>
      <c r="U23" s="1631" t="s">
        <v>1223</v>
      </c>
      <c r="V23" s="530" t="s">
        <v>1220</v>
      </c>
      <c r="W23" s="530" t="s">
        <v>1220</v>
      </c>
      <c r="X23" s="4000" t="s">
        <v>337</v>
      </c>
      <c r="Y23" s="4001"/>
      <c r="Z23" s="4001"/>
      <c r="AA23" s="4002"/>
      <c r="AB23" s="4006" t="s">
        <v>1244</v>
      </c>
      <c r="AC23" s="4007"/>
      <c r="AD23" s="4007"/>
      <c r="AE23" s="4007"/>
      <c r="AF23" s="4007"/>
      <c r="AG23" s="4007"/>
      <c r="AH23" s="4007"/>
      <c r="AI23" s="4007"/>
      <c r="AJ23" s="4007"/>
      <c r="AK23" s="4007"/>
      <c r="AL23" s="4007"/>
      <c r="AM23" s="4008"/>
      <c r="AN23" s="3986" t="s">
        <v>1243</v>
      </c>
      <c r="AO23" s="3987"/>
      <c r="AP23" s="3987"/>
      <c r="AQ23" s="3987"/>
      <c r="AR23" s="3987"/>
      <c r="AS23" s="3987"/>
      <c r="AT23" s="3987"/>
      <c r="AU23" s="3987"/>
      <c r="AV23" s="3987"/>
      <c r="AW23" s="3987"/>
      <c r="AX23" s="3987"/>
      <c r="AY23" s="3987"/>
      <c r="AZ23" s="3987"/>
      <c r="BA23" s="3987"/>
      <c r="BB23" s="3987"/>
      <c r="BC23" s="3988"/>
      <c r="BD23" s="2623" t="s">
        <v>1220</v>
      </c>
      <c r="BE23" s="3978" t="s">
        <v>1247</v>
      </c>
      <c r="BF23" s="3979"/>
      <c r="BG23" s="2624"/>
      <c r="BH23" s="2625"/>
      <c r="BI23" s="533"/>
      <c r="BJ23" s="530"/>
    </row>
    <row r="24" spans="1:62" s="2730" customFormat="1" ht="13.9" customHeight="1">
      <c r="A24" s="2985"/>
      <c r="E24" s="2731" t="s">
        <v>32</v>
      </c>
      <c r="F24" s="2730" t="s">
        <v>33</v>
      </c>
      <c r="G24" s="2732" t="s">
        <v>256</v>
      </c>
      <c r="H24" s="2893">
        <f>0.01*(76/H22)^1/2</f>
        <v>5.1268213707501347E-3</v>
      </c>
      <c r="I24" s="2733">
        <f>0.01*(76/I22)^1/2</f>
        <v>5.1268213707501347E-3</v>
      </c>
      <c r="J24" s="2733">
        <f xml:space="preserve"> 0.01*(76/J22)^1/2</f>
        <v>5.2697268062682013E-3</v>
      </c>
      <c r="K24" s="2708">
        <f>0.0000106*1000</f>
        <v>1.06E-2</v>
      </c>
      <c r="L24" s="2708">
        <f>0.00000736*1000</f>
        <v>7.3600000000000002E-3</v>
      </c>
      <c r="M24" s="2708">
        <f>0.00000736*1000</f>
        <v>7.3600000000000002E-3</v>
      </c>
      <c r="N24" s="2708">
        <f>0.0000079*1000</f>
        <v>7.9000000000000008E-3</v>
      </c>
      <c r="O24" s="2708">
        <f>0.0000079*1000</f>
        <v>7.9000000000000008E-3</v>
      </c>
      <c r="P24" s="2708">
        <f>0.0000072*1000</f>
        <v>7.1999999999999998E-3</v>
      </c>
      <c r="Q24" s="2708">
        <f>0.0000072*1000</f>
        <v>7.1999999999999998E-3</v>
      </c>
      <c r="R24" s="2708">
        <f>1.02/10</f>
        <v>0.10200000000000001</v>
      </c>
      <c r="S24" s="2708">
        <f>1000*0.0000104</f>
        <v>1.04E-2</v>
      </c>
      <c r="T24" s="2708">
        <f>1000*0.0000104</f>
        <v>1.04E-2</v>
      </c>
      <c r="U24" s="2708">
        <f>1000*0.0000078</f>
        <v>7.7999999999999996E-3</v>
      </c>
      <c r="V24" s="2733">
        <f xml:space="preserve"> 0.01*(76/V22)^1/2</f>
        <v>2.8481487033428276E-3</v>
      </c>
      <c r="W24" s="2733">
        <f xml:space="preserve"> 0.01*(76/W22)^1/2</f>
        <v>2.8481487033428276E-3</v>
      </c>
      <c r="X24" s="2805">
        <f xml:space="preserve"> 0.0295 /3600*1000</f>
        <v>8.1944444444444452E-3</v>
      </c>
      <c r="Y24" s="2709">
        <f xml:space="preserve"> 0.0265 /3600*1000</f>
        <v>7.3611111111111108E-3</v>
      </c>
      <c r="Z24" s="2709">
        <f xml:space="preserve"> 0.0243 /3600*1000</f>
        <v>6.7499999999999999E-3</v>
      </c>
      <c r="AA24" s="2806">
        <f xml:space="preserve"> 0.0243 /3600*1000</f>
        <v>6.7499999999999999E-3</v>
      </c>
      <c r="AB24" s="2834">
        <f t="shared" ref="AB24:BC24" si="22" xml:space="preserve"> 0.01*(76/AB22)^1/2</f>
        <v>3.1666666666666666E-3</v>
      </c>
      <c r="AC24" s="2733">
        <f t="shared" si="22"/>
        <v>2.9230769230769232E-3</v>
      </c>
      <c r="AD24" s="2733">
        <f t="shared" si="22"/>
        <v>2.5333333333333336E-3</v>
      </c>
      <c r="AE24" s="2733">
        <f t="shared" si="22"/>
        <v>2E-3</v>
      </c>
      <c r="AF24" s="2733">
        <f t="shared" si="22"/>
        <v>1.5833333333333333E-3</v>
      </c>
      <c r="AG24" s="2733">
        <f t="shared" si="22"/>
        <v>4.691358024691358E-3</v>
      </c>
      <c r="AH24" s="2733">
        <f t="shared" si="22"/>
        <v>3.8E-3</v>
      </c>
      <c r="AI24" s="2733">
        <f t="shared" si="22"/>
        <v>2.9230769230769232E-3</v>
      </c>
      <c r="AJ24" s="2733">
        <f t="shared" si="22"/>
        <v>2.3749999999999999E-3</v>
      </c>
      <c r="AK24" s="2733">
        <f t="shared" si="22"/>
        <v>1.9E-3</v>
      </c>
      <c r="AL24" s="2733">
        <f t="shared" si="22"/>
        <v>1.4074074074074076E-3</v>
      </c>
      <c r="AM24" s="2906">
        <f t="shared" si="22"/>
        <v>1.1875E-3</v>
      </c>
      <c r="AN24" s="2893">
        <f t="shared" si="22"/>
        <v>2.9643497932756065E-3</v>
      </c>
      <c r="AO24" s="2733">
        <f t="shared" si="22"/>
        <v>2.4967148488830486E-3</v>
      </c>
      <c r="AP24" s="2733">
        <f t="shared" si="22"/>
        <v>2.4641722326697361E-3</v>
      </c>
      <c r="AQ24" s="2733">
        <f t="shared" si="22"/>
        <v>2.2864019253910953E-3</v>
      </c>
      <c r="AR24" s="2733">
        <f t="shared" si="22"/>
        <v>2.1324354657687992E-3</v>
      </c>
      <c r="AS24" s="2735">
        <f t="shared" si="22"/>
        <v>2.1324354657687992E-3</v>
      </c>
      <c r="AT24" s="2735">
        <f t="shared" si="22"/>
        <v>1.8783984181908056E-3</v>
      </c>
      <c r="AU24" s="2735">
        <f t="shared" si="22"/>
        <v>1.8783984181908056E-3</v>
      </c>
      <c r="AV24" s="2735">
        <f t="shared" si="22"/>
        <v>1.6644765659220323E-3</v>
      </c>
      <c r="AW24" s="2735">
        <f t="shared" si="22"/>
        <v>1.6644765659220323E-3</v>
      </c>
      <c r="AX24" s="2735">
        <f t="shared" si="22"/>
        <v>1.5060240963855422E-3</v>
      </c>
      <c r="AY24" s="2735">
        <f t="shared" si="22"/>
        <v>1.5060240963855422E-3</v>
      </c>
      <c r="AZ24" s="2735">
        <f t="shared" si="22"/>
        <v>1.5061434799841459E-3</v>
      </c>
      <c r="BA24" s="2735">
        <f t="shared" si="22"/>
        <v>1.3649425287356324E-3</v>
      </c>
      <c r="BB24" s="2735">
        <f t="shared" si="22"/>
        <v>1.4160083469965717E-3</v>
      </c>
      <c r="BC24" s="2835">
        <f t="shared" si="22"/>
        <v>1.375316684762939E-3</v>
      </c>
      <c r="BD24" s="2736">
        <v>8.2000000000000007E-3</v>
      </c>
      <c r="BE24" s="2856">
        <f xml:space="preserve"> 0.01*(76/BE22)^1/2</f>
        <v>1.4757281553398058E-3</v>
      </c>
      <c r="BF24" s="2894">
        <f xml:space="preserve"> 0.01*(76/BF22)^1/2</f>
        <v>1.4757281553398058E-3</v>
      </c>
      <c r="BG24" s="2737">
        <v>3.0699999999999998E-3</v>
      </c>
      <c r="BH24" s="2735">
        <v>5.4000000000000003E-3</v>
      </c>
      <c r="BI24" s="2738">
        <v>1.6799999999999999E-2</v>
      </c>
      <c r="BJ24" s="2733"/>
    </row>
    <row r="25" spans="1:62" s="205" customFormat="1">
      <c r="A25" s="2986"/>
      <c r="E25" s="208" t="s">
        <v>1221</v>
      </c>
      <c r="F25" s="205" t="s">
        <v>351</v>
      </c>
      <c r="G25" s="347" t="s">
        <v>1218</v>
      </c>
      <c r="H25" s="2932" t="s">
        <v>511</v>
      </c>
      <c r="I25" s="2601" t="s">
        <v>511</v>
      </c>
      <c r="J25" s="2601" t="s">
        <v>511</v>
      </c>
      <c r="K25" s="2601">
        <v>25</v>
      </c>
      <c r="L25" s="2601" t="s">
        <v>511</v>
      </c>
      <c r="M25" s="2601" t="s">
        <v>511</v>
      </c>
      <c r="N25" s="2601">
        <v>25</v>
      </c>
      <c r="O25" s="2601">
        <v>25</v>
      </c>
      <c r="P25" s="2601">
        <v>25</v>
      </c>
      <c r="Q25" s="2601">
        <v>25</v>
      </c>
      <c r="R25" s="2601" t="s">
        <v>511</v>
      </c>
      <c r="S25" s="2601">
        <v>25</v>
      </c>
      <c r="T25" s="2601">
        <v>25</v>
      </c>
      <c r="U25" s="2601" t="s">
        <v>511</v>
      </c>
      <c r="V25" s="2601" t="s">
        <v>511</v>
      </c>
      <c r="W25" s="2601" t="s">
        <v>511</v>
      </c>
      <c r="X25" s="3995" t="s">
        <v>511</v>
      </c>
      <c r="Y25" s="3996"/>
      <c r="Z25" s="3996"/>
      <c r="AA25" s="3997"/>
      <c r="AB25" s="3998" t="s">
        <v>511</v>
      </c>
      <c r="AC25" s="3990"/>
      <c r="AD25" s="3990"/>
      <c r="AE25" s="3990"/>
      <c r="AF25" s="3990"/>
      <c r="AG25" s="3990"/>
      <c r="AH25" s="3990"/>
      <c r="AI25" s="3990"/>
      <c r="AJ25" s="3990"/>
      <c r="AK25" s="3990"/>
      <c r="AL25" s="3990"/>
      <c r="AM25" s="3999"/>
      <c r="AN25" s="3989" t="s">
        <v>511</v>
      </c>
      <c r="AO25" s="3990"/>
      <c r="AP25" s="3990"/>
      <c r="AQ25" s="3990"/>
      <c r="AR25" s="3990"/>
      <c r="AS25" s="3990"/>
      <c r="AT25" s="3990"/>
      <c r="AU25" s="3990"/>
      <c r="AV25" s="3990"/>
      <c r="AW25" s="3990"/>
      <c r="AX25" s="3990"/>
      <c r="AY25" s="3990"/>
      <c r="AZ25" s="3990"/>
      <c r="BA25" s="3990"/>
      <c r="BB25" s="3990"/>
      <c r="BC25" s="3991"/>
      <c r="BD25" s="2740" t="s">
        <v>511</v>
      </c>
      <c r="BE25" s="3982" t="s">
        <v>511</v>
      </c>
      <c r="BF25" s="3983"/>
      <c r="BG25" s="2741"/>
      <c r="BH25" s="2741"/>
      <c r="BI25" s="2742"/>
      <c r="BJ25" s="2601"/>
    </row>
    <row r="26" spans="1:62" s="721" customFormat="1" ht="13.5" customHeight="1">
      <c r="A26" s="2987"/>
      <c r="E26" s="2714" t="s">
        <v>120</v>
      </c>
      <c r="G26" s="2597"/>
      <c r="H26" s="2933" t="s">
        <v>1224</v>
      </c>
      <c r="I26" s="2548" t="s">
        <v>1224</v>
      </c>
      <c r="J26" s="2548" t="s">
        <v>1224</v>
      </c>
      <c r="K26" s="1631" t="s">
        <v>1223</v>
      </c>
      <c r="L26" s="1631" t="s">
        <v>1223</v>
      </c>
      <c r="M26" s="1631" t="s">
        <v>1223</v>
      </c>
      <c r="N26" s="1631" t="s">
        <v>1223</v>
      </c>
      <c r="O26" s="1631" t="s">
        <v>1223</v>
      </c>
      <c r="P26" s="1631" t="s">
        <v>1223</v>
      </c>
      <c r="Q26" s="1631" t="s">
        <v>1223</v>
      </c>
      <c r="R26" s="1631" t="s">
        <v>1223</v>
      </c>
      <c r="S26" s="1631" t="s">
        <v>1223</v>
      </c>
      <c r="T26" s="1631" t="s">
        <v>1223</v>
      </c>
      <c r="U26" s="1631" t="s">
        <v>1223</v>
      </c>
      <c r="V26" s="2548" t="s">
        <v>1224</v>
      </c>
      <c r="W26" s="2548" t="s">
        <v>1224</v>
      </c>
      <c r="X26" s="4000" t="s">
        <v>337</v>
      </c>
      <c r="Y26" s="4001"/>
      <c r="Z26" s="4001"/>
      <c r="AA26" s="4002"/>
      <c r="AB26" s="4006" t="s">
        <v>1224</v>
      </c>
      <c r="AC26" s="4007"/>
      <c r="AD26" s="4007"/>
      <c r="AE26" s="4007"/>
      <c r="AF26" s="4007"/>
      <c r="AG26" s="4007"/>
      <c r="AH26" s="4007"/>
      <c r="AI26" s="4007"/>
      <c r="AJ26" s="4007"/>
      <c r="AK26" s="4007"/>
      <c r="AL26" s="4007"/>
      <c r="AM26" s="4008"/>
      <c r="AN26" s="3992" t="s">
        <v>1224</v>
      </c>
      <c r="AO26" s="3993"/>
      <c r="AP26" s="3993"/>
      <c r="AQ26" s="3993"/>
      <c r="AR26" s="3993"/>
      <c r="AS26" s="3993"/>
      <c r="AT26" s="3993"/>
      <c r="AU26" s="3993"/>
      <c r="AV26" s="3993"/>
      <c r="AW26" s="3993"/>
      <c r="AX26" s="3993"/>
      <c r="AY26" s="3993"/>
      <c r="AZ26" s="3993"/>
      <c r="BA26" s="3993"/>
      <c r="BB26" s="3993"/>
      <c r="BC26" s="3994"/>
      <c r="BD26" s="2716" t="s">
        <v>1223</v>
      </c>
      <c r="BE26" s="3984" t="s">
        <v>1224</v>
      </c>
      <c r="BF26" s="3985"/>
      <c r="BG26" s="2717"/>
      <c r="BH26" s="2717"/>
      <c r="BI26" s="2718"/>
      <c r="BJ26" s="2548"/>
    </row>
    <row r="27" spans="1:62" s="207" customFormat="1" ht="13.9" customHeight="1">
      <c r="A27" s="2963"/>
      <c r="E27" s="520" t="s">
        <v>236</v>
      </c>
      <c r="F27" s="207" t="s">
        <v>237</v>
      </c>
      <c r="G27" s="348" t="s">
        <v>256</v>
      </c>
      <c r="H27" s="1628">
        <f>H24/10000</f>
        <v>5.1268213707501343E-7</v>
      </c>
      <c r="I27" s="1629">
        <f>I24/10000</f>
        <v>5.1268213707501343E-7</v>
      </c>
      <c r="J27" s="1629">
        <f>J24/10000</f>
        <v>5.2697268062682015E-7</v>
      </c>
      <c r="K27" s="1629">
        <f>1000*0.00000000012</f>
        <v>1.1999999999999999E-7</v>
      </c>
      <c r="L27" s="2708">
        <f>1000*0.00000000113</f>
        <v>1.13E-6</v>
      </c>
      <c r="M27" s="2708">
        <f>1000*0.00000000113</f>
        <v>1.13E-6</v>
      </c>
      <c r="N27" s="2637">
        <f>1000*0.00000000091</f>
        <v>9.0999999999999997E-7</v>
      </c>
      <c r="O27" s="2637">
        <f>1000*0.00000000091</f>
        <v>9.0999999999999997E-7</v>
      </c>
      <c r="P27" s="2637">
        <f>1000*0.00000000082</f>
        <v>8.1999999999999998E-7</v>
      </c>
      <c r="Q27" s="2637">
        <f>1000*0.00000000082</f>
        <v>8.1999999999999998E-7</v>
      </c>
      <c r="R27" s="2637">
        <f>0.0000064/10</f>
        <v>6.4000000000000001E-7</v>
      </c>
      <c r="S27" s="2637">
        <f>1000*0.000000001</f>
        <v>1.0000000000000002E-6</v>
      </c>
      <c r="T27" s="2637">
        <f>1000*0.000000001</f>
        <v>1.0000000000000002E-6</v>
      </c>
      <c r="U27" s="2637">
        <f>1000*0.00000000088</f>
        <v>8.7999999999999994E-7</v>
      </c>
      <c r="V27" s="1629">
        <f>V24/10000</f>
        <v>2.8481487033428277E-7</v>
      </c>
      <c r="W27" s="1629">
        <f>W24/10000</f>
        <v>2.8481487033428277E-7</v>
      </c>
      <c r="X27" s="2785">
        <f t="shared" ref="X27:BC27" si="23">X24/10000</f>
        <v>8.1944444444444455E-7</v>
      </c>
      <c r="Y27" s="1629">
        <f t="shared" si="23"/>
        <v>7.3611111111111103E-7</v>
      </c>
      <c r="Z27" s="1629">
        <f t="shared" si="23"/>
        <v>6.75E-7</v>
      </c>
      <c r="AA27" s="2787">
        <f t="shared" si="23"/>
        <v>6.75E-7</v>
      </c>
      <c r="AB27" s="2785">
        <f t="shared" si="23"/>
        <v>3.1666666666666667E-7</v>
      </c>
      <c r="AC27" s="1629">
        <f t="shared" si="23"/>
        <v>2.9230769230769234E-7</v>
      </c>
      <c r="AD27" s="1629">
        <f t="shared" si="23"/>
        <v>2.5333333333333338E-7</v>
      </c>
      <c r="AE27" s="1629">
        <f t="shared" si="23"/>
        <v>1.9999999999999999E-7</v>
      </c>
      <c r="AF27" s="1629">
        <f t="shared" si="23"/>
        <v>1.5833333333333333E-7</v>
      </c>
      <c r="AG27" s="1629">
        <f t="shared" si="23"/>
        <v>4.6913580246913581E-7</v>
      </c>
      <c r="AH27" s="1629">
        <f t="shared" si="23"/>
        <v>3.8000000000000001E-7</v>
      </c>
      <c r="AI27" s="1629">
        <f t="shared" si="23"/>
        <v>2.9230769230769234E-7</v>
      </c>
      <c r="AJ27" s="1629">
        <f t="shared" si="23"/>
        <v>2.375E-7</v>
      </c>
      <c r="AK27" s="1629">
        <f t="shared" si="23"/>
        <v>1.9000000000000001E-7</v>
      </c>
      <c r="AL27" s="1629">
        <f t="shared" si="23"/>
        <v>1.4074074074074075E-7</v>
      </c>
      <c r="AM27" s="1630">
        <f t="shared" si="23"/>
        <v>1.1875E-7</v>
      </c>
      <c r="AN27" s="1628">
        <f t="shared" si="23"/>
        <v>2.9643497932756063E-7</v>
      </c>
      <c r="AO27" s="1629">
        <f t="shared" si="23"/>
        <v>2.4967148488830486E-7</v>
      </c>
      <c r="AP27" s="1629">
        <f t="shared" si="23"/>
        <v>2.4641722326697361E-7</v>
      </c>
      <c r="AQ27" s="1629">
        <f t="shared" si="23"/>
        <v>2.2864019253910952E-7</v>
      </c>
      <c r="AR27" s="1629">
        <f t="shared" si="23"/>
        <v>2.1324354657687991E-7</v>
      </c>
      <c r="AS27" s="2598">
        <f t="shared" si="23"/>
        <v>2.1324354657687991E-7</v>
      </c>
      <c r="AT27" s="2598">
        <f t="shared" si="23"/>
        <v>1.8783984181908057E-7</v>
      </c>
      <c r="AU27" s="2598">
        <f t="shared" si="23"/>
        <v>1.8783984181908057E-7</v>
      </c>
      <c r="AV27" s="2598">
        <f t="shared" si="23"/>
        <v>1.6644765659220322E-7</v>
      </c>
      <c r="AW27" s="2598">
        <f t="shared" si="23"/>
        <v>1.6644765659220322E-7</v>
      </c>
      <c r="AX27" s="2598">
        <f t="shared" si="23"/>
        <v>1.5060240963855423E-7</v>
      </c>
      <c r="AY27" s="2598">
        <f t="shared" si="23"/>
        <v>1.5060240963855423E-7</v>
      </c>
      <c r="AZ27" s="2598">
        <f t="shared" si="23"/>
        <v>1.5061434799841459E-7</v>
      </c>
      <c r="BA27" s="2598">
        <f t="shared" si="23"/>
        <v>1.3649425287356323E-7</v>
      </c>
      <c r="BB27" s="2598">
        <f t="shared" si="23"/>
        <v>1.4160083469965716E-7</v>
      </c>
      <c r="BC27" s="2787">
        <f t="shared" si="23"/>
        <v>1.3753166847629391E-7</v>
      </c>
      <c r="BD27" s="2626">
        <v>8.8000000000000004E-7</v>
      </c>
      <c r="BE27" s="2857">
        <f>BE24/10000</f>
        <v>1.4757281553398059E-7</v>
      </c>
      <c r="BF27" s="2895">
        <f>BF24/10000</f>
        <v>1.4757281553398059E-7</v>
      </c>
      <c r="BG27" s="2627">
        <v>6.3E-7</v>
      </c>
      <c r="BH27" s="2598">
        <f>BH24/10000</f>
        <v>5.4000000000000002E-7</v>
      </c>
      <c r="BI27" s="534">
        <v>1.68E-6</v>
      </c>
      <c r="BJ27" s="1629"/>
    </row>
    <row r="28" spans="1:62" s="205" customFormat="1">
      <c r="A28" s="2986"/>
      <c r="E28" s="208" t="s">
        <v>1221</v>
      </c>
      <c r="F28" s="205" t="s">
        <v>351</v>
      </c>
      <c r="G28" s="347" t="s">
        <v>1218</v>
      </c>
      <c r="H28" s="2932" t="s">
        <v>511</v>
      </c>
      <c r="I28" s="2601" t="s">
        <v>511</v>
      </c>
      <c r="J28" s="2601" t="s">
        <v>511</v>
      </c>
      <c r="K28" s="2601">
        <v>25</v>
      </c>
      <c r="L28" s="2601" t="s">
        <v>511</v>
      </c>
      <c r="M28" s="2601" t="s">
        <v>511</v>
      </c>
      <c r="N28" s="2601">
        <v>25</v>
      </c>
      <c r="O28" s="2601">
        <v>25</v>
      </c>
      <c r="P28" s="2601">
        <v>25</v>
      </c>
      <c r="Q28" s="2601">
        <v>25</v>
      </c>
      <c r="R28" s="2601" t="s">
        <v>511</v>
      </c>
      <c r="S28" s="2601">
        <v>25</v>
      </c>
      <c r="T28" s="2601">
        <v>25</v>
      </c>
      <c r="U28" s="2601" t="s">
        <v>511</v>
      </c>
      <c r="V28" s="2601" t="s">
        <v>511</v>
      </c>
      <c r="W28" s="2601" t="s">
        <v>511</v>
      </c>
      <c r="X28" s="3995" t="s">
        <v>511</v>
      </c>
      <c r="Y28" s="3996"/>
      <c r="Z28" s="3996"/>
      <c r="AA28" s="3997"/>
      <c r="AB28" s="3998" t="s">
        <v>511</v>
      </c>
      <c r="AC28" s="3990"/>
      <c r="AD28" s="3990"/>
      <c r="AE28" s="3990"/>
      <c r="AF28" s="3990"/>
      <c r="AG28" s="3990"/>
      <c r="AH28" s="3990"/>
      <c r="AI28" s="3990"/>
      <c r="AJ28" s="3990"/>
      <c r="AK28" s="3990"/>
      <c r="AL28" s="3990"/>
      <c r="AM28" s="3999"/>
      <c r="AN28" s="3989" t="s">
        <v>511</v>
      </c>
      <c r="AO28" s="3990"/>
      <c r="AP28" s="3990"/>
      <c r="AQ28" s="3990"/>
      <c r="AR28" s="3990"/>
      <c r="AS28" s="3990"/>
      <c r="AT28" s="3990"/>
      <c r="AU28" s="3990"/>
      <c r="AV28" s="3990"/>
      <c r="AW28" s="3990"/>
      <c r="AX28" s="3990"/>
      <c r="AY28" s="3990"/>
      <c r="AZ28" s="3990"/>
      <c r="BA28" s="3990"/>
      <c r="BB28" s="3990"/>
      <c r="BC28" s="3991"/>
      <c r="BD28" s="2740" t="s">
        <v>511</v>
      </c>
      <c r="BE28" s="3982" t="s">
        <v>511</v>
      </c>
      <c r="BF28" s="3983"/>
      <c r="BG28" s="2741"/>
      <c r="BH28" s="2741"/>
      <c r="BI28" s="2742"/>
      <c r="BJ28" s="2601"/>
    </row>
    <row r="29" spans="1:62" s="207" customFormat="1" ht="12.75" customHeight="1">
      <c r="A29" s="2963"/>
      <c r="E29" s="349" t="s">
        <v>120</v>
      </c>
      <c r="G29" s="348"/>
      <c r="H29" s="1628" t="s">
        <v>1225</v>
      </c>
      <c r="I29" s="1629" t="s">
        <v>1225</v>
      </c>
      <c r="J29" s="1629" t="s">
        <v>1225</v>
      </c>
      <c r="K29" s="530" t="s">
        <v>1223</v>
      </c>
      <c r="L29" s="1631" t="s">
        <v>1223</v>
      </c>
      <c r="M29" s="1631" t="s">
        <v>1223</v>
      </c>
      <c r="N29" s="1631" t="s">
        <v>1223</v>
      </c>
      <c r="O29" s="1631" t="s">
        <v>1223</v>
      </c>
      <c r="P29" s="1631" t="s">
        <v>1223</v>
      </c>
      <c r="Q29" s="1631" t="s">
        <v>1223</v>
      </c>
      <c r="R29" s="1631" t="s">
        <v>1223</v>
      </c>
      <c r="S29" s="1631" t="s">
        <v>1223</v>
      </c>
      <c r="T29" s="1631" t="s">
        <v>1223</v>
      </c>
      <c r="U29" s="1631" t="s">
        <v>1223</v>
      </c>
      <c r="V29" s="1629" t="s">
        <v>1225</v>
      </c>
      <c r="W29" s="1629" t="s">
        <v>1225</v>
      </c>
      <c r="X29" s="4000" t="s">
        <v>1225</v>
      </c>
      <c r="Y29" s="4001"/>
      <c r="Z29" s="4001"/>
      <c r="AA29" s="4002"/>
      <c r="AB29" s="4006" t="s">
        <v>1225</v>
      </c>
      <c r="AC29" s="4007"/>
      <c r="AD29" s="4007"/>
      <c r="AE29" s="4007"/>
      <c r="AF29" s="4007"/>
      <c r="AG29" s="4007"/>
      <c r="AH29" s="4007"/>
      <c r="AI29" s="4007"/>
      <c r="AJ29" s="4007"/>
      <c r="AK29" s="4007"/>
      <c r="AL29" s="4007"/>
      <c r="AM29" s="4008"/>
      <c r="AN29" s="3992" t="s">
        <v>1225</v>
      </c>
      <c r="AO29" s="3993"/>
      <c r="AP29" s="3993"/>
      <c r="AQ29" s="3993"/>
      <c r="AR29" s="3993"/>
      <c r="AS29" s="3993"/>
      <c r="AT29" s="3993"/>
      <c r="AU29" s="3993"/>
      <c r="AV29" s="3993"/>
      <c r="AW29" s="3993"/>
      <c r="AX29" s="3993"/>
      <c r="AY29" s="3993"/>
      <c r="AZ29" s="3993"/>
      <c r="BA29" s="3993"/>
      <c r="BB29" s="3993"/>
      <c r="BC29" s="3994"/>
      <c r="BD29" s="2716" t="s">
        <v>1223</v>
      </c>
      <c r="BE29" s="3984" t="s">
        <v>1225</v>
      </c>
      <c r="BF29" s="3985"/>
      <c r="BG29" s="2627"/>
      <c r="BH29" s="2627"/>
      <c r="BI29" s="535"/>
      <c r="BJ29" s="1629"/>
    </row>
    <row r="30" spans="1:62" s="2721" customFormat="1" ht="15.6" customHeight="1">
      <c r="A30" s="2988"/>
      <c r="E30" s="2748" t="s">
        <v>34</v>
      </c>
      <c r="F30" s="2749" t="s">
        <v>31</v>
      </c>
      <c r="G30" s="2750" t="s">
        <v>35</v>
      </c>
      <c r="H30" s="2934">
        <v>0.88</v>
      </c>
      <c r="I30" s="2722">
        <v>0.88</v>
      </c>
      <c r="J30" s="2722">
        <v>0.28999999999999998</v>
      </c>
      <c r="K30" s="2722">
        <v>1.4</v>
      </c>
      <c r="L30" s="2722">
        <v>1.86</v>
      </c>
      <c r="M30" s="2722">
        <v>1.86</v>
      </c>
      <c r="N30" s="2722">
        <v>2.38</v>
      </c>
      <c r="O30" s="2722">
        <v>2.38</v>
      </c>
      <c r="P30" s="2722">
        <v>2.67</v>
      </c>
      <c r="Q30" s="2722">
        <v>2.67</v>
      </c>
      <c r="R30" s="2722">
        <v>1.25</v>
      </c>
      <c r="S30" s="2722">
        <v>1.97</v>
      </c>
      <c r="T30" s="2722">
        <v>1.97</v>
      </c>
      <c r="U30" s="2722">
        <v>2.67</v>
      </c>
      <c r="V30" s="2722">
        <v>2.4900000000000002</v>
      </c>
      <c r="W30" s="2722">
        <v>2.4900000000000002</v>
      </c>
      <c r="X30" s="2801">
        <v>2.13</v>
      </c>
      <c r="Y30" s="2723">
        <v>2.69</v>
      </c>
      <c r="Z30" s="2723">
        <v>3.15</v>
      </c>
      <c r="AA30" s="2802">
        <v>3.2</v>
      </c>
      <c r="AB30" s="3998" t="s">
        <v>511</v>
      </c>
      <c r="AC30" s="3990"/>
      <c r="AD30" s="3990"/>
      <c r="AE30" s="3990"/>
      <c r="AF30" s="3990"/>
      <c r="AG30" s="3990"/>
      <c r="AH30" s="3990"/>
      <c r="AI30" s="3990"/>
      <c r="AJ30" s="3990"/>
      <c r="AK30" s="3990"/>
      <c r="AL30" s="3990"/>
      <c r="AM30" s="3999"/>
      <c r="AN30" s="2896">
        <v>3.36</v>
      </c>
      <c r="AO30" s="2724">
        <v>4</v>
      </c>
      <c r="AP30" s="2724">
        <v>3.92</v>
      </c>
      <c r="AQ30" s="2724">
        <v>4.18</v>
      </c>
      <c r="AR30" s="2724">
        <v>4.57</v>
      </c>
      <c r="AS30" s="2724">
        <v>4.54</v>
      </c>
      <c r="AT30" s="2724">
        <v>5.22</v>
      </c>
      <c r="AU30" s="2724">
        <v>5.18</v>
      </c>
      <c r="AV30" s="2724">
        <v>5.91</v>
      </c>
      <c r="AW30" s="2724">
        <v>5.79</v>
      </c>
      <c r="AX30" s="2724">
        <v>5.8</v>
      </c>
      <c r="AY30" s="2724">
        <v>6</v>
      </c>
      <c r="AZ30" s="2723">
        <v>6.35</v>
      </c>
      <c r="BA30" s="2724">
        <v>6.75</v>
      </c>
      <c r="BB30" s="2724">
        <v>6.5</v>
      </c>
      <c r="BC30" s="2841">
        <v>7</v>
      </c>
      <c r="BD30" s="2725">
        <v>1.47</v>
      </c>
      <c r="BE30" s="2858">
        <v>5.6</v>
      </c>
      <c r="BF30" s="2897">
        <v>5.6</v>
      </c>
      <c r="BG30" s="2727"/>
      <c r="BH30" s="2728">
        <v>0.41</v>
      </c>
      <c r="BI30" s="2729">
        <v>1.07</v>
      </c>
      <c r="BJ30" s="2726"/>
    </row>
    <row r="31" spans="1:62" s="205" customFormat="1">
      <c r="A31" s="2986"/>
      <c r="E31" s="208" t="s">
        <v>1221</v>
      </c>
      <c r="F31" s="205" t="s">
        <v>351</v>
      </c>
      <c r="G31" s="347" t="s">
        <v>1218</v>
      </c>
      <c r="H31" s="2932" t="s">
        <v>511</v>
      </c>
      <c r="I31" s="2601" t="s">
        <v>511</v>
      </c>
      <c r="J31" s="2601" t="s">
        <v>511</v>
      </c>
      <c r="K31" s="2601" t="s">
        <v>511</v>
      </c>
      <c r="L31" s="2601" t="s">
        <v>511</v>
      </c>
      <c r="M31" s="2601" t="s">
        <v>511</v>
      </c>
      <c r="N31" s="2601" t="s">
        <v>511</v>
      </c>
      <c r="O31" s="2601" t="s">
        <v>511</v>
      </c>
      <c r="P31" s="2601" t="s">
        <v>511</v>
      </c>
      <c r="Q31" s="2601" t="s">
        <v>511</v>
      </c>
      <c r="R31" s="2601" t="s">
        <v>511</v>
      </c>
      <c r="S31" s="2601" t="s">
        <v>511</v>
      </c>
      <c r="T31" s="2601" t="s">
        <v>511</v>
      </c>
      <c r="U31" s="2601" t="s">
        <v>511</v>
      </c>
      <c r="V31" s="2601" t="s">
        <v>511</v>
      </c>
      <c r="W31" s="2601" t="s">
        <v>511</v>
      </c>
      <c r="X31" s="3995" t="s">
        <v>511</v>
      </c>
      <c r="Y31" s="3996"/>
      <c r="Z31" s="3996"/>
      <c r="AA31" s="3997"/>
      <c r="AB31" s="2798"/>
      <c r="AC31" s="418"/>
      <c r="AD31" s="418"/>
      <c r="AE31" s="418"/>
      <c r="AF31" s="418"/>
      <c r="AG31" s="418"/>
      <c r="AH31" s="418"/>
      <c r="AI31" s="418"/>
      <c r="AJ31" s="418"/>
      <c r="AK31" s="418"/>
      <c r="AL31" s="418"/>
      <c r="AM31" s="2935"/>
      <c r="AN31" s="3989" t="s">
        <v>511</v>
      </c>
      <c r="AO31" s="3990"/>
      <c r="AP31" s="3990"/>
      <c r="AQ31" s="3990"/>
      <c r="AR31" s="3990"/>
      <c r="AS31" s="3990"/>
      <c r="AT31" s="3990"/>
      <c r="AU31" s="3990"/>
      <c r="AV31" s="3990"/>
      <c r="AW31" s="3990"/>
      <c r="AX31" s="3990"/>
      <c r="AY31" s="3990"/>
      <c r="AZ31" s="3990"/>
      <c r="BA31" s="3990"/>
      <c r="BB31" s="3990"/>
      <c r="BC31" s="3991"/>
      <c r="BD31" s="2740" t="s">
        <v>511</v>
      </c>
      <c r="BE31" s="3982" t="s">
        <v>511</v>
      </c>
      <c r="BF31" s="3983"/>
      <c r="BG31" s="2743"/>
      <c r="BH31" s="2741"/>
      <c r="BI31" s="2742"/>
      <c r="BJ31" s="2601"/>
    </row>
    <row r="32" spans="1:62" s="721" customFormat="1" ht="12.75" customHeight="1">
      <c r="A32" s="2987"/>
      <c r="E32" s="2714" t="s">
        <v>120</v>
      </c>
      <c r="G32" s="2597"/>
      <c r="H32" s="2933" t="s">
        <v>1220</v>
      </c>
      <c r="I32" s="2548" t="s">
        <v>1220</v>
      </c>
      <c r="J32" s="2548" t="s">
        <v>1220</v>
      </c>
      <c r="K32" s="1631" t="s">
        <v>1223</v>
      </c>
      <c r="L32" s="1631" t="s">
        <v>1223</v>
      </c>
      <c r="M32" s="1631" t="s">
        <v>1223</v>
      </c>
      <c r="N32" s="1631" t="s">
        <v>1223</v>
      </c>
      <c r="O32" s="1631" t="s">
        <v>1223</v>
      </c>
      <c r="P32" s="1631" t="s">
        <v>1223</v>
      </c>
      <c r="Q32" s="1631" t="s">
        <v>1223</v>
      </c>
      <c r="R32" s="1631" t="s">
        <v>1223</v>
      </c>
      <c r="S32" s="1631" t="s">
        <v>1223</v>
      </c>
      <c r="T32" s="1631" t="s">
        <v>1223</v>
      </c>
      <c r="U32" s="1631" t="s">
        <v>1223</v>
      </c>
      <c r="V32" s="2548" t="s">
        <v>1220</v>
      </c>
      <c r="W32" s="2548" t="s">
        <v>1220</v>
      </c>
      <c r="X32" s="4000" t="s">
        <v>337</v>
      </c>
      <c r="Y32" s="4001"/>
      <c r="Z32" s="4001"/>
      <c r="AA32" s="4002"/>
      <c r="AB32" s="4006" t="s">
        <v>1243</v>
      </c>
      <c r="AC32" s="4007"/>
      <c r="AD32" s="4007"/>
      <c r="AE32" s="4007"/>
      <c r="AF32" s="4007"/>
      <c r="AG32" s="4007"/>
      <c r="AH32" s="4007"/>
      <c r="AI32" s="4007"/>
      <c r="AJ32" s="4007"/>
      <c r="AK32" s="4007"/>
      <c r="AL32" s="4007"/>
      <c r="AM32" s="4008"/>
      <c r="AN32" s="3992" t="s">
        <v>1243</v>
      </c>
      <c r="AO32" s="3993"/>
      <c r="AP32" s="3993"/>
      <c r="AQ32" s="3993"/>
      <c r="AR32" s="3993"/>
      <c r="AS32" s="3993"/>
      <c r="AT32" s="3993"/>
      <c r="AU32" s="3993"/>
      <c r="AV32" s="3993"/>
      <c r="AW32" s="3993"/>
      <c r="AX32" s="3993"/>
      <c r="AY32" s="3993"/>
      <c r="AZ32" s="3993"/>
      <c r="BA32" s="3993"/>
      <c r="BB32" s="3993"/>
      <c r="BC32" s="3994"/>
      <c r="BD32" s="2685" t="s">
        <v>1223</v>
      </c>
      <c r="BE32" s="3980" t="s">
        <v>559</v>
      </c>
      <c r="BF32" s="3981"/>
      <c r="BG32" s="642"/>
      <c r="BH32" s="2717"/>
      <c r="BI32" s="2718"/>
      <c r="BJ32" s="2548"/>
    </row>
    <row r="33" spans="1:62" s="207" customFormat="1" ht="25.5">
      <c r="A33" s="2963"/>
      <c r="E33" s="2631" t="s">
        <v>1214</v>
      </c>
      <c r="F33" s="2" t="s">
        <v>36</v>
      </c>
      <c r="G33" s="536" t="s">
        <v>37</v>
      </c>
      <c r="H33" s="1628">
        <f t="shared" ref="H33" si="24">0.411*10^H30</f>
        <v>3.117753833369945</v>
      </c>
      <c r="I33" s="1629">
        <f t="shared" ref="I33" si="25">0.411*10^I30</f>
        <v>3.117753833369945</v>
      </c>
      <c r="J33" s="1629">
        <f t="shared" ref="J33" si="26">0.411*10^J30</f>
        <v>0.80138613050055663</v>
      </c>
      <c r="K33" s="522">
        <f t="shared" ref="K33" si="27">0.411*10^K30</f>
        <v>10.323853233504373</v>
      </c>
      <c r="L33" s="1629">
        <f t="shared" ref="L33:M33" si="28">0.411*10^L30</f>
        <v>29.774317959082115</v>
      </c>
      <c r="M33" s="1629">
        <f t="shared" si="28"/>
        <v>29.774317959082115</v>
      </c>
      <c r="N33" s="1629">
        <f t="shared" ref="N33:O33" si="29">0.411*10^N30</f>
        <v>98.592032971701087</v>
      </c>
      <c r="O33" s="1629">
        <f t="shared" si="29"/>
        <v>98.592032971701087</v>
      </c>
      <c r="P33" s="1629">
        <f t="shared" ref="P33:Q33" si="30">0.411*10^P30</f>
        <v>192.23914306903851</v>
      </c>
      <c r="Q33" s="1629">
        <f t="shared" si="30"/>
        <v>192.23914306903851</v>
      </c>
      <c r="R33" s="1629">
        <f t="shared" ref="R33" si="31">0.411*10^R30</f>
        <v>7.3087283752599754</v>
      </c>
      <c r="S33" s="1629">
        <f t="shared" ref="S33:T33" si="32">0.411*10^S30</f>
        <v>38.35675176275636</v>
      </c>
      <c r="T33" s="1629">
        <f t="shared" si="32"/>
        <v>38.35675176275636</v>
      </c>
      <c r="U33" s="1629">
        <f t="shared" ref="U33" si="33">0.411*10^U30</f>
        <v>192.23914306903851</v>
      </c>
      <c r="V33" s="1629">
        <f t="shared" ref="V33:W33" si="34">0.411*10^V30</f>
        <v>127.01114227630869</v>
      </c>
      <c r="W33" s="1629">
        <f t="shared" si="34"/>
        <v>127.01114227630869</v>
      </c>
      <c r="X33" s="2778">
        <f t="shared" ref="X33" si="35">0.411*10^X30</f>
        <v>55.442374474516967</v>
      </c>
      <c r="Y33" s="522">
        <f t="shared" ref="Y33" si="36">0.411*10^Y30</f>
        <v>201.29909476043139</v>
      </c>
      <c r="Z33" s="522">
        <f t="shared" ref="Z33" si="37">0.411*10^Z30</f>
        <v>580.55293083995207</v>
      </c>
      <c r="AA33" s="2786">
        <f t="shared" ref="AA33" si="38">0.411*10^AA30</f>
        <v>651.39110210151853</v>
      </c>
      <c r="AB33" s="2778"/>
      <c r="AC33" s="522"/>
      <c r="AD33" s="522"/>
      <c r="AE33" s="522"/>
      <c r="AF33" s="522"/>
      <c r="AG33" s="522"/>
      <c r="AH33" s="522"/>
      <c r="AI33" s="522"/>
      <c r="AJ33" s="522"/>
      <c r="AK33" s="522"/>
      <c r="AL33" s="522"/>
      <c r="AM33" s="2898"/>
      <c r="AN33" s="2876">
        <f t="shared" ref="AN33" si="39">0.411*10^AN30</f>
        <v>941.54660528755539</v>
      </c>
      <c r="AO33" s="522">
        <f t="shared" ref="AO33" si="40">0.411*10^AO30</f>
        <v>4110</v>
      </c>
      <c r="AP33" s="522">
        <f t="shared" ref="AP33" si="41">0.411*10^AP30</f>
        <v>3418.5490992319774</v>
      </c>
      <c r="AQ33" s="522">
        <f t="shared" ref="AQ33" si="42">0.411*10^AQ30</f>
        <v>6220.7367310728214</v>
      </c>
      <c r="AR33" s="522">
        <f t="shared" ref="AR33" si="43">0.411*10^AR30</f>
        <v>15270.09791589383</v>
      </c>
      <c r="AS33" s="522">
        <f t="shared" ref="AS33" si="44">0.411*10^AS30</f>
        <v>14250.884553599066</v>
      </c>
      <c r="AT33" s="522">
        <f t="shared" ref="AT33" si="45">0.411*10^AT30</f>
        <v>68209.021895683734</v>
      </c>
      <c r="AU33" s="522">
        <f t="shared" ref="AU33" si="46">0.411*10^AU30</f>
        <v>62207.367310728165</v>
      </c>
      <c r="AV33" s="522">
        <f t="shared" ref="AV33" si="47">0.411*10^AV30</f>
        <v>334073.34214344545</v>
      </c>
      <c r="AW33" s="522">
        <f t="shared" ref="AW33" si="48">0.411*10^AW30</f>
        <v>253420.54576506955</v>
      </c>
      <c r="AX33" s="522">
        <f t="shared" ref="AX33" si="49">0.411*10^AX30</f>
        <v>259323.46858135978</v>
      </c>
      <c r="AY33" s="522">
        <f t="shared" ref="AY33" si="50">0.411*10^AY30</f>
        <v>411000</v>
      </c>
      <c r="AZ33" s="522">
        <f t="shared" ref="AZ33" si="51">0.411*10^AZ30</f>
        <v>920114.38795158721</v>
      </c>
      <c r="BA33" s="522">
        <f t="shared" ref="BA33" si="52">0.411*10^BA30</f>
        <v>2311222.8465323374</v>
      </c>
      <c r="BB33" s="522">
        <f t="shared" ref="BB33" si="53">0.411*10^BB30</f>
        <v>1299696.1183292062</v>
      </c>
      <c r="BC33" s="2786">
        <f t="shared" ref="BC33" si="54">0.411*10^BC30</f>
        <v>4109999.9999999995</v>
      </c>
      <c r="BD33" s="522">
        <f t="shared" ref="BD33" si="55">0.411*10^BD30</f>
        <v>12.129469921598847</v>
      </c>
      <c r="BE33" s="2778">
        <f t="shared" ref="BE33" si="56">0.411*10^BE30</f>
        <v>163622.04709748732</v>
      </c>
      <c r="BF33" s="2898">
        <f t="shared" ref="BF33" si="57">0.411*10^BF30</f>
        <v>163622.04709748732</v>
      </c>
      <c r="BG33" s="2627">
        <f t="shared" ref="BG33" si="58">0.411*10^BG30</f>
        <v>0.41099999999999998</v>
      </c>
      <c r="BH33" s="522">
        <f t="shared" ref="BH33" si="59">0.411*10^BH30</f>
        <v>1.0564326667180031</v>
      </c>
      <c r="BI33" s="2696">
        <f t="shared" ref="BI33" si="60">0.411*10^BI30</f>
        <v>4.8288289508014683</v>
      </c>
      <c r="BJ33" s="1629"/>
    </row>
    <row r="34" spans="1:62" s="421" customFormat="1">
      <c r="A34" s="2962"/>
      <c r="E34" s="349" t="s">
        <v>1216</v>
      </c>
      <c r="F34" s="206" t="s">
        <v>232</v>
      </c>
      <c r="G34" s="347" t="s">
        <v>35</v>
      </c>
      <c r="H34" s="1270"/>
      <c r="I34" s="636"/>
      <c r="J34" s="2629"/>
      <c r="K34" s="636"/>
      <c r="L34" s="636"/>
      <c r="M34" s="636"/>
      <c r="N34" s="530"/>
      <c r="O34" s="530"/>
      <c r="P34" s="636"/>
      <c r="Q34" s="636"/>
      <c r="R34" s="636"/>
      <c r="S34" s="636"/>
      <c r="T34" s="636"/>
      <c r="U34" s="636"/>
      <c r="V34" s="636"/>
      <c r="W34" s="636"/>
      <c r="X34" s="2803"/>
      <c r="Y34" s="805"/>
      <c r="Z34" s="805"/>
      <c r="AA34" s="2804"/>
      <c r="AB34" s="2836">
        <v>3.2</v>
      </c>
      <c r="AC34" s="2699">
        <v>3.4</v>
      </c>
      <c r="AD34" s="2699">
        <v>3.7</v>
      </c>
      <c r="AE34" s="2699">
        <v>4</v>
      </c>
      <c r="AF34" s="2699">
        <v>5.0999999999999996</v>
      </c>
      <c r="AG34" s="2699">
        <v>2.9</v>
      </c>
      <c r="AH34" s="2699">
        <v>3.6</v>
      </c>
      <c r="AI34" s="2699">
        <v>4.5</v>
      </c>
      <c r="AJ34" s="2699">
        <v>5.4</v>
      </c>
      <c r="AK34" s="2699">
        <v>6.7</v>
      </c>
      <c r="AL34" s="2705">
        <v>8.8000000000000007</v>
      </c>
      <c r="AM34" s="2931">
        <v>11.27</v>
      </c>
      <c r="AN34" s="2899"/>
      <c r="AO34" s="1620"/>
      <c r="AP34" s="1620"/>
      <c r="AQ34" s="1620"/>
      <c r="AR34" s="1620"/>
      <c r="AS34" s="1620"/>
      <c r="AT34" s="1620"/>
      <c r="AU34" s="1620"/>
      <c r="AV34" s="1620"/>
      <c r="AW34" s="1620"/>
      <c r="AX34" s="1620"/>
      <c r="AY34" s="1620"/>
      <c r="AZ34" s="805"/>
      <c r="BA34" s="1620"/>
      <c r="BB34" s="1620"/>
      <c r="BC34" s="1689"/>
      <c r="BD34" s="805"/>
      <c r="BE34" s="2803"/>
      <c r="BF34" s="2900"/>
      <c r="BG34" s="2628"/>
      <c r="BH34" s="2628"/>
      <c r="BI34" s="533"/>
      <c r="BJ34" s="530"/>
    </row>
    <row r="35" spans="1:62" s="207" customFormat="1" ht="15.75">
      <c r="A35" s="2963"/>
      <c r="E35" s="520" t="s">
        <v>1215</v>
      </c>
      <c r="F35" s="207" t="s">
        <v>36</v>
      </c>
      <c r="G35" s="348" t="s">
        <v>37</v>
      </c>
      <c r="H35" s="1628">
        <f t="shared" ref="H35:I35" si="61">IF(H34=0,0.411*10^H30,10^H34)</f>
        <v>3.117753833369945</v>
      </c>
      <c r="I35" s="1629">
        <f t="shared" si="61"/>
        <v>3.117753833369945</v>
      </c>
      <c r="J35" s="1629">
        <f>IF(J34=0,0.411*10^J30,10^J34)</f>
        <v>0.80138613050055663</v>
      </c>
      <c r="K35" s="2637">
        <v>8</v>
      </c>
      <c r="L35" s="2637">
        <v>35</v>
      </c>
      <c r="M35" s="2637">
        <v>35</v>
      </c>
      <c r="N35" s="2637">
        <v>111</v>
      </c>
      <c r="O35" s="2637">
        <v>111</v>
      </c>
      <c r="P35" s="2637">
        <v>247</v>
      </c>
      <c r="Q35" s="2637">
        <v>247</v>
      </c>
      <c r="R35" s="2637">
        <v>19.100000000000001</v>
      </c>
      <c r="S35" s="2637">
        <v>60</v>
      </c>
      <c r="T35" s="2637">
        <v>60</v>
      </c>
      <c r="U35" s="2637">
        <v>71</v>
      </c>
      <c r="V35" s="1629">
        <f>IF(V34=0,0.411*10^V30,10^V34)</f>
        <v>127.01114227630869</v>
      </c>
      <c r="W35" s="1629">
        <f>IF(W34=0,0.411*10^W30,10^W34)</f>
        <v>127.01114227630869</v>
      </c>
      <c r="X35" s="2817">
        <v>60</v>
      </c>
      <c r="Y35" s="522">
        <f>Y33</f>
        <v>201.29909476043139</v>
      </c>
      <c r="Z35" s="522">
        <f>Z33</f>
        <v>580.55293083995207</v>
      </c>
      <c r="AA35" s="2786">
        <f>AA33</f>
        <v>651.39110210151853</v>
      </c>
      <c r="AB35" s="2778">
        <f t="shared" ref="AB35:AM35" si="62">10^AB34</f>
        <v>1584.8931924611156</v>
      </c>
      <c r="AC35" s="522">
        <f t="shared" si="62"/>
        <v>2511.8864315095811</v>
      </c>
      <c r="AD35" s="522">
        <f t="shared" si="62"/>
        <v>5011.8723362727324</v>
      </c>
      <c r="AE35" s="522">
        <f t="shared" si="62"/>
        <v>10000</v>
      </c>
      <c r="AF35" s="522">
        <f t="shared" si="62"/>
        <v>125892.54117941685</v>
      </c>
      <c r="AG35" s="522">
        <f t="shared" si="62"/>
        <v>794.32823472428208</v>
      </c>
      <c r="AH35" s="522">
        <f t="shared" si="62"/>
        <v>3981.0717055349769</v>
      </c>
      <c r="AI35" s="522">
        <f t="shared" si="62"/>
        <v>31622.77660168384</v>
      </c>
      <c r="AJ35" s="522">
        <f t="shared" si="62"/>
        <v>251188.64315095844</v>
      </c>
      <c r="AK35" s="522">
        <f t="shared" si="62"/>
        <v>5011872.3362727314</v>
      </c>
      <c r="AL35" s="522">
        <f t="shared" si="62"/>
        <v>630957344.48019624</v>
      </c>
      <c r="AM35" s="2898">
        <f t="shared" si="62"/>
        <v>186208713666.2872</v>
      </c>
      <c r="AN35" s="2901">
        <v>844</v>
      </c>
      <c r="AO35" s="2653">
        <v>2770</v>
      </c>
      <c r="AP35" s="2653">
        <v>2380</v>
      </c>
      <c r="AQ35" s="2653">
        <v>3900</v>
      </c>
      <c r="AR35" s="2653">
        <v>8140</v>
      </c>
      <c r="AS35" s="2653">
        <v>7690</v>
      </c>
      <c r="AT35" s="2653">
        <v>27800</v>
      </c>
      <c r="AU35" s="2653">
        <v>25700</v>
      </c>
      <c r="AV35" s="2653">
        <v>102000</v>
      </c>
      <c r="AW35" s="2653">
        <v>81400</v>
      </c>
      <c r="AX35" s="2653">
        <v>83000</v>
      </c>
      <c r="AY35" s="2653">
        <v>121000</v>
      </c>
      <c r="AZ35" s="2653">
        <v>131000</v>
      </c>
      <c r="BA35" s="2653">
        <v>499000</v>
      </c>
      <c r="BB35" s="2653">
        <v>311000</v>
      </c>
      <c r="BC35" s="2779">
        <v>800000</v>
      </c>
      <c r="BD35" s="2653">
        <f>BD33</f>
        <v>12.129469921598847</v>
      </c>
      <c r="BE35" s="2778">
        <f>BE33</f>
        <v>163622.04709748732</v>
      </c>
      <c r="BF35" s="2898">
        <f>BF33</f>
        <v>163622.04709748732</v>
      </c>
      <c r="BG35" s="2630"/>
      <c r="BH35" s="522">
        <f>BH33</f>
        <v>1.0564326667180031</v>
      </c>
      <c r="BI35" s="2696">
        <f>BI33</f>
        <v>4.8288289508014683</v>
      </c>
      <c r="BJ35" s="1629"/>
    </row>
    <row r="36" spans="1:62" s="207" customFormat="1">
      <c r="A36" s="2963"/>
      <c r="E36" s="520" t="s">
        <v>1221</v>
      </c>
      <c r="F36" s="207" t="s">
        <v>351</v>
      </c>
      <c r="G36" s="348" t="s">
        <v>1218</v>
      </c>
      <c r="H36" s="1628" t="str">
        <f>IF(H35=H33,H31,"")</f>
        <v>nd</v>
      </c>
      <c r="I36" s="1629" t="str">
        <f t="shared" ref="I36:J36" si="63">IF(I35=I33,I31,"")</f>
        <v>nd</v>
      </c>
      <c r="J36" s="1629" t="str">
        <f t="shared" si="63"/>
        <v>nd</v>
      </c>
      <c r="K36" s="1629" t="s">
        <v>511</v>
      </c>
      <c r="L36" s="1629" t="s">
        <v>511</v>
      </c>
      <c r="M36" s="1629" t="s">
        <v>511</v>
      </c>
      <c r="N36" s="1629" t="s">
        <v>511</v>
      </c>
      <c r="O36" s="1629" t="s">
        <v>511</v>
      </c>
      <c r="P36" s="1629" t="s">
        <v>511</v>
      </c>
      <c r="Q36" s="1629" t="s">
        <v>511</v>
      </c>
      <c r="R36" s="1629" t="s">
        <v>511</v>
      </c>
      <c r="S36" s="2601" t="s">
        <v>511</v>
      </c>
      <c r="T36" s="2601" t="s">
        <v>511</v>
      </c>
      <c r="U36" s="2601" t="s">
        <v>511</v>
      </c>
      <c r="V36" s="1629" t="str">
        <f t="shared" ref="V36:W36" si="64">IF(V35=V33,V31,"")</f>
        <v>nd</v>
      </c>
      <c r="W36" s="1629" t="str">
        <f t="shared" si="64"/>
        <v>nd</v>
      </c>
      <c r="X36" s="3995" t="s">
        <v>511</v>
      </c>
      <c r="Y36" s="3996"/>
      <c r="Z36" s="3996"/>
      <c r="AA36" s="3997"/>
      <c r="AB36" s="3998" t="s">
        <v>511</v>
      </c>
      <c r="AC36" s="3990"/>
      <c r="AD36" s="3990"/>
      <c r="AE36" s="3990"/>
      <c r="AF36" s="3990"/>
      <c r="AG36" s="3990"/>
      <c r="AH36" s="3990"/>
      <c r="AI36" s="3990"/>
      <c r="AJ36" s="3990"/>
      <c r="AK36" s="3990"/>
      <c r="AL36" s="3990"/>
      <c r="AM36" s="3999"/>
      <c r="AN36" s="3989" t="s">
        <v>511</v>
      </c>
      <c r="AO36" s="3990"/>
      <c r="AP36" s="3990"/>
      <c r="AQ36" s="3990"/>
      <c r="AR36" s="3990"/>
      <c r="AS36" s="3990"/>
      <c r="AT36" s="3990"/>
      <c r="AU36" s="3990"/>
      <c r="AV36" s="3990"/>
      <c r="AW36" s="3990"/>
      <c r="AX36" s="3990"/>
      <c r="AY36" s="3990"/>
      <c r="AZ36" s="3990"/>
      <c r="BA36" s="3990"/>
      <c r="BB36" s="3990"/>
      <c r="BC36" s="3991"/>
      <c r="BD36" s="1629" t="str">
        <f t="shared" ref="BD36" si="65">IF(BD35=BD33,BD31,"")</f>
        <v>nd</v>
      </c>
      <c r="BE36" s="3982" t="s">
        <v>511</v>
      </c>
      <c r="BF36" s="3983"/>
      <c r="BG36" s="522"/>
      <c r="BH36" s="522"/>
      <c r="BI36" s="2696"/>
      <c r="BJ36" s="1629"/>
    </row>
    <row r="37" spans="1:62" s="421" customFormat="1" ht="38.25" customHeight="1">
      <c r="A37" s="2962"/>
      <c r="E37" s="349" t="s">
        <v>120</v>
      </c>
      <c r="F37" s="207"/>
      <c r="G37" s="348"/>
      <c r="H37" s="1628" t="s">
        <v>1226</v>
      </c>
      <c r="I37" s="1629" t="s">
        <v>1226</v>
      </c>
      <c r="J37" s="1629" t="s">
        <v>1226</v>
      </c>
      <c r="K37" s="1631" t="s">
        <v>1234</v>
      </c>
      <c r="L37" s="1631" t="s">
        <v>1233</v>
      </c>
      <c r="M37" s="1631" t="s">
        <v>1233</v>
      </c>
      <c r="N37" s="1631" t="s">
        <v>1223</v>
      </c>
      <c r="O37" s="1631" t="s">
        <v>1223</v>
      </c>
      <c r="P37" s="1631" t="s">
        <v>1223</v>
      </c>
      <c r="Q37" s="1631" t="s">
        <v>1223</v>
      </c>
      <c r="R37" s="1631" t="s">
        <v>1223</v>
      </c>
      <c r="S37" s="1631" t="s">
        <v>1223</v>
      </c>
      <c r="T37" s="1631" t="s">
        <v>1223</v>
      </c>
      <c r="U37" s="1631" t="s">
        <v>1223</v>
      </c>
      <c r="V37" s="1629" t="s">
        <v>1226</v>
      </c>
      <c r="W37" s="1629" t="s">
        <v>1226</v>
      </c>
      <c r="X37" s="829" t="s">
        <v>1240</v>
      </c>
      <c r="Y37" s="4013" t="s">
        <v>1226</v>
      </c>
      <c r="Z37" s="4013"/>
      <c r="AA37" s="4014"/>
      <c r="AB37" s="4006" t="s">
        <v>1244</v>
      </c>
      <c r="AC37" s="4007"/>
      <c r="AD37" s="4007"/>
      <c r="AE37" s="4007"/>
      <c r="AF37" s="4007"/>
      <c r="AG37" s="4007"/>
      <c r="AH37" s="4007"/>
      <c r="AI37" s="4007"/>
      <c r="AJ37" s="4007"/>
      <c r="AK37" s="4007"/>
      <c r="AL37" s="4007"/>
      <c r="AM37" s="4008"/>
      <c r="AN37" s="3992" t="s">
        <v>1243</v>
      </c>
      <c r="AO37" s="3993"/>
      <c r="AP37" s="3993"/>
      <c r="AQ37" s="3993"/>
      <c r="AR37" s="3993"/>
      <c r="AS37" s="3993"/>
      <c r="AT37" s="3993"/>
      <c r="AU37" s="3993"/>
      <c r="AV37" s="3993"/>
      <c r="AW37" s="3993"/>
      <c r="AX37" s="3993"/>
      <c r="AY37" s="3993"/>
      <c r="AZ37" s="3993"/>
      <c r="BA37" s="3993"/>
      <c r="BB37" s="3993"/>
      <c r="BC37" s="3994"/>
      <c r="BD37" s="530" t="s">
        <v>1226</v>
      </c>
      <c r="BE37" s="3980" t="s">
        <v>1226</v>
      </c>
      <c r="BF37" s="3981"/>
      <c r="BG37" s="530"/>
      <c r="BH37" s="530"/>
      <c r="BI37" s="531"/>
      <c r="BJ37" s="530"/>
    </row>
    <row r="38" spans="1:62" s="2707" customFormat="1">
      <c r="A38" s="2989"/>
      <c r="E38" s="2731" t="s">
        <v>1231</v>
      </c>
      <c r="F38" s="2730" t="s">
        <v>12</v>
      </c>
      <c r="G38" s="2732" t="s">
        <v>13</v>
      </c>
      <c r="H38" s="2936">
        <v>63200</v>
      </c>
      <c r="I38" s="2708">
        <v>63200</v>
      </c>
      <c r="J38" s="2708">
        <v>353000</v>
      </c>
      <c r="K38" s="2708">
        <v>1600</v>
      </c>
      <c r="L38" s="2708">
        <v>800</v>
      </c>
      <c r="M38" s="2708">
        <v>800</v>
      </c>
      <c r="N38" s="2708">
        <v>1070</v>
      </c>
      <c r="O38" s="2708">
        <v>1070</v>
      </c>
      <c r="P38" s="2708">
        <v>150</v>
      </c>
      <c r="Q38" s="2708">
        <v>150</v>
      </c>
      <c r="R38" s="2708">
        <v>16800</v>
      </c>
      <c r="S38" s="2708">
        <v>8200</v>
      </c>
      <c r="T38" s="2708">
        <v>8200</v>
      </c>
      <c r="U38" s="2708">
        <v>800</v>
      </c>
      <c r="V38" s="2708">
        <v>1290</v>
      </c>
      <c r="W38" s="2708">
        <v>1290</v>
      </c>
      <c r="X38" s="2805">
        <v>1800</v>
      </c>
      <c r="Y38" s="2709">
        <v>500</v>
      </c>
      <c r="Z38" s="2709">
        <v>170</v>
      </c>
      <c r="AA38" s="2806">
        <v>180</v>
      </c>
      <c r="AB38" s="2805">
        <v>65</v>
      </c>
      <c r="AC38" s="2709">
        <v>25</v>
      </c>
      <c r="AD38" s="2709">
        <v>5.8</v>
      </c>
      <c r="AE38" s="2709">
        <v>0.65</v>
      </c>
      <c r="AF38" s="2709">
        <v>6.6E-3</v>
      </c>
      <c r="AG38" s="2709">
        <v>36</v>
      </c>
      <c r="AH38" s="2709">
        <v>5.4</v>
      </c>
      <c r="AI38" s="2709">
        <v>0.43</v>
      </c>
      <c r="AJ38" s="2709">
        <v>3.4000000000000002E-2</v>
      </c>
      <c r="AK38" s="2709">
        <v>7.6000000000000004E-4</v>
      </c>
      <c r="AL38" s="2709">
        <v>2.5000000000000002E-6</v>
      </c>
      <c r="AM38" s="2937">
        <v>2.9999999999999999E-7</v>
      </c>
      <c r="AN38" s="2902">
        <v>30</v>
      </c>
      <c r="AO38" s="2711">
        <v>16.100000000000001</v>
      </c>
      <c r="AP38" s="2711">
        <v>3.8</v>
      </c>
      <c r="AQ38" s="2711">
        <v>1.9</v>
      </c>
      <c r="AR38" s="2711">
        <v>1.1000000000000001</v>
      </c>
      <c r="AS38" s="2711">
        <v>4.4999999999999998E-2</v>
      </c>
      <c r="AT38" s="2711">
        <v>0.26</v>
      </c>
      <c r="AU38" s="2711">
        <v>0.13200000000000001</v>
      </c>
      <c r="AV38" s="2711">
        <v>1.0999999999999999E-2</v>
      </c>
      <c r="AW38" s="2711">
        <v>1.5E-3</v>
      </c>
      <c r="AX38" s="2711">
        <v>1.5E-3</v>
      </c>
      <c r="AY38" s="2711">
        <v>8.0000000000000004E-4</v>
      </c>
      <c r="AZ38" s="2709">
        <v>2.9999999999999997E-4</v>
      </c>
      <c r="BA38" s="2711">
        <v>5.0000000000000001E-4</v>
      </c>
      <c r="BB38" s="2711">
        <v>3.0000000000000001E-3</v>
      </c>
      <c r="BC38" s="2844">
        <v>6.2E-2</v>
      </c>
      <c r="BD38" s="2710">
        <v>83500</v>
      </c>
      <c r="BE38" s="2859">
        <v>0.22500000000000001</v>
      </c>
      <c r="BF38" s="2903">
        <v>0.22500000000000001</v>
      </c>
      <c r="BG38" s="2711">
        <v>5.67E-2</v>
      </c>
      <c r="BH38" s="2712">
        <v>6000</v>
      </c>
      <c r="BI38" s="2713">
        <v>1000000</v>
      </c>
      <c r="BJ38" s="2708"/>
    </row>
    <row r="39" spans="1:62" s="205" customFormat="1">
      <c r="A39" s="2986"/>
      <c r="E39" s="208" t="s">
        <v>1221</v>
      </c>
      <c r="F39" s="205" t="s">
        <v>351</v>
      </c>
      <c r="G39" s="347" t="s">
        <v>1218</v>
      </c>
      <c r="H39" s="2932">
        <v>25</v>
      </c>
      <c r="I39" s="2601">
        <v>25</v>
      </c>
      <c r="J39" s="2601">
        <v>10</v>
      </c>
      <c r="K39" s="2601" t="s">
        <v>1232</v>
      </c>
      <c r="L39" s="2601">
        <v>20</v>
      </c>
      <c r="M39" s="2601">
        <v>20</v>
      </c>
      <c r="N39" s="2601">
        <v>20</v>
      </c>
      <c r="O39" s="2601">
        <v>20</v>
      </c>
      <c r="P39" s="2601">
        <v>25</v>
      </c>
      <c r="Q39" s="2601">
        <v>25</v>
      </c>
      <c r="R39" s="2601">
        <v>20</v>
      </c>
      <c r="S39" s="2601">
        <v>20</v>
      </c>
      <c r="T39" s="2601">
        <v>20</v>
      </c>
      <c r="U39" s="2601">
        <v>20</v>
      </c>
      <c r="V39" s="2601">
        <v>25</v>
      </c>
      <c r="W39" s="2601">
        <v>25</v>
      </c>
      <c r="X39" s="3995" t="s">
        <v>511</v>
      </c>
      <c r="Y39" s="3996"/>
      <c r="Z39" s="3996"/>
      <c r="AA39" s="3997"/>
      <c r="AB39" s="3998" t="s">
        <v>511</v>
      </c>
      <c r="AC39" s="3990"/>
      <c r="AD39" s="3990"/>
      <c r="AE39" s="3990"/>
      <c r="AF39" s="3990"/>
      <c r="AG39" s="3990"/>
      <c r="AH39" s="3990"/>
      <c r="AI39" s="3990"/>
      <c r="AJ39" s="3990"/>
      <c r="AK39" s="3990"/>
      <c r="AL39" s="3990"/>
      <c r="AM39" s="3999"/>
      <c r="AN39" s="2882"/>
      <c r="AO39" s="2743"/>
      <c r="AP39" s="2743"/>
      <c r="AQ39" s="2743"/>
      <c r="AR39" s="2743"/>
      <c r="AS39" s="2743"/>
      <c r="AT39" s="2743"/>
      <c r="AU39" s="2743"/>
      <c r="AV39" s="2743"/>
      <c r="AW39" s="2743"/>
      <c r="AX39" s="2743"/>
      <c r="AY39" s="2743"/>
      <c r="AZ39" s="418"/>
      <c r="BA39" s="2743"/>
      <c r="BB39" s="2743"/>
      <c r="BC39" s="2842"/>
      <c r="BD39" s="2740">
        <v>20</v>
      </c>
      <c r="BE39" s="3982" t="s">
        <v>511</v>
      </c>
      <c r="BF39" s="3983"/>
      <c r="BG39" s="2743"/>
      <c r="BH39" s="2741"/>
      <c r="BI39" s="2742"/>
      <c r="BJ39" s="2601"/>
    </row>
    <row r="40" spans="1:62" s="721" customFormat="1">
      <c r="A40" s="2987"/>
      <c r="E40" s="2714" t="s">
        <v>120</v>
      </c>
      <c r="G40" s="2597"/>
      <c r="H40" s="2933" t="s">
        <v>1220</v>
      </c>
      <c r="I40" s="2548" t="s">
        <v>1220</v>
      </c>
      <c r="J40" s="2548" t="s">
        <v>1220</v>
      </c>
      <c r="K40" s="1631" t="s">
        <v>1223</v>
      </c>
      <c r="L40" s="1631" t="s">
        <v>1223</v>
      </c>
      <c r="M40" s="1631" t="s">
        <v>1223</v>
      </c>
      <c r="N40" s="1631" t="s">
        <v>1223</v>
      </c>
      <c r="O40" s="1631" t="s">
        <v>1223</v>
      </c>
      <c r="P40" s="1631" t="s">
        <v>1223</v>
      </c>
      <c r="Q40" s="1631" t="s">
        <v>1223</v>
      </c>
      <c r="R40" s="1631" t="s">
        <v>1223</v>
      </c>
      <c r="S40" s="1631" t="s">
        <v>1223</v>
      </c>
      <c r="T40" s="1631" t="s">
        <v>1223</v>
      </c>
      <c r="U40" s="1631" t="s">
        <v>1223</v>
      </c>
      <c r="V40" s="2548" t="s">
        <v>1220</v>
      </c>
      <c r="W40" s="2548" t="s">
        <v>1220</v>
      </c>
      <c r="X40" s="4000" t="s">
        <v>337</v>
      </c>
      <c r="Y40" s="4001"/>
      <c r="Z40" s="4001"/>
      <c r="AA40" s="4002"/>
      <c r="AB40" s="4006" t="s">
        <v>1244</v>
      </c>
      <c r="AC40" s="4007"/>
      <c r="AD40" s="4007"/>
      <c r="AE40" s="4007"/>
      <c r="AF40" s="4007"/>
      <c r="AG40" s="4007"/>
      <c r="AH40" s="4007"/>
      <c r="AI40" s="4007"/>
      <c r="AJ40" s="4007"/>
      <c r="AK40" s="4007"/>
      <c r="AL40" s="4007"/>
      <c r="AM40" s="4008"/>
      <c r="AN40" s="2904"/>
      <c r="AO40" s="642"/>
      <c r="AP40" s="642"/>
      <c r="AQ40" s="642"/>
      <c r="AR40" s="642"/>
      <c r="AS40" s="642"/>
      <c r="AT40" s="642"/>
      <c r="AU40" s="642"/>
      <c r="AV40" s="642"/>
      <c r="AW40" s="642"/>
      <c r="AX40" s="642"/>
      <c r="AY40" s="642"/>
      <c r="AZ40" s="2715"/>
      <c r="BA40" s="642"/>
      <c r="BB40" s="642"/>
      <c r="BC40" s="2843"/>
      <c r="BD40" s="2716" t="s">
        <v>1223</v>
      </c>
      <c r="BE40" s="3980" t="s">
        <v>559</v>
      </c>
      <c r="BF40" s="3981"/>
      <c r="BG40" s="642"/>
      <c r="BH40" s="2717"/>
      <c r="BI40" s="2718"/>
      <c r="BJ40" s="2548"/>
    </row>
    <row r="41" spans="1:62" s="2707" customFormat="1">
      <c r="A41" s="2989"/>
      <c r="E41" s="2731" t="s">
        <v>1236</v>
      </c>
      <c r="F41" s="2730" t="s">
        <v>14</v>
      </c>
      <c r="G41" s="2732" t="s">
        <v>557</v>
      </c>
      <c r="H41" s="2936">
        <f>$F60*0.0000088</f>
        <v>0.89144000000000001</v>
      </c>
      <c r="I41" s="2708">
        <f>$F60*0.0000088</f>
        <v>0.89144000000000001</v>
      </c>
      <c r="J41" s="2708">
        <f>$F60*0.0000569</f>
        <v>5.7639700000000005</v>
      </c>
      <c r="K41" s="2719">
        <v>2730</v>
      </c>
      <c r="L41" s="2708">
        <v>327</v>
      </c>
      <c r="M41" s="2708">
        <v>327</v>
      </c>
      <c r="N41" s="2708">
        <v>1044</v>
      </c>
      <c r="O41" s="2708">
        <v>1044</v>
      </c>
      <c r="P41" s="2708">
        <v>1844</v>
      </c>
      <c r="Q41" s="2708">
        <v>1844</v>
      </c>
      <c r="R41" s="2708">
        <v>257</v>
      </c>
      <c r="S41" s="2708">
        <v>299</v>
      </c>
      <c r="T41" s="2708">
        <v>299</v>
      </c>
      <c r="U41" s="2708">
        <f>0.0214*F60</f>
        <v>2167.8199999999997</v>
      </c>
      <c r="V41" s="2708">
        <f>0.072*$F60</f>
        <v>7293.5999999999995</v>
      </c>
      <c r="W41" s="2708">
        <f>0.072*$F60</f>
        <v>7293.5999999999995</v>
      </c>
      <c r="X41" s="2799"/>
      <c r="Y41" s="2734"/>
      <c r="Z41" s="2734"/>
      <c r="AA41" s="2800"/>
      <c r="AB41" s="2799"/>
      <c r="AC41" s="2734"/>
      <c r="AD41" s="2734"/>
      <c r="AE41" s="2734"/>
      <c r="AF41" s="2734"/>
      <c r="AG41" s="2734"/>
      <c r="AH41" s="2734"/>
      <c r="AI41" s="2734"/>
      <c r="AJ41" s="2734"/>
      <c r="AK41" s="2734"/>
      <c r="AL41" s="2734"/>
      <c r="AM41" s="2938"/>
      <c r="AN41" s="2905"/>
      <c r="AO41" s="2734"/>
      <c r="AP41" s="2734"/>
      <c r="AQ41" s="2734"/>
      <c r="AR41" s="2734"/>
      <c r="AS41" s="2734"/>
      <c r="AT41" s="2734"/>
      <c r="AU41" s="2734"/>
      <c r="AV41" s="2734"/>
      <c r="AW41" s="2734"/>
      <c r="AX41" s="2734"/>
      <c r="AY41" s="2734"/>
      <c r="AZ41" s="2734"/>
      <c r="BA41" s="2734"/>
      <c r="BB41" s="2734"/>
      <c r="BC41" s="2800"/>
      <c r="BD41" s="2710">
        <f>0.000000333*$F60</f>
        <v>3.3732899999999996E-2</v>
      </c>
      <c r="BE41" s="2834"/>
      <c r="BF41" s="2906"/>
      <c r="BG41" s="2720">
        <v>729.36</v>
      </c>
      <c r="BH41" s="2720">
        <f>0.00000037 *110130</f>
        <v>4.0748100000000002E-2</v>
      </c>
      <c r="BI41" s="2713"/>
      <c r="BJ41" s="2708"/>
    </row>
    <row r="42" spans="1:62" s="205" customFormat="1">
      <c r="A42" s="2986"/>
      <c r="E42" s="208" t="s">
        <v>1221</v>
      </c>
      <c r="F42" s="205" t="s">
        <v>351</v>
      </c>
      <c r="G42" s="347" t="s">
        <v>1218</v>
      </c>
      <c r="H42" s="2932">
        <v>25</v>
      </c>
      <c r="I42" s="2601">
        <v>25</v>
      </c>
      <c r="J42" s="2601">
        <v>25</v>
      </c>
      <c r="K42" s="2601" t="s">
        <v>1222</v>
      </c>
      <c r="L42" s="2601">
        <v>20</v>
      </c>
      <c r="M42" s="2601">
        <v>20</v>
      </c>
      <c r="N42" s="2601" t="s">
        <v>511</v>
      </c>
      <c r="O42" s="2601" t="s">
        <v>511</v>
      </c>
      <c r="P42" s="2601">
        <v>25</v>
      </c>
      <c r="Q42" s="2601">
        <v>25</v>
      </c>
      <c r="R42" s="2601">
        <v>25</v>
      </c>
      <c r="S42" s="2601">
        <v>20</v>
      </c>
      <c r="T42" s="2601">
        <v>20</v>
      </c>
      <c r="U42" s="2601">
        <v>20</v>
      </c>
      <c r="V42" s="2601">
        <v>25</v>
      </c>
      <c r="W42" s="2601">
        <v>25</v>
      </c>
      <c r="X42" s="3995" t="s">
        <v>511</v>
      </c>
      <c r="Y42" s="3996"/>
      <c r="Z42" s="3996"/>
      <c r="AA42" s="3997"/>
      <c r="AB42" s="3998" t="s">
        <v>511</v>
      </c>
      <c r="AC42" s="3990"/>
      <c r="AD42" s="3990"/>
      <c r="AE42" s="3990"/>
      <c r="AF42" s="3990"/>
      <c r="AG42" s="3990"/>
      <c r="AH42" s="3990"/>
      <c r="AI42" s="3990"/>
      <c r="AJ42" s="3990"/>
      <c r="AK42" s="3990"/>
      <c r="AL42" s="3990"/>
      <c r="AM42" s="3999"/>
      <c r="AN42" s="3989" t="s">
        <v>511</v>
      </c>
      <c r="AO42" s="3990"/>
      <c r="AP42" s="3990"/>
      <c r="AQ42" s="3990"/>
      <c r="AR42" s="3990"/>
      <c r="AS42" s="3990"/>
      <c r="AT42" s="3990"/>
      <c r="AU42" s="3990"/>
      <c r="AV42" s="3990"/>
      <c r="AW42" s="3990"/>
      <c r="AX42" s="3990"/>
      <c r="AY42" s="3990"/>
      <c r="AZ42" s="3990"/>
      <c r="BA42" s="3990"/>
      <c r="BB42" s="3990"/>
      <c r="BC42" s="3991"/>
      <c r="BD42" s="2601">
        <v>25</v>
      </c>
      <c r="BE42" s="3982" t="s">
        <v>511</v>
      </c>
      <c r="BF42" s="3983"/>
      <c r="BG42" s="2633">
        <v>20</v>
      </c>
      <c r="BH42" s="2633">
        <v>20</v>
      </c>
      <c r="BI42" s="2742"/>
      <c r="BJ42" s="2601"/>
    </row>
    <row r="43" spans="1:62" s="207" customFormat="1">
      <c r="A43" s="2963"/>
      <c r="E43" s="520" t="s">
        <v>1235</v>
      </c>
      <c r="F43" s="207" t="s">
        <v>351</v>
      </c>
      <c r="G43" s="348" t="s">
        <v>122</v>
      </c>
      <c r="H43" s="2932">
        <f t="shared" ref="H43:W43" si="66">IF(ISNUMBER(H42),H42+$F59,20+$F59)</f>
        <v>298.14999999999998</v>
      </c>
      <c r="I43" s="2601">
        <f t="shared" si="66"/>
        <v>298.14999999999998</v>
      </c>
      <c r="J43" s="2601">
        <f t="shared" si="66"/>
        <v>298.14999999999998</v>
      </c>
      <c r="K43" s="2601">
        <f t="shared" si="66"/>
        <v>293.14999999999998</v>
      </c>
      <c r="L43" s="2601">
        <f t="shared" si="66"/>
        <v>293.14999999999998</v>
      </c>
      <c r="M43" s="2601">
        <f t="shared" si="66"/>
        <v>293.14999999999998</v>
      </c>
      <c r="N43" s="2601">
        <f t="shared" si="66"/>
        <v>293.14999999999998</v>
      </c>
      <c r="O43" s="2601">
        <f t="shared" si="66"/>
        <v>293.14999999999998</v>
      </c>
      <c r="P43" s="2601">
        <f t="shared" si="66"/>
        <v>298.14999999999998</v>
      </c>
      <c r="Q43" s="2601">
        <f t="shared" si="66"/>
        <v>298.14999999999998</v>
      </c>
      <c r="R43" s="2601">
        <f t="shared" si="66"/>
        <v>298.14999999999998</v>
      </c>
      <c r="S43" s="2601">
        <f t="shared" si="66"/>
        <v>293.14999999999998</v>
      </c>
      <c r="T43" s="2601">
        <f t="shared" si="66"/>
        <v>293.14999999999998</v>
      </c>
      <c r="U43" s="2601">
        <f t="shared" si="66"/>
        <v>293.14999999999998</v>
      </c>
      <c r="V43" s="2601">
        <f t="shared" si="66"/>
        <v>298.14999999999998</v>
      </c>
      <c r="W43" s="2601">
        <f t="shared" si="66"/>
        <v>298.14999999999998</v>
      </c>
      <c r="X43" s="2778"/>
      <c r="Y43" s="522"/>
      <c r="Z43" s="522"/>
      <c r="AA43" s="2786"/>
      <c r="AB43" s="2778"/>
      <c r="AC43" s="522"/>
      <c r="AD43" s="522"/>
      <c r="AE43" s="522"/>
      <c r="AF43" s="522"/>
      <c r="AG43" s="522"/>
      <c r="AH43" s="522"/>
      <c r="AI43" s="522"/>
      <c r="AJ43" s="522"/>
      <c r="AK43" s="522"/>
      <c r="AL43" s="522"/>
      <c r="AM43" s="2898"/>
      <c r="AN43" s="2876"/>
      <c r="AO43" s="522"/>
      <c r="AP43" s="522"/>
      <c r="AQ43" s="522"/>
      <c r="AR43" s="522"/>
      <c r="AS43" s="522"/>
      <c r="AT43" s="522"/>
      <c r="AU43" s="522"/>
      <c r="AV43" s="522"/>
      <c r="AW43" s="522"/>
      <c r="AX43" s="522"/>
      <c r="AY43" s="522"/>
      <c r="AZ43" s="522"/>
      <c r="BA43" s="522"/>
      <c r="BB43" s="522"/>
      <c r="BC43" s="2786"/>
      <c r="BD43" s="2601">
        <f>BD42+$F59</f>
        <v>298.14999999999998</v>
      </c>
      <c r="BE43" s="2785"/>
      <c r="BF43" s="1630"/>
      <c r="BG43" s="2601">
        <f>BG42+$F59</f>
        <v>293.14999999999998</v>
      </c>
      <c r="BH43" s="2601">
        <f>BH42+$F59</f>
        <v>293.14999999999998</v>
      </c>
      <c r="BI43" s="535"/>
      <c r="BJ43" s="1629"/>
    </row>
    <row r="44" spans="1:62" s="207" customFormat="1">
      <c r="A44" s="2963"/>
      <c r="E44" s="520" t="s">
        <v>1236</v>
      </c>
      <c r="F44" s="207" t="s">
        <v>14</v>
      </c>
      <c r="G44" s="348" t="s">
        <v>15</v>
      </c>
      <c r="H44" s="1628">
        <f t="shared" ref="H44:W44" si="67">H41/$F61/H43</f>
        <v>3.5960555308039207E-4</v>
      </c>
      <c r="I44" s="1629">
        <f t="shared" si="67"/>
        <v>3.5960555308039207E-4</v>
      </c>
      <c r="J44" s="1629">
        <f t="shared" si="67"/>
        <v>2.3251768148038992E-3</v>
      </c>
      <c r="K44" s="1629">
        <f t="shared" si="67"/>
        <v>1.1200614092335304</v>
      </c>
      <c r="L44" s="1629">
        <f t="shared" si="67"/>
        <v>0.13416120176533497</v>
      </c>
      <c r="M44" s="1629">
        <f t="shared" si="67"/>
        <v>0.13416120176533497</v>
      </c>
      <c r="N44" s="1629">
        <f t="shared" si="67"/>
        <v>0.42833117627831713</v>
      </c>
      <c r="O44" s="1629">
        <f t="shared" si="67"/>
        <v>0.42833117627831713</v>
      </c>
      <c r="P44" s="1629">
        <f t="shared" si="67"/>
        <v>0.74386682208588695</v>
      </c>
      <c r="Q44" s="1629">
        <f t="shared" si="67"/>
        <v>0.74386682208588695</v>
      </c>
      <c r="R44" s="1629">
        <f t="shared" si="67"/>
        <v>0.10367341283951895</v>
      </c>
      <c r="S44" s="1629">
        <f t="shared" si="67"/>
        <v>0.12267339243986287</v>
      </c>
      <c r="T44" s="1629">
        <f t="shared" si="67"/>
        <v>0.12267339243986287</v>
      </c>
      <c r="U44" s="1629">
        <f t="shared" si="67"/>
        <v>0.8894108147123192</v>
      </c>
      <c r="V44" s="1629">
        <f t="shared" si="67"/>
        <v>2.9422272524759352</v>
      </c>
      <c r="W44" s="1629">
        <f t="shared" si="67"/>
        <v>2.9422272524759352</v>
      </c>
      <c r="X44" s="2817">
        <v>0.189</v>
      </c>
      <c r="Y44" s="2653">
        <v>0.218</v>
      </c>
      <c r="Z44" s="2653">
        <v>0.26600000000000001</v>
      </c>
      <c r="AA44" s="2779">
        <v>0.193</v>
      </c>
      <c r="AB44" s="2817">
        <v>0.48</v>
      </c>
      <c r="AC44" s="2653">
        <v>0.14000000000000001</v>
      </c>
      <c r="AD44" s="2653">
        <v>5.2999999999999999E-2</v>
      </c>
      <c r="AE44" s="2653">
        <v>1.2999999999999999E-2</v>
      </c>
      <c r="AF44" s="2653">
        <v>6.7000000000000002E-4</v>
      </c>
      <c r="AG44" s="2653">
        <v>33</v>
      </c>
      <c r="AH44" s="2653">
        <v>50</v>
      </c>
      <c r="AI44" s="2653">
        <v>80</v>
      </c>
      <c r="AJ44" s="2653">
        <v>120</v>
      </c>
      <c r="AK44" s="2653">
        <v>520</v>
      </c>
      <c r="AL44" s="2653">
        <v>4900</v>
      </c>
      <c r="AM44" s="2925">
        <v>10000</v>
      </c>
      <c r="AN44" s="2901">
        <v>4.1799999999999997E-3</v>
      </c>
      <c r="AO44" s="2653">
        <v>3.3899999999999998E-3</v>
      </c>
      <c r="AP44" s="2653">
        <v>4.9100000000000003E-3</v>
      </c>
      <c r="AQ44" s="2653">
        <v>3.1900000000000001E-3</v>
      </c>
      <c r="AR44" s="2653">
        <v>1.31E-3</v>
      </c>
      <c r="AS44" s="2653">
        <v>1.6000000000000001E-3</v>
      </c>
      <c r="AT44" s="2653">
        <v>4.17E-4</v>
      </c>
      <c r="AU44" s="2653">
        <v>3.7100000000000002E-4</v>
      </c>
      <c r="AV44" s="2653">
        <v>2.34E-4</v>
      </c>
      <c r="AW44" s="2653">
        <v>1.8000000000000001E-4</v>
      </c>
      <c r="AX44" s="2847">
        <f>AY44</f>
        <v>6.46E-6</v>
      </c>
      <c r="AY44" s="2653">
        <v>6.46E-6</v>
      </c>
      <c r="AZ44" s="2653">
        <v>4.6700000000000002E-6</v>
      </c>
      <c r="BA44" s="2653">
        <v>3.0699999999999998E-6</v>
      </c>
      <c r="BB44" s="2653">
        <v>3.0300000000000001E-5</v>
      </c>
      <c r="BC44" s="2779">
        <v>2.07E-11</v>
      </c>
      <c r="BD44" s="1629">
        <f>BD41/$F61/BD43</f>
        <v>1.3607801042701199E-5</v>
      </c>
      <c r="BE44" s="2860">
        <v>3.4000000000000002E-4</v>
      </c>
      <c r="BF44" s="2907">
        <v>3.4000000000000002E-4</v>
      </c>
      <c r="BG44" s="1629">
        <f>BG41/$F61/BG43</f>
        <v>0.29924102177236916</v>
      </c>
      <c r="BH44" s="1629">
        <f>BH41/$F61/BH43</f>
        <v>1.6718085827688216E-5</v>
      </c>
      <c r="BI44" s="535">
        <v>1.3300000000000001E-4</v>
      </c>
      <c r="BJ44" s="1629"/>
    </row>
    <row r="45" spans="1:62" s="2684" customFormat="1" ht="12.75" customHeight="1">
      <c r="A45" s="2990"/>
      <c r="E45" s="2714" t="s">
        <v>120</v>
      </c>
      <c r="F45" s="2620"/>
      <c r="G45" s="2751"/>
      <c r="H45" s="2918" t="s">
        <v>1220</v>
      </c>
      <c r="I45" s="2685" t="s">
        <v>1220</v>
      </c>
      <c r="J45" s="2685" t="s">
        <v>1220</v>
      </c>
      <c r="K45" s="2685" t="s">
        <v>1223</v>
      </c>
      <c r="L45" s="2685" t="s">
        <v>1223</v>
      </c>
      <c r="M45" s="2685" t="s">
        <v>1223</v>
      </c>
      <c r="N45" s="2685" t="s">
        <v>1223</v>
      </c>
      <c r="O45" s="2685" t="s">
        <v>1223</v>
      </c>
      <c r="P45" s="1631" t="s">
        <v>1223</v>
      </c>
      <c r="Q45" s="1631" t="s">
        <v>1223</v>
      </c>
      <c r="R45" s="1631" t="s">
        <v>1223</v>
      </c>
      <c r="S45" s="1631" t="s">
        <v>1223</v>
      </c>
      <c r="T45" s="1631" t="s">
        <v>1223</v>
      </c>
      <c r="U45" s="1631" t="s">
        <v>1223</v>
      </c>
      <c r="V45" s="2685" t="s">
        <v>1220</v>
      </c>
      <c r="W45" s="2685" t="s">
        <v>1220</v>
      </c>
      <c r="X45" s="4000" t="s">
        <v>337</v>
      </c>
      <c r="Y45" s="4001"/>
      <c r="Z45" s="4001"/>
      <c r="AA45" s="4002"/>
      <c r="AB45" s="4006" t="s">
        <v>1244</v>
      </c>
      <c r="AC45" s="4007"/>
      <c r="AD45" s="4007"/>
      <c r="AE45" s="4007"/>
      <c r="AF45" s="4007"/>
      <c r="AG45" s="4007"/>
      <c r="AH45" s="4007"/>
      <c r="AI45" s="4007"/>
      <c r="AJ45" s="4007"/>
      <c r="AK45" s="4007"/>
      <c r="AL45" s="4007"/>
      <c r="AM45" s="4008"/>
      <c r="AN45" s="3992" t="s">
        <v>1245</v>
      </c>
      <c r="AO45" s="3993"/>
      <c r="AP45" s="3993"/>
      <c r="AQ45" s="3993"/>
      <c r="AR45" s="3993"/>
      <c r="AS45" s="3993"/>
      <c r="AT45" s="3993"/>
      <c r="AU45" s="3993"/>
      <c r="AV45" s="3993"/>
      <c r="AW45" s="3993"/>
      <c r="AX45" s="3993"/>
      <c r="AY45" s="3993"/>
      <c r="AZ45" s="3993"/>
      <c r="BA45" s="3993"/>
      <c r="BB45" s="3993"/>
      <c r="BC45" s="3994"/>
      <c r="BD45" s="2685" t="s">
        <v>1246</v>
      </c>
      <c r="BE45" s="3980" t="s">
        <v>559</v>
      </c>
      <c r="BF45" s="3981"/>
      <c r="BG45" s="2685" t="s">
        <v>558</v>
      </c>
      <c r="BH45" s="2685" t="s">
        <v>563</v>
      </c>
      <c r="BI45" s="2686" t="s">
        <v>560</v>
      </c>
      <c r="BJ45" s="2685"/>
    </row>
    <row r="46" spans="1:62" s="2992" customFormat="1" ht="13.5" thickBot="1">
      <c r="A46" s="2991"/>
      <c r="E46" s="2993" t="s">
        <v>1229</v>
      </c>
      <c r="F46" s="2992" t="s">
        <v>16</v>
      </c>
      <c r="G46" s="2994" t="s">
        <v>13</v>
      </c>
      <c r="H46" s="2995">
        <f t="shared" ref="H46:AM46" si="68">H38*H44</f>
        <v>22.72707095468078</v>
      </c>
      <c r="I46" s="2996">
        <f t="shared" si="68"/>
        <v>22.72707095468078</v>
      </c>
      <c r="J46" s="2996">
        <f t="shared" si="68"/>
        <v>820.78741562577648</v>
      </c>
      <c r="K46" s="2996">
        <f t="shared" si="68"/>
        <v>1792.0982547736485</v>
      </c>
      <c r="L46" s="2996">
        <f t="shared" si="68"/>
        <v>107.32896141226797</v>
      </c>
      <c r="M46" s="2996">
        <f t="shared" si="68"/>
        <v>107.32896141226797</v>
      </c>
      <c r="N46" s="2996">
        <f t="shared" si="68"/>
        <v>458.31435861779931</v>
      </c>
      <c r="O46" s="2996">
        <f t="shared" si="68"/>
        <v>458.31435861779931</v>
      </c>
      <c r="P46" s="2996">
        <f t="shared" si="68"/>
        <v>111.58002331288304</v>
      </c>
      <c r="Q46" s="2996">
        <f t="shared" si="68"/>
        <v>111.58002331288304</v>
      </c>
      <c r="R46" s="2996">
        <f t="shared" si="68"/>
        <v>1741.7133357039183</v>
      </c>
      <c r="S46" s="2996">
        <f t="shared" si="68"/>
        <v>1005.9218180068756</v>
      </c>
      <c r="T46" s="2996">
        <f t="shared" si="68"/>
        <v>1005.9218180068756</v>
      </c>
      <c r="U46" s="2996">
        <f t="shared" si="68"/>
        <v>711.5286517698554</v>
      </c>
      <c r="V46" s="2996">
        <f t="shared" si="68"/>
        <v>3795.4731556939564</v>
      </c>
      <c r="W46" s="2996">
        <f t="shared" si="68"/>
        <v>3795.4731556939564</v>
      </c>
      <c r="X46" s="2997">
        <f t="shared" si="68"/>
        <v>340.2</v>
      </c>
      <c r="Y46" s="2996">
        <f t="shared" si="68"/>
        <v>109</v>
      </c>
      <c r="Z46" s="2996">
        <f t="shared" si="68"/>
        <v>45.22</v>
      </c>
      <c r="AA46" s="2998">
        <f t="shared" si="68"/>
        <v>34.74</v>
      </c>
      <c r="AB46" s="2997">
        <f t="shared" si="68"/>
        <v>31.2</v>
      </c>
      <c r="AC46" s="2996">
        <f t="shared" si="68"/>
        <v>3.5000000000000004</v>
      </c>
      <c r="AD46" s="2996">
        <f t="shared" si="68"/>
        <v>0.30740000000000001</v>
      </c>
      <c r="AE46" s="2996">
        <f t="shared" si="68"/>
        <v>8.4499999999999992E-3</v>
      </c>
      <c r="AF46" s="2996">
        <f t="shared" si="68"/>
        <v>4.4220000000000002E-6</v>
      </c>
      <c r="AG46" s="2996">
        <f t="shared" si="68"/>
        <v>1188</v>
      </c>
      <c r="AH46" s="2996">
        <f t="shared" si="68"/>
        <v>270</v>
      </c>
      <c r="AI46" s="2996">
        <f t="shared" si="68"/>
        <v>34.4</v>
      </c>
      <c r="AJ46" s="2996">
        <f t="shared" si="68"/>
        <v>4.08</v>
      </c>
      <c r="AK46" s="2996">
        <f t="shared" si="68"/>
        <v>0.3952</v>
      </c>
      <c r="AL46" s="2996">
        <f t="shared" si="68"/>
        <v>1.225E-2</v>
      </c>
      <c r="AM46" s="2999">
        <f t="shared" si="68"/>
        <v>3.0000000000000001E-3</v>
      </c>
      <c r="AN46" s="2995">
        <f t="shared" ref="AN46:BI46" si="69">AN38*AN44</f>
        <v>0.12539999999999998</v>
      </c>
      <c r="AO46" s="2996">
        <f t="shared" si="69"/>
        <v>5.4579000000000003E-2</v>
      </c>
      <c r="AP46" s="2996">
        <f t="shared" si="69"/>
        <v>1.8658000000000001E-2</v>
      </c>
      <c r="AQ46" s="2996">
        <f t="shared" si="69"/>
        <v>6.0609999999999995E-3</v>
      </c>
      <c r="AR46" s="2996">
        <f t="shared" si="69"/>
        <v>1.441E-3</v>
      </c>
      <c r="AS46" s="3000">
        <f t="shared" si="69"/>
        <v>7.2000000000000002E-5</v>
      </c>
      <c r="AT46" s="3000">
        <f t="shared" si="69"/>
        <v>1.0842000000000001E-4</v>
      </c>
      <c r="AU46" s="3000">
        <f t="shared" si="69"/>
        <v>4.8972000000000005E-5</v>
      </c>
      <c r="AV46" s="3000">
        <f t="shared" si="69"/>
        <v>2.5739999999999998E-6</v>
      </c>
      <c r="AW46" s="3000">
        <f t="shared" si="69"/>
        <v>2.7000000000000001E-7</v>
      </c>
      <c r="AX46" s="3000">
        <f t="shared" si="69"/>
        <v>9.6899999999999994E-9</v>
      </c>
      <c r="AY46" s="3000">
        <f t="shared" si="69"/>
        <v>5.1680000000000004E-9</v>
      </c>
      <c r="AZ46" s="3000">
        <f t="shared" si="69"/>
        <v>1.401E-9</v>
      </c>
      <c r="BA46" s="3000">
        <f t="shared" si="69"/>
        <v>1.535E-9</v>
      </c>
      <c r="BB46" s="3000">
        <f t="shared" si="69"/>
        <v>9.09E-8</v>
      </c>
      <c r="BC46" s="2998">
        <f t="shared" si="69"/>
        <v>1.2834E-12</v>
      </c>
      <c r="BD46" s="2996">
        <f t="shared" si="69"/>
        <v>1.1362513870655502</v>
      </c>
      <c r="BE46" s="2997">
        <f t="shared" si="69"/>
        <v>7.6500000000000003E-5</v>
      </c>
      <c r="BF46" s="2999">
        <f t="shared" si="69"/>
        <v>7.6500000000000003E-5</v>
      </c>
      <c r="BG46" s="2996">
        <f t="shared" si="69"/>
        <v>1.696696593449333E-2</v>
      </c>
      <c r="BH46" s="2996">
        <f t="shared" si="69"/>
        <v>0.1003085149661293</v>
      </c>
      <c r="BI46" s="3001">
        <f t="shared" si="69"/>
        <v>133</v>
      </c>
      <c r="BJ46" s="2996"/>
    </row>
    <row r="47" spans="1:62" s="2863" customFormat="1" ht="13.5" thickBot="1">
      <c r="A47" s="2862"/>
      <c r="E47" s="2864" t="s">
        <v>1248</v>
      </c>
      <c r="G47" s="394"/>
      <c r="H47" s="2939"/>
      <c r="I47" s="2865"/>
      <c r="J47" s="2865"/>
      <c r="K47" s="2865"/>
      <c r="L47" s="2865"/>
      <c r="M47" s="2648"/>
      <c r="N47" s="2865"/>
      <c r="O47" s="2865"/>
      <c r="P47" s="2865"/>
      <c r="Q47" s="2865"/>
      <c r="R47" s="2865"/>
      <c r="S47" s="2865"/>
      <c r="T47" s="2865"/>
      <c r="U47" s="2865"/>
      <c r="V47" s="2865"/>
      <c r="W47" s="2865"/>
      <c r="X47" s="2866"/>
      <c r="Y47" s="2865"/>
      <c r="Z47" s="2865"/>
      <c r="AA47" s="2867"/>
      <c r="AB47" s="2866"/>
      <c r="AC47" s="2865"/>
      <c r="AD47" s="2865"/>
      <c r="AE47" s="2865"/>
      <c r="AF47" s="2865"/>
      <c r="AG47" s="2865"/>
      <c r="AH47" s="2865"/>
      <c r="AI47" s="2865"/>
      <c r="AJ47" s="2865"/>
      <c r="AK47" s="2865"/>
      <c r="AL47" s="2865"/>
      <c r="AM47" s="2909"/>
      <c r="AN47" s="2908" t="s">
        <v>219</v>
      </c>
      <c r="AO47" s="2868"/>
      <c r="AP47" s="2865"/>
      <c r="AQ47" s="2869" t="s">
        <v>1242</v>
      </c>
      <c r="AR47" s="2865"/>
      <c r="AS47" s="2865"/>
      <c r="AT47" s="2865"/>
      <c r="AU47" s="2865"/>
      <c r="AV47" s="2865"/>
      <c r="AW47" s="2865"/>
      <c r="AX47" s="2865"/>
      <c r="AY47" s="2865"/>
      <c r="AZ47" s="2865"/>
      <c r="BA47" s="2865"/>
      <c r="BB47" s="2865"/>
      <c r="BC47" s="2867"/>
      <c r="BD47" s="2865"/>
      <c r="BE47" s="2866"/>
      <c r="BF47" s="2909"/>
      <c r="BG47" s="2865"/>
      <c r="BH47" s="2865"/>
      <c r="BI47" s="2870"/>
      <c r="BJ47" s="2865"/>
    </row>
    <row r="48" spans="1:62">
      <c r="E48" s="806"/>
      <c r="F48" s="806"/>
      <c r="G48" s="806"/>
    </row>
    <row r="49" spans="1:62" s="207" customFormat="1">
      <c r="H49" s="1628"/>
      <c r="I49" s="1629"/>
      <c r="J49" s="1629"/>
      <c r="L49" s="1629"/>
      <c r="M49" s="1629"/>
      <c r="N49" s="1629"/>
      <c r="O49" s="1629"/>
      <c r="P49" s="1629"/>
      <c r="Q49" s="1629"/>
      <c r="R49" s="1629"/>
      <c r="S49" s="1629"/>
      <c r="T49" s="1629"/>
      <c r="U49" s="1629"/>
      <c r="V49" s="1629"/>
      <c r="W49" s="1629"/>
      <c r="X49" s="2778"/>
      <c r="Y49" s="522"/>
      <c r="Z49" s="522"/>
      <c r="AA49" s="2786"/>
      <c r="AB49" s="2778"/>
      <c r="AC49" s="522"/>
      <c r="AD49" s="522"/>
      <c r="AE49" s="522"/>
      <c r="AF49" s="522"/>
      <c r="AG49" s="522"/>
      <c r="AH49" s="522"/>
      <c r="AI49" s="522"/>
      <c r="AJ49" s="522"/>
      <c r="AK49" s="522"/>
      <c r="AL49" s="522"/>
      <c r="AM49" s="2898"/>
      <c r="AN49" s="2876"/>
      <c r="AO49" s="522"/>
      <c r="AP49" s="522"/>
      <c r="AQ49" s="522"/>
      <c r="AR49" s="522"/>
      <c r="AS49" s="522"/>
      <c r="AT49" s="522"/>
      <c r="AU49" s="522"/>
      <c r="AV49" s="522"/>
      <c r="AW49" s="522"/>
      <c r="AX49" s="522"/>
      <c r="AY49" s="522"/>
      <c r="AZ49" s="522"/>
      <c r="BA49" s="522"/>
      <c r="BB49" s="522"/>
      <c r="BC49" s="2786"/>
      <c r="BD49" s="1629"/>
      <c r="BE49" s="2785"/>
      <c r="BF49" s="1630"/>
      <c r="BG49" s="2633"/>
      <c r="BH49" s="2633"/>
      <c r="BI49" s="535"/>
      <c r="BJ49" s="1629"/>
    </row>
    <row r="50" spans="1:62" s="207" customFormat="1">
      <c r="H50" s="1628"/>
      <c r="I50" s="1629"/>
      <c r="J50" s="1629"/>
      <c r="L50" s="1629"/>
      <c r="M50" s="1629"/>
      <c r="N50" s="1629"/>
      <c r="O50" s="1629"/>
      <c r="P50" s="1629"/>
      <c r="Q50" s="1629"/>
      <c r="R50" s="1629"/>
      <c r="S50" s="1629"/>
      <c r="T50" s="1629"/>
      <c r="U50" s="1629"/>
      <c r="V50" s="1629"/>
      <c r="W50" s="1629"/>
      <c r="X50" s="2778"/>
      <c r="Y50" s="522"/>
      <c r="Z50" s="522"/>
      <c r="AA50" s="2786"/>
      <c r="AB50" s="2778"/>
      <c r="AC50" s="522"/>
      <c r="AD50" s="522"/>
      <c r="AE50" s="522"/>
      <c r="AF50" s="522"/>
      <c r="AG50" s="522"/>
      <c r="AH50" s="522"/>
      <c r="AI50" s="522"/>
      <c r="AJ50" s="522"/>
      <c r="AK50" s="522"/>
      <c r="AL50" s="522"/>
      <c r="AM50" s="2898"/>
      <c r="AN50" s="2876"/>
      <c r="AO50" s="522"/>
      <c r="AP50" s="522"/>
      <c r="AQ50" s="522"/>
      <c r="AR50" s="522"/>
      <c r="AS50" s="522"/>
      <c r="AT50" s="522"/>
      <c r="AU50" s="522"/>
      <c r="AV50" s="522"/>
      <c r="AW50" s="522"/>
      <c r="AX50" s="522"/>
      <c r="AY50" s="522"/>
      <c r="AZ50" s="522"/>
      <c r="BA50" s="522"/>
      <c r="BB50" s="522"/>
      <c r="BC50" s="2786"/>
      <c r="BD50" s="2632"/>
      <c r="BE50" s="2785"/>
      <c r="BF50" s="1630"/>
      <c r="BG50" s="2626"/>
      <c r="BH50" s="2626"/>
      <c r="BI50" s="2626"/>
      <c r="BJ50" s="1629"/>
    </row>
    <row r="51" spans="1:62" ht="13.5" thickBot="1"/>
    <row r="52" spans="1:62" s="3508" customFormat="1">
      <c r="A52" s="3507"/>
      <c r="E52" s="3640" t="s">
        <v>1262</v>
      </c>
      <c r="G52" s="3509"/>
      <c r="H52" s="3510"/>
      <c r="I52" s="3511"/>
      <c r="J52" s="3511"/>
      <c r="K52" s="3511"/>
      <c r="L52" s="3511"/>
      <c r="M52" s="499"/>
      <c r="N52" s="3511"/>
      <c r="O52" s="3511"/>
      <c r="P52" s="3511"/>
      <c r="Q52" s="3511"/>
      <c r="R52" s="3511"/>
      <c r="S52" s="3511"/>
      <c r="T52" s="3511"/>
      <c r="U52" s="3511"/>
      <c r="V52" s="3511"/>
      <c r="W52" s="3511"/>
      <c r="X52" s="3512"/>
      <c r="Y52" s="3511"/>
      <c r="Z52" s="3511"/>
      <c r="AA52" s="3513"/>
      <c r="AB52" s="3512"/>
      <c r="AC52" s="3511"/>
      <c r="AD52" s="3511"/>
      <c r="AE52" s="3511"/>
      <c r="AF52" s="3511"/>
      <c r="AG52" s="3511"/>
      <c r="AH52" s="3511"/>
      <c r="AI52" s="3511"/>
      <c r="AJ52" s="3511"/>
      <c r="AK52" s="3511"/>
      <c r="AL52" s="3511"/>
      <c r="AM52" s="3514"/>
      <c r="AN52" s="3510"/>
      <c r="AO52" s="3511"/>
      <c r="AP52" s="3511"/>
      <c r="AQ52" s="3511"/>
      <c r="AR52" s="3511"/>
      <c r="AS52" s="3511"/>
      <c r="AT52" s="3511"/>
      <c r="AU52" s="3511"/>
      <c r="AV52" s="3511"/>
      <c r="AW52" s="3511"/>
      <c r="AX52" s="3511"/>
      <c r="AY52" s="3511"/>
      <c r="AZ52" s="3511"/>
      <c r="BA52" s="3511"/>
      <c r="BB52" s="3511"/>
      <c r="BC52" s="3513"/>
      <c r="BD52" s="3511"/>
      <c r="BE52" s="3512"/>
      <c r="BF52" s="3514"/>
      <c r="BG52" s="3511"/>
      <c r="BH52" s="3511"/>
      <c r="BI52" s="3515"/>
      <c r="BJ52" s="3511"/>
    </row>
    <row r="53" spans="1:62" s="2616" customFormat="1" ht="14.45" customHeight="1">
      <c r="A53" s="3516"/>
      <c r="E53" s="209" t="s">
        <v>1212</v>
      </c>
      <c r="F53" s="2611"/>
      <c r="G53" s="2595"/>
      <c r="H53" s="1294">
        <f t="shared" ref="H53:AM53" si="70">101.3*H22/$F61/293.15</f>
        <v>3.0805200741344447</v>
      </c>
      <c r="I53" s="1290">
        <f t="shared" si="70"/>
        <v>3.0805200741344447</v>
      </c>
      <c r="J53" s="1290">
        <f t="shared" si="70"/>
        <v>2.9969819555563246</v>
      </c>
      <c r="K53" s="1290">
        <f t="shared" si="70"/>
        <v>2.5975783139962596</v>
      </c>
      <c r="L53" s="1290">
        <f t="shared" si="70"/>
        <v>4.0289478681407589</v>
      </c>
      <c r="M53" s="1290">
        <f t="shared" si="70"/>
        <v>4.0289478681407589</v>
      </c>
      <c r="N53" s="1290">
        <f t="shared" si="70"/>
        <v>5.4607330348154965</v>
      </c>
      <c r="O53" s="1290">
        <f t="shared" si="70"/>
        <v>5.4607330348154965</v>
      </c>
      <c r="P53" s="1290">
        <f t="shared" si="70"/>
        <v>6.8921025889599967</v>
      </c>
      <c r="Q53" s="1290">
        <f t="shared" si="70"/>
        <v>6.8921025889599967</v>
      </c>
      <c r="R53" s="2687">
        <f t="shared" si="70"/>
        <v>3.5297972193232381</v>
      </c>
      <c r="S53" s="1290">
        <f t="shared" si="70"/>
        <v>4.9615823859979757</v>
      </c>
      <c r="T53" s="1290">
        <f t="shared" si="70"/>
        <v>4.9615823859979757</v>
      </c>
      <c r="U53" s="1290">
        <f t="shared" si="70"/>
        <v>6.392951940142475</v>
      </c>
      <c r="V53" s="1290">
        <f t="shared" si="70"/>
        <v>5.5451023784540956</v>
      </c>
      <c r="W53" s="1290">
        <f t="shared" si="70"/>
        <v>5.5451023784540956</v>
      </c>
      <c r="X53" s="2810">
        <f t="shared" si="70"/>
        <v>3.2417777358673323</v>
      </c>
      <c r="Y53" s="2672">
        <f t="shared" si="70"/>
        <v>3.7405127721546143</v>
      </c>
      <c r="Z53" s="2672">
        <f t="shared" si="70"/>
        <v>4.2392478084418963</v>
      </c>
      <c r="AA53" s="2811">
        <f t="shared" si="70"/>
        <v>4.2392478084418963</v>
      </c>
      <c r="AB53" s="1292">
        <f t="shared" si="70"/>
        <v>4.9873503628728191</v>
      </c>
      <c r="AC53" s="1290">
        <f t="shared" si="70"/>
        <v>5.4029628931122211</v>
      </c>
      <c r="AD53" s="1290">
        <f t="shared" si="70"/>
        <v>6.2341879535910234</v>
      </c>
      <c r="AE53" s="1290">
        <f t="shared" si="70"/>
        <v>7.8966380745486298</v>
      </c>
      <c r="AF53" s="1290">
        <f t="shared" si="70"/>
        <v>9.9747007257456382</v>
      </c>
      <c r="AG53" s="2688">
        <f t="shared" si="70"/>
        <v>3.3664614949391529</v>
      </c>
      <c r="AH53" s="2672">
        <f t="shared" si="70"/>
        <v>4.1561253023940159</v>
      </c>
      <c r="AI53" s="1290">
        <f t="shared" si="70"/>
        <v>5.4029628931122211</v>
      </c>
      <c r="AJ53" s="1290">
        <f t="shared" si="70"/>
        <v>6.6498004838304254</v>
      </c>
      <c r="AK53" s="1290">
        <f t="shared" si="70"/>
        <v>8.3122506047880318</v>
      </c>
      <c r="AL53" s="1290">
        <f t="shared" si="70"/>
        <v>11.221538316463842</v>
      </c>
      <c r="AM53" s="1291">
        <f t="shared" si="70"/>
        <v>13.299600967660851</v>
      </c>
      <c r="AN53" s="1294">
        <f t="shared" ref="AN53:BI53" si="71">101.3*AN22/$F61/293.15</f>
        <v>5.3277370251388882</v>
      </c>
      <c r="AO53" s="1290">
        <f t="shared" si="71"/>
        <v>6.3256227102436915</v>
      </c>
      <c r="AP53" s="1290">
        <f t="shared" si="71"/>
        <v>6.409160828821812</v>
      </c>
      <c r="AQ53" s="1290">
        <f t="shared" si="71"/>
        <v>6.9074802525788535</v>
      </c>
      <c r="AR53" s="1290">
        <f t="shared" si="71"/>
        <v>7.4062152888661359</v>
      </c>
      <c r="AS53" s="1290">
        <f t="shared" si="71"/>
        <v>7.4062152888661359</v>
      </c>
      <c r="AT53" s="2687">
        <f t="shared" si="71"/>
        <v>8.4078414867430951</v>
      </c>
      <c r="AU53" s="2687">
        <f t="shared" si="71"/>
        <v>8.4078414867430951</v>
      </c>
      <c r="AV53" s="2687">
        <f t="shared" si="71"/>
        <v>9.4884340653655386</v>
      </c>
      <c r="AW53" s="2687">
        <f t="shared" si="71"/>
        <v>9.4884340653655386</v>
      </c>
      <c r="AX53" s="2687">
        <f t="shared" si="71"/>
        <v>10.48673536300058</v>
      </c>
      <c r="AY53" s="2687">
        <f t="shared" si="71"/>
        <v>10.48673536300058</v>
      </c>
      <c r="AZ53" s="2687">
        <f t="shared" si="71"/>
        <v>10.485904137940103</v>
      </c>
      <c r="BA53" s="2687">
        <f t="shared" si="71"/>
        <v>11.570652841864939</v>
      </c>
      <c r="BB53" s="2687">
        <f t="shared" si="71"/>
        <v>11.153377861504582</v>
      </c>
      <c r="BC53" s="1293">
        <f t="shared" si="71"/>
        <v>11.483374210514665</v>
      </c>
      <c r="BD53" s="1290">
        <f t="shared" si="71"/>
        <v>3.9113295220830082</v>
      </c>
      <c r="BE53" s="1292">
        <f t="shared" si="71"/>
        <v>10.70202265366459</v>
      </c>
      <c r="BF53" s="1291">
        <f t="shared" si="71"/>
        <v>10.70202265366459</v>
      </c>
      <c r="BG53" s="1290">
        <f t="shared" si="71"/>
        <v>8.3367717440721556</v>
      </c>
      <c r="BH53" s="1290">
        <f t="shared" si="71"/>
        <v>8.9389943003890497</v>
      </c>
      <c r="BI53" s="2689">
        <f t="shared" si="71"/>
        <v>1.1234006692371026</v>
      </c>
      <c r="BJ53" s="835"/>
    </row>
    <row r="54" spans="1:62" s="421" customFormat="1" ht="14.45" customHeight="1">
      <c r="A54" s="2962"/>
      <c r="E54" s="208" t="s">
        <v>30</v>
      </c>
      <c r="F54" s="537"/>
      <c r="G54" s="347"/>
      <c r="H54" s="1270">
        <v>3.08</v>
      </c>
      <c r="I54" s="636">
        <v>3.08</v>
      </c>
      <c r="J54" s="636">
        <v>3</v>
      </c>
      <c r="K54" s="636">
        <v>2.6</v>
      </c>
      <c r="L54" s="2621">
        <v>4.04</v>
      </c>
      <c r="M54" s="2621">
        <v>4.04</v>
      </c>
      <c r="N54" s="636">
        <v>5.47</v>
      </c>
      <c r="O54" s="636">
        <v>5.47</v>
      </c>
      <c r="P54" s="636">
        <v>6.9</v>
      </c>
      <c r="Q54" s="636">
        <v>6.9</v>
      </c>
      <c r="R54" s="2621">
        <v>3.53</v>
      </c>
      <c r="S54" s="636">
        <v>4.96</v>
      </c>
      <c r="T54" s="636">
        <v>4.96</v>
      </c>
      <c r="U54" s="636">
        <v>6.39</v>
      </c>
      <c r="V54" s="636">
        <v>5.55</v>
      </c>
      <c r="W54" s="636">
        <v>5.55</v>
      </c>
      <c r="X54" s="3424">
        <f>16/5</f>
        <v>3.2</v>
      </c>
      <c r="Y54" s="3416">
        <f>375/100</f>
        <v>3.75</v>
      </c>
      <c r="Z54" s="3416">
        <f>435/100</f>
        <v>4.3499999999999996</v>
      </c>
      <c r="AA54" s="3417">
        <f>435/100</f>
        <v>4.3499999999999996</v>
      </c>
      <c r="AB54" s="829"/>
      <c r="AC54" s="530"/>
      <c r="AD54" s="530"/>
      <c r="AE54" s="530"/>
      <c r="AF54" s="530"/>
      <c r="AG54" s="420" t="s">
        <v>346</v>
      </c>
      <c r="AH54" s="420" t="s">
        <v>347</v>
      </c>
      <c r="AI54" s="530"/>
      <c r="AJ54" s="530"/>
      <c r="AK54" s="530"/>
      <c r="AL54" s="530"/>
      <c r="AM54" s="628"/>
      <c r="AN54" s="627"/>
      <c r="AO54" s="530"/>
      <c r="AP54" s="530"/>
      <c r="AQ54" s="530"/>
      <c r="AR54" s="530"/>
      <c r="AS54" s="2622"/>
      <c r="AT54" s="2622"/>
      <c r="AU54" s="2622"/>
      <c r="AV54" s="2622"/>
      <c r="AW54" s="1682"/>
      <c r="AX54" s="1682"/>
      <c r="AY54" s="1682"/>
      <c r="AZ54" s="1682"/>
      <c r="BA54" s="1682"/>
      <c r="BB54" s="1682"/>
      <c r="BC54" s="830"/>
      <c r="BD54" s="530"/>
      <c r="BE54" s="829"/>
      <c r="BF54" s="628"/>
      <c r="BG54" s="530"/>
      <c r="BH54" s="530"/>
      <c r="BI54" s="531"/>
      <c r="BJ54" s="530"/>
    </row>
    <row r="55" spans="1:62" s="421" customFormat="1" ht="14.45" customHeight="1">
      <c r="A55" s="2962"/>
      <c r="E55" s="208" t="s">
        <v>654</v>
      </c>
      <c r="F55" s="537"/>
      <c r="G55" s="347"/>
      <c r="H55" s="1270"/>
      <c r="I55" s="636"/>
      <c r="J55" s="636"/>
      <c r="K55" s="636"/>
      <c r="L55" s="2621">
        <v>4.04</v>
      </c>
      <c r="M55" s="2621">
        <v>4.04</v>
      </c>
      <c r="N55" s="636">
        <v>5.4</v>
      </c>
      <c r="O55" s="636">
        <v>5.4</v>
      </c>
      <c r="P55" s="636">
        <v>6.7</v>
      </c>
      <c r="Q55" s="636">
        <v>6.7</v>
      </c>
      <c r="R55" s="2621"/>
      <c r="S55" s="636">
        <v>5</v>
      </c>
      <c r="T55" s="636">
        <v>5</v>
      </c>
      <c r="U55" s="636">
        <v>6</v>
      </c>
      <c r="V55" s="636">
        <v>5.55</v>
      </c>
      <c r="W55" s="636">
        <v>5.55</v>
      </c>
      <c r="X55" s="3424">
        <v>3.25</v>
      </c>
      <c r="Y55" s="3416">
        <v>3.75</v>
      </c>
      <c r="Z55" s="3416">
        <v>4.42</v>
      </c>
      <c r="AA55" s="3417">
        <v>4.42</v>
      </c>
      <c r="AB55" s="829"/>
      <c r="AC55" s="530"/>
      <c r="AD55" s="530"/>
      <c r="AE55" s="530"/>
      <c r="AF55" s="530"/>
      <c r="AG55" s="420"/>
      <c r="AH55" s="420"/>
      <c r="AI55" s="530"/>
      <c r="AJ55" s="530"/>
      <c r="AK55" s="530"/>
      <c r="AL55" s="530"/>
      <c r="AM55" s="628"/>
      <c r="AN55" s="627">
        <v>5.24</v>
      </c>
      <c r="AO55" s="530"/>
      <c r="AP55" s="530"/>
      <c r="AQ55" s="530"/>
      <c r="AR55" s="530"/>
      <c r="AS55" s="2622"/>
      <c r="AT55" s="2622"/>
      <c r="AU55" s="2622"/>
      <c r="AV55" s="2622"/>
      <c r="AW55" s="1682"/>
      <c r="AX55" s="1682"/>
      <c r="AY55" s="1682"/>
      <c r="AZ55" s="1682"/>
      <c r="BA55" s="1682"/>
      <c r="BB55" s="1682"/>
      <c r="BC55" s="830"/>
      <c r="BD55" s="530">
        <v>3.91</v>
      </c>
      <c r="BE55" s="829"/>
      <c r="BF55" s="628"/>
      <c r="BG55" s="530"/>
      <c r="BH55" s="530"/>
      <c r="BI55" s="531"/>
      <c r="BJ55" s="530"/>
    </row>
    <row r="56" spans="1:62" s="2680" customFormat="1">
      <c r="A56" s="3517"/>
      <c r="E56" s="3503" t="s">
        <v>556</v>
      </c>
      <c r="F56" s="3504"/>
      <c r="G56" s="2681"/>
      <c r="H56" s="2914"/>
      <c r="I56" s="2682"/>
      <c r="J56" s="2682"/>
      <c r="K56" s="2682"/>
      <c r="L56" s="2682"/>
      <c r="M56" s="835"/>
      <c r="N56" s="2682"/>
      <c r="O56" s="2682"/>
      <c r="P56" s="2682"/>
      <c r="Q56" s="2682"/>
      <c r="R56" s="2682"/>
      <c r="S56" s="2682"/>
      <c r="T56" s="2682"/>
      <c r="U56" s="2682"/>
      <c r="V56" s="2682"/>
      <c r="W56" s="2682"/>
      <c r="X56" s="2818"/>
      <c r="Y56" s="2682"/>
      <c r="Z56" s="2682"/>
      <c r="AA56" s="2819"/>
      <c r="AB56" s="2818"/>
      <c r="AC56" s="2682"/>
      <c r="AD56" s="2682"/>
      <c r="AE56" s="2682"/>
      <c r="AF56" s="2682"/>
      <c r="AG56" s="2682"/>
      <c r="AH56" s="2682"/>
      <c r="AI56" s="2682"/>
      <c r="AJ56" s="2682"/>
      <c r="AK56" s="2682"/>
      <c r="AL56" s="2682"/>
      <c r="AM56" s="2915"/>
      <c r="AN56" s="2914"/>
      <c r="AO56" s="2682"/>
      <c r="AP56" s="2682"/>
      <c r="AQ56" s="2682"/>
      <c r="AR56" s="2682"/>
      <c r="AS56" s="2682"/>
      <c r="AT56" s="2682"/>
      <c r="AU56" s="2682"/>
      <c r="AV56" s="2682"/>
      <c r="AW56" s="2682"/>
      <c r="AX56" s="2682"/>
      <c r="AY56" s="2682"/>
      <c r="AZ56" s="2682"/>
      <c r="BA56" s="2682"/>
      <c r="BB56" s="2682"/>
      <c r="BC56" s="2819"/>
      <c r="BD56" s="2682"/>
      <c r="BE56" s="2818"/>
      <c r="BF56" s="2915"/>
      <c r="BG56" s="2682"/>
      <c r="BH56" s="2682"/>
      <c r="BI56" s="2683"/>
      <c r="BJ56" s="2682"/>
    </row>
    <row r="57" spans="1:62" s="417" customFormat="1">
      <c r="A57" s="2965"/>
      <c r="E57" s="2634" t="s">
        <v>1213</v>
      </c>
      <c r="G57" s="2635"/>
      <c r="H57" s="3412"/>
      <c r="I57" s="3413"/>
      <c r="J57" s="3413"/>
      <c r="K57" s="3413"/>
      <c r="L57" s="3413"/>
      <c r="M57" s="530"/>
      <c r="N57" s="3413"/>
      <c r="O57" s="3413"/>
      <c r="P57" s="3413"/>
      <c r="Q57" s="3413"/>
      <c r="R57" s="3413"/>
      <c r="S57" s="3413"/>
      <c r="T57" s="3413"/>
      <c r="U57" s="3413"/>
      <c r="V57" s="3413"/>
      <c r="W57" s="3413"/>
      <c r="X57" s="2808"/>
      <c r="Y57" s="3413"/>
      <c r="Z57" s="3413"/>
      <c r="AA57" s="3414"/>
      <c r="AB57" s="2808"/>
      <c r="AC57" s="3413"/>
      <c r="AD57" s="3413"/>
      <c r="AE57" s="3413"/>
      <c r="AF57" s="3413"/>
      <c r="AG57" s="3413"/>
      <c r="AH57" s="3413"/>
      <c r="AI57" s="3413"/>
      <c r="AJ57" s="3413"/>
      <c r="AK57" s="3413"/>
      <c r="AL57" s="3413"/>
      <c r="AM57" s="2917"/>
      <c r="AN57" s="3412"/>
      <c r="AO57" s="3413"/>
      <c r="AP57" s="3413"/>
      <c r="AQ57" s="3413"/>
      <c r="AR57" s="3413"/>
      <c r="AS57" s="3413"/>
      <c r="AT57" s="3413"/>
      <c r="AU57" s="3413"/>
      <c r="AV57" s="3413"/>
      <c r="AW57" s="3413"/>
      <c r="AX57" s="3413"/>
      <c r="AY57" s="3413"/>
      <c r="AZ57" s="3413"/>
      <c r="BA57" s="3413"/>
      <c r="BB57" s="3413"/>
      <c r="BC57" s="3414"/>
      <c r="BD57" s="3413"/>
      <c r="BE57" s="2808"/>
      <c r="BF57" s="2917"/>
      <c r="BG57" s="3413"/>
      <c r="BH57" s="3413"/>
      <c r="BI57" s="2584"/>
      <c r="BJ57" s="3413"/>
    </row>
    <row r="58" spans="1:62" s="2684" customFormat="1">
      <c r="A58" s="2990"/>
      <c r="E58" s="3505" t="s">
        <v>1217</v>
      </c>
      <c r="G58" s="3506"/>
      <c r="H58" s="3418"/>
      <c r="I58" s="3419"/>
      <c r="J58" s="3419"/>
      <c r="K58" s="3419"/>
      <c r="L58" s="3419"/>
      <c r="M58" s="1631"/>
      <c r="N58" s="3419"/>
      <c r="O58" s="3419"/>
      <c r="P58" s="3419"/>
      <c r="Q58" s="3419"/>
      <c r="R58" s="3419"/>
      <c r="S58" s="3419"/>
      <c r="T58" s="3419"/>
      <c r="U58" s="3419"/>
      <c r="V58" s="3419"/>
      <c r="W58" s="3419"/>
      <c r="X58" s="3406"/>
      <c r="Y58" s="3419"/>
      <c r="Z58" s="3419"/>
      <c r="AA58" s="3420"/>
      <c r="AB58" s="3406"/>
      <c r="AC58" s="3419"/>
      <c r="AD58" s="3419"/>
      <c r="AE58" s="3419"/>
      <c r="AF58" s="3419"/>
      <c r="AG58" s="3419"/>
      <c r="AH58" s="3419"/>
      <c r="AI58" s="3419"/>
      <c r="AJ58" s="3419"/>
      <c r="AK58" s="3419"/>
      <c r="AL58" s="3419"/>
      <c r="AM58" s="3407"/>
      <c r="AN58" s="3418"/>
      <c r="AO58" s="3419"/>
      <c r="AP58" s="3419"/>
      <c r="AQ58" s="3419"/>
      <c r="AR58" s="3419"/>
      <c r="AS58" s="3419"/>
      <c r="AT58" s="3419"/>
      <c r="AU58" s="3419"/>
      <c r="AV58" s="3419"/>
      <c r="AW58" s="3419"/>
      <c r="AX58" s="3419"/>
      <c r="AY58" s="3419"/>
      <c r="AZ58" s="3419"/>
      <c r="BA58" s="3419"/>
      <c r="BB58" s="3419"/>
      <c r="BC58" s="3420"/>
      <c r="BD58" s="3419"/>
      <c r="BE58" s="3406"/>
      <c r="BF58" s="3407"/>
      <c r="BG58" s="3419"/>
      <c r="BH58" s="3419"/>
      <c r="BI58" s="2686"/>
      <c r="BJ58" s="3419"/>
    </row>
    <row r="59" spans="1:62" s="417" customFormat="1">
      <c r="A59" s="2965"/>
      <c r="E59" s="2634" t="s">
        <v>1219</v>
      </c>
      <c r="F59" s="2701">
        <v>273.14999999999998</v>
      </c>
      <c r="G59" s="2635" t="s">
        <v>122</v>
      </c>
      <c r="H59" s="3412"/>
      <c r="I59" s="3413"/>
      <c r="J59" s="3413"/>
      <c r="K59" s="3413"/>
      <c r="L59" s="3413"/>
      <c r="M59" s="530"/>
      <c r="N59" s="3413"/>
      <c r="O59" s="3413"/>
      <c r="P59" s="3413"/>
      <c r="Q59" s="3413"/>
      <c r="R59" s="3413"/>
      <c r="S59" s="3413"/>
      <c r="T59" s="3413"/>
      <c r="U59" s="3413"/>
      <c r="V59" s="3413"/>
      <c r="W59" s="3413"/>
      <c r="X59" s="2808"/>
      <c r="Y59" s="3413"/>
      <c r="Z59" s="3413"/>
      <c r="AA59" s="3414"/>
      <c r="AB59" s="2808"/>
      <c r="AC59" s="3413"/>
      <c r="AD59" s="3413"/>
      <c r="AE59" s="3413"/>
      <c r="AF59" s="3413"/>
      <c r="AG59" s="3413"/>
      <c r="AH59" s="3413"/>
      <c r="AI59" s="3413"/>
      <c r="AJ59" s="3413"/>
      <c r="AK59" s="3413"/>
      <c r="AL59" s="3413"/>
      <c r="AM59" s="2917"/>
      <c r="AN59" s="3412"/>
      <c r="AO59" s="3413"/>
      <c r="AP59" s="3413"/>
      <c r="AQ59" s="3413"/>
      <c r="AR59" s="3413"/>
      <c r="AS59" s="3413"/>
      <c r="AT59" s="3413"/>
      <c r="AU59" s="3413"/>
      <c r="AV59" s="3413"/>
      <c r="AW59" s="3413"/>
      <c r="AX59" s="3413"/>
      <c r="AY59" s="3413"/>
      <c r="AZ59" s="3413"/>
      <c r="BA59" s="3413"/>
      <c r="BB59" s="3413"/>
      <c r="BC59" s="3414"/>
      <c r="BD59" s="3413"/>
      <c r="BE59" s="2808"/>
      <c r="BF59" s="2917"/>
      <c r="BG59" s="3413"/>
      <c r="BH59" s="3413"/>
      <c r="BI59" s="2584"/>
      <c r="BJ59" s="3413"/>
    </row>
    <row r="60" spans="1:62" s="417" customFormat="1">
      <c r="A60" s="2965"/>
      <c r="E60" s="520" t="s">
        <v>1095</v>
      </c>
      <c r="F60" s="2706">
        <v>101300</v>
      </c>
      <c r="G60" s="348" t="s">
        <v>135</v>
      </c>
      <c r="H60" s="3412"/>
      <c r="I60" s="3413"/>
      <c r="J60" s="3413"/>
      <c r="K60" s="3413"/>
      <c r="L60" s="3413"/>
      <c r="M60" s="530"/>
      <c r="N60" s="3413"/>
      <c r="O60" s="3413"/>
      <c r="P60" s="3413"/>
      <c r="Q60" s="3413"/>
      <c r="R60" s="3413"/>
      <c r="S60" s="3413"/>
      <c r="T60" s="3413"/>
      <c r="U60" s="3413"/>
      <c r="V60" s="3413"/>
      <c r="W60" s="3413"/>
      <c r="X60" s="2808"/>
      <c r="Y60" s="3413"/>
      <c r="Z60" s="3413"/>
      <c r="AA60" s="3414"/>
      <c r="AB60" s="2808"/>
      <c r="AC60" s="3413"/>
      <c r="AD60" s="3413"/>
      <c r="AE60" s="3413"/>
      <c r="AF60" s="3413"/>
      <c r="AG60" s="3413"/>
      <c r="AH60" s="3413"/>
      <c r="AI60" s="3413"/>
      <c r="AJ60" s="3413"/>
      <c r="AK60" s="3413"/>
      <c r="AL60" s="3413"/>
      <c r="AM60" s="2917"/>
      <c r="AN60" s="3412"/>
      <c r="AO60" s="3413"/>
      <c r="AP60" s="3413"/>
      <c r="AQ60" s="3413"/>
      <c r="AR60" s="3413"/>
      <c r="AS60" s="3413"/>
      <c r="AT60" s="3413"/>
      <c r="AU60" s="3413"/>
      <c r="AV60" s="3413"/>
      <c r="AW60" s="3413"/>
      <c r="AX60" s="3413"/>
      <c r="AY60" s="3413"/>
      <c r="AZ60" s="3413"/>
      <c r="BA60" s="3413"/>
      <c r="BB60" s="3413"/>
      <c r="BC60" s="3414"/>
      <c r="BD60" s="3413"/>
      <c r="BE60" s="2808"/>
      <c r="BF60" s="2917"/>
      <c r="BG60" s="3413"/>
      <c r="BH60" s="3413"/>
      <c r="BI60" s="2584"/>
      <c r="BJ60" s="3413"/>
    </row>
    <row r="61" spans="1:62" s="2766" customFormat="1" ht="13.5" thickBot="1">
      <c r="A61" s="2765"/>
      <c r="E61" s="2993" t="s">
        <v>561</v>
      </c>
      <c r="F61" s="3518">
        <v>8.3143999999999991</v>
      </c>
      <c r="G61" s="2994" t="s">
        <v>562</v>
      </c>
      <c r="H61" s="2889"/>
      <c r="I61" s="2769"/>
      <c r="J61" s="2769"/>
      <c r="K61" s="2769"/>
      <c r="L61" s="2769"/>
      <c r="M61" s="2658"/>
      <c r="N61" s="2769"/>
      <c r="O61" s="2769"/>
      <c r="P61" s="2769"/>
      <c r="Q61" s="2769"/>
      <c r="R61" s="2769"/>
      <c r="S61" s="2769"/>
      <c r="T61" s="2769"/>
      <c r="U61" s="2769"/>
      <c r="V61" s="2769"/>
      <c r="W61" s="2769"/>
      <c r="X61" s="2794"/>
      <c r="Y61" s="2769"/>
      <c r="Z61" s="2769"/>
      <c r="AA61" s="2795"/>
      <c r="AB61" s="2794"/>
      <c r="AC61" s="2769"/>
      <c r="AD61" s="2769"/>
      <c r="AE61" s="2769"/>
      <c r="AF61" s="2769"/>
      <c r="AG61" s="2769"/>
      <c r="AH61" s="2769"/>
      <c r="AI61" s="2769"/>
      <c r="AJ61" s="2769"/>
      <c r="AK61" s="2769"/>
      <c r="AL61" s="2769"/>
      <c r="AM61" s="2890"/>
      <c r="AN61" s="2889"/>
      <c r="AO61" s="2769"/>
      <c r="AP61" s="2769"/>
      <c r="AQ61" s="2769"/>
      <c r="AR61" s="2769"/>
      <c r="AS61" s="2769"/>
      <c r="AT61" s="2769"/>
      <c r="AU61" s="2769"/>
      <c r="AV61" s="2769"/>
      <c r="AW61" s="2769"/>
      <c r="AX61" s="2769"/>
      <c r="AY61" s="2769"/>
      <c r="AZ61" s="2769"/>
      <c r="BA61" s="2769"/>
      <c r="BB61" s="2769"/>
      <c r="BC61" s="2795"/>
      <c r="BD61" s="2769"/>
      <c r="BE61" s="2794"/>
      <c r="BF61" s="2890"/>
      <c r="BG61" s="2769"/>
      <c r="BH61" s="2769"/>
      <c r="BI61" s="2770"/>
      <c r="BJ61" s="2769"/>
    </row>
    <row r="62" spans="1:62" s="421" customFormat="1" ht="14.45" customHeight="1">
      <c r="E62" s="208"/>
      <c r="F62" s="537"/>
      <c r="G62" s="347"/>
      <c r="H62" s="1270"/>
      <c r="I62" s="636"/>
      <c r="J62" s="636"/>
      <c r="K62" s="636"/>
      <c r="L62" s="2621"/>
      <c r="M62" s="2621"/>
      <c r="N62" s="636"/>
      <c r="O62" s="636"/>
      <c r="P62" s="636"/>
      <c r="Q62" s="636"/>
      <c r="R62" s="2621"/>
      <c r="S62" s="636"/>
      <c r="T62" s="636"/>
      <c r="U62" s="636"/>
      <c r="V62" s="636"/>
      <c r="W62" s="636"/>
      <c r="X62" s="3424"/>
      <c r="Y62" s="3416"/>
      <c r="Z62" s="3416"/>
      <c r="AA62" s="3417"/>
      <c r="AB62" s="829"/>
      <c r="AC62" s="530"/>
      <c r="AD62" s="530"/>
      <c r="AE62" s="530"/>
      <c r="AF62" s="530"/>
      <c r="AG62" s="420"/>
      <c r="AH62" s="420"/>
      <c r="AI62" s="530"/>
      <c r="AJ62" s="530"/>
      <c r="AK62" s="530"/>
      <c r="AL62" s="530"/>
      <c r="AM62" s="628"/>
      <c r="AN62" s="627"/>
      <c r="AO62" s="530"/>
      <c r="AP62" s="530"/>
      <c r="AQ62" s="530"/>
      <c r="AR62" s="530"/>
      <c r="AS62" s="2622"/>
      <c r="AT62" s="2622"/>
      <c r="AU62" s="2622"/>
      <c r="AV62" s="2622"/>
      <c r="AW62" s="1682"/>
      <c r="AX62" s="1682"/>
      <c r="AY62" s="1682"/>
      <c r="AZ62" s="1682"/>
      <c r="BA62" s="1682"/>
      <c r="BB62" s="1682"/>
      <c r="BC62" s="830"/>
      <c r="BD62" s="530"/>
      <c r="BE62" s="829"/>
      <c r="BF62" s="628"/>
      <c r="BG62" s="530"/>
      <c r="BH62" s="530"/>
      <c r="BI62" s="531"/>
      <c r="BJ62" s="530"/>
    </row>
    <row r="63" spans="1:62" s="421" customFormat="1" ht="14.45" customHeight="1">
      <c r="E63" s="208"/>
      <c r="F63" s="537"/>
      <c r="G63" s="347"/>
      <c r="H63" s="1270"/>
      <c r="I63" s="636"/>
      <c r="J63" s="636"/>
      <c r="K63" s="636"/>
      <c r="L63" s="2621"/>
      <c r="M63" s="2621"/>
      <c r="N63" s="636"/>
      <c r="O63" s="636"/>
      <c r="P63" s="636"/>
      <c r="Q63" s="636"/>
      <c r="R63" s="2621"/>
      <c r="S63" s="636"/>
      <c r="T63" s="636"/>
      <c r="U63" s="636"/>
      <c r="V63" s="636"/>
      <c r="W63" s="636"/>
      <c r="X63" s="3424"/>
      <c r="Y63" s="3416"/>
      <c r="Z63" s="3416"/>
      <c r="AA63" s="3417"/>
      <c r="AB63" s="829"/>
      <c r="AC63" s="530"/>
      <c r="AD63" s="530"/>
      <c r="AE63" s="530"/>
      <c r="AF63" s="530"/>
      <c r="AG63" s="420"/>
      <c r="AH63" s="420"/>
      <c r="AI63" s="530"/>
      <c r="AJ63" s="530"/>
      <c r="AK63" s="530"/>
      <c r="AL63" s="530"/>
      <c r="AM63" s="628"/>
      <c r="AN63" s="627"/>
      <c r="AO63" s="530"/>
      <c r="AP63" s="530"/>
      <c r="AQ63" s="530"/>
      <c r="AR63" s="530"/>
      <c r="AS63" s="2622"/>
      <c r="AT63" s="2622"/>
      <c r="AU63" s="2622"/>
      <c r="AV63" s="2622"/>
      <c r="AW63" s="1682"/>
      <c r="AX63" s="1682"/>
      <c r="AY63" s="1682"/>
      <c r="AZ63" s="1682"/>
      <c r="BA63" s="1682"/>
      <c r="BB63" s="1682"/>
      <c r="BC63" s="830"/>
      <c r="BD63" s="530"/>
      <c r="BE63" s="829"/>
      <c r="BF63" s="628"/>
      <c r="BG63" s="530"/>
      <c r="BH63" s="530"/>
      <c r="BI63" s="531"/>
      <c r="BJ63" s="530"/>
    </row>
    <row r="64" spans="1:62" s="421" customFormat="1" ht="14.45" customHeight="1">
      <c r="E64" s="208"/>
      <c r="F64" s="537"/>
      <c r="G64" s="347"/>
      <c r="H64" s="1270"/>
      <c r="I64" s="636"/>
      <c r="J64" s="636"/>
      <c r="K64" s="636"/>
      <c r="L64" s="2621"/>
      <c r="M64" s="2621"/>
      <c r="N64" s="636"/>
      <c r="O64" s="636"/>
      <c r="P64" s="636"/>
      <c r="Q64" s="636"/>
      <c r="R64" s="2621"/>
      <c r="S64" s="636"/>
      <c r="T64" s="636"/>
      <c r="U64" s="636"/>
      <c r="V64" s="636"/>
      <c r="W64" s="636"/>
      <c r="X64" s="3424"/>
      <c r="Y64" s="3416"/>
      <c r="Z64" s="3416"/>
      <c r="AA64" s="3417"/>
      <c r="AB64" s="829"/>
      <c r="AC64" s="530"/>
      <c r="AD64" s="530"/>
      <c r="AE64" s="530"/>
      <c r="AF64" s="530"/>
      <c r="AG64" s="420"/>
      <c r="AH64" s="420"/>
      <c r="AI64" s="530"/>
      <c r="AJ64" s="530"/>
      <c r="AK64" s="530"/>
      <c r="AL64" s="530"/>
      <c r="AM64" s="628"/>
      <c r="AN64" s="627"/>
      <c r="AO64" s="530"/>
      <c r="AP64" s="530"/>
      <c r="AQ64" s="530"/>
      <c r="AR64" s="530"/>
      <c r="AS64" s="2622"/>
      <c r="AT64" s="2622"/>
      <c r="AU64" s="2622"/>
      <c r="AV64" s="2622"/>
      <c r="AW64" s="1682"/>
      <c r="AX64" s="1682"/>
      <c r="AY64" s="1682"/>
      <c r="AZ64" s="1682"/>
      <c r="BA64" s="1682"/>
      <c r="BB64" s="1682"/>
      <c r="BC64" s="830"/>
      <c r="BD64" s="530"/>
      <c r="BE64" s="829"/>
      <c r="BF64" s="628"/>
      <c r="BG64" s="530"/>
      <c r="BH64" s="530"/>
      <c r="BI64" s="531"/>
      <c r="BJ64" s="530"/>
    </row>
    <row r="65" spans="1:67" s="421" customFormat="1" ht="14.45" customHeight="1" thickBot="1">
      <c r="E65" s="208"/>
      <c r="F65" s="537"/>
      <c r="G65" s="347"/>
      <c r="H65" s="1270"/>
      <c r="I65" s="636"/>
      <c r="J65" s="636"/>
      <c r="K65" s="636"/>
      <c r="L65" s="2621"/>
      <c r="M65" s="2621"/>
      <c r="N65" s="636"/>
      <c r="O65" s="636"/>
      <c r="P65" s="636"/>
      <c r="Q65" s="636"/>
      <c r="R65" s="2621"/>
      <c r="S65" s="636"/>
      <c r="T65" s="636"/>
      <c r="U65" s="636"/>
      <c r="V65" s="636"/>
      <c r="W65" s="636"/>
      <c r="X65" s="3424"/>
      <c r="Y65" s="3416"/>
      <c r="Z65" s="3416"/>
      <c r="AA65" s="3417"/>
      <c r="AB65" s="829"/>
      <c r="AC65" s="530"/>
      <c r="AD65" s="530"/>
      <c r="AE65" s="530"/>
      <c r="AF65" s="530"/>
      <c r="AG65" s="420"/>
      <c r="AH65" s="420"/>
      <c r="AI65" s="530"/>
      <c r="AJ65" s="530"/>
      <c r="AK65" s="530"/>
      <c r="AL65" s="530"/>
      <c r="AM65" s="628"/>
      <c r="AN65" s="627"/>
      <c r="AO65" s="530"/>
      <c r="AP65" s="530"/>
      <c r="AQ65" s="530"/>
      <c r="AR65" s="530"/>
      <c r="AS65" s="2622"/>
      <c r="AT65" s="2622"/>
      <c r="AU65" s="2622"/>
      <c r="AV65" s="2622"/>
      <c r="AW65" s="1682"/>
      <c r="AX65" s="1682"/>
      <c r="AY65" s="1682"/>
      <c r="AZ65" s="1682"/>
      <c r="BA65" s="1682"/>
      <c r="BB65" s="1682"/>
      <c r="BC65" s="830"/>
      <c r="BD65" s="530"/>
      <c r="BE65" s="829"/>
      <c r="BF65" s="628"/>
      <c r="BG65" s="530"/>
      <c r="BH65" s="530"/>
      <c r="BI65" s="531"/>
      <c r="BJ65" s="530"/>
    </row>
    <row r="66" spans="1:67" s="2753" customFormat="1" ht="14.45" customHeight="1">
      <c r="A66" s="2752"/>
      <c r="E66" s="3519" t="s">
        <v>1261</v>
      </c>
      <c r="F66" s="3520"/>
      <c r="G66" s="3521"/>
      <c r="H66" s="3522"/>
      <c r="I66" s="661"/>
      <c r="J66" s="661"/>
      <c r="K66" s="661"/>
      <c r="L66" s="3523"/>
      <c r="M66" s="3523"/>
      <c r="N66" s="661"/>
      <c r="O66" s="661"/>
      <c r="P66" s="661"/>
      <c r="Q66" s="661"/>
      <c r="R66" s="3523"/>
      <c r="S66" s="661"/>
      <c r="T66" s="661"/>
      <c r="U66" s="661"/>
      <c r="V66" s="661"/>
      <c r="W66" s="661"/>
      <c r="X66" s="3524"/>
      <c r="Y66" s="3525"/>
      <c r="Z66" s="3525"/>
      <c r="AA66" s="3526"/>
      <c r="AB66" s="3527"/>
      <c r="AC66" s="499"/>
      <c r="AD66" s="499"/>
      <c r="AE66" s="499"/>
      <c r="AF66" s="499"/>
      <c r="AG66" s="3528"/>
      <c r="AH66" s="3528"/>
      <c r="AI66" s="499"/>
      <c r="AJ66" s="499"/>
      <c r="AK66" s="499"/>
      <c r="AL66" s="499"/>
      <c r="AM66" s="501"/>
      <c r="AN66" s="498"/>
      <c r="AO66" s="499"/>
      <c r="AP66" s="499"/>
      <c r="AQ66" s="499"/>
      <c r="AR66" s="499"/>
      <c r="AS66" s="3529"/>
      <c r="AT66" s="3529"/>
      <c r="AU66" s="3529"/>
      <c r="AV66" s="3529"/>
      <c r="AW66" s="3530"/>
      <c r="AX66" s="3530"/>
      <c r="AY66" s="3530"/>
      <c r="AZ66" s="3530"/>
      <c r="BA66" s="3530"/>
      <c r="BB66" s="3530"/>
      <c r="BC66" s="3531"/>
      <c r="BD66" s="499"/>
      <c r="BE66" s="3527"/>
      <c r="BF66" s="501"/>
      <c r="BG66" s="499"/>
      <c r="BH66" s="499"/>
      <c r="BI66" s="3532"/>
      <c r="BJ66" s="499"/>
    </row>
    <row r="67" spans="1:67" s="2616" customFormat="1" ht="14.45" customHeight="1">
      <c r="A67" s="3516"/>
      <c r="E67" s="3628" t="s">
        <v>1211</v>
      </c>
      <c r="F67" s="2611" t="s">
        <v>35</v>
      </c>
      <c r="G67" s="2595" t="s">
        <v>24</v>
      </c>
      <c r="H67" s="2940"/>
      <c r="I67" s="2612"/>
      <c r="J67" s="1548"/>
      <c r="K67" s="1439">
        <v>26</v>
      </c>
      <c r="L67" s="835"/>
      <c r="M67" s="835"/>
      <c r="N67" s="835"/>
      <c r="O67" s="835"/>
      <c r="P67" s="1548"/>
      <c r="Q67" s="1548"/>
      <c r="R67" s="835"/>
      <c r="S67" s="835"/>
      <c r="T67" s="835"/>
      <c r="U67" s="1548"/>
      <c r="V67" s="835"/>
      <c r="W67" s="835"/>
      <c r="X67" s="2812" t="s">
        <v>338</v>
      </c>
      <c r="Y67" s="2615"/>
      <c r="Z67" s="2615">
        <v>2</v>
      </c>
      <c r="AA67" s="2813" t="s">
        <v>677</v>
      </c>
      <c r="AB67" s="2837">
        <f>(Z71*AA71)^0.5</f>
        <v>1.7009899291301189</v>
      </c>
      <c r="AC67" s="2672">
        <f>AN71</f>
        <v>0.44752991011166665</v>
      </c>
      <c r="AD67" s="2672">
        <f>AC67</f>
        <v>0.44752991011166665</v>
      </c>
      <c r="AE67" s="2672">
        <f>AD67</f>
        <v>0.44752991011166665</v>
      </c>
      <c r="AF67" s="2672">
        <f>AE67</f>
        <v>0.44752991011166665</v>
      </c>
      <c r="AG67" s="2673">
        <f>(6.6*230)^0.5</f>
        <v>38.961519477556315</v>
      </c>
      <c r="AH67" s="2674">
        <f>(230*208*228)^(1/3)</f>
        <v>221.77300066000146</v>
      </c>
      <c r="AI67" s="2674">
        <f>(11*228*2.3)^(1/3)</f>
        <v>17.934328596324246</v>
      </c>
      <c r="AJ67" s="2672">
        <f>(11*0.78*38)^(1/3)</f>
        <v>6.8826702272583722</v>
      </c>
      <c r="AK67" s="2583">
        <v>38</v>
      </c>
      <c r="AL67" s="2583">
        <v>38</v>
      </c>
      <c r="AM67" s="2941">
        <v>38</v>
      </c>
      <c r="AN67" s="2910"/>
      <c r="AO67" s="2672">
        <f>AN71</f>
        <v>0.44752991011166665</v>
      </c>
      <c r="AP67" s="2672">
        <f>AN71</f>
        <v>0.44752991011166665</v>
      </c>
      <c r="AQ67" s="2672">
        <f>AN71</f>
        <v>0.44752991011166665</v>
      </c>
      <c r="AR67" s="2672">
        <f>AN71</f>
        <v>0.44752991011166665</v>
      </c>
      <c r="AS67" s="2672">
        <f>AN71</f>
        <v>0.44752991011166665</v>
      </c>
      <c r="AT67" s="2672">
        <f>AN71</f>
        <v>0.44752991011166665</v>
      </c>
      <c r="AU67" s="2672">
        <f>AN71</f>
        <v>0.44752991011166665</v>
      </c>
      <c r="AV67" s="2672">
        <f>AN71</f>
        <v>0.44752991011166665</v>
      </c>
      <c r="AW67" s="2672">
        <f>AN71</f>
        <v>0.44752991011166665</v>
      </c>
      <c r="AX67" s="2672">
        <f>AN71</f>
        <v>0.44752991011166665</v>
      </c>
      <c r="AY67" s="2672">
        <f>AN71</f>
        <v>0.44752991011166665</v>
      </c>
      <c r="AZ67" s="2672">
        <f>AN71</f>
        <v>0.44752991011166665</v>
      </c>
      <c r="BA67" s="2672">
        <f>AN71</f>
        <v>0.44752991011166665</v>
      </c>
      <c r="BB67" s="2672">
        <f>AN71</f>
        <v>0.44752991011166665</v>
      </c>
      <c r="BC67" s="2811">
        <f>AN71</f>
        <v>0.44752991011166665</v>
      </c>
      <c r="BD67" s="835"/>
      <c r="BE67" s="2861"/>
      <c r="BF67" s="1043"/>
      <c r="BG67" s="835"/>
      <c r="BH67" s="835"/>
      <c r="BI67" s="717"/>
      <c r="BJ67" s="835"/>
    </row>
    <row r="68" spans="1:67" s="421" customFormat="1" ht="14.45" customHeight="1">
      <c r="A68" s="2962"/>
      <c r="E68" s="3629" t="s">
        <v>39</v>
      </c>
      <c r="F68" s="537"/>
      <c r="G68" s="2613"/>
      <c r="H68" s="2932"/>
      <c r="I68" s="2601"/>
      <c r="J68" s="1629"/>
      <c r="K68" s="2600" t="s">
        <v>685</v>
      </c>
      <c r="L68" s="530"/>
      <c r="M68" s="530"/>
      <c r="N68" s="1682"/>
      <c r="O68" s="1682"/>
      <c r="P68" s="1629"/>
      <c r="Q68" s="1629"/>
      <c r="R68" s="530"/>
      <c r="S68" s="1682"/>
      <c r="T68" s="1682"/>
      <c r="U68" s="1629"/>
      <c r="V68" s="1682"/>
      <c r="W68" s="1682"/>
      <c r="X68" s="3424" t="s">
        <v>339</v>
      </c>
      <c r="Y68" s="419"/>
      <c r="Z68" s="3416" t="s">
        <v>675</v>
      </c>
      <c r="AA68" s="3417" t="s">
        <v>678</v>
      </c>
      <c r="AB68" s="2788" t="s">
        <v>684</v>
      </c>
      <c r="AC68" s="419" t="s">
        <v>4</v>
      </c>
      <c r="AD68" s="419" t="s">
        <v>4</v>
      </c>
      <c r="AE68" s="419" t="s">
        <v>4</v>
      </c>
      <c r="AF68" s="419" t="s">
        <v>4</v>
      </c>
      <c r="AG68" s="1769" t="s">
        <v>676</v>
      </c>
      <c r="AH68" s="419" t="s">
        <v>682</v>
      </c>
      <c r="AI68" s="419" t="s">
        <v>682</v>
      </c>
      <c r="AJ68" s="419" t="s">
        <v>682</v>
      </c>
      <c r="AK68" s="419" t="s">
        <v>683</v>
      </c>
      <c r="AL68" s="419" t="s">
        <v>683</v>
      </c>
      <c r="AM68" s="2928" t="s">
        <v>683</v>
      </c>
      <c r="AN68" s="3415"/>
      <c r="AO68" s="419" t="s">
        <v>4</v>
      </c>
      <c r="AP68" s="419" t="s">
        <v>4</v>
      </c>
      <c r="AQ68" s="419" t="s">
        <v>4</v>
      </c>
      <c r="AR68" s="419" t="s">
        <v>4</v>
      </c>
      <c r="AS68" s="419" t="s">
        <v>4</v>
      </c>
      <c r="AT68" s="419" t="s">
        <v>4</v>
      </c>
      <c r="AU68" s="419" t="s">
        <v>4</v>
      </c>
      <c r="AV68" s="419" t="s">
        <v>4</v>
      </c>
      <c r="AW68" s="419" t="s">
        <v>4</v>
      </c>
      <c r="AX68" s="419" t="s">
        <v>4</v>
      </c>
      <c r="AY68" s="419" t="s">
        <v>4</v>
      </c>
      <c r="AZ68" s="419" t="s">
        <v>4</v>
      </c>
      <c r="BA68" s="419" t="s">
        <v>4</v>
      </c>
      <c r="BB68" s="419" t="s">
        <v>4</v>
      </c>
      <c r="BC68" s="2827" t="s">
        <v>4</v>
      </c>
      <c r="BD68" s="530"/>
      <c r="BE68" s="829" t="s">
        <v>673</v>
      </c>
      <c r="BF68" s="628" t="s">
        <v>674</v>
      </c>
      <c r="BG68" s="530"/>
      <c r="BH68" s="530"/>
      <c r="BI68" s="531"/>
      <c r="BJ68" s="530"/>
    </row>
    <row r="69" spans="1:67" s="421" customFormat="1" ht="14.45" customHeight="1">
      <c r="A69" s="2962"/>
      <c r="E69" s="3629" t="s">
        <v>652</v>
      </c>
      <c r="F69" s="537"/>
      <c r="G69" s="2613" t="s">
        <v>653</v>
      </c>
      <c r="H69" s="2932"/>
      <c r="I69" s="2601"/>
      <c r="J69" s="1629"/>
      <c r="K69" s="2601"/>
      <c r="L69" s="530">
        <v>17</v>
      </c>
      <c r="M69" s="530">
        <v>17</v>
      </c>
      <c r="N69" s="1682">
        <v>28</v>
      </c>
      <c r="O69" s="1682">
        <v>28</v>
      </c>
      <c r="P69" s="2601">
        <v>27</v>
      </c>
      <c r="Q69" s="2601">
        <v>27</v>
      </c>
      <c r="R69" s="530">
        <v>25</v>
      </c>
      <c r="S69" s="1682">
        <v>2.4</v>
      </c>
      <c r="T69" s="1682">
        <v>2.4</v>
      </c>
      <c r="U69" s="1629">
        <v>96</v>
      </c>
      <c r="V69" s="1682">
        <v>100</v>
      </c>
      <c r="W69" s="1682">
        <v>100</v>
      </c>
      <c r="X69" s="3424">
        <v>4.68</v>
      </c>
      <c r="Y69" s="419">
        <v>2.5</v>
      </c>
      <c r="Z69" s="419">
        <v>2.2999999999999998</v>
      </c>
      <c r="AA69" s="3417">
        <v>7.0000000000000007E-2</v>
      </c>
      <c r="AB69" s="2788"/>
      <c r="AC69" s="419"/>
      <c r="AD69" s="419"/>
      <c r="AE69" s="419"/>
      <c r="AF69" s="419"/>
      <c r="AG69" s="1769"/>
      <c r="AH69" s="419">
        <v>0.6</v>
      </c>
      <c r="AI69" s="419"/>
      <c r="AJ69" s="3422"/>
      <c r="AK69" s="419"/>
      <c r="AL69" s="419"/>
      <c r="AM69" s="2928"/>
      <c r="AN69" s="3415">
        <v>8.4000000000000005E-2</v>
      </c>
      <c r="AO69" s="3416"/>
      <c r="AP69" s="3416"/>
      <c r="AQ69" s="3416"/>
      <c r="AR69" s="3416"/>
      <c r="AS69" s="3416"/>
      <c r="AT69" s="3416"/>
      <c r="AU69" s="3416"/>
      <c r="AV69" s="3416"/>
      <c r="AW69" s="3416"/>
      <c r="AX69" s="3416"/>
      <c r="AY69" s="3416"/>
      <c r="AZ69" s="3416"/>
      <c r="BA69" s="3416"/>
      <c r="BB69" s="3416"/>
      <c r="BC69" s="3417"/>
      <c r="BD69" s="530">
        <v>0.04</v>
      </c>
      <c r="BE69" s="829"/>
      <c r="BF69" s="628"/>
      <c r="BG69" s="530"/>
      <c r="BH69" s="530"/>
      <c r="BI69" s="531"/>
      <c r="BJ69" s="530"/>
    </row>
    <row r="70" spans="1:67" s="421" customFormat="1" ht="14.45" customHeight="1">
      <c r="A70" s="2962"/>
      <c r="E70" s="3629" t="s">
        <v>652</v>
      </c>
      <c r="F70" s="537"/>
      <c r="G70" s="2613" t="s">
        <v>24</v>
      </c>
      <c r="H70" s="2932"/>
      <c r="I70" s="2601"/>
      <c r="J70" s="1629"/>
      <c r="K70" s="2601"/>
      <c r="L70" s="1433">
        <f t="shared" ref="L70:AA70" si="72">L69*L53</f>
        <v>68.492113758392904</v>
      </c>
      <c r="M70" s="1433">
        <f t="shared" si="72"/>
        <v>68.492113758392904</v>
      </c>
      <c r="N70" s="1433">
        <f t="shared" si="72"/>
        <v>152.9005249748339</v>
      </c>
      <c r="O70" s="1433">
        <f t="shared" si="72"/>
        <v>152.9005249748339</v>
      </c>
      <c r="P70" s="1433">
        <f t="shared" si="72"/>
        <v>186.08676990191992</v>
      </c>
      <c r="Q70" s="1433">
        <f t="shared" si="72"/>
        <v>186.08676990191992</v>
      </c>
      <c r="R70" s="1433">
        <f t="shared" si="72"/>
        <v>88.24493048308095</v>
      </c>
      <c r="S70" s="1433">
        <f t="shared" si="72"/>
        <v>11.907797726395142</v>
      </c>
      <c r="T70" s="1433">
        <f t="shared" si="72"/>
        <v>11.907797726395142</v>
      </c>
      <c r="U70" s="1433">
        <f t="shared" si="72"/>
        <v>613.72338625367763</v>
      </c>
      <c r="V70" s="1433">
        <f t="shared" si="72"/>
        <v>554.51023784540951</v>
      </c>
      <c r="W70" s="1433">
        <f t="shared" si="72"/>
        <v>554.51023784540951</v>
      </c>
      <c r="X70" s="2814">
        <f t="shared" si="72"/>
        <v>15.171519803859114</v>
      </c>
      <c r="Y70" s="1433">
        <f t="shared" si="72"/>
        <v>9.351281930386536</v>
      </c>
      <c r="Z70" s="1433">
        <f t="shared" si="72"/>
        <v>9.7502699594163609</v>
      </c>
      <c r="AA70" s="1272">
        <f t="shared" si="72"/>
        <v>0.29674734659093277</v>
      </c>
      <c r="AB70" s="2788"/>
      <c r="AC70" s="419"/>
      <c r="AD70" s="419"/>
      <c r="AE70" s="419"/>
      <c r="AF70" s="419"/>
      <c r="AG70" s="1769"/>
      <c r="AH70" s="419"/>
      <c r="AI70" s="419"/>
      <c r="AJ70" s="3422"/>
      <c r="AK70" s="419"/>
      <c r="AL70" s="419"/>
      <c r="AM70" s="2928"/>
      <c r="AN70" s="1270">
        <f>AN69*AN53</f>
        <v>0.44752991011166665</v>
      </c>
      <c r="AO70" s="3416"/>
      <c r="AP70" s="3416"/>
      <c r="AQ70" s="3416"/>
      <c r="AR70" s="3416"/>
      <c r="AS70" s="3416"/>
      <c r="AT70" s="3416"/>
      <c r="AU70" s="3416"/>
      <c r="AV70" s="3416"/>
      <c r="AW70" s="3416"/>
      <c r="AX70" s="3416"/>
      <c r="AY70" s="3416"/>
      <c r="AZ70" s="3416"/>
      <c r="BA70" s="3416"/>
      <c r="BB70" s="3416"/>
      <c r="BC70" s="3417"/>
      <c r="BD70" s="636">
        <f>BD69*BD53</f>
        <v>0.15645318088332033</v>
      </c>
      <c r="BE70" s="829"/>
      <c r="BF70" s="628"/>
      <c r="BG70" s="530"/>
      <c r="BH70" s="530"/>
      <c r="BI70" s="531"/>
      <c r="BJ70" s="530"/>
    </row>
    <row r="71" spans="1:67" s="2573" customFormat="1" ht="14.45" customHeight="1">
      <c r="A71" s="3533"/>
      <c r="E71" s="3629" t="s">
        <v>637</v>
      </c>
      <c r="F71" s="2820"/>
      <c r="G71" s="3429" t="s">
        <v>24</v>
      </c>
      <c r="H71" s="2942"/>
      <c r="I71" s="2697"/>
      <c r="J71" s="2821">
        <f>IF(J70&gt;0,J70,J67)</f>
        <v>0</v>
      </c>
      <c r="K71" s="2697">
        <f t="shared" ref="K71:AM71" si="73">IF(K70&gt;0,K70,K67)</f>
        <v>26</v>
      </c>
      <c r="L71" s="2821">
        <f t="shared" si="73"/>
        <v>68.492113758392904</v>
      </c>
      <c r="M71" s="2821">
        <f t="shared" si="73"/>
        <v>68.492113758392904</v>
      </c>
      <c r="N71" s="2821">
        <f>IF(N70&gt;0,N70,N67)</f>
        <v>152.9005249748339</v>
      </c>
      <c r="O71" s="2821">
        <f>IF(O70&gt;0,O70,O67)</f>
        <v>152.9005249748339</v>
      </c>
      <c r="P71" s="2821">
        <f t="shared" si="73"/>
        <v>186.08676990191992</v>
      </c>
      <c r="Q71" s="2821">
        <f t="shared" si="73"/>
        <v>186.08676990191992</v>
      </c>
      <c r="R71" s="2821">
        <f>IF(R70&gt;0,R70,R67)</f>
        <v>88.24493048308095</v>
      </c>
      <c r="S71" s="2821">
        <f t="shared" si="73"/>
        <v>11.907797726395142</v>
      </c>
      <c r="T71" s="2821">
        <f t="shared" si="73"/>
        <v>11.907797726395142</v>
      </c>
      <c r="U71" s="2821">
        <f>IF(U70&gt;0,U70,U67)</f>
        <v>613.72338625367763</v>
      </c>
      <c r="V71" s="2821">
        <f>IF(V70&gt;0,V70,V67)</f>
        <v>554.51023784540951</v>
      </c>
      <c r="W71" s="2821">
        <f>IF(W70&gt;0,W70,W67)</f>
        <v>554.51023784540951</v>
      </c>
      <c r="X71" s="2822">
        <f t="shared" si="73"/>
        <v>15.171519803859114</v>
      </c>
      <c r="Y71" s="2821">
        <f t="shared" si="73"/>
        <v>9.351281930386536</v>
      </c>
      <c r="Z71" s="2821">
        <f t="shared" si="73"/>
        <v>9.7502699594163609</v>
      </c>
      <c r="AA71" s="2823">
        <f t="shared" si="73"/>
        <v>0.29674734659093277</v>
      </c>
      <c r="AB71" s="2838">
        <f t="shared" si="73"/>
        <v>1.7009899291301189</v>
      </c>
      <c r="AC71" s="2747">
        <f t="shared" si="73"/>
        <v>0.44752991011166665</v>
      </c>
      <c r="AD71" s="2747">
        <f t="shared" si="73"/>
        <v>0.44752991011166665</v>
      </c>
      <c r="AE71" s="2747">
        <f t="shared" si="73"/>
        <v>0.44752991011166665</v>
      </c>
      <c r="AF71" s="2747">
        <f t="shared" si="73"/>
        <v>0.44752991011166665</v>
      </c>
      <c r="AG71" s="2821">
        <f t="shared" si="73"/>
        <v>38.961519477556315</v>
      </c>
      <c r="AH71" s="2821">
        <f t="shared" si="73"/>
        <v>221.77300066000146</v>
      </c>
      <c r="AI71" s="2821">
        <f t="shared" si="73"/>
        <v>17.934328596324246</v>
      </c>
      <c r="AJ71" s="2824">
        <f t="shared" si="73"/>
        <v>6.8826702272583722</v>
      </c>
      <c r="AK71" s="2821">
        <f t="shared" si="73"/>
        <v>38</v>
      </c>
      <c r="AL71" s="2821">
        <f t="shared" si="73"/>
        <v>38</v>
      </c>
      <c r="AM71" s="2943">
        <f t="shared" si="73"/>
        <v>38</v>
      </c>
      <c r="AN71" s="2911">
        <f>IF(AN70&gt;0,AN70,AN67)</f>
        <v>0.44752991011166665</v>
      </c>
      <c r="AO71" s="2747">
        <f t="shared" ref="AO71:BH71" si="74">IF(AO70&gt;0,AO70,AO67)</f>
        <v>0.44752991011166665</v>
      </c>
      <c r="AP71" s="2747">
        <f t="shared" si="74"/>
        <v>0.44752991011166665</v>
      </c>
      <c r="AQ71" s="2747">
        <f t="shared" si="74"/>
        <v>0.44752991011166665</v>
      </c>
      <c r="AR71" s="2747">
        <f t="shared" si="74"/>
        <v>0.44752991011166665</v>
      </c>
      <c r="AS71" s="2747">
        <f t="shared" si="74"/>
        <v>0.44752991011166665</v>
      </c>
      <c r="AT71" s="2747">
        <f t="shared" si="74"/>
        <v>0.44752991011166665</v>
      </c>
      <c r="AU71" s="2747">
        <f t="shared" si="74"/>
        <v>0.44752991011166665</v>
      </c>
      <c r="AV71" s="2747">
        <f t="shared" si="74"/>
        <v>0.44752991011166665</v>
      </c>
      <c r="AW71" s="2747">
        <f t="shared" si="74"/>
        <v>0.44752991011166665</v>
      </c>
      <c r="AX71" s="2747">
        <f t="shared" si="74"/>
        <v>0.44752991011166665</v>
      </c>
      <c r="AY71" s="2747">
        <f t="shared" si="74"/>
        <v>0.44752991011166665</v>
      </c>
      <c r="AZ71" s="2747">
        <f t="shared" si="74"/>
        <v>0.44752991011166665</v>
      </c>
      <c r="BA71" s="2747">
        <f t="shared" si="74"/>
        <v>0.44752991011166665</v>
      </c>
      <c r="BB71" s="2747">
        <f t="shared" si="74"/>
        <v>0.44752991011166665</v>
      </c>
      <c r="BC71" s="2846">
        <f t="shared" si="74"/>
        <v>0.44752991011166665</v>
      </c>
      <c r="BD71" s="2747">
        <f t="shared" si="74"/>
        <v>0.15645318088332033</v>
      </c>
      <c r="BE71" s="2845">
        <f t="shared" si="74"/>
        <v>0</v>
      </c>
      <c r="BF71" s="2912">
        <f t="shared" si="74"/>
        <v>0</v>
      </c>
      <c r="BG71" s="2747">
        <f t="shared" si="74"/>
        <v>0</v>
      </c>
      <c r="BH71" s="2747">
        <f t="shared" si="74"/>
        <v>0</v>
      </c>
      <c r="BI71" s="2825"/>
      <c r="BJ71" s="2580"/>
    </row>
    <row r="72" spans="1:67" s="421" customFormat="1" ht="14.45" customHeight="1">
      <c r="A72" s="2962"/>
      <c r="E72" s="3630" t="s">
        <v>657</v>
      </c>
      <c r="F72" s="537"/>
      <c r="G72" s="2596" t="s">
        <v>35</v>
      </c>
      <c r="H72" s="1628">
        <f t="shared" ref="H72:AM72" si="75">H71/H9</f>
        <v>0</v>
      </c>
      <c r="I72" s="1629">
        <f t="shared" si="75"/>
        <v>0</v>
      </c>
      <c r="J72" s="1629">
        <f t="shared" si="75"/>
        <v>0</v>
      </c>
      <c r="K72" s="1629">
        <f t="shared" si="75"/>
        <v>464.28571428571428</v>
      </c>
      <c r="L72" s="1629">
        <f t="shared" si="75"/>
        <v>1141.5352293065484</v>
      </c>
      <c r="M72" s="1629">
        <f t="shared" si="75"/>
        <v>1141.5352293065484</v>
      </c>
      <c r="N72" s="1682">
        <f t="shared" si="75"/>
        <v>764.50262487416944</v>
      </c>
      <c r="O72" s="1682">
        <f t="shared" si="75"/>
        <v>764.50262487416944</v>
      </c>
      <c r="P72" s="1629">
        <f t="shared" si="75"/>
        <v>5316.7648543405685</v>
      </c>
      <c r="Q72" s="1629">
        <f t="shared" si="75"/>
        <v>5316.7648543405685</v>
      </c>
      <c r="R72" s="530">
        <f t="shared" si="75"/>
        <v>220.61232620770235</v>
      </c>
      <c r="S72" s="1682">
        <f t="shared" si="75"/>
        <v>189.0126623237324</v>
      </c>
      <c r="T72" s="1682">
        <f t="shared" si="75"/>
        <v>189.0126623237324</v>
      </c>
      <c r="U72" s="1629">
        <f t="shared" si="75"/>
        <v>16150.615427728359</v>
      </c>
      <c r="V72" s="1682">
        <f t="shared" si="75"/>
        <v>554.51023784540951</v>
      </c>
      <c r="W72" s="1682">
        <f t="shared" si="75"/>
        <v>554.51023784540951</v>
      </c>
      <c r="X72" s="3424">
        <f t="shared" si="75"/>
        <v>1580.3666462353242</v>
      </c>
      <c r="Y72" s="419">
        <f t="shared" si="75"/>
        <v>35.966468963025136</v>
      </c>
      <c r="Z72" s="419">
        <f t="shared" si="75"/>
        <v>36.793471544967396</v>
      </c>
      <c r="AA72" s="3417">
        <f t="shared" si="75"/>
        <v>2.9674734659093276</v>
      </c>
      <c r="AB72" s="2788">
        <f t="shared" si="75"/>
        <v>8.5049496456505942</v>
      </c>
      <c r="AC72" s="419">
        <f t="shared" si="75"/>
        <v>2.2376495505583329</v>
      </c>
      <c r="AD72" s="419">
        <f t="shared" si="75"/>
        <v>2.2376495505583329</v>
      </c>
      <c r="AE72" s="419" t="e">
        <f t="shared" si="75"/>
        <v>#VALUE!</v>
      </c>
      <c r="AF72" s="419" t="e">
        <f t="shared" si="75"/>
        <v>#VALUE!</v>
      </c>
      <c r="AG72" s="1769">
        <f t="shared" si="75"/>
        <v>2.1174738846498</v>
      </c>
      <c r="AH72" s="419">
        <f t="shared" si="75"/>
        <v>12.052880470652253</v>
      </c>
      <c r="AI72" s="419">
        <f t="shared" si="75"/>
        <v>17.934328596324246</v>
      </c>
      <c r="AJ72" s="3422">
        <f t="shared" si="75"/>
        <v>6.8826702272583722</v>
      </c>
      <c r="AK72" s="419">
        <f t="shared" si="75"/>
        <v>38</v>
      </c>
      <c r="AL72" s="419" t="e">
        <f t="shared" si="75"/>
        <v>#VALUE!</v>
      </c>
      <c r="AM72" s="2928" t="e">
        <f t="shared" si="75"/>
        <v>#VALUE!</v>
      </c>
      <c r="AN72" s="3415">
        <f t="shared" ref="AN72:BI72" si="76">AN71/AN9</f>
        <v>149.17663670388887</v>
      </c>
      <c r="AO72" s="3416" t="e">
        <f t="shared" si="76"/>
        <v>#VALUE!</v>
      </c>
      <c r="AP72" s="3416" t="e">
        <f t="shared" si="76"/>
        <v>#VALUE!</v>
      </c>
      <c r="AQ72" s="3416" t="e">
        <f t="shared" si="76"/>
        <v>#VALUE!</v>
      </c>
      <c r="AR72" s="3416" t="e">
        <f t="shared" si="76"/>
        <v>#VALUE!</v>
      </c>
      <c r="AS72" s="3416" t="e">
        <f t="shared" si="76"/>
        <v>#VALUE!</v>
      </c>
      <c r="AT72" s="3416" t="e">
        <f t="shared" si="76"/>
        <v>#VALUE!</v>
      </c>
      <c r="AU72" s="3416" t="e">
        <f t="shared" si="76"/>
        <v>#VALUE!</v>
      </c>
      <c r="AV72" s="3416" t="e">
        <f t="shared" si="76"/>
        <v>#VALUE!</v>
      </c>
      <c r="AW72" s="3416" t="e">
        <f t="shared" si="76"/>
        <v>#VALUE!</v>
      </c>
      <c r="AX72" s="3416" t="e">
        <f t="shared" si="76"/>
        <v>#VALUE!</v>
      </c>
      <c r="AY72" s="3416" t="e">
        <f t="shared" si="76"/>
        <v>#VALUE!</v>
      </c>
      <c r="AZ72" s="3416" t="e">
        <f t="shared" si="76"/>
        <v>#VALUE!</v>
      </c>
      <c r="BA72" s="3416" t="e">
        <f t="shared" si="76"/>
        <v>#VALUE!</v>
      </c>
      <c r="BB72" s="3416" t="e">
        <f t="shared" si="76"/>
        <v>#VALUE!</v>
      </c>
      <c r="BC72" s="3417" t="e">
        <f t="shared" si="76"/>
        <v>#VALUE!</v>
      </c>
      <c r="BD72" s="530">
        <f t="shared" si="76"/>
        <v>7.8226590441660164</v>
      </c>
      <c r="BE72" s="829">
        <f t="shared" si="76"/>
        <v>0</v>
      </c>
      <c r="BF72" s="628">
        <f t="shared" si="76"/>
        <v>0</v>
      </c>
      <c r="BG72" s="530">
        <f t="shared" si="76"/>
        <v>0</v>
      </c>
      <c r="BH72" s="530">
        <f t="shared" si="76"/>
        <v>0</v>
      </c>
      <c r="BI72" s="531">
        <f t="shared" si="76"/>
        <v>0</v>
      </c>
      <c r="BJ72" s="530"/>
    </row>
    <row r="73" spans="1:67" s="207" customFormat="1" ht="25.5">
      <c r="A73" s="2963"/>
      <c r="E73" s="3630" t="s">
        <v>655</v>
      </c>
      <c r="G73" s="2596" t="s">
        <v>35</v>
      </c>
      <c r="H73" s="2932" t="e">
        <f t="shared" ref="H73:AM73" si="77">H46*1000/H71</f>
        <v>#DIV/0!</v>
      </c>
      <c r="I73" s="1629" t="e">
        <f t="shared" si="77"/>
        <v>#DIV/0!</v>
      </c>
      <c r="J73" s="1629" t="e">
        <f t="shared" si="77"/>
        <v>#DIV/0!</v>
      </c>
      <c r="K73" s="1629">
        <f t="shared" si="77"/>
        <v>68926.85595283263</v>
      </c>
      <c r="L73" s="1629">
        <f t="shared" si="77"/>
        <v>1567.0265600339437</v>
      </c>
      <c r="M73" s="1629">
        <f t="shared" si="77"/>
        <v>1567.0265600339437</v>
      </c>
      <c r="N73" s="1629">
        <f t="shared" si="77"/>
        <v>2997.4675279449425</v>
      </c>
      <c r="O73" s="1629">
        <f t="shared" si="77"/>
        <v>2997.4675279449425</v>
      </c>
      <c r="P73" s="1629">
        <f t="shared" si="77"/>
        <v>599.61287614209823</v>
      </c>
      <c r="Q73" s="1629">
        <f t="shared" si="77"/>
        <v>599.61287614209823</v>
      </c>
      <c r="R73" s="1629">
        <f t="shared" si="77"/>
        <v>19737.262255964426</v>
      </c>
      <c r="S73" s="1629">
        <f t="shared" si="77"/>
        <v>84475.890598739556</v>
      </c>
      <c r="T73" s="1629">
        <f t="shared" si="77"/>
        <v>84475.890598739556</v>
      </c>
      <c r="U73" s="1629">
        <f t="shared" si="77"/>
        <v>1159.3637585056124</v>
      </c>
      <c r="V73" s="1629">
        <f t="shared" si="77"/>
        <v>6844.7305327338008</v>
      </c>
      <c r="W73" s="1629">
        <f t="shared" si="77"/>
        <v>6844.7305327338008</v>
      </c>
      <c r="X73" s="2785">
        <f t="shared" si="77"/>
        <v>22423.593970688737</v>
      </c>
      <c r="Y73" s="1629">
        <f t="shared" si="77"/>
        <v>11656.155895140942</v>
      </c>
      <c r="Z73" s="1629">
        <f t="shared" si="77"/>
        <v>4637.8203053063789</v>
      </c>
      <c r="AA73" s="2787">
        <f t="shared" si="77"/>
        <v>117069.28604112915</v>
      </c>
      <c r="AB73" s="2785">
        <f t="shared" si="77"/>
        <v>18342.260271908595</v>
      </c>
      <c r="AC73" s="1629">
        <f t="shared" si="77"/>
        <v>7820.7063280456232</v>
      </c>
      <c r="AD73" s="1629">
        <f t="shared" si="77"/>
        <v>686.88146435463557</v>
      </c>
      <c r="AE73" s="1629">
        <f t="shared" si="77"/>
        <v>18.88141956342443</v>
      </c>
      <c r="AF73" s="1629">
        <f t="shared" si="77"/>
        <v>9.8809038236050712E-3</v>
      </c>
      <c r="AG73" s="1629">
        <f t="shared" si="77"/>
        <v>30491.623938957113</v>
      </c>
      <c r="AH73" s="1629">
        <f t="shared" si="77"/>
        <v>1217.4610939856245</v>
      </c>
      <c r="AI73" s="1629">
        <f t="shared" si="77"/>
        <v>1918.1091622828021</v>
      </c>
      <c r="AJ73" s="1629">
        <f t="shared" si="77"/>
        <v>592.79318422687504</v>
      </c>
      <c r="AK73" s="1629">
        <f t="shared" si="77"/>
        <v>10.4</v>
      </c>
      <c r="AL73" s="1629">
        <f t="shared" si="77"/>
        <v>0.32236842105263158</v>
      </c>
      <c r="AM73" s="1630">
        <f t="shared" si="77"/>
        <v>7.8947368421052627E-2</v>
      </c>
      <c r="AN73" s="1628">
        <f t="shared" ref="AN73:BI73" si="78">AN46*1000/AN71</f>
        <v>280.2047352962631</v>
      </c>
      <c r="AO73" s="1629">
        <f t="shared" si="78"/>
        <v>121.95609447954344</v>
      </c>
      <c r="AP73" s="1629">
        <f t="shared" si="78"/>
        <v>41.691068191050064</v>
      </c>
      <c r="AQ73" s="1629">
        <f t="shared" si="78"/>
        <v>13.543228872652719</v>
      </c>
      <c r="AR73" s="1629">
        <f t="shared" si="78"/>
        <v>3.2198965196324978</v>
      </c>
      <c r="AS73" s="2598">
        <f t="shared" si="78"/>
        <v>0.16088310160550998</v>
      </c>
      <c r="AT73" s="2598">
        <f t="shared" si="78"/>
        <v>0.2422631371676304</v>
      </c>
      <c r="AU73" s="2598">
        <f t="shared" si="78"/>
        <v>0.10942732294201435</v>
      </c>
      <c r="AV73" s="2598">
        <f t="shared" si="78"/>
        <v>5.7515708823969803E-3</v>
      </c>
      <c r="AW73" s="2598">
        <f t="shared" si="78"/>
        <v>6.033116310206623E-4</v>
      </c>
      <c r="AX73" s="2598">
        <f t="shared" si="78"/>
        <v>2.1652184091074879E-5</v>
      </c>
      <c r="AY73" s="2598">
        <f t="shared" si="78"/>
        <v>1.1547831515239936E-5</v>
      </c>
      <c r="AZ73" s="2598">
        <f t="shared" si="78"/>
        <v>3.1305170187405478E-6</v>
      </c>
      <c r="BA73" s="2598">
        <f t="shared" si="78"/>
        <v>3.42993834672858E-6</v>
      </c>
      <c r="BB73" s="2598">
        <f t="shared" si="78"/>
        <v>2.0311491577695631E-4</v>
      </c>
      <c r="BC73" s="2787">
        <f t="shared" si="78"/>
        <v>2.8677412861182147E-9</v>
      </c>
      <c r="BD73" s="1629">
        <f t="shared" si="78"/>
        <v>7262.5649453106607</v>
      </c>
      <c r="BE73" s="2785" t="e">
        <f t="shared" si="78"/>
        <v>#DIV/0!</v>
      </c>
      <c r="BF73" s="1630" t="e">
        <f t="shared" si="78"/>
        <v>#DIV/0!</v>
      </c>
      <c r="BG73" s="1629" t="e">
        <f t="shared" si="78"/>
        <v>#DIV/0!</v>
      </c>
      <c r="BH73" s="807" t="e">
        <f t="shared" si="78"/>
        <v>#DIV/0!</v>
      </c>
      <c r="BI73" s="532" t="e">
        <f t="shared" si="78"/>
        <v>#DIV/0!</v>
      </c>
      <c r="BJ73" s="1629"/>
    </row>
    <row r="74" spans="1:67" s="2616" customFormat="1" ht="14.45" customHeight="1">
      <c r="A74" s="3516"/>
      <c r="E74" s="3631" t="s">
        <v>27</v>
      </c>
      <c r="F74" s="2611" t="s">
        <v>28</v>
      </c>
      <c r="G74" s="2595" t="s">
        <v>29</v>
      </c>
      <c r="H74" s="2940">
        <v>1.4</v>
      </c>
      <c r="I74" s="2612">
        <v>1.4</v>
      </c>
      <c r="J74" s="835"/>
      <c r="K74" s="2612"/>
      <c r="L74" s="835"/>
      <c r="M74" s="835"/>
      <c r="N74" s="835"/>
      <c r="O74" s="835"/>
      <c r="P74" s="835"/>
      <c r="Q74" s="835"/>
      <c r="R74" s="2614"/>
      <c r="S74" s="835"/>
      <c r="T74" s="835"/>
      <c r="U74" s="835"/>
      <c r="V74" s="835">
        <v>7.5</v>
      </c>
      <c r="W74" s="835">
        <v>7.5</v>
      </c>
      <c r="X74" s="2812">
        <v>1.2</v>
      </c>
      <c r="Y74" s="2615">
        <v>1.2</v>
      </c>
      <c r="Z74" s="2615">
        <v>1</v>
      </c>
      <c r="AA74" s="2813">
        <v>1</v>
      </c>
      <c r="AB74" s="834"/>
      <c r="AC74" s="835"/>
      <c r="AD74" s="835"/>
      <c r="AE74" s="835"/>
      <c r="AF74" s="835"/>
      <c r="AG74" s="2675" t="s">
        <v>348</v>
      </c>
      <c r="AH74" s="2583" t="s">
        <v>349</v>
      </c>
      <c r="AI74" s="835"/>
      <c r="AJ74" s="835"/>
      <c r="AK74" s="835"/>
      <c r="AL74" s="835"/>
      <c r="AM74" s="1043"/>
      <c r="AN74" s="1044"/>
      <c r="AO74" s="835"/>
      <c r="AP74" s="835"/>
      <c r="AQ74" s="835"/>
      <c r="AR74" s="835"/>
      <c r="AS74" s="835"/>
      <c r="AT74" s="2614"/>
      <c r="AU74" s="2614"/>
      <c r="AV74" s="2614"/>
      <c r="AW74" s="2614"/>
      <c r="AX74" s="2614"/>
      <c r="AY74" s="2614"/>
      <c r="AZ74" s="2614"/>
      <c r="BA74" s="2614"/>
      <c r="BB74" s="2614"/>
      <c r="BC74" s="836"/>
      <c r="BD74" s="835"/>
      <c r="BE74" s="834"/>
      <c r="BF74" s="1043"/>
      <c r="BG74" s="835"/>
      <c r="BH74" s="835"/>
      <c r="BI74" s="717"/>
      <c r="BJ74" s="835"/>
    </row>
    <row r="75" spans="1:67" s="2620" customFormat="1" ht="14.45" customHeight="1">
      <c r="A75" s="3534"/>
      <c r="E75" s="3632" t="s">
        <v>27</v>
      </c>
      <c r="F75" s="2617" t="s">
        <v>28</v>
      </c>
      <c r="G75" s="2676" t="s">
        <v>13</v>
      </c>
      <c r="H75" s="2944">
        <f>H74*10*H54</f>
        <v>43.120000000000005</v>
      </c>
      <c r="I75" s="2679">
        <f>I74*10*I54</f>
        <v>43.120000000000005</v>
      </c>
      <c r="J75" s="3428"/>
      <c r="K75" s="2618"/>
      <c r="L75" s="3428"/>
      <c r="M75" s="3428"/>
      <c r="N75" s="3428"/>
      <c r="O75" s="3428"/>
      <c r="P75" s="3428"/>
      <c r="Q75" s="3428"/>
      <c r="R75" s="3428"/>
      <c r="S75" s="3428"/>
      <c r="T75" s="3428"/>
      <c r="U75" s="3428"/>
      <c r="V75" s="2679">
        <f>V74*10*V54</f>
        <v>416.25</v>
      </c>
      <c r="W75" s="2679">
        <f>W74*10*W54</f>
        <v>416.25</v>
      </c>
      <c r="X75" s="2815">
        <f>X74*X54*10</f>
        <v>38.4</v>
      </c>
      <c r="Y75" s="3426">
        <f>Y74*Y54*10</f>
        <v>45</v>
      </c>
      <c r="Z75" s="2677">
        <f>Z74*Z54*10</f>
        <v>43.5</v>
      </c>
      <c r="AA75" s="2816">
        <f>AA74*AA54*10</f>
        <v>43.5</v>
      </c>
      <c r="AB75" s="3404"/>
      <c r="AC75" s="1631"/>
      <c r="AD75" s="1631"/>
      <c r="AE75" s="1631"/>
      <c r="AF75" s="1631"/>
      <c r="AG75" s="3426" t="s">
        <v>344</v>
      </c>
      <c r="AH75" s="3426" t="s">
        <v>345</v>
      </c>
      <c r="AI75" s="1631"/>
      <c r="AJ75" s="1631"/>
      <c r="AK75" s="1631"/>
      <c r="AL75" s="1631"/>
      <c r="AM75" s="3405"/>
      <c r="AN75" s="2913"/>
      <c r="AO75" s="1631"/>
      <c r="AP75" s="1631"/>
      <c r="AQ75" s="1631"/>
      <c r="AR75" s="1631"/>
      <c r="AS75" s="3428"/>
      <c r="AT75" s="3428"/>
      <c r="AU75" s="3428"/>
      <c r="AV75" s="2619"/>
      <c r="AW75" s="2678"/>
      <c r="AX75" s="2678"/>
      <c r="AY75" s="2678"/>
      <c r="AZ75" s="2678"/>
      <c r="BA75" s="2678"/>
      <c r="BB75" s="2678"/>
      <c r="BC75" s="2839"/>
      <c r="BD75" s="1631"/>
      <c r="BE75" s="3404"/>
      <c r="BF75" s="3405"/>
      <c r="BG75" s="1631"/>
      <c r="BH75" s="1631"/>
      <c r="BI75" s="718"/>
      <c r="BJ75" s="1631"/>
    </row>
    <row r="76" spans="1:67" s="2707" customFormat="1">
      <c r="A76" s="2989"/>
      <c r="E76" s="3633" t="s">
        <v>1241</v>
      </c>
      <c r="F76" s="2771" t="s">
        <v>38</v>
      </c>
      <c r="G76" s="2772" t="s">
        <v>335</v>
      </c>
      <c r="H76" s="2893"/>
      <c r="I76" s="2733"/>
      <c r="J76" s="2733"/>
      <c r="K76" s="2733"/>
      <c r="L76" s="2733"/>
      <c r="M76" s="2733"/>
      <c r="N76" s="2733"/>
      <c r="O76" s="2733"/>
      <c r="P76" s="2733"/>
      <c r="Q76" s="2733"/>
      <c r="R76" s="2733"/>
      <c r="S76" s="2733"/>
      <c r="T76" s="2733"/>
      <c r="U76" s="2733"/>
      <c r="V76" s="2733"/>
      <c r="W76" s="2733"/>
      <c r="X76" s="2805">
        <v>0.13</v>
      </c>
      <c r="Y76" s="2709">
        <v>3.7999999999999999E-2</v>
      </c>
      <c r="Z76" s="2734"/>
      <c r="AA76" s="2800"/>
      <c r="AB76" s="2805">
        <v>6.3E-3</v>
      </c>
      <c r="AC76" s="2709">
        <v>6.3000000000000003E-4</v>
      </c>
      <c r="AD76" s="2709">
        <v>4.8000000000000001E-5</v>
      </c>
      <c r="AE76" s="2709">
        <v>1.1000000000000001E-6</v>
      </c>
      <c r="AF76" s="2709">
        <v>4.3999999999999998E-10</v>
      </c>
      <c r="AG76" s="2709">
        <v>0.35</v>
      </c>
      <c r="AH76" s="2709">
        <v>6.3E-2</v>
      </c>
      <c r="AI76" s="2709">
        <v>6.3E-3</v>
      </c>
      <c r="AJ76" s="2709">
        <v>6.3000000000000003E-4</v>
      </c>
      <c r="AK76" s="2709">
        <v>4.8000000000000001E-5</v>
      </c>
      <c r="AL76" s="2709">
        <v>1.1000000000000001E-6</v>
      </c>
      <c r="AM76" s="2938" t="s">
        <v>511</v>
      </c>
      <c r="AN76" s="2902">
        <v>3.6299999999999999E-4</v>
      </c>
      <c r="AO76" s="2709">
        <v>4.0899999999999998E-5</v>
      </c>
      <c r="AP76" s="2709">
        <v>1.5E-5</v>
      </c>
      <c r="AQ76" s="2709">
        <v>7.0600000000000002E-6</v>
      </c>
      <c r="AR76" s="2709">
        <v>1.1200000000000001E-6</v>
      </c>
      <c r="AS76" s="2709">
        <v>7.6799999999999999E-7</v>
      </c>
      <c r="AT76" s="2709">
        <v>8.6099999999999997E-8</v>
      </c>
      <c r="AU76" s="2709">
        <v>1.17E-7</v>
      </c>
      <c r="AV76" s="2709">
        <v>5.9799999999999996E-9</v>
      </c>
      <c r="AW76" s="2709">
        <v>1.0600000000000001E-9</v>
      </c>
      <c r="AX76" s="2709">
        <v>6.6699999999999995E-8</v>
      </c>
      <c r="AY76" s="2709">
        <v>4.0699999999999999E-11</v>
      </c>
      <c r="AZ76" s="2709">
        <v>2.1E-10</v>
      </c>
      <c r="BA76" s="2709">
        <v>1.33E-8</v>
      </c>
      <c r="BB76" s="2709">
        <v>2.2200000000000001E-10</v>
      </c>
      <c r="BC76" s="2806">
        <v>1.0000000000000001E-9</v>
      </c>
      <c r="BD76" s="2773"/>
      <c r="BE76" s="2834"/>
      <c r="BF76" s="2906"/>
      <c r="BG76" s="2774" t="s">
        <v>555</v>
      </c>
      <c r="BH76" s="2737"/>
      <c r="BI76" s="2775"/>
      <c r="BJ76" s="2733"/>
    </row>
    <row r="77" spans="1:67" s="2693" customFormat="1">
      <c r="A77" s="3535"/>
      <c r="E77" s="3634" t="s">
        <v>1237</v>
      </c>
      <c r="F77" s="2" t="s">
        <v>38</v>
      </c>
      <c r="G77" s="38" t="s">
        <v>1227</v>
      </c>
      <c r="H77" s="2945">
        <v>7</v>
      </c>
      <c r="I77" s="2637">
        <v>7</v>
      </c>
      <c r="J77" s="2637">
        <v>90.6</v>
      </c>
      <c r="K77" s="1629"/>
      <c r="L77" s="1629"/>
      <c r="M77" s="1629"/>
      <c r="N77" s="1629"/>
      <c r="O77" s="1629"/>
      <c r="P77" s="1629"/>
      <c r="Q77" s="1629"/>
      <c r="R77" s="1629"/>
      <c r="S77" s="1629"/>
      <c r="T77" s="1629"/>
      <c r="U77" s="1629"/>
      <c r="V77" s="2637">
        <v>124</v>
      </c>
      <c r="W77" s="2637">
        <v>124</v>
      </c>
      <c r="X77" s="3421"/>
      <c r="Y77" s="3422"/>
      <c r="Z77" s="3422"/>
      <c r="AA77" s="3423"/>
      <c r="AB77" s="3421"/>
      <c r="AC77" s="3422"/>
      <c r="AD77" s="3422"/>
      <c r="AE77" s="3422"/>
      <c r="AF77" s="3422"/>
      <c r="AG77" s="3422"/>
      <c r="AH77" s="3422"/>
      <c r="AI77" s="3422"/>
      <c r="AJ77" s="3422"/>
      <c r="AK77" s="3422"/>
      <c r="AL77" s="3422"/>
      <c r="AM77" s="2898"/>
      <c r="AN77" s="2876"/>
      <c r="AO77" s="3422"/>
      <c r="AP77" s="3422"/>
      <c r="AQ77" s="3422"/>
      <c r="AR77" s="3422"/>
      <c r="AS77" s="3422"/>
      <c r="AT77" s="3422"/>
      <c r="AU77" s="3422"/>
      <c r="AV77" s="3422"/>
      <c r="AW77" s="3422"/>
      <c r="AX77" s="3422"/>
      <c r="AY77" s="3422"/>
      <c r="AZ77" s="3422"/>
      <c r="BA77" s="3422"/>
      <c r="BB77" s="3422"/>
      <c r="BC77" s="3423"/>
      <c r="BD77" s="2632"/>
      <c r="BE77" s="2785"/>
      <c r="BF77" s="1630"/>
      <c r="BG77" s="2627"/>
      <c r="BH77" s="2627"/>
      <c r="BI77" s="535"/>
      <c r="BJ77" s="1629"/>
      <c r="BK77" s="207"/>
      <c r="BL77" s="207"/>
      <c r="BM77" s="207"/>
      <c r="BN77" s="207"/>
      <c r="BO77" s="207"/>
    </row>
    <row r="78" spans="1:67" s="2693" customFormat="1" ht="17.25" customHeight="1">
      <c r="A78" s="3535"/>
      <c r="E78" s="3634" t="s">
        <v>1237</v>
      </c>
      <c r="F78" s="2" t="s">
        <v>38</v>
      </c>
      <c r="G78" s="38" t="s">
        <v>336</v>
      </c>
      <c r="H78" s="1628" t="s">
        <v>1228</v>
      </c>
      <c r="I78" s="1629" t="s">
        <v>1228</v>
      </c>
      <c r="J78" s="1629" t="s">
        <v>1228</v>
      </c>
      <c r="K78" s="1629"/>
      <c r="L78" s="1629"/>
      <c r="M78" s="1629"/>
      <c r="N78" s="1629"/>
      <c r="O78" s="1629"/>
      <c r="P78" s="1629"/>
      <c r="Q78" s="1629"/>
      <c r="R78" s="1629"/>
      <c r="S78" s="1629"/>
      <c r="T78" s="1629"/>
      <c r="U78" s="1629"/>
      <c r="V78" s="1629" t="s">
        <v>1239</v>
      </c>
      <c r="W78" s="1629" t="s">
        <v>1239</v>
      </c>
      <c r="X78" s="3421"/>
      <c r="Y78" s="3422"/>
      <c r="Z78" s="3422"/>
      <c r="AA78" s="3423"/>
      <c r="AB78" s="3421"/>
      <c r="AC78" s="3422"/>
      <c r="AD78" s="3422"/>
      <c r="AE78" s="3422"/>
      <c r="AF78" s="3422"/>
      <c r="AG78" s="3422"/>
      <c r="AH78" s="3422"/>
      <c r="AI78" s="3422"/>
      <c r="AJ78" s="3422"/>
      <c r="AK78" s="3422"/>
      <c r="AL78" s="3422"/>
      <c r="AM78" s="2898"/>
      <c r="AN78" s="2876"/>
      <c r="AO78" s="3422"/>
      <c r="AP78" s="3422"/>
      <c r="AQ78" s="3422"/>
      <c r="AR78" s="3422"/>
      <c r="AS78" s="3422"/>
      <c r="AT78" s="3422"/>
      <c r="AU78" s="3422"/>
      <c r="AV78" s="3422"/>
      <c r="AW78" s="3422"/>
      <c r="AX78" s="3422"/>
      <c r="AY78" s="3422"/>
      <c r="AZ78" s="3422"/>
      <c r="BA78" s="3422"/>
      <c r="BB78" s="3422"/>
      <c r="BC78" s="3423"/>
      <c r="BD78" s="2632"/>
      <c r="BE78" s="2785"/>
      <c r="BF78" s="1630"/>
      <c r="BG78" s="2627"/>
      <c r="BH78" s="2627"/>
      <c r="BI78" s="535"/>
      <c r="BJ78" s="1629"/>
    </row>
    <row r="79" spans="1:67" s="2693" customFormat="1">
      <c r="A79" s="3535"/>
      <c r="E79" s="3630" t="s">
        <v>1237</v>
      </c>
      <c r="F79" s="207" t="s">
        <v>38</v>
      </c>
      <c r="G79" s="348" t="s">
        <v>135</v>
      </c>
      <c r="H79" s="2945">
        <v>560</v>
      </c>
      <c r="I79" s="2637">
        <v>560</v>
      </c>
      <c r="J79" s="2637">
        <v>103</v>
      </c>
      <c r="K79" s="2637">
        <v>330000</v>
      </c>
      <c r="L79" s="2637">
        <v>24000</v>
      </c>
      <c r="M79" s="2637">
        <v>24000</v>
      </c>
      <c r="N79" s="2637">
        <v>7960</v>
      </c>
      <c r="O79" s="2637">
        <v>7960</v>
      </c>
      <c r="P79" s="2637">
        <v>1900</v>
      </c>
      <c r="Q79" s="2637">
        <v>1900</v>
      </c>
      <c r="R79" s="2637">
        <v>46500</v>
      </c>
      <c r="S79" s="2637">
        <v>21262</v>
      </c>
      <c r="T79" s="2637">
        <v>21262</v>
      </c>
      <c r="U79" s="2637">
        <v>12050</v>
      </c>
      <c r="V79" s="2637">
        <v>13300</v>
      </c>
      <c r="W79" s="2637">
        <v>13300</v>
      </c>
      <c r="X79" s="2817">
        <v>10100</v>
      </c>
      <c r="Y79" s="2653">
        <v>2940</v>
      </c>
      <c r="Z79" s="2653">
        <v>933</v>
      </c>
      <c r="AA79" s="2779">
        <v>801</v>
      </c>
      <c r="AB79" s="3421">
        <f t="shared" ref="AB79:AL79" si="79">AB76*$F60</f>
        <v>638.19000000000005</v>
      </c>
      <c r="AC79" s="3422">
        <f t="shared" si="79"/>
        <v>63.819000000000003</v>
      </c>
      <c r="AD79" s="3422">
        <f t="shared" si="79"/>
        <v>4.8624000000000001</v>
      </c>
      <c r="AE79" s="3422">
        <f t="shared" si="79"/>
        <v>0.11143</v>
      </c>
      <c r="AF79" s="3422">
        <f t="shared" si="79"/>
        <v>4.4571999999999999E-5</v>
      </c>
      <c r="AG79" s="3422">
        <f t="shared" si="79"/>
        <v>35455</v>
      </c>
      <c r="AH79" s="3422">
        <f t="shared" si="79"/>
        <v>6381.9</v>
      </c>
      <c r="AI79" s="3422">
        <f t="shared" si="79"/>
        <v>638.19000000000005</v>
      </c>
      <c r="AJ79" s="3422">
        <f t="shared" si="79"/>
        <v>63.819000000000003</v>
      </c>
      <c r="AK79" s="3422">
        <f t="shared" si="79"/>
        <v>4.8624000000000001</v>
      </c>
      <c r="AL79" s="3422">
        <f t="shared" si="79"/>
        <v>0.11143</v>
      </c>
      <c r="AM79" s="2898" t="s">
        <v>511</v>
      </c>
      <c r="AN79" s="2876">
        <f t="shared" ref="AN79:BC79" si="80">AN76*$F60</f>
        <v>36.771900000000002</v>
      </c>
      <c r="AO79" s="3422">
        <f t="shared" si="80"/>
        <v>4.1431699999999996</v>
      </c>
      <c r="AP79" s="3422">
        <f t="shared" si="80"/>
        <v>1.5195000000000001</v>
      </c>
      <c r="AQ79" s="3422">
        <f t="shared" si="80"/>
        <v>0.71517799999999998</v>
      </c>
      <c r="AR79" s="3422">
        <f t="shared" si="80"/>
        <v>0.113456</v>
      </c>
      <c r="AS79" s="3422">
        <f t="shared" si="80"/>
        <v>7.7798400000000004E-2</v>
      </c>
      <c r="AT79" s="3422">
        <f t="shared" si="80"/>
        <v>8.7219299999999993E-3</v>
      </c>
      <c r="AU79" s="3422">
        <f t="shared" si="80"/>
        <v>1.1852100000000001E-2</v>
      </c>
      <c r="AV79" s="3422">
        <f t="shared" si="80"/>
        <v>6.05774E-4</v>
      </c>
      <c r="AW79" s="3422">
        <f t="shared" si="80"/>
        <v>1.07378E-4</v>
      </c>
      <c r="AX79" s="3422">
        <f t="shared" si="80"/>
        <v>6.7567099999999991E-3</v>
      </c>
      <c r="AY79" s="3422">
        <f t="shared" si="80"/>
        <v>4.1229099999999998E-6</v>
      </c>
      <c r="AZ79" s="3422">
        <f t="shared" si="80"/>
        <v>2.1273000000000001E-5</v>
      </c>
      <c r="BA79" s="3422">
        <f t="shared" si="80"/>
        <v>1.3472899999999999E-3</v>
      </c>
      <c r="BB79" s="3422">
        <f t="shared" si="80"/>
        <v>2.24886E-5</v>
      </c>
      <c r="BC79" s="3423">
        <f t="shared" si="80"/>
        <v>1.0130000000000001E-4</v>
      </c>
      <c r="BD79" s="2704">
        <v>26.7</v>
      </c>
      <c r="BE79" s="2860">
        <v>6.9899999999999997E-4</v>
      </c>
      <c r="BF79" s="2907">
        <v>6.9899999999999997E-4</v>
      </c>
      <c r="BG79" s="2627"/>
      <c r="BH79" s="2627"/>
      <c r="BI79" s="2695">
        <v>83000</v>
      </c>
      <c r="BJ79" s="1629"/>
    </row>
    <row r="80" spans="1:67" s="205" customFormat="1">
      <c r="A80" s="2986"/>
      <c r="E80" s="3629" t="s">
        <v>1221</v>
      </c>
      <c r="F80" s="205" t="s">
        <v>351</v>
      </c>
      <c r="G80" s="347" t="s">
        <v>1218</v>
      </c>
      <c r="H80" s="2932" t="s">
        <v>1230</v>
      </c>
      <c r="I80" s="2601" t="s">
        <v>1230</v>
      </c>
      <c r="J80" s="2601" t="s">
        <v>1230</v>
      </c>
      <c r="K80" s="2601">
        <v>20</v>
      </c>
      <c r="L80" s="2601">
        <v>20</v>
      </c>
      <c r="M80" s="2601">
        <v>20</v>
      </c>
      <c r="N80" s="2601">
        <v>20</v>
      </c>
      <c r="O80" s="2601">
        <v>20</v>
      </c>
      <c r="P80" s="2601">
        <v>20</v>
      </c>
      <c r="Q80" s="2601">
        <v>20</v>
      </c>
      <c r="R80" s="2601">
        <v>20</v>
      </c>
      <c r="S80" s="2601">
        <v>20</v>
      </c>
      <c r="T80" s="2601">
        <v>20</v>
      </c>
      <c r="U80" s="2601">
        <v>20</v>
      </c>
      <c r="V80" s="3416" t="s">
        <v>511</v>
      </c>
      <c r="W80" s="3416" t="s">
        <v>511</v>
      </c>
      <c r="X80" s="3424" t="s">
        <v>511</v>
      </c>
      <c r="Y80" s="3416" t="s">
        <v>511</v>
      </c>
      <c r="Z80" s="3416" t="s">
        <v>511</v>
      </c>
      <c r="AA80" s="3417" t="s">
        <v>511</v>
      </c>
      <c r="AB80" s="3424" t="s">
        <v>511</v>
      </c>
      <c r="AC80" s="3416" t="s">
        <v>511</v>
      </c>
      <c r="AD80" s="3416" t="s">
        <v>511</v>
      </c>
      <c r="AE80" s="3416" t="s">
        <v>511</v>
      </c>
      <c r="AF80" s="3416" t="s">
        <v>511</v>
      </c>
      <c r="AG80" s="3416" t="s">
        <v>511</v>
      </c>
      <c r="AH80" s="3416" t="s">
        <v>511</v>
      </c>
      <c r="AI80" s="3416" t="s">
        <v>511</v>
      </c>
      <c r="AJ80" s="3416" t="s">
        <v>511</v>
      </c>
      <c r="AK80" s="3416" t="s">
        <v>511</v>
      </c>
      <c r="AL80" s="3416" t="s">
        <v>511</v>
      </c>
      <c r="AM80" s="3425"/>
      <c r="AN80" s="3415" t="s">
        <v>511</v>
      </c>
      <c r="AO80" s="3416" t="s">
        <v>511</v>
      </c>
      <c r="AP80" s="3416" t="s">
        <v>511</v>
      </c>
      <c r="AQ80" s="3416" t="s">
        <v>511</v>
      </c>
      <c r="AR80" s="3416" t="s">
        <v>511</v>
      </c>
      <c r="AS80" s="3416" t="s">
        <v>511</v>
      </c>
      <c r="AT80" s="3416" t="s">
        <v>511</v>
      </c>
      <c r="AU80" s="3416" t="s">
        <v>511</v>
      </c>
      <c r="AV80" s="3416" t="s">
        <v>511</v>
      </c>
      <c r="AW80" s="3416" t="s">
        <v>511</v>
      </c>
      <c r="AX80" s="3416" t="s">
        <v>511</v>
      </c>
      <c r="AY80" s="3416" t="s">
        <v>511</v>
      </c>
      <c r="AZ80" s="3416" t="s">
        <v>511</v>
      </c>
      <c r="BA80" s="3416" t="s">
        <v>511</v>
      </c>
      <c r="BB80" s="3416" t="s">
        <v>511</v>
      </c>
      <c r="BC80" s="3417" t="s">
        <v>511</v>
      </c>
      <c r="BD80" s="2740"/>
      <c r="BE80" s="3408"/>
      <c r="BF80" s="3409"/>
      <c r="BG80" s="2741"/>
      <c r="BH80" s="2741"/>
      <c r="BI80" s="2742"/>
      <c r="BJ80" s="2601"/>
    </row>
    <row r="81" spans="1:62" s="721" customFormat="1">
      <c r="A81" s="2987"/>
      <c r="E81" s="3635" t="s">
        <v>120</v>
      </c>
      <c r="G81" s="2597"/>
      <c r="H81" s="2933"/>
      <c r="I81" s="2548"/>
      <c r="J81" s="2548"/>
      <c r="K81" s="3419" t="s">
        <v>1223</v>
      </c>
      <c r="L81" s="3419" t="s">
        <v>1223</v>
      </c>
      <c r="M81" s="3419" t="s">
        <v>1223</v>
      </c>
      <c r="N81" s="3419" t="s">
        <v>1223</v>
      </c>
      <c r="O81" s="3419" t="s">
        <v>1223</v>
      </c>
      <c r="P81" s="3419" t="s">
        <v>1223</v>
      </c>
      <c r="Q81" s="3419" t="s">
        <v>1223</v>
      </c>
      <c r="R81" s="3419" t="s">
        <v>1223</v>
      </c>
      <c r="S81" s="3419" t="s">
        <v>1223</v>
      </c>
      <c r="T81" s="3419" t="s">
        <v>1223</v>
      </c>
      <c r="U81" s="3419" t="s">
        <v>1223</v>
      </c>
      <c r="V81" s="3419" t="s">
        <v>1230</v>
      </c>
      <c r="W81" s="3419" t="s">
        <v>1230</v>
      </c>
      <c r="X81" s="4000" t="s">
        <v>337</v>
      </c>
      <c r="Y81" s="4001"/>
      <c r="Z81" s="4001"/>
      <c r="AA81" s="4002"/>
      <c r="AB81" s="4003" t="s">
        <v>458</v>
      </c>
      <c r="AC81" s="4004"/>
      <c r="AD81" s="4004"/>
      <c r="AE81" s="4004"/>
      <c r="AF81" s="4004"/>
      <c r="AG81" s="4004"/>
      <c r="AH81" s="4004"/>
      <c r="AI81" s="4004"/>
      <c r="AJ81" s="4004"/>
      <c r="AK81" s="4004"/>
      <c r="AL81" s="4004"/>
      <c r="AM81" s="4005"/>
      <c r="AN81" s="2904"/>
      <c r="AO81" s="3427"/>
      <c r="AP81" s="3427"/>
      <c r="AQ81" s="3427"/>
      <c r="AR81" s="3427"/>
      <c r="AS81" s="3427"/>
      <c r="AT81" s="3427"/>
      <c r="AU81" s="3427"/>
      <c r="AV81" s="3427"/>
      <c r="AW81" s="3427"/>
      <c r="AX81" s="3427"/>
      <c r="AY81" s="3427"/>
      <c r="AZ81" s="3427"/>
      <c r="BA81" s="3427"/>
      <c r="BB81" s="3427"/>
      <c r="BC81" s="2807"/>
      <c r="BD81" s="2716"/>
      <c r="BE81" s="3410"/>
      <c r="BF81" s="3411"/>
      <c r="BG81" s="2717"/>
      <c r="BH81" s="2717"/>
      <c r="BI81" s="2718"/>
      <c r="BJ81" s="2548"/>
    </row>
    <row r="82" spans="1:62" s="2680" customFormat="1">
      <c r="A82" s="3517"/>
      <c r="E82" s="3636" t="s">
        <v>1208</v>
      </c>
      <c r="G82" s="2681"/>
      <c r="H82" s="2914"/>
      <c r="I82" s="2682"/>
      <c r="J82" s="2682"/>
      <c r="K82" s="2682"/>
      <c r="L82" s="2682"/>
      <c r="M82" s="835"/>
      <c r="N82" s="2682"/>
      <c r="O82" s="2682"/>
      <c r="P82" s="2682"/>
      <c r="Q82" s="2682"/>
      <c r="R82" s="2682"/>
      <c r="S82" s="2682"/>
      <c r="T82" s="2682"/>
      <c r="U82" s="2682"/>
      <c r="V82" s="2682"/>
      <c r="W82" s="2682"/>
      <c r="X82" s="2818"/>
      <c r="Y82" s="2682"/>
      <c r="Z82" s="2682"/>
      <c r="AA82" s="2819"/>
      <c r="AB82" s="2818"/>
      <c r="AC82" s="2682"/>
      <c r="AD82" s="2682"/>
      <c r="AE82" s="2682"/>
      <c r="AF82" s="2682"/>
      <c r="AG82" s="2682"/>
      <c r="AH82" s="2682"/>
      <c r="AI82" s="2682"/>
      <c r="AJ82" s="2682"/>
      <c r="AK82" s="2682"/>
      <c r="AL82" s="2682"/>
      <c r="AM82" s="2915"/>
      <c r="AN82" s="2914"/>
      <c r="AO82" s="2682"/>
      <c r="AP82" s="2682"/>
      <c r="AQ82" s="2682"/>
      <c r="AR82" s="2682"/>
      <c r="AS82" s="2682"/>
      <c r="AT82" s="2682"/>
      <c r="AU82" s="2682"/>
      <c r="AV82" s="2682"/>
      <c r="AW82" s="2682"/>
      <c r="AX82" s="2682"/>
      <c r="AY82" s="2682"/>
      <c r="AZ82" s="2682"/>
      <c r="BA82" s="2682"/>
      <c r="BB82" s="2682"/>
      <c r="BC82" s="2819"/>
      <c r="BD82" s="2682"/>
      <c r="BE82" s="2818"/>
      <c r="BF82" s="2915"/>
      <c r="BG82" s="2682"/>
      <c r="BH82" s="2682"/>
      <c r="BI82" s="2683"/>
      <c r="BJ82" s="2682"/>
    </row>
    <row r="83" spans="1:62" s="417" customFormat="1">
      <c r="A83" s="2965"/>
      <c r="E83" s="3630" t="s">
        <v>1104</v>
      </c>
      <c r="F83" s="207" t="s">
        <v>14</v>
      </c>
      <c r="G83" s="348" t="s">
        <v>15</v>
      </c>
      <c r="H83" s="3412"/>
      <c r="I83" s="3413"/>
      <c r="J83" s="3413"/>
      <c r="K83" s="2698">
        <f>10^(-0.22)</f>
        <v>0.60255958607435778</v>
      </c>
      <c r="L83" s="3413"/>
      <c r="M83" s="530"/>
      <c r="N83" s="3413"/>
      <c r="O83" s="3413"/>
      <c r="P83" s="3413"/>
      <c r="Q83" s="3413"/>
      <c r="R83" s="3413"/>
      <c r="S83" s="3413"/>
      <c r="T83" s="3413"/>
      <c r="U83" s="3413"/>
      <c r="V83" s="3413"/>
      <c r="W83" s="3413"/>
      <c r="X83" s="2808"/>
      <c r="Y83" s="3413"/>
      <c r="Z83" s="3413"/>
      <c r="AA83" s="3414"/>
      <c r="AB83" s="2808"/>
      <c r="AC83" s="3413"/>
      <c r="AD83" s="3413"/>
      <c r="AE83" s="3413"/>
      <c r="AF83" s="3413"/>
      <c r="AG83" s="3413"/>
      <c r="AH83" s="3413"/>
      <c r="AI83" s="3413"/>
      <c r="AJ83" s="3413"/>
      <c r="AK83" s="3413"/>
      <c r="AL83" s="3413"/>
      <c r="AM83" s="2917"/>
      <c r="AN83" s="3412"/>
      <c r="AO83" s="3413"/>
      <c r="AP83" s="3413"/>
      <c r="AQ83" s="3413"/>
      <c r="AR83" s="3413"/>
      <c r="AS83" s="3413"/>
      <c r="AT83" s="3413"/>
      <c r="AU83" s="3413"/>
      <c r="AV83" s="3413"/>
      <c r="AW83" s="3413"/>
      <c r="AX83" s="3413"/>
      <c r="AY83" s="3413"/>
      <c r="AZ83" s="3413"/>
      <c r="BA83" s="3413"/>
      <c r="BB83" s="3413"/>
      <c r="BC83" s="3414"/>
      <c r="BD83" s="3413"/>
      <c r="BE83" s="2808"/>
      <c r="BF83" s="2917"/>
      <c r="BG83" s="3413"/>
      <c r="BH83" s="3413"/>
      <c r="BI83" s="2584"/>
      <c r="BJ83" s="3413"/>
    </row>
    <row r="84" spans="1:62" s="417" customFormat="1">
      <c r="A84" s="2965"/>
      <c r="E84" s="3630" t="s">
        <v>1105</v>
      </c>
      <c r="F84" s="207" t="s">
        <v>14</v>
      </c>
      <c r="G84" s="348" t="s">
        <v>15</v>
      </c>
      <c r="H84" s="3412"/>
      <c r="I84" s="3413"/>
      <c r="J84" s="3413"/>
      <c r="K84" s="2698">
        <f>10^(-0.097)</f>
        <v>0.79983425500702843</v>
      </c>
      <c r="L84" s="3413"/>
      <c r="M84" s="530"/>
      <c r="N84" s="3413"/>
      <c r="O84" s="3413"/>
      <c r="P84" s="3413"/>
      <c r="Q84" s="3413"/>
      <c r="R84" s="3413"/>
      <c r="S84" s="3413"/>
      <c r="T84" s="3413"/>
      <c r="U84" s="3413"/>
      <c r="V84" s="3413"/>
      <c r="W84" s="3413"/>
      <c r="X84" s="2808"/>
      <c r="Y84" s="3413"/>
      <c r="Z84" s="3413"/>
      <c r="AA84" s="3414"/>
      <c r="AB84" s="2808"/>
      <c r="AC84" s="3413"/>
      <c r="AD84" s="3413"/>
      <c r="AE84" s="3413"/>
      <c r="AF84" s="3413"/>
      <c r="AG84" s="3413"/>
      <c r="AH84" s="3413"/>
      <c r="AI84" s="3413"/>
      <c r="AJ84" s="3413"/>
      <c r="AK84" s="3413"/>
      <c r="AL84" s="3413"/>
      <c r="AM84" s="2917"/>
      <c r="AN84" s="3412"/>
      <c r="AO84" s="3413"/>
      <c r="AP84" s="3413"/>
      <c r="AQ84" s="3413"/>
      <c r="AR84" s="3413"/>
      <c r="AS84" s="3413"/>
      <c r="AT84" s="3413"/>
      <c r="AU84" s="3413"/>
      <c r="AV84" s="3413"/>
      <c r="AW84" s="3413"/>
      <c r="AX84" s="3413"/>
      <c r="AY84" s="3413"/>
      <c r="AZ84" s="3413"/>
      <c r="BA84" s="3413"/>
      <c r="BB84" s="3413"/>
      <c r="BC84" s="3414"/>
      <c r="BD84" s="3413"/>
      <c r="BE84" s="2808"/>
      <c r="BF84" s="2917"/>
      <c r="BG84" s="3413"/>
      <c r="BH84" s="3413"/>
      <c r="BI84" s="2584"/>
      <c r="BJ84" s="3413"/>
    </row>
    <row r="85" spans="1:62" s="417" customFormat="1">
      <c r="A85" s="2965"/>
      <c r="E85" s="3630" t="s">
        <v>1106</v>
      </c>
      <c r="F85" s="207" t="s">
        <v>14</v>
      </c>
      <c r="G85" s="348" t="s">
        <v>15</v>
      </c>
      <c r="H85" s="3412"/>
      <c r="I85" s="3413"/>
      <c r="J85" s="3413"/>
      <c r="K85" s="2698">
        <f>10^(0.041)</f>
        <v>1.0990058394325211</v>
      </c>
      <c r="L85" s="3413"/>
      <c r="M85" s="530"/>
      <c r="N85" s="3413"/>
      <c r="O85" s="3413"/>
      <c r="P85" s="3413"/>
      <c r="Q85" s="3413"/>
      <c r="R85" s="3413"/>
      <c r="S85" s="3413"/>
      <c r="T85" s="3413"/>
      <c r="U85" s="3413"/>
      <c r="V85" s="3413"/>
      <c r="W85" s="3413"/>
      <c r="X85" s="2808"/>
      <c r="Y85" s="3413"/>
      <c r="Z85" s="3413"/>
      <c r="AA85" s="3414"/>
      <c r="AB85" s="2808"/>
      <c r="AC85" s="3413"/>
      <c r="AD85" s="3413"/>
      <c r="AE85" s="3413"/>
      <c r="AF85" s="3413"/>
      <c r="AG85" s="3413"/>
      <c r="AH85" s="3413"/>
      <c r="AI85" s="3413"/>
      <c r="AJ85" s="3413"/>
      <c r="AK85" s="3413"/>
      <c r="AL85" s="3413"/>
      <c r="AM85" s="2917"/>
      <c r="AN85" s="3412"/>
      <c r="AO85" s="3413"/>
      <c r="AP85" s="3413"/>
      <c r="AQ85" s="3413"/>
      <c r="AR85" s="3413"/>
      <c r="AS85" s="3413"/>
      <c r="AT85" s="3413"/>
      <c r="AU85" s="3413"/>
      <c r="AV85" s="3413"/>
      <c r="AW85" s="3413"/>
      <c r="AX85" s="3413"/>
      <c r="AY85" s="3413"/>
      <c r="AZ85" s="3413"/>
      <c r="BA85" s="3413"/>
      <c r="BB85" s="3413"/>
      <c r="BC85" s="3414"/>
      <c r="BD85" s="3413"/>
      <c r="BE85" s="2808"/>
      <c r="BF85" s="2917"/>
      <c r="BG85" s="3413"/>
      <c r="BH85" s="3413"/>
      <c r="BI85" s="2584"/>
      <c r="BJ85" s="3413"/>
    </row>
    <row r="86" spans="1:62" s="417" customFormat="1">
      <c r="A86" s="2965"/>
      <c r="E86" s="3630" t="s">
        <v>1109</v>
      </c>
      <c r="F86" s="207" t="s">
        <v>14</v>
      </c>
      <c r="G86" s="348" t="s">
        <v>15</v>
      </c>
      <c r="H86" s="3412"/>
      <c r="I86" s="3413"/>
      <c r="J86" s="3413"/>
      <c r="K86" s="2698">
        <f>10^(0.36)</f>
        <v>2.2908676527677732</v>
      </c>
      <c r="L86" s="3413"/>
      <c r="M86" s="530"/>
      <c r="N86" s="3413"/>
      <c r="O86" s="3413"/>
      <c r="P86" s="3413"/>
      <c r="Q86" s="3413"/>
      <c r="R86" s="3413"/>
      <c r="S86" s="3413"/>
      <c r="T86" s="3413"/>
      <c r="U86" s="3413"/>
      <c r="V86" s="3413"/>
      <c r="W86" s="3413"/>
      <c r="X86" s="2808"/>
      <c r="Y86" s="3413"/>
      <c r="Z86" s="3413"/>
      <c r="AA86" s="3414"/>
      <c r="AB86" s="2808"/>
      <c r="AC86" s="3413"/>
      <c r="AD86" s="3413"/>
      <c r="AE86" s="3413"/>
      <c r="AF86" s="3413"/>
      <c r="AG86" s="3413"/>
      <c r="AH86" s="3413"/>
      <c r="AI86" s="3413"/>
      <c r="AJ86" s="3413"/>
      <c r="AK86" s="3413"/>
      <c r="AL86" s="3413"/>
      <c r="AM86" s="2917"/>
      <c r="AN86" s="3412"/>
      <c r="AO86" s="3413"/>
      <c r="AP86" s="3413"/>
      <c r="AQ86" s="3413"/>
      <c r="AR86" s="3413"/>
      <c r="AS86" s="3413"/>
      <c r="AT86" s="3413"/>
      <c r="AU86" s="3413"/>
      <c r="AV86" s="3413"/>
      <c r="AW86" s="3413"/>
      <c r="AX86" s="3413"/>
      <c r="AY86" s="3413"/>
      <c r="AZ86" s="3413"/>
      <c r="BA86" s="3413"/>
      <c r="BB86" s="3413"/>
      <c r="BC86" s="3414"/>
      <c r="BD86" s="3413"/>
      <c r="BE86" s="2808"/>
      <c r="BF86" s="2917"/>
      <c r="BG86" s="3413"/>
      <c r="BH86" s="3413"/>
      <c r="BI86" s="2584"/>
      <c r="BJ86" s="3413"/>
    </row>
    <row r="87" spans="1:62" s="417" customFormat="1">
      <c r="A87" s="2965"/>
      <c r="E87" s="3630" t="s">
        <v>1107</v>
      </c>
      <c r="F87" s="207" t="s">
        <v>14</v>
      </c>
      <c r="G87" s="348" t="s">
        <v>15</v>
      </c>
      <c r="H87" s="3412"/>
      <c r="I87" s="3413"/>
      <c r="J87" s="3413"/>
      <c r="K87" s="2698">
        <f>10^(0.15)</f>
        <v>1.4125375446227544</v>
      </c>
      <c r="L87" s="3413"/>
      <c r="M87" s="530"/>
      <c r="N87" s="3413"/>
      <c r="O87" s="3413"/>
      <c r="P87" s="3413"/>
      <c r="Q87" s="3413"/>
      <c r="R87" s="3413"/>
      <c r="S87" s="3413"/>
      <c r="T87" s="3413"/>
      <c r="U87" s="3413"/>
      <c r="V87" s="3413"/>
      <c r="W87" s="3413"/>
      <c r="X87" s="2808"/>
      <c r="Y87" s="3413"/>
      <c r="Z87" s="3413"/>
      <c r="AA87" s="3414"/>
      <c r="AB87" s="2808"/>
      <c r="AC87" s="3413"/>
      <c r="AD87" s="3413"/>
      <c r="AE87" s="3413"/>
      <c r="AF87" s="3413"/>
      <c r="AG87" s="3413"/>
      <c r="AH87" s="3413"/>
      <c r="AI87" s="3413"/>
      <c r="AJ87" s="3413"/>
      <c r="AK87" s="3413"/>
      <c r="AL87" s="3413"/>
      <c r="AM87" s="2917"/>
      <c r="AN87" s="3412"/>
      <c r="AO87" s="3413"/>
      <c r="AP87" s="3413"/>
      <c r="AQ87" s="3413"/>
      <c r="AR87" s="3413"/>
      <c r="AS87" s="3413"/>
      <c r="AT87" s="3413"/>
      <c r="AU87" s="3413"/>
      <c r="AV87" s="3413"/>
      <c r="AW87" s="3413"/>
      <c r="AX87" s="3413"/>
      <c r="AY87" s="3413"/>
      <c r="AZ87" s="3413"/>
      <c r="BA87" s="3413"/>
      <c r="BB87" s="3413"/>
      <c r="BC87" s="3414"/>
      <c r="BD87" s="3413"/>
      <c r="BE87" s="2808"/>
      <c r="BF87" s="2917"/>
      <c r="BG87" s="3413"/>
      <c r="BH87" s="3413"/>
      <c r="BI87" s="2584"/>
      <c r="BJ87" s="3413"/>
    </row>
    <row r="88" spans="1:62" s="417" customFormat="1" ht="25.5">
      <c r="A88" s="2965"/>
      <c r="E88" s="3637" t="s">
        <v>120</v>
      </c>
      <c r="G88" s="2635"/>
      <c r="H88" s="3412"/>
      <c r="I88" s="3413"/>
      <c r="J88" s="3413"/>
      <c r="K88" s="3413" t="s">
        <v>1108</v>
      </c>
      <c r="L88" s="3413"/>
      <c r="M88" s="530"/>
      <c r="N88" s="3413"/>
      <c r="O88" s="3413"/>
      <c r="P88" s="3413"/>
      <c r="Q88" s="3413"/>
      <c r="R88" s="3413"/>
      <c r="S88" s="3413"/>
      <c r="T88" s="3413"/>
      <c r="U88" s="3413"/>
      <c r="V88" s="3413"/>
      <c r="W88" s="3413"/>
      <c r="X88" s="2808"/>
      <c r="Y88" s="3413"/>
      <c r="Z88" s="3413"/>
      <c r="AA88" s="3414"/>
      <c r="AB88" s="2808"/>
      <c r="AC88" s="3413"/>
      <c r="AD88" s="3413"/>
      <c r="AE88" s="3413"/>
      <c r="AF88" s="3413"/>
      <c r="AG88" s="3413"/>
      <c r="AH88" s="3413"/>
      <c r="AI88" s="3413"/>
      <c r="AJ88" s="3413"/>
      <c r="AK88" s="3413"/>
      <c r="AL88" s="3413"/>
      <c r="AM88" s="2917"/>
      <c r="AN88" s="3412"/>
      <c r="AO88" s="3413"/>
      <c r="AP88" s="3413"/>
      <c r="AQ88" s="3413"/>
      <c r="AR88" s="3413"/>
      <c r="AS88" s="3413"/>
      <c r="AT88" s="3413"/>
      <c r="AU88" s="3413"/>
      <c r="AV88" s="3413"/>
      <c r="AW88" s="3413"/>
      <c r="AX88" s="3413"/>
      <c r="AY88" s="3413"/>
      <c r="AZ88" s="3413"/>
      <c r="BA88" s="3413"/>
      <c r="BB88" s="3413"/>
      <c r="BC88" s="3414"/>
      <c r="BD88" s="3413"/>
      <c r="BE88" s="2808"/>
      <c r="BF88" s="2917"/>
      <c r="BG88" s="3413"/>
      <c r="BH88" s="3413"/>
      <c r="BI88" s="2584"/>
      <c r="BJ88" s="3413"/>
    </row>
    <row r="89" spans="1:62" s="417" customFormat="1">
      <c r="A89" s="2965"/>
      <c r="E89" s="3638" t="s">
        <v>1209</v>
      </c>
      <c r="F89" s="207" t="s">
        <v>14</v>
      </c>
      <c r="G89" s="348" t="s">
        <v>15</v>
      </c>
      <c r="H89" s="3412"/>
      <c r="I89" s="3413"/>
      <c r="J89" s="3413"/>
      <c r="K89" s="2698">
        <f>2130/2437.366</f>
        <v>0.87389419561936943</v>
      </c>
      <c r="L89" s="3413"/>
      <c r="M89" s="530"/>
      <c r="N89" s="3413"/>
      <c r="O89" s="3413"/>
      <c r="P89" s="3413"/>
      <c r="Q89" s="3413"/>
      <c r="R89" s="3413"/>
      <c r="S89" s="3413"/>
      <c r="T89" s="3413"/>
      <c r="U89" s="3413"/>
      <c r="V89" s="3413"/>
      <c r="W89" s="3413"/>
      <c r="X89" s="2808"/>
      <c r="Y89" s="3413"/>
      <c r="Z89" s="3413"/>
      <c r="AA89" s="3414"/>
      <c r="AB89" s="2808"/>
      <c r="AC89" s="3413"/>
      <c r="AD89" s="3413"/>
      <c r="AE89" s="3413"/>
      <c r="AF89" s="3413"/>
      <c r="AG89" s="3413"/>
      <c r="AH89" s="3413"/>
      <c r="AI89" s="3413"/>
      <c r="AJ89" s="3413"/>
      <c r="AK89" s="3413"/>
      <c r="AL89" s="3413"/>
      <c r="AM89" s="2917"/>
      <c r="AN89" s="3412"/>
      <c r="AO89" s="3413"/>
      <c r="AP89" s="3413"/>
      <c r="AQ89" s="3413"/>
      <c r="AR89" s="3413"/>
      <c r="AS89" s="3413"/>
      <c r="AT89" s="3413"/>
      <c r="AU89" s="3413"/>
      <c r="AV89" s="3413"/>
      <c r="AW89" s="3413"/>
      <c r="AX89" s="3413"/>
      <c r="AY89" s="3413"/>
      <c r="AZ89" s="3413"/>
      <c r="BA89" s="3413"/>
      <c r="BB89" s="3413"/>
      <c r="BC89" s="3414"/>
      <c r="BD89" s="3413"/>
      <c r="BE89" s="2808"/>
      <c r="BF89" s="2917"/>
      <c r="BG89" s="3413"/>
      <c r="BH89" s="3413"/>
      <c r="BI89" s="2584"/>
      <c r="BJ89" s="3413"/>
    </row>
    <row r="90" spans="1:62" s="2766" customFormat="1" ht="13.5" thickBot="1">
      <c r="A90" s="2765"/>
      <c r="E90" s="3639" t="s">
        <v>1210</v>
      </c>
      <c r="F90" s="2992" t="s">
        <v>14</v>
      </c>
      <c r="G90" s="2994" t="s">
        <v>15</v>
      </c>
      <c r="H90" s="2889"/>
      <c r="I90" s="2769"/>
      <c r="J90" s="2769"/>
      <c r="K90" s="3536">
        <f>8000/2437.366</f>
        <v>3.2822317206361293</v>
      </c>
      <c r="L90" s="2769"/>
      <c r="M90" s="2658"/>
      <c r="N90" s="2769"/>
      <c r="O90" s="2769"/>
      <c r="P90" s="2769"/>
      <c r="Q90" s="2769"/>
      <c r="R90" s="2769"/>
      <c r="S90" s="2769"/>
      <c r="T90" s="2769"/>
      <c r="U90" s="2769"/>
      <c r="V90" s="2769"/>
      <c r="W90" s="2769"/>
      <c r="X90" s="2794"/>
      <c r="Y90" s="2769"/>
      <c r="Z90" s="2769"/>
      <c r="AA90" s="2795"/>
      <c r="AB90" s="2794"/>
      <c r="AC90" s="2769"/>
      <c r="AD90" s="2769"/>
      <c r="AE90" s="2769"/>
      <c r="AF90" s="2769"/>
      <c r="AG90" s="2769"/>
      <c r="AH90" s="2769"/>
      <c r="AI90" s="2769"/>
      <c r="AJ90" s="2769"/>
      <c r="AK90" s="2769"/>
      <c r="AL90" s="2769"/>
      <c r="AM90" s="2890"/>
      <c r="AN90" s="2889"/>
      <c r="AO90" s="2769"/>
      <c r="AP90" s="2769"/>
      <c r="AQ90" s="2769"/>
      <c r="AR90" s="2769"/>
      <c r="AS90" s="2769"/>
      <c r="AT90" s="2769"/>
      <c r="AU90" s="2769"/>
      <c r="AV90" s="2769"/>
      <c r="AW90" s="2769"/>
      <c r="AX90" s="2769"/>
      <c r="AY90" s="2769"/>
      <c r="AZ90" s="2769"/>
      <c r="BA90" s="2769"/>
      <c r="BB90" s="2769"/>
      <c r="BC90" s="2795"/>
      <c r="BD90" s="2769"/>
      <c r="BE90" s="2794"/>
      <c r="BF90" s="2890"/>
      <c r="BG90" s="2769"/>
      <c r="BH90" s="2769"/>
      <c r="BI90" s="2770"/>
      <c r="BJ90" s="2769"/>
    </row>
  </sheetData>
  <mergeCells count="55">
    <mergeCell ref="AN17:BC17"/>
    <mergeCell ref="AO11:BC11"/>
    <mergeCell ref="AO18:BC18"/>
    <mergeCell ref="Y37:AA37"/>
    <mergeCell ref="X32:AA32"/>
    <mergeCell ref="X29:AA29"/>
    <mergeCell ref="X26:AA26"/>
    <mergeCell ref="AB37:AM37"/>
    <mergeCell ref="AB23:AM23"/>
    <mergeCell ref="X23:AA23"/>
    <mergeCell ref="AB32:AM32"/>
    <mergeCell ref="AB29:AM29"/>
    <mergeCell ref="AB26:AM26"/>
    <mergeCell ref="AB30:AM30"/>
    <mergeCell ref="AB28:AM28"/>
    <mergeCell ref="AB25:AM25"/>
    <mergeCell ref="X81:AA81"/>
    <mergeCell ref="AB81:AM81"/>
    <mergeCell ref="X40:AA40"/>
    <mergeCell ref="AB45:AM45"/>
    <mergeCell ref="AB40:AM40"/>
    <mergeCell ref="X45:AA45"/>
    <mergeCell ref="X25:AA25"/>
    <mergeCell ref="AN45:BC45"/>
    <mergeCell ref="AN42:BC42"/>
    <mergeCell ref="AB42:AM42"/>
    <mergeCell ref="AB39:AM39"/>
    <mergeCell ref="AB36:AM36"/>
    <mergeCell ref="AN36:BC36"/>
    <mergeCell ref="AN37:BC37"/>
    <mergeCell ref="X36:AA36"/>
    <mergeCell ref="X39:AA39"/>
    <mergeCell ref="X42:AA42"/>
    <mergeCell ref="X31:AA31"/>
    <mergeCell ref="X28:AA28"/>
    <mergeCell ref="AN31:BC31"/>
    <mergeCell ref="AN32:BC32"/>
    <mergeCell ref="AN23:BC23"/>
    <mergeCell ref="AN28:BC28"/>
    <mergeCell ref="AN29:BC29"/>
    <mergeCell ref="AN25:BC25"/>
    <mergeCell ref="AN26:BC26"/>
    <mergeCell ref="BE45:BF45"/>
    <mergeCell ref="BE42:BF42"/>
    <mergeCell ref="BE36:BF36"/>
    <mergeCell ref="BE31:BF31"/>
    <mergeCell ref="BE25:BF25"/>
    <mergeCell ref="BE28:BF28"/>
    <mergeCell ref="BE29:BF29"/>
    <mergeCell ref="BE26:BF26"/>
    <mergeCell ref="BE23:BF23"/>
    <mergeCell ref="BE40:BF40"/>
    <mergeCell ref="BE39:BF39"/>
    <mergeCell ref="BE37:BF37"/>
    <mergeCell ref="BE32:BF32"/>
  </mergeCells>
  <printOptions horizontalCentered="1"/>
  <pageMargins left="0.31496062992125984" right="0.35433070866141736" top="0.45" bottom="0.98425196850393704" header="0" footer="0.47244094488188981"/>
  <pageSetup paperSize="9" scale="62" fitToWidth="3" orientation="landscape" r:id="rId1"/>
  <headerFooter alignWithMargins="0">
    <oddFooter>&amp;C&amp;"Times New Roman,Normal"&amp;12&amp;F   -   &amp;A&amp;R&amp;"Times New Roman,Normal"&amp;12&amp;P/&amp;N</oddFooter>
  </headerFooter>
  <legacyDrawing r:id="rId2"/>
</worksheet>
</file>

<file path=xl/worksheets/sheet3.xml><?xml version="1.0" encoding="utf-8"?>
<worksheet xmlns="http://schemas.openxmlformats.org/spreadsheetml/2006/main" xmlns:r="http://schemas.openxmlformats.org/officeDocument/2006/relationships">
  <sheetPr>
    <pageSetUpPr fitToPage="1"/>
  </sheetPr>
  <dimension ref="A1:Z102"/>
  <sheetViews>
    <sheetView showGridLines="0" topLeftCell="B4" zoomScale="70" zoomScaleNormal="70" workbookViewId="0">
      <pane xSplit="2" ySplit="1" topLeftCell="D5" activePane="bottomRight" state="frozen"/>
      <selection activeCell="C169" sqref="C169"/>
      <selection pane="topRight" activeCell="C169" sqref="C169"/>
      <selection pane="bottomLeft" activeCell="C169" sqref="C169"/>
      <selection pane="bottomRight" activeCell="P45" sqref="P45"/>
    </sheetView>
  </sheetViews>
  <sheetFormatPr baseColWidth="10" defaultRowHeight="12.75"/>
  <cols>
    <col min="1" max="1" width="11.42578125" style="353"/>
    <col min="2" max="2" width="15.42578125" style="353" customWidth="1"/>
    <col min="3" max="3" width="23" style="1622" customWidth="1"/>
    <col min="4" max="4" width="12.5703125" style="354" bestFit="1" customWidth="1"/>
    <col min="5" max="5" width="8.85546875" style="354" customWidth="1"/>
    <col min="6" max="6" width="9.85546875" style="354" customWidth="1"/>
    <col min="7" max="7" width="12.42578125" style="354" hidden="1" customWidth="1"/>
    <col min="8" max="8" width="8.140625" style="354" customWidth="1"/>
    <col min="9" max="9" width="7" style="354" bestFit="1" customWidth="1"/>
    <col min="10" max="10" width="9" style="354" hidden="1" customWidth="1"/>
    <col min="11" max="11" width="9.28515625" style="356" hidden="1" customWidth="1"/>
    <col min="12" max="12" width="8" style="354" hidden="1" customWidth="1"/>
    <col min="13" max="13" width="11.42578125" style="354" hidden="1" customWidth="1"/>
    <col min="14" max="14" width="5.5703125" style="354" hidden="1" customWidth="1"/>
    <col min="15" max="15" width="8.28515625" style="375" hidden="1" customWidth="1"/>
    <col min="16" max="16" width="30.28515625" style="391" customWidth="1"/>
    <col min="17" max="17" width="7" style="358" customWidth="1"/>
    <col min="18" max="18" width="8.28515625" style="358" customWidth="1"/>
    <col min="19" max="19" width="9.5703125" style="358" customWidth="1"/>
    <col min="20" max="20" width="15" style="358" customWidth="1"/>
    <col min="21" max="21" width="11.140625" style="358" customWidth="1"/>
    <col min="22" max="22" width="7.28515625" style="1618" customWidth="1"/>
    <col min="23" max="23" width="8.5703125" style="358" customWidth="1"/>
    <col min="24" max="16384" width="11.42578125" style="359"/>
  </cols>
  <sheetData>
    <row r="1" spans="1:23">
      <c r="C1" s="1621"/>
      <c r="H1" s="355" t="s">
        <v>40</v>
      </c>
      <c r="O1" s="354"/>
      <c r="P1" s="357"/>
    </row>
    <row r="2" spans="1:23">
      <c r="O2" s="354"/>
      <c r="P2" s="360"/>
    </row>
    <row r="3" spans="1:23" ht="13.5" thickBot="1">
      <c r="B3" s="380"/>
      <c r="C3" s="1673" t="s">
        <v>41</v>
      </c>
      <c r="D3" s="375"/>
      <c r="E3" s="375"/>
      <c r="F3" s="375"/>
      <c r="G3" s="375"/>
      <c r="H3" s="375"/>
      <c r="I3" s="375"/>
      <c r="J3" s="375"/>
      <c r="K3" s="1674"/>
      <c r="L3" s="375"/>
      <c r="M3" s="375"/>
      <c r="N3" s="375"/>
    </row>
    <row r="4" spans="1:23">
      <c r="A4" s="355"/>
      <c r="B4" s="1732"/>
      <c r="C4" s="1733"/>
      <c r="D4" s="1733"/>
      <c r="E4" s="1733"/>
      <c r="F4" s="1733"/>
      <c r="G4" s="1733"/>
      <c r="H4" s="1733"/>
      <c r="I4" s="1733"/>
      <c r="J4" s="1733"/>
      <c r="K4" s="1733"/>
      <c r="L4" s="1733"/>
      <c r="M4" s="1733"/>
      <c r="N4" s="1733"/>
      <c r="O4" s="1733"/>
      <c r="P4" s="1734"/>
      <c r="Q4" s="4015" t="s">
        <v>126</v>
      </c>
      <c r="R4" s="4016"/>
      <c r="S4" s="4016"/>
      <c r="T4" s="4016"/>
      <c r="U4" s="4017"/>
      <c r="V4" s="1735"/>
    </row>
    <row r="5" spans="1:23" s="1751" customFormat="1">
      <c r="A5" s="1749"/>
      <c r="B5" s="2005"/>
      <c r="C5" s="1752" t="s">
        <v>0</v>
      </c>
      <c r="D5" s="1753" t="s">
        <v>42</v>
      </c>
      <c r="E5" s="1753" t="s">
        <v>43</v>
      </c>
      <c r="F5" s="1753" t="s">
        <v>44</v>
      </c>
      <c r="G5" s="1753" t="s">
        <v>45</v>
      </c>
      <c r="H5" s="1753" t="s">
        <v>46</v>
      </c>
      <c r="I5" s="1753" t="s">
        <v>47</v>
      </c>
      <c r="J5" s="1754" t="s">
        <v>48</v>
      </c>
      <c r="K5" s="1754" t="s">
        <v>235</v>
      </c>
      <c r="L5" s="1754" t="s">
        <v>281</v>
      </c>
      <c r="M5" s="1754" t="s">
        <v>282</v>
      </c>
      <c r="N5" s="1754" t="s">
        <v>283</v>
      </c>
      <c r="O5" s="1754" t="s">
        <v>49</v>
      </c>
      <c r="P5" s="4021" t="s">
        <v>1077</v>
      </c>
      <c r="Q5" s="1755" t="s">
        <v>162</v>
      </c>
      <c r="R5" s="1756" t="s">
        <v>1070</v>
      </c>
      <c r="S5" s="1756" t="s">
        <v>1071</v>
      </c>
      <c r="T5" s="1725" t="s">
        <v>1076</v>
      </c>
      <c r="U5" s="1757" t="s">
        <v>122</v>
      </c>
      <c r="V5" s="1758" t="s">
        <v>75</v>
      </c>
      <c r="W5" s="1750"/>
    </row>
    <row r="6" spans="1:23">
      <c r="A6" s="355"/>
      <c r="B6" s="2006" t="s">
        <v>1003</v>
      </c>
      <c r="C6" s="3537" t="s">
        <v>1265</v>
      </c>
      <c r="D6" s="1723" t="s">
        <v>50</v>
      </c>
      <c r="E6" s="1723" t="s">
        <v>51</v>
      </c>
      <c r="F6" s="1723" t="s">
        <v>52</v>
      </c>
      <c r="G6" s="1723" t="s">
        <v>53</v>
      </c>
      <c r="H6" s="1723" t="s">
        <v>54</v>
      </c>
      <c r="I6" s="1723" t="s">
        <v>55</v>
      </c>
      <c r="J6" s="1746" t="s">
        <v>35</v>
      </c>
      <c r="K6" s="1746" t="s">
        <v>35</v>
      </c>
      <c r="L6" s="1746"/>
      <c r="M6" s="1746"/>
      <c r="N6" s="1746"/>
      <c r="O6" s="1746"/>
      <c r="P6" s="4022"/>
      <c r="Q6" s="1726" t="s">
        <v>127</v>
      </c>
      <c r="R6" s="1727" t="s">
        <v>253</v>
      </c>
      <c r="S6" s="1727" t="s">
        <v>253</v>
      </c>
      <c r="T6" s="1727" t="s">
        <v>1075</v>
      </c>
      <c r="U6" s="1728" t="s">
        <v>125</v>
      </c>
      <c r="V6" s="1736" t="s">
        <v>73</v>
      </c>
    </row>
    <row r="7" spans="1:23" s="3550" customFormat="1">
      <c r="A7" s="3538"/>
      <c r="B7" s="3539" t="s">
        <v>58</v>
      </c>
      <c r="C7" s="3540" t="s">
        <v>1096</v>
      </c>
      <c r="D7" s="3541" t="s">
        <v>1</v>
      </c>
      <c r="E7" s="3542">
        <v>1</v>
      </c>
      <c r="F7" s="3541" t="s">
        <v>1</v>
      </c>
      <c r="G7" s="3541" t="s">
        <v>1</v>
      </c>
      <c r="H7" s="3542">
        <v>0</v>
      </c>
      <c r="I7" s="3541">
        <v>1</v>
      </c>
      <c r="J7" s="3541">
        <v>1</v>
      </c>
      <c r="K7" s="3543">
        <v>0</v>
      </c>
      <c r="L7" s="3541"/>
      <c r="M7" s="3541"/>
      <c r="N7" s="3541"/>
      <c r="O7" s="3541"/>
      <c r="P7" s="3544" t="s">
        <v>1267</v>
      </c>
      <c r="Q7" s="3545"/>
      <c r="R7" s="3546"/>
      <c r="S7" s="3546"/>
      <c r="T7" s="3546"/>
      <c r="U7" s="3547"/>
      <c r="V7" s="3548">
        <v>5.0000000000000001E-3</v>
      </c>
      <c r="W7" s="3549"/>
    </row>
    <row r="8" spans="1:23" s="3551" customFormat="1" ht="27" customHeight="1">
      <c r="B8" s="3552" t="str">
        <f t="shared" ref="B8:P8" si="0">B31</f>
        <v>Dalle</v>
      </c>
      <c r="C8" s="3553" t="str">
        <f t="shared" si="0"/>
        <v>Béton sec qualité normale</v>
      </c>
      <c r="D8" s="3554" t="str">
        <f t="shared" si="0"/>
        <v>NC</v>
      </c>
      <c r="E8" s="3555">
        <f t="shared" si="0"/>
        <v>0.02</v>
      </c>
      <c r="F8" s="3554" t="str">
        <f t="shared" si="0"/>
        <v>NC</v>
      </c>
      <c r="G8" s="3554">
        <f t="shared" si="0"/>
        <v>1</v>
      </c>
      <c r="H8" s="3555">
        <f t="shared" si="0"/>
        <v>0</v>
      </c>
      <c r="I8" s="3554">
        <f t="shared" si="0"/>
        <v>0.02</v>
      </c>
      <c r="J8" s="3554">
        <f t="shared" si="0"/>
        <v>5.4288352331898103E-3</v>
      </c>
      <c r="K8" s="3554">
        <f t="shared" si="0"/>
        <v>0</v>
      </c>
      <c r="L8" s="3554">
        <f t="shared" si="0"/>
        <v>0</v>
      </c>
      <c r="M8" s="3554">
        <f t="shared" si="0"/>
        <v>0</v>
      </c>
      <c r="N8" s="3554">
        <f t="shared" si="0"/>
        <v>0</v>
      </c>
      <c r="O8" s="3554">
        <f t="shared" si="0"/>
        <v>0</v>
      </c>
      <c r="P8" s="3556" t="str">
        <f t="shared" si="0"/>
        <v>HESP (1995 p 31; ECETOC n°40), avec Vw = 0 au lieu de 0,01</v>
      </c>
      <c r="Q8" s="3557" t="s">
        <v>1</v>
      </c>
      <c r="R8" s="3554" t="s">
        <v>1</v>
      </c>
      <c r="S8" s="3554" t="s">
        <v>1</v>
      </c>
      <c r="T8" s="3558" t="str">
        <f>T31</f>
        <v>VOLASOIL</v>
      </c>
      <c r="U8" s="3559">
        <f>U31</f>
        <v>1.1368210220849668E-6</v>
      </c>
      <c r="V8" s="3560">
        <f>V31</f>
        <v>0.15</v>
      </c>
      <c r="W8" s="3561" t="s">
        <v>1110</v>
      </c>
    </row>
    <row r="9" spans="1:23" s="3562" customFormat="1">
      <c r="B9" s="3552" t="s">
        <v>1001</v>
      </c>
      <c r="C9" s="3553" t="s">
        <v>996</v>
      </c>
      <c r="D9" s="3554" t="s">
        <v>1</v>
      </c>
      <c r="E9" s="3555">
        <v>0.2</v>
      </c>
      <c r="F9" s="3554" t="s">
        <v>1</v>
      </c>
      <c r="G9" s="3554" t="e">
        <f>F9/(F9+H9)</f>
        <v>#VALUE!</v>
      </c>
      <c r="H9" s="3555">
        <v>0</v>
      </c>
      <c r="I9" s="3554">
        <f>E9-H9</f>
        <v>0.2</v>
      </c>
      <c r="J9" s="3554">
        <f>I9^(10/3)/E9^2</f>
        <v>0.11696070952851463</v>
      </c>
      <c r="K9" s="3554">
        <f>H9^(10/3)/E9^2</f>
        <v>0</v>
      </c>
      <c r="L9" s="3554"/>
      <c r="M9" s="3554"/>
      <c r="N9" s="3554"/>
      <c r="O9" s="3554"/>
      <c r="P9" s="3551" t="s">
        <v>1049</v>
      </c>
      <c r="Q9" s="3563">
        <f>0.01</f>
        <v>0.01</v>
      </c>
      <c r="R9" s="3564">
        <f>Q9*0.001307/999.7/9.80655</f>
        <v>1.33318263575396E-9</v>
      </c>
      <c r="S9" s="3565">
        <f>R9</f>
        <v>1.33318263575396E-9</v>
      </c>
      <c r="T9" s="3566" t="s">
        <v>1073</v>
      </c>
      <c r="U9" s="3559">
        <f>S9/$U$39</f>
        <v>7.6181864900226289E-5</v>
      </c>
      <c r="V9" s="3560">
        <v>0.15</v>
      </c>
    </row>
    <row r="10" spans="1:23" s="3567" customFormat="1" ht="25.5">
      <c r="B10" s="3568" t="s">
        <v>997</v>
      </c>
      <c r="C10" s="3569" t="s">
        <v>1002</v>
      </c>
      <c r="D10" s="3554" t="s">
        <v>1</v>
      </c>
      <c r="E10" s="3555">
        <v>0.03</v>
      </c>
      <c r="F10" s="3554" t="s">
        <v>1</v>
      </c>
      <c r="G10" s="3554">
        <v>1</v>
      </c>
      <c r="H10" s="3555">
        <v>0</v>
      </c>
      <c r="I10" s="3554">
        <f>E10-H10</f>
        <v>0.03</v>
      </c>
      <c r="J10" s="3567">
        <f>I10^(10/3)/E10^2</f>
        <v>9.3216975178615734E-3</v>
      </c>
      <c r="K10" s="3567">
        <f>H10^(10/3)/E10^2</f>
        <v>0</v>
      </c>
      <c r="P10" s="3570" t="s">
        <v>1050</v>
      </c>
      <c r="Q10" s="3571" t="s">
        <v>1</v>
      </c>
      <c r="R10" s="3572" t="s">
        <v>1</v>
      </c>
      <c r="S10" s="3572" t="s">
        <v>1</v>
      </c>
      <c r="T10" s="3573"/>
      <c r="U10" s="3574" t="s">
        <v>1</v>
      </c>
      <c r="V10" s="3560">
        <v>0.04</v>
      </c>
    </row>
    <row r="11" spans="1:23" s="3562" customFormat="1" ht="13.5" customHeight="1">
      <c r="B11" s="3552" t="s">
        <v>1055</v>
      </c>
      <c r="C11" s="3553" t="s">
        <v>996</v>
      </c>
      <c r="D11" s="3554" t="s">
        <v>1</v>
      </c>
      <c r="E11" s="3555">
        <f>E9</f>
        <v>0.2</v>
      </c>
      <c r="F11" s="3554" t="s">
        <v>1</v>
      </c>
      <c r="G11" s="3554" t="e">
        <f>G9</f>
        <v>#VALUE!</v>
      </c>
      <c r="H11" s="3555">
        <f>H9</f>
        <v>0</v>
      </c>
      <c r="I11" s="3554">
        <f>I9</f>
        <v>0.2</v>
      </c>
      <c r="J11" s="3554">
        <f>J9</f>
        <v>0.11696070952851463</v>
      </c>
      <c r="K11" s="3554">
        <f>K9</f>
        <v>0</v>
      </c>
      <c r="L11" s="3554"/>
      <c r="M11" s="3554"/>
      <c r="N11" s="3554"/>
      <c r="O11" s="3554"/>
      <c r="P11" s="3551" t="s">
        <v>1049</v>
      </c>
      <c r="Q11" s="3557" t="s">
        <v>1</v>
      </c>
      <c r="R11" s="3554" t="s">
        <v>1</v>
      </c>
      <c r="S11" s="3554" t="s">
        <v>1</v>
      </c>
      <c r="T11" s="3567"/>
      <c r="U11" s="3575" t="s">
        <v>1</v>
      </c>
      <c r="V11" s="3560">
        <v>0.4</v>
      </c>
    </row>
    <row r="12" spans="1:23" s="3590" customFormat="1" ht="12.75" hidden="1" customHeight="1">
      <c r="A12" s="3576"/>
      <c r="B12" s="3577"/>
      <c r="C12" s="3578" t="s">
        <v>56</v>
      </c>
      <c r="D12" s="3579">
        <v>3</v>
      </c>
      <c r="E12" s="3580">
        <v>0.5</v>
      </c>
      <c r="F12" s="3579">
        <v>1.3</v>
      </c>
      <c r="G12" s="3581"/>
      <c r="H12" s="3555">
        <v>0.3</v>
      </c>
      <c r="I12" s="3582">
        <f>E12-H12</f>
        <v>0.2</v>
      </c>
      <c r="J12" s="3583">
        <f>I12^(10/3)/E12^2</f>
        <v>1.8713713524562345E-2</v>
      </c>
      <c r="K12" s="3584">
        <f>H12^(10/3)/E12^2</f>
        <v>7.2298758608874261E-2</v>
      </c>
      <c r="L12" s="3585">
        <v>3.9E-2</v>
      </c>
      <c r="M12" s="3585">
        <v>0.30990000000000001</v>
      </c>
      <c r="N12" s="3584">
        <f>(H12-L12)/(E12-L12)</f>
        <v>0.56616052060737532</v>
      </c>
      <c r="O12" s="3586"/>
      <c r="P12" s="3587" t="s">
        <v>1062</v>
      </c>
      <c r="Q12" s="3571">
        <f>1.6/100/3600</f>
        <v>4.4444444444444441E-6</v>
      </c>
      <c r="R12" s="3588">
        <f>Q12*0.001307/999.7/9.80655</f>
        <v>5.9252561589064876E-13</v>
      </c>
      <c r="S12" s="3588">
        <f>10^-13</f>
        <v>1E-13</v>
      </c>
      <c r="T12" s="3566" t="s">
        <v>128</v>
      </c>
      <c r="U12" s="3559">
        <f>S12/$U$39</f>
        <v>5.7142857142857152E-9</v>
      </c>
      <c r="V12" s="3560"/>
      <c r="W12" s="3589"/>
    </row>
    <row r="13" spans="1:23" s="3590" customFormat="1" ht="14.25" hidden="1">
      <c r="A13" s="3576"/>
      <c r="B13" s="3577"/>
      <c r="C13" s="3591" t="s">
        <v>57</v>
      </c>
      <c r="D13" s="3586"/>
      <c r="E13" s="3580">
        <v>0.5</v>
      </c>
      <c r="F13" s="3586">
        <v>1.3</v>
      </c>
      <c r="G13" s="3592">
        <f>F13/(F13+H13)</f>
        <v>0.7303370786516854</v>
      </c>
      <c r="H13" s="3580">
        <v>0.48</v>
      </c>
      <c r="I13" s="3582">
        <f>E13-H13</f>
        <v>2.0000000000000018E-2</v>
      </c>
      <c r="J13" s="3593">
        <f>I13^(10/3)/E13^2</f>
        <v>8.6861363731037271E-6</v>
      </c>
      <c r="K13" s="3592">
        <f>H13^(10/3)/E13^2</f>
        <v>0.34636243373771758</v>
      </c>
      <c r="L13" s="3582"/>
      <c r="M13" s="3582"/>
      <c r="N13" s="3582"/>
      <c r="O13" s="3594"/>
      <c r="P13" s="3595" t="s">
        <v>301</v>
      </c>
      <c r="Q13" s="3571"/>
      <c r="R13" s="3588"/>
      <c r="S13" s="3588"/>
      <c r="T13" s="3566"/>
      <c r="U13" s="3559"/>
      <c r="V13" s="3560"/>
      <c r="W13" s="3589"/>
    </row>
    <row r="14" spans="1:23" s="3562" customFormat="1" ht="13.5" customHeight="1">
      <c r="B14" s="3552" t="s">
        <v>998</v>
      </c>
      <c r="C14" s="3553" t="s">
        <v>999</v>
      </c>
      <c r="D14" s="3554" t="s">
        <v>1</v>
      </c>
      <c r="E14" s="3555">
        <v>0.4</v>
      </c>
      <c r="F14" s="3554" t="s">
        <v>1</v>
      </c>
      <c r="G14" s="3554">
        <v>0.9</v>
      </c>
      <c r="H14" s="3555">
        <v>0.18</v>
      </c>
      <c r="I14" s="3572">
        <f>E14-H14</f>
        <v>0.22000000000000003</v>
      </c>
      <c r="J14" s="3554">
        <f>I14^(10/3)/E14^2</f>
        <v>4.0174975453388599E-2</v>
      </c>
      <c r="K14" s="3554">
        <f>H14^(10/3)/E14^2</f>
        <v>2.0580457951628085E-2</v>
      </c>
      <c r="L14" s="3554"/>
      <c r="M14" s="3554"/>
      <c r="N14" s="3554"/>
      <c r="O14" s="3554">
        <f>K14/J14</f>
        <v>0.5122705793686354</v>
      </c>
      <c r="P14" s="3551" t="s">
        <v>1264</v>
      </c>
      <c r="Q14" s="3557" t="s">
        <v>1</v>
      </c>
      <c r="R14" s="3554" t="s">
        <v>1</v>
      </c>
      <c r="S14" s="3554" t="s">
        <v>1</v>
      </c>
      <c r="T14" s="3567"/>
      <c r="U14" s="3575" t="s">
        <v>1</v>
      </c>
      <c r="V14" s="3560">
        <v>0.3</v>
      </c>
    </row>
    <row r="15" spans="1:23" s="3596" customFormat="1" ht="25.5">
      <c r="B15" s="3597" t="s">
        <v>995</v>
      </c>
      <c r="C15" s="3598" t="s">
        <v>308</v>
      </c>
      <c r="D15" s="3599">
        <v>0.1</v>
      </c>
      <c r="E15" s="3599">
        <v>0.4</v>
      </c>
      <c r="F15" s="3599">
        <v>1.5</v>
      </c>
      <c r="G15" s="3600">
        <f>1-0.09</f>
        <v>0.91</v>
      </c>
      <c r="H15" s="3599">
        <v>0.2</v>
      </c>
      <c r="I15" s="3601">
        <f t="shared" ref="I15:I21" si="1">E15-H15</f>
        <v>0.2</v>
      </c>
      <c r="J15" s="3602">
        <f t="shared" ref="J15:J24" si="2">I15^(10/3)/E15^2</f>
        <v>2.9240177382128658E-2</v>
      </c>
      <c r="K15" s="3602">
        <f t="shared" ref="K15:K24" si="3">H15^(10/3)/E15^2</f>
        <v>2.9240177382128658E-2</v>
      </c>
      <c r="L15" s="3602">
        <v>5.2999999999999999E-2</v>
      </c>
      <c r="M15" s="3602">
        <v>0.68520000000000003</v>
      </c>
      <c r="N15" s="3602">
        <f>(H15-L15)/(E15-L15)</f>
        <v>0.42363112391930835</v>
      </c>
      <c r="O15" s="3602">
        <f>K15/J15</f>
        <v>1</v>
      </c>
      <c r="P15" s="3603" t="s">
        <v>1266</v>
      </c>
      <c r="Q15" s="3604">
        <f>0.00004</f>
        <v>4.0000000000000003E-5</v>
      </c>
      <c r="R15" s="3605">
        <f>Q15*0.001307/999.7/9.80655</f>
        <v>5.3327305430158398E-12</v>
      </c>
      <c r="S15" s="3606">
        <f>R15</f>
        <v>5.3327305430158398E-12</v>
      </c>
      <c r="T15" s="3607" t="s">
        <v>1074</v>
      </c>
      <c r="U15" s="3608">
        <f>S15/$U$39</f>
        <v>3.0472745960090518E-7</v>
      </c>
      <c r="V15" s="3609">
        <v>3</v>
      </c>
    </row>
    <row r="16" spans="1:23" hidden="1">
      <c r="A16" s="379"/>
      <c r="B16" s="379"/>
      <c r="C16" s="358" t="s">
        <v>1061</v>
      </c>
      <c r="D16" s="1672">
        <v>6</v>
      </c>
      <c r="E16" s="1672">
        <v>0.3</v>
      </c>
      <c r="F16" s="1672">
        <v>1.7</v>
      </c>
      <c r="G16" s="365">
        <v>0.95</v>
      </c>
      <c r="H16" s="369">
        <f t="shared" ref="H16:H21" si="4">F16*(1-G16)/G16</f>
        <v>8.94736842105264E-2</v>
      </c>
      <c r="I16" s="369">
        <f t="shared" si="1"/>
        <v>0.21052631578947359</v>
      </c>
      <c r="J16" s="366">
        <f t="shared" si="2"/>
        <v>6.1675421348392413E-2</v>
      </c>
      <c r="K16" s="366">
        <f t="shared" si="3"/>
        <v>3.5596603296296396E-3</v>
      </c>
      <c r="L16" s="367">
        <v>4.9000000000000002E-2</v>
      </c>
      <c r="M16" s="367">
        <v>0.42730000000000001</v>
      </c>
      <c r="N16" s="366">
        <f>(H16-L16)/(E16-L16)</f>
        <v>0.16124973789054342</v>
      </c>
      <c r="O16" s="370"/>
      <c r="P16" s="3" t="s">
        <v>1060</v>
      </c>
      <c r="Q16" s="1711">
        <f>4.4/100/3600</f>
        <v>1.2222222222222224E-5</v>
      </c>
      <c r="R16" s="221">
        <f>Q16*0.001307/999.7/9.80655</f>
        <v>1.6294454436992846E-12</v>
      </c>
      <c r="S16" s="221">
        <f>10^-12</f>
        <v>9.9999999999999998E-13</v>
      </c>
      <c r="T16" s="221" t="s">
        <v>280</v>
      </c>
      <c r="U16" s="1712">
        <f>S16/$U$39</f>
        <v>5.7142857142857144E-8</v>
      </c>
      <c r="V16" s="1738"/>
    </row>
    <row r="17" spans="1:26" hidden="1">
      <c r="A17" s="379"/>
      <c r="B17" s="379"/>
      <c r="C17" s="384" t="s">
        <v>60</v>
      </c>
      <c r="D17" s="375">
        <v>3</v>
      </c>
      <c r="E17" s="375">
        <v>0.5</v>
      </c>
      <c r="F17" s="375">
        <v>1.3</v>
      </c>
      <c r="G17" s="368">
        <v>0.9</v>
      </c>
      <c r="H17" s="369">
        <f t="shared" si="4"/>
        <v>0.1444444444444444</v>
      </c>
      <c r="I17" s="369">
        <f t="shared" si="1"/>
        <v>0.35555555555555562</v>
      </c>
      <c r="J17" s="377">
        <f t="shared" si="2"/>
        <v>0.12737520254220694</v>
      </c>
      <c r="K17" s="371">
        <f t="shared" si="3"/>
        <v>6.3250330751518551E-3</v>
      </c>
      <c r="L17" s="376"/>
      <c r="M17" s="376"/>
      <c r="N17" s="376"/>
      <c r="O17" s="370">
        <f t="shared" ref="O17:O22" si="5">K17/J17</f>
        <v>4.9656706713035431E-2</v>
      </c>
      <c r="P17" s="3" t="s">
        <v>61</v>
      </c>
      <c r="Q17" s="1713"/>
      <c r="R17" s="368"/>
      <c r="S17" s="368"/>
      <c r="T17" s="368"/>
      <c r="U17" s="1714"/>
      <c r="V17" s="1738"/>
    </row>
    <row r="18" spans="1:26" hidden="1">
      <c r="A18" s="380"/>
      <c r="B18" s="364"/>
      <c r="C18" s="384" t="s">
        <v>1067</v>
      </c>
      <c r="D18" s="1672">
        <v>7</v>
      </c>
      <c r="E18" s="1672">
        <v>0.45</v>
      </c>
      <c r="F18" s="1672">
        <v>1.3</v>
      </c>
      <c r="G18" s="365">
        <f>1-0.19</f>
        <v>0.81</v>
      </c>
      <c r="H18" s="369">
        <f t="shared" si="4"/>
        <v>0.30493827160493819</v>
      </c>
      <c r="I18" s="369">
        <f t="shared" si="1"/>
        <v>0.14506172839506182</v>
      </c>
      <c r="J18" s="366">
        <f t="shared" si="2"/>
        <v>7.9204732498501917E-3</v>
      </c>
      <c r="K18" s="366">
        <f t="shared" si="3"/>
        <v>9.4250013348427489E-2</v>
      </c>
      <c r="L18" s="367">
        <v>6.5000000000000002E-2</v>
      </c>
      <c r="M18" s="367">
        <v>0.3987</v>
      </c>
      <c r="N18" s="366">
        <f>(H18-L18)/(E18-L18)</f>
        <v>0.6232162898829563</v>
      </c>
      <c r="O18" s="370">
        <f t="shared" si="5"/>
        <v>11.899543168106797</v>
      </c>
      <c r="P18" s="3" t="s">
        <v>272</v>
      </c>
      <c r="Q18" s="1711">
        <f>0.7/100/3600</f>
        <v>1.9444444444444444E-6</v>
      </c>
      <c r="R18" s="221">
        <f>Q18*0.001307/999.7/9.80655</f>
        <v>2.5922995695215883E-13</v>
      </c>
      <c r="S18" s="221">
        <f>10^-13.5</f>
        <v>3.1622776601683714E-14</v>
      </c>
      <c r="T18" s="221" t="s">
        <v>128</v>
      </c>
      <c r="U18" s="1712">
        <f>S18/$U$39</f>
        <v>1.8070158058104981E-9</v>
      </c>
      <c r="V18" s="1738"/>
      <c r="X18" s="358"/>
      <c r="Y18" s="358"/>
      <c r="Z18" s="358"/>
    </row>
    <row r="19" spans="1:26" hidden="1">
      <c r="A19" s="380"/>
      <c r="B19" s="364"/>
      <c r="C19" s="384" t="s">
        <v>62</v>
      </c>
      <c r="D19" s="375" t="s">
        <v>1</v>
      </c>
      <c r="E19" s="375">
        <v>0.33</v>
      </c>
      <c r="F19" s="375">
        <v>1.7</v>
      </c>
      <c r="G19" s="368">
        <v>0.93</v>
      </c>
      <c r="H19" s="369">
        <f t="shared" si="4"/>
        <v>0.12795698924731172</v>
      </c>
      <c r="I19" s="369">
        <f t="shared" si="1"/>
        <v>0.2020430107526883</v>
      </c>
      <c r="J19" s="371">
        <f t="shared" si="2"/>
        <v>4.4441109421162306E-2</v>
      </c>
      <c r="K19" s="371">
        <f t="shared" si="3"/>
        <v>9.6943530019619074E-3</v>
      </c>
      <c r="L19" s="368"/>
      <c r="M19" s="368"/>
      <c r="N19" s="368"/>
      <c r="O19" s="370">
        <f t="shared" si="5"/>
        <v>0.21813931128698549</v>
      </c>
      <c r="P19" s="3" t="s">
        <v>63</v>
      </c>
      <c r="Q19" s="1715"/>
      <c r="R19" s="1675"/>
      <c r="S19" s="1675"/>
      <c r="T19" s="1675"/>
      <c r="U19" s="1716"/>
      <c r="V19" s="1738"/>
      <c r="W19" s="368"/>
      <c r="X19" s="368"/>
      <c r="Y19" s="368"/>
      <c r="Z19" s="368"/>
    </row>
    <row r="20" spans="1:26" ht="13.5" hidden="1" customHeight="1">
      <c r="A20" s="364"/>
      <c r="B20" s="364"/>
      <c r="C20" s="384" t="s">
        <v>1051</v>
      </c>
      <c r="D20" s="375">
        <v>3</v>
      </c>
      <c r="E20" s="375">
        <v>0.35</v>
      </c>
      <c r="F20" s="375">
        <v>1.6</v>
      </c>
      <c r="G20" s="368">
        <v>0.9</v>
      </c>
      <c r="H20" s="369">
        <f t="shared" si="4"/>
        <v>0.17777777777777776</v>
      </c>
      <c r="I20" s="369">
        <f t="shared" si="1"/>
        <v>0.17222222222222222</v>
      </c>
      <c r="J20" s="371">
        <f t="shared" si="2"/>
        <v>2.3200350197912434E-2</v>
      </c>
      <c r="K20" s="371">
        <f t="shared" si="3"/>
        <v>2.5790246238541027E-2</v>
      </c>
      <c r="L20" s="368"/>
      <c r="M20" s="368"/>
      <c r="N20" s="368"/>
      <c r="O20" s="370">
        <f t="shared" si="5"/>
        <v>1.1116317649748939</v>
      </c>
      <c r="P20" s="3" t="s">
        <v>1054</v>
      </c>
      <c r="Q20" s="1715">
        <v>0.05</v>
      </c>
      <c r="R20" s="1675">
        <f>Q20*0.00000013</f>
        <v>6.5000000000000003E-9</v>
      </c>
      <c r="S20" s="1675">
        <v>1.0000000000000001E-9</v>
      </c>
      <c r="T20" s="1675" t="s">
        <v>129</v>
      </c>
      <c r="U20" s="1712">
        <f>S20/$U$39</f>
        <v>5.7142857142857148E-5</v>
      </c>
      <c r="V20" s="1738"/>
      <c r="W20" s="368"/>
      <c r="X20" s="368"/>
      <c r="Y20" s="368"/>
      <c r="Z20" s="368"/>
    </row>
    <row r="21" spans="1:26" hidden="1">
      <c r="A21" s="364"/>
      <c r="B21" s="364"/>
      <c r="C21" s="1676" t="s">
        <v>271</v>
      </c>
      <c r="D21" s="1672">
        <v>7</v>
      </c>
      <c r="E21" s="1672">
        <v>0.45</v>
      </c>
      <c r="F21" s="1672">
        <v>1.4</v>
      </c>
      <c r="G21" s="373">
        <v>0.77400000000000002</v>
      </c>
      <c r="H21" s="369">
        <f t="shared" si="4"/>
        <v>0.40878552971576221</v>
      </c>
      <c r="I21" s="369">
        <f t="shared" si="1"/>
        <v>4.1214470284237803E-2</v>
      </c>
      <c r="J21" s="381">
        <f t="shared" si="2"/>
        <v>1.1941916962999453E-4</v>
      </c>
      <c r="K21" s="366">
        <f t="shared" si="3"/>
        <v>0.25035716186179263</v>
      </c>
      <c r="L21" s="367">
        <v>6.0999999999999999E-2</v>
      </c>
      <c r="M21" s="367">
        <v>0.32069999999999999</v>
      </c>
      <c r="N21" s="366">
        <f>(H21-L21)/(E21-L21)</f>
        <v>0.89405020492483855</v>
      </c>
      <c r="O21" s="370">
        <f t="shared" si="5"/>
        <v>2096.4570649544225</v>
      </c>
      <c r="P21" s="3" t="s">
        <v>272</v>
      </c>
      <c r="Q21" s="1711">
        <f>0.5/100/3600</f>
        <v>1.388888888888889E-6</v>
      </c>
      <c r="R21" s="221">
        <f>Q21*0.001307/999.7/9.80655</f>
        <v>1.8516425496582777E-13</v>
      </c>
      <c r="S21" s="221">
        <f>10^-14</f>
        <v>1E-14</v>
      </c>
      <c r="T21" s="167" t="s">
        <v>280</v>
      </c>
      <c r="U21" s="1712">
        <f>S21/$U$39</f>
        <v>5.7142857142857152E-10</v>
      </c>
      <c r="V21" s="1738"/>
      <c r="W21" s="368"/>
      <c r="X21" s="368"/>
      <c r="Y21" s="368"/>
      <c r="Z21" s="368"/>
    </row>
    <row r="22" spans="1:26" hidden="1">
      <c r="A22" s="364"/>
      <c r="B22" s="364"/>
      <c r="C22" s="384" t="s">
        <v>64</v>
      </c>
      <c r="D22" s="375" t="s">
        <v>1</v>
      </c>
      <c r="E22" s="375">
        <v>0.38</v>
      </c>
      <c r="F22" s="375" t="s">
        <v>1</v>
      </c>
      <c r="G22" s="368" t="s">
        <v>1</v>
      </c>
      <c r="H22" s="371"/>
      <c r="I22" s="371">
        <v>3.7999999999999999E-2</v>
      </c>
      <c r="J22" s="370">
        <f t="shared" si="2"/>
        <v>1.2775506545836067E-4</v>
      </c>
      <c r="K22" s="371">
        <f t="shared" si="3"/>
        <v>0</v>
      </c>
      <c r="L22" s="368"/>
      <c r="M22" s="368"/>
      <c r="N22" s="368"/>
      <c r="O22" s="370">
        <f t="shared" si="5"/>
        <v>0</v>
      </c>
      <c r="P22" s="3" t="s">
        <v>65</v>
      </c>
      <c r="Q22" s="1713"/>
      <c r="R22" s="368"/>
      <c r="S22" s="368"/>
      <c r="T22" s="368"/>
      <c r="U22" s="1714"/>
      <c r="V22" s="1738"/>
      <c r="W22" s="369"/>
      <c r="X22" s="369"/>
      <c r="Y22" s="369"/>
      <c r="Z22" s="368"/>
    </row>
    <row r="23" spans="1:26" hidden="1">
      <c r="A23" s="364"/>
      <c r="B23" s="364"/>
      <c r="C23" s="384" t="s">
        <v>1052</v>
      </c>
      <c r="D23" s="375">
        <v>2</v>
      </c>
      <c r="E23" s="375">
        <v>0.4</v>
      </c>
      <c r="F23" s="375">
        <v>1.6</v>
      </c>
      <c r="G23" s="368">
        <v>0.8</v>
      </c>
      <c r="H23" s="369">
        <f>F23*(1-G23)/G23</f>
        <v>0.39999999999999991</v>
      </c>
      <c r="I23" s="382">
        <v>0</v>
      </c>
      <c r="J23" s="368">
        <f t="shared" si="2"/>
        <v>0</v>
      </c>
      <c r="K23" s="371">
        <f t="shared" si="3"/>
        <v>0.29472251989123055</v>
      </c>
      <c r="L23" s="368"/>
      <c r="M23" s="368"/>
      <c r="N23" s="368"/>
      <c r="O23" s="368"/>
      <c r="P23" s="3" t="s">
        <v>1053</v>
      </c>
      <c r="Q23" s="1717"/>
      <c r="R23" s="1706"/>
      <c r="S23" s="369"/>
      <c r="T23" s="369"/>
      <c r="U23" s="51"/>
      <c r="V23" s="1738"/>
      <c r="W23" s="369"/>
      <c r="X23" s="369"/>
      <c r="Y23" s="369"/>
      <c r="Z23" s="368"/>
    </row>
    <row r="24" spans="1:26" hidden="1">
      <c r="A24" s="364"/>
      <c r="B24" s="364"/>
      <c r="C24" s="384" t="s">
        <v>66</v>
      </c>
      <c r="D24" s="375">
        <v>3</v>
      </c>
      <c r="E24" s="375">
        <v>0.35</v>
      </c>
      <c r="F24" s="375">
        <v>1.5</v>
      </c>
      <c r="G24" s="368" t="s">
        <v>1</v>
      </c>
      <c r="H24" s="368">
        <v>0.35</v>
      </c>
      <c r="I24" s="382">
        <f>E24-H24</f>
        <v>0</v>
      </c>
      <c r="J24" s="368">
        <f t="shared" si="2"/>
        <v>0</v>
      </c>
      <c r="K24" s="371">
        <f t="shared" si="3"/>
        <v>0.24665545562227106</v>
      </c>
      <c r="L24" s="368"/>
      <c r="M24" s="368"/>
      <c r="N24" s="368"/>
      <c r="O24" s="368"/>
      <c r="P24" s="78" t="s">
        <v>1065</v>
      </c>
      <c r="Q24" s="1717"/>
      <c r="R24" s="1706"/>
      <c r="S24" s="369"/>
      <c r="T24" s="369"/>
      <c r="U24" s="51"/>
      <c r="V24" s="1738"/>
      <c r="W24" s="369"/>
      <c r="X24" s="369"/>
      <c r="Y24" s="369"/>
      <c r="Z24" s="368"/>
    </row>
    <row r="25" spans="1:26" hidden="1">
      <c r="A25" s="380"/>
      <c r="B25" s="364"/>
      <c r="C25" s="384"/>
      <c r="D25" s="375"/>
      <c r="E25" s="375"/>
      <c r="F25" s="375"/>
      <c r="G25" s="368"/>
      <c r="H25" s="368"/>
      <c r="I25" s="382"/>
      <c r="J25" s="368"/>
      <c r="K25" s="371"/>
      <c r="L25" s="368"/>
      <c r="M25" s="368"/>
      <c r="N25" s="368"/>
      <c r="O25" s="368"/>
      <c r="P25" s="385"/>
      <c r="Q25" s="1717"/>
      <c r="R25" s="1706"/>
      <c r="S25" s="369"/>
      <c r="T25" s="369"/>
      <c r="U25" s="51"/>
      <c r="V25" s="1738"/>
      <c r="W25" s="383"/>
      <c r="X25" s="369"/>
      <c r="Y25" s="369"/>
      <c r="Z25" s="383"/>
    </row>
    <row r="26" spans="1:26" ht="14.25" hidden="1">
      <c r="A26" s="380"/>
      <c r="B26" s="364"/>
      <c r="C26" s="106" t="s">
        <v>302</v>
      </c>
      <c r="D26" s="375"/>
      <c r="E26" s="375"/>
      <c r="F26" s="375"/>
      <c r="G26" s="368"/>
      <c r="H26" s="368"/>
      <c r="I26" s="382"/>
      <c r="J26" s="372"/>
      <c r="K26" s="386"/>
      <c r="L26" s="372"/>
      <c r="M26" s="372"/>
      <c r="N26" s="372"/>
      <c r="O26" s="372"/>
      <c r="P26" s="358"/>
      <c r="Q26" s="50"/>
      <c r="R26" s="369"/>
      <c r="S26" s="369"/>
      <c r="T26" s="369"/>
      <c r="U26" s="51"/>
      <c r="V26" s="1738"/>
      <c r="W26" s="383"/>
      <c r="X26" s="369"/>
      <c r="Y26" s="369"/>
      <c r="Z26" s="383"/>
    </row>
    <row r="27" spans="1:26">
      <c r="A27" s="380"/>
      <c r="B27" s="1739"/>
      <c r="C27" s="1773"/>
      <c r="D27" s="715"/>
      <c r="E27" s="715"/>
      <c r="F27" s="715"/>
      <c r="G27" s="1683"/>
      <c r="H27" s="1683"/>
      <c r="I27" s="715"/>
      <c r="J27" s="1773"/>
      <c r="K27" s="1773"/>
      <c r="L27" s="1773"/>
      <c r="M27" s="1773"/>
      <c r="N27" s="1773"/>
      <c r="O27" s="1773"/>
      <c r="P27" s="1773"/>
      <c r="Q27" s="4018" t="s">
        <v>1066</v>
      </c>
      <c r="R27" s="4019"/>
      <c r="S27" s="4019"/>
      <c r="T27" s="4019"/>
      <c r="U27" s="4020"/>
      <c r="V27" s="1740"/>
      <c r="W27" s="383"/>
      <c r="X27" s="369"/>
      <c r="Y27" s="369"/>
      <c r="Z27" s="383"/>
    </row>
    <row r="28" spans="1:26" ht="14.25">
      <c r="A28" s="380"/>
      <c r="B28" s="364"/>
      <c r="C28" s="106"/>
      <c r="D28" s="375"/>
      <c r="E28" s="375"/>
      <c r="F28" s="375"/>
      <c r="G28" s="368"/>
      <c r="H28" s="368"/>
      <c r="I28" s="382"/>
      <c r="J28" s="372"/>
      <c r="K28" s="386"/>
      <c r="L28" s="372"/>
      <c r="M28" s="372"/>
      <c r="N28" s="372"/>
      <c r="O28" s="372"/>
      <c r="P28" s="358"/>
      <c r="Q28" s="1710" t="s">
        <v>117</v>
      </c>
      <c r="R28" s="1759" t="s">
        <v>118</v>
      </c>
      <c r="S28" s="1759" t="s">
        <v>119</v>
      </c>
      <c r="T28" s="1760" t="s">
        <v>1076</v>
      </c>
      <c r="U28" s="1761" t="s">
        <v>122</v>
      </c>
      <c r="V28" s="1738"/>
      <c r="W28" s="383"/>
      <c r="X28" s="369"/>
      <c r="Y28" s="369"/>
      <c r="Z28" s="383"/>
    </row>
    <row r="29" spans="1:26">
      <c r="A29" s="380"/>
      <c r="B29" s="1741"/>
      <c r="C29" s="1774"/>
      <c r="D29" s="1767"/>
      <c r="E29" s="1767"/>
      <c r="F29" s="1767"/>
      <c r="G29" s="1684"/>
      <c r="H29" s="1684"/>
      <c r="I29" s="1767"/>
      <c r="J29" s="1774"/>
      <c r="K29" s="1774"/>
      <c r="L29" s="1774"/>
      <c r="M29" s="1774"/>
      <c r="N29" s="1774"/>
      <c r="O29" s="1774"/>
      <c r="P29" s="1774"/>
      <c r="Q29" s="1724" t="s">
        <v>73</v>
      </c>
      <c r="R29" s="1727" t="s">
        <v>70</v>
      </c>
      <c r="S29" s="1727" t="s">
        <v>123</v>
      </c>
      <c r="T29" s="1727" t="s">
        <v>1075</v>
      </c>
      <c r="U29" s="1728" t="s">
        <v>125</v>
      </c>
      <c r="V29" s="1742"/>
      <c r="W29" s="383"/>
      <c r="X29" s="369"/>
      <c r="Y29" s="369"/>
      <c r="Z29" s="383"/>
    </row>
    <row r="30" spans="1:26" ht="12.75" hidden="1" customHeight="1">
      <c r="A30" s="380"/>
      <c r="B30" s="364"/>
      <c r="C30" s="1687" t="s">
        <v>1063</v>
      </c>
      <c r="D30" s="375"/>
      <c r="E30" s="375"/>
      <c r="F30" s="375"/>
      <c r="G30" s="375"/>
      <c r="H30" s="375"/>
      <c r="I30" s="375"/>
      <c r="J30" s="375"/>
      <c r="K30" s="1674"/>
      <c r="L30" s="375"/>
      <c r="M30" s="375"/>
      <c r="N30" s="375"/>
      <c r="Q30" s="831">
        <f>(R30/S30/PI())^0.5</f>
        <v>1.2615662610100801E-2</v>
      </c>
      <c r="R30" s="1718">
        <v>1E-4</v>
      </c>
      <c r="S30" s="1718">
        <v>0.2</v>
      </c>
      <c r="T30" s="1771" t="s">
        <v>59</v>
      </c>
      <c r="U30" s="641">
        <f>R30*Q30^2/8/$U$39</f>
        <v>1.1368210220849668E-4</v>
      </c>
      <c r="V30" s="1738"/>
      <c r="W30" s="383"/>
      <c r="X30" s="369"/>
      <c r="Y30" s="369"/>
      <c r="Z30" s="383"/>
    </row>
    <row r="31" spans="1:26" s="204" customFormat="1" ht="25.5">
      <c r="B31" s="1680" t="s">
        <v>1000</v>
      </c>
      <c r="C31" s="1688" t="s">
        <v>1064</v>
      </c>
      <c r="D31" s="1743" t="s">
        <v>1</v>
      </c>
      <c r="E31" s="1748">
        <v>0.02</v>
      </c>
      <c r="F31" s="1744" t="s">
        <v>1</v>
      </c>
      <c r="G31" s="1744">
        <v>1</v>
      </c>
      <c r="H31" s="1748">
        <v>0</v>
      </c>
      <c r="I31" s="1744">
        <f>E31-H31</f>
        <v>0.02</v>
      </c>
      <c r="J31" s="1744">
        <f>I31^(10/3)/E31^2</f>
        <v>5.4288352331898103E-3</v>
      </c>
      <c r="K31" s="1744">
        <f>H31^(10/3)/E31^2</f>
        <v>0</v>
      </c>
      <c r="L31" s="1744"/>
      <c r="M31" s="1744"/>
      <c r="N31" s="1744"/>
      <c r="O31" s="1744"/>
      <c r="P31" s="1745" t="s">
        <v>1068</v>
      </c>
      <c r="Q31" s="1762">
        <f>(R31/S31/PI())^0.5</f>
        <v>3.9894228040143268E-3</v>
      </c>
      <c r="R31" s="1764">
        <v>1.0000000000000001E-5</v>
      </c>
      <c r="S31" s="1764">
        <f>10/50</f>
        <v>0.2</v>
      </c>
      <c r="T31" s="1763" t="s">
        <v>59</v>
      </c>
      <c r="U31" s="1762">
        <f>R31*Q31^2/8/$U$39</f>
        <v>1.1368210220849668E-6</v>
      </c>
      <c r="V31" s="1737">
        <v>0.15</v>
      </c>
    </row>
    <row r="32" spans="1:26" ht="13.5" thickBot="1">
      <c r="A32" s="380"/>
      <c r="B32" s="1729" t="s">
        <v>1287</v>
      </c>
      <c r="C32" s="1730"/>
      <c r="D32" s="1747" t="s">
        <v>1004</v>
      </c>
      <c r="E32" s="1747"/>
      <c r="F32" s="1730" t="s">
        <v>1005</v>
      </c>
      <c r="G32" s="1730"/>
      <c r="H32" s="1730"/>
      <c r="I32" s="1730"/>
      <c r="J32" s="1730"/>
      <c r="K32" s="1730"/>
      <c r="L32" s="1730"/>
      <c r="M32" s="1730"/>
      <c r="N32" s="1730"/>
      <c r="O32" s="1730"/>
      <c r="P32" s="2069" t="s">
        <v>1117</v>
      </c>
      <c r="Q32" s="1730"/>
      <c r="R32" s="1730" t="s">
        <v>1072</v>
      </c>
      <c r="S32" s="1730"/>
      <c r="T32" s="1730"/>
      <c r="U32" s="1730"/>
      <c r="V32" s="1731"/>
      <c r="W32" s="383"/>
      <c r="X32" s="369"/>
      <c r="Y32" s="369"/>
      <c r="Z32" s="383"/>
    </row>
    <row r="33" spans="1:26">
      <c r="A33" s="380"/>
      <c r="B33" s="3"/>
      <c r="C33" s="3"/>
      <c r="D33" s="3"/>
      <c r="E33" s="3"/>
      <c r="F33" s="3"/>
      <c r="G33" s="3"/>
      <c r="H33" s="3"/>
      <c r="I33" s="3"/>
      <c r="J33" s="3"/>
      <c r="K33" s="3"/>
      <c r="L33" s="41"/>
      <c r="M33" s="41"/>
      <c r="N33" s="41"/>
      <c r="O33" s="41"/>
      <c r="P33" s="78"/>
      <c r="Q33"/>
      <c r="R33"/>
      <c r="S33" s="369"/>
      <c r="T33" s="369"/>
      <c r="U33" s="383"/>
      <c r="V33" s="80"/>
      <c r="W33" s="383"/>
      <c r="X33" s="369"/>
      <c r="Y33" s="369"/>
      <c r="Z33" s="383"/>
    </row>
    <row r="34" spans="1:26">
      <c r="A34" s="380"/>
      <c r="B34" s="380"/>
      <c r="C34" s="1699" t="s">
        <v>0</v>
      </c>
      <c r="D34" s="1700"/>
      <c r="E34" s="1700"/>
      <c r="F34" s="1701" t="s">
        <v>2</v>
      </c>
      <c r="G34" s="1700"/>
      <c r="H34" s="1699" t="s">
        <v>3</v>
      </c>
      <c r="I34" s="1702"/>
      <c r="J34" s="1700"/>
      <c r="K34" s="1700"/>
      <c r="L34" s="1700"/>
      <c r="M34" s="1700"/>
      <c r="N34" s="1700"/>
      <c r="O34" s="1700"/>
      <c r="P34" s="1720" t="s">
        <v>0</v>
      </c>
      <c r="Q34" s="1700"/>
      <c r="R34" s="1703"/>
      <c r="S34" s="1704" t="s">
        <v>2</v>
      </c>
      <c r="T34" s="1705" t="s">
        <v>3</v>
      </c>
      <c r="U34" s="1702" t="s">
        <v>130</v>
      </c>
      <c r="W34" s="383"/>
      <c r="X34" s="369"/>
      <c r="Y34" s="369"/>
      <c r="Z34" s="383"/>
    </row>
    <row r="35" spans="1:26">
      <c r="A35" s="380"/>
      <c r="B35" s="380"/>
      <c r="C35" s="3613" t="s">
        <v>1270</v>
      </c>
      <c r="D35" s="3"/>
      <c r="E35" s="3"/>
      <c r="F35" s="931" t="s">
        <v>42</v>
      </c>
      <c r="G35" s="80"/>
      <c r="H35" s="1695" t="s">
        <v>50</v>
      </c>
      <c r="I35" s="825"/>
      <c r="J35" s="375"/>
      <c r="K35" s="1674"/>
      <c r="L35" s="378"/>
      <c r="M35" s="378"/>
      <c r="N35" s="378"/>
      <c r="O35" s="224"/>
      <c r="P35" s="1719" t="s">
        <v>279</v>
      </c>
      <c r="Q35" s="3"/>
      <c r="R35" s="51"/>
      <c r="S35" s="80" t="s">
        <v>122</v>
      </c>
      <c r="T35" s="1693" t="s">
        <v>125</v>
      </c>
      <c r="U35" s="825"/>
      <c r="W35" s="383"/>
      <c r="X35" s="369"/>
      <c r="Y35" s="369"/>
      <c r="Z35" s="383"/>
    </row>
    <row r="36" spans="1:26">
      <c r="A36" s="380"/>
      <c r="B36" s="380"/>
      <c r="C36" s="3613" t="s">
        <v>1271</v>
      </c>
      <c r="D36" s="224"/>
      <c r="E36" s="378"/>
      <c r="F36" s="931" t="s">
        <v>43</v>
      </c>
      <c r="G36" s="1620"/>
      <c r="H36" s="1696" t="s">
        <v>51</v>
      </c>
      <c r="I36" s="825"/>
      <c r="J36" s="375"/>
      <c r="K36" s="1674"/>
      <c r="L36" s="378"/>
      <c r="M36" s="378"/>
      <c r="N36" s="378"/>
      <c r="O36" s="224"/>
      <c r="P36" s="3612" t="s">
        <v>1282</v>
      </c>
      <c r="R36" s="1697"/>
      <c r="S36" s="80" t="s">
        <v>117</v>
      </c>
      <c r="T36" s="1693" t="s">
        <v>73</v>
      </c>
      <c r="U36" s="825"/>
      <c r="W36" s="383"/>
      <c r="X36" s="369"/>
      <c r="Y36" s="369"/>
      <c r="Z36" s="383"/>
    </row>
    <row r="37" spans="1:26">
      <c r="A37" s="380"/>
      <c r="B37" s="380"/>
      <c r="C37" s="3613" t="s">
        <v>1272</v>
      </c>
      <c r="D37" s="224"/>
      <c r="E37" s="378"/>
      <c r="F37" s="931" t="s">
        <v>44</v>
      </c>
      <c r="G37" s="1620"/>
      <c r="H37" s="1696" t="s">
        <v>52</v>
      </c>
      <c r="I37" s="825"/>
      <c r="J37" s="375"/>
      <c r="K37" s="1674"/>
      <c r="L37" s="378"/>
      <c r="M37" s="378"/>
      <c r="N37" s="378"/>
      <c r="O37" s="224"/>
      <c r="P37" s="3612" t="s">
        <v>1283</v>
      </c>
      <c r="R37" s="1697"/>
      <c r="S37" s="80" t="s">
        <v>118</v>
      </c>
      <c r="T37" s="1693" t="s">
        <v>70</v>
      </c>
      <c r="U37" s="825"/>
      <c r="W37" s="383"/>
      <c r="X37" s="369"/>
      <c r="Y37" s="369"/>
      <c r="Z37" s="383"/>
    </row>
    <row r="38" spans="1:26">
      <c r="A38" s="362"/>
      <c r="B38" s="359"/>
      <c r="C38" s="3613" t="s">
        <v>1273</v>
      </c>
      <c r="D38" s="3"/>
      <c r="E38" s="3"/>
      <c r="F38" s="931" t="s">
        <v>46</v>
      </c>
      <c r="G38" s="80"/>
      <c r="H38" s="1696" t="s">
        <v>54</v>
      </c>
      <c r="I38" s="825"/>
      <c r="J38" s="375"/>
      <c r="K38" s="1674"/>
      <c r="L38" s="374"/>
      <c r="M38" s="374"/>
      <c r="N38" s="374"/>
      <c r="O38" s="3"/>
      <c r="P38" s="3612" t="s">
        <v>1284</v>
      </c>
      <c r="R38" s="1697"/>
      <c r="S38" s="80" t="s">
        <v>119</v>
      </c>
      <c r="T38" s="1693" t="s">
        <v>123</v>
      </c>
      <c r="U38" s="825"/>
      <c r="W38" s="359"/>
    </row>
    <row r="39" spans="1:26">
      <c r="A39" s="362"/>
      <c r="B39" s="359"/>
      <c r="C39" s="3613" t="s">
        <v>1274</v>
      </c>
      <c r="D39" s="3"/>
      <c r="E39" s="51"/>
      <c r="F39" s="931" t="s">
        <v>47</v>
      </c>
      <c r="G39" s="80"/>
      <c r="H39" s="1696" t="s">
        <v>55</v>
      </c>
      <c r="I39" s="825"/>
      <c r="J39" s="375"/>
      <c r="K39" s="1674"/>
      <c r="L39" s="374"/>
      <c r="M39" s="374"/>
      <c r="N39" s="374"/>
      <c r="O39" s="3"/>
      <c r="P39" s="1719" t="s">
        <v>254</v>
      </c>
      <c r="Q39" s="3"/>
      <c r="R39" s="51"/>
      <c r="S39" s="80" t="s">
        <v>121</v>
      </c>
      <c r="T39" s="1693" t="s">
        <v>124</v>
      </c>
      <c r="U39" s="1708">
        <v>1.7499999999999998E-5</v>
      </c>
      <c r="W39" s="359"/>
      <c r="X39" s="1678"/>
      <c r="Y39" s="1670"/>
    </row>
    <row r="40" spans="1:26">
      <c r="A40" s="362"/>
      <c r="B40" s="359"/>
      <c r="C40" s="50" t="s">
        <v>1069</v>
      </c>
      <c r="D40" s="3"/>
      <c r="E40" s="3"/>
      <c r="F40" s="931" t="s">
        <v>162</v>
      </c>
      <c r="G40" s="80"/>
      <c r="H40" s="50" t="s">
        <v>127</v>
      </c>
      <c r="I40" s="825"/>
      <c r="J40" s="375"/>
      <c r="K40" s="1674"/>
      <c r="L40" s="374"/>
      <c r="M40" s="374"/>
      <c r="N40" s="374"/>
      <c r="O40" s="3"/>
      <c r="P40" s="3612" t="s">
        <v>1275</v>
      </c>
      <c r="Q40" s="3"/>
      <c r="R40" s="51"/>
      <c r="S40" s="80" t="s">
        <v>75</v>
      </c>
      <c r="T40" s="1693" t="s">
        <v>73</v>
      </c>
      <c r="U40" s="51"/>
      <c r="W40" s="359"/>
      <c r="X40" s="1678"/>
      <c r="Y40" s="1670"/>
    </row>
    <row r="41" spans="1:26">
      <c r="A41" s="362"/>
      <c r="B41" s="359"/>
      <c r="C41" s="48" t="s">
        <v>1078</v>
      </c>
      <c r="D41" s="46"/>
      <c r="E41" s="46"/>
      <c r="F41" s="1698" t="s">
        <v>1071</v>
      </c>
      <c r="G41" s="569"/>
      <c r="H41" s="48" t="s">
        <v>253</v>
      </c>
      <c r="I41" s="1632"/>
      <c r="J41" s="1690"/>
      <c r="K41" s="1691"/>
      <c r="L41" s="1692"/>
      <c r="M41" s="1692"/>
      <c r="N41" s="1692"/>
      <c r="O41" s="46"/>
      <c r="P41" s="1719"/>
      <c r="Q41" s="46"/>
      <c r="R41" s="52"/>
      <c r="S41" s="46"/>
      <c r="T41" s="1694"/>
      <c r="U41" s="52"/>
      <c r="W41" s="359"/>
      <c r="X41" s="1678"/>
      <c r="Y41" s="1670"/>
    </row>
    <row r="42" spans="1:26">
      <c r="A42" s="362"/>
      <c r="B42" s="359"/>
      <c r="C42" s="3614" t="s">
        <v>1275</v>
      </c>
      <c r="D42" s="46"/>
      <c r="E42" s="46"/>
      <c r="F42" s="1698" t="s">
        <v>75</v>
      </c>
      <c r="G42" s="569"/>
      <c r="H42" s="48" t="s">
        <v>73</v>
      </c>
      <c r="I42" s="1632"/>
      <c r="J42" s="46"/>
      <c r="K42" s="46"/>
      <c r="L42" s="46"/>
      <c r="M42" s="46"/>
      <c r="N42" s="46"/>
      <c r="O42" s="46"/>
      <c r="P42" s="1720"/>
      <c r="Q42" s="46"/>
      <c r="R42" s="52"/>
      <c r="S42" s="46"/>
      <c r="T42" s="1694"/>
      <c r="U42" s="52"/>
      <c r="W42" s="359"/>
    </row>
    <row r="43" spans="1:26">
      <c r="A43" s="362"/>
      <c r="B43" s="359"/>
      <c r="C43" s="50"/>
      <c r="D43" s="3"/>
      <c r="E43" s="3"/>
      <c r="F43" s="931"/>
      <c r="G43" s="80"/>
      <c r="H43" s="36"/>
      <c r="I43" s="80"/>
      <c r="J43" s="375"/>
      <c r="K43" s="1674"/>
      <c r="L43" s="374"/>
      <c r="M43" s="374"/>
      <c r="N43" s="374"/>
      <c r="O43" s="3"/>
      <c r="P43" s="54"/>
      <c r="R43" s="54"/>
      <c r="S43" s="1670"/>
      <c r="T43" s="1670"/>
      <c r="U43" s="233"/>
      <c r="W43" s="359"/>
    </row>
    <row r="44" spans="1:26">
      <c r="A44" s="362"/>
      <c r="B44" s="359"/>
      <c r="C44" s="3615" t="s">
        <v>1276</v>
      </c>
      <c r="D44" s="2070"/>
      <c r="E44" s="2071"/>
      <c r="F44" s="2072" t="s">
        <v>45</v>
      </c>
      <c r="G44" s="2073"/>
      <c r="H44" s="2074" t="s">
        <v>53</v>
      </c>
      <c r="I44" s="1722"/>
      <c r="J44" s="375"/>
      <c r="K44" s="1674"/>
      <c r="L44" s="374"/>
      <c r="M44" s="374"/>
      <c r="N44" s="374"/>
      <c r="O44" s="3"/>
      <c r="P44" s="358"/>
      <c r="W44" s="359"/>
    </row>
    <row r="45" spans="1:26">
      <c r="A45" s="362"/>
      <c r="B45" s="359"/>
      <c r="C45" s="3613" t="s">
        <v>1277</v>
      </c>
      <c r="D45" s="3"/>
      <c r="E45" s="3"/>
      <c r="F45" s="931" t="s">
        <v>281</v>
      </c>
      <c r="G45" s="3"/>
      <c r="H45" s="41" t="s">
        <v>54</v>
      </c>
      <c r="I45" s="51"/>
      <c r="J45" s="375"/>
      <c r="K45" s="1674"/>
      <c r="L45" s="374"/>
      <c r="M45" s="374"/>
      <c r="N45" s="374"/>
      <c r="O45" s="3"/>
      <c r="P45" s="358"/>
      <c r="W45" s="359"/>
    </row>
    <row r="46" spans="1:26">
      <c r="A46" s="362"/>
      <c r="B46" s="359"/>
      <c r="C46" s="3613" t="s">
        <v>1278</v>
      </c>
      <c r="D46" s="3"/>
      <c r="E46" s="3"/>
      <c r="F46" s="931" t="s">
        <v>284</v>
      </c>
      <c r="G46" s="3"/>
      <c r="H46" s="41" t="s">
        <v>35</v>
      </c>
      <c r="I46" s="51"/>
      <c r="J46" s="375"/>
      <c r="K46" s="1674"/>
      <c r="L46" s="374"/>
      <c r="M46" s="374"/>
      <c r="N46" s="374"/>
      <c r="O46" s="3"/>
      <c r="P46" s="358"/>
      <c r="W46" s="359"/>
    </row>
    <row r="47" spans="1:26">
      <c r="A47" s="362"/>
      <c r="B47" s="359"/>
      <c r="C47" s="3613" t="s">
        <v>1279</v>
      </c>
      <c r="D47" s="3"/>
      <c r="E47" s="3"/>
      <c r="F47" s="931" t="s">
        <v>283</v>
      </c>
      <c r="G47" s="3"/>
      <c r="H47" s="41" t="s">
        <v>35</v>
      </c>
      <c r="I47" s="51"/>
      <c r="J47" s="375"/>
      <c r="K47" s="1674"/>
      <c r="L47" s="374"/>
      <c r="M47" s="374"/>
      <c r="N47" s="374"/>
      <c r="O47" s="3"/>
      <c r="P47" s="358"/>
      <c r="W47" s="359"/>
    </row>
    <row r="48" spans="1:26">
      <c r="A48" s="362"/>
      <c r="B48" s="359"/>
      <c r="C48" s="3613" t="s">
        <v>1280</v>
      </c>
      <c r="D48" s="3"/>
      <c r="E48" s="3"/>
      <c r="F48" s="931" t="s">
        <v>48</v>
      </c>
      <c r="G48" s="3"/>
      <c r="H48" s="41" t="s">
        <v>35</v>
      </c>
      <c r="I48" s="51"/>
      <c r="J48" s="375"/>
      <c r="K48" s="1674"/>
      <c r="L48" s="374"/>
      <c r="M48" s="374"/>
      <c r="N48" s="374"/>
      <c r="O48" s="3"/>
      <c r="P48" s="358"/>
      <c r="Q48" s="1721" t="s">
        <v>1079</v>
      </c>
      <c r="R48" s="716"/>
      <c r="S48" s="716"/>
      <c r="T48" s="1722"/>
      <c r="W48" s="359"/>
    </row>
    <row r="49" spans="1:24">
      <c r="A49" s="362"/>
      <c r="B49" s="359"/>
      <c r="C49" s="3613" t="s">
        <v>1281</v>
      </c>
      <c r="D49" s="3"/>
      <c r="E49" s="3"/>
      <c r="F49" s="931" t="s">
        <v>235</v>
      </c>
      <c r="G49" s="3"/>
      <c r="H49" s="3" t="s">
        <v>35</v>
      </c>
      <c r="I49" s="51"/>
      <c r="J49" s="375"/>
      <c r="K49" s="1674"/>
      <c r="L49" s="374"/>
      <c r="M49" s="374"/>
      <c r="N49" s="374"/>
      <c r="O49" s="3"/>
      <c r="P49" s="358"/>
      <c r="Q49" s="50"/>
      <c r="R49" s="1677"/>
      <c r="S49" s="1679" t="s">
        <v>1071</v>
      </c>
      <c r="T49" s="51"/>
      <c r="U49" s="1669"/>
      <c r="V49" s="1669"/>
      <c r="W49" s="359"/>
    </row>
    <row r="50" spans="1:24">
      <c r="A50" s="362"/>
      <c r="B50" s="362"/>
      <c r="C50" s="2075" t="s">
        <v>71</v>
      </c>
      <c r="D50" s="2076"/>
      <c r="E50" s="1690"/>
      <c r="F50" s="2078"/>
      <c r="G50" s="1690"/>
      <c r="H50" s="388" t="s">
        <v>72</v>
      </c>
      <c r="I50" s="2077"/>
      <c r="J50" s="387"/>
      <c r="K50" t="s">
        <v>70</v>
      </c>
      <c r="L50" s="3"/>
      <c r="M50" s="3"/>
      <c r="N50" s="3"/>
      <c r="O50" s="3"/>
      <c r="P50" s="358"/>
      <c r="Q50" s="50"/>
      <c r="R50" s="1677"/>
      <c r="S50" s="1686" t="s">
        <v>253</v>
      </c>
      <c r="T50" s="51"/>
      <c r="U50" s="1669"/>
      <c r="V50" s="1669"/>
      <c r="W50" s="359"/>
    </row>
    <row r="51" spans="1:24">
      <c r="A51" s="362"/>
      <c r="B51" s="362"/>
      <c r="C51" s="1623"/>
      <c r="D51" s="389"/>
      <c r="J51" s="375"/>
      <c r="K51" t="s">
        <v>73</v>
      </c>
      <c r="L51" s="3"/>
      <c r="M51" s="3"/>
      <c r="N51" s="3"/>
      <c r="O51" s="368"/>
      <c r="P51" s="358"/>
      <c r="Q51" s="50" t="s">
        <v>629</v>
      </c>
      <c r="S51" s="29">
        <v>1E-10</v>
      </c>
      <c r="T51" s="51"/>
      <c r="U51" s="49"/>
      <c r="V51" s="1707"/>
    </row>
    <row r="52" spans="1:24">
      <c r="C52" s="1624"/>
      <c r="D52" s="391"/>
      <c r="L52" s="363"/>
      <c r="M52" s="363"/>
      <c r="N52" s="363"/>
      <c r="O52" s="368"/>
      <c r="P52" s="78"/>
      <c r="Q52" s="50" t="s">
        <v>630</v>
      </c>
      <c r="S52" s="29">
        <f>10^-10.5</f>
        <v>3.162277660168371E-11</v>
      </c>
      <c r="T52" s="51"/>
      <c r="U52" s="49"/>
      <c r="V52" s="1707"/>
    </row>
    <row r="53" spans="1:24">
      <c r="K53" s="392"/>
      <c r="L53" s="355"/>
      <c r="M53" s="355"/>
      <c r="N53" s="355"/>
      <c r="O53" s="78"/>
      <c r="P53" s="78"/>
      <c r="Q53" s="50" t="s">
        <v>631</v>
      </c>
      <c r="S53" s="29">
        <f>10^-11.5</f>
        <v>3.1622776601683669E-12</v>
      </c>
      <c r="T53" s="51"/>
      <c r="U53" s="49"/>
      <c r="V53" s="1707"/>
    </row>
    <row r="54" spans="1:24">
      <c r="Q54" s="50" t="s">
        <v>632</v>
      </c>
      <c r="S54" s="29">
        <f>10^-12.5</f>
        <v>3.1622776601683746E-13</v>
      </c>
      <c r="T54" s="51"/>
      <c r="U54" s="49"/>
      <c r="V54" s="1707"/>
      <c r="W54" s="359"/>
    </row>
    <row r="55" spans="1:24">
      <c r="Q55" s="50" t="s">
        <v>633</v>
      </c>
      <c r="S55" s="29">
        <f>10^-13.5</f>
        <v>3.1622776601683714E-14</v>
      </c>
      <c r="T55" s="51"/>
      <c r="U55" s="49"/>
      <c r="V55" s="1707"/>
      <c r="X55" s="393"/>
    </row>
    <row r="56" spans="1:24">
      <c r="P56" s="389"/>
      <c r="Q56" s="48" t="s">
        <v>634</v>
      </c>
      <c r="R56" s="46"/>
      <c r="S56" s="46">
        <f>10^-16</f>
        <v>9.9999999999999998E-17</v>
      </c>
      <c r="T56" s="52"/>
      <c r="U56" s="49"/>
      <c r="V56" s="1707"/>
      <c r="W56" s="361"/>
    </row>
    <row r="57" spans="1:24">
      <c r="P57" s="389"/>
      <c r="Q57" s="361"/>
      <c r="R57" s="361"/>
      <c r="S57" s="361"/>
      <c r="T57" s="361"/>
      <c r="U57" s="361"/>
      <c r="V57" s="1619"/>
      <c r="W57" s="361"/>
    </row>
    <row r="58" spans="1:24">
      <c r="P58" s="389"/>
      <c r="Q58" s="361"/>
      <c r="R58" s="361"/>
      <c r="S58" s="361"/>
      <c r="T58" s="361"/>
      <c r="U58" s="361"/>
      <c r="V58" s="1619"/>
      <c r="W58" s="361"/>
    </row>
    <row r="62" spans="1:24">
      <c r="P62" s="380"/>
      <c r="Q62" s="359"/>
      <c r="R62" s="359"/>
      <c r="S62" s="359"/>
      <c r="T62" s="359"/>
      <c r="U62" s="359"/>
      <c r="V62" s="368"/>
      <c r="W62" s="359"/>
    </row>
    <row r="63" spans="1:24">
      <c r="P63" s="380"/>
      <c r="Q63" s="359"/>
      <c r="R63" s="359"/>
      <c r="S63" s="359"/>
      <c r="T63" s="359"/>
      <c r="U63" s="359"/>
      <c r="V63" s="368"/>
      <c r="W63" s="359"/>
    </row>
    <row r="64" spans="1:24">
      <c r="P64" s="380"/>
      <c r="Q64" s="359"/>
      <c r="R64" s="359"/>
      <c r="S64" s="359"/>
      <c r="T64" s="359"/>
      <c r="U64" s="359"/>
      <c r="V64" s="368"/>
      <c r="W64" s="359"/>
    </row>
    <row r="65" spans="16:23">
      <c r="P65" s="380"/>
      <c r="Q65" s="359"/>
      <c r="R65" s="359"/>
      <c r="S65" s="359"/>
      <c r="T65" s="359"/>
      <c r="U65" s="359"/>
      <c r="V65" s="368"/>
      <c r="W65" s="359"/>
    </row>
    <row r="66" spans="16:23">
      <c r="P66" s="380"/>
      <c r="Q66" s="359"/>
      <c r="R66" s="359"/>
      <c r="S66" s="359"/>
      <c r="T66" s="359"/>
      <c r="U66" s="359"/>
      <c r="V66" s="368"/>
      <c r="W66" s="359"/>
    </row>
    <row r="67" spans="16:23">
      <c r="P67" s="380"/>
    </row>
    <row r="68" spans="16:23">
      <c r="P68" s="380"/>
    </row>
    <row r="69" spans="16:23">
      <c r="P69" s="380"/>
    </row>
    <row r="70" spans="16:23">
      <c r="P70" s="380"/>
    </row>
    <row r="95" spans="16:16">
      <c r="P95" s="380"/>
    </row>
    <row r="96" spans="16:16">
      <c r="P96" s="380"/>
    </row>
    <row r="97" spans="16:23">
      <c r="P97" s="380"/>
    </row>
    <row r="98" spans="16:23">
      <c r="P98" s="380"/>
    </row>
    <row r="99" spans="16:23">
      <c r="P99" s="380"/>
      <c r="Q99" s="359"/>
      <c r="R99" s="359"/>
      <c r="S99" s="359"/>
      <c r="T99" s="359"/>
      <c r="U99" s="359"/>
      <c r="V99" s="368"/>
      <c r="W99" s="359"/>
    </row>
    <row r="100" spans="16:23">
      <c r="P100" s="380"/>
      <c r="Q100" s="359"/>
      <c r="R100" s="359"/>
      <c r="S100" s="359"/>
      <c r="T100" s="359"/>
      <c r="U100" s="359"/>
      <c r="V100" s="368"/>
      <c r="W100" s="359"/>
    </row>
    <row r="101" spans="16:23">
      <c r="P101" s="380"/>
      <c r="Q101" s="359"/>
      <c r="R101" s="359"/>
      <c r="S101" s="359"/>
      <c r="T101" s="359"/>
      <c r="U101" s="359"/>
      <c r="V101" s="368"/>
      <c r="W101" s="359"/>
    </row>
    <row r="102" spans="16:23">
      <c r="P102" s="380"/>
      <c r="Q102" s="359"/>
      <c r="R102" s="359"/>
      <c r="S102" s="359"/>
      <c r="T102" s="359"/>
      <c r="U102" s="359"/>
      <c r="V102" s="368"/>
      <c r="W102" s="359"/>
    </row>
  </sheetData>
  <mergeCells count="3">
    <mergeCell ref="Q4:U4"/>
    <mergeCell ref="Q27:U27"/>
    <mergeCell ref="P5:P6"/>
  </mergeCells>
  <printOptions horizontalCentered="1"/>
  <pageMargins left="0.59055118110236227" right="0.59055118110236227" top="1.1811023622047245" bottom="0.98425196850393704" header="0" footer="0.47244094488188981"/>
  <pageSetup paperSize="9" scale="94" orientation="landscape" r:id="rId1"/>
  <headerFooter alignWithMargins="0">
    <oddFooter>&amp;C&amp;"Times New Roman,Normal"&amp;12&amp;F   -   &amp;A&amp;R&amp;"Times New Roman,Normal"&amp;12&amp;P/&amp;N</oddFooter>
  </headerFooter>
  <legacyDrawing r:id="rId2"/>
</worksheet>
</file>

<file path=xl/worksheets/sheet4.xml><?xml version="1.0" encoding="utf-8"?>
<worksheet xmlns="http://schemas.openxmlformats.org/spreadsheetml/2006/main" xmlns:r="http://schemas.openxmlformats.org/officeDocument/2006/relationships">
  <dimension ref="A1:BS1517"/>
  <sheetViews>
    <sheetView topLeftCell="D9" zoomScale="70" zoomScaleNormal="70" workbookViewId="0">
      <pane xSplit="4" ySplit="1" topLeftCell="H10" activePane="bottomRight" state="frozen"/>
      <selection activeCell="D9" sqref="D9"/>
      <selection pane="topRight" activeCell="H9" sqref="H9"/>
      <selection pane="bottomLeft" activeCell="D10" sqref="D10"/>
      <selection pane="bottomRight" activeCell="D23" sqref="D23"/>
    </sheetView>
  </sheetViews>
  <sheetFormatPr baseColWidth="10" defaultRowHeight="12.75"/>
  <cols>
    <col min="1" max="1" width="11.42578125" style="124"/>
    <col min="2" max="2" width="7.85546875" style="125" customWidth="1"/>
    <col min="3" max="3" width="4.42578125" style="125" customWidth="1"/>
    <col min="4" max="4" width="9.5703125" style="126" customWidth="1"/>
    <col min="5" max="5" width="35.7109375" style="177" customWidth="1"/>
    <col min="6" max="6" width="16.42578125" style="28" customWidth="1"/>
    <col min="7" max="7" width="18.140625" style="118" customWidth="1"/>
    <col min="8" max="9" width="7.7109375" style="192" customWidth="1"/>
    <col min="10" max="10" width="7.7109375" style="175" customWidth="1"/>
    <col min="11" max="11" width="7.7109375" style="193" customWidth="1"/>
    <col min="12" max="13" width="7.7109375" style="192" customWidth="1"/>
    <col min="14" max="14" width="7.7109375" style="175" customWidth="1"/>
    <col min="15" max="15" width="7.7109375" style="124" customWidth="1"/>
    <col min="16" max="17" width="7.7109375" style="175" customWidth="1"/>
    <col min="18" max="18" width="7.7109375" style="220" customWidth="1"/>
    <col min="19" max="21" width="7.7109375" style="175" customWidth="1"/>
    <col min="22" max="22" width="7.7109375" style="176" customWidth="1"/>
    <col min="23" max="23" width="7.7109375" style="175" customWidth="1"/>
    <col min="24" max="24" width="7.7109375" style="124" customWidth="1"/>
    <col min="25" max="61" width="7.7109375" style="116" customWidth="1"/>
    <col min="62" max="16384" width="11.42578125" style="112"/>
  </cols>
  <sheetData>
    <row r="1" spans="1:71" ht="16.5" customHeight="1">
      <c r="D1" s="134"/>
      <c r="E1" s="544"/>
      <c r="F1" s="127"/>
      <c r="G1" s="128"/>
      <c r="H1" s="170"/>
      <c r="I1" s="170"/>
      <c r="J1" s="170"/>
      <c r="K1" s="171"/>
      <c r="L1" s="170"/>
      <c r="M1" s="170"/>
      <c r="N1" s="173"/>
      <c r="O1" s="172"/>
      <c r="P1" s="170"/>
      <c r="Q1" s="170"/>
      <c r="R1" s="234"/>
      <c r="S1" s="173"/>
      <c r="T1" s="173"/>
      <c r="U1" s="170"/>
      <c r="V1" s="171"/>
      <c r="W1" s="173"/>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10"/>
      <c r="BK1" s="110"/>
      <c r="BL1" s="110"/>
      <c r="BM1" s="110"/>
      <c r="BN1" s="110"/>
      <c r="BO1" s="110"/>
      <c r="BP1" s="110"/>
      <c r="BQ1" s="110"/>
      <c r="BR1" s="110"/>
      <c r="BS1" s="110"/>
    </row>
    <row r="2" spans="1:71" ht="16.5" customHeight="1">
      <c r="H2" s="173"/>
      <c r="I2" s="173"/>
      <c r="J2" s="173"/>
      <c r="K2" s="174"/>
      <c r="L2" s="173"/>
      <c r="M2" s="173"/>
      <c r="N2" s="173"/>
      <c r="O2" s="172"/>
      <c r="P2" s="173"/>
      <c r="Q2" s="173"/>
      <c r="S2" s="173"/>
      <c r="T2" s="173"/>
      <c r="U2" s="173"/>
      <c r="V2" s="174"/>
      <c r="W2" s="173"/>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10"/>
      <c r="BK2" s="110"/>
      <c r="BL2" s="110"/>
      <c r="BM2" s="110"/>
      <c r="BN2" s="110"/>
      <c r="BO2" s="110"/>
      <c r="BP2" s="110"/>
      <c r="BQ2" s="110"/>
      <c r="BR2" s="110"/>
      <c r="BS2" s="110"/>
    </row>
    <row r="3" spans="1:71" ht="16.5" customHeight="1">
      <c r="H3" s="173"/>
      <c r="I3" s="173"/>
      <c r="J3" s="173"/>
      <c r="K3" s="174"/>
      <c r="L3" s="173"/>
      <c r="M3" s="173"/>
      <c r="N3" s="173"/>
      <c r="O3" s="172"/>
      <c r="P3" s="173"/>
      <c r="Q3" s="173"/>
      <c r="S3" s="173"/>
      <c r="T3" s="173"/>
      <c r="U3" s="173"/>
      <c r="V3" s="174"/>
      <c r="W3" s="173"/>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10"/>
      <c r="BK3" s="110"/>
      <c r="BL3" s="110"/>
      <c r="BM3" s="110"/>
      <c r="BN3" s="110"/>
      <c r="BO3" s="110"/>
      <c r="BP3" s="110"/>
      <c r="BQ3" s="110"/>
      <c r="BR3" s="110"/>
      <c r="BS3" s="110"/>
    </row>
    <row r="4" spans="1:71" ht="4.1500000000000004" customHeight="1">
      <c r="H4" s="173"/>
      <c r="I4" s="173"/>
      <c r="J4" s="173"/>
      <c r="K4" s="174"/>
      <c r="L4" s="173"/>
      <c r="M4" s="173"/>
      <c r="N4" s="173"/>
      <c r="O4" s="172"/>
      <c r="P4" s="173"/>
      <c r="Q4" s="173"/>
      <c r="S4" s="173"/>
      <c r="T4" s="173"/>
      <c r="U4" s="173"/>
      <c r="V4" s="174"/>
      <c r="W4" s="173"/>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10"/>
      <c r="BK4" s="110"/>
      <c r="BL4" s="110"/>
      <c r="BM4" s="110"/>
      <c r="BN4" s="110"/>
      <c r="BO4" s="110"/>
      <c r="BP4" s="110"/>
      <c r="BQ4" s="110"/>
      <c r="BR4" s="110"/>
      <c r="BS4" s="110"/>
    </row>
    <row r="5" spans="1:71" ht="21.6" customHeight="1">
      <c r="G5" s="545"/>
      <c r="H5" s="175"/>
      <c r="I5" s="175"/>
      <c r="K5" s="176"/>
      <c r="L5" s="175"/>
      <c r="M5" s="175"/>
      <c r="R5" s="186"/>
    </row>
    <row r="6" spans="1:71" ht="15.6" customHeight="1" thickBot="1">
      <c r="H6" s="175"/>
      <c r="I6" s="175"/>
      <c r="K6" s="176"/>
      <c r="L6" s="175"/>
      <c r="M6" s="175"/>
      <c r="R6" s="186"/>
    </row>
    <row r="7" spans="1:71">
      <c r="D7" s="134"/>
      <c r="E7" s="544"/>
      <c r="F7" s="127"/>
      <c r="G7" s="128"/>
      <c r="H7" s="175"/>
      <c r="I7" s="175"/>
      <c r="K7" s="176"/>
      <c r="L7" s="175"/>
      <c r="M7" s="175"/>
      <c r="R7" s="186"/>
    </row>
    <row r="8" spans="1:71" ht="13.5" thickBot="1">
      <c r="D8" s="126" t="s">
        <v>76</v>
      </c>
      <c r="H8" s="175"/>
      <c r="I8" s="175"/>
      <c r="K8" s="176"/>
      <c r="L8" s="175"/>
      <c r="M8" s="175"/>
      <c r="R8" s="186"/>
    </row>
    <row r="9" spans="1:71" s="416" customFormat="1" ht="38.25">
      <c r="A9" s="410"/>
      <c r="B9" s="411"/>
      <c r="C9" s="411"/>
      <c r="D9" s="412" t="s">
        <v>77</v>
      </c>
      <c r="E9" s="413" t="s">
        <v>0</v>
      </c>
      <c r="F9" s="414" t="s">
        <v>2</v>
      </c>
      <c r="G9" s="546" t="s">
        <v>3</v>
      </c>
      <c r="H9" s="415" t="str">
        <f>Substances!H6</f>
        <v>butanol</v>
      </c>
      <c r="I9" s="415" t="str">
        <f>Substances!I6</f>
        <v>butanol</v>
      </c>
      <c r="J9" s="415" t="str">
        <f>Substances!J6</f>
        <v>MEK</v>
      </c>
      <c r="K9" s="415" t="str">
        <f>Substances!K6</f>
        <v>CV</v>
      </c>
      <c r="L9" s="415" t="str">
        <f>Substances!L6</f>
        <v>cis-DCE</v>
      </c>
      <c r="M9" s="415" t="str">
        <f>Substances!M6</f>
        <v>cis-DCE</v>
      </c>
      <c r="N9" s="415" t="str">
        <f>Substances!N6</f>
        <v>TCE</v>
      </c>
      <c r="O9" s="415" t="str">
        <f>Substances!O6</f>
        <v>TCE</v>
      </c>
      <c r="P9" s="415" t="str">
        <f>Substances!P6</f>
        <v>PCE</v>
      </c>
      <c r="Q9" s="415" t="str">
        <f>Substances!Q6</f>
        <v>PCE</v>
      </c>
      <c r="R9" s="415" t="str">
        <f>Substances!R6</f>
        <v>DCMA</v>
      </c>
      <c r="S9" s="415" t="str">
        <f>Substances!S6</f>
        <v>chloroforme</v>
      </c>
      <c r="T9" s="415" t="str">
        <f>Substances!T6</f>
        <v>chloroforme</v>
      </c>
      <c r="U9" s="415" t="str">
        <f>Substances!U6</f>
        <v>PCMA</v>
      </c>
      <c r="V9" s="415" t="str">
        <f>Substances!V6</f>
        <v>1,1,1-TCA</v>
      </c>
      <c r="W9" s="415" t="str">
        <f>Substances!W6</f>
        <v>1,1,1-TCA</v>
      </c>
      <c r="X9" s="415" t="str">
        <f>Substances!X6</f>
        <v>B</v>
      </c>
      <c r="Y9" s="415" t="str">
        <f>Substances!Y6</f>
        <v>T</v>
      </c>
      <c r="Z9" s="415" t="str">
        <f>Substances!Z6</f>
        <v>E</v>
      </c>
      <c r="AA9" s="415" t="str">
        <f>Substances!AA6</f>
        <v>X</v>
      </c>
      <c r="AB9" s="415" t="str">
        <f>Substances!AB6</f>
        <v>Ar 
&gt;EC8-EC10</v>
      </c>
      <c r="AC9" s="415" t="str">
        <f>Substances!AC6</f>
        <v>Ar
&gt;EC10-EC12</v>
      </c>
      <c r="AD9" s="415" t="str">
        <f>Substances!AD6</f>
        <v>Ar
 &gt;EC12 - EC16</v>
      </c>
      <c r="AE9" s="415" t="str">
        <f>Substances!AE6</f>
        <v>Ar
 &gt;EC16 - EC21</v>
      </c>
      <c r="AF9" s="415" t="str">
        <f>Substances!AF6</f>
        <v>Ar
 &gt;EC21 - EC35</v>
      </c>
      <c r="AG9" s="415" t="str">
        <f>Substances!AG6</f>
        <v>Al 
EC5-EC6</v>
      </c>
      <c r="AH9" s="415" t="str">
        <f>Substances!AH6</f>
        <v>Al
&gt;EC6-EC8</v>
      </c>
      <c r="AI9" s="415" t="str">
        <f>Substances!AI6</f>
        <v>Al 
&gt;EC8-EC10</v>
      </c>
      <c r="AJ9" s="415" t="str">
        <f>Substances!AJ6</f>
        <v>Al &gt;
EC10-EC12</v>
      </c>
      <c r="AK9" s="415" t="str">
        <f>Substances!AK6</f>
        <v>Al 
&gt;EC12-EC16</v>
      </c>
      <c r="AL9" s="415" t="str">
        <f>Substances!AL6</f>
        <v>Al 
&gt;EC16- EC21</v>
      </c>
      <c r="AM9" s="415" t="str">
        <f>Substances!AM6</f>
        <v>Al  &gt;EC21</v>
      </c>
      <c r="AN9" s="415" t="str">
        <f>Substances!AN6</f>
        <v>Naphtalène</v>
      </c>
      <c r="AO9" s="415" t="str">
        <f>Substances!AO6</f>
        <v>Acénaphthylène</v>
      </c>
      <c r="AP9" s="415" t="str">
        <f>Substances!AP6</f>
        <v>Acénaphtène</v>
      </c>
      <c r="AQ9" s="415" t="str">
        <f>Substances!AQ6</f>
        <v>Fluorène</v>
      </c>
      <c r="AR9" s="415" t="str">
        <f>Substances!AR6</f>
        <v>Phénanthrène</v>
      </c>
      <c r="AS9" s="415" t="str">
        <f>Substances!AS6</f>
        <v>Anthracène</v>
      </c>
      <c r="AT9" s="415" t="str">
        <f>Substances!AT6</f>
        <v>Fluoranthène</v>
      </c>
      <c r="AU9" s="415" t="str">
        <f>Substances!AU6</f>
        <v>Pyrène</v>
      </c>
      <c r="AV9" s="415" t="str">
        <f>Substances!AV6</f>
        <v>BaA</v>
      </c>
      <c r="AW9" s="415" t="str">
        <f>Substances!AW6</f>
        <v>Chrysène</v>
      </c>
      <c r="AX9" s="415" t="str">
        <f>Substances!AX6</f>
        <v>BbF</v>
      </c>
      <c r="AY9" s="415" t="str">
        <f>Substances!AY6</f>
        <v>BkF</v>
      </c>
      <c r="AZ9" s="415" t="str">
        <f>Substances!AZ6</f>
        <v>BaP</v>
      </c>
      <c r="BA9" s="415" t="str">
        <f>Substances!BA6</f>
        <v>DahA</v>
      </c>
      <c r="BB9" s="415" t="str">
        <f>Substances!BB6</f>
        <v>BghP</v>
      </c>
      <c r="BC9" s="415" t="str">
        <f>Substances!BC6</f>
        <v>IcdP</v>
      </c>
      <c r="BD9" s="415" t="str">
        <f>Substances!BD6</f>
        <v>Phénol</v>
      </c>
      <c r="BE9" s="415" t="str">
        <f>Substances!BE6</f>
        <v>PCB (7)</v>
      </c>
      <c r="BF9" s="415" t="str">
        <f>Substances!BF6</f>
        <v>PCB-A1254</v>
      </c>
      <c r="BG9" s="415" t="str">
        <f>Substances!BG6</f>
        <v>Hg0</v>
      </c>
      <c r="BH9" s="415" t="str">
        <f>Substances!BH6</f>
        <v>CH3HgCl</v>
      </c>
      <c r="BI9" s="415" t="str">
        <f>Substances!BI6</f>
        <v>CN/HCN</v>
      </c>
    </row>
    <row r="10" spans="1:71" s="339" customFormat="1" ht="13.15" customHeight="1">
      <c r="A10" s="553"/>
      <c r="B10" s="554"/>
      <c r="C10" s="554"/>
      <c r="D10" s="555"/>
      <c r="E10" s="556" t="s">
        <v>220</v>
      </c>
      <c r="F10" s="557" t="s">
        <v>36</v>
      </c>
      <c r="G10" s="558" t="s">
        <v>78</v>
      </c>
      <c r="H10" s="559">
        <f>Substances!H35</f>
        <v>3.117753833369945</v>
      </c>
      <c r="I10" s="559">
        <f>Substances!I35</f>
        <v>3.117753833369945</v>
      </c>
      <c r="J10" s="559">
        <f>Substances!J35</f>
        <v>0.80138613050055663</v>
      </c>
      <c r="K10" s="559">
        <f>Substances!K35</f>
        <v>8</v>
      </c>
      <c r="L10" s="559">
        <f>Substances!L35</f>
        <v>35</v>
      </c>
      <c r="M10" s="559">
        <f>Substances!M35</f>
        <v>35</v>
      </c>
      <c r="N10" s="559">
        <f>Substances!N35</f>
        <v>111</v>
      </c>
      <c r="O10" s="559">
        <f>Substances!O35</f>
        <v>111</v>
      </c>
      <c r="P10" s="559">
        <f>Substances!P35</f>
        <v>247</v>
      </c>
      <c r="Q10" s="559">
        <f>Substances!Q35</f>
        <v>247</v>
      </c>
      <c r="R10" s="167">
        <f>Substances!R35</f>
        <v>19.100000000000001</v>
      </c>
      <c r="S10" s="559">
        <f>Substances!S35</f>
        <v>60</v>
      </c>
      <c r="T10" s="559">
        <f>Substances!T35</f>
        <v>60</v>
      </c>
      <c r="U10" s="559">
        <f>Substances!U35</f>
        <v>71</v>
      </c>
      <c r="V10" s="559">
        <f>Substances!V35</f>
        <v>127.01114227630869</v>
      </c>
      <c r="W10" s="559">
        <f>Substances!W35</f>
        <v>127.01114227630869</v>
      </c>
      <c r="X10" s="559">
        <f>Substances!X35</f>
        <v>60</v>
      </c>
      <c r="Y10" s="559">
        <f>Substances!Y35</f>
        <v>201.29909476043139</v>
      </c>
      <c r="Z10" s="559">
        <f>Substances!Z35</f>
        <v>580.55293083995207</v>
      </c>
      <c r="AA10" s="559">
        <f>Substances!AA35</f>
        <v>651.39110210151853</v>
      </c>
      <c r="AB10" s="559">
        <f>Substances!AB35</f>
        <v>1584.8931924611156</v>
      </c>
      <c r="AC10" s="559">
        <f>Substances!AC35</f>
        <v>2511.8864315095811</v>
      </c>
      <c r="AD10" s="559">
        <f>Substances!AD35</f>
        <v>5011.8723362727324</v>
      </c>
      <c r="AE10" s="559">
        <f>Substances!AE35</f>
        <v>10000</v>
      </c>
      <c r="AF10" s="559">
        <f>Substances!AF35</f>
        <v>125892.54117941685</v>
      </c>
      <c r="AG10" s="559">
        <f>Substances!AG35</f>
        <v>794.32823472428208</v>
      </c>
      <c r="AH10" s="559">
        <f>Substances!AH35</f>
        <v>3981.0717055349769</v>
      </c>
      <c r="AI10" s="559">
        <f>Substances!AI35</f>
        <v>31622.77660168384</v>
      </c>
      <c r="AJ10" s="559">
        <f>Substances!AJ35</f>
        <v>251188.64315095844</v>
      </c>
      <c r="AK10" s="559">
        <f>Substances!AK35</f>
        <v>5011872.3362727314</v>
      </c>
      <c r="AL10" s="559">
        <f>Substances!AL35</f>
        <v>630957344.48019624</v>
      </c>
      <c r="AM10" s="559">
        <f>Substances!AM35</f>
        <v>186208713666.2872</v>
      </c>
      <c r="AN10" s="559">
        <f>Substances!AN35</f>
        <v>844</v>
      </c>
      <c r="AO10" s="559">
        <f>Substances!AO35</f>
        <v>2770</v>
      </c>
      <c r="AP10" s="559">
        <f>Substances!AP35</f>
        <v>2380</v>
      </c>
      <c r="AQ10" s="559">
        <f>Substances!AQ35</f>
        <v>3900</v>
      </c>
      <c r="AR10" s="559">
        <f>Substances!AR35</f>
        <v>8140</v>
      </c>
      <c r="AS10" s="559">
        <f>Substances!AS35</f>
        <v>7690</v>
      </c>
      <c r="AT10" s="559">
        <f>Substances!AT35</f>
        <v>27800</v>
      </c>
      <c r="AU10" s="559">
        <f>Substances!AU35</f>
        <v>25700</v>
      </c>
      <c r="AV10" s="559">
        <f>Substances!AV35</f>
        <v>102000</v>
      </c>
      <c r="AW10" s="559">
        <f>Substances!AW35</f>
        <v>81400</v>
      </c>
      <c r="AX10" s="559">
        <f>Substances!AX35</f>
        <v>83000</v>
      </c>
      <c r="AY10" s="559">
        <f>Substances!AY35</f>
        <v>121000</v>
      </c>
      <c r="AZ10" s="559">
        <f>Substances!AZ35</f>
        <v>131000</v>
      </c>
      <c r="BA10" s="559">
        <f>Substances!BA35</f>
        <v>499000</v>
      </c>
      <c r="BB10" s="559">
        <f>Substances!BB35</f>
        <v>311000</v>
      </c>
      <c r="BC10" s="559">
        <f>Substances!BC35</f>
        <v>800000</v>
      </c>
      <c r="BD10" s="559">
        <f>Substances!BD35</f>
        <v>12.129469921598847</v>
      </c>
      <c r="BE10" s="559">
        <f>Substances!BE35</f>
        <v>163622.04709748732</v>
      </c>
      <c r="BF10" s="559">
        <f>Substances!BF35</f>
        <v>163622.04709748732</v>
      </c>
      <c r="BG10" s="2067">
        <f>Substances!BG35</f>
        <v>0</v>
      </c>
      <c r="BH10" s="559">
        <f>Substances!BH35</f>
        <v>1.0564326667180031</v>
      </c>
      <c r="BI10" s="559">
        <f>Substances!BI35</f>
        <v>4.8288289508014683</v>
      </c>
    </row>
    <row r="11" spans="1:71" s="565" customFormat="1" ht="13.15" customHeight="1">
      <c r="A11" s="560"/>
      <c r="B11" s="561"/>
      <c r="C11" s="561"/>
      <c r="D11" s="555"/>
      <c r="E11" s="562" t="s">
        <v>79</v>
      </c>
      <c r="F11" s="563" t="s">
        <v>80</v>
      </c>
      <c r="G11" s="564" t="s">
        <v>13</v>
      </c>
      <c r="H11" s="168">
        <f>Substances!H38</f>
        <v>63200</v>
      </c>
      <c r="I11" s="168">
        <f>Substances!I38</f>
        <v>63200</v>
      </c>
      <c r="J11" s="168">
        <f>Substances!J38</f>
        <v>353000</v>
      </c>
      <c r="K11" s="168">
        <f>Substances!K38</f>
        <v>1600</v>
      </c>
      <c r="L11" s="168">
        <f>Substances!L38</f>
        <v>800</v>
      </c>
      <c r="M11" s="168">
        <f>Substances!M38</f>
        <v>800</v>
      </c>
      <c r="N11" s="168">
        <f>Substances!N38</f>
        <v>1070</v>
      </c>
      <c r="O11" s="168">
        <f>Substances!O38</f>
        <v>1070</v>
      </c>
      <c r="P11" s="168">
        <f>Substances!P38</f>
        <v>150</v>
      </c>
      <c r="Q11" s="168">
        <f>Substances!Q38</f>
        <v>150</v>
      </c>
      <c r="R11" s="167">
        <f>Substances!R38</f>
        <v>16800</v>
      </c>
      <c r="S11" s="168">
        <f>Substances!S38</f>
        <v>8200</v>
      </c>
      <c r="T11" s="168">
        <f>Substances!T38</f>
        <v>8200</v>
      </c>
      <c r="U11" s="168">
        <f>Substances!U38</f>
        <v>800</v>
      </c>
      <c r="V11" s="168">
        <f>Substances!V38</f>
        <v>1290</v>
      </c>
      <c r="W11" s="168">
        <f>Substances!W38</f>
        <v>1290</v>
      </c>
      <c r="X11" s="168">
        <f>Substances!X38</f>
        <v>1800</v>
      </c>
      <c r="Y11" s="168">
        <f>Substances!Y38</f>
        <v>500</v>
      </c>
      <c r="Z11" s="168">
        <f>Substances!Z38</f>
        <v>170</v>
      </c>
      <c r="AA11" s="168">
        <f>Substances!AA38</f>
        <v>180</v>
      </c>
      <c r="AB11" s="168">
        <f>Substances!AB38</f>
        <v>65</v>
      </c>
      <c r="AC11" s="168">
        <f>Substances!AC38</f>
        <v>25</v>
      </c>
      <c r="AD11" s="168">
        <f>Substances!AD38</f>
        <v>5.8</v>
      </c>
      <c r="AE11" s="168">
        <f>Substances!AE38</f>
        <v>0.65</v>
      </c>
      <c r="AF11" s="168">
        <f>Substances!AF38</f>
        <v>6.6E-3</v>
      </c>
      <c r="AG11" s="168">
        <f>Substances!AG38</f>
        <v>36</v>
      </c>
      <c r="AH11" s="168">
        <f>Substances!AH38</f>
        <v>5.4</v>
      </c>
      <c r="AI11" s="168">
        <f>Substances!AI38</f>
        <v>0.43</v>
      </c>
      <c r="AJ11" s="168">
        <f>Substances!AJ38</f>
        <v>3.4000000000000002E-2</v>
      </c>
      <c r="AK11" s="168">
        <f>Substances!AK38</f>
        <v>7.6000000000000004E-4</v>
      </c>
      <c r="AL11" s="168">
        <f>Substances!AL38</f>
        <v>2.5000000000000002E-6</v>
      </c>
      <c r="AM11" s="168">
        <f>Substances!AM38</f>
        <v>2.9999999999999999E-7</v>
      </c>
      <c r="AN11" s="168">
        <f>Substances!AN38</f>
        <v>30</v>
      </c>
      <c r="AO11" s="168">
        <f>Substances!AO38</f>
        <v>16.100000000000001</v>
      </c>
      <c r="AP11" s="168">
        <f>Substances!AP38</f>
        <v>3.8</v>
      </c>
      <c r="AQ11" s="168">
        <f>Substances!AQ38</f>
        <v>1.9</v>
      </c>
      <c r="AR11" s="168">
        <f>Substances!AR38</f>
        <v>1.1000000000000001</v>
      </c>
      <c r="AS11" s="168">
        <f>Substances!AS38</f>
        <v>4.4999999999999998E-2</v>
      </c>
      <c r="AT11" s="168">
        <f>Substances!AT38</f>
        <v>0.26</v>
      </c>
      <c r="AU11" s="168">
        <f>Substances!AU38</f>
        <v>0.13200000000000001</v>
      </c>
      <c r="AV11" s="168">
        <f>Substances!AV38</f>
        <v>1.0999999999999999E-2</v>
      </c>
      <c r="AW11" s="168">
        <f>Substances!AW38</f>
        <v>1.5E-3</v>
      </c>
      <c r="AX11" s="168">
        <f>Substances!AX38</f>
        <v>1.5E-3</v>
      </c>
      <c r="AY11" s="168">
        <f>Substances!AY38</f>
        <v>8.0000000000000004E-4</v>
      </c>
      <c r="AZ11" s="168">
        <f>Substances!AZ38</f>
        <v>2.9999999999999997E-4</v>
      </c>
      <c r="BA11" s="168">
        <f>Substances!BA38</f>
        <v>5.0000000000000001E-4</v>
      </c>
      <c r="BB11" s="168">
        <f>Substances!BB38</f>
        <v>3.0000000000000001E-3</v>
      </c>
      <c r="BC11" s="168">
        <f>Substances!BC38</f>
        <v>6.2E-2</v>
      </c>
      <c r="BD11" s="168">
        <f>Substances!BD38</f>
        <v>83500</v>
      </c>
      <c r="BE11" s="168">
        <f>Substances!BE38</f>
        <v>0.22500000000000001</v>
      </c>
      <c r="BF11" s="168">
        <f>Substances!BF38</f>
        <v>0.22500000000000001</v>
      </c>
      <c r="BG11" s="168">
        <f>Substances!BG38</f>
        <v>5.67E-2</v>
      </c>
      <c r="BH11" s="168">
        <f>Substances!BH38</f>
        <v>6000</v>
      </c>
      <c r="BI11" s="168">
        <f>Substances!BI38</f>
        <v>1000000</v>
      </c>
    </row>
    <row r="12" spans="1:71" s="339" customFormat="1" ht="13.15" customHeight="1">
      <c r="A12" s="560"/>
      <c r="B12" s="566"/>
      <c r="C12" s="566"/>
      <c r="D12" s="567"/>
      <c r="E12" s="562" t="s">
        <v>81</v>
      </c>
      <c r="F12" s="563" t="s">
        <v>82</v>
      </c>
      <c r="G12" s="564" t="s">
        <v>83</v>
      </c>
      <c r="H12" s="168">
        <f>Substances!H44</f>
        <v>3.5960555308039207E-4</v>
      </c>
      <c r="I12" s="168">
        <f>Substances!I44</f>
        <v>3.5960555308039207E-4</v>
      </c>
      <c r="J12" s="168">
        <f>Substances!J44</f>
        <v>2.3251768148038992E-3</v>
      </c>
      <c r="K12" s="168">
        <f>Substances!K44</f>
        <v>1.1200614092335304</v>
      </c>
      <c r="L12" s="168">
        <f>Substances!L44</f>
        <v>0.13416120176533497</v>
      </c>
      <c r="M12" s="168">
        <f>Substances!M44</f>
        <v>0.13416120176533497</v>
      </c>
      <c r="N12" s="168">
        <f>Substances!N44</f>
        <v>0.42833117627831713</v>
      </c>
      <c r="O12" s="168">
        <f>Substances!O44</f>
        <v>0.42833117627831713</v>
      </c>
      <c r="P12" s="168">
        <f>Substances!P44</f>
        <v>0.74386682208588695</v>
      </c>
      <c r="Q12" s="168">
        <f>Substances!Q44</f>
        <v>0.74386682208588695</v>
      </c>
      <c r="R12" s="167">
        <f>Substances!R44</f>
        <v>0.10367341283951895</v>
      </c>
      <c r="S12" s="168">
        <f>Substances!S44</f>
        <v>0.12267339243986287</v>
      </c>
      <c r="T12" s="168">
        <f>Substances!T44</f>
        <v>0.12267339243986287</v>
      </c>
      <c r="U12" s="168">
        <f>Substances!U44</f>
        <v>0.8894108147123192</v>
      </c>
      <c r="V12" s="168">
        <f>Substances!V44</f>
        <v>2.9422272524759352</v>
      </c>
      <c r="W12" s="168">
        <f>Substances!W44</f>
        <v>2.9422272524759352</v>
      </c>
      <c r="X12" s="168">
        <f>Substances!X44</f>
        <v>0.189</v>
      </c>
      <c r="Y12" s="168">
        <f>Substances!Y44</f>
        <v>0.218</v>
      </c>
      <c r="Z12" s="168">
        <f>Substances!Z44</f>
        <v>0.26600000000000001</v>
      </c>
      <c r="AA12" s="168">
        <f>Substances!AA44</f>
        <v>0.193</v>
      </c>
      <c r="AB12" s="168">
        <f>Substances!AB44</f>
        <v>0.48</v>
      </c>
      <c r="AC12" s="168">
        <f>Substances!AC44</f>
        <v>0.14000000000000001</v>
      </c>
      <c r="AD12" s="168">
        <f>Substances!AD44</f>
        <v>5.2999999999999999E-2</v>
      </c>
      <c r="AE12" s="168">
        <f>Substances!AE44</f>
        <v>1.2999999999999999E-2</v>
      </c>
      <c r="AF12" s="168">
        <f>Substances!AF44</f>
        <v>6.7000000000000002E-4</v>
      </c>
      <c r="AG12" s="168">
        <f>Substances!AG44</f>
        <v>33</v>
      </c>
      <c r="AH12" s="168">
        <f>Substances!AH44</f>
        <v>50</v>
      </c>
      <c r="AI12" s="168">
        <f>Substances!AI44</f>
        <v>80</v>
      </c>
      <c r="AJ12" s="168">
        <f>Substances!AJ44</f>
        <v>120</v>
      </c>
      <c r="AK12" s="168">
        <f>Substances!AK44</f>
        <v>520</v>
      </c>
      <c r="AL12" s="168">
        <f>Substances!AL44</f>
        <v>4900</v>
      </c>
      <c r="AM12" s="168">
        <f>Substances!AM44</f>
        <v>10000</v>
      </c>
      <c r="AN12" s="168">
        <f>Substances!AN44</f>
        <v>4.1799999999999997E-3</v>
      </c>
      <c r="AO12" s="168">
        <f>Substances!AO44</f>
        <v>3.3899999999999998E-3</v>
      </c>
      <c r="AP12" s="168">
        <f>Substances!AP44</f>
        <v>4.9100000000000003E-3</v>
      </c>
      <c r="AQ12" s="168">
        <f>Substances!AQ44</f>
        <v>3.1900000000000001E-3</v>
      </c>
      <c r="AR12" s="168">
        <f>Substances!AR44</f>
        <v>1.31E-3</v>
      </c>
      <c r="AS12" s="168">
        <f>Substances!AS44</f>
        <v>1.6000000000000001E-3</v>
      </c>
      <c r="AT12" s="168">
        <f>Substances!AT44</f>
        <v>4.17E-4</v>
      </c>
      <c r="AU12" s="168">
        <f>Substances!AU44</f>
        <v>3.7100000000000002E-4</v>
      </c>
      <c r="AV12" s="168">
        <f>Substances!AV44</f>
        <v>2.34E-4</v>
      </c>
      <c r="AW12" s="168">
        <f>Substances!AW44</f>
        <v>1.8000000000000001E-4</v>
      </c>
      <c r="AX12" s="168">
        <f>Substances!AX44</f>
        <v>6.46E-6</v>
      </c>
      <c r="AY12" s="168">
        <f>Substances!AY44</f>
        <v>6.46E-6</v>
      </c>
      <c r="AZ12" s="168">
        <f>Substances!AZ44</f>
        <v>4.6700000000000002E-6</v>
      </c>
      <c r="BA12" s="168">
        <f>Substances!BA44</f>
        <v>3.0699999999999998E-6</v>
      </c>
      <c r="BB12" s="168">
        <f>Substances!BB44</f>
        <v>3.0300000000000001E-5</v>
      </c>
      <c r="BC12" s="168">
        <f>Substances!BC44</f>
        <v>2.07E-11</v>
      </c>
      <c r="BD12" s="168">
        <f>Substances!BD44</f>
        <v>1.3607801042701199E-5</v>
      </c>
      <c r="BE12" s="168">
        <f>Substances!BE44</f>
        <v>3.4000000000000002E-4</v>
      </c>
      <c r="BF12" s="168">
        <f>Substances!BF44</f>
        <v>3.4000000000000002E-4</v>
      </c>
      <c r="BG12" s="168">
        <f>Substances!BG44</f>
        <v>0.29924102177236916</v>
      </c>
      <c r="BH12" s="168">
        <f>Substances!BH44</f>
        <v>1.6718085827688216E-5</v>
      </c>
      <c r="BI12" s="168">
        <f>Substances!BI44</f>
        <v>1.3300000000000001E-4</v>
      </c>
    </row>
    <row r="13" spans="1:71" s="136" customFormat="1" ht="40.5" thickBot="1">
      <c r="A13" s="178"/>
      <c r="B13" s="179"/>
      <c r="C13" s="179"/>
      <c r="D13" s="271"/>
      <c r="E13" s="181" t="s">
        <v>84</v>
      </c>
      <c r="F13" s="123" t="s">
        <v>85</v>
      </c>
      <c r="G13" s="548" t="str">
        <f>Substances!G46</f>
        <v>mg/l</v>
      </c>
      <c r="H13" s="169">
        <f>Substances!H46</f>
        <v>22.72707095468078</v>
      </c>
      <c r="I13" s="169">
        <f>Substances!I46</f>
        <v>22.72707095468078</v>
      </c>
      <c r="J13" s="169">
        <f>Substances!J46</f>
        <v>820.78741562577648</v>
      </c>
      <c r="K13" s="169">
        <f>Substances!K46</f>
        <v>1792.0982547736485</v>
      </c>
      <c r="L13" s="169">
        <f>Substances!L46</f>
        <v>107.32896141226797</v>
      </c>
      <c r="M13" s="169">
        <f>Substances!M46</f>
        <v>107.32896141226797</v>
      </c>
      <c r="N13" s="169">
        <f>Substances!N46</f>
        <v>458.31435861779931</v>
      </c>
      <c r="O13" s="169">
        <f>Substances!O46</f>
        <v>458.31435861779931</v>
      </c>
      <c r="P13" s="169">
        <f>Substances!P46</f>
        <v>111.58002331288304</v>
      </c>
      <c r="Q13" s="169">
        <f>Substances!Q46</f>
        <v>111.58002331288304</v>
      </c>
      <c r="R13" s="235">
        <f>Substances!R46</f>
        <v>1741.7133357039183</v>
      </c>
      <c r="S13" s="169">
        <f>Substances!S46</f>
        <v>1005.9218180068756</v>
      </c>
      <c r="T13" s="169">
        <f>Substances!T46</f>
        <v>1005.9218180068756</v>
      </c>
      <c r="U13" s="169">
        <f>Substances!U46</f>
        <v>711.5286517698554</v>
      </c>
      <c r="V13" s="169">
        <f>Substances!V46</f>
        <v>3795.4731556939564</v>
      </c>
      <c r="W13" s="169">
        <f>Substances!W46</f>
        <v>3795.4731556939564</v>
      </c>
      <c r="X13" s="169">
        <f>Substances!X46</f>
        <v>340.2</v>
      </c>
      <c r="Y13" s="169">
        <f>Substances!Y46</f>
        <v>109</v>
      </c>
      <c r="Z13" s="169">
        <f>Substances!Z46</f>
        <v>45.22</v>
      </c>
      <c r="AA13" s="169">
        <f>Substances!AA46</f>
        <v>34.74</v>
      </c>
      <c r="AB13" s="169">
        <f>Substances!AB46</f>
        <v>31.2</v>
      </c>
      <c r="AC13" s="169">
        <f>Substances!AC46</f>
        <v>3.5000000000000004</v>
      </c>
      <c r="AD13" s="169">
        <f>Substances!AD46</f>
        <v>0.30740000000000001</v>
      </c>
      <c r="AE13" s="169">
        <f>Substances!AE46</f>
        <v>8.4499999999999992E-3</v>
      </c>
      <c r="AF13" s="169">
        <f>Substances!AF46</f>
        <v>4.4220000000000002E-6</v>
      </c>
      <c r="AG13" s="169">
        <f>Substances!AG46</f>
        <v>1188</v>
      </c>
      <c r="AH13" s="169">
        <f>Substances!AH46</f>
        <v>270</v>
      </c>
      <c r="AI13" s="169">
        <f>Substances!AI46</f>
        <v>34.4</v>
      </c>
      <c r="AJ13" s="169">
        <f>Substances!AJ46</f>
        <v>4.08</v>
      </c>
      <c r="AK13" s="169">
        <f>Substances!AK46</f>
        <v>0.3952</v>
      </c>
      <c r="AL13" s="169">
        <f>Substances!AL46</f>
        <v>1.225E-2</v>
      </c>
      <c r="AM13" s="169">
        <f>Substances!AM46</f>
        <v>3.0000000000000001E-3</v>
      </c>
      <c r="AN13" s="169">
        <f>Substances!AN46</f>
        <v>0.12539999999999998</v>
      </c>
      <c r="AO13" s="169">
        <f>Substances!AO46</f>
        <v>5.4579000000000003E-2</v>
      </c>
      <c r="AP13" s="169">
        <f>Substances!AP46</f>
        <v>1.8658000000000001E-2</v>
      </c>
      <c r="AQ13" s="169">
        <f>Substances!AQ46</f>
        <v>6.0609999999999995E-3</v>
      </c>
      <c r="AR13" s="169">
        <f>Substances!AR46</f>
        <v>1.441E-3</v>
      </c>
      <c r="AS13" s="169">
        <f>Substances!AS46</f>
        <v>7.2000000000000002E-5</v>
      </c>
      <c r="AT13" s="169">
        <f>Substances!AT46</f>
        <v>1.0842000000000001E-4</v>
      </c>
      <c r="AU13" s="169">
        <f>Substances!AU46</f>
        <v>4.8972000000000005E-5</v>
      </c>
      <c r="AV13" s="169">
        <f>Substances!AV46</f>
        <v>2.5739999999999998E-6</v>
      </c>
      <c r="AW13" s="169">
        <f>Substances!AW46</f>
        <v>2.7000000000000001E-7</v>
      </c>
      <c r="AX13" s="169">
        <f>Substances!AX46</f>
        <v>9.6899999999999994E-9</v>
      </c>
      <c r="AY13" s="169">
        <f>Substances!AY46</f>
        <v>5.1680000000000004E-9</v>
      </c>
      <c r="AZ13" s="169">
        <f>Substances!AZ46</f>
        <v>1.401E-9</v>
      </c>
      <c r="BA13" s="169">
        <f>Substances!BA46</f>
        <v>1.535E-9</v>
      </c>
      <c r="BB13" s="169">
        <f>Substances!BB46</f>
        <v>9.09E-8</v>
      </c>
      <c r="BC13" s="169">
        <f>Substances!BC46</f>
        <v>1.2834E-12</v>
      </c>
      <c r="BD13" s="169">
        <f>Substances!BD46</f>
        <v>1.1362513870655502</v>
      </c>
      <c r="BE13" s="169">
        <f>Substances!BE46</f>
        <v>7.6500000000000003E-5</v>
      </c>
      <c r="BF13" s="169">
        <f>Substances!BF46</f>
        <v>7.6500000000000003E-5</v>
      </c>
      <c r="BG13" s="169">
        <f>Substances!BG46</f>
        <v>1.696696593449333E-2</v>
      </c>
      <c r="BH13" s="169">
        <f>Substances!BH46</f>
        <v>0.1003085149661293</v>
      </c>
      <c r="BI13" s="169">
        <f>Substances!BI46</f>
        <v>133</v>
      </c>
    </row>
    <row r="14" spans="1:71" s="149" customFormat="1" ht="13.15" customHeight="1">
      <c r="A14" s="190"/>
      <c r="B14" s="191"/>
      <c r="C14" s="182"/>
      <c r="D14" s="538"/>
      <c r="E14" s="210" t="s">
        <v>86</v>
      </c>
      <c r="F14" s="183" t="s">
        <v>19</v>
      </c>
      <c r="G14" s="549" t="s">
        <v>20</v>
      </c>
      <c r="H14" s="184">
        <v>0.01</v>
      </c>
      <c r="I14" s="184">
        <v>0.01</v>
      </c>
      <c r="J14" s="184">
        <v>0.01</v>
      </c>
      <c r="K14" s="184">
        <v>0.01</v>
      </c>
      <c r="L14" s="184">
        <v>0.01</v>
      </c>
      <c r="M14" s="184">
        <v>0.01</v>
      </c>
      <c r="N14" s="184">
        <v>0.01</v>
      </c>
      <c r="O14" s="184">
        <v>0.01</v>
      </c>
      <c r="P14" s="184">
        <v>0.01</v>
      </c>
      <c r="Q14" s="184">
        <v>0.01</v>
      </c>
      <c r="R14" s="184">
        <v>0.01</v>
      </c>
      <c r="S14" s="184">
        <v>0.01</v>
      </c>
      <c r="T14" s="184">
        <v>0.01</v>
      </c>
      <c r="U14" s="184">
        <v>0.01</v>
      </c>
      <c r="V14" s="184">
        <v>0.01</v>
      </c>
      <c r="W14" s="184">
        <v>0.01</v>
      </c>
      <c r="X14" s="184">
        <v>0.01</v>
      </c>
      <c r="Y14" s="184">
        <v>0.01</v>
      </c>
      <c r="Z14" s="184">
        <v>0.01</v>
      </c>
      <c r="AA14" s="184">
        <v>0.01</v>
      </c>
      <c r="AB14" s="184">
        <v>0.01</v>
      </c>
      <c r="AC14" s="184">
        <v>0.01</v>
      </c>
      <c r="AD14" s="184">
        <v>0.01</v>
      </c>
      <c r="AE14" s="184">
        <v>0.01</v>
      </c>
      <c r="AF14" s="184">
        <v>0.01</v>
      </c>
      <c r="AG14" s="184">
        <v>0.01</v>
      </c>
      <c r="AH14" s="184">
        <v>0.01</v>
      </c>
      <c r="AI14" s="184">
        <v>0.01</v>
      </c>
      <c r="AJ14" s="184">
        <v>0.01</v>
      </c>
      <c r="AK14" s="184">
        <v>0.01</v>
      </c>
      <c r="AL14" s="184">
        <v>0.01</v>
      </c>
      <c r="AM14" s="184">
        <v>0.01</v>
      </c>
      <c r="AN14" s="184">
        <v>0.01</v>
      </c>
      <c r="AO14" s="184">
        <v>0.01</v>
      </c>
      <c r="AP14" s="184">
        <v>0.01</v>
      </c>
      <c r="AQ14" s="184">
        <v>0.01</v>
      </c>
      <c r="AR14" s="184">
        <v>0.01</v>
      </c>
      <c r="AS14" s="184">
        <v>0.01</v>
      </c>
      <c r="AT14" s="184">
        <v>0.01</v>
      </c>
      <c r="AU14" s="184">
        <v>0.01</v>
      </c>
      <c r="AV14" s="184">
        <v>0.01</v>
      </c>
      <c r="AW14" s="184">
        <v>0.01</v>
      </c>
      <c r="AX14" s="184">
        <v>0.01</v>
      </c>
      <c r="AY14" s="184">
        <v>0.01</v>
      </c>
      <c r="AZ14" s="184">
        <v>0.01</v>
      </c>
      <c r="BA14" s="184">
        <v>0.01</v>
      </c>
      <c r="BB14" s="184">
        <v>0.01</v>
      </c>
      <c r="BC14" s="184">
        <v>0.01</v>
      </c>
      <c r="BD14" s="184">
        <v>0.01</v>
      </c>
      <c r="BE14" s="184">
        <v>0.01</v>
      </c>
      <c r="BF14" s="184">
        <v>0.01</v>
      </c>
      <c r="BG14" s="594">
        <v>4.4999999999999997E-3</v>
      </c>
      <c r="BH14" s="184">
        <v>0.01</v>
      </c>
      <c r="BI14" s="184">
        <v>0.01</v>
      </c>
    </row>
    <row r="15" spans="1:71" ht="13.15" customHeight="1">
      <c r="A15" s="109"/>
      <c r="B15" s="137"/>
      <c r="C15" s="110"/>
      <c r="D15" s="238"/>
      <c r="E15" s="165" t="s">
        <v>87</v>
      </c>
      <c r="F15" s="111" t="s">
        <v>22</v>
      </c>
      <c r="G15" s="341" t="s">
        <v>23</v>
      </c>
      <c r="H15" s="113">
        <v>1</v>
      </c>
      <c r="I15" s="113">
        <v>1</v>
      </c>
      <c r="J15" s="113">
        <v>1</v>
      </c>
      <c r="K15" s="113">
        <v>1</v>
      </c>
      <c r="L15" s="113">
        <v>1</v>
      </c>
      <c r="M15" s="113">
        <v>1</v>
      </c>
      <c r="N15" s="113">
        <v>1</v>
      </c>
      <c r="O15" s="113">
        <v>1</v>
      </c>
      <c r="P15" s="113">
        <v>1</v>
      </c>
      <c r="Q15" s="113">
        <v>1</v>
      </c>
      <c r="R15" s="113">
        <v>1</v>
      </c>
      <c r="S15" s="113">
        <v>1</v>
      </c>
      <c r="T15" s="113">
        <v>1</v>
      </c>
      <c r="U15" s="113">
        <v>1</v>
      </c>
      <c r="V15" s="113">
        <v>1</v>
      </c>
      <c r="W15" s="113">
        <v>1</v>
      </c>
      <c r="X15" s="113">
        <v>1</v>
      </c>
      <c r="Y15" s="113">
        <v>1</v>
      </c>
      <c r="Z15" s="113">
        <v>1</v>
      </c>
      <c r="AA15" s="113">
        <v>1</v>
      </c>
      <c r="AB15" s="113">
        <v>1</v>
      </c>
      <c r="AC15" s="113">
        <v>1</v>
      </c>
      <c r="AD15" s="113">
        <v>1</v>
      </c>
      <c r="AE15" s="113">
        <v>1</v>
      </c>
      <c r="AF15" s="113">
        <v>1</v>
      </c>
      <c r="AG15" s="113">
        <v>1</v>
      </c>
      <c r="AH15" s="113">
        <v>1</v>
      </c>
      <c r="AI15" s="113">
        <v>1</v>
      </c>
      <c r="AJ15" s="113">
        <v>1</v>
      </c>
      <c r="AK15" s="113">
        <v>1</v>
      </c>
      <c r="AL15" s="113">
        <v>1</v>
      </c>
      <c r="AM15" s="113">
        <v>1</v>
      </c>
      <c r="AN15" s="113">
        <v>1</v>
      </c>
      <c r="AO15" s="113">
        <v>1</v>
      </c>
      <c r="AP15" s="113">
        <v>1</v>
      </c>
      <c r="AQ15" s="113">
        <v>1</v>
      </c>
      <c r="AR15" s="113">
        <v>1</v>
      </c>
      <c r="AS15" s="113">
        <v>1</v>
      </c>
      <c r="AT15" s="113">
        <v>1</v>
      </c>
      <c r="AU15" s="113">
        <v>1</v>
      </c>
      <c r="AV15" s="113">
        <v>1</v>
      </c>
      <c r="AW15" s="113">
        <v>1</v>
      </c>
      <c r="AX15" s="113">
        <v>1</v>
      </c>
      <c r="AY15" s="113">
        <v>1</v>
      </c>
      <c r="AZ15" s="113">
        <v>1</v>
      </c>
      <c r="BA15" s="113">
        <v>1</v>
      </c>
      <c r="BB15" s="113">
        <v>1</v>
      </c>
      <c r="BC15" s="113">
        <v>1</v>
      </c>
      <c r="BD15" s="113">
        <v>1</v>
      </c>
      <c r="BE15" s="113">
        <v>1</v>
      </c>
      <c r="BF15" s="113">
        <v>1</v>
      </c>
      <c r="BG15" s="113">
        <v>1</v>
      </c>
      <c r="BH15" s="113">
        <v>1</v>
      </c>
      <c r="BI15" s="113">
        <v>1</v>
      </c>
    </row>
    <row r="16" spans="1:71" ht="13.15" customHeight="1">
      <c r="A16" s="114"/>
      <c r="B16" s="133"/>
      <c r="C16" s="115"/>
      <c r="D16" s="539" t="s">
        <v>565</v>
      </c>
      <c r="E16" s="177" t="s">
        <v>95</v>
      </c>
      <c r="F16" s="28" t="s">
        <v>96</v>
      </c>
      <c r="G16" s="118" t="s">
        <v>13</v>
      </c>
      <c r="H16" s="122">
        <f t="shared" ref="H16:Q16" si="0">H15*H$11</f>
        <v>63200</v>
      </c>
      <c r="I16" s="122">
        <f t="shared" si="0"/>
        <v>63200</v>
      </c>
      <c r="J16" s="122">
        <f>J15*J$11</f>
        <v>353000</v>
      </c>
      <c r="K16" s="122">
        <f t="shared" si="0"/>
        <v>1600</v>
      </c>
      <c r="L16" s="122">
        <f t="shared" si="0"/>
        <v>800</v>
      </c>
      <c r="M16" s="122">
        <f t="shared" si="0"/>
        <v>800</v>
      </c>
      <c r="N16" s="122">
        <f>N15*N$11</f>
        <v>1070</v>
      </c>
      <c r="O16" s="122">
        <f>O15*O$11</f>
        <v>1070</v>
      </c>
      <c r="P16" s="122">
        <f t="shared" si="0"/>
        <v>150</v>
      </c>
      <c r="Q16" s="122">
        <f t="shared" si="0"/>
        <v>150</v>
      </c>
      <c r="R16" s="122">
        <f t="shared" ref="R16:W16" si="1">R15*R$11</f>
        <v>16800</v>
      </c>
      <c r="S16" s="122">
        <f t="shared" si="1"/>
        <v>8200</v>
      </c>
      <c r="T16" s="122">
        <f t="shared" si="1"/>
        <v>8200</v>
      </c>
      <c r="U16" s="122">
        <f t="shared" si="1"/>
        <v>800</v>
      </c>
      <c r="V16" s="122">
        <f t="shared" si="1"/>
        <v>1290</v>
      </c>
      <c r="W16" s="122">
        <f t="shared" si="1"/>
        <v>1290</v>
      </c>
      <c r="X16" s="122">
        <f t="shared" ref="X16:BC16" si="2">X15*X$11</f>
        <v>1800</v>
      </c>
      <c r="Y16" s="122">
        <f t="shared" si="2"/>
        <v>500</v>
      </c>
      <c r="Z16" s="122">
        <f t="shared" si="2"/>
        <v>170</v>
      </c>
      <c r="AA16" s="122">
        <f t="shared" si="2"/>
        <v>180</v>
      </c>
      <c r="AB16" s="122">
        <f t="shared" si="2"/>
        <v>65</v>
      </c>
      <c r="AC16" s="122">
        <f t="shared" si="2"/>
        <v>25</v>
      </c>
      <c r="AD16" s="122">
        <f t="shared" si="2"/>
        <v>5.8</v>
      </c>
      <c r="AE16" s="122">
        <f t="shared" si="2"/>
        <v>0.65</v>
      </c>
      <c r="AF16" s="122">
        <f t="shared" si="2"/>
        <v>6.6E-3</v>
      </c>
      <c r="AG16" s="122">
        <f t="shared" si="2"/>
        <v>36</v>
      </c>
      <c r="AH16" s="122">
        <f t="shared" si="2"/>
        <v>5.4</v>
      </c>
      <c r="AI16" s="122">
        <f t="shared" si="2"/>
        <v>0.43</v>
      </c>
      <c r="AJ16" s="122">
        <f t="shared" si="2"/>
        <v>3.4000000000000002E-2</v>
      </c>
      <c r="AK16" s="122">
        <f t="shared" si="2"/>
        <v>7.6000000000000004E-4</v>
      </c>
      <c r="AL16" s="122">
        <f t="shared" si="2"/>
        <v>2.5000000000000002E-6</v>
      </c>
      <c r="AM16" s="122">
        <f t="shared" si="2"/>
        <v>2.9999999999999999E-7</v>
      </c>
      <c r="AN16" s="122">
        <f t="shared" si="2"/>
        <v>30</v>
      </c>
      <c r="AO16" s="122">
        <f t="shared" si="2"/>
        <v>16.100000000000001</v>
      </c>
      <c r="AP16" s="122">
        <f t="shared" si="2"/>
        <v>3.8</v>
      </c>
      <c r="AQ16" s="122">
        <f t="shared" si="2"/>
        <v>1.9</v>
      </c>
      <c r="AR16" s="122">
        <f t="shared" si="2"/>
        <v>1.1000000000000001</v>
      </c>
      <c r="AS16" s="122">
        <f t="shared" si="2"/>
        <v>4.4999999999999998E-2</v>
      </c>
      <c r="AT16" s="122">
        <f t="shared" si="2"/>
        <v>0.26</v>
      </c>
      <c r="AU16" s="122">
        <f t="shared" si="2"/>
        <v>0.13200000000000001</v>
      </c>
      <c r="AV16" s="122">
        <f t="shared" si="2"/>
        <v>1.0999999999999999E-2</v>
      </c>
      <c r="AW16" s="122">
        <f t="shared" si="2"/>
        <v>1.5E-3</v>
      </c>
      <c r="AX16" s="122">
        <f t="shared" si="2"/>
        <v>1.5E-3</v>
      </c>
      <c r="AY16" s="122">
        <f t="shared" si="2"/>
        <v>8.0000000000000004E-4</v>
      </c>
      <c r="AZ16" s="122">
        <f t="shared" si="2"/>
        <v>2.9999999999999997E-4</v>
      </c>
      <c r="BA16" s="122">
        <f t="shared" si="2"/>
        <v>5.0000000000000001E-4</v>
      </c>
      <c r="BB16" s="122">
        <f t="shared" si="2"/>
        <v>3.0000000000000001E-3</v>
      </c>
      <c r="BC16" s="122">
        <f t="shared" si="2"/>
        <v>6.2E-2</v>
      </c>
      <c r="BD16" s="122">
        <f t="shared" ref="BD16:BI16" si="3">BD15*BD$11</f>
        <v>83500</v>
      </c>
      <c r="BE16" s="122">
        <f t="shared" si="3"/>
        <v>0.22500000000000001</v>
      </c>
      <c r="BF16" s="122">
        <f t="shared" si="3"/>
        <v>0.22500000000000001</v>
      </c>
      <c r="BG16" s="122">
        <f t="shared" si="3"/>
        <v>5.67E-2</v>
      </c>
      <c r="BH16" s="122">
        <f t="shared" si="3"/>
        <v>6000</v>
      </c>
      <c r="BI16" s="122">
        <f t="shared" si="3"/>
        <v>1000000</v>
      </c>
    </row>
    <row r="17" spans="1:61" ht="13.15" customHeight="1">
      <c r="A17" s="114"/>
      <c r="B17" s="133"/>
      <c r="C17" s="115"/>
      <c r="D17" s="540"/>
      <c r="E17" s="177" t="s">
        <v>97</v>
      </c>
      <c r="F17" s="28" t="s">
        <v>98</v>
      </c>
      <c r="G17" s="118" t="s">
        <v>13</v>
      </c>
      <c r="H17" s="122">
        <f t="shared" ref="H17:Q17" si="4">H15*H$13</f>
        <v>22.72707095468078</v>
      </c>
      <c r="I17" s="122">
        <f t="shared" si="4"/>
        <v>22.72707095468078</v>
      </c>
      <c r="J17" s="122">
        <f>J15*J$13</f>
        <v>820.78741562577648</v>
      </c>
      <c r="K17" s="122">
        <f t="shared" si="4"/>
        <v>1792.0982547736485</v>
      </c>
      <c r="L17" s="122">
        <f t="shared" si="4"/>
        <v>107.32896141226797</v>
      </c>
      <c r="M17" s="122">
        <f t="shared" si="4"/>
        <v>107.32896141226797</v>
      </c>
      <c r="N17" s="122">
        <f>N15*N$13</f>
        <v>458.31435861779931</v>
      </c>
      <c r="O17" s="122">
        <f>O15*O$13</f>
        <v>458.31435861779931</v>
      </c>
      <c r="P17" s="122">
        <f t="shared" si="4"/>
        <v>111.58002331288304</v>
      </c>
      <c r="Q17" s="122">
        <f t="shared" si="4"/>
        <v>111.58002331288304</v>
      </c>
      <c r="R17" s="122">
        <f t="shared" ref="R17:W17" si="5">R15*R$13</f>
        <v>1741.7133357039183</v>
      </c>
      <c r="S17" s="122">
        <f t="shared" si="5"/>
        <v>1005.9218180068756</v>
      </c>
      <c r="T17" s="122">
        <f t="shared" si="5"/>
        <v>1005.9218180068756</v>
      </c>
      <c r="U17" s="122">
        <f t="shared" si="5"/>
        <v>711.5286517698554</v>
      </c>
      <c r="V17" s="122">
        <f t="shared" si="5"/>
        <v>3795.4731556939564</v>
      </c>
      <c r="W17" s="122">
        <f t="shared" si="5"/>
        <v>3795.4731556939564</v>
      </c>
      <c r="X17" s="122">
        <f t="shared" ref="X17:BC17" si="6">X15*X$13</f>
        <v>340.2</v>
      </c>
      <c r="Y17" s="122">
        <f t="shared" si="6"/>
        <v>109</v>
      </c>
      <c r="Z17" s="122">
        <f t="shared" si="6"/>
        <v>45.22</v>
      </c>
      <c r="AA17" s="122">
        <f t="shared" si="6"/>
        <v>34.74</v>
      </c>
      <c r="AB17" s="122">
        <f t="shared" si="6"/>
        <v>31.2</v>
      </c>
      <c r="AC17" s="122">
        <f t="shared" si="6"/>
        <v>3.5000000000000004</v>
      </c>
      <c r="AD17" s="122">
        <f t="shared" si="6"/>
        <v>0.30740000000000001</v>
      </c>
      <c r="AE17" s="122">
        <f t="shared" si="6"/>
        <v>8.4499999999999992E-3</v>
      </c>
      <c r="AF17" s="122">
        <f t="shared" si="6"/>
        <v>4.4220000000000002E-6</v>
      </c>
      <c r="AG17" s="122">
        <f t="shared" si="6"/>
        <v>1188</v>
      </c>
      <c r="AH17" s="122">
        <f t="shared" si="6"/>
        <v>270</v>
      </c>
      <c r="AI17" s="122">
        <f t="shared" si="6"/>
        <v>34.4</v>
      </c>
      <c r="AJ17" s="122">
        <f t="shared" si="6"/>
        <v>4.08</v>
      </c>
      <c r="AK17" s="122">
        <f t="shared" si="6"/>
        <v>0.3952</v>
      </c>
      <c r="AL17" s="122">
        <f t="shared" si="6"/>
        <v>1.225E-2</v>
      </c>
      <c r="AM17" s="122">
        <f t="shared" si="6"/>
        <v>3.0000000000000001E-3</v>
      </c>
      <c r="AN17" s="122">
        <f t="shared" si="6"/>
        <v>0.12539999999999998</v>
      </c>
      <c r="AO17" s="122">
        <f t="shared" si="6"/>
        <v>5.4579000000000003E-2</v>
      </c>
      <c r="AP17" s="122">
        <f t="shared" si="6"/>
        <v>1.8658000000000001E-2</v>
      </c>
      <c r="AQ17" s="122">
        <f t="shared" si="6"/>
        <v>6.0609999999999995E-3</v>
      </c>
      <c r="AR17" s="122">
        <f t="shared" si="6"/>
        <v>1.441E-3</v>
      </c>
      <c r="AS17" s="122">
        <f t="shared" si="6"/>
        <v>7.2000000000000002E-5</v>
      </c>
      <c r="AT17" s="122">
        <f t="shared" si="6"/>
        <v>1.0842000000000001E-4</v>
      </c>
      <c r="AU17" s="122">
        <f t="shared" si="6"/>
        <v>4.8972000000000005E-5</v>
      </c>
      <c r="AV17" s="122">
        <f t="shared" si="6"/>
        <v>2.5739999999999998E-6</v>
      </c>
      <c r="AW17" s="122">
        <f t="shared" si="6"/>
        <v>2.7000000000000001E-7</v>
      </c>
      <c r="AX17" s="122">
        <f t="shared" si="6"/>
        <v>9.6899999999999994E-9</v>
      </c>
      <c r="AY17" s="122">
        <f t="shared" si="6"/>
        <v>5.1680000000000004E-9</v>
      </c>
      <c r="AZ17" s="122">
        <f t="shared" si="6"/>
        <v>1.401E-9</v>
      </c>
      <c r="BA17" s="122">
        <f t="shared" si="6"/>
        <v>1.535E-9</v>
      </c>
      <c r="BB17" s="122">
        <f t="shared" si="6"/>
        <v>9.09E-8</v>
      </c>
      <c r="BC17" s="122">
        <f t="shared" si="6"/>
        <v>1.2834E-12</v>
      </c>
      <c r="BD17" s="122">
        <f t="shared" ref="BD17:BI17" si="7">BD15*BD$13</f>
        <v>1.1362513870655502</v>
      </c>
      <c r="BE17" s="122">
        <f t="shared" si="7"/>
        <v>7.6500000000000003E-5</v>
      </c>
      <c r="BF17" s="122">
        <f t="shared" si="7"/>
        <v>7.6500000000000003E-5</v>
      </c>
      <c r="BG17" s="122">
        <f t="shared" si="7"/>
        <v>1.696696593449333E-2</v>
      </c>
      <c r="BH17" s="122">
        <f t="shared" si="7"/>
        <v>0.1003085149661293</v>
      </c>
      <c r="BI17" s="122">
        <f t="shared" si="7"/>
        <v>133</v>
      </c>
    </row>
    <row r="18" spans="1:61" ht="13.15" customHeight="1">
      <c r="A18" s="109"/>
      <c r="B18" s="137"/>
      <c r="C18" s="110"/>
      <c r="D18" s="541" t="s">
        <v>566</v>
      </c>
      <c r="E18" s="103" t="s">
        <v>1056</v>
      </c>
      <c r="F18" s="14" t="s">
        <v>42</v>
      </c>
      <c r="G18" s="341" t="s">
        <v>99</v>
      </c>
      <c r="H18" s="113">
        <f>Sols!$D$15/100</f>
        <v>1E-3</v>
      </c>
      <c r="I18" s="113">
        <f>Sols!$D$15/100</f>
        <v>1E-3</v>
      </c>
      <c r="J18" s="113">
        <f>Sols!$D$15/100</f>
        <v>1E-3</v>
      </c>
      <c r="K18" s="113">
        <f>Sols!$D$15/100</f>
        <v>1E-3</v>
      </c>
      <c r="L18" s="113">
        <f>Sols!$D$15/100</f>
        <v>1E-3</v>
      </c>
      <c r="M18" s="113">
        <f>Sols!$D$15/100</f>
        <v>1E-3</v>
      </c>
      <c r="N18" s="113">
        <f>Sols!$D$15/100</f>
        <v>1E-3</v>
      </c>
      <c r="O18" s="113">
        <f>Sols!$D$15/100</f>
        <v>1E-3</v>
      </c>
      <c r="P18" s="113">
        <f>Sols!$D$15/100</f>
        <v>1E-3</v>
      </c>
      <c r="Q18" s="113">
        <f>Sols!$D$15/100</f>
        <v>1E-3</v>
      </c>
      <c r="R18" s="113">
        <f>Sols!$D$15/100</f>
        <v>1E-3</v>
      </c>
      <c r="S18" s="113">
        <f>Sols!$D$15/100</f>
        <v>1E-3</v>
      </c>
      <c r="T18" s="113">
        <f>Sols!$D$15/100</f>
        <v>1E-3</v>
      </c>
      <c r="U18" s="113">
        <f>Sols!$D$15/100</f>
        <v>1E-3</v>
      </c>
      <c r="V18" s="113">
        <f>Sols!$D$15/100</f>
        <v>1E-3</v>
      </c>
      <c r="W18" s="113">
        <f>Sols!$D$15/100</f>
        <v>1E-3</v>
      </c>
      <c r="X18" s="113">
        <f>Sols!$D$15/100</f>
        <v>1E-3</v>
      </c>
      <c r="Y18" s="113">
        <f>Sols!$D$15/100</f>
        <v>1E-3</v>
      </c>
      <c r="Z18" s="113">
        <f>Sols!$D$15/100</f>
        <v>1E-3</v>
      </c>
      <c r="AA18" s="113">
        <f>Sols!$D$15/100</f>
        <v>1E-3</v>
      </c>
      <c r="AB18" s="113">
        <f>Sols!$D$15/100</f>
        <v>1E-3</v>
      </c>
      <c r="AC18" s="113">
        <f>Sols!$D$15/100</f>
        <v>1E-3</v>
      </c>
      <c r="AD18" s="113">
        <f>Sols!$D$15/100</f>
        <v>1E-3</v>
      </c>
      <c r="AE18" s="113">
        <f>Sols!$D$15/100</f>
        <v>1E-3</v>
      </c>
      <c r="AF18" s="113">
        <f>Sols!$D$15/100</f>
        <v>1E-3</v>
      </c>
      <c r="AG18" s="113">
        <f>Sols!$D$15/100</f>
        <v>1E-3</v>
      </c>
      <c r="AH18" s="113">
        <f>Sols!$D$15/100</f>
        <v>1E-3</v>
      </c>
      <c r="AI18" s="113">
        <f>Sols!$D$15/100</f>
        <v>1E-3</v>
      </c>
      <c r="AJ18" s="113">
        <f>Sols!$D$15/100</f>
        <v>1E-3</v>
      </c>
      <c r="AK18" s="113">
        <f>Sols!$D$15/100</f>
        <v>1E-3</v>
      </c>
      <c r="AL18" s="113">
        <f>Sols!$D$15/100</f>
        <v>1E-3</v>
      </c>
      <c r="AM18" s="113">
        <f>Sols!$D$15/100</f>
        <v>1E-3</v>
      </c>
      <c r="AN18" s="113">
        <f>Sols!$D$15/100</f>
        <v>1E-3</v>
      </c>
      <c r="AO18" s="113">
        <f>Sols!$D$15/100</f>
        <v>1E-3</v>
      </c>
      <c r="AP18" s="113">
        <f>Sols!$D$15/100</f>
        <v>1E-3</v>
      </c>
      <c r="AQ18" s="113">
        <f>Sols!$D$15/100</f>
        <v>1E-3</v>
      </c>
      <c r="AR18" s="113">
        <f>Sols!$D$15/100</f>
        <v>1E-3</v>
      </c>
      <c r="AS18" s="113">
        <f>Sols!$D$15/100</f>
        <v>1E-3</v>
      </c>
      <c r="AT18" s="113">
        <f>Sols!$D$15/100</f>
        <v>1E-3</v>
      </c>
      <c r="AU18" s="113">
        <f>Sols!$D$15/100</f>
        <v>1E-3</v>
      </c>
      <c r="AV18" s="113">
        <f>Sols!$D$15/100</f>
        <v>1E-3</v>
      </c>
      <c r="AW18" s="113">
        <f>Sols!$D$15/100</f>
        <v>1E-3</v>
      </c>
      <c r="AX18" s="113">
        <f>Sols!$D$15/100</f>
        <v>1E-3</v>
      </c>
      <c r="AY18" s="113">
        <f>Sols!$D$15/100</f>
        <v>1E-3</v>
      </c>
      <c r="AZ18" s="113">
        <f>Sols!$D$15/100</f>
        <v>1E-3</v>
      </c>
      <c r="BA18" s="113">
        <f>Sols!$D$15/100</f>
        <v>1E-3</v>
      </c>
      <c r="BB18" s="113">
        <f>Sols!$D$15/100</f>
        <v>1E-3</v>
      </c>
      <c r="BC18" s="113">
        <f>Sols!$D$15/100</f>
        <v>1E-3</v>
      </c>
      <c r="BD18" s="113">
        <f>Sols!$D$15/100</f>
        <v>1E-3</v>
      </c>
      <c r="BE18" s="113">
        <f>Sols!$D$15/100</f>
        <v>1E-3</v>
      </c>
      <c r="BF18" s="113">
        <f>Sols!$D$15/100</f>
        <v>1E-3</v>
      </c>
      <c r="BG18" s="113">
        <f>Sols!$D$15/100</f>
        <v>1E-3</v>
      </c>
      <c r="BH18" s="113">
        <f>Sols!$D$15/100</f>
        <v>1E-3</v>
      </c>
      <c r="BI18" s="113">
        <f>Sols!$D$15/100</f>
        <v>1E-3</v>
      </c>
    </row>
    <row r="19" spans="1:61" ht="13.15" customHeight="1">
      <c r="A19" s="109"/>
      <c r="B19" s="130"/>
      <c r="C19" s="110"/>
      <c r="D19" s="542"/>
      <c r="E19" s="165" t="s">
        <v>100</v>
      </c>
      <c r="F19" s="111" t="s">
        <v>101</v>
      </c>
      <c r="G19" s="341" t="s">
        <v>221</v>
      </c>
      <c r="H19" s="113">
        <f t="shared" ref="H19:Q19" si="8">H$10*H18</f>
        <v>3.1177538333699451E-3</v>
      </c>
      <c r="I19" s="113">
        <f t="shared" si="8"/>
        <v>3.1177538333699451E-3</v>
      </c>
      <c r="J19" s="113">
        <f>J$10*J18</f>
        <v>8.0138613050055661E-4</v>
      </c>
      <c r="K19" s="113">
        <f t="shared" si="8"/>
        <v>8.0000000000000002E-3</v>
      </c>
      <c r="L19" s="113">
        <f t="shared" si="8"/>
        <v>3.5000000000000003E-2</v>
      </c>
      <c r="M19" s="113">
        <f t="shared" si="8"/>
        <v>3.5000000000000003E-2</v>
      </c>
      <c r="N19" s="113">
        <f>N$10*N18</f>
        <v>0.111</v>
      </c>
      <c r="O19" s="113">
        <f>O$10*O18</f>
        <v>0.111</v>
      </c>
      <c r="P19" s="113">
        <f t="shared" si="8"/>
        <v>0.247</v>
      </c>
      <c r="Q19" s="113">
        <f t="shared" si="8"/>
        <v>0.247</v>
      </c>
      <c r="R19" s="113">
        <f t="shared" ref="R19:W19" si="9">R$10*R18</f>
        <v>1.9100000000000002E-2</v>
      </c>
      <c r="S19" s="113">
        <f t="shared" si="9"/>
        <v>0.06</v>
      </c>
      <c r="T19" s="113">
        <f t="shared" si="9"/>
        <v>0.06</v>
      </c>
      <c r="U19" s="113">
        <f t="shared" si="9"/>
        <v>7.1000000000000008E-2</v>
      </c>
      <c r="V19" s="113">
        <f t="shared" si="9"/>
        <v>0.12701114227630869</v>
      </c>
      <c r="W19" s="113">
        <f t="shared" si="9"/>
        <v>0.12701114227630869</v>
      </c>
      <c r="X19" s="113">
        <f t="shared" ref="X19:BC19" si="10">X$10*X18</f>
        <v>0.06</v>
      </c>
      <c r="Y19" s="113">
        <f t="shared" si="10"/>
        <v>0.2012990947604314</v>
      </c>
      <c r="Z19" s="113">
        <f t="shared" si="10"/>
        <v>0.58055293083995207</v>
      </c>
      <c r="AA19" s="113">
        <f t="shared" si="10"/>
        <v>0.65139110210151852</v>
      </c>
      <c r="AB19" s="113">
        <f t="shared" si="10"/>
        <v>1.5848931924611156</v>
      </c>
      <c r="AC19" s="113">
        <f t="shared" si="10"/>
        <v>2.511886431509581</v>
      </c>
      <c r="AD19" s="113">
        <f t="shared" si="10"/>
        <v>5.0118723362727327</v>
      </c>
      <c r="AE19" s="113">
        <f t="shared" si="10"/>
        <v>10</v>
      </c>
      <c r="AF19" s="113">
        <f t="shared" si="10"/>
        <v>125.89254117941685</v>
      </c>
      <c r="AG19" s="113">
        <f t="shared" si="10"/>
        <v>0.79432823472428205</v>
      </c>
      <c r="AH19" s="113">
        <f t="shared" si="10"/>
        <v>3.9810717055349771</v>
      </c>
      <c r="AI19" s="113">
        <f t="shared" si="10"/>
        <v>31.622776601683839</v>
      </c>
      <c r="AJ19" s="113">
        <f t="shared" si="10"/>
        <v>251.18864315095846</v>
      </c>
      <c r="AK19" s="113">
        <f t="shared" si="10"/>
        <v>5011.8723362727314</v>
      </c>
      <c r="AL19" s="113">
        <f t="shared" si="10"/>
        <v>630957.34448019625</v>
      </c>
      <c r="AM19" s="113">
        <f t="shared" si="10"/>
        <v>186208713.66628721</v>
      </c>
      <c r="AN19" s="113">
        <f t="shared" si="10"/>
        <v>0.84399999999999997</v>
      </c>
      <c r="AO19" s="113">
        <f t="shared" si="10"/>
        <v>2.77</v>
      </c>
      <c r="AP19" s="113">
        <f t="shared" si="10"/>
        <v>2.38</v>
      </c>
      <c r="AQ19" s="113">
        <f t="shared" si="10"/>
        <v>3.9</v>
      </c>
      <c r="AR19" s="113">
        <f t="shared" si="10"/>
        <v>8.14</v>
      </c>
      <c r="AS19" s="113">
        <f t="shared" si="10"/>
        <v>7.69</v>
      </c>
      <c r="AT19" s="113">
        <f t="shared" si="10"/>
        <v>27.8</v>
      </c>
      <c r="AU19" s="113">
        <f t="shared" si="10"/>
        <v>25.7</v>
      </c>
      <c r="AV19" s="113">
        <f t="shared" si="10"/>
        <v>102</v>
      </c>
      <c r="AW19" s="113">
        <f t="shared" si="10"/>
        <v>81.400000000000006</v>
      </c>
      <c r="AX19" s="113">
        <f t="shared" si="10"/>
        <v>83</v>
      </c>
      <c r="AY19" s="113">
        <f t="shared" si="10"/>
        <v>121</v>
      </c>
      <c r="AZ19" s="113">
        <f t="shared" si="10"/>
        <v>131</v>
      </c>
      <c r="BA19" s="113">
        <f t="shared" si="10"/>
        <v>499</v>
      </c>
      <c r="BB19" s="113">
        <f t="shared" si="10"/>
        <v>311</v>
      </c>
      <c r="BC19" s="113">
        <f t="shared" si="10"/>
        <v>800</v>
      </c>
      <c r="BD19" s="113">
        <f t="shared" ref="BD19:BI19" si="11">BD$10*BD18</f>
        <v>1.2129469921598848E-2</v>
      </c>
      <c r="BE19" s="113">
        <f t="shared" si="11"/>
        <v>163.62204709748733</v>
      </c>
      <c r="BF19" s="113">
        <f t="shared" si="11"/>
        <v>163.62204709748733</v>
      </c>
      <c r="BG19" s="552">
        <f t="shared" si="11"/>
        <v>0</v>
      </c>
      <c r="BH19" s="113">
        <f t="shared" si="11"/>
        <v>1.056432666718003E-3</v>
      </c>
      <c r="BI19" s="113">
        <f t="shared" si="11"/>
        <v>4.8288289508014682E-3</v>
      </c>
    </row>
    <row r="20" spans="1:61" ht="13.15" customHeight="1">
      <c r="A20" s="109"/>
      <c r="B20" s="130"/>
      <c r="C20" s="110"/>
      <c r="D20" s="542"/>
      <c r="E20" s="165" t="s">
        <v>67</v>
      </c>
      <c r="F20" s="111" t="s">
        <v>44</v>
      </c>
      <c r="G20" s="341" t="s">
        <v>102</v>
      </c>
      <c r="H20" s="186">
        <f>Sols!$F$15</f>
        <v>1.5</v>
      </c>
      <c r="I20" s="186">
        <f>Sols!$F$15</f>
        <v>1.5</v>
      </c>
      <c r="J20" s="186">
        <f>Sols!$F$15</f>
        <v>1.5</v>
      </c>
      <c r="K20" s="186">
        <f>Sols!$F$15</f>
        <v>1.5</v>
      </c>
      <c r="L20" s="186">
        <f>Sols!$F$15</f>
        <v>1.5</v>
      </c>
      <c r="M20" s="186">
        <f>Sols!$F$15</f>
        <v>1.5</v>
      </c>
      <c r="N20" s="186">
        <f>Sols!$F$15</f>
        <v>1.5</v>
      </c>
      <c r="O20" s="186">
        <f>Sols!$F$15</f>
        <v>1.5</v>
      </c>
      <c r="P20" s="186">
        <f>Sols!$F$15</f>
        <v>1.5</v>
      </c>
      <c r="Q20" s="186">
        <f>Sols!$F$15</f>
        <v>1.5</v>
      </c>
      <c r="R20" s="186">
        <f>Sols!$F$15</f>
        <v>1.5</v>
      </c>
      <c r="S20" s="186">
        <f>Sols!$F$15</f>
        <v>1.5</v>
      </c>
      <c r="T20" s="186">
        <f>Sols!$F$15</f>
        <v>1.5</v>
      </c>
      <c r="U20" s="186">
        <f>Sols!$F$15</f>
        <v>1.5</v>
      </c>
      <c r="V20" s="186">
        <f>Sols!$F$15</f>
        <v>1.5</v>
      </c>
      <c r="W20" s="186">
        <f>Sols!$F$15</f>
        <v>1.5</v>
      </c>
      <c r="X20" s="186">
        <f>Sols!$F$15</f>
        <v>1.5</v>
      </c>
      <c r="Y20" s="186">
        <f>Sols!$F$15</f>
        <v>1.5</v>
      </c>
      <c r="Z20" s="186">
        <f>Sols!$F$15</f>
        <v>1.5</v>
      </c>
      <c r="AA20" s="186">
        <f>Sols!$F$15</f>
        <v>1.5</v>
      </c>
      <c r="AB20" s="186">
        <f>Sols!$F$15</f>
        <v>1.5</v>
      </c>
      <c r="AC20" s="186">
        <f>Sols!$F$15</f>
        <v>1.5</v>
      </c>
      <c r="AD20" s="186">
        <f>Sols!$F$15</f>
        <v>1.5</v>
      </c>
      <c r="AE20" s="186">
        <f>Sols!$F$15</f>
        <v>1.5</v>
      </c>
      <c r="AF20" s="186">
        <f>Sols!$F$15</f>
        <v>1.5</v>
      </c>
      <c r="AG20" s="186">
        <f>Sols!$F$15</f>
        <v>1.5</v>
      </c>
      <c r="AH20" s="186">
        <f>Sols!$F$15</f>
        <v>1.5</v>
      </c>
      <c r="AI20" s="186">
        <f>Sols!$F$15</f>
        <v>1.5</v>
      </c>
      <c r="AJ20" s="186">
        <f>Sols!$F$15</f>
        <v>1.5</v>
      </c>
      <c r="AK20" s="186">
        <f>Sols!$F$15</f>
        <v>1.5</v>
      </c>
      <c r="AL20" s="186">
        <f>Sols!$F$15</f>
        <v>1.5</v>
      </c>
      <c r="AM20" s="186">
        <f>Sols!$F$15</f>
        <v>1.5</v>
      </c>
      <c r="AN20" s="186">
        <f>Sols!$F$15</f>
        <v>1.5</v>
      </c>
      <c r="AO20" s="186">
        <f>Sols!$F$15</f>
        <v>1.5</v>
      </c>
      <c r="AP20" s="186">
        <f>Sols!$F$15</f>
        <v>1.5</v>
      </c>
      <c r="AQ20" s="186">
        <f>Sols!$F$15</f>
        <v>1.5</v>
      </c>
      <c r="AR20" s="186">
        <f>Sols!$F$15</f>
        <v>1.5</v>
      </c>
      <c r="AS20" s="186">
        <f>Sols!$F$15</f>
        <v>1.5</v>
      </c>
      <c r="AT20" s="186">
        <f>Sols!$F$15</f>
        <v>1.5</v>
      </c>
      <c r="AU20" s="186">
        <f>Sols!$F$15</f>
        <v>1.5</v>
      </c>
      <c r="AV20" s="186">
        <f>Sols!$F$15</f>
        <v>1.5</v>
      </c>
      <c r="AW20" s="186">
        <f>Sols!$F$15</f>
        <v>1.5</v>
      </c>
      <c r="AX20" s="186">
        <f>Sols!$F$15</f>
        <v>1.5</v>
      </c>
      <c r="AY20" s="186">
        <f>Sols!$F$15</f>
        <v>1.5</v>
      </c>
      <c r="AZ20" s="186">
        <f>Sols!$F$15</f>
        <v>1.5</v>
      </c>
      <c r="BA20" s="186">
        <f>Sols!$F$15</f>
        <v>1.5</v>
      </c>
      <c r="BB20" s="186">
        <f>Sols!$F$15</f>
        <v>1.5</v>
      </c>
      <c r="BC20" s="186">
        <f>Sols!$F$15</f>
        <v>1.5</v>
      </c>
      <c r="BD20" s="186">
        <f>Sols!$F$15</f>
        <v>1.5</v>
      </c>
      <c r="BE20" s="186">
        <f>Sols!$F$15</f>
        <v>1.5</v>
      </c>
      <c r="BF20" s="186">
        <f>Sols!$F$15</f>
        <v>1.5</v>
      </c>
      <c r="BG20" s="186">
        <f>Sols!$F$15</f>
        <v>1.5</v>
      </c>
      <c r="BH20" s="186">
        <f>Sols!$F$15</f>
        <v>1.5</v>
      </c>
      <c r="BI20" s="186">
        <f>Sols!$F$15</f>
        <v>1.5</v>
      </c>
    </row>
    <row r="21" spans="1:61" ht="13.15" customHeight="1">
      <c r="A21" s="109"/>
      <c r="B21" s="130"/>
      <c r="C21" s="110"/>
      <c r="D21" s="4026" t="str">
        <f>Sols!C15</f>
        <v>Sable limoneux</v>
      </c>
      <c r="E21" s="165" t="s">
        <v>68</v>
      </c>
      <c r="F21" s="111" t="s">
        <v>46</v>
      </c>
      <c r="G21" s="341" t="s">
        <v>103</v>
      </c>
      <c r="H21" s="113">
        <f>Sols!$H$15</f>
        <v>0.2</v>
      </c>
      <c r="I21" s="113">
        <f>Sols!$H$15</f>
        <v>0.2</v>
      </c>
      <c r="J21" s="113">
        <f>Sols!$H$15</f>
        <v>0.2</v>
      </c>
      <c r="K21" s="113">
        <f>Sols!$H$15</f>
        <v>0.2</v>
      </c>
      <c r="L21" s="113">
        <f>Sols!$H$15</f>
        <v>0.2</v>
      </c>
      <c r="M21" s="113">
        <f>Sols!$H$15</f>
        <v>0.2</v>
      </c>
      <c r="N21" s="113">
        <f>Sols!$H$15</f>
        <v>0.2</v>
      </c>
      <c r="O21" s="113">
        <f>Sols!$H$15</f>
        <v>0.2</v>
      </c>
      <c r="P21" s="113">
        <f>Sols!$H$15</f>
        <v>0.2</v>
      </c>
      <c r="Q21" s="113">
        <f>Sols!$H$15</f>
        <v>0.2</v>
      </c>
      <c r="R21" s="113">
        <f>Sols!$H$15</f>
        <v>0.2</v>
      </c>
      <c r="S21" s="113">
        <f>Sols!$H$15</f>
        <v>0.2</v>
      </c>
      <c r="T21" s="113">
        <f>Sols!$H$15</f>
        <v>0.2</v>
      </c>
      <c r="U21" s="113">
        <f>Sols!$H$15</f>
        <v>0.2</v>
      </c>
      <c r="V21" s="113">
        <f>Sols!$H$15</f>
        <v>0.2</v>
      </c>
      <c r="W21" s="113">
        <f>Sols!$H$15</f>
        <v>0.2</v>
      </c>
      <c r="X21" s="113">
        <f>Sols!$H$15</f>
        <v>0.2</v>
      </c>
      <c r="Y21" s="113">
        <f>Sols!$H$15</f>
        <v>0.2</v>
      </c>
      <c r="Z21" s="113">
        <f>Sols!$H$15</f>
        <v>0.2</v>
      </c>
      <c r="AA21" s="113">
        <f>Sols!$H$15</f>
        <v>0.2</v>
      </c>
      <c r="AB21" s="113">
        <f>Sols!$H$15</f>
        <v>0.2</v>
      </c>
      <c r="AC21" s="113">
        <f>Sols!$H$15</f>
        <v>0.2</v>
      </c>
      <c r="AD21" s="113">
        <f>Sols!$H$15</f>
        <v>0.2</v>
      </c>
      <c r="AE21" s="113">
        <f>Sols!$H$15</f>
        <v>0.2</v>
      </c>
      <c r="AF21" s="113">
        <f>Sols!$H$15</f>
        <v>0.2</v>
      </c>
      <c r="AG21" s="113">
        <f>Sols!$H$15</f>
        <v>0.2</v>
      </c>
      <c r="AH21" s="113">
        <f>Sols!$H$15</f>
        <v>0.2</v>
      </c>
      <c r="AI21" s="113">
        <f>Sols!$H$15</f>
        <v>0.2</v>
      </c>
      <c r="AJ21" s="113">
        <f>Sols!$H$15</f>
        <v>0.2</v>
      </c>
      <c r="AK21" s="113">
        <f>Sols!$H$15</f>
        <v>0.2</v>
      </c>
      <c r="AL21" s="113">
        <f>Sols!$H$15</f>
        <v>0.2</v>
      </c>
      <c r="AM21" s="113">
        <f>Sols!$H$15</f>
        <v>0.2</v>
      </c>
      <c r="AN21" s="113">
        <f>Sols!$H$15</f>
        <v>0.2</v>
      </c>
      <c r="AO21" s="113">
        <f>Sols!$H$15</f>
        <v>0.2</v>
      </c>
      <c r="AP21" s="113">
        <f>Sols!$H$15</f>
        <v>0.2</v>
      </c>
      <c r="AQ21" s="113">
        <f>Sols!$H$15</f>
        <v>0.2</v>
      </c>
      <c r="AR21" s="113">
        <f>Sols!$H$15</f>
        <v>0.2</v>
      </c>
      <c r="AS21" s="113">
        <f>Sols!$H$15</f>
        <v>0.2</v>
      </c>
      <c r="AT21" s="113">
        <f>Sols!$H$15</f>
        <v>0.2</v>
      </c>
      <c r="AU21" s="113">
        <f>Sols!$H$15</f>
        <v>0.2</v>
      </c>
      <c r="AV21" s="113">
        <f>Sols!$H$15</f>
        <v>0.2</v>
      </c>
      <c r="AW21" s="113">
        <f>Sols!$H$15</f>
        <v>0.2</v>
      </c>
      <c r="AX21" s="113">
        <f>Sols!$H$15</f>
        <v>0.2</v>
      </c>
      <c r="AY21" s="113">
        <f>Sols!$H$15</f>
        <v>0.2</v>
      </c>
      <c r="AZ21" s="113">
        <f>Sols!$H$15</f>
        <v>0.2</v>
      </c>
      <c r="BA21" s="113">
        <f>Sols!$H$15</f>
        <v>0.2</v>
      </c>
      <c r="BB21" s="113">
        <f>Sols!$H$15</f>
        <v>0.2</v>
      </c>
      <c r="BC21" s="113">
        <f>Sols!$H$15</f>
        <v>0.2</v>
      </c>
      <c r="BD21" s="113">
        <f>Sols!$H$15</f>
        <v>0.2</v>
      </c>
      <c r="BE21" s="113">
        <f>Sols!$H$15</f>
        <v>0.2</v>
      </c>
      <c r="BF21" s="113">
        <f>Sols!$H$15</f>
        <v>0.2</v>
      </c>
      <c r="BG21" s="113">
        <f>Sols!$H$15</f>
        <v>0.2</v>
      </c>
      <c r="BH21" s="113">
        <f>Sols!$H$15</f>
        <v>0.2</v>
      </c>
      <c r="BI21" s="113">
        <f>Sols!$H$15</f>
        <v>0.2</v>
      </c>
    </row>
    <row r="22" spans="1:61" ht="13.15" customHeight="1">
      <c r="A22" s="109"/>
      <c r="B22" s="130"/>
      <c r="C22" s="110"/>
      <c r="D22" s="4026"/>
      <c r="E22" s="165" t="s">
        <v>69</v>
      </c>
      <c r="F22" s="111" t="s">
        <v>47</v>
      </c>
      <c r="G22" s="341" t="s">
        <v>104</v>
      </c>
      <c r="H22" s="113">
        <f>Sols!$I$15</f>
        <v>0.2</v>
      </c>
      <c r="I22" s="113">
        <f>Sols!$I$15</f>
        <v>0.2</v>
      </c>
      <c r="J22" s="113">
        <f>Sols!$I$15</f>
        <v>0.2</v>
      </c>
      <c r="K22" s="113">
        <f>Sols!$I$15</f>
        <v>0.2</v>
      </c>
      <c r="L22" s="113">
        <f>Sols!$I$15</f>
        <v>0.2</v>
      </c>
      <c r="M22" s="113">
        <f>Sols!$I$15</f>
        <v>0.2</v>
      </c>
      <c r="N22" s="113">
        <f>Sols!$I$15</f>
        <v>0.2</v>
      </c>
      <c r="O22" s="113">
        <f>Sols!$I$15</f>
        <v>0.2</v>
      </c>
      <c r="P22" s="113">
        <f>Sols!$I$15</f>
        <v>0.2</v>
      </c>
      <c r="Q22" s="113">
        <f>Sols!$I$15</f>
        <v>0.2</v>
      </c>
      <c r="R22" s="113">
        <f>Sols!$I$15</f>
        <v>0.2</v>
      </c>
      <c r="S22" s="113">
        <f>Sols!$I$15</f>
        <v>0.2</v>
      </c>
      <c r="T22" s="113">
        <f>Sols!$I$15</f>
        <v>0.2</v>
      </c>
      <c r="U22" s="113">
        <f>Sols!$I$15</f>
        <v>0.2</v>
      </c>
      <c r="V22" s="113">
        <f>Sols!$I$15</f>
        <v>0.2</v>
      </c>
      <c r="W22" s="113">
        <f>Sols!$I$15</f>
        <v>0.2</v>
      </c>
      <c r="X22" s="113">
        <f>Sols!$I$15</f>
        <v>0.2</v>
      </c>
      <c r="Y22" s="113">
        <f>Sols!$I$15</f>
        <v>0.2</v>
      </c>
      <c r="Z22" s="113">
        <f>Sols!$I$15</f>
        <v>0.2</v>
      </c>
      <c r="AA22" s="113">
        <f>Sols!$I$15</f>
        <v>0.2</v>
      </c>
      <c r="AB22" s="113">
        <f>Sols!$I$15</f>
        <v>0.2</v>
      </c>
      <c r="AC22" s="113">
        <f>Sols!$I$15</f>
        <v>0.2</v>
      </c>
      <c r="AD22" s="113">
        <f>Sols!$I$15</f>
        <v>0.2</v>
      </c>
      <c r="AE22" s="113">
        <f>Sols!$I$15</f>
        <v>0.2</v>
      </c>
      <c r="AF22" s="113">
        <f>Sols!$I$15</f>
        <v>0.2</v>
      </c>
      <c r="AG22" s="113">
        <f>Sols!$I$15</f>
        <v>0.2</v>
      </c>
      <c r="AH22" s="113">
        <f>Sols!$I$15</f>
        <v>0.2</v>
      </c>
      <c r="AI22" s="113">
        <f>Sols!$I$15</f>
        <v>0.2</v>
      </c>
      <c r="AJ22" s="113">
        <f>Sols!$I$15</f>
        <v>0.2</v>
      </c>
      <c r="AK22" s="113">
        <f>Sols!$I$15</f>
        <v>0.2</v>
      </c>
      <c r="AL22" s="113">
        <f>Sols!$I$15</f>
        <v>0.2</v>
      </c>
      <c r="AM22" s="113">
        <f>Sols!$I$15</f>
        <v>0.2</v>
      </c>
      <c r="AN22" s="113">
        <f>Sols!$I$15</f>
        <v>0.2</v>
      </c>
      <c r="AO22" s="113">
        <f>Sols!$I$15</f>
        <v>0.2</v>
      </c>
      <c r="AP22" s="113">
        <f>Sols!$I$15</f>
        <v>0.2</v>
      </c>
      <c r="AQ22" s="113">
        <f>Sols!$I$15</f>
        <v>0.2</v>
      </c>
      <c r="AR22" s="113">
        <f>Sols!$I$15</f>
        <v>0.2</v>
      </c>
      <c r="AS22" s="113">
        <f>Sols!$I$15</f>
        <v>0.2</v>
      </c>
      <c r="AT22" s="113">
        <f>Sols!$I$15</f>
        <v>0.2</v>
      </c>
      <c r="AU22" s="113">
        <f>Sols!$I$15</f>
        <v>0.2</v>
      </c>
      <c r="AV22" s="113">
        <f>Sols!$I$15</f>
        <v>0.2</v>
      </c>
      <c r="AW22" s="113">
        <f>Sols!$I$15</f>
        <v>0.2</v>
      </c>
      <c r="AX22" s="113">
        <f>Sols!$I$15</f>
        <v>0.2</v>
      </c>
      <c r="AY22" s="113">
        <f>Sols!$I$15</f>
        <v>0.2</v>
      </c>
      <c r="AZ22" s="113">
        <f>Sols!$I$15</f>
        <v>0.2</v>
      </c>
      <c r="BA22" s="113">
        <f>Sols!$I$15</f>
        <v>0.2</v>
      </c>
      <c r="BB22" s="113">
        <f>Sols!$I$15</f>
        <v>0.2</v>
      </c>
      <c r="BC22" s="113">
        <f>Sols!$I$15</f>
        <v>0.2</v>
      </c>
      <c r="BD22" s="113">
        <f>Sols!$I$15</f>
        <v>0.2</v>
      </c>
      <c r="BE22" s="113">
        <f>Sols!$I$15</f>
        <v>0.2</v>
      </c>
      <c r="BF22" s="113">
        <f>Sols!$I$15</f>
        <v>0.2</v>
      </c>
      <c r="BG22" s="113">
        <f>Sols!$I$15</f>
        <v>0.2</v>
      </c>
      <c r="BH22" s="113">
        <f>Sols!$I$15</f>
        <v>0.2</v>
      </c>
      <c r="BI22" s="113">
        <f>Sols!$I$15</f>
        <v>0.2</v>
      </c>
    </row>
    <row r="23" spans="1:61" ht="25.5">
      <c r="A23" s="109"/>
      <c r="B23" s="138"/>
      <c r="C23" s="110"/>
      <c r="D23" s="542"/>
      <c r="E23" s="2003" t="s">
        <v>105</v>
      </c>
      <c r="F23" s="111" t="s">
        <v>17</v>
      </c>
      <c r="G23" s="341" t="s">
        <v>18</v>
      </c>
      <c r="H23" s="113">
        <f>H$11/H25</f>
        <v>8626.7389850629388</v>
      </c>
      <c r="I23" s="113">
        <f>I$11/I25</f>
        <v>8626.7389850629388</v>
      </c>
      <c r="J23" s="113">
        <f>J$11/J25</f>
        <v>47458.994292816809</v>
      </c>
      <c r="K23" s="113">
        <f t="shared" ref="K23:V23" si="12">K$11/K25</f>
        <v>465.07976730315318</v>
      </c>
      <c r="L23" s="113">
        <f t="shared" si="12"/>
        <v>148.97719485496907</v>
      </c>
      <c r="M23" s="113">
        <f t="shared" si="12"/>
        <v>148.97719485496907</v>
      </c>
      <c r="N23" s="113">
        <f>N$11/N25</f>
        <v>322.5452478157066</v>
      </c>
      <c r="O23" s="113">
        <f>O$11/O25</f>
        <v>322.5452478157066</v>
      </c>
      <c r="P23" s="113">
        <f t="shared" si="12"/>
        <v>71.927336441717742</v>
      </c>
      <c r="Q23" s="113">
        <f t="shared" si="12"/>
        <v>71.927336441717742</v>
      </c>
      <c r="R23" s="113">
        <f>R$11/R25</f>
        <v>2793.1084447605226</v>
      </c>
      <c r="S23" s="113">
        <f>S$11/S25</f>
        <v>1719.4562424009166</v>
      </c>
      <c r="T23" s="113">
        <f>T$11/T25</f>
        <v>1719.4562424009166</v>
      </c>
      <c r="U23" s="113">
        <f>U$11/U25</f>
        <v>258.33715356931407</v>
      </c>
      <c r="V23" s="113">
        <f t="shared" si="12"/>
        <v>841.90746096229896</v>
      </c>
      <c r="W23" s="113">
        <f>W$11/W25</f>
        <v>841.90746096229896</v>
      </c>
      <c r="X23" s="113">
        <f t="shared" ref="X23:BC23" si="13">X$11/X25</f>
        <v>393.35999999999996</v>
      </c>
      <c r="Y23" s="113">
        <f t="shared" si="13"/>
        <v>181.84954738021568</v>
      </c>
      <c r="Z23" s="113">
        <f t="shared" si="13"/>
        <v>127.38999824279185</v>
      </c>
      <c r="AA23" s="113">
        <f t="shared" si="13"/>
        <v>145.88239837827334</v>
      </c>
      <c r="AB23" s="113">
        <f t="shared" si="13"/>
        <v>115.84472417663919</v>
      </c>
      <c r="AC23" s="113">
        <f t="shared" si="13"/>
        <v>66.597160787739526</v>
      </c>
      <c r="AD23" s="113">
        <f t="shared" si="13"/>
        <v>29.883179550381854</v>
      </c>
      <c r="AE23" s="113">
        <f t="shared" si="13"/>
        <v>6.5877933333333338</v>
      </c>
      <c r="AF23" s="113">
        <f t="shared" si="13"/>
        <v>0.83177136138415131</v>
      </c>
      <c r="AG23" s="113">
        <f t="shared" si="13"/>
        <v>191.79581645007417</v>
      </c>
      <c r="AH23" s="113">
        <f t="shared" si="13"/>
        <v>58.217787209888883</v>
      </c>
      <c r="AI23" s="113">
        <f t="shared" si="13"/>
        <v>18.241793938724047</v>
      </c>
      <c r="AJ23" s="113">
        <f t="shared" si="13"/>
        <v>9.0889472004659204</v>
      </c>
      <c r="AK23" s="113">
        <f t="shared" si="13"/>
        <v>3.8618176422339423</v>
      </c>
      <c r="AL23" s="113">
        <f t="shared" si="13"/>
        <v>1.5790270278671574</v>
      </c>
      <c r="AM23" s="113">
        <f t="shared" si="13"/>
        <v>55.863014139886161</v>
      </c>
      <c r="AN23" s="113">
        <f t="shared" si="13"/>
        <v>29.336719999999996</v>
      </c>
      <c r="AO23" s="113">
        <f t="shared" si="13"/>
        <v>46.750943866666674</v>
      </c>
      <c r="AP23" s="113">
        <f t="shared" si="13"/>
        <v>9.5531543999999986</v>
      </c>
      <c r="AQ23" s="113">
        <f t="shared" si="13"/>
        <v>7.6641414666666661</v>
      </c>
      <c r="AR23" s="113">
        <f t="shared" si="13"/>
        <v>9.100858800000001</v>
      </c>
      <c r="AS23" s="113">
        <f t="shared" si="13"/>
        <v>0.35205959999999997</v>
      </c>
      <c r="AT23" s="113">
        <f t="shared" si="13"/>
        <v>7.2626811226666668</v>
      </c>
      <c r="AU23" s="113">
        <f t="shared" si="13"/>
        <v>3.4100065295999999</v>
      </c>
      <c r="AV23" s="113">
        <f t="shared" si="13"/>
        <v>1.1234670098666666</v>
      </c>
      <c r="AW23" s="113">
        <f t="shared" si="13"/>
        <v>0.12230003600000001</v>
      </c>
      <c r="AX23" s="113">
        <f t="shared" si="13"/>
        <v>0.12470000129200001</v>
      </c>
      <c r="AY23" s="113">
        <f t="shared" si="13"/>
        <v>9.6906667355733334E-2</v>
      </c>
      <c r="AZ23" s="113">
        <f t="shared" si="13"/>
        <v>3.9340000186799999E-2</v>
      </c>
      <c r="BA23" s="113">
        <f t="shared" si="13"/>
        <v>0.24956666687133333</v>
      </c>
      <c r="BB23" s="113">
        <f t="shared" si="13"/>
        <v>0.93340001212000012</v>
      </c>
      <c r="BC23" s="113">
        <f t="shared" si="13"/>
        <v>49.608266666666836</v>
      </c>
      <c r="BD23" s="113">
        <f t="shared" ref="BD23:BI23" si="14">BD$11/BD25</f>
        <v>12146.295571971779</v>
      </c>
      <c r="BE23" s="113">
        <f t="shared" si="14"/>
        <v>36.844970796934646</v>
      </c>
      <c r="BF23" s="113">
        <f t="shared" si="14"/>
        <v>36.844970796934646</v>
      </c>
      <c r="BG23" s="552">
        <v>0</v>
      </c>
      <c r="BH23" s="113">
        <f t="shared" si="14"/>
        <v>806.35197046897019</v>
      </c>
      <c r="BI23" s="113">
        <f t="shared" si="14"/>
        <v>138179.89561746814</v>
      </c>
    </row>
    <row r="24" spans="1:61" s="136" customFormat="1" ht="25.5">
      <c r="A24" s="140"/>
      <c r="B24" s="138"/>
      <c r="C24" s="132"/>
      <c r="D24" s="542"/>
      <c r="E24" s="2004" t="s">
        <v>106</v>
      </c>
      <c r="F24" s="111" t="s">
        <v>107</v>
      </c>
      <c r="G24" s="341" t="s">
        <v>18</v>
      </c>
      <c r="H24" s="113">
        <f t="shared" ref="H24:V24" si="15">H15*H23</f>
        <v>8626.7389850629388</v>
      </c>
      <c r="I24" s="113">
        <f>I15*I23</f>
        <v>8626.7389850629388</v>
      </c>
      <c r="J24" s="113">
        <f>J15*J23</f>
        <v>47458.994292816809</v>
      </c>
      <c r="K24" s="113">
        <f t="shared" si="15"/>
        <v>465.07976730315318</v>
      </c>
      <c r="L24" s="113">
        <f t="shared" si="15"/>
        <v>148.97719485496907</v>
      </c>
      <c r="M24" s="113">
        <f t="shared" si="15"/>
        <v>148.97719485496907</v>
      </c>
      <c r="N24" s="113">
        <f>N15*N23</f>
        <v>322.5452478157066</v>
      </c>
      <c r="O24" s="113">
        <f>O15*O23</f>
        <v>322.5452478157066</v>
      </c>
      <c r="P24" s="113">
        <f t="shared" si="15"/>
        <v>71.927336441717742</v>
      </c>
      <c r="Q24" s="113">
        <f t="shared" si="15"/>
        <v>71.927336441717742</v>
      </c>
      <c r="R24" s="113">
        <f>R15*R23</f>
        <v>2793.1084447605226</v>
      </c>
      <c r="S24" s="113">
        <f>S15*S23</f>
        <v>1719.4562424009166</v>
      </c>
      <c r="T24" s="113">
        <f>T15*T23</f>
        <v>1719.4562424009166</v>
      </c>
      <c r="U24" s="113">
        <f t="shared" si="15"/>
        <v>258.33715356931407</v>
      </c>
      <c r="V24" s="113">
        <f t="shared" si="15"/>
        <v>841.90746096229896</v>
      </c>
      <c r="W24" s="113">
        <f>W15*W23</f>
        <v>841.90746096229896</v>
      </c>
      <c r="X24" s="113">
        <f t="shared" ref="X24:BC24" si="16">X15*X23</f>
        <v>393.35999999999996</v>
      </c>
      <c r="Y24" s="113">
        <f t="shared" si="16"/>
        <v>181.84954738021568</v>
      </c>
      <c r="Z24" s="113">
        <f t="shared" si="16"/>
        <v>127.38999824279185</v>
      </c>
      <c r="AA24" s="113">
        <f t="shared" si="16"/>
        <v>145.88239837827334</v>
      </c>
      <c r="AB24" s="113">
        <f t="shared" si="16"/>
        <v>115.84472417663919</v>
      </c>
      <c r="AC24" s="113">
        <f t="shared" si="16"/>
        <v>66.597160787739526</v>
      </c>
      <c r="AD24" s="113">
        <f t="shared" si="16"/>
        <v>29.883179550381854</v>
      </c>
      <c r="AE24" s="113">
        <f t="shared" si="16"/>
        <v>6.5877933333333338</v>
      </c>
      <c r="AF24" s="113">
        <f t="shared" si="16"/>
        <v>0.83177136138415131</v>
      </c>
      <c r="AG24" s="113">
        <f t="shared" si="16"/>
        <v>191.79581645007417</v>
      </c>
      <c r="AH24" s="113">
        <f t="shared" si="16"/>
        <v>58.217787209888883</v>
      </c>
      <c r="AI24" s="113">
        <f t="shared" si="16"/>
        <v>18.241793938724047</v>
      </c>
      <c r="AJ24" s="113">
        <f t="shared" si="16"/>
        <v>9.0889472004659204</v>
      </c>
      <c r="AK24" s="113">
        <f t="shared" si="16"/>
        <v>3.8618176422339423</v>
      </c>
      <c r="AL24" s="113">
        <f t="shared" si="16"/>
        <v>1.5790270278671574</v>
      </c>
      <c r="AM24" s="113">
        <f t="shared" si="16"/>
        <v>55.863014139886161</v>
      </c>
      <c r="AN24" s="113">
        <f t="shared" si="16"/>
        <v>29.336719999999996</v>
      </c>
      <c r="AO24" s="113">
        <f t="shared" si="16"/>
        <v>46.750943866666674</v>
      </c>
      <c r="AP24" s="113">
        <f t="shared" si="16"/>
        <v>9.5531543999999986</v>
      </c>
      <c r="AQ24" s="113">
        <f t="shared" si="16"/>
        <v>7.6641414666666661</v>
      </c>
      <c r="AR24" s="113">
        <f t="shared" si="16"/>
        <v>9.100858800000001</v>
      </c>
      <c r="AS24" s="113">
        <f t="shared" si="16"/>
        <v>0.35205959999999997</v>
      </c>
      <c r="AT24" s="113">
        <f t="shared" si="16"/>
        <v>7.2626811226666668</v>
      </c>
      <c r="AU24" s="113">
        <f t="shared" si="16"/>
        <v>3.4100065295999999</v>
      </c>
      <c r="AV24" s="113">
        <f t="shared" si="16"/>
        <v>1.1234670098666666</v>
      </c>
      <c r="AW24" s="113">
        <f t="shared" si="16"/>
        <v>0.12230003600000001</v>
      </c>
      <c r="AX24" s="113">
        <f t="shared" si="16"/>
        <v>0.12470000129200001</v>
      </c>
      <c r="AY24" s="113">
        <f t="shared" si="16"/>
        <v>9.6906667355733334E-2</v>
      </c>
      <c r="AZ24" s="113">
        <f t="shared" si="16"/>
        <v>3.9340000186799999E-2</v>
      </c>
      <c r="BA24" s="113">
        <f t="shared" si="16"/>
        <v>0.24956666687133333</v>
      </c>
      <c r="BB24" s="113">
        <f t="shared" si="16"/>
        <v>0.93340001212000012</v>
      </c>
      <c r="BC24" s="113">
        <f t="shared" si="16"/>
        <v>49.608266666666836</v>
      </c>
      <c r="BD24" s="113">
        <f t="shared" ref="BD24:BI24" si="17">BD15*BD23</f>
        <v>12146.295571971779</v>
      </c>
      <c r="BE24" s="113">
        <f t="shared" si="17"/>
        <v>36.844970796934646</v>
      </c>
      <c r="BF24" s="113">
        <f t="shared" si="17"/>
        <v>36.844970796934646</v>
      </c>
      <c r="BG24" s="113">
        <f t="shared" si="17"/>
        <v>0</v>
      </c>
      <c r="BH24" s="113">
        <f t="shared" si="17"/>
        <v>806.35197046897019</v>
      </c>
      <c r="BI24" s="113">
        <f t="shared" si="17"/>
        <v>138179.89561746814</v>
      </c>
    </row>
    <row r="25" spans="1:61" ht="13.15" customHeight="1">
      <c r="A25" s="187"/>
      <c r="B25" s="188"/>
      <c r="C25" s="129"/>
      <c r="D25" s="238"/>
      <c r="E25" s="180" t="s">
        <v>108</v>
      </c>
      <c r="F25" s="121" t="s">
        <v>109</v>
      </c>
      <c r="G25" s="547" t="s">
        <v>607</v>
      </c>
      <c r="H25" s="135">
        <f>1/(H19+H21/H20+H22*H$12/H20)</f>
        <v>7.3260591411690781</v>
      </c>
      <c r="I25" s="135">
        <f>1/(I19+I21/I20+I22*I$12/I20)</f>
        <v>7.3260591411690781</v>
      </c>
      <c r="J25" s="135">
        <f>1/(J19+J21/J20+J22*J$12/J20)</f>
        <v>7.4380000094824723</v>
      </c>
      <c r="K25" s="135">
        <f t="shared" ref="K25:V25" si="18">1/(K19+K21/K20+K22*K$12/K20)</f>
        <v>3.4402700622258444</v>
      </c>
      <c r="L25" s="135">
        <f t="shared" si="18"/>
        <v>5.3699494125849849</v>
      </c>
      <c r="M25" s="135">
        <f t="shared" si="18"/>
        <v>5.3699494125849849</v>
      </c>
      <c r="N25" s="135">
        <f>1/(N19+N21/N20+N22*N$12/N20)</f>
        <v>3.3173640202300185</v>
      </c>
      <c r="O25" s="135">
        <f>1/(O19+O21/O20+O22*O$12/O20)</f>
        <v>3.3173640202300185</v>
      </c>
      <c r="P25" s="135">
        <f t="shared" si="18"/>
        <v>2.0854379909027223</v>
      </c>
      <c r="Q25" s="135">
        <f t="shared" si="18"/>
        <v>2.0854379909027223</v>
      </c>
      <c r="R25" s="113">
        <f>1/(R19+R21/R20+R22*R$12/R20)</f>
        <v>6.0148040551430899</v>
      </c>
      <c r="S25" s="135">
        <f>1/(S19+S21/S20+S22*S$12/S20)</f>
        <v>4.7689495072873447</v>
      </c>
      <c r="T25" s="135">
        <f>1/(T19+T21/T20+T22*T$12/T20)</f>
        <v>4.7689495072873447</v>
      </c>
      <c r="U25" s="135">
        <f>1/(U19+U21/U20+U22*U$12/U20)</f>
        <v>3.0967283990970862</v>
      </c>
      <c r="V25" s="135">
        <f t="shared" si="18"/>
        <v>1.5322349068216261</v>
      </c>
      <c r="W25" s="135">
        <f>1/(W19+W21/W20+W22*W$12/W20)</f>
        <v>1.5322349068216261</v>
      </c>
      <c r="X25" s="135">
        <f t="shared" ref="X25:BC25" si="19">1/(X19+X21/X20+X22*X$12/X20)</f>
        <v>4.5759609517998783</v>
      </c>
      <c r="Y25" s="135">
        <f t="shared" si="19"/>
        <v>2.7495256776998582</v>
      </c>
      <c r="Z25" s="135">
        <f t="shared" si="19"/>
        <v>1.3344846718342676</v>
      </c>
      <c r="AA25" s="135">
        <f t="shared" si="19"/>
        <v>1.2338705834357044</v>
      </c>
      <c r="AB25" s="135">
        <f t="shared" si="19"/>
        <v>0.56109590196691628</v>
      </c>
      <c r="AC25" s="135">
        <f t="shared" si="19"/>
        <v>0.37539137861568528</v>
      </c>
      <c r="AD25" s="135">
        <f t="shared" si="19"/>
        <v>0.19408911927264735</v>
      </c>
      <c r="AE25" s="135">
        <f t="shared" si="19"/>
        <v>9.866733321931774E-2</v>
      </c>
      <c r="AF25" s="135">
        <f t="shared" si="19"/>
        <v>7.9348728585905328E-3</v>
      </c>
      <c r="AG25" s="135">
        <f t="shared" si="19"/>
        <v>0.1876996102747166</v>
      </c>
      <c r="AH25" s="135">
        <f t="shared" si="19"/>
        <v>9.2755157122886248E-2</v>
      </c>
      <c r="AI25" s="135">
        <f t="shared" si="19"/>
        <v>2.3572243028531711E-2</v>
      </c>
      <c r="AJ25" s="135">
        <f t="shared" si="19"/>
        <v>3.7408072959492032E-3</v>
      </c>
      <c r="AK25" s="135">
        <f t="shared" si="19"/>
        <v>1.9679852090591298E-4</v>
      </c>
      <c r="AL25" s="135">
        <f t="shared" si="19"/>
        <v>1.583253456640847E-6</v>
      </c>
      <c r="AM25" s="135">
        <f t="shared" si="19"/>
        <v>5.3702795063791615E-9</v>
      </c>
      <c r="AN25" s="135">
        <f t="shared" si="19"/>
        <v>1.0226092078460034</v>
      </c>
      <c r="AO25" s="135">
        <f t="shared" si="19"/>
        <v>0.34437807386129093</v>
      </c>
      <c r="AP25" s="135">
        <f t="shared" si="19"/>
        <v>0.39777437282914641</v>
      </c>
      <c r="AQ25" s="135">
        <f t="shared" si="19"/>
        <v>0.24790774129934728</v>
      </c>
      <c r="AR25" s="135">
        <f t="shared" si="19"/>
        <v>0.12086771415462462</v>
      </c>
      <c r="AS25" s="135">
        <f t="shared" si="19"/>
        <v>0.12781926696502524</v>
      </c>
      <c r="AT25" s="135">
        <f t="shared" si="19"/>
        <v>3.5799451415889069E-2</v>
      </c>
      <c r="AU25" s="135">
        <f t="shared" si="19"/>
        <v>3.8709603296708014E-2</v>
      </c>
      <c r="AV25" s="135">
        <f t="shared" si="19"/>
        <v>9.7911197243837917E-3</v>
      </c>
      <c r="AW25" s="135">
        <f t="shared" si="19"/>
        <v>1.2264918711880018E-2</v>
      </c>
      <c r="AX25" s="135">
        <f t="shared" si="19"/>
        <v>1.2028869161657586E-2</v>
      </c>
      <c r="AY25" s="135">
        <f t="shared" si="19"/>
        <v>8.2553659291913443E-3</v>
      </c>
      <c r="AZ25" s="135">
        <f t="shared" si="19"/>
        <v>7.6258260949541353E-3</v>
      </c>
      <c r="BA25" s="135">
        <f t="shared" si="19"/>
        <v>2.0034726843460235E-3</v>
      </c>
      <c r="BB25" s="135">
        <f t="shared" si="19"/>
        <v>3.2140560971133918E-3</v>
      </c>
      <c r="BC25" s="135">
        <f t="shared" si="19"/>
        <v>1.2497917013830986E-3</v>
      </c>
      <c r="BD25" s="135">
        <f t="shared" ref="BD25:BI25" si="20">1/(BD19+BD21/BD20+BD22*BD$12/BD20)</f>
        <v>6.8745239653710284</v>
      </c>
      <c r="BE25" s="135">
        <f t="shared" si="20"/>
        <v>6.1066678880016675E-3</v>
      </c>
      <c r="BF25" s="135">
        <f t="shared" si="20"/>
        <v>6.1066678880016675E-3</v>
      </c>
      <c r="BG25" s="552">
        <f>BG28/BG14</f>
        <v>12.600000000000001</v>
      </c>
      <c r="BH25" s="135">
        <f t="shared" si="20"/>
        <v>7.440919374836314</v>
      </c>
      <c r="BI25" s="135">
        <f t="shared" si="20"/>
        <v>7.2369427949805463</v>
      </c>
    </row>
    <row r="26" spans="1:61" ht="13.15" customHeight="1">
      <c r="A26" s="187"/>
      <c r="B26" s="189"/>
      <c r="C26" s="129"/>
      <c r="D26" s="542"/>
      <c r="E26" s="180" t="s">
        <v>110</v>
      </c>
      <c r="F26" s="121" t="s">
        <v>111</v>
      </c>
      <c r="G26" s="612" t="s">
        <v>606</v>
      </c>
      <c r="H26" s="135">
        <f t="shared" ref="H26:V26" si="21">H$12*H25</f>
        <v>2.6344915493597683E-3</v>
      </c>
      <c r="I26" s="135">
        <f>I$12*I25</f>
        <v>2.6344915493597683E-3</v>
      </c>
      <c r="J26" s="135">
        <f>J$12*J25</f>
        <v>1.7294665170559827E-2</v>
      </c>
      <c r="K26" s="135">
        <f t="shared" si="21"/>
        <v>3.8533137340406047</v>
      </c>
      <c r="L26" s="135">
        <f t="shared" si="21"/>
        <v>0.72043886661145617</v>
      </c>
      <c r="M26" s="135">
        <f t="shared" si="21"/>
        <v>0.72043886661145617</v>
      </c>
      <c r="N26" s="135">
        <f>N$12*N25</f>
        <v>1.4209304329284909</v>
      </c>
      <c r="O26" s="135">
        <f>O$12*O25</f>
        <v>1.4209304329284909</v>
      </c>
      <c r="P26" s="135">
        <f t="shared" si="21"/>
        <v>1.5512881309499849</v>
      </c>
      <c r="Q26" s="135">
        <f t="shared" si="21"/>
        <v>1.5512881309499849</v>
      </c>
      <c r="R26" s="113">
        <f>R$12*R25</f>
        <v>0.62357526395766227</v>
      </c>
      <c r="S26" s="135">
        <f>S$12*S25</f>
        <v>0.58502321443335115</v>
      </c>
      <c r="T26" s="135">
        <f>T$12*T25</f>
        <v>0.58502321443335115</v>
      </c>
      <c r="U26" s="135">
        <f t="shared" si="21"/>
        <v>2.7542637283837155</v>
      </c>
      <c r="V26" s="135">
        <f t="shared" si="21"/>
        <v>4.5081833000455136</v>
      </c>
      <c r="W26" s="135">
        <f>W$12*W25</f>
        <v>4.5081833000455136</v>
      </c>
      <c r="X26" s="135">
        <f t="shared" ref="X26:BC26" si="22">X$12*X25</f>
        <v>0.86485661989017704</v>
      </c>
      <c r="Y26" s="135">
        <f t="shared" si="22"/>
        <v>0.59939659773856913</v>
      </c>
      <c r="Z26" s="135">
        <f t="shared" si="22"/>
        <v>0.35497292270791519</v>
      </c>
      <c r="AA26" s="135">
        <f t="shared" si="22"/>
        <v>0.23813702260309097</v>
      </c>
      <c r="AB26" s="135">
        <f t="shared" si="22"/>
        <v>0.26932603294411983</v>
      </c>
      <c r="AC26" s="135">
        <f t="shared" si="22"/>
        <v>5.2554793006195942E-2</v>
      </c>
      <c r="AD26" s="135">
        <f t="shared" si="22"/>
        <v>1.028672332145031E-2</v>
      </c>
      <c r="AE26" s="135">
        <f t="shared" si="22"/>
        <v>1.2826753318511306E-3</v>
      </c>
      <c r="AF26" s="135">
        <f t="shared" si="22"/>
        <v>5.316364815255657E-6</v>
      </c>
      <c r="AG26" s="135">
        <f t="shared" si="22"/>
        <v>6.1940871390656476</v>
      </c>
      <c r="AH26" s="135">
        <f t="shared" si="22"/>
        <v>4.6377578561443125</v>
      </c>
      <c r="AI26" s="135">
        <f t="shared" si="22"/>
        <v>1.8857794422825369</v>
      </c>
      <c r="AJ26" s="135">
        <f t="shared" si="22"/>
        <v>0.44889687551390439</v>
      </c>
      <c r="AK26" s="135">
        <f t="shared" si="22"/>
        <v>0.10233523087107475</v>
      </c>
      <c r="AL26" s="135">
        <f t="shared" si="22"/>
        <v>7.7579419375401505E-3</v>
      </c>
      <c r="AM26" s="135">
        <f t="shared" si="22"/>
        <v>5.3702795063791613E-5</v>
      </c>
      <c r="AN26" s="135">
        <f t="shared" si="22"/>
        <v>4.2745064887962942E-3</v>
      </c>
      <c r="AO26" s="135">
        <f t="shared" si="22"/>
        <v>1.1674416703897762E-3</v>
      </c>
      <c r="AP26" s="135">
        <f t="shared" si="22"/>
        <v>1.9530721705911089E-3</v>
      </c>
      <c r="AQ26" s="135">
        <f t="shared" si="22"/>
        <v>7.9082569474491784E-4</v>
      </c>
      <c r="AR26" s="135">
        <f t="shared" si="22"/>
        <v>1.5833670554255824E-4</v>
      </c>
      <c r="AS26" s="135">
        <f t="shared" si="22"/>
        <v>2.0451082714404039E-4</v>
      </c>
      <c r="AT26" s="135">
        <f t="shared" si="22"/>
        <v>1.4928371240425742E-5</v>
      </c>
      <c r="AU26" s="135">
        <f t="shared" si="22"/>
        <v>1.4361262823078675E-5</v>
      </c>
      <c r="AV26" s="135">
        <f t="shared" si="22"/>
        <v>2.2911220155058073E-6</v>
      </c>
      <c r="AW26" s="135">
        <f t="shared" si="22"/>
        <v>2.2076853681384034E-6</v>
      </c>
      <c r="AX26" s="135">
        <f t="shared" si="22"/>
        <v>7.7706494784308E-8</v>
      </c>
      <c r="AY26" s="135">
        <f t="shared" si="22"/>
        <v>5.3329663902576084E-8</v>
      </c>
      <c r="AZ26" s="135">
        <f t="shared" si="22"/>
        <v>3.5612607863435813E-8</v>
      </c>
      <c r="BA26" s="135">
        <f t="shared" si="22"/>
        <v>6.1506611409422915E-9</v>
      </c>
      <c r="BB26" s="135">
        <f t="shared" si="22"/>
        <v>9.7385899742535777E-8</v>
      </c>
      <c r="BC26" s="135">
        <f t="shared" si="22"/>
        <v>2.587068821863014E-14</v>
      </c>
      <c r="BD26" s="135">
        <f t="shared" ref="BD26:BI26" si="23">BD$12*BD25</f>
        <v>9.3547154384050266E-5</v>
      </c>
      <c r="BE26" s="135">
        <f t="shared" si="23"/>
        <v>2.0762670819205671E-6</v>
      </c>
      <c r="BF26" s="135">
        <f t="shared" si="23"/>
        <v>2.0762670819205671E-6</v>
      </c>
      <c r="BG26" s="552">
        <f>BG29/BG14</f>
        <v>3.7704368743318515</v>
      </c>
      <c r="BH26" s="135">
        <f t="shared" si="23"/>
        <v>1.2439792874542166E-4</v>
      </c>
      <c r="BI26" s="135">
        <f t="shared" si="23"/>
        <v>9.6251339173241269E-4</v>
      </c>
    </row>
    <row r="27" spans="1:61" ht="12.75" customHeight="1">
      <c r="A27" s="109"/>
      <c r="B27" s="130"/>
      <c r="C27" s="110"/>
      <c r="D27" s="542"/>
      <c r="E27" s="165" t="s">
        <v>88</v>
      </c>
      <c r="F27" s="111"/>
      <c r="G27" s="341" t="s">
        <v>89</v>
      </c>
      <c r="H27" s="108" t="str">
        <f xml:space="preserve"> IF(H14 &gt; H24,"oui","non")</f>
        <v>non</v>
      </c>
      <c r="I27" s="108" t="str">
        <f xml:space="preserve"> IF(I14 &gt; I24,"oui","non")</f>
        <v>non</v>
      </c>
      <c r="J27" s="108" t="str">
        <f xml:space="preserve"> IF(J14 &gt; J24,"oui","non")</f>
        <v>non</v>
      </c>
      <c r="K27" s="108" t="str">
        <f t="shared" ref="K27:V27" si="24" xml:space="preserve"> IF(K14 &gt; K24,"oui","non")</f>
        <v>non</v>
      </c>
      <c r="L27" s="108" t="str">
        <f t="shared" si="24"/>
        <v>non</v>
      </c>
      <c r="M27" s="108" t="str">
        <f t="shared" si="24"/>
        <v>non</v>
      </c>
      <c r="N27" s="108" t="str">
        <f xml:space="preserve"> IF(N14 &gt; N24,"oui","non")</f>
        <v>non</v>
      </c>
      <c r="O27" s="108" t="str">
        <f xml:space="preserve"> IF(O14 &gt; O24,"oui","non")</f>
        <v>non</v>
      </c>
      <c r="P27" s="108" t="str">
        <f t="shared" si="24"/>
        <v>non</v>
      </c>
      <c r="Q27" s="108" t="str">
        <f t="shared" si="24"/>
        <v>non</v>
      </c>
      <c r="R27" s="108" t="str">
        <f xml:space="preserve"> IF(R14 &gt; R24,"oui","non")</f>
        <v>non</v>
      </c>
      <c r="S27" s="108" t="str">
        <f xml:space="preserve"> IF(S14 &gt; S24,"oui","non")</f>
        <v>non</v>
      </c>
      <c r="T27" s="108" t="str">
        <f xml:space="preserve"> IF(T14 &gt; T24,"oui","non")</f>
        <v>non</v>
      </c>
      <c r="U27" s="108" t="str">
        <f xml:space="preserve"> IF(U14 &gt; U24,"oui","non")</f>
        <v>non</v>
      </c>
      <c r="V27" s="108" t="str">
        <f t="shared" si="24"/>
        <v>non</v>
      </c>
      <c r="W27" s="108" t="str">
        <f xml:space="preserve"> IF(W14 &gt; W24,"oui","non")</f>
        <v>non</v>
      </c>
      <c r="X27" s="108" t="str">
        <f t="shared" ref="X27:BC27" si="25" xml:space="preserve"> IF(X14 &gt; X24,"oui","non")</f>
        <v>non</v>
      </c>
      <c r="Y27" s="108" t="str">
        <f t="shared" si="25"/>
        <v>non</v>
      </c>
      <c r="Z27" s="108" t="str">
        <f t="shared" si="25"/>
        <v>non</v>
      </c>
      <c r="AA27" s="108" t="str">
        <f t="shared" si="25"/>
        <v>non</v>
      </c>
      <c r="AB27" s="108" t="str">
        <f t="shared" si="25"/>
        <v>non</v>
      </c>
      <c r="AC27" s="108" t="str">
        <f t="shared" si="25"/>
        <v>non</v>
      </c>
      <c r="AD27" s="108" t="str">
        <f t="shared" si="25"/>
        <v>non</v>
      </c>
      <c r="AE27" s="108" t="str">
        <f t="shared" si="25"/>
        <v>non</v>
      </c>
      <c r="AF27" s="108" t="str">
        <f t="shared" si="25"/>
        <v>non</v>
      </c>
      <c r="AG27" s="108" t="str">
        <f t="shared" si="25"/>
        <v>non</v>
      </c>
      <c r="AH27" s="108" t="str">
        <f t="shared" si="25"/>
        <v>non</v>
      </c>
      <c r="AI27" s="108" t="str">
        <f t="shared" si="25"/>
        <v>non</v>
      </c>
      <c r="AJ27" s="108" t="str">
        <f t="shared" si="25"/>
        <v>non</v>
      </c>
      <c r="AK27" s="108" t="str">
        <f t="shared" si="25"/>
        <v>non</v>
      </c>
      <c r="AL27" s="108" t="str">
        <f t="shared" si="25"/>
        <v>non</v>
      </c>
      <c r="AM27" s="108" t="str">
        <f t="shared" si="25"/>
        <v>non</v>
      </c>
      <c r="AN27" s="108" t="str">
        <f t="shared" si="25"/>
        <v>non</v>
      </c>
      <c r="AO27" s="108" t="str">
        <f t="shared" si="25"/>
        <v>non</v>
      </c>
      <c r="AP27" s="108" t="str">
        <f t="shared" si="25"/>
        <v>non</v>
      </c>
      <c r="AQ27" s="108" t="str">
        <f t="shared" si="25"/>
        <v>non</v>
      </c>
      <c r="AR27" s="108" t="str">
        <f t="shared" si="25"/>
        <v>non</v>
      </c>
      <c r="AS27" s="108" t="str">
        <f t="shared" si="25"/>
        <v>non</v>
      </c>
      <c r="AT27" s="108" t="str">
        <f t="shared" si="25"/>
        <v>non</v>
      </c>
      <c r="AU27" s="108" t="str">
        <f t="shared" si="25"/>
        <v>non</v>
      </c>
      <c r="AV27" s="108" t="str">
        <f t="shared" si="25"/>
        <v>non</v>
      </c>
      <c r="AW27" s="108" t="str">
        <f t="shared" si="25"/>
        <v>non</v>
      </c>
      <c r="AX27" s="108" t="str">
        <f t="shared" si="25"/>
        <v>non</v>
      </c>
      <c r="AY27" s="108" t="str">
        <f t="shared" si="25"/>
        <v>non</v>
      </c>
      <c r="AZ27" s="108" t="str">
        <f t="shared" si="25"/>
        <v>non</v>
      </c>
      <c r="BA27" s="108" t="str">
        <f t="shared" si="25"/>
        <v>non</v>
      </c>
      <c r="BB27" s="108" t="str">
        <f t="shared" si="25"/>
        <v>non</v>
      </c>
      <c r="BC27" s="108" t="str">
        <f t="shared" si="25"/>
        <v>non</v>
      </c>
      <c r="BD27" s="108" t="str">
        <f t="shared" ref="BD27:BI27" si="26" xml:space="preserve"> IF(BD14 &gt; BD24,"oui","non")</f>
        <v>non</v>
      </c>
      <c r="BE27" s="108" t="str">
        <f t="shared" si="26"/>
        <v>non</v>
      </c>
      <c r="BF27" s="108" t="str">
        <f t="shared" si="26"/>
        <v>non</v>
      </c>
      <c r="BG27" s="2068" t="s">
        <v>567</v>
      </c>
      <c r="BH27" s="108" t="str">
        <f t="shared" si="26"/>
        <v>non</v>
      </c>
      <c r="BI27" s="108" t="str">
        <f t="shared" si="26"/>
        <v>non</v>
      </c>
    </row>
    <row r="28" spans="1:61" s="136" customFormat="1" ht="13.15" customHeight="1">
      <c r="A28" s="139"/>
      <c r="B28" s="130"/>
      <c r="C28" s="131"/>
      <c r="D28" s="542"/>
      <c r="E28" s="275" t="s">
        <v>90</v>
      </c>
      <c r="F28" s="226" t="s">
        <v>91</v>
      </c>
      <c r="G28" s="550" t="s">
        <v>92</v>
      </c>
      <c r="H28" s="202">
        <f>MIN(H16,H25*H14)</f>
        <v>7.3260591411690779E-2</v>
      </c>
      <c r="I28" s="202">
        <f t="shared" ref="I28:W28" si="27">MIN(I16,I25*I14)</f>
        <v>7.3260591411690779E-2</v>
      </c>
      <c r="J28" s="202">
        <f>MIN(J16,J25*J14)</f>
        <v>7.4380000094824719E-2</v>
      </c>
      <c r="K28" s="202">
        <f t="shared" si="27"/>
        <v>3.4402700622258447E-2</v>
      </c>
      <c r="L28" s="202">
        <f t="shared" si="27"/>
        <v>5.3699494125849852E-2</v>
      </c>
      <c r="M28" s="202">
        <f t="shared" si="27"/>
        <v>5.3699494125849852E-2</v>
      </c>
      <c r="N28" s="202">
        <f>MIN(N16,N25*N14)</f>
        <v>3.3173640202300188E-2</v>
      </c>
      <c r="O28" s="202">
        <f>MIN(O16,O25*O14)</f>
        <v>3.3173640202300188E-2</v>
      </c>
      <c r="P28" s="202">
        <f t="shared" si="27"/>
        <v>2.0854379909027224E-2</v>
      </c>
      <c r="Q28" s="202">
        <f t="shared" si="27"/>
        <v>2.0854379909027224E-2</v>
      </c>
      <c r="R28" s="202">
        <f>MIN(R16,R25*R14)</f>
        <v>6.0148040551430901E-2</v>
      </c>
      <c r="S28" s="202">
        <f>MIN(S16,S25*S14)</f>
        <v>4.7689495072873449E-2</v>
      </c>
      <c r="T28" s="202">
        <f>MIN(T16,T25*T14)</f>
        <v>4.7689495072873449E-2</v>
      </c>
      <c r="U28" s="202">
        <f t="shared" si="27"/>
        <v>3.0967283990970863E-2</v>
      </c>
      <c r="V28" s="202">
        <f t="shared" si="27"/>
        <v>1.5322349068216261E-2</v>
      </c>
      <c r="W28" s="202">
        <f t="shared" si="27"/>
        <v>1.5322349068216261E-2</v>
      </c>
      <c r="X28" s="202">
        <f t="shared" ref="X28:BC28" si="28">MIN(X16,X25*X14)</f>
        <v>4.5759609517998782E-2</v>
      </c>
      <c r="Y28" s="202">
        <f t="shared" si="28"/>
        <v>2.7495256776998583E-2</v>
      </c>
      <c r="Z28" s="202">
        <f t="shared" si="28"/>
        <v>1.3344846718342676E-2</v>
      </c>
      <c r="AA28" s="202">
        <f t="shared" si="28"/>
        <v>1.2338705834357045E-2</v>
      </c>
      <c r="AB28" s="202">
        <f t="shared" si="28"/>
        <v>5.6109590196691626E-3</v>
      </c>
      <c r="AC28" s="202">
        <f t="shared" si="28"/>
        <v>3.7539137861568529E-3</v>
      </c>
      <c r="AD28" s="202">
        <f t="shared" si="28"/>
        <v>1.9408911927264736E-3</v>
      </c>
      <c r="AE28" s="202">
        <f t="shared" si="28"/>
        <v>9.8667333219317746E-4</v>
      </c>
      <c r="AF28" s="202">
        <f t="shared" si="28"/>
        <v>7.9348728585905325E-5</v>
      </c>
      <c r="AG28" s="202">
        <f t="shared" si="28"/>
        <v>1.8769961027471659E-3</v>
      </c>
      <c r="AH28" s="202">
        <f t="shared" si="28"/>
        <v>9.2755157122886248E-4</v>
      </c>
      <c r="AI28" s="202">
        <f t="shared" si="28"/>
        <v>2.3572243028531712E-4</v>
      </c>
      <c r="AJ28" s="202">
        <f t="shared" si="28"/>
        <v>3.740807295949203E-5</v>
      </c>
      <c r="AK28" s="202">
        <f t="shared" si="28"/>
        <v>1.9679852090591297E-6</v>
      </c>
      <c r="AL28" s="202">
        <f t="shared" si="28"/>
        <v>1.5832534566408471E-8</v>
      </c>
      <c r="AM28" s="202">
        <f t="shared" si="28"/>
        <v>5.3702795063791617E-11</v>
      </c>
      <c r="AN28" s="202">
        <f t="shared" si="28"/>
        <v>1.0226092078460034E-2</v>
      </c>
      <c r="AO28" s="202">
        <f t="shared" si="28"/>
        <v>3.4437807386129096E-3</v>
      </c>
      <c r="AP28" s="202">
        <f t="shared" si="28"/>
        <v>3.9777437282914642E-3</v>
      </c>
      <c r="AQ28" s="202">
        <f t="shared" si="28"/>
        <v>2.4790774129934729E-3</v>
      </c>
      <c r="AR28" s="202">
        <f t="shared" si="28"/>
        <v>1.2086771415462463E-3</v>
      </c>
      <c r="AS28" s="202">
        <f t="shared" si="28"/>
        <v>1.2781926696502524E-3</v>
      </c>
      <c r="AT28" s="202">
        <f t="shared" si="28"/>
        <v>3.5799451415889069E-4</v>
      </c>
      <c r="AU28" s="202">
        <f t="shared" si="28"/>
        <v>3.8709603296708015E-4</v>
      </c>
      <c r="AV28" s="202">
        <f t="shared" si="28"/>
        <v>9.7911197243837913E-5</v>
      </c>
      <c r="AW28" s="202">
        <f t="shared" si="28"/>
        <v>1.2264918711880017E-4</v>
      </c>
      <c r="AX28" s="202">
        <f t="shared" si="28"/>
        <v>1.2028869161657586E-4</v>
      </c>
      <c r="AY28" s="202">
        <f t="shared" si="28"/>
        <v>8.2553659291913442E-5</v>
      </c>
      <c r="AZ28" s="202">
        <f t="shared" si="28"/>
        <v>7.6258260949541354E-5</v>
      </c>
      <c r="BA28" s="202">
        <f t="shared" si="28"/>
        <v>2.0034726843460234E-5</v>
      </c>
      <c r="BB28" s="202">
        <f t="shared" si="28"/>
        <v>3.2140560971133919E-5</v>
      </c>
      <c r="BC28" s="202">
        <f t="shared" si="28"/>
        <v>1.2497917013830987E-5</v>
      </c>
      <c r="BD28" s="202">
        <f t="shared" ref="BD28:BI28" si="29">MIN(BD16,BD25*BD14)</f>
        <v>6.874523965371028E-2</v>
      </c>
      <c r="BE28" s="202">
        <f t="shared" si="29"/>
        <v>6.106667888001667E-5</v>
      </c>
      <c r="BF28" s="202">
        <f t="shared" si="29"/>
        <v>6.106667888001667E-5</v>
      </c>
      <c r="BG28" s="552">
        <f>BG16</f>
        <v>5.67E-2</v>
      </c>
      <c r="BH28" s="202">
        <f t="shared" si="29"/>
        <v>7.4409193748363148E-2</v>
      </c>
      <c r="BI28" s="202">
        <f t="shared" si="29"/>
        <v>7.236942794980547E-2</v>
      </c>
    </row>
    <row r="29" spans="1:61" s="136" customFormat="1" ht="13.15" customHeight="1" thickBot="1">
      <c r="A29" s="139"/>
      <c r="B29" s="130"/>
      <c r="C29" s="131"/>
      <c r="D29" s="543"/>
      <c r="E29" s="591" t="s">
        <v>592</v>
      </c>
      <c r="F29" s="196" t="s">
        <v>93</v>
      </c>
      <c r="G29" s="551" t="s">
        <v>94</v>
      </c>
      <c r="H29" s="197">
        <f>MIN(H17,H26*H14)</f>
        <v>2.6344915493597683E-5</v>
      </c>
      <c r="I29" s="197">
        <f t="shared" ref="I29:W29" si="30">MIN(I17,I26*I14)</f>
        <v>2.6344915493597683E-5</v>
      </c>
      <c r="J29" s="197">
        <f>MIN(J17,J26*J14)</f>
        <v>1.7294665170559828E-4</v>
      </c>
      <c r="K29" s="197">
        <f t="shared" si="30"/>
        <v>3.8533137340406046E-2</v>
      </c>
      <c r="L29" s="197">
        <f t="shared" si="30"/>
        <v>7.2043886661145619E-3</v>
      </c>
      <c r="M29" s="197">
        <f t="shared" si="30"/>
        <v>7.2043886661145619E-3</v>
      </c>
      <c r="N29" s="197">
        <f>MIN(N17,N26*N14)</f>
        <v>1.4209304329284909E-2</v>
      </c>
      <c r="O29" s="197">
        <f>MIN(O17,O26*O14)</f>
        <v>1.4209304329284909E-2</v>
      </c>
      <c r="P29" s="197">
        <f t="shared" si="30"/>
        <v>1.5512881309499849E-2</v>
      </c>
      <c r="Q29" s="197">
        <f t="shared" si="30"/>
        <v>1.5512881309499849E-2</v>
      </c>
      <c r="R29" s="197">
        <f>MIN(R17,R26*R14)</f>
        <v>6.2357526395766232E-3</v>
      </c>
      <c r="S29" s="197">
        <f>MIN(S17,S26*S14)</f>
        <v>5.8502321443335116E-3</v>
      </c>
      <c r="T29" s="197">
        <f>MIN(T17,T26*T14)</f>
        <v>5.8502321443335116E-3</v>
      </c>
      <c r="U29" s="197">
        <f t="shared" si="30"/>
        <v>2.7542637283837157E-2</v>
      </c>
      <c r="V29" s="197">
        <f t="shared" si="30"/>
        <v>4.5081833000455138E-2</v>
      </c>
      <c r="W29" s="197">
        <f t="shared" si="30"/>
        <v>4.5081833000455138E-2</v>
      </c>
      <c r="X29" s="197">
        <f t="shared" ref="X29:BC29" si="31">MIN(X17,X26*X14)</f>
        <v>8.6485661989017699E-3</v>
      </c>
      <c r="Y29" s="197">
        <f t="shared" si="31"/>
        <v>5.993965977385691E-3</v>
      </c>
      <c r="Z29" s="197">
        <f t="shared" si="31"/>
        <v>3.5497292270791521E-3</v>
      </c>
      <c r="AA29" s="197">
        <f t="shared" si="31"/>
        <v>2.3813702260309095E-3</v>
      </c>
      <c r="AB29" s="197">
        <f t="shared" si="31"/>
        <v>2.6932603294411986E-3</v>
      </c>
      <c r="AC29" s="197">
        <f t="shared" si="31"/>
        <v>5.2554793006195943E-4</v>
      </c>
      <c r="AD29" s="197">
        <f t="shared" si="31"/>
        <v>1.028672332145031E-4</v>
      </c>
      <c r="AE29" s="197">
        <f t="shared" si="31"/>
        <v>1.2826753318511306E-5</v>
      </c>
      <c r="AF29" s="197">
        <f t="shared" si="31"/>
        <v>5.3163648152556569E-8</v>
      </c>
      <c r="AG29" s="197">
        <f t="shared" si="31"/>
        <v>6.1940871390656474E-2</v>
      </c>
      <c r="AH29" s="197">
        <f t="shared" si="31"/>
        <v>4.6377578561443124E-2</v>
      </c>
      <c r="AI29" s="197">
        <f t="shared" si="31"/>
        <v>1.8857794422825369E-2</v>
      </c>
      <c r="AJ29" s="197">
        <f t="shared" si="31"/>
        <v>4.4889687551390436E-3</v>
      </c>
      <c r="AK29" s="197">
        <f t="shared" si="31"/>
        <v>1.0233523087107474E-3</v>
      </c>
      <c r="AL29" s="197">
        <f t="shared" si="31"/>
        <v>7.7579419375401509E-5</v>
      </c>
      <c r="AM29" s="197">
        <f t="shared" si="31"/>
        <v>5.3702795063791614E-7</v>
      </c>
      <c r="AN29" s="197">
        <f t="shared" si="31"/>
        <v>4.2745064887962941E-5</v>
      </c>
      <c r="AO29" s="197">
        <f t="shared" si="31"/>
        <v>1.1674416703897762E-5</v>
      </c>
      <c r="AP29" s="197">
        <f t="shared" si="31"/>
        <v>1.9530721705911088E-5</v>
      </c>
      <c r="AQ29" s="197">
        <f t="shared" si="31"/>
        <v>7.908256947449179E-6</v>
      </c>
      <c r="AR29" s="197">
        <f t="shared" si="31"/>
        <v>1.5833670554255824E-6</v>
      </c>
      <c r="AS29" s="197">
        <f t="shared" si="31"/>
        <v>2.0451082714404039E-6</v>
      </c>
      <c r="AT29" s="197">
        <f t="shared" si="31"/>
        <v>1.4928371240425742E-7</v>
      </c>
      <c r="AU29" s="197">
        <f t="shared" si="31"/>
        <v>1.4361262823078676E-7</v>
      </c>
      <c r="AV29" s="197">
        <f t="shared" si="31"/>
        <v>2.2911220155058073E-8</v>
      </c>
      <c r="AW29" s="197">
        <f t="shared" si="31"/>
        <v>2.2076853681384033E-8</v>
      </c>
      <c r="AX29" s="197">
        <f t="shared" si="31"/>
        <v>7.7706494784308005E-10</v>
      </c>
      <c r="AY29" s="197">
        <f t="shared" si="31"/>
        <v>5.3329663902576087E-10</v>
      </c>
      <c r="AZ29" s="197">
        <f t="shared" si="31"/>
        <v>3.5612607863435816E-10</v>
      </c>
      <c r="BA29" s="197">
        <f t="shared" si="31"/>
        <v>6.150661140942291E-11</v>
      </c>
      <c r="BB29" s="197">
        <f t="shared" si="31"/>
        <v>9.7385899742535782E-10</v>
      </c>
      <c r="BC29" s="197">
        <f t="shared" si="31"/>
        <v>2.5870688218630141E-16</v>
      </c>
      <c r="BD29" s="197">
        <f t="shared" ref="BD29:BI29" si="32">MIN(BD17,BD26*BD14)</f>
        <v>9.3547154384050273E-7</v>
      </c>
      <c r="BE29" s="197">
        <f t="shared" si="32"/>
        <v>2.0762670819205671E-8</v>
      </c>
      <c r="BF29" s="197">
        <f t="shared" si="32"/>
        <v>2.0762670819205671E-8</v>
      </c>
      <c r="BG29" s="568">
        <f>BG17</f>
        <v>1.696696593449333E-2</v>
      </c>
      <c r="BH29" s="197">
        <f t="shared" si="32"/>
        <v>1.2439792874542166E-6</v>
      </c>
      <c r="BI29" s="197">
        <f t="shared" si="32"/>
        <v>9.6251339173241278E-6</v>
      </c>
    </row>
    <row r="30" spans="1:61" ht="13.15" customHeight="1">
      <c r="A30" s="116"/>
      <c r="B30" s="115"/>
      <c r="C30" s="115"/>
      <c r="D30" s="115"/>
      <c r="K30" s="192"/>
      <c r="O30" s="116"/>
      <c r="V30" s="175"/>
      <c r="X30" s="116"/>
    </row>
    <row r="31" spans="1:61" s="3490" customFormat="1" ht="13.15" customHeight="1">
      <c r="A31" s="3482"/>
      <c r="B31" s="3483"/>
      <c r="C31" s="3483"/>
      <c r="D31" s="4023" t="s">
        <v>1260</v>
      </c>
      <c r="E31" s="3497" t="str">
        <f>Substances!E71</f>
        <v>Seuil de détection olfactive retenu</v>
      </c>
      <c r="F31" s="3484"/>
      <c r="G31" s="3485" t="s">
        <v>13</v>
      </c>
      <c r="H31" s="3486">
        <f>Substances!H71/1000</f>
        <v>0</v>
      </c>
      <c r="I31" s="3486">
        <f>Substances!I71/1000</f>
        <v>0</v>
      </c>
      <c r="J31" s="3487">
        <f>Substances!J71/1000</f>
        <v>0</v>
      </c>
      <c r="K31" s="3486">
        <f>Substances!K71/1000</f>
        <v>2.5999999999999999E-2</v>
      </c>
      <c r="L31" s="3486">
        <f>Substances!L71/1000</f>
        <v>6.8492113758392897E-2</v>
      </c>
      <c r="M31" s="3486">
        <f>Substances!M71/1000</f>
        <v>6.8492113758392897E-2</v>
      </c>
      <c r="N31" s="3487">
        <f>Substances!N71/1000</f>
        <v>0.15290052497483389</v>
      </c>
      <c r="O31" s="3488">
        <f>Substances!O71/1000</f>
        <v>0.15290052497483389</v>
      </c>
      <c r="P31" s="3487">
        <f>Substances!P71/1000</f>
        <v>0.18608676990191991</v>
      </c>
      <c r="Q31" s="3487">
        <f>Substances!Q71/1000</f>
        <v>0.18608676990191991</v>
      </c>
      <c r="R31" s="3489">
        <f>Substances!R71/1000</f>
        <v>8.8244930483080949E-2</v>
      </c>
      <c r="S31" s="3487">
        <f>Substances!S71/1000</f>
        <v>1.1907797726395141E-2</v>
      </c>
      <c r="T31" s="3487">
        <f>Substances!T71/1000</f>
        <v>1.1907797726395141E-2</v>
      </c>
      <c r="U31" s="3487">
        <f>Substances!U71/1000</f>
        <v>0.61372338625367762</v>
      </c>
      <c r="V31" s="3487">
        <f>Substances!V71/1000</f>
        <v>0.55451023784540954</v>
      </c>
      <c r="W31" s="3487">
        <f>Substances!W71/1000</f>
        <v>0.55451023784540954</v>
      </c>
      <c r="X31" s="3488">
        <f>Substances!X71/1000</f>
        <v>1.5171519803859114E-2</v>
      </c>
      <c r="Y31" s="3488">
        <f>Substances!Y71/1000</f>
        <v>9.3512819303865364E-3</v>
      </c>
      <c r="Z31" s="3488">
        <f>Substances!Z71/1000</f>
        <v>9.7502699594163612E-3</v>
      </c>
      <c r="AA31" s="3488">
        <f>Substances!AA71/1000</f>
        <v>2.9674734659093275E-4</v>
      </c>
      <c r="AB31" s="3488">
        <f>Substances!AB71/1000</f>
        <v>1.700989929130119E-3</v>
      </c>
      <c r="AC31" s="3488">
        <f>Substances!AC71/1000</f>
        <v>4.4752991011166664E-4</v>
      </c>
      <c r="AD31" s="3488">
        <f>Substances!AD71/1000</f>
        <v>4.4752991011166664E-4</v>
      </c>
      <c r="AE31" s="3488">
        <f>Substances!AE71/1000</f>
        <v>4.4752991011166664E-4</v>
      </c>
      <c r="AF31" s="3488">
        <f>Substances!AF71/1000</f>
        <v>4.4752991011166664E-4</v>
      </c>
      <c r="AG31" s="3488">
        <f>Substances!AG71/1000</f>
        <v>3.8961519477556314E-2</v>
      </c>
      <c r="AH31" s="3488">
        <f>Substances!AH71/1000</f>
        <v>0.22177300066000147</v>
      </c>
      <c r="AI31" s="3488">
        <f>Substances!AI71/1000</f>
        <v>1.7934328596324246E-2</v>
      </c>
      <c r="AJ31" s="3488">
        <f>Substances!AJ71/1000</f>
        <v>6.8826702272583723E-3</v>
      </c>
      <c r="AK31" s="3488">
        <f>Substances!AK71/1000</f>
        <v>3.7999999999999999E-2</v>
      </c>
      <c r="AL31" s="3488">
        <f>Substances!AL71/1000</f>
        <v>3.7999999999999999E-2</v>
      </c>
      <c r="AM31" s="3488">
        <f>Substances!AM71/1000</f>
        <v>3.7999999999999999E-2</v>
      </c>
      <c r="AN31" s="3488">
        <f>Substances!AN71/1000</f>
        <v>4.4752991011166664E-4</v>
      </c>
      <c r="AO31" s="3488">
        <f>Substances!AO71/1000</f>
        <v>4.4752991011166664E-4</v>
      </c>
      <c r="AP31" s="3488">
        <f>Substances!AP71/1000</f>
        <v>4.4752991011166664E-4</v>
      </c>
      <c r="AQ31" s="3488">
        <f>Substances!AQ71/1000</f>
        <v>4.4752991011166664E-4</v>
      </c>
      <c r="AR31" s="3488">
        <f>Substances!AR71/1000</f>
        <v>4.4752991011166664E-4</v>
      </c>
      <c r="AS31" s="3488">
        <f>Substances!AS71/1000</f>
        <v>4.4752991011166664E-4</v>
      </c>
      <c r="AT31" s="3488">
        <f>Substances!AT71/1000</f>
        <v>4.4752991011166664E-4</v>
      </c>
      <c r="AU31" s="3488">
        <f>Substances!AU71/1000</f>
        <v>4.4752991011166664E-4</v>
      </c>
      <c r="AV31" s="3488">
        <f>Substances!AV71/1000</f>
        <v>4.4752991011166664E-4</v>
      </c>
      <c r="AW31" s="3488">
        <f>Substances!AW71/1000</f>
        <v>4.4752991011166664E-4</v>
      </c>
      <c r="AX31" s="3488">
        <f>Substances!AX71/1000</f>
        <v>4.4752991011166664E-4</v>
      </c>
      <c r="AY31" s="3488">
        <f>Substances!AY71/1000</f>
        <v>4.4752991011166664E-4</v>
      </c>
      <c r="AZ31" s="3488">
        <f>Substances!AZ71/1000</f>
        <v>4.4752991011166664E-4</v>
      </c>
      <c r="BA31" s="3488">
        <f>Substances!BA71/1000</f>
        <v>4.4752991011166664E-4</v>
      </c>
      <c r="BB31" s="3488">
        <f>Substances!BB71/1000</f>
        <v>4.4752991011166664E-4</v>
      </c>
      <c r="BC31" s="3488">
        <f>Substances!BC71/1000</f>
        <v>4.4752991011166664E-4</v>
      </c>
      <c r="BD31" s="3488">
        <f>Substances!BD71/1000</f>
        <v>1.5645318088332034E-4</v>
      </c>
      <c r="BE31" s="3488">
        <f>Substances!BE71/1000</f>
        <v>0</v>
      </c>
      <c r="BF31" s="3488">
        <f>Substances!BF71/1000</f>
        <v>0</v>
      </c>
      <c r="BG31" s="3488">
        <f>Substances!BG71/1000</f>
        <v>0</v>
      </c>
      <c r="BH31" s="3488">
        <f>Substances!BH71/1000</f>
        <v>0</v>
      </c>
      <c r="BI31" s="3488">
        <f>Substances!BI71/1000</f>
        <v>0</v>
      </c>
    </row>
    <row r="32" spans="1:61" s="345" customFormat="1" ht="13.15" customHeight="1">
      <c r="A32" s="3491"/>
      <c r="B32" s="583"/>
      <c r="C32" s="583"/>
      <c r="D32" s="4024"/>
      <c r="E32" s="3498" t="s">
        <v>656</v>
      </c>
      <c r="F32" s="493" t="s">
        <v>19</v>
      </c>
      <c r="G32" s="344" t="s">
        <v>18</v>
      </c>
      <c r="H32" s="719" t="str">
        <f t="shared" ref="H32:AM32" si="33">IF(H31=0,"nd",IF(H31&lt;H13,H31/H26,"PVL"))</f>
        <v>nd</v>
      </c>
      <c r="I32" s="719" t="str">
        <f t="shared" si="33"/>
        <v>nd</v>
      </c>
      <c r="J32" s="720" t="str">
        <f t="shared" si="33"/>
        <v>nd</v>
      </c>
      <c r="K32" s="719">
        <f t="shared" si="33"/>
        <v>6.7474391639365076E-3</v>
      </c>
      <c r="L32" s="719">
        <f t="shared" si="33"/>
        <v>9.5069987104584891E-2</v>
      </c>
      <c r="M32" s="719">
        <f t="shared" si="33"/>
        <v>9.5069987104584891E-2</v>
      </c>
      <c r="N32" s="720">
        <f t="shared" si="33"/>
        <v>0.10760591893278754</v>
      </c>
      <c r="O32" s="345">
        <f t="shared" si="33"/>
        <v>0.10760591893278754</v>
      </c>
      <c r="P32" s="720">
        <f t="shared" si="33"/>
        <v>0.1199562906395495</v>
      </c>
      <c r="Q32" s="720">
        <f t="shared" si="33"/>
        <v>0.1199562906395495</v>
      </c>
      <c r="R32" s="719">
        <f t="shared" si="33"/>
        <v>0.14151448202581743</v>
      </c>
      <c r="S32" s="720">
        <f t="shared" si="33"/>
        <v>2.0354402069204962E-2</v>
      </c>
      <c r="T32" s="720">
        <f t="shared" si="33"/>
        <v>2.0354402069204962E-2</v>
      </c>
      <c r="U32" s="720">
        <f t="shared" si="33"/>
        <v>0.22282665960017883</v>
      </c>
      <c r="V32" s="720">
        <f t="shared" si="33"/>
        <v>0.12300081894181439</v>
      </c>
      <c r="W32" s="720">
        <f t="shared" si="33"/>
        <v>0.12300081894181439</v>
      </c>
      <c r="X32" s="345">
        <f t="shared" si="33"/>
        <v>1.754223700777784E-2</v>
      </c>
      <c r="Y32" s="345">
        <f t="shared" si="33"/>
        <v>1.5601159508858542E-2</v>
      </c>
      <c r="Z32" s="345">
        <f t="shared" si="33"/>
        <v>2.7467644250260864E-2</v>
      </c>
      <c r="AA32" s="345">
        <f t="shared" si="33"/>
        <v>1.2461201679065631E-3</v>
      </c>
      <c r="AB32" s="345">
        <f t="shared" si="33"/>
        <v>6.315727857926912E-3</v>
      </c>
      <c r="AC32" s="345">
        <f t="shared" si="33"/>
        <v>8.5154918231512226E-3</v>
      </c>
      <c r="AD32" s="345">
        <f t="shared" si="33"/>
        <v>4.3505584443829494E-2</v>
      </c>
      <c r="AE32" s="345">
        <f t="shared" si="33"/>
        <v>0.34890349802377557</v>
      </c>
      <c r="AF32" s="345" t="str">
        <f t="shared" si="33"/>
        <v>PVL</v>
      </c>
      <c r="AG32" s="345">
        <f t="shared" si="33"/>
        <v>6.29011484708197E-3</v>
      </c>
      <c r="AH32" s="345">
        <f t="shared" si="33"/>
        <v>4.7819012449342634E-2</v>
      </c>
      <c r="AI32" s="345">
        <f t="shared" si="33"/>
        <v>9.5103001942881699E-3</v>
      </c>
      <c r="AJ32" s="345">
        <f t="shared" si="33"/>
        <v>1.5332408405335814E-2</v>
      </c>
      <c r="AK32" s="345">
        <f t="shared" si="33"/>
        <v>0.37132861944557133</v>
      </c>
      <c r="AL32" s="345" t="str">
        <f t="shared" si="33"/>
        <v>PVL</v>
      </c>
      <c r="AM32" s="345" t="str">
        <f t="shared" si="33"/>
        <v>PVL</v>
      </c>
      <c r="AN32" s="345">
        <f t="shared" ref="AN32:BI32" si="34">IF(AN31=0,"nd",IF(AN31&lt;AN13,AN31/AN26,"PVL"))</f>
        <v>0.10469744549099785</v>
      </c>
      <c r="AO32" s="345">
        <f t="shared" si="34"/>
        <v>0.38334241569623678</v>
      </c>
      <c r="AP32" s="345">
        <f t="shared" si="34"/>
        <v>0.22914151194741517</v>
      </c>
      <c r="AQ32" s="345">
        <f t="shared" si="34"/>
        <v>0.56590208573839795</v>
      </c>
      <c r="AR32" s="345">
        <f t="shared" si="34"/>
        <v>2.8264444973650038</v>
      </c>
      <c r="AS32" s="345" t="str">
        <f t="shared" si="34"/>
        <v>PVL</v>
      </c>
      <c r="AT32" s="345" t="str">
        <f t="shared" si="34"/>
        <v>PVL</v>
      </c>
      <c r="AU32" s="345" t="str">
        <f t="shared" si="34"/>
        <v>PVL</v>
      </c>
      <c r="AV32" s="345" t="str">
        <f t="shared" si="34"/>
        <v>PVL</v>
      </c>
      <c r="AW32" s="345" t="str">
        <f t="shared" si="34"/>
        <v>PVL</v>
      </c>
      <c r="AX32" s="345" t="str">
        <f t="shared" si="34"/>
        <v>PVL</v>
      </c>
      <c r="AY32" s="345" t="str">
        <f t="shared" si="34"/>
        <v>PVL</v>
      </c>
      <c r="AZ32" s="345" t="str">
        <f t="shared" si="34"/>
        <v>PVL</v>
      </c>
      <c r="BA32" s="345" t="str">
        <f t="shared" si="34"/>
        <v>PVL</v>
      </c>
      <c r="BB32" s="345" t="str">
        <f t="shared" si="34"/>
        <v>PVL</v>
      </c>
      <c r="BC32" s="345" t="str">
        <f t="shared" si="34"/>
        <v>PVL</v>
      </c>
      <c r="BD32" s="345">
        <f t="shared" si="34"/>
        <v>1.6724525926359499</v>
      </c>
      <c r="BE32" s="345" t="str">
        <f t="shared" si="34"/>
        <v>nd</v>
      </c>
      <c r="BF32" s="345" t="str">
        <f t="shared" si="34"/>
        <v>nd</v>
      </c>
      <c r="BG32" s="345" t="str">
        <f t="shared" si="34"/>
        <v>nd</v>
      </c>
      <c r="BH32" s="345" t="str">
        <f t="shared" si="34"/>
        <v>nd</v>
      </c>
      <c r="BI32" s="345" t="str">
        <f t="shared" si="34"/>
        <v>nd</v>
      </c>
    </row>
    <row r="33" spans="1:61" ht="13.15" customHeight="1">
      <c r="A33" s="3492"/>
      <c r="B33" s="115"/>
      <c r="C33" s="115"/>
      <c r="D33" s="4024"/>
      <c r="E33" s="3499"/>
      <c r="K33" s="192"/>
      <c r="O33" s="116"/>
      <c r="V33" s="175"/>
      <c r="X33" s="116"/>
    </row>
    <row r="34" spans="1:61" ht="13.15" customHeight="1">
      <c r="A34" s="3492"/>
      <c r="B34" s="115"/>
      <c r="C34" s="115"/>
      <c r="D34" s="4024"/>
      <c r="E34" s="3498" t="s">
        <v>1029</v>
      </c>
      <c r="F34" s="28" t="s">
        <v>109</v>
      </c>
      <c r="G34" s="118" t="s">
        <v>607</v>
      </c>
      <c r="H34" s="192">
        <v>6.5751525409740177</v>
      </c>
      <c r="I34" s="192">
        <v>6.5751525409740177</v>
      </c>
      <c r="J34" s="175">
        <v>7.2255549753349202</v>
      </c>
      <c r="K34" s="192">
        <v>3.0272338673593193</v>
      </c>
      <c r="L34" s="192">
        <v>2.7464263313404889</v>
      </c>
      <c r="M34" s="192">
        <v>2.7464263313404889</v>
      </c>
      <c r="N34" s="175">
        <v>1.1578694323504297</v>
      </c>
      <c r="O34" s="116">
        <v>1.1578694323504297</v>
      </c>
      <c r="P34" s="175">
        <v>0.58639115645366391</v>
      </c>
      <c r="Q34" s="175">
        <v>0.58639115645366391</v>
      </c>
      <c r="R34" s="220">
        <v>5.2006415438648377</v>
      </c>
      <c r="S34" s="175">
        <v>1.9559172056005136</v>
      </c>
      <c r="T34" s="175">
        <v>1.9559172056005136</v>
      </c>
      <c r="U34" s="175">
        <v>1.4776123903656158</v>
      </c>
      <c r="V34" s="175">
        <v>1.2554746129825747</v>
      </c>
      <c r="W34" s="175">
        <v>1.2554746129825747</v>
      </c>
      <c r="X34" s="116">
        <v>1.9285163281049114</v>
      </c>
      <c r="Y34" s="116">
        <v>0.72982335716675384</v>
      </c>
      <c r="Z34" s="116">
        <v>0.27381374687834048</v>
      </c>
      <c r="AA34" s="116">
        <v>0.24585650174649937</v>
      </c>
      <c r="AB34" s="116">
        <v>0.10302170396620224</v>
      </c>
      <c r="AC34" s="116">
        <v>6.5688699487561106E-2</v>
      </c>
      <c r="AD34" s="116">
        <v>3.3099831654793591E-2</v>
      </c>
      <c r="AE34" s="116">
        <v>1.662923241680395E-2</v>
      </c>
      <c r="AF34" s="116">
        <v>1.3236465880288517E-3</v>
      </c>
      <c r="AG34" s="116">
        <v>0.10753494404672387</v>
      </c>
      <c r="AH34" s="116">
        <v>3.2587694052394769E-2</v>
      </c>
      <c r="AI34" s="116">
        <v>4.9866194138481609E-3</v>
      </c>
      <c r="AJ34" s="116">
        <v>6.5648450781579011E-4</v>
      </c>
      <c r="AK34" s="116">
        <v>3.317772902740741E-5</v>
      </c>
      <c r="AL34" s="116">
        <v>2.6410327788878592E-7</v>
      </c>
      <c r="AM34" s="116">
        <v>8.950519256850619E-10</v>
      </c>
      <c r="AN34" s="116">
        <v>0.19238573185327995</v>
      </c>
      <c r="AO34" s="116">
        <v>5.9688003642400733E-2</v>
      </c>
      <c r="AP34" s="116">
        <v>6.937705234665105E-2</v>
      </c>
      <c r="AQ34" s="116">
        <v>4.2492149858594626E-2</v>
      </c>
      <c r="AR34" s="116">
        <v>2.0419202969899561E-2</v>
      </c>
      <c r="AS34" s="116">
        <v>2.1610619285431905E-2</v>
      </c>
      <c r="AT34" s="116">
        <v>5.9904133402537037E-3</v>
      </c>
      <c r="AU34" s="116">
        <v>6.4794795646765276E-3</v>
      </c>
      <c r="AV34" s="116">
        <v>1.633630933942575E-3</v>
      </c>
      <c r="AW34" s="116">
        <v>2.0469431308816149E-3</v>
      </c>
      <c r="AX34" s="116">
        <v>2.0074946432097388E-3</v>
      </c>
      <c r="AY34" s="116">
        <v>1.3771575451897839E-3</v>
      </c>
      <c r="AZ34" s="116">
        <v>1.2720488456681703E-3</v>
      </c>
      <c r="BA34" s="116">
        <v>3.3398646236973021E-4</v>
      </c>
      <c r="BB34" s="116">
        <v>5.3586738952295066E-4</v>
      </c>
      <c r="BC34" s="116">
        <v>2.0832754645704274E-4</v>
      </c>
      <c r="BD34" s="116">
        <v>4.8910450378986434</v>
      </c>
      <c r="BE34" s="116">
        <v>1.0184692666869452E-3</v>
      </c>
      <c r="BF34" s="116">
        <v>1.0184692666869452E-3</v>
      </c>
      <c r="BG34" s="116">
        <v>12.600000000000001</v>
      </c>
      <c r="BH34" s="116">
        <v>7.1595192555441125</v>
      </c>
      <c r="BI34" s="116">
        <v>6.1605169370570074</v>
      </c>
    </row>
    <row r="35" spans="1:61" s="3" customFormat="1" ht="13.15" customHeight="1">
      <c r="A35" s="50"/>
      <c r="D35" s="4024"/>
      <c r="E35" s="3500" t="s">
        <v>1028</v>
      </c>
      <c r="G35" s="2101" t="s">
        <v>35</v>
      </c>
      <c r="H35" s="3">
        <f t="shared" ref="H35:AM35" si="35">H25/H34</f>
        <v>1.114203677483629</v>
      </c>
      <c r="I35" s="3">
        <f t="shared" si="35"/>
        <v>1.114203677483629</v>
      </c>
      <c r="J35" s="3">
        <f t="shared" si="35"/>
        <v>1.0294018985216711</v>
      </c>
      <c r="K35" s="3">
        <f t="shared" si="35"/>
        <v>1.1364401341171635</v>
      </c>
      <c r="L35" s="3">
        <f t="shared" si="35"/>
        <v>1.9552497554026853</v>
      </c>
      <c r="M35" s="3">
        <f t="shared" si="35"/>
        <v>1.9552497554026853</v>
      </c>
      <c r="N35" s="3">
        <f t="shared" si="35"/>
        <v>2.8650588119386651</v>
      </c>
      <c r="O35" s="3">
        <f t="shared" si="35"/>
        <v>2.8650588119386651</v>
      </c>
      <c r="P35" s="3">
        <f t="shared" si="35"/>
        <v>3.5563940007466872</v>
      </c>
      <c r="Q35" s="3">
        <f t="shared" si="35"/>
        <v>3.5563940007466872</v>
      </c>
      <c r="R35" s="3">
        <f t="shared" si="35"/>
        <v>1.1565503994865238</v>
      </c>
      <c r="S35" s="3">
        <f t="shared" si="35"/>
        <v>2.4382164508968378</v>
      </c>
      <c r="T35" s="3">
        <f t="shared" si="35"/>
        <v>2.4382164508968378</v>
      </c>
      <c r="U35" s="3">
        <f t="shared" si="35"/>
        <v>2.0957650458865205</v>
      </c>
      <c r="V35" s="3">
        <f t="shared" si="35"/>
        <v>1.2204427640169995</v>
      </c>
      <c r="W35" s="3">
        <f t="shared" si="35"/>
        <v>1.2204427640169995</v>
      </c>
      <c r="X35" s="3">
        <f t="shared" si="35"/>
        <v>2.3727882855399636</v>
      </c>
      <c r="Y35" s="3">
        <f t="shared" si="35"/>
        <v>3.7673851497077151</v>
      </c>
      <c r="Z35" s="3">
        <f t="shared" si="35"/>
        <v>4.8736949369718783</v>
      </c>
      <c r="AA35" s="3">
        <f t="shared" si="35"/>
        <v>5.0186615959741356</v>
      </c>
      <c r="AB35" s="3">
        <f t="shared" si="35"/>
        <v>5.4463853767259751</v>
      </c>
      <c r="AC35" s="3">
        <f t="shared" si="35"/>
        <v>5.7147025522520787</v>
      </c>
      <c r="AD35" s="3">
        <f t="shared" si="35"/>
        <v>5.8637494382706006</v>
      </c>
      <c r="AE35" s="3">
        <f t="shared" si="35"/>
        <v>5.9333666609658868</v>
      </c>
      <c r="AF35" s="3">
        <f t="shared" si="35"/>
        <v>5.9947065405177291</v>
      </c>
      <c r="AG35" s="3">
        <f t="shared" si="35"/>
        <v>1.7454755004397569</v>
      </c>
      <c r="AH35" s="3">
        <f t="shared" si="35"/>
        <v>2.8463246578218673</v>
      </c>
      <c r="AI35" s="3">
        <f t="shared" si="35"/>
        <v>4.7270988764592872</v>
      </c>
      <c r="AJ35" s="3">
        <f t="shared" si="35"/>
        <v>5.6982415447934311</v>
      </c>
      <c r="AK35" s="3">
        <f t="shared" si="35"/>
        <v>5.9316453137386809</v>
      </c>
      <c r="AL35" s="3">
        <f t="shared" si="35"/>
        <v>5.9948269832060026</v>
      </c>
      <c r="AM35" s="3">
        <f t="shared" si="35"/>
        <v>5.9999641945564379</v>
      </c>
      <c r="AN35" s="3">
        <f t="shared" ref="AN35:BI35" si="36">AN25/AN34</f>
        <v>5.3154108571101348</v>
      </c>
      <c r="AO35" s="3">
        <f t="shared" si="36"/>
        <v>5.7696363229788794</v>
      </c>
      <c r="AP35" s="3">
        <f t="shared" si="36"/>
        <v>5.7335150366668417</v>
      </c>
      <c r="AQ35" s="3">
        <f t="shared" si="36"/>
        <v>5.8342009553372716</v>
      </c>
      <c r="AR35" s="3">
        <f t="shared" si="36"/>
        <v>5.9193159660932224</v>
      </c>
      <c r="AS35" s="3">
        <f t="shared" si="36"/>
        <v>5.9146508148052215</v>
      </c>
      <c r="AT35" s="3">
        <f t="shared" si="36"/>
        <v>5.9761237468085806</v>
      </c>
      <c r="AU35" s="3">
        <f t="shared" si="36"/>
        <v>5.9741840236269805</v>
      </c>
      <c r="AV35" s="3">
        <f t="shared" si="36"/>
        <v>5.9934710594357332</v>
      </c>
      <c r="AW35" s="3">
        <f t="shared" si="36"/>
        <v>5.9918219157351666</v>
      </c>
      <c r="AX35" s="3">
        <f t="shared" si="36"/>
        <v>5.9919807020878988</v>
      </c>
      <c r="AY35" s="3">
        <f t="shared" si="36"/>
        <v>5.9944963871607628</v>
      </c>
      <c r="AZ35" s="3">
        <f t="shared" si="36"/>
        <v>5.9949160921949582</v>
      </c>
      <c r="BA35" s="3">
        <f t="shared" si="36"/>
        <v>5.9986643474433281</v>
      </c>
      <c r="BB35" s="3">
        <f t="shared" si="36"/>
        <v>5.9978572310113245</v>
      </c>
      <c r="BC35" s="3">
        <f t="shared" si="36"/>
        <v>5.9991668055323943</v>
      </c>
      <c r="BD35" s="3">
        <f t="shared" si="36"/>
        <v>1.4055327464996221</v>
      </c>
      <c r="BE35" s="3">
        <f t="shared" si="36"/>
        <v>5.9959275038966107</v>
      </c>
      <c r="BF35" s="3">
        <f t="shared" si="36"/>
        <v>5.9959275038966107</v>
      </c>
      <c r="BG35" s="3">
        <f t="shared" si="36"/>
        <v>1</v>
      </c>
      <c r="BH35" s="3">
        <f t="shared" si="36"/>
        <v>1.039304331652477</v>
      </c>
      <c r="BI35" s="3">
        <f t="shared" si="36"/>
        <v>1.1747297944184807</v>
      </c>
    </row>
    <row r="36" spans="1:61" ht="13.15" customHeight="1">
      <c r="A36" s="3492"/>
      <c r="B36" s="115"/>
      <c r="C36" s="115"/>
      <c r="D36" s="4024"/>
      <c r="E36" s="3499"/>
      <c r="K36" s="192"/>
      <c r="O36" s="116"/>
      <c r="V36" s="175"/>
      <c r="X36" s="116"/>
    </row>
    <row r="37" spans="1:61" ht="25.5">
      <c r="A37" s="3492"/>
      <c r="B37" s="115"/>
      <c r="C37" s="115"/>
      <c r="D37" s="4024"/>
      <c r="E37" s="3501" t="s">
        <v>1031</v>
      </c>
      <c r="F37" s="28" t="s">
        <v>107</v>
      </c>
      <c r="G37" s="118" t="s">
        <v>18</v>
      </c>
      <c r="H37" s="192">
        <v>9611.9443018485163</v>
      </c>
      <c r="I37" s="192">
        <v>9611.9443018485163</v>
      </c>
      <c r="J37" s="175">
        <v>38059.360275956264</v>
      </c>
      <c r="K37" s="192">
        <v>528.5353131291746</v>
      </c>
      <c r="L37" s="192">
        <v>291.28762380075642</v>
      </c>
      <c r="M37" s="192">
        <v>291.28762380075642</v>
      </c>
      <c r="N37" s="175">
        <v>924.11110450333058</v>
      </c>
      <c r="O37" s="116">
        <v>924.11110450333058</v>
      </c>
      <c r="P37" s="175">
        <v>255.80194781101352</v>
      </c>
      <c r="Q37" s="175">
        <v>255.80194781101352</v>
      </c>
      <c r="R37" s="220">
        <v>2499.6916034976521</v>
      </c>
      <c r="S37" s="175">
        <v>4192.4064968191751</v>
      </c>
      <c r="T37" s="175">
        <v>4192.4064968191751</v>
      </c>
      <c r="U37" s="175">
        <v>541.4139765043866</v>
      </c>
      <c r="V37" s="175">
        <v>350.46507149572045</v>
      </c>
      <c r="W37" s="175">
        <v>350.46507149572045</v>
      </c>
      <c r="X37" s="116">
        <v>933.36</v>
      </c>
      <c r="Y37" s="116">
        <v>685.09728428129415</v>
      </c>
      <c r="Z37" s="116">
        <v>620.85998945675112</v>
      </c>
      <c r="AA37" s="116">
        <v>732.13439026963999</v>
      </c>
      <c r="AB37" s="116">
        <v>630.93501172650178</v>
      </c>
      <c r="AC37" s="116">
        <v>380.58296472643718</v>
      </c>
      <c r="AD37" s="116">
        <v>175.22747730229108</v>
      </c>
      <c r="AE37" s="116">
        <v>39.087793333333337</v>
      </c>
      <c r="AF37" s="116">
        <v>4.9862252203049078</v>
      </c>
      <c r="AG37" s="116">
        <v>334.77489870044496</v>
      </c>
      <c r="AH37" s="116">
        <v>165.70672325933324</v>
      </c>
      <c r="AI37" s="116">
        <v>86.230763632344292</v>
      </c>
      <c r="AJ37" s="116">
        <v>51.791016536128865</v>
      </c>
      <c r="AK37" s="116">
        <v>22.906932520070328</v>
      </c>
      <c r="AL37" s="116">
        <v>9.4659938338696126</v>
      </c>
      <c r="AM37" s="116">
        <v>335.17608463931703</v>
      </c>
      <c r="AN37" s="116">
        <v>155.93672000000001</v>
      </c>
      <c r="AO37" s="116">
        <v>269.73594386666667</v>
      </c>
      <c r="AP37" s="116">
        <v>54.773154399999996</v>
      </c>
      <c r="AQ37" s="116">
        <v>44.714141466666661</v>
      </c>
      <c r="AR37" s="116">
        <v>53.870858800000008</v>
      </c>
      <c r="AS37" s="116">
        <v>2.0823096000000003</v>
      </c>
      <c r="AT37" s="116">
        <v>43.402681122666671</v>
      </c>
      <c r="AU37" s="116">
        <v>20.372006529600004</v>
      </c>
      <c r="AV37" s="116">
        <v>6.7334670098666658</v>
      </c>
      <c r="AW37" s="116">
        <v>0.73280003599999999</v>
      </c>
      <c r="AX37" s="116">
        <v>0.74720000129200004</v>
      </c>
      <c r="AY37" s="116">
        <v>0.58090666735573326</v>
      </c>
      <c r="AZ37" s="116">
        <v>0.23584000018679999</v>
      </c>
      <c r="BA37" s="116">
        <v>1.4970666668713333</v>
      </c>
      <c r="BB37" s="116">
        <v>5.5984000121200008</v>
      </c>
      <c r="BC37" s="116">
        <v>297.60826666666685</v>
      </c>
      <c r="BD37" s="116">
        <v>16765.333249769039</v>
      </c>
      <c r="BE37" s="116">
        <v>220.91977378160789</v>
      </c>
      <c r="BF37" s="116">
        <v>220.91977378160789</v>
      </c>
      <c r="BG37" s="116">
        <v>0</v>
      </c>
      <c r="BH37" s="116">
        <v>838.04509574491101</v>
      </c>
      <c r="BI37" s="116">
        <v>162324.04037147545</v>
      </c>
    </row>
    <row r="38" spans="1:61" s="3496" customFormat="1" ht="13.15" customHeight="1">
      <c r="A38" s="3493"/>
      <c r="B38" s="3494"/>
      <c r="C38" s="3494"/>
      <c r="D38" s="4025"/>
      <c r="E38" s="3502" t="s">
        <v>1032</v>
      </c>
      <c r="F38" s="1774"/>
      <c r="G38" s="3495"/>
      <c r="H38" s="1774">
        <f t="shared" ref="H38:AM38" si="37">H37/H24</f>
        <v>1.114203677483629</v>
      </c>
      <c r="I38" s="1774">
        <f t="shared" si="37"/>
        <v>1.114203677483629</v>
      </c>
      <c r="J38" s="1774">
        <f t="shared" si="37"/>
        <v>0.80194198893331303</v>
      </c>
      <c r="K38" s="1774">
        <f t="shared" si="37"/>
        <v>1.1364401341171635</v>
      </c>
      <c r="L38" s="1774">
        <f t="shared" si="37"/>
        <v>1.9552497554026851</v>
      </c>
      <c r="M38" s="1774">
        <f t="shared" si="37"/>
        <v>1.9552497554026851</v>
      </c>
      <c r="N38" s="1774">
        <f t="shared" si="37"/>
        <v>2.8650588119386646</v>
      </c>
      <c r="O38" s="1774">
        <f t="shared" si="37"/>
        <v>2.8650588119386646</v>
      </c>
      <c r="P38" s="1774">
        <f t="shared" si="37"/>
        <v>3.5563940007466868</v>
      </c>
      <c r="Q38" s="1774">
        <f t="shared" si="37"/>
        <v>3.5563940007466868</v>
      </c>
      <c r="R38" s="1774">
        <f t="shared" si="37"/>
        <v>0.89494971388838152</v>
      </c>
      <c r="S38" s="1774">
        <f t="shared" si="37"/>
        <v>2.4382164508968374</v>
      </c>
      <c r="T38" s="1774">
        <f t="shared" si="37"/>
        <v>2.4382164508968374</v>
      </c>
      <c r="U38" s="1774">
        <f t="shared" si="37"/>
        <v>2.0957650458865205</v>
      </c>
      <c r="V38" s="1774">
        <f t="shared" si="37"/>
        <v>0.41627505129261999</v>
      </c>
      <c r="W38" s="1774">
        <f t="shared" si="37"/>
        <v>0.41627505129261999</v>
      </c>
      <c r="X38" s="1774">
        <f t="shared" si="37"/>
        <v>2.3727882855399636</v>
      </c>
      <c r="Y38" s="1774">
        <f t="shared" si="37"/>
        <v>3.7673851497077155</v>
      </c>
      <c r="Z38" s="1774">
        <f t="shared" si="37"/>
        <v>4.8736949369718783</v>
      </c>
      <c r="AA38" s="1774">
        <f t="shared" si="37"/>
        <v>5.0186615959741365</v>
      </c>
      <c r="AB38" s="1774">
        <f t="shared" si="37"/>
        <v>5.446385376725976</v>
      </c>
      <c r="AC38" s="1774">
        <f t="shared" si="37"/>
        <v>5.7147025522520796</v>
      </c>
      <c r="AD38" s="1774">
        <f t="shared" si="37"/>
        <v>5.8637494382705997</v>
      </c>
      <c r="AE38" s="1774">
        <f t="shared" si="37"/>
        <v>5.9333666609658877</v>
      </c>
      <c r="AF38" s="1774">
        <f t="shared" si="37"/>
        <v>5.9947065405177291</v>
      </c>
      <c r="AG38" s="1774">
        <f t="shared" si="37"/>
        <v>1.7454755004397569</v>
      </c>
      <c r="AH38" s="1774">
        <f t="shared" si="37"/>
        <v>2.8463246578218673</v>
      </c>
      <c r="AI38" s="1774">
        <f t="shared" si="37"/>
        <v>4.7270988764592881</v>
      </c>
      <c r="AJ38" s="1774">
        <f t="shared" si="37"/>
        <v>5.698241544793432</v>
      </c>
      <c r="AK38" s="1774">
        <f t="shared" si="37"/>
        <v>5.9316453137386818</v>
      </c>
      <c r="AL38" s="1774">
        <f t="shared" si="37"/>
        <v>5.9948269832060026</v>
      </c>
      <c r="AM38" s="1774">
        <f t="shared" si="37"/>
        <v>5.9999641945564388</v>
      </c>
      <c r="AN38" s="1774">
        <f t="shared" ref="AN38:BI38" si="38">AN37/AN24</f>
        <v>5.3154108571101348</v>
      </c>
      <c r="AO38" s="1774">
        <f t="shared" si="38"/>
        <v>5.7696363229788785</v>
      </c>
      <c r="AP38" s="1774">
        <f t="shared" si="38"/>
        <v>5.7335150366668417</v>
      </c>
      <c r="AQ38" s="1774">
        <f t="shared" si="38"/>
        <v>5.8342009553372716</v>
      </c>
      <c r="AR38" s="1774">
        <f t="shared" si="38"/>
        <v>5.9193159660932224</v>
      </c>
      <c r="AS38" s="1774">
        <f t="shared" si="38"/>
        <v>5.9146508148052215</v>
      </c>
      <c r="AT38" s="1774">
        <f t="shared" si="38"/>
        <v>5.9761237468085806</v>
      </c>
      <c r="AU38" s="1774">
        <f t="shared" si="38"/>
        <v>5.9741840236269805</v>
      </c>
      <c r="AV38" s="1774">
        <f t="shared" si="38"/>
        <v>5.9934710594357332</v>
      </c>
      <c r="AW38" s="1774">
        <f t="shared" si="38"/>
        <v>5.9918219157351666</v>
      </c>
      <c r="AX38" s="1774">
        <f t="shared" si="38"/>
        <v>5.9919807020878979</v>
      </c>
      <c r="AY38" s="1774">
        <f t="shared" si="38"/>
        <v>5.9944963871607628</v>
      </c>
      <c r="AZ38" s="1774">
        <f t="shared" si="38"/>
        <v>5.9949160921949582</v>
      </c>
      <c r="BA38" s="1774">
        <f t="shared" si="38"/>
        <v>5.9986643474433281</v>
      </c>
      <c r="BB38" s="1774">
        <f t="shared" si="38"/>
        <v>5.9978572310113245</v>
      </c>
      <c r="BC38" s="1774">
        <f t="shared" si="38"/>
        <v>5.9991668055323943</v>
      </c>
      <c r="BD38" s="1774">
        <f t="shared" si="38"/>
        <v>1.3802836552451379</v>
      </c>
      <c r="BE38" s="1774">
        <f t="shared" si="38"/>
        <v>5.9959275038966116</v>
      </c>
      <c r="BF38" s="1774">
        <f t="shared" si="38"/>
        <v>5.9959275038966116</v>
      </c>
      <c r="BG38" s="1774" t="e">
        <f t="shared" si="38"/>
        <v>#DIV/0!</v>
      </c>
      <c r="BH38" s="1774">
        <f t="shared" si="38"/>
        <v>1.039304331652477</v>
      </c>
      <c r="BI38" s="1774">
        <f t="shared" si="38"/>
        <v>1.1747297944184807</v>
      </c>
    </row>
    <row r="39" spans="1:61" ht="13.15" customHeight="1">
      <c r="A39" s="116"/>
      <c r="B39" s="115"/>
      <c r="C39" s="115"/>
      <c r="D39" s="115"/>
      <c r="K39" s="192"/>
      <c r="O39" s="116"/>
      <c r="V39" s="175"/>
      <c r="X39" s="116"/>
    </row>
    <row r="40" spans="1:61" ht="13.15" customHeight="1">
      <c r="A40" s="116"/>
      <c r="B40" s="115"/>
      <c r="C40" s="115"/>
      <c r="D40" s="115"/>
      <c r="K40" s="192"/>
      <c r="O40" s="116"/>
      <c r="V40" s="175"/>
      <c r="X40" s="116"/>
    </row>
    <row r="41" spans="1:61" ht="13.15" customHeight="1">
      <c r="A41" s="116"/>
      <c r="B41" s="115"/>
      <c r="C41" s="115"/>
      <c r="D41" s="115"/>
      <c r="K41" s="192"/>
      <c r="O41" s="116"/>
      <c r="V41" s="175"/>
      <c r="X41" s="116"/>
    </row>
    <row r="42" spans="1:61" ht="13.15" customHeight="1">
      <c r="A42" s="116"/>
      <c r="B42" s="115"/>
      <c r="C42" s="115"/>
      <c r="D42" s="115"/>
      <c r="K42" s="192"/>
      <c r="O42" s="116"/>
      <c r="V42" s="175"/>
      <c r="X42" s="116"/>
    </row>
    <row r="43" spans="1:61" ht="13.15" customHeight="1">
      <c r="A43" s="116"/>
      <c r="B43" s="115"/>
      <c r="C43" s="115"/>
      <c r="D43" s="115"/>
      <c r="K43" s="192"/>
      <c r="O43" s="116"/>
      <c r="V43" s="175"/>
      <c r="X43" s="116"/>
    </row>
    <row r="44" spans="1:61" ht="13.15" customHeight="1">
      <c r="A44" s="116"/>
      <c r="B44" s="115"/>
      <c r="C44" s="115"/>
      <c r="D44" s="115"/>
      <c r="K44" s="192"/>
      <c r="O44" s="116"/>
      <c r="V44" s="175"/>
      <c r="X44" s="116"/>
    </row>
    <row r="45" spans="1:61" ht="13.15" customHeight="1">
      <c r="A45" s="116"/>
      <c r="B45" s="115"/>
      <c r="C45" s="115"/>
      <c r="D45" s="115"/>
      <c r="K45" s="192"/>
      <c r="O45" s="116"/>
      <c r="V45" s="175"/>
      <c r="X45" s="116"/>
    </row>
    <row r="46" spans="1:61" ht="13.15" customHeight="1">
      <c r="A46" s="116"/>
      <c r="B46" s="115"/>
      <c r="C46" s="115"/>
      <c r="D46" s="115"/>
      <c r="K46" s="192"/>
      <c r="O46" s="116"/>
      <c r="V46" s="175"/>
      <c r="X46" s="116"/>
    </row>
    <row r="47" spans="1:61" ht="13.15" customHeight="1">
      <c r="A47" s="116"/>
      <c r="B47" s="115"/>
      <c r="C47" s="115"/>
      <c r="D47" s="115"/>
      <c r="K47" s="192"/>
      <c r="O47" s="116"/>
      <c r="V47" s="175"/>
      <c r="X47" s="116"/>
    </row>
    <row r="48" spans="1:61" ht="13.15" customHeight="1">
      <c r="A48" s="116"/>
      <c r="B48" s="115"/>
      <c r="C48" s="115"/>
      <c r="D48" s="115"/>
      <c r="K48" s="192"/>
      <c r="O48" s="116"/>
      <c r="V48" s="175"/>
      <c r="X48" s="116"/>
    </row>
    <row r="49" spans="1:24" s="112" customFormat="1" ht="13.15" customHeight="1">
      <c r="A49" s="116"/>
      <c r="B49" s="115"/>
      <c r="C49" s="115"/>
      <c r="D49" s="115"/>
      <c r="E49" s="177"/>
      <c r="F49" s="28"/>
      <c r="G49" s="118"/>
      <c r="H49" s="192"/>
      <c r="I49" s="192"/>
      <c r="J49" s="175"/>
      <c r="K49" s="192"/>
      <c r="L49" s="192"/>
      <c r="M49" s="192"/>
      <c r="N49" s="175"/>
      <c r="O49" s="116"/>
      <c r="P49" s="175"/>
      <c r="Q49" s="175"/>
      <c r="R49" s="220"/>
      <c r="S49" s="175"/>
      <c r="T49" s="175"/>
      <c r="U49" s="175"/>
      <c r="V49" s="175"/>
      <c r="W49" s="175"/>
      <c r="X49" s="116"/>
    </row>
    <row r="50" spans="1:24" s="112" customFormat="1" ht="13.15" customHeight="1">
      <c r="A50" s="116"/>
      <c r="B50" s="115"/>
      <c r="C50" s="115"/>
      <c r="D50" s="115"/>
      <c r="E50" s="177"/>
      <c r="F50" s="28"/>
      <c r="G50" s="118"/>
      <c r="H50" s="192"/>
      <c r="I50" s="192"/>
      <c r="J50" s="175"/>
      <c r="K50" s="192"/>
      <c r="L50" s="192"/>
      <c r="M50" s="192"/>
      <c r="N50" s="175"/>
      <c r="O50" s="116"/>
      <c r="P50" s="175"/>
      <c r="Q50" s="175"/>
      <c r="R50" s="220"/>
      <c r="S50" s="175"/>
      <c r="T50" s="175"/>
      <c r="U50" s="175"/>
      <c r="V50" s="175"/>
      <c r="W50" s="175"/>
      <c r="X50" s="116"/>
    </row>
    <row r="51" spans="1:24" s="112" customFormat="1" ht="13.15" customHeight="1">
      <c r="A51" s="116"/>
      <c r="B51" s="115"/>
      <c r="C51" s="115"/>
      <c r="D51" s="115"/>
      <c r="E51" s="177"/>
      <c r="F51" s="28"/>
      <c r="G51" s="118"/>
      <c r="H51" s="192"/>
      <c r="I51" s="192"/>
      <c r="J51" s="175"/>
      <c r="K51" s="192"/>
      <c r="L51" s="192"/>
      <c r="M51" s="192"/>
      <c r="N51" s="175"/>
      <c r="O51" s="116"/>
      <c r="P51" s="175"/>
      <c r="Q51" s="175"/>
      <c r="R51" s="220"/>
      <c r="S51" s="175"/>
      <c r="T51" s="175"/>
      <c r="U51" s="175"/>
      <c r="V51" s="175"/>
      <c r="W51" s="175"/>
      <c r="X51" s="116"/>
    </row>
    <row r="52" spans="1:24" s="112" customFormat="1" ht="13.15" customHeight="1">
      <c r="A52" s="116"/>
      <c r="B52" s="115"/>
      <c r="C52" s="115"/>
      <c r="D52" s="115"/>
      <c r="E52" s="177"/>
      <c r="F52" s="28"/>
      <c r="G52" s="118"/>
      <c r="H52" s="192"/>
      <c r="I52" s="192"/>
      <c r="J52" s="175"/>
      <c r="K52" s="192"/>
      <c r="L52" s="192"/>
      <c r="M52" s="192"/>
      <c r="N52" s="175"/>
      <c r="O52" s="116"/>
      <c r="P52" s="175"/>
      <c r="Q52" s="175"/>
      <c r="R52" s="220"/>
      <c r="S52" s="175"/>
      <c r="T52" s="175"/>
      <c r="U52" s="175"/>
      <c r="V52" s="175"/>
      <c r="W52" s="175"/>
      <c r="X52" s="116"/>
    </row>
    <row r="53" spans="1:24" s="112" customFormat="1" ht="13.15" customHeight="1">
      <c r="A53" s="116"/>
      <c r="B53" s="115"/>
      <c r="C53" s="115"/>
      <c r="D53" s="115"/>
      <c r="E53" s="177"/>
      <c r="F53" s="28"/>
      <c r="G53" s="118"/>
      <c r="H53" s="192"/>
      <c r="I53" s="192"/>
      <c r="J53" s="175"/>
      <c r="K53" s="192"/>
      <c r="L53" s="192"/>
      <c r="M53" s="192"/>
      <c r="N53" s="175"/>
      <c r="O53" s="116"/>
      <c r="P53" s="175"/>
      <c r="Q53" s="175"/>
      <c r="R53" s="220"/>
      <c r="S53" s="175"/>
      <c r="T53" s="175"/>
      <c r="U53" s="175"/>
      <c r="V53" s="175"/>
      <c r="W53" s="175"/>
      <c r="X53" s="116"/>
    </row>
    <row r="54" spans="1:24" s="112" customFormat="1" ht="13.15" customHeight="1">
      <c r="A54" s="116"/>
      <c r="B54" s="115"/>
      <c r="C54" s="115"/>
      <c r="D54" s="115"/>
      <c r="E54" s="177"/>
      <c r="F54" s="28"/>
      <c r="G54" s="118"/>
      <c r="H54" s="192"/>
      <c r="I54" s="192"/>
      <c r="J54" s="175"/>
      <c r="K54" s="192"/>
      <c r="L54" s="192"/>
      <c r="M54" s="192"/>
      <c r="N54" s="175"/>
      <c r="O54" s="116"/>
      <c r="P54" s="175"/>
      <c r="Q54" s="175"/>
      <c r="R54" s="220"/>
      <c r="S54" s="175"/>
      <c r="T54" s="175"/>
      <c r="U54" s="175"/>
      <c r="V54" s="175"/>
      <c r="W54" s="175"/>
      <c r="X54" s="116"/>
    </row>
    <row r="55" spans="1:24" s="112" customFormat="1" ht="13.15" customHeight="1">
      <c r="A55" s="116"/>
      <c r="B55" s="115"/>
      <c r="C55" s="115"/>
      <c r="D55" s="115"/>
      <c r="E55" s="177"/>
      <c r="F55" s="28"/>
      <c r="G55" s="118"/>
      <c r="H55" s="192"/>
      <c r="I55" s="192"/>
      <c r="J55" s="175"/>
      <c r="K55" s="192"/>
      <c r="L55" s="192"/>
      <c r="M55" s="192"/>
      <c r="N55" s="175"/>
      <c r="O55" s="116"/>
      <c r="P55" s="175"/>
      <c r="Q55" s="175"/>
      <c r="R55" s="220"/>
      <c r="S55" s="175"/>
      <c r="T55" s="175"/>
      <c r="U55" s="175"/>
      <c r="V55" s="175"/>
      <c r="W55" s="175"/>
      <c r="X55" s="116"/>
    </row>
    <row r="56" spans="1:24" s="112" customFormat="1" ht="13.15" customHeight="1">
      <c r="A56" s="116"/>
      <c r="B56" s="115"/>
      <c r="C56" s="115"/>
      <c r="D56" s="115"/>
      <c r="E56" s="177"/>
      <c r="F56" s="28"/>
      <c r="G56" s="118"/>
      <c r="H56" s="192"/>
      <c r="I56" s="192"/>
      <c r="J56" s="175"/>
      <c r="K56" s="192"/>
      <c r="L56" s="192"/>
      <c r="M56" s="192"/>
      <c r="N56" s="175"/>
      <c r="O56" s="116"/>
      <c r="P56" s="175"/>
      <c r="Q56" s="175"/>
      <c r="R56" s="220"/>
      <c r="S56" s="175"/>
      <c r="T56" s="175"/>
      <c r="U56" s="175"/>
      <c r="V56" s="175"/>
      <c r="W56" s="175"/>
      <c r="X56" s="116"/>
    </row>
    <row r="57" spans="1:24" s="112" customFormat="1" ht="13.15" customHeight="1">
      <c r="A57" s="116"/>
      <c r="B57" s="115"/>
      <c r="C57" s="115"/>
      <c r="D57" s="115"/>
      <c r="E57" s="177"/>
      <c r="F57" s="28"/>
      <c r="G57" s="118"/>
      <c r="H57" s="192"/>
      <c r="I57" s="192"/>
      <c r="J57" s="175"/>
      <c r="K57" s="192"/>
      <c r="L57" s="192"/>
      <c r="M57" s="192"/>
      <c r="N57" s="175"/>
      <c r="O57" s="116"/>
      <c r="P57" s="175"/>
      <c r="Q57" s="175"/>
      <c r="R57" s="220"/>
      <c r="S57" s="175"/>
      <c r="T57" s="175"/>
      <c r="U57" s="175"/>
      <c r="V57" s="175"/>
      <c r="W57" s="175"/>
      <c r="X57" s="116"/>
    </row>
    <row r="58" spans="1:24" s="112" customFormat="1" ht="13.15" customHeight="1">
      <c r="A58" s="116"/>
      <c r="B58" s="115"/>
      <c r="C58" s="115"/>
      <c r="D58" s="115"/>
      <c r="E58" s="177"/>
      <c r="F58" s="28"/>
      <c r="G58" s="118"/>
      <c r="H58" s="192"/>
      <c r="I58" s="192"/>
      <c r="J58" s="175"/>
      <c r="K58" s="192"/>
      <c r="L58" s="192"/>
      <c r="M58" s="192"/>
      <c r="N58" s="175"/>
      <c r="O58" s="116"/>
      <c r="P58" s="175"/>
      <c r="Q58" s="175"/>
      <c r="R58" s="220"/>
      <c r="S58" s="175"/>
      <c r="T58" s="175"/>
      <c r="U58" s="175"/>
      <c r="V58" s="175"/>
      <c r="W58" s="175"/>
      <c r="X58" s="116"/>
    </row>
    <row r="59" spans="1:24" s="112" customFormat="1" ht="13.15" customHeight="1">
      <c r="A59" s="116"/>
      <c r="B59" s="115"/>
      <c r="C59" s="115"/>
      <c r="D59" s="115"/>
      <c r="E59" s="177"/>
      <c r="F59" s="28"/>
      <c r="G59" s="118"/>
      <c r="H59" s="192"/>
      <c r="I59" s="192"/>
      <c r="J59" s="175"/>
      <c r="K59" s="192"/>
      <c r="L59" s="192"/>
      <c r="M59" s="192"/>
      <c r="N59" s="175"/>
      <c r="O59" s="116"/>
      <c r="P59" s="175"/>
      <c r="Q59" s="175"/>
      <c r="R59" s="220"/>
      <c r="S59" s="175"/>
      <c r="T59" s="175"/>
      <c r="U59" s="175"/>
      <c r="V59" s="175"/>
      <c r="W59" s="175"/>
      <c r="X59" s="116"/>
    </row>
    <row r="60" spans="1:24" s="112" customFormat="1" ht="13.15" customHeight="1">
      <c r="A60" s="116"/>
      <c r="B60" s="115"/>
      <c r="C60" s="115"/>
      <c r="D60" s="115"/>
      <c r="E60" s="177"/>
      <c r="F60" s="28"/>
      <c r="G60" s="118"/>
      <c r="H60" s="192"/>
      <c r="I60" s="192"/>
      <c r="J60" s="175"/>
      <c r="K60" s="192"/>
      <c r="L60" s="192"/>
      <c r="M60" s="192"/>
      <c r="N60" s="175"/>
      <c r="O60" s="116"/>
      <c r="P60" s="175"/>
      <c r="Q60" s="175"/>
      <c r="R60" s="220"/>
      <c r="S60" s="175"/>
      <c r="T60" s="175"/>
      <c r="U60" s="175"/>
      <c r="V60" s="175"/>
      <c r="W60" s="175"/>
      <c r="X60" s="116"/>
    </row>
    <row r="61" spans="1:24" s="112" customFormat="1" ht="13.15" customHeight="1">
      <c r="A61" s="116"/>
      <c r="B61" s="115"/>
      <c r="C61" s="115"/>
      <c r="D61" s="115"/>
      <c r="E61" s="177"/>
      <c r="F61" s="28"/>
      <c r="G61" s="118"/>
      <c r="H61" s="192"/>
      <c r="I61" s="192"/>
      <c r="J61" s="175"/>
      <c r="K61" s="192"/>
      <c r="L61" s="192"/>
      <c r="M61" s="192"/>
      <c r="N61" s="175"/>
      <c r="O61" s="116"/>
      <c r="P61" s="175"/>
      <c r="Q61" s="175"/>
      <c r="R61" s="220"/>
      <c r="S61" s="175"/>
      <c r="T61" s="175"/>
      <c r="U61" s="175"/>
      <c r="V61" s="175"/>
      <c r="W61" s="175"/>
      <c r="X61" s="116"/>
    </row>
    <row r="62" spans="1:24" s="112" customFormat="1" ht="13.15" customHeight="1">
      <c r="A62" s="116"/>
      <c r="B62" s="115"/>
      <c r="C62" s="115"/>
      <c r="D62" s="115"/>
      <c r="E62" s="177"/>
      <c r="F62" s="28"/>
      <c r="G62" s="118"/>
      <c r="H62" s="192"/>
      <c r="I62" s="192"/>
      <c r="J62" s="175"/>
      <c r="K62" s="192"/>
      <c r="L62" s="192"/>
      <c r="M62" s="192"/>
      <c r="N62" s="175"/>
      <c r="O62" s="116"/>
      <c r="P62" s="175"/>
      <c r="Q62" s="175"/>
      <c r="R62" s="220"/>
      <c r="S62" s="175"/>
      <c r="T62" s="175"/>
      <c r="U62" s="175"/>
      <c r="V62" s="175"/>
      <c r="W62" s="175"/>
      <c r="X62" s="116"/>
    </row>
    <row r="63" spans="1:24" s="112" customFormat="1" ht="13.15" customHeight="1">
      <c r="A63" s="116"/>
      <c r="B63" s="115"/>
      <c r="C63" s="115"/>
      <c r="D63" s="115"/>
      <c r="E63" s="177"/>
      <c r="F63" s="28"/>
      <c r="G63" s="118"/>
      <c r="H63" s="192"/>
      <c r="I63" s="192"/>
      <c r="J63" s="175"/>
      <c r="K63" s="192"/>
      <c r="L63" s="192"/>
      <c r="M63" s="192"/>
      <c r="N63" s="175"/>
      <c r="O63" s="116"/>
      <c r="P63" s="175"/>
      <c r="Q63" s="175"/>
      <c r="R63" s="220"/>
      <c r="S63" s="175"/>
      <c r="T63" s="175"/>
      <c r="U63" s="175"/>
      <c r="V63" s="175"/>
      <c r="W63" s="175"/>
      <c r="X63" s="116"/>
    </row>
    <row r="64" spans="1:24" s="112" customFormat="1" ht="13.15" customHeight="1">
      <c r="A64" s="116"/>
      <c r="B64" s="115"/>
      <c r="C64" s="115"/>
      <c r="D64" s="115"/>
      <c r="E64" s="177"/>
      <c r="F64" s="28"/>
      <c r="G64" s="118"/>
      <c r="H64" s="192"/>
      <c r="I64" s="192"/>
      <c r="J64" s="175"/>
      <c r="K64" s="192"/>
      <c r="L64" s="192"/>
      <c r="M64" s="192"/>
      <c r="N64" s="175"/>
      <c r="O64" s="116"/>
      <c r="P64" s="175"/>
      <c r="Q64" s="175"/>
      <c r="R64" s="220"/>
      <c r="S64" s="175"/>
      <c r="T64" s="175"/>
      <c r="U64" s="175"/>
      <c r="V64" s="175"/>
      <c r="W64" s="175"/>
      <c r="X64" s="116"/>
    </row>
    <row r="65" spans="1:24" s="112" customFormat="1" ht="13.15" customHeight="1">
      <c r="A65" s="116"/>
      <c r="B65" s="115"/>
      <c r="C65" s="115"/>
      <c r="D65" s="115"/>
      <c r="E65" s="177"/>
      <c r="F65" s="28"/>
      <c r="G65" s="118"/>
      <c r="H65" s="192"/>
      <c r="I65" s="192"/>
      <c r="J65" s="175"/>
      <c r="K65" s="192"/>
      <c r="L65" s="192"/>
      <c r="M65" s="192"/>
      <c r="N65" s="175"/>
      <c r="O65" s="116"/>
      <c r="P65" s="175"/>
      <c r="Q65" s="175"/>
      <c r="R65" s="220"/>
      <c r="S65" s="175"/>
      <c r="T65" s="175"/>
      <c r="U65" s="175"/>
      <c r="V65" s="175"/>
      <c r="W65" s="175"/>
      <c r="X65" s="116"/>
    </row>
    <row r="66" spans="1:24" s="112" customFormat="1" ht="13.15" customHeight="1">
      <c r="A66" s="116"/>
      <c r="B66" s="115"/>
      <c r="C66" s="115"/>
      <c r="D66" s="115"/>
      <c r="E66" s="177"/>
      <c r="F66" s="28"/>
      <c r="G66" s="118"/>
      <c r="H66" s="192"/>
      <c r="I66" s="192"/>
      <c r="J66" s="175"/>
      <c r="K66" s="192"/>
      <c r="L66" s="192"/>
      <c r="M66" s="192"/>
      <c r="N66" s="175"/>
      <c r="O66" s="116"/>
      <c r="P66" s="175"/>
      <c r="Q66" s="175"/>
      <c r="R66" s="220"/>
      <c r="S66" s="175"/>
      <c r="T66" s="175"/>
      <c r="U66" s="175"/>
      <c r="V66" s="175"/>
      <c r="W66" s="175"/>
      <c r="X66" s="116"/>
    </row>
    <row r="67" spans="1:24" s="112" customFormat="1" ht="13.15" customHeight="1">
      <c r="A67" s="116"/>
      <c r="B67" s="115"/>
      <c r="C67" s="115"/>
      <c r="D67" s="115"/>
      <c r="E67" s="177"/>
      <c r="F67" s="28"/>
      <c r="G67" s="118"/>
      <c r="H67" s="192"/>
      <c r="I67" s="192"/>
      <c r="J67" s="175"/>
      <c r="K67" s="192"/>
      <c r="L67" s="192"/>
      <c r="M67" s="192"/>
      <c r="N67" s="175"/>
      <c r="O67" s="116"/>
      <c r="P67" s="175"/>
      <c r="Q67" s="175"/>
      <c r="R67" s="220"/>
      <c r="S67" s="175"/>
      <c r="T67" s="175"/>
      <c r="U67" s="175"/>
      <c r="V67" s="175"/>
      <c r="W67" s="175"/>
      <c r="X67" s="116"/>
    </row>
    <row r="68" spans="1:24" s="112" customFormat="1" ht="13.15" customHeight="1">
      <c r="A68" s="116"/>
      <c r="B68" s="115"/>
      <c r="C68" s="115"/>
      <c r="D68" s="115"/>
      <c r="E68" s="177"/>
      <c r="F68" s="28"/>
      <c r="G68" s="118"/>
      <c r="H68" s="192"/>
      <c r="I68" s="192"/>
      <c r="J68" s="175"/>
      <c r="K68" s="192"/>
      <c r="L68" s="192"/>
      <c r="M68" s="192"/>
      <c r="N68" s="175"/>
      <c r="O68" s="116"/>
      <c r="P68" s="175"/>
      <c r="Q68" s="175"/>
      <c r="R68" s="220"/>
      <c r="S68" s="175"/>
      <c r="T68" s="175"/>
      <c r="U68" s="175"/>
      <c r="V68" s="175"/>
      <c r="W68" s="175"/>
      <c r="X68" s="116"/>
    </row>
    <row r="69" spans="1:24" s="112" customFormat="1" ht="13.15" customHeight="1">
      <c r="A69" s="116"/>
      <c r="B69" s="115"/>
      <c r="C69" s="115"/>
      <c r="D69" s="115"/>
      <c r="E69" s="177"/>
      <c r="F69" s="28"/>
      <c r="G69" s="118"/>
      <c r="H69" s="192"/>
      <c r="I69" s="192"/>
      <c r="J69" s="175"/>
      <c r="K69" s="192"/>
      <c r="L69" s="192"/>
      <c r="M69" s="192"/>
      <c r="N69" s="175"/>
      <c r="O69" s="116"/>
      <c r="P69" s="175"/>
      <c r="Q69" s="175"/>
      <c r="R69" s="220"/>
      <c r="S69" s="175"/>
      <c r="T69" s="175"/>
      <c r="U69" s="175"/>
      <c r="V69" s="175"/>
      <c r="W69" s="175"/>
      <c r="X69" s="116"/>
    </row>
    <row r="70" spans="1:24" s="112" customFormat="1" ht="13.15" customHeight="1">
      <c r="A70" s="116"/>
      <c r="B70" s="115"/>
      <c r="C70" s="115"/>
      <c r="D70" s="115"/>
      <c r="E70" s="177"/>
      <c r="F70" s="28"/>
      <c r="G70" s="118"/>
      <c r="H70" s="192"/>
      <c r="I70" s="192"/>
      <c r="J70" s="175"/>
      <c r="K70" s="192"/>
      <c r="L70" s="192"/>
      <c r="M70" s="192"/>
      <c r="N70" s="175"/>
      <c r="O70" s="116"/>
      <c r="P70" s="175"/>
      <c r="Q70" s="175"/>
      <c r="R70" s="220"/>
      <c r="S70" s="175"/>
      <c r="T70" s="175"/>
      <c r="U70" s="175"/>
      <c r="V70" s="175"/>
      <c r="W70" s="175"/>
      <c r="X70" s="116"/>
    </row>
    <row r="71" spans="1:24" s="112" customFormat="1" ht="13.15" customHeight="1">
      <c r="A71" s="116"/>
      <c r="B71" s="115"/>
      <c r="C71" s="115"/>
      <c r="D71" s="115"/>
      <c r="E71" s="177"/>
      <c r="F71" s="28"/>
      <c r="G71" s="118"/>
      <c r="H71" s="192"/>
      <c r="I71" s="192"/>
      <c r="J71" s="175"/>
      <c r="K71" s="192"/>
      <c r="L71" s="192"/>
      <c r="M71" s="192"/>
      <c r="N71" s="175"/>
      <c r="O71" s="116"/>
      <c r="P71" s="175"/>
      <c r="Q71" s="175"/>
      <c r="R71" s="220"/>
      <c r="S71" s="175"/>
      <c r="T71" s="175"/>
      <c r="U71" s="175"/>
      <c r="V71" s="175"/>
      <c r="W71" s="175"/>
      <c r="X71" s="116"/>
    </row>
    <row r="72" spans="1:24" s="112" customFormat="1" ht="13.15" customHeight="1">
      <c r="A72" s="116"/>
      <c r="B72" s="115"/>
      <c r="C72" s="115"/>
      <c r="D72" s="115"/>
      <c r="E72" s="177"/>
      <c r="F72" s="28"/>
      <c r="G72" s="118"/>
      <c r="H72" s="192"/>
      <c r="I72" s="192"/>
      <c r="J72" s="175"/>
      <c r="K72" s="192"/>
      <c r="L72" s="192"/>
      <c r="M72" s="192"/>
      <c r="N72" s="175"/>
      <c r="O72" s="116"/>
      <c r="P72" s="175"/>
      <c r="Q72" s="175"/>
      <c r="R72" s="220"/>
      <c r="S72" s="175"/>
      <c r="T72" s="175"/>
      <c r="U72" s="175"/>
      <c r="V72" s="175"/>
      <c r="W72" s="175"/>
      <c r="X72" s="116"/>
    </row>
    <row r="73" spans="1:24" s="112" customFormat="1" ht="13.15" customHeight="1">
      <c r="A73" s="116"/>
      <c r="B73" s="115"/>
      <c r="C73" s="115"/>
      <c r="D73" s="115"/>
      <c r="E73" s="177"/>
      <c r="F73" s="28"/>
      <c r="G73" s="118"/>
      <c r="H73" s="192"/>
      <c r="I73" s="192"/>
      <c r="J73" s="175"/>
      <c r="K73" s="192"/>
      <c r="L73" s="192"/>
      <c r="M73" s="192"/>
      <c r="N73" s="175"/>
      <c r="O73" s="116"/>
      <c r="P73" s="175"/>
      <c r="Q73" s="175"/>
      <c r="R73" s="220"/>
      <c r="S73" s="175"/>
      <c r="T73" s="175"/>
      <c r="U73" s="175"/>
      <c r="V73" s="175"/>
      <c r="W73" s="175"/>
      <c r="X73" s="116"/>
    </row>
    <row r="74" spans="1:24" s="112" customFormat="1">
      <c r="A74" s="116"/>
      <c r="B74" s="115"/>
      <c r="C74" s="115"/>
      <c r="D74" s="115"/>
      <c r="E74" s="177"/>
      <c r="F74" s="28"/>
      <c r="G74" s="118"/>
      <c r="H74" s="192"/>
      <c r="I74" s="192"/>
      <c r="J74" s="175"/>
      <c r="K74" s="192"/>
      <c r="L74" s="192"/>
      <c r="M74" s="192"/>
      <c r="N74" s="175"/>
      <c r="O74" s="116"/>
      <c r="P74" s="175"/>
      <c r="Q74" s="175"/>
      <c r="R74" s="220"/>
      <c r="S74" s="175"/>
      <c r="T74" s="175"/>
      <c r="U74" s="175"/>
      <c r="V74" s="175"/>
      <c r="W74" s="175"/>
      <c r="X74" s="116"/>
    </row>
    <row r="75" spans="1:24" s="112" customFormat="1">
      <c r="A75" s="116"/>
      <c r="B75" s="115"/>
      <c r="C75" s="115"/>
      <c r="D75" s="115"/>
      <c r="E75" s="177"/>
      <c r="F75" s="28"/>
      <c r="G75" s="118"/>
      <c r="H75" s="192"/>
      <c r="I75" s="192"/>
      <c r="J75" s="175"/>
      <c r="K75" s="192"/>
      <c r="L75" s="192"/>
      <c r="M75" s="192"/>
      <c r="N75" s="175"/>
      <c r="O75" s="116"/>
      <c r="P75" s="175"/>
      <c r="Q75" s="175"/>
      <c r="R75" s="220"/>
      <c r="S75" s="175"/>
      <c r="T75" s="175"/>
      <c r="U75" s="175"/>
      <c r="V75" s="175"/>
      <c r="W75" s="175"/>
      <c r="X75" s="116"/>
    </row>
    <row r="76" spans="1:24" s="112" customFormat="1">
      <c r="A76" s="116"/>
      <c r="B76" s="115"/>
      <c r="C76" s="115"/>
      <c r="D76" s="115"/>
      <c r="E76" s="177"/>
      <c r="F76" s="28"/>
      <c r="G76" s="118"/>
      <c r="H76" s="192"/>
      <c r="I76" s="192"/>
      <c r="J76" s="175"/>
      <c r="K76" s="192"/>
      <c r="L76" s="192"/>
      <c r="M76" s="192"/>
      <c r="N76" s="175"/>
      <c r="O76" s="116"/>
      <c r="P76" s="175"/>
      <c r="Q76" s="175"/>
      <c r="R76" s="220"/>
      <c r="S76" s="175"/>
      <c r="T76" s="175"/>
      <c r="U76" s="175"/>
      <c r="V76" s="175"/>
      <c r="W76" s="175"/>
      <c r="X76" s="116"/>
    </row>
    <row r="77" spans="1:24" s="112" customFormat="1">
      <c r="A77" s="116"/>
      <c r="B77" s="115"/>
      <c r="C77" s="115"/>
      <c r="D77" s="115"/>
      <c r="E77" s="177"/>
      <c r="F77" s="28"/>
      <c r="G77" s="118"/>
      <c r="H77" s="192"/>
      <c r="I77" s="192"/>
      <c r="J77" s="175"/>
      <c r="K77" s="192"/>
      <c r="L77" s="192"/>
      <c r="M77" s="192"/>
      <c r="N77" s="175"/>
      <c r="O77" s="116"/>
      <c r="P77" s="175"/>
      <c r="Q77" s="175"/>
      <c r="R77" s="220"/>
      <c r="S77" s="175"/>
      <c r="T77" s="175"/>
      <c r="U77" s="175"/>
      <c r="V77" s="175"/>
      <c r="W77" s="175"/>
      <c r="X77" s="116"/>
    </row>
    <row r="78" spans="1:24" s="112" customFormat="1">
      <c r="A78" s="116"/>
      <c r="B78" s="115"/>
      <c r="C78" s="115"/>
      <c r="D78" s="115"/>
      <c r="E78" s="177"/>
      <c r="F78" s="28"/>
      <c r="G78" s="118"/>
      <c r="H78" s="192"/>
      <c r="I78" s="192"/>
      <c r="J78" s="175"/>
      <c r="K78" s="192"/>
      <c r="L78" s="192"/>
      <c r="M78" s="192"/>
      <c r="N78" s="175"/>
      <c r="O78" s="116"/>
      <c r="P78" s="175"/>
      <c r="Q78" s="175"/>
      <c r="R78" s="220"/>
      <c r="S78" s="175"/>
      <c r="T78" s="175"/>
      <c r="U78" s="175"/>
      <c r="V78" s="175"/>
      <c r="W78" s="175"/>
      <c r="X78" s="116"/>
    </row>
    <row r="79" spans="1:24" s="112" customFormat="1">
      <c r="A79" s="116"/>
      <c r="B79" s="115"/>
      <c r="C79" s="115"/>
      <c r="D79" s="115"/>
      <c r="E79" s="177"/>
      <c r="F79" s="28"/>
      <c r="G79" s="118"/>
      <c r="H79" s="192"/>
      <c r="I79" s="192"/>
      <c r="J79" s="175"/>
      <c r="K79" s="192"/>
      <c r="L79" s="192"/>
      <c r="M79" s="192"/>
      <c r="N79" s="175"/>
      <c r="O79" s="116"/>
      <c r="P79" s="175"/>
      <c r="Q79" s="175"/>
      <c r="R79" s="220"/>
      <c r="S79" s="175"/>
      <c r="T79" s="175"/>
      <c r="U79" s="175"/>
      <c r="V79" s="175"/>
      <c r="W79" s="175"/>
      <c r="X79" s="116"/>
    </row>
    <row r="80" spans="1:24" s="112" customFormat="1">
      <c r="A80" s="116"/>
      <c r="B80" s="115"/>
      <c r="C80" s="115"/>
      <c r="D80" s="115"/>
      <c r="E80" s="177"/>
      <c r="F80" s="28"/>
      <c r="G80" s="118"/>
      <c r="H80" s="192"/>
      <c r="I80" s="192"/>
      <c r="J80" s="175"/>
      <c r="K80" s="192"/>
      <c r="L80" s="192"/>
      <c r="M80" s="192"/>
      <c r="N80" s="175"/>
      <c r="O80" s="116"/>
      <c r="P80" s="175"/>
      <c r="Q80" s="175"/>
      <c r="R80" s="220"/>
      <c r="S80" s="175"/>
      <c r="T80" s="175"/>
      <c r="U80" s="175"/>
      <c r="V80" s="175"/>
      <c r="W80" s="175"/>
      <c r="X80" s="116"/>
    </row>
    <row r="81" spans="1:24" s="112" customFormat="1">
      <c r="A81" s="116"/>
      <c r="B81" s="115"/>
      <c r="C81" s="115"/>
      <c r="D81" s="115"/>
      <c r="E81" s="177"/>
      <c r="F81" s="28"/>
      <c r="G81" s="118"/>
      <c r="H81" s="192"/>
      <c r="I81" s="192"/>
      <c r="J81" s="175"/>
      <c r="K81" s="192"/>
      <c r="L81" s="192"/>
      <c r="M81" s="192"/>
      <c r="N81" s="175"/>
      <c r="O81" s="116"/>
      <c r="P81" s="175"/>
      <c r="Q81" s="175"/>
      <c r="R81" s="220"/>
      <c r="S81" s="175"/>
      <c r="T81" s="175"/>
      <c r="U81" s="175"/>
      <c r="V81" s="175"/>
      <c r="W81" s="175"/>
      <c r="X81" s="116"/>
    </row>
    <row r="82" spans="1:24" s="112" customFormat="1">
      <c r="A82" s="116"/>
      <c r="B82" s="115"/>
      <c r="C82" s="115"/>
      <c r="D82" s="115"/>
      <c r="E82" s="177"/>
      <c r="F82" s="28"/>
      <c r="G82" s="118"/>
      <c r="H82" s="192"/>
      <c r="I82" s="192"/>
      <c r="J82" s="175"/>
      <c r="K82" s="192"/>
      <c r="L82" s="192"/>
      <c r="M82" s="192"/>
      <c r="N82" s="175"/>
      <c r="O82" s="116"/>
      <c r="P82" s="175"/>
      <c r="Q82" s="175"/>
      <c r="R82" s="220"/>
      <c r="S82" s="175"/>
      <c r="T82" s="175"/>
      <c r="U82" s="175"/>
      <c r="V82" s="175"/>
      <c r="W82" s="175"/>
      <c r="X82" s="116"/>
    </row>
    <row r="83" spans="1:24" s="112" customFormat="1">
      <c r="A83" s="116"/>
      <c r="B83" s="115"/>
      <c r="C83" s="115"/>
      <c r="D83" s="115"/>
      <c r="E83" s="177"/>
      <c r="F83" s="28"/>
      <c r="G83" s="118"/>
      <c r="H83" s="192"/>
      <c r="I83" s="192"/>
      <c r="J83" s="175"/>
      <c r="K83" s="192"/>
      <c r="L83" s="192"/>
      <c r="M83" s="192"/>
      <c r="N83" s="175"/>
      <c r="O83" s="116"/>
      <c r="P83" s="175"/>
      <c r="Q83" s="175"/>
      <c r="R83" s="220"/>
      <c r="S83" s="175"/>
      <c r="T83" s="175"/>
      <c r="U83" s="175"/>
      <c r="V83" s="175"/>
      <c r="W83" s="175"/>
      <c r="X83" s="116"/>
    </row>
    <row r="84" spans="1:24" s="112" customFormat="1">
      <c r="A84" s="116"/>
      <c r="B84" s="115"/>
      <c r="C84" s="115"/>
      <c r="D84" s="115"/>
      <c r="E84" s="177"/>
      <c r="F84" s="28"/>
      <c r="G84" s="118"/>
      <c r="H84" s="192"/>
      <c r="I84" s="192"/>
      <c r="J84" s="175"/>
      <c r="K84" s="192"/>
      <c r="L84" s="192"/>
      <c r="M84" s="192"/>
      <c r="N84" s="175"/>
      <c r="O84" s="116"/>
      <c r="P84" s="175"/>
      <c r="Q84" s="175"/>
      <c r="R84" s="220"/>
      <c r="S84" s="175"/>
      <c r="T84" s="175"/>
      <c r="U84" s="175"/>
      <c r="V84" s="175"/>
      <c r="W84" s="175"/>
      <c r="X84" s="116"/>
    </row>
    <row r="85" spans="1:24" s="112" customFormat="1">
      <c r="A85" s="116"/>
      <c r="B85" s="115"/>
      <c r="C85" s="115"/>
      <c r="D85" s="115"/>
      <c r="E85" s="177"/>
      <c r="F85" s="28"/>
      <c r="G85" s="118"/>
      <c r="H85" s="192"/>
      <c r="I85" s="192"/>
      <c r="J85" s="175"/>
      <c r="K85" s="192"/>
      <c r="L85" s="192"/>
      <c r="M85" s="192"/>
      <c r="N85" s="175"/>
      <c r="O85" s="116"/>
      <c r="P85" s="175"/>
      <c r="Q85" s="175"/>
      <c r="R85" s="220"/>
      <c r="S85" s="175"/>
      <c r="T85" s="175"/>
      <c r="U85" s="175"/>
      <c r="V85" s="175"/>
      <c r="W85" s="175"/>
      <c r="X85" s="116"/>
    </row>
    <row r="86" spans="1:24" s="112" customFormat="1">
      <c r="A86" s="116"/>
      <c r="B86" s="115"/>
      <c r="C86" s="115"/>
      <c r="D86" s="115"/>
      <c r="E86" s="177"/>
      <c r="F86" s="28"/>
      <c r="G86" s="118"/>
      <c r="H86" s="192"/>
      <c r="I86" s="192"/>
      <c r="J86" s="175"/>
      <c r="K86" s="192"/>
      <c r="L86" s="192"/>
      <c r="M86" s="192"/>
      <c r="N86" s="175"/>
      <c r="O86" s="116"/>
      <c r="P86" s="175"/>
      <c r="Q86" s="175"/>
      <c r="R86" s="220"/>
      <c r="S86" s="175"/>
      <c r="T86" s="175"/>
      <c r="U86" s="175"/>
      <c r="V86" s="175"/>
      <c r="W86" s="175"/>
      <c r="X86" s="116"/>
    </row>
    <row r="87" spans="1:24" s="112" customFormat="1">
      <c r="A87" s="116"/>
      <c r="B87" s="115"/>
      <c r="C87" s="115"/>
      <c r="D87" s="115"/>
      <c r="E87" s="177"/>
      <c r="F87" s="28"/>
      <c r="G87" s="118"/>
      <c r="H87" s="192"/>
      <c r="I87" s="192"/>
      <c r="J87" s="175"/>
      <c r="K87" s="192"/>
      <c r="L87" s="192"/>
      <c r="M87" s="192"/>
      <c r="N87" s="175"/>
      <c r="O87" s="116"/>
      <c r="P87" s="175"/>
      <c r="Q87" s="175"/>
      <c r="R87" s="220"/>
      <c r="S87" s="175"/>
      <c r="T87" s="175"/>
      <c r="U87" s="175"/>
      <c r="V87" s="175"/>
      <c r="W87" s="175"/>
      <c r="X87" s="116"/>
    </row>
    <row r="88" spans="1:24" s="112" customFormat="1">
      <c r="A88" s="116"/>
      <c r="B88" s="115"/>
      <c r="C88" s="115"/>
      <c r="D88" s="115"/>
      <c r="E88" s="177"/>
      <c r="F88" s="28"/>
      <c r="G88" s="118"/>
      <c r="H88" s="192"/>
      <c r="I88" s="192"/>
      <c r="J88" s="175"/>
      <c r="K88" s="192"/>
      <c r="L88" s="192"/>
      <c r="M88" s="192"/>
      <c r="N88" s="175"/>
      <c r="O88" s="116"/>
      <c r="P88" s="175"/>
      <c r="Q88" s="175"/>
      <c r="R88" s="220"/>
      <c r="S88" s="175"/>
      <c r="T88" s="175"/>
      <c r="U88" s="175"/>
      <c r="V88" s="175"/>
      <c r="W88" s="175"/>
      <c r="X88" s="116"/>
    </row>
    <row r="89" spans="1:24" s="112" customFormat="1">
      <c r="A89" s="116"/>
      <c r="B89" s="115"/>
      <c r="C89" s="115"/>
      <c r="D89" s="115"/>
      <c r="E89" s="177"/>
      <c r="F89" s="28"/>
      <c r="G89" s="118"/>
      <c r="H89" s="192"/>
      <c r="I89" s="192"/>
      <c r="J89" s="175"/>
      <c r="K89" s="192"/>
      <c r="L89" s="192"/>
      <c r="M89" s="192"/>
      <c r="N89" s="175"/>
      <c r="O89" s="116"/>
      <c r="P89" s="175"/>
      <c r="Q89" s="175"/>
      <c r="R89" s="220"/>
      <c r="S89" s="175"/>
      <c r="T89" s="175"/>
      <c r="U89" s="175"/>
      <c r="V89" s="175"/>
      <c r="W89" s="175"/>
      <c r="X89" s="116"/>
    </row>
    <row r="90" spans="1:24" s="112" customFormat="1">
      <c r="A90" s="116"/>
      <c r="B90" s="115"/>
      <c r="C90" s="115"/>
      <c r="D90" s="115"/>
      <c r="E90" s="177"/>
      <c r="F90" s="28"/>
      <c r="G90" s="118"/>
      <c r="H90" s="192"/>
      <c r="I90" s="192"/>
      <c r="J90" s="175"/>
      <c r="K90" s="192"/>
      <c r="L90" s="192"/>
      <c r="M90" s="192"/>
      <c r="N90" s="175"/>
      <c r="O90" s="116"/>
      <c r="P90" s="175"/>
      <c r="Q90" s="175"/>
      <c r="R90" s="220"/>
      <c r="S90" s="175"/>
      <c r="T90" s="175"/>
      <c r="U90" s="175"/>
      <c r="V90" s="175"/>
      <c r="W90" s="175"/>
      <c r="X90" s="116"/>
    </row>
    <row r="91" spans="1:24" s="112" customFormat="1">
      <c r="A91" s="116"/>
      <c r="B91" s="115"/>
      <c r="C91" s="115"/>
      <c r="D91" s="115"/>
      <c r="E91" s="177"/>
      <c r="F91" s="28"/>
      <c r="G91" s="118"/>
      <c r="H91" s="192"/>
      <c r="I91" s="192"/>
      <c r="J91" s="175"/>
      <c r="K91" s="192"/>
      <c r="L91" s="192"/>
      <c r="M91" s="192"/>
      <c r="N91" s="175"/>
      <c r="O91" s="116"/>
      <c r="P91" s="175"/>
      <c r="Q91" s="175"/>
      <c r="R91" s="220"/>
      <c r="S91" s="175"/>
      <c r="T91" s="175"/>
      <c r="U91" s="175"/>
      <c r="V91" s="175"/>
      <c r="W91" s="175"/>
      <c r="X91" s="116"/>
    </row>
    <row r="92" spans="1:24" s="112" customFormat="1">
      <c r="A92" s="116"/>
      <c r="B92" s="115"/>
      <c r="C92" s="115"/>
      <c r="D92" s="115"/>
      <c r="E92" s="177"/>
      <c r="F92" s="28"/>
      <c r="G92" s="118"/>
      <c r="H92" s="192"/>
      <c r="I92" s="192"/>
      <c r="J92" s="175"/>
      <c r="K92" s="192"/>
      <c r="L92" s="192"/>
      <c r="M92" s="192"/>
      <c r="N92" s="175"/>
      <c r="O92" s="116"/>
      <c r="P92" s="175"/>
      <c r="Q92" s="175"/>
      <c r="R92" s="220"/>
      <c r="S92" s="175"/>
      <c r="T92" s="175"/>
      <c r="U92" s="175"/>
      <c r="V92" s="175"/>
      <c r="W92" s="175"/>
      <c r="X92" s="116"/>
    </row>
    <row r="93" spans="1:24" s="112" customFormat="1">
      <c r="A93" s="116"/>
      <c r="B93" s="115"/>
      <c r="C93" s="115"/>
      <c r="D93" s="115"/>
      <c r="E93" s="177"/>
      <c r="F93" s="28"/>
      <c r="G93" s="118"/>
      <c r="H93" s="192"/>
      <c r="I93" s="192"/>
      <c r="J93" s="175"/>
      <c r="K93" s="192"/>
      <c r="L93" s="192"/>
      <c r="M93" s="192"/>
      <c r="N93" s="175"/>
      <c r="O93" s="116"/>
      <c r="P93" s="175"/>
      <c r="Q93" s="175"/>
      <c r="R93" s="220"/>
      <c r="S93" s="175"/>
      <c r="T93" s="175"/>
      <c r="U93" s="175"/>
      <c r="V93" s="175"/>
      <c r="W93" s="175"/>
      <c r="X93" s="116"/>
    </row>
    <row r="94" spans="1:24" s="112" customFormat="1">
      <c r="A94" s="116"/>
      <c r="B94" s="115"/>
      <c r="C94" s="115"/>
      <c r="D94" s="115"/>
      <c r="E94" s="177"/>
      <c r="F94" s="28"/>
      <c r="G94" s="118"/>
      <c r="H94" s="192"/>
      <c r="I94" s="192"/>
      <c r="J94" s="175"/>
      <c r="K94" s="192"/>
      <c r="L94" s="192"/>
      <c r="M94" s="192"/>
      <c r="N94" s="175"/>
      <c r="O94" s="116"/>
      <c r="P94" s="175"/>
      <c r="Q94" s="175"/>
      <c r="R94" s="220"/>
      <c r="S94" s="175"/>
      <c r="T94" s="175"/>
      <c r="U94" s="175"/>
      <c r="V94" s="175"/>
      <c r="W94" s="175"/>
      <c r="X94" s="116"/>
    </row>
    <row r="95" spans="1:24" s="112" customFormat="1">
      <c r="A95" s="116"/>
      <c r="B95" s="115"/>
      <c r="C95" s="115"/>
      <c r="D95" s="115"/>
      <c r="E95" s="177"/>
      <c r="F95" s="28"/>
      <c r="G95" s="118"/>
      <c r="H95" s="192"/>
      <c r="I95" s="192"/>
      <c r="J95" s="175"/>
      <c r="K95" s="192"/>
      <c r="L95" s="192"/>
      <c r="M95" s="192"/>
      <c r="N95" s="175"/>
      <c r="O95" s="116"/>
      <c r="P95" s="175"/>
      <c r="Q95" s="175"/>
      <c r="R95" s="220"/>
      <c r="S95" s="175"/>
      <c r="T95" s="175"/>
      <c r="U95" s="175"/>
      <c r="V95" s="175"/>
      <c r="W95" s="175"/>
      <c r="X95" s="116"/>
    </row>
    <row r="96" spans="1:24" s="112" customFormat="1">
      <c r="A96" s="116"/>
      <c r="B96" s="115"/>
      <c r="C96" s="115"/>
      <c r="D96" s="115"/>
      <c r="E96" s="177"/>
      <c r="F96" s="28"/>
      <c r="G96" s="118"/>
      <c r="H96" s="192"/>
      <c r="I96" s="192"/>
      <c r="J96" s="175"/>
      <c r="K96" s="192"/>
      <c r="L96" s="192"/>
      <c r="M96" s="192"/>
      <c r="N96" s="175"/>
      <c r="O96" s="116"/>
      <c r="P96" s="175"/>
      <c r="Q96" s="175"/>
      <c r="R96" s="220"/>
      <c r="S96" s="175"/>
      <c r="T96" s="175"/>
      <c r="U96" s="175"/>
      <c r="V96" s="175"/>
      <c r="W96" s="175"/>
      <c r="X96" s="116"/>
    </row>
    <row r="97" spans="1:24" s="112" customFormat="1">
      <c r="A97" s="116"/>
      <c r="B97" s="115"/>
      <c r="C97" s="115"/>
      <c r="D97" s="115"/>
      <c r="E97" s="177"/>
      <c r="F97" s="28"/>
      <c r="G97" s="118"/>
      <c r="H97" s="192"/>
      <c r="I97" s="192"/>
      <c r="J97" s="175"/>
      <c r="K97" s="192"/>
      <c r="L97" s="192"/>
      <c r="M97" s="192"/>
      <c r="N97" s="175"/>
      <c r="O97" s="116"/>
      <c r="P97" s="175"/>
      <c r="Q97" s="175"/>
      <c r="R97" s="220"/>
      <c r="S97" s="175"/>
      <c r="T97" s="175"/>
      <c r="U97" s="175"/>
      <c r="V97" s="175"/>
      <c r="W97" s="175"/>
      <c r="X97" s="116"/>
    </row>
    <row r="98" spans="1:24" s="112" customFormat="1">
      <c r="A98" s="116"/>
      <c r="B98" s="115"/>
      <c r="C98" s="115"/>
      <c r="D98" s="115"/>
      <c r="E98" s="177"/>
      <c r="F98" s="28"/>
      <c r="G98" s="118"/>
      <c r="H98" s="192"/>
      <c r="I98" s="192"/>
      <c r="J98" s="175"/>
      <c r="K98" s="192"/>
      <c r="L98" s="192"/>
      <c r="M98" s="192"/>
      <c r="N98" s="175"/>
      <c r="O98" s="116"/>
      <c r="P98" s="175"/>
      <c r="Q98" s="175"/>
      <c r="R98" s="220"/>
      <c r="S98" s="175"/>
      <c r="T98" s="175"/>
      <c r="U98" s="175"/>
      <c r="V98" s="175"/>
      <c r="W98" s="175"/>
      <c r="X98" s="116"/>
    </row>
    <row r="99" spans="1:24" s="112" customFormat="1">
      <c r="A99" s="116"/>
      <c r="B99" s="115"/>
      <c r="C99" s="115"/>
      <c r="D99" s="115"/>
      <c r="E99" s="177"/>
      <c r="F99" s="28"/>
      <c r="G99" s="118"/>
      <c r="H99" s="192"/>
      <c r="I99" s="192"/>
      <c r="J99" s="175"/>
      <c r="K99" s="192"/>
      <c r="L99" s="192"/>
      <c r="M99" s="192"/>
      <c r="N99" s="175"/>
      <c r="O99" s="116"/>
      <c r="P99" s="175"/>
      <c r="Q99" s="175"/>
      <c r="R99" s="220"/>
      <c r="S99" s="175"/>
      <c r="T99" s="175"/>
      <c r="U99" s="175"/>
      <c r="V99" s="175"/>
      <c r="W99" s="175"/>
      <c r="X99" s="116"/>
    </row>
    <row r="100" spans="1:24" s="112" customFormat="1">
      <c r="A100" s="116"/>
      <c r="B100" s="115"/>
      <c r="C100" s="115"/>
      <c r="D100" s="115"/>
      <c r="E100" s="177"/>
      <c r="F100" s="28"/>
      <c r="G100" s="118"/>
      <c r="H100" s="192"/>
      <c r="I100" s="192"/>
      <c r="J100" s="175"/>
      <c r="K100" s="192"/>
      <c r="L100" s="192"/>
      <c r="M100" s="192"/>
      <c r="N100" s="175"/>
      <c r="O100" s="116"/>
      <c r="P100" s="175"/>
      <c r="Q100" s="175"/>
      <c r="R100" s="220"/>
      <c r="S100" s="175"/>
      <c r="T100" s="175"/>
      <c r="U100" s="175"/>
      <c r="V100" s="175"/>
      <c r="W100" s="175"/>
      <c r="X100" s="116"/>
    </row>
    <row r="101" spans="1:24" s="112" customFormat="1">
      <c r="A101" s="116"/>
      <c r="B101" s="115"/>
      <c r="C101" s="115"/>
      <c r="D101" s="115"/>
      <c r="E101" s="177"/>
      <c r="F101" s="28"/>
      <c r="G101" s="118"/>
      <c r="H101" s="192"/>
      <c r="I101" s="192"/>
      <c r="J101" s="175"/>
      <c r="K101" s="192"/>
      <c r="L101" s="192"/>
      <c r="M101" s="192"/>
      <c r="N101" s="175"/>
      <c r="O101" s="116"/>
      <c r="P101" s="175"/>
      <c r="Q101" s="175"/>
      <c r="R101" s="220"/>
      <c r="S101" s="175"/>
      <c r="T101" s="175"/>
      <c r="U101" s="175"/>
      <c r="V101" s="175"/>
      <c r="W101" s="175"/>
      <c r="X101" s="116"/>
    </row>
    <row r="102" spans="1:24" s="112" customFormat="1">
      <c r="A102" s="116"/>
      <c r="B102" s="115"/>
      <c r="C102" s="115"/>
      <c r="D102" s="115"/>
      <c r="E102" s="177"/>
      <c r="F102" s="28"/>
      <c r="G102" s="118"/>
      <c r="H102" s="192"/>
      <c r="I102" s="192"/>
      <c r="J102" s="175"/>
      <c r="K102" s="192"/>
      <c r="L102" s="192"/>
      <c r="M102" s="192"/>
      <c r="N102" s="175"/>
      <c r="O102" s="116"/>
      <c r="P102" s="175"/>
      <c r="Q102" s="175"/>
      <c r="R102" s="220"/>
      <c r="S102" s="175"/>
      <c r="T102" s="175"/>
      <c r="U102" s="175"/>
      <c r="V102" s="175"/>
      <c r="W102" s="175"/>
      <c r="X102" s="116"/>
    </row>
    <row r="103" spans="1:24" s="112" customFormat="1">
      <c r="A103" s="116"/>
      <c r="B103" s="115"/>
      <c r="C103" s="115"/>
      <c r="D103" s="115"/>
      <c r="E103" s="177"/>
      <c r="F103" s="28"/>
      <c r="G103" s="118"/>
      <c r="H103" s="192"/>
      <c r="I103" s="192"/>
      <c r="J103" s="175"/>
      <c r="K103" s="192"/>
      <c r="L103" s="192"/>
      <c r="M103" s="192"/>
      <c r="N103" s="175"/>
      <c r="O103" s="116"/>
      <c r="P103" s="175"/>
      <c r="Q103" s="175"/>
      <c r="R103" s="220"/>
      <c r="S103" s="175"/>
      <c r="T103" s="175"/>
      <c r="U103" s="175"/>
      <c r="V103" s="175"/>
      <c r="W103" s="175"/>
      <c r="X103" s="116"/>
    </row>
    <row r="104" spans="1:24" s="112" customFormat="1">
      <c r="A104" s="116"/>
      <c r="B104" s="115"/>
      <c r="C104" s="115"/>
      <c r="D104" s="115"/>
      <c r="E104" s="177"/>
      <c r="F104" s="28"/>
      <c r="G104" s="118"/>
      <c r="H104" s="192"/>
      <c r="I104" s="192"/>
      <c r="J104" s="175"/>
      <c r="K104" s="192"/>
      <c r="L104" s="192"/>
      <c r="M104" s="192"/>
      <c r="N104" s="175"/>
      <c r="O104" s="116"/>
      <c r="P104" s="175"/>
      <c r="Q104" s="175"/>
      <c r="R104" s="220"/>
      <c r="S104" s="175"/>
      <c r="T104" s="175"/>
      <c r="U104" s="175"/>
      <c r="V104" s="175"/>
      <c r="W104" s="175"/>
      <c r="X104" s="116"/>
    </row>
    <row r="105" spans="1:24" s="112" customFormat="1">
      <c r="A105" s="116"/>
      <c r="B105" s="115"/>
      <c r="C105" s="115"/>
      <c r="D105" s="115"/>
      <c r="E105" s="177"/>
      <c r="F105" s="28"/>
      <c r="G105" s="118"/>
      <c r="H105" s="192"/>
      <c r="I105" s="192"/>
      <c r="J105" s="175"/>
      <c r="K105" s="192"/>
      <c r="L105" s="192"/>
      <c r="M105" s="192"/>
      <c r="N105" s="175"/>
      <c r="O105" s="116"/>
      <c r="P105" s="175"/>
      <c r="Q105" s="175"/>
      <c r="R105" s="220"/>
      <c r="S105" s="175"/>
      <c r="T105" s="175"/>
      <c r="U105" s="175"/>
      <c r="V105" s="175"/>
      <c r="W105" s="175"/>
      <c r="X105" s="116"/>
    </row>
    <row r="106" spans="1:24" s="112" customFormat="1">
      <c r="A106" s="116"/>
      <c r="B106" s="115"/>
      <c r="C106" s="115"/>
      <c r="D106" s="115"/>
      <c r="E106" s="177"/>
      <c r="F106" s="28"/>
      <c r="G106" s="118"/>
      <c r="H106" s="192"/>
      <c r="I106" s="192"/>
      <c r="J106" s="175"/>
      <c r="K106" s="192"/>
      <c r="L106" s="192"/>
      <c r="M106" s="192"/>
      <c r="N106" s="175"/>
      <c r="O106" s="116"/>
      <c r="P106" s="175"/>
      <c r="Q106" s="175"/>
      <c r="R106" s="220"/>
      <c r="S106" s="175"/>
      <c r="T106" s="175"/>
      <c r="U106" s="175"/>
      <c r="V106" s="175"/>
      <c r="W106" s="175"/>
      <c r="X106" s="116"/>
    </row>
    <row r="107" spans="1:24" s="112" customFormat="1">
      <c r="A107" s="116"/>
      <c r="B107" s="115"/>
      <c r="C107" s="115"/>
      <c r="D107" s="115"/>
      <c r="E107" s="177"/>
      <c r="F107" s="28"/>
      <c r="G107" s="118"/>
      <c r="H107" s="192"/>
      <c r="I107" s="192"/>
      <c r="J107" s="175"/>
      <c r="K107" s="192"/>
      <c r="L107" s="192"/>
      <c r="M107" s="192"/>
      <c r="N107" s="175"/>
      <c r="O107" s="116"/>
      <c r="P107" s="175"/>
      <c r="Q107" s="175"/>
      <c r="R107" s="220"/>
      <c r="S107" s="175"/>
      <c r="T107" s="175"/>
      <c r="U107" s="175"/>
      <c r="V107" s="175"/>
      <c r="W107" s="175"/>
      <c r="X107" s="116"/>
    </row>
    <row r="108" spans="1:24" s="112" customFormat="1">
      <c r="A108" s="116"/>
      <c r="B108" s="115"/>
      <c r="C108" s="115"/>
      <c r="D108" s="115"/>
      <c r="E108" s="177"/>
      <c r="F108" s="28"/>
      <c r="G108" s="118"/>
      <c r="H108" s="192"/>
      <c r="I108" s="192"/>
      <c r="J108" s="175"/>
      <c r="K108" s="192"/>
      <c r="L108" s="192"/>
      <c r="M108" s="192"/>
      <c r="N108" s="175"/>
      <c r="O108" s="116"/>
      <c r="P108" s="175"/>
      <c r="Q108" s="175"/>
      <c r="R108" s="220"/>
      <c r="S108" s="175"/>
      <c r="T108" s="175"/>
      <c r="U108" s="175"/>
      <c r="V108" s="175"/>
      <c r="W108" s="175"/>
      <c r="X108" s="116"/>
    </row>
    <row r="109" spans="1:24" s="112" customFormat="1">
      <c r="A109" s="116"/>
      <c r="B109" s="115"/>
      <c r="C109" s="115"/>
      <c r="D109" s="115"/>
      <c r="E109" s="177"/>
      <c r="F109" s="28"/>
      <c r="G109" s="118"/>
      <c r="H109" s="192"/>
      <c r="I109" s="192"/>
      <c r="J109" s="175"/>
      <c r="K109" s="192"/>
      <c r="L109" s="192"/>
      <c r="M109" s="192"/>
      <c r="N109" s="175"/>
      <c r="O109" s="116"/>
      <c r="P109" s="175"/>
      <c r="Q109" s="175"/>
      <c r="R109" s="220"/>
      <c r="S109" s="175"/>
      <c r="T109" s="175"/>
      <c r="U109" s="175"/>
      <c r="V109" s="175"/>
      <c r="W109" s="175"/>
      <c r="X109" s="116"/>
    </row>
    <row r="110" spans="1:24" s="112" customFormat="1">
      <c r="A110" s="116"/>
      <c r="B110" s="115"/>
      <c r="C110" s="115"/>
      <c r="D110" s="115"/>
      <c r="E110" s="177"/>
      <c r="F110" s="28"/>
      <c r="G110" s="118"/>
      <c r="H110" s="192"/>
      <c r="I110" s="192"/>
      <c r="J110" s="175"/>
      <c r="K110" s="192"/>
      <c r="L110" s="192"/>
      <c r="M110" s="192"/>
      <c r="N110" s="175"/>
      <c r="O110" s="116"/>
      <c r="P110" s="175"/>
      <c r="Q110" s="175"/>
      <c r="R110" s="220"/>
      <c r="S110" s="175"/>
      <c r="T110" s="175"/>
      <c r="U110" s="175"/>
      <c r="V110" s="175"/>
      <c r="W110" s="175"/>
      <c r="X110" s="116"/>
    </row>
    <row r="111" spans="1:24" s="112" customFormat="1">
      <c r="A111" s="116"/>
      <c r="B111" s="115"/>
      <c r="C111" s="115"/>
      <c r="D111" s="115"/>
      <c r="E111" s="177"/>
      <c r="F111" s="28"/>
      <c r="G111" s="118"/>
      <c r="H111" s="192"/>
      <c r="I111" s="192"/>
      <c r="J111" s="175"/>
      <c r="K111" s="192"/>
      <c r="L111" s="192"/>
      <c r="M111" s="192"/>
      <c r="N111" s="175"/>
      <c r="O111" s="116"/>
      <c r="P111" s="175"/>
      <c r="Q111" s="175"/>
      <c r="R111" s="220"/>
      <c r="S111" s="175"/>
      <c r="T111" s="175"/>
      <c r="U111" s="175"/>
      <c r="V111" s="175"/>
      <c r="W111" s="175"/>
      <c r="X111" s="116"/>
    </row>
    <row r="112" spans="1:24" s="112" customFormat="1">
      <c r="A112" s="116"/>
      <c r="B112" s="115"/>
      <c r="C112" s="115"/>
      <c r="D112" s="115"/>
      <c r="E112" s="177"/>
      <c r="F112" s="28"/>
      <c r="G112" s="118"/>
      <c r="H112" s="192"/>
      <c r="I112" s="192"/>
      <c r="J112" s="175"/>
      <c r="K112" s="192"/>
      <c r="L112" s="192"/>
      <c r="M112" s="192"/>
      <c r="N112" s="175"/>
      <c r="O112" s="116"/>
      <c r="P112" s="175"/>
      <c r="Q112" s="175"/>
      <c r="R112" s="220"/>
      <c r="S112" s="175"/>
      <c r="T112" s="175"/>
      <c r="U112" s="175"/>
      <c r="V112" s="175"/>
      <c r="W112" s="175"/>
      <c r="X112" s="116"/>
    </row>
    <row r="113" spans="1:24" s="112" customFormat="1">
      <c r="A113" s="116"/>
      <c r="B113" s="115"/>
      <c r="C113" s="115"/>
      <c r="D113" s="115"/>
      <c r="E113" s="177"/>
      <c r="F113" s="28"/>
      <c r="G113" s="118"/>
      <c r="H113" s="192"/>
      <c r="I113" s="192"/>
      <c r="J113" s="175"/>
      <c r="K113" s="192"/>
      <c r="L113" s="192"/>
      <c r="M113" s="192"/>
      <c r="N113" s="175"/>
      <c r="O113" s="116"/>
      <c r="P113" s="175"/>
      <c r="Q113" s="175"/>
      <c r="R113" s="220"/>
      <c r="S113" s="175"/>
      <c r="T113" s="175"/>
      <c r="U113" s="175"/>
      <c r="V113" s="175"/>
      <c r="W113" s="175"/>
      <c r="X113" s="116"/>
    </row>
    <row r="114" spans="1:24" s="112" customFormat="1">
      <c r="A114" s="116"/>
      <c r="B114" s="115"/>
      <c r="C114" s="115"/>
      <c r="D114" s="115"/>
      <c r="E114" s="177"/>
      <c r="F114" s="28"/>
      <c r="G114" s="118"/>
      <c r="H114" s="192"/>
      <c r="I114" s="192"/>
      <c r="J114" s="175"/>
      <c r="K114" s="192"/>
      <c r="L114" s="192"/>
      <c r="M114" s="192"/>
      <c r="N114" s="175"/>
      <c r="O114" s="116"/>
      <c r="P114" s="175"/>
      <c r="Q114" s="175"/>
      <c r="R114" s="220"/>
      <c r="S114" s="175"/>
      <c r="T114" s="175"/>
      <c r="U114" s="175"/>
      <c r="V114" s="175"/>
      <c r="W114" s="175"/>
      <c r="X114" s="116"/>
    </row>
    <row r="115" spans="1:24" s="112" customFormat="1">
      <c r="A115" s="116"/>
      <c r="B115" s="115"/>
      <c r="C115" s="115"/>
      <c r="D115" s="115"/>
      <c r="E115" s="177"/>
      <c r="F115" s="28"/>
      <c r="G115" s="118"/>
      <c r="H115" s="192"/>
      <c r="I115" s="192"/>
      <c r="J115" s="175"/>
      <c r="K115" s="192"/>
      <c r="L115" s="192"/>
      <c r="M115" s="192"/>
      <c r="N115" s="175"/>
      <c r="O115" s="116"/>
      <c r="P115" s="175"/>
      <c r="Q115" s="175"/>
      <c r="R115" s="220"/>
      <c r="S115" s="175"/>
      <c r="T115" s="175"/>
      <c r="U115" s="175"/>
      <c r="V115" s="175"/>
      <c r="W115" s="175"/>
      <c r="X115" s="116"/>
    </row>
    <row r="116" spans="1:24" s="112" customFormat="1">
      <c r="A116" s="116"/>
      <c r="B116" s="115"/>
      <c r="C116" s="115"/>
      <c r="D116" s="115"/>
      <c r="E116" s="177"/>
      <c r="F116" s="28"/>
      <c r="G116" s="118"/>
      <c r="H116" s="192"/>
      <c r="I116" s="192"/>
      <c r="J116" s="175"/>
      <c r="K116" s="192"/>
      <c r="L116" s="192"/>
      <c r="M116" s="192"/>
      <c r="N116" s="175"/>
      <c r="O116" s="116"/>
      <c r="P116" s="175"/>
      <c r="Q116" s="175"/>
      <c r="R116" s="220"/>
      <c r="S116" s="175"/>
      <c r="T116" s="175"/>
      <c r="U116" s="175"/>
      <c r="V116" s="175"/>
      <c r="W116" s="175"/>
      <c r="X116" s="116"/>
    </row>
    <row r="117" spans="1:24" s="112" customFormat="1">
      <c r="A117" s="116"/>
      <c r="B117" s="115"/>
      <c r="C117" s="115"/>
      <c r="D117" s="115"/>
      <c r="E117" s="177"/>
      <c r="F117" s="28"/>
      <c r="G117" s="118"/>
      <c r="H117" s="192"/>
      <c r="I117" s="192"/>
      <c r="J117" s="175"/>
      <c r="K117" s="192"/>
      <c r="L117" s="192"/>
      <c r="M117" s="192"/>
      <c r="N117" s="175"/>
      <c r="O117" s="116"/>
      <c r="P117" s="175"/>
      <c r="Q117" s="175"/>
      <c r="R117" s="220"/>
      <c r="S117" s="175"/>
      <c r="T117" s="175"/>
      <c r="U117" s="175"/>
      <c r="V117" s="175"/>
      <c r="W117" s="175"/>
      <c r="X117" s="116"/>
    </row>
    <row r="118" spans="1:24" s="112" customFormat="1">
      <c r="A118" s="116"/>
      <c r="B118" s="115"/>
      <c r="C118" s="115"/>
      <c r="D118" s="115"/>
      <c r="E118" s="177"/>
      <c r="F118" s="28"/>
      <c r="G118" s="118"/>
      <c r="H118" s="192"/>
      <c r="I118" s="192"/>
      <c r="J118" s="175"/>
      <c r="K118" s="192"/>
      <c r="L118" s="192"/>
      <c r="M118" s="192"/>
      <c r="N118" s="175"/>
      <c r="O118" s="116"/>
      <c r="P118" s="175"/>
      <c r="Q118" s="175"/>
      <c r="R118" s="220"/>
      <c r="S118" s="175"/>
      <c r="T118" s="175"/>
      <c r="U118" s="175"/>
      <c r="V118" s="175"/>
      <c r="W118" s="175"/>
      <c r="X118" s="116"/>
    </row>
    <row r="119" spans="1:24" s="112" customFormat="1">
      <c r="A119" s="116"/>
      <c r="B119" s="115"/>
      <c r="C119" s="115"/>
      <c r="D119" s="115"/>
      <c r="E119" s="177"/>
      <c r="F119" s="28"/>
      <c r="G119" s="118"/>
      <c r="H119" s="192"/>
      <c r="I119" s="192"/>
      <c r="J119" s="175"/>
      <c r="K119" s="192"/>
      <c r="L119" s="192"/>
      <c r="M119" s="192"/>
      <c r="N119" s="175"/>
      <c r="O119" s="116"/>
      <c r="P119" s="175"/>
      <c r="Q119" s="175"/>
      <c r="R119" s="220"/>
      <c r="S119" s="175"/>
      <c r="T119" s="175"/>
      <c r="U119" s="175"/>
      <c r="V119" s="175"/>
      <c r="W119" s="175"/>
      <c r="X119" s="116"/>
    </row>
    <row r="120" spans="1:24" s="112" customFormat="1">
      <c r="A120" s="116"/>
      <c r="B120" s="115"/>
      <c r="C120" s="115"/>
      <c r="D120" s="115"/>
      <c r="E120" s="177"/>
      <c r="F120" s="28"/>
      <c r="G120" s="118"/>
      <c r="H120" s="192"/>
      <c r="I120" s="192"/>
      <c r="J120" s="175"/>
      <c r="K120" s="192"/>
      <c r="L120" s="192"/>
      <c r="M120" s="192"/>
      <c r="N120" s="175"/>
      <c r="O120" s="116"/>
      <c r="P120" s="175"/>
      <c r="Q120" s="175"/>
      <c r="R120" s="220"/>
      <c r="S120" s="175"/>
      <c r="T120" s="175"/>
      <c r="U120" s="175"/>
      <c r="V120" s="175"/>
      <c r="W120" s="175"/>
      <c r="X120" s="116"/>
    </row>
    <row r="121" spans="1:24" s="112" customFormat="1">
      <c r="A121" s="116"/>
      <c r="B121" s="115"/>
      <c r="C121" s="115"/>
      <c r="D121" s="115"/>
      <c r="E121" s="177"/>
      <c r="F121" s="28"/>
      <c r="G121" s="118"/>
      <c r="H121" s="192"/>
      <c r="I121" s="192"/>
      <c r="J121" s="175"/>
      <c r="K121" s="192"/>
      <c r="L121" s="192"/>
      <c r="M121" s="192"/>
      <c r="N121" s="175"/>
      <c r="O121" s="116"/>
      <c r="P121" s="175"/>
      <c r="Q121" s="175"/>
      <c r="R121" s="220"/>
      <c r="S121" s="175"/>
      <c r="T121" s="175"/>
      <c r="U121" s="175"/>
      <c r="V121" s="175"/>
      <c r="W121" s="175"/>
      <c r="X121" s="116"/>
    </row>
    <row r="122" spans="1:24" s="112" customFormat="1">
      <c r="A122" s="116"/>
      <c r="B122" s="115"/>
      <c r="C122" s="115"/>
      <c r="D122" s="115"/>
      <c r="E122" s="177"/>
      <c r="F122" s="28"/>
      <c r="G122" s="118"/>
      <c r="H122" s="192"/>
      <c r="I122" s="192"/>
      <c r="J122" s="175"/>
      <c r="K122" s="192"/>
      <c r="L122" s="192"/>
      <c r="M122" s="192"/>
      <c r="N122" s="175"/>
      <c r="O122" s="116"/>
      <c r="P122" s="175"/>
      <c r="Q122" s="175"/>
      <c r="R122" s="220"/>
      <c r="S122" s="175"/>
      <c r="T122" s="175"/>
      <c r="U122" s="175"/>
      <c r="V122" s="175"/>
      <c r="W122" s="175"/>
      <c r="X122" s="116"/>
    </row>
    <row r="123" spans="1:24" s="112" customFormat="1">
      <c r="A123" s="116"/>
      <c r="B123" s="115"/>
      <c r="C123" s="115"/>
      <c r="D123" s="115"/>
      <c r="E123" s="177"/>
      <c r="F123" s="28"/>
      <c r="G123" s="118"/>
      <c r="H123" s="192"/>
      <c r="I123" s="192"/>
      <c r="J123" s="175"/>
      <c r="K123" s="192"/>
      <c r="L123" s="192"/>
      <c r="M123" s="192"/>
      <c r="N123" s="175"/>
      <c r="O123" s="116"/>
      <c r="P123" s="175"/>
      <c r="Q123" s="175"/>
      <c r="R123" s="220"/>
      <c r="S123" s="175"/>
      <c r="T123" s="175"/>
      <c r="U123" s="175"/>
      <c r="V123" s="175"/>
      <c r="W123" s="175"/>
      <c r="X123" s="116"/>
    </row>
    <row r="124" spans="1:24" s="112" customFormat="1">
      <c r="A124" s="116"/>
      <c r="B124" s="115"/>
      <c r="C124" s="115"/>
      <c r="D124" s="115"/>
      <c r="E124" s="177"/>
      <c r="F124" s="28"/>
      <c r="G124" s="118"/>
      <c r="H124" s="192"/>
      <c r="I124" s="192"/>
      <c r="J124" s="175"/>
      <c r="K124" s="192"/>
      <c r="L124" s="192"/>
      <c r="M124" s="192"/>
      <c r="N124" s="175"/>
      <c r="O124" s="116"/>
      <c r="P124" s="175"/>
      <c r="Q124" s="175"/>
      <c r="R124" s="220"/>
      <c r="S124" s="175"/>
      <c r="T124" s="175"/>
      <c r="U124" s="175"/>
      <c r="V124" s="175"/>
      <c r="W124" s="175"/>
      <c r="X124" s="116"/>
    </row>
    <row r="125" spans="1:24" s="112" customFormat="1">
      <c r="A125" s="116"/>
      <c r="B125" s="115"/>
      <c r="C125" s="115"/>
      <c r="D125" s="115"/>
      <c r="E125" s="177"/>
      <c r="F125" s="28"/>
      <c r="G125" s="118"/>
      <c r="H125" s="192"/>
      <c r="I125" s="192"/>
      <c r="J125" s="175"/>
      <c r="K125" s="192"/>
      <c r="L125" s="192"/>
      <c r="M125" s="192"/>
      <c r="N125" s="175"/>
      <c r="O125" s="116"/>
      <c r="P125" s="175"/>
      <c r="Q125" s="175"/>
      <c r="R125" s="220"/>
      <c r="S125" s="175"/>
      <c r="T125" s="175"/>
      <c r="U125" s="175"/>
      <c r="V125" s="175"/>
      <c r="W125" s="175"/>
      <c r="X125" s="116"/>
    </row>
    <row r="126" spans="1:24" s="112" customFormat="1">
      <c r="A126" s="116"/>
      <c r="B126" s="115"/>
      <c r="C126" s="115"/>
      <c r="D126" s="115"/>
      <c r="E126" s="177"/>
      <c r="F126" s="28"/>
      <c r="G126" s="118"/>
      <c r="H126" s="192"/>
      <c r="I126" s="192"/>
      <c r="J126" s="175"/>
      <c r="K126" s="192"/>
      <c r="L126" s="192"/>
      <c r="M126" s="192"/>
      <c r="N126" s="175"/>
      <c r="O126" s="116"/>
      <c r="P126" s="175"/>
      <c r="Q126" s="175"/>
      <c r="R126" s="220"/>
      <c r="S126" s="175"/>
      <c r="T126" s="175"/>
      <c r="U126" s="175"/>
      <c r="V126" s="175"/>
      <c r="W126" s="175"/>
      <c r="X126" s="116"/>
    </row>
    <row r="127" spans="1:24" s="112" customFormat="1">
      <c r="A127" s="116"/>
      <c r="B127" s="115"/>
      <c r="C127" s="115"/>
      <c r="D127" s="115"/>
      <c r="E127" s="177"/>
      <c r="F127" s="28"/>
      <c r="G127" s="118"/>
      <c r="H127" s="192"/>
      <c r="I127" s="192"/>
      <c r="J127" s="175"/>
      <c r="K127" s="192"/>
      <c r="L127" s="192"/>
      <c r="M127" s="192"/>
      <c r="N127" s="175"/>
      <c r="O127" s="116"/>
      <c r="P127" s="175"/>
      <c r="Q127" s="175"/>
      <c r="R127" s="220"/>
      <c r="S127" s="175"/>
      <c r="T127" s="175"/>
      <c r="U127" s="175"/>
      <c r="V127" s="175"/>
      <c r="W127" s="175"/>
      <c r="X127" s="116"/>
    </row>
    <row r="128" spans="1:24" s="112" customFormat="1">
      <c r="A128" s="116"/>
      <c r="B128" s="115"/>
      <c r="C128" s="115"/>
      <c r="D128" s="115"/>
      <c r="E128" s="177"/>
      <c r="F128" s="28"/>
      <c r="G128" s="118"/>
      <c r="H128" s="192"/>
      <c r="I128" s="192"/>
      <c r="J128" s="175"/>
      <c r="K128" s="192"/>
      <c r="L128" s="192"/>
      <c r="M128" s="192"/>
      <c r="N128" s="175"/>
      <c r="O128" s="116"/>
      <c r="P128" s="175"/>
      <c r="Q128" s="175"/>
      <c r="R128" s="220"/>
      <c r="S128" s="175"/>
      <c r="T128" s="175"/>
      <c r="U128" s="175"/>
      <c r="V128" s="175"/>
      <c r="W128" s="175"/>
      <c r="X128" s="116"/>
    </row>
    <row r="129" spans="1:24" s="112" customFormat="1">
      <c r="A129" s="116"/>
      <c r="B129" s="115"/>
      <c r="C129" s="115"/>
      <c r="D129" s="115"/>
      <c r="E129" s="177"/>
      <c r="F129" s="28"/>
      <c r="G129" s="118"/>
      <c r="H129" s="192"/>
      <c r="I129" s="192"/>
      <c r="J129" s="175"/>
      <c r="K129" s="192"/>
      <c r="L129" s="192"/>
      <c r="M129" s="192"/>
      <c r="N129" s="175"/>
      <c r="O129" s="116"/>
      <c r="P129" s="175"/>
      <c r="Q129" s="175"/>
      <c r="R129" s="220"/>
      <c r="S129" s="175"/>
      <c r="T129" s="175"/>
      <c r="U129" s="175"/>
      <c r="V129" s="175"/>
      <c r="W129" s="175"/>
      <c r="X129" s="116"/>
    </row>
    <row r="130" spans="1:24" s="112" customFormat="1">
      <c r="A130" s="116"/>
      <c r="B130" s="115"/>
      <c r="C130" s="115"/>
      <c r="D130" s="115"/>
      <c r="E130" s="177"/>
      <c r="F130" s="28"/>
      <c r="G130" s="118"/>
      <c r="H130" s="192"/>
      <c r="I130" s="192"/>
      <c r="J130" s="175"/>
      <c r="K130" s="192"/>
      <c r="L130" s="192"/>
      <c r="M130" s="192"/>
      <c r="N130" s="175"/>
      <c r="O130" s="116"/>
      <c r="P130" s="175"/>
      <c r="Q130" s="175"/>
      <c r="R130" s="220"/>
      <c r="S130" s="175"/>
      <c r="T130" s="175"/>
      <c r="U130" s="175"/>
      <c r="V130" s="175"/>
      <c r="W130" s="175"/>
      <c r="X130" s="116"/>
    </row>
    <row r="131" spans="1:24" s="112" customFormat="1">
      <c r="A131" s="116"/>
      <c r="B131" s="115"/>
      <c r="C131" s="115"/>
      <c r="D131" s="115"/>
      <c r="E131" s="177"/>
      <c r="F131" s="28"/>
      <c r="G131" s="118"/>
      <c r="H131" s="192"/>
      <c r="I131" s="192"/>
      <c r="J131" s="175"/>
      <c r="K131" s="192"/>
      <c r="L131" s="192"/>
      <c r="M131" s="192"/>
      <c r="N131" s="175"/>
      <c r="O131" s="116"/>
      <c r="P131" s="175"/>
      <c r="Q131" s="175"/>
      <c r="R131" s="220"/>
      <c r="S131" s="175"/>
      <c r="T131" s="175"/>
      <c r="U131" s="175"/>
      <c r="V131" s="175"/>
      <c r="W131" s="175"/>
      <c r="X131" s="116"/>
    </row>
    <row r="132" spans="1:24" s="112" customFormat="1">
      <c r="A132" s="116"/>
      <c r="B132" s="115"/>
      <c r="C132" s="115"/>
      <c r="D132" s="115"/>
      <c r="E132" s="177"/>
      <c r="F132" s="28"/>
      <c r="G132" s="118"/>
      <c r="H132" s="192"/>
      <c r="I132" s="192"/>
      <c r="J132" s="175"/>
      <c r="K132" s="192"/>
      <c r="L132" s="192"/>
      <c r="M132" s="192"/>
      <c r="N132" s="175"/>
      <c r="O132" s="116"/>
      <c r="P132" s="175"/>
      <c r="Q132" s="175"/>
      <c r="R132" s="220"/>
      <c r="S132" s="175"/>
      <c r="T132" s="175"/>
      <c r="U132" s="175"/>
      <c r="V132" s="175"/>
      <c r="W132" s="175"/>
      <c r="X132" s="116"/>
    </row>
    <row r="133" spans="1:24" s="112" customFormat="1">
      <c r="A133" s="116"/>
      <c r="B133" s="115"/>
      <c r="C133" s="115"/>
      <c r="D133" s="115"/>
      <c r="E133" s="177"/>
      <c r="F133" s="28"/>
      <c r="G133" s="118"/>
      <c r="H133" s="192"/>
      <c r="I133" s="192"/>
      <c r="J133" s="175"/>
      <c r="K133" s="192"/>
      <c r="L133" s="192"/>
      <c r="M133" s="192"/>
      <c r="N133" s="175"/>
      <c r="O133" s="116"/>
      <c r="P133" s="175"/>
      <c r="Q133" s="175"/>
      <c r="R133" s="220"/>
      <c r="S133" s="175"/>
      <c r="T133" s="175"/>
      <c r="U133" s="175"/>
      <c r="V133" s="175"/>
      <c r="W133" s="175"/>
      <c r="X133" s="116"/>
    </row>
    <row r="134" spans="1:24" s="112" customFormat="1">
      <c r="A134" s="116"/>
      <c r="B134" s="115"/>
      <c r="C134" s="115"/>
      <c r="D134" s="115"/>
      <c r="E134" s="177"/>
      <c r="F134" s="28"/>
      <c r="G134" s="118"/>
      <c r="H134" s="192"/>
      <c r="I134" s="192"/>
      <c r="J134" s="175"/>
      <c r="K134" s="192"/>
      <c r="L134" s="192"/>
      <c r="M134" s="192"/>
      <c r="N134" s="175"/>
      <c r="O134" s="116"/>
      <c r="P134" s="175"/>
      <c r="Q134" s="175"/>
      <c r="R134" s="220"/>
      <c r="S134" s="175"/>
      <c r="T134" s="175"/>
      <c r="U134" s="175"/>
      <c r="V134" s="175"/>
      <c r="W134" s="175"/>
      <c r="X134" s="116"/>
    </row>
    <row r="135" spans="1:24" s="112" customFormat="1">
      <c r="A135" s="116"/>
      <c r="B135" s="115"/>
      <c r="C135" s="115"/>
      <c r="D135" s="115"/>
      <c r="E135" s="177"/>
      <c r="F135" s="28"/>
      <c r="G135" s="118"/>
      <c r="H135" s="192"/>
      <c r="I135" s="192"/>
      <c r="J135" s="175"/>
      <c r="K135" s="192"/>
      <c r="L135" s="192"/>
      <c r="M135" s="192"/>
      <c r="N135" s="175"/>
      <c r="O135" s="116"/>
      <c r="P135" s="175"/>
      <c r="Q135" s="175"/>
      <c r="R135" s="220"/>
      <c r="S135" s="175"/>
      <c r="T135" s="175"/>
      <c r="U135" s="175"/>
      <c r="V135" s="175"/>
      <c r="W135" s="175"/>
      <c r="X135" s="116"/>
    </row>
    <row r="136" spans="1:24" s="112" customFormat="1">
      <c r="A136" s="116"/>
      <c r="B136" s="115"/>
      <c r="C136" s="115"/>
      <c r="D136" s="115"/>
      <c r="E136" s="177"/>
      <c r="F136" s="28"/>
      <c r="G136" s="118"/>
      <c r="H136" s="192"/>
      <c r="I136" s="192"/>
      <c r="J136" s="175"/>
      <c r="K136" s="192"/>
      <c r="L136" s="192"/>
      <c r="M136" s="192"/>
      <c r="N136" s="175"/>
      <c r="O136" s="116"/>
      <c r="P136" s="175"/>
      <c r="Q136" s="175"/>
      <c r="R136" s="220"/>
      <c r="S136" s="175"/>
      <c r="T136" s="175"/>
      <c r="U136" s="175"/>
      <c r="V136" s="175"/>
      <c r="W136" s="175"/>
      <c r="X136" s="116"/>
    </row>
    <row r="137" spans="1:24" s="112" customFormat="1">
      <c r="A137" s="116"/>
      <c r="B137" s="115"/>
      <c r="C137" s="115"/>
      <c r="D137" s="115"/>
      <c r="E137" s="177"/>
      <c r="F137" s="28"/>
      <c r="G137" s="118"/>
      <c r="H137" s="192"/>
      <c r="I137" s="192"/>
      <c r="J137" s="175"/>
      <c r="K137" s="192"/>
      <c r="L137" s="192"/>
      <c r="M137" s="192"/>
      <c r="N137" s="175"/>
      <c r="O137" s="116"/>
      <c r="P137" s="175"/>
      <c r="Q137" s="175"/>
      <c r="R137" s="220"/>
      <c r="S137" s="175"/>
      <c r="T137" s="175"/>
      <c r="U137" s="175"/>
      <c r="V137" s="175"/>
      <c r="W137" s="175"/>
      <c r="X137" s="116"/>
    </row>
    <row r="138" spans="1:24" s="112" customFormat="1">
      <c r="A138" s="116"/>
      <c r="B138" s="115"/>
      <c r="C138" s="115"/>
      <c r="D138" s="115"/>
      <c r="E138" s="177"/>
      <c r="F138" s="28"/>
      <c r="G138" s="118"/>
      <c r="H138" s="192"/>
      <c r="I138" s="192"/>
      <c r="J138" s="175"/>
      <c r="K138" s="192"/>
      <c r="L138" s="192"/>
      <c r="M138" s="192"/>
      <c r="N138" s="175"/>
      <c r="O138" s="116"/>
      <c r="P138" s="175"/>
      <c r="Q138" s="175"/>
      <c r="R138" s="220"/>
      <c r="S138" s="175"/>
      <c r="T138" s="175"/>
      <c r="U138" s="175"/>
      <c r="V138" s="175"/>
      <c r="W138" s="175"/>
      <c r="X138" s="116"/>
    </row>
    <row r="139" spans="1:24" s="112" customFormat="1">
      <c r="A139" s="116"/>
      <c r="B139" s="115"/>
      <c r="C139" s="115"/>
      <c r="D139" s="115"/>
      <c r="E139" s="177"/>
      <c r="F139" s="28"/>
      <c r="G139" s="118"/>
      <c r="H139" s="192"/>
      <c r="I139" s="192"/>
      <c r="J139" s="175"/>
      <c r="K139" s="192"/>
      <c r="L139" s="192"/>
      <c r="M139" s="192"/>
      <c r="N139" s="175"/>
      <c r="O139" s="116"/>
      <c r="P139" s="175"/>
      <c r="Q139" s="175"/>
      <c r="R139" s="220"/>
      <c r="S139" s="175"/>
      <c r="T139" s="175"/>
      <c r="U139" s="175"/>
      <c r="V139" s="175"/>
      <c r="W139" s="175"/>
      <c r="X139" s="116"/>
    </row>
    <row r="140" spans="1:24" s="112" customFormat="1">
      <c r="A140" s="116"/>
      <c r="B140" s="115"/>
      <c r="C140" s="115"/>
      <c r="D140" s="115"/>
      <c r="E140" s="177"/>
      <c r="F140" s="28"/>
      <c r="G140" s="118"/>
      <c r="H140" s="192"/>
      <c r="I140" s="192"/>
      <c r="J140" s="175"/>
      <c r="K140" s="192"/>
      <c r="L140" s="192"/>
      <c r="M140" s="192"/>
      <c r="N140" s="175"/>
      <c r="O140" s="116"/>
      <c r="P140" s="175"/>
      <c r="Q140" s="175"/>
      <c r="R140" s="220"/>
      <c r="S140" s="175"/>
      <c r="T140" s="175"/>
      <c r="U140" s="175"/>
      <c r="V140" s="175"/>
      <c r="W140" s="175"/>
      <c r="X140" s="116"/>
    </row>
    <row r="141" spans="1:24" s="112" customFormat="1">
      <c r="A141" s="116"/>
      <c r="B141" s="115"/>
      <c r="C141" s="115"/>
      <c r="D141" s="115"/>
      <c r="E141" s="177"/>
      <c r="F141" s="28"/>
      <c r="G141" s="118"/>
      <c r="H141" s="192"/>
      <c r="I141" s="192"/>
      <c r="J141" s="175"/>
      <c r="K141" s="192"/>
      <c r="L141" s="192"/>
      <c r="M141" s="192"/>
      <c r="N141" s="175"/>
      <c r="O141" s="116"/>
      <c r="P141" s="175"/>
      <c r="Q141" s="175"/>
      <c r="R141" s="220"/>
      <c r="S141" s="175"/>
      <c r="T141" s="175"/>
      <c r="U141" s="175"/>
      <c r="V141" s="175"/>
      <c r="W141" s="175"/>
      <c r="X141" s="116"/>
    </row>
    <row r="142" spans="1:24" s="112" customFormat="1">
      <c r="A142" s="116"/>
      <c r="B142" s="115"/>
      <c r="C142" s="115"/>
      <c r="D142" s="115"/>
      <c r="E142" s="177"/>
      <c r="F142" s="28"/>
      <c r="G142" s="118"/>
      <c r="H142" s="192"/>
      <c r="I142" s="192"/>
      <c r="J142" s="175"/>
      <c r="K142" s="192"/>
      <c r="L142" s="192"/>
      <c r="M142" s="192"/>
      <c r="N142" s="175"/>
      <c r="O142" s="116"/>
      <c r="P142" s="175"/>
      <c r="Q142" s="175"/>
      <c r="R142" s="220"/>
      <c r="S142" s="175"/>
      <c r="T142" s="175"/>
      <c r="U142" s="175"/>
      <c r="V142" s="175"/>
      <c r="W142" s="175"/>
      <c r="X142" s="116"/>
    </row>
    <row r="143" spans="1:24" s="112" customFormat="1">
      <c r="A143" s="116"/>
      <c r="B143" s="115"/>
      <c r="C143" s="115"/>
      <c r="D143" s="115"/>
      <c r="E143" s="177"/>
      <c r="F143" s="28"/>
      <c r="G143" s="118"/>
      <c r="H143" s="192"/>
      <c r="I143" s="192"/>
      <c r="J143" s="175"/>
      <c r="K143" s="192"/>
      <c r="L143" s="192"/>
      <c r="M143" s="192"/>
      <c r="N143" s="175"/>
      <c r="O143" s="116"/>
      <c r="P143" s="175"/>
      <c r="Q143" s="175"/>
      <c r="R143" s="220"/>
      <c r="S143" s="175"/>
      <c r="T143" s="175"/>
      <c r="U143" s="175"/>
      <c r="V143" s="175"/>
      <c r="W143" s="175"/>
      <c r="X143" s="116"/>
    </row>
    <row r="144" spans="1:24" s="112" customFormat="1">
      <c r="A144" s="116"/>
      <c r="B144" s="115"/>
      <c r="C144" s="115"/>
      <c r="D144" s="115"/>
      <c r="E144" s="177"/>
      <c r="F144" s="28"/>
      <c r="G144" s="118"/>
      <c r="H144" s="192"/>
      <c r="I144" s="192"/>
      <c r="J144" s="175"/>
      <c r="K144" s="192"/>
      <c r="L144" s="192"/>
      <c r="M144" s="192"/>
      <c r="N144" s="175"/>
      <c r="O144" s="116"/>
      <c r="P144" s="175"/>
      <c r="Q144" s="175"/>
      <c r="R144" s="220"/>
      <c r="S144" s="175"/>
      <c r="T144" s="175"/>
      <c r="U144" s="175"/>
      <c r="V144" s="175"/>
      <c r="W144" s="175"/>
      <c r="X144" s="116"/>
    </row>
    <row r="145" spans="1:24" s="112" customFormat="1">
      <c r="A145" s="116"/>
      <c r="B145" s="115"/>
      <c r="C145" s="115"/>
      <c r="D145" s="115"/>
      <c r="E145" s="177"/>
      <c r="F145" s="28"/>
      <c r="G145" s="118"/>
      <c r="H145" s="192"/>
      <c r="I145" s="192"/>
      <c r="J145" s="175"/>
      <c r="K145" s="192"/>
      <c r="L145" s="192"/>
      <c r="M145" s="192"/>
      <c r="N145" s="175"/>
      <c r="O145" s="116"/>
      <c r="P145" s="175"/>
      <c r="Q145" s="175"/>
      <c r="R145" s="220"/>
      <c r="S145" s="175"/>
      <c r="T145" s="175"/>
      <c r="U145" s="175"/>
      <c r="V145" s="175"/>
      <c r="W145" s="175"/>
      <c r="X145" s="116"/>
    </row>
    <row r="146" spans="1:24" s="112" customFormat="1">
      <c r="A146" s="116"/>
      <c r="B146" s="115"/>
      <c r="C146" s="115"/>
      <c r="D146" s="115"/>
      <c r="E146" s="177"/>
      <c r="F146" s="28"/>
      <c r="G146" s="118"/>
      <c r="H146" s="192"/>
      <c r="I146" s="192"/>
      <c r="J146" s="175"/>
      <c r="K146" s="192"/>
      <c r="L146" s="192"/>
      <c r="M146" s="192"/>
      <c r="N146" s="175"/>
      <c r="O146" s="116"/>
      <c r="P146" s="175"/>
      <c r="Q146" s="175"/>
      <c r="R146" s="220"/>
      <c r="S146" s="175"/>
      <c r="T146" s="175"/>
      <c r="U146" s="175"/>
      <c r="V146" s="175"/>
      <c r="W146" s="175"/>
      <c r="X146" s="116"/>
    </row>
    <row r="147" spans="1:24" s="112" customFormat="1">
      <c r="A147" s="116"/>
      <c r="B147" s="115"/>
      <c r="C147" s="115"/>
      <c r="D147" s="115"/>
      <c r="E147" s="177"/>
      <c r="F147" s="28"/>
      <c r="G147" s="118"/>
      <c r="H147" s="192"/>
      <c r="I147" s="192"/>
      <c r="J147" s="175"/>
      <c r="K147" s="192"/>
      <c r="L147" s="192"/>
      <c r="M147" s="192"/>
      <c r="N147" s="175"/>
      <c r="O147" s="116"/>
      <c r="P147" s="175"/>
      <c r="Q147" s="175"/>
      <c r="R147" s="220"/>
      <c r="S147" s="175"/>
      <c r="T147" s="175"/>
      <c r="U147" s="175"/>
      <c r="V147" s="175"/>
      <c r="W147" s="175"/>
      <c r="X147" s="116"/>
    </row>
    <row r="148" spans="1:24" s="112" customFormat="1">
      <c r="A148" s="116"/>
      <c r="B148" s="115"/>
      <c r="C148" s="115"/>
      <c r="D148" s="115"/>
      <c r="E148" s="177"/>
      <c r="F148" s="28"/>
      <c r="G148" s="118"/>
      <c r="H148" s="192"/>
      <c r="I148" s="192"/>
      <c r="J148" s="175"/>
      <c r="K148" s="192"/>
      <c r="L148" s="192"/>
      <c r="M148" s="192"/>
      <c r="N148" s="175"/>
      <c r="O148" s="116"/>
      <c r="P148" s="175"/>
      <c r="Q148" s="175"/>
      <c r="R148" s="220"/>
      <c r="S148" s="175"/>
      <c r="T148" s="175"/>
      <c r="U148" s="175"/>
      <c r="V148" s="175"/>
      <c r="W148" s="175"/>
      <c r="X148" s="116"/>
    </row>
    <row r="149" spans="1:24" s="112" customFormat="1">
      <c r="A149" s="116"/>
      <c r="B149" s="115"/>
      <c r="C149" s="115"/>
      <c r="D149" s="115"/>
      <c r="E149" s="177"/>
      <c r="F149" s="28"/>
      <c r="G149" s="118"/>
      <c r="H149" s="192"/>
      <c r="I149" s="192"/>
      <c r="J149" s="175"/>
      <c r="K149" s="192"/>
      <c r="L149" s="192"/>
      <c r="M149" s="192"/>
      <c r="N149" s="175"/>
      <c r="O149" s="116"/>
      <c r="P149" s="175"/>
      <c r="Q149" s="175"/>
      <c r="R149" s="220"/>
      <c r="S149" s="175"/>
      <c r="T149" s="175"/>
      <c r="U149" s="175"/>
      <c r="V149" s="175"/>
      <c r="W149" s="175"/>
      <c r="X149" s="116"/>
    </row>
    <row r="150" spans="1:24" s="112" customFormat="1">
      <c r="A150" s="116"/>
      <c r="B150" s="115"/>
      <c r="C150" s="115"/>
      <c r="D150" s="115"/>
      <c r="E150" s="177"/>
      <c r="F150" s="28"/>
      <c r="G150" s="118"/>
      <c r="H150" s="192"/>
      <c r="I150" s="192"/>
      <c r="J150" s="175"/>
      <c r="K150" s="192"/>
      <c r="L150" s="192"/>
      <c r="M150" s="192"/>
      <c r="N150" s="175"/>
      <c r="O150" s="116"/>
      <c r="P150" s="175"/>
      <c r="Q150" s="175"/>
      <c r="R150" s="220"/>
      <c r="S150" s="175"/>
      <c r="T150" s="175"/>
      <c r="U150" s="175"/>
      <c r="V150" s="175"/>
      <c r="W150" s="175"/>
      <c r="X150" s="116"/>
    </row>
    <row r="151" spans="1:24" s="112" customFormat="1">
      <c r="A151" s="116"/>
      <c r="B151" s="115"/>
      <c r="C151" s="115"/>
      <c r="D151" s="115"/>
      <c r="E151" s="177"/>
      <c r="F151" s="28"/>
      <c r="G151" s="118"/>
      <c r="H151" s="192"/>
      <c r="I151" s="192"/>
      <c r="J151" s="175"/>
      <c r="K151" s="192"/>
      <c r="L151" s="192"/>
      <c r="M151" s="192"/>
      <c r="N151" s="175"/>
      <c r="O151" s="116"/>
      <c r="P151" s="175"/>
      <c r="Q151" s="175"/>
      <c r="R151" s="220"/>
      <c r="S151" s="175"/>
      <c r="T151" s="175"/>
      <c r="U151" s="175"/>
      <c r="V151" s="175"/>
      <c r="W151" s="175"/>
      <c r="X151" s="116"/>
    </row>
    <row r="152" spans="1:24" s="112" customFormat="1">
      <c r="A152" s="116"/>
      <c r="B152" s="115"/>
      <c r="C152" s="115"/>
      <c r="D152" s="115"/>
      <c r="E152" s="177"/>
      <c r="F152" s="28"/>
      <c r="G152" s="118"/>
      <c r="H152" s="192"/>
      <c r="I152" s="192"/>
      <c r="J152" s="175"/>
      <c r="K152" s="192"/>
      <c r="L152" s="192"/>
      <c r="M152" s="192"/>
      <c r="N152" s="175"/>
      <c r="O152" s="116"/>
      <c r="P152" s="175"/>
      <c r="Q152" s="175"/>
      <c r="R152" s="220"/>
      <c r="S152" s="175"/>
      <c r="T152" s="175"/>
      <c r="U152" s="175"/>
      <c r="V152" s="175"/>
      <c r="W152" s="175"/>
      <c r="X152" s="116"/>
    </row>
    <row r="153" spans="1:24" s="112" customFormat="1">
      <c r="A153" s="116"/>
      <c r="B153" s="115"/>
      <c r="C153" s="115"/>
      <c r="D153" s="115"/>
      <c r="E153" s="177"/>
      <c r="F153" s="28"/>
      <c r="G153" s="118"/>
      <c r="H153" s="192"/>
      <c r="I153" s="192"/>
      <c r="J153" s="175"/>
      <c r="K153" s="192"/>
      <c r="L153" s="192"/>
      <c r="M153" s="192"/>
      <c r="N153" s="175"/>
      <c r="O153" s="116"/>
      <c r="P153" s="175"/>
      <c r="Q153" s="175"/>
      <c r="R153" s="220"/>
      <c r="S153" s="175"/>
      <c r="T153" s="175"/>
      <c r="U153" s="175"/>
      <c r="V153" s="175"/>
      <c r="W153" s="175"/>
      <c r="X153" s="116"/>
    </row>
    <row r="154" spans="1:24" s="112" customFormat="1">
      <c r="A154" s="116"/>
      <c r="B154" s="115"/>
      <c r="C154" s="115"/>
      <c r="D154" s="115"/>
      <c r="E154" s="177"/>
      <c r="F154" s="28"/>
      <c r="G154" s="118"/>
      <c r="H154" s="192"/>
      <c r="I154" s="192"/>
      <c r="J154" s="175"/>
      <c r="K154" s="192"/>
      <c r="L154" s="192"/>
      <c r="M154" s="192"/>
      <c r="N154" s="175"/>
      <c r="O154" s="116"/>
      <c r="P154" s="175"/>
      <c r="Q154" s="175"/>
      <c r="R154" s="220"/>
      <c r="S154" s="175"/>
      <c r="T154" s="175"/>
      <c r="U154" s="175"/>
      <c r="V154" s="175"/>
      <c r="W154" s="175"/>
      <c r="X154" s="116"/>
    </row>
    <row r="155" spans="1:24" s="112" customFormat="1">
      <c r="A155" s="116"/>
      <c r="B155" s="115"/>
      <c r="C155" s="115"/>
      <c r="D155" s="115"/>
      <c r="E155" s="177"/>
      <c r="F155" s="28"/>
      <c r="G155" s="118"/>
      <c r="H155" s="192"/>
      <c r="I155" s="192"/>
      <c r="J155" s="175"/>
      <c r="K155" s="192"/>
      <c r="L155" s="192"/>
      <c r="M155" s="192"/>
      <c r="N155" s="175"/>
      <c r="O155" s="116"/>
      <c r="P155" s="175"/>
      <c r="Q155" s="175"/>
      <c r="R155" s="220"/>
      <c r="S155" s="175"/>
      <c r="T155" s="175"/>
      <c r="U155" s="175"/>
      <c r="V155" s="175"/>
      <c r="W155" s="175"/>
      <c r="X155" s="116"/>
    </row>
    <row r="156" spans="1:24" s="112" customFormat="1">
      <c r="A156" s="116"/>
      <c r="B156" s="115"/>
      <c r="C156" s="115"/>
      <c r="D156" s="115"/>
      <c r="E156" s="177"/>
      <c r="F156" s="28"/>
      <c r="G156" s="118"/>
      <c r="H156" s="192"/>
      <c r="I156" s="192"/>
      <c r="J156" s="175"/>
      <c r="K156" s="192"/>
      <c r="L156" s="192"/>
      <c r="M156" s="192"/>
      <c r="N156" s="175"/>
      <c r="O156" s="116"/>
      <c r="P156" s="175"/>
      <c r="Q156" s="175"/>
      <c r="R156" s="220"/>
      <c r="S156" s="175"/>
      <c r="T156" s="175"/>
      <c r="U156" s="175"/>
      <c r="V156" s="175"/>
      <c r="W156" s="175"/>
      <c r="X156" s="116"/>
    </row>
    <row r="157" spans="1:24" s="112" customFormat="1">
      <c r="A157" s="116"/>
      <c r="B157" s="115"/>
      <c r="C157" s="115"/>
      <c r="D157" s="115"/>
      <c r="E157" s="177"/>
      <c r="F157" s="28"/>
      <c r="G157" s="118"/>
      <c r="H157" s="192"/>
      <c r="I157" s="192"/>
      <c r="J157" s="175"/>
      <c r="K157" s="192"/>
      <c r="L157" s="192"/>
      <c r="M157" s="192"/>
      <c r="N157" s="175"/>
      <c r="O157" s="116"/>
      <c r="P157" s="175"/>
      <c r="Q157" s="175"/>
      <c r="R157" s="220"/>
      <c r="S157" s="175"/>
      <c r="T157" s="175"/>
      <c r="U157" s="175"/>
      <c r="V157" s="175"/>
      <c r="W157" s="175"/>
      <c r="X157" s="116"/>
    </row>
    <row r="158" spans="1:24" s="112" customFormat="1">
      <c r="A158" s="116"/>
      <c r="B158" s="115"/>
      <c r="C158" s="115"/>
      <c r="D158" s="115"/>
      <c r="E158" s="177"/>
      <c r="F158" s="28"/>
      <c r="G158" s="118"/>
      <c r="H158" s="192"/>
      <c r="I158" s="192"/>
      <c r="J158" s="175"/>
      <c r="K158" s="192"/>
      <c r="L158" s="192"/>
      <c r="M158" s="192"/>
      <c r="N158" s="175"/>
      <c r="O158" s="116"/>
      <c r="P158" s="175"/>
      <c r="Q158" s="175"/>
      <c r="R158" s="220"/>
      <c r="S158" s="175"/>
      <c r="T158" s="175"/>
      <c r="U158" s="175"/>
      <c r="V158" s="175"/>
      <c r="W158" s="175"/>
      <c r="X158" s="116"/>
    </row>
    <row r="159" spans="1:24" s="112" customFormat="1">
      <c r="A159" s="116"/>
      <c r="B159" s="115"/>
      <c r="C159" s="115"/>
      <c r="D159" s="115"/>
      <c r="E159" s="177"/>
      <c r="F159" s="28"/>
      <c r="G159" s="118"/>
      <c r="H159" s="192"/>
      <c r="I159" s="192"/>
      <c r="J159" s="175"/>
      <c r="K159" s="192"/>
      <c r="L159" s="192"/>
      <c r="M159" s="192"/>
      <c r="N159" s="175"/>
      <c r="O159" s="116"/>
      <c r="P159" s="175"/>
      <c r="Q159" s="175"/>
      <c r="R159" s="220"/>
      <c r="S159" s="175"/>
      <c r="T159" s="175"/>
      <c r="U159" s="175"/>
      <c r="V159" s="175"/>
      <c r="W159" s="175"/>
      <c r="X159" s="116"/>
    </row>
    <row r="160" spans="1:24" s="112" customFormat="1">
      <c r="A160" s="116"/>
      <c r="B160" s="115"/>
      <c r="C160" s="115"/>
      <c r="D160" s="115"/>
      <c r="E160" s="177"/>
      <c r="F160" s="28"/>
      <c r="G160" s="118"/>
      <c r="H160" s="192"/>
      <c r="I160" s="192"/>
      <c r="J160" s="175"/>
      <c r="K160" s="192"/>
      <c r="L160" s="192"/>
      <c r="M160" s="192"/>
      <c r="N160" s="175"/>
      <c r="O160" s="116"/>
      <c r="P160" s="175"/>
      <c r="Q160" s="175"/>
      <c r="R160" s="220"/>
      <c r="S160" s="175"/>
      <c r="T160" s="175"/>
      <c r="U160" s="175"/>
      <c r="V160" s="175"/>
      <c r="W160" s="175"/>
      <c r="X160" s="116"/>
    </row>
    <row r="161" spans="1:24" s="112" customFormat="1">
      <c r="A161" s="116"/>
      <c r="B161" s="115"/>
      <c r="C161" s="115"/>
      <c r="D161" s="115"/>
      <c r="E161" s="177"/>
      <c r="F161" s="28"/>
      <c r="G161" s="118"/>
      <c r="H161" s="192"/>
      <c r="I161" s="192"/>
      <c r="J161" s="175"/>
      <c r="K161" s="192"/>
      <c r="L161" s="192"/>
      <c r="M161" s="192"/>
      <c r="N161" s="175"/>
      <c r="O161" s="116"/>
      <c r="P161" s="175"/>
      <c r="Q161" s="175"/>
      <c r="R161" s="220"/>
      <c r="S161" s="175"/>
      <c r="T161" s="175"/>
      <c r="U161" s="175"/>
      <c r="V161" s="175"/>
      <c r="W161" s="175"/>
      <c r="X161" s="116"/>
    </row>
    <row r="162" spans="1:24" s="112" customFormat="1">
      <c r="A162" s="116"/>
      <c r="B162" s="115"/>
      <c r="C162" s="115"/>
      <c r="D162" s="115"/>
      <c r="E162" s="177"/>
      <c r="F162" s="28"/>
      <c r="G162" s="118"/>
      <c r="H162" s="192"/>
      <c r="I162" s="192"/>
      <c r="J162" s="175"/>
      <c r="K162" s="192"/>
      <c r="L162" s="192"/>
      <c r="M162" s="192"/>
      <c r="N162" s="175"/>
      <c r="O162" s="116"/>
      <c r="P162" s="175"/>
      <c r="Q162" s="175"/>
      <c r="R162" s="220"/>
      <c r="S162" s="175"/>
      <c r="T162" s="175"/>
      <c r="U162" s="175"/>
      <c r="V162" s="175"/>
      <c r="W162" s="175"/>
      <c r="X162" s="116"/>
    </row>
    <row r="163" spans="1:24" s="112" customFormat="1">
      <c r="A163" s="116"/>
      <c r="B163" s="115"/>
      <c r="C163" s="115"/>
      <c r="D163" s="115"/>
      <c r="E163" s="177"/>
      <c r="F163" s="28"/>
      <c r="G163" s="118"/>
      <c r="H163" s="192"/>
      <c r="I163" s="192"/>
      <c r="J163" s="175"/>
      <c r="K163" s="192"/>
      <c r="L163" s="192"/>
      <c r="M163" s="192"/>
      <c r="N163" s="175"/>
      <c r="O163" s="116"/>
      <c r="P163" s="175"/>
      <c r="Q163" s="175"/>
      <c r="R163" s="220"/>
      <c r="S163" s="175"/>
      <c r="T163" s="175"/>
      <c r="U163" s="175"/>
      <c r="V163" s="175"/>
      <c r="W163" s="175"/>
      <c r="X163" s="116"/>
    </row>
    <row r="164" spans="1:24" s="112" customFormat="1">
      <c r="A164" s="116"/>
      <c r="B164" s="115"/>
      <c r="C164" s="115"/>
      <c r="D164" s="115"/>
      <c r="E164" s="177"/>
      <c r="F164" s="28"/>
      <c r="G164" s="118"/>
      <c r="H164" s="192"/>
      <c r="I164" s="192"/>
      <c r="J164" s="175"/>
      <c r="K164" s="192"/>
      <c r="L164" s="192"/>
      <c r="M164" s="192"/>
      <c r="N164" s="175"/>
      <c r="O164" s="116"/>
      <c r="P164" s="175"/>
      <c r="Q164" s="175"/>
      <c r="R164" s="220"/>
      <c r="S164" s="175"/>
      <c r="T164" s="175"/>
      <c r="U164" s="175"/>
      <c r="V164" s="175"/>
      <c r="W164" s="175"/>
      <c r="X164" s="116"/>
    </row>
    <row r="165" spans="1:24" s="112" customFormat="1">
      <c r="A165" s="116"/>
      <c r="B165" s="115"/>
      <c r="C165" s="115"/>
      <c r="D165" s="115"/>
      <c r="E165" s="177"/>
      <c r="F165" s="28"/>
      <c r="G165" s="118"/>
      <c r="H165" s="192"/>
      <c r="I165" s="192"/>
      <c r="J165" s="175"/>
      <c r="K165" s="192"/>
      <c r="L165" s="192"/>
      <c r="M165" s="192"/>
      <c r="N165" s="175"/>
      <c r="O165" s="116"/>
      <c r="P165" s="175"/>
      <c r="Q165" s="175"/>
      <c r="R165" s="220"/>
      <c r="S165" s="175"/>
      <c r="T165" s="175"/>
      <c r="U165" s="175"/>
      <c r="V165" s="175"/>
      <c r="W165" s="175"/>
      <c r="X165" s="116"/>
    </row>
    <row r="166" spans="1:24" s="112" customFormat="1">
      <c r="A166" s="116"/>
      <c r="B166" s="115"/>
      <c r="C166" s="115"/>
      <c r="D166" s="115"/>
      <c r="E166" s="177"/>
      <c r="F166" s="28"/>
      <c r="G166" s="118"/>
      <c r="H166" s="192"/>
      <c r="I166" s="192"/>
      <c r="J166" s="175"/>
      <c r="K166" s="192"/>
      <c r="L166" s="192"/>
      <c r="M166" s="192"/>
      <c r="N166" s="175"/>
      <c r="O166" s="116"/>
      <c r="P166" s="175"/>
      <c r="Q166" s="175"/>
      <c r="R166" s="220"/>
      <c r="S166" s="175"/>
      <c r="T166" s="175"/>
      <c r="U166" s="175"/>
      <c r="V166" s="175"/>
      <c r="W166" s="175"/>
      <c r="X166" s="116"/>
    </row>
    <row r="167" spans="1:24" s="112" customFormat="1">
      <c r="A167" s="116"/>
      <c r="B167" s="115"/>
      <c r="C167" s="115"/>
      <c r="D167" s="115"/>
      <c r="E167" s="177"/>
      <c r="F167" s="28"/>
      <c r="G167" s="118"/>
      <c r="H167" s="192"/>
      <c r="I167" s="192"/>
      <c r="J167" s="175"/>
      <c r="K167" s="192"/>
      <c r="L167" s="192"/>
      <c r="M167" s="192"/>
      <c r="N167" s="175"/>
      <c r="O167" s="116"/>
      <c r="P167" s="175"/>
      <c r="Q167" s="175"/>
      <c r="R167" s="220"/>
      <c r="S167" s="175"/>
      <c r="T167" s="175"/>
      <c r="U167" s="175"/>
      <c r="V167" s="175"/>
      <c r="W167" s="175"/>
      <c r="X167" s="116"/>
    </row>
    <row r="168" spans="1:24" s="112" customFormat="1">
      <c r="A168" s="116"/>
      <c r="B168" s="115"/>
      <c r="C168" s="115"/>
      <c r="D168" s="115"/>
      <c r="E168" s="177"/>
      <c r="F168" s="28"/>
      <c r="G168" s="118"/>
      <c r="H168" s="192"/>
      <c r="I168" s="192"/>
      <c r="J168" s="175"/>
      <c r="K168" s="192"/>
      <c r="L168" s="192"/>
      <c r="M168" s="192"/>
      <c r="N168" s="175"/>
      <c r="O168" s="116"/>
      <c r="P168" s="175"/>
      <c r="Q168" s="175"/>
      <c r="R168" s="220"/>
      <c r="S168" s="175"/>
      <c r="T168" s="175"/>
      <c r="U168" s="175"/>
      <c r="V168" s="175"/>
      <c r="W168" s="175"/>
      <c r="X168" s="116"/>
    </row>
    <row r="169" spans="1:24" s="112" customFormat="1">
      <c r="A169" s="116"/>
      <c r="B169" s="115"/>
      <c r="C169" s="115"/>
      <c r="D169" s="115"/>
      <c r="E169" s="177"/>
      <c r="F169" s="28"/>
      <c r="G169" s="118"/>
      <c r="H169" s="192"/>
      <c r="I169" s="192"/>
      <c r="J169" s="175"/>
      <c r="K169" s="192"/>
      <c r="L169" s="192"/>
      <c r="M169" s="192"/>
      <c r="N169" s="175"/>
      <c r="O169" s="116"/>
      <c r="P169" s="175"/>
      <c r="Q169" s="175"/>
      <c r="R169" s="220"/>
      <c r="S169" s="175"/>
      <c r="T169" s="175"/>
      <c r="U169" s="175"/>
      <c r="V169" s="175"/>
      <c r="W169" s="175"/>
      <c r="X169" s="116"/>
    </row>
    <row r="170" spans="1:24" s="112" customFormat="1">
      <c r="A170" s="116"/>
      <c r="B170" s="115"/>
      <c r="C170" s="115"/>
      <c r="D170" s="115"/>
      <c r="E170" s="177"/>
      <c r="F170" s="28"/>
      <c r="G170" s="118"/>
      <c r="H170" s="192"/>
      <c r="I170" s="192"/>
      <c r="J170" s="175"/>
      <c r="K170" s="192"/>
      <c r="L170" s="192"/>
      <c r="M170" s="192"/>
      <c r="N170" s="175"/>
      <c r="O170" s="116"/>
      <c r="P170" s="175"/>
      <c r="Q170" s="175"/>
      <c r="R170" s="220"/>
      <c r="S170" s="175"/>
      <c r="T170" s="175"/>
      <c r="U170" s="175"/>
      <c r="V170" s="175"/>
      <c r="W170" s="175"/>
      <c r="X170" s="116"/>
    </row>
    <row r="171" spans="1:24" s="112" customFormat="1">
      <c r="A171" s="116"/>
      <c r="B171" s="115"/>
      <c r="C171" s="115"/>
      <c r="D171" s="115"/>
      <c r="E171" s="177"/>
      <c r="F171" s="28"/>
      <c r="G171" s="118"/>
      <c r="H171" s="192"/>
      <c r="I171" s="192"/>
      <c r="J171" s="175"/>
      <c r="K171" s="192"/>
      <c r="L171" s="192"/>
      <c r="M171" s="192"/>
      <c r="N171" s="175"/>
      <c r="O171" s="116"/>
      <c r="P171" s="175"/>
      <c r="Q171" s="175"/>
      <c r="R171" s="220"/>
      <c r="S171" s="175"/>
      <c r="T171" s="175"/>
      <c r="U171" s="175"/>
      <c r="V171" s="175"/>
      <c r="W171" s="175"/>
      <c r="X171" s="116"/>
    </row>
    <row r="172" spans="1:24" s="112" customFormat="1">
      <c r="A172" s="116"/>
      <c r="B172" s="115"/>
      <c r="C172" s="115"/>
      <c r="D172" s="115"/>
      <c r="E172" s="177"/>
      <c r="F172" s="28"/>
      <c r="G172" s="118"/>
      <c r="H172" s="192"/>
      <c r="I172" s="192"/>
      <c r="J172" s="175"/>
      <c r="K172" s="192"/>
      <c r="L172" s="192"/>
      <c r="M172" s="192"/>
      <c r="N172" s="175"/>
      <c r="O172" s="116"/>
      <c r="P172" s="175"/>
      <c r="Q172" s="175"/>
      <c r="R172" s="220"/>
      <c r="S172" s="175"/>
      <c r="T172" s="175"/>
      <c r="U172" s="175"/>
      <c r="V172" s="175"/>
      <c r="W172" s="175"/>
      <c r="X172" s="116"/>
    </row>
    <row r="173" spans="1:24" s="112" customFormat="1">
      <c r="A173" s="116"/>
      <c r="B173" s="115"/>
      <c r="C173" s="115"/>
      <c r="D173" s="115"/>
      <c r="E173" s="177"/>
      <c r="F173" s="28"/>
      <c r="G173" s="118"/>
      <c r="H173" s="192"/>
      <c r="I173" s="192"/>
      <c r="J173" s="175"/>
      <c r="K173" s="192"/>
      <c r="L173" s="192"/>
      <c r="M173" s="192"/>
      <c r="N173" s="175"/>
      <c r="O173" s="116"/>
      <c r="P173" s="175"/>
      <c r="Q173" s="175"/>
      <c r="R173" s="220"/>
      <c r="S173" s="175"/>
      <c r="T173" s="175"/>
      <c r="U173" s="175"/>
      <c r="V173" s="175"/>
      <c r="W173" s="175"/>
      <c r="X173" s="116"/>
    </row>
    <row r="174" spans="1:24" s="112" customFormat="1">
      <c r="A174" s="116"/>
      <c r="B174" s="115"/>
      <c r="C174" s="115"/>
      <c r="D174" s="115"/>
      <c r="E174" s="177"/>
      <c r="F174" s="28"/>
      <c r="G174" s="118"/>
      <c r="H174" s="192"/>
      <c r="I174" s="192"/>
      <c r="J174" s="175"/>
      <c r="K174" s="192"/>
      <c r="L174" s="192"/>
      <c r="M174" s="192"/>
      <c r="N174" s="175"/>
      <c r="O174" s="116"/>
      <c r="P174" s="175"/>
      <c r="Q174" s="175"/>
      <c r="R174" s="220"/>
      <c r="S174" s="175"/>
      <c r="T174" s="175"/>
      <c r="U174" s="175"/>
      <c r="V174" s="175"/>
      <c r="W174" s="175"/>
      <c r="X174" s="116"/>
    </row>
    <row r="175" spans="1:24" s="112" customFormat="1">
      <c r="A175" s="116"/>
      <c r="B175" s="115"/>
      <c r="C175" s="115"/>
      <c r="D175" s="115"/>
      <c r="E175" s="177"/>
      <c r="F175" s="28"/>
      <c r="G175" s="118"/>
      <c r="H175" s="192"/>
      <c r="I175" s="192"/>
      <c r="J175" s="175"/>
      <c r="K175" s="192"/>
      <c r="L175" s="192"/>
      <c r="M175" s="192"/>
      <c r="N175" s="175"/>
      <c r="O175" s="116"/>
      <c r="P175" s="175"/>
      <c r="Q175" s="175"/>
      <c r="R175" s="220"/>
      <c r="S175" s="175"/>
      <c r="T175" s="175"/>
      <c r="U175" s="175"/>
      <c r="V175" s="175"/>
      <c r="W175" s="175"/>
      <c r="X175" s="116"/>
    </row>
    <row r="176" spans="1:24" s="112" customFormat="1">
      <c r="A176" s="116"/>
      <c r="B176" s="115"/>
      <c r="C176" s="115"/>
      <c r="D176" s="115"/>
      <c r="E176" s="177"/>
      <c r="F176" s="28"/>
      <c r="G176" s="118"/>
      <c r="H176" s="192"/>
      <c r="I176" s="192"/>
      <c r="J176" s="175"/>
      <c r="K176" s="192"/>
      <c r="L176" s="192"/>
      <c r="M176" s="192"/>
      <c r="N176" s="175"/>
      <c r="O176" s="116"/>
      <c r="P176" s="175"/>
      <c r="Q176" s="175"/>
      <c r="R176" s="220"/>
      <c r="S176" s="175"/>
      <c r="T176" s="175"/>
      <c r="U176" s="175"/>
      <c r="V176" s="175"/>
      <c r="W176" s="175"/>
      <c r="X176" s="116"/>
    </row>
    <row r="177" spans="1:24" s="112" customFormat="1">
      <c r="A177" s="116"/>
      <c r="B177" s="115"/>
      <c r="C177" s="115"/>
      <c r="D177" s="115"/>
      <c r="E177" s="177"/>
      <c r="F177" s="28"/>
      <c r="G177" s="118"/>
      <c r="H177" s="192"/>
      <c r="I177" s="192"/>
      <c r="J177" s="175"/>
      <c r="K177" s="192"/>
      <c r="L177" s="192"/>
      <c r="M177" s="192"/>
      <c r="N177" s="175"/>
      <c r="O177" s="116"/>
      <c r="P177" s="175"/>
      <c r="Q177" s="175"/>
      <c r="R177" s="220"/>
      <c r="S177" s="175"/>
      <c r="T177" s="175"/>
      <c r="U177" s="175"/>
      <c r="V177" s="175"/>
      <c r="W177" s="175"/>
      <c r="X177" s="116"/>
    </row>
    <row r="178" spans="1:24" s="112" customFormat="1">
      <c r="A178" s="116"/>
      <c r="B178" s="115"/>
      <c r="C178" s="115"/>
      <c r="D178" s="131"/>
      <c r="E178" s="177"/>
      <c r="F178" s="28"/>
      <c r="G178" s="118"/>
      <c r="H178" s="192"/>
      <c r="I178" s="192"/>
      <c r="J178" s="175"/>
      <c r="K178" s="192"/>
      <c r="L178" s="192"/>
      <c r="M178" s="192"/>
      <c r="N178" s="175"/>
      <c r="O178" s="116"/>
      <c r="P178" s="175"/>
      <c r="Q178" s="175"/>
      <c r="R178" s="220"/>
      <c r="S178" s="175"/>
      <c r="T178" s="175"/>
      <c r="U178" s="175"/>
      <c r="V178" s="175"/>
      <c r="W178" s="175"/>
      <c r="X178" s="116"/>
    </row>
    <row r="179" spans="1:24" s="112" customFormat="1">
      <c r="A179" s="116"/>
      <c r="B179" s="115"/>
      <c r="C179" s="115"/>
      <c r="D179" s="131"/>
      <c r="E179" s="177"/>
      <c r="F179" s="28"/>
      <c r="G179" s="118"/>
      <c r="H179" s="192"/>
      <c r="I179" s="192"/>
      <c r="J179" s="175"/>
      <c r="K179" s="192"/>
      <c r="L179" s="192"/>
      <c r="M179" s="192"/>
      <c r="N179" s="175"/>
      <c r="O179" s="116"/>
      <c r="P179" s="175"/>
      <c r="Q179" s="175"/>
      <c r="R179" s="220"/>
      <c r="S179" s="175"/>
      <c r="T179" s="175"/>
      <c r="U179" s="175"/>
      <c r="V179" s="175"/>
      <c r="W179" s="175"/>
      <c r="X179" s="116"/>
    </row>
    <row r="180" spans="1:24" s="112" customFormat="1">
      <c r="A180" s="116"/>
      <c r="B180" s="115"/>
      <c r="C180" s="115"/>
      <c r="D180" s="131"/>
      <c r="E180" s="177"/>
      <c r="F180" s="28"/>
      <c r="G180" s="118"/>
      <c r="H180" s="192"/>
      <c r="I180" s="192"/>
      <c r="J180" s="175"/>
      <c r="K180" s="192"/>
      <c r="L180" s="192"/>
      <c r="M180" s="192"/>
      <c r="N180" s="175"/>
      <c r="O180" s="116"/>
      <c r="P180" s="175"/>
      <c r="Q180" s="175"/>
      <c r="R180" s="220"/>
      <c r="S180" s="175"/>
      <c r="T180" s="175"/>
      <c r="U180" s="175"/>
      <c r="V180" s="175"/>
      <c r="W180" s="175"/>
      <c r="X180" s="116"/>
    </row>
    <row r="181" spans="1:24" s="112" customFormat="1">
      <c r="A181" s="116"/>
      <c r="B181" s="115"/>
      <c r="C181" s="115"/>
      <c r="D181" s="131"/>
      <c r="E181" s="177"/>
      <c r="F181" s="28"/>
      <c r="G181" s="118"/>
      <c r="H181" s="192"/>
      <c r="I181" s="192"/>
      <c r="J181" s="175"/>
      <c r="K181" s="192"/>
      <c r="L181" s="192"/>
      <c r="M181" s="192"/>
      <c r="N181" s="175"/>
      <c r="O181" s="116"/>
      <c r="P181" s="175"/>
      <c r="Q181" s="175"/>
      <c r="R181" s="220"/>
      <c r="S181" s="175"/>
      <c r="T181" s="175"/>
      <c r="U181" s="175"/>
      <c r="V181" s="175"/>
      <c r="W181" s="175"/>
      <c r="X181" s="116"/>
    </row>
    <row r="182" spans="1:24" s="112" customFormat="1">
      <c r="A182" s="116"/>
      <c r="B182" s="115"/>
      <c r="C182" s="115"/>
      <c r="D182" s="131"/>
      <c r="E182" s="177"/>
      <c r="F182" s="28"/>
      <c r="G182" s="118"/>
      <c r="H182" s="192"/>
      <c r="I182" s="192"/>
      <c r="J182" s="175"/>
      <c r="K182" s="192"/>
      <c r="L182" s="192"/>
      <c r="M182" s="192"/>
      <c r="N182" s="175"/>
      <c r="O182" s="116"/>
      <c r="P182" s="175"/>
      <c r="Q182" s="175"/>
      <c r="R182" s="220"/>
      <c r="S182" s="175"/>
      <c r="T182" s="175"/>
      <c r="U182" s="175"/>
      <c r="V182" s="175"/>
      <c r="W182" s="175"/>
      <c r="X182" s="116"/>
    </row>
    <row r="183" spans="1:24" s="112" customFormat="1">
      <c r="A183" s="116"/>
      <c r="B183" s="115"/>
      <c r="C183" s="115"/>
      <c r="D183" s="131"/>
      <c r="E183" s="177"/>
      <c r="F183" s="28"/>
      <c r="G183" s="118"/>
      <c r="H183" s="192"/>
      <c r="I183" s="192"/>
      <c r="J183" s="175"/>
      <c r="K183" s="192"/>
      <c r="L183" s="192"/>
      <c r="M183" s="192"/>
      <c r="N183" s="175"/>
      <c r="O183" s="116"/>
      <c r="P183" s="175"/>
      <c r="Q183" s="175"/>
      <c r="R183" s="220"/>
      <c r="S183" s="175"/>
      <c r="T183" s="175"/>
      <c r="U183" s="175"/>
      <c r="V183" s="175"/>
      <c r="W183" s="175"/>
      <c r="X183" s="116"/>
    </row>
    <row r="184" spans="1:24" s="112" customFormat="1">
      <c r="A184" s="116"/>
      <c r="B184" s="115"/>
      <c r="C184" s="115"/>
      <c r="D184" s="131"/>
      <c r="E184" s="177"/>
      <c r="F184" s="28"/>
      <c r="G184" s="118"/>
      <c r="H184" s="192"/>
      <c r="I184" s="192"/>
      <c r="J184" s="175"/>
      <c r="K184" s="192"/>
      <c r="L184" s="192"/>
      <c r="M184" s="192"/>
      <c r="N184" s="175"/>
      <c r="O184" s="116"/>
      <c r="P184" s="175"/>
      <c r="Q184" s="175"/>
      <c r="R184" s="220"/>
      <c r="S184" s="175"/>
      <c r="T184" s="175"/>
      <c r="U184" s="175"/>
      <c r="V184" s="175"/>
      <c r="W184" s="175"/>
      <c r="X184" s="116"/>
    </row>
    <row r="185" spans="1:24" s="112" customFormat="1">
      <c r="A185" s="116"/>
      <c r="B185" s="115"/>
      <c r="C185" s="115"/>
      <c r="D185" s="131"/>
      <c r="E185" s="177"/>
      <c r="F185" s="28"/>
      <c r="G185" s="118"/>
      <c r="H185" s="192"/>
      <c r="I185" s="192"/>
      <c r="J185" s="175"/>
      <c r="K185" s="192"/>
      <c r="L185" s="192"/>
      <c r="M185" s="192"/>
      <c r="N185" s="175"/>
      <c r="O185" s="116"/>
      <c r="P185" s="175"/>
      <c r="Q185" s="175"/>
      <c r="R185" s="220"/>
      <c r="S185" s="175"/>
      <c r="T185" s="175"/>
      <c r="U185" s="175"/>
      <c r="V185" s="175"/>
      <c r="W185" s="175"/>
      <c r="X185" s="116"/>
    </row>
    <row r="186" spans="1:24" s="112" customFormat="1">
      <c r="A186" s="116"/>
      <c r="B186" s="115"/>
      <c r="C186" s="115"/>
      <c r="D186" s="131"/>
      <c r="E186" s="177"/>
      <c r="F186" s="28"/>
      <c r="G186" s="118"/>
      <c r="H186" s="192"/>
      <c r="I186" s="192"/>
      <c r="J186" s="175"/>
      <c r="K186" s="192"/>
      <c r="L186" s="192"/>
      <c r="M186" s="192"/>
      <c r="N186" s="175"/>
      <c r="O186" s="116"/>
      <c r="P186" s="175"/>
      <c r="Q186" s="175"/>
      <c r="R186" s="220"/>
      <c r="S186" s="175"/>
      <c r="T186" s="175"/>
      <c r="U186" s="175"/>
      <c r="V186" s="175"/>
      <c r="W186" s="175"/>
      <c r="X186" s="116"/>
    </row>
    <row r="187" spans="1:24" s="112" customFormat="1">
      <c r="A187" s="116"/>
      <c r="B187" s="115"/>
      <c r="C187" s="115"/>
      <c r="D187" s="131"/>
      <c r="E187" s="177"/>
      <c r="F187" s="28"/>
      <c r="G187" s="118"/>
      <c r="H187" s="192"/>
      <c r="I187" s="192"/>
      <c r="J187" s="175"/>
      <c r="K187" s="192"/>
      <c r="L187" s="192"/>
      <c r="M187" s="192"/>
      <c r="N187" s="175"/>
      <c r="O187" s="116"/>
      <c r="P187" s="175"/>
      <c r="Q187" s="175"/>
      <c r="R187" s="220"/>
      <c r="S187" s="175"/>
      <c r="T187" s="175"/>
      <c r="U187" s="175"/>
      <c r="V187" s="175"/>
      <c r="W187" s="175"/>
      <c r="X187" s="116"/>
    </row>
    <row r="188" spans="1:24" s="112" customFormat="1">
      <c r="A188" s="116"/>
      <c r="B188" s="115"/>
      <c r="C188" s="115"/>
      <c r="D188" s="131"/>
      <c r="E188" s="177"/>
      <c r="F188" s="28"/>
      <c r="G188" s="118"/>
      <c r="H188" s="192"/>
      <c r="I188" s="192"/>
      <c r="J188" s="175"/>
      <c r="K188" s="192"/>
      <c r="L188" s="192"/>
      <c r="M188" s="192"/>
      <c r="N188" s="175"/>
      <c r="O188" s="116"/>
      <c r="P188" s="175"/>
      <c r="Q188" s="175"/>
      <c r="R188" s="220"/>
      <c r="S188" s="175"/>
      <c r="T188" s="175"/>
      <c r="U188" s="175"/>
      <c r="V188" s="175"/>
      <c r="W188" s="175"/>
      <c r="X188" s="116"/>
    </row>
    <row r="189" spans="1:24" s="112" customFormat="1">
      <c r="A189" s="116"/>
      <c r="B189" s="115"/>
      <c r="C189" s="115"/>
      <c r="D189" s="131"/>
      <c r="E189" s="177"/>
      <c r="F189" s="28"/>
      <c r="G189" s="118"/>
      <c r="H189" s="192"/>
      <c r="I189" s="192"/>
      <c r="J189" s="175"/>
      <c r="K189" s="192"/>
      <c r="L189" s="192"/>
      <c r="M189" s="192"/>
      <c r="N189" s="175"/>
      <c r="O189" s="116"/>
      <c r="P189" s="175"/>
      <c r="Q189" s="175"/>
      <c r="R189" s="220"/>
      <c r="S189" s="175"/>
      <c r="T189" s="175"/>
      <c r="U189" s="175"/>
      <c r="V189" s="175"/>
      <c r="W189" s="175"/>
      <c r="X189" s="116"/>
    </row>
    <row r="190" spans="1:24" s="112" customFormat="1">
      <c r="A190" s="116"/>
      <c r="B190" s="115"/>
      <c r="C190" s="115"/>
      <c r="D190" s="131"/>
      <c r="E190" s="177"/>
      <c r="F190" s="28"/>
      <c r="G190" s="118"/>
      <c r="H190" s="192"/>
      <c r="I190" s="192"/>
      <c r="J190" s="175"/>
      <c r="K190" s="192"/>
      <c r="L190" s="192"/>
      <c r="M190" s="192"/>
      <c r="N190" s="175"/>
      <c r="O190" s="116"/>
      <c r="P190" s="175"/>
      <c r="Q190" s="175"/>
      <c r="R190" s="220"/>
      <c r="S190" s="175"/>
      <c r="T190" s="175"/>
      <c r="U190" s="175"/>
      <c r="V190" s="175"/>
      <c r="W190" s="175"/>
      <c r="X190" s="116"/>
    </row>
    <row r="191" spans="1:24" s="112" customFormat="1">
      <c r="A191" s="116"/>
      <c r="B191" s="115"/>
      <c r="C191" s="115"/>
      <c r="D191" s="131"/>
      <c r="E191" s="177"/>
      <c r="F191" s="28"/>
      <c r="G191" s="118"/>
      <c r="H191" s="192"/>
      <c r="I191" s="192"/>
      <c r="J191" s="175"/>
      <c r="K191" s="192"/>
      <c r="L191" s="192"/>
      <c r="M191" s="192"/>
      <c r="N191" s="175"/>
      <c r="O191" s="116"/>
      <c r="P191" s="175"/>
      <c r="Q191" s="175"/>
      <c r="R191" s="220"/>
      <c r="S191" s="175"/>
      <c r="T191" s="175"/>
      <c r="U191" s="175"/>
      <c r="V191" s="175"/>
      <c r="W191" s="175"/>
      <c r="X191" s="116"/>
    </row>
    <row r="192" spans="1:24" s="112" customFormat="1">
      <c r="A192" s="116"/>
      <c r="B192" s="115"/>
      <c r="C192" s="115"/>
      <c r="D192" s="131"/>
      <c r="E192" s="177"/>
      <c r="F192" s="28"/>
      <c r="G192" s="118"/>
      <c r="H192" s="192"/>
      <c r="I192" s="192"/>
      <c r="J192" s="175"/>
      <c r="K192" s="192"/>
      <c r="L192" s="192"/>
      <c r="M192" s="192"/>
      <c r="N192" s="175"/>
      <c r="O192" s="116"/>
      <c r="P192" s="175"/>
      <c r="Q192" s="175"/>
      <c r="R192" s="220"/>
      <c r="S192" s="175"/>
      <c r="T192" s="175"/>
      <c r="U192" s="175"/>
      <c r="V192" s="175"/>
      <c r="W192" s="175"/>
      <c r="X192" s="116"/>
    </row>
    <row r="193" spans="1:24" s="112" customFormat="1">
      <c r="A193" s="116"/>
      <c r="B193" s="115"/>
      <c r="C193" s="115"/>
      <c r="D193" s="131"/>
      <c r="E193" s="177"/>
      <c r="F193" s="28"/>
      <c r="G193" s="118"/>
      <c r="H193" s="192"/>
      <c r="I193" s="192"/>
      <c r="J193" s="175"/>
      <c r="K193" s="192"/>
      <c r="L193" s="192"/>
      <c r="M193" s="192"/>
      <c r="N193" s="175"/>
      <c r="O193" s="116"/>
      <c r="P193" s="175"/>
      <c r="Q193" s="175"/>
      <c r="R193" s="220"/>
      <c r="S193" s="175"/>
      <c r="T193" s="175"/>
      <c r="U193" s="175"/>
      <c r="V193" s="175"/>
      <c r="W193" s="175"/>
      <c r="X193" s="116"/>
    </row>
    <row r="194" spans="1:24" s="112" customFormat="1">
      <c r="A194" s="116"/>
      <c r="B194" s="115"/>
      <c r="C194" s="115"/>
      <c r="D194" s="131"/>
      <c r="E194" s="177"/>
      <c r="F194" s="28"/>
      <c r="G194" s="118"/>
      <c r="H194" s="192"/>
      <c r="I194" s="192"/>
      <c r="J194" s="175"/>
      <c r="K194" s="192"/>
      <c r="L194" s="192"/>
      <c r="M194" s="192"/>
      <c r="N194" s="175"/>
      <c r="O194" s="116"/>
      <c r="P194" s="175"/>
      <c r="Q194" s="175"/>
      <c r="R194" s="220"/>
      <c r="S194" s="175"/>
      <c r="T194" s="175"/>
      <c r="U194" s="175"/>
      <c r="V194" s="175"/>
      <c r="W194" s="175"/>
      <c r="X194" s="116"/>
    </row>
    <row r="195" spans="1:24" s="112" customFormat="1">
      <c r="A195" s="116"/>
      <c r="B195" s="115"/>
      <c r="C195" s="115"/>
      <c r="D195" s="131"/>
      <c r="E195" s="177"/>
      <c r="F195" s="28"/>
      <c r="G195" s="118"/>
      <c r="H195" s="192"/>
      <c r="I195" s="192"/>
      <c r="J195" s="175"/>
      <c r="K195" s="192"/>
      <c r="L195" s="192"/>
      <c r="M195" s="192"/>
      <c r="N195" s="175"/>
      <c r="O195" s="116"/>
      <c r="P195" s="175"/>
      <c r="Q195" s="175"/>
      <c r="R195" s="220"/>
      <c r="S195" s="175"/>
      <c r="T195" s="175"/>
      <c r="U195" s="175"/>
      <c r="V195" s="175"/>
      <c r="W195" s="175"/>
      <c r="X195" s="116"/>
    </row>
    <row r="196" spans="1:24" s="112" customFormat="1">
      <c r="A196" s="116"/>
      <c r="B196" s="115"/>
      <c r="C196" s="115"/>
      <c r="D196" s="131"/>
      <c r="E196" s="177"/>
      <c r="F196" s="28"/>
      <c r="G196" s="118"/>
      <c r="H196" s="192"/>
      <c r="I196" s="192"/>
      <c r="J196" s="175"/>
      <c r="K196" s="192"/>
      <c r="L196" s="192"/>
      <c r="M196" s="192"/>
      <c r="N196" s="175"/>
      <c r="O196" s="116"/>
      <c r="P196" s="175"/>
      <c r="Q196" s="175"/>
      <c r="R196" s="220"/>
      <c r="S196" s="175"/>
      <c r="T196" s="175"/>
      <c r="U196" s="175"/>
      <c r="V196" s="175"/>
      <c r="W196" s="175"/>
      <c r="X196" s="116"/>
    </row>
    <row r="197" spans="1:24" s="112" customFormat="1">
      <c r="A197" s="116"/>
      <c r="B197" s="115"/>
      <c r="C197" s="115"/>
      <c r="D197" s="131"/>
      <c r="E197" s="177"/>
      <c r="F197" s="28"/>
      <c r="G197" s="118"/>
      <c r="H197" s="192"/>
      <c r="I197" s="192"/>
      <c r="J197" s="175"/>
      <c r="K197" s="192"/>
      <c r="L197" s="192"/>
      <c r="M197" s="192"/>
      <c r="N197" s="175"/>
      <c r="O197" s="116"/>
      <c r="P197" s="175"/>
      <c r="Q197" s="175"/>
      <c r="R197" s="220"/>
      <c r="S197" s="175"/>
      <c r="T197" s="175"/>
      <c r="U197" s="175"/>
      <c r="V197" s="175"/>
      <c r="W197" s="175"/>
      <c r="X197" s="116"/>
    </row>
    <row r="198" spans="1:24" s="112" customFormat="1">
      <c r="A198" s="116"/>
      <c r="B198" s="115"/>
      <c r="C198" s="115"/>
      <c r="D198" s="131"/>
      <c r="E198" s="177"/>
      <c r="F198" s="28"/>
      <c r="G198" s="118"/>
      <c r="H198" s="192"/>
      <c r="I198" s="192"/>
      <c r="J198" s="175"/>
      <c r="K198" s="192"/>
      <c r="L198" s="192"/>
      <c r="M198" s="192"/>
      <c r="N198" s="175"/>
      <c r="O198" s="116"/>
      <c r="P198" s="175"/>
      <c r="Q198" s="175"/>
      <c r="R198" s="220"/>
      <c r="S198" s="175"/>
      <c r="T198" s="175"/>
      <c r="U198" s="175"/>
      <c r="V198" s="175"/>
      <c r="W198" s="175"/>
      <c r="X198" s="116"/>
    </row>
    <row r="199" spans="1:24" s="112" customFormat="1">
      <c r="A199" s="116"/>
      <c r="B199" s="115"/>
      <c r="C199" s="115"/>
      <c r="D199" s="131"/>
      <c r="E199" s="177"/>
      <c r="F199" s="28"/>
      <c r="G199" s="118"/>
      <c r="H199" s="192"/>
      <c r="I199" s="192"/>
      <c r="J199" s="175"/>
      <c r="K199" s="192"/>
      <c r="L199" s="192"/>
      <c r="M199" s="192"/>
      <c r="N199" s="175"/>
      <c r="O199" s="116"/>
      <c r="P199" s="175"/>
      <c r="Q199" s="175"/>
      <c r="R199" s="220"/>
      <c r="S199" s="175"/>
      <c r="T199" s="175"/>
      <c r="U199" s="175"/>
      <c r="V199" s="175"/>
      <c r="W199" s="175"/>
      <c r="X199" s="116"/>
    </row>
    <row r="200" spans="1:24" s="112" customFormat="1">
      <c r="A200" s="116"/>
      <c r="B200" s="115"/>
      <c r="C200" s="115"/>
      <c r="D200" s="131"/>
      <c r="E200" s="177"/>
      <c r="F200" s="28"/>
      <c r="G200" s="118"/>
      <c r="H200" s="192"/>
      <c r="I200" s="192"/>
      <c r="J200" s="175"/>
      <c r="K200" s="192"/>
      <c r="L200" s="192"/>
      <c r="M200" s="192"/>
      <c r="N200" s="175"/>
      <c r="O200" s="116"/>
      <c r="P200" s="175"/>
      <c r="Q200" s="175"/>
      <c r="R200" s="220"/>
      <c r="S200" s="175"/>
      <c r="T200" s="175"/>
      <c r="U200" s="175"/>
      <c r="V200" s="175"/>
      <c r="W200" s="175"/>
      <c r="X200" s="116"/>
    </row>
    <row r="201" spans="1:24" s="112" customFormat="1">
      <c r="A201" s="116"/>
      <c r="B201" s="115"/>
      <c r="C201" s="115"/>
      <c r="D201" s="131"/>
      <c r="E201" s="177"/>
      <c r="F201" s="28"/>
      <c r="G201" s="118"/>
      <c r="H201" s="192"/>
      <c r="I201" s="192"/>
      <c r="J201" s="175"/>
      <c r="K201" s="192"/>
      <c r="L201" s="192"/>
      <c r="M201" s="192"/>
      <c r="N201" s="175"/>
      <c r="O201" s="116"/>
      <c r="P201" s="175"/>
      <c r="Q201" s="175"/>
      <c r="R201" s="220"/>
      <c r="S201" s="175"/>
      <c r="T201" s="175"/>
      <c r="U201" s="175"/>
      <c r="V201" s="175"/>
      <c r="W201" s="175"/>
      <c r="X201" s="116"/>
    </row>
    <row r="202" spans="1:24" s="112" customFormat="1">
      <c r="A202" s="116"/>
      <c r="B202" s="115"/>
      <c r="C202" s="115"/>
      <c r="D202" s="131"/>
      <c r="E202" s="177"/>
      <c r="F202" s="28"/>
      <c r="G202" s="118"/>
      <c r="H202" s="192"/>
      <c r="I202" s="192"/>
      <c r="J202" s="175"/>
      <c r="K202" s="192"/>
      <c r="L202" s="192"/>
      <c r="M202" s="192"/>
      <c r="N202" s="175"/>
      <c r="O202" s="116"/>
      <c r="P202" s="175"/>
      <c r="Q202" s="175"/>
      <c r="R202" s="220"/>
      <c r="S202" s="175"/>
      <c r="T202" s="175"/>
      <c r="U202" s="175"/>
      <c r="V202" s="175"/>
      <c r="W202" s="175"/>
      <c r="X202" s="116"/>
    </row>
    <row r="203" spans="1:24" s="112" customFormat="1">
      <c r="A203" s="116"/>
      <c r="B203" s="115"/>
      <c r="C203" s="115"/>
      <c r="D203" s="131"/>
      <c r="E203" s="177"/>
      <c r="F203" s="28"/>
      <c r="G203" s="118"/>
      <c r="H203" s="192"/>
      <c r="I203" s="192"/>
      <c r="J203" s="175"/>
      <c r="K203" s="192"/>
      <c r="L203" s="192"/>
      <c r="M203" s="192"/>
      <c r="N203" s="175"/>
      <c r="O203" s="116"/>
      <c r="P203" s="175"/>
      <c r="Q203" s="175"/>
      <c r="R203" s="220"/>
      <c r="S203" s="175"/>
      <c r="T203" s="175"/>
      <c r="U203" s="175"/>
      <c r="V203" s="175"/>
      <c r="W203" s="175"/>
      <c r="X203" s="116"/>
    </row>
    <row r="204" spans="1:24" s="112" customFormat="1">
      <c r="A204" s="116"/>
      <c r="B204" s="115"/>
      <c r="C204" s="115"/>
      <c r="D204" s="131"/>
      <c r="E204" s="177"/>
      <c r="F204" s="28"/>
      <c r="G204" s="118"/>
      <c r="H204" s="192"/>
      <c r="I204" s="192"/>
      <c r="J204" s="175"/>
      <c r="K204" s="192"/>
      <c r="L204" s="192"/>
      <c r="M204" s="192"/>
      <c r="N204" s="175"/>
      <c r="O204" s="116"/>
      <c r="P204" s="175"/>
      <c r="Q204" s="175"/>
      <c r="R204" s="220"/>
      <c r="S204" s="175"/>
      <c r="T204" s="175"/>
      <c r="U204" s="175"/>
      <c r="V204" s="175"/>
      <c r="W204" s="175"/>
      <c r="X204" s="116"/>
    </row>
    <row r="205" spans="1:24" s="112" customFormat="1">
      <c r="A205" s="116"/>
      <c r="B205" s="115"/>
      <c r="C205" s="115"/>
      <c r="D205" s="131"/>
      <c r="E205" s="177"/>
      <c r="F205" s="28"/>
      <c r="G205" s="118"/>
      <c r="H205" s="192"/>
      <c r="I205" s="192"/>
      <c r="J205" s="175"/>
      <c r="K205" s="192"/>
      <c r="L205" s="192"/>
      <c r="M205" s="192"/>
      <c r="N205" s="175"/>
      <c r="O205" s="116"/>
      <c r="P205" s="175"/>
      <c r="Q205" s="175"/>
      <c r="R205" s="220"/>
      <c r="S205" s="175"/>
      <c r="T205" s="175"/>
      <c r="U205" s="175"/>
      <c r="V205" s="175"/>
      <c r="W205" s="175"/>
      <c r="X205" s="116"/>
    </row>
    <row r="206" spans="1:24" s="112" customFormat="1">
      <c r="A206" s="116"/>
      <c r="B206" s="115"/>
      <c r="C206" s="115"/>
      <c r="D206" s="131"/>
      <c r="E206" s="177"/>
      <c r="F206" s="28"/>
      <c r="G206" s="118"/>
      <c r="H206" s="192"/>
      <c r="I206" s="192"/>
      <c r="J206" s="175"/>
      <c r="K206" s="192"/>
      <c r="L206" s="192"/>
      <c r="M206" s="192"/>
      <c r="N206" s="175"/>
      <c r="O206" s="116"/>
      <c r="P206" s="175"/>
      <c r="Q206" s="175"/>
      <c r="R206" s="220"/>
      <c r="S206" s="175"/>
      <c r="T206" s="175"/>
      <c r="U206" s="175"/>
      <c r="V206" s="175"/>
      <c r="W206" s="175"/>
      <c r="X206" s="116"/>
    </row>
    <row r="207" spans="1:24" s="112" customFormat="1">
      <c r="A207" s="116"/>
      <c r="B207" s="115"/>
      <c r="C207" s="115"/>
      <c r="D207" s="131"/>
      <c r="E207" s="177"/>
      <c r="F207" s="28"/>
      <c r="G207" s="118"/>
      <c r="H207" s="192"/>
      <c r="I207" s="192"/>
      <c r="J207" s="175"/>
      <c r="K207" s="192"/>
      <c r="L207" s="192"/>
      <c r="M207" s="192"/>
      <c r="N207" s="175"/>
      <c r="O207" s="116"/>
      <c r="P207" s="175"/>
      <c r="Q207" s="175"/>
      <c r="R207" s="220"/>
      <c r="S207" s="175"/>
      <c r="T207" s="175"/>
      <c r="U207" s="175"/>
      <c r="V207" s="175"/>
      <c r="W207" s="175"/>
      <c r="X207" s="116"/>
    </row>
    <row r="208" spans="1:24" s="112" customFormat="1">
      <c r="A208" s="116"/>
      <c r="B208" s="115"/>
      <c r="C208" s="115"/>
      <c r="D208" s="131"/>
      <c r="E208" s="177"/>
      <c r="F208" s="28"/>
      <c r="G208" s="118"/>
      <c r="H208" s="192"/>
      <c r="I208" s="192"/>
      <c r="J208" s="175"/>
      <c r="K208" s="192"/>
      <c r="L208" s="192"/>
      <c r="M208" s="192"/>
      <c r="N208" s="175"/>
      <c r="O208" s="116"/>
      <c r="P208" s="175"/>
      <c r="Q208" s="175"/>
      <c r="R208" s="220"/>
      <c r="S208" s="175"/>
      <c r="T208" s="175"/>
      <c r="U208" s="175"/>
      <c r="V208" s="175"/>
      <c r="W208" s="175"/>
      <c r="X208" s="116"/>
    </row>
    <row r="209" spans="1:24" s="112" customFormat="1">
      <c r="A209" s="116"/>
      <c r="B209" s="115"/>
      <c r="C209" s="115"/>
      <c r="D209" s="131"/>
      <c r="E209" s="177"/>
      <c r="F209" s="28"/>
      <c r="G209" s="118"/>
      <c r="H209" s="192"/>
      <c r="I209" s="192"/>
      <c r="J209" s="175"/>
      <c r="K209" s="192"/>
      <c r="L209" s="192"/>
      <c r="M209" s="192"/>
      <c r="N209" s="175"/>
      <c r="O209" s="116"/>
      <c r="P209" s="175"/>
      <c r="Q209" s="175"/>
      <c r="R209" s="220"/>
      <c r="S209" s="175"/>
      <c r="T209" s="175"/>
      <c r="U209" s="175"/>
      <c r="V209" s="175"/>
      <c r="W209" s="175"/>
      <c r="X209" s="116"/>
    </row>
    <row r="210" spans="1:24" s="112" customFormat="1">
      <c r="A210" s="116"/>
      <c r="B210" s="115"/>
      <c r="C210" s="115"/>
      <c r="D210" s="131"/>
      <c r="E210" s="177"/>
      <c r="F210" s="28"/>
      <c r="G210" s="118"/>
      <c r="H210" s="192"/>
      <c r="I210" s="192"/>
      <c r="J210" s="175"/>
      <c r="K210" s="192"/>
      <c r="L210" s="192"/>
      <c r="M210" s="192"/>
      <c r="N210" s="175"/>
      <c r="O210" s="116"/>
      <c r="P210" s="175"/>
      <c r="Q210" s="175"/>
      <c r="R210" s="220"/>
      <c r="S210" s="175"/>
      <c r="T210" s="175"/>
      <c r="U210" s="175"/>
      <c r="V210" s="175"/>
      <c r="W210" s="175"/>
      <c r="X210" s="116"/>
    </row>
    <row r="211" spans="1:24" s="112" customFormat="1">
      <c r="A211" s="116"/>
      <c r="B211" s="115"/>
      <c r="C211" s="115"/>
      <c r="D211" s="131"/>
      <c r="E211" s="177"/>
      <c r="F211" s="28"/>
      <c r="G211" s="118"/>
      <c r="H211" s="192"/>
      <c r="I211" s="192"/>
      <c r="J211" s="175"/>
      <c r="K211" s="192"/>
      <c r="L211" s="192"/>
      <c r="M211" s="192"/>
      <c r="N211" s="175"/>
      <c r="O211" s="116"/>
      <c r="P211" s="175"/>
      <c r="Q211" s="175"/>
      <c r="R211" s="220"/>
      <c r="S211" s="175"/>
      <c r="T211" s="175"/>
      <c r="U211" s="175"/>
      <c r="V211" s="175"/>
      <c r="W211" s="175"/>
      <c r="X211" s="116"/>
    </row>
    <row r="212" spans="1:24" s="112" customFormat="1">
      <c r="A212" s="116"/>
      <c r="B212" s="115"/>
      <c r="C212" s="115"/>
      <c r="D212" s="131"/>
      <c r="E212" s="177"/>
      <c r="F212" s="28"/>
      <c r="G212" s="118"/>
      <c r="H212" s="192"/>
      <c r="I212" s="192"/>
      <c r="J212" s="175"/>
      <c r="K212" s="192"/>
      <c r="L212" s="192"/>
      <c r="M212" s="192"/>
      <c r="N212" s="175"/>
      <c r="O212" s="116"/>
      <c r="P212" s="175"/>
      <c r="Q212" s="175"/>
      <c r="R212" s="220"/>
      <c r="S212" s="175"/>
      <c r="T212" s="175"/>
      <c r="U212" s="175"/>
      <c r="V212" s="175"/>
      <c r="W212" s="175"/>
      <c r="X212" s="116"/>
    </row>
    <row r="213" spans="1:24" s="112" customFormat="1">
      <c r="A213" s="116"/>
      <c r="B213" s="115"/>
      <c r="C213" s="115"/>
      <c r="D213" s="131"/>
      <c r="E213" s="177"/>
      <c r="F213" s="28"/>
      <c r="G213" s="118"/>
      <c r="H213" s="192"/>
      <c r="I213" s="192"/>
      <c r="J213" s="175"/>
      <c r="K213" s="192"/>
      <c r="L213" s="192"/>
      <c r="M213" s="192"/>
      <c r="N213" s="175"/>
      <c r="O213" s="116"/>
      <c r="P213" s="175"/>
      <c r="Q213" s="175"/>
      <c r="R213" s="220"/>
      <c r="S213" s="175"/>
      <c r="T213" s="175"/>
      <c r="U213" s="175"/>
      <c r="V213" s="175"/>
      <c r="W213" s="175"/>
      <c r="X213" s="116"/>
    </row>
    <row r="214" spans="1:24" s="112" customFormat="1">
      <c r="A214" s="116"/>
      <c r="B214" s="115"/>
      <c r="C214" s="115"/>
      <c r="D214" s="131"/>
      <c r="E214" s="177"/>
      <c r="F214" s="28"/>
      <c r="G214" s="118"/>
      <c r="H214" s="192"/>
      <c r="I214" s="192"/>
      <c r="J214" s="175"/>
      <c r="K214" s="192"/>
      <c r="L214" s="192"/>
      <c r="M214" s="192"/>
      <c r="N214" s="175"/>
      <c r="O214" s="116"/>
      <c r="P214" s="175"/>
      <c r="Q214" s="175"/>
      <c r="R214" s="220"/>
      <c r="S214" s="175"/>
      <c r="T214" s="175"/>
      <c r="U214" s="175"/>
      <c r="V214" s="175"/>
      <c r="W214" s="175"/>
      <c r="X214" s="116"/>
    </row>
    <row r="215" spans="1:24" s="112" customFormat="1">
      <c r="A215" s="116"/>
      <c r="B215" s="115"/>
      <c r="C215" s="115"/>
      <c r="D215" s="131"/>
      <c r="E215" s="177"/>
      <c r="F215" s="28"/>
      <c r="G215" s="118"/>
      <c r="H215" s="192"/>
      <c r="I215" s="192"/>
      <c r="J215" s="175"/>
      <c r="K215" s="192"/>
      <c r="L215" s="192"/>
      <c r="M215" s="192"/>
      <c r="N215" s="175"/>
      <c r="O215" s="116"/>
      <c r="P215" s="175"/>
      <c r="Q215" s="175"/>
      <c r="R215" s="220"/>
      <c r="S215" s="175"/>
      <c r="T215" s="175"/>
      <c r="U215" s="175"/>
      <c r="V215" s="175"/>
      <c r="W215" s="175"/>
      <c r="X215" s="116"/>
    </row>
    <row r="216" spans="1:24" s="112" customFormat="1">
      <c r="A216" s="116"/>
      <c r="B216" s="115"/>
      <c r="C216" s="115"/>
      <c r="D216" s="131"/>
      <c r="E216" s="177"/>
      <c r="F216" s="28"/>
      <c r="G216" s="118"/>
      <c r="H216" s="192"/>
      <c r="I216" s="192"/>
      <c r="J216" s="175"/>
      <c r="K216" s="192"/>
      <c r="L216" s="192"/>
      <c r="M216" s="192"/>
      <c r="N216" s="175"/>
      <c r="O216" s="116"/>
      <c r="P216" s="175"/>
      <c r="Q216" s="175"/>
      <c r="R216" s="220"/>
      <c r="S216" s="175"/>
      <c r="T216" s="175"/>
      <c r="U216" s="175"/>
      <c r="V216" s="175"/>
      <c r="W216" s="175"/>
      <c r="X216" s="116"/>
    </row>
    <row r="217" spans="1:24" s="112" customFormat="1">
      <c r="A217" s="116"/>
      <c r="B217" s="115"/>
      <c r="C217" s="115"/>
      <c r="D217" s="131"/>
      <c r="E217" s="177"/>
      <c r="F217" s="28"/>
      <c r="G217" s="118"/>
      <c r="H217" s="192"/>
      <c r="I217" s="192"/>
      <c r="J217" s="175"/>
      <c r="K217" s="192"/>
      <c r="L217" s="192"/>
      <c r="M217" s="192"/>
      <c r="N217" s="175"/>
      <c r="O217" s="116"/>
      <c r="P217" s="175"/>
      <c r="Q217" s="175"/>
      <c r="R217" s="220"/>
      <c r="S217" s="175"/>
      <c r="T217" s="175"/>
      <c r="U217" s="175"/>
      <c r="V217" s="175"/>
      <c r="W217" s="175"/>
      <c r="X217" s="116"/>
    </row>
    <row r="218" spans="1:24" s="112" customFormat="1">
      <c r="A218" s="116"/>
      <c r="B218" s="115"/>
      <c r="C218" s="115"/>
      <c r="D218" s="131"/>
      <c r="E218" s="177"/>
      <c r="F218" s="28"/>
      <c r="G218" s="118"/>
      <c r="H218" s="192"/>
      <c r="I218" s="192"/>
      <c r="J218" s="175"/>
      <c r="K218" s="192"/>
      <c r="L218" s="192"/>
      <c r="M218" s="192"/>
      <c r="N218" s="175"/>
      <c r="O218" s="116"/>
      <c r="P218" s="175"/>
      <c r="Q218" s="175"/>
      <c r="R218" s="220"/>
      <c r="S218" s="175"/>
      <c r="T218" s="175"/>
      <c r="U218" s="175"/>
      <c r="V218" s="175"/>
      <c r="W218" s="175"/>
      <c r="X218" s="116"/>
    </row>
    <row r="219" spans="1:24" s="112" customFormat="1">
      <c r="A219" s="116"/>
      <c r="B219" s="115"/>
      <c r="C219" s="115"/>
      <c r="D219" s="131"/>
      <c r="E219" s="177"/>
      <c r="F219" s="28"/>
      <c r="G219" s="118"/>
      <c r="H219" s="192"/>
      <c r="I219" s="192"/>
      <c r="J219" s="175"/>
      <c r="K219" s="192"/>
      <c r="L219" s="192"/>
      <c r="M219" s="192"/>
      <c r="N219" s="175"/>
      <c r="O219" s="116"/>
      <c r="P219" s="175"/>
      <c r="Q219" s="175"/>
      <c r="R219" s="220"/>
      <c r="S219" s="175"/>
      <c r="T219" s="175"/>
      <c r="U219" s="175"/>
      <c r="V219" s="175"/>
      <c r="W219" s="175"/>
      <c r="X219" s="116"/>
    </row>
    <row r="220" spans="1:24" s="112" customFormat="1">
      <c r="A220" s="116"/>
      <c r="B220" s="115"/>
      <c r="C220" s="115"/>
      <c r="D220" s="131"/>
      <c r="E220" s="177"/>
      <c r="F220" s="28"/>
      <c r="G220" s="118"/>
      <c r="H220" s="192"/>
      <c r="I220" s="192"/>
      <c r="J220" s="175"/>
      <c r="K220" s="192"/>
      <c r="L220" s="192"/>
      <c r="M220" s="192"/>
      <c r="N220" s="175"/>
      <c r="O220" s="116"/>
      <c r="P220" s="175"/>
      <c r="Q220" s="175"/>
      <c r="R220" s="220"/>
      <c r="S220" s="175"/>
      <c r="T220" s="175"/>
      <c r="U220" s="175"/>
      <c r="V220" s="175"/>
      <c r="W220" s="175"/>
      <c r="X220" s="116"/>
    </row>
    <row r="221" spans="1:24" s="112" customFormat="1">
      <c r="A221" s="116"/>
      <c r="B221" s="115"/>
      <c r="C221" s="115"/>
      <c r="D221" s="131"/>
      <c r="E221" s="177"/>
      <c r="F221" s="28"/>
      <c r="G221" s="118"/>
      <c r="H221" s="192"/>
      <c r="I221" s="192"/>
      <c r="J221" s="175"/>
      <c r="K221" s="192"/>
      <c r="L221" s="192"/>
      <c r="M221" s="192"/>
      <c r="N221" s="175"/>
      <c r="O221" s="116"/>
      <c r="P221" s="175"/>
      <c r="Q221" s="175"/>
      <c r="R221" s="220"/>
      <c r="S221" s="175"/>
      <c r="T221" s="175"/>
      <c r="U221" s="175"/>
      <c r="V221" s="175"/>
      <c r="W221" s="175"/>
      <c r="X221" s="116"/>
    </row>
    <row r="222" spans="1:24" s="112" customFormat="1">
      <c r="A222" s="116"/>
      <c r="B222" s="115"/>
      <c r="C222" s="115"/>
      <c r="D222" s="131"/>
      <c r="E222" s="177"/>
      <c r="F222" s="28"/>
      <c r="G222" s="118"/>
      <c r="H222" s="192"/>
      <c r="I222" s="192"/>
      <c r="J222" s="175"/>
      <c r="K222" s="192"/>
      <c r="L222" s="192"/>
      <c r="M222" s="192"/>
      <c r="N222" s="175"/>
      <c r="O222" s="116"/>
      <c r="P222" s="175"/>
      <c r="Q222" s="175"/>
      <c r="R222" s="220"/>
      <c r="S222" s="175"/>
      <c r="T222" s="175"/>
      <c r="U222" s="175"/>
      <c r="V222" s="175"/>
      <c r="W222" s="175"/>
      <c r="X222" s="116"/>
    </row>
    <row r="223" spans="1:24" s="112" customFormat="1">
      <c r="A223" s="116"/>
      <c r="B223" s="115"/>
      <c r="C223" s="115"/>
      <c r="D223" s="131"/>
      <c r="E223" s="177"/>
      <c r="F223" s="28"/>
      <c r="G223" s="118"/>
      <c r="H223" s="192"/>
      <c r="I223" s="192"/>
      <c r="J223" s="175"/>
      <c r="K223" s="192"/>
      <c r="L223" s="192"/>
      <c r="M223" s="192"/>
      <c r="N223" s="175"/>
      <c r="O223" s="116"/>
      <c r="P223" s="175"/>
      <c r="Q223" s="175"/>
      <c r="R223" s="220"/>
      <c r="S223" s="175"/>
      <c r="T223" s="175"/>
      <c r="U223" s="175"/>
      <c r="V223" s="175"/>
      <c r="W223" s="175"/>
      <c r="X223" s="116"/>
    </row>
    <row r="224" spans="1:24" s="112" customFormat="1">
      <c r="A224" s="116"/>
      <c r="B224" s="115"/>
      <c r="C224" s="115"/>
      <c r="D224" s="131"/>
      <c r="E224" s="177"/>
      <c r="F224" s="28"/>
      <c r="G224" s="118"/>
      <c r="H224" s="192"/>
      <c r="I224" s="192"/>
      <c r="J224" s="175"/>
      <c r="K224" s="192"/>
      <c r="L224" s="192"/>
      <c r="M224" s="192"/>
      <c r="N224" s="175"/>
      <c r="O224" s="116"/>
      <c r="P224" s="175"/>
      <c r="Q224" s="175"/>
      <c r="R224" s="220"/>
      <c r="S224" s="175"/>
      <c r="T224" s="175"/>
      <c r="U224" s="175"/>
      <c r="V224" s="175"/>
      <c r="W224" s="175"/>
      <c r="X224" s="116"/>
    </row>
    <row r="225" spans="1:24" s="112" customFormat="1">
      <c r="A225" s="116"/>
      <c r="B225" s="115"/>
      <c r="C225" s="115"/>
      <c r="D225" s="131"/>
      <c r="E225" s="177"/>
      <c r="F225" s="28"/>
      <c r="G225" s="118"/>
      <c r="H225" s="192"/>
      <c r="I225" s="192"/>
      <c r="J225" s="175"/>
      <c r="K225" s="192"/>
      <c r="L225" s="192"/>
      <c r="M225" s="192"/>
      <c r="N225" s="175"/>
      <c r="O225" s="116"/>
      <c r="P225" s="175"/>
      <c r="Q225" s="175"/>
      <c r="R225" s="220"/>
      <c r="S225" s="175"/>
      <c r="T225" s="175"/>
      <c r="U225" s="175"/>
      <c r="V225" s="175"/>
      <c r="W225" s="175"/>
      <c r="X225" s="116"/>
    </row>
    <row r="226" spans="1:24" s="112" customFormat="1">
      <c r="A226" s="116"/>
      <c r="B226" s="115"/>
      <c r="C226" s="115"/>
      <c r="D226" s="131"/>
      <c r="E226" s="177"/>
      <c r="F226" s="28"/>
      <c r="G226" s="118"/>
      <c r="H226" s="192"/>
      <c r="I226" s="192"/>
      <c r="J226" s="175"/>
      <c r="K226" s="192"/>
      <c r="L226" s="192"/>
      <c r="M226" s="192"/>
      <c r="N226" s="175"/>
      <c r="O226" s="116"/>
      <c r="P226" s="175"/>
      <c r="Q226" s="175"/>
      <c r="R226" s="220"/>
      <c r="S226" s="175"/>
      <c r="T226" s="175"/>
      <c r="U226" s="175"/>
      <c r="V226" s="175"/>
      <c r="W226" s="175"/>
      <c r="X226" s="116"/>
    </row>
    <row r="227" spans="1:24" s="112" customFormat="1">
      <c r="A227" s="116"/>
      <c r="B227" s="115"/>
      <c r="C227" s="115"/>
      <c r="D227" s="131"/>
      <c r="E227" s="177"/>
      <c r="F227" s="28"/>
      <c r="G227" s="118"/>
      <c r="H227" s="192"/>
      <c r="I227" s="192"/>
      <c r="J227" s="175"/>
      <c r="K227" s="192"/>
      <c r="L227" s="192"/>
      <c r="M227" s="192"/>
      <c r="N227" s="175"/>
      <c r="O227" s="116"/>
      <c r="P227" s="175"/>
      <c r="Q227" s="175"/>
      <c r="R227" s="220"/>
      <c r="S227" s="175"/>
      <c r="T227" s="175"/>
      <c r="U227" s="175"/>
      <c r="V227" s="175"/>
      <c r="W227" s="175"/>
      <c r="X227" s="116"/>
    </row>
    <row r="228" spans="1:24" s="112" customFormat="1">
      <c r="A228" s="116"/>
      <c r="B228" s="115"/>
      <c r="C228" s="115"/>
      <c r="D228" s="131"/>
      <c r="E228" s="177"/>
      <c r="F228" s="28"/>
      <c r="G228" s="118"/>
      <c r="H228" s="192"/>
      <c r="I228" s="192"/>
      <c r="J228" s="175"/>
      <c r="K228" s="192"/>
      <c r="L228" s="192"/>
      <c r="M228" s="192"/>
      <c r="N228" s="175"/>
      <c r="O228" s="116"/>
      <c r="P228" s="175"/>
      <c r="Q228" s="175"/>
      <c r="R228" s="220"/>
      <c r="S228" s="175"/>
      <c r="T228" s="175"/>
      <c r="U228" s="175"/>
      <c r="V228" s="175"/>
      <c r="W228" s="175"/>
      <c r="X228" s="116"/>
    </row>
    <row r="229" spans="1:24" s="112" customFormat="1">
      <c r="A229" s="116"/>
      <c r="B229" s="115"/>
      <c r="C229" s="115"/>
      <c r="D229" s="131"/>
      <c r="E229" s="177"/>
      <c r="F229" s="28"/>
      <c r="G229" s="118"/>
      <c r="H229" s="192"/>
      <c r="I229" s="192"/>
      <c r="J229" s="175"/>
      <c r="K229" s="192"/>
      <c r="L229" s="192"/>
      <c r="M229" s="192"/>
      <c r="N229" s="175"/>
      <c r="O229" s="116"/>
      <c r="P229" s="175"/>
      <c r="Q229" s="175"/>
      <c r="R229" s="220"/>
      <c r="S229" s="175"/>
      <c r="T229" s="175"/>
      <c r="U229" s="175"/>
      <c r="V229" s="175"/>
      <c r="W229" s="175"/>
      <c r="X229" s="116"/>
    </row>
    <row r="230" spans="1:24" s="112" customFormat="1">
      <c r="A230" s="116"/>
      <c r="B230" s="115"/>
      <c r="C230" s="115"/>
      <c r="D230" s="131"/>
      <c r="E230" s="177"/>
      <c r="F230" s="28"/>
      <c r="G230" s="118"/>
      <c r="H230" s="192"/>
      <c r="I230" s="192"/>
      <c r="J230" s="175"/>
      <c r="K230" s="192"/>
      <c r="L230" s="192"/>
      <c r="M230" s="192"/>
      <c r="N230" s="175"/>
      <c r="O230" s="116"/>
      <c r="P230" s="175"/>
      <c r="Q230" s="175"/>
      <c r="R230" s="220"/>
      <c r="S230" s="175"/>
      <c r="T230" s="175"/>
      <c r="U230" s="175"/>
      <c r="V230" s="175"/>
      <c r="W230" s="175"/>
      <c r="X230" s="116"/>
    </row>
    <row r="231" spans="1:24" s="112" customFormat="1">
      <c r="A231" s="116"/>
      <c r="B231" s="115"/>
      <c r="C231" s="115"/>
      <c r="D231" s="131"/>
      <c r="E231" s="177"/>
      <c r="F231" s="28"/>
      <c r="G231" s="118"/>
      <c r="H231" s="192"/>
      <c r="I231" s="192"/>
      <c r="J231" s="175"/>
      <c r="K231" s="192"/>
      <c r="L231" s="192"/>
      <c r="M231" s="192"/>
      <c r="N231" s="175"/>
      <c r="O231" s="116"/>
      <c r="P231" s="175"/>
      <c r="Q231" s="175"/>
      <c r="R231" s="220"/>
      <c r="S231" s="175"/>
      <c r="T231" s="175"/>
      <c r="U231" s="175"/>
      <c r="V231" s="175"/>
      <c r="W231" s="175"/>
      <c r="X231" s="116"/>
    </row>
    <row r="232" spans="1:24" s="112" customFormat="1">
      <c r="A232" s="116"/>
      <c r="B232" s="115"/>
      <c r="C232" s="115"/>
      <c r="D232" s="131"/>
      <c r="E232" s="177"/>
      <c r="F232" s="28"/>
      <c r="G232" s="118"/>
      <c r="H232" s="192"/>
      <c r="I232" s="192"/>
      <c r="J232" s="175"/>
      <c r="K232" s="192"/>
      <c r="L232" s="192"/>
      <c r="M232" s="192"/>
      <c r="N232" s="175"/>
      <c r="O232" s="116"/>
      <c r="P232" s="175"/>
      <c r="Q232" s="175"/>
      <c r="R232" s="220"/>
      <c r="S232" s="175"/>
      <c r="T232" s="175"/>
      <c r="U232" s="175"/>
      <c r="V232" s="175"/>
      <c r="W232" s="175"/>
      <c r="X232" s="116"/>
    </row>
    <row r="233" spans="1:24" s="112" customFormat="1">
      <c r="A233" s="116"/>
      <c r="B233" s="115"/>
      <c r="C233" s="115"/>
      <c r="D233" s="131"/>
      <c r="E233" s="177"/>
      <c r="F233" s="28"/>
      <c r="G233" s="118"/>
      <c r="H233" s="192"/>
      <c r="I233" s="192"/>
      <c r="J233" s="175"/>
      <c r="K233" s="192"/>
      <c r="L233" s="192"/>
      <c r="M233" s="192"/>
      <c r="N233" s="175"/>
      <c r="O233" s="116"/>
      <c r="P233" s="175"/>
      <c r="Q233" s="175"/>
      <c r="R233" s="220"/>
      <c r="S233" s="175"/>
      <c r="T233" s="175"/>
      <c r="U233" s="175"/>
      <c r="V233" s="175"/>
      <c r="W233" s="175"/>
      <c r="X233" s="116"/>
    </row>
    <row r="234" spans="1:24" s="112" customFormat="1">
      <c r="A234" s="116"/>
      <c r="B234" s="115"/>
      <c r="C234" s="115"/>
      <c r="D234" s="131"/>
      <c r="E234" s="177"/>
      <c r="F234" s="28"/>
      <c r="G234" s="118"/>
      <c r="H234" s="192"/>
      <c r="I234" s="192"/>
      <c r="J234" s="175"/>
      <c r="K234" s="192"/>
      <c r="L234" s="192"/>
      <c r="M234" s="192"/>
      <c r="N234" s="175"/>
      <c r="O234" s="116"/>
      <c r="P234" s="175"/>
      <c r="Q234" s="175"/>
      <c r="R234" s="220"/>
      <c r="S234" s="175"/>
      <c r="T234" s="175"/>
      <c r="U234" s="175"/>
      <c r="V234" s="175"/>
      <c r="W234" s="175"/>
      <c r="X234" s="116"/>
    </row>
    <row r="235" spans="1:24" s="112" customFormat="1">
      <c r="A235" s="116"/>
      <c r="B235" s="115"/>
      <c r="C235" s="115"/>
      <c r="D235" s="131"/>
      <c r="E235" s="177"/>
      <c r="F235" s="28"/>
      <c r="G235" s="118"/>
      <c r="H235" s="192"/>
      <c r="I235" s="192"/>
      <c r="J235" s="175"/>
      <c r="K235" s="192"/>
      <c r="L235" s="192"/>
      <c r="M235" s="192"/>
      <c r="N235" s="175"/>
      <c r="O235" s="116"/>
      <c r="P235" s="175"/>
      <c r="Q235" s="175"/>
      <c r="R235" s="220"/>
      <c r="S235" s="175"/>
      <c r="T235" s="175"/>
      <c r="U235" s="175"/>
      <c r="V235" s="175"/>
      <c r="W235" s="175"/>
      <c r="X235" s="116"/>
    </row>
    <row r="236" spans="1:24" s="112" customFormat="1">
      <c r="A236" s="116"/>
      <c r="B236" s="115"/>
      <c r="C236" s="115"/>
      <c r="D236" s="131"/>
      <c r="E236" s="177"/>
      <c r="F236" s="28"/>
      <c r="G236" s="118"/>
      <c r="H236" s="192"/>
      <c r="I236" s="192"/>
      <c r="J236" s="175"/>
      <c r="K236" s="192"/>
      <c r="L236" s="192"/>
      <c r="M236" s="192"/>
      <c r="N236" s="175"/>
      <c r="O236" s="116"/>
      <c r="P236" s="175"/>
      <c r="Q236" s="175"/>
      <c r="R236" s="220"/>
      <c r="S236" s="175"/>
      <c r="T236" s="175"/>
      <c r="U236" s="175"/>
      <c r="V236" s="175"/>
      <c r="W236" s="175"/>
      <c r="X236" s="116"/>
    </row>
    <row r="237" spans="1:24" s="112" customFormat="1">
      <c r="A237" s="116"/>
      <c r="B237" s="115"/>
      <c r="C237" s="115"/>
      <c r="D237" s="131"/>
      <c r="E237" s="177"/>
      <c r="F237" s="28"/>
      <c r="G237" s="118"/>
      <c r="H237" s="192"/>
      <c r="I237" s="192"/>
      <c r="J237" s="175"/>
      <c r="K237" s="192"/>
      <c r="L237" s="192"/>
      <c r="M237" s="192"/>
      <c r="N237" s="175"/>
      <c r="O237" s="116"/>
      <c r="P237" s="175"/>
      <c r="Q237" s="175"/>
      <c r="R237" s="220"/>
      <c r="S237" s="175"/>
      <c r="T237" s="175"/>
      <c r="U237" s="175"/>
      <c r="V237" s="175"/>
      <c r="W237" s="175"/>
      <c r="X237" s="116"/>
    </row>
    <row r="238" spans="1:24" s="112" customFormat="1">
      <c r="A238" s="116"/>
      <c r="B238" s="115"/>
      <c r="C238" s="115"/>
      <c r="D238" s="131"/>
      <c r="E238" s="177"/>
      <c r="F238" s="28"/>
      <c r="G238" s="118"/>
      <c r="H238" s="192"/>
      <c r="I238" s="192"/>
      <c r="J238" s="175"/>
      <c r="K238" s="192"/>
      <c r="L238" s="192"/>
      <c r="M238" s="192"/>
      <c r="N238" s="175"/>
      <c r="O238" s="116"/>
      <c r="P238" s="175"/>
      <c r="Q238" s="175"/>
      <c r="R238" s="220"/>
      <c r="S238" s="175"/>
      <c r="T238" s="175"/>
      <c r="U238" s="175"/>
      <c r="V238" s="175"/>
      <c r="W238" s="175"/>
      <c r="X238" s="116"/>
    </row>
    <row r="239" spans="1:24" s="112" customFormat="1">
      <c r="A239" s="116"/>
      <c r="B239" s="115"/>
      <c r="C239" s="115"/>
      <c r="D239" s="131"/>
      <c r="E239" s="177"/>
      <c r="F239" s="28"/>
      <c r="G239" s="118"/>
      <c r="H239" s="192"/>
      <c r="I239" s="192"/>
      <c r="J239" s="175"/>
      <c r="K239" s="192"/>
      <c r="L239" s="192"/>
      <c r="M239" s="192"/>
      <c r="N239" s="175"/>
      <c r="O239" s="116"/>
      <c r="P239" s="175"/>
      <c r="Q239" s="175"/>
      <c r="R239" s="220"/>
      <c r="S239" s="175"/>
      <c r="T239" s="175"/>
      <c r="U239" s="175"/>
      <c r="V239" s="175"/>
      <c r="W239" s="175"/>
      <c r="X239" s="116"/>
    </row>
    <row r="240" spans="1:24" s="112" customFormat="1">
      <c r="A240" s="116"/>
      <c r="B240" s="115"/>
      <c r="C240" s="115"/>
      <c r="D240" s="131"/>
      <c r="E240" s="177"/>
      <c r="F240" s="28"/>
      <c r="G240" s="118"/>
      <c r="H240" s="192"/>
      <c r="I240" s="192"/>
      <c r="J240" s="175"/>
      <c r="K240" s="192"/>
      <c r="L240" s="192"/>
      <c r="M240" s="192"/>
      <c r="N240" s="175"/>
      <c r="O240" s="116"/>
      <c r="P240" s="175"/>
      <c r="Q240" s="175"/>
      <c r="R240" s="220"/>
      <c r="S240" s="175"/>
      <c r="T240" s="175"/>
      <c r="U240" s="175"/>
      <c r="V240" s="175"/>
      <c r="W240" s="175"/>
      <c r="X240" s="116"/>
    </row>
    <row r="241" spans="1:24" s="112" customFormat="1">
      <c r="A241" s="116"/>
      <c r="B241" s="115"/>
      <c r="C241" s="115"/>
      <c r="D241" s="131"/>
      <c r="E241" s="177"/>
      <c r="F241" s="28"/>
      <c r="G241" s="118"/>
      <c r="H241" s="192"/>
      <c r="I241" s="192"/>
      <c r="J241" s="175"/>
      <c r="K241" s="192"/>
      <c r="L241" s="192"/>
      <c r="M241" s="192"/>
      <c r="N241" s="175"/>
      <c r="O241" s="116"/>
      <c r="P241" s="175"/>
      <c r="Q241" s="175"/>
      <c r="R241" s="220"/>
      <c r="S241" s="175"/>
      <c r="T241" s="175"/>
      <c r="U241" s="175"/>
      <c r="V241" s="175"/>
      <c r="W241" s="175"/>
      <c r="X241" s="116"/>
    </row>
    <row r="242" spans="1:24" s="112" customFormat="1">
      <c r="A242" s="116"/>
      <c r="B242" s="115"/>
      <c r="C242" s="115"/>
      <c r="D242" s="131"/>
      <c r="E242" s="177"/>
      <c r="F242" s="28"/>
      <c r="G242" s="118"/>
      <c r="H242" s="192"/>
      <c r="I242" s="192"/>
      <c r="J242" s="175"/>
      <c r="K242" s="192"/>
      <c r="L242" s="192"/>
      <c r="M242" s="192"/>
      <c r="N242" s="175"/>
      <c r="O242" s="116"/>
      <c r="P242" s="175"/>
      <c r="Q242" s="175"/>
      <c r="R242" s="220"/>
      <c r="S242" s="175"/>
      <c r="T242" s="175"/>
      <c r="U242" s="175"/>
      <c r="V242" s="175"/>
      <c r="W242" s="175"/>
      <c r="X242" s="116"/>
    </row>
    <row r="243" spans="1:24" s="112" customFormat="1">
      <c r="A243" s="116"/>
      <c r="B243" s="115"/>
      <c r="C243" s="115"/>
      <c r="D243" s="131"/>
      <c r="E243" s="177"/>
      <c r="F243" s="28"/>
      <c r="G243" s="118"/>
      <c r="H243" s="192"/>
      <c r="I243" s="192"/>
      <c r="J243" s="175"/>
      <c r="K243" s="192"/>
      <c r="L243" s="192"/>
      <c r="M243" s="192"/>
      <c r="N243" s="175"/>
      <c r="O243" s="116"/>
      <c r="P243" s="175"/>
      <c r="Q243" s="175"/>
      <c r="R243" s="220"/>
      <c r="S243" s="175"/>
      <c r="T243" s="175"/>
      <c r="U243" s="175"/>
      <c r="V243" s="175"/>
      <c r="W243" s="175"/>
      <c r="X243" s="116"/>
    </row>
    <row r="244" spans="1:24" s="112" customFormat="1">
      <c r="A244" s="116"/>
      <c r="B244" s="115"/>
      <c r="C244" s="115"/>
      <c r="D244" s="131"/>
      <c r="E244" s="177"/>
      <c r="F244" s="28"/>
      <c r="G244" s="118"/>
      <c r="H244" s="192"/>
      <c r="I244" s="192"/>
      <c r="J244" s="175"/>
      <c r="K244" s="192"/>
      <c r="L244" s="192"/>
      <c r="M244" s="192"/>
      <c r="N244" s="175"/>
      <c r="O244" s="116"/>
      <c r="P244" s="175"/>
      <c r="Q244" s="175"/>
      <c r="R244" s="220"/>
      <c r="S244" s="175"/>
      <c r="T244" s="175"/>
      <c r="U244" s="175"/>
      <c r="V244" s="175"/>
      <c r="W244" s="175"/>
      <c r="X244" s="116"/>
    </row>
    <row r="245" spans="1:24" s="112" customFormat="1">
      <c r="A245" s="116"/>
      <c r="B245" s="115"/>
      <c r="C245" s="115"/>
      <c r="D245" s="131"/>
      <c r="E245" s="177"/>
      <c r="F245" s="28"/>
      <c r="G245" s="118"/>
      <c r="H245" s="192"/>
      <c r="I245" s="192"/>
      <c r="J245" s="175"/>
      <c r="K245" s="192"/>
      <c r="L245" s="192"/>
      <c r="M245" s="192"/>
      <c r="N245" s="175"/>
      <c r="O245" s="116"/>
      <c r="P245" s="175"/>
      <c r="Q245" s="175"/>
      <c r="R245" s="220"/>
      <c r="S245" s="175"/>
      <c r="T245" s="175"/>
      <c r="U245" s="175"/>
      <c r="V245" s="175"/>
      <c r="W245" s="175"/>
      <c r="X245" s="116"/>
    </row>
    <row r="246" spans="1:24" s="112" customFormat="1">
      <c r="A246" s="116"/>
      <c r="B246" s="115"/>
      <c r="C246" s="115"/>
      <c r="D246" s="131"/>
      <c r="E246" s="177"/>
      <c r="F246" s="28"/>
      <c r="G246" s="118"/>
      <c r="H246" s="192"/>
      <c r="I246" s="192"/>
      <c r="J246" s="175"/>
      <c r="K246" s="192"/>
      <c r="L246" s="192"/>
      <c r="M246" s="192"/>
      <c r="N246" s="175"/>
      <c r="O246" s="116"/>
      <c r="P246" s="175"/>
      <c r="Q246" s="175"/>
      <c r="R246" s="220"/>
      <c r="S246" s="175"/>
      <c r="T246" s="175"/>
      <c r="U246" s="175"/>
      <c r="V246" s="175"/>
      <c r="W246" s="175"/>
      <c r="X246" s="116"/>
    </row>
    <row r="247" spans="1:24" s="112" customFormat="1">
      <c r="A247" s="116"/>
      <c r="B247" s="115"/>
      <c r="C247" s="115"/>
      <c r="D247" s="131"/>
      <c r="E247" s="177"/>
      <c r="F247" s="28"/>
      <c r="G247" s="118"/>
      <c r="H247" s="192"/>
      <c r="I247" s="192"/>
      <c r="J247" s="175"/>
      <c r="K247" s="192"/>
      <c r="L247" s="192"/>
      <c r="M247" s="192"/>
      <c r="N247" s="175"/>
      <c r="O247" s="116"/>
      <c r="P247" s="175"/>
      <c r="Q247" s="175"/>
      <c r="R247" s="220"/>
      <c r="S247" s="175"/>
      <c r="T247" s="175"/>
      <c r="U247" s="175"/>
      <c r="V247" s="175"/>
      <c r="W247" s="175"/>
      <c r="X247" s="116"/>
    </row>
    <row r="248" spans="1:24" s="112" customFormat="1">
      <c r="A248" s="116"/>
      <c r="B248" s="115"/>
      <c r="C248" s="115"/>
      <c r="D248" s="131"/>
      <c r="E248" s="177"/>
      <c r="F248" s="28"/>
      <c r="G248" s="118"/>
      <c r="H248" s="192"/>
      <c r="I248" s="192"/>
      <c r="J248" s="175"/>
      <c r="K248" s="192"/>
      <c r="L248" s="192"/>
      <c r="M248" s="192"/>
      <c r="N248" s="175"/>
      <c r="O248" s="116"/>
      <c r="P248" s="175"/>
      <c r="Q248" s="175"/>
      <c r="R248" s="220"/>
      <c r="S248" s="175"/>
      <c r="T248" s="175"/>
      <c r="U248" s="175"/>
      <c r="V248" s="175"/>
      <c r="W248" s="175"/>
      <c r="X248" s="116"/>
    </row>
    <row r="249" spans="1:24" s="112" customFormat="1">
      <c r="A249" s="116"/>
      <c r="B249" s="115"/>
      <c r="C249" s="115"/>
      <c r="D249" s="131"/>
      <c r="E249" s="177"/>
      <c r="F249" s="28"/>
      <c r="G249" s="118"/>
      <c r="H249" s="192"/>
      <c r="I249" s="192"/>
      <c r="J249" s="175"/>
      <c r="K249" s="192"/>
      <c r="L249" s="192"/>
      <c r="M249" s="192"/>
      <c r="N249" s="175"/>
      <c r="O249" s="116"/>
      <c r="P249" s="175"/>
      <c r="Q249" s="175"/>
      <c r="R249" s="220"/>
      <c r="S249" s="175"/>
      <c r="T249" s="175"/>
      <c r="U249" s="175"/>
      <c r="V249" s="175"/>
      <c r="W249" s="175"/>
      <c r="X249" s="116"/>
    </row>
    <row r="250" spans="1:24" s="112" customFormat="1">
      <c r="A250" s="116"/>
      <c r="B250" s="115"/>
      <c r="C250" s="115"/>
      <c r="D250" s="131"/>
      <c r="E250" s="177"/>
      <c r="F250" s="28"/>
      <c r="G250" s="118"/>
      <c r="H250" s="192"/>
      <c r="I250" s="192"/>
      <c r="J250" s="175"/>
      <c r="K250" s="192"/>
      <c r="L250" s="192"/>
      <c r="M250" s="192"/>
      <c r="N250" s="175"/>
      <c r="O250" s="116"/>
      <c r="P250" s="175"/>
      <c r="Q250" s="175"/>
      <c r="R250" s="220"/>
      <c r="S250" s="175"/>
      <c r="T250" s="175"/>
      <c r="U250" s="175"/>
      <c r="V250" s="175"/>
      <c r="W250" s="175"/>
      <c r="X250" s="116"/>
    </row>
    <row r="251" spans="1:24" s="112" customFormat="1">
      <c r="A251" s="116"/>
      <c r="B251" s="115"/>
      <c r="C251" s="115"/>
      <c r="D251" s="131"/>
      <c r="E251" s="177"/>
      <c r="F251" s="28"/>
      <c r="G251" s="118"/>
      <c r="H251" s="192"/>
      <c r="I251" s="192"/>
      <c r="J251" s="175"/>
      <c r="K251" s="192"/>
      <c r="L251" s="192"/>
      <c r="M251" s="192"/>
      <c r="N251" s="175"/>
      <c r="O251" s="116"/>
      <c r="P251" s="175"/>
      <c r="Q251" s="175"/>
      <c r="R251" s="220"/>
      <c r="S251" s="175"/>
      <c r="T251" s="175"/>
      <c r="U251" s="175"/>
      <c r="V251" s="175"/>
      <c r="W251" s="175"/>
      <c r="X251" s="116"/>
    </row>
    <row r="252" spans="1:24" s="112" customFormat="1">
      <c r="A252" s="116"/>
      <c r="B252" s="115"/>
      <c r="C252" s="115"/>
      <c r="D252" s="131"/>
      <c r="E252" s="177"/>
      <c r="F252" s="28"/>
      <c r="G252" s="118"/>
      <c r="H252" s="192"/>
      <c r="I252" s="192"/>
      <c r="J252" s="175"/>
      <c r="K252" s="192"/>
      <c r="L252" s="192"/>
      <c r="M252" s="192"/>
      <c r="N252" s="175"/>
      <c r="O252" s="116"/>
      <c r="P252" s="175"/>
      <c r="Q252" s="175"/>
      <c r="R252" s="220"/>
      <c r="S252" s="175"/>
      <c r="T252" s="175"/>
      <c r="U252" s="175"/>
      <c r="V252" s="175"/>
      <c r="W252" s="175"/>
      <c r="X252" s="116"/>
    </row>
    <row r="253" spans="1:24" s="112" customFormat="1">
      <c r="A253" s="116"/>
      <c r="B253" s="115"/>
      <c r="C253" s="115"/>
      <c r="D253" s="131"/>
      <c r="E253" s="177"/>
      <c r="F253" s="28"/>
      <c r="G253" s="118"/>
      <c r="H253" s="192"/>
      <c r="I253" s="192"/>
      <c r="J253" s="175"/>
      <c r="K253" s="192"/>
      <c r="L253" s="192"/>
      <c r="M253" s="192"/>
      <c r="N253" s="175"/>
      <c r="O253" s="116"/>
      <c r="P253" s="175"/>
      <c r="Q253" s="175"/>
      <c r="R253" s="220"/>
      <c r="S253" s="175"/>
      <c r="T253" s="175"/>
      <c r="U253" s="175"/>
      <c r="V253" s="175"/>
      <c r="W253" s="175"/>
      <c r="X253" s="116"/>
    </row>
    <row r="254" spans="1:24" s="112" customFormat="1">
      <c r="A254" s="116"/>
      <c r="B254" s="115"/>
      <c r="C254" s="115"/>
      <c r="D254" s="131"/>
      <c r="E254" s="177"/>
      <c r="F254" s="28"/>
      <c r="G254" s="118"/>
      <c r="H254" s="192"/>
      <c r="I254" s="192"/>
      <c r="J254" s="175"/>
      <c r="K254" s="192"/>
      <c r="L254" s="192"/>
      <c r="M254" s="192"/>
      <c r="N254" s="175"/>
      <c r="O254" s="116"/>
      <c r="P254" s="175"/>
      <c r="Q254" s="175"/>
      <c r="R254" s="220"/>
      <c r="S254" s="175"/>
      <c r="T254" s="175"/>
      <c r="U254" s="175"/>
      <c r="V254" s="175"/>
      <c r="W254" s="175"/>
      <c r="X254" s="116"/>
    </row>
    <row r="255" spans="1:24" s="112" customFormat="1">
      <c r="A255" s="116"/>
      <c r="B255" s="115"/>
      <c r="C255" s="115"/>
      <c r="D255" s="131"/>
      <c r="E255" s="177"/>
      <c r="F255" s="28"/>
      <c r="G255" s="118"/>
      <c r="H255" s="192"/>
      <c r="I255" s="192"/>
      <c r="J255" s="175"/>
      <c r="K255" s="192"/>
      <c r="L255" s="192"/>
      <c r="M255" s="192"/>
      <c r="N255" s="175"/>
      <c r="O255" s="116"/>
      <c r="P255" s="175"/>
      <c r="Q255" s="175"/>
      <c r="R255" s="220"/>
      <c r="S255" s="175"/>
      <c r="T255" s="175"/>
      <c r="U255" s="175"/>
      <c r="V255" s="175"/>
      <c r="W255" s="175"/>
      <c r="X255" s="116"/>
    </row>
    <row r="256" spans="1:24" s="112" customFormat="1">
      <c r="A256" s="116"/>
      <c r="B256" s="115"/>
      <c r="C256" s="115"/>
      <c r="D256" s="131"/>
      <c r="E256" s="177"/>
      <c r="F256" s="28"/>
      <c r="G256" s="118"/>
      <c r="H256" s="192"/>
      <c r="I256" s="192"/>
      <c r="J256" s="175"/>
      <c r="K256" s="192"/>
      <c r="L256" s="192"/>
      <c r="M256" s="192"/>
      <c r="N256" s="175"/>
      <c r="O256" s="116"/>
      <c r="P256" s="175"/>
      <c r="Q256" s="175"/>
      <c r="R256" s="220"/>
      <c r="S256" s="175"/>
      <c r="T256" s="175"/>
      <c r="U256" s="175"/>
      <c r="V256" s="175"/>
      <c r="W256" s="175"/>
      <c r="X256" s="116"/>
    </row>
    <row r="257" spans="1:24" s="112" customFormat="1">
      <c r="A257" s="116"/>
      <c r="B257" s="115"/>
      <c r="C257" s="115"/>
      <c r="D257" s="131"/>
      <c r="E257" s="177"/>
      <c r="F257" s="28"/>
      <c r="G257" s="118"/>
      <c r="H257" s="192"/>
      <c r="I257" s="192"/>
      <c r="J257" s="175"/>
      <c r="K257" s="192"/>
      <c r="L257" s="192"/>
      <c r="M257" s="192"/>
      <c r="N257" s="175"/>
      <c r="O257" s="116"/>
      <c r="P257" s="175"/>
      <c r="Q257" s="175"/>
      <c r="R257" s="220"/>
      <c r="S257" s="175"/>
      <c r="T257" s="175"/>
      <c r="U257" s="175"/>
      <c r="V257" s="175"/>
      <c r="W257" s="175"/>
      <c r="X257" s="116"/>
    </row>
    <row r="258" spans="1:24" s="112" customFormat="1">
      <c r="A258" s="116"/>
      <c r="B258" s="115"/>
      <c r="C258" s="115"/>
      <c r="D258" s="131"/>
      <c r="E258" s="177"/>
      <c r="F258" s="28"/>
      <c r="G258" s="118"/>
      <c r="H258" s="192"/>
      <c r="I258" s="192"/>
      <c r="J258" s="175"/>
      <c r="K258" s="192"/>
      <c r="L258" s="192"/>
      <c r="M258" s="192"/>
      <c r="N258" s="175"/>
      <c r="O258" s="116"/>
      <c r="P258" s="175"/>
      <c r="Q258" s="175"/>
      <c r="R258" s="220"/>
      <c r="S258" s="175"/>
      <c r="T258" s="175"/>
      <c r="U258" s="175"/>
      <c r="V258" s="175"/>
      <c r="W258" s="175"/>
      <c r="X258" s="116"/>
    </row>
    <row r="259" spans="1:24" s="112" customFormat="1">
      <c r="A259" s="116"/>
      <c r="B259" s="115"/>
      <c r="C259" s="115"/>
      <c r="D259" s="131"/>
      <c r="E259" s="177"/>
      <c r="F259" s="28"/>
      <c r="G259" s="118"/>
      <c r="H259" s="192"/>
      <c r="I259" s="192"/>
      <c r="J259" s="175"/>
      <c r="K259" s="192"/>
      <c r="L259" s="192"/>
      <c r="M259" s="192"/>
      <c r="N259" s="175"/>
      <c r="O259" s="116"/>
      <c r="P259" s="175"/>
      <c r="Q259" s="175"/>
      <c r="R259" s="220"/>
      <c r="S259" s="175"/>
      <c r="T259" s="175"/>
      <c r="U259" s="175"/>
      <c r="V259" s="175"/>
      <c r="W259" s="175"/>
      <c r="X259" s="116"/>
    </row>
    <row r="260" spans="1:24" s="112" customFormat="1">
      <c r="A260" s="116"/>
      <c r="B260" s="115"/>
      <c r="C260" s="115"/>
      <c r="D260" s="131"/>
      <c r="E260" s="177"/>
      <c r="F260" s="28"/>
      <c r="G260" s="118"/>
      <c r="H260" s="192"/>
      <c r="I260" s="192"/>
      <c r="J260" s="175"/>
      <c r="K260" s="192"/>
      <c r="L260" s="192"/>
      <c r="M260" s="192"/>
      <c r="N260" s="175"/>
      <c r="O260" s="116"/>
      <c r="P260" s="175"/>
      <c r="Q260" s="175"/>
      <c r="R260" s="220"/>
      <c r="S260" s="175"/>
      <c r="T260" s="175"/>
      <c r="U260" s="175"/>
      <c r="V260" s="175"/>
      <c r="W260" s="175"/>
      <c r="X260" s="116"/>
    </row>
    <row r="261" spans="1:24" s="112" customFormat="1">
      <c r="A261" s="116"/>
      <c r="B261" s="115"/>
      <c r="C261" s="115"/>
      <c r="D261" s="131"/>
      <c r="E261" s="177"/>
      <c r="F261" s="28"/>
      <c r="G261" s="118"/>
      <c r="H261" s="192"/>
      <c r="I261" s="192"/>
      <c r="J261" s="175"/>
      <c r="K261" s="192"/>
      <c r="L261" s="192"/>
      <c r="M261" s="192"/>
      <c r="N261" s="175"/>
      <c r="O261" s="116"/>
      <c r="P261" s="175"/>
      <c r="Q261" s="175"/>
      <c r="R261" s="220"/>
      <c r="S261" s="175"/>
      <c r="T261" s="175"/>
      <c r="U261" s="175"/>
      <c r="V261" s="175"/>
      <c r="W261" s="175"/>
      <c r="X261" s="116"/>
    </row>
    <row r="262" spans="1:24" s="112" customFormat="1">
      <c r="A262" s="116"/>
      <c r="B262" s="115"/>
      <c r="C262" s="115"/>
      <c r="D262" s="131"/>
      <c r="E262" s="177"/>
      <c r="F262" s="28"/>
      <c r="G262" s="118"/>
      <c r="H262" s="192"/>
      <c r="I262" s="192"/>
      <c r="J262" s="175"/>
      <c r="K262" s="192"/>
      <c r="L262" s="192"/>
      <c r="M262" s="192"/>
      <c r="N262" s="175"/>
      <c r="O262" s="116"/>
      <c r="P262" s="175"/>
      <c r="Q262" s="175"/>
      <c r="R262" s="220"/>
      <c r="S262" s="175"/>
      <c r="T262" s="175"/>
      <c r="U262" s="175"/>
      <c r="V262" s="175"/>
      <c r="W262" s="175"/>
      <c r="X262" s="116"/>
    </row>
    <row r="263" spans="1:24" s="112" customFormat="1">
      <c r="A263" s="116"/>
      <c r="B263" s="115"/>
      <c r="C263" s="115"/>
      <c r="D263" s="131"/>
      <c r="E263" s="177"/>
      <c r="F263" s="28"/>
      <c r="G263" s="118"/>
      <c r="H263" s="192"/>
      <c r="I263" s="192"/>
      <c r="J263" s="175"/>
      <c r="K263" s="192"/>
      <c r="L263" s="192"/>
      <c r="M263" s="192"/>
      <c r="N263" s="175"/>
      <c r="O263" s="116"/>
      <c r="P263" s="175"/>
      <c r="Q263" s="175"/>
      <c r="R263" s="220"/>
      <c r="S263" s="175"/>
      <c r="T263" s="175"/>
      <c r="U263" s="175"/>
      <c r="V263" s="175"/>
      <c r="W263" s="175"/>
      <c r="X263" s="116"/>
    </row>
    <row r="264" spans="1:24" s="112" customFormat="1">
      <c r="A264" s="116"/>
      <c r="B264" s="115"/>
      <c r="C264" s="115"/>
      <c r="D264" s="131"/>
      <c r="E264" s="177"/>
      <c r="F264" s="28"/>
      <c r="G264" s="118"/>
      <c r="H264" s="192"/>
      <c r="I264" s="192"/>
      <c r="J264" s="175"/>
      <c r="K264" s="192"/>
      <c r="L264" s="192"/>
      <c r="M264" s="192"/>
      <c r="N264" s="175"/>
      <c r="O264" s="116"/>
      <c r="P264" s="175"/>
      <c r="Q264" s="175"/>
      <c r="R264" s="220"/>
      <c r="S264" s="175"/>
      <c r="T264" s="175"/>
      <c r="U264" s="175"/>
      <c r="V264" s="175"/>
      <c r="W264" s="175"/>
      <c r="X264" s="116"/>
    </row>
    <row r="265" spans="1:24" s="112" customFormat="1">
      <c r="A265" s="116"/>
      <c r="B265" s="115"/>
      <c r="C265" s="115"/>
      <c r="D265" s="131"/>
      <c r="E265" s="177"/>
      <c r="F265" s="28"/>
      <c r="G265" s="118"/>
      <c r="H265" s="192"/>
      <c r="I265" s="192"/>
      <c r="J265" s="175"/>
      <c r="K265" s="192"/>
      <c r="L265" s="192"/>
      <c r="M265" s="192"/>
      <c r="N265" s="175"/>
      <c r="O265" s="116"/>
      <c r="P265" s="175"/>
      <c r="Q265" s="175"/>
      <c r="R265" s="220"/>
      <c r="S265" s="175"/>
      <c r="T265" s="175"/>
      <c r="U265" s="175"/>
      <c r="V265" s="175"/>
      <c r="W265" s="175"/>
      <c r="X265" s="116"/>
    </row>
    <row r="266" spans="1:24" s="112" customFormat="1">
      <c r="A266" s="116"/>
      <c r="B266" s="115"/>
      <c r="C266" s="115"/>
      <c r="D266" s="131"/>
      <c r="E266" s="177"/>
      <c r="F266" s="28"/>
      <c r="G266" s="118"/>
      <c r="H266" s="192"/>
      <c r="I266" s="192"/>
      <c r="J266" s="175"/>
      <c r="K266" s="192"/>
      <c r="L266" s="192"/>
      <c r="M266" s="192"/>
      <c r="N266" s="175"/>
      <c r="O266" s="116"/>
      <c r="P266" s="175"/>
      <c r="Q266" s="175"/>
      <c r="R266" s="220"/>
      <c r="S266" s="175"/>
      <c r="T266" s="175"/>
      <c r="U266" s="175"/>
      <c r="V266" s="175"/>
      <c r="W266" s="175"/>
      <c r="X266" s="116"/>
    </row>
    <row r="267" spans="1:24" s="112" customFormat="1">
      <c r="A267" s="116"/>
      <c r="B267" s="115"/>
      <c r="C267" s="115"/>
      <c r="D267" s="131"/>
      <c r="E267" s="177"/>
      <c r="F267" s="28"/>
      <c r="G267" s="118"/>
      <c r="H267" s="192"/>
      <c r="I267" s="192"/>
      <c r="J267" s="175"/>
      <c r="K267" s="192"/>
      <c r="L267" s="192"/>
      <c r="M267" s="192"/>
      <c r="N267" s="175"/>
      <c r="O267" s="116"/>
      <c r="P267" s="175"/>
      <c r="Q267" s="175"/>
      <c r="R267" s="220"/>
      <c r="S267" s="175"/>
      <c r="T267" s="175"/>
      <c r="U267" s="175"/>
      <c r="V267" s="175"/>
      <c r="W267" s="175"/>
      <c r="X267" s="116"/>
    </row>
    <row r="268" spans="1:24" s="112" customFormat="1">
      <c r="A268" s="116"/>
      <c r="B268" s="115"/>
      <c r="C268" s="115"/>
      <c r="D268" s="131"/>
      <c r="E268" s="177"/>
      <c r="F268" s="28"/>
      <c r="G268" s="118"/>
      <c r="H268" s="192"/>
      <c r="I268" s="192"/>
      <c r="J268" s="175"/>
      <c r="K268" s="192"/>
      <c r="L268" s="192"/>
      <c r="M268" s="192"/>
      <c r="N268" s="175"/>
      <c r="O268" s="116"/>
      <c r="P268" s="175"/>
      <c r="Q268" s="175"/>
      <c r="R268" s="220"/>
      <c r="S268" s="175"/>
      <c r="T268" s="175"/>
      <c r="U268" s="175"/>
      <c r="V268" s="175"/>
      <c r="W268" s="175"/>
      <c r="X268" s="116"/>
    </row>
    <row r="269" spans="1:24" s="112" customFormat="1">
      <c r="A269" s="116"/>
      <c r="B269" s="115"/>
      <c r="C269" s="115"/>
      <c r="D269" s="131"/>
      <c r="E269" s="177"/>
      <c r="F269" s="28"/>
      <c r="G269" s="118"/>
      <c r="H269" s="192"/>
      <c r="I269" s="192"/>
      <c r="J269" s="175"/>
      <c r="K269" s="192"/>
      <c r="L269" s="192"/>
      <c r="M269" s="192"/>
      <c r="N269" s="175"/>
      <c r="O269" s="116"/>
      <c r="P269" s="175"/>
      <c r="Q269" s="175"/>
      <c r="R269" s="220"/>
      <c r="S269" s="175"/>
      <c r="T269" s="175"/>
      <c r="U269" s="175"/>
      <c r="V269" s="175"/>
      <c r="W269" s="175"/>
      <c r="X269" s="116"/>
    </row>
    <row r="270" spans="1:24" s="112" customFormat="1">
      <c r="A270" s="116"/>
      <c r="B270" s="115"/>
      <c r="C270" s="115"/>
      <c r="D270" s="131"/>
      <c r="E270" s="177"/>
      <c r="F270" s="28"/>
      <c r="G270" s="118"/>
      <c r="H270" s="192"/>
      <c r="I270" s="192"/>
      <c r="J270" s="175"/>
      <c r="K270" s="192"/>
      <c r="L270" s="192"/>
      <c r="M270" s="192"/>
      <c r="N270" s="175"/>
      <c r="O270" s="116"/>
      <c r="P270" s="175"/>
      <c r="Q270" s="175"/>
      <c r="R270" s="220"/>
      <c r="S270" s="175"/>
      <c r="T270" s="175"/>
      <c r="U270" s="175"/>
      <c r="V270" s="175"/>
      <c r="W270" s="175"/>
      <c r="X270" s="116"/>
    </row>
    <row r="271" spans="1:24" s="112" customFormat="1">
      <c r="A271" s="116"/>
      <c r="B271" s="115"/>
      <c r="C271" s="115"/>
      <c r="D271" s="131"/>
      <c r="E271" s="177"/>
      <c r="F271" s="28"/>
      <c r="G271" s="118"/>
      <c r="H271" s="192"/>
      <c r="I271" s="192"/>
      <c r="J271" s="175"/>
      <c r="K271" s="192"/>
      <c r="L271" s="192"/>
      <c r="M271" s="192"/>
      <c r="N271" s="175"/>
      <c r="O271" s="116"/>
      <c r="P271" s="175"/>
      <c r="Q271" s="175"/>
      <c r="R271" s="220"/>
      <c r="S271" s="175"/>
      <c r="T271" s="175"/>
      <c r="U271" s="175"/>
      <c r="V271" s="175"/>
      <c r="W271" s="175"/>
      <c r="X271" s="116"/>
    </row>
    <row r="272" spans="1:24" s="112" customFormat="1">
      <c r="A272" s="116"/>
      <c r="B272" s="115"/>
      <c r="C272" s="115"/>
      <c r="D272" s="131"/>
      <c r="E272" s="177"/>
      <c r="F272" s="28"/>
      <c r="G272" s="118"/>
      <c r="H272" s="192"/>
      <c r="I272" s="192"/>
      <c r="J272" s="175"/>
      <c r="K272" s="192"/>
      <c r="L272" s="192"/>
      <c r="M272" s="192"/>
      <c r="N272" s="175"/>
      <c r="O272" s="116"/>
      <c r="P272" s="175"/>
      <c r="Q272" s="175"/>
      <c r="R272" s="220"/>
      <c r="S272" s="175"/>
      <c r="T272" s="175"/>
      <c r="U272" s="175"/>
      <c r="V272" s="175"/>
      <c r="W272" s="175"/>
      <c r="X272" s="116"/>
    </row>
    <row r="273" spans="1:24" s="112" customFormat="1">
      <c r="A273" s="116"/>
      <c r="B273" s="115"/>
      <c r="C273" s="115"/>
      <c r="D273" s="131"/>
      <c r="E273" s="177"/>
      <c r="F273" s="28"/>
      <c r="G273" s="118"/>
      <c r="H273" s="192"/>
      <c r="I273" s="192"/>
      <c r="J273" s="175"/>
      <c r="K273" s="192"/>
      <c r="L273" s="192"/>
      <c r="M273" s="192"/>
      <c r="N273" s="175"/>
      <c r="O273" s="116"/>
      <c r="P273" s="175"/>
      <c r="Q273" s="175"/>
      <c r="R273" s="220"/>
      <c r="S273" s="175"/>
      <c r="T273" s="175"/>
      <c r="U273" s="175"/>
      <c r="V273" s="175"/>
      <c r="W273" s="175"/>
      <c r="X273" s="116"/>
    </row>
    <row r="274" spans="1:24" s="112" customFormat="1">
      <c r="A274" s="116"/>
      <c r="B274" s="115"/>
      <c r="C274" s="115"/>
      <c r="D274" s="131"/>
      <c r="E274" s="177"/>
      <c r="F274" s="28"/>
      <c r="G274" s="118"/>
      <c r="H274" s="192"/>
      <c r="I274" s="192"/>
      <c r="J274" s="175"/>
      <c r="K274" s="192"/>
      <c r="L274" s="192"/>
      <c r="M274" s="192"/>
      <c r="N274" s="175"/>
      <c r="O274" s="116"/>
      <c r="P274" s="175"/>
      <c r="Q274" s="175"/>
      <c r="R274" s="220"/>
      <c r="S274" s="175"/>
      <c r="T274" s="175"/>
      <c r="U274" s="175"/>
      <c r="V274" s="175"/>
      <c r="W274" s="175"/>
      <c r="X274" s="116"/>
    </row>
    <row r="275" spans="1:24" s="112" customFormat="1">
      <c r="A275" s="116"/>
      <c r="B275" s="115"/>
      <c r="C275" s="115"/>
      <c r="D275" s="131"/>
      <c r="E275" s="177"/>
      <c r="F275" s="28"/>
      <c r="G275" s="118"/>
      <c r="H275" s="192"/>
      <c r="I275" s="192"/>
      <c r="J275" s="175"/>
      <c r="K275" s="192"/>
      <c r="L275" s="192"/>
      <c r="M275" s="192"/>
      <c r="N275" s="175"/>
      <c r="O275" s="116"/>
      <c r="P275" s="175"/>
      <c r="Q275" s="175"/>
      <c r="R275" s="220"/>
      <c r="S275" s="175"/>
      <c r="T275" s="175"/>
      <c r="U275" s="175"/>
      <c r="V275" s="175"/>
      <c r="W275" s="175"/>
      <c r="X275" s="116"/>
    </row>
    <row r="276" spans="1:24" s="112" customFormat="1">
      <c r="A276" s="116"/>
      <c r="B276" s="115"/>
      <c r="C276" s="115"/>
      <c r="D276" s="131"/>
      <c r="E276" s="177"/>
      <c r="F276" s="28"/>
      <c r="G276" s="118"/>
      <c r="H276" s="192"/>
      <c r="I276" s="192"/>
      <c r="J276" s="175"/>
      <c r="K276" s="192"/>
      <c r="L276" s="192"/>
      <c r="M276" s="192"/>
      <c r="N276" s="175"/>
      <c r="O276" s="116"/>
      <c r="P276" s="175"/>
      <c r="Q276" s="175"/>
      <c r="R276" s="220"/>
      <c r="S276" s="175"/>
      <c r="T276" s="175"/>
      <c r="U276" s="175"/>
      <c r="V276" s="175"/>
      <c r="W276" s="175"/>
      <c r="X276" s="116"/>
    </row>
    <row r="277" spans="1:24" s="112" customFormat="1">
      <c r="A277" s="116"/>
      <c r="B277" s="115"/>
      <c r="C277" s="115"/>
      <c r="D277" s="131"/>
      <c r="E277" s="177"/>
      <c r="F277" s="28"/>
      <c r="G277" s="118"/>
      <c r="H277" s="192"/>
      <c r="I277" s="192"/>
      <c r="J277" s="175"/>
      <c r="K277" s="192"/>
      <c r="L277" s="192"/>
      <c r="M277" s="192"/>
      <c r="N277" s="175"/>
      <c r="O277" s="116"/>
      <c r="P277" s="175"/>
      <c r="Q277" s="175"/>
      <c r="R277" s="220"/>
      <c r="S277" s="175"/>
      <c r="T277" s="175"/>
      <c r="U277" s="175"/>
      <c r="V277" s="175"/>
      <c r="W277" s="175"/>
      <c r="X277" s="116"/>
    </row>
    <row r="278" spans="1:24" s="112" customFormat="1">
      <c r="A278" s="116"/>
      <c r="B278" s="115"/>
      <c r="C278" s="115"/>
      <c r="D278" s="131"/>
      <c r="E278" s="177"/>
      <c r="F278" s="28"/>
      <c r="G278" s="118"/>
      <c r="H278" s="192"/>
      <c r="I278" s="192"/>
      <c r="J278" s="175"/>
      <c r="K278" s="192"/>
      <c r="L278" s="192"/>
      <c r="M278" s="192"/>
      <c r="N278" s="175"/>
      <c r="O278" s="116"/>
      <c r="P278" s="175"/>
      <c r="Q278" s="175"/>
      <c r="R278" s="220"/>
      <c r="S278" s="175"/>
      <c r="T278" s="175"/>
      <c r="U278" s="175"/>
      <c r="V278" s="175"/>
      <c r="W278" s="175"/>
      <c r="X278" s="116"/>
    </row>
    <row r="279" spans="1:24" s="112" customFormat="1">
      <c r="A279" s="116"/>
      <c r="B279" s="115"/>
      <c r="C279" s="115"/>
      <c r="D279" s="131"/>
      <c r="E279" s="177"/>
      <c r="F279" s="28"/>
      <c r="G279" s="118"/>
      <c r="H279" s="192"/>
      <c r="I279" s="192"/>
      <c r="J279" s="175"/>
      <c r="K279" s="192"/>
      <c r="L279" s="192"/>
      <c r="M279" s="192"/>
      <c r="N279" s="175"/>
      <c r="O279" s="116"/>
      <c r="P279" s="175"/>
      <c r="Q279" s="175"/>
      <c r="R279" s="220"/>
      <c r="S279" s="175"/>
      <c r="T279" s="175"/>
      <c r="U279" s="175"/>
      <c r="V279" s="175"/>
      <c r="W279" s="175"/>
      <c r="X279" s="116"/>
    </row>
    <row r="280" spans="1:24" s="112" customFormat="1">
      <c r="A280" s="116"/>
      <c r="B280" s="115"/>
      <c r="C280" s="115"/>
      <c r="D280" s="131"/>
      <c r="E280" s="177"/>
      <c r="F280" s="28"/>
      <c r="G280" s="118"/>
      <c r="H280" s="192"/>
      <c r="I280" s="192"/>
      <c r="J280" s="175"/>
      <c r="K280" s="192"/>
      <c r="L280" s="192"/>
      <c r="M280" s="192"/>
      <c r="N280" s="175"/>
      <c r="O280" s="116"/>
      <c r="P280" s="175"/>
      <c r="Q280" s="175"/>
      <c r="R280" s="220"/>
      <c r="S280" s="175"/>
      <c r="T280" s="175"/>
      <c r="U280" s="175"/>
      <c r="V280" s="175"/>
      <c r="W280" s="175"/>
      <c r="X280" s="116"/>
    </row>
    <row r="281" spans="1:24" s="112" customFormat="1">
      <c r="A281" s="116"/>
      <c r="B281" s="115"/>
      <c r="C281" s="115"/>
      <c r="D281" s="131"/>
      <c r="E281" s="177"/>
      <c r="F281" s="28"/>
      <c r="G281" s="118"/>
      <c r="H281" s="192"/>
      <c r="I281" s="192"/>
      <c r="J281" s="175"/>
      <c r="K281" s="192"/>
      <c r="L281" s="192"/>
      <c r="M281" s="192"/>
      <c r="N281" s="175"/>
      <c r="O281" s="116"/>
      <c r="P281" s="175"/>
      <c r="Q281" s="175"/>
      <c r="R281" s="220"/>
      <c r="S281" s="175"/>
      <c r="T281" s="175"/>
      <c r="U281" s="175"/>
      <c r="V281" s="175"/>
      <c r="W281" s="175"/>
      <c r="X281" s="116"/>
    </row>
    <row r="282" spans="1:24" s="112" customFormat="1">
      <c r="A282" s="116"/>
      <c r="B282" s="115"/>
      <c r="C282" s="115"/>
      <c r="D282" s="131"/>
      <c r="E282" s="177"/>
      <c r="F282" s="28"/>
      <c r="G282" s="118"/>
      <c r="H282" s="192"/>
      <c r="I282" s="192"/>
      <c r="J282" s="175"/>
      <c r="K282" s="192"/>
      <c r="L282" s="192"/>
      <c r="M282" s="192"/>
      <c r="N282" s="175"/>
      <c r="O282" s="116"/>
      <c r="P282" s="175"/>
      <c r="Q282" s="175"/>
      <c r="R282" s="220"/>
      <c r="S282" s="175"/>
      <c r="T282" s="175"/>
      <c r="U282" s="175"/>
      <c r="V282" s="175"/>
      <c r="W282" s="175"/>
      <c r="X282" s="116"/>
    </row>
    <row r="283" spans="1:24" s="112" customFormat="1">
      <c r="A283" s="116"/>
      <c r="B283" s="115"/>
      <c r="C283" s="115"/>
      <c r="D283" s="131"/>
      <c r="E283" s="177"/>
      <c r="F283" s="28"/>
      <c r="G283" s="118"/>
      <c r="H283" s="192"/>
      <c r="I283" s="192"/>
      <c r="J283" s="175"/>
      <c r="K283" s="192"/>
      <c r="L283" s="192"/>
      <c r="M283" s="192"/>
      <c r="N283" s="175"/>
      <c r="O283" s="116"/>
      <c r="P283" s="175"/>
      <c r="Q283" s="175"/>
      <c r="R283" s="220"/>
      <c r="S283" s="175"/>
      <c r="T283" s="175"/>
      <c r="U283" s="175"/>
      <c r="V283" s="175"/>
      <c r="W283" s="175"/>
      <c r="X283" s="116"/>
    </row>
    <row r="284" spans="1:24" s="112" customFormat="1">
      <c r="A284" s="116"/>
      <c r="B284" s="115"/>
      <c r="C284" s="115"/>
      <c r="D284" s="131"/>
      <c r="E284" s="177"/>
      <c r="F284" s="28"/>
      <c r="G284" s="118"/>
      <c r="H284" s="192"/>
      <c r="I284" s="192"/>
      <c r="J284" s="175"/>
      <c r="K284" s="192"/>
      <c r="L284" s="192"/>
      <c r="M284" s="192"/>
      <c r="N284" s="175"/>
      <c r="O284" s="116"/>
      <c r="P284" s="175"/>
      <c r="Q284" s="175"/>
      <c r="R284" s="220"/>
      <c r="S284" s="175"/>
      <c r="T284" s="175"/>
      <c r="U284" s="175"/>
      <c r="V284" s="175"/>
      <c r="W284" s="175"/>
      <c r="X284" s="116"/>
    </row>
    <row r="285" spans="1:24" s="112" customFormat="1">
      <c r="A285" s="116"/>
      <c r="B285" s="115"/>
      <c r="C285" s="115"/>
      <c r="D285" s="131"/>
      <c r="E285" s="177"/>
      <c r="F285" s="28"/>
      <c r="G285" s="118"/>
      <c r="H285" s="192"/>
      <c r="I285" s="192"/>
      <c r="J285" s="175"/>
      <c r="K285" s="192"/>
      <c r="L285" s="192"/>
      <c r="M285" s="192"/>
      <c r="N285" s="175"/>
      <c r="O285" s="116"/>
      <c r="P285" s="175"/>
      <c r="Q285" s="175"/>
      <c r="R285" s="220"/>
      <c r="S285" s="175"/>
      <c r="T285" s="175"/>
      <c r="U285" s="175"/>
      <c r="V285" s="175"/>
      <c r="W285" s="175"/>
      <c r="X285" s="116"/>
    </row>
    <row r="286" spans="1:24" s="112" customFormat="1">
      <c r="A286" s="116"/>
      <c r="B286" s="115"/>
      <c r="C286" s="115"/>
      <c r="D286" s="131"/>
      <c r="E286" s="177"/>
      <c r="F286" s="28"/>
      <c r="G286" s="118"/>
      <c r="H286" s="192"/>
      <c r="I286" s="192"/>
      <c r="J286" s="175"/>
      <c r="K286" s="192"/>
      <c r="L286" s="192"/>
      <c r="M286" s="192"/>
      <c r="N286" s="175"/>
      <c r="O286" s="116"/>
      <c r="P286" s="175"/>
      <c r="Q286" s="175"/>
      <c r="R286" s="220"/>
      <c r="S286" s="175"/>
      <c r="T286" s="175"/>
      <c r="U286" s="175"/>
      <c r="V286" s="175"/>
      <c r="W286" s="175"/>
      <c r="X286" s="116"/>
    </row>
    <row r="287" spans="1:24" s="112" customFormat="1">
      <c r="A287" s="116"/>
      <c r="B287" s="115"/>
      <c r="C287" s="115"/>
      <c r="D287" s="131"/>
      <c r="E287" s="177"/>
      <c r="F287" s="28"/>
      <c r="G287" s="118"/>
      <c r="H287" s="192"/>
      <c r="I287" s="192"/>
      <c r="J287" s="175"/>
      <c r="K287" s="192"/>
      <c r="L287" s="192"/>
      <c r="M287" s="192"/>
      <c r="N287" s="175"/>
      <c r="O287" s="116"/>
      <c r="P287" s="175"/>
      <c r="Q287" s="175"/>
      <c r="R287" s="220"/>
      <c r="S287" s="175"/>
      <c r="T287" s="175"/>
      <c r="U287" s="175"/>
      <c r="V287" s="175"/>
      <c r="W287" s="175"/>
      <c r="X287" s="116"/>
    </row>
    <row r="288" spans="1:24" s="112" customFormat="1">
      <c r="A288" s="116"/>
      <c r="B288" s="115"/>
      <c r="C288" s="115"/>
      <c r="D288" s="131"/>
      <c r="E288" s="177"/>
      <c r="F288" s="28"/>
      <c r="G288" s="118"/>
      <c r="H288" s="192"/>
      <c r="I288" s="192"/>
      <c r="J288" s="175"/>
      <c r="K288" s="192"/>
      <c r="L288" s="192"/>
      <c r="M288" s="192"/>
      <c r="N288" s="175"/>
      <c r="O288" s="116"/>
      <c r="P288" s="175"/>
      <c r="Q288" s="175"/>
      <c r="R288" s="220"/>
      <c r="S288" s="175"/>
      <c r="T288" s="175"/>
      <c r="U288" s="175"/>
      <c r="V288" s="175"/>
      <c r="W288" s="175"/>
      <c r="X288" s="116"/>
    </row>
    <row r="289" spans="1:24" s="112" customFormat="1">
      <c r="A289" s="116"/>
      <c r="B289" s="115"/>
      <c r="C289" s="115"/>
      <c r="D289" s="131"/>
      <c r="E289" s="177"/>
      <c r="F289" s="28"/>
      <c r="G289" s="118"/>
      <c r="H289" s="192"/>
      <c r="I289" s="192"/>
      <c r="J289" s="175"/>
      <c r="K289" s="192"/>
      <c r="L289" s="192"/>
      <c r="M289" s="192"/>
      <c r="N289" s="175"/>
      <c r="O289" s="116"/>
      <c r="P289" s="175"/>
      <c r="Q289" s="175"/>
      <c r="R289" s="220"/>
      <c r="S289" s="175"/>
      <c r="T289" s="175"/>
      <c r="U289" s="175"/>
      <c r="V289" s="175"/>
      <c r="W289" s="175"/>
      <c r="X289" s="116"/>
    </row>
    <row r="290" spans="1:24" s="112" customFormat="1">
      <c r="A290" s="116"/>
      <c r="B290" s="115"/>
      <c r="C290" s="115"/>
      <c r="D290" s="131"/>
      <c r="E290" s="177"/>
      <c r="F290" s="28"/>
      <c r="G290" s="118"/>
      <c r="H290" s="192"/>
      <c r="I290" s="192"/>
      <c r="J290" s="175"/>
      <c r="K290" s="192"/>
      <c r="L290" s="192"/>
      <c r="M290" s="192"/>
      <c r="N290" s="175"/>
      <c r="O290" s="116"/>
      <c r="P290" s="175"/>
      <c r="Q290" s="175"/>
      <c r="R290" s="220"/>
      <c r="S290" s="175"/>
      <c r="T290" s="175"/>
      <c r="U290" s="175"/>
      <c r="V290" s="175"/>
      <c r="W290" s="175"/>
      <c r="X290" s="116"/>
    </row>
    <row r="291" spans="1:24" s="112" customFormat="1">
      <c r="A291" s="116"/>
      <c r="B291" s="115"/>
      <c r="C291" s="115"/>
      <c r="D291" s="131"/>
      <c r="E291" s="177"/>
      <c r="F291" s="28"/>
      <c r="G291" s="118"/>
      <c r="H291" s="192"/>
      <c r="I291" s="192"/>
      <c r="J291" s="175"/>
      <c r="K291" s="192"/>
      <c r="L291" s="192"/>
      <c r="M291" s="192"/>
      <c r="N291" s="175"/>
      <c r="O291" s="116"/>
      <c r="P291" s="175"/>
      <c r="Q291" s="175"/>
      <c r="R291" s="220"/>
      <c r="S291" s="175"/>
      <c r="T291" s="175"/>
      <c r="U291" s="175"/>
      <c r="V291" s="175"/>
      <c r="W291" s="175"/>
      <c r="X291" s="116"/>
    </row>
    <row r="292" spans="1:24" s="112" customFormat="1">
      <c r="A292" s="116"/>
      <c r="B292" s="115"/>
      <c r="C292" s="115"/>
      <c r="D292" s="131"/>
      <c r="E292" s="177"/>
      <c r="F292" s="28"/>
      <c r="G292" s="118"/>
      <c r="H292" s="192"/>
      <c r="I292" s="192"/>
      <c r="J292" s="175"/>
      <c r="K292" s="192"/>
      <c r="L292" s="192"/>
      <c r="M292" s="192"/>
      <c r="N292" s="175"/>
      <c r="O292" s="116"/>
      <c r="P292" s="175"/>
      <c r="Q292" s="175"/>
      <c r="R292" s="220"/>
      <c r="S292" s="175"/>
      <c r="T292" s="175"/>
      <c r="U292" s="175"/>
      <c r="V292" s="175"/>
      <c r="W292" s="175"/>
      <c r="X292" s="116"/>
    </row>
    <row r="293" spans="1:24" s="112" customFormat="1">
      <c r="A293" s="116"/>
      <c r="B293" s="115"/>
      <c r="C293" s="115"/>
      <c r="D293" s="131"/>
      <c r="E293" s="177"/>
      <c r="F293" s="28"/>
      <c r="G293" s="118"/>
      <c r="H293" s="192"/>
      <c r="I293" s="192"/>
      <c r="J293" s="175"/>
      <c r="K293" s="192"/>
      <c r="L293" s="192"/>
      <c r="M293" s="192"/>
      <c r="N293" s="175"/>
      <c r="O293" s="116"/>
      <c r="P293" s="175"/>
      <c r="Q293" s="175"/>
      <c r="R293" s="220"/>
      <c r="S293" s="175"/>
      <c r="T293" s="175"/>
      <c r="U293" s="175"/>
      <c r="V293" s="175"/>
      <c r="W293" s="175"/>
      <c r="X293" s="116"/>
    </row>
    <row r="294" spans="1:24" s="112" customFormat="1">
      <c r="A294" s="116"/>
      <c r="B294" s="115"/>
      <c r="C294" s="115"/>
      <c r="D294" s="131"/>
      <c r="E294" s="177"/>
      <c r="F294" s="28"/>
      <c r="G294" s="118"/>
      <c r="H294" s="192"/>
      <c r="I294" s="192"/>
      <c r="J294" s="175"/>
      <c r="K294" s="192"/>
      <c r="L294" s="192"/>
      <c r="M294" s="192"/>
      <c r="N294" s="175"/>
      <c r="O294" s="116"/>
      <c r="P294" s="175"/>
      <c r="Q294" s="175"/>
      <c r="R294" s="220"/>
      <c r="S294" s="175"/>
      <c r="T294" s="175"/>
      <c r="U294" s="175"/>
      <c r="V294" s="175"/>
      <c r="W294" s="175"/>
      <c r="X294" s="116"/>
    </row>
    <row r="295" spans="1:24" s="112" customFormat="1">
      <c r="A295" s="116"/>
      <c r="B295" s="115"/>
      <c r="C295" s="115"/>
      <c r="D295" s="131"/>
      <c r="E295" s="177"/>
      <c r="F295" s="28"/>
      <c r="G295" s="118"/>
      <c r="H295" s="192"/>
      <c r="I295" s="192"/>
      <c r="J295" s="175"/>
      <c r="K295" s="192"/>
      <c r="L295" s="192"/>
      <c r="M295" s="192"/>
      <c r="N295" s="175"/>
      <c r="O295" s="116"/>
      <c r="P295" s="175"/>
      <c r="Q295" s="175"/>
      <c r="R295" s="220"/>
      <c r="S295" s="175"/>
      <c r="T295" s="175"/>
      <c r="U295" s="175"/>
      <c r="V295" s="175"/>
      <c r="W295" s="175"/>
      <c r="X295" s="116"/>
    </row>
    <row r="296" spans="1:24" s="112" customFormat="1">
      <c r="A296" s="116"/>
      <c r="B296" s="115"/>
      <c r="C296" s="115"/>
      <c r="D296" s="131"/>
      <c r="E296" s="177"/>
      <c r="F296" s="28"/>
      <c r="G296" s="118"/>
      <c r="H296" s="192"/>
      <c r="I296" s="192"/>
      <c r="J296" s="175"/>
      <c r="K296" s="192"/>
      <c r="L296" s="192"/>
      <c r="M296" s="192"/>
      <c r="N296" s="175"/>
      <c r="O296" s="116"/>
      <c r="P296" s="175"/>
      <c r="Q296" s="175"/>
      <c r="R296" s="220"/>
      <c r="S296" s="175"/>
      <c r="T296" s="175"/>
      <c r="U296" s="175"/>
      <c r="V296" s="175"/>
      <c r="W296" s="175"/>
      <c r="X296" s="116"/>
    </row>
    <row r="297" spans="1:24" s="112" customFormat="1">
      <c r="A297" s="116"/>
      <c r="B297" s="115"/>
      <c r="C297" s="115"/>
      <c r="D297" s="131"/>
      <c r="E297" s="177"/>
      <c r="F297" s="28"/>
      <c r="G297" s="118"/>
      <c r="H297" s="192"/>
      <c r="I297" s="192"/>
      <c r="J297" s="175"/>
      <c r="K297" s="192"/>
      <c r="L297" s="192"/>
      <c r="M297" s="192"/>
      <c r="N297" s="175"/>
      <c r="O297" s="116"/>
      <c r="P297" s="175"/>
      <c r="Q297" s="175"/>
      <c r="R297" s="220"/>
      <c r="S297" s="175"/>
      <c r="T297" s="175"/>
      <c r="U297" s="175"/>
      <c r="V297" s="175"/>
      <c r="W297" s="175"/>
      <c r="X297" s="116"/>
    </row>
    <row r="298" spans="1:24" s="112" customFormat="1">
      <c r="A298" s="116"/>
      <c r="B298" s="115"/>
      <c r="C298" s="115"/>
      <c r="D298" s="131"/>
      <c r="E298" s="177"/>
      <c r="F298" s="28"/>
      <c r="G298" s="118"/>
      <c r="H298" s="192"/>
      <c r="I298" s="192"/>
      <c r="J298" s="175"/>
      <c r="K298" s="192"/>
      <c r="L298" s="192"/>
      <c r="M298" s="192"/>
      <c r="N298" s="175"/>
      <c r="O298" s="116"/>
      <c r="P298" s="175"/>
      <c r="Q298" s="175"/>
      <c r="R298" s="220"/>
      <c r="S298" s="175"/>
      <c r="T298" s="175"/>
      <c r="U298" s="175"/>
      <c r="V298" s="175"/>
      <c r="W298" s="175"/>
      <c r="X298" s="116"/>
    </row>
    <row r="299" spans="1:24" s="112" customFormat="1">
      <c r="A299" s="116"/>
      <c r="B299" s="115"/>
      <c r="C299" s="115"/>
      <c r="D299" s="131"/>
      <c r="E299" s="177"/>
      <c r="F299" s="28"/>
      <c r="G299" s="118"/>
      <c r="H299" s="192"/>
      <c r="I299" s="192"/>
      <c r="J299" s="175"/>
      <c r="K299" s="192"/>
      <c r="L299" s="192"/>
      <c r="M299" s="192"/>
      <c r="N299" s="175"/>
      <c r="O299" s="116"/>
      <c r="P299" s="175"/>
      <c r="Q299" s="175"/>
      <c r="R299" s="220"/>
      <c r="S299" s="175"/>
      <c r="T299" s="175"/>
      <c r="U299" s="175"/>
      <c r="V299" s="175"/>
      <c r="W299" s="175"/>
      <c r="X299" s="116"/>
    </row>
    <row r="300" spans="1:24" s="112" customFormat="1">
      <c r="A300" s="116"/>
      <c r="B300" s="115"/>
      <c r="C300" s="115"/>
      <c r="D300" s="131"/>
      <c r="E300" s="177"/>
      <c r="F300" s="28"/>
      <c r="G300" s="118"/>
      <c r="H300" s="192"/>
      <c r="I300" s="192"/>
      <c r="J300" s="175"/>
      <c r="K300" s="192"/>
      <c r="L300" s="192"/>
      <c r="M300" s="192"/>
      <c r="N300" s="175"/>
      <c r="O300" s="116"/>
      <c r="P300" s="175"/>
      <c r="Q300" s="175"/>
      <c r="R300" s="220"/>
      <c r="S300" s="175"/>
      <c r="T300" s="175"/>
      <c r="U300" s="175"/>
      <c r="V300" s="175"/>
      <c r="W300" s="175"/>
      <c r="X300" s="116"/>
    </row>
    <row r="301" spans="1:24" s="112" customFormat="1">
      <c r="A301" s="116"/>
      <c r="B301" s="115"/>
      <c r="C301" s="115"/>
      <c r="D301" s="131"/>
      <c r="E301" s="177"/>
      <c r="F301" s="28"/>
      <c r="G301" s="118"/>
      <c r="H301" s="192"/>
      <c r="I301" s="192"/>
      <c r="J301" s="175"/>
      <c r="K301" s="192"/>
      <c r="L301" s="192"/>
      <c r="M301" s="192"/>
      <c r="N301" s="175"/>
      <c r="O301" s="116"/>
      <c r="P301" s="175"/>
      <c r="Q301" s="175"/>
      <c r="R301" s="220"/>
      <c r="S301" s="175"/>
      <c r="T301" s="175"/>
      <c r="U301" s="175"/>
      <c r="V301" s="175"/>
      <c r="W301" s="175"/>
      <c r="X301" s="116"/>
    </row>
    <row r="302" spans="1:24" s="112" customFormat="1">
      <c r="A302" s="116"/>
      <c r="B302" s="115"/>
      <c r="C302" s="115"/>
      <c r="D302" s="131"/>
      <c r="E302" s="177"/>
      <c r="F302" s="28"/>
      <c r="G302" s="118"/>
      <c r="H302" s="192"/>
      <c r="I302" s="192"/>
      <c r="J302" s="175"/>
      <c r="K302" s="192"/>
      <c r="L302" s="192"/>
      <c r="M302" s="192"/>
      <c r="N302" s="175"/>
      <c r="O302" s="116"/>
      <c r="P302" s="175"/>
      <c r="Q302" s="175"/>
      <c r="R302" s="220"/>
      <c r="S302" s="175"/>
      <c r="T302" s="175"/>
      <c r="U302" s="175"/>
      <c r="V302" s="175"/>
      <c r="W302" s="175"/>
      <c r="X302" s="116"/>
    </row>
    <row r="303" spans="1:24" s="112" customFormat="1">
      <c r="A303" s="116"/>
      <c r="B303" s="115"/>
      <c r="C303" s="115"/>
      <c r="D303" s="131"/>
      <c r="E303" s="177"/>
      <c r="F303" s="28"/>
      <c r="G303" s="118"/>
      <c r="H303" s="192"/>
      <c r="I303" s="192"/>
      <c r="J303" s="175"/>
      <c r="K303" s="192"/>
      <c r="L303" s="192"/>
      <c r="M303" s="192"/>
      <c r="N303" s="175"/>
      <c r="O303" s="116"/>
      <c r="P303" s="175"/>
      <c r="Q303" s="175"/>
      <c r="R303" s="220"/>
      <c r="S303" s="175"/>
      <c r="T303" s="175"/>
      <c r="U303" s="175"/>
      <c r="V303" s="175"/>
      <c r="W303" s="175"/>
      <c r="X303" s="116"/>
    </row>
    <row r="304" spans="1:24" s="112" customFormat="1">
      <c r="A304" s="116"/>
      <c r="B304" s="115"/>
      <c r="C304" s="115"/>
      <c r="D304" s="131"/>
      <c r="E304" s="177"/>
      <c r="F304" s="28"/>
      <c r="G304" s="118"/>
      <c r="H304" s="192"/>
      <c r="I304" s="192"/>
      <c r="J304" s="175"/>
      <c r="K304" s="192"/>
      <c r="L304" s="192"/>
      <c r="M304" s="192"/>
      <c r="N304" s="175"/>
      <c r="O304" s="116"/>
      <c r="P304" s="175"/>
      <c r="Q304" s="175"/>
      <c r="R304" s="220"/>
      <c r="S304" s="175"/>
      <c r="T304" s="175"/>
      <c r="U304" s="175"/>
      <c r="V304" s="175"/>
      <c r="W304" s="175"/>
      <c r="X304" s="116"/>
    </row>
    <row r="305" spans="1:24" s="112" customFormat="1">
      <c r="A305" s="116"/>
      <c r="B305" s="115"/>
      <c r="C305" s="115"/>
      <c r="D305" s="131"/>
      <c r="E305" s="177"/>
      <c r="F305" s="28"/>
      <c r="G305" s="118"/>
      <c r="H305" s="192"/>
      <c r="I305" s="192"/>
      <c r="J305" s="175"/>
      <c r="K305" s="192"/>
      <c r="L305" s="192"/>
      <c r="M305" s="192"/>
      <c r="N305" s="175"/>
      <c r="O305" s="116"/>
      <c r="P305" s="175"/>
      <c r="Q305" s="175"/>
      <c r="R305" s="220"/>
      <c r="S305" s="175"/>
      <c r="T305" s="175"/>
      <c r="U305" s="175"/>
      <c r="V305" s="175"/>
      <c r="W305" s="175"/>
      <c r="X305" s="116"/>
    </row>
    <row r="306" spans="1:24" s="112" customFormat="1">
      <c r="A306" s="116"/>
      <c r="B306" s="115"/>
      <c r="C306" s="115"/>
      <c r="D306" s="131"/>
      <c r="E306" s="177"/>
      <c r="F306" s="28"/>
      <c r="G306" s="118"/>
      <c r="H306" s="192"/>
      <c r="I306" s="192"/>
      <c r="J306" s="175"/>
      <c r="K306" s="192"/>
      <c r="L306" s="192"/>
      <c r="M306" s="192"/>
      <c r="N306" s="175"/>
      <c r="O306" s="116"/>
      <c r="P306" s="175"/>
      <c r="Q306" s="175"/>
      <c r="R306" s="220"/>
      <c r="S306" s="175"/>
      <c r="T306" s="175"/>
      <c r="U306" s="175"/>
      <c r="V306" s="175"/>
      <c r="W306" s="175"/>
      <c r="X306" s="116"/>
    </row>
    <row r="307" spans="1:24" s="112" customFormat="1">
      <c r="A307" s="116"/>
      <c r="B307" s="115"/>
      <c r="C307" s="115"/>
      <c r="D307" s="131"/>
      <c r="E307" s="177"/>
      <c r="F307" s="28"/>
      <c r="G307" s="118"/>
      <c r="H307" s="192"/>
      <c r="I307" s="192"/>
      <c r="J307" s="175"/>
      <c r="K307" s="192"/>
      <c r="L307" s="192"/>
      <c r="M307" s="192"/>
      <c r="N307" s="175"/>
      <c r="O307" s="116"/>
      <c r="P307" s="175"/>
      <c r="Q307" s="175"/>
      <c r="R307" s="220"/>
      <c r="S307" s="175"/>
      <c r="T307" s="175"/>
      <c r="U307" s="175"/>
      <c r="V307" s="175"/>
      <c r="W307" s="175"/>
      <c r="X307" s="116"/>
    </row>
    <row r="308" spans="1:24" s="112" customFormat="1">
      <c r="A308" s="116"/>
      <c r="B308" s="115"/>
      <c r="C308" s="115"/>
      <c r="D308" s="131"/>
      <c r="E308" s="177"/>
      <c r="F308" s="28"/>
      <c r="G308" s="118"/>
      <c r="H308" s="192"/>
      <c r="I308" s="192"/>
      <c r="J308" s="175"/>
      <c r="K308" s="192"/>
      <c r="L308" s="192"/>
      <c r="M308" s="192"/>
      <c r="N308" s="175"/>
      <c r="O308" s="116"/>
      <c r="P308" s="175"/>
      <c r="Q308" s="175"/>
      <c r="R308" s="220"/>
      <c r="S308" s="175"/>
      <c r="T308" s="175"/>
      <c r="U308" s="175"/>
      <c r="V308" s="175"/>
      <c r="W308" s="175"/>
      <c r="X308" s="116"/>
    </row>
    <row r="309" spans="1:24" s="112" customFormat="1">
      <c r="A309" s="116"/>
      <c r="B309" s="115"/>
      <c r="C309" s="115"/>
      <c r="D309" s="131"/>
      <c r="E309" s="177"/>
      <c r="F309" s="28"/>
      <c r="G309" s="118"/>
      <c r="H309" s="192"/>
      <c r="I309" s="192"/>
      <c r="J309" s="175"/>
      <c r="K309" s="192"/>
      <c r="L309" s="192"/>
      <c r="M309" s="192"/>
      <c r="N309" s="175"/>
      <c r="O309" s="116"/>
      <c r="P309" s="175"/>
      <c r="Q309" s="175"/>
      <c r="R309" s="220"/>
      <c r="S309" s="175"/>
      <c r="T309" s="175"/>
      <c r="U309" s="175"/>
      <c r="V309" s="175"/>
      <c r="W309" s="175"/>
      <c r="X309" s="116"/>
    </row>
    <row r="310" spans="1:24" s="112" customFormat="1">
      <c r="A310" s="116"/>
      <c r="B310" s="115"/>
      <c r="C310" s="115"/>
      <c r="D310" s="131"/>
      <c r="E310" s="177"/>
      <c r="F310" s="28"/>
      <c r="G310" s="118"/>
      <c r="H310" s="192"/>
      <c r="I310" s="192"/>
      <c r="J310" s="175"/>
      <c r="K310" s="192"/>
      <c r="L310" s="192"/>
      <c r="M310" s="192"/>
      <c r="N310" s="175"/>
      <c r="O310" s="116"/>
      <c r="P310" s="175"/>
      <c r="Q310" s="175"/>
      <c r="R310" s="220"/>
      <c r="S310" s="175"/>
      <c r="T310" s="175"/>
      <c r="U310" s="175"/>
      <c r="V310" s="175"/>
      <c r="W310" s="175"/>
      <c r="X310" s="116"/>
    </row>
    <row r="311" spans="1:24" s="112" customFormat="1">
      <c r="A311" s="116"/>
      <c r="B311" s="115"/>
      <c r="C311" s="115"/>
      <c r="D311" s="131"/>
      <c r="E311" s="177"/>
      <c r="F311" s="28"/>
      <c r="G311" s="118"/>
      <c r="H311" s="192"/>
      <c r="I311" s="192"/>
      <c r="J311" s="175"/>
      <c r="K311" s="192"/>
      <c r="L311" s="192"/>
      <c r="M311" s="192"/>
      <c r="N311" s="175"/>
      <c r="O311" s="116"/>
      <c r="P311" s="175"/>
      <c r="Q311" s="175"/>
      <c r="R311" s="220"/>
      <c r="S311" s="175"/>
      <c r="T311" s="175"/>
      <c r="U311" s="175"/>
      <c r="V311" s="175"/>
      <c r="W311" s="175"/>
      <c r="X311" s="116"/>
    </row>
    <row r="312" spans="1:24" s="112" customFormat="1">
      <c r="A312" s="116"/>
      <c r="B312" s="115"/>
      <c r="C312" s="115"/>
      <c r="D312" s="131"/>
      <c r="E312" s="177"/>
      <c r="F312" s="28"/>
      <c r="G312" s="118"/>
      <c r="H312" s="192"/>
      <c r="I312" s="192"/>
      <c r="J312" s="175"/>
      <c r="K312" s="192"/>
      <c r="L312" s="192"/>
      <c r="M312" s="192"/>
      <c r="N312" s="175"/>
      <c r="O312" s="116"/>
      <c r="P312" s="175"/>
      <c r="Q312" s="175"/>
      <c r="R312" s="220"/>
      <c r="S312" s="175"/>
      <c r="T312" s="175"/>
      <c r="U312" s="175"/>
      <c r="V312" s="175"/>
      <c r="W312" s="175"/>
      <c r="X312" s="116"/>
    </row>
    <row r="313" spans="1:24" s="112" customFormat="1">
      <c r="A313" s="116"/>
      <c r="B313" s="115"/>
      <c r="C313" s="115"/>
      <c r="D313" s="131"/>
      <c r="E313" s="177"/>
      <c r="F313" s="28"/>
      <c r="G313" s="118"/>
      <c r="H313" s="192"/>
      <c r="I313" s="192"/>
      <c r="J313" s="175"/>
      <c r="K313" s="192"/>
      <c r="L313" s="192"/>
      <c r="M313" s="192"/>
      <c r="N313" s="175"/>
      <c r="O313" s="116"/>
      <c r="P313" s="175"/>
      <c r="Q313" s="175"/>
      <c r="R313" s="220"/>
      <c r="S313" s="175"/>
      <c r="T313" s="175"/>
      <c r="U313" s="175"/>
      <c r="V313" s="175"/>
      <c r="W313" s="175"/>
      <c r="X313" s="116"/>
    </row>
    <row r="314" spans="1:24" s="112" customFormat="1">
      <c r="A314" s="116"/>
      <c r="B314" s="115"/>
      <c r="C314" s="115"/>
      <c r="D314" s="131"/>
      <c r="E314" s="177"/>
      <c r="F314" s="28"/>
      <c r="G314" s="118"/>
      <c r="H314" s="192"/>
      <c r="I314" s="192"/>
      <c r="J314" s="175"/>
      <c r="K314" s="192"/>
      <c r="L314" s="192"/>
      <c r="M314" s="192"/>
      <c r="N314" s="175"/>
      <c r="O314" s="116"/>
      <c r="P314" s="175"/>
      <c r="Q314" s="175"/>
      <c r="R314" s="220"/>
      <c r="S314" s="175"/>
      <c r="T314" s="175"/>
      <c r="U314" s="175"/>
      <c r="V314" s="175"/>
      <c r="W314" s="175"/>
      <c r="X314" s="116"/>
    </row>
    <row r="315" spans="1:24" s="112" customFormat="1">
      <c r="A315" s="116"/>
      <c r="B315" s="115"/>
      <c r="C315" s="115"/>
      <c r="D315" s="131"/>
      <c r="E315" s="177"/>
      <c r="F315" s="28"/>
      <c r="G315" s="118"/>
      <c r="H315" s="192"/>
      <c r="I315" s="192"/>
      <c r="J315" s="175"/>
      <c r="K315" s="192"/>
      <c r="L315" s="192"/>
      <c r="M315" s="192"/>
      <c r="N315" s="175"/>
      <c r="O315" s="116"/>
      <c r="P315" s="175"/>
      <c r="Q315" s="175"/>
      <c r="R315" s="220"/>
      <c r="S315" s="175"/>
      <c r="T315" s="175"/>
      <c r="U315" s="175"/>
      <c r="V315" s="175"/>
      <c r="W315" s="175"/>
      <c r="X315" s="116"/>
    </row>
    <row r="316" spans="1:24" s="112" customFormat="1">
      <c r="A316" s="116"/>
      <c r="B316" s="115"/>
      <c r="C316" s="115"/>
      <c r="D316" s="131"/>
      <c r="E316" s="177"/>
      <c r="F316" s="28"/>
      <c r="G316" s="118"/>
      <c r="H316" s="192"/>
      <c r="I316" s="192"/>
      <c r="J316" s="175"/>
      <c r="K316" s="192"/>
      <c r="L316" s="192"/>
      <c r="M316" s="192"/>
      <c r="N316" s="175"/>
      <c r="O316" s="116"/>
      <c r="P316" s="175"/>
      <c r="Q316" s="175"/>
      <c r="R316" s="220"/>
      <c r="S316" s="175"/>
      <c r="T316" s="175"/>
      <c r="U316" s="175"/>
      <c r="V316" s="175"/>
      <c r="W316" s="175"/>
      <c r="X316" s="116"/>
    </row>
    <row r="317" spans="1:24" s="112" customFormat="1">
      <c r="A317" s="116"/>
      <c r="B317" s="115"/>
      <c r="C317" s="115"/>
      <c r="D317" s="131"/>
      <c r="E317" s="177"/>
      <c r="F317" s="28"/>
      <c r="G317" s="118"/>
      <c r="H317" s="192"/>
      <c r="I317" s="192"/>
      <c r="J317" s="175"/>
      <c r="K317" s="192"/>
      <c r="L317" s="192"/>
      <c r="M317" s="192"/>
      <c r="N317" s="175"/>
      <c r="O317" s="116"/>
      <c r="P317" s="175"/>
      <c r="Q317" s="175"/>
      <c r="R317" s="220"/>
      <c r="S317" s="175"/>
      <c r="T317" s="175"/>
      <c r="U317" s="175"/>
      <c r="V317" s="175"/>
      <c r="W317" s="175"/>
      <c r="X317" s="116"/>
    </row>
    <row r="318" spans="1:24" s="112" customFormat="1">
      <c r="A318" s="116"/>
      <c r="B318" s="115"/>
      <c r="C318" s="115"/>
      <c r="D318" s="131"/>
      <c r="E318" s="177"/>
      <c r="F318" s="28"/>
      <c r="G318" s="118"/>
      <c r="H318" s="192"/>
      <c r="I318" s="192"/>
      <c r="J318" s="175"/>
      <c r="K318" s="192"/>
      <c r="L318" s="192"/>
      <c r="M318" s="192"/>
      <c r="N318" s="175"/>
      <c r="O318" s="116"/>
      <c r="P318" s="175"/>
      <c r="Q318" s="175"/>
      <c r="R318" s="220"/>
      <c r="S318" s="175"/>
      <c r="T318" s="175"/>
      <c r="U318" s="175"/>
      <c r="V318" s="175"/>
      <c r="W318" s="175"/>
      <c r="X318" s="116"/>
    </row>
    <row r="319" spans="1:24" s="112" customFormat="1">
      <c r="A319" s="116"/>
      <c r="B319" s="115"/>
      <c r="C319" s="115"/>
      <c r="D319" s="131"/>
      <c r="E319" s="177"/>
      <c r="F319" s="28"/>
      <c r="G319" s="118"/>
      <c r="H319" s="192"/>
      <c r="I319" s="192"/>
      <c r="J319" s="175"/>
      <c r="K319" s="192"/>
      <c r="L319" s="192"/>
      <c r="M319" s="192"/>
      <c r="N319" s="175"/>
      <c r="O319" s="116"/>
      <c r="P319" s="175"/>
      <c r="Q319" s="175"/>
      <c r="R319" s="220"/>
      <c r="S319" s="175"/>
      <c r="T319" s="175"/>
      <c r="U319" s="175"/>
      <c r="V319" s="175"/>
      <c r="W319" s="175"/>
      <c r="X319" s="116"/>
    </row>
    <row r="320" spans="1:24" s="112" customFormat="1">
      <c r="A320" s="116"/>
      <c r="B320" s="115"/>
      <c r="C320" s="115"/>
      <c r="D320" s="131"/>
      <c r="E320" s="177"/>
      <c r="F320" s="28"/>
      <c r="G320" s="118"/>
      <c r="H320" s="192"/>
      <c r="I320" s="192"/>
      <c r="J320" s="175"/>
      <c r="K320" s="192"/>
      <c r="L320" s="192"/>
      <c r="M320" s="192"/>
      <c r="N320" s="175"/>
      <c r="O320" s="116"/>
      <c r="P320" s="175"/>
      <c r="Q320" s="175"/>
      <c r="R320" s="220"/>
      <c r="S320" s="175"/>
      <c r="T320" s="175"/>
      <c r="U320" s="175"/>
      <c r="V320" s="175"/>
      <c r="W320" s="175"/>
      <c r="X320" s="116"/>
    </row>
    <row r="321" spans="1:24" s="112" customFormat="1">
      <c r="A321" s="116"/>
      <c r="B321" s="115"/>
      <c r="C321" s="115"/>
      <c r="D321" s="131"/>
      <c r="E321" s="177"/>
      <c r="F321" s="28"/>
      <c r="G321" s="118"/>
      <c r="H321" s="192"/>
      <c r="I321" s="192"/>
      <c r="J321" s="175"/>
      <c r="K321" s="192"/>
      <c r="L321" s="192"/>
      <c r="M321" s="192"/>
      <c r="N321" s="175"/>
      <c r="O321" s="116"/>
      <c r="P321" s="175"/>
      <c r="Q321" s="175"/>
      <c r="R321" s="220"/>
      <c r="S321" s="175"/>
      <c r="T321" s="175"/>
      <c r="U321" s="175"/>
      <c r="V321" s="175"/>
      <c r="W321" s="175"/>
      <c r="X321" s="116"/>
    </row>
    <row r="322" spans="1:24" s="112" customFormat="1">
      <c r="A322" s="116"/>
      <c r="B322" s="115"/>
      <c r="C322" s="115"/>
      <c r="D322" s="131"/>
      <c r="E322" s="177"/>
      <c r="F322" s="28"/>
      <c r="G322" s="118"/>
      <c r="H322" s="192"/>
      <c r="I322" s="192"/>
      <c r="J322" s="175"/>
      <c r="K322" s="192"/>
      <c r="L322" s="192"/>
      <c r="M322" s="192"/>
      <c r="N322" s="175"/>
      <c r="O322" s="116"/>
      <c r="P322" s="175"/>
      <c r="Q322" s="175"/>
      <c r="R322" s="220"/>
      <c r="S322" s="175"/>
      <c r="T322" s="175"/>
      <c r="U322" s="175"/>
      <c r="V322" s="175"/>
      <c r="W322" s="175"/>
      <c r="X322" s="116"/>
    </row>
    <row r="323" spans="1:24" s="112" customFormat="1">
      <c r="A323" s="116"/>
      <c r="B323" s="115"/>
      <c r="C323" s="115"/>
      <c r="D323" s="131"/>
      <c r="E323" s="177"/>
      <c r="F323" s="28"/>
      <c r="G323" s="118"/>
      <c r="H323" s="192"/>
      <c r="I323" s="192"/>
      <c r="J323" s="175"/>
      <c r="K323" s="192"/>
      <c r="L323" s="192"/>
      <c r="M323" s="192"/>
      <c r="N323" s="175"/>
      <c r="O323" s="116"/>
      <c r="P323" s="175"/>
      <c r="Q323" s="175"/>
      <c r="R323" s="220"/>
      <c r="S323" s="175"/>
      <c r="T323" s="175"/>
      <c r="U323" s="175"/>
      <c r="V323" s="175"/>
      <c r="W323" s="175"/>
      <c r="X323" s="116"/>
    </row>
    <row r="324" spans="1:24" s="112" customFormat="1">
      <c r="A324" s="116"/>
      <c r="B324" s="115"/>
      <c r="C324" s="115"/>
      <c r="D324" s="131"/>
      <c r="E324" s="177"/>
      <c r="F324" s="28"/>
      <c r="G324" s="118"/>
      <c r="H324" s="192"/>
      <c r="I324" s="192"/>
      <c r="J324" s="175"/>
      <c r="K324" s="192"/>
      <c r="L324" s="192"/>
      <c r="M324" s="192"/>
      <c r="N324" s="175"/>
      <c r="O324" s="116"/>
      <c r="P324" s="175"/>
      <c r="Q324" s="175"/>
      <c r="R324" s="220"/>
      <c r="S324" s="175"/>
      <c r="T324" s="175"/>
      <c r="U324" s="175"/>
      <c r="V324" s="175"/>
      <c r="W324" s="175"/>
      <c r="X324" s="116"/>
    </row>
    <row r="325" spans="1:24" s="112" customFormat="1">
      <c r="A325" s="116"/>
      <c r="B325" s="115"/>
      <c r="C325" s="115"/>
      <c r="D325" s="131"/>
      <c r="E325" s="177"/>
      <c r="F325" s="28"/>
      <c r="G325" s="118"/>
      <c r="H325" s="192"/>
      <c r="I325" s="192"/>
      <c r="J325" s="175"/>
      <c r="K325" s="192"/>
      <c r="L325" s="192"/>
      <c r="M325" s="192"/>
      <c r="N325" s="175"/>
      <c r="O325" s="116"/>
      <c r="P325" s="175"/>
      <c r="Q325" s="175"/>
      <c r="R325" s="220"/>
      <c r="S325" s="175"/>
      <c r="T325" s="175"/>
      <c r="U325" s="175"/>
      <c r="V325" s="175"/>
      <c r="W325" s="175"/>
      <c r="X325" s="116"/>
    </row>
    <row r="326" spans="1:24" s="112" customFormat="1">
      <c r="A326" s="116"/>
      <c r="B326" s="115"/>
      <c r="C326" s="115"/>
      <c r="D326" s="131"/>
      <c r="E326" s="177"/>
      <c r="F326" s="28"/>
      <c r="G326" s="118"/>
      <c r="H326" s="192"/>
      <c r="I326" s="192"/>
      <c r="J326" s="175"/>
      <c r="K326" s="192"/>
      <c r="L326" s="192"/>
      <c r="M326" s="192"/>
      <c r="N326" s="175"/>
      <c r="O326" s="116"/>
      <c r="P326" s="175"/>
      <c r="Q326" s="175"/>
      <c r="R326" s="220"/>
      <c r="S326" s="175"/>
      <c r="T326" s="175"/>
      <c r="U326" s="175"/>
      <c r="V326" s="175"/>
      <c r="W326" s="175"/>
      <c r="X326" s="116"/>
    </row>
    <row r="327" spans="1:24" s="112" customFormat="1">
      <c r="A327" s="116"/>
      <c r="B327" s="115"/>
      <c r="C327" s="115"/>
      <c r="D327" s="131"/>
      <c r="E327" s="177"/>
      <c r="F327" s="28"/>
      <c r="G327" s="118"/>
      <c r="H327" s="192"/>
      <c r="I327" s="192"/>
      <c r="J327" s="175"/>
      <c r="K327" s="192"/>
      <c r="L327" s="192"/>
      <c r="M327" s="192"/>
      <c r="N327" s="175"/>
      <c r="O327" s="116"/>
      <c r="P327" s="175"/>
      <c r="Q327" s="175"/>
      <c r="R327" s="220"/>
      <c r="S327" s="175"/>
      <c r="T327" s="175"/>
      <c r="U327" s="175"/>
      <c r="V327" s="175"/>
      <c r="W327" s="175"/>
      <c r="X327" s="116"/>
    </row>
    <row r="328" spans="1:24" s="112" customFormat="1">
      <c r="A328" s="116"/>
      <c r="B328" s="115"/>
      <c r="C328" s="115"/>
      <c r="D328" s="131"/>
      <c r="E328" s="177"/>
      <c r="F328" s="28"/>
      <c r="G328" s="118"/>
      <c r="H328" s="192"/>
      <c r="I328" s="192"/>
      <c r="J328" s="175"/>
      <c r="K328" s="192"/>
      <c r="L328" s="192"/>
      <c r="M328" s="192"/>
      <c r="N328" s="175"/>
      <c r="O328" s="116"/>
      <c r="P328" s="175"/>
      <c r="Q328" s="175"/>
      <c r="R328" s="220"/>
      <c r="S328" s="175"/>
      <c r="T328" s="175"/>
      <c r="U328" s="175"/>
      <c r="V328" s="175"/>
      <c r="W328" s="175"/>
      <c r="X328" s="116"/>
    </row>
    <row r="329" spans="1:24" s="112" customFormat="1">
      <c r="A329" s="116"/>
      <c r="B329" s="115"/>
      <c r="C329" s="115"/>
      <c r="D329" s="131"/>
      <c r="E329" s="177"/>
      <c r="F329" s="28"/>
      <c r="G329" s="118"/>
      <c r="H329" s="192"/>
      <c r="I329" s="192"/>
      <c r="J329" s="175"/>
      <c r="K329" s="192"/>
      <c r="L329" s="192"/>
      <c r="M329" s="192"/>
      <c r="N329" s="175"/>
      <c r="O329" s="116"/>
      <c r="P329" s="175"/>
      <c r="Q329" s="175"/>
      <c r="R329" s="220"/>
      <c r="S329" s="175"/>
      <c r="T329" s="175"/>
      <c r="U329" s="175"/>
      <c r="V329" s="175"/>
      <c r="W329" s="175"/>
      <c r="X329" s="116"/>
    </row>
    <row r="330" spans="1:24" s="112" customFormat="1">
      <c r="A330" s="116"/>
      <c r="B330" s="115"/>
      <c r="C330" s="115"/>
      <c r="D330" s="131"/>
      <c r="E330" s="177"/>
      <c r="F330" s="28"/>
      <c r="G330" s="118"/>
      <c r="H330" s="192"/>
      <c r="I330" s="192"/>
      <c r="J330" s="175"/>
      <c r="K330" s="192"/>
      <c r="L330" s="192"/>
      <c r="M330" s="192"/>
      <c r="N330" s="175"/>
      <c r="O330" s="116"/>
      <c r="P330" s="175"/>
      <c r="Q330" s="175"/>
      <c r="R330" s="220"/>
      <c r="S330" s="175"/>
      <c r="T330" s="175"/>
      <c r="U330" s="175"/>
      <c r="V330" s="175"/>
      <c r="W330" s="175"/>
      <c r="X330" s="116"/>
    </row>
    <row r="331" spans="1:24" s="112" customFormat="1">
      <c r="A331" s="116"/>
      <c r="B331" s="115"/>
      <c r="C331" s="115"/>
      <c r="D331" s="131"/>
      <c r="E331" s="177"/>
      <c r="F331" s="28"/>
      <c r="G331" s="118"/>
      <c r="H331" s="192"/>
      <c r="I331" s="192"/>
      <c r="J331" s="175"/>
      <c r="K331" s="192"/>
      <c r="L331" s="192"/>
      <c r="M331" s="192"/>
      <c r="N331" s="175"/>
      <c r="O331" s="116"/>
      <c r="P331" s="175"/>
      <c r="Q331" s="175"/>
      <c r="R331" s="220"/>
      <c r="S331" s="175"/>
      <c r="T331" s="175"/>
      <c r="U331" s="175"/>
      <c r="V331" s="175"/>
      <c r="W331" s="175"/>
      <c r="X331" s="116"/>
    </row>
    <row r="332" spans="1:24" s="112" customFormat="1">
      <c r="A332" s="116"/>
      <c r="B332" s="115"/>
      <c r="C332" s="115"/>
      <c r="D332" s="131"/>
      <c r="E332" s="177"/>
      <c r="F332" s="28"/>
      <c r="G332" s="118"/>
      <c r="H332" s="192"/>
      <c r="I332" s="192"/>
      <c r="J332" s="175"/>
      <c r="K332" s="192"/>
      <c r="L332" s="192"/>
      <c r="M332" s="192"/>
      <c r="N332" s="175"/>
      <c r="O332" s="116"/>
      <c r="P332" s="175"/>
      <c r="Q332" s="175"/>
      <c r="R332" s="220"/>
      <c r="S332" s="175"/>
      <c r="T332" s="175"/>
      <c r="U332" s="175"/>
      <c r="V332" s="175"/>
      <c r="W332" s="175"/>
      <c r="X332" s="116"/>
    </row>
    <row r="333" spans="1:24" s="112" customFormat="1">
      <c r="A333" s="116"/>
      <c r="B333" s="115"/>
      <c r="C333" s="115"/>
      <c r="D333" s="131"/>
      <c r="E333" s="177"/>
      <c r="F333" s="28"/>
      <c r="G333" s="118"/>
      <c r="H333" s="192"/>
      <c r="I333" s="192"/>
      <c r="J333" s="175"/>
      <c r="K333" s="192"/>
      <c r="L333" s="192"/>
      <c r="M333" s="192"/>
      <c r="N333" s="175"/>
      <c r="O333" s="116"/>
      <c r="P333" s="175"/>
      <c r="Q333" s="175"/>
      <c r="R333" s="220"/>
      <c r="S333" s="175"/>
      <c r="T333" s="175"/>
      <c r="U333" s="175"/>
      <c r="V333" s="175"/>
      <c r="W333" s="175"/>
      <c r="X333" s="116"/>
    </row>
    <row r="334" spans="1:24" s="112" customFormat="1">
      <c r="A334" s="116"/>
      <c r="B334" s="115"/>
      <c r="C334" s="115"/>
      <c r="D334" s="131"/>
      <c r="E334" s="177"/>
      <c r="F334" s="28"/>
      <c r="G334" s="118"/>
      <c r="H334" s="192"/>
      <c r="I334" s="192"/>
      <c r="J334" s="175"/>
      <c r="K334" s="192"/>
      <c r="L334" s="192"/>
      <c r="M334" s="192"/>
      <c r="N334" s="175"/>
      <c r="O334" s="116"/>
      <c r="P334" s="175"/>
      <c r="Q334" s="175"/>
      <c r="R334" s="220"/>
      <c r="S334" s="175"/>
      <c r="T334" s="175"/>
      <c r="U334" s="175"/>
      <c r="V334" s="175"/>
      <c r="W334" s="175"/>
      <c r="X334" s="116"/>
    </row>
    <row r="335" spans="1:24" s="112" customFormat="1">
      <c r="A335" s="116"/>
      <c r="B335" s="115"/>
      <c r="C335" s="115"/>
      <c r="D335" s="131"/>
      <c r="E335" s="177"/>
      <c r="F335" s="28"/>
      <c r="G335" s="118"/>
      <c r="H335" s="192"/>
      <c r="I335" s="192"/>
      <c r="J335" s="175"/>
      <c r="K335" s="192"/>
      <c r="L335" s="192"/>
      <c r="M335" s="192"/>
      <c r="N335" s="175"/>
      <c r="O335" s="116"/>
      <c r="P335" s="175"/>
      <c r="Q335" s="175"/>
      <c r="R335" s="220"/>
      <c r="S335" s="175"/>
      <c r="T335" s="175"/>
      <c r="U335" s="175"/>
      <c r="V335" s="175"/>
      <c r="W335" s="175"/>
      <c r="X335" s="116"/>
    </row>
    <row r="336" spans="1:24" s="112" customFormat="1">
      <c r="A336" s="116"/>
      <c r="B336" s="115"/>
      <c r="C336" s="115"/>
      <c r="D336" s="131"/>
      <c r="E336" s="177"/>
      <c r="F336" s="28"/>
      <c r="G336" s="118"/>
      <c r="H336" s="192"/>
      <c r="I336" s="192"/>
      <c r="J336" s="175"/>
      <c r="K336" s="192"/>
      <c r="L336" s="192"/>
      <c r="M336" s="192"/>
      <c r="N336" s="175"/>
      <c r="O336" s="116"/>
      <c r="P336" s="175"/>
      <c r="Q336" s="175"/>
      <c r="R336" s="220"/>
      <c r="S336" s="175"/>
      <c r="T336" s="175"/>
      <c r="U336" s="175"/>
      <c r="V336" s="175"/>
      <c r="W336" s="175"/>
      <c r="X336" s="116"/>
    </row>
    <row r="337" spans="1:24" s="112" customFormat="1">
      <c r="A337" s="116"/>
      <c r="B337" s="115"/>
      <c r="C337" s="115"/>
      <c r="D337" s="131"/>
      <c r="E337" s="177"/>
      <c r="F337" s="28"/>
      <c r="G337" s="118"/>
      <c r="H337" s="192"/>
      <c r="I337" s="192"/>
      <c r="J337" s="175"/>
      <c r="K337" s="192"/>
      <c r="L337" s="192"/>
      <c r="M337" s="192"/>
      <c r="N337" s="175"/>
      <c r="O337" s="116"/>
      <c r="P337" s="175"/>
      <c r="Q337" s="175"/>
      <c r="R337" s="220"/>
      <c r="S337" s="175"/>
      <c r="T337" s="175"/>
      <c r="U337" s="175"/>
      <c r="V337" s="175"/>
      <c r="W337" s="175"/>
      <c r="X337" s="116"/>
    </row>
    <row r="338" spans="1:24" s="112" customFormat="1">
      <c r="A338" s="116"/>
      <c r="B338" s="115"/>
      <c r="C338" s="115"/>
      <c r="D338" s="131"/>
      <c r="E338" s="177"/>
      <c r="F338" s="28"/>
      <c r="G338" s="118"/>
      <c r="H338" s="192"/>
      <c r="I338" s="192"/>
      <c r="J338" s="175"/>
      <c r="K338" s="192"/>
      <c r="L338" s="192"/>
      <c r="M338" s="192"/>
      <c r="N338" s="175"/>
      <c r="O338" s="116"/>
      <c r="P338" s="175"/>
      <c r="Q338" s="175"/>
      <c r="R338" s="220"/>
      <c r="S338" s="175"/>
      <c r="T338" s="175"/>
      <c r="U338" s="175"/>
      <c r="V338" s="175"/>
      <c r="W338" s="175"/>
      <c r="X338" s="116"/>
    </row>
    <row r="339" spans="1:24" s="112" customFormat="1">
      <c r="A339" s="116"/>
      <c r="B339" s="115"/>
      <c r="C339" s="115"/>
      <c r="D339" s="131"/>
      <c r="E339" s="177"/>
      <c r="F339" s="28"/>
      <c r="G339" s="118"/>
      <c r="H339" s="192"/>
      <c r="I339" s="192"/>
      <c r="J339" s="175"/>
      <c r="K339" s="192"/>
      <c r="L339" s="192"/>
      <c r="M339" s="192"/>
      <c r="N339" s="175"/>
      <c r="O339" s="116"/>
      <c r="P339" s="175"/>
      <c r="Q339" s="175"/>
      <c r="R339" s="220"/>
      <c r="S339" s="175"/>
      <c r="T339" s="175"/>
      <c r="U339" s="175"/>
      <c r="V339" s="175"/>
      <c r="W339" s="175"/>
      <c r="X339" s="116"/>
    </row>
    <row r="340" spans="1:24" s="112" customFormat="1">
      <c r="A340" s="116"/>
      <c r="B340" s="115"/>
      <c r="C340" s="115"/>
      <c r="D340" s="131"/>
      <c r="E340" s="177"/>
      <c r="F340" s="28"/>
      <c r="G340" s="118"/>
      <c r="H340" s="192"/>
      <c r="I340" s="192"/>
      <c r="J340" s="175"/>
      <c r="K340" s="192"/>
      <c r="L340" s="192"/>
      <c r="M340" s="192"/>
      <c r="N340" s="175"/>
      <c r="O340" s="116"/>
      <c r="P340" s="175"/>
      <c r="Q340" s="175"/>
      <c r="R340" s="220"/>
      <c r="S340" s="175"/>
      <c r="T340" s="175"/>
      <c r="U340" s="175"/>
      <c r="V340" s="175"/>
      <c r="W340" s="175"/>
      <c r="X340" s="116"/>
    </row>
    <row r="341" spans="1:24" s="112" customFormat="1">
      <c r="A341" s="116"/>
      <c r="B341" s="115"/>
      <c r="C341" s="115"/>
      <c r="D341" s="131"/>
      <c r="E341" s="177"/>
      <c r="F341" s="28"/>
      <c r="G341" s="118"/>
      <c r="H341" s="192"/>
      <c r="I341" s="192"/>
      <c r="J341" s="175"/>
      <c r="K341" s="192"/>
      <c r="L341" s="192"/>
      <c r="M341" s="192"/>
      <c r="N341" s="175"/>
      <c r="O341" s="116"/>
      <c r="P341" s="175"/>
      <c r="Q341" s="175"/>
      <c r="R341" s="220"/>
      <c r="S341" s="175"/>
      <c r="T341" s="175"/>
      <c r="U341" s="175"/>
      <c r="V341" s="175"/>
      <c r="W341" s="175"/>
      <c r="X341" s="116"/>
    </row>
    <row r="342" spans="1:24" s="112" customFormat="1">
      <c r="A342" s="116"/>
      <c r="B342" s="115"/>
      <c r="C342" s="115"/>
      <c r="D342" s="131"/>
      <c r="E342" s="177"/>
      <c r="F342" s="28"/>
      <c r="G342" s="118"/>
      <c r="H342" s="192"/>
      <c r="I342" s="192"/>
      <c r="J342" s="175"/>
      <c r="K342" s="192"/>
      <c r="L342" s="192"/>
      <c r="M342" s="192"/>
      <c r="N342" s="175"/>
      <c r="O342" s="116"/>
      <c r="P342" s="175"/>
      <c r="Q342" s="175"/>
      <c r="R342" s="220"/>
      <c r="S342" s="175"/>
      <c r="T342" s="175"/>
      <c r="U342" s="175"/>
      <c r="V342" s="175"/>
      <c r="W342" s="175"/>
      <c r="X342" s="116"/>
    </row>
    <row r="343" spans="1:24" s="112" customFormat="1">
      <c r="A343" s="116"/>
      <c r="B343" s="115"/>
      <c r="C343" s="115"/>
      <c r="D343" s="131"/>
      <c r="E343" s="177"/>
      <c r="F343" s="28"/>
      <c r="G343" s="118"/>
      <c r="H343" s="192"/>
      <c r="I343" s="192"/>
      <c r="J343" s="175"/>
      <c r="K343" s="192"/>
      <c r="L343" s="192"/>
      <c r="M343" s="192"/>
      <c r="N343" s="175"/>
      <c r="O343" s="116"/>
      <c r="P343" s="175"/>
      <c r="Q343" s="175"/>
      <c r="R343" s="220"/>
      <c r="S343" s="175"/>
      <c r="T343" s="175"/>
      <c r="U343" s="175"/>
      <c r="V343" s="175"/>
      <c r="W343" s="175"/>
      <c r="X343" s="116"/>
    </row>
    <row r="344" spans="1:24" s="112" customFormat="1">
      <c r="A344" s="116"/>
      <c r="B344" s="115"/>
      <c r="C344" s="115"/>
      <c r="D344" s="131"/>
      <c r="E344" s="177"/>
      <c r="F344" s="28"/>
      <c r="G344" s="118"/>
      <c r="H344" s="192"/>
      <c r="I344" s="192"/>
      <c r="J344" s="175"/>
      <c r="K344" s="192"/>
      <c r="L344" s="192"/>
      <c r="M344" s="192"/>
      <c r="N344" s="175"/>
      <c r="O344" s="116"/>
      <c r="P344" s="175"/>
      <c r="Q344" s="175"/>
      <c r="R344" s="220"/>
      <c r="S344" s="175"/>
      <c r="T344" s="175"/>
      <c r="U344" s="175"/>
      <c r="V344" s="175"/>
      <c r="W344" s="175"/>
      <c r="X344" s="116"/>
    </row>
    <row r="345" spans="1:24" s="112" customFormat="1">
      <c r="A345" s="116"/>
      <c r="B345" s="115"/>
      <c r="C345" s="115"/>
      <c r="D345" s="131"/>
      <c r="E345" s="177"/>
      <c r="F345" s="28"/>
      <c r="G345" s="118"/>
      <c r="H345" s="192"/>
      <c r="I345" s="192"/>
      <c r="J345" s="175"/>
      <c r="K345" s="192"/>
      <c r="L345" s="192"/>
      <c r="M345" s="192"/>
      <c r="N345" s="175"/>
      <c r="O345" s="116"/>
      <c r="P345" s="175"/>
      <c r="Q345" s="175"/>
      <c r="R345" s="220"/>
      <c r="S345" s="175"/>
      <c r="T345" s="175"/>
      <c r="U345" s="175"/>
      <c r="V345" s="175"/>
      <c r="W345" s="175"/>
      <c r="X345" s="116"/>
    </row>
    <row r="346" spans="1:24" s="112" customFormat="1">
      <c r="A346" s="116"/>
      <c r="B346" s="115"/>
      <c r="C346" s="115"/>
      <c r="D346" s="131"/>
      <c r="E346" s="177"/>
      <c r="F346" s="28"/>
      <c r="G346" s="118"/>
      <c r="H346" s="192"/>
      <c r="I346" s="192"/>
      <c r="J346" s="175"/>
      <c r="K346" s="192"/>
      <c r="L346" s="192"/>
      <c r="M346" s="192"/>
      <c r="N346" s="175"/>
      <c r="O346" s="116"/>
      <c r="P346" s="175"/>
      <c r="Q346" s="175"/>
      <c r="R346" s="220"/>
      <c r="S346" s="175"/>
      <c r="T346" s="175"/>
      <c r="U346" s="175"/>
      <c r="V346" s="175"/>
      <c r="W346" s="175"/>
      <c r="X346" s="116"/>
    </row>
    <row r="347" spans="1:24" s="112" customFormat="1">
      <c r="A347" s="116"/>
      <c r="B347" s="115"/>
      <c r="C347" s="115"/>
      <c r="D347" s="131"/>
      <c r="E347" s="177"/>
      <c r="F347" s="28"/>
      <c r="G347" s="118"/>
      <c r="H347" s="192"/>
      <c r="I347" s="192"/>
      <c r="J347" s="175"/>
      <c r="K347" s="192"/>
      <c r="L347" s="192"/>
      <c r="M347" s="192"/>
      <c r="N347" s="175"/>
      <c r="O347" s="116"/>
      <c r="P347" s="175"/>
      <c r="Q347" s="175"/>
      <c r="R347" s="220"/>
      <c r="S347" s="175"/>
      <c r="T347" s="175"/>
      <c r="U347" s="175"/>
      <c r="V347" s="175"/>
      <c r="W347" s="175"/>
      <c r="X347" s="116"/>
    </row>
    <row r="348" spans="1:24" s="112" customFormat="1">
      <c r="A348" s="116"/>
      <c r="B348" s="115"/>
      <c r="C348" s="115"/>
      <c r="D348" s="131"/>
      <c r="E348" s="177"/>
      <c r="F348" s="28"/>
      <c r="G348" s="118"/>
      <c r="H348" s="192"/>
      <c r="I348" s="192"/>
      <c r="J348" s="175"/>
      <c r="K348" s="192"/>
      <c r="L348" s="192"/>
      <c r="M348" s="192"/>
      <c r="N348" s="175"/>
      <c r="O348" s="116"/>
      <c r="P348" s="175"/>
      <c r="Q348" s="175"/>
      <c r="R348" s="220"/>
      <c r="S348" s="175"/>
      <c r="T348" s="175"/>
      <c r="U348" s="175"/>
      <c r="V348" s="175"/>
      <c r="W348" s="175"/>
      <c r="X348" s="116"/>
    </row>
    <row r="349" spans="1:24" s="112" customFormat="1">
      <c r="A349" s="116"/>
      <c r="B349" s="115"/>
      <c r="C349" s="115"/>
      <c r="D349" s="131"/>
      <c r="E349" s="177"/>
      <c r="F349" s="28"/>
      <c r="G349" s="118"/>
      <c r="H349" s="192"/>
      <c r="I349" s="192"/>
      <c r="J349" s="175"/>
      <c r="K349" s="192"/>
      <c r="L349" s="192"/>
      <c r="M349" s="192"/>
      <c r="N349" s="175"/>
      <c r="O349" s="116"/>
      <c r="P349" s="175"/>
      <c r="Q349" s="175"/>
      <c r="R349" s="220"/>
      <c r="S349" s="175"/>
      <c r="T349" s="175"/>
      <c r="U349" s="175"/>
      <c r="V349" s="175"/>
      <c r="W349" s="175"/>
      <c r="X349" s="116"/>
    </row>
    <row r="350" spans="1:24" s="112" customFormat="1">
      <c r="A350" s="116"/>
      <c r="B350" s="115"/>
      <c r="C350" s="115"/>
      <c r="D350" s="131"/>
      <c r="E350" s="177"/>
      <c r="F350" s="28"/>
      <c r="G350" s="118"/>
      <c r="H350" s="192"/>
      <c r="I350" s="192"/>
      <c r="J350" s="175"/>
      <c r="K350" s="192"/>
      <c r="L350" s="192"/>
      <c r="M350" s="192"/>
      <c r="N350" s="175"/>
      <c r="O350" s="116"/>
      <c r="P350" s="175"/>
      <c r="Q350" s="175"/>
      <c r="R350" s="220"/>
      <c r="S350" s="175"/>
      <c r="T350" s="175"/>
      <c r="U350" s="175"/>
      <c r="V350" s="175"/>
      <c r="W350" s="175"/>
      <c r="X350" s="116"/>
    </row>
    <row r="351" spans="1:24" s="112" customFormat="1">
      <c r="A351" s="116"/>
      <c r="B351" s="115"/>
      <c r="C351" s="115"/>
      <c r="D351" s="131"/>
      <c r="E351" s="177"/>
      <c r="F351" s="28"/>
      <c r="G351" s="118"/>
      <c r="H351" s="192"/>
      <c r="I351" s="192"/>
      <c r="J351" s="175"/>
      <c r="K351" s="192"/>
      <c r="L351" s="192"/>
      <c r="M351" s="192"/>
      <c r="N351" s="175"/>
      <c r="O351" s="116"/>
      <c r="P351" s="175"/>
      <c r="Q351" s="175"/>
      <c r="R351" s="220"/>
      <c r="S351" s="175"/>
      <c r="T351" s="175"/>
      <c r="U351" s="175"/>
      <c r="V351" s="175"/>
      <c r="W351" s="175"/>
      <c r="X351" s="116"/>
    </row>
    <row r="352" spans="1:24" s="112" customFormat="1">
      <c r="A352" s="116"/>
      <c r="B352" s="115"/>
      <c r="C352" s="115"/>
      <c r="D352" s="131"/>
      <c r="E352" s="177"/>
      <c r="F352" s="28"/>
      <c r="G352" s="118"/>
      <c r="H352" s="192"/>
      <c r="I352" s="192"/>
      <c r="J352" s="175"/>
      <c r="K352" s="192"/>
      <c r="L352" s="192"/>
      <c r="M352" s="192"/>
      <c r="N352" s="175"/>
      <c r="O352" s="116"/>
      <c r="P352" s="175"/>
      <c r="Q352" s="175"/>
      <c r="R352" s="220"/>
      <c r="S352" s="175"/>
      <c r="T352" s="175"/>
      <c r="U352" s="175"/>
      <c r="V352" s="175"/>
      <c r="W352" s="175"/>
      <c r="X352" s="116"/>
    </row>
    <row r="353" spans="1:24" s="112" customFormat="1">
      <c r="A353" s="116"/>
      <c r="B353" s="115"/>
      <c r="C353" s="115"/>
      <c r="D353" s="131"/>
      <c r="E353" s="177"/>
      <c r="F353" s="28"/>
      <c r="G353" s="118"/>
      <c r="H353" s="192"/>
      <c r="I353" s="192"/>
      <c r="J353" s="175"/>
      <c r="K353" s="192"/>
      <c r="L353" s="192"/>
      <c r="M353" s="192"/>
      <c r="N353" s="175"/>
      <c r="O353" s="116"/>
      <c r="P353" s="175"/>
      <c r="Q353" s="175"/>
      <c r="R353" s="220"/>
      <c r="S353" s="175"/>
      <c r="T353" s="175"/>
      <c r="U353" s="175"/>
      <c r="V353" s="175"/>
      <c r="W353" s="175"/>
      <c r="X353" s="116"/>
    </row>
    <row r="354" spans="1:24" s="112" customFormat="1">
      <c r="A354" s="116"/>
      <c r="B354" s="115"/>
      <c r="C354" s="115"/>
      <c r="D354" s="131"/>
      <c r="E354" s="177"/>
      <c r="F354" s="28"/>
      <c r="G354" s="118"/>
      <c r="H354" s="192"/>
      <c r="I354" s="192"/>
      <c r="J354" s="175"/>
      <c r="K354" s="192"/>
      <c r="L354" s="192"/>
      <c r="M354" s="192"/>
      <c r="N354" s="175"/>
      <c r="O354" s="116"/>
      <c r="P354" s="175"/>
      <c r="Q354" s="175"/>
      <c r="R354" s="220"/>
      <c r="S354" s="175"/>
      <c r="T354" s="175"/>
      <c r="U354" s="175"/>
      <c r="V354" s="175"/>
      <c r="W354" s="175"/>
      <c r="X354" s="116"/>
    </row>
    <row r="355" spans="1:24" s="112" customFormat="1">
      <c r="A355" s="116"/>
      <c r="B355" s="115"/>
      <c r="C355" s="115"/>
      <c r="D355" s="131"/>
      <c r="E355" s="177"/>
      <c r="F355" s="28"/>
      <c r="G355" s="118"/>
      <c r="H355" s="192"/>
      <c r="I355" s="192"/>
      <c r="J355" s="175"/>
      <c r="K355" s="192"/>
      <c r="L355" s="192"/>
      <c r="M355" s="192"/>
      <c r="N355" s="175"/>
      <c r="O355" s="116"/>
      <c r="P355" s="175"/>
      <c r="Q355" s="175"/>
      <c r="R355" s="220"/>
      <c r="S355" s="175"/>
      <c r="T355" s="175"/>
      <c r="U355" s="175"/>
      <c r="V355" s="175"/>
      <c r="W355" s="175"/>
      <c r="X355" s="116"/>
    </row>
    <row r="356" spans="1:24" s="112" customFormat="1">
      <c r="A356" s="116"/>
      <c r="B356" s="115"/>
      <c r="C356" s="115"/>
      <c r="D356" s="131"/>
      <c r="E356" s="177"/>
      <c r="F356" s="28"/>
      <c r="G356" s="118"/>
      <c r="H356" s="192"/>
      <c r="I356" s="192"/>
      <c r="J356" s="175"/>
      <c r="K356" s="192"/>
      <c r="L356" s="192"/>
      <c r="M356" s="192"/>
      <c r="N356" s="175"/>
      <c r="O356" s="116"/>
      <c r="P356" s="175"/>
      <c r="Q356" s="175"/>
      <c r="R356" s="220"/>
      <c r="S356" s="175"/>
      <c r="T356" s="175"/>
      <c r="U356" s="175"/>
      <c r="V356" s="175"/>
      <c r="W356" s="175"/>
      <c r="X356" s="116"/>
    </row>
    <row r="357" spans="1:24" s="112" customFormat="1">
      <c r="A357" s="116"/>
      <c r="B357" s="115"/>
      <c r="C357" s="115"/>
      <c r="D357" s="131"/>
      <c r="E357" s="177"/>
      <c r="F357" s="28"/>
      <c r="G357" s="118"/>
      <c r="H357" s="192"/>
      <c r="I357" s="192"/>
      <c r="J357" s="175"/>
      <c r="K357" s="192"/>
      <c r="L357" s="192"/>
      <c r="M357" s="192"/>
      <c r="N357" s="175"/>
      <c r="O357" s="116"/>
      <c r="P357" s="175"/>
      <c r="Q357" s="175"/>
      <c r="R357" s="220"/>
      <c r="S357" s="175"/>
      <c r="T357" s="175"/>
      <c r="U357" s="175"/>
      <c r="V357" s="175"/>
      <c r="W357" s="175"/>
      <c r="X357" s="116"/>
    </row>
    <row r="358" spans="1:24" s="112" customFormat="1">
      <c r="A358" s="116"/>
      <c r="B358" s="115"/>
      <c r="C358" s="115"/>
      <c r="D358" s="131"/>
      <c r="E358" s="177"/>
      <c r="F358" s="28"/>
      <c r="G358" s="118"/>
      <c r="H358" s="192"/>
      <c r="I358" s="192"/>
      <c r="J358" s="175"/>
      <c r="K358" s="192"/>
      <c r="L358" s="192"/>
      <c r="M358" s="192"/>
      <c r="N358" s="175"/>
      <c r="O358" s="116"/>
      <c r="P358" s="175"/>
      <c r="Q358" s="175"/>
      <c r="R358" s="220"/>
      <c r="S358" s="175"/>
      <c r="T358" s="175"/>
      <c r="U358" s="175"/>
      <c r="V358" s="175"/>
      <c r="W358" s="175"/>
      <c r="X358" s="116"/>
    </row>
    <row r="359" spans="1:24" s="112" customFormat="1">
      <c r="A359" s="116"/>
      <c r="B359" s="115"/>
      <c r="C359" s="115"/>
      <c r="D359" s="131"/>
      <c r="E359" s="177"/>
      <c r="F359" s="28"/>
      <c r="G359" s="118"/>
      <c r="H359" s="192"/>
      <c r="I359" s="192"/>
      <c r="J359" s="175"/>
      <c r="K359" s="192"/>
      <c r="L359" s="192"/>
      <c r="M359" s="192"/>
      <c r="N359" s="175"/>
      <c r="O359" s="116"/>
      <c r="P359" s="175"/>
      <c r="Q359" s="175"/>
      <c r="R359" s="220"/>
      <c r="S359" s="175"/>
      <c r="T359" s="175"/>
      <c r="U359" s="175"/>
      <c r="V359" s="175"/>
      <c r="W359" s="175"/>
      <c r="X359" s="116"/>
    </row>
    <row r="360" spans="1:24" s="112" customFormat="1">
      <c r="A360" s="116"/>
      <c r="B360" s="115"/>
      <c r="C360" s="115"/>
      <c r="D360" s="131"/>
      <c r="E360" s="177"/>
      <c r="F360" s="28"/>
      <c r="G360" s="118"/>
      <c r="H360" s="192"/>
      <c r="I360" s="192"/>
      <c r="J360" s="175"/>
      <c r="K360" s="192"/>
      <c r="L360" s="192"/>
      <c r="M360" s="192"/>
      <c r="N360" s="175"/>
      <c r="O360" s="116"/>
      <c r="P360" s="175"/>
      <c r="Q360" s="175"/>
      <c r="R360" s="220"/>
      <c r="S360" s="175"/>
      <c r="T360" s="175"/>
      <c r="U360" s="175"/>
      <c r="V360" s="175"/>
      <c r="W360" s="175"/>
      <c r="X360" s="116"/>
    </row>
    <row r="361" spans="1:24" s="112" customFormat="1">
      <c r="A361" s="116"/>
      <c r="B361" s="115"/>
      <c r="C361" s="115"/>
      <c r="D361" s="131"/>
      <c r="E361" s="177"/>
      <c r="F361" s="28"/>
      <c r="G361" s="118"/>
      <c r="H361" s="192"/>
      <c r="I361" s="192"/>
      <c r="J361" s="175"/>
      <c r="K361" s="192"/>
      <c r="L361" s="192"/>
      <c r="M361" s="192"/>
      <c r="N361" s="175"/>
      <c r="O361" s="116"/>
      <c r="P361" s="175"/>
      <c r="Q361" s="175"/>
      <c r="R361" s="220"/>
      <c r="S361" s="175"/>
      <c r="T361" s="175"/>
      <c r="U361" s="175"/>
      <c r="V361" s="175"/>
      <c r="W361" s="175"/>
      <c r="X361" s="116"/>
    </row>
    <row r="362" spans="1:24" s="112" customFormat="1">
      <c r="A362" s="116"/>
      <c r="B362" s="115"/>
      <c r="C362" s="115"/>
      <c r="D362" s="131"/>
      <c r="E362" s="177"/>
      <c r="F362" s="28"/>
      <c r="G362" s="118"/>
      <c r="H362" s="192"/>
      <c r="I362" s="192"/>
      <c r="J362" s="175"/>
      <c r="K362" s="192"/>
      <c r="L362" s="192"/>
      <c r="M362" s="192"/>
      <c r="N362" s="175"/>
      <c r="O362" s="116"/>
      <c r="P362" s="175"/>
      <c r="Q362" s="175"/>
      <c r="R362" s="220"/>
      <c r="S362" s="175"/>
      <c r="T362" s="175"/>
      <c r="U362" s="175"/>
      <c r="V362" s="175"/>
      <c r="W362" s="175"/>
      <c r="X362" s="116"/>
    </row>
    <row r="363" spans="1:24" s="112" customFormat="1">
      <c r="A363" s="116"/>
      <c r="B363" s="115"/>
      <c r="C363" s="115"/>
      <c r="D363" s="131"/>
      <c r="E363" s="177"/>
      <c r="F363" s="28"/>
      <c r="G363" s="118"/>
      <c r="H363" s="192"/>
      <c r="I363" s="192"/>
      <c r="J363" s="175"/>
      <c r="K363" s="192"/>
      <c r="L363" s="192"/>
      <c r="M363" s="192"/>
      <c r="N363" s="175"/>
      <c r="O363" s="116"/>
      <c r="P363" s="175"/>
      <c r="Q363" s="175"/>
      <c r="R363" s="220"/>
      <c r="S363" s="175"/>
      <c r="T363" s="175"/>
      <c r="U363" s="175"/>
      <c r="V363" s="175"/>
      <c r="W363" s="175"/>
      <c r="X363" s="116"/>
    </row>
    <row r="364" spans="1:24" s="112" customFormat="1">
      <c r="A364" s="116"/>
      <c r="B364" s="115"/>
      <c r="C364" s="115"/>
      <c r="D364" s="131"/>
      <c r="E364" s="177"/>
      <c r="F364" s="28"/>
      <c r="G364" s="118"/>
      <c r="H364" s="192"/>
      <c r="I364" s="192"/>
      <c r="J364" s="175"/>
      <c r="K364" s="192"/>
      <c r="L364" s="192"/>
      <c r="M364" s="192"/>
      <c r="N364" s="175"/>
      <c r="O364" s="116"/>
      <c r="P364" s="175"/>
      <c r="Q364" s="175"/>
      <c r="R364" s="220"/>
      <c r="S364" s="175"/>
      <c r="T364" s="175"/>
      <c r="U364" s="175"/>
      <c r="V364" s="175"/>
      <c r="W364" s="175"/>
      <c r="X364" s="116"/>
    </row>
    <row r="365" spans="1:24" s="112" customFormat="1">
      <c r="A365" s="116"/>
      <c r="B365" s="115"/>
      <c r="C365" s="115"/>
      <c r="D365" s="131"/>
      <c r="E365" s="177"/>
      <c r="F365" s="28"/>
      <c r="G365" s="118"/>
      <c r="H365" s="192"/>
      <c r="I365" s="192"/>
      <c r="J365" s="175"/>
      <c r="K365" s="192"/>
      <c r="L365" s="192"/>
      <c r="M365" s="192"/>
      <c r="N365" s="175"/>
      <c r="O365" s="116"/>
      <c r="P365" s="175"/>
      <c r="Q365" s="175"/>
      <c r="R365" s="220"/>
      <c r="S365" s="175"/>
      <c r="T365" s="175"/>
      <c r="U365" s="175"/>
      <c r="V365" s="175"/>
      <c r="W365" s="175"/>
      <c r="X365" s="116"/>
    </row>
    <row r="366" spans="1:24" s="112" customFormat="1">
      <c r="A366" s="116"/>
      <c r="B366" s="115"/>
      <c r="C366" s="115"/>
      <c r="D366" s="131"/>
      <c r="E366" s="177"/>
      <c r="F366" s="28"/>
      <c r="G366" s="118"/>
      <c r="H366" s="192"/>
      <c r="I366" s="192"/>
      <c r="J366" s="175"/>
      <c r="K366" s="192"/>
      <c r="L366" s="192"/>
      <c r="M366" s="192"/>
      <c r="N366" s="175"/>
      <c r="O366" s="116"/>
      <c r="P366" s="175"/>
      <c r="Q366" s="175"/>
      <c r="R366" s="220"/>
      <c r="S366" s="175"/>
      <c r="T366" s="175"/>
      <c r="U366" s="175"/>
      <c r="V366" s="175"/>
      <c r="W366" s="175"/>
      <c r="X366" s="116"/>
    </row>
    <row r="367" spans="1:24" s="112" customFormat="1">
      <c r="A367" s="116"/>
      <c r="B367" s="115"/>
      <c r="C367" s="115"/>
      <c r="D367" s="131"/>
      <c r="E367" s="177"/>
      <c r="F367" s="28"/>
      <c r="G367" s="118"/>
      <c r="H367" s="192"/>
      <c r="I367" s="192"/>
      <c r="J367" s="175"/>
      <c r="K367" s="192"/>
      <c r="L367" s="192"/>
      <c r="M367" s="192"/>
      <c r="N367" s="175"/>
      <c r="O367" s="116"/>
      <c r="P367" s="175"/>
      <c r="Q367" s="175"/>
      <c r="R367" s="220"/>
      <c r="S367" s="175"/>
      <c r="T367" s="175"/>
      <c r="U367" s="175"/>
      <c r="V367" s="175"/>
      <c r="W367" s="175"/>
      <c r="X367" s="116"/>
    </row>
    <row r="368" spans="1:24" s="112" customFormat="1">
      <c r="A368" s="116"/>
      <c r="B368" s="115"/>
      <c r="C368" s="115"/>
      <c r="D368" s="131"/>
      <c r="E368" s="177"/>
      <c r="F368" s="28"/>
      <c r="G368" s="118"/>
      <c r="H368" s="192"/>
      <c r="I368" s="192"/>
      <c r="J368" s="175"/>
      <c r="K368" s="192"/>
      <c r="L368" s="192"/>
      <c r="M368" s="192"/>
      <c r="N368" s="175"/>
      <c r="O368" s="116"/>
      <c r="P368" s="175"/>
      <c r="Q368" s="175"/>
      <c r="R368" s="220"/>
      <c r="S368" s="175"/>
      <c r="T368" s="175"/>
      <c r="U368" s="175"/>
      <c r="V368" s="175"/>
      <c r="W368" s="175"/>
      <c r="X368" s="116"/>
    </row>
    <row r="369" spans="1:24" s="112" customFormat="1">
      <c r="A369" s="116"/>
      <c r="B369" s="115"/>
      <c r="C369" s="115"/>
      <c r="D369" s="131"/>
      <c r="E369" s="177"/>
      <c r="F369" s="28"/>
      <c r="G369" s="118"/>
      <c r="H369" s="192"/>
      <c r="I369" s="192"/>
      <c r="J369" s="175"/>
      <c r="K369" s="192"/>
      <c r="L369" s="192"/>
      <c r="M369" s="192"/>
      <c r="N369" s="175"/>
      <c r="O369" s="116"/>
      <c r="P369" s="175"/>
      <c r="Q369" s="175"/>
      <c r="R369" s="220"/>
      <c r="S369" s="175"/>
      <c r="T369" s="175"/>
      <c r="U369" s="175"/>
      <c r="V369" s="175"/>
      <c r="W369" s="175"/>
      <c r="X369" s="116"/>
    </row>
    <row r="370" spans="1:24" s="112" customFormat="1">
      <c r="A370" s="116"/>
      <c r="B370" s="115"/>
      <c r="C370" s="115"/>
      <c r="D370" s="131"/>
      <c r="E370" s="177"/>
      <c r="F370" s="28"/>
      <c r="G370" s="118"/>
      <c r="H370" s="192"/>
      <c r="I370" s="192"/>
      <c r="J370" s="175"/>
      <c r="K370" s="192"/>
      <c r="L370" s="192"/>
      <c r="M370" s="192"/>
      <c r="N370" s="175"/>
      <c r="O370" s="116"/>
      <c r="P370" s="175"/>
      <c r="Q370" s="175"/>
      <c r="R370" s="220"/>
      <c r="S370" s="175"/>
      <c r="T370" s="175"/>
      <c r="U370" s="175"/>
      <c r="V370" s="175"/>
      <c r="W370" s="175"/>
      <c r="X370" s="116"/>
    </row>
    <row r="371" spans="1:24" s="112" customFormat="1">
      <c r="A371" s="116"/>
      <c r="B371" s="115"/>
      <c r="C371" s="115"/>
      <c r="D371" s="131"/>
      <c r="E371" s="177"/>
      <c r="F371" s="28"/>
      <c r="G371" s="118"/>
      <c r="H371" s="192"/>
      <c r="I371" s="192"/>
      <c r="J371" s="175"/>
      <c r="K371" s="192"/>
      <c r="L371" s="192"/>
      <c r="M371" s="192"/>
      <c r="N371" s="175"/>
      <c r="O371" s="116"/>
      <c r="P371" s="175"/>
      <c r="Q371" s="175"/>
      <c r="R371" s="220"/>
      <c r="S371" s="175"/>
      <c r="T371" s="175"/>
      <c r="U371" s="175"/>
      <c r="V371" s="175"/>
      <c r="W371" s="175"/>
      <c r="X371" s="116"/>
    </row>
    <row r="372" spans="1:24" s="112" customFormat="1">
      <c r="A372" s="116"/>
      <c r="B372" s="115"/>
      <c r="C372" s="115"/>
      <c r="D372" s="131"/>
      <c r="E372" s="177"/>
      <c r="F372" s="28"/>
      <c r="G372" s="118"/>
      <c r="H372" s="192"/>
      <c r="I372" s="192"/>
      <c r="J372" s="175"/>
      <c r="K372" s="192"/>
      <c r="L372" s="192"/>
      <c r="M372" s="192"/>
      <c r="N372" s="175"/>
      <c r="O372" s="116"/>
      <c r="P372" s="175"/>
      <c r="Q372" s="175"/>
      <c r="R372" s="220"/>
      <c r="S372" s="175"/>
      <c r="T372" s="175"/>
      <c r="U372" s="175"/>
      <c r="V372" s="175"/>
      <c r="W372" s="175"/>
      <c r="X372" s="116"/>
    </row>
    <row r="373" spans="1:24" s="112" customFormat="1">
      <c r="A373" s="116"/>
      <c r="B373" s="115"/>
      <c r="C373" s="115"/>
      <c r="D373" s="131"/>
      <c r="E373" s="177"/>
      <c r="F373" s="28"/>
      <c r="G373" s="118"/>
      <c r="H373" s="192"/>
      <c r="I373" s="192"/>
      <c r="J373" s="175"/>
      <c r="K373" s="192"/>
      <c r="L373" s="192"/>
      <c r="M373" s="192"/>
      <c r="N373" s="175"/>
      <c r="O373" s="116"/>
      <c r="P373" s="175"/>
      <c r="Q373" s="175"/>
      <c r="R373" s="220"/>
      <c r="S373" s="175"/>
      <c r="T373" s="175"/>
      <c r="U373" s="175"/>
      <c r="V373" s="175"/>
      <c r="W373" s="175"/>
      <c r="X373" s="116"/>
    </row>
    <row r="374" spans="1:24" s="112" customFormat="1">
      <c r="A374" s="116"/>
      <c r="B374" s="115"/>
      <c r="C374" s="115"/>
      <c r="D374" s="131"/>
      <c r="E374" s="177"/>
      <c r="F374" s="28"/>
      <c r="G374" s="118"/>
      <c r="H374" s="192"/>
      <c r="I374" s="192"/>
      <c r="J374" s="175"/>
      <c r="K374" s="192"/>
      <c r="L374" s="192"/>
      <c r="M374" s="192"/>
      <c r="N374" s="175"/>
      <c r="O374" s="116"/>
      <c r="P374" s="175"/>
      <c r="Q374" s="175"/>
      <c r="R374" s="220"/>
      <c r="S374" s="175"/>
      <c r="T374" s="175"/>
      <c r="U374" s="175"/>
      <c r="V374" s="175"/>
      <c r="W374" s="175"/>
      <c r="X374" s="116"/>
    </row>
    <row r="375" spans="1:24" s="112" customFormat="1">
      <c r="A375" s="116"/>
      <c r="B375" s="115"/>
      <c r="C375" s="115"/>
      <c r="D375" s="131"/>
      <c r="E375" s="177"/>
      <c r="F375" s="28"/>
      <c r="G375" s="118"/>
      <c r="H375" s="192"/>
      <c r="I375" s="192"/>
      <c r="J375" s="175"/>
      <c r="K375" s="192"/>
      <c r="L375" s="192"/>
      <c r="M375" s="192"/>
      <c r="N375" s="175"/>
      <c r="O375" s="116"/>
      <c r="P375" s="175"/>
      <c r="Q375" s="175"/>
      <c r="R375" s="220"/>
      <c r="S375" s="175"/>
      <c r="T375" s="175"/>
      <c r="U375" s="175"/>
      <c r="V375" s="175"/>
      <c r="W375" s="175"/>
      <c r="X375" s="116"/>
    </row>
    <row r="376" spans="1:24" s="112" customFormat="1">
      <c r="A376" s="116"/>
      <c r="B376" s="115"/>
      <c r="C376" s="115"/>
      <c r="D376" s="131"/>
      <c r="E376" s="177"/>
      <c r="F376" s="28"/>
      <c r="G376" s="118"/>
      <c r="H376" s="192"/>
      <c r="I376" s="192"/>
      <c r="J376" s="175"/>
      <c r="K376" s="192"/>
      <c r="L376" s="192"/>
      <c r="M376" s="192"/>
      <c r="N376" s="175"/>
      <c r="O376" s="116"/>
      <c r="P376" s="175"/>
      <c r="Q376" s="175"/>
      <c r="R376" s="220"/>
      <c r="S376" s="175"/>
      <c r="T376" s="175"/>
      <c r="U376" s="175"/>
      <c r="V376" s="175"/>
      <c r="W376" s="175"/>
      <c r="X376" s="116"/>
    </row>
    <row r="377" spans="1:24" s="112" customFormat="1">
      <c r="A377" s="116"/>
      <c r="B377" s="115"/>
      <c r="C377" s="115"/>
      <c r="D377" s="131"/>
      <c r="E377" s="177"/>
      <c r="F377" s="28"/>
      <c r="G377" s="118"/>
      <c r="H377" s="192"/>
      <c r="I377" s="192"/>
      <c r="J377" s="175"/>
      <c r="K377" s="192"/>
      <c r="L377" s="192"/>
      <c r="M377" s="192"/>
      <c r="N377" s="175"/>
      <c r="O377" s="116"/>
      <c r="P377" s="175"/>
      <c r="Q377" s="175"/>
      <c r="R377" s="220"/>
      <c r="S377" s="175"/>
      <c r="T377" s="175"/>
      <c r="U377" s="175"/>
      <c r="V377" s="175"/>
      <c r="W377" s="175"/>
      <c r="X377" s="116"/>
    </row>
    <row r="378" spans="1:24" s="112" customFormat="1">
      <c r="A378" s="116"/>
      <c r="B378" s="115"/>
      <c r="C378" s="115"/>
      <c r="D378" s="131"/>
      <c r="E378" s="177"/>
      <c r="F378" s="28"/>
      <c r="G378" s="118"/>
      <c r="H378" s="192"/>
      <c r="I378" s="192"/>
      <c r="J378" s="175"/>
      <c r="K378" s="192"/>
      <c r="L378" s="192"/>
      <c r="M378" s="192"/>
      <c r="N378" s="175"/>
      <c r="O378" s="116"/>
      <c r="P378" s="175"/>
      <c r="Q378" s="175"/>
      <c r="R378" s="220"/>
      <c r="S378" s="175"/>
      <c r="T378" s="175"/>
      <c r="U378" s="175"/>
      <c r="V378" s="175"/>
      <c r="W378" s="175"/>
      <c r="X378" s="116"/>
    </row>
    <row r="379" spans="1:24" s="112" customFormat="1">
      <c r="A379" s="116"/>
      <c r="B379" s="115"/>
      <c r="C379" s="115"/>
      <c r="D379" s="131"/>
      <c r="E379" s="177"/>
      <c r="F379" s="28"/>
      <c r="G379" s="118"/>
      <c r="H379" s="192"/>
      <c r="I379" s="192"/>
      <c r="J379" s="175"/>
      <c r="K379" s="192"/>
      <c r="L379" s="192"/>
      <c r="M379" s="192"/>
      <c r="N379" s="175"/>
      <c r="O379" s="116"/>
      <c r="P379" s="175"/>
      <c r="Q379" s="175"/>
      <c r="R379" s="220"/>
      <c r="S379" s="175"/>
      <c r="T379" s="175"/>
      <c r="U379" s="175"/>
      <c r="V379" s="175"/>
      <c r="W379" s="175"/>
      <c r="X379" s="116"/>
    </row>
    <row r="380" spans="1:24" s="112" customFormat="1">
      <c r="A380" s="116"/>
      <c r="B380" s="115"/>
      <c r="C380" s="115"/>
      <c r="D380" s="131"/>
      <c r="E380" s="177"/>
      <c r="F380" s="28"/>
      <c r="G380" s="118"/>
      <c r="H380" s="192"/>
      <c r="I380" s="192"/>
      <c r="J380" s="175"/>
      <c r="K380" s="192"/>
      <c r="L380" s="192"/>
      <c r="M380" s="192"/>
      <c r="N380" s="175"/>
      <c r="O380" s="116"/>
      <c r="P380" s="175"/>
      <c r="Q380" s="175"/>
      <c r="R380" s="220"/>
      <c r="S380" s="175"/>
      <c r="T380" s="175"/>
      <c r="U380" s="175"/>
      <c r="V380" s="175"/>
      <c r="W380" s="175"/>
      <c r="X380" s="116"/>
    </row>
    <row r="381" spans="1:24" s="112" customFormat="1">
      <c r="A381" s="116"/>
      <c r="B381" s="115"/>
      <c r="C381" s="115"/>
      <c r="D381" s="131"/>
      <c r="E381" s="177"/>
      <c r="F381" s="28"/>
      <c r="G381" s="118"/>
      <c r="H381" s="192"/>
      <c r="I381" s="192"/>
      <c r="J381" s="175"/>
      <c r="K381" s="192"/>
      <c r="L381" s="192"/>
      <c r="M381" s="192"/>
      <c r="N381" s="175"/>
      <c r="O381" s="116"/>
      <c r="P381" s="175"/>
      <c r="Q381" s="175"/>
      <c r="R381" s="220"/>
      <c r="S381" s="175"/>
      <c r="T381" s="175"/>
      <c r="U381" s="175"/>
      <c r="V381" s="175"/>
      <c r="W381" s="175"/>
      <c r="X381" s="116"/>
    </row>
    <row r="382" spans="1:24" s="112" customFormat="1">
      <c r="A382" s="116"/>
      <c r="B382" s="115"/>
      <c r="C382" s="115"/>
      <c r="D382" s="131"/>
      <c r="E382" s="177"/>
      <c r="F382" s="28"/>
      <c r="G382" s="118"/>
      <c r="H382" s="192"/>
      <c r="I382" s="192"/>
      <c r="J382" s="175"/>
      <c r="K382" s="192"/>
      <c r="L382" s="192"/>
      <c r="M382" s="192"/>
      <c r="N382" s="175"/>
      <c r="O382" s="116"/>
      <c r="P382" s="175"/>
      <c r="Q382" s="175"/>
      <c r="R382" s="220"/>
      <c r="S382" s="175"/>
      <c r="T382" s="175"/>
      <c r="U382" s="175"/>
      <c r="V382" s="175"/>
      <c r="W382" s="175"/>
      <c r="X382" s="116"/>
    </row>
    <row r="383" spans="1:24" s="112" customFormat="1">
      <c r="A383" s="116"/>
      <c r="B383" s="115"/>
      <c r="C383" s="115"/>
      <c r="D383" s="131"/>
      <c r="E383" s="177"/>
      <c r="F383" s="28"/>
      <c r="G383" s="118"/>
      <c r="H383" s="192"/>
      <c r="I383" s="192"/>
      <c r="J383" s="175"/>
      <c r="K383" s="192"/>
      <c r="L383" s="192"/>
      <c r="M383" s="192"/>
      <c r="N383" s="175"/>
      <c r="O383" s="116"/>
      <c r="P383" s="175"/>
      <c r="Q383" s="175"/>
      <c r="R383" s="220"/>
      <c r="S383" s="175"/>
      <c r="T383" s="175"/>
      <c r="U383" s="175"/>
      <c r="V383" s="175"/>
      <c r="W383" s="175"/>
      <c r="X383" s="116"/>
    </row>
    <row r="384" spans="1:24" s="112" customFormat="1">
      <c r="A384" s="116"/>
      <c r="B384" s="115"/>
      <c r="C384" s="115"/>
      <c r="D384" s="131"/>
      <c r="E384" s="177"/>
      <c r="F384" s="28"/>
      <c r="G384" s="118"/>
      <c r="H384" s="192"/>
      <c r="I384" s="192"/>
      <c r="J384" s="175"/>
      <c r="K384" s="192"/>
      <c r="L384" s="192"/>
      <c r="M384" s="192"/>
      <c r="N384" s="175"/>
      <c r="O384" s="116"/>
      <c r="P384" s="175"/>
      <c r="Q384" s="175"/>
      <c r="R384" s="220"/>
      <c r="S384" s="175"/>
      <c r="T384" s="175"/>
      <c r="U384" s="175"/>
      <c r="V384" s="175"/>
      <c r="W384" s="175"/>
      <c r="X384" s="116"/>
    </row>
    <row r="385" spans="1:24" s="112" customFormat="1">
      <c r="A385" s="116"/>
      <c r="B385" s="115"/>
      <c r="C385" s="115"/>
      <c r="D385" s="131"/>
      <c r="E385" s="177"/>
      <c r="F385" s="28"/>
      <c r="G385" s="118"/>
      <c r="H385" s="192"/>
      <c r="I385" s="192"/>
      <c r="J385" s="175"/>
      <c r="K385" s="192"/>
      <c r="L385" s="192"/>
      <c r="M385" s="192"/>
      <c r="N385" s="175"/>
      <c r="O385" s="116"/>
      <c r="P385" s="175"/>
      <c r="Q385" s="175"/>
      <c r="R385" s="220"/>
      <c r="S385" s="175"/>
      <c r="T385" s="175"/>
      <c r="U385" s="175"/>
      <c r="V385" s="175"/>
      <c r="W385" s="175"/>
      <c r="X385" s="116"/>
    </row>
    <row r="386" spans="1:24" s="112" customFormat="1">
      <c r="A386" s="116"/>
      <c r="B386" s="115"/>
      <c r="C386" s="115"/>
      <c r="D386" s="131"/>
      <c r="E386" s="177"/>
      <c r="F386" s="28"/>
      <c r="G386" s="118"/>
      <c r="H386" s="192"/>
      <c r="I386" s="192"/>
      <c r="J386" s="175"/>
      <c r="K386" s="192"/>
      <c r="L386" s="192"/>
      <c r="M386" s="192"/>
      <c r="N386" s="175"/>
      <c r="O386" s="116"/>
      <c r="P386" s="175"/>
      <c r="Q386" s="175"/>
      <c r="R386" s="220"/>
      <c r="S386" s="175"/>
      <c r="T386" s="175"/>
      <c r="U386" s="175"/>
      <c r="V386" s="175"/>
      <c r="W386" s="175"/>
      <c r="X386" s="116"/>
    </row>
    <row r="387" spans="1:24" s="112" customFormat="1">
      <c r="A387" s="116"/>
      <c r="B387" s="115"/>
      <c r="C387" s="115"/>
      <c r="D387" s="131"/>
      <c r="E387" s="177"/>
      <c r="F387" s="28"/>
      <c r="G387" s="118"/>
      <c r="H387" s="192"/>
      <c r="I387" s="192"/>
      <c r="J387" s="175"/>
      <c r="K387" s="192"/>
      <c r="L387" s="192"/>
      <c r="M387" s="192"/>
      <c r="N387" s="175"/>
      <c r="O387" s="116"/>
      <c r="P387" s="175"/>
      <c r="Q387" s="175"/>
      <c r="R387" s="220"/>
      <c r="S387" s="175"/>
      <c r="T387" s="175"/>
      <c r="U387" s="175"/>
      <c r="V387" s="175"/>
      <c r="W387" s="175"/>
      <c r="X387" s="116"/>
    </row>
    <row r="388" spans="1:24" s="112" customFormat="1">
      <c r="A388" s="116"/>
      <c r="B388" s="115"/>
      <c r="C388" s="115"/>
      <c r="D388" s="131"/>
      <c r="E388" s="177"/>
      <c r="F388" s="28"/>
      <c r="G388" s="118"/>
      <c r="H388" s="192"/>
      <c r="I388" s="192"/>
      <c r="J388" s="175"/>
      <c r="K388" s="192"/>
      <c r="L388" s="192"/>
      <c r="M388" s="192"/>
      <c r="N388" s="175"/>
      <c r="O388" s="116"/>
      <c r="P388" s="175"/>
      <c r="Q388" s="175"/>
      <c r="R388" s="220"/>
      <c r="S388" s="175"/>
      <c r="T388" s="175"/>
      <c r="U388" s="175"/>
      <c r="V388" s="175"/>
      <c r="W388" s="175"/>
      <c r="X388" s="116"/>
    </row>
    <row r="389" spans="1:24" s="112" customFormat="1">
      <c r="A389" s="116"/>
      <c r="B389" s="115"/>
      <c r="C389" s="115"/>
      <c r="D389" s="131"/>
      <c r="E389" s="177"/>
      <c r="F389" s="28"/>
      <c r="G389" s="118"/>
      <c r="H389" s="192"/>
      <c r="I389" s="192"/>
      <c r="J389" s="175"/>
      <c r="K389" s="192"/>
      <c r="L389" s="192"/>
      <c r="M389" s="192"/>
      <c r="N389" s="175"/>
      <c r="O389" s="116"/>
      <c r="P389" s="175"/>
      <c r="Q389" s="175"/>
      <c r="R389" s="220"/>
      <c r="S389" s="175"/>
      <c r="T389" s="175"/>
      <c r="U389" s="175"/>
      <c r="V389" s="175"/>
      <c r="W389" s="175"/>
      <c r="X389" s="116"/>
    </row>
    <row r="390" spans="1:24" s="112" customFormat="1">
      <c r="A390" s="116"/>
      <c r="B390" s="115"/>
      <c r="C390" s="115"/>
      <c r="D390" s="131"/>
      <c r="E390" s="177"/>
      <c r="F390" s="28"/>
      <c r="G390" s="118"/>
      <c r="H390" s="192"/>
      <c r="I390" s="192"/>
      <c r="J390" s="175"/>
      <c r="K390" s="192"/>
      <c r="L390" s="192"/>
      <c r="M390" s="192"/>
      <c r="N390" s="175"/>
      <c r="O390" s="116"/>
      <c r="P390" s="175"/>
      <c r="Q390" s="175"/>
      <c r="R390" s="220"/>
      <c r="S390" s="175"/>
      <c r="T390" s="175"/>
      <c r="U390" s="175"/>
      <c r="V390" s="175"/>
      <c r="W390" s="175"/>
      <c r="X390" s="116"/>
    </row>
    <row r="391" spans="1:24" s="112" customFormat="1">
      <c r="A391" s="116"/>
      <c r="B391" s="115"/>
      <c r="C391" s="115"/>
      <c r="D391" s="131"/>
      <c r="E391" s="177"/>
      <c r="F391" s="28"/>
      <c r="G391" s="118"/>
      <c r="H391" s="192"/>
      <c r="I391" s="192"/>
      <c r="J391" s="175"/>
      <c r="K391" s="192"/>
      <c r="L391" s="192"/>
      <c r="M391" s="192"/>
      <c r="N391" s="175"/>
      <c r="O391" s="116"/>
      <c r="P391" s="175"/>
      <c r="Q391" s="175"/>
      <c r="R391" s="220"/>
      <c r="S391" s="175"/>
      <c r="T391" s="175"/>
      <c r="U391" s="175"/>
      <c r="V391" s="175"/>
      <c r="W391" s="175"/>
      <c r="X391" s="116"/>
    </row>
    <row r="392" spans="1:24" s="112" customFormat="1">
      <c r="A392" s="116"/>
      <c r="B392" s="115"/>
      <c r="C392" s="115"/>
      <c r="D392" s="131"/>
      <c r="E392" s="177"/>
      <c r="F392" s="28"/>
      <c r="G392" s="118"/>
      <c r="H392" s="192"/>
      <c r="I392" s="192"/>
      <c r="J392" s="175"/>
      <c r="K392" s="192"/>
      <c r="L392" s="192"/>
      <c r="M392" s="192"/>
      <c r="N392" s="175"/>
      <c r="O392" s="116"/>
      <c r="P392" s="175"/>
      <c r="Q392" s="175"/>
      <c r="R392" s="220"/>
      <c r="S392" s="175"/>
      <c r="T392" s="175"/>
      <c r="U392" s="175"/>
      <c r="V392" s="175"/>
      <c r="W392" s="175"/>
      <c r="X392" s="116"/>
    </row>
    <row r="393" spans="1:24" s="112" customFormat="1">
      <c r="A393" s="116"/>
      <c r="B393" s="115"/>
      <c r="C393" s="115"/>
      <c r="D393" s="131"/>
      <c r="E393" s="177"/>
      <c r="F393" s="28"/>
      <c r="G393" s="118"/>
      <c r="H393" s="192"/>
      <c r="I393" s="192"/>
      <c r="J393" s="175"/>
      <c r="K393" s="192"/>
      <c r="L393" s="192"/>
      <c r="M393" s="192"/>
      <c r="N393" s="175"/>
      <c r="O393" s="116"/>
      <c r="P393" s="175"/>
      <c r="Q393" s="175"/>
      <c r="R393" s="220"/>
      <c r="S393" s="175"/>
      <c r="T393" s="175"/>
      <c r="U393" s="175"/>
      <c r="V393" s="175"/>
      <c r="W393" s="175"/>
      <c r="X393" s="116"/>
    </row>
    <row r="394" spans="1:24" s="112" customFormat="1">
      <c r="A394" s="116"/>
      <c r="B394" s="115"/>
      <c r="C394" s="115"/>
      <c r="D394" s="131"/>
      <c r="E394" s="177"/>
      <c r="F394" s="28"/>
      <c r="G394" s="118"/>
      <c r="H394" s="192"/>
      <c r="I394" s="192"/>
      <c r="J394" s="175"/>
      <c r="K394" s="192"/>
      <c r="L394" s="192"/>
      <c r="M394" s="192"/>
      <c r="N394" s="175"/>
      <c r="O394" s="116"/>
      <c r="P394" s="175"/>
      <c r="Q394" s="175"/>
      <c r="R394" s="220"/>
      <c r="S394" s="175"/>
      <c r="T394" s="175"/>
      <c r="U394" s="175"/>
      <c r="V394" s="175"/>
      <c r="W394" s="175"/>
      <c r="X394" s="116"/>
    </row>
    <row r="395" spans="1:24" s="112" customFormat="1">
      <c r="A395" s="116"/>
      <c r="B395" s="115"/>
      <c r="C395" s="115"/>
      <c r="D395" s="131"/>
      <c r="E395" s="177"/>
      <c r="F395" s="28"/>
      <c r="G395" s="118"/>
      <c r="H395" s="192"/>
      <c r="I395" s="192"/>
      <c r="J395" s="175"/>
      <c r="K395" s="192"/>
      <c r="L395" s="192"/>
      <c r="M395" s="192"/>
      <c r="N395" s="175"/>
      <c r="O395" s="116"/>
      <c r="P395" s="175"/>
      <c r="Q395" s="175"/>
      <c r="R395" s="220"/>
      <c r="S395" s="175"/>
      <c r="T395" s="175"/>
      <c r="U395" s="175"/>
      <c r="V395" s="175"/>
      <c r="W395" s="175"/>
      <c r="X395" s="116"/>
    </row>
    <row r="396" spans="1:24" s="112" customFormat="1">
      <c r="A396" s="116"/>
      <c r="B396" s="115"/>
      <c r="C396" s="115"/>
      <c r="D396" s="131"/>
      <c r="E396" s="177"/>
      <c r="F396" s="28"/>
      <c r="G396" s="118"/>
      <c r="H396" s="192"/>
      <c r="I396" s="192"/>
      <c r="J396" s="175"/>
      <c r="K396" s="192"/>
      <c r="L396" s="192"/>
      <c r="M396" s="192"/>
      <c r="N396" s="175"/>
      <c r="O396" s="116"/>
      <c r="P396" s="175"/>
      <c r="Q396" s="175"/>
      <c r="R396" s="220"/>
      <c r="S396" s="175"/>
      <c r="T396" s="175"/>
      <c r="U396" s="175"/>
      <c r="V396" s="175"/>
      <c r="W396" s="175"/>
      <c r="X396" s="116"/>
    </row>
    <row r="397" spans="1:24" s="112" customFormat="1">
      <c r="A397" s="116"/>
      <c r="B397" s="115"/>
      <c r="C397" s="115"/>
      <c r="D397" s="131"/>
      <c r="E397" s="177"/>
      <c r="F397" s="28"/>
      <c r="G397" s="118"/>
      <c r="H397" s="192"/>
      <c r="I397" s="192"/>
      <c r="J397" s="175"/>
      <c r="K397" s="192"/>
      <c r="L397" s="192"/>
      <c r="M397" s="192"/>
      <c r="N397" s="175"/>
      <c r="O397" s="116"/>
      <c r="P397" s="175"/>
      <c r="Q397" s="175"/>
      <c r="R397" s="220"/>
      <c r="S397" s="175"/>
      <c r="T397" s="175"/>
      <c r="U397" s="175"/>
      <c r="V397" s="175"/>
      <c r="W397" s="175"/>
      <c r="X397" s="116"/>
    </row>
    <row r="398" spans="1:24" s="112" customFormat="1">
      <c r="A398" s="116"/>
      <c r="B398" s="115"/>
      <c r="C398" s="115"/>
      <c r="D398" s="131"/>
      <c r="E398" s="177"/>
      <c r="F398" s="28"/>
      <c r="G398" s="118"/>
      <c r="H398" s="192"/>
      <c r="I398" s="192"/>
      <c r="J398" s="175"/>
      <c r="K398" s="192"/>
      <c r="L398" s="192"/>
      <c r="M398" s="192"/>
      <c r="N398" s="175"/>
      <c r="O398" s="116"/>
      <c r="P398" s="175"/>
      <c r="Q398" s="175"/>
      <c r="R398" s="220"/>
      <c r="S398" s="175"/>
      <c r="T398" s="175"/>
      <c r="U398" s="175"/>
      <c r="V398" s="175"/>
      <c r="W398" s="175"/>
      <c r="X398" s="116"/>
    </row>
    <row r="399" spans="1:24" s="112" customFormat="1">
      <c r="A399" s="116"/>
      <c r="B399" s="115"/>
      <c r="C399" s="115"/>
      <c r="D399" s="131"/>
      <c r="E399" s="177"/>
      <c r="F399" s="28"/>
      <c r="G399" s="118"/>
      <c r="H399" s="192"/>
      <c r="I399" s="192"/>
      <c r="J399" s="175"/>
      <c r="K399" s="192"/>
      <c r="L399" s="192"/>
      <c r="M399" s="192"/>
      <c r="N399" s="175"/>
      <c r="O399" s="116"/>
      <c r="P399" s="175"/>
      <c r="Q399" s="175"/>
      <c r="R399" s="220"/>
      <c r="S399" s="175"/>
      <c r="T399" s="175"/>
      <c r="U399" s="175"/>
      <c r="V399" s="175"/>
      <c r="W399" s="175"/>
      <c r="X399" s="116"/>
    </row>
    <row r="400" spans="1:24" s="112" customFormat="1">
      <c r="A400" s="116"/>
      <c r="B400" s="115"/>
      <c r="C400" s="115"/>
      <c r="D400" s="131"/>
      <c r="E400" s="177"/>
      <c r="F400" s="28"/>
      <c r="G400" s="118"/>
      <c r="H400" s="192"/>
      <c r="I400" s="192"/>
      <c r="J400" s="175"/>
      <c r="K400" s="192"/>
      <c r="L400" s="192"/>
      <c r="M400" s="192"/>
      <c r="N400" s="175"/>
      <c r="O400" s="116"/>
      <c r="P400" s="175"/>
      <c r="Q400" s="175"/>
      <c r="R400" s="220"/>
      <c r="S400" s="175"/>
      <c r="T400" s="175"/>
      <c r="U400" s="175"/>
      <c r="V400" s="175"/>
      <c r="W400" s="175"/>
      <c r="X400" s="116"/>
    </row>
    <row r="401" spans="1:24" s="112" customFormat="1">
      <c r="A401" s="116"/>
      <c r="B401" s="115"/>
      <c r="C401" s="115"/>
      <c r="D401" s="131"/>
      <c r="E401" s="177"/>
      <c r="F401" s="28"/>
      <c r="G401" s="118"/>
      <c r="H401" s="192"/>
      <c r="I401" s="192"/>
      <c r="J401" s="175"/>
      <c r="K401" s="192"/>
      <c r="L401" s="192"/>
      <c r="M401" s="192"/>
      <c r="N401" s="175"/>
      <c r="O401" s="116"/>
      <c r="P401" s="175"/>
      <c r="Q401" s="175"/>
      <c r="R401" s="220"/>
      <c r="S401" s="175"/>
      <c r="T401" s="175"/>
      <c r="U401" s="175"/>
      <c r="V401" s="175"/>
      <c r="W401" s="175"/>
      <c r="X401" s="116"/>
    </row>
    <row r="402" spans="1:24" s="112" customFormat="1">
      <c r="A402" s="116"/>
      <c r="B402" s="115"/>
      <c r="C402" s="115"/>
      <c r="D402" s="131"/>
      <c r="E402" s="177"/>
      <c r="F402" s="28"/>
      <c r="G402" s="118"/>
      <c r="H402" s="192"/>
      <c r="I402" s="192"/>
      <c r="J402" s="175"/>
      <c r="K402" s="192"/>
      <c r="L402" s="192"/>
      <c r="M402" s="192"/>
      <c r="N402" s="175"/>
      <c r="O402" s="116"/>
      <c r="P402" s="175"/>
      <c r="Q402" s="175"/>
      <c r="R402" s="220"/>
      <c r="S402" s="175"/>
      <c r="T402" s="175"/>
      <c r="U402" s="175"/>
      <c r="V402" s="175"/>
      <c r="W402" s="175"/>
      <c r="X402" s="116"/>
    </row>
    <row r="403" spans="1:24" s="112" customFormat="1">
      <c r="A403" s="116"/>
      <c r="B403" s="115"/>
      <c r="C403" s="115"/>
      <c r="D403" s="131"/>
      <c r="E403" s="177"/>
      <c r="F403" s="28"/>
      <c r="G403" s="118"/>
      <c r="H403" s="192"/>
      <c r="I403" s="192"/>
      <c r="J403" s="175"/>
      <c r="K403" s="192"/>
      <c r="L403" s="192"/>
      <c r="M403" s="192"/>
      <c r="N403" s="175"/>
      <c r="O403" s="116"/>
      <c r="P403" s="175"/>
      <c r="Q403" s="175"/>
      <c r="R403" s="220"/>
      <c r="S403" s="175"/>
      <c r="T403" s="175"/>
      <c r="U403" s="175"/>
      <c r="V403" s="175"/>
      <c r="W403" s="175"/>
      <c r="X403" s="116"/>
    </row>
    <row r="404" spans="1:24" s="112" customFormat="1">
      <c r="A404" s="116"/>
      <c r="B404" s="115"/>
      <c r="C404" s="115"/>
      <c r="D404" s="131"/>
      <c r="E404" s="177"/>
      <c r="F404" s="28"/>
      <c r="G404" s="118"/>
      <c r="H404" s="192"/>
      <c r="I404" s="192"/>
      <c r="J404" s="175"/>
      <c r="K404" s="192"/>
      <c r="L404" s="192"/>
      <c r="M404" s="192"/>
      <c r="N404" s="175"/>
      <c r="O404" s="116"/>
      <c r="P404" s="175"/>
      <c r="Q404" s="175"/>
      <c r="R404" s="220"/>
      <c r="S404" s="175"/>
      <c r="T404" s="175"/>
      <c r="U404" s="175"/>
      <c r="V404" s="175"/>
      <c r="W404" s="175"/>
      <c r="X404" s="116"/>
    </row>
    <row r="405" spans="1:24" s="112" customFormat="1">
      <c r="A405" s="116"/>
      <c r="B405" s="115"/>
      <c r="C405" s="115"/>
      <c r="D405" s="131"/>
      <c r="E405" s="177"/>
      <c r="F405" s="28"/>
      <c r="G405" s="118"/>
      <c r="H405" s="192"/>
      <c r="I405" s="192"/>
      <c r="J405" s="175"/>
      <c r="K405" s="192"/>
      <c r="L405" s="192"/>
      <c r="M405" s="192"/>
      <c r="N405" s="175"/>
      <c r="O405" s="116"/>
      <c r="P405" s="175"/>
      <c r="Q405" s="175"/>
      <c r="R405" s="220"/>
      <c r="S405" s="175"/>
      <c r="T405" s="175"/>
      <c r="U405" s="175"/>
      <c r="V405" s="175"/>
      <c r="W405" s="175"/>
      <c r="X405" s="116"/>
    </row>
    <row r="406" spans="1:24" s="112" customFormat="1">
      <c r="A406" s="116"/>
      <c r="B406" s="115"/>
      <c r="C406" s="115"/>
      <c r="D406" s="131"/>
      <c r="E406" s="177"/>
      <c r="F406" s="28"/>
      <c r="G406" s="118"/>
      <c r="H406" s="192"/>
      <c r="I406" s="192"/>
      <c r="J406" s="175"/>
      <c r="K406" s="192"/>
      <c r="L406" s="192"/>
      <c r="M406" s="192"/>
      <c r="N406" s="175"/>
      <c r="O406" s="116"/>
      <c r="P406" s="175"/>
      <c r="Q406" s="175"/>
      <c r="R406" s="220"/>
      <c r="S406" s="175"/>
      <c r="T406" s="175"/>
      <c r="U406" s="175"/>
      <c r="V406" s="175"/>
      <c r="W406" s="175"/>
      <c r="X406" s="116"/>
    </row>
    <row r="407" spans="1:24" s="112" customFormat="1">
      <c r="A407" s="116"/>
      <c r="B407" s="115"/>
      <c r="C407" s="115"/>
      <c r="D407" s="131"/>
      <c r="E407" s="177"/>
      <c r="F407" s="28"/>
      <c r="G407" s="118"/>
      <c r="H407" s="192"/>
      <c r="I407" s="192"/>
      <c r="J407" s="175"/>
      <c r="K407" s="192"/>
      <c r="L407" s="192"/>
      <c r="M407" s="192"/>
      <c r="N407" s="175"/>
      <c r="O407" s="116"/>
      <c r="P407" s="175"/>
      <c r="Q407" s="175"/>
      <c r="R407" s="220"/>
      <c r="S407" s="175"/>
      <c r="T407" s="175"/>
      <c r="U407" s="175"/>
      <c r="V407" s="175"/>
      <c r="W407" s="175"/>
      <c r="X407" s="116"/>
    </row>
    <row r="408" spans="1:24" s="112" customFormat="1">
      <c r="A408" s="116"/>
      <c r="B408" s="115"/>
      <c r="C408" s="115"/>
      <c r="D408" s="131"/>
      <c r="E408" s="177"/>
      <c r="F408" s="28"/>
      <c r="G408" s="118"/>
      <c r="H408" s="192"/>
      <c r="I408" s="192"/>
      <c r="J408" s="175"/>
      <c r="K408" s="192"/>
      <c r="L408" s="192"/>
      <c r="M408" s="192"/>
      <c r="N408" s="175"/>
      <c r="O408" s="116"/>
      <c r="P408" s="175"/>
      <c r="Q408" s="175"/>
      <c r="R408" s="220"/>
      <c r="S408" s="175"/>
      <c r="T408" s="175"/>
      <c r="U408" s="175"/>
      <c r="V408" s="175"/>
      <c r="W408" s="175"/>
      <c r="X408" s="116"/>
    </row>
    <row r="409" spans="1:24" s="112" customFormat="1">
      <c r="A409" s="116"/>
      <c r="B409" s="115"/>
      <c r="C409" s="115"/>
      <c r="D409" s="131"/>
      <c r="E409" s="177"/>
      <c r="F409" s="28"/>
      <c r="G409" s="118"/>
      <c r="H409" s="192"/>
      <c r="I409" s="192"/>
      <c r="J409" s="175"/>
      <c r="K409" s="192"/>
      <c r="L409" s="192"/>
      <c r="M409" s="192"/>
      <c r="N409" s="175"/>
      <c r="O409" s="116"/>
      <c r="P409" s="175"/>
      <c r="Q409" s="175"/>
      <c r="R409" s="220"/>
      <c r="S409" s="175"/>
      <c r="T409" s="175"/>
      <c r="U409" s="175"/>
      <c r="V409" s="175"/>
      <c r="W409" s="175"/>
      <c r="X409" s="116"/>
    </row>
    <row r="410" spans="1:24" s="112" customFormat="1">
      <c r="A410" s="116"/>
      <c r="B410" s="115"/>
      <c r="C410" s="115"/>
      <c r="D410" s="131"/>
      <c r="E410" s="177"/>
      <c r="F410" s="28"/>
      <c r="G410" s="118"/>
      <c r="H410" s="192"/>
      <c r="I410" s="192"/>
      <c r="J410" s="175"/>
      <c r="K410" s="192"/>
      <c r="L410" s="192"/>
      <c r="M410" s="192"/>
      <c r="N410" s="175"/>
      <c r="O410" s="116"/>
      <c r="P410" s="175"/>
      <c r="Q410" s="175"/>
      <c r="R410" s="220"/>
      <c r="S410" s="175"/>
      <c r="T410" s="175"/>
      <c r="U410" s="175"/>
      <c r="V410" s="175"/>
      <c r="W410" s="175"/>
      <c r="X410" s="116"/>
    </row>
    <row r="411" spans="1:24" s="112" customFormat="1">
      <c r="A411" s="116"/>
      <c r="B411" s="115"/>
      <c r="C411" s="115"/>
      <c r="D411" s="131"/>
      <c r="E411" s="177"/>
      <c r="F411" s="28"/>
      <c r="G411" s="118"/>
      <c r="H411" s="192"/>
      <c r="I411" s="192"/>
      <c r="J411" s="175"/>
      <c r="K411" s="192"/>
      <c r="L411" s="192"/>
      <c r="M411" s="192"/>
      <c r="N411" s="175"/>
      <c r="O411" s="116"/>
      <c r="P411" s="175"/>
      <c r="Q411" s="175"/>
      <c r="R411" s="220"/>
      <c r="S411" s="175"/>
      <c r="T411" s="175"/>
      <c r="U411" s="175"/>
      <c r="V411" s="175"/>
      <c r="W411" s="175"/>
      <c r="X411" s="116"/>
    </row>
    <row r="412" spans="1:24" s="112" customFormat="1">
      <c r="A412" s="116"/>
      <c r="B412" s="115"/>
      <c r="C412" s="115"/>
      <c r="D412" s="131"/>
      <c r="E412" s="177"/>
      <c r="F412" s="28"/>
      <c r="G412" s="118"/>
      <c r="H412" s="192"/>
      <c r="I412" s="192"/>
      <c r="J412" s="175"/>
      <c r="K412" s="192"/>
      <c r="L412" s="192"/>
      <c r="M412" s="192"/>
      <c r="N412" s="175"/>
      <c r="O412" s="116"/>
      <c r="P412" s="175"/>
      <c r="Q412" s="175"/>
      <c r="R412" s="220"/>
      <c r="S412" s="175"/>
      <c r="T412" s="175"/>
      <c r="U412" s="175"/>
      <c r="V412" s="175"/>
      <c r="W412" s="175"/>
      <c r="X412" s="116"/>
    </row>
    <row r="413" spans="1:24" s="112" customFormat="1">
      <c r="A413" s="116"/>
      <c r="B413" s="115"/>
      <c r="C413" s="115"/>
      <c r="D413" s="131"/>
      <c r="E413" s="177"/>
      <c r="F413" s="28"/>
      <c r="G413" s="118"/>
      <c r="H413" s="192"/>
      <c r="I413" s="192"/>
      <c r="J413" s="175"/>
      <c r="K413" s="192"/>
      <c r="L413" s="192"/>
      <c r="M413" s="192"/>
      <c r="N413" s="175"/>
      <c r="O413" s="116"/>
      <c r="P413" s="175"/>
      <c r="Q413" s="175"/>
      <c r="R413" s="220"/>
      <c r="S413" s="175"/>
      <c r="T413" s="175"/>
      <c r="U413" s="175"/>
      <c r="V413" s="175"/>
      <c r="W413" s="175"/>
      <c r="X413" s="116"/>
    </row>
    <row r="414" spans="1:24" s="112" customFormat="1">
      <c r="A414" s="116"/>
      <c r="B414" s="115"/>
      <c r="C414" s="115"/>
      <c r="D414" s="131"/>
      <c r="E414" s="177"/>
      <c r="F414" s="28"/>
      <c r="G414" s="118"/>
      <c r="H414" s="192"/>
      <c r="I414" s="192"/>
      <c r="J414" s="175"/>
      <c r="K414" s="192"/>
      <c r="L414" s="192"/>
      <c r="M414" s="192"/>
      <c r="N414" s="175"/>
      <c r="O414" s="116"/>
      <c r="P414" s="175"/>
      <c r="Q414" s="175"/>
      <c r="R414" s="220"/>
      <c r="S414" s="175"/>
      <c r="T414" s="175"/>
      <c r="U414" s="175"/>
      <c r="V414" s="175"/>
      <c r="W414" s="175"/>
      <c r="X414" s="116"/>
    </row>
    <row r="415" spans="1:24" s="112" customFormat="1">
      <c r="A415" s="116"/>
      <c r="B415" s="115"/>
      <c r="C415" s="115"/>
      <c r="D415" s="131"/>
      <c r="E415" s="177"/>
      <c r="F415" s="28"/>
      <c r="G415" s="118"/>
      <c r="H415" s="192"/>
      <c r="I415" s="192"/>
      <c r="J415" s="175"/>
      <c r="K415" s="192"/>
      <c r="L415" s="192"/>
      <c r="M415" s="192"/>
      <c r="N415" s="175"/>
      <c r="O415" s="116"/>
      <c r="P415" s="175"/>
      <c r="Q415" s="175"/>
      <c r="R415" s="220"/>
      <c r="S415" s="175"/>
      <c r="T415" s="175"/>
      <c r="U415" s="175"/>
      <c r="V415" s="175"/>
      <c r="W415" s="175"/>
      <c r="X415" s="116"/>
    </row>
    <row r="416" spans="1:24" s="112" customFormat="1">
      <c r="A416" s="116"/>
      <c r="B416" s="115"/>
      <c r="C416" s="115"/>
      <c r="D416" s="131"/>
      <c r="E416" s="177"/>
      <c r="F416" s="28"/>
      <c r="G416" s="118"/>
      <c r="H416" s="192"/>
      <c r="I416" s="192"/>
      <c r="J416" s="175"/>
      <c r="K416" s="192"/>
      <c r="L416" s="192"/>
      <c r="M416" s="192"/>
      <c r="N416" s="175"/>
      <c r="O416" s="116"/>
      <c r="P416" s="175"/>
      <c r="Q416" s="175"/>
      <c r="R416" s="220"/>
      <c r="S416" s="175"/>
      <c r="T416" s="175"/>
      <c r="U416" s="175"/>
      <c r="V416" s="175"/>
      <c r="W416" s="175"/>
      <c r="X416" s="116"/>
    </row>
    <row r="417" spans="1:24" s="112" customFormat="1">
      <c r="A417" s="116"/>
      <c r="B417" s="115"/>
      <c r="C417" s="115"/>
      <c r="D417" s="131"/>
      <c r="E417" s="177"/>
      <c r="F417" s="28"/>
      <c r="G417" s="118"/>
      <c r="H417" s="192"/>
      <c r="I417" s="192"/>
      <c r="J417" s="175"/>
      <c r="K417" s="192"/>
      <c r="L417" s="192"/>
      <c r="M417" s="192"/>
      <c r="N417" s="175"/>
      <c r="O417" s="116"/>
      <c r="P417" s="175"/>
      <c r="Q417" s="175"/>
      <c r="R417" s="220"/>
      <c r="S417" s="175"/>
      <c r="T417" s="175"/>
      <c r="U417" s="175"/>
      <c r="V417" s="175"/>
      <c r="W417" s="175"/>
      <c r="X417" s="116"/>
    </row>
    <row r="418" spans="1:24" s="112" customFormat="1">
      <c r="A418" s="116"/>
      <c r="B418" s="115"/>
      <c r="C418" s="115"/>
      <c r="D418" s="131"/>
      <c r="E418" s="177"/>
      <c r="F418" s="28"/>
      <c r="G418" s="118"/>
      <c r="H418" s="192"/>
      <c r="I418" s="192"/>
      <c r="J418" s="175"/>
      <c r="K418" s="192"/>
      <c r="L418" s="192"/>
      <c r="M418" s="192"/>
      <c r="N418" s="175"/>
      <c r="O418" s="116"/>
      <c r="P418" s="175"/>
      <c r="Q418" s="175"/>
      <c r="R418" s="220"/>
      <c r="S418" s="175"/>
      <c r="T418" s="175"/>
      <c r="U418" s="175"/>
      <c r="V418" s="175"/>
      <c r="W418" s="175"/>
      <c r="X418" s="116"/>
    </row>
    <row r="419" spans="1:24" s="112" customFormat="1">
      <c r="A419" s="116"/>
      <c r="B419" s="115"/>
      <c r="C419" s="115"/>
      <c r="D419" s="131"/>
      <c r="E419" s="177"/>
      <c r="F419" s="28"/>
      <c r="G419" s="118"/>
      <c r="H419" s="192"/>
      <c r="I419" s="192"/>
      <c r="J419" s="175"/>
      <c r="K419" s="192"/>
      <c r="L419" s="192"/>
      <c r="M419" s="192"/>
      <c r="N419" s="175"/>
      <c r="O419" s="116"/>
      <c r="P419" s="175"/>
      <c r="Q419" s="175"/>
      <c r="R419" s="220"/>
      <c r="S419" s="175"/>
      <c r="T419" s="175"/>
      <c r="U419" s="175"/>
      <c r="V419" s="175"/>
      <c r="W419" s="175"/>
      <c r="X419" s="116"/>
    </row>
    <row r="420" spans="1:24" s="112" customFormat="1">
      <c r="A420" s="116"/>
      <c r="B420" s="115"/>
      <c r="C420" s="115"/>
      <c r="D420" s="131"/>
      <c r="E420" s="177"/>
      <c r="F420" s="28"/>
      <c r="G420" s="118"/>
      <c r="H420" s="192"/>
      <c r="I420" s="192"/>
      <c r="J420" s="175"/>
      <c r="K420" s="192"/>
      <c r="L420" s="192"/>
      <c r="M420" s="192"/>
      <c r="N420" s="175"/>
      <c r="O420" s="116"/>
      <c r="P420" s="175"/>
      <c r="Q420" s="175"/>
      <c r="R420" s="220"/>
      <c r="S420" s="175"/>
      <c r="T420" s="175"/>
      <c r="U420" s="175"/>
      <c r="V420" s="175"/>
      <c r="W420" s="175"/>
      <c r="X420" s="116"/>
    </row>
    <row r="421" spans="1:24" s="112" customFormat="1">
      <c r="A421" s="116"/>
      <c r="B421" s="115"/>
      <c r="C421" s="115"/>
      <c r="D421" s="131"/>
      <c r="E421" s="177"/>
      <c r="F421" s="28"/>
      <c r="G421" s="118"/>
      <c r="H421" s="192"/>
      <c r="I421" s="192"/>
      <c r="J421" s="175"/>
      <c r="K421" s="192"/>
      <c r="L421" s="192"/>
      <c r="M421" s="192"/>
      <c r="N421" s="175"/>
      <c r="O421" s="116"/>
      <c r="P421" s="175"/>
      <c r="Q421" s="175"/>
      <c r="R421" s="220"/>
      <c r="S421" s="175"/>
      <c r="T421" s="175"/>
      <c r="U421" s="175"/>
      <c r="V421" s="175"/>
      <c r="W421" s="175"/>
      <c r="X421" s="116"/>
    </row>
    <row r="422" spans="1:24" s="112" customFormat="1">
      <c r="A422" s="116"/>
      <c r="B422" s="115"/>
      <c r="C422" s="115"/>
      <c r="D422" s="131"/>
      <c r="E422" s="177"/>
      <c r="F422" s="28"/>
      <c r="G422" s="118"/>
      <c r="H422" s="192"/>
      <c r="I422" s="192"/>
      <c r="J422" s="175"/>
      <c r="K422" s="192"/>
      <c r="L422" s="192"/>
      <c r="M422" s="192"/>
      <c r="N422" s="175"/>
      <c r="O422" s="116"/>
      <c r="P422" s="175"/>
      <c r="Q422" s="175"/>
      <c r="R422" s="220"/>
      <c r="S422" s="175"/>
      <c r="T422" s="175"/>
      <c r="U422" s="175"/>
      <c r="V422" s="175"/>
      <c r="W422" s="175"/>
      <c r="X422" s="116"/>
    </row>
    <row r="423" spans="1:24" s="112" customFormat="1">
      <c r="A423" s="116"/>
      <c r="B423" s="115"/>
      <c r="C423" s="115"/>
      <c r="D423" s="131"/>
      <c r="E423" s="177"/>
      <c r="F423" s="28"/>
      <c r="G423" s="118"/>
      <c r="H423" s="192"/>
      <c r="I423" s="192"/>
      <c r="J423" s="175"/>
      <c r="K423" s="192"/>
      <c r="L423" s="192"/>
      <c r="M423" s="192"/>
      <c r="N423" s="175"/>
      <c r="O423" s="116"/>
      <c r="P423" s="175"/>
      <c r="Q423" s="175"/>
      <c r="R423" s="220"/>
      <c r="S423" s="175"/>
      <c r="T423" s="175"/>
      <c r="U423" s="175"/>
      <c r="V423" s="175"/>
      <c r="W423" s="175"/>
      <c r="X423" s="116"/>
    </row>
    <row r="424" spans="1:24" s="112" customFormat="1">
      <c r="A424" s="116"/>
      <c r="B424" s="115"/>
      <c r="C424" s="115"/>
      <c r="D424" s="131"/>
      <c r="E424" s="177"/>
      <c r="F424" s="28"/>
      <c r="G424" s="118"/>
      <c r="H424" s="192"/>
      <c r="I424" s="192"/>
      <c r="J424" s="175"/>
      <c r="K424" s="192"/>
      <c r="L424" s="192"/>
      <c r="M424" s="192"/>
      <c r="N424" s="175"/>
      <c r="O424" s="116"/>
      <c r="P424" s="175"/>
      <c r="Q424" s="175"/>
      <c r="R424" s="220"/>
      <c r="S424" s="175"/>
      <c r="T424" s="175"/>
      <c r="U424" s="175"/>
      <c r="V424" s="175"/>
      <c r="W424" s="175"/>
      <c r="X424" s="116"/>
    </row>
    <row r="425" spans="1:24" s="112" customFormat="1">
      <c r="A425" s="116"/>
      <c r="B425" s="115"/>
      <c r="C425" s="115"/>
      <c r="D425" s="131"/>
      <c r="E425" s="177"/>
      <c r="F425" s="28"/>
      <c r="G425" s="118"/>
      <c r="H425" s="192"/>
      <c r="I425" s="192"/>
      <c r="J425" s="175"/>
      <c r="K425" s="192"/>
      <c r="L425" s="192"/>
      <c r="M425" s="192"/>
      <c r="N425" s="175"/>
      <c r="O425" s="116"/>
      <c r="P425" s="175"/>
      <c r="Q425" s="175"/>
      <c r="R425" s="220"/>
      <c r="S425" s="175"/>
      <c r="T425" s="175"/>
      <c r="U425" s="175"/>
      <c r="V425" s="175"/>
      <c r="W425" s="175"/>
      <c r="X425" s="116"/>
    </row>
    <row r="426" spans="1:24" s="112" customFormat="1">
      <c r="A426" s="116"/>
      <c r="B426" s="115"/>
      <c r="C426" s="115"/>
      <c r="D426" s="131"/>
      <c r="E426" s="177"/>
      <c r="F426" s="28"/>
      <c r="G426" s="118"/>
      <c r="H426" s="192"/>
      <c r="I426" s="192"/>
      <c r="J426" s="175"/>
      <c r="K426" s="192"/>
      <c r="L426" s="192"/>
      <c r="M426" s="192"/>
      <c r="N426" s="175"/>
      <c r="O426" s="116"/>
      <c r="P426" s="175"/>
      <c r="Q426" s="175"/>
      <c r="R426" s="220"/>
      <c r="S426" s="175"/>
      <c r="T426" s="175"/>
      <c r="U426" s="175"/>
      <c r="V426" s="175"/>
      <c r="W426" s="175"/>
      <c r="X426" s="116"/>
    </row>
    <row r="427" spans="1:24" s="112" customFormat="1">
      <c r="A427" s="116"/>
      <c r="B427" s="115"/>
      <c r="C427" s="115"/>
      <c r="D427" s="131"/>
      <c r="E427" s="177"/>
      <c r="F427" s="28"/>
      <c r="G427" s="118"/>
      <c r="H427" s="192"/>
      <c r="I427" s="192"/>
      <c r="J427" s="175"/>
      <c r="K427" s="192"/>
      <c r="L427" s="192"/>
      <c r="M427" s="192"/>
      <c r="N427" s="175"/>
      <c r="O427" s="116"/>
      <c r="P427" s="175"/>
      <c r="Q427" s="175"/>
      <c r="R427" s="220"/>
      <c r="S427" s="175"/>
      <c r="T427" s="175"/>
      <c r="U427" s="175"/>
      <c r="V427" s="175"/>
      <c r="W427" s="175"/>
      <c r="X427" s="116"/>
    </row>
    <row r="428" spans="1:24" s="112" customFormat="1">
      <c r="A428" s="116"/>
      <c r="B428" s="115"/>
      <c r="C428" s="115"/>
      <c r="D428" s="131"/>
      <c r="E428" s="177"/>
      <c r="F428" s="28"/>
      <c r="G428" s="118"/>
      <c r="H428" s="192"/>
      <c r="I428" s="192"/>
      <c r="J428" s="175"/>
      <c r="K428" s="192"/>
      <c r="L428" s="192"/>
      <c r="M428" s="192"/>
      <c r="N428" s="175"/>
      <c r="O428" s="116"/>
      <c r="P428" s="175"/>
      <c r="Q428" s="175"/>
      <c r="R428" s="220"/>
      <c r="S428" s="175"/>
      <c r="T428" s="175"/>
      <c r="U428" s="175"/>
      <c r="V428" s="175"/>
      <c r="W428" s="175"/>
      <c r="X428" s="116"/>
    </row>
    <row r="429" spans="1:24" s="112" customFormat="1">
      <c r="A429" s="116"/>
      <c r="B429" s="115"/>
      <c r="C429" s="115"/>
      <c r="D429" s="131"/>
      <c r="E429" s="177"/>
      <c r="F429" s="28"/>
      <c r="G429" s="118"/>
      <c r="H429" s="192"/>
      <c r="I429" s="192"/>
      <c r="J429" s="175"/>
      <c r="K429" s="192"/>
      <c r="L429" s="192"/>
      <c r="M429" s="192"/>
      <c r="N429" s="175"/>
      <c r="O429" s="116"/>
      <c r="P429" s="175"/>
      <c r="Q429" s="175"/>
      <c r="R429" s="220"/>
      <c r="S429" s="175"/>
      <c r="T429" s="175"/>
      <c r="U429" s="175"/>
      <c r="V429" s="175"/>
      <c r="W429" s="175"/>
      <c r="X429" s="116"/>
    </row>
    <row r="430" spans="1:24" s="112" customFormat="1">
      <c r="A430" s="116"/>
      <c r="B430" s="115"/>
      <c r="C430" s="115"/>
      <c r="D430" s="131"/>
      <c r="E430" s="177"/>
      <c r="F430" s="28"/>
      <c r="G430" s="118"/>
      <c r="H430" s="192"/>
      <c r="I430" s="192"/>
      <c r="J430" s="175"/>
      <c r="K430" s="192"/>
      <c r="L430" s="192"/>
      <c r="M430" s="192"/>
      <c r="N430" s="175"/>
      <c r="O430" s="116"/>
      <c r="P430" s="175"/>
      <c r="Q430" s="175"/>
      <c r="R430" s="220"/>
      <c r="S430" s="175"/>
      <c r="T430" s="175"/>
      <c r="U430" s="175"/>
      <c r="V430" s="175"/>
      <c r="W430" s="175"/>
      <c r="X430" s="116"/>
    </row>
    <row r="431" spans="1:24" s="112" customFormat="1">
      <c r="A431" s="116"/>
      <c r="B431" s="115"/>
      <c r="C431" s="115"/>
      <c r="D431" s="131"/>
      <c r="E431" s="177"/>
      <c r="F431" s="28"/>
      <c r="G431" s="118"/>
      <c r="H431" s="192"/>
      <c r="I431" s="192"/>
      <c r="J431" s="175"/>
      <c r="K431" s="192"/>
      <c r="L431" s="192"/>
      <c r="M431" s="192"/>
      <c r="N431" s="175"/>
      <c r="O431" s="116"/>
      <c r="P431" s="175"/>
      <c r="Q431" s="175"/>
      <c r="R431" s="220"/>
      <c r="S431" s="175"/>
      <c r="T431" s="175"/>
      <c r="U431" s="175"/>
      <c r="V431" s="175"/>
      <c r="W431" s="175"/>
      <c r="X431" s="116"/>
    </row>
    <row r="432" spans="1:24" s="112" customFormat="1">
      <c r="A432" s="116"/>
      <c r="B432" s="115"/>
      <c r="C432" s="115"/>
      <c r="D432" s="131"/>
      <c r="E432" s="177"/>
      <c r="F432" s="28"/>
      <c r="G432" s="118"/>
      <c r="H432" s="192"/>
      <c r="I432" s="192"/>
      <c r="J432" s="175"/>
      <c r="K432" s="192"/>
      <c r="L432" s="192"/>
      <c r="M432" s="192"/>
      <c r="N432" s="175"/>
      <c r="O432" s="116"/>
      <c r="P432" s="175"/>
      <c r="Q432" s="175"/>
      <c r="R432" s="220"/>
      <c r="S432" s="175"/>
      <c r="T432" s="175"/>
      <c r="U432" s="175"/>
      <c r="V432" s="175"/>
      <c r="W432" s="175"/>
      <c r="X432" s="116"/>
    </row>
    <row r="433" spans="1:24" s="112" customFormat="1">
      <c r="A433" s="116"/>
      <c r="B433" s="115"/>
      <c r="C433" s="115"/>
      <c r="D433" s="131"/>
      <c r="E433" s="177"/>
      <c r="F433" s="28"/>
      <c r="G433" s="118"/>
      <c r="H433" s="192"/>
      <c r="I433" s="192"/>
      <c r="J433" s="175"/>
      <c r="K433" s="192"/>
      <c r="L433" s="192"/>
      <c r="M433" s="192"/>
      <c r="N433" s="175"/>
      <c r="O433" s="116"/>
      <c r="P433" s="175"/>
      <c r="Q433" s="175"/>
      <c r="R433" s="220"/>
      <c r="S433" s="175"/>
      <c r="T433" s="175"/>
      <c r="U433" s="175"/>
      <c r="V433" s="175"/>
      <c r="W433" s="175"/>
      <c r="X433" s="116"/>
    </row>
    <row r="434" spans="1:24" s="112" customFormat="1">
      <c r="A434" s="116"/>
      <c r="B434" s="115"/>
      <c r="C434" s="115"/>
      <c r="D434" s="131"/>
      <c r="E434" s="177"/>
      <c r="F434" s="28"/>
      <c r="G434" s="118"/>
      <c r="H434" s="192"/>
      <c r="I434" s="192"/>
      <c r="J434" s="175"/>
      <c r="K434" s="192"/>
      <c r="L434" s="192"/>
      <c r="M434" s="192"/>
      <c r="N434" s="175"/>
      <c r="O434" s="116"/>
      <c r="P434" s="175"/>
      <c r="Q434" s="175"/>
      <c r="R434" s="220"/>
      <c r="S434" s="175"/>
      <c r="T434" s="175"/>
      <c r="U434" s="175"/>
      <c r="V434" s="175"/>
      <c r="W434" s="175"/>
      <c r="X434" s="116"/>
    </row>
    <row r="435" spans="1:24" s="112" customFormat="1">
      <c r="A435" s="116"/>
      <c r="B435" s="115"/>
      <c r="C435" s="115"/>
      <c r="D435" s="131"/>
      <c r="E435" s="177"/>
      <c r="F435" s="28"/>
      <c r="G435" s="118"/>
      <c r="H435" s="192"/>
      <c r="I435" s="192"/>
      <c r="J435" s="175"/>
      <c r="K435" s="192"/>
      <c r="L435" s="192"/>
      <c r="M435" s="192"/>
      <c r="N435" s="175"/>
      <c r="O435" s="116"/>
      <c r="P435" s="175"/>
      <c r="Q435" s="175"/>
      <c r="R435" s="220"/>
      <c r="S435" s="175"/>
      <c r="T435" s="175"/>
      <c r="U435" s="175"/>
      <c r="V435" s="175"/>
      <c r="W435" s="175"/>
      <c r="X435" s="116"/>
    </row>
    <row r="436" spans="1:24" s="112" customFormat="1">
      <c r="A436" s="116"/>
      <c r="B436" s="115"/>
      <c r="C436" s="115"/>
      <c r="D436" s="131"/>
      <c r="E436" s="177"/>
      <c r="F436" s="28"/>
      <c r="G436" s="118"/>
      <c r="H436" s="192"/>
      <c r="I436" s="192"/>
      <c r="J436" s="175"/>
      <c r="K436" s="192"/>
      <c r="L436" s="192"/>
      <c r="M436" s="192"/>
      <c r="N436" s="175"/>
      <c r="O436" s="116"/>
      <c r="P436" s="175"/>
      <c r="Q436" s="175"/>
      <c r="R436" s="220"/>
      <c r="S436" s="175"/>
      <c r="T436" s="175"/>
      <c r="U436" s="175"/>
      <c r="V436" s="175"/>
      <c r="W436" s="175"/>
      <c r="X436" s="116"/>
    </row>
    <row r="437" spans="1:24" s="112" customFormat="1">
      <c r="A437" s="116"/>
      <c r="B437" s="115"/>
      <c r="C437" s="115"/>
      <c r="D437" s="131"/>
      <c r="E437" s="177"/>
      <c r="F437" s="28"/>
      <c r="G437" s="118"/>
      <c r="H437" s="192"/>
      <c r="I437" s="192"/>
      <c r="J437" s="175"/>
      <c r="K437" s="192"/>
      <c r="L437" s="192"/>
      <c r="M437" s="192"/>
      <c r="N437" s="175"/>
      <c r="O437" s="116"/>
      <c r="P437" s="175"/>
      <c r="Q437" s="175"/>
      <c r="R437" s="220"/>
      <c r="S437" s="175"/>
      <c r="T437" s="175"/>
      <c r="U437" s="175"/>
      <c r="V437" s="175"/>
      <c r="W437" s="175"/>
      <c r="X437" s="116"/>
    </row>
    <row r="438" spans="1:24" s="112" customFormat="1">
      <c r="A438" s="116"/>
      <c r="B438" s="115"/>
      <c r="C438" s="115"/>
      <c r="D438" s="131"/>
      <c r="E438" s="177"/>
      <c r="F438" s="28"/>
      <c r="G438" s="118"/>
      <c r="H438" s="192"/>
      <c r="I438" s="192"/>
      <c r="J438" s="175"/>
      <c r="K438" s="192"/>
      <c r="L438" s="192"/>
      <c r="M438" s="192"/>
      <c r="N438" s="175"/>
      <c r="O438" s="116"/>
      <c r="P438" s="175"/>
      <c r="Q438" s="175"/>
      <c r="R438" s="220"/>
      <c r="S438" s="175"/>
      <c r="T438" s="175"/>
      <c r="U438" s="175"/>
      <c r="V438" s="175"/>
      <c r="W438" s="175"/>
      <c r="X438" s="116"/>
    </row>
    <row r="439" spans="1:24" s="112" customFormat="1">
      <c r="A439" s="116"/>
      <c r="B439" s="115"/>
      <c r="C439" s="115"/>
      <c r="D439" s="131"/>
      <c r="E439" s="177"/>
      <c r="F439" s="28"/>
      <c r="G439" s="118"/>
      <c r="H439" s="192"/>
      <c r="I439" s="192"/>
      <c r="J439" s="175"/>
      <c r="K439" s="192"/>
      <c r="L439" s="192"/>
      <c r="M439" s="192"/>
      <c r="N439" s="175"/>
      <c r="O439" s="116"/>
      <c r="P439" s="175"/>
      <c r="Q439" s="175"/>
      <c r="R439" s="220"/>
      <c r="S439" s="175"/>
      <c r="T439" s="175"/>
      <c r="U439" s="175"/>
      <c r="V439" s="175"/>
      <c r="W439" s="175"/>
      <c r="X439" s="116"/>
    </row>
    <row r="440" spans="1:24" s="112" customFormat="1">
      <c r="A440" s="116"/>
      <c r="B440" s="115"/>
      <c r="C440" s="115"/>
      <c r="D440" s="131"/>
      <c r="E440" s="177"/>
      <c r="F440" s="28"/>
      <c r="G440" s="118"/>
      <c r="H440" s="192"/>
      <c r="I440" s="192"/>
      <c r="J440" s="175"/>
      <c r="K440" s="192"/>
      <c r="L440" s="192"/>
      <c r="M440" s="192"/>
      <c r="N440" s="175"/>
      <c r="O440" s="116"/>
      <c r="P440" s="175"/>
      <c r="Q440" s="175"/>
      <c r="R440" s="220"/>
      <c r="S440" s="175"/>
      <c r="T440" s="175"/>
      <c r="U440" s="175"/>
      <c r="V440" s="175"/>
      <c r="W440" s="175"/>
      <c r="X440" s="116"/>
    </row>
    <row r="441" spans="1:24" s="112" customFormat="1">
      <c r="A441" s="116"/>
      <c r="B441" s="115"/>
      <c r="C441" s="115"/>
      <c r="D441" s="131"/>
      <c r="E441" s="177"/>
      <c r="F441" s="28"/>
      <c r="G441" s="118"/>
      <c r="H441" s="192"/>
      <c r="I441" s="192"/>
      <c r="J441" s="175"/>
      <c r="K441" s="192"/>
      <c r="L441" s="192"/>
      <c r="M441" s="192"/>
      <c r="N441" s="175"/>
      <c r="O441" s="116"/>
      <c r="P441" s="175"/>
      <c r="Q441" s="175"/>
      <c r="R441" s="220"/>
      <c r="S441" s="175"/>
      <c r="T441" s="175"/>
      <c r="U441" s="175"/>
      <c r="V441" s="175"/>
      <c r="W441" s="175"/>
      <c r="X441" s="116"/>
    </row>
    <row r="442" spans="1:24" s="112" customFormat="1">
      <c r="A442" s="116"/>
      <c r="B442" s="115"/>
      <c r="C442" s="115"/>
      <c r="D442" s="131"/>
      <c r="E442" s="177"/>
      <c r="F442" s="28"/>
      <c r="G442" s="118"/>
      <c r="H442" s="192"/>
      <c r="I442" s="192"/>
      <c r="J442" s="175"/>
      <c r="K442" s="192"/>
      <c r="L442" s="192"/>
      <c r="M442" s="192"/>
      <c r="N442" s="175"/>
      <c r="O442" s="116"/>
      <c r="P442" s="175"/>
      <c r="Q442" s="175"/>
      <c r="R442" s="220"/>
      <c r="S442" s="175"/>
      <c r="T442" s="175"/>
      <c r="U442" s="175"/>
      <c r="V442" s="175"/>
      <c r="W442" s="175"/>
      <c r="X442" s="116"/>
    </row>
    <row r="443" spans="1:24" s="112" customFormat="1">
      <c r="A443" s="116"/>
      <c r="B443" s="115"/>
      <c r="C443" s="115"/>
      <c r="D443" s="131"/>
      <c r="E443" s="177"/>
      <c r="F443" s="28"/>
      <c r="G443" s="118"/>
      <c r="H443" s="192"/>
      <c r="I443" s="192"/>
      <c r="J443" s="175"/>
      <c r="K443" s="192"/>
      <c r="L443" s="192"/>
      <c r="M443" s="192"/>
      <c r="N443" s="175"/>
      <c r="O443" s="116"/>
      <c r="P443" s="175"/>
      <c r="Q443" s="175"/>
      <c r="R443" s="220"/>
      <c r="S443" s="175"/>
      <c r="T443" s="175"/>
      <c r="U443" s="175"/>
      <c r="V443" s="175"/>
      <c r="W443" s="175"/>
      <c r="X443" s="116"/>
    </row>
    <row r="444" spans="1:24" s="112" customFormat="1">
      <c r="A444" s="116"/>
      <c r="B444" s="115"/>
      <c r="C444" s="115"/>
      <c r="D444" s="131"/>
      <c r="E444" s="177"/>
      <c r="F444" s="28"/>
      <c r="G444" s="118"/>
      <c r="H444" s="192"/>
      <c r="I444" s="192"/>
      <c r="J444" s="175"/>
      <c r="K444" s="192"/>
      <c r="L444" s="192"/>
      <c r="M444" s="192"/>
      <c r="N444" s="175"/>
      <c r="O444" s="116"/>
      <c r="P444" s="175"/>
      <c r="Q444" s="175"/>
      <c r="R444" s="220"/>
      <c r="S444" s="175"/>
      <c r="T444" s="175"/>
      <c r="U444" s="175"/>
      <c r="V444" s="175"/>
      <c r="W444" s="175"/>
      <c r="X444" s="116"/>
    </row>
    <row r="445" spans="1:24" s="112" customFormat="1">
      <c r="A445" s="116"/>
      <c r="B445" s="115"/>
      <c r="C445" s="115"/>
      <c r="D445" s="131"/>
      <c r="E445" s="177"/>
      <c r="F445" s="28"/>
      <c r="G445" s="118"/>
      <c r="H445" s="192"/>
      <c r="I445" s="192"/>
      <c r="J445" s="175"/>
      <c r="K445" s="192"/>
      <c r="L445" s="192"/>
      <c r="M445" s="192"/>
      <c r="N445" s="175"/>
      <c r="O445" s="116"/>
      <c r="P445" s="175"/>
      <c r="Q445" s="175"/>
      <c r="R445" s="220"/>
      <c r="S445" s="175"/>
      <c r="T445" s="175"/>
      <c r="U445" s="175"/>
      <c r="V445" s="175"/>
      <c r="W445" s="175"/>
      <c r="X445" s="116"/>
    </row>
    <row r="446" spans="1:24" s="112" customFormat="1">
      <c r="A446" s="116"/>
      <c r="B446" s="115"/>
      <c r="C446" s="115"/>
      <c r="D446" s="131"/>
      <c r="E446" s="177"/>
      <c r="F446" s="28"/>
      <c r="G446" s="118"/>
      <c r="H446" s="192"/>
      <c r="I446" s="192"/>
      <c r="J446" s="175"/>
      <c r="K446" s="192"/>
      <c r="L446" s="192"/>
      <c r="M446" s="192"/>
      <c r="N446" s="175"/>
      <c r="O446" s="116"/>
      <c r="P446" s="175"/>
      <c r="Q446" s="175"/>
      <c r="R446" s="220"/>
      <c r="S446" s="175"/>
      <c r="T446" s="175"/>
      <c r="U446" s="175"/>
      <c r="V446" s="175"/>
      <c r="W446" s="175"/>
      <c r="X446" s="116"/>
    </row>
    <row r="447" spans="1:24" s="112" customFormat="1">
      <c r="A447" s="116"/>
      <c r="B447" s="115"/>
      <c r="C447" s="115"/>
      <c r="D447" s="131"/>
      <c r="E447" s="177"/>
      <c r="F447" s="28"/>
      <c r="G447" s="118"/>
      <c r="H447" s="192"/>
      <c r="I447" s="192"/>
      <c r="J447" s="175"/>
      <c r="K447" s="192"/>
      <c r="L447" s="192"/>
      <c r="M447" s="192"/>
      <c r="N447" s="175"/>
      <c r="O447" s="116"/>
      <c r="P447" s="175"/>
      <c r="Q447" s="175"/>
      <c r="R447" s="220"/>
      <c r="S447" s="175"/>
      <c r="T447" s="175"/>
      <c r="U447" s="175"/>
      <c r="V447" s="175"/>
      <c r="W447" s="175"/>
      <c r="X447" s="116"/>
    </row>
    <row r="448" spans="1:24" s="112" customFormat="1">
      <c r="A448" s="116"/>
      <c r="B448" s="115"/>
      <c r="C448" s="115"/>
      <c r="D448" s="131"/>
      <c r="E448" s="177"/>
      <c r="F448" s="28"/>
      <c r="G448" s="118"/>
      <c r="H448" s="192"/>
      <c r="I448" s="192"/>
      <c r="J448" s="175"/>
      <c r="K448" s="192"/>
      <c r="L448" s="192"/>
      <c r="M448" s="192"/>
      <c r="N448" s="175"/>
      <c r="O448" s="116"/>
      <c r="P448" s="175"/>
      <c r="Q448" s="175"/>
      <c r="R448" s="220"/>
      <c r="S448" s="175"/>
      <c r="T448" s="175"/>
      <c r="U448" s="175"/>
      <c r="V448" s="175"/>
      <c r="W448" s="175"/>
      <c r="X448" s="116"/>
    </row>
    <row r="449" spans="1:24" s="112" customFormat="1">
      <c r="A449" s="116"/>
      <c r="B449" s="115"/>
      <c r="C449" s="115"/>
      <c r="D449" s="131"/>
      <c r="E449" s="177"/>
      <c r="F449" s="28"/>
      <c r="G449" s="118"/>
      <c r="H449" s="192"/>
      <c r="I449" s="192"/>
      <c r="J449" s="175"/>
      <c r="K449" s="192"/>
      <c r="L449" s="192"/>
      <c r="M449" s="192"/>
      <c r="N449" s="175"/>
      <c r="O449" s="116"/>
      <c r="P449" s="175"/>
      <c r="Q449" s="175"/>
      <c r="R449" s="220"/>
      <c r="S449" s="175"/>
      <c r="T449" s="175"/>
      <c r="U449" s="175"/>
      <c r="V449" s="175"/>
      <c r="W449" s="175"/>
      <c r="X449" s="116"/>
    </row>
    <row r="450" spans="1:24" s="112" customFormat="1">
      <c r="A450" s="116"/>
      <c r="B450" s="115"/>
      <c r="C450" s="115"/>
      <c r="D450" s="131"/>
      <c r="E450" s="177"/>
      <c r="F450" s="28"/>
      <c r="G450" s="118"/>
      <c r="H450" s="192"/>
      <c r="I450" s="192"/>
      <c r="J450" s="175"/>
      <c r="K450" s="192"/>
      <c r="L450" s="192"/>
      <c r="M450" s="192"/>
      <c r="N450" s="175"/>
      <c r="O450" s="116"/>
      <c r="P450" s="175"/>
      <c r="Q450" s="175"/>
      <c r="R450" s="220"/>
      <c r="S450" s="175"/>
      <c r="T450" s="175"/>
      <c r="U450" s="175"/>
      <c r="V450" s="175"/>
      <c r="W450" s="175"/>
      <c r="X450" s="116"/>
    </row>
    <row r="451" spans="1:24" s="112" customFormat="1">
      <c r="A451" s="116"/>
      <c r="B451" s="115"/>
      <c r="C451" s="115"/>
      <c r="D451" s="131"/>
      <c r="E451" s="177"/>
      <c r="F451" s="28"/>
      <c r="G451" s="118"/>
      <c r="H451" s="192"/>
      <c r="I451" s="192"/>
      <c r="J451" s="175"/>
      <c r="K451" s="192"/>
      <c r="L451" s="192"/>
      <c r="M451" s="192"/>
      <c r="N451" s="175"/>
      <c r="O451" s="116"/>
      <c r="P451" s="175"/>
      <c r="Q451" s="175"/>
      <c r="R451" s="220"/>
      <c r="S451" s="175"/>
      <c r="T451" s="175"/>
      <c r="U451" s="175"/>
      <c r="V451" s="175"/>
      <c r="W451" s="175"/>
      <c r="X451" s="116"/>
    </row>
    <row r="452" spans="1:24" s="112" customFormat="1">
      <c r="A452" s="116"/>
      <c r="B452" s="115"/>
      <c r="C452" s="115"/>
      <c r="D452" s="131"/>
      <c r="E452" s="177"/>
      <c r="F452" s="28"/>
      <c r="G452" s="118"/>
      <c r="H452" s="192"/>
      <c r="I452" s="192"/>
      <c r="J452" s="175"/>
      <c r="K452" s="192"/>
      <c r="L452" s="192"/>
      <c r="M452" s="192"/>
      <c r="N452" s="175"/>
      <c r="O452" s="116"/>
      <c r="P452" s="175"/>
      <c r="Q452" s="175"/>
      <c r="R452" s="220"/>
      <c r="S452" s="175"/>
      <c r="T452" s="175"/>
      <c r="U452" s="175"/>
      <c r="V452" s="175"/>
      <c r="W452" s="175"/>
      <c r="X452" s="116"/>
    </row>
    <row r="453" spans="1:24" s="112" customFormat="1">
      <c r="A453" s="116"/>
      <c r="B453" s="115"/>
      <c r="C453" s="115"/>
      <c r="D453" s="131"/>
      <c r="E453" s="177"/>
      <c r="F453" s="28"/>
      <c r="G453" s="118"/>
      <c r="H453" s="192"/>
      <c r="I453" s="192"/>
      <c r="J453" s="175"/>
      <c r="K453" s="192"/>
      <c r="L453" s="192"/>
      <c r="M453" s="192"/>
      <c r="N453" s="175"/>
      <c r="O453" s="116"/>
      <c r="P453" s="175"/>
      <c r="Q453" s="175"/>
      <c r="R453" s="220"/>
      <c r="S453" s="175"/>
      <c r="T453" s="175"/>
      <c r="U453" s="175"/>
      <c r="V453" s="175"/>
      <c r="W453" s="175"/>
      <c r="X453" s="116"/>
    </row>
    <row r="454" spans="1:24" s="112" customFormat="1">
      <c r="A454" s="116"/>
      <c r="B454" s="115"/>
      <c r="C454" s="115"/>
      <c r="D454" s="131"/>
      <c r="E454" s="177"/>
      <c r="F454" s="28"/>
      <c r="G454" s="118"/>
      <c r="H454" s="192"/>
      <c r="I454" s="192"/>
      <c r="J454" s="175"/>
      <c r="K454" s="192"/>
      <c r="L454" s="192"/>
      <c r="M454" s="192"/>
      <c r="N454" s="175"/>
      <c r="O454" s="116"/>
      <c r="P454" s="175"/>
      <c r="Q454" s="175"/>
      <c r="R454" s="220"/>
      <c r="S454" s="175"/>
      <c r="T454" s="175"/>
      <c r="U454" s="175"/>
      <c r="V454" s="175"/>
      <c r="W454" s="175"/>
      <c r="X454" s="116"/>
    </row>
    <row r="455" spans="1:24" s="112" customFormat="1">
      <c r="A455" s="116"/>
      <c r="B455" s="115"/>
      <c r="C455" s="115"/>
      <c r="D455" s="131"/>
      <c r="E455" s="177"/>
      <c r="F455" s="28"/>
      <c r="G455" s="118"/>
      <c r="H455" s="192"/>
      <c r="I455" s="192"/>
      <c r="J455" s="175"/>
      <c r="K455" s="192"/>
      <c r="L455" s="192"/>
      <c r="M455" s="192"/>
      <c r="N455" s="175"/>
      <c r="O455" s="116"/>
      <c r="P455" s="175"/>
      <c r="Q455" s="175"/>
      <c r="R455" s="220"/>
      <c r="S455" s="175"/>
      <c r="T455" s="175"/>
      <c r="U455" s="175"/>
      <c r="V455" s="175"/>
      <c r="W455" s="175"/>
      <c r="X455" s="116"/>
    </row>
    <row r="456" spans="1:24" s="112" customFormat="1">
      <c r="A456" s="116"/>
      <c r="B456" s="115"/>
      <c r="C456" s="115"/>
      <c r="D456" s="131"/>
      <c r="E456" s="177"/>
      <c r="F456" s="28"/>
      <c r="G456" s="118"/>
      <c r="H456" s="192"/>
      <c r="I456" s="192"/>
      <c r="J456" s="175"/>
      <c r="K456" s="192"/>
      <c r="L456" s="192"/>
      <c r="M456" s="192"/>
      <c r="N456" s="175"/>
      <c r="O456" s="116"/>
      <c r="P456" s="175"/>
      <c r="Q456" s="175"/>
      <c r="R456" s="220"/>
      <c r="S456" s="175"/>
      <c r="T456" s="175"/>
      <c r="U456" s="175"/>
      <c r="V456" s="175"/>
      <c r="W456" s="175"/>
      <c r="X456" s="116"/>
    </row>
    <row r="457" spans="1:24" s="112" customFormat="1">
      <c r="A457" s="116"/>
      <c r="B457" s="115"/>
      <c r="C457" s="115"/>
      <c r="D457" s="131"/>
      <c r="E457" s="177"/>
      <c r="F457" s="28"/>
      <c r="G457" s="118"/>
      <c r="H457" s="192"/>
      <c r="I457" s="192"/>
      <c r="J457" s="175"/>
      <c r="K457" s="192"/>
      <c r="L457" s="192"/>
      <c r="M457" s="192"/>
      <c r="N457" s="175"/>
      <c r="O457" s="116"/>
      <c r="P457" s="175"/>
      <c r="Q457" s="175"/>
      <c r="R457" s="220"/>
      <c r="S457" s="175"/>
      <c r="T457" s="175"/>
      <c r="U457" s="175"/>
      <c r="V457" s="175"/>
      <c r="W457" s="175"/>
      <c r="X457" s="116"/>
    </row>
    <row r="458" spans="1:24" s="112" customFormat="1">
      <c r="A458" s="116"/>
      <c r="B458" s="115"/>
      <c r="C458" s="115"/>
      <c r="D458" s="131"/>
      <c r="E458" s="177"/>
      <c r="F458" s="28"/>
      <c r="G458" s="118"/>
      <c r="H458" s="192"/>
      <c r="I458" s="192"/>
      <c r="J458" s="175"/>
      <c r="K458" s="192"/>
      <c r="L458" s="192"/>
      <c r="M458" s="192"/>
      <c r="N458" s="175"/>
      <c r="O458" s="116"/>
      <c r="P458" s="175"/>
      <c r="Q458" s="175"/>
      <c r="R458" s="220"/>
      <c r="S458" s="175"/>
      <c r="T458" s="175"/>
      <c r="U458" s="175"/>
      <c r="V458" s="175"/>
      <c r="W458" s="175"/>
      <c r="X458" s="116"/>
    </row>
    <row r="459" spans="1:24" s="112" customFormat="1">
      <c r="A459" s="116"/>
      <c r="B459" s="115"/>
      <c r="C459" s="115"/>
      <c r="D459" s="131"/>
      <c r="E459" s="177"/>
      <c r="F459" s="28"/>
      <c r="G459" s="118"/>
      <c r="H459" s="192"/>
      <c r="I459" s="192"/>
      <c r="J459" s="175"/>
      <c r="K459" s="192"/>
      <c r="L459" s="192"/>
      <c r="M459" s="192"/>
      <c r="N459" s="175"/>
      <c r="O459" s="116"/>
      <c r="P459" s="175"/>
      <c r="Q459" s="175"/>
      <c r="R459" s="220"/>
      <c r="S459" s="175"/>
      <c r="T459" s="175"/>
      <c r="U459" s="175"/>
      <c r="V459" s="175"/>
      <c r="W459" s="175"/>
      <c r="X459" s="116"/>
    </row>
    <row r="460" spans="1:24" s="112" customFormat="1">
      <c r="A460" s="116"/>
      <c r="B460" s="115"/>
      <c r="C460" s="115"/>
      <c r="D460" s="131"/>
      <c r="E460" s="177"/>
      <c r="F460" s="28"/>
      <c r="G460" s="118"/>
      <c r="H460" s="192"/>
      <c r="I460" s="192"/>
      <c r="J460" s="175"/>
      <c r="K460" s="192"/>
      <c r="L460" s="192"/>
      <c r="M460" s="192"/>
      <c r="N460" s="175"/>
      <c r="O460" s="116"/>
      <c r="P460" s="175"/>
      <c r="Q460" s="175"/>
      <c r="R460" s="220"/>
      <c r="S460" s="175"/>
      <c r="T460" s="175"/>
      <c r="U460" s="175"/>
      <c r="V460" s="175"/>
      <c r="W460" s="175"/>
      <c r="X460" s="116"/>
    </row>
    <row r="461" spans="1:24" s="112" customFormat="1">
      <c r="A461" s="116"/>
      <c r="B461" s="115"/>
      <c r="C461" s="115"/>
      <c r="D461" s="131"/>
      <c r="E461" s="177"/>
      <c r="F461" s="28"/>
      <c r="G461" s="118"/>
      <c r="H461" s="192"/>
      <c r="I461" s="192"/>
      <c r="J461" s="175"/>
      <c r="K461" s="192"/>
      <c r="L461" s="192"/>
      <c r="M461" s="192"/>
      <c r="N461" s="175"/>
      <c r="O461" s="116"/>
      <c r="P461" s="175"/>
      <c r="Q461" s="175"/>
      <c r="R461" s="220"/>
      <c r="S461" s="175"/>
      <c r="T461" s="175"/>
      <c r="U461" s="175"/>
      <c r="V461" s="175"/>
      <c r="W461" s="175"/>
      <c r="X461" s="116"/>
    </row>
    <row r="462" spans="1:24" s="112" customFormat="1">
      <c r="A462" s="116"/>
      <c r="B462" s="115"/>
      <c r="C462" s="115"/>
      <c r="D462" s="131"/>
      <c r="E462" s="177"/>
      <c r="F462" s="28"/>
      <c r="G462" s="118"/>
      <c r="H462" s="192"/>
      <c r="I462" s="192"/>
      <c r="J462" s="175"/>
      <c r="K462" s="192"/>
      <c r="L462" s="192"/>
      <c r="M462" s="192"/>
      <c r="N462" s="175"/>
      <c r="O462" s="116"/>
      <c r="P462" s="175"/>
      <c r="Q462" s="175"/>
      <c r="R462" s="220"/>
      <c r="S462" s="175"/>
      <c r="T462" s="175"/>
      <c r="U462" s="175"/>
      <c r="V462" s="175"/>
      <c r="W462" s="175"/>
      <c r="X462" s="116"/>
    </row>
    <row r="463" spans="1:24" s="112" customFormat="1">
      <c r="A463" s="116"/>
      <c r="B463" s="115"/>
      <c r="C463" s="115"/>
      <c r="D463" s="131"/>
      <c r="E463" s="177"/>
      <c r="F463" s="28"/>
      <c r="G463" s="118"/>
      <c r="H463" s="192"/>
      <c r="I463" s="192"/>
      <c r="J463" s="175"/>
      <c r="K463" s="192"/>
      <c r="L463" s="192"/>
      <c r="M463" s="192"/>
      <c r="N463" s="175"/>
      <c r="O463" s="116"/>
      <c r="P463" s="175"/>
      <c r="Q463" s="175"/>
      <c r="R463" s="220"/>
      <c r="S463" s="175"/>
      <c r="T463" s="175"/>
      <c r="U463" s="175"/>
      <c r="V463" s="175"/>
      <c r="W463" s="175"/>
      <c r="X463" s="116"/>
    </row>
    <row r="464" spans="1:24" s="112" customFormat="1">
      <c r="A464" s="116"/>
      <c r="B464" s="115"/>
      <c r="C464" s="115"/>
      <c r="D464" s="131"/>
      <c r="E464" s="177"/>
      <c r="F464" s="28"/>
      <c r="G464" s="118"/>
      <c r="H464" s="192"/>
      <c r="I464" s="192"/>
      <c r="J464" s="175"/>
      <c r="K464" s="192"/>
      <c r="L464" s="192"/>
      <c r="M464" s="192"/>
      <c r="N464" s="175"/>
      <c r="O464" s="116"/>
      <c r="P464" s="175"/>
      <c r="Q464" s="175"/>
      <c r="R464" s="220"/>
      <c r="S464" s="175"/>
      <c r="T464" s="175"/>
      <c r="U464" s="175"/>
      <c r="V464" s="175"/>
      <c r="W464" s="175"/>
      <c r="X464" s="116"/>
    </row>
    <row r="465" spans="1:24" s="112" customFormat="1">
      <c r="A465" s="116"/>
      <c r="B465" s="115"/>
      <c r="C465" s="115"/>
      <c r="D465" s="131"/>
      <c r="E465" s="177"/>
      <c r="F465" s="28"/>
      <c r="G465" s="118"/>
      <c r="H465" s="192"/>
      <c r="I465" s="192"/>
      <c r="J465" s="175"/>
      <c r="K465" s="192"/>
      <c r="L465" s="192"/>
      <c r="M465" s="192"/>
      <c r="N465" s="175"/>
      <c r="O465" s="116"/>
      <c r="P465" s="175"/>
      <c r="Q465" s="175"/>
      <c r="R465" s="220"/>
      <c r="S465" s="175"/>
      <c r="T465" s="175"/>
      <c r="U465" s="175"/>
      <c r="V465" s="175"/>
      <c r="W465" s="175"/>
      <c r="X465" s="116"/>
    </row>
    <row r="466" spans="1:24" s="112" customFormat="1">
      <c r="A466" s="116"/>
      <c r="B466" s="115"/>
      <c r="C466" s="115"/>
      <c r="D466" s="131"/>
      <c r="E466" s="177"/>
      <c r="F466" s="28"/>
      <c r="G466" s="118"/>
      <c r="H466" s="192"/>
      <c r="I466" s="192"/>
      <c r="J466" s="175"/>
      <c r="K466" s="192"/>
      <c r="L466" s="192"/>
      <c r="M466" s="192"/>
      <c r="N466" s="175"/>
      <c r="O466" s="116"/>
      <c r="P466" s="175"/>
      <c r="Q466" s="175"/>
      <c r="R466" s="220"/>
      <c r="S466" s="175"/>
      <c r="T466" s="175"/>
      <c r="U466" s="175"/>
      <c r="V466" s="175"/>
      <c r="W466" s="175"/>
      <c r="X466" s="116"/>
    </row>
    <row r="467" spans="1:24" s="112" customFormat="1">
      <c r="A467" s="116"/>
      <c r="B467" s="115"/>
      <c r="C467" s="115"/>
      <c r="D467" s="131"/>
      <c r="E467" s="177"/>
      <c r="F467" s="28"/>
      <c r="G467" s="118"/>
      <c r="H467" s="192"/>
      <c r="I467" s="192"/>
      <c r="J467" s="175"/>
      <c r="K467" s="192"/>
      <c r="L467" s="192"/>
      <c r="M467" s="192"/>
      <c r="N467" s="175"/>
      <c r="O467" s="116"/>
      <c r="P467" s="175"/>
      <c r="Q467" s="175"/>
      <c r="R467" s="220"/>
      <c r="S467" s="175"/>
      <c r="T467" s="175"/>
      <c r="U467" s="175"/>
      <c r="V467" s="175"/>
      <c r="W467" s="175"/>
      <c r="X467" s="116"/>
    </row>
    <row r="468" spans="1:24" s="112" customFormat="1">
      <c r="A468" s="116"/>
      <c r="B468" s="115"/>
      <c r="C468" s="115"/>
      <c r="D468" s="131"/>
      <c r="E468" s="177"/>
      <c r="F468" s="28"/>
      <c r="G468" s="118"/>
      <c r="H468" s="192"/>
      <c r="I468" s="192"/>
      <c r="J468" s="175"/>
      <c r="K468" s="192"/>
      <c r="L468" s="192"/>
      <c r="M468" s="192"/>
      <c r="N468" s="175"/>
      <c r="O468" s="116"/>
      <c r="P468" s="175"/>
      <c r="Q468" s="175"/>
      <c r="R468" s="220"/>
      <c r="S468" s="175"/>
      <c r="T468" s="175"/>
      <c r="U468" s="175"/>
      <c r="V468" s="175"/>
      <c r="W468" s="175"/>
      <c r="X468" s="116"/>
    </row>
    <row r="469" spans="1:24" s="112" customFormat="1">
      <c r="A469" s="116"/>
      <c r="B469" s="115"/>
      <c r="C469" s="115"/>
      <c r="D469" s="131"/>
      <c r="E469" s="177"/>
      <c r="F469" s="28"/>
      <c r="G469" s="118"/>
      <c r="H469" s="192"/>
      <c r="I469" s="192"/>
      <c r="J469" s="175"/>
      <c r="K469" s="192"/>
      <c r="L469" s="192"/>
      <c r="M469" s="192"/>
      <c r="N469" s="175"/>
      <c r="O469" s="116"/>
      <c r="P469" s="175"/>
      <c r="Q469" s="175"/>
      <c r="R469" s="220"/>
      <c r="S469" s="175"/>
      <c r="T469" s="175"/>
      <c r="U469" s="175"/>
      <c r="V469" s="175"/>
      <c r="W469" s="175"/>
      <c r="X469" s="116"/>
    </row>
    <row r="470" spans="1:24" s="112" customFormat="1">
      <c r="A470" s="116"/>
      <c r="B470" s="115"/>
      <c r="C470" s="115"/>
      <c r="D470" s="131"/>
      <c r="E470" s="177"/>
      <c r="F470" s="28"/>
      <c r="G470" s="118"/>
      <c r="H470" s="192"/>
      <c r="I470" s="192"/>
      <c r="J470" s="175"/>
      <c r="K470" s="192"/>
      <c r="L470" s="192"/>
      <c r="M470" s="192"/>
      <c r="N470" s="175"/>
      <c r="O470" s="116"/>
      <c r="P470" s="175"/>
      <c r="Q470" s="175"/>
      <c r="R470" s="220"/>
      <c r="S470" s="175"/>
      <c r="T470" s="175"/>
      <c r="U470" s="175"/>
      <c r="V470" s="175"/>
      <c r="W470" s="175"/>
      <c r="X470" s="116"/>
    </row>
    <row r="471" spans="1:24" s="112" customFormat="1">
      <c r="A471" s="116"/>
      <c r="B471" s="115"/>
      <c r="C471" s="115"/>
      <c r="D471" s="131"/>
      <c r="E471" s="177"/>
      <c r="F471" s="28"/>
      <c r="G471" s="118"/>
      <c r="H471" s="192"/>
      <c r="I471" s="192"/>
      <c r="J471" s="175"/>
      <c r="K471" s="192"/>
      <c r="L471" s="192"/>
      <c r="M471" s="192"/>
      <c r="N471" s="175"/>
      <c r="O471" s="116"/>
      <c r="P471" s="175"/>
      <c r="Q471" s="175"/>
      <c r="R471" s="220"/>
      <c r="S471" s="175"/>
      <c r="T471" s="175"/>
      <c r="U471" s="175"/>
      <c r="V471" s="175"/>
      <c r="W471" s="175"/>
      <c r="X471" s="116"/>
    </row>
    <row r="472" spans="1:24" s="112" customFormat="1">
      <c r="A472" s="116"/>
      <c r="B472" s="115"/>
      <c r="C472" s="115"/>
      <c r="D472" s="131"/>
      <c r="E472" s="177"/>
      <c r="F472" s="28"/>
      <c r="G472" s="118"/>
      <c r="H472" s="192"/>
      <c r="I472" s="192"/>
      <c r="J472" s="175"/>
      <c r="K472" s="192"/>
      <c r="L472" s="192"/>
      <c r="M472" s="192"/>
      <c r="N472" s="175"/>
      <c r="O472" s="116"/>
      <c r="P472" s="175"/>
      <c r="Q472" s="175"/>
      <c r="R472" s="220"/>
      <c r="S472" s="175"/>
      <c r="T472" s="175"/>
      <c r="U472" s="175"/>
      <c r="V472" s="175"/>
      <c r="W472" s="175"/>
      <c r="X472" s="116"/>
    </row>
    <row r="473" spans="1:24" s="112" customFormat="1">
      <c r="A473" s="116"/>
      <c r="B473" s="115"/>
      <c r="C473" s="115"/>
      <c r="D473" s="131"/>
      <c r="E473" s="177"/>
      <c r="F473" s="28"/>
      <c r="G473" s="118"/>
      <c r="H473" s="192"/>
      <c r="I473" s="192"/>
      <c r="J473" s="175"/>
      <c r="K473" s="192"/>
      <c r="L473" s="192"/>
      <c r="M473" s="192"/>
      <c r="N473" s="175"/>
      <c r="O473" s="116"/>
      <c r="P473" s="175"/>
      <c r="Q473" s="175"/>
      <c r="R473" s="220"/>
      <c r="S473" s="175"/>
      <c r="T473" s="175"/>
      <c r="U473" s="175"/>
      <c r="V473" s="175"/>
      <c r="W473" s="175"/>
      <c r="X473" s="116"/>
    </row>
    <row r="474" spans="1:24" s="112" customFormat="1">
      <c r="A474" s="116"/>
      <c r="B474" s="115"/>
      <c r="C474" s="115"/>
      <c r="D474" s="131"/>
      <c r="E474" s="177"/>
      <c r="F474" s="28"/>
      <c r="G474" s="118"/>
      <c r="H474" s="192"/>
      <c r="I474" s="192"/>
      <c r="J474" s="175"/>
      <c r="K474" s="192"/>
      <c r="L474" s="192"/>
      <c r="M474" s="192"/>
      <c r="N474" s="175"/>
      <c r="O474" s="116"/>
      <c r="P474" s="175"/>
      <c r="Q474" s="175"/>
      <c r="R474" s="220"/>
      <c r="S474" s="175"/>
      <c r="T474" s="175"/>
      <c r="U474" s="175"/>
      <c r="V474" s="175"/>
      <c r="W474" s="175"/>
      <c r="X474" s="116"/>
    </row>
    <row r="475" spans="1:24" s="112" customFormat="1">
      <c r="A475" s="116"/>
      <c r="B475" s="115"/>
      <c r="C475" s="115"/>
      <c r="D475" s="131"/>
      <c r="E475" s="177"/>
      <c r="F475" s="28"/>
      <c r="G475" s="118"/>
      <c r="H475" s="192"/>
      <c r="I475" s="192"/>
      <c r="J475" s="175"/>
      <c r="K475" s="192"/>
      <c r="L475" s="192"/>
      <c r="M475" s="192"/>
      <c r="N475" s="175"/>
      <c r="O475" s="116"/>
      <c r="P475" s="175"/>
      <c r="Q475" s="175"/>
      <c r="R475" s="220"/>
      <c r="S475" s="175"/>
      <c r="T475" s="175"/>
      <c r="U475" s="175"/>
      <c r="V475" s="175"/>
      <c r="W475" s="175"/>
      <c r="X475" s="116"/>
    </row>
    <row r="476" spans="1:24" s="112" customFormat="1">
      <c r="A476" s="116"/>
      <c r="B476" s="115"/>
      <c r="C476" s="115"/>
      <c r="D476" s="131"/>
      <c r="E476" s="177"/>
      <c r="F476" s="28"/>
      <c r="G476" s="118"/>
      <c r="H476" s="192"/>
      <c r="I476" s="192"/>
      <c r="J476" s="175"/>
      <c r="K476" s="192"/>
      <c r="L476" s="192"/>
      <c r="M476" s="192"/>
      <c r="N476" s="175"/>
      <c r="O476" s="116"/>
      <c r="P476" s="175"/>
      <c r="Q476" s="175"/>
      <c r="R476" s="220"/>
      <c r="S476" s="175"/>
      <c r="T476" s="175"/>
      <c r="U476" s="175"/>
      <c r="V476" s="175"/>
      <c r="W476" s="175"/>
      <c r="X476" s="116"/>
    </row>
    <row r="477" spans="1:24" s="112" customFormat="1">
      <c r="A477" s="116"/>
      <c r="B477" s="115"/>
      <c r="C477" s="115"/>
      <c r="D477" s="131"/>
      <c r="E477" s="177"/>
      <c r="F477" s="28"/>
      <c r="G477" s="118"/>
      <c r="H477" s="192"/>
      <c r="I477" s="192"/>
      <c r="J477" s="175"/>
      <c r="K477" s="192"/>
      <c r="L477" s="192"/>
      <c r="M477" s="192"/>
      <c r="N477" s="175"/>
      <c r="O477" s="116"/>
      <c r="P477" s="175"/>
      <c r="Q477" s="175"/>
      <c r="R477" s="220"/>
      <c r="S477" s="175"/>
      <c r="T477" s="175"/>
      <c r="U477" s="175"/>
      <c r="V477" s="175"/>
      <c r="W477" s="175"/>
      <c r="X477" s="116"/>
    </row>
    <row r="478" spans="1:24" s="112" customFormat="1">
      <c r="A478" s="116"/>
      <c r="B478" s="115"/>
      <c r="C478" s="115"/>
      <c r="D478" s="131"/>
      <c r="E478" s="177"/>
      <c r="F478" s="28"/>
      <c r="G478" s="118"/>
      <c r="H478" s="192"/>
      <c r="I478" s="192"/>
      <c r="J478" s="175"/>
      <c r="K478" s="192"/>
      <c r="L478" s="192"/>
      <c r="M478" s="192"/>
      <c r="N478" s="175"/>
      <c r="O478" s="116"/>
      <c r="P478" s="175"/>
      <c r="Q478" s="175"/>
      <c r="R478" s="220"/>
      <c r="S478" s="175"/>
      <c r="T478" s="175"/>
      <c r="U478" s="175"/>
      <c r="V478" s="175"/>
      <c r="W478" s="175"/>
      <c r="X478" s="116"/>
    </row>
    <row r="479" spans="1:24" s="112" customFormat="1">
      <c r="A479" s="116"/>
      <c r="B479" s="115"/>
      <c r="C479" s="115"/>
      <c r="D479" s="131"/>
      <c r="E479" s="177"/>
      <c r="F479" s="28"/>
      <c r="G479" s="118"/>
      <c r="H479" s="192"/>
      <c r="I479" s="192"/>
      <c r="J479" s="175"/>
      <c r="K479" s="192"/>
      <c r="L479" s="192"/>
      <c r="M479" s="192"/>
      <c r="N479" s="175"/>
      <c r="O479" s="116"/>
      <c r="P479" s="175"/>
      <c r="Q479" s="175"/>
      <c r="R479" s="220"/>
      <c r="S479" s="175"/>
      <c r="T479" s="175"/>
      <c r="U479" s="175"/>
      <c r="V479" s="175"/>
      <c r="W479" s="175"/>
      <c r="X479" s="116"/>
    </row>
    <row r="480" spans="1:24" s="112" customFormat="1">
      <c r="A480" s="116"/>
      <c r="B480" s="115"/>
      <c r="C480" s="115"/>
      <c r="D480" s="131"/>
      <c r="E480" s="177"/>
      <c r="F480" s="28"/>
      <c r="G480" s="118"/>
      <c r="H480" s="192"/>
      <c r="I480" s="192"/>
      <c r="J480" s="175"/>
      <c r="K480" s="192"/>
      <c r="L480" s="192"/>
      <c r="M480" s="192"/>
      <c r="N480" s="175"/>
      <c r="O480" s="116"/>
      <c r="P480" s="175"/>
      <c r="Q480" s="175"/>
      <c r="R480" s="220"/>
      <c r="S480" s="175"/>
      <c r="T480" s="175"/>
      <c r="U480" s="175"/>
      <c r="V480" s="175"/>
      <c r="W480" s="175"/>
      <c r="X480" s="116"/>
    </row>
    <row r="481" spans="1:24" s="112" customFormat="1">
      <c r="A481" s="116"/>
      <c r="B481" s="115"/>
      <c r="C481" s="115"/>
      <c r="D481" s="131"/>
      <c r="E481" s="177"/>
      <c r="F481" s="28"/>
      <c r="G481" s="118"/>
      <c r="H481" s="192"/>
      <c r="I481" s="192"/>
      <c r="J481" s="175"/>
      <c r="K481" s="192"/>
      <c r="L481" s="192"/>
      <c r="M481" s="192"/>
      <c r="N481" s="175"/>
      <c r="O481" s="116"/>
      <c r="P481" s="175"/>
      <c r="Q481" s="175"/>
      <c r="R481" s="220"/>
      <c r="S481" s="175"/>
      <c r="T481" s="175"/>
      <c r="U481" s="175"/>
      <c r="V481" s="175"/>
      <c r="W481" s="175"/>
      <c r="X481" s="116"/>
    </row>
    <row r="482" spans="1:24" s="112" customFormat="1">
      <c r="A482" s="116"/>
      <c r="B482" s="115"/>
      <c r="C482" s="115"/>
      <c r="D482" s="131"/>
      <c r="E482" s="177"/>
      <c r="F482" s="28"/>
      <c r="G482" s="118"/>
      <c r="H482" s="192"/>
      <c r="I482" s="192"/>
      <c r="J482" s="175"/>
      <c r="K482" s="192"/>
      <c r="L482" s="192"/>
      <c r="M482" s="192"/>
      <c r="N482" s="175"/>
      <c r="O482" s="116"/>
      <c r="P482" s="175"/>
      <c r="Q482" s="175"/>
      <c r="R482" s="220"/>
      <c r="S482" s="175"/>
      <c r="T482" s="175"/>
      <c r="U482" s="175"/>
      <c r="V482" s="175"/>
      <c r="W482" s="175"/>
      <c r="X482" s="116"/>
    </row>
    <row r="483" spans="1:24" s="112" customFormat="1">
      <c r="A483" s="116"/>
      <c r="B483" s="115"/>
      <c r="C483" s="115"/>
      <c r="D483" s="131"/>
      <c r="E483" s="177"/>
      <c r="F483" s="28"/>
      <c r="G483" s="118"/>
      <c r="H483" s="192"/>
      <c r="I483" s="192"/>
      <c r="J483" s="175"/>
      <c r="K483" s="192"/>
      <c r="L483" s="192"/>
      <c r="M483" s="192"/>
      <c r="N483" s="175"/>
      <c r="O483" s="116"/>
      <c r="P483" s="175"/>
      <c r="Q483" s="175"/>
      <c r="R483" s="220"/>
      <c r="S483" s="175"/>
      <c r="T483" s="175"/>
      <c r="U483" s="175"/>
      <c r="V483" s="175"/>
      <c r="W483" s="175"/>
      <c r="X483" s="116"/>
    </row>
    <row r="484" spans="1:24" s="112" customFormat="1">
      <c r="A484" s="116"/>
      <c r="B484" s="115"/>
      <c r="C484" s="115"/>
      <c r="D484" s="131"/>
      <c r="E484" s="177"/>
      <c r="F484" s="28"/>
      <c r="G484" s="118"/>
      <c r="H484" s="192"/>
      <c r="I484" s="192"/>
      <c r="J484" s="175"/>
      <c r="K484" s="192"/>
      <c r="L484" s="192"/>
      <c r="M484" s="192"/>
      <c r="N484" s="175"/>
      <c r="O484" s="116"/>
      <c r="P484" s="175"/>
      <c r="Q484" s="175"/>
      <c r="R484" s="220"/>
      <c r="S484" s="175"/>
      <c r="T484" s="175"/>
      <c r="U484" s="175"/>
      <c r="V484" s="175"/>
      <c r="W484" s="175"/>
      <c r="X484" s="116"/>
    </row>
    <row r="485" spans="1:24" s="112" customFormat="1">
      <c r="A485" s="116"/>
      <c r="B485" s="115"/>
      <c r="C485" s="115"/>
      <c r="D485" s="131"/>
      <c r="E485" s="177"/>
      <c r="F485" s="28"/>
      <c r="G485" s="118"/>
      <c r="H485" s="192"/>
      <c r="I485" s="192"/>
      <c r="J485" s="175"/>
      <c r="K485" s="192"/>
      <c r="L485" s="192"/>
      <c r="M485" s="192"/>
      <c r="N485" s="175"/>
      <c r="O485" s="116"/>
      <c r="P485" s="175"/>
      <c r="Q485" s="175"/>
      <c r="R485" s="220"/>
      <c r="S485" s="175"/>
      <c r="T485" s="175"/>
      <c r="U485" s="175"/>
      <c r="V485" s="175"/>
      <c r="W485" s="175"/>
      <c r="X485" s="116"/>
    </row>
    <row r="486" spans="1:24" s="112" customFormat="1">
      <c r="A486" s="116"/>
      <c r="B486" s="115"/>
      <c r="C486" s="115"/>
      <c r="D486" s="131"/>
      <c r="E486" s="177"/>
      <c r="F486" s="28"/>
      <c r="G486" s="118"/>
      <c r="H486" s="192"/>
      <c r="I486" s="192"/>
      <c r="J486" s="175"/>
      <c r="K486" s="192"/>
      <c r="L486" s="192"/>
      <c r="M486" s="192"/>
      <c r="N486" s="175"/>
      <c r="O486" s="116"/>
      <c r="P486" s="175"/>
      <c r="Q486" s="175"/>
      <c r="R486" s="220"/>
      <c r="S486" s="175"/>
      <c r="T486" s="175"/>
      <c r="U486" s="175"/>
      <c r="V486" s="175"/>
      <c r="W486" s="175"/>
      <c r="X486" s="116"/>
    </row>
    <row r="487" spans="1:24" s="112" customFormat="1">
      <c r="A487" s="116"/>
      <c r="B487" s="115"/>
      <c r="C487" s="115"/>
      <c r="D487" s="131"/>
      <c r="E487" s="177"/>
      <c r="F487" s="28"/>
      <c r="G487" s="118"/>
      <c r="H487" s="192"/>
      <c r="I487" s="192"/>
      <c r="J487" s="175"/>
      <c r="K487" s="192"/>
      <c r="L487" s="192"/>
      <c r="M487" s="192"/>
      <c r="N487" s="175"/>
      <c r="O487" s="116"/>
      <c r="P487" s="175"/>
      <c r="Q487" s="175"/>
      <c r="R487" s="220"/>
      <c r="S487" s="175"/>
      <c r="T487" s="175"/>
      <c r="U487" s="175"/>
      <c r="V487" s="175"/>
      <c r="W487" s="175"/>
      <c r="X487" s="116"/>
    </row>
    <row r="488" spans="1:24" s="112" customFormat="1">
      <c r="A488" s="116"/>
      <c r="B488" s="115"/>
      <c r="C488" s="115"/>
      <c r="D488" s="131"/>
      <c r="E488" s="177"/>
      <c r="F488" s="28"/>
      <c r="G488" s="118"/>
      <c r="H488" s="192"/>
      <c r="I488" s="192"/>
      <c r="J488" s="175"/>
      <c r="K488" s="192"/>
      <c r="L488" s="192"/>
      <c r="M488" s="192"/>
      <c r="N488" s="175"/>
      <c r="O488" s="116"/>
      <c r="P488" s="175"/>
      <c r="Q488" s="175"/>
      <c r="R488" s="220"/>
      <c r="S488" s="175"/>
      <c r="T488" s="175"/>
      <c r="U488" s="175"/>
      <c r="V488" s="175"/>
      <c r="W488" s="175"/>
      <c r="X488" s="116"/>
    </row>
    <row r="489" spans="1:24" s="112" customFormat="1">
      <c r="A489" s="116"/>
      <c r="B489" s="115"/>
      <c r="C489" s="115"/>
      <c r="D489" s="131"/>
      <c r="E489" s="177"/>
      <c r="F489" s="28"/>
      <c r="G489" s="118"/>
      <c r="H489" s="192"/>
      <c r="I489" s="192"/>
      <c r="J489" s="175"/>
      <c r="K489" s="192"/>
      <c r="L489" s="192"/>
      <c r="M489" s="192"/>
      <c r="N489" s="175"/>
      <c r="O489" s="116"/>
      <c r="P489" s="175"/>
      <c r="Q489" s="175"/>
      <c r="R489" s="220"/>
      <c r="S489" s="175"/>
      <c r="T489" s="175"/>
      <c r="U489" s="175"/>
      <c r="V489" s="175"/>
      <c r="W489" s="175"/>
      <c r="X489" s="116"/>
    </row>
    <row r="490" spans="1:24" s="112" customFormat="1">
      <c r="A490" s="116"/>
      <c r="B490" s="115"/>
      <c r="C490" s="115"/>
      <c r="D490" s="131"/>
      <c r="E490" s="177"/>
      <c r="F490" s="28"/>
      <c r="G490" s="118"/>
      <c r="H490" s="192"/>
      <c r="I490" s="192"/>
      <c r="J490" s="175"/>
      <c r="K490" s="192"/>
      <c r="L490" s="192"/>
      <c r="M490" s="192"/>
      <c r="N490" s="175"/>
      <c r="O490" s="116"/>
      <c r="P490" s="175"/>
      <c r="Q490" s="175"/>
      <c r="R490" s="220"/>
      <c r="S490" s="175"/>
      <c r="T490" s="175"/>
      <c r="U490" s="175"/>
      <c r="V490" s="175"/>
      <c r="W490" s="175"/>
      <c r="X490" s="116"/>
    </row>
    <row r="491" spans="1:24" s="112" customFormat="1">
      <c r="A491" s="116"/>
      <c r="B491" s="115"/>
      <c r="C491" s="115"/>
      <c r="D491" s="131"/>
      <c r="E491" s="177"/>
      <c r="F491" s="28"/>
      <c r="G491" s="118"/>
      <c r="H491" s="192"/>
      <c r="I491" s="192"/>
      <c r="J491" s="175"/>
      <c r="K491" s="192"/>
      <c r="L491" s="192"/>
      <c r="M491" s="192"/>
      <c r="N491" s="175"/>
      <c r="O491" s="116"/>
      <c r="P491" s="175"/>
      <c r="Q491" s="175"/>
      <c r="R491" s="220"/>
      <c r="S491" s="175"/>
      <c r="T491" s="175"/>
      <c r="U491" s="175"/>
      <c r="V491" s="175"/>
      <c r="W491" s="175"/>
      <c r="X491" s="116"/>
    </row>
    <row r="492" spans="1:24" s="112" customFormat="1">
      <c r="A492" s="116"/>
      <c r="B492" s="115"/>
      <c r="C492" s="115"/>
      <c r="D492" s="131"/>
      <c r="E492" s="177"/>
      <c r="F492" s="28"/>
      <c r="G492" s="118"/>
      <c r="H492" s="192"/>
      <c r="I492" s="192"/>
      <c r="J492" s="175"/>
      <c r="K492" s="192"/>
      <c r="L492" s="192"/>
      <c r="M492" s="192"/>
      <c r="N492" s="175"/>
      <c r="O492" s="116"/>
      <c r="P492" s="175"/>
      <c r="Q492" s="175"/>
      <c r="R492" s="220"/>
      <c r="S492" s="175"/>
      <c r="T492" s="175"/>
      <c r="U492" s="175"/>
      <c r="V492" s="175"/>
      <c r="W492" s="175"/>
      <c r="X492" s="116"/>
    </row>
    <row r="493" spans="1:24" s="112" customFormat="1">
      <c r="A493" s="116"/>
      <c r="B493" s="115"/>
      <c r="C493" s="115"/>
      <c r="D493" s="131"/>
      <c r="E493" s="177"/>
      <c r="F493" s="28"/>
      <c r="G493" s="118"/>
      <c r="H493" s="192"/>
      <c r="I493" s="192"/>
      <c r="J493" s="175"/>
      <c r="K493" s="192"/>
      <c r="L493" s="192"/>
      <c r="M493" s="192"/>
      <c r="N493" s="175"/>
      <c r="O493" s="116"/>
      <c r="P493" s="175"/>
      <c r="Q493" s="175"/>
      <c r="R493" s="220"/>
      <c r="S493" s="175"/>
      <c r="T493" s="175"/>
      <c r="U493" s="175"/>
      <c r="V493" s="175"/>
      <c r="W493" s="175"/>
      <c r="X493" s="116"/>
    </row>
    <row r="494" spans="1:24" s="112" customFormat="1">
      <c r="A494" s="116"/>
      <c r="B494" s="115"/>
      <c r="C494" s="115"/>
      <c r="D494" s="131"/>
      <c r="E494" s="177"/>
      <c r="F494" s="28"/>
      <c r="G494" s="118"/>
      <c r="H494" s="192"/>
      <c r="I494" s="192"/>
      <c r="J494" s="175"/>
      <c r="K494" s="192"/>
      <c r="L494" s="192"/>
      <c r="M494" s="192"/>
      <c r="N494" s="175"/>
      <c r="O494" s="116"/>
      <c r="P494" s="175"/>
      <c r="Q494" s="175"/>
      <c r="R494" s="220"/>
      <c r="S494" s="175"/>
      <c r="T494" s="175"/>
      <c r="U494" s="175"/>
      <c r="V494" s="175"/>
      <c r="W494" s="175"/>
      <c r="X494" s="116"/>
    </row>
    <row r="495" spans="1:24" s="112" customFormat="1">
      <c r="A495" s="116"/>
      <c r="B495" s="115"/>
      <c r="C495" s="115"/>
      <c r="D495" s="131"/>
      <c r="E495" s="177"/>
      <c r="F495" s="28"/>
      <c r="G495" s="118"/>
      <c r="H495" s="192"/>
      <c r="I495" s="192"/>
      <c r="J495" s="175"/>
      <c r="K495" s="192"/>
      <c r="L495" s="192"/>
      <c r="M495" s="192"/>
      <c r="N495" s="175"/>
      <c r="O495" s="116"/>
      <c r="P495" s="175"/>
      <c r="Q495" s="175"/>
      <c r="R495" s="220"/>
      <c r="S495" s="175"/>
      <c r="T495" s="175"/>
      <c r="U495" s="175"/>
      <c r="V495" s="175"/>
      <c r="W495" s="175"/>
      <c r="X495" s="116"/>
    </row>
    <row r="496" spans="1:24" s="112" customFormat="1">
      <c r="A496" s="116"/>
      <c r="B496" s="115"/>
      <c r="C496" s="115"/>
      <c r="D496" s="131"/>
      <c r="E496" s="177"/>
      <c r="F496" s="28"/>
      <c r="G496" s="118"/>
      <c r="H496" s="192"/>
      <c r="I496" s="192"/>
      <c r="J496" s="175"/>
      <c r="K496" s="192"/>
      <c r="L496" s="192"/>
      <c r="M496" s="192"/>
      <c r="N496" s="175"/>
      <c r="O496" s="116"/>
      <c r="P496" s="175"/>
      <c r="Q496" s="175"/>
      <c r="R496" s="220"/>
      <c r="S496" s="175"/>
      <c r="T496" s="175"/>
      <c r="U496" s="175"/>
      <c r="V496" s="175"/>
      <c r="W496" s="175"/>
      <c r="X496" s="116"/>
    </row>
    <row r="497" spans="1:24" s="112" customFormat="1">
      <c r="A497" s="116"/>
      <c r="B497" s="115"/>
      <c r="C497" s="115"/>
      <c r="D497" s="131"/>
      <c r="E497" s="177"/>
      <c r="F497" s="28"/>
      <c r="G497" s="118"/>
      <c r="H497" s="192"/>
      <c r="I497" s="192"/>
      <c r="J497" s="175"/>
      <c r="K497" s="192"/>
      <c r="L497" s="192"/>
      <c r="M497" s="192"/>
      <c r="N497" s="175"/>
      <c r="O497" s="116"/>
      <c r="P497" s="175"/>
      <c r="Q497" s="175"/>
      <c r="R497" s="220"/>
      <c r="S497" s="175"/>
      <c r="T497" s="175"/>
      <c r="U497" s="175"/>
      <c r="V497" s="175"/>
      <c r="W497" s="175"/>
      <c r="X497" s="116"/>
    </row>
    <row r="498" spans="1:24" s="112" customFormat="1">
      <c r="A498" s="116"/>
      <c r="B498" s="115"/>
      <c r="C498" s="115"/>
      <c r="D498" s="131"/>
      <c r="E498" s="177"/>
      <c r="F498" s="28"/>
      <c r="G498" s="118"/>
      <c r="H498" s="192"/>
      <c r="I498" s="192"/>
      <c r="J498" s="175"/>
      <c r="K498" s="192"/>
      <c r="L498" s="192"/>
      <c r="M498" s="192"/>
      <c r="N498" s="175"/>
      <c r="O498" s="116"/>
      <c r="P498" s="175"/>
      <c r="Q498" s="175"/>
      <c r="R498" s="220"/>
      <c r="S498" s="175"/>
      <c r="T498" s="175"/>
      <c r="U498" s="175"/>
      <c r="V498" s="175"/>
      <c r="W498" s="175"/>
      <c r="X498" s="116"/>
    </row>
    <row r="499" spans="1:24" s="112" customFormat="1">
      <c r="A499" s="116"/>
      <c r="B499" s="115"/>
      <c r="C499" s="115"/>
      <c r="D499" s="131"/>
      <c r="E499" s="177"/>
      <c r="F499" s="28"/>
      <c r="G499" s="118"/>
      <c r="H499" s="192"/>
      <c r="I499" s="192"/>
      <c r="J499" s="175"/>
      <c r="K499" s="192"/>
      <c r="L499" s="192"/>
      <c r="M499" s="192"/>
      <c r="N499" s="175"/>
      <c r="O499" s="116"/>
      <c r="P499" s="175"/>
      <c r="Q499" s="175"/>
      <c r="R499" s="220"/>
      <c r="S499" s="175"/>
      <c r="T499" s="175"/>
      <c r="U499" s="175"/>
      <c r="V499" s="175"/>
      <c r="W499" s="175"/>
      <c r="X499" s="116"/>
    </row>
    <row r="500" spans="1:24" s="112" customFormat="1">
      <c r="A500" s="116"/>
      <c r="B500" s="115"/>
      <c r="C500" s="115"/>
      <c r="D500" s="131"/>
      <c r="E500" s="177"/>
      <c r="F500" s="28"/>
      <c r="G500" s="118"/>
      <c r="H500" s="192"/>
      <c r="I500" s="192"/>
      <c r="J500" s="175"/>
      <c r="K500" s="192"/>
      <c r="L500" s="192"/>
      <c r="M500" s="192"/>
      <c r="N500" s="175"/>
      <c r="O500" s="116"/>
      <c r="P500" s="175"/>
      <c r="Q500" s="175"/>
      <c r="R500" s="220"/>
      <c r="S500" s="175"/>
      <c r="T500" s="175"/>
      <c r="U500" s="175"/>
      <c r="V500" s="175"/>
      <c r="W500" s="175"/>
      <c r="X500" s="116"/>
    </row>
    <row r="501" spans="1:24" s="112" customFormat="1">
      <c r="A501" s="116"/>
      <c r="B501" s="115"/>
      <c r="C501" s="115"/>
      <c r="D501" s="131"/>
      <c r="E501" s="177"/>
      <c r="F501" s="28"/>
      <c r="G501" s="118"/>
      <c r="H501" s="192"/>
      <c r="I501" s="192"/>
      <c r="J501" s="175"/>
      <c r="K501" s="192"/>
      <c r="L501" s="192"/>
      <c r="M501" s="192"/>
      <c r="N501" s="175"/>
      <c r="O501" s="116"/>
      <c r="P501" s="175"/>
      <c r="Q501" s="175"/>
      <c r="R501" s="220"/>
      <c r="S501" s="175"/>
      <c r="T501" s="175"/>
      <c r="U501" s="175"/>
      <c r="V501" s="175"/>
      <c r="W501" s="175"/>
      <c r="X501" s="116"/>
    </row>
    <row r="502" spans="1:24" s="112" customFormat="1">
      <c r="A502" s="116"/>
      <c r="B502" s="115"/>
      <c r="C502" s="115"/>
      <c r="D502" s="131"/>
      <c r="E502" s="177"/>
      <c r="F502" s="28"/>
      <c r="G502" s="118"/>
      <c r="H502" s="192"/>
      <c r="I502" s="192"/>
      <c r="J502" s="175"/>
      <c r="K502" s="192"/>
      <c r="L502" s="192"/>
      <c r="M502" s="192"/>
      <c r="N502" s="175"/>
      <c r="O502" s="116"/>
      <c r="P502" s="175"/>
      <c r="Q502" s="175"/>
      <c r="R502" s="220"/>
      <c r="S502" s="175"/>
      <c r="T502" s="175"/>
      <c r="U502" s="175"/>
      <c r="V502" s="175"/>
      <c r="W502" s="175"/>
      <c r="X502" s="116"/>
    </row>
    <row r="503" spans="1:24" s="112" customFormat="1">
      <c r="A503" s="116"/>
      <c r="B503" s="115"/>
      <c r="C503" s="115"/>
      <c r="D503" s="131"/>
      <c r="E503" s="177"/>
      <c r="F503" s="28"/>
      <c r="G503" s="118"/>
      <c r="H503" s="192"/>
      <c r="I503" s="192"/>
      <c r="J503" s="175"/>
      <c r="K503" s="192"/>
      <c r="L503" s="192"/>
      <c r="M503" s="192"/>
      <c r="N503" s="175"/>
      <c r="O503" s="116"/>
      <c r="P503" s="175"/>
      <c r="Q503" s="175"/>
      <c r="R503" s="220"/>
      <c r="S503" s="175"/>
      <c r="T503" s="175"/>
      <c r="U503" s="175"/>
      <c r="V503" s="175"/>
      <c r="W503" s="175"/>
      <c r="X503" s="116"/>
    </row>
    <row r="504" spans="1:24" s="112" customFormat="1">
      <c r="A504" s="116"/>
      <c r="B504" s="115"/>
      <c r="C504" s="115"/>
      <c r="D504" s="131"/>
      <c r="E504" s="177"/>
      <c r="F504" s="28"/>
      <c r="G504" s="118"/>
      <c r="H504" s="192"/>
      <c r="I504" s="192"/>
      <c r="J504" s="175"/>
      <c r="K504" s="192"/>
      <c r="L504" s="192"/>
      <c r="M504" s="192"/>
      <c r="N504" s="175"/>
      <c r="O504" s="116"/>
      <c r="P504" s="175"/>
      <c r="Q504" s="175"/>
      <c r="R504" s="220"/>
      <c r="S504" s="175"/>
      <c r="T504" s="175"/>
      <c r="U504" s="175"/>
      <c r="V504" s="175"/>
      <c r="W504" s="175"/>
      <c r="X504" s="116"/>
    </row>
    <row r="505" spans="1:24" s="112" customFormat="1">
      <c r="A505" s="116"/>
      <c r="B505" s="115"/>
      <c r="C505" s="115"/>
      <c r="D505" s="131"/>
      <c r="E505" s="177"/>
      <c r="F505" s="28"/>
      <c r="G505" s="118"/>
      <c r="H505" s="192"/>
      <c r="I505" s="192"/>
      <c r="J505" s="175"/>
      <c r="K505" s="192"/>
      <c r="L505" s="192"/>
      <c r="M505" s="192"/>
      <c r="N505" s="175"/>
      <c r="O505" s="116"/>
      <c r="P505" s="175"/>
      <c r="Q505" s="175"/>
      <c r="R505" s="220"/>
      <c r="S505" s="175"/>
      <c r="T505" s="175"/>
      <c r="U505" s="175"/>
      <c r="V505" s="175"/>
      <c r="W505" s="175"/>
      <c r="X505" s="116"/>
    </row>
    <row r="506" spans="1:24" s="112" customFormat="1">
      <c r="A506" s="116"/>
      <c r="B506" s="115"/>
      <c r="C506" s="115"/>
      <c r="D506" s="131"/>
      <c r="E506" s="177"/>
      <c r="F506" s="28"/>
      <c r="G506" s="118"/>
      <c r="H506" s="192"/>
      <c r="I506" s="192"/>
      <c r="J506" s="175"/>
      <c r="K506" s="192"/>
      <c r="L506" s="192"/>
      <c r="M506" s="192"/>
      <c r="N506" s="175"/>
      <c r="O506" s="116"/>
      <c r="P506" s="175"/>
      <c r="Q506" s="175"/>
      <c r="R506" s="220"/>
      <c r="S506" s="175"/>
      <c r="T506" s="175"/>
      <c r="U506" s="175"/>
      <c r="V506" s="175"/>
      <c r="W506" s="175"/>
      <c r="X506" s="116"/>
    </row>
    <row r="507" spans="1:24" s="112" customFormat="1">
      <c r="A507" s="116"/>
      <c r="B507" s="115"/>
      <c r="C507" s="115"/>
      <c r="D507" s="131"/>
      <c r="E507" s="177"/>
      <c r="F507" s="28"/>
      <c r="G507" s="118"/>
      <c r="H507" s="192"/>
      <c r="I507" s="192"/>
      <c r="J507" s="175"/>
      <c r="K507" s="192"/>
      <c r="L507" s="192"/>
      <c r="M507" s="192"/>
      <c r="N507" s="175"/>
      <c r="O507" s="116"/>
      <c r="P507" s="175"/>
      <c r="Q507" s="175"/>
      <c r="R507" s="220"/>
      <c r="S507" s="175"/>
      <c r="T507" s="175"/>
      <c r="U507" s="175"/>
      <c r="V507" s="175"/>
      <c r="W507" s="175"/>
      <c r="X507" s="116"/>
    </row>
    <row r="508" spans="1:24" s="112" customFormat="1">
      <c r="A508" s="116"/>
      <c r="B508" s="115"/>
      <c r="C508" s="115"/>
      <c r="D508" s="131"/>
      <c r="E508" s="177"/>
      <c r="F508" s="28"/>
      <c r="G508" s="118"/>
      <c r="H508" s="192"/>
      <c r="I508" s="192"/>
      <c r="J508" s="175"/>
      <c r="K508" s="192"/>
      <c r="L508" s="192"/>
      <c r="M508" s="192"/>
      <c r="N508" s="175"/>
      <c r="O508" s="116"/>
      <c r="P508" s="175"/>
      <c r="Q508" s="175"/>
      <c r="R508" s="220"/>
      <c r="S508" s="175"/>
      <c r="T508" s="175"/>
      <c r="U508" s="175"/>
      <c r="V508" s="175"/>
      <c r="W508" s="175"/>
      <c r="X508" s="116"/>
    </row>
    <row r="509" spans="1:24" s="112" customFormat="1">
      <c r="A509" s="116"/>
      <c r="B509" s="115"/>
      <c r="C509" s="115"/>
      <c r="D509" s="131"/>
      <c r="E509" s="177"/>
      <c r="F509" s="28"/>
      <c r="G509" s="118"/>
      <c r="H509" s="192"/>
      <c r="I509" s="192"/>
      <c r="J509" s="175"/>
      <c r="K509" s="192"/>
      <c r="L509" s="192"/>
      <c r="M509" s="192"/>
      <c r="N509" s="175"/>
      <c r="O509" s="116"/>
      <c r="P509" s="175"/>
      <c r="Q509" s="175"/>
      <c r="R509" s="220"/>
      <c r="S509" s="175"/>
      <c r="T509" s="175"/>
      <c r="U509" s="175"/>
      <c r="V509" s="175"/>
      <c r="W509" s="175"/>
      <c r="X509" s="116"/>
    </row>
    <row r="510" spans="1:24" s="112" customFormat="1">
      <c r="A510" s="116"/>
      <c r="B510" s="115"/>
      <c r="C510" s="115"/>
      <c r="D510" s="131"/>
      <c r="E510" s="177"/>
      <c r="F510" s="28"/>
      <c r="G510" s="118"/>
      <c r="H510" s="192"/>
      <c r="I510" s="192"/>
      <c r="J510" s="175"/>
      <c r="K510" s="192"/>
      <c r="L510" s="192"/>
      <c r="M510" s="192"/>
      <c r="N510" s="175"/>
      <c r="O510" s="116"/>
      <c r="P510" s="175"/>
      <c r="Q510" s="175"/>
      <c r="R510" s="220"/>
      <c r="S510" s="175"/>
      <c r="T510" s="175"/>
      <c r="U510" s="175"/>
      <c r="V510" s="175"/>
      <c r="W510" s="175"/>
      <c r="X510" s="116"/>
    </row>
    <row r="511" spans="1:24" s="112" customFormat="1">
      <c r="A511" s="116"/>
      <c r="B511" s="115"/>
      <c r="C511" s="115"/>
      <c r="D511" s="131"/>
      <c r="E511" s="177"/>
      <c r="F511" s="28"/>
      <c r="G511" s="118"/>
      <c r="H511" s="192"/>
      <c r="I511" s="192"/>
      <c r="J511" s="175"/>
      <c r="K511" s="192"/>
      <c r="L511" s="192"/>
      <c r="M511" s="192"/>
      <c r="N511" s="175"/>
      <c r="O511" s="116"/>
      <c r="P511" s="175"/>
      <c r="Q511" s="175"/>
      <c r="R511" s="220"/>
      <c r="S511" s="175"/>
      <c r="T511" s="175"/>
      <c r="U511" s="175"/>
      <c r="V511" s="175"/>
      <c r="W511" s="175"/>
      <c r="X511" s="116"/>
    </row>
    <row r="512" spans="1:24" s="112" customFormat="1">
      <c r="A512" s="116"/>
      <c r="B512" s="115"/>
      <c r="C512" s="115"/>
      <c r="D512" s="131"/>
      <c r="E512" s="177"/>
      <c r="F512" s="28"/>
      <c r="G512" s="118"/>
      <c r="H512" s="192"/>
      <c r="I512" s="192"/>
      <c r="J512" s="175"/>
      <c r="K512" s="192"/>
      <c r="L512" s="192"/>
      <c r="M512" s="192"/>
      <c r="N512" s="175"/>
      <c r="O512" s="116"/>
      <c r="P512" s="175"/>
      <c r="Q512" s="175"/>
      <c r="R512" s="220"/>
      <c r="S512" s="175"/>
      <c r="T512" s="175"/>
      <c r="U512" s="175"/>
      <c r="V512" s="175"/>
      <c r="W512" s="175"/>
      <c r="X512" s="116"/>
    </row>
    <row r="513" spans="1:24" s="112" customFormat="1">
      <c r="A513" s="116"/>
      <c r="B513" s="115"/>
      <c r="C513" s="115"/>
      <c r="D513" s="131"/>
      <c r="E513" s="177"/>
      <c r="F513" s="28"/>
      <c r="G513" s="118"/>
      <c r="H513" s="192"/>
      <c r="I513" s="192"/>
      <c r="J513" s="175"/>
      <c r="K513" s="192"/>
      <c r="L513" s="192"/>
      <c r="M513" s="192"/>
      <c r="N513" s="175"/>
      <c r="O513" s="116"/>
      <c r="P513" s="175"/>
      <c r="Q513" s="175"/>
      <c r="R513" s="220"/>
      <c r="S513" s="175"/>
      <c r="T513" s="175"/>
      <c r="U513" s="175"/>
      <c r="V513" s="175"/>
      <c r="W513" s="175"/>
      <c r="X513" s="116"/>
    </row>
    <row r="514" spans="1:24" s="112" customFormat="1">
      <c r="A514" s="116"/>
      <c r="B514" s="115"/>
      <c r="C514" s="115"/>
      <c r="D514" s="131"/>
      <c r="E514" s="177"/>
      <c r="F514" s="28"/>
      <c r="G514" s="118"/>
      <c r="H514" s="192"/>
      <c r="I514" s="192"/>
      <c r="J514" s="175"/>
      <c r="K514" s="192"/>
      <c r="L514" s="192"/>
      <c r="M514" s="192"/>
      <c r="N514" s="175"/>
      <c r="O514" s="116"/>
      <c r="P514" s="175"/>
      <c r="Q514" s="175"/>
      <c r="R514" s="220"/>
      <c r="S514" s="175"/>
      <c r="T514" s="175"/>
      <c r="U514" s="175"/>
      <c r="V514" s="175"/>
      <c r="W514" s="175"/>
      <c r="X514" s="116"/>
    </row>
    <row r="515" spans="1:24" s="112" customFormat="1">
      <c r="A515" s="116"/>
      <c r="B515" s="115"/>
      <c r="C515" s="115"/>
      <c r="D515" s="131"/>
      <c r="E515" s="177"/>
      <c r="F515" s="28"/>
      <c r="G515" s="118"/>
      <c r="H515" s="192"/>
      <c r="I515" s="192"/>
      <c r="J515" s="175"/>
      <c r="K515" s="192"/>
      <c r="L515" s="192"/>
      <c r="M515" s="192"/>
      <c r="N515" s="175"/>
      <c r="O515" s="116"/>
      <c r="P515" s="175"/>
      <c r="Q515" s="175"/>
      <c r="R515" s="220"/>
      <c r="S515" s="175"/>
      <c r="T515" s="175"/>
      <c r="U515" s="175"/>
      <c r="V515" s="175"/>
      <c r="W515" s="175"/>
      <c r="X515" s="116"/>
    </row>
    <row r="516" spans="1:24" s="112" customFormat="1">
      <c r="A516" s="116"/>
      <c r="B516" s="115"/>
      <c r="C516" s="115"/>
      <c r="D516" s="131"/>
      <c r="E516" s="177"/>
      <c r="F516" s="28"/>
      <c r="G516" s="118"/>
      <c r="H516" s="192"/>
      <c r="I516" s="192"/>
      <c r="J516" s="175"/>
      <c r="K516" s="192"/>
      <c r="L516" s="192"/>
      <c r="M516" s="192"/>
      <c r="N516" s="175"/>
      <c r="O516" s="116"/>
      <c r="P516" s="175"/>
      <c r="Q516" s="175"/>
      <c r="R516" s="220"/>
      <c r="S516" s="175"/>
      <c r="T516" s="175"/>
      <c r="U516" s="175"/>
      <c r="V516" s="175"/>
      <c r="W516" s="175"/>
      <c r="X516" s="116"/>
    </row>
    <row r="517" spans="1:24" s="112" customFormat="1">
      <c r="A517" s="116"/>
      <c r="B517" s="115"/>
      <c r="C517" s="115"/>
      <c r="D517" s="131"/>
      <c r="E517" s="177"/>
      <c r="F517" s="28"/>
      <c r="G517" s="118"/>
      <c r="H517" s="192"/>
      <c r="I517" s="192"/>
      <c r="J517" s="175"/>
      <c r="K517" s="192"/>
      <c r="L517" s="192"/>
      <c r="M517" s="192"/>
      <c r="N517" s="175"/>
      <c r="O517" s="116"/>
      <c r="P517" s="175"/>
      <c r="Q517" s="175"/>
      <c r="R517" s="220"/>
      <c r="S517" s="175"/>
      <c r="T517" s="175"/>
      <c r="U517" s="175"/>
      <c r="V517" s="175"/>
      <c r="W517" s="175"/>
      <c r="X517" s="116"/>
    </row>
    <row r="518" spans="1:24" s="112" customFormat="1">
      <c r="A518" s="116"/>
      <c r="B518" s="115"/>
      <c r="C518" s="115"/>
      <c r="D518" s="131"/>
      <c r="E518" s="177"/>
      <c r="F518" s="28"/>
      <c r="G518" s="118"/>
      <c r="H518" s="192"/>
      <c r="I518" s="192"/>
      <c r="J518" s="175"/>
      <c r="K518" s="192"/>
      <c r="L518" s="192"/>
      <c r="M518" s="192"/>
      <c r="N518" s="175"/>
      <c r="O518" s="116"/>
      <c r="P518" s="175"/>
      <c r="Q518" s="175"/>
      <c r="R518" s="220"/>
      <c r="S518" s="175"/>
      <c r="T518" s="175"/>
      <c r="U518" s="175"/>
      <c r="V518" s="175"/>
      <c r="W518" s="175"/>
      <c r="X518" s="116"/>
    </row>
    <row r="519" spans="1:24" s="112" customFormat="1">
      <c r="A519" s="116"/>
      <c r="B519" s="115"/>
      <c r="C519" s="115"/>
      <c r="D519" s="131"/>
      <c r="E519" s="177"/>
      <c r="F519" s="28"/>
      <c r="G519" s="118"/>
      <c r="H519" s="192"/>
      <c r="I519" s="192"/>
      <c r="J519" s="175"/>
      <c r="K519" s="192"/>
      <c r="L519" s="192"/>
      <c r="M519" s="192"/>
      <c r="N519" s="175"/>
      <c r="O519" s="116"/>
      <c r="P519" s="175"/>
      <c r="Q519" s="175"/>
      <c r="R519" s="220"/>
      <c r="S519" s="175"/>
      <c r="T519" s="175"/>
      <c r="U519" s="175"/>
      <c r="V519" s="175"/>
      <c r="W519" s="175"/>
      <c r="X519" s="116"/>
    </row>
    <row r="520" spans="1:24" s="112" customFormat="1">
      <c r="A520" s="116"/>
      <c r="B520" s="115"/>
      <c r="C520" s="115"/>
      <c r="D520" s="131"/>
      <c r="E520" s="177"/>
      <c r="F520" s="28"/>
      <c r="G520" s="118"/>
      <c r="H520" s="192"/>
      <c r="I520" s="192"/>
      <c r="J520" s="175"/>
      <c r="K520" s="192"/>
      <c r="L520" s="192"/>
      <c r="M520" s="192"/>
      <c r="N520" s="175"/>
      <c r="O520" s="116"/>
      <c r="P520" s="175"/>
      <c r="Q520" s="175"/>
      <c r="R520" s="220"/>
      <c r="S520" s="175"/>
      <c r="T520" s="175"/>
      <c r="U520" s="175"/>
      <c r="V520" s="175"/>
      <c r="W520" s="175"/>
      <c r="X520" s="116"/>
    </row>
    <row r="521" spans="1:24" s="112" customFormat="1">
      <c r="A521" s="116"/>
      <c r="B521" s="115"/>
      <c r="C521" s="115"/>
      <c r="D521" s="131"/>
      <c r="E521" s="177"/>
      <c r="F521" s="28"/>
      <c r="G521" s="118"/>
      <c r="H521" s="192"/>
      <c r="I521" s="192"/>
      <c r="J521" s="175"/>
      <c r="K521" s="192"/>
      <c r="L521" s="192"/>
      <c r="M521" s="192"/>
      <c r="N521" s="175"/>
      <c r="O521" s="116"/>
      <c r="P521" s="175"/>
      <c r="Q521" s="175"/>
      <c r="R521" s="220"/>
      <c r="S521" s="175"/>
      <c r="T521" s="175"/>
      <c r="U521" s="175"/>
      <c r="V521" s="175"/>
      <c r="W521" s="175"/>
      <c r="X521" s="116"/>
    </row>
    <row r="522" spans="1:24" s="112" customFormat="1">
      <c r="A522" s="116"/>
      <c r="B522" s="115"/>
      <c r="C522" s="115"/>
      <c r="D522" s="131"/>
      <c r="E522" s="177"/>
      <c r="F522" s="28"/>
      <c r="G522" s="118"/>
      <c r="H522" s="192"/>
      <c r="I522" s="192"/>
      <c r="J522" s="175"/>
      <c r="K522" s="192"/>
      <c r="L522" s="192"/>
      <c r="M522" s="192"/>
      <c r="N522" s="175"/>
      <c r="O522" s="116"/>
      <c r="P522" s="175"/>
      <c r="Q522" s="175"/>
      <c r="R522" s="220"/>
      <c r="S522" s="175"/>
      <c r="T522" s="175"/>
      <c r="U522" s="175"/>
      <c r="V522" s="175"/>
      <c r="W522" s="175"/>
      <c r="X522" s="116"/>
    </row>
    <row r="523" spans="1:24" s="112" customFormat="1">
      <c r="A523" s="116"/>
      <c r="B523" s="115"/>
      <c r="C523" s="115"/>
      <c r="D523" s="131"/>
      <c r="E523" s="177"/>
      <c r="F523" s="28"/>
      <c r="G523" s="118"/>
      <c r="H523" s="192"/>
      <c r="I523" s="192"/>
      <c r="J523" s="175"/>
      <c r="K523" s="192"/>
      <c r="L523" s="192"/>
      <c r="M523" s="192"/>
      <c r="N523" s="175"/>
      <c r="O523" s="116"/>
      <c r="P523" s="175"/>
      <c r="Q523" s="175"/>
      <c r="R523" s="220"/>
      <c r="S523" s="175"/>
      <c r="T523" s="175"/>
      <c r="U523" s="175"/>
      <c r="V523" s="175"/>
      <c r="W523" s="175"/>
      <c r="X523" s="116"/>
    </row>
    <row r="524" spans="1:24" s="112" customFormat="1">
      <c r="A524" s="116"/>
      <c r="B524" s="115"/>
      <c r="C524" s="115"/>
      <c r="D524" s="131"/>
      <c r="E524" s="177"/>
      <c r="F524" s="28"/>
      <c r="G524" s="118"/>
      <c r="H524" s="192"/>
      <c r="I524" s="192"/>
      <c r="J524" s="175"/>
      <c r="K524" s="192"/>
      <c r="L524" s="192"/>
      <c r="M524" s="192"/>
      <c r="N524" s="175"/>
      <c r="O524" s="116"/>
      <c r="P524" s="175"/>
      <c r="Q524" s="175"/>
      <c r="R524" s="220"/>
      <c r="S524" s="175"/>
      <c r="T524" s="175"/>
      <c r="U524" s="175"/>
      <c r="V524" s="175"/>
      <c r="W524" s="175"/>
      <c r="X524" s="116"/>
    </row>
    <row r="525" spans="1:24" s="112" customFormat="1">
      <c r="A525" s="116"/>
      <c r="B525" s="115"/>
      <c r="C525" s="115"/>
      <c r="D525" s="131"/>
      <c r="E525" s="177"/>
      <c r="F525" s="28"/>
      <c r="G525" s="118"/>
      <c r="H525" s="192"/>
      <c r="I525" s="192"/>
      <c r="J525" s="175"/>
      <c r="K525" s="192"/>
      <c r="L525" s="192"/>
      <c r="M525" s="192"/>
      <c r="N525" s="175"/>
      <c r="O525" s="116"/>
      <c r="P525" s="175"/>
      <c r="Q525" s="175"/>
      <c r="R525" s="220"/>
      <c r="S525" s="175"/>
      <c r="T525" s="175"/>
      <c r="U525" s="175"/>
      <c r="V525" s="175"/>
      <c r="W525" s="175"/>
      <c r="X525" s="116"/>
    </row>
    <row r="526" spans="1:24" s="112" customFormat="1">
      <c r="A526" s="116"/>
      <c r="B526" s="115"/>
      <c r="C526" s="115"/>
      <c r="D526" s="131"/>
      <c r="E526" s="177"/>
      <c r="F526" s="28"/>
      <c r="G526" s="118"/>
      <c r="H526" s="192"/>
      <c r="I526" s="192"/>
      <c r="J526" s="175"/>
      <c r="K526" s="192"/>
      <c r="L526" s="192"/>
      <c r="M526" s="192"/>
      <c r="N526" s="175"/>
      <c r="O526" s="116"/>
      <c r="P526" s="175"/>
      <c r="Q526" s="175"/>
      <c r="R526" s="220"/>
      <c r="S526" s="175"/>
      <c r="T526" s="175"/>
      <c r="U526" s="175"/>
      <c r="V526" s="175"/>
      <c r="W526" s="175"/>
      <c r="X526" s="116"/>
    </row>
    <row r="527" spans="1:24" s="112" customFormat="1">
      <c r="A527" s="116"/>
      <c r="B527" s="115"/>
      <c r="C527" s="115"/>
      <c r="D527" s="131"/>
      <c r="E527" s="177"/>
      <c r="F527" s="28"/>
      <c r="G527" s="118"/>
      <c r="H527" s="192"/>
      <c r="I527" s="192"/>
      <c r="J527" s="175"/>
      <c r="K527" s="192"/>
      <c r="L527" s="192"/>
      <c r="M527" s="192"/>
      <c r="N527" s="175"/>
      <c r="O527" s="116"/>
      <c r="P527" s="175"/>
      <c r="Q527" s="175"/>
      <c r="R527" s="220"/>
      <c r="S527" s="175"/>
      <c r="T527" s="175"/>
      <c r="U527" s="175"/>
      <c r="V527" s="175"/>
      <c r="W527" s="175"/>
      <c r="X527" s="116"/>
    </row>
    <row r="528" spans="1:24" s="112" customFormat="1">
      <c r="A528" s="116"/>
      <c r="B528" s="115"/>
      <c r="C528" s="115"/>
      <c r="D528" s="131"/>
      <c r="E528" s="177"/>
      <c r="F528" s="28"/>
      <c r="G528" s="118"/>
      <c r="H528" s="192"/>
      <c r="I528" s="192"/>
      <c r="J528" s="175"/>
      <c r="K528" s="192"/>
      <c r="L528" s="192"/>
      <c r="M528" s="192"/>
      <c r="N528" s="175"/>
      <c r="O528" s="116"/>
      <c r="P528" s="175"/>
      <c r="Q528" s="175"/>
      <c r="R528" s="220"/>
      <c r="S528" s="175"/>
      <c r="T528" s="175"/>
      <c r="U528" s="175"/>
      <c r="V528" s="175"/>
      <c r="W528" s="175"/>
      <c r="X528" s="116"/>
    </row>
    <row r="529" spans="1:24" s="112" customFormat="1">
      <c r="A529" s="116"/>
      <c r="B529" s="115"/>
      <c r="C529" s="115"/>
      <c r="D529" s="131"/>
      <c r="E529" s="177"/>
      <c r="F529" s="28"/>
      <c r="G529" s="118"/>
      <c r="H529" s="192"/>
      <c r="I529" s="192"/>
      <c r="J529" s="175"/>
      <c r="K529" s="192"/>
      <c r="L529" s="192"/>
      <c r="M529" s="192"/>
      <c r="N529" s="175"/>
      <c r="O529" s="116"/>
      <c r="P529" s="175"/>
      <c r="Q529" s="175"/>
      <c r="R529" s="220"/>
      <c r="S529" s="175"/>
      <c r="T529" s="175"/>
      <c r="U529" s="175"/>
      <c r="V529" s="175"/>
      <c r="W529" s="175"/>
      <c r="X529" s="116"/>
    </row>
    <row r="530" spans="1:24" s="112" customFormat="1">
      <c r="A530" s="116"/>
      <c r="B530" s="115"/>
      <c r="C530" s="115"/>
      <c r="D530" s="131"/>
      <c r="E530" s="177"/>
      <c r="F530" s="28"/>
      <c r="G530" s="118"/>
      <c r="H530" s="192"/>
      <c r="I530" s="192"/>
      <c r="J530" s="175"/>
      <c r="K530" s="192"/>
      <c r="L530" s="192"/>
      <c r="M530" s="192"/>
      <c r="N530" s="175"/>
      <c r="O530" s="116"/>
      <c r="P530" s="175"/>
      <c r="Q530" s="175"/>
      <c r="R530" s="220"/>
      <c r="S530" s="175"/>
      <c r="T530" s="175"/>
      <c r="U530" s="175"/>
      <c r="V530" s="175"/>
      <c r="W530" s="175"/>
      <c r="X530" s="116"/>
    </row>
    <row r="531" spans="1:24" s="112" customFormat="1">
      <c r="A531" s="116"/>
      <c r="B531" s="115"/>
      <c r="C531" s="115"/>
      <c r="D531" s="131"/>
      <c r="E531" s="177"/>
      <c r="F531" s="28"/>
      <c r="G531" s="118"/>
      <c r="H531" s="192"/>
      <c r="I531" s="192"/>
      <c r="J531" s="175"/>
      <c r="K531" s="192"/>
      <c r="L531" s="192"/>
      <c r="M531" s="192"/>
      <c r="N531" s="175"/>
      <c r="O531" s="116"/>
      <c r="P531" s="175"/>
      <c r="Q531" s="175"/>
      <c r="R531" s="220"/>
      <c r="S531" s="175"/>
      <c r="T531" s="175"/>
      <c r="U531" s="175"/>
      <c r="V531" s="175"/>
      <c r="W531" s="175"/>
      <c r="X531" s="116"/>
    </row>
    <row r="532" spans="1:24" s="112" customFormat="1">
      <c r="A532" s="116"/>
      <c r="B532" s="115"/>
      <c r="C532" s="115"/>
      <c r="D532" s="131"/>
      <c r="E532" s="177"/>
      <c r="F532" s="28"/>
      <c r="G532" s="118"/>
      <c r="H532" s="192"/>
      <c r="I532" s="192"/>
      <c r="J532" s="175"/>
      <c r="K532" s="192"/>
      <c r="L532" s="192"/>
      <c r="M532" s="192"/>
      <c r="N532" s="175"/>
      <c r="O532" s="116"/>
      <c r="P532" s="175"/>
      <c r="Q532" s="175"/>
      <c r="R532" s="220"/>
      <c r="S532" s="175"/>
      <c r="T532" s="175"/>
      <c r="U532" s="175"/>
      <c r="V532" s="175"/>
      <c r="W532" s="175"/>
      <c r="X532" s="116"/>
    </row>
    <row r="533" spans="1:24" s="112" customFormat="1">
      <c r="A533" s="116"/>
      <c r="B533" s="115"/>
      <c r="C533" s="115"/>
      <c r="D533" s="131"/>
      <c r="E533" s="177"/>
      <c r="F533" s="28"/>
      <c r="G533" s="118"/>
      <c r="H533" s="192"/>
      <c r="I533" s="192"/>
      <c r="J533" s="175"/>
      <c r="K533" s="192"/>
      <c r="L533" s="192"/>
      <c r="M533" s="192"/>
      <c r="N533" s="175"/>
      <c r="O533" s="116"/>
      <c r="P533" s="175"/>
      <c r="Q533" s="175"/>
      <c r="R533" s="220"/>
      <c r="S533" s="175"/>
      <c r="T533" s="175"/>
      <c r="U533" s="175"/>
      <c r="V533" s="175"/>
      <c r="W533" s="175"/>
      <c r="X533" s="116"/>
    </row>
    <row r="534" spans="1:24" s="112" customFormat="1">
      <c r="A534" s="116"/>
      <c r="B534" s="115"/>
      <c r="C534" s="115"/>
      <c r="D534" s="131"/>
      <c r="E534" s="177"/>
      <c r="F534" s="28"/>
      <c r="G534" s="118"/>
      <c r="H534" s="192"/>
      <c r="I534" s="192"/>
      <c r="J534" s="175"/>
      <c r="K534" s="192"/>
      <c r="L534" s="192"/>
      <c r="M534" s="192"/>
      <c r="N534" s="175"/>
      <c r="O534" s="116"/>
      <c r="P534" s="175"/>
      <c r="Q534" s="175"/>
      <c r="R534" s="220"/>
      <c r="S534" s="175"/>
      <c r="T534" s="175"/>
      <c r="U534" s="175"/>
      <c r="V534" s="175"/>
      <c r="W534" s="175"/>
      <c r="X534" s="116"/>
    </row>
    <row r="535" spans="1:24" s="112" customFormat="1">
      <c r="A535" s="116"/>
      <c r="B535" s="115"/>
      <c r="C535" s="115"/>
      <c r="D535" s="131"/>
      <c r="E535" s="177"/>
      <c r="F535" s="28"/>
      <c r="G535" s="118"/>
      <c r="H535" s="192"/>
      <c r="I535" s="192"/>
      <c r="J535" s="175"/>
      <c r="K535" s="192"/>
      <c r="L535" s="192"/>
      <c r="M535" s="192"/>
      <c r="N535" s="175"/>
      <c r="O535" s="116"/>
      <c r="P535" s="175"/>
      <c r="Q535" s="175"/>
      <c r="R535" s="220"/>
      <c r="S535" s="175"/>
      <c r="T535" s="175"/>
      <c r="U535" s="175"/>
      <c r="V535" s="175"/>
      <c r="W535" s="175"/>
      <c r="X535" s="116"/>
    </row>
    <row r="536" spans="1:24" s="112" customFormat="1">
      <c r="A536" s="116"/>
      <c r="B536" s="115"/>
      <c r="C536" s="115"/>
      <c r="D536" s="131"/>
      <c r="E536" s="177"/>
      <c r="F536" s="28"/>
      <c r="G536" s="118"/>
      <c r="H536" s="192"/>
      <c r="I536" s="192"/>
      <c r="J536" s="175"/>
      <c r="K536" s="192"/>
      <c r="L536" s="192"/>
      <c r="M536" s="192"/>
      <c r="N536" s="175"/>
      <c r="O536" s="116"/>
      <c r="P536" s="175"/>
      <c r="Q536" s="175"/>
      <c r="R536" s="220"/>
      <c r="S536" s="175"/>
      <c r="T536" s="175"/>
      <c r="U536" s="175"/>
      <c r="V536" s="175"/>
      <c r="W536" s="175"/>
      <c r="X536" s="116"/>
    </row>
    <row r="537" spans="1:24" s="112" customFormat="1">
      <c r="A537" s="116"/>
      <c r="B537" s="115"/>
      <c r="C537" s="115"/>
      <c r="D537" s="131"/>
      <c r="E537" s="177"/>
      <c r="F537" s="28"/>
      <c r="G537" s="118"/>
      <c r="H537" s="192"/>
      <c r="I537" s="192"/>
      <c r="J537" s="175"/>
      <c r="K537" s="192"/>
      <c r="L537" s="192"/>
      <c r="M537" s="192"/>
      <c r="N537" s="175"/>
      <c r="O537" s="116"/>
      <c r="P537" s="175"/>
      <c r="Q537" s="175"/>
      <c r="R537" s="220"/>
      <c r="S537" s="175"/>
      <c r="T537" s="175"/>
      <c r="U537" s="175"/>
      <c r="V537" s="175"/>
      <c r="W537" s="175"/>
      <c r="X537" s="116"/>
    </row>
    <row r="538" spans="1:24" s="112" customFormat="1">
      <c r="A538" s="116"/>
      <c r="B538" s="115"/>
      <c r="C538" s="115"/>
      <c r="D538" s="131"/>
      <c r="E538" s="177"/>
      <c r="F538" s="28"/>
      <c r="G538" s="118"/>
      <c r="H538" s="192"/>
      <c r="I538" s="192"/>
      <c r="J538" s="175"/>
      <c r="K538" s="192"/>
      <c r="L538" s="192"/>
      <c r="M538" s="192"/>
      <c r="N538" s="175"/>
      <c r="O538" s="116"/>
      <c r="P538" s="175"/>
      <c r="Q538" s="175"/>
      <c r="R538" s="220"/>
      <c r="S538" s="175"/>
      <c r="T538" s="175"/>
      <c r="U538" s="175"/>
      <c r="V538" s="175"/>
      <c r="W538" s="175"/>
      <c r="X538" s="116"/>
    </row>
    <row r="539" spans="1:24" s="112" customFormat="1">
      <c r="A539" s="116"/>
      <c r="B539" s="115"/>
      <c r="C539" s="115"/>
      <c r="D539" s="131"/>
      <c r="E539" s="177"/>
      <c r="F539" s="28"/>
      <c r="G539" s="118"/>
      <c r="H539" s="192"/>
      <c r="I539" s="192"/>
      <c r="J539" s="175"/>
      <c r="K539" s="192"/>
      <c r="L539" s="192"/>
      <c r="M539" s="192"/>
      <c r="N539" s="175"/>
      <c r="O539" s="116"/>
      <c r="P539" s="175"/>
      <c r="Q539" s="175"/>
      <c r="R539" s="220"/>
      <c r="S539" s="175"/>
      <c r="T539" s="175"/>
      <c r="U539" s="175"/>
      <c r="V539" s="175"/>
      <c r="W539" s="175"/>
      <c r="X539" s="116"/>
    </row>
    <row r="540" spans="1:24" s="112" customFormat="1">
      <c r="A540" s="116"/>
      <c r="B540" s="115"/>
      <c r="C540" s="115"/>
      <c r="D540" s="131"/>
      <c r="E540" s="177"/>
      <c r="F540" s="28"/>
      <c r="G540" s="118"/>
      <c r="H540" s="192"/>
      <c r="I540" s="192"/>
      <c r="J540" s="175"/>
      <c r="K540" s="192"/>
      <c r="L540" s="192"/>
      <c r="M540" s="192"/>
      <c r="N540" s="175"/>
      <c r="O540" s="116"/>
      <c r="P540" s="175"/>
      <c r="Q540" s="175"/>
      <c r="R540" s="220"/>
      <c r="S540" s="175"/>
      <c r="T540" s="175"/>
      <c r="U540" s="175"/>
      <c r="V540" s="175"/>
      <c r="W540" s="175"/>
      <c r="X540" s="116"/>
    </row>
    <row r="541" spans="1:24" s="112" customFormat="1">
      <c r="A541" s="116"/>
      <c r="B541" s="115"/>
      <c r="C541" s="115"/>
      <c r="D541" s="131"/>
      <c r="E541" s="177"/>
      <c r="F541" s="28"/>
      <c r="G541" s="118"/>
      <c r="H541" s="192"/>
      <c r="I541" s="192"/>
      <c r="J541" s="175"/>
      <c r="K541" s="192"/>
      <c r="L541" s="192"/>
      <c r="M541" s="192"/>
      <c r="N541" s="175"/>
      <c r="O541" s="116"/>
      <c r="P541" s="175"/>
      <c r="Q541" s="175"/>
      <c r="R541" s="220"/>
      <c r="S541" s="175"/>
      <c r="T541" s="175"/>
      <c r="U541" s="175"/>
      <c r="V541" s="175"/>
      <c r="W541" s="175"/>
      <c r="X541" s="116"/>
    </row>
    <row r="542" spans="1:24" s="112" customFormat="1">
      <c r="A542" s="116"/>
      <c r="B542" s="115"/>
      <c r="C542" s="115"/>
      <c r="D542" s="131"/>
      <c r="E542" s="177"/>
      <c r="F542" s="28"/>
      <c r="G542" s="118"/>
      <c r="H542" s="192"/>
      <c r="I542" s="192"/>
      <c r="J542" s="175"/>
      <c r="K542" s="192"/>
      <c r="L542" s="192"/>
      <c r="M542" s="192"/>
      <c r="N542" s="175"/>
      <c r="O542" s="116"/>
      <c r="P542" s="175"/>
      <c r="Q542" s="175"/>
      <c r="R542" s="220"/>
      <c r="S542" s="175"/>
      <c r="T542" s="175"/>
      <c r="U542" s="175"/>
      <c r="V542" s="175"/>
      <c r="W542" s="175"/>
      <c r="X542" s="116"/>
    </row>
    <row r="543" spans="1:24" s="112" customFormat="1">
      <c r="A543" s="116"/>
      <c r="B543" s="115"/>
      <c r="C543" s="115"/>
      <c r="D543" s="131"/>
      <c r="E543" s="177"/>
      <c r="F543" s="28"/>
      <c r="G543" s="118"/>
      <c r="H543" s="192"/>
      <c r="I543" s="192"/>
      <c r="J543" s="175"/>
      <c r="K543" s="192"/>
      <c r="L543" s="192"/>
      <c r="M543" s="192"/>
      <c r="N543" s="175"/>
      <c r="O543" s="116"/>
      <c r="P543" s="175"/>
      <c r="Q543" s="175"/>
      <c r="R543" s="220"/>
      <c r="S543" s="175"/>
      <c r="T543" s="175"/>
      <c r="U543" s="175"/>
      <c r="V543" s="175"/>
      <c r="W543" s="175"/>
      <c r="X543" s="116"/>
    </row>
    <row r="544" spans="1:24" s="112" customFormat="1">
      <c r="A544" s="116"/>
      <c r="B544" s="115"/>
      <c r="C544" s="115"/>
      <c r="D544" s="131"/>
      <c r="E544" s="177"/>
      <c r="F544" s="28"/>
      <c r="G544" s="118"/>
      <c r="H544" s="192"/>
      <c r="I544" s="192"/>
      <c r="J544" s="175"/>
      <c r="K544" s="192"/>
      <c r="L544" s="192"/>
      <c r="M544" s="192"/>
      <c r="N544" s="175"/>
      <c r="O544" s="116"/>
      <c r="P544" s="175"/>
      <c r="Q544" s="175"/>
      <c r="R544" s="220"/>
      <c r="S544" s="175"/>
      <c r="T544" s="175"/>
      <c r="U544" s="175"/>
      <c r="V544" s="175"/>
      <c r="W544" s="175"/>
      <c r="X544" s="116"/>
    </row>
    <row r="545" spans="1:24" s="112" customFormat="1">
      <c r="A545" s="116"/>
      <c r="B545" s="115"/>
      <c r="C545" s="115"/>
      <c r="D545" s="131"/>
      <c r="E545" s="177"/>
      <c r="F545" s="28"/>
      <c r="G545" s="118"/>
      <c r="H545" s="192"/>
      <c r="I545" s="192"/>
      <c r="J545" s="175"/>
      <c r="K545" s="192"/>
      <c r="L545" s="192"/>
      <c r="M545" s="192"/>
      <c r="N545" s="175"/>
      <c r="O545" s="116"/>
      <c r="P545" s="175"/>
      <c r="Q545" s="175"/>
      <c r="R545" s="220"/>
      <c r="S545" s="175"/>
      <c r="T545" s="175"/>
      <c r="U545" s="175"/>
      <c r="V545" s="175"/>
      <c r="W545" s="175"/>
      <c r="X545" s="116"/>
    </row>
    <row r="546" spans="1:24" s="112" customFormat="1">
      <c r="A546" s="116"/>
      <c r="B546" s="115"/>
      <c r="C546" s="115"/>
      <c r="D546" s="131"/>
      <c r="E546" s="177"/>
      <c r="F546" s="28"/>
      <c r="G546" s="118"/>
      <c r="H546" s="192"/>
      <c r="I546" s="192"/>
      <c r="J546" s="175"/>
      <c r="K546" s="192"/>
      <c r="L546" s="192"/>
      <c r="M546" s="192"/>
      <c r="N546" s="175"/>
      <c r="O546" s="116"/>
      <c r="P546" s="175"/>
      <c r="Q546" s="175"/>
      <c r="R546" s="220"/>
      <c r="S546" s="175"/>
      <c r="T546" s="175"/>
      <c r="U546" s="175"/>
      <c r="V546" s="175"/>
      <c r="W546" s="175"/>
      <c r="X546" s="116"/>
    </row>
    <row r="547" spans="1:24" s="112" customFormat="1">
      <c r="A547" s="116"/>
      <c r="B547" s="115"/>
      <c r="C547" s="115"/>
      <c r="D547" s="131"/>
      <c r="E547" s="177"/>
      <c r="F547" s="28"/>
      <c r="G547" s="118"/>
      <c r="H547" s="192"/>
      <c r="I547" s="192"/>
      <c r="J547" s="175"/>
      <c r="K547" s="192"/>
      <c r="L547" s="192"/>
      <c r="M547" s="192"/>
      <c r="N547" s="175"/>
      <c r="O547" s="116"/>
      <c r="P547" s="175"/>
      <c r="Q547" s="175"/>
      <c r="R547" s="220"/>
      <c r="S547" s="175"/>
      <c r="T547" s="175"/>
      <c r="U547" s="175"/>
      <c r="V547" s="175"/>
      <c r="W547" s="175"/>
      <c r="X547" s="116"/>
    </row>
    <row r="548" spans="1:24" s="112" customFormat="1">
      <c r="A548" s="116"/>
      <c r="B548" s="115"/>
      <c r="C548" s="115"/>
      <c r="D548" s="131"/>
      <c r="E548" s="177"/>
      <c r="F548" s="28"/>
      <c r="G548" s="118"/>
      <c r="H548" s="192"/>
      <c r="I548" s="192"/>
      <c r="J548" s="175"/>
      <c r="K548" s="192"/>
      <c r="L548" s="192"/>
      <c r="M548" s="192"/>
      <c r="N548" s="175"/>
      <c r="O548" s="116"/>
      <c r="P548" s="175"/>
      <c r="Q548" s="175"/>
      <c r="R548" s="220"/>
      <c r="S548" s="175"/>
      <c r="T548" s="175"/>
      <c r="U548" s="175"/>
      <c r="V548" s="175"/>
      <c r="W548" s="175"/>
      <c r="X548" s="116"/>
    </row>
    <row r="549" spans="1:24" s="112" customFormat="1">
      <c r="A549" s="116"/>
      <c r="B549" s="115"/>
      <c r="C549" s="115"/>
      <c r="D549" s="131"/>
      <c r="E549" s="177"/>
      <c r="F549" s="28"/>
      <c r="G549" s="118"/>
      <c r="H549" s="192"/>
      <c r="I549" s="192"/>
      <c r="J549" s="175"/>
      <c r="K549" s="192"/>
      <c r="L549" s="192"/>
      <c r="M549" s="192"/>
      <c r="N549" s="175"/>
      <c r="O549" s="116"/>
      <c r="P549" s="175"/>
      <c r="Q549" s="175"/>
      <c r="R549" s="220"/>
      <c r="S549" s="175"/>
      <c r="T549" s="175"/>
      <c r="U549" s="175"/>
      <c r="V549" s="175"/>
      <c r="W549" s="175"/>
      <c r="X549" s="116"/>
    </row>
    <row r="550" spans="1:24" s="112" customFormat="1">
      <c r="A550" s="116"/>
      <c r="B550" s="115"/>
      <c r="C550" s="115"/>
      <c r="D550" s="131"/>
      <c r="E550" s="177"/>
      <c r="F550" s="28"/>
      <c r="G550" s="118"/>
      <c r="H550" s="192"/>
      <c r="I550" s="192"/>
      <c r="J550" s="175"/>
      <c r="K550" s="192"/>
      <c r="L550" s="192"/>
      <c r="M550" s="192"/>
      <c r="N550" s="175"/>
      <c r="O550" s="116"/>
      <c r="P550" s="175"/>
      <c r="Q550" s="175"/>
      <c r="R550" s="220"/>
      <c r="S550" s="175"/>
      <c r="T550" s="175"/>
      <c r="U550" s="175"/>
      <c r="V550" s="175"/>
      <c r="W550" s="175"/>
      <c r="X550" s="116"/>
    </row>
    <row r="551" spans="1:24" s="112" customFormat="1">
      <c r="A551" s="116"/>
      <c r="B551" s="115"/>
      <c r="C551" s="115"/>
      <c r="D551" s="131"/>
      <c r="E551" s="177"/>
      <c r="F551" s="28"/>
      <c r="G551" s="118"/>
      <c r="H551" s="192"/>
      <c r="I551" s="192"/>
      <c r="J551" s="175"/>
      <c r="K551" s="192"/>
      <c r="L551" s="192"/>
      <c r="M551" s="192"/>
      <c r="N551" s="175"/>
      <c r="O551" s="116"/>
      <c r="P551" s="175"/>
      <c r="Q551" s="175"/>
      <c r="R551" s="220"/>
      <c r="S551" s="175"/>
      <c r="T551" s="175"/>
      <c r="U551" s="175"/>
      <c r="V551" s="175"/>
      <c r="W551" s="175"/>
      <c r="X551" s="116"/>
    </row>
    <row r="552" spans="1:24" s="112" customFormat="1">
      <c r="A552" s="116"/>
      <c r="B552" s="115"/>
      <c r="C552" s="115"/>
      <c r="D552" s="131"/>
      <c r="E552" s="177"/>
      <c r="F552" s="28"/>
      <c r="G552" s="118"/>
      <c r="H552" s="192"/>
      <c r="I552" s="192"/>
      <c r="J552" s="175"/>
      <c r="K552" s="192"/>
      <c r="L552" s="192"/>
      <c r="M552" s="192"/>
      <c r="N552" s="175"/>
      <c r="O552" s="116"/>
      <c r="P552" s="175"/>
      <c r="Q552" s="175"/>
      <c r="R552" s="220"/>
      <c r="S552" s="175"/>
      <c r="T552" s="175"/>
      <c r="U552" s="175"/>
      <c r="V552" s="175"/>
      <c r="W552" s="175"/>
      <c r="X552" s="116"/>
    </row>
    <row r="553" spans="1:24" s="112" customFormat="1">
      <c r="A553" s="116"/>
      <c r="B553" s="115"/>
      <c r="C553" s="115"/>
      <c r="D553" s="131"/>
      <c r="E553" s="177"/>
      <c r="F553" s="28"/>
      <c r="G553" s="118"/>
      <c r="H553" s="192"/>
      <c r="I553" s="192"/>
      <c r="J553" s="175"/>
      <c r="K553" s="192"/>
      <c r="L553" s="192"/>
      <c r="M553" s="192"/>
      <c r="N553" s="175"/>
      <c r="O553" s="116"/>
      <c r="P553" s="175"/>
      <c r="Q553" s="175"/>
      <c r="R553" s="220"/>
      <c r="S553" s="175"/>
      <c r="T553" s="175"/>
      <c r="U553" s="175"/>
      <c r="V553" s="175"/>
      <c r="W553" s="175"/>
      <c r="X553" s="116"/>
    </row>
    <row r="554" spans="1:24" s="112" customFormat="1">
      <c r="A554" s="116"/>
      <c r="B554" s="115"/>
      <c r="C554" s="115"/>
      <c r="D554" s="131"/>
      <c r="E554" s="177"/>
      <c r="F554" s="28"/>
      <c r="G554" s="118"/>
      <c r="H554" s="192"/>
      <c r="I554" s="192"/>
      <c r="J554" s="175"/>
      <c r="K554" s="192"/>
      <c r="L554" s="192"/>
      <c r="M554" s="192"/>
      <c r="N554" s="175"/>
      <c r="O554" s="116"/>
      <c r="P554" s="175"/>
      <c r="Q554" s="175"/>
      <c r="R554" s="220"/>
      <c r="S554" s="175"/>
      <c r="T554" s="175"/>
      <c r="U554" s="175"/>
      <c r="V554" s="175"/>
      <c r="W554" s="175"/>
      <c r="X554" s="116"/>
    </row>
    <row r="555" spans="1:24" s="112" customFormat="1">
      <c r="A555" s="116"/>
      <c r="B555" s="115"/>
      <c r="C555" s="115"/>
      <c r="D555" s="131"/>
      <c r="E555" s="177"/>
      <c r="F555" s="28"/>
      <c r="G555" s="118"/>
      <c r="H555" s="192"/>
      <c r="I555" s="192"/>
      <c r="J555" s="175"/>
      <c r="K555" s="192"/>
      <c r="L555" s="192"/>
      <c r="M555" s="192"/>
      <c r="N555" s="175"/>
      <c r="O555" s="116"/>
      <c r="P555" s="175"/>
      <c r="Q555" s="175"/>
      <c r="R555" s="220"/>
      <c r="S555" s="175"/>
      <c r="T555" s="175"/>
      <c r="U555" s="175"/>
      <c r="V555" s="175"/>
      <c r="W555" s="175"/>
      <c r="X555" s="116"/>
    </row>
    <row r="556" spans="1:24" s="112" customFormat="1">
      <c r="A556" s="116"/>
      <c r="B556" s="115"/>
      <c r="C556" s="115"/>
      <c r="D556" s="131"/>
      <c r="E556" s="177"/>
      <c r="F556" s="28"/>
      <c r="G556" s="118"/>
      <c r="H556" s="192"/>
      <c r="I556" s="192"/>
      <c r="J556" s="175"/>
      <c r="K556" s="192"/>
      <c r="L556" s="192"/>
      <c r="M556" s="192"/>
      <c r="N556" s="175"/>
      <c r="O556" s="116"/>
      <c r="P556" s="175"/>
      <c r="Q556" s="175"/>
      <c r="R556" s="220"/>
      <c r="S556" s="175"/>
      <c r="T556" s="175"/>
      <c r="U556" s="175"/>
      <c r="V556" s="175"/>
      <c r="W556" s="175"/>
      <c r="X556" s="116"/>
    </row>
    <row r="557" spans="1:24" s="112" customFormat="1">
      <c r="A557" s="116"/>
      <c r="B557" s="115"/>
      <c r="C557" s="115"/>
      <c r="D557" s="131"/>
      <c r="E557" s="177"/>
      <c r="F557" s="28"/>
      <c r="G557" s="118"/>
      <c r="H557" s="192"/>
      <c r="I557" s="192"/>
      <c r="J557" s="175"/>
      <c r="K557" s="192"/>
      <c r="L557" s="192"/>
      <c r="M557" s="192"/>
      <c r="N557" s="175"/>
      <c r="O557" s="116"/>
      <c r="P557" s="175"/>
      <c r="Q557" s="175"/>
      <c r="R557" s="220"/>
      <c r="S557" s="175"/>
      <c r="T557" s="175"/>
      <c r="U557" s="175"/>
      <c r="V557" s="175"/>
      <c r="W557" s="175"/>
      <c r="X557" s="116"/>
    </row>
    <row r="558" spans="1:24" s="112" customFormat="1">
      <c r="A558" s="116"/>
      <c r="B558" s="115"/>
      <c r="C558" s="115"/>
      <c r="D558" s="131"/>
      <c r="E558" s="177"/>
      <c r="F558" s="28"/>
      <c r="G558" s="118"/>
      <c r="H558" s="192"/>
      <c r="I558" s="192"/>
      <c r="J558" s="175"/>
      <c r="K558" s="192"/>
      <c r="L558" s="192"/>
      <c r="M558" s="192"/>
      <c r="N558" s="175"/>
      <c r="O558" s="116"/>
      <c r="P558" s="175"/>
      <c r="Q558" s="175"/>
      <c r="R558" s="220"/>
      <c r="S558" s="175"/>
      <c r="T558" s="175"/>
      <c r="U558" s="175"/>
      <c r="V558" s="175"/>
      <c r="W558" s="175"/>
      <c r="X558" s="116"/>
    </row>
    <row r="559" spans="1:24" s="112" customFormat="1">
      <c r="A559" s="116"/>
      <c r="B559" s="115"/>
      <c r="C559" s="115"/>
      <c r="D559" s="131"/>
      <c r="E559" s="177"/>
      <c r="F559" s="28"/>
      <c r="G559" s="118"/>
      <c r="H559" s="192"/>
      <c r="I559" s="192"/>
      <c r="J559" s="175"/>
      <c r="K559" s="192"/>
      <c r="L559" s="192"/>
      <c r="M559" s="192"/>
      <c r="N559" s="175"/>
      <c r="O559" s="116"/>
      <c r="P559" s="175"/>
      <c r="Q559" s="175"/>
      <c r="R559" s="220"/>
      <c r="S559" s="175"/>
      <c r="T559" s="175"/>
      <c r="U559" s="175"/>
      <c r="V559" s="175"/>
      <c r="W559" s="175"/>
      <c r="X559" s="116"/>
    </row>
    <row r="560" spans="1:24" s="112" customFormat="1">
      <c r="A560" s="116"/>
      <c r="B560" s="115"/>
      <c r="C560" s="115"/>
      <c r="D560" s="131"/>
      <c r="E560" s="177"/>
      <c r="F560" s="28"/>
      <c r="G560" s="118"/>
      <c r="H560" s="192"/>
      <c r="I560" s="192"/>
      <c r="J560" s="175"/>
      <c r="K560" s="192"/>
      <c r="L560" s="192"/>
      <c r="M560" s="192"/>
      <c r="N560" s="175"/>
      <c r="O560" s="116"/>
      <c r="P560" s="175"/>
      <c r="Q560" s="175"/>
      <c r="R560" s="220"/>
      <c r="S560" s="175"/>
      <c r="T560" s="175"/>
      <c r="U560" s="175"/>
      <c r="V560" s="175"/>
      <c r="W560" s="175"/>
      <c r="X560" s="116"/>
    </row>
    <row r="561" spans="1:24" s="112" customFormat="1">
      <c r="A561" s="116"/>
      <c r="B561" s="115"/>
      <c r="C561" s="115"/>
      <c r="D561" s="131"/>
      <c r="E561" s="177"/>
      <c r="F561" s="28"/>
      <c r="G561" s="118"/>
      <c r="H561" s="192"/>
      <c r="I561" s="192"/>
      <c r="J561" s="175"/>
      <c r="K561" s="192"/>
      <c r="L561" s="192"/>
      <c r="M561" s="192"/>
      <c r="N561" s="175"/>
      <c r="O561" s="116"/>
      <c r="P561" s="175"/>
      <c r="Q561" s="175"/>
      <c r="R561" s="220"/>
      <c r="S561" s="175"/>
      <c r="T561" s="175"/>
      <c r="U561" s="175"/>
      <c r="V561" s="175"/>
      <c r="W561" s="175"/>
      <c r="X561" s="116"/>
    </row>
    <row r="562" spans="1:24" s="112" customFormat="1">
      <c r="A562" s="116"/>
      <c r="B562" s="115"/>
      <c r="C562" s="115"/>
      <c r="D562" s="131"/>
      <c r="E562" s="177"/>
      <c r="F562" s="28"/>
      <c r="G562" s="118"/>
      <c r="H562" s="192"/>
      <c r="I562" s="192"/>
      <c r="J562" s="175"/>
      <c r="K562" s="192"/>
      <c r="L562" s="192"/>
      <c r="M562" s="192"/>
      <c r="N562" s="175"/>
      <c r="O562" s="116"/>
      <c r="P562" s="175"/>
      <c r="Q562" s="175"/>
      <c r="R562" s="220"/>
      <c r="S562" s="175"/>
      <c r="T562" s="175"/>
      <c r="U562" s="175"/>
      <c r="V562" s="175"/>
      <c r="W562" s="175"/>
      <c r="X562" s="116"/>
    </row>
    <row r="563" spans="1:24" s="112" customFormat="1">
      <c r="A563" s="116"/>
      <c r="B563" s="115"/>
      <c r="C563" s="115"/>
      <c r="D563" s="131"/>
      <c r="E563" s="177"/>
      <c r="F563" s="28"/>
      <c r="G563" s="118"/>
      <c r="H563" s="192"/>
      <c r="I563" s="192"/>
      <c r="J563" s="175"/>
      <c r="K563" s="192"/>
      <c r="L563" s="192"/>
      <c r="M563" s="192"/>
      <c r="N563" s="175"/>
      <c r="O563" s="116"/>
      <c r="P563" s="175"/>
      <c r="Q563" s="175"/>
      <c r="R563" s="220"/>
      <c r="S563" s="175"/>
      <c r="T563" s="175"/>
      <c r="U563" s="175"/>
      <c r="V563" s="175"/>
      <c r="W563" s="175"/>
      <c r="X563" s="116"/>
    </row>
    <row r="564" spans="1:24" s="112" customFormat="1">
      <c r="A564" s="116"/>
      <c r="B564" s="115"/>
      <c r="C564" s="115"/>
      <c r="D564" s="131"/>
      <c r="E564" s="177"/>
      <c r="F564" s="28"/>
      <c r="G564" s="118"/>
      <c r="H564" s="192"/>
      <c r="I564" s="192"/>
      <c r="J564" s="175"/>
      <c r="K564" s="192"/>
      <c r="L564" s="192"/>
      <c r="M564" s="192"/>
      <c r="N564" s="175"/>
      <c r="O564" s="116"/>
      <c r="P564" s="175"/>
      <c r="Q564" s="175"/>
      <c r="R564" s="220"/>
      <c r="S564" s="175"/>
      <c r="T564" s="175"/>
      <c r="U564" s="175"/>
      <c r="V564" s="175"/>
      <c r="W564" s="175"/>
      <c r="X564" s="116"/>
    </row>
    <row r="565" spans="1:24" s="112" customFormat="1">
      <c r="A565" s="116"/>
      <c r="B565" s="115"/>
      <c r="C565" s="115"/>
      <c r="D565" s="131"/>
      <c r="E565" s="177"/>
      <c r="F565" s="28"/>
      <c r="G565" s="118"/>
      <c r="H565" s="192"/>
      <c r="I565" s="192"/>
      <c r="J565" s="175"/>
      <c r="K565" s="192"/>
      <c r="L565" s="192"/>
      <c r="M565" s="192"/>
      <c r="N565" s="175"/>
      <c r="O565" s="116"/>
      <c r="P565" s="175"/>
      <c r="Q565" s="175"/>
      <c r="R565" s="220"/>
      <c r="S565" s="175"/>
      <c r="T565" s="175"/>
      <c r="U565" s="175"/>
      <c r="V565" s="175"/>
      <c r="W565" s="175"/>
      <c r="X565" s="116"/>
    </row>
    <row r="566" spans="1:24" s="112" customFormat="1">
      <c r="A566" s="116"/>
      <c r="B566" s="115"/>
      <c r="C566" s="115"/>
      <c r="D566" s="131"/>
      <c r="E566" s="177"/>
      <c r="F566" s="28"/>
      <c r="G566" s="118"/>
      <c r="H566" s="192"/>
      <c r="I566" s="192"/>
      <c r="J566" s="175"/>
      <c r="K566" s="192"/>
      <c r="L566" s="192"/>
      <c r="M566" s="192"/>
      <c r="N566" s="175"/>
      <c r="O566" s="116"/>
      <c r="P566" s="175"/>
      <c r="Q566" s="175"/>
      <c r="R566" s="220"/>
      <c r="S566" s="175"/>
      <c r="T566" s="175"/>
      <c r="U566" s="175"/>
      <c r="V566" s="175"/>
      <c r="W566" s="175"/>
      <c r="X566" s="116"/>
    </row>
    <row r="567" spans="1:24" s="112" customFormat="1">
      <c r="A567" s="116"/>
      <c r="B567" s="115"/>
      <c r="C567" s="115"/>
      <c r="D567" s="131"/>
      <c r="E567" s="177"/>
      <c r="F567" s="28"/>
      <c r="G567" s="118"/>
      <c r="H567" s="192"/>
      <c r="I567" s="192"/>
      <c r="J567" s="175"/>
      <c r="K567" s="192"/>
      <c r="L567" s="192"/>
      <c r="M567" s="192"/>
      <c r="N567" s="175"/>
      <c r="O567" s="116"/>
      <c r="P567" s="175"/>
      <c r="Q567" s="175"/>
      <c r="R567" s="220"/>
      <c r="S567" s="175"/>
      <c r="T567" s="175"/>
      <c r="U567" s="175"/>
      <c r="V567" s="175"/>
      <c r="W567" s="175"/>
      <c r="X567" s="116"/>
    </row>
    <row r="568" spans="1:24" s="112" customFormat="1">
      <c r="A568" s="116"/>
      <c r="B568" s="115"/>
      <c r="C568" s="115"/>
      <c r="D568" s="131"/>
      <c r="E568" s="177"/>
      <c r="F568" s="28"/>
      <c r="G568" s="118"/>
      <c r="H568" s="192"/>
      <c r="I568" s="192"/>
      <c r="J568" s="175"/>
      <c r="K568" s="192"/>
      <c r="L568" s="192"/>
      <c r="M568" s="192"/>
      <c r="N568" s="175"/>
      <c r="O568" s="116"/>
      <c r="P568" s="175"/>
      <c r="Q568" s="175"/>
      <c r="R568" s="220"/>
      <c r="S568" s="175"/>
      <c r="T568" s="175"/>
      <c r="U568" s="175"/>
      <c r="V568" s="175"/>
      <c r="W568" s="175"/>
      <c r="X568" s="116"/>
    </row>
    <row r="569" spans="1:24" s="112" customFormat="1">
      <c r="A569" s="116"/>
      <c r="B569" s="115"/>
      <c r="C569" s="115"/>
      <c r="D569" s="131"/>
      <c r="E569" s="177"/>
      <c r="F569" s="28"/>
      <c r="G569" s="118"/>
      <c r="H569" s="192"/>
      <c r="I569" s="192"/>
      <c r="J569" s="175"/>
      <c r="K569" s="192"/>
      <c r="L569" s="192"/>
      <c r="M569" s="192"/>
      <c r="N569" s="175"/>
      <c r="O569" s="116"/>
      <c r="P569" s="175"/>
      <c r="Q569" s="175"/>
      <c r="R569" s="220"/>
      <c r="S569" s="175"/>
      <c r="T569" s="175"/>
      <c r="U569" s="175"/>
      <c r="V569" s="175"/>
      <c r="W569" s="175"/>
      <c r="X569" s="116"/>
    </row>
    <row r="570" spans="1:24" s="112" customFormat="1">
      <c r="A570" s="116"/>
      <c r="B570" s="115"/>
      <c r="C570" s="115"/>
      <c r="D570" s="131"/>
      <c r="E570" s="177"/>
      <c r="F570" s="28"/>
      <c r="G570" s="118"/>
      <c r="H570" s="192"/>
      <c r="I570" s="192"/>
      <c r="J570" s="175"/>
      <c r="K570" s="192"/>
      <c r="L570" s="192"/>
      <c r="M570" s="192"/>
      <c r="N570" s="175"/>
      <c r="O570" s="116"/>
      <c r="P570" s="175"/>
      <c r="Q570" s="175"/>
      <c r="R570" s="220"/>
      <c r="S570" s="175"/>
      <c r="T570" s="175"/>
      <c r="U570" s="175"/>
      <c r="V570" s="175"/>
      <c r="W570" s="175"/>
      <c r="X570" s="116"/>
    </row>
    <row r="571" spans="1:24" s="112" customFormat="1">
      <c r="A571" s="116"/>
      <c r="B571" s="115"/>
      <c r="C571" s="115"/>
      <c r="D571" s="131"/>
      <c r="E571" s="177"/>
      <c r="F571" s="28"/>
      <c r="G571" s="118"/>
      <c r="H571" s="192"/>
      <c r="I571" s="192"/>
      <c r="J571" s="175"/>
      <c r="K571" s="192"/>
      <c r="L571" s="192"/>
      <c r="M571" s="192"/>
      <c r="N571" s="175"/>
      <c r="O571" s="116"/>
      <c r="P571" s="175"/>
      <c r="Q571" s="175"/>
      <c r="R571" s="220"/>
      <c r="S571" s="175"/>
      <c r="T571" s="175"/>
      <c r="U571" s="175"/>
      <c r="V571" s="175"/>
      <c r="W571" s="175"/>
      <c r="X571" s="116"/>
    </row>
    <row r="572" spans="1:24" s="112" customFormat="1">
      <c r="A572" s="116"/>
      <c r="B572" s="115"/>
      <c r="C572" s="115"/>
      <c r="D572" s="131"/>
      <c r="E572" s="177"/>
      <c r="F572" s="28"/>
      <c r="G572" s="118"/>
      <c r="H572" s="192"/>
      <c r="I572" s="192"/>
      <c r="J572" s="175"/>
      <c r="K572" s="192"/>
      <c r="L572" s="192"/>
      <c r="M572" s="192"/>
      <c r="N572" s="175"/>
      <c r="O572" s="116"/>
      <c r="P572" s="175"/>
      <c r="Q572" s="175"/>
      <c r="R572" s="220"/>
      <c r="S572" s="175"/>
      <c r="T572" s="175"/>
      <c r="U572" s="175"/>
      <c r="V572" s="175"/>
      <c r="W572" s="175"/>
      <c r="X572" s="116"/>
    </row>
    <row r="573" spans="1:24" s="112" customFormat="1">
      <c r="A573" s="116"/>
      <c r="B573" s="115"/>
      <c r="C573" s="115"/>
      <c r="D573" s="131"/>
      <c r="E573" s="177"/>
      <c r="F573" s="28"/>
      <c r="G573" s="118"/>
      <c r="H573" s="192"/>
      <c r="I573" s="192"/>
      <c r="J573" s="175"/>
      <c r="K573" s="192"/>
      <c r="L573" s="192"/>
      <c r="M573" s="192"/>
      <c r="N573" s="175"/>
      <c r="O573" s="116"/>
      <c r="P573" s="175"/>
      <c r="Q573" s="175"/>
      <c r="R573" s="220"/>
      <c r="S573" s="175"/>
      <c r="T573" s="175"/>
      <c r="U573" s="175"/>
      <c r="V573" s="175"/>
      <c r="W573" s="175"/>
      <c r="X573" s="116"/>
    </row>
    <row r="574" spans="1:24" s="112" customFormat="1">
      <c r="A574" s="116"/>
      <c r="B574" s="115"/>
      <c r="C574" s="115"/>
      <c r="D574" s="131"/>
      <c r="E574" s="177"/>
      <c r="F574" s="28"/>
      <c r="G574" s="118"/>
      <c r="H574" s="192"/>
      <c r="I574" s="192"/>
      <c r="J574" s="175"/>
      <c r="K574" s="192"/>
      <c r="L574" s="192"/>
      <c r="M574" s="192"/>
      <c r="N574" s="175"/>
      <c r="O574" s="116"/>
      <c r="P574" s="175"/>
      <c r="Q574" s="175"/>
      <c r="R574" s="220"/>
      <c r="S574" s="175"/>
      <c r="T574" s="175"/>
      <c r="U574" s="175"/>
      <c r="V574" s="175"/>
      <c r="W574" s="175"/>
      <c r="X574" s="116"/>
    </row>
    <row r="575" spans="1:24" s="112" customFormat="1">
      <c r="A575" s="116"/>
      <c r="B575" s="115"/>
      <c r="C575" s="115"/>
      <c r="D575" s="131"/>
      <c r="E575" s="177"/>
      <c r="F575" s="28"/>
      <c r="G575" s="118"/>
      <c r="H575" s="192"/>
      <c r="I575" s="192"/>
      <c r="J575" s="175"/>
      <c r="K575" s="192"/>
      <c r="L575" s="192"/>
      <c r="M575" s="192"/>
      <c r="N575" s="175"/>
      <c r="O575" s="116"/>
      <c r="P575" s="175"/>
      <c r="Q575" s="175"/>
      <c r="R575" s="220"/>
      <c r="S575" s="175"/>
      <c r="T575" s="175"/>
      <c r="U575" s="175"/>
      <c r="V575" s="175"/>
      <c r="W575" s="175"/>
      <c r="X575" s="116"/>
    </row>
    <row r="576" spans="1:24" s="112" customFormat="1">
      <c r="A576" s="116"/>
      <c r="B576" s="115"/>
      <c r="C576" s="115"/>
      <c r="D576" s="131"/>
      <c r="E576" s="177"/>
      <c r="F576" s="28"/>
      <c r="G576" s="118"/>
      <c r="H576" s="192"/>
      <c r="I576" s="192"/>
      <c r="J576" s="175"/>
      <c r="K576" s="192"/>
      <c r="L576" s="192"/>
      <c r="M576" s="192"/>
      <c r="N576" s="175"/>
      <c r="O576" s="116"/>
      <c r="P576" s="175"/>
      <c r="Q576" s="175"/>
      <c r="R576" s="220"/>
      <c r="S576" s="175"/>
      <c r="T576" s="175"/>
      <c r="U576" s="175"/>
      <c r="V576" s="175"/>
      <c r="W576" s="175"/>
      <c r="X576" s="116"/>
    </row>
    <row r="577" spans="1:24" s="112" customFormat="1">
      <c r="A577" s="116"/>
      <c r="B577" s="115"/>
      <c r="C577" s="115"/>
      <c r="D577" s="131"/>
      <c r="E577" s="177"/>
      <c r="F577" s="28"/>
      <c r="G577" s="118"/>
      <c r="H577" s="192"/>
      <c r="I577" s="192"/>
      <c r="J577" s="175"/>
      <c r="K577" s="192"/>
      <c r="L577" s="192"/>
      <c r="M577" s="192"/>
      <c r="N577" s="175"/>
      <c r="O577" s="116"/>
      <c r="P577" s="175"/>
      <c r="Q577" s="175"/>
      <c r="R577" s="220"/>
      <c r="S577" s="175"/>
      <c r="T577" s="175"/>
      <c r="U577" s="175"/>
      <c r="V577" s="175"/>
      <c r="W577" s="175"/>
      <c r="X577" s="116"/>
    </row>
    <row r="578" spans="1:24" s="112" customFormat="1">
      <c r="A578" s="116"/>
      <c r="B578" s="115"/>
      <c r="C578" s="115"/>
      <c r="D578" s="131"/>
      <c r="E578" s="177"/>
      <c r="F578" s="28"/>
      <c r="G578" s="118"/>
      <c r="H578" s="192"/>
      <c r="I578" s="192"/>
      <c r="J578" s="175"/>
      <c r="K578" s="192"/>
      <c r="L578" s="192"/>
      <c r="M578" s="192"/>
      <c r="N578" s="175"/>
      <c r="O578" s="116"/>
      <c r="P578" s="175"/>
      <c r="Q578" s="175"/>
      <c r="R578" s="220"/>
      <c r="S578" s="175"/>
      <c r="T578" s="175"/>
      <c r="U578" s="175"/>
      <c r="V578" s="175"/>
      <c r="W578" s="175"/>
      <c r="X578" s="116"/>
    </row>
    <row r="579" spans="1:24" s="112" customFormat="1">
      <c r="A579" s="116"/>
      <c r="B579" s="115"/>
      <c r="C579" s="115"/>
      <c r="D579" s="131"/>
      <c r="E579" s="177"/>
      <c r="F579" s="28"/>
      <c r="G579" s="118"/>
      <c r="H579" s="192"/>
      <c r="I579" s="192"/>
      <c r="J579" s="175"/>
      <c r="K579" s="192"/>
      <c r="L579" s="192"/>
      <c r="M579" s="192"/>
      <c r="N579" s="175"/>
      <c r="O579" s="116"/>
      <c r="P579" s="175"/>
      <c r="Q579" s="175"/>
      <c r="R579" s="220"/>
      <c r="S579" s="175"/>
      <c r="T579" s="175"/>
      <c r="U579" s="175"/>
      <c r="V579" s="175"/>
      <c r="W579" s="175"/>
      <c r="X579" s="116"/>
    </row>
    <row r="580" spans="1:24" s="112" customFormat="1">
      <c r="A580" s="116"/>
      <c r="B580" s="115"/>
      <c r="C580" s="115"/>
      <c r="D580" s="131"/>
      <c r="E580" s="177"/>
      <c r="F580" s="28"/>
      <c r="G580" s="118"/>
      <c r="H580" s="192"/>
      <c r="I580" s="192"/>
      <c r="J580" s="175"/>
      <c r="K580" s="192"/>
      <c r="L580" s="192"/>
      <c r="M580" s="192"/>
      <c r="N580" s="175"/>
      <c r="O580" s="116"/>
      <c r="P580" s="175"/>
      <c r="Q580" s="175"/>
      <c r="R580" s="220"/>
      <c r="S580" s="175"/>
      <c r="T580" s="175"/>
      <c r="U580" s="175"/>
      <c r="V580" s="175"/>
      <c r="W580" s="175"/>
      <c r="X580" s="116"/>
    </row>
    <row r="581" spans="1:24" s="112" customFormat="1">
      <c r="A581" s="116"/>
      <c r="B581" s="115"/>
      <c r="C581" s="115"/>
      <c r="D581" s="131"/>
      <c r="E581" s="177"/>
      <c r="F581" s="28"/>
      <c r="G581" s="118"/>
      <c r="H581" s="192"/>
      <c r="I581" s="192"/>
      <c r="J581" s="175"/>
      <c r="K581" s="192"/>
      <c r="L581" s="192"/>
      <c r="M581" s="192"/>
      <c r="N581" s="175"/>
      <c r="O581" s="116"/>
      <c r="P581" s="175"/>
      <c r="Q581" s="175"/>
      <c r="R581" s="220"/>
      <c r="S581" s="175"/>
      <c r="T581" s="175"/>
      <c r="U581" s="175"/>
      <c r="V581" s="175"/>
      <c r="W581" s="175"/>
      <c r="X581" s="116"/>
    </row>
    <row r="582" spans="1:24" s="112" customFormat="1">
      <c r="A582" s="116"/>
      <c r="B582" s="115"/>
      <c r="C582" s="115"/>
      <c r="D582" s="131"/>
      <c r="E582" s="177"/>
      <c r="F582" s="28"/>
      <c r="G582" s="118"/>
      <c r="H582" s="192"/>
      <c r="I582" s="192"/>
      <c r="J582" s="175"/>
      <c r="K582" s="192"/>
      <c r="L582" s="192"/>
      <c r="M582" s="192"/>
      <c r="N582" s="175"/>
      <c r="O582" s="116"/>
      <c r="P582" s="175"/>
      <c r="Q582" s="175"/>
      <c r="R582" s="220"/>
      <c r="S582" s="175"/>
      <c r="T582" s="175"/>
      <c r="U582" s="175"/>
      <c r="V582" s="175"/>
      <c r="W582" s="175"/>
      <c r="X582" s="116"/>
    </row>
    <row r="583" spans="1:24" s="112" customFormat="1">
      <c r="A583" s="116"/>
      <c r="B583" s="115"/>
      <c r="C583" s="115"/>
      <c r="D583" s="131"/>
      <c r="E583" s="177"/>
      <c r="F583" s="28"/>
      <c r="G583" s="118"/>
      <c r="H583" s="192"/>
      <c r="I583" s="192"/>
      <c r="J583" s="175"/>
      <c r="K583" s="192"/>
      <c r="L583" s="192"/>
      <c r="M583" s="192"/>
      <c r="N583" s="175"/>
      <c r="O583" s="116"/>
      <c r="P583" s="175"/>
      <c r="Q583" s="175"/>
      <c r="R583" s="220"/>
      <c r="S583" s="175"/>
      <c r="T583" s="175"/>
      <c r="U583" s="175"/>
      <c r="V583" s="175"/>
      <c r="W583" s="175"/>
      <c r="X583" s="116"/>
    </row>
    <row r="584" spans="1:24" s="112" customFormat="1">
      <c r="A584" s="116"/>
      <c r="B584" s="115"/>
      <c r="C584" s="115"/>
      <c r="D584" s="131"/>
      <c r="E584" s="177"/>
      <c r="F584" s="28"/>
      <c r="G584" s="118"/>
      <c r="H584" s="192"/>
      <c r="I584" s="192"/>
      <c r="J584" s="175"/>
      <c r="K584" s="192"/>
      <c r="L584" s="192"/>
      <c r="M584" s="192"/>
      <c r="N584" s="175"/>
      <c r="O584" s="116"/>
      <c r="P584" s="175"/>
      <c r="Q584" s="175"/>
      <c r="R584" s="220"/>
      <c r="S584" s="175"/>
      <c r="T584" s="175"/>
      <c r="U584" s="175"/>
      <c r="V584" s="175"/>
      <c r="W584" s="175"/>
      <c r="X584" s="116"/>
    </row>
    <row r="585" spans="1:24" s="112" customFormat="1">
      <c r="A585" s="116"/>
      <c r="B585" s="115"/>
      <c r="C585" s="115"/>
      <c r="D585" s="131"/>
      <c r="E585" s="177"/>
      <c r="F585" s="28"/>
      <c r="G585" s="118"/>
      <c r="H585" s="192"/>
      <c r="I585" s="192"/>
      <c r="J585" s="175"/>
      <c r="K585" s="192"/>
      <c r="L585" s="192"/>
      <c r="M585" s="192"/>
      <c r="N585" s="175"/>
      <c r="O585" s="116"/>
      <c r="P585" s="175"/>
      <c r="Q585" s="175"/>
      <c r="R585" s="220"/>
      <c r="S585" s="175"/>
      <c r="T585" s="175"/>
      <c r="U585" s="175"/>
      <c r="V585" s="175"/>
      <c r="W585" s="175"/>
      <c r="X585" s="116"/>
    </row>
    <row r="586" spans="1:24" s="112" customFormat="1">
      <c r="A586" s="116"/>
      <c r="B586" s="115"/>
      <c r="C586" s="115"/>
      <c r="D586" s="131"/>
      <c r="E586" s="177"/>
      <c r="F586" s="28"/>
      <c r="G586" s="118"/>
      <c r="H586" s="192"/>
      <c r="I586" s="192"/>
      <c r="J586" s="175"/>
      <c r="K586" s="192"/>
      <c r="L586" s="192"/>
      <c r="M586" s="192"/>
      <c r="N586" s="175"/>
      <c r="O586" s="116"/>
      <c r="P586" s="175"/>
      <c r="Q586" s="175"/>
      <c r="R586" s="220"/>
      <c r="S586" s="175"/>
      <c r="T586" s="175"/>
      <c r="U586" s="175"/>
      <c r="V586" s="175"/>
      <c r="W586" s="175"/>
      <c r="X586" s="116"/>
    </row>
    <row r="587" spans="1:24" s="112" customFormat="1">
      <c r="A587" s="116"/>
      <c r="B587" s="115"/>
      <c r="C587" s="115"/>
      <c r="D587" s="131"/>
      <c r="E587" s="177"/>
      <c r="F587" s="28"/>
      <c r="G587" s="118"/>
      <c r="H587" s="192"/>
      <c r="I587" s="192"/>
      <c r="J587" s="175"/>
      <c r="K587" s="192"/>
      <c r="L587" s="192"/>
      <c r="M587" s="192"/>
      <c r="N587" s="175"/>
      <c r="O587" s="116"/>
      <c r="P587" s="175"/>
      <c r="Q587" s="175"/>
      <c r="R587" s="220"/>
      <c r="S587" s="175"/>
      <c r="T587" s="175"/>
      <c r="U587" s="175"/>
      <c r="V587" s="175"/>
      <c r="W587" s="175"/>
      <c r="X587" s="116"/>
    </row>
    <row r="588" spans="1:24" s="112" customFormat="1">
      <c r="A588" s="116"/>
      <c r="B588" s="115"/>
      <c r="C588" s="115"/>
      <c r="D588" s="131"/>
      <c r="E588" s="177"/>
      <c r="F588" s="28"/>
      <c r="G588" s="118"/>
      <c r="H588" s="192"/>
      <c r="I588" s="192"/>
      <c r="J588" s="175"/>
      <c r="K588" s="192"/>
      <c r="L588" s="192"/>
      <c r="M588" s="192"/>
      <c r="N588" s="175"/>
      <c r="O588" s="116"/>
      <c r="P588" s="175"/>
      <c r="Q588" s="175"/>
      <c r="R588" s="220"/>
      <c r="S588" s="175"/>
      <c r="T588" s="175"/>
      <c r="U588" s="175"/>
      <c r="V588" s="175"/>
      <c r="W588" s="175"/>
      <c r="X588" s="116"/>
    </row>
    <row r="589" spans="1:24" s="112" customFormat="1">
      <c r="A589" s="116"/>
      <c r="B589" s="115"/>
      <c r="C589" s="115"/>
      <c r="D589" s="131"/>
      <c r="E589" s="177"/>
      <c r="F589" s="28"/>
      <c r="G589" s="118"/>
      <c r="H589" s="192"/>
      <c r="I589" s="192"/>
      <c r="J589" s="175"/>
      <c r="K589" s="192"/>
      <c r="L589" s="192"/>
      <c r="M589" s="192"/>
      <c r="N589" s="175"/>
      <c r="O589" s="116"/>
      <c r="P589" s="175"/>
      <c r="Q589" s="175"/>
      <c r="R589" s="220"/>
      <c r="S589" s="175"/>
      <c r="T589" s="175"/>
      <c r="U589" s="175"/>
      <c r="V589" s="175"/>
      <c r="W589" s="175"/>
      <c r="X589" s="116"/>
    </row>
    <row r="590" spans="1:24" s="112" customFormat="1">
      <c r="A590" s="116"/>
      <c r="B590" s="115"/>
      <c r="C590" s="115"/>
      <c r="D590" s="131"/>
      <c r="E590" s="177"/>
      <c r="F590" s="28"/>
      <c r="G590" s="118"/>
      <c r="H590" s="192"/>
      <c r="I590" s="192"/>
      <c r="J590" s="175"/>
      <c r="K590" s="192"/>
      <c r="L590" s="192"/>
      <c r="M590" s="192"/>
      <c r="N590" s="175"/>
      <c r="O590" s="116"/>
      <c r="P590" s="175"/>
      <c r="Q590" s="175"/>
      <c r="R590" s="220"/>
      <c r="S590" s="175"/>
      <c r="T590" s="175"/>
      <c r="U590" s="175"/>
      <c r="V590" s="175"/>
      <c r="W590" s="175"/>
      <c r="X590" s="116"/>
    </row>
    <row r="591" spans="1:24" s="112" customFormat="1">
      <c r="A591" s="116"/>
      <c r="B591" s="115"/>
      <c r="C591" s="115"/>
      <c r="D591" s="131"/>
      <c r="E591" s="177"/>
      <c r="F591" s="28"/>
      <c r="G591" s="118"/>
      <c r="H591" s="192"/>
      <c r="I591" s="192"/>
      <c r="J591" s="175"/>
      <c r="K591" s="192"/>
      <c r="L591" s="192"/>
      <c r="M591" s="192"/>
      <c r="N591" s="175"/>
      <c r="O591" s="116"/>
      <c r="P591" s="175"/>
      <c r="Q591" s="175"/>
      <c r="R591" s="220"/>
      <c r="S591" s="175"/>
      <c r="T591" s="175"/>
      <c r="U591" s="175"/>
      <c r="V591" s="175"/>
      <c r="W591" s="175"/>
      <c r="X591" s="116"/>
    </row>
    <row r="592" spans="1:24" s="112" customFormat="1">
      <c r="A592" s="116"/>
      <c r="B592" s="115"/>
      <c r="C592" s="115"/>
      <c r="D592" s="131"/>
      <c r="E592" s="177"/>
      <c r="F592" s="28"/>
      <c r="G592" s="118"/>
      <c r="H592" s="192"/>
      <c r="I592" s="192"/>
      <c r="J592" s="175"/>
      <c r="K592" s="192"/>
      <c r="L592" s="192"/>
      <c r="M592" s="192"/>
      <c r="N592" s="175"/>
      <c r="O592" s="116"/>
      <c r="P592" s="175"/>
      <c r="Q592" s="175"/>
      <c r="R592" s="220"/>
      <c r="S592" s="175"/>
      <c r="T592" s="175"/>
      <c r="U592" s="175"/>
      <c r="V592" s="175"/>
      <c r="W592" s="175"/>
      <c r="X592" s="116"/>
    </row>
    <row r="593" spans="1:24" s="112" customFormat="1">
      <c r="A593" s="116"/>
      <c r="B593" s="115"/>
      <c r="C593" s="115"/>
      <c r="D593" s="131"/>
      <c r="E593" s="177"/>
      <c r="F593" s="28"/>
      <c r="G593" s="118"/>
      <c r="H593" s="192"/>
      <c r="I593" s="192"/>
      <c r="J593" s="175"/>
      <c r="K593" s="192"/>
      <c r="L593" s="192"/>
      <c r="M593" s="192"/>
      <c r="N593" s="175"/>
      <c r="O593" s="116"/>
      <c r="P593" s="175"/>
      <c r="Q593" s="175"/>
      <c r="R593" s="220"/>
      <c r="S593" s="175"/>
      <c r="T593" s="175"/>
      <c r="U593" s="175"/>
      <c r="V593" s="175"/>
      <c r="W593" s="175"/>
      <c r="X593" s="116"/>
    </row>
    <row r="594" spans="1:24" s="112" customFormat="1">
      <c r="A594" s="116"/>
      <c r="B594" s="115"/>
      <c r="C594" s="115"/>
      <c r="D594" s="131"/>
      <c r="E594" s="177"/>
      <c r="F594" s="28"/>
      <c r="G594" s="118"/>
      <c r="H594" s="192"/>
      <c r="I594" s="192"/>
      <c r="J594" s="175"/>
      <c r="K594" s="192"/>
      <c r="L594" s="192"/>
      <c r="M594" s="192"/>
      <c r="N594" s="175"/>
      <c r="O594" s="116"/>
      <c r="P594" s="175"/>
      <c r="Q594" s="175"/>
      <c r="R594" s="220"/>
      <c r="S594" s="175"/>
      <c r="T594" s="175"/>
      <c r="U594" s="175"/>
      <c r="V594" s="175"/>
      <c r="W594" s="175"/>
      <c r="X594" s="116"/>
    </row>
    <row r="595" spans="1:24" s="112" customFormat="1">
      <c r="A595" s="116"/>
      <c r="B595" s="115"/>
      <c r="C595" s="115"/>
      <c r="D595" s="131"/>
      <c r="E595" s="177"/>
      <c r="F595" s="28"/>
      <c r="G595" s="118"/>
      <c r="H595" s="192"/>
      <c r="I595" s="192"/>
      <c r="J595" s="175"/>
      <c r="K595" s="192"/>
      <c r="L595" s="192"/>
      <c r="M595" s="192"/>
      <c r="N595" s="175"/>
      <c r="O595" s="116"/>
      <c r="P595" s="175"/>
      <c r="Q595" s="175"/>
      <c r="R595" s="220"/>
      <c r="S595" s="175"/>
      <c r="T595" s="175"/>
      <c r="U595" s="175"/>
      <c r="V595" s="175"/>
      <c r="W595" s="175"/>
      <c r="X595" s="116"/>
    </row>
    <row r="596" spans="1:24" s="112" customFormat="1">
      <c r="A596" s="116"/>
      <c r="B596" s="115"/>
      <c r="C596" s="115"/>
      <c r="D596" s="131"/>
      <c r="E596" s="177"/>
      <c r="F596" s="28"/>
      <c r="G596" s="118"/>
      <c r="H596" s="192"/>
      <c r="I596" s="192"/>
      <c r="J596" s="175"/>
      <c r="K596" s="192"/>
      <c r="L596" s="192"/>
      <c r="M596" s="192"/>
      <c r="N596" s="175"/>
      <c r="O596" s="116"/>
      <c r="P596" s="175"/>
      <c r="Q596" s="175"/>
      <c r="R596" s="220"/>
      <c r="S596" s="175"/>
      <c r="T596" s="175"/>
      <c r="U596" s="175"/>
      <c r="V596" s="175"/>
      <c r="W596" s="175"/>
      <c r="X596" s="116"/>
    </row>
    <row r="597" spans="1:24" s="112" customFormat="1">
      <c r="A597" s="116"/>
      <c r="B597" s="115"/>
      <c r="C597" s="115"/>
      <c r="D597" s="131"/>
      <c r="E597" s="177"/>
      <c r="F597" s="28"/>
      <c r="G597" s="118"/>
      <c r="H597" s="192"/>
      <c r="I597" s="192"/>
      <c r="J597" s="175"/>
      <c r="K597" s="192"/>
      <c r="L597" s="192"/>
      <c r="M597" s="192"/>
      <c r="N597" s="175"/>
      <c r="O597" s="116"/>
      <c r="P597" s="175"/>
      <c r="Q597" s="175"/>
      <c r="R597" s="220"/>
      <c r="S597" s="175"/>
      <c r="T597" s="175"/>
      <c r="U597" s="175"/>
      <c r="V597" s="175"/>
      <c r="W597" s="175"/>
      <c r="X597" s="116"/>
    </row>
    <row r="598" spans="1:24" s="112" customFormat="1">
      <c r="A598" s="116"/>
      <c r="B598" s="115"/>
      <c r="C598" s="115"/>
      <c r="D598" s="131"/>
      <c r="E598" s="177"/>
      <c r="F598" s="28"/>
      <c r="G598" s="118"/>
      <c r="H598" s="192"/>
      <c r="I598" s="192"/>
      <c r="J598" s="175"/>
      <c r="K598" s="192"/>
      <c r="L598" s="192"/>
      <c r="M598" s="192"/>
      <c r="N598" s="175"/>
      <c r="O598" s="116"/>
      <c r="P598" s="175"/>
      <c r="Q598" s="175"/>
      <c r="R598" s="220"/>
      <c r="S598" s="175"/>
      <c r="T598" s="175"/>
      <c r="U598" s="175"/>
      <c r="V598" s="175"/>
      <c r="W598" s="175"/>
      <c r="X598" s="116"/>
    </row>
    <row r="599" spans="1:24" s="112" customFormat="1">
      <c r="A599" s="116"/>
      <c r="B599" s="115"/>
      <c r="C599" s="115"/>
      <c r="D599" s="131"/>
      <c r="E599" s="177"/>
      <c r="F599" s="28"/>
      <c r="G599" s="118"/>
      <c r="H599" s="192"/>
      <c r="I599" s="192"/>
      <c r="J599" s="175"/>
      <c r="K599" s="192"/>
      <c r="L599" s="192"/>
      <c r="M599" s="192"/>
      <c r="N599" s="175"/>
      <c r="O599" s="116"/>
      <c r="P599" s="175"/>
      <c r="Q599" s="175"/>
      <c r="R599" s="220"/>
      <c r="S599" s="175"/>
      <c r="T599" s="175"/>
      <c r="U599" s="175"/>
      <c r="V599" s="175"/>
      <c r="W599" s="175"/>
      <c r="X599" s="116"/>
    </row>
    <row r="600" spans="1:24" s="112" customFormat="1">
      <c r="A600" s="116"/>
      <c r="B600" s="115"/>
      <c r="C600" s="115"/>
      <c r="D600" s="131"/>
      <c r="E600" s="177"/>
      <c r="F600" s="28"/>
      <c r="G600" s="118"/>
      <c r="H600" s="192"/>
      <c r="I600" s="192"/>
      <c r="J600" s="175"/>
      <c r="K600" s="192"/>
      <c r="L600" s="192"/>
      <c r="M600" s="192"/>
      <c r="N600" s="175"/>
      <c r="O600" s="116"/>
      <c r="P600" s="175"/>
      <c r="Q600" s="175"/>
      <c r="R600" s="220"/>
      <c r="S600" s="175"/>
      <c r="T600" s="175"/>
      <c r="U600" s="175"/>
      <c r="V600" s="175"/>
      <c r="W600" s="175"/>
      <c r="X600" s="116"/>
    </row>
    <row r="601" spans="1:24" s="112" customFormat="1">
      <c r="A601" s="116"/>
      <c r="B601" s="115"/>
      <c r="C601" s="115"/>
      <c r="D601" s="131"/>
      <c r="E601" s="177"/>
      <c r="F601" s="28"/>
      <c r="G601" s="118"/>
      <c r="H601" s="192"/>
      <c r="I601" s="192"/>
      <c r="J601" s="175"/>
      <c r="K601" s="192"/>
      <c r="L601" s="192"/>
      <c r="M601" s="192"/>
      <c r="N601" s="175"/>
      <c r="O601" s="116"/>
      <c r="P601" s="175"/>
      <c r="Q601" s="175"/>
      <c r="R601" s="220"/>
      <c r="S601" s="175"/>
      <c r="T601" s="175"/>
      <c r="U601" s="175"/>
      <c r="V601" s="175"/>
      <c r="W601" s="175"/>
      <c r="X601" s="116"/>
    </row>
    <row r="602" spans="1:24" s="112" customFormat="1">
      <c r="A602" s="116"/>
      <c r="B602" s="115"/>
      <c r="C602" s="115"/>
      <c r="D602" s="131"/>
      <c r="E602" s="177"/>
      <c r="F602" s="28"/>
      <c r="G602" s="118"/>
      <c r="H602" s="192"/>
      <c r="I602" s="192"/>
      <c r="J602" s="175"/>
      <c r="K602" s="192"/>
      <c r="L602" s="192"/>
      <c r="M602" s="192"/>
      <c r="N602" s="175"/>
      <c r="O602" s="116"/>
      <c r="P602" s="175"/>
      <c r="Q602" s="175"/>
      <c r="R602" s="220"/>
      <c r="S602" s="175"/>
      <c r="T602" s="175"/>
      <c r="U602" s="175"/>
      <c r="V602" s="175"/>
      <c r="W602" s="175"/>
      <c r="X602" s="116"/>
    </row>
    <row r="603" spans="1:24" s="112" customFormat="1">
      <c r="A603" s="116"/>
      <c r="B603" s="115"/>
      <c r="C603" s="115"/>
      <c r="D603" s="131"/>
      <c r="E603" s="177"/>
      <c r="F603" s="28"/>
      <c r="G603" s="118"/>
      <c r="H603" s="192"/>
      <c r="I603" s="192"/>
      <c r="J603" s="175"/>
      <c r="K603" s="192"/>
      <c r="L603" s="192"/>
      <c r="M603" s="192"/>
      <c r="N603" s="175"/>
      <c r="O603" s="116"/>
      <c r="P603" s="175"/>
      <c r="Q603" s="175"/>
      <c r="R603" s="220"/>
      <c r="S603" s="175"/>
      <c r="T603" s="175"/>
      <c r="U603" s="175"/>
      <c r="V603" s="175"/>
      <c r="W603" s="175"/>
      <c r="X603" s="116"/>
    </row>
    <row r="604" spans="1:24" s="112" customFormat="1">
      <c r="A604" s="116"/>
      <c r="B604" s="115"/>
      <c r="C604" s="115"/>
      <c r="D604" s="131"/>
      <c r="E604" s="177"/>
      <c r="F604" s="28"/>
      <c r="G604" s="118"/>
      <c r="H604" s="192"/>
      <c r="I604" s="192"/>
      <c r="J604" s="175"/>
      <c r="K604" s="192"/>
      <c r="L604" s="192"/>
      <c r="M604" s="192"/>
      <c r="N604" s="175"/>
      <c r="O604" s="116"/>
      <c r="P604" s="175"/>
      <c r="Q604" s="175"/>
      <c r="R604" s="220"/>
      <c r="S604" s="175"/>
      <c r="T604" s="175"/>
      <c r="U604" s="175"/>
      <c r="V604" s="175"/>
      <c r="W604" s="175"/>
      <c r="X604" s="116"/>
    </row>
    <row r="605" spans="1:24" s="112" customFormat="1">
      <c r="A605" s="116"/>
      <c r="B605" s="115"/>
      <c r="C605" s="115"/>
      <c r="D605" s="131"/>
      <c r="E605" s="177"/>
      <c r="F605" s="28"/>
      <c r="G605" s="118"/>
      <c r="H605" s="192"/>
      <c r="I605" s="192"/>
      <c r="J605" s="175"/>
      <c r="K605" s="192"/>
      <c r="L605" s="192"/>
      <c r="M605" s="192"/>
      <c r="N605" s="175"/>
      <c r="O605" s="116"/>
      <c r="P605" s="175"/>
      <c r="Q605" s="175"/>
      <c r="R605" s="220"/>
      <c r="S605" s="175"/>
      <c r="T605" s="175"/>
      <c r="U605" s="175"/>
      <c r="V605" s="175"/>
      <c r="W605" s="175"/>
      <c r="X605" s="116"/>
    </row>
    <row r="606" spans="1:24" s="112" customFormat="1">
      <c r="A606" s="116"/>
      <c r="B606" s="115"/>
      <c r="C606" s="115"/>
      <c r="D606" s="131"/>
      <c r="E606" s="177"/>
      <c r="F606" s="28"/>
      <c r="G606" s="118"/>
      <c r="H606" s="192"/>
      <c r="I606" s="192"/>
      <c r="J606" s="175"/>
      <c r="K606" s="192"/>
      <c r="L606" s="192"/>
      <c r="M606" s="192"/>
      <c r="N606" s="175"/>
      <c r="O606" s="116"/>
      <c r="P606" s="175"/>
      <c r="Q606" s="175"/>
      <c r="R606" s="220"/>
      <c r="S606" s="175"/>
      <c r="T606" s="175"/>
      <c r="U606" s="175"/>
      <c r="V606" s="175"/>
      <c r="W606" s="175"/>
      <c r="X606" s="116"/>
    </row>
    <row r="607" spans="1:24" s="112" customFormat="1">
      <c r="A607" s="116"/>
      <c r="B607" s="115"/>
      <c r="C607" s="115"/>
      <c r="D607" s="131"/>
      <c r="E607" s="177"/>
      <c r="F607" s="28"/>
      <c r="G607" s="118"/>
      <c r="H607" s="192"/>
      <c r="I607" s="192"/>
      <c r="J607" s="175"/>
      <c r="K607" s="192"/>
      <c r="L607" s="192"/>
      <c r="M607" s="192"/>
      <c r="N607" s="175"/>
      <c r="O607" s="116"/>
      <c r="P607" s="175"/>
      <c r="Q607" s="175"/>
      <c r="R607" s="220"/>
      <c r="S607" s="175"/>
      <c r="T607" s="175"/>
      <c r="U607" s="175"/>
      <c r="V607" s="175"/>
      <c r="W607" s="175"/>
      <c r="X607" s="116"/>
    </row>
    <row r="608" spans="1:24" s="112" customFormat="1">
      <c r="A608" s="116"/>
      <c r="B608" s="115"/>
      <c r="C608" s="115"/>
      <c r="D608" s="131"/>
      <c r="E608" s="177"/>
      <c r="F608" s="28"/>
      <c r="G608" s="118"/>
      <c r="H608" s="192"/>
      <c r="I608" s="192"/>
      <c r="J608" s="175"/>
      <c r="K608" s="192"/>
      <c r="L608" s="192"/>
      <c r="M608" s="192"/>
      <c r="N608" s="175"/>
      <c r="O608" s="116"/>
      <c r="P608" s="175"/>
      <c r="Q608" s="175"/>
      <c r="R608" s="220"/>
      <c r="S608" s="175"/>
      <c r="T608" s="175"/>
      <c r="U608" s="175"/>
      <c r="V608" s="175"/>
      <c r="W608" s="175"/>
      <c r="X608" s="116"/>
    </row>
    <row r="609" spans="1:24" s="112" customFormat="1">
      <c r="A609" s="116"/>
      <c r="B609" s="115"/>
      <c r="C609" s="115"/>
      <c r="D609" s="131"/>
      <c r="E609" s="177"/>
      <c r="F609" s="28"/>
      <c r="G609" s="118"/>
      <c r="H609" s="192"/>
      <c r="I609" s="192"/>
      <c r="J609" s="175"/>
      <c r="K609" s="192"/>
      <c r="L609" s="192"/>
      <c r="M609" s="192"/>
      <c r="N609" s="175"/>
      <c r="O609" s="116"/>
      <c r="P609" s="175"/>
      <c r="Q609" s="175"/>
      <c r="R609" s="220"/>
      <c r="S609" s="175"/>
      <c r="T609" s="175"/>
      <c r="U609" s="175"/>
      <c r="V609" s="175"/>
      <c r="W609" s="175"/>
      <c r="X609" s="116"/>
    </row>
    <row r="610" spans="1:24" s="112" customFormat="1">
      <c r="A610" s="116"/>
      <c r="B610" s="115"/>
      <c r="C610" s="115"/>
      <c r="D610" s="131"/>
      <c r="E610" s="177"/>
      <c r="F610" s="28"/>
      <c r="G610" s="118"/>
      <c r="H610" s="192"/>
      <c r="I610" s="192"/>
      <c r="J610" s="175"/>
      <c r="K610" s="192"/>
      <c r="L610" s="192"/>
      <c r="M610" s="192"/>
      <c r="N610" s="175"/>
      <c r="O610" s="116"/>
      <c r="P610" s="175"/>
      <c r="Q610" s="175"/>
      <c r="R610" s="220"/>
      <c r="S610" s="175"/>
      <c r="T610" s="175"/>
      <c r="U610" s="175"/>
      <c r="V610" s="175"/>
      <c r="W610" s="175"/>
      <c r="X610" s="116"/>
    </row>
    <row r="611" spans="1:24" s="112" customFormat="1">
      <c r="A611" s="116"/>
      <c r="B611" s="115"/>
      <c r="C611" s="115"/>
      <c r="D611" s="131"/>
      <c r="E611" s="177"/>
      <c r="F611" s="28"/>
      <c r="G611" s="118"/>
      <c r="H611" s="192"/>
      <c r="I611" s="192"/>
      <c r="J611" s="175"/>
      <c r="K611" s="192"/>
      <c r="L611" s="192"/>
      <c r="M611" s="192"/>
      <c r="N611" s="175"/>
      <c r="O611" s="116"/>
      <c r="P611" s="175"/>
      <c r="Q611" s="175"/>
      <c r="R611" s="220"/>
      <c r="S611" s="175"/>
      <c r="T611" s="175"/>
      <c r="U611" s="175"/>
      <c r="V611" s="175"/>
      <c r="W611" s="175"/>
      <c r="X611" s="116"/>
    </row>
    <row r="612" spans="1:24" s="112" customFormat="1">
      <c r="A612" s="116"/>
      <c r="B612" s="115"/>
      <c r="C612" s="115"/>
      <c r="D612" s="131"/>
      <c r="E612" s="177"/>
      <c r="F612" s="28"/>
      <c r="G612" s="118"/>
      <c r="H612" s="192"/>
      <c r="I612" s="192"/>
      <c r="J612" s="175"/>
      <c r="K612" s="192"/>
      <c r="L612" s="192"/>
      <c r="M612" s="192"/>
      <c r="N612" s="175"/>
      <c r="O612" s="116"/>
      <c r="P612" s="175"/>
      <c r="Q612" s="175"/>
      <c r="R612" s="220"/>
      <c r="S612" s="175"/>
      <c r="T612" s="175"/>
      <c r="U612" s="175"/>
      <c r="V612" s="175"/>
      <c r="W612" s="175"/>
      <c r="X612" s="116"/>
    </row>
    <row r="613" spans="1:24" s="112" customFormat="1">
      <c r="A613" s="116"/>
      <c r="B613" s="115"/>
      <c r="C613" s="115"/>
      <c r="D613" s="131"/>
      <c r="E613" s="177"/>
      <c r="F613" s="28"/>
      <c r="G613" s="118"/>
      <c r="H613" s="192"/>
      <c r="I613" s="192"/>
      <c r="J613" s="175"/>
      <c r="K613" s="192"/>
      <c r="L613" s="192"/>
      <c r="M613" s="192"/>
      <c r="N613" s="175"/>
      <c r="O613" s="116"/>
      <c r="P613" s="175"/>
      <c r="Q613" s="175"/>
      <c r="R613" s="220"/>
      <c r="S613" s="175"/>
      <c r="T613" s="175"/>
      <c r="U613" s="175"/>
      <c r="V613" s="175"/>
      <c r="W613" s="175"/>
      <c r="X613" s="116"/>
    </row>
    <row r="614" spans="1:24" s="112" customFormat="1">
      <c r="A614" s="116"/>
      <c r="B614" s="115"/>
      <c r="C614" s="115"/>
      <c r="D614" s="131"/>
      <c r="E614" s="177"/>
      <c r="F614" s="28"/>
      <c r="G614" s="118"/>
      <c r="H614" s="192"/>
      <c r="I614" s="192"/>
      <c r="J614" s="175"/>
      <c r="K614" s="192"/>
      <c r="L614" s="192"/>
      <c r="M614" s="192"/>
      <c r="N614" s="175"/>
      <c r="O614" s="116"/>
      <c r="P614" s="175"/>
      <c r="Q614" s="175"/>
      <c r="R614" s="220"/>
      <c r="S614" s="175"/>
      <c r="T614" s="175"/>
      <c r="U614" s="175"/>
      <c r="V614" s="175"/>
      <c r="W614" s="175"/>
      <c r="X614" s="116"/>
    </row>
    <row r="615" spans="1:24" s="112" customFormat="1">
      <c r="A615" s="116"/>
      <c r="B615" s="115"/>
      <c r="C615" s="115"/>
      <c r="D615" s="131"/>
      <c r="E615" s="177"/>
      <c r="F615" s="28"/>
      <c r="G615" s="118"/>
      <c r="H615" s="192"/>
      <c r="I615" s="192"/>
      <c r="J615" s="175"/>
      <c r="K615" s="192"/>
      <c r="L615" s="192"/>
      <c r="M615" s="192"/>
      <c r="N615" s="175"/>
      <c r="O615" s="116"/>
      <c r="P615" s="175"/>
      <c r="Q615" s="175"/>
      <c r="R615" s="220"/>
      <c r="S615" s="175"/>
      <c r="T615" s="175"/>
      <c r="U615" s="175"/>
      <c r="V615" s="175"/>
      <c r="W615" s="175"/>
      <c r="X615" s="116"/>
    </row>
    <row r="616" spans="1:24" s="112" customFormat="1">
      <c r="A616" s="116"/>
      <c r="B616" s="115"/>
      <c r="C616" s="115"/>
      <c r="D616" s="131"/>
      <c r="E616" s="177"/>
      <c r="F616" s="28"/>
      <c r="G616" s="118"/>
      <c r="H616" s="192"/>
      <c r="I616" s="192"/>
      <c r="J616" s="175"/>
      <c r="K616" s="192"/>
      <c r="L616" s="192"/>
      <c r="M616" s="192"/>
      <c r="N616" s="175"/>
      <c r="O616" s="116"/>
      <c r="P616" s="175"/>
      <c r="Q616" s="175"/>
      <c r="R616" s="220"/>
      <c r="S616" s="175"/>
      <c r="T616" s="175"/>
      <c r="U616" s="175"/>
      <c r="V616" s="175"/>
      <c r="W616" s="175"/>
      <c r="X616" s="116"/>
    </row>
    <row r="617" spans="1:24" s="112" customFormat="1">
      <c r="A617" s="116"/>
      <c r="B617" s="115"/>
      <c r="C617" s="115"/>
      <c r="D617" s="131"/>
      <c r="E617" s="177"/>
      <c r="F617" s="28"/>
      <c r="G617" s="118"/>
      <c r="H617" s="192"/>
      <c r="I617" s="192"/>
      <c r="J617" s="175"/>
      <c r="K617" s="192"/>
      <c r="L617" s="192"/>
      <c r="M617" s="192"/>
      <c r="N617" s="175"/>
      <c r="O617" s="116"/>
      <c r="P617" s="175"/>
      <c r="Q617" s="175"/>
      <c r="R617" s="220"/>
      <c r="S617" s="175"/>
      <c r="T617" s="175"/>
      <c r="U617" s="175"/>
      <c r="V617" s="175"/>
      <c r="W617" s="175"/>
      <c r="X617" s="116"/>
    </row>
    <row r="618" spans="1:24" s="112" customFormat="1">
      <c r="A618" s="116"/>
      <c r="B618" s="115"/>
      <c r="C618" s="115"/>
      <c r="D618" s="131"/>
      <c r="E618" s="177"/>
      <c r="F618" s="28"/>
      <c r="G618" s="118"/>
      <c r="H618" s="192"/>
      <c r="I618" s="192"/>
      <c r="J618" s="175"/>
      <c r="K618" s="192"/>
      <c r="L618" s="192"/>
      <c r="M618" s="192"/>
      <c r="N618" s="175"/>
      <c r="O618" s="116"/>
      <c r="P618" s="175"/>
      <c r="Q618" s="175"/>
      <c r="R618" s="220"/>
      <c r="S618" s="175"/>
      <c r="T618" s="175"/>
      <c r="U618" s="175"/>
      <c r="V618" s="175"/>
      <c r="W618" s="175"/>
      <c r="X618" s="116"/>
    </row>
    <row r="619" spans="1:24" s="112" customFormat="1">
      <c r="A619" s="116"/>
      <c r="B619" s="115"/>
      <c r="C619" s="115"/>
      <c r="D619" s="131"/>
      <c r="E619" s="177"/>
      <c r="F619" s="28"/>
      <c r="G619" s="118"/>
      <c r="H619" s="192"/>
      <c r="I619" s="192"/>
      <c r="J619" s="175"/>
      <c r="K619" s="192"/>
      <c r="L619" s="192"/>
      <c r="M619" s="192"/>
      <c r="N619" s="175"/>
      <c r="O619" s="116"/>
      <c r="P619" s="175"/>
      <c r="Q619" s="175"/>
      <c r="R619" s="220"/>
      <c r="S619" s="175"/>
      <c r="T619" s="175"/>
      <c r="U619" s="175"/>
      <c r="V619" s="175"/>
      <c r="W619" s="175"/>
      <c r="X619" s="116"/>
    </row>
    <row r="620" spans="1:24" s="112" customFormat="1">
      <c r="A620" s="116"/>
      <c r="B620" s="115"/>
      <c r="C620" s="115"/>
      <c r="D620" s="131"/>
      <c r="E620" s="177"/>
      <c r="F620" s="28"/>
      <c r="G620" s="118"/>
      <c r="H620" s="192"/>
      <c r="I620" s="192"/>
      <c r="J620" s="175"/>
      <c r="K620" s="192"/>
      <c r="L620" s="192"/>
      <c r="M620" s="192"/>
      <c r="N620" s="175"/>
      <c r="O620" s="116"/>
      <c r="P620" s="175"/>
      <c r="Q620" s="175"/>
      <c r="R620" s="220"/>
      <c r="S620" s="175"/>
      <c r="T620" s="175"/>
      <c r="U620" s="175"/>
      <c r="V620" s="175"/>
      <c r="W620" s="175"/>
      <c r="X620" s="116"/>
    </row>
    <row r="621" spans="1:24" s="112" customFormat="1">
      <c r="A621" s="116"/>
      <c r="B621" s="115"/>
      <c r="C621" s="115"/>
      <c r="D621" s="131"/>
      <c r="E621" s="177"/>
      <c r="F621" s="28"/>
      <c r="G621" s="118"/>
      <c r="H621" s="192"/>
      <c r="I621" s="192"/>
      <c r="J621" s="175"/>
      <c r="K621" s="192"/>
      <c r="L621" s="192"/>
      <c r="M621" s="192"/>
      <c r="N621" s="175"/>
      <c r="O621" s="116"/>
      <c r="P621" s="175"/>
      <c r="Q621" s="175"/>
      <c r="R621" s="220"/>
      <c r="S621" s="175"/>
      <c r="T621" s="175"/>
      <c r="U621" s="175"/>
      <c r="V621" s="175"/>
      <c r="W621" s="175"/>
      <c r="X621" s="116"/>
    </row>
    <row r="622" spans="1:24" s="112" customFormat="1">
      <c r="A622" s="116"/>
      <c r="B622" s="115"/>
      <c r="C622" s="115"/>
      <c r="D622" s="131"/>
      <c r="E622" s="177"/>
      <c r="F622" s="28"/>
      <c r="G622" s="118"/>
      <c r="H622" s="192"/>
      <c r="I622" s="192"/>
      <c r="J622" s="175"/>
      <c r="K622" s="192"/>
      <c r="L622" s="192"/>
      <c r="M622" s="192"/>
      <c r="N622" s="175"/>
      <c r="O622" s="116"/>
      <c r="P622" s="175"/>
      <c r="Q622" s="175"/>
      <c r="R622" s="220"/>
      <c r="S622" s="175"/>
      <c r="T622" s="175"/>
      <c r="U622" s="175"/>
      <c r="V622" s="175"/>
      <c r="W622" s="175"/>
      <c r="X622" s="116"/>
    </row>
    <row r="623" spans="1:24" s="112" customFormat="1">
      <c r="A623" s="116"/>
      <c r="B623" s="115"/>
      <c r="C623" s="115"/>
      <c r="D623" s="131"/>
      <c r="E623" s="177"/>
      <c r="F623" s="28"/>
      <c r="G623" s="118"/>
      <c r="H623" s="192"/>
      <c r="I623" s="192"/>
      <c r="J623" s="175"/>
      <c r="K623" s="192"/>
      <c r="L623" s="192"/>
      <c r="M623" s="192"/>
      <c r="N623" s="175"/>
      <c r="O623" s="116"/>
      <c r="P623" s="175"/>
      <c r="Q623" s="175"/>
      <c r="R623" s="220"/>
      <c r="S623" s="175"/>
      <c r="T623" s="175"/>
      <c r="U623" s="175"/>
      <c r="V623" s="175"/>
      <c r="W623" s="175"/>
      <c r="X623" s="116"/>
    </row>
    <row r="624" spans="1:24" s="112" customFormat="1">
      <c r="A624" s="116"/>
      <c r="B624" s="115"/>
      <c r="C624" s="115"/>
      <c r="D624" s="131"/>
      <c r="E624" s="177"/>
      <c r="F624" s="28"/>
      <c r="G624" s="118"/>
      <c r="H624" s="192"/>
      <c r="I624" s="192"/>
      <c r="J624" s="175"/>
      <c r="K624" s="192"/>
      <c r="L624" s="192"/>
      <c r="M624" s="192"/>
      <c r="N624" s="175"/>
      <c r="O624" s="116"/>
      <c r="P624" s="175"/>
      <c r="Q624" s="175"/>
      <c r="R624" s="220"/>
      <c r="S624" s="175"/>
      <c r="T624" s="175"/>
      <c r="U624" s="175"/>
      <c r="V624" s="175"/>
      <c r="W624" s="175"/>
      <c r="X624" s="116"/>
    </row>
    <row r="625" spans="1:24" s="112" customFormat="1">
      <c r="A625" s="116"/>
      <c r="B625" s="115"/>
      <c r="C625" s="115"/>
      <c r="D625" s="131"/>
      <c r="E625" s="177"/>
      <c r="F625" s="28"/>
      <c r="G625" s="118"/>
      <c r="H625" s="192"/>
      <c r="I625" s="192"/>
      <c r="J625" s="175"/>
      <c r="K625" s="192"/>
      <c r="L625" s="192"/>
      <c r="M625" s="192"/>
      <c r="N625" s="175"/>
      <c r="O625" s="116"/>
      <c r="P625" s="175"/>
      <c r="Q625" s="175"/>
      <c r="R625" s="220"/>
      <c r="S625" s="175"/>
      <c r="T625" s="175"/>
      <c r="U625" s="175"/>
      <c r="V625" s="175"/>
      <c r="W625" s="175"/>
      <c r="X625" s="116"/>
    </row>
    <row r="626" spans="1:24" s="112" customFormat="1">
      <c r="A626" s="116"/>
      <c r="B626" s="115"/>
      <c r="C626" s="115"/>
      <c r="D626" s="131"/>
      <c r="E626" s="177"/>
      <c r="F626" s="28"/>
      <c r="G626" s="118"/>
      <c r="H626" s="192"/>
      <c r="I626" s="192"/>
      <c r="J626" s="175"/>
      <c r="K626" s="192"/>
      <c r="L626" s="192"/>
      <c r="M626" s="192"/>
      <c r="N626" s="175"/>
      <c r="O626" s="116"/>
      <c r="P626" s="175"/>
      <c r="Q626" s="175"/>
      <c r="R626" s="220"/>
      <c r="S626" s="175"/>
      <c r="T626" s="175"/>
      <c r="U626" s="175"/>
      <c r="V626" s="175"/>
      <c r="W626" s="175"/>
      <c r="X626" s="116"/>
    </row>
    <row r="627" spans="1:24" s="112" customFormat="1">
      <c r="A627" s="116"/>
      <c r="B627" s="115"/>
      <c r="C627" s="115"/>
      <c r="D627" s="131"/>
      <c r="E627" s="177"/>
      <c r="F627" s="28"/>
      <c r="G627" s="118"/>
      <c r="H627" s="192"/>
      <c r="I627" s="192"/>
      <c r="J627" s="175"/>
      <c r="K627" s="192"/>
      <c r="L627" s="192"/>
      <c r="M627" s="192"/>
      <c r="N627" s="175"/>
      <c r="O627" s="116"/>
      <c r="P627" s="175"/>
      <c r="Q627" s="175"/>
      <c r="R627" s="220"/>
      <c r="S627" s="175"/>
      <c r="T627" s="175"/>
      <c r="U627" s="175"/>
      <c r="V627" s="175"/>
      <c r="W627" s="175"/>
      <c r="X627" s="116"/>
    </row>
    <row r="628" spans="1:24" s="112" customFormat="1">
      <c r="A628" s="116"/>
      <c r="B628" s="115"/>
      <c r="C628" s="115"/>
      <c r="D628" s="131"/>
      <c r="E628" s="177"/>
      <c r="F628" s="28"/>
      <c r="G628" s="118"/>
      <c r="H628" s="192"/>
      <c r="I628" s="192"/>
      <c r="J628" s="175"/>
      <c r="K628" s="192"/>
      <c r="L628" s="192"/>
      <c r="M628" s="192"/>
      <c r="N628" s="175"/>
      <c r="O628" s="116"/>
      <c r="P628" s="175"/>
      <c r="Q628" s="175"/>
      <c r="R628" s="220"/>
      <c r="S628" s="175"/>
      <c r="T628" s="175"/>
      <c r="U628" s="175"/>
      <c r="V628" s="175"/>
      <c r="W628" s="175"/>
      <c r="X628" s="116"/>
    </row>
    <row r="629" spans="1:24" s="112" customFormat="1">
      <c r="A629" s="116"/>
      <c r="B629" s="115"/>
      <c r="C629" s="115"/>
      <c r="D629" s="131"/>
      <c r="E629" s="177"/>
      <c r="F629" s="28"/>
      <c r="G629" s="118"/>
      <c r="H629" s="192"/>
      <c r="I629" s="192"/>
      <c r="J629" s="175"/>
      <c r="K629" s="192"/>
      <c r="L629" s="192"/>
      <c r="M629" s="192"/>
      <c r="N629" s="175"/>
      <c r="O629" s="116"/>
      <c r="P629" s="175"/>
      <c r="Q629" s="175"/>
      <c r="R629" s="220"/>
      <c r="S629" s="175"/>
      <c r="T629" s="175"/>
      <c r="U629" s="175"/>
      <c r="V629" s="175"/>
      <c r="W629" s="175"/>
      <c r="X629" s="116"/>
    </row>
    <row r="630" spans="1:24" s="112" customFormat="1">
      <c r="A630" s="116"/>
      <c r="B630" s="115"/>
      <c r="C630" s="115"/>
      <c r="D630" s="131"/>
      <c r="E630" s="177"/>
      <c r="F630" s="28"/>
      <c r="G630" s="118"/>
      <c r="H630" s="192"/>
      <c r="I630" s="192"/>
      <c r="J630" s="175"/>
      <c r="K630" s="192"/>
      <c r="L630" s="192"/>
      <c r="M630" s="192"/>
      <c r="N630" s="175"/>
      <c r="O630" s="116"/>
      <c r="P630" s="175"/>
      <c r="Q630" s="175"/>
      <c r="R630" s="220"/>
      <c r="S630" s="175"/>
      <c r="T630" s="175"/>
      <c r="U630" s="175"/>
      <c r="V630" s="175"/>
      <c r="W630" s="175"/>
      <c r="X630" s="116"/>
    </row>
    <row r="631" spans="1:24" s="112" customFormat="1">
      <c r="A631" s="116"/>
      <c r="B631" s="115"/>
      <c r="C631" s="115"/>
      <c r="D631" s="131"/>
      <c r="E631" s="177"/>
      <c r="F631" s="28"/>
      <c r="G631" s="118"/>
      <c r="H631" s="192"/>
      <c r="I631" s="192"/>
      <c r="J631" s="175"/>
      <c r="K631" s="192"/>
      <c r="L631" s="192"/>
      <c r="M631" s="192"/>
      <c r="N631" s="175"/>
      <c r="O631" s="116"/>
      <c r="P631" s="175"/>
      <c r="Q631" s="175"/>
      <c r="R631" s="220"/>
      <c r="S631" s="175"/>
      <c r="T631" s="175"/>
      <c r="U631" s="175"/>
      <c r="V631" s="175"/>
      <c r="W631" s="175"/>
      <c r="X631" s="116"/>
    </row>
    <row r="632" spans="1:24" s="112" customFormat="1">
      <c r="A632" s="116"/>
      <c r="B632" s="115"/>
      <c r="C632" s="115"/>
      <c r="D632" s="131"/>
      <c r="E632" s="177"/>
      <c r="F632" s="28"/>
      <c r="G632" s="118"/>
      <c r="H632" s="192"/>
      <c r="I632" s="192"/>
      <c r="J632" s="175"/>
      <c r="K632" s="192"/>
      <c r="L632" s="192"/>
      <c r="M632" s="192"/>
      <c r="N632" s="175"/>
      <c r="O632" s="116"/>
      <c r="P632" s="175"/>
      <c r="Q632" s="175"/>
      <c r="R632" s="220"/>
      <c r="S632" s="175"/>
      <c r="T632" s="175"/>
      <c r="U632" s="175"/>
      <c r="V632" s="175"/>
      <c r="W632" s="175"/>
      <c r="X632" s="116"/>
    </row>
    <row r="633" spans="1:24" s="112" customFormat="1">
      <c r="A633" s="116"/>
      <c r="B633" s="115"/>
      <c r="C633" s="115"/>
      <c r="D633" s="131"/>
      <c r="E633" s="177"/>
      <c r="F633" s="28"/>
      <c r="G633" s="118"/>
      <c r="H633" s="192"/>
      <c r="I633" s="192"/>
      <c r="J633" s="175"/>
      <c r="K633" s="192"/>
      <c r="L633" s="192"/>
      <c r="M633" s="192"/>
      <c r="N633" s="175"/>
      <c r="O633" s="116"/>
      <c r="P633" s="175"/>
      <c r="Q633" s="175"/>
      <c r="R633" s="220"/>
      <c r="S633" s="175"/>
      <c r="T633" s="175"/>
      <c r="U633" s="175"/>
      <c r="V633" s="175"/>
      <c r="W633" s="175"/>
      <c r="X633" s="116"/>
    </row>
    <row r="634" spans="1:24" s="112" customFormat="1">
      <c r="A634" s="116"/>
      <c r="B634" s="115"/>
      <c r="C634" s="115"/>
      <c r="D634" s="131"/>
      <c r="E634" s="177"/>
      <c r="F634" s="28"/>
      <c r="G634" s="118"/>
      <c r="H634" s="192"/>
      <c r="I634" s="192"/>
      <c r="J634" s="175"/>
      <c r="K634" s="192"/>
      <c r="L634" s="192"/>
      <c r="M634" s="192"/>
      <c r="N634" s="175"/>
      <c r="O634" s="116"/>
      <c r="P634" s="175"/>
      <c r="Q634" s="175"/>
      <c r="R634" s="220"/>
      <c r="S634" s="175"/>
      <c r="T634" s="175"/>
      <c r="U634" s="175"/>
      <c r="V634" s="175"/>
      <c r="W634" s="175"/>
      <c r="X634" s="116"/>
    </row>
    <row r="635" spans="1:24" s="112" customFormat="1">
      <c r="A635" s="116"/>
      <c r="B635" s="115"/>
      <c r="C635" s="115"/>
      <c r="D635" s="131"/>
      <c r="E635" s="177"/>
      <c r="F635" s="28"/>
      <c r="G635" s="118"/>
      <c r="H635" s="192"/>
      <c r="I635" s="192"/>
      <c r="J635" s="175"/>
      <c r="K635" s="192"/>
      <c r="L635" s="192"/>
      <c r="M635" s="192"/>
      <c r="N635" s="175"/>
      <c r="O635" s="116"/>
      <c r="P635" s="175"/>
      <c r="Q635" s="175"/>
      <c r="R635" s="220"/>
      <c r="S635" s="175"/>
      <c r="T635" s="175"/>
      <c r="U635" s="175"/>
      <c r="V635" s="175"/>
      <c r="W635" s="175"/>
      <c r="X635" s="116"/>
    </row>
    <row r="636" spans="1:24" s="112" customFormat="1">
      <c r="A636" s="116"/>
      <c r="B636" s="115"/>
      <c r="C636" s="115"/>
      <c r="D636" s="131"/>
      <c r="E636" s="177"/>
      <c r="F636" s="28"/>
      <c r="G636" s="118"/>
      <c r="H636" s="192"/>
      <c r="I636" s="192"/>
      <c r="J636" s="175"/>
      <c r="K636" s="192"/>
      <c r="L636" s="192"/>
      <c r="M636" s="192"/>
      <c r="N636" s="175"/>
      <c r="O636" s="116"/>
      <c r="P636" s="175"/>
      <c r="Q636" s="175"/>
      <c r="R636" s="220"/>
      <c r="S636" s="175"/>
      <c r="T636" s="175"/>
      <c r="U636" s="175"/>
      <c r="V636" s="175"/>
      <c r="W636" s="175"/>
      <c r="X636" s="116"/>
    </row>
    <row r="637" spans="1:24" s="112" customFormat="1">
      <c r="A637" s="116"/>
      <c r="B637" s="115"/>
      <c r="C637" s="115"/>
      <c r="D637" s="131"/>
      <c r="E637" s="177"/>
      <c r="F637" s="28"/>
      <c r="G637" s="118"/>
      <c r="H637" s="192"/>
      <c r="I637" s="192"/>
      <c r="J637" s="175"/>
      <c r="K637" s="192"/>
      <c r="L637" s="192"/>
      <c r="M637" s="192"/>
      <c r="N637" s="175"/>
      <c r="O637" s="116"/>
      <c r="P637" s="175"/>
      <c r="Q637" s="175"/>
      <c r="R637" s="220"/>
      <c r="S637" s="175"/>
      <c r="T637" s="175"/>
      <c r="U637" s="175"/>
      <c r="V637" s="175"/>
      <c r="W637" s="175"/>
      <c r="X637" s="116"/>
    </row>
    <row r="638" spans="1:24" s="112" customFormat="1">
      <c r="A638" s="116"/>
      <c r="B638" s="115"/>
      <c r="C638" s="115"/>
      <c r="D638" s="131"/>
      <c r="E638" s="177"/>
      <c r="F638" s="28"/>
      <c r="G638" s="118"/>
      <c r="H638" s="192"/>
      <c r="I638" s="192"/>
      <c r="J638" s="175"/>
      <c r="K638" s="192"/>
      <c r="L638" s="192"/>
      <c r="M638" s="192"/>
      <c r="N638" s="175"/>
      <c r="O638" s="116"/>
      <c r="P638" s="175"/>
      <c r="Q638" s="175"/>
      <c r="R638" s="220"/>
      <c r="S638" s="175"/>
      <c r="T638" s="175"/>
      <c r="U638" s="175"/>
      <c r="V638" s="175"/>
      <c r="W638" s="175"/>
      <c r="X638" s="116"/>
    </row>
    <row r="639" spans="1:24" s="112" customFormat="1">
      <c r="A639" s="116"/>
      <c r="B639" s="115"/>
      <c r="C639" s="115"/>
      <c r="D639" s="131"/>
      <c r="E639" s="177"/>
      <c r="F639" s="28"/>
      <c r="G639" s="118"/>
      <c r="H639" s="192"/>
      <c r="I639" s="192"/>
      <c r="J639" s="175"/>
      <c r="K639" s="192"/>
      <c r="L639" s="192"/>
      <c r="M639" s="192"/>
      <c r="N639" s="175"/>
      <c r="O639" s="116"/>
      <c r="P639" s="175"/>
      <c r="Q639" s="175"/>
      <c r="R639" s="220"/>
      <c r="S639" s="175"/>
      <c r="T639" s="175"/>
      <c r="U639" s="175"/>
      <c r="V639" s="175"/>
      <c r="W639" s="175"/>
      <c r="X639" s="116"/>
    </row>
    <row r="640" spans="1:24" s="112" customFormat="1">
      <c r="A640" s="116"/>
      <c r="B640" s="115"/>
      <c r="C640" s="115"/>
      <c r="D640" s="131"/>
      <c r="E640" s="177"/>
      <c r="F640" s="28"/>
      <c r="G640" s="118"/>
      <c r="H640" s="192"/>
      <c r="I640" s="192"/>
      <c r="J640" s="175"/>
      <c r="K640" s="192"/>
      <c r="L640" s="192"/>
      <c r="M640" s="192"/>
      <c r="N640" s="175"/>
      <c r="O640" s="116"/>
      <c r="P640" s="175"/>
      <c r="Q640" s="175"/>
      <c r="R640" s="220"/>
      <c r="S640" s="175"/>
      <c r="T640" s="175"/>
      <c r="U640" s="175"/>
      <c r="V640" s="175"/>
      <c r="W640" s="175"/>
      <c r="X640" s="116"/>
    </row>
    <row r="641" spans="1:24" s="112" customFormat="1">
      <c r="A641" s="116"/>
      <c r="B641" s="115"/>
      <c r="C641" s="115"/>
      <c r="D641" s="131"/>
      <c r="E641" s="177"/>
      <c r="F641" s="28"/>
      <c r="G641" s="118"/>
      <c r="H641" s="192"/>
      <c r="I641" s="192"/>
      <c r="J641" s="175"/>
      <c r="K641" s="192"/>
      <c r="L641" s="192"/>
      <c r="M641" s="192"/>
      <c r="N641" s="175"/>
      <c r="O641" s="116"/>
      <c r="P641" s="175"/>
      <c r="Q641" s="175"/>
      <c r="R641" s="220"/>
      <c r="S641" s="175"/>
      <c r="T641" s="175"/>
      <c r="U641" s="175"/>
      <c r="V641" s="175"/>
      <c r="W641" s="175"/>
      <c r="X641" s="116"/>
    </row>
    <row r="642" spans="1:24" s="112" customFormat="1">
      <c r="A642" s="116"/>
      <c r="B642" s="115"/>
      <c r="C642" s="115"/>
      <c r="D642" s="131"/>
      <c r="E642" s="177"/>
      <c r="F642" s="28"/>
      <c r="G642" s="118"/>
      <c r="H642" s="192"/>
      <c r="I642" s="192"/>
      <c r="J642" s="175"/>
      <c r="K642" s="192"/>
      <c r="L642" s="192"/>
      <c r="M642" s="192"/>
      <c r="N642" s="175"/>
      <c r="O642" s="116"/>
      <c r="P642" s="175"/>
      <c r="Q642" s="175"/>
      <c r="R642" s="220"/>
      <c r="S642" s="175"/>
      <c r="T642" s="175"/>
      <c r="U642" s="175"/>
      <c r="V642" s="175"/>
      <c r="W642" s="175"/>
      <c r="X642" s="116"/>
    </row>
    <row r="643" spans="1:24" s="112" customFormat="1">
      <c r="A643" s="116"/>
      <c r="B643" s="115"/>
      <c r="C643" s="115"/>
      <c r="D643" s="131"/>
      <c r="E643" s="177"/>
      <c r="F643" s="28"/>
      <c r="G643" s="118"/>
      <c r="H643" s="192"/>
      <c r="I643" s="192"/>
      <c r="J643" s="175"/>
      <c r="K643" s="192"/>
      <c r="L643" s="192"/>
      <c r="M643" s="192"/>
      <c r="N643" s="175"/>
      <c r="O643" s="116"/>
      <c r="P643" s="175"/>
      <c r="Q643" s="175"/>
      <c r="R643" s="220"/>
      <c r="S643" s="175"/>
      <c r="T643" s="175"/>
      <c r="U643" s="175"/>
      <c r="V643" s="175"/>
      <c r="W643" s="175"/>
      <c r="X643" s="116"/>
    </row>
    <row r="644" spans="1:24" s="112" customFormat="1">
      <c r="A644" s="116"/>
      <c r="B644" s="115"/>
      <c r="C644" s="115"/>
      <c r="D644" s="131"/>
      <c r="E644" s="177"/>
      <c r="F644" s="28"/>
      <c r="G644" s="118"/>
      <c r="H644" s="192"/>
      <c r="I644" s="192"/>
      <c r="J644" s="175"/>
      <c r="K644" s="192"/>
      <c r="L644" s="192"/>
      <c r="M644" s="192"/>
      <c r="N644" s="175"/>
      <c r="O644" s="116"/>
      <c r="P644" s="175"/>
      <c r="Q644" s="175"/>
      <c r="R644" s="220"/>
      <c r="S644" s="175"/>
      <c r="T644" s="175"/>
      <c r="U644" s="175"/>
      <c r="V644" s="175"/>
      <c r="W644" s="175"/>
      <c r="X644" s="116"/>
    </row>
    <row r="645" spans="1:24" s="112" customFormat="1">
      <c r="A645" s="116"/>
      <c r="B645" s="115"/>
      <c r="C645" s="115"/>
      <c r="D645" s="131"/>
      <c r="E645" s="177"/>
      <c r="F645" s="28"/>
      <c r="G645" s="118"/>
      <c r="H645" s="192"/>
      <c r="I645" s="192"/>
      <c r="J645" s="175"/>
      <c r="K645" s="192"/>
      <c r="L645" s="192"/>
      <c r="M645" s="192"/>
      <c r="N645" s="175"/>
      <c r="O645" s="116"/>
      <c r="P645" s="175"/>
      <c r="Q645" s="175"/>
      <c r="R645" s="220"/>
      <c r="S645" s="175"/>
      <c r="T645" s="175"/>
      <c r="U645" s="175"/>
      <c r="V645" s="175"/>
      <c r="W645" s="175"/>
      <c r="X645" s="116"/>
    </row>
    <row r="646" spans="1:24" s="112" customFormat="1">
      <c r="A646" s="116"/>
      <c r="B646" s="115"/>
      <c r="C646" s="115"/>
      <c r="D646" s="131"/>
      <c r="E646" s="177"/>
      <c r="F646" s="28"/>
      <c r="G646" s="118"/>
      <c r="H646" s="192"/>
      <c r="I646" s="192"/>
      <c r="J646" s="175"/>
      <c r="K646" s="192"/>
      <c r="L646" s="192"/>
      <c r="M646" s="192"/>
      <c r="N646" s="175"/>
      <c r="O646" s="116"/>
      <c r="P646" s="175"/>
      <c r="Q646" s="175"/>
      <c r="R646" s="220"/>
      <c r="S646" s="175"/>
      <c r="T646" s="175"/>
      <c r="U646" s="175"/>
      <c r="V646" s="175"/>
      <c r="W646" s="175"/>
      <c r="X646" s="116"/>
    </row>
    <row r="647" spans="1:24" s="112" customFormat="1">
      <c r="A647" s="116"/>
      <c r="B647" s="115"/>
      <c r="C647" s="115"/>
      <c r="D647" s="131"/>
      <c r="E647" s="177"/>
      <c r="F647" s="28"/>
      <c r="G647" s="118"/>
      <c r="H647" s="192"/>
      <c r="I647" s="192"/>
      <c r="J647" s="175"/>
      <c r="K647" s="192"/>
      <c r="L647" s="192"/>
      <c r="M647" s="192"/>
      <c r="N647" s="175"/>
      <c r="O647" s="116"/>
      <c r="P647" s="175"/>
      <c r="Q647" s="175"/>
      <c r="R647" s="220"/>
      <c r="S647" s="175"/>
      <c r="T647" s="175"/>
      <c r="U647" s="175"/>
      <c r="V647" s="175"/>
      <c r="W647" s="175"/>
      <c r="X647" s="116"/>
    </row>
    <row r="648" spans="1:24" s="112" customFormat="1">
      <c r="A648" s="116"/>
      <c r="B648" s="115"/>
      <c r="C648" s="115"/>
      <c r="D648" s="131"/>
      <c r="E648" s="177"/>
      <c r="F648" s="28"/>
      <c r="G648" s="118"/>
      <c r="H648" s="192"/>
      <c r="I648" s="192"/>
      <c r="J648" s="175"/>
      <c r="K648" s="192"/>
      <c r="L648" s="192"/>
      <c r="M648" s="192"/>
      <c r="N648" s="175"/>
      <c r="O648" s="116"/>
      <c r="P648" s="175"/>
      <c r="Q648" s="175"/>
      <c r="R648" s="220"/>
      <c r="S648" s="175"/>
      <c r="T648" s="175"/>
      <c r="U648" s="175"/>
      <c r="V648" s="175"/>
      <c r="W648" s="175"/>
      <c r="X648" s="116"/>
    </row>
    <row r="649" spans="1:24" s="112" customFormat="1">
      <c r="A649" s="116"/>
      <c r="B649" s="115"/>
      <c r="C649" s="115"/>
      <c r="D649" s="131"/>
      <c r="E649" s="177"/>
      <c r="F649" s="28"/>
      <c r="G649" s="118"/>
      <c r="H649" s="192"/>
      <c r="I649" s="192"/>
      <c r="J649" s="175"/>
      <c r="K649" s="192"/>
      <c r="L649" s="192"/>
      <c r="M649" s="192"/>
      <c r="N649" s="175"/>
      <c r="O649" s="116"/>
      <c r="P649" s="175"/>
      <c r="Q649" s="175"/>
      <c r="R649" s="220"/>
      <c r="S649" s="175"/>
      <c r="T649" s="175"/>
      <c r="U649" s="175"/>
      <c r="V649" s="175"/>
      <c r="W649" s="175"/>
      <c r="X649" s="116"/>
    </row>
    <row r="650" spans="1:24" s="112" customFormat="1">
      <c r="A650" s="116"/>
      <c r="B650" s="115"/>
      <c r="C650" s="115"/>
      <c r="D650" s="131"/>
      <c r="E650" s="177"/>
      <c r="F650" s="28"/>
      <c r="G650" s="118"/>
      <c r="H650" s="192"/>
      <c r="I650" s="192"/>
      <c r="J650" s="175"/>
      <c r="K650" s="192"/>
      <c r="L650" s="192"/>
      <c r="M650" s="192"/>
      <c r="N650" s="175"/>
      <c r="O650" s="116"/>
      <c r="P650" s="175"/>
      <c r="Q650" s="175"/>
      <c r="R650" s="220"/>
      <c r="S650" s="175"/>
      <c r="T650" s="175"/>
      <c r="U650" s="175"/>
      <c r="V650" s="175"/>
      <c r="W650" s="175"/>
      <c r="X650" s="116"/>
    </row>
    <row r="651" spans="1:24" s="112" customFormat="1">
      <c r="A651" s="116"/>
      <c r="B651" s="115"/>
      <c r="C651" s="115"/>
      <c r="D651" s="131"/>
      <c r="E651" s="177"/>
      <c r="F651" s="28"/>
      <c r="G651" s="118"/>
      <c r="H651" s="192"/>
      <c r="I651" s="192"/>
      <c r="J651" s="175"/>
      <c r="K651" s="192"/>
      <c r="L651" s="192"/>
      <c r="M651" s="192"/>
      <c r="N651" s="175"/>
      <c r="O651" s="116"/>
      <c r="P651" s="175"/>
      <c r="Q651" s="175"/>
      <c r="R651" s="220"/>
      <c r="S651" s="175"/>
      <c r="T651" s="175"/>
      <c r="U651" s="175"/>
      <c r="V651" s="175"/>
      <c r="W651" s="175"/>
      <c r="X651" s="116"/>
    </row>
    <row r="652" spans="1:24" s="112" customFormat="1">
      <c r="A652" s="116"/>
      <c r="B652" s="115"/>
      <c r="C652" s="115"/>
      <c r="D652" s="131"/>
      <c r="E652" s="177"/>
      <c r="F652" s="28"/>
      <c r="G652" s="118"/>
      <c r="H652" s="192"/>
      <c r="I652" s="192"/>
      <c r="J652" s="175"/>
      <c r="K652" s="192"/>
      <c r="L652" s="192"/>
      <c r="M652" s="192"/>
      <c r="N652" s="175"/>
      <c r="O652" s="116"/>
      <c r="P652" s="175"/>
      <c r="Q652" s="175"/>
      <c r="R652" s="220"/>
      <c r="S652" s="175"/>
      <c r="T652" s="175"/>
      <c r="U652" s="175"/>
      <c r="V652" s="175"/>
      <c r="W652" s="175"/>
      <c r="X652" s="116"/>
    </row>
    <row r="653" spans="1:24" s="112" customFormat="1">
      <c r="A653" s="116"/>
      <c r="B653" s="115"/>
      <c r="C653" s="115"/>
      <c r="D653" s="131"/>
      <c r="E653" s="177"/>
      <c r="F653" s="28"/>
      <c r="G653" s="118"/>
      <c r="H653" s="192"/>
      <c r="I653" s="192"/>
      <c r="J653" s="175"/>
      <c r="K653" s="192"/>
      <c r="L653" s="192"/>
      <c r="M653" s="192"/>
      <c r="N653" s="175"/>
      <c r="O653" s="116"/>
      <c r="P653" s="175"/>
      <c r="Q653" s="175"/>
      <c r="R653" s="220"/>
      <c r="S653" s="175"/>
      <c r="T653" s="175"/>
      <c r="U653" s="175"/>
      <c r="V653" s="175"/>
      <c r="W653" s="175"/>
      <c r="X653" s="116"/>
    </row>
    <row r="654" spans="1:24" s="112" customFormat="1">
      <c r="A654" s="116"/>
      <c r="B654" s="115"/>
      <c r="C654" s="115"/>
      <c r="D654" s="131"/>
      <c r="E654" s="177"/>
      <c r="F654" s="28"/>
      <c r="G654" s="118"/>
      <c r="H654" s="192"/>
      <c r="I654" s="192"/>
      <c r="J654" s="175"/>
      <c r="K654" s="192"/>
      <c r="L654" s="192"/>
      <c r="M654" s="192"/>
      <c r="N654" s="175"/>
      <c r="O654" s="116"/>
      <c r="P654" s="175"/>
      <c r="Q654" s="175"/>
      <c r="R654" s="220"/>
      <c r="S654" s="175"/>
      <c r="T654" s="175"/>
      <c r="U654" s="175"/>
      <c r="V654" s="175"/>
      <c r="W654" s="175"/>
      <c r="X654" s="116"/>
    </row>
    <row r="655" spans="1:24" s="112" customFormat="1">
      <c r="A655" s="116"/>
      <c r="B655" s="115"/>
      <c r="C655" s="115"/>
      <c r="D655" s="131"/>
      <c r="E655" s="177"/>
      <c r="F655" s="28"/>
      <c r="G655" s="118"/>
      <c r="H655" s="192"/>
      <c r="I655" s="192"/>
      <c r="J655" s="175"/>
      <c r="K655" s="192"/>
      <c r="L655" s="192"/>
      <c r="M655" s="192"/>
      <c r="N655" s="175"/>
      <c r="O655" s="116"/>
      <c r="P655" s="175"/>
      <c r="Q655" s="175"/>
      <c r="R655" s="220"/>
      <c r="S655" s="175"/>
      <c r="T655" s="175"/>
      <c r="U655" s="175"/>
      <c r="V655" s="175"/>
      <c r="W655" s="175"/>
      <c r="X655" s="116"/>
    </row>
    <row r="656" spans="1:24" s="112" customFormat="1">
      <c r="A656" s="116"/>
      <c r="B656" s="115"/>
      <c r="C656" s="115"/>
      <c r="D656" s="131"/>
      <c r="E656" s="177"/>
      <c r="F656" s="28"/>
      <c r="G656" s="118"/>
      <c r="H656" s="192"/>
      <c r="I656" s="192"/>
      <c r="J656" s="175"/>
      <c r="K656" s="192"/>
      <c r="L656" s="192"/>
      <c r="M656" s="192"/>
      <c r="N656" s="175"/>
      <c r="O656" s="116"/>
      <c r="P656" s="175"/>
      <c r="Q656" s="175"/>
      <c r="R656" s="220"/>
      <c r="S656" s="175"/>
      <c r="T656" s="175"/>
      <c r="U656" s="175"/>
      <c r="V656" s="175"/>
      <c r="W656" s="175"/>
      <c r="X656" s="116"/>
    </row>
    <row r="657" spans="1:24" s="112" customFormat="1">
      <c r="A657" s="116"/>
      <c r="B657" s="115"/>
      <c r="C657" s="115"/>
      <c r="D657" s="131"/>
      <c r="E657" s="177"/>
      <c r="F657" s="28"/>
      <c r="G657" s="118"/>
      <c r="H657" s="192"/>
      <c r="I657" s="192"/>
      <c r="J657" s="175"/>
      <c r="K657" s="192"/>
      <c r="L657" s="192"/>
      <c r="M657" s="192"/>
      <c r="N657" s="175"/>
      <c r="O657" s="116"/>
      <c r="P657" s="175"/>
      <c r="Q657" s="175"/>
      <c r="R657" s="220"/>
      <c r="S657" s="175"/>
      <c r="T657" s="175"/>
      <c r="U657" s="175"/>
      <c r="V657" s="175"/>
      <c r="W657" s="175"/>
      <c r="X657" s="116"/>
    </row>
    <row r="658" spans="1:24" s="112" customFormat="1">
      <c r="A658" s="116"/>
      <c r="B658" s="115"/>
      <c r="C658" s="115"/>
      <c r="D658" s="131"/>
      <c r="E658" s="177"/>
      <c r="F658" s="28"/>
      <c r="G658" s="118"/>
      <c r="H658" s="192"/>
      <c r="I658" s="192"/>
      <c r="J658" s="175"/>
      <c r="K658" s="192"/>
      <c r="L658" s="192"/>
      <c r="M658" s="192"/>
      <c r="N658" s="175"/>
      <c r="O658" s="116"/>
      <c r="P658" s="175"/>
      <c r="Q658" s="175"/>
      <c r="R658" s="220"/>
      <c r="S658" s="175"/>
      <c r="T658" s="175"/>
      <c r="U658" s="175"/>
      <c r="V658" s="175"/>
      <c r="W658" s="175"/>
      <c r="X658" s="116"/>
    </row>
    <row r="659" spans="1:24" s="112" customFormat="1">
      <c r="A659" s="116"/>
      <c r="B659" s="115"/>
      <c r="C659" s="115"/>
      <c r="D659" s="131"/>
      <c r="E659" s="177"/>
      <c r="F659" s="28"/>
      <c r="G659" s="118"/>
      <c r="H659" s="192"/>
      <c r="I659" s="192"/>
      <c r="J659" s="175"/>
      <c r="K659" s="192"/>
      <c r="L659" s="192"/>
      <c r="M659" s="192"/>
      <c r="N659" s="175"/>
      <c r="O659" s="116"/>
      <c r="P659" s="175"/>
      <c r="Q659" s="175"/>
      <c r="R659" s="220"/>
      <c r="S659" s="175"/>
      <c r="T659" s="175"/>
      <c r="U659" s="175"/>
      <c r="V659" s="175"/>
      <c r="W659" s="175"/>
      <c r="X659" s="116"/>
    </row>
    <row r="660" spans="1:24" s="112" customFormat="1">
      <c r="A660" s="116"/>
      <c r="B660" s="115"/>
      <c r="C660" s="115"/>
      <c r="D660" s="131"/>
      <c r="E660" s="177"/>
      <c r="F660" s="28"/>
      <c r="G660" s="118"/>
      <c r="H660" s="192"/>
      <c r="I660" s="192"/>
      <c r="J660" s="175"/>
      <c r="K660" s="192"/>
      <c r="L660" s="192"/>
      <c r="M660" s="192"/>
      <c r="N660" s="175"/>
      <c r="O660" s="116"/>
      <c r="P660" s="175"/>
      <c r="Q660" s="175"/>
      <c r="R660" s="220"/>
      <c r="S660" s="175"/>
      <c r="T660" s="175"/>
      <c r="U660" s="175"/>
      <c r="V660" s="175"/>
      <c r="W660" s="175"/>
      <c r="X660" s="116"/>
    </row>
    <row r="661" spans="1:24" s="112" customFormat="1">
      <c r="A661" s="116"/>
      <c r="B661" s="115"/>
      <c r="C661" s="115"/>
      <c r="D661" s="131"/>
      <c r="E661" s="177"/>
      <c r="F661" s="28"/>
      <c r="G661" s="118"/>
      <c r="H661" s="192"/>
      <c r="I661" s="192"/>
      <c r="J661" s="175"/>
      <c r="K661" s="192"/>
      <c r="L661" s="192"/>
      <c r="M661" s="192"/>
      <c r="N661" s="175"/>
      <c r="O661" s="116"/>
      <c r="P661" s="175"/>
      <c r="Q661" s="175"/>
      <c r="R661" s="220"/>
      <c r="S661" s="175"/>
      <c r="T661" s="175"/>
      <c r="U661" s="175"/>
      <c r="V661" s="175"/>
      <c r="W661" s="175"/>
      <c r="X661" s="116"/>
    </row>
    <row r="662" spans="1:24" s="112" customFormat="1">
      <c r="A662" s="116"/>
      <c r="B662" s="115"/>
      <c r="C662" s="115"/>
      <c r="D662" s="131"/>
      <c r="E662" s="177"/>
      <c r="F662" s="28"/>
      <c r="G662" s="118"/>
      <c r="H662" s="192"/>
      <c r="I662" s="192"/>
      <c r="J662" s="175"/>
      <c r="K662" s="192"/>
      <c r="L662" s="192"/>
      <c r="M662" s="192"/>
      <c r="N662" s="175"/>
      <c r="O662" s="116"/>
      <c r="P662" s="175"/>
      <c r="Q662" s="175"/>
      <c r="R662" s="220"/>
      <c r="S662" s="175"/>
      <c r="T662" s="175"/>
      <c r="U662" s="175"/>
      <c r="V662" s="175"/>
      <c r="W662" s="175"/>
      <c r="X662" s="116"/>
    </row>
    <row r="663" spans="1:24" s="112" customFormat="1">
      <c r="A663" s="116"/>
      <c r="B663" s="115"/>
      <c r="C663" s="115"/>
      <c r="D663" s="131"/>
      <c r="E663" s="177"/>
      <c r="F663" s="28"/>
      <c r="G663" s="118"/>
      <c r="H663" s="192"/>
      <c r="I663" s="192"/>
      <c r="J663" s="175"/>
      <c r="K663" s="192"/>
      <c r="L663" s="192"/>
      <c r="M663" s="192"/>
      <c r="N663" s="175"/>
      <c r="O663" s="116"/>
      <c r="P663" s="175"/>
      <c r="Q663" s="175"/>
      <c r="R663" s="220"/>
      <c r="S663" s="175"/>
      <c r="T663" s="175"/>
      <c r="U663" s="175"/>
      <c r="V663" s="175"/>
      <c r="W663" s="175"/>
      <c r="X663" s="116"/>
    </row>
    <row r="664" spans="1:24" s="112" customFormat="1">
      <c r="A664" s="116"/>
      <c r="B664" s="115"/>
      <c r="C664" s="115"/>
      <c r="D664" s="131"/>
      <c r="E664" s="177"/>
      <c r="F664" s="28"/>
      <c r="G664" s="118"/>
      <c r="H664" s="192"/>
      <c r="I664" s="192"/>
      <c r="J664" s="175"/>
      <c r="K664" s="192"/>
      <c r="L664" s="192"/>
      <c r="M664" s="192"/>
      <c r="N664" s="175"/>
      <c r="O664" s="116"/>
      <c r="P664" s="175"/>
      <c r="Q664" s="175"/>
      <c r="R664" s="220"/>
      <c r="S664" s="175"/>
      <c r="T664" s="175"/>
      <c r="U664" s="175"/>
      <c r="V664" s="175"/>
      <c r="W664" s="175"/>
      <c r="X664" s="116"/>
    </row>
    <row r="665" spans="1:24" s="112" customFormat="1">
      <c r="A665" s="116"/>
      <c r="B665" s="115"/>
      <c r="C665" s="115"/>
      <c r="D665" s="131"/>
      <c r="E665" s="177"/>
      <c r="F665" s="28"/>
      <c r="G665" s="118"/>
      <c r="H665" s="192"/>
      <c r="I665" s="192"/>
      <c r="J665" s="175"/>
      <c r="K665" s="192"/>
      <c r="L665" s="192"/>
      <c r="M665" s="192"/>
      <c r="N665" s="175"/>
      <c r="O665" s="116"/>
      <c r="P665" s="175"/>
      <c r="Q665" s="175"/>
      <c r="R665" s="220"/>
      <c r="S665" s="175"/>
      <c r="T665" s="175"/>
      <c r="U665" s="175"/>
      <c r="V665" s="175"/>
      <c r="W665" s="175"/>
      <c r="X665" s="116"/>
    </row>
    <row r="666" spans="1:24" s="112" customFormat="1">
      <c r="A666" s="116"/>
      <c r="B666" s="115"/>
      <c r="C666" s="115"/>
      <c r="D666" s="131"/>
      <c r="E666" s="177"/>
      <c r="F666" s="28"/>
      <c r="G666" s="118"/>
      <c r="H666" s="192"/>
      <c r="I666" s="192"/>
      <c r="J666" s="175"/>
      <c r="K666" s="192"/>
      <c r="L666" s="192"/>
      <c r="M666" s="192"/>
      <c r="N666" s="175"/>
      <c r="O666" s="116"/>
      <c r="P666" s="175"/>
      <c r="Q666" s="175"/>
      <c r="R666" s="220"/>
      <c r="S666" s="175"/>
      <c r="T666" s="175"/>
      <c r="U666" s="175"/>
      <c r="V666" s="175"/>
      <c r="W666" s="175"/>
      <c r="X666" s="116"/>
    </row>
    <row r="667" spans="1:24" s="112" customFormat="1">
      <c r="A667" s="116"/>
      <c r="B667" s="115"/>
      <c r="C667" s="115"/>
      <c r="D667" s="131"/>
      <c r="E667" s="177"/>
      <c r="F667" s="28"/>
      <c r="G667" s="118"/>
      <c r="H667" s="192"/>
      <c r="I667" s="192"/>
      <c r="J667" s="175"/>
      <c r="K667" s="192"/>
      <c r="L667" s="192"/>
      <c r="M667" s="192"/>
      <c r="N667" s="175"/>
      <c r="O667" s="116"/>
      <c r="P667" s="175"/>
      <c r="Q667" s="175"/>
      <c r="R667" s="220"/>
      <c r="S667" s="175"/>
      <c r="T667" s="175"/>
      <c r="U667" s="175"/>
      <c r="V667" s="175"/>
      <c r="W667" s="175"/>
      <c r="X667" s="116"/>
    </row>
    <row r="668" spans="1:24" s="112" customFormat="1">
      <c r="A668" s="116"/>
      <c r="B668" s="115"/>
      <c r="C668" s="115"/>
      <c r="D668" s="131"/>
      <c r="E668" s="177"/>
      <c r="F668" s="28"/>
      <c r="G668" s="118"/>
      <c r="H668" s="192"/>
      <c r="I668" s="192"/>
      <c r="J668" s="175"/>
      <c r="K668" s="192"/>
      <c r="L668" s="192"/>
      <c r="M668" s="192"/>
      <c r="N668" s="175"/>
      <c r="O668" s="116"/>
      <c r="P668" s="175"/>
      <c r="Q668" s="175"/>
      <c r="R668" s="220"/>
      <c r="S668" s="175"/>
      <c r="T668" s="175"/>
      <c r="U668" s="175"/>
      <c r="V668" s="175"/>
      <c r="W668" s="175"/>
      <c r="X668" s="116"/>
    </row>
    <row r="669" spans="1:24" s="112" customFormat="1">
      <c r="A669" s="116"/>
      <c r="B669" s="115"/>
      <c r="C669" s="115"/>
      <c r="D669" s="131"/>
      <c r="E669" s="177"/>
      <c r="F669" s="28"/>
      <c r="G669" s="118"/>
      <c r="H669" s="192"/>
      <c r="I669" s="192"/>
      <c r="J669" s="175"/>
      <c r="K669" s="192"/>
      <c r="L669" s="192"/>
      <c r="M669" s="192"/>
      <c r="N669" s="175"/>
      <c r="O669" s="116"/>
      <c r="P669" s="175"/>
      <c r="Q669" s="175"/>
      <c r="R669" s="220"/>
      <c r="S669" s="175"/>
      <c r="T669" s="175"/>
      <c r="U669" s="175"/>
      <c r="V669" s="175"/>
      <c r="W669" s="175"/>
      <c r="X669" s="116"/>
    </row>
    <row r="670" spans="1:24" s="112" customFormat="1">
      <c r="A670" s="116"/>
      <c r="B670" s="115"/>
      <c r="C670" s="115"/>
      <c r="D670" s="131"/>
      <c r="E670" s="177"/>
      <c r="F670" s="28"/>
      <c r="G670" s="118"/>
      <c r="H670" s="192"/>
      <c r="I670" s="192"/>
      <c r="J670" s="175"/>
      <c r="K670" s="192"/>
      <c r="L670" s="192"/>
      <c r="M670" s="192"/>
      <c r="N670" s="175"/>
      <c r="O670" s="116"/>
      <c r="P670" s="175"/>
      <c r="Q670" s="175"/>
      <c r="R670" s="220"/>
      <c r="S670" s="175"/>
      <c r="T670" s="175"/>
      <c r="U670" s="175"/>
      <c r="V670" s="175"/>
      <c r="W670" s="175"/>
      <c r="X670" s="116"/>
    </row>
    <row r="671" spans="1:24" s="112" customFormat="1">
      <c r="A671" s="116"/>
      <c r="B671" s="115"/>
      <c r="C671" s="115"/>
      <c r="D671" s="131"/>
      <c r="E671" s="177"/>
      <c r="F671" s="28"/>
      <c r="G671" s="118"/>
      <c r="H671" s="192"/>
      <c r="I671" s="192"/>
      <c r="J671" s="175"/>
      <c r="K671" s="192"/>
      <c r="L671" s="192"/>
      <c r="M671" s="192"/>
      <c r="N671" s="175"/>
      <c r="O671" s="116"/>
      <c r="P671" s="175"/>
      <c r="Q671" s="175"/>
      <c r="R671" s="220"/>
      <c r="S671" s="175"/>
      <c r="T671" s="175"/>
      <c r="U671" s="175"/>
      <c r="V671" s="175"/>
      <c r="W671" s="175"/>
      <c r="X671" s="116"/>
    </row>
    <row r="672" spans="1:24" s="112" customFormat="1">
      <c r="A672" s="116"/>
      <c r="B672" s="115"/>
      <c r="C672" s="115"/>
      <c r="D672" s="131"/>
      <c r="E672" s="177"/>
      <c r="F672" s="28"/>
      <c r="G672" s="118"/>
      <c r="H672" s="192"/>
      <c r="I672" s="192"/>
      <c r="J672" s="175"/>
      <c r="K672" s="192"/>
      <c r="L672" s="192"/>
      <c r="M672" s="192"/>
      <c r="N672" s="175"/>
      <c r="O672" s="116"/>
      <c r="P672" s="175"/>
      <c r="Q672" s="175"/>
      <c r="R672" s="220"/>
      <c r="S672" s="175"/>
      <c r="T672" s="175"/>
      <c r="U672" s="175"/>
      <c r="V672" s="175"/>
      <c r="W672" s="175"/>
      <c r="X672" s="116"/>
    </row>
    <row r="673" spans="1:24" s="112" customFormat="1">
      <c r="A673" s="116"/>
      <c r="B673" s="115"/>
      <c r="C673" s="115"/>
      <c r="D673" s="131"/>
      <c r="E673" s="177"/>
      <c r="F673" s="28"/>
      <c r="G673" s="118"/>
      <c r="H673" s="192"/>
      <c r="I673" s="192"/>
      <c r="J673" s="175"/>
      <c r="K673" s="192"/>
      <c r="L673" s="192"/>
      <c r="M673" s="192"/>
      <c r="N673" s="175"/>
      <c r="O673" s="116"/>
      <c r="P673" s="175"/>
      <c r="Q673" s="175"/>
      <c r="R673" s="220"/>
      <c r="S673" s="175"/>
      <c r="T673" s="175"/>
      <c r="U673" s="175"/>
      <c r="V673" s="175"/>
      <c r="W673" s="175"/>
      <c r="X673" s="116"/>
    </row>
    <row r="674" spans="1:24" s="112" customFormat="1">
      <c r="A674" s="116"/>
      <c r="B674" s="115"/>
      <c r="C674" s="115"/>
      <c r="D674" s="131"/>
      <c r="E674" s="177"/>
      <c r="F674" s="28"/>
      <c r="G674" s="118"/>
      <c r="H674" s="192"/>
      <c r="I674" s="192"/>
      <c r="J674" s="175"/>
      <c r="K674" s="192"/>
      <c r="L674" s="192"/>
      <c r="M674" s="192"/>
      <c r="N674" s="175"/>
      <c r="O674" s="116"/>
      <c r="P674" s="175"/>
      <c r="Q674" s="175"/>
      <c r="R674" s="220"/>
      <c r="S674" s="175"/>
      <c r="T674" s="175"/>
      <c r="U674" s="175"/>
      <c r="V674" s="175"/>
      <c r="W674" s="175"/>
      <c r="X674" s="116"/>
    </row>
    <row r="675" spans="1:24" s="112" customFormat="1">
      <c r="A675" s="116"/>
      <c r="B675" s="115"/>
      <c r="C675" s="115"/>
      <c r="D675" s="131"/>
      <c r="E675" s="177"/>
      <c r="F675" s="28"/>
      <c r="G675" s="118"/>
      <c r="H675" s="192"/>
      <c r="I675" s="192"/>
      <c r="J675" s="175"/>
      <c r="K675" s="192"/>
      <c r="L675" s="192"/>
      <c r="M675" s="192"/>
      <c r="N675" s="175"/>
      <c r="O675" s="116"/>
      <c r="P675" s="175"/>
      <c r="Q675" s="175"/>
      <c r="R675" s="220"/>
      <c r="S675" s="175"/>
      <c r="T675" s="175"/>
      <c r="U675" s="175"/>
      <c r="V675" s="175"/>
      <c r="W675" s="175"/>
      <c r="X675" s="116"/>
    </row>
    <row r="676" spans="1:24" s="112" customFormat="1">
      <c r="A676" s="116"/>
      <c r="B676" s="115"/>
      <c r="C676" s="115"/>
      <c r="D676" s="131"/>
      <c r="E676" s="177"/>
      <c r="F676" s="28"/>
      <c r="G676" s="118"/>
      <c r="H676" s="192"/>
      <c r="I676" s="192"/>
      <c r="J676" s="175"/>
      <c r="K676" s="192"/>
      <c r="L676" s="192"/>
      <c r="M676" s="192"/>
      <c r="N676" s="175"/>
      <c r="O676" s="116"/>
      <c r="P676" s="175"/>
      <c r="Q676" s="175"/>
      <c r="R676" s="220"/>
      <c r="S676" s="175"/>
      <c r="T676" s="175"/>
      <c r="U676" s="175"/>
      <c r="V676" s="175"/>
      <c r="W676" s="175"/>
      <c r="X676" s="116"/>
    </row>
    <row r="677" spans="1:24" s="112" customFormat="1">
      <c r="A677" s="116"/>
      <c r="B677" s="115"/>
      <c r="C677" s="115"/>
      <c r="D677" s="131"/>
      <c r="E677" s="177"/>
      <c r="F677" s="28"/>
      <c r="G677" s="118"/>
      <c r="H677" s="192"/>
      <c r="I677" s="192"/>
      <c r="J677" s="175"/>
      <c r="K677" s="192"/>
      <c r="L677" s="192"/>
      <c r="M677" s="192"/>
      <c r="N677" s="175"/>
      <c r="O677" s="116"/>
      <c r="P677" s="175"/>
      <c r="Q677" s="175"/>
      <c r="R677" s="220"/>
      <c r="S677" s="175"/>
      <c r="T677" s="175"/>
      <c r="U677" s="175"/>
      <c r="V677" s="175"/>
      <c r="W677" s="175"/>
      <c r="X677" s="116"/>
    </row>
    <row r="678" spans="1:24" s="112" customFormat="1">
      <c r="A678" s="116"/>
      <c r="B678" s="115"/>
      <c r="C678" s="115"/>
      <c r="D678" s="131"/>
      <c r="E678" s="177"/>
      <c r="F678" s="28"/>
      <c r="G678" s="118"/>
      <c r="H678" s="192"/>
      <c r="I678" s="192"/>
      <c r="J678" s="175"/>
      <c r="K678" s="192"/>
      <c r="L678" s="192"/>
      <c r="M678" s="192"/>
      <c r="N678" s="175"/>
      <c r="O678" s="116"/>
      <c r="P678" s="175"/>
      <c r="Q678" s="175"/>
      <c r="R678" s="220"/>
      <c r="S678" s="175"/>
      <c r="T678" s="175"/>
      <c r="U678" s="175"/>
      <c r="V678" s="175"/>
      <c r="W678" s="175"/>
      <c r="X678" s="116"/>
    </row>
    <row r="679" spans="1:24" s="112" customFormat="1">
      <c r="A679" s="116"/>
      <c r="B679" s="115"/>
      <c r="C679" s="115"/>
      <c r="D679" s="131"/>
      <c r="E679" s="177"/>
      <c r="F679" s="28"/>
      <c r="G679" s="118"/>
      <c r="H679" s="192"/>
      <c r="I679" s="192"/>
      <c r="J679" s="175"/>
      <c r="K679" s="192"/>
      <c r="L679" s="192"/>
      <c r="M679" s="192"/>
      <c r="N679" s="175"/>
      <c r="O679" s="116"/>
      <c r="P679" s="175"/>
      <c r="Q679" s="175"/>
      <c r="R679" s="220"/>
      <c r="S679" s="175"/>
      <c r="T679" s="175"/>
      <c r="U679" s="175"/>
      <c r="V679" s="175"/>
      <c r="W679" s="175"/>
      <c r="X679" s="116"/>
    </row>
    <row r="680" spans="1:24" s="112" customFormat="1">
      <c r="A680" s="116"/>
      <c r="B680" s="115"/>
      <c r="C680" s="115"/>
      <c r="D680" s="131"/>
      <c r="E680" s="177"/>
      <c r="F680" s="28"/>
      <c r="G680" s="118"/>
      <c r="H680" s="192"/>
      <c r="I680" s="192"/>
      <c r="J680" s="175"/>
      <c r="K680" s="192"/>
      <c r="L680" s="192"/>
      <c r="M680" s="192"/>
      <c r="N680" s="175"/>
      <c r="O680" s="116"/>
      <c r="P680" s="175"/>
      <c r="Q680" s="175"/>
      <c r="R680" s="220"/>
      <c r="S680" s="175"/>
      <c r="T680" s="175"/>
      <c r="U680" s="175"/>
      <c r="V680" s="175"/>
      <c r="W680" s="175"/>
      <c r="X680" s="116"/>
    </row>
    <row r="681" spans="1:24" s="112" customFormat="1">
      <c r="A681" s="116"/>
      <c r="B681" s="115"/>
      <c r="C681" s="115"/>
      <c r="D681" s="131"/>
      <c r="E681" s="177"/>
      <c r="F681" s="28"/>
      <c r="G681" s="118"/>
      <c r="H681" s="192"/>
      <c r="I681" s="192"/>
      <c r="J681" s="175"/>
      <c r="K681" s="192"/>
      <c r="L681" s="192"/>
      <c r="M681" s="192"/>
      <c r="N681" s="175"/>
      <c r="O681" s="116"/>
      <c r="P681" s="175"/>
      <c r="Q681" s="175"/>
      <c r="R681" s="220"/>
      <c r="S681" s="175"/>
      <c r="T681" s="175"/>
      <c r="U681" s="175"/>
      <c r="V681" s="175"/>
      <c r="W681" s="175"/>
      <c r="X681" s="116"/>
    </row>
    <row r="682" spans="1:24" s="112" customFormat="1">
      <c r="A682" s="116"/>
      <c r="B682" s="115"/>
      <c r="C682" s="115"/>
      <c r="D682" s="131"/>
      <c r="E682" s="177"/>
      <c r="F682" s="28"/>
      <c r="G682" s="118"/>
      <c r="H682" s="192"/>
      <c r="I682" s="192"/>
      <c r="J682" s="175"/>
      <c r="K682" s="192"/>
      <c r="L682" s="192"/>
      <c r="M682" s="192"/>
      <c r="N682" s="175"/>
      <c r="O682" s="116"/>
      <c r="P682" s="175"/>
      <c r="Q682" s="175"/>
      <c r="R682" s="220"/>
      <c r="S682" s="175"/>
      <c r="T682" s="175"/>
      <c r="U682" s="175"/>
      <c r="V682" s="175"/>
      <c r="W682" s="175"/>
      <c r="X682" s="116"/>
    </row>
    <row r="683" spans="1:24" s="112" customFormat="1">
      <c r="A683" s="116"/>
      <c r="B683" s="115"/>
      <c r="C683" s="115"/>
      <c r="D683" s="131"/>
      <c r="E683" s="177"/>
      <c r="F683" s="28"/>
      <c r="G683" s="118"/>
      <c r="H683" s="192"/>
      <c r="I683" s="192"/>
      <c r="J683" s="175"/>
      <c r="K683" s="192"/>
      <c r="L683" s="192"/>
      <c r="M683" s="192"/>
      <c r="N683" s="175"/>
      <c r="O683" s="116"/>
      <c r="P683" s="175"/>
      <c r="Q683" s="175"/>
      <c r="R683" s="220"/>
      <c r="S683" s="175"/>
      <c r="T683" s="175"/>
      <c r="U683" s="175"/>
      <c r="V683" s="175"/>
      <c r="W683" s="175"/>
      <c r="X683" s="116"/>
    </row>
    <row r="684" spans="1:24" s="112" customFormat="1">
      <c r="A684" s="116"/>
      <c r="B684" s="115"/>
      <c r="C684" s="115"/>
      <c r="D684" s="131"/>
      <c r="E684" s="177"/>
      <c r="F684" s="28"/>
      <c r="G684" s="118"/>
      <c r="H684" s="192"/>
      <c r="I684" s="192"/>
      <c r="J684" s="175"/>
      <c r="K684" s="192"/>
      <c r="L684" s="192"/>
      <c r="M684" s="192"/>
      <c r="N684" s="175"/>
      <c r="O684" s="116"/>
      <c r="P684" s="175"/>
      <c r="Q684" s="175"/>
      <c r="R684" s="220"/>
      <c r="S684" s="175"/>
      <c r="T684" s="175"/>
      <c r="U684" s="175"/>
      <c r="V684" s="175"/>
      <c r="W684" s="175"/>
      <c r="X684" s="116"/>
    </row>
    <row r="685" spans="1:24" s="112" customFormat="1">
      <c r="A685" s="116"/>
      <c r="B685" s="115"/>
      <c r="C685" s="115"/>
      <c r="D685" s="131"/>
      <c r="E685" s="177"/>
      <c r="F685" s="28"/>
      <c r="G685" s="118"/>
      <c r="H685" s="192"/>
      <c r="I685" s="192"/>
      <c r="J685" s="175"/>
      <c r="K685" s="192"/>
      <c r="L685" s="192"/>
      <c r="M685" s="192"/>
      <c r="N685" s="175"/>
      <c r="O685" s="116"/>
      <c r="P685" s="175"/>
      <c r="Q685" s="175"/>
      <c r="R685" s="220"/>
      <c r="S685" s="175"/>
      <c r="T685" s="175"/>
      <c r="U685" s="175"/>
      <c r="V685" s="175"/>
      <c r="W685" s="175"/>
      <c r="X685" s="116"/>
    </row>
    <row r="686" spans="1:24" s="112" customFormat="1">
      <c r="A686" s="116"/>
      <c r="B686" s="115"/>
      <c r="C686" s="115"/>
      <c r="D686" s="131"/>
      <c r="E686" s="177"/>
      <c r="F686" s="28"/>
      <c r="G686" s="118"/>
      <c r="H686" s="192"/>
      <c r="I686" s="192"/>
      <c r="J686" s="175"/>
      <c r="K686" s="192"/>
      <c r="L686" s="192"/>
      <c r="M686" s="192"/>
      <c r="N686" s="175"/>
      <c r="O686" s="116"/>
      <c r="P686" s="175"/>
      <c r="Q686" s="175"/>
      <c r="R686" s="220"/>
      <c r="S686" s="175"/>
      <c r="T686" s="175"/>
      <c r="U686" s="175"/>
      <c r="V686" s="175"/>
      <c r="W686" s="175"/>
      <c r="X686" s="116"/>
    </row>
    <row r="687" spans="1:24" s="112" customFormat="1">
      <c r="A687" s="116"/>
      <c r="B687" s="115"/>
      <c r="C687" s="115"/>
      <c r="D687" s="131"/>
      <c r="E687" s="177"/>
      <c r="F687" s="28"/>
      <c r="G687" s="118"/>
      <c r="H687" s="192"/>
      <c r="I687" s="192"/>
      <c r="J687" s="175"/>
      <c r="K687" s="192"/>
      <c r="L687" s="192"/>
      <c r="M687" s="192"/>
      <c r="N687" s="175"/>
      <c r="O687" s="116"/>
      <c r="P687" s="175"/>
      <c r="Q687" s="175"/>
      <c r="R687" s="220"/>
      <c r="S687" s="175"/>
      <c r="T687" s="175"/>
      <c r="U687" s="175"/>
      <c r="V687" s="175"/>
      <c r="W687" s="175"/>
      <c r="X687" s="116"/>
    </row>
    <row r="688" spans="1:24" s="112" customFormat="1">
      <c r="A688" s="116"/>
      <c r="B688" s="115"/>
      <c r="C688" s="115"/>
      <c r="D688" s="131"/>
      <c r="E688" s="177"/>
      <c r="F688" s="28"/>
      <c r="G688" s="118"/>
      <c r="H688" s="192"/>
      <c r="I688" s="192"/>
      <c r="J688" s="175"/>
      <c r="K688" s="192"/>
      <c r="L688" s="192"/>
      <c r="M688" s="192"/>
      <c r="N688" s="175"/>
      <c r="O688" s="116"/>
      <c r="P688" s="175"/>
      <c r="Q688" s="175"/>
      <c r="R688" s="220"/>
      <c r="S688" s="175"/>
      <c r="T688" s="175"/>
      <c r="U688" s="175"/>
      <c r="V688" s="175"/>
      <c r="W688" s="175"/>
      <c r="X688" s="116"/>
    </row>
    <row r="689" spans="1:24" s="112" customFormat="1">
      <c r="A689" s="116"/>
      <c r="B689" s="115"/>
      <c r="C689" s="115"/>
      <c r="D689" s="131"/>
      <c r="E689" s="177"/>
      <c r="F689" s="28"/>
      <c r="G689" s="118"/>
      <c r="H689" s="192"/>
      <c r="I689" s="192"/>
      <c r="J689" s="175"/>
      <c r="K689" s="192"/>
      <c r="L689" s="192"/>
      <c r="M689" s="192"/>
      <c r="N689" s="175"/>
      <c r="O689" s="116"/>
      <c r="P689" s="175"/>
      <c r="Q689" s="175"/>
      <c r="R689" s="220"/>
      <c r="S689" s="175"/>
      <c r="T689" s="175"/>
      <c r="U689" s="175"/>
      <c r="V689" s="175"/>
      <c r="W689" s="175"/>
      <c r="X689" s="116"/>
    </row>
    <row r="690" spans="1:24" s="112" customFormat="1">
      <c r="A690" s="116"/>
      <c r="B690" s="115"/>
      <c r="C690" s="115"/>
      <c r="D690" s="131"/>
      <c r="E690" s="177"/>
      <c r="F690" s="28"/>
      <c r="G690" s="118"/>
      <c r="H690" s="192"/>
      <c r="I690" s="192"/>
      <c r="J690" s="175"/>
      <c r="K690" s="192"/>
      <c r="L690" s="192"/>
      <c r="M690" s="192"/>
      <c r="N690" s="175"/>
      <c r="O690" s="116"/>
      <c r="P690" s="175"/>
      <c r="Q690" s="175"/>
      <c r="R690" s="220"/>
      <c r="S690" s="175"/>
      <c r="T690" s="175"/>
      <c r="U690" s="175"/>
      <c r="V690" s="175"/>
      <c r="W690" s="175"/>
      <c r="X690" s="116"/>
    </row>
    <row r="691" spans="1:24" s="112" customFormat="1">
      <c r="A691" s="116"/>
      <c r="B691" s="115"/>
      <c r="C691" s="115"/>
      <c r="D691" s="131"/>
      <c r="E691" s="177"/>
      <c r="F691" s="28"/>
      <c r="G691" s="118"/>
      <c r="H691" s="192"/>
      <c r="I691" s="192"/>
      <c r="J691" s="175"/>
      <c r="K691" s="192"/>
      <c r="L691" s="192"/>
      <c r="M691" s="192"/>
      <c r="N691" s="175"/>
      <c r="O691" s="116"/>
      <c r="P691" s="175"/>
      <c r="Q691" s="175"/>
      <c r="R691" s="220"/>
      <c r="S691" s="175"/>
      <c r="T691" s="175"/>
      <c r="U691" s="175"/>
      <c r="V691" s="175"/>
      <c r="W691" s="175"/>
      <c r="X691" s="116"/>
    </row>
    <row r="692" spans="1:24" s="112" customFormat="1">
      <c r="A692" s="116"/>
      <c r="B692" s="115"/>
      <c r="C692" s="115"/>
      <c r="D692" s="131"/>
      <c r="E692" s="177"/>
      <c r="F692" s="28"/>
      <c r="G692" s="118"/>
      <c r="H692" s="192"/>
      <c r="I692" s="192"/>
      <c r="J692" s="175"/>
      <c r="K692" s="192"/>
      <c r="L692" s="192"/>
      <c r="M692" s="192"/>
      <c r="N692" s="175"/>
      <c r="O692" s="116"/>
      <c r="P692" s="175"/>
      <c r="Q692" s="175"/>
      <c r="R692" s="220"/>
      <c r="S692" s="175"/>
      <c r="T692" s="175"/>
      <c r="U692" s="175"/>
      <c r="V692" s="175"/>
      <c r="W692" s="175"/>
      <c r="X692" s="116"/>
    </row>
    <row r="693" spans="1:24" s="112" customFormat="1">
      <c r="A693" s="116"/>
      <c r="B693" s="115"/>
      <c r="C693" s="115"/>
      <c r="D693" s="131"/>
      <c r="E693" s="177"/>
      <c r="F693" s="28"/>
      <c r="G693" s="118"/>
      <c r="H693" s="192"/>
      <c r="I693" s="192"/>
      <c r="J693" s="175"/>
      <c r="K693" s="192"/>
      <c r="L693" s="192"/>
      <c r="M693" s="192"/>
      <c r="N693" s="175"/>
      <c r="O693" s="116"/>
      <c r="P693" s="175"/>
      <c r="Q693" s="175"/>
      <c r="R693" s="220"/>
      <c r="S693" s="175"/>
      <c r="T693" s="175"/>
      <c r="U693" s="175"/>
      <c r="V693" s="175"/>
      <c r="W693" s="175"/>
      <c r="X693" s="116"/>
    </row>
    <row r="694" spans="1:24" s="112" customFormat="1">
      <c r="A694" s="116"/>
      <c r="B694" s="115"/>
      <c r="C694" s="115"/>
      <c r="D694" s="131"/>
      <c r="E694" s="177"/>
      <c r="F694" s="28"/>
      <c r="G694" s="118"/>
      <c r="H694" s="192"/>
      <c r="I694" s="192"/>
      <c r="J694" s="175"/>
      <c r="K694" s="192"/>
      <c r="L694" s="192"/>
      <c r="M694" s="192"/>
      <c r="N694" s="175"/>
      <c r="O694" s="116"/>
      <c r="P694" s="175"/>
      <c r="Q694" s="175"/>
      <c r="R694" s="220"/>
      <c r="S694" s="175"/>
      <c r="T694" s="175"/>
      <c r="U694" s="175"/>
      <c r="V694" s="175"/>
      <c r="W694" s="175"/>
      <c r="X694" s="116"/>
    </row>
    <row r="695" spans="1:24" s="112" customFormat="1">
      <c r="A695" s="116"/>
      <c r="B695" s="115"/>
      <c r="C695" s="115"/>
      <c r="D695" s="131"/>
      <c r="E695" s="177"/>
      <c r="F695" s="28"/>
      <c r="G695" s="118"/>
      <c r="H695" s="192"/>
      <c r="I695" s="192"/>
      <c r="J695" s="175"/>
      <c r="K695" s="192"/>
      <c r="L695" s="192"/>
      <c r="M695" s="192"/>
      <c r="N695" s="175"/>
      <c r="O695" s="116"/>
      <c r="P695" s="175"/>
      <c r="Q695" s="175"/>
      <c r="R695" s="220"/>
      <c r="S695" s="175"/>
      <c r="T695" s="175"/>
      <c r="U695" s="175"/>
      <c r="V695" s="175"/>
      <c r="W695" s="175"/>
      <c r="X695" s="116"/>
    </row>
    <row r="696" spans="1:24" s="112" customFormat="1">
      <c r="A696" s="116"/>
      <c r="B696" s="115"/>
      <c r="C696" s="115"/>
      <c r="D696" s="131"/>
      <c r="E696" s="177"/>
      <c r="F696" s="28"/>
      <c r="G696" s="118"/>
      <c r="H696" s="192"/>
      <c r="I696" s="192"/>
      <c r="J696" s="175"/>
      <c r="K696" s="192"/>
      <c r="L696" s="192"/>
      <c r="M696" s="192"/>
      <c r="N696" s="175"/>
      <c r="O696" s="116"/>
      <c r="P696" s="175"/>
      <c r="Q696" s="175"/>
      <c r="R696" s="220"/>
      <c r="S696" s="175"/>
      <c r="T696" s="175"/>
      <c r="U696" s="175"/>
      <c r="V696" s="175"/>
      <c r="W696" s="175"/>
      <c r="X696" s="116"/>
    </row>
    <row r="697" spans="1:24" s="112" customFormat="1">
      <c r="A697" s="116"/>
      <c r="B697" s="115"/>
      <c r="C697" s="115"/>
      <c r="D697" s="131"/>
      <c r="E697" s="177"/>
      <c r="F697" s="28"/>
      <c r="G697" s="118"/>
      <c r="H697" s="192"/>
      <c r="I697" s="192"/>
      <c r="J697" s="175"/>
      <c r="K697" s="192"/>
      <c r="L697" s="192"/>
      <c r="M697" s="192"/>
      <c r="N697" s="175"/>
      <c r="O697" s="116"/>
      <c r="P697" s="175"/>
      <c r="Q697" s="175"/>
      <c r="R697" s="220"/>
      <c r="S697" s="175"/>
      <c r="T697" s="175"/>
      <c r="U697" s="175"/>
      <c r="V697" s="175"/>
      <c r="W697" s="175"/>
      <c r="X697" s="116"/>
    </row>
    <row r="698" spans="1:24" s="112" customFormat="1">
      <c r="A698" s="116"/>
      <c r="B698" s="115"/>
      <c r="C698" s="115"/>
      <c r="D698" s="131"/>
      <c r="E698" s="177"/>
      <c r="F698" s="28"/>
      <c r="G698" s="118"/>
      <c r="H698" s="192"/>
      <c r="I698" s="192"/>
      <c r="J698" s="175"/>
      <c r="K698" s="192"/>
      <c r="L698" s="192"/>
      <c r="M698" s="192"/>
      <c r="N698" s="175"/>
      <c r="O698" s="116"/>
      <c r="P698" s="175"/>
      <c r="Q698" s="175"/>
      <c r="R698" s="220"/>
      <c r="S698" s="175"/>
      <c r="T698" s="175"/>
      <c r="U698" s="175"/>
      <c r="V698" s="175"/>
      <c r="W698" s="175"/>
      <c r="X698" s="116"/>
    </row>
    <row r="699" spans="1:24" s="112" customFormat="1">
      <c r="A699" s="116"/>
      <c r="B699" s="115"/>
      <c r="C699" s="115"/>
      <c r="D699" s="131"/>
      <c r="E699" s="177"/>
      <c r="F699" s="28"/>
      <c r="G699" s="118"/>
      <c r="H699" s="192"/>
      <c r="I699" s="192"/>
      <c r="J699" s="175"/>
      <c r="K699" s="192"/>
      <c r="L699" s="192"/>
      <c r="M699" s="192"/>
      <c r="N699" s="175"/>
      <c r="O699" s="116"/>
      <c r="P699" s="175"/>
      <c r="Q699" s="175"/>
      <c r="R699" s="220"/>
      <c r="S699" s="175"/>
      <c r="T699" s="175"/>
      <c r="U699" s="175"/>
      <c r="V699" s="175"/>
      <c r="W699" s="175"/>
      <c r="X699" s="116"/>
    </row>
    <row r="700" spans="1:24" s="112" customFormat="1">
      <c r="A700" s="116"/>
      <c r="B700" s="115"/>
      <c r="C700" s="115"/>
      <c r="D700" s="131"/>
      <c r="E700" s="177"/>
      <c r="F700" s="28"/>
      <c r="G700" s="118"/>
      <c r="H700" s="192"/>
      <c r="I700" s="192"/>
      <c r="J700" s="175"/>
      <c r="K700" s="192"/>
      <c r="L700" s="192"/>
      <c r="M700" s="192"/>
      <c r="N700" s="175"/>
      <c r="O700" s="116"/>
      <c r="P700" s="175"/>
      <c r="Q700" s="175"/>
      <c r="R700" s="220"/>
      <c r="S700" s="175"/>
      <c r="T700" s="175"/>
      <c r="U700" s="175"/>
      <c r="V700" s="175"/>
      <c r="W700" s="175"/>
      <c r="X700" s="116"/>
    </row>
    <row r="701" spans="1:24" s="112" customFormat="1">
      <c r="A701" s="116"/>
      <c r="B701" s="115"/>
      <c r="C701" s="115"/>
      <c r="D701" s="131"/>
      <c r="E701" s="177"/>
      <c r="F701" s="28"/>
      <c r="G701" s="118"/>
      <c r="H701" s="192"/>
      <c r="I701" s="192"/>
      <c r="J701" s="175"/>
      <c r="K701" s="192"/>
      <c r="L701" s="192"/>
      <c r="M701" s="192"/>
      <c r="N701" s="175"/>
      <c r="O701" s="116"/>
      <c r="P701" s="175"/>
      <c r="Q701" s="175"/>
      <c r="R701" s="220"/>
      <c r="S701" s="175"/>
      <c r="T701" s="175"/>
      <c r="U701" s="175"/>
      <c r="V701" s="175"/>
      <c r="W701" s="175"/>
      <c r="X701" s="116"/>
    </row>
    <row r="702" spans="1:24" s="112" customFormat="1">
      <c r="A702" s="116"/>
      <c r="B702" s="115"/>
      <c r="C702" s="115"/>
      <c r="D702" s="131"/>
      <c r="E702" s="177"/>
      <c r="F702" s="28"/>
      <c r="G702" s="118"/>
      <c r="H702" s="192"/>
      <c r="I702" s="192"/>
      <c r="J702" s="175"/>
      <c r="K702" s="192"/>
      <c r="L702" s="192"/>
      <c r="M702" s="192"/>
      <c r="N702" s="175"/>
      <c r="O702" s="116"/>
      <c r="P702" s="175"/>
      <c r="Q702" s="175"/>
      <c r="R702" s="220"/>
      <c r="S702" s="175"/>
      <c r="T702" s="175"/>
      <c r="U702" s="175"/>
      <c r="V702" s="175"/>
      <c r="W702" s="175"/>
      <c r="X702" s="116"/>
    </row>
    <row r="703" spans="1:24" s="112" customFormat="1">
      <c r="A703" s="116"/>
      <c r="B703" s="115"/>
      <c r="C703" s="115"/>
      <c r="D703" s="131"/>
      <c r="E703" s="177"/>
      <c r="F703" s="28"/>
      <c r="G703" s="118"/>
      <c r="H703" s="192"/>
      <c r="I703" s="192"/>
      <c r="J703" s="175"/>
      <c r="K703" s="192"/>
      <c r="L703" s="192"/>
      <c r="M703" s="192"/>
      <c r="N703" s="175"/>
      <c r="O703" s="116"/>
      <c r="P703" s="175"/>
      <c r="Q703" s="175"/>
      <c r="R703" s="220"/>
      <c r="S703" s="175"/>
      <c r="T703" s="175"/>
      <c r="U703" s="175"/>
      <c r="V703" s="175"/>
      <c r="W703" s="175"/>
      <c r="X703" s="116"/>
    </row>
    <row r="704" spans="1:24" s="112" customFormat="1">
      <c r="A704" s="116"/>
      <c r="B704" s="115"/>
      <c r="C704" s="115"/>
      <c r="D704" s="131"/>
      <c r="E704" s="177"/>
      <c r="F704" s="28"/>
      <c r="G704" s="118"/>
      <c r="H704" s="192"/>
      <c r="I704" s="192"/>
      <c r="J704" s="175"/>
      <c r="K704" s="192"/>
      <c r="L704" s="192"/>
      <c r="M704" s="192"/>
      <c r="N704" s="175"/>
      <c r="O704" s="116"/>
      <c r="P704" s="175"/>
      <c r="Q704" s="175"/>
      <c r="R704" s="220"/>
      <c r="S704" s="175"/>
      <c r="T704" s="175"/>
      <c r="U704" s="175"/>
      <c r="V704" s="175"/>
      <c r="W704" s="175"/>
      <c r="X704" s="116"/>
    </row>
    <row r="705" spans="1:24" s="112" customFormat="1">
      <c r="A705" s="116"/>
      <c r="B705" s="115"/>
      <c r="C705" s="115"/>
      <c r="D705" s="131"/>
      <c r="E705" s="177"/>
      <c r="F705" s="28"/>
      <c r="G705" s="118"/>
      <c r="H705" s="192"/>
      <c r="I705" s="192"/>
      <c r="J705" s="175"/>
      <c r="K705" s="192"/>
      <c r="L705" s="192"/>
      <c r="M705" s="192"/>
      <c r="N705" s="175"/>
      <c r="O705" s="116"/>
      <c r="P705" s="175"/>
      <c r="Q705" s="175"/>
      <c r="R705" s="220"/>
      <c r="S705" s="175"/>
      <c r="T705" s="175"/>
      <c r="U705" s="175"/>
      <c r="V705" s="175"/>
      <c r="W705" s="175"/>
      <c r="X705" s="116"/>
    </row>
    <row r="706" spans="1:24" s="112" customFormat="1">
      <c r="A706" s="116"/>
      <c r="B706" s="115"/>
      <c r="C706" s="115"/>
      <c r="D706" s="131"/>
      <c r="E706" s="177"/>
      <c r="F706" s="28"/>
      <c r="G706" s="118"/>
      <c r="H706" s="192"/>
      <c r="I706" s="192"/>
      <c r="J706" s="175"/>
      <c r="K706" s="192"/>
      <c r="L706" s="192"/>
      <c r="M706" s="192"/>
      <c r="N706" s="175"/>
      <c r="O706" s="116"/>
      <c r="P706" s="175"/>
      <c r="Q706" s="175"/>
      <c r="R706" s="220"/>
      <c r="S706" s="175"/>
      <c r="T706" s="175"/>
      <c r="U706" s="175"/>
      <c r="V706" s="175"/>
      <c r="W706" s="175"/>
      <c r="X706" s="116"/>
    </row>
    <row r="707" spans="1:24" s="112" customFormat="1">
      <c r="A707" s="116"/>
      <c r="B707" s="115"/>
      <c r="C707" s="115"/>
      <c r="D707" s="131"/>
      <c r="E707" s="177"/>
      <c r="F707" s="28"/>
      <c r="G707" s="118"/>
      <c r="H707" s="192"/>
      <c r="I707" s="192"/>
      <c r="J707" s="175"/>
      <c r="K707" s="192"/>
      <c r="L707" s="192"/>
      <c r="M707" s="192"/>
      <c r="N707" s="175"/>
      <c r="O707" s="116"/>
      <c r="P707" s="175"/>
      <c r="Q707" s="175"/>
      <c r="R707" s="220"/>
      <c r="S707" s="175"/>
      <c r="T707" s="175"/>
      <c r="U707" s="175"/>
      <c r="V707" s="175"/>
      <c r="W707" s="175"/>
      <c r="X707" s="116"/>
    </row>
    <row r="708" spans="1:24" s="112" customFormat="1">
      <c r="A708" s="116"/>
      <c r="B708" s="115"/>
      <c r="C708" s="115"/>
      <c r="D708" s="131"/>
      <c r="E708" s="177"/>
      <c r="F708" s="28"/>
      <c r="G708" s="118"/>
      <c r="H708" s="192"/>
      <c r="I708" s="192"/>
      <c r="J708" s="175"/>
      <c r="K708" s="192"/>
      <c r="L708" s="192"/>
      <c r="M708" s="192"/>
      <c r="N708" s="175"/>
      <c r="O708" s="116"/>
      <c r="P708" s="175"/>
      <c r="Q708" s="175"/>
      <c r="R708" s="220"/>
      <c r="S708" s="175"/>
      <c r="T708" s="175"/>
      <c r="U708" s="175"/>
      <c r="V708" s="175"/>
      <c r="W708" s="175"/>
      <c r="X708" s="116"/>
    </row>
    <row r="709" spans="1:24" s="112" customFormat="1">
      <c r="A709" s="116"/>
      <c r="B709" s="115"/>
      <c r="C709" s="115"/>
      <c r="D709" s="131"/>
      <c r="E709" s="177"/>
      <c r="F709" s="28"/>
      <c r="G709" s="118"/>
      <c r="H709" s="192"/>
      <c r="I709" s="192"/>
      <c r="J709" s="175"/>
      <c r="K709" s="192"/>
      <c r="L709" s="192"/>
      <c r="M709" s="192"/>
      <c r="N709" s="175"/>
      <c r="O709" s="116"/>
      <c r="P709" s="175"/>
      <c r="Q709" s="175"/>
      <c r="R709" s="220"/>
      <c r="S709" s="175"/>
      <c r="T709" s="175"/>
      <c r="U709" s="175"/>
      <c r="V709" s="175"/>
      <c r="W709" s="175"/>
      <c r="X709" s="116"/>
    </row>
    <row r="710" spans="1:24" s="112" customFormat="1">
      <c r="A710" s="116"/>
      <c r="B710" s="115"/>
      <c r="C710" s="115"/>
      <c r="D710" s="131"/>
      <c r="E710" s="177"/>
      <c r="F710" s="28"/>
      <c r="G710" s="118"/>
      <c r="H710" s="192"/>
      <c r="I710" s="192"/>
      <c r="J710" s="175"/>
      <c r="K710" s="192"/>
      <c r="L710" s="192"/>
      <c r="M710" s="192"/>
      <c r="N710" s="175"/>
      <c r="O710" s="116"/>
      <c r="P710" s="175"/>
      <c r="Q710" s="175"/>
      <c r="R710" s="220"/>
      <c r="S710" s="175"/>
      <c r="T710" s="175"/>
      <c r="U710" s="175"/>
      <c r="V710" s="175"/>
      <c r="W710" s="175"/>
      <c r="X710" s="116"/>
    </row>
    <row r="711" spans="1:24" s="112" customFormat="1">
      <c r="A711" s="116"/>
      <c r="B711" s="115"/>
      <c r="C711" s="115"/>
      <c r="D711" s="131"/>
      <c r="E711" s="177"/>
      <c r="F711" s="28"/>
      <c r="G711" s="118"/>
      <c r="H711" s="192"/>
      <c r="I711" s="192"/>
      <c r="J711" s="175"/>
      <c r="K711" s="192"/>
      <c r="L711" s="192"/>
      <c r="M711" s="192"/>
      <c r="N711" s="175"/>
      <c r="O711" s="116"/>
      <c r="P711" s="175"/>
      <c r="Q711" s="175"/>
      <c r="R711" s="220"/>
      <c r="S711" s="175"/>
      <c r="T711" s="175"/>
      <c r="U711" s="175"/>
      <c r="V711" s="175"/>
      <c r="W711" s="175"/>
      <c r="X711" s="116"/>
    </row>
    <row r="712" spans="1:24" s="112" customFormat="1">
      <c r="A712" s="116"/>
      <c r="B712" s="115"/>
      <c r="C712" s="115"/>
      <c r="D712" s="131"/>
      <c r="E712" s="177"/>
      <c r="F712" s="28"/>
      <c r="G712" s="118"/>
      <c r="H712" s="192"/>
      <c r="I712" s="192"/>
      <c r="J712" s="175"/>
      <c r="K712" s="192"/>
      <c r="L712" s="192"/>
      <c r="M712" s="192"/>
      <c r="N712" s="175"/>
      <c r="O712" s="116"/>
      <c r="P712" s="175"/>
      <c r="Q712" s="175"/>
      <c r="R712" s="220"/>
      <c r="S712" s="175"/>
      <c r="T712" s="175"/>
      <c r="U712" s="175"/>
      <c r="V712" s="175"/>
      <c r="W712" s="175"/>
      <c r="X712" s="116"/>
    </row>
    <row r="713" spans="1:24" s="112" customFormat="1">
      <c r="A713" s="116"/>
      <c r="B713" s="115"/>
      <c r="C713" s="115"/>
      <c r="D713" s="131"/>
      <c r="E713" s="177"/>
      <c r="F713" s="28"/>
      <c r="G713" s="118"/>
      <c r="H713" s="192"/>
      <c r="I713" s="192"/>
      <c r="J713" s="175"/>
      <c r="K713" s="192"/>
      <c r="L713" s="192"/>
      <c r="M713" s="192"/>
      <c r="N713" s="175"/>
      <c r="O713" s="116"/>
      <c r="P713" s="175"/>
      <c r="Q713" s="175"/>
      <c r="R713" s="220"/>
      <c r="S713" s="175"/>
      <c r="T713" s="175"/>
      <c r="U713" s="175"/>
      <c r="V713" s="175"/>
      <c r="W713" s="175"/>
      <c r="X713" s="116"/>
    </row>
    <row r="714" spans="1:24" s="112" customFormat="1">
      <c r="A714" s="116"/>
      <c r="B714" s="115"/>
      <c r="C714" s="115"/>
      <c r="D714" s="131"/>
      <c r="E714" s="177"/>
      <c r="F714" s="28"/>
      <c r="G714" s="118"/>
      <c r="H714" s="192"/>
      <c r="I714" s="192"/>
      <c r="J714" s="175"/>
      <c r="K714" s="192"/>
      <c r="L714" s="192"/>
      <c r="M714" s="192"/>
      <c r="N714" s="175"/>
      <c r="O714" s="116"/>
      <c r="P714" s="175"/>
      <c r="Q714" s="175"/>
      <c r="R714" s="220"/>
      <c r="S714" s="175"/>
      <c r="T714" s="175"/>
      <c r="U714" s="175"/>
      <c r="V714" s="175"/>
      <c r="W714" s="175"/>
      <c r="X714" s="116"/>
    </row>
    <row r="715" spans="1:24" s="112" customFormat="1">
      <c r="A715" s="116"/>
      <c r="B715" s="115"/>
      <c r="C715" s="115"/>
      <c r="D715" s="131"/>
      <c r="E715" s="177"/>
      <c r="F715" s="28"/>
      <c r="G715" s="118"/>
      <c r="H715" s="192"/>
      <c r="I715" s="192"/>
      <c r="J715" s="175"/>
      <c r="K715" s="192"/>
      <c r="L715" s="192"/>
      <c r="M715" s="192"/>
      <c r="N715" s="175"/>
      <c r="O715" s="116"/>
      <c r="P715" s="175"/>
      <c r="Q715" s="175"/>
      <c r="R715" s="220"/>
      <c r="S715" s="175"/>
      <c r="T715" s="175"/>
      <c r="U715" s="175"/>
      <c r="V715" s="175"/>
      <c r="W715" s="175"/>
      <c r="X715" s="116"/>
    </row>
    <row r="716" spans="1:24" s="112" customFormat="1">
      <c r="A716" s="116"/>
      <c r="B716" s="115"/>
      <c r="C716" s="115"/>
      <c r="D716" s="131"/>
      <c r="E716" s="177"/>
      <c r="F716" s="28"/>
      <c r="G716" s="118"/>
      <c r="H716" s="192"/>
      <c r="I716" s="192"/>
      <c r="J716" s="175"/>
      <c r="K716" s="192"/>
      <c r="L716" s="192"/>
      <c r="M716" s="192"/>
      <c r="N716" s="175"/>
      <c r="O716" s="116"/>
      <c r="P716" s="175"/>
      <c r="Q716" s="175"/>
      <c r="R716" s="220"/>
      <c r="S716" s="175"/>
      <c r="T716" s="175"/>
      <c r="U716" s="175"/>
      <c r="V716" s="175"/>
      <c r="W716" s="175"/>
      <c r="X716" s="116"/>
    </row>
    <row r="717" spans="1:24" s="112" customFormat="1">
      <c r="A717" s="116"/>
      <c r="B717" s="115"/>
      <c r="C717" s="115"/>
      <c r="D717" s="131"/>
      <c r="E717" s="177"/>
      <c r="F717" s="28"/>
      <c r="G717" s="118"/>
      <c r="H717" s="192"/>
      <c r="I717" s="192"/>
      <c r="J717" s="175"/>
      <c r="K717" s="192"/>
      <c r="L717" s="192"/>
      <c r="M717" s="192"/>
      <c r="N717" s="175"/>
      <c r="O717" s="116"/>
      <c r="P717" s="175"/>
      <c r="Q717" s="175"/>
      <c r="R717" s="220"/>
      <c r="S717" s="175"/>
      <c r="T717" s="175"/>
      <c r="U717" s="175"/>
      <c r="V717" s="175"/>
      <c r="W717" s="175"/>
      <c r="X717" s="116"/>
    </row>
    <row r="718" spans="1:24" s="112" customFormat="1">
      <c r="A718" s="116"/>
      <c r="B718" s="115"/>
      <c r="C718" s="115"/>
      <c r="D718" s="131"/>
      <c r="E718" s="177"/>
      <c r="F718" s="28"/>
      <c r="G718" s="118"/>
      <c r="H718" s="192"/>
      <c r="I718" s="192"/>
      <c r="J718" s="175"/>
      <c r="K718" s="192"/>
      <c r="L718" s="192"/>
      <c r="M718" s="192"/>
      <c r="N718" s="175"/>
      <c r="O718" s="116"/>
      <c r="P718" s="175"/>
      <c r="Q718" s="175"/>
      <c r="R718" s="220"/>
      <c r="S718" s="175"/>
      <c r="T718" s="175"/>
      <c r="U718" s="175"/>
      <c r="V718" s="175"/>
      <c r="W718" s="175"/>
      <c r="X718" s="116"/>
    </row>
    <row r="719" spans="1:24" s="112" customFormat="1">
      <c r="A719" s="116"/>
      <c r="B719" s="115"/>
      <c r="C719" s="115"/>
      <c r="D719" s="131"/>
      <c r="E719" s="177"/>
      <c r="F719" s="28"/>
      <c r="G719" s="118"/>
      <c r="H719" s="192"/>
      <c r="I719" s="192"/>
      <c r="J719" s="175"/>
      <c r="K719" s="192"/>
      <c r="L719" s="192"/>
      <c r="M719" s="192"/>
      <c r="N719" s="175"/>
      <c r="O719" s="116"/>
      <c r="P719" s="175"/>
      <c r="Q719" s="175"/>
      <c r="R719" s="220"/>
      <c r="S719" s="175"/>
      <c r="T719" s="175"/>
      <c r="U719" s="175"/>
      <c r="V719" s="175"/>
      <c r="W719" s="175"/>
      <c r="X719" s="116"/>
    </row>
    <row r="720" spans="1:24" s="112" customFormat="1">
      <c r="A720" s="116"/>
      <c r="B720" s="115"/>
      <c r="C720" s="115"/>
      <c r="D720" s="131"/>
      <c r="E720" s="177"/>
      <c r="F720" s="28"/>
      <c r="G720" s="118"/>
      <c r="H720" s="192"/>
      <c r="I720" s="192"/>
      <c r="J720" s="175"/>
      <c r="K720" s="192"/>
      <c r="L720" s="192"/>
      <c r="M720" s="192"/>
      <c r="N720" s="175"/>
      <c r="O720" s="116"/>
      <c r="P720" s="175"/>
      <c r="Q720" s="175"/>
      <c r="R720" s="220"/>
      <c r="S720" s="175"/>
      <c r="T720" s="175"/>
      <c r="U720" s="175"/>
      <c r="V720" s="175"/>
      <c r="W720" s="175"/>
      <c r="X720" s="116"/>
    </row>
    <row r="721" spans="1:24" s="112" customFormat="1">
      <c r="A721" s="116"/>
      <c r="B721" s="115"/>
      <c r="C721" s="115"/>
      <c r="D721" s="131"/>
      <c r="E721" s="177"/>
      <c r="F721" s="28"/>
      <c r="G721" s="118"/>
      <c r="H721" s="192"/>
      <c r="I721" s="192"/>
      <c r="J721" s="175"/>
      <c r="K721" s="192"/>
      <c r="L721" s="192"/>
      <c r="M721" s="192"/>
      <c r="N721" s="175"/>
      <c r="O721" s="116"/>
      <c r="P721" s="175"/>
      <c r="Q721" s="175"/>
      <c r="R721" s="220"/>
      <c r="S721" s="175"/>
      <c r="T721" s="175"/>
      <c r="U721" s="175"/>
      <c r="V721" s="175"/>
      <c r="W721" s="175"/>
      <c r="X721" s="116"/>
    </row>
    <row r="722" spans="1:24" s="112" customFormat="1">
      <c r="A722" s="116"/>
      <c r="B722" s="115"/>
      <c r="C722" s="115"/>
      <c r="D722" s="131"/>
      <c r="E722" s="177"/>
      <c r="F722" s="28"/>
      <c r="G722" s="118"/>
      <c r="H722" s="192"/>
      <c r="I722" s="192"/>
      <c r="J722" s="175"/>
      <c r="K722" s="192"/>
      <c r="L722" s="192"/>
      <c r="M722" s="192"/>
      <c r="N722" s="175"/>
      <c r="O722" s="116"/>
      <c r="P722" s="175"/>
      <c r="Q722" s="175"/>
      <c r="R722" s="220"/>
      <c r="S722" s="175"/>
      <c r="T722" s="175"/>
      <c r="U722" s="175"/>
      <c r="V722" s="175"/>
      <c r="W722" s="175"/>
      <c r="X722" s="116"/>
    </row>
    <row r="723" spans="1:24" s="112" customFormat="1">
      <c r="A723" s="116"/>
      <c r="B723" s="115"/>
      <c r="C723" s="115"/>
      <c r="D723" s="131"/>
      <c r="E723" s="177"/>
      <c r="F723" s="28"/>
      <c r="G723" s="118"/>
      <c r="H723" s="192"/>
      <c r="I723" s="192"/>
      <c r="J723" s="175"/>
      <c r="K723" s="192"/>
      <c r="L723" s="192"/>
      <c r="M723" s="192"/>
      <c r="N723" s="175"/>
      <c r="O723" s="116"/>
      <c r="P723" s="175"/>
      <c r="Q723" s="175"/>
      <c r="R723" s="220"/>
      <c r="S723" s="175"/>
      <c r="T723" s="175"/>
      <c r="U723" s="175"/>
      <c r="V723" s="175"/>
      <c r="W723" s="175"/>
      <c r="X723" s="116"/>
    </row>
    <row r="724" spans="1:24" s="112" customFormat="1">
      <c r="A724" s="116"/>
      <c r="B724" s="115"/>
      <c r="C724" s="115"/>
      <c r="D724" s="131"/>
      <c r="E724" s="177"/>
      <c r="F724" s="28"/>
      <c r="G724" s="118"/>
      <c r="H724" s="192"/>
      <c r="I724" s="192"/>
      <c r="J724" s="175"/>
      <c r="K724" s="192"/>
      <c r="L724" s="192"/>
      <c r="M724" s="192"/>
      <c r="N724" s="175"/>
      <c r="O724" s="116"/>
      <c r="P724" s="175"/>
      <c r="Q724" s="175"/>
      <c r="R724" s="220"/>
      <c r="S724" s="175"/>
      <c r="T724" s="175"/>
      <c r="U724" s="175"/>
      <c r="V724" s="175"/>
      <c r="W724" s="175"/>
      <c r="X724" s="116"/>
    </row>
    <row r="725" spans="1:24" s="112" customFormat="1">
      <c r="A725" s="116"/>
      <c r="B725" s="115"/>
      <c r="C725" s="115"/>
      <c r="D725" s="131"/>
      <c r="E725" s="177"/>
      <c r="F725" s="28"/>
      <c r="G725" s="118"/>
      <c r="H725" s="192"/>
      <c r="I725" s="192"/>
      <c r="J725" s="175"/>
      <c r="K725" s="192"/>
      <c r="L725" s="192"/>
      <c r="M725" s="192"/>
      <c r="N725" s="175"/>
      <c r="O725" s="116"/>
      <c r="P725" s="175"/>
      <c r="Q725" s="175"/>
      <c r="R725" s="220"/>
      <c r="S725" s="175"/>
      <c r="T725" s="175"/>
      <c r="U725" s="175"/>
      <c r="V725" s="175"/>
      <c r="W725" s="175"/>
      <c r="X725" s="116"/>
    </row>
    <row r="726" spans="1:24" s="112" customFormat="1">
      <c r="A726" s="116"/>
      <c r="B726" s="115"/>
      <c r="C726" s="115"/>
      <c r="D726" s="131"/>
      <c r="E726" s="177"/>
      <c r="F726" s="28"/>
      <c r="G726" s="118"/>
      <c r="H726" s="192"/>
      <c r="I726" s="192"/>
      <c r="J726" s="175"/>
      <c r="K726" s="192"/>
      <c r="L726" s="192"/>
      <c r="M726" s="192"/>
      <c r="N726" s="175"/>
      <c r="O726" s="116"/>
      <c r="P726" s="175"/>
      <c r="Q726" s="175"/>
      <c r="R726" s="220"/>
      <c r="S726" s="175"/>
      <c r="T726" s="175"/>
      <c r="U726" s="175"/>
      <c r="V726" s="175"/>
      <c r="W726" s="175"/>
      <c r="X726" s="116"/>
    </row>
    <row r="727" spans="1:24" s="112" customFormat="1">
      <c r="A727" s="116"/>
      <c r="B727" s="115"/>
      <c r="C727" s="115"/>
      <c r="D727" s="131"/>
      <c r="E727" s="177"/>
      <c r="F727" s="28"/>
      <c r="G727" s="118"/>
      <c r="H727" s="192"/>
      <c r="I727" s="192"/>
      <c r="J727" s="175"/>
      <c r="K727" s="192"/>
      <c r="L727" s="192"/>
      <c r="M727" s="192"/>
      <c r="N727" s="175"/>
      <c r="O727" s="116"/>
      <c r="P727" s="175"/>
      <c r="Q727" s="175"/>
      <c r="R727" s="220"/>
      <c r="S727" s="175"/>
      <c r="T727" s="175"/>
      <c r="U727" s="175"/>
      <c r="V727" s="175"/>
      <c r="W727" s="175"/>
      <c r="X727" s="116"/>
    </row>
    <row r="728" spans="1:24" s="112" customFormat="1">
      <c r="A728" s="116"/>
      <c r="B728" s="115"/>
      <c r="C728" s="115"/>
      <c r="D728" s="131"/>
      <c r="E728" s="177"/>
      <c r="F728" s="28"/>
      <c r="G728" s="118"/>
      <c r="H728" s="192"/>
      <c r="I728" s="192"/>
      <c r="J728" s="175"/>
      <c r="K728" s="192"/>
      <c r="L728" s="192"/>
      <c r="M728" s="192"/>
      <c r="N728" s="175"/>
      <c r="O728" s="116"/>
      <c r="P728" s="175"/>
      <c r="Q728" s="175"/>
      <c r="R728" s="220"/>
      <c r="S728" s="175"/>
      <c r="T728" s="175"/>
      <c r="U728" s="175"/>
      <c r="V728" s="175"/>
      <c r="W728" s="175"/>
      <c r="X728" s="116"/>
    </row>
    <row r="729" spans="1:24" s="112" customFormat="1">
      <c r="A729" s="116"/>
      <c r="B729" s="115"/>
      <c r="C729" s="115"/>
      <c r="D729" s="131"/>
      <c r="E729" s="177"/>
      <c r="F729" s="28"/>
      <c r="G729" s="118"/>
      <c r="H729" s="192"/>
      <c r="I729" s="192"/>
      <c r="J729" s="175"/>
      <c r="K729" s="192"/>
      <c r="L729" s="192"/>
      <c r="M729" s="192"/>
      <c r="N729" s="175"/>
      <c r="O729" s="116"/>
      <c r="P729" s="175"/>
      <c r="Q729" s="175"/>
      <c r="R729" s="220"/>
      <c r="S729" s="175"/>
      <c r="T729" s="175"/>
      <c r="U729" s="175"/>
      <c r="V729" s="175"/>
      <c r="W729" s="175"/>
      <c r="X729" s="116"/>
    </row>
    <row r="730" spans="1:24" s="112" customFormat="1">
      <c r="A730" s="116"/>
      <c r="B730" s="115"/>
      <c r="C730" s="115"/>
      <c r="D730" s="131"/>
      <c r="E730" s="177"/>
      <c r="F730" s="28"/>
      <c r="G730" s="118"/>
      <c r="H730" s="192"/>
      <c r="I730" s="192"/>
      <c r="J730" s="175"/>
      <c r="K730" s="192"/>
      <c r="L730" s="192"/>
      <c r="M730" s="192"/>
      <c r="N730" s="175"/>
      <c r="O730" s="116"/>
      <c r="P730" s="175"/>
      <c r="Q730" s="175"/>
      <c r="R730" s="220"/>
      <c r="S730" s="175"/>
      <c r="T730" s="175"/>
      <c r="U730" s="175"/>
      <c r="V730" s="175"/>
      <c r="W730" s="175"/>
      <c r="X730" s="116"/>
    </row>
    <row r="731" spans="1:24" s="112" customFormat="1">
      <c r="A731" s="116"/>
      <c r="B731" s="115"/>
      <c r="C731" s="115"/>
      <c r="D731" s="131"/>
      <c r="E731" s="177"/>
      <c r="F731" s="28"/>
      <c r="G731" s="118"/>
      <c r="H731" s="192"/>
      <c r="I731" s="192"/>
      <c r="J731" s="175"/>
      <c r="K731" s="192"/>
      <c r="L731" s="192"/>
      <c r="M731" s="192"/>
      <c r="N731" s="175"/>
      <c r="O731" s="116"/>
      <c r="P731" s="175"/>
      <c r="Q731" s="175"/>
      <c r="R731" s="220"/>
      <c r="S731" s="175"/>
      <c r="T731" s="175"/>
      <c r="U731" s="175"/>
      <c r="V731" s="175"/>
      <c r="W731" s="175"/>
      <c r="X731" s="116"/>
    </row>
    <row r="732" spans="1:24" s="112" customFormat="1">
      <c r="A732" s="116"/>
      <c r="B732" s="115"/>
      <c r="C732" s="115"/>
      <c r="D732" s="131"/>
      <c r="E732" s="177"/>
      <c r="F732" s="28"/>
      <c r="G732" s="118"/>
      <c r="H732" s="192"/>
      <c r="I732" s="192"/>
      <c r="J732" s="175"/>
      <c r="K732" s="192"/>
      <c r="L732" s="192"/>
      <c r="M732" s="192"/>
      <c r="N732" s="175"/>
      <c r="O732" s="116"/>
      <c r="P732" s="175"/>
      <c r="Q732" s="175"/>
      <c r="R732" s="220"/>
      <c r="S732" s="175"/>
      <c r="T732" s="175"/>
      <c r="U732" s="175"/>
      <c r="V732" s="175"/>
      <c r="W732" s="175"/>
      <c r="X732" s="116"/>
    </row>
    <row r="733" spans="1:24" s="112" customFormat="1">
      <c r="A733" s="116"/>
      <c r="B733" s="115"/>
      <c r="C733" s="115"/>
      <c r="D733" s="131"/>
      <c r="E733" s="177"/>
      <c r="F733" s="28"/>
      <c r="G733" s="118"/>
      <c r="H733" s="192"/>
      <c r="I733" s="192"/>
      <c r="J733" s="175"/>
      <c r="K733" s="192"/>
      <c r="L733" s="192"/>
      <c r="M733" s="192"/>
      <c r="N733" s="175"/>
      <c r="O733" s="116"/>
      <c r="P733" s="175"/>
      <c r="Q733" s="175"/>
      <c r="R733" s="220"/>
      <c r="S733" s="175"/>
      <c r="T733" s="175"/>
      <c r="U733" s="175"/>
      <c r="V733" s="175"/>
      <c r="W733" s="175"/>
      <c r="X733" s="116"/>
    </row>
    <row r="734" spans="1:24" s="112" customFormat="1">
      <c r="A734" s="116"/>
      <c r="B734" s="115"/>
      <c r="C734" s="115"/>
      <c r="D734" s="131"/>
      <c r="E734" s="177"/>
      <c r="F734" s="28"/>
      <c r="G734" s="118"/>
      <c r="H734" s="192"/>
      <c r="I734" s="192"/>
      <c r="J734" s="175"/>
      <c r="K734" s="192"/>
      <c r="L734" s="192"/>
      <c r="M734" s="192"/>
      <c r="N734" s="175"/>
      <c r="O734" s="116"/>
      <c r="P734" s="175"/>
      <c r="Q734" s="175"/>
      <c r="R734" s="220"/>
      <c r="S734" s="175"/>
      <c r="T734" s="175"/>
      <c r="U734" s="175"/>
      <c r="V734" s="175"/>
      <c r="W734" s="175"/>
      <c r="X734" s="116"/>
    </row>
    <row r="735" spans="1:24" s="112" customFormat="1">
      <c r="A735" s="116"/>
      <c r="B735" s="115"/>
      <c r="C735" s="115"/>
      <c r="D735" s="131"/>
      <c r="E735" s="177"/>
      <c r="F735" s="28"/>
      <c r="G735" s="118"/>
      <c r="H735" s="192"/>
      <c r="I735" s="192"/>
      <c r="J735" s="175"/>
      <c r="K735" s="192"/>
      <c r="L735" s="192"/>
      <c r="M735" s="192"/>
      <c r="N735" s="175"/>
      <c r="O735" s="116"/>
      <c r="P735" s="175"/>
      <c r="Q735" s="175"/>
      <c r="R735" s="220"/>
      <c r="S735" s="175"/>
      <c r="T735" s="175"/>
      <c r="U735" s="175"/>
      <c r="V735" s="175"/>
      <c r="W735" s="175"/>
      <c r="X735" s="116"/>
    </row>
    <row r="736" spans="1:24" s="112" customFormat="1">
      <c r="A736" s="116"/>
      <c r="B736" s="115"/>
      <c r="C736" s="115"/>
      <c r="D736" s="131"/>
      <c r="E736" s="177"/>
      <c r="F736" s="28"/>
      <c r="G736" s="118"/>
      <c r="H736" s="192"/>
      <c r="I736" s="192"/>
      <c r="J736" s="175"/>
      <c r="K736" s="192"/>
      <c r="L736" s="192"/>
      <c r="M736" s="192"/>
      <c r="N736" s="175"/>
      <c r="O736" s="116"/>
      <c r="P736" s="175"/>
      <c r="Q736" s="175"/>
      <c r="R736" s="220"/>
      <c r="S736" s="175"/>
      <c r="T736" s="175"/>
      <c r="U736" s="175"/>
      <c r="V736" s="175"/>
      <c r="W736" s="175"/>
      <c r="X736" s="116"/>
    </row>
    <row r="737" spans="1:24" s="112" customFormat="1">
      <c r="A737" s="116"/>
      <c r="B737" s="115"/>
      <c r="C737" s="115"/>
      <c r="D737" s="131"/>
      <c r="E737" s="177"/>
      <c r="F737" s="28"/>
      <c r="G737" s="118"/>
      <c r="H737" s="192"/>
      <c r="I737" s="192"/>
      <c r="J737" s="175"/>
      <c r="K737" s="192"/>
      <c r="L737" s="192"/>
      <c r="M737" s="192"/>
      <c r="N737" s="175"/>
      <c r="O737" s="116"/>
      <c r="P737" s="175"/>
      <c r="Q737" s="175"/>
      <c r="R737" s="220"/>
      <c r="S737" s="175"/>
      <c r="T737" s="175"/>
      <c r="U737" s="175"/>
      <c r="V737" s="175"/>
      <c r="W737" s="175"/>
      <c r="X737" s="116"/>
    </row>
    <row r="738" spans="1:24" s="112" customFormat="1">
      <c r="A738" s="116"/>
      <c r="B738" s="115"/>
      <c r="C738" s="115"/>
      <c r="D738" s="131"/>
      <c r="E738" s="177"/>
      <c r="F738" s="28"/>
      <c r="G738" s="118"/>
      <c r="H738" s="192"/>
      <c r="I738" s="192"/>
      <c r="J738" s="175"/>
      <c r="K738" s="192"/>
      <c r="L738" s="192"/>
      <c r="M738" s="192"/>
      <c r="N738" s="175"/>
      <c r="O738" s="116"/>
      <c r="P738" s="175"/>
      <c r="Q738" s="175"/>
      <c r="R738" s="220"/>
      <c r="S738" s="175"/>
      <c r="T738" s="175"/>
      <c r="U738" s="175"/>
      <c r="V738" s="175"/>
      <c r="W738" s="175"/>
      <c r="X738" s="116"/>
    </row>
    <row r="739" spans="1:24" s="112" customFormat="1">
      <c r="A739" s="116"/>
      <c r="B739" s="115"/>
      <c r="C739" s="115"/>
      <c r="D739" s="131"/>
      <c r="E739" s="177"/>
      <c r="F739" s="28"/>
      <c r="G739" s="118"/>
      <c r="H739" s="192"/>
      <c r="I739" s="192"/>
      <c r="J739" s="175"/>
      <c r="K739" s="192"/>
      <c r="L739" s="192"/>
      <c r="M739" s="192"/>
      <c r="N739" s="175"/>
      <c r="O739" s="116"/>
      <c r="P739" s="175"/>
      <c r="Q739" s="175"/>
      <c r="R739" s="220"/>
      <c r="S739" s="175"/>
      <c r="T739" s="175"/>
      <c r="U739" s="175"/>
      <c r="V739" s="175"/>
      <c r="W739" s="175"/>
      <c r="X739" s="116"/>
    </row>
    <row r="740" spans="1:24" s="112" customFormat="1">
      <c r="A740" s="116"/>
      <c r="B740" s="115"/>
      <c r="C740" s="115"/>
      <c r="D740" s="131"/>
      <c r="E740" s="177"/>
      <c r="F740" s="28"/>
      <c r="G740" s="118"/>
      <c r="H740" s="192"/>
      <c r="I740" s="192"/>
      <c r="J740" s="175"/>
      <c r="K740" s="192"/>
      <c r="L740" s="192"/>
      <c r="M740" s="192"/>
      <c r="N740" s="175"/>
      <c r="O740" s="116"/>
      <c r="P740" s="175"/>
      <c r="Q740" s="175"/>
      <c r="R740" s="220"/>
      <c r="S740" s="175"/>
      <c r="T740" s="175"/>
      <c r="U740" s="175"/>
      <c r="V740" s="175"/>
      <c r="W740" s="175"/>
      <c r="X740" s="116"/>
    </row>
    <row r="741" spans="1:24" s="112" customFormat="1">
      <c r="A741" s="116"/>
      <c r="B741" s="115"/>
      <c r="C741" s="115"/>
      <c r="D741" s="131"/>
      <c r="E741" s="177"/>
      <c r="F741" s="28"/>
      <c r="G741" s="118"/>
      <c r="H741" s="192"/>
      <c r="I741" s="192"/>
      <c r="J741" s="175"/>
      <c r="K741" s="192"/>
      <c r="L741" s="192"/>
      <c r="M741" s="192"/>
      <c r="N741" s="175"/>
      <c r="O741" s="116"/>
      <c r="P741" s="175"/>
      <c r="Q741" s="175"/>
      <c r="R741" s="220"/>
      <c r="S741" s="175"/>
      <c r="T741" s="175"/>
      <c r="U741" s="175"/>
      <c r="V741" s="175"/>
      <c r="W741" s="175"/>
      <c r="X741" s="116"/>
    </row>
    <row r="742" spans="1:24" s="112" customFormat="1">
      <c r="A742" s="116"/>
      <c r="B742" s="115"/>
      <c r="C742" s="115"/>
      <c r="D742" s="131"/>
      <c r="E742" s="177"/>
      <c r="F742" s="28"/>
      <c r="G742" s="118"/>
      <c r="H742" s="192"/>
      <c r="I742" s="192"/>
      <c r="J742" s="175"/>
      <c r="K742" s="192"/>
      <c r="L742" s="192"/>
      <c r="M742" s="192"/>
      <c r="N742" s="175"/>
      <c r="O742" s="116"/>
      <c r="P742" s="175"/>
      <c r="Q742" s="175"/>
      <c r="R742" s="220"/>
      <c r="S742" s="175"/>
      <c r="T742" s="175"/>
      <c r="U742" s="175"/>
      <c r="V742" s="175"/>
      <c r="W742" s="175"/>
      <c r="X742" s="116"/>
    </row>
    <row r="743" spans="1:24" s="112" customFormat="1">
      <c r="A743" s="116"/>
      <c r="B743" s="115"/>
      <c r="C743" s="115"/>
      <c r="D743" s="131"/>
      <c r="E743" s="177"/>
      <c r="F743" s="28"/>
      <c r="G743" s="118"/>
      <c r="H743" s="192"/>
      <c r="I743" s="192"/>
      <c r="J743" s="175"/>
      <c r="K743" s="192"/>
      <c r="L743" s="192"/>
      <c r="M743" s="192"/>
      <c r="N743" s="175"/>
      <c r="O743" s="116"/>
      <c r="P743" s="175"/>
      <c r="Q743" s="175"/>
      <c r="R743" s="220"/>
      <c r="S743" s="175"/>
      <c r="T743" s="175"/>
      <c r="U743" s="175"/>
      <c r="V743" s="175"/>
      <c r="W743" s="175"/>
      <c r="X743" s="116"/>
    </row>
    <row r="744" spans="1:24" s="112" customFormat="1">
      <c r="A744" s="116"/>
      <c r="B744" s="115"/>
      <c r="C744" s="115"/>
      <c r="D744" s="131"/>
      <c r="E744" s="177"/>
      <c r="F744" s="28"/>
      <c r="G744" s="118"/>
      <c r="H744" s="192"/>
      <c r="I744" s="192"/>
      <c r="J744" s="175"/>
      <c r="K744" s="192"/>
      <c r="L744" s="192"/>
      <c r="M744" s="192"/>
      <c r="N744" s="175"/>
      <c r="O744" s="116"/>
      <c r="P744" s="175"/>
      <c r="Q744" s="175"/>
      <c r="R744" s="220"/>
      <c r="S744" s="175"/>
      <c r="T744" s="175"/>
      <c r="U744" s="175"/>
      <c r="V744" s="175"/>
      <c r="W744" s="175"/>
      <c r="X744" s="116"/>
    </row>
    <row r="745" spans="1:24" s="112" customFormat="1">
      <c r="A745" s="116"/>
      <c r="B745" s="115"/>
      <c r="C745" s="115"/>
      <c r="D745" s="131"/>
      <c r="E745" s="177"/>
      <c r="F745" s="28"/>
      <c r="G745" s="118"/>
      <c r="H745" s="192"/>
      <c r="I745" s="192"/>
      <c r="J745" s="175"/>
      <c r="K745" s="192"/>
      <c r="L745" s="192"/>
      <c r="M745" s="192"/>
      <c r="N745" s="175"/>
      <c r="O745" s="116"/>
      <c r="P745" s="175"/>
      <c r="Q745" s="175"/>
      <c r="R745" s="220"/>
      <c r="S745" s="175"/>
      <c r="T745" s="175"/>
      <c r="U745" s="175"/>
      <c r="V745" s="175"/>
      <c r="W745" s="175"/>
      <c r="X745" s="116"/>
    </row>
    <row r="746" spans="1:24" s="112" customFormat="1">
      <c r="A746" s="116"/>
      <c r="B746" s="115"/>
      <c r="C746" s="115"/>
      <c r="D746" s="131"/>
      <c r="E746" s="177"/>
      <c r="F746" s="28"/>
      <c r="G746" s="118"/>
      <c r="H746" s="192"/>
      <c r="I746" s="192"/>
      <c r="J746" s="175"/>
      <c r="K746" s="192"/>
      <c r="L746" s="192"/>
      <c r="M746" s="192"/>
      <c r="N746" s="175"/>
      <c r="O746" s="116"/>
      <c r="P746" s="175"/>
      <c r="Q746" s="175"/>
      <c r="R746" s="220"/>
      <c r="S746" s="175"/>
      <c r="T746" s="175"/>
      <c r="U746" s="175"/>
      <c r="V746" s="175"/>
      <c r="W746" s="175"/>
      <c r="X746" s="116"/>
    </row>
    <row r="747" spans="1:24" s="112" customFormat="1">
      <c r="A747" s="116"/>
      <c r="B747" s="115"/>
      <c r="C747" s="115"/>
      <c r="D747" s="131"/>
      <c r="E747" s="177"/>
      <c r="F747" s="28"/>
      <c r="G747" s="118"/>
      <c r="H747" s="192"/>
      <c r="I747" s="192"/>
      <c r="J747" s="175"/>
      <c r="K747" s="192"/>
      <c r="L747" s="192"/>
      <c r="M747" s="192"/>
      <c r="N747" s="175"/>
      <c r="O747" s="116"/>
      <c r="P747" s="175"/>
      <c r="Q747" s="175"/>
      <c r="R747" s="220"/>
      <c r="S747" s="175"/>
      <c r="T747" s="175"/>
      <c r="U747" s="175"/>
      <c r="V747" s="175"/>
      <c r="W747" s="175"/>
      <c r="X747" s="116"/>
    </row>
    <row r="748" spans="1:24" s="112" customFormat="1">
      <c r="A748" s="116"/>
      <c r="B748" s="115"/>
      <c r="C748" s="115"/>
      <c r="D748" s="131"/>
      <c r="E748" s="177"/>
      <c r="F748" s="28"/>
      <c r="G748" s="118"/>
      <c r="H748" s="192"/>
      <c r="I748" s="192"/>
      <c r="J748" s="175"/>
      <c r="K748" s="192"/>
      <c r="L748" s="192"/>
      <c r="M748" s="192"/>
      <c r="N748" s="175"/>
      <c r="O748" s="116"/>
      <c r="P748" s="175"/>
      <c r="Q748" s="175"/>
      <c r="R748" s="220"/>
      <c r="S748" s="175"/>
      <c r="T748" s="175"/>
      <c r="U748" s="175"/>
      <c r="V748" s="175"/>
      <c r="W748" s="175"/>
      <c r="X748" s="116"/>
    </row>
    <row r="749" spans="1:24" s="112" customFormat="1">
      <c r="A749" s="116"/>
      <c r="B749" s="115"/>
      <c r="C749" s="115"/>
      <c r="D749" s="131"/>
      <c r="E749" s="177"/>
      <c r="F749" s="28"/>
      <c r="G749" s="118"/>
      <c r="H749" s="192"/>
      <c r="I749" s="192"/>
      <c r="J749" s="175"/>
      <c r="K749" s="192"/>
      <c r="L749" s="192"/>
      <c r="M749" s="192"/>
      <c r="N749" s="175"/>
      <c r="O749" s="116"/>
      <c r="P749" s="175"/>
      <c r="Q749" s="175"/>
      <c r="R749" s="220"/>
      <c r="S749" s="175"/>
      <c r="T749" s="175"/>
      <c r="U749" s="175"/>
      <c r="V749" s="175"/>
      <c r="W749" s="175"/>
      <c r="X749" s="116"/>
    </row>
    <row r="750" spans="1:24" s="112" customFormat="1">
      <c r="A750" s="116"/>
      <c r="B750" s="115"/>
      <c r="C750" s="115"/>
      <c r="D750" s="131"/>
      <c r="E750" s="177"/>
      <c r="F750" s="28"/>
      <c r="G750" s="118"/>
      <c r="H750" s="192"/>
      <c r="I750" s="192"/>
      <c r="J750" s="175"/>
      <c r="K750" s="192"/>
      <c r="L750" s="192"/>
      <c r="M750" s="192"/>
      <c r="N750" s="175"/>
      <c r="O750" s="116"/>
      <c r="P750" s="175"/>
      <c r="Q750" s="175"/>
      <c r="R750" s="220"/>
      <c r="S750" s="175"/>
      <c r="T750" s="175"/>
      <c r="U750" s="175"/>
      <c r="V750" s="175"/>
      <c r="W750" s="175"/>
      <c r="X750" s="116"/>
    </row>
    <row r="751" spans="1:24" s="112" customFormat="1">
      <c r="A751" s="116"/>
      <c r="B751" s="115"/>
      <c r="C751" s="115"/>
      <c r="D751" s="131"/>
      <c r="E751" s="177"/>
      <c r="F751" s="28"/>
      <c r="G751" s="118"/>
      <c r="H751" s="192"/>
      <c r="I751" s="192"/>
      <c r="J751" s="175"/>
      <c r="K751" s="192"/>
      <c r="L751" s="192"/>
      <c r="M751" s="192"/>
      <c r="N751" s="175"/>
      <c r="O751" s="116"/>
      <c r="P751" s="175"/>
      <c r="Q751" s="175"/>
      <c r="R751" s="220"/>
      <c r="S751" s="175"/>
      <c r="T751" s="175"/>
      <c r="U751" s="175"/>
      <c r="V751" s="175"/>
      <c r="W751" s="175"/>
      <c r="X751" s="116"/>
    </row>
    <row r="752" spans="1:24" s="112" customFormat="1">
      <c r="A752" s="116"/>
      <c r="B752" s="115"/>
      <c r="C752" s="115"/>
      <c r="D752" s="131"/>
      <c r="E752" s="177"/>
      <c r="F752" s="28"/>
      <c r="G752" s="118"/>
      <c r="H752" s="192"/>
      <c r="I752" s="192"/>
      <c r="J752" s="175"/>
      <c r="K752" s="192"/>
      <c r="L752" s="192"/>
      <c r="M752" s="192"/>
      <c r="N752" s="175"/>
      <c r="O752" s="116"/>
      <c r="P752" s="175"/>
      <c r="Q752" s="175"/>
      <c r="R752" s="220"/>
      <c r="S752" s="175"/>
      <c r="T752" s="175"/>
      <c r="U752" s="175"/>
      <c r="V752" s="175"/>
      <c r="W752" s="175"/>
      <c r="X752" s="116"/>
    </row>
    <row r="753" spans="1:24" s="112" customFormat="1">
      <c r="A753" s="116"/>
      <c r="B753" s="115"/>
      <c r="C753" s="115"/>
      <c r="D753" s="131"/>
      <c r="E753" s="177"/>
      <c r="F753" s="28"/>
      <c r="G753" s="118"/>
      <c r="H753" s="192"/>
      <c r="I753" s="192"/>
      <c r="J753" s="175"/>
      <c r="K753" s="192"/>
      <c r="L753" s="192"/>
      <c r="M753" s="192"/>
      <c r="N753" s="175"/>
      <c r="O753" s="116"/>
      <c r="P753" s="175"/>
      <c r="Q753" s="175"/>
      <c r="R753" s="220"/>
      <c r="S753" s="175"/>
      <c r="T753" s="175"/>
      <c r="U753" s="175"/>
      <c r="V753" s="175"/>
      <c r="W753" s="175"/>
      <c r="X753" s="116"/>
    </row>
    <row r="754" spans="1:24" s="112" customFormat="1">
      <c r="A754" s="116"/>
      <c r="B754" s="115"/>
      <c r="C754" s="115"/>
      <c r="D754" s="131"/>
      <c r="E754" s="177"/>
      <c r="F754" s="28"/>
      <c r="G754" s="118"/>
      <c r="H754" s="192"/>
      <c r="I754" s="192"/>
      <c r="J754" s="175"/>
      <c r="K754" s="192"/>
      <c r="L754" s="192"/>
      <c r="M754" s="192"/>
      <c r="N754" s="175"/>
      <c r="O754" s="116"/>
      <c r="P754" s="175"/>
      <c r="Q754" s="175"/>
      <c r="R754" s="220"/>
      <c r="S754" s="175"/>
      <c r="T754" s="175"/>
      <c r="U754" s="175"/>
      <c r="V754" s="175"/>
      <c r="W754" s="175"/>
      <c r="X754" s="116"/>
    </row>
    <row r="755" spans="1:24" s="112" customFormat="1">
      <c r="A755" s="116"/>
      <c r="B755" s="115"/>
      <c r="C755" s="115"/>
      <c r="D755" s="131"/>
      <c r="E755" s="177"/>
      <c r="F755" s="28"/>
      <c r="G755" s="118"/>
      <c r="H755" s="192"/>
      <c r="I755" s="192"/>
      <c r="J755" s="175"/>
      <c r="K755" s="192"/>
      <c r="L755" s="192"/>
      <c r="M755" s="192"/>
      <c r="N755" s="175"/>
      <c r="O755" s="116"/>
      <c r="P755" s="175"/>
      <c r="Q755" s="175"/>
      <c r="R755" s="220"/>
      <c r="S755" s="175"/>
      <c r="T755" s="175"/>
      <c r="U755" s="175"/>
      <c r="V755" s="175"/>
      <c r="W755" s="175"/>
      <c r="X755" s="116"/>
    </row>
    <row r="756" spans="1:24" s="112" customFormat="1">
      <c r="A756" s="116"/>
      <c r="B756" s="115"/>
      <c r="C756" s="115"/>
      <c r="D756" s="131"/>
      <c r="E756" s="177"/>
      <c r="F756" s="28"/>
      <c r="G756" s="118"/>
      <c r="H756" s="192"/>
      <c r="I756" s="192"/>
      <c r="J756" s="175"/>
      <c r="K756" s="192"/>
      <c r="L756" s="192"/>
      <c r="M756" s="192"/>
      <c r="N756" s="175"/>
      <c r="O756" s="116"/>
      <c r="P756" s="175"/>
      <c r="Q756" s="175"/>
      <c r="R756" s="220"/>
      <c r="S756" s="175"/>
      <c r="T756" s="175"/>
      <c r="U756" s="175"/>
      <c r="V756" s="175"/>
      <c r="W756" s="175"/>
      <c r="X756" s="116"/>
    </row>
    <row r="757" spans="1:24" s="112" customFormat="1">
      <c r="A757" s="116"/>
      <c r="B757" s="115"/>
      <c r="C757" s="115"/>
      <c r="D757" s="131"/>
      <c r="E757" s="177"/>
      <c r="F757" s="28"/>
      <c r="G757" s="118"/>
      <c r="H757" s="192"/>
      <c r="I757" s="192"/>
      <c r="J757" s="175"/>
      <c r="K757" s="192"/>
      <c r="L757" s="192"/>
      <c r="M757" s="192"/>
      <c r="N757" s="175"/>
      <c r="O757" s="116"/>
      <c r="P757" s="175"/>
      <c r="Q757" s="175"/>
      <c r="R757" s="220"/>
      <c r="S757" s="175"/>
      <c r="T757" s="175"/>
      <c r="U757" s="175"/>
      <c r="V757" s="175"/>
      <c r="W757" s="175"/>
      <c r="X757" s="116"/>
    </row>
    <row r="758" spans="1:24" s="112" customFormat="1">
      <c r="A758" s="116"/>
      <c r="B758" s="115"/>
      <c r="C758" s="115"/>
      <c r="D758" s="131"/>
      <c r="E758" s="177"/>
      <c r="F758" s="28"/>
      <c r="G758" s="118"/>
      <c r="H758" s="192"/>
      <c r="I758" s="192"/>
      <c r="J758" s="175"/>
      <c r="K758" s="192"/>
      <c r="L758" s="192"/>
      <c r="M758" s="192"/>
      <c r="N758" s="175"/>
      <c r="O758" s="116"/>
      <c r="P758" s="175"/>
      <c r="Q758" s="175"/>
      <c r="R758" s="220"/>
      <c r="S758" s="175"/>
      <c r="T758" s="175"/>
      <c r="U758" s="175"/>
      <c r="V758" s="175"/>
      <c r="W758" s="175"/>
      <c r="X758" s="116"/>
    </row>
    <row r="759" spans="1:24" s="112" customFormat="1">
      <c r="A759" s="116"/>
      <c r="B759" s="115"/>
      <c r="C759" s="115"/>
      <c r="D759" s="131"/>
      <c r="E759" s="177"/>
      <c r="F759" s="28"/>
      <c r="G759" s="118"/>
      <c r="H759" s="192"/>
      <c r="I759" s="192"/>
      <c r="J759" s="175"/>
      <c r="K759" s="192"/>
      <c r="L759" s="192"/>
      <c r="M759" s="192"/>
      <c r="N759" s="175"/>
      <c r="O759" s="116"/>
      <c r="P759" s="175"/>
      <c r="Q759" s="175"/>
      <c r="R759" s="220"/>
      <c r="S759" s="175"/>
      <c r="T759" s="175"/>
      <c r="U759" s="175"/>
      <c r="V759" s="175"/>
      <c r="W759" s="175"/>
      <c r="X759" s="116"/>
    </row>
    <row r="760" spans="1:24" s="112" customFormat="1">
      <c r="A760" s="116"/>
      <c r="B760" s="115"/>
      <c r="C760" s="115"/>
      <c r="D760" s="131"/>
      <c r="E760" s="177"/>
      <c r="F760" s="28"/>
      <c r="G760" s="118"/>
      <c r="H760" s="192"/>
      <c r="I760" s="192"/>
      <c r="J760" s="175"/>
      <c r="K760" s="192"/>
      <c r="L760" s="192"/>
      <c r="M760" s="192"/>
      <c r="N760" s="175"/>
      <c r="O760" s="116"/>
      <c r="P760" s="175"/>
      <c r="Q760" s="175"/>
      <c r="R760" s="220"/>
      <c r="S760" s="175"/>
      <c r="T760" s="175"/>
      <c r="U760" s="175"/>
      <c r="V760" s="175"/>
      <c r="W760" s="175"/>
      <c r="X760" s="116"/>
    </row>
    <row r="761" spans="1:24" s="112" customFormat="1">
      <c r="A761" s="116"/>
      <c r="B761" s="115"/>
      <c r="C761" s="115"/>
      <c r="D761" s="131"/>
      <c r="E761" s="177"/>
      <c r="F761" s="28"/>
      <c r="G761" s="118"/>
      <c r="H761" s="192"/>
      <c r="I761" s="192"/>
      <c r="J761" s="175"/>
      <c r="K761" s="192"/>
      <c r="L761" s="192"/>
      <c r="M761" s="192"/>
      <c r="N761" s="175"/>
      <c r="O761" s="116"/>
      <c r="P761" s="175"/>
      <c r="Q761" s="175"/>
      <c r="R761" s="220"/>
      <c r="S761" s="175"/>
      <c r="T761" s="175"/>
      <c r="U761" s="175"/>
      <c r="V761" s="175"/>
      <c r="W761" s="175"/>
      <c r="X761" s="116"/>
    </row>
    <row r="762" spans="1:24" s="112" customFormat="1">
      <c r="A762" s="116"/>
      <c r="B762" s="115"/>
      <c r="C762" s="115"/>
      <c r="D762" s="131"/>
      <c r="E762" s="177"/>
      <c r="F762" s="28"/>
      <c r="G762" s="118"/>
      <c r="H762" s="192"/>
      <c r="I762" s="192"/>
      <c r="J762" s="175"/>
      <c r="K762" s="192"/>
      <c r="L762" s="192"/>
      <c r="M762" s="192"/>
      <c r="N762" s="175"/>
      <c r="O762" s="116"/>
      <c r="P762" s="175"/>
      <c r="Q762" s="175"/>
      <c r="R762" s="220"/>
      <c r="S762" s="175"/>
      <c r="T762" s="175"/>
      <c r="U762" s="175"/>
      <c r="V762" s="175"/>
      <c r="W762" s="175"/>
      <c r="X762" s="116"/>
    </row>
    <row r="763" spans="1:24" s="112" customFormat="1">
      <c r="A763" s="116"/>
      <c r="B763" s="115"/>
      <c r="C763" s="115"/>
      <c r="D763" s="131"/>
      <c r="E763" s="177"/>
      <c r="F763" s="28"/>
      <c r="G763" s="118"/>
      <c r="H763" s="192"/>
      <c r="I763" s="192"/>
      <c r="J763" s="175"/>
      <c r="K763" s="192"/>
      <c r="L763" s="192"/>
      <c r="M763" s="192"/>
      <c r="N763" s="175"/>
      <c r="O763" s="116"/>
      <c r="P763" s="175"/>
      <c r="Q763" s="175"/>
      <c r="R763" s="220"/>
      <c r="S763" s="175"/>
      <c r="T763" s="175"/>
      <c r="U763" s="175"/>
      <c r="V763" s="175"/>
      <c r="W763" s="175"/>
      <c r="X763" s="116"/>
    </row>
    <row r="764" spans="1:24" s="112" customFormat="1">
      <c r="A764" s="116"/>
      <c r="B764" s="115"/>
      <c r="C764" s="115"/>
      <c r="D764" s="131"/>
      <c r="E764" s="177"/>
      <c r="F764" s="28"/>
      <c r="G764" s="118"/>
      <c r="H764" s="192"/>
      <c r="I764" s="192"/>
      <c r="J764" s="175"/>
      <c r="K764" s="192"/>
      <c r="L764" s="192"/>
      <c r="M764" s="192"/>
      <c r="N764" s="175"/>
      <c r="O764" s="116"/>
      <c r="P764" s="175"/>
      <c r="Q764" s="175"/>
      <c r="R764" s="220"/>
      <c r="S764" s="175"/>
      <c r="T764" s="175"/>
      <c r="U764" s="175"/>
      <c r="V764" s="175"/>
      <c r="W764" s="175"/>
      <c r="X764" s="116"/>
    </row>
    <row r="765" spans="1:24" s="112" customFormat="1">
      <c r="A765" s="116"/>
      <c r="B765" s="115"/>
      <c r="C765" s="115"/>
      <c r="D765" s="131"/>
      <c r="E765" s="177"/>
      <c r="F765" s="28"/>
      <c r="G765" s="118"/>
      <c r="H765" s="192"/>
      <c r="I765" s="192"/>
      <c r="J765" s="175"/>
      <c r="K765" s="192"/>
      <c r="L765" s="192"/>
      <c r="M765" s="192"/>
      <c r="N765" s="175"/>
      <c r="O765" s="116"/>
      <c r="P765" s="175"/>
      <c r="Q765" s="175"/>
      <c r="R765" s="220"/>
      <c r="S765" s="175"/>
      <c r="T765" s="175"/>
      <c r="U765" s="175"/>
      <c r="V765" s="175"/>
      <c r="W765" s="175"/>
      <c r="X765" s="116"/>
    </row>
    <row r="766" spans="1:24" s="112" customFormat="1">
      <c r="A766" s="116"/>
      <c r="B766" s="115"/>
      <c r="C766" s="115"/>
      <c r="D766" s="131"/>
      <c r="E766" s="177"/>
      <c r="F766" s="28"/>
      <c r="G766" s="118"/>
      <c r="H766" s="192"/>
      <c r="I766" s="192"/>
      <c r="J766" s="175"/>
      <c r="K766" s="192"/>
      <c r="L766" s="192"/>
      <c r="M766" s="192"/>
      <c r="N766" s="175"/>
      <c r="O766" s="116"/>
      <c r="P766" s="175"/>
      <c r="Q766" s="175"/>
      <c r="R766" s="220"/>
      <c r="S766" s="175"/>
      <c r="T766" s="175"/>
      <c r="U766" s="175"/>
      <c r="V766" s="175"/>
      <c r="W766" s="175"/>
      <c r="X766" s="116"/>
    </row>
    <row r="767" spans="1:24" s="112" customFormat="1">
      <c r="A767" s="116"/>
      <c r="B767" s="115"/>
      <c r="C767" s="115"/>
      <c r="D767" s="131"/>
      <c r="E767" s="177"/>
      <c r="F767" s="28"/>
      <c r="G767" s="118"/>
      <c r="H767" s="192"/>
      <c r="I767" s="192"/>
      <c r="J767" s="175"/>
      <c r="K767" s="192"/>
      <c r="L767" s="192"/>
      <c r="M767" s="192"/>
      <c r="N767" s="175"/>
      <c r="O767" s="116"/>
      <c r="P767" s="175"/>
      <c r="Q767" s="175"/>
      <c r="R767" s="220"/>
      <c r="S767" s="175"/>
      <c r="T767" s="175"/>
      <c r="U767" s="175"/>
      <c r="V767" s="175"/>
      <c r="W767" s="175"/>
      <c r="X767" s="116"/>
    </row>
    <row r="768" spans="1:24" s="112" customFormat="1">
      <c r="A768" s="116"/>
      <c r="B768" s="115"/>
      <c r="C768" s="115"/>
      <c r="D768" s="131"/>
      <c r="E768" s="177"/>
      <c r="F768" s="28"/>
      <c r="G768" s="118"/>
      <c r="H768" s="192"/>
      <c r="I768" s="192"/>
      <c r="J768" s="175"/>
      <c r="K768" s="192"/>
      <c r="L768" s="192"/>
      <c r="M768" s="192"/>
      <c r="N768" s="175"/>
      <c r="O768" s="116"/>
      <c r="P768" s="175"/>
      <c r="Q768" s="175"/>
      <c r="R768" s="220"/>
      <c r="S768" s="175"/>
      <c r="T768" s="175"/>
      <c r="U768" s="175"/>
      <c r="V768" s="175"/>
      <c r="W768" s="175"/>
      <c r="X768" s="116"/>
    </row>
    <row r="769" spans="1:24" s="112" customFormat="1">
      <c r="A769" s="116"/>
      <c r="B769" s="115"/>
      <c r="C769" s="115"/>
      <c r="D769" s="131"/>
      <c r="E769" s="177"/>
      <c r="F769" s="28"/>
      <c r="G769" s="118"/>
      <c r="H769" s="192"/>
      <c r="I769" s="192"/>
      <c r="J769" s="175"/>
      <c r="K769" s="192"/>
      <c r="L769" s="192"/>
      <c r="M769" s="192"/>
      <c r="N769" s="175"/>
      <c r="O769" s="116"/>
      <c r="P769" s="175"/>
      <c r="Q769" s="175"/>
      <c r="R769" s="220"/>
      <c r="S769" s="175"/>
      <c r="T769" s="175"/>
      <c r="U769" s="175"/>
      <c r="V769" s="175"/>
      <c r="W769" s="175"/>
      <c r="X769" s="116"/>
    </row>
    <row r="770" spans="1:24" s="112" customFormat="1">
      <c r="A770" s="116"/>
      <c r="B770" s="115"/>
      <c r="C770" s="115"/>
      <c r="D770" s="131"/>
      <c r="E770" s="177"/>
      <c r="F770" s="28"/>
      <c r="G770" s="118"/>
      <c r="H770" s="192"/>
      <c r="I770" s="192"/>
      <c r="J770" s="175"/>
      <c r="K770" s="192"/>
      <c r="L770" s="192"/>
      <c r="M770" s="192"/>
      <c r="N770" s="175"/>
      <c r="O770" s="116"/>
      <c r="P770" s="175"/>
      <c r="Q770" s="175"/>
      <c r="R770" s="220"/>
      <c r="S770" s="175"/>
      <c r="T770" s="175"/>
      <c r="U770" s="175"/>
      <c r="V770" s="175"/>
      <c r="W770" s="175"/>
      <c r="X770" s="116"/>
    </row>
    <row r="771" spans="1:24" s="112" customFormat="1">
      <c r="A771" s="116"/>
      <c r="B771" s="115"/>
      <c r="C771" s="115"/>
      <c r="D771" s="131"/>
      <c r="E771" s="177"/>
      <c r="F771" s="28"/>
      <c r="G771" s="118"/>
      <c r="H771" s="192"/>
      <c r="I771" s="192"/>
      <c r="J771" s="175"/>
      <c r="K771" s="192"/>
      <c r="L771" s="192"/>
      <c r="M771" s="192"/>
      <c r="N771" s="175"/>
      <c r="O771" s="116"/>
      <c r="P771" s="175"/>
      <c r="Q771" s="175"/>
      <c r="R771" s="220"/>
      <c r="S771" s="175"/>
      <c r="T771" s="175"/>
      <c r="U771" s="175"/>
      <c r="V771" s="175"/>
      <c r="W771" s="175"/>
      <c r="X771" s="116"/>
    </row>
    <row r="772" spans="1:24" s="112" customFormat="1">
      <c r="A772" s="116"/>
      <c r="B772" s="115"/>
      <c r="C772" s="115"/>
      <c r="D772" s="131"/>
      <c r="E772" s="177"/>
      <c r="F772" s="28"/>
      <c r="G772" s="118"/>
      <c r="H772" s="192"/>
      <c r="I772" s="192"/>
      <c r="J772" s="175"/>
      <c r="K772" s="192"/>
      <c r="L772" s="192"/>
      <c r="M772" s="192"/>
      <c r="N772" s="175"/>
      <c r="O772" s="116"/>
      <c r="P772" s="175"/>
      <c r="Q772" s="175"/>
      <c r="R772" s="220"/>
      <c r="S772" s="175"/>
      <c r="T772" s="175"/>
      <c r="U772" s="175"/>
      <c r="V772" s="175"/>
      <c r="W772" s="175"/>
      <c r="X772" s="116"/>
    </row>
    <row r="773" spans="1:24" s="112" customFormat="1">
      <c r="A773" s="116"/>
      <c r="B773" s="115"/>
      <c r="C773" s="115"/>
      <c r="D773" s="131"/>
      <c r="E773" s="177"/>
      <c r="F773" s="28"/>
      <c r="G773" s="118"/>
      <c r="H773" s="192"/>
      <c r="I773" s="192"/>
      <c r="J773" s="175"/>
      <c r="K773" s="192"/>
      <c r="L773" s="192"/>
      <c r="M773" s="192"/>
      <c r="N773" s="175"/>
      <c r="O773" s="116"/>
      <c r="P773" s="175"/>
      <c r="Q773" s="175"/>
      <c r="R773" s="220"/>
      <c r="S773" s="175"/>
      <c r="T773" s="175"/>
      <c r="U773" s="175"/>
      <c r="V773" s="175"/>
      <c r="W773" s="175"/>
      <c r="X773" s="116"/>
    </row>
    <row r="774" spans="1:24" s="112" customFormat="1">
      <c r="A774" s="116"/>
      <c r="B774" s="115"/>
      <c r="C774" s="115"/>
      <c r="D774" s="131"/>
      <c r="E774" s="177"/>
      <c r="F774" s="28"/>
      <c r="G774" s="118"/>
      <c r="H774" s="192"/>
      <c r="I774" s="192"/>
      <c r="J774" s="175"/>
      <c r="K774" s="192"/>
      <c r="L774" s="192"/>
      <c r="M774" s="192"/>
      <c r="N774" s="175"/>
      <c r="O774" s="116"/>
      <c r="P774" s="175"/>
      <c r="Q774" s="175"/>
      <c r="R774" s="220"/>
      <c r="S774" s="175"/>
      <c r="T774" s="175"/>
      <c r="U774" s="175"/>
      <c r="V774" s="175"/>
      <c r="W774" s="175"/>
      <c r="X774" s="116"/>
    </row>
    <row r="775" spans="1:24" s="112" customFormat="1">
      <c r="A775" s="116"/>
      <c r="B775" s="115"/>
      <c r="C775" s="115"/>
      <c r="D775" s="131"/>
      <c r="E775" s="177"/>
      <c r="F775" s="28"/>
      <c r="G775" s="118"/>
      <c r="H775" s="192"/>
      <c r="I775" s="192"/>
      <c r="J775" s="175"/>
      <c r="K775" s="192"/>
      <c r="L775" s="192"/>
      <c r="M775" s="192"/>
      <c r="N775" s="175"/>
      <c r="O775" s="116"/>
      <c r="P775" s="175"/>
      <c r="Q775" s="175"/>
      <c r="R775" s="220"/>
      <c r="S775" s="175"/>
      <c r="T775" s="175"/>
      <c r="U775" s="175"/>
      <c r="V775" s="175"/>
      <c r="W775" s="175"/>
      <c r="X775" s="116"/>
    </row>
    <row r="776" spans="1:24" s="112" customFormat="1">
      <c r="A776" s="116"/>
      <c r="B776" s="115"/>
      <c r="C776" s="115"/>
      <c r="D776" s="131"/>
      <c r="E776" s="177"/>
      <c r="F776" s="28"/>
      <c r="G776" s="118"/>
      <c r="H776" s="192"/>
      <c r="I776" s="192"/>
      <c r="J776" s="175"/>
      <c r="K776" s="192"/>
      <c r="L776" s="192"/>
      <c r="M776" s="192"/>
      <c r="N776" s="175"/>
      <c r="O776" s="116"/>
      <c r="P776" s="175"/>
      <c r="Q776" s="175"/>
      <c r="R776" s="220"/>
      <c r="S776" s="175"/>
      <c r="T776" s="175"/>
      <c r="U776" s="175"/>
      <c r="V776" s="175"/>
      <c r="W776" s="175"/>
      <c r="X776" s="116"/>
    </row>
    <row r="777" spans="1:24" s="112" customFormat="1">
      <c r="A777" s="116"/>
      <c r="B777" s="115"/>
      <c r="C777" s="115"/>
      <c r="D777" s="131"/>
      <c r="E777" s="177"/>
      <c r="F777" s="28"/>
      <c r="G777" s="118"/>
      <c r="H777" s="192"/>
      <c r="I777" s="192"/>
      <c r="J777" s="175"/>
      <c r="K777" s="192"/>
      <c r="L777" s="192"/>
      <c r="M777" s="192"/>
      <c r="N777" s="175"/>
      <c r="O777" s="116"/>
      <c r="P777" s="175"/>
      <c r="Q777" s="175"/>
      <c r="R777" s="220"/>
      <c r="S777" s="175"/>
      <c r="T777" s="175"/>
      <c r="U777" s="175"/>
      <c r="V777" s="175"/>
      <c r="W777" s="175"/>
      <c r="X777" s="116"/>
    </row>
    <row r="778" spans="1:24" s="112" customFormat="1">
      <c r="A778" s="116"/>
      <c r="B778" s="115"/>
      <c r="C778" s="115"/>
      <c r="D778" s="131"/>
      <c r="E778" s="177"/>
      <c r="F778" s="28"/>
      <c r="G778" s="118"/>
      <c r="H778" s="192"/>
      <c r="I778" s="192"/>
      <c r="J778" s="175"/>
      <c r="K778" s="192"/>
      <c r="L778" s="192"/>
      <c r="M778" s="192"/>
      <c r="N778" s="175"/>
      <c r="O778" s="116"/>
      <c r="P778" s="175"/>
      <c r="Q778" s="175"/>
      <c r="R778" s="220"/>
      <c r="S778" s="175"/>
      <c r="T778" s="175"/>
      <c r="U778" s="175"/>
      <c r="V778" s="175"/>
      <c r="W778" s="175"/>
      <c r="X778" s="116"/>
    </row>
    <row r="779" spans="1:24" s="112" customFormat="1">
      <c r="A779" s="116"/>
      <c r="B779" s="115"/>
      <c r="C779" s="115"/>
      <c r="D779" s="131"/>
      <c r="E779" s="177"/>
      <c r="F779" s="28"/>
      <c r="G779" s="118"/>
      <c r="H779" s="192"/>
      <c r="I779" s="192"/>
      <c r="J779" s="175"/>
      <c r="K779" s="192"/>
      <c r="L779" s="192"/>
      <c r="M779" s="192"/>
      <c r="N779" s="175"/>
      <c r="O779" s="116"/>
      <c r="P779" s="175"/>
      <c r="Q779" s="175"/>
      <c r="R779" s="220"/>
      <c r="S779" s="175"/>
      <c r="T779" s="175"/>
      <c r="U779" s="175"/>
      <c r="V779" s="175"/>
      <c r="W779" s="175"/>
      <c r="X779" s="116"/>
    </row>
    <row r="780" spans="1:24" s="112" customFormat="1">
      <c r="A780" s="116"/>
      <c r="B780" s="115"/>
      <c r="C780" s="115"/>
      <c r="D780" s="131"/>
      <c r="E780" s="177"/>
      <c r="F780" s="28"/>
      <c r="G780" s="118"/>
      <c r="H780" s="192"/>
      <c r="I780" s="192"/>
      <c r="J780" s="175"/>
      <c r="K780" s="192"/>
      <c r="L780" s="192"/>
      <c r="M780" s="192"/>
      <c r="N780" s="175"/>
      <c r="O780" s="116"/>
      <c r="P780" s="175"/>
      <c r="Q780" s="175"/>
      <c r="R780" s="220"/>
      <c r="S780" s="175"/>
      <c r="T780" s="175"/>
      <c r="U780" s="175"/>
      <c r="V780" s="175"/>
      <c r="W780" s="175"/>
      <c r="X780" s="116"/>
    </row>
    <row r="781" spans="1:24" s="112" customFormat="1">
      <c r="A781" s="116"/>
      <c r="B781" s="115"/>
      <c r="C781" s="115"/>
      <c r="D781" s="131"/>
      <c r="E781" s="177"/>
      <c r="F781" s="28"/>
      <c r="G781" s="118"/>
      <c r="H781" s="192"/>
      <c r="I781" s="192"/>
      <c r="J781" s="175"/>
      <c r="K781" s="192"/>
      <c r="L781" s="192"/>
      <c r="M781" s="192"/>
      <c r="N781" s="175"/>
      <c r="O781" s="116"/>
      <c r="P781" s="175"/>
      <c r="Q781" s="175"/>
      <c r="R781" s="220"/>
      <c r="S781" s="175"/>
      <c r="T781" s="175"/>
      <c r="U781" s="175"/>
      <c r="V781" s="175"/>
      <c r="W781" s="175"/>
      <c r="X781" s="116"/>
    </row>
    <row r="782" spans="1:24" s="112" customFormat="1">
      <c r="A782" s="116"/>
      <c r="B782" s="115"/>
      <c r="C782" s="115"/>
      <c r="D782" s="131"/>
      <c r="E782" s="177"/>
      <c r="F782" s="28"/>
      <c r="G782" s="118"/>
      <c r="H782" s="192"/>
      <c r="I782" s="192"/>
      <c r="J782" s="175"/>
      <c r="K782" s="192"/>
      <c r="L782" s="192"/>
      <c r="M782" s="192"/>
      <c r="N782" s="175"/>
      <c r="O782" s="116"/>
      <c r="P782" s="175"/>
      <c r="Q782" s="175"/>
      <c r="R782" s="220"/>
      <c r="S782" s="175"/>
      <c r="T782" s="175"/>
      <c r="U782" s="175"/>
      <c r="V782" s="175"/>
      <c r="W782" s="175"/>
      <c r="X782" s="116"/>
    </row>
    <row r="783" spans="1:24" s="112" customFormat="1">
      <c r="A783" s="116"/>
      <c r="B783" s="115"/>
      <c r="C783" s="115"/>
      <c r="D783" s="131"/>
      <c r="E783" s="177"/>
      <c r="F783" s="28"/>
      <c r="G783" s="118"/>
      <c r="H783" s="192"/>
      <c r="I783" s="192"/>
      <c r="J783" s="175"/>
      <c r="K783" s="192"/>
      <c r="L783" s="192"/>
      <c r="M783" s="192"/>
      <c r="N783" s="175"/>
      <c r="O783" s="116"/>
      <c r="P783" s="175"/>
      <c r="Q783" s="175"/>
      <c r="R783" s="220"/>
      <c r="S783" s="175"/>
      <c r="T783" s="175"/>
      <c r="U783" s="175"/>
      <c r="V783" s="175"/>
      <c r="W783" s="175"/>
      <c r="X783" s="116"/>
    </row>
    <row r="784" spans="1:24" s="112" customFormat="1">
      <c r="A784" s="116"/>
      <c r="B784" s="115"/>
      <c r="C784" s="115"/>
      <c r="D784" s="131"/>
      <c r="E784" s="177"/>
      <c r="F784" s="28"/>
      <c r="G784" s="118"/>
      <c r="H784" s="192"/>
      <c r="I784" s="192"/>
      <c r="J784" s="175"/>
      <c r="K784" s="192"/>
      <c r="L784" s="192"/>
      <c r="M784" s="192"/>
      <c r="N784" s="175"/>
      <c r="O784" s="116"/>
      <c r="P784" s="175"/>
      <c r="Q784" s="175"/>
      <c r="R784" s="220"/>
      <c r="S784" s="175"/>
      <c r="T784" s="175"/>
      <c r="U784" s="175"/>
      <c r="V784" s="175"/>
      <c r="W784" s="175"/>
      <c r="X784" s="116"/>
    </row>
    <row r="785" spans="1:24" s="112" customFormat="1">
      <c r="A785" s="116"/>
      <c r="B785" s="115"/>
      <c r="C785" s="115"/>
      <c r="D785" s="131"/>
      <c r="E785" s="177"/>
      <c r="F785" s="28"/>
      <c r="G785" s="118"/>
      <c r="H785" s="192"/>
      <c r="I785" s="192"/>
      <c r="J785" s="175"/>
      <c r="K785" s="192"/>
      <c r="L785" s="192"/>
      <c r="M785" s="192"/>
      <c r="N785" s="175"/>
      <c r="O785" s="116"/>
      <c r="P785" s="175"/>
      <c r="Q785" s="175"/>
      <c r="R785" s="220"/>
      <c r="S785" s="175"/>
      <c r="T785" s="175"/>
      <c r="U785" s="175"/>
      <c r="V785" s="175"/>
      <c r="W785" s="175"/>
      <c r="X785" s="116"/>
    </row>
    <row r="786" spans="1:24" s="112" customFormat="1">
      <c r="A786" s="116"/>
      <c r="B786" s="115"/>
      <c r="C786" s="115"/>
      <c r="D786" s="131"/>
      <c r="E786" s="177"/>
      <c r="F786" s="28"/>
      <c r="G786" s="118"/>
      <c r="H786" s="192"/>
      <c r="I786" s="192"/>
      <c r="J786" s="175"/>
      <c r="K786" s="192"/>
      <c r="L786" s="192"/>
      <c r="M786" s="192"/>
      <c r="N786" s="175"/>
      <c r="O786" s="116"/>
      <c r="P786" s="175"/>
      <c r="Q786" s="175"/>
      <c r="R786" s="220"/>
      <c r="S786" s="175"/>
      <c r="T786" s="175"/>
      <c r="U786" s="175"/>
      <c r="V786" s="175"/>
      <c r="W786" s="175"/>
      <c r="X786" s="116"/>
    </row>
    <row r="787" spans="1:24" s="112" customFormat="1">
      <c r="A787" s="116"/>
      <c r="B787" s="115"/>
      <c r="C787" s="115"/>
      <c r="D787" s="131"/>
      <c r="E787" s="177"/>
      <c r="F787" s="28"/>
      <c r="G787" s="118"/>
      <c r="H787" s="192"/>
      <c r="I787" s="192"/>
      <c r="J787" s="175"/>
      <c r="K787" s="192"/>
      <c r="L787" s="192"/>
      <c r="M787" s="192"/>
      <c r="N787" s="175"/>
      <c r="O787" s="116"/>
      <c r="P787" s="175"/>
      <c r="Q787" s="175"/>
      <c r="R787" s="220"/>
      <c r="S787" s="175"/>
      <c r="T787" s="175"/>
      <c r="U787" s="175"/>
      <c r="V787" s="175"/>
      <c r="W787" s="175"/>
      <c r="X787" s="116"/>
    </row>
    <row r="788" spans="1:24" s="112" customFormat="1">
      <c r="A788" s="116"/>
      <c r="B788" s="115"/>
      <c r="C788" s="115"/>
      <c r="D788" s="131"/>
      <c r="E788" s="177"/>
      <c r="F788" s="28"/>
      <c r="G788" s="118"/>
      <c r="H788" s="192"/>
      <c r="I788" s="192"/>
      <c r="J788" s="175"/>
      <c r="K788" s="192"/>
      <c r="L788" s="192"/>
      <c r="M788" s="192"/>
      <c r="N788" s="175"/>
      <c r="O788" s="116"/>
      <c r="P788" s="175"/>
      <c r="Q788" s="175"/>
      <c r="R788" s="220"/>
      <c r="S788" s="175"/>
      <c r="T788" s="175"/>
      <c r="U788" s="175"/>
      <c r="V788" s="175"/>
      <c r="W788" s="175"/>
      <c r="X788" s="116"/>
    </row>
    <row r="789" spans="1:24" s="112" customFormat="1">
      <c r="A789" s="116"/>
      <c r="B789" s="115"/>
      <c r="C789" s="115"/>
      <c r="D789" s="131"/>
      <c r="E789" s="177"/>
      <c r="F789" s="28"/>
      <c r="G789" s="118"/>
      <c r="H789" s="192"/>
      <c r="I789" s="192"/>
      <c r="J789" s="175"/>
      <c r="K789" s="192"/>
      <c r="L789" s="192"/>
      <c r="M789" s="192"/>
      <c r="N789" s="175"/>
      <c r="O789" s="116"/>
      <c r="P789" s="175"/>
      <c r="Q789" s="175"/>
      <c r="R789" s="220"/>
      <c r="S789" s="175"/>
      <c r="T789" s="175"/>
      <c r="U789" s="175"/>
      <c r="V789" s="175"/>
      <c r="W789" s="175"/>
      <c r="X789" s="116"/>
    </row>
    <row r="790" spans="1:24" s="112" customFormat="1">
      <c r="A790" s="116"/>
      <c r="B790" s="115"/>
      <c r="C790" s="115"/>
      <c r="D790" s="131"/>
      <c r="E790" s="177"/>
      <c r="F790" s="28"/>
      <c r="G790" s="118"/>
      <c r="H790" s="192"/>
      <c r="I790" s="192"/>
      <c r="J790" s="175"/>
      <c r="K790" s="192"/>
      <c r="L790" s="192"/>
      <c r="M790" s="192"/>
      <c r="N790" s="175"/>
      <c r="O790" s="116"/>
      <c r="P790" s="175"/>
      <c r="Q790" s="175"/>
      <c r="R790" s="220"/>
      <c r="S790" s="175"/>
      <c r="T790" s="175"/>
      <c r="U790" s="175"/>
      <c r="V790" s="175"/>
      <c r="W790" s="175"/>
      <c r="X790" s="116"/>
    </row>
    <row r="791" spans="1:24" s="112" customFormat="1">
      <c r="A791" s="116"/>
      <c r="B791" s="115"/>
      <c r="C791" s="115"/>
      <c r="D791" s="131"/>
      <c r="E791" s="177"/>
      <c r="F791" s="28"/>
      <c r="G791" s="118"/>
      <c r="H791" s="192"/>
      <c r="I791" s="192"/>
      <c r="J791" s="175"/>
      <c r="K791" s="192"/>
      <c r="L791" s="192"/>
      <c r="M791" s="192"/>
      <c r="N791" s="175"/>
      <c r="O791" s="116"/>
      <c r="P791" s="175"/>
      <c r="Q791" s="175"/>
      <c r="R791" s="220"/>
      <c r="S791" s="175"/>
      <c r="T791" s="175"/>
      <c r="U791" s="175"/>
      <c r="V791" s="175"/>
      <c r="W791" s="175"/>
      <c r="X791" s="116"/>
    </row>
    <row r="792" spans="1:24" s="112" customFormat="1">
      <c r="A792" s="116"/>
      <c r="B792" s="115"/>
      <c r="C792" s="115"/>
      <c r="D792" s="131"/>
      <c r="E792" s="177"/>
      <c r="F792" s="28"/>
      <c r="G792" s="118"/>
      <c r="H792" s="192"/>
      <c r="I792" s="192"/>
      <c r="J792" s="175"/>
      <c r="K792" s="192"/>
      <c r="L792" s="192"/>
      <c r="M792" s="192"/>
      <c r="N792" s="175"/>
      <c r="O792" s="116"/>
      <c r="P792" s="175"/>
      <c r="Q792" s="175"/>
      <c r="R792" s="220"/>
      <c r="S792" s="175"/>
      <c r="T792" s="175"/>
      <c r="U792" s="175"/>
      <c r="V792" s="175"/>
      <c r="W792" s="175"/>
      <c r="X792" s="116"/>
    </row>
    <row r="793" spans="1:24" s="112" customFormat="1">
      <c r="A793" s="116"/>
      <c r="B793" s="115"/>
      <c r="C793" s="115"/>
      <c r="D793" s="131"/>
      <c r="E793" s="177"/>
      <c r="F793" s="28"/>
      <c r="G793" s="118"/>
      <c r="H793" s="192"/>
      <c r="I793" s="192"/>
      <c r="J793" s="175"/>
      <c r="K793" s="192"/>
      <c r="L793" s="192"/>
      <c r="M793" s="192"/>
      <c r="N793" s="175"/>
      <c r="O793" s="116"/>
      <c r="P793" s="175"/>
      <c r="Q793" s="175"/>
      <c r="R793" s="220"/>
      <c r="S793" s="175"/>
      <c r="T793" s="175"/>
      <c r="U793" s="175"/>
      <c r="V793" s="175"/>
      <c r="W793" s="175"/>
      <c r="X793" s="116"/>
    </row>
    <row r="794" spans="1:24" s="112" customFormat="1">
      <c r="A794" s="116"/>
      <c r="B794" s="115"/>
      <c r="C794" s="115"/>
      <c r="D794" s="131"/>
      <c r="E794" s="177"/>
      <c r="F794" s="28"/>
      <c r="G794" s="118"/>
      <c r="H794" s="192"/>
      <c r="I794" s="192"/>
      <c r="J794" s="175"/>
      <c r="K794" s="192"/>
      <c r="L794" s="192"/>
      <c r="M794" s="192"/>
      <c r="N794" s="175"/>
      <c r="O794" s="116"/>
      <c r="P794" s="175"/>
      <c r="Q794" s="175"/>
      <c r="R794" s="220"/>
      <c r="S794" s="175"/>
      <c r="T794" s="175"/>
      <c r="U794" s="175"/>
      <c r="V794" s="175"/>
      <c r="W794" s="175"/>
      <c r="X794" s="116"/>
    </row>
    <row r="795" spans="1:24" s="112" customFormat="1">
      <c r="A795" s="116"/>
      <c r="B795" s="115"/>
      <c r="C795" s="115"/>
      <c r="D795" s="131"/>
      <c r="E795" s="177"/>
      <c r="F795" s="28"/>
      <c r="G795" s="118"/>
      <c r="H795" s="192"/>
      <c r="I795" s="192"/>
      <c r="J795" s="175"/>
      <c r="K795" s="192"/>
      <c r="L795" s="192"/>
      <c r="M795" s="192"/>
      <c r="N795" s="175"/>
      <c r="O795" s="116"/>
      <c r="P795" s="175"/>
      <c r="Q795" s="175"/>
      <c r="R795" s="220"/>
      <c r="S795" s="175"/>
      <c r="T795" s="175"/>
      <c r="U795" s="175"/>
      <c r="V795" s="175"/>
      <c r="W795" s="175"/>
      <c r="X795" s="116"/>
    </row>
    <row r="796" spans="1:24" s="112" customFormat="1">
      <c r="A796" s="116"/>
      <c r="B796" s="115"/>
      <c r="C796" s="115"/>
      <c r="D796" s="131"/>
      <c r="E796" s="177"/>
      <c r="F796" s="28"/>
      <c r="G796" s="118"/>
      <c r="H796" s="192"/>
      <c r="I796" s="192"/>
      <c r="J796" s="175"/>
      <c r="K796" s="192"/>
      <c r="L796" s="192"/>
      <c r="M796" s="192"/>
      <c r="N796" s="175"/>
      <c r="O796" s="116"/>
      <c r="P796" s="175"/>
      <c r="Q796" s="175"/>
      <c r="R796" s="220"/>
      <c r="S796" s="175"/>
      <c r="T796" s="175"/>
      <c r="U796" s="175"/>
      <c r="V796" s="175"/>
      <c r="W796" s="175"/>
      <c r="X796" s="116"/>
    </row>
    <row r="797" spans="1:24" s="112" customFormat="1">
      <c r="A797" s="116"/>
      <c r="B797" s="115"/>
      <c r="C797" s="115"/>
      <c r="D797" s="131"/>
      <c r="E797" s="177"/>
      <c r="F797" s="28"/>
      <c r="G797" s="118"/>
      <c r="H797" s="192"/>
      <c r="I797" s="192"/>
      <c r="J797" s="175"/>
      <c r="K797" s="192"/>
      <c r="L797" s="192"/>
      <c r="M797" s="192"/>
      <c r="N797" s="175"/>
      <c r="O797" s="116"/>
      <c r="P797" s="175"/>
      <c r="Q797" s="175"/>
      <c r="R797" s="220"/>
      <c r="S797" s="175"/>
      <c r="T797" s="175"/>
      <c r="U797" s="175"/>
      <c r="V797" s="175"/>
      <c r="W797" s="175"/>
      <c r="X797" s="116"/>
    </row>
    <row r="798" spans="1:24" s="112" customFormat="1">
      <c r="A798" s="116"/>
      <c r="B798" s="115"/>
      <c r="C798" s="115"/>
      <c r="D798" s="131"/>
      <c r="E798" s="177"/>
      <c r="F798" s="28"/>
      <c r="G798" s="118"/>
      <c r="H798" s="192"/>
      <c r="I798" s="192"/>
      <c r="J798" s="175"/>
      <c r="K798" s="192"/>
      <c r="L798" s="192"/>
      <c r="M798" s="192"/>
      <c r="N798" s="175"/>
      <c r="O798" s="116"/>
      <c r="P798" s="175"/>
      <c r="Q798" s="175"/>
      <c r="R798" s="220"/>
      <c r="S798" s="175"/>
      <c r="T798" s="175"/>
      <c r="U798" s="175"/>
      <c r="V798" s="175"/>
      <c r="W798" s="175"/>
      <c r="X798" s="116"/>
    </row>
    <row r="799" spans="1:24" s="112" customFormat="1">
      <c r="A799" s="116"/>
      <c r="B799" s="115"/>
      <c r="C799" s="115"/>
      <c r="D799" s="131"/>
      <c r="E799" s="177"/>
      <c r="F799" s="28"/>
      <c r="G799" s="118"/>
      <c r="H799" s="192"/>
      <c r="I799" s="192"/>
      <c r="J799" s="175"/>
      <c r="K799" s="192"/>
      <c r="L799" s="192"/>
      <c r="M799" s="192"/>
      <c r="N799" s="175"/>
      <c r="O799" s="116"/>
      <c r="P799" s="175"/>
      <c r="Q799" s="175"/>
      <c r="R799" s="220"/>
      <c r="S799" s="175"/>
      <c r="T799" s="175"/>
      <c r="U799" s="175"/>
      <c r="V799" s="175"/>
      <c r="W799" s="175"/>
      <c r="X799" s="116"/>
    </row>
    <row r="800" spans="1:24" s="112" customFormat="1">
      <c r="A800" s="116"/>
      <c r="B800" s="115"/>
      <c r="C800" s="115"/>
      <c r="D800" s="131"/>
      <c r="E800" s="177"/>
      <c r="F800" s="28"/>
      <c r="G800" s="118"/>
      <c r="H800" s="192"/>
      <c r="I800" s="192"/>
      <c r="J800" s="175"/>
      <c r="K800" s="192"/>
      <c r="L800" s="192"/>
      <c r="M800" s="192"/>
      <c r="N800" s="175"/>
      <c r="O800" s="116"/>
      <c r="P800" s="175"/>
      <c r="Q800" s="175"/>
      <c r="R800" s="220"/>
      <c r="S800" s="175"/>
      <c r="T800" s="175"/>
      <c r="U800" s="175"/>
      <c r="V800" s="175"/>
      <c r="W800" s="175"/>
      <c r="X800" s="116"/>
    </row>
    <row r="801" spans="1:24" s="112" customFormat="1">
      <c r="A801" s="116"/>
      <c r="B801" s="115"/>
      <c r="C801" s="115"/>
      <c r="D801" s="131"/>
      <c r="E801" s="177"/>
      <c r="F801" s="28"/>
      <c r="G801" s="118"/>
      <c r="H801" s="192"/>
      <c r="I801" s="192"/>
      <c r="J801" s="175"/>
      <c r="K801" s="192"/>
      <c r="L801" s="192"/>
      <c r="M801" s="192"/>
      <c r="N801" s="175"/>
      <c r="O801" s="116"/>
      <c r="P801" s="175"/>
      <c r="Q801" s="175"/>
      <c r="R801" s="220"/>
      <c r="S801" s="175"/>
      <c r="T801" s="175"/>
      <c r="U801" s="175"/>
      <c r="V801" s="175"/>
      <c r="W801" s="175"/>
      <c r="X801" s="116"/>
    </row>
    <row r="802" spans="1:24" s="112" customFormat="1">
      <c r="A802" s="116"/>
      <c r="B802" s="115"/>
      <c r="C802" s="115"/>
      <c r="D802" s="131"/>
      <c r="E802" s="177"/>
      <c r="F802" s="28"/>
      <c r="G802" s="118"/>
      <c r="H802" s="192"/>
      <c r="I802" s="192"/>
      <c r="J802" s="175"/>
      <c r="K802" s="192"/>
      <c r="L802" s="192"/>
      <c r="M802" s="192"/>
      <c r="N802" s="175"/>
      <c r="O802" s="116"/>
      <c r="P802" s="175"/>
      <c r="Q802" s="175"/>
      <c r="R802" s="220"/>
      <c r="S802" s="175"/>
      <c r="T802" s="175"/>
      <c r="U802" s="175"/>
      <c r="V802" s="175"/>
      <c r="W802" s="175"/>
      <c r="X802" s="116"/>
    </row>
    <row r="803" spans="1:24" s="112" customFormat="1">
      <c r="A803" s="116"/>
      <c r="B803" s="115"/>
      <c r="C803" s="115"/>
      <c r="D803" s="131"/>
      <c r="E803" s="177"/>
      <c r="F803" s="28"/>
      <c r="G803" s="118"/>
      <c r="H803" s="192"/>
      <c r="I803" s="192"/>
      <c r="J803" s="175"/>
      <c r="K803" s="192"/>
      <c r="L803" s="192"/>
      <c r="M803" s="192"/>
      <c r="N803" s="175"/>
      <c r="O803" s="116"/>
      <c r="P803" s="175"/>
      <c r="Q803" s="175"/>
      <c r="R803" s="220"/>
      <c r="S803" s="175"/>
      <c r="T803" s="175"/>
      <c r="U803" s="175"/>
      <c r="V803" s="175"/>
      <c r="W803" s="175"/>
      <c r="X803" s="116"/>
    </row>
    <row r="804" spans="1:24" s="112" customFormat="1">
      <c r="A804" s="116"/>
      <c r="B804" s="115"/>
      <c r="C804" s="115"/>
      <c r="D804" s="131"/>
      <c r="E804" s="177"/>
      <c r="F804" s="28"/>
      <c r="G804" s="118"/>
      <c r="H804" s="192"/>
      <c r="I804" s="192"/>
      <c r="J804" s="175"/>
      <c r="K804" s="192"/>
      <c r="L804" s="192"/>
      <c r="M804" s="192"/>
      <c r="N804" s="175"/>
      <c r="O804" s="116"/>
      <c r="P804" s="175"/>
      <c r="Q804" s="175"/>
      <c r="R804" s="220"/>
      <c r="S804" s="175"/>
      <c r="T804" s="175"/>
      <c r="U804" s="175"/>
      <c r="V804" s="175"/>
      <c r="W804" s="175"/>
      <c r="X804" s="116"/>
    </row>
    <row r="805" spans="1:24" s="112" customFormat="1">
      <c r="A805" s="116"/>
      <c r="B805" s="115"/>
      <c r="C805" s="115"/>
      <c r="D805" s="131"/>
      <c r="E805" s="177"/>
      <c r="F805" s="28"/>
      <c r="G805" s="118"/>
      <c r="H805" s="192"/>
      <c r="I805" s="192"/>
      <c r="J805" s="175"/>
      <c r="K805" s="192"/>
      <c r="L805" s="192"/>
      <c r="M805" s="192"/>
      <c r="N805" s="175"/>
      <c r="O805" s="116"/>
      <c r="P805" s="175"/>
      <c r="Q805" s="175"/>
      <c r="R805" s="220"/>
      <c r="S805" s="175"/>
      <c r="T805" s="175"/>
      <c r="U805" s="175"/>
      <c r="V805" s="175"/>
      <c r="W805" s="175"/>
      <c r="X805" s="116"/>
    </row>
    <row r="806" spans="1:24" s="112" customFormat="1">
      <c r="A806" s="116"/>
      <c r="B806" s="115"/>
      <c r="C806" s="115"/>
      <c r="D806" s="131"/>
      <c r="E806" s="177"/>
      <c r="F806" s="28"/>
      <c r="G806" s="118"/>
      <c r="H806" s="192"/>
      <c r="I806" s="192"/>
      <c r="J806" s="175"/>
      <c r="K806" s="192"/>
      <c r="L806" s="192"/>
      <c r="M806" s="192"/>
      <c r="N806" s="175"/>
      <c r="O806" s="116"/>
      <c r="P806" s="175"/>
      <c r="Q806" s="175"/>
      <c r="R806" s="220"/>
      <c r="S806" s="175"/>
      <c r="T806" s="175"/>
      <c r="U806" s="175"/>
      <c r="V806" s="175"/>
      <c r="W806" s="175"/>
      <c r="X806" s="116"/>
    </row>
    <row r="807" spans="1:24" s="112" customFormat="1">
      <c r="A807" s="116"/>
      <c r="B807" s="115"/>
      <c r="C807" s="115"/>
      <c r="D807" s="131"/>
      <c r="E807" s="177"/>
      <c r="F807" s="28"/>
      <c r="G807" s="118"/>
      <c r="H807" s="192"/>
      <c r="I807" s="192"/>
      <c r="J807" s="175"/>
      <c r="K807" s="192"/>
      <c r="L807" s="192"/>
      <c r="M807" s="192"/>
      <c r="N807" s="175"/>
      <c r="O807" s="116"/>
      <c r="P807" s="175"/>
      <c r="Q807" s="175"/>
      <c r="R807" s="220"/>
      <c r="S807" s="175"/>
      <c r="T807" s="175"/>
      <c r="U807" s="175"/>
      <c r="V807" s="175"/>
      <c r="W807" s="175"/>
      <c r="X807" s="116"/>
    </row>
    <row r="808" spans="1:24" s="112" customFormat="1">
      <c r="A808" s="116"/>
      <c r="B808" s="115"/>
      <c r="C808" s="115"/>
      <c r="D808" s="131"/>
      <c r="E808" s="177"/>
      <c r="F808" s="28"/>
      <c r="G808" s="118"/>
      <c r="H808" s="192"/>
      <c r="I808" s="192"/>
      <c r="J808" s="175"/>
      <c r="K808" s="192"/>
      <c r="L808" s="192"/>
      <c r="M808" s="192"/>
      <c r="N808" s="175"/>
      <c r="O808" s="116"/>
      <c r="P808" s="175"/>
      <c r="Q808" s="175"/>
      <c r="R808" s="220"/>
      <c r="S808" s="175"/>
      <c r="T808" s="175"/>
      <c r="U808" s="175"/>
      <c r="V808" s="175"/>
      <c r="W808" s="175"/>
      <c r="X808" s="116"/>
    </row>
    <row r="809" spans="1:24" s="112" customFormat="1">
      <c r="A809" s="116"/>
      <c r="B809" s="115"/>
      <c r="C809" s="115"/>
      <c r="D809" s="131"/>
      <c r="E809" s="177"/>
      <c r="F809" s="28"/>
      <c r="G809" s="118"/>
      <c r="H809" s="192"/>
      <c r="I809" s="192"/>
      <c r="J809" s="175"/>
      <c r="K809" s="192"/>
      <c r="L809" s="192"/>
      <c r="M809" s="192"/>
      <c r="N809" s="175"/>
      <c r="O809" s="116"/>
      <c r="P809" s="175"/>
      <c r="Q809" s="175"/>
      <c r="R809" s="220"/>
      <c r="S809" s="175"/>
      <c r="T809" s="175"/>
      <c r="U809" s="175"/>
      <c r="V809" s="175"/>
      <c r="W809" s="175"/>
      <c r="X809" s="116"/>
    </row>
    <row r="810" spans="1:24" s="112" customFormat="1">
      <c r="A810" s="116"/>
      <c r="B810" s="115"/>
      <c r="C810" s="115"/>
      <c r="D810" s="131"/>
      <c r="E810" s="177"/>
      <c r="F810" s="28"/>
      <c r="G810" s="118"/>
      <c r="H810" s="192"/>
      <c r="I810" s="192"/>
      <c r="J810" s="175"/>
      <c r="K810" s="192"/>
      <c r="L810" s="192"/>
      <c r="M810" s="192"/>
      <c r="N810" s="175"/>
      <c r="O810" s="116"/>
      <c r="P810" s="175"/>
      <c r="Q810" s="175"/>
      <c r="R810" s="220"/>
      <c r="S810" s="175"/>
      <c r="T810" s="175"/>
      <c r="U810" s="175"/>
      <c r="V810" s="175"/>
      <c r="W810" s="175"/>
      <c r="X810" s="116"/>
    </row>
    <row r="811" spans="1:24" s="112" customFormat="1">
      <c r="A811" s="116"/>
      <c r="B811" s="115"/>
      <c r="C811" s="115"/>
      <c r="D811" s="131"/>
      <c r="E811" s="177"/>
      <c r="F811" s="28"/>
      <c r="G811" s="118"/>
      <c r="H811" s="192"/>
      <c r="I811" s="192"/>
      <c r="J811" s="175"/>
      <c r="K811" s="192"/>
      <c r="L811" s="192"/>
      <c r="M811" s="192"/>
      <c r="N811" s="175"/>
      <c r="O811" s="116"/>
      <c r="P811" s="175"/>
      <c r="Q811" s="175"/>
      <c r="R811" s="220"/>
      <c r="S811" s="175"/>
      <c r="T811" s="175"/>
      <c r="U811" s="175"/>
      <c r="V811" s="175"/>
      <c r="W811" s="175"/>
      <c r="X811" s="116"/>
    </row>
    <row r="812" spans="1:24" s="112" customFormat="1">
      <c r="A812" s="116"/>
      <c r="B812" s="115"/>
      <c r="C812" s="115"/>
      <c r="D812" s="131"/>
      <c r="E812" s="177"/>
      <c r="F812" s="28"/>
      <c r="G812" s="118"/>
      <c r="H812" s="192"/>
      <c r="I812" s="192"/>
      <c r="J812" s="175"/>
      <c r="K812" s="192"/>
      <c r="L812" s="192"/>
      <c r="M812" s="192"/>
      <c r="N812" s="175"/>
      <c r="O812" s="116"/>
      <c r="P812" s="175"/>
      <c r="Q812" s="175"/>
      <c r="R812" s="220"/>
      <c r="S812" s="175"/>
      <c r="T812" s="175"/>
      <c r="U812" s="175"/>
      <c r="V812" s="175"/>
      <c r="W812" s="175"/>
      <c r="X812" s="116"/>
    </row>
    <row r="813" spans="1:24" s="112" customFormat="1">
      <c r="A813" s="116"/>
      <c r="B813" s="115"/>
      <c r="C813" s="115"/>
      <c r="D813" s="131"/>
      <c r="E813" s="177"/>
      <c r="F813" s="28"/>
      <c r="G813" s="118"/>
      <c r="H813" s="192"/>
      <c r="I813" s="192"/>
      <c r="J813" s="175"/>
      <c r="K813" s="192"/>
      <c r="L813" s="192"/>
      <c r="M813" s="192"/>
      <c r="N813" s="175"/>
      <c r="O813" s="116"/>
      <c r="P813" s="175"/>
      <c r="Q813" s="175"/>
      <c r="R813" s="220"/>
      <c r="S813" s="175"/>
      <c r="T813" s="175"/>
      <c r="U813" s="175"/>
      <c r="V813" s="175"/>
      <c r="W813" s="175"/>
      <c r="X813" s="116"/>
    </row>
    <row r="814" spans="1:24" s="112" customFormat="1">
      <c r="A814" s="116"/>
      <c r="B814" s="115"/>
      <c r="C814" s="115"/>
      <c r="D814" s="131"/>
      <c r="E814" s="177"/>
      <c r="F814" s="28"/>
      <c r="G814" s="118"/>
      <c r="H814" s="192"/>
      <c r="I814" s="192"/>
      <c r="J814" s="175"/>
      <c r="K814" s="192"/>
      <c r="L814" s="192"/>
      <c r="M814" s="192"/>
      <c r="N814" s="175"/>
      <c r="O814" s="116"/>
      <c r="P814" s="175"/>
      <c r="Q814" s="175"/>
      <c r="R814" s="220"/>
      <c r="S814" s="175"/>
      <c r="T814" s="175"/>
      <c r="U814" s="175"/>
      <c r="V814" s="175"/>
      <c r="W814" s="175"/>
      <c r="X814" s="116"/>
    </row>
    <row r="815" spans="1:24" s="112" customFormat="1">
      <c r="A815" s="116"/>
      <c r="B815" s="115"/>
      <c r="C815" s="115"/>
      <c r="D815" s="131"/>
      <c r="E815" s="177"/>
      <c r="F815" s="28"/>
      <c r="G815" s="118"/>
      <c r="H815" s="192"/>
      <c r="I815" s="192"/>
      <c r="J815" s="175"/>
      <c r="K815" s="192"/>
      <c r="L815" s="192"/>
      <c r="M815" s="192"/>
      <c r="N815" s="175"/>
      <c r="O815" s="116"/>
      <c r="P815" s="175"/>
      <c r="Q815" s="175"/>
      <c r="R815" s="220"/>
      <c r="S815" s="175"/>
      <c r="T815" s="175"/>
      <c r="U815" s="175"/>
      <c r="V815" s="175"/>
      <c r="W815" s="175"/>
      <c r="X815" s="116"/>
    </row>
    <row r="816" spans="1:24" s="112" customFormat="1">
      <c r="A816" s="116"/>
      <c r="B816" s="115"/>
      <c r="C816" s="115"/>
      <c r="D816" s="131"/>
      <c r="E816" s="177"/>
      <c r="F816" s="28"/>
      <c r="G816" s="118"/>
      <c r="H816" s="192"/>
      <c r="I816" s="192"/>
      <c r="J816" s="175"/>
      <c r="K816" s="192"/>
      <c r="L816" s="192"/>
      <c r="M816" s="192"/>
      <c r="N816" s="175"/>
      <c r="O816" s="116"/>
      <c r="P816" s="175"/>
      <c r="Q816" s="175"/>
      <c r="R816" s="220"/>
      <c r="S816" s="175"/>
      <c r="T816" s="175"/>
      <c r="U816" s="175"/>
      <c r="V816" s="175"/>
      <c r="W816" s="175"/>
      <c r="X816" s="116"/>
    </row>
    <row r="817" spans="1:24" s="112" customFormat="1">
      <c r="A817" s="116"/>
      <c r="B817" s="115"/>
      <c r="C817" s="115"/>
      <c r="D817" s="131"/>
      <c r="E817" s="177"/>
      <c r="F817" s="28"/>
      <c r="G817" s="118"/>
      <c r="H817" s="192"/>
      <c r="I817" s="192"/>
      <c r="J817" s="175"/>
      <c r="K817" s="192"/>
      <c r="L817" s="192"/>
      <c r="M817" s="192"/>
      <c r="N817" s="175"/>
      <c r="O817" s="116"/>
      <c r="P817" s="175"/>
      <c r="Q817" s="175"/>
      <c r="R817" s="220"/>
      <c r="S817" s="175"/>
      <c r="T817" s="175"/>
      <c r="U817" s="175"/>
      <c r="V817" s="175"/>
      <c r="W817" s="175"/>
      <c r="X817" s="116"/>
    </row>
    <row r="818" spans="1:24" s="112" customFormat="1">
      <c r="A818" s="116"/>
      <c r="B818" s="115"/>
      <c r="C818" s="115"/>
      <c r="D818" s="131"/>
      <c r="E818" s="177"/>
      <c r="F818" s="28"/>
      <c r="G818" s="118"/>
      <c r="H818" s="192"/>
      <c r="I818" s="192"/>
      <c r="J818" s="175"/>
      <c r="K818" s="192"/>
      <c r="L818" s="192"/>
      <c r="M818" s="192"/>
      <c r="N818" s="175"/>
      <c r="O818" s="116"/>
      <c r="P818" s="175"/>
      <c r="Q818" s="175"/>
      <c r="R818" s="220"/>
      <c r="S818" s="175"/>
      <c r="T818" s="175"/>
      <c r="U818" s="175"/>
      <c r="V818" s="175"/>
      <c r="W818" s="175"/>
      <c r="X818" s="116"/>
    </row>
    <row r="819" spans="1:24" s="112" customFormat="1">
      <c r="A819" s="116"/>
      <c r="B819" s="115"/>
      <c r="C819" s="115"/>
      <c r="D819" s="131"/>
      <c r="E819" s="177"/>
      <c r="F819" s="28"/>
      <c r="G819" s="118"/>
      <c r="H819" s="192"/>
      <c r="I819" s="192"/>
      <c r="J819" s="175"/>
      <c r="K819" s="192"/>
      <c r="L819" s="192"/>
      <c r="M819" s="192"/>
      <c r="N819" s="175"/>
      <c r="O819" s="116"/>
      <c r="P819" s="175"/>
      <c r="Q819" s="175"/>
      <c r="R819" s="220"/>
      <c r="S819" s="175"/>
      <c r="T819" s="175"/>
      <c r="U819" s="175"/>
      <c r="V819" s="175"/>
      <c r="W819" s="175"/>
      <c r="X819" s="116"/>
    </row>
    <row r="820" spans="1:24" s="112" customFormat="1">
      <c r="A820" s="116"/>
      <c r="B820" s="115"/>
      <c r="C820" s="115"/>
      <c r="D820" s="131"/>
      <c r="E820" s="177"/>
      <c r="F820" s="28"/>
      <c r="G820" s="118"/>
      <c r="H820" s="192"/>
      <c r="I820" s="192"/>
      <c r="J820" s="175"/>
      <c r="K820" s="192"/>
      <c r="L820" s="192"/>
      <c r="M820" s="192"/>
      <c r="N820" s="175"/>
      <c r="O820" s="116"/>
      <c r="P820" s="175"/>
      <c r="Q820" s="175"/>
      <c r="R820" s="220"/>
      <c r="S820" s="175"/>
      <c r="T820" s="175"/>
      <c r="U820" s="175"/>
      <c r="V820" s="175"/>
      <c r="W820" s="175"/>
      <c r="X820" s="116"/>
    </row>
    <row r="821" spans="1:24" s="112" customFormat="1">
      <c r="A821" s="116"/>
      <c r="B821" s="115"/>
      <c r="C821" s="115"/>
      <c r="D821" s="131"/>
      <c r="E821" s="177"/>
      <c r="F821" s="28"/>
      <c r="G821" s="118"/>
      <c r="H821" s="192"/>
      <c r="I821" s="192"/>
      <c r="J821" s="175"/>
      <c r="K821" s="192"/>
      <c r="L821" s="192"/>
      <c r="M821" s="192"/>
      <c r="N821" s="175"/>
      <c r="O821" s="116"/>
      <c r="P821" s="175"/>
      <c r="Q821" s="175"/>
      <c r="R821" s="220"/>
      <c r="S821" s="175"/>
      <c r="T821" s="175"/>
      <c r="U821" s="175"/>
      <c r="V821" s="175"/>
      <c r="W821" s="175"/>
      <c r="X821" s="116"/>
    </row>
    <row r="822" spans="1:24" s="112" customFormat="1">
      <c r="A822" s="116"/>
      <c r="B822" s="115"/>
      <c r="C822" s="115"/>
      <c r="D822" s="131"/>
      <c r="E822" s="177"/>
      <c r="F822" s="28"/>
      <c r="G822" s="118"/>
      <c r="H822" s="192"/>
      <c r="I822" s="192"/>
      <c r="J822" s="175"/>
      <c r="K822" s="192"/>
      <c r="L822" s="192"/>
      <c r="M822" s="192"/>
      <c r="N822" s="175"/>
      <c r="O822" s="116"/>
      <c r="P822" s="175"/>
      <c r="Q822" s="175"/>
      <c r="R822" s="220"/>
      <c r="S822" s="175"/>
      <c r="T822" s="175"/>
      <c r="U822" s="175"/>
      <c r="V822" s="175"/>
      <c r="W822" s="175"/>
      <c r="X822" s="116"/>
    </row>
    <row r="823" spans="1:24" s="112" customFormat="1">
      <c r="A823" s="116"/>
      <c r="B823" s="115"/>
      <c r="C823" s="115"/>
      <c r="D823" s="131"/>
      <c r="E823" s="177"/>
      <c r="F823" s="28"/>
      <c r="G823" s="118"/>
      <c r="H823" s="192"/>
      <c r="I823" s="192"/>
      <c r="J823" s="175"/>
      <c r="K823" s="192"/>
      <c r="L823" s="192"/>
      <c r="M823" s="192"/>
      <c r="N823" s="175"/>
      <c r="O823" s="116"/>
      <c r="P823" s="175"/>
      <c r="Q823" s="175"/>
      <c r="R823" s="220"/>
      <c r="S823" s="175"/>
      <c r="T823" s="175"/>
      <c r="U823" s="175"/>
      <c r="V823" s="175"/>
      <c r="W823" s="175"/>
      <c r="X823" s="116"/>
    </row>
    <row r="824" spans="1:24" s="112" customFormat="1">
      <c r="A824" s="116"/>
      <c r="B824" s="115"/>
      <c r="C824" s="115"/>
      <c r="D824" s="131"/>
      <c r="E824" s="177"/>
      <c r="F824" s="28"/>
      <c r="G824" s="118"/>
      <c r="H824" s="192"/>
      <c r="I824" s="192"/>
      <c r="J824" s="175"/>
      <c r="K824" s="192"/>
      <c r="L824" s="192"/>
      <c r="M824" s="192"/>
      <c r="N824" s="175"/>
      <c r="O824" s="116"/>
      <c r="P824" s="175"/>
      <c r="Q824" s="175"/>
      <c r="R824" s="220"/>
      <c r="S824" s="175"/>
      <c r="T824" s="175"/>
      <c r="U824" s="175"/>
      <c r="V824" s="175"/>
      <c r="W824" s="175"/>
      <c r="X824" s="116"/>
    </row>
    <row r="825" spans="1:24" s="112" customFormat="1">
      <c r="A825" s="116"/>
      <c r="B825" s="115"/>
      <c r="C825" s="115"/>
      <c r="D825" s="131"/>
      <c r="E825" s="177"/>
      <c r="F825" s="28"/>
      <c r="G825" s="118"/>
      <c r="H825" s="192"/>
      <c r="I825" s="192"/>
      <c r="J825" s="175"/>
      <c r="K825" s="192"/>
      <c r="L825" s="192"/>
      <c r="M825" s="192"/>
      <c r="N825" s="175"/>
      <c r="O825" s="116"/>
      <c r="P825" s="175"/>
      <c r="Q825" s="175"/>
      <c r="R825" s="220"/>
      <c r="S825" s="175"/>
      <c r="T825" s="175"/>
      <c r="U825" s="175"/>
      <c r="V825" s="175"/>
      <c r="W825" s="175"/>
      <c r="X825" s="116"/>
    </row>
    <row r="826" spans="1:24" s="112" customFormat="1">
      <c r="A826" s="116"/>
      <c r="B826" s="115"/>
      <c r="C826" s="115"/>
      <c r="D826" s="131"/>
      <c r="E826" s="177"/>
      <c r="F826" s="28"/>
      <c r="G826" s="118"/>
      <c r="H826" s="192"/>
      <c r="I826" s="192"/>
      <c r="J826" s="175"/>
      <c r="K826" s="192"/>
      <c r="L826" s="192"/>
      <c r="M826" s="192"/>
      <c r="N826" s="175"/>
      <c r="O826" s="116"/>
      <c r="P826" s="175"/>
      <c r="Q826" s="175"/>
      <c r="R826" s="220"/>
      <c r="S826" s="175"/>
      <c r="T826" s="175"/>
      <c r="U826" s="175"/>
      <c r="V826" s="175"/>
      <c r="W826" s="175"/>
      <c r="X826" s="116"/>
    </row>
    <row r="827" spans="1:24" s="112" customFormat="1">
      <c r="A827" s="116"/>
      <c r="B827" s="115"/>
      <c r="C827" s="115"/>
      <c r="D827" s="131"/>
      <c r="E827" s="177"/>
      <c r="F827" s="28"/>
      <c r="G827" s="118"/>
      <c r="H827" s="192"/>
      <c r="I827" s="192"/>
      <c r="J827" s="175"/>
      <c r="K827" s="192"/>
      <c r="L827" s="192"/>
      <c r="M827" s="192"/>
      <c r="N827" s="175"/>
      <c r="O827" s="116"/>
      <c r="P827" s="175"/>
      <c r="Q827" s="175"/>
      <c r="R827" s="220"/>
      <c r="S827" s="175"/>
      <c r="T827" s="175"/>
      <c r="U827" s="175"/>
      <c r="V827" s="175"/>
      <c r="W827" s="175"/>
      <c r="X827" s="116"/>
    </row>
    <row r="828" spans="1:24" s="112" customFormat="1">
      <c r="A828" s="116"/>
      <c r="B828" s="115"/>
      <c r="C828" s="115"/>
      <c r="D828" s="131"/>
      <c r="E828" s="177"/>
      <c r="F828" s="28"/>
      <c r="G828" s="118"/>
      <c r="H828" s="192"/>
      <c r="I828" s="192"/>
      <c r="J828" s="175"/>
      <c r="K828" s="192"/>
      <c r="L828" s="192"/>
      <c r="M828" s="192"/>
      <c r="N828" s="175"/>
      <c r="O828" s="116"/>
      <c r="P828" s="175"/>
      <c r="Q828" s="175"/>
      <c r="R828" s="220"/>
      <c r="S828" s="175"/>
      <c r="T828" s="175"/>
      <c r="U828" s="175"/>
      <c r="V828" s="175"/>
      <c r="W828" s="175"/>
      <c r="X828" s="116"/>
    </row>
    <row r="829" spans="1:24" s="112" customFormat="1">
      <c r="A829" s="116"/>
      <c r="B829" s="115"/>
      <c r="C829" s="115"/>
      <c r="D829" s="131"/>
      <c r="E829" s="177"/>
      <c r="F829" s="28"/>
      <c r="G829" s="118"/>
      <c r="H829" s="192"/>
      <c r="I829" s="192"/>
      <c r="J829" s="175"/>
      <c r="K829" s="192"/>
      <c r="L829" s="192"/>
      <c r="M829" s="192"/>
      <c r="N829" s="175"/>
      <c r="O829" s="116"/>
      <c r="P829" s="175"/>
      <c r="Q829" s="175"/>
      <c r="R829" s="220"/>
      <c r="S829" s="175"/>
      <c r="T829" s="175"/>
      <c r="U829" s="175"/>
      <c r="V829" s="175"/>
      <c r="W829" s="175"/>
      <c r="X829" s="116"/>
    </row>
    <row r="830" spans="1:24" s="112" customFormat="1">
      <c r="A830" s="116"/>
      <c r="B830" s="115"/>
      <c r="C830" s="115"/>
      <c r="D830" s="131"/>
      <c r="E830" s="177"/>
      <c r="F830" s="28"/>
      <c r="G830" s="118"/>
      <c r="H830" s="192"/>
      <c r="I830" s="192"/>
      <c r="J830" s="175"/>
      <c r="K830" s="192"/>
      <c r="L830" s="192"/>
      <c r="M830" s="192"/>
      <c r="N830" s="175"/>
      <c r="O830" s="116"/>
      <c r="P830" s="175"/>
      <c r="Q830" s="175"/>
      <c r="R830" s="220"/>
      <c r="S830" s="175"/>
      <c r="T830" s="175"/>
      <c r="U830" s="175"/>
      <c r="V830" s="175"/>
      <c r="W830" s="175"/>
      <c r="X830" s="116"/>
    </row>
    <row r="831" spans="1:24" s="112" customFormat="1">
      <c r="A831" s="116"/>
      <c r="B831" s="115"/>
      <c r="C831" s="115"/>
      <c r="D831" s="131"/>
      <c r="E831" s="177"/>
      <c r="F831" s="28"/>
      <c r="G831" s="118"/>
      <c r="H831" s="192"/>
      <c r="I831" s="192"/>
      <c r="J831" s="175"/>
      <c r="K831" s="192"/>
      <c r="L831" s="192"/>
      <c r="M831" s="192"/>
      <c r="N831" s="175"/>
      <c r="O831" s="116"/>
      <c r="P831" s="175"/>
      <c r="Q831" s="175"/>
      <c r="R831" s="220"/>
      <c r="S831" s="175"/>
      <c r="T831" s="175"/>
      <c r="U831" s="175"/>
      <c r="V831" s="175"/>
      <c r="W831" s="175"/>
      <c r="X831" s="116"/>
    </row>
    <row r="832" spans="1:24" s="112" customFormat="1">
      <c r="A832" s="116"/>
      <c r="B832" s="115"/>
      <c r="C832" s="115"/>
      <c r="D832" s="131"/>
      <c r="E832" s="177"/>
      <c r="F832" s="28"/>
      <c r="G832" s="118"/>
      <c r="H832" s="192"/>
      <c r="I832" s="192"/>
      <c r="J832" s="175"/>
      <c r="K832" s="192"/>
      <c r="L832" s="192"/>
      <c r="M832" s="192"/>
      <c r="N832" s="175"/>
      <c r="O832" s="116"/>
      <c r="P832" s="175"/>
      <c r="Q832" s="175"/>
      <c r="R832" s="220"/>
      <c r="S832" s="175"/>
      <c r="T832" s="175"/>
      <c r="U832" s="175"/>
      <c r="V832" s="175"/>
      <c r="W832" s="175"/>
      <c r="X832" s="116"/>
    </row>
    <row r="833" spans="1:24" s="112" customFormat="1">
      <c r="A833" s="116"/>
      <c r="B833" s="115"/>
      <c r="C833" s="115"/>
      <c r="D833" s="131"/>
      <c r="E833" s="177"/>
      <c r="F833" s="28"/>
      <c r="G833" s="118"/>
      <c r="H833" s="192"/>
      <c r="I833" s="192"/>
      <c r="J833" s="175"/>
      <c r="K833" s="192"/>
      <c r="L833" s="192"/>
      <c r="M833" s="192"/>
      <c r="N833" s="175"/>
      <c r="O833" s="116"/>
      <c r="P833" s="175"/>
      <c r="Q833" s="175"/>
      <c r="R833" s="220"/>
      <c r="S833" s="175"/>
      <c r="T833" s="175"/>
      <c r="U833" s="175"/>
      <c r="V833" s="175"/>
      <c r="W833" s="175"/>
      <c r="X833" s="116"/>
    </row>
    <row r="834" spans="1:24" s="112" customFormat="1">
      <c r="A834" s="116"/>
      <c r="B834" s="115"/>
      <c r="C834" s="115"/>
      <c r="D834" s="131"/>
      <c r="E834" s="177"/>
      <c r="F834" s="28"/>
      <c r="G834" s="118"/>
      <c r="H834" s="192"/>
      <c r="I834" s="192"/>
      <c r="J834" s="175"/>
      <c r="K834" s="192"/>
      <c r="L834" s="192"/>
      <c r="M834" s="192"/>
      <c r="N834" s="175"/>
      <c r="O834" s="116"/>
      <c r="P834" s="175"/>
      <c r="Q834" s="175"/>
      <c r="R834" s="220"/>
      <c r="S834" s="175"/>
      <c r="T834" s="175"/>
      <c r="U834" s="175"/>
      <c r="V834" s="175"/>
      <c r="W834" s="175"/>
      <c r="X834" s="116"/>
    </row>
    <row r="835" spans="1:24" s="112" customFormat="1">
      <c r="A835" s="116"/>
      <c r="B835" s="115"/>
      <c r="C835" s="115"/>
      <c r="D835" s="131"/>
      <c r="E835" s="177"/>
      <c r="F835" s="28"/>
      <c r="G835" s="118"/>
      <c r="H835" s="192"/>
      <c r="I835" s="192"/>
      <c r="J835" s="175"/>
      <c r="K835" s="192"/>
      <c r="L835" s="192"/>
      <c r="M835" s="192"/>
      <c r="N835" s="175"/>
      <c r="O835" s="116"/>
      <c r="P835" s="175"/>
      <c r="Q835" s="175"/>
      <c r="R835" s="220"/>
      <c r="S835" s="175"/>
      <c r="T835" s="175"/>
      <c r="U835" s="175"/>
      <c r="V835" s="175"/>
      <c r="W835" s="175"/>
      <c r="X835" s="116"/>
    </row>
    <row r="836" spans="1:24" s="112" customFormat="1">
      <c r="A836" s="116"/>
      <c r="B836" s="115"/>
      <c r="C836" s="115"/>
      <c r="D836" s="131"/>
      <c r="E836" s="177"/>
      <c r="F836" s="28"/>
      <c r="G836" s="118"/>
      <c r="H836" s="192"/>
      <c r="I836" s="192"/>
      <c r="J836" s="175"/>
      <c r="K836" s="192"/>
      <c r="L836" s="192"/>
      <c r="M836" s="192"/>
      <c r="N836" s="175"/>
      <c r="O836" s="116"/>
      <c r="P836" s="175"/>
      <c r="Q836" s="175"/>
      <c r="R836" s="220"/>
      <c r="S836" s="175"/>
      <c r="T836" s="175"/>
      <c r="U836" s="175"/>
      <c r="V836" s="175"/>
      <c r="W836" s="175"/>
      <c r="X836" s="116"/>
    </row>
    <row r="837" spans="1:24" s="112" customFormat="1">
      <c r="A837" s="116"/>
      <c r="B837" s="115"/>
      <c r="C837" s="115"/>
      <c r="D837" s="131"/>
      <c r="E837" s="177"/>
      <c r="F837" s="28"/>
      <c r="G837" s="118"/>
      <c r="H837" s="192"/>
      <c r="I837" s="192"/>
      <c r="J837" s="175"/>
      <c r="K837" s="192"/>
      <c r="L837" s="192"/>
      <c r="M837" s="192"/>
      <c r="N837" s="175"/>
      <c r="O837" s="116"/>
      <c r="P837" s="175"/>
      <c r="Q837" s="175"/>
      <c r="R837" s="220"/>
      <c r="S837" s="175"/>
      <c r="T837" s="175"/>
      <c r="U837" s="175"/>
      <c r="V837" s="175"/>
      <c r="W837" s="175"/>
      <c r="X837" s="116"/>
    </row>
    <row r="838" spans="1:24" s="112" customFormat="1">
      <c r="A838" s="116"/>
      <c r="B838" s="115"/>
      <c r="C838" s="115"/>
      <c r="D838" s="131"/>
      <c r="E838" s="177"/>
      <c r="F838" s="28"/>
      <c r="G838" s="118"/>
      <c r="H838" s="192"/>
      <c r="I838" s="192"/>
      <c r="J838" s="175"/>
      <c r="K838" s="192"/>
      <c r="L838" s="192"/>
      <c r="M838" s="192"/>
      <c r="N838" s="175"/>
      <c r="O838" s="116"/>
      <c r="P838" s="175"/>
      <c r="Q838" s="175"/>
      <c r="R838" s="220"/>
      <c r="S838" s="175"/>
      <c r="T838" s="175"/>
      <c r="U838" s="175"/>
      <c r="V838" s="175"/>
      <c r="W838" s="175"/>
      <c r="X838" s="116"/>
    </row>
    <row r="839" spans="1:24" s="112" customFormat="1">
      <c r="A839" s="116"/>
      <c r="B839" s="115"/>
      <c r="C839" s="115"/>
      <c r="D839" s="131"/>
      <c r="E839" s="177"/>
      <c r="F839" s="28"/>
      <c r="G839" s="118"/>
      <c r="H839" s="192"/>
      <c r="I839" s="192"/>
      <c r="J839" s="175"/>
      <c r="K839" s="192"/>
      <c r="L839" s="192"/>
      <c r="M839" s="192"/>
      <c r="N839" s="175"/>
      <c r="O839" s="116"/>
      <c r="P839" s="175"/>
      <c r="Q839" s="175"/>
      <c r="R839" s="220"/>
      <c r="S839" s="175"/>
      <c r="T839" s="175"/>
      <c r="U839" s="175"/>
      <c r="V839" s="175"/>
      <c r="W839" s="175"/>
      <c r="X839" s="116"/>
    </row>
    <row r="840" spans="1:24" s="112" customFormat="1">
      <c r="A840" s="116"/>
      <c r="B840" s="115"/>
      <c r="C840" s="115"/>
      <c r="D840" s="131"/>
      <c r="E840" s="177"/>
      <c r="F840" s="28"/>
      <c r="G840" s="118"/>
      <c r="H840" s="192"/>
      <c r="I840" s="192"/>
      <c r="J840" s="175"/>
      <c r="K840" s="192"/>
      <c r="L840" s="192"/>
      <c r="M840" s="192"/>
      <c r="N840" s="175"/>
      <c r="O840" s="116"/>
      <c r="P840" s="175"/>
      <c r="Q840" s="175"/>
      <c r="R840" s="220"/>
      <c r="S840" s="175"/>
      <c r="T840" s="175"/>
      <c r="U840" s="175"/>
      <c r="V840" s="175"/>
      <c r="W840" s="175"/>
      <c r="X840" s="116"/>
    </row>
    <row r="841" spans="1:24" s="112" customFormat="1">
      <c r="A841" s="116"/>
      <c r="B841" s="115"/>
      <c r="C841" s="115"/>
      <c r="D841" s="131"/>
      <c r="E841" s="177"/>
      <c r="F841" s="28"/>
      <c r="G841" s="118"/>
      <c r="H841" s="192"/>
      <c r="I841" s="192"/>
      <c r="J841" s="175"/>
      <c r="K841" s="192"/>
      <c r="L841" s="192"/>
      <c r="M841" s="192"/>
      <c r="N841" s="175"/>
      <c r="O841" s="116"/>
      <c r="P841" s="175"/>
      <c r="Q841" s="175"/>
      <c r="R841" s="220"/>
      <c r="S841" s="175"/>
      <c r="T841" s="175"/>
      <c r="U841" s="175"/>
      <c r="V841" s="175"/>
      <c r="W841" s="175"/>
      <c r="X841" s="116"/>
    </row>
    <row r="842" spans="1:24" s="112" customFormat="1">
      <c r="A842" s="116"/>
      <c r="B842" s="115"/>
      <c r="C842" s="115"/>
      <c r="D842" s="131"/>
      <c r="E842" s="177"/>
      <c r="F842" s="28"/>
      <c r="G842" s="118"/>
      <c r="H842" s="192"/>
      <c r="I842" s="192"/>
      <c r="J842" s="175"/>
      <c r="K842" s="192"/>
      <c r="L842" s="192"/>
      <c r="M842" s="192"/>
      <c r="N842" s="175"/>
      <c r="O842" s="116"/>
      <c r="P842" s="175"/>
      <c r="Q842" s="175"/>
      <c r="R842" s="220"/>
      <c r="S842" s="175"/>
      <c r="T842" s="175"/>
      <c r="U842" s="175"/>
      <c r="V842" s="175"/>
      <c r="W842" s="175"/>
      <c r="X842" s="116"/>
    </row>
    <row r="843" spans="1:24" s="112" customFormat="1">
      <c r="A843" s="116"/>
      <c r="B843" s="115"/>
      <c r="C843" s="115"/>
      <c r="D843" s="131"/>
      <c r="E843" s="177"/>
      <c r="F843" s="28"/>
      <c r="G843" s="118"/>
      <c r="H843" s="192"/>
      <c r="I843" s="192"/>
      <c r="J843" s="175"/>
      <c r="K843" s="192"/>
      <c r="L843" s="192"/>
      <c r="M843" s="192"/>
      <c r="N843" s="175"/>
      <c r="O843" s="116"/>
      <c r="P843" s="175"/>
      <c r="Q843" s="175"/>
      <c r="R843" s="220"/>
      <c r="S843" s="175"/>
      <c r="T843" s="175"/>
      <c r="U843" s="175"/>
      <c r="V843" s="175"/>
      <c r="W843" s="175"/>
      <c r="X843" s="116"/>
    </row>
    <row r="844" spans="1:24" s="112" customFormat="1">
      <c r="A844" s="116"/>
      <c r="B844" s="115"/>
      <c r="C844" s="115"/>
      <c r="D844" s="131"/>
      <c r="E844" s="177"/>
      <c r="F844" s="28"/>
      <c r="G844" s="118"/>
      <c r="H844" s="192"/>
      <c r="I844" s="192"/>
      <c r="J844" s="175"/>
      <c r="K844" s="192"/>
      <c r="L844" s="192"/>
      <c r="M844" s="192"/>
      <c r="N844" s="175"/>
      <c r="O844" s="116"/>
      <c r="P844" s="175"/>
      <c r="Q844" s="175"/>
      <c r="R844" s="220"/>
      <c r="S844" s="175"/>
      <c r="T844" s="175"/>
      <c r="U844" s="175"/>
      <c r="V844" s="175"/>
      <c r="W844" s="175"/>
      <c r="X844" s="116"/>
    </row>
    <row r="845" spans="1:24" s="112" customFormat="1">
      <c r="A845" s="116"/>
      <c r="B845" s="115"/>
      <c r="C845" s="115"/>
      <c r="D845" s="131"/>
      <c r="E845" s="177"/>
      <c r="F845" s="28"/>
      <c r="G845" s="118"/>
      <c r="H845" s="192"/>
      <c r="I845" s="192"/>
      <c r="J845" s="175"/>
      <c r="K845" s="192"/>
      <c r="L845" s="192"/>
      <c r="M845" s="192"/>
      <c r="N845" s="175"/>
      <c r="O845" s="116"/>
      <c r="P845" s="175"/>
      <c r="Q845" s="175"/>
      <c r="R845" s="220"/>
      <c r="S845" s="175"/>
      <c r="T845" s="175"/>
      <c r="U845" s="175"/>
      <c r="V845" s="175"/>
      <c r="W845" s="175"/>
      <c r="X845" s="116"/>
    </row>
    <row r="846" spans="1:24" s="112" customFormat="1">
      <c r="A846" s="116"/>
      <c r="B846" s="115"/>
      <c r="C846" s="115"/>
      <c r="D846" s="131"/>
      <c r="E846" s="177"/>
      <c r="F846" s="28"/>
      <c r="G846" s="118"/>
      <c r="H846" s="192"/>
      <c r="I846" s="192"/>
      <c r="J846" s="175"/>
      <c r="K846" s="192"/>
      <c r="L846" s="192"/>
      <c r="M846" s="192"/>
      <c r="N846" s="175"/>
      <c r="O846" s="116"/>
      <c r="P846" s="175"/>
      <c r="Q846" s="175"/>
      <c r="R846" s="220"/>
      <c r="S846" s="175"/>
      <c r="T846" s="175"/>
      <c r="U846" s="175"/>
      <c r="V846" s="175"/>
      <c r="W846" s="175"/>
      <c r="X846" s="116"/>
    </row>
    <row r="847" spans="1:24" s="112" customFormat="1">
      <c r="A847" s="116"/>
      <c r="B847" s="115"/>
      <c r="C847" s="115"/>
      <c r="D847" s="131"/>
      <c r="E847" s="177"/>
      <c r="F847" s="28"/>
      <c r="G847" s="118"/>
      <c r="H847" s="192"/>
      <c r="I847" s="192"/>
      <c r="J847" s="175"/>
      <c r="K847" s="192"/>
      <c r="L847" s="192"/>
      <c r="M847" s="192"/>
      <c r="N847" s="175"/>
      <c r="O847" s="116"/>
      <c r="P847" s="175"/>
      <c r="Q847" s="175"/>
      <c r="R847" s="220"/>
      <c r="S847" s="175"/>
      <c r="T847" s="175"/>
      <c r="U847" s="175"/>
      <c r="V847" s="175"/>
      <c r="W847" s="175"/>
      <c r="X847" s="116"/>
    </row>
    <row r="848" spans="1:24" s="112" customFormat="1">
      <c r="A848" s="116"/>
      <c r="B848" s="115"/>
      <c r="C848" s="115"/>
      <c r="D848" s="131"/>
      <c r="E848" s="177"/>
      <c r="F848" s="28"/>
      <c r="G848" s="118"/>
      <c r="H848" s="192"/>
      <c r="I848" s="192"/>
      <c r="J848" s="175"/>
      <c r="K848" s="192"/>
      <c r="L848" s="192"/>
      <c r="M848" s="192"/>
      <c r="N848" s="175"/>
      <c r="O848" s="116"/>
      <c r="P848" s="175"/>
      <c r="Q848" s="175"/>
      <c r="R848" s="220"/>
      <c r="S848" s="175"/>
      <c r="T848" s="175"/>
      <c r="U848" s="175"/>
      <c r="V848" s="175"/>
      <c r="W848" s="175"/>
      <c r="X848" s="116"/>
    </row>
    <row r="849" spans="1:24" s="112" customFormat="1">
      <c r="A849" s="116"/>
      <c r="B849" s="115"/>
      <c r="C849" s="115"/>
      <c r="D849" s="131"/>
      <c r="E849" s="177"/>
      <c r="F849" s="28"/>
      <c r="G849" s="118"/>
      <c r="H849" s="192"/>
      <c r="I849" s="192"/>
      <c r="J849" s="175"/>
      <c r="K849" s="192"/>
      <c r="L849" s="192"/>
      <c r="M849" s="192"/>
      <c r="N849" s="175"/>
      <c r="O849" s="116"/>
      <c r="P849" s="175"/>
      <c r="Q849" s="175"/>
      <c r="R849" s="220"/>
      <c r="S849" s="175"/>
      <c r="T849" s="175"/>
      <c r="U849" s="175"/>
      <c r="V849" s="175"/>
      <c r="W849" s="175"/>
      <c r="X849" s="116"/>
    </row>
    <row r="850" spans="1:24" s="112" customFormat="1">
      <c r="A850" s="116"/>
      <c r="B850" s="115"/>
      <c r="C850" s="115"/>
      <c r="D850" s="131"/>
      <c r="E850" s="177"/>
      <c r="F850" s="28"/>
      <c r="G850" s="118"/>
      <c r="H850" s="192"/>
      <c r="I850" s="192"/>
      <c r="J850" s="175"/>
      <c r="K850" s="192"/>
      <c r="L850" s="192"/>
      <c r="M850" s="192"/>
      <c r="N850" s="175"/>
      <c r="O850" s="116"/>
      <c r="P850" s="175"/>
      <c r="Q850" s="175"/>
      <c r="R850" s="220"/>
      <c r="S850" s="175"/>
      <c r="T850" s="175"/>
      <c r="U850" s="175"/>
      <c r="V850" s="175"/>
      <c r="W850" s="175"/>
      <c r="X850" s="116"/>
    </row>
    <row r="851" spans="1:24" s="112" customFormat="1">
      <c r="A851" s="116"/>
      <c r="B851" s="115"/>
      <c r="C851" s="115"/>
      <c r="D851" s="131"/>
      <c r="E851" s="177"/>
      <c r="F851" s="28"/>
      <c r="G851" s="118"/>
      <c r="H851" s="192"/>
      <c r="I851" s="192"/>
      <c r="J851" s="175"/>
      <c r="K851" s="192"/>
      <c r="L851" s="192"/>
      <c r="M851" s="192"/>
      <c r="N851" s="175"/>
      <c r="O851" s="116"/>
      <c r="P851" s="175"/>
      <c r="Q851" s="175"/>
      <c r="R851" s="220"/>
      <c r="S851" s="175"/>
      <c r="T851" s="175"/>
      <c r="U851" s="175"/>
      <c r="V851" s="175"/>
      <c r="W851" s="175"/>
      <c r="X851" s="116"/>
    </row>
    <row r="852" spans="1:24" s="112" customFormat="1">
      <c r="A852" s="116"/>
      <c r="B852" s="115"/>
      <c r="C852" s="115"/>
      <c r="D852" s="131"/>
      <c r="E852" s="177"/>
      <c r="F852" s="28"/>
      <c r="G852" s="118"/>
      <c r="H852" s="192"/>
      <c r="I852" s="192"/>
      <c r="J852" s="175"/>
      <c r="K852" s="192"/>
      <c r="L852" s="192"/>
      <c r="M852" s="192"/>
      <c r="N852" s="175"/>
      <c r="O852" s="116"/>
      <c r="P852" s="175"/>
      <c r="Q852" s="175"/>
      <c r="R852" s="220"/>
      <c r="S852" s="175"/>
      <c r="T852" s="175"/>
      <c r="U852" s="175"/>
      <c r="V852" s="175"/>
      <c r="W852" s="175"/>
      <c r="X852" s="116"/>
    </row>
    <row r="853" spans="1:24" s="112" customFormat="1">
      <c r="A853" s="116"/>
      <c r="B853" s="115"/>
      <c r="C853" s="115"/>
      <c r="D853" s="131"/>
      <c r="E853" s="177"/>
      <c r="F853" s="28"/>
      <c r="G853" s="118"/>
      <c r="H853" s="192"/>
      <c r="I853" s="192"/>
      <c r="J853" s="175"/>
      <c r="K853" s="192"/>
      <c r="L853" s="192"/>
      <c r="M853" s="192"/>
      <c r="N853" s="175"/>
      <c r="O853" s="116"/>
      <c r="P853" s="175"/>
      <c r="Q853" s="175"/>
      <c r="R853" s="220"/>
      <c r="S853" s="175"/>
      <c r="T853" s="175"/>
      <c r="U853" s="175"/>
      <c r="V853" s="175"/>
      <c r="W853" s="175"/>
      <c r="X853" s="116"/>
    </row>
    <row r="854" spans="1:24" s="112" customFormat="1">
      <c r="A854" s="116"/>
      <c r="B854" s="115"/>
      <c r="C854" s="115"/>
      <c r="D854" s="131"/>
      <c r="E854" s="177"/>
      <c r="F854" s="28"/>
      <c r="G854" s="118"/>
      <c r="H854" s="192"/>
      <c r="I854" s="192"/>
      <c r="J854" s="175"/>
      <c r="K854" s="192"/>
      <c r="L854" s="192"/>
      <c r="M854" s="192"/>
      <c r="N854" s="175"/>
      <c r="O854" s="116"/>
      <c r="P854" s="175"/>
      <c r="Q854" s="175"/>
      <c r="R854" s="220"/>
      <c r="S854" s="175"/>
      <c r="T854" s="175"/>
      <c r="U854" s="175"/>
      <c r="V854" s="175"/>
      <c r="W854" s="175"/>
      <c r="X854" s="116"/>
    </row>
    <row r="855" spans="1:24" s="112" customFormat="1">
      <c r="A855" s="116"/>
      <c r="B855" s="115"/>
      <c r="C855" s="115"/>
      <c r="D855" s="131"/>
      <c r="E855" s="177"/>
      <c r="F855" s="28"/>
      <c r="G855" s="118"/>
      <c r="H855" s="192"/>
      <c r="I855" s="192"/>
      <c r="J855" s="175"/>
      <c r="K855" s="192"/>
      <c r="L855" s="192"/>
      <c r="M855" s="192"/>
      <c r="N855" s="175"/>
      <c r="O855" s="116"/>
      <c r="P855" s="175"/>
      <c r="Q855" s="175"/>
      <c r="R855" s="220"/>
      <c r="S855" s="175"/>
      <c r="T855" s="175"/>
      <c r="U855" s="175"/>
      <c r="V855" s="175"/>
      <c r="W855" s="175"/>
      <c r="X855" s="116"/>
    </row>
    <row r="856" spans="1:24" s="112" customFormat="1">
      <c r="A856" s="116"/>
      <c r="B856" s="115"/>
      <c r="C856" s="115"/>
      <c r="D856" s="131"/>
      <c r="E856" s="177"/>
      <c r="F856" s="28"/>
      <c r="G856" s="118"/>
      <c r="H856" s="192"/>
      <c r="I856" s="192"/>
      <c r="J856" s="175"/>
      <c r="K856" s="192"/>
      <c r="L856" s="192"/>
      <c r="M856" s="192"/>
      <c r="N856" s="175"/>
      <c r="O856" s="116"/>
      <c r="P856" s="175"/>
      <c r="Q856" s="175"/>
      <c r="R856" s="220"/>
      <c r="S856" s="175"/>
      <c r="T856" s="175"/>
      <c r="U856" s="175"/>
      <c r="V856" s="175"/>
      <c r="W856" s="175"/>
      <c r="X856" s="116"/>
    </row>
    <row r="857" spans="1:24" s="112" customFormat="1">
      <c r="A857" s="116"/>
      <c r="B857" s="115"/>
      <c r="C857" s="115"/>
      <c r="D857" s="131"/>
      <c r="E857" s="177"/>
      <c r="F857" s="28"/>
      <c r="G857" s="118"/>
      <c r="H857" s="192"/>
      <c r="I857" s="192"/>
      <c r="J857" s="175"/>
      <c r="K857" s="192"/>
      <c r="L857" s="192"/>
      <c r="M857" s="192"/>
      <c r="N857" s="175"/>
      <c r="O857" s="116"/>
      <c r="P857" s="175"/>
      <c r="Q857" s="175"/>
      <c r="R857" s="220"/>
      <c r="S857" s="175"/>
      <c r="T857" s="175"/>
      <c r="U857" s="175"/>
      <c r="V857" s="175"/>
      <c r="W857" s="175"/>
      <c r="X857" s="116"/>
    </row>
    <row r="858" spans="1:24" s="112" customFormat="1">
      <c r="A858" s="116"/>
      <c r="B858" s="115"/>
      <c r="C858" s="115"/>
      <c r="D858" s="131"/>
      <c r="E858" s="177"/>
      <c r="F858" s="28"/>
      <c r="G858" s="118"/>
      <c r="H858" s="192"/>
      <c r="I858" s="192"/>
      <c r="J858" s="175"/>
      <c r="K858" s="192"/>
      <c r="L858" s="192"/>
      <c r="M858" s="192"/>
      <c r="N858" s="175"/>
      <c r="O858" s="116"/>
      <c r="P858" s="175"/>
      <c r="Q858" s="175"/>
      <c r="R858" s="220"/>
      <c r="S858" s="175"/>
      <c r="T858" s="175"/>
      <c r="U858" s="175"/>
      <c r="V858" s="175"/>
      <c r="W858" s="175"/>
      <c r="X858" s="116"/>
    </row>
    <row r="859" spans="1:24" s="112" customFormat="1">
      <c r="A859" s="116"/>
      <c r="B859" s="115"/>
      <c r="C859" s="115"/>
      <c r="D859" s="131"/>
      <c r="E859" s="177"/>
      <c r="F859" s="28"/>
      <c r="G859" s="118"/>
      <c r="H859" s="192"/>
      <c r="I859" s="192"/>
      <c r="J859" s="175"/>
      <c r="K859" s="192"/>
      <c r="L859" s="192"/>
      <c r="M859" s="192"/>
      <c r="N859" s="175"/>
      <c r="O859" s="116"/>
      <c r="P859" s="175"/>
      <c r="Q859" s="175"/>
      <c r="R859" s="220"/>
      <c r="S859" s="175"/>
      <c r="T859" s="175"/>
      <c r="U859" s="175"/>
      <c r="V859" s="175"/>
      <c r="W859" s="175"/>
      <c r="X859" s="116"/>
    </row>
    <row r="860" spans="1:24" s="112" customFormat="1">
      <c r="A860" s="116"/>
      <c r="B860" s="115"/>
      <c r="C860" s="115"/>
      <c r="D860" s="131"/>
      <c r="E860" s="177"/>
      <c r="F860" s="28"/>
      <c r="G860" s="118"/>
      <c r="H860" s="192"/>
      <c r="I860" s="192"/>
      <c r="J860" s="175"/>
      <c r="K860" s="192"/>
      <c r="L860" s="192"/>
      <c r="M860" s="192"/>
      <c r="N860" s="175"/>
      <c r="O860" s="116"/>
      <c r="P860" s="175"/>
      <c r="Q860" s="175"/>
      <c r="R860" s="220"/>
      <c r="S860" s="175"/>
      <c r="T860" s="175"/>
      <c r="U860" s="175"/>
      <c r="V860" s="175"/>
      <c r="W860" s="175"/>
      <c r="X860" s="116"/>
    </row>
    <row r="861" spans="1:24" s="112" customFormat="1">
      <c r="A861" s="116"/>
      <c r="B861" s="115"/>
      <c r="C861" s="115"/>
      <c r="D861" s="131"/>
      <c r="E861" s="177"/>
      <c r="F861" s="28"/>
      <c r="G861" s="118"/>
      <c r="H861" s="192"/>
      <c r="I861" s="192"/>
      <c r="J861" s="175"/>
      <c r="K861" s="192"/>
      <c r="L861" s="192"/>
      <c r="M861" s="192"/>
      <c r="N861" s="175"/>
      <c r="O861" s="116"/>
      <c r="P861" s="175"/>
      <c r="Q861" s="175"/>
      <c r="R861" s="220"/>
      <c r="S861" s="175"/>
      <c r="T861" s="175"/>
      <c r="U861" s="175"/>
      <c r="V861" s="175"/>
      <c r="W861" s="175"/>
      <c r="X861" s="116"/>
    </row>
    <row r="862" spans="1:24" s="112" customFormat="1">
      <c r="A862" s="116"/>
      <c r="B862" s="115"/>
      <c r="C862" s="115"/>
      <c r="D862" s="131"/>
      <c r="E862" s="177"/>
      <c r="F862" s="28"/>
      <c r="G862" s="118"/>
      <c r="H862" s="192"/>
      <c r="I862" s="192"/>
      <c r="J862" s="175"/>
      <c r="K862" s="192"/>
      <c r="L862" s="192"/>
      <c r="M862" s="192"/>
      <c r="N862" s="175"/>
      <c r="O862" s="116"/>
      <c r="P862" s="175"/>
      <c r="Q862" s="175"/>
      <c r="R862" s="220"/>
      <c r="S862" s="175"/>
      <c r="T862" s="175"/>
      <c r="U862" s="175"/>
      <c r="V862" s="175"/>
      <c r="W862" s="175"/>
      <c r="X862" s="116"/>
    </row>
    <row r="863" spans="1:24" s="112" customFormat="1">
      <c r="A863" s="116"/>
      <c r="B863" s="115"/>
      <c r="C863" s="115"/>
      <c r="D863" s="131"/>
      <c r="E863" s="177"/>
      <c r="F863" s="28"/>
      <c r="G863" s="118"/>
      <c r="H863" s="192"/>
      <c r="I863" s="192"/>
      <c r="J863" s="175"/>
      <c r="K863" s="192"/>
      <c r="L863" s="192"/>
      <c r="M863" s="192"/>
      <c r="N863" s="175"/>
      <c r="O863" s="116"/>
      <c r="P863" s="175"/>
      <c r="Q863" s="175"/>
      <c r="R863" s="220"/>
      <c r="S863" s="175"/>
      <c r="T863" s="175"/>
      <c r="U863" s="175"/>
      <c r="V863" s="175"/>
      <c r="W863" s="175"/>
      <c r="X863" s="116"/>
    </row>
    <row r="864" spans="1:24" s="112" customFormat="1">
      <c r="A864" s="116"/>
      <c r="B864" s="115"/>
      <c r="C864" s="115"/>
      <c r="D864" s="131"/>
      <c r="E864" s="177"/>
      <c r="F864" s="28"/>
      <c r="G864" s="118"/>
      <c r="H864" s="192"/>
      <c r="I864" s="192"/>
      <c r="J864" s="175"/>
      <c r="K864" s="192"/>
      <c r="L864" s="192"/>
      <c r="M864" s="192"/>
      <c r="N864" s="175"/>
      <c r="O864" s="116"/>
      <c r="P864" s="175"/>
      <c r="Q864" s="175"/>
      <c r="R864" s="220"/>
      <c r="S864" s="175"/>
      <c r="T864" s="175"/>
      <c r="U864" s="175"/>
      <c r="V864" s="175"/>
      <c r="W864" s="175"/>
      <c r="X864" s="116"/>
    </row>
    <row r="865" spans="1:24" s="112" customFormat="1">
      <c r="A865" s="116"/>
      <c r="B865" s="115"/>
      <c r="C865" s="115"/>
      <c r="D865" s="131"/>
      <c r="E865" s="177"/>
      <c r="F865" s="28"/>
      <c r="G865" s="118"/>
      <c r="H865" s="192"/>
      <c r="I865" s="192"/>
      <c r="J865" s="175"/>
      <c r="K865" s="192"/>
      <c r="L865" s="192"/>
      <c r="M865" s="192"/>
      <c r="N865" s="175"/>
      <c r="O865" s="116"/>
      <c r="P865" s="175"/>
      <c r="Q865" s="175"/>
      <c r="R865" s="220"/>
      <c r="S865" s="175"/>
      <c r="T865" s="175"/>
      <c r="U865" s="175"/>
      <c r="V865" s="175"/>
      <c r="W865" s="175"/>
      <c r="X865" s="116"/>
    </row>
    <row r="866" spans="1:24" s="112" customFormat="1">
      <c r="A866" s="116"/>
      <c r="B866" s="115"/>
      <c r="C866" s="115"/>
      <c r="D866" s="131"/>
      <c r="E866" s="177"/>
      <c r="F866" s="28"/>
      <c r="G866" s="118"/>
      <c r="H866" s="192"/>
      <c r="I866" s="192"/>
      <c r="J866" s="175"/>
      <c r="K866" s="192"/>
      <c r="L866" s="192"/>
      <c r="M866" s="192"/>
      <c r="N866" s="175"/>
      <c r="O866" s="116"/>
      <c r="P866" s="175"/>
      <c r="Q866" s="175"/>
      <c r="R866" s="220"/>
      <c r="S866" s="175"/>
      <c r="T866" s="175"/>
      <c r="U866" s="175"/>
      <c r="V866" s="175"/>
      <c r="W866" s="175"/>
      <c r="X866" s="116"/>
    </row>
    <row r="867" spans="1:24" s="112" customFormat="1">
      <c r="A867" s="116"/>
      <c r="B867" s="115"/>
      <c r="C867" s="115"/>
      <c r="D867" s="131"/>
      <c r="E867" s="177"/>
      <c r="F867" s="28"/>
      <c r="G867" s="118"/>
      <c r="H867" s="192"/>
      <c r="I867" s="192"/>
      <c r="J867" s="175"/>
      <c r="K867" s="192"/>
      <c r="L867" s="192"/>
      <c r="M867" s="192"/>
      <c r="N867" s="175"/>
      <c r="O867" s="116"/>
      <c r="P867" s="175"/>
      <c r="Q867" s="175"/>
      <c r="R867" s="220"/>
      <c r="S867" s="175"/>
      <c r="T867" s="175"/>
      <c r="U867" s="175"/>
      <c r="V867" s="175"/>
      <c r="W867" s="175"/>
      <c r="X867" s="116"/>
    </row>
    <row r="868" spans="1:24" s="112" customFormat="1">
      <c r="A868" s="116"/>
      <c r="B868" s="115"/>
      <c r="C868" s="115"/>
      <c r="D868" s="131"/>
      <c r="E868" s="177"/>
      <c r="F868" s="28"/>
      <c r="G868" s="118"/>
      <c r="H868" s="192"/>
      <c r="I868" s="192"/>
      <c r="J868" s="175"/>
      <c r="K868" s="192"/>
      <c r="L868" s="192"/>
      <c r="M868" s="192"/>
      <c r="N868" s="175"/>
      <c r="O868" s="116"/>
      <c r="P868" s="175"/>
      <c r="Q868" s="175"/>
      <c r="R868" s="220"/>
      <c r="S868" s="175"/>
      <c r="T868" s="175"/>
      <c r="U868" s="175"/>
      <c r="V868" s="175"/>
      <c r="W868" s="175"/>
      <c r="X868" s="116"/>
    </row>
    <row r="869" spans="1:24" s="112" customFormat="1">
      <c r="A869" s="116"/>
      <c r="B869" s="115"/>
      <c r="C869" s="115"/>
      <c r="D869" s="131"/>
      <c r="E869" s="177"/>
      <c r="F869" s="28"/>
      <c r="G869" s="118"/>
      <c r="H869" s="192"/>
      <c r="I869" s="192"/>
      <c r="J869" s="175"/>
      <c r="K869" s="192"/>
      <c r="L869" s="192"/>
      <c r="M869" s="192"/>
      <c r="N869" s="175"/>
      <c r="O869" s="116"/>
      <c r="P869" s="175"/>
      <c r="Q869" s="175"/>
      <c r="R869" s="220"/>
      <c r="S869" s="175"/>
      <c r="T869" s="175"/>
      <c r="U869" s="175"/>
      <c r="V869" s="175"/>
      <c r="W869" s="175"/>
      <c r="X869" s="116"/>
    </row>
    <row r="870" spans="1:24" s="112" customFormat="1">
      <c r="A870" s="116"/>
      <c r="B870" s="115"/>
      <c r="C870" s="115"/>
      <c r="D870" s="131"/>
      <c r="E870" s="177"/>
      <c r="F870" s="28"/>
      <c r="G870" s="118"/>
      <c r="H870" s="192"/>
      <c r="I870" s="192"/>
      <c r="J870" s="175"/>
      <c r="K870" s="192"/>
      <c r="L870" s="192"/>
      <c r="M870" s="192"/>
      <c r="N870" s="175"/>
      <c r="O870" s="116"/>
      <c r="P870" s="175"/>
      <c r="Q870" s="175"/>
      <c r="R870" s="220"/>
      <c r="S870" s="175"/>
      <c r="T870" s="175"/>
      <c r="U870" s="175"/>
      <c r="V870" s="175"/>
      <c r="W870" s="175"/>
      <c r="X870" s="116"/>
    </row>
    <row r="871" spans="1:24" s="112" customFormat="1">
      <c r="A871" s="116"/>
      <c r="B871" s="115"/>
      <c r="C871" s="115"/>
      <c r="D871" s="131"/>
      <c r="E871" s="177"/>
      <c r="F871" s="28"/>
      <c r="G871" s="118"/>
      <c r="H871" s="192"/>
      <c r="I871" s="192"/>
      <c r="J871" s="175"/>
      <c r="K871" s="192"/>
      <c r="L871" s="192"/>
      <c r="M871" s="192"/>
      <c r="N871" s="175"/>
      <c r="O871" s="116"/>
      <c r="P871" s="175"/>
      <c r="Q871" s="175"/>
      <c r="R871" s="220"/>
      <c r="S871" s="175"/>
      <c r="T871" s="175"/>
      <c r="U871" s="175"/>
      <c r="V871" s="175"/>
      <c r="W871" s="175"/>
      <c r="X871" s="116"/>
    </row>
    <row r="872" spans="1:24" s="112" customFormat="1">
      <c r="A872" s="116"/>
      <c r="B872" s="115"/>
      <c r="C872" s="115"/>
      <c r="D872" s="131"/>
      <c r="E872" s="177"/>
      <c r="F872" s="28"/>
      <c r="G872" s="118"/>
      <c r="H872" s="192"/>
      <c r="I872" s="192"/>
      <c r="J872" s="175"/>
      <c r="K872" s="192"/>
      <c r="L872" s="192"/>
      <c r="M872" s="192"/>
      <c r="N872" s="175"/>
      <c r="O872" s="116"/>
      <c r="P872" s="175"/>
      <c r="Q872" s="175"/>
      <c r="R872" s="220"/>
      <c r="S872" s="175"/>
      <c r="T872" s="175"/>
      <c r="U872" s="175"/>
      <c r="V872" s="175"/>
      <c r="W872" s="175"/>
      <c r="X872" s="116"/>
    </row>
    <row r="873" spans="1:24" s="112" customFormat="1">
      <c r="A873" s="116"/>
      <c r="B873" s="115"/>
      <c r="C873" s="115"/>
      <c r="D873" s="131"/>
      <c r="E873" s="177"/>
      <c r="F873" s="28"/>
      <c r="G873" s="118"/>
      <c r="H873" s="192"/>
      <c r="I873" s="192"/>
      <c r="J873" s="175"/>
      <c r="K873" s="192"/>
      <c r="L873" s="192"/>
      <c r="M873" s="192"/>
      <c r="N873" s="175"/>
      <c r="O873" s="116"/>
      <c r="P873" s="175"/>
      <c r="Q873" s="175"/>
      <c r="R873" s="220"/>
      <c r="S873" s="175"/>
      <c r="T873" s="175"/>
      <c r="U873" s="175"/>
      <c r="V873" s="175"/>
      <c r="W873" s="175"/>
      <c r="X873" s="116"/>
    </row>
    <row r="874" spans="1:24" s="112" customFormat="1">
      <c r="A874" s="116"/>
      <c r="B874" s="115"/>
      <c r="C874" s="115"/>
      <c r="D874" s="131"/>
      <c r="E874" s="177"/>
      <c r="F874" s="28"/>
      <c r="G874" s="118"/>
      <c r="H874" s="192"/>
      <c r="I874" s="192"/>
      <c r="J874" s="175"/>
      <c r="K874" s="192"/>
      <c r="L874" s="192"/>
      <c r="M874" s="192"/>
      <c r="N874" s="175"/>
      <c r="O874" s="116"/>
      <c r="P874" s="175"/>
      <c r="Q874" s="175"/>
      <c r="R874" s="220"/>
      <c r="S874" s="175"/>
      <c r="T874" s="175"/>
      <c r="U874" s="175"/>
      <c r="V874" s="175"/>
      <c r="W874" s="175"/>
      <c r="X874" s="116"/>
    </row>
    <row r="875" spans="1:24" s="112" customFormat="1">
      <c r="A875" s="116"/>
      <c r="B875" s="115"/>
      <c r="C875" s="115"/>
      <c r="D875" s="131"/>
      <c r="E875" s="177"/>
      <c r="F875" s="28"/>
      <c r="G875" s="118"/>
      <c r="H875" s="192"/>
      <c r="I875" s="192"/>
      <c r="J875" s="175"/>
      <c r="K875" s="192"/>
      <c r="L875" s="192"/>
      <c r="M875" s="192"/>
      <c r="N875" s="175"/>
      <c r="O875" s="116"/>
      <c r="P875" s="175"/>
      <c r="Q875" s="175"/>
      <c r="R875" s="220"/>
      <c r="S875" s="175"/>
      <c r="T875" s="175"/>
      <c r="U875" s="175"/>
      <c r="V875" s="175"/>
      <c r="W875" s="175"/>
      <c r="X875" s="116"/>
    </row>
    <row r="876" spans="1:24" s="112" customFormat="1">
      <c r="A876" s="116"/>
      <c r="B876" s="115"/>
      <c r="C876" s="115"/>
      <c r="D876" s="131"/>
      <c r="E876" s="177"/>
      <c r="F876" s="28"/>
      <c r="G876" s="118"/>
      <c r="H876" s="192"/>
      <c r="I876" s="192"/>
      <c r="J876" s="175"/>
      <c r="K876" s="192"/>
      <c r="L876" s="192"/>
      <c r="M876" s="192"/>
      <c r="N876" s="175"/>
      <c r="O876" s="116"/>
      <c r="P876" s="175"/>
      <c r="Q876" s="175"/>
      <c r="R876" s="220"/>
      <c r="S876" s="175"/>
      <c r="T876" s="175"/>
      <c r="U876" s="175"/>
      <c r="V876" s="175"/>
      <c r="W876" s="175"/>
      <c r="X876" s="116"/>
    </row>
    <row r="877" spans="1:24" s="112" customFormat="1">
      <c r="A877" s="116"/>
      <c r="B877" s="115"/>
      <c r="C877" s="115"/>
      <c r="D877" s="131"/>
      <c r="E877" s="177"/>
      <c r="F877" s="28"/>
      <c r="G877" s="118"/>
      <c r="H877" s="192"/>
      <c r="I877" s="192"/>
      <c r="J877" s="175"/>
      <c r="K877" s="192"/>
      <c r="L877" s="192"/>
      <c r="M877" s="192"/>
      <c r="N877" s="175"/>
      <c r="O877" s="116"/>
      <c r="P877" s="175"/>
      <c r="Q877" s="175"/>
      <c r="R877" s="220"/>
      <c r="S877" s="175"/>
      <c r="T877" s="175"/>
      <c r="U877" s="175"/>
      <c r="V877" s="175"/>
      <c r="W877" s="175"/>
      <c r="X877" s="116"/>
    </row>
    <row r="878" spans="1:24" s="112" customFormat="1">
      <c r="A878" s="116"/>
      <c r="B878" s="115"/>
      <c r="C878" s="115"/>
      <c r="D878" s="131"/>
      <c r="E878" s="177"/>
      <c r="F878" s="28"/>
      <c r="G878" s="118"/>
      <c r="H878" s="192"/>
      <c r="I878" s="192"/>
      <c r="J878" s="175"/>
      <c r="K878" s="192"/>
      <c r="L878" s="192"/>
      <c r="M878" s="192"/>
      <c r="N878" s="175"/>
      <c r="O878" s="116"/>
      <c r="P878" s="175"/>
      <c r="Q878" s="175"/>
      <c r="R878" s="220"/>
      <c r="S878" s="175"/>
      <c r="T878" s="175"/>
      <c r="U878" s="175"/>
      <c r="V878" s="175"/>
      <c r="W878" s="175"/>
      <c r="X878" s="116"/>
    </row>
    <row r="879" spans="1:24" s="112" customFormat="1">
      <c r="A879" s="116"/>
      <c r="B879" s="115"/>
      <c r="C879" s="115"/>
      <c r="D879" s="131"/>
      <c r="E879" s="177"/>
      <c r="F879" s="28"/>
      <c r="G879" s="118"/>
      <c r="H879" s="192"/>
      <c r="I879" s="192"/>
      <c r="J879" s="175"/>
      <c r="K879" s="192"/>
      <c r="L879" s="192"/>
      <c r="M879" s="192"/>
      <c r="N879" s="175"/>
      <c r="O879" s="116"/>
      <c r="P879" s="175"/>
      <c r="Q879" s="175"/>
      <c r="R879" s="220"/>
      <c r="S879" s="175"/>
      <c r="T879" s="175"/>
      <c r="U879" s="175"/>
      <c r="V879" s="175"/>
      <c r="W879" s="175"/>
      <c r="X879" s="116"/>
    </row>
    <row r="880" spans="1:24" s="112" customFormat="1">
      <c r="A880" s="116"/>
      <c r="B880" s="115"/>
      <c r="C880" s="115"/>
      <c r="D880" s="131"/>
      <c r="E880" s="177"/>
      <c r="F880" s="28"/>
      <c r="G880" s="118"/>
      <c r="H880" s="192"/>
      <c r="I880" s="192"/>
      <c r="J880" s="175"/>
      <c r="K880" s="192"/>
      <c r="L880" s="192"/>
      <c r="M880" s="192"/>
      <c r="N880" s="175"/>
      <c r="O880" s="116"/>
      <c r="P880" s="175"/>
      <c r="Q880" s="175"/>
      <c r="R880" s="220"/>
      <c r="S880" s="175"/>
      <c r="T880" s="175"/>
      <c r="U880" s="175"/>
      <c r="V880" s="175"/>
      <c r="W880" s="175"/>
      <c r="X880" s="116"/>
    </row>
    <row r="881" spans="1:24" s="112" customFormat="1">
      <c r="A881" s="116"/>
      <c r="B881" s="115"/>
      <c r="C881" s="115"/>
      <c r="D881" s="131"/>
      <c r="E881" s="177"/>
      <c r="F881" s="28"/>
      <c r="G881" s="118"/>
      <c r="H881" s="192"/>
      <c r="I881" s="192"/>
      <c r="J881" s="175"/>
      <c r="K881" s="192"/>
      <c r="L881" s="192"/>
      <c r="M881" s="192"/>
      <c r="N881" s="175"/>
      <c r="O881" s="116"/>
      <c r="P881" s="175"/>
      <c r="Q881" s="175"/>
      <c r="R881" s="220"/>
      <c r="S881" s="175"/>
      <c r="T881" s="175"/>
      <c r="U881" s="175"/>
      <c r="V881" s="175"/>
      <c r="W881" s="175"/>
      <c r="X881" s="116"/>
    </row>
    <row r="882" spans="1:24" s="112" customFormat="1">
      <c r="A882" s="116"/>
      <c r="B882" s="115"/>
      <c r="C882" s="115"/>
      <c r="D882" s="131"/>
      <c r="E882" s="177"/>
      <c r="F882" s="28"/>
      <c r="G882" s="118"/>
      <c r="H882" s="192"/>
      <c r="I882" s="192"/>
      <c r="J882" s="175"/>
      <c r="K882" s="192"/>
      <c r="L882" s="192"/>
      <c r="M882" s="192"/>
      <c r="N882" s="175"/>
      <c r="O882" s="116"/>
      <c r="P882" s="175"/>
      <c r="Q882" s="175"/>
      <c r="R882" s="220"/>
      <c r="S882" s="175"/>
      <c r="T882" s="175"/>
      <c r="U882" s="175"/>
      <c r="V882" s="175"/>
      <c r="W882" s="175"/>
      <c r="X882" s="116"/>
    </row>
    <row r="883" spans="1:24" s="112" customFormat="1">
      <c r="A883" s="116"/>
      <c r="B883" s="115"/>
      <c r="C883" s="115"/>
      <c r="D883" s="131"/>
      <c r="E883" s="177"/>
      <c r="F883" s="28"/>
      <c r="G883" s="118"/>
      <c r="H883" s="192"/>
      <c r="I883" s="192"/>
      <c r="J883" s="175"/>
      <c r="K883" s="192"/>
      <c r="L883" s="192"/>
      <c r="M883" s="192"/>
      <c r="N883" s="175"/>
      <c r="O883" s="116"/>
      <c r="P883" s="175"/>
      <c r="Q883" s="175"/>
      <c r="R883" s="220"/>
      <c r="S883" s="175"/>
      <c r="T883" s="175"/>
      <c r="U883" s="175"/>
      <c r="V883" s="175"/>
      <c r="W883" s="175"/>
      <c r="X883" s="116"/>
    </row>
    <row r="884" spans="1:24" s="112" customFormat="1">
      <c r="A884" s="116"/>
      <c r="B884" s="115"/>
      <c r="C884" s="115"/>
      <c r="D884" s="131"/>
      <c r="E884" s="177"/>
      <c r="F884" s="28"/>
      <c r="G884" s="118"/>
      <c r="H884" s="192"/>
      <c r="I884" s="192"/>
      <c r="J884" s="175"/>
      <c r="K884" s="192"/>
      <c r="L884" s="192"/>
      <c r="M884" s="192"/>
      <c r="N884" s="175"/>
      <c r="O884" s="116"/>
      <c r="P884" s="175"/>
      <c r="Q884" s="175"/>
      <c r="R884" s="220"/>
      <c r="S884" s="175"/>
      <c r="T884" s="175"/>
      <c r="U884" s="175"/>
      <c r="V884" s="175"/>
      <c r="W884" s="175"/>
      <c r="X884" s="116"/>
    </row>
    <row r="885" spans="1:24" s="112" customFormat="1">
      <c r="A885" s="116"/>
      <c r="B885" s="115"/>
      <c r="C885" s="115"/>
      <c r="D885" s="131"/>
      <c r="E885" s="177"/>
      <c r="F885" s="28"/>
      <c r="G885" s="118"/>
      <c r="H885" s="192"/>
      <c r="I885" s="192"/>
      <c r="J885" s="175"/>
      <c r="K885" s="192"/>
      <c r="L885" s="192"/>
      <c r="M885" s="192"/>
      <c r="N885" s="175"/>
      <c r="O885" s="116"/>
      <c r="P885" s="175"/>
      <c r="Q885" s="175"/>
      <c r="R885" s="220"/>
      <c r="S885" s="175"/>
      <c r="T885" s="175"/>
      <c r="U885" s="175"/>
      <c r="V885" s="175"/>
      <c r="W885" s="175"/>
      <c r="X885" s="116"/>
    </row>
    <row r="886" spans="1:24" s="112" customFormat="1">
      <c r="A886" s="116"/>
      <c r="B886" s="115"/>
      <c r="C886" s="115"/>
      <c r="D886" s="131"/>
      <c r="E886" s="177"/>
      <c r="F886" s="28"/>
      <c r="G886" s="118"/>
      <c r="H886" s="192"/>
      <c r="I886" s="192"/>
      <c r="J886" s="175"/>
      <c r="K886" s="192"/>
      <c r="L886" s="192"/>
      <c r="M886" s="192"/>
      <c r="N886" s="175"/>
      <c r="O886" s="116"/>
      <c r="P886" s="175"/>
      <c r="Q886" s="175"/>
      <c r="R886" s="220"/>
      <c r="S886" s="175"/>
      <c r="T886" s="175"/>
      <c r="U886" s="175"/>
      <c r="V886" s="175"/>
      <c r="W886" s="175"/>
      <c r="X886" s="116"/>
    </row>
    <row r="887" spans="1:24" s="112" customFormat="1">
      <c r="A887" s="116"/>
      <c r="B887" s="115"/>
      <c r="C887" s="115"/>
      <c r="D887" s="131"/>
      <c r="E887" s="177"/>
      <c r="F887" s="28"/>
      <c r="G887" s="118"/>
      <c r="H887" s="192"/>
      <c r="I887" s="192"/>
      <c r="J887" s="175"/>
      <c r="K887" s="192"/>
      <c r="L887" s="192"/>
      <c r="M887" s="192"/>
      <c r="N887" s="175"/>
      <c r="O887" s="116"/>
      <c r="P887" s="175"/>
      <c r="Q887" s="175"/>
      <c r="R887" s="220"/>
      <c r="S887" s="175"/>
      <c r="T887" s="175"/>
      <c r="U887" s="175"/>
      <c r="V887" s="175"/>
      <c r="W887" s="175"/>
      <c r="X887" s="116"/>
    </row>
    <row r="888" spans="1:24" s="112" customFormat="1">
      <c r="A888" s="116"/>
      <c r="B888" s="115"/>
      <c r="C888" s="115"/>
      <c r="D888" s="131"/>
      <c r="E888" s="177"/>
      <c r="F888" s="28"/>
      <c r="G888" s="118"/>
      <c r="H888" s="192"/>
      <c r="I888" s="192"/>
      <c r="J888" s="175"/>
      <c r="K888" s="192"/>
      <c r="L888" s="192"/>
      <c r="M888" s="192"/>
      <c r="N888" s="175"/>
      <c r="O888" s="116"/>
      <c r="P888" s="175"/>
      <c r="Q888" s="175"/>
      <c r="R888" s="220"/>
      <c r="S888" s="175"/>
      <c r="T888" s="175"/>
      <c r="U888" s="175"/>
      <c r="V888" s="175"/>
      <c r="W888" s="175"/>
      <c r="X888" s="116"/>
    </row>
    <row r="889" spans="1:24" s="112" customFormat="1">
      <c r="A889" s="116"/>
      <c r="B889" s="115"/>
      <c r="C889" s="115"/>
      <c r="D889" s="131"/>
      <c r="E889" s="177"/>
      <c r="F889" s="28"/>
      <c r="G889" s="118"/>
      <c r="H889" s="192"/>
      <c r="I889" s="192"/>
      <c r="J889" s="175"/>
      <c r="K889" s="192"/>
      <c r="L889" s="192"/>
      <c r="M889" s="192"/>
      <c r="N889" s="175"/>
      <c r="O889" s="116"/>
      <c r="P889" s="175"/>
      <c r="Q889" s="175"/>
      <c r="R889" s="220"/>
      <c r="S889" s="175"/>
      <c r="T889" s="175"/>
      <c r="U889" s="175"/>
      <c r="V889" s="175"/>
      <c r="W889" s="175"/>
      <c r="X889" s="116"/>
    </row>
    <row r="890" spans="1:24" s="112" customFormat="1">
      <c r="A890" s="116"/>
      <c r="B890" s="115"/>
      <c r="C890" s="115"/>
      <c r="D890" s="131"/>
      <c r="E890" s="177"/>
      <c r="F890" s="28"/>
      <c r="G890" s="118"/>
      <c r="H890" s="192"/>
      <c r="I890" s="192"/>
      <c r="J890" s="175"/>
      <c r="K890" s="192"/>
      <c r="L890" s="192"/>
      <c r="M890" s="192"/>
      <c r="N890" s="175"/>
      <c r="O890" s="116"/>
      <c r="P890" s="175"/>
      <c r="Q890" s="175"/>
      <c r="R890" s="220"/>
      <c r="S890" s="175"/>
      <c r="T890" s="175"/>
      <c r="U890" s="175"/>
      <c r="V890" s="175"/>
      <c r="W890" s="175"/>
      <c r="X890" s="116"/>
    </row>
    <row r="891" spans="1:24" s="112" customFormat="1">
      <c r="A891" s="116"/>
      <c r="B891" s="115"/>
      <c r="C891" s="115"/>
      <c r="D891" s="131"/>
      <c r="E891" s="177"/>
      <c r="F891" s="28"/>
      <c r="G891" s="118"/>
      <c r="H891" s="192"/>
      <c r="I891" s="192"/>
      <c r="J891" s="175"/>
      <c r="K891" s="192"/>
      <c r="L891" s="192"/>
      <c r="M891" s="192"/>
      <c r="N891" s="175"/>
      <c r="O891" s="116"/>
      <c r="P891" s="175"/>
      <c r="Q891" s="175"/>
      <c r="R891" s="220"/>
      <c r="S891" s="175"/>
      <c r="T891" s="175"/>
      <c r="U891" s="175"/>
      <c r="V891" s="175"/>
      <c r="W891" s="175"/>
      <c r="X891" s="116"/>
    </row>
    <row r="892" spans="1:24" s="112" customFormat="1">
      <c r="A892" s="116"/>
      <c r="B892" s="115"/>
      <c r="C892" s="115"/>
      <c r="D892" s="131"/>
      <c r="E892" s="177"/>
      <c r="F892" s="28"/>
      <c r="G892" s="118"/>
      <c r="H892" s="192"/>
      <c r="I892" s="192"/>
      <c r="J892" s="175"/>
      <c r="K892" s="192"/>
      <c r="L892" s="192"/>
      <c r="M892" s="192"/>
      <c r="N892" s="175"/>
      <c r="O892" s="116"/>
      <c r="P892" s="175"/>
      <c r="Q892" s="175"/>
      <c r="R892" s="220"/>
      <c r="S892" s="175"/>
      <c r="T892" s="175"/>
      <c r="U892" s="175"/>
      <c r="V892" s="175"/>
      <c r="W892" s="175"/>
      <c r="X892" s="116"/>
    </row>
    <row r="893" spans="1:24" s="112" customFormat="1">
      <c r="A893" s="116"/>
      <c r="B893" s="115"/>
      <c r="C893" s="115"/>
      <c r="D893" s="131"/>
      <c r="E893" s="177"/>
      <c r="F893" s="28"/>
      <c r="G893" s="118"/>
      <c r="H893" s="192"/>
      <c r="I893" s="192"/>
      <c r="J893" s="175"/>
      <c r="K893" s="192"/>
      <c r="L893" s="192"/>
      <c r="M893" s="192"/>
      <c r="N893" s="175"/>
      <c r="O893" s="116"/>
      <c r="P893" s="175"/>
      <c r="Q893" s="175"/>
      <c r="R893" s="220"/>
      <c r="S893" s="175"/>
      <c r="T893" s="175"/>
      <c r="U893" s="175"/>
      <c r="V893" s="175"/>
      <c r="W893" s="175"/>
      <c r="X893" s="116"/>
    </row>
    <row r="894" spans="1:24" s="112" customFormat="1">
      <c r="A894" s="116"/>
      <c r="B894" s="115"/>
      <c r="C894" s="115"/>
      <c r="D894" s="131"/>
      <c r="E894" s="177"/>
      <c r="F894" s="28"/>
      <c r="G894" s="118"/>
      <c r="H894" s="192"/>
      <c r="I894" s="192"/>
      <c r="J894" s="175"/>
      <c r="K894" s="192"/>
      <c r="L894" s="192"/>
      <c r="M894" s="192"/>
      <c r="N894" s="175"/>
      <c r="O894" s="116"/>
      <c r="P894" s="175"/>
      <c r="Q894" s="175"/>
      <c r="R894" s="220"/>
      <c r="S894" s="175"/>
      <c r="T894" s="175"/>
      <c r="U894" s="175"/>
      <c r="V894" s="175"/>
      <c r="W894" s="175"/>
      <c r="X894" s="116"/>
    </row>
    <row r="895" spans="1:24" s="112" customFormat="1">
      <c r="A895" s="116"/>
      <c r="B895" s="115"/>
      <c r="C895" s="115"/>
      <c r="D895" s="131"/>
      <c r="E895" s="177"/>
      <c r="F895" s="28"/>
      <c r="G895" s="118"/>
      <c r="H895" s="192"/>
      <c r="I895" s="192"/>
      <c r="J895" s="175"/>
      <c r="K895" s="192"/>
      <c r="L895" s="192"/>
      <c r="M895" s="192"/>
      <c r="N895" s="175"/>
      <c r="O895" s="116"/>
      <c r="P895" s="175"/>
      <c r="Q895" s="175"/>
      <c r="R895" s="220"/>
      <c r="S895" s="175"/>
      <c r="T895" s="175"/>
      <c r="U895" s="175"/>
      <c r="V895" s="175"/>
      <c r="W895" s="175"/>
      <c r="X895" s="116"/>
    </row>
    <row r="896" spans="1:24" s="112" customFormat="1">
      <c r="A896" s="116"/>
      <c r="B896" s="115"/>
      <c r="C896" s="115"/>
      <c r="D896" s="131"/>
      <c r="E896" s="177"/>
      <c r="F896" s="28"/>
      <c r="G896" s="118"/>
      <c r="H896" s="192"/>
      <c r="I896" s="192"/>
      <c r="J896" s="175"/>
      <c r="K896" s="192"/>
      <c r="L896" s="192"/>
      <c r="M896" s="192"/>
      <c r="N896" s="175"/>
      <c r="O896" s="116"/>
      <c r="P896" s="175"/>
      <c r="Q896" s="175"/>
      <c r="R896" s="220"/>
      <c r="S896" s="175"/>
      <c r="T896" s="175"/>
      <c r="U896" s="175"/>
      <c r="V896" s="175"/>
      <c r="W896" s="175"/>
      <c r="X896" s="116"/>
    </row>
    <row r="897" spans="1:24" s="112" customFormat="1">
      <c r="A897" s="116"/>
      <c r="B897" s="115"/>
      <c r="C897" s="115"/>
      <c r="D897" s="131"/>
      <c r="E897" s="177"/>
      <c r="F897" s="28"/>
      <c r="G897" s="118"/>
      <c r="H897" s="192"/>
      <c r="I897" s="192"/>
      <c r="J897" s="175"/>
      <c r="K897" s="192"/>
      <c r="L897" s="192"/>
      <c r="M897" s="192"/>
      <c r="N897" s="175"/>
      <c r="O897" s="116"/>
      <c r="P897" s="175"/>
      <c r="Q897" s="175"/>
      <c r="R897" s="220"/>
      <c r="S897" s="175"/>
      <c r="T897" s="175"/>
      <c r="U897" s="175"/>
      <c r="V897" s="175"/>
      <c r="W897" s="175"/>
      <c r="X897" s="116"/>
    </row>
    <row r="898" spans="1:24" s="112" customFormat="1">
      <c r="A898" s="116"/>
      <c r="B898" s="115"/>
      <c r="C898" s="115"/>
      <c r="D898" s="131"/>
      <c r="E898" s="177"/>
      <c r="F898" s="28"/>
      <c r="G898" s="118"/>
      <c r="H898" s="192"/>
      <c r="I898" s="192"/>
      <c r="J898" s="175"/>
      <c r="K898" s="192"/>
      <c r="L898" s="192"/>
      <c r="M898" s="192"/>
      <c r="N898" s="175"/>
      <c r="O898" s="116"/>
      <c r="P898" s="175"/>
      <c r="Q898" s="175"/>
      <c r="R898" s="220"/>
      <c r="S898" s="175"/>
      <c r="T898" s="175"/>
      <c r="U898" s="175"/>
      <c r="V898" s="175"/>
      <c r="W898" s="175"/>
      <c r="X898" s="116"/>
    </row>
    <row r="899" spans="1:24" s="112" customFormat="1">
      <c r="A899" s="116"/>
      <c r="B899" s="115"/>
      <c r="C899" s="115"/>
      <c r="D899" s="131"/>
      <c r="E899" s="177"/>
      <c r="F899" s="28"/>
      <c r="G899" s="118"/>
      <c r="H899" s="192"/>
      <c r="I899" s="192"/>
      <c r="J899" s="175"/>
      <c r="K899" s="192"/>
      <c r="L899" s="192"/>
      <c r="M899" s="192"/>
      <c r="N899" s="175"/>
      <c r="O899" s="116"/>
      <c r="P899" s="175"/>
      <c r="Q899" s="175"/>
      <c r="R899" s="220"/>
      <c r="S899" s="175"/>
      <c r="T899" s="175"/>
      <c r="U899" s="175"/>
      <c r="V899" s="175"/>
      <c r="W899" s="175"/>
      <c r="X899" s="116"/>
    </row>
    <row r="900" spans="1:24" s="112" customFormat="1">
      <c r="A900" s="116"/>
      <c r="B900" s="115"/>
      <c r="C900" s="115"/>
      <c r="D900" s="131"/>
      <c r="E900" s="177"/>
      <c r="F900" s="28"/>
      <c r="G900" s="118"/>
      <c r="H900" s="192"/>
      <c r="I900" s="192"/>
      <c r="J900" s="175"/>
      <c r="K900" s="192"/>
      <c r="L900" s="192"/>
      <c r="M900" s="192"/>
      <c r="N900" s="175"/>
      <c r="O900" s="116"/>
      <c r="P900" s="175"/>
      <c r="Q900" s="175"/>
      <c r="R900" s="220"/>
      <c r="S900" s="175"/>
      <c r="T900" s="175"/>
      <c r="U900" s="175"/>
      <c r="V900" s="175"/>
      <c r="W900" s="175"/>
      <c r="X900" s="116"/>
    </row>
    <row r="901" spans="1:24" s="112" customFormat="1">
      <c r="A901" s="116"/>
      <c r="B901" s="115"/>
      <c r="C901" s="115"/>
      <c r="D901" s="131"/>
      <c r="E901" s="177"/>
      <c r="F901" s="28"/>
      <c r="G901" s="118"/>
      <c r="H901" s="192"/>
      <c r="I901" s="192"/>
      <c r="J901" s="175"/>
      <c r="K901" s="192"/>
      <c r="L901" s="192"/>
      <c r="M901" s="192"/>
      <c r="N901" s="175"/>
      <c r="O901" s="116"/>
      <c r="P901" s="175"/>
      <c r="Q901" s="175"/>
      <c r="R901" s="220"/>
      <c r="S901" s="175"/>
      <c r="T901" s="175"/>
      <c r="U901" s="175"/>
      <c r="V901" s="175"/>
      <c r="W901" s="175"/>
      <c r="X901" s="116"/>
    </row>
    <row r="902" spans="1:24" s="112" customFormat="1">
      <c r="A902" s="116"/>
      <c r="B902" s="115"/>
      <c r="C902" s="115"/>
      <c r="D902" s="131"/>
      <c r="E902" s="177"/>
      <c r="F902" s="28"/>
      <c r="G902" s="118"/>
      <c r="H902" s="192"/>
      <c r="I902" s="192"/>
      <c r="J902" s="175"/>
      <c r="K902" s="192"/>
      <c r="L902" s="192"/>
      <c r="M902" s="192"/>
      <c r="N902" s="175"/>
      <c r="O902" s="116"/>
      <c r="P902" s="175"/>
      <c r="Q902" s="175"/>
      <c r="R902" s="220"/>
      <c r="S902" s="175"/>
      <c r="T902" s="175"/>
      <c r="U902" s="175"/>
      <c r="V902" s="175"/>
      <c r="W902" s="175"/>
      <c r="X902" s="116"/>
    </row>
    <row r="903" spans="1:24" s="112" customFormat="1">
      <c r="A903" s="116"/>
      <c r="B903" s="115"/>
      <c r="C903" s="115"/>
      <c r="D903" s="131"/>
      <c r="E903" s="177"/>
      <c r="F903" s="28"/>
      <c r="G903" s="118"/>
      <c r="H903" s="192"/>
      <c r="I903" s="192"/>
      <c r="J903" s="175"/>
      <c r="K903" s="192"/>
      <c r="L903" s="192"/>
      <c r="M903" s="192"/>
      <c r="N903" s="175"/>
      <c r="O903" s="116"/>
      <c r="P903" s="175"/>
      <c r="Q903" s="175"/>
      <c r="R903" s="220"/>
      <c r="S903" s="175"/>
      <c r="T903" s="175"/>
      <c r="U903" s="175"/>
      <c r="V903" s="175"/>
      <c r="W903" s="175"/>
      <c r="X903" s="116"/>
    </row>
    <row r="904" spans="1:24" s="112" customFormat="1">
      <c r="A904" s="116"/>
      <c r="B904" s="115"/>
      <c r="C904" s="115"/>
      <c r="D904" s="131"/>
      <c r="E904" s="177"/>
      <c r="F904" s="28"/>
      <c r="G904" s="118"/>
      <c r="H904" s="192"/>
      <c r="I904" s="192"/>
      <c r="J904" s="175"/>
      <c r="K904" s="192"/>
      <c r="L904" s="192"/>
      <c r="M904" s="192"/>
      <c r="N904" s="175"/>
      <c r="O904" s="116"/>
      <c r="P904" s="175"/>
      <c r="Q904" s="175"/>
      <c r="R904" s="220"/>
      <c r="S904" s="175"/>
      <c r="T904" s="175"/>
      <c r="U904" s="175"/>
      <c r="V904" s="175"/>
      <c r="W904" s="175"/>
      <c r="X904" s="116"/>
    </row>
    <row r="905" spans="1:24" s="112" customFormat="1">
      <c r="A905" s="116"/>
      <c r="B905" s="115"/>
      <c r="C905" s="115"/>
      <c r="D905" s="131"/>
      <c r="E905" s="177"/>
      <c r="F905" s="28"/>
      <c r="G905" s="118"/>
      <c r="H905" s="192"/>
      <c r="I905" s="192"/>
      <c r="J905" s="175"/>
      <c r="K905" s="192"/>
      <c r="L905" s="192"/>
      <c r="M905" s="192"/>
      <c r="N905" s="175"/>
      <c r="O905" s="116"/>
      <c r="P905" s="175"/>
      <c r="Q905" s="175"/>
      <c r="R905" s="220"/>
      <c r="S905" s="175"/>
      <c r="T905" s="175"/>
      <c r="U905" s="175"/>
      <c r="V905" s="175"/>
      <c r="W905" s="175"/>
      <c r="X905" s="116"/>
    </row>
    <row r="906" spans="1:24" s="112" customFormat="1">
      <c r="A906" s="116"/>
      <c r="B906" s="115"/>
      <c r="C906" s="115"/>
      <c r="D906" s="131"/>
      <c r="E906" s="177"/>
      <c r="F906" s="28"/>
      <c r="G906" s="118"/>
      <c r="H906" s="192"/>
      <c r="I906" s="192"/>
      <c r="J906" s="175"/>
      <c r="K906" s="192"/>
      <c r="L906" s="192"/>
      <c r="M906" s="192"/>
      <c r="N906" s="175"/>
      <c r="O906" s="116"/>
      <c r="P906" s="175"/>
      <c r="Q906" s="175"/>
      <c r="R906" s="220"/>
      <c r="S906" s="175"/>
      <c r="T906" s="175"/>
      <c r="U906" s="175"/>
      <c r="V906" s="175"/>
      <c r="W906" s="175"/>
      <c r="X906" s="116"/>
    </row>
    <row r="907" spans="1:24" s="112" customFormat="1">
      <c r="A907" s="116"/>
      <c r="B907" s="115"/>
      <c r="C907" s="115"/>
      <c r="D907" s="131"/>
      <c r="E907" s="177"/>
      <c r="F907" s="28"/>
      <c r="G907" s="118"/>
      <c r="H907" s="192"/>
      <c r="I907" s="192"/>
      <c r="J907" s="175"/>
      <c r="K907" s="192"/>
      <c r="L907" s="192"/>
      <c r="M907" s="192"/>
      <c r="N907" s="175"/>
      <c r="O907" s="116"/>
      <c r="P907" s="175"/>
      <c r="Q907" s="175"/>
      <c r="R907" s="220"/>
      <c r="S907" s="175"/>
      <c r="T907" s="175"/>
      <c r="U907" s="175"/>
      <c r="V907" s="175"/>
      <c r="W907" s="175"/>
      <c r="X907" s="116"/>
    </row>
    <row r="908" spans="1:24" s="112" customFormat="1">
      <c r="A908" s="116"/>
      <c r="B908" s="115"/>
      <c r="C908" s="115"/>
      <c r="D908" s="131"/>
      <c r="E908" s="177"/>
      <c r="F908" s="28"/>
      <c r="G908" s="118"/>
      <c r="H908" s="192"/>
      <c r="I908" s="192"/>
      <c r="J908" s="175"/>
      <c r="K908" s="192"/>
      <c r="L908" s="192"/>
      <c r="M908" s="192"/>
      <c r="N908" s="175"/>
      <c r="O908" s="116"/>
      <c r="P908" s="175"/>
      <c r="Q908" s="175"/>
      <c r="R908" s="220"/>
      <c r="S908" s="175"/>
      <c r="T908" s="175"/>
      <c r="U908" s="175"/>
      <c r="V908" s="175"/>
      <c r="W908" s="175"/>
      <c r="X908" s="116"/>
    </row>
    <row r="909" spans="1:24" s="112" customFormat="1">
      <c r="A909" s="116"/>
      <c r="B909" s="115"/>
      <c r="C909" s="115"/>
      <c r="D909" s="131"/>
      <c r="E909" s="177"/>
      <c r="F909" s="28"/>
      <c r="G909" s="118"/>
      <c r="H909" s="192"/>
      <c r="I909" s="192"/>
      <c r="J909" s="175"/>
      <c r="K909" s="192"/>
      <c r="L909" s="192"/>
      <c r="M909" s="192"/>
      <c r="N909" s="175"/>
      <c r="O909" s="116"/>
      <c r="P909" s="175"/>
      <c r="Q909" s="175"/>
      <c r="R909" s="220"/>
      <c r="S909" s="175"/>
      <c r="T909" s="175"/>
      <c r="U909" s="175"/>
      <c r="V909" s="175"/>
      <c r="W909" s="175"/>
      <c r="X909" s="116"/>
    </row>
    <row r="910" spans="1:24" s="112" customFormat="1">
      <c r="A910" s="116"/>
      <c r="B910" s="115"/>
      <c r="C910" s="115"/>
      <c r="D910" s="131"/>
      <c r="E910" s="177"/>
      <c r="F910" s="28"/>
      <c r="G910" s="118"/>
      <c r="H910" s="192"/>
      <c r="I910" s="192"/>
      <c r="J910" s="175"/>
      <c r="K910" s="192"/>
      <c r="L910" s="192"/>
      <c r="M910" s="192"/>
      <c r="N910" s="175"/>
      <c r="O910" s="116"/>
      <c r="P910" s="175"/>
      <c r="Q910" s="175"/>
      <c r="R910" s="220"/>
      <c r="S910" s="175"/>
      <c r="T910" s="175"/>
      <c r="U910" s="175"/>
      <c r="V910" s="175"/>
      <c r="W910" s="175"/>
      <c r="X910" s="116"/>
    </row>
    <row r="911" spans="1:24" s="112" customFormat="1">
      <c r="A911" s="116"/>
      <c r="B911" s="115"/>
      <c r="C911" s="115"/>
      <c r="D911" s="131"/>
      <c r="E911" s="177"/>
      <c r="F911" s="28"/>
      <c r="G911" s="118"/>
      <c r="H911" s="192"/>
      <c r="I911" s="192"/>
      <c r="J911" s="175"/>
      <c r="K911" s="192"/>
      <c r="L911" s="192"/>
      <c r="M911" s="192"/>
      <c r="N911" s="175"/>
      <c r="O911" s="116"/>
      <c r="P911" s="175"/>
      <c r="Q911" s="175"/>
      <c r="R911" s="220"/>
      <c r="S911" s="175"/>
      <c r="T911" s="175"/>
      <c r="U911" s="175"/>
      <c r="V911" s="175"/>
      <c r="W911" s="175"/>
      <c r="X911" s="116"/>
    </row>
    <row r="912" spans="1:24" s="112" customFormat="1">
      <c r="A912" s="116"/>
      <c r="B912" s="115"/>
      <c r="C912" s="115"/>
      <c r="D912" s="131"/>
      <c r="E912" s="177"/>
      <c r="F912" s="28"/>
      <c r="G912" s="118"/>
      <c r="H912" s="192"/>
      <c r="I912" s="192"/>
      <c r="J912" s="175"/>
      <c r="K912" s="192"/>
      <c r="L912" s="192"/>
      <c r="M912" s="192"/>
      <c r="N912" s="175"/>
      <c r="O912" s="116"/>
      <c r="P912" s="175"/>
      <c r="Q912" s="175"/>
      <c r="R912" s="220"/>
      <c r="S912" s="175"/>
      <c r="T912" s="175"/>
      <c r="U912" s="175"/>
      <c r="V912" s="175"/>
      <c r="W912" s="175"/>
      <c r="X912" s="116"/>
    </row>
    <row r="913" spans="1:24" s="112" customFormat="1">
      <c r="A913" s="116"/>
      <c r="B913" s="115"/>
      <c r="C913" s="115"/>
      <c r="D913" s="131"/>
      <c r="E913" s="177"/>
      <c r="F913" s="28"/>
      <c r="G913" s="118"/>
      <c r="H913" s="192"/>
      <c r="I913" s="192"/>
      <c r="J913" s="175"/>
      <c r="K913" s="192"/>
      <c r="L913" s="192"/>
      <c r="M913" s="192"/>
      <c r="N913" s="175"/>
      <c r="O913" s="116"/>
      <c r="P913" s="175"/>
      <c r="Q913" s="175"/>
      <c r="R913" s="220"/>
      <c r="S913" s="175"/>
      <c r="T913" s="175"/>
      <c r="U913" s="175"/>
      <c r="V913" s="175"/>
      <c r="W913" s="175"/>
      <c r="X913" s="116"/>
    </row>
    <row r="914" spans="1:24" s="112" customFormat="1">
      <c r="A914" s="116"/>
      <c r="B914" s="115"/>
      <c r="C914" s="115"/>
      <c r="D914" s="131"/>
      <c r="E914" s="177"/>
      <c r="F914" s="28"/>
      <c r="G914" s="118"/>
      <c r="H914" s="192"/>
      <c r="I914" s="192"/>
      <c r="J914" s="175"/>
      <c r="K914" s="192"/>
      <c r="L914" s="192"/>
      <c r="M914" s="192"/>
      <c r="N914" s="175"/>
      <c r="O914" s="116"/>
      <c r="P914" s="175"/>
      <c r="Q914" s="175"/>
      <c r="R914" s="220"/>
      <c r="S914" s="175"/>
      <c r="T914" s="175"/>
      <c r="U914" s="175"/>
      <c r="V914" s="175"/>
      <c r="W914" s="175"/>
      <c r="X914" s="116"/>
    </row>
    <row r="915" spans="1:24" s="112" customFormat="1">
      <c r="A915" s="116"/>
      <c r="B915" s="115"/>
      <c r="C915" s="115"/>
      <c r="D915" s="131"/>
      <c r="E915" s="177"/>
      <c r="F915" s="28"/>
      <c r="G915" s="118"/>
      <c r="H915" s="192"/>
      <c r="I915" s="192"/>
      <c r="J915" s="175"/>
      <c r="K915" s="192"/>
      <c r="L915" s="192"/>
      <c r="M915" s="192"/>
      <c r="N915" s="175"/>
      <c r="O915" s="116"/>
      <c r="P915" s="175"/>
      <c r="Q915" s="175"/>
      <c r="R915" s="220"/>
      <c r="S915" s="175"/>
      <c r="T915" s="175"/>
      <c r="U915" s="175"/>
      <c r="V915" s="175"/>
      <c r="W915" s="175"/>
      <c r="X915" s="116"/>
    </row>
    <row r="916" spans="1:24" s="112" customFormat="1">
      <c r="A916" s="116"/>
      <c r="B916" s="115"/>
      <c r="C916" s="115"/>
      <c r="D916" s="131"/>
      <c r="E916" s="177"/>
      <c r="F916" s="28"/>
      <c r="G916" s="118"/>
      <c r="H916" s="192"/>
      <c r="I916" s="192"/>
      <c r="J916" s="175"/>
      <c r="K916" s="192"/>
      <c r="L916" s="192"/>
      <c r="M916" s="192"/>
      <c r="N916" s="175"/>
      <c r="O916" s="116"/>
      <c r="P916" s="175"/>
      <c r="Q916" s="175"/>
      <c r="R916" s="220"/>
      <c r="S916" s="175"/>
      <c r="T916" s="175"/>
      <c r="U916" s="175"/>
      <c r="V916" s="175"/>
      <c r="W916" s="175"/>
      <c r="X916" s="116"/>
    </row>
    <row r="917" spans="1:24" s="112" customFormat="1">
      <c r="A917" s="116"/>
      <c r="B917" s="115"/>
      <c r="C917" s="115"/>
      <c r="D917" s="131"/>
      <c r="E917" s="177"/>
      <c r="F917" s="28"/>
      <c r="G917" s="118"/>
      <c r="H917" s="192"/>
      <c r="I917" s="192"/>
      <c r="J917" s="175"/>
      <c r="K917" s="192"/>
      <c r="L917" s="192"/>
      <c r="M917" s="192"/>
      <c r="N917" s="175"/>
      <c r="O917" s="116"/>
      <c r="P917" s="175"/>
      <c r="Q917" s="175"/>
      <c r="R917" s="220"/>
      <c r="S917" s="175"/>
      <c r="T917" s="175"/>
      <c r="U917" s="175"/>
      <c r="V917" s="175"/>
      <c r="W917" s="175"/>
      <c r="X917" s="116"/>
    </row>
    <row r="918" spans="1:24" s="112" customFormat="1">
      <c r="A918" s="116"/>
      <c r="B918" s="115"/>
      <c r="C918" s="115"/>
      <c r="D918" s="131"/>
      <c r="E918" s="177"/>
      <c r="F918" s="28"/>
      <c r="G918" s="118"/>
      <c r="H918" s="192"/>
      <c r="I918" s="192"/>
      <c r="J918" s="175"/>
      <c r="K918" s="192"/>
      <c r="L918" s="192"/>
      <c r="M918" s="192"/>
      <c r="N918" s="175"/>
      <c r="O918" s="116"/>
      <c r="P918" s="175"/>
      <c r="Q918" s="175"/>
      <c r="R918" s="220"/>
      <c r="S918" s="175"/>
      <c r="T918" s="175"/>
      <c r="U918" s="175"/>
      <c r="V918" s="175"/>
      <c r="W918" s="175"/>
      <c r="X918" s="116"/>
    </row>
    <row r="919" spans="1:24" s="112" customFormat="1">
      <c r="A919" s="116"/>
      <c r="B919" s="115"/>
      <c r="C919" s="115"/>
      <c r="D919" s="131"/>
      <c r="E919" s="177"/>
      <c r="F919" s="28"/>
      <c r="G919" s="118"/>
      <c r="H919" s="192"/>
      <c r="I919" s="192"/>
      <c r="J919" s="175"/>
      <c r="K919" s="192"/>
      <c r="L919" s="192"/>
      <c r="M919" s="192"/>
      <c r="N919" s="175"/>
      <c r="O919" s="116"/>
      <c r="P919" s="175"/>
      <c r="Q919" s="175"/>
      <c r="R919" s="220"/>
      <c r="S919" s="175"/>
      <c r="T919" s="175"/>
      <c r="U919" s="175"/>
      <c r="V919" s="175"/>
      <c r="W919" s="175"/>
      <c r="X919" s="116"/>
    </row>
    <row r="920" spans="1:24" s="112" customFormat="1">
      <c r="A920" s="116"/>
      <c r="B920" s="115"/>
      <c r="C920" s="115"/>
      <c r="D920" s="131"/>
      <c r="E920" s="177"/>
      <c r="F920" s="28"/>
      <c r="G920" s="118"/>
      <c r="H920" s="192"/>
      <c r="I920" s="192"/>
      <c r="J920" s="175"/>
      <c r="K920" s="192"/>
      <c r="L920" s="192"/>
      <c r="M920" s="192"/>
      <c r="N920" s="175"/>
      <c r="O920" s="116"/>
      <c r="P920" s="175"/>
      <c r="Q920" s="175"/>
      <c r="R920" s="220"/>
      <c r="S920" s="175"/>
      <c r="T920" s="175"/>
      <c r="U920" s="175"/>
      <c r="V920" s="175"/>
      <c r="W920" s="175"/>
      <c r="X920" s="116"/>
    </row>
    <row r="921" spans="1:24" s="112" customFormat="1">
      <c r="A921" s="116"/>
      <c r="B921" s="115"/>
      <c r="C921" s="115"/>
      <c r="D921" s="131"/>
      <c r="E921" s="177"/>
      <c r="F921" s="28"/>
      <c r="G921" s="118"/>
      <c r="H921" s="192"/>
      <c r="I921" s="192"/>
      <c r="J921" s="175"/>
      <c r="K921" s="192"/>
      <c r="L921" s="192"/>
      <c r="M921" s="192"/>
      <c r="N921" s="175"/>
      <c r="O921" s="116"/>
      <c r="P921" s="175"/>
      <c r="Q921" s="175"/>
      <c r="R921" s="220"/>
      <c r="S921" s="175"/>
      <c r="T921" s="175"/>
      <c r="U921" s="175"/>
      <c r="V921" s="175"/>
      <c r="W921" s="175"/>
      <c r="X921" s="116"/>
    </row>
    <row r="922" spans="1:24" s="112" customFormat="1">
      <c r="A922" s="116"/>
      <c r="B922" s="115"/>
      <c r="C922" s="115"/>
      <c r="D922" s="131"/>
      <c r="E922" s="177"/>
      <c r="F922" s="28"/>
      <c r="G922" s="118"/>
      <c r="H922" s="192"/>
      <c r="I922" s="192"/>
      <c r="J922" s="175"/>
      <c r="K922" s="192"/>
      <c r="L922" s="192"/>
      <c r="M922" s="192"/>
      <c r="N922" s="175"/>
      <c r="O922" s="116"/>
      <c r="P922" s="175"/>
      <c r="Q922" s="175"/>
      <c r="R922" s="220"/>
      <c r="S922" s="175"/>
      <c r="T922" s="175"/>
      <c r="U922" s="175"/>
      <c r="V922" s="175"/>
      <c r="W922" s="175"/>
      <c r="X922" s="116"/>
    </row>
    <row r="923" spans="1:24" s="112" customFormat="1">
      <c r="A923" s="116"/>
      <c r="B923" s="115"/>
      <c r="C923" s="115"/>
      <c r="D923" s="131"/>
      <c r="E923" s="177"/>
      <c r="F923" s="28"/>
      <c r="G923" s="118"/>
      <c r="H923" s="192"/>
      <c r="I923" s="192"/>
      <c r="J923" s="175"/>
      <c r="K923" s="192"/>
      <c r="L923" s="192"/>
      <c r="M923" s="192"/>
      <c r="N923" s="175"/>
      <c r="O923" s="116"/>
      <c r="P923" s="175"/>
      <c r="Q923" s="175"/>
      <c r="R923" s="220"/>
      <c r="S923" s="175"/>
      <c r="T923" s="175"/>
      <c r="U923" s="175"/>
      <c r="V923" s="175"/>
      <c r="W923" s="175"/>
      <c r="X923" s="116"/>
    </row>
    <row r="924" spans="1:24" s="112" customFormat="1">
      <c r="A924" s="116"/>
      <c r="B924" s="115"/>
      <c r="C924" s="115"/>
      <c r="D924" s="131"/>
      <c r="E924" s="177"/>
      <c r="F924" s="28"/>
      <c r="G924" s="118"/>
      <c r="H924" s="192"/>
      <c r="I924" s="192"/>
      <c r="J924" s="175"/>
      <c r="K924" s="192"/>
      <c r="L924" s="192"/>
      <c r="M924" s="192"/>
      <c r="N924" s="175"/>
      <c r="O924" s="116"/>
      <c r="P924" s="175"/>
      <c r="Q924" s="175"/>
      <c r="R924" s="220"/>
      <c r="S924" s="175"/>
      <c r="T924" s="175"/>
      <c r="U924" s="175"/>
      <c r="V924" s="175"/>
      <c r="W924" s="175"/>
      <c r="X924" s="116"/>
    </row>
    <row r="925" spans="1:24" s="112" customFormat="1">
      <c r="A925" s="116"/>
      <c r="B925" s="115"/>
      <c r="C925" s="115"/>
      <c r="D925" s="131"/>
      <c r="E925" s="177"/>
      <c r="F925" s="28"/>
      <c r="G925" s="118"/>
      <c r="H925" s="192"/>
      <c r="I925" s="192"/>
      <c r="J925" s="175"/>
      <c r="K925" s="192"/>
      <c r="L925" s="192"/>
      <c r="M925" s="192"/>
      <c r="N925" s="175"/>
      <c r="O925" s="116"/>
      <c r="P925" s="175"/>
      <c r="Q925" s="175"/>
      <c r="R925" s="220"/>
      <c r="S925" s="175"/>
      <c r="T925" s="175"/>
      <c r="U925" s="175"/>
      <c r="V925" s="175"/>
      <c r="W925" s="175"/>
      <c r="X925" s="116"/>
    </row>
    <row r="926" spans="1:24" s="112" customFormat="1">
      <c r="A926" s="116"/>
      <c r="B926" s="115"/>
      <c r="C926" s="115"/>
      <c r="D926" s="131"/>
      <c r="E926" s="177"/>
      <c r="F926" s="28"/>
      <c r="G926" s="118"/>
      <c r="H926" s="192"/>
      <c r="I926" s="192"/>
      <c r="J926" s="175"/>
      <c r="K926" s="192"/>
      <c r="L926" s="192"/>
      <c r="M926" s="192"/>
      <c r="N926" s="175"/>
      <c r="O926" s="116"/>
      <c r="P926" s="175"/>
      <c r="Q926" s="175"/>
      <c r="R926" s="220"/>
      <c r="S926" s="175"/>
      <c r="T926" s="175"/>
      <c r="U926" s="175"/>
      <c r="V926" s="175"/>
      <c r="W926" s="175"/>
      <c r="X926" s="116"/>
    </row>
    <row r="927" spans="1:24" s="112" customFormat="1">
      <c r="A927" s="116"/>
      <c r="B927" s="115"/>
      <c r="C927" s="115"/>
      <c r="D927" s="131"/>
      <c r="E927" s="177"/>
      <c r="F927" s="28"/>
      <c r="G927" s="118"/>
      <c r="H927" s="192"/>
      <c r="I927" s="192"/>
      <c r="J927" s="175"/>
      <c r="K927" s="192"/>
      <c r="L927" s="192"/>
      <c r="M927" s="192"/>
      <c r="N927" s="175"/>
      <c r="O927" s="116"/>
      <c r="P927" s="175"/>
      <c r="Q927" s="175"/>
      <c r="R927" s="220"/>
      <c r="S927" s="175"/>
      <c r="T927" s="175"/>
      <c r="U927" s="175"/>
      <c r="V927" s="175"/>
      <c r="W927" s="175"/>
      <c r="X927" s="116"/>
    </row>
    <row r="928" spans="1:24" s="112" customFormat="1">
      <c r="A928" s="116"/>
      <c r="B928" s="115"/>
      <c r="C928" s="115"/>
      <c r="D928" s="131"/>
      <c r="E928" s="177"/>
      <c r="F928" s="28"/>
      <c r="G928" s="118"/>
      <c r="H928" s="192"/>
      <c r="I928" s="192"/>
      <c r="J928" s="175"/>
      <c r="K928" s="192"/>
      <c r="L928" s="192"/>
      <c r="M928" s="192"/>
      <c r="N928" s="175"/>
      <c r="O928" s="116"/>
      <c r="P928" s="175"/>
      <c r="Q928" s="175"/>
      <c r="R928" s="220"/>
      <c r="S928" s="175"/>
      <c r="T928" s="175"/>
      <c r="U928" s="175"/>
      <c r="V928" s="175"/>
      <c r="W928" s="175"/>
      <c r="X928" s="116"/>
    </row>
    <row r="929" spans="1:24" s="112" customFormat="1">
      <c r="A929" s="116"/>
      <c r="B929" s="115"/>
      <c r="C929" s="115"/>
      <c r="D929" s="131"/>
      <c r="E929" s="177"/>
      <c r="F929" s="28"/>
      <c r="G929" s="118"/>
      <c r="H929" s="192"/>
      <c r="I929" s="192"/>
      <c r="J929" s="175"/>
      <c r="K929" s="192"/>
      <c r="L929" s="192"/>
      <c r="M929" s="192"/>
      <c r="N929" s="175"/>
      <c r="O929" s="116"/>
      <c r="P929" s="175"/>
      <c r="Q929" s="175"/>
      <c r="R929" s="220"/>
      <c r="S929" s="175"/>
      <c r="T929" s="175"/>
      <c r="U929" s="175"/>
      <c r="V929" s="175"/>
      <c r="W929" s="175"/>
      <c r="X929" s="116"/>
    </row>
    <row r="930" spans="1:24" s="112" customFormat="1">
      <c r="A930" s="116"/>
      <c r="B930" s="115"/>
      <c r="C930" s="115"/>
      <c r="D930" s="131"/>
      <c r="E930" s="177"/>
      <c r="F930" s="28"/>
      <c r="G930" s="118"/>
      <c r="H930" s="192"/>
      <c r="I930" s="192"/>
      <c r="J930" s="175"/>
      <c r="K930" s="192"/>
      <c r="L930" s="192"/>
      <c r="M930" s="192"/>
      <c r="N930" s="175"/>
      <c r="O930" s="116"/>
      <c r="P930" s="175"/>
      <c r="Q930" s="175"/>
      <c r="R930" s="220"/>
      <c r="S930" s="175"/>
      <c r="T930" s="175"/>
      <c r="U930" s="175"/>
      <c r="V930" s="175"/>
      <c r="W930" s="175"/>
      <c r="X930" s="116"/>
    </row>
    <row r="931" spans="1:24" s="112" customFormat="1">
      <c r="A931" s="116"/>
      <c r="B931" s="115"/>
      <c r="C931" s="115"/>
      <c r="D931" s="131"/>
      <c r="E931" s="177"/>
      <c r="F931" s="28"/>
      <c r="G931" s="118"/>
      <c r="H931" s="192"/>
      <c r="I931" s="192"/>
      <c r="J931" s="175"/>
      <c r="K931" s="192"/>
      <c r="L931" s="192"/>
      <c r="M931" s="192"/>
      <c r="N931" s="175"/>
      <c r="O931" s="116"/>
      <c r="P931" s="175"/>
      <c r="Q931" s="175"/>
      <c r="R931" s="220"/>
      <c r="S931" s="175"/>
      <c r="T931" s="175"/>
      <c r="U931" s="175"/>
      <c r="V931" s="175"/>
      <c r="W931" s="175"/>
      <c r="X931" s="116"/>
    </row>
    <row r="932" spans="1:24" s="112" customFormat="1">
      <c r="A932" s="116"/>
      <c r="B932" s="115"/>
      <c r="C932" s="115"/>
      <c r="D932" s="131"/>
      <c r="E932" s="177"/>
      <c r="F932" s="28"/>
      <c r="G932" s="118"/>
      <c r="H932" s="192"/>
      <c r="I932" s="192"/>
      <c r="J932" s="175"/>
      <c r="K932" s="192"/>
      <c r="L932" s="192"/>
      <c r="M932" s="192"/>
      <c r="N932" s="175"/>
      <c r="O932" s="116"/>
      <c r="P932" s="175"/>
      <c r="Q932" s="175"/>
      <c r="R932" s="220"/>
      <c r="S932" s="175"/>
      <c r="T932" s="175"/>
      <c r="U932" s="175"/>
      <c r="V932" s="175"/>
      <c r="W932" s="175"/>
      <c r="X932" s="116"/>
    </row>
    <row r="933" spans="1:24" s="112" customFormat="1">
      <c r="A933" s="116"/>
      <c r="B933" s="115"/>
      <c r="C933" s="115"/>
      <c r="D933" s="131"/>
      <c r="E933" s="177"/>
      <c r="F933" s="28"/>
      <c r="G933" s="118"/>
      <c r="H933" s="192"/>
      <c r="I933" s="192"/>
      <c r="J933" s="175"/>
      <c r="K933" s="192"/>
      <c r="L933" s="192"/>
      <c r="M933" s="192"/>
      <c r="N933" s="175"/>
      <c r="O933" s="116"/>
      <c r="P933" s="175"/>
      <c r="Q933" s="175"/>
      <c r="R933" s="220"/>
      <c r="S933" s="175"/>
      <c r="T933" s="175"/>
      <c r="U933" s="175"/>
      <c r="V933" s="175"/>
      <c r="W933" s="175"/>
      <c r="X933" s="116"/>
    </row>
    <row r="934" spans="1:24" s="112" customFormat="1">
      <c r="A934" s="116"/>
      <c r="B934" s="115"/>
      <c r="C934" s="115"/>
      <c r="D934" s="131"/>
      <c r="E934" s="177"/>
      <c r="F934" s="28"/>
      <c r="G934" s="118"/>
      <c r="H934" s="192"/>
      <c r="I934" s="192"/>
      <c r="J934" s="175"/>
      <c r="K934" s="192"/>
      <c r="L934" s="192"/>
      <c r="M934" s="192"/>
      <c r="N934" s="175"/>
      <c r="O934" s="116"/>
      <c r="P934" s="175"/>
      <c r="Q934" s="175"/>
      <c r="R934" s="220"/>
      <c r="S934" s="175"/>
      <c r="T934" s="175"/>
      <c r="U934" s="175"/>
      <c r="V934" s="175"/>
      <c r="W934" s="175"/>
      <c r="X934" s="116"/>
    </row>
    <row r="935" spans="1:24" s="112" customFormat="1">
      <c r="A935" s="116"/>
      <c r="B935" s="115"/>
      <c r="C935" s="115"/>
      <c r="D935" s="131"/>
      <c r="E935" s="177"/>
      <c r="F935" s="28"/>
      <c r="G935" s="118"/>
      <c r="H935" s="192"/>
      <c r="I935" s="192"/>
      <c r="J935" s="175"/>
      <c r="K935" s="192"/>
      <c r="L935" s="192"/>
      <c r="M935" s="192"/>
      <c r="N935" s="175"/>
      <c r="O935" s="116"/>
      <c r="P935" s="175"/>
      <c r="Q935" s="175"/>
      <c r="R935" s="220"/>
      <c r="S935" s="175"/>
      <c r="T935" s="175"/>
      <c r="U935" s="175"/>
      <c r="V935" s="175"/>
      <c r="W935" s="175"/>
      <c r="X935" s="116"/>
    </row>
    <row r="936" spans="1:24" s="112" customFormat="1">
      <c r="A936" s="116"/>
      <c r="B936" s="115"/>
      <c r="C936" s="115"/>
      <c r="D936" s="131"/>
      <c r="E936" s="177"/>
      <c r="F936" s="28"/>
      <c r="G936" s="118"/>
      <c r="H936" s="192"/>
      <c r="I936" s="192"/>
      <c r="J936" s="175"/>
      <c r="K936" s="192"/>
      <c r="L936" s="192"/>
      <c r="M936" s="192"/>
      <c r="N936" s="175"/>
      <c r="O936" s="116"/>
      <c r="P936" s="175"/>
      <c r="Q936" s="175"/>
      <c r="R936" s="220"/>
      <c r="S936" s="175"/>
      <c r="T936" s="175"/>
      <c r="U936" s="175"/>
      <c r="V936" s="175"/>
      <c r="W936" s="175"/>
      <c r="X936" s="116"/>
    </row>
    <row r="937" spans="1:24" s="112" customFormat="1">
      <c r="A937" s="116"/>
      <c r="B937" s="115"/>
      <c r="C937" s="115"/>
      <c r="D937" s="131"/>
      <c r="E937" s="177"/>
      <c r="F937" s="28"/>
      <c r="G937" s="118"/>
      <c r="H937" s="192"/>
      <c r="I937" s="192"/>
      <c r="J937" s="175"/>
      <c r="K937" s="192"/>
      <c r="L937" s="192"/>
      <c r="M937" s="192"/>
      <c r="N937" s="175"/>
      <c r="O937" s="116"/>
      <c r="P937" s="175"/>
      <c r="Q937" s="175"/>
      <c r="R937" s="220"/>
      <c r="S937" s="175"/>
      <c r="T937" s="175"/>
      <c r="U937" s="175"/>
      <c r="V937" s="175"/>
      <c r="W937" s="175"/>
      <c r="X937" s="116"/>
    </row>
    <row r="938" spans="1:24" s="112" customFormat="1">
      <c r="A938" s="116"/>
      <c r="B938" s="115"/>
      <c r="C938" s="115"/>
      <c r="D938" s="131"/>
      <c r="E938" s="177"/>
      <c r="F938" s="28"/>
      <c r="G938" s="118"/>
      <c r="H938" s="192"/>
      <c r="I938" s="192"/>
      <c r="J938" s="175"/>
      <c r="K938" s="192"/>
      <c r="L938" s="192"/>
      <c r="M938" s="192"/>
      <c r="N938" s="175"/>
      <c r="O938" s="116"/>
      <c r="P938" s="175"/>
      <c r="Q938" s="175"/>
      <c r="R938" s="220"/>
      <c r="S938" s="175"/>
      <c r="T938" s="175"/>
      <c r="U938" s="175"/>
      <c r="V938" s="175"/>
      <c r="W938" s="175"/>
      <c r="X938" s="116"/>
    </row>
    <row r="939" spans="1:24" s="112" customFormat="1">
      <c r="A939" s="116"/>
      <c r="B939" s="115"/>
      <c r="C939" s="115"/>
      <c r="D939" s="131"/>
      <c r="E939" s="177"/>
      <c r="F939" s="28"/>
      <c r="G939" s="118"/>
      <c r="H939" s="192"/>
      <c r="I939" s="192"/>
      <c r="J939" s="175"/>
      <c r="K939" s="192"/>
      <c r="L939" s="192"/>
      <c r="M939" s="192"/>
      <c r="N939" s="175"/>
      <c r="O939" s="116"/>
      <c r="P939" s="175"/>
      <c r="Q939" s="175"/>
      <c r="R939" s="220"/>
      <c r="S939" s="175"/>
      <c r="T939" s="175"/>
      <c r="U939" s="175"/>
      <c r="V939" s="175"/>
      <c r="W939" s="175"/>
      <c r="X939" s="116"/>
    </row>
    <row r="940" spans="1:24" s="112" customFormat="1">
      <c r="A940" s="116"/>
      <c r="B940" s="115"/>
      <c r="C940" s="115"/>
      <c r="D940" s="131"/>
      <c r="E940" s="177"/>
      <c r="F940" s="28"/>
      <c r="G940" s="118"/>
      <c r="H940" s="192"/>
      <c r="I940" s="192"/>
      <c r="J940" s="175"/>
      <c r="K940" s="192"/>
      <c r="L940" s="192"/>
      <c r="M940" s="192"/>
      <c r="N940" s="175"/>
      <c r="O940" s="116"/>
      <c r="P940" s="175"/>
      <c r="Q940" s="175"/>
      <c r="R940" s="220"/>
      <c r="S940" s="175"/>
      <c r="T940" s="175"/>
      <c r="U940" s="175"/>
      <c r="V940" s="175"/>
      <c r="W940" s="175"/>
      <c r="X940" s="116"/>
    </row>
    <row r="941" spans="1:24" s="112" customFormat="1">
      <c r="A941" s="116"/>
      <c r="B941" s="115"/>
      <c r="C941" s="115"/>
      <c r="D941" s="131"/>
      <c r="E941" s="177"/>
      <c r="F941" s="28"/>
      <c r="G941" s="118"/>
      <c r="H941" s="192"/>
      <c r="I941" s="192"/>
      <c r="J941" s="175"/>
      <c r="K941" s="192"/>
      <c r="L941" s="192"/>
      <c r="M941" s="192"/>
      <c r="N941" s="175"/>
      <c r="O941" s="116"/>
      <c r="P941" s="175"/>
      <c r="Q941" s="175"/>
      <c r="R941" s="220"/>
      <c r="S941" s="175"/>
      <c r="T941" s="175"/>
      <c r="U941" s="175"/>
      <c r="V941" s="175"/>
      <c r="W941" s="175"/>
      <c r="X941" s="116"/>
    </row>
    <row r="942" spans="1:24" s="112" customFormat="1">
      <c r="A942" s="116"/>
      <c r="B942" s="115"/>
      <c r="C942" s="115"/>
      <c r="D942" s="131"/>
      <c r="E942" s="177"/>
      <c r="F942" s="28"/>
      <c r="G942" s="118"/>
      <c r="H942" s="192"/>
      <c r="I942" s="192"/>
      <c r="J942" s="175"/>
      <c r="K942" s="192"/>
      <c r="L942" s="192"/>
      <c r="M942" s="192"/>
      <c r="N942" s="175"/>
      <c r="O942" s="116"/>
      <c r="P942" s="175"/>
      <c r="Q942" s="175"/>
      <c r="R942" s="220"/>
      <c r="S942" s="175"/>
      <c r="T942" s="175"/>
      <c r="U942" s="175"/>
      <c r="V942" s="175"/>
      <c r="W942" s="175"/>
      <c r="X942" s="116"/>
    </row>
    <row r="943" spans="1:24" s="112" customFormat="1">
      <c r="A943" s="116"/>
      <c r="B943" s="115"/>
      <c r="C943" s="115"/>
      <c r="D943" s="131"/>
      <c r="E943" s="177"/>
      <c r="F943" s="28"/>
      <c r="G943" s="118"/>
      <c r="H943" s="192"/>
      <c r="I943" s="192"/>
      <c r="J943" s="175"/>
      <c r="K943" s="192"/>
      <c r="L943" s="192"/>
      <c r="M943" s="192"/>
      <c r="N943" s="175"/>
      <c r="O943" s="116"/>
      <c r="P943" s="175"/>
      <c r="Q943" s="175"/>
      <c r="R943" s="220"/>
      <c r="S943" s="175"/>
      <c r="T943" s="175"/>
      <c r="U943" s="175"/>
      <c r="V943" s="175"/>
      <c r="W943" s="175"/>
      <c r="X943" s="116"/>
    </row>
    <row r="944" spans="1:24" s="112" customFormat="1">
      <c r="A944" s="116"/>
      <c r="B944" s="115"/>
      <c r="C944" s="115"/>
      <c r="D944" s="131"/>
      <c r="E944" s="177"/>
      <c r="F944" s="28"/>
      <c r="G944" s="118"/>
      <c r="H944" s="192"/>
      <c r="I944" s="192"/>
      <c r="J944" s="175"/>
      <c r="K944" s="192"/>
      <c r="L944" s="192"/>
      <c r="M944" s="192"/>
      <c r="N944" s="175"/>
      <c r="O944" s="116"/>
      <c r="P944" s="175"/>
      <c r="Q944" s="175"/>
      <c r="R944" s="220"/>
      <c r="S944" s="175"/>
      <c r="T944" s="175"/>
      <c r="U944" s="175"/>
      <c r="V944" s="175"/>
      <c r="W944" s="175"/>
      <c r="X944" s="116"/>
    </row>
    <row r="945" spans="1:24" s="112" customFormat="1">
      <c r="A945" s="116"/>
      <c r="B945" s="115"/>
      <c r="C945" s="115"/>
      <c r="D945" s="131"/>
      <c r="E945" s="177"/>
      <c r="F945" s="28"/>
      <c r="G945" s="118"/>
      <c r="H945" s="192"/>
      <c r="I945" s="192"/>
      <c r="J945" s="175"/>
      <c r="K945" s="192"/>
      <c r="L945" s="192"/>
      <c r="M945" s="192"/>
      <c r="N945" s="175"/>
      <c r="O945" s="116"/>
      <c r="P945" s="175"/>
      <c r="Q945" s="175"/>
      <c r="R945" s="220"/>
      <c r="S945" s="175"/>
      <c r="T945" s="175"/>
      <c r="U945" s="175"/>
      <c r="V945" s="175"/>
      <c r="W945" s="175"/>
      <c r="X945" s="116"/>
    </row>
    <row r="946" spans="1:24" s="112" customFormat="1">
      <c r="A946" s="116"/>
      <c r="B946" s="115"/>
      <c r="C946" s="115"/>
      <c r="D946" s="131"/>
      <c r="E946" s="177"/>
      <c r="F946" s="28"/>
      <c r="G946" s="118"/>
      <c r="H946" s="192"/>
      <c r="I946" s="192"/>
      <c r="J946" s="175"/>
      <c r="K946" s="192"/>
      <c r="L946" s="192"/>
      <c r="M946" s="192"/>
      <c r="N946" s="175"/>
      <c r="O946" s="116"/>
      <c r="P946" s="175"/>
      <c r="Q946" s="175"/>
      <c r="R946" s="220"/>
      <c r="S946" s="175"/>
      <c r="T946" s="175"/>
      <c r="U946" s="175"/>
      <c r="V946" s="175"/>
      <c r="W946" s="175"/>
      <c r="X946" s="116"/>
    </row>
    <row r="947" spans="1:24" s="112" customFormat="1">
      <c r="A947" s="116"/>
      <c r="B947" s="115"/>
      <c r="C947" s="115"/>
      <c r="D947" s="131"/>
      <c r="E947" s="177"/>
      <c r="F947" s="28"/>
      <c r="G947" s="118"/>
      <c r="H947" s="192"/>
      <c r="I947" s="192"/>
      <c r="J947" s="175"/>
      <c r="K947" s="192"/>
      <c r="L947" s="192"/>
      <c r="M947" s="192"/>
      <c r="N947" s="175"/>
      <c r="O947" s="116"/>
      <c r="P947" s="175"/>
      <c r="Q947" s="175"/>
      <c r="R947" s="220"/>
      <c r="S947" s="175"/>
      <c r="T947" s="175"/>
      <c r="U947" s="175"/>
      <c r="V947" s="175"/>
      <c r="W947" s="175"/>
      <c r="X947" s="116"/>
    </row>
    <row r="948" spans="1:24" s="112" customFormat="1">
      <c r="A948" s="116"/>
      <c r="B948" s="115"/>
      <c r="C948" s="115"/>
      <c r="D948" s="131"/>
      <c r="E948" s="177"/>
      <c r="F948" s="28"/>
      <c r="G948" s="118"/>
      <c r="H948" s="192"/>
      <c r="I948" s="192"/>
      <c r="J948" s="175"/>
      <c r="K948" s="192"/>
      <c r="L948" s="192"/>
      <c r="M948" s="192"/>
      <c r="N948" s="175"/>
      <c r="O948" s="116"/>
      <c r="P948" s="175"/>
      <c r="Q948" s="175"/>
      <c r="R948" s="220"/>
      <c r="S948" s="175"/>
      <c r="T948" s="175"/>
      <c r="U948" s="175"/>
      <c r="V948" s="175"/>
      <c r="W948" s="175"/>
      <c r="X948" s="116"/>
    </row>
    <row r="949" spans="1:24" s="112" customFormat="1">
      <c r="A949" s="116"/>
      <c r="B949" s="115"/>
      <c r="C949" s="115"/>
      <c r="D949" s="131"/>
      <c r="E949" s="177"/>
      <c r="F949" s="28"/>
      <c r="G949" s="118"/>
      <c r="H949" s="192"/>
      <c r="I949" s="192"/>
      <c r="J949" s="175"/>
      <c r="K949" s="192"/>
      <c r="L949" s="192"/>
      <c r="M949" s="192"/>
      <c r="N949" s="175"/>
      <c r="O949" s="116"/>
      <c r="P949" s="175"/>
      <c r="Q949" s="175"/>
      <c r="R949" s="220"/>
      <c r="S949" s="175"/>
      <c r="T949" s="175"/>
      <c r="U949" s="175"/>
      <c r="V949" s="175"/>
      <c r="W949" s="175"/>
      <c r="X949" s="116"/>
    </row>
    <row r="950" spans="1:24" s="112" customFormat="1">
      <c r="A950" s="116"/>
      <c r="B950" s="115"/>
      <c r="C950" s="115"/>
      <c r="D950" s="131"/>
      <c r="E950" s="177"/>
      <c r="F950" s="28"/>
      <c r="G950" s="118"/>
      <c r="H950" s="192"/>
      <c r="I950" s="192"/>
      <c r="J950" s="175"/>
      <c r="K950" s="192"/>
      <c r="L950" s="192"/>
      <c r="M950" s="192"/>
      <c r="N950" s="175"/>
      <c r="O950" s="116"/>
      <c r="P950" s="175"/>
      <c r="Q950" s="175"/>
      <c r="R950" s="220"/>
      <c r="S950" s="175"/>
      <c r="T950" s="175"/>
      <c r="U950" s="175"/>
      <c r="V950" s="175"/>
      <c r="W950" s="175"/>
      <c r="X950" s="116"/>
    </row>
    <row r="951" spans="1:24" s="112" customFormat="1">
      <c r="A951" s="116"/>
      <c r="B951" s="115"/>
      <c r="C951" s="115"/>
      <c r="D951" s="131"/>
      <c r="E951" s="177"/>
      <c r="F951" s="28"/>
      <c r="G951" s="118"/>
      <c r="H951" s="192"/>
      <c r="I951" s="192"/>
      <c r="J951" s="175"/>
      <c r="K951" s="192"/>
      <c r="L951" s="192"/>
      <c r="M951" s="192"/>
      <c r="N951" s="175"/>
      <c r="O951" s="116"/>
      <c r="P951" s="175"/>
      <c r="Q951" s="175"/>
      <c r="R951" s="220"/>
      <c r="S951" s="175"/>
      <c r="T951" s="175"/>
      <c r="U951" s="175"/>
      <c r="V951" s="175"/>
      <c r="W951" s="175"/>
      <c r="X951" s="116"/>
    </row>
    <row r="952" spans="1:24" s="112" customFormat="1">
      <c r="A952" s="116"/>
      <c r="B952" s="115"/>
      <c r="C952" s="115"/>
      <c r="D952" s="131"/>
      <c r="E952" s="177"/>
      <c r="F952" s="28"/>
      <c r="G952" s="118"/>
      <c r="H952" s="192"/>
      <c r="I952" s="192"/>
      <c r="J952" s="175"/>
      <c r="K952" s="192"/>
      <c r="L952" s="192"/>
      <c r="M952" s="192"/>
      <c r="N952" s="175"/>
      <c r="O952" s="116"/>
      <c r="P952" s="175"/>
      <c r="Q952" s="175"/>
      <c r="R952" s="220"/>
      <c r="S952" s="175"/>
      <c r="T952" s="175"/>
      <c r="U952" s="175"/>
      <c r="V952" s="175"/>
      <c r="W952" s="175"/>
      <c r="X952" s="116"/>
    </row>
    <row r="953" spans="1:24" s="112" customFormat="1">
      <c r="A953" s="116"/>
      <c r="B953" s="115"/>
      <c r="C953" s="115"/>
      <c r="D953" s="131"/>
      <c r="E953" s="177"/>
      <c r="F953" s="28"/>
      <c r="G953" s="118"/>
      <c r="H953" s="192"/>
      <c r="I953" s="192"/>
      <c r="J953" s="175"/>
      <c r="K953" s="192"/>
      <c r="L953" s="192"/>
      <c r="M953" s="192"/>
      <c r="N953" s="175"/>
      <c r="O953" s="116"/>
      <c r="P953" s="175"/>
      <c r="Q953" s="175"/>
      <c r="R953" s="220"/>
      <c r="S953" s="175"/>
      <c r="T953" s="175"/>
      <c r="U953" s="175"/>
      <c r="V953" s="175"/>
      <c r="W953" s="175"/>
      <c r="X953" s="116"/>
    </row>
    <row r="954" spans="1:24" s="112" customFormat="1">
      <c r="A954" s="116"/>
      <c r="B954" s="115"/>
      <c r="C954" s="115"/>
      <c r="D954" s="131"/>
      <c r="E954" s="177"/>
      <c r="F954" s="28"/>
      <c r="G954" s="118"/>
      <c r="H954" s="192"/>
      <c r="I954" s="192"/>
      <c r="J954" s="175"/>
      <c r="K954" s="192"/>
      <c r="L954" s="192"/>
      <c r="M954" s="192"/>
      <c r="N954" s="175"/>
      <c r="O954" s="116"/>
      <c r="P954" s="175"/>
      <c r="Q954" s="175"/>
      <c r="R954" s="220"/>
      <c r="S954" s="175"/>
      <c r="T954" s="175"/>
      <c r="U954" s="175"/>
      <c r="V954" s="175"/>
      <c r="W954" s="175"/>
      <c r="X954" s="116"/>
    </row>
    <row r="955" spans="1:24" s="112" customFormat="1">
      <c r="A955" s="116"/>
      <c r="B955" s="115"/>
      <c r="C955" s="115"/>
      <c r="D955" s="131"/>
      <c r="E955" s="177"/>
      <c r="F955" s="28"/>
      <c r="G955" s="118"/>
      <c r="H955" s="192"/>
      <c r="I955" s="192"/>
      <c r="J955" s="175"/>
      <c r="K955" s="192"/>
      <c r="L955" s="192"/>
      <c r="M955" s="192"/>
      <c r="N955" s="175"/>
      <c r="O955" s="116"/>
      <c r="P955" s="175"/>
      <c r="Q955" s="175"/>
      <c r="R955" s="220"/>
      <c r="S955" s="175"/>
      <c r="T955" s="175"/>
      <c r="U955" s="175"/>
      <c r="V955" s="175"/>
      <c r="W955" s="175"/>
      <c r="X955" s="116"/>
    </row>
    <row r="956" spans="1:24" s="112" customFormat="1">
      <c r="A956" s="116"/>
      <c r="B956" s="115"/>
      <c r="C956" s="115"/>
      <c r="D956" s="131"/>
      <c r="E956" s="177"/>
      <c r="F956" s="28"/>
      <c r="G956" s="118"/>
      <c r="H956" s="192"/>
      <c r="I956" s="192"/>
      <c r="J956" s="175"/>
      <c r="K956" s="192"/>
      <c r="L956" s="192"/>
      <c r="M956" s="192"/>
      <c r="N956" s="175"/>
      <c r="O956" s="116"/>
      <c r="P956" s="175"/>
      <c r="Q956" s="175"/>
      <c r="R956" s="220"/>
      <c r="S956" s="175"/>
      <c r="T956" s="175"/>
      <c r="U956" s="175"/>
      <c r="V956" s="175"/>
      <c r="W956" s="175"/>
      <c r="X956" s="116"/>
    </row>
    <row r="957" spans="1:24" s="112" customFormat="1">
      <c r="A957" s="116"/>
      <c r="B957" s="115"/>
      <c r="C957" s="115"/>
      <c r="D957" s="131"/>
      <c r="E957" s="177"/>
      <c r="F957" s="28"/>
      <c r="G957" s="118"/>
      <c r="H957" s="192"/>
      <c r="I957" s="192"/>
      <c r="J957" s="175"/>
      <c r="K957" s="192"/>
      <c r="L957" s="192"/>
      <c r="M957" s="192"/>
      <c r="N957" s="175"/>
      <c r="O957" s="116"/>
      <c r="P957" s="175"/>
      <c r="Q957" s="175"/>
      <c r="R957" s="220"/>
      <c r="S957" s="175"/>
      <c r="T957" s="175"/>
      <c r="U957" s="175"/>
      <c r="V957" s="175"/>
      <c r="W957" s="175"/>
      <c r="X957" s="116"/>
    </row>
    <row r="958" spans="1:24" s="112" customFormat="1">
      <c r="A958" s="116"/>
      <c r="B958" s="115"/>
      <c r="C958" s="115"/>
      <c r="D958" s="131"/>
      <c r="E958" s="177"/>
      <c r="F958" s="28"/>
      <c r="G958" s="118"/>
      <c r="H958" s="192"/>
      <c r="I958" s="192"/>
      <c r="J958" s="175"/>
      <c r="K958" s="192"/>
      <c r="L958" s="192"/>
      <c r="M958" s="192"/>
      <c r="N958" s="175"/>
      <c r="O958" s="116"/>
      <c r="P958" s="175"/>
      <c r="Q958" s="175"/>
      <c r="R958" s="220"/>
      <c r="S958" s="175"/>
      <c r="T958" s="175"/>
      <c r="U958" s="175"/>
      <c r="V958" s="175"/>
      <c r="W958" s="175"/>
      <c r="X958" s="116"/>
    </row>
    <row r="959" spans="1:24" s="112" customFormat="1">
      <c r="A959" s="116"/>
      <c r="B959" s="115"/>
      <c r="C959" s="115"/>
      <c r="D959" s="131"/>
      <c r="E959" s="177"/>
      <c r="F959" s="28"/>
      <c r="G959" s="118"/>
      <c r="H959" s="192"/>
      <c r="I959" s="192"/>
      <c r="J959" s="175"/>
      <c r="K959" s="192"/>
      <c r="L959" s="192"/>
      <c r="M959" s="192"/>
      <c r="N959" s="175"/>
      <c r="O959" s="116"/>
      <c r="P959" s="175"/>
      <c r="Q959" s="175"/>
      <c r="R959" s="220"/>
      <c r="S959" s="175"/>
      <c r="T959" s="175"/>
      <c r="U959" s="175"/>
      <c r="V959" s="175"/>
      <c r="W959" s="175"/>
      <c r="X959" s="116"/>
    </row>
    <row r="960" spans="1:24" s="112" customFormat="1">
      <c r="A960" s="116"/>
      <c r="B960" s="115"/>
      <c r="C960" s="115"/>
      <c r="D960" s="131"/>
      <c r="E960" s="177"/>
      <c r="F960" s="28"/>
      <c r="G960" s="118"/>
      <c r="H960" s="192"/>
      <c r="I960" s="192"/>
      <c r="J960" s="175"/>
      <c r="K960" s="192"/>
      <c r="L960" s="192"/>
      <c r="M960" s="192"/>
      <c r="N960" s="175"/>
      <c r="O960" s="116"/>
      <c r="P960" s="175"/>
      <c r="Q960" s="175"/>
      <c r="R960" s="220"/>
      <c r="S960" s="175"/>
      <c r="T960" s="175"/>
      <c r="U960" s="175"/>
      <c r="V960" s="175"/>
      <c r="W960" s="175"/>
      <c r="X960" s="116"/>
    </row>
    <row r="961" spans="1:24" s="112" customFormat="1">
      <c r="A961" s="116"/>
      <c r="B961" s="115"/>
      <c r="C961" s="115"/>
      <c r="D961" s="131"/>
      <c r="E961" s="177"/>
      <c r="F961" s="28"/>
      <c r="G961" s="118"/>
      <c r="H961" s="192"/>
      <c r="I961" s="192"/>
      <c r="J961" s="175"/>
      <c r="K961" s="192"/>
      <c r="L961" s="192"/>
      <c r="M961" s="192"/>
      <c r="N961" s="175"/>
      <c r="O961" s="116"/>
      <c r="P961" s="175"/>
      <c r="Q961" s="175"/>
      <c r="R961" s="220"/>
      <c r="S961" s="175"/>
      <c r="T961" s="175"/>
      <c r="U961" s="175"/>
      <c r="V961" s="175"/>
      <c r="W961" s="175"/>
      <c r="X961" s="116"/>
    </row>
    <row r="962" spans="1:24" s="112" customFormat="1">
      <c r="A962" s="116"/>
      <c r="B962" s="115"/>
      <c r="C962" s="115"/>
      <c r="D962" s="131"/>
      <c r="E962" s="177"/>
      <c r="F962" s="28"/>
      <c r="G962" s="118"/>
      <c r="H962" s="192"/>
      <c r="I962" s="192"/>
      <c r="J962" s="175"/>
      <c r="K962" s="192"/>
      <c r="L962" s="192"/>
      <c r="M962" s="192"/>
      <c r="N962" s="175"/>
      <c r="O962" s="116"/>
      <c r="P962" s="175"/>
      <c r="Q962" s="175"/>
      <c r="R962" s="220"/>
      <c r="S962" s="175"/>
      <c r="T962" s="175"/>
      <c r="U962" s="175"/>
      <c r="V962" s="175"/>
      <c r="W962" s="175"/>
      <c r="X962" s="116"/>
    </row>
    <row r="963" spans="1:24" s="112" customFormat="1">
      <c r="A963" s="116"/>
      <c r="B963" s="115"/>
      <c r="C963" s="115"/>
      <c r="D963" s="131"/>
      <c r="E963" s="177"/>
      <c r="F963" s="28"/>
      <c r="G963" s="118"/>
      <c r="H963" s="192"/>
      <c r="I963" s="192"/>
      <c r="J963" s="175"/>
      <c r="K963" s="192"/>
      <c r="L963" s="192"/>
      <c r="M963" s="192"/>
      <c r="N963" s="175"/>
      <c r="O963" s="116"/>
      <c r="P963" s="175"/>
      <c r="Q963" s="175"/>
      <c r="R963" s="220"/>
      <c r="S963" s="175"/>
      <c r="T963" s="175"/>
      <c r="U963" s="175"/>
      <c r="V963" s="175"/>
      <c r="W963" s="175"/>
      <c r="X963" s="116"/>
    </row>
    <row r="964" spans="1:24" s="112" customFormat="1">
      <c r="A964" s="116"/>
      <c r="B964" s="115"/>
      <c r="C964" s="115"/>
      <c r="D964" s="131"/>
      <c r="E964" s="177"/>
      <c r="F964" s="28"/>
      <c r="G964" s="118"/>
      <c r="H964" s="192"/>
      <c r="I964" s="192"/>
      <c r="J964" s="175"/>
      <c r="K964" s="192"/>
      <c r="L964" s="192"/>
      <c r="M964" s="192"/>
      <c r="N964" s="175"/>
      <c r="O964" s="116"/>
      <c r="P964" s="175"/>
      <c r="Q964" s="175"/>
      <c r="R964" s="220"/>
      <c r="S964" s="175"/>
      <c r="T964" s="175"/>
      <c r="U964" s="175"/>
      <c r="V964" s="175"/>
      <c r="W964" s="175"/>
      <c r="X964" s="116"/>
    </row>
    <row r="965" spans="1:24" s="112" customFormat="1">
      <c r="A965" s="116"/>
      <c r="B965" s="115"/>
      <c r="C965" s="115"/>
      <c r="D965" s="131"/>
      <c r="E965" s="177"/>
      <c r="F965" s="28"/>
      <c r="G965" s="118"/>
      <c r="H965" s="192"/>
      <c r="I965" s="192"/>
      <c r="J965" s="175"/>
      <c r="K965" s="192"/>
      <c r="L965" s="192"/>
      <c r="M965" s="192"/>
      <c r="N965" s="175"/>
      <c r="O965" s="116"/>
      <c r="P965" s="175"/>
      <c r="Q965" s="175"/>
      <c r="R965" s="220"/>
      <c r="S965" s="175"/>
      <c r="T965" s="175"/>
      <c r="U965" s="175"/>
      <c r="V965" s="175"/>
      <c r="W965" s="175"/>
      <c r="X965" s="116"/>
    </row>
    <row r="966" spans="1:24" s="112" customFormat="1">
      <c r="A966" s="116"/>
      <c r="B966" s="115"/>
      <c r="C966" s="115"/>
      <c r="D966" s="131"/>
      <c r="E966" s="177"/>
      <c r="F966" s="28"/>
      <c r="G966" s="118"/>
      <c r="H966" s="192"/>
      <c r="I966" s="192"/>
      <c r="J966" s="175"/>
      <c r="K966" s="192"/>
      <c r="L966" s="192"/>
      <c r="M966" s="192"/>
      <c r="N966" s="175"/>
      <c r="O966" s="116"/>
      <c r="P966" s="175"/>
      <c r="Q966" s="175"/>
      <c r="R966" s="220"/>
      <c r="S966" s="175"/>
      <c r="T966" s="175"/>
      <c r="U966" s="175"/>
      <c r="V966" s="175"/>
      <c r="W966" s="175"/>
      <c r="X966" s="116"/>
    </row>
    <row r="967" spans="1:24" s="112" customFormat="1">
      <c r="A967" s="116"/>
      <c r="B967" s="115"/>
      <c r="C967" s="115"/>
      <c r="D967" s="131"/>
      <c r="E967" s="177"/>
      <c r="F967" s="28"/>
      <c r="G967" s="118"/>
      <c r="H967" s="192"/>
      <c r="I967" s="192"/>
      <c r="J967" s="175"/>
      <c r="K967" s="192"/>
      <c r="L967" s="192"/>
      <c r="M967" s="192"/>
      <c r="N967" s="175"/>
      <c r="O967" s="116"/>
      <c r="P967" s="175"/>
      <c r="Q967" s="175"/>
      <c r="R967" s="220"/>
      <c r="S967" s="175"/>
      <c r="T967" s="175"/>
      <c r="U967" s="175"/>
      <c r="V967" s="175"/>
      <c r="W967" s="175"/>
      <c r="X967" s="116"/>
    </row>
    <row r="968" spans="1:24" s="112" customFormat="1">
      <c r="A968" s="116"/>
      <c r="B968" s="115"/>
      <c r="C968" s="115"/>
      <c r="D968" s="131"/>
      <c r="E968" s="177"/>
      <c r="F968" s="28"/>
      <c r="G968" s="118"/>
      <c r="H968" s="192"/>
      <c r="I968" s="192"/>
      <c r="J968" s="175"/>
      <c r="K968" s="192"/>
      <c r="L968" s="192"/>
      <c r="M968" s="192"/>
      <c r="N968" s="175"/>
      <c r="O968" s="116"/>
      <c r="P968" s="175"/>
      <c r="Q968" s="175"/>
      <c r="R968" s="220"/>
      <c r="S968" s="175"/>
      <c r="T968" s="175"/>
      <c r="U968" s="175"/>
      <c r="V968" s="175"/>
      <c r="W968" s="175"/>
      <c r="X968" s="116"/>
    </row>
    <row r="969" spans="1:24" s="112" customFormat="1">
      <c r="A969" s="116"/>
      <c r="B969" s="115"/>
      <c r="C969" s="115"/>
      <c r="D969" s="131"/>
      <c r="E969" s="177"/>
      <c r="F969" s="28"/>
      <c r="G969" s="118"/>
      <c r="H969" s="192"/>
      <c r="I969" s="192"/>
      <c r="J969" s="175"/>
      <c r="K969" s="192"/>
      <c r="L969" s="192"/>
      <c r="M969" s="192"/>
      <c r="N969" s="175"/>
      <c r="O969" s="116"/>
      <c r="P969" s="175"/>
      <c r="Q969" s="175"/>
      <c r="R969" s="220"/>
      <c r="S969" s="175"/>
      <c r="T969" s="175"/>
      <c r="U969" s="175"/>
      <c r="V969" s="175"/>
      <c r="W969" s="175"/>
      <c r="X969" s="116"/>
    </row>
    <row r="970" spans="1:24" s="112" customFormat="1">
      <c r="A970" s="116"/>
      <c r="B970" s="115"/>
      <c r="C970" s="115"/>
      <c r="D970" s="131"/>
      <c r="E970" s="177"/>
      <c r="F970" s="28"/>
      <c r="G970" s="118"/>
      <c r="H970" s="192"/>
      <c r="I970" s="192"/>
      <c r="J970" s="175"/>
      <c r="K970" s="192"/>
      <c r="L970" s="192"/>
      <c r="M970" s="192"/>
      <c r="N970" s="175"/>
      <c r="O970" s="116"/>
      <c r="P970" s="175"/>
      <c r="Q970" s="175"/>
      <c r="R970" s="220"/>
      <c r="S970" s="175"/>
      <c r="T970" s="175"/>
      <c r="U970" s="175"/>
      <c r="V970" s="175"/>
      <c r="W970" s="175"/>
      <c r="X970" s="116"/>
    </row>
    <row r="971" spans="1:24" s="112" customFormat="1">
      <c r="A971" s="116"/>
      <c r="B971" s="115"/>
      <c r="C971" s="115"/>
      <c r="D971" s="131"/>
      <c r="E971" s="177"/>
      <c r="F971" s="28"/>
      <c r="G971" s="118"/>
      <c r="H971" s="192"/>
      <c r="I971" s="192"/>
      <c r="J971" s="175"/>
      <c r="K971" s="192"/>
      <c r="L971" s="192"/>
      <c r="M971" s="192"/>
      <c r="N971" s="175"/>
      <c r="O971" s="116"/>
      <c r="P971" s="175"/>
      <c r="Q971" s="175"/>
      <c r="R971" s="220"/>
      <c r="S971" s="175"/>
      <c r="T971" s="175"/>
      <c r="U971" s="175"/>
      <c r="V971" s="175"/>
      <c r="W971" s="175"/>
      <c r="X971" s="116"/>
    </row>
    <row r="972" spans="1:24" s="112" customFormat="1">
      <c r="A972" s="116"/>
      <c r="B972" s="115"/>
      <c r="C972" s="115"/>
      <c r="D972" s="131"/>
      <c r="E972" s="177"/>
      <c r="F972" s="28"/>
      <c r="G972" s="118"/>
      <c r="H972" s="192"/>
      <c r="I972" s="192"/>
      <c r="J972" s="175"/>
      <c r="K972" s="192"/>
      <c r="L972" s="192"/>
      <c r="M972" s="192"/>
      <c r="N972" s="175"/>
      <c r="O972" s="116"/>
      <c r="P972" s="175"/>
      <c r="Q972" s="175"/>
      <c r="R972" s="220"/>
      <c r="S972" s="175"/>
      <c r="T972" s="175"/>
      <c r="U972" s="175"/>
      <c r="V972" s="175"/>
      <c r="W972" s="175"/>
      <c r="X972" s="116"/>
    </row>
    <row r="973" spans="1:24" s="112" customFormat="1">
      <c r="A973" s="116"/>
      <c r="B973" s="115"/>
      <c r="C973" s="115"/>
      <c r="D973" s="131"/>
      <c r="E973" s="177"/>
      <c r="F973" s="28"/>
      <c r="G973" s="118"/>
      <c r="H973" s="192"/>
      <c r="I973" s="192"/>
      <c r="J973" s="175"/>
      <c r="K973" s="192"/>
      <c r="L973" s="192"/>
      <c r="M973" s="192"/>
      <c r="N973" s="175"/>
      <c r="O973" s="116"/>
      <c r="P973" s="175"/>
      <c r="Q973" s="175"/>
      <c r="R973" s="220"/>
      <c r="S973" s="175"/>
      <c r="T973" s="175"/>
      <c r="U973" s="175"/>
      <c r="V973" s="175"/>
      <c r="W973" s="175"/>
      <c r="X973" s="116"/>
    </row>
    <row r="974" spans="1:24" s="112" customFormat="1">
      <c r="A974" s="116"/>
      <c r="B974" s="115"/>
      <c r="C974" s="115"/>
      <c r="D974" s="131"/>
      <c r="E974" s="177"/>
      <c r="F974" s="28"/>
      <c r="G974" s="118"/>
      <c r="H974" s="192"/>
      <c r="I974" s="192"/>
      <c r="J974" s="175"/>
      <c r="K974" s="192"/>
      <c r="L974" s="192"/>
      <c r="M974" s="192"/>
      <c r="N974" s="175"/>
      <c r="O974" s="116"/>
      <c r="P974" s="175"/>
      <c r="Q974" s="175"/>
      <c r="R974" s="220"/>
      <c r="S974" s="175"/>
      <c r="T974" s="175"/>
      <c r="U974" s="175"/>
      <c r="V974" s="175"/>
      <c r="W974" s="175"/>
      <c r="X974" s="116"/>
    </row>
    <row r="975" spans="1:24" s="112" customFormat="1">
      <c r="A975" s="116"/>
      <c r="B975" s="115"/>
      <c r="C975" s="115"/>
      <c r="D975" s="131"/>
      <c r="E975" s="177"/>
      <c r="F975" s="28"/>
      <c r="G975" s="118"/>
      <c r="H975" s="192"/>
      <c r="I975" s="192"/>
      <c r="J975" s="175"/>
      <c r="K975" s="192"/>
      <c r="L975" s="192"/>
      <c r="M975" s="192"/>
      <c r="N975" s="175"/>
      <c r="O975" s="116"/>
      <c r="P975" s="175"/>
      <c r="Q975" s="175"/>
      <c r="R975" s="220"/>
      <c r="S975" s="175"/>
      <c r="T975" s="175"/>
      <c r="U975" s="175"/>
      <c r="V975" s="175"/>
      <c r="W975" s="175"/>
      <c r="X975" s="116"/>
    </row>
    <row r="976" spans="1:24" s="112" customFormat="1">
      <c r="A976" s="116"/>
      <c r="B976" s="115"/>
      <c r="C976" s="115"/>
      <c r="D976" s="131"/>
      <c r="E976" s="177"/>
      <c r="F976" s="28"/>
      <c r="G976" s="118"/>
      <c r="H976" s="192"/>
      <c r="I976" s="192"/>
      <c r="J976" s="175"/>
      <c r="K976" s="192"/>
      <c r="L976" s="192"/>
      <c r="M976" s="192"/>
      <c r="N976" s="175"/>
      <c r="O976" s="116"/>
      <c r="P976" s="175"/>
      <c r="Q976" s="175"/>
      <c r="R976" s="220"/>
      <c r="S976" s="175"/>
      <c r="T976" s="175"/>
      <c r="U976" s="175"/>
      <c r="V976" s="175"/>
      <c r="W976" s="175"/>
      <c r="X976" s="116"/>
    </row>
    <row r="977" spans="1:24" s="112" customFormat="1">
      <c r="A977" s="116"/>
      <c r="B977" s="115"/>
      <c r="C977" s="115"/>
      <c r="D977" s="131"/>
      <c r="E977" s="177"/>
      <c r="F977" s="28"/>
      <c r="G977" s="118"/>
      <c r="H977" s="192"/>
      <c r="I977" s="192"/>
      <c r="J977" s="175"/>
      <c r="K977" s="192"/>
      <c r="L977" s="192"/>
      <c r="M977" s="192"/>
      <c r="N977" s="175"/>
      <c r="O977" s="116"/>
      <c r="P977" s="175"/>
      <c r="Q977" s="175"/>
      <c r="R977" s="220"/>
      <c r="S977" s="175"/>
      <c r="T977" s="175"/>
      <c r="U977" s="175"/>
      <c r="V977" s="175"/>
      <c r="W977" s="175"/>
      <c r="X977" s="116"/>
    </row>
    <row r="978" spans="1:24" s="112" customFormat="1">
      <c r="A978" s="116"/>
      <c r="B978" s="115"/>
      <c r="C978" s="115"/>
      <c r="D978" s="131"/>
      <c r="E978" s="177"/>
      <c r="F978" s="28"/>
      <c r="G978" s="118"/>
      <c r="H978" s="192"/>
      <c r="I978" s="192"/>
      <c r="J978" s="175"/>
      <c r="K978" s="192"/>
      <c r="L978" s="192"/>
      <c r="M978" s="192"/>
      <c r="N978" s="175"/>
      <c r="O978" s="116"/>
      <c r="P978" s="175"/>
      <c r="Q978" s="175"/>
      <c r="R978" s="220"/>
      <c r="S978" s="175"/>
      <c r="T978" s="175"/>
      <c r="U978" s="175"/>
      <c r="V978" s="175"/>
      <c r="W978" s="175"/>
      <c r="X978" s="116"/>
    </row>
    <row r="979" spans="1:24" s="112" customFormat="1">
      <c r="A979" s="116"/>
      <c r="B979" s="115"/>
      <c r="C979" s="115"/>
      <c r="D979" s="131"/>
      <c r="E979" s="177"/>
      <c r="F979" s="28"/>
      <c r="G979" s="118"/>
      <c r="H979" s="192"/>
      <c r="I979" s="192"/>
      <c r="J979" s="175"/>
      <c r="K979" s="192"/>
      <c r="L979" s="192"/>
      <c r="M979" s="192"/>
      <c r="N979" s="175"/>
      <c r="O979" s="116"/>
      <c r="P979" s="175"/>
      <c r="Q979" s="175"/>
      <c r="R979" s="220"/>
      <c r="S979" s="175"/>
      <c r="T979" s="175"/>
      <c r="U979" s="175"/>
      <c r="V979" s="175"/>
      <c r="W979" s="175"/>
      <c r="X979" s="116"/>
    </row>
    <row r="980" spans="1:24" s="112" customFormat="1">
      <c r="A980" s="116"/>
      <c r="B980" s="115"/>
      <c r="C980" s="115"/>
      <c r="D980" s="131"/>
      <c r="E980" s="177"/>
      <c r="F980" s="28"/>
      <c r="G980" s="118"/>
      <c r="H980" s="192"/>
      <c r="I980" s="192"/>
      <c r="J980" s="175"/>
      <c r="K980" s="192"/>
      <c r="L980" s="192"/>
      <c r="M980" s="192"/>
      <c r="N980" s="175"/>
      <c r="O980" s="116"/>
      <c r="P980" s="175"/>
      <c r="Q980" s="175"/>
      <c r="R980" s="220"/>
      <c r="S980" s="175"/>
      <c r="T980" s="175"/>
      <c r="U980" s="175"/>
      <c r="V980" s="175"/>
      <c r="W980" s="175"/>
      <c r="X980" s="116"/>
    </row>
    <row r="981" spans="1:24" s="112" customFormat="1">
      <c r="A981" s="116"/>
      <c r="B981" s="115"/>
      <c r="C981" s="115"/>
      <c r="D981" s="131"/>
      <c r="E981" s="177"/>
      <c r="F981" s="28"/>
      <c r="G981" s="118"/>
      <c r="H981" s="192"/>
      <c r="I981" s="192"/>
      <c r="J981" s="175"/>
      <c r="K981" s="192"/>
      <c r="L981" s="192"/>
      <c r="M981" s="192"/>
      <c r="N981" s="175"/>
      <c r="O981" s="116"/>
      <c r="P981" s="175"/>
      <c r="Q981" s="175"/>
      <c r="R981" s="220"/>
      <c r="S981" s="175"/>
      <c r="T981" s="175"/>
      <c r="U981" s="175"/>
      <c r="V981" s="175"/>
      <c r="W981" s="175"/>
      <c r="X981" s="116"/>
    </row>
    <row r="982" spans="1:24" s="112" customFormat="1">
      <c r="A982" s="116"/>
      <c r="B982" s="115"/>
      <c r="C982" s="115"/>
      <c r="D982" s="131"/>
      <c r="E982" s="177"/>
      <c r="F982" s="28"/>
      <c r="G982" s="118"/>
      <c r="H982" s="192"/>
      <c r="I982" s="192"/>
      <c r="J982" s="175"/>
      <c r="K982" s="192"/>
      <c r="L982" s="192"/>
      <c r="M982" s="192"/>
      <c r="N982" s="175"/>
      <c r="O982" s="116"/>
      <c r="P982" s="175"/>
      <c r="Q982" s="175"/>
      <c r="R982" s="220"/>
      <c r="S982" s="175"/>
      <c r="T982" s="175"/>
      <c r="U982" s="175"/>
      <c r="V982" s="175"/>
      <c r="W982" s="175"/>
      <c r="X982" s="116"/>
    </row>
    <row r="983" spans="1:24" s="112" customFormat="1">
      <c r="A983" s="116"/>
      <c r="B983" s="115"/>
      <c r="C983" s="115"/>
      <c r="D983" s="131"/>
      <c r="E983" s="177"/>
      <c r="F983" s="28"/>
      <c r="G983" s="118"/>
      <c r="H983" s="192"/>
      <c r="I983" s="192"/>
      <c r="J983" s="175"/>
      <c r="K983" s="192"/>
      <c r="L983" s="192"/>
      <c r="M983" s="192"/>
      <c r="N983" s="175"/>
      <c r="O983" s="116"/>
      <c r="P983" s="175"/>
      <c r="Q983" s="175"/>
      <c r="R983" s="220"/>
      <c r="S983" s="175"/>
      <c r="T983" s="175"/>
      <c r="U983" s="175"/>
      <c r="V983" s="175"/>
      <c r="W983" s="175"/>
      <c r="X983" s="116"/>
    </row>
    <row r="984" spans="1:24" s="112" customFormat="1">
      <c r="A984" s="116"/>
      <c r="B984" s="115"/>
      <c r="C984" s="115"/>
      <c r="D984" s="131"/>
      <c r="E984" s="177"/>
      <c r="F984" s="28"/>
      <c r="G984" s="118"/>
      <c r="H984" s="192"/>
      <c r="I984" s="192"/>
      <c r="J984" s="175"/>
      <c r="K984" s="192"/>
      <c r="L984" s="192"/>
      <c r="M984" s="192"/>
      <c r="N984" s="175"/>
      <c r="O984" s="116"/>
      <c r="P984" s="175"/>
      <c r="Q984" s="175"/>
      <c r="R984" s="220"/>
      <c r="S984" s="175"/>
      <c r="T984" s="175"/>
      <c r="U984" s="175"/>
      <c r="V984" s="175"/>
      <c r="W984" s="175"/>
      <c r="X984" s="116"/>
    </row>
    <row r="985" spans="1:24" s="112" customFormat="1">
      <c r="A985" s="116"/>
      <c r="B985" s="115"/>
      <c r="C985" s="115"/>
      <c r="D985" s="131"/>
      <c r="E985" s="177"/>
      <c r="F985" s="28"/>
      <c r="G985" s="118"/>
      <c r="H985" s="192"/>
      <c r="I985" s="192"/>
      <c r="J985" s="175"/>
      <c r="K985" s="192"/>
      <c r="L985" s="192"/>
      <c r="M985" s="192"/>
      <c r="N985" s="175"/>
      <c r="O985" s="116"/>
      <c r="P985" s="175"/>
      <c r="Q985" s="175"/>
      <c r="R985" s="220"/>
      <c r="S985" s="175"/>
      <c r="T985" s="175"/>
      <c r="U985" s="175"/>
      <c r="V985" s="175"/>
      <c r="W985" s="175"/>
      <c r="X985" s="116"/>
    </row>
    <row r="986" spans="1:24" s="112" customFormat="1">
      <c r="A986" s="116"/>
      <c r="B986" s="115"/>
      <c r="C986" s="115"/>
      <c r="D986" s="131"/>
      <c r="E986" s="177"/>
      <c r="F986" s="28"/>
      <c r="G986" s="118"/>
      <c r="H986" s="192"/>
      <c r="I986" s="192"/>
      <c r="J986" s="175"/>
      <c r="K986" s="192"/>
      <c r="L986" s="192"/>
      <c r="M986" s="192"/>
      <c r="N986" s="175"/>
      <c r="O986" s="116"/>
      <c r="P986" s="175"/>
      <c r="Q986" s="175"/>
      <c r="R986" s="220"/>
      <c r="S986" s="175"/>
      <c r="T986" s="175"/>
      <c r="U986" s="175"/>
      <c r="V986" s="175"/>
      <c r="W986" s="175"/>
      <c r="X986" s="116"/>
    </row>
    <row r="987" spans="1:24" s="112" customFormat="1">
      <c r="A987" s="116"/>
      <c r="B987" s="115"/>
      <c r="C987" s="115"/>
      <c r="D987" s="131"/>
      <c r="E987" s="177"/>
      <c r="F987" s="28"/>
      <c r="G987" s="118"/>
      <c r="H987" s="192"/>
      <c r="I987" s="192"/>
      <c r="J987" s="175"/>
      <c r="K987" s="192"/>
      <c r="L987" s="192"/>
      <c r="M987" s="192"/>
      <c r="N987" s="175"/>
      <c r="O987" s="116"/>
      <c r="P987" s="175"/>
      <c r="Q987" s="175"/>
      <c r="R987" s="220"/>
      <c r="S987" s="175"/>
      <c r="T987" s="175"/>
      <c r="U987" s="175"/>
      <c r="V987" s="175"/>
      <c r="W987" s="175"/>
      <c r="X987" s="116"/>
    </row>
    <row r="988" spans="1:24" s="112" customFormat="1">
      <c r="A988" s="116"/>
      <c r="B988" s="115"/>
      <c r="C988" s="115"/>
      <c r="D988" s="131"/>
      <c r="E988" s="177"/>
      <c r="F988" s="28"/>
      <c r="G988" s="118"/>
      <c r="H988" s="192"/>
      <c r="I988" s="192"/>
      <c r="J988" s="175"/>
      <c r="K988" s="192"/>
      <c r="L988" s="192"/>
      <c r="M988" s="192"/>
      <c r="N988" s="175"/>
      <c r="O988" s="116"/>
      <c r="P988" s="175"/>
      <c r="Q988" s="175"/>
      <c r="R988" s="220"/>
      <c r="S988" s="175"/>
      <c r="T988" s="175"/>
      <c r="U988" s="175"/>
      <c r="V988" s="175"/>
      <c r="W988" s="175"/>
      <c r="X988" s="116"/>
    </row>
    <row r="989" spans="1:24" s="112" customFormat="1">
      <c r="A989" s="116"/>
      <c r="B989" s="115"/>
      <c r="C989" s="115"/>
      <c r="D989" s="131"/>
      <c r="E989" s="177"/>
      <c r="F989" s="28"/>
      <c r="G989" s="118"/>
      <c r="H989" s="192"/>
      <c r="I989" s="192"/>
      <c r="J989" s="175"/>
      <c r="K989" s="192"/>
      <c r="L989" s="192"/>
      <c r="M989" s="192"/>
      <c r="N989" s="175"/>
      <c r="O989" s="116"/>
      <c r="P989" s="175"/>
      <c r="Q989" s="175"/>
      <c r="R989" s="220"/>
      <c r="S989" s="175"/>
      <c r="T989" s="175"/>
      <c r="U989" s="175"/>
      <c r="V989" s="175"/>
      <c r="W989" s="175"/>
      <c r="X989" s="116"/>
    </row>
    <row r="990" spans="1:24" s="112" customFormat="1">
      <c r="A990" s="116"/>
      <c r="B990" s="115"/>
      <c r="C990" s="115"/>
      <c r="D990" s="131"/>
      <c r="E990" s="177"/>
      <c r="F990" s="28"/>
      <c r="G990" s="118"/>
      <c r="H990" s="192"/>
      <c r="I990" s="192"/>
      <c r="J990" s="175"/>
      <c r="K990" s="192"/>
      <c r="L990" s="192"/>
      <c r="M990" s="192"/>
      <c r="N990" s="175"/>
      <c r="O990" s="116"/>
      <c r="P990" s="175"/>
      <c r="Q990" s="175"/>
      <c r="R990" s="220"/>
      <c r="S990" s="175"/>
      <c r="T990" s="175"/>
      <c r="U990" s="175"/>
      <c r="V990" s="175"/>
      <c r="W990" s="175"/>
      <c r="X990" s="116"/>
    </row>
    <row r="991" spans="1:24" s="112" customFormat="1">
      <c r="A991" s="116"/>
      <c r="B991" s="115"/>
      <c r="C991" s="115"/>
      <c r="D991" s="131"/>
      <c r="E991" s="177"/>
      <c r="F991" s="28"/>
      <c r="G991" s="118"/>
      <c r="H991" s="192"/>
      <c r="I991" s="192"/>
      <c r="J991" s="175"/>
      <c r="K991" s="192"/>
      <c r="L991" s="192"/>
      <c r="M991" s="192"/>
      <c r="N991" s="175"/>
      <c r="O991" s="116"/>
      <c r="P991" s="175"/>
      <c r="Q991" s="175"/>
      <c r="R991" s="220"/>
      <c r="S991" s="175"/>
      <c r="T991" s="175"/>
      <c r="U991" s="175"/>
      <c r="V991" s="175"/>
      <c r="W991" s="175"/>
      <c r="X991" s="116"/>
    </row>
    <row r="992" spans="1:24" s="112" customFormat="1">
      <c r="A992" s="116"/>
      <c r="B992" s="115"/>
      <c r="C992" s="115"/>
      <c r="D992" s="131"/>
      <c r="E992" s="177"/>
      <c r="F992" s="28"/>
      <c r="G992" s="118"/>
      <c r="H992" s="192"/>
      <c r="I992" s="192"/>
      <c r="J992" s="175"/>
      <c r="K992" s="192"/>
      <c r="L992" s="192"/>
      <c r="M992" s="192"/>
      <c r="N992" s="175"/>
      <c r="O992" s="116"/>
      <c r="P992" s="175"/>
      <c r="Q992" s="175"/>
      <c r="R992" s="220"/>
      <c r="S992" s="175"/>
      <c r="T992" s="175"/>
      <c r="U992" s="175"/>
      <c r="V992" s="175"/>
      <c r="W992" s="175"/>
      <c r="X992" s="116"/>
    </row>
    <row r="993" spans="1:24" s="112" customFormat="1">
      <c r="A993" s="116"/>
      <c r="B993" s="115"/>
      <c r="C993" s="115"/>
      <c r="D993" s="131"/>
      <c r="E993" s="177"/>
      <c r="F993" s="28"/>
      <c r="G993" s="118"/>
      <c r="H993" s="192"/>
      <c r="I993" s="192"/>
      <c r="J993" s="175"/>
      <c r="K993" s="192"/>
      <c r="L993" s="192"/>
      <c r="M993" s="192"/>
      <c r="N993" s="175"/>
      <c r="O993" s="116"/>
      <c r="P993" s="175"/>
      <c r="Q993" s="175"/>
      <c r="R993" s="220"/>
      <c r="S993" s="175"/>
      <c r="T993" s="175"/>
      <c r="U993" s="175"/>
      <c r="V993" s="175"/>
      <c r="W993" s="175"/>
      <c r="X993" s="116"/>
    </row>
    <row r="994" spans="1:24" s="112" customFormat="1">
      <c r="A994" s="116"/>
      <c r="B994" s="115"/>
      <c r="C994" s="115"/>
      <c r="D994" s="131"/>
      <c r="E994" s="177"/>
      <c r="F994" s="28"/>
      <c r="G994" s="118"/>
      <c r="H994" s="192"/>
      <c r="I994" s="192"/>
      <c r="J994" s="175"/>
      <c r="K994" s="192"/>
      <c r="L994" s="192"/>
      <c r="M994" s="192"/>
      <c r="N994" s="175"/>
      <c r="O994" s="116"/>
      <c r="P994" s="175"/>
      <c r="Q994" s="175"/>
      <c r="R994" s="220"/>
      <c r="S994" s="175"/>
      <c r="T994" s="175"/>
      <c r="U994" s="175"/>
      <c r="V994" s="175"/>
      <c r="W994" s="175"/>
      <c r="X994" s="116"/>
    </row>
    <row r="995" spans="1:24" s="112" customFormat="1">
      <c r="A995" s="116"/>
      <c r="B995" s="115"/>
      <c r="C995" s="115"/>
      <c r="D995" s="131"/>
      <c r="E995" s="177"/>
      <c r="F995" s="28"/>
      <c r="G995" s="118"/>
      <c r="H995" s="192"/>
      <c r="I995" s="192"/>
      <c r="J995" s="175"/>
      <c r="K995" s="192"/>
      <c r="L995" s="192"/>
      <c r="M995" s="192"/>
      <c r="N995" s="175"/>
      <c r="O995" s="116"/>
      <c r="P995" s="175"/>
      <c r="Q995" s="175"/>
      <c r="R995" s="220"/>
      <c r="S995" s="175"/>
      <c r="T995" s="175"/>
      <c r="U995" s="175"/>
      <c r="V995" s="175"/>
      <c r="W995" s="175"/>
      <c r="X995" s="116"/>
    </row>
    <row r="996" spans="1:24" s="112" customFormat="1">
      <c r="A996" s="116"/>
      <c r="B996" s="115"/>
      <c r="C996" s="115"/>
      <c r="D996" s="131"/>
      <c r="E996" s="177"/>
      <c r="F996" s="28"/>
      <c r="G996" s="118"/>
      <c r="H996" s="192"/>
      <c r="I996" s="192"/>
      <c r="J996" s="175"/>
      <c r="K996" s="192"/>
      <c r="L996" s="192"/>
      <c r="M996" s="192"/>
      <c r="N996" s="175"/>
      <c r="O996" s="116"/>
      <c r="P996" s="175"/>
      <c r="Q996" s="175"/>
      <c r="R996" s="220"/>
      <c r="S996" s="175"/>
      <c r="T996" s="175"/>
      <c r="U996" s="175"/>
      <c r="V996" s="175"/>
      <c r="W996" s="175"/>
      <c r="X996" s="116"/>
    </row>
    <row r="997" spans="1:24" s="112" customFormat="1">
      <c r="A997" s="116"/>
      <c r="B997" s="115"/>
      <c r="C997" s="115"/>
      <c r="D997" s="131"/>
      <c r="E997" s="177"/>
      <c r="F997" s="28"/>
      <c r="G997" s="118"/>
      <c r="H997" s="192"/>
      <c r="I997" s="192"/>
      <c r="J997" s="175"/>
      <c r="K997" s="192"/>
      <c r="L997" s="192"/>
      <c r="M997" s="192"/>
      <c r="N997" s="175"/>
      <c r="O997" s="116"/>
      <c r="P997" s="175"/>
      <c r="Q997" s="175"/>
      <c r="R997" s="220"/>
      <c r="S997" s="175"/>
      <c r="T997" s="175"/>
      <c r="U997" s="175"/>
      <c r="V997" s="175"/>
      <c r="W997" s="175"/>
      <c r="X997" s="116"/>
    </row>
    <row r="998" spans="1:24" s="112" customFormat="1">
      <c r="A998" s="116"/>
      <c r="B998" s="115"/>
      <c r="C998" s="115"/>
      <c r="D998" s="131"/>
      <c r="E998" s="177"/>
      <c r="F998" s="28"/>
      <c r="G998" s="118"/>
      <c r="H998" s="192"/>
      <c r="I998" s="192"/>
      <c r="J998" s="175"/>
      <c r="K998" s="192"/>
      <c r="L998" s="192"/>
      <c r="M998" s="192"/>
      <c r="N998" s="175"/>
      <c r="O998" s="116"/>
      <c r="P998" s="175"/>
      <c r="Q998" s="175"/>
      <c r="R998" s="220"/>
      <c r="S998" s="175"/>
      <c r="T998" s="175"/>
      <c r="U998" s="175"/>
      <c r="V998" s="175"/>
      <c r="W998" s="175"/>
      <c r="X998" s="116"/>
    </row>
    <row r="999" spans="1:24" s="112" customFormat="1">
      <c r="A999" s="116"/>
      <c r="B999" s="115"/>
      <c r="C999" s="115"/>
      <c r="D999" s="131"/>
      <c r="E999" s="177"/>
      <c r="F999" s="28"/>
      <c r="G999" s="118"/>
      <c r="H999" s="192"/>
      <c r="I999" s="192"/>
      <c r="J999" s="175"/>
      <c r="K999" s="192"/>
      <c r="L999" s="192"/>
      <c r="M999" s="192"/>
      <c r="N999" s="175"/>
      <c r="O999" s="116"/>
      <c r="P999" s="175"/>
      <c r="Q999" s="175"/>
      <c r="R999" s="220"/>
      <c r="S999" s="175"/>
      <c r="T999" s="175"/>
      <c r="U999" s="175"/>
      <c r="V999" s="175"/>
      <c r="W999" s="175"/>
      <c r="X999" s="116"/>
    </row>
    <row r="1000" spans="1:24" s="112" customFormat="1">
      <c r="A1000" s="116"/>
      <c r="B1000" s="115"/>
      <c r="C1000" s="115"/>
      <c r="D1000" s="131"/>
      <c r="E1000" s="177"/>
      <c r="F1000" s="28"/>
      <c r="G1000" s="118"/>
      <c r="H1000" s="192"/>
      <c r="I1000" s="192"/>
      <c r="J1000" s="175"/>
      <c r="K1000" s="192"/>
      <c r="L1000" s="192"/>
      <c r="M1000" s="192"/>
      <c r="N1000" s="175"/>
      <c r="O1000" s="116"/>
      <c r="P1000" s="175"/>
      <c r="Q1000" s="175"/>
      <c r="R1000" s="220"/>
      <c r="S1000" s="175"/>
      <c r="T1000" s="175"/>
      <c r="U1000" s="175"/>
      <c r="V1000" s="175"/>
      <c r="W1000" s="175"/>
      <c r="X1000" s="116"/>
    </row>
    <row r="1001" spans="1:24" s="112" customFormat="1">
      <c r="A1001" s="116"/>
      <c r="B1001" s="115"/>
      <c r="C1001" s="115"/>
      <c r="D1001" s="131"/>
      <c r="E1001" s="177"/>
      <c r="F1001" s="28"/>
      <c r="G1001" s="118"/>
      <c r="H1001" s="192"/>
      <c r="I1001" s="192"/>
      <c r="J1001" s="175"/>
      <c r="K1001" s="192"/>
      <c r="L1001" s="192"/>
      <c r="M1001" s="192"/>
      <c r="N1001" s="175"/>
      <c r="O1001" s="116"/>
      <c r="P1001" s="175"/>
      <c r="Q1001" s="175"/>
      <c r="R1001" s="220"/>
      <c r="S1001" s="175"/>
      <c r="T1001" s="175"/>
      <c r="U1001" s="175"/>
      <c r="V1001" s="175"/>
      <c r="W1001" s="175"/>
      <c r="X1001" s="116"/>
    </row>
    <row r="1002" spans="1:24" s="112" customFormat="1">
      <c r="A1002" s="116"/>
      <c r="B1002" s="115"/>
      <c r="C1002" s="115"/>
      <c r="D1002" s="131"/>
      <c r="E1002" s="177"/>
      <c r="F1002" s="28"/>
      <c r="G1002" s="118"/>
      <c r="H1002" s="192"/>
      <c r="I1002" s="192"/>
      <c r="J1002" s="175"/>
      <c r="K1002" s="192"/>
      <c r="L1002" s="192"/>
      <c r="M1002" s="192"/>
      <c r="N1002" s="175"/>
      <c r="O1002" s="116"/>
      <c r="P1002" s="175"/>
      <c r="Q1002" s="175"/>
      <c r="R1002" s="220"/>
      <c r="S1002" s="175"/>
      <c r="T1002" s="175"/>
      <c r="U1002" s="175"/>
      <c r="V1002" s="175"/>
      <c r="W1002" s="175"/>
      <c r="X1002" s="116"/>
    </row>
    <row r="1003" spans="1:24" s="112" customFormat="1">
      <c r="A1003" s="116"/>
      <c r="B1003" s="115"/>
      <c r="C1003" s="115"/>
      <c r="D1003" s="131"/>
      <c r="E1003" s="177"/>
      <c r="F1003" s="28"/>
      <c r="G1003" s="118"/>
      <c r="H1003" s="192"/>
      <c r="I1003" s="192"/>
      <c r="J1003" s="175"/>
      <c r="K1003" s="192"/>
      <c r="L1003" s="192"/>
      <c r="M1003" s="192"/>
      <c r="N1003" s="175"/>
      <c r="O1003" s="116"/>
      <c r="P1003" s="175"/>
      <c r="Q1003" s="175"/>
      <c r="R1003" s="220"/>
      <c r="S1003" s="175"/>
      <c r="T1003" s="175"/>
      <c r="U1003" s="175"/>
      <c r="V1003" s="175"/>
      <c r="W1003" s="175"/>
      <c r="X1003" s="116"/>
    </row>
    <row r="1004" spans="1:24" s="112" customFormat="1">
      <c r="A1004" s="116"/>
      <c r="B1004" s="115"/>
      <c r="C1004" s="115"/>
      <c r="D1004" s="131"/>
      <c r="E1004" s="177"/>
      <c r="F1004" s="28"/>
      <c r="G1004" s="118"/>
      <c r="H1004" s="192"/>
      <c r="I1004" s="192"/>
      <c r="J1004" s="175"/>
      <c r="K1004" s="192"/>
      <c r="L1004" s="192"/>
      <c r="M1004" s="192"/>
      <c r="N1004" s="175"/>
      <c r="O1004" s="116"/>
      <c r="P1004" s="175"/>
      <c r="Q1004" s="175"/>
      <c r="R1004" s="220"/>
      <c r="S1004" s="175"/>
      <c r="T1004" s="175"/>
      <c r="U1004" s="175"/>
      <c r="V1004" s="175"/>
      <c r="W1004" s="175"/>
      <c r="X1004" s="116"/>
    </row>
    <row r="1005" spans="1:24" s="112" customFormat="1">
      <c r="A1005" s="116"/>
      <c r="B1005" s="115"/>
      <c r="C1005" s="115"/>
      <c r="D1005" s="131"/>
      <c r="E1005" s="177"/>
      <c r="F1005" s="28"/>
      <c r="G1005" s="118"/>
      <c r="H1005" s="192"/>
      <c r="I1005" s="192"/>
      <c r="J1005" s="175"/>
      <c r="K1005" s="192"/>
      <c r="L1005" s="192"/>
      <c r="M1005" s="192"/>
      <c r="N1005" s="175"/>
      <c r="O1005" s="116"/>
      <c r="P1005" s="175"/>
      <c r="Q1005" s="175"/>
      <c r="R1005" s="220"/>
      <c r="S1005" s="175"/>
      <c r="T1005" s="175"/>
      <c r="U1005" s="175"/>
      <c r="V1005" s="175"/>
      <c r="W1005" s="175"/>
      <c r="X1005" s="116"/>
    </row>
    <row r="1006" spans="1:24" s="112" customFormat="1">
      <c r="A1006" s="116"/>
      <c r="B1006" s="115"/>
      <c r="C1006" s="115"/>
      <c r="D1006" s="131"/>
      <c r="E1006" s="177"/>
      <c r="F1006" s="28"/>
      <c r="G1006" s="118"/>
      <c r="H1006" s="192"/>
      <c r="I1006" s="192"/>
      <c r="J1006" s="175"/>
      <c r="K1006" s="192"/>
      <c r="L1006" s="192"/>
      <c r="M1006" s="192"/>
      <c r="N1006" s="175"/>
      <c r="O1006" s="116"/>
      <c r="P1006" s="175"/>
      <c r="Q1006" s="175"/>
      <c r="R1006" s="220"/>
      <c r="S1006" s="175"/>
      <c r="T1006" s="175"/>
      <c r="U1006" s="175"/>
      <c r="V1006" s="175"/>
      <c r="W1006" s="175"/>
      <c r="X1006" s="116"/>
    </row>
    <row r="1007" spans="1:24" s="112" customFormat="1">
      <c r="A1007" s="116"/>
      <c r="B1007" s="115"/>
      <c r="C1007" s="115"/>
      <c r="D1007" s="131"/>
      <c r="E1007" s="177"/>
      <c r="F1007" s="28"/>
      <c r="G1007" s="118"/>
      <c r="H1007" s="192"/>
      <c r="I1007" s="192"/>
      <c r="J1007" s="175"/>
      <c r="K1007" s="192"/>
      <c r="L1007" s="192"/>
      <c r="M1007" s="192"/>
      <c r="N1007" s="175"/>
      <c r="O1007" s="116"/>
      <c r="P1007" s="175"/>
      <c r="Q1007" s="175"/>
      <c r="R1007" s="220"/>
      <c r="S1007" s="175"/>
      <c r="T1007" s="175"/>
      <c r="U1007" s="175"/>
      <c r="V1007" s="175"/>
      <c r="W1007" s="175"/>
      <c r="X1007" s="116"/>
    </row>
    <row r="1008" spans="1:24" s="112" customFormat="1">
      <c r="A1008" s="116"/>
      <c r="B1008" s="115"/>
      <c r="C1008" s="115"/>
      <c r="D1008" s="131"/>
      <c r="E1008" s="177"/>
      <c r="F1008" s="28"/>
      <c r="G1008" s="118"/>
      <c r="H1008" s="192"/>
      <c r="I1008" s="192"/>
      <c r="J1008" s="175"/>
      <c r="K1008" s="192"/>
      <c r="L1008" s="192"/>
      <c r="M1008" s="192"/>
      <c r="N1008" s="175"/>
      <c r="O1008" s="116"/>
      <c r="P1008" s="175"/>
      <c r="Q1008" s="175"/>
      <c r="R1008" s="220"/>
      <c r="S1008" s="175"/>
      <c r="T1008" s="175"/>
      <c r="U1008" s="175"/>
      <c r="V1008" s="175"/>
      <c r="W1008" s="175"/>
      <c r="X1008" s="116"/>
    </row>
    <row r="1009" spans="1:24" s="112" customFormat="1">
      <c r="A1009" s="116"/>
      <c r="B1009" s="115"/>
      <c r="C1009" s="115"/>
      <c r="D1009" s="131"/>
      <c r="E1009" s="177"/>
      <c r="F1009" s="28"/>
      <c r="G1009" s="118"/>
      <c r="H1009" s="192"/>
      <c r="I1009" s="192"/>
      <c r="J1009" s="175"/>
      <c r="K1009" s="192"/>
      <c r="L1009" s="192"/>
      <c r="M1009" s="192"/>
      <c r="N1009" s="175"/>
      <c r="O1009" s="116"/>
      <c r="P1009" s="175"/>
      <c r="Q1009" s="175"/>
      <c r="R1009" s="220"/>
      <c r="S1009" s="175"/>
      <c r="T1009" s="175"/>
      <c r="U1009" s="175"/>
      <c r="V1009" s="175"/>
      <c r="W1009" s="175"/>
      <c r="X1009" s="116"/>
    </row>
    <row r="1010" spans="1:24" s="112" customFormat="1">
      <c r="A1010" s="116"/>
      <c r="B1010" s="115"/>
      <c r="C1010" s="115"/>
      <c r="D1010" s="131"/>
      <c r="E1010" s="177"/>
      <c r="F1010" s="28"/>
      <c r="G1010" s="118"/>
      <c r="H1010" s="192"/>
      <c r="I1010" s="192"/>
      <c r="J1010" s="175"/>
      <c r="K1010" s="192"/>
      <c r="L1010" s="192"/>
      <c r="M1010" s="192"/>
      <c r="N1010" s="175"/>
      <c r="O1010" s="116"/>
      <c r="P1010" s="175"/>
      <c r="Q1010" s="175"/>
      <c r="R1010" s="220"/>
      <c r="S1010" s="175"/>
      <c r="T1010" s="175"/>
      <c r="U1010" s="175"/>
      <c r="V1010" s="175"/>
      <c r="W1010" s="175"/>
      <c r="X1010" s="116"/>
    </row>
    <row r="1011" spans="1:24" s="112" customFormat="1">
      <c r="A1011" s="116"/>
      <c r="B1011" s="115"/>
      <c r="C1011" s="115"/>
      <c r="D1011" s="131"/>
      <c r="E1011" s="177"/>
      <c r="F1011" s="28"/>
      <c r="G1011" s="118"/>
      <c r="H1011" s="192"/>
      <c r="I1011" s="192"/>
      <c r="J1011" s="175"/>
      <c r="K1011" s="192"/>
      <c r="L1011" s="192"/>
      <c r="M1011" s="192"/>
      <c r="N1011" s="175"/>
      <c r="O1011" s="116"/>
      <c r="P1011" s="175"/>
      <c r="Q1011" s="175"/>
      <c r="R1011" s="220"/>
      <c r="S1011" s="175"/>
      <c r="T1011" s="175"/>
      <c r="U1011" s="175"/>
      <c r="V1011" s="175"/>
      <c r="W1011" s="175"/>
      <c r="X1011" s="116"/>
    </row>
    <row r="1012" spans="1:24" s="112" customFormat="1">
      <c r="A1012" s="116"/>
      <c r="B1012" s="115"/>
      <c r="C1012" s="115"/>
      <c r="D1012" s="131"/>
      <c r="E1012" s="177"/>
      <c r="F1012" s="28"/>
      <c r="G1012" s="118"/>
      <c r="H1012" s="192"/>
      <c r="I1012" s="192"/>
      <c r="J1012" s="175"/>
      <c r="K1012" s="192"/>
      <c r="L1012" s="192"/>
      <c r="M1012" s="192"/>
      <c r="N1012" s="175"/>
      <c r="O1012" s="116"/>
      <c r="P1012" s="175"/>
      <c r="Q1012" s="175"/>
      <c r="R1012" s="220"/>
      <c r="S1012" s="175"/>
      <c r="T1012" s="175"/>
      <c r="U1012" s="175"/>
      <c r="V1012" s="175"/>
      <c r="W1012" s="175"/>
      <c r="X1012" s="116"/>
    </row>
    <row r="1013" spans="1:24" s="112" customFormat="1">
      <c r="A1013" s="116"/>
      <c r="B1013" s="115"/>
      <c r="C1013" s="115"/>
      <c r="D1013" s="131"/>
      <c r="E1013" s="177"/>
      <c r="F1013" s="28"/>
      <c r="G1013" s="118"/>
      <c r="H1013" s="192"/>
      <c r="I1013" s="192"/>
      <c r="J1013" s="175"/>
      <c r="K1013" s="192"/>
      <c r="L1013" s="192"/>
      <c r="M1013" s="192"/>
      <c r="N1013" s="175"/>
      <c r="O1013" s="116"/>
      <c r="P1013" s="175"/>
      <c r="Q1013" s="175"/>
      <c r="R1013" s="220"/>
      <c r="S1013" s="175"/>
      <c r="T1013" s="175"/>
      <c r="U1013" s="175"/>
      <c r="V1013" s="175"/>
      <c r="W1013" s="175"/>
      <c r="X1013" s="116"/>
    </row>
    <row r="1014" spans="1:24" s="112" customFormat="1">
      <c r="A1014" s="116"/>
      <c r="B1014" s="115"/>
      <c r="C1014" s="115"/>
      <c r="D1014" s="131"/>
      <c r="E1014" s="177"/>
      <c r="F1014" s="28"/>
      <c r="G1014" s="118"/>
      <c r="H1014" s="192"/>
      <c r="I1014" s="192"/>
      <c r="J1014" s="175"/>
      <c r="K1014" s="192"/>
      <c r="L1014" s="192"/>
      <c r="M1014" s="192"/>
      <c r="N1014" s="175"/>
      <c r="O1014" s="116"/>
      <c r="P1014" s="175"/>
      <c r="Q1014" s="175"/>
      <c r="R1014" s="220"/>
      <c r="S1014" s="175"/>
      <c r="T1014" s="175"/>
      <c r="U1014" s="175"/>
      <c r="V1014" s="175"/>
      <c r="W1014" s="175"/>
      <c r="X1014" s="116"/>
    </row>
    <row r="1015" spans="1:24" s="112" customFormat="1">
      <c r="A1015" s="116"/>
      <c r="B1015" s="115"/>
      <c r="C1015" s="115"/>
      <c r="D1015" s="131"/>
      <c r="E1015" s="177"/>
      <c r="F1015" s="28"/>
      <c r="G1015" s="118"/>
      <c r="H1015" s="192"/>
      <c r="I1015" s="192"/>
      <c r="J1015" s="175"/>
      <c r="K1015" s="192"/>
      <c r="L1015" s="192"/>
      <c r="M1015" s="192"/>
      <c r="N1015" s="175"/>
      <c r="O1015" s="116"/>
      <c r="P1015" s="175"/>
      <c r="Q1015" s="175"/>
      <c r="R1015" s="220"/>
      <c r="S1015" s="175"/>
      <c r="T1015" s="175"/>
      <c r="U1015" s="175"/>
      <c r="V1015" s="175"/>
      <c r="W1015" s="175"/>
      <c r="X1015" s="116"/>
    </row>
    <row r="1016" spans="1:24" s="112" customFormat="1">
      <c r="A1016" s="116"/>
      <c r="B1016" s="115"/>
      <c r="C1016" s="115"/>
      <c r="D1016" s="131"/>
      <c r="E1016" s="177"/>
      <c r="F1016" s="28"/>
      <c r="G1016" s="118"/>
      <c r="H1016" s="192"/>
      <c r="I1016" s="192"/>
      <c r="J1016" s="175"/>
      <c r="K1016" s="192"/>
      <c r="L1016" s="192"/>
      <c r="M1016" s="192"/>
      <c r="N1016" s="175"/>
      <c r="O1016" s="116"/>
      <c r="P1016" s="175"/>
      <c r="Q1016" s="175"/>
      <c r="R1016" s="220"/>
      <c r="S1016" s="175"/>
      <c r="T1016" s="175"/>
      <c r="U1016" s="175"/>
      <c r="V1016" s="175"/>
      <c r="W1016" s="175"/>
      <c r="X1016" s="116"/>
    </row>
    <row r="1017" spans="1:24" s="112" customFormat="1">
      <c r="A1017" s="116"/>
      <c r="B1017" s="115"/>
      <c r="C1017" s="115"/>
      <c r="D1017" s="131"/>
      <c r="E1017" s="177"/>
      <c r="F1017" s="28"/>
      <c r="G1017" s="118"/>
      <c r="H1017" s="192"/>
      <c r="I1017" s="192"/>
      <c r="J1017" s="175"/>
      <c r="K1017" s="192"/>
      <c r="L1017" s="192"/>
      <c r="M1017" s="192"/>
      <c r="N1017" s="175"/>
      <c r="O1017" s="116"/>
      <c r="P1017" s="175"/>
      <c r="Q1017" s="175"/>
      <c r="R1017" s="220"/>
      <c r="S1017" s="175"/>
      <c r="T1017" s="175"/>
      <c r="U1017" s="175"/>
      <c r="V1017" s="175"/>
      <c r="W1017" s="175"/>
      <c r="X1017" s="116"/>
    </row>
    <row r="1018" spans="1:24" s="112" customFormat="1">
      <c r="A1018" s="116"/>
      <c r="B1018" s="115"/>
      <c r="C1018" s="115"/>
      <c r="D1018" s="131"/>
      <c r="E1018" s="177"/>
      <c r="F1018" s="28"/>
      <c r="G1018" s="118"/>
      <c r="H1018" s="192"/>
      <c r="I1018" s="192"/>
      <c r="J1018" s="175"/>
      <c r="K1018" s="192"/>
      <c r="L1018" s="192"/>
      <c r="M1018" s="192"/>
      <c r="N1018" s="175"/>
      <c r="O1018" s="116"/>
      <c r="P1018" s="175"/>
      <c r="Q1018" s="175"/>
      <c r="R1018" s="220"/>
      <c r="S1018" s="175"/>
      <c r="T1018" s="175"/>
      <c r="U1018" s="175"/>
      <c r="V1018" s="175"/>
      <c r="W1018" s="175"/>
      <c r="X1018" s="116"/>
    </row>
    <row r="1019" spans="1:24" s="112" customFormat="1">
      <c r="A1019" s="116"/>
      <c r="B1019" s="115"/>
      <c r="C1019" s="115"/>
      <c r="D1019" s="131"/>
      <c r="E1019" s="177"/>
      <c r="F1019" s="28"/>
      <c r="G1019" s="118"/>
      <c r="H1019" s="192"/>
      <c r="I1019" s="192"/>
      <c r="J1019" s="175"/>
      <c r="K1019" s="192"/>
      <c r="L1019" s="192"/>
      <c r="M1019" s="192"/>
      <c r="N1019" s="175"/>
      <c r="O1019" s="116"/>
      <c r="P1019" s="175"/>
      <c r="Q1019" s="175"/>
      <c r="R1019" s="220"/>
      <c r="S1019" s="175"/>
      <c r="T1019" s="175"/>
      <c r="U1019" s="175"/>
      <c r="V1019" s="175"/>
      <c r="W1019" s="175"/>
      <c r="X1019" s="116"/>
    </row>
    <row r="1020" spans="1:24" s="112" customFormat="1">
      <c r="A1020" s="116"/>
      <c r="B1020" s="115"/>
      <c r="C1020" s="115"/>
      <c r="D1020" s="131"/>
      <c r="E1020" s="177"/>
      <c r="F1020" s="28"/>
      <c r="G1020" s="118"/>
      <c r="H1020" s="192"/>
      <c r="I1020" s="192"/>
      <c r="J1020" s="175"/>
      <c r="K1020" s="192"/>
      <c r="L1020" s="192"/>
      <c r="M1020" s="192"/>
      <c r="N1020" s="175"/>
      <c r="O1020" s="116"/>
      <c r="P1020" s="175"/>
      <c r="Q1020" s="175"/>
      <c r="R1020" s="220"/>
      <c r="S1020" s="175"/>
      <c r="T1020" s="175"/>
      <c r="U1020" s="175"/>
      <c r="V1020" s="175"/>
      <c r="W1020" s="175"/>
      <c r="X1020" s="116"/>
    </row>
    <row r="1021" spans="1:24" s="112" customFormat="1">
      <c r="A1021" s="116"/>
      <c r="B1021" s="115"/>
      <c r="C1021" s="115"/>
      <c r="D1021" s="131"/>
      <c r="E1021" s="177"/>
      <c r="F1021" s="28"/>
      <c r="G1021" s="118"/>
      <c r="H1021" s="192"/>
      <c r="I1021" s="192"/>
      <c r="J1021" s="175"/>
      <c r="K1021" s="192"/>
      <c r="L1021" s="192"/>
      <c r="M1021" s="192"/>
      <c r="N1021" s="175"/>
      <c r="O1021" s="116"/>
      <c r="P1021" s="175"/>
      <c r="Q1021" s="175"/>
      <c r="R1021" s="220"/>
      <c r="S1021" s="175"/>
      <c r="T1021" s="175"/>
      <c r="U1021" s="175"/>
      <c r="V1021" s="175"/>
      <c r="W1021" s="175"/>
      <c r="X1021" s="116"/>
    </row>
    <row r="1022" spans="1:24" s="112" customFormat="1">
      <c r="A1022" s="116"/>
      <c r="B1022" s="115"/>
      <c r="C1022" s="115"/>
      <c r="D1022" s="131"/>
      <c r="E1022" s="177"/>
      <c r="F1022" s="28"/>
      <c r="G1022" s="118"/>
      <c r="H1022" s="192"/>
      <c r="I1022" s="192"/>
      <c r="J1022" s="175"/>
      <c r="K1022" s="192"/>
      <c r="L1022" s="192"/>
      <c r="M1022" s="192"/>
      <c r="N1022" s="175"/>
      <c r="O1022" s="116"/>
      <c r="P1022" s="175"/>
      <c r="Q1022" s="175"/>
      <c r="R1022" s="220"/>
      <c r="S1022" s="175"/>
      <c r="T1022" s="175"/>
      <c r="U1022" s="175"/>
      <c r="V1022" s="175"/>
      <c r="W1022" s="175"/>
      <c r="X1022" s="116"/>
    </row>
    <row r="1023" spans="1:24" s="112" customFormat="1">
      <c r="A1023" s="116"/>
      <c r="B1023" s="115"/>
      <c r="C1023" s="115"/>
      <c r="D1023" s="131"/>
      <c r="E1023" s="177"/>
      <c r="F1023" s="28"/>
      <c r="G1023" s="118"/>
      <c r="H1023" s="192"/>
      <c r="I1023" s="192"/>
      <c r="J1023" s="175"/>
      <c r="K1023" s="192"/>
      <c r="L1023" s="192"/>
      <c r="M1023" s="192"/>
      <c r="N1023" s="175"/>
      <c r="O1023" s="116"/>
      <c r="P1023" s="175"/>
      <c r="Q1023" s="175"/>
      <c r="R1023" s="220"/>
      <c r="S1023" s="175"/>
      <c r="T1023" s="175"/>
      <c r="U1023" s="175"/>
      <c r="V1023" s="175"/>
      <c r="W1023" s="175"/>
      <c r="X1023" s="116"/>
    </row>
    <row r="1024" spans="1:24" s="112" customFormat="1">
      <c r="A1024" s="116"/>
      <c r="B1024" s="115"/>
      <c r="C1024" s="115"/>
      <c r="D1024" s="131"/>
      <c r="E1024" s="177"/>
      <c r="F1024" s="28"/>
      <c r="G1024" s="118"/>
      <c r="H1024" s="192"/>
      <c r="I1024" s="192"/>
      <c r="J1024" s="175"/>
      <c r="K1024" s="192"/>
      <c r="L1024" s="192"/>
      <c r="M1024" s="192"/>
      <c r="N1024" s="175"/>
      <c r="O1024" s="116"/>
      <c r="P1024" s="175"/>
      <c r="Q1024" s="175"/>
      <c r="R1024" s="220"/>
      <c r="S1024" s="175"/>
      <c r="T1024" s="175"/>
      <c r="U1024" s="175"/>
      <c r="V1024" s="175"/>
      <c r="W1024" s="175"/>
      <c r="X1024" s="116"/>
    </row>
    <row r="1025" spans="1:24" s="112" customFormat="1">
      <c r="A1025" s="116"/>
      <c r="B1025" s="115"/>
      <c r="C1025" s="115"/>
      <c r="D1025" s="131"/>
      <c r="E1025" s="177"/>
      <c r="F1025" s="28"/>
      <c r="G1025" s="118"/>
      <c r="H1025" s="192"/>
      <c r="I1025" s="192"/>
      <c r="J1025" s="175"/>
      <c r="K1025" s="192"/>
      <c r="L1025" s="192"/>
      <c r="M1025" s="192"/>
      <c r="N1025" s="175"/>
      <c r="O1025" s="116"/>
      <c r="P1025" s="175"/>
      <c r="Q1025" s="175"/>
      <c r="R1025" s="220"/>
      <c r="S1025" s="175"/>
      <c r="T1025" s="175"/>
      <c r="U1025" s="175"/>
      <c r="V1025" s="175"/>
      <c r="W1025" s="175"/>
      <c r="X1025" s="116"/>
    </row>
    <row r="1026" spans="1:24" s="112" customFormat="1">
      <c r="A1026" s="116"/>
      <c r="B1026" s="115"/>
      <c r="C1026" s="115"/>
      <c r="D1026" s="131"/>
      <c r="E1026" s="177"/>
      <c r="F1026" s="28"/>
      <c r="G1026" s="118"/>
      <c r="H1026" s="192"/>
      <c r="I1026" s="192"/>
      <c r="J1026" s="175"/>
      <c r="K1026" s="192"/>
      <c r="L1026" s="192"/>
      <c r="M1026" s="192"/>
      <c r="N1026" s="175"/>
      <c r="O1026" s="116"/>
      <c r="P1026" s="175"/>
      <c r="Q1026" s="175"/>
      <c r="R1026" s="220"/>
      <c r="S1026" s="175"/>
      <c r="T1026" s="175"/>
      <c r="U1026" s="175"/>
      <c r="V1026" s="175"/>
      <c r="W1026" s="175"/>
      <c r="X1026" s="116"/>
    </row>
    <row r="1027" spans="1:24" s="112" customFormat="1">
      <c r="A1027" s="116"/>
      <c r="B1027" s="115"/>
      <c r="C1027" s="115"/>
      <c r="D1027" s="131"/>
      <c r="E1027" s="177"/>
      <c r="F1027" s="28"/>
      <c r="G1027" s="118"/>
      <c r="H1027" s="192"/>
      <c r="I1027" s="192"/>
      <c r="J1027" s="175"/>
      <c r="K1027" s="192"/>
      <c r="L1027" s="192"/>
      <c r="M1027" s="192"/>
      <c r="N1027" s="175"/>
      <c r="O1027" s="116"/>
      <c r="P1027" s="175"/>
      <c r="Q1027" s="175"/>
      <c r="R1027" s="220"/>
      <c r="S1027" s="175"/>
      <c r="T1027" s="175"/>
      <c r="U1027" s="175"/>
      <c r="V1027" s="175"/>
      <c r="W1027" s="175"/>
      <c r="X1027" s="116"/>
    </row>
    <row r="1028" spans="1:24" s="112" customFormat="1">
      <c r="A1028" s="116"/>
      <c r="B1028" s="115"/>
      <c r="C1028" s="115"/>
      <c r="D1028" s="131"/>
      <c r="E1028" s="177"/>
      <c r="F1028" s="28"/>
      <c r="G1028" s="118"/>
      <c r="H1028" s="192"/>
      <c r="I1028" s="192"/>
      <c r="J1028" s="175"/>
      <c r="K1028" s="192"/>
      <c r="L1028" s="192"/>
      <c r="M1028" s="192"/>
      <c r="N1028" s="175"/>
      <c r="O1028" s="116"/>
      <c r="P1028" s="175"/>
      <c r="Q1028" s="175"/>
      <c r="R1028" s="220"/>
      <c r="S1028" s="175"/>
      <c r="T1028" s="175"/>
      <c r="U1028" s="175"/>
      <c r="V1028" s="175"/>
      <c r="W1028" s="175"/>
      <c r="X1028" s="116"/>
    </row>
    <row r="1029" spans="1:24" s="112" customFormat="1">
      <c r="A1029" s="116"/>
      <c r="B1029" s="115"/>
      <c r="C1029" s="115"/>
      <c r="D1029" s="131"/>
      <c r="E1029" s="177"/>
      <c r="F1029" s="28"/>
      <c r="G1029" s="118"/>
      <c r="H1029" s="192"/>
      <c r="I1029" s="192"/>
      <c r="J1029" s="175"/>
      <c r="K1029" s="192"/>
      <c r="L1029" s="192"/>
      <c r="M1029" s="192"/>
      <c r="N1029" s="175"/>
      <c r="O1029" s="116"/>
      <c r="P1029" s="175"/>
      <c r="Q1029" s="175"/>
      <c r="R1029" s="220"/>
      <c r="S1029" s="175"/>
      <c r="T1029" s="175"/>
      <c r="U1029" s="175"/>
      <c r="V1029" s="175"/>
      <c r="W1029" s="175"/>
      <c r="X1029" s="116"/>
    </row>
    <row r="1030" spans="1:24" s="112" customFormat="1">
      <c r="A1030" s="116"/>
      <c r="B1030" s="115"/>
      <c r="C1030" s="115"/>
      <c r="D1030" s="131"/>
      <c r="E1030" s="177"/>
      <c r="F1030" s="28"/>
      <c r="G1030" s="118"/>
      <c r="H1030" s="192"/>
      <c r="I1030" s="192"/>
      <c r="J1030" s="175"/>
      <c r="K1030" s="192"/>
      <c r="L1030" s="192"/>
      <c r="M1030" s="192"/>
      <c r="N1030" s="175"/>
      <c r="O1030" s="116"/>
      <c r="P1030" s="175"/>
      <c r="Q1030" s="175"/>
      <c r="R1030" s="220"/>
      <c r="S1030" s="175"/>
      <c r="T1030" s="175"/>
      <c r="U1030" s="175"/>
      <c r="V1030" s="175"/>
      <c r="W1030" s="175"/>
      <c r="X1030" s="116"/>
    </row>
    <row r="1031" spans="1:24" s="112" customFormat="1">
      <c r="A1031" s="116"/>
      <c r="B1031" s="115"/>
      <c r="C1031" s="115"/>
      <c r="D1031" s="131"/>
      <c r="E1031" s="177"/>
      <c r="F1031" s="28"/>
      <c r="G1031" s="118"/>
      <c r="H1031" s="192"/>
      <c r="I1031" s="192"/>
      <c r="J1031" s="175"/>
      <c r="K1031" s="192"/>
      <c r="L1031" s="192"/>
      <c r="M1031" s="192"/>
      <c r="N1031" s="175"/>
      <c r="O1031" s="116"/>
      <c r="P1031" s="175"/>
      <c r="Q1031" s="175"/>
      <c r="R1031" s="220"/>
      <c r="S1031" s="175"/>
      <c r="T1031" s="175"/>
      <c r="U1031" s="175"/>
      <c r="V1031" s="175"/>
      <c r="W1031" s="175"/>
      <c r="X1031" s="116"/>
    </row>
    <row r="1032" spans="1:24" s="112" customFormat="1">
      <c r="A1032" s="116"/>
      <c r="B1032" s="115"/>
      <c r="C1032" s="115"/>
      <c r="D1032" s="131"/>
      <c r="E1032" s="177"/>
      <c r="F1032" s="28"/>
      <c r="G1032" s="118"/>
      <c r="H1032" s="192"/>
      <c r="I1032" s="192"/>
      <c r="J1032" s="175"/>
      <c r="K1032" s="192"/>
      <c r="L1032" s="192"/>
      <c r="M1032" s="192"/>
      <c r="N1032" s="175"/>
      <c r="O1032" s="116"/>
      <c r="P1032" s="175"/>
      <c r="Q1032" s="175"/>
      <c r="R1032" s="220"/>
      <c r="S1032" s="175"/>
      <c r="T1032" s="175"/>
      <c r="U1032" s="175"/>
      <c r="V1032" s="175"/>
      <c r="W1032" s="175"/>
      <c r="X1032" s="116"/>
    </row>
    <row r="1033" spans="1:24" s="112" customFormat="1">
      <c r="A1033" s="116"/>
      <c r="B1033" s="115"/>
      <c r="C1033" s="115"/>
      <c r="D1033" s="131"/>
      <c r="E1033" s="177"/>
      <c r="F1033" s="28"/>
      <c r="G1033" s="118"/>
      <c r="H1033" s="192"/>
      <c r="I1033" s="192"/>
      <c r="J1033" s="175"/>
      <c r="K1033" s="192"/>
      <c r="L1033" s="192"/>
      <c r="M1033" s="192"/>
      <c r="N1033" s="175"/>
      <c r="O1033" s="116"/>
      <c r="P1033" s="175"/>
      <c r="Q1033" s="175"/>
      <c r="R1033" s="220"/>
      <c r="S1033" s="175"/>
      <c r="T1033" s="175"/>
      <c r="U1033" s="175"/>
      <c r="V1033" s="175"/>
      <c r="W1033" s="175"/>
      <c r="X1033" s="116"/>
    </row>
    <row r="1034" spans="1:24" s="112" customFormat="1">
      <c r="A1034" s="116"/>
      <c r="B1034" s="115"/>
      <c r="C1034" s="115"/>
      <c r="D1034" s="131"/>
      <c r="E1034" s="177"/>
      <c r="F1034" s="28"/>
      <c r="G1034" s="118"/>
      <c r="H1034" s="192"/>
      <c r="I1034" s="192"/>
      <c r="J1034" s="175"/>
      <c r="K1034" s="192"/>
      <c r="L1034" s="192"/>
      <c r="M1034" s="192"/>
      <c r="N1034" s="175"/>
      <c r="O1034" s="116"/>
      <c r="P1034" s="175"/>
      <c r="Q1034" s="175"/>
      <c r="R1034" s="220"/>
      <c r="S1034" s="175"/>
      <c r="T1034" s="175"/>
      <c r="U1034" s="175"/>
      <c r="V1034" s="175"/>
      <c r="W1034" s="175"/>
      <c r="X1034" s="116"/>
    </row>
    <row r="1035" spans="1:24" s="112" customFormat="1">
      <c r="A1035" s="116"/>
      <c r="B1035" s="115"/>
      <c r="C1035" s="115"/>
      <c r="D1035" s="131"/>
      <c r="E1035" s="177"/>
      <c r="F1035" s="28"/>
      <c r="G1035" s="118"/>
      <c r="H1035" s="192"/>
      <c r="I1035" s="192"/>
      <c r="J1035" s="175"/>
      <c r="K1035" s="192"/>
      <c r="L1035" s="192"/>
      <c r="M1035" s="192"/>
      <c r="N1035" s="175"/>
      <c r="O1035" s="116"/>
      <c r="P1035" s="175"/>
      <c r="Q1035" s="175"/>
      <c r="R1035" s="220"/>
      <c r="S1035" s="175"/>
      <c r="T1035" s="175"/>
      <c r="U1035" s="175"/>
      <c r="V1035" s="175"/>
      <c r="W1035" s="175"/>
      <c r="X1035" s="116"/>
    </row>
    <row r="1036" spans="1:24" s="112" customFormat="1">
      <c r="A1036" s="116"/>
      <c r="B1036" s="115"/>
      <c r="C1036" s="115"/>
      <c r="D1036" s="131"/>
      <c r="E1036" s="177"/>
      <c r="F1036" s="28"/>
      <c r="G1036" s="118"/>
      <c r="H1036" s="192"/>
      <c r="I1036" s="192"/>
      <c r="J1036" s="175"/>
      <c r="K1036" s="192"/>
      <c r="L1036" s="192"/>
      <c r="M1036" s="192"/>
      <c r="N1036" s="175"/>
      <c r="O1036" s="116"/>
      <c r="P1036" s="175"/>
      <c r="Q1036" s="175"/>
      <c r="R1036" s="220"/>
      <c r="S1036" s="175"/>
      <c r="T1036" s="175"/>
      <c r="U1036" s="175"/>
      <c r="V1036" s="175"/>
      <c r="W1036" s="175"/>
      <c r="X1036" s="116"/>
    </row>
    <row r="1037" spans="1:24" s="112" customFormat="1">
      <c r="A1037" s="116"/>
      <c r="B1037" s="115"/>
      <c r="C1037" s="115"/>
      <c r="D1037" s="131"/>
      <c r="E1037" s="177"/>
      <c r="F1037" s="28"/>
      <c r="G1037" s="118"/>
      <c r="H1037" s="192"/>
      <c r="I1037" s="192"/>
      <c r="J1037" s="175"/>
      <c r="K1037" s="192"/>
      <c r="L1037" s="192"/>
      <c r="M1037" s="192"/>
      <c r="N1037" s="175"/>
      <c r="O1037" s="116"/>
      <c r="P1037" s="175"/>
      <c r="Q1037" s="175"/>
      <c r="R1037" s="220"/>
      <c r="S1037" s="175"/>
      <c r="T1037" s="175"/>
      <c r="U1037" s="175"/>
      <c r="V1037" s="175"/>
      <c r="W1037" s="175"/>
      <c r="X1037" s="116"/>
    </row>
    <row r="1038" spans="1:24" s="112" customFormat="1">
      <c r="A1038" s="116"/>
      <c r="B1038" s="115"/>
      <c r="C1038" s="115"/>
      <c r="D1038" s="131"/>
      <c r="E1038" s="177"/>
      <c r="F1038" s="28"/>
      <c r="G1038" s="118"/>
      <c r="H1038" s="192"/>
      <c r="I1038" s="192"/>
      <c r="J1038" s="175"/>
      <c r="K1038" s="192"/>
      <c r="L1038" s="192"/>
      <c r="M1038" s="192"/>
      <c r="N1038" s="175"/>
      <c r="O1038" s="116"/>
      <c r="P1038" s="175"/>
      <c r="Q1038" s="175"/>
      <c r="R1038" s="220"/>
      <c r="S1038" s="175"/>
      <c r="T1038" s="175"/>
      <c r="U1038" s="175"/>
      <c r="V1038" s="175"/>
      <c r="W1038" s="175"/>
      <c r="X1038" s="116"/>
    </row>
    <row r="1039" spans="1:24" s="112" customFormat="1">
      <c r="A1039" s="116"/>
      <c r="B1039" s="115"/>
      <c r="C1039" s="115"/>
      <c r="D1039" s="131"/>
      <c r="E1039" s="177"/>
      <c r="F1039" s="28"/>
      <c r="G1039" s="118"/>
      <c r="H1039" s="192"/>
      <c r="I1039" s="192"/>
      <c r="J1039" s="175"/>
      <c r="K1039" s="192"/>
      <c r="L1039" s="192"/>
      <c r="M1039" s="192"/>
      <c r="N1039" s="175"/>
      <c r="O1039" s="116"/>
      <c r="P1039" s="175"/>
      <c r="Q1039" s="175"/>
      <c r="R1039" s="220"/>
      <c r="S1039" s="175"/>
      <c r="T1039" s="175"/>
      <c r="U1039" s="175"/>
      <c r="V1039" s="175"/>
      <c r="W1039" s="175"/>
      <c r="X1039" s="116"/>
    </row>
    <row r="1040" spans="1:24" s="112" customFormat="1">
      <c r="A1040" s="116"/>
      <c r="B1040" s="115"/>
      <c r="C1040" s="115"/>
      <c r="D1040" s="131"/>
      <c r="E1040" s="177"/>
      <c r="F1040" s="28"/>
      <c r="G1040" s="118"/>
      <c r="H1040" s="192"/>
      <c r="I1040" s="192"/>
      <c r="J1040" s="175"/>
      <c r="K1040" s="192"/>
      <c r="L1040" s="192"/>
      <c r="M1040" s="192"/>
      <c r="N1040" s="175"/>
      <c r="O1040" s="116"/>
      <c r="P1040" s="175"/>
      <c r="Q1040" s="175"/>
      <c r="R1040" s="220"/>
      <c r="S1040" s="175"/>
      <c r="T1040" s="175"/>
      <c r="U1040" s="175"/>
      <c r="V1040" s="175"/>
      <c r="W1040" s="175"/>
      <c r="X1040" s="116"/>
    </row>
    <row r="1041" spans="1:24" s="112" customFormat="1">
      <c r="A1041" s="116"/>
      <c r="B1041" s="115"/>
      <c r="C1041" s="115"/>
      <c r="D1041" s="131"/>
      <c r="E1041" s="177"/>
      <c r="F1041" s="28"/>
      <c r="G1041" s="118"/>
      <c r="H1041" s="192"/>
      <c r="I1041" s="192"/>
      <c r="J1041" s="175"/>
      <c r="K1041" s="192"/>
      <c r="L1041" s="192"/>
      <c r="M1041" s="192"/>
      <c r="N1041" s="175"/>
      <c r="O1041" s="116"/>
      <c r="P1041" s="175"/>
      <c r="Q1041" s="175"/>
      <c r="R1041" s="220"/>
      <c r="S1041" s="175"/>
      <c r="T1041" s="175"/>
      <c r="U1041" s="175"/>
      <c r="V1041" s="175"/>
      <c r="W1041" s="175"/>
      <c r="X1041" s="116"/>
    </row>
    <row r="1042" spans="1:24" s="112" customFormat="1">
      <c r="A1042" s="116"/>
      <c r="B1042" s="115"/>
      <c r="C1042" s="115"/>
      <c r="D1042" s="131"/>
      <c r="E1042" s="177"/>
      <c r="F1042" s="28"/>
      <c r="G1042" s="118"/>
      <c r="H1042" s="192"/>
      <c r="I1042" s="192"/>
      <c r="J1042" s="175"/>
      <c r="K1042" s="192"/>
      <c r="L1042" s="192"/>
      <c r="M1042" s="192"/>
      <c r="N1042" s="175"/>
      <c r="O1042" s="116"/>
      <c r="P1042" s="175"/>
      <c r="Q1042" s="175"/>
      <c r="R1042" s="220"/>
      <c r="S1042" s="175"/>
      <c r="T1042" s="175"/>
      <c r="U1042" s="175"/>
      <c r="V1042" s="175"/>
      <c r="W1042" s="175"/>
      <c r="X1042" s="116"/>
    </row>
    <row r="1043" spans="1:24" s="112" customFormat="1">
      <c r="A1043" s="116"/>
      <c r="B1043" s="115"/>
      <c r="C1043" s="115"/>
      <c r="D1043" s="131"/>
      <c r="E1043" s="177"/>
      <c r="F1043" s="28"/>
      <c r="G1043" s="118"/>
      <c r="H1043" s="192"/>
      <c r="I1043" s="192"/>
      <c r="J1043" s="175"/>
      <c r="K1043" s="192"/>
      <c r="L1043" s="192"/>
      <c r="M1043" s="192"/>
      <c r="N1043" s="175"/>
      <c r="O1043" s="116"/>
      <c r="P1043" s="175"/>
      <c r="Q1043" s="175"/>
      <c r="R1043" s="220"/>
      <c r="S1043" s="175"/>
      <c r="T1043" s="175"/>
      <c r="U1043" s="175"/>
      <c r="V1043" s="175"/>
      <c r="W1043" s="175"/>
      <c r="X1043" s="116"/>
    </row>
    <row r="1044" spans="1:24" s="112" customFormat="1">
      <c r="A1044" s="116"/>
      <c r="B1044" s="115"/>
      <c r="C1044" s="115"/>
      <c r="D1044" s="131"/>
      <c r="E1044" s="177"/>
      <c r="F1044" s="28"/>
      <c r="G1044" s="118"/>
      <c r="H1044" s="192"/>
      <c r="I1044" s="192"/>
      <c r="J1044" s="175"/>
      <c r="K1044" s="192"/>
      <c r="L1044" s="192"/>
      <c r="M1044" s="192"/>
      <c r="N1044" s="175"/>
      <c r="O1044" s="116"/>
      <c r="P1044" s="175"/>
      <c r="Q1044" s="175"/>
      <c r="R1044" s="220"/>
      <c r="S1044" s="175"/>
      <c r="T1044" s="175"/>
      <c r="U1044" s="175"/>
      <c r="V1044" s="175"/>
      <c r="W1044" s="175"/>
      <c r="X1044" s="116"/>
    </row>
    <row r="1045" spans="1:24" s="112" customFormat="1">
      <c r="A1045" s="116"/>
      <c r="B1045" s="115"/>
      <c r="C1045" s="115"/>
      <c r="D1045" s="131"/>
      <c r="E1045" s="177"/>
      <c r="F1045" s="28"/>
      <c r="G1045" s="118"/>
      <c r="H1045" s="192"/>
      <c r="I1045" s="192"/>
      <c r="J1045" s="175"/>
      <c r="K1045" s="192"/>
      <c r="L1045" s="192"/>
      <c r="M1045" s="192"/>
      <c r="N1045" s="175"/>
      <c r="O1045" s="116"/>
      <c r="P1045" s="175"/>
      <c r="Q1045" s="175"/>
      <c r="R1045" s="220"/>
      <c r="S1045" s="175"/>
      <c r="T1045" s="175"/>
      <c r="U1045" s="175"/>
      <c r="V1045" s="175"/>
      <c r="W1045" s="175"/>
      <c r="X1045" s="116"/>
    </row>
    <row r="1046" spans="1:24" s="112" customFormat="1">
      <c r="A1046" s="116"/>
      <c r="B1046" s="115"/>
      <c r="C1046" s="115"/>
      <c r="D1046" s="131"/>
      <c r="E1046" s="177"/>
      <c r="F1046" s="28"/>
      <c r="G1046" s="118"/>
      <c r="H1046" s="192"/>
      <c r="I1046" s="192"/>
      <c r="J1046" s="175"/>
      <c r="K1046" s="192"/>
      <c r="L1046" s="192"/>
      <c r="M1046" s="192"/>
      <c r="N1046" s="175"/>
      <c r="O1046" s="116"/>
      <c r="P1046" s="175"/>
      <c r="Q1046" s="175"/>
      <c r="R1046" s="220"/>
      <c r="S1046" s="175"/>
      <c r="T1046" s="175"/>
      <c r="U1046" s="175"/>
      <c r="V1046" s="175"/>
      <c r="W1046" s="175"/>
      <c r="X1046" s="116"/>
    </row>
    <row r="1047" spans="1:24" s="112" customFormat="1">
      <c r="A1047" s="116"/>
      <c r="B1047" s="115"/>
      <c r="C1047" s="115"/>
      <c r="D1047" s="131"/>
      <c r="E1047" s="177"/>
      <c r="F1047" s="28"/>
      <c r="G1047" s="118"/>
      <c r="H1047" s="192"/>
      <c r="I1047" s="192"/>
      <c r="J1047" s="175"/>
      <c r="K1047" s="192"/>
      <c r="L1047" s="192"/>
      <c r="M1047" s="192"/>
      <c r="N1047" s="175"/>
      <c r="O1047" s="116"/>
      <c r="P1047" s="175"/>
      <c r="Q1047" s="175"/>
      <c r="R1047" s="220"/>
      <c r="S1047" s="175"/>
      <c r="T1047" s="175"/>
      <c r="U1047" s="175"/>
      <c r="V1047" s="175"/>
      <c r="W1047" s="175"/>
      <c r="X1047" s="116"/>
    </row>
    <row r="1048" spans="1:24" s="112" customFormat="1">
      <c r="A1048" s="116"/>
      <c r="B1048" s="115"/>
      <c r="C1048" s="115"/>
      <c r="D1048" s="131"/>
      <c r="E1048" s="177"/>
      <c r="F1048" s="28"/>
      <c r="G1048" s="118"/>
      <c r="H1048" s="192"/>
      <c r="I1048" s="192"/>
      <c r="J1048" s="175"/>
      <c r="K1048" s="192"/>
      <c r="L1048" s="192"/>
      <c r="M1048" s="192"/>
      <c r="N1048" s="175"/>
      <c r="O1048" s="116"/>
      <c r="P1048" s="175"/>
      <c r="Q1048" s="175"/>
      <c r="R1048" s="220"/>
      <c r="S1048" s="175"/>
      <c r="T1048" s="175"/>
      <c r="U1048" s="175"/>
      <c r="V1048" s="175"/>
      <c r="W1048" s="175"/>
      <c r="X1048" s="116"/>
    </row>
    <row r="1049" spans="1:24" s="112" customFormat="1">
      <c r="A1049" s="116"/>
      <c r="B1049" s="115"/>
      <c r="C1049" s="115"/>
      <c r="D1049" s="131"/>
      <c r="E1049" s="177"/>
      <c r="F1049" s="28"/>
      <c r="G1049" s="118"/>
      <c r="H1049" s="192"/>
      <c r="I1049" s="192"/>
      <c r="J1049" s="175"/>
      <c r="K1049" s="192"/>
      <c r="L1049" s="192"/>
      <c r="M1049" s="192"/>
      <c r="N1049" s="175"/>
      <c r="O1049" s="116"/>
      <c r="P1049" s="175"/>
      <c r="Q1049" s="175"/>
      <c r="R1049" s="220"/>
      <c r="S1049" s="175"/>
      <c r="T1049" s="175"/>
      <c r="U1049" s="175"/>
      <c r="V1049" s="175"/>
      <c r="W1049" s="175"/>
      <c r="X1049" s="116"/>
    </row>
    <row r="1050" spans="1:24" s="112" customFormat="1">
      <c r="A1050" s="116"/>
      <c r="B1050" s="115"/>
      <c r="C1050" s="115"/>
      <c r="D1050" s="131"/>
      <c r="E1050" s="177"/>
      <c r="F1050" s="28"/>
      <c r="G1050" s="118"/>
      <c r="H1050" s="192"/>
      <c r="I1050" s="192"/>
      <c r="J1050" s="175"/>
      <c r="K1050" s="192"/>
      <c r="L1050" s="192"/>
      <c r="M1050" s="192"/>
      <c r="N1050" s="175"/>
      <c r="O1050" s="116"/>
      <c r="P1050" s="175"/>
      <c r="Q1050" s="175"/>
      <c r="R1050" s="220"/>
      <c r="S1050" s="175"/>
      <c r="T1050" s="175"/>
      <c r="U1050" s="175"/>
      <c r="V1050" s="175"/>
      <c r="W1050" s="175"/>
      <c r="X1050" s="116"/>
    </row>
    <row r="1051" spans="1:24" s="112" customFormat="1">
      <c r="A1051" s="116"/>
      <c r="B1051" s="115"/>
      <c r="C1051" s="115"/>
      <c r="D1051" s="131"/>
      <c r="E1051" s="177"/>
      <c r="F1051" s="28"/>
      <c r="G1051" s="118"/>
      <c r="H1051" s="192"/>
      <c r="I1051" s="192"/>
      <c r="J1051" s="175"/>
      <c r="K1051" s="192"/>
      <c r="L1051" s="192"/>
      <c r="M1051" s="192"/>
      <c r="N1051" s="175"/>
      <c r="O1051" s="116"/>
      <c r="P1051" s="175"/>
      <c r="Q1051" s="175"/>
      <c r="R1051" s="220"/>
      <c r="S1051" s="175"/>
      <c r="T1051" s="175"/>
      <c r="U1051" s="175"/>
      <c r="V1051" s="175"/>
      <c r="W1051" s="175"/>
      <c r="X1051" s="116"/>
    </row>
    <row r="1052" spans="1:24" s="112" customFormat="1">
      <c r="A1052" s="116"/>
      <c r="B1052" s="115"/>
      <c r="C1052" s="115"/>
      <c r="D1052" s="131"/>
      <c r="E1052" s="177"/>
      <c r="F1052" s="28"/>
      <c r="G1052" s="118"/>
      <c r="H1052" s="192"/>
      <c r="I1052" s="192"/>
      <c r="J1052" s="175"/>
      <c r="K1052" s="192"/>
      <c r="L1052" s="192"/>
      <c r="M1052" s="192"/>
      <c r="N1052" s="175"/>
      <c r="O1052" s="116"/>
      <c r="P1052" s="175"/>
      <c r="Q1052" s="175"/>
      <c r="R1052" s="220"/>
      <c r="S1052" s="175"/>
      <c r="T1052" s="175"/>
      <c r="U1052" s="175"/>
      <c r="V1052" s="175"/>
      <c r="W1052" s="175"/>
      <c r="X1052" s="116"/>
    </row>
    <row r="1053" spans="1:24" s="112" customFormat="1">
      <c r="A1053" s="116"/>
      <c r="B1053" s="115"/>
      <c r="C1053" s="115"/>
      <c r="D1053" s="131"/>
      <c r="E1053" s="177"/>
      <c r="F1053" s="28"/>
      <c r="G1053" s="118"/>
      <c r="H1053" s="192"/>
      <c r="I1053" s="192"/>
      <c r="J1053" s="175"/>
      <c r="K1053" s="192"/>
      <c r="L1053" s="192"/>
      <c r="M1053" s="192"/>
      <c r="N1053" s="175"/>
      <c r="O1053" s="116"/>
      <c r="P1053" s="175"/>
      <c r="Q1053" s="175"/>
      <c r="R1053" s="220"/>
      <c r="S1053" s="175"/>
      <c r="T1053" s="175"/>
      <c r="U1053" s="175"/>
      <c r="V1053" s="175"/>
      <c r="W1053" s="175"/>
      <c r="X1053" s="116"/>
    </row>
    <row r="1054" spans="1:24" s="112" customFormat="1">
      <c r="A1054" s="116"/>
      <c r="B1054" s="115"/>
      <c r="C1054" s="115"/>
      <c r="D1054" s="131"/>
      <c r="E1054" s="177"/>
      <c r="F1054" s="28"/>
      <c r="G1054" s="118"/>
      <c r="H1054" s="192"/>
      <c r="I1054" s="192"/>
      <c r="J1054" s="175"/>
      <c r="K1054" s="192"/>
      <c r="L1054" s="192"/>
      <c r="M1054" s="192"/>
      <c r="N1054" s="175"/>
      <c r="O1054" s="116"/>
      <c r="P1054" s="175"/>
      <c r="Q1054" s="175"/>
      <c r="R1054" s="220"/>
      <c r="S1054" s="175"/>
      <c r="T1054" s="175"/>
      <c r="U1054" s="175"/>
      <c r="V1054" s="175"/>
      <c r="W1054" s="175"/>
      <c r="X1054" s="116"/>
    </row>
    <row r="1055" spans="1:24" s="112" customFormat="1">
      <c r="A1055" s="116"/>
      <c r="B1055" s="115"/>
      <c r="C1055" s="115"/>
      <c r="D1055" s="131"/>
      <c r="E1055" s="177"/>
      <c r="F1055" s="28"/>
      <c r="G1055" s="118"/>
      <c r="H1055" s="192"/>
      <c r="I1055" s="192"/>
      <c r="J1055" s="175"/>
      <c r="K1055" s="192"/>
      <c r="L1055" s="192"/>
      <c r="M1055" s="192"/>
      <c r="N1055" s="175"/>
      <c r="O1055" s="116"/>
      <c r="P1055" s="175"/>
      <c r="Q1055" s="175"/>
      <c r="R1055" s="220"/>
      <c r="S1055" s="175"/>
      <c r="T1055" s="175"/>
      <c r="U1055" s="175"/>
      <c r="V1055" s="175"/>
      <c r="W1055" s="175"/>
      <c r="X1055" s="116"/>
    </row>
    <row r="1056" spans="1:24" s="112" customFormat="1">
      <c r="A1056" s="116"/>
      <c r="B1056" s="115"/>
      <c r="C1056" s="115"/>
      <c r="D1056" s="131"/>
      <c r="E1056" s="177"/>
      <c r="F1056" s="28"/>
      <c r="G1056" s="118"/>
      <c r="H1056" s="192"/>
      <c r="I1056" s="192"/>
      <c r="J1056" s="175"/>
      <c r="K1056" s="192"/>
      <c r="L1056" s="192"/>
      <c r="M1056" s="192"/>
      <c r="N1056" s="175"/>
      <c r="O1056" s="116"/>
      <c r="P1056" s="175"/>
      <c r="Q1056" s="175"/>
      <c r="R1056" s="220"/>
      <c r="S1056" s="175"/>
      <c r="T1056" s="175"/>
      <c r="U1056" s="175"/>
      <c r="V1056" s="175"/>
      <c r="W1056" s="175"/>
      <c r="X1056" s="116"/>
    </row>
    <row r="1057" spans="1:24" s="112" customFormat="1">
      <c r="A1057" s="116"/>
      <c r="B1057" s="115"/>
      <c r="C1057" s="115"/>
      <c r="D1057" s="131"/>
      <c r="E1057" s="177"/>
      <c r="F1057" s="28"/>
      <c r="G1057" s="118"/>
      <c r="H1057" s="192"/>
      <c r="I1057" s="192"/>
      <c r="J1057" s="175"/>
      <c r="K1057" s="192"/>
      <c r="L1057" s="192"/>
      <c r="M1057" s="192"/>
      <c r="N1057" s="175"/>
      <c r="O1057" s="116"/>
      <c r="P1057" s="175"/>
      <c r="Q1057" s="175"/>
      <c r="R1057" s="220"/>
      <c r="S1057" s="175"/>
      <c r="T1057" s="175"/>
      <c r="U1057" s="175"/>
      <c r="V1057" s="175"/>
      <c r="W1057" s="175"/>
      <c r="X1057" s="116"/>
    </row>
    <row r="1058" spans="1:24" s="112" customFormat="1">
      <c r="A1058" s="116"/>
      <c r="B1058" s="115"/>
      <c r="C1058" s="115"/>
      <c r="D1058" s="131"/>
      <c r="E1058" s="177"/>
      <c r="F1058" s="28"/>
      <c r="G1058" s="118"/>
      <c r="H1058" s="192"/>
      <c r="I1058" s="192"/>
      <c r="J1058" s="175"/>
      <c r="K1058" s="192"/>
      <c r="L1058" s="192"/>
      <c r="M1058" s="192"/>
      <c r="N1058" s="175"/>
      <c r="O1058" s="116"/>
      <c r="P1058" s="175"/>
      <c r="Q1058" s="175"/>
      <c r="R1058" s="220"/>
      <c r="S1058" s="175"/>
      <c r="T1058" s="175"/>
      <c r="U1058" s="175"/>
      <c r="V1058" s="175"/>
      <c r="W1058" s="175"/>
      <c r="X1058" s="116"/>
    </row>
    <row r="1059" spans="1:24" s="112" customFormat="1">
      <c r="A1059" s="116"/>
      <c r="B1059" s="115"/>
      <c r="C1059" s="115"/>
      <c r="D1059" s="131"/>
      <c r="E1059" s="177"/>
      <c r="F1059" s="28"/>
      <c r="G1059" s="118"/>
      <c r="H1059" s="192"/>
      <c r="I1059" s="192"/>
      <c r="J1059" s="175"/>
      <c r="K1059" s="192"/>
      <c r="L1059" s="192"/>
      <c r="M1059" s="192"/>
      <c r="N1059" s="175"/>
      <c r="O1059" s="116"/>
      <c r="P1059" s="175"/>
      <c r="Q1059" s="175"/>
      <c r="R1059" s="220"/>
      <c r="S1059" s="175"/>
      <c r="T1059" s="175"/>
      <c r="U1059" s="175"/>
      <c r="V1059" s="175"/>
      <c r="W1059" s="175"/>
      <c r="X1059" s="116"/>
    </row>
    <row r="1060" spans="1:24" s="112" customFormat="1">
      <c r="A1060" s="116"/>
      <c r="B1060" s="115"/>
      <c r="C1060" s="115"/>
      <c r="D1060" s="131"/>
      <c r="E1060" s="177"/>
      <c r="F1060" s="28"/>
      <c r="G1060" s="118"/>
      <c r="H1060" s="192"/>
      <c r="I1060" s="192"/>
      <c r="J1060" s="175"/>
      <c r="K1060" s="192"/>
      <c r="L1060" s="192"/>
      <c r="M1060" s="192"/>
      <c r="N1060" s="175"/>
      <c r="O1060" s="116"/>
      <c r="P1060" s="175"/>
      <c r="Q1060" s="175"/>
      <c r="R1060" s="220"/>
      <c r="S1060" s="175"/>
      <c r="T1060" s="175"/>
      <c r="U1060" s="175"/>
      <c r="V1060" s="175"/>
      <c r="W1060" s="175"/>
      <c r="X1060" s="116"/>
    </row>
    <row r="1061" spans="1:24" s="112" customFormat="1">
      <c r="A1061" s="116"/>
      <c r="B1061" s="115"/>
      <c r="C1061" s="115"/>
      <c r="D1061" s="131"/>
      <c r="E1061" s="177"/>
      <c r="F1061" s="28"/>
      <c r="G1061" s="118"/>
      <c r="H1061" s="192"/>
      <c r="I1061" s="192"/>
      <c r="J1061" s="175"/>
      <c r="K1061" s="192"/>
      <c r="L1061" s="192"/>
      <c r="M1061" s="192"/>
      <c r="N1061" s="175"/>
      <c r="O1061" s="116"/>
      <c r="P1061" s="175"/>
      <c r="Q1061" s="175"/>
      <c r="R1061" s="220"/>
      <c r="S1061" s="175"/>
      <c r="T1061" s="175"/>
      <c r="U1061" s="175"/>
      <c r="V1061" s="175"/>
      <c r="W1061" s="175"/>
      <c r="X1061" s="116"/>
    </row>
    <row r="1062" spans="1:24" s="112" customFormat="1">
      <c r="A1062" s="116"/>
      <c r="B1062" s="115"/>
      <c r="C1062" s="115"/>
      <c r="D1062" s="131"/>
      <c r="E1062" s="177"/>
      <c r="F1062" s="28"/>
      <c r="G1062" s="118"/>
      <c r="H1062" s="192"/>
      <c r="I1062" s="192"/>
      <c r="J1062" s="175"/>
      <c r="K1062" s="192"/>
      <c r="L1062" s="192"/>
      <c r="M1062" s="192"/>
      <c r="N1062" s="175"/>
      <c r="O1062" s="116"/>
      <c r="P1062" s="175"/>
      <c r="Q1062" s="175"/>
      <c r="R1062" s="220"/>
      <c r="S1062" s="175"/>
      <c r="T1062" s="175"/>
      <c r="U1062" s="175"/>
      <c r="V1062" s="175"/>
      <c r="W1062" s="175"/>
      <c r="X1062" s="116"/>
    </row>
    <row r="1063" spans="1:24" s="112" customFormat="1">
      <c r="A1063" s="116"/>
      <c r="B1063" s="115"/>
      <c r="C1063" s="115"/>
      <c r="D1063" s="131"/>
      <c r="E1063" s="177"/>
      <c r="F1063" s="28"/>
      <c r="G1063" s="118"/>
      <c r="H1063" s="192"/>
      <c r="I1063" s="192"/>
      <c r="J1063" s="175"/>
      <c r="K1063" s="192"/>
      <c r="L1063" s="192"/>
      <c r="M1063" s="192"/>
      <c r="N1063" s="175"/>
      <c r="O1063" s="116"/>
      <c r="P1063" s="175"/>
      <c r="Q1063" s="175"/>
      <c r="R1063" s="220"/>
      <c r="S1063" s="175"/>
      <c r="T1063" s="175"/>
      <c r="U1063" s="175"/>
      <c r="V1063" s="175"/>
      <c r="W1063" s="175"/>
      <c r="X1063" s="116"/>
    </row>
    <row r="1064" spans="1:24" s="112" customFormat="1">
      <c r="A1064" s="116"/>
      <c r="B1064" s="115"/>
      <c r="C1064" s="115"/>
      <c r="D1064" s="131"/>
      <c r="E1064" s="177"/>
      <c r="F1064" s="28"/>
      <c r="G1064" s="118"/>
      <c r="H1064" s="192"/>
      <c r="I1064" s="192"/>
      <c r="J1064" s="175"/>
      <c r="K1064" s="192"/>
      <c r="L1064" s="192"/>
      <c r="M1064" s="192"/>
      <c r="N1064" s="175"/>
      <c r="O1064" s="116"/>
      <c r="P1064" s="175"/>
      <c r="Q1064" s="175"/>
      <c r="R1064" s="220"/>
      <c r="S1064" s="175"/>
      <c r="T1064" s="175"/>
      <c r="U1064" s="175"/>
      <c r="V1064" s="175"/>
      <c r="W1064" s="175"/>
      <c r="X1064" s="116"/>
    </row>
    <row r="1065" spans="1:24" s="112" customFormat="1">
      <c r="A1065" s="116"/>
      <c r="B1065" s="115"/>
      <c r="C1065" s="115"/>
      <c r="D1065" s="131"/>
      <c r="E1065" s="177"/>
      <c r="F1065" s="28"/>
      <c r="G1065" s="118"/>
      <c r="H1065" s="192"/>
      <c r="I1065" s="192"/>
      <c r="J1065" s="175"/>
      <c r="K1065" s="192"/>
      <c r="L1065" s="192"/>
      <c r="M1065" s="192"/>
      <c r="N1065" s="175"/>
      <c r="O1065" s="116"/>
      <c r="P1065" s="175"/>
      <c r="Q1065" s="175"/>
      <c r="R1065" s="220"/>
      <c r="S1065" s="175"/>
      <c r="T1065" s="175"/>
      <c r="U1065" s="175"/>
      <c r="V1065" s="175"/>
      <c r="W1065" s="175"/>
      <c r="X1065" s="116"/>
    </row>
    <row r="1066" spans="1:24" s="112" customFormat="1">
      <c r="A1066" s="116"/>
      <c r="B1066" s="115"/>
      <c r="C1066" s="115"/>
      <c r="D1066" s="131"/>
      <c r="E1066" s="177"/>
      <c r="F1066" s="28"/>
      <c r="G1066" s="118"/>
      <c r="H1066" s="192"/>
      <c r="I1066" s="192"/>
      <c r="J1066" s="175"/>
      <c r="K1066" s="192"/>
      <c r="L1066" s="192"/>
      <c r="M1066" s="192"/>
      <c r="N1066" s="175"/>
      <c r="O1066" s="116"/>
      <c r="P1066" s="175"/>
      <c r="Q1066" s="175"/>
      <c r="R1066" s="220"/>
      <c r="S1066" s="175"/>
      <c r="T1066" s="175"/>
      <c r="U1066" s="175"/>
      <c r="V1066" s="175"/>
      <c r="W1066" s="175"/>
      <c r="X1066" s="116"/>
    </row>
    <row r="1067" spans="1:24" s="112" customFormat="1">
      <c r="A1067" s="116"/>
      <c r="B1067" s="115"/>
      <c r="C1067" s="115"/>
      <c r="D1067" s="131"/>
      <c r="E1067" s="177"/>
      <c r="F1067" s="28"/>
      <c r="G1067" s="118"/>
      <c r="H1067" s="192"/>
      <c r="I1067" s="192"/>
      <c r="J1067" s="175"/>
      <c r="K1067" s="192"/>
      <c r="L1067" s="192"/>
      <c r="M1067" s="192"/>
      <c r="N1067" s="175"/>
      <c r="O1067" s="116"/>
      <c r="P1067" s="175"/>
      <c r="Q1067" s="175"/>
      <c r="R1067" s="220"/>
      <c r="S1067" s="175"/>
      <c r="T1067" s="175"/>
      <c r="U1067" s="175"/>
      <c r="V1067" s="175"/>
      <c r="W1067" s="175"/>
      <c r="X1067" s="116"/>
    </row>
    <row r="1068" spans="1:24" s="112" customFormat="1">
      <c r="A1068" s="116"/>
      <c r="B1068" s="115"/>
      <c r="C1068" s="115"/>
      <c r="D1068" s="131"/>
      <c r="E1068" s="177"/>
      <c r="F1068" s="28"/>
      <c r="G1068" s="118"/>
      <c r="H1068" s="192"/>
      <c r="I1068" s="192"/>
      <c r="J1068" s="175"/>
      <c r="K1068" s="192"/>
      <c r="L1068" s="192"/>
      <c r="M1068" s="192"/>
      <c r="N1068" s="175"/>
      <c r="O1068" s="116"/>
      <c r="P1068" s="175"/>
      <c r="Q1068" s="175"/>
      <c r="R1068" s="220"/>
      <c r="S1068" s="175"/>
      <c r="T1068" s="175"/>
      <c r="U1068" s="175"/>
      <c r="V1068" s="175"/>
      <c r="W1068" s="175"/>
      <c r="X1068" s="116"/>
    </row>
    <row r="1069" spans="1:24" s="112" customFormat="1">
      <c r="A1069" s="116"/>
      <c r="B1069" s="115"/>
      <c r="C1069" s="115"/>
      <c r="D1069" s="131"/>
      <c r="E1069" s="177"/>
      <c r="F1069" s="28"/>
      <c r="G1069" s="118"/>
      <c r="H1069" s="192"/>
      <c r="I1069" s="192"/>
      <c r="J1069" s="175"/>
      <c r="K1069" s="192"/>
      <c r="L1069" s="192"/>
      <c r="M1069" s="192"/>
      <c r="N1069" s="175"/>
      <c r="O1069" s="116"/>
      <c r="P1069" s="175"/>
      <c r="Q1069" s="175"/>
      <c r="R1069" s="220"/>
      <c r="S1069" s="175"/>
      <c r="T1069" s="175"/>
      <c r="U1069" s="175"/>
      <c r="V1069" s="175"/>
      <c r="W1069" s="175"/>
      <c r="X1069" s="116"/>
    </row>
    <row r="1070" spans="1:24" s="112" customFormat="1">
      <c r="A1070" s="116"/>
      <c r="B1070" s="115"/>
      <c r="C1070" s="115"/>
      <c r="D1070" s="131"/>
      <c r="E1070" s="177"/>
      <c r="F1070" s="28"/>
      <c r="G1070" s="118"/>
      <c r="H1070" s="192"/>
      <c r="I1070" s="192"/>
      <c r="J1070" s="175"/>
      <c r="K1070" s="192"/>
      <c r="L1070" s="192"/>
      <c r="M1070" s="192"/>
      <c r="N1070" s="175"/>
      <c r="O1070" s="116"/>
      <c r="P1070" s="175"/>
      <c r="Q1070" s="175"/>
      <c r="R1070" s="220"/>
      <c r="S1070" s="175"/>
      <c r="T1070" s="175"/>
      <c r="U1070" s="175"/>
      <c r="V1070" s="175"/>
      <c r="W1070" s="175"/>
      <c r="X1070" s="116"/>
    </row>
    <row r="1071" spans="1:24" s="112" customFormat="1">
      <c r="A1071" s="116"/>
      <c r="B1071" s="115"/>
      <c r="C1071" s="115"/>
      <c r="D1071" s="131"/>
      <c r="E1071" s="177"/>
      <c r="F1071" s="28"/>
      <c r="G1071" s="118"/>
      <c r="H1071" s="192"/>
      <c r="I1071" s="192"/>
      <c r="J1071" s="175"/>
      <c r="K1071" s="192"/>
      <c r="L1071" s="192"/>
      <c r="M1071" s="192"/>
      <c r="N1071" s="175"/>
      <c r="O1071" s="116"/>
      <c r="P1071" s="175"/>
      <c r="Q1071" s="175"/>
      <c r="R1071" s="220"/>
      <c r="S1071" s="175"/>
      <c r="T1071" s="175"/>
      <c r="U1071" s="175"/>
      <c r="V1071" s="175"/>
      <c r="W1071" s="175"/>
      <c r="X1071" s="116"/>
    </row>
    <row r="1072" spans="1:24" s="112" customFormat="1">
      <c r="A1072" s="116"/>
      <c r="B1072" s="115"/>
      <c r="C1072" s="115"/>
      <c r="D1072" s="131"/>
      <c r="E1072" s="177"/>
      <c r="F1072" s="28"/>
      <c r="G1072" s="118"/>
      <c r="H1072" s="192"/>
      <c r="I1072" s="192"/>
      <c r="J1072" s="175"/>
      <c r="K1072" s="192"/>
      <c r="L1072" s="192"/>
      <c r="M1072" s="192"/>
      <c r="N1072" s="175"/>
      <c r="O1072" s="116"/>
      <c r="P1072" s="175"/>
      <c r="Q1072" s="175"/>
      <c r="R1072" s="220"/>
      <c r="S1072" s="175"/>
      <c r="T1072" s="175"/>
      <c r="U1072" s="175"/>
      <c r="V1072" s="175"/>
      <c r="W1072" s="175"/>
      <c r="X1072" s="116"/>
    </row>
    <row r="1073" spans="1:24" s="112" customFormat="1">
      <c r="A1073" s="116"/>
      <c r="B1073" s="115"/>
      <c r="C1073" s="115"/>
      <c r="D1073" s="131"/>
      <c r="E1073" s="177"/>
      <c r="F1073" s="28"/>
      <c r="G1073" s="118"/>
      <c r="H1073" s="192"/>
      <c r="I1073" s="192"/>
      <c r="J1073" s="175"/>
      <c r="K1073" s="192"/>
      <c r="L1073" s="192"/>
      <c r="M1073" s="192"/>
      <c r="N1073" s="175"/>
      <c r="O1073" s="116"/>
      <c r="P1073" s="175"/>
      <c r="Q1073" s="175"/>
      <c r="R1073" s="220"/>
      <c r="S1073" s="175"/>
      <c r="T1073" s="175"/>
      <c r="U1073" s="175"/>
      <c r="V1073" s="175"/>
      <c r="W1073" s="175"/>
      <c r="X1073" s="116"/>
    </row>
    <row r="1074" spans="1:24" s="112" customFormat="1">
      <c r="A1074" s="116"/>
      <c r="B1074" s="115"/>
      <c r="C1074" s="115"/>
      <c r="D1074" s="131"/>
      <c r="E1074" s="177"/>
      <c r="F1074" s="28"/>
      <c r="G1074" s="118"/>
      <c r="H1074" s="192"/>
      <c r="I1074" s="192"/>
      <c r="J1074" s="175"/>
      <c r="K1074" s="192"/>
      <c r="L1074" s="192"/>
      <c r="M1074" s="192"/>
      <c r="N1074" s="175"/>
      <c r="O1074" s="116"/>
      <c r="P1074" s="175"/>
      <c r="Q1074" s="175"/>
      <c r="R1074" s="220"/>
      <c r="S1074" s="175"/>
      <c r="T1074" s="175"/>
      <c r="U1074" s="175"/>
      <c r="V1074" s="175"/>
      <c r="W1074" s="175"/>
      <c r="X1074" s="116"/>
    </row>
    <row r="1075" spans="1:24" s="112" customFormat="1">
      <c r="A1075" s="116"/>
      <c r="B1075" s="115"/>
      <c r="C1075" s="115"/>
      <c r="D1075" s="131"/>
      <c r="E1075" s="177"/>
      <c r="F1075" s="28"/>
      <c r="G1075" s="118"/>
      <c r="H1075" s="192"/>
      <c r="I1075" s="192"/>
      <c r="J1075" s="175"/>
      <c r="K1075" s="192"/>
      <c r="L1075" s="192"/>
      <c r="M1075" s="192"/>
      <c r="N1075" s="175"/>
      <c r="O1075" s="116"/>
      <c r="P1075" s="175"/>
      <c r="Q1075" s="175"/>
      <c r="R1075" s="220"/>
      <c r="S1075" s="175"/>
      <c r="T1075" s="175"/>
      <c r="U1075" s="175"/>
      <c r="V1075" s="175"/>
      <c r="W1075" s="175"/>
      <c r="X1075" s="116"/>
    </row>
    <row r="1076" spans="1:24" s="112" customFormat="1">
      <c r="A1076" s="116"/>
      <c r="B1076" s="115"/>
      <c r="C1076" s="115"/>
      <c r="D1076" s="131"/>
      <c r="E1076" s="177"/>
      <c r="F1076" s="28"/>
      <c r="G1076" s="118"/>
      <c r="H1076" s="192"/>
      <c r="I1076" s="192"/>
      <c r="J1076" s="175"/>
      <c r="K1076" s="192"/>
      <c r="L1076" s="192"/>
      <c r="M1076" s="192"/>
      <c r="N1076" s="175"/>
      <c r="O1076" s="116"/>
      <c r="P1076" s="175"/>
      <c r="Q1076" s="175"/>
      <c r="R1076" s="220"/>
      <c r="S1076" s="175"/>
      <c r="T1076" s="175"/>
      <c r="U1076" s="175"/>
      <c r="V1076" s="175"/>
      <c r="W1076" s="175"/>
      <c r="X1076" s="116"/>
    </row>
    <row r="1077" spans="1:24" s="112" customFormat="1">
      <c r="A1077" s="116"/>
      <c r="B1077" s="115"/>
      <c r="C1077" s="115"/>
      <c r="D1077" s="131"/>
      <c r="E1077" s="177"/>
      <c r="F1077" s="28"/>
      <c r="G1077" s="118"/>
      <c r="H1077" s="192"/>
      <c r="I1077" s="192"/>
      <c r="J1077" s="175"/>
      <c r="K1077" s="192"/>
      <c r="L1077" s="192"/>
      <c r="M1077" s="192"/>
      <c r="N1077" s="175"/>
      <c r="O1077" s="116"/>
      <c r="P1077" s="175"/>
      <c r="Q1077" s="175"/>
      <c r="R1077" s="220"/>
      <c r="S1077" s="175"/>
      <c r="T1077" s="175"/>
      <c r="U1077" s="175"/>
      <c r="V1077" s="175"/>
      <c r="W1077" s="175"/>
      <c r="X1077" s="116"/>
    </row>
    <row r="1078" spans="1:24" s="112" customFormat="1">
      <c r="A1078" s="116"/>
      <c r="B1078" s="115"/>
      <c r="C1078" s="115"/>
      <c r="D1078" s="131"/>
      <c r="E1078" s="177"/>
      <c r="F1078" s="28"/>
      <c r="G1078" s="118"/>
      <c r="H1078" s="192"/>
      <c r="I1078" s="192"/>
      <c r="J1078" s="175"/>
      <c r="K1078" s="192"/>
      <c r="L1078" s="192"/>
      <c r="M1078" s="192"/>
      <c r="N1078" s="175"/>
      <c r="O1078" s="116"/>
      <c r="P1078" s="175"/>
      <c r="Q1078" s="175"/>
      <c r="R1078" s="220"/>
      <c r="S1078" s="175"/>
      <c r="T1078" s="175"/>
      <c r="U1078" s="175"/>
      <c r="V1078" s="175"/>
      <c r="W1078" s="175"/>
      <c r="X1078" s="116"/>
    </row>
    <row r="1079" spans="1:24" s="112" customFormat="1">
      <c r="A1079" s="116"/>
      <c r="B1079" s="115"/>
      <c r="C1079" s="115"/>
      <c r="D1079" s="131"/>
      <c r="E1079" s="177"/>
      <c r="F1079" s="28"/>
      <c r="G1079" s="118"/>
      <c r="H1079" s="192"/>
      <c r="I1079" s="192"/>
      <c r="J1079" s="175"/>
      <c r="K1079" s="192"/>
      <c r="L1079" s="192"/>
      <c r="M1079" s="192"/>
      <c r="N1079" s="175"/>
      <c r="O1079" s="116"/>
      <c r="P1079" s="175"/>
      <c r="Q1079" s="175"/>
      <c r="R1079" s="220"/>
      <c r="S1079" s="175"/>
      <c r="T1079" s="175"/>
      <c r="U1079" s="175"/>
      <c r="V1079" s="175"/>
      <c r="W1079" s="175"/>
      <c r="X1079" s="116"/>
    </row>
    <row r="1080" spans="1:24" s="112" customFormat="1">
      <c r="A1080" s="116"/>
      <c r="B1080" s="115"/>
      <c r="C1080" s="115"/>
      <c r="D1080" s="131"/>
      <c r="E1080" s="177"/>
      <c r="F1080" s="28"/>
      <c r="G1080" s="118"/>
      <c r="H1080" s="192"/>
      <c r="I1080" s="192"/>
      <c r="J1080" s="175"/>
      <c r="K1080" s="192"/>
      <c r="L1080" s="192"/>
      <c r="M1080" s="192"/>
      <c r="N1080" s="175"/>
      <c r="O1080" s="116"/>
      <c r="P1080" s="175"/>
      <c r="Q1080" s="175"/>
      <c r="R1080" s="220"/>
      <c r="S1080" s="175"/>
      <c r="T1080" s="175"/>
      <c r="U1080" s="175"/>
      <c r="V1080" s="175"/>
      <c r="W1080" s="175"/>
      <c r="X1080" s="116"/>
    </row>
    <row r="1081" spans="1:24" s="112" customFormat="1">
      <c r="A1081" s="116"/>
      <c r="B1081" s="115"/>
      <c r="C1081" s="115"/>
      <c r="D1081" s="131"/>
      <c r="E1081" s="177"/>
      <c r="F1081" s="28"/>
      <c r="G1081" s="118"/>
      <c r="H1081" s="192"/>
      <c r="I1081" s="192"/>
      <c r="J1081" s="175"/>
      <c r="K1081" s="192"/>
      <c r="L1081" s="192"/>
      <c r="M1081" s="192"/>
      <c r="N1081" s="175"/>
      <c r="O1081" s="116"/>
      <c r="P1081" s="175"/>
      <c r="Q1081" s="175"/>
      <c r="R1081" s="220"/>
      <c r="S1081" s="175"/>
      <c r="T1081" s="175"/>
      <c r="U1081" s="175"/>
      <c r="V1081" s="175"/>
      <c r="W1081" s="175"/>
      <c r="X1081" s="116"/>
    </row>
    <row r="1082" spans="1:24" s="112" customFormat="1">
      <c r="A1082" s="116"/>
      <c r="B1082" s="115"/>
      <c r="C1082" s="115"/>
      <c r="D1082" s="131"/>
      <c r="E1082" s="177"/>
      <c r="F1082" s="28"/>
      <c r="G1082" s="118"/>
      <c r="H1082" s="192"/>
      <c r="I1082" s="192"/>
      <c r="J1082" s="175"/>
      <c r="K1082" s="192"/>
      <c r="L1082" s="192"/>
      <c r="M1082" s="192"/>
      <c r="N1082" s="175"/>
      <c r="O1082" s="116"/>
      <c r="P1082" s="175"/>
      <c r="Q1082" s="175"/>
      <c r="R1082" s="220"/>
      <c r="S1082" s="175"/>
      <c r="T1082" s="175"/>
      <c r="U1082" s="175"/>
      <c r="V1082" s="175"/>
      <c r="W1082" s="175"/>
      <c r="X1082" s="116"/>
    </row>
    <row r="1083" spans="1:24" s="112" customFormat="1">
      <c r="A1083" s="116"/>
      <c r="B1083" s="115"/>
      <c r="C1083" s="115"/>
      <c r="D1083" s="131"/>
      <c r="E1083" s="177"/>
      <c r="F1083" s="28"/>
      <c r="G1083" s="118"/>
      <c r="H1083" s="192"/>
      <c r="I1083" s="192"/>
      <c r="J1083" s="175"/>
      <c r="K1083" s="192"/>
      <c r="L1083" s="192"/>
      <c r="M1083" s="192"/>
      <c r="N1083" s="175"/>
      <c r="O1083" s="116"/>
      <c r="P1083" s="175"/>
      <c r="Q1083" s="175"/>
      <c r="R1083" s="220"/>
      <c r="S1083" s="175"/>
      <c r="T1083" s="175"/>
      <c r="U1083" s="175"/>
      <c r="V1083" s="175"/>
      <c r="W1083" s="175"/>
      <c r="X1083" s="116"/>
    </row>
    <row r="1084" spans="1:24" s="112" customFormat="1">
      <c r="A1084" s="116"/>
      <c r="B1084" s="115"/>
      <c r="C1084" s="115"/>
      <c r="D1084" s="131"/>
      <c r="E1084" s="177"/>
      <c r="F1084" s="28"/>
      <c r="G1084" s="118"/>
      <c r="H1084" s="192"/>
      <c r="I1084" s="192"/>
      <c r="J1084" s="175"/>
      <c r="K1084" s="192"/>
      <c r="L1084" s="192"/>
      <c r="M1084" s="192"/>
      <c r="N1084" s="175"/>
      <c r="O1084" s="116"/>
      <c r="P1084" s="175"/>
      <c r="Q1084" s="175"/>
      <c r="R1084" s="220"/>
      <c r="S1084" s="175"/>
      <c r="T1084" s="175"/>
      <c r="U1084" s="175"/>
      <c r="V1084" s="175"/>
      <c r="W1084" s="175"/>
      <c r="X1084" s="116"/>
    </row>
    <row r="1085" spans="1:24" s="112" customFormat="1">
      <c r="A1085" s="116"/>
      <c r="B1085" s="115"/>
      <c r="C1085" s="115"/>
      <c r="D1085" s="131"/>
      <c r="E1085" s="177"/>
      <c r="F1085" s="28"/>
      <c r="G1085" s="118"/>
      <c r="H1085" s="192"/>
      <c r="I1085" s="192"/>
      <c r="J1085" s="175"/>
      <c r="K1085" s="192"/>
      <c r="L1085" s="192"/>
      <c r="M1085" s="192"/>
      <c r="N1085" s="175"/>
      <c r="O1085" s="116"/>
      <c r="P1085" s="175"/>
      <c r="Q1085" s="175"/>
      <c r="R1085" s="220"/>
      <c r="S1085" s="175"/>
      <c r="T1085" s="175"/>
      <c r="U1085" s="175"/>
      <c r="V1085" s="175"/>
      <c r="W1085" s="175"/>
      <c r="X1085" s="116"/>
    </row>
    <row r="1086" spans="1:24" s="112" customFormat="1">
      <c r="A1086" s="116"/>
      <c r="B1086" s="115"/>
      <c r="C1086" s="115"/>
      <c r="D1086" s="131"/>
      <c r="E1086" s="177"/>
      <c r="F1086" s="28"/>
      <c r="G1086" s="118"/>
      <c r="H1086" s="192"/>
      <c r="I1086" s="192"/>
      <c r="J1086" s="175"/>
      <c r="K1086" s="192"/>
      <c r="L1086" s="192"/>
      <c r="M1086" s="192"/>
      <c r="N1086" s="175"/>
      <c r="O1086" s="116"/>
      <c r="P1086" s="175"/>
      <c r="Q1086" s="175"/>
      <c r="R1086" s="220"/>
      <c r="S1086" s="175"/>
      <c r="T1086" s="175"/>
      <c r="U1086" s="175"/>
      <c r="V1086" s="175"/>
      <c r="W1086" s="175"/>
      <c r="X1086" s="116"/>
    </row>
    <row r="1087" spans="1:24" s="112" customFormat="1">
      <c r="A1087" s="116"/>
      <c r="B1087" s="115"/>
      <c r="C1087" s="115"/>
      <c r="D1087" s="131"/>
      <c r="E1087" s="177"/>
      <c r="F1087" s="28"/>
      <c r="G1087" s="118"/>
      <c r="H1087" s="192"/>
      <c r="I1087" s="192"/>
      <c r="J1087" s="175"/>
      <c r="K1087" s="192"/>
      <c r="L1087" s="192"/>
      <c r="M1087" s="192"/>
      <c r="N1087" s="175"/>
      <c r="O1087" s="116"/>
      <c r="P1087" s="175"/>
      <c r="Q1087" s="175"/>
      <c r="R1087" s="220"/>
      <c r="S1087" s="175"/>
      <c r="T1087" s="175"/>
      <c r="U1087" s="175"/>
      <c r="V1087" s="175"/>
      <c r="W1087" s="175"/>
      <c r="X1087" s="116"/>
    </row>
    <row r="1088" spans="1:24" s="112" customFormat="1">
      <c r="A1088" s="116"/>
      <c r="B1088" s="115"/>
      <c r="C1088" s="115"/>
      <c r="D1088" s="131"/>
      <c r="E1088" s="177"/>
      <c r="F1088" s="28"/>
      <c r="G1088" s="118"/>
      <c r="H1088" s="192"/>
      <c r="I1088" s="192"/>
      <c r="J1088" s="175"/>
      <c r="K1088" s="192"/>
      <c r="L1088" s="192"/>
      <c r="M1088" s="192"/>
      <c r="N1088" s="175"/>
      <c r="O1088" s="116"/>
      <c r="P1088" s="175"/>
      <c r="Q1088" s="175"/>
      <c r="R1088" s="220"/>
      <c r="S1088" s="175"/>
      <c r="T1088" s="175"/>
      <c r="U1088" s="175"/>
      <c r="V1088" s="175"/>
      <c r="W1088" s="175"/>
      <c r="X1088" s="116"/>
    </row>
    <row r="1089" spans="1:24" s="112" customFormat="1">
      <c r="A1089" s="116"/>
      <c r="B1089" s="115"/>
      <c r="C1089" s="115"/>
      <c r="D1089" s="131"/>
      <c r="E1089" s="177"/>
      <c r="F1089" s="28"/>
      <c r="G1089" s="118"/>
      <c r="H1089" s="192"/>
      <c r="I1089" s="192"/>
      <c r="J1089" s="175"/>
      <c r="K1089" s="192"/>
      <c r="L1089" s="192"/>
      <c r="M1089" s="192"/>
      <c r="N1089" s="175"/>
      <c r="O1089" s="116"/>
      <c r="P1089" s="175"/>
      <c r="Q1089" s="175"/>
      <c r="R1089" s="220"/>
      <c r="S1089" s="175"/>
      <c r="T1089" s="175"/>
      <c r="U1089" s="175"/>
      <c r="V1089" s="175"/>
      <c r="W1089" s="175"/>
      <c r="X1089" s="116"/>
    </row>
    <row r="1090" spans="1:24" s="112" customFormat="1">
      <c r="A1090" s="116"/>
      <c r="B1090" s="115"/>
      <c r="C1090" s="115"/>
      <c r="D1090" s="131"/>
      <c r="E1090" s="177"/>
      <c r="F1090" s="28"/>
      <c r="G1090" s="118"/>
      <c r="H1090" s="192"/>
      <c r="I1090" s="192"/>
      <c r="J1090" s="175"/>
      <c r="K1090" s="192"/>
      <c r="L1090" s="192"/>
      <c r="M1090" s="192"/>
      <c r="N1090" s="175"/>
      <c r="O1090" s="116"/>
      <c r="P1090" s="175"/>
      <c r="Q1090" s="175"/>
      <c r="R1090" s="220"/>
      <c r="S1090" s="175"/>
      <c r="T1090" s="175"/>
      <c r="U1090" s="175"/>
      <c r="V1090" s="175"/>
      <c r="W1090" s="175"/>
      <c r="X1090" s="116"/>
    </row>
    <row r="1091" spans="1:24" s="112" customFormat="1">
      <c r="A1091" s="116"/>
      <c r="B1091" s="115"/>
      <c r="C1091" s="115"/>
      <c r="D1091" s="131"/>
      <c r="E1091" s="177"/>
      <c r="F1091" s="28"/>
      <c r="G1091" s="118"/>
      <c r="H1091" s="192"/>
      <c r="I1091" s="192"/>
      <c r="J1091" s="175"/>
      <c r="K1091" s="192"/>
      <c r="L1091" s="192"/>
      <c r="M1091" s="192"/>
      <c r="N1091" s="175"/>
      <c r="O1091" s="116"/>
      <c r="P1091" s="175"/>
      <c r="Q1091" s="175"/>
      <c r="R1091" s="220"/>
      <c r="S1091" s="175"/>
      <c r="T1091" s="175"/>
      <c r="U1091" s="175"/>
      <c r="V1091" s="175"/>
      <c r="W1091" s="175"/>
      <c r="X1091" s="116"/>
    </row>
    <row r="1092" spans="1:24" s="112" customFormat="1">
      <c r="A1092" s="116"/>
      <c r="B1092" s="115"/>
      <c r="C1092" s="115"/>
      <c r="D1092" s="131"/>
      <c r="E1092" s="177"/>
      <c r="F1092" s="28"/>
      <c r="G1092" s="118"/>
      <c r="H1092" s="192"/>
      <c r="I1092" s="192"/>
      <c r="J1092" s="175"/>
      <c r="K1092" s="192"/>
      <c r="L1092" s="192"/>
      <c r="M1092" s="192"/>
      <c r="N1092" s="175"/>
      <c r="O1092" s="116"/>
      <c r="P1092" s="175"/>
      <c r="Q1092" s="175"/>
      <c r="R1092" s="220"/>
      <c r="S1092" s="175"/>
      <c r="T1092" s="175"/>
      <c r="U1092" s="175"/>
      <c r="V1092" s="175"/>
      <c r="W1092" s="175"/>
      <c r="X1092" s="116"/>
    </row>
    <row r="1093" spans="1:24" s="112" customFormat="1">
      <c r="A1093" s="116"/>
      <c r="B1093" s="115"/>
      <c r="C1093" s="115"/>
      <c r="D1093" s="131"/>
      <c r="E1093" s="177"/>
      <c r="F1093" s="28"/>
      <c r="G1093" s="118"/>
      <c r="H1093" s="192"/>
      <c r="I1093" s="192"/>
      <c r="J1093" s="175"/>
      <c r="K1093" s="192"/>
      <c r="L1093" s="192"/>
      <c r="M1093" s="192"/>
      <c r="N1093" s="175"/>
      <c r="O1093" s="116"/>
      <c r="P1093" s="175"/>
      <c r="Q1093" s="175"/>
      <c r="R1093" s="220"/>
      <c r="S1093" s="175"/>
      <c r="T1093" s="175"/>
      <c r="U1093" s="175"/>
      <c r="V1093" s="175"/>
      <c r="W1093" s="175"/>
      <c r="X1093" s="116"/>
    </row>
    <row r="1094" spans="1:24" s="112" customFormat="1">
      <c r="A1094" s="116"/>
      <c r="B1094" s="115"/>
      <c r="C1094" s="115"/>
      <c r="D1094" s="131"/>
      <c r="E1094" s="177"/>
      <c r="F1094" s="28"/>
      <c r="G1094" s="118"/>
      <c r="H1094" s="192"/>
      <c r="I1094" s="192"/>
      <c r="J1094" s="175"/>
      <c r="K1094" s="192"/>
      <c r="L1094" s="192"/>
      <c r="M1094" s="192"/>
      <c r="N1094" s="175"/>
      <c r="O1094" s="116"/>
      <c r="P1094" s="175"/>
      <c r="Q1094" s="175"/>
      <c r="R1094" s="220"/>
      <c r="S1094" s="175"/>
      <c r="T1094" s="175"/>
      <c r="U1094" s="175"/>
      <c r="V1094" s="175"/>
      <c r="W1094" s="175"/>
      <c r="X1094" s="116"/>
    </row>
    <row r="1095" spans="1:24" s="112" customFormat="1">
      <c r="A1095" s="116"/>
      <c r="B1095" s="115"/>
      <c r="C1095" s="115"/>
      <c r="D1095" s="131"/>
      <c r="E1095" s="177"/>
      <c r="F1095" s="28"/>
      <c r="G1095" s="118"/>
      <c r="H1095" s="192"/>
      <c r="I1095" s="192"/>
      <c r="J1095" s="175"/>
      <c r="K1095" s="192"/>
      <c r="L1095" s="192"/>
      <c r="M1095" s="192"/>
      <c r="N1095" s="175"/>
      <c r="O1095" s="116"/>
      <c r="P1095" s="175"/>
      <c r="Q1095" s="175"/>
      <c r="R1095" s="220"/>
      <c r="S1095" s="175"/>
      <c r="T1095" s="175"/>
      <c r="U1095" s="175"/>
      <c r="V1095" s="175"/>
      <c r="W1095" s="175"/>
      <c r="X1095" s="116"/>
    </row>
    <row r="1096" spans="1:24" s="112" customFormat="1">
      <c r="A1096" s="116"/>
      <c r="B1096" s="115"/>
      <c r="C1096" s="115"/>
      <c r="D1096" s="131"/>
      <c r="E1096" s="177"/>
      <c r="F1096" s="28"/>
      <c r="G1096" s="118"/>
      <c r="H1096" s="192"/>
      <c r="I1096" s="192"/>
      <c r="J1096" s="175"/>
      <c r="K1096" s="192"/>
      <c r="L1096" s="192"/>
      <c r="M1096" s="192"/>
      <c r="N1096" s="175"/>
      <c r="O1096" s="116"/>
      <c r="P1096" s="175"/>
      <c r="Q1096" s="175"/>
      <c r="R1096" s="220"/>
      <c r="S1096" s="175"/>
      <c r="T1096" s="175"/>
      <c r="U1096" s="175"/>
      <c r="V1096" s="175"/>
      <c r="W1096" s="175"/>
      <c r="X1096" s="116"/>
    </row>
    <row r="1097" spans="1:24" s="112" customFormat="1">
      <c r="A1097" s="116"/>
      <c r="B1097" s="115"/>
      <c r="C1097" s="115"/>
      <c r="D1097" s="131"/>
      <c r="E1097" s="177"/>
      <c r="F1097" s="28"/>
      <c r="G1097" s="118"/>
      <c r="H1097" s="192"/>
      <c r="I1097" s="192"/>
      <c r="J1097" s="175"/>
      <c r="K1097" s="192"/>
      <c r="L1097" s="192"/>
      <c r="M1097" s="192"/>
      <c r="N1097" s="175"/>
      <c r="O1097" s="116"/>
      <c r="P1097" s="175"/>
      <c r="Q1097" s="175"/>
      <c r="R1097" s="220"/>
      <c r="S1097" s="175"/>
      <c r="T1097" s="175"/>
      <c r="U1097" s="175"/>
      <c r="V1097" s="175"/>
      <c r="W1097" s="175"/>
      <c r="X1097" s="116"/>
    </row>
    <row r="1098" spans="1:24" s="112" customFormat="1">
      <c r="A1098" s="116"/>
      <c r="B1098" s="115"/>
      <c r="C1098" s="115"/>
      <c r="D1098" s="131"/>
      <c r="E1098" s="177"/>
      <c r="F1098" s="28"/>
      <c r="G1098" s="118"/>
      <c r="H1098" s="192"/>
      <c r="I1098" s="192"/>
      <c r="J1098" s="175"/>
      <c r="K1098" s="192"/>
      <c r="L1098" s="192"/>
      <c r="M1098" s="192"/>
      <c r="N1098" s="175"/>
      <c r="O1098" s="116"/>
      <c r="P1098" s="175"/>
      <c r="Q1098" s="175"/>
      <c r="R1098" s="220"/>
      <c r="S1098" s="175"/>
      <c r="T1098" s="175"/>
      <c r="U1098" s="175"/>
      <c r="V1098" s="175"/>
      <c r="W1098" s="175"/>
      <c r="X1098" s="116"/>
    </row>
    <row r="1099" spans="1:24" s="112" customFormat="1">
      <c r="A1099" s="116"/>
      <c r="B1099" s="115"/>
      <c r="C1099" s="115"/>
      <c r="D1099" s="131"/>
      <c r="E1099" s="177"/>
      <c r="F1099" s="28"/>
      <c r="G1099" s="118"/>
      <c r="H1099" s="192"/>
      <c r="I1099" s="192"/>
      <c r="J1099" s="175"/>
      <c r="K1099" s="192"/>
      <c r="L1099" s="192"/>
      <c r="M1099" s="192"/>
      <c r="N1099" s="175"/>
      <c r="O1099" s="116"/>
      <c r="P1099" s="175"/>
      <c r="Q1099" s="175"/>
      <c r="R1099" s="220"/>
      <c r="S1099" s="175"/>
      <c r="T1099" s="175"/>
      <c r="U1099" s="175"/>
      <c r="V1099" s="175"/>
      <c r="W1099" s="175"/>
      <c r="X1099" s="116"/>
    </row>
    <row r="1100" spans="1:24" s="112" customFormat="1">
      <c r="A1100" s="116"/>
      <c r="B1100" s="115"/>
      <c r="C1100" s="115"/>
      <c r="D1100" s="131"/>
      <c r="E1100" s="177"/>
      <c r="F1100" s="28"/>
      <c r="G1100" s="118"/>
      <c r="H1100" s="192"/>
      <c r="I1100" s="192"/>
      <c r="J1100" s="175"/>
      <c r="K1100" s="192"/>
      <c r="L1100" s="192"/>
      <c r="M1100" s="192"/>
      <c r="N1100" s="175"/>
      <c r="O1100" s="116"/>
      <c r="P1100" s="175"/>
      <c r="Q1100" s="175"/>
      <c r="R1100" s="220"/>
      <c r="S1100" s="175"/>
      <c r="T1100" s="175"/>
      <c r="U1100" s="175"/>
      <c r="V1100" s="175"/>
      <c r="W1100" s="175"/>
      <c r="X1100" s="116"/>
    </row>
    <row r="1101" spans="1:24" s="112" customFormat="1">
      <c r="A1101" s="116"/>
      <c r="B1101" s="115"/>
      <c r="C1101" s="115"/>
      <c r="D1101" s="131"/>
      <c r="E1101" s="177"/>
      <c r="F1101" s="28"/>
      <c r="G1101" s="118"/>
      <c r="H1101" s="192"/>
      <c r="I1101" s="192"/>
      <c r="J1101" s="175"/>
      <c r="K1101" s="192"/>
      <c r="L1101" s="192"/>
      <c r="M1101" s="192"/>
      <c r="N1101" s="175"/>
      <c r="O1101" s="116"/>
      <c r="P1101" s="175"/>
      <c r="Q1101" s="175"/>
      <c r="R1101" s="220"/>
      <c r="S1101" s="175"/>
      <c r="T1101" s="175"/>
      <c r="U1101" s="175"/>
      <c r="V1101" s="175"/>
      <c r="W1101" s="175"/>
      <c r="X1101" s="116"/>
    </row>
    <row r="1102" spans="1:24" s="112" customFormat="1">
      <c r="A1102" s="116"/>
      <c r="B1102" s="115"/>
      <c r="C1102" s="115"/>
      <c r="D1102" s="131"/>
      <c r="E1102" s="177"/>
      <c r="F1102" s="28"/>
      <c r="G1102" s="118"/>
      <c r="H1102" s="192"/>
      <c r="I1102" s="192"/>
      <c r="J1102" s="175"/>
      <c r="K1102" s="192"/>
      <c r="L1102" s="192"/>
      <c r="M1102" s="192"/>
      <c r="N1102" s="175"/>
      <c r="O1102" s="116"/>
      <c r="P1102" s="175"/>
      <c r="Q1102" s="175"/>
      <c r="R1102" s="220"/>
      <c r="S1102" s="175"/>
      <c r="T1102" s="175"/>
      <c r="U1102" s="175"/>
      <c r="V1102" s="175"/>
      <c r="W1102" s="175"/>
      <c r="X1102" s="116"/>
    </row>
    <row r="1103" spans="1:24" s="112" customFormat="1">
      <c r="A1103" s="116"/>
      <c r="B1103" s="115"/>
      <c r="C1103" s="115"/>
      <c r="D1103" s="131"/>
      <c r="E1103" s="177"/>
      <c r="F1103" s="28"/>
      <c r="G1103" s="118"/>
      <c r="H1103" s="192"/>
      <c r="I1103" s="192"/>
      <c r="J1103" s="175"/>
      <c r="K1103" s="192"/>
      <c r="L1103" s="192"/>
      <c r="M1103" s="192"/>
      <c r="N1103" s="175"/>
      <c r="O1103" s="116"/>
      <c r="P1103" s="175"/>
      <c r="Q1103" s="175"/>
      <c r="R1103" s="220"/>
      <c r="S1103" s="175"/>
      <c r="T1103" s="175"/>
      <c r="U1103" s="175"/>
      <c r="V1103" s="175"/>
      <c r="W1103" s="175"/>
      <c r="X1103" s="116"/>
    </row>
    <row r="1104" spans="1:24" s="112" customFormat="1">
      <c r="A1104" s="116"/>
      <c r="B1104" s="115"/>
      <c r="C1104" s="115"/>
      <c r="D1104" s="131"/>
      <c r="E1104" s="177"/>
      <c r="F1104" s="28"/>
      <c r="G1104" s="118"/>
      <c r="H1104" s="192"/>
      <c r="I1104" s="192"/>
      <c r="J1104" s="175"/>
      <c r="K1104" s="192"/>
      <c r="L1104" s="192"/>
      <c r="M1104" s="192"/>
      <c r="N1104" s="175"/>
      <c r="O1104" s="116"/>
      <c r="P1104" s="175"/>
      <c r="Q1104" s="175"/>
      <c r="R1104" s="220"/>
      <c r="S1104" s="175"/>
      <c r="T1104" s="175"/>
      <c r="U1104" s="175"/>
      <c r="V1104" s="175"/>
      <c r="W1104" s="175"/>
      <c r="X1104" s="116"/>
    </row>
    <row r="1105" spans="1:24" s="112" customFormat="1">
      <c r="A1105" s="116"/>
      <c r="B1105" s="115"/>
      <c r="C1105" s="115"/>
      <c r="D1105" s="131"/>
      <c r="E1105" s="177"/>
      <c r="F1105" s="28"/>
      <c r="G1105" s="118"/>
      <c r="H1105" s="192"/>
      <c r="I1105" s="192"/>
      <c r="J1105" s="175"/>
      <c r="K1105" s="192"/>
      <c r="L1105" s="192"/>
      <c r="M1105" s="192"/>
      <c r="N1105" s="175"/>
      <c r="O1105" s="116"/>
      <c r="P1105" s="175"/>
      <c r="Q1105" s="175"/>
      <c r="R1105" s="220"/>
      <c r="S1105" s="175"/>
      <c r="T1105" s="175"/>
      <c r="U1105" s="175"/>
      <c r="V1105" s="175"/>
      <c r="W1105" s="175"/>
      <c r="X1105" s="116"/>
    </row>
    <row r="1106" spans="1:24" s="112" customFormat="1">
      <c r="A1106" s="116"/>
      <c r="B1106" s="115"/>
      <c r="C1106" s="115"/>
      <c r="D1106" s="131"/>
      <c r="E1106" s="177"/>
      <c r="F1106" s="28"/>
      <c r="G1106" s="118"/>
      <c r="H1106" s="192"/>
      <c r="I1106" s="192"/>
      <c r="J1106" s="175"/>
      <c r="K1106" s="192"/>
      <c r="L1106" s="192"/>
      <c r="M1106" s="192"/>
      <c r="N1106" s="175"/>
      <c r="O1106" s="116"/>
      <c r="P1106" s="175"/>
      <c r="Q1106" s="175"/>
      <c r="R1106" s="220"/>
      <c r="S1106" s="175"/>
      <c r="T1106" s="175"/>
      <c r="U1106" s="175"/>
      <c r="V1106" s="175"/>
      <c r="W1106" s="175"/>
      <c r="X1106" s="116"/>
    </row>
    <row r="1107" spans="1:24" s="112" customFormat="1">
      <c r="A1107" s="116"/>
      <c r="B1107" s="115"/>
      <c r="C1107" s="115"/>
      <c r="D1107" s="131"/>
      <c r="E1107" s="177"/>
      <c r="F1107" s="28"/>
      <c r="G1107" s="118"/>
      <c r="H1107" s="192"/>
      <c r="I1107" s="192"/>
      <c r="J1107" s="175"/>
      <c r="K1107" s="192"/>
      <c r="L1107" s="192"/>
      <c r="M1107" s="192"/>
      <c r="N1107" s="175"/>
      <c r="O1107" s="116"/>
      <c r="P1107" s="175"/>
      <c r="Q1107" s="175"/>
      <c r="R1107" s="220"/>
      <c r="S1107" s="175"/>
      <c r="T1107" s="175"/>
      <c r="U1107" s="175"/>
      <c r="V1107" s="175"/>
      <c r="W1107" s="175"/>
      <c r="X1107" s="116"/>
    </row>
    <row r="1108" spans="1:24" s="112" customFormat="1">
      <c r="A1108" s="116"/>
      <c r="B1108" s="115"/>
      <c r="C1108" s="115"/>
      <c r="D1108" s="131"/>
      <c r="E1108" s="177"/>
      <c r="F1108" s="28"/>
      <c r="G1108" s="118"/>
      <c r="H1108" s="192"/>
      <c r="I1108" s="192"/>
      <c r="J1108" s="175"/>
      <c r="K1108" s="192"/>
      <c r="L1108" s="192"/>
      <c r="M1108" s="192"/>
      <c r="N1108" s="175"/>
      <c r="O1108" s="116"/>
      <c r="P1108" s="175"/>
      <c r="Q1108" s="175"/>
      <c r="R1108" s="220"/>
      <c r="S1108" s="175"/>
      <c r="T1108" s="175"/>
      <c r="U1108" s="175"/>
      <c r="V1108" s="175"/>
      <c r="W1108" s="175"/>
      <c r="X1108" s="116"/>
    </row>
    <row r="1109" spans="1:24" s="112" customFormat="1">
      <c r="A1109" s="116"/>
      <c r="B1109" s="115"/>
      <c r="C1109" s="115"/>
      <c r="D1109" s="131"/>
      <c r="E1109" s="177"/>
      <c r="F1109" s="28"/>
      <c r="G1109" s="118"/>
      <c r="H1109" s="192"/>
      <c r="I1109" s="192"/>
      <c r="J1109" s="175"/>
      <c r="K1109" s="192"/>
      <c r="L1109" s="192"/>
      <c r="M1109" s="192"/>
      <c r="N1109" s="175"/>
      <c r="O1109" s="116"/>
      <c r="P1109" s="175"/>
      <c r="Q1109" s="175"/>
      <c r="R1109" s="220"/>
      <c r="S1109" s="175"/>
      <c r="T1109" s="175"/>
      <c r="U1109" s="175"/>
      <c r="V1109" s="175"/>
      <c r="W1109" s="175"/>
      <c r="X1109" s="116"/>
    </row>
    <row r="1110" spans="1:24" s="112" customFormat="1">
      <c r="A1110" s="116"/>
      <c r="B1110" s="115"/>
      <c r="C1110" s="115"/>
      <c r="D1110" s="131"/>
      <c r="E1110" s="177"/>
      <c r="F1110" s="28"/>
      <c r="G1110" s="118"/>
      <c r="H1110" s="192"/>
      <c r="I1110" s="192"/>
      <c r="J1110" s="175"/>
      <c r="K1110" s="192"/>
      <c r="L1110" s="192"/>
      <c r="M1110" s="192"/>
      <c r="N1110" s="175"/>
      <c r="O1110" s="116"/>
      <c r="P1110" s="175"/>
      <c r="Q1110" s="175"/>
      <c r="R1110" s="220"/>
      <c r="S1110" s="175"/>
      <c r="T1110" s="175"/>
      <c r="U1110" s="175"/>
      <c r="V1110" s="175"/>
      <c r="W1110" s="175"/>
      <c r="X1110" s="116"/>
    </row>
    <row r="1111" spans="1:24" s="112" customFormat="1">
      <c r="A1111" s="116"/>
      <c r="B1111" s="115"/>
      <c r="C1111" s="115"/>
      <c r="D1111" s="131"/>
      <c r="E1111" s="177"/>
      <c r="F1111" s="28"/>
      <c r="G1111" s="118"/>
      <c r="H1111" s="192"/>
      <c r="I1111" s="192"/>
      <c r="J1111" s="175"/>
      <c r="K1111" s="192"/>
      <c r="L1111" s="192"/>
      <c r="M1111" s="192"/>
      <c r="N1111" s="175"/>
      <c r="O1111" s="116"/>
      <c r="P1111" s="175"/>
      <c r="Q1111" s="175"/>
      <c r="R1111" s="220"/>
      <c r="S1111" s="175"/>
      <c r="T1111" s="175"/>
      <c r="U1111" s="175"/>
      <c r="V1111" s="175"/>
      <c r="W1111" s="175"/>
      <c r="X1111" s="116"/>
    </row>
    <row r="1112" spans="1:24" s="112" customFormat="1">
      <c r="A1112" s="116"/>
      <c r="B1112" s="115"/>
      <c r="C1112" s="115"/>
      <c r="D1112" s="131"/>
      <c r="E1112" s="177"/>
      <c r="F1112" s="28"/>
      <c r="G1112" s="118"/>
      <c r="H1112" s="192"/>
      <c r="I1112" s="192"/>
      <c r="J1112" s="175"/>
      <c r="K1112" s="192"/>
      <c r="L1112" s="192"/>
      <c r="M1112" s="192"/>
      <c r="N1112" s="175"/>
      <c r="O1112" s="116"/>
      <c r="P1112" s="175"/>
      <c r="Q1112" s="175"/>
      <c r="R1112" s="220"/>
      <c r="S1112" s="175"/>
      <c r="T1112" s="175"/>
      <c r="U1112" s="175"/>
      <c r="V1112" s="175"/>
      <c r="W1112" s="175"/>
      <c r="X1112" s="116"/>
    </row>
    <row r="1113" spans="1:24" s="112" customFormat="1">
      <c r="A1113" s="116"/>
      <c r="B1113" s="115"/>
      <c r="C1113" s="115"/>
      <c r="D1113" s="131"/>
      <c r="E1113" s="177"/>
      <c r="F1113" s="28"/>
      <c r="G1113" s="118"/>
      <c r="H1113" s="192"/>
      <c r="I1113" s="192"/>
      <c r="J1113" s="175"/>
      <c r="K1113" s="192"/>
      <c r="L1113" s="192"/>
      <c r="M1113" s="192"/>
      <c r="N1113" s="175"/>
      <c r="O1113" s="116"/>
      <c r="P1113" s="175"/>
      <c r="Q1113" s="175"/>
      <c r="R1113" s="220"/>
      <c r="S1113" s="175"/>
      <c r="T1113" s="175"/>
      <c r="U1113" s="175"/>
      <c r="V1113" s="175"/>
      <c r="W1113" s="175"/>
      <c r="X1113" s="116"/>
    </row>
    <row r="1114" spans="1:24" s="112" customFormat="1">
      <c r="A1114" s="116"/>
      <c r="B1114" s="115"/>
      <c r="C1114" s="115"/>
      <c r="D1114" s="131"/>
      <c r="E1114" s="177"/>
      <c r="F1114" s="28"/>
      <c r="G1114" s="118"/>
      <c r="H1114" s="192"/>
      <c r="I1114" s="192"/>
      <c r="J1114" s="175"/>
      <c r="K1114" s="192"/>
      <c r="L1114" s="192"/>
      <c r="M1114" s="192"/>
      <c r="N1114" s="175"/>
      <c r="O1114" s="116"/>
      <c r="P1114" s="175"/>
      <c r="Q1114" s="175"/>
      <c r="R1114" s="220"/>
      <c r="S1114" s="175"/>
      <c r="T1114" s="175"/>
      <c r="U1114" s="175"/>
      <c r="V1114" s="175"/>
      <c r="W1114" s="175"/>
      <c r="X1114" s="116"/>
    </row>
    <row r="1115" spans="1:24" s="112" customFormat="1">
      <c r="A1115" s="116"/>
      <c r="B1115" s="115"/>
      <c r="C1115" s="115"/>
      <c r="D1115" s="131"/>
      <c r="E1115" s="177"/>
      <c r="F1115" s="28"/>
      <c r="G1115" s="118"/>
      <c r="H1115" s="192"/>
      <c r="I1115" s="192"/>
      <c r="J1115" s="175"/>
      <c r="K1115" s="192"/>
      <c r="L1115" s="192"/>
      <c r="M1115" s="192"/>
      <c r="N1115" s="175"/>
      <c r="O1115" s="116"/>
      <c r="P1115" s="175"/>
      <c r="Q1115" s="175"/>
      <c r="R1115" s="220"/>
      <c r="S1115" s="175"/>
      <c r="T1115" s="175"/>
      <c r="U1115" s="175"/>
      <c r="V1115" s="175"/>
      <c r="W1115" s="175"/>
      <c r="X1115" s="116"/>
    </row>
    <row r="1116" spans="1:24" s="112" customFormat="1">
      <c r="A1116" s="116"/>
      <c r="B1116" s="115"/>
      <c r="C1116" s="115"/>
      <c r="D1116" s="131"/>
      <c r="E1116" s="177"/>
      <c r="F1116" s="28"/>
      <c r="G1116" s="118"/>
      <c r="H1116" s="192"/>
      <c r="I1116" s="192"/>
      <c r="J1116" s="175"/>
      <c r="K1116" s="192"/>
      <c r="L1116" s="192"/>
      <c r="M1116" s="192"/>
      <c r="N1116" s="175"/>
      <c r="O1116" s="116"/>
      <c r="P1116" s="175"/>
      <c r="Q1116" s="175"/>
      <c r="R1116" s="220"/>
      <c r="S1116" s="175"/>
      <c r="T1116" s="175"/>
      <c r="U1116" s="175"/>
      <c r="V1116" s="175"/>
      <c r="W1116" s="175"/>
      <c r="X1116" s="116"/>
    </row>
    <row r="1117" spans="1:24" s="112" customFormat="1">
      <c r="A1117" s="116"/>
      <c r="B1117" s="115"/>
      <c r="C1117" s="115"/>
      <c r="D1117" s="131"/>
      <c r="E1117" s="177"/>
      <c r="F1117" s="28"/>
      <c r="G1117" s="118"/>
      <c r="H1117" s="192"/>
      <c r="I1117" s="192"/>
      <c r="J1117" s="175"/>
      <c r="K1117" s="192"/>
      <c r="L1117" s="192"/>
      <c r="M1117" s="192"/>
      <c r="N1117" s="175"/>
      <c r="O1117" s="116"/>
      <c r="P1117" s="175"/>
      <c r="Q1117" s="175"/>
      <c r="R1117" s="220"/>
      <c r="S1117" s="175"/>
      <c r="T1117" s="175"/>
      <c r="U1117" s="175"/>
      <c r="V1117" s="175"/>
      <c r="W1117" s="175"/>
      <c r="X1117" s="116"/>
    </row>
    <row r="1118" spans="1:24" s="112" customFormat="1">
      <c r="A1118" s="116"/>
      <c r="B1118" s="115"/>
      <c r="C1118" s="115"/>
      <c r="D1118" s="131"/>
      <c r="E1118" s="177"/>
      <c r="F1118" s="28"/>
      <c r="G1118" s="118"/>
      <c r="H1118" s="192"/>
      <c r="I1118" s="192"/>
      <c r="J1118" s="175"/>
      <c r="K1118" s="192"/>
      <c r="L1118" s="192"/>
      <c r="M1118" s="192"/>
      <c r="N1118" s="175"/>
      <c r="O1118" s="116"/>
      <c r="P1118" s="175"/>
      <c r="Q1118" s="175"/>
      <c r="R1118" s="220"/>
      <c r="S1118" s="175"/>
      <c r="T1118" s="175"/>
      <c r="U1118" s="175"/>
      <c r="V1118" s="175"/>
      <c r="W1118" s="175"/>
      <c r="X1118" s="116"/>
    </row>
    <row r="1119" spans="1:24" s="112" customFormat="1">
      <c r="A1119" s="116"/>
      <c r="B1119" s="115"/>
      <c r="C1119" s="115"/>
      <c r="D1119" s="131"/>
      <c r="E1119" s="177"/>
      <c r="F1119" s="28"/>
      <c r="G1119" s="118"/>
      <c r="H1119" s="192"/>
      <c r="I1119" s="192"/>
      <c r="J1119" s="175"/>
      <c r="K1119" s="192"/>
      <c r="L1119" s="192"/>
      <c r="M1119" s="192"/>
      <c r="N1119" s="175"/>
      <c r="O1119" s="116"/>
      <c r="P1119" s="175"/>
      <c r="Q1119" s="175"/>
      <c r="R1119" s="220"/>
      <c r="S1119" s="175"/>
      <c r="T1119" s="175"/>
      <c r="U1119" s="175"/>
      <c r="V1119" s="175"/>
      <c r="W1119" s="175"/>
      <c r="X1119" s="116"/>
    </row>
    <row r="1120" spans="1:24" s="112" customFormat="1">
      <c r="A1120" s="116"/>
      <c r="B1120" s="115"/>
      <c r="C1120" s="115"/>
      <c r="D1120" s="131"/>
      <c r="E1120" s="177"/>
      <c r="F1120" s="28"/>
      <c r="G1120" s="118"/>
      <c r="H1120" s="192"/>
      <c r="I1120" s="192"/>
      <c r="J1120" s="175"/>
      <c r="K1120" s="192"/>
      <c r="L1120" s="192"/>
      <c r="M1120" s="192"/>
      <c r="N1120" s="175"/>
      <c r="O1120" s="116"/>
      <c r="P1120" s="175"/>
      <c r="Q1120" s="175"/>
      <c r="R1120" s="220"/>
      <c r="S1120" s="175"/>
      <c r="T1120" s="175"/>
      <c r="U1120" s="175"/>
      <c r="V1120" s="175"/>
      <c r="W1120" s="175"/>
      <c r="X1120" s="116"/>
    </row>
    <row r="1121" spans="1:24" s="112" customFormat="1">
      <c r="A1121" s="116"/>
      <c r="B1121" s="115"/>
      <c r="C1121" s="115"/>
      <c r="D1121" s="131"/>
      <c r="E1121" s="177"/>
      <c r="F1121" s="28"/>
      <c r="G1121" s="118"/>
      <c r="H1121" s="192"/>
      <c r="I1121" s="192"/>
      <c r="J1121" s="175"/>
      <c r="K1121" s="192"/>
      <c r="L1121" s="192"/>
      <c r="M1121" s="192"/>
      <c r="N1121" s="175"/>
      <c r="O1121" s="116"/>
      <c r="P1121" s="175"/>
      <c r="Q1121" s="175"/>
      <c r="R1121" s="220"/>
      <c r="S1121" s="175"/>
      <c r="T1121" s="175"/>
      <c r="U1121" s="175"/>
      <c r="V1121" s="175"/>
      <c r="W1121" s="175"/>
      <c r="X1121" s="116"/>
    </row>
    <row r="1122" spans="1:24" s="112" customFormat="1">
      <c r="A1122" s="116"/>
      <c r="B1122" s="115"/>
      <c r="C1122" s="115"/>
      <c r="D1122" s="131"/>
      <c r="E1122" s="177"/>
      <c r="F1122" s="28"/>
      <c r="G1122" s="118"/>
      <c r="H1122" s="192"/>
      <c r="I1122" s="192"/>
      <c r="J1122" s="175"/>
      <c r="K1122" s="192"/>
      <c r="L1122" s="192"/>
      <c r="M1122" s="192"/>
      <c r="N1122" s="175"/>
      <c r="O1122" s="116"/>
      <c r="P1122" s="175"/>
      <c r="Q1122" s="175"/>
      <c r="R1122" s="220"/>
      <c r="S1122" s="175"/>
      <c r="T1122" s="175"/>
      <c r="U1122" s="175"/>
      <c r="V1122" s="175"/>
      <c r="W1122" s="175"/>
      <c r="X1122" s="116"/>
    </row>
    <row r="1123" spans="1:24" s="112" customFormat="1">
      <c r="A1123" s="116"/>
      <c r="B1123" s="115"/>
      <c r="C1123" s="115"/>
      <c r="D1123" s="131"/>
      <c r="E1123" s="177"/>
      <c r="F1123" s="28"/>
      <c r="G1123" s="118"/>
      <c r="H1123" s="192"/>
      <c r="I1123" s="192"/>
      <c r="J1123" s="175"/>
      <c r="K1123" s="192"/>
      <c r="L1123" s="192"/>
      <c r="M1123" s="192"/>
      <c r="N1123" s="175"/>
      <c r="O1123" s="116"/>
      <c r="P1123" s="175"/>
      <c r="Q1123" s="175"/>
      <c r="R1123" s="220"/>
      <c r="S1123" s="175"/>
      <c r="T1123" s="175"/>
      <c r="U1123" s="175"/>
      <c r="V1123" s="175"/>
      <c r="W1123" s="175"/>
      <c r="X1123" s="116"/>
    </row>
    <row r="1124" spans="1:24" s="112" customFormat="1">
      <c r="A1124" s="116"/>
      <c r="B1124" s="115"/>
      <c r="C1124" s="115"/>
      <c r="D1124" s="131"/>
      <c r="E1124" s="177"/>
      <c r="F1124" s="28"/>
      <c r="G1124" s="118"/>
      <c r="H1124" s="192"/>
      <c r="I1124" s="192"/>
      <c r="J1124" s="175"/>
      <c r="K1124" s="192"/>
      <c r="L1124" s="192"/>
      <c r="M1124" s="192"/>
      <c r="N1124" s="175"/>
      <c r="O1124" s="116"/>
      <c r="P1124" s="175"/>
      <c r="Q1124" s="175"/>
      <c r="R1124" s="220"/>
      <c r="S1124" s="175"/>
      <c r="T1124" s="175"/>
      <c r="U1124" s="175"/>
      <c r="V1124" s="175"/>
      <c r="W1124" s="175"/>
      <c r="X1124" s="116"/>
    </row>
    <row r="1125" spans="1:24" s="112" customFormat="1">
      <c r="A1125" s="116"/>
      <c r="B1125" s="115"/>
      <c r="C1125" s="115"/>
      <c r="D1125" s="131"/>
      <c r="E1125" s="177"/>
      <c r="F1125" s="28"/>
      <c r="G1125" s="118"/>
      <c r="H1125" s="192"/>
      <c r="I1125" s="192"/>
      <c r="J1125" s="175"/>
      <c r="K1125" s="192"/>
      <c r="L1125" s="192"/>
      <c r="M1125" s="192"/>
      <c r="N1125" s="175"/>
      <c r="O1125" s="116"/>
      <c r="P1125" s="175"/>
      <c r="Q1125" s="175"/>
      <c r="R1125" s="220"/>
      <c r="S1125" s="175"/>
      <c r="T1125" s="175"/>
      <c r="U1125" s="175"/>
      <c r="V1125" s="175"/>
      <c r="W1125" s="175"/>
      <c r="X1125" s="116"/>
    </row>
    <row r="1126" spans="1:24" s="112" customFormat="1">
      <c r="A1126" s="116"/>
      <c r="B1126" s="115"/>
      <c r="C1126" s="115"/>
      <c r="D1126" s="131"/>
      <c r="E1126" s="177"/>
      <c r="F1126" s="28"/>
      <c r="G1126" s="118"/>
      <c r="H1126" s="192"/>
      <c r="I1126" s="192"/>
      <c r="J1126" s="175"/>
      <c r="K1126" s="192"/>
      <c r="L1126" s="192"/>
      <c r="M1126" s="192"/>
      <c r="N1126" s="175"/>
      <c r="O1126" s="116"/>
      <c r="P1126" s="175"/>
      <c r="Q1126" s="175"/>
      <c r="R1126" s="220"/>
      <c r="S1126" s="175"/>
      <c r="T1126" s="175"/>
      <c r="U1126" s="175"/>
      <c r="V1126" s="175"/>
      <c r="W1126" s="175"/>
      <c r="X1126" s="116"/>
    </row>
    <row r="1127" spans="1:24" s="112" customFormat="1">
      <c r="A1127" s="116"/>
      <c r="B1127" s="115"/>
      <c r="C1127" s="115"/>
      <c r="D1127" s="131"/>
      <c r="E1127" s="177"/>
      <c r="F1127" s="28"/>
      <c r="G1127" s="118"/>
      <c r="H1127" s="192"/>
      <c r="I1127" s="192"/>
      <c r="J1127" s="175"/>
      <c r="K1127" s="192"/>
      <c r="L1127" s="192"/>
      <c r="M1127" s="192"/>
      <c r="N1127" s="175"/>
      <c r="O1127" s="116"/>
      <c r="P1127" s="175"/>
      <c r="Q1127" s="175"/>
      <c r="R1127" s="220"/>
      <c r="S1127" s="175"/>
      <c r="T1127" s="175"/>
      <c r="U1127" s="175"/>
      <c r="V1127" s="175"/>
      <c r="W1127" s="175"/>
      <c r="X1127" s="116"/>
    </row>
    <row r="1128" spans="1:24" s="112" customFormat="1">
      <c r="A1128" s="116"/>
      <c r="B1128" s="115"/>
      <c r="C1128" s="115"/>
      <c r="D1128" s="131"/>
      <c r="E1128" s="177"/>
      <c r="F1128" s="28"/>
      <c r="G1128" s="118"/>
      <c r="H1128" s="192"/>
      <c r="I1128" s="192"/>
      <c r="J1128" s="175"/>
      <c r="K1128" s="192"/>
      <c r="L1128" s="192"/>
      <c r="M1128" s="192"/>
      <c r="N1128" s="175"/>
      <c r="O1128" s="116"/>
      <c r="P1128" s="175"/>
      <c r="Q1128" s="175"/>
      <c r="R1128" s="220"/>
      <c r="S1128" s="175"/>
      <c r="T1128" s="175"/>
      <c r="U1128" s="175"/>
      <c r="V1128" s="175"/>
      <c r="W1128" s="175"/>
      <c r="X1128" s="116"/>
    </row>
    <row r="1129" spans="1:24" s="112" customFormat="1">
      <c r="A1129" s="116"/>
      <c r="B1129" s="115"/>
      <c r="C1129" s="115"/>
      <c r="D1129" s="131"/>
      <c r="E1129" s="177"/>
      <c r="F1129" s="28"/>
      <c r="G1129" s="118"/>
      <c r="H1129" s="192"/>
      <c r="I1129" s="192"/>
      <c r="J1129" s="175"/>
      <c r="K1129" s="192"/>
      <c r="L1129" s="192"/>
      <c r="M1129" s="192"/>
      <c r="N1129" s="175"/>
      <c r="O1129" s="116"/>
      <c r="P1129" s="175"/>
      <c r="Q1129" s="175"/>
      <c r="R1129" s="220"/>
      <c r="S1129" s="175"/>
      <c r="T1129" s="175"/>
      <c r="U1129" s="175"/>
      <c r="V1129" s="175"/>
      <c r="W1129" s="175"/>
      <c r="X1129" s="116"/>
    </row>
    <row r="1130" spans="1:24" s="112" customFormat="1">
      <c r="A1130" s="116"/>
      <c r="B1130" s="115"/>
      <c r="C1130" s="115"/>
      <c r="D1130" s="131"/>
      <c r="E1130" s="177"/>
      <c r="F1130" s="28"/>
      <c r="G1130" s="118"/>
      <c r="H1130" s="192"/>
      <c r="I1130" s="192"/>
      <c r="J1130" s="175"/>
      <c r="K1130" s="192"/>
      <c r="L1130" s="192"/>
      <c r="M1130" s="192"/>
      <c r="N1130" s="175"/>
      <c r="O1130" s="116"/>
      <c r="P1130" s="175"/>
      <c r="Q1130" s="175"/>
      <c r="R1130" s="220"/>
      <c r="S1130" s="175"/>
      <c r="T1130" s="175"/>
      <c r="U1130" s="175"/>
      <c r="V1130" s="175"/>
      <c r="W1130" s="175"/>
      <c r="X1130" s="116"/>
    </row>
    <row r="1131" spans="1:24" s="112" customFormat="1">
      <c r="A1131" s="116"/>
      <c r="B1131" s="115"/>
      <c r="C1131" s="115"/>
      <c r="D1131" s="131"/>
      <c r="E1131" s="177"/>
      <c r="F1131" s="28"/>
      <c r="G1131" s="118"/>
      <c r="H1131" s="192"/>
      <c r="I1131" s="192"/>
      <c r="J1131" s="175"/>
      <c r="K1131" s="192"/>
      <c r="L1131" s="192"/>
      <c r="M1131" s="192"/>
      <c r="N1131" s="175"/>
      <c r="O1131" s="116"/>
      <c r="P1131" s="175"/>
      <c r="Q1131" s="175"/>
      <c r="R1131" s="220"/>
      <c r="S1131" s="175"/>
      <c r="T1131" s="175"/>
      <c r="U1131" s="175"/>
      <c r="V1131" s="175"/>
      <c r="W1131" s="175"/>
      <c r="X1131" s="116"/>
    </row>
    <row r="1132" spans="1:24" s="112" customFormat="1">
      <c r="A1132" s="116"/>
      <c r="B1132" s="115"/>
      <c r="C1132" s="115"/>
      <c r="D1132" s="131"/>
      <c r="E1132" s="177"/>
      <c r="F1132" s="28"/>
      <c r="G1132" s="118"/>
      <c r="H1132" s="192"/>
      <c r="I1132" s="192"/>
      <c r="J1132" s="175"/>
      <c r="K1132" s="192"/>
      <c r="L1132" s="192"/>
      <c r="M1132" s="192"/>
      <c r="N1132" s="175"/>
      <c r="O1132" s="116"/>
      <c r="P1132" s="175"/>
      <c r="Q1132" s="175"/>
      <c r="R1132" s="220"/>
      <c r="S1132" s="175"/>
      <c r="T1132" s="175"/>
      <c r="U1132" s="175"/>
      <c r="V1132" s="175"/>
      <c r="W1132" s="175"/>
      <c r="X1132" s="116"/>
    </row>
    <row r="1133" spans="1:24" s="112" customFormat="1">
      <c r="A1133" s="116"/>
      <c r="B1133" s="115"/>
      <c r="C1133" s="115"/>
      <c r="D1133" s="131"/>
      <c r="E1133" s="177"/>
      <c r="F1133" s="28"/>
      <c r="G1133" s="118"/>
      <c r="H1133" s="192"/>
      <c r="I1133" s="192"/>
      <c r="J1133" s="175"/>
      <c r="K1133" s="192"/>
      <c r="L1133" s="192"/>
      <c r="M1133" s="192"/>
      <c r="N1133" s="175"/>
      <c r="O1133" s="116"/>
      <c r="P1133" s="175"/>
      <c r="Q1133" s="175"/>
      <c r="R1133" s="220"/>
      <c r="S1133" s="175"/>
      <c r="T1133" s="175"/>
      <c r="U1133" s="175"/>
      <c r="V1133" s="175"/>
      <c r="W1133" s="175"/>
      <c r="X1133" s="116"/>
    </row>
    <row r="1134" spans="1:24" s="112" customFormat="1">
      <c r="A1134" s="116"/>
      <c r="B1134" s="115"/>
      <c r="C1134" s="115"/>
      <c r="D1134" s="131"/>
      <c r="E1134" s="177"/>
      <c r="F1134" s="28"/>
      <c r="G1134" s="118"/>
      <c r="H1134" s="192"/>
      <c r="I1134" s="192"/>
      <c r="J1134" s="175"/>
      <c r="K1134" s="192"/>
      <c r="L1134" s="192"/>
      <c r="M1134" s="192"/>
      <c r="N1134" s="175"/>
      <c r="O1134" s="116"/>
      <c r="P1134" s="175"/>
      <c r="Q1134" s="175"/>
      <c r="R1134" s="220"/>
      <c r="S1134" s="175"/>
      <c r="T1134" s="175"/>
      <c r="U1134" s="175"/>
      <c r="V1134" s="175"/>
      <c r="W1134" s="175"/>
      <c r="X1134" s="116"/>
    </row>
    <row r="1135" spans="1:24" s="112" customFormat="1">
      <c r="A1135" s="116"/>
      <c r="B1135" s="115"/>
      <c r="C1135" s="115"/>
      <c r="D1135" s="131"/>
      <c r="E1135" s="177"/>
      <c r="F1135" s="28"/>
      <c r="G1135" s="118"/>
      <c r="H1135" s="192"/>
      <c r="I1135" s="192"/>
      <c r="J1135" s="175"/>
      <c r="K1135" s="192"/>
      <c r="L1135" s="192"/>
      <c r="M1135" s="192"/>
      <c r="N1135" s="175"/>
      <c r="O1135" s="116"/>
      <c r="P1135" s="175"/>
      <c r="Q1135" s="175"/>
      <c r="R1135" s="220"/>
      <c r="S1135" s="175"/>
      <c r="T1135" s="175"/>
      <c r="U1135" s="175"/>
      <c r="V1135" s="175"/>
      <c r="W1135" s="175"/>
      <c r="X1135" s="116"/>
    </row>
    <row r="1136" spans="1:24" s="112" customFormat="1">
      <c r="A1136" s="116"/>
      <c r="B1136" s="115"/>
      <c r="C1136" s="115"/>
      <c r="D1136" s="131"/>
      <c r="E1136" s="177"/>
      <c r="F1136" s="28"/>
      <c r="G1136" s="118"/>
      <c r="H1136" s="192"/>
      <c r="I1136" s="192"/>
      <c r="J1136" s="175"/>
      <c r="K1136" s="192"/>
      <c r="L1136" s="192"/>
      <c r="M1136" s="192"/>
      <c r="N1136" s="175"/>
      <c r="O1136" s="116"/>
      <c r="P1136" s="175"/>
      <c r="Q1136" s="175"/>
      <c r="R1136" s="220"/>
      <c r="S1136" s="175"/>
      <c r="T1136" s="175"/>
      <c r="U1136" s="175"/>
      <c r="V1136" s="175"/>
      <c r="W1136" s="175"/>
      <c r="X1136" s="116"/>
    </row>
    <row r="1137" spans="1:24" s="112" customFormat="1">
      <c r="A1137" s="116"/>
      <c r="B1137" s="115"/>
      <c r="C1137" s="115"/>
      <c r="D1137" s="131"/>
      <c r="E1137" s="177"/>
      <c r="F1137" s="28"/>
      <c r="G1137" s="118"/>
      <c r="H1137" s="192"/>
      <c r="I1137" s="192"/>
      <c r="J1137" s="175"/>
      <c r="K1137" s="192"/>
      <c r="L1137" s="192"/>
      <c r="M1137" s="192"/>
      <c r="N1137" s="175"/>
      <c r="O1137" s="116"/>
      <c r="P1137" s="175"/>
      <c r="Q1137" s="175"/>
      <c r="R1137" s="220"/>
      <c r="S1137" s="175"/>
      <c r="T1137" s="175"/>
      <c r="U1137" s="175"/>
      <c r="V1137" s="175"/>
      <c r="W1137" s="175"/>
      <c r="X1137" s="116"/>
    </row>
    <row r="1138" spans="1:24" s="112" customFormat="1">
      <c r="A1138" s="116"/>
      <c r="B1138" s="115"/>
      <c r="C1138" s="115"/>
      <c r="D1138" s="131"/>
      <c r="E1138" s="177"/>
      <c r="F1138" s="28"/>
      <c r="G1138" s="118"/>
      <c r="H1138" s="192"/>
      <c r="I1138" s="192"/>
      <c r="J1138" s="175"/>
      <c r="K1138" s="192"/>
      <c r="L1138" s="192"/>
      <c r="M1138" s="192"/>
      <c r="N1138" s="175"/>
      <c r="O1138" s="116"/>
      <c r="P1138" s="175"/>
      <c r="Q1138" s="175"/>
      <c r="R1138" s="220"/>
      <c r="S1138" s="175"/>
      <c r="T1138" s="175"/>
      <c r="U1138" s="175"/>
      <c r="V1138" s="175"/>
      <c r="W1138" s="175"/>
      <c r="X1138" s="116"/>
    </row>
    <row r="1139" spans="1:24" s="112" customFormat="1">
      <c r="A1139" s="116"/>
      <c r="B1139" s="115"/>
      <c r="C1139" s="115"/>
      <c r="D1139" s="131"/>
      <c r="E1139" s="177"/>
      <c r="F1139" s="28"/>
      <c r="G1139" s="118"/>
      <c r="H1139" s="192"/>
      <c r="I1139" s="192"/>
      <c r="J1139" s="175"/>
      <c r="K1139" s="192"/>
      <c r="L1139" s="192"/>
      <c r="M1139" s="192"/>
      <c r="N1139" s="175"/>
      <c r="O1139" s="116"/>
      <c r="P1139" s="175"/>
      <c r="Q1139" s="175"/>
      <c r="R1139" s="220"/>
      <c r="S1139" s="175"/>
      <c r="T1139" s="175"/>
      <c r="U1139" s="175"/>
      <c r="V1139" s="175"/>
      <c r="W1139" s="175"/>
      <c r="X1139" s="116"/>
    </row>
    <row r="1140" spans="1:24" s="112" customFormat="1">
      <c r="A1140" s="116"/>
      <c r="B1140" s="115"/>
      <c r="C1140" s="115"/>
      <c r="D1140" s="131"/>
      <c r="E1140" s="177"/>
      <c r="F1140" s="28"/>
      <c r="G1140" s="118"/>
      <c r="H1140" s="192"/>
      <c r="I1140" s="192"/>
      <c r="J1140" s="175"/>
      <c r="K1140" s="192"/>
      <c r="L1140" s="192"/>
      <c r="M1140" s="192"/>
      <c r="N1140" s="175"/>
      <c r="O1140" s="116"/>
      <c r="P1140" s="175"/>
      <c r="Q1140" s="175"/>
      <c r="R1140" s="220"/>
      <c r="S1140" s="175"/>
      <c r="T1140" s="175"/>
      <c r="U1140" s="175"/>
      <c r="V1140" s="175"/>
      <c r="W1140" s="175"/>
      <c r="X1140" s="116"/>
    </row>
    <row r="1141" spans="1:24" s="112" customFormat="1">
      <c r="A1141" s="116"/>
      <c r="B1141" s="115"/>
      <c r="C1141" s="115"/>
      <c r="D1141" s="131"/>
      <c r="E1141" s="177"/>
      <c r="F1141" s="28"/>
      <c r="G1141" s="118"/>
      <c r="H1141" s="192"/>
      <c r="I1141" s="192"/>
      <c r="J1141" s="175"/>
      <c r="K1141" s="192"/>
      <c r="L1141" s="192"/>
      <c r="M1141" s="192"/>
      <c r="N1141" s="175"/>
      <c r="O1141" s="116"/>
      <c r="P1141" s="175"/>
      <c r="Q1141" s="175"/>
      <c r="R1141" s="220"/>
      <c r="S1141" s="175"/>
      <c r="T1141" s="175"/>
      <c r="U1141" s="175"/>
      <c r="V1141" s="175"/>
      <c r="W1141" s="175"/>
      <c r="X1141" s="116"/>
    </row>
    <row r="1142" spans="1:24" s="112" customFormat="1">
      <c r="A1142" s="116"/>
      <c r="B1142" s="115"/>
      <c r="C1142" s="115"/>
      <c r="D1142" s="131"/>
      <c r="E1142" s="177"/>
      <c r="F1142" s="28"/>
      <c r="G1142" s="118"/>
      <c r="H1142" s="192"/>
      <c r="I1142" s="192"/>
      <c r="J1142" s="175"/>
      <c r="K1142" s="192"/>
      <c r="L1142" s="192"/>
      <c r="M1142" s="192"/>
      <c r="N1142" s="175"/>
      <c r="O1142" s="116"/>
      <c r="P1142" s="175"/>
      <c r="Q1142" s="175"/>
      <c r="R1142" s="220"/>
      <c r="S1142" s="175"/>
      <c r="T1142" s="175"/>
      <c r="U1142" s="175"/>
      <c r="V1142" s="175"/>
      <c r="W1142" s="175"/>
      <c r="X1142" s="116"/>
    </row>
    <row r="1143" spans="1:24" s="112" customFormat="1">
      <c r="A1143" s="116"/>
      <c r="B1143" s="115"/>
      <c r="C1143" s="115"/>
      <c r="D1143" s="131"/>
      <c r="E1143" s="177"/>
      <c r="F1143" s="28"/>
      <c r="G1143" s="118"/>
      <c r="H1143" s="192"/>
      <c r="I1143" s="192"/>
      <c r="J1143" s="175"/>
      <c r="K1143" s="192"/>
      <c r="L1143" s="192"/>
      <c r="M1143" s="192"/>
      <c r="N1143" s="175"/>
      <c r="O1143" s="116"/>
      <c r="P1143" s="175"/>
      <c r="Q1143" s="175"/>
      <c r="R1143" s="220"/>
      <c r="S1143" s="175"/>
      <c r="T1143" s="175"/>
      <c r="U1143" s="175"/>
      <c r="V1143" s="175"/>
      <c r="W1143" s="175"/>
      <c r="X1143" s="116"/>
    </row>
    <row r="1144" spans="1:24" s="112" customFormat="1">
      <c r="A1144" s="116"/>
      <c r="B1144" s="115"/>
      <c r="C1144" s="115"/>
      <c r="D1144" s="131"/>
      <c r="E1144" s="177"/>
      <c r="F1144" s="28"/>
      <c r="G1144" s="118"/>
      <c r="H1144" s="192"/>
      <c r="I1144" s="192"/>
      <c r="J1144" s="175"/>
      <c r="K1144" s="192"/>
      <c r="L1144" s="192"/>
      <c r="M1144" s="192"/>
      <c r="N1144" s="175"/>
      <c r="O1144" s="116"/>
      <c r="P1144" s="175"/>
      <c r="Q1144" s="175"/>
      <c r="R1144" s="220"/>
      <c r="S1144" s="175"/>
      <c r="T1144" s="175"/>
      <c r="U1144" s="175"/>
      <c r="V1144" s="175"/>
      <c r="W1144" s="175"/>
      <c r="X1144" s="116"/>
    </row>
    <row r="1145" spans="1:24" s="112" customFormat="1">
      <c r="A1145" s="116"/>
      <c r="B1145" s="115"/>
      <c r="C1145" s="115"/>
      <c r="D1145" s="131"/>
      <c r="E1145" s="177"/>
      <c r="F1145" s="28"/>
      <c r="G1145" s="118"/>
      <c r="H1145" s="192"/>
      <c r="I1145" s="192"/>
      <c r="J1145" s="175"/>
      <c r="K1145" s="192"/>
      <c r="L1145" s="192"/>
      <c r="M1145" s="192"/>
      <c r="N1145" s="175"/>
      <c r="O1145" s="116"/>
      <c r="P1145" s="175"/>
      <c r="Q1145" s="175"/>
      <c r="R1145" s="220"/>
      <c r="S1145" s="175"/>
      <c r="T1145" s="175"/>
      <c r="U1145" s="175"/>
      <c r="V1145" s="175"/>
      <c r="W1145" s="175"/>
      <c r="X1145" s="116"/>
    </row>
    <row r="1146" spans="1:24" s="112" customFormat="1">
      <c r="A1146" s="116"/>
      <c r="B1146" s="115"/>
      <c r="C1146" s="115"/>
      <c r="D1146" s="131"/>
      <c r="E1146" s="177"/>
      <c r="F1146" s="28"/>
      <c r="G1146" s="118"/>
      <c r="H1146" s="192"/>
      <c r="I1146" s="192"/>
      <c r="J1146" s="175"/>
      <c r="K1146" s="192"/>
      <c r="L1146" s="192"/>
      <c r="M1146" s="192"/>
      <c r="N1146" s="175"/>
      <c r="O1146" s="116"/>
      <c r="P1146" s="175"/>
      <c r="Q1146" s="175"/>
      <c r="R1146" s="220"/>
      <c r="S1146" s="175"/>
      <c r="T1146" s="175"/>
      <c r="U1146" s="175"/>
      <c r="V1146" s="175"/>
      <c r="W1146" s="175"/>
      <c r="X1146" s="116"/>
    </row>
    <row r="1147" spans="1:24" s="112" customFormat="1">
      <c r="A1147" s="116"/>
      <c r="B1147" s="115"/>
      <c r="C1147" s="115"/>
      <c r="D1147" s="131"/>
      <c r="E1147" s="177"/>
      <c r="F1147" s="28"/>
      <c r="G1147" s="118"/>
      <c r="H1147" s="192"/>
      <c r="I1147" s="192"/>
      <c r="J1147" s="175"/>
      <c r="K1147" s="192"/>
      <c r="L1147" s="192"/>
      <c r="M1147" s="192"/>
      <c r="N1147" s="175"/>
      <c r="O1147" s="116"/>
      <c r="P1147" s="175"/>
      <c r="Q1147" s="175"/>
      <c r="R1147" s="220"/>
      <c r="S1147" s="175"/>
      <c r="T1147" s="175"/>
      <c r="U1147" s="175"/>
      <c r="V1147" s="175"/>
      <c r="W1147" s="175"/>
      <c r="X1147" s="116"/>
    </row>
    <row r="1148" spans="1:24" s="112" customFormat="1">
      <c r="A1148" s="116"/>
      <c r="B1148" s="115"/>
      <c r="C1148" s="115"/>
      <c r="D1148" s="131"/>
      <c r="E1148" s="177"/>
      <c r="F1148" s="28"/>
      <c r="G1148" s="118"/>
      <c r="H1148" s="192"/>
      <c r="I1148" s="192"/>
      <c r="J1148" s="175"/>
      <c r="K1148" s="192"/>
      <c r="L1148" s="192"/>
      <c r="M1148" s="192"/>
      <c r="N1148" s="175"/>
      <c r="O1148" s="116"/>
      <c r="P1148" s="175"/>
      <c r="Q1148" s="175"/>
      <c r="R1148" s="220"/>
      <c r="S1148" s="175"/>
      <c r="T1148" s="175"/>
      <c r="U1148" s="175"/>
      <c r="V1148" s="175"/>
      <c r="W1148" s="175"/>
      <c r="X1148" s="116"/>
    </row>
    <row r="1149" spans="1:24" s="112" customFormat="1">
      <c r="A1149" s="116"/>
      <c r="B1149" s="115"/>
      <c r="C1149" s="115"/>
      <c r="D1149" s="131"/>
      <c r="E1149" s="177"/>
      <c r="F1149" s="28"/>
      <c r="G1149" s="118"/>
      <c r="H1149" s="192"/>
      <c r="I1149" s="192"/>
      <c r="J1149" s="175"/>
      <c r="K1149" s="192"/>
      <c r="L1149" s="192"/>
      <c r="M1149" s="192"/>
      <c r="N1149" s="175"/>
      <c r="O1149" s="116"/>
      <c r="P1149" s="175"/>
      <c r="Q1149" s="175"/>
      <c r="R1149" s="220"/>
      <c r="S1149" s="175"/>
      <c r="T1149" s="175"/>
      <c r="U1149" s="175"/>
      <c r="V1149" s="175"/>
      <c r="W1149" s="175"/>
      <c r="X1149" s="116"/>
    </row>
    <row r="1150" spans="1:24" s="112" customFormat="1">
      <c r="A1150" s="116"/>
      <c r="B1150" s="115"/>
      <c r="C1150" s="115"/>
      <c r="D1150" s="131"/>
      <c r="E1150" s="177"/>
      <c r="F1150" s="28"/>
      <c r="G1150" s="118"/>
      <c r="H1150" s="192"/>
      <c r="I1150" s="192"/>
      <c r="J1150" s="175"/>
      <c r="K1150" s="192"/>
      <c r="L1150" s="192"/>
      <c r="M1150" s="192"/>
      <c r="N1150" s="175"/>
      <c r="O1150" s="116"/>
      <c r="P1150" s="175"/>
      <c r="Q1150" s="175"/>
      <c r="R1150" s="220"/>
      <c r="S1150" s="175"/>
      <c r="T1150" s="175"/>
      <c r="U1150" s="175"/>
      <c r="V1150" s="175"/>
      <c r="W1150" s="175"/>
      <c r="X1150" s="116"/>
    </row>
    <row r="1151" spans="1:24" s="112" customFormat="1">
      <c r="A1151" s="116"/>
      <c r="B1151" s="115"/>
      <c r="C1151" s="115"/>
      <c r="D1151" s="131"/>
      <c r="E1151" s="177"/>
      <c r="F1151" s="28"/>
      <c r="G1151" s="118"/>
      <c r="H1151" s="192"/>
      <c r="I1151" s="192"/>
      <c r="J1151" s="175"/>
      <c r="K1151" s="192"/>
      <c r="L1151" s="192"/>
      <c r="M1151" s="192"/>
      <c r="N1151" s="175"/>
      <c r="O1151" s="116"/>
      <c r="P1151" s="175"/>
      <c r="Q1151" s="175"/>
      <c r="R1151" s="220"/>
      <c r="S1151" s="175"/>
      <c r="T1151" s="175"/>
      <c r="U1151" s="175"/>
      <c r="V1151" s="175"/>
      <c r="W1151" s="175"/>
      <c r="X1151" s="116"/>
    </row>
    <row r="1152" spans="1:24" s="112" customFormat="1">
      <c r="A1152" s="116"/>
      <c r="B1152" s="115"/>
      <c r="C1152" s="115"/>
      <c r="D1152" s="131"/>
      <c r="E1152" s="177"/>
      <c r="F1152" s="28"/>
      <c r="G1152" s="118"/>
      <c r="H1152" s="192"/>
      <c r="I1152" s="192"/>
      <c r="J1152" s="175"/>
      <c r="K1152" s="192"/>
      <c r="L1152" s="192"/>
      <c r="M1152" s="192"/>
      <c r="N1152" s="175"/>
      <c r="O1152" s="116"/>
      <c r="P1152" s="175"/>
      <c r="Q1152" s="175"/>
      <c r="R1152" s="220"/>
      <c r="S1152" s="175"/>
      <c r="T1152" s="175"/>
      <c r="U1152" s="175"/>
      <c r="V1152" s="175"/>
      <c r="W1152" s="175"/>
      <c r="X1152" s="116"/>
    </row>
    <row r="1153" spans="1:24" s="112" customFormat="1">
      <c r="A1153" s="116"/>
      <c r="B1153" s="115"/>
      <c r="C1153" s="115"/>
      <c r="D1153" s="131"/>
      <c r="E1153" s="177"/>
      <c r="F1153" s="28"/>
      <c r="G1153" s="118"/>
      <c r="H1153" s="192"/>
      <c r="I1153" s="192"/>
      <c r="J1153" s="175"/>
      <c r="K1153" s="192"/>
      <c r="L1153" s="192"/>
      <c r="M1153" s="192"/>
      <c r="N1153" s="175"/>
      <c r="O1153" s="116"/>
      <c r="P1153" s="175"/>
      <c r="Q1153" s="175"/>
      <c r="R1153" s="220"/>
      <c r="S1153" s="175"/>
      <c r="T1153" s="175"/>
      <c r="U1153" s="175"/>
      <c r="V1153" s="175"/>
      <c r="W1153" s="175"/>
      <c r="X1153" s="116"/>
    </row>
    <row r="1154" spans="1:24" s="112" customFormat="1">
      <c r="A1154" s="116"/>
      <c r="B1154" s="115"/>
      <c r="C1154" s="115"/>
      <c r="D1154" s="131"/>
      <c r="E1154" s="177"/>
      <c r="F1154" s="28"/>
      <c r="G1154" s="118"/>
      <c r="H1154" s="192"/>
      <c r="I1154" s="192"/>
      <c r="J1154" s="175"/>
      <c r="K1154" s="192"/>
      <c r="L1154" s="192"/>
      <c r="M1154" s="192"/>
      <c r="N1154" s="175"/>
      <c r="O1154" s="116"/>
      <c r="P1154" s="175"/>
      <c r="Q1154" s="175"/>
      <c r="R1154" s="220"/>
      <c r="S1154" s="175"/>
      <c r="T1154" s="175"/>
      <c r="U1154" s="175"/>
      <c r="V1154" s="175"/>
      <c r="W1154" s="175"/>
      <c r="X1154" s="116"/>
    </row>
    <row r="1155" spans="1:24" s="112" customFormat="1">
      <c r="A1155" s="116"/>
      <c r="B1155" s="115"/>
      <c r="C1155" s="115"/>
      <c r="D1155" s="131"/>
      <c r="E1155" s="177"/>
      <c r="F1155" s="28"/>
      <c r="G1155" s="118"/>
      <c r="H1155" s="192"/>
      <c r="I1155" s="192"/>
      <c r="J1155" s="175"/>
      <c r="K1155" s="192"/>
      <c r="L1155" s="192"/>
      <c r="M1155" s="192"/>
      <c r="N1155" s="175"/>
      <c r="O1155" s="116"/>
      <c r="P1155" s="175"/>
      <c r="Q1155" s="175"/>
      <c r="R1155" s="220"/>
      <c r="S1155" s="175"/>
      <c r="T1155" s="175"/>
      <c r="U1155" s="175"/>
      <c r="V1155" s="175"/>
      <c r="W1155" s="175"/>
      <c r="X1155" s="116"/>
    </row>
    <row r="1156" spans="1:24" s="112" customFormat="1">
      <c r="A1156" s="116"/>
      <c r="B1156" s="115"/>
      <c r="C1156" s="115"/>
      <c r="D1156" s="131"/>
      <c r="E1156" s="177"/>
      <c r="F1156" s="28"/>
      <c r="G1156" s="118"/>
      <c r="H1156" s="192"/>
      <c r="I1156" s="192"/>
      <c r="J1156" s="175"/>
      <c r="K1156" s="192"/>
      <c r="L1156" s="192"/>
      <c r="M1156" s="192"/>
      <c r="N1156" s="175"/>
      <c r="O1156" s="116"/>
      <c r="P1156" s="175"/>
      <c r="Q1156" s="175"/>
      <c r="R1156" s="220"/>
      <c r="S1156" s="175"/>
      <c r="T1156" s="175"/>
      <c r="U1156" s="175"/>
      <c r="V1156" s="175"/>
      <c r="W1156" s="175"/>
      <c r="X1156" s="116"/>
    </row>
    <row r="1157" spans="1:24" s="112" customFormat="1">
      <c r="A1157" s="116"/>
      <c r="B1157" s="115"/>
      <c r="C1157" s="115"/>
      <c r="D1157" s="131"/>
      <c r="E1157" s="177"/>
      <c r="F1157" s="28"/>
      <c r="G1157" s="118"/>
      <c r="H1157" s="192"/>
      <c r="I1157" s="192"/>
      <c r="J1157" s="175"/>
      <c r="K1157" s="192"/>
      <c r="L1157" s="192"/>
      <c r="M1157" s="192"/>
      <c r="N1157" s="175"/>
      <c r="O1157" s="116"/>
      <c r="P1157" s="175"/>
      <c r="Q1157" s="175"/>
      <c r="R1157" s="220"/>
      <c r="S1157" s="175"/>
      <c r="T1157" s="175"/>
      <c r="U1157" s="175"/>
      <c r="V1157" s="175"/>
      <c r="W1157" s="175"/>
      <c r="X1157" s="116"/>
    </row>
    <row r="1158" spans="1:24" s="112" customFormat="1">
      <c r="A1158" s="116"/>
      <c r="B1158" s="115"/>
      <c r="C1158" s="115"/>
      <c r="D1158" s="131"/>
      <c r="E1158" s="177"/>
      <c r="F1158" s="28"/>
      <c r="G1158" s="118"/>
      <c r="H1158" s="192"/>
      <c r="I1158" s="192"/>
      <c r="J1158" s="175"/>
      <c r="K1158" s="192"/>
      <c r="L1158" s="192"/>
      <c r="M1158" s="192"/>
      <c r="N1158" s="175"/>
      <c r="O1158" s="116"/>
      <c r="P1158" s="175"/>
      <c r="Q1158" s="175"/>
      <c r="R1158" s="220"/>
      <c r="S1158" s="175"/>
      <c r="T1158" s="175"/>
      <c r="U1158" s="175"/>
      <c r="V1158" s="175"/>
      <c r="W1158" s="175"/>
      <c r="X1158" s="116"/>
    </row>
    <row r="1159" spans="1:24" s="112" customFormat="1">
      <c r="A1159" s="116"/>
      <c r="B1159" s="115"/>
      <c r="C1159" s="115"/>
      <c r="D1159" s="131"/>
      <c r="E1159" s="177"/>
      <c r="F1159" s="28"/>
      <c r="G1159" s="118"/>
      <c r="H1159" s="192"/>
      <c r="I1159" s="192"/>
      <c r="J1159" s="175"/>
      <c r="K1159" s="192"/>
      <c r="L1159" s="192"/>
      <c r="M1159" s="192"/>
      <c r="N1159" s="175"/>
      <c r="O1159" s="116"/>
      <c r="P1159" s="175"/>
      <c r="Q1159" s="175"/>
      <c r="R1159" s="220"/>
      <c r="S1159" s="175"/>
      <c r="T1159" s="175"/>
      <c r="U1159" s="175"/>
      <c r="V1159" s="175"/>
      <c r="W1159" s="175"/>
      <c r="X1159" s="116"/>
    </row>
    <row r="1160" spans="1:24" s="112" customFormat="1">
      <c r="A1160" s="116"/>
      <c r="B1160" s="115"/>
      <c r="C1160" s="115"/>
      <c r="D1160" s="131"/>
      <c r="E1160" s="177"/>
      <c r="F1160" s="28"/>
      <c r="G1160" s="118"/>
      <c r="H1160" s="192"/>
      <c r="I1160" s="192"/>
      <c r="J1160" s="175"/>
      <c r="K1160" s="192"/>
      <c r="L1160" s="192"/>
      <c r="M1160" s="192"/>
      <c r="N1160" s="175"/>
      <c r="O1160" s="116"/>
      <c r="P1160" s="175"/>
      <c r="Q1160" s="175"/>
      <c r="R1160" s="220"/>
      <c r="S1160" s="175"/>
      <c r="T1160" s="175"/>
      <c r="U1160" s="175"/>
      <c r="V1160" s="175"/>
      <c r="W1160" s="175"/>
      <c r="X1160" s="116"/>
    </row>
    <row r="1161" spans="1:24" s="112" customFormat="1">
      <c r="A1161" s="116"/>
      <c r="B1161" s="115"/>
      <c r="C1161" s="115"/>
      <c r="D1161" s="131"/>
      <c r="E1161" s="177"/>
      <c r="F1161" s="28"/>
      <c r="G1161" s="118"/>
      <c r="H1161" s="192"/>
      <c r="I1161" s="192"/>
      <c r="J1161" s="175"/>
      <c r="K1161" s="192"/>
      <c r="L1161" s="192"/>
      <c r="M1161" s="192"/>
      <c r="N1161" s="175"/>
      <c r="O1161" s="116"/>
      <c r="P1161" s="175"/>
      <c r="Q1161" s="175"/>
      <c r="R1161" s="220"/>
      <c r="S1161" s="175"/>
      <c r="T1161" s="175"/>
      <c r="U1161" s="175"/>
      <c r="V1161" s="175"/>
      <c r="W1161" s="175"/>
      <c r="X1161" s="116"/>
    </row>
    <row r="1162" spans="1:24" s="112" customFormat="1">
      <c r="A1162" s="116"/>
      <c r="B1162" s="115"/>
      <c r="C1162" s="115"/>
      <c r="D1162" s="131"/>
      <c r="E1162" s="177"/>
      <c r="F1162" s="28"/>
      <c r="G1162" s="118"/>
      <c r="H1162" s="192"/>
      <c r="I1162" s="192"/>
      <c r="J1162" s="175"/>
      <c r="K1162" s="192"/>
      <c r="L1162" s="192"/>
      <c r="M1162" s="192"/>
      <c r="N1162" s="175"/>
      <c r="O1162" s="116"/>
      <c r="P1162" s="175"/>
      <c r="Q1162" s="175"/>
      <c r="R1162" s="220"/>
      <c r="S1162" s="175"/>
      <c r="T1162" s="175"/>
      <c r="U1162" s="175"/>
      <c r="V1162" s="175"/>
      <c r="W1162" s="175"/>
      <c r="X1162" s="116"/>
    </row>
    <row r="1163" spans="1:24" s="112" customFormat="1">
      <c r="A1163" s="116"/>
      <c r="B1163" s="115"/>
      <c r="C1163" s="115"/>
      <c r="D1163" s="131"/>
      <c r="E1163" s="177"/>
      <c r="F1163" s="28"/>
      <c r="G1163" s="118"/>
      <c r="H1163" s="192"/>
      <c r="I1163" s="192"/>
      <c r="J1163" s="175"/>
      <c r="K1163" s="192"/>
      <c r="L1163" s="192"/>
      <c r="M1163" s="192"/>
      <c r="N1163" s="175"/>
      <c r="O1163" s="116"/>
      <c r="P1163" s="175"/>
      <c r="Q1163" s="175"/>
      <c r="R1163" s="220"/>
      <c r="S1163" s="175"/>
      <c r="T1163" s="175"/>
      <c r="U1163" s="175"/>
      <c r="V1163" s="175"/>
      <c r="W1163" s="175"/>
      <c r="X1163" s="116"/>
    </row>
    <row r="1164" spans="1:24" s="112" customFormat="1">
      <c r="A1164" s="116"/>
      <c r="B1164" s="115"/>
      <c r="C1164" s="115"/>
      <c r="D1164" s="131"/>
      <c r="E1164" s="177"/>
      <c r="F1164" s="28"/>
      <c r="G1164" s="118"/>
      <c r="H1164" s="192"/>
      <c r="I1164" s="192"/>
      <c r="J1164" s="175"/>
      <c r="K1164" s="192"/>
      <c r="L1164" s="192"/>
      <c r="M1164" s="192"/>
      <c r="N1164" s="175"/>
      <c r="O1164" s="116"/>
      <c r="P1164" s="175"/>
      <c r="Q1164" s="175"/>
      <c r="R1164" s="220"/>
      <c r="S1164" s="175"/>
      <c r="T1164" s="175"/>
      <c r="U1164" s="175"/>
      <c r="V1164" s="175"/>
      <c r="W1164" s="175"/>
      <c r="X1164" s="116"/>
    </row>
    <row r="1165" spans="1:24" s="112" customFormat="1">
      <c r="A1165" s="116"/>
      <c r="B1165" s="115"/>
      <c r="C1165" s="115"/>
      <c r="D1165" s="131"/>
      <c r="E1165" s="177"/>
      <c r="F1165" s="28"/>
      <c r="G1165" s="118"/>
      <c r="H1165" s="192"/>
      <c r="I1165" s="192"/>
      <c r="J1165" s="175"/>
      <c r="K1165" s="192"/>
      <c r="L1165" s="192"/>
      <c r="M1165" s="192"/>
      <c r="N1165" s="175"/>
      <c r="O1165" s="116"/>
      <c r="P1165" s="175"/>
      <c r="Q1165" s="175"/>
      <c r="R1165" s="220"/>
      <c r="S1165" s="175"/>
      <c r="T1165" s="175"/>
      <c r="U1165" s="175"/>
      <c r="V1165" s="175"/>
      <c r="W1165" s="175"/>
      <c r="X1165" s="116"/>
    </row>
    <row r="1166" spans="1:24" s="112" customFormat="1">
      <c r="A1166" s="116"/>
      <c r="B1166" s="115"/>
      <c r="C1166" s="115"/>
      <c r="D1166" s="131"/>
      <c r="E1166" s="177"/>
      <c r="F1166" s="28"/>
      <c r="G1166" s="118"/>
      <c r="H1166" s="192"/>
      <c r="I1166" s="192"/>
      <c r="J1166" s="175"/>
      <c r="K1166" s="192"/>
      <c r="L1166" s="192"/>
      <c r="M1166" s="192"/>
      <c r="N1166" s="175"/>
      <c r="O1166" s="116"/>
      <c r="P1166" s="175"/>
      <c r="Q1166" s="175"/>
      <c r="R1166" s="220"/>
      <c r="S1166" s="175"/>
      <c r="T1166" s="175"/>
      <c r="U1166" s="175"/>
      <c r="V1166" s="175"/>
      <c r="W1166" s="175"/>
      <c r="X1166" s="116"/>
    </row>
    <row r="1167" spans="1:24" s="112" customFormat="1">
      <c r="A1167" s="116"/>
      <c r="B1167" s="115"/>
      <c r="C1167" s="115"/>
      <c r="D1167" s="131"/>
      <c r="E1167" s="177"/>
      <c r="F1167" s="28"/>
      <c r="G1167" s="118"/>
      <c r="H1167" s="192"/>
      <c r="I1167" s="192"/>
      <c r="J1167" s="175"/>
      <c r="K1167" s="192"/>
      <c r="L1167" s="192"/>
      <c r="M1167" s="192"/>
      <c r="N1167" s="175"/>
      <c r="O1167" s="116"/>
      <c r="P1167" s="175"/>
      <c r="Q1167" s="175"/>
      <c r="R1167" s="220"/>
      <c r="S1167" s="175"/>
      <c r="T1167" s="175"/>
      <c r="U1167" s="175"/>
      <c r="V1167" s="175"/>
      <c r="W1167" s="175"/>
      <c r="X1167" s="116"/>
    </row>
    <row r="1168" spans="1:24" s="112" customFormat="1">
      <c r="A1168" s="116"/>
      <c r="B1168" s="115"/>
      <c r="C1168" s="115"/>
      <c r="D1168" s="131"/>
      <c r="E1168" s="177"/>
      <c r="F1168" s="28"/>
      <c r="G1168" s="118"/>
      <c r="H1168" s="192"/>
      <c r="I1168" s="192"/>
      <c r="J1168" s="175"/>
      <c r="K1168" s="192"/>
      <c r="L1168" s="192"/>
      <c r="M1168" s="192"/>
      <c r="N1168" s="175"/>
      <c r="O1168" s="116"/>
      <c r="P1168" s="175"/>
      <c r="Q1168" s="175"/>
      <c r="R1168" s="220"/>
      <c r="S1168" s="175"/>
      <c r="T1168" s="175"/>
      <c r="U1168" s="175"/>
      <c r="V1168" s="175"/>
      <c r="W1168" s="175"/>
      <c r="X1168" s="116"/>
    </row>
    <row r="1169" spans="1:24" s="112" customFormat="1">
      <c r="A1169" s="116"/>
      <c r="B1169" s="115"/>
      <c r="C1169" s="115"/>
      <c r="D1169" s="131"/>
      <c r="E1169" s="177"/>
      <c r="F1169" s="28"/>
      <c r="G1169" s="118"/>
      <c r="H1169" s="192"/>
      <c r="I1169" s="192"/>
      <c r="J1169" s="175"/>
      <c r="K1169" s="192"/>
      <c r="L1169" s="192"/>
      <c r="M1169" s="192"/>
      <c r="N1169" s="175"/>
      <c r="O1169" s="116"/>
      <c r="P1169" s="175"/>
      <c r="Q1169" s="175"/>
      <c r="R1169" s="220"/>
      <c r="S1169" s="175"/>
      <c r="T1169" s="175"/>
      <c r="U1169" s="175"/>
      <c r="V1169" s="175"/>
      <c r="W1169" s="175"/>
      <c r="X1169" s="116"/>
    </row>
    <row r="1170" spans="1:24" s="112" customFormat="1">
      <c r="A1170" s="116"/>
      <c r="B1170" s="115"/>
      <c r="C1170" s="115"/>
      <c r="D1170" s="131"/>
      <c r="E1170" s="177"/>
      <c r="F1170" s="28"/>
      <c r="G1170" s="118"/>
      <c r="H1170" s="192"/>
      <c r="I1170" s="192"/>
      <c r="J1170" s="175"/>
      <c r="K1170" s="192"/>
      <c r="L1170" s="192"/>
      <c r="M1170" s="192"/>
      <c r="N1170" s="175"/>
      <c r="O1170" s="116"/>
      <c r="P1170" s="175"/>
      <c r="Q1170" s="175"/>
      <c r="R1170" s="220"/>
      <c r="S1170" s="175"/>
      <c r="T1170" s="175"/>
      <c r="U1170" s="175"/>
      <c r="V1170" s="175"/>
      <c r="W1170" s="175"/>
      <c r="X1170" s="116"/>
    </row>
    <row r="1171" spans="1:24" s="112" customFormat="1">
      <c r="A1171" s="116"/>
      <c r="B1171" s="115"/>
      <c r="C1171" s="115"/>
      <c r="D1171" s="131"/>
      <c r="E1171" s="177"/>
      <c r="F1171" s="28"/>
      <c r="G1171" s="118"/>
      <c r="H1171" s="192"/>
      <c r="I1171" s="192"/>
      <c r="J1171" s="175"/>
      <c r="K1171" s="192"/>
      <c r="L1171" s="192"/>
      <c r="M1171" s="192"/>
      <c r="N1171" s="175"/>
      <c r="O1171" s="116"/>
      <c r="P1171" s="175"/>
      <c r="Q1171" s="175"/>
      <c r="R1171" s="220"/>
      <c r="S1171" s="175"/>
      <c r="T1171" s="175"/>
      <c r="U1171" s="175"/>
      <c r="V1171" s="175"/>
      <c r="W1171" s="175"/>
      <c r="X1171" s="116"/>
    </row>
    <row r="1172" spans="1:24" s="112" customFormat="1">
      <c r="A1172" s="116"/>
      <c r="B1172" s="115"/>
      <c r="C1172" s="115"/>
      <c r="D1172" s="131"/>
      <c r="E1172" s="177"/>
      <c r="F1172" s="28"/>
      <c r="G1172" s="118"/>
      <c r="H1172" s="192"/>
      <c r="I1172" s="192"/>
      <c r="J1172" s="175"/>
      <c r="K1172" s="192"/>
      <c r="L1172" s="192"/>
      <c r="M1172" s="192"/>
      <c r="N1172" s="175"/>
      <c r="O1172" s="116"/>
      <c r="P1172" s="175"/>
      <c r="Q1172" s="175"/>
      <c r="R1172" s="220"/>
      <c r="S1172" s="175"/>
      <c r="T1172" s="175"/>
      <c r="U1172" s="175"/>
      <c r="V1172" s="175"/>
      <c r="W1172" s="175"/>
      <c r="X1172" s="116"/>
    </row>
    <row r="1173" spans="1:24" s="112" customFormat="1">
      <c r="A1173" s="116"/>
      <c r="B1173" s="115"/>
      <c r="C1173" s="115"/>
      <c r="D1173" s="131"/>
      <c r="E1173" s="177"/>
      <c r="F1173" s="28"/>
      <c r="G1173" s="118"/>
      <c r="H1173" s="192"/>
      <c r="I1173" s="192"/>
      <c r="J1173" s="175"/>
      <c r="K1173" s="192"/>
      <c r="L1173" s="192"/>
      <c r="M1173" s="192"/>
      <c r="N1173" s="175"/>
      <c r="O1173" s="116"/>
      <c r="P1173" s="175"/>
      <c r="Q1173" s="175"/>
      <c r="R1173" s="220"/>
      <c r="S1173" s="175"/>
      <c r="T1173" s="175"/>
      <c r="U1173" s="175"/>
      <c r="V1173" s="175"/>
      <c r="W1173" s="175"/>
      <c r="X1173" s="116"/>
    </row>
    <row r="1174" spans="1:24" s="112" customFormat="1">
      <c r="A1174" s="116"/>
      <c r="B1174" s="115"/>
      <c r="C1174" s="115"/>
      <c r="D1174" s="131"/>
      <c r="E1174" s="177"/>
      <c r="F1174" s="28"/>
      <c r="G1174" s="118"/>
      <c r="H1174" s="192"/>
      <c r="I1174" s="192"/>
      <c r="J1174" s="175"/>
      <c r="K1174" s="192"/>
      <c r="L1174" s="192"/>
      <c r="M1174" s="192"/>
      <c r="N1174" s="175"/>
      <c r="O1174" s="116"/>
      <c r="P1174" s="175"/>
      <c r="Q1174" s="175"/>
      <c r="R1174" s="220"/>
      <c r="S1174" s="175"/>
      <c r="T1174" s="175"/>
      <c r="U1174" s="175"/>
      <c r="V1174" s="175"/>
      <c r="W1174" s="175"/>
      <c r="X1174" s="116"/>
    </row>
    <row r="1175" spans="1:24" s="112" customFormat="1">
      <c r="A1175" s="116"/>
      <c r="B1175" s="115"/>
      <c r="C1175" s="115"/>
      <c r="D1175" s="131"/>
      <c r="E1175" s="177"/>
      <c r="F1175" s="28"/>
      <c r="G1175" s="118"/>
      <c r="H1175" s="192"/>
      <c r="I1175" s="192"/>
      <c r="J1175" s="175"/>
      <c r="K1175" s="192"/>
      <c r="L1175" s="192"/>
      <c r="M1175" s="192"/>
      <c r="N1175" s="175"/>
      <c r="O1175" s="116"/>
      <c r="P1175" s="175"/>
      <c r="Q1175" s="175"/>
      <c r="R1175" s="220"/>
      <c r="S1175" s="175"/>
      <c r="T1175" s="175"/>
      <c r="U1175" s="175"/>
      <c r="V1175" s="175"/>
      <c r="W1175" s="175"/>
      <c r="X1175" s="116"/>
    </row>
    <row r="1176" spans="1:24" s="112" customFormat="1">
      <c r="A1176" s="116"/>
      <c r="B1176" s="115"/>
      <c r="C1176" s="115"/>
      <c r="D1176" s="131"/>
      <c r="E1176" s="177"/>
      <c r="F1176" s="28"/>
      <c r="G1176" s="118"/>
      <c r="H1176" s="192"/>
      <c r="I1176" s="192"/>
      <c r="J1176" s="175"/>
      <c r="K1176" s="192"/>
      <c r="L1176" s="192"/>
      <c r="M1176" s="192"/>
      <c r="N1176" s="175"/>
      <c r="O1176" s="116"/>
      <c r="P1176" s="175"/>
      <c r="Q1176" s="175"/>
      <c r="R1176" s="220"/>
      <c r="S1176" s="175"/>
      <c r="T1176" s="175"/>
      <c r="U1176" s="175"/>
      <c r="V1176" s="175"/>
      <c r="W1176" s="175"/>
      <c r="X1176" s="116"/>
    </row>
    <row r="1177" spans="1:24" s="112" customFormat="1">
      <c r="A1177" s="116"/>
      <c r="B1177" s="115"/>
      <c r="C1177" s="115"/>
      <c r="D1177" s="131"/>
      <c r="E1177" s="177"/>
      <c r="F1177" s="28"/>
      <c r="G1177" s="118"/>
      <c r="H1177" s="192"/>
      <c r="I1177" s="192"/>
      <c r="J1177" s="175"/>
      <c r="K1177" s="192"/>
      <c r="L1177" s="192"/>
      <c r="M1177" s="192"/>
      <c r="N1177" s="175"/>
      <c r="O1177" s="116"/>
      <c r="P1177" s="175"/>
      <c r="Q1177" s="175"/>
      <c r="R1177" s="220"/>
      <c r="S1177" s="175"/>
      <c r="T1177" s="175"/>
      <c r="U1177" s="175"/>
      <c r="V1177" s="175"/>
      <c r="W1177" s="175"/>
      <c r="X1177" s="116"/>
    </row>
    <row r="1178" spans="1:24" s="112" customFormat="1">
      <c r="A1178" s="116"/>
      <c r="B1178" s="115"/>
      <c r="C1178" s="115"/>
      <c r="D1178" s="131"/>
      <c r="E1178" s="177"/>
      <c r="F1178" s="28"/>
      <c r="G1178" s="118"/>
      <c r="H1178" s="192"/>
      <c r="I1178" s="192"/>
      <c r="J1178" s="175"/>
      <c r="K1178" s="192"/>
      <c r="L1178" s="192"/>
      <c r="M1178" s="192"/>
      <c r="N1178" s="175"/>
      <c r="O1178" s="116"/>
      <c r="P1178" s="175"/>
      <c r="Q1178" s="175"/>
      <c r="R1178" s="220"/>
      <c r="S1178" s="175"/>
      <c r="T1178" s="175"/>
      <c r="U1178" s="175"/>
      <c r="V1178" s="175"/>
      <c r="W1178" s="175"/>
      <c r="X1178" s="116"/>
    </row>
    <row r="1179" spans="1:24" s="112" customFormat="1">
      <c r="A1179" s="116"/>
      <c r="B1179" s="115"/>
      <c r="C1179" s="115"/>
      <c r="D1179" s="131"/>
      <c r="E1179" s="177"/>
      <c r="F1179" s="28"/>
      <c r="G1179" s="118"/>
      <c r="H1179" s="192"/>
      <c r="I1179" s="192"/>
      <c r="J1179" s="175"/>
      <c r="K1179" s="192"/>
      <c r="L1179" s="192"/>
      <c r="M1179" s="192"/>
      <c r="N1179" s="175"/>
      <c r="O1179" s="116"/>
      <c r="P1179" s="175"/>
      <c r="Q1179" s="175"/>
      <c r="R1179" s="220"/>
      <c r="S1179" s="175"/>
      <c r="T1179" s="175"/>
      <c r="U1179" s="175"/>
      <c r="V1179" s="175"/>
      <c r="W1179" s="175"/>
      <c r="X1179" s="116"/>
    </row>
    <row r="1180" spans="1:24" s="112" customFormat="1">
      <c r="A1180" s="116"/>
      <c r="B1180" s="115"/>
      <c r="C1180" s="115"/>
      <c r="D1180" s="131"/>
      <c r="E1180" s="177"/>
      <c r="F1180" s="28"/>
      <c r="G1180" s="118"/>
      <c r="H1180" s="192"/>
      <c r="I1180" s="192"/>
      <c r="J1180" s="175"/>
      <c r="K1180" s="192"/>
      <c r="L1180" s="192"/>
      <c r="M1180" s="192"/>
      <c r="N1180" s="175"/>
      <c r="O1180" s="116"/>
      <c r="P1180" s="175"/>
      <c r="Q1180" s="175"/>
      <c r="R1180" s="220"/>
      <c r="S1180" s="175"/>
      <c r="T1180" s="175"/>
      <c r="U1180" s="175"/>
      <c r="V1180" s="175"/>
      <c r="W1180" s="175"/>
      <c r="X1180" s="116"/>
    </row>
    <row r="1181" spans="1:24" s="112" customFormat="1">
      <c r="A1181" s="116"/>
      <c r="B1181" s="115"/>
      <c r="C1181" s="115"/>
      <c r="D1181" s="131"/>
      <c r="E1181" s="177"/>
      <c r="F1181" s="28"/>
      <c r="G1181" s="118"/>
      <c r="H1181" s="192"/>
      <c r="I1181" s="192"/>
      <c r="J1181" s="175"/>
      <c r="K1181" s="192"/>
      <c r="L1181" s="192"/>
      <c r="M1181" s="192"/>
      <c r="N1181" s="175"/>
      <c r="O1181" s="116"/>
      <c r="P1181" s="175"/>
      <c r="Q1181" s="175"/>
      <c r="R1181" s="220"/>
      <c r="S1181" s="175"/>
      <c r="T1181" s="175"/>
      <c r="U1181" s="175"/>
      <c r="V1181" s="175"/>
      <c r="W1181" s="175"/>
      <c r="X1181" s="116"/>
    </row>
    <row r="1182" spans="1:24" s="112" customFormat="1">
      <c r="A1182" s="116"/>
      <c r="B1182" s="115"/>
      <c r="C1182" s="115"/>
      <c r="D1182" s="131"/>
      <c r="E1182" s="177"/>
      <c r="F1182" s="28"/>
      <c r="G1182" s="118"/>
      <c r="H1182" s="192"/>
      <c r="I1182" s="192"/>
      <c r="J1182" s="175"/>
      <c r="K1182" s="192"/>
      <c r="L1182" s="192"/>
      <c r="M1182" s="192"/>
      <c r="N1182" s="175"/>
      <c r="O1182" s="116"/>
      <c r="P1182" s="175"/>
      <c r="Q1182" s="175"/>
      <c r="R1182" s="220"/>
      <c r="S1182" s="175"/>
      <c r="T1182" s="175"/>
      <c r="U1182" s="175"/>
      <c r="V1182" s="175"/>
      <c r="W1182" s="175"/>
      <c r="X1182" s="116"/>
    </row>
    <row r="1183" spans="1:24" s="112" customFormat="1">
      <c r="A1183" s="116"/>
      <c r="B1183" s="115"/>
      <c r="C1183" s="115"/>
      <c r="D1183" s="131"/>
      <c r="E1183" s="177"/>
      <c r="F1183" s="28"/>
      <c r="G1183" s="118"/>
      <c r="H1183" s="192"/>
      <c r="I1183" s="192"/>
      <c r="J1183" s="175"/>
      <c r="K1183" s="192"/>
      <c r="L1183" s="192"/>
      <c r="M1183" s="192"/>
      <c r="N1183" s="175"/>
      <c r="O1183" s="116"/>
      <c r="P1183" s="175"/>
      <c r="Q1183" s="175"/>
      <c r="R1183" s="220"/>
      <c r="S1183" s="175"/>
      <c r="T1183" s="175"/>
      <c r="U1183" s="175"/>
      <c r="V1183" s="175"/>
      <c r="W1183" s="175"/>
      <c r="X1183" s="116"/>
    </row>
    <row r="1184" spans="1:24" s="112" customFormat="1">
      <c r="A1184" s="116"/>
      <c r="B1184" s="115"/>
      <c r="C1184" s="115"/>
      <c r="D1184" s="131"/>
      <c r="E1184" s="177"/>
      <c r="F1184" s="28"/>
      <c r="G1184" s="118"/>
      <c r="H1184" s="192"/>
      <c r="I1184" s="192"/>
      <c r="J1184" s="175"/>
      <c r="K1184" s="192"/>
      <c r="L1184" s="192"/>
      <c r="M1184" s="192"/>
      <c r="N1184" s="175"/>
      <c r="O1184" s="116"/>
      <c r="P1184" s="175"/>
      <c r="Q1184" s="175"/>
      <c r="R1184" s="220"/>
      <c r="S1184" s="175"/>
      <c r="T1184" s="175"/>
      <c r="U1184" s="175"/>
      <c r="V1184" s="175"/>
      <c r="W1184" s="175"/>
      <c r="X1184" s="116"/>
    </row>
    <row r="1185" spans="1:24" s="112" customFormat="1">
      <c r="A1185" s="116"/>
      <c r="B1185" s="115"/>
      <c r="C1185" s="115"/>
      <c r="D1185" s="131"/>
      <c r="E1185" s="177"/>
      <c r="F1185" s="28"/>
      <c r="G1185" s="118"/>
      <c r="H1185" s="192"/>
      <c r="I1185" s="192"/>
      <c r="J1185" s="175"/>
      <c r="K1185" s="192"/>
      <c r="L1185" s="192"/>
      <c r="M1185" s="192"/>
      <c r="N1185" s="175"/>
      <c r="O1185" s="116"/>
      <c r="P1185" s="175"/>
      <c r="Q1185" s="175"/>
      <c r="R1185" s="220"/>
      <c r="S1185" s="175"/>
      <c r="T1185" s="175"/>
      <c r="U1185" s="175"/>
      <c r="V1185" s="175"/>
      <c r="W1185" s="175"/>
      <c r="X1185" s="116"/>
    </row>
    <row r="1186" spans="1:24" s="112" customFormat="1">
      <c r="A1186" s="116"/>
      <c r="B1186" s="115"/>
      <c r="C1186" s="115"/>
      <c r="D1186" s="131"/>
      <c r="E1186" s="177"/>
      <c r="F1186" s="28"/>
      <c r="G1186" s="118"/>
      <c r="H1186" s="192"/>
      <c r="I1186" s="192"/>
      <c r="J1186" s="175"/>
      <c r="K1186" s="192"/>
      <c r="L1186" s="192"/>
      <c r="M1186" s="192"/>
      <c r="N1186" s="175"/>
      <c r="O1186" s="116"/>
      <c r="P1186" s="175"/>
      <c r="Q1186" s="175"/>
      <c r="R1186" s="220"/>
      <c r="S1186" s="175"/>
      <c r="T1186" s="175"/>
      <c r="U1186" s="175"/>
      <c r="V1186" s="175"/>
      <c r="W1186" s="175"/>
      <c r="X1186" s="116"/>
    </row>
    <row r="1187" spans="1:24" s="112" customFormat="1">
      <c r="A1187" s="116"/>
      <c r="B1187" s="115"/>
      <c r="C1187" s="115"/>
      <c r="D1187" s="131"/>
      <c r="E1187" s="177"/>
      <c r="F1187" s="28"/>
      <c r="G1187" s="118"/>
      <c r="H1187" s="192"/>
      <c r="I1187" s="192"/>
      <c r="J1187" s="175"/>
      <c r="K1187" s="192"/>
      <c r="L1187" s="192"/>
      <c r="M1187" s="192"/>
      <c r="N1187" s="175"/>
      <c r="O1187" s="116"/>
      <c r="P1187" s="175"/>
      <c r="Q1187" s="175"/>
      <c r="R1187" s="220"/>
      <c r="S1187" s="175"/>
      <c r="T1187" s="175"/>
      <c r="U1187" s="175"/>
      <c r="V1187" s="175"/>
      <c r="W1187" s="175"/>
      <c r="X1187" s="116"/>
    </row>
    <row r="1188" spans="1:24" s="112" customFormat="1">
      <c r="A1188" s="116"/>
      <c r="B1188" s="115"/>
      <c r="C1188" s="115"/>
      <c r="D1188" s="131"/>
      <c r="E1188" s="177"/>
      <c r="F1188" s="28"/>
      <c r="G1188" s="118"/>
      <c r="H1188" s="192"/>
      <c r="I1188" s="192"/>
      <c r="J1188" s="175"/>
      <c r="K1188" s="192"/>
      <c r="L1188" s="192"/>
      <c r="M1188" s="192"/>
      <c r="N1188" s="175"/>
      <c r="O1188" s="116"/>
      <c r="P1188" s="175"/>
      <c r="Q1188" s="175"/>
      <c r="R1188" s="220"/>
      <c r="S1188" s="175"/>
      <c r="T1188" s="175"/>
      <c r="U1188" s="175"/>
      <c r="V1188" s="175"/>
      <c r="W1188" s="175"/>
      <c r="X1188" s="116"/>
    </row>
    <row r="1189" spans="1:24" s="112" customFormat="1">
      <c r="A1189" s="116"/>
      <c r="B1189" s="115"/>
      <c r="C1189" s="115"/>
      <c r="D1189" s="131"/>
      <c r="E1189" s="177"/>
      <c r="F1189" s="28"/>
      <c r="G1189" s="118"/>
      <c r="H1189" s="192"/>
      <c r="I1189" s="192"/>
      <c r="J1189" s="175"/>
      <c r="K1189" s="192"/>
      <c r="L1189" s="192"/>
      <c r="M1189" s="192"/>
      <c r="N1189" s="175"/>
      <c r="O1189" s="116"/>
      <c r="P1189" s="175"/>
      <c r="Q1189" s="175"/>
      <c r="R1189" s="220"/>
      <c r="S1189" s="175"/>
      <c r="T1189" s="175"/>
      <c r="U1189" s="175"/>
      <c r="V1189" s="175"/>
      <c r="W1189" s="175"/>
      <c r="X1189" s="116"/>
    </row>
    <row r="1190" spans="1:24" s="112" customFormat="1">
      <c r="A1190" s="116"/>
      <c r="B1190" s="115"/>
      <c r="C1190" s="115"/>
      <c r="D1190" s="131"/>
      <c r="E1190" s="177"/>
      <c r="F1190" s="28"/>
      <c r="G1190" s="118"/>
      <c r="H1190" s="192"/>
      <c r="I1190" s="192"/>
      <c r="J1190" s="175"/>
      <c r="K1190" s="192"/>
      <c r="L1190" s="192"/>
      <c r="M1190" s="192"/>
      <c r="N1190" s="175"/>
      <c r="O1190" s="116"/>
      <c r="P1190" s="175"/>
      <c r="Q1190" s="175"/>
      <c r="R1190" s="220"/>
      <c r="S1190" s="175"/>
      <c r="T1190" s="175"/>
      <c r="U1190" s="175"/>
      <c r="V1190" s="175"/>
      <c r="W1190" s="175"/>
      <c r="X1190" s="116"/>
    </row>
    <row r="1191" spans="1:24" s="112" customFormat="1">
      <c r="A1191" s="116"/>
      <c r="B1191" s="115"/>
      <c r="C1191" s="115"/>
      <c r="D1191" s="131"/>
      <c r="E1191" s="177"/>
      <c r="F1191" s="28"/>
      <c r="G1191" s="118"/>
      <c r="H1191" s="192"/>
      <c r="I1191" s="192"/>
      <c r="J1191" s="175"/>
      <c r="K1191" s="192"/>
      <c r="L1191" s="192"/>
      <c r="M1191" s="192"/>
      <c r="N1191" s="175"/>
      <c r="O1191" s="116"/>
      <c r="P1191" s="175"/>
      <c r="Q1191" s="175"/>
      <c r="R1191" s="220"/>
      <c r="S1191" s="175"/>
      <c r="T1191" s="175"/>
      <c r="U1191" s="175"/>
      <c r="V1191" s="175"/>
      <c r="W1191" s="175"/>
      <c r="X1191" s="116"/>
    </row>
    <row r="1192" spans="1:24" s="112" customFormat="1">
      <c r="A1192" s="116"/>
      <c r="B1192" s="115"/>
      <c r="C1192" s="115"/>
      <c r="D1192" s="131"/>
      <c r="E1192" s="177"/>
      <c r="F1192" s="28"/>
      <c r="G1192" s="118"/>
      <c r="H1192" s="192"/>
      <c r="I1192" s="192"/>
      <c r="J1192" s="175"/>
      <c r="K1192" s="192"/>
      <c r="L1192" s="192"/>
      <c r="M1192" s="192"/>
      <c r="N1192" s="175"/>
      <c r="O1192" s="116"/>
      <c r="P1192" s="175"/>
      <c r="Q1192" s="175"/>
      <c r="R1192" s="220"/>
      <c r="S1192" s="175"/>
      <c r="T1192" s="175"/>
      <c r="U1192" s="175"/>
      <c r="V1192" s="175"/>
      <c r="W1192" s="175"/>
      <c r="X1192" s="116"/>
    </row>
    <row r="1193" spans="1:24" s="112" customFormat="1">
      <c r="A1193" s="116"/>
      <c r="B1193" s="115"/>
      <c r="C1193" s="115"/>
      <c r="D1193" s="131"/>
      <c r="E1193" s="177"/>
      <c r="F1193" s="28"/>
      <c r="G1193" s="118"/>
      <c r="H1193" s="192"/>
      <c r="I1193" s="192"/>
      <c r="J1193" s="175"/>
      <c r="K1193" s="192"/>
      <c r="L1193" s="192"/>
      <c r="M1193" s="192"/>
      <c r="N1193" s="175"/>
      <c r="O1193" s="116"/>
      <c r="P1193" s="175"/>
      <c r="Q1193" s="175"/>
      <c r="R1193" s="220"/>
      <c r="S1193" s="175"/>
      <c r="T1193" s="175"/>
      <c r="U1193" s="175"/>
      <c r="V1193" s="175"/>
      <c r="W1193" s="175"/>
      <c r="X1193" s="116"/>
    </row>
    <row r="1194" spans="1:24" s="112" customFormat="1">
      <c r="A1194" s="116"/>
      <c r="B1194" s="115"/>
      <c r="C1194" s="115"/>
      <c r="D1194" s="131"/>
      <c r="E1194" s="177"/>
      <c r="F1194" s="28"/>
      <c r="G1194" s="118"/>
      <c r="H1194" s="192"/>
      <c r="I1194" s="192"/>
      <c r="J1194" s="175"/>
      <c r="K1194" s="192"/>
      <c r="L1194" s="192"/>
      <c r="M1194" s="192"/>
      <c r="N1194" s="175"/>
      <c r="O1194" s="116"/>
      <c r="P1194" s="175"/>
      <c r="Q1194" s="175"/>
      <c r="R1194" s="220"/>
      <c r="S1194" s="175"/>
      <c r="T1194" s="175"/>
      <c r="U1194" s="175"/>
      <c r="V1194" s="175"/>
      <c r="W1194" s="175"/>
      <c r="X1194" s="116"/>
    </row>
    <row r="1195" spans="1:24" s="112" customFormat="1">
      <c r="A1195" s="116"/>
      <c r="B1195" s="115"/>
      <c r="C1195" s="115"/>
      <c r="D1195" s="131"/>
      <c r="E1195" s="177"/>
      <c r="F1195" s="28"/>
      <c r="G1195" s="118"/>
      <c r="H1195" s="192"/>
      <c r="I1195" s="192"/>
      <c r="J1195" s="175"/>
      <c r="K1195" s="192"/>
      <c r="L1195" s="192"/>
      <c r="M1195" s="192"/>
      <c r="N1195" s="175"/>
      <c r="O1195" s="116"/>
      <c r="P1195" s="175"/>
      <c r="Q1195" s="175"/>
      <c r="R1195" s="220"/>
      <c r="S1195" s="175"/>
      <c r="T1195" s="175"/>
      <c r="U1195" s="175"/>
      <c r="V1195" s="175"/>
      <c r="W1195" s="175"/>
      <c r="X1195" s="116"/>
    </row>
    <row r="1196" spans="1:24" s="112" customFormat="1">
      <c r="A1196" s="116"/>
      <c r="B1196" s="115"/>
      <c r="C1196" s="115"/>
      <c r="D1196" s="131"/>
      <c r="E1196" s="177"/>
      <c r="F1196" s="28"/>
      <c r="G1196" s="118"/>
      <c r="H1196" s="192"/>
      <c r="I1196" s="192"/>
      <c r="J1196" s="175"/>
      <c r="K1196" s="192"/>
      <c r="L1196" s="192"/>
      <c r="M1196" s="192"/>
      <c r="N1196" s="175"/>
      <c r="O1196" s="116"/>
      <c r="P1196" s="175"/>
      <c r="Q1196" s="175"/>
      <c r="R1196" s="220"/>
      <c r="S1196" s="175"/>
      <c r="T1196" s="175"/>
      <c r="U1196" s="175"/>
      <c r="V1196" s="175"/>
      <c r="W1196" s="175"/>
      <c r="X1196" s="116"/>
    </row>
    <row r="1197" spans="1:24" s="112" customFormat="1">
      <c r="A1197" s="116"/>
      <c r="B1197" s="115"/>
      <c r="C1197" s="115"/>
      <c r="D1197" s="131"/>
      <c r="E1197" s="177"/>
      <c r="F1197" s="28"/>
      <c r="G1197" s="118"/>
      <c r="H1197" s="192"/>
      <c r="I1197" s="192"/>
      <c r="J1197" s="175"/>
      <c r="K1197" s="192"/>
      <c r="L1197" s="192"/>
      <c r="M1197" s="192"/>
      <c r="N1197" s="175"/>
      <c r="O1197" s="116"/>
      <c r="P1197" s="175"/>
      <c r="Q1197" s="175"/>
      <c r="R1197" s="220"/>
      <c r="S1197" s="175"/>
      <c r="T1197" s="175"/>
      <c r="U1197" s="175"/>
      <c r="V1197" s="175"/>
      <c r="W1197" s="175"/>
      <c r="X1197" s="116"/>
    </row>
    <row r="1198" spans="1:24" s="112" customFormat="1">
      <c r="A1198" s="116"/>
      <c r="B1198" s="115"/>
      <c r="C1198" s="115"/>
      <c r="D1198" s="131"/>
      <c r="E1198" s="177"/>
      <c r="F1198" s="28"/>
      <c r="G1198" s="118"/>
      <c r="H1198" s="192"/>
      <c r="I1198" s="192"/>
      <c r="J1198" s="175"/>
      <c r="K1198" s="192"/>
      <c r="L1198" s="192"/>
      <c r="M1198" s="192"/>
      <c r="N1198" s="175"/>
      <c r="O1198" s="116"/>
      <c r="P1198" s="175"/>
      <c r="Q1198" s="175"/>
      <c r="R1198" s="220"/>
      <c r="S1198" s="175"/>
      <c r="T1198" s="175"/>
      <c r="U1198" s="175"/>
      <c r="V1198" s="175"/>
      <c r="W1198" s="175"/>
      <c r="X1198" s="116"/>
    </row>
    <row r="1199" spans="1:24" s="112" customFormat="1">
      <c r="A1199" s="116"/>
      <c r="B1199" s="115"/>
      <c r="C1199" s="115"/>
      <c r="D1199" s="131"/>
      <c r="E1199" s="177"/>
      <c r="F1199" s="28"/>
      <c r="G1199" s="118"/>
      <c r="H1199" s="192"/>
      <c r="I1199" s="192"/>
      <c r="J1199" s="175"/>
      <c r="K1199" s="192"/>
      <c r="L1199" s="192"/>
      <c r="M1199" s="192"/>
      <c r="N1199" s="175"/>
      <c r="O1199" s="116"/>
      <c r="P1199" s="175"/>
      <c r="Q1199" s="175"/>
      <c r="R1199" s="220"/>
      <c r="S1199" s="175"/>
      <c r="T1199" s="175"/>
      <c r="U1199" s="175"/>
      <c r="V1199" s="175"/>
      <c r="W1199" s="175"/>
      <c r="X1199" s="116"/>
    </row>
    <row r="1200" spans="1:24" s="112" customFormat="1">
      <c r="A1200" s="116"/>
      <c r="B1200" s="115"/>
      <c r="C1200" s="115"/>
      <c r="D1200" s="131"/>
      <c r="E1200" s="177"/>
      <c r="F1200" s="28"/>
      <c r="G1200" s="118"/>
      <c r="H1200" s="192"/>
      <c r="I1200" s="192"/>
      <c r="J1200" s="175"/>
      <c r="K1200" s="192"/>
      <c r="L1200" s="192"/>
      <c r="M1200" s="192"/>
      <c r="N1200" s="175"/>
      <c r="O1200" s="116"/>
      <c r="P1200" s="175"/>
      <c r="Q1200" s="175"/>
      <c r="R1200" s="220"/>
      <c r="S1200" s="175"/>
      <c r="T1200" s="175"/>
      <c r="U1200" s="175"/>
      <c r="V1200" s="175"/>
      <c r="W1200" s="175"/>
      <c r="X1200" s="116"/>
    </row>
    <row r="1201" spans="1:24" s="112" customFormat="1">
      <c r="A1201" s="116"/>
      <c r="B1201" s="115"/>
      <c r="C1201" s="115"/>
      <c r="D1201" s="131"/>
      <c r="E1201" s="177"/>
      <c r="F1201" s="28"/>
      <c r="G1201" s="118"/>
      <c r="H1201" s="192"/>
      <c r="I1201" s="192"/>
      <c r="J1201" s="175"/>
      <c r="K1201" s="192"/>
      <c r="L1201" s="192"/>
      <c r="M1201" s="192"/>
      <c r="N1201" s="175"/>
      <c r="O1201" s="116"/>
      <c r="P1201" s="175"/>
      <c r="Q1201" s="175"/>
      <c r="R1201" s="220"/>
      <c r="S1201" s="175"/>
      <c r="T1201" s="175"/>
      <c r="U1201" s="175"/>
      <c r="V1201" s="175"/>
      <c r="W1201" s="175"/>
      <c r="X1201" s="116"/>
    </row>
    <row r="1202" spans="1:24" s="112" customFormat="1">
      <c r="A1202" s="116"/>
      <c r="B1202" s="115"/>
      <c r="C1202" s="115"/>
      <c r="D1202" s="131"/>
      <c r="E1202" s="177"/>
      <c r="F1202" s="28"/>
      <c r="G1202" s="118"/>
      <c r="H1202" s="192"/>
      <c r="I1202" s="192"/>
      <c r="J1202" s="175"/>
      <c r="K1202" s="192"/>
      <c r="L1202" s="192"/>
      <c r="M1202" s="192"/>
      <c r="N1202" s="175"/>
      <c r="O1202" s="116"/>
      <c r="P1202" s="175"/>
      <c r="Q1202" s="175"/>
      <c r="R1202" s="220"/>
      <c r="S1202" s="175"/>
      <c r="T1202" s="175"/>
      <c r="U1202" s="175"/>
      <c r="V1202" s="175"/>
      <c r="W1202" s="175"/>
      <c r="X1202" s="116"/>
    </row>
    <row r="1203" spans="1:24" s="112" customFormat="1">
      <c r="A1203" s="116"/>
      <c r="B1203" s="115"/>
      <c r="C1203" s="115"/>
      <c r="D1203" s="131"/>
      <c r="E1203" s="177"/>
      <c r="F1203" s="28"/>
      <c r="G1203" s="118"/>
      <c r="H1203" s="192"/>
      <c r="I1203" s="192"/>
      <c r="J1203" s="175"/>
      <c r="K1203" s="192"/>
      <c r="L1203" s="192"/>
      <c r="M1203" s="192"/>
      <c r="N1203" s="175"/>
      <c r="O1203" s="116"/>
      <c r="P1203" s="175"/>
      <c r="Q1203" s="175"/>
      <c r="R1203" s="220"/>
      <c r="S1203" s="175"/>
      <c r="T1203" s="175"/>
      <c r="U1203" s="175"/>
      <c r="V1203" s="175"/>
      <c r="W1203" s="175"/>
      <c r="X1203" s="116"/>
    </row>
    <row r="1204" spans="1:24" s="112" customFormat="1">
      <c r="A1204" s="116"/>
      <c r="B1204" s="115"/>
      <c r="C1204" s="115"/>
      <c r="D1204" s="131"/>
      <c r="E1204" s="177"/>
      <c r="F1204" s="28"/>
      <c r="G1204" s="118"/>
      <c r="H1204" s="192"/>
      <c r="I1204" s="192"/>
      <c r="J1204" s="175"/>
      <c r="K1204" s="192"/>
      <c r="L1204" s="192"/>
      <c r="M1204" s="192"/>
      <c r="N1204" s="175"/>
      <c r="O1204" s="116"/>
      <c r="P1204" s="175"/>
      <c r="Q1204" s="175"/>
      <c r="R1204" s="220"/>
      <c r="S1204" s="175"/>
      <c r="T1204" s="175"/>
      <c r="U1204" s="175"/>
      <c r="V1204" s="175"/>
      <c r="W1204" s="175"/>
      <c r="X1204" s="116"/>
    </row>
    <row r="1205" spans="1:24" s="112" customFormat="1">
      <c r="A1205" s="116"/>
      <c r="B1205" s="115"/>
      <c r="C1205" s="115"/>
      <c r="D1205" s="131"/>
      <c r="E1205" s="177"/>
      <c r="F1205" s="28"/>
      <c r="G1205" s="118"/>
      <c r="H1205" s="192"/>
      <c r="I1205" s="192"/>
      <c r="J1205" s="175"/>
      <c r="K1205" s="192"/>
      <c r="L1205" s="192"/>
      <c r="M1205" s="192"/>
      <c r="N1205" s="175"/>
      <c r="O1205" s="116"/>
      <c r="P1205" s="175"/>
      <c r="Q1205" s="175"/>
      <c r="R1205" s="220"/>
      <c r="S1205" s="175"/>
      <c r="T1205" s="175"/>
      <c r="U1205" s="175"/>
      <c r="V1205" s="175"/>
      <c r="W1205" s="175"/>
      <c r="X1205" s="116"/>
    </row>
    <row r="1206" spans="1:24" s="112" customFormat="1">
      <c r="A1206" s="116"/>
      <c r="B1206" s="115"/>
      <c r="C1206" s="115"/>
      <c r="D1206" s="131"/>
      <c r="E1206" s="177"/>
      <c r="F1206" s="28"/>
      <c r="G1206" s="118"/>
      <c r="H1206" s="192"/>
      <c r="I1206" s="192"/>
      <c r="J1206" s="175"/>
      <c r="K1206" s="192"/>
      <c r="L1206" s="192"/>
      <c r="M1206" s="192"/>
      <c r="N1206" s="175"/>
      <c r="O1206" s="116"/>
      <c r="P1206" s="175"/>
      <c r="Q1206" s="175"/>
      <c r="R1206" s="220"/>
      <c r="S1206" s="175"/>
      <c r="T1206" s="175"/>
      <c r="U1206" s="175"/>
      <c r="V1206" s="175"/>
      <c r="W1206" s="175"/>
      <c r="X1206" s="116"/>
    </row>
    <row r="1207" spans="1:24" s="112" customFormat="1">
      <c r="A1207" s="116"/>
      <c r="B1207" s="115"/>
      <c r="C1207" s="115"/>
      <c r="D1207" s="131"/>
      <c r="E1207" s="177"/>
      <c r="F1207" s="28"/>
      <c r="G1207" s="118"/>
      <c r="H1207" s="192"/>
      <c r="I1207" s="192"/>
      <c r="J1207" s="175"/>
      <c r="K1207" s="192"/>
      <c r="L1207" s="192"/>
      <c r="M1207" s="192"/>
      <c r="N1207" s="175"/>
      <c r="O1207" s="116"/>
      <c r="P1207" s="175"/>
      <c r="Q1207" s="175"/>
      <c r="R1207" s="220"/>
      <c r="S1207" s="175"/>
      <c r="T1207" s="175"/>
      <c r="U1207" s="175"/>
      <c r="V1207" s="175"/>
      <c r="W1207" s="175"/>
      <c r="X1207" s="116"/>
    </row>
    <row r="1208" spans="1:24" s="112" customFormat="1">
      <c r="A1208" s="116"/>
      <c r="B1208" s="115"/>
      <c r="C1208" s="115"/>
      <c r="D1208" s="131"/>
      <c r="E1208" s="177"/>
      <c r="F1208" s="28"/>
      <c r="G1208" s="118"/>
      <c r="H1208" s="192"/>
      <c r="I1208" s="192"/>
      <c r="J1208" s="175"/>
      <c r="K1208" s="192"/>
      <c r="L1208" s="192"/>
      <c r="M1208" s="192"/>
      <c r="N1208" s="175"/>
      <c r="O1208" s="116"/>
      <c r="P1208" s="175"/>
      <c r="Q1208" s="175"/>
      <c r="R1208" s="220"/>
      <c r="S1208" s="175"/>
      <c r="T1208" s="175"/>
      <c r="U1208" s="175"/>
      <c r="V1208" s="175"/>
      <c r="W1208" s="175"/>
      <c r="X1208" s="116"/>
    </row>
    <row r="1209" spans="1:24" s="112" customFormat="1">
      <c r="A1209" s="116"/>
      <c r="B1209" s="115"/>
      <c r="C1209" s="115"/>
      <c r="D1209" s="131"/>
      <c r="E1209" s="177"/>
      <c r="F1209" s="28"/>
      <c r="G1209" s="118"/>
      <c r="H1209" s="192"/>
      <c r="I1209" s="192"/>
      <c r="J1209" s="175"/>
      <c r="K1209" s="192"/>
      <c r="L1209" s="192"/>
      <c r="M1209" s="192"/>
      <c r="N1209" s="175"/>
      <c r="O1209" s="116"/>
      <c r="P1209" s="175"/>
      <c r="Q1209" s="175"/>
      <c r="R1209" s="220"/>
      <c r="S1209" s="175"/>
      <c r="T1209" s="175"/>
      <c r="U1209" s="175"/>
      <c r="V1209" s="175"/>
      <c r="W1209" s="175"/>
      <c r="X1209" s="116"/>
    </row>
    <row r="1210" spans="1:24" s="112" customFormat="1">
      <c r="A1210" s="116"/>
      <c r="B1210" s="115"/>
      <c r="C1210" s="115"/>
      <c r="D1210" s="131"/>
      <c r="E1210" s="177"/>
      <c r="F1210" s="28"/>
      <c r="G1210" s="118"/>
      <c r="H1210" s="192"/>
      <c r="I1210" s="192"/>
      <c r="J1210" s="175"/>
      <c r="K1210" s="192"/>
      <c r="L1210" s="192"/>
      <c r="M1210" s="192"/>
      <c r="N1210" s="175"/>
      <c r="O1210" s="116"/>
      <c r="P1210" s="175"/>
      <c r="Q1210" s="175"/>
      <c r="R1210" s="220"/>
      <c r="S1210" s="175"/>
      <c r="T1210" s="175"/>
      <c r="U1210" s="175"/>
      <c r="V1210" s="175"/>
      <c r="W1210" s="175"/>
      <c r="X1210" s="116"/>
    </row>
    <row r="1211" spans="1:24" s="112" customFormat="1">
      <c r="A1211" s="116"/>
      <c r="B1211" s="115"/>
      <c r="C1211" s="115"/>
      <c r="D1211" s="131"/>
      <c r="E1211" s="177"/>
      <c r="F1211" s="28"/>
      <c r="G1211" s="118"/>
      <c r="H1211" s="192"/>
      <c r="I1211" s="192"/>
      <c r="J1211" s="175"/>
      <c r="K1211" s="192"/>
      <c r="L1211" s="192"/>
      <c r="M1211" s="192"/>
      <c r="N1211" s="175"/>
      <c r="O1211" s="116"/>
      <c r="P1211" s="175"/>
      <c r="Q1211" s="175"/>
      <c r="R1211" s="220"/>
      <c r="S1211" s="175"/>
      <c r="T1211" s="175"/>
      <c r="U1211" s="175"/>
      <c r="V1211" s="175"/>
      <c r="W1211" s="175"/>
      <c r="X1211" s="116"/>
    </row>
    <row r="1212" spans="1:24" s="112" customFormat="1">
      <c r="A1212" s="116"/>
      <c r="B1212" s="115"/>
      <c r="C1212" s="115"/>
      <c r="D1212" s="131"/>
      <c r="E1212" s="177"/>
      <c r="F1212" s="28"/>
      <c r="G1212" s="118"/>
      <c r="H1212" s="192"/>
      <c r="I1212" s="192"/>
      <c r="J1212" s="175"/>
      <c r="K1212" s="192"/>
      <c r="L1212" s="192"/>
      <c r="M1212" s="192"/>
      <c r="N1212" s="175"/>
      <c r="O1212" s="116"/>
      <c r="P1212" s="175"/>
      <c r="Q1212" s="175"/>
      <c r="R1212" s="220"/>
      <c r="S1212" s="175"/>
      <c r="T1212" s="175"/>
      <c r="U1212" s="175"/>
      <c r="V1212" s="175"/>
      <c r="W1212" s="175"/>
      <c r="X1212" s="116"/>
    </row>
    <row r="1213" spans="1:24" s="112" customFormat="1">
      <c r="A1213" s="116"/>
      <c r="B1213" s="115"/>
      <c r="C1213" s="115"/>
      <c r="D1213" s="131"/>
      <c r="E1213" s="177"/>
      <c r="F1213" s="28"/>
      <c r="G1213" s="118"/>
      <c r="H1213" s="192"/>
      <c r="I1213" s="192"/>
      <c r="J1213" s="175"/>
      <c r="K1213" s="192"/>
      <c r="L1213" s="192"/>
      <c r="M1213" s="192"/>
      <c r="N1213" s="175"/>
      <c r="O1213" s="116"/>
      <c r="P1213" s="175"/>
      <c r="Q1213" s="175"/>
      <c r="R1213" s="220"/>
      <c r="S1213" s="175"/>
      <c r="T1213" s="175"/>
      <c r="U1213" s="175"/>
      <c r="V1213" s="175"/>
      <c r="W1213" s="175"/>
      <c r="X1213" s="116"/>
    </row>
    <row r="1214" spans="1:24" s="112" customFormat="1">
      <c r="A1214" s="116"/>
      <c r="B1214" s="115"/>
      <c r="C1214" s="115"/>
      <c r="D1214" s="131"/>
      <c r="E1214" s="177"/>
      <c r="F1214" s="28"/>
      <c r="G1214" s="118"/>
      <c r="H1214" s="192"/>
      <c r="I1214" s="192"/>
      <c r="J1214" s="175"/>
      <c r="K1214" s="192"/>
      <c r="L1214" s="192"/>
      <c r="M1214" s="192"/>
      <c r="N1214" s="175"/>
      <c r="O1214" s="116"/>
      <c r="P1214" s="175"/>
      <c r="Q1214" s="175"/>
      <c r="R1214" s="220"/>
      <c r="S1214" s="175"/>
      <c r="T1214" s="175"/>
      <c r="U1214" s="175"/>
      <c r="V1214" s="175"/>
      <c r="W1214" s="175"/>
      <c r="X1214" s="116"/>
    </row>
    <row r="1215" spans="1:24" s="112" customFormat="1">
      <c r="A1215" s="116"/>
      <c r="B1215" s="115"/>
      <c r="C1215" s="115"/>
      <c r="D1215" s="131"/>
      <c r="E1215" s="177"/>
      <c r="F1215" s="28"/>
      <c r="G1215" s="118"/>
      <c r="H1215" s="192"/>
      <c r="I1215" s="192"/>
      <c r="J1215" s="175"/>
      <c r="K1215" s="192"/>
      <c r="L1215" s="192"/>
      <c r="M1215" s="192"/>
      <c r="N1215" s="175"/>
      <c r="O1215" s="116"/>
      <c r="P1215" s="175"/>
      <c r="Q1215" s="175"/>
      <c r="R1215" s="220"/>
      <c r="S1215" s="175"/>
      <c r="T1215" s="175"/>
      <c r="U1215" s="175"/>
      <c r="V1215" s="175"/>
      <c r="W1215" s="175"/>
      <c r="X1215" s="116"/>
    </row>
    <row r="1216" spans="1:24" s="112" customFormat="1">
      <c r="A1216" s="116"/>
      <c r="B1216" s="115"/>
      <c r="C1216" s="115"/>
      <c r="D1216" s="131"/>
      <c r="E1216" s="177"/>
      <c r="F1216" s="28"/>
      <c r="G1216" s="118"/>
      <c r="H1216" s="192"/>
      <c r="I1216" s="192"/>
      <c r="J1216" s="175"/>
      <c r="K1216" s="192"/>
      <c r="L1216" s="192"/>
      <c r="M1216" s="192"/>
      <c r="N1216" s="175"/>
      <c r="O1216" s="116"/>
      <c r="P1216" s="175"/>
      <c r="Q1216" s="175"/>
      <c r="R1216" s="220"/>
      <c r="S1216" s="175"/>
      <c r="T1216" s="175"/>
      <c r="U1216" s="175"/>
      <c r="V1216" s="175"/>
      <c r="W1216" s="175"/>
      <c r="X1216" s="116"/>
    </row>
    <row r="1217" spans="1:24" s="112" customFormat="1">
      <c r="A1217" s="116"/>
      <c r="B1217" s="115"/>
      <c r="C1217" s="115"/>
      <c r="D1217" s="131"/>
      <c r="E1217" s="177"/>
      <c r="F1217" s="28"/>
      <c r="G1217" s="118"/>
      <c r="H1217" s="192"/>
      <c r="I1217" s="192"/>
      <c r="J1217" s="175"/>
      <c r="K1217" s="192"/>
      <c r="L1217" s="192"/>
      <c r="M1217" s="192"/>
      <c r="N1217" s="175"/>
      <c r="O1217" s="116"/>
      <c r="P1217" s="175"/>
      <c r="Q1217" s="175"/>
      <c r="R1217" s="220"/>
      <c r="S1217" s="175"/>
      <c r="T1217" s="175"/>
      <c r="U1217" s="175"/>
      <c r="V1217" s="175"/>
      <c r="W1217" s="175"/>
      <c r="X1217" s="116"/>
    </row>
    <row r="1218" spans="1:24" s="112" customFormat="1">
      <c r="A1218" s="116"/>
      <c r="B1218" s="115"/>
      <c r="C1218" s="115"/>
      <c r="D1218" s="131"/>
      <c r="E1218" s="177"/>
      <c r="F1218" s="28"/>
      <c r="G1218" s="118"/>
      <c r="H1218" s="192"/>
      <c r="I1218" s="192"/>
      <c r="J1218" s="175"/>
      <c r="K1218" s="192"/>
      <c r="L1218" s="192"/>
      <c r="M1218" s="192"/>
      <c r="N1218" s="175"/>
      <c r="O1218" s="116"/>
      <c r="P1218" s="175"/>
      <c r="Q1218" s="175"/>
      <c r="R1218" s="220"/>
      <c r="S1218" s="175"/>
      <c r="T1218" s="175"/>
      <c r="U1218" s="175"/>
      <c r="V1218" s="175"/>
      <c r="W1218" s="175"/>
      <c r="X1218" s="116"/>
    </row>
    <row r="1219" spans="1:24" s="112" customFormat="1">
      <c r="A1219" s="116"/>
      <c r="B1219" s="115"/>
      <c r="C1219" s="115"/>
      <c r="D1219" s="131"/>
      <c r="E1219" s="177"/>
      <c r="F1219" s="28"/>
      <c r="G1219" s="118"/>
      <c r="H1219" s="192"/>
      <c r="I1219" s="192"/>
      <c r="J1219" s="175"/>
      <c r="K1219" s="192"/>
      <c r="L1219" s="192"/>
      <c r="M1219" s="192"/>
      <c r="N1219" s="175"/>
      <c r="O1219" s="116"/>
      <c r="P1219" s="175"/>
      <c r="Q1219" s="175"/>
      <c r="R1219" s="220"/>
      <c r="S1219" s="175"/>
      <c r="T1219" s="175"/>
      <c r="U1219" s="175"/>
      <c r="V1219" s="175"/>
      <c r="W1219" s="175"/>
      <c r="X1219" s="116"/>
    </row>
    <row r="1220" spans="1:24" s="112" customFormat="1">
      <c r="A1220" s="116"/>
      <c r="B1220" s="115"/>
      <c r="C1220" s="115"/>
      <c r="D1220" s="131"/>
      <c r="E1220" s="177"/>
      <c r="F1220" s="28"/>
      <c r="G1220" s="118"/>
      <c r="H1220" s="192"/>
      <c r="I1220" s="192"/>
      <c r="J1220" s="175"/>
      <c r="K1220" s="192"/>
      <c r="L1220" s="192"/>
      <c r="M1220" s="192"/>
      <c r="N1220" s="175"/>
      <c r="O1220" s="116"/>
      <c r="P1220" s="175"/>
      <c r="Q1220" s="175"/>
      <c r="R1220" s="220"/>
      <c r="S1220" s="175"/>
      <c r="T1220" s="175"/>
      <c r="U1220" s="175"/>
      <c r="V1220" s="175"/>
      <c r="W1220" s="175"/>
      <c r="X1220" s="116"/>
    </row>
    <row r="1221" spans="1:24" s="112" customFormat="1">
      <c r="A1221" s="116"/>
      <c r="B1221" s="115"/>
      <c r="C1221" s="115"/>
      <c r="D1221" s="131"/>
      <c r="E1221" s="177"/>
      <c r="F1221" s="28"/>
      <c r="G1221" s="118"/>
      <c r="H1221" s="192"/>
      <c r="I1221" s="192"/>
      <c r="J1221" s="175"/>
      <c r="K1221" s="192"/>
      <c r="L1221" s="192"/>
      <c r="M1221" s="192"/>
      <c r="N1221" s="175"/>
      <c r="O1221" s="116"/>
      <c r="P1221" s="175"/>
      <c r="Q1221" s="175"/>
      <c r="R1221" s="220"/>
      <c r="S1221" s="175"/>
      <c r="T1221" s="175"/>
      <c r="U1221" s="175"/>
      <c r="V1221" s="175"/>
      <c r="W1221" s="175"/>
      <c r="X1221" s="116"/>
    </row>
    <row r="1222" spans="1:24" s="112" customFormat="1">
      <c r="A1222" s="116"/>
      <c r="B1222" s="115"/>
      <c r="C1222" s="115"/>
      <c r="D1222" s="131"/>
      <c r="E1222" s="177"/>
      <c r="F1222" s="28"/>
      <c r="G1222" s="118"/>
      <c r="H1222" s="192"/>
      <c r="I1222" s="192"/>
      <c r="J1222" s="175"/>
      <c r="K1222" s="192"/>
      <c r="L1222" s="192"/>
      <c r="M1222" s="192"/>
      <c r="N1222" s="175"/>
      <c r="O1222" s="116"/>
      <c r="P1222" s="175"/>
      <c r="Q1222" s="175"/>
      <c r="R1222" s="220"/>
      <c r="S1222" s="175"/>
      <c r="T1222" s="175"/>
      <c r="U1222" s="175"/>
      <c r="V1222" s="175"/>
      <c r="W1222" s="175"/>
      <c r="X1222" s="116"/>
    </row>
    <row r="1223" spans="1:24" s="112" customFormat="1">
      <c r="A1223" s="116"/>
      <c r="B1223" s="115"/>
      <c r="C1223" s="115"/>
      <c r="D1223" s="131"/>
      <c r="E1223" s="177"/>
      <c r="F1223" s="28"/>
      <c r="G1223" s="118"/>
      <c r="H1223" s="192"/>
      <c r="I1223" s="192"/>
      <c r="J1223" s="175"/>
      <c r="K1223" s="192"/>
      <c r="L1223" s="192"/>
      <c r="M1223" s="192"/>
      <c r="N1223" s="175"/>
      <c r="O1223" s="116"/>
      <c r="P1223" s="175"/>
      <c r="Q1223" s="175"/>
      <c r="R1223" s="220"/>
      <c r="S1223" s="175"/>
      <c r="T1223" s="175"/>
      <c r="U1223" s="175"/>
      <c r="V1223" s="175"/>
      <c r="W1223" s="175"/>
      <c r="X1223" s="116"/>
    </row>
    <row r="1224" spans="1:24" s="112" customFormat="1">
      <c r="A1224" s="116"/>
      <c r="B1224" s="115"/>
      <c r="C1224" s="115"/>
      <c r="D1224" s="131"/>
      <c r="E1224" s="177"/>
      <c r="F1224" s="28"/>
      <c r="G1224" s="118"/>
      <c r="H1224" s="192"/>
      <c r="I1224" s="192"/>
      <c r="J1224" s="175"/>
      <c r="K1224" s="192"/>
      <c r="L1224" s="192"/>
      <c r="M1224" s="192"/>
      <c r="N1224" s="175"/>
      <c r="O1224" s="116"/>
      <c r="P1224" s="175"/>
      <c r="Q1224" s="175"/>
      <c r="R1224" s="220"/>
      <c r="S1224" s="175"/>
      <c r="T1224" s="175"/>
      <c r="U1224" s="175"/>
      <c r="V1224" s="175"/>
      <c r="W1224" s="175"/>
      <c r="X1224" s="116"/>
    </row>
    <row r="1225" spans="1:24" s="112" customFormat="1">
      <c r="A1225" s="116"/>
      <c r="B1225" s="115"/>
      <c r="C1225" s="115"/>
      <c r="D1225" s="131"/>
      <c r="E1225" s="177"/>
      <c r="F1225" s="28"/>
      <c r="G1225" s="118"/>
      <c r="H1225" s="192"/>
      <c r="I1225" s="192"/>
      <c r="J1225" s="175"/>
      <c r="K1225" s="192"/>
      <c r="L1225" s="192"/>
      <c r="M1225" s="192"/>
      <c r="N1225" s="175"/>
      <c r="O1225" s="116"/>
      <c r="P1225" s="175"/>
      <c r="Q1225" s="175"/>
      <c r="R1225" s="220"/>
      <c r="S1225" s="175"/>
      <c r="T1225" s="175"/>
      <c r="U1225" s="175"/>
      <c r="V1225" s="175"/>
      <c r="W1225" s="175"/>
      <c r="X1225" s="116"/>
    </row>
    <row r="1226" spans="1:24" s="112" customFormat="1">
      <c r="A1226" s="116"/>
      <c r="B1226" s="115"/>
      <c r="C1226" s="115"/>
      <c r="D1226" s="131"/>
      <c r="E1226" s="177"/>
      <c r="F1226" s="28"/>
      <c r="G1226" s="118"/>
      <c r="H1226" s="192"/>
      <c r="I1226" s="192"/>
      <c r="J1226" s="175"/>
      <c r="K1226" s="192"/>
      <c r="L1226" s="192"/>
      <c r="M1226" s="192"/>
      <c r="N1226" s="175"/>
      <c r="O1226" s="116"/>
      <c r="P1226" s="175"/>
      <c r="Q1226" s="175"/>
      <c r="R1226" s="220"/>
      <c r="S1226" s="175"/>
      <c r="T1226" s="175"/>
      <c r="U1226" s="175"/>
      <c r="V1226" s="175"/>
      <c r="W1226" s="175"/>
      <c r="X1226" s="116"/>
    </row>
    <row r="1227" spans="1:24" s="112" customFormat="1">
      <c r="A1227" s="116"/>
      <c r="B1227" s="115"/>
      <c r="C1227" s="115"/>
      <c r="D1227" s="131"/>
      <c r="E1227" s="177"/>
      <c r="F1227" s="28"/>
      <c r="G1227" s="118"/>
      <c r="H1227" s="192"/>
      <c r="I1227" s="192"/>
      <c r="J1227" s="175"/>
      <c r="K1227" s="192"/>
      <c r="L1227" s="192"/>
      <c r="M1227" s="192"/>
      <c r="N1227" s="175"/>
      <c r="O1227" s="116"/>
      <c r="P1227" s="175"/>
      <c r="Q1227" s="175"/>
      <c r="R1227" s="220"/>
      <c r="S1227" s="175"/>
      <c r="T1227" s="175"/>
      <c r="U1227" s="175"/>
      <c r="V1227" s="175"/>
      <c r="W1227" s="175"/>
      <c r="X1227" s="116"/>
    </row>
    <row r="1228" spans="1:24" s="112" customFormat="1">
      <c r="A1228" s="116"/>
      <c r="B1228" s="115"/>
      <c r="C1228" s="115"/>
      <c r="D1228" s="131"/>
      <c r="E1228" s="177"/>
      <c r="F1228" s="28"/>
      <c r="G1228" s="118"/>
      <c r="H1228" s="192"/>
      <c r="I1228" s="192"/>
      <c r="J1228" s="175"/>
      <c r="K1228" s="192"/>
      <c r="L1228" s="192"/>
      <c r="M1228" s="192"/>
      <c r="N1228" s="175"/>
      <c r="O1228" s="116"/>
      <c r="P1228" s="175"/>
      <c r="Q1228" s="175"/>
      <c r="R1228" s="220"/>
      <c r="S1228" s="175"/>
      <c r="T1228" s="175"/>
      <c r="U1228" s="175"/>
      <c r="V1228" s="175"/>
      <c r="W1228" s="175"/>
      <c r="X1228" s="116"/>
    </row>
    <row r="1229" spans="1:24" s="112" customFormat="1">
      <c r="A1229" s="116"/>
      <c r="B1229" s="115"/>
      <c r="C1229" s="115"/>
      <c r="D1229" s="131"/>
      <c r="E1229" s="177"/>
      <c r="F1229" s="28"/>
      <c r="G1229" s="118"/>
      <c r="H1229" s="192"/>
      <c r="I1229" s="192"/>
      <c r="J1229" s="175"/>
      <c r="K1229" s="192"/>
      <c r="L1229" s="192"/>
      <c r="M1229" s="192"/>
      <c r="N1229" s="175"/>
      <c r="O1229" s="116"/>
      <c r="P1229" s="175"/>
      <c r="Q1229" s="175"/>
      <c r="R1229" s="220"/>
      <c r="S1229" s="175"/>
      <c r="T1229" s="175"/>
      <c r="U1229" s="175"/>
      <c r="V1229" s="175"/>
      <c r="W1229" s="175"/>
      <c r="X1229" s="116"/>
    </row>
    <row r="1230" spans="1:24" s="112" customFormat="1">
      <c r="A1230" s="116"/>
      <c r="B1230" s="115"/>
      <c r="C1230" s="115"/>
      <c r="D1230" s="131"/>
      <c r="E1230" s="177"/>
      <c r="F1230" s="28"/>
      <c r="G1230" s="118"/>
      <c r="H1230" s="192"/>
      <c r="I1230" s="192"/>
      <c r="J1230" s="175"/>
      <c r="K1230" s="192"/>
      <c r="L1230" s="192"/>
      <c r="M1230" s="192"/>
      <c r="N1230" s="175"/>
      <c r="O1230" s="116"/>
      <c r="P1230" s="175"/>
      <c r="Q1230" s="175"/>
      <c r="R1230" s="220"/>
      <c r="S1230" s="175"/>
      <c r="T1230" s="175"/>
      <c r="U1230" s="175"/>
      <c r="V1230" s="175"/>
      <c r="W1230" s="175"/>
      <c r="X1230" s="116"/>
    </row>
    <row r="1231" spans="1:24" s="112" customFormat="1">
      <c r="A1231" s="116"/>
      <c r="B1231" s="115"/>
      <c r="C1231" s="115"/>
      <c r="D1231" s="131"/>
      <c r="E1231" s="177"/>
      <c r="F1231" s="28"/>
      <c r="G1231" s="118"/>
      <c r="H1231" s="192"/>
      <c r="I1231" s="192"/>
      <c r="J1231" s="175"/>
      <c r="K1231" s="192"/>
      <c r="L1231" s="192"/>
      <c r="M1231" s="192"/>
      <c r="N1231" s="175"/>
      <c r="O1231" s="116"/>
      <c r="P1231" s="175"/>
      <c r="Q1231" s="175"/>
      <c r="R1231" s="220"/>
      <c r="S1231" s="175"/>
      <c r="T1231" s="175"/>
      <c r="U1231" s="175"/>
      <c r="V1231" s="175"/>
      <c r="W1231" s="175"/>
      <c r="X1231" s="116"/>
    </row>
    <row r="1232" spans="1:24" s="112" customFormat="1">
      <c r="A1232" s="116"/>
      <c r="B1232" s="115"/>
      <c r="C1232" s="115"/>
      <c r="D1232" s="131"/>
      <c r="E1232" s="177"/>
      <c r="F1232" s="28"/>
      <c r="G1232" s="118"/>
      <c r="H1232" s="192"/>
      <c r="I1232" s="192"/>
      <c r="J1232" s="175"/>
      <c r="K1232" s="192"/>
      <c r="L1232" s="192"/>
      <c r="M1232" s="192"/>
      <c r="N1232" s="175"/>
      <c r="O1232" s="116"/>
      <c r="P1232" s="175"/>
      <c r="Q1232" s="175"/>
      <c r="R1232" s="220"/>
      <c r="S1232" s="175"/>
      <c r="T1232" s="175"/>
      <c r="U1232" s="175"/>
      <c r="V1232" s="175"/>
      <c r="W1232" s="175"/>
      <c r="X1232" s="116"/>
    </row>
    <row r="1233" spans="1:24" s="112" customFormat="1">
      <c r="A1233" s="116"/>
      <c r="B1233" s="115"/>
      <c r="C1233" s="115"/>
      <c r="D1233" s="131"/>
      <c r="E1233" s="177"/>
      <c r="F1233" s="28"/>
      <c r="G1233" s="118"/>
      <c r="H1233" s="192"/>
      <c r="I1233" s="192"/>
      <c r="J1233" s="175"/>
      <c r="K1233" s="192"/>
      <c r="L1233" s="192"/>
      <c r="M1233" s="192"/>
      <c r="N1233" s="175"/>
      <c r="O1233" s="116"/>
      <c r="P1233" s="175"/>
      <c r="Q1233" s="175"/>
      <c r="R1233" s="220"/>
      <c r="S1233" s="175"/>
      <c r="T1233" s="175"/>
      <c r="U1233" s="175"/>
      <c r="V1233" s="175"/>
      <c r="W1233" s="175"/>
      <c r="X1233" s="116"/>
    </row>
    <row r="1234" spans="1:24" s="112" customFormat="1">
      <c r="A1234" s="116"/>
      <c r="B1234" s="115"/>
      <c r="C1234" s="115"/>
      <c r="D1234" s="131"/>
      <c r="E1234" s="177"/>
      <c r="F1234" s="28"/>
      <c r="G1234" s="118"/>
      <c r="H1234" s="192"/>
      <c r="I1234" s="192"/>
      <c r="J1234" s="175"/>
      <c r="K1234" s="192"/>
      <c r="L1234" s="192"/>
      <c r="M1234" s="192"/>
      <c r="N1234" s="175"/>
      <c r="O1234" s="116"/>
      <c r="P1234" s="175"/>
      <c r="Q1234" s="175"/>
      <c r="R1234" s="220"/>
      <c r="S1234" s="175"/>
      <c r="T1234" s="175"/>
      <c r="U1234" s="175"/>
      <c r="V1234" s="175"/>
      <c r="W1234" s="175"/>
      <c r="X1234" s="116"/>
    </row>
    <row r="1235" spans="1:24" s="112" customFormat="1">
      <c r="A1235" s="116"/>
      <c r="B1235" s="115"/>
      <c r="C1235" s="115"/>
      <c r="D1235" s="131"/>
      <c r="E1235" s="177"/>
      <c r="F1235" s="28"/>
      <c r="G1235" s="118"/>
      <c r="H1235" s="192"/>
      <c r="I1235" s="192"/>
      <c r="J1235" s="175"/>
      <c r="K1235" s="192"/>
      <c r="L1235" s="192"/>
      <c r="M1235" s="192"/>
      <c r="N1235" s="175"/>
      <c r="O1235" s="116"/>
      <c r="P1235" s="175"/>
      <c r="Q1235" s="175"/>
      <c r="R1235" s="220"/>
      <c r="S1235" s="175"/>
      <c r="T1235" s="175"/>
      <c r="U1235" s="175"/>
      <c r="V1235" s="175"/>
      <c r="W1235" s="175"/>
      <c r="X1235" s="116"/>
    </row>
    <row r="1236" spans="1:24" s="112" customFormat="1">
      <c r="A1236" s="116"/>
      <c r="B1236" s="115"/>
      <c r="C1236" s="115"/>
      <c r="D1236" s="131"/>
      <c r="E1236" s="177"/>
      <c r="F1236" s="28"/>
      <c r="G1236" s="118"/>
      <c r="H1236" s="192"/>
      <c r="I1236" s="192"/>
      <c r="J1236" s="175"/>
      <c r="K1236" s="192"/>
      <c r="L1236" s="192"/>
      <c r="M1236" s="192"/>
      <c r="N1236" s="175"/>
      <c r="O1236" s="116"/>
      <c r="P1236" s="175"/>
      <c r="Q1236" s="175"/>
      <c r="R1236" s="220"/>
      <c r="S1236" s="175"/>
      <c r="T1236" s="175"/>
      <c r="U1236" s="175"/>
      <c r="V1236" s="175"/>
      <c r="W1236" s="175"/>
      <c r="X1236" s="116"/>
    </row>
    <row r="1237" spans="1:24" s="112" customFormat="1">
      <c r="A1237" s="116"/>
      <c r="B1237" s="115"/>
      <c r="C1237" s="115"/>
      <c r="D1237" s="131"/>
      <c r="E1237" s="177"/>
      <c r="F1237" s="28"/>
      <c r="G1237" s="118"/>
      <c r="H1237" s="192"/>
      <c r="I1237" s="192"/>
      <c r="J1237" s="175"/>
      <c r="K1237" s="192"/>
      <c r="L1237" s="192"/>
      <c r="M1237" s="192"/>
      <c r="N1237" s="175"/>
      <c r="O1237" s="116"/>
      <c r="P1237" s="175"/>
      <c r="Q1237" s="175"/>
      <c r="R1237" s="220"/>
      <c r="S1237" s="175"/>
      <c r="T1237" s="175"/>
      <c r="U1237" s="175"/>
      <c r="V1237" s="175"/>
      <c r="W1237" s="175"/>
      <c r="X1237" s="116"/>
    </row>
    <row r="1238" spans="1:24" s="112" customFormat="1">
      <c r="A1238" s="116"/>
      <c r="B1238" s="115"/>
      <c r="C1238" s="115"/>
      <c r="D1238" s="131"/>
      <c r="E1238" s="177"/>
      <c r="F1238" s="28"/>
      <c r="G1238" s="118"/>
      <c r="H1238" s="192"/>
      <c r="I1238" s="192"/>
      <c r="J1238" s="175"/>
      <c r="K1238" s="192"/>
      <c r="L1238" s="192"/>
      <c r="M1238" s="192"/>
      <c r="N1238" s="175"/>
      <c r="O1238" s="116"/>
      <c r="P1238" s="175"/>
      <c r="Q1238" s="175"/>
      <c r="R1238" s="220"/>
      <c r="S1238" s="175"/>
      <c r="T1238" s="175"/>
      <c r="U1238" s="175"/>
      <c r="V1238" s="175"/>
      <c r="W1238" s="175"/>
      <c r="X1238" s="116"/>
    </row>
    <row r="1239" spans="1:24" s="112" customFormat="1">
      <c r="A1239" s="116"/>
      <c r="B1239" s="115"/>
      <c r="C1239" s="115"/>
      <c r="D1239" s="131"/>
      <c r="E1239" s="177"/>
      <c r="F1239" s="28"/>
      <c r="G1239" s="118"/>
      <c r="H1239" s="192"/>
      <c r="I1239" s="192"/>
      <c r="J1239" s="175"/>
      <c r="K1239" s="192"/>
      <c r="L1239" s="192"/>
      <c r="M1239" s="192"/>
      <c r="N1239" s="175"/>
      <c r="O1239" s="116"/>
      <c r="P1239" s="175"/>
      <c r="Q1239" s="175"/>
      <c r="R1239" s="220"/>
      <c r="S1239" s="175"/>
      <c r="T1239" s="175"/>
      <c r="U1239" s="175"/>
      <c r="V1239" s="175"/>
      <c r="W1239" s="175"/>
      <c r="X1239" s="116"/>
    </row>
    <row r="1240" spans="1:24" s="112" customFormat="1">
      <c r="A1240" s="116"/>
      <c r="B1240" s="115"/>
      <c r="C1240" s="115"/>
      <c r="D1240" s="131"/>
      <c r="E1240" s="177"/>
      <c r="F1240" s="28"/>
      <c r="G1240" s="118"/>
      <c r="H1240" s="192"/>
      <c r="I1240" s="192"/>
      <c r="J1240" s="175"/>
      <c r="K1240" s="192"/>
      <c r="L1240" s="192"/>
      <c r="M1240" s="192"/>
      <c r="N1240" s="175"/>
      <c r="O1240" s="116"/>
      <c r="P1240" s="175"/>
      <c r="Q1240" s="175"/>
      <c r="R1240" s="220"/>
      <c r="S1240" s="175"/>
      <c r="T1240" s="175"/>
      <c r="U1240" s="175"/>
      <c r="V1240" s="175"/>
      <c r="W1240" s="175"/>
      <c r="X1240" s="116"/>
    </row>
    <row r="1241" spans="1:24" s="112" customFormat="1">
      <c r="A1241" s="116"/>
      <c r="B1241" s="115"/>
      <c r="C1241" s="115"/>
      <c r="D1241" s="131"/>
      <c r="E1241" s="177"/>
      <c r="F1241" s="28"/>
      <c r="G1241" s="118"/>
      <c r="H1241" s="192"/>
      <c r="I1241" s="192"/>
      <c r="J1241" s="175"/>
      <c r="K1241" s="192"/>
      <c r="L1241" s="192"/>
      <c r="M1241" s="192"/>
      <c r="N1241" s="175"/>
      <c r="O1241" s="116"/>
      <c r="P1241" s="175"/>
      <c r="Q1241" s="175"/>
      <c r="R1241" s="220"/>
      <c r="S1241" s="175"/>
      <c r="T1241" s="175"/>
      <c r="U1241" s="175"/>
      <c r="V1241" s="175"/>
      <c r="W1241" s="175"/>
      <c r="X1241" s="116"/>
    </row>
    <row r="1242" spans="1:24" s="112" customFormat="1">
      <c r="A1242" s="116"/>
      <c r="B1242" s="115"/>
      <c r="C1242" s="115"/>
      <c r="D1242" s="131"/>
      <c r="E1242" s="177"/>
      <c r="F1242" s="28"/>
      <c r="G1242" s="118"/>
      <c r="H1242" s="192"/>
      <c r="I1242" s="192"/>
      <c r="J1242" s="175"/>
      <c r="K1242" s="192"/>
      <c r="L1242" s="192"/>
      <c r="M1242" s="192"/>
      <c r="N1242" s="175"/>
      <c r="O1242" s="116"/>
      <c r="P1242" s="175"/>
      <c r="Q1242" s="175"/>
      <c r="R1242" s="220"/>
      <c r="S1242" s="175"/>
      <c r="T1242" s="175"/>
      <c r="U1242" s="175"/>
      <c r="V1242" s="175"/>
      <c r="W1242" s="175"/>
      <c r="X1242" s="116"/>
    </row>
    <row r="1243" spans="1:24" s="112" customFormat="1">
      <c r="A1243" s="116"/>
      <c r="B1243" s="115"/>
      <c r="C1243" s="115"/>
      <c r="D1243" s="131"/>
      <c r="E1243" s="177"/>
      <c r="F1243" s="28"/>
      <c r="G1243" s="118"/>
      <c r="H1243" s="192"/>
      <c r="I1243" s="192"/>
      <c r="J1243" s="175"/>
      <c r="K1243" s="192"/>
      <c r="L1243" s="192"/>
      <c r="M1243" s="192"/>
      <c r="N1243" s="175"/>
      <c r="O1243" s="116"/>
      <c r="P1243" s="175"/>
      <c r="Q1243" s="175"/>
      <c r="R1243" s="220"/>
      <c r="S1243" s="175"/>
      <c r="T1243" s="175"/>
      <c r="U1243" s="175"/>
      <c r="V1243" s="175"/>
      <c r="W1243" s="175"/>
      <c r="X1243" s="116"/>
    </row>
    <row r="1244" spans="1:24" s="112" customFormat="1">
      <c r="A1244" s="116"/>
      <c r="B1244" s="115"/>
      <c r="C1244" s="115"/>
      <c r="D1244" s="131"/>
      <c r="E1244" s="177"/>
      <c r="F1244" s="28"/>
      <c r="G1244" s="118"/>
      <c r="H1244" s="192"/>
      <c r="I1244" s="192"/>
      <c r="J1244" s="175"/>
      <c r="K1244" s="192"/>
      <c r="L1244" s="192"/>
      <c r="M1244" s="192"/>
      <c r="N1244" s="175"/>
      <c r="O1244" s="116"/>
      <c r="P1244" s="175"/>
      <c r="Q1244" s="175"/>
      <c r="R1244" s="220"/>
      <c r="S1244" s="175"/>
      <c r="T1244" s="175"/>
      <c r="U1244" s="175"/>
      <c r="V1244" s="175"/>
      <c r="W1244" s="175"/>
      <c r="X1244" s="116"/>
    </row>
    <row r="1245" spans="1:24" s="112" customFormat="1">
      <c r="A1245" s="116"/>
      <c r="B1245" s="115"/>
      <c r="C1245" s="115"/>
      <c r="D1245" s="131"/>
      <c r="E1245" s="177"/>
      <c r="F1245" s="28"/>
      <c r="G1245" s="118"/>
      <c r="H1245" s="192"/>
      <c r="I1245" s="192"/>
      <c r="J1245" s="175"/>
      <c r="K1245" s="192"/>
      <c r="L1245" s="192"/>
      <c r="M1245" s="192"/>
      <c r="N1245" s="175"/>
      <c r="O1245" s="116"/>
      <c r="P1245" s="175"/>
      <c r="Q1245" s="175"/>
      <c r="R1245" s="220"/>
      <c r="S1245" s="175"/>
      <c r="T1245" s="175"/>
      <c r="U1245" s="175"/>
      <c r="V1245" s="175"/>
      <c r="W1245" s="175"/>
      <c r="X1245" s="116"/>
    </row>
    <row r="1246" spans="1:24" s="112" customFormat="1">
      <c r="A1246" s="116"/>
      <c r="B1246" s="115"/>
      <c r="C1246" s="115"/>
      <c r="D1246" s="131"/>
      <c r="E1246" s="177"/>
      <c r="F1246" s="28"/>
      <c r="G1246" s="118"/>
      <c r="H1246" s="192"/>
      <c r="I1246" s="192"/>
      <c r="J1246" s="175"/>
      <c r="K1246" s="192"/>
      <c r="L1246" s="192"/>
      <c r="M1246" s="192"/>
      <c r="N1246" s="175"/>
      <c r="O1246" s="116"/>
      <c r="P1246" s="175"/>
      <c r="Q1246" s="175"/>
      <c r="R1246" s="220"/>
      <c r="S1246" s="175"/>
      <c r="T1246" s="175"/>
      <c r="U1246" s="175"/>
      <c r="V1246" s="175"/>
      <c r="W1246" s="175"/>
      <c r="X1246" s="116"/>
    </row>
    <row r="1247" spans="1:24" s="112" customFormat="1">
      <c r="A1247" s="116"/>
      <c r="B1247" s="115"/>
      <c r="C1247" s="115"/>
      <c r="D1247" s="131"/>
      <c r="E1247" s="177"/>
      <c r="F1247" s="28"/>
      <c r="G1247" s="118"/>
      <c r="H1247" s="192"/>
      <c r="I1247" s="192"/>
      <c r="J1247" s="175"/>
      <c r="K1247" s="192"/>
      <c r="L1247" s="192"/>
      <c r="M1247" s="192"/>
      <c r="N1247" s="175"/>
      <c r="O1247" s="116"/>
      <c r="P1247" s="175"/>
      <c r="Q1247" s="175"/>
      <c r="R1247" s="220"/>
      <c r="S1247" s="175"/>
      <c r="T1247" s="175"/>
      <c r="U1247" s="175"/>
      <c r="V1247" s="175"/>
      <c r="W1247" s="175"/>
      <c r="X1247" s="116"/>
    </row>
    <row r="1248" spans="1:24" s="112" customFormat="1">
      <c r="A1248" s="116"/>
      <c r="B1248" s="115"/>
      <c r="C1248" s="115"/>
      <c r="D1248" s="131"/>
      <c r="E1248" s="177"/>
      <c r="F1248" s="28"/>
      <c r="G1248" s="118"/>
      <c r="H1248" s="192"/>
      <c r="I1248" s="192"/>
      <c r="J1248" s="175"/>
      <c r="K1248" s="192"/>
      <c r="L1248" s="192"/>
      <c r="M1248" s="192"/>
      <c r="N1248" s="175"/>
      <c r="O1248" s="116"/>
      <c r="P1248" s="175"/>
      <c r="Q1248" s="175"/>
      <c r="R1248" s="220"/>
      <c r="S1248" s="175"/>
      <c r="T1248" s="175"/>
      <c r="U1248" s="175"/>
      <c r="V1248" s="175"/>
      <c r="W1248" s="175"/>
      <c r="X1248" s="116"/>
    </row>
    <row r="1249" spans="1:24" s="112" customFormat="1">
      <c r="A1249" s="116"/>
      <c r="B1249" s="115"/>
      <c r="C1249" s="115"/>
      <c r="D1249" s="131"/>
      <c r="E1249" s="177"/>
      <c r="F1249" s="28"/>
      <c r="G1249" s="118"/>
      <c r="H1249" s="192"/>
      <c r="I1249" s="192"/>
      <c r="J1249" s="175"/>
      <c r="K1249" s="192"/>
      <c r="L1249" s="192"/>
      <c r="M1249" s="192"/>
      <c r="N1249" s="175"/>
      <c r="O1249" s="116"/>
      <c r="P1249" s="175"/>
      <c r="Q1249" s="175"/>
      <c r="R1249" s="220"/>
      <c r="S1249" s="175"/>
      <c r="T1249" s="175"/>
      <c r="U1249" s="175"/>
      <c r="V1249" s="175"/>
      <c r="W1249" s="175"/>
      <c r="X1249" s="116"/>
    </row>
    <row r="1250" spans="1:24" s="112" customFormat="1">
      <c r="A1250" s="116"/>
      <c r="B1250" s="115"/>
      <c r="C1250" s="115"/>
      <c r="D1250" s="131"/>
      <c r="E1250" s="177"/>
      <c r="F1250" s="28"/>
      <c r="G1250" s="118"/>
      <c r="H1250" s="192"/>
      <c r="I1250" s="192"/>
      <c r="J1250" s="175"/>
      <c r="K1250" s="192"/>
      <c r="L1250" s="192"/>
      <c r="M1250" s="192"/>
      <c r="N1250" s="175"/>
      <c r="O1250" s="116"/>
      <c r="P1250" s="175"/>
      <c r="Q1250" s="175"/>
      <c r="R1250" s="220"/>
      <c r="S1250" s="175"/>
      <c r="T1250" s="175"/>
      <c r="U1250" s="175"/>
      <c r="V1250" s="175"/>
      <c r="W1250" s="175"/>
      <c r="X1250" s="116"/>
    </row>
    <row r="1251" spans="1:24" s="112" customFormat="1">
      <c r="A1251" s="116"/>
      <c r="B1251" s="115"/>
      <c r="C1251" s="115"/>
      <c r="D1251" s="131"/>
      <c r="E1251" s="177"/>
      <c r="F1251" s="28"/>
      <c r="G1251" s="118"/>
      <c r="H1251" s="192"/>
      <c r="I1251" s="192"/>
      <c r="J1251" s="175"/>
      <c r="K1251" s="192"/>
      <c r="L1251" s="192"/>
      <c r="M1251" s="192"/>
      <c r="N1251" s="175"/>
      <c r="O1251" s="116"/>
      <c r="P1251" s="175"/>
      <c r="Q1251" s="175"/>
      <c r="R1251" s="220"/>
      <c r="S1251" s="175"/>
      <c r="T1251" s="175"/>
      <c r="U1251" s="175"/>
      <c r="V1251" s="175"/>
      <c r="W1251" s="175"/>
      <c r="X1251" s="116"/>
    </row>
    <row r="1252" spans="1:24" s="112" customFormat="1">
      <c r="A1252" s="116"/>
      <c r="B1252" s="115"/>
      <c r="C1252" s="115"/>
      <c r="D1252" s="131"/>
      <c r="E1252" s="177"/>
      <c r="F1252" s="28"/>
      <c r="G1252" s="118"/>
      <c r="H1252" s="192"/>
      <c r="I1252" s="192"/>
      <c r="J1252" s="175"/>
      <c r="K1252" s="192"/>
      <c r="L1252" s="192"/>
      <c r="M1252" s="192"/>
      <c r="N1252" s="175"/>
      <c r="O1252" s="116"/>
      <c r="P1252" s="175"/>
      <c r="Q1252" s="175"/>
      <c r="R1252" s="220"/>
      <c r="S1252" s="175"/>
      <c r="T1252" s="175"/>
      <c r="U1252" s="175"/>
      <c r="V1252" s="175"/>
      <c r="W1252" s="175"/>
      <c r="X1252" s="116"/>
    </row>
    <row r="1253" spans="1:24" s="112" customFormat="1">
      <c r="A1253" s="116"/>
      <c r="B1253" s="115"/>
      <c r="C1253" s="115"/>
      <c r="D1253" s="131"/>
      <c r="E1253" s="177"/>
      <c r="F1253" s="28"/>
      <c r="G1253" s="118"/>
      <c r="H1253" s="192"/>
      <c r="I1253" s="192"/>
      <c r="J1253" s="175"/>
      <c r="K1253" s="192"/>
      <c r="L1253" s="192"/>
      <c r="M1253" s="192"/>
      <c r="N1253" s="175"/>
      <c r="O1253" s="116"/>
      <c r="P1253" s="175"/>
      <c r="Q1253" s="175"/>
      <c r="R1253" s="220"/>
      <c r="S1253" s="175"/>
      <c r="T1253" s="175"/>
      <c r="U1253" s="175"/>
      <c r="V1253" s="175"/>
      <c r="W1253" s="175"/>
      <c r="X1253" s="116"/>
    </row>
    <row r="1254" spans="1:24" s="112" customFormat="1">
      <c r="A1254" s="116"/>
      <c r="B1254" s="115"/>
      <c r="C1254" s="115"/>
      <c r="D1254" s="131"/>
      <c r="E1254" s="177"/>
      <c r="F1254" s="28"/>
      <c r="G1254" s="118"/>
      <c r="H1254" s="192"/>
      <c r="I1254" s="192"/>
      <c r="J1254" s="175"/>
      <c r="K1254" s="192"/>
      <c r="L1254" s="192"/>
      <c r="M1254" s="192"/>
      <c r="N1254" s="175"/>
      <c r="O1254" s="116"/>
      <c r="P1254" s="175"/>
      <c r="Q1254" s="175"/>
      <c r="R1254" s="220"/>
      <c r="S1254" s="175"/>
      <c r="T1254" s="175"/>
      <c r="U1254" s="175"/>
      <c r="V1254" s="175"/>
      <c r="W1254" s="175"/>
      <c r="X1254" s="116"/>
    </row>
    <row r="1255" spans="1:24" s="112" customFormat="1">
      <c r="A1255" s="116"/>
      <c r="B1255" s="115"/>
      <c r="C1255" s="115"/>
      <c r="D1255" s="131"/>
      <c r="E1255" s="177"/>
      <c r="F1255" s="28"/>
      <c r="G1255" s="118"/>
      <c r="H1255" s="192"/>
      <c r="I1255" s="192"/>
      <c r="J1255" s="175"/>
      <c r="K1255" s="192"/>
      <c r="L1255" s="192"/>
      <c r="M1255" s="192"/>
      <c r="N1255" s="175"/>
      <c r="O1255" s="116"/>
      <c r="P1255" s="175"/>
      <c r="Q1255" s="175"/>
      <c r="R1255" s="220"/>
      <c r="S1255" s="175"/>
      <c r="T1255" s="175"/>
      <c r="U1255" s="175"/>
      <c r="V1255" s="175"/>
      <c r="W1255" s="175"/>
      <c r="X1255" s="116"/>
    </row>
    <row r="1256" spans="1:24" s="112" customFormat="1">
      <c r="A1256" s="116"/>
      <c r="B1256" s="115"/>
      <c r="C1256" s="115"/>
      <c r="D1256" s="131"/>
      <c r="E1256" s="177"/>
      <c r="F1256" s="28"/>
      <c r="G1256" s="118"/>
      <c r="H1256" s="192"/>
      <c r="I1256" s="192"/>
      <c r="J1256" s="175"/>
      <c r="K1256" s="192"/>
      <c r="L1256" s="192"/>
      <c r="M1256" s="192"/>
      <c r="N1256" s="175"/>
      <c r="O1256" s="116"/>
      <c r="P1256" s="175"/>
      <c r="Q1256" s="175"/>
      <c r="R1256" s="220"/>
      <c r="S1256" s="175"/>
      <c r="T1256" s="175"/>
      <c r="U1256" s="175"/>
      <c r="V1256" s="175"/>
      <c r="W1256" s="175"/>
      <c r="X1256" s="116"/>
    </row>
    <row r="1257" spans="1:24" s="112" customFormat="1">
      <c r="A1257" s="116"/>
      <c r="B1257" s="115"/>
      <c r="C1257" s="115"/>
      <c r="D1257" s="131"/>
      <c r="E1257" s="177"/>
      <c r="F1257" s="28"/>
      <c r="G1257" s="118"/>
      <c r="H1257" s="192"/>
      <c r="I1257" s="192"/>
      <c r="J1257" s="175"/>
      <c r="K1257" s="192"/>
      <c r="L1257" s="192"/>
      <c r="M1257" s="192"/>
      <c r="N1257" s="175"/>
      <c r="O1257" s="116"/>
      <c r="P1257" s="175"/>
      <c r="Q1257" s="175"/>
      <c r="R1257" s="220"/>
      <c r="S1257" s="175"/>
      <c r="T1257" s="175"/>
      <c r="U1257" s="175"/>
      <c r="V1257" s="175"/>
      <c r="W1257" s="175"/>
      <c r="X1257" s="116"/>
    </row>
    <row r="1258" spans="1:24" s="112" customFormat="1">
      <c r="A1258" s="116"/>
      <c r="B1258" s="115"/>
      <c r="C1258" s="115"/>
      <c r="D1258" s="131"/>
      <c r="E1258" s="177"/>
      <c r="F1258" s="28"/>
      <c r="G1258" s="118"/>
      <c r="H1258" s="192"/>
      <c r="I1258" s="192"/>
      <c r="J1258" s="175"/>
      <c r="K1258" s="192"/>
      <c r="L1258" s="192"/>
      <c r="M1258" s="192"/>
      <c r="N1258" s="175"/>
      <c r="O1258" s="116"/>
      <c r="P1258" s="175"/>
      <c r="Q1258" s="175"/>
      <c r="R1258" s="220"/>
      <c r="S1258" s="175"/>
      <c r="T1258" s="175"/>
      <c r="U1258" s="175"/>
      <c r="V1258" s="175"/>
      <c r="W1258" s="175"/>
      <c r="X1258" s="116"/>
    </row>
    <row r="1259" spans="1:24" s="112" customFormat="1">
      <c r="A1259" s="116"/>
      <c r="B1259" s="115"/>
      <c r="C1259" s="115"/>
      <c r="D1259" s="131"/>
      <c r="E1259" s="177"/>
      <c r="F1259" s="28"/>
      <c r="G1259" s="118"/>
      <c r="H1259" s="192"/>
      <c r="I1259" s="192"/>
      <c r="J1259" s="175"/>
      <c r="K1259" s="192"/>
      <c r="L1259" s="192"/>
      <c r="M1259" s="192"/>
      <c r="N1259" s="175"/>
      <c r="O1259" s="116"/>
      <c r="P1259" s="175"/>
      <c r="Q1259" s="175"/>
      <c r="R1259" s="220"/>
      <c r="S1259" s="175"/>
      <c r="T1259" s="175"/>
      <c r="U1259" s="175"/>
      <c r="V1259" s="175"/>
      <c r="W1259" s="175"/>
      <c r="X1259" s="116"/>
    </row>
    <row r="1260" spans="1:24" s="112" customFormat="1">
      <c r="A1260" s="116"/>
      <c r="B1260" s="115"/>
      <c r="C1260" s="115"/>
      <c r="D1260" s="131"/>
      <c r="E1260" s="177"/>
      <c r="F1260" s="28"/>
      <c r="G1260" s="118"/>
      <c r="H1260" s="192"/>
      <c r="I1260" s="192"/>
      <c r="J1260" s="175"/>
      <c r="K1260" s="192"/>
      <c r="L1260" s="192"/>
      <c r="M1260" s="192"/>
      <c r="N1260" s="175"/>
      <c r="O1260" s="116"/>
      <c r="P1260" s="175"/>
      <c r="Q1260" s="175"/>
      <c r="R1260" s="220"/>
      <c r="S1260" s="175"/>
      <c r="T1260" s="175"/>
      <c r="U1260" s="175"/>
      <c r="V1260" s="175"/>
      <c r="W1260" s="175"/>
      <c r="X1260" s="116"/>
    </row>
    <row r="1261" spans="1:24" s="112" customFormat="1">
      <c r="A1261" s="116"/>
      <c r="B1261" s="115"/>
      <c r="C1261" s="115"/>
      <c r="D1261" s="131"/>
      <c r="E1261" s="177"/>
      <c r="F1261" s="28"/>
      <c r="G1261" s="118"/>
      <c r="H1261" s="192"/>
      <c r="I1261" s="192"/>
      <c r="J1261" s="175"/>
      <c r="K1261" s="192"/>
      <c r="L1261" s="192"/>
      <c r="M1261" s="192"/>
      <c r="N1261" s="175"/>
      <c r="O1261" s="116"/>
      <c r="P1261" s="175"/>
      <c r="Q1261" s="175"/>
      <c r="R1261" s="220"/>
      <c r="S1261" s="175"/>
      <c r="T1261" s="175"/>
      <c r="U1261" s="175"/>
      <c r="V1261" s="175"/>
      <c r="W1261" s="175"/>
      <c r="X1261" s="116"/>
    </row>
    <row r="1262" spans="1:24" s="112" customFormat="1">
      <c r="A1262" s="116"/>
      <c r="B1262" s="115"/>
      <c r="C1262" s="115"/>
      <c r="D1262" s="131"/>
      <c r="E1262" s="177"/>
      <c r="F1262" s="28"/>
      <c r="G1262" s="118"/>
      <c r="H1262" s="192"/>
      <c r="I1262" s="192"/>
      <c r="J1262" s="175"/>
      <c r="K1262" s="192"/>
      <c r="L1262" s="192"/>
      <c r="M1262" s="192"/>
      <c r="N1262" s="175"/>
      <c r="O1262" s="116"/>
      <c r="P1262" s="175"/>
      <c r="Q1262" s="175"/>
      <c r="R1262" s="220"/>
      <c r="S1262" s="175"/>
      <c r="T1262" s="175"/>
      <c r="U1262" s="175"/>
      <c r="V1262" s="175"/>
      <c r="W1262" s="175"/>
      <c r="X1262" s="116"/>
    </row>
    <row r="1263" spans="1:24" s="112" customFormat="1">
      <c r="A1263" s="116"/>
      <c r="B1263" s="115"/>
      <c r="C1263" s="115"/>
      <c r="D1263" s="131"/>
      <c r="E1263" s="177"/>
      <c r="F1263" s="28"/>
      <c r="G1263" s="118"/>
      <c r="H1263" s="192"/>
      <c r="I1263" s="192"/>
      <c r="J1263" s="175"/>
      <c r="K1263" s="192"/>
      <c r="L1263" s="192"/>
      <c r="M1263" s="192"/>
      <c r="N1263" s="175"/>
      <c r="O1263" s="116"/>
      <c r="P1263" s="175"/>
      <c r="Q1263" s="175"/>
      <c r="R1263" s="220"/>
      <c r="S1263" s="175"/>
      <c r="T1263" s="175"/>
      <c r="U1263" s="175"/>
      <c r="V1263" s="175"/>
      <c r="W1263" s="175"/>
      <c r="X1263" s="116"/>
    </row>
    <row r="1264" spans="1:24" s="112" customFormat="1">
      <c r="A1264" s="116"/>
      <c r="B1264" s="115"/>
      <c r="C1264" s="115"/>
      <c r="D1264" s="131"/>
      <c r="E1264" s="177"/>
      <c r="F1264" s="28"/>
      <c r="G1264" s="118"/>
      <c r="H1264" s="192"/>
      <c r="I1264" s="192"/>
      <c r="J1264" s="175"/>
      <c r="K1264" s="192"/>
      <c r="L1264" s="192"/>
      <c r="M1264" s="192"/>
      <c r="N1264" s="175"/>
      <c r="O1264" s="116"/>
      <c r="P1264" s="175"/>
      <c r="Q1264" s="175"/>
      <c r="R1264" s="220"/>
      <c r="S1264" s="175"/>
      <c r="T1264" s="175"/>
      <c r="U1264" s="175"/>
      <c r="V1264" s="175"/>
      <c r="W1264" s="175"/>
      <c r="X1264" s="116"/>
    </row>
    <row r="1265" spans="1:24" s="112" customFormat="1">
      <c r="A1265" s="116"/>
      <c r="B1265" s="115"/>
      <c r="C1265" s="115"/>
      <c r="D1265" s="131"/>
      <c r="E1265" s="177"/>
      <c r="F1265" s="28"/>
      <c r="G1265" s="118"/>
      <c r="H1265" s="192"/>
      <c r="I1265" s="192"/>
      <c r="J1265" s="175"/>
      <c r="K1265" s="192"/>
      <c r="L1265" s="192"/>
      <c r="M1265" s="192"/>
      <c r="N1265" s="175"/>
      <c r="O1265" s="116"/>
      <c r="P1265" s="175"/>
      <c r="Q1265" s="175"/>
      <c r="R1265" s="220"/>
      <c r="S1265" s="175"/>
      <c r="T1265" s="175"/>
      <c r="U1265" s="175"/>
      <c r="V1265" s="175"/>
      <c r="W1265" s="175"/>
      <c r="X1265" s="116"/>
    </row>
    <row r="1266" spans="1:24" s="112" customFormat="1">
      <c r="A1266" s="116"/>
      <c r="B1266" s="115"/>
      <c r="C1266" s="115"/>
      <c r="D1266" s="131"/>
      <c r="E1266" s="177"/>
      <c r="F1266" s="28"/>
      <c r="G1266" s="118"/>
      <c r="H1266" s="192"/>
      <c r="I1266" s="192"/>
      <c r="J1266" s="175"/>
      <c r="K1266" s="192"/>
      <c r="L1266" s="192"/>
      <c r="M1266" s="192"/>
      <c r="N1266" s="175"/>
      <c r="O1266" s="116"/>
      <c r="P1266" s="175"/>
      <c r="Q1266" s="175"/>
      <c r="R1266" s="220"/>
      <c r="S1266" s="175"/>
      <c r="T1266" s="175"/>
      <c r="U1266" s="175"/>
      <c r="V1266" s="175"/>
      <c r="W1266" s="175"/>
      <c r="X1266" s="116"/>
    </row>
    <row r="1267" spans="1:24" s="112" customFormat="1">
      <c r="A1267" s="116"/>
      <c r="B1267" s="115"/>
      <c r="C1267" s="115"/>
      <c r="D1267" s="131"/>
      <c r="E1267" s="177"/>
      <c r="F1267" s="28"/>
      <c r="G1267" s="118"/>
      <c r="H1267" s="192"/>
      <c r="I1267" s="192"/>
      <c r="J1267" s="175"/>
      <c r="K1267" s="192"/>
      <c r="L1267" s="192"/>
      <c r="M1267" s="192"/>
      <c r="N1267" s="175"/>
      <c r="O1267" s="116"/>
      <c r="P1267" s="175"/>
      <c r="Q1267" s="175"/>
      <c r="R1267" s="220"/>
      <c r="S1267" s="175"/>
      <c r="T1267" s="175"/>
      <c r="U1267" s="175"/>
      <c r="V1267" s="175"/>
      <c r="W1267" s="175"/>
      <c r="X1267" s="116"/>
    </row>
    <row r="1268" spans="1:24" s="112" customFormat="1">
      <c r="A1268" s="116"/>
      <c r="B1268" s="115"/>
      <c r="C1268" s="115"/>
      <c r="D1268" s="131"/>
      <c r="E1268" s="177"/>
      <c r="F1268" s="28"/>
      <c r="G1268" s="118"/>
      <c r="H1268" s="192"/>
      <c r="I1268" s="192"/>
      <c r="J1268" s="175"/>
      <c r="K1268" s="192"/>
      <c r="L1268" s="192"/>
      <c r="M1268" s="192"/>
      <c r="N1268" s="175"/>
      <c r="O1268" s="116"/>
      <c r="P1268" s="175"/>
      <c r="Q1268" s="175"/>
      <c r="R1268" s="220"/>
      <c r="S1268" s="175"/>
      <c r="T1268" s="175"/>
      <c r="U1268" s="175"/>
      <c r="V1268" s="175"/>
      <c r="W1268" s="175"/>
      <c r="X1268" s="116"/>
    </row>
    <row r="1269" spans="1:24" s="112" customFormat="1">
      <c r="A1269" s="116"/>
      <c r="B1269" s="115"/>
      <c r="C1269" s="115"/>
      <c r="D1269" s="131"/>
      <c r="E1269" s="177"/>
      <c r="F1269" s="28"/>
      <c r="G1269" s="118"/>
      <c r="H1269" s="192"/>
      <c r="I1269" s="192"/>
      <c r="J1269" s="175"/>
      <c r="K1269" s="192"/>
      <c r="L1269" s="192"/>
      <c r="M1269" s="192"/>
      <c r="N1269" s="175"/>
      <c r="O1269" s="116"/>
      <c r="P1269" s="175"/>
      <c r="Q1269" s="175"/>
      <c r="R1269" s="220"/>
      <c r="S1269" s="175"/>
      <c r="T1269" s="175"/>
      <c r="U1269" s="175"/>
      <c r="V1269" s="175"/>
      <c r="W1269" s="175"/>
      <c r="X1269" s="116"/>
    </row>
    <row r="1270" spans="1:24" s="112" customFormat="1">
      <c r="A1270" s="116"/>
      <c r="B1270" s="115"/>
      <c r="C1270" s="115"/>
      <c r="D1270" s="131"/>
      <c r="E1270" s="177"/>
      <c r="F1270" s="28"/>
      <c r="G1270" s="118"/>
      <c r="H1270" s="192"/>
      <c r="I1270" s="192"/>
      <c r="J1270" s="175"/>
      <c r="K1270" s="192"/>
      <c r="L1270" s="192"/>
      <c r="M1270" s="192"/>
      <c r="N1270" s="175"/>
      <c r="O1270" s="116"/>
      <c r="P1270" s="175"/>
      <c r="Q1270" s="175"/>
      <c r="R1270" s="220"/>
      <c r="S1270" s="175"/>
      <c r="T1270" s="175"/>
      <c r="U1270" s="175"/>
      <c r="V1270" s="175"/>
      <c r="W1270" s="175"/>
      <c r="X1270" s="116"/>
    </row>
    <row r="1271" spans="1:24" s="112" customFormat="1">
      <c r="A1271" s="116"/>
      <c r="B1271" s="115"/>
      <c r="C1271" s="115"/>
      <c r="D1271" s="131"/>
      <c r="E1271" s="177"/>
      <c r="F1271" s="28"/>
      <c r="G1271" s="118"/>
      <c r="H1271" s="192"/>
      <c r="I1271" s="192"/>
      <c r="J1271" s="175"/>
      <c r="K1271" s="192"/>
      <c r="L1271" s="192"/>
      <c r="M1271" s="192"/>
      <c r="N1271" s="175"/>
      <c r="O1271" s="116"/>
      <c r="P1271" s="175"/>
      <c r="Q1271" s="175"/>
      <c r="R1271" s="220"/>
      <c r="S1271" s="175"/>
      <c r="T1271" s="175"/>
      <c r="U1271" s="175"/>
      <c r="V1271" s="175"/>
      <c r="W1271" s="175"/>
      <c r="X1271" s="116"/>
    </row>
    <row r="1272" spans="1:24" s="112" customFormat="1">
      <c r="A1272" s="116"/>
      <c r="B1272" s="115"/>
      <c r="C1272" s="115"/>
      <c r="D1272" s="131"/>
      <c r="E1272" s="177"/>
      <c r="F1272" s="28"/>
      <c r="G1272" s="118"/>
      <c r="H1272" s="192"/>
      <c r="I1272" s="192"/>
      <c r="J1272" s="175"/>
      <c r="K1272" s="192"/>
      <c r="L1272" s="192"/>
      <c r="M1272" s="192"/>
      <c r="N1272" s="175"/>
      <c r="O1272" s="116"/>
      <c r="P1272" s="175"/>
      <c r="Q1272" s="175"/>
      <c r="R1272" s="220"/>
      <c r="S1272" s="175"/>
      <c r="T1272" s="175"/>
      <c r="U1272" s="175"/>
      <c r="V1272" s="175"/>
      <c r="W1272" s="175"/>
      <c r="X1272" s="116"/>
    </row>
    <row r="1273" spans="1:24" s="112" customFormat="1">
      <c r="A1273" s="116"/>
      <c r="B1273" s="115"/>
      <c r="C1273" s="115"/>
      <c r="D1273" s="131"/>
      <c r="E1273" s="177"/>
      <c r="F1273" s="28"/>
      <c r="G1273" s="118"/>
      <c r="H1273" s="192"/>
      <c r="I1273" s="192"/>
      <c r="J1273" s="175"/>
      <c r="K1273" s="192"/>
      <c r="L1273" s="192"/>
      <c r="M1273" s="192"/>
      <c r="N1273" s="175"/>
      <c r="O1273" s="116"/>
      <c r="P1273" s="175"/>
      <c r="Q1273" s="175"/>
      <c r="R1273" s="220"/>
      <c r="S1273" s="175"/>
      <c r="T1273" s="175"/>
      <c r="U1273" s="175"/>
      <c r="V1273" s="175"/>
      <c r="W1273" s="175"/>
      <c r="X1273" s="116"/>
    </row>
    <row r="1274" spans="1:24" s="112" customFormat="1">
      <c r="A1274" s="116"/>
      <c r="B1274" s="115"/>
      <c r="C1274" s="115"/>
      <c r="D1274" s="131"/>
      <c r="E1274" s="177"/>
      <c r="F1274" s="28"/>
      <c r="G1274" s="118"/>
      <c r="H1274" s="192"/>
      <c r="I1274" s="192"/>
      <c r="J1274" s="175"/>
      <c r="K1274" s="192"/>
      <c r="L1274" s="192"/>
      <c r="M1274" s="192"/>
      <c r="N1274" s="175"/>
      <c r="O1274" s="116"/>
      <c r="P1274" s="175"/>
      <c r="Q1274" s="175"/>
      <c r="R1274" s="220"/>
      <c r="S1274" s="175"/>
      <c r="T1274" s="175"/>
      <c r="U1274" s="175"/>
      <c r="V1274" s="175"/>
      <c r="W1274" s="175"/>
      <c r="X1274" s="116"/>
    </row>
    <row r="1275" spans="1:24" s="112" customFormat="1">
      <c r="A1275" s="116"/>
      <c r="B1275" s="115"/>
      <c r="C1275" s="115"/>
      <c r="D1275" s="131"/>
      <c r="E1275" s="177"/>
      <c r="F1275" s="28"/>
      <c r="G1275" s="118"/>
      <c r="H1275" s="192"/>
      <c r="I1275" s="192"/>
      <c r="J1275" s="175"/>
      <c r="K1275" s="192"/>
      <c r="L1275" s="192"/>
      <c r="M1275" s="192"/>
      <c r="N1275" s="175"/>
      <c r="O1275" s="116"/>
      <c r="P1275" s="175"/>
      <c r="Q1275" s="175"/>
      <c r="R1275" s="220"/>
      <c r="S1275" s="175"/>
      <c r="T1275" s="175"/>
      <c r="U1275" s="175"/>
      <c r="V1275" s="175"/>
      <c r="W1275" s="175"/>
      <c r="X1275" s="116"/>
    </row>
    <row r="1276" spans="1:24" s="112" customFormat="1">
      <c r="A1276" s="116"/>
      <c r="B1276" s="115"/>
      <c r="C1276" s="115"/>
      <c r="D1276" s="131"/>
      <c r="E1276" s="177"/>
      <c r="F1276" s="28"/>
      <c r="G1276" s="118"/>
      <c r="H1276" s="192"/>
      <c r="I1276" s="192"/>
      <c r="J1276" s="175"/>
      <c r="K1276" s="192"/>
      <c r="L1276" s="192"/>
      <c r="M1276" s="192"/>
      <c r="N1276" s="175"/>
      <c r="O1276" s="116"/>
      <c r="P1276" s="175"/>
      <c r="Q1276" s="175"/>
      <c r="R1276" s="220"/>
      <c r="S1276" s="175"/>
      <c r="T1276" s="175"/>
      <c r="U1276" s="175"/>
      <c r="V1276" s="175"/>
      <c r="W1276" s="175"/>
      <c r="X1276" s="116"/>
    </row>
    <row r="1277" spans="1:24" s="112" customFormat="1">
      <c r="A1277" s="116"/>
      <c r="B1277" s="115"/>
      <c r="C1277" s="115"/>
      <c r="D1277" s="131"/>
      <c r="E1277" s="177"/>
      <c r="F1277" s="28"/>
      <c r="G1277" s="118"/>
      <c r="H1277" s="192"/>
      <c r="I1277" s="192"/>
      <c r="J1277" s="175"/>
      <c r="K1277" s="192"/>
      <c r="L1277" s="192"/>
      <c r="M1277" s="192"/>
      <c r="N1277" s="175"/>
      <c r="O1277" s="116"/>
      <c r="P1277" s="175"/>
      <c r="Q1277" s="175"/>
      <c r="R1277" s="220"/>
      <c r="S1277" s="175"/>
      <c r="T1277" s="175"/>
      <c r="U1277" s="175"/>
      <c r="V1277" s="175"/>
      <c r="W1277" s="175"/>
      <c r="X1277" s="116"/>
    </row>
    <row r="1278" spans="1:24" s="112" customFormat="1">
      <c r="A1278" s="116"/>
      <c r="B1278" s="115"/>
      <c r="C1278" s="115"/>
      <c r="D1278" s="131"/>
      <c r="E1278" s="177"/>
      <c r="F1278" s="28"/>
      <c r="G1278" s="118"/>
      <c r="H1278" s="192"/>
      <c r="I1278" s="192"/>
      <c r="J1278" s="175"/>
      <c r="K1278" s="192"/>
      <c r="L1278" s="192"/>
      <c r="M1278" s="192"/>
      <c r="N1278" s="175"/>
      <c r="O1278" s="116"/>
      <c r="P1278" s="175"/>
      <c r="Q1278" s="175"/>
      <c r="R1278" s="220"/>
      <c r="S1278" s="175"/>
      <c r="T1278" s="175"/>
      <c r="U1278" s="175"/>
      <c r="V1278" s="175"/>
      <c r="W1278" s="175"/>
      <c r="X1278" s="116"/>
    </row>
    <row r="1279" spans="1:24" s="112" customFormat="1">
      <c r="A1279" s="116"/>
      <c r="B1279" s="115"/>
      <c r="C1279" s="115"/>
      <c r="D1279" s="131"/>
      <c r="E1279" s="177"/>
      <c r="F1279" s="28"/>
      <c r="G1279" s="118"/>
      <c r="H1279" s="192"/>
      <c r="I1279" s="192"/>
      <c r="J1279" s="175"/>
      <c r="K1279" s="192"/>
      <c r="L1279" s="192"/>
      <c r="M1279" s="192"/>
      <c r="N1279" s="175"/>
      <c r="O1279" s="116"/>
      <c r="P1279" s="175"/>
      <c r="Q1279" s="175"/>
      <c r="R1279" s="220"/>
      <c r="S1279" s="175"/>
      <c r="T1279" s="175"/>
      <c r="U1279" s="175"/>
      <c r="V1279" s="175"/>
      <c r="W1279" s="175"/>
      <c r="X1279" s="116"/>
    </row>
    <row r="1280" spans="1:24" s="112" customFormat="1">
      <c r="A1280" s="116"/>
      <c r="B1280" s="115"/>
      <c r="C1280" s="115"/>
      <c r="D1280" s="131"/>
      <c r="E1280" s="177"/>
      <c r="F1280" s="28"/>
      <c r="G1280" s="118"/>
      <c r="H1280" s="192"/>
      <c r="I1280" s="192"/>
      <c r="J1280" s="175"/>
      <c r="K1280" s="192"/>
      <c r="L1280" s="192"/>
      <c r="M1280" s="192"/>
      <c r="N1280" s="175"/>
      <c r="O1280" s="116"/>
      <c r="P1280" s="175"/>
      <c r="Q1280" s="175"/>
      <c r="R1280" s="220"/>
      <c r="S1280" s="175"/>
      <c r="T1280" s="175"/>
      <c r="U1280" s="175"/>
      <c r="V1280" s="175"/>
      <c r="W1280" s="175"/>
      <c r="X1280" s="116"/>
    </row>
    <row r="1281" spans="1:24" s="112" customFormat="1">
      <c r="A1281" s="116"/>
      <c r="B1281" s="115"/>
      <c r="C1281" s="115"/>
      <c r="D1281" s="131"/>
      <c r="E1281" s="177"/>
      <c r="F1281" s="28"/>
      <c r="G1281" s="118"/>
      <c r="H1281" s="192"/>
      <c r="I1281" s="192"/>
      <c r="J1281" s="175"/>
      <c r="K1281" s="192"/>
      <c r="L1281" s="192"/>
      <c r="M1281" s="192"/>
      <c r="N1281" s="175"/>
      <c r="O1281" s="116"/>
      <c r="P1281" s="175"/>
      <c r="Q1281" s="175"/>
      <c r="R1281" s="220"/>
      <c r="S1281" s="175"/>
      <c r="T1281" s="175"/>
      <c r="U1281" s="175"/>
      <c r="V1281" s="175"/>
      <c r="W1281" s="175"/>
      <c r="X1281" s="116"/>
    </row>
    <row r="1282" spans="1:24" s="112" customFormat="1">
      <c r="A1282" s="116"/>
      <c r="B1282" s="115"/>
      <c r="C1282" s="115"/>
      <c r="D1282" s="131"/>
      <c r="E1282" s="177"/>
      <c r="F1282" s="28"/>
      <c r="G1282" s="118"/>
      <c r="H1282" s="192"/>
      <c r="I1282" s="192"/>
      <c r="J1282" s="175"/>
      <c r="K1282" s="192"/>
      <c r="L1282" s="192"/>
      <c r="M1282" s="192"/>
      <c r="N1282" s="175"/>
      <c r="O1282" s="116"/>
      <c r="P1282" s="175"/>
      <c r="Q1282" s="175"/>
      <c r="R1282" s="220"/>
      <c r="S1282" s="175"/>
      <c r="T1282" s="175"/>
      <c r="U1282" s="175"/>
      <c r="V1282" s="175"/>
      <c r="W1282" s="175"/>
      <c r="X1282" s="116"/>
    </row>
    <row r="1283" spans="1:24" s="112" customFormat="1">
      <c r="A1283" s="116"/>
      <c r="B1283" s="115"/>
      <c r="C1283" s="115"/>
      <c r="D1283" s="131"/>
      <c r="E1283" s="177"/>
      <c r="F1283" s="28"/>
      <c r="G1283" s="118"/>
      <c r="H1283" s="192"/>
      <c r="I1283" s="192"/>
      <c r="J1283" s="175"/>
      <c r="K1283" s="192"/>
      <c r="L1283" s="192"/>
      <c r="M1283" s="192"/>
      <c r="N1283" s="175"/>
      <c r="O1283" s="116"/>
      <c r="P1283" s="175"/>
      <c r="Q1283" s="175"/>
      <c r="R1283" s="220"/>
      <c r="S1283" s="175"/>
      <c r="T1283" s="175"/>
      <c r="U1283" s="175"/>
      <c r="V1283" s="175"/>
      <c r="W1283" s="175"/>
      <c r="X1283" s="116"/>
    </row>
    <row r="1284" spans="1:24" s="112" customFormat="1">
      <c r="A1284" s="116"/>
      <c r="B1284" s="115"/>
      <c r="C1284" s="115"/>
      <c r="D1284" s="131"/>
      <c r="E1284" s="177"/>
      <c r="F1284" s="28"/>
      <c r="G1284" s="118"/>
      <c r="H1284" s="192"/>
      <c r="I1284" s="192"/>
      <c r="J1284" s="175"/>
      <c r="K1284" s="192"/>
      <c r="L1284" s="192"/>
      <c r="M1284" s="192"/>
      <c r="N1284" s="175"/>
      <c r="O1284" s="116"/>
      <c r="P1284" s="175"/>
      <c r="Q1284" s="175"/>
      <c r="R1284" s="220"/>
      <c r="S1284" s="175"/>
      <c r="T1284" s="175"/>
      <c r="U1284" s="175"/>
      <c r="V1284" s="175"/>
      <c r="W1284" s="175"/>
      <c r="X1284" s="116"/>
    </row>
    <row r="1285" spans="1:24" s="112" customFormat="1">
      <c r="A1285" s="116"/>
      <c r="B1285" s="115"/>
      <c r="C1285" s="115"/>
      <c r="D1285" s="131"/>
      <c r="E1285" s="177"/>
      <c r="F1285" s="28"/>
      <c r="G1285" s="118"/>
      <c r="H1285" s="192"/>
      <c r="I1285" s="192"/>
      <c r="J1285" s="175"/>
      <c r="K1285" s="192"/>
      <c r="L1285" s="192"/>
      <c r="M1285" s="192"/>
      <c r="N1285" s="175"/>
      <c r="O1285" s="116"/>
      <c r="P1285" s="175"/>
      <c r="Q1285" s="175"/>
      <c r="R1285" s="220"/>
      <c r="S1285" s="175"/>
      <c r="T1285" s="175"/>
      <c r="U1285" s="175"/>
      <c r="V1285" s="175"/>
      <c r="W1285" s="175"/>
      <c r="X1285" s="116"/>
    </row>
    <row r="1286" spans="1:24" s="112" customFormat="1">
      <c r="A1286" s="116"/>
      <c r="B1286" s="115"/>
      <c r="C1286" s="115"/>
      <c r="D1286" s="131"/>
      <c r="E1286" s="177"/>
      <c r="F1286" s="28"/>
      <c r="G1286" s="118"/>
      <c r="H1286" s="192"/>
      <c r="I1286" s="192"/>
      <c r="J1286" s="175"/>
      <c r="K1286" s="192"/>
      <c r="L1286" s="192"/>
      <c r="M1286" s="192"/>
      <c r="N1286" s="175"/>
      <c r="O1286" s="116"/>
      <c r="P1286" s="175"/>
      <c r="Q1286" s="175"/>
      <c r="R1286" s="220"/>
      <c r="S1286" s="175"/>
      <c r="T1286" s="175"/>
      <c r="U1286" s="175"/>
      <c r="V1286" s="175"/>
      <c r="W1286" s="175"/>
      <c r="X1286" s="116"/>
    </row>
    <row r="1287" spans="1:24" s="112" customFormat="1">
      <c r="A1287" s="116"/>
      <c r="B1287" s="115"/>
      <c r="C1287" s="115"/>
      <c r="D1287" s="131"/>
      <c r="E1287" s="177"/>
      <c r="F1287" s="28"/>
      <c r="G1287" s="118"/>
      <c r="H1287" s="192"/>
      <c r="I1287" s="192"/>
      <c r="J1287" s="175"/>
      <c r="K1287" s="192"/>
      <c r="L1287" s="192"/>
      <c r="M1287" s="192"/>
      <c r="N1287" s="175"/>
      <c r="O1287" s="116"/>
      <c r="P1287" s="175"/>
      <c r="Q1287" s="175"/>
      <c r="R1287" s="220"/>
      <c r="S1287" s="175"/>
      <c r="T1287" s="175"/>
      <c r="U1287" s="175"/>
      <c r="V1287" s="175"/>
      <c r="W1287" s="175"/>
      <c r="X1287" s="116"/>
    </row>
    <row r="1288" spans="1:24" s="112" customFormat="1">
      <c r="A1288" s="116"/>
      <c r="B1288" s="115"/>
      <c r="C1288" s="115"/>
      <c r="D1288" s="131"/>
      <c r="E1288" s="177"/>
      <c r="F1288" s="28"/>
      <c r="G1288" s="118"/>
      <c r="H1288" s="192"/>
      <c r="I1288" s="192"/>
      <c r="J1288" s="175"/>
      <c r="K1288" s="192"/>
      <c r="L1288" s="192"/>
      <c r="M1288" s="192"/>
      <c r="N1288" s="175"/>
      <c r="O1288" s="116"/>
      <c r="P1288" s="175"/>
      <c r="Q1288" s="175"/>
      <c r="R1288" s="220"/>
      <c r="S1288" s="175"/>
      <c r="T1288" s="175"/>
      <c r="U1288" s="175"/>
      <c r="V1288" s="175"/>
      <c r="W1288" s="175"/>
      <c r="X1288" s="116"/>
    </row>
    <row r="1289" spans="1:24" s="112" customFormat="1">
      <c r="A1289" s="116"/>
      <c r="B1289" s="115"/>
      <c r="C1289" s="115"/>
      <c r="D1289" s="131"/>
      <c r="E1289" s="177"/>
      <c r="F1289" s="28"/>
      <c r="G1289" s="118"/>
      <c r="H1289" s="192"/>
      <c r="I1289" s="192"/>
      <c r="J1289" s="175"/>
      <c r="K1289" s="192"/>
      <c r="L1289" s="192"/>
      <c r="M1289" s="192"/>
      <c r="N1289" s="175"/>
      <c r="O1289" s="116"/>
      <c r="P1289" s="175"/>
      <c r="Q1289" s="175"/>
      <c r="R1289" s="220"/>
      <c r="S1289" s="175"/>
      <c r="T1289" s="175"/>
      <c r="U1289" s="175"/>
      <c r="V1289" s="175"/>
      <c r="W1289" s="175"/>
      <c r="X1289" s="116"/>
    </row>
    <row r="1290" spans="1:24" s="112" customFormat="1">
      <c r="A1290" s="116"/>
      <c r="B1290" s="115"/>
      <c r="C1290" s="115"/>
      <c r="D1290" s="131"/>
      <c r="E1290" s="177"/>
      <c r="F1290" s="28"/>
      <c r="G1290" s="118"/>
      <c r="H1290" s="192"/>
      <c r="I1290" s="192"/>
      <c r="J1290" s="175"/>
      <c r="K1290" s="192"/>
      <c r="L1290" s="192"/>
      <c r="M1290" s="192"/>
      <c r="N1290" s="175"/>
      <c r="O1290" s="116"/>
      <c r="P1290" s="175"/>
      <c r="Q1290" s="175"/>
      <c r="R1290" s="220"/>
      <c r="S1290" s="175"/>
      <c r="T1290" s="175"/>
      <c r="U1290" s="175"/>
      <c r="V1290" s="175"/>
      <c r="W1290" s="175"/>
      <c r="X1290" s="116"/>
    </row>
    <row r="1291" spans="1:24" s="112" customFormat="1">
      <c r="A1291" s="116"/>
      <c r="B1291" s="115"/>
      <c r="C1291" s="115"/>
      <c r="D1291" s="131"/>
      <c r="E1291" s="177"/>
      <c r="F1291" s="28"/>
      <c r="G1291" s="118"/>
      <c r="H1291" s="192"/>
      <c r="I1291" s="192"/>
      <c r="J1291" s="175"/>
      <c r="K1291" s="192"/>
      <c r="L1291" s="192"/>
      <c r="M1291" s="192"/>
      <c r="N1291" s="175"/>
      <c r="O1291" s="116"/>
      <c r="P1291" s="175"/>
      <c r="Q1291" s="175"/>
      <c r="R1291" s="220"/>
      <c r="S1291" s="175"/>
      <c r="T1291" s="175"/>
      <c r="U1291" s="175"/>
      <c r="V1291" s="175"/>
      <c r="W1291" s="175"/>
      <c r="X1291" s="116"/>
    </row>
    <row r="1292" spans="1:24" s="112" customFormat="1">
      <c r="A1292" s="116"/>
      <c r="B1292" s="115"/>
      <c r="C1292" s="115"/>
      <c r="D1292" s="131"/>
      <c r="E1292" s="177"/>
      <c r="F1292" s="28"/>
      <c r="G1292" s="118"/>
      <c r="H1292" s="192"/>
      <c r="I1292" s="192"/>
      <c r="J1292" s="175"/>
      <c r="K1292" s="192"/>
      <c r="L1292" s="192"/>
      <c r="M1292" s="192"/>
      <c r="N1292" s="175"/>
      <c r="O1292" s="116"/>
      <c r="P1292" s="175"/>
      <c r="Q1292" s="175"/>
      <c r="R1292" s="220"/>
      <c r="S1292" s="175"/>
      <c r="T1292" s="175"/>
      <c r="U1292" s="175"/>
      <c r="V1292" s="175"/>
      <c r="W1292" s="175"/>
      <c r="X1292" s="116"/>
    </row>
    <row r="1293" spans="1:24" s="112" customFormat="1">
      <c r="A1293" s="116"/>
      <c r="B1293" s="115"/>
      <c r="C1293" s="115"/>
      <c r="D1293" s="131"/>
      <c r="E1293" s="177"/>
      <c r="F1293" s="28"/>
      <c r="G1293" s="118"/>
      <c r="H1293" s="192"/>
      <c r="I1293" s="192"/>
      <c r="J1293" s="175"/>
      <c r="K1293" s="192"/>
      <c r="L1293" s="192"/>
      <c r="M1293" s="192"/>
      <c r="N1293" s="175"/>
      <c r="O1293" s="116"/>
      <c r="P1293" s="175"/>
      <c r="Q1293" s="175"/>
      <c r="R1293" s="220"/>
      <c r="S1293" s="175"/>
      <c r="T1293" s="175"/>
      <c r="U1293" s="175"/>
      <c r="V1293" s="175"/>
      <c r="W1293" s="175"/>
      <c r="X1293" s="116"/>
    </row>
    <row r="1294" spans="1:24" s="112" customFormat="1">
      <c r="A1294" s="116"/>
      <c r="B1294" s="115"/>
      <c r="C1294" s="115"/>
      <c r="D1294" s="131"/>
      <c r="E1294" s="177"/>
      <c r="F1294" s="28"/>
      <c r="G1294" s="118"/>
      <c r="H1294" s="192"/>
      <c r="I1294" s="192"/>
      <c r="J1294" s="175"/>
      <c r="K1294" s="192"/>
      <c r="L1294" s="192"/>
      <c r="M1294" s="192"/>
      <c r="N1294" s="175"/>
      <c r="O1294" s="116"/>
      <c r="P1294" s="175"/>
      <c r="Q1294" s="175"/>
      <c r="R1294" s="220"/>
      <c r="S1294" s="175"/>
      <c r="T1294" s="175"/>
      <c r="U1294" s="175"/>
      <c r="V1294" s="175"/>
      <c r="W1294" s="175"/>
      <c r="X1294" s="116"/>
    </row>
    <row r="1295" spans="1:24" s="112" customFormat="1">
      <c r="A1295" s="116"/>
      <c r="B1295" s="115"/>
      <c r="C1295" s="115"/>
      <c r="D1295" s="131"/>
      <c r="E1295" s="177"/>
      <c r="F1295" s="28"/>
      <c r="G1295" s="118"/>
      <c r="H1295" s="192"/>
      <c r="I1295" s="192"/>
      <c r="J1295" s="175"/>
      <c r="K1295" s="192"/>
      <c r="L1295" s="192"/>
      <c r="M1295" s="192"/>
      <c r="N1295" s="175"/>
      <c r="O1295" s="116"/>
      <c r="P1295" s="175"/>
      <c r="Q1295" s="175"/>
      <c r="R1295" s="220"/>
      <c r="S1295" s="175"/>
      <c r="T1295" s="175"/>
      <c r="U1295" s="175"/>
      <c r="V1295" s="175"/>
      <c r="W1295" s="175"/>
      <c r="X1295" s="116"/>
    </row>
    <row r="1296" spans="1:24" s="112" customFormat="1">
      <c r="A1296" s="116"/>
      <c r="B1296" s="115"/>
      <c r="C1296" s="115"/>
      <c r="D1296" s="131"/>
      <c r="E1296" s="177"/>
      <c r="F1296" s="28"/>
      <c r="G1296" s="118"/>
      <c r="H1296" s="192"/>
      <c r="I1296" s="192"/>
      <c r="J1296" s="175"/>
      <c r="K1296" s="192"/>
      <c r="L1296" s="192"/>
      <c r="M1296" s="192"/>
      <c r="N1296" s="175"/>
      <c r="O1296" s="116"/>
      <c r="P1296" s="175"/>
      <c r="Q1296" s="175"/>
      <c r="R1296" s="220"/>
      <c r="S1296" s="175"/>
      <c r="T1296" s="175"/>
      <c r="U1296" s="175"/>
      <c r="V1296" s="175"/>
      <c r="W1296" s="175"/>
      <c r="X1296" s="116"/>
    </row>
    <row r="1297" spans="1:24" s="112" customFormat="1">
      <c r="A1297" s="116"/>
      <c r="B1297" s="115"/>
      <c r="C1297" s="115"/>
      <c r="D1297" s="131"/>
      <c r="E1297" s="177"/>
      <c r="F1297" s="28"/>
      <c r="G1297" s="118"/>
      <c r="H1297" s="192"/>
      <c r="I1297" s="192"/>
      <c r="J1297" s="175"/>
      <c r="K1297" s="192"/>
      <c r="L1297" s="192"/>
      <c r="M1297" s="192"/>
      <c r="N1297" s="175"/>
      <c r="O1297" s="116"/>
      <c r="P1297" s="175"/>
      <c r="Q1297" s="175"/>
      <c r="R1297" s="220"/>
      <c r="S1297" s="175"/>
      <c r="T1297" s="175"/>
      <c r="U1297" s="175"/>
      <c r="V1297" s="175"/>
      <c r="W1297" s="175"/>
      <c r="X1297" s="116"/>
    </row>
    <row r="1298" spans="1:24" s="112" customFormat="1">
      <c r="A1298" s="116"/>
      <c r="B1298" s="115"/>
      <c r="C1298" s="115"/>
      <c r="D1298" s="131"/>
      <c r="E1298" s="177"/>
      <c r="F1298" s="28"/>
      <c r="G1298" s="118"/>
      <c r="H1298" s="192"/>
      <c r="I1298" s="192"/>
      <c r="J1298" s="175"/>
      <c r="K1298" s="192"/>
      <c r="L1298" s="192"/>
      <c r="M1298" s="192"/>
      <c r="N1298" s="175"/>
      <c r="O1298" s="116"/>
      <c r="P1298" s="175"/>
      <c r="Q1298" s="175"/>
      <c r="R1298" s="220"/>
      <c r="S1298" s="175"/>
      <c r="T1298" s="175"/>
      <c r="U1298" s="175"/>
      <c r="V1298" s="175"/>
      <c r="W1298" s="175"/>
      <c r="X1298" s="116"/>
    </row>
    <row r="1299" spans="1:24" s="112" customFormat="1">
      <c r="A1299" s="116"/>
      <c r="B1299" s="115"/>
      <c r="C1299" s="115"/>
      <c r="D1299" s="131"/>
      <c r="E1299" s="177"/>
      <c r="F1299" s="28"/>
      <c r="G1299" s="118"/>
      <c r="H1299" s="192"/>
      <c r="I1299" s="192"/>
      <c r="J1299" s="175"/>
      <c r="K1299" s="192"/>
      <c r="L1299" s="192"/>
      <c r="M1299" s="192"/>
      <c r="N1299" s="175"/>
      <c r="O1299" s="116"/>
      <c r="P1299" s="175"/>
      <c r="Q1299" s="175"/>
      <c r="R1299" s="220"/>
      <c r="S1299" s="175"/>
      <c r="T1299" s="175"/>
      <c r="U1299" s="175"/>
      <c r="V1299" s="175"/>
      <c r="W1299" s="175"/>
      <c r="X1299" s="116"/>
    </row>
    <row r="1300" spans="1:24" s="112" customFormat="1">
      <c r="A1300" s="116"/>
      <c r="B1300" s="115"/>
      <c r="C1300" s="115"/>
      <c r="D1300" s="131"/>
      <c r="E1300" s="177"/>
      <c r="F1300" s="28"/>
      <c r="G1300" s="118"/>
      <c r="H1300" s="192"/>
      <c r="I1300" s="192"/>
      <c r="J1300" s="175"/>
      <c r="K1300" s="192"/>
      <c r="L1300" s="192"/>
      <c r="M1300" s="192"/>
      <c r="N1300" s="175"/>
      <c r="O1300" s="116"/>
      <c r="P1300" s="175"/>
      <c r="Q1300" s="175"/>
      <c r="R1300" s="220"/>
      <c r="S1300" s="175"/>
      <c r="T1300" s="175"/>
      <c r="U1300" s="175"/>
      <c r="V1300" s="175"/>
      <c r="W1300" s="175"/>
      <c r="X1300" s="116"/>
    </row>
    <row r="1301" spans="1:24" s="112" customFormat="1">
      <c r="A1301" s="116"/>
      <c r="B1301" s="115"/>
      <c r="C1301" s="115"/>
      <c r="D1301" s="131"/>
      <c r="E1301" s="177"/>
      <c r="F1301" s="28"/>
      <c r="G1301" s="118"/>
      <c r="H1301" s="192"/>
      <c r="I1301" s="192"/>
      <c r="J1301" s="175"/>
      <c r="K1301" s="192"/>
      <c r="L1301" s="192"/>
      <c r="M1301" s="192"/>
      <c r="N1301" s="175"/>
      <c r="O1301" s="116"/>
      <c r="P1301" s="175"/>
      <c r="Q1301" s="175"/>
      <c r="R1301" s="220"/>
      <c r="S1301" s="175"/>
      <c r="T1301" s="175"/>
      <c r="U1301" s="175"/>
      <c r="V1301" s="175"/>
      <c r="W1301" s="175"/>
      <c r="X1301" s="116"/>
    </row>
    <row r="1302" spans="1:24" s="112" customFormat="1">
      <c r="A1302" s="116"/>
      <c r="B1302" s="115"/>
      <c r="C1302" s="115"/>
      <c r="D1302" s="131"/>
      <c r="E1302" s="177"/>
      <c r="F1302" s="28"/>
      <c r="G1302" s="118"/>
      <c r="H1302" s="192"/>
      <c r="I1302" s="192"/>
      <c r="J1302" s="175"/>
      <c r="K1302" s="192"/>
      <c r="L1302" s="192"/>
      <c r="M1302" s="192"/>
      <c r="N1302" s="175"/>
      <c r="O1302" s="116"/>
      <c r="P1302" s="175"/>
      <c r="Q1302" s="175"/>
      <c r="R1302" s="220"/>
      <c r="S1302" s="175"/>
      <c r="T1302" s="175"/>
      <c r="U1302" s="175"/>
      <c r="V1302" s="175"/>
      <c r="W1302" s="175"/>
      <c r="X1302" s="116"/>
    </row>
    <row r="1303" spans="1:24" s="112" customFormat="1">
      <c r="A1303" s="116"/>
      <c r="B1303" s="115"/>
      <c r="C1303" s="115"/>
      <c r="D1303" s="131"/>
      <c r="E1303" s="177"/>
      <c r="F1303" s="28"/>
      <c r="G1303" s="118"/>
      <c r="H1303" s="192"/>
      <c r="I1303" s="192"/>
      <c r="J1303" s="175"/>
      <c r="K1303" s="192"/>
      <c r="L1303" s="192"/>
      <c r="M1303" s="192"/>
      <c r="N1303" s="175"/>
      <c r="O1303" s="116"/>
      <c r="P1303" s="175"/>
      <c r="Q1303" s="175"/>
      <c r="R1303" s="220"/>
      <c r="S1303" s="175"/>
      <c r="T1303" s="175"/>
      <c r="U1303" s="175"/>
      <c r="V1303" s="175"/>
      <c r="W1303" s="175"/>
      <c r="X1303" s="116"/>
    </row>
    <row r="1304" spans="1:24" s="112" customFormat="1">
      <c r="A1304" s="116"/>
      <c r="B1304" s="115"/>
      <c r="C1304" s="115"/>
      <c r="D1304" s="131"/>
      <c r="E1304" s="177"/>
      <c r="F1304" s="28"/>
      <c r="G1304" s="118"/>
      <c r="H1304" s="192"/>
      <c r="I1304" s="192"/>
      <c r="J1304" s="175"/>
      <c r="K1304" s="192"/>
      <c r="L1304" s="192"/>
      <c r="M1304" s="192"/>
      <c r="N1304" s="175"/>
      <c r="O1304" s="116"/>
      <c r="P1304" s="175"/>
      <c r="Q1304" s="175"/>
      <c r="R1304" s="220"/>
      <c r="S1304" s="175"/>
      <c r="T1304" s="175"/>
      <c r="U1304" s="175"/>
      <c r="V1304" s="175"/>
      <c r="W1304" s="175"/>
      <c r="X1304" s="116"/>
    </row>
    <row r="1305" spans="1:24" s="112" customFormat="1">
      <c r="A1305" s="116"/>
      <c r="B1305" s="115"/>
      <c r="C1305" s="115"/>
      <c r="D1305" s="131"/>
      <c r="E1305" s="177"/>
      <c r="F1305" s="28"/>
      <c r="G1305" s="118"/>
      <c r="H1305" s="192"/>
      <c r="I1305" s="192"/>
      <c r="J1305" s="175"/>
      <c r="K1305" s="192"/>
      <c r="L1305" s="192"/>
      <c r="M1305" s="192"/>
      <c r="N1305" s="175"/>
      <c r="O1305" s="116"/>
      <c r="P1305" s="175"/>
      <c r="Q1305" s="175"/>
      <c r="R1305" s="220"/>
      <c r="S1305" s="175"/>
      <c r="T1305" s="175"/>
      <c r="U1305" s="175"/>
      <c r="V1305" s="175"/>
      <c r="W1305" s="175"/>
      <c r="X1305" s="116"/>
    </row>
    <row r="1306" spans="1:24" s="112" customFormat="1">
      <c r="A1306" s="116"/>
      <c r="B1306" s="115"/>
      <c r="C1306" s="115"/>
      <c r="D1306" s="131"/>
      <c r="E1306" s="177"/>
      <c r="F1306" s="28"/>
      <c r="G1306" s="118"/>
      <c r="H1306" s="192"/>
      <c r="I1306" s="192"/>
      <c r="J1306" s="175"/>
      <c r="K1306" s="192"/>
      <c r="L1306" s="192"/>
      <c r="M1306" s="192"/>
      <c r="N1306" s="175"/>
      <c r="O1306" s="116"/>
      <c r="P1306" s="175"/>
      <c r="Q1306" s="175"/>
      <c r="R1306" s="220"/>
      <c r="S1306" s="175"/>
      <c r="T1306" s="175"/>
      <c r="U1306" s="175"/>
      <c r="V1306" s="175"/>
      <c r="W1306" s="175"/>
      <c r="X1306" s="116"/>
    </row>
    <row r="1307" spans="1:24" s="112" customFormat="1">
      <c r="A1307" s="116"/>
      <c r="B1307" s="115"/>
      <c r="C1307" s="115"/>
      <c r="D1307" s="131"/>
      <c r="E1307" s="177"/>
      <c r="F1307" s="28"/>
      <c r="G1307" s="118"/>
      <c r="H1307" s="192"/>
      <c r="I1307" s="192"/>
      <c r="J1307" s="175"/>
      <c r="K1307" s="192"/>
      <c r="L1307" s="192"/>
      <c r="M1307" s="192"/>
      <c r="N1307" s="175"/>
      <c r="O1307" s="116"/>
      <c r="P1307" s="175"/>
      <c r="Q1307" s="175"/>
      <c r="R1307" s="220"/>
      <c r="S1307" s="175"/>
      <c r="T1307" s="175"/>
      <c r="U1307" s="175"/>
      <c r="V1307" s="175"/>
      <c r="W1307" s="175"/>
      <c r="X1307" s="116"/>
    </row>
    <row r="1308" spans="1:24" s="112" customFormat="1">
      <c r="A1308" s="116"/>
      <c r="B1308" s="115"/>
      <c r="C1308" s="115"/>
      <c r="D1308" s="131"/>
      <c r="E1308" s="177"/>
      <c r="F1308" s="28"/>
      <c r="G1308" s="118"/>
      <c r="H1308" s="192"/>
      <c r="I1308" s="192"/>
      <c r="J1308" s="175"/>
      <c r="K1308" s="192"/>
      <c r="L1308" s="192"/>
      <c r="M1308" s="192"/>
      <c r="N1308" s="175"/>
      <c r="O1308" s="116"/>
      <c r="P1308" s="175"/>
      <c r="Q1308" s="175"/>
      <c r="R1308" s="220"/>
      <c r="S1308" s="175"/>
      <c r="T1308" s="175"/>
      <c r="U1308" s="175"/>
      <c r="V1308" s="175"/>
      <c r="W1308" s="175"/>
      <c r="X1308" s="116"/>
    </row>
    <row r="1309" spans="1:24" s="112" customFormat="1">
      <c r="A1309" s="116"/>
      <c r="B1309" s="115"/>
      <c r="C1309" s="115"/>
      <c r="D1309" s="131"/>
      <c r="E1309" s="177"/>
      <c r="F1309" s="28"/>
      <c r="G1309" s="118"/>
      <c r="H1309" s="192"/>
      <c r="I1309" s="192"/>
      <c r="J1309" s="175"/>
      <c r="K1309" s="192"/>
      <c r="L1309" s="192"/>
      <c r="M1309" s="192"/>
      <c r="N1309" s="175"/>
      <c r="O1309" s="116"/>
      <c r="P1309" s="175"/>
      <c r="Q1309" s="175"/>
      <c r="R1309" s="220"/>
      <c r="S1309" s="175"/>
      <c r="T1309" s="175"/>
      <c r="U1309" s="175"/>
      <c r="V1309" s="175"/>
      <c r="W1309" s="175"/>
      <c r="X1309" s="116"/>
    </row>
    <row r="1310" spans="1:24" s="112" customFormat="1">
      <c r="A1310" s="116"/>
      <c r="B1310" s="115"/>
      <c r="C1310" s="115"/>
      <c r="D1310" s="131"/>
      <c r="E1310" s="177"/>
      <c r="F1310" s="28"/>
      <c r="G1310" s="118"/>
      <c r="H1310" s="192"/>
      <c r="I1310" s="192"/>
      <c r="J1310" s="175"/>
      <c r="K1310" s="192"/>
      <c r="L1310" s="192"/>
      <c r="M1310" s="192"/>
      <c r="N1310" s="175"/>
      <c r="O1310" s="116"/>
      <c r="P1310" s="175"/>
      <c r="Q1310" s="175"/>
      <c r="R1310" s="220"/>
      <c r="S1310" s="175"/>
      <c r="T1310" s="175"/>
      <c r="U1310" s="175"/>
      <c r="V1310" s="175"/>
      <c r="W1310" s="175"/>
      <c r="X1310" s="116"/>
    </row>
    <row r="1311" spans="1:24" s="112" customFormat="1">
      <c r="A1311" s="116"/>
      <c r="B1311" s="115"/>
      <c r="C1311" s="115"/>
      <c r="D1311" s="131"/>
      <c r="E1311" s="177"/>
      <c r="F1311" s="28"/>
      <c r="G1311" s="118"/>
      <c r="H1311" s="192"/>
      <c r="I1311" s="192"/>
      <c r="J1311" s="175"/>
      <c r="K1311" s="192"/>
      <c r="L1311" s="192"/>
      <c r="M1311" s="192"/>
      <c r="N1311" s="175"/>
      <c r="O1311" s="116"/>
      <c r="P1311" s="175"/>
      <c r="Q1311" s="175"/>
      <c r="R1311" s="220"/>
      <c r="S1311" s="175"/>
      <c r="T1311" s="175"/>
      <c r="U1311" s="175"/>
      <c r="V1311" s="175"/>
      <c r="W1311" s="175"/>
      <c r="X1311" s="116"/>
    </row>
    <row r="1312" spans="1:24" s="112" customFormat="1">
      <c r="A1312" s="116"/>
      <c r="B1312" s="115"/>
      <c r="C1312" s="115"/>
      <c r="D1312" s="131"/>
      <c r="E1312" s="177"/>
      <c r="F1312" s="28"/>
      <c r="G1312" s="118"/>
      <c r="H1312" s="192"/>
      <c r="I1312" s="192"/>
      <c r="J1312" s="175"/>
      <c r="K1312" s="192"/>
      <c r="L1312" s="192"/>
      <c r="M1312" s="192"/>
      <c r="N1312" s="175"/>
      <c r="O1312" s="116"/>
      <c r="P1312" s="175"/>
      <c r="Q1312" s="175"/>
      <c r="R1312" s="220"/>
      <c r="S1312" s="175"/>
      <c r="T1312" s="175"/>
      <c r="U1312" s="175"/>
      <c r="V1312" s="175"/>
      <c r="W1312" s="175"/>
      <c r="X1312" s="116"/>
    </row>
    <row r="1313" spans="1:24" s="112" customFormat="1">
      <c r="A1313" s="116"/>
      <c r="B1313" s="115"/>
      <c r="C1313" s="115"/>
      <c r="D1313" s="131"/>
      <c r="E1313" s="177"/>
      <c r="F1313" s="28"/>
      <c r="G1313" s="118"/>
      <c r="H1313" s="192"/>
      <c r="I1313" s="192"/>
      <c r="J1313" s="175"/>
      <c r="K1313" s="192"/>
      <c r="L1313" s="192"/>
      <c r="M1313" s="192"/>
      <c r="N1313" s="175"/>
      <c r="O1313" s="116"/>
      <c r="P1313" s="175"/>
      <c r="Q1313" s="175"/>
      <c r="R1313" s="220"/>
      <c r="S1313" s="175"/>
      <c r="T1313" s="175"/>
      <c r="U1313" s="175"/>
      <c r="V1313" s="175"/>
      <c r="W1313" s="175"/>
      <c r="X1313" s="116"/>
    </row>
    <row r="1314" spans="1:24" s="112" customFormat="1">
      <c r="A1314" s="116"/>
      <c r="B1314" s="115"/>
      <c r="C1314" s="115"/>
      <c r="D1314" s="131"/>
      <c r="E1314" s="177"/>
      <c r="F1314" s="28"/>
      <c r="G1314" s="118"/>
      <c r="H1314" s="192"/>
      <c r="I1314" s="192"/>
      <c r="J1314" s="175"/>
      <c r="K1314" s="192"/>
      <c r="L1314" s="192"/>
      <c r="M1314" s="192"/>
      <c r="N1314" s="175"/>
      <c r="O1314" s="116"/>
      <c r="P1314" s="175"/>
      <c r="Q1314" s="175"/>
      <c r="R1314" s="220"/>
      <c r="S1314" s="175"/>
      <c r="T1314" s="175"/>
      <c r="U1314" s="175"/>
      <c r="V1314" s="175"/>
      <c r="W1314" s="175"/>
      <c r="X1314" s="116"/>
    </row>
    <row r="1315" spans="1:24" s="112" customFormat="1">
      <c r="A1315" s="116"/>
      <c r="B1315" s="115"/>
      <c r="C1315" s="115"/>
      <c r="D1315" s="131"/>
      <c r="E1315" s="177"/>
      <c r="F1315" s="28"/>
      <c r="G1315" s="118"/>
      <c r="H1315" s="192"/>
      <c r="I1315" s="192"/>
      <c r="J1315" s="175"/>
      <c r="K1315" s="192"/>
      <c r="L1315" s="192"/>
      <c r="M1315" s="192"/>
      <c r="N1315" s="175"/>
      <c r="O1315" s="116"/>
      <c r="P1315" s="175"/>
      <c r="Q1315" s="175"/>
      <c r="R1315" s="220"/>
      <c r="S1315" s="175"/>
      <c r="T1315" s="175"/>
      <c r="U1315" s="175"/>
      <c r="V1315" s="175"/>
      <c r="W1315" s="175"/>
      <c r="X1315" s="116"/>
    </row>
    <row r="1316" spans="1:24" s="112" customFormat="1">
      <c r="A1316" s="116"/>
      <c r="B1316" s="115"/>
      <c r="C1316" s="115"/>
      <c r="D1316" s="131"/>
      <c r="E1316" s="177"/>
      <c r="F1316" s="28"/>
      <c r="G1316" s="118"/>
      <c r="H1316" s="192"/>
      <c r="I1316" s="192"/>
      <c r="J1316" s="175"/>
      <c r="K1316" s="192"/>
      <c r="L1316" s="192"/>
      <c r="M1316" s="192"/>
      <c r="N1316" s="175"/>
      <c r="O1316" s="116"/>
      <c r="P1316" s="175"/>
      <c r="Q1316" s="175"/>
      <c r="R1316" s="220"/>
      <c r="S1316" s="175"/>
      <c r="T1316" s="175"/>
      <c r="U1316" s="175"/>
      <c r="V1316" s="175"/>
      <c r="W1316" s="175"/>
      <c r="X1316" s="116"/>
    </row>
    <row r="1317" spans="1:24" s="112" customFormat="1">
      <c r="A1317" s="116"/>
      <c r="B1317" s="115"/>
      <c r="C1317" s="115"/>
      <c r="D1317" s="131"/>
      <c r="E1317" s="177"/>
      <c r="F1317" s="28"/>
      <c r="G1317" s="118"/>
      <c r="H1317" s="192"/>
      <c r="I1317" s="192"/>
      <c r="J1317" s="175"/>
      <c r="K1317" s="192"/>
      <c r="L1317" s="192"/>
      <c r="M1317" s="192"/>
      <c r="N1317" s="175"/>
      <c r="O1317" s="116"/>
      <c r="P1317" s="175"/>
      <c r="Q1317" s="175"/>
      <c r="R1317" s="220"/>
      <c r="S1317" s="175"/>
      <c r="T1317" s="175"/>
      <c r="U1317" s="175"/>
      <c r="V1317" s="175"/>
      <c r="W1317" s="175"/>
      <c r="X1317" s="116"/>
    </row>
    <row r="1318" spans="1:24" s="112" customFormat="1">
      <c r="A1318" s="116"/>
      <c r="B1318" s="115"/>
      <c r="C1318" s="115"/>
      <c r="D1318" s="131"/>
      <c r="E1318" s="177"/>
      <c r="F1318" s="28"/>
      <c r="G1318" s="118"/>
      <c r="H1318" s="192"/>
      <c r="I1318" s="192"/>
      <c r="J1318" s="175"/>
      <c r="K1318" s="192"/>
      <c r="L1318" s="192"/>
      <c r="M1318" s="192"/>
      <c r="N1318" s="175"/>
      <c r="O1318" s="116"/>
      <c r="P1318" s="175"/>
      <c r="Q1318" s="175"/>
      <c r="R1318" s="220"/>
      <c r="S1318" s="175"/>
      <c r="T1318" s="175"/>
      <c r="U1318" s="175"/>
      <c r="V1318" s="175"/>
      <c r="W1318" s="175"/>
      <c r="X1318" s="116"/>
    </row>
    <row r="1319" spans="1:24" s="112" customFormat="1">
      <c r="A1319" s="116"/>
      <c r="B1319" s="115"/>
      <c r="C1319" s="115"/>
      <c r="D1319" s="131"/>
      <c r="E1319" s="177"/>
      <c r="F1319" s="28"/>
      <c r="G1319" s="118"/>
      <c r="H1319" s="192"/>
      <c r="I1319" s="192"/>
      <c r="J1319" s="175"/>
      <c r="K1319" s="192"/>
      <c r="L1319" s="192"/>
      <c r="M1319" s="192"/>
      <c r="N1319" s="175"/>
      <c r="O1319" s="116"/>
      <c r="P1319" s="175"/>
      <c r="Q1319" s="175"/>
      <c r="R1319" s="220"/>
      <c r="S1319" s="175"/>
      <c r="T1319" s="175"/>
      <c r="U1319" s="175"/>
      <c r="V1319" s="175"/>
      <c r="W1319" s="175"/>
      <c r="X1319" s="116"/>
    </row>
    <row r="1320" spans="1:24" s="112" customFormat="1">
      <c r="A1320" s="116"/>
      <c r="B1320" s="115"/>
      <c r="C1320" s="115"/>
      <c r="D1320" s="131"/>
      <c r="E1320" s="177"/>
      <c r="F1320" s="28"/>
      <c r="G1320" s="118"/>
      <c r="H1320" s="192"/>
      <c r="I1320" s="192"/>
      <c r="J1320" s="175"/>
      <c r="K1320" s="192"/>
      <c r="L1320" s="192"/>
      <c r="M1320" s="192"/>
      <c r="N1320" s="175"/>
      <c r="O1320" s="116"/>
      <c r="P1320" s="175"/>
      <c r="Q1320" s="175"/>
      <c r="R1320" s="220"/>
      <c r="S1320" s="175"/>
      <c r="T1320" s="175"/>
      <c r="U1320" s="175"/>
      <c r="V1320" s="175"/>
      <c r="W1320" s="175"/>
      <c r="X1320" s="116"/>
    </row>
    <row r="1321" spans="1:24" s="112" customFormat="1">
      <c r="A1321" s="116"/>
      <c r="B1321" s="115"/>
      <c r="C1321" s="115"/>
      <c r="D1321" s="131"/>
      <c r="E1321" s="177"/>
      <c r="F1321" s="28"/>
      <c r="G1321" s="118"/>
      <c r="H1321" s="192"/>
      <c r="I1321" s="192"/>
      <c r="J1321" s="175"/>
      <c r="K1321" s="192"/>
      <c r="L1321" s="192"/>
      <c r="M1321" s="192"/>
      <c r="N1321" s="175"/>
      <c r="O1321" s="116"/>
      <c r="P1321" s="175"/>
      <c r="Q1321" s="175"/>
      <c r="R1321" s="220"/>
      <c r="S1321" s="175"/>
      <c r="T1321" s="175"/>
      <c r="U1321" s="175"/>
      <c r="V1321" s="175"/>
      <c r="W1321" s="175"/>
      <c r="X1321" s="116"/>
    </row>
    <row r="1322" spans="1:24" s="112" customFormat="1">
      <c r="A1322" s="116"/>
      <c r="B1322" s="115"/>
      <c r="C1322" s="115"/>
      <c r="D1322" s="131"/>
      <c r="E1322" s="177"/>
      <c r="F1322" s="28"/>
      <c r="G1322" s="118"/>
      <c r="H1322" s="192"/>
      <c r="I1322" s="192"/>
      <c r="J1322" s="175"/>
      <c r="K1322" s="192"/>
      <c r="L1322" s="192"/>
      <c r="M1322" s="192"/>
      <c r="N1322" s="175"/>
      <c r="O1322" s="116"/>
      <c r="P1322" s="175"/>
      <c r="Q1322" s="175"/>
      <c r="R1322" s="220"/>
      <c r="S1322" s="175"/>
      <c r="T1322" s="175"/>
      <c r="U1322" s="175"/>
      <c r="V1322" s="175"/>
      <c r="W1322" s="175"/>
      <c r="X1322" s="116"/>
    </row>
    <row r="1323" spans="1:24" s="112" customFormat="1">
      <c r="A1323" s="116"/>
      <c r="B1323" s="115"/>
      <c r="C1323" s="115"/>
      <c r="D1323" s="131"/>
      <c r="E1323" s="177"/>
      <c r="F1323" s="28"/>
      <c r="G1323" s="118"/>
      <c r="H1323" s="192"/>
      <c r="I1323" s="192"/>
      <c r="J1323" s="175"/>
      <c r="K1323" s="192"/>
      <c r="L1323" s="192"/>
      <c r="M1323" s="192"/>
      <c r="N1323" s="175"/>
      <c r="O1323" s="116"/>
      <c r="P1323" s="175"/>
      <c r="Q1323" s="175"/>
      <c r="R1323" s="220"/>
      <c r="S1323" s="175"/>
      <c r="T1323" s="175"/>
      <c r="U1323" s="175"/>
      <c r="V1323" s="175"/>
      <c r="W1323" s="175"/>
      <c r="X1323" s="116"/>
    </row>
    <row r="1324" spans="1:24" s="112" customFormat="1">
      <c r="A1324" s="116"/>
      <c r="B1324" s="115"/>
      <c r="C1324" s="115"/>
      <c r="D1324" s="131"/>
      <c r="E1324" s="177"/>
      <c r="F1324" s="28"/>
      <c r="G1324" s="118"/>
      <c r="H1324" s="192"/>
      <c r="I1324" s="192"/>
      <c r="J1324" s="175"/>
      <c r="K1324" s="192"/>
      <c r="L1324" s="192"/>
      <c r="M1324" s="192"/>
      <c r="N1324" s="175"/>
      <c r="O1324" s="116"/>
      <c r="P1324" s="175"/>
      <c r="Q1324" s="175"/>
      <c r="R1324" s="220"/>
      <c r="S1324" s="175"/>
      <c r="T1324" s="175"/>
      <c r="U1324" s="175"/>
      <c r="V1324" s="175"/>
      <c r="W1324" s="175"/>
      <c r="X1324" s="116"/>
    </row>
    <row r="1325" spans="1:24" s="112" customFormat="1">
      <c r="A1325" s="116"/>
      <c r="B1325" s="115"/>
      <c r="C1325" s="115"/>
      <c r="D1325" s="131"/>
      <c r="E1325" s="177"/>
      <c r="F1325" s="28"/>
      <c r="G1325" s="118"/>
      <c r="H1325" s="192"/>
      <c r="I1325" s="192"/>
      <c r="J1325" s="175"/>
      <c r="K1325" s="192"/>
      <c r="L1325" s="192"/>
      <c r="M1325" s="192"/>
      <c r="N1325" s="175"/>
      <c r="O1325" s="116"/>
      <c r="P1325" s="175"/>
      <c r="Q1325" s="175"/>
      <c r="R1325" s="220"/>
      <c r="S1325" s="175"/>
      <c r="T1325" s="175"/>
      <c r="U1325" s="175"/>
      <c r="V1325" s="175"/>
      <c r="W1325" s="175"/>
      <c r="X1325" s="116"/>
    </row>
    <row r="1326" spans="1:24" s="112" customFormat="1">
      <c r="A1326" s="116"/>
      <c r="B1326" s="115"/>
      <c r="C1326" s="115"/>
      <c r="D1326" s="131"/>
      <c r="E1326" s="177"/>
      <c r="F1326" s="28"/>
      <c r="G1326" s="118"/>
      <c r="H1326" s="192"/>
      <c r="I1326" s="192"/>
      <c r="J1326" s="175"/>
      <c r="K1326" s="192"/>
      <c r="L1326" s="192"/>
      <c r="M1326" s="192"/>
      <c r="N1326" s="175"/>
      <c r="O1326" s="116"/>
      <c r="P1326" s="175"/>
      <c r="Q1326" s="175"/>
      <c r="R1326" s="220"/>
      <c r="S1326" s="175"/>
      <c r="T1326" s="175"/>
      <c r="U1326" s="175"/>
      <c r="V1326" s="175"/>
      <c r="W1326" s="175"/>
      <c r="X1326" s="116"/>
    </row>
    <row r="1327" spans="1:24" s="112" customFormat="1">
      <c r="A1327" s="116"/>
      <c r="B1327" s="115"/>
      <c r="C1327" s="115"/>
      <c r="D1327" s="131"/>
      <c r="E1327" s="177"/>
      <c r="F1327" s="28"/>
      <c r="G1327" s="118"/>
      <c r="H1327" s="192"/>
      <c r="I1327" s="192"/>
      <c r="J1327" s="175"/>
      <c r="K1327" s="192"/>
      <c r="L1327" s="192"/>
      <c r="M1327" s="192"/>
      <c r="N1327" s="175"/>
      <c r="O1327" s="116"/>
      <c r="P1327" s="175"/>
      <c r="Q1327" s="175"/>
      <c r="R1327" s="220"/>
      <c r="S1327" s="175"/>
      <c r="T1327" s="175"/>
      <c r="U1327" s="175"/>
      <c r="V1327" s="175"/>
      <c r="W1327" s="175"/>
      <c r="X1327" s="116"/>
    </row>
    <row r="1328" spans="1:24" s="112" customFormat="1">
      <c r="A1328" s="116"/>
      <c r="B1328" s="115"/>
      <c r="C1328" s="115"/>
      <c r="D1328" s="131"/>
      <c r="E1328" s="177"/>
      <c r="F1328" s="28"/>
      <c r="G1328" s="118"/>
      <c r="H1328" s="192"/>
      <c r="I1328" s="192"/>
      <c r="J1328" s="175"/>
      <c r="K1328" s="192"/>
      <c r="L1328" s="192"/>
      <c r="M1328" s="192"/>
      <c r="N1328" s="175"/>
      <c r="O1328" s="116"/>
      <c r="P1328" s="175"/>
      <c r="Q1328" s="175"/>
      <c r="R1328" s="220"/>
      <c r="S1328" s="175"/>
      <c r="T1328" s="175"/>
      <c r="U1328" s="175"/>
      <c r="V1328" s="175"/>
      <c r="W1328" s="175"/>
      <c r="X1328" s="116"/>
    </row>
    <row r="1329" spans="1:24" s="112" customFormat="1">
      <c r="A1329" s="116"/>
      <c r="B1329" s="115"/>
      <c r="C1329" s="115"/>
      <c r="D1329" s="131"/>
      <c r="E1329" s="177"/>
      <c r="F1329" s="28"/>
      <c r="G1329" s="118"/>
      <c r="H1329" s="192"/>
      <c r="I1329" s="192"/>
      <c r="J1329" s="175"/>
      <c r="K1329" s="192"/>
      <c r="L1329" s="192"/>
      <c r="M1329" s="192"/>
      <c r="N1329" s="175"/>
      <c r="O1329" s="116"/>
      <c r="P1329" s="175"/>
      <c r="Q1329" s="175"/>
      <c r="R1329" s="220"/>
      <c r="S1329" s="175"/>
      <c r="T1329" s="175"/>
      <c r="U1329" s="175"/>
      <c r="V1329" s="175"/>
      <c r="W1329" s="175"/>
      <c r="X1329" s="116"/>
    </row>
    <row r="1330" spans="1:24" s="112" customFormat="1">
      <c r="A1330" s="116"/>
      <c r="B1330" s="115"/>
      <c r="C1330" s="115"/>
      <c r="D1330" s="131"/>
      <c r="E1330" s="177"/>
      <c r="F1330" s="28"/>
      <c r="G1330" s="118"/>
      <c r="H1330" s="192"/>
      <c r="I1330" s="192"/>
      <c r="J1330" s="175"/>
      <c r="K1330" s="192"/>
      <c r="L1330" s="192"/>
      <c r="M1330" s="192"/>
      <c r="N1330" s="175"/>
      <c r="O1330" s="116"/>
      <c r="P1330" s="175"/>
      <c r="Q1330" s="175"/>
      <c r="R1330" s="220"/>
      <c r="S1330" s="175"/>
      <c r="T1330" s="175"/>
      <c r="U1330" s="175"/>
      <c r="V1330" s="175"/>
      <c r="W1330" s="175"/>
      <c r="X1330" s="116"/>
    </row>
    <row r="1331" spans="1:24" s="112" customFormat="1">
      <c r="A1331" s="116"/>
      <c r="B1331" s="115"/>
      <c r="C1331" s="115"/>
      <c r="D1331" s="131"/>
      <c r="E1331" s="177"/>
      <c r="F1331" s="28"/>
      <c r="G1331" s="118"/>
      <c r="H1331" s="192"/>
      <c r="I1331" s="192"/>
      <c r="J1331" s="175"/>
      <c r="K1331" s="192"/>
      <c r="L1331" s="192"/>
      <c r="M1331" s="192"/>
      <c r="N1331" s="175"/>
      <c r="O1331" s="116"/>
      <c r="P1331" s="175"/>
      <c r="Q1331" s="175"/>
      <c r="R1331" s="220"/>
      <c r="S1331" s="175"/>
      <c r="T1331" s="175"/>
      <c r="U1331" s="175"/>
      <c r="V1331" s="175"/>
      <c r="W1331" s="175"/>
      <c r="X1331" s="116"/>
    </row>
    <row r="1332" spans="1:24" s="112" customFormat="1">
      <c r="A1332" s="116"/>
      <c r="B1332" s="115"/>
      <c r="C1332" s="115"/>
      <c r="D1332" s="131"/>
      <c r="E1332" s="177"/>
      <c r="F1332" s="28"/>
      <c r="G1332" s="118"/>
      <c r="H1332" s="192"/>
      <c r="I1332" s="192"/>
      <c r="J1332" s="175"/>
      <c r="K1332" s="192"/>
      <c r="L1332" s="192"/>
      <c r="M1332" s="192"/>
      <c r="N1332" s="175"/>
      <c r="O1332" s="116"/>
      <c r="P1332" s="175"/>
      <c r="Q1332" s="175"/>
      <c r="R1332" s="220"/>
      <c r="S1332" s="175"/>
      <c r="T1332" s="175"/>
      <c r="U1332" s="175"/>
      <c r="V1332" s="175"/>
      <c r="W1332" s="175"/>
      <c r="X1332" s="116"/>
    </row>
    <row r="1333" spans="1:24" s="112" customFormat="1">
      <c r="A1333" s="116"/>
      <c r="B1333" s="115"/>
      <c r="C1333" s="115"/>
      <c r="D1333" s="131"/>
      <c r="E1333" s="177"/>
      <c r="F1333" s="28"/>
      <c r="G1333" s="118"/>
      <c r="H1333" s="192"/>
      <c r="I1333" s="192"/>
      <c r="J1333" s="175"/>
      <c r="K1333" s="192"/>
      <c r="L1333" s="192"/>
      <c r="M1333" s="192"/>
      <c r="N1333" s="175"/>
      <c r="O1333" s="116"/>
      <c r="P1333" s="175"/>
      <c r="Q1333" s="175"/>
      <c r="R1333" s="220"/>
      <c r="S1333" s="175"/>
      <c r="T1333" s="175"/>
      <c r="U1333" s="175"/>
      <c r="V1333" s="175"/>
      <c r="W1333" s="175"/>
      <c r="X1333" s="116"/>
    </row>
    <row r="1334" spans="1:24" s="112" customFormat="1">
      <c r="A1334" s="116"/>
      <c r="B1334" s="115"/>
      <c r="C1334" s="115"/>
      <c r="D1334" s="131"/>
      <c r="E1334" s="177"/>
      <c r="F1334" s="28"/>
      <c r="G1334" s="118"/>
      <c r="H1334" s="192"/>
      <c r="I1334" s="192"/>
      <c r="J1334" s="175"/>
      <c r="K1334" s="192"/>
      <c r="L1334" s="192"/>
      <c r="M1334" s="192"/>
      <c r="N1334" s="175"/>
      <c r="O1334" s="116"/>
      <c r="P1334" s="175"/>
      <c r="Q1334" s="175"/>
      <c r="R1334" s="220"/>
      <c r="S1334" s="175"/>
      <c r="T1334" s="175"/>
      <c r="U1334" s="175"/>
      <c r="V1334" s="175"/>
      <c r="W1334" s="175"/>
      <c r="X1334" s="116"/>
    </row>
    <row r="1335" spans="1:24" s="112" customFormat="1">
      <c r="A1335" s="116"/>
      <c r="B1335" s="115"/>
      <c r="C1335" s="115"/>
      <c r="D1335" s="131"/>
      <c r="E1335" s="177"/>
      <c r="F1335" s="28"/>
      <c r="G1335" s="118"/>
      <c r="H1335" s="192"/>
      <c r="I1335" s="192"/>
      <c r="J1335" s="175"/>
      <c r="K1335" s="192"/>
      <c r="L1335" s="192"/>
      <c r="M1335" s="192"/>
      <c r="N1335" s="175"/>
      <c r="O1335" s="116"/>
      <c r="P1335" s="175"/>
      <c r="Q1335" s="175"/>
      <c r="R1335" s="220"/>
      <c r="S1335" s="175"/>
      <c r="T1335" s="175"/>
      <c r="U1335" s="175"/>
      <c r="V1335" s="175"/>
      <c r="W1335" s="175"/>
      <c r="X1335" s="116"/>
    </row>
    <row r="1336" spans="1:24" s="112" customFormat="1">
      <c r="A1336" s="116"/>
      <c r="B1336" s="115"/>
      <c r="C1336" s="115"/>
      <c r="D1336" s="131"/>
      <c r="E1336" s="177"/>
      <c r="F1336" s="28"/>
      <c r="G1336" s="118"/>
      <c r="H1336" s="192"/>
      <c r="I1336" s="192"/>
      <c r="J1336" s="175"/>
      <c r="K1336" s="192"/>
      <c r="L1336" s="192"/>
      <c r="M1336" s="192"/>
      <c r="N1336" s="175"/>
      <c r="O1336" s="116"/>
      <c r="P1336" s="175"/>
      <c r="Q1336" s="175"/>
      <c r="R1336" s="220"/>
      <c r="S1336" s="175"/>
      <c r="T1336" s="175"/>
      <c r="U1336" s="175"/>
      <c r="V1336" s="175"/>
      <c r="W1336" s="175"/>
      <c r="X1336" s="116"/>
    </row>
    <row r="1337" spans="1:24" s="112" customFormat="1">
      <c r="A1337" s="116"/>
      <c r="B1337" s="115"/>
      <c r="C1337" s="115"/>
      <c r="D1337" s="131"/>
      <c r="E1337" s="177"/>
      <c r="F1337" s="28"/>
      <c r="G1337" s="118"/>
      <c r="H1337" s="192"/>
      <c r="I1337" s="192"/>
      <c r="J1337" s="175"/>
      <c r="K1337" s="192"/>
      <c r="L1337" s="192"/>
      <c r="M1337" s="192"/>
      <c r="N1337" s="175"/>
      <c r="O1337" s="116"/>
      <c r="P1337" s="175"/>
      <c r="Q1337" s="175"/>
      <c r="R1337" s="220"/>
      <c r="S1337" s="175"/>
      <c r="T1337" s="175"/>
      <c r="U1337" s="175"/>
      <c r="V1337" s="175"/>
      <c r="W1337" s="175"/>
      <c r="X1337" s="116"/>
    </row>
    <row r="1338" spans="1:24" s="112" customFormat="1">
      <c r="A1338" s="116"/>
      <c r="B1338" s="115"/>
      <c r="C1338" s="115"/>
      <c r="D1338" s="131"/>
      <c r="E1338" s="177"/>
      <c r="F1338" s="28"/>
      <c r="G1338" s="118"/>
      <c r="H1338" s="192"/>
      <c r="I1338" s="192"/>
      <c r="J1338" s="175"/>
      <c r="K1338" s="192"/>
      <c r="L1338" s="192"/>
      <c r="M1338" s="192"/>
      <c r="N1338" s="175"/>
      <c r="O1338" s="116"/>
      <c r="P1338" s="175"/>
      <c r="Q1338" s="175"/>
      <c r="R1338" s="220"/>
      <c r="S1338" s="175"/>
      <c r="T1338" s="175"/>
      <c r="U1338" s="175"/>
      <c r="V1338" s="175"/>
      <c r="W1338" s="175"/>
      <c r="X1338" s="116"/>
    </row>
    <row r="1339" spans="1:24" s="112" customFormat="1">
      <c r="A1339" s="116"/>
      <c r="B1339" s="115"/>
      <c r="C1339" s="115"/>
      <c r="D1339" s="131"/>
      <c r="E1339" s="177"/>
      <c r="F1339" s="28"/>
      <c r="G1339" s="118"/>
      <c r="H1339" s="192"/>
      <c r="I1339" s="192"/>
      <c r="J1339" s="175"/>
      <c r="K1339" s="192"/>
      <c r="L1339" s="192"/>
      <c r="M1339" s="192"/>
      <c r="N1339" s="175"/>
      <c r="O1339" s="116"/>
      <c r="P1339" s="175"/>
      <c r="Q1339" s="175"/>
      <c r="R1339" s="220"/>
      <c r="S1339" s="175"/>
      <c r="T1339" s="175"/>
      <c r="U1339" s="175"/>
      <c r="V1339" s="175"/>
      <c r="W1339" s="175"/>
      <c r="X1339" s="116"/>
    </row>
    <row r="1340" spans="1:24" s="112" customFormat="1">
      <c r="A1340" s="116"/>
      <c r="B1340" s="115"/>
      <c r="C1340" s="115"/>
      <c r="D1340" s="131"/>
      <c r="E1340" s="177"/>
      <c r="F1340" s="28"/>
      <c r="G1340" s="118"/>
      <c r="H1340" s="192"/>
      <c r="I1340" s="192"/>
      <c r="J1340" s="175"/>
      <c r="K1340" s="192"/>
      <c r="L1340" s="192"/>
      <c r="M1340" s="192"/>
      <c r="N1340" s="175"/>
      <c r="O1340" s="116"/>
      <c r="P1340" s="175"/>
      <c r="Q1340" s="175"/>
      <c r="R1340" s="220"/>
      <c r="S1340" s="175"/>
      <c r="T1340" s="175"/>
      <c r="U1340" s="175"/>
      <c r="V1340" s="175"/>
      <c r="W1340" s="175"/>
      <c r="X1340" s="116"/>
    </row>
    <row r="1341" spans="1:24" s="112" customFormat="1">
      <c r="A1341" s="116"/>
      <c r="B1341" s="115"/>
      <c r="C1341" s="115"/>
      <c r="D1341" s="131"/>
      <c r="E1341" s="177"/>
      <c r="F1341" s="28"/>
      <c r="G1341" s="118"/>
      <c r="H1341" s="192"/>
      <c r="I1341" s="192"/>
      <c r="J1341" s="175"/>
      <c r="K1341" s="192"/>
      <c r="L1341" s="192"/>
      <c r="M1341" s="192"/>
      <c r="N1341" s="175"/>
      <c r="O1341" s="116"/>
      <c r="P1341" s="175"/>
      <c r="Q1341" s="175"/>
      <c r="R1341" s="220"/>
      <c r="S1341" s="175"/>
      <c r="T1341" s="175"/>
      <c r="U1341" s="175"/>
      <c r="V1341" s="175"/>
      <c r="W1341" s="175"/>
      <c r="X1341" s="116"/>
    </row>
    <row r="1342" spans="1:24" s="112" customFormat="1">
      <c r="A1342" s="116"/>
      <c r="B1342" s="115"/>
      <c r="C1342" s="115"/>
      <c r="D1342" s="131"/>
      <c r="E1342" s="177"/>
      <c r="F1342" s="28"/>
      <c r="G1342" s="118"/>
      <c r="H1342" s="192"/>
      <c r="I1342" s="192"/>
      <c r="J1342" s="175"/>
      <c r="K1342" s="192"/>
      <c r="L1342" s="192"/>
      <c r="M1342" s="192"/>
      <c r="N1342" s="175"/>
      <c r="O1342" s="116"/>
      <c r="P1342" s="175"/>
      <c r="Q1342" s="175"/>
      <c r="R1342" s="220"/>
      <c r="S1342" s="175"/>
      <c r="T1342" s="175"/>
      <c r="U1342" s="175"/>
      <c r="V1342" s="175"/>
      <c r="W1342" s="175"/>
      <c r="X1342" s="116"/>
    </row>
    <row r="1343" spans="1:24" s="112" customFormat="1">
      <c r="A1343" s="116"/>
      <c r="B1343" s="115"/>
      <c r="C1343" s="115"/>
      <c r="D1343" s="131"/>
      <c r="E1343" s="177"/>
      <c r="F1343" s="28"/>
      <c r="G1343" s="118"/>
      <c r="H1343" s="192"/>
      <c r="I1343" s="192"/>
      <c r="J1343" s="175"/>
      <c r="K1343" s="192"/>
      <c r="L1343" s="192"/>
      <c r="M1343" s="192"/>
      <c r="N1343" s="175"/>
      <c r="O1343" s="116"/>
      <c r="P1343" s="175"/>
      <c r="Q1343" s="175"/>
      <c r="R1343" s="220"/>
      <c r="S1343" s="175"/>
      <c r="T1343" s="175"/>
      <c r="U1343" s="175"/>
      <c r="V1343" s="175"/>
      <c r="W1343" s="175"/>
      <c r="X1343" s="116"/>
    </row>
    <row r="1344" spans="1:24" s="112" customFormat="1">
      <c r="A1344" s="116"/>
      <c r="B1344" s="115"/>
      <c r="C1344" s="115"/>
      <c r="D1344" s="131"/>
      <c r="E1344" s="177"/>
      <c r="F1344" s="28"/>
      <c r="G1344" s="118"/>
      <c r="H1344" s="192"/>
      <c r="I1344" s="192"/>
      <c r="J1344" s="175"/>
      <c r="K1344" s="192"/>
      <c r="L1344" s="192"/>
      <c r="M1344" s="192"/>
      <c r="N1344" s="175"/>
      <c r="O1344" s="116"/>
      <c r="P1344" s="175"/>
      <c r="Q1344" s="175"/>
      <c r="R1344" s="220"/>
      <c r="S1344" s="175"/>
      <c r="T1344" s="175"/>
      <c r="U1344" s="175"/>
      <c r="V1344" s="175"/>
      <c r="W1344" s="175"/>
      <c r="X1344" s="116"/>
    </row>
    <row r="1345" spans="1:24" s="112" customFormat="1">
      <c r="A1345" s="116"/>
      <c r="B1345" s="115"/>
      <c r="C1345" s="115"/>
      <c r="D1345" s="131"/>
      <c r="E1345" s="177"/>
      <c r="F1345" s="28"/>
      <c r="G1345" s="118"/>
      <c r="H1345" s="192"/>
      <c r="I1345" s="192"/>
      <c r="J1345" s="175"/>
      <c r="K1345" s="192"/>
      <c r="L1345" s="192"/>
      <c r="M1345" s="192"/>
      <c r="N1345" s="175"/>
      <c r="O1345" s="116"/>
      <c r="P1345" s="175"/>
      <c r="Q1345" s="175"/>
      <c r="R1345" s="220"/>
      <c r="S1345" s="175"/>
      <c r="T1345" s="175"/>
      <c r="U1345" s="175"/>
      <c r="V1345" s="175"/>
      <c r="W1345" s="175"/>
      <c r="X1345" s="116"/>
    </row>
    <row r="1346" spans="1:24" s="112" customFormat="1">
      <c r="A1346" s="116"/>
      <c r="B1346" s="115"/>
      <c r="C1346" s="115"/>
      <c r="D1346" s="131"/>
      <c r="E1346" s="177"/>
      <c r="F1346" s="28"/>
      <c r="G1346" s="118"/>
      <c r="H1346" s="192"/>
      <c r="I1346" s="192"/>
      <c r="J1346" s="175"/>
      <c r="K1346" s="192"/>
      <c r="L1346" s="192"/>
      <c r="M1346" s="192"/>
      <c r="N1346" s="175"/>
      <c r="O1346" s="116"/>
      <c r="P1346" s="175"/>
      <c r="Q1346" s="175"/>
      <c r="R1346" s="220"/>
      <c r="S1346" s="175"/>
      <c r="T1346" s="175"/>
      <c r="U1346" s="175"/>
      <c r="V1346" s="175"/>
      <c r="W1346" s="175"/>
      <c r="X1346" s="116"/>
    </row>
    <row r="1347" spans="1:24" s="112" customFormat="1">
      <c r="A1347" s="116"/>
      <c r="B1347" s="115"/>
      <c r="C1347" s="115"/>
      <c r="D1347" s="131"/>
      <c r="E1347" s="177"/>
      <c r="F1347" s="28"/>
      <c r="G1347" s="118"/>
      <c r="H1347" s="192"/>
      <c r="I1347" s="192"/>
      <c r="J1347" s="175"/>
      <c r="K1347" s="192"/>
      <c r="L1347" s="192"/>
      <c r="M1347" s="192"/>
      <c r="N1347" s="175"/>
      <c r="O1347" s="116"/>
      <c r="P1347" s="175"/>
      <c r="Q1347" s="175"/>
      <c r="R1347" s="220"/>
      <c r="S1347" s="175"/>
      <c r="T1347" s="175"/>
      <c r="U1347" s="175"/>
      <c r="V1347" s="175"/>
      <c r="W1347" s="175"/>
      <c r="X1347" s="116"/>
    </row>
    <row r="1348" spans="1:24" s="112" customFormat="1">
      <c r="A1348" s="116"/>
      <c r="B1348" s="115"/>
      <c r="C1348" s="115"/>
      <c r="D1348" s="131"/>
      <c r="E1348" s="177"/>
      <c r="F1348" s="28"/>
      <c r="G1348" s="118"/>
      <c r="H1348" s="192"/>
      <c r="I1348" s="192"/>
      <c r="J1348" s="175"/>
      <c r="K1348" s="192"/>
      <c r="L1348" s="192"/>
      <c r="M1348" s="192"/>
      <c r="N1348" s="175"/>
      <c r="O1348" s="116"/>
      <c r="P1348" s="175"/>
      <c r="Q1348" s="175"/>
      <c r="R1348" s="220"/>
      <c r="S1348" s="175"/>
      <c r="T1348" s="175"/>
      <c r="U1348" s="175"/>
      <c r="V1348" s="175"/>
      <c r="W1348" s="175"/>
      <c r="X1348" s="116"/>
    </row>
    <row r="1349" spans="1:24" s="112" customFormat="1">
      <c r="A1349" s="116"/>
      <c r="B1349" s="115"/>
      <c r="C1349" s="115"/>
      <c r="D1349" s="131"/>
      <c r="E1349" s="177"/>
      <c r="F1349" s="28"/>
      <c r="G1349" s="118"/>
      <c r="H1349" s="192"/>
      <c r="I1349" s="192"/>
      <c r="J1349" s="175"/>
      <c r="K1349" s="192"/>
      <c r="L1349" s="192"/>
      <c r="M1349" s="192"/>
      <c r="N1349" s="175"/>
      <c r="O1349" s="116"/>
      <c r="P1349" s="175"/>
      <c r="Q1349" s="175"/>
      <c r="R1349" s="220"/>
      <c r="S1349" s="175"/>
      <c r="T1349" s="175"/>
      <c r="U1349" s="175"/>
      <c r="V1349" s="175"/>
      <c r="W1349" s="175"/>
      <c r="X1349" s="116"/>
    </row>
    <row r="1350" spans="1:24" s="112" customFormat="1">
      <c r="A1350" s="116"/>
      <c r="B1350" s="115"/>
      <c r="C1350" s="115"/>
      <c r="D1350" s="131"/>
      <c r="E1350" s="177"/>
      <c r="F1350" s="28"/>
      <c r="G1350" s="118"/>
      <c r="H1350" s="192"/>
      <c r="I1350" s="192"/>
      <c r="J1350" s="175"/>
      <c r="K1350" s="192"/>
      <c r="L1350" s="192"/>
      <c r="M1350" s="192"/>
      <c r="N1350" s="175"/>
      <c r="O1350" s="116"/>
      <c r="P1350" s="175"/>
      <c r="Q1350" s="175"/>
      <c r="R1350" s="220"/>
      <c r="S1350" s="175"/>
      <c r="T1350" s="175"/>
      <c r="U1350" s="175"/>
      <c r="V1350" s="175"/>
      <c r="W1350" s="175"/>
      <c r="X1350" s="116"/>
    </row>
    <row r="1351" spans="1:24" s="112" customFormat="1">
      <c r="A1351" s="116"/>
      <c r="B1351" s="115"/>
      <c r="C1351" s="115"/>
      <c r="D1351" s="131"/>
      <c r="E1351" s="177"/>
      <c r="F1351" s="28"/>
      <c r="G1351" s="118"/>
      <c r="H1351" s="192"/>
      <c r="I1351" s="192"/>
      <c r="J1351" s="175"/>
      <c r="K1351" s="192"/>
      <c r="L1351" s="192"/>
      <c r="M1351" s="192"/>
      <c r="N1351" s="175"/>
      <c r="O1351" s="116"/>
      <c r="P1351" s="175"/>
      <c r="Q1351" s="175"/>
      <c r="R1351" s="220"/>
      <c r="S1351" s="175"/>
      <c r="T1351" s="175"/>
      <c r="U1351" s="175"/>
      <c r="V1351" s="175"/>
      <c r="W1351" s="175"/>
      <c r="X1351" s="116"/>
    </row>
    <row r="1352" spans="1:24" s="112" customFormat="1">
      <c r="A1352" s="116"/>
      <c r="B1352" s="115"/>
      <c r="C1352" s="115"/>
      <c r="D1352" s="131"/>
      <c r="E1352" s="177"/>
      <c r="F1352" s="28"/>
      <c r="G1352" s="118"/>
      <c r="H1352" s="192"/>
      <c r="I1352" s="192"/>
      <c r="J1352" s="175"/>
      <c r="K1352" s="192"/>
      <c r="L1352" s="192"/>
      <c r="M1352" s="192"/>
      <c r="N1352" s="175"/>
      <c r="O1352" s="116"/>
      <c r="P1352" s="175"/>
      <c r="Q1352" s="175"/>
      <c r="R1352" s="220"/>
      <c r="S1352" s="175"/>
      <c r="T1352" s="175"/>
      <c r="U1352" s="175"/>
      <c r="V1352" s="175"/>
      <c r="W1352" s="175"/>
      <c r="X1352" s="116"/>
    </row>
    <row r="1353" spans="1:24" s="112" customFormat="1">
      <c r="A1353" s="116"/>
      <c r="B1353" s="115"/>
      <c r="C1353" s="115"/>
      <c r="D1353" s="131"/>
      <c r="E1353" s="177"/>
      <c r="F1353" s="28"/>
      <c r="G1353" s="118"/>
      <c r="H1353" s="192"/>
      <c r="I1353" s="192"/>
      <c r="J1353" s="175"/>
      <c r="K1353" s="192"/>
      <c r="L1353" s="192"/>
      <c r="M1353" s="192"/>
      <c r="N1353" s="175"/>
      <c r="O1353" s="116"/>
      <c r="P1353" s="175"/>
      <c r="Q1353" s="175"/>
      <c r="R1353" s="220"/>
      <c r="S1353" s="175"/>
      <c r="T1353" s="175"/>
      <c r="U1353" s="175"/>
      <c r="V1353" s="175"/>
      <c r="W1353" s="175"/>
      <c r="X1353" s="116"/>
    </row>
    <row r="1354" spans="1:24" s="112" customFormat="1">
      <c r="A1354" s="116"/>
      <c r="B1354" s="115"/>
      <c r="C1354" s="115"/>
      <c r="D1354" s="131"/>
      <c r="E1354" s="177"/>
      <c r="F1354" s="28"/>
      <c r="G1354" s="118"/>
      <c r="H1354" s="192"/>
      <c r="I1354" s="192"/>
      <c r="J1354" s="175"/>
      <c r="K1354" s="192"/>
      <c r="L1354" s="192"/>
      <c r="M1354" s="192"/>
      <c r="N1354" s="175"/>
      <c r="O1354" s="116"/>
      <c r="P1354" s="175"/>
      <c r="Q1354" s="175"/>
      <c r="R1354" s="220"/>
      <c r="S1354" s="175"/>
      <c r="T1354" s="175"/>
      <c r="U1354" s="175"/>
      <c r="V1354" s="175"/>
      <c r="W1354" s="175"/>
      <c r="X1354" s="116"/>
    </row>
    <row r="1355" spans="1:24" s="112" customFormat="1">
      <c r="A1355" s="116"/>
      <c r="B1355" s="115"/>
      <c r="C1355" s="115"/>
      <c r="D1355" s="131"/>
      <c r="E1355" s="177"/>
      <c r="F1355" s="28"/>
      <c r="G1355" s="118"/>
      <c r="H1355" s="192"/>
      <c r="I1355" s="192"/>
      <c r="J1355" s="175"/>
      <c r="K1355" s="192"/>
      <c r="L1355" s="192"/>
      <c r="M1355" s="192"/>
      <c r="N1355" s="175"/>
      <c r="O1355" s="116"/>
      <c r="P1355" s="175"/>
      <c r="Q1355" s="175"/>
      <c r="R1355" s="220"/>
      <c r="S1355" s="175"/>
      <c r="T1355" s="175"/>
      <c r="U1355" s="175"/>
      <c r="V1355" s="175"/>
      <c r="W1355" s="175"/>
      <c r="X1355" s="116"/>
    </row>
    <row r="1356" spans="1:24" s="112" customFormat="1">
      <c r="A1356" s="116"/>
      <c r="B1356" s="115"/>
      <c r="C1356" s="115"/>
      <c r="D1356" s="131"/>
      <c r="E1356" s="177"/>
      <c r="F1356" s="28"/>
      <c r="G1356" s="118"/>
      <c r="H1356" s="192"/>
      <c r="I1356" s="192"/>
      <c r="J1356" s="175"/>
      <c r="K1356" s="192"/>
      <c r="L1356" s="192"/>
      <c r="M1356" s="192"/>
      <c r="N1356" s="175"/>
      <c r="O1356" s="116"/>
      <c r="P1356" s="175"/>
      <c r="Q1356" s="175"/>
      <c r="R1356" s="220"/>
      <c r="S1356" s="175"/>
      <c r="T1356" s="175"/>
      <c r="U1356" s="175"/>
      <c r="V1356" s="175"/>
      <c r="W1356" s="175"/>
      <c r="X1356" s="116"/>
    </row>
    <row r="1357" spans="1:24" s="112" customFormat="1">
      <c r="A1357" s="116"/>
      <c r="B1357" s="115"/>
      <c r="C1357" s="115"/>
      <c r="D1357" s="131"/>
      <c r="E1357" s="177"/>
      <c r="F1357" s="28"/>
      <c r="G1357" s="118"/>
      <c r="H1357" s="192"/>
      <c r="I1357" s="192"/>
      <c r="J1357" s="175"/>
      <c r="K1357" s="192"/>
      <c r="L1357" s="192"/>
      <c r="M1357" s="192"/>
      <c r="N1357" s="175"/>
      <c r="O1357" s="116"/>
      <c r="P1357" s="175"/>
      <c r="Q1357" s="175"/>
      <c r="R1357" s="220"/>
      <c r="S1357" s="175"/>
      <c r="T1357" s="175"/>
      <c r="U1357" s="175"/>
      <c r="V1357" s="175"/>
      <c r="W1357" s="175"/>
      <c r="X1357" s="116"/>
    </row>
    <row r="1358" spans="1:24" s="112" customFormat="1">
      <c r="A1358" s="116"/>
      <c r="B1358" s="115"/>
      <c r="C1358" s="115"/>
      <c r="D1358" s="131"/>
      <c r="E1358" s="177"/>
      <c r="F1358" s="28"/>
      <c r="G1358" s="118"/>
      <c r="H1358" s="192"/>
      <c r="I1358" s="192"/>
      <c r="J1358" s="175"/>
      <c r="K1358" s="192"/>
      <c r="L1358" s="192"/>
      <c r="M1358" s="192"/>
      <c r="N1358" s="175"/>
      <c r="O1358" s="116"/>
      <c r="P1358" s="175"/>
      <c r="Q1358" s="175"/>
      <c r="R1358" s="220"/>
      <c r="S1358" s="175"/>
      <c r="T1358" s="175"/>
      <c r="U1358" s="175"/>
      <c r="V1358" s="175"/>
      <c r="W1358" s="175"/>
      <c r="X1358" s="116"/>
    </row>
    <row r="1359" spans="1:24" s="112" customFormat="1">
      <c r="A1359" s="116"/>
      <c r="B1359" s="115"/>
      <c r="C1359" s="115"/>
      <c r="D1359" s="131"/>
      <c r="E1359" s="177"/>
      <c r="F1359" s="28"/>
      <c r="G1359" s="118"/>
      <c r="H1359" s="192"/>
      <c r="I1359" s="192"/>
      <c r="J1359" s="175"/>
      <c r="K1359" s="192"/>
      <c r="L1359" s="192"/>
      <c r="M1359" s="192"/>
      <c r="N1359" s="175"/>
      <c r="O1359" s="116"/>
      <c r="P1359" s="175"/>
      <c r="Q1359" s="175"/>
      <c r="R1359" s="220"/>
      <c r="S1359" s="175"/>
      <c r="T1359" s="175"/>
      <c r="U1359" s="175"/>
      <c r="V1359" s="175"/>
      <c r="W1359" s="175"/>
      <c r="X1359" s="116"/>
    </row>
    <row r="1360" spans="1:24" s="112" customFormat="1">
      <c r="A1360" s="116"/>
      <c r="B1360" s="115"/>
      <c r="C1360" s="115"/>
      <c r="D1360" s="131"/>
      <c r="E1360" s="177"/>
      <c r="F1360" s="28"/>
      <c r="G1360" s="118"/>
      <c r="H1360" s="192"/>
      <c r="I1360" s="192"/>
      <c r="J1360" s="175"/>
      <c r="K1360" s="192"/>
      <c r="L1360" s="192"/>
      <c r="M1360" s="192"/>
      <c r="N1360" s="175"/>
      <c r="O1360" s="116"/>
      <c r="P1360" s="175"/>
      <c r="Q1360" s="175"/>
      <c r="R1360" s="220"/>
      <c r="S1360" s="175"/>
      <c r="T1360" s="175"/>
      <c r="U1360" s="175"/>
      <c r="V1360" s="175"/>
      <c r="W1360" s="175"/>
      <c r="X1360" s="116"/>
    </row>
    <row r="1361" spans="1:24" s="112" customFormat="1">
      <c r="A1361" s="116"/>
      <c r="B1361" s="115"/>
      <c r="C1361" s="115"/>
      <c r="D1361" s="131"/>
      <c r="E1361" s="177"/>
      <c r="F1361" s="28"/>
      <c r="G1361" s="118"/>
      <c r="H1361" s="192"/>
      <c r="I1361" s="192"/>
      <c r="J1361" s="175"/>
      <c r="K1361" s="192"/>
      <c r="L1361" s="192"/>
      <c r="M1361" s="192"/>
      <c r="N1361" s="175"/>
      <c r="O1361" s="116"/>
      <c r="P1361" s="175"/>
      <c r="Q1361" s="175"/>
      <c r="R1361" s="220"/>
      <c r="S1361" s="175"/>
      <c r="T1361" s="175"/>
      <c r="U1361" s="175"/>
      <c r="V1361" s="175"/>
      <c r="W1361" s="175"/>
      <c r="X1361" s="116"/>
    </row>
    <row r="1362" spans="1:24" s="112" customFormat="1">
      <c r="A1362" s="116"/>
      <c r="B1362" s="115"/>
      <c r="C1362" s="115"/>
      <c r="D1362" s="131"/>
      <c r="E1362" s="177"/>
      <c r="F1362" s="28"/>
      <c r="G1362" s="118"/>
      <c r="H1362" s="192"/>
      <c r="I1362" s="192"/>
      <c r="J1362" s="175"/>
      <c r="K1362" s="192"/>
      <c r="L1362" s="192"/>
      <c r="M1362" s="192"/>
      <c r="N1362" s="175"/>
      <c r="O1362" s="116"/>
      <c r="P1362" s="175"/>
      <c r="Q1362" s="175"/>
      <c r="R1362" s="220"/>
      <c r="S1362" s="175"/>
      <c r="T1362" s="175"/>
      <c r="U1362" s="175"/>
      <c r="V1362" s="175"/>
      <c r="W1362" s="175"/>
      <c r="X1362" s="116"/>
    </row>
    <row r="1363" spans="1:24" s="112" customFormat="1">
      <c r="A1363" s="116"/>
      <c r="B1363" s="115"/>
      <c r="C1363" s="115"/>
      <c r="D1363" s="131"/>
      <c r="E1363" s="177"/>
      <c r="F1363" s="28"/>
      <c r="G1363" s="118"/>
      <c r="H1363" s="192"/>
      <c r="I1363" s="192"/>
      <c r="J1363" s="175"/>
      <c r="K1363" s="192"/>
      <c r="L1363" s="192"/>
      <c r="M1363" s="192"/>
      <c r="N1363" s="175"/>
      <c r="O1363" s="116"/>
      <c r="P1363" s="175"/>
      <c r="Q1363" s="175"/>
      <c r="R1363" s="220"/>
      <c r="S1363" s="175"/>
      <c r="T1363" s="175"/>
      <c r="U1363" s="175"/>
      <c r="V1363" s="175"/>
      <c r="W1363" s="175"/>
      <c r="X1363" s="116"/>
    </row>
    <row r="1364" spans="1:24" s="112" customFormat="1">
      <c r="A1364" s="116"/>
      <c r="B1364" s="115"/>
      <c r="C1364" s="115"/>
      <c r="D1364" s="131"/>
      <c r="E1364" s="177"/>
      <c r="F1364" s="28"/>
      <c r="G1364" s="118"/>
      <c r="H1364" s="192"/>
      <c r="I1364" s="192"/>
      <c r="J1364" s="175"/>
      <c r="K1364" s="192"/>
      <c r="L1364" s="192"/>
      <c r="M1364" s="192"/>
      <c r="N1364" s="175"/>
      <c r="O1364" s="116"/>
      <c r="P1364" s="175"/>
      <c r="Q1364" s="175"/>
      <c r="R1364" s="220"/>
      <c r="S1364" s="175"/>
      <c r="T1364" s="175"/>
      <c r="U1364" s="175"/>
      <c r="V1364" s="175"/>
      <c r="W1364" s="175"/>
      <c r="X1364" s="116"/>
    </row>
    <row r="1365" spans="1:24" s="112" customFormat="1">
      <c r="A1365" s="116"/>
      <c r="B1365" s="115"/>
      <c r="C1365" s="115"/>
      <c r="D1365" s="131"/>
      <c r="E1365" s="177"/>
      <c r="F1365" s="28"/>
      <c r="G1365" s="118"/>
      <c r="H1365" s="192"/>
      <c r="I1365" s="192"/>
      <c r="J1365" s="175"/>
      <c r="K1365" s="192"/>
      <c r="L1365" s="192"/>
      <c r="M1365" s="192"/>
      <c r="N1365" s="175"/>
      <c r="O1365" s="116"/>
      <c r="P1365" s="175"/>
      <c r="Q1365" s="175"/>
      <c r="R1365" s="220"/>
      <c r="S1365" s="175"/>
      <c r="T1365" s="175"/>
      <c r="U1365" s="175"/>
      <c r="V1365" s="175"/>
      <c r="W1365" s="175"/>
      <c r="X1365" s="116"/>
    </row>
    <row r="1366" spans="1:24" s="112" customFormat="1">
      <c r="A1366" s="116"/>
      <c r="B1366" s="115"/>
      <c r="C1366" s="115"/>
      <c r="D1366" s="131"/>
      <c r="E1366" s="177"/>
      <c r="F1366" s="28"/>
      <c r="G1366" s="118"/>
      <c r="H1366" s="192"/>
      <c r="I1366" s="192"/>
      <c r="J1366" s="175"/>
      <c r="K1366" s="192"/>
      <c r="L1366" s="192"/>
      <c r="M1366" s="192"/>
      <c r="N1366" s="175"/>
      <c r="O1366" s="116"/>
      <c r="P1366" s="175"/>
      <c r="Q1366" s="175"/>
      <c r="R1366" s="220"/>
      <c r="S1366" s="175"/>
      <c r="T1366" s="175"/>
      <c r="U1366" s="175"/>
      <c r="V1366" s="175"/>
      <c r="W1366" s="175"/>
      <c r="X1366" s="116"/>
    </row>
    <row r="1367" spans="1:24" s="112" customFormat="1">
      <c r="A1367" s="116"/>
      <c r="B1367" s="115"/>
      <c r="C1367" s="115"/>
      <c r="D1367" s="131"/>
      <c r="E1367" s="177"/>
      <c r="F1367" s="28"/>
      <c r="G1367" s="118"/>
      <c r="H1367" s="192"/>
      <c r="I1367" s="192"/>
      <c r="J1367" s="175"/>
      <c r="K1367" s="192"/>
      <c r="L1367" s="192"/>
      <c r="M1367" s="192"/>
      <c r="N1367" s="175"/>
      <c r="O1367" s="116"/>
      <c r="P1367" s="175"/>
      <c r="Q1367" s="175"/>
      <c r="R1367" s="220"/>
      <c r="S1367" s="175"/>
      <c r="T1367" s="175"/>
      <c r="U1367" s="175"/>
      <c r="V1367" s="175"/>
      <c r="W1367" s="175"/>
      <c r="X1367" s="116"/>
    </row>
    <row r="1368" spans="1:24" s="112" customFormat="1">
      <c r="A1368" s="116"/>
      <c r="B1368" s="115"/>
      <c r="C1368" s="115"/>
      <c r="D1368" s="131"/>
      <c r="E1368" s="177"/>
      <c r="F1368" s="28"/>
      <c r="G1368" s="118"/>
      <c r="H1368" s="192"/>
      <c r="I1368" s="192"/>
      <c r="J1368" s="175"/>
      <c r="K1368" s="192"/>
      <c r="L1368" s="192"/>
      <c r="M1368" s="192"/>
      <c r="N1368" s="175"/>
      <c r="O1368" s="116"/>
      <c r="P1368" s="175"/>
      <c r="Q1368" s="175"/>
      <c r="R1368" s="220"/>
      <c r="S1368" s="175"/>
      <c r="T1368" s="175"/>
      <c r="U1368" s="175"/>
      <c r="V1368" s="175"/>
      <c r="W1368" s="175"/>
      <c r="X1368" s="116"/>
    </row>
    <row r="1369" spans="1:24" s="112" customFormat="1">
      <c r="A1369" s="116"/>
      <c r="B1369" s="115"/>
      <c r="C1369" s="115"/>
      <c r="D1369" s="131"/>
      <c r="E1369" s="177"/>
      <c r="F1369" s="28"/>
      <c r="G1369" s="118"/>
      <c r="H1369" s="192"/>
      <c r="I1369" s="192"/>
      <c r="J1369" s="175"/>
      <c r="K1369" s="192"/>
      <c r="L1369" s="192"/>
      <c r="M1369" s="192"/>
      <c r="N1369" s="175"/>
      <c r="O1369" s="116"/>
      <c r="P1369" s="175"/>
      <c r="Q1369" s="175"/>
      <c r="R1369" s="220"/>
      <c r="S1369" s="175"/>
      <c r="T1369" s="175"/>
      <c r="U1369" s="175"/>
      <c r="V1369" s="175"/>
      <c r="W1369" s="175"/>
      <c r="X1369" s="116"/>
    </row>
    <row r="1370" spans="1:24" s="112" customFormat="1">
      <c r="A1370" s="116"/>
      <c r="B1370" s="115"/>
      <c r="C1370" s="115"/>
      <c r="D1370" s="131"/>
      <c r="E1370" s="177"/>
      <c r="F1370" s="28"/>
      <c r="G1370" s="118"/>
      <c r="H1370" s="192"/>
      <c r="I1370" s="192"/>
      <c r="J1370" s="175"/>
      <c r="K1370" s="192"/>
      <c r="L1370" s="192"/>
      <c r="M1370" s="192"/>
      <c r="N1370" s="175"/>
      <c r="O1370" s="116"/>
      <c r="P1370" s="175"/>
      <c r="Q1370" s="175"/>
      <c r="R1370" s="220"/>
      <c r="S1370" s="175"/>
      <c r="T1370" s="175"/>
      <c r="U1370" s="175"/>
      <c r="V1370" s="175"/>
      <c r="W1370" s="175"/>
      <c r="X1370" s="116"/>
    </row>
    <row r="1371" spans="1:24" s="112" customFormat="1">
      <c r="A1371" s="116"/>
      <c r="B1371" s="115"/>
      <c r="C1371" s="115"/>
      <c r="D1371" s="131"/>
      <c r="E1371" s="177"/>
      <c r="F1371" s="28"/>
      <c r="G1371" s="118"/>
      <c r="H1371" s="192"/>
      <c r="I1371" s="192"/>
      <c r="J1371" s="175"/>
      <c r="K1371" s="192"/>
      <c r="L1371" s="192"/>
      <c r="M1371" s="192"/>
      <c r="N1371" s="175"/>
      <c r="O1371" s="116"/>
      <c r="P1371" s="175"/>
      <c r="Q1371" s="175"/>
      <c r="R1371" s="220"/>
      <c r="S1371" s="175"/>
      <c r="T1371" s="175"/>
      <c r="U1371" s="175"/>
      <c r="V1371" s="175"/>
      <c r="W1371" s="175"/>
      <c r="X1371" s="116"/>
    </row>
    <row r="1372" spans="1:24" s="112" customFormat="1">
      <c r="A1372" s="116"/>
      <c r="B1372" s="115"/>
      <c r="C1372" s="115"/>
      <c r="D1372" s="131"/>
      <c r="E1372" s="177"/>
      <c r="F1372" s="28"/>
      <c r="G1372" s="118"/>
      <c r="H1372" s="192"/>
      <c r="I1372" s="192"/>
      <c r="J1372" s="175"/>
      <c r="K1372" s="192"/>
      <c r="L1372" s="192"/>
      <c r="M1372" s="192"/>
      <c r="N1372" s="175"/>
      <c r="O1372" s="116"/>
      <c r="P1372" s="175"/>
      <c r="Q1372" s="175"/>
      <c r="R1372" s="220"/>
      <c r="S1372" s="175"/>
      <c r="T1372" s="175"/>
      <c r="U1372" s="175"/>
      <c r="V1372" s="175"/>
      <c r="W1372" s="175"/>
      <c r="X1372" s="116"/>
    </row>
    <row r="1373" spans="1:24" s="112" customFormat="1">
      <c r="A1373" s="116"/>
      <c r="B1373" s="115"/>
      <c r="C1373" s="115"/>
      <c r="D1373" s="131"/>
      <c r="E1373" s="177"/>
      <c r="F1373" s="28"/>
      <c r="G1373" s="118"/>
      <c r="H1373" s="192"/>
      <c r="I1373" s="192"/>
      <c r="J1373" s="175"/>
      <c r="K1373" s="192"/>
      <c r="L1373" s="192"/>
      <c r="M1373" s="192"/>
      <c r="N1373" s="175"/>
      <c r="O1373" s="116"/>
      <c r="P1373" s="175"/>
      <c r="Q1373" s="175"/>
      <c r="R1373" s="220"/>
      <c r="S1373" s="175"/>
      <c r="T1373" s="175"/>
      <c r="U1373" s="175"/>
      <c r="V1373" s="175"/>
      <c r="W1373" s="175"/>
      <c r="X1373" s="116"/>
    </row>
    <row r="1374" spans="1:24" s="112" customFormat="1">
      <c r="A1374" s="116"/>
      <c r="B1374" s="115"/>
      <c r="C1374" s="115"/>
      <c r="D1374" s="131"/>
      <c r="E1374" s="177"/>
      <c r="F1374" s="28"/>
      <c r="G1374" s="118"/>
      <c r="H1374" s="192"/>
      <c r="I1374" s="192"/>
      <c r="J1374" s="175"/>
      <c r="K1374" s="192"/>
      <c r="L1374" s="192"/>
      <c r="M1374" s="192"/>
      <c r="N1374" s="175"/>
      <c r="O1374" s="116"/>
      <c r="P1374" s="175"/>
      <c r="Q1374" s="175"/>
      <c r="R1374" s="220"/>
      <c r="S1374" s="175"/>
      <c r="T1374" s="175"/>
      <c r="U1374" s="175"/>
      <c r="V1374" s="175"/>
      <c r="W1374" s="175"/>
      <c r="X1374" s="116"/>
    </row>
    <row r="1375" spans="1:24" s="112" customFormat="1">
      <c r="A1375" s="116"/>
      <c r="B1375" s="115"/>
      <c r="C1375" s="115"/>
      <c r="D1375" s="131"/>
      <c r="E1375" s="177"/>
      <c r="F1375" s="28"/>
      <c r="G1375" s="118"/>
      <c r="H1375" s="192"/>
      <c r="I1375" s="192"/>
      <c r="J1375" s="175"/>
      <c r="K1375" s="192"/>
      <c r="L1375" s="192"/>
      <c r="M1375" s="192"/>
      <c r="N1375" s="175"/>
      <c r="O1375" s="116"/>
      <c r="P1375" s="175"/>
      <c r="Q1375" s="175"/>
      <c r="R1375" s="220"/>
      <c r="S1375" s="175"/>
      <c r="T1375" s="175"/>
      <c r="U1375" s="175"/>
      <c r="V1375" s="175"/>
      <c r="W1375" s="175"/>
      <c r="X1375" s="116"/>
    </row>
    <row r="1376" spans="1:24" s="112" customFormat="1">
      <c r="A1376" s="116"/>
      <c r="B1376" s="115"/>
      <c r="C1376" s="115"/>
      <c r="D1376" s="131"/>
      <c r="E1376" s="177"/>
      <c r="F1376" s="28"/>
      <c r="G1376" s="118"/>
      <c r="H1376" s="192"/>
      <c r="I1376" s="192"/>
      <c r="J1376" s="175"/>
      <c r="K1376" s="192"/>
      <c r="L1376" s="192"/>
      <c r="M1376" s="192"/>
      <c r="N1376" s="175"/>
      <c r="O1376" s="116"/>
      <c r="P1376" s="175"/>
      <c r="Q1376" s="175"/>
      <c r="R1376" s="220"/>
      <c r="S1376" s="175"/>
      <c r="T1376" s="175"/>
      <c r="U1376" s="175"/>
      <c r="V1376" s="175"/>
      <c r="W1376" s="175"/>
      <c r="X1376" s="116"/>
    </row>
    <row r="1377" spans="1:24" s="112" customFormat="1">
      <c r="A1377" s="116"/>
      <c r="B1377" s="115"/>
      <c r="C1377" s="115"/>
      <c r="D1377" s="131"/>
      <c r="E1377" s="177"/>
      <c r="F1377" s="28"/>
      <c r="G1377" s="118"/>
      <c r="H1377" s="192"/>
      <c r="I1377" s="192"/>
      <c r="J1377" s="175"/>
      <c r="K1377" s="192"/>
      <c r="L1377" s="192"/>
      <c r="M1377" s="192"/>
      <c r="N1377" s="175"/>
      <c r="O1377" s="116"/>
      <c r="P1377" s="175"/>
      <c r="Q1377" s="175"/>
      <c r="R1377" s="220"/>
      <c r="S1377" s="175"/>
      <c r="T1377" s="175"/>
      <c r="U1377" s="175"/>
      <c r="V1377" s="175"/>
      <c r="W1377" s="175"/>
      <c r="X1377" s="116"/>
    </row>
    <row r="1378" spans="1:24" s="112" customFormat="1">
      <c r="A1378" s="116"/>
      <c r="B1378" s="115"/>
      <c r="C1378" s="115"/>
      <c r="D1378" s="131"/>
      <c r="E1378" s="177"/>
      <c r="F1378" s="28"/>
      <c r="G1378" s="118"/>
      <c r="H1378" s="192"/>
      <c r="I1378" s="192"/>
      <c r="J1378" s="175"/>
      <c r="K1378" s="192"/>
      <c r="L1378" s="192"/>
      <c r="M1378" s="192"/>
      <c r="N1378" s="175"/>
      <c r="O1378" s="116"/>
      <c r="P1378" s="175"/>
      <c r="Q1378" s="175"/>
      <c r="R1378" s="220"/>
      <c r="S1378" s="175"/>
      <c r="T1378" s="175"/>
      <c r="U1378" s="175"/>
      <c r="V1378" s="175"/>
      <c r="W1378" s="175"/>
      <c r="X1378" s="116"/>
    </row>
    <row r="1379" spans="1:24" s="112" customFormat="1">
      <c r="A1379" s="116"/>
      <c r="B1379" s="115"/>
      <c r="C1379" s="115"/>
      <c r="D1379" s="131"/>
      <c r="E1379" s="177"/>
      <c r="F1379" s="28"/>
      <c r="G1379" s="118"/>
      <c r="H1379" s="192"/>
      <c r="I1379" s="192"/>
      <c r="J1379" s="175"/>
      <c r="K1379" s="192"/>
      <c r="L1379" s="192"/>
      <c r="M1379" s="192"/>
      <c r="N1379" s="175"/>
      <c r="O1379" s="116"/>
      <c r="P1379" s="175"/>
      <c r="Q1379" s="175"/>
      <c r="R1379" s="220"/>
      <c r="S1379" s="175"/>
      <c r="T1379" s="175"/>
      <c r="U1379" s="175"/>
      <c r="V1379" s="175"/>
      <c r="W1379" s="175"/>
      <c r="X1379" s="116"/>
    </row>
    <row r="1380" spans="1:24" s="112" customFormat="1">
      <c r="A1380" s="116"/>
      <c r="B1380" s="115"/>
      <c r="C1380" s="115"/>
      <c r="D1380" s="131"/>
      <c r="E1380" s="177"/>
      <c r="F1380" s="28"/>
      <c r="G1380" s="118"/>
      <c r="H1380" s="192"/>
      <c r="I1380" s="192"/>
      <c r="J1380" s="175"/>
      <c r="K1380" s="192"/>
      <c r="L1380" s="192"/>
      <c r="M1380" s="192"/>
      <c r="N1380" s="175"/>
      <c r="O1380" s="116"/>
      <c r="P1380" s="175"/>
      <c r="Q1380" s="175"/>
      <c r="R1380" s="220"/>
      <c r="S1380" s="175"/>
      <c r="T1380" s="175"/>
      <c r="U1380" s="175"/>
      <c r="V1380" s="175"/>
      <c r="W1380" s="175"/>
      <c r="X1380" s="116"/>
    </row>
    <row r="1381" spans="1:24" s="112" customFormat="1">
      <c r="A1381" s="116"/>
      <c r="B1381" s="115"/>
      <c r="C1381" s="115"/>
      <c r="D1381" s="131"/>
      <c r="E1381" s="177"/>
      <c r="F1381" s="28"/>
      <c r="G1381" s="118"/>
      <c r="H1381" s="192"/>
      <c r="I1381" s="192"/>
      <c r="J1381" s="175"/>
      <c r="K1381" s="192"/>
      <c r="L1381" s="192"/>
      <c r="M1381" s="192"/>
      <c r="N1381" s="175"/>
      <c r="O1381" s="116"/>
      <c r="P1381" s="175"/>
      <c r="Q1381" s="175"/>
      <c r="R1381" s="220"/>
      <c r="S1381" s="175"/>
      <c r="T1381" s="175"/>
      <c r="U1381" s="175"/>
      <c r="V1381" s="175"/>
      <c r="W1381" s="175"/>
      <c r="X1381" s="116"/>
    </row>
    <row r="1382" spans="1:24" s="112" customFormat="1">
      <c r="A1382" s="116"/>
      <c r="B1382" s="115"/>
      <c r="C1382" s="115"/>
      <c r="D1382" s="131"/>
      <c r="E1382" s="177"/>
      <c r="F1382" s="28"/>
      <c r="G1382" s="118"/>
      <c r="H1382" s="192"/>
      <c r="I1382" s="192"/>
      <c r="J1382" s="175"/>
      <c r="K1382" s="192"/>
      <c r="L1382" s="192"/>
      <c r="M1382" s="192"/>
      <c r="N1382" s="175"/>
      <c r="O1382" s="116"/>
      <c r="P1382" s="175"/>
      <c r="Q1382" s="175"/>
      <c r="R1382" s="220"/>
      <c r="S1382" s="175"/>
      <c r="T1382" s="175"/>
      <c r="U1382" s="175"/>
      <c r="V1382" s="175"/>
      <c r="W1382" s="175"/>
      <c r="X1382" s="116"/>
    </row>
    <row r="1383" spans="1:24" s="112" customFormat="1">
      <c r="A1383" s="116"/>
      <c r="B1383" s="115"/>
      <c r="C1383" s="115"/>
      <c r="D1383" s="131"/>
      <c r="E1383" s="177"/>
      <c r="F1383" s="28"/>
      <c r="G1383" s="118"/>
      <c r="H1383" s="192"/>
      <c r="I1383" s="192"/>
      <c r="J1383" s="175"/>
      <c r="K1383" s="192"/>
      <c r="L1383" s="192"/>
      <c r="M1383" s="192"/>
      <c r="N1383" s="175"/>
      <c r="O1383" s="116"/>
      <c r="P1383" s="175"/>
      <c r="Q1383" s="175"/>
      <c r="R1383" s="220"/>
      <c r="S1383" s="175"/>
      <c r="T1383" s="175"/>
      <c r="U1383" s="175"/>
      <c r="V1383" s="175"/>
      <c r="W1383" s="175"/>
      <c r="X1383" s="116"/>
    </row>
    <row r="1384" spans="1:24" s="112" customFormat="1">
      <c r="A1384" s="116"/>
      <c r="B1384" s="115"/>
      <c r="C1384" s="115"/>
      <c r="D1384" s="131"/>
      <c r="E1384" s="177"/>
      <c r="F1384" s="28"/>
      <c r="G1384" s="118"/>
      <c r="H1384" s="192"/>
      <c r="I1384" s="192"/>
      <c r="J1384" s="175"/>
      <c r="K1384" s="192"/>
      <c r="L1384" s="192"/>
      <c r="M1384" s="192"/>
      <c r="N1384" s="175"/>
      <c r="O1384" s="116"/>
      <c r="P1384" s="175"/>
      <c r="Q1384" s="175"/>
      <c r="R1384" s="220"/>
      <c r="S1384" s="175"/>
      <c r="T1384" s="175"/>
      <c r="U1384" s="175"/>
      <c r="V1384" s="175"/>
      <c r="W1384" s="175"/>
      <c r="X1384" s="116"/>
    </row>
    <row r="1385" spans="1:24" s="112" customFormat="1">
      <c r="A1385" s="116"/>
      <c r="B1385" s="115"/>
      <c r="C1385" s="115"/>
      <c r="D1385" s="131"/>
      <c r="E1385" s="177"/>
      <c r="F1385" s="28"/>
      <c r="G1385" s="118"/>
      <c r="H1385" s="192"/>
      <c r="I1385" s="192"/>
      <c r="J1385" s="175"/>
      <c r="K1385" s="192"/>
      <c r="L1385" s="192"/>
      <c r="M1385" s="192"/>
      <c r="N1385" s="175"/>
      <c r="O1385" s="116"/>
      <c r="P1385" s="175"/>
      <c r="Q1385" s="175"/>
      <c r="R1385" s="220"/>
      <c r="S1385" s="175"/>
      <c r="T1385" s="175"/>
      <c r="U1385" s="175"/>
      <c r="V1385" s="175"/>
      <c r="W1385" s="175"/>
      <c r="X1385" s="116"/>
    </row>
    <row r="1386" spans="1:24" s="112" customFormat="1">
      <c r="A1386" s="116"/>
      <c r="B1386" s="115"/>
      <c r="C1386" s="115"/>
      <c r="D1386" s="131"/>
      <c r="E1386" s="177"/>
      <c r="F1386" s="28"/>
      <c r="G1386" s="118"/>
      <c r="H1386" s="192"/>
      <c r="I1386" s="192"/>
      <c r="J1386" s="175"/>
      <c r="K1386" s="192"/>
      <c r="L1386" s="192"/>
      <c r="M1386" s="192"/>
      <c r="N1386" s="175"/>
      <c r="O1386" s="116"/>
      <c r="P1386" s="175"/>
      <c r="Q1386" s="175"/>
      <c r="R1386" s="220"/>
      <c r="S1386" s="175"/>
      <c r="T1386" s="175"/>
      <c r="U1386" s="175"/>
      <c r="V1386" s="175"/>
      <c r="W1386" s="175"/>
      <c r="X1386" s="116"/>
    </row>
    <row r="1387" spans="1:24" s="112" customFormat="1">
      <c r="A1387" s="116"/>
      <c r="B1387" s="115"/>
      <c r="C1387" s="115"/>
      <c r="D1387" s="131"/>
      <c r="E1387" s="177"/>
      <c r="F1387" s="28"/>
      <c r="G1387" s="118"/>
      <c r="H1387" s="192"/>
      <c r="I1387" s="192"/>
      <c r="J1387" s="175"/>
      <c r="K1387" s="192"/>
      <c r="L1387" s="192"/>
      <c r="M1387" s="192"/>
      <c r="N1387" s="175"/>
      <c r="O1387" s="116"/>
      <c r="P1387" s="175"/>
      <c r="Q1387" s="175"/>
      <c r="R1387" s="220"/>
      <c r="S1387" s="175"/>
      <c r="T1387" s="175"/>
      <c r="U1387" s="175"/>
      <c r="V1387" s="175"/>
      <c r="W1387" s="175"/>
      <c r="X1387" s="116"/>
    </row>
    <row r="1388" spans="1:24" s="112" customFormat="1">
      <c r="A1388" s="116"/>
      <c r="B1388" s="115"/>
      <c r="C1388" s="115"/>
      <c r="D1388" s="131"/>
      <c r="E1388" s="177"/>
      <c r="F1388" s="28"/>
      <c r="G1388" s="118"/>
      <c r="H1388" s="192"/>
      <c r="I1388" s="192"/>
      <c r="J1388" s="175"/>
      <c r="K1388" s="192"/>
      <c r="L1388" s="192"/>
      <c r="M1388" s="192"/>
      <c r="N1388" s="175"/>
      <c r="O1388" s="116"/>
      <c r="P1388" s="175"/>
      <c r="Q1388" s="175"/>
      <c r="R1388" s="220"/>
      <c r="S1388" s="175"/>
      <c r="T1388" s="175"/>
      <c r="U1388" s="175"/>
      <c r="V1388" s="175"/>
      <c r="W1388" s="175"/>
      <c r="X1388" s="116"/>
    </row>
    <row r="1389" spans="1:24" s="112" customFormat="1">
      <c r="A1389" s="116"/>
      <c r="B1389" s="115"/>
      <c r="C1389" s="115"/>
      <c r="D1389" s="131"/>
      <c r="E1389" s="177"/>
      <c r="F1389" s="28"/>
      <c r="G1389" s="118"/>
      <c r="H1389" s="192"/>
      <c r="I1389" s="192"/>
      <c r="J1389" s="175"/>
      <c r="K1389" s="192"/>
      <c r="L1389" s="192"/>
      <c r="M1389" s="192"/>
      <c r="N1389" s="175"/>
      <c r="O1389" s="116"/>
      <c r="P1389" s="175"/>
      <c r="Q1389" s="175"/>
      <c r="R1389" s="220"/>
      <c r="S1389" s="175"/>
      <c r="T1389" s="175"/>
      <c r="U1389" s="175"/>
      <c r="V1389" s="175"/>
      <c r="W1389" s="175"/>
      <c r="X1389" s="116"/>
    </row>
    <row r="1390" spans="1:24" s="112" customFormat="1">
      <c r="A1390" s="116"/>
      <c r="B1390" s="115"/>
      <c r="C1390" s="115"/>
      <c r="D1390" s="131"/>
      <c r="E1390" s="177"/>
      <c r="F1390" s="28"/>
      <c r="G1390" s="118"/>
      <c r="H1390" s="192"/>
      <c r="I1390" s="192"/>
      <c r="J1390" s="175"/>
      <c r="K1390" s="192"/>
      <c r="L1390" s="192"/>
      <c r="M1390" s="192"/>
      <c r="N1390" s="175"/>
      <c r="O1390" s="116"/>
      <c r="P1390" s="175"/>
      <c r="Q1390" s="175"/>
      <c r="R1390" s="220"/>
      <c r="S1390" s="175"/>
      <c r="T1390" s="175"/>
      <c r="U1390" s="175"/>
      <c r="V1390" s="175"/>
      <c r="W1390" s="175"/>
      <c r="X1390" s="116"/>
    </row>
    <row r="1391" spans="1:24" s="112" customFormat="1">
      <c r="A1391" s="116"/>
      <c r="B1391" s="115"/>
      <c r="C1391" s="115"/>
      <c r="D1391" s="131"/>
      <c r="E1391" s="177"/>
      <c r="F1391" s="28"/>
      <c r="G1391" s="118"/>
      <c r="H1391" s="192"/>
      <c r="I1391" s="192"/>
      <c r="J1391" s="175"/>
      <c r="K1391" s="192"/>
      <c r="L1391" s="192"/>
      <c r="M1391" s="192"/>
      <c r="N1391" s="175"/>
      <c r="O1391" s="116"/>
      <c r="P1391" s="175"/>
      <c r="Q1391" s="175"/>
      <c r="R1391" s="220"/>
      <c r="S1391" s="175"/>
      <c r="T1391" s="175"/>
      <c r="U1391" s="175"/>
      <c r="V1391" s="175"/>
      <c r="W1391" s="175"/>
      <c r="X1391" s="116"/>
    </row>
    <row r="1392" spans="1:24" s="112" customFormat="1">
      <c r="A1392" s="116"/>
      <c r="B1392" s="115"/>
      <c r="C1392" s="115"/>
      <c r="D1392" s="131"/>
      <c r="E1392" s="177"/>
      <c r="F1392" s="28"/>
      <c r="G1392" s="118"/>
      <c r="H1392" s="192"/>
      <c r="I1392" s="192"/>
      <c r="J1392" s="175"/>
      <c r="K1392" s="192"/>
      <c r="L1392" s="192"/>
      <c r="M1392" s="192"/>
      <c r="N1392" s="175"/>
      <c r="O1392" s="116"/>
      <c r="P1392" s="175"/>
      <c r="Q1392" s="175"/>
      <c r="R1392" s="220"/>
      <c r="S1392" s="175"/>
      <c r="T1392" s="175"/>
      <c r="U1392" s="175"/>
      <c r="V1392" s="175"/>
      <c r="W1392" s="175"/>
      <c r="X1392" s="116"/>
    </row>
    <row r="1393" spans="1:24" s="112" customFormat="1">
      <c r="A1393" s="116"/>
      <c r="B1393" s="115"/>
      <c r="C1393" s="115"/>
      <c r="D1393" s="131"/>
      <c r="E1393" s="177"/>
      <c r="F1393" s="28"/>
      <c r="G1393" s="118"/>
      <c r="H1393" s="192"/>
      <c r="I1393" s="192"/>
      <c r="J1393" s="175"/>
      <c r="K1393" s="192"/>
      <c r="L1393" s="192"/>
      <c r="M1393" s="192"/>
      <c r="N1393" s="175"/>
      <c r="O1393" s="116"/>
      <c r="P1393" s="175"/>
      <c r="Q1393" s="175"/>
      <c r="R1393" s="220"/>
      <c r="S1393" s="175"/>
      <c r="T1393" s="175"/>
      <c r="U1393" s="175"/>
      <c r="V1393" s="175"/>
      <c r="W1393" s="175"/>
      <c r="X1393" s="116"/>
    </row>
    <row r="1394" spans="1:24" s="112" customFormat="1">
      <c r="A1394" s="116"/>
      <c r="B1394" s="115"/>
      <c r="C1394" s="115"/>
      <c r="D1394" s="131"/>
      <c r="E1394" s="177"/>
      <c r="F1394" s="28"/>
      <c r="G1394" s="118"/>
      <c r="H1394" s="192"/>
      <c r="I1394" s="192"/>
      <c r="J1394" s="175"/>
      <c r="K1394" s="192"/>
      <c r="L1394" s="192"/>
      <c r="M1394" s="192"/>
      <c r="N1394" s="175"/>
      <c r="O1394" s="116"/>
      <c r="P1394" s="175"/>
      <c r="Q1394" s="175"/>
      <c r="R1394" s="220"/>
      <c r="S1394" s="175"/>
      <c r="T1394" s="175"/>
      <c r="U1394" s="175"/>
      <c r="V1394" s="175"/>
      <c r="W1394" s="175"/>
      <c r="X1394" s="116"/>
    </row>
    <row r="1395" spans="1:24" s="112" customFormat="1">
      <c r="A1395" s="116"/>
      <c r="B1395" s="115"/>
      <c r="C1395" s="115"/>
      <c r="D1395" s="131"/>
      <c r="E1395" s="177"/>
      <c r="F1395" s="28"/>
      <c r="G1395" s="118"/>
      <c r="H1395" s="192"/>
      <c r="I1395" s="192"/>
      <c r="J1395" s="175"/>
      <c r="K1395" s="192"/>
      <c r="L1395" s="192"/>
      <c r="M1395" s="192"/>
      <c r="N1395" s="175"/>
      <c r="O1395" s="116"/>
      <c r="P1395" s="175"/>
      <c r="Q1395" s="175"/>
      <c r="R1395" s="220"/>
      <c r="S1395" s="175"/>
      <c r="T1395" s="175"/>
      <c r="U1395" s="175"/>
      <c r="V1395" s="175"/>
      <c r="W1395" s="175"/>
      <c r="X1395" s="116"/>
    </row>
    <row r="1396" spans="1:24" s="112" customFormat="1">
      <c r="A1396" s="116"/>
      <c r="B1396" s="115"/>
      <c r="C1396" s="115"/>
      <c r="D1396" s="131"/>
      <c r="E1396" s="177"/>
      <c r="F1396" s="28"/>
      <c r="G1396" s="118"/>
      <c r="H1396" s="192"/>
      <c r="I1396" s="192"/>
      <c r="J1396" s="175"/>
      <c r="K1396" s="192"/>
      <c r="L1396" s="192"/>
      <c r="M1396" s="192"/>
      <c r="N1396" s="175"/>
      <c r="O1396" s="116"/>
      <c r="P1396" s="175"/>
      <c r="Q1396" s="175"/>
      <c r="R1396" s="220"/>
      <c r="S1396" s="175"/>
      <c r="T1396" s="175"/>
      <c r="U1396" s="175"/>
      <c r="V1396" s="175"/>
      <c r="W1396" s="175"/>
      <c r="X1396" s="116"/>
    </row>
    <row r="1397" spans="1:24" s="112" customFormat="1">
      <c r="A1397" s="116"/>
      <c r="B1397" s="115"/>
      <c r="C1397" s="115"/>
      <c r="D1397" s="131"/>
      <c r="E1397" s="177"/>
      <c r="F1397" s="28"/>
      <c r="G1397" s="118"/>
      <c r="H1397" s="192"/>
      <c r="I1397" s="192"/>
      <c r="J1397" s="175"/>
      <c r="K1397" s="192"/>
      <c r="L1397" s="192"/>
      <c r="M1397" s="192"/>
      <c r="N1397" s="175"/>
      <c r="O1397" s="116"/>
      <c r="P1397" s="175"/>
      <c r="Q1397" s="175"/>
      <c r="R1397" s="220"/>
      <c r="S1397" s="175"/>
      <c r="T1397" s="175"/>
      <c r="U1397" s="175"/>
      <c r="V1397" s="175"/>
      <c r="W1397" s="175"/>
      <c r="X1397" s="116"/>
    </row>
    <row r="1398" spans="1:24" s="112" customFormat="1">
      <c r="A1398" s="116"/>
      <c r="B1398" s="115"/>
      <c r="C1398" s="115"/>
      <c r="D1398" s="131"/>
      <c r="E1398" s="177"/>
      <c r="F1398" s="28"/>
      <c r="G1398" s="118"/>
      <c r="H1398" s="192"/>
      <c r="I1398" s="192"/>
      <c r="J1398" s="175"/>
      <c r="K1398" s="192"/>
      <c r="L1398" s="192"/>
      <c r="M1398" s="192"/>
      <c r="N1398" s="175"/>
      <c r="O1398" s="116"/>
      <c r="P1398" s="175"/>
      <c r="Q1398" s="175"/>
      <c r="R1398" s="220"/>
      <c r="S1398" s="175"/>
      <c r="T1398" s="175"/>
      <c r="U1398" s="175"/>
      <c r="V1398" s="175"/>
      <c r="W1398" s="175"/>
      <c r="X1398" s="116"/>
    </row>
    <row r="1399" spans="1:24" s="112" customFormat="1">
      <c r="A1399" s="116"/>
      <c r="B1399" s="115"/>
      <c r="C1399" s="115"/>
      <c r="D1399" s="131"/>
      <c r="E1399" s="177"/>
      <c r="F1399" s="28"/>
      <c r="G1399" s="118"/>
      <c r="H1399" s="192"/>
      <c r="I1399" s="192"/>
      <c r="J1399" s="175"/>
      <c r="K1399" s="192"/>
      <c r="L1399" s="192"/>
      <c r="M1399" s="192"/>
      <c r="N1399" s="175"/>
      <c r="O1399" s="116"/>
      <c r="P1399" s="175"/>
      <c r="Q1399" s="175"/>
      <c r="R1399" s="220"/>
      <c r="S1399" s="175"/>
      <c r="T1399" s="175"/>
      <c r="U1399" s="175"/>
      <c r="V1399" s="175"/>
      <c r="W1399" s="175"/>
      <c r="X1399" s="116"/>
    </row>
    <row r="1400" spans="1:24" s="112" customFormat="1">
      <c r="A1400" s="116"/>
      <c r="B1400" s="115"/>
      <c r="C1400" s="115"/>
      <c r="D1400" s="131"/>
      <c r="E1400" s="177"/>
      <c r="F1400" s="28"/>
      <c r="G1400" s="118"/>
      <c r="H1400" s="192"/>
      <c r="I1400" s="192"/>
      <c r="J1400" s="175"/>
      <c r="K1400" s="192"/>
      <c r="L1400" s="192"/>
      <c r="M1400" s="192"/>
      <c r="N1400" s="175"/>
      <c r="O1400" s="116"/>
      <c r="P1400" s="175"/>
      <c r="Q1400" s="175"/>
      <c r="R1400" s="220"/>
      <c r="S1400" s="175"/>
      <c r="T1400" s="175"/>
      <c r="U1400" s="175"/>
      <c r="V1400" s="175"/>
      <c r="W1400" s="175"/>
      <c r="X1400" s="116"/>
    </row>
    <row r="1401" spans="1:24" s="112" customFormat="1">
      <c r="A1401" s="116"/>
      <c r="B1401" s="115"/>
      <c r="C1401" s="115"/>
      <c r="D1401" s="131"/>
      <c r="E1401" s="177"/>
      <c r="F1401" s="28"/>
      <c r="G1401" s="118"/>
      <c r="H1401" s="192"/>
      <c r="I1401" s="192"/>
      <c r="J1401" s="175"/>
      <c r="K1401" s="192"/>
      <c r="L1401" s="192"/>
      <c r="M1401" s="192"/>
      <c r="N1401" s="175"/>
      <c r="O1401" s="116"/>
      <c r="P1401" s="175"/>
      <c r="Q1401" s="175"/>
      <c r="R1401" s="220"/>
      <c r="S1401" s="175"/>
      <c r="T1401" s="175"/>
      <c r="U1401" s="175"/>
      <c r="V1401" s="175"/>
      <c r="W1401" s="175"/>
      <c r="X1401" s="116"/>
    </row>
    <row r="1402" spans="1:24" s="112" customFormat="1">
      <c r="A1402" s="116"/>
      <c r="B1402" s="115"/>
      <c r="C1402" s="115"/>
      <c r="D1402" s="131"/>
      <c r="E1402" s="177"/>
      <c r="F1402" s="28"/>
      <c r="G1402" s="118"/>
      <c r="H1402" s="192"/>
      <c r="I1402" s="192"/>
      <c r="J1402" s="175"/>
      <c r="K1402" s="192"/>
      <c r="L1402" s="192"/>
      <c r="M1402" s="192"/>
      <c r="N1402" s="175"/>
      <c r="O1402" s="116"/>
      <c r="P1402" s="175"/>
      <c r="Q1402" s="175"/>
      <c r="R1402" s="220"/>
      <c r="S1402" s="175"/>
      <c r="T1402" s="175"/>
      <c r="U1402" s="175"/>
      <c r="V1402" s="175"/>
      <c r="W1402" s="175"/>
      <c r="X1402" s="116"/>
    </row>
    <row r="1403" spans="1:24" s="112" customFormat="1">
      <c r="A1403" s="116"/>
      <c r="B1403" s="115"/>
      <c r="C1403" s="115"/>
      <c r="D1403" s="131"/>
      <c r="E1403" s="177"/>
      <c r="F1403" s="28"/>
      <c r="G1403" s="118"/>
      <c r="H1403" s="192"/>
      <c r="I1403" s="192"/>
      <c r="J1403" s="175"/>
      <c r="K1403" s="192"/>
      <c r="L1403" s="192"/>
      <c r="M1403" s="192"/>
      <c r="N1403" s="175"/>
      <c r="O1403" s="116"/>
      <c r="P1403" s="175"/>
      <c r="Q1403" s="175"/>
      <c r="R1403" s="220"/>
      <c r="S1403" s="175"/>
      <c r="T1403" s="175"/>
      <c r="U1403" s="175"/>
      <c r="V1403" s="175"/>
      <c r="W1403" s="175"/>
      <c r="X1403" s="116"/>
    </row>
    <row r="1404" spans="1:24" s="112" customFormat="1">
      <c r="A1404" s="116"/>
      <c r="B1404" s="115"/>
      <c r="C1404" s="115"/>
      <c r="D1404" s="131"/>
      <c r="E1404" s="177"/>
      <c r="F1404" s="28"/>
      <c r="G1404" s="118"/>
      <c r="H1404" s="192"/>
      <c r="I1404" s="192"/>
      <c r="J1404" s="175"/>
      <c r="K1404" s="192"/>
      <c r="L1404" s="192"/>
      <c r="M1404" s="192"/>
      <c r="N1404" s="175"/>
      <c r="O1404" s="116"/>
      <c r="P1404" s="175"/>
      <c r="Q1404" s="175"/>
      <c r="R1404" s="220"/>
      <c r="S1404" s="175"/>
      <c r="T1404" s="175"/>
      <c r="U1404" s="175"/>
      <c r="V1404" s="175"/>
      <c r="W1404" s="175"/>
      <c r="X1404" s="116"/>
    </row>
    <row r="1405" spans="1:24" s="112" customFormat="1">
      <c r="A1405" s="116"/>
      <c r="B1405" s="115"/>
      <c r="C1405" s="115"/>
      <c r="D1405" s="131"/>
      <c r="E1405" s="177"/>
      <c r="F1405" s="28"/>
      <c r="G1405" s="118"/>
      <c r="H1405" s="192"/>
      <c r="I1405" s="192"/>
      <c r="J1405" s="175"/>
      <c r="K1405" s="192"/>
      <c r="L1405" s="192"/>
      <c r="M1405" s="192"/>
      <c r="N1405" s="175"/>
      <c r="O1405" s="116"/>
      <c r="P1405" s="175"/>
      <c r="Q1405" s="175"/>
      <c r="R1405" s="220"/>
      <c r="S1405" s="175"/>
      <c r="T1405" s="175"/>
      <c r="U1405" s="175"/>
      <c r="V1405" s="175"/>
      <c r="W1405" s="175"/>
      <c r="X1405" s="116"/>
    </row>
    <row r="1406" spans="1:24" s="112" customFormat="1">
      <c r="A1406" s="116"/>
      <c r="B1406" s="115"/>
      <c r="C1406" s="115"/>
      <c r="D1406" s="131"/>
      <c r="E1406" s="177"/>
      <c r="F1406" s="28"/>
      <c r="G1406" s="118"/>
      <c r="H1406" s="192"/>
      <c r="I1406" s="192"/>
      <c r="J1406" s="175"/>
      <c r="K1406" s="192"/>
      <c r="L1406" s="192"/>
      <c r="M1406" s="192"/>
      <c r="N1406" s="175"/>
      <c r="O1406" s="116"/>
      <c r="P1406" s="175"/>
      <c r="Q1406" s="175"/>
      <c r="R1406" s="220"/>
      <c r="S1406" s="175"/>
      <c r="T1406" s="175"/>
      <c r="U1406" s="175"/>
      <c r="V1406" s="175"/>
      <c r="W1406" s="175"/>
      <c r="X1406" s="116"/>
    </row>
    <row r="1407" spans="1:24" s="112" customFormat="1">
      <c r="A1407" s="116"/>
      <c r="B1407" s="115"/>
      <c r="C1407" s="115"/>
      <c r="D1407" s="131"/>
      <c r="E1407" s="177"/>
      <c r="F1407" s="28"/>
      <c r="G1407" s="118"/>
      <c r="H1407" s="192"/>
      <c r="I1407" s="192"/>
      <c r="J1407" s="175"/>
      <c r="K1407" s="192"/>
      <c r="L1407" s="192"/>
      <c r="M1407" s="192"/>
      <c r="N1407" s="175"/>
      <c r="O1407" s="116"/>
      <c r="P1407" s="175"/>
      <c r="Q1407" s="175"/>
      <c r="R1407" s="220"/>
      <c r="S1407" s="175"/>
      <c r="T1407" s="175"/>
      <c r="U1407" s="175"/>
      <c r="V1407" s="175"/>
      <c r="W1407" s="175"/>
      <c r="X1407" s="116"/>
    </row>
    <row r="1408" spans="1:24" s="112" customFormat="1">
      <c r="A1408" s="116"/>
      <c r="B1408" s="115"/>
      <c r="C1408" s="115"/>
      <c r="D1408" s="131"/>
      <c r="E1408" s="177"/>
      <c r="F1408" s="28"/>
      <c r="G1408" s="118"/>
      <c r="H1408" s="192"/>
      <c r="I1408" s="192"/>
      <c r="J1408" s="175"/>
      <c r="K1408" s="192"/>
      <c r="L1408" s="192"/>
      <c r="M1408" s="192"/>
      <c r="N1408" s="175"/>
      <c r="O1408" s="116"/>
      <c r="P1408" s="175"/>
      <c r="Q1408" s="175"/>
      <c r="R1408" s="220"/>
      <c r="S1408" s="175"/>
      <c r="T1408" s="175"/>
      <c r="U1408" s="175"/>
      <c r="V1408" s="175"/>
      <c r="W1408" s="175"/>
      <c r="X1408" s="116"/>
    </row>
    <row r="1409" spans="1:24" s="112" customFormat="1">
      <c r="A1409" s="116"/>
      <c r="B1409" s="115"/>
      <c r="C1409" s="115"/>
      <c r="D1409" s="131"/>
      <c r="E1409" s="177"/>
      <c r="F1409" s="28"/>
      <c r="G1409" s="118"/>
      <c r="H1409" s="192"/>
      <c r="I1409" s="192"/>
      <c r="J1409" s="175"/>
      <c r="K1409" s="192"/>
      <c r="L1409" s="192"/>
      <c r="M1409" s="192"/>
      <c r="N1409" s="175"/>
      <c r="O1409" s="116"/>
      <c r="P1409" s="175"/>
      <c r="Q1409" s="175"/>
      <c r="R1409" s="220"/>
      <c r="S1409" s="175"/>
      <c r="T1409" s="175"/>
      <c r="U1409" s="175"/>
      <c r="V1409" s="175"/>
      <c r="W1409" s="175"/>
      <c r="X1409" s="116"/>
    </row>
    <row r="1410" spans="1:24" s="112" customFormat="1">
      <c r="A1410" s="116"/>
      <c r="B1410" s="115"/>
      <c r="C1410" s="115"/>
      <c r="D1410" s="131"/>
      <c r="E1410" s="177"/>
      <c r="F1410" s="28"/>
      <c r="G1410" s="118"/>
      <c r="H1410" s="192"/>
      <c r="I1410" s="192"/>
      <c r="J1410" s="175"/>
      <c r="K1410" s="192"/>
      <c r="L1410" s="192"/>
      <c r="M1410" s="192"/>
      <c r="N1410" s="175"/>
      <c r="O1410" s="116"/>
      <c r="P1410" s="175"/>
      <c r="Q1410" s="175"/>
      <c r="R1410" s="220"/>
      <c r="S1410" s="175"/>
      <c r="T1410" s="175"/>
      <c r="U1410" s="175"/>
      <c r="V1410" s="175"/>
      <c r="W1410" s="175"/>
      <c r="X1410" s="116"/>
    </row>
    <row r="1411" spans="1:24" s="112" customFormat="1">
      <c r="A1411" s="116"/>
      <c r="B1411" s="115"/>
      <c r="C1411" s="115"/>
      <c r="D1411" s="131"/>
      <c r="E1411" s="177"/>
      <c r="F1411" s="28"/>
      <c r="G1411" s="118"/>
      <c r="H1411" s="192"/>
      <c r="I1411" s="192"/>
      <c r="J1411" s="175"/>
      <c r="K1411" s="192"/>
      <c r="L1411" s="192"/>
      <c r="M1411" s="192"/>
      <c r="N1411" s="175"/>
      <c r="O1411" s="116"/>
      <c r="P1411" s="175"/>
      <c r="Q1411" s="175"/>
      <c r="R1411" s="220"/>
      <c r="S1411" s="175"/>
      <c r="T1411" s="175"/>
      <c r="U1411" s="175"/>
      <c r="V1411" s="175"/>
      <c r="W1411" s="175"/>
      <c r="X1411" s="116"/>
    </row>
    <row r="1412" spans="1:24" s="112" customFormat="1">
      <c r="A1412" s="116"/>
      <c r="B1412" s="115"/>
      <c r="C1412" s="115"/>
      <c r="D1412" s="131"/>
      <c r="E1412" s="177"/>
      <c r="F1412" s="28"/>
      <c r="G1412" s="118"/>
      <c r="H1412" s="192"/>
      <c r="I1412" s="192"/>
      <c r="J1412" s="175"/>
      <c r="K1412" s="192"/>
      <c r="L1412" s="192"/>
      <c r="M1412" s="192"/>
      <c r="N1412" s="175"/>
      <c r="O1412" s="116"/>
      <c r="P1412" s="175"/>
      <c r="Q1412" s="175"/>
      <c r="R1412" s="220"/>
      <c r="S1412" s="175"/>
      <c r="T1412" s="175"/>
      <c r="U1412" s="175"/>
      <c r="V1412" s="175"/>
      <c r="W1412" s="175"/>
      <c r="X1412" s="116"/>
    </row>
    <row r="1413" spans="1:24" s="112" customFormat="1">
      <c r="A1413" s="116"/>
      <c r="B1413" s="115"/>
      <c r="C1413" s="115"/>
      <c r="D1413" s="131"/>
      <c r="E1413" s="177"/>
      <c r="F1413" s="28"/>
      <c r="G1413" s="118"/>
      <c r="H1413" s="192"/>
      <c r="I1413" s="192"/>
      <c r="J1413" s="175"/>
      <c r="K1413" s="192"/>
      <c r="L1413" s="192"/>
      <c r="M1413" s="192"/>
      <c r="N1413" s="175"/>
      <c r="O1413" s="116"/>
      <c r="P1413" s="175"/>
      <c r="Q1413" s="175"/>
      <c r="R1413" s="220"/>
      <c r="S1413" s="175"/>
      <c r="T1413" s="175"/>
      <c r="U1413" s="175"/>
      <c r="V1413" s="175"/>
      <c r="W1413" s="175"/>
      <c r="X1413" s="116"/>
    </row>
    <row r="1414" spans="1:24" s="112" customFormat="1">
      <c r="A1414" s="116"/>
      <c r="B1414" s="115"/>
      <c r="C1414" s="115"/>
      <c r="D1414" s="131"/>
      <c r="E1414" s="177"/>
      <c r="F1414" s="28"/>
      <c r="G1414" s="118"/>
      <c r="H1414" s="192"/>
      <c r="I1414" s="192"/>
      <c r="J1414" s="175"/>
      <c r="K1414" s="192"/>
      <c r="L1414" s="192"/>
      <c r="M1414" s="192"/>
      <c r="N1414" s="175"/>
      <c r="O1414" s="116"/>
      <c r="P1414" s="175"/>
      <c r="Q1414" s="175"/>
      <c r="R1414" s="220"/>
      <c r="S1414" s="175"/>
      <c r="T1414" s="175"/>
      <c r="U1414" s="175"/>
      <c r="V1414" s="175"/>
      <c r="W1414" s="175"/>
      <c r="X1414" s="116"/>
    </row>
    <row r="1415" spans="1:24" s="112" customFormat="1">
      <c r="A1415" s="116"/>
      <c r="B1415" s="115"/>
      <c r="C1415" s="115"/>
      <c r="D1415" s="131"/>
      <c r="E1415" s="177"/>
      <c r="F1415" s="28"/>
      <c r="G1415" s="118"/>
      <c r="H1415" s="192"/>
      <c r="I1415" s="192"/>
      <c r="J1415" s="175"/>
      <c r="K1415" s="192"/>
      <c r="L1415" s="192"/>
      <c r="M1415" s="192"/>
      <c r="N1415" s="175"/>
      <c r="O1415" s="116"/>
      <c r="P1415" s="175"/>
      <c r="Q1415" s="175"/>
      <c r="R1415" s="220"/>
      <c r="S1415" s="175"/>
      <c r="T1415" s="175"/>
      <c r="U1415" s="175"/>
      <c r="V1415" s="175"/>
      <c r="W1415" s="175"/>
      <c r="X1415" s="116"/>
    </row>
    <row r="1416" spans="1:24" s="112" customFormat="1">
      <c r="A1416" s="116"/>
      <c r="B1416" s="115"/>
      <c r="C1416" s="115"/>
      <c r="D1416" s="131"/>
      <c r="E1416" s="177"/>
      <c r="F1416" s="28"/>
      <c r="G1416" s="118"/>
      <c r="H1416" s="192"/>
      <c r="I1416" s="192"/>
      <c r="J1416" s="175"/>
      <c r="K1416" s="192"/>
      <c r="L1416" s="192"/>
      <c r="M1416" s="192"/>
      <c r="N1416" s="175"/>
      <c r="O1416" s="116"/>
      <c r="P1416" s="175"/>
      <c r="Q1416" s="175"/>
      <c r="R1416" s="220"/>
      <c r="S1416" s="175"/>
      <c r="T1416" s="175"/>
      <c r="U1416" s="175"/>
      <c r="V1416" s="175"/>
      <c r="W1416" s="175"/>
      <c r="X1416" s="116"/>
    </row>
    <row r="1417" spans="1:24" s="112" customFormat="1">
      <c r="A1417" s="116"/>
      <c r="B1417" s="115"/>
      <c r="C1417" s="115"/>
      <c r="D1417" s="131"/>
      <c r="E1417" s="177"/>
      <c r="F1417" s="28"/>
      <c r="G1417" s="118"/>
      <c r="H1417" s="192"/>
      <c r="I1417" s="192"/>
      <c r="J1417" s="175"/>
      <c r="K1417" s="192"/>
      <c r="L1417" s="192"/>
      <c r="M1417" s="192"/>
      <c r="N1417" s="175"/>
      <c r="O1417" s="116"/>
      <c r="P1417" s="175"/>
      <c r="Q1417" s="175"/>
      <c r="R1417" s="220"/>
      <c r="S1417" s="175"/>
      <c r="T1417" s="175"/>
      <c r="U1417" s="175"/>
      <c r="V1417" s="175"/>
      <c r="W1417" s="175"/>
      <c r="X1417" s="116"/>
    </row>
    <row r="1418" spans="1:24" s="112" customFormat="1">
      <c r="A1418" s="116"/>
      <c r="B1418" s="115"/>
      <c r="C1418" s="115"/>
      <c r="D1418" s="131"/>
      <c r="E1418" s="177"/>
      <c r="F1418" s="28"/>
      <c r="G1418" s="118"/>
      <c r="H1418" s="192"/>
      <c r="I1418" s="192"/>
      <c r="J1418" s="175"/>
      <c r="K1418" s="192"/>
      <c r="L1418" s="192"/>
      <c r="M1418" s="192"/>
      <c r="N1418" s="175"/>
      <c r="O1418" s="116"/>
      <c r="P1418" s="175"/>
      <c r="Q1418" s="175"/>
      <c r="R1418" s="220"/>
      <c r="S1418" s="175"/>
      <c r="T1418" s="175"/>
      <c r="U1418" s="175"/>
      <c r="V1418" s="175"/>
      <c r="W1418" s="175"/>
      <c r="X1418" s="116"/>
    </row>
    <row r="1419" spans="1:24" s="112" customFormat="1">
      <c r="A1419" s="116"/>
      <c r="B1419" s="115"/>
      <c r="C1419" s="115"/>
      <c r="D1419" s="131"/>
      <c r="E1419" s="177"/>
      <c r="F1419" s="28"/>
      <c r="G1419" s="118"/>
      <c r="H1419" s="192"/>
      <c r="I1419" s="192"/>
      <c r="J1419" s="175"/>
      <c r="K1419" s="192"/>
      <c r="L1419" s="192"/>
      <c r="M1419" s="192"/>
      <c r="N1419" s="175"/>
      <c r="O1419" s="116"/>
      <c r="P1419" s="175"/>
      <c r="Q1419" s="175"/>
      <c r="R1419" s="220"/>
      <c r="S1419" s="175"/>
      <c r="T1419" s="175"/>
      <c r="U1419" s="175"/>
      <c r="V1419" s="175"/>
      <c r="W1419" s="175"/>
      <c r="X1419" s="116"/>
    </row>
    <row r="1420" spans="1:24" s="112" customFormat="1">
      <c r="A1420" s="116"/>
      <c r="B1420" s="115"/>
      <c r="C1420" s="115"/>
      <c r="D1420" s="131"/>
      <c r="E1420" s="177"/>
      <c r="F1420" s="28"/>
      <c r="G1420" s="118"/>
      <c r="H1420" s="192"/>
      <c r="I1420" s="192"/>
      <c r="J1420" s="175"/>
      <c r="K1420" s="192"/>
      <c r="L1420" s="192"/>
      <c r="M1420" s="192"/>
      <c r="N1420" s="175"/>
      <c r="O1420" s="116"/>
      <c r="P1420" s="175"/>
      <c r="Q1420" s="175"/>
      <c r="R1420" s="220"/>
      <c r="S1420" s="175"/>
      <c r="T1420" s="175"/>
      <c r="U1420" s="175"/>
      <c r="V1420" s="175"/>
      <c r="W1420" s="175"/>
      <c r="X1420" s="116"/>
    </row>
    <row r="1421" spans="1:24" s="112" customFormat="1">
      <c r="A1421" s="116"/>
      <c r="B1421" s="115"/>
      <c r="C1421" s="115"/>
      <c r="D1421" s="131"/>
      <c r="E1421" s="177"/>
      <c r="F1421" s="28"/>
      <c r="G1421" s="118"/>
      <c r="H1421" s="192"/>
      <c r="I1421" s="192"/>
      <c r="J1421" s="175"/>
      <c r="K1421" s="192"/>
      <c r="L1421" s="192"/>
      <c r="M1421" s="192"/>
      <c r="N1421" s="175"/>
      <c r="O1421" s="116"/>
      <c r="P1421" s="175"/>
      <c r="Q1421" s="175"/>
      <c r="R1421" s="220"/>
      <c r="S1421" s="175"/>
      <c r="T1421" s="175"/>
      <c r="U1421" s="175"/>
      <c r="V1421" s="175"/>
      <c r="W1421" s="175"/>
      <c r="X1421" s="116"/>
    </row>
    <row r="1422" spans="1:24" s="112" customFormat="1">
      <c r="A1422" s="116"/>
      <c r="B1422" s="115"/>
      <c r="C1422" s="115"/>
      <c r="D1422" s="131"/>
      <c r="E1422" s="177"/>
      <c r="F1422" s="28"/>
      <c r="G1422" s="118"/>
      <c r="H1422" s="192"/>
      <c r="I1422" s="192"/>
      <c r="J1422" s="175"/>
      <c r="K1422" s="192"/>
      <c r="L1422" s="192"/>
      <c r="M1422" s="192"/>
      <c r="N1422" s="175"/>
      <c r="O1422" s="116"/>
      <c r="P1422" s="175"/>
      <c r="Q1422" s="175"/>
      <c r="R1422" s="220"/>
      <c r="S1422" s="175"/>
      <c r="T1422" s="175"/>
      <c r="U1422" s="175"/>
      <c r="V1422" s="175"/>
      <c r="W1422" s="175"/>
      <c r="X1422" s="116"/>
    </row>
    <row r="1423" spans="1:24" s="112" customFormat="1">
      <c r="A1423" s="116"/>
      <c r="B1423" s="115"/>
      <c r="C1423" s="115"/>
      <c r="D1423" s="131"/>
      <c r="E1423" s="177"/>
      <c r="F1423" s="28"/>
      <c r="G1423" s="118"/>
      <c r="H1423" s="192"/>
      <c r="I1423" s="192"/>
      <c r="J1423" s="175"/>
      <c r="K1423" s="192"/>
      <c r="L1423" s="192"/>
      <c r="M1423" s="192"/>
      <c r="N1423" s="175"/>
      <c r="O1423" s="116"/>
      <c r="P1423" s="175"/>
      <c r="Q1423" s="175"/>
      <c r="R1423" s="220"/>
      <c r="S1423" s="175"/>
      <c r="T1423" s="175"/>
      <c r="U1423" s="175"/>
      <c r="V1423" s="175"/>
      <c r="W1423" s="175"/>
      <c r="X1423" s="116"/>
    </row>
    <row r="1424" spans="1:24" s="112" customFormat="1">
      <c r="A1424" s="116"/>
      <c r="B1424" s="115"/>
      <c r="C1424" s="115"/>
      <c r="D1424" s="131"/>
      <c r="E1424" s="177"/>
      <c r="F1424" s="28"/>
      <c r="G1424" s="118"/>
      <c r="H1424" s="192"/>
      <c r="I1424" s="192"/>
      <c r="J1424" s="175"/>
      <c r="K1424" s="192"/>
      <c r="L1424" s="192"/>
      <c r="M1424" s="192"/>
      <c r="N1424" s="175"/>
      <c r="O1424" s="116"/>
      <c r="P1424" s="175"/>
      <c r="Q1424" s="175"/>
      <c r="R1424" s="220"/>
      <c r="S1424" s="175"/>
      <c r="T1424" s="175"/>
      <c r="U1424" s="175"/>
      <c r="V1424" s="175"/>
      <c r="W1424" s="175"/>
      <c r="X1424" s="116"/>
    </row>
    <row r="1425" spans="1:24" s="112" customFormat="1">
      <c r="A1425" s="116"/>
      <c r="B1425" s="115"/>
      <c r="C1425" s="115"/>
      <c r="D1425" s="131"/>
      <c r="E1425" s="177"/>
      <c r="F1425" s="28"/>
      <c r="G1425" s="118"/>
      <c r="H1425" s="192"/>
      <c r="I1425" s="192"/>
      <c r="J1425" s="175"/>
      <c r="K1425" s="192"/>
      <c r="L1425" s="192"/>
      <c r="M1425" s="192"/>
      <c r="N1425" s="175"/>
      <c r="O1425" s="116"/>
      <c r="P1425" s="175"/>
      <c r="Q1425" s="175"/>
      <c r="R1425" s="220"/>
      <c r="S1425" s="175"/>
      <c r="T1425" s="175"/>
      <c r="U1425" s="175"/>
      <c r="V1425" s="175"/>
      <c r="W1425" s="175"/>
      <c r="X1425" s="116"/>
    </row>
    <row r="1426" spans="1:24" s="112" customFormat="1">
      <c r="A1426" s="116"/>
      <c r="B1426" s="115"/>
      <c r="C1426" s="115"/>
      <c r="D1426" s="131"/>
      <c r="E1426" s="177"/>
      <c r="F1426" s="28"/>
      <c r="G1426" s="118"/>
      <c r="H1426" s="192"/>
      <c r="I1426" s="192"/>
      <c r="J1426" s="175"/>
      <c r="K1426" s="192"/>
      <c r="L1426" s="192"/>
      <c r="M1426" s="192"/>
      <c r="N1426" s="175"/>
      <c r="O1426" s="116"/>
      <c r="P1426" s="175"/>
      <c r="Q1426" s="175"/>
      <c r="R1426" s="220"/>
      <c r="S1426" s="175"/>
      <c r="T1426" s="175"/>
      <c r="U1426" s="175"/>
      <c r="V1426" s="175"/>
      <c r="W1426" s="175"/>
      <c r="X1426" s="116"/>
    </row>
    <row r="1427" spans="1:24" s="112" customFormat="1">
      <c r="A1427" s="116"/>
      <c r="B1427" s="115"/>
      <c r="C1427" s="115"/>
      <c r="D1427" s="131"/>
      <c r="E1427" s="177"/>
      <c r="F1427" s="28"/>
      <c r="G1427" s="118"/>
      <c r="H1427" s="192"/>
      <c r="I1427" s="192"/>
      <c r="J1427" s="175"/>
      <c r="K1427" s="192"/>
      <c r="L1427" s="192"/>
      <c r="M1427" s="192"/>
      <c r="N1427" s="175"/>
      <c r="O1427" s="116"/>
      <c r="P1427" s="175"/>
      <c r="Q1427" s="175"/>
      <c r="R1427" s="220"/>
      <c r="S1427" s="175"/>
      <c r="T1427" s="175"/>
      <c r="U1427" s="175"/>
      <c r="V1427" s="175"/>
      <c r="W1427" s="175"/>
      <c r="X1427" s="116"/>
    </row>
    <row r="1428" spans="1:24" s="112" customFormat="1">
      <c r="A1428" s="116"/>
      <c r="B1428" s="115"/>
      <c r="C1428" s="115"/>
      <c r="D1428" s="131"/>
      <c r="E1428" s="177"/>
      <c r="F1428" s="28"/>
      <c r="G1428" s="118"/>
      <c r="H1428" s="192"/>
      <c r="I1428" s="192"/>
      <c r="J1428" s="175"/>
      <c r="K1428" s="192"/>
      <c r="L1428" s="192"/>
      <c r="M1428" s="192"/>
      <c r="N1428" s="175"/>
      <c r="O1428" s="116"/>
      <c r="P1428" s="175"/>
      <c r="Q1428" s="175"/>
      <c r="R1428" s="220"/>
      <c r="S1428" s="175"/>
      <c r="T1428" s="175"/>
      <c r="U1428" s="175"/>
      <c r="V1428" s="175"/>
      <c r="W1428" s="175"/>
      <c r="X1428" s="116"/>
    </row>
    <row r="1429" spans="1:24" s="112" customFormat="1">
      <c r="A1429" s="116"/>
      <c r="B1429" s="115"/>
      <c r="C1429" s="115"/>
      <c r="D1429" s="131"/>
      <c r="E1429" s="177"/>
      <c r="F1429" s="28"/>
      <c r="G1429" s="118"/>
      <c r="H1429" s="192"/>
      <c r="I1429" s="192"/>
      <c r="J1429" s="175"/>
      <c r="K1429" s="192"/>
      <c r="L1429" s="192"/>
      <c r="M1429" s="192"/>
      <c r="N1429" s="175"/>
      <c r="O1429" s="116"/>
      <c r="P1429" s="175"/>
      <c r="Q1429" s="175"/>
      <c r="R1429" s="220"/>
      <c r="S1429" s="175"/>
      <c r="T1429" s="175"/>
      <c r="U1429" s="175"/>
      <c r="V1429" s="175"/>
      <c r="W1429" s="175"/>
      <c r="X1429" s="116"/>
    </row>
    <row r="1430" spans="1:24" s="112" customFormat="1">
      <c r="A1430" s="116"/>
      <c r="B1430" s="115"/>
      <c r="C1430" s="115"/>
      <c r="D1430" s="131"/>
      <c r="E1430" s="177"/>
      <c r="F1430" s="28"/>
      <c r="G1430" s="118"/>
      <c r="H1430" s="192"/>
      <c r="I1430" s="192"/>
      <c r="J1430" s="175"/>
      <c r="K1430" s="192"/>
      <c r="L1430" s="192"/>
      <c r="M1430" s="192"/>
      <c r="N1430" s="175"/>
      <c r="O1430" s="116"/>
      <c r="P1430" s="175"/>
      <c r="Q1430" s="175"/>
      <c r="R1430" s="220"/>
      <c r="S1430" s="175"/>
      <c r="T1430" s="175"/>
      <c r="U1430" s="175"/>
      <c r="V1430" s="175"/>
      <c r="W1430" s="175"/>
      <c r="X1430" s="116"/>
    </row>
    <row r="1431" spans="1:24" s="112" customFormat="1">
      <c r="A1431" s="116"/>
      <c r="B1431" s="115"/>
      <c r="C1431" s="115"/>
      <c r="D1431" s="131"/>
      <c r="E1431" s="177"/>
      <c r="F1431" s="28"/>
      <c r="G1431" s="118"/>
      <c r="H1431" s="192"/>
      <c r="I1431" s="192"/>
      <c r="J1431" s="175"/>
      <c r="K1431" s="192"/>
      <c r="L1431" s="192"/>
      <c r="M1431" s="192"/>
      <c r="N1431" s="175"/>
      <c r="O1431" s="116"/>
      <c r="P1431" s="175"/>
      <c r="Q1431" s="175"/>
      <c r="R1431" s="220"/>
      <c r="S1431" s="175"/>
      <c r="T1431" s="175"/>
      <c r="U1431" s="175"/>
      <c r="V1431" s="175"/>
      <c r="W1431" s="175"/>
      <c r="X1431" s="116"/>
    </row>
    <row r="1432" spans="1:24" s="112" customFormat="1">
      <c r="A1432" s="116"/>
      <c r="B1432" s="115"/>
      <c r="C1432" s="115"/>
      <c r="D1432" s="131"/>
      <c r="E1432" s="177"/>
      <c r="F1432" s="28"/>
      <c r="G1432" s="118"/>
      <c r="H1432" s="192"/>
      <c r="I1432" s="192"/>
      <c r="J1432" s="175"/>
      <c r="K1432" s="192"/>
      <c r="L1432" s="192"/>
      <c r="M1432" s="192"/>
      <c r="N1432" s="175"/>
      <c r="O1432" s="116"/>
      <c r="P1432" s="175"/>
      <c r="Q1432" s="175"/>
      <c r="R1432" s="220"/>
      <c r="S1432" s="175"/>
      <c r="T1432" s="175"/>
      <c r="U1432" s="175"/>
      <c r="V1432" s="175"/>
      <c r="W1432" s="175"/>
      <c r="X1432" s="116"/>
    </row>
    <row r="1433" spans="1:24" s="112" customFormat="1">
      <c r="A1433" s="116"/>
      <c r="B1433" s="115"/>
      <c r="C1433" s="115"/>
      <c r="D1433" s="131"/>
      <c r="E1433" s="177"/>
      <c r="F1433" s="28"/>
      <c r="G1433" s="118"/>
      <c r="H1433" s="192"/>
      <c r="I1433" s="192"/>
      <c r="J1433" s="175"/>
      <c r="K1433" s="192"/>
      <c r="L1433" s="192"/>
      <c r="M1433" s="192"/>
      <c r="N1433" s="175"/>
      <c r="O1433" s="116"/>
      <c r="P1433" s="175"/>
      <c r="Q1433" s="175"/>
      <c r="R1433" s="220"/>
      <c r="S1433" s="175"/>
      <c r="T1433" s="175"/>
      <c r="U1433" s="175"/>
      <c r="V1433" s="175"/>
      <c r="W1433" s="175"/>
      <c r="X1433" s="116"/>
    </row>
    <row r="1434" spans="1:24" s="112" customFormat="1">
      <c r="A1434" s="116"/>
      <c r="B1434" s="115"/>
      <c r="C1434" s="115"/>
      <c r="D1434" s="131"/>
      <c r="E1434" s="177"/>
      <c r="F1434" s="28"/>
      <c r="G1434" s="118"/>
      <c r="H1434" s="192"/>
      <c r="I1434" s="192"/>
      <c r="J1434" s="175"/>
      <c r="K1434" s="192"/>
      <c r="L1434" s="192"/>
      <c r="M1434" s="192"/>
      <c r="N1434" s="175"/>
      <c r="O1434" s="116"/>
      <c r="P1434" s="175"/>
      <c r="Q1434" s="175"/>
      <c r="R1434" s="220"/>
      <c r="S1434" s="175"/>
      <c r="T1434" s="175"/>
      <c r="U1434" s="175"/>
      <c r="V1434" s="175"/>
      <c r="W1434" s="175"/>
      <c r="X1434" s="116"/>
    </row>
    <row r="1435" spans="1:24" s="112" customFormat="1">
      <c r="A1435" s="116"/>
      <c r="B1435" s="115"/>
      <c r="C1435" s="115"/>
      <c r="D1435" s="131"/>
      <c r="E1435" s="177"/>
      <c r="F1435" s="28"/>
      <c r="G1435" s="118"/>
      <c r="H1435" s="192"/>
      <c r="I1435" s="192"/>
      <c r="J1435" s="175"/>
      <c r="K1435" s="192"/>
      <c r="L1435" s="192"/>
      <c r="M1435" s="192"/>
      <c r="N1435" s="175"/>
      <c r="O1435" s="116"/>
      <c r="P1435" s="175"/>
      <c r="Q1435" s="175"/>
      <c r="R1435" s="220"/>
      <c r="S1435" s="175"/>
      <c r="T1435" s="175"/>
      <c r="U1435" s="175"/>
      <c r="V1435" s="175"/>
      <c r="W1435" s="175"/>
      <c r="X1435" s="116"/>
    </row>
    <row r="1436" spans="1:24" s="112" customFormat="1">
      <c r="A1436" s="116"/>
      <c r="B1436" s="115"/>
      <c r="C1436" s="115"/>
      <c r="D1436" s="131"/>
      <c r="E1436" s="177"/>
      <c r="F1436" s="28"/>
      <c r="G1436" s="118"/>
      <c r="H1436" s="192"/>
      <c r="I1436" s="192"/>
      <c r="J1436" s="175"/>
      <c r="K1436" s="192"/>
      <c r="L1436" s="192"/>
      <c r="M1436" s="192"/>
      <c r="N1436" s="175"/>
      <c r="O1436" s="116"/>
      <c r="P1436" s="175"/>
      <c r="Q1436" s="175"/>
      <c r="R1436" s="220"/>
      <c r="S1436" s="175"/>
      <c r="T1436" s="175"/>
      <c r="U1436" s="175"/>
      <c r="V1436" s="175"/>
      <c r="W1436" s="175"/>
      <c r="X1436" s="116"/>
    </row>
    <row r="1437" spans="1:24" s="112" customFormat="1">
      <c r="A1437" s="116"/>
      <c r="B1437" s="115"/>
      <c r="C1437" s="115"/>
      <c r="D1437" s="131"/>
      <c r="E1437" s="177"/>
      <c r="F1437" s="28"/>
      <c r="G1437" s="118"/>
      <c r="H1437" s="192"/>
      <c r="I1437" s="192"/>
      <c r="J1437" s="175"/>
      <c r="K1437" s="192"/>
      <c r="L1437" s="192"/>
      <c r="M1437" s="192"/>
      <c r="N1437" s="175"/>
      <c r="O1437" s="116"/>
      <c r="P1437" s="175"/>
      <c r="Q1437" s="175"/>
      <c r="R1437" s="220"/>
      <c r="S1437" s="175"/>
      <c r="T1437" s="175"/>
      <c r="U1437" s="175"/>
      <c r="V1437" s="175"/>
      <c r="W1437" s="175"/>
      <c r="X1437" s="116"/>
    </row>
    <row r="1438" spans="1:24" s="112" customFormat="1">
      <c r="A1438" s="116"/>
      <c r="B1438" s="115"/>
      <c r="C1438" s="115"/>
      <c r="D1438" s="131"/>
      <c r="E1438" s="177"/>
      <c r="F1438" s="28"/>
      <c r="G1438" s="118"/>
      <c r="H1438" s="192"/>
      <c r="I1438" s="192"/>
      <c r="J1438" s="175"/>
      <c r="K1438" s="192"/>
      <c r="L1438" s="192"/>
      <c r="M1438" s="192"/>
      <c r="N1438" s="175"/>
      <c r="O1438" s="116"/>
      <c r="P1438" s="175"/>
      <c r="Q1438" s="175"/>
      <c r="R1438" s="220"/>
      <c r="S1438" s="175"/>
      <c r="T1438" s="175"/>
      <c r="U1438" s="175"/>
      <c r="V1438" s="175"/>
      <c r="W1438" s="175"/>
      <c r="X1438" s="116"/>
    </row>
    <row r="1439" spans="1:24" s="112" customFormat="1">
      <c r="A1439" s="116"/>
      <c r="B1439" s="115"/>
      <c r="C1439" s="115"/>
      <c r="D1439" s="131"/>
      <c r="E1439" s="177"/>
      <c r="F1439" s="28"/>
      <c r="G1439" s="118"/>
      <c r="H1439" s="192"/>
      <c r="I1439" s="192"/>
      <c r="J1439" s="175"/>
      <c r="K1439" s="192"/>
      <c r="L1439" s="192"/>
      <c r="M1439" s="192"/>
      <c r="N1439" s="175"/>
      <c r="O1439" s="116"/>
      <c r="P1439" s="175"/>
      <c r="Q1439" s="175"/>
      <c r="R1439" s="220"/>
      <c r="S1439" s="175"/>
      <c r="T1439" s="175"/>
      <c r="U1439" s="175"/>
      <c r="V1439" s="175"/>
      <c r="W1439" s="175"/>
      <c r="X1439" s="116"/>
    </row>
    <row r="1440" spans="1:24" s="112" customFormat="1">
      <c r="A1440" s="116"/>
      <c r="B1440" s="115"/>
      <c r="C1440" s="115"/>
      <c r="D1440" s="131"/>
      <c r="E1440" s="177"/>
      <c r="F1440" s="28"/>
      <c r="G1440" s="118"/>
      <c r="H1440" s="192"/>
      <c r="I1440" s="192"/>
      <c r="J1440" s="175"/>
      <c r="K1440" s="192"/>
      <c r="L1440" s="192"/>
      <c r="M1440" s="192"/>
      <c r="N1440" s="175"/>
      <c r="O1440" s="116"/>
      <c r="P1440" s="175"/>
      <c r="Q1440" s="175"/>
      <c r="R1440" s="220"/>
      <c r="S1440" s="175"/>
      <c r="T1440" s="175"/>
      <c r="U1440" s="175"/>
      <c r="V1440" s="175"/>
      <c r="W1440" s="175"/>
      <c r="X1440" s="116"/>
    </row>
    <row r="1441" spans="1:24" s="112" customFormat="1">
      <c r="A1441" s="116"/>
      <c r="B1441" s="115"/>
      <c r="C1441" s="115"/>
      <c r="D1441" s="131"/>
      <c r="E1441" s="177"/>
      <c r="F1441" s="28"/>
      <c r="G1441" s="118"/>
      <c r="H1441" s="192"/>
      <c r="I1441" s="192"/>
      <c r="J1441" s="175"/>
      <c r="K1441" s="192"/>
      <c r="L1441" s="192"/>
      <c r="M1441" s="192"/>
      <c r="N1441" s="175"/>
      <c r="O1441" s="116"/>
      <c r="P1441" s="175"/>
      <c r="Q1441" s="175"/>
      <c r="R1441" s="220"/>
      <c r="S1441" s="175"/>
      <c r="T1441" s="175"/>
      <c r="U1441" s="175"/>
      <c r="V1441" s="175"/>
      <c r="W1441" s="175"/>
      <c r="X1441" s="116"/>
    </row>
    <row r="1442" spans="1:24" s="112" customFormat="1">
      <c r="A1442" s="116"/>
      <c r="B1442" s="115"/>
      <c r="C1442" s="115"/>
      <c r="D1442" s="131"/>
      <c r="E1442" s="177"/>
      <c r="F1442" s="28"/>
      <c r="G1442" s="118"/>
      <c r="H1442" s="192"/>
      <c r="I1442" s="192"/>
      <c r="J1442" s="175"/>
      <c r="K1442" s="192"/>
      <c r="L1442" s="192"/>
      <c r="M1442" s="192"/>
      <c r="N1442" s="175"/>
      <c r="O1442" s="116"/>
      <c r="P1442" s="175"/>
      <c r="Q1442" s="175"/>
      <c r="R1442" s="220"/>
      <c r="S1442" s="175"/>
      <c r="T1442" s="175"/>
      <c r="U1442" s="175"/>
      <c r="V1442" s="175"/>
      <c r="W1442" s="175"/>
      <c r="X1442" s="116"/>
    </row>
    <row r="1443" spans="1:24" s="112" customFormat="1">
      <c r="A1443" s="116"/>
      <c r="B1443" s="115"/>
      <c r="C1443" s="115"/>
      <c r="D1443" s="131"/>
      <c r="E1443" s="177"/>
      <c r="F1443" s="28"/>
      <c r="G1443" s="118"/>
      <c r="H1443" s="192"/>
      <c r="I1443" s="192"/>
      <c r="J1443" s="175"/>
      <c r="K1443" s="192"/>
      <c r="L1443" s="192"/>
      <c r="M1443" s="192"/>
      <c r="N1443" s="175"/>
      <c r="O1443" s="116"/>
      <c r="P1443" s="175"/>
      <c r="Q1443" s="175"/>
      <c r="R1443" s="220"/>
      <c r="S1443" s="175"/>
      <c r="T1443" s="175"/>
      <c r="U1443" s="175"/>
      <c r="V1443" s="175"/>
      <c r="W1443" s="175"/>
      <c r="X1443" s="116"/>
    </row>
    <row r="1444" spans="1:24" s="112" customFormat="1">
      <c r="A1444" s="116"/>
      <c r="B1444" s="115"/>
      <c r="C1444" s="115"/>
      <c r="D1444" s="131"/>
      <c r="E1444" s="177"/>
      <c r="F1444" s="28"/>
      <c r="G1444" s="118"/>
      <c r="H1444" s="192"/>
      <c r="I1444" s="192"/>
      <c r="J1444" s="175"/>
      <c r="K1444" s="192"/>
      <c r="L1444" s="192"/>
      <c r="M1444" s="192"/>
      <c r="N1444" s="175"/>
      <c r="O1444" s="116"/>
      <c r="P1444" s="175"/>
      <c r="Q1444" s="175"/>
      <c r="R1444" s="220"/>
      <c r="S1444" s="175"/>
      <c r="T1444" s="175"/>
      <c r="U1444" s="175"/>
      <c r="V1444" s="175"/>
      <c r="W1444" s="175"/>
      <c r="X1444" s="116"/>
    </row>
    <row r="1445" spans="1:24" s="112" customFormat="1">
      <c r="A1445" s="116"/>
      <c r="B1445" s="115"/>
      <c r="C1445" s="115"/>
      <c r="D1445" s="131"/>
      <c r="E1445" s="177"/>
      <c r="F1445" s="28"/>
      <c r="G1445" s="118"/>
      <c r="H1445" s="192"/>
      <c r="I1445" s="192"/>
      <c r="J1445" s="175"/>
      <c r="K1445" s="192"/>
      <c r="L1445" s="192"/>
      <c r="M1445" s="192"/>
      <c r="N1445" s="175"/>
      <c r="O1445" s="116"/>
      <c r="P1445" s="175"/>
      <c r="Q1445" s="175"/>
      <c r="R1445" s="220"/>
      <c r="S1445" s="175"/>
      <c r="T1445" s="175"/>
      <c r="U1445" s="175"/>
      <c r="V1445" s="175"/>
      <c r="W1445" s="175"/>
      <c r="X1445" s="116"/>
    </row>
    <row r="1446" spans="1:24" s="112" customFormat="1">
      <c r="A1446" s="116"/>
      <c r="B1446" s="115"/>
      <c r="C1446" s="115"/>
      <c r="D1446" s="131"/>
      <c r="E1446" s="177"/>
      <c r="F1446" s="28"/>
      <c r="G1446" s="118"/>
      <c r="H1446" s="192"/>
      <c r="I1446" s="192"/>
      <c r="J1446" s="175"/>
      <c r="K1446" s="192"/>
      <c r="L1446" s="192"/>
      <c r="M1446" s="192"/>
      <c r="N1446" s="175"/>
      <c r="O1446" s="116"/>
      <c r="P1446" s="175"/>
      <c r="Q1446" s="175"/>
      <c r="R1446" s="220"/>
      <c r="S1446" s="175"/>
      <c r="T1446" s="175"/>
      <c r="U1446" s="175"/>
      <c r="V1446" s="175"/>
      <c r="W1446" s="175"/>
      <c r="X1446" s="116"/>
    </row>
    <row r="1447" spans="1:24" s="112" customFormat="1">
      <c r="A1447" s="116"/>
      <c r="B1447" s="115"/>
      <c r="C1447" s="115"/>
      <c r="D1447" s="131"/>
      <c r="E1447" s="177"/>
      <c r="F1447" s="28"/>
      <c r="G1447" s="118"/>
      <c r="H1447" s="192"/>
      <c r="I1447" s="192"/>
      <c r="J1447" s="175"/>
      <c r="K1447" s="192"/>
      <c r="L1447" s="192"/>
      <c r="M1447" s="192"/>
      <c r="N1447" s="175"/>
      <c r="O1447" s="116"/>
      <c r="P1447" s="175"/>
      <c r="Q1447" s="175"/>
      <c r="R1447" s="220"/>
      <c r="S1447" s="175"/>
      <c r="T1447" s="175"/>
      <c r="U1447" s="175"/>
      <c r="V1447" s="175"/>
      <c r="W1447" s="175"/>
      <c r="X1447" s="116"/>
    </row>
    <row r="1448" spans="1:24" s="112" customFormat="1">
      <c r="A1448" s="116"/>
      <c r="B1448" s="115"/>
      <c r="C1448" s="115"/>
      <c r="D1448" s="131"/>
      <c r="E1448" s="177"/>
      <c r="F1448" s="28"/>
      <c r="G1448" s="118"/>
      <c r="H1448" s="192"/>
      <c r="I1448" s="192"/>
      <c r="J1448" s="175"/>
      <c r="K1448" s="192"/>
      <c r="L1448" s="192"/>
      <c r="M1448" s="192"/>
      <c r="N1448" s="175"/>
      <c r="O1448" s="116"/>
      <c r="P1448" s="175"/>
      <c r="Q1448" s="175"/>
      <c r="R1448" s="220"/>
      <c r="S1448" s="175"/>
      <c r="T1448" s="175"/>
      <c r="U1448" s="175"/>
      <c r="V1448" s="175"/>
      <c r="W1448" s="175"/>
      <c r="X1448" s="116"/>
    </row>
    <row r="1449" spans="1:24" s="112" customFormat="1">
      <c r="A1449" s="116"/>
      <c r="B1449" s="115"/>
      <c r="C1449" s="115"/>
      <c r="D1449" s="131"/>
      <c r="E1449" s="177"/>
      <c r="F1449" s="28"/>
      <c r="G1449" s="118"/>
      <c r="H1449" s="192"/>
      <c r="I1449" s="192"/>
      <c r="J1449" s="175"/>
      <c r="K1449" s="192"/>
      <c r="L1449" s="192"/>
      <c r="M1449" s="192"/>
      <c r="N1449" s="175"/>
      <c r="O1449" s="116"/>
      <c r="P1449" s="175"/>
      <c r="Q1449" s="175"/>
      <c r="R1449" s="220"/>
      <c r="S1449" s="175"/>
      <c r="T1449" s="175"/>
      <c r="U1449" s="175"/>
      <c r="V1449" s="175"/>
      <c r="W1449" s="175"/>
      <c r="X1449" s="116"/>
    </row>
    <row r="1450" spans="1:24" s="112" customFormat="1">
      <c r="A1450" s="116"/>
      <c r="B1450" s="115"/>
      <c r="C1450" s="115"/>
      <c r="D1450" s="131"/>
      <c r="E1450" s="177"/>
      <c r="F1450" s="28"/>
      <c r="G1450" s="118"/>
      <c r="H1450" s="192"/>
      <c r="I1450" s="192"/>
      <c r="J1450" s="175"/>
      <c r="K1450" s="192"/>
      <c r="L1450" s="192"/>
      <c r="M1450" s="192"/>
      <c r="N1450" s="175"/>
      <c r="O1450" s="116"/>
      <c r="P1450" s="175"/>
      <c r="Q1450" s="175"/>
      <c r="R1450" s="220"/>
      <c r="S1450" s="175"/>
      <c r="T1450" s="175"/>
      <c r="U1450" s="175"/>
      <c r="V1450" s="175"/>
      <c r="W1450" s="175"/>
      <c r="X1450" s="116"/>
    </row>
    <row r="1451" spans="1:24" s="112" customFormat="1">
      <c r="A1451" s="116"/>
      <c r="B1451" s="115"/>
      <c r="C1451" s="115"/>
      <c r="D1451" s="131"/>
      <c r="E1451" s="177"/>
      <c r="F1451" s="28"/>
      <c r="G1451" s="118"/>
      <c r="H1451" s="192"/>
      <c r="I1451" s="192"/>
      <c r="J1451" s="175"/>
      <c r="K1451" s="192"/>
      <c r="L1451" s="192"/>
      <c r="M1451" s="192"/>
      <c r="N1451" s="175"/>
      <c r="O1451" s="116"/>
      <c r="P1451" s="175"/>
      <c r="Q1451" s="175"/>
      <c r="R1451" s="220"/>
      <c r="S1451" s="175"/>
      <c r="T1451" s="175"/>
      <c r="U1451" s="175"/>
      <c r="V1451" s="175"/>
      <c r="W1451" s="175"/>
      <c r="X1451" s="116"/>
    </row>
    <row r="1452" spans="1:24" s="112" customFormat="1">
      <c r="A1452" s="116"/>
      <c r="B1452" s="115"/>
      <c r="C1452" s="115"/>
      <c r="D1452" s="131"/>
      <c r="E1452" s="177"/>
      <c r="F1452" s="28"/>
      <c r="G1452" s="118"/>
      <c r="H1452" s="192"/>
      <c r="I1452" s="192"/>
      <c r="J1452" s="175"/>
      <c r="K1452" s="192"/>
      <c r="L1452" s="192"/>
      <c r="M1452" s="192"/>
      <c r="N1452" s="175"/>
      <c r="O1452" s="116"/>
      <c r="P1452" s="175"/>
      <c r="Q1452" s="175"/>
      <c r="R1452" s="220"/>
      <c r="S1452" s="175"/>
      <c r="T1452" s="175"/>
      <c r="U1452" s="175"/>
      <c r="V1452" s="175"/>
      <c r="W1452" s="175"/>
      <c r="X1452" s="116"/>
    </row>
    <row r="1453" spans="1:24" s="112" customFormat="1">
      <c r="A1453" s="116"/>
      <c r="B1453" s="115"/>
      <c r="C1453" s="115"/>
      <c r="D1453" s="131"/>
      <c r="E1453" s="177"/>
      <c r="F1453" s="28"/>
      <c r="G1453" s="118"/>
      <c r="H1453" s="192"/>
      <c r="I1453" s="192"/>
      <c r="J1453" s="175"/>
      <c r="K1453" s="192"/>
      <c r="L1453" s="192"/>
      <c r="M1453" s="192"/>
      <c r="N1453" s="175"/>
      <c r="O1453" s="116"/>
      <c r="P1453" s="175"/>
      <c r="Q1453" s="175"/>
      <c r="R1453" s="220"/>
      <c r="S1453" s="175"/>
      <c r="T1453" s="175"/>
      <c r="U1453" s="175"/>
      <c r="V1453" s="175"/>
      <c r="W1453" s="175"/>
      <c r="X1453" s="116"/>
    </row>
    <row r="1454" spans="1:24" s="112" customFormat="1">
      <c r="A1454" s="116"/>
      <c r="B1454" s="115"/>
      <c r="C1454" s="115"/>
      <c r="D1454" s="131"/>
      <c r="E1454" s="177"/>
      <c r="F1454" s="28"/>
      <c r="G1454" s="118"/>
      <c r="H1454" s="192"/>
      <c r="I1454" s="192"/>
      <c r="J1454" s="175"/>
      <c r="K1454" s="192"/>
      <c r="L1454" s="192"/>
      <c r="M1454" s="192"/>
      <c r="N1454" s="175"/>
      <c r="O1454" s="116"/>
      <c r="P1454" s="175"/>
      <c r="Q1454" s="175"/>
      <c r="R1454" s="220"/>
      <c r="S1454" s="175"/>
      <c r="T1454" s="175"/>
      <c r="U1454" s="175"/>
      <c r="V1454" s="175"/>
      <c r="W1454" s="175"/>
      <c r="X1454" s="116"/>
    </row>
    <row r="1455" spans="1:24" s="112" customFormat="1">
      <c r="A1455" s="116"/>
      <c r="B1455" s="115"/>
      <c r="C1455" s="115"/>
      <c r="D1455" s="131"/>
      <c r="E1455" s="177"/>
      <c r="F1455" s="28"/>
      <c r="G1455" s="118"/>
      <c r="H1455" s="192"/>
      <c r="I1455" s="192"/>
      <c r="J1455" s="175"/>
      <c r="K1455" s="192"/>
      <c r="L1455" s="192"/>
      <c r="M1455" s="192"/>
      <c r="N1455" s="175"/>
      <c r="O1455" s="116"/>
      <c r="P1455" s="175"/>
      <c r="Q1455" s="175"/>
      <c r="R1455" s="220"/>
      <c r="S1455" s="175"/>
      <c r="T1455" s="175"/>
      <c r="U1455" s="175"/>
      <c r="V1455" s="175"/>
      <c r="W1455" s="175"/>
      <c r="X1455" s="116"/>
    </row>
    <row r="1456" spans="1:24" s="112" customFormat="1">
      <c r="A1456" s="116"/>
      <c r="B1456" s="115"/>
      <c r="C1456" s="115"/>
      <c r="D1456" s="131"/>
      <c r="E1456" s="177"/>
      <c r="F1456" s="28"/>
      <c r="G1456" s="118"/>
      <c r="H1456" s="192"/>
      <c r="I1456" s="192"/>
      <c r="J1456" s="175"/>
      <c r="K1456" s="192"/>
      <c r="L1456" s="192"/>
      <c r="M1456" s="192"/>
      <c r="N1456" s="175"/>
      <c r="O1456" s="116"/>
      <c r="P1456" s="175"/>
      <c r="Q1456" s="175"/>
      <c r="R1456" s="220"/>
      <c r="S1456" s="175"/>
      <c r="T1456" s="175"/>
      <c r="U1456" s="175"/>
      <c r="V1456" s="175"/>
      <c r="W1456" s="175"/>
      <c r="X1456" s="116"/>
    </row>
    <row r="1457" spans="1:24" s="112" customFormat="1">
      <c r="A1457" s="116"/>
      <c r="B1457" s="115"/>
      <c r="C1457" s="115"/>
      <c r="D1457" s="131"/>
      <c r="E1457" s="177"/>
      <c r="F1457" s="28"/>
      <c r="G1457" s="118"/>
      <c r="H1457" s="192"/>
      <c r="I1457" s="192"/>
      <c r="J1457" s="175"/>
      <c r="K1457" s="192"/>
      <c r="L1457" s="192"/>
      <c r="M1457" s="192"/>
      <c r="N1457" s="175"/>
      <c r="O1457" s="116"/>
      <c r="P1457" s="175"/>
      <c r="Q1457" s="175"/>
      <c r="R1457" s="220"/>
      <c r="S1457" s="175"/>
      <c r="T1457" s="175"/>
      <c r="U1457" s="175"/>
      <c r="V1457" s="175"/>
      <c r="W1457" s="175"/>
      <c r="X1457" s="116"/>
    </row>
    <row r="1458" spans="1:24" s="112" customFormat="1">
      <c r="A1458" s="116"/>
      <c r="B1458" s="115"/>
      <c r="C1458" s="115"/>
      <c r="D1458" s="131"/>
      <c r="E1458" s="177"/>
      <c r="F1458" s="28"/>
      <c r="G1458" s="118"/>
      <c r="H1458" s="192"/>
      <c r="I1458" s="192"/>
      <c r="J1458" s="175"/>
      <c r="K1458" s="192"/>
      <c r="L1458" s="192"/>
      <c r="M1458" s="192"/>
      <c r="N1458" s="175"/>
      <c r="O1458" s="116"/>
      <c r="P1458" s="175"/>
      <c r="Q1458" s="175"/>
      <c r="R1458" s="220"/>
      <c r="S1458" s="175"/>
      <c r="T1458" s="175"/>
      <c r="U1458" s="175"/>
      <c r="V1458" s="175"/>
      <c r="W1458" s="175"/>
      <c r="X1458" s="116"/>
    </row>
    <row r="1459" spans="1:24" s="112" customFormat="1">
      <c r="A1459" s="116"/>
      <c r="B1459" s="115"/>
      <c r="C1459" s="115"/>
      <c r="D1459" s="131"/>
      <c r="E1459" s="177"/>
      <c r="F1459" s="28"/>
      <c r="G1459" s="118"/>
      <c r="H1459" s="192"/>
      <c r="I1459" s="192"/>
      <c r="J1459" s="175"/>
      <c r="K1459" s="192"/>
      <c r="L1459" s="192"/>
      <c r="M1459" s="192"/>
      <c r="N1459" s="175"/>
      <c r="O1459" s="116"/>
      <c r="P1459" s="175"/>
      <c r="Q1459" s="175"/>
      <c r="R1459" s="220"/>
      <c r="S1459" s="175"/>
      <c r="T1459" s="175"/>
      <c r="U1459" s="175"/>
      <c r="V1459" s="175"/>
      <c r="W1459" s="175"/>
      <c r="X1459" s="116"/>
    </row>
    <row r="1460" spans="1:24" s="112" customFormat="1">
      <c r="A1460" s="116"/>
      <c r="B1460" s="115"/>
      <c r="C1460" s="115"/>
      <c r="D1460" s="131"/>
      <c r="E1460" s="177"/>
      <c r="F1460" s="28"/>
      <c r="G1460" s="118"/>
      <c r="H1460" s="192"/>
      <c r="I1460" s="192"/>
      <c r="J1460" s="175"/>
      <c r="K1460" s="192"/>
      <c r="L1460" s="192"/>
      <c r="M1460" s="192"/>
      <c r="N1460" s="175"/>
      <c r="O1460" s="116"/>
      <c r="P1460" s="175"/>
      <c r="Q1460" s="175"/>
      <c r="R1460" s="220"/>
      <c r="S1460" s="175"/>
      <c r="T1460" s="175"/>
      <c r="U1460" s="175"/>
      <c r="V1460" s="175"/>
      <c r="W1460" s="175"/>
      <c r="X1460" s="116"/>
    </row>
    <row r="1461" spans="1:24" s="112" customFormat="1">
      <c r="A1461" s="116"/>
      <c r="B1461" s="115"/>
      <c r="C1461" s="115"/>
      <c r="D1461" s="131"/>
      <c r="E1461" s="177"/>
      <c r="F1461" s="28"/>
      <c r="G1461" s="118"/>
      <c r="H1461" s="192"/>
      <c r="I1461" s="192"/>
      <c r="J1461" s="175"/>
      <c r="K1461" s="192"/>
      <c r="L1461" s="192"/>
      <c r="M1461" s="192"/>
      <c r="N1461" s="175"/>
      <c r="O1461" s="116"/>
      <c r="P1461" s="175"/>
      <c r="Q1461" s="175"/>
      <c r="R1461" s="220"/>
      <c r="S1461" s="175"/>
      <c r="T1461" s="175"/>
      <c r="U1461" s="175"/>
      <c r="V1461" s="175"/>
      <c r="W1461" s="175"/>
      <c r="X1461" s="116"/>
    </row>
    <row r="1462" spans="1:24" s="112" customFormat="1">
      <c r="A1462" s="116"/>
      <c r="B1462" s="115"/>
      <c r="C1462" s="115"/>
      <c r="D1462" s="131"/>
      <c r="E1462" s="177"/>
      <c r="F1462" s="28"/>
      <c r="G1462" s="118"/>
      <c r="H1462" s="192"/>
      <c r="I1462" s="192"/>
      <c r="J1462" s="175"/>
      <c r="K1462" s="192"/>
      <c r="L1462" s="192"/>
      <c r="M1462" s="192"/>
      <c r="N1462" s="175"/>
      <c r="O1462" s="116"/>
      <c r="P1462" s="175"/>
      <c r="Q1462" s="175"/>
      <c r="R1462" s="220"/>
      <c r="S1462" s="175"/>
      <c r="T1462" s="175"/>
      <c r="U1462" s="175"/>
      <c r="V1462" s="175"/>
      <c r="W1462" s="175"/>
      <c r="X1462" s="116"/>
    </row>
    <row r="1463" spans="1:24" s="112" customFormat="1">
      <c r="A1463" s="116"/>
      <c r="B1463" s="115"/>
      <c r="C1463" s="115"/>
      <c r="D1463" s="131"/>
      <c r="E1463" s="177"/>
      <c r="F1463" s="28"/>
      <c r="G1463" s="118"/>
      <c r="H1463" s="192"/>
      <c r="I1463" s="192"/>
      <c r="J1463" s="175"/>
      <c r="K1463" s="192"/>
      <c r="L1463" s="192"/>
      <c r="M1463" s="192"/>
      <c r="N1463" s="175"/>
      <c r="O1463" s="116"/>
      <c r="P1463" s="175"/>
      <c r="Q1463" s="175"/>
      <c r="R1463" s="220"/>
      <c r="S1463" s="175"/>
      <c r="T1463" s="175"/>
      <c r="U1463" s="175"/>
      <c r="V1463" s="175"/>
      <c r="W1463" s="175"/>
      <c r="X1463" s="116"/>
    </row>
    <row r="1464" spans="1:24" s="112" customFormat="1">
      <c r="A1464" s="116"/>
      <c r="B1464" s="115"/>
      <c r="C1464" s="115"/>
      <c r="D1464" s="131"/>
      <c r="E1464" s="177"/>
      <c r="F1464" s="28"/>
      <c r="G1464" s="118"/>
      <c r="H1464" s="192"/>
      <c r="I1464" s="192"/>
      <c r="J1464" s="175"/>
      <c r="K1464" s="192"/>
      <c r="L1464" s="192"/>
      <c r="M1464" s="192"/>
      <c r="N1464" s="175"/>
      <c r="O1464" s="116"/>
      <c r="P1464" s="175"/>
      <c r="Q1464" s="175"/>
      <c r="R1464" s="220"/>
      <c r="S1464" s="175"/>
      <c r="T1464" s="175"/>
      <c r="U1464" s="175"/>
      <c r="V1464" s="175"/>
      <c r="W1464" s="175"/>
      <c r="X1464" s="116"/>
    </row>
    <row r="1465" spans="1:24" s="112" customFormat="1">
      <c r="A1465" s="116"/>
      <c r="B1465" s="115"/>
      <c r="C1465" s="115"/>
      <c r="D1465" s="131"/>
      <c r="E1465" s="177"/>
      <c r="F1465" s="28"/>
      <c r="G1465" s="118"/>
      <c r="H1465" s="192"/>
      <c r="I1465" s="192"/>
      <c r="J1465" s="175"/>
      <c r="K1465" s="192"/>
      <c r="L1465" s="192"/>
      <c r="M1465" s="192"/>
      <c r="N1465" s="175"/>
      <c r="O1465" s="116"/>
      <c r="P1465" s="175"/>
      <c r="Q1465" s="175"/>
      <c r="R1465" s="220"/>
      <c r="S1465" s="175"/>
      <c r="T1465" s="175"/>
      <c r="U1465" s="175"/>
      <c r="V1465" s="175"/>
      <c r="W1465" s="175"/>
      <c r="X1465" s="116"/>
    </row>
    <row r="1466" spans="1:24" s="112" customFormat="1">
      <c r="A1466" s="116"/>
      <c r="B1466" s="115"/>
      <c r="C1466" s="115"/>
      <c r="D1466" s="131"/>
      <c r="E1466" s="177"/>
      <c r="F1466" s="28"/>
      <c r="G1466" s="118"/>
      <c r="H1466" s="192"/>
      <c r="I1466" s="192"/>
      <c r="J1466" s="175"/>
      <c r="K1466" s="192"/>
      <c r="L1466" s="192"/>
      <c r="M1466" s="192"/>
      <c r="N1466" s="175"/>
      <c r="O1466" s="116"/>
      <c r="P1466" s="175"/>
      <c r="Q1466" s="175"/>
      <c r="R1466" s="220"/>
      <c r="S1466" s="175"/>
      <c r="T1466" s="175"/>
      <c r="U1466" s="175"/>
      <c r="V1466" s="175"/>
      <c r="W1466" s="175"/>
      <c r="X1466" s="116"/>
    </row>
    <row r="1467" spans="1:24" s="112" customFormat="1">
      <c r="A1467" s="116"/>
      <c r="B1467" s="115"/>
      <c r="C1467" s="115"/>
      <c r="D1467" s="131"/>
      <c r="E1467" s="177"/>
      <c r="F1467" s="28"/>
      <c r="G1467" s="118"/>
      <c r="H1467" s="192"/>
      <c r="I1467" s="192"/>
      <c r="J1467" s="175"/>
      <c r="K1467" s="192"/>
      <c r="L1467" s="192"/>
      <c r="M1467" s="192"/>
      <c r="N1467" s="175"/>
      <c r="O1467" s="116"/>
      <c r="P1467" s="175"/>
      <c r="Q1467" s="175"/>
      <c r="R1467" s="220"/>
      <c r="S1467" s="175"/>
      <c r="T1467" s="175"/>
      <c r="U1467" s="175"/>
      <c r="V1467" s="175"/>
      <c r="W1467" s="175"/>
      <c r="X1467" s="116"/>
    </row>
    <row r="1468" spans="1:24" s="112" customFormat="1">
      <c r="A1468" s="116"/>
      <c r="B1468" s="115"/>
      <c r="C1468" s="115"/>
      <c r="D1468" s="131"/>
      <c r="E1468" s="177"/>
      <c r="F1468" s="28"/>
      <c r="G1468" s="118"/>
      <c r="H1468" s="192"/>
      <c r="I1468" s="192"/>
      <c r="J1468" s="175"/>
      <c r="K1468" s="192"/>
      <c r="L1468" s="192"/>
      <c r="M1468" s="192"/>
      <c r="N1468" s="175"/>
      <c r="O1468" s="116"/>
      <c r="P1468" s="175"/>
      <c r="Q1468" s="175"/>
      <c r="R1468" s="220"/>
      <c r="S1468" s="175"/>
      <c r="T1468" s="175"/>
      <c r="U1468" s="175"/>
      <c r="V1468" s="175"/>
      <c r="W1468" s="175"/>
      <c r="X1468" s="116"/>
    </row>
    <row r="1469" spans="1:24" s="112" customFormat="1">
      <c r="A1469" s="116"/>
      <c r="B1469" s="115"/>
      <c r="C1469" s="115"/>
      <c r="D1469" s="131"/>
      <c r="E1469" s="177"/>
      <c r="F1469" s="28"/>
      <c r="G1469" s="118"/>
      <c r="H1469" s="192"/>
      <c r="I1469" s="192"/>
      <c r="J1469" s="175"/>
      <c r="K1469" s="192"/>
      <c r="L1469" s="192"/>
      <c r="M1469" s="192"/>
      <c r="N1469" s="175"/>
      <c r="O1469" s="116"/>
      <c r="P1469" s="175"/>
      <c r="Q1469" s="175"/>
      <c r="R1469" s="220"/>
      <c r="S1469" s="175"/>
      <c r="T1469" s="175"/>
      <c r="U1469" s="175"/>
      <c r="V1469" s="175"/>
      <c r="W1469" s="175"/>
      <c r="X1469" s="116"/>
    </row>
    <row r="1470" spans="1:24" s="112" customFormat="1">
      <c r="A1470" s="116"/>
      <c r="B1470" s="115"/>
      <c r="C1470" s="115"/>
      <c r="D1470" s="131"/>
      <c r="E1470" s="177"/>
      <c r="F1470" s="28"/>
      <c r="G1470" s="118"/>
      <c r="H1470" s="192"/>
      <c r="I1470" s="192"/>
      <c r="J1470" s="175"/>
      <c r="K1470" s="192"/>
      <c r="L1470" s="192"/>
      <c r="M1470" s="192"/>
      <c r="N1470" s="175"/>
      <c r="O1470" s="116"/>
      <c r="P1470" s="175"/>
      <c r="Q1470" s="175"/>
      <c r="R1470" s="220"/>
      <c r="S1470" s="175"/>
      <c r="T1470" s="175"/>
      <c r="U1470" s="175"/>
      <c r="V1470" s="175"/>
      <c r="W1470" s="175"/>
      <c r="X1470" s="116"/>
    </row>
    <row r="1471" spans="1:24" s="112" customFormat="1">
      <c r="A1471" s="116"/>
      <c r="B1471" s="115"/>
      <c r="C1471" s="115"/>
      <c r="D1471" s="131"/>
      <c r="E1471" s="177"/>
      <c r="F1471" s="28"/>
      <c r="G1471" s="118"/>
      <c r="H1471" s="192"/>
      <c r="I1471" s="192"/>
      <c r="J1471" s="175"/>
      <c r="K1471" s="192"/>
      <c r="L1471" s="192"/>
      <c r="M1471" s="192"/>
      <c r="N1471" s="175"/>
      <c r="O1471" s="116"/>
      <c r="P1471" s="175"/>
      <c r="Q1471" s="175"/>
      <c r="R1471" s="220"/>
      <c r="S1471" s="175"/>
      <c r="T1471" s="175"/>
      <c r="U1471" s="175"/>
      <c r="V1471" s="175"/>
      <c r="W1471" s="175"/>
      <c r="X1471" s="116"/>
    </row>
    <row r="1472" spans="1:24" s="112" customFormat="1">
      <c r="A1472" s="116"/>
      <c r="B1472" s="115"/>
      <c r="C1472" s="115"/>
      <c r="D1472" s="131"/>
      <c r="E1472" s="177"/>
      <c r="F1472" s="28"/>
      <c r="G1472" s="118"/>
      <c r="H1472" s="192"/>
      <c r="I1472" s="192"/>
      <c r="J1472" s="175"/>
      <c r="K1472" s="192"/>
      <c r="L1472" s="192"/>
      <c r="M1472" s="192"/>
      <c r="N1472" s="175"/>
      <c r="O1472" s="116"/>
      <c r="P1472" s="175"/>
      <c r="Q1472" s="175"/>
      <c r="R1472" s="220"/>
      <c r="S1472" s="175"/>
      <c r="T1472" s="175"/>
      <c r="U1472" s="175"/>
      <c r="V1472" s="175"/>
      <c r="W1472" s="175"/>
      <c r="X1472" s="116"/>
    </row>
    <row r="1473" spans="1:24" s="112" customFormat="1">
      <c r="A1473" s="116"/>
      <c r="B1473" s="115"/>
      <c r="C1473" s="115"/>
      <c r="D1473" s="131"/>
      <c r="E1473" s="177"/>
      <c r="F1473" s="28"/>
      <c r="G1473" s="118"/>
      <c r="H1473" s="192"/>
      <c r="I1473" s="192"/>
      <c r="J1473" s="175"/>
      <c r="K1473" s="192"/>
      <c r="L1473" s="192"/>
      <c r="M1473" s="192"/>
      <c r="N1473" s="175"/>
      <c r="O1473" s="116"/>
      <c r="P1473" s="175"/>
      <c r="Q1473" s="175"/>
      <c r="R1473" s="220"/>
      <c r="S1473" s="175"/>
      <c r="T1473" s="175"/>
      <c r="U1473" s="175"/>
      <c r="V1473" s="175"/>
      <c r="W1473" s="175"/>
      <c r="X1473" s="116"/>
    </row>
    <row r="1474" spans="1:24" s="112" customFormat="1">
      <c r="A1474" s="116"/>
      <c r="B1474" s="115"/>
      <c r="C1474" s="115"/>
      <c r="D1474" s="131"/>
      <c r="E1474" s="177"/>
      <c r="F1474" s="28"/>
      <c r="G1474" s="118"/>
      <c r="H1474" s="192"/>
      <c r="I1474" s="192"/>
      <c r="J1474" s="175"/>
      <c r="K1474" s="192"/>
      <c r="L1474" s="192"/>
      <c r="M1474" s="192"/>
      <c r="N1474" s="175"/>
      <c r="O1474" s="116"/>
      <c r="P1474" s="175"/>
      <c r="Q1474" s="175"/>
      <c r="R1474" s="220"/>
      <c r="S1474" s="175"/>
      <c r="T1474" s="175"/>
      <c r="U1474" s="175"/>
      <c r="V1474" s="175"/>
      <c r="W1474" s="175"/>
      <c r="X1474" s="116"/>
    </row>
    <row r="1475" spans="1:24" s="112" customFormat="1">
      <c r="A1475" s="116"/>
      <c r="B1475" s="115"/>
      <c r="C1475" s="115"/>
      <c r="D1475" s="131"/>
      <c r="E1475" s="177"/>
      <c r="F1475" s="28"/>
      <c r="G1475" s="118"/>
      <c r="H1475" s="192"/>
      <c r="I1475" s="192"/>
      <c r="J1475" s="175"/>
      <c r="K1475" s="192"/>
      <c r="L1475" s="192"/>
      <c r="M1475" s="192"/>
      <c r="N1475" s="175"/>
      <c r="O1475" s="116"/>
      <c r="P1475" s="175"/>
      <c r="Q1475" s="175"/>
      <c r="R1475" s="220"/>
      <c r="S1475" s="175"/>
      <c r="T1475" s="175"/>
      <c r="U1475" s="175"/>
      <c r="V1475" s="175"/>
      <c r="W1475" s="175"/>
      <c r="X1475" s="116"/>
    </row>
    <row r="1476" spans="1:24" s="112" customFormat="1">
      <c r="A1476" s="116"/>
      <c r="B1476" s="115"/>
      <c r="C1476" s="115"/>
      <c r="D1476" s="131"/>
      <c r="E1476" s="177"/>
      <c r="F1476" s="28"/>
      <c r="G1476" s="118"/>
      <c r="H1476" s="192"/>
      <c r="I1476" s="192"/>
      <c r="J1476" s="175"/>
      <c r="K1476" s="192"/>
      <c r="L1476" s="192"/>
      <c r="M1476" s="192"/>
      <c r="N1476" s="175"/>
      <c r="O1476" s="116"/>
      <c r="P1476" s="175"/>
      <c r="Q1476" s="175"/>
      <c r="R1476" s="220"/>
      <c r="S1476" s="175"/>
      <c r="T1476" s="175"/>
      <c r="U1476" s="175"/>
      <c r="V1476" s="175"/>
      <c r="W1476" s="175"/>
      <c r="X1476" s="116"/>
    </row>
    <row r="1477" spans="1:24" s="112" customFormat="1">
      <c r="A1477" s="116"/>
      <c r="B1477" s="115"/>
      <c r="C1477" s="115"/>
      <c r="D1477" s="131"/>
      <c r="E1477" s="177"/>
      <c r="F1477" s="28"/>
      <c r="G1477" s="118"/>
      <c r="H1477" s="192"/>
      <c r="I1477" s="192"/>
      <c r="J1477" s="175"/>
      <c r="K1477" s="192"/>
      <c r="L1477" s="192"/>
      <c r="M1477" s="192"/>
      <c r="N1477" s="175"/>
      <c r="O1477" s="116"/>
      <c r="P1477" s="175"/>
      <c r="Q1477" s="175"/>
      <c r="R1477" s="220"/>
      <c r="S1477" s="175"/>
      <c r="T1477" s="175"/>
      <c r="U1477" s="175"/>
      <c r="V1477" s="175"/>
      <c r="W1477" s="175"/>
      <c r="X1477" s="116"/>
    </row>
    <row r="1478" spans="1:24" s="112" customFormat="1">
      <c r="A1478" s="116"/>
      <c r="B1478" s="115"/>
      <c r="C1478" s="115"/>
      <c r="D1478" s="131"/>
      <c r="E1478" s="177"/>
      <c r="F1478" s="28"/>
      <c r="G1478" s="118"/>
      <c r="H1478" s="192"/>
      <c r="I1478" s="192"/>
      <c r="J1478" s="175"/>
      <c r="K1478" s="192"/>
      <c r="L1478" s="192"/>
      <c r="M1478" s="192"/>
      <c r="N1478" s="175"/>
      <c r="O1478" s="116"/>
      <c r="P1478" s="175"/>
      <c r="Q1478" s="175"/>
      <c r="R1478" s="220"/>
      <c r="S1478" s="175"/>
      <c r="T1478" s="175"/>
      <c r="U1478" s="175"/>
      <c r="V1478" s="175"/>
      <c r="W1478" s="175"/>
      <c r="X1478" s="116"/>
    </row>
    <row r="1479" spans="1:24" s="112" customFormat="1">
      <c r="A1479" s="116"/>
      <c r="B1479" s="115"/>
      <c r="C1479" s="115"/>
      <c r="D1479" s="131"/>
      <c r="E1479" s="177"/>
      <c r="F1479" s="28"/>
      <c r="G1479" s="118"/>
      <c r="H1479" s="192"/>
      <c r="I1479" s="192"/>
      <c r="J1479" s="175"/>
      <c r="K1479" s="192"/>
      <c r="L1479" s="192"/>
      <c r="M1479" s="192"/>
      <c r="N1479" s="175"/>
      <c r="O1479" s="116"/>
      <c r="P1479" s="175"/>
      <c r="Q1479" s="175"/>
      <c r="R1479" s="220"/>
      <c r="S1479" s="175"/>
      <c r="T1479" s="175"/>
      <c r="U1479" s="175"/>
      <c r="V1479" s="175"/>
      <c r="W1479" s="175"/>
      <c r="X1479" s="116"/>
    </row>
    <row r="1480" spans="1:24" s="112" customFormat="1">
      <c r="A1480" s="116"/>
      <c r="B1480" s="115"/>
      <c r="C1480" s="115"/>
      <c r="D1480" s="131"/>
      <c r="E1480" s="177"/>
      <c r="F1480" s="28"/>
      <c r="G1480" s="118"/>
      <c r="H1480" s="192"/>
      <c r="I1480" s="192"/>
      <c r="J1480" s="175"/>
      <c r="K1480" s="192"/>
      <c r="L1480" s="192"/>
      <c r="M1480" s="192"/>
      <c r="N1480" s="175"/>
      <c r="O1480" s="116"/>
      <c r="P1480" s="175"/>
      <c r="Q1480" s="175"/>
      <c r="R1480" s="220"/>
      <c r="S1480" s="175"/>
      <c r="T1480" s="175"/>
      <c r="U1480" s="175"/>
      <c r="V1480" s="175"/>
      <c r="W1480" s="175"/>
      <c r="X1480" s="116"/>
    </row>
    <row r="1481" spans="1:24" s="112" customFormat="1">
      <c r="A1481" s="116"/>
      <c r="B1481" s="115"/>
      <c r="C1481" s="115"/>
      <c r="D1481" s="131"/>
      <c r="E1481" s="177"/>
      <c r="F1481" s="28"/>
      <c r="G1481" s="118"/>
      <c r="H1481" s="192"/>
      <c r="I1481" s="192"/>
      <c r="J1481" s="175"/>
      <c r="K1481" s="192"/>
      <c r="L1481" s="192"/>
      <c r="M1481" s="192"/>
      <c r="N1481" s="175"/>
      <c r="O1481" s="116"/>
      <c r="P1481" s="175"/>
      <c r="Q1481" s="175"/>
      <c r="R1481" s="220"/>
      <c r="S1481" s="175"/>
      <c r="T1481" s="175"/>
      <c r="U1481" s="175"/>
      <c r="V1481" s="175"/>
      <c r="W1481" s="175"/>
      <c r="X1481" s="116"/>
    </row>
    <row r="1482" spans="1:24" s="112" customFormat="1">
      <c r="A1482" s="116"/>
      <c r="B1482" s="115"/>
      <c r="C1482" s="115"/>
      <c r="D1482" s="131"/>
      <c r="E1482" s="177"/>
      <c r="F1482" s="28"/>
      <c r="G1482" s="118"/>
      <c r="H1482" s="192"/>
      <c r="I1482" s="192"/>
      <c r="J1482" s="175"/>
      <c r="K1482" s="192"/>
      <c r="L1482" s="192"/>
      <c r="M1482" s="192"/>
      <c r="N1482" s="175"/>
      <c r="O1482" s="116"/>
      <c r="P1482" s="175"/>
      <c r="Q1482" s="175"/>
      <c r="R1482" s="220"/>
      <c r="S1482" s="175"/>
      <c r="T1482" s="175"/>
      <c r="U1482" s="175"/>
      <c r="V1482" s="175"/>
      <c r="W1482" s="175"/>
      <c r="X1482" s="116"/>
    </row>
    <row r="1483" spans="1:24" s="112" customFormat="1">
      <c r="A1483" s="116"/>
      <c r="B1483" s="115"/>
      <c r="C1483" s="115"/>
      <c r="D1483" s="131"/>
      <c r="E1483" s="177"/>
      <c r="F1483" s="28"/>
      <c r="G1483" s="118"/>
      <c r="H1483" s="192"/>
      <c r="I1483" s="192"/>
      <c r="J1483" s="175"/>
      <c r="K1483" s="192"/>
      <c r="L1483" s="192"/>
      <c r="M1483" s="192"/>
      <c r="N1483" s="175"/>
      <c r="O1483" s="116"/>
      <c r="P1483" s="175"/>
      <c r="Q1483" s="175"/>
      <c r="R1483" s="220"/>
      <c r="S1483" s="175"/>
      <c r="T1483" s="175"/>
      <c r="U1483" s="175"/>
      <c r="V1483" s="175"/>
      <c r="W1483" s="175"/>
      <c r="X1483" s="116"/>
    </row>
    <row r="1484" spans="1:24" s="112" customFormat="1">
      <c r="A1484" s="116"/>
      <c r="B1484" s="115"/>
      <c r="C1484" s="115"/>
      <c r="D1484" s="131"/>
      <c r="E1484" s="177"/>
      <c r="F1484" s="28"/>
      <c r="G1484" s="118"/>
      <c r="H1484" s="192"/>
      <c r="I1484" s="192"/>
      <c r="J1484" s="175"/>
      <c r="K1484" s="192"/>
      <c r="L1484" s="192"/>
      <c r="M1484" s="192"/>
      <c r="N1484" s="175"/>
      <c r="O1484" s="116"/>
      <c r="P1484" s="175"/>
      <c r="Q1484" s="175"/>
      <c r="R1484" s="220"/>
      <c r="S1484" s="175"/>
      <c r="T1484" s="175"/>
      <c r="U1484" s="175"/>
      <c r="V1484" s="175"/>
      <c r="W1484" s="175"/>
      <c r="X1484" s="116"/>
    </row>
    <row r="1485" spans="1:24" s="112" customFormat="1">
      <c r="A1485" s="116"/>
      <c r="B1485" s="115"/>
      <c r="C1485" s="115"/>
      <c r="D1485" s="131"/>
      <c r="E1485" s="177"/>
      <c r="F1485" s="28"/>
      <c r="G1485" s="118"/>
      <c r="H1485" s="192"/>
      <c r="I1485" s="192"/>
      <c r="J1485" s="175"/>
      <c r="K1485" s="192"/>
      <c r="L1485" s="192"/>
      <c r="M1485" s="192"/>
      <c r="N1485" s="175"/>
      <c r="O1485" s="116"/>
      <c r="P1485" s="175"/>
      <c r="Q1485" s="175"/>
      <c r="R1485" s="220"/>
      <c r="S1485" s="175"/>
      <c r="T1485" s="175"/>
      <c r="U1485" s="175"/>
      <c r="V1485" s="175"/>
      <c r="W1485" s="175"/>
      <c r="X1485" s="116"/>
    </row>
    <row r="1486" spans="1:24" s="112" customFormat="1">
      <c r="A1486" s="116"/>
      <c r="B1486" s="115"/>
      <c r="C1486" s="115"/>
      <c r="D1486" s="131"/>
      <c r="E1486" s="177"/>
      <c r="F1486" s="28"/>
      <c r="G1486" s="118"/>
      <c r="H1486" s="192"/>
      <c r="I1486" s="192"/>
      <c r="J1486" s="175"/>
      <c r="K1486" s="192"/>
      <c r="L1486" s="192"/>
      <c r="M1486" s="192"/>
      <c r="N1486" s="175"/>
      <c r="O1486" s="116"/>
      <c r="P1486" s="175"/>
      <c r="Q1486" s="175"/>
      <c r="R1486" s="220"/>
      <c r="S1486" s="175"/>
      <c r="T1486" s="175"/>
      <c r="U1486" s="175"/>
      <c r="V1486" s="175"/>
      <c r="W1486" s="175"/>
      <c r="X1486" s="116"/>
    </row>
    <row r="1487" spans="1:24" s="112" customFormat="1">
      <c r="A1487" s="116"/>
      <c r="B1487" s="115"/>
      <c r="C1487" s="115"/>
      <c r="D1487" s="131"/>
      <c r="E1487" s="177"/>
      <c r="F1487" s="28"/>
      <c r="G1487" s="118"/>
      <c r="H1487" s="192"/>
      <c r="I1487" s="192"/>
      <c r="J1487" s="175"/>
      <c r="K1487" s="192"/>
      <c r="L1487" s="192"/>
      <c r="M1487" s="192"/>
      <c r="N1487" s="175"/>
      <c r="O1487" s="116"/>
      <c r="P1487" s="175"/>
      <c r="Q1487" s="175"/>
      <c r="R1487" s="220"/>
      <c r="S1487" s="175"/>
      <c r="T1487" s="175"/>
      <c r="U1487" s="175"/>
      <c r="V1487" s="175"/>
      <c r="W1487" s="175"/>
      <c r="X1487" s="116"/>
    </row>
    <row r="1488" spans="1:24" s="112" customFormat="1">
      <c r="A1488" s="116"/>
      <c r="B1488" s="115"/>
      <c r="C1488" s="115"/>
      <c r="D1488" s="131"/>
      <c r="E1488" s="177"/>
      <c r="F1488" s="28"/>
      <c r="G1488" s="118"/>
      <c r="H1488" s="192"/>
      <c r="I1488" s="192"/>
      <c r="J1488" s="175"/>
      <c r="K1488" s="192"/>
      <c r="L1488" s="192"/>
      <c r="M1488" s="192"/>
      <c r="N1488" s="175"/>
      <c r="O1488" s="116"/>
      <c r="P1488" s="175"/>
      <c r="Q1488" s="175"/>
      <c r="R1488" s="220"/>
      <c r="S1488" s="175"/>
      <c r="T1488" s="175"/>
      <c r="U1488" s="175"/>
      <c r="V1488" s="175"/>
      <c r="W1488" s="175"/>
      <c r="X1488" s="116"/>
    </row>
    <row r="1489" spans="1:24" s="112" customFormat="1">
      <c r="A1489" s="116"/>
      <c r="B1489" s="115"/>
      <c r="C1489" s="115"/>
      <c r="D1489" s="131"/>
      <c r="E1489" s="177"/>
      <c r="F1489" s="28"/>
      <c r="G1489" s="118"/>
      <c r="H1489" s="192"/>
      <c r="I1489" s="192"/>
      <c r="J1489" s="175"/>
      <c r="K1489" s="192"/>
      <c r="L1489" s="192"/>
      <c r="M1489" s="192"/>
      <c r="N1489" s="175"/>
      <c r="O1489" s="116"/>
      <c r="P1489" s="175"/>
      <c r="Q1489" s="175"/>
      <c r="R1489" s="220"/>
      <c r="S1489" s="175"/>
      <c r="T1489" s="175"/>
      <c r="U1489" s="175"/>
      <c r="V1489" s="175"/>
      <c r="W1489" s="175"/>
      <c r="X1489" s="116"/>
    </row>
    <row r="1490" spans="1:24" s="112" customFormat="1">
      <c r="A1490" s="116"/>
      <c r="B1490" s="115"/>
      <c r="C1490" s="115"/>
      <c r="D1490" s="131"/>
      <c r="E1490" s="177"/>
      <c r="F1490" s="28"/>
      <c r="G1490" s="118"/>
      <c r="H1490" s="192"/>
      <c r="I1490" s="192"/>
      <c r="J1490" s="175"/>
      <c r="K1490" s="192"/>
      <c r="L1490" s="192"/>
      <c r="M1490" s="192"/>
      <c r="N1490" s="175"/>
      <c r="O1490" s="116"/>
      <c r="P1490" s="175"/>
      <c r="Q1490" s="175"/>
      <c r="R1490" s="220"/>
      <c r="S1490" s="175"/>
      <c r="T1490" s="175"/>
      <c r="U1490" s="175"/>
      <c r="V1490" s="175"/>
      <c r="W1490" s="175"/>
      <c r="X1490" s="116"/>
    </row>
    <row r="1491" spans="1:24" s="112" customFormat="1">
      <c r="A1491" s="116"/>
      <c r="B1491" s="115"/>
      <c r="C1491" s="115"/>
      <c r="D1491" s="131"/>
      <c r="E1491" s="177"/>
      <c r="F1491" s="28"/>
      <c r="G1491" s="118"/>
      <c r="H1491" s="192"/>
      <c r="I1491" s="192"/>
      <c r="J1491" s="175"/>
      <c r="K1491" s="192"/>
      <c r="L1491" s="192"/>
      <c r="M1491" s="192"/>
      <c r="N1491" s="175"/>
      <c r="O1491" s="116"/>
      <c r="P1491" s="175"/>
      <c r="Q1491" s="175"/>
      <c r="R1491" s="220"/>
      <c r="S1491" s="175"/>
      <c r="T1491" s="175"/>
      <c r="U1491" s="175"/>
      <c r="V1491" s="175"/>
      <c r="W1491" s="175"/>
      <c r="X1491" s="116"/>
    </row>
    <row r="1492" spans="1:24" s="112" customFormat="1">
      <c r="A1492" s="116"/>
      <c r="B1492" s="115"/>
      <c r="C1492" s="115"/>
      <c r="D1492" s="131"/>
      <c r="E1492" s="177"/>
      <c r="F1492" s="28"/>
      <c r="G1492" s="118"/>
      <c r="H1492" s="192"/>
      <c r="I1492" s="192"/>
      <c r="J1492" s="175"/>
      <c r="K1492" s="192"/>
      <c r="L1492" s="192"/>
      <c r="M1492" s="192"/>
      <c r="N1492" s="175"/>
      <c r="O1492" s="116"/>
      <c r="P1492" s="175"/>
      <c r="Q1492" s="175"/>
      <c r="R1492" s="220"/>
      <c r="S1492" s="175"/>
      <c r="T1492" s="175"/>
      <c r="U1492" s="175"/>
      <c r="V1492" s="175"/>
      <c r="W1492" s="175"/>
      <c r="X1492" s="116"/>
    </row>
    <row r="1493" spans="1:24" s="112" customFormat="1">
      <c r="A1493" s="116"/>
      <c r="B1493" s="115"/>
      <c r="C1493" s="115"/>
      <c r="D1493" s="131"/>
      <c r="E1493" s="177"/>
      <c r="F1493" s="28"/>
      <c r="G1493" s="118"/>
      <c r="H1493" s="192"/>
      <c r="I1493" s="192"/>
      <c r="J1493" s="175"/>
      <c r="K1493" s="192"/>
      <c r="L1493" s="192"/>
      <c r="M1493" s="192"/>
      <c r="N1493" s="175"/>
      <c r="O1493" s="116"/>
      <c r="P1493" s="175"/>
      <c r="Q1493" s="175"/>
      <c r="R1493" s="220"/>
      <c r="S1493" s="175"/>
      <c r="T1493" s="175"/>
      <c r="U1493" s="175"/>
      <c r="V1493" s="175"/>
      <c r="W1493" s="175"/>
      <c r="X1493" s="116"/>
    </row>
    <row r="1494" spans="1:24" s="112" customFormat="1">
      <c r="A1494" s="116"/>
      <c r="B1494" s="115"/>
      <c r="C1494" s="115"/>
      <c r="D1494" s="131"/>
      <c r="E1494" s="177"/>
      <c r="F1494" s="28"/>
      <c r="G1494" s="118"/>
      <c r="H1494" s="192"/>
      <c r="I1494" s="192"/>
      <c r="J1494" s="175"/>
      <c r="K1494" s="192"/>
      <c r="L1494" s="192"/>
      <c r="M1494" s="192"/>
      <c r="N1494" s="175"/>
      <c r="O1494" s="116"/>
      <c r="P1494" s="175"/>
      <c r="Q1494" s="175"/>
      <c r="R1494" s="220"/>
      <c r="S1494" s="175"/>
      <c r="T1494" s="175"/>
      <c r="U1494" s="175"/>
      <c r="V1494" s="175"/>
      <c r="W1494" s="175"/>
      <c r="X1494" s="116"/>
    </row>
    <row r="1495" spans="1:24" s="112" customFormat="1">
      <c r="A1495" s="116"/>
      <c r="B1495" s="115"/>
      <c r="C1495" s="115"/>
      <c r="D1495" s="131"/>
      <c r="E1495" s="177"/>
      <c r="F1495" s="28"/>
      <c r="G1495" s="118"/>
      <c r="H1495" s="192"/>
      <c r="I1495" s="192"/>
      <c r="J1495" s="175"/>
      <c r="K1495" s="192"/>
      <c r="L1495" s="192"/>
      <c r="M1495" s="192"/>
      <c r="N1495" s="175"/>
      <c r="O1495" s="116"/>
      <c r="P1495" s="175"/>
      <c r="Q1495" s="175"/>
      <c r="R1495" s="220"/>
      <c r="S1495" s="175"/>
      <c r="T1495" s="175"/>
      <c r="U1495" s="175"/>
      <c r="V1495" s="175"/>
      <c r="W1495" s="175"/>
      <c r="X1495" s="116"/>
    </row>
    <row r="1496" spans="1:24" s="112" customFormat="1">
      <c r="A1496" s="116"/>
      <c r="B1496" s="115"/>
      <c r="C1496" s="115"/>
      <c r="D1496" s="131"/>
      <c r="E1496" s="177"/>
      <c r="F1496" s="28"/>
      <c r="G1496" s="118"/>
      <c r="H1496" s="192"/>
      <c r="I1496" s="192"/>
      <c r="J1496" s="175"/>
      <c r="K1496" s="192"/>
      <c r="L1496" s="192"/>
      <c r="M1496" s="192"/>
      <c r="N1496" s="175"/>
      <c r="O1496" s="116"/>
      <c r="P1496" s="175"/>
      <c r="Q1496" s="175"/>
      <c r="R1496" s="220"/>
      <c r="S1496" s="175"/>
      <c r="T1496" s="175"/>
      <c r="U1496" s="175"/>
      <c r="V1496" s="175"/>
      <c r="W1496" s="175"/>
      <c r="X1496" s="116"/>
    </row>
    <row r="1497" spans="1:24" s="112" customFormat="1">
      <c r="A1497" s="116"/>
      <c r="B1497" s="115"/>
      <c r="C1497" s="115"/>
      <c r="D1497" s="131"/>
      <c r="E1497" s="177"/>
      <c r="F1497" s="28"/>
      <c r="G1497" s="118"/>
      <c r="H1497" s="192"/>
      <c r="I1497" s="192"/>
      <c r="J1497" s="175"/>
      <c r="K1497" s="192"/>
      <c r="L1497" s="192"/>
      <c r="M1497" s="192"/>
      <c r="N1497" s="175"/>
      <c r="O1497" s="116"/>
      <c r="P1497" s="175"/>
      <c r="Q1497" s="175"/>
      <c r="R1497" s="220"/>
      <c r="S1497" s="175"/>
      <c r="T1497" s="175"/>
      <c r="U1497" s="175"/>
      <c r="V1497" s="175"/>
      <c r="W1497" s="175"/>
      <c r="X1497" s="116"/>
    </row>
    <row r="1498" spans="1:24" s="112" customFormat="1">
      <c r="A1498" s="116"/>
      <c r="B1498" s="115"/>
      <c r="C1498" s="115"/>
      <c r="D1498" s="131"/>
      <c r="E1498" s="177"/>
      <c r="F1498" s="28"/>
      <c r="G1498" s="118"/>
      <c r="H1498" s="192"/>
      <c r="I1498" s="192"/>
      <c r="J1498" s="175"/>
      <c r="K1498" s="192"/>
      <c r="L1498" s="192"/>
      <c r="M1498" s="192"/>
      <c r="N1498" s="175"/>
      <c r="O1498" s="116"/>
      <c r="P1498" s="175"/>
      <c r="Q1498" s="175"/>
      <c r="R1498" s="220"/>
      <c r="S1498" s="175"/>
      <c r="T1498" s="175"/>
      <c r="U1498" s="175"/>
      <c r="V1498" s="175"/>
      <c r="W1498" s="175"/>
      <c r="X1498" s="116"/>
    </row>
    <row r="1499" spans="1:24" s="112" customFormat="1">
      <c r="A1499" s="116"/>
      <c r="B1499" s="115"/>
      <c r="C1499" s="115"/>
      <c r="D1499" s="131"/>
      <c r="E1499" s="177"/>
      <c r="F1499" s="28"/>
      <c r="G1499" s="118"/>
      <c r="H1499" s="192"/>
      <c r="I1499" s="192"/>
      <c r="J1499" s="175"/>
      <c r="K1499" s="192"/>
      <c r="L1499" s="192"/>
      <c r="M1499" s="192"/>
      <c r="N1499" s="175"/>
      <c r="O1499" s="116"/>
      <c r="P1499" s="175"/>
      <c r="Q1499" s="175"/>
      <c r="R1499" s="220"/>
      <c r="S1499" s="175"/>
      <c r="T1499" s="175"/>
      <c r="U1499" s="175"/>
      <c r="V1499" s="175"/>
      <c r="W1499" s="175"/>
      <c r="X1499" s="116"/>
    </row>
    <row r="1500" spans="1:24" s="112" customFormat="1">
      <c r="A1500" s="116"/>
      <c r="B1500" s="115"/>
      <c r="C1500" s="115"/>
      <c r="D1500" s="131"/>
      <c r="E1500" s="177"/>
      <c r="F1500" s="28"/>
      <c r="G1500" s="118"/>
      <c r="H1500" s="192"/>
      <c r="I1500" s="192"/>
      <c r="J1500" s="175"/>
      <c r="K1500" s="192"/>
      <c r="L1500" s="192"/>
      <c r="M1500" s="192"/>
      <c r="N1500" s="175"/>
      <c r="O1500" s="116"/>
      <c r="P1500" s="175"/>
      <c r="Q1500" s="175"/>
      <c r="R1500" s="220"/>
      <c r="S1500" s="175"/>
      <c r="T1500" s="175"/>
      <c r="U1500" s="175"/>
      <c r="V1500" s="175"/>
      <c r="W1500" s="175"/>
      <c r="X1500" s="116"/>
    </row>
    <row r="1501" spans="1:24" s="112" customFormat="1">
      <c r="A1501" s="116"/>
      <c r="B1501" s="115"/>
      <c r="C1501" s="115"/>
      <c r="D1501" s="131"/>
      <c r="E1501" s="177"/>
      <c r="F1501" s="28"/>
      <c r="G1501" s="118"/>
      <c r="H1501" s="192"/>
      <c r="I1501" s="192"/>
      <c r="J1501" s="175"/>
      <c r="K1501" s="192"/>
      <c r="L1501" s="192"/>
      <c r="M1501" s="192"/>
      <c r="N1501" s="175"/>
      <c r="O1501" s="116"/>
      <c r="P1501" s="175"/>
      <c r="Q1501" s="175"/>
      <c r="R1501" s="220"/>
      <c r="S1501" s="175"/>
      <c r="T1501" s="175"/>
      <c r="U1501" s="175"/>
      <c r="V1501" s="175"/>
      <c r="W1501" s="175"/>
      <c r="X1501" s="116"/>
    </row>
    <row r="1502" spans="1:24" s="112" customFormat="1">
      <c r="A1502" s="116"/>
      <c r="B1502" s="115"/>
      <c r="C1502" s="115"/>
      <c r="D1502" s="131"/>
      <c r="E1502" s="177"/>
      <c r="F1502" s="28"/>
      <c r="G1502" s="118"/>
      <c r="H1502" s="192"/>
      <c r="I1502" s="192"/>
      <c r="J1502" s="175"/>
      <c r="K1502" s="192"/>
      <c r="L1502" s="192"/>
      <c r="M1502" s="192"/>
      <c r="N1502" s="175"/>
      <c r="O1502" s="116"/>
      <c r="P1502" s="175"/>
      <c r="Q1502" s="175"/>
      <c r="R1502" s="220"/>
      <c r="S1502" s="175"/>
      <c r="T1502" s="175"/>
      <c r="U1502" s="175"/>
      <c r="V1502" s="175"/>
      <c r="W1502" s="175"/>
      <c r="X1502" s="116"/>
    </row>
    <row r="1503" spans="1:24" s="112" customFormat="1">
      <c r="A1503" s="116"/>
      <c r="B1503" s="115"/>
      <c r="C1503" s="115"/>
      <c r="D1503" s="131"/>
      <c r="E1503" s="177"/>
      <c r="F1503" s="28"/>
      <c r="G1503" s="118"/>
      <c r="H1503" s="192"/>
      <c r="I1503" s="192"/>
      <c r="J1503" s="175"/>
      <c r="K1503" s="192"/>
      <c r="L1503" s="192"/>
      <c r="M1503" s="192"/>
      <c r="N1503" s="175"/>
      <c r="O1503" s="116"/>
      <c r="P1503" s="175"/>
      <c r="Q1503" s="175"/>
      <c r="R1503" s="220"/>
      <c r="S1503" s="175"/>
      <c r="T1503" s="175"/>
      <c r="U1503" s="175"/>
      <c r="V1503" s="175"/>
      <c r="W1503" s="175"/>
      <c r="X1503" s="116"/>
    </row>
    <row r="1504" spans="1:24" s="112" customFormat="1">
      <c r="A1504" s="116"/>
      <c r="B1504" s="115"/>
      <c r="C1504" s="115"/>
      <c r="D1504" s="131"/>
      <c r="E1504" s="177"/>
      <c r="F1504" s="28"/>
      <c r="G1504" s="118"/>
      <c r="H1504" s="192"/>
      <c r="I1504" s="192"/>
      <c r="J1504" s="175"/>
      <c r="K1504" s="192"/>
      <c r="L1504" s="192"/>
      <c r="M1504" s="192"/>
      <c r="N1504" s="175"/>
      <c r="O1504" s="116"/>
      <c r="P1504" s="175"/>
      <c r="Q1504" s="175"/>
      <c r="R1504" s="220"/>
      <c r="S1504" s="175"/>
      <c r="T1504" s="175"/>
      <c r="U1504" s="175"/>
      <c r="V1504" s="175"/>
      <c r="W1504" s="175"/>
      <c r="X1504" s="116"/>
    </row>
    <row r="1505" spans="1:24" s="112" customFormat="1">
      <c r="A1505" s="116"/>
      <c r="B1505" s="115"/>
      <c r="C1505" s="115"/>
      <c r="D1505" s="131"/>
      <c r="E1505" s="177"/>
      <c r="F1505" s="28"/>
      <c r="G1505" s="118"/>
      <c r="H1505" s="192"/>
      <c r="I1505" s="192"/>
      <c r="J1505" s="175"/>
      <c r="K1505" s="192"/>
      <c r="L1505" s="192"/>
      <c r="M1505" s="192"/>
      <c r="N1505" s="175"/>
      <c r="O1505" s="116"/>
      <c r="P1505" s="175"/>
      <c r="Q1505" s="175"/>
      <c r="R1505" s="220"/>
      <c r="S1505" s="175"/>
      <c r="T1505" s="175"/>
      <c r="U1505" s="175"/>
      <c r="V1505" s="175"/>
      <c r="W1505" s="175"/>
      <c r="X1505" s="116"/>
    </row>
    <row r="1506" spans="1:24" s="112" customFormat="1">
      <c r="A1506" s="116"/>
      <c r="B1506" s="115"/>
      <c r="C1506" s="115"/>
      <c r="D1506" s="131"/>
      <c r="E1506" s="177"/>
      <c r="F1506" s="28"/>
      <c r="G1506" s="118"/>
      <c r="H1506" s="192"/>
      <c r="I1506" s="192"/>
      <c r="J1506" s="175"/>
      <c r="K1506" s="192"/>
      <c r="L1506" s="192"/>
      <c r="M1506" s="192"/>
      <c r="N1506" s="175"/>
      <c r="O1506" s="116"/>
      <c r="P1506" s="175"/>
      <c r="Q1506" s="175"/>
      <c r="R1506" s="220"/>
      <c r="S1506" s="175"/>
      <c r="T1506" s="175"/>
      <c r="U1506" s="175"/>
      <c r="V1506" s="175"/>
      <c r="W1506" s="175"/>
      <c r="X1506" s="116"/>
    </row>
    <row r="1507" spans="1:24" s="112" customFormat="1">
      <c r="A1507" s="116"/>
      <c r="B1507" s="115"/>
      <c r="C1507" s="115"/>
      <c r="D1507" s="131"/>
      <c r="E1507" s="177"/>
      <c r="F1507" s="28"/>
      <c r="G1507" s="118"/>
      <c r="H1507" s="192"/>
      <c r="I1507" s="192"/>
      <c r="J1507" s="175"/>
      <c r="K1507" s="192"/>
      <c r="L1507" s="192"/>
      <c r="M1507" s="192"/>
      <c r="N1507" s="175"/>
      <c r="O1507" s="116"/>
      <c r="P1507" s="175"/>
      <c r="Q1507" s="175"/>
      <c r="R1507" s="220"/>
      <c r="S1507" s="175"/>
      <c r="T1507" s="175"/>
      <c r="U1507" s="175"/>
      <c r="V1507" s="175"/>
      <c r="W1507" s="175"/>
      <c r="X1507" s="116"/>
    </row>
    <row r="1508" spans="1:24" s="112" customFormat="1">
      <c r="A1508" s="116"/>
      <c r="B1508" s="115"/>
      <c r="C1508" s="115"/>
      <c r="D1508" s="131"/>
      <c r="E1508" s="177"/>
      <c r="F1508" s="28"/>
      <c r="G1508" s="118"/>
      <c r="H1508" s="192"/>
      <c r="I1508" s="192"/>
      <c r="J1508" s="175"/>
      <c r="K1508" s="192"/>
      <c r="L1508" s="192"/>
      <c r="M1508" s="192"/>
      <c r="N1508" s="175"/>
      <c r="O1508" s="116"/>
      <c r="P1508" s="175"/>
      <c r="Q1508" s="175"/>
      <c r="R1508" s="220"/>
      <c r="S1508" s="175"/>
      <c r="T1508" s="175"/>
      <c r="U1508" s="175"/>
      <c r="V1508" s="175"/>
      <c r="W1508" s="175"/>
      <c r="X1508" s="116"/>
    </row>
    <row r="1509" spans="1:24" s="112" customFormat="1">
      <c r="A1509" s="116"/>
      <c r="B1509" s="115"/>
      <c r="C1509" s="115"/>
      <c r="D1509" s="131"/>
      <c r="E1509" s="177"/>
      <c r="F1509" s="28"/>
      <c r="G1509" s="118"/>
      <c r="H1509" s="192"/>
      <c r="I1509" s="192"/>
      <c r="J1509" s="175"/>
      <c r="K1509" s="192"/>
      <c r="L1509" s="192"/>
      <c r="M1509" s="192"/>
      <c r="N1509" s="175"/>
      <c r="O1509" s="116"/>
      <c r="P1509" s="175"/>
      <c r="Q1509" s="175"/>
      <c r="R1509" s="220"/>
      <c r="S1509" s="175"/>
      <c r="T1509" s="175"/>
      <c r="U1509" s="175"/>
      <c r="V1509" s="175"/>
      <c r="W1509" s="175"/>
      <c r="X1509" s="116"/>
    </row>
    <row r="1510" spans="1:24" s="112" customFormat="1">
      <c r="A1510" s="116"/>
      <c r="B1510" s="115"/>
      <c r="C1510" s="115"/>
      <c r="D1510" s="131"/>
      <c r="E1510" s="177"/>
      <c r="F1510" s="28"/>
      <c r="G1510" s="118"/>
      <c r="H1510" s="192"/>
      <c r="I1510" s="192"/>
      <c r="J1510" s="175"/>
      <c r="K1510" s="192"/>
      <c r="L1510" s="192"/>
      <c r="M1510" s="192"/>
      <c r="N1510" s="175"/>
      <c r="O1510" s="116"/>
      <c r="P1510" s="175"/>
      <c r="Q1510" s="175"/>
      <c r="R1510" s="220"/>
      <c r="S1510" s="175"/>
      <c r="T1510" s="175"/>
      <c r="U1510" s="175"/>
      <c r="V1510" s="175"/>
      <c r="W1510" s="175"/>
      <c r="X1510" s="116"/>
    </row>
    <row r="1511" spans="1:24" s="112" customFormat="1">
      <c r="A1511" s="116"/>
      <c r="B1511" s="115"/>
      <c r="C1511" s="115"/>
      <c r="D1511" s="131"/>
      <c r="E1511" s="177"/>
      <c r="F1511" s="28"/>
      <c r="G1511" s="118"/>
      <c r="H1511" s="192"/>
      <c r="I1511" s="192"/>
      <c r="J1511" s="175"/>
      <c r="K1511" s="192"/>
      <c r="L1511" s="192"/>
      <c r="M1511" s="192"/>
      <c r="N1511" s="175"/>
      <c r="O1511" s="116"/>
      <c r="P1511" s="175"/>
      <c r="Q1511" s="175"/>
      <c r="R1511" s="220"/>
      <c r="S1511" s="175"/>
      <c r="T1511" s="175"/>
      <c r="U1511" s="175"/>
      <c r="V1511" s="175"/>
      <c r="W1511" s="175"/>
      <c r="X1511" s="116"/>
    </row>
    <row r="1512" spans="1:24" s="112" customFormat="1">
      <c r="A1512" s="116"/>
      <c r="B1512" s="115"/>
      <c r="C1512" s="115"/>
      <c r="D1512" s="131"/>
      <c r="E1512" s="177"/>
      <c r="F1512" s="28"/>
      <c r="G1512" s="118"/>
      <c r="H1512" s="192"/>
      <c r="I1512" s="192"/>
      <c r="J1512" s="175"/>
      <c r="K1512" s="192"/>
      <c r="L1512" s="192"/>
      <c r="M1512" s="192"/>
      <c r="N1512" s="175"/>
      <c r="O1512" s="116"/>
      <c r="P1512" s="175"/>
      <c r="Q1512" s="175"/>
      <c r="R1512" s="220"/>
      <c r="S1512" s="175"/>
      <c r="T1512" s="175"/>
      <c r="U1512" s="175"/>
      <c r="V1512" s="175"/>
      <c r="W1512" s="175"/>
      <c r="X1512" s="116"/>
    </row>
    <row r="1513" spans="1:24" s="112" customFormat="1">
      <c r="A1513" s="116"/>
      <c r="B1513" s="115"/>
      <c r="C1513" s="115"/>
      <c r="D1513" s="131"/>
      <c r="E1513" s="177"/>
      <c r="F1513" s="28"/>
      <c r="G1513" s="118"/>
      <c r="H1513" s="192"/>
      <c r="I1513" s="192"/>
      <c r="J1513" s="175"/>
      <c r="K1513" s="192"/>
      <c r="L1513" s="192"/>
      <c r="M1513" s="192"/>
      <c r="N1513" s="175"/>
      <c r="O1513" s="116"/>
      <c r="P1513" s="175"/>
      <c r="Q1513" s="175"/>
      <c r="R1513" s="220"/>
      <c r="S1513" s="175"/>
      <c r="T1513" s="175"/>
      <c r="U1513" s="175"/>
      <c r="V1513" s="175"/>
      <c r="W1513" s="175"/>
      <c r="X1513" s="116"/>
    </row>
    <row r="1514" spans="1:24" s="112" customFormat="1">
      <c r="A1514" s="116"/>
      <c r="B1514" s="115"/>
      <c r="C1514" s="115"/>
      <c r="D1514" s="131"/>
      <c r="E1514" s="177"/>
      <c r="F1514" s="28"/>
      <c r="G1514" s="118"/>
      <c r="H1514" s="192"/>
      <c r="I1514" s="192"/>
      <c r="J1514" s="175"/>
      <c r="K1514" s="192"/>
      <c r="L1514" s="192"/>
      <c r="M1514" s="192"/>
      <c r="N1514" s="175"/>
      <c r="O1514" s="116"/>
      <c r="P1514" s="175"/>
      <c r="Q1514" s="175"/>
      <c r="R1514" s="220"/>
      <c r="S1514" s="175"/>
      <c r="T1514" s="175"/>
      <c r="U1514" s="175"/>
      <c r="V1514" s="175"/>
      <c r="W1514" s="175"/>
      <c r="X1514" s="116"/>
    </row>
    <row r="1515" spans="1:24" s="112" customFormat="1">
      <c r="A1515" s="116"/>
      <c r="B1515" s="115"/>
      <c r="C1515" s="115"/>
      <c r="D1515" s="131"/>
      <c r="E1515" s="177"/>
      <c r="F1515" s="28"/>
      <c r="G1515" s="118"/>
      <c r="H1515" s="192"/>
      <c r="I1515" s="192"/>
      <c r="J1515" s="175"/>
      <c r="K1515" s="192"/>
      <c r="L1515" s="192"/>
      <c r="M1515" s="192"/>
      <c r="N1515" s="175"/>
      <c r="O1515" s="116"/>
      <c r="P1515" s="175"/>
      <c r="Q1515" s="175"/>
      <c r="R1515" s="220"/>
      <c r="S1515" s="175"/>
      <c r="T1515" s="175"/>
      <c r="U1515" s="175"/>
      <c r="V1515" s="175"/>
      <c r="W1515" s="175"/>
      <c r="X1515" s="116"/>
    </row>
    <row r="1516" spans="1:24" s="112" customFormat="1">
      <c r="A1516" s="116"/>
      <c r="B1516" s="115"/>
      <c r="C1516" s="115"/>
      <c r="D1516" s="131"/>
      <c r="E1516" s="177"/>
      <c r="F1516" s="28"/>
      <c r="G1516" s="118"/>
      <c r="H1516" s="192"/>
      <c r="I1516" s="192"/>
      <c r="J1516" s="175"/>
      <c r="K1516" s="192"/>
      <c r="L1516" s="192"/>
      <c r="M1516" s="192"/>
      <c r="N1516" s="175"/>
      <c r="O1516" s="116"/>
      <c r="P1516" s="175"/>
      <c r="Q1516" s="175"/>
      <c r="R1516" s="220"/>
      <c r="S1516" s="175"/>
      <c r="T1516" s="175"/>
      <c r="U1516" s="175"/>
      <c r="V1516" s="175"/>
      <c r="W1516" s="175"/>
      <c r="X1516" s="116"/>
    </row>
    <row r="1517" spans="1:24" s="112" customFormat="1">
      <c r="A1517" s="116"/>
      <c r="B1517" s="115"/>
      <c r="C1517" s="115"/>
      <c r="D1517" s="131"/>
      <c r="E1517" s="177"/>
      <c r="F1517" s="28"/>
      <c r="G1517" s="118"/>
      <c r="H1517" s="192"/>
      <c r="I1517" s="192"/>
      <c r="J1517" s="175"/>
      <c r="K1517" s="192"/>
      <c r="L1517" s="192"/>
      <c r="M1517" s="192"/>
      <c r="N1517" s="175"/>
      <c r="O1517" s="116"/>
      <c r="P1517" s="175"/>
      <c r="Q1517" s="175"/>
      <c r="R1517" s="220"/>
      <c r="S1517" s="175"/>
      <c r="T1517" s="175"/>
      <c r="U1517" s="175"/>
      <c r="V1517" s="175"/>
      <c r="W1517" s="175"/>
      <c r="X1517" s="116"/>
    </row>
  </sheetData>
  <mergeCells count="2">
    <mergeCell ref="D31:D38"/>
    <mergeCell ref="D21:D22"/>
  </mergeCells>
  <printOptions horizontalCentered="1" gridLines="1"/>
  <pageMargins left="0.59055118110236227" right="0.59055118110236227" top="1.1811023622047245" bottom="0.98425196850393704" header="0" footer="0.47244094488188981"/>
  <pageSetup paperSize="9" scale="75" fitToHeight="2" orientation="landscape" r:id="rId1"/>
  <headerFooter alignWithMargins="0">
    <oddFooter>&amp;C&amp;"Times New Roman,Normal"&amp;12&amp;F   -   &amp;A&amp;R&amp;"Times New Roman,Normal"&amp;12&amp;P/&amp;N</oddFooter>
  </headerFooter>
  <legacyDrawing r:id="rId2"/>
</worksheet>
</file>

<file path=xl/worksheets/sheet5.xml><?xml version="1.0" encoding="utf-8"?>
<worksheet xmlns="http://schemas.openxmlformats.org/spreadsheetml/2006/main" xmlns:r="http://schemas.openxmlformats.org/officeDocument/2006/relationships">
  <dimension ref="A1:BM1620"/>
  <sheetViews>
    <sheetView topLeftCell="D2" zoomScale="65" workbookViewId="0">
      <pane xSplit="4" ySplit="1" topLeftCell="H66" activePane="bottomRight" state="frozen"/>
      <selection activeCell="D2" sqref="D2"/>
      <selection pane="topRight" activeCell="H2" sqref="H2"/>
      <selection pane="bottomLeft" activeCell="D4" sqref="D4"/>
      <selection pane="bottomRight" activeCell="E117" sqref="E117"/>
    </sheetView>
  </sheetViews>
  <sheetFormatPr baseColWidth="10" defaultRowHeight="12.75"/>
  <cols>
    <col min="1" max="1" width="11.42578125" style="334"/>
    <col min="2" max="2" width="7.85546875" style="335" customWidth="1"/>
    <col min="3" max="3" width="4.42578125" style="335" customWidth="1"/>
    <col min="4" max="4" width="11" style="336" customWidth="1"/>
    <col min="5" max="5" width="50.7109375" style="330" customWidth="1"/>
    <col min="6" max="6" width="10.7109375" style="331" customWidth="1"/>
    <col min="7" max="7" width="19" style="300" customWidth="1"/>
    <col min="8" max="9" width="7.85546875" style="332" customWidth="1"/>
    <col min="10" max="10" width="7.42578125" style="333" customWidth="1"/>
    <col min="11" max="11" width="9" style="337" customWidth="1"/>
    <col min="12" max="12" width="8.85546875" style="332" customWidth="1"/>
    <col min="13" max="13" width="9.140625" style="332" customWidth="1"/>
    <col min="14" max="14" width="7.42578125" style="333" customWidth="1"/>
    <col min="15" max="15" width="8.140625" style="2063" customWidth="1"/>
    <col min="16" max="16" width="7.42578125" style="333" customWidth="1"/>
    <col min="17" max="18" width="7.85546875" style="333" customWidth="1"/>
    <col min="19" max="20" width="7.42578125" style="333" customWidth="1"/>
    <col min="21" max="21" width="7.7109375" style="333" customWidth="1"/>
    <col min="22" max="22" width="9" style="333" customWidth="1"/>
    <col min="23" max="23" width="9.28515625" style="338" customWidth="1"/>
    <col min="24" max="24" width="8.140625" style="2063" customWidth="1"/>
    <col min="25" max="61" width="8.140625" style="333" customWidth="1"/>
    <col min="62" max="62" width="8.140625" style="297" customWidth="1"/>
    <col min="63" max="63" width="22.85546875" style="293" customWidth="1"/>
    <col min="64" max="16384" width="11.42578125" style="293"/>
  </cols>
  <sheetData>
    <row r="1" spans="1:65" ht="15.6" customHeight="1" thickBot="1">
      <c r="A1" s="297"/>
      <c r="B1" s="299"/>
      <c r="C1" s="299"/>
      <c r="D1" s="312"/>
      <c r="E1" s="2014"/>
      <c r="F1" s="2015"/>
      <c r="G1" s="2016"/>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row>
    <row r="2" spans="1:65" s="416" customFormat="1" ht="38.25">
      <c r="A2" s="410"/>
      <c r="B2" s="411"/>
      <c r="C2" s="411"/>
      <c r="D2" s="412" t="s">
        <v>77</v>
      </c>
      <c r="E2" s="413" t="s">
        <v>0</v>
      </c>
      <c r="F2" s="414" t="s">
        <v>2</v>
      </c>
      <c r="G2" s="546" t="s">
        <v>3</v>
      </c>
      <c r="H2" s="415" t="str">
        <f>Substances!H6</f>
        <v>butanol</v>
      </c>
      <c r="I2" s="415" t="str">
        <f>Substances!I6</f>
        <v>butanol</v>
      </c>
      <c r="J2" s="415" t="str">
        <f>Substances!J6</f>
        <v>MEK</v>
      </c>
      <c r="K2" s="415" t="str">
        <f>Substances!K6</f>
        <v>CV</v>
      </c>
      <c r="L2" s="415" t="str">
        <f>Substances!L6</f>
        <v>cis-DCE</v>
      </c>
      <c r="M2" s="415" t="str">
        <f>Substances!M6</f>
        <v>cis-DCE</v>
      </c>
      <c r="N2" s="415" t="str">
        <f>Substances!N6</f>
        <v>TCE</v>
      </c>
      <c r="O2" s="415" t="str">
        <f>Substances!O6</f>
        <v>TCE</v>
      </c>
      <c r="P2" s="415" t="str">
        <f>Substances!P6</f>
        <v>PCE</v>
      </c>
      <c r="Q2" s="415" t="str">
        <f>Substances!Q6</f>
        <v>PCE</v>
      </c>
      <c r="R2" s="415" t="str">
        <f>Substances!R6</f>
        <v>DCMA</v>
      </c>
      <c r="S2" s="415" t="str">
        <f>Substances!S6</f>
        <v>chloroforme</v>
      </c>
      <c r="T2" s="415" t="str">
        <f>Substances!T6</f>
        <v>chloroforme</v>
      </c>
      <c r="U2" s="415" t="str">
        <f>Substances!U6</f>
        <v>PCMA</v>
      </c>
      <c r="V2" s="415" t="str">
        <f>Substances!V6</f>
        <v>1,1,1-TCA</v>
      </c>
      <c r="W2" s="415" t="str">
        <f>Substances!W6</f>
        <v>1,1,1-TCA</v>
      </c>
      <c r="X2" s="415" t="str">
        <f>Substances!X6</f>
        <v>B</v>
      </c>
      <c r="Y2" s="415" t="str">
        <f>Substances!Y6</f>
        <v>T</v>
      </c>
      <c r="Z2" s="415" t="str">
        <f>Substances!Z6</f>
        <v>E</v>
      </c>
      <c r="AA2" s="415" t="str">
        <f>Substances!AA6</f>
        <v>X</v>
      </c>
      <c r="AB2" s="415" t="str">
        <f>Substances!AB6</f>
        <v>Ar 
&gt;EC8-EC10</v>
      </c>
      <c r="AC2" s="415" t="str">
        <f>Substances!AC6</f>
        <v>Ar
&gt;EC10-EC12</v>
      </c>
      <c r="AD2" s="415" t="str">
        <f>Substances!AD6</f>
        <v>Ar
 &gt;EC12 - EC16</v>
      </c>
      <c r="AE2" s="415" t="str">
        <f>Substances!AE6</f>
        <v>Ar
 &gt;EC16 - EC21</v>
      </c>
      <c r="AF2" s="415" t="str">
        <f>Substances!AF6</f>
        <v>Ar
 &gt;EC21 - EC35</v>
      </c>
      <c r="AG2" s="415" t="str">
        <f>Substances!AG6</f>
        <v>Al 
EC5-EC6</v>
      </c>
      <c r="AH2" s="415" t="str">
        <f>Substances!AH6</f>
        <v>Al
&gt;EC6-EC8</v>
      </c>
      <c r="AI2" s="415" t="str">
        <f>Substances!AI6</f>
        <v>Al 
&gt;EC8-EC10</v>
      </c>
      <c r="AJ2" s="415" t="str">
        <f>Substances!AJ6</f>
        <v>Al &gt;
EC10-EC12</v>
      </c>
      <c r="AK2" s="415" t="str">
        <f>Substances!AK6</f>
        <v>Al 
&gt;EC12-EC16</v>
      </c>
      <c r="AL2" s="415" t="str">
        <f>Substances!AL6</f>
        <v>Al 
&gt;EC16- EC21</v>
      </c>
      <c r="AM2" s="415" t="str">
        <f>Substances!AM6</f>
        <v>Al  &gt;EC21</v>
      </c>
      <c r="AN2" s="415" t="str">
        <f>Substances!AN6</f>
        <v>Naphtalène</v>
      </c>
      <c r="AO2" s="415" t="str">
        <f>Substances!AO6</f>
        <v>Acénaphthylène</v>
      </c>
      <c r="AP2" s="415" t="str">
        <f>Substances!AP6</f>
        <v>Acénaphtène</v>
      </c>
      <c r="AQ2" s="415" t="str">
        <f>Substances!AQ6</f>
        <v>Fluorène</v>
      </c>
      <c r="AR2" s="415" t="str">
        <f>Substances!AR6</f>
        <v>Phénanthrène</v>
      </c>
      <c r="AS2" s="415" t="str">
        <f>Substances!AS6</f>
        <v>Anthracène</v>
      </c>
      <c r="AT2" s="415" t="str">
        <f>Substances!AT6</f>
        <v>Fluoranthène</v>
      </c>
      <c r="AU2" s="415" t="str">
        <f>Substances!AU6</f>
        <v>Pyrène</v>
      </c>
      <c r="AV2" s="415" t="str">
        <f>Substances!AV6</f>
        <v>BaA</v>
      </c>
      <c r="AW2" s="415" t="str">
        <f>Substances!AW6</f>
        <v>Chrysène</v>
      </c>
      <c r="AX2" s="415" t="str">
        <f>Substances!AX6</f>
        <v>BbF</v>
      </c>
      <c r="AY2" s="415" t="str">
        <f>Substances!AY6</f>
        <v>BkF</v>
      </c>
      <c r="AZ2" s="415" t="str">
        <f>Substances!AZ6</f>
        <v>BaP</v>
      </c>
      <c r="BA2" s="415" t="str">
        <f>Substances!BA6</f>
        <v>DahA</v>
      </c>
      <c r="BB2" s="415" t="str">
        <f>Substances!BB6</f>
        <v>BghP</v>
      </c>
      <c r="BC2" s="415" t="str">
        <f>Substances!BC6</f>
        <v>IcdP</v>
      </c>
      <c r="BD2" s="415" t="str">
        <f>Substances!BD6</f>
        <v>Phénol</v>
      </c>
      <c r="BE2" s="415" t="str">
        <f>Substances!BE6</f>
        <v>PCB (7)</v>
      </c>
      <c r="BF2" s="415" t="str">
        <f>Substances!BF6</f>
        <v>PCB-A1254</v>
      </c>
      <c r="BG2" s="415" t="str">
        <f>Substances!BG6</f>
        <v>Hg0</v>
      </c>
      <c r="BH2" s="415" t="str">
        <f>Substances!BH6</f>
        <v>CH3HgCl</v>
      </c>
      <c r="BI2" s="415" t="str">
        <f>Substances!BI6</f>
        <v>CN/HCN</v>
      </c>
      <c r="BJ2" s="415"/>
      <c r="BK2" s="406"/>
      <c r="BM2" s="319"/>
    </row>
    <row r="3" spans="1:65" ht="13.15" customHeight="1">
      <c r="A3" s="340"/>
      <c r="B3" s="294"/>
      <c r="C3" s="294"/>
      <c r="D3" s="4032"/>
      <c r="E3" s="326" t="s">
        <v>245</v>
      </c>
      <c r="F3" s="295" t="s">
        <v>82</v>
      </c>
      <c r="G3" s="2017" t="s">
        <v>83</v>
      </c>
      <c r="H3" s="286">
        <f>Substances!H44</f>
        <v>3.5960555308039207E-4</v>
      </c>
      <c r="I3" s="286">
        <f>Substances!I44</f>
        <v>3.5960555308039207E-4</v>
      </c>
      <c r="J3" s="286">
        <f>Substances!J44</f>
        <v>2.3251768148038992E-3</v>
      </c>
      <c r="K3" s="286">
        <f>Substances!K44</f>
        <v>1.1200614092335304</v>
      </c>
      <c r="L3" s="286">
        <f>Substances!L44</f>
        <v>0.13416120176533497</v>
      </c>
      <c r="M3" s="286">
        <f>Substances!M44</f>
        <v>0.13416120176533497</v>
      </c>
      <c r="N3" s="286">
        <f>Substances!N44</f>
        <v>0.42833117627831713</v>
      </c>
      <c r="O3" s="286">
        <f>Substances!O44</f>
        <v>0.42833117627831713</v>
      </c>
      <c r="P3" s="286">
        <f>Substances!P44</f>
        <v>0.74386682208588695</v>
      </c>
      <c r="Q3" s="286">
        <f>Substances!Q44</f>
        <v>0.74386682208588695</v>
      </c>
      <c r="R3" s="286">
        <f>Substances!R44</f>
        <v>0.10367341283951895</v>
      </c>
      <c r="S3" s="286">
        <f>Substances!S44</f>
        <v>0.12267339243986287</v>
      </c>
      <c r="T3" s="286">
        <f>Substances!T44</f>
        <v>0.12267339243986287</v>
      </c>
      <c r="U3" s="286">
        <f>Substances!U44</f>
        <v>0.8894108147123192</v>
      </c>
      <c r="V3" s="286">
        <f>Substances!V44</f>
        <v>2.9422272524759352</v>
      </c>
      <c r="W3" s="286">
        <f>Substances!W44</f>
        <v>2.9422272524759352</v>
      </c>
      <c r="X3" s="286">
        <f>Substances!X44</f>
        <v>0.189</v>
      </c>
      <c r="Y3" s="286">
        <f>Substances!Y44</f>
        <v>0.218</v>
      </c>
      <c r="Z3" s="286">
        <f>Substances!Z44</f>
        <v>0.26600000000000001</v>
      </c>
      <c r="AA3" s="286">
        <f>Substances!AA44</f>
        <v>0.193</v>
      </c>
      <c r="AB3" s="286">
        <f>Substances!AB44</f>
        <v>0.48</v>
      </c>
      <c r="AC3" s="286">
        <f>Substances!AC44</f>
        <v>0.14000000000000001</v>
      </c>
      <c r="AD3" s="286">
        <f>Substances!AD44</f>
        <v>5.2999999999999999E-2</v>
      </c>
      <c r="AE3" s="286">
        <f>Substances!AE44</f>
        <v>1.2999999999999999E-2</v>
      </c>
      <c r="AF3" s="286">
        <f>Substances!AF44</f>
        <v>6.7000000000000002E-4</v>
      </c>
      <c r="AG3" s="286">
        <f>Substances!AG44</f>
        <v>33</v>
      </c>
      <c r="AH3" s="286">
        <f>Substances!AH44</f>
        <v>50</v>
      </c>
      <c r="AI3" s="286">
        <f>Substances!AI44</f>
        <v>80</v>
      </c>
      <c r="AJ3" s="286">
        <f>Substances!AJ44</f>
        <v>120</v>
      </c>
      <c r="AK3" s="286">
        <f>Substances!AK44</f>
        <v>520</v>
      </c>
      <c r="AL3" s="286">
        <f>Substances!AL44</f>
        <v>4900</v>
      </c>
      <c r="AM3" s="286">
        <f>Substances!AM44</f>
        <v>10000</v>
      </c>
      <c r="AN3" s="286">
        <f>Substances!AN44</f>
        <v>4.1799999999999997E-3</v>
      </c>
      <c r="AO3" s="286">
        <f>Substances!AO44</f>
        <v>3.3899999999999998E-3</v>
      </c>
      <c r="AP3" s="286">
        <f>Substances!AP44</f>
        <v>4.9100000000000003E-3</v>
      </c>
      <c r="AQ3" s="286">
        <f>Substances!AQ44</f>
        <v>3.1900000000000001E-3</v>
      </c>
      <c r="AR3" s="286">
        <f>Substances!AR44</f>
        <v>1.31E-3</v>
      </c>
      <c r="AS3" s="286">
        <f>Substances!AS44</f>
        <v>1.6000000000000001E-3</v>
      </c>
      <c r="AT3" s="286">
        <f>Substances!AT44</f>
        <v>4.17E-4</v>
      </c>
      <c r="AU3" s="286">
        <f>Substances!AU44</f>
        <v>3.7100000000000002E-4</v>
      </c>
      <c r="AV3" s="286">
        <f>Substances!AV44</f>
        <v>2.34E-4</v>
      </c>
      <c r="AW3" s="286">
        <f>Substances!AW44</f>
        <v>1.8000000000000001E-4</v>
      </c>
      <c r="AX3" s="286">
        <f>Substances!AX44</f>
        <v>6.46E-6</v>
      </c>
      <c r="AY3" s="286">
        <f>Substances!AY44</f>
        <v>6.46E-6</v>
      </c>
      <c r="AZ3" s="286">
        <f>Substances!AZ44</f>
        <v>4.6700000000000002E-6</v>
      </c>
      <c r="BA3" s="286">
        <f>Substances!BA44</f>
        <v>3.0699999999999998E-6</v>
      </c>
      <c r="BB3" s="286">
        <f>Substances!BB44</f>
        <v>3.0300000000000001E-5</v>
      </c>
      <c r="BC3" s="286">
        <f>Substances!BC44</f>
        <v>2.07E-11</v>
      </c>
      <c r="BD3" s="286">
        <f>Substances!BD44</f>
        <v>1.3607801042701199E-5</v>
      </c>
      <c r="BE3" s="286">
        <f>Substances!BE44</f>
        <v>3.4000000000000002E-4</v>
      </c>
      <c r="BF3" s="286">
        <f>Substances!BF44</f>
        <v>3.4000000000000002E-4</v>
      </c>
      <c r="BG3" s="286">
        <f>Substances!BG44</f>
        <v>0.29924102177236916</v>
      </c>
      <c r="BH3" s="286">
        <f>Substances!BH44</f>
        <v>1.6718085827688216E-5</v>
      </c>
      <c r="BI3" s="286">
        <f>Substances!BI44</f>
        <v>1.3300000000000001E-4</v>
      </c>
      <c r="BJ3" s="286"/>
      <c r="BK3" s="286" t="s">
        <v>1097</v>
      </c>
    </row>
    <row r="4" spans="1:65" s="287" customFormat="1" ht="13.15" customHeight="1">
      <c r="B4" s="288"/>
      <c r="C4" s="289"/>
      <c r="D4" s="4032"/>
      <c r="E4" s="290" t="str">
        <f>Substances!E24</f>
        <v>coefficient de diffusion dans l'air</v>
      </c>
      <c r="F4" s="291" t="str">
        <f>Substances!F24</f>
        <v>Da</v>
      </c>
      <c r="G4" s="2018" t="str">
        <f>Substances!G24</f>
        <v>(mg/m2/s)/(mg/l/m)</v>
      </c>
      <c r="H4" s="292">
        <f>Substances!H24</f>
        <v>5.1268213707501347E-3</v>
      </c>
      <c r="I4" s="292">
        <f>Substances!I24</f>
        <v>5.1268213707501347E-3</v>
      </c>
      <c r="J4" s="292">
        <f>Substances!J24</f>
        <v>5.2697268062682013E-3</v>
      </c>
      <c r="K4" s="292">
        <f>Substances!K24</f>
        <v>1.06E-2</v>
      </c>
      <c r="L4" s="292">
        <f>Substances!L24</f>
        <v>7.3600000000000002E-3</v>
      </c>
      <c r="M4" s="292">
        <f>Substances!M24</f>
        <v>7.3600000000000002E-3</v>
      </c>
      <c r="N4" s="292">
        <f>Substances!N24</f>
        <v>7.9000000000000008E-3</v>
      </c>
      <c r="O4" s="292">
        <f>Substances!O24</f>
        <v>7.9000000000000008E-3</v>
      </c>
      <c r="P4" s="292">
        <f>Substances!P24</f>
        <v>7.1999999999999998E-3</v>
      </c>
      <c r="Q4" s="292">
        <f>Substances!Q24</f>
        <v>7.1999999999999998E-3</v>
      </c>
      <c r="R4" s="292">
        <f>Substances!R24</f>
        <v>0.10200000000000001</v>
      </c>
      <c r="S4" s="292">
        <f>Substances!S24</f>
        <v>1.04E-2</v>
      </c>
      <c r="T4" s="292">
        <f>Substances!T24</f>
        <v>1.04E-2</v>
      </c>
      <c r="U4" s="292">
        <f>Substances!U24</f>
        <v>7.7999999999999996E-3</v>
      </c>
      <c r="V4" s="292">
        <f>Substances!V24</f>
        <v>2.8481487033428276E-3</v>
      </c>
      <c r="W4" s="292">
        <f>Substances!W24</f>
        <v>2.8481487033428276E-3</v>
      </c>
      <c r="X4" s="292">
        <f>Substances!X24</f>
        <v>8.1944444444444452E-3</v>
      </c>
      <c r="Y4" s="292">
        <f>Substances!Y24</f>
        <v>7.3611111111111108E-3</v>
      </c>
      <c r="Z4" s="292">
        <f>Substances!Z24</f>
        <v>6.7499999999999999E-3</v>
      </c>
      <c r="AA4" s="292">
        <f>Substances!AA24</f>
        <v>6.7499999999999999E-3</v>
      </c>
      <c r="AB4" s="292">
        <f>Substances!AB24</f>
        <v>3.1666666666666666E-3</v>
      </c>
      <c r="AC4" s="292">
        <f>Substances!AC24</f>
        <v>2.9230769230769232E-3</v>
      </c>
      <c r="AD4" s="292">
        <f>Substances!AD24</f>
        <v>2.5333333333333336E-3</v>
      </c>
      <c r="AE4" s="292">
        <f>Substances!AE24</f>
        <v>2E-3</v>
      </c>
      <c r="AF4" s="292">
        <f>Substances!AF24</f>
        <v>1.5833333333333333E-3</v>
      </c>
      <c r="AG4" s="292">
        <f>Substances!AG24</f>
        <v>4.691358024691358E-3</v>
      </c>
      <c r="AH4" s="292">
        <f>Substances!AH24</f>
        <v>3.8E-3</v>
      </c>
      <c r="AI4" s="292">
        <f>Substances!AI24</f>
        <v>2.9230769230769232E-3</v>
      </c>
      <c r="AJ4" s="292">
        <f>Substances!AJ24</f>
        <v>2.3749999999999999E-3</v>
      </c>
      <c r="AK4" s="292">
        <f>Substances!AK24</f>
        <v>1.9E-3</v>
      </c>
      <c r="AL4" s="292">
        <f>Substances!AL24</f>
        <v>1.4074074074074076E-3</v>
      </c>
      <c r="AM4" s="292">
        <f>Substances!AM24</f>
        <v>1.1875E-3</v>
      </c>
      <c r="AN4" s="292">
        <f>Substances!AN24</f>
        <v>2.9643497932756065E-3</v>
      </c>
      <c r="AO4" s="292">
        <f>Substances!AO24</f>
        <v>2.4967148488830486E-3</v>
      </c>
      <c r="AP4" s="292">
        <f>Substances!AP24</f>
        <v>2.4641722326697361E-3</v>
      </c>
      <c r="AQ4" s="292">
        <f>Substances!AQ24</f>
        <v>2.2864019253910953E-3</v>
      </c>
      <c r="AR4" s="292">
        <f>Substances!AR24</f>
        <v>2.1324354657687992E-3</v>
      </c>
      <c r="AS4" s="292">
        <f>Substances!AS24</f>
        <v>2.1324354657687992E-3</v>
      </c>
      <c r="AT4" s="292">
        <f>Substances!AT24</f>
        <v>1.8783984181908056E-3</v>
      </c>
      <c r="AU4" s="292">
        <f>Substances!AU24</f>
        <v>1.8783984181908056E-3</v>
      </c>
      <c r="AV4" s="292">
        <f>Substances!AV24</f>
        <v>1.6644765659220323E-3</v>
      </c>
      <c r="AW4" s="292">
        <f>Substances!AW24</f>
        <v>1.6644765659220323E-3</v>
      </c>
      <c r="AX4" s="292">
        <f>Substances!AX24</f>
        <v>1.5060240963855422E-3</v>
      </c>
      <c r="AY4" s="292">
        <f>Substances!AY24</f>
        <v>1.5060240963855422E-3</v>
      </c>
      <c r="AZ4" s="292">
        <f>Substances!AZ24</f>
        <v>1.5061434799841459E-3</v>
      </c>
      <c r="BA4" s="292">
        <f>Substances!BA24</f>
        <v>1.3649425287356324E-3</v>
      </c>
      <c r="BB4" s="292">
        <f>Substances!BB24</f>
        <v>1.4160083469965717E-3</v>
      </c>
      <c r="BC4" s="292">
        <f>Substances!BC24</f>
        <v>1.375316684762939E-3</v>
      </c>
      <c r="BD4" s="292">
        <f>Substances!BD24</f>
        <v>8.2000000000000007E-3</v>
      </c>
      <c r="BE4" s="292">
        <f>Substances!BE24</f>
        <v>1.4757281553398058E-3</v>
      </c>
      <c r="BF4" s="292">
        <f>Substances!BF24</f>
        <v>1.4757281553398058E-3</v>
      </c>
      <c r="BG4" s="292">
        <f>Substances!BG24</f>
        <v>3.0699999999999998E-3</v>
      </c>
      <c r="BH4" s="292">
        <f>Substances!BH24</f>
        <v>5.4000000000000003E-3</v>
      </c>
      <c r="BI4" s="292">
        <f>Substances!BI24</f>
        <v>1.6799999999999999E-2</v>
      </c>
      <c r="BJ4" s="292"/>
      <c r="BK4" s="286" t="s">
        <v>1097</v>
      </c>
    </row>
    <row r="5" spans="1:65" s="713" customFormat="1" ht="13.15" customHeight="1" thickBot="1">
      <c r="A5" s="709"/>
      <c r="B5" s="710"/>
      <c r="C5" s="709"/>
      <c r="D5" s="4033"/>
      <c r="E5" s="711" t="str">
        <f>Substances!E27</f>
        <v>coefficient de diffusion dans l'eau</v>
      </c>
      <c r="F5" s="712" t="str">
        <f>Substances!F27</f>
        <v>Dw</v>
      </c>
      <c r="G5" s="2019" t="str">
        <f>Substances!G27</f>
        <v>(mg/m2/s)/(mg/l/m)</v>
      </c>
      <c r="H5" s="2061">
        <f>Substances!H27</f>
        <v>5.1268213707501343E-7</v>
      </c>
      <c r="I5" s="2061">
        <f>Substances!I27</f>
        <v>5.1268213707501343E-7</v>
      </c>
      <c r="J5" s="2061">
        <f>Substances!J27</f>
        <v>5.2697268062682015E-7</v>
      </c>
      <c r="K5" s="2061">
        <f>Substances!K27</f>
        <v>1.1999999999999999E-7</v>
      </c>
      <c r="L5" s="2061">
        <f>Substances!L27</f>
        <v>1.13E-6</v>
      </c>
      <c r="M5" s="2061">
        <f>Substances!M27</f>
        <v>1.13E-6</v>
      </c>
      <c r="N5" s="2061">
        <f>Substances!N27</f>
        <v>9.0999999999999997E-7</v>
      </c>
      <c r="O5" s="2061">
        <f>Substances!O27</f>
        <v>9.0999999999999997E-7</v>
      </c>
      <c r="P5" s="2061">
        <f>Substances!P27</f>
        <v>8.1999999999999998E-7</v>
      </c>
      <c r="Q5" s="2061">
        <f>Substances!Q27</f>
        <v>8.1999999999999998E-7</v>
      </c>
      <c r="R5" s="2061">
        <f>Substances!R27</f>
        <v>6.4000000000000001E-7</v>
      </c>
      <c r="S5" s="2061">
        <f>Substances!S27</f>
        <v>1.0000000000000002E-6</v>
      </c>
      <c r="T5" s="2061">
        <f>Substances!T27</f>
        <v>1.0000000000000002E-6</v>
      </c>
      <c r="U5" s="2061">
        <f>Substances!U27</f>
        <v>8.7999999999999994E-7</v>
      </c>
      <c r="V5" s="2061">
        <f>Substances!V27</f>
        <v>2.8481487033428277E-7</v>
      </c>
      <c r="W5" s="2061">
        <f>Substances!W27</f>
        <v>2.8481487033428277E-7</v>
      </c>
      <c r="X5" s="2061">
        <f>Substances!X27</f>
        <v>8.1944444444444455E-7</v>
      </c>
      <c r="Y5" s="2061">
        <f>Substances!Y27</f>
        <v>7.3611111111111103E-7</v>
      </c>
      <c r="Z5" s="2061">
        <f>Substances!Z27</f>
        <v>6.75E-7</v>
      </c>
      <c r="AA5" s="2061">
        <f>Substances!AA27</f>
        <v>6.75E-7</v>
      </c>
      <c r="AB5" s="2061">
        <f>Substances!AB27</f>
        <v>3.1666666666666667E-7</v>
      </c>
      <c r="AC5" s="2061">
        <f>Substances!AC27</f>
        <v>2.9230769230769234E-7</v>
      </c>
      <c r="AD5" s="2061">
        <f>Substances!AD27</f>
        <v>2.5333333333333338E-7</v>
      </c>
      <c r="AE5" s="2061">
        <f>Substances!AE27</f>
        <v>1.9999999999999999E-7</v>
      </c>
      <c r="AF5" s="2061">
        <f>Substances!AF27</f>
        <v>1.5833333333333333E-7</v>
      </c>
      <c r="AG5" s="2061">
        <f>Substances!AG27</f>
        <v>4.6913580246913581E-7</v>
      </c>
      <c r="AH5" s="2061">
        <f>Substances!AH27</f>
        <v>3.8000000000000001E-7</v>
      </c>
      <c r="AI5" s="2061">
        <f>Substances!AI27</f>
        <v>2.9230769230769234E-7</v>
      </c>
      <c r="AJ5" s="2061">
        <f>Substances!AJ27</f>
        <v>2.375E-7</v>
      </c>
      <c r="AK5" s="2061">
        <f>Substances!AK27</f>
        <v>1.9000000000000001E-7</v>
      </c>
      <c r="AL5" s="2061">
        <f>Substances!AL27</f>
        <v>1.4074074074074075E-7</v>
      </c>
      <c r="AM5" s="2061">
        <f>Substances!AM27</f>
        <v>1.1875E-7</v>
      </c>
      <c r="AN5" s="2061">
        <f>Substances!AN27</f>
        <v>2.9643497932756063E-7</v>
      </c>
      <c r="AO5" s="2061">
        <f>Substances!AO27</f>
        <v>2.4967148488830486E-7</v>
      </c>
      <c r="AP5" s="2061">
        <f>Substances!AP27</f>
        <v>2.4641722326697361E-7</v>
      </c>
      <c r="AQ5" s="2061">
        <f>Substances!AQ27</f>
        <v>2.2864019253910952E-7</v>
      </c>
      <c r="AR5" s="2061">
        <f>Substances!AR27</f>
        <v>2.1324354657687991E-7</v>
      </c>
      <c r="AS5" s="2061">
        <f>Substances!AS27</f>
        <v>2.1324354657687991E-7</v>
      </c>
      <c r="AT5" s="2061">
        <f>Substances!AT27</f>
        <v>1.8783984181908057E-7</v>
      </c>
      <c r="AU5" s="2061">
        <f>Substances!AU27</f>
        <v>1.8783984181908057E-7</v>
      </c>
      <c r="AV5" s="2061">
        <f>Substances!AV27</f>
        <v>1.6644765659220322E-7</v>
      </c>
      <c r="AW5" s="2061">
        <f>Substances!AW27</f>
        <v>1.6644765659220322E-7</v>
      </c>
      <c r="AX5" s="2061">
        <f>Substances!AX27</f>
        <v>1.5060240963855423E-7</v>
      </c>
      <c r="AY5" s="2061">
        <f>Substances!AY27</f>
        <v>1.5060240963855423E-7</v>
      </c>
      <c r="AZ5" s="2061">
        <f>Substances!AZ27</f>
        <v>1.5061434799841459E-7</v>
      </c>
      <c r="BA5" s="2061">
        <f>Substances!BA27</f>
        <v>1.3649425287356323E-7</v>
      </c>
      <c r="BB5" s="2061">
        <f>Substances!BB27</f>
        <v>1.4160083469965716E-7</v>
      </c>
      <c r="BC5" s="2061">
        <f>Substances!BC27</f>
        <v>1.3753166847629391E-7</v>
      </c>
      <c r="BD5" s="2061">
        <f>Substances!BD27</f>
        <v>8.8000000000000004E-7</v>
      </c>
      <c r="BE5" s="2061">
        <f>Substances!BE27</f>
        <v>1.4757281553398059E-7</v>
      </c>
      <c r="BF5" s="2061">
        <f>Substances!BF27</f>
        <v>1.4757281553398059E-7</v>
      </c>
      <c r="BG5" s="2061">
        <f>Substances!BG27</f>
        <v>6.3E-7</v>
      </c>
      <c r="BH5" s="2061">
        <f>Substances!BH27</f>
        <v>5.4000000000000002E-7</v>
      </c>
      <c r="BI5" s="2061">
        <f>Substances!BI27</f>
        <v>1.68E-6</v>
      </c>
      <c r="BJ5" s="292"/>
      <c r="BK5" s="286" t="s">
        <v>1097</v>
      </c>
    </row>
    <row r="6" spans="1:65" ht="13.15" customHeight="1">
      <c r="A6" s="293"/>
      <c r="B6" s="288"/>
      <c r="C6" s="294"/>
      <c r="D6" s="4029"/>
      <c r="E6" s="326"/>
      <c r="F6" s="293"/>
      <c r="G6" s="2017"/>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302"/>
    </row>
    <row r="7" spans="1:65" ht="13.15" customHeight="1">
      <c r="A7" s="297"/>
      <c r="B7" s="298"/>
      <c r="C7" s="299"/>
      <c r="D7" s="4030"/>
      <c r="E7" s="323" t="str">
        <f>Sols!B7</f>
        <v>Couche limite</v>
      </c>
      <c r="F7" s="297"/>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row>
    <row r="8" spans="1:65" ht="13.15" customHeight="1">
      <c r="A8" s="297"/>
      <c r="B8" s="298"/>
      <c r="C8" s="299"/>
      <c r="D8" s="4030"/>
      <c r="E8" s="326" t="str">
        <f>Sols!C48</f>
        <v>Potentiel de diffusion dans l'air interstitiel  (rapporté à Csa)</v>
      </c>
      <c r="F8" s="297" t="str">
        <f>Sols!F48</f>
        <v>Dsa/Da</v>
      </c>
      <c r="G8" s="2020" t="str">
        <f>Sols!H48</f>
        <v>-</v>
      </c>
      <c r="H8" s="301">
        <f>Sols!$J$7</f>
        <v>1</v>
      </c>
      <c r="I8" s="301">
        <f>Sols!$J$7</f>
        <v>1</v>
      </c>
      <c r="J8" s="301">
        <f>Sols!$J$7</f>
        <v>1</v>
      </c>
      <c r="K8" s="301">
        <f>Sols!$J$7</f>
        <v>1</v>
      </c>
      <c r="L8" s="301">
        <f>Sols!$J$7</f>
        <v>1</v>
      </c>
      <c r="M8" s="301">
        <f>Sols!$J$7</f>
        <v>1</v>
      </c>
      <c r="N8" s="301">
        <f>Sols!$J$7</f>
        <v>1</v>
      </c>
      <c r="O8" s="301">
        <f>Sols!$J$7</f>
        <v>1</v>
      </c>
      <c r="P8" s="301">
        <f>Sols!$J$7</f>
        <v>1</v>
      </c>
      <c r="Q8" s="301">
        <f>Sols!$J$7</f>
        <v>1</v>
      </c>
      <c r="R8" s="301">
        <f>Sols!$J$7</f>
        <v>1</v>
      </c>
      <c r="S8" s="301">
        <f>Sols!$J$7</f>
        <v>1</v>
      </c>
      <c r="T8" s="301">
        <f>Sols!$J$7</f>
        <v>1</v>
      </c>
      <c r="U8" s="301">
        <f>Sols!$J$7</f>
        <v>1</v>
      </c>
      <c r="V8" s="301">
        <f>Sols!$J$7</f>
        <v>1</v>
      </c>
      <c r="W8" s="301">
        <f>Sols!$J$7</f>
        <v>1</v>
      </c>
      <c r="X8" s="301">
        <f>Sols!$J$7</f>
        <v>1</v>
      </c>
      <c r="Y8" s="301">
        <f>Sols!$J$7</f>
        <v>1</v>
      </c>
      <c r="Z8" s="301">
        <f>Sols!$J$7</f>
        <v>1</v>
      </c>
      <c r="AA8" s="301">
        <f>Sols!$J$7</f>
        <v>1</v>
      </c>
      <c r="AB8" s="301">
        <f>Sols!$J$7</f>
        <v>1</v>
      </c>
      <c r="AC8" s="301">
        <f>Sols!$J$7</f>
        <v>1</v>
      </c>
      <c r="AD8" s="301">
        <f>Sols!$J$7</f>
        <v>1</v>
      </c>
      <c r="AE8" s="301">
        <f>Sols!$J$7</f>
        <v>1</v>
      </c>
      <c r="AF8" s="301">
        <f>Sols!$J$7</f>
        <v>1</v>
      </c>
      <c r="AG8" s="301">
        <f>Sols!$J$7</f>
        <v>1</v>
      </c>
      <c r="AH8" s="301">
        <f>Sols!$J$7</f>
        <v>1</v>
      </c>
      <c r="AI8" s="301">
        <f>Sols!$J$7</f>
        <v>1</v>
      </c>
      <c r="AJ8" s="301">
        <f>Sols!$J$7</f>
        <v>1</v>
      </c>
      <c r="AK8" s="301">
        <f>Sols!$J$7</f>
        <v>1</v>
      </c>
      <c r="AL8" s="301">
        <f>Sols!$J$7</f>
        <v>1</v>
      </c>
      <c r="AM8" s="301">
        <f>Sols!$J$7</f>
        <v>1</v>
      </c>
      <c r="AN8" s="301">
        <f>Sols!$J$7</f>
        <v>1</v>
      </c>
      <c r="AO8" s="301">
        <f>Sols!$J$7</f>
        <v>1</v>
      </c>
      <c r="AP8" s="301">
        <f>Sols!$J$7</f>
        <v>1</v>
      </c>
      <c r="AQ8" s="301">
        <f>Sols!$J$7</f>
        <v>1</v>
      </c>
      <c r="AR8" s="301">
        <f>Sols!$J$7</f>
        <v>1</v>
      </c>
      <c r="AS8" s="301">
        <f>Sols!$J$7</f>
        <v>1</v>
      </c>
      <c r="AT8" s="301">
        <f>Sols!$J$7</f>
        <v>1</v>
      </c>
      <c r="AU8" s="301">
        <f>Sols!$J$7</f>
        <v>1</v>
      </c>
      <c r="AV8" s="301">
        <f>Sols!$J$7</f>
        <v>1</v>
      </c>
      <c r="AW8" s="301">
        <f>Sols!$J$7</f>
        <v>1</v>
      </c>
      <c r="AX8" s="301">
        <f>Sols!$J$7</f>
        <v>1</v>
      </c>
      <c r="AY8" s="301">
        <f>Sols!$J$7</f>
        <v>1</v>
      </c>
      <c r="AZ8" s="301">
        <f>Sols!$J$7</f>
        <v>1</v>
      </c>
      <c r="BA8" s="301">
        <f>Sols!$J$7</f>
        <v>1</v>
      </c>
      <c r="BB8" s="301">
        <f>Sols!$J$7</f>
        <v>1</v>
      </c>
      <c r="BC8" s="301">
        <f>Sols!$J$7</f>
        <v>1</v>
      </c>
      <c r="BD8" s="301">
        <f>Sols!$J$7</f>
        <v>1</v>
      </c>
      <c r="BE8" s="301">
        <f>Sols!$J$7</f>
        <v>1</v>
      </c>
      <c r="BF8" s="301">
        <f>Sols!$J$7</f>
        <v>1</v>
      </c>
      <c r="BG8" s="301">
        <f>Sols!$J$7</f>
        <v>1</v>
      </c>
      <c r="BH8" s="301">
        <f>Sols!$J$7</f>
        <v>1</v>
      </c>
      <c r="BI8" s="301">
        <f>Sols!$J$7</f>
        <v>1</v>
      </c>
      <c r="BJ8" s="301"/>
      <c r="BK8" s="286" t="s">
        <v>1098</v>
      </c>
    </row>
    <row r="9" spans="1:65" ht="13.15" customHeight="1">
      <c r="A9" s="297"/>
      <c r="B9" s="298"/>
      <c r="C9" s="299"/>
      <c r="D9" s="4030"/>
      <c r="E9" s="326" t="str">
        <f>Sols!C49</f>
        <v>Potentiel de diffusion dans l'eau interstitielle (rapporté à Cpw)</v>
      </c>
      <c r="F9" s="297" t="str">
        <f>Sols!F49</f>
        <v>Dpw/Dw</v>
      </c>
      <c r="G9" s="2020" t="str">
        <f>Sols!H49</f>
        <v>-</v>
      </c>
      <c r="H9" s="301">
        <f>Sols!$K$7</f>
        <v>0</v>
      </c>
      <c r="I9" s="301">
        <f>Sols!$K$7</f>
        <v>0</v>
      </c>
      <c r="J9" s="301">
        <f>Sols!$K$7</f>
        <v>0</v>
      </c>
      <c r="K9" s="301">
        <f>Sols!$K$7</f>
        <v>0</v>
      </c>
      <c r="L9" s="301">
        <f>Sols!$K$7</f>
        <v>0</v>
      </c>
      <c r="M9" s="301">
        <f>Sols!$K$7</f>
        <v>0</v>
      </c>
      <c r="N9" s="301">
        <f>Sols!$K$7</f>
        <v>0</v>
      </c>
      <c r="O9" s="301">
        <f>Sols!$K$7</f>
        <v>0</v>
      </c>
      <c r="P9" s="301">
        <f>Sols!$K$7</f>
        <v>0</v>
      </c>
      <c r="Q9" s="301">
        <f>Sols!$K$7</f>
        <v>0</v>
      </c>
      <c r="R9" s="301">
        <f>Sols!$K$7</f>
        <v>0</v>
      </c>
      <c r="S9" s="301">
        <f>Sols!$K$7</f>
        <v>0</v>
      </c>
      <c r="T9" s="301">
        <f>Sols!$K$7</f>
        <v>0</v>
      </c>
      <c r="U9" s="301">
        <f>Sols!$K$7</f>
        <v>0</v>
      </c>
      <c r="V9" s="301">
        <f>Sols!$K$7</f>
        <v>0</v>
      </c>
      <c r="W9" s="301">
        <f>Sols!$K$7</f>
        <v>0</v>
      </c>
      <c r="X9" s="301">
        <f>Sols!$K$7</f>
        <v>0</v>
      </c>
      <c r="Y9" s="301">
        <f>Sols!$K$7</f>
        <v>0</v>
      </c>
      <c r="Z9" s="301">
        <f>Sols!$K$7</f>
        <v>0</v>
      </c>
      <c r="AA9" s="301">
        <f>Sols!$K$7</f>
        <v>0</v>
      </c>
      <c r="AB9" s="301">
        <f>Sols!$K$7</f>
        <v>0</v>
      </c>
      <c r="AC9" s="301">
        <f>Sols!$K$7</f>
        <v>0</v>
      </c>
      <c r="AD9" s="301">
        <f>Sols!$K$7</f>
        <v>0</v>
      </c>
      <c r="AE9" s="301">
        <f>Sols!$K$7</f>
        <v>0</v>
      </c>
      <c r="AF9" s="301">
        <f>Sols!$K$7</f>
        <v>0</v>
      </c>
      <c r="AG9" s="301">
        <f>Sols!$K$7</f>
        <v>0</v>
      </c>
      <c r="AH9" s="301">
        <f>Sols!$K$7</f>
        <v>0</v>
      </c>
      <c r="AI9" s="301">
        <f>Sols!$K$7</f>
        <v>0</v>
      </c>
      <c r="AJ9" s="301">
        <f>Sols!$K$7</f>
        <v>0</v>
      </c>
      <c r="AK9" s="301">
        <f>Sols!$K$7</f>
        <v>0</v>
      </c>
      <c r="AL9" s="301">
        <f>Sols!$K$7</f>
        <v>0</v>
      </c>
      <c r="AM9" s="301">
        <f>Sols!$K$7</f>
        <v>0</v>
      </c>
      <c r="AN9" s="301">
        <f>Sols!$K$7</f>
        <v>0</v>
      </c>
      <c r="AO9" s="301">
        <f>Sols!$K$7</f>
        <v>0</v>
      </c>
      <c r="AP9" s="301">
        <f>Sols!$K$7</f>
        <v>0</v>
      </c>
      <c r="AQ9" s="301">
        <f>Sols!$K$7</f>
        <v>0</v>
      </c>
      <c r="AR9" s="301">
        <f>Sols!$K$7</f>
        <v>0</v>
      </c>
      <c r="AS9" s="301">
        <f>Sols!$K$7</f>
        <v>0</v>
      </c>
      <c r="AT9" s="301">
        <f>Sols!$K$7</f>
        <v>0</v>
      </c>
      <c r="AU9" s="301">
        <f>Sols!$K$7</f>
        <v>0</v>
      </c>
      <c r="AV9" s="301">
        <f>Sols!$K$7</f>
        <v>0</v>
      </c>
      <c r="AW9" s="301">
        <f>Sols!$K$7</f>
        <v>0</v>
      </c>
      <c r="AX9" s="301">
        <f>Sols!$K$7</f>
        <v>0</v>
      </c>
      <c r="AY9" s="301">
        <f>Sols!$K$7</f>
        <v>0</v>
      </c>
      <c r="AZ9" s="301">
        <f>Sols!$K$7</f>
        <v>0</v>
      </c>
      <c r="BA9" s="301">
        <f>Sols!$K$7</f>
        <v>0</v>
      </c>
      <c r="BB9" s="301">
        <f>Sols!$K$7</f>
        <v>0</v>
      </c>
      <c r="BC9" s="301">
        <f>Sols!$K$7</f>
        <v>0</v>
      </c>
      <c r="BD9" s="301">
        <f>Sols!$K$7</f>
        <v>0</v>
      </c>
      <c r="BE9" s="301">
        <f>Sols!$K$7</f>
        <v>0</v>
      </c>
      <c r="BF9" s="301">
        <f>Sols!$K$7</f>
        <v>0</v>
      </c>
      <c r="BG9" s="301">
        <f>Sols!$K$7</f>
        <v>0</v>
      </c>
      <c r="BH9" s="301">
        <f>Sols!$K$7</f>
        <v>0</v>
      </c>
      <c r="BI9" s="301">
        <f>Sols!$K$7</f>
        <v>0</v>
      </c>
      <c r="BJ9" s="301"/>
      <c r="BK9" s="286" t="s">
        <v>1098</v>
      </c>
    </row>
    <row r="10" spans="1:65" ht="13.15" customHeight="1">
      <c r="A10" s="297"/>
      <c r="B10" s="298"/>
      <c r="C10" s="299"/>
      <c r="D10" s="4030"/>
      <c r="E10" s="2021" t="s">
        <v>239</v>
      </c>
      <c r="F10" s="303" t="s">
        <v>240</v>
      </c>
      <c r="G10" s="2022" t="str">
        <f>Substances!$G$24</f>
        <v>(mg/m2/s)/(mg/l/m)</v>
      </c>
      <c r="H10" s="304">
        <f t="shared" ref="H10:V10" si="0">H$4*H8+H$5*H9/H$3</f>
        <v>5.1268213707501347E-3</v>
      </c>
      <c r="I10" s="304">
        <f>I$4*I8+I$5*I9/I$3</f>
        <v>5.1268213707501347E-3</v>
      </c>
      <c r="J10" s="304">
        <f>J$4*J8+J$5*J9/J$3</f>
        <v>5.2697268062682013E-3</v>
      </c>
      <c r="K10" s="304">
        <f t="shared" si="0"/>
        <v>1.06E-2</v>
      </c>
      <c r="L10" s="304">
        <f t="shared" si="0"/>
        <v>7.3600000000000002E-3</v>
      </c>
      <c r="M10" s="304">
        <f t="shared" si="0"/>
        <v>7.3600000000000002E-3</v>
      </c>
      <c r="N10" s="304">
        <f>N$4*N8+N$5*N9/N$3</f>
        <v>7.9000000000000008E-3</v>
      </c>
      <c r="O10" s="304">
        <f>O$4*O8+O$5*O9/O$3</f>
        <v>7.9000000000000008E-3</v>
      </c>
      <c r="P10" s="304">
        <f t="shared" si="0"/>
        <v>7.1999999999999998E-3</v>
      </c>
      <c r="Q10" s="304">
        <f t="shared" si="0"/>
        <v>7.1999999999999998E-3</v>
      </c>
      <c r="R10" s="304">
        <f>R$4*R8+R$5*R9/R$3</f>
        <v>0.10200000000000001</v>
      </c>
      <c r="S10" s="304">
        <f>S$4*S8+S$5*S9/S$3</f>
        <v>1.04E-2</v>
      </c>
      <c r="T10" s="304">
        <f>T$4*T8+T$5*T9/T$3</f>
        <v>1.04E-2</v>
      </c>
      <c r="U10" s="304">
        <f t="shared" si="0"/>
        <v>7.7999999999999996E-3</v>
      </c>
      <c r="V10" s="304">
        <f t="shared" si="0"/>
        <v>2.8481487033428276E-3</v>
      </c>
      <c r="W10" s="304">
        <f>W$4*W8+W$5*W9/W$3</f>
        <v>2.8481487033428276E-3</v>
      </c>
      <c r="X10" s="304">
        <f t="shared" ref="X10:BC10" si="1">X$4*X8+X$5*X9/X$3</f>
        <v>8.1944444444444452E-3</v>
      </c>
      <c r="Y10" s="304">
        <f t="shared" si="1"/>
        <v>7.3611111111111108E-3</v>
      </c>
      <c r="Z10" s="304">
        <f t="shared" si="1"/>
        <v>6.7499999999999999E-3</v>
      </c>
      <c r="AA10" s="304">
        <f t="shared" si="1"/>
        <v>6.7499999999999999E-3</v>
      </c>
      <c r="AB10" s="304">
        <f t="shared" si="1"/>
        <v>3.1666666666666666E-3</v>
      </c>
      <c r="AC10" s="304">
        <f t="shared" si="1"/>
        <v>2.9230769230769232E-3</v>
      </c>
      <c r="AD10" s="304">
        <f t="shared" si="1"/>
        <v>2.5333333333333336E-3</v>
      </c>
      <c r="AE10" s="304">
        <f t="shared" si="1"/>
        <v>2E-3</v>
      </c>
      <c r="AF10" s="304">
        <f t="shared" si="1"/>
        <v>1.5833333333333333E-3</v>
      </c>
      <c r="AG10" s="304">
        <f t="shared" si="1"/>
        <v>4.691358024691358E-3</v>
      </c>
      <c r="AH10" s="304">
        <f t="shared" si="1"/>
        <v>3.8E-3</v>
      </c>
      <c r="AI10" s="304">
        <f t="shared" si="1"/>
        <v>2.9230769230769232E-3</v>
      </c>
      <c r="AJ10" s="304">
        <f t="shared" si="1"/>
        <v>2.3749999999999999E-3</v>
      </c>
      <c r="AK10" s="304">
        <f t="shared" si="1"/>
        <v>1.9E-3</v>
      </c>
      <c r="AL10" s="304">
        <f t="shared" si="1"/>
        <v>1.4074074074074076E-3</v>
      </c>
      <c r="AM10" s="304">
        <f t="shared" si="1"/>
        <v>1.1875E-3</v>
      </c>
      <c r="AN10" s="304">
        <f t="shared" si="1"/>
        <v>2.9643497932756065E-3</v>
      </c>
      <c r="AO10" s="304">
        <f t="shared" si="1"/>
        <v>2.4967148488830486E-3</v>
      </c>
      <c r="AP10" s="304">
        <f t="shared" si="1"/>
        <v>2.4641722326697361E-3</v>
      </c>
      <c r="AQ10" s="304">
        <f t="shared" si="1"/>
        <v>2.2864019253910953E-3</v>
      </c>
      <c r="AR10" s="304">
        <f t="shared" si="1"/>
        <v>2.1324354657687992E-3</v>
      </c>
      <c r="AS10" s="304">
        <f t="shared" si="1"/>
        <v>2.1324354657687992E-3</v>
      </c>
      <c r="AT10" s="304">
        <f t="shared" si="1"/>
        <v>1.8783984181908056E-3</v>
      </c>
      <c r="AU10" s="304">
        <f t="shared" si="1"/>
        <v>1.8783984181908056E-3</v>
      </c>
      <c r="AV10" s="304">
        <f t="shared" si="1"/>
        <v>1.6644765659220323E-3</v>
      </c>
      <c r="AW10" s="304">
        <f t="shared" si="1"/>
        <v>1.6644765659220323E-3</v>
      </c>
      <c r="AX10" s="304">
        <f t="shared" si="1"/>
        <v>1.5060240963855422E-3</v>
      </c>
      <c r="AY10" s="304">
        <f t="shared" si="1"/>
        <v>1.5060240963855422E-3</v>
      </c>
      <c r="AZ10" s="304">
        <f t="shared" si="1"/>
        <v>1.5061434799841459E-3</v>
      </c>
      <c r="BA10" s="304">
        <f t="shared" si="1"/>
        <v>1.3649425287356324E-3</v>
      </c>
      <c r="BB10" s="304">
        <f t="shared" si="1"/>
        <v>1.4160083469965717E-3</v>
      </c>
      <c r="BC10" s="304">
        <f t="shared" si="1"/>
        <v>1.375316684762939E-3</v>
      </c>
      <c r="BD10" s="304">
        <f t="shared" ref="BD10:BI10" si="2">BD$4*BD8+BD$5*BD9/BD$3</f>
        <v>8.2000000000000007E-3</v>
      </c>
      <c r="BE10" s="304">
        <f t="shared" si="2"/>
        <v>1.4757281553398058E-3</v>
      </c>
      <c r="BF10" s="304">
        <f t="shared" si="2"/>
        <v>1.4757281553398058E-3</v>
      </c>
      <c r="BG10" s="304">
        <f t="shared" si="2"/>
        <v>3.0699999999999998E-3</v>
      </c>
      <c r="BH10" s="304">
        <f t="shared" si="2"/>
        <v>5.4000000000000003E-3</v>
      </c>
      <c r="BI10" s="304">
        <f t="shared" si="2"/>
        <v>1.6799999999999999E-2</v>
      </c>
      <c r="BJ10" s="304"/>
    </row>
    <row r="11" spans="1:65" ht="13.15" customHeight="1">
      <c r="A11" s="297"/>
      <c r="B11" s="298"/>
      <c r="C11" s="299"/>
      <c r="D11" s="4030"/>
      <c r="E11" s="324" t="s">
        <v>74</v>
      </c>
      <c r="F11" s="297" t="s">
        <v>75</v>
      </c>
      <c r="G11" s="2020" t="s">
        <v>73</v>
      </c>
      <c r="H11" s="301">
        <f>Sols!$V$7</f>
        <v>5.0000000000000001E-3</v>
      </c>
      <c r="I11" s="301">
        <f>Sols!$V$7</f>
        <v>5.0000000000000001E-3</v>
      </c>
      <c r="J11" s="301">
        <f>Sols!$V$7</f>
        <v>5.0000000000000001E-3</v>
      </c>
      <c r="K11" s="301">
        <f>Sols!$V$7</f>
        <v>5.0000000000000001E-3</v>
      </c>
      <c r="L11" s="301">
        <f>Sols!$V$7</f>
        <v>5.0000000000000001E-3</v>
      </c>
      <c r="M11" s="301">
        <f>Sols!$V$7</f>
        <v>5.0000000000000001E-3</v>
      </c>
      <c r="N11" s="301">
        <f>Sols!$V$7</f>
        <v>5.0000000000000001E-3</v>
      </c>
      <c r="O11" s="301">
        <f>Sols!$V$7</f>
        <v>5.0000000000000001E-3</v>
      </c>
      <c r="P11" s="301">
        <f>Sols!$V$7</f>
        <v>5.0000000000000001E-3</v>
      </c>
      <c r="Q11" s="301">
        <f>Sols!$V$7</f>
        <v>5.0000000000000001E-3</v>
      </c>
      <c r="R11" s="301">
        <f>Sols!$V$7</f>
        <v>5.0000000000000001E-3</v>
      </c>
      <c r="S11" s="301">
        <f>Sols!$V$7</f>
        <v>5.0000000000000001E-3</v>
      </c>
      <c r="T11" s="301">
        <f>Sols!$V$7</f>
        <v>5.0000000000000001E-3</v>
      </c>
      <c r="U11" s="301">
        <f>Sols!$V$7</f>
        <v>5.0000000000000001E-3</v>
      </c>
      <c r="V11" s="301">
        <f>Sols!$V$7</f>
        <v>5.0000000000000001E-3</v>
      </c>
      <c r="W11" s="301">
        <f>Sols!$V$7</f>
        <v>5.0000000000000001E-3</v>
      </c>
      <c r="X11" s="301">
        <f>Sols!$V$7</f>
        <v>5.0000000000000001E-3</v>
      </c>
      <c r="Y11" s="301">
        <f>Sols!$V$7</f>
        <v>5.0000000000000001E-3</v>
      </c>
      <c r="Z11" s="301">
        <f>Sols!$V$7</f>
        <v>5.0000000000000001E-3</v>
      </c>
      <c r="AA11" s="301">
        <f>Sols!$V$7</f>
        <v>5.0000000000000001E-3</v>
      </c>
      <c r="AB11" s="301">
        <f>Sols!$V$7</f>
        <v>5.0000000000000001E-3</v>
      </c>
      <c r="AC11" s="301">
        <f>Sols!$V$7</f>
        <v>5.0000000000000001E-3</v>
      </c>
      <c r="AD11" s="301">
        <f>Sols!$V$7</f>
        <v>5.0000000000000001E-3</v>
      </c>
      <c r="AE11" s="301">
        <f>Sols!$V$7</f>
        <v>5.0000000000000001E-3</v>
      </c>
      <c r="AF11" s="301">
        <f>Sols!$V$7</f>
        <v>5.0000000000000001E-3</v>
      </c>
      <c r="AG11" s="301">
        <f>Sols!$V$7</f>
        <v>5.0000000000000001E-3</v>
      </c>
      <c r="AH11" s="301">
        <f>Sols!$V$7</f>
        <v>5.0000000000000001E-3</v>
      </c>
      <c r="AI11" s="301">
        <f>Sols!$V$7</f>
        <v>5.0000000000000001E-3</v>
      </c>
      <c r="AJ11" s="301">
        <f>Sols!$V$7</f>
        <v>5.0000000000000001E-3</v>
      </c>
      <c r="AK11" s="301">
        <f>Sols!$V$7</f>
        <v>5.0000000000000001E-3</v>
      </c>
      <c r="AL11" s="301">
        <f>Sols!$V$7</f>
        <v>5.0000000000000001E-3</v>
      </c>
      <c r="AM11" s="301">
        <f>Sols!$V$7</f>
        <v>5.0000000000000001E-3</v>
      </c>
      <c r="AN11" s="301">
        <f>Sols!$V$7</f>
        <v>5.0000000000000001E-3</v>
      </c>
      <c r="AO11" s="301">
        <f>Sols!$V$7</f>
        <v>5.0000000000000001E-3</v>
      </c>
      <c r="AP11" s="301">
        <f>Sols!$V$7</f>
        <v>5.0000000000000001E-3</v>
      </c>
      <c r="AQ11" s="301">
        <f>Sols!$V$7</f>
        <v>5.0000000000000001E-3</v>
      </c>
      <c r="AR11" s="301">
        <f>Sols!$V$7</f>
        <v>5.0000000000000001E-3</v>
      </c>
      <c r="AS11" s="301">
        <f>Sols!$V$7</f>
        <v>5.0000000000000001E-3</v>
      </c>
      <c r="AT11" s="301">
        <f>Sols!$V$7</f>
        <v>5.0000000000000001E-3</v>
      </c>
      <c r="AU11" s="301">
        <f>Sols!$V$7</f>
        <v>5.0000000000000001E-3</v>
      </c>
      <c r="AV11" s="301">
        <f>Sols!$V$7</f>
        <v>5.0000000000000001E-3</v>
      </c>
      <c r="AW11" s="301">
        <f>Sols!$V$7</f>
        <v>5.0000000000000001E-3</v>
      </c>
      <c r="AX11" s="301">
        <f>Sols!$V$7</f>
        <v>5.0000000000000001E-3</v>
      </c>
      <c r="AY11" s="301">
        <f>Sols!$V$7</f>
        <v>5.0000000000000001E-3</v>
      </c>
      <c r="AZ11" s="301">
        <f>Sols!$V$7</f>
        <v>5.0000000000000001E-3</v>
      </c>
      <c r="BA11" s="301">
        <f>Sols!$V$7</f>
        <v>5.0000000000000001E-3</v>
      </c>
      <c r="BB11" s="301">
        <f>Sols!$V$7</f>
        <v>5.0000000000000001E-3</v>
      </c>
      <c r="BC11" s="301">
        <f>Sols!$V$7</f>
        <v>5.0000000000000001E-3</v>
      </c>
      <c r="BD11" s="301">
        <f>Sols!$V$7</f>
        <v>5.0000000000000001E-3</v>
      </c>
      <c r="BE11" s="301">
        <f>Sols!$V$7</f>
        <v>5.0000000000000001E-3</v>
      </c>
      <c r="BF11" s="301">
        <f>Sols!$V$7</f>
        <v>5.0000000000000001E-3</v>
      </c>
      <c r="BG11" s="301">
        <f>Sols!$V$7</f>
        <v>5.0000000000000001E-3</v>
      </c>
      <c r="BH11" s="301">
        <f>Sols!$V$7</f>
        <v>5.0000000000000001E-3</v>
      </c>
      <c r="BI11" s="301">
        <f>Sols!$V$7</f>
        <v>5.0000000000000001E-3</v>
      </c>
      <c r="BJ11" s="301"/>
    </row>
    <row r="12" spans="1:65" ht="13.15" customHeight="1">
      <c r="A12" s="297"/>
      <c r="B12" s="298"/>
      <c r="C12" s="299"/>
      <c r="D12" s="4030"/>
      <c r="E12" s="325" t="s">
        <v>242</v>
      </c>
      <c r="F12" s="297" t="s">
        <v>243</v>
      </c>
      <c r="G12" s="2020" t="s">
        <v>269</v>
      </c>
      <c r="H12" s="301">
        <f>H11/H$10</f>
        <v>0.97526315789473694</v>
      </c>
      <c r="I12" s="301">
        <f>I11/I$10</f>
        <v>0.97526315789473694</v>
      </c>
      <c r="J12" s="301">
        <f>J11/J$10</f>
        <v>0.94881578947368428</v>
      </c>
      <c r="K12" s="301">
        <f>K11/K$10</f>
        <v>0.47169811320754718</v>
      </c>
      <c r="L12" s="301">
        <f t="shared" ref="L12:V12" si="3">L11/L$10</f>
        <v>0.67934782608695654</v>
      </c>
      <c r="M12" s="301">
        <f t="shared" si="3"/>
        <v>0.67934782608695654</v>
      </c>
      <c r="N12" s="301">
        <f>N11/N$10</f>
        <v>0.63291139240506322</v>
      </c>
      <c r="O12" s="301">
        <f>O11/O$10</f>
        <v>0.63291139240506322</v>
      </c>
      <c r="P12" s="301">
        <f t="shared" si="3"/>
        <v>0.69444444444444453</v>
      </c>
      <c r="Q12" s="301">
        <f t="shared" si="3"/>
        <v>0.69444444444444453</v>
      </c>
      <c r="R12" s="301">
        <f>R11/R$10</f>
        <v>4.9019607843137254E-2</v>
      </c>
      <c r="S12" s="301">
        <f>S11/S$10</f>
        <v>0.48076923076923078</v>
      </c>
      <c r="T12" s="301">
        <f>T11/T$10</f>
        <v>0.48076923076923078</v>
      </c>
      <c r="U12" s="301">
        <f t="shared" si="3"/>
        <v>0.64102564102564108</v>
      </c>
      <c r="V12" s="301">
        <f t="shared" si="3"/>
        <v>1.7555263157894734</v>
      </c>
      <c r="W12" s="301">
        <f>W11/W$10</f>
        <v>1.7555263157894734</v>
      </c>
      <c r="X12" s="301">
        <f t="shared" ref="X12:BC12" si="4">X11/X$10</f>
        <v>0.61016949152542366</v>
      </c>
      <c r="Y12" s="301">
        <f t="shared" si="4"/>
        <v>0.679245283018868</v>
      </c>
      <c r="Z12" s="301">
        <f t="shared" si="4"/>
        <v>0.74074074074074081</v>
      </c>
      <c r="AA12" s="301">
        <f t="shared" si="4"/>
        <v>0.74074074074074081</v>
      </c>
      <c r="AB12" s="301">
        <f t="shared" si="4"/>
        <v>1.5789473684210527</v>
      </c>
      <c r="AC12" s="301">
        <f t="shared" si="4"/>
        <v>1.7105263157894737</v>
      </c>
      <c r="AD12" s="301">
        <f t="shared" si="4"/>
        <v>1.9736842105263157</v>
      </c>
      <c r="AE12" s="301">
        <f t="shared" si="4"/>
        <v>2.5</v>
      </c>
      <c r="AF12" s="301">
        <f t="shared" si="4"/>
        <v>3.1578947368421053</v>
      </c>
      <c r="AG12" s="301">
        <f t="shared" si="4"/>
        <v>1.0657894736842106</v>
      </c>
      <c r="AH12" s="301">
        <f t="shared" si="4"/>
        <v>1.3157894736842106</v>
      </c>
      <c r="AI12" s="301">
        <f t="shared" si="4"/>
        <v>1.7105263157894737</v>
      </c>
      <c r="AJ12" s="301">
        <f t="shared" si="4"/>
        <v>2.1052631578947367</v>
      </c>
      <c r="AK12" s="301">
        <f t="shared" si="4"/>
        <v>2.6315789473684212</v>
      </c>
      <c r="AL12" s="301">
        <f t="shared" si="4"/>
        <v>3.5526315789473681</v>
      </c>
      <c r="AM12" s="301">
        <f t="shared" si="4"/>
        <v>4.2105263157894735</v>
      </c>
      <c r="AN12" s="301">
        <f t="shared" si="4"/>
        <v>1.6867105263157895</v>
      </c>
      <c r="AO12" s="301">
        <f t="shared" si="4"/>
        <v>2.0026315789473683</v>
      </c>
      <c r="AP12" s="301">
        <f t="shared" si="4"/>
        <v>2.0290789473684212</v>
      </c>
      <c r="AQ12" s="301">
        <f t="shared" si="4"/>
        <v>2.1868421052631577</v>
      </c>
      <c r="AR12" s="301">
        <f t="shared" si="4"/>
        <v>2.344736842105263</v>
      </c>
      <c r="AS12" s="301">
        <f t="shared" si="4"/>
        <v>2.344736842105263</v>
      </c>
      <c r="AT12" s="301">
        <f t="shared" si="4"/>
        <v>2.6618421052631582</v>
      </c>
      <c r="AU12" s="301">
        <f t="shared" si="4"/>
        <v>2.6618421052631582</v>
      </c>
      <c r="AV12" s="301">
        <f t="shared" si="4"/>
        <v>3.0039473684210529</v>
      </c>
      <c r="AW12" s="301">
        <f t="shared" si="4"/>
        <v>3.0039473684210529</v>
      </c>
      <c r="AX12" s="301">
        <f t="shared" si="4"/>
        <v>3.32</v>
      </c>
      <c r="AY12" s="301">
        <f t="shared" si="4"/>
        <v>3.32</v>
      </c>
      <c r="AZ12" s="301">
        <f t="shared" si="4"/>
        <v>3.3197368421052631</v>
      </c>
      <c r="BA12" s="301">
        <f t="shared" si="4"/>
        <v>3.6631578947368415</v>
      </c>
      <c r="BB12" s="301">
        <f t="shared" si="4"/>
        <v>3.5310526315789477</v>
      </c>
      <c r="BC12" s="301">
        <f t="shared" si="4"/>
        <v>3.6355263157894733</v>
      </c>
      <c r="BD12" s="301">
        <f t="shared" ref="BD12:BI12" si="5">BD11/BD$10</f>
        <v>0.6097560975609756</v>
      </c>
      <c r="BE12" s="301">
        <f t="shared" si="5"/>
        <v>3.388157894736842</v>
      </c>
      <c r="BF12" s="301">
        <f t="shared" si="5"/>
        <v>3.388157894736842</v>
      </c>
      <c r="BG12" s="301">
        <f t="shared" si="5"/>
        <v>1.6286644951140066</v>
      </c>
      <c r="BH12" s="301">
        <f t="shared" si="5"/>
        <v>0.92592592592592593</v>
      </c>
      <c r="BI12" s="301">
        <f t="shared" si="5"/>
        <v>0.29761904761904762</v>
      </c>
      <c r="BJ12" s="301"/>
    </row>
    <row r="13" spans="1:65" ht="13.15" customHeight="1">
      <c r="A13" s="297"/>
      <c r="B13" s="298"/>
      <c r="C13" s="299"/>
      <c r="D13" s="4030"/>
      <c r="E13" s="326"/>
      <c r="F13" s="297"/>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row>
    <row r="14" spans="1:65">
      <c r="A14" s="305"/>
      <c r="B14" s="285"/>
      <c r="C14" s="294"/>
      <c r="D14" s="4030"/>
      <c r="E14" s="323" t="str">
        <f>Sols!C$31</f>
        <v>Béton sec qualité normale</v>
      </c>
      <c r="F14" s="293"/>
      <c r="G14" s="2017"/>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row>
    <row r="15" spans="1:65">
      <c r="A15" s="305"/>
      <c r="B15" s="285"/>
      <c r="C15" s="294"/>
      <c r="D15" s="4030"/>
      <c r="E15" s="326" t="str">
        <f>Sols!C48</f>
        <v>Potentiel de diffusion dans l'air interstitiel  (rapporté à Csa)</v>
      </c>
      <c r="F15" s="297" t="str">
        <f>Sols!F48</f>
        <v>Dsa/Da</v>
      </c>
      <c r="G15" s="2020" t="str">
        <f>Sols!H48</f>
        <v>-</v>
      </c>
      <c r="H15" s="301">
        <f>Sols!$J$31</f>
        <v>5.4288352331898103E-3</v>
      </c>
      <c r="I15" s="301">
        <f>Sols!$J$31</f>
        <v>5.4288352331898103E-3</v>
      </c>
      <c r="J15" s="302">
        <f>Sols!$J$31</f>
        <v>5.4288352331898103E-3</v>
      </c>
      <c r="K15" s="302">
        <f>Sols!$J$31</f>
        <v>5.4288352331898103E-3</v>
      </c>
      <c r="L15" s="302">
        <f>Sols!$J$31</f>
        <v>5.4288352331898103E-3</v>
      </c>
      <c r="M15" s="302">
        <f>Sols!$J$31</f>
        <v>5.4288352331898103E-3</v>
      </c>
      <c r="N15" s="302">
        <f>Sols!$J$31</f>
        <v>5.4288352331898103E-3</v>
      </c>
      <c r="O15" s="302">
        <f>Sols!$J$31</f>
        <v>5.4288352331898103E-3</v>
      </c>
      <c r="P15" s="302">
        <f>Sols!$J$31</f>
        <v>5.4288352331898103E-3</v>
      </c>
      <c r="Q15" s="302">
        <f>Sols!$J$31</f>
        <v>5.4288352331898103E-3</v>
      </c>
      <c r="R15" s="302">
        <f>Sols!$J$31</f>
        <v>5.4288352331898103E-3</v>
      </c>
      <c r="S15" s="302">
        <f>Sols!$J$31</f>
        <v>5.4288352331898103E-3</v>
      </c>
      <c r="T15" s="302">
        <f>Sols!$J$31</f>
        <v>5.4288352331898103E-3</v>
      </c>
      <c r="U15" s="302">
        <f>Sols!$J$31</f>
        <v>5.4288352331898103E-3</v>
      </c>
      <c r="V15" s="302">
        <f>Sols!$J$31</f>
        <v>5.4288352331898103E-3</v>
      </c>
      <c r="W15" s="302">
        <f>Sols!$J$31</f>
        <v>5.4288352331898103E-3</v>
      </c>
      <c r="X15" s="302">
        <f>Sols!$J$31</f>
        <v>5.4288352331898103E-3</v>
      </c>
      <c r="Y15" s="302">
        <f>Sols!$J$31</f>
        <v>5.4288352331898103E-3</v>
      </c>
      <c r="Z15" s="302">
        <f>Sols!$J$31</f>
        <v>5.4288352331898103E-3</v>
      </c>
      <c r="AA15" s="302">
        <f>Sols!$J$31</f>
        <v>5.4288352331898103E-3</v>
      </c>
      <c r="AB15" s="302">
        <f>Sols!$J$31</f>
        <v>5.4288352331898103E-3</v>
      </c>
      <c r="AC15" s="302">
        <f>Sols!$J$31</f>
        <v>5.4288352331898103E-3</v>
      </c>
      <c r="AD15" s="302">
        <f>Sols!$J$31</f>
        <v>5.4288352331898103E-3</v>
      </c>
      <c r="AE15" s="302">
        <f>Sols!$J$31</f>
        <v>5.4288352331898103E-3</v>
      </c>
      <c r="AF15" s="302">
        <f>Sols!$J$31</f>
        <v>5.4288352331898103E-3</v>
      </c>
      <c r="AG15" s="302">
        <f>Sols!$J$31</f>
        <v>5.4288352331898103E-3</v>
      </c>
      <c r="AH15" s="302">
        <f>Sols!$J$31</f>
        <v>5.4288352331898103E-3</v>
      </c>
      <c r="AI15" s="302">
        <f>Sols!$J$31</f>
        <v>5.4288352331898103E-3</v>
      </c>
      <c r="AJ15" s="302">
        <f>Sols!$J$31</f>
        <v>5.4288352331898103E-3</v>
      </c>
      <c r="AK15" s="302">
        <f>Sols!$J$31</f>
        <v>5.4288352331898103E-3</v>
      </c>
      <c r="AL15" s="302">
        <f>Sols!$J$31</f>
        <v>5.4288352331898103E-3</v>
      </c>
      <c r="AM15" s="302">
        <f>Sols!$J$31</f>
        <v>5.4288352331898103E-3</v>
      </c>
      <c r="AN15" s="302">
        <f>Sols!$J$31</f>
        <v>5.4288352331898103E-3</v>
      </c>
      <c r="AO15" s="302">
        <f>Sols!$J$31</f>
        <v>5.4288352331898103E-3</v>
      </c>
      <c r="AP15" s="302">
        <f>Sols!$J$31</f>
        <v>5.4288352331898103E-3</v>
      </c>
      <c r="AQ15" s="302">
        <f>Sols!$J$31</f>
        <v>5.4288352331898103E-3</v>
      </c>
      <c r="AR15" s="302">
        <f>Sols!$J$31</f>
        <v>5.4288352331898103E-3</v>
      </c>
      <c r="AS15" s="302">
        <f>Sols!$J$31</f>
        <v>5.4288352331898103E-3</v>
      </c>
      <c r="AT15" s="302">
        <f>Sols!$J$31</f>
        <v>5.4288352331898103E-3</v>
      </c>
      <c r="AU15" s="302">
        <f>Sols!$J$31</f>
        <v>5.4288352331898103E-3</v>
      </c>
      <c r="AV15" s="302">
        <f>Sols!$J$31</f>
        <v>5.4288352331898103E-3</v>
      </c>
      <c r="AW15" s="302">
        <f>Sols!$J$31</f>
        <v>5.4288352331898103E-3</v>
      </c>
      <c r="AX15" s="302">
        <f>Sols!$J$31</f>
        <v>5.4288352331898103E-3</v>
      </c>
      <c r="AY15" s="302">
        <f>Sols!$J$31</f>
        <v>5.4288352331898103E-3</v>
      </c>
      <c r="AZ15" s="302">
        <f>Sols!$J$31</f>
        <v>5.4288352331898103E-3</v>
      </c>
      <c r="BA15" s="302">
        <f>Sols!$J$31</f>
        <v>5.4288352331898103E-3</v>
      </c>
      <c r="BB15" s="302">
        <f>Sols!$J$31</f>
        <v>5.4288352331898103E-3</v>
      </c>
      <c r="BC15" s="302">
        <f>Sols!$J$31</f>
        <v>5.4288352331898103E-3</v>
      </c>
      <c r="BD15" s="302">
        <f>Sols!$J$31</f>
        <v>5.4288352331898103E-3</v>
      </c>
      <c r="BE15" s="302">
        <f>Sols!$J$31</f>
        <v>5.4288352331898103E-3</v>
      </c>
      <c r="BF15" s="302">
        <f>Sols!$J$31</f>
        <v>5.4288352331898103E-3</v>
      </c>
      <c r="BG15" s="302">
        <f>Sols!$J$31</f>
        <v>5.4288352331898103E-3</v>
      </c>
      <c r="BH15" s="302">
        <f>Sols!$J$31</f>
        <v>5.4288352331898103E-3</v>
      </c>
      <c r="BI15" s="302">
        <f>Sols!$J$31</f>
        <v>5.4288352331898103E-3</v>
      </c>
      <c r="BJ15" s="302"/>
      <c r="BK15" s="286" t="s">
        <v>1098</v>
      </c>
    </row>
    <row r="16" spans="1:65">
      <c r="A16" s="305"/>
      <c r="B16" s="285"/>
      <c r="C16" s="294"/>
      <c r="D16" s="4030"/>
      <c r="E16" s="326" t="str">
        <f>Sols!C49</f>
        <v>Potentiel de diffusion dans l'eau interstitielle (rapporté à Cpw)</v>
      </c>
      <c r="F16" s="297" t="str">
        <f>Sols!F49</f>
        <v>Dpw/Dw</v>
      </c>
      <c r="G16" s="2020" t="str">
        <f>Sols!H49</f>
        <v>-</v>
      </c>
      <c r="H16" s="301">
        <f>Sols!$K$31</f>
        <v>0</v>
      </c>
      <c r="I16" s="301">
        <f>Sols!$K$31</f>
        <v>0</v>
      </c>
      <c r="J16" s="302">
        <f>Sols!$K$31</f>
        <v>0</v>
      </c>
      <c r="K16" s="302">
        <f>Sols!$K$31</f>
        <v>0</v>
      </c>
      <c r="L16" s="302">
        <f>Sols!$K$31</f>
        <v>0</v>
      </c>
      <c r="M16" s="302">
        <f>Sols!$K$31</f>
        <v>0</v>
      </c>
      <c r="N16" s="302">
        <f>Sols!$K$31</f>
        <v>0</v>
      </c>
      <c r="O16" s="302">
        <f>Sols!$K$31</f>
        <v>0</v>
      </c>
      <c r="P16" s="302">
        <f>Sols!$K$31</f>
        <v>0</v>
      </c>
      <c r="Q16" s="302">
        <f>Sols!$K$31</f>
        <v>0</v>
      </c>
      <c r="R16" s="302">
        <f>Sols!$K$31</f>
        <v>0</v>
      </c>
      <c r="S16" s="302">
        <f>Sols!$K$31</f>
        <v>0</v>
      </c>
      <c r="T16" s="302">
        <f>Sols!$K$31</f>
        <v>0</v>
      </c>
      <c r="U16" s="302">
        <f>Sols!$K$31</f>
        <v>0</v>
      </c>
      <c r="V16" s="302">
        <f>Sols!$K$31</f>
        <v>0</v>
      </c>
      <c r="W16" s="302">
        <f>Sols!$K$31</f>
        <v>0</v>
      </c>
      <c r="X16" s="302">
        <f>Sols!$K$31</f>
        <v>0</v>
      </c>
      <c r="Y16" s="302">
        <f>Sols!$K$31</f>
        <v>0</v>
      </c>
      <c r="Z16" s="302">
        <f>Sols!$K$31</f>
        <v>0</v>
      </c>
      <c r="AA16" s="302">
        <f>Sols!$K$31</f>
        <v>0</v>
      </c>
      <c r="AB16" s="302">
        <f>Sols!$K$31</f>
        <v>0</v>
      </c>
      <c r="AC16" s="302">
        <f>Sols!$K$31</f>
        <v>0</v>
      </c>
      <c r="AD16" s="302">
        <f>Sols!$K$31</f>
        <v>0</v>
      </c>
      <c r="AE16" s="302">
        <f>Sols!$K$31</f>
        <v>0</v>
      </c>
      <c r="AF16" s="302">
        <f>Sols!$K$31</f>
        <v>0</v>
      </c>
      <c r="AG16" s="302">
        <f>Sols!$K$31</f>
        <v>0</v>
      </c>
      <c r="AH16" s="302">
        <f>Sols!$K$31</f>
        <v>0</v>
      </c>
      <c r="AI16" s="302">
        <f>Sols!$K$31</f>
        <v>0</v>
      </c>
      <c r="AJ16" s="302">
        <f>Sols!$K$31</f>
        <v>0</v>
      </c>
      <c r="AK16" s="302">
        <f>Sols!$K$31</f>
        <v>0</v>
      </c>
      <c r="AL16" s="302">
        <f>Sols!$K$31</f>
        <v>0</v>
      </c>
      <c r="AM16" s="302">
        <f>Sols!$K$31</f>
        <v>0</v>
      </c>
      <c r="AN16" s="302">
        <f>Sols!$K$31</f>
        <v>0</v>
      </c>
      <c r="AO16" s="302">
        <f>Sols!$K$31</f>
        <v>0</v>
      </c>
      <c r="AP16" s="302">
        <f>Sols!$K$31</f>
        <v>0</v>
      </c>
      <c r="AQ16" s="302">
        <f>Sols!$K$31</f>
        <v>0</v>
      </c>
      <c r="AR16" s="302">
        <f>Sols!$K$31</f>
        <v>0</v>
      </c>
      <c r="AS16" s="302">
        <f>Sols!$K$31</f>
        <v>0</v>
      </c>
      <c r="AT16" s="302">
        <f>Sols!$K$31</f>
        <v>0</v>
      </c>
      <c r="AU16" s="302">
        <f>Sols!$K$31</f>
        <v>0</v>
      </c>
      <c r="AV16" s="302">
        <f>Sols!$K$31</f>
        <v>0</v>
      </c>
      <c r="AW16" s="302">
        <f>Sols!$K$31</f>
        <v>0</v>
      </c>
      <c r="AX16" s="302">
        <f>Sols!$K$31</f>
        <v>0</v>
      </c>
      <c r="AY16" s="302">
        <f>Sols!$K$31</f>
        <v>0</v>
      </c>
      <c r="AZ16" s="302">
        <f>Sols!$K$31</f>
        <v>0</v>
      </c>
      <c r="BA16" s="302">
        <f>Sols!$K$31</f>
        <v>0</v>
      </c>
      <c r="BB16" s="302">
        <f>Sols!$K$31</f>
        <v>0</v>
      </c>
      <c r="BC16" s="302">
        <f>Sols!$K$31</f>
        <v>0</v>
      </c>
      <c r="BD16" s="302">
        <f>Sols!$K$31</f>
        <v>0</v>
      </c>
      <c r="BE16" s="302">
        <f>Sols!$K$31</f>
        <v>0</v>
      </c>
      <c r="BF16" s="302">
        <f>Sols!$K$31</f>
        <v>0</v>
      </c>
      <c r="BG16" s="302">
        <f>Sols!$K$31</f>
        <v>0</v>
      </c>
      <c r="BH16" s="302">
        <f>Sols!$K$31</f>
        <v>0</v>
      </c>
      <c r="BI16" s="302">
        <f>Sols!$K$31</f>
        <v>0</v>
      </c>
      <c r="BJ16" s="302"/>
      <c r="BK16" s="286" t="s">
        <v>1098</v>
      </c>
    </row>
    <row r="17" spans="1:63">
      <c r="A17" s="305"/>
      <c r="B17" s="285"/>
      <c r="C17" s="294"/>
      <c r="D17" s="4030"/>
      <c r="E17" s="2021" t="s">
        <v>239</v>
      </c>
      <c r="F17" s="303" t="s">
        <v>240</v>
      </c>
      <c r="G17" s="2022" t="str">
        <f>Substances!$G$24</f>
        <v>(mg/m2/s)/(mg/l/m)</v>
      </c>
      <c r="H17" s="304">
        <f t="shared" ref="H17:V17" si="6">H$4*H15+H$5*H16/H$3</f>
        <v>2.7832668491798809E-5</v>
      </c>
      <c r="I17" s="304">
        <f>I$4*I15+I$5*I16/I$3</f>
        <v>2.7832668491798809E-5</v>
      </c>
      <c r="J17" s="304">
        <f>J$4*J15+J$5*J16/J$3</f>
        <v>2.8608478555153626E-5</v>
      </c>
      <c r="K17" s="304">
        <f t="shared" si="6"/>
        <v>5.7545653471811987E-5</v>
      </c>
      <c r="L17" s="304">
        <f t="shared" si="6"/>
        <v>3.9956227316277003E-5</v>
      </c>
      <c r="M17" s="304">
        <f t="shared" si="6"/>
        <v>3.9956227316277003E-5</v>
      </c>
      <c r="N17" s="304">
        <f>N$4*N15+N$5*N16/N$3</f>
        <v>4.2887798342199502E-5</v>
      </c>
      <c r="O17" s="304">
        <f>O$4*O15+O$5*O16/O$3</f>
        <v>4.2887798342199502E-5</v>
      </c>
      <c r="P17" s="304">
        <f t="shared" si="6"/>
        <v>3.9087613678966632E-5</v>
      </c>
      <c r="Q17" s="304">
        <f t="shared" si="6"/>
        <v>3.9087613678966632E-5</v>
      </c>
      <c r="R17" s="304">
        <f>R$4*R15+R$5*R16/R$3</f>
        <v>5.5374119378536065E-4</v>
      </c>
      <c r="S17" s="304">
        <f>S$4*S15+S$5*S16/S$3</f>
        <v>5.6459886425174022E-5</v>
      </c>
      <c r="T17" s="304">
        <f>T$4*T15+T$5*T16/T$3</f>
        <v>5.6459886425174022E-5</v>
      </c>
      <c r="U17" s="304">
        <f t="shared" si="6"/>
        <v>4.234491481888052E-5</v>
      </c>
      <c r="V17" s="304">
        <f t="shared" si="6"/>
        <v>1.5462130030071416E-5</v>
      </c>
      <c r="W17" s="304">
        <f>W$4*W15+W$5*W16/W$3</f>
        <v>1.5462130030071416E-5</v>
      </c>
      <c r="X17" s="304">
        <f t="shared" ref="X17:BC17" si="7">X$4*X15+X$5*X16/X$3</f>
        <v>4.4486288716416504E-5</v>
      </c>
      <c r="Y17" s="304">
        <f t="shared" si="7"/>
        <v>3.9962259355424989E-5</v>
      </c>
      <c r="Z17" s="304">
        <f t="shared" si="7"/>
        <v>3.6644637824031218E-5</v>
      </c>
      <c r="AA17" s="304">
        <f t="shared" si="7"/>
        <v>3.6644637824031218E-5</v>
      </c>
      <c r="AB17" s="304">
        <f t="shared" si="7"/>
        <v>1.7191311571767734E-5</v>
      </c>
      <c r="AC17" s="304">
        <f t="shared" si="7"/>
        <v>1.5868902989324062E-5</v>
      </c>
      <c r="AD17" s="304">
        <f t="shared" si="7"/>
        <v>1.3753049257414188E-5</v>
      </c>
      <c r="AE17" s="304">
        <f t="shared" si="7"/>
        <v>1.0857670466379621E-5</v>
      </c>
      <c r="AF17" s="304">
        <f t="shared" si="7"/>
        <v>8.5956557858838668E-6</v>
      </c>
      <c r="AG17" s="304">
        <f t="shared" si="7"/>
        <v>2.5468609735952196E-5</v>
      </c>
      <c r="AH17" s="304">
        <f t="shared" si="7"/>
        <v>2.0629573886121277E-5</v>
      </c>
      <c r="AI17" s="304">
        <f t="shared" si="7"/>
        <v>1.5868902989324062E-5</v>
      </c>
      <c r="AJ17" s="304">
        <f t="shared" si="7"/>
        <v>1.2893483678825798E-5</v>
      </c>
      <c r="AK17" s="304">
        <f t="shared" si="7"/>
        <v>1.0314786943060639E-5</v>
      </c>
      <c r="AL17" s="304">
        <f t="shared" si="7"/>
        <v>7.6405829207856595E-6</v>
      </c>
      <c r="AM17" s="304">
        <f t="shared" si="7"/>
        <v>6.4467418394128992E-6</v>
      </c>
      <c r="AN17" s="304">
        <f t="shared" si="7"/>
        <v>1.6092966601233544E-5</v>
      </c>
      <c r="AO17" s="304">
        <f t="shared" si="7"/>
        <v>1.3554253538844468E-5</v>
      </c>
      <c r="AP17" s="304">
        <f t="shared" si="7"/>
        <v>1.3377585037365462E-5</v>
      </c>
      <c r="AQ17" s="304">
        <f t="shared" si="7"/>
        <v>1.2412499329796199E-5</v>
      </c>
      <c r="AR17" s="304">
        <f t="shared" si="7"/>
        <v>1.1576640789069181E-5</v>
      </c>
      <c r="AS17" s="304">
        <f t="shared" si="7"/>
        <v>1.1576640789069181E-5</v>
      </c>
      <c r="AT17" s="304">
        <f t="shared" si="7"/>
        <v>1.0197515514642253E-5</v>
      </c>
      <c r="AU17" s="304">
        <f t="shared" si="7"/>
        <v>1.0197515514642253E-5</v>
      </c>
      <c r="AV17" s="304">
        <f t="shared" si="7"/>
        <v>9.0361690258963114E-6</v>
      </c>
      <c r="AW17" s="304">
        <f t="shared" si="7"/>
        <v>9.0361690258963114E-6</v>
      </c>
      <c r="AX17" s="304">
        <f t="shared" si="7"/>
        <v>8.1759566764906787E-6</v>
      </c>
      <c r="AY17" s="304">
        <f t="shared" si="7"/>
        <v>8.1759566764906787E-6</v>
      </c>
      <c r="AZ17" s="304">
        <f t="shared" si="7"/>
        <v>8.1766047903770427E-6</v>
      </c>
      <c r="BA17" s="304">
        <f t="shared" si="7"/>
        <v>7.4100480912791959E-6</v>
      </c>
      <c r="BB17" s="304">
        <f t="shared" si="7"/>
        <v>7.6872760046658516E-6</v>
      </c>
      <c r="BC17" s="304">
        <f t="shared" si="7"/>
        <v>7.4663676750348469E-6</v>
      </c>
      <c r="BD17" s="304">
        <f t="shared" ref="BD17:BI17" si="8">BD$4*BD15+BD$5*BD16/BD$3</f>
        <v>4.4516448912156449E-5</v>
      </c>
      <c r="BE17" s="304">
        <f t="shared" si="8"/>
        <v>8.0114850043189432E-6</v>
      </c>
      <c r="BF17" s="304">
        <f t="shared" si="8"/>
        <v>8.0114850043189432E-6</v>
      </c>
      <c r="BG17" s="304">
        <f t="shared" si="8"/>
        <v>1.6666524165892717E-5</v>
      </c>
      <c r="BH17" s="304">
        <f t="shared" si="8"/>
        <v>2.9315710259224976E-5</v>
      </c>
      <c r="BI17" s="304">
        <f t="shared" si="8"/>
        <v>9.1204431917588801E-5</v>
      </c>
      <c r="BJ17" s="304"/>
    </row>
    <row r="18" spans="1:63">
      <c r="A18" s="305"/>
      <c r="B18" s="285"/>
      <c r="C18" s="294"/>
      <c r="D18" s="4030"/>
      <c r="E18" s="326" t="str">
        <f>Sols!P35</f>
        <v>Conductivité à l'air</v>
      </c>
      <c r="F18" s="293" t="str">
        <f>Sols!S35</f>
        <v>K</v>
      </c>
      <c r="G18" s="2017" t="str">
        <f>Sols!T35</f>
        <v>m3/m/Pa/s</v>
      </c>
      <c r="H18" s="302">
        <f>Sols!$U31</f>
        <v>1.1368210220849668E-6</v>
      </c>
      <c r="I18" s="302">
        <f>Sols!$U31</f>
        <v>1.1368210220849668E-6</v>
      </c>
      <c r="J18" s="302">
        <f>Sols!$U31</f>
        <v>1.1368210220849668E-6</v>
      </c>
      <c r="K18" s="302">
        <f>Sols!$U31</f>
        <v>1.1368210220849668E-6</v>
      </c>
      <c r="L18" s="302">
        <f>Sols!$U31</f>
        <v>1.1368210220849668E-6</v>
      </c>
      <c r="M18" s="302">
        <f>Sols!$U31</f>
        <v>1.1368210220849668E-6</v>
      </c>
      <c r="N18" s="302">
        <f>Sols!$U31</f>
        <v>1.1368210220849668E-6</v>
      </c>
      <c r="O18" s="302">
        <f>Sols!$U31</f>
        <v>1.1368210220849668E-6</v>
      </c>
      <c r="P18" s="302">
        <f>Sols!$U31</f>
        <v>1.1368210220849668E-6</v>
      </c>
      <c r="Q18" s="302">
        <f>Sols!$U31</f>
        <v>1.1368210220849668E-6</v>
      </c>
      <c r="R18" s="302">
        <f>Sols!$U31</f>
        <v>1.1368210220849668E-6</v>
      </c>
      <c r="S18" s="302">
        <f>Sols!$U31</f>
        <v>1.1368210220849668E-6</v>
      </c>
      <c r="T18" s="302">
        <f>Sols!$U31</f>
        <v>1.1368210220849668E-6</v>
      </c>
      <c r="U18" s="302">
        <f>Sols!$U31</f>
        <v>1.1368210220849668E-6</v>
      </c>
      <c r="V18" s="302">
        <f>Sols!$U31</f>
        <v>1.1368210220849668E-6</v>
      </c>
      <c r="W18" s="302">
        <f>Sols!$U31</f>
        <v>1.1368210220849668E-6</v>
      </c>
      <c r="X18" s="302">
        <f>Sols!$U31</f>
        <v>1.1368210220849668E-6</v>
      </c>
      <c r="Y18" s="302">
        <f>Sols!$U31</f>
        <v>1.1368210220849668E-6</v>
      </c>
      <c r="Z18" s="302">
        <f>Sols!$U31</f>
        <v>1.1368210220849668E-6</v>
      </c>
      <c r="AA18" s="302">
        <f>Sols!$U31</f>
        <v>1.1368210220849668E-6</v>
      </c>
      <c r="AB18" s="302">
        <f>Sols!$U31</f>
        <v>1.1368210220849668E-6</v>
      </c>
      <c r="AC18" s="302">
        <f>Sols!$U31</f>
        <v>1.1368210220849668E-6</v>
      </c>
      <c r="AD18" s="302">
        <f>Sols!$U31</f>
        <v>1.1368210220849668E-6</v>
      </c>
      <c r="AE18" s="302">
        <f>Sols!$U31</f>
        <v>1.1368210220849668E-6</v>
      </c>
      <c r="AF18" s="302">
        <f>Sols!$U31</f>
        <v>1.1368210220849668E-6</v>
      </c>
      <c r="AG18" s="302">
        <f>Sols!$U31</f>
        <v>1.1368210220849668E-6</v>
      </c>
      <c r="AH18" s="302">
        <f>Sols!$U31</f>
        <v>1.1368210220849668E-6</v>
      </c>
      <c r="AI18" s="302">
        <f>Sols!$U31</f>
        <v>1.1368210220849668E-6</v>
      </c>
      <c r="AJ18" s="302">
        <f>Sols!$U31</f>
        <v>1.1368210220849668E-6</v>
      </c>
      <c r="AK18" s="302">
        <f>Sols!$U31</f>
        <v>1.1368210220849668E-6</v>
      </c>
      <c r="AL18" s="302">
        <f>Sols!$U31</f>
        <v>1.1368210220849668E-6</v>
      </c>
      <c r="AM18" s="302">
        <f>Sols!$U31</f>
        <v>1.1368210220849668E-6</v>
      </c>
      <c r="AN18" s="302">
        <f>Sols!$U31</f>
        <v>1.1368210220849668E-6</v>
      </c>
      <c r="AO18" s="302">
        <f>Sols!$U31</f>
        <v>1.1368210220849668E-6</v>
      </c>
      <c r="AP18" s="302">
        <f>Sols!$U31</f>
        <v>1.1368210220849668E-6</v>
      </c>
      <c r="AQ18" s="302">
        <f>Sols!$U31</f>
        <v>1.1368210220849668E-6</v>
      </c>
      <c r="AR18" s="302">
        <f>Sols!$U31</f>
        <v>1.1368210220849668E-6</v>
      </c>
      <c r="AS18" s="302">
        <f>Sols!$U31</f>
        <v>1.1368210220849668E-6</v>
      </c>
      <c r="AT18" s="302">
        <f>Sols!$U31</f>
        <v>1.1368210220849668E-6</v>
      </c>
      <c r="AU18" s="302">
        <f>Sols!$U31</f>
        <v>1.1368210220849668E-6</v>
      </c>
      <c r="AV18" s="302">
        <f>Sols!$U31</f>
        <v>1.1368210220849668E-6</v>
      </c>
      <c r="AW18" s="302">
        <f>Sols!$U31</f>
        <v>1.1368210220849668E-6</v>
      </c>
      <c r="AX18" s="302">
        <f>Sols!$U31</f>
        <v>1.1368210220849668E-6</v>
      </c>
      <c r="AY18" s="302">
        <f>Sols!$U31</f>
        <v>1.1368210220849668E-6</v>
      </c>
      <c r="AZ18" s="302">
        <f>Sols!$U31</f>
        <v>1.1368210220849668E-6</v>
      </c>
      <c r="BA18" s="302">
        <f>Sols!$U31</f>
        <v>1.1368210220849668E-6</v>
      </c>
      <c r="BB18" s="302">
        <f>Sols!$U31</f>
        <v>1.1368210220849668E-6</v>
      </c>
      <c r="BC18" s="302">
        <f>Sols!$U31</f>
        <v>1.1368210220849668E-6</v>
      </c>
      <c r="BD18" s="302">
        <f>Sols!$U31</f>
        <v>1.1368210220849668E-6</v>
      </c>
      <c r="BE18" s="302">
        <f>Sols!$U31</f>
        <v>1.1368210220849668E-6</v>
      </c>
      <c r="BF18" s="302">
        <f>Sols!$U31</f>
        <v>1.1368210220849668E-6</v>
      </c>
      <c r="BG18" s="302">
        <f>Sols!$U31</f>
        <v>1.1368210220849668E-6</v>
      </c>
      <c r="BH18" s="302">
        <f>Sols!$U31</f>
        <v>1.1368210220849668E-6</v>
      </c>
      <c r="BI18" s="302">
        <f>Sols!$U31</f>
        <v>1.1368210220849668E-6</v>
      </c>
      <c r="BJ18" s="302"/>
    </row>
    <row r="19" spans="1:63">
      <c r="A19" s="305"/>
      <c r="B19" s="285"/>
      <c r="C19" s="294"/>
      <c r="D19" s="4030"/>
      <c r="E19" s="326"/>
      <c r="F19" s="293"/>
      <c r="G19" s="2017"/>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row>
    <row r="20" spans="1:63">
      <c r="A20" s="305"/>
      <c r="B20" s="285"/>
      <c r="C20" s="294"/>
      <c r="D20" s="4030"/>
      <c r="E20" s="323" t="str">
        <f>Sols!C14</f>
        <v>Limon sableux pelouse</v>
      </c>
      <c r="F20" s="306"/>
      <c r="G20" s="2017"/>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6"/>
    </row>
    <row r="21" spans="1:63">
      <c r="A21" s="305"/>
      <c r="B21" s="285"/>
      <c r="C21" s="294"/>
      <c r="D21" s="4030"/>
      <c r="E21" s="326" t="str">
        <f>Sols!C48</f>
        <v>Potentiel de diffusion dans l'air interstitiel  (rapporté à Csa)</v>
      </c>
      <c r="F21" s="297" t="str">
        <f>Sols!F48</f>
        <v>Dsa/Da</v>
      </c>
      <c r="G21" s="2020" t="str">
        <f>Sols!H48</f>
        <v>-</v>
      </c>
      <c r="H21" s="301">
        <f>Sols!$J$14</f>
        <v>4.0174975453388599E-2</v>
      </c>
      <c r="I21" s="301">
        <f>Sols!$J$14</f>
        <v>4.0174975453388599E-2</v>
      </c>
      <c r="J21" s="302">
        <f>Sols!$J$14</f>
        <v>4.0174975453388599E-2</v>
      </c>
      <c r="K21" s="302">
        <f>Sols!$J$14</f>
        <v>4.0174975453388599E-2</v>
      </c>
      <c r="L21" s="302">
        <f>Sols!$J$14</f>
        <v>4.0174975453388599E-2</v>
      </c>
      <c r="M21" s="302">
        <f>Sols!$J$14</f>
        <v>4.0174975453388599E-2</v>
      </c>
      <c r="N21" s="302">
        <f>Sols!$J$14</f>
        <v>4.0174975453388599E-2</v>
      </c>
      <c r="O21" s="302">
        <f>Sols!$J$14</f>
        <v>4.0174975453388599E-2</v>
      </c>
      <c r="P21" s="302">
        <f>Sols!$J$14</f>
        <v>4.0174975453388599E-2</v>
      </c>
      <c r="Q21" s="302">
        <f>Sols!$J$14</f>
        <v>4.0174975453388599E-2</v>
      </c>
      <c r="R21" s="302">
        <f>Sols!$J$14</f>
        <v>4.0174975453388599E-2</v>
      </c>
      <c r="S21" s="302">
        <f>Sols!$J$14</f>
        <v>4.0174975453388599E-2</v>
      </c>
      <c r="T21" s="302">
        <f>Sols!$J$14</f>
        <v>4.0174975453388599E-2</v>
      </c>
      <c r="U21" s="302">
        <f>Sols!$J$14</f>
        <v>4.0174975453388599E-2</v>
      </c>
      <c r="V21" s="302">
        <f>Sols!$J$14</f>
        <v>4.0174975453388599E-2</v>
      </c>
      <c r="W21" s="302">
        <f>Sols!$J$14</f>
        <v>4.0174975453388599E-2</v>
      </c>
      <c r="X21" s="302">
        <f>Sols!$J$14</f>
        <v>4.0174975453388599E-2</v>
      </c>
      <c r="Y21" s="302">
        <f>Sols!$J$14</f>
        <v>4.0174975453388599E-2</v>
      </c>
      <c r="Z21" s="302">
        <f>Sols!$J$14</f>
        <v>4.0174975453388599E-2</v>
      </c>
      <c r="AA21" s="302">
        <f>Sols!$J$14</f>
        <v>4.0174975453388599E-2</v>
      </c>
      <c r="AB21" s="302">
        <f>Sols!$J$14</f>
        <v>4.0174975453388599E-2</v>
      </c>
      <c r="AC21" s="302">
        <f>Sols!$J$14</f>
        <v>4.0174975453388599E-2</v>
      </c>
      <c r="AD21" s="302">
        <f>Sols!$J$14</f>
        <v>4.0174975453388599E-2</v>
      </c>
      <c r="AE21" s="302">
        <f>Sols!$J$14</f>
        <v>4.0174975453388599E-2</v>
      </c>
      <c r="AF21" s="302">
        <f>Sols!$J$14</f>
        <v>4.0174975453388599E-2</v>
      </c>
      <c r="AG21" s="302">
        <f>Sols!$J$14</f>
        <v>4.0174975453388599E-2</v>
      </c>
      <c r="AH21" s="302">
        <f>Sols!$J$14</f>
        <v>4.0174975453388599E-2</v>
      </c>
      <c r="AI21" s="302">
        <f>Sols!$J$14</f>
        <v>4.0174975453388599E-2</v>
      </c>
      <c r="AJ21" s="302">
        <f>Sols!$J$14</f>
        <v>4.0174975453388599E-2</v>
      </c>
      <c r="AK21" s="302">
        <f>Sols!$J$14</f>
        <v>4.0174975453388599E-2</v>
      </c>
      <c r="AL21" s="302">
        <f>Sols!$J$14</f>
        <v>4.0174975453388599E-2</v>
      </c>
      <c r="AM21" s="302">
        <f>Sols!$J$14</f>
        <v>4.0174975453388599E-2</v>
      </c>
      <c r="AN21" s="302">
        <f>Sols!$J$14</f>
        <v>4.0174975453388599E-2</v>
      </c>
      <c r="AO21" s="302">
        <f>Sols!$J$14</f>
        <v>4.0174975453388599E-2</v>
      </c>
      <c r="AP21" s="302">
        <f>Sols!$J$14</f>
        <v>4.0174975453388599E-2</v>
      </c>
      <c r="AQ21" s="302">
        <f>Sols!$J$14</f>
        <v>4.0174975453388599E-2</v>
      </c>
      <c r="AR21" s="302">
        <f>Sols!$J$14</f>
        <v>4.0174975453388599E-2</v>
      </c>
      <c r="AS21" s="302">
        <f>Sols!$J$14</f>
        <v>4.0174975453388599E-2</v>
      </c>
      <c r="AT21" s="302">
        <f>Sols!$J$14</f>
        <v>4.0174975453388599E-2</v>
      </c>
      <c r="AU21" s="302">
        <f>Sols!$J$14</f>
        <v>4.0174975453388599E-2</v>
      </c>
      <c r="AV21" s="302">
        <f>Sols!$J$14</f>
        <v>4.0174975453388599E-2</v>
      </c>
      <c r="AW21" s="302">
        <f>Sols!$J$14</f>
        <v>4.0174975453388599E-2</v>
      </c>
      <c r="AX21" s="302">
        <f>Sols!$J$14</f>
        <v>4.0174975453388599E-2</v>
      </c>
      <c r="AY21" s="302">
        <f>Sols!$J$14</f>
        <v>4.0174975453388599E-2</v>
      </c>
      <c r="AZ21" s="302">
        <f>Sols!$J$14</f>
        <v>4.0174975453388599E-2</v>
      </c>
      <c r="BA21" s="302">
        <f>Sols!$J$14</f>
        <v>4.0174975453388599E-2</v>
      </c>
      <c r="BB21" s="302">
        <f>Sols!$J$14</f>
        <v>4.0174975453388599E-2</v>
      </c>
      <c r="BC21" s="302">
        <f>Sols!$J$14</f>
        <v>4.0174975453388599E-2</v>
      </c>
      <c r="BD21" s="302">
        <f>Sols!$J$14</f>
        <v>4.0174975453388599E-2</v>
      </c>
      <c r="BE21" s="302">
        <f>Sols!$J$14</f>
        <v>4.0174975453388599E-2</v>
      </c>
      <c r="BF21" s="302">
        <f>Sols!$J$14</f>
        <v>4.0174975453388599E-2</v>
      </c>
      <c r="BG21" s="302">
        <f>Sols!$J$14</f>
        <v>4.0174975453388599E-2</v>
      </c>
      <c r="BH21" s="302">
        <f>Sols!$J$14</f>
        <v>4.0174975453388599E-2</v>
      </c>
      <c r="BI21" s="302">
        <f>Sols!$J$14</f>
        <v>4.0174975453388599E-2</v>
      </c>
      <c r="BJ21" s="302"/>
      <c r="BK21" s="286" t="s">
        <v>1098</v>
      </c>
    </row>
    <row r="22" spans="1:63">
      <c r="A22" s="305"/>
      <c r="B22" s="285"/>
      <c r="C22" s="294"/>
      <c r="D22" s="4030"/>
      <c r="E22" s="326" t="str">
        <f>Sols!C49</f>
        <v>Potentiel de diffusion dans l'eau interstitielle (rapporté à Cpw)</v>
      </c>
      <c r="F22" s="297" t="str">
        <f>Sols!F49</f>
        <v>Dpw/Dw</v>
      </c>
      <c r="G22" s="2020" t="str">
        <f>Sols!H49</f>
        <v>-</v>
      </c>
      <c r="H22" s="301">
        <f>Sols!$K$14</f>
        <v>2.0580457951628085E-2</v>
      </c>
      <c r="I22" s="301">
        <f>Sols!$K$14</f>
        <v>2.0580457951628085E-2</v>
      </c>
      <c r="J22" s="302">
        <f>Sols!$K$14</f>
        <v>2.0580457951628085E-2</v>
      </c>
      <c r="K22" s="302">
        <f>Sols!$K$14</f>
        <v>2.0580457951628085E-2</v>
      </c>
      <c r="L22" s="302">
        <f>Sols!$K$14</f>
        <v>2.0580457951628085E-2</v>
      </c>
      <c r="M22" s="302">
        <f>Sols!$K$14</f>
        <v>2.0580457951628085E-2</v>
      </c>
      <c r="N22" s="302">
        <f>Sols!$K$14</f>
        <v>2.0580457951628085E-2</v>
      </c>
      <c r="O22" s="302">
        <f>Sols!$K$14</f>
        <v>2.0580457951628085E-2</v>
      </c>
      <c r="P22" s="302">
        <f>Sols!$K$14</f>
        <v>2.0580457951628085E-2</v>
      </c>
      <c r="Q22" s="302">
        <f>Sols!$K$14</f>
        <v>2.0580457951628085E-2</v>
      </c>
      <c r="R22" s="302">
        <f>Sols!$K$14</f>
        <v>2.0580457951628085E-2</v>
      </c>
      <c r="S22" s="302">
        <f>Sols!$K$14</f>
        <v>2.0580457951628085E-2</v>
      </c>
      <c r="T22" s="302">
        <f>Sols!$K$14</f>
        <v>2.0580457951628085E-2</v>
      </c>
      <c r="U22" s="302">
        <f>Sols!$K$14</f>
        <v>2.0580457951628085E-2</v>
      </c>
      <c r="V22" s="302">
        <f>Sols!$K$14</f>
        <v>2.0580457951628085E-2</v>
      </c>
      <c r="W22" s="302">
        <f>Sols!$K$14</f>
        <v>2.0580457951628085E-2</v>
      </c>
      <c r="X22" s="302">
        <f>Sols!$K$14</f>
        <v>2.0580457951628085E-2</v>
      </c>
      <c r="Y22" s="302">
        <f>Sols!$K$14</f>
        <v>2.0580457951628085E-2</v>
      </c>
      <c r="Z22" s="302">
        <f>Sols!$K$14</f>
        <v>2.0580457951628085E-2</v>
      </c>
      <c r="AA22" s="302">
        <f>Sols!$K$14</f>
        <v>2.0580457951628085E-2</v>
      </c>
      <c r="AB22" s="302">
        <f>Sols!$K$14</f>
        <v>2.0580457951628085E-2</v>
      </c>
      <c r="AC22" s="302">
        <f>Sols!$K$14</f>
        <v>2.0580457951628085E-2</v>
      </c>
      <c r="AD22" s="302">
        <f>Sols!$K$14</f>
        <v>2.0580457951628085E-2</v>
      </c>
      <c r="AE22" s="302">
        <f>Sols!$K$14</f>
        <v>2.0580457951628085E-2</v>
      </c>
      <c r="AF22" s="302">
        <f>Sols!$K$14</f>
        <v>2.0580457951628085E-2</v>
      </c>
      <c r="AG22" s="302">
        <f>Sols!$K$14</f>
        <v>2.0580457951628085E-2</v>
      </c>
      <c r="AH22" s="302">
        <f>Sols!$K$14</f>
        <v>2.0580457951628085E-2</v>
      </c>
      <c r="AI22" s="302">
        <f>Sols!$K$14</f>
        <v>2.0580457951628085E-2</v>
      </c>
      <c r="AJ22" s="302">
        <f>Sols!$K$14</f>
        <v>2.0580457951628085E-2</v>
      </c>
      <c r="AK22" s="302">
        <f>Sols!$K$14</f>
        <v>2.0580457951628085E-2</v>
      </c>
      <c r="AL22" s="302">
        <f>Sols!$K$14</f>
        <v>2.0580457951628085E-2</v>
      </c>
      <c r="AM22" s="302">
        <f>Sols!$K$14</f>
        <v>2.0580457951628085E-2</v>
      </c>
      <c r="AN22" s="302">
        <f>Sols!$K$14</f>
        <v>2.0580457951628085E-2</v>
      </c>
      <c r="AO22" s="302">
        <f>Sols!$K$14</f>
        <v>2.0580457951628085E-2</v>
      </c>
      <c r="AP22" s="302">
        <f>Sols!$K$14</f>
        <v>2.0580457951628085E-2</v>
      </c>
      <c r="AQ22" s="302">
        <f>Sols!$K$14</f>
        <v>2.0580457951628085E-2</v>
      </c>
      <c r="AR22" s="302">
        <f>Sols!$K$14</f>
        <v>2.0580457951628085E-2</v>
      </c>
      <c r="AS22" s="302">
        <f>Sols!$K$14</f>
        <v>2.0580457951628085E-2</v>
      </c>
      <c r="AT22" s="302">
        <f>Sols!$K$14</f>
        <v>2.0580457951628085E-2</v>
      </c>
      <c r="AU22" s="302">
        <f>Sols!$K$14</f>
        <v>2.0580457951628085E-2</v>
      </c>
      <c r="AV22" s="302">
        <f>Sols!$K$14</f>
        <v>2.0580457951628085E-2</v>
      </c>
      <c r="AW22" s="302">
        <f>Sols!$K$14</f>
        <v>2.0580457951628085E-2</v>
      </c>
      <c r="AX22" s="302">
        <f>Sols!$K$14</f>
        <v>2.0580457951628085E-2</v>
      </c>
      <c r="AY22" s="302">
        <f>Sols!$K$14</f>
        <v>2.0580457951628085E-2</v>
      </c>
      <c r="AZ22" s="302">
        <f>Sols!$K$14</f>
        <v>2.0580457951628085E-2</v>
      </c>
      <c r="BA22" s="302">
        <f>Sols!$K$14</f>
        <v>2.0580457951628085E-2</v>
      </c>
      <c r="BB22" s="302">
        <f>Sols!$K$14</f>
        <v>2.0580457951628085E-2</v>
      </c>
      <c r="BC22" s="302">
        <f>Sols!$K$14</f>
        <v>2.0580457951628085E-2</v>
      </c>
      <c r="BD22" s="302">
        <f>Sols!$K$14</f>
        <v>2.0580457951628085E-2</v>
      </c>
      <c r="BE22" s="302">
        <f>Sols!$K$14</f>
        <v>2.0580457951628085E-2</v>
      </c>
      <c r="BF22" s="302">
        <f>Sols!$K$14</f>
        <v>2.0580457951628085E-2</v>
      </c>
      <c r="BG22" s="302">
        <f>Sols!$K$14</f>
        <v>2.0580457951628085E-2</v>
      </c>
      <c r="BH22" s="302">
        <f>Sols!$K$14</f>
        <v>2.0580457951628085E-2</v>
      </c>
      <c r="BI22" s="302">
        <f>Sols!$K$14</f>
        <v>2.0580457951628085E-2</v>
      </c>
      <c r="BJ22" s="302"/>
      <c r="BK22" s="286" t="s">
        <v>1098</v>
      </c>
    </row>
    <row r="23" spans="1:63">
      <c r="A23" s="305"/>
      <c r="B23" s="285"/>
      <c r="C23" s="294"/>
      <c r="D23" s="4030"/>
      <c r="E23" s="2021" t="s">
        <v>239</v>
      </c>
      <c r="F23" s="303" t="s">
        <v>240</v>
      </c>
      <c r="G23" s="2022" t="str">
        <f>Substances!$G$24</f>
        <v>(mg/m2/s)/(mg/l/m)</v>
      </c>
      <c r="H23" s="304">
        <f t="shared" ref="H23:V23" si="9">H$4*H21+H$5*H22/H$3</f>
        <v>2.3531105239835333E-4</v>
      </c>
      <c r="I23" s="304">
        <f>I$4*I21+I$5*I22/I$3</f>
        <v>2.3531105239835333E-4</v>
      </c>
      <c r="J23" s="304">
        <f>J$4*J21+J$5*J22/J$3</f>
        <v>2.1637545234669478E-4</v>
      </c>
      <c r="K23" s="304">
        <f t="shared" si="9"/>
        <v>4.2585694473408991E-4</v>
      </c>
      <c r="L23" s="304">
        <f t="shared" si="9"/>
        <v>2.9586116242852941E-4</v>
      </c>
      <c r="M23" s="304">
        <f t="shared" si="9"/>
        <v>2.9586116242852941E-4</v>
      </c>
      <c r="N23" s="304">
        <f>N$4*N21+N$5*N22/N$3</f>
        <v>3.1742602976515604E-4</v>
      </c>
      <c r="O23" s="304">
        <f>O$4*O21+O$5*O22/O$3</f>
        <v>3.1742602976515604E-4</v>
      </c>
      <c r="P23" s="304">
        <f t="shared" si="9"/>
        <v>2.8928251008819388E-4</v>
      </c>
      <c r="Q23" s="304">
        <f t="shared" si="9"/>
        <v>2.8928251008819388E-4</v>
      </c>
      <c r="R23" s="304">
        <f>R$4*R21+R$5*R22/R$3</f>
        <v>4.0979745441813448E-3</v>
      </c>
      <c r="S23" s="304">
        <f>S$4*S21+S$5*S22/S$3</f>
        <v>4.1798751098910323E-4</v>
      </c>
      <c r="T23" s="304">
        <f>T$4*T21+T$5*T22/T$3</f>
        <v>4.1798751098910323E-4</v>
      </c>
      <c r="U23" s="304">
        <f t="shared" si="9"/>
        <v>3.1338517123350856E-4</v>
      </c>
      <c r="V23" s="304">
        <f t="shared" si="9"/>
        <v>1.1442629648359704E-4</v>
      </c>
      <c r="W23" s="304">
        <f>W$4*W21+W$5*W22/W$3</f>
        <v>1.1442629648359704E-4</v>
      </c>
      <c r="X23" s="304">
        <f t="shared" ref="X23:BC23" si="10">X$4*X21+X$5*X22/X$3</f>
        <v>3.2930083479030782E-4</v>
      </c>
      <c r="Y23" s="304">
        <f t="shared" si="10"/>
        <v>2.9580195133511436E-4</v>
      </c>
      <c r="Z23" s="304">
        <f t="shared" si="10"/>
        <v>2.7123330915667884E-4</v>
      </c>
      <c r="AA23" s="304">
        <f t="shared" si="10"/>
        <v>2.7125306259595517E-4</v>
      </c>
      <c r="AB23" s="304">
        <f t="shared" si="10"/>
        <v>1.2723433298785143E-4</v>
      </c>
      <c r="AC23" s="304">
        <f t="shared" si="10"/>
        <v>1.1747751381991404E-4</v>
      </c>
      <c r="AD23" s="304">
        <f t="shared" si="10"/>
        <v>1.0187497648218972E-4</v>
      </c>
      <c r="AE23" s="304">
        <f t="shared" si="10"/>
        <v>8.0666573336802245E-5</v>
      </c>
      <c r="AF23" s="304">
        <f t="shared" si="10"/>
        <v>6.8473918859419182E-5</v>
      </c>
      <c r="AG23" s="304">
        <f t="shared" si="10"/>
        <v>1.884754860616892E-4</v>
      </c>
      <c r="AH23" s="304">
        <f t="shared" si="10"/>
        <v>1.5266506313435711E-4</v>
      </c>
      <c r="AI23" s="304">
        <f t="shared" si="10"/>
        <v>1.174346188308092E-4</v>
      </c>
      <c r="AJ23" s="304">
        <f t="shared" si="10"/>
        <v>9.5415607433954285E-5</v>
      </c>
      <c r="AK23" s="304">
        <f t="shared" si="10"/>
        <v>7.6332460881221059E-5</v>
      </c>
      <c r="AL23" s="304">
        <f t="shared" si="10"/>
        <v>5.6542558636634152E-5</v>
      </c>
      <c r="AM23" s="304">
        <f t="shared" si="10"/>
        <v>4.77077835952919E-5</v>
      </c>
      <c r="AN23" s="304">
        <f t="shared" si="10"/>
        <v>1.2055219396657458E-4</v>
      </c>
      <c r="AO23" s="304">
        <f t="shared" si="10"/>
        <v>1.0182119626251954E-4</v>
      </c>
      <c r="AP23" s="304">
        <f t="shared" si="10"/>
        <v>1.000309264353781E-4</v>
      </c>
      <c r="AQ23" s="304">
        <f t="shared" si="10"/>
        <v>9.3331225827475919E-5</v>
      </c>
      <c r="AR23" s="304">
        <f t="shared" si="10"/>
        <v>8.9020656877762834E-5</v>
      </c>
      <c r="AS23" s="304">
        <f t="shared" si="10"/>
        <v>8.8413448645560246E-5</v>
      </c>
      <c r="AT23" s="304">
        <f t="shared" si="10"/>
        <v>8.4735185801008118E-5</v>
      </c>
      <c r="AU23" s="304">
        <f t="shared" si="10"/>
        <v>8.5884637205567126E-5</v>
      </c>
      <c r="AV23" s="304">
        <f t="shared" si="10"/>
        <v>8.1509488929268757E-5</v>
      </c>
      <c r="AW23" s="304">
        <f t="shared" si="10"/>
        <v>8.5901244054451917E-5</v>
      </c>
      <c r="AX23" s="304">
        <f t="shared" si="10"/>
        <v>5.4029806608594578E-4</v>
      </c>
      <c r="AY23" s="304">
        <f t="shared" si="10"/>
        <v>5.4029806608594578E-4</v>
      </c>
      <c r="AZ23" s="304">
        <f t="shared" si="10"/>
        <v>7.2425922506639184E-4</v>
      </c>
      <c r="BA23" s="304">
        <f t="shared" si="10"/>
        <v>9.6985745503129863E-4</v>
      </c>
      <c r="BB23" s="304">
        <f t="shared" si="10"/>
        <v>1.53066649244154E-4</v>
      </c>
      <c r="BC23" s="304">
        <f t="shared" si="10"/>
        <v>136.73748134479334</v>
      </c>
      <c r="BD23" s="304">
        <f t="shared" ref="BD23:BI23" si="11">BD$4*BD21+BD$5*BD22/BD$3</f>
        <v>1.660348069759972E-3</v>
      </c>
      <c r="BE23" s="304">
        <f t="shared" si="11"/>
        <v>6.8220036901652477E-5</v>
      </c>
      <c r="BF23" s="304">
        <f t="shared" si="11"/>
        <v>6.8220036901652477E-5</v>
      </c>
      <c r="BG23" s="304">
        <f t="shared" si="11"/>
        <v>1.233805032217639E-4</v>
      </c>
      <c r="BH23" s="304">
        <f t="shared" si="11"/>
        <v>8.8170083343773367E-4</v>
      </c>
      <c r="BI23" s="304">
        <f t="shared" si="11"/>
        <v>9.3490326700591472E-4</v>
      </c>
      <c r="BJ23" s="304"/>
      <c r="BK23" s="306"/>
    </row>
    <row r="24" spans="1:63">
      <c r="A24" s="305"/>
      <c r="B24" s="285"/>
      <c r="C24" s="294"/>
      <c r="D24" s="4030"/>
      <c r="E24" s="521" t="s">
        <v>645</v>
      </c>
      <c r="F24" s="714" t="s">
        <v>647</v>
      </c>
      <c r="G24" s="2017" t="s">
        <v>256</v>
      </c>
      <c r="H24" s="302">
        <f>H$4*H21</f>
        <v>2.0596992272379474E-4</v>
      </c>
      <c r="I24" s="302">
        <f t="shared" ref="I24:BI24" si="12">I$4*I21</f>
        <v>2.0596992272379474E-4</v>
      </c>
      <c r="J24" s="302">
        <f>J$4*J21</f>
        <v>2.1171114508788889E-4</v>
      </c>
      <c r="K24" s="302">
        <f t="shared" si="12"/>
        <v>4.2585473980591914E-4</v>
      </c>
      <c r="L24" s="302">
        <f t="shared" si="12"/>
        <v>2.9568781933694008E-4</v>
      </c>
      <c r="M24" s="302">
        <f t="shared" si="12"/>
        <v>2.9568781933694008E-4</v>
      </c>
      <c r="N24" s="302">
        <f>N$4*N21</f>
        <v>3.1738230608176996E-4</v>
      </c>
      <c r="O24" s="302">
        <f>O$4*O21</f>
        <v>3.1738230608176996E-4</v>
      </c>
      <c r="P24" s="302">
        <f t="shared" si="12"/>
        <v>2.8925982326439789E-4</v>
      </c>
      <c r="Q24" s="302">
        <f t="shared" si="12"/>
        <v>2.8925982326439789E-4</v>
      </c>
      <c r="R24" s="302">
        <f>R$4*R21</f>
        <v>4.0978474962456374E-3</v>
      </c>
      <c r="S24" s="302">
        <f>S$4*S21</f>
        <v>4.178197447152414E-4</v>
      </c>
      <c r="T24" s="302">
        <f>T$4*T21</f>
        <v>4.178197447152414E-4</v>
      </c>
      <c r="U24" s="302">
        <f t="shared" si="12"/>
        <v>3.1336480853643106E-4</v>
      </c>
      <c r="V24" s="302">
        <f t="shared" si="12"/>
        <v>1.1442430424439866E-4</v>
      </c>
      <c r="W24" s="302">
        <f t="shared" si="12"/>
        <v>1.1442430424439866E-4</v>
      </c>
      <c r="X24" s="302">
        <f t="shared" si="12"/>
        <v>3.2921160440971216E-4</v>
      </c>
      <c r="Y24" s="302">
        <f t="shared" si="12"/>
        <v>2.9573245819855494E-4</v>
      </c>
      <c r="Z24" s="302">
        <f t="shared" si="12"/>
        <v>2.7118108431037303E-4</v>
      </c>
      <c r="AA24" s="302">
        <f t="shared" si="12"/>
        <v>2.7118108431037303E-4</v>
      </c>
      <c r="AB24" s="302">
        <f t="shared" si="12"/>
        <v>1.2722075560239724E-4</v>
      </c>
      <c r="AC24" s="302">
        <f t="shared" si="12"/>
        <v>1.1743454363298207E-4</v>
      </c>
      <c r="AD24" s="302">
        <f t="shared" si="12"/>
        <v>1.0177660448191779E-4</v>
      </c>
      <c r="AE24" s="302">
        <f t="shared" si="12"/>
        <v>8.0349950906777201E-5</v>
      </c>
      <c r="AF24" s="302">
        <f t="shared" si="12"/>
        <v>6.3610377801198619E-5</v>
      </c>
      <c r="AG24" s="302">
        <f t="shared" si="12"/>
        <v>1.8847519348503294E-4</v>
      </c>
      <c r="AH24" s="302">
        <f t="shared" si="12"/>
        <v>1.5266490672287669E-4</v>
      </c>
      <c r="AI24" s="302">
        <f t="shared" si="12"/>
        <v>1.1743454363298207E-4</v>
      </c>
      <c r="AJ24" s="302">
        <f t="shared" si="12"/>
        <v>9.5415566701797922E-5</v>
      </c>
      <c r="AK24" s="302">
        <f t="shared" si="12"/>
        <v>7.6332453361438343E-5</v>
      </c>
      <c r="AL24" s="302">
        <f t="shared" si="12"/>
        <v>5.6542558045509889E-5</v>
      </c>
      <c r="AM24" s="302">
        <f t="shared" si="12"/>
        <v>4.7707783350898961E-5</v>
      </c>
      <c r="AN24" s="302">
        <f t="shared" si="12"/>
        <v>1.1909268018010506E-4</v>
      </c>
      <c r="AO24" s="302">
        <f t="shared" si="12"/>
        <v>1.003054577679873E-4</v>
      </c>
      <c r="AP24" s="302">
        <f t="shared" si="12"/>
        <v>9.8998058960428421E-5</v>
      </c>
      <c r="AQ24" s="302">
        <f t="shared" si="12"/>
        <v>9.185614122916768E-5</v>
      </c>
      <c r="AR24" s="302">
        <f t="shared" si="12"/>
        <v>8.5670542493196793E-5</v>
      </c>
      <c r="AS24" s="302">
        <f t="shared" si="12"/>
        <v>8.5670542493196793E-5</v>
      </c>
      <c r="AT24" s="302">
        <f t="shared" si="12"/>
        <v>7.5464610342499585E-5</v>
      </c>
      <c r="AU24" s="302">
        <f t="shared" si="12"/>
        <v>7.5464610342499585E-5</v>
      </c>
      <c r="AV24" s="302">
        <f t="shared" si="12"/>
        <v>6.6870305178658198E-5</v>
      </c>
      <c r="AW24" s="302">
        <f t="shared" si="12"/>
        <v>6.6870305178658198E-5</v>
      </c>
      <c r="AX24" s="302">
        <f t="shared" si="12"/>
        <v>6.0504481104500906E-5</v>
      </c>
      <c r="AY24" s="302">
        <f t="shared" si="12"/>
        <v>6.0504481104500906E-5</v>
      </c>
      <c r="AZ24" s="302">
        <f t="shared" si="12"/>
        <v>6.0509277337644345E-5</v>
      </c>
      <c r="BA24" s="302">
        <f t="shared" si="12"/>
        <v>5.4836532587240194E-5</v>
      </c>
      <c r="BB24" s="302">
        <f t="shared" si="12"/>
        <v>5.6888100582380635E-5</v>
      </c>
      <c r="BC24" s="302">
        <f t="shared" si="12"/>
        <v>5.5253314050986857E-5</v>
      </c>
      <c r="BD24" s="302">
        <f t="shared" si="12"/>
        <v>3.2943479871778655E-4</v>
      </c>
      <c r="BE24" s="302">
        <f t="shared" si="12"/>
        <v>5.9287342416651135E-5</v>
      </c>
      <c r="BF24" s="302">
        <f t="shared" si="12"/>
        <v>5.9287342416651135E-5</v>
      </c>
      <c r="BG24" s="302">
        <f t="shared" si="12"/>
        <v>1.2333717464190299E-4</v>
      </c>
      <c r="BH24" s="302">
        <f t="shared" si="12"/>
        <v>2.1694486744829844E-4</v>
      </c>
      <c r="BI24" s="302">
        <f t="shared" si="12"/>
        <v>6.7493958761692847E-4</v>
      </c>
      <c r="BJ24" s="302"/>
    </row>
    <row r="25" spans="1:63">
      <c r="A25" s="305"/>
      <c r="B25" s="285"/>
      <c r="C25" s="294"/>
      <c r="D25" s="4030"/>
      <c r="E25" s="521" t="s">
        <v>646</v>
      </c>
      <c r="F25" s="714" t="s">
        <v>648</v>
      </c>
      <c r="G25" s="2017" t="s">
        <v>256</v>
      </c>
      <c r="H25" s="302">
        <f>H$5*H22/H$3</f>
        <v>2.9341129674558576E-5</v>
      </c>
      <c r="I25" s="302">
        <f t="shared" ref="I25:BI25" si="13">I$5*I22/I$3</f>
        <v>2.9341129674558576E-5</v>
      </c>
      <c r="J25" s="302">
        <f>J$5*J22/J$3</f>
        <v>4.6643072588058996E-6</v>
      </c>
      <c r="K25" s="302">
        <f t="shared" si="13"/>
        <v>2.2049281707557272E-9</v>
      </c>
      <c r="L25" s="302">
        <f t="shared" si="13"/>
        <v>1.7334309158930536E-7</v>
      </c>
      <c r="M25" s="302">
        <f t="shared" si="13"/>
        <v>1.7334309158930536E-7</v>
      </c>
      <c r="N25" s="302">
        <f>N$5*N22/N$3</f>
        <v>4.3723683386082802E-8</v>
      </c>
      <c r="O25" s="302">
        <f>O$5*O22/O$3</f>
        <v>4.3723683386082802E-8</v>
      </c>
      <c r="P25" s="302">
        <f t="shared" si="13"/>
        <v>2.2686823795975846E-8</v>
      </c>
      <c r="Q25" s="302">
        <f t="shared" si="13"/>
        <v>2.2686823795975846E-8</v>
      </c>
      <c r="R25" s="302">
        <f>R$5*R22/R$3</f>
        <v>1.2704793570778617E-7</v>
      </c>
      <c r="S25" s="302">
        <f>S$5*S22/S$3</f>
        <v>1.6776627386184883E-7</v>
      </c>
      <c r="T25" s="302">
        <f>T$5*T22/T$3</f>
        <v>1.6776627386184883E-7</v>
      </c>
      <c r="U25" s="302">
        <f t="shared" si="13"/>
        <v>2.0362697077492445E-8</v>
      </c>
      <c r="V25" s="302">
        <f t="shared" si="13"/>
        <v>1.9922391983761476E-9</v>
      </c>
      <c r="W25" s="302">
        <f t="shared" si="13"/>
        <v>1.9922391983761476E-9</v>
      </c>
      <c r="X25" s="302">
        <f t="shared" si="13"/>
        <v>8.9230380595683214E-8</v>
      </c>
      <c r="Y25" s="302">
        <f t="shared" si="13"/>
        <v>6.9493136559396562E-8</v>
      </c>
      <c r="Z25" s="302">
        <f t="shared" si="13"/>
        <v>5.2224846305823142E-8</v>
      </c>
      <c r="AA25" s="302">
        <f t="shared" si="13"/>
        <v>7.1978285582118945E-8</v>
      </c>
      <c r="AB25" s="302">
        <f t="shared" si="13"/>
        <v>1.3577385454199086E-8</v>
      </c>
      <c r="AC25" s="302">
        <f t="shared" si="13"/>
        <v>4.2970186931970725E-8</v>
      </c>
      <c r="AD25" s="302">
        <f t="shared" si="13"/>
        <v>9.8372000271933008E-8</v>
      </c>
      <c r="AE25" s="302">
        <f t="shared" si="13"/>
        <v>3.1662243002504747E-7</v>
      </c>
      <c r="AF25" s="302">
        <f t="shared" si="13"/>
        <v>4.863541058220568E-6</v>
      </c>
      <c r="AG25" s="302">
        <f t="shared" si="13"/>
        <v>2.9257665625210146E-10</v>
      </c>
      <c r="AH25" s="302">
        <f t="shared" si="13"/>
        <v>1.5641148043237344E-10</v>
      </c>
      <c r="AI25" s="302">
        <f t="shared" si="13"/>
        <v>7.519782713094878E-11</v>
      </c>
      <c r="AJ25" s="302">
        <f t="shared" si="13"/>
        <v>4.0732156362597253E-11</v>
      </c>
      <c r="AK25" s="302">
        <f t="shared" si="13"/>
        <v>7.5197827130948774E-12</v>
      </c>
      <c r="AL25" s="302">
        <f t="shared" si="13"/>
        <v>5.9112426467261325E-13</v>
      </c>
      <c r="AM25" s="302">
        <f t="shared" si="13"/>
        <v>2.4439293817558352E-13</v>
      </c>
      <c r="AN25" s="302">
        <f t="shared" si="13"/>
        <v>1.4595137864695222E-6</v>
      </c>
      <c r="AO25" s="302">
        <f t="shared" si="13"/>
        <v>1.5157384945322436E-6</v>
      </c>
      <c r="AP25" s="302">
        <f t="shared" si="13"/>
        <v>1.0328674749496741E-6</v>
      </c>
      <c r="AQ25" s="302">
        <f t="shared" si="13"/>
        <v>1.4750845983082422E-6</v>
      </c>
      <c r="AR25" s="302">
        <f t="shared" si="13"/>
        <v>3.3501143845660475E-6</v>
      </c>
      <c r="AS25" s="302">
        <f t="shared" si="13"/>
        <v>2.7429061523634512E-6</v>
      </c>
      <c r="AT25" s="302">
        <f t="shared" si="13"/>
        <v>9.2705754585085335E-6</v>
      </c>
      <c r="AU25" s="302">
        <f t="shared" si="13"/>
        <v>1.0420026863067543E-5</v>
      </c>
      <c r="AV25" s="302">
        <f t="shared" si="13"/>
        <v>1.4639183750610554E-5</v>
      </c>
      <c r="AW25" s="302">
        <f t="shared" si="13"/>
        <v>1.9030938875793719E-5</v>
      </c>
      <c r="AX25" s="302">
        <f t="shared" si="13"/>
        <v>4.7979358498144485E-4</v>
      </c>
      <c r="AY25" s="302">
        <f t="shared" si="13"/>
        <v>4.7979358498144485E-4</v>
      </c>
      <c r="AZ25" s="302">
        <f t="shared" si="13"/>
        <v>6.6374994772874752E-4</v>
      </c>
      <c r="BA25" s="302">
        <f t="shared" si="13"/>
        <v>9.1502092244405843E-4</v>
      </c>
      <c r="BB25" s="302">
        <f t="shared" si="13"/>
        <v>9.6178548661773362E-5</v>
      </c>
      <c r="BC25" s="302">
        <f t="shared" si="13"/>
        <v>136.73742609147928</v>
      </c>
      <c r="BD25" s="302">
        <f t="shared" si="13"/>
        <v>1.3309132710421854E-3</v>
      </c>
      <c r="BE25" s="302">
        <f t="shared" si="13"/>
        <v>8.9326944850013386E-6</v>
      </c>
      <c r="BF25" s="302">
        <f t="shared" si="13"/>
        <v>8.9326944850013386E-6</v>
      </c>
      <c r="BG25" s="302">
        <f t="shared" si="13"/>
        <v>4.3328579860914307E-8</v>
      </c>
      <c r="BH25" s="302">
        <f t="shared" si="13"/>
        <v>6.647559659894352E-4</v>
      </c>
      <c r="BI25" s="302">
        <f t="shared" si="13"/>
        <v>2.599636793889863E-4</v>
      </c>
      <c r="BJ25" s="302"/>
    </row>
    <row r="26" spans="1:63" customFormat="1">
      <c r="D26" s="4030"/>
      <c r="E26" s="1765" t="s">
        <v>1059</v>
      </c>
      <c r="F26" s="3" t="s">
        <v>649</v>
      </c>
      <c r="G26" s="2002" t="s">
        <v>35</v>
      </c>
      <c r="H26" s="1772">
        <f>H24/H25</f>
        <v>7.0198361483807954</v>
      </c>
      <c r="I26" s="1772">
        <f t="shared" ref="I26:BI26" si="14">I24/I25</f>
        <v>7.0198361483807954</v>
      </c>
      <c r="J26" s="1772">
        <f>J24/J25</f>
        <v>45.389622368507659</v>
      </c>
      <c r="K26" s="1772">
        <f t="shared" si="14"/>
        <v>193137.69285280607</v>
      </c>
      <c r="L26" s="1772">
        <f t="shared" si="14"/>
        <v>1705.7952331754936</v>
      </c>
      <c r="M26" s="1772">
        <f t="shared" si="14"/>
        <v>1705.7952331754936</v>
      </c>
      <c r="N26" s="1772">
        <f>N24/N25</f>
        <v>7258.8190541785962</v>
      </c>
      <c r="O26" s="1772">
        <f>O24/O25</f>
        <v>7258.8190541785962</v>
      </c>
      <c r="P26" s="2035">
        <f t="shared" si="14"/>
        <v>12750.124295305999</v>
      </c>
      <c r="Q26" s="1772">
        <f t="shared" si="14"/>
        <v>12750.124295305999</v>
      </c>
      <c r="R26" s="1772">
        <f>R24/R25</f>
        <v>32254.341429606553</v>
      </c>
      <c r="S26" s="1772">
        <f>S24/S25</f>
        <v>2490.4871229321402</v>
      </c>
      <c r="T26" s="1772">
        <f>T24/T25</f>
        <v>2490.4871229321402</v>
      </c>
      <c r="U26" s="1772">
        <f t="shared" si="14"/>
        <v>15389.160254355669</v>
      </c>
      <c r="V26" s="1772">
        <f t="shared" si="14"/>
        <v>57435.023032206504</v>
      </c>
      <c r="W26" s="1772">
        <f t="shared" si="14"/>
        <v>57435.023032206504</v>
      </c>
      <c r="X26" s="1772">
        <f t="shared" si="14"/>
        <v>3689.4564632803858</v>
      </c>
      <c r="Y26" s="2035">
        <f t="shared" si="14"/>
        <v>4255.5635396567413</v>
      </c>
      <c r="Z26" s="2035">
        <f t="shared" si="14"/>
        <v>5192.5683557279508</v>
      </c>
      <c r="AA26" s="2035">
        <f t="shared" si="14"/>
        <v>3767.540197952987</v>
      </c>
      <c r="AB26" s="2035">
        <f t="shared" si="14"/>
        <v>9370.048160712091</v>
      </c>
      <c r="AC26" s="2035">
        <f t="shared" si="14"/>
        <v>2732.9307135410272</v>
      </c>
      <c r="AD26" s="2035">
        <f t="shared" si="14"/>
        <v>1034.60948441196</v>
      </c>
      <c r="AE26" s="2035">
        <f t="shared" si="14"/>
        <v>253.77213768595249</v>
      </c>
      <c r="AF26" s="2035">
        <f t="shared" si="14"/>
        <v>13.079025557660627</v>
      </c>
      <c r="AG26" s="302">
        <f t="shared" si="14"/>
        <v>644190.81104895636</v>
      </c>
      <c r="AH26" s="302">
        <f t="shared" si="14"/>
        <v>976046.68340750958</v>
      </c>
      <c r="AI26" s="302">
        <f t="shared" si="14"/>
        <v>1561674.6934520153</v>
      </c>
      <c r="AJ26" s="302">
        <f t="shared" si="14"/>
        <v>2342512.0401780228</v>
      </c>
      <c r="AK26" s="302">
        <f t="shared" si="14"/>
        <v>10150885.507438099</v>
      </c>
      <c r="AL26" s="302">
        <f t="shared" si="14"/>
        <v>95652574.973935932</v>
      </c>
      <c r="AM26" s="302">
        <f t="shared" si="14"/>
        <v>195209336.6815019</v>
      </c>
      <c r="AN26" s="2035">
        <f t="shared" si="14"/>
        <v>81.597502732867795</v>
      </c>
      <c r="AO26" s="2035">
        <f t="shared" si="14"/>
        <v>66.175965135029145</v>
      </c>
      <c r="AP26" s="2035">
        <f t="shared" si="14"/>
        <v>95.847784310617428</v>
      </c>
      <c r="AQ26" s="2035">
        <f t="shared" si="14"/>
        <v>62.271778401399111</v>
      </c>
      <c r="AR26" s="2035">
        <f t="shared" si="14"/>
        <v>25.572423105276748</v>
      </c>
      <c r="AS26" s="2035">
        <f t="shared" si="14"/>
        <v>31.233493869040309</v>
      </c>
      <c r="AT26" s="2035">
        <f t="shared" si="14"/>
        <v>8.140229339618628</v>
      </c>
      <c r="AU26" s="2035">
        <f t="shared" si="14"/>
        <v>7.2422663908837199</v>
      </c>
      <c r="AV26" s="2035">
        <f t="shared" si="14"/>
        <v>4.5678984783471446</v>
      </c>
      <c r="AW26" s="2035">
        <f t="shared" si="14"/>
        <v>3.5137680602670347</v>
      </c>
      <c r="AX26" s="2062">
        <f t="shared" si="14"/>
        <v>0.12610523149625022</v>
      </c>
      <c r="AY26" s="2062">
        <f t="shared" si="14"/>
        <v>0.12610523149625022</v>
      </c>
      <c r="AZ26" s="2062">
        <f t="shared" si="14"/>
        <v>9.1162760230261403E-2</v>
      </c>
      <c r="BA26" s="2062">
        <f t="shared" si="14"/>
        <v>5.9929266361221083E-2</v>
      </c>
      <c r="BB26" s="2062">
        <f t="shared" si="14"/>
        <v>0.59148429014495085</v>
      </c>
      <c r="BC26" s="2062">
        <f t="shared" si="14"/>
        <v>4.0408332693070884E-7</v>
      </c>
      <c r="BD26" s="2062">
        <f t="shared" si="14"/>
        <v>0.24752536914732184</v>
      </c>
      <c r="BE26" s="2035">
        <f t="shared" si="14"/>
        <v>6.6371174471710646</v>
      </c>
      <c r="BF26" s="2035">
        <f t="shared" si="14"/>
        <v>6.6371174471710646</v>
      </c>
      <c r="BG26" s="2035">
        <f t="shared" si="14"/>
        <v>2846.5547460317885</v>
      </c>
      <c r="BH26" s="2062">
        <f t="shared" si="14"/>
        <v>0.32635264450074342</v>
      </c>
      <c r="BI26" s="2062">
        <f t="shared" si="14"/>
        <v>2.5962841778639758</v>
      </c>
      <c r="BJ26" s="3"/>
    </row>
    <row r="27" spans="1:63">
      <c r="A27" s="305"/>
      <c r="B27" s="285"/>
      <c r="C27" s="294"/>
      <c r="D27" s="4030"/>
      <c r="E27" s="326"/>
      <c r="F27" s="293"/>
      <c r="G27" s="2017"/>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row>
    <row r="28" spans="1:63">
      <c r="A28" s="305"/>
      <c r="B28" s="285"/>
      <c r="C28" s="294"/>
      <c r="D28" s="4030"/>
      <c r="E28" s="323" t="str">
        <f>Sols!C10</f>
        <v>Bitume parking</v>
      </c>
      <c r="F28" s="306"/>
      <c r="G28" s="2017"/>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6"/>
    </row>
    <row r="29" spans="1:63">
      <c r="A29" s="305"/>
      <c r="B29" s="285"/>
      <c r="C29" s="294"/>
      <c r="D29" s="4030"/>
      <c r="E29" s="326" t="str">
        <f>Sols!C$48</f>
        <v>Potentiel de diffusion dans l'air interstitiel  (rapporté à Csa)</v>
      </c>
      <c r="F29" s="297" t="str">
        <f>Sols!F$48</f>
        <v>Dsa/Da</v>
      </c>
      <c r="G29" s="2020" t="str">
        <f>Sols!H$48</f>
        <v>-</v>
      </c>
      <c r="H29" s="301">
        <f>Sols!$J$10</f>
        <v>9.3216975178615734E-3</v>
      </c>
      <c r="I29" s="301">
        <f>Sols!$J$10</f>
        <v>9.3216975178615734E-3</v>
      </c>
      <c r="J29" s="302">
        <f>Sols!$J$10</f>
        <v>9.3216975178615734E-3</v>
      </c>
      <c r="K29" s="302">
        <f>Sols!$J$10</f>
        <v>9.3216975178615734E-3</v>
      </c>
      <c r="L29" s="302">
        <f>Sols!$J$10</f>
        <v>9.3216975178615734E-3</v>
      </c>
      <c r="M29" s="302">
        <f>Sols!$J$10</f>
        <v>9.3216975178615734E-3</v>
      </c>
      <c r="N29" s="302">
        <f>Sols!$J$10</f>
        <v>9.3216975178615734E-3</v>
      </c>
      <c r="O29" s="302">
        <f>Sols!$J$10</f>
        <v>9.3216975178615734E-3</v>
      </c>
      <c r="P29" s="302">
        <f>Sols!$J$10</f>
        <v>9.3216975178615734E-3</v>
      </c>
      <c r="Q29" s="302">
        <f>Sols!$J$10</f>
        <v>9.3216975178615734E-3</v>
      </c>
      <c r="R29" s="302">
        <f>Sols!$J$10</f>
        <v>9.3216975178615734E-3</v>
      </c>
      <c r="S29" s="302">
        <f>Sols!$J$10</f>
        <v>9.3216975178615734E-3</v>
      </c>
      <c r="T29" s="302">
        <f>Sols!$J$10</f>
        <v>9.3216975178615734E-3</v>
      </c>
      <c r="U29" s="302">
        <f>Sols!$J$10</f>
        <v>9.3216975178615734E-3</v>
      </c>
      <c r="V29" s="302">
        <f>Sols!$J$10</f>
        <v>9.3216975178615734E-3</v>
      </c>
      <c r="W29" s="302">
        <f>Sols!$J$10</f>
        <v>9.3216975178615734E-3</v>
      </c>
      <c r="X29" s="302">
        <f>Sols!$J$10</f>
        <v>9.3216975178615734E-3</v>
      </c>
      <c r="Y29" s="302">
        <f>Sols!$J$10</f>
        <v>9.3216975178615734E-3</v>
      </c>
      <c r="Z29" s="302">
        <f>Sols!$J$10</f>
        <v>9.3216975178615734E-3</v>
      </c>
      <c r="AA29" s="302">
        <f>Sols!$J$10</f>
        <v>9.3216975178615734E-3</v>
      </c>
      <c r="AB29" s="302">
        <f>Sols!$J$10</f>
        <v>9.3216975178615734E-3</v>
      </c>
      <c r="AC29" s="302">
        <f>Sols!$J$10</f>
        <v>9.3216975178615734E-3</v>
      </c>
      <c r="AD29" s="302">
        <f>Sols!$J$10</f>
        <v>9.3216975178615734E-3</v>
      </c>
      <c r="AE29" s="302">
        <f>Sols!$J$10</f>
        <v>9.3216975178615734E-3</v>
      </c>
      <c r="AF29" s="302">
        <f>Sols!$J$10</f>
        <v>9.3216975178615734E-3</v>
      </c>
      <c r="AG29" s="302">
        <f>Sols!$J$10</f>
        <v>9.3216975178615734E-3</v>
      </c>
      <c r="AH29" s="302">
        <f>Sols!$J$10</f>
        <v>9.3216975178615734E-3</v>
      </c>
      <c r="AI29" s="302">
        <f>Sols!$J$10</f>
        <v>9.3216975178615734E-3</v>
      </c>
      <c r="AJ29" s="302">
        <f>Sols!$J$10</f>
        <v>9.3216975178615734E-3</v>
      </c>
      <c r="AK29" s="302">
        <f>Sols!$J$10</f>
        <v>9.3216975178615734E-3</v>
      </c>
      <c r="AL29" s="302">
        <f>Sols!$J$10</f>
        <v>9.3216975178615734E-3</v>
      </c>
      <c r="AM29" s="302">
        <f>Sols!$J$10</f>
        <v>9.3216975178615734E-3</v>
      </c>
      <c r="AN29" s="302">
        <f>Sols!$J$10</f>
        <v>9.3216975178615734E-3</v>
      </c>
      <c r="AO29" s="302">
        <f>Sols!$J$10</f>
        <v>9.3216975178615734E-3</v>
      </c>
      <c r="AP29" s="302">
        <f>Sols!$J$10</f>
        <v>9.3216975178615734E-3</v>
      </c>
      <c r="AQ29" s="302">
        <f>Sols!$J$10</f>
        <v>9.3216975178615734E-3</v>
      </c>
      <c r="AR29" s="302">
        <f>Sols!$J$10</f>
        <v>9.3216975178615734E-3</v>
      </c>
      <c r="AS29" s="302">
        <f>Sols!$J$10</f>
        <v>9.3216975178615734E-3</v>
      </c>
      <c r="AT29" s="302">
        <f>Sols!$J$10</f>
        <v>9.3216975178615734E-3</v>
      </c>
      <c r="AU29" s="302">
        <f>Sols!$J$10</f>
        <v>9.3216975178615734E-3</v>
      </c>
      <c r="AV29" s="302">
        <f>Sols!$J$10</f>
        <v>9.3216975178615734E-3</v>
      </c>
      <c r="AW29" s="302">
        <f>Sols!$J$10</f>
        <v>9.3216975178615734E-3</v>
      </c>
      <c r="AX29" s="302">
        <f>Sols!$J$10</f>
        <v>9.3216975178615734E-3</v>
      </c>
      <c r="AY29" s="302">
        <f>Sols!$J$10</f>
        <v>9.3216975178615734E-3</v>
      </c>
      <c r="AZ29" s="302">
        <f>Sols!$J$10</f>
        <v>9.3216975178615734E-3</v>
      </c>
      <c r="BA29" s="302">
        <f>Sols!$J$10</f>
        <v>9.3216975178615734E-3</v>
      </c>
      <c r="BB29" s="302">
        <f>Sols!$J$10</f>
        <v>9.3216975178615734E-3</v>
      </c>
      <c r="BC29" s="302">
        <f>Sols!$J$10</f>
        <v>9.3216975178615734E-3</v>
      </c>
      <c r="BD29" s="302">
        <f>Sols!$J$10</f>
        <v>9.3216975178615734E-3</v>
      </c>
      <c r="BE29" s="302">
        <f>Sols!$J$10</f>
        <v>9.3216975178615734E-3</v>
      </c>
      <c r="BF29" s="302">
        <f>Sols!$J$10</f>
        <v>9.3216975178615734E-3</v>
      </c>
      <c r="BG29" s="302">
        <f>Sols!$J$10</f>
        <v>9.3216975178615734E-3</v>
      </c>
      <c r="BH29" s="302">
        <f>Sols!$J$10</f>
        <v>9.3216975178615734E-3</v>
      </c>
      <c r="BI29" s="302">
        <f>Sols!$J$10</f>
        <v>9.3216975178615734E-3</v>
      </c>
      <c r="BJ29" s="302"/>
      <c r="BK29" s="286" t="s">
        <v>1098</v>
      </c>
    </row>
    <row r="30" spans="1:63">
      <c r="A30" s="305"/>
      <c r="B30" s="285"/>
      <c r="C30" s="294"/>
      <c r="D30" s="4030"/>
      <c r="E30" s="326" t="str">
        <f>Sols!C$49</f>
        <v>Potentiel de diffusion dans l'eau interstitielle (rapporté à Cpw)</v>
      </c>
      <c r="F30" s="297" t="str">
        <f>Sols!F$49</f>
        <v>Dpw/Dw</v>
      </c>
      <c r="G30" s="2020" t="str">
        <f>Sols!H$49</f>
        <v>-</v>
      </c>
      <c r="H30" s="301">
        <f>Sols!$K$10</f>
        <v>0</v>
      </c>
      <c r="I30" s="301">
        <f>Sols!$K$10</f>
        <v>0</v>
      </c>
      <c r="J30" s="302">
        <f>Sols!$K$10</f>
        <v>0</v>
      </c>
      <c r="K30" s="302">
        <f>Sols!$K$10</f>
        <v>0</v>
      </c>
      <c r="L30" s="302">
        <f>Sols!$K$10</f>
        <v>0</v>
      </c>
      <c r="M30" s="302">
        <f>Sols!$K$10</f>
        <v>0</v>
      </c>
      <c r="N30" s="302">
        <f>Sols!$K$10</f>
        <v>0</v>
      </c>
      <c r="O30" s="302">
        <f>Sols!$K$10</f>
        <v>0</v>
      </c>
      <c r="P30" s="302">
        <f>Sols!$K$10</f>
        <v>0</v>
      </c>
      <c r="Q30" s="302">
        <f>Sols!$K$10</f>
        <v>0</v>
      </c>
      <c r="R30" s="302">
        <f>Sols!$K$10</f>
        <v>0</v>
      </c>
      <c r="S30" s="302">
        <f>Sols!$K$10</f>
        <v>0</v>
      </c>
      <c r="T30" s="302">
        <f>Sols!$K$10</f>
        <v>0</v>
      </c>
      <c r="U30" s="302">
        <f>Sols!$K$10</f>
        <v>0</v>
      </c>
      <c r="V30" s="302">
        <f>Sols!$K$10</f>
        <v>0</v>
      </c>
      <c r="W30" s="302">
        <f>Sols!$K$10</f>
        <v>0</v>
      </c>
      <c r="X30" s="302">
        <f>Sols!$K$10</f>
        <v>0</v>
      </c>
      <c r="Y30" s="302">
        <f>Sols!$K$10</f>
        <v>0</v>
      </c>
      <c r="Z30" s="302">
        <f>Sols!$K$10</f>
        <v>0</v>
      </c>
      <c r="AA30" s="302">
        <f>Sols!$K$10</f>
        <v>0</v>
      </c>
      <c r="AB30" s="302">
        <f>Sols!$K$10</f>
        <v>0</v>
      </c>
      <c r="AC30" s="302">
        <f>Sols!$K$10</f>
        <v>0</v>
      </c>
      <c r="AD30" s="302">
        <f>Sols!$K$10</f>
        <v>0</v>
      </c>
      <c r="AE30" s="302">
        <f>Sols!$K$10</f>
        <v>0</v>
      </c>
      <c r="AF30" s="302">
        <f>Sols!$K$10</f>
        <v>0</v>
      </c>
      <c r="AG30" s="302">
        <f>Sols!$K$10</f>
        <v>0</v>
      </c>
      <c r="AH30" s="302">
        <f>Sols!$K$10</f>
        <v>0</v>
      </c>
      <c r="AI30" s="302">
        <f>Sols!$K$10</f>
        <v>0</v>
      </c>
      <c r="AJ30" s="302">
        <f>Sols!$K$10</f>
        <v>0</v>
      </c>
      <c r="AK30" s="302">
        <f>Sols!$K$10</f>
        <v>0</v>
      </c>
      <c r="AL30" s="302">
        <f>Sols!$K$10</f>
        <v>0</v>
      </c>
      <c r="AM30" s="302">
        <f>Sols!$K$10</f>
        <v>0</v>
      </c>
      <c r="AN30" s="302">
        <f>Sols!$K$10</f>
        <v>0</v>
      </c>
      <c r="AO30" s="302">
        <f>Sols!$K$10</f>
        <v>0</v>
      </c>
      <c r="AP30" s="302">
        <f>Sols!$K$10</f>
        <v>0</v>
      </c>
      <c r="AQ30" s="302">
        <f>Sols!$K$10</f>
        <v>0</v>
      </c>
      <c r="AR30" s="302">
        <f>Sols!$K$10</f>
        <v>0</v>
      </c>
      <c r="AS30" s="302">
        <f>Sols!$K$10</f>
        <v>0</v>
      </c>
      <c r="AT30" s="302">
        <f>Sols!$K$10</f>
        <v>0</v>
      </c>
      <c r="AU30" s="302">
        <f>Sols!$K$10</f>
        <v>0</v>
      </c>
      <c r="AV30" s="302">
        <f>Sols!$K$10</f>
        <v>0</v>
      </c>
      <c r="AW30" s="302">
        <f>Sols!$K$10</f>
        <v>0</v>
      </c>
      <c r="AX30" s="302">
        <f>Sols!$K$10</f>
        <v>0</v>
      </c>
      <c r="AY30" s="302">
        <f>Sols!$K$10</f>
        <v>0</v>
      </c>
      <c r="AZ30" s="302">
        <f>Sols!$K$10</f>
        <v>0</v>
      </c>
      <c r="BA30" s="302">
        <f>Sols!$K$10</f>
        <v>0</v>
      </c>
      <c r="BB30" s="302">
        <f>Sols!$K$10</f>
        <v>0</v>
      </c>
      <c r="BC30" s="302">
        <f>Sols!$K$10</f>
        <v>0</v>
      </c>
      <c r="BD30" s="302">
        <f>Sols!$K$10</f>
        <v>0</v>
      </c>
      <c r="BE30" s="302">
        <f>Sols!$K$10</f>
        <v>0</v>
      </c>
      <c r="BF30" s="302">
        <f>Sols!$K$10</f>
        <v>0</v>
      </c>
      <c r="BG30" s="302">
        <f>Sols!$K$10</f>
        <v>0</v>
      </c>
      <c r="BH30" s="302">
        <f>Sols!$K$10</f>
        <v>0</v>
      </c>
      <c r="BI30" s="302">
        <f>Sols!$K$10</f>
        <v>0</v>
      </c>
      <c r="BJ30" s="302"/>
      <c r="BK30" s="286" t="s">
        <v>1098</v>
      </c>
    </row>
    <row r="31" spans="1:63">
      <c r="A31" s="305"/>
      <c r="B31" s="285"/>
      <c r="C31" s="294"/>
      <c r="D31" s="4030"/>
      <c r="E31" s="2021" t="s">
        <v>239</v>
      </c>
      <c r="F31" s="303" t="s">
        <v>240</v>
      </c>
      <c r="G31" s="2022" t="str">
        <f>Substances!$G$24</f>
        <v>(mg/m2/s)/(mg/l/m)</v>
      </c>
      <c r="H31" s="304">
        <f>H$4*H29+H$5*H30/H$3</f>
        <v>4.7790678046241198E-5</v>
      </c>
      <c r="I31" s="304">
        <f>I$4*I29+I$5*I30/I$3</f>
        <v>4.7790678046241198E-5</v>
      </c>
      <c r="J31" s="304">
        <f>J$4*J29+J$5*J30/J$3</f>
        <v>4.9122799289798886E-5</v>
      </c>
      <c r="K31" s="304">
        <f t="shared" ref="K31:V31" si="15">K$4*K29+K$5*K30/K$3</f>
        <v>9.8809993689332677E-5</v>
      </c>
      <c r="L31" s="304">
        <f t="shared" si="15"/>
        <v>6.8607693731461181E-5</v>
      </c>
      <c r="M31" s="304">
        <f t="shared" si="15"/>
        <v>6.8607693731461181E-5</v>
      </c>
      <c r="N31" s="304">
        <f>N$4*N29+N$5*N30/N$3</f>
        <v>7.3641410391106442E-5</v>
      </c>
      <c r="O31" s="304">
        <f>O$4*O29+O$5*O30/O$3</f>
        <v>7.3641410391106442E-5</v>
      </c>
      <c r="P31" s="304">
        <f t="shared" si="15"/>
        <v>6.7116222128603325E-5</v>
      </c>
      <c r="Q31" s="304">
        <f t="shared" si="15"/>
        <v>6.7116222128603325E-5</v>
      </c>
      <c r="R31" s="304">
        <f>R$4*R29+R$5*R30/R$3</f>
        <v>9.5081314682188051E-4</v>
      </c>
      <c r="S31" s="304">
        <f>S$4*S29+S$5*S30/S$3</f>
        <v>9.694565418576036E-5</v>
      </c>
      <c r="T31" s="304">
        <f>T$4*T29+T$5*T30/T$3</f>
        <v>9.694565418576036E-5</v>
      </c>
      <c r="U31" s="304">
        <f t="shared" si="15"/>
        <v>7.2709240639320263E-5</v>
      </c>
      <c r="V31" s="304">
        <f t="shared" si="15"/>
        <v>2.6549580698451496E-5</v>
      </c>
      <c r="W31" s="304">
        <f>W$4*W29+W$5*W30/W$3</f>
        <v>2.6549580698451496E-5</v>
      </c>
      <c r="X31" s="304">
        <f t="shared" ref="X31:BI31" si="16">X$4*X29+X$5*X30/X$3</f>
        <v>7.6386132438032339E-5</v>
      </c>
      <c r="Y31" s="304">
        <f t="shared" si="16"/>
        <v>6.8618051173147696E-5</v>
      </c>
      <c r="Z31" s="304">
        <f t="shared" si="16"/>
        <v>6.2921458245565614E-5</v>
      </c>
      <c r="AA31" s="304">
        <f t="shared" si="16"/>
        <v>6.2921458245565614E-5</v>
      </c>
      <c r="AB31" s="304">
        <f t="shared" si="16"/>
        <v>2.951870880656165E-5</v>
      </c>
      <c r="AC31" s="304">
        <f t="shared" si="16"/>
        <v>2.7248038898364599E-5</v>
      </c>
      <c r="AD31" s="304">
        <f t="shared" si="16"/>
        <v>2.3614967045249323E-5</v>
      </c>
      <c r="AE31" s="304">
        <f t="shared" si="16"/>
        <v>1.8643395035723148E-5</v>
      </c>
      <c r="AF31" s="304">
        <f t="shared" si="16"/>
        <v>1.4759354403280825E-5</v>
      </c>
      <c r="AG31" s="304">
        <f t="shared" si="16"/>
        <v>4.3731420454165406E-5</v>
      </c>
      <c r="AH31" s="304">
        <f t="shared" si="16"/>
        <v>3.542245056787398E-5</v>
      </c>
      <c r="AI31" s="304">
        <f t="shared" si="16"/>
        <v>2.7248038898364599E-5</v>
      </c>
      <c r="AJ31" s="304">
        <f t="shared" si="16"/>
        <v>2.2139031604921235E-5</v>
      </c>
      <c r="AK31" s="304">
        <f t="shared" si="16"/>
        <v>1.771122528393699E-5</v>
      </c>
      <c r="AL31" s="304">
        <f t="shared" si="16"/>
        <v>1.3119426136249623E-5</v>
      </c>
      <c r="AM31" s="304">
        <f t="shared" si="16"/>
        <v>1.1069515802460617E-5</v>
      </c>
      <c r="AN31" s="304">
        <f t="shared" si="16"/>
        <v>2.7632772110050689E-5</v>
      </c>
      <c r="AO31" s="304">
        <f t="shared" si="16"/>
        <v>2.3273620609641249E-5</v>
      </c>
      <c r="AP31" s="304">
        <f t="shared" si="16"/>
        <v>2.297026818486089E-5</v>
      </c>
      <c r="AQ31" s="304">
        <f t="shared" si="16"/>
        <v>2.1313147152752095E-5</v>
      </c>
      <c r="AR31" s="304">
        <f t="shared" si="16"/>
        <v>1.9877918388257003E-5</v>
      </c>
      <c r="AS31" s="304">
        <f t="shared" si="16"/>
        <v>1.9877918388257003E-5</v>
      </c>
      <c r="AT31" s="304">
        <f t="shared" si="16"/>
        <v>1.7509861872404338E-5</v>
      </c>
      <c r="AU31" s="304">
        <f t="shared" si="16"/>
        <v>1.7509861872404338E-5</v>
      </c>
      <c r="AV31" s="304">
        <f t="shared" si="16"/>
        <v>1.5515747073094166E-5</v>
      </c>
      <c r="AW31" s="304">
        <f t="shared" si="16"/>
        <v>1.5515747073094166E-5</v>
      </c>
      <c r="AX31" s="304">
        <f t="shared" si="16"/>
        <v>1.4038701081116828E-5</v>
      </c>
      <c r="AY31" s="304">
        <f t="shared" si="16"/>
        <v>1.4038701081116828E-5</v>
      </c>
      <c r="AZ31" s="304">
        <f t="shared" si="16"/>
        <v>1.4039813938911605E-5</v>
      </c>
      <c r="BA31" s="304">
        <f t="shared" si="16"/>
        <v>1.2723581382138644E-5</v>
      </c>
      <c r="BB31" s="304">
        <f t="shared" si="16"/>
        <v>1.3199601493469212E-5</v>
      </c>
      <c r="BC31" s="304">
        <f t="shared" si="16"/>
        <v>1.2820286126628297E-5</v>
      </c>
      <c r="BD31" s="304">
        <f t="shared" si="16"/>
        <v>7.6437919646464911E-5</v>
      </c>
      <c r="BE31" s="304">
        <f t="shared" si="16"/>
        <v>1.3756291482669507E-5</v>
      </c>
      <c r="BF31" s="304">
        <f t="shared" si="16"/>
        <v>1.3756291482669507E-5</v>
      </c>
      <c r="BG31" s="304">
        <f t="shared" si="16"/>
        <v>2.8617611379835027E-5</v>
      </c>
      <c r="BH31" s="304">
        <f t="shared" si="16"/>
        <v>5.0337166596452497E-5</v>
      </c>
      <c r="BI31" s="304">
        <f t="shared" si="16"/>
        <v>1.5660451830007443E-4</v>
      </c>
      <c r="BJ31" s="304"/>
      <c r="BK31" s="306"/>
    </row>
    <row r="32" spans="1:63">
      <c r="A32" s="305"/>
      <c r="B32" s="285"/>
      <c r="C32" s="294"/>
      <c r="D32" s="4030"/>
      <c r="E32" s="326"/>
      <c r="F32" s="293"/>
      <c r="G32" s="2017"/>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row>
    <row r="33" spans="1:63">
      <c r="A33" s="305"/>
      <c r="B33" s="285"/>
      <c r="C33" s="294"/>
      <c r="D33" s="4030"/>
      <c r="E33" s="323" t="str">
        <f>Sols!C11</f>
        <v xml:space="preserve">Gravier (sec) </v>
      </c>
      <c r="F33" s="306"/>
      <c r="G33" s="2017"/>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c r="BF33" s="302"/>
      <c r="BG33" s="302"/>
      <c r="BH33" s="302"/>
      <c r="BI33" s="302"/>
      <c r="BJ33" s="302"/>
      <c r="BK33" s="306"/>
    </row>
    <row r="34" spans="1:63">
      <c r="A34" s="305"/>
      <c r="B34" s="285"/>
      <c r="C34" s="294"/>
      <c r="D34" s="4030"/>
      <c r="E34" s="326" t="str">
        <f>Sols!C$48</f>
        <v>Potentiel de diffusion dans l'air interstitiel  (rapporté à Csa)</v>
      </c>
      <c r="F34" s="297" t="str">
        <f>Sols!F$48</f>
        <v>Dsa/Da</v>
      </c>
      <c r="G34" s="2020" t="str">
        <f>Sols!H$48</f>
        <v>-</v>
      </c>
      <c r="H34" s="301">
        <f>Sols!$J$11</f>
        <v>0.11696070952851463</v>
      </c>
      <c r="I34" s="301">
        <f>Sols!$J$11</f>
        <v>0.11696070952851463</v>
      </c>
      <c r="J34" s="302">
        <f>Sols!$J$11</f>
        <v>0.11696070952851463</v>
      </c>
      <c r="K34" s="302">
        <f>Sols!$J$11</f>
        <v>0.11696070952851463</v>
      </c>
      <c r="L34" s="302">
        <f>Sols!$J$11</f>
        <v>0.11696070952851463</v>
      </c>
      <c r="M34" s="302">
        <f>Sols!$J$11</f>
        <v>0.11696070952851463</v>
      </c>
      <c r="N34" s="302">
        <f>Sols!$J$11</f>
        <v>0.11696070952851463</v>
      </c>
      <c r="O34" s="302">
        <f>Sols!$J$11</f>
        <v>0.11696070952851463</v>
      </c>
      <c r="P34" s="302">
        <f>Sols!$J$11</f>
        <v>0.11696070952851463</v>
      </c>
      <c r="Q34" s="302">
        <f>Sols!$J$11</f>
        <v>0.11696070952851463</v>
      </c>
      <c r="R34" s="302">
        <f>Sols!$J$11</f>
        <v>0.11696070952851463</v>
      </c>
      <c r="S34" s="302">
        <f>Sols!$J$11</f>
        <v>0.11696070952851463</v>
      </c>
      <c r="T34" s="302">
        <f>Sols!$J$11</f>
        <v>0.11696070952851463</v>
      </c>
      <c r="U34" s="302">
        <f>Sols!$J$11</f>
        <v>0.11696070952851463</v>
      </c>
      <c r="V34" s="302">
        <f>Sols!$J$11</f>
        <v>0.11696070952851463</v>
      </c>
      <c r="W34" s="302">
        <f>Sols!$J$11</f>
        <v>0.11696070952851463</v>
      </c>
      <c r="X34" s="302">
        <f>Sols!$J$11</f>
        <v>0.11696070952851463</v>
      </c>
      <c r="Y34" s="302">
        <f>Sols!$J$11</f>
        <v>0.11696070952851463</v>
      </c>
      <c r="Z34" s="302">
        <f>Sols!$J$11</f>
        <v>0.11696070952851463</v>
      </c>
      <c r="AA34" s="302">
        <f>Sols!$J$11</f>
        <v>0.11696070952851463</v>
      </c>
      <c r="AB34" s="302">
        <f>Sols!$J$11</f>
        <v>0.11696070952851463</v>
      </c>
      <c r="AC34" s="302">
        <f>Sols!$J$11</f>
        <v>0.11696070952851463</v>
      </c>
      <c r="AD34" s="302">
        <f>Sols!$J$11</f>
        <v>0.11696070952851463</v>
      </c>
      <c r="AE34" s="302">
        <f>Sols!$J$11</f>
        <v>0.11696070952851463</v>
      </c>
      <c r="AF34" s="302">
        <f>Sols!$J$11</f>
        <v>0.11696070952851463</v>
      </c>
      <c r="AG34" s="302">
        <f>Sols!$J$11</f>
        <v>0.11696070952851463</v>
      </c>
      <c r="AH34" s="302">
        <f>Sols!$J$11</f>
        <v>0.11696070952851463</v>
      </c>
      <c r="AI34" s="302">
        <f>Sols!$J$11</f>
        <v>0.11696070952851463</v>
      </c>
      <c r="AJ34" s="302">
        <f>Sols!$J$11</f>
        <v>0.11696070952851463</v>
      </c>
      <c r="AK34" s="302">
        <f>Sols!$J$11</f>
        <v>0.11696070952851463</v>
      </c>
      <c r="AL34" s="302">
        <f>Sols!$J$11</f>
        <v>0.11696070952851463</v>
      </c>
      <c r="AM34" s="302">
        <f>Sols!$J$11</f>
        <v>0.11696070952851463</v>
      </c>
      <c r="AN34" s="302">
        <f>Sols!$J$11</f>
        <v>0.11696070952851463</v>
      </c>
      <c r="AO34" s="302">
        <f>Sols!$J$11</f>
        <v>0.11696070952851463</v>
      </c>
      <c r="AP34" s="302">
        <f>Sols!$J$11</f>
        <v>0.11696070952851463</v>
      </c>
      <c r="AQ34" s="302">
        <f>Sols!$J$11</f>
        <v>0.11696070952851463</v>
      </c>
      <c r="AR34" s="302">
        <f>Sols!$J$11</f>
        <v>0.11696070952851463</v>
      </c>
      <c r="AS34" s="302">
        <f>Sols!$J$11</f>
        <v>0.11696070952851463</v>
      </c>
      <c r="AT34" s="302">
        <f>Sols!$J$11</f>
        <v>0.11696070952851463</v>
      </c>
      <c r="AU34" s="302">
        <f>Sols!$J$11</f>
        <v>0.11696070952851463</v>
      </c>
      <c r="AV34" s="302">
        <f>Sols!$J$11</f>
        <v>0.11696070952851463</v>
      </c>
      <c r="AW34" s="302">
        <f>Sols!$J$11</f>
        <v>0.11696070952851463</v>
      </c>
      <c r="AX34" s="302">
        <f>Sols!$J$11</f>
        <v>0.11696070952851463</v>
      </c>
      <c r="AY34" s="302">
        <f>Sols!$J$11</f>
        <v>0.11696070952851463</v>
      </c>
      <c r="AZ34" s="302">
        <f>Sols!$J$11</f>
        <v>0.11696070952851463</v>
      </c>
      <c r="BA34" s="302">
        <f>Sols!$J$11</f>
        <v>0.11696070952851463</v>
      </c>
      <c r="BB34" s="302">
        <f>Sols!$J$11</f>
        <v>0.11696070952851463</v>
      </c>
      <c r="BC34" s="302">
        <f>Sols!$J$11</f>
        <v>0.11696070952851463</v>
      </c>
      <c r="BD34" s="302">
        <f>Sols!$J$11</f>
        <v>0.11696070952851463</v>
      </c>
      <c r="BE34" s="302">
        <f>Sols!$J$11</f>
        <v>0.11696070952851463</v>
      </c>
      <c r="BF34" s="302">
        <f>Sols!$J$11</f>
        <v>0.11696070952851463</v>
      </c>
      <c r="BG34" s="302">
        <f>Sols!$J$11</f>
        <v>0.11696070952851463</v>
      </c>
      <c r="BH34" s="302">
        <f>Sols!$J$11</f>
        <v>0.11696070952851463</v>
      </c>
      <c r="BI34" s="302">
        <f>Sols!$J$11</f>
        <v>0.11696070952851463</v>
      </c>
      <c r="BJ34" s="302"/>
      <c r="BK34" s="286" t="s">
        <v>1098</v>
      </c>
    </row>
    <row r="35" spans="1:63">
      <c r="A35" s="305"/>
      <c r="B35" s="285"/>
      <c r="C35" s="294"/>
      <c r="D35" s="4030"/>
      <c r="E35" s="326" t="str">
        <f>Sols!C$49</f>
        <v>Potentiel de diffusion dans l'eau interstitielle (rapporté à Cpw)</v>
      </c>
      <c r="F35" s="297" t="str">
        <f>Sols!F$49</f>
        <v>Dpw/Dw</v>
      </c>
      <c r="G35" s="2020" t="str">
        <f>Sols!H$49</f>
        <v>-</v>
      </c>
      <c r="H35" s="301">
        <f>Sols!$K$11</f>
        <v>0</v>
      </c>
      <c r="I35" s="301">
        <f>Sols!$K$11</f>
        <v>0</v>
      </c>
      <c r="J35" s="302">
        <f>Sols!$K$11</f>
        <v>0</v>
      </c>
      <c r="K35" s="302">
        <f>Sols!$K$11</f>
        <v>0</v>
      </c>
      <c r="L35" s="302">
        <f>Sols!$K$11</f>
        <v>0</v>
      </c>
      <c r="M35" s="302">
        <f>Sols!$K$11</f>
        <v>0</v>
      </c>
      <c r="N35" s="302">
        <f>Sols!$K$11</f>
        <v>0</v>
      </c>
      <c r="O35" s="302">
        <f>Sols!$K$11</f>
        <v>0</v>
      </c>
      <c r="P35" s="302">
        <f>Sols!$K$11</f>
        <v>0</v>
      </c>
      <c r="Q35" s="302">
        <f>Sols!$K$11</f>
        <v>0</v>
      </c>
      <c r="R35" s="302">
        <f>Sols!$K$11</f>
        <v>0</v>
      </c>
      <c r="S35" s="302">
        <f>Sols!$K$11</f>
        <v>0</v>
      </c>
      <c r="T35" s="302">
        <f>Sols!$K$11</f>
        <v>0</v>
      </c>
      <c r="U35" s="302">
        <f>Sols!$K$11</f>
        <v>0</v>
      </c>
      <c r="V35" s="302">
        <f>Sols!$K$11</f>
        <v>0</v>
      </c>
      <c r="W35" s="302">
        <f>Sols!$K$11</f>
        <v>0</v>
      </c>
      <c r="X35" s="302">
        <f>Sols!$K$11</f>
        <v>0</v>
      </c>
      <c r="Y35" s="302">
        <f>Sols!$K$11</f>
        <v>0</v>
      </c>
      <c r="Z35" s="302">
        <f>Sols!$K$11</f>
        <v>0</v>
      </c>
      <c r="AA35" s="302">
        <f>Sols!$K$11</f>
        <v>0</v>
      </c>
      <c r="AB35" s="302">
        <f>Sols!$K$11</f>
        <v>0</v>
      </c>
      <c r="AC35" s="302">
        <f>Sols!$K$11</f>
        <v>0</v>
      </c>
      <c r="AD35" s="302">
        <f>Sols!$K$11</f>
        <v>0</v>
      </c>
      <c r="AE35" s="302">
        <f>Sols!$K$11</f>
        <v>0</v>
      </c>
      <c r="AF35" s="302">
        <f>Sols!$K$11</f>
        <v>0</v>
      </c>
      <c r="AG35" s="302">
        <f>Sols!$K$11</f>
        <v>0</v>
      </c>
      <c r="AH35" s="302">
        <f>Sols!$K$11</f>
        <v>0</v>
      </c>
      <c r="AI35" s="302">
        <f>Sols!$K$11</f>
        <v>0</v>
      </c>
      <c r="AJ35" s="302">
        <f>Sols!$K$11</f>
        <v>0</v>
      </c>
      <c r="AK35" s="302">
        <f>Sols!$K$11</f>
        <v>0</v>
      </c>
      <c r="AL35" s="302">
        <f>Sols!$K$11</f>
        <v>0</v>
      </c>
      <c r="AM35" s="302">
        <f>Sols!$K$11</f>
        <v>0</v>
      </c>
      <c r="AN35" s="302">
        <f>Sols!$K$11</f>
        <v>0</v>
      </c>
      <c r="AO35" s="302">
        <f>Sols!$K$11</f>
        <v>0</v>
      </c>
      <c r="AP35" s="302">
        <f>Sols!$K$11</f>
        <v>0</v>
      </c>
      <c r="AQ35" s="302">
        <f>Sols!$K$11</f>
        <v>0</v>
      </c>
      <c r="AR35" s="302">
        <f>Sols!$K$11</f>
        <v>0</v>
      </c>
      <c r="AS35" s="302">
        <f>Sols!$K$11</f>
        <v>0</v>
      </c>
      <c r="AT35" s="302">
        <f>Sols!$K$11</f>
        <v>0</v>
      </c>
      <c r="AU35" s="302">
        <f>Sols!$K$11</f>
        <v>0</v>
      </c>
      <c r="AV35" s="302">
        <f>Sols!$K$11</f>
        <v>0</v>
      </c>
      <c r="AW35" s="302">
        <f>Sols!$K$11</f>
        <v>0</v>
      </c>
      <c r="AX35" s="302">
        <f>Sols!$K$11</f>
        <v>0</v>
      </c>
      <c r="AY35" s="302">
        <f>Sols!$K$11</f>
        <v>0</v>
      </c>
      <c r="AZ35" s="302">
        <f>Sols!$K$11</f>
        <v>0</v>
      </c>
      <c r="BA35" s="302">
        <f>Sols!$K$11</f>
        <v>0</v>
      </c>
      <c r="BB35" s="302">
        <f>Sols!$K$11</f>
        <v>0</v>
      </c>
      <c r="BC35" s="302">
        <f>Sols!$K$11</f>
        <v>0</v>
      </c>
      <c r="BD35" s="302">
        <f>Sols!$K$11</f>
        <v>0</v>
      </c>
      <c r="BE35" s="302">
        <f>Sols!$K$11</f>
        <v>0</v>
      </c>
      <c r="BF35" s="302">
        <f>Sols!$K$11</f>
        <v>0</v>
      </c>
      <c r="BG35" s="302">
        <f>Sols!$K$11</f>
        <v>0</v>
      </c>
      <c r="BH35" s="302">
        <f>Sols!$K$11</f>
        <v>0</v>
      </c>
      <c r="BI35" s="302">
        <f>Sols!$K$11</f>
        <v>0</v>
      </c>
      <c r="BJ35" s="302"/>
      <c r="BK35" s="286" t="s">
        <v>1098</v>
      </c>
    </row>
    <row r="36" spans="1:63">
      <c r="A36" s="305"/>
      <c r="B36" s="285"/>
      <c r="C36" s="294"/>
      <c r="D36" s="4030"/>
      <c r="E36" s="2021" t="s">
        <v>239</v>
      </c>
      <c r="F36" s="303" t="s">
        <v>240</v>
      </c>
      <c r="G36" s="2022" t="str">
        <f>Substances!$G$24</f>
        <v>(mg/m2/s)/(mg/l/m)</v>
      </c>
      <c r="H36" s="304">
        <f>H$4*H34+H$5*H35/H$3</f>
        <v>5.9963666514888775E-4</v>
      </c>
      <c r="I36" s="304">
        <f>I$4*I34+I$5*I35/I$3</f>
        <v>5.9963666514888775E-4</v>
      </c>
      <c r="J36" s="304">
        <f>J$4*J34+J$5*J35/J$3</f>
        <v>6.1635098628256223E-4</v>
      </c>
      <c r="K36" s="304">
        <f t="shared" ref="K36:V36" si="17">K$4*K34+K$5*K35/K$3</f>
        <v>1.2397835210022552E-3</v>
      </c>
      <c r="L36" s="304">
        <f t="shared" si="17"/>
        <v>8.6083082212986769E-4</v>
      </c>
      <c r="M36" s="304">
        <f t="shared" si="17"/>
        <v>8.6083082212986769E-4</v>
      </c>
      <c r="N36" s="304">
        <f>N$4*N34+N$5*N35/N$3</f>
        <v>9.2398960527526562E-4</v>
      </c>
      <c r="O36" s="304">
        <f>O$4*O34+O$5*O35/O$3</f>
        <v>9.2398960527526562E-4</v>
      </c>
      <c r="P36" s="304">
        <f t="shared" si="17"/>
        <v>8.4211710860530528E-4</v>
      </c>
      <c r="Q36" s="304">
        <f t="shared" si="17"/>
        <v>8.4211710860530528E-4</v>
      </c>
      <c r="R36" s="304">
        <f>R$4*R34+R$5*R35/R$3</f>
        <v>1.1929992371908494E-2</v>
      </c>
      <c r="S36" s="304">
        <f>S$4*S34+S$5*S35/S$3</f>
        <v>1.2163913790965522E-3</v>
      </c>
      <c r="T36" s="304">
        <f>T$4*T34+T$5*T35/T$3</f>
        <v>1.2163913790965522E-3</v>
      </c>
      <c r="U36" s="304">
        <f t="shared" si="17"/>
        <v>9.1229353432241412E-4</v>
      </c>
      <c r="V36" s="304">
        <f t="shared" si="17"/>
        <v>3.3312149318569603E-4</v>
      </c>
      <c r="W36" s="304">
        <f>W$4*W34+W$5*W35/W$3</f>
        <v>3.3312149318569603E-4</v>
      </c>
      <c r="X36" s="304">
        <f t="shared" ref="X36:BI36" si="18">X$4*X34+X$5*X35/X$3</f>
        <v>9.5842803641421723E-4</v>
      </c>
      <c r="Y36" s="304">
        <f t="shared" si="18"/>
        <v>8.6096077847378817E-4</v>
      </c>
      <c r="Z36" s="304">
        <f t="shared" si="18"/>
        <v>7.8948478931747371E-4</v>
      </c>
      <c r="AA36" s="304">
        <f t="shared" si="18"/>
        <v>7.8948478931747371E-4</v>
      </c>
      <c r="AB36" s="304">
        <f t="shared" si="18"/>
        <v>3.7037558017362967E-4</v>
      </c>
      <c r="AC36" s="304">
        <f t="shared" si="18"/>
        <v>3.418851509295043E-4</v>
      </c>
      <c r="AD36" s="304">
        <f t="shared" si="18"/>
        <v>2.9630046413890379E-4</v>
      </c>
      <c r="AE36" s="304">
        <f t="shared" si="18"/>
        <v>2.3392141905702926E-4</v>
      </c>
      <c r="AF36" s="304">
        <f t="shared" si="18"/>
        <v>1.8518779008681483E-4</v>
      </c>
      <c r="AG36" s="304">
        <f t="shared" si="18"/>
        <v>5.4870456322019207E-4</v>
      </c>
      <c r="AH36" s="304">
        <f t="shared" si="18"/>
        <v>4.444506962083556E-4</v>
      </c>
      <c r="AI36" s="304">
        <f t="shared" si="18"/>
        <v>3.418851509295043E-4</v>
      </c>
      <c r="AJ36" s="304">
        <f t="shared" si="18"/>
        <v>2.7778168513022225E-4</v>
      </c>
      <c r="AK36" s="304">
        <f t="shared" si="18"/>
        <v>2.222253481041778E-4</v>
      </c>
      <c r="AL36" s="304">
        <f t="shared" si="18"/>
        <v>1.6461136896605766E-4</v>
      </c>
      <c r="AM36" s="304">
        <f t="shared" si="18"/>
        <v>1.3889084256511113E-4</v>
      </c>
      <c r="AN36" s="304">
        <f t="shared" si="18"/>
        <v>3.4671245511222058E-4</v>
      </c>
      <c r="AO36" s="304">
        <f t="shared" si="18"/>
        <v>2.9201754021573954E-4</v>
      </c>
      <c r="AP36" s="304">
        <f t="shared" si="18"/>
        <v>2.8821133273351638E-4</v>
      </c>
      <c r="AQ36" s="304">
        <f t="shared" si="18"/>
        <v>2.6741919146110448E-4</v>
      </c>
      <c r="AR36" s="304">
        <f t="shared" si="18"/>
        <v>2.494111651000873E-4</v>
      </c>
      <c r="AS36" s="304">
        <f t="shared" si="18"/>
        <v>2.494111651000873E-4</v>
      </c>
      <c r="AT36" s="304">
        <f t="shared" si="18"/>
        <v>2.1969881176883617E-4</v>
      </c>
      <c r="AU36" s="304">
        <f t="shared" si="18"/>
        <v>2.1969881176883617E-4</v>
      </c>
      <c r="AV36" s="304">
        <f t="shared" si="18"/>
        <v>1.9467836014382635E-4</v>
      </c>
      <c r="AW36" s="304">
        <f t="shared" si="18"/>
        <v>1.9467836014382635E-4</v>
      </c>
      <c r="AX36" s="304">
        <f t="shared" si="18"/>
        <v>1.7614564688029312E-4</v>
      </c>
      <c r="AY36" s="304">
        <f t="shared" si="18"/>
        <v>1.7614564688029312E-4</v>
      </c>
      <c r="AZ36" s="304">
        <f t="shared" si="18"/>
        <v>1.7615961007069189E-4</v>
      </c>
      <c r="BA36" s="304">
        <f t="shared" si="18"/>
        <v>1.5964464662656454E-4</v>
      </c>
      <c r="BB36" s="304">
        <f t="shared" si="18"/>
        <v>1.6561734096301819E-4</v>
      </c>
      <c r="BC36" s="304">
        <f t="shared" si="18"/>
        <v>1.6085801527627783E-4</v>
      </c>
      <c r="BD36" s="304">
        <f t="shared" si="18"/>
        <v>9.5907781813382004E-4</v>
      </c>
      <c r="BE36" s="304">
        <f t="shared" si="18"/>
        <v>1.7260221211974974E-4</v>
      </c>
      <c r="BF36" s="304">
        <f t="shared" si="18"/>
        <v>1.7260221211974974E-4</v>
      </c>
      <c r="BG36" s="304">
        <f t="shared" si="18"/>
        <v>3.5906937825253991E-4</v>
      </c>
      <c r="BH36" s="304">
        <f t="shared" si="18"/>
        <v>6.3158783145397899E-4</v>
      </c>
      <c r="BI36" s="304">
        <f t="shared" si="18"/>
        <v>1.9649399200790457E-3</v>
      </c>
      <c r="BJ36" s="304"/>
      <c r="BK36" s="306"/>
    </row>
    <row r="37" spans="1:63">
      <c r="A37" s="305"/>
      <c r="B37" s="285"/>
      <c r="C37" s="294"/>
      <c r="D37" s="4030"/>
      <c r="E37" s="326" t="str">
        <f>E$18</f>
        <v>Conductivité à l'air</v>
      </c>
      <c r="F37" s="293" t="str">
        <f t="shared" ref="F37:G37" si="19">F$18</f>
        <v>K</v>
      </c>
      <c r="G37" s="2017" t="str">
        <f t="shared" si="19"/>
        <v>m3/m/Pa/s</v>
      </c>
      <c r="H37" s="302">
        <f>Sols!$U9</f>
        <v>7.6181864900226289E-5</v>
      </c>
      <c r="I37" s="302">
        <f>Sols!$U9</f>
        <v>7.6181864900226289E-5</v>
      </c>
      <c r="J37" s="302">
        <f>Sols!$U9</f>
        <v>7.6181864900226289E-5</v>
      </c>
      <c r="K37" s="302">
        <f>Sols!$U9</f>
        <v>7.6181864900226289E-5</v>
      </c>
      <c r="L37" s="302">
        <f>Sols!$U9</f>
        <v>7.6181864900226289E-5</v>
      </c>
      <c r="M37" s="302">
        <f>Sols!$U9</f>
        <v>7.6181864900226289E-5</v>
      </c>
      <c r="N37" s="302">
        <f>Sols!$U9</f>
        <v>7.6181864900226289E-5</v>
      </c>
      <c r="O37" s="302">
        <f>Sols!$U9</f>
        <v>7.6181864900226289E-5</v>
      </c>
      <c r="P37" s="302">
        <f>Sols!$U9</f>
        <v>7.6181864900226289E-5</v>
      </c>
      <c r="Q37" s="302">
        <f>Sols!$U9</f>
        <v>7.6181864900226289E-5</v>
      </c>
      <c r="R37" s="302">
        <f>Sols!$U9</f>
        <v>7.6181864900226289E-5</v>
      </c>
      <c r="S37" s="302">
        <f>Sols!$U9</f>
        <v>7.6181864900226289E-5</v>
      </c>
      <c r="T37" s="302">
        <f>Sols!$U9</f>
        <v>7.6181864900226289E-5</v>
      </c>
      <c r="U37" s="302">
        <f>Sols!$U9</f>
        <v>7.6181864900226289E-5</v>
      </c>
      <c r="V37" s="302">
        <f>Sols!$U9</f>
        <v>7.6181864900226289E-5</v>
      </c>
      <c r="W37" s="302">
        <f>Sols!$U9</f>
        <v>7.6181864900226289E-5</v>
      </c>
      <c r="X37" s="302">
        <f>Sols!$U9</f>
        <v>7.6181864900226289E-5</v>
      </c>
      <c r="Y37" s="302">
        <f>Sols!$U9</f>
        <v>7.6181864900226289E-5</v>
      </c>
      <c r="Z37" s="302">
        <f>Sols!$U9</f>
        <v>7.6181864900226289E-5</v>
      </c>
      <c r="AA37" s="302">
        <f>Sols!$U9</f>
        <v>7.6181864900226289E-5</v>
      </c>
      <c r="AB37" s="302">
        <f>Sols!$U9</f>
        <v>7.6181864900226289E-5</v>
      </c>
      <c r="AC37" s="302">
        <f>Sols!$U9</f>
        <v>7.6181864900226289E-5</v>
      </c>
      <c r="AD37" s="302">
        <f>Sols!$U9</f>
        <v>7.6181864900226289E-5</v>
      </c>
      <c r="AE37" s="302">
        <f>Sols!$U9</f>
        <v>7.6181864900226289E-5</v>
      </c>
      <c r="AF37" s="302">
        <f>Sols!$U9</f>
        <v>7.6181864900226289E-5</v>
      </c>
      <c r="AG37" s="302">
        <f>Sols!$U9</f>
        <v>7.6181864900226289E-5</v>
      </c>
      <c r="AH37" s="302">
        <f>Sols!$U9</f>
        <v>7.6181864900226289E-5</v>
      </c>
      <c r="AI37" s="302">
        <f>Sols!$U9</f>
        <v>7.6181864900226289E-5</v>
      </c>
      <c r="AJ37" s="302">
        <f>Sols!$U9</f>
        <v>7.6181864900226289E-5</v>
      </c>
      <c r="AK37" s="302">
        <f>Sols!$U9</f>
        <v>7.6181864900226289E-5</v>
      </c>
      <c r="AL37" s="302">
        <f>Sols!$U9</f>
        <v>7.6181864900226289E-5</v>
      </c>
      <c r="AM37" s="302">
        <f>Sols!$U9</f>
        <v>7.6181864900226289E-5</v>
      </c>
      <c r="AN37" s="302">
        <f>Sols!$U9</f>
        <v>7.6181864900226289E-5</v>
      </c>
      <c r="AO37" s="302">
        <f>Sols!$U9</f>
        <v>7.6181864900226289E-5</v>
      </c>
      <c r="AP37" s="302">
        <f>Sols!$U9</f>
        <v>7.6181864900226289E-5</v>
      </c>
      <c r="AQ37" s="302">
        <f>Sols!$U9</f>
        <v>7.6181864900226289E-5</v>
      </c>
      <c r="AR37" s="302">
        <f>Sols!$U9</f>
        <v>7.6181864900226289E-5</v>
      </c>
      <c r="AS37" s="302">
        <f>Sols!$U9</f>
        <v>7.6181864900226289E-5</v>
      </c>
      <c r="AT37" s="302">
        <f>Sols!$U9</f>
        <v>7.6181864900226289E-5</v>
      </c>
      <c r="AU37" s="302">
        <f>Sols!$U9</f>
        <v>7.6181864900226289E-5</v>
      </c>
      <c r="AV37" s="302">
        <f>Sols!$U9</f>
        <v>7.6181864900226289E-5</v>
      </c>
      <c r="AW37" s="302">
        <f>Sols!$U9</f>
        <v>7.6181864900226289E-5</v>
      </c>
      <c r="AX37" s="302">
        <f>Sols!$U9</f>
        <v>7.6181864900226289E-5</v>
      </c>
      <c r="AY37" s="302">
        <f>Sols!$U9</f>
        <v>7.6181864900226289E-5</v>
      </c>
      <c r="AZ37" s="302">
        <f>Sols!$U9</f>
        <v>7.6181864900226289E-5</v>
      </c>
      <c r="BA37" s="302">
        <f>Sols!$U9</f>
        <v>7.6181864900226289E-5</v>
      </c>
      <c r="BB37" s="302">
        <f>Sols!$U9</f>
        <v>7.6181864900226289E-5</v>
      </c>
      <c r="BC37" s="302">
        <f>Sols!$U9</f>
        <v>7.6181864900226289E-5</v>
      </c>
      <c r="BD37" s="302">
        <f>Sols!$U9</f>
        <v>7.6181864900226289E-5</v>
      </c>
      <c r="BE37" s="302">
        <f>Sols!$U9</f>
        <v>7.6181864900226289E-5</v>
      </c>
      <c r="BF37" s="302">
        <f>Sols!$U9</f>
        <v>7.6181864900226289E-5</v>
      </c>
      <c r="BG37" s="302">
        <f>Sols!$U9</f>
        <v>7.6181864900226289E-5</v>
      </c>
      <c r="BH37" s="302">
        <f>Sols!$U9</f>
        <v>7.6181864900226289E-5</v>
      </c>
      <c r="BI37" s="302">
        <f>Sols!$U9</f>
        <v>7.6181864900226289E-5</v>
      </c>
      <c r="BJ37" s="302"/>
    </row>
    <row r="38" spans="1:63" hidden="1">
      <c r="A38" s="305"/>
      <c r="B38" s="285"/>
      <c r="C38" s="294"/>
      <c r="D38" s="4030"/>
      <c r="E38" s="326"/>
      <c r="F38" s="293"/>
      <c r="G38" s="2017"/>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row>
    <row r="39" spans="1:63" hidden="1">
      <c r="A39" s="305"/>
      <c r="B39" s="285"/>
      <c r="C39" s="294"/>
      <c r="D39" s="4030"/>
      <c r="E39" s="3644" t="str">
        <f>Sols!C16</f>
        <v>Terre de couverture sèche</v>
      </c>
      <c r="F39" s="293"/>
      <c r="G39" s="2017"/>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row>
    <row r="40" spans="1:63" hidden="1">
      <c r="A40" s="305"/>
      <c r="B40" s="285"/>
      <c r="C40" s="294"/>
      <c r="D40" s="4030"/>
      <c r="E40" s="3646" t="str">
        <f>Sols!C$48</f>
        <v>Potentiel de diffusion dans l'air interstitiel  (rapporté à Csa)</v>
      </c>
      <c r="F40" s="297" t="str">
        <f>Sols!F$48</f>
        <v>Dsa/Da</v>
      </c>
      <c r="G40" s="2020" t="str">
        <f>Sols!H$48</f>
        <v>-</v>
      </c>
      <c r="H40" s="302">
        <f>Sols!$J$16</f>
        <v>6.1675421348392413E-2</v>
      </c>
      <c r="I40" s="302">
        <f>Sols!$J$16</f>
        <v>6.1675421348392413E-2</v>
      </c>
      <c r="J40" s="302">
        <f>Sols!$J$16</f>
        <v>6.1675421348392413E-2</v>
      </c>
      <c r="K40" s="302">
        <f>Sols!$J$16</f>
        <v>6.1675421348392413E-2</v>
      </c>
      <c r="L40" s="302">
        <f>Sols!$J$16</f>
        <v>6.1675421348392413E-2</v>
      </c>
      <c r="M40" s="302">
        <f>Sols!$J$16</f>
        <v>6.1675421348392413E-2</v>
      </c>
      <c r="N40" s="302">
        <f>Sols!$J$16</f>
        <v>6.1675421348392413E-2</v>
      </c>
      <c r="O40" s="302">
        <f>Sols!$J$16</f>
        <v>6.1675421348392413E-2</v>
      </c>
      <c r="P40" s="302">
        <f>Sols!$J$16</f>
        <v>6.1675421348392413E-2</v>
      </c>
      <c r="Q40" s="302">
        <f>Sols!$J$16</f>
        <v>6.1675421348392413E-2</v>
      </c>
      <c r="R40" s="302">
        <f>Sols!$J$16</f>
        <v>6.1675421348392413E-2</v>
      </c>
      <c r="S40" s="302">
        <f>Sols!$J$16</f>
        <v>6.1675421348392413E-2</v>
      </c>
      <c r="T40" s="302">
        <f>Sols!$J$16</f>
        <v>6.1675421348392413E-2</v>
      </c>
      <c r="U40" s="302">
        <f>Sols!$J$16</f>
        <v>6.1675421348392413E-2</v>
      </c>
      <c r="V40" s="302">
        <f>Sols!$J$16</f>
        <v>6.1675421348392413E-2</v>
      </c>
      <c r="W40" s="302">
        <f>Sols!$J$16</f>
        <v>6.1675421348392413E-2</v>
      </c>
      <c r="X40" s="302">
        <f>Sols!$J$16</f>
        <v>6.1675421348392413E-2</v>
      </c>
      <c r="Y40" s="302">
        <f>Sols!$J$16</f>
        <v>6.1675421348392413E-2</v>
      </c>
      <c r="Z40" s="302">
        <f>Sols!$J$16</f>
        <v>6.1675421348392413E-2</v>
      </c>
      <c r="AA40" s="302">
        <f>Sols!$J$16</f>
        <v>6.1675421348392413E-2</v>
      </c>
      <c r="AB40" s="302">
        <f>Sols!$J$16</f>
        <v>6.1675421348392413E-2</v>
      </c>
      <c r="AC40" s="302">
        <f>Sols!$J$16</f>
        <v>6.1675421348392413E-2</v>
      </c>
      <c r="AD40" s="302">
        <f>Sols!$J$16</f>
        <v>6.1675421348392413E-2</v>
      </c>
      <c r="AE40" s="302">
        <f>Sols!$J$16</f>
        <v>6.1675421348392413E-2</v>
      </c>
      <c r="AF40" s="302">
        <f>Sols!$J$16</f>
        <v>6.1675421348392413E-2</v>
      </c>
      <c r="AG40" s="302">
        <f>Sols!$J$16</f>
        <v>6.1675421348392413E-2</v>
      </c>
      <c r="AH40" s="302">
        <f>Sols!$J$16</f>
        <v>6.1675421348392413E-2</v>
      </c>
      <c r="AI40" s="302">
        <f>Sols!$J$16</f>
        <v>6.1675421348392413E-2</v>
      </c>
      <c r="AJ40" s="302">
        <f>Sols!$J$16</f>
        <v>6.1675421348392413E-2</v>
      </c>
      <c r="AK40" s="302">
        <f>Sols!$J$16</f>
        <v>6.1675421348392413E-2</v>
      </c>
      <c r="AL40" s="302">
        <f>Sols!$J$16</f>
        <v>6.1675421348392413E-2</v>
      </c>
      <c r="AM40" s="302">
        <f>Sols!$J$16</f>
        <v>6.1675421348392413E-2</v>
      </c>
      <c r="AN40" s="302">
        <f>Sols!$J$16</f>
        <v>6.1675421348392413E-2</v>
      </c>
      <c r="AO40" s="302">
        <f>Sols!$J$16</f>
        <v>6.1675421348392413E-2</v>
      </c>
      <c r="AP40" s="302">
        <f>Sols!$J$16</f>
        <v>6.1675421348392413E-2</v>
      </c>
      <c r="AQ40" s="302">
        <f>Sols!$J$16</f>
        <v>6.1675421348392413E-2</v>
      </c>
      <c r="AR40" s="302">
        <f>Sols!$J$16</f>
        <v>6.1675421348392413E-2</v>
      </c>
      <c r="AS40" s="302">
        <f>Sols!$J$16</f>
        <v>6.1675421348392413E-2</v>
      </c>
      <c r="AT40" s="302">
        <f>Sols!$J$16</f>
        <v>6.1675421348392413E-2</v>
      </c>
      <c r="AU40" s="302">
        <f>Sols!$J$16</f>
        <v>6.1675421348392413E-2</v>
      </c>
      <c r="AV40" s="302">
        <f>Sols!$J$16</f>
        <v>6.1675421348392413E-2</v>
      </c>
      <c r="AW40" s="302">
        <f>Sols!$J$16</f>
        <v>6.1675421348392413E-2</v>
      </c>
      <c r="AX40" s="302">
        <f>Sols!$J$16</f>
        <v>6.1675421348392413E-2</v>
      </c>
      <c r="AY40" s="302">
        <f>Sols!$J$16</f>
        <v>6.1675421348392413E-2</v>
      </c>
      <c r="AZ40" s="302">
        <f>Sols!$J$16</f>
        <v>6.1675421348392413E-2</v>
      </c>
      <c r="BA40" s="302">
        <f>Sols!$J$16</f>
        <v>6.1675421348392413E-2</v>
      </c>
      <c r="BB40" s="302">
        <f>Sols!$J$16</f>
        <v>6.1675421348392413E-2</v>
      </c>
      <c r="BC40" s="302">
        <f>Sols!$J$16</f>
        <v>6.1675421348392413E-2</v>
      </c>
      <c r="BD40" s="302">
        <f>Sols!$J$16</f>
        <v>6.1675421348392413E-2</v>
      </c>
      <c r="BE40" s="302">
        <f>Sols!$J$16</f>
        <v>6.1675421348392413E-2</v>
      </c>
      <c r="BF40" s="302">
        <f>Sols!$J$16</f>
        <v>6.1675421348392413E-2</v>
      </c>
      <c r="BG40" s="302">
        <f>Sols!$J$16</f>
        <v>6.1675421348392413E-2</v>
      </c>
      <c r="BH40" s="302">
        <f>Sols!$J$16</f>
        <v>6.1675421348392413E-2</v>
      </c>
      <c r="BI40" s="302">
        <f>Sols!$J$16</f>
        <v>6.1675421348392413E-2</v>
      </c>
      <c r="BJ40" s="302"/>
      <c r="BK40" s="286" t="s">
        <v>1098</v>
      </c>
    </row>
    <row r="41" spans="1:63" hidden="1">
      <c r="A41" s="305"/>
      <c r="B41" s="285"/>
      <c r="C41" s="294"/>
      <c r="D41" s="4030"/>
      <c r="E41" s="3646" t="str">
        <f>Sols!C$49</f>
        <v>Potentiel de diffusion dans l'eau interstitielle (rapporté à Cpw)</v>
      </c>
      <c r="F41" s="297" t="str">
        <f>Sols!F$49</f>
        <v>Dpw/Dw</v>
      </c>
      <c r="G41" s="2020" t="str">
        <f>Sols!H$49</f>
        <v>-</v>
      </c>
      <c r="H41" s="302">
        <f>Sols!$K$16</f>
        <v>3.5596603296296396E-3</v>
      </c>
      <c r="I41" s="302">
        <f>Sols!$K$16</f>
        <v>3.5596603296296396E-3</v>
      </c>
      <c r="J41" s="302">
        <f>Sols!$K$16</f>
        <v>3.5596603296296396E-3</v>
      </c>
      <c r="K41" s="302">
        <f>Sols!$K$16</f>
        <v>3.5596603296296396E-3</v>
      </c>
      <c r="L41" s="302">
        <f>Sols!$K$16</f>
        <v>3.5596603296296396E-3</v>
      </c>
      <c r="M41" s="302">
        <f>Sols!$K$16</f>
        <v>3.5596603296296396E-3</v>
      </c>
      <c r="N41" s="302">
        <f>Sols!$K$16</f>
        <v>3.5596603296296396E-3</v>
      </c>
      <c r="O41" s="302">
        <f>Sols!$K$16</f>
        <v>3.5596603296296396E-3</v>
      </c>
      <c r="P41" s="302">
        <f>Sols!$K$16</f>
        <v>3.5596603296296396E-3</v>
      </c>
      <c r="Q41" s="302">
        <f>Sols!$K$16</f>
        <v>3.5596603296296396E-3</v>
      </c>
      <c r="R41" s="302">
        <f>Sols!$K$16</f>
        <v>3.5596603296296396E-3</v>
      </c>
      <c r="S41" s="302">
        <f>Sols!$K$16</f>
        <v>3.5596603296296396E-3</v>
      </c>
      <c r="T41" s="302">
        <f>Sols!$K$16</f>
        <v>3.5596603296296396E-3</v>
      </c>
      <c r="U41" s="302">
        <f>Sols!$K$16</f>
        <v>3.5596603296296396E-3</v>
      </c>
      <c r="V41" s="302">
        <f>Sols!$K$16</f>
        <v>3.5596603296296396E-3</v>
      </c>
      <c r="W41" s="302">
        <f>Sols!$K$16</f>
        <v>3.5596603296296396E-3</v>
      </c>
      <c r="X41" s="302">
        <f>Sols!$K$16</f>
        <v>3.5596603296296396E-3</v>
      </c>
      <c r="Y41" s="302">
        <f>Sols!$K$16</f>
        <v>3.5596603296296396E-3</v>
      </c>
      <c r="Z41" s="302">
        <f>Sols!$K$16</f>
        <v>3.5596603296296396E-3</v>
      </c>
      <c r="AA41" s="302">
        <f>Sols!$K$16</f>
        <v>3.5596603296296396E-3</v>
      </c>
      <c r="AB41" s="302">
        <f>Sols!$K$16</f>
        <v>3.5596603296296396E-3</v>
      </c>
      <c r="AC41" s="302">
        <f>Sols!$K$16</f>
        <v>3.5596603296296396E-3</v>
      </c>
      <c r="AD41" s="302">
        <f>Sols!$K$16</f>
        <v>3.5596603296296396E-3</v>
      </c>
      <c r="AE41" s="302">
        <f>Sols!$K$16</f>
        <v>3.5596603296296396E-3</v>
      </c>
      <c r="AF41" s="302">
        <f>Sols!$K$16</f>
        <v>3.5596603296296396E-3</v>
      </c>
      <c r="AG41" s="302">
        <f>Sols!$K$16</f>
        <v>3.5596603296296396E-3</v>
      </c>
      <c r="AH41" s="302">
        <f>Sols!$K$16</f>
        <v>3.5596603296296396E-3</v>
      </c>
      <c r="AI41" s="302">
        <f>Sols!$K$16</f>
        <v>3.5596603296296396E-3</v>
      </c>
      <c r="AJ41" s="302">
        <f>Sols!$K$16</f>
        <v>3.5596603296296396E-3</v>
      </c>
      <c r="AK41" s="302">
        <f>Sols!$K$16</f>
        <v>3.5596603296296396E-3</v>
      </c>
      <c r="AL41" s="302">
        <f>Sols!$K$16</f>
        <v>3.5596603296296396E-3</v>
      </c>
      <c r="AM41" s="302">
        <f>Sols!$K$16</f>
        <v>3.5596603296296396E-3</v>
      </c>
      <c r="AN41" s="302">
        <f>Sols!$K$16</f>
        <v>3.5596603296296396E-3</v>
      </c>
      <c r="AO41" s="302">
        <f>Sols!$K$16</f>
        <v>3.5596603296296396E-3</v>
      </c>
      <c r="AP41" s="302">
        <f>Sols!$K$16</f>
        <v>3.5596603296296396E-3</v>
      </c>
      <c r="AQ41" s="302">
        <f>Sols!$K$16</f>
        <v>3.5596603296296396E-3</v>
      </c>
      <c r="AR41" s="302">
        <f>Sols!$K$16</f>
        <v>3.5596603296296396E-3</v>
      </c>
      <c r="AS41" s="302">
        <f>Sols!$K$16</f>
        <v>3.5596603296296396E-3</v>
      </c>
      <c r="AT41" s="302">
        <f>Sols!$K$16</f>
        <v>3.5596603296296396E-3</v>
      </c>
      <c r="AU41" s="302">
        <f>Sols!$K$16</f>
        <v>3.5596603296296396E-3</v>
      </c>
      <c r="AV41" s="302">
        <f>Sols!$K$16</f>
        <v>3.5596603296296396E-3</v>
      </c>
      <c r="AW41" s="302">
        <f>Sols!$K$16</f>
        <v>3.5596603296296396E-3</v>
      </c>
      <c r="AX41" s="302">
        <f>Sols!$K$16</f>
        <v>3.5596603296296396E-3</v>
      </c>
      <c r="AY41" s="302">
        <f>Sols!$K$16</f>
        <v>3.5596603296296396E-3</v>
      </c>
      <c r="AZ41" s="302">
        <f>Sols!$K$16</f>
        <v>3.5596603296296396E-3</v>
      </c>
      <c r="BA41" s="302">
        <f>Sols!$K$16</f>
        <v>3.5596603296296396E-3</v>
      </c>
      <c r="BB41" s="302">
        <f>Sols!$K$16</f>
        <v>3.5596603296296396E-3</v>
      </c>
      <c r="BC41" s="302">
        <f>Sols!$K$16</f>
        <v>3.5596603296296396E-3</v>
      </c>
      <c r="BD41" s="302">
        <f>Sols!$K$16</f>
        <v>3.5596603296296396E-3</v>
      </c>
      <c r="BE41" s="302">
        <f>Sols!$K$16</f>
        <v>3.5596603296296396E-3</v>
      </c>
      <c r="BF41" s="302">
        <f>Sols!$K$16</f>
        <v>3.5596603296296396E-3</v>
      </c>
      <c r="BG41" s="302">
        <f>Sols!$K$16</f>
        <v>3.5596603296296396E-3</v>
      </c>
      <c r="BH41" s="302">
        <f>Sols!$K$16</f>
        <v>3.5596603296296396E-3</v>
      </c>
      <c r="BI41" s="302">
        <f>Sols!$K$16</f>
        <v>3.5596603296296396E-3</v>
      </c>
      <c r="BJ41" s="302"/>
      <c r="BK41" s="286" t="s">
        <v>1098</v>
      </c>
    </row>
    <row r="42" spans="1:63" hidden="1">
      <c r="A42" s="305"/>
      <c r="B42" s="285"/>
      <c r="C42" s="294"/>
      <c r="D42" s="4030"/>
      <c r="E42" s="3646" t="s">
        <v>239</v>
      </c>
      <c r="F42" s="303" t="s">
        <v>240</v>
      </c>
      <c r="G42" s="2022" t="str">
        <f>Substances!$G$24</f>
        <v>(mg/m2/s)/(mg/l/m)</v>
      </c>
      <c r="H42" s="304">
        <f t="shared" ref="H42:W42" si="20">H$4*H40+H$5*H41/H$3</f>
        <v>3.2127380171045341E-4</v>
      </c>
      <c r="I42" s="304">
        <f>I$4*I40+I$5*I41/I$3</f>
        <v>3.2127380171045341E-4</v>
      </c>
      <c r="J42" s="304">
        <f>J$4*J40+J$5*J41/J$3</f>
        <v>3.2581937432885316E-4</v>
      </c>
      <c r="K42" s="304">
        <f t="shared" si="20"/>
        <v>6.5375984766422729E-4</v>
      </c>
      <c r="L42" s="304">
        <f t="shared" si="20"/>
        <v>4.5396108308705721E-4</v>
      </c>
      <c r="M42" s="304">
        <f t="shared" si="20"/>
        <v>4.5396108308705721E-4</v>
      </c>
      <c r="N42" s="304">
        <f>N$4*N40+N$5*N41/N$3</f>
        <v>4.8724339123723293E-4</v>
      </c>
      <c r="O42" s="304">
        <f>O$4*O40+O$5*O41/O$3</f>
        <v>4.8724339123723293E-4</v>
      </c>
      <c r="P42" s="304">
        <f t="shared" si="20"/>
        <v>4.4406695769237464E-4</v>
      </c>
      <c r="Q42" s="304">
        <f t="shared" si="20"/>
        <v>4.4406695769237464E-4</v>
      </c>
      <c r="R42" s="304">
        <f>R$4*R40+R$5*R41/R$3</f>
        <v>6.2909149521440631E-3</v>
      </c>
      <c r="S42" s="304">
        <f>S$4*S40+S$5*S41/S$3</f>
        <v>6.4145339940234621E-4</v>
      </c>
      <c r="T42" s="304">
        <f>T$4*T40+T$5*T41/T$3</f>
        <v>6.4145339940234621E-4</v>
      </c>
      <c r="U42" s="304">
        <f t="shared" si="20"/>
        <v>4.8107180851318909E-4</v>
      </c>
      <c r="V42" s="304">
        <f t="shared" si="20"/>
        <v>1.756611159254647E-4</v>
      </c>
      <c r="W42" s="304">
        <f t="shared" si="20"/>
        <v>1.756611159254647E-4</v>
      </c>
      <c r="X42" s="304">
        <f t="shared" ref="X42:BC42" si="21">X$4*X40+X$5*X41/X$3</f>
        <v>5.0541124739261365E-4</v>
      </c>
      <c r="Y42" s="304">
        <f t="shared" si="21"/>
        <v>4.5401164912020446E-4</v>
      </c>
      <c r="Z42" s="304">
        <f t="shared" si="21"/>
        <v>4.1631812707428978E-4</v>
      </c>
      <c r="AA42" s="304">
        <f t="shared" si="21"/>
        <v>4.1632154369088456E-4</v>
      </c>
      <c r="AB42" s="304">
        <f t="shared" si="21"/>
        <v>1.9530784932359898E-4</v>
      </c>
      <c r="AC42" s="304">
        <f t="shared" si="21"/>
        <v>1.8028943312236277E-4</v>
      </c>
      <c r="AD42" s="304">
        <f t="shared" si="21"/>
        <v>1.5626141547788041E-4</v>
      </c>
      <c r="AE42" s="304">
        <f t="shared" si="21"/>
        <v>1.2340560670185603E-4</v>
      </c>
      <c r="AF42" s="304">
        <f t="shared" si="21"/>
        <v>9.849396373026514E-5</v>
      </c>
      <c r="AG42" s="304">
        <f t="shared" si="21"/>
        <v>2.8934153347397434E-4</v>
      </c>
      <c r="AH42" s="304">
        <f t="shared" si="21"/>
        <v>2.3436662817730969E-4</v>
      </c>
      <c r="AI42" s="304">
        <f t="shared" si="21"/>
        <v>1.8028201387098287E-4</v>
      </c>
      <c r="AJ42" s="304">
        <f t="shared" si="21"/>
        <v>1.4647913274759303E-4</v>
      </c>
      <c r="AK42" s="304">
        <f t="shared" si="21"/>
        <v>1.1718330186259072E-4</v>
      </c>
      <c r="AL42" s="304">
        <f t="shared" si="21"/>
        <v>8.6802444962943146E-5</v>
      </c>
      <c r="AM42" s="304">
        <f t="shared" si="21"/>
        <v>7.3239562893486957E-5</v>
      </c>
      <c r="AN42" s="304">
        <f t="shared" si="21"/>
        <v>1.8307996459037597E-4</v>
      </c>
      <c r="AO42" s="304">
        <f t="shared" si="21"/>
        <v>1.5424810715896457E-4</v>
      </c>
      <c r="AP42" s="304">
        <f t="shared" si="21"/>
        <v>1.5215750871151379E-4</v>
      </c>
      <c r="AQ42" s="304">
        <f t="shared" si="21"/>
        <v>1.4126993736263523E-4</v>
      </c>
      <c r="AR42" s="304">
        <f t="shared" si="21"/>
        <v>1.3209830210397303E-4</v>
      </c>
      <c r="AS42" s="304">
        <f t="shared" si="21"/>
        <v>1.3199327747035814E-4</v>
      </c>
      <c r="AT42" s="304">
        <f t="shared" si="21"/>
        <v>1.1745448160770075E-4</v>
      </c>
      <c r="AU42" s="304">
        <f t="shared" si="21"/>
        <v>1.1765329431513722E-4</v>
      </c>
      <c r="AV42" s="304">
        <f t="shared" si="21"/>
        <v>1.0518933250268576E-4</v>
      </c>
      <c r="AW42" s="304">
        <f t="shared" si="21"/>
        <v>1.0594894419516151E-4</v>
      </c>
      <c r="AX42" s="304">
        <f t="shared" si="21"/>
        <v>1.7587126871423286E-4</v>
      </c>
      <c r="AY42" s="304">
        <f t="shared" si="21"/>
        <v>1.7587126871423286E-4</v>
      </c>
      <c r="AZ42" s="304">
        <f t="shared" si="21"/>
        <v>2.076962991873339E-4</v>
      </c>
      <c r="BA42" s="304">
        <f t="shared" si="21"/>
        <v>2.4244828413521767E-4</v>
      </c>
      <c r="BB42" s="304">
        <f t="shared" si="21"/>
        <v>1.0396825380754443E-4</v>
      </c>
      <c r="BC42" s="304">
        <f t="shared" si="21"/>
        <v>23.650617400184746</v>
      </c>
      <c r="BD42" s="304">
        <f t="shared" ref="BD42:BI42" si="22">BD$4*BD40+BD$5*BD41/BD$3</f>
        <v>7.359373740624906E-4</v>
      </c>
      <c r="BE42" s="304">
        <f t="shared" si="22"/>
        <v>9.2561182532703901E-5</v>
      </c>
      <c r="BF42" s="304">
        <f t="shared" si="22"/>
        <v>9.2561182532703901E-5</v>
      </c>
      <c r="BG42" s="304">
        <f t="shared" si="22"/>
        <v>1.8935103778615689E-4</v>
      </c>
      <c r="BH42" s="304">
        <f t="shared" si="22"/>
        <v>4.4802554479208222E-4</v>
      </c>
      <c r="BI42" s="304">
        <f t="shared" si="22"/>
        <v>1.0811112091325247E-3</v>
      </c>
      <c r="BJ42" s="304"/>
    </row>
    <row r="43" spans="1:63" hidden="1">
      <c r="A43" s="305"/>
      <c r="B43" s="285"/>
      <c r="C43" s="294"/>
      <c r="D43" s="4030"/>
      <c r="E43" s="3646"/>
      <c r="F43" s="293"/>
      <c r="G43" s="2017"/>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row>
    <row r="44" spans="1:63" s="306" customFormat="1" hidden="1">
      <c r="A44" s="307"/>
      <c r="B44" s="285"/>
      <c r="C44" s="308"/>
      <c r="D44" s="4030"/>
      <c r="E44" s="3644" t="str">
        <f>Sols!C$15</f>
        <v>Sable limoneux</v>
      </c>
      <c r="G44" s="2017"/>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row>
    <row r="45" spans="1:63" s="306" customFormat="1" hidden="1">
      <c r="A45" s="307"/>
      <c r="B45" s="285"/>
      <c r="C45" s="308"/>
      <c r="D45" s="4030"/>
      <c r="E45" s="3646" t="str">
        <f>Sols!C48</f>
        <v>Potentiel de diffusion dans l'air interstitiel  (rapporté à Csa)</v>
      </c>
      <c r="F45" s="297" t="str">
        <f>Sols!F48</f>
        <v>Dsa/Da</v>
      </c>
      <c r="G45" s="2020" t="str">
        <f>Sols!H48</f>
        <v>-</v>
      </c>
      <c r="H45" s="301">
        <f>Sols!$J$15</f>
        <v>2.9240177382128658E-2</v>
      </c>
      <c r="I45" s="301">
        <f>Sols!$J$15</f>
        <v>2.9240177382128658E-2</v>
      </c>
      <c r="J45" s="302">
        <f>Sols!$J$15</f>
        <v>2.9240177382128658E-2</v>
      </c>
      <c r="K45" s="302">
        <f>Sols!$J$15</f>
        <v>2.9240177382128658E-2</v>
      </c>
      <c r="L45" s="302">
        <f>Sols!$J$15</f>
        <v>2.9240177382128658E-2</v>
      </c>
      <c r="M45" s="302">
        <f>Sols!$J$15</f>
        <v>2.9240177382128658E-2</v>
      </c>
      <c r="N45" s="302">
        <f>Sols!$J$15</f>
        <v>2.9240177382128658E-2</v>
      </c>
      <c r="O45" s="302">
        <f>Sols!$J$15</f>
        <v>2.9240177382128658E-2</v>
      </c>
      <c r="P45" s="302">
        <f>Sols!$J$15</f>
        <v>2.9240177382128658E-2</v>
      </c>
      <c r="Q45" s="302">
        <f>Sols!$J$15</f>
        <v>2.9240177382128658E-2</v>
      </c>
      <c r="R45" s="302">
        <f>Sols!$J$15</f>
        <v>2.9240177382128658E-2</v>
      </c>
      <c r="S45" s="302">
        <f>Sols!$J$15</f>
        <v>2.9240177382128658E-2</v>
      </c>
      <c r="T45" s="302">
        <f>Sols!$J$15</f>
        <v>2.9240177382128658E-2</v>
      </c>
      <c r="U45" s="302">
        <f>Sols!$J$15</f>
        <v>2.9240177382128658E-2</v>
      </c>
      <c r="V45" s="302">
        <f>Sols!$J$15</f>
        <v>2.9240177382128658E-2</v>
      </c>
      <c r="W45" s="302">
        <f>Sols!$J$15</f>
        <v>2.9240177382128658E-2</v>
      </c>
      <c r="X45" s="302">
        <f>Sols!$J$15</f>
        <v>2.9240177382128658E-2</v>
      </c>
      <c r="Y45" s="302">
        <f>Sols!$J$15</f>
        <v>2.9240177382128658E-2</v>
      </c>
      <c r="Z45" s="302">
        <f>Sols!$J$15</f>
        <v>2.9240177382128658E-2</v>
      </c>
      <c r="AA45" s="302">
        <f>Sols!$J$15</f>
        <v>2.9240177382128658E-2</v>
      </c>
      <c r="AB45" s="302">
        <f>Sols!$J$15</f>
        <v>2.9240177382128658E-2</v>
      </c>
      <c r="AC45" s="302">
        <f>Sols!$J$15</f>
        <v>2.9240177382128658E-2</v>
      </c>
      <c r="AD45" s="302">
        <f>Sols!$J$15</f>
        <v>2.9240177382128658E-2</v>
      </c>
      <c r="AE45" s="302">
        <f>Sols!$J$15</f>
        <v>2.9240177382128658E-2</v>
      </c>
      <c r="AF45" s="302">
        <f>Sols!$J$15</f>
        <v>2.9240177382128658E-2</v>
      </c>
      <c r="AG45" s="302">
        <f>Sols!$J$15</f>
        <v>2.9240177382128658E-2</v>
      </c>
      <c r="AH45" s="302">
        <f>Sols!$J$15</f>
        <v>2.9240177382128658E-2</v>
      </c>
      <c r="AI45" s="302">
        <f>Sols!$J$15</f>
        <v>2.9240177382128658E-2</v>
      </c>
      <c r="AJ45" s="302">
        <f>Sols!$J$15</f>
        <v>2.9240177382128658E-2</v>
      </c>
      <c r="AK45" s="302">
        <f>Sols!$J$15</f>
        <v>2.9240177382128658E-2</v>
      </c>
      <c r="AL45" s="302">
        <f>Sols!$J$15</f>
        <v>2.9240177382128658E-2</v>
      </c>
      <c r="AM45" s="302">
        <f>Sols!$J$15</f>
        <v>2.9240177382128658E-2</v>
      </c>
      <c r="AN45" s="302">
        <f>Sols!$J$15</f>
        <v>2.9240177382128658E-2</v>
      </c>
      <c r="AO45" s="302">
        <f>Sols!$J$15</f>
        <v>2.9240177382128658E-2</v>
      </c>
      <c r="AP45" s="302">
        <f>Sols!$J$15</f>
        <v>2.9240177382128658E-2</v>
      </c>
      <c r="AQ45" s="302">
        <f>Sols!$J$15</f>
        <v>2.9240177382128658E-2</v>
      </c>
      <c r="AR45" s="302">
        <f>Sols!$J$15</f>
        <v>2.9240177382128658E-2</v>
      </c>
      <c r="AS45" s="302">
        <f>Sols!$J$15</f>
        <v>2.9240177382128658E-2</v>
      </c>
      <c r="AT45" s="302">
        <f>Sols!$J$15</f>
        <v>2.9240177382128658E-2</v>
      </c>
      <c r="AU45" s="302">
        <f>Sols!$J$15</f>
        <v>2.9240177382128658E-2</v>
      </c>
      <c r="AV45" s="302">
        <f>Sols!$J$15</f>
        <v>2.9240177382128658E-2</v>
      </c>
      <c r="AW45" s="302">
        <f>Sols!$J$15</f>
        <v>2.9240177382128658E-2</v>
      </c>
      <c r="AX45" s="302">
        <f>Sols!$J$15</f>
        <v>2.9240177382128658E-2</v>
      </c>
      <c r="AY45" s="302">
        <f>Sols!$J$15</f>
        <v>2.9240177382128658E-2</v>
      </c>
      <c r="AZ45" s="302">
        <f>Sols!$J$15</f>
        <v>2.9240177382128658E-2</v>
      </c>
      <c r="BA45" s="302">
        <f>Sols!$J$15</f>
        <v>2.9240177382128658E-2</v>
      </c>
      <c r="BB45" s="302">
        <f>Sols!$J$15</f>
        <v>2.9240177382128658E-2</v>
      </c>
      <c r="BC45" s="302">
        <f>Sols!$J$15</f>
        <v>2.9240177382128658E-2</v>
      </c>
      <c r="BD45" s="302">
        <f>Sols!$J$15</f>
        <v>2.9240177382128658E-2</v>
      </c>
      <c r="BE45" s="302">
        <f>Sols!$J$15</f>
        <v>2.9240177382128658E-2</v>
      </c>
      <c r="BF45" s="302">
        <f>Sols!$J$15</f>
        <v>2.9240177382128658E-2</v>
      </c>
      <c r="BG45" s="302">
        <f>Sols!$J$15</f>
        <v>2.9240177382128658E-2</v>
      </c>
      <c r="BH45" s="302">
        <f>Sols!$J$15</f>
        <v>2.9240177382128658E-2</v>
      </c>
      <c r="BI45" s="302">
        <f>Sols!$J$15</f>
        <v>2.9240177382128658E-2</v>
      </c>
      <c r="BJ45" s="302"/>
      <c r="BK45" s="286" t="s">
        <v>1098</v>
      </c>
    </row>
    <row r="46" spans="1:63" s="306" customFormat="1" hidden="1">
      <c r="A46" s="307"/>
      <c r="B46" s="285"/>
      <c r="C46" s="308"/>
      <c r="D46" s="4030"/>
      <c r="E46" s="3646" t="str">
        <f>Sols!C49</f>
        <v>Potentiel de diffusion dans l'eau interstitielle (rapporté à Cpw)</v>
      </c>
      <c r="F46" s="297" t="str">
        <f>Sols!F49</f>
        <v>Dpw/Dw</v>
      </c>
      <c r="G46" s="2020" t="str">
        <f>Sols!H49</f>
        <v>-</v>
      </c>
      <c r="H46" s="301">
        <f>Sols!$K$15</f>
        <v>2.9240177382128658E-2</v>
      </c>
      <c r="I46" s="301">
        <f>Sols!$K$15</f>
        <v>2.9240177382128658E-2</v>
      </c>
      <c r="J46" s="302">
        <f>Sols!$K$15</f>
        <v>2.9240177382128658E-2</v>
      </c>
      <c r="K46" s="302">
        <f>Sols!$K$15</f>
        <v>2.9240177382128658E-2</v>
      </c>
      <c r="L46" s="302">
        <f>Sols!$K$15</f>
        <v>2.9240177382128658E-2</v>
      </c>
      <c r="M46" s="302">
        <f>Sols!$K$15</f>
        <v>2.9240177382128658E-2</v>
      </c>
      <c r="N46" s="302">
        <f>Sols!$K$15</f>
        <v>2.9240177382128658E-2</v>
      </c>
      <c r="O46" s="302">
        <f>Sols!$K$15</f>
        <v>2.9240177382128658E-2</v>
      </c>
      <c r="P46" s="302">
        <f>Sols!$K$15</f>
        <v>2.9240177382128658E-2</v>
      </c>
      <c r="Q46" s="302">
        <f>Sols!$K$15</f>
        <v>2.9240177382128658E-2</v>
      </c>
      <c r="R46" s="302">
        <f>Sols!$K$15</f>
        <v>2.9240177382128658E-2</v>
      </c>
      <c r="S46" s="302">
        <f>Sols!$K$15</f>
        <v>2.9240177382128658E-2</v>
      </c>
      <c r="T46" s="302">
        <f>Sols!$K$15</f>
        <v>2.9240177382128658E-2</v>
      </c>
      <c r="U46" s="302">
        <f>Sols!$K$15</f>
        <v>2.9240177382128658E-2</v>
      </c>
      <c r="V46" s="302">
        <f>Sols!$K$15</f>
        <v>2.9240177382128658E-2</v>
      </c>
      <c r="W46" s="302">
        <f>Sols!$K$15</f>
        <v>2.9240177382128658E-2</v>
      </c>
      <c r="X46" s="302">
        <f>Sols!$K$15</f>
        <v>2.9240177382128658E-2</v>
      </c>
      <c r="Y46" s="302">
        <f>Sols!$K$15</f>
        <v>2.9240177382128658E-2</v>
      </c>
      <c r="Z46" s="302">
        <f>Sols!$K$15</f>
        <v>2.9240177382128658E-2</v>
      </c>
      <c r="AA46" s="302">
        <f>Sols!$K$15</f>
        <v>2.9240177382128658E-2</v>
      </c>
      <c r="AB46" s="302">
        <f>Sols!$K$15</f>
        <v>2.9240177382128658E-2</v>
      </c>
      <c r="AC46" s="302">
        <f>Sols!$K$15</f>
        <v>2.9240177382128658E-2</v>
      </c>
      <c r="AD46" s="302">
        <f>Sols!$K$15</f>
        <v>2.9240177382128658E-2</v>
      </c>
      <c r="AE46" s="302">
        <f>Sols!$K$15</f>
        <v>2.9240177382128658E-2</v>
      </c>
      <c r="AF46" s="302">
        <f>Sols!$K$15</f>
        <v>2.9240177382128658E-2</v>
      </c>
      <c r="AG46" s="302">
        <f>Sols!$K$15</f>
        <v>2.9240177382128658E-2</v>
      </c>
      <c r="AH46" s="302">
        <f>Sols!$K$15</f>
        <v>2.9240177382128658E-2</v>
      </c>
      <c r="AI46" s="302">
        <f>Sols!$K$15</f>
        <v>2.9240177382128658E-2</v>
      </c>
      <c r="AJ46" s="302">
        <f>Sols!$K$15</f>
        <v>2.9240177382128658E-2</v>
      </c>
      <c r="AK46" s="302">
        <f>Sols!$K$15</f>
        <v>2.9240177382128658E-2</v>
      </c>
      <c r="AL46" s="302">
        <f>Sols!$K$15</f>
        <v>2.9240177382128658E-2</v>
      </c>
      <c r="AM46" s="302">
        <f>Sols!$K$15</f>
        <v>2.9240177382128658E-2</v>
      </c>
      <c r="AN46" s="302">
        <f>Sols!$K$15</f>
        <v>2.9240177382128658E-2</v>
      </c>
      <c r="AO46" s="302">
        <f>Sols!$K$15</f>
        <v>2.9240177382128658E-2</v>
      </c>
      <c r="AP46" s="302">
        <f>Sols!$K$15</f>
        <v>2.9240177382128658E-2</v>
      </c>
      <c r="AQ46" s="302">
        <f>Sols!$K$15</f>
        <v>2.9240177382128658E-2</v>
      </c>
      <c r="AR46" s="302">
        <f>Sols!$K$15</f>
        <v>2.9240177382128658E-2</v>
      </c>
      <c r="AS46" s="302">
        <f>Sols!$K$15</f>
        <v>2.9240177382128658E-2</v>
      </c>
      <c r="AT46" s="302">
        <f>Sols!$K$15</f>
        <v>2.9240177382128658E-2</v>
      </c>
      <c r="AU46" s="302">
        <f>Sols!$K$15</f>
        <v>2.9240177382128658E-2</v>
      </c>
      <c r="AV46" s="302">
        <f>Sols!$K$15</f>
        <v>2.9240177382128658E-2</v>
      </c>
      <c r="AW46" s="302">
        <f>Sols!$K$15</f>
        <v>2.9240177382128658E-2</v>
      </c>
      <c r="AX46" s="302">
        <f>Sols!$K$15</f>
        <v>2.9240177382128658E-2</v>
      </c>
      <c r="AY46" s="302">
        <f>Sols!$K$15</f>
        <v>2.9240177382128658E-2</v>
      </c>
      <c r="AZ46" s="302">
        <f>Sols!$K$15</f>
        <v>2.9240177382128658E-2</v>
      </c>
      <c r="BA46" s="302">
        <f>Sols!$K$15</f>
        <v>2.9240177382128658E-2</v>
      </c>
      <c r="BB46" s="302">
        <f>Sols!$K$15</f>
        <v>2.9240177382128658E-2</v>
      </c>
      <c r="BC46" s="302">
        <f>Sols!$K$15</f>
        <v>2.9240177382128658E-2</v>
      </c>
      <c r="BD46" s="302">
        <f>Sols!$K$15</f>
        <v>2.9240177382128658E-2</v>
      </c>
      <c r="BE46" s="302">
        <f>Sols!$K$15</f>
        <v>2.9240177382128658E-2</v>
      </c>
      <c r="BF46" s="302">
        <f>Sols!$K$15</f>
        <v>2.9240177382128658E-2</v>
      </c>
      <c r="BG46" s="302">
        <f>Sols!$K$15</f>
        <v>2.9240177382128658E-2</v>
      </c>
      <c r="BH46" s="302">
        <f>Sols!$K$15</f>
        <v>2.9240177382128658E-2</v>
      </c>
      <c r="BI46" s="302">
        <f>Sols!$K$15</f>
        <v>2.9240177382128658E-2</v>
      </c>
      <c r="BJ46" s="302"/>
      <c r="BK46" s="286" t="s">
        <v>1098</v>
      </c>
    </row>
    <row r="47" spans="1:63" s="306" customFormat="1" hidden="1">
      <c r="A47" s="307"/>
      <c r="B47" s="285"/>
      <c r="C47" s="308"/>
      <c r="D47" s="4030"/>
      <c r="E47" s="3646" t="s">
        <v>239</v>
      </c>
      <c r="F47" s="303" t="s">
        <v>240</v>
      </c>
      <c r="G47" s="2022" t="str">
        <f>Substances!$G$24</f>
        <v>(mg/m2/s)/(mg/l/m)</v>
      </c>
      <c r="H47" s="304">
        <f t="shared" ref="H47:V47" si="23">H$4*H45+H$5*H46/H$3</f>
        <v>1.9159627734629636E-4</v>
      </c>
      <c r="I47" s="304">
        <f>I$4*I45+I$5*I46/I$3</f>
        <v>1.9159627734629636E-4</v>
      </c>
      <c r="J47" s="304">
        <f>J$4*J45+J$5*J46/J$3</f>
        <v>1.6071467255706864E-4</v>
      </c>
      <c r="K47" s="304">
        <f t="shared" si="23"/>
        <v>3.099490129549467E-4</v>
      </c>
      <c r="L47" s="304">
        <f t="shared" si="23"/>
        <v>2.154539868716845E-4</v>
      </c>
      <c r="M47" s="304">
        <f t="shared" si="23"/>
        <v>2.154539868716845E-4</v>
      </c>
      <c r="N47" s="304">
        <f>N$4*N45+N$5*N46/N$3</f>
        <v>2.3105952278671638E-4</v>
      </c>
      <c r="O47" s="304">
        <f>O$4*O45+O$5*O46/O$3</f>
        <v>2.3105952278671638E-4</v>
      </c>
      <c r="P47" s="304">
        <f t="shared" si="23"/>
        <v>2.1056150999831108E-4</v>
      </c>
      <c r="Q47" s="304">
        <f t="shared" si="23"/>
        <v>2.1056150999831108E-4</v>
      </c>
      <c r="R47" s="304">
        <f>R$4*R45+R$5*R46/R$3</f>
        <v>2.9826785993674505E-3</v>
      </c>
      <c r="S47" s="304">
        <f>S$4*S45+S$5*S46/S$3</f>
        <v>3.0433620271631741E-4</v>
      </c>
      <c r="T47" s="304">
        <f>T$4*T45+T$5*T46/T$3</f>
        <v>3.0433620271631741E-4</v>
      </c>
      <c r="U47" s="304">
        <f t="shared" si="23"/>
        <v>2.2810231436902058E-4</v>
      </c>
      <c r="V47" s="304">
        <f t="shared" si="23"/>
        <v>8.3283203817867459E-5</v>
      </c>
      <c r="W47" s="304">
        <f>W$4*W45+W$5*W46/W$3</f>
        <v>8.3283203817867459E-5</v>
      </c>
      <c r="X47" s="304">
        <f t="shared" ref="X47:BC47" si="24">X$4*X45+X$5*X46/X$3</f>
        <v>2.3973378529884719E-4</v>
      </c>
      <c r="Y47" s="304">
        <f t="shared" si="24"/>
        <v>2.1533892865267568E-4</v>
      </c>
      <c r="Z47" s="304">
        <f t="shared" si="24"/>
        <v>1.9744539702761256E-4</v>
      </c>
      <c r="AA47" s="304">
        <f t="shared" si="24"/>
        <v>1.9747346219845099E-4</v>
      </c>
      <c r="AB47" s="304">
        <f t="shared" si="24"/>
        <v>9.2613185438208126E-5</v>
      </c>
      <c r="AC47" s="304">
        <f t="shared" si="24"/>
        <v>8.5532338652184915E-5</v>
      </c>
      <c r="AD47" s="304">
        <f t="shared" si="24"/>
        <v>7.4214880404602782E-5</v>
      </c>
      <c r="AE47" s="304">
        <f t="shared" si="24"/>
        <v>5.8930203647059292E-5</v>
      </c>
      <c r="AF47" s="304">
        <f t="shared" si="24"/>
        <v>5.3206939689122174E-5</v>
      </c>
      <c r="AG47" s="304">
        <f t="shared" si="24"/>
        <v>1.3717655649032317E-4</v>
      </c>
      <c r="AH47" s="304">
        <f t="shared" si="24"/>
        <v>1.1111289627743701E-4</v>
      </c>
      <c r="AI47" s="304">
        <f t="shared" si="24"/>
        <v>8.5471394571485736E-5</v>
      </c>
      <c r="AJ47" s="304">
        <f t="shared" si="24"/>
        <v>6.944547915373997E-5</v>
      </c>
      <c r="AK47" s="304">
        <f t="shared" si="24"/>
        <v>5.5556347709955414E-5</v>
      </c>
      <c r="AL47" s="304">
        <f t="shared" si="24"/>
        <v>4.1152843081368337E-5</v>
      </c>
      <c r="AM47" s="304">
        <f t="shared" si="24"/>
        <v>3.4722710988504891E-5</v>
      </c>
      <c r="AN47" s="304">
        <f t="shared" si="24"/>
        <v>8.8751752863654547E-5</v>
      </c>
      <c r="AO47" s="304">
        <f t="shared" si="24"/>
        <v>7.5157906736941809E-5</v>
      </c>
      <c r="AP47" s="304">
        <f t="shared" si="24"/>
        <v>7.3520304327643436E-5</v>
      </c>
      <c r="AQ47" s="304">
        <f t="shared" si="24"/>
        <v>6.8950559553842763E-5</v>
      </c>
      <c r="AR47" s="304">
        <f t="shared" si="24"/>
        <v>6.7112546334183802E-5</v>
      </c>
      <c r="AS47" s="304">
        <f t="shared" si="24"/>
        <v>6.6249840729710685E-5</v>
      </c>
      <c r="AT47" s="304">
        <f t="shared" si="24"/>
        <v>6.8096094535064936E-5</v>
      </c>
      <c r="AU47" s="304">
        <f t="shared" si="24"/>
        <v>6.972920508296619E-5</v>
      </c>
      <c r="AV47" s="304">
        <f t="shared" si="24"/>
        <v>6.9468560136792736E-5</v>
      </c>
      <c r="AW47" s="304">
        <f t="shared" si="24"/>
        <v>7.5708251167043585E-5</v>
      </c>
      <c r="AX47" s="304">
        <f t="shared" si="24"/>
        <v>7.2571461172120768E-4</v>
      </c>
      <c r="AY47" s="304">
        <f t="shared" si="24"/>
        <v>7.2571461172120768E-4</v>
      </c>
      <c r="AZ47" s="304">
        <f t="shared" si="24"/>
        <v>9.8707850032651585E-4</v>
      </c>
      <c r="BA47" s="304">
        <f t="shared" si="24"/>
        <v>1.3399490006351796E-3</v>
      </c>
      <c r="BB47" s="304">
        <f t="shared" si="24"/>
        <v>1.7805230633235368E-4</v>
      </c>
      <c r="BC47" s="304">
        <f t="shared" si="24"/>
        <v>194.27300552401812</v>
      </c>
      <c r="BD47" s="304">
        <f t="shared" ref="BD47:BI47" si="25">BD$4*BD45+BD$5*BD46/BD$3</f>
        <v>2.1306962850719362E-3</v>
      </c>
      <c r="BE47" s="304">
        <f t="shared" si="25"/>
        <v>5.584189215638962E-5</v>
      </c>
      <c r="BF47" s="304">
        <f t="shared" si="25"/>
        <v>5.584189215638962E-5</v>
      </c>
      <c r="BG47" s="304">
        <f t="shared" si="25"/>
        <v>8.9828904678261023E-5</v>
      </c>
      <c r="BH47" s="304">
        <f t="shared" si="25"/>
        <v>1.102364880153907E-3</v>
      </c>
      <c r="BI47" s="304">
        <f t="shared" si="25"/>
        <v>8.6058458905717604E-4</v>
      </c>
      <c r="BJ47" s="304"/>
    </row>
    <row r="48" spans="1:63" s="306" customFormat="1" hidden="1">
      <c r="A48" s="307"/>
      <c r="B48" s="285"/>
      <c r="C48" s="308"/>
      <c r="D48" s="4030"/>
      <c r="E48" s="3646" t="str">
        <f t="shared" ref="E48:G48" si="26">E$18</f>
        <v>Conductivité à l'air</v>
      </c>
      <c r="F48" s="714" t="str">
        <f t="shared" si="26"/>
        <v>K</v>
      </c>
      <c r="G48" s="2017" t="str">
        <f t="shared" si="26"/>
        <v>m3/m/Pa/s</v>
      </c>
      <c r="H48" s="302">
        <f>Sols!$U15</f>
        <v>3.0472745960090518E-7</v>
      </c>
      <c r="I48" s="302">
        <f>Sols!$U15</f>
        <v>3.0472745960090518E-7</v>
      </c>
      <c r="J48" s="302">
        <f>Sols!$U15</f>
        <v>3.0472745960090518E-7</v>
      </c>
      <c r="K48" s="302">
        <f>Sols!$U15</f>
        <v>3.0472745960090518E-7</v>
      </c>
      <c r="L48" s="302">
        <f>Sols!$U15</f>
        <v>3.0472745960090518E-7</v>
      </c>
      <c r="M48" s="302">
        <f>Sols!$U15</f>
        <v>3.0472745960090518E-7</v>
      </c>
      <c r="N48" s="302">
        <f>Sols!$U15</f>
        <v>3.0472745960090518E-7</v>
      </c>
      <c r="O48" s="302">
        <f>Sols!$U15</f>
        <v>3.0472745960090518E-7</v>
      </c>
      <c r="P48" s="302">
        <f>Sols!$U15</f>
        <v>3.0472745960090518E-7</v>
      </c>
      <c r="Q48" s="302">
        <f>Sols!$U15</f>
        <v>3.0472745960090518E-7</v>
      </c>
      <c r="R48" s="302">
        <f>Sols!$U15</f>
        <v>3.0472745960090518E-7</v>
      </c>
      <c r="S48" s="302">
        <f>Sols!$U15</f>
        <v>3.0472745960090518E-7</v>
      </c>
      <c r="T48" s="302">
        <f>Sols!$U15</f>
        <v>3.0472745960090518E-7</v>
      </c>
      <c r="U48" s="302">
        <f>Sols!$U15</f>
        <v>3.0472745960090518E-7</v>
      </c>
      <c r="V48" s="302">
        <f>Sols!$U15</f>
        <v>3.0472745960090518E-7</v>
      </c>
      <c r="W48" s="302">
        <f>Sols!$U15</f>
        <v>3.0472745960090518E-7</v>
      </c>
      <c r="X48" s="302">
        <f>Sols!$U15</f>
        <v>3.0472745960090518E-7</v>
      </c>
      <c r="Y48" s="302">
        <f>Sols!$U15</f>
        <v>3.0472745960090518E-7</v>
      </c>
      <c r="Z48" s="302">
        <f>Sols!$U15</f>
        <v>3.0472745960090518E-7</v>
      </c>
      <c r="AA48" s="302">
        <f>Sols!$U15</f>
        <v>3.0472745960090518E-7</v>
      </c>
      <c r="AB48" s="302">
        <f>Sols!$U15</f>
        <v>3.0472745960090518E-7</v>
      </c>
      <c r="AC48" s="302">
        <f>Sols!$U15</f>
        <v>3.0472745960090518E-7</v>
      </c>
      <c r="AD48" s="302">
        <f>Sols!$U15</f>
        <v>3.0472745960090518E-7</v>
      </c>
      <c r="AE48" s="302">
        <f>Sols!$U15</f>
        <v>3.0472745960090518E-7</v>
      </c>
      <c r="AF48" s="302">
        <f>Sols!$U15</f>
        <v>3.0472745960090518E-7</v>
      </c>
      <c r="AG48" s="302">
        <f>Sols!$U15</f>
        <v>3.0472745960090518E-7</v>
      </c>
      <c r="AH48" s="302">
        <f>Sols!$U15</f>
        <v>3.0472745960090518E-7</v>
      </c>
      <c r="AI48" s="302">
        <f>Sols!$U15</f>
        <v>3.0472745960090518E-7</v>
      </c>
      <c r="AJ48" s="302">
        <f>Sols!$U15</f>
        <v>3.0472745960090518E-7</v>
      </c>
      <c r="AK48" s="302">
        <f>Sols!$U15</f>
        <v>3.0472745960090518E-7</v>
      </c>
      <c r="AL48" s="302">
        <f>Sols!$U15</f>
        <v>3.0472745960090518E-7</v>
      </c>
      <c r="AM48" s="302">
        <f>Sols!$U15</f>
        <v>3.0472745960090518E-7</v>
      </c>
      <c r="AN48" s="302">
        <f>Sols!$U15</f>
        <v>3.0472745960090518E-7</v>
      </c>
      <c r="AO48" s="302">
        <f>Sols!$U15</f>
        <v>3.0472745960090518E-7</v>
      </c>
      <c r="AP48" s="302">
        <f>Sols!$U15</f>
        <v>3.0472745960090518E-7</v>
      </c>
      <c r="AQ48" s="302">
        <f>Sols!$U15</f>
        <v>3.0472745960090518E-7</v>
      </c>
      <c r="AR48" s="302">
        <f>Sols!$U15</f>
        <v>3.0472745960090518E-7</v>
      </c>
      <c r="AS48" s="302">
        <f>Sols!$U15</f>
        <v>3.0472745960090518E-7</v>
      </c>
      <c r="AT48" s="302">
        <f>Sols!$U15</f>
        <v>3.0472745960090518E-7</v>
      </c>
      <c r="AU48" s="302">
        <f>Sols!$U15</f>
        <v>3.0472745960090518E-7</v>
      </c>
      <c r="AV48" s="302">
        <f>Sols!$U15</f>
        <v>3.0472745960090518E-7</v>
      </c>
      <c r="AW48" s="302">
        <f>Sols!$U15</f>
        <v>3.0472745960090518E-7</v>
      </c>
      <c r="AX48" s="302">
        <f>Sols!$U15</f>
        <v>3.0472745960090518E-7</v>
      </c>
      <c r="AY48" s="302">
        <f>Sols!$U15</f>
        <v>3.0472745960090518E-7</v>
      </c>
      <c r="AZ48" s="302">
        <f>Sols!$U15</f>
        <v>3.0472745960090518E-7</v>
      </c>
      <c r="BA48" s="302">
        <f>Sols!$U15</f>
        <v>3.0472745960090518E-7</v>
      </c>
      <c r="BB48" s="302">
        <f>Sols!$U15</f>
        <v>3.0472745960090518E-7</v>
      </c>
      <c r="BC48" s="302">
        <f>Sols!$U15</f>
        <v>3.0472745960090518E-7</v>
      </c>
      <c r="BD48" s="302">
        <f>Sols!$U15</f>
        <v>3.0472745960090518E-7</v>
      </c>
      <c r="BE48" s="302">
        <f>Sols!$U15</f>
        <v>3.0472745960090518E-7</v>
      </c>
      <c r="BF48" s="302">
        <f>Sols!$U15</f>
        <v>3.0472745960090518E-7</v>
      </c>
      <c r="BG48" s="302">
        <f>Sols!$U15</f>
        <v>3.0472745960090518E-7</v>
      </c>
      <c r="BH48" s="302">
        <f>Sols!$U15</f>
        <v>3.0472745960090518E-7</v>
      </c>
      <c r="BI48" s="302">
        <f>Sols!$U15</f>
        <v>3.0472745960090518E-7</v>
      </c>
      <c r="BJ48" s="302"/>
    </row>
    <row r="49" spans="1:63" s="306" customFormat="1" hidden="1">
      <c r="A49" s="307"/>
      <c r="B49" s="285"/>
      <c r="C49" s="308"/>
      <c r="D49" s="4030"/>
      <c r="E49" s="3646"/>
      <c r="G49" s="2017"/>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row>
    <row r="50" spans="1:63" s="306" customFormat="1" hidden="1">
      <c r="A50" s="307"/>
      <c r="B50" s="285"/>
      <c r="C50" s="308"/>
      <c r="D50" s="4030"/>
      <c r="E50" s="3644" t="str">
        <f>Sols!C$18</f>
        <v>Sol limoneux</v>
      </c>
      <c r="F50" s="293"/>
      <c r="G50" s="2017"/>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c r="AP50" s="309"/>
      <c r="AQ50" s="309"/>
      <c r="AR50" s="309"/>
      <c r="AS50" s="309"/>
      <c r="AT50" s="309"/>
      <c r="AU50" s="309"/>
      <c r="AV50" s="309"/>
      <c r="AW50" s="309"/>
      <c r="AX50" s="309"/>
      <c r="AY50" s="309"/>
      <c r="AZ50" s="309"/>
      <c r="BA50" s="309"/>
      <c r="BB50" s="309"/>
      <c r="BC50" s="309"/>
      <c r="BD50" s="309"/>
      <c r="BE50" s="309"/>
      <c r="BF50" s="309"/>
      <c r="BG50" s="309"/>
      <c r="BH50" s="309"/>
      <c r="BI50" s="309"/>
      <c r="BJ50" s="309"/>
      <c r="BK50" s="293"/>
    </row>
    <row r="51" spans="1:63" s="306" customFormat="1" hidden="1">
      <c r="A51" s="307"/>
      <c r="B51" s="285"/>
      <c r="C51" s="308"/>
      <c r="D51" s="4030"/>
      <c r="E51" s="3646" t="str">
        <f>Sols!C48</f>
        <v>Potentiel de diffusion dans l'air interstitiel  (rapporté à Csa)</v>
      </c>
      <c r="F51" s="297" t="str">
        <f>Sols!F48</f>
        <v>Dsa/Da</v>
      </c>
      <c r="G51" s="2020" t="str">
        <f>Sols!H48</f>
        <v>-</v>
      </c>
      <c r="H51" s="301">
        <f>Sols!$J$18</f>
        <v>7.9204732498501917E-3</v>
      </c>
      <c r="I51" s="301">
        <f>Sols!$J$18</f>
        <v>7.9204732498501917E-3</v>
      </c>
      <c r="J51" s="301">
        <f>Sols!$J$18</f>
        <v>7.9204732498501917E-3</v>
      </c>
      <c r="K51" s="301">
        <f>Sols!$J$18</f>
        <v>7.9204732498501917E-3</v>
      </c>
      <c r="L51" s="301">
        <f>Sols!$J$18</f>
        <v>7.9204732498501917E-3</v>
      </c>
      <c r="M51" s="301">
        <f>Sols!$J$18</f>
        <v>7.9204732498501917E-3</v>
      </c>
      <c r="N51" s="301">
        <f>Sols!$J$18</f>
        <v>7.9204732498501917E-3</v>
      </c>
      <c r="O51" s="301">
        <f>Sols!$J$18</f>
        <v>7.9204732498501917E-3</v>
      </c>
      <c r="P51" s="301">
        <f>Sols!$J$18</f>
        <v>7.9204732498501917E-3</v>
      </c>
      <c r="Q51" s="301">
        <f>Sols!$J$18</f>
        <v>7.9204732498501917E-3</v>
      </c>
      <c r="R51" s="301">
        <f>Sols!$J$18</f>
        <v>7.9204732498501917E-3</v>
      </c>
      <c r="S51" s="301">
        <f>Sols!$J$18</f>
        <v>7.9204732498501917E-3</v>
      </c>
      <c r="T51" s="301">
        <f>Sols!$J$18</f>
        <v>7.9204732498501917E-3</v>
      </c>
      <c r="U51" s="301">
        <f>Sols!$J$18</f>
        <v>7.9204732498501917E-3</v>
      </c>
      <c r="V51" s="301">
        <f>Sols!$J$18</f>
        <v>7.9204732498501917E-3</v>
      </c>
      <c r="W51" s="301">
        <f>Sols!$J$18</f>
        <v>7.9204732498501917E-3</v>
      </c>
      <c r="X51" s="301">
        <f>Sols!$J$18</f>
        <v>7.9204732498501917E-3</v>
      </c>
      <c r="Y51" s="301">
        <f>Sols!$J$18</f>
        <v>7.9204732498501917E-3</v>
      </c>
      <c r="Z51" s="301">
        <f>Sols!$J$18</f>
        <v>7.9204732498501917E-3</v>
      </c>
      <c r="AA51" s="301">
        <f>Sols!$J$18</f>
        <v>7.9204732498501917E-3</v>
      </c>
      <c r="AB51" s="301">
        <f>Sols!$J$18</f>
        <v>7.9204732498501917E-3</v>
      </c>
      <c r="AC51" s="301">
        <f>Sols!$J$18</f>
        <v>7.9204732498501917E-3</v>
      </c>
      <c r="AD51" s="301">
        <f>Sols!$J$18</f>
        <v>7.9204732498501917E-3</v>
      </c>
      <c r="AE51" s="301">
        <f>Sols!$J$18</f>
        <v>7.9204732498501917E-3</v>
      </c>
      <c r="AF51" s="301">
        <f>Sols!$J$18</f>
        <v>7.9204732498501917E-3</v>
      </c>
      <c r="AG51" s="301">
        <f>Sols!$J$18</f>
        <v>7.9204732498501917E-3</v>
      </c>
      <c r="AH51" s="301">
        <f>Sols!$J$18</f>
        <v>7.9204732498501917E-3</v>
      </c>
      <c r="AI51" s="301">
        <f>Sols!$J$18</f>
        <v>7.9204732498501917E-3</v>
      </c>
      <c r="AJ51" s="301">
        <f>Sols!$J$18</f>
        <v>7.9204732498501917E-3</v>
      </c>
      <c r="AK51" s="301">
        <f>Sols!$J$18</f>
        <v>7.9204732498501917E-3</v>
      </c>
      <c r="AL51" s="301">
        <f>Sols!$J$18</f>
        <v>7.9204732498501917E-3</v>
      </c>
      <c r="AM51" s="301">
        <f>Sols!$J$18</f>
        <v>7.9204732498501917E-3</v>
      </c>
      <c r="AN51" s="301">
        <f>Sols!$J$18</f>
        <v>7.9204732498501917E-3</v>
      </c>
      <c r="AO51" s="301">
        <f>Sols!$J$18</f>
        <v>7.9204732498501917E-3</v>
      </c>
      <c r="AP51" s="301">
        <f>Sols!$J$18</f>
        <v>7.9204732498501917E-3</v>
      </c>
      <c r="AQ51" s="301">
        <f>Sols!$J$18</f>
        <v>7.9204732498501917E-3</v>
      </c>
      <c r="AR51" s="301">
        <f>Sols!$J$18</f>
        <v>7.9204732498501917E-3</v>
      </c>
      <c r="AS51" s="301">
        <f>Sols!$J$18</f>
        <v>7.9204732498501917E-3</v>
      </c>
      <c r="AT51" s="301">
        <f>Sols!$J$18</f>
        <v>7.9204732498501917E-3</v>
      </c>
      <c r="AU51" s="301">
        <f>Sols!$J$18</f>
        <v>7.9204732498501917E-3</v>
      </c>
      <c r="AV51" s="301">
        <f>Sols!$J$18</f>
        <v>7.9204732498501917E-3</v>
      </c>
      <c r="AW51" s="301">
        <f>Sols!$J$18</f>
        <v>7.9204732498501917E-3</v>
      </c>
      <c r="AX51" s="301">
        <f>Sols!$J$18</f>
        <v>7.9204732498501917E-3</v>
      </c>
      <c r="AY51" s="301">
        <f>Sols!$J$18</f>
        <v>7.9204732498501917E-3</v>
      </c>
      <c r="AZ51" s="301">
        <f>Sols!$J$18</f>
        <v>7.9204732498501917E-3</v>
      </c>
      <c r="BA51" s="301">
        <f>Sols!$J$18</f>
        <v>7.9204732498501917E-3</v>
      </c>
      <c r="BB51" s="301">
        <f>Sols!$J$18</f>
        <v>7.9204732498501917E-3</v>
      </c>
      <c r="BC51" s="301">
        <f>Sols!$J$18</f>
        <v>7.9204732498501917E-3</v>
      </c>
      <c r="BD51" s="301">
        <f>Sols!$J$18</f>
        <v>7.9204732498501917E-3</v>
      </c>
      <c r="BE51" s="301">
        <f>Sols!$J$18</f>
        <v>7.9204732498501917E-3</v>
      </c>
      <c r="BF51" s="301">
        <f>Sols!$J$18</f>
        <v>7.9204732498501917E-3</v>
      </c>
      <c r="BG51" s="301">
        <f>Sols!$J$18</f>
        <v>7.9204732498501917E-3</v>
      </c>
      <c r="BH51" s="301">
        <f>Sols!$J$18</f>
        <v>7.9204732498501917E-3</v>
      </c>
      <c r="BI51" s="301">
        <f>Sols!$J$18</f>
        <v>7.9204732498501917E-3</v>
      </c>
      <c r="BJ51" s="301"/>
      <c r="BK51" s="286" t="s">
        <v>1098</v>
      </c>
    </row>
    <row r="52" spans="1:63" s="306" customFormat="1" hidden="1">
      <c r="A52" s="307"/>
      <c r="B52" s="285"/>
      <c r="C52" s="308"/>
      <c r="D52" s="4030"/>
      <c r="E52" s="3646" t="str">
        <f>Sols!C49</f>
        <v>Potentiel de diffusion dans l'eau interstitielle (rapporté à Cpw)</v>
      </c>
      <c r="F52" s="297" t="str">
        <f>Sols!F49</f>
        <v>Dpw/Dw</v>
      </c>
      <c r="G52" s="2020" t="str">
        <f>Sols!H49</f>
        <v>-</v>
      </c>
      <c r="H52" s="301">
        <f>Sols!$K$18</f>
        <v>9.4250013348427489E-2</v>
      </c>
      <c r="I52" s="301">
        <f>Sols!$K$18</f>
        <v>9.4250013348427489E-2</v>
      </c>
      <c r="J52" s="301">
        <f>Sols!$K$18</f>
        <v>9.4250013348427489E-2</v>
      </c>
      <c r="K52" s="301">
        <f>Sols!$K$18</f>
        <v>9.4250013348427489E-2</v>
      </c>
      <c r="L52" s="301">
        <f>Sols!$K$18</f>
        <v>9.4250013348427489E-2</v>
      </c>
      <c r="M52" s="301">
        <f>Sols!$K$18</f>
        <v>9.4250013348427489E-2</v>
      </c>
      <c r="N52" s="301">
        <f>Sols!$K$18</f>
        <v>9.4250013348427489E-2</v>
      </c>
      <c r="O52" s="301">
        <f>Sols!$K$18</f>
        <v>9.4250013348427489E-2</v>
      </c>
      <c r="P52" s="301">
        <f>Sols!$K$18</f>
        <v>9.4250013348427489E-2</v>
      </c>
      <c r="Q52" s="301">
        <f>Sols!$K$18</f>
        <v>9.4250013348427489E-2</v>
      </c>
      <c r="R52" s="301">
        <f>Sols!$K$18</f>
        <v>9.4250013348427489E-2</v>
      </c>
      <c r="S52" s="301">
        <f>Sols!$K$18</f>
        <v>9.4250013348427489E-2</v>
      </c>
      <c r="T52" s="301">
        <f>Sols!$K$18</f>
        <v>9.4250013348427489E-2</v>
      </c>
      <c r="U52" s="301">
        <f>Sols!$K$18</f>
        <v>9.4250013348427489E-2</v>
      </c>
      <c r="V52" s="301">
        <f>Sols!$K$18</f>
        <v>9.4250013348427489E-2</v>
      </c>
      <c r="W52" s="301">
        <f>Sols!$K$18</f>
        <v>9.4250013348427489E-2</v>
      </c>
      <c r="X52" s="301">
        <f>Sols!$K$18</f>
        <v>9.4250013348427489E-2</v>
      </c>
      <c r="Y52" s="301">
        <f>Sols!$K$18</f>
        <v>9.4250013348427489E-2</v>
      </c>
      <c r="Z52" s="301">
        <f>Sols!$K$18</f>
        <v>9.4250013348427489E-2</v>
      </c>
      <c r="AA52" s="301">
        <f>Sols!$K$18</f>
        <v>9.4250013348427489E-2</v>
      </c>
      <c r="AB52" s="301">
        <f>Sols!$K$18</f>
        <v>9.4250013348427489E-2</v>
      </c>
      <c r="AC52" s="301">
        <f>Sols!$K$18</f>
        <v>9.4250013348427489E-2</v>
      </c>
      <c r="AD52" s="301">
        <f>Sols!$K$18</f>
        <v>9.4250013348427489E-2</v>
      </c>
      <c r="AE52" s="301">
        <f>Sols!$K$18</f>
        <v>9.4250013348427489E-2</v>
      </c>
      <c r="AF52" s="301">
        <f>Sols!$K$18</f>
        <v>9.4250013348427489E-2</v>
      </c>
      <c r="AG52" s="301">
        <f>Sols!$K$18</f>
        <v>9.4250013348427489E-2</v>
      </c>
      <c r="AH52" s="301">
        <f>Sols!$K$18</f>
        <v>9.4250013348427489E-2</v>
      </c>
      <c r="AI52" s="301">
        <f>Sols!$K$18</f>
        <v>9.4250013348427489E-2</v>
      </c>
      <c r="AJ52" s="301">
        <f>Sols!$K$18</f>
        <v>9.4250013348427489E-2</v>
      </c>
      <c r="AK52" s="301">
        <f>Sols!$K$18</f>
        <v>9.4250013348427489E-2</v>
      </c>
      <c r="AL52" s="301">
        <f>Sols!$K$18</f>
        <v>9.4250013348427489E-2</v>
      </c>
      <c r="AM52" s="301">
        <f>Sols!$K$18</f>
        <v>9.4250013348427489E-2</v>
      </c>
      <c r="AN52" s="301">
        <f>Sols!$K$18</f>
        <v>9.4250013348427489E-2</v>
      </c>
      <c r="AO52" s="301">
        <f>Sols!$K$18</f>
        <v>9.4250013348427489E-2</v>
      </c>
      <c r="AP52" s="301">
        <f>Sols!$K$18</f>
        <v>9.4250013348427489E-2</v>
      </c>
      <c r="AQ52" s="301">
        <f>Sols!$K$18</f>
        <v>9.4250013348427489E-2</v>
      </c>
      <c r="AR52" s="301">
        <f>Sols!$K$18</f>
        <v>9.4250013348427489E-2</v>
      </c>
      <c r="AS52" s="301">
        <f>Sols!$K$18</f>
        <v>9.4250013348427489E-2</v>
      </c>
      <c r="AT52" s="301">
        <f>Sols!$K$18</f>
        <v>9.4250013348427489E-2</v>
      </c>
      <c r="AU52" s="301">
        <f>Sols!$K$18</f>
        <v>9.4250013348427489E-2</v>
      </c>
      <c r="AV52" s="301">
        <f>Sols!$K$18</f>
        <v>9.4250013348427489E-2</v>
      </c>
      <c r="AW52" s="301">
        <f>Sols!$K$18</f>
        <v>9.4250013348427489E-2</v>
      </c>
      <c r="AX52" s="301">
        <f>Sols!$K$18</f>
        <v>9.4250013348427489E-2</v>
      </c>
      <c r="AY52" s="301">
        <f>Sols!$K$18</f>
        <v>9.4250013348427489E-2</v>
      </c>
      <c r="AZ52" s="301">
        <f>Sols!$K$18</f>
        <v>9.4250013348427489E-2</v>
      </c>
      <c r="BA52" s="301">
        <f>Sols!$K$18</f>
        <v>9.4250013348427489E-2</v>
      </c>
      <c r="BB52" s="301">
        <f>Sols!$K$18</f>
        <v>9.4250013348427489E-2</v>
      </c>
      <c r="BC52" s="301">
        <f>Sols!$K$18</f>
        <v>9.4250013348427489E-2</v>
      </c>
      <c r="BD52" s="301">
        <f>Sols!$K$18</f>
        <v>9.4250013348427489E-2</v>
      </c>
      <c r="BE52" s="301">
        <f>Sols!$K$18</f>
        <v>9.4250013348427489E-2</v>
      </c>
      <c r="BF52" s="301">
        <f>Sols!$K$18</f>
        <v>9.4250013348427489E-2</v>
      </c>
      <c r="BG52" s="301">
        <f>Sols!$K$18</f>
        <v>9.4250013348427489E-2</v>
      </c>
      <c r="BH52" s="301">
        <f>Sols!$K$18</f>
        <v>9.4250013348427489E-2</v>
      </c>
      <c r="BI52" s="301">
        <f>Sols!$K$18</f>
        <v>9.4250013348427489E-2</v>
      </c>
      <c r="BJ52" s="301"/>
      <c r="BK52" s="286" t="s">
        <v>1098</v>
      </c>
    </row>
    <row r="53" spans="1:63" s="306" customFormat="1" hidden="1">
      <c r="A53" s="307"/>
      <c r="B53" s="285"/>
      <c r="C53" s="308"/>
      <c r="D53" s="4030"/>
      <c r="E53" s="3646" t="s">
        <v>239</v>
      </c>
      <c r="F53" s="303" t="s">
        <v>240</v>
      </c>
      <c r="G53" s="2022" t="str">
        <f>Substances!$G$24</f>
        <v>(mg/m2/s)/(mg/l/m)</v>
      </c>
      <c r="H53" s="304">
        <f t="shared" ref="H53:V53" si="27">H$4*H51+H$5*H52/H$3</f>
        <v>1.7497712987156865E-4</v>
      </c>
      <c r="I53" s="304">
        <f>I$4*I51+I$5*I52/I$3</f>
        <v>1.7497712987156865E-4</v>
      </c>
      <c r="J53" s="304">
        <f>J$4*J51+J$5*J52/J$3</f>
        <v>6.3099334638442119E-5</v>
      </c>
      <c r="K53" s="304">
        <f t="shared" si="27"/>
        <v>8.396711411047643E-5</v>
      </c>
      <c r="L53" s="304">
        <f t="shared" si="27"/>
        <v>5.9088523019571602E-5</v>
      </c>
      <c r="M53" s="304">
        <f t="shared" si="27"/>
        <v>5.9088523019571602E-5</v>
      </c>
      <c r="N53" s="304">
        <f>N$4*N51+N$5*N52/N$3</f>
        <v>6.277197511911169E-5</v>
      </c>
      <c r="O53" s="304">
        <f>O$4*O51+O$5*O52/O$3</f>
        <v>6.277197511911169E-5</v>
      </c>
      <c r="P53" s="304">
        <f t="shared" si="27"/>
        <v>5.7131303699510499E-5</v>
      </c>
      <c r="Q53" s="304">
        <f t="shared" si="27"/>
        <v>5.7131303699510499E-5</v>
      </c>
      <c r="R53" s="304">
        <f>R$4*R51+R$5*R52/R$3</f>
        <v>8.0847009865613105E-4</v>
      </c>
      <c r="S53" s="304">
        <f>S$4*S51+S$5*S52/S$3</f>
        <v>8.3141222172906899E-5</v>
      </c>
      <c r="T53" s="304">
        <f>T$4*T51+T$5*T52/T$3</f>
        <v>8.3141222172906899E-5</v>
      </c>
      <c r="U53" s="304">
        <f t="shared" si="27"/>
        <v>6.187294410714593E-5</v>
      </c>
      <c r="V53" s="304">
        <f t="shared" si="27"/>
        <v>2.256780925067199E-5</v>
      </c>
      <c r="W53" s="304">
        <f>W$4*W51+W$5*W52/W$3</f>
        <v>2.256780925067199E-5</v>
      </c>
      <c r="X53" s="304">
        <f t="shared" ref="X53:BC53" si="28">X$4*X51+X$5*X52/X$3</f>
        <v>6.5312516378479731E-5</v>
      </c>
      <c r="Y53" s="304">
        <f t="shared" si="28"/>
        <v>5.8621733562382631E-5</v>
      </c>
      <c r="Z53" s="304">
        <f t="shared" si="28"/>
        <v>5.3702362703444388E-5</v>
      </c>
      <c r="AA53" s="304">
        <f t="shared" si="28"/>
        <v>5.3792825312189252E-5</v>
      </c>
      <c r="AB53" s="304">
        <f t="shared" si="28"/>
        <v>2.5143677452776303E-5</v>
      </c>
      <c r="AC53" s="304">
        <f t="shared" si="28"/>
        <v>2.3348938318641235E-5</v>
      </c>
      <c r="AD53" s="304">
        <f t="shared" si="28"/>
        <v>2.0515702108078378E-5</v>
      </c>
      <c r="AE53" s="304">
        <f t="shared" si="28"/>
        <v>1.7290946705060806E-5</v>
      </c>
      <c r="AF53" s="304">
        <f t="shared" si="28"/>
        <v>3.4813762416990686E-5</v>
      </c>
      <c r="AG53" s="304">
        <f t="shared" si="28"/>
        <v>3.7159115620512026E-5</v>
      </c>
      <c r="AH53" s="304">
        <f t="shared" si="28"/>
        <v>3.0098514649532177E-5</v>
      </c>
      <c r="AI53" s="304">
        <f t="shared" si="28"/>
        <v>2.3152496951533948E-5</v>
      </c>
      <c r="AJ53" s="304">
        <f t="shared" si="28"/>
        <v>1.8811310504878957E-5</v>
      </c>
      <c r="AK53" s="304">
        <f t="shared" si="28"/>
        <v>1.5048933612220242E-5</v>
      </c>
      <c r="AL53" s="304">
        <f t="shared" si="28"/>
        <v>1.114733542911683E-5</v>
      </c>
      <c r="AM53" s="304">
        <f t="shared" si="28"/>
        <v>9.4055631034160116E-6</v>
      </c>
      <c r="AN53" s="304">
        <f t="shared" si="28"/>
        <v>3.0163024714178917E-5</v>
      </c>
      <c r="AO53" s="304">
        <f t="shared" si="28"/>
        <v>2.6716620631325147E-5</v>
      </c>
      <c r="AP53" s="304">
        <f t="shared" si="28"/>
        <v>2.4247517498767095E-5</v>
      </c>
      <c r="AQ53" s="304">
        <f t="shared" si="28"/>
        <v>2.4864664661130128E-5</v>
      </c>
      <c r="AR53" s="304">
        <f t="shared" si="28"/>
        <v>3.223204089673525E-5</v>
      </c>
      <c r="AS53" s="304">
        <f t="shared" si="28"/>
        <v>2.94512775082392E-5</v>
      </c>
      <c r="AT53" s="304">
        <f t="shared" si="28"/>
        <v>5.7333218329872005E-5</v>
      </c>
      <c r="AU53" s="304">
        <f t="shared" si="28"/>
        <v>6.2597231913908173E-5</v>
      </c>
      <c r="AV53" s="304">
        <f t="shared" si="28"/>
        <v>8.0224868848847926E-5</v>
      </c>
      <c r="AW53" s="304">
        <f t="shared" si="28"/>
        <v>1.003372968688859E-4</v>
      </c>
      <c r="AX53" s="304">
        <f t="shared" si="28"/>
        <v>2.2091852530952251E-3</v>
      </c>
      <c r="AY53" s="304">
        <f t="shared" si="28"/>
        <v>2.2091852530952251E-3</v>
      </c>
      <c r="AZ53" s="304">
        <f t="shared" si="28"/>
        <v>3.0516305060419974E-3</v>
      </c>
      <c r="BA53" s="304">
        <f t="shared" si="28"/>
        <v>4.2012296081535257E-3</v>
      </c>
      <c r="BB53" s="304">
        <f t="shared" si="28"/>
        <v>4.516735605438902E-4</v>
      </c>
      <c r="BC53" s="304">
        <f t="shared" si="28"/>
        <v>626.20105387490798</v>
      </c>
      <c r="BD53" s="304">
        <f t="shared" ref="BD53:BI53" si="29">BD$4*BD51+BD$5*BD52/BD$3</f>
        <v>6.1599820074963747E-3</v>
      </c>
      <c r="BE53" s="304">
        <f t="shared" si="29"/>
        <v>5.2596523713545278E-5</v>
      </c>
      <c r="BF53" s="304">
        <f t="shared" si="29"/>
        <v>5.2596523713545278E-5</v>
      </c>
      <c r="BG53" s="304">
        <f t="shared" si="29"/>
        <v>2.4514279911067116E-5</v>
      </c>
      <c r="BH53" s="304">
        <f t="shared" si="29"/>
        <v>3.0870788413613968E-3</v>
      </c>
      <c r="BI53" s="304">
        <f t="shared" si="29"/>
        <v>1.3235904349986726E-3</v>
      </c>
      <c r="BJ53" s="304"/>
    </row>
    <row r="54" spans="1:63" s="306" customFormat="1" hidden="1">
      <c r="A54" s="307"/>
      <c r="B54" s="285"/>
      <c r="C54" s="308"/>
      <c r="D54" s="4030"/>
      <c r="E54" s="3646" t="str">
        <f>E$18</f>
        <v>Conductivité à l'air</v>
      </c>
      <c r="F54" s="714" t="str">
        <f t="shared" ref="F54:G54" si="30">F$18</f>
        <v>K</v>
      </c>
      <c r="G54" s="2017" t="str">
        <f t="shared" si="30"/>
        <v>m3/m/Pa/s</v>
      </c>
      <c r="H54" s="302">
        <f>Sols!$U18</f>
        <v>1.8070158058104981E-9</v>
      </c>
      <c r="I54" s="302">
        <f>Sols!$U18</f>
        <v>1.8070158058104981E-9</v>
      </c>
      <c r="J54" s="302">
        <f>Sols!$U18</f>
        <v>1.8070158058104981E-9</v>
      </c>
      <c r="K54" s="302">
        <f>Sols!$U18</f>
        <v>1.8070158058104981E-9</v>
      </c>
      <c r="L54" s="302">
        <f>Sols!$U18</f>
        <v>1.8070158058104981E-9</v>
      </c>
      <c r="M54" s="302">
        <f>Sols!$U18</f>
        <v>1.8070158058104981E-9</v>
      </c>
      <c r="N54" s="302">
        <f>Sols!$U18</f>
        <v>1.8070158058104981E-9</v>
      </c>
      <c r="O54" s="302">
        <f>Sols!$U18</f>
        <v>1.8070158058104981E-9</v>
      </c>
      <c r="P54" s="302">
        <f>Sols!$U18</f>
        <v>1.8070158058104981E-9</v>
      </c>
      <c r="Q54" s="302">
        <f>Sols!$U18</f>
        <v>1.8070158058104981E-9</v>
      </c>
      <c r="R54" s="302">
        <f>Sols!$U18</f>
        <v>1.8070158058104981E-9</v>
      </c>
      <c r="S54" s="302">
        <f>Sols!$U18</f>
        <v>1.8070158058104981E-9</v>
      </c>
      <c r="T54" s="302">
        <f>Sols!$U18</f>
        <v>1.8070158058104981E-9</v>
      </c>
      <c r="U54" s="302">
        <f>Sols!$U18</f>
        <v>1.8070158058104981E-9</v>
      </c>
      <c r="V54" s="302">
        <f>Sols!$U18</f>
        <v>1.8070158058104981E-9</v>
      </c>
      <c r="W54" s="302">
        <f>Sols!$U18</f>
        <v>1.8070158058104981E-9</v>
      </c>
      <c r="X54" s="302">
        <f>Sols!$U18</f>
        <v>1.8070158058104981E-9</v>
      </c>
      <c r="Y54" s="302">
        <f>Sols!$U18</f>
        <v>1.8070158058104981E-9</v>
      </c>
      <c r="Z54" s="302">
        <f>Sols!$U18</f>
        <v>1.8070158058104981E-9</v>
      </c>
      <c r="AA54" s="302">
        <f>Sols!$U18</f>
        <v>1.8070158058104981E-9</v>
      </c>
      <c r="AB54" s="302">
        <f>Sols!$U18</f>
        <v>1.8070158058104981E-9</v>
      </c>
      <c r="AC54" s="302">
        <f>Sols!$U18</f>
        <v>1.8070158058104981E-9</v>
      </c>
      <c r="AD54" s="302">
        <f>Sols!$U18</f>
        <v>1.8070158058104981E-9</v>
      </c>
      <c r="AE54" s="302">
        <f>Sols!$U18</f>
        <v>1.8070158058104981E-9</v>
      </c>
      <c r="AF54" s="302">
        <f>Sols!$U18</f>
        <v>1.8070158058104981E-9</v>
      </c>
      <c r="AG54" s="302">
        <f>Sols!$U18</f>
        <v>1.8070158058104981E-9</v>
      </c>
      <c r="AH54" s="302">
        <f>Sols!$U18</f>
        <v>1.8070158058104981E-9</v>
      </c>
      <c r="AI54" s="302">
        <f>Sols!$U18</f>
        <v>1.8070158058104981E-9</v>
      </c>
      <c r="AJ54" s="302">
        <f>Sols!$U18</f>
        <v>1.8070158058104981E-9</v>
      </c>
      <c r="AK54" s="302">
        <f>Sols!$U18</f>
        <v>1.8070158058104981E-9</v>
      </c>
      <c r="AL54" s="302">
        <f>Sols!$U18</f>
        <v>1.8070158058104981E-9</v>
      </c>
      <c r="AM54" s="302">
        <f>Sols!$U18</f>
        <v>1.8070158058104981E-9</v>
      </c>
      <c r="AN54" s="302">
        <f>Sols!$U18</f>
        <v>1.8070158058104981E-9</v>
      </c>
      <c r="AO54" s="302">
        <f>Sols!$U18</f>
        <v>1.8070158058104981E-9</v>
      </c>
      <c r="AP54" s="302">
        <f>Sols!$U18</f>
        <v>1.8070158058104981E-9</v>
      </c>
      <c r="AQ54" s="302">
        <f>Sols!$U18</f>
        <v>1.8070158058104981E-9</v>
      </c>
      <c r="AR54" s="302">
        <f>Sols!$U18</f>
        <v>1.8070158058104981E-9</v>
      </c>
      <c r="AS54" s="302">
        <f>Sols!$U18</f>
        <v>1.8070158058104981E-9</v>
      </c>
      <c r="AT54" s="302">
        <f>Sols!$U18</f>
        <v>1.8070158058104981E-9</v>
      </c>
      <c r="AU54" s="302">
        <f>Sols!$U18</f>
        <v>1.8070158058104981E-9</v>
      </c>
      <c r="AV54" s="302">
        <f>Sols!$U18</f>
        <v>1.8070158058104981E-9</v>
      </c>
      <c r="AW54" s="302">
        <f>Sols!$U18</f>
        <v>1.8070158058104981E-9</v>
      </c>
      <c r="AX54" s="302">
        <f>Sols!$U18</f>
        <v>1.8070158058104981E-9</v>
      </c>
      <c r="AY54" s="302">
        <f>Sols!$U18</f>
        <v>1.8070158058104981E-9</v>
      </c>
      <c r="AZ54" s="302">
        <f>Sols!$U18</f>
        <v>1.8070158058104981E-9</v>
      </c>
      <c r="BA54" s="302">
        <f>Sols!$U18</f>
        <v>1.8070158058104981E-9</v>
      </c>
      <c r="BB54" s="302">
        <f>Sols!$U18</f>
        <v>1.8070158058104981E-9</v>
      </c>
      <c r="BC54" s="302">
        <f>Sols!$U18</f>
        <v>1.8070158058104981E-9</v>
      </c>
      <c r="BD54" s="302">
        <f>Sols!$U18</f>
        <v>1.8070158058104981E-9</v>
      </c>
      <c r="BE54" s="302">
        <f>Sols!$U18</f>
        <v>1.8070158058104981E-9</v>
      </c>
      <c r="BF54" s="302">
        <f>Sols!$U18</f>
        <v>1.8070158058104981E-9</v>
      </c>
      <c r="BG54" s="302">
        <f>Sols!$U18</f>
        <v>1.8070158058104981E-9</v>
      </c>
      <c r="BH54" s="302">
        <f>Sols!$U18</f>
        <v>1.8070158058104981E-9</v>
      </c>
      <c r="BI54" s="302">
        <f>Sols!$U18</f>
        <v>1.8070158058104981E-9</v>
      </c>
      <c r="BJ54" s="302"/>
    </row>
    <row r="55" spans="1:63" s="306" customFormat="1" hidden="1">
      <c r="A55" s="307"/>
      <c r="B55" s="285"/>
      <c r="C55" s="308"/>
      <c r="D55" s="4030"/>
      <c r="E55" s="3646"/>
      <c r="G55" s="2017"/>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302"/>
      <c r="BI55" s="302"/>
      <c r="BJ55" s="302"/>
    </row>
    <row r="56" spans="1:63" ht="13.15" hidden="1" customHeight="1">
      <c r="A56" s="305"/>
      <c r="B56" s="310"/>
      <c r="C56" s="294"/>
      <c r="D56" s="4030"/>
      <c r="E56" s="3644" t="str">
        <f>Sols!C$21</f>
        <v>Frange capillaire (limons)</v>
      </c>
      <c r="F56" s="293"/>
      <c r="G56" s="2017"/>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row>
    <row r="57" spans="1:63" s="306" customFormat="1" ht="13.15" hidden="1" customHeight="1">
      <c r="A57" s="311"/>
      <c r="B57" s="310"/>
      <c r="C57" s="312"/>
      <c r="D57" s="4030"/>
      <c r="E57" s="3646" t="str">
        <f>Sols!C48</f>
        <v>Potentiel de diffusion dans l'air interstitiel  (rapporté à Csa)</v>
      </c>
      <c r="F57" s="297" t="str">
        <f>Sols!F48</f>
        <v>Dsa/Da</v>
      </c>
      <c r="G57" s="2020" t="str">
        <f>Sols!H48</f>
        <v>-</v>
      </c>
      <c r="H57" s="301">
        <f>Sols!$J$21</f>
        <v>1.1941916962999453E-4</v>
      </c>
      <c r="I57" s="301">
        <f>Sols!$J$21</f>
        <v>1.1941916962999453E-4</v>
      </c>
      <c r="J57" s="301">
        <f>Sols!$J$21</f>
        <v>1.1941916962999453E-4</v>
      </c>
      <c r="K57" s="301">
        <f>Sols!$J$21</f>
        <v>1.1941916962999453E-4</v>
      </c>
      <c r="L57" s="301">
        <f>Sols!$J$21</f>
        <v>1.1941916962999453E-4</v>
      </c>
      <c r="M57" s="301">
        <f>Sols!$J$21</f>
        <v>1.1941916962999453E-4</v>
      </c>
      <c r="N57" s="301">
        <f>Sols!$J$21</f>
        <v>1.1941916962999453E-4</v>
      </c>
      <c r="O57" s="301">
        <f>Sols!$J$21</f>
        <v>1.1941916962999453E-4</v>
      </c>
      <c r="P57" s="301">
        <f>Sols!$J$21</f>
        <v>1.1941916962999453E-4</v>
      </c>
      <c r="Q57" s="301">
        <f>Sols!$J$21</f>
        <v>1.1941916962999453E-4</v>
      </c>
      <c r="R57" s="301">
        <f>Sols!$J$21</f>
        <v>1.1941916962999453E-4</v>
      </c>
      <c r="S57" s="301">
        <f>Sols!$J$21</f>
        <v>1.1941916962999453E-4</v>
      </c>
      <c r="T57" s="301">
        <f>Sols!$J$21</f>
        <v>1.1941916962999453E-4</v>
      </c>
      <c r="U57" s="301">
        <f>Sols!$J$21</f>
        <v>1.1941916962999453E-4</v>
      </c>
      <c r="V57" s="301">
        <f>Sols!$J$21</f>
        <v>1.1941916962999453E-4</v>
      </c>
      <c r="W57" s="301">
        <f>Sols!$J$21</f>
        <v>1.1941916962999453E-4</v>
      </c>
      <c r="X57" s="301">
        <f>Sols!$J$21</f>
        <v>1.1941916962999453E-4</v>
      </c>
      <c r="Y57" s="301">
        <f>Sols!$J$21</f>
        <v>1.1941916962999453E-4</v>
      </c>
      <c r="Z57" s="301">
        <f>Sols!$J$21</f>
        <v>1.1941916962999453E-4</v>
      </c>
      <c r="AA57" s="301">
        <f>Sols!$J$21</f>
        <v>1.1941916962999453E-4</v>
      </c>
      <c r="AB57" s="301">
        <f>Sols!$J$21</f>
        <v>1.1941916962999453E-4</v>
      </c>
      <c r="AC57" s="301">
        <f>Sols!$J$21</f>
        <v>1.1941916962999453E-4</v>
      </c>
      <c r="AD57" s="301">
        <f>Sols!$J$21</f>
        <v>1.1941916962999453E-4</v>
      </c>
      <c r="AE57" s="301">
        <f>Sols!$J$21</f>
        <v>1.1941916962999453E-4</v>
      </c>
      <c r="AF57" s="301">
        <f>Sols!$J$21</f>
        <v>1.1941916962999453E-4</v>
      </c>
      <c r="AG57" s="301">
        <f>Sols!$J$21</f>
        <v>1.1941916962999453E-4</v>
      </c>
      <c r="AH57" s="301">
        <f>Sols!$J$21</f>
        <v>1.1941916962999453E-4</v>
      </c>
      <c r="AI57" s="301">
        <f>Sols!$J$21</f>
        <v>1.1941916962999453E-4</v>
      </c>
      <c r="AJ57" s="301">
        <f>Sols!$J$21</f>
        <v>1.1941916962999453E-4</v>
      </c>
      <c r="AK57" s="301">
        <f>Sols!$J$21</f>
        <v>1.1941916962999453E-4</v>
      </c>
      <c r="AL57" s="301">
        <f>Sols!$J$21</f>
        <v>1.1941916962999453E-4</v>
      </c>
      <c r="AM57" s="301">
        <f>Sols!$J$21</f>
        <v>1.1941916962999453E-4</v>
      </c>
      <c r="AN57" s="301">
        <f>Sols!$J$21</f>
        <v>1.1941916962999453E-4</v>
      </c>
      <c r="AO57" s="301">
        <f>Sols!$J$21</f>
        <v>1.1941916962999453E-4</v>
      </c>
      <c r="AP57" s="301">
        <f>Sols!$J$21</f>
        <v>1.1941916962999453E-4</v>
      </c>
      <c r="AQ57" s="301">
        <f>Sols!$J$21</f>
        <v>1.1941916962999453E-4</v>
      </c>
      <c r="AR57" s="301">
        <f>Sols!$J$21</f>
        <v>1.1941916962999453E-4</v>
      </c>
      <c r="AS57" s="301">
        <f>Sols!$J$21</f>
        <v>1.1941916962999453E-4</v>
      </c>
      <c r="AT57" s="301">
        <f>Sols!$J$21</f>
        <v>1.1941916962999453E-4</v>
      </c>
      <c r="AU57" s="301">
        <f>Sols!$J$21</f>
        <v>1.1941916962999453E-4</v>
      </c>
      <c r="AV57" s="301">
        <f>Sols!$J$21</f>
        <v>1.1941916962999453E-4</v>
      </c>
      <c r="AW57" s="301">
        <f>Sols!$J$21</f>
        <v>1.1941916962999453E-4</v>
      </c>
      <c r="AX57" s="301">
        <f>Sols!$J$21</f>
        <v>1.1941916962999453E-4</v>
      </c>
      <c r="AY57" s="301">
        <f>Sols!$J$21</f>
        <v>1.1941916962999453E-4</v>
      </c>
      <c r="AZ57" s="301">
        <f>Sols!$J$21</f>
        <v>1.1941916962999453E-4</v>
      </c>
      <c r="BA57" s="301">
        <f>Sols!$J$21</f>
        <v>1.1941916962999453E-4</v>
      </c>
      <c r="BB57" s="301">
        <f>Sols!$J$21</f>
        <v>1.1941916962999453E-4</v>
      </c>
      <c r="BC57" s="301">
        <f>Sols!$J$21</f>
        <v>1.1941916962999453E-4</v>
      </c>
      <c r="BD57" s="301">
        <f>Sols!$J$21</f>
        <v>1.1941916962999453E-4</v>
      </c>
      <c r="BE57" s="301">
        <f>Sols!$J$21</f>
        <v>1.1941916962999453E-4</v>
      </c>
      <c r="BF57" s="301">
        <f>Sols!$J$21</f>
        <v>1.1941916962999453E-4</v>
      </c>
      <c r="BG57" s="301">
        <f>Sols!$J$21</f>
        <v>1.1941916962999453E-4</v>
      </c>
      <c r="BH57" s="301">
        <f>Sols!$J$21</f>
        <v>1.1941916962999453E-4</v>
      </c>
      <c r="BI57" s="301">
        <f>Sols!$J$21</f>
        <v>1.1941916962999453E-4</v>
      </c>
      <c r="BJ57" s="301"/>
      <c r="BK57" s="286" t="s">
        <v>1098</v>
      </c>
    </row>
    <row r="58" spans="1:63" s="306" customFormat="1" ht="13.15" hidden="1" customHeight="1">
      <c r="A58" s="311"/>
      <c r="B58" s="310"/>
      <c r="C58" s="312"/>
      <c r="D58" s="4030"/>
      <c r="E58" s="3646" t="str">
        <f>Sols!C49</f>
        <v>Potentiel de diffusion dans l'eau interstitielle (rapporté à Cpw)</v>
      </c>
      <c r="F58" s="297" t="str">
        <f>Sols!F49</f>
        <v>Dpw/Dw</v>
      </c>
      <c r="G58" s="2020" t="str">
        <f>Sols!H49</f>
        <v>-</v>
      </c>
      <c r="H58" s="301">
        <f>Sols!$K$21</f>
        <v>0.25035716186179263</v>
      </c>
      <c r="I58" s="301">
        <f>Sols!$K$21</f>
        <v>0.25035716186179263</v>
      </c>
      <c r="J58" s="301">
        <f>Sols!$K$21</f>
        <v>0.25035716186179263</v>
      </c>
      <c r="K58" s="301">
        <f>Sols!$K$21</f>
        <v>0.25035716186179263</v>
      </c>
      <c r="L58" s="301">
        <f>Sols!$K$21</f>
        <v>0.25035716186179263</v>
      </c>
      <c r="M58" s="301">
        <f>Sols!$K$21</f>
        <v>0.25035716186179263</v>
      </c>
      <c r="N58" s="301">
        <f>Sols!$K$21</f>
        <v>0.25035716186179263</v>
      </c>
      <c r="O58" s="301">
        <f>Sols!$K$21</f>
        <v>0.25035716186179263</v>
      </c>
      <c r="P58" s="301">
        <f>Sols!$K$21</f>
        <v>0.25035716186179263</v>
      </c>
      <c r="Q58" s="301">
        <f>Sols!$K$21</f>
        <v>0.25035716186179263</v>
      </c>
      <c r="R58" s="301">
        <f>Sols!$K$21</f>
        <v>0.25035716186179263</v>
      </c>
      <c r="S58" s="301">
        <f>Sols!$K$21</f>
        <v>0.25035716186179263</v>
      </c>
      <c r="T58" s="301">
        <f>Sols!$K$21</f>
        <v>0.25035716186179263</v>
      </c>
      <c r="U58" s="301">
        <f>Sols!$K$21</f>
        <v>0.25035716186179263</v>
      </c>
      <c r="V58" s="301">
        <f>Sols!$K$21</f>
        <v>0.25035716186179263</v>
      </c>
      <c r="W58" s="301">
        <f>Sols!$K$21</f>
        <v>0.25035716186179263</v>
      </c>
      <c r="X58" s="301">
        <f>Sols!$K$21</f>
        <v>0.25035716186179263</v>
      </c>
      <c r="Y58" s="301">
        <f>Sols!$K$21</f>
        <v>0.25035716186179263</v>
      </c>
      <c r="Z58" s="301">
        <f>Sols!$K$21</f>
        <v>0.25035716186179263</v>
      </c>
      <c r="AA58" s="301">
        <f>Sols!$K$21</f>
        <v>0.25035716186179263</v>
      </c>
      <c r="AB58" s="301">
        <f>Sols!$K$21</f>
        <v>0.25035716186179263</v>
      </c>
      <c r="AC58" s="301">
        <f>Sols!$K$21</f>
        <v>0.25035716186179263</v>
      </c>
      <c r="AD58" s="301">
        <f>Sols!$K$21</f>
        <v>0.25035716186179263</v>
      </c>
      <c r="AE58" s="301">
        <f>Sols!$K$21</f>
        <v>0.25035716186179263</v>
      </c>
      <c r="AF58" s="301">
        <f>Sols!$K$21</f>
        <v>0.25035716186179263</v>
      </c>
      <c r="AG58" s="301">
        <f>Sols!$K$21</f>
        <v>0.25035716186179263</v>
      </c>
      <c r="AH58" s="301">
        <f>Sols!$K$21</f>
        <v>0.25035716186179263</v>
      </c>
      <c r="AI58" s="301">
        <f>Sols!$K$21</f>
        <v>0.25035716186179263</v>
      </c>
      <c r="AJ58" s="301">
        <f>Sols!$K$21</f>
        <v>0.25035716186179263</v>
      </c>
      <c r="AK58" s="301">
        <f>Sols!$K$21</f>
        <v>0.25035716186179263</v>
      </c>
      <c r="AL58" s="301">
        <f>Sols!$K$21</f>
        <v>0.25035716186179263</v>
      </c>
      <c r="AM58" s="301">
        <f>Sols!$K$21</f>
        <v>0.25035716186179263</v>
      </c>
      <c r="AN58" s="301">
        <f>Sols!$K$21</f>
        <v>0.25035716186179263</v>
      </c>
      <c r="AO58" s="301">
        <f>Sols!$K$21</f>
        <v>0.25035716186179263</v>
      </c>
      <c r="AP58" s="301">
        <f>Sols!$K$21</f>
        <v>0.25035716186179263</v>
      </c>
      <c r="AQ58" s="301">
        <f>Sols!$K$21</f>
        <v>0.25035716186179263</v>
      </c>
      <c r="AR58" s="301">
        <f>Sols!$K$21</f>
        <v>0.25035716186179263</v>
      </c>
      <c r="AS58" s="301">
        <f>Sols!$K$21</f>
        <v>0.25035716186179263</v>
      </c>
      <c r="AT58" s="301">
        <f>Sols!$K$21</f>
        <v>0.25035716186179263</v>
      </c>
      <c r="AU58" s="301">
        <f>Sols!$K$21</f>
        <v>0.25035716186179263</v>
      </c>
      <c r="AV58" s="301">
        <f>Sols!$K$21</f>
        <v>0.25035716186179263</v>
      </c>
      <c r="AW58" s="301">
        <f>Sols!$K$21</f>
        <v>0.25035716186179263</v>
      </c>
      <c r="AX58" s="301">
        <f>Sols!$K$21</f>
        <v>0.25035716186179263</v>
      </c>
      <c r="AY58" s="301">
        <f>Sols!$K$21</f>
        <v>0.25035716186179263</v>
      </c>
      <c r="AZ58" s="301">
        <f>Sols!$K$21</f>
        <v>0.25035716186179263</v>
      </c>
      <c r="BA58" s="301">
        <f>Sols!$K$21</f>
        <v>0.25035716186179263</v>
      </c>
      <c r="BB58" s="301">
        <f>Sols!$K$21</f>
        <v>0.25035716186179263</v>
      </c>
      <c r="BC58" s="301">
        <f>Sols!$K$21</f>
        <v>0.25035716186179263</v>
      </c>
      <c r="BD58" s="301">
        <f>Sols!$K$21</f>
        <v>0.25035716186179263</v>
      </c>
      <c r="BE58" s="301">
        <f>Sols!$K$21</f>
        <v>0.25035716186179263</v>
      </c>
      <c r="BF58" s="301">
        <f>Sols!$K$21</f>
        <v>0.25035716186179263</v>
      </c>
      <c r="BG58" s="301">
        <f>Sols!$K$21</f>
        <v>0.25035716186179263</v>
      </c>
      <c r="BH58" s="301">
        <f>Sols!$K$21</f>
        <v>0.25035716186179263</v>
      </c>
      <c r="BI58" s="301">
        <f>Sols!$K$21</f>
        <v>0.25035716186179263</v>
      </c>
      <c r="BJ58" s="301"/>
      <c r="BK58" s="286" t="s">
        <v>1098</v>
      </c>
    </row>
    <row r="59" spans="1:63" s="306" customFormat="1" ht="13.15" hidden="1" customHeight="1">
      <c r="A59" s="311"/>
      <c r="B59" s="310"/>
      <c r="C59" s="312"/>
      <c r="D59" s="4030"/>
      <c r="E59" s="3646" t="s">
        <v>239</v>
      </c>
      <c r="F59" s="303" t="s">
        <v>240</v>
      </c>
      <c r="G59" s="2022" t="str">
        <f>Substances!$G$24</f>
        <v>(mg/m2/s)/(mg/l/m)</v>
      </c>
      <c r="H59" s="304">
        <f t="shared" ref="H59:V59" si="31">H$4*H57+H$5*H58/H$3</f>
        <v>3.5754122495559529E-4</v>
      </c>
      <c r="I59" s="304">
        <f>I$4*I57+I$5*I58/I$3</f>
        <v>3.5754122495559529E-4</v>
      </c>
      <c r="J59" s="304">
        <f>J$4*J57+J$5*J58/J$3</f>
        <v>5.7369672921382244E-5</v>
      </c>
      <c r="K59" s="304">
        <f t="shared" si="31"/>
        <v>1.2926657090364918E-6</v>
      </c>
      <c r="L59" s="304">
        <f t="shared" si="31"/>
        <v>2.987609187763975E-6</v>
      </c>
      <c r="M59" s="304">
        <f t="shared" si="31"/>
        <v>2.987609187763975E-6</v>
      </c>
      <c r="N59" s="304">
        <f>N$4*N57+N$5*N58/N$3</f>
        <v>1.4753013185437935E-6</v>
      </c>
      <c r="O59" s="304">
        <f>O$4*O57+O$5*O58/O$3</f>
        <v>1.4753013185437935E-6</v>
      </c>
      <c r="P59" s="304">
        <f t="shared" si="31"/>
        <v>1.1357987031346264E-6</v>
      </c>
      <c r="Q59" s="304">
        <f t="shared" si="31"/>
        <v>1.1357987031346264E-6</v>
      </c>
      <c r="R59" s="304">
        <f>R$4*R57+R$5*R58/R$3</f>
        <v>1.3726268073596225E-5</v>
      </c>
      <c r="S59" s="304">
        <f>S$4*S57+S$5*S58/S$3</f>
        <v>3.282802589258994E-6</v>
      </c>
      <c r="T59" s="304">
        <f>T$4*T57+T$5*T58/T$3</f>
        <v>3.282802589258994E-6</v>
      </c>
      <c r="U59" s="304">
        <f t="shared" si="31"/>
        <v>1.1791776674202961E-6</v>
      </c>
      <c r="V59" s="304">
        <f t="shared" si="31"/>
        <v>3.6435874521124241E-7</v>
      </c>
      <c r="W59" s="304">
        <f>W$4*W57+W$5*W58/W$3</f>
        <v>3.6435874521124241E-7</v>
      </c>
      <c r="X59" s="304">
        <f t="shared" ref="X59:BC59" si="32">X$4*X57+X$5*X58/X$3</f>
        <v>2.064043515232691E-6</v>
      </c>
      <c r="Y59" s="304">
        <f t="shared" si="32"/>
        <v>1.7244279076022282E-6</v>
      </c>
      <c r="Z59" s="304">
        <f t="shared" si="32"/>
        <v>1.4413842230352075E-6</v>
      </c>
      <c r="AA59" s="304">
        <f t="shared" si="32"/>
        <v>1.6816808678351576E-6</v>
      </c>
      <c r="AB59" s="304">
        <f t="shared" si="32"/>
        <v>5.4332688700102636E-7</v>
      </c>
      <c r="AC59" s="304">
        <f t="shared" si="32"/>
        <v>8.7179516346504564E-7</v>
      </c>
      <c r="AD59" s="304">
        <f t="shared" si="32"/>
        <v>1.4992043052951209E-6</v>
      </c>
      <c r="AE59" s="304">
        <f t="shared" si="32"/>
        <v>4.0904869832875676E-6</v>
      </c>
      <c r="AF59" s="304">
        <f t="shared" si="32"/>
        <v>5.9353086264526839E-5</v>
      </c>
      <c r="AG59" s="304">
        <f t="shared" si="32"/>
        <v>5.6379721635274207E-7</v>
      </c>
      <c r="AH59" s="304">
        <f t="shared" si="32"/>
        <v>4.5569555902412881E-7</v>
      </c>
      <c r="AI59" s="304">
        <f t="shared" si="32"/>
        <v>3.4998618547140211E-7</v>
      </c>
      <c r="AJ59" s="304">
        <f t="shared" si="32"/>
        <v>2.8411602642075516E-7</v>
      </c>
      <c r="AK59" s="304">
        <f t="shared" si="32"/>
        <v>2.2698789895228526E-7</v>
      </c>
      <c r="AL59" s="304">
        <f t="shared" si="32"/>
        <v>1.6807861483235115E-7</v>
      </c>
      <c r="AM59" s="304">
        <f t="shared" si="32"/>
        <v>1.4181323692691563E-7</v>
      </c>
      <c r="AN59" s="304">
        <f t="shared" si="32"/>
        <v>1.8108693994874541E-5</v>
      </c>
      <c r="AO59" s="304">
        <f t="shared" si="32"/>
        <v>1.8736811765813262E-5</v>
      </c>
      <c r="AP59" s="304">
        <f t="shared" si="32"/>
        <v>1.2858896011012257E-5</v>
      </c>
      <c r="AQ59" s="304">
        <f t="shared" si="32"/>
        <v>1.821714984056977E-5</v>
      </c>
      <c r="AR59" s="304">
        <f t="shared" si="32"/>
        <v>4.1008126272864057E-5</v>
      </c>
      <c r="AS59" s="304">
        <f t="shared" si="32"/>
        <v>3.3621559364068304E-5</v>
      </c>
      <c r="AT59" s="304">
        <f t="shared" si="32"/>
        <v>1.1299901625749551E-4</v>
      </c>
      <c r="AU59" s="304">
        <f t="shared" si="32"/>
        <v>1.2698186309306262E-4</v>
      </c>
      <c r="AV59" s="304">
        <f t="shared" si="32"/>
        <v>1.7828151785796202E-4</v>
      </c>
      <c r="AW59" s="304">
        <f t="shared" si="32"/>
        <v>2.3170634209253931E-4</v>
      </c>
      <c r="AX59" s="304">
        <f t="shared" si="32"/>
        <v>5.8367730132639871E-3</v>
      </c>
      <c r="AY59" s="304">
        <f t="shared" si="32"/>
        <v>5.8367730132639871E-3</v>
      </c>
      <c r="AZ59" s="304">
        <f t="shared" si="32"/>
        <v>8.0745654513860437E-3</v>
      </c>
      <c r="BA59" s="304">
        <f t="shared" si="32"/>
        <v>1.1131209827622961E-2</v>
      </c>
      <c r="BB59" s="304">
        <f t="shared" si="32"/>
        <v>1.170161939883133E-3</v>
      </c>
      <c r="BC59" s="304">
        <f t="shared" si="32"/>
        <v>1663.3834874029794</v>
      </c>
      <c r="BD59" s="304">
        <f t="shared" ref="BD59:BI59" si="33">BD$4*BD57+BD$5*BD58/BD$3</f>
        <v>1.6191273447624565E-2</v>
      </c>
      <c r="BE59" s="304">
        <f t="shared" si="33"/>
        <v>1.0884067512809042E-4</v>
      </c>
      <c r="BF59" s="304">
        <f t="shared" si="33"/>
        <v>1.0884067512809042E-4</v>
      </c>
      <c r="BG59" s="304">
        <f t="shared" si="33"/>
        <v>8.9370037373410502E-7</v>
      </c>
      <c r="BH59" s="304">
        <f t="shared" si="33"/>
        <v>8.0872684637767357E-3</v>
      </c>
      <c r="BI59" s="304">
        <f t="shared" si="33"/>
        <v>3.1644124971461117E-3</v>
      </c>
      <c r="BJ59" s="304"/>
    </row>
    <row r="60" spans="1:63" s="306" customFormat="1" ht="13.15" hidden="1" customHeight="1">
      <c r="A60" s="307"/>
      <c r="B60" s="310"/>
      <c r="C60" s="308"/>
      <c r="D60" s="4030"/>
      <c r="E60" s="3646" t="str">
        <f>E$18</f>
        <v>Conductivité à l'air</v>
      </c>
      <c r="F60" s="293" t="str">
        <f t="shared" ref="F60:G60" si="34">F$18</f>
        <v>K</v>
      </c>
      <c r="G60" s="2017" t="str">
        <f t="shared" si="34"/>
        <v>m3/m/Pa/s</v>
      </c>
      <c r="H60" s="302">
        <f>Sols!$U21</f>
        <v>5.7142857142857152E-10</v>
      </c>
      <c r="I60" s="302">
        <f>Sols!$U21</f>
        <v>5.7142857142857152E-10</v>
      </c>
      <c r="J60" s="302">
        <f>Sols!$U21</f>
        <v>5.7142857142857152E-10</v>
      </c>
      <c r="K60" s="302">
        <f>Sols!$U21</f>
        <v>5.7142857142857152E-10</v>
      </c>
      <c r="L60" s="302">
        <f>Sols!$U21</f>
        <v>5.7142857142857152E-10</v>
      </c>
      <c r="M60" s="302">
        <f>Sols!$U21</f>
        <v>5.7142857142857152E-10</v>
      </c>
      <c r="N60" s="302">
        <f>Sols!$U21</f>
        <v>5.7142857142857152E-10</v>
      </c>
      <c r="O60" s="302">
        <f>Sols!$U21</f>
        <v>5.7142857142857152E-10</v>
      </c>
      <c r="P60" s="302">
        <f>Sols!$U21</f>
        <v>5.7142857142857152E-10</v>
      </c>
      <c r="Q60" s="302">
        <f>Sols!$U21</f>
        <v>5.7142857142857152E-10</v>
      </c>
      <c r="R60" s="302">
        <f>Sols!$U21</f>
        <v>5.7142857142857152E-10</v>
      </c>
      <c r="S60" s="302">
        <f>Sols!$U21</f>
        <v>5.7142857142857152E-10</v>
      </c>
      <c r="T60" s="302">
        <f>Sols!$U21</f>
        <v>5.7142857142857152E-10</v>
      </c>
      <c r="U60" s="302">
        <f>Sols!$U21</f>
        <v>5.7142857142857152E-10</v>
      </c>
      <c r="V60" s="302">
        <f>Sols!$U21</f>
        <v>5.7142857142857152E-10</v>
      </c>
      <c r="W60" s="302">
        <f>Sols!$U21</f>
        <v>5.7142857142857152E-10</v>
      </c>
      <c r="X60" s="302">
        <f>Sols!$U21</f>
        <v>5.7142857142857152E-10</v>
      </c>
      <c r="Y60" s="302">
        <f>Sols!$U21</f>
        <v>5.7142857142857152E-10</v>
      </c>
      <c r="Z60" s="302">
        <f>Sols!$U21</f>
        <v>5.7142857142857152E-10</v>
      </c>
      <c r="AA60" s="302">
        <f>Sols!$U21</f>
        <v>5.7142857142857152E-10</v>
      </c>
      <c r="AB60" s="302">
        <f>Sols!$U21</f>
        <v>5.7142857142857152E-10</v>
      </c>
      <c r="AC60" s="302">
        <f>Sols!$U21</f>
        <v>5.7142857142857152E-10</v>
      </c>
      <c r="AD60" s="302">
        <f>Sols!$U21</f>
        <v>5.7142857142857152E-10</v>
      </c>
      <c r="AE60" s="302">
        <f>Sols!$U21</f>
        <v>5.7142857142857152E-10</v>
      </c>
      <c r="AF60" s="302">
        <f>Sols!$U21</f>
        <v>5.7142857142857152E-10</v>
      </c>
      <c r="AG60" s="302">
        <f>Sols!$U21</f>
        <v>5.7142857142857152E-10</v>
      </c>
      <c r="AH60" s="302">
        <f>Sols!$U21</f>
        <v>5.7142857142857152E-10</v>
      </c>
      <c r="AI60" s="302">
        <f>Sols!$U21</f>
        <v>5.7142857142857152E-10</v>
      </c>
      <c r="AJ60" s="302">
        <f>Sols!$U21</f>
        <v>5.7142857142857152E-10</v>
      </c>
      <c r="AK60" s="302">
        <f>Sols!$U21</f>
        <v>5.7142857142857152E-10</v>
      </c>
      <c r="AL60" s="302">
        <f>Sols!$U21</f>
        <v>5.7142857142857152E-10</v>
      </c>
      <c r="AM60" s="302">
        <f>Sols!$U21</f>
        <v>5.7142857142857152E-10</v>
      </c>
      <c r="AN60" s="302">
        <f>Sols!$U21</f>
        <v>5.7142857142857152E-10</v>
      </c>
      <c r="AO60" s="302">
        <f>Sols!$U21</f>
        <v>5.7142857142857152E-10</v>
      </c>
      <c r="AP60" s="302">
        <f>Sols!$U21</f>
        <v>5.7142857142857152E-10</v>
      </c>
      <c r="AQ60" s="302">
        <f>Sols!$U21</f>
        <v>5.7142857142857152E-10</v>
      </c>
      <c r="AR60" s="302">
        <f>Sols!$U21</f>
        <v>5.7142857142857152E-10</v>
      </c>
      <c r="AS60" s="302">
        <f>Sols!$U21</f>
        <v>5.7142857142857152E-10</v>
      </c>
      <c r="AT60" s="302">
        <f>Sols!$U21</f>
        <v>5.7142857142857152E-10</v>
      </c>
      <c r="AU60" s="302">
        <f>Sols!$U21</f>
        <v>5.7142857142857152E-10</v>
      </c>
      <c r="AV60" s="302">
        <f>Sols!$U21</f>
        <v>5.7142857142857152E-10</v>
      </c>
      <c r="AW60" s="302">
        <f>Sols!$U21</f>
        <v>5.7142857142857152E-10</v>
      </c>
      <c r="AX60" s="302">
        <f>Sols!$U21</f>
        <v>5.7142857142857152E-10</v>
      </c>
      <c r="AY60" s="302">
        <f>Sols!$U21</f>
        <v>5.7142857142857152E-10</v>
      </c>
      <c r="AZ60" s="302">
        <f>Sols!$U21</f>
        <v>5.7142857142857152E-10</v>
      </c>
      <c r="BA60" s="302">
        <f>Sols!$U21</f>
        <v>5.7142857142857152E-10</v>
      </c>
      <c r="BB60" s="302">
        <f>Sols!$U21</f>
        <v>5.7142857142857152E-10</v>
      </c>
      <c r="BC60" s="302">
        <f>Sols!$U21</f>
        <v>5.7142857142857152E-10</v>
      </c>
      <c r="BD60" s="302">
        <f>Sols!$U21</f>
        <v>5.7142857142857152E-10</v>
      </c>
      <c r="BE60" s="302">
        <f>Sols!$U21</f>
        <v>5.7142857142857152E-10</v>
      </c>
      <c r="BF60" s="302">
        <f>Sols!$U21</f>
        <v>5.7142857142857152E-10</v>
      </c>
      <c r="BG60" s="302">
        <f>Sols!$U21</f>
        <v>5.7142857142857152E-10</v>
      </c>
      <c r="BH60" s="302">
        <f>Sols!$U21</f>
        <v>5.7142857142857152E-10</v>
      </c>
      <c r="BI60" s="302">
        <f>Sols!$U21</f>
        <v>5.7142857142857152E-10</v>
      </c>
      <c r="BJ60" s="302"/>
    </row>
    <row r="61" spans="1:63" s="306" customFormat="1" ht="13.15" customHeight="1" thickBot="1">
      <c r="A61" s="314"/>
      <c r="B61" s="315"/>
      <c r="C61" s="284"/>
      <c r="D61" s="4031"/>
      <c r="E61" s="2023"/>
      <c r="F61" s="283"/>
      <c r="G61" s="2024"/>
      <c r="H61" s="316"/>
      <c r="I61" s="316"/>
      <c r="J61" s="316"/>
      <c r="K61" s="316"/>
      <c r="L61" s="316"/>
      <c r="M61" s="316"/>
      <c r="N61" s="316"/>
      <c r="O61" s="316"/>
      <c r="P61" s="316"/>
      <c r="Q61" s="316"/>
      <c r="R61" s="316"/>
      <c r="S61" s="316"/>
      <c r="T61" s="316"/>
      <c r="U61" s="316"/>
      <c r="V61" s="316"/>
      <c r="W61" s="316"/>
      <c r="X61" s="316"/>
      <c r="Y61" s="316"/>
      <c r="Z61" s="316"/>
      <c r="AA61" s="316"/>
      <c r="AB61" s="316"/>
      <c r="AC61" s="316"/>
      <c r="AD61" s="316"/>
      <c r="AE61" s="316"/>
      <c r="AF61" s="316"/>
      <c r="AG61" s="316"/>
      <c r="AH61" s="316"/>
      <c r="AI61" s="316"/>
      <c r="AJ61" s="316"/>
      <c r="AK61" s="316"/>
      <c r="AL61" s="316"/>
      <c r="AM61" s="316"/>
      <c r="AN61" s="316"/>
      <c r="AO61" s="316"/>
      <c r="AP61" s="316"/>
      <c r="AQ61" s="316"/>
      <c r="AR61" s="316"/>
      <c r="AS61" s="316"/>
      <c r="AT61" s="316"/>
      <c r="AU61" s="316"/>
      <c r="AV61" s="316"/>
      <c r="AW61" s="316"/>
      <c r="AX61" s="316"/>
      <c r="AY61" s="316"/>
      <c r="AZ61" s="316"/>
      <c r="BA61" s="316"/>
      <c r="BB61" s="316"/>
      <c r="BC61" s="316"/>
      <c r="BD61" s="316"/>
      <c r="BE61" s="316"/>
      <c r="BF61" s="316"/>
      <c r="BG61" s="316"/>
      <c r="BH61" s="316"/>
      <c r="BI61" s="316"/>
      <c r="BJ61" s="302"/>
    </row>
    <row r="62" spans="1:63" s="306" customFormat="1" ht="13.15" customHeight="1">
      <c r="A62" s="311"/>
      <c r="B62" s="310"/>
      <c r="C62" s="312"/>
      <c r="D62" s="2008"/>
      <c r="E62" s="326"/>
      <c r="F62" s="297"/>
      <c r="G62" s="2020"/>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row>
    <row r="63" spans="1:63" s="306" customFormat="1" ht="13.15" customHeight="1">
      <c r="A63" s="311"/>
      <c r="B63" s="310"/>
      <c r="C63" s="312"/>
      <c r="D63" s="4028" t="s">
        <v>664</v>
      </c>
      <c r="E63" s="323" t="str">
        <f>E$20</f>
        <v>Limon sableux pelouse</v>
      </c>
      <c r="F63" s="293"/>
      <c r="G63" s="2017"/>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row>
    <row r="64" spans="1:63" s="306" customFormat="1" ht="13.15" customHeight="1">
      <c r="A64" s="311"/>
      <c r="B64" s="310"/>
      <c r="C64" s="312"/>
      <c r="D64" s="4028"/>
      <c r="E64" s="324" t="s">
        <v>74</v>
      </c>
      <c r="F64" s="297" t="s">
        <v>75</v>
      </c>
      <c r="G64" s="2020" t="s">
        <v>73</v>
      </c>
      <c r="H64" s="302">
        <f>Sols!$V14</f>
        <v>0.3</v>
      </c>
      <c r="I64" s="302">
        <f>Sols!$V14</f>
        <v>0.3</v>
      </c>
      <c r="J64" s="302">
        <f>Sols!$V14</f>
        <v>0.3</v>
      </c>
      <c r="K64" s="302">
        <f>Sols!$V14</f>
        <v>0.3</v>
      </c>
      <c r="L64" s="302">
        <f>Sols!$V14</f>
        <v>0.3</v>
      </c>
      <c r="M64" s="302">
        <f>Sols!$V14</f>
        <v>0.3</v>
      </c>
      <c r="N64" s="302">
        <f>Sols!$V14</f>
        <v>0.3</v>
      </c>
      <c r="O64" s="302">
        <f>Sols!$V14</f>
        <v>0.3</v>
      </c>
      <c r="P64" s="302">
        <f>Sols!$V14</f>
        <v>0.3</v>
      </c>
      <c r="Q64" s="302">
        <f>Sols!$V14</f>
        <v>0.3</v>
      </c>
      <c r="R64" s="302">
        <f>Sols!$V14</f>
        <v>0.3</v>
      </c>
      <c r="S64" s="302">
        <f>Sols!$V14</f>
        <v>0.3</v>
      </c>
      <c r="T64" s="302">
        <f>Sols!$V14</f>
        <v>0.3</v>
      </c>
      <c r="U64" s="302">
        <f>Sols!$V14</f>
        <v>0.3</v>
      </c>
      <c r="V64" s="302">
        <f>Sols!$V14</f>
        <v>0.3</v>
      </c>
      <c r="W64" s="302">
        <f>Sols!$V14</f>
        <v>0.3</v>
      </c>
      <c r="X64" s="302">
        <f>Sols!$V14</f>
        <v>0.3</v>
      </c>
      <c r="Y64" s="302">
        <f>Sols!$V14</f>
        <v>0.3</v>
      </c>
      <c r="Z64" s="302">
        <f>Sols!$V14</f>
        <v>0.3</v>
      </c>
      <c r="AA64" s="302">
        <f>Sols!$V14</f>
        <v>0.3</v>
      </c>
      <c r="AB64" s="302">
        <f>Sols!$V14</f>
        <v>0.3</v>
      </c>
      <c r="AC64" s="302">
        <f>Sols!$V14</f>
        <v>0.3</v>
      </c>
      <c r="AD64" s="302">
        <f>Sols!$V14</f>
        <v>0.3</v>
      </c>
      <c r="AE64" s="302">
        <f>Sols!$V14</f>
        <v>0.3</v>
      </c>
      <c r="AF64" s="302">
        <f>Sols!$V14</f>
        <v>0.3</v>
      </c>
      <c r="AG64" s="302">
        <f>Sols!$V14</f>
        <v>0.3</v>
      </c>
      <c r="AH64" s="302">
        <f>Sols!$V14</f>
        <v>0.3</v>
      </c>
      <c r="AI64" s="302">
        <f>Sols!$V14</f>
        <v>0.3</v>
      </c>
      <c r="AJ64" s="302">
        <f>Sols!$V14</f>
        <v>0.3</v>
      </c>
      <c r="AK64" s="302">
        <f>Sols!$V14</f>
        <v>0.3</v>
      </c>
      <c r="AL64" s="302">
        <f>Sols!$V14</f>
        <v>0.3</v>
      </c>
      <c r="AM64" s="302">
        <f>Sols!$V14</f>
        <v>0.3</v>
      </c>
      <c r="AN64" s="302">
        <f>Sols!$V14</f>
        <v>0.3</v>
      </c>
      <c r="AO64" s="302">
        <f>Sols!$V14</f>
        <v>0.3</v>
      </c>
      <c r="AP64" s="302">
        <f>Sols!$V14</f>
        <v>0.3</v>
      </c>
      <c r="AQ64" s="302">
        <f>Sols!$V14</f>
        <v>0.3</v>
      </c>
      <c r="AR64" s="302">
        <f>Sols!$V14</f>
        <v>0.3</v>
      </c>
      <c r="AS64" s="302">
        <f>Sols!$V14</f>
        <v>0.3</v>
      </c>
      <c r="AT64" s="302">
        <f>Sols!$V14</f>
        <v>0.3</v>
      </c>
      <c r="AU64" s="302">
        <f>Sols!$V14</f>
        <v>0.3</v>
      </c>
      <c r="AV64" s="302">
        <f>Sols!$V14</f>
        <v>0.3</v>
      </c>
      <c r="AW64" s="302">
        <f>Sols!$V14</f>
        <v>0.3</v>
      </c>
      <c r="AX64" s="302">
        <f>Sols!$V14</f>
        <v>0.3</v>
      </c>
      <c r="AY64" s="302">
        <f>Sols!$V14</f>
        <v>0.3</v>
      </c>
      <c r="AZ64" s="302">
        <f>Sols!$V14</f>
        <v>0.3</v>
      </c>
      <c r="BA64" s="302">
        <f>Sols!$V14</f>
        <v>0.3</v>
      </c>
      <c r="BB64" s="302">
        <f>Sols!$V14</f>
        <v>0.3</v>
      </c>
      <c r="BC64" s="302">
        <f>Sols!$V14</f>
        <v>0.3</v>
      </c>
      <c r="BD64" s="302">
        <f>Sols!$V14</f>
        <v>0.3</v>
      </c>
      <c r="BE64" s="302">
        <f>Sols!$V14</f>
        <v>0.3</v>
      </c>
      <c r="BF64" s="302">
        <f>Sols!$V14</f>
        <v>0.3</v>
      </c>
      <c r="BG64" s="302">
        <f>Sols!$V14</f>
        <v>0.3</v>
      </c>
      <c r="BH64" s="302">
        <f>Sols!$V14</f>
        <v>0.3</v>
      </c>
      <c r="BI64" s="302">
        <f>Sols!$V14</f>
        <v>0.3</v>
      </c>
      <c r="BJ64" s="302"/>
    </row>
    <row r="65" spans="1:62" s="306" customFormat="1" ht="13.15" customHeight="1">
      <c r="A65" s="311"/>
      <c r="B65" s="310"/>
      <c r="C65" s="312"/>
      <c r="D65" s="4028"/>
      <c r="E65" s="325" t="s">
        <v>242</v>
      </c>
      <c r="F65" s="297" t="s">
        <v>243</v>
      </c>
      <c r="G65" s="2020" t="s">
        <v>269</v>
      </c>
      <c r="H65" s="302">
        <f t="shared" ref="H65:AL65" si="35">H64/H$23</f>
        <v>1274.908241420535</v>
      </c>
      <c r="I65" s="302">
        <f t="shared" si="35"/>
        <v>1274.908241420535</v>
      </c>
      <c r="J65" s="302">
        <f>J64/J$23</f>
        <v>1386.4789038976335</v>
      </c>
      <c r="K65" s="302">
        <f t="shared" si="35"/>
        <v>704.46191780980234</v>
      </c>
      <c r="L65" s="302">
        <f t="shared" si="35"/>
        <v>1013.9891209021745</v>
      </c>
      <c r="M65" s="302">
        <f t="shared" si="35"/>
        <v>1013.9891209021745</v>
      </c>
      <c r="N65" s="302">
        <f>N64/N$23</f>
        <v>945.10207692151619</v>
      </c>
      <c r="O65" s="302">
        <f>O64/O$23</f>
        <v>945.10207692151619</v>
      </c>
      <c r="P65" s="302">
        <f t="shared" si="35"/>
        <v>1037.0485236336572</v>
      </c>
      <c r="Q65" s="302">
        <f t="shared" si="35"/>
        <v>1037.0485236336572</v>
      </c>
      <c r="R65" s="302">
        <f>R64/R$23</f>
        <v>73.20689691105224</v>
      </c>
      <c r="S65" s="302">
        <f>S64/S$23</f>
        <v>717.72479347551814</v>
      </c>
      <c r="T65" s="302">
        <f>T64/T$23</f>
        <v>717.72479347551814</v>
      </c>
      <c r="U65" s="302">
        <f t="shared" si="35"/>
        <v>957.28843460964197</v>
      </c>
      <c r="V65" s="302">
        <f t="shared" si="35"/>
        <v>2621.7749697335075</v>
      </c>
      <c r="W65" s="302">
        <f t="shared" si="35"/>
        <v>2621.7749697335075</v>
      </c>
      <c r="X65" s="302">
        <f t="shared" si="35"/>
        <v>911.02107345410764</v>
      </c>
      <c r="Y65" s="302">
        <f t="shared" si="35"/>
        <v>1014.1920925333236</v>
      </c>
      <c r="Z65" s="302">
        <f t="shared" si="35"/>
        <v>1106.0588425985097</v>
      </c>
      <c r="AA65" s="302">
        <f t="shared" si="35"/>
        <v>1105.9782961671656</v>
      </c>
      <c r="AB65" s="302">
        <f t="shared" si="35"/>
        <v>2357.8541495450331</v>
      </c>
      <c r="AC65" s="302">
        <f t="shared" si="35"/>
        <v>2553.6801915971932</v>
      </c>
      <c r="AD65" s="302">
        <f t="shared" si="35"/>
        <v>2944.7859558764899</v>
      </c>
      <c r="AE65" s="302">
        <f t="shared" si="35"/>
        <v>3719.0125672926283</v>
      </c>
      <c r="AF65" s="302">
        <f t="shared" si="35"/>
        <v>4381.2301821941419</v>
      </c>
      <c r="AG65" s="302">
        <f t="shared" si="35"/>
        <v>1591.7189352773873</v>
      </c>
      <c r="AH65" s="302">
        <f t="shared" si="35"/>
        <v>1965.0861424396537</v>
      </c>
      <c r="AI65" s="302">
        <f t="shared" si="35"/>
        <v>2554.6129666603424</v>
      </c>
      <c r="AJ65" s="302">
        <f t="shared" si="35"/>
        <v>3144.1397069935015</v>
      </c>
      <c r="AK65" s="302">
        <f t="shared" si="35"/>
        <v>3930.1759243269012</v>
      </c>
      <c r="AL65" s="302">
        <f t="shared" si="35"/>
        <v>5305.7379650596286</v>
      </c>
      <c r="AM65" s="302">
        <f t="shared" ref="AM65:BC65" si="36">AM64/AM$23</f>
        <v>6288.2820661910991</v>
      </c>
      <c r="AN65" s="302">
        <f t="shared" si="36"/>
        <v>2488.5486537323472</v>
      </c>
      <c r="AO65" s="302">
        <f t="shared" si="36"/>
        <v>2946.3413416056105</v>
      </c>
      <c r="AP65" s="302">
        <f t="shared" si="36"/>
        <v>2999.0724937832679</v>
      </c>
      <c r="AQ65" s="302">
        <f t="shared" si="36"/>
        <v>3214.3582958457464</v>
      </c>
      <c r="AR65" s="302">
        <f t="shared" si="36"/>
        <v>3370.0043396887058</v>
      </c>
      <c r="AS65" s="302">
        <f t="shared" si="36"/>
        <v>3393.1489450509603</v>
      </c>
      <c r="AT65" s="302">
        <f t="shared" si="36"/>
        <v>3540.4418738694831</v>
      </c>
      <c r="AU65" s="302">
        <f t="shared" si="36"/>
        <v>3493.057777981202</v>
      </c>
      <c r="AV65" s="302">
        <f t="shared" si="36"/>
        <v>3680.5530735241155</v>
      </c>
      <c r="AW65" s="302">
        <f t="shared" si="36"/>
        <v>3492.382482957209</v>
      </c>
      <c r="AX65" s="302">
        <f t="shared" si="36"/>
        <v>555.2490723745783</v>
      </c>
      <c r="AY65" s="302">
        <f t="shared" si="36"/>
        <v>555.2490723745783</v>
      </c>
      <c r="AZ65" s="302">
        <f t="shared" si="36"/>
        <v>414.2163325189257</v>
      </c>
      <c r="BA65" s="302">
        <f t="shared" si="36"/>
        <v>309.32380675500252</v>
      </c>
      <c r="BB65" s="302">
        <f t="shared" si="36"/>
        <v>1959.9305366740934</v>
      </c>
      <c r="BC65" s="302">
        <f t="shared" si="36"/>
        <v>2.193985124265442E-3</v>
      </c>
      <c r="BD65" s="302">
        <f t="shared" ref="BD65:BI65" si="37">BD64/BD$23</f>
        <v>180.68500542983705</v>
      </c>
      <c r="BE65" s="302">
        <f t="shared" si="37"/>
        <v>4397.5350003472831</v>
      </c>
      <c r="BF65" s="302">
        <f t="shared" si="37"/>
        <v>4397.5350003472831</v>
      </c>
      <c r="BG65" s="302">
        <f t="shared" si="37"/>
        <v>2431.5024835064946</v>
      </c>
      <c r="BH65" s="302">
        <f t="shared" si="37"/>
        <v>340.25146469501004</v>
      </c>
      <c r="BI65" s="302">
        <f t="shared" si="37"/>
        <v>320.88881340715437</v>
      </c>
      <c r="BJ65" s="302"/>
    </row>
    <row r="66" spans="1:62" s="306" customFormat="1" ht="13.15" customHeight="1">
      <c r="A66" s="311"/>
      <c r="B66" s="310"/>
      <c r="C66" s="312"/>
      <c r="D66" s="4028"/>
      <c r="E66" s="325"/>
      <c r="F66" s="297"/>
      <c r="G66" s="2020"/>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302"/>
      <c r="AZ66" s="302"/>
      <c r="BA66" s="302"/>
      <c r="BB66" s="302"/>
      <c r="BC66" s="302"/>
      <c r="BD66" s="302"/>
      <c r="BE66" s="302"/>
      <c r="BF66" s="302"/>
      <c r="BG66" s="302"/>
      <c r="BH66" s="302"/>
      <c r="BI66" s="302"/>
      <c r="BJ66" s="302"/>
    </row>
    <row r="67" spans="1:62" s="306" customFormat="1" ht="13.15" hidden="1" customHeight="1">
      <c r="A67" s="311"/>
      <c r="B67" s="310"/>
      <c r="C67" s="312"/>
      <c r="D67" s="2009"/>
      <c r="E67" s="3644" t="str">
        <f>E$39</f>
        <v>Terre de couverture sèche</v>
      </c>
      <c r="F67" s="293"/>
      <c r="G67" s="2017"/>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302"/>
      <c r="BD67" s="302"/>
      <c r="BE67" s="302"/>
      <c r="BF67" s="302"/>
      <c r="BG67" s="302"/>
      <c r="BH67" s="302"/>
      <c r="BI67" s="302"/>
      <c r="BJ67" s="302"/>
    </row>
    <row r="68" spans="1:62" s="306" customFormat="1" ht="13.15" hidden="1" customHeight="1">
      <c r="A68" s="311"/>
      <c r="B68" s="310"/>
      <c r="C68" s="312"/>
      <c r="D68" s="2009"/>
      <c r="E68" s="3645" t="s">
        <v>74</v>
      </c>
      <c r="F68" s="297" t="s">
        <v>75</v>
      </c>
      <c r="G68" s="2020" t="s">
        <v>73</v>
      </c>
      <c r="H68" s="302">
        <v>0</v>
      </c>
      <c r="I68" s="302">
        <v>0</v>
      </c>
      <c r="J68" s="302">
        <v>0</v>
      </c>
      <c r="K68" s="302">
        <v>0</v>
      </c>
      <c r="L68" s="302">
        <v>0</v>
      </c>
      <c r="M68" s="302">
        <v>0</v>
      </c>
      <c r="N68" s="302">
        <v>0</v>
      </c>
      <c r="O68" s="302">
        <v>0</v>
      </c>
      <c r="P68" s="302">
        <v>0</v>
      </c>
      <c r="Q68" s="302">
        <v>0</v>
      </c>
      <c r="R68" s="302">
        <v>0</v>
      </c>
      <c r="S68" s="302">
        <v>0</v>
      </c>
      <c r="T68" s="302">
        <v>0</v>
      </c>
      <c r="U68" s="302">
        <v>0</v>
      </c>
      <c r="V68" s="302">
        <v>0</v>
      </c>
      <c r="W68" s="302">
        <v>0</v>
      </c>
      <c r="X68" s="302">
        <v>0</v>
      </c>
      <c r="Y68" s="302">
        <v>0</v>
      </c>
      <c r="Z68" s="302">
        <v>0</v>
      </c>
      <c r="AA68" s="302">
        <v>0</v>
      </c>
      <c r="AB68" s="302">
        <v>0</v>
      </c>
      <c r="AC68" s="302">
        <v>0</v>
      </c>
      <c r="AD68" s="302">
        <v>0</v>
      </c>
      <c r="AE68" s="302">
        <v>0</v>
      </c>
      <c r="AF68" s="302">
        <v>0</v>
      </c>
      <c r="AG68" s="302">
        <v>0</v>
      </c>
      <c r="AH68" s="302">
        <v>0</v>
      </c>
      <c r="AI68" s="302">
        <v>0</v>
      </c>
      <c r="AJ68" s="302">
        <v>0</v>
      </c>
      <c r="AK68" s="302">
        <v>0</v>
      </c>
      <c r="AL68" s="302">
        <v>0</v>
      </c>
      <c r="AM68" s="302">
        <v>0</v>
      </c>
      <c r="AN68" s="302">
        <v>0</v>
      </c>
      <c r="AO68" s="302">
        <v>0</v>
      </c>
      <c r="AP68" s="302">
        <v>0</v>
      </c>
      <c r="AQ68" s="302">
        <v>0</v>
      </c>
      <c r="AR68" s="302">
        <v>0</v>
      </c>
      <c r="AS68" s="302">
        <v>0</v>
      </c>
      <c r="AT68" s="302">
        <v>0</v>
      </c>
      <c r="AU68" s="302">
        <v>0</v>
      </c>
      <c r="AV68" s="302">
        <v>0</v>
      </c>
      <c r="AW68" s="302">
        <v>0</v>
      </c>
      <c r="AX68" s="302">
        <v>0</v>
      </c>
      <c r="AY68" s="302">
        <v>0</v>
      </c>
      <c r="AZ68" s="302">
        <v>0</v>
      </c>
      <c r="BA68" s="302">
        <v>0</v>
      </c>
      <c r="BB68" s="302">
        <v>0</v>
      </c>
      <c r="BC68" s="302">
        <v>0</v>
      </c>
      <c r="BD68" s="302">
        <v>0</v>
      </c>
      <c r="BE68" s="302">
        <v>0</v>
      </c>
      <c r="BF68" s="302">
        <v>0</v>
      </c>
      <c r="BG68" s="302">
        <v>0</v>
      </c>
      <c r="BH68" s="302">
        <v>0</v>
      </c>
      <c r="BI68" s="302">
        <v>0</v>
      </c>
      <c r="BJ68" s="302"/>
    </row>
    <row r="69" spans="1:62" s="306" customFormat="1" ht="13.15" hidden="1" customHeight="1">
      <c r="A69" s="311"/>
      <c r="B69" s="310"/>
      <c r="C69" s="312"/>
      <c r="D69" s="2009"/>
      <c r="E69" s="3643" t="s">
        <v>242</v>
      </c>
      <c r="F69" s="297" t="s">
        <v>243</v>
      </c>
      <c r="G69" s="2020" t="s">
        <v>269</v>
      </c>
      <c r="H69" s="302">
        <f>H68/H$42</f>
        <v>0</v>
      </c>
      <c r="I69" s="302">
        <f>I68/I$42</f>
        <v>0</v>
      </c>
      <c r="J69" s="302">
        <f>J68/J$42</f>
        <v>0</v>
      </c>
      <c r="K69" s="302">
        <f t="shared" ref="K69:W69" si="38">K68/K$42</f>
        <v>0</v>
      </c>
      <c r="L69" s="302">
        <f t="shared" si="38"/>
        <v>0</v>
      </c>
      <c r="M69" s="302">
        <f t="shared" si="38"/>
        <v>0</v>
      </c>
      <c r="N69" s="302">
        <f>N68/N$42</f>
        <v>0</v>
      </c>
      <c r="O69" s="302">
        <f>O68/O$42</f>
        <v>0</v>
      </c>
      <c r="P69" s="302">
        <f t="shared" si="38"/>
        <v>0</v>
      </c>
      <c r="Q69" s="302">
        <f t="shared" si="38"/>
        <v>0</v>
      </c>
      <c r="R69" s="302">
        <f>R68/R$42</f>
        <v>0</v>
      </c>
      <c r="S69" s="302">
        <f>S68/S$42</f>
        <v>0</v>
      </c>
      <c r="T69" s="302">
        <f>T68/T$42</f>
        <v>0</v>
      </c>
      <c r="U69" s="302">
        <f t="shared" si="38"/>
        <v>0</v>
      </c>
      <c r="V69" s="302">
        <f t="shared" si="38"/>
        <v>0</v>
      </c>
      <c r="W69" s="302">
        <f t="shared" si="38"/>
        <v>0</v>
      </c>
      <c r="X69" s="302">
        <f t="shared" ref="X69:BC69" si="39">X68/X$42</f>
        <v>0</v>
      </c>
      <c r="Y69" s="302">
        <f t="shared" si="39"/>
        <v>0</v>
      </c>
      <c r="Z69" s="302">
        <f t="shared" si="39"/>
        <v>0</v>
      </c>
      <c r="AA69" s="302">
        <f t="shared" si="39"/>
        <v>0</v>
      </c>
      <c r="AB69" s="302">
        <f t="shared" si="39"/>
        <v>0</v>
      </c>
      <c r="AC69" s="302">
        <f t="shared" si="39"/>
        <v>0</v>
      </c>
      <c r="AD69" s="302">
        <f t="shared" si="39"/>
        <v>0</v>
      </c>
      <c r="AE69" s="302">
        <f t="shared" si="39"/>
        <v>0</v>
      </c>
      <c r="AF69" s="302">
        <f t="shared" si="39"/>
        <v>0</v>
      </c>
      <c r="AG69" s="302">
        <f t="shared" si="39"/>
        <v>0</v>
      </c>
      <c r="AH69" s="302">
        <f t="shared" si="39"/>
        <v>0</v>
      </c>
      <c r="AI69" s="302">
        <f t="shared" si="39"/>
        <v>0</v>
      </c>
      <c r="AJ69" s="302">
        <f t="shared" si="39"/>
        <v>0</v>
      </c>
      <c r="AK69" s="302">
        <f t="shared" si="39"/>
        <v>0</v>
      </c>
      <c r="AL69" s="302">
        <f t="shared" si="39"/>
        <v>0</v>
      </c>
      <c r="AM69" s="302">
        <f t="shared" si="39"/>
        <v>0</v>
      </c>
      <c r="AN69" s="302">
        <f t="shared" si="39"/>
        <v>0</v>
      </c>
      <c r="AO69" s="302">
        <f t="shared" si="39"/>
        <v>0</v>
      </c>
      <c r="AP69" s="302">
        <f t="shared" si="39"/>
        <v>0</v>
      </c>
      <c r="AQ69" s="302">
        <f t="shared" si="39"/>
        <v>0</v>
      </c>
      <c r="AR69" s="302">
        <f t="shared" si="39"/>
        <v>0</v>
      </c>
      <c r="AS69" s="302">
        <f t="shared" si="39"/>
        <v>0</v>
      </c>
      <c r="AT69" s="302">
        <f t="shared" si="39"/>
        <v>0</v>
      </c>
      <c r="AU69" s="302">
        <f t="shared" si="39"/>
        <v>0</v>
      </c>
      <c r="AV69" s="302">
        <f t="shared" si="39"/>
        <v>0</v>
      </c>
      <c r="AW69" s="302">
        <f t="shared" si="39"/>
        <v>0</v>
      </c>
      <c r="AX69" s="302">
        <f t="shared" si="39"/>
        <v>0</v>
      </c>
      <c r="AY69" s="302">
        <f t="shared" si="39"/>
        <v>0</v>
      </c>
      <c r="AZ69" s="302">
        <f t="shared" si="39"/>
        <v>0</v>
      </c>
      <c r="BA69" s="302">
        <f t="shared" si="39"/>
        <v>0</v>
      </c>
      <c r="BB69" s="302">
        <f t="shared" si="39"/>
        <v>0</v>
      </c>
      <c r="BC69" s="302">
        <f t="shared" si="39"/>
        <v>0</v>
      </c>
      <c r="BD69" s="302">
        <f t="shared" ref="BD69:BI69" si="40">BD68/BD$42</f>
        <v>0</v>
      </c>
      <c r="BE69" s="302">
        <f t="shared" si="40"/>
        <v>0</v>
      </c>
      <c r="BF69" s="302">
        <f t="shared" si="40"/>
        <v>0</v>
      </c>
      <c r="BG69" s="302">
        <f t="shared" si="40"/>
        <v>0</v>
      </c>
      <c r="BH69" s="302">
        <f t="shared" si="40"/>
        <v>0</v>
      </c>
      <c r="BI69" s="302">
        <f t="shared" si="40"/>
        <v>0</v>
      </c>
      <c r="BJ69" s="302"/>
    </row>
    <row r="70" spans="1:62" s="306" customFormat="1" ht="13.15" hidden="1" customHeight="1">
      <c r="A70" s="311"/>
      <c r="B70" s="310"/>
      <c r="C70" s="312"/>
      <c r="D70" s="2010"/>
      <c r="E70" s="3646"/>
      <c r="F70" s="293"/>
      <c r="G70" s="2017"/>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c r="BI70" s="302"/>
      <c r="BJ70" s="302"/>
    </row>
    <row r="71" spans="1:62" s="306" customFormat="1" ht="13.15" hidden="1" customHeight="1">
      <c r="A71" s="311"/>
      <c r="B71" s="310"/>
      <c r="C71" s="312"/>
      <c r="D71" s="2010"/>
      <c r="E71" s="3644" t="str">
        <f>E44</f>
        <v>Sable limoneux</v>
      </c>
      <c r="G71" s="2017"/>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row>
    <row r="72" spans="1:62" s="306" customFormat="1" ht="13.15" hidden="1" customHeight="1">
      <c r="A72" s="311"/>
      <c r="B72" s="310"/>
      <c r="C72" s="312"/>
      <c r="D72" s="2010"/>
      <c r="E72" s="3645" t="s">
        <v>74</v>
      </c>
      <c r="F72" s="297" t="s">
        <v>75</v>
      </c>
      <c r="G72" s="2020" t="s">
        <v>73</v>
      </c>
      <c r="H72" s="302">
        <v>0</v>
      </c>
      <c r="I72" s="302">
        <v>0</v>
      </c>
      <c r="J72" s="302">
        <v>0</v>
      </c>
      <c r="K72" s="302">
        <v>0</v>
      </c>
      <c r="L72" s="302">
        <v>0</v>
      </c>
      <c r="M72" s="302">
        <v>0</v>
      </c>
      <c r="N72" s="302">
        <v>0</v>
      </c>
      <c r="O72" s="302">
        <v>0</v>
      </c>
      <c r="P72" s="302">
        <v>0</v>
      </c>
      <c r="Q72" s="302">
        <v>0</v>
      </c>
      <c r="R72" s="302">
        <v>0</v>
      </c>
      <c r="S72" s="302">
        <v>0</v>
      </c>
      <c r="T72" s="302">
        <v>0</v>
      </c>
      <c r="U72" s="302">
        <v>0</v>
      </c>
      <c r="V72" s="302">
        <v>0</v>
      </c>
      <c r="W72" s="302">
        <v>0</v>
      </c>
      <c r="X72" s="302">
        <v>0</v>
      </c>
      <c r="Y72" s="302">
        <v>0</v>
      </c>
      <c r="Z72" s="302">
        <v>0</v>
      </c>
      <c r="AA72" s="302">
        <v>0</v>
      </c>
      <c r="AB72" s="302">
        <v>0</v>
      </c>
      <c r="AC72" s="302">
        <v>0</v>
      </c>
      <c r="AD72" s="302">
        <v>0</v>
      </c>
      <c r="AE72" s="302">
        <v>0</v>
      </c>
      <c r="AF72" s="302">
        <v>0</v>
      </c>
      <c r="AG72" s="302">
        <v>0</v>
      </c>
      <c r="AH72" s="302">
        <v>0</v>
      </c>
      <c r="AI72" s="302">
        <v>0</v>
      </c>
      <c r="AJ72" s="302">
        <v>0</v>
      </c>
      <c r="AK72" s="302">
        <v>0</v>
      </c>
      <c r="AL72" s="302">
        <v>0</v>
      </c>
      <c r="AM72" s="302">
        <v>0</v>
      </c>
      <c r="AN72" s="302">
        <v>0</v>
      </c>
      <c r="AO72" s="302">
        <v>0</v>
      </c>
      <c r="AP72" s="302">
        <v>0</v>
      </c>
      <c r="AQ72" s="302">
        <v>0</v>
      </c>
      <c r="AR72" s="302">
        <v>0</v>
      </c>
      <c r="AS72" s="302">
        <v>0</v>
      </c>
      <c r="AT72" s="302">
        <v>0</v>
      </c>
      <c r="AU72" s="302">
        <v>0</v>
      </c>
      <c r="AV72" s="302">
        <v>0</v>
      </c>
      <c r="AW72" s="302">
        <v>0</v>
      </c>
      <c r="AX72" s="302">
        <v>0</v>
      </c>
      <c r="AY72" s="302">
        <v>0</v>
      </c>
      <c r="AZ72" s="302">
        <v>0</v>
      </c>
      <c r="BA72" s="302">
        <v>0</v>
      </c>
      <c r="BB72" s="302">
        <v>0</v>
      </c>
      <c r="BC72" s="302">
        <v>0</v>
      </c>
      <c r="BD72" s="302">
        <v>0</v>
      </c>
      <c r="BE72" s="302">
        <v>0</v>
      </c>
      <c r="BF72" s="302">
        <v>0</v>
      </c>
      <c r="BG72" s="302">
        <v>0</v>
      </c>
      <c r="BH72" s="302">
        <v>0</v>
      </c>
      <c r="BI72" s="302">
        <v>0</v>
      </c>
      <c r="BJ72" s="302"/>
    </row>
    <row r="73" spans="1:62" s="306" customFormat="1" ht="13.15" hidden="1" customHeight="1">
      <c r="A73" s="311"/>
      <c r="B73" s="310"/>
      <c r="C73" s="312"/>
      <c r="D73" s="2010"/>
      <c r="E73" s="3643" t="s">
        <v>242</v>
      </c>
      <c r="F73" s="297" t="s">
        <v>243</v>
      </c>
      <c r="G73" s="2020" t="s">
        <v>269</v>
      </c>
      <c r="H73" s="302">
        <f>H72/H$47</f>
        <v>0</v>
      </c>
      <c r="I73" s="302">
        <f>I72/I$47</f>
        <v>0</v>
      </c>
      <c r="J73" s="302">
        <f>J72/J$47</f>
        <v>0</v>
      </c>
      <c r="K73" s="302">
        <f>K72/K$47</f>
        <v>0</v>
      </c>
      <c r="L73" s="302">
        <f t="shared" ref="L73:V73" si="41">L72/L$47</f>
        <v>0</v>
      </c>
      <c r="M73" s="302">
        <f t="shared" si="41"/>
        <v>0</v>
      </c>
      <c r="N73" s="302">
        <f>N72/N$47</f>
        <v>0</v>
      </c>
      <c r="O73" s="302">
        <f>O72/O$47</f>
        <v>0</v>
      </c>
      <c r="P73" s="302">
        <f t="shared" si="41"/>
        <v>0</v>
      </c>
      <c r="Q73" s="302">
        <f t="shared" si="41"/>
        <v>0</v>
      </c>
      <c r="R73" s="302">
        <f>R72/R$47</f>
        <v>0</v>
      </c>
      <c r="S73" s="302">
        <f>S72/S$47</f>
        <v>0</v>
      </c>
      <c r="T73" s="302">
        <f>T72/T$47</f>
        <v>0</v>
      </c>
      <c r="U73" s="302">
        <f t="shared" si="41"/>
        <v>0</v>
      </c>
      <c r="V73" s="302">
        <f t="shared" si="41"/>
        <v>0</v>
      </c>
      <c r="W73" s="302">
        <f>W72/W$47</f>
        <v>0</v>
      </c>
      <c r="X73" s="302">
        <f t="shared" ref="X73:BC73" si="42">X72/X$47</f>
        <v>0</v>
      </c>
      <c r="Y73" s="302">
        <f t="shared" si="42"/>
        <v>0</v>
      </c>
      <c r="Z73" s="302">
        <f t="shared" si="42"/>
        <v>0</v>
      </c>
      <c r="AA73" s="302">
        <f t="shared" si="42"/>
        <v>0</v>
      </c>
      <c r="AB73" s="302">
        <f t="shared" si="42"/>
        <v>0</v>
      </c>
      <c r="AC73" s="302">
        <f t="shared" si="42"/>
        <v>0</v>
      </c>
      <c r="AD73" s="302">
        <f t="shared" si="42"/>
        <v>0</v>
      </c>
      <c r="AE73" s="302">
        <f t="shared" si="42"/>
        <v>0</v>
      </c>
      <c r="AF73" s="302">
        <f t="shared" si="42"/>
        <v>0</v>
      </c>
      <c r="AG73" s="302">
        <f t="shared" si="42"/>
        <v>0</v>
      </c>
      <c r="AH73" s="302">
        <f t="shared" si="42"/>
        <v>0</v>
      </c>
      <c r="AI73" s="302">
        <f t="shared" si="42"/>
        <v>0</v>
      </c>
      <c r="AJ73" s="302">
        <f t="shared" si="42"/>
        <v>0</v>
      </c>
      <c r="AK73" s="302">
        <f t="shared" si="42"/>
        <v>0</v>
      </c>
      <c r="AL73" s="302">
        <f t="shared" si="42"/>
        <v>0</v>
      </c>
      <c r="AM73" s="302">
        <f t="shared" si="42"/>
        <v>0</v>
      </c>
      <c r="AN73" s="302">
        <f t="shared" si="42"/>
        <v>0</v>
      </c>
      <c r="AO73" s="302">
        <f t="shared" si="42"/>
        <v>0</v>
      </c>
      <c r="AP73" s="302">
        <f t="shared" si="42"/>
        <v>0</v>
      </c>
      <c r="AQ73" s="302">
        <f t="shared" si="42"/>
        <v>0</v>
      </c>
      <c r="AR73" s="302">
        <f t="shared" si="42"/>
        <v>0</v>
      </c>
      <c r="AS73" s="302">
        <f t="shared" si="42"/>
        <v>0</v>
      </c>
      <c r="AT73" s="302">
        <f t="shared" si="42"/>
        <v>0</v>
      </c>
      <c r="AU73" s="302">
        <f t="shared" si="42"/>
        <v>0</v>
      </c>
      <c r="AV73" s="302">
        <f t="shared" si="42"/>
        <v>0</v>
      </c>
      <c r="AW73" s="302">
        <f t="shared" si="42"/>
        <v>0</v>
      </c>
      <c r="AX73" s="302">
        <f t="shared" si="42"/>
        <v>0</v>
      </c>
      <c r="AY73" s="302">
        <f t="shared" si="42"/>
        <v>0</v>
      </c>
      <c r="AZ73" s="302">
        <f t="shared" si="42"/>
        <v>0</v>
      </c>
      <c r="BA73" s="302">
        <f t="shared" si="42"/>
        <v>0</v>
      </c>
      <c r="BB73" s="302">
        <f t="shared" si="42"/>
        <v>0</v>
      </c>
      <c r="BC73" s="302">
        <f t="shared" si="42"/>
        <v>0</v>
      </c>
      <c r="BD73" s="302">
        <f t="shared" ref="BD73:BI73" si="43">BD72/BD$47</f>
        <v>0</v>
      </c>
      <c r="BE73" s="302">
        <f t="shared" si="43"/>
        <v>0</v>
      </c>
      <c r="BF73" s="302">
        <f t="shared" si="43"/>
        <v>0</v>
      </c>
      <c r="BG73" s="302">
        <f t="shared" si="43"/>
        <v>0</v>
      </c>
      <c r="BH73" s="302">
        <f t="shared" si="43"/>
        <v>0</v>
      </c>
      <c r="BI73" s="302">
        <f t="shared" si="43"/>
        <v>0</v>
      </c>
      <c r="BJ73" s="302"/>
    </row>
    <row r="74" spans="1:62" s="306" customFormat="1" ht="13.15" hidden="1" customHeight="1">
      <c r="A74" s="311"/>
      <c r="B74" s="310"/>
      <c r="C74" s="312"/>
      <c r="D74" s="2010"/>
      <c r="E74" s="3646"/>
      <c r="F74" s="293"/>
      <c r="G74" s="2017"/>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c r="BI74" s="302"/>
      <c r="BJ74" s="302"/>
    </row>
    <row r="75" spans="1:62" s="306" customFormat="1" ht="13.15" hidden="1" customHeight="1">
      <c r="A75" s="311"/>
      <c r="B75" s="310"/>
      <c r="C75" s="312"/>
      <c r="D75" s="2010"/>
      <c r="E75" s="3644" t="str">
        <f>E50</f>
        <v>Sol limoneux</v>
      </c>
      <c r="F75" s="293"/>
      <c r="G75" s="2017"/>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c r="BI75" s="302"/>
      <c r="BJ75" s="302"/>
    </row>
    <row r="76" spans="1:62" s="306" customFormat="1" ht="13.15" hidden="1" customHeight="1">
      <c r="A76" s="311"/>
      <c r="B76" s="310"/>
      <c r="C76" s="312"/>
      <c r="D76" s="2010"/>
      <c r="E76" s="3645" t="s">
        <v>74</v>
      </c>
      <c r="F76" s="297" t="s">
        <v>75</v>
      </c>
      <c r="G76" s="2020" t="s">
        <v>73</v>
      </c>
      <c r="H76" s="302">
        <v>0</v>
      </c>
      <c r="I76" s="302">
        <v>0</v>
      </c>
      <c r="J76" s="302">
        <v>0</v>
      </c>
      <c r="K76" s="302">
        <v>0</v>
      </c>
      <c r="L76" s="302">
        <v>0</v>
      </c>
      <c r="M76" s="302">
        <v>0</v>
      </c>
      <c r="N76" s="302">
        <v>0</v>
      </c>
      <c r="O76" s="302">
        <v>0</v>
      </c>
      <c r="P76" s="302">
        <v>0</v>
      </c>
      <c r="Q76" s="302">
        <v>0</v>
      </c>
      <c r="R76" s="302">
        <v>0</v>
      </c>
      <c r="S76" s="302">
        <v>0</v>
      </c>
      <c r="T76" s="302">
        <v>0</v>
      </c>
      <c r="U76" s="302">
        <v>0</v>
      </c>
      <c r="V76" s="302">
        <v>0</v>
      </c>
      <c r="W76" s="302">
        <v>0</v>
      </c>
      <c r="X76" s="302">
        <v>0</v>
      </c>
      <c r="Y76" s="302">
        <v>0</v>
      </c>
      <c r="Z76" s="302">
        <v>0</v>
      </c>
      <c r="AA76" s="302">
        <v>0</v>
      </c>
      <c r="AB76" s="302">
        <v>0</v>
      </c>
      <c r="AC76" s="302">
        <v>0</v>
      </c>
      <c r="AD76" s="302">
        <v>0</v>
      </c>
      <c r="AE76" s="302">
        <v>0</v>
      </c>
      <c r="AF76" s="302">
        <v>0</v>
      </c>
      <c r="AG76" s="302">
        <v>0</v>
      </c>
      <c r="AH76" s="302">
        <v>0</v>
      </c>
      <c r="AI76" s="302">
        <v>0</v>
      </c>
      <c r="AJ76" s="302">
        <v>0</v>
      </c>
      <c r="AK76" s="302">
        <v>0</v>
      </c>
      <c r="AL76" s="302">
        <v>0</v>
      </c>
      <c r="AM76" s="302">
        <v>0</v>
      </c>
      <c r="AN76" s="302">
        <v>0</v>
      </c>
      <c r="AO76" s="302">
        <v>0</v>
      </c>
      <c r="AP76" s="302">
        <v>0</v>
      </c>
      <c r="AQ76" s="302">
        <v>0</v>
      </c>
      <c r="AR76" s="302">
        <v>0</v>
      </c>
      <c r="AS76" s="302">
        <v>0</v>
      </c>
      <c r="AT76" s="302">
        <v>0</v>
      </c>
      <c r="AU76" s="302">
        <v>0</v>
      </c>
      <c r="AV76" s="302">
        <v>0</v>
      </c>
      <c r="AW76" s="302">
        <v>0</v>
      </c>
      <c r="AX76" s="302">
        <v>0</v>
      </c>
      <c r="AY76" s="302">
        <v>0</v>
      </c>
      <c r="AZ76" s="302">
        <v>0</v>
      </c>
      <c r="BA76" s="302">
        <v>0</v>
      </c>
      <c r="BB76" s="302">
        <v>0</v>
      </c>
      <c r="BC76" s="302">
        <v>0</v>
      </c>
      <c r="BD76" s="302">
        <v>0</v>
      </c>
      <c r="BE76" s="302">
        <v>0</v>
      </c>
      <c r="BF76" s="302">
        <v>0</v>
      </c>
      <c r="BG76" s="302">
        <v>0</v>
      </c>
      <c r="BH76" s="302">
        <v>0</v>
      </c>
      <c r="BI76" s="302">
        <v>0</v>
      </c>
      <c r="BJ76" s="302"/>
    </row>
    <row r="77" spans="1:62" s="306" customFormat="1" ht="13.15" hidden="1" customHeight="1">
      <c r="A77" s="311"/>
      <c r="B77" s="310"/>
      <c r="C77" s="312"/>
      <c r="D77" s="2010"/>
      <c r="E77" s="3643" t="s">
        <v>242</v>
      </c>
      <c r="F77" s="297" t="s">
        <v>243</v>
      </c>
      <c r="G77" s="2020" t="s">
        <v>269</v>
      </c>
      <c r="H77" s="302">
        <f>H76/H$53</f>
        <v>0</v>
      </c>
      <c r="I77" s="302">
        <f>I76/I$53</f>
        <v>0</v>
      </c>
      <c r="J77" s="302">
        <f>J76/J$53</f>
        <v>0</v>
      </c>
      <c r="K77" s="302">
        <f>K76/K$53</f>
        <v>0</v>
      </c>
      <c r="L77" s="302">
        <f t="shared" ref="L77:V77" si="44">L76/L$53</f>
        <v>0</v>
      </c>
      <c r="M77" s="302">
        <f t="shared" si="44"/>
        <v>0</v>
      </c>
      <c r="N77" s="302">
        <f>N76/N$53</f>
        <v>0</v>
      </c>
      <c r="O77" s="302">
        <f>O76/O$53</f>
        <v>0</v>
      </c>
      <c r="P77" s="302">
        <f t="shared" si="44"/>
        <v>0</v>
      </c>
      <c r="Q77" s="302">
        <f t="shared" si="44"/>
        <v>0</v>
      </c>
      <c r="R77" s="302">
        <f>R76/R$53</f>
        <v>0</v>
      </c>
      <c r="S77" s="302">
        <f>S76/S$53</f>
        <v>0</v>
      </c>
      <c r="T77" s="302">
        <f>T76/T$53</f>
        <v>0</v>
      </c>
      <c r="U77" s="302">
        <f t="shared" si="44"/>
        <v>0</v>
      </c>
      <c r="V77" s="302">
        <f t="shared" si="44"/>
        <v>0</v>
      </c>
      <c r="W77" s="302">
        <f>W76/W$53</f>
        <v>0</v>
      </c>
      <c r="X77" s="302">
        <f t="shared" ref="X77:BC77" si="45">X76/X$53</f>
        <v>0</v>
      </c>
      <c r="Y77" s="302">
        <f t="shared" si="45"/>
        <v>0</v>
      </c>
      <c r="Z77" s="302">
        <f t="shared" si="45"/>
        <v>0</v>
      </c>
      <c r="AA77" s="302">
        <f t="shared" si="45"/>
        <v>0</v>
      </c>
      <c r="AB77" s="302">
        <f t="shared" si="45"/>
        <v>0</v>
      </c>
      <c r="AC77" s="302">
        <f t="shared" si="45"/>
        <v>0</v>
      </c>
      <c r="AD77" s="302">
        <f t="shared" si="45"/>
        <v>0</v>
      </c>
      <c r="AE77" s="302">
        <f t="shared" si="45"/>
        <v>0</v>
      </c>
      <c r="AF77" s="302">
        <f t="shared" si="45"/>
        <v>0</v>
      </c>
      <c r="AG77" s="302">
        <f t="shared" si="45"/>
        <v>0</v>
      </c>
      <c r="AH77" s="302">
        <f t="shared" si="45"/>
        <v>0</v>
      </c>
      <c r="AI77" s="302">
        <f t="shared" si="45"/>
        <v>0</v>
      </c>
      <c r="AJ77" s="302">
        <f t="shared" si="45"/>
        <v>0</v>
      </c>
      <c r="AK77" s="302">
        <f t="shared" si="45"/>
        <v>0</v>
      </c>
      <c r="AL77" s="302">
        <f t="shared" si="45"/>
        <v>0</v>
      </c>
      <c r="AM77" s="302">
        <f t="shared" si="45"/>
        <v>0</v>
      </c>
      <c r="AN77" s="302">
        <f t="shared" si="45"/>
        <v>0</v>
      </c>
      <c r="AO77" s="302">
        <f t="shared" si="45"/>
        <v>0</v>
      </c>
      <c r="AP77" s="302">
        <f t="shared" si="45"/>
        <v>0</v>
      </c>
      <c r="AQ77" s="302">
        <f t="shared" si="45"/>
        <v>0</v>
      </c>
      <c r="AR77" s="302">
        <f t="shared" si="45"/>
        <v>0</v>
      </c>
      <c r="AS77" s="302">
        <f t="shared" si="45"/>
        <v>0</v>
      </c>
      <c r="AT77" s="302">
        <f t="shared" si="45"/>
        <v>0</v>
      </c>
      <c r="AU77" s="302">
        <f t="shared" si="45"/>
        <v>0</v>
      </c>
      <c r="AV77" s="302">
        <f t="shared" si="45"/>
        <v>0</v>
      </c>
      <c r="AW77" s="302">
        <f t="shared" si="45"/>
        <v>0</v>
      </c>
      <c r="AX77" s="302">
        <f t="shared" si="45"/>
        <v>0</v>
      </c>
      <c r="AY77" s="302">
        <f t="shared" si="45"/>
        <v>0</v>
      </c>
      <c r="AZ77" s="302">
        <f t="shared" si="45"/>
        <v>0</v>
      </c>
      <c r="BA77" s="302">
        <f t="shared" si="45"/>
        <v>0</v>
      </c>
      <c r="BB77" s="302">
        <f t="shared" si="45"/>
        <v>0</v>
      </c>
      <c r="BC77" s="302">
        <f t="shared" si="45"/>
        <v>0</v>
      </c>
      <c r="BD77" s="302">
        <f t="shared" ref="BD77:BI77" si="46">BD76/BD$53</f>
        <v>0</v>
      </c>
      <c r="BE77" s="302">
        <f t="shared" si="46"/>
        <v>0</v>
      </c>
      <c r="BF77" s="302">
        <f t="shared" si="46"/>
        <v>0</v>
      </c>
      <c r="BG77" s="302">
        <f t="shared" si="46"/>
        <v>0</v>
      </c>
      <c r="BH77" s="302">
        <f t="shared" si="46"/>
        <v>0</v>
      </c>
      <c r="BI77" s="302">
        <f t="shared" si="46"/>
        <v>0</v>
      </c>
      <c r="BJ77" s="302"/>
    </row>
    <row r="78" spans="1:62" s="306" customFormat="1" ht="13.15" hidden="1" customHeight="1">
      <c r="A78" s="311"/>
      <c r="B78" s="310"/>
      <c r="C78" s="312"/>
      <c r="D78" s="2010"/>
      <c r="E78" s="3643"/>
      <c r="F78" s="297"/>
      <c r="G78" s="2020"/>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row>
    <row r="79" spans="1:62" s="306" customFormat="1" ht="13.15" hidden="1" customHeight="1">
      <c r="A79" s="311"/>
      <c r="B79" s="310"/>
      <c r="C79" s="312"/>
      <c r="D79" s="2010"/>
      <c r="E79" s="3641" t="str">
        <f>E56</f>
        <v>Frange capillaire (limons)</v>
      </c>
      <c r="F79" s="297"/>
      <c r="G79" s="2020"/>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row>
    <row r="80" spans="1:62" s="306" customFormat="1" ht="13.15" hidden="1" customHeight="1">
      <c r="A80" s="311"/>
      <c r="B80" s="310"/>
      <c r="C80" s="312"/>
      <c r="D80" s="2010"/>
      <c r="E80" s="3645" t="s">
        <v>74</v>
      </c>
      <c r="F80" s="297" t="s">
        <v>75</v>
      </c>
      <c r="G80" s="2020" t="s">
        <v>73</v>
      </c>
      <c r="H80" s="302">
        <v>0</v>
      </c>
      <c r="I80" s="302">
        <v>0</v>
      </c>
      <c r="J80" s="302">
        <v>0</v>
      </c>
      <c r="K80" s="302">
        <v>0</v>
      </c>
      <c r="L80" s="302">
        <v>0</v>
      </c>
      <c r="M80" s="302">
        <v>0</v>
      </c>
      <c r="N80" s="302">
        <v>0</v>
      </c>
      <c r="O80" s="302">
        <v>0</v>
      </c>
      <c r="P80" s="302">
        <v>0</v>
      </c>
      <c r="Q80" s="302">
        <v>0</v>
      </c>
      <c r="R80" s="302">
        <v>0</v>
      </c>
      <c r="S80" s="302">
        <v>0</v>
      </c>
      <c r="T80" s="302">
        <v>0</v>
      </c>
      <c r="U80" s="302">
        <v>0</v>
      </c>
      <c r="V80" s="302">
        <v>0</v>
      </c>
      <c r="W80" s="302">
        <v>0</v>
      </c>
      <c r="X80" s="302">
        <v>0</v>
      </c>
      <c r="Y80" s="302">
        <v>0</v>
      </c>
      <c r="Z80" s="302">
        <v>0</v>
      </c>
      <c r="AA80" s="302">
        <v>0</v>
      </c>
      <c r="AB80" s="302">
        <v>0</v>
      </c>
      <c r="AC80" s="302">
        <v>0</v>
      </c>
      <c r="AD80" s="302">
        <v>0</v>
      </c>
      <c r="AE80" s="302">
        <v>0</v>
      </c>
      <c r="AF80" s="302">
        <v>0</v>
      </c>
      <c r="AG80" s="302">
        <v>0</v>
      </c>
      <c r="AH80" s="302">
        <v>0</v>
      </c>
      <c r="AI80" s="302">
        <v>0</v>
      </c>
      <c r="AJ80" s="302">
        <v>0</v>
      </c>
      <c r="AK80" s="302">
        <v>0</v>
      </c>
      <c r="AL80" s="302">
        <v>0</v>
      </c>
      <c r="AM80" s="302">
        <v>0</v>
      </c>
      <c r="AN80" s="302">
        <v>0</v>
      </c>
      <c r="AO80" s="302">
        <v>0</v>
      </c>
      <c r="AP80" s="302">
        <v>0</v>
      </c>
      <c r="AQ80" s="302">
        <v>0</v>
      </c>
      <c r="AR80" s="302">
        <v>0</v>
      </c>
      <c r="AS80" s="302">
        <v>0</v>
      </c>
      <c r="AT80" s="302">
        <v>0</v>
      </c>
      <c r="AU80" s="302">
        <v>0</v>
      </c>
      <c r="AV80" s="302">
        <v>0</v>
      </c>
      <c r="AW80" s="302">
        <v>0</v>
      </c>
      <c r="AX80" s="302">
        <v>0</v>
      </c>
      <c r="AY80" s="302">
        <v>0</v>
      </c>
      <c r="AZ80" s="302">
        <v>0</v>
      </c>
      <c r="BA80" s="302">
        <v>0</v>
      </c>
      <c r="BB80" s="302">
        <v>0</v>
      </c>
      <c r="BC80" s="302">
        <v>0</v>
      </c>
      <c r="BD80" s="302">
        <v>0</v>
      </c>
      <c r="BE80" s="302">
        <v>0</v>
      </c>
      <c r="BF80" s="302">
        <v>0</v>
      </c>
      <c r="BG80" s="302">
        <v>0</v>
      </c>
      <c r="BH80" s="302">
        <v>0</v>
      </c>
      <c r="BI80" s="302">
        <v>0</v>
      </c>
      <c r="BJ80" s="302"/>
    </row>
    <row r="81" spans="1:62" s="306" customFormat="1" ht="13.15" hidden="1" customHeight="1">
      <c r="A81" s="311"/>
      <c r="B81" s="310"/>
      <c r="C81" s="312"/>
      <c r="D81" s="2010"/>
      <c r="E81" s="3643" t="s">
        <v>242</v>
      </c>
      <c r="F81" s="297" t="s">
        <v>243</v>
      </c>
      <c r="G81" s="2020" t="s">
        <v>269</v>
      </c>
      <c r="H81" s="301">
        <f>H80/H$59</f>
        <v>0</v>
      </c>
      <c r="I81" s="301">
        <f>I80/I$59</f>
        <v>0</v>
      </c>
      <c r="J81" s="301">
        <f>J80/J$59</f>
        <v>0</v>
      </c>
      <c r="K81" s="301">
        <f>K80/K$59</f>
        <v>0</v>
      </c>
      <c r="L81" s="301">
        <f t="shared" ref="L81:V81" si="47">L80/L$59</f>
        <v>0</v>
      </c>
      <c r="M81" s="301">
        <f t="shared" si="47"/>
        <v>0</v>
      </c>
      <c r="N81" s="301">
        <f>N80/N$59</f>
        <v>0</v>
      </c>
      <c r="O81" s="301">
        <f>O80/O$59</f>
        <v>0</v>
      </c>
      <c r="P81" s="301">
        <f t="shared" si="47"/>
        <v>0</v>
      </c>
      <c r="Q81" s="301">
        <f t="shared" si="47"/>
        <v>0</v>
      </c>
      <c r="R81" s="301">
        <f>R80/R$59</f>
        <v>0</v>
      </c>
      <c r="S81" s="301">
        <f>S80/S$59</f>
        <v>0</v>
      </c>
      <c r="T81" s="301">
        <f>T80/T$59</f>
        <v>0</v>
      </c>
      <c r="U81" s="301">
        <f t="shared" si="47"/>
        <v>0</v>
      </c>
      <c r="V81" s="301">
        <f t="shared" si="47"/>
        <v>0</v>
      </c>
      <c r="W81" s="301">
        <f>W80/W$59</f>
        <v>0</v>
      </c>
      <c r="X81" s="301">
        <f t="shared" ref="X81:BC81" si="48">X80/X$59</f>
        <v>0</v>
      </c>
      <c r="Y81" s="301">
        <f t="shared" si="48"/>
        <v>0</v>
      </c>
      <c r="Z81" s="301">
        <f t="shared" si="48"/>
        <v>0</v>
      </c>
      <c r="AA81" s="301">
        <f t="shared" si="48"/>
        <v>0</v>
      </c>
      <c r="AB81" s="301">
        <f t="shared" si="48"/>
        <v>0</v>
      </c>
      <c r="AC81" s="301">
        <f t="shared" si="48"/>
        <v>0</v>
      </c>
      <c r="AD81" s="301">
        <f t="shared" si="48"/>
        <v>0</v>
      </c>
      <c r="AE81" s="301">
        <f t="shared" si="48"/>
        <v>0</v>
      </c>
      <c r="AF81" s="301">
        <f t="shared" si="48"/>
        <v>0</v>
      </c>
      <c r="AG81" s="301">
        <f t="shared" si="48"/>
        <v>0</v>
      </c>
      <c r="AH81" s="301">
        <f t="shared" si="48"/>
        <v>0</v>
      </c>
      <c r="AI81" s="301">
        <f t="shared" si="48"/>
        <v>0</v>
      </c>
      <c r="AJ81" s="301">
        <f t="shared" si="48"/>
        <v>0</v>
      </c>
      <c r="AK81" s="301">
        <f t="shared" si="48"/>
        <v>0</v>
      </c>
      <c r="AL81" s="301">
        <f t="shared" si="48"/>
        <v>0</v>
      </c>
      <c r="AM81" s="301">
        <f t="shared" si="48"/>
        <v>0</v>
      </c>
      <c r="AN81" s="301">
        <f t="shared" si="48"/>
        <v>0</v>
      </c>
      <c r="AO81" s="301">
        <f t="shared" si="48"/>
        <v>0</v>
      </c>
      <c r="AP81" s="301">
        <f t="shared" si="48"/>
        <v>0</v>
      </c>
      <c r="AQ81" s="301">
        <f t="shared" si="48"/>
        <v>0</v>
      </c>
      <c r="AR81" s="301">
        <f t="shared" si="48"/>
        <v>0</v>
      </c>
      <c r="AS81" s="301">
        <f t="shared" si="48"/>
        <v>0</v>
      </c>
      <c r="AT81" s="301">
        <f t="shared" si="48"/>
        <v>0</v>
      </c>
      <c r="AU81" s="301">
        <f t="shared" si="48"/>
        <v>0</v>
      </c>
      <c r="AV81" s="301">
        <f t="shared" si="48"/>
        <v>0</v>
      </c>
      <c r="AW81" s="301">
        <f t="shared" si="48"/>
        <v>0</v>
      </c>
      <c r="AX81" s="301">
        <f t="shared" si="48"/>
        <v>0</v>
      </c>
      <c r="AY81" s="301">
        <f t="shared" si="48"/>
        <v>0</v>
      </c>
      <c r="AZ81" s="301">
        <f t="shared" si="48"/>
        <v>0</v>
      </c>
      <c r="BA81" s="301">
        <f t="shared" si="48"/>
        <v>0</v>
      </c>
      <c r="BB81" s="301">
        <f t="shared" si="48"/>
        <v>0</v>
      </c>
      <c r="BC81" s="301">
        <f t="shared" si="48"/>
        <v>0</v>
      </c>
      <c r="BD81" s="301">
        <f t="shared" ref="BD81:BI81" si="49">BD80/BD$59</f>
        <v>0</v>
      </c>
      <c r="BE81" s="301">
        <f t="shared" si="49"/>
        <v>0</v>
      </c>
      <c r="BF81" s="301">
        <f t="shared" si="49"/>
        <v>0</v>
      </c>
      <c r="BG81" s="301">
        <f t="shared" si="49"/>
        <v>0</v>
      </c>
      <c r="BH81" s="301">
        <f t="shared" si="49"/>
        <v>0</v>
      </c>
      <c r="BI81" s="301">
        <f t="shared" si="49"/>
        <v>0</v>
      </c>
      <c r="BJ81" s="301"/>
    </row>
    <row r="82" spans="1:62" s="306" customFormat="1" ht="13.15" hidden="1" customHeight="1">
      <c r="A82" s="311"/>
      <c r="B82" s="310"/>
      <c r="C82" s="312"/>
      <c r="D82" s="2010"/>
      <c r="E82" s="326"/>
      <c r="F82" s="297"/>
      <c r="G82" s="2020"/>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row>
    <row r="83" spans="1:62" s="306" customFormat="1" ht="13.15" customHeight="1">
      <c r="A83" s="311"/>
      <c r="B83" s="310"/>
      <c r="C83" s="312"/>
      <c r="D83" s="2010"/>
      <c r="E83" s="326" t="s">
        <v>114</v>
      </c>
      <c r="F83" s="297" t="s">
        <v>115</v>
      </c>
      <c r="G83" s="2020" t="s">
        <v>73</v>
      </c>
      <c r="H83" s="301">
        <f t="shared" ref="H83:J84" si="50">H64+H68+H72+H76</f>
        <v>0.3</v>
      </c>
      <c r="I83" s="301">
        <f t="shared" si="50"/>
        <v>0.3</v>
      </c>
      <c r="J83" s="301">
        <f t="shared" si="50"/>
        <v>0.3</v>
      </c>
      <c r="K83" s="301">
        <f t="shared" ref="K83:W83" si="51">K64+K68+K72+K76</f>
        <v>0.3</v>
      </c>
      <c r="L83" s="301">
        <f t="shared" si="51"/>
        <v>0.3</v>
      </c>
      <c r="M83" s="301">
        <f t="shared" si="51"/>
        <v>0.3</v>
      </c>
      <c r="N83" s="301">
        <f>N64+N68+N72+N76</f>
        <v>0.3</v>
      </c>
      <c r="O83" s="301">
        <f>O64+O68+O72+O76</f>
        <v>0.3</v>
      </c>
      <c r="P83" s="301">
        <f t="shared" si="51"/>
        <v>0.3</v>
      </c>
      <c r="Q83" s="301">
        <f t="shared" si="51"/>
        <v>0.3</v>
      </c>
      <c r="R83" s="301">
        <f t="shared" ref="R83:T84" si="52">R64+R68+R72+R76</f>
        <v>0.3</v>
      </c>
      <c r="S83" s="301">
        <f t="shared" si="52"/>
        <v>0.3</v>
      </c>
      <c r="T83" s="301">
        <f t="shared" si="52"/>
        <v>0.3</v>
      </c>
      <c r="U83" s="301">
        <f t="shared" si="51"/>
        <v>0.3</v>
      </c>
      <c r="V83" s="301">
        <f t="shared" si="51"/>
        <v>0.3</v>
      </c>
      <c r="W83" s="301">
        <f t="shared" si="51"/>
        <v>0.3</v>
      </c>
      <c r="X83" s="301">
        <f t="shared" ref="X83:BC83" si="53">X64+X68+X72+X76</f>
        <v>0.3</v>
      </c>
      <c r="Y83" s="301">
        <f t="shared" si="53"/>
        <v>0.3</v>
      </c>
      <c r="Z83" s="301">
        <f t="shared" si="53"/>
        <v>0.3</v>
      </c>
      <c r="AA83" s="301">
        <f t="shared" si="53"/>
        <v>0.3</v>
      </c>
      <c r="AB83" s="301">
        <f t="shared" si="53"/>
        <v>0.3</v>
      </c>
      <c r="AC83" s="301">
        <f t="shared" si="53"/>
        <v>0.3</v>
      </c>
      <c r="AD83" s="301">
        <f t="shared" si="53"/>
        <v>0.3</v>
      </c>
      <c r="AE83" s="301">
        <f t="shared" si="53"/>
        <v>0.3</v>
      </c>
      <c r="AF83" s="301">
        <f t="shared" si="53"/>
        <v>0.3</v>
      </c>
      <c r="AG83" s="301">
        <f t="shared" si="53"/>
        <v>0.3</v>
      </c>
      <c r="AH83" s="301">
        <f t="shared" si="53"/>
        <v>0.3</v>
      </c>
      <c r="AI83" s="301">
        <f t="shared" si="53"/>
        <v>0.3</v>
      </c>
      <c r="AJ83" s="301">
        <f t="shared" si="53"/>
        <v>0.3</v>
      </c>
      <c r="AK83" s="301">
        <f t="shared" si="53"/>
        <v>0.3</v>
      </c>
      <c r="AL83" s="301">
        <f t="shared" si="53"/>
        <v>0.3</v>
      </c>
      <c r="AM83" s="301">
        <f t="shared" si="53"/>
        <v>0.3</v>
      </c>
      <c r="AN83" s="301">
        <f t="shared" si="53"/>
        <v>0.3</v>
      </c>
      <c r="AO83" s="301">
        <f t="shared" si="53"/>
        <v>0.3</v>
      </c>
      <c r="AP83" s="301">
        <f t="shared" si="53"/>
        <v>0.3</v>
      </c>
      <c r="AQ83" s="301">
        <f t="shared" si="53"/>
        <v>0.3</v>
      </c>
      <c r="AR83" s="301">
        <f t="shared" si="53"/>
        <v>0.3</v>
      </c>
      <c r="AS83" s="301">
        <f t="shared" si="53"/>
        <v>0.3</v>
      </c>
      <c r="AT83" s="301">
        <f t="shared" si="53"/>
        <v>0.3</v>
      </c>
      <c r="AU83" s="301">
        <f t="shared" si="53"/>
        <v>0.3</v>
      </c>
      <c r="AV83" s="301">
        <f t="shared" si="53"/>
        <v>0.3</v>
      </c>
      <c r="AW83" s="301">
        <f t="shared" si="53"/>
        <v>0.3</v>
      </c>
      <c r="AX83" s="301">
        <f t="shared" si="53"/>
        <v>0.3</v>
      </c>
      <c r="AY83" s="301">
        <f t="shared" si="53"/>
        <v>0.3</v>
      </c>
      <c r="AZ83" s="301">
        <f t="shared" si="53"/>
        <v>0.3</v>
      </c>
      <c r="BA83" s="301">
        <f t="shared" si="53"/>
        <v>0.3</v>
      </c>
      <c r="BB83" s="301">
        <f t="shared" si="53"/>
        <v>0.3</v>
      </c>
      <c r="BC83" s="301">
        <f t="shared" si="53"/>
        <v>0.3</v>
      </c>
      <c r="BD83" s="301">
        <f t="shared" ref="BD83:BI83" si="54">BD64+BD68+BD72+BD76</f>
        <v>0.3</v>
      </c>
      <c r="BE83" s="301">
        <f t="shared" si="54"/>
        <v>0.3</v>
      </c>
      <c r="BF83" s="301">
        <f t="shared" si="54"/>
        <v>0.3</v>
      </c>
      <c r="BG83" s="301">
        <f t="shared" si="54"/>
        <v>0.3</v>
      </c>
      <c r="BH83" s="301">
        <f t="shared" si="54"/>
        <v>0.3</v>
      </c>
      <c r="BI83" s="301">
        <f t="shared" si="54"/>
        <v>0.3</v>
      </c>
      <c r="BJ83" s="301"/>
    </row>
    <row r="84" spans="1:62" s="708" customFormat="1" ht="13.15" customHeight="1">
      <c r="A84" s="702"/>
      <c r="B84" s="703"/>
      <c r="C84" s="704"/>
      <c r="D84" s="2010"/>
      <c r="E84" s="705" t="s">
        <v>116</v>
      </c>
      <c r="F84" s="706" t="s">
        <v>246</v>
      </c>
      <c r="G84" s="976" t="s">
        <v>269</v>
      </c>
      <c r="H84" s="707">
        <f t="shared" si="50"/>
        <v>1274.908241420535</v>
      </c>
      <c r="I84" s="707">
        <f t="shared" si="50"/>
        <v>1274.908241420535</v>
      </c>
      <c r="J84" s="707">
        <f t="shared" si="50"/>
        <v>1386.4789038976335</v>
      </c>
      <c r="K84" s="707">
        <f t="shared" ref="K84:W84" si="55">K65+K69+K73+K77</f>
        <v>704.46191780980234</v>
      </c>
      <c r="L84" s="707">
        <f t="shared" si="55"/>
        <v>1013.9891209021745</v>
      </c>
      <c r="M84" s="707">
        <f t="shared" si="55"/>
        <v>1013.9891209021745</v>
      </c>
      <c r="N84" s="707">
        <f>N65+N69+N73+N77</f>
        <v>945.10207692151619</v>
      </c>
      <c r="O84" s="707">
        <f>O65+O69+O73+O77</f>
        <v>945.10207692151619</v>
      </c>
      <c r="P84" s="707">
        <f t="shared" si="55"/>
        <v>1037.0485236336572</v>
      </c>
      <c r="Q84" s="707">
        <f t="shared" si="55"/>
        <v>1037.0485236336572</v>
      </c>
      <c r="R84" s="707">
        <f t="shared" si="52"/>
        <v>73.20689691105224</v>
      </c>
      <c r="S84" s="707">
        <f t="shared" si="52"/>
        <v>717.72479347551814</v>
      </c>
      <c r="T84" s="707">
        <f t="shared" si="52"/>
        <v>717.72479347551814</v>
      </c>
      <c r="U84" s="707">
        <f t="shared" si="55"/>
        <v>957.28843460964197</v>
      </c>
      <c r="V84" s="707">
        <f t="shared" si="55"/>
        <v>2621.7749697335075</v>
      </c>
      <c r="W84" s="707">
        <f t="shared" si="55"/>
        <v>2621.7749697335075</v>
      </c>
      <c r="X84" s="707">
        <f t="shared" ref="X84:BC84" si="56">X65+X69+X73+X77</f>
        <v>911.02107345410764</v>
      </c>
      <c r="Y84" s="707">
        <f t="shared" si="56"/>
        <v>1014.1920925333236</v>
      </c>
      <c r="Z84" s="707">
        <f t="shared" si="56"/>
        <v>1106.0588425985097</v>
      </c>
      <c r="AA84" s="707">
        <f t="shared" si="56"/>
        <v>1105.9782961671656</v>
      </c>
      <c r="AB84" s="707">
        <f t="shared" si="56"/>
        <v>2357.8541495450331</v>
      </c>
      <c r="AC84" s="707">
        <f t="shared" si="56"/>
        <v>2553.6801915971932</v>
      </c>
      <c r="AD84" s="707">
        <f t="shared" si="56"/>
        <v>2944.7859558764899</v>
      </c>
      <c r="AE84" s="707">
        <f t="shared" si="56"/>
        <v>3719.0125672926283</v>
      </c>
      <c r="AF84" s="707">
        <f t="shared" si="56"/>
        <v>4381.2301821941419</v>
      </c>
      <c r="AG84" s="707">
        <f t="shared" si="56"/>
        <v>1591.7189352773873</v>
      </c>
      <c r="AH84" s="707">
        <f t="shared" si="56"/>
        <v>1965.0861424396537</v>
      </c>
      <c r="AI84" s="707">
        <f t="shared" si="56"/>
        <v>2554.6129666603424</v>
      </c>
      <c r="AJ84" s="707">
        <f t="shared" si="56"/>
        <v>3144.1397069935015</v>
      </c>
      <c r="AK84" s="707">
        <f t="shared" si="56"/>
        <v>3930.1759243269012</v>
      </c>
      <c r="AL84" s="707">
        <f t="shared" si="56"/>
        <v>5305.7379650596286</v>
      </c>
      <c r="AM84" s="707">
        <f t="shared" si="56"/>
        <v>6288.2820661910991</v>
      </c>
      <c r="AN84" s="707">
        <f t="shared" si="56"/>
        <v>2488.5486537323472</v>
      </c>
      <c r="AO84" s="707">
        <f t="shared" si="56"/>
        <v>2946.3413416056105</v>
      </c>
      <c r="AP84" s="707">
        <f t="shared" si="56"/>
        <v>2999.0724937832679</v>
      </c>
      <c r="AQ84" s="707">
        <f t="shared" si="56"/>
        <v>3214.3582958457464</v>
      </c>
      <c r="AR84" s="707">
        <f t="shared" si="56"/>
        <v>3370.0043396887058</v>
      </c>
      <c r="AS84" s="707">
        <f t="shared" si="56"/>
        <v>3393.1489450509603</v>
      </c>
      <c r="AT84" s="707">
        <f t="shared" si="56"/>
        <v>3540.4418738694831</v>
      </c>
      <c r="AU84" s="707">
        <f t="shared" si="56"/>
        <v>3493.057777981202</v>
      </c>
      <c r="AV84" s="707">
        <f t="shared" si="56"/>
        <v>3680.5530735241155</v>
      </c>
      <c r="AW84" s="707">
        <f t="shared" si="56"/>
        <v>3492.382482957209</v>
      </c>
      <c r="AX84" s="707">
        <f t="shared" si="56"/>
        <v>555.2490723745783</v>
      </c>
      <c r="AY84" s="707">
        <f t="shared" si="56"/>
        <v>555.2490723745783</v>
      </c>
      <c r="AZ84" s="707">
        <f t="shared" si="56"/>
        <v>414.2163325189257</v>
      </c>
      <c r="BA84" s="707">
        <f t="shared" si="56"/>
        <v>309.32380675500252</v>
      </c>
      <c r="BB84" s="707">
        <f t="shared" si="56"/>
        <v>1959.9305366740934</v>
      </c>
      <c r="BC84" s="707">
        <f t="shared" si="56"/>
        <v>2.193985124265442E-3</v>
      </c>
      <c r="BD84" s="707">
        <f t="shared" ref="BD84:BI84" si="57">BD65+BD69+BD73+BD77</f>
        <v>180.68500542983705</v>
      </c>
      <c r="BE84" s="707">
        <f t="shared" si="57"/>
        <v>4397.5350003472831</v>
      </c>
      <c r="BF84" s="707">
        <f t="shared" si="57"/>
        <v>4397.5350003472831</v>
      </c>
      <c r="BG84" s="707">
        <f t="shared" si="57"/>
        <v>2431.5024835064946</v>
      </c>
      <c r="BH84" s="707">
        <f t="shared" si="57"/>
        <v>340.25146469501004</v>
      </c>
      <c r="BI84" s="707">
        <f t="shared" si="57"/>
        <v>320.88881340715437</v>
      </c>
      <c r="BJ84" s="707"/>
    </row>
    <row r="85" spans="1:62" s="306" customFormat="1" ht="17.25" customHeight="1" thickBot="1">
      <c r="A85" s="311"/>
      <c r="B85" s="310"/>
      <c r="C85" s="312"/>
      <c r="D85" s="2011"/>
      <c r="E85" s="2021" t="s">
        <v>241</v>
      </c>
      <c r="F85" s="303" t="s">
        <v>244</v>
      </c>
      <c r="G85" s="2022" t="str">
        <f>Substances!$G$24</f>
        <v>(mg/m2/s)/(mg/l/m)</v>
      </c>
      <c r="H85" s="304">
        <f>H83/H84</f>
        <v>2.3531105239835333E-4</v>
      </c>
      <c r="I85" s="304">
        <f>I83/I84</f>
        <v>2.3531105239835333E-4</v>
      </c>
      <c r="J85" s="304">
        <f>J83/J84</f>
        <v>2.1637545234669476E-4</v>
      </c>
      <c r="K85" s="304">
        <f>K83/K84</f>
        <v>4.2585694473408991E-4</v>
      </c>
      <c r="L85" s="304">
        <f t="shared" ref="L85:V85" si="58">L83/L84</f>
        <v>2.9586116242852941E-4</v>
      </c>
      <c r="M85" s="304">
        <f t="shared" si="58"/>
        <v>2.9586116242852941E-4</v>
      </c>
      <c r="N85" s="304">
        <f>N83/N84</f>
        <v>3.1742602976515604E-4</v>
      </c>
      <c r="O85" s="304">
        <f>O83/O84</f>
        <v>3.1742602976515604E-4</v>
      </c>
      <c r="P85" s="304">
        <f t="shared" si="58"/>
        <v>2.8928251008819388E-4</v>
      </c>
      <c r="Q85" s="304">
        <f t="shared" si="58"/>
        <v>2.8928251008819388E-4</v>
      </c>
      <c r="R85" s="304">
        <f>R83/R84</f>
        <v>4.0979745441813448E-3</v>
      </c>
      <c r="S85" s="304">
        <f>S83/S84</f>
        <v>4.1798751098910323E-4</v>
      </c>
      <c r="T85" s="304">
        <f>T83/T84</f>
        <v>4.1798751098910323E-4</v>
      </c>
      <c r="U85" s="304">
        <f t="shared" si="58"/>
        <v>3.1338517123350856E-4</v>
      </c>
      <c r="V85" s="304">
        <f t="shared" si="58"/>
        <v>1.1442629648359704E-4</v>
      </c>
      <c r="W85" s="304">
        <f>W83/W84</f>
        <v>1.1442629648359704E-4</v>
      </c>
      <c r="X85" s="304">
        <f t="shared" ref="X85:BC85" si="59">X83/X84</f>
        <v>3.2930083479030782E-4</v>
      </c>
      <c r="Y85" s="304">
        <f t="shared" si="59"/>
        <v>2.9580195133511436E-4</v>
      </c>
      <c r="Z85" s="304">
        <f t="shared" si="59"/>
        <v>2.7123330915667884E-4</v>
      </c>
      <c r="AA85" s="304">
        <f t="shared" si="59"/>
        <v>2.7125306259595517E-4</v>
      </c>
      <c r="AB85" s="304">
        <f t="shared" si="59"/>
        <v>1.2723433298785143E-4</v>
      </c>
      <c r="AC85" s="304">
        <f t="shared" si="59"/>
        <v>1.1747751381991404E-4</v>
      </c>
      <c r="AD85" s="304">
        <f t="shared" si="59"/>
        <v>1.0187497648218972E-4</v>
      </c>
      <c r="AE85" s="304">
        <f t="shared" si="59"/>
        <v>8.0666573336802245E-5</v>
      </c>
      <c r="AF85" s="304">
        <f t="shared" si="59"/>
        <v>6.8473918859419182E-5</v>
      </c>
      <c r="AG85" s="304">
        <f t="shared" si="59"/>
        <v>1.884754860616892E-4</v>
      </c>
      <c r="AH85" s="304">
        <f t="shared" si="59"/>
        <v>1.5266506313435711E-4</v>
      </c>
      <c r="AI85" s="304">
        <f t="shared" si="59"/>
        <v>1.174346188308092E-4</v>
      </c>
      <c r="AJ85" s="304">
        <f t="shared" si="59"/>
        <v>9.5415607433954285E-5</v>
      </c>
      <c r="AK85" s="304">
        <f t="shared" si="59"/>
        <v>7.6332460881221059E-5</v>
      </c>
      <c r="AL85" s="304">
        <f t="shared" si="59"/>
        <v>5.6542558636634146E-5</v>
      </c>
      <c r="AM85" s="304">
        <f t="shared" si="59"/>
        <v>4.77077835952919E-5</v>
      </c>
      <c r="AN85" s="304">
        <f t="shared" si="59"/>
        <v>1.2055219396657459E-4</v>
      </c>
      <c r="AO85" s="304">
        <f t="shared" si="59"/>
        <v>1.0182119626251954E-4</v>
      </c>
      <c r="AP85" s="304">
        <f t="shared" si="59"/>
        <v>1.000309264353781E-4</v>
      </c>
      <c r="AQ85" s="304">
        <f t="shared" si="59"/>
        <v>9.3331225827475919E-5</v>
      </c>
      <c r="AR85" s="304">
        <f t="shared" si="59"/>
        <v>8.9020656877762834E-5</v>
      </c>
      <c r="AS85" s="304">
        <f t="shared" si="59"/>
        <v>8.8413448645560246E-5</v>
      </c>
      <c r="AT85" s="304">
        <f t="shared" si="59"/>
        <v>8.4735185801008118E-5</v>
      </c>
      <c r="AU85" s="304">
        <f t="shared" si="59"/>
        <v>8.5884637205567126E-5</v>
      </c>
      <c r="AV85" s="304">
        <f t="shared" si="59"/>
        <v>8.1509488929268757E-5</v>
      </c>
      <c r="AW85" s="304">
        <f t="shared" si="59"/>
        <v>8.5901244054451917E-5</v>
      </c>
      <c r="AX85" s="304">
        <f t="shared" si="59"/>
        <v>5.4029806608594578E-4</v>
      </c>
      <c r="AY85" s="304">
        <f t="shared" si="59"/>
        <v>5.4029806608594578E-4</v>
      </c>
      <c r="AZ85" s="304">
        <f t="shared" si="59"/>
        <v>7.2425922506639184E-4</v>
      </c>
      <c r="BA85" s="304">
        <f t="shared" si="59"/>
        <v>9.6985745503129874E-4</v>
      </c>
      <c r="BB85" s="304">
        <f t="shared" si="59"/>
        <v>1.53066649244154E-4</v>
      </c>
      <c r="BC85" s="304">
        <f t="shared" si="59"/>
        <v>136.73748134479334</v>
      </c>
      <c r="BD85" s="304">
        <f t="shared" ref="BD85:BI85" si="60">BD83/BD84</f>
        <v>1.660348069759972E-3</v>
      </c>
      <c r="BE85" s="304">
        <f t="shared" si="60"/>
        <v>6.8220036901652477E-5</v>
      </c>
      <c r="BF85" s="304">
        <f t="shared" si="60"/>
        <v>6.8220036901652477E-5</v>
      </c>
      <c r="BG85" s="304">
        <f t="shared" si="60"/>
        <v>1.233805032217639E-4</v>
      </c>
      <c r="BH85" s="304">
        <f t="shared" si="60"/>
        <v>8.8170083343773378E-4</v>
      </c>
      <c r="BI85" s="304">
        <f t="shared" si="60"/>
        <v>9.3490326700591472E-4</v>
      </c>
      <c r="BJ85" s="304"/>
    </row>
    <row r="86" spans="1:62" s="287" customFormat="1" ht="13.15" customHeight="1">
      <c r="A86" s="318"/>
      <c r="B86" s="319"/>
      <c r="C86" s="320"/>
      <c r="D86" s="2012"/>
      <c r="E86" s="321"/>
      <c r="F86" s="322"/>
      <c r="G86" s="2025"/>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302"/>
    </row>
    <row r="87" spans="1:62" s="306" customFormat="1" ht="13.15" customHeight="1">
      <c r="A87" s="311"/>
      <c r="B87" s="310"/>
      <c r="C87" s="312"/>
      <c r="D87" s="4027" t="s">
        <v>665</v>
      </c>
      <c r="E87" s="323" t="str">
        <f>E28</f>
        <v>Bitume parking</v>
      </c>
      <c r="F87" s="293"/>
      <c r="G87" s="2017"/>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row>
    <row r="88" spans="1:62" s="306" customFormat="1" ht="13.15" customHeight="1">
      <c r="A88" s="311"/>
      <c r="B88" s="310"/>
      <c r="C88" s="312"/>
      <c r="D88" s="4027"/>
      <c r="E88" s="475" t="s">
        <v>475</v>
      </c>
      <c r="F88" s="297" t="s">
        <v>75</v>
      </c>
      <c r="G88" s="2020" t="s">
        <v>73</v>
      </c>
      <c r="H88" s="302">
        <f>Sols!$V10</f>
        <v>0.04</v>
      </c>
      <c r="I88" s="302">
        <f>Sols!$V10</f>
        <v>0.04</v>
      </c>
      <c r="J88" s="302">
        <f>Sols!$V10</f>
        <v>0.04</v>
      </c>
      <c r="K88" s="302">
        <f>Sols!$V10</f>
        <v>0.04</v>
      </c>
      <c r="L88" s="302">
        <f>Sols!$V10</f>
        <v>0.04</v>
      </c>
      <c r="M88" s="302">
        <f>Sols!$V10</f>
        <v>0.04</v>
      </c>
      <c r="N88" s="302">
        <f>Sols!$V10</f>
        <v>0.04</v>
      </c>
      <c r="O88" s="302">
        <f>Sols!$V10</f>
        <v>0.04</v>
      </c>
      <c r="P88" s="302">
        <f>Sols!$V10</f>
        <v>0.04</v>
      </c>
      <c r="Q88" s="302">
        <f>Sols!$V10</f>
        <v>0.04</v>
      </c>
      <c r="R88" s="302">
        <f>Sols!$V10</f>
        <v>0.04</v>
      </c>
      <c r="S88" s="302">
        <f>Sols!$V10</f>
        <v>0.04</v>
      </c>
      <c r="T88" s="302">
        <f>Sols!$V10</f>
        <v>0.04</v>
      </c>
      <c r="U88" s="302">
        <f>Sols!$V10</f>
        <v>0.04</v>
      </c>
      <c r="V88" s="302">
        <f>Sols!$V10</f>
        <v>0.04</v>
      </c>
      <c r="W88" s="302">
        <f>Sols!$V10</f>
        <v>0.04</v>
      </c>
      <c r="X88" s="302">
        <f>Sols!$V10</f>
        <v>0.04</v>
      </c>
      <c r="Y88" s="302">
        <f>Sols!$V10</f>
        <v>0.04</v>
      </c>
      <c r="Z88" s="302">
        <f>Sols!$V10</f>
        <v>0.04</v>
      </c>
      <c r="AA88" s="302">
        <f>Sols!$V10</f>
        <v>0.04</v>
      </c>
      <c r="AB88" s="302">
        <f>Sols!$V10</f>
        <v>0.04</v>
      </c>
      <c r="AC88" s="302">
        <f>Sols!$V10</f>
        <v>0.04</v>
      </c>
      <c r="AD88" s="302">
        <f>Sols!$V10</f>
        <v>0.04</v>
      </c>
      <c r="AE88" s="302">
        <f>Sols!$V10</f>
        <v>0.04</v>
      </c>
      <c r="AF88" s="302">
        <f>Sols!$V10</f>
        <v>0.04</v>
      </c>
      <c r="AG88" s="302">
        <f>Sols!$V10</f>
        <v>0.04</v>
      </c>
      <c r="AH88" s="302">
        <f>Sols!$V10</f>
        <v>0.04</v>
      </c>
      <c r="AI88" s="302">
        <f>Sols!$V10</f>
        <v>0.04</v>
      </c>
      <c r="AJ88" s="302">
        <f>Sols!$V10</f>
        <v>0.04</v>
      </c>
      <c r="AK88" s="302">
        <f>Sols!$V10</f>
        <v>0.04</v>
      </c>
      <c r="AL88" s="302">
        <f>Sols!$V10</f>
        <v>0.04</v>
      </c>
      <c r="AM88" s="302">
        <f>Sols!$V10</f>
        <v>0.04</v>
      </c>
      <c r="AN88" s="302">
        <f>Sols!$V10</f>
        <v>0.04</v>
      </c>
      <c r="AO88" s="302">
        <f>Sols!$V10</f>
        <v>0.04</v>
      </c>
      <c r="AP88" s="302">
        <f>Sols!$V10</f>
        <v>0.04</v>
      </c>
      <c r="AQ88" s="302">
        <f>Sols!$V10</f>
        <v>0.04</v>
      </c>
      <c r="AR88" s="302">
        <f>Sols!$V10</f>
        <v>0.04</v>
      </c>
      <c r="AS88" s="302">
        <f>Sols!$V10</f>
        <v>0.04</v>
      </c>
      <c r="AT88" s="302">
        <f>Sols!$V10</f>
        <v>0.04</v>
      </c>
      <c r="AU88" s="302">
        <f>Sols!$V10</f>
        <v>0.04</v>
      </c>
      <c r="AV88" s="302">
        <f>Sols!$V10</f>
        <v>0.04</v>
      </c>
      <c r="AW88" s="302">
        <f>Sols!$V10</f>
        <v>0.04</v>
      </c>
      <c r="AX88" s="302">
        <f>Sols!$V10</f>
        <v>0.04</v>
      </c>
      <c r="AY88" s="302">
        <f>Sols!$V10</f>
        <v>0.04</v>
      </c>
      <c r="AZ88" s="302">
        <f>Sols!$V10</f>
        <v>0.04</v>
      </c>
      <c r="BA88" s="302">
        <f>Sols!$V10</f>
        <v>0.04</v>
      </c>
      <c r="BB88" s="302">
        <f>Sols!$V10</f>
        <v>0.04</v>
      </c>
      <c r="BC88" s="302">
        <f>Sols!$V10</f>
        <v>0.04</v>
      </c>
      <c r="BD88" s="302">
        <f>Sols!$V10</f>
        <v>0.04</v>
      </c>
      <c r="BE88" s="302">
        <f>Sols!$V10</f>
        <v>0.04</v>
      </c>
      <c r="BF88" s="302">
        <f>Sols!$V10</f>
        <v>0.04</v>
      </c>
      <c r="BG88" s="302">
        <f>Sols!$V10</f>
        <v>0.04</v>
      </c>
      <c r="BH88" s="302">
        <f>Sols!$V10</f>
        <v>0.04</v>
      </c>
      <c r="BI88" s="302">
        <f>Sols!$V10</f>
        <v>0.04</v>
      </c>
      <c r="BJ88" s="302"/>
    </row>
    <row r="89" spans="1:62" s="306" customFormat="1" ht="13.15" customHeight="1">
      <c r="A89" s="311"/>
      <c r="B89" s="310"/>
      <c r="C89" s="312"/>
      <c r="D89" s="4027"/>
      <c r="E89" s="325" t="s">
        <v>242</v>
      </c>
      <c r="F89" s="297" t="s">
        <v>243</v>
      </c>
      <c r="G89" s="2020" t="s">
        <v>269</v>
      </c>
      <c r="H89" s="302">
        <f t="shared" ref="H89:AL89" si="61">H88/H$31</f>
        <v>836.98331212829601</v>
      </c>
      <c r="I89" s="302">
        <f t="shared" si="61"/>
        <v>836.98331212829601</v>
      </c>
      <c r="J89" s="302">
        <f>J88/J$31</f>
        <v>814.28584238493556</v>
      </c>
      <c r="K89" s="302">
        <f t="shared" si="61"/>
        <v>404.81735203590364</v>
      </c>
      <c r="L89" s="302">
        <f t="shared" si="61"/>
        <v>583.02499070388296</v>
      </c>
      <c r="M89" s="302">
        <f t="shared" si="61"/>
        <v>583.02499070388296</v>
      </c>
      <c r="N89" s="302">
        <f>N88/N$31</f>
        <v>543.17264956716167</v>
      </c>
      <c r="O89" s="302">
        <f>O88/O$31</f>
        <v>543.17264956716167</v>
      </c>
      <c r="P89" s="302">
        <f t="shared" si="61"/>
        <v>595.98110160841372</v>
      </c>
      <c r="Q89" s="302">
        <f t="shared" si="61"/>
        <v>595.98110160841372</v>
      </c>
      <c r="R89" s="302">
        <f>R88/R$31</f>
        <v>42.069254231182136</v>
      </c>
      <c r="S89" s="302">
        <f>S88/S$31</f>
        <v>412.60230111351717</v>
      </c>
      <c r="T89" s="302">
        <f>T88/T$31</f>
        <v>412.60230111351717</v>
      </c>
      <c r="U89" s="302">
        <f t="shared" si="61"/>
        <v>550.1364014846896</v>
      </c>
      <c r="V89" s="302">
        <f t="shared" si="61"/>
        <v>1506.615130924949</v>
      </c>
      <c r="W89" s="302">
        <f t="shared" si="61"/>
        <v>1506.615130924949</v>
      </c>
      <c r="X89" s="302">
        <f t="shared" si="61"/>
        <v>523.65525944712135</v>
      </c>
      <c r="Y89" s="302">
        <f t="shared" si="61"/>
        <v>582.9369869317012</v>
      </c>
      <c r="Z89" s="302">
        <f t="shared" si="61"/>
        <v>635.71317504897456</v>
      </c>
      <c r="AA89" s="302">
        <f t="shared" si="61"/>
        <v>635.71317504897456</v>
      </c>
      <c r="AB89" s="302">
        <f t="shared" si="61"/>
        <v>1355.0728204991299</v>
      </c>
      <c r="AC89" s="302">
        <f t="shared" si="61"/>
        <v>1467.9955555407241</v>
      </c>
      <c r="AD89" s="302">
        <f t="shared" si="61"/>
        <v>1693.8410256239122</v>
      </c>
      <c r="AE89" s="302">
        <f t="shared" si="61"/>
        <v>2145.5319657902887</v>
      </c>
      <c r="AF89" s="302">
        <f t="shared" si="61"/>
        <v>2710.1456409982598</v>
      </c>
      <c r="AG89" s="302">
        <f t="shared" si="61"/>
        <v>914.67415383691275</v>
      </c>
      <c r="AH89" s="302">
        <f t="shared" si="61"/>
        <v>1129.2273504159416</v>
      </c>
      <c r="AI89" s="302">
        <f t="shared" si="61"/>
        <v>1467.9955555407241</v>
      </c>
      <c r="AJ89" s="302">
        <f t="shared" si="61"/>
        <v>1806.7637606655069</v>
      </c>
      <c r="AK89" s="302">
        <f t="shared" si="61"/>
        <v>2258.4547008318832</v>
      </c>
      <c r="AL89" s="302">
        <f t="shared" si="61"/>
        <v>3048.9138461230423</v>
      </c>
      <c r="AM89" s="302">
        <f t="shared" ref="AM89:BI89" si="62">AM88/AM$31</f>
        <v>3613.5275213310138</v>
      </c>
      <c r="AN89" s="302">
        <f t="shared" si="62"/>
        <v>1447.5565404981955</v>
      </c>
      <c r="AO89" s="302">
        <f t="shared" si="62"/>
        <v>1718.6840273330631</v>
      </c>
      <c r="AP89" s="302">
        <f t="shared" si="62"/>
        <v>1741.3814970764236</v>
      </c>
      <c r="AQ89" s="302">
        <f t="shared" si="62"/>
        <v>1876.7758563912948</v>
      </c>
      <c r="AR89" s="302">
        <f t="shared" si="62"/>
        <v>2012.2831384412079</v>
      </c>
      <c r="AS89" s="302">
        <f t="shared" si="62"/>
        <v>2012.2831384412079</v>
      </c>
      <c r="AT89" s="302">
        <f t="shared" si="62"/>
        <v>2284.4269298914501</v>
      </c>
      <c r="AU89" s="302">
        <f t="shared" si="62"/>
        <v>2284.4269298914501</v>
      </c>
      <c r="AV89" s="302">
        <f t="shared" si="62"/>
        <v>2578.0260409995944</v>
      </c>
      <c r="AW89" s="302">
        <f t="shared" si="62"/>
        <v>2578.0260409995944</v>
      </c>
      <c r="AX89" s="302">
        <f t="shared" si="62"/>
        <v>2849.2664505695038</v>
      </c>
      <c r="AY89" s="302">
        <f t="shared" si="62"/>
        <v>2849.2664505695038</v>
      </c>
      <c r="AZ89" s="302">
        <f t="shared" si="62"/>
        <v>2849.0406050994206</v>
      </c>
      <c r="BA89" s="302">
        <f t="shared" si="62"/>
        <v>3143.7689435579809</v>
      </c>
      <c r="BB89" s="302">
        <f t="shared" si="62"/>
        <v>3030.394517576221</v>
      </c>
      <c r="BC89" s="302">
        <f t="shared" si="62"/>
        <v>3120.0551691992464</v>
      </c>
      <c r="BD89" s="302">
        <f t="shared" si="62"/>
        <v>523.30047946104605</v>
      </c>
      <c r="BE89" s="302">
        <f t="shared" si="62"/>
        <v>2907.7604273210495</v>
      </c>
      <c r="BF89" s="302">
        <f t="shared" si="62"/>
        <v>2907.7604273210495</v>
      </c>
      <c r="BG89" s="302">
        <f t="shared" si="62"/>
        <v>1397.7406943259214</v>
      </c>
      <c r="BH89" s="302">
        <f t="shared" si="62"/>
        <v>794.64146881121815</v>
      </c>
      <c r="BI89" s="302">
        <f t="shared" si="62"/>
        <v>255.42047211789156</v>
      </c>
      <c r="BJ89" s="302"/>
    </row>
    <row r="90" spans="1:62" s="306" customFormat="1" ht="13.15" customHeight="1">
      <c r="A90" s="311"/>
      <c r="B90" s="310"/>
      <c r="C90" s="312"/>
      <c r="D90" s="2013"/>
      <c r="E90" s="325"/>
      <c r="F90" s="297"/>
      <c r="G90" s="2020"/>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row>
    <row r="91" spans="1:62" s="306" customFormat="1" ht="13.15" customHeight="1">
      <c r="A91" s="311"/>
      <c r="B91" s="310"/>
      <c r="C91" s="312"/>
      <c r="D91" s="2013"/>
      <c r="E91" s="323" t="str">
        <f>E$33</f>
        <v xml:space="preserve">Gravier (sec) </v>
      </c>
      <c r="F91" s="293"/>
      <c r="G91" s="2017"/>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row>
    <row r="92" spans="1:62" s="306" customFormat="1" ht="13.15" customHeight="1">
      <c r="A92" s="311"/>
      <c r="B92" s="310"/>
      <c r="C92" s="312"/>
      <c r="D92" s="2013"/>
      <c r="E92" s="475" t="s">
        <v>475</v>
      </c>
      <c r="F92" s="297" t="s">
        <v>75</v>
      </c>
      <c r="G92" s="2020" t="s">
        <v>73</v>
      </c>
      <c r="H92" s="302">
        <f>Sols!$V11</f>
        <v>0.4</v>
      </c>
      <c r="I92" s="302">
        <f>Sols!$V11</f>
        <v>0.4</v>
      </c>
      <c r="J92" s="302">
        <f>Sols!$V11</f>
        <v>0.4</v>
      </c>
      <c r="K92" s="302">
        <f>Sols!$V11</f>
        <v>0.4</v>
      </c>
      <c r="L92" s="302">
        <f>Sols!$V11</f>
        <v>0.4</v>
      </c>
      <c r="M92" s="302">
        <f>Sols!$V11</f>
        <v>0.4</v>
      </c>
      <c r="N92" s="302">
        <f>Sols!$V11</f>
        <v>0.4</v>
      </c>
      <c r="O92" s="302">
        <f>Sols!$V11</f>
        <v>0.4</v>
      </c>
      <c r="P92" s="302">
        <f>Sols!$V11</f>
        <v>0.4</v>
      </c>
      <c r="Q92" s="302">
        <f>Sols!$V11</f>
        <v>0.4</v>
      </c>
      <c r="R92" s="302">
        <f>Sols!$V11</f>
        <v>0.4</v>
      </c>
      <c r="S92" s="302">
        <f>Sols!$V11</f>
        <v>0.4</v>
      </c>
      <c r="T92" s="302">
        <f>Sols!$V11</f>
        <v>0.4</v>
      </c>
      <c r="U92" s="302">
        <f>Sols!$V11</f>
        <v>0.4</v>
      </c>
      <c r="V92" s="302">
        <f>Sols!$V11</f>
        <v>0.4</v>
      </c>
      <c r="W92" s="302">
        <f>Sols!$V11</f>
        <v>0.4</v>
      </c>
      <c r="X92" s="302">
        <f>Sols!$V11</f>
        <v>0.4</v>
      </c>
      <c r="Y92" s="302">
        <f>Sols!$V11</f>
        <v>0.4</v>
      </c>
      <c r="Z92" s="302">
        <f>Sols!$V11</f>
        <v>0.4</v>
      </c>
      <c r="AA92" s="302">
        <f>Sols!$V11</f>
        <v>0.4</v>
      </c>
      <c r="AB92" s="302">
        <f>Sols!$V11</f>
        <v>0.4</v>
      </c>
      <c r="AC92" s="302">
        <f>Sols!$V11</f>
        <v>0.4</v>
      </c>
      <c r="AD92" s="302">
        <f>Sols!$V11</f>
        <v>0.4</v>
      </c>
      <c r="AE92" s="302">
        <f>Sols!$V11</f>
        <v>0.4</v>
      </c>
      <c r="AF92" s="302">
        <f>Sols!$V11</f>
        <v>0.4</v>
      </c>
      <c r="AG92" s="302">
        <f>Sols!$V11</f>
        <v>0.4</v>
      </c>
      <c r="AH92" s="302">
        <f>Sols!$V11</f>
        <v>0.4</v>
      </c>
      <c r="AI92" s="302">
        <f>Sols!$V11</f>
        <v>0.4</v>
      </c>
      <c r="AJ92" s="302">
        <f>Sols!$V11</f>
        <v>0.4</v>
      </c>
      <c r="AK92" s="302">
        <f>Sols!$V11</f>
        <v>0.4</v>
      </c>
      <c r="AL92" s="302">
        <f>Sols!$V11</f>
        <v>0.4</v>
      </c>
      <c r="AM92" s="302">
        <f>Sols!$V11</f>
        <v>0.4</v>
      </c>
      <c r="AN92" s="302">
        <f>Sols!$V11</f>
        <v>0.4</v>
      </c>
      <c r="AO92" s="302">
        <f>Sols!$V11</f>
        <v>0.4</v>
      </c>
      <c r="AP92" s="302">
        <f>Sols!$V11</f>
        <v>0.4</v>
      </c>
      <c r="AQ92" s="302">
        <f>Sols!$V11</f>
        <v>0.4</v>
      </c>
      <c r="AR92" s="302">
        <f>Sols!$V11</f>
        <v>0.4</v>
      </c>
      <c r="AS92" s="302">
        <f>Sols!$V11</f>
        <v>0.4</v>
      </c>
      <c r="AT92" s="302">
        <f>Sols!$V11</f>
        <v>0.4</v>
      </c>
      <c r="AU92" s="302">
        <f>Sols!$V11</f>
        <v>0.4</v>
      </c>
      <c r="AV92" s="302">
        <f>Sols!$V11</f>
        <v>0.4</v>
      </c>
      <c r="AW92" s="302">
        <f>Sols!$V11</f>
        <v>0.4</v>
      </c>
      <c r="AX92" s="302">
        <f>Sols!$V11</f>
        <v>0.4</v>
      </c>
      <c r="AY92" s="302">
        <f>Sols!$V11</f>
        <v>0.4</v>
      </c>
      <c r="AZ92" s="302">
        <f>Sols!$V11</f>
        <v>0.4</v>
      </c>
      <c r="BA92" s="302">
        <f>Sols!$V11</f>
        <v>0.4</v>
      </c>
      <c r="BB92" s="302">
        <f>Sols!$V11</f>
        <v>0.4</v>
      </c>
      <c r="BC92" s="302">
        <f>Sols!$V11</f>
        <v>0.4</v>
      </c>
      <c r="BD92" s="302">
        <f>Sols!$V11</f>
        <v>0.4</v>
      </c>
      <c r="BE92" s="302">
        <f>Sols!$V11</f>
        <v>0.4</v>
      </c>
      <c r="BF92" s="302">
        <f>Sols!$V11</f>
        <v>0.4</v>
      </c>
      <c r="BG92" s="302">
        <f>Sols!$V11</f>
        <v>0.4</v>
      </c>
      <c r="BH92" s="302">
        <f>Sols!$V11</f>
        <v>0.4</v>
      </c>
      <c r="BI92" s="302">
        <f>Sols!$V11</f>
        <v>0.4</v>
      </c>
      <c r="BJ92" s="302"/>
    </row>
    <row r="93" spans="1:62" s="306" customFormat="1" ht="13.15" customHeight="1">
      <c r="A93" s="311"/>
      <c r="B93" s="310"/>
      <c r="C93" s="312"/>
      <c r="D93" s="2013"/>
      <c r="E93" s="325" t="s">
        <v>242</v>
      </c>
      <c r="F93" s="297" t="s">
        <v>243</v>
      </c>
      <c r="G93" s="2020" t="s">
        <v>269</v>
      </c>
      <c r="H93" s="302">
        <f t="shared" ref="H93:AL93" si="63">H92/H$36</f>
        <v>667.0706166719832</v>
      </c>
      <c r="I93" s="302">
        <f t="shared" si="63"/>
        <v>667.0706166719832</v>
      </c>
      <c r="J93" s="302">
        <f>J92/J$36</f>
        <v>648.98087113082443</v>
      </c>
      <c r="K93" s="302">
        <f t="shared" si="63"/>
        <v>322.63697107107492</v>
      </c>
      <c r="L93" s="302">
        <f t="shared" si="63"/>
        <v>464.66737681431988</v>
      </c>
      <c r="M93" s="302">
        <f t="shared" si="63"/>
        <v>464.66737681431988</v>
      </c>
      <c r="N93" s="302">
        <f>N92/N$36</f>
        <v>432.90530295612587</v>
      </c>
      <c r="O93" s="302">
        <f>O92/O$36</f>
        <v>432.90530295612587</v>
      </c>
      <c r="P93" s="302">
        <f t="shared" si="63"/>
        <v>474.99331852130484</v>
      </c>
      <c r="Q93" s="302">
        <f t="shared" si="63"/>
        <v>474.99331852130484</v>
      </c>
      <c r="R93" s="302">
        <f>R92/R$36</f>
        <v>33.528940130915629</v>
      </c>
      <c r="S93" s="302">
        <f>S92/S$36</f>
        <v>328.84152820705719</v>
      </c>
      <c r="T93" s="302">
        <f>T92/T$36</f>
        <v>328.84152820705719</v>
      </c>
      <c r="U93" s="302">
        <f t="shared" si="63"/>
        <v>438.45537094274289</v>
      </c>
      <c r="V93" s="302">
        <f t="shared" si="63"/>
        <v>1200.7631095031838</v>
      </c>
      <c r="W93" s="302">
        <f t="shared" si="63"/>
        <v>1200.7631095031838</v>
      </c>
      <c r="X93" s="302">
        <f t="shared" si="63"/>
        <v>417.35006156177013</v>
      </c>
      <c r="Y93" s="302">
        <f t="shared" si="63"/>
        <v>464.59723834234796</v>
      </c>
      <c r="Z93" s="302">
        <f t="shared" si="63"/>
        <v>506.65953975605851</v>
      </c>
      <c r="AA93" s="302">
        <f t="shared" si="63"/>
        <v>506.65953975605851</v>
      </c>
      <c r="AB93" s="302">
        <f t="shared" si="63"/>
        <v>1079.9848084273876</v>
      </c>
      <c r="AC93" s="302">
        <f t="shared" si="63"/>
        <v>1169.9835424630035</v>
      </c>
      <c r="AD93" s="302">
        <f t="shared" si="63"/>
        <v>1349.9810105342344</v>
      </c>
      <c r="AE93" s="302">
        <f t="shared" si="63"/>
        <v>1709.9759466766973</v>
      </c>
      <c r="AF93" s="302">
        <f t="shared" si="63"/>
        <v>2159.9696168547753</v>
      </c>
      <c r="AG93" s="302">
        <f t="shared" si="63"/>
        <v>728.98974568848678</v>
      </c>
      <c r="AH93" s="302">
        <f t="shared" si="63"/>
        <v>899.98734035615644</v>
      </c>
      <c r="AI93" s="302">
        <f t="shared" si="63"/>
        <v>1169.9835424630035</v>
      </c>
      <c r="AJ93" s="302">
        <f t="shared" si="63"/>
        <v>1439.9797445698503</v>
      </c>
      <c r="AK93" s="302">
        <f t="shared" si="63"/>
        <v>1799.9746807123129</v>
      </c>
      <c r="AL93" s="302">
        <f t="shared" si="63"/>
        <v>2429.9658189616221</v>
      </c>
      <c r="AM93" s="302">
        <f t="shared" ref="AM93:BI93" si="64">AM92/AM$36</f>
        <v>2879.9594891397005</v>
      </c>
      <c r="AN93" s="302">
        <f t="shared" si="64"/>
        <v>1153.693771602557</v>
      </c>
      <c r="AO93" s="302">
        <f t="shared" si="64"/>
        <v>1369.7807320220702</v>
      </c>
      <c r="AP93" s="302">
        <f t="shared" si="64"/>
        <v>1387.8704775632289</v>
      </c>
      <c r="AQ93" s="302">
        <f t="shared" si="64"/>
        <v>1495.7789596719319</v>
      </c>
      <c r="AR93" s="302">
        <f t="shared" si="64"/>
        <v>1603.7774405146708</v>
      </c>
      <c r="AS93" s="302">
        <f t="shared" si="64"/>
        <v>1603.7774405146708</v>
      </c>
      <c r="AT93" s="302">
        <f t="shared" si="64"/>
        <v>1820.6743895405045</v>
      </c>
      <c r="AU93" s="302">
        <f t="shared" si="64"/>
        <v>1820.6743895405045</v>
      </c>
      <c r="AV93" s="302">
        <f t="shared" si="64"/>
        <v>2054.6710980331054</v>
      </c>
      <c r="AW93" s="302">
        <f t="shared" si="64"/>
        <v>2054.6710980331054</v>
      </c>
      <c r="AX93" s="302">
        <f t="shared" si="64"/>
        <v>2270.8480571866539</v>
      </c>
      <c r="AY93" s="302">
        <f t="shared" si="64"/>
        <v>2270.8480571866539</v>
      </c>
      <c r="AZ93" s="302">
        <f t="shared" si="64"/>
        <v>2270.6680597185828</v>
      </c>
      <c r="BA93" s="302">
        <f t="shared" si="64"/>
        <v>2505.5647555515393</v>
      </c>
      <c r="BB93" s="302">
        <f t="shared" si="64"/>
        <v>2415.2060265797813</v>
      </c>
      <c r="BC93" s="302">
        <f t="shared" si="64"/>
        <v>2486.6650214040601</v>
      </c>
      <c r="BD93" s="302">
        <f t="shared" si="64"/>
        <v>417.0673040674871</v>
      </c>
      <c r="BE93" s="302">
        <f t="shared" si="64"/>
        <v>2317.4674014171028</v>
      </c>
      <c r="BF93" s="302">
        <f t="shared" si="64"/>
        <v>2317.4674014171028</v>
      </c>
      <c r="BG93" s="302">
        <f t="shared" si="64"/>
        <v>1113.9908447405194</v>
      </c>
      <c r="BH93" s="302">
        <f t="shared" si="64"/>
        <v>633.32442469507305</v>
      </c>
      <c r="BI93" s="302">
        <f t="shared" si="64"/>
        <v>203.56856508055921</v>
      </c>
      <c r="BJ93" s="302"/>
    </row>
    <row r="94" spans="1:62" s="306" customFormat="1" ht="13.15" customHeight="1">
      <c r="A94" s="311"/>
      <c r="B94" s="310"/>
      <c r="C94" s="312"/>
      <c r="D94" s="2013"/>
      <c r="E94" s="326"/>
      <c r="F94" s="293"/>
      <c r="G94" s="2017"/>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row>
    <row r="95" spans="1:62" s="306" customFormat="1" ht="13.15" hidden="1" customHeight="1">
      <c r="A95" s="311"/>
      <c r="B95" s="310"/>
      <c r="C95" s="312"/>
      <c r="D95" s="2013"/>
      <c r="E95" s="3644" t="str">
        <f>Sols!C$15</f>
        <v>Sable limoneux</v>
      </c>
      <c r="G95" s="2017"/>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row>
    <row r="96" spans="1:62" s="306" customFormat="1" ht="13.15" hidden="1" customHeight="1">
      <c r="A96" s="311"/>
      <c r="B96" s="310"/>
      <c r="C96" s="312"/>
      <c r="D96" s="2013"/>
      <c r="E96" s="3645" t="s">
        <v>74</v>
      </c>
      <c r="F96" s="297" t="s">
        <v>75</v>
      </c>
      <c r="G96" s="2020" t="s">
        <v>73</v>
      </c>
      <c r="H96" s="302">
        <v>0</v>
      </c>
      <c r="I96" s="302">
        <v>0</v>
      </c>
      <c r="J96" s="302">
        <v>0</v>
      </c>
      <c r="K96" s="302">
        <v>0</v>
      </c>
      <c r="L96" s="302">
        <v>0</v>
      </c>
      <c r="M96" s="302">
        <v>0</v>
      </c>
      <c r="N96" s="302">
        <v>0</v>
      </c>
      <c r="O96" s="302">
        <v>0</v>
      </c>
      <c r="P96" s="302">
        <v>0</v>
      </c>
      <c r="Q96" s="302">
        <v>0</v>
      </c>
      <c r="R96" s="302">
        <v>0</v>
      </c>
      <c r="S96" s="302">
        <v>0</v>
      </c>
      <c r="T96" s="302">
        <v>0</v>
      </c>
      <c r="U96" s="302">
        <v>0</v>
      </c>
      <c r="V96" s="302">
        <v>0</v>
      </c>
      <c r="W96" s="302">
        <v>0</v>
      </c>
      <c r="X96" s="302">
        <v>0</v>
      </c>
      <c r="Y96" s="302">
        <v>0</v>
      </c>
      <c r="Z96" s="302">
        <v>0</v>
      </c>
      <c r="AA96" s="302">
        <v>0</v>
      </c>
      <c r="AB96" s="302">
        <v>0</v>
      </c>
      <c r="AC96" s="302">
        <v>0</v>
      </c>
      <c r="AD96" s="302">
        <v>0</v>
      </c>
      <c r="AE96" s="302">
        <v>0</v>
      </c>
      <c r="AF96" s="302">
        <v>0</v>
      </c>
      <c r="AG96" s="302">
        <v>0</v>
      </c>
      <c r="AH96" s="302">
        <v>0</v>
      </c>
      <c r="AI96" s="302">
        <v>0</v>
      </c>
      <c r="AJ96" s="302">
        <v>0</v>
      </c>
      <c r="AK96" s="302">
        <v>0</v>
      </c>
      <c r="AL96" s="302">
        <v>0</v>
      </c>
      <c r="AM96" s="302">
        <v>0</v>
      </c>
      <c r="AN96" s="302">
        <v>0</v>
      </c>
      <c r="AO96" s="302">
        <v>0</v>
      </c>
      <c r="AP96" s="302">
        <v>0</v>
      </c>
      <c r="AQ96" s="302">
        <v>0</v>
      </c>
      <c r="AR96" s="302">
        <v>0</v>
      </c>
      <c r="AS96" s="302">
        <v>0</v>
      </c>
      <c r="AT96" s="302">
        <v>0</v>
      </c>
      <c r="AU96" s="302">
        <v>0</v>
      </c>
      <c r="AV96" s="302">
        <v>0</v>
      </c>
      <c r="AW96" s="302">
        <v>0</v>
      </c>
      <c r="AX96" s="302">
        <v>0</v>
      </c>
      <c r="AY96" s="302">
        <v>0</v>
      </c>
      <c r="AZ96" s="302">
        <v>0</v>
      </c>
      <c r="BA96" s="302">
        <v>0</v>
      </c>
      <c r="BB96" s="302">
        <v>0</v>
      </c>
      <c r="BC96" s="302">
        <v>0</v>
      </c>
      <c r="BD96" s="302">
        <v>0</v>
      </c>
      <c r="BE96" s="302">
        <v>0</v>
      </c>
      <c r="BF96" s="302">
        <v>0</v>
      </c>
      <c r="BG96" s="302">
        <v>0</v>
      </c>
      <c r="BH96" s="302">
        <v>0</v>
      </c>
      <c r="BI96" s="302">
        <v>0</v>
      </c>
      <c r="BJ96" s="302"/>
    </row>
    <row r="97" spans="1:62" s="306" customFormat="1" ht="13.15" hidden="1" customHeight="1">
      <c r="A97" s="311"/>
      <c r="B97" s="310"/>
      <c r="C97" s="312"/>
      <c r="D97" s="2013"/>
      <c r="E97" s="3643" t="s">
        <v>242</v>
      </c>
      <c r="F97" s="297" t="s">
        <v>243</v>
      </c>
      <c r="G97" s="2020" t="s">
        <v>269</v>
      </c>
      <c r="H97" s="302">
        <f>H96/H$47</f>
        <v>0</v>
      </c>
      <c r="I97" s="302">
        <f>I96/I$47</f>
        <v>0</v>
      </c>
      <c r="J97" s="302">
        <f>J96/J$47</f>
        <v>0</v>
      </c>
      <c r="K97" s="302">
        <f t="shared" ref="K97:V97" si="65">K96/K$47</f>
        <v>0</v>
      </c>
      <c r="L97" s="302">
        <f t="shared" si="65"/>
        <v>0</v>
      </c>
      <c r="M97" s="302">
        <f t="shared" si="65"/>
        <v>0</v>
      </c>
      <c r="N97" s="302">
        <f>N96/N$47</f>
        <v>0</v>
      </c>
      <c r="O97" s="302">
        <f>O96/O$47</f>
        <v>0</v>
      </c>
      <c r="P97" s="302">
        <f t="shared" si="65"/>
        <v>0</v>
      </c>
      <c r="Q97" s="302">
        <f t="shared" si="65"/>
        <v>0</v>
      </c>
      <c r="R97" s="302">
        <f>R96/R$47</f>
        <v>0</v>
      </c>
      <c r="S97" s="302">
        <f>S96/S$47</f>
        <v>0</v>
      </c>
      <c r="T97" s="302">
        <f>T96/T$47</f>
        <v>0</v>
      </c>
      <c r="U97" s="302">
        <f t="shared" si="65"/>
        <v>0</v>
      </c>
      <c r="V97" s="302">
        <f t="shared" si="65"/>
        <v>0</v>
      </c>
      <c r="W97" s="302">
        <f>W96/W$47</f>
        <v>0</v>
      </c>
      <c r="X97" s="302">
        <f t="shared" ref="X97:BI97" si="66">X96/X$47</f>
        <v>0</v>
      </c>
      <c r="Y97" s="302">
        <f t="shared" si="66"/>
        <v>0</v>
      </c>
      <c r="Z97" s="302">
        <f t="shared" si="66"/>
        <v>0</v>
      </c>
      <c r="AA97" s="302">
        <f t="shared" si="66"/>
        <v>0</v>
      </c>
      <c r="AB97" s="302">
        <f t="shared" si="66"/>
        <v>0</v>
      </c>
      <c r="AC97" s="302">
        <f t="shared" si="66"/>
        <v>0</v>
      </c>
      <c r="AD97" s="302">
        <f t="shared" si="66"/>
        <v>0</v>
      </c>
      <c r="AE97" s="302">
        <f t="shared" si="66"/>
        <v>0</v>
      </c>
      <c r="AF97" s="302">
        <f t="shared" si="66"/>
        <v>0</v>
      </c>
      <c r="AG97" s="302">
        <f t="shared" si="66"/>
        <v>0</v>
      </c>
      <c r="AH97" s="302">
        <f t="shared" si="66"/>
        <v>0</v>
      </c>
      <c r="AI97" s="302">
        <f t="shared" si="66"/>
        <v>0</v>
      </c>
      <c r="AJ97" s="302">
        <f t="shared" si="66"/>
        <v>0</v>
      </c>
      <c r="AK97" s="302">
        <f t="shared" si="66"/>
        <v>0</v>
      </c>
      <c r="AL97" s="302">
        <f t="shared" si="66"/>
        <v>0</v>
      </c>
      <c r="AM97" s="302">
        <f t="shared" si="66"/>
        <v>0</v>
      </c>
      <c r="AN97" s="302">
        <f t="shared" si="66"/>
        <v>0</v>
      </c>
      <c r="AO97" s="302">
        <f t="shared" si="66"/>
        <v>0</v>
      </c>
      <c r="AP97" s="302">
        <f t="shared" si="66"/>
        <v>0</v>
      </c>
      <c r="AQ97" s="302">
        <f t="shared" si="66"/>
        <v>0</v>
      </c>
      <c r="AR97" s="302">
        <f t="shared" si="66"/>
        <v>0</v>
      </c>
      <c r="AS97" s="302">
        <f t="shared" si="66"/>
        <v>0</v>
      </c>
      <c r="AT97" s="302">
        <f t="shared" si="66"/>
        <v>0</v>
      </c>
      <c r="AU97" s="302">
        <f t="shared" si="66"/>
        <v>0</v>
      </c>
      <c r="AV97" s="302">
        <f t="shared" si="66"/>
        <v>0</v>
      </c>
      <c r="AW97" s="302">
        <f t="shared" si="66"/>
        <v>0</v>
      </c>
      <c r="AX97" s="302">
        <f t="shared" si="66"/>
        <v>0</v>
      </c>
      <c r="AY97" s="302">
        <f t="shared" si="66"/>
        <v>0</v>
      </c>
      <c r="AZ97" s="302">
        <f t="shared" si="66"/>
        <v>0</v>
      </c>
      <c r="BA97" s="302">
        <f t="shared" si="66"/>
        <v>0</v>
      </c>
      <c r="BB97" s="302">
        <f t="shared" si="66"/>
        <v>0</v>
      </c>
      <c r="BC97" s="302">
        <f t="shared" si="66"/>
        <v>0</v>
      </c>
      <c r="BD97" s="302">
        <f t="shared" si="66"/>
        <v>0</v>
      </c>
      <c r="BE97" s="302">
        <f t="shared" si="66"/>
        <v>0</v>
      </c>
      <c r="BF97" s="302">
        <f t="shared" si="66"/>
        <v>0</v>
      </c>
      <c r="BG97" s="302">
        <f t="shared" si="66"/>
        <v>0</v>
      </c>
      <c r="BH97" s="302">
        <f t="shared" si="66"/>
        <v>0</v>
      </c>
      <c r="BI97" s="302">
        <f t="shared" si="66"/>
        <v>0</v>
      </c>
      <c r="BJ97" s="302"/>
    </row>
    <row r="98" spans="1:62" s="112" customFormat="1" ht="13.15" hidden="1" customHeight="1">
      <c r="A98" s="109"/>
      <c r="B98" s="130"/>
      <c r="C98" s="264"/>
      <c r="D98" s="2013"/>
      <c r="E98" s="3499" t="s">
        <v>299</v>
      </c>
      <c r="F98" s="111" t="s">
        <v>298</v>
      </c>
      <c r="G98" s="341" t="s">
        <v>73</v>
      </c>
      <c r="H98" s="113">
        <v>3</v>
      </c>
      <c r="I98" s="113">
        <v>3</v>
      </c>
      <c r="J98" s="113">
        <v>3</v>
      </c>
      <c r="K98" s="113">
        <v>3</v>
      </c>
      <c r="L98" s="113">
        <v>3</v>
      </c>
      <c r="M98" s="113">
        <v>3</v>
      </c>
      <c r="N98" s="113">
        <v>3</v>
      </c>
      <c r="O98" s="113">
        <v>3</v>
      </c>
      <c r="P98" s="113">
        <v>3</v>
      </c>
      <c r="Q98" s="113">
        <v>3</v>
      </c>
      <c r="R98" s="113">
        <v>3</v>
      </c>
      <c r="S98" s="113">
        <v>3</v>
      </c>
      <c r="T98" s="113">
        <v>3</v>
      </c>
      <c r="U98" s="113">
        <v>3</v>
      </c>
      <c r="V98" s="113">
        <v>3</v>
      </c>
      <c r="W98" s="113">
        <v>3</v>
      </c>
      <c r="X98" s="113">
        <v>3</v>
      </c>
      <c r="Y98" s="113">
        <v>3</v>
      </c>
      <c r="Z98" s="113">
        <v>3</v>
      </c>
      <c r="AA98" s="113">
        <v>3</v>
      </c>
      <c r="AB98" s="113">
        <v>3</v>
      </c>
      <c r="AC98" s="113">
        <v>3</v>
      </c>
      <c r="AD98" s="113">
        <v>3</v>
      </c>
      <c r="AE98" s="113">
        <v>3</v>
      </c>
      <c r="AF98" s="113">
        <v>3</v>
      </c>
      <c r="AG98" s="113">
        <v>3</v>
      </c>
      <c r="AH98" s="113">
        <v>3</v>
      </c>
      <c r="AI98" s="113">
        <v>3</v>
      </c>
      <c r="AJ98" s="113">
        <v>3</v>
      </c>
      <c r="AK98" s="113">
        <v>3</v>
      </c>
      <c r="AL98" s="113">
        <v>3</v>
      </c>
      <c r="AM98" s="113">
        <v>3</v>
      </c>
      <c r="AN98" s="113">
        <v>3</v>
      </c>
      <c r="AO98" s="113">
        <v>3</v>
      </c>
      <c r="AP98" s="113">
        <v>3</v>
      </c>
      <c r="AQ98" s="113">
        <v>3</v>
      </c>
      <c r="AR98" s="113">
        <v>3</v>
      </c>
      <c r="AS98" s="113">
        <v>3</v>
      </c>
      <c r="AT98" s="113">
        <v>3</v>
      </c>
      <c r="AU98" s="113">
        <v>3</v>
      </c>
      <c r="AV98" s="113">
        <v>3</v>
      </c>
      <c r="AW98" s="113">
        <v>3</v>
      </c>
      <c r="AX98" s="113">
        <v>3</v>
      </c>
      <c r="AY98" s="113">
        <v>3</v>
      </c>
      <c r="AZ98" s="113">
        <v>3</v>
      </c>
      <c r="BA98" s="113">
        <v>3</v>
      </c>
      <c r="BB98" s="113">
        <v>3</v>
      </c>
      <c r="BC98" s="113">
        <v>3</v>
      </c>
      <c r="BD98" s="113">
        <v>3</v>
      </c>
      <c r="BE98" s="113">
        <v>3</v>
      </c>
      <c r="BF98" s="113">
        <v>3</v>
      </c>
      <c r="BG98" s="113">
        <v>3</v>
      </c>
      <c r="BH98" s="113">
        <v>3</v>
      </c>
      <c r="BI98" s="113">
        <v>3</v>
      </c>
    </row>
    <row r="99" spans="1:62" s="306" customFormat="1" ht="13.15" hidden="1" customHeight="1">
      <c r="A99" s="311"/>
      <c r="B99" s="310"/>
      <c r="C99" s="312"/>
      <c r="D99" s="2013"/>
      <c r="E99" s="3646"/>
      <c r="F99" s="293"/>
      <c r="G99" s="2017"/>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row>
    <row r="100" spans="1:62" s="306" customFormat="1" ht="13.15" hidden="1" customHeight="1">
      <c r="A100" s="311"/>
      <c r="B100" s="310"/>
      <c r="C100" s="312"/>
      <c r="D100" s="2013"/>
      <c r="E100" s="3644" t="str">
        <f>Sols!C$18</f>
        <v>Sol limoneux</v>
      </c>
      <c r="F100" s="293"/>
      <c r="G100" s="2017"/>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row>
    <row r="101" spans="1:62" s="306" customFormat="1" ht="13.15" hidden="1" customHeight="1">
      <c r="A101" s="311"/>
      <c r="B101" s="310"/>
      <c r="C101" s="312"/>
      <c r="D101" s="2013"/>
      <c r="E101" s="3642" t="s">
        <v>475</v>
      </c>
      <c r="F101" s="297" t="s">
        <v>75</v>
      </c>
      <c r="G101" s="2020" t="s">
        <v>73</v>
      </c>
      <c r="H101" s="302">
        <v>0</v>
      </c>
      <c r="I101" s="302">
        <v>0</v>
      </c>
      <c r="J101" s="302">
        <v>0</v>
      </c>
      <c r="K101" s="302">
        <v>0</v>
      </c>
      <c r="L101" s="302">
        <v>0</v>
      </c>
      <c r="M101" s="302">
        <v>0</v>
      </c>
      <c r="N101" s="302">
        <v>0</v>
      </c>
      <c r="O101" s="302">
        <v>0</v>
      </c>
      <c r="P101" s="302">
        <v>0</v>
      </c>
      <c r="Q101" s="302">
        <v>0</v>
      </c>
      <c r="R101" s="302">
        <v>0</v>
      </c>
      <c r="S101" s="302">
        <v>0</v>
      </c>
      <c r="T101" s="302">
        <v>0</v>
      </c>
      <c r="U101" s="302">
        <v>0</v>
      </c>
      <c r="V101" s="302">
        <v>0</v>
      </c>
      <c r="W101" s="302">
        <v>0</v>
      </c>
      <c r="X101" s="302">
        <v>0</v>
      </c>
      <c r="Y101" s="302">
        <v>0</v>
      </c>
      <c r="Z101" s="302">
        <v>0</v>
      </c>
      <c r="AA101" s="302">
        <v>0</v>
      </c>
      <c r="AB101" s="302">
        <v>0</v>
      </c>
      <c r="AC101" s="302">
        <v>0</v>
      </c>
      <c r="AD101" s="302">
        <v>0</v>
      </c>
      <c r="AE101" s="302">
        <v>0</v>
      </c>
      <c r="AF101" s="302">
        <v>0</v>
      </c>
      <c r="AG101" s="302">
        <v>0</v>
      </c>
      <c r="AH101" s="302">
        <v>0</v>
      </c>
      <c r="AI101" s="302">
        <v>0</v>
      </c>
      <c r="AJ101" s="302">
        <v>0</v>
      </c>
      <c r="AK101" s="302">
        <v>0</v>
      </c>
      <c r="AL101" s="302">
        <v>0</v>
      </c>
      <c r="AM101" s="302">
        <v>0</v>
      </c>
      <c r="AN101" s="302">
        <v>0</v>
      </c>
      <c r="AO101" s="302">
        <v>0</v>
      </c>
      <c r="AP101" s="302">
        <v>0</v>
      </c>
      <c r="AQ101" s="302">
        <v>0</v>
      </c>
      <c r="AR101" s="302">
        <v>0</v>
      </c>
      <c r="AS101" s="302">
        <v>0</v>
      </c>
      <c r="AT101" s="302">
        <v>0</v>
      </c>
      <c r="AU101" s="302">
        <v>0</v>
      </c>
      <c r="AV101" s="302">
        <v>0</v>
      </c>
      <c r="AW101" s="302">
        <v>0</v>
      </c>
      <c r="AX101" s="302">
        <v>0</v>
      </c>
      <c r="AY101" s="302">
        <v>0</v>
      </c>
      <c r="AZ101" s="302">
        <v>0</v>
      </c>
      <c r="BA101" s="302">
        <v>0</v>
      </c>
      <c r="BB101" s="302">
        <v>0</v>
      </c>
      <c r="BC101" s="302">
        <v>0</v>
      </c>
      <c r="BD101" s="302">
        <v>0</v>
      </c>
      <c r="BE101" s="302">
        <v>0</v>
      </c>
      <c r="BF101" s="302">
        <v>0</v>
      </c>
      <c r="BG101" s="302">
        <v>0</v>
      </c>
      <c r="BH101" s="302">
        <v>0</v>
      </c>
      <c r="BI101" s="302">
        <v>0</v>
      </c>
      <c r="BJ101" s="302"/>
    </row>
    <row r="102" spans="1:62" s="306" customFormat="1" ht="13.15" hidden="1" customHeight="1">
      <c r="A102" s="311"/>
      <c r="B102" s="310"/>
      <c r="C102" s="312"/>
      <c r="D102" s="2013"/>
      <c r="E102" s="3643" t="s">
        <v>242</v>
      </c>
      <c r="F102" s="297" t="s">
        <v>243</v>
      </c>
      <c r="G102" s="2020" t="s">
        <v>269</v>
      </c>
      <c r="H102" s="302">
        <f>H101/H$53</f>
        <v>0</v>
      </c>
      <c r="I102" s="302">
        <f>I101/I$53</f>
        <v>0</v>
      </c>
      <c r="J102" s="302">
        <f>J101/J$53</f>
        <v>0</v>
      </c>
      <c r="K102" s="302">
        <f>K101/K$53</f>
        <v>0</v>
      </c>
      <c r="L102" s="302">
        <f t="shared" ref="L102:V102" si="67">L101/L$53</f>
        <v>0</v>
      </c>
      <c r="M102" s="302">
        <f t="shared" si="67"/>
        <v>0</v>
      </c>
      <c r="N102" s="302">
        <f>N101/N$53</f>
        <v>0</v>
      </c>
      <c r="O102" s="302">
        <f>O101/O$53</f>
        <v>0</v>
      </c>
      <c r="P102" s="302">
        <f t="shared" si="67"/>
        <v>0</v>
      </c>
      <c r="Q102" s="302">
        <f t="shared" si="67"/>
        <v>0</v>
      </c>
      <c r="R102" s="302">
        <f>R101/R$53</f>
        <v>0</v>
      </c>
      <c r="S102" s="302">
        <f>S101/S$53</f>
        <v>0</v>
      </c>
      <c r="T102" s="302">
        <f>T101/T$53</f>
        <v>0</v>
      </c>
      <c r="U102" s="302">
        <f t="shared" si="67"/>
        <v>0</v>
      </c>
      <c r="V102" s="302">
        <f t="shared" si="67"/>
        <v>0</v>
      </c>
      <c r="W102" s="302">
        <f>W101/W$53</f>
        <v>0</v>
      </c>
      <c r="X102" s="302">
        <f t="shared" ref="X102:BI102" si="68">X101/X$53</f>
        <v>0</v>
      </c>
      <c r="Y102" s="302">
        <f t="shared" si="68"/>
        <v>0</v>
      </c>
      <c r="Z102" s="302">
        <f t="shared" si="68"/>
        <v>0</v>
      </c>
      <c r="AA102" s="302">
        <f t="shared" si="68"/>
        <v>0</v>
      </c>
      <c r="AB102" s="302">
        <f t="shared" si="68"/>
        <v>0</v>
      </c>
      <c r="AC102" s="302">
        <f t="shared" si="68"/>
        <v>0</v>
      </c>
      <c r="AD102" s="302">
        <f t="shared" si="68"/>
        <v>0</v>
      </c>
      <c r="AE102" s="302">
        <f t="shared" si="68"/>
        <v>0</v>
      </c>
      <c r="AF102" s="302">
        <f t="shared" si="68"/>
        <v>0</v>
      </c>
      <c r="AG102" s="302">
        <f t="shared" si="68"/>
        <v>0</v>
      </c>
      <c r="AH102" s="302">
        <f t="shared" si="68"/>
        <v>0</v>
      </c>
      <c r="AI102" s="302">
        <f t="shared" si="68"/>
        <v>0</v>
      </c>
      <c r="AJ102" s="302">
        <f t="shared" si="68"/>
        <v>0</v>
      </c>
      <c r="AK102" s="302">
        <f t="shared" si="68"/>
        <v>0</v>
      </c>
      <c r="AL102" s="302">
        <f t="shared" si="68"/>
        <v>0</v>
      </c>
      <c r="AM102" s="302">
        <f t="shared" si="68"/>
        <v>0</v>
      </c>
      <c r="AN102" s="302">
        <f t="shared" si="68"/>
        <v>0</v>
      </c>
      <c r="AO102" s="302">
        <f t="shared" si="68"/>
        <v>0</v>
      </c>
      <c r="AP102" s="302">
        <f t="shared" si="68"/>
        <v>0</v>
      </c>
      <c r="AQ102" s="302">
        <f t="shared" si="68"/>
        <v>0</v>
      </c>
      <c r="AR102" s="302">
        <f t="shared" si="68"/>
        <v>0</v>
      </c>
      <c r="AS102" s="302">
        <f t="shared" si="68"/>
        <v>0</v>
      </c>
      <c r="AT102" s="302">
        <f t="shared" si="68"/>
        <v>0</v>
      </c>
      <c r="AU102" s="302">
        <f t="shared" si="68"/>
        <v>0</v>
      </c>
      <c r="AV102" s="302">
        <f t="shared" si="68"/>
        <v>0</v>
      </c>
      <c r="AW102" s="302">
        <f t="shared" si="68"/>
        <v>0</v>
      </c>
      <c r="AX102" s="302">
        <f t="shared" si="68"/>
        <v>0</v>
      </c>
      <c r="AY102" s="302">
        <f t="shared" si="68"/>
        <v>0</v>
      </c>
      <c r="AZ102" s="302">
        <f t="shared" si="68"/>
        <v>0</v>
      </c>
      <c r="BA102" s="302">
        <f t="shared" si="68"/>
        <v>0</v>
      </c>
      <c r="BB102" s="302">
        <f t="shared" si="68"/>
        <v>0</v>
      </c>
      <c r="BC102" s="302">
        <f t="shared" si="68"/>
        <v>0</v>
      </c>
      <c r="BD102" s="302">
        <f t="shared" si="68"/>
        <v>0</v>
      </c>
      <c r="BE102" s="302">
        <f t="shared" si="68"/>
        <v>0</v>
      </c>
      <c r="BF102" s="302">
        <f t="shared" si="68"/>
        <v>0</v>
      </c>
      <c r="BG102" s="302">
        <f t="shared" si="68"/>
        <v>0</v>
      </c>
      <c r="BH102" s="302">
        <f t="shared" si="68"/>
        <v>0</v>
      </c>
      <c r="BI102" s="302">
        <f t="shared" si="68"/>
        <v>0</v>
      </c>
      <c r="BJ102" s="302"/>
    </row>
    <row r="103" spans="1:62" s="112" customFormat="1" ht="13.15" hidden="1" customHeight="1">
      <c r="A103" s="109"/>
      <c r="B103" s="130"/>
      <c r="C103" s="110"/>
      <c r="D103" s="2013"/>
      <c r="E103" s="3499"/>
      <c r="F103" s="111"/>
      <c r="G103" s="341"/>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row>
    <row r="104" spans="1:62" s="306" customFormat="1" ht="13.15" hidden="1" customHeight="1">
      <c r="A104" s="311"/>
      <c r="B104" s="310"/>
      <c r="C104" s="312"/>
      <c r="D104" s="2013"/>
      <c r="E104" s="3641" t="str">
        <f>E29</f>
        <v>Potentiel de diffusion dans l'air interstitiel  (rapporté à Csa)</v>
      </c>
      <c r="F104" s="297"/>
      <c r="G104" s="2020"/>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c r="BB104" s="302"/>
      <c r="BC104" s="302"/>
      <c r="BD104" s="302"/>
      <c r="BE104" s="302"/>
      <c r="BF104" s="302"/>
      <c r="BG104" s="302"/>
      <c r="BH104" s="302"/>
      <c r="BI104" s="302"/>
      <c r="BJ104" s="302"/>
    </row>
    <row r="105" spans="1:62" s="306" customFormat="1" ht="13.15" hidden="1" customHeight="1">
      <c r="A105" s="311"/>
      <c r="B105" s="310"/>
      <c r="C105" s="312"/>
      <c r="D105" s="2013"/>
      <c r="E105" s="3642" t="s">
        <v>475</v>
      </c>
      <c r="F105" s="297" t="s">
        <v>75</v>
      </c>
      <c r="G105" s="2020" t="s">
        <v>73</v>
      </c>
      <c r="H105" s="302">
        <v>0</v>
      </c>
      <c r="I105" s="302">
        <v>0</v>
      </c>
      <c r="J105" s="302">
        <v>0</v>
      </c>
      <c r="K105" s="302">
        <v>0.4</v>
      </c>
      <c r="L105" s="302">
        <v>0</v>
      </c>
      <c r="M105" s="302">
        <v>0</v>
      </c>
      <c r="N105" s="302">
        <v>0</v>
      </c>
      <c r="O105" s="302">
        <v>0</v>
      </c>
      <c r="P105" s="302">
        <v>0</v>
      </c>
      <c r="Q105" s="302">
        <v>0</v>
      </c>
      <c r="R105" s="302">
        <v>0</v>
      </c>
      <c r="S105" s="302">
        <v>0</v>
      </c>
      <c r="T105" s="302">
        <v>0</v>
      </c>
      <c r="U105" s="302">
        <v>0</v>
      </c>
      <c r="V105" s="302">
        <v>0</v>
      </c>
      <c r="W105" s="302">
        <v>0</v>
      </c>
      <c r="X105" s="302">
        <v>0</v>
      </c>
      <c r="Y105" s="302">
        <v>0</v>
      </c>
      <c r="Z105" s="302">
        <v>0</v>
      </c>
      <c r="AA105" s="302">
        <v>0</v>
      </c>
      <c r="AB105" s="302">
        <v>0</v>
      </c>
      <c r="AC105" s="302">
        <v>0</v>
      </c>
      <c r="AD105" s="302">
        <v>0</v>
      </c>
      <c r="AE105" s="302">
        <v>0</v>
      </c>
      <c r="AF105" s="302">
        <v>0</v>
      </c>
      <c r="AG105" s="302">
        <v>0</v>
      </c>
      <c r="AH105" s="302">
        <v>0</v>
      </c>
      <c r="AI105" s="302">
        <v>0</v>
      </c>
      <c r="AJ105" s="302">
        <v>0</v>
      </c>
      <c r="AK105" s="302">
        <v>0</v>
      </c>
      <c r="AL105" s="302">
        <v>0</v>
      </c>
      <c r="AM105" s="302">
        <v>0</v>
      </c>
      <c r="AN105" s="302">
        <v>0</v>
      </c>
      <c r="AO105" s="302">
        <v>0</v>
      </c>
      <c r="AP105" s="302">
        <v>0</v>
      </c>
      <c r="AQ105" s="302">
        <v>0</v>
      </c>
      <c r="AR105" s="302">
        <v>0</v>
      </c>
      <c r="AS105" s="302">
        <v>0</v>
      </c>
      <c r="AT105" s="302">
        <v>0</v>
      </c>
      <c r="AU105" s="302">
        <v>0</v>
      </c>
      <c r="AV105" s="302">
        <v>0</v>
      </c>
      <c r="AW105" s="302">
        <v>0</v>
      </c>
      <c r="AX105" s="302">
        <v>0</v>
      </c>
      <c r="AY105" s="302">
        <v>0</v>
      </c>
      <c r="AZ105" s="302">
        <v>0</v>
      </c>
      <c r="BA105" s="302">
        <v>0</v>
      </c>
      <c r="BB105" s="302">
        <v>0</v>
      </c>
      <c r="BC105" s="302">
        <v>0</v>
      </c>
      <c r="BD105" s="302">
        <v>0</v>
      </c>
      <c r="BE105" s="302">
        <v>0</v>
      </c>
      <c r="BF105" s="302">
        <v>0</v>
      </c>
      <c r="BG105" s="302">
        <v>0</v>
      </c>
      <c r="BH105" s="302">
        <v>0</v>
      </c>
      <c r="BI105" s="302">
        <v>0</v>
      </c>
      <c r="BJ105" s="302"/>
    </row>
    <row r="106" spans="1:62" s="306" customFormat="1" ht="13.15" hidden="1" customHeight="1">
      <c r="A106" s="311"/>
      <c r="B106" s="310"/>
      <c r="C106" s="312"/>
      <c r="D106" s="2013"/>
      <c r="E106" s="3643" t="s">
        <v>242</v>
      </c>
      <c r="F106" s="297" t="s">
        <v>243</v>
      </c>
      <c r="G106" s="2020" t="s">
        <v>269</v>
      </c>
      <c r="H106" s="302">
        <f>H105/H$59</f>
        <v>0</v>
      </c>
      <c r="I106" s="302">
        <f>I105/I$59</f>
        <v>0</v>
      </c>
      <c r="J106" s="302">
        <f>J105/J$59</f>
        <v>0</v>
      </c>
      <c r="K106" s="302">
        <f t="shared" ref="K106:V106" si="69">K105/K$59</f>
        <v>309438.08380137675</v>
      </c>
      <c r="L106" s="302">
        <f t="shared" si="69"/>
        <v>0</v>
      </c>
      <c r="M106" s="302">
        <f t="shared" si="69"/>
        <v>0</v>
      </c>
      <c r="N106" s="302">
        <f>N105/N$59</f>
        <v>0</v>
      </c>
      <c r="O106" s="302">
        <f>O105/O$59</f>
        <v>0</v>
      </c>
      <c r="P106" s="302">
        <f t="shared" si="69"/>
        <v>0</v>
      </c>
      <c r="Q106" s="302">
        <f t="shared" si="69"/>
        <v>0</v>
      </c>
      <c r="R106" s="302">
        <f>R105/R$59</f>
        <v>0</v>
      </c>
      <c r="S106" s="302">
        <f>S105/S$59</f>
        <v>0</v>
      </c>
      <c r="T106" s="302">
        <f>T105/T$59</f>
        <v>0</v>
      </c>
      <c r="U106" s="302">
        <f t="shared" si="69"/>
        <v>0</v>
      </c>
      <c r="V106" s="302">
        <f t="shared" si="69"/>
        <v>0</v>
      </c>
      <c r="W106" s="302">
        <f>W105/W$59</f>
        <v>0</v>
      </c>
      <c r="X106" s="302">
        <f t="shared" ref="X106:BI106" si="70">X105/X$59</f>
        <v>0</v>
      </c>
      <c r="Y106" s="302">
        <f t="shared" si="70"/>
        <v>0</v>
      </c>
      <c r="Z106" s="302">
        <f t="shared" si="70"/>
        <v>0</v>
      </c>
      <c r="AA106" s="302">
        <f t="shared" si="70"/>
        <v>0</v>
      </c>
      <c r="AB106" s="302">
        <f t="shared" si="70"/>
        <v>0</v>
      </c>
      <c r="AC106" s="302">
        <f t="shared" si="70"/>
        <v>0</v>
      </c>
      <c r="AD106" s="302">
        <f t="shared" si="70"/>
        <v>0</v>
      </c>
      <c r="AE106" s="302">
        <f t="shared" si="70"/>
        <v>0</v>
      </c>
      <c r="AF106" s="302">
        <f t="shared" si="70"/>
        <v>0</v>
      </c>
      <c r="AG106" s="302">
        <f t="shared" si="70"/>
        <v>0</v>
      </c>
      <c r="AH106" s="302">
        <f t="shared" si="70"/>
        <v>0</v>
      </c>
      <c r="AI106" s="302">
        <f t="shared" si="70"/>
        <v>0</v>
      </c>
      <c r="AJ106" s="302">
        <f t="shared" si="70"/>
        <v>0</v>
      </c>
      <c r="AK106" s="302">
        <f t="shared" si="70"/>
        <v>0</v>
      </c>
      <c r="AL106" s="302">
        <f t="shared" si="70"/>
        <v>0</v>
      </c>
      <c r="AM106" s="302">
        <f t="shared" si="70"/>
        <v>0</v>
      </c>
      <c r="AN106" s="302">
        <f t="shared" si="70"/>
        <v>0</v>
      </c>
      <c r="AO106" s="302">
        <f t="shared" si="70"/>
        <v>0</v>
      </c>
      <c r="AP106" s="302">
        <f t="shared" si="70"/>
        <v>0</v>
      </c>
      <c r="AQ106" s="302">
        <f t="shared" si="70"/>
        <v>0</v>
      </c>
      <c r="AR106" s="302">
        <f t="shared" si="70"/>
        <v>0</v>
      </c>
      <c r="AS106" s="302">
        <f t="shared" si="70"/>
        <v>0</v>
      </c>
      <c r="AT106" s="302">
        <f t="shared" si="70"/>
        <v>0</v>
      </c>
      <c r="AU106" s="302">
        <f t="shared" si="70"/>
        <v>0</v>
      </c>
      <c r="AV106" s="302">
        <f t="shared" si="70"/>
        <v>0</v>
      </c>
      <c r="AW106" s="302">
        <f t="shared" si="70"/>
        <v>0</v>
      </c>
      <c r="AX106" s="302">
        <f t="shared" si="70"/>
        <v>0</v>
      </c>
      <c r="AY106" s="302">
        <f t="shared" si="70"/>
        <v>0</v>
      </c>
      <c r="AZ106" s="302">
        <f t="shared" si="70"/>
        <v>0</v>
      </c>
      <c r="BA106" s="302">
        <f t="shared" si="70"/>
        <v>0</v>
      </c>
      <c r="BB106" s="302">
        <f t="shared" si="70"/>
        <v>0</v>
      </c>
      <c r="BC106" s="302">
        <f t="shared" si="70"/>
        <v>0</v>
      </c>
      <c r="BD106" s="302">
        <f t="shared" si="70"/>
        <v>0</v>
      </c>
      <c r="BE106" s="302">
        <f t="shared" si="70"/>
        <v>0</v>
      </c>
      <c r="BF106" s="302">
        <f t="shared" si="70"/>
        <v>0</v>
      </c>
      <c r="BG106" s="302">
        <f t="shared" si="70"/>
        <v>0</v>
      </c>
      <c r="BH106" s="302">
        <f t="shared" si="70"/>
        <v>0</v>
      </c>
      <c r="BI106" s="302">
        <f t="shared" si="70"/>
        <v>0</v>
      </c>
      <c r="BJ106" s="302"/>
    </row>
    <row r="107" spans="1:62" s="306" customFormat="1" ht="13.15" hidden="1" customHeight="1">
      <c r="A107" s="311"/>
      <c r="B107" s="310"/>
      <c r="C107" s="312"/>
      <c r="D107" s="2013"/>
      <c r="E107" s="326"/>
      <c r="F107" s="297"/>
      <c r="G107" s="2020"/>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c r="BI107" s="302"/>
      <c r="BJ107" s="302"/>
    </row>
    <row r="108" spans="1:62" s="306" customFormat="1" ht="13.15" customHeight="1">
      <c r="A108" s="311"/>
      <c r="B108" s="310"/>
      <c r="C108" s="312"/>
      <c r="D108" s="2013"/>
      <c r="E108" s="521" t="s">
        <v>1288</v>
      </c>
      <c r="F108" s="297" t="s">
        <v>115</v>
      </c>
      <c r="G108" s="2020" t="s">
        <v>73</v>
      </c>
      <c r="H108" s="342">
        <f>H88+H92+H96+H101</f>
        <v>0.44</v>
      </c>
      <c r="I108" s="342">
        <f>I88+I92+I96+I101</f>
        <v>0.44</v>
      </c>
      <c r="J108" s="342">
        <f>J88+J92+J96+J101</f>
        <v>0.44</v>
      </c>
      <c r="K108" s="342">
        <f>K88+K92+K96+K101</f>
        <v>0.44</v>
      </c>
      <c r="L108" s="342">
        <f t="shared" ref="L108:BI108" si="71">L88+L92+L96+L101</f>
        <v>0.44</v>
      </c>
      <c r="M108" s="342">
        <f t="shared" si="71"/>
        <v>0.44</v>
      </c>
      <c r="N108" s="342">
        <f>N88+N92+N96+N101</f>
        <v>0.44</v>
      </c>
      <c r="O108" s="342">
        <f>O88+O92+O96+O101</f>
        <v>0.44</v>
      </c>
      <c r="P108" s="342">
        <f t="shared" si="71"/>
        <v>0.44</v>
      </c>
      <c r="Q108" s="342">
        <f t="shared" si="71"/>
        <v>0.44</v>
      </c>
      <c r="R108" s="342">
        <f t="shared" ref="R108:T109" si="72">R88+R92+R96+R101</f>
        <v>0.44</v>
      </c>
      <c r="S108" s="342">
        <f t="shared" si="72"/>
        <v>0.44</v>
      </c>
      <c r="T108" s="342">
        <f t="shared" si="72"/>
        <v>0.44</v>
      </c>
      <c r="U108" s="342">
        <f t="shared" si="71"/>
        <v>0.44</v>
      </c>
      <c r="V108" s="342">
        <f t="shared" si="71"/>
        <v>0.44</v>
      </c>
      <c r="W108" s="342">
        <f t="shared" si="71"/>
        <v>0.44</v>
      </c>
      <c r="X108" s="342">
        <f t="shared" si="71"/>
        <v>0.44</v>
      </c>
      <c r="Y108" s="342">
        <f t="shared" si="71"/>
        <v>0.44</v>
      </c>
      <c r="Z108" s="342">
        <f t="shared" si="71"/>
        <v>0.44</v>
      </c>
      <c r="AA108" s="342">
        <f t="shared" si="71"/>
        <v>0.44</v>
      </c>
      <c r="AB108" s="342">
        <f t="shared" si="71"/>
        <v>0.44</v>
      </c>
      <c r="AC108" s="342">
        <f t="shared" si="71"/>
        <v>0.44</v>
      </c>
      <c r="AD108" s="342">
        <f t="shared" si="71"/>
        <v>0.44</v>
      </c>
      <c r="AE108" s="342">
        <f t="shared" si="71"/>
        <v>0.44</v>
      </c>
      <c r="AF108" s="342">
        <f t="shared" si="71"/>
        <v>0.44</v>
      </c>
      <c r="AG108" s="342">
        <f t="shared" si="71"/>
        <v>0.44</v>
      </c>
      <c r="AH108" s="342">
        <f t="shared" si="71"/>
        <v>0.44</v>
      </c>
      <c r="AI108" s="342">
        <f t="shared" si="71"/>
        <v>0.44</v>
      </c>
      <c r="AJ108" s="342">
        <f t="shared" si="71"/>
        <v>0.44</v>
      </c>
      <c r="AK108" s="342">
        <f t="shared" si="71"/>
        <v>0.44</v>
      </c>
      <c r="AL108" s="342">
        <f t="shared" si="71"/>
        <v>0.44</v>
      </c>
      <c r="AM108" s="342">
        <f t="shared" si="71"/>
        <v>0.44</v>
      </c>
      <c r="AN108" s="342">
        <f t="shared" si="71"/>
        <v>0.44</v>
      </c>
      <c r="AO108" s="342">
        <f t="shared" si="71"/>
        <v>0.44</v>
      </c>
      <c r="AP108" s="342">
        <f t="shared" si="71"/>
        <v>0.44</v>
      </c>
      <c r="AQ108" s="342">
        <f t="shared" si="71"/>
        <v>0.44</v>
      </c>
      <c r="AR108" s="342">
        <f t="shared" si="71"/>
        <v>0.44</v>
      </c>
      <c r="AS108" s="342">
        <f t="shared" si="71"/>
        <v>0.44</v>
      </c>
      <c r="AT108" s="342">
        <f t="shared" si="71"/>
        <v>0.44</v>
      </c>
      <c r="AU108" s="342">
        <f t="shared" si="71"/>
        <v>0.44</v>
      </c>
      <c r="AV108" s="342">
        <f t="shared" si="71"/>
        <v>0.44</v>
      </c>
      <c r="AW108" s="342">
        <f t="shared" si="71"/>
        <v>0.44</v>
      </c>
      <c r="AX108" s="342">
        <f t="shared" si="71"/>
        <v>0.44</v>
      </c>
      <c r="AY108" s="342">
        <f t="shared" si="71"/>
        <v>0.44</v>
      </c>
      <c r="AZ108" s="342">
        <f t="shared" si="71"/>
        <v>0.44</v>
      </c>
      <c r="BA108" s="342">
        <f t="shared" si="71"/>
        <v>0.44</v>
      </c>
      <c r="BB108" s="342">
        <f t="shared" si="71"/>
        <v>0.44</v>
      </c>
      <c r="BC108" s="342">
        <f t="shared" si="71"/>
        <v>0.44</v>
      </c>
      <c r="BD108" s="342">
        <f t="shared" si="71"/>
        <v>0.44</v>
      </c>
      <c r="BE108" s="342">
        <f t="shared" si="71"/>
        <v>0.44</v>
      </c>
      <c r="BF108" s="342">
        <f t="shared" si="71"/>
        <v>0.44</v>
      </c>
      <c r="BG108" s="342">
        <f t="shared" si="71"/>
        <v>0.44</v>
      </c>
      <c r="BH108" s="342">
        <f t="shared" si="71"/>
        <v>0.44</v>
      </c>
      <c r="BI108" s="342">
        <f t="shared" si="71"/>
        <v>0.44</v>
      </c>
      <c r="BJ108" s="342"/>
    </row>
    <row r="109" spans="1:62" s="708" customFormat="1">
      <c r="A109" s="702"/>
      <c r="B109" s="703"/>
      <c r="C109" s="704"/>
      <c r="D109" s="2013"/>
      <c r="E109" s="705" t="s">
        <v>116</v>
      </c>
      <c r="F109" s="706" t="s">
        <v>246</v>
      </c>
      <c r="G109" s="976" t="s">
        <v>269</v>
      </c>
      <c r="H109" s="707">
        <f>H89+H93+H97+H102</f>
        <v>1504.0539288002792</v>
      </c>
      <c r="I109" s="707">
        <f>I89+I93+I97+I102</f>
        <v>1504.0539288002792</v>
      </c>
      <c r="J109" s="707">
        <f>J89+J93+J97+J102</f>
        <v>1463.2667135157599</v>
      </c>
      <c r="K109" s="707">
        <f t="shared" ref="K109:BI109" si="73">K89+K93+K97+K102</f>
        <v>727.45432310697856</v>
      </c>
      <c r="L109" s="707">
        <f t="shared" si="73"/>
        <v>1047.6923675182029</v>
      </c>
      <c r="M109" s="707">
        <f t="shared" si="73"/>
        <v>1047.6923675182029</v>
      </c>
      <c r="N109" s="707">
        <f>N89+N93+N97+N102</f>
        <v>976.07795252328754</v>
      </c>
      <c r="O109" s="707">
        <f>O89+O93+O97+O102</f>
        <v>976.07795252328754</v>
      </c>
      <c r="P109" s="707">
        <f t="shared" si="73"/>
        <v>1070.9744201297185</v>
      </c>
      <c r="Q109" s="707">
        <f t="shared" si="73"/>
        <v>1070.9744201297185</v>
      </c>
      <c r="R109" s="707">
        <f t="shared" si="72"/>
        <v>75.598194362097757</v>
      </c>
      <c r="S109" s="707">
        <f t="shared" si="72"/>
        <v>741.44382932057442</v>
      </c>
      <c r="T109" s="707">
        <f t="shared" si="72"/>
        <v>741.44382932057442</v>
      </c>
      <c r="U109" s="707">
        <f t="shared" si="73"/>
        <v>988.59177242743249</v>
      </c>
      <c r="V109" s="707">
        <f t="shared" si="73"/>
        <v>2707.3782404281328</v>
      </c>
      <c r="W109" s="707">
        <f t="shared" si="73"/>
        <v>2707.3782404281328</v>
      </c>
      <c r="X109" s="707">
        <f t="shared" si="73"/>
        <v>941.00532100889154</v>
      </c>
      <c r="Y109" s="707">
        <f t="shared" si="73"/>
        <v>1047.5342252740493</v>
      </c>
      <c r="Z109" s="707">
        <f t="shared" si="73"/>
        <v>1142.372714805033</v>
      </c>
      <c r="AA109" s="707">
        <f t="shared" si="73"/>
        <v>1142.372714805033</v>
      </c>
      <c r="AB109" s="707">
        <f t="shared" si="73"/>
        <v>2435.0576289265173</v>
      </c>
      <c r="AC109" s="707">
        <f t="shared" si="73"/>
        <v>2637.9790980037278</v>
      </c>
      <c r="AD109" s="707">
        <f t="shared" si="73"/>
        <v>3043.8220361581466</v>
      </c>
      <c r="AE109" s="707">
        <f t="shared" si="73"/>
        <v>3855.507912466986</v>
      </c>
      <c r="AF109" s="707">
        <f t="shared" si="73"/>
        <v>4870.1152578530346</v>
      </c>
      <c r="AG109" s="707">
        <f t="shared" si="73"/>
        <v>1643.6638995253995</v>
      </c>
      <c r="AH109" s="707">
        <f t="shared" si="73"/>
        <v>2029.214690772098</v>
      </c>
      <c r="AI109" s="707">
        <f t="shared" si="73"/>
        <v>2637.9790980037278</v>
      </c>
      <c r="AJ109" s="707">
        <f t="shared" si="73"/>
        <v>3246.7435052353571</v>
      </c>
      <c r="AK109" s="707">
        <f t="shared" si="73"/>
        <v>4058.4293815441961</v>
      </c>
      <c r="AL109" s="707">
        <f t="shared" si="73"/>
        <v>5478.8796650846643</v>
      </c>
      <c r="AM109" s="707">
        <f t="shared" si="73"/>
        <v>6493.4870104707143</v>
      </c>
      <c r="AN109" s="707">
        <f t="shared" si="73"/>
        <v>2601.2503121007526</v>
      </c>
      <c r="AO109" s="707">
        <f t="shared" si="73"/>
        <v>3088.4647593551335</v>
      </c>
      <c r="AP109" s="707">
        <f t="shared" si="73"/>
        <v>3129.2519746396524</v>
      </c>
      <c r="AQ109" s="707">
        <f t="shared" si="73"/>
        <v>3372.554816063227</v>
      </c>
      <c r="AR109" s="707">
        <f t="shared" si="73"/>
        <v>3616.0605789558786</v>
      </c>
      <c r="AS109" s="707">
        <f t="shared" si="73"/>
        <v>3616.0605789558786</v>
      </c>
      <c r="AT109" s="707">
        <f t="shared" si="73"/>
        <v>4105.1013194319548</v>
      </c>
      <c r="AU109" s="707">
        <f t="shared" si="73"/>
        <v>4105.1013194319548</v>
      </c>
      <c r="AV109" s="707">
        <f t="shared" si="73"/>
        <v>4632.6971390326999</v>
      </c>
      <c r="AW109" s="707">
        <f t="shared" si="73"/>
        <v>4632.6971390326999</v>
      </c>
      <c r="AX109" s="707">
        <f t="shared" si="73"/>
        <v>5120.1145077561578</v>
      </c>
      <c r="AY109" s="707">
        <f t="shared" si="73"/>
        <v>5120.1145077561578</v>
      </c>
      <c r="AZ109" s="707">
        <f t="shared" si="73"/>
        <v>5119.7086648180029</v>
      </c>
      <c r="BA109" s="707">
        <f t="shared" si="73"/>
        <v>5649.3336991095202</v>
      </c>
      <c r="BB109" s="707">
        <f t="shared" si="73"/>
        <v>5445.6005441560028</v>
      </c>
      <c r="BC109" s="707">
        <f t="shared" si="73"/>
        <v>5606.720190603306</v>
      </c>
      <c r="BD109" s="707">
        <f t="shared" si="73"/>
        <v>940.36778352853321</v>
      </c>
      <c r="BE109" s="707">
        <f t="shared" si="73"/>
        <v>5225.2278287381523</v>
      </c>
      <c r="BF109" s="707">
        <f t="shared" si="73"/>
        <v>5225.2278287381523</v>
      </c>
      <c r="BG109" s="707">
        <f t="shared" si="73"/>
        <v>2511.7315390664407</v>
      </c>
      <c r="BH109" s="707">
        <f t="shared" si="73"/>
        <v>1427.9658935062912</v>
      </c>
      <c r="BI109" s="707">
        <f t="shared" si="73"/>
        <v>458.98903719845077</v>
      </c>
      <c r="BJ109" s="707"/>
    </row>
    <row r="110" spans="1:62" s="306" customFormat="1">
      <c r="A110" s="313"/>
      <c r="B110" s="328"/>
      <c r="C110" s="312"/>
      <c r="D110" s="2013"/>
      <c r="E110" s="327" t="s">
        <v>639</v>
      </c>
      <c r="F110" s="329" t="s">
        <v>286</v>
      </c>
      <c r="G110" s="2020" t="s">
        <v>269</v>
      </c>
      <c r="H110" s="301">
        <f>H93+H97+H102</f>
        <v>667.0706166719832</v>
      </c>
      <c r="I110" s="301">
        <f>I93+I97+I102</f>
        <v>667.0706166719832</v>
      </c>
      <c r="J110" s="301">
        <f>J93+J97+J102</f>
        <v>648.98087113082443</v>
      </c>
      <c r="K110" s="301">
        <f t="shared" ref="K110:BI110" si="74">K93+K97+K102</f>
        <v>322.63697107107492</v>
      </c>
      <c r="L110" s="301">
        <f t="shared" si="74"/>
        <v>464.66737681431988</v>
      </c>
      <c r="M110" s="301">
        <f t="shared" si="74"/>
        <v>464.66737681431988</v>
      </c>
      <c r="N110" s="301">
        <f>N93+N97+N102</f>
        <v>432.90530295612587</v>
      </c>
      <c r="O110" s="301">
        <f>O93+O97+O102</f>
        <v>432.90530295612587</v>
      </c>
      <c r="P110" s="301">
        <f t="shared" si="74"/>
        <v>474.99331852130484</v>
      </c>
      <c r="Q110" s="301">
        <f t="shared" si="74"/>
        <v>474.99331852130484</v>
      </c>
      <c r="R110" s="301">
        <f>R93+R97+R102</f>
        <v>33.528940130915629</v>
      </c>
      <c r="S110" s="301">
        <f>S93+S97+S102</f>
        <v>328.84152820705719</v>
      </c>
      <c r="T110" s="301">
        <f>T93+T97+T102</f>
        <v>328.84152820705719</v>
      </c>
      <c r="U110" s="301">
        <f t="shared" si="74"/>
        <v>438.45537094274289</v>
      </c>
      <c r="V110" s="301">
        <f t="shared" si="74"/>
        <v>1200.7631095031838</v>
      </c>
      <c r="W110" s="301">
        <f t="shared" si="74"/>
        <v>1200.7631095031838</v>
      </c>
      <c r="X110" s="301">
        <f t="shared" si="74"/>
        <v>417.35006156177013</v>
      </c>
      <c r="Y110" s="301">
        <f t="shared" si="74"/>
        <v>464.59723834234796</v>
      </c>
      <c r="Z110" s="301">
        <f t="shared" si="74"/>
        <v>506.65953975605851</v>
      </c>
      <c r="AA110" s="301">
        <f t="shared" si="74"/>
        <v>506.65953975605851</v>
      </c>
      <c r="AB110" s="301">
        <f t="shared" si="74"/>
        <v>1079.9848084273876</v>
      </c>
      <c r="AC110" s="301">
        <f t="shared" si="74"/>
        <v>1169.9835424630035</v>
      </c>
      <c r="AD110" s="301">
        <f t="shared" si="74"/>
        <v>1349.9810105342344</v>
      </c>
      <c r="AE110" s="301">
        <f t="shared" si="74"/>
        <v>1709.9759466766973</v>
      </c>
      <c r="AF110" s="301">
        <f t="shared" si="74"/>
        <v>2159.9696168547753</v>
      </c>
      <c r="AG110" s="301">
        <f t="shared" si="74"/>
        <v>728.98974568848678</v>
      </c>
      <c r="AH110" s="301">
        <f t="shared" si="74"/>
        <v>899.98734035615644</v>
      </c>
      <c r="AI110" s="301">
        <f t="shared" si="74"/>
        <v>1169.9835424630035</v>
      </c>
      <c r="AJ110" s="301">
        <f t="shared" si="74"/>
        <v>1439.9797445698503</v>
      </c>
      <c r="AK110" s="301">
        <f t="shared" si="74"/>
        <v>1799.9746807123129</v>
      </c>
      <c r="AL110" s="301">
        <f t="shared" si="74"/>
        <v>2429.9658189616221</v>
      </c>
      <c r="AM110" s="301">
        <f t="shared" si="74"/>
        <v>2879.9594891397005</v>
      </c>
      <c r="AN110" s="301">
        <f t="shared" si="74"/>
        <v>1153.693771602557</v>
      </c>
      <c r="AO110" s="301">
        <f t="shared" si="74"/>
        <v>1369.7807320220702</v>
      </c>
      <c r="AP110" s="301">
        <f t="shared" si="74"/>
        <v>1387.8704775632289</v>
      </c>
      <c r="AQ110" s="301">
        <f t="shared" si="74"/>
        <v>1495.7789596719319</v>
      </c>
      <c r="AR110" s="301">
        <f t="shared" si="74"/>
        <v>1603.7774405146708</v>
      </c>
      <c r="AS110" s="301">
        <f t="shared" si="74"/>
        <v>1603.7774405146708</v>
      </c>
      <c r="AT110" s="301">
        <f t="shared" si="74"/>
        <v>1820.6743895405045</v>
      </c>
      <c r="AU110" s="301">
        <f t="shared" si="74"/>
        <v>1820.6743895405045</v>
      </c>
      <c r="AV110" s="301">
        <f t="shared" si="74"/>
        <v>2054.6710980331054</v>
      </c>
      <c r="AW110" s="301">
        <f t="shared" si="74"/>
        <v>2054.6710980331054</v>
      </c>
      <c r="AX110" s="301">
        <f t="shared" si="74"/>
        <v>2270.8480571866539</v>
      </c>
      <c r="AY110" s="301">
        <f t="shared" si="74"/>
        <v>2270.8480571866539</v>
      </c>
      <c r="AZ110" s="301">
        <f t="shared" si="74"/>
        <v>2270.6680597185828</v>
      </c>
      <c r="BA110" s="301">
        <f t="shared" si="74"/>
        <v>2505.5647555515393</v>
      </c>
      <c r="BB110" s="301">
        <f t="shared" si="74"/>
        <v>2415.2060265797813</v>
      </c>
      <c r="BC110" s="301">
        <f t="shared" si="74"/>
        <v>2486.6650214040601</v>
      </c>
      <c r="BD110" s="301">
        <f t="shared" si="74"/>
        <v>417.0673040674871</v>
      </c>
      <c r="BE110" s="301">
        <f t="shared" si="74"/>
        <v>2317.4674014171028</v>
      </c>
      <c r="BF110" s="301">
        <f t="shared" si="74"/>
        <v>2317.4674014171028</v>
      </c>
      <c r="BG110" s="301">
        <f t="shared" si="74"/>
        <v>1113.9908447405194</v>
      </c>
      <c r="BH110" s="301">
        <f t="shared" si="74"/>
        <v>633.32442469507305</v>
      </c>
      <c r="BI110" s="301">
        <f t="shared" si="74"/>
        <v>203.56856508055921</v>
      </c>
      <c r="BJ110" s="301"/>
    </row>
    <row r="111" spans="1:62" ht="13.5" thickBot="1">
      <c r="A111" s="297"/>
      <c r="B111" s="299"/>
      <c r="C111" s="299"/>
      <c r="D111" s="3618"/>
      <c r="E111" s="2021" t="s">
        <v>241</v>
      </c>
      <c r="F111" s="303" t="s">
        <v>244</v>
      </c>
      <c r="G111" s="2022" t="str">
        <f>Substances!$G$24</f>
        <v>(mg/m2/s)/(mg/l/m)</v>
      </c>
      <c r="H111" s="304">
        <f t="shared" ref="H111:W111" si="75">$H108/H109</f>
        <v>2.9254270181054584E-4</v>
      </c>
      <c r="I111" s="304">
        <f t="shared" si="75"/>
        <v>2.9254270181054584E-4</v>
      </c>
      <c r="J111" s="304">
        <f>$H108/J109</f>
        <v>3.0069706085421798E-4</v>
      </c>
      <c r="K111" s="304">
        <f t="shared" si="75"/>
        <v>6.0484897267603992E-4</v>
      </c>
      <c r="L111" s="304">
        <f t="shared" si="75"/>
        <v>4.1997060744298619E-4</v>
      </c>
      <c r="M111" s="304">
        <f t="shared" si="75"/>
        <v>4.1997060744298619E-4</v>
      </c>
      <c r="N111" s="304">
        <f>$H108/N109</f>
        <v>4.507836683151619E-4</v>
      </c>
      <c r="O111" s="304">
        <f>$H108/O109</f>
        <v>4.507836683151619E-4</v>
      </c>
      <c r="P111" s="304">
        <f t="shared" si="75"/>
        <v>4.1084081162900824E-4</v>
      </c>
      <c r="Q111" s="304">
        <f t="shared" si="75"/>
        <v>4.1084081162900824E-4</v>
      </c>
      <c r="R111" s="304">
        <f>$H108/R109</f>
        <v>5.8202448314109518E-3</v>
      </c>
      <c r="S111" s="304">
        <f>$H108/S109</f>
        <v>5.9343672790856743E-4</v>
      </c>
      <c r="T111" s="304">
        <f>$H108/T109</f>
        <v>5.9343672790856743E-4</v>
      </c>
      <c r="U111" s="304">
        <f t="shared" si="75"/>
        <v>4.4507754593142555E-4</v>
      </c>
      <c r="V111" s="304">
        <f t="shared" si="75"/>
        <v>1.6251885068353816E-4</v>
      </c>
      <c r="W111" s="304">
        <f t="shared" si="75"/>
        <v>1.6251885068353816E-4</v>
      </c>
      <c r="X111" s="304">
        <f t="shared" ref="X111:BI111" si="76">$H108/X109</f>
        <v>4.6758502866727408E-4</v>
      </c>
      <c r="Y111" s="304">
        <f t="shared" si="76"/>
        <v>4.2003400880280545E-4</v>
      </c>
      <c r="Z111" s="304">
        <f t="shared" si="76"/>
        <v>3.8516326090219525E-4</v>
      </c>
      <c r="AA111" s="304">
        <f t="shared" si="76"/>
        <v>3.8516326090219525E-4</v>
      </c>
      <c r="AB111" s="304">
        <f t="shared" si="76"/>
        <v>1.8069387548498052E-4</v>
      </c>
      <c r="AC111" s="304">
        <f t="shared" si="76"/>
        <v>1.6679434660152044E-4</v>
      </c>
      <c r="AD111" s="304">
        <f t="shared" si="76"/>
        <v>1.4455510038798443E-4</v>
      </c>
      <c r="AE111" s="304">
        <f t="shared" si="76"/>
        <v>1.1412244767472452E-4</v>
      </c>
      <c r="AF111" s="304">
        <f t="shared" si="76"/>
        <v>9.0346937742490259E-5</v>
      </c>
      <c r="AG111" s="304">
        <f t="shared" si="76"/>
        <v>2.676946303481192E-4</v>
      </c>
      <c r="AH111" s="304">
        <f t="shared" si="76"/>
        <v>2.1683265058197658E-4</v>
      </c>
      <c r="AI111" s="304">
        <f t="shared" si="76"/>
        <v>1.6679434660152044E-4</v>
      </c>
      <c r="AJ111" s="304">
        <f t="shared" si="76"/>
        <v>1.3552040661373536E-4</v>
      </c>
      <c r="AK111" s="304">
        <f t="shared" si="76"/>
        <v>1.0841632529098829E-4</v>
      </c>
      <c r="AL111" s="304">
        <f t="shared" si="76"/>
        <v>8.0308389104435783E-5</v>
      </c>
      <c r="AM111" s="304">
        <f t="shared" si="76"/>
        <v>6.7760203306867681E-5</v>
      </c>
      <c r="AN111" s="304">
        <f t="shared" si="76"/>
        <v>1.6914942708633792E-4</v>
      </c>
      <c r="AO111" s="304">
        <f t="shared" si="76"/>
        <v>1.424656048501817E-4</v>
      </c>
      <c r="AP111" s="304">
        <f t="shared" si="76"/>
        <v>1.4060868334218052E-4</v>
      </c>
      <c r="AQ111" s="304">
        <f t="shared" si="76"/>
        <v>1.3046489204691732E-4</v>
      </c>
      <c r="AR111" s="304">
        <f t="shared" si="76"/>
        <v>1.216793774309633E-4</v>
      </c>
      <c r="AS111" s="304">
        <f t="shared" si="76"/>
        <v>1.216793774309633E-4</v>
      </c>
      <c r="AT111" s="304">
        <f t="shared" si="76"/>
        <v>1.0718371259613276E-4</v>
      </c>
      <c r="AU111" s="304">
        <f t="shared" si="76"/>
        <v>1.0718371259613276E-4</v>
      </c>
      <c r="AV111" s="304">
        <f t="shared" si="76"/>
        <v>9.4977069900121155E-5</v>
      </c>
      <c r="AW111" s="304">
        <f t="shared" si="76"/>
        <v>9.4977069900121155E-5</v>
      </c>
      <c r="AX111" s="304">
        <f t="shared" si="76"/>
        <v>8.5935578068316654E-5</v>
      </c>
      <c r="AY111" s="304">
        <f t="shared" si="76"/>
        <v>8.5935578068316654E-5</v>
      </c>
      <c r="AZ111" s="304">
        <f t="shared" si="76"/>
        <v>8.5942390242559104E-5</v>
      </c>
      <c r="BA111" s="304">
        <f t="shared" si="76"/>
        <v>7.7885291157319192E-5</v>
      </c>
      <c r="BB111" s="304">
        <f t="shared" si="76"/>
        <v>8.0799169243544699E-5</v>
      </c>
      <c r="BC111" s="304">
        <f t="shared" si="76"/>
        <v>7.8477253196517058E-5</v>
      </c>
      <c r="BD111" s="304">
        <f t="shared" si="76"/>
        <v>4.6790203546637053E-4</v>
      </c>
      <c r="BE111" s="304">
        <f t="shared" si="76"/>
        <v>8.4206854594942365E-5</v>
      </c>
      <c r="BF111" s="304">
        <f t="shared" si="76"/>
        <v>8.4206854594942365E-5</v>
      </c>
      <c r="BG111" s="304">
        <f t="shared" si="76"/>
        <v>1.7517795718070212E-4</v>
      </c>
      <c r="BH111" s="304">
        <f t="shared" si="76"/>
        <v>3.0813060872175621E-4</v>
      </c>
      <c r="BI111" s="304">
        <f t="shared" si="76"/>
        <v>9.5862856046768593E-4</v>
      </c>
      <c r="BJ111" s="304"/>
    </row>
    <row r="112" spans="1:62" s="3625" customFormat="1" ht="15" customHeight="1" thickBot="1">
      <c r="A112" s="3619"/>
      <c r="B112" s="3620"/>
      <c r="C112" s="3620"/>
      <c r="D112" s="3619"/>
      <c r="E112" s="3621" t="s">
        <v>661</v>
      </c>
      <c r="F112" s="3622" t="s">
        <v>644</v>
      </c>
      <c r="G112" s="3623" t="s">
        <v>35</v>
      </c>
      <c r="H112" s="3624">
        <f t="shared" ref="H112:AM112" si="77">H84/H109</f>
        <v>0.84764795796748849</v>
      </c>
      <c r="I112" s="3624">
        <f t="shared" si="77"/>
        <v>0.84764795796748849</v>
      </c>
      <c r="J112" s="3624">
        <f t="shared" si="77"/>
        <v>0.94752302576908209</v>
      </c>
      <c r="K112" s="3624">
        <f t="shared" si="77"/>
        <v>0.96839333471966327</v>
      </c>
      <c r="L112" s="3624">
        <f t="shared" si="77"/>
        <v>0.96783097055878586</v>
      </c>
      <c r="M112" s="3624">
        <f t="shared" si="77"/>
        <v>0.96783097055878586</v>
      </c>
      <c r="N112" s="3624">
        <f t="shared" si="77"/>
        <v>0.96826495719763495</v>
      </c>
      <c r="O112" s="3624">
        <f t="shared" si="77"/>
        <v>0.96826495719763495</v>
      </c>
      <c r="P112" s="3624">
        <f t="shared" si="77"/>
        <v>0.96832240260981006</v>
      </c>
      <c r="Q112" s="3624">
        <f t="shared" si="77"/>
        <v>0.96832240260981006</v>
      </c>
      <c r="R112" s="3624">
        <f t="shared" si="77"/>
        <v>0.96836832584133214</v>
      </c>
      <c r="S112" s="3624">
        <f t="shared" si="77"/>
        <v>0.96800966586128134</v>
      </c>
      <c r="T112" s="3624">
        <f t="shared" si="77"/>
        <v>0.96800966586128134</v>
      </c>
      <c r="U112" s="3624">
        <f t="shared" si="77"/>
        <v>0.96833542551044416</v>
      </c>
      <c r="V112" s="3624">
        <f t="shared" si="77"/>
        <v>0.96838148825444936</v>
      </c>
      <c r="W112" s="3624">
        <f t="shared" si="77"/>
        <v>0.96838148825444936</v>
      </c>
      <c r="X112" s="3624">
        <f t="shared" si="77"/>
        <v>0.96813594260802205</v>
      </c>
      <c r="Y112" s="3624">
        <f t="shared" si="77"/>
        <v>0.9681708416429039</v>
      </c>
      <c r="Z112" s="3624">
        <f t="shared" si="77"/>
        <v>0.96821188764761346</v>
      </c>
      <c r="AA112" s="3624">
        <f t="shared" si="77"/>
        <v>0.96814137963363489</v>
      </c>
      <c r="AB112" s="3624">
        <f t="shared" si="77"/>
        <v>0.96829500934007917</v>
      </c>
      <c r="AC112" s="3624">
        <f t="shared" si="77"/>
        <v>0.96804413406068035</v>
      </c>
      <c r="AD112" s="3624">
        <f t="shared" si="77"/>
        <v>0.96746324880193779</v>
      </c>
      <c r="AE112" s="3624">
        <f t="shared" si="77"/>
        <v>0.96459731161930884</v>
      </c>
      <c r="AF112" s="3624">
        <f t="shared" si="77"/>
        <v>0.89961529660503037</v>
      </c>
      <c r="AG112" s="3624">
        <f t="shared" si="77"/>
        <v>0.9683968454481412</v>
      </c>
      <c r="AH112" s="3624">
        <f t="shared" si="77"/>
        <v>0.96839735656159476</v>
      </c>
      <c r="AI112" s="3624">
        <f t="shared" si="77"/>
        <v>0.96839772862246254</v>
      </c>
      <c r="AJ112" s="3624">
        <f t="shared" si="77"/>
        <v>0.96839793532306828</v>
      </c>
      <c r="AK112" s="3624">
        <f t="shared" si="77"/>
        <v>0.96839825332417251</v>
      </c>
      <c r="AL112" s="3624">
        <f t="shared" si="77"/>
        <v>0.96839833860042257</v>
      </c>
      <c r="AM112" s="3624">
        <f t="shared" si="77"/>
        <v>0.96839834376372458</v>
      </c>
      <c r="AN112" s="3624">
        <f t="shared" ref="AN112:BI112" si="78">AN84/AN109</f>
        <v>0.95667404330750927</v>
      </c>
      <c r="AO112" s="3624">
        <f t="shared" si="78"/>
        <v>0.95398250301577081</v>
      </c>
      <c r="AP112" s="3624">
        <f t="shared" si="78"/>
        <v>0.95839916954230719</v>
      </c>
      <c r="AQ112" s="3624">
        <f t="shared" si="78"/>
        <v>0.95309297288097372</v>
      </c>
      <c r="AR112" s="3624">
        <f t="shared" si="78"/>
        <v>0.9319546136203779</v>
      </c>
      <c r="AS112" s="3624">
        <f t="shared" si="78"/>
        <v>0.93835511628256985</v>
      </c>
      <c r="AT112" s="3624">
        <f t="shared" si="78"/>
        <v>0.86244932789122808</v>
      </c>
      <c r="AU112" s="3624">
        <f t="shared" si="78"/>
        <v>0.85090659308368921</v>
      </c>
      <c r="AV112" s="3624">
        <f t="shared" si="78"/>
        <v>0.79447306030728559</v>
      </c>
      <c r="AW112" s="3624">
        <f t="shared" si="78"/>
        <v>0.75385512545860345</v>
      </c>
      <c r="AX112" s="3624">
        <f t="shared" si="78"/>
        <v>0.10844465910546813</v>
      </c>
      <c r="AY112" s="3624">
        <f t="shared" si="78"/>
        <v>0.10844465910546813</v>
      </c>
      <c r="AZ112" s="3624">
        <f t="shared" si="78"/>
        <v>8.0906231123143491E-2</v>
      </c>
      <c r="BA112" s="3624">
        <f t="shared" si="78"/>
        <v>5.4754033525008426E-2</v>
      </c>
      <c r="BB112" s="3624">
        <f t="shared" si="78"/>
        <v>0.35991081622345789</v>
      </c>
      <c r="BC112" s="3624">
        <f t="shared" si="78"/>
        <v>3.9131346842357048E-7</v>
      </c>
      <c r="BD112" s="3624">
        <f t="shared" si="78"/>
        <v>0.1921429132247113</v>
      </c>
      <c r="BE112" s="3624">
        <f t="shared" si="78"/>
        <v>0.84159679625093975</v>
      </c>
      <c r="BF112" s="3624">
        <f t="shared" si="78"/>
        <v>0.84159679625093975</v>
      </c>
      <c r="BG112" s="3624">
        <f t="shared" si="78"/>
        <v>0.96805826804652628</v>
      </c>
      <c r="BH112" s="3624">
        <f t="shared" si="78"/>
        <v>0.23827702485214225</v>
      </c>
      <c r="BI112" s="3624">
        <f t="shared" si="78"/>
        <v>0.69912086651519156</v>
      </c>
    </row>
    <row r="113" spans="1:62" s="287" customFormat="1" ht="13.15" customHeight="1">
      <c r="A113" s="698"/>
      <c r="B113" s="340"/>
      <c r="C113" s="289"/>
      <c r="D113" s="4034" t="s">
        <v>564</v>
      </c>
      <c r="E113" s="699"/>
      <c r="F113" s="700"/>
      <c r="G113" s="2026"/>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f>1/BC112</f>
        <v>2555495.9915603194</v>
      </c>
      <c r="BD113" s="302"/>
      <c r="BE113" s="302"/>
      <c r="BF113" s="302"/>
      <c r="BG113" s="302"/>
      <c r="BH113" s="302"/>
      <c r="BI113" s="302"/>
      <c r="BJ113" s="302"/>
    </row>
    <row r="114" spans="1:62" s="306" customFormat="1" ht="13.15" customHeight="1">
      <c r="A114" s="311"/>
      <c r="B114" s="310"/>
      <c r="C114" s="312"/>
      <c r="D114" s="4035"/>
      <c r="E114" s="323" t="str">
        <f>E$14</f>
        <v>Béton sec qualité normale</v>
      </c>
      <c r="F114" s="293"/>
      <c r="G114" s="2017"/>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c r="AL114" s="302"/>
      <c r="AM114" s="302"/>
      <c r="AN114" s="302"/>
      <c r="AO114" s="302"/>
      <c r="AP114" s="302"/>
      <c r="AQ114" s="302"/>
      <c r="AR114" s="302"/>
      <c r="AS114" s="302"/>
      <c r="AT114" s="302"/>
      <c r="AU114" s="302"/>
      <c r="AV114" s="302"/>
      <c r="AW114" s="302"/>
      <c r="AX114" s="302"/>
      <c r="AY114" s="302"/>
      <c r="AZ114" s="302"/>
      <c r="BA114" s="302"/>
      <c r="BB114" s="302"/>
      <c r="BC114" s="302"/>
      <c r="BD114" s="302"/>
      <c r="BE114" s="302"/>
      <c r="BF114" s="302"/>
      <c r="BG114" s="302"/>
      <c r="BH114" s="302"/>
      <c r="BI114" s="302"/>
      <c r="BJ114" s="302"/>
    </row>
    <row r="115" spans="1:62" s="306" customFormat="1" ht="13.15" customHeight="1">
      <c r="A115" s="311"/>
      <c r="B115" s="310"/>
      <c r="C115" s="312"/>
      <c r="D115" s="4035"/>
      <c r="E115" s="475" t="s">
        <v>475</v>
      </c>
      <c r="F115" s="297" t="s">
        <v>75</v>
      </c>
      <c r="G115" s="2020" t="s">
        <v>73</v>
      </c>
      <c r="H115" s="302">
        <f>Sols!$V31</f>
        <v>0.15</v>
      </c>
      <c r="I115" s="302">
        <f>Sols!$V31</f>
        <v>0.15</v>
      </c>
      <c r="J115" s="302">
        <f>Sols!$V31</f>
        <v>0.15</v>
      </c>
      <c r="K115" s="302">
        <f>Sols!$V31</f>
        <v>0.15</v>
      </c>
      <c r="L115" s="302">
        <f>Sols!$V31</f>
        <v>0.15</v>
      </c>
      <c r="M115" s="302">
        <f>Sols!$V31</f>
        <v>0.15</v>
      </c>
      <c r="N115" s="302">
        <f>Sols!$V31</f>
        <v>0.15</v>
      </c>
      <c r="O115" s="302">
        <f>Sols!$V31</f>
        <v>0.15</v>
      </c>
      <c r="P115" s="302">
        <f>Sols!$V31</f>
        <v>0.15</v>
      </c>
      <c r="Q115" s="302">
        <f>Sols!$V31</f>
        <v>0.15</v>
      </c>
      <c r="R115" s="302">
        <f>Sols!$V31</f>
        <v>0.15</v>
      </c>
      <c r="S115" s="302">
        <f>Sols!$V31</f>
        <v>0.15</v>
      </c>
      <c r="T115" s="302">
        <f>Sols!$V31</f>
        <v>0.15</v>
      </c>
      <c r="U115" s="302">
        <f>Sols!$V31</f>
        <v>0.15</v>
      </c>
      <c r="V115" s="302">
        <f>Sols!$V31</f>
        <v>0.15</v>
      </c>
      <c r="W115" s="302">
        <f>Sols!$V31</f>
        <v>0.15</v>
      </c>
      <c r="X115" s="302">
        <f>Sols!$V31</f>
        <v>0.15</v>
      </c>
      <c r="Y115" s="302">
        <f>Sols!$V31</f>
        <v>0.15</v>
      </c>
      <c r="Z115" s="302">
        <f>Sols!$V31</f>
        <v>0.15</v>
      </c>
      <c r="AA115" s="302">
        <f>Sols!$V31</f>
        <v>0.15</v>
      </c>
      <c r="AB115" s="302">
        <f>Sols!$V31</f>
        <v>0.15</v>
      </c>
      <c r="AC115" s="302">
        <f>Sols!$V31</f>
        <v>0.15</v>
      </c>
      <c r="AD115" s="302">
        <f>Sols!$V31</f>
        <v>0.15</v>
      </c>
      <c r="AE115" s="302">
        <f>Sols!$V31</f>
        <v>0.15</v>
      </c>
      <c r="AF115" s="302">
        <f>Sols!$V31</f>
        <v>0.15</v>
      </c>
      <c r="AG115" s="302">
        <f>Sols!$V31</f>
        <v>0.15</v>
      </c>
      <c r="AH115" s="302">
        <f>Sols!$V31</f>
        <v>0.15</v>
      </c>
      <c r="AI115" s="302">
        <f>Sols!$V31</f>
        <v>0.15</v>
      </c>
      <c r="AJ115" s="302">
        <f>Sols!$V31</f>
        <v>0.15</v>
      </c>
      <c r="AK115" s="302">
        <f>Sols!$V31</f>
        <v>0.15</v>
      </c>
      <c r="AL115" s="302">
        <f>Sols!$V31</f>
        <v>0.15</v>
      </c>
      <c r="AM115" s="302">
        <f>Sols!$V31</f>
        <v>0.15</v>
      </c>
      <c r="AN115" s="302">
        <f>Sols!$V31</f>
        <v>0.15</v>
      </c>
      <c r="AO115" s="302">
        <f>Sols!$V31</f>
        <v>0.15</v>
      </c>
      <c r="AP115" s="302">
        <f>Sols!$V31</f>
        <v>0.15</v>
      </c>
      <c r="AQ115" s="302">
        <f>Sols!$V31</f>
        <v>0.15</v>
      </c>
      <c r="AR115" s="302">
        <f>Sols!$V31</f>
        <v>0.15</v>
      </c>
      <c r="AS115" s="302">
        <f>Sols!$V31</f>
        <v>0.15</v>
      </c>
      <c r="AT115" s="302">
        <f>Sols!$V31</f>
        <v>0.15</v>
      </c>
      <c r="AU115" s="302">
        <f>Sols!$V31</f>
        <v>0.15</v>
      </c>
      <c r="AV115" s="302">
        <f>Sols!$V31</f>
        <v>0.15</v>
      </c>
      <c r="AW115" s="302">
        <f>Sols!$V31</f>
        <v>0.15</v>
      </c>
      <c r="AX115" s="302">
        <f>Sols!$V31</f>
        <v>0.15</v>
      </c>
      <c r="AY115" s="302">
        <f>Sols!$V31</f>
        <v>0.15</v>
      </c>
      <c r="AZ115" s="302">
        <f>Sols!$V31</f>
        <v>0.15</v>
      </c>
      <c r="BA115" s="302">
        <f>Sols!$V31</f>
        <v>0.15</v>
      </c>
      <c r="BB115" s="302">
        <f>Sols!$V31</f>
        <v>0.15</v>
      </c>
      <c r="BC115" s="302">
        <f>Sols!$V31</f>
        <v>0.15</v>
      </c>
      <c r="BD115" s="302">
        <f>Sols!$V31</f>
        <v>0.15</v>
      </c>
      <c r="BE115" s="302">
        <f>Sols!$V31</f>
        <v>0.15</v>
      </c>
      <c r="BF115" s="302">
        <f>Sols!$V31</f>
        <v>0.15</v>
      </c>
      <c r="BG115" s="302">
        <f>Sols!$V31</f>
        <v>0.15</v>
      </c>
      <c r="BH115" s="302">
        <f>Sols!$V31</f>
        <v>0.15</v>
      </c>
      <c r="BI115" s="302">
        <f>Sols!$V31</f>
        <v>0.15</v>
      </c>
      <c r="BJ115" s="302"/>
    </row>
    <row r="116" spans="1:62" s="306" customFormat="1" ht="13.15" customHeight="1">
      <c r="A116" s="311"/>
      <c r="B116" s="310"/>
      <c r="C116" s="312"/>
      <c r="D116" s="4035"/>
      <c r="E116" s="325" t="s">
        <v>242</v>
      </c>
      <c r="F116" s="297" t="s">
        <v>243</v>
      </c>
      <c r="G116" s="2020" t="s">
        <v>269</v>
      </c>
      <c r="H116" s="302">
        <f t="shared" ref="H116:V116" si="79">H115/H$17</f>
        <v>5389.3502897215585</v>
      </c>
      <c r="I116" s="302">
        <f>I115/I$17</f>
        <v>5389.3502897215585</v>
      </c>
      <c r="J116" s="302">
        <f>J115/J$17</f>
        <v>5243.2008822426005</v>
      </c>
      <c r="K116" s="302">
        <f t="shared" si="79"/>
        <v>2606.6260603587657</v>
      </c>
      <c r="L116" s="302">
        <f t="shared" si="79"/>
        <v>3754.1081847558307</v>
      </c>
      <c r="M116" s="302">
        <f t="shared" si="79"/>
        <v>3754.1081847558307</v>
      </c>
      <c r="N116" s="302">
        <f>N115/N$17</f>
        <v>3497.4982582029002</v>
      </c>
      <c r="O116" s="302">
        <f>O115/O$17</f>
        <v>3497.4982582029002</v>
      </c>
      <c r="P116" s="302">
        <f t="shared" si="79"/>
        <v>3837.5328110837381</v>
      </c>
      <c r="Q116" s="302">
        <f t="shared" si="79"/>
        <v>3837.5328110837381</v>
      </c>
      <c r="R116" s="302">
        <f>R115/R$17</f>
        <v>270.88466901767561</v>
      </c>
      <c r="S116" s="302">
        <f>S115/S$17</f>
        <v>2656.7534845964342</v>
      </c>
      <c r="T116" s="302">
        <f>T115/T$17</f>
        <v>2656.7534845964342</v>
      </c>
      <c r="U116" s="302">
        <f t="shared" si="79"/>
        <v>3542.3379794619118</v>
      </c>
      <c r="V116" s="302">
        <f t="shared" si="79"/>
        <v>9701.1213660907997</v>
      </c>
      <c r="W116" s="302">
        <f>W115/W$17</f>
        <v>9701.1213660907997</v>
      </c>
      <c r="X116" s="302">
        <f t="shared" ref="X116:BC116" si="80">X115/X$17</f>
        <v>3371.8254394335754</v>
      </c>
      <c r="Y116" s="302">
        <f t="shared" si="80"/>
        <v>3753.5415269166224</v>
      </c>
      <c r="Z116" s="302">
        <f t="shared" si="80"/>
        <v>4093.368331822654</v>
      </c>
      <c r="AA116" s="302">
        <f t="shared" si="80"/>
        <v>4093.368331822654</v>
      </c>
      <c r="AB116" s="302">
        <f t="shared" si="80"/>
        <v>8725.3377599377618</v>
      </c>
      <c r="AC116" s="302">
        <f t="shared" si="80"/>
        <v>9452.4492399325754</v>
      </c>
      <c r="AD116" s="302">
        <f t="shared" si="80"/>
        <v>10906.672199922201</v>
      </c>
      <c r="AE116" s="302">
        <f t="shared" si="80"/>
        <v>13815.118119901455</v>
      </c>
      <c r="AF116" s="302">
        <f t="shared" si="80"/>
        <v>17450.675519875524</v>
      </c>
      <c r="AG116" s="302">
        <f t="shared" si="80"/>
        <v>5889.6029879579892</v>
      </c>
      <c r="AH116" s="302">
        <f t="shared" si="80"/>
        <v>7271.1147999481354</v>
      </c>
      <c r="AI116" s="302">
        <f t="shared" si="80"/>
        <v>9452.4492399325754</v>
      </c>
      <c r="AJ116" s="302">
        <f t="shared" si="80"/>
        <v>11633.783679917016</v>
      </c>
      <c r="AK116" s="302">
        <f t="shared" si="80"/>
        <v>14542.229599896271</v>
      </c>
      <c r="AL116" s="302">
        <f t="shared" si="80"/>
        <v>19632.009959859963</v>
      </c>
      <c r="AM116" s="302">
        <f t="shared" si="80"/>
        <v>23267.567359834033</v>
      </c>
      <c r="AN116" s="302">
        <f t="shared" si="80"/>
        <v>9320.8420620535144</v>
      </c>
      <c r="AO116" s="302">
        <f t="shared" si="80"/>
        <v>11066.636725521061</v>
      </c>
      <c r="AP116" s="302">
        <f t="shared" si="80"/>
        <v>11212.78613300002</v>
      </c>
      <c r="AQ116" s="302">
        <f t="shared" si="80"/>
        <v>12084.592797513798</v>
      </c>
      <c r="AR116" s="302">
        <f t="shared" si="80"/>
        <v>12957.126573507576</v>
      </c>
      <c r="AS116" s="302">
        <f t="shared" si="80"/>
        <v>12957.126573507576</v>
      </c>
      <c r="AT116" s="302">
        <f t="shared" si="80"/>
        <v>14709.465240295078</v>
      </c>
      <c r="AU116" s="302">
        <f t="shared" si="80"/>
        <v>14709.465240295078</v>
      </c>
      <c r="AV116" s="302">
        <f t="shared" si="80"/>
        <v>16599.955088281593</v>
      </c>
      <c r="AW116" s="302">
        <f t="shared" si="80"/>
        <v>16599.955088281593</v>
      </c>
      <c r="AX116" s="302">
        <f t="shared" si="80"/>
        <v>18346.476863229134</v>
      </c>
      <c r="AY116" s="302">
        <f t="shared" si="80"/>
        <v>18346.476863229134</v>
      </c>
      <c r="AZ116" s="302">
        <f t="shared" si="80"/>
        <v>18345.022640269144</v>
      </c>
      <c r="BA116" s="302">
        <f t="shared" si="80"/>
        <v>20242.783603055606</v>
      </c>
      <c r="BB116" s="302">
        <f t="shared" si="80"/>
        <v>19512.763677140814</v>
      </c>
      <c r="BC116" s="302">
        <f t="shared" si="80"/>
        <v>20090.090192256695</v>
      </c>
      <c r="BD116" s="302">
        <f t="shared" ref="BD116:BI116" si="81">BD115/BD$17</f>
        <v>3369.5410048540134</v>
      </c>
      <c r="BE116" s="302">
        <f t="shared" si="81"/>
        <v>18723.120609866448</v>
      </c>
      <c r="BF116" s="302">
        <f t="shared" si="81"/>
        <v>18723.120609866448</v>
      </c>
      <c r="BG116" s="302">
        <f t="shared" si="81"/>
        <v>9000.0769510758673</v>
      </c>
      <c r="BH116" s="302">
        <f t="shared" si="81"/>
        <v>5116.7104147783175</v>
      </c>
      <c r="BI116" s="302">
        <f t="shared" si="81"/>
        <v>1644.656919035888</v>
      </c>
      <c r="BJ116" s="302"/>
    </row>
    <row r="117" spans="1:62" s="306" customFormat="1" ht="13.15" customHeight="1">
      <c r="A117" s="311"/>
      <c r="B117" s="310"/>
      <c r="C117" s="312"/>
      <c r="D117" s="4035"/>
      <c r="E117" s="325"/>
      <c r="F117" s="297"/>
      <c r="G117" s="2020"/>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c r="AK117" s="302"/>
      <c r="AL117" s="302"/>
      <c r="AM117" s="302"/>
      <c r="AN117" s="302"/>
      <c r="AO117" s="302"/>
      <c r="AP117" s="302"/>
      <c r="AQ117" s="302"/>
      <c r="AR117" s="302"/>
      <c r="AS117" s="302"/>
      <c r="AT117" s="302"/>
      <c r="AU117" s="302"/>
      <c r="AV117" s="302"/>
      <c r="AW117" s="302"/>
      <c r="AX117" s="302"/>
      <c r="AY117" s="302"/>
      <c r="AZ117" s="302"/>
      <c r="BA117" s="302"/>
      <c r="BB117" s="302"/>
      <c r="BC117" s="302"/>
      <c r="BD117" s="302"/>
      <c r="BE117" s="302"/>
      <c r="BF117" s="302"/>
      <c r="BG117" s="302"/>
      <c r="BH117" s="302"/>
      <c r="BI117" s="302"/>
      <c r="BJ117" s="302"/>
    </row>
    <row r="118" spans="1:62" s="306" customFormat="1" ht="13.15" customHeight="1">
      <c r="A118" s="311"/>
      <c r="B118" s="310"/>
      <c r="C118" s="312"/>
      <c r="D118" s="4035"/>
      <c r="E118" s="323" t="str">
        <f>E$33</f>
        <v xml:space="preserve">Gravier (sec) </v>
      </c>
      <c r="F118" s="293"/>
      <c r="G118" s="2017"/>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c r="AJ118" s="302"/>
      <c r="AK118" s="302"/>
      <c r="AL118" s="302"/>
      <c r="AM118" s="302"/>
      <c r="AN118" s="302"/>
      <c r="AO118" s="302"/>
      <c r="AP118" s="302"/>
      <c r="AQ118" s="302"/>
      <c r="AR118" s="302"/>
      <c r="AS118" s="302"/>
      <c r="AT118" s="302"/>
      <c r="AU118" s="302"/>
      <c r="AV118" s="302"/>
      <c r="AW118" s="302"/>
      <c r="AX118" s="302"/>
      <c r="AY118" s="302"/>
      <c r="AZ118" s="302"/>
      <c r="BA118" s="302"/>
      <c r="BB118" s="302"/>
      <c r="BC118" s="302"/>
      <c r="BD118" s="302"/>
      <c r="BE118" s="302"/>
      <c r="BF118" s="302"/>
      <c r="BG118" s="302"/>
      <c r="BH118" s="302"/>
      <c r="BI118" s="302"/>
      <c r="BJ118" s="302"/>
    </row>
    <row r="119" spans="1:62" s="306" customFormat="1" ht="13.15" customHeight="1">
      <c r="A119" s="311"/>
      <c r="B119" s="310"/>
      <c r="C119" s="312"/>
      <c r="D119" s="4035"/>
      <c r="E119" s="475" t="s">
        <v>475</v>
      </c>
      <c r="F119" s="297" t="s">
        <v>75</v>
      </c>
      <c r="G119" s="2020" t="s">
        <v>73</v>
      </c>
      <c r="H119" s="302">
        <f>Sols!$V9</f>
        <v>0.15</v>
      </c>
      <c r="I119" s="302">
        <f>Sols!$V9</f>
        <v>0.15</v>
      </c>
      <c r="J119" s="302">
        <f>Sols!$V9</f>
        <v>0.15</v>
      </c>
      <c r="K119" s="302">
        <f>Sols!$V9</f>
        <v>0.15</v>
      </c>
      <c r="L119" s="302">
        <f>Sols!$V9</f>
        <v>0.15</v>
      </c>
      <c r="M119" s="302">
        <f>Sols!$V9</f>
        <v>0.15</v>
      </c>
      <c r="N119" s="302">
        <f>Sols!$V9</f>
        <v>0.15</v>
      </c>
      <c r="O119" s="302">
        <f>Sols!$V9</f>
        <v>0.15</v>
      </c>
      <c r="P119" s="302">
        <f>Sols!$V9</f>
        <v>0.15</v>
      </c>
      <c r="Q119" s="302">
        <f>Sols!$V9</f>
        <v>0.15</v>
      </c>
      <c r="R119" s="302">
        <f>Sols!$V9</f>
        <v>0.15</v>
      </c>
      <c r="S119" s="302">
        <f>Sols!$V9</f>
        <v>0.15</v>
      </c>
      <c r="T119" s="302">
        <f>Sols!$V9</f>
        <v>0.15</v>
      </c>
      <c r="U119" s="302">
        <f>Sols!$V9</f>
        <v>0.15</v>
      </c>
      <c r="V119" s="302">
        <f>Sols!$V9</f>
        <v>0.15</v>
      </c>
      <c r="W119" s="302">
        <f>Sols!$V9</f>
        <v>0.15</v>
      </c>
      <c r="X119" s="302">
        <f>Sols!$V9</f>
        <v>0.15</v>
      </c>
      <c r="Y119" s="302">
        <f>Sols!$V9</f>
        <v>0.15</v>
      </c>
      <c r="Z119" s="302">
        <f>Sols!$V9</f>
        <v>0.15</v>
      </c>
      <c r="AA119" s="302">
        <f>Sols!$V9</f>
        <v>0.15</v>
      </c>
      <c r="AB119" s="302">
        <f>Sols!$V9</f>
        <v>0.15</v>
      </c>
      <c r="AC119" s="302">
        <f>Sols!$V9</f>
        <v>0.15</v>
      </c>
      <c r="AD119" s="302">
        <f>Sols!$V9</f>
        <v>0.15</v>
      </c>
      <c r="AE119" s="302">
        <f>Sols!$V9</f>
        <v>0.15</v>
      </c>
      <c r="AF119" s="302">
        <f>Sols!$V9</f>
        <v>0.15</v>
      </c>
      <c r="AG119" s="302">
        <f>Sols!$V9</f>
        <v>0.15</v>
      </c>
      <c r="AH119" s="302">
        <f>Sols!$V9</f>
        <v>0.15</v>
      </c>
      <c r="AI119" s="302">
        <f>Sols!$V9</f>
        <v>0.15</v>
      </c>
      <c r="AJ119" s="302">
        <f>Sols!$V9</f>
        <v>0.15</v>
      </c>
      <c r="AK119" s="302">
        <f>Sols!$V9</f>
        <v>0.15</v>
      </c>
      <c r="AL119" s="302">
        <f>Sols!$V9</f>
        <v>0.15</v>
      </c>
      <c r="AM119" s="302">
        <f>Sols!$V9</f>
        <v>0.15</v>
      </c>
      <c r="AN119" s="302">
        <f>Sols!$V9</f>
        <v>0.15</v>
      </c>
      <c r="AO119" s="302">
        <f>Sols!$V9</f>
        <v>0.15</v>
      </c>
      <c r="AP119" s="302">
        <f>Sols!$V9</f>
        <v>0.15</v>
      </c>
      <c r="AQ119" s="302">
        <f>Sols!$V9</f>
        <v>0.15</v>
      </c>
      <c r="AR119" s="302">
        <f>Sols!$V9</f>
        <v>0.15</v>
      </c>
      <c r="AS119" s="302">
        <f>Sols!$V9</f>
        <v>0.15</v>
      </c>
      <c r="AT119" s="302">
        <f>Sols!$V9</f>
        <v>0.15</v>
      </c>
      <c r="AU119" s="302">
        <f>Sols!$V9</f>
        <v>0.15</v>
      </c>
      <c r="AV119" s="302">
        <f>Sols!$V9</f>
        <v>0.15</v>
      </c>
      <c r="AW119" s="302">
        <f>Sols!$V9</f>
        <v>0.15</v>
      </c>
      <c r="AX119" s="302">
        <f>Sols!$V9</f>
        <v>0.15</v>
      </c>
      <c r="AY119" s="302">
        <f>Sols!$V9</f>
        <v>0.15</v>
      </c>
      <c r="AZ119" s="302">
        <f>Sols!$V9</f>
        <v>0.15</v>
      </c>
      <c r="BA119" s="302">
        <f>Sols!$V9</f>
        <v>0.15</v>
      </c>
      <c r="BB119" s="302">
        <f>Sols!$V9</f>
        <v>0.15</v>
      </c>
      <c r="BC119" s="302">
        <f>Sols!$V9</f>
        <v>0.15</v>
      </c>
      <c r="BD119" s="302">
        <f>Sols!$V9</f>
        <v>0.15</v>
      </c>
      <c r="BE119" s="302">
        <f>Sols!$V9</f>
        <v>0.15</v>
      </c>
      <c r="BF119" s="302">
        <f>Sols!$V9</f>
        <v>0.15</v>
      </c>
      <c r="BG119" s="302">
        <f>Sols!$V9</f>
        <v>0.15</v>
      </c>
      <c r="BH119" s="302">
        <f>Sols!$V9</f>
        <v>0.15</v>
      </c>
      <c r="BI119" s="302">
        <f>Sols!$V9</f>
        <v>0.15</v>
      </c>
      <c r="BJ119" s="302"/>
    </row>
    <row r="120" spans="1:62" s="306" customFormat="1" ht="13.15" customHeight="1">
      <c r="A120" s="311"/>
      <c r="B120" s="310"/>
      <c r="C120" s="312"/>
      <c r="D120" s="4035"/>
      <c r="E120" s="325" t="s">
        <v>242</v>
      </c>
      <c r="F120" s="297" t="s">
        <v>243</v>
      </c>
      <c r="G120" s="2020" t="s">
        <v>269</v>
      </c>
      <c r="H120" s="302">
        <f t="shared" ref="H120:AL120" si="82">H119/H$36</f>
        <v>250.15148125199366</v>
      </c>
      <c r="I120" s="302">
        <f t="shared" si="82"/>
        <v>250.15148125199366</v>
      </c>
      <c r="J120" s="302">
        <f>J119/J$36</f>
        <v>243.36782667405913</v>
      </c>
      <c r="K120" s="302">
        <f t="shared" si="82"/>
        <v>120.98886415165309</v>
      </c>
      <c r="L120" s="302">
        <f t="shared" si="82"/>
        <v>174.25026630536993</v>
      </c>
      <c r="M120" s="302">
        <f t="shared" si="82"/>
        <v>174.25026630536993</v>
      </c>
      <c r="N120" s="302">
        <f>N119/N$36</f>
        <v>162.33948860854719</v>
      </c>
      <c r="O120" s="302">
        <f>O119/O$36</f>
        <v>162.33948860854719</v>
      </c>
      <c r="P120" s="302">
        <f t="shared" si="82"/>
        <v>178.12249444548928</v>
      </c>
      <c r="Q120" s="302">
        <f t="shared" si="82"/>
        <v>178.12249444548928</v>
      </c>
      <c r="R120" s="302">
        <f>R119/R$36</f>
        <v>12.573352549093359</v>
      </c>
      <c r="S120" s="302">
        <f>S119/S$36</f>
        <v>123.31557307764642</v>
      </c>
      <c r="T120" s="302">
        <f>T119/T$36</f>
        <v>123.31557307764642</v>
      </c>
      <c r="U120" s="302">
        <f t="shared" si="82"/>
        <v>164.42076410352857</v>
      </c>
      <c r="V120" s="302">
        <f t="shared" si="82"/>
        <v>450.28616606369388</v>
      </c>
      <c r="W120" s="302">
        <f t="shared" si="82"/>
        <v>450.28616606369388</v>
      </c>
      <c r="X120" s="302">
        <f t="shared" si="82"/>
        <v>156.50627308566379</v>
      </c>
      <c r="Y120" s="302">
        <f t="shared" si="82"/>
        <v>174.22396437838049</v>
      </c>
      <c r="Z120" s="302">
        <f t="shared" si="82"/>
        <v>189.99732740852193</v>
      </c>
      <c r="AA120" s="302">
        <f t="shared" si="82"/>
        <v>189.99732740852193</v>
      </c>
      <c r="AB120" s="302">
        <f t="shared" si="82"/>
        <v>404.99430316027036</v>
      </c>
      <c r="AC120" s="302">
        <f t="shared" si="82"/>
        <v>438.74382842362621</v>
      </c>
      <c r="AD120" s="302">
        <f t="shared" si="82"/>
        <v>506.24287895033785</v>
      </c>
      <c r="AE120" s="302">
        <f t="shared" si="82"/>
        <v>641.24098000376148</v>
      </c>
      <c r="AF120" s="302">
        <f t="shared" si="82"/>
        <v>809.98860632054073</v>
      </c>
      <c r="AG120" s="302">
        <f t="shared" si="82"/>
        <v>273.37115463318253</v>
      </c>
      <c r="AH120" s="302">
        <f t="shared" si="82"/>
        <v>337.49525263355861</v>
      </c>
      <c r="AI120" s="302">
        <f t="shared" si="82"/>
        <v>438.74382842362621</v>
      </c>
      <c r="AJ120" s="302">
        <f t="shared" si="82"/>
        <v>539.99240421369382</v>
      </c>
      <c r="AK120" s="302">
        <f t="shared" si="82"/>
        <v>674.99050526711721</v>
      </c>
      <c r="AL120" s="302">
        <f t="shared" si="82"/>
        <v>911.23718211060816</v>
      </c>
      <c r="AM120" s="302">
        <f t="shared" ref="AM120:BI120" si="83">AM119/AM$36</f>
        <v>1079.9848084273876</v>
      </c>
      <c r="AN120" s="302">
        <f t="shared" si="83"/>
        <v>432.63516435095886</v>
      </c>
      <c r="AO120" s="302">
        <f t="shared" si="83"/>
        <v>513.66777450827624</v>
      </c>
      <c r="AP120" s="302">
        <f t="shared" si="83"/>
        <v>520.45142908621074</v>
      </c>
      <c r="AQ120" s="302">
        <f t="shared" si="83"/>
        <v>560.91710987697445</v>
      </c>
      <c r="AR120" s="302">
        <f t="shared" si="83"/>
        <v>601.41654019300154</v>
      </c>
      <c r="AS120" s="302">
        <f t="shared" si="83"/>
        <v>601.41654019300154</v>
      </c>
      <c r="AT120" s="302">
        <f t="shared" si="83"/>
        <v>682.75289607768912</v>
      </c>
      <c r="AU120" s="302">
        <f t="shared" si="83"/>
        <v>682.75289607768912</v>
      </c>
      <c r="AV120" s="302">
        <f t="shared" si="83"/>
        <v>770.50166176241441</v>
      </c>
      <c r="AW120" s="302">
        <f t="shared" si="83"/>
        <v>770.50166176241441</v>
      </c>
      <c r="AX120" s="302">
        <f t="shared" si="83"/>
        <v>851.56802144499511</v>
      </c>
      <c r="AY120" s="302">
        <f t="shared" si="83"/>
        <v>851.56802144499511</v>
      </c>
      <c r="AZ120" s="302">
        <f t="shared" si="83"/>
        <v>851.50052239446836</v>
      </c>
      <c r="BA120" s="302">
        <f t="shared" si="83"/>
        <v>939.58678333182706</v>
      </c>
      <c r="BB120" s="302">
        <f t="shared" si="83"/>
        <v>905.70225996741794</v>
      </c>
      <c r="BC120" s="302">
        <f t="shared" si="83"/>
        <v>932.49938302652242</v>
      </c>
      <c r="BD120" s="302">
        <f t="shared" si="83"/>
        <v>156.40023902530766</v>
      </c>
      <c r="BE120" s="302">
        <f t="shared" si="83"/>
        <v>869.05027553141349</v>
      </c>
      <c r="BF120" s="302">
        <f t="shared" si="83"/>
        <v>869.05027553141349</v>
      </c>
      <c r="BG120" s="302">
        <f t="shared" si="83"/>
        <v>417.74656677769474</v>
      </c>
      <c r="BH120" s="302">
        <f t="shared" si="83"/>
        <v>237.49665926065239</v>
      </c>
      <c r="BI120" s="302">
        <f t="shared" si="83"/>
        <v>76.33821190520969</v>
      </c>
      <c r="BJ120" s="302"/>
    </row>
    <row r="121" spans="1:62" s="306" customFormat="1" ht="13.15" customHeight="1">
      <c r="A121" s="311"/>
      <c r="B121" s="310"/>
      <c r="C121" s="312"/>
      <c r="D121" s="4035"/>
      <c r="E121" s="326"/>
      <c r="F121" s="293"/>
      <c r="G121" s="2017"/>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2"/>
      <c r="AY121" s="302"/>
      <c r="AZ121" s="302"/>
      <c r="BA121" s="302"/>
      <c r="BB121" s="302"/>
      <c r="BC121" s="302"/>
      <c r="BD121" s="302"/>
      <c r="BE121" s="302"/>
      <c r="BF121" s="302"/>
      <c r="BG121" s="302"/>
      <c r="BH121" s="302"/>
      <c r="BI121" s="302"/>
      <c r="BJ121" s="302"/>
    </row>
    <row r="122" spans="1:62" s="306" customFormat="1" ht="13.15" hidden="1" customHeight="1">
      <c r="A122" s="311"/>
      <c r="B122" s="310"/>
      <c r="C122" s="312"/>
      <c r="D122" s="4035"/>
      <c r="E122" s="3644" t="str">
        <f>Sols!C$15</f>
        <v>Sable limoneux</v>
      </c>
      <c r="G122" s="2017"/>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row>
    <row r="123" spans="1:62" s="306" customFormat="1" ht="13.15" hidden="1" customHeight="1">
      <c r="A123" s="311"/>
      <c r="B123" s="310"/>
      <c r="C123" s="312"/>
      <c r="D123" s="4035"/>
      <c r="E123" s="3645" t="s">
        <v>74</v>
      </c>
      <c r="F123" s="297" t="s">
        <v>75</v>
      </c>
      <c r="G123" s="2020" t="s">
        <v>73</v>
      </c>
      <c r="H123" s="302">
        <v>0</v>
      </c>
      <c r="I123" s="302">
        <v>0</v>
      </c>
      <c r="J123" s="302">
        <v>0</v>
      </c>
      <c r="K123" s="302">
        <v>0</v>
      </c>
      <c r="L123" s="302">
        <v>0</v>
      </c>
      <c r="M123" s="302">
        <v>0</v>
      </c>
      <c r="N123" s="302">
        <v>0</v>
      </c>
      <c r="O123" s="302">
        <v>0</v>
      </c>
      <c r="P123" s="302">
        <v>0</v>
      </c>
      <c r="Q123" s="302">
        <v>0</v>
      </c>
      <c r="R123" s="302">
        <v>0</v>
      </c>
      <c r="S123" s="302">
        <v>0</v>
      </c>
      <c r="T123" s="302">
        <v>0</v>
      </c>
      <c r="U123" s="302">
        <v>0</v>
      </c>
      <c r="V123" s="302">
        <v>0</v>
      </c>
      <c r="W123" s="302">
        <v>0</v>
      </c>
      <c r="X123" s="302">
        <v>0</v>
      </c>
      <c r="Y123" s="302">
        <v>0</v>
      </c>
      <c r="Z123" s="302">
        <v>0</v>
      </c>
      <c r="AA123" s="302">
        <v>0</v>
      </c>
      <c r="AB123" s="302">
        <v>0</v>
      </c>
      <c r="AC123" s="302">
        <v>0</v>
      </c>
      <c r="AD123" s="302">
        <v>0</v>
      </c>
      <c r="AE123" s="302">
        <v>0</v>
      </c>
      <c r="AF123" s="302">
        <v>0</v>
      </c>
      <c r="AG123" s="302">
        <v>0</v>
      </c>
      <c r="AH123" s="302">
        <v>0</v>
      </c>
      <c r="AI123" s="302">
        <v>0</v>
      </c>
      <c r="AJ123" s="302">
        <v>0</v>
      </c>
      <c r="AK123" s="302">
        <v>0</v>
      </c>
      <c r="AL123" s="302">
        <v>0</v>
      </c>
      <c r="AM123" s="302">
        <v>0</v>
      </c>
      <c r="AN123" s="302">
        <v>0</v>
      </c>
      <c r="AO123" s="302">
        <v>0</v>
      </c>
      <c r="AP123" s="302">
        <v>0</v>
      </c>
      <c r="AQ123" s="302">
        <v>0</v>
      </c>
      <c r="AR123" s="302">
        <v>0</v>
      </c>
      <c r="AS123" s="302">
        <v>0</v>
      </c>
      <c r="AT123" s="302">
        <v>0</v>
      </c>
      <c r="AU123" s="302">
        <v>0</v>
      </c>
      <c r="AV123" s="302">
        <v>0</v>
      </c>
      <c r="AW123" s="302">
        <v>0</v>
      </c>
      <c r="AX123" s="302">
        <v>0</v>
      </c>
      <c r="AY123" s="302">
        <v>0</v>
      </c>
      <c r="AZ123" s="302">
        <v>0</v>
      </c>
      <c r="BA123" s="302">
        <v>0</v>
      </c>
      <c r="BB123" s="302">
        <v>0</v>
      </c>
      <c r="BC123" s="302">
        <v>0</v>
      </c>
      <c r="BD123" s="302">
        <v>0</v>
      </c>
      <c r="BE123" s="302">
        <v>0</v>
      </c>
      <c r="BF123" s="302">
        <v>0</v>
      </c>
      <c r="BG123" s="302">
        <v>0</v>
      </c>
      <c r="BH123" s="302">
        <v>0</v>
      </c>
      <c r="BI123" s="302">
        <v>0</v>
      </c>
      <c r="BJ123" s="302"/>
    </row>
    <row r="124" spans="1:62" s="306" customFormat="1" ht="13.15" hidden="1" customHeight="1">
      <c r="A124" s="311"/>
      <c r="B124" s="310"/>
      <c r="C124" s="312"/>
      <c r="D124" s="4035"/>
      <c r="E124" s="3643" t="s">
        <v>242</v>
      </c>
      <c r="F124" s="297" t="s">
        <v>243</v>
      </c>
      <c r="G124" s="2020" t="s">
        <v>269</v>
      </c>
      <c r="H124" s="302">
        <f>H123/H$47</f>
        <v>0</v>
      </c>
      <c r="I124" s="302">
        <f>I123/I$47</f>
        <v>0</v>
      </c>
      <c r="J124" s="302">
        <f>J123/J$47</f>
        <v>0</v>
      </c>
      <c r="K124" s="302">
        <f t="shared" ref="K124:V124" si="84">K123/K$47</f>
        <v>0</v>
      </c>
      <c r="L124" s="302">
        <f t="shared" si="84"/>
        <v>0</v>
      </c>
      <c r="M124" s="302">
        <f t="shared" si="84"/>
        <v>0</v>
      </c>
      <c r="N124" s="302">
        <f>N123/N$47</f>
        <v>0</v>
      </c>
      <c r="O124" s="302">
        <f>O123/O$47</f>
        <v>0</v>
      </c>
      <c r="P124" s="302">
        <f t="shared" si="84"/>
        <v>0</v>
      </c>
      <c r="Q124" s="302">
        <f t="shared" si="84"/>
        <v>0</v>
      </c>
      <c r="R124" s="302">
        <f>R123/R$47</f>
        <v>0</v>
      </c>
      <c r="S124" s="302">
        <f>S123/S$47</f>
        <v>0</v>
      </c>
      <c r="T124" s="302">
        <f>T123/T$47</f>
        <v>0</v>
      </c>
      <c r="U124" s="302">
        <f t="shared" si="84"/>
        <v>0</v>
      </c>
      <c r="V124" s="302">
        <f t="shared" si="84"/>
        <v>0</v>
      </c>
      <c r="W124" s="302">
        <f>W123/W$47</f>
        <v>0</v>
      </c>
      <c r="X124" s="302">
        <f t="shared" ref="X124:BC124" si="85">X123/X$47</f>
        <v>0</v>
      </c>
      <c r="Y124" s="302">
        <f t="shared" si="85"/>
        <v>0</v>
      </c>
      <c r="Z124" s="302">
        <f t="shared" si="85"/>
        <v>0</v>
      </c>
      <c r="AA124" s="302">
        <f t="shared" si="85"/>
        <v>0</v>
      </c>
      <c r="AB124" s="302">
        <f t="shared" si="85"/>
        <v>0</v>
      </c>
      <c r="AC124" s="302">
        <f t="shared" si="85"/>
        <v>0</v>
      </c>
      <c r="AD124" s="302">
        <f t="shared" si="85"/>
        <v>0</v>
      </c>
      <c r="AE124" s="302">
        <f t="shared" si="85"/>
        <v>0</v>
      </c>
      <c r="AF124" s="302">
        <f t="shared" si="85"/>
        <v>0</v>
      </c>
      <c r="AG124" s="302">
        <f t="shared" si="85"/>
        <v>0</v>
      </c>
      <c r="AH124" s="302">
        <f t="shared" si="85"/>
        <v>0</v>
      </c>
      <c r="AI124" s="302">
        <f t="shared" si="85"/>
        <v>0</v>
      </c>
      <c r="AJ124" s="302">
        <f t="shared" si="85"/>
        <v>0</v>
      </c>
      <c r="AK124" s="302">
        <f t="shared" si="85"/>
        <v>0</v>
      </c>
      <c r="AL124" s="302">
        <f t="shared" si="85"/>
        <v>0</v>
      </c>
      <c r="AM124" s="302">
        <f t="shared" si="85"/>
        <v>0</v>
      </c>
      <c r="AN124" s="302">
        <f t="shared" si="85"/>
        <v>0</v>
      </c>
      <c r="AO124" s="302">
        <f t="shared" si="85"/>
        <v>0</v>
      </c>
      <c r="AP124" s="302">
        <f t="shared" si="85"/>
        <v>0</v>
      </c>
      <c r="AQ124" s="302">
        <f t="shared" si="85"/>
        <v>0</v>
      </c>
      <c r="AR124" s="302">
        <f t="shared" si="85"/>
        <v>0</v>
      </c>
      <c r="AS124" s="302">
        <f t="shared" si="85"/>
        <v>0</v>
      </c>
      <c r="AT124" s="302">
        <f t="shared" si="85"/>
        <v>0</v>
      </c>
      <c r="AU124" s="302">
        <f t="shared" si="85"/>
        <v>0</v>
      </c>
      <c r="AV124" s="302">
        <f t="shared" si="85"/>
        <v>0</v>
      </c>
      <c r="AW124" s="302">
        <f t="shared" si="85"/>
        <v>0</v>
      </c>
      <c r="AX124" s="302">
        <f t="shared" si="85"/>
        <v>0</v>
      </c>
      <c r="AY124" s="302">
        <f t="shared" si="85"/>
        <v>0</v>
      </c>
      <c r="AZ124" s="302">
        <f t="shared" si="85"/>
        <v>0</v>
      </c>
      <c r="BA124" s="302">
        <f t="shared" si="85"/>
        <v>0</v>
      </c>
      <c r="BB124" s="302">
        <f t="shared" si="85"/>
        <v>0</v>
      </c>
      <c r="BC124" s="302">
        <f t="shared" si="85"/>
        <v>0</v>
      </c>
      <c r="BD124" s="302">
        <f t="shared" ref="BD124:BI124" si="86">BD123/BD$47</f>
        <v>0</v>
      </c>
      <c r="BE124" s="302">
        <f t="shared" si="86"/>
        <v>0</v>
      </c>
      <c r="BF124" s="302">
        <f t="shared" si="86"/>
        <v>0</v>
      </c>
      <c r="BG124" s="302">
        <f t="shared" si="86"/>
        <v>0</v>
      </c>
      <c r="BH124" s="302">
        <f t="shared" si="86"/>
        <v>0</v>
      </c>
      <c r="BI124" s="302">
        <f t="shared" si="86"/>
        <v>0</v>
      </c>
      <c r="BJ124" s="302"/>
    </row>
    <row r="125" spans="1:62" s="112" customFormat="1" ht="13.15" hidden="1" customHeight="1">
      <c r="A125" s="109"/>
      <c r="B125" s="130"/>
      <c r="C125" s="264"/>
      <c r="D125" s="4035"/>
      <c r="E125" s="3499" t="s">
        <v>299</v>
      </c>
      <c r="F125" s="111" t="s">
        <v>298</v>
      </c>
      <c r="G125" s="341" t="s">
        <v>73</v>
      </c>
      <c r="H125" s="113">
        <v>3</v>
      </c>
      <c r="I125" s="113">
        <v>3</v>
      </c>
      <c r="J125" s="113">
        <v>3</v>
      </c>
      <c r="K125" s="113">
        <v>3</v>
      </c>
      <c r="L125" s="113">
        <v>3</v>
      </c>
      <c r="M125" s="113">
        <v>3</v>
      </c>
      <c r="N125" s="113">
        <v>3</v>
      </c>
      <c r="O125" s="113">
        <v>3</v>
      </c>
      <c r="P125" s="113">
        <v>3</v>
      </c>
      <c r="Q125" s="113">
        <v>3</v>
      </c>
      <c r="R125" s="113">
        <v>3</v>
      </c>
      <c r="S125" s="113">
        <v>3</v>
      </c>
      <c r="T125" s="113">
        <v>3</v>
      </c>
      <c r="U125" s="113">
        <v>3</v>
      </c>
      <c r="V125" s="113">
        <v>3</v>
      </c>
      <c r="W125" s="113">
        <v>3</v>
      </c>
      <c r="X125" s="113">
        <v>3</v>
      </c>
      <c r="Y125" s="113">
        <v>3</v>
      </c>
      <c r="Z125" s="113">
        <v>3</v>
      </c>
      <c r="AA125" s="113">
        <v>3</v>
      </c>
      <c r="AB125" s="113">
        <v>3</v>
      </c>
      <c r="AC125" s="113">
        <v>3</v>
      </c>
      <c r="AD125" s="113">
        <v>3</v>
      </c>
      <c r="AE125" s="113">
        <v>3</v>
      </c>
      <c r="AF125" s="113">
        <v>3</v>
      </c>
      <c r="AG125" s="113">
        <v>3</v>
      </c>
      <c r="AH125" s="113">
        <v>3</v>
      </c>
      <c r="AI125" s="113">
        <v>3</v>
      </c>
      <c r="AJ125" s="113">
        <v>3</v>
      </c>
      <c r="AK125" s="113">
        <v>3</v>
      </c>
      <c r="AL125" s="113">
        <v>3</v>
      </c>
      <c r="AM125" s="113">
        <v>3</v>
      </c>
      <c r="AN125" s="113">
        <v>3</v>
      </c>
      <c r="AO125" s="113">
        <v>3</v>
      </c>
      <c r="AP125" s="113">
        <v>3</v>
      </c>
      <c r="AQ125" s="113">
        <v>3</v>
      </c>
      <c r="AR125" s="113">
        <v>3</v>
      </c>
      <c r="AS125" s="113">
        <v>3</v>
      </c>
      <c r="AT125" s="113">
        <v>3</v>
      </c>
      <c r="AU125" s="113">
        <v>3</v>
      </c>
      <c r="AV125" s="113">
        <v>3</v>
      </c>
      <c r="AW125" s="113">
        <v>3</v>
      </c>
      <c r="AX125" s="113">
        <v>3</v>
      </c>
      <c r="AY125" s="113">
        <v>3</v>
      </c>
      <c r="AZ125" s="113">
        <v>3</v>
      </c>
      <c r="BA125" s="113">
        <v>3</v>
      </c>
      <c r="BB125" s="113">
        <v>3</v>
      </c>
      <c r="BC125" s="113">
        <v>3</v>
      </c>
      <c r="BD125" s="113">
        <v>3</v>
      </c>
      <c r="BE125" s="113">
        <v>3</v>
      </c>
      <c r="BF125" s="113">
        <v>3</v>
      </c>
      <c r="BG125" s="113">
        <v>3</v>
      </c>
      <c r="BH125" s="113">
        <v>3</v>
      </c>
      <c r="BI125" s="113">
        <v>3</v>
      </c>
    </row>
    <row r="126" spans="1:62" s="306" customFormat="1" ht="13.15" hidden="1" customHeight="1">
      <c r="A126" s="311"/>
      <c r="B126" s="310"/>
      <c r="C126" s="312"/>
      <c r="D126" s="4035"/>
      <c r="E126" s="3646"/>
      <c r="F126" s="293"/>
      <c r="G126" s="2017"/>
      <c r="H126" s="302"/>
      <c r="I126" s="302"/>
      <c r="J126" s="302"/>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row>
    <row r="127" spans="1:62" s="306" customFormat="1" ht="13.15" hidden="1" customHeight="1">
      <c r="A127" s="311"/>
      <c r="B127" s="310"/>
      <c r="C127" s="312"/>
      <c r="D127" s="4035"/>
      <c r="E127" s="3644" t="str">
        <f>Sols!C$18</f>
        <v>Sol limoneux</v>
      </c>
      <c r="F127" s="293"/>
      <c r="G127" s="2017"/>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c r="AJ127" s="302"/>
      <c r="AK127" s="302"/>
      <c r="AL127" s="302"/>
      <c r="AM127" s="302"/>
      <c r="AN127" s="302"/>
      <c r="AO127" s="302"/>
      <c r="AP127" s="302"/>
      <c r="AQ127" s="302"/>
      <c r="AR127" s="302"/>
      <c r="AS127" s="302"/>
      <c r="AT127" s="302"/>
      <c r="AU127" s="302"/>
      <c r="AV127" s="302"/>
      <c r="AW127" s="302"/>
      <c r="AX127" s="302"/>
      <c r="AY127" s="302"/>
      <c r="AZ127" s="302"/>
      <c r="BA127" s="302"/>
      <c r="BB127" s="302"/>
      <c r="BC127" s="302"/>
      <c r="BD127" s="302"/>
      <c r="BE127" s="302"/>
      <c r="BF127" s="302"/>
      <c r="BG127" s="302"/>
      <c r="BH127" s="302"/>
      <c r="BI127" s="302"/>
      <c r="BJ127" s="302"/>
    </row>
    <row r="128" spans="1:62" s="306" customFormat="1" ht="13.15" hidden="1" customHeight="1">
      <c r="A128" s="311"/>
      <c r="B128" s="310"/>
      <c r="C128" s="312"/>
      <c r="D128" s="4035"/>
      <c r="E128" s="3642" t="s">
        <v>475</v>
      </c>
      <c r="F128" s="297" t="s">
        <v>75</v>
      </c>
      <c r="G128" s="2020" t="s">
        <v>73</v>
      </c>
      <c r="H128" s="302">
        <v>0</v>
      </c>
      <c r="I128" s="302">
        <v>0</v>
      </c>
      <c r="J128" s="302">
        <v>0</v>
      </c>
      <c r="K128" s="302">
        <v>0</v>
      </c>
      <c r="L128" s="302">
        <v>0</v>
      </c>
      <c r="M128" s="302">
        <v>0</v>
      </c>
      <c r="N128" s="302">
        <v>0</v>
      </c>
      <c r="O128" s="302">
        <v>0</v>
      </c>
      <c r="P128" s="302">
        <v>0</v>
      </c>
      <c r="Q128" s="302">
        <v>0</v>
      </c>
      <c r="R128" s="302">
        <v>0</v>
      </c>
      <c r="S128" s="302">
        <v>0</v>
      </c>
      <c r="T128" s="302">
        <v>0</v>
      </c>
      <c r="U128" s="302">
        <v>0</v>
      </c>
      <c r="V128" s="302">
        <v>0</v>
      </c>
      <c r="W128" s="302">
        <v>0</v>
      </c>
      <c r="X128" s="302">
        <v>0</v>
      </c>
      <c r="Y128" s="302">
        <v>0</v>
      </c>
      <c r="Z128" s="302">
        <v>0</v>
      </c>
      <c r="AA128" s="302">
        <v>0</v>
      </c>
      <c r="AB128" s="302">
        <v>0</v>
      </c>
      <c r="AC128" s="302">
        <v>0</v>
      </c>
      <c r="AD128" s="302">
        <v>0</v>
      </c>
      <c r="AE128" s="302">
        <v>0</v>
      </c>
      <c r="AF128" s="302">
        <v>0</v>
      </c>
      <c r="AG128" s="302">
        <v>0</v>
      </c>
      <c r="AH128" s="302">
        <v>0</v>
      </c>
      <c r="AI128" s="302">
        <v>0</v>
      </c>
      <c r="AJ128" s="302">
        <v>0</v>
      </c>
      <c r="AK128" s="302">
        <v>0</v>
      </c>
      <c r="AL128" s="302">
        <v>0</v>
      </c>
      <c r="AM128" s="302">
        <v>0</v>
      </c>
      <c r="AN128" s="302">
        <v>0</v>
      </c>
      <c r="AO128" s="302">
        <v>0</v>
      </c>
      <c r="AP128" s="302">
        <v>0</v>
      </c>
      <c r="AQ128" s="302">
        <v>0</v>
      </c>
      <c r="AR128" s="302">
        <v>0</v>
      </c>
      <c r="AS128" s="302">
        <v>0</v>
      </c>
      <c r="AT128" s="302">
        <v>0</v>
      </c>
      <c r="AU128" s="302">
        <v>0</v>
      </c>
      <c r="AV128" s="302">
        <v>0</v>
      </c>
      <c r="AW128" s="302">
        <v>0</v>
      </c>
      <c r="AX128" s="302">
        <v>0</v>
      </c>
      <c r="AY128" s="302">
        <v>0</v>
      </c>
      <c r="AZ128" s="302">
        <v>0</v>
      </c>
      <c r="BA128" s="302">
        <v>0</v>
      </c>
      <c r="BB128" s="302">
        <v>0</v>
      </c>
      <c r="BC128" s="302">
        <v>0</v>
      </c>
      <c r="BD128" s="302">
        <v>0</v>
      </c>
      <c r="BE128" s="302">
        <v>0</v>
      </c>
      <c r="BF128" s="302">
        <v>0</v>
      </c>
      <c r="BG128" s="302">
        <v>0</v>
      </c>
      <c r="BH128" s="302">
        <v>0</v>
      </c>
      <c r="BI128" s="302">
        <v>0</v>
      </c>
      <c r="BJ128" s="302"/>
    </row>
    <row r="129" spans="1:62" s="306" customFormat="1" ht="13.15" hidden="1" customHeight="1">
      <c r="A129" s="311"/>
      <c r="B129" s="310"/>
      <c r="C129" s="312"/>
      <c r="D129" s="4035"/>
      <c r="E129" s="3643" t="s">
        <v>242</v>
      </c>
      <c r="F129" s="297" t="s">
        <v>243</v>
      </c>
      <c r="G129" s="2020" t="s">
        <v>269</v>
      </c>
      <c r="H129" s="302">
        <f>H128/H$53</f>
        <v>0</v>
      </c>
      <c r="I129" s="302">
        <f>I128/I$53</f>
        <v>0</v>
      </c>
      <c r="J129" s="302">
        <f>J128/J$53</f>
        <v>0</v>
      </c>
      <c r="K129" s="302">
        <f>K128/K$53</f>
        <v>0</v>
      </c>
      <c r="L129" s="302">
        <f t="shared" ref="L129:V129" si="87">L128/L$53</f>
        <v>0</v>
      </c>
      <c r="M129" s="302">
        <f t="shared" si="87"/>
        <v>0</v>
      </c>
      <c r="N129" s="302">
        <f>N128/N$53</f>
        <v>0</v>
      </c>
      <c r="O129" s="302">
        <f>O128/O$53</f>
        <v>0</v>
      </c>
      <c r="P129" s="302">
        <f t="shared" si="87"/>
        <v>0</v>
      </c>
      <c r="Q129" s="302">
        <f t="shared" si="87"/>
        <v>0</v>
      </c>
      <c r="R129" s="302">
        <f>R128/R$53</f>
        <v>0</v>
      </c>
      <c r="S129" s="302">
        <f>S128/S$53</f>
        <v>0</v>
      </c>
      <c r="T129" s="302">
        <f>T128/T$53</f>
        <v>0</v>
      </c>
      <c r="U129" s="302">
        <f t="shared" si="87"/>
        <v>0</v>
      </c>
      <c r="V129" s="302">
        <f t="shared" si="87"/>
        <v>0</v>
      </c>
      <c r="W129" s="302">
        <f>W128/W$53</f>
        <v>0</v>
      </c>
      <c r="X129" s="302">
        <f t="shared" ref="X129:BC129" si="88">X128/X$53</f>
        <v>0</v>
      </c>
      <c r="Y129" s="302">
        <f t="shared" si="88"/>
        <v>0</v>
      </c>
      <c r="Z129" s="302">
        <f t="shared" si="88"/>
        <v>0</v>
      </c>
      <c r="AA129" s="302">
        <f t="shared" si="88"/>
        <v>0</v>
      </c>
      <c r="AB129" s="302">
        <f t="shared" si="88"/>
        <v>0</v>
      </c>
      <c r="AC129" s="302">
        <f t="shared" si="88"/>
        <v>0</v>
      </c>
      <c r="AD129" s="302">
        <f t="shared" si="88"/>
        <v>0</v>
      </c>
      <c r="AE129" s="302">
        <f t="shared" si="88"/>
        <v>0</v>
      </c>
      <c r="AF129" s="302">
        <f t="shared" si="88"/>
        <v>0</v>
      </c>
      <c r="AG129" s="302">
        <f t="shared" si="88"/>
        <v>0</v>
      </c>
      <c r="AH129" s="302">
        <f t="shared" si="88"/>
        <v>0</v>
      </c>
      <c r="AI129" s="302">
        <f t="shared" si="88"/>
        <v>0</v>
      </c>
      <c r="AJ129" s="302">
        <f t="shared" si="88"/>
        <v>0</v>
      </c>
      <c r="AK129" s="302">
        <f t="shared" si="88"/>
        <v>0</v>
      </c>
      <c r="AL129" s="302">
        <f t="shared" si="88"/>
        <v>0</v>
      </c>
      <c r="AM129" s="302">
        <f t="shared" si="88"/>
        <v>0</v>
      </c>
      <c r="AN129" s="302">
        <f t="shared" si="88"/>
        <v>0</v>
      </c>
      <c r="AO129" s="302">
        <f t="shared" si="88"/>
        <v>0</v>
      </c>
      <c r="AP129" s="302">
        <f t="shared" si="88"/>
        <v>0</v>
      </c>
      <c r="AQ129" s="302">
        <f t="shared" si="88"/>
        <v>0</v>
      </c>
      <c r="AR129" s="302">
        <f t="shared" si="88"/>
        <v>0</v>
      </c>
      <c r="AS129" s="302">
        <f t="shared" si="88"/>
        <v>0</v>
      </c>
      <c r="AT129" s="302">
        <f t="shared" si="88"/>
        <v>0</v>
      </c>
      <c r="AU129" s="302">
        <f t="shared" si="88"/>
        <v>0</v>
      </c>
      <c r="AV129" s="302">
        <f t="shared" si="88"/>
        <v>0</v>
      </c>
      <c r="AW129" s="302">
        <f t="shared" si="88"/>
        <v>0</v>
      </c>
      <c r="AX129" s="302">
        <f t="shared" si="88"/>
        <v>0</v>
      </c>
      <c r="AY129" s="302">
        <f t="shared" si="88"/>
        <v>0</v>
      </c>
      <c r="AZ129" s="302">
        <f t="shared" si="88"/>
        <v>0</v>
      </c>
      <c r="BA129" s="302">
        <f t="shared" si="88"/>
        <v>0</v>
      </c>
      <c r="BB129" s="302">
        <f t="shared" si="88"/>
        <v>0</v>
      </c>
      <c r="BC129" s="302">
        <f t="shared" si="88"/>
        <v>0</v>
      </c>
      <c r="BD129" s="302">
        <f t="shared" ref="BD129:BI129" si="89">BD128/BD$53</f>
        <v>0</v>
      </c>
      <c r="BE129" s="302">
        <f t="shared" si="89"/>
        <v>0</v>
      </c>
      <c r="BF129" s="302">
        <f t="shared" si="89"/>
        <v>0</v>
      </c>
      <c r="BG129" s="302">
        <f t="shared" si="89"/>
        <v>0</v>
      </c>
      <c r="BH129" s="302">
        <f t="shared" si="89"/>
        <v>0</v>
      </c>
      <c r="BI129" s="302">
        <f t="shared" si="89"/>
        <v>0</v>
      </c>
      <c r="BJ129" s="302"/>
    </row>
    <row r="130" spans="1:62" s="112" customFormat="1" ht="13.15" hidden="1" customHeight="1">
      <c r="A130" s="109"/>
      <c r="B130" s="130"/>
      <c r="C130" s="110"/>
      <c r="D130" s="4035"/>
      <c r="E130" s="3499"/>
      <c r="F130" s="111"/>
      <c r="G130" s="341"/>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row>
    <row r="131" spans="1:62" s="306" customFormat="1" ht="13.15" hidden="1" customHeight="1">
      <c r="A131" s="311"/>
      <c r="B131" s="310"/>
      <c r="C131" s="312"/>
      <c r="D131" s="4035"/>
      <c r="E131" s="3641" t="str">
        <f>E56</f>
        <v>Frange capillaire (limons)</v>
      </c>
      <c r="F131" s="297"/>
      <c r="G131" s="2020"/>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2"/>
      <c r="AY131" s="302"/>
      <c r="AZ131" s="302"/>
      <c r="BA131" s="302"/>
      <c r="BB131" s="302"/>
      <c r="BC131" s="302"/>
      <c r="BD131" s="302"/>
      <c r="BE131" s="302"/>
      <c r="BF131" s="302"/>
      <c r="BG131" s="302"/>
      <c r="BH131" s="302"/>
      <c r="BI131" s="302"/>
      <c r="BJ131" s="302"/>
    </row>
    <row r="132" spans="1:62" s="306" customFormat="1" ht="13.15" hidden="1" customHeight="1">
      <c r="A132" s="311"/>
      <c r="B132" s="310"/>
      <c r="C132" s="312"/>
      <c r="D132" s="4035"/>
      <c r="E132" s="3642" t="s">
        <v>475</v>
      </c>
      <c r="F132" s="297" t="s">
        <v>75</v>
      </c>
      <c r="G132" s="2020" t="s">
        <v>73</v>
      </c>
      <c r="H132" s="302">
        <v>0</v>
      </c>
      <c r="I132" s="302">
        <v>0</v>
      </c>
      <c r="J132" s="302">
        <v>0</v>
      </c>
      <c r="K132" s="302">
        <v>0</v>
      </c>
      <c r="L132" s="302">
        <v>0</v>
      </c>
      <c r="M132" s="302">
        <v>0</v>
      </c>
      <c r="N132" s="302">
        <v>0</v>
      </c>
      <c r="O132" s="302">
        <v>0</v>
      </c>
      <c r="P132" s="302">
        <v>0</v>
      </c>
      <c r="Q132" s="302">
        <v>0</v>
      </c>
      <c r="R132" s="302">
        <v>0</v>
      </c>
      <c r="S132" s="302">
        <v>0</v>
      </c>
      <c r="T132" s="302">
        <v>0</v>
      </c>
      <c r="U132" s="302">
        <v>0</v>
      </c>
      <c r="V132" s="302">
        <v>0</v>
      </c>
      <c r="W132" s="302">
        <v>0</v>
      </c>
      <c r="X132" s="302">
        <v>0</v>
      </c>
      <c r="Y132" s="302">
        <v>0</v>
      </c>
      <c r="Z132" s="302">
        <v>0</v>
      </c>
      <c r="AA132" s="302">
        <v>0</v>
      </c>
      <c r="AB132" s="302">
        <v>0</v>
      </c>
      <c r="AC132" s="302">
        <v>0</v>
      </c>
      <c r="AD132" s="302">
        <v>0</v>
      </c>
      <c r="AE132" s="302">
        <v>0</v>
      </c>
      <c r="AF132" s="302">
        <v>0</v>
      </c>
      <c r="AG132" s="302">
        <v>0</v>
      </c>
      <c r="AH132" s="302">
        <v>0</v>
      </c>
      <c r="AI132" s="302">
        <v>0</v>
      </c>
      <c r="AJ132" s="302">
        <v>0</v>
      </c>
      <c r="AK132" s="302">
        <v>0</v>
      </c>
      <c r="AL132" s="302">
        <v>0</v>
      </c>
      <c r="AM132" s="302">
        <v>0</v>
      </c>
      <c r="AN132" s="302">
        <v>0</v>
      </c>
      <c r="AO132" s="302">
        <v>0</v>
      </c>
      <c r="AP132" s="302">
        <v>0</v>
      </c>
      <c r="AQ132" s="302">
        <v>0</v>
      </c>
      <c r="AR132" s="302">
        <v>0</v>
      </c>
      <c r="AS132" s="302">
        <v>0</v>
      </c>
      <c r="AT132" s="302">
        <v>0</v>
      </c>
      <c r="AU132" s="302">
        <v>0</v>
      </c>
      <c r="AV132" s="302">
        <v>0</v>
      </c>
      <c r="AW132" s="302">
        <v>0</v>
      </c>
      <c r="AX132" s="302">
        <v>0</v>
      </c>
      <c r="AY132" s="302">
        <v>0</v>
      </c>
      <c r="AZ132" s="302">
        <v>0</v>
      </c>
      <c r="BA132" s="302">
        <v>0</v>
      </c>
      <c r="BB132" s="302">
        <v>0</v>
      </c>
      <c r="BC132" s="302">
        <v>0</v>
      </c>
      <c r="BD132" s="302">
        <v>0</v>
      </c>
      <c r="BE132" s="302">
        <v>0</v>
      </c>
      <c r="BF132" s="302">
        <v>0</v>
      </c>
      <c r="BG132" s="302">
        <v>0</v>
      </c>
      <c r="BH132" s="302">
        <v>0</v>
      </c>
      <c r="BI132" s="302">
        <v>0</v>
      </c>
      <c r="BJ132" s="302"/>
    </row>
    <row r="133" spans="1:62" s="306" customFormat="1" ht="13.15" hidden="1" customHeight="1">
      <c r="A133" s="311"/>
      <c r="B133" s="310"/>
      <c r="C133" s="312"/>
      <c r="D133" s="4035"/>
      <c r="E133" s="3643" t="s">
        <v>242</v>
      </c>
      <c r="F133" s="297" t="s">
        <v>243</v>
      </c>
      <c r="G133" s="2020" t="s">
        <v>269</v>
      </c>
      <c r="H133" s="301">
        <f t="shared" ref="H133:V133" si="90">H132/H$59</f>
        <v>0</v>
      </c>
      <c r="I133" s="301">
        <f>I132/I$59</f>
        <v>0</v>
      </c>
      <c r="J133" s="301">
        <f>J132/J$59</f>
        <v>0</v>
      </c>
      <c r="K133" s="301">
        <f t="shared" si="90"/>
        <v>0</v>
      </c>
      <c r="L133" s="301">
        <f t="shared" si="90"/>
        <v>0</v>
      </c>
      <c r="M133" s="301">
        <f t="shared" si="90"/>
        <v>0</v>
      </c>
      <c r="N133" s="301">
        <f>N132/N$59</f>
        <v>0</v>
      </c>
      <c r="O133" s="301">
        <f>O132/O$59</f>
        <v>0</v>
      </c>
      <c r="P133" s="301">
        <f t="shared" si="90"/>
        <v>0</v>
      </c>
      <c r="Q133" s="301">
        <f t="shared" si="90"/>
        <v>0</v>
      </c>
      <c r="R133" s="301">
        <f>R132/R$59</f>
        <v>0</v>
      </c>
      <c r="S133" s="301">
        <f>S132/S$59</f>
        <v>0</v>
      </c>
      <c r="T133" s="301">
        <f>T132/T$59</f>
        <v>0</v>
      </c>
      <c r="U133" s="301">
        <f t="shared" si="90"/>
        <v>0</v>
      </c>
      <c r="V133" s="301">
        <f t="shared" si="90"/>
        <v>0</v>
      </c>
      <c r="W133" s="301">
        <f>W132/W$59</f>
        <v>0</v>
      </c>
      <c r="X133" s="301">
        <f t="shared" ref="X133:BC133" si="91">X132/X$59</f>
        <v>0</v>
      </c>
      <c r="Y133" s="301">
        <f t="shared" si="91"/>
        <v>0</v>
      </c>
      <c r="Z133" s="301">
        <f t="shared" si="91"/>
        <v>0</v>
      </c>
      <c r="AA133" s="301">
        <f t="shared" si="91"/>
        <v>0</v>
      </c>
      <c r="AB133" s="301">
        <f t="shared" si="91"/>
        <v>0</v>
      </c>
      <c r="AC133" s="301">
        <f t="shared" si="91"/>
        <v>0</v>
      </c>
      <c r="AD133" s="301">
        <f t="shared" si="91"/>
        <v>0</v>
      </c>
      <c r="AE133" s="301">
        <f t="shared" si="91"/>
        <v>0</v>
      </c>
      <c r="AF133" s="301">
        <f t="shared" si="91"/>
        <v>0</v>
      </c>
      <c r="AG133" s="301">
        <f t="shared" si="91"/>
        <v>0</v>
      </c>
      <c r="AH133" s="301">
        <f t="shared" si="91"/>
        <v>0</v>
      </c>
      <c r="AI133" s="301">
        <f t="shared" si="91"/>
        <v>0</v>
      </c>
      <c r="AJ133" s="301">
        <f t="shared" si="91"/>
        <v>0</v>
      </c>
      <c r="AK133" s="301">
        <f t="shared" si="91"/>
        <v>0</v>
      </c>
      <c r="AL133" s="301">
        <f t="shared" si="91"/>
        <v>0</v>
      </c>
      <c r="AM133" s="301">
        <f t="shared" si="91"/>
        <v>0</v>
      </c>
      <c r="AN133" s="301">
        <f t="shared" si="91"/>
        <v>0</v>
      </c>
      <c r="AO133" s="301">
        <f t="shared" si="91"/>
        <v>0</v>
      </c>
      <c r="AP133" s="301">
        <f t="shared" si="91"/>
        <v>0</v>
      </c>
      <c r="AQ133" s="301">
        <f t="shared" si="91"/>
        <v>0</v>
      </c>
      <c r="AR133" s="301">
        <f t="shared" si="91"/>
        <v>0</v>
      </c>
      <c r="AS133" s="301">
        <f t="shared" si="91"/>
        <v>0</v>
      </c>
      <c r="AT133" s="301">
        <f t="shared" si="91"/>
        <v>0</v>
      </c>
      <c r="AU133" s="301">
        <f t="shared" si="91"/>
        <v>0</v>
      </c>
      <c r="AV133" s="301">
        <f t="shared" si="91"/>
        <v>0</v>
      </c>
      <c r="AW133" s="301">
        <f t="shared" si="91"/>
        <v>0</v>
      </c>
      <c r="AX133" s="301">
        <f t="shared" si="91"/>
        <v>0</v>
      </c>
      <c r="AY133" s="301">
        <f t="shared" si="91"/>
        <v>0</v>
      </c>
      <c r="AZ133" s="301">
        <f t="shared" si="91"/>
        <v>0</v>
      </c>
      <c r="BA133" s="301">
        <f t="shared" si="91"/>
        <v>0</v>
      </c>
      <c r="BB133" s="301">
        <f t="shared" si="91"/>
        <v>0</v>
      </c>
      <c r="BC133" s="301">
        <f t="shared" si="91"/>
        <v>0</v>
      </c>
      <c r="BD133" s="301">
        <f t="shared" ref="BD133:BI133" si="92">BD132/BD$59</f>
        <v>0</v>
      </c>
      <c r="BE133" s="301">
        <f t="shared" si="92"/>
        <v>0</v>
      </c>
      <c r="BF133" s="301">
        <f t="shared" si="92"/>
        <v>0</v>
      </c>
      <c r="BG133" s="301">
        <f t="shared" si="92"/>
        <v>0</v>
      </c>
      <c r="BH133" s="301">
        <f t="shared" si="92"/>
        <v>0</v>
      </c>
      <c r="BI133" s="301">
        <f t="shared" si="92"/>
        <v>0</v>
      </c>
      <c r="BJ133" s="301"/>
    </row>
    <row r="134" spans="1:62" s="306" customFormat="1" ht="13.15" hidden="1" customHeight="1">
      <c r="A134" s="311"/>
      <c r="B134" s="310"/>
      <c r="C134" s="312"/>
      <c r="D134" s="4035"/>
      <c r="E134" s="326"/>
      <c r="F134" s="297"/>
      <c r="G134" s="2020"/>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01"/>
      <c r="AO134" s="301"/>
      <c r="AP134" s="301"/>
      <c r="AQ134" s="301"/>
      <c r="AR134" s="301"/>
      <c r="AS134" s="301"/>
      <c r="AT134" s="301"/>
      <c r="AU134" s="301"/>
      <c r="AV134" s="301"/>
      <c r="AW134" s="301"/>
      <c r="AX134" s="301"/>
      <c r="AY134" s="301"/>
      <c r="AZ134" s="301"/>
      <c r="BA134" s="301"/>
      <c r="BB134" s="301"/>
      <c r="BC134" s="301"/>
      <c r="BD134" s="301"/>
      <c r="BE134" s="301"/>
      <c r="BF134" s="301"/>
      <c r="BG134" s="301"/>
      <c r="BH134" s="301"/>
      <c r="BI134" s="301"/>
      <c r="BJ134" s="301"/>
    </row>
    <row r="135" spans="1:62" s="306" customFormat="1" ht="13.15" customHeight="1">
      <c r="A135" s="311"/>
      <c r="B135" s="310"/>
      <c r="C135" s="312"/>
      <c r="D135" s="4035"/>
      <c r="E135" s="521" t="s">
        <v>114</v>
      </c>
      <c r="F135" s="297" t="s">
        <v>115</v>
      </c>
      <c r="G135" s="2020" t="s">
        <v>73</v>
      </c>
      <c r="H135" s="342">
        <f>H115+H119+H123+H128</f>
        <v>0.3</v>
      </c>
      <c r="I135" s="342">
        <f>I115+I119+I123+I128</f>
        <v>0.3</v>
      </c>
      <c r="J135" s="342">
        <f>J115+J119+J123+J128</f>
        <v>0.3</v>
      </c>
      <c r="K135" s="342">
        <f>K115+K119+K123+K128</f>
        <v>0.3</v>
      </c>
      <c r="L135" s="342">
        <f t="shared" ref="L135:W135" si="93">L115+L119+L123+L128</f>
        <v>0.3</v>
      </c>
      <c r="M135" s="342">
        <f t="shared" si="93"/>
        <v>0.3</v>
      </c>
      <c r="N135" s="342">
        <f>N115+N119+N123+N128</f>
        <v>0.3</v>
      </c>
      <c r="O135" s="342">
        <f>O115+O119+O123+O128</f>
        <v>0.3</v>
      </c>
      <c r="P135" s="342">
        <f t="shared" si="93"/>
        <v>0.3</v>
      </c>
      <c r="Q135" s="342">
        <f t="shared" si="93"/>
        <v>0.3</v>
      </c>
      <c r="R135" s="342">
        <f t="shared" ref="R135:T136" si="94">R115+R119+R123+R128</f>
        <v>0.3</v>
      </c>
      <c r="S135" s="342">
        <f t="shared" si="94"/>
        <v>0.3</v>
      </c>
      <c r="T135" s="342">
        <f t="shared" si="94"/>
        <v>0.3</v>
      </c>
      <c r="U135" s="342">
        <f t="shared" si="93"/>
        <v>0.3</v>
      </c>
      <c r="V135" s="342">
        <f t="shared" si="93"/>
        <v>0.3</v>
      </c>
      <c r="W135" s="342">
        <f t="shared" si="93"/>
        <v>0.3</v>
      </c>
      <c r="X135" s="342">
        <f t="shared" ref="X135:BC135" si="95">X115+X119+X123+X128</f>
        <v>0.3</v>
      </c>
      <c r="Y135" s="342">
        <f t="shared" si="95"/>
        <v>0.3</v>
      </c>
      <c r="Z135" s="342">
        <f t="shared" si="95"/>
        <v>0.3</v>
      </c>
      <c r="AA135" s="342">
        <f t="shared" si="95"/>
        <v>0.3</v>
      </c>
      <c r="AB135" s="342">
        <f t="shared" si="95"/>
        <v>0.3</v>
      </c>
      <c r="AC135" s="342">
        <f t="shared" si="95"/>
        <v>0.3</v>
      </c>
      <c r="AD135" s="342">
        <f t="shared" si="95"/>
        <v>0.3</v>
      </c>
      <c r="AE135" s="342">
        <f t="shared" si="95"/>
        <v>0.3</v>
      </c>
      <c r="AF135" s="342">
        <f t="shared" si="95"/>
        <v>0.3</v>
      </c>
      <c r="AG135" s="342">
        <f t="shared" si="95"/>
        <v>0.3</v>
      </c>
      <c r="AH135" s="342">
        <f t="shared" si="95"/>
        <v>0.3</v>
      </c>
      <c r="AI135" s="342">
        <f t="shared" si="95"/>
        <v>0.3</v>
      </c>
      <c r="AJ135" s="342">
        <f t="shared" si="95"/>
        <v>0.3</v>
      </c>
      <c r="AK135" s="342">
        <f t="shared" si="95"/>
        <v>0.3</v>
      </c>
      <c r="AL135" s="342">
        <f t="shared" si="95"/>
        <v>0.3</v>
      </c>
      <c r="AM135" s="342">
        <f t="shared" si="95"/>
        <v>0.3</v>
      </c>
      <c r="AN135" s="342">
        <f t="shared" si="95"/>
        <v>0.3</v>
      </c>
      <c r="AO135" s="342">
        <f t="shared" si="95"/>
        <v>0.3</v>
      </c>
      <c r="AP135" s="342">
        <f t="shared" si="95"/>
        <v>0.3</v>
      </c>
      <c r="AQ135" s="342">
        <f t="shared" si="95"/>
        <v>0.3</v>
      </c>
      <c r="AR135" s="342">
        <f t="shared" si="95"/>
        <v>0.3</v>
      </c>
      <c r="AS135" s="342">
        <f t="shared" si="95"/>
        <v>0.3</v>
      </c>
      <c r="AT135" s="342">
        <f t="shared" si="95"/>
        <v>0.3</v>
      </c>
      <c r="AU135" s="342">
        <f t="shared" si="95"/>
        <v>0.3</v>
      </c>
      <c r="AV135" s="342">
        <f t="shared" si="95"/>
        <v>0.3</v>
      </c>
      <c r="AW135" s="342">
        <f t="shared" si="95"/>
        <v>0.3</v>
      </c>
      <c r="AX135" s="342">
        <f t="shared" si="95"/>
        <v>0.3</v>
      </c>
      <c r="AY135" s="342">
        <f t="shared" si="95"/>
        <v>0.3</v>
      </c>
      <c r="AZ135" s="342">
        <f t="shared" si="95"/>
        <v>0.3</v>
      </c>
      <c r="BA135" s="342">
        <f t="shared" si="95"/>
        <v>0.3</v>
      </c>
      <c r="BB135" s="342">
        <f t="shared" si="95"/>
        <v>0.3</v>
      </c>
      <c r="BC135" s="342">
        <f t="shared" si="95"/>
        <v>0.3</v>
      </c>
      <c r="BD135" s="342">
        <f t="shared" ref="BD135:BI135" si="96">BD115+BD119+BD123+BD128</f>
        <v>0.3</v>
      </c>
      <c r="BE135" s="342">
        <f t="shared" si="96"/>
        <v>0.3</v>
      </c>
      <c r="BF135" s="342">
        <f t="shared" si="96"/>
        <v>0.3</v>
      </c>
      <c r="BG135" s="342">
        <f t="shared" si="96"/>
        <v>0.3</v>
      </c>
      <c r="BH135" s="342">
        <f t="shared" si="96"/>
        <v>0.3</v>
      </c>
      <c r="BI135" s="342">
        <f t="shared" si="96"/>
        <v>0.3</v>
      </c>
      <c r="BJ135" s="342"/>
    </row>
    <row r="136" spans="1:62" s="306" customFormat="1">
      <c r="A136" s="311"/>
      <c r="B136" s="310"/>
      <c r="C136" s="312"/>
      <c r="D136" s="4035"/>
      <c r="E136" s="327" t="s">
        <v>116</v>
      </c>
      <c r="F136" s="317" t="s">
        <v>246</v>
      </c>
      <c r="G136" s="2020" t="s">
        <v>269</v>
      </c>
      <c r="H136" s="301">
        <f>H116+H120+H124+H129</f>
        <v>5639.5017709735521</v>
      </c>
      <c r="I136" s="301">
        <f>I116+I120+I124+I129</f>
        <v>5639.5017709735521</v>
      </c>
      <c r="J136" s="301">
        <f>J116+J120+J124+J129</f>
        <v>5486.5687089166595</v>
      </c>
      <c r="K136" s="301">
        <f t="shared" ref="K136:W136" si="97">K116+K120+K124+K129</f>
        <v>2727.6149245104189</v>
      </c>
      <c r="L136" s="301">
        <f t="shared" si="97"/>
        <v>3928.3584510612009</v>
      </c>
      <c r="M136" s="301">
        <f t="shared" si="97"/>
        <v>3928.3584510612009</v>
      </c>
      <c r="N136" s="301">
        <f>N116+N120+N124+N129</f>
        <v>3659.8377468114472</v>
      </c>
      <c r="O136" s="301">
        <f>O116+O120+O124+O129</f>
        <v>3659.8377468114472</v>
      </c>
      <c r="P136" s="301">
        <f t="shared" si="97"/>
        <v>4015.6553055292275</v>
      </c>
      <c r="Q136" s="301">
        <f t="shared" si="97"/>
        <v>4015.6553055292275</v>
      </c>
      <c r="R136" s="301">
        <f t="shared" si="94"/>
        <v>283.45802156676899</v>
      </c>
      <c r="S136" s="301">
        <f t="shared" si="94"/>
        <v>2780.0690576740808</v>
      </c>
      <c r="T136" s="301">
        <f t="shared" si="94"/>
        <v>2780.0690576740808</v>
      </c>
      <c r="U136" s="301">
        <f t="shared" si="97"/>
        <v>3706.7587435654405</v>
      </c>
      <c r="V136" s="301">
        <f t="shared" si="97"/>
        <v>10151.407532154493</v>
      </c>
      <c r="W136" s="301">
        <f t="shared" si="97"/>
        <v>10151.407532154493</v>
      </c>
      <c r="X136" s="301">
        <f t="shared" ref="X136:BC136" si="98">X116+X120+X124+X129</f>
        <v>3528.3317125192393</v>
      </c>
      <c r="Y136" s="301">
        <f t="shared" si="98"/>
        <v>3927.7654912950029</v>
      </c>
      <c r="Z136" s="301">
        <f t="shared" si="98"/>
        <v>4283.3656592311763</v>
      </c>
      <c r="AA136" s="301">
        <f t="shared" si="98"/>
        <v>4283.3656592311763</v>
      </c>
      <c r="AB136" s="301">
        <f t="shared" si="98"/>
        <v>9130.3320630980324</v>
      </c>
      <c r="AC136" s="301">
        <f t="shared" si="98"/>
        <v>9891.1930683562023</v>
      </c>
      <c r="AD136" s="301">
        <f t="shared" si="98"/>
        <v>11412.915078872538</v>
      </c>
      <c r="AE136" s="301">
        <f t="shared" si="98"/>
        <v>14456.359099905218</v>
      </c>
      <c r="AF136" s="301">
        <f t="shared" si="98"/>
        <v>18260.664126196065</v>
      </c>
      <c r="AG136" s="301">
        <f t="shared" si="98"/>
        <v>6162.9741425911716</v>
      </c>
      <c r="AH136" s="301">
        <f t="shared" si="98"/>
        <v>7608.6100525816937</v>
      </c>
      <c r="AI136" s="301">
        <f t="shared" si="98"/>
        <v>9891.1930683562023</v>
      </c>
      <c r="AJ136" s="301">
        <f t="shared" si="98"/>
        <v>12173.77608413071</v>
      </c>
      <c r="AK136" s="301">
        <f t="shared" si="98"/>
        <v>15217.220105163387</v>
      </c>
      <c r="AL136" s="301">
        <f t="shared" si="98"/>
        <v>20543.247141970573</v>
      </c>
      <c r="AM136" s="301">
        <f t="shared" si="98"/>
        <v>24347.55216826142</v>
      </c>
      <c r="AN136" s="301">
        <f t="shared" si="98"/>
        <v>9753.4772264044732</v>
      </c>
      <c r="AO136" s="301">
        <f t="shared" si="98"/>
        <v>11580.304500029337</v>
      </c>
      <c r="AP136" s="301">
        <f t="shared" si="98"/>
        <v>11733.237562086229</v>
      </c>
      <c r="AQ136" s="301">
        <f t="shared" si="98"/>
        <v>12645.509907390773</v>
      </c>
      <c r="AR136" s="301">
        <f t="shared" si="98"/>
        <v>13558.543113700578</v>
      </c>
      <c r="AS136" s="301">
        <f t="shared" si="98"/>
        <v>13558.543113700578</v>
      </c>
      <c r="AT136" s="301">
        <f t="shared" si="98"/>
        <v>15392.218136372767</v>
      </c>
      <c r="AU136" s="301">
        <f t="shared" si="98"/>
        <v>15392.218136372767</v>
      </c>
      <c r="AV136" s="301">
        <f t="shared" si="98"/>
        <v>17370.456750044006</v>
      </c>
      <c r="AW136" s="301">
        <f t="shared" si="98"/>
        <v>17370.456750044006</v>
      </c>
      <c r="AX136" s="301">
        <f t="shared" si="98"/>
        <v>19198.044884674131</v>
      </c>
      <c r="AY136" s="301">
        <f t="shared" si="98"/>
        <v>19198.044884674131</v>
      </c>
      <c r="AZ136" s="301">
        <f t="shared" si="98"/>
        <v>19196.523162663612</v>
      </c>
      <c r="BA136" s="301">
        <f t="shared" si="98"/>
        <v>21182.370386387433</v>
      </c>
      <c r="BB136" s="301">
        <f t="shared" si="98"/>
        <v>20418.465937108231</v>
      </c>
      <c r="BC136" s="301">
        <f t="shared" si="98"/>
        <v>21022.589575283218</v>
      </c>
      <c r="BD136" s="301">
        <f t="shared" ref="BD136:BI136" si="99">BD116+BD120+BD124+BD129</f>
        <v>3525.9412438793211</v>
      </c>
      <c r="BE136" s="301">
        <f t="shared" si="99"/>
        <v>19592.17088539786</v>
      </c>
      <c r="BF136" s="301">
        <f t="shared" si="99"/>
        <v>19592.17088539786</v>
      </c>
      <c r="BG136" s="301">
        <f t="shared" si="99"/>
        <v>9417.8235178535615</v>
      </c>
      <c r="BH136" s="301">
        <f t="shared" si="99"/>
        <v>5354.2070740389699</v>
      </c>
      <c r="BI136" s="301">
        <f t="shared" si="99"/>
        <v>1720.9951309410976</v>
      </c>
      <c r="BJ136" s="301"/>
    </row>
    <row r="137" spans="1:62" s="306" customFormat="1">
      <c r="A137" s="313"/>
      <c r="B137" s="328"/>
      <c r="C137" s="312"/>
      <c r="D137" s="4035"/>
      <c r="E137" s="327" t="s">
        <v>285</v>
      </c>
      <c r="F137" s="329" t="s">
        <v>286</v>
      </c>
      <c r="G137" s="2020" t="s">
        <v>269</v>
      </c>
      <c r="H137" s="301">
        <f>H120+H124+H129</f>
        <v>250.15148125199366</v>
      </c>
      <c r="I137" s="301">
        <f>I120+I124+I129</f>
        <v>250.15148125199366</v>
      </c>
      <c r="J137" s="301">
        <f>J120+J124+J129</f>
        <v>243.36782667405913</v>
      </c>
      <c r="K137" s="301">
        <f t="shared" ref="K137:W137" si="100">K120+K124+K129</f>
        <v>120.98886415165309</v>
      </c>
      <c r="L137" s="301">
        <f t="shared" si="100"/>
        <v>174.25026630536993</v>
      </c>
      <c r="M137" s="301">
        <f t="shared" si="100"/>
        <v>174.25026630536993</v>
      </c>
      <c r="N137" s="301">
        <f>N120+N124+N129</f>
        <v>162.33948860854719</v>
      </c>
      <c r="O137" s="301">
        <f>O120+O124+O129</f>
        <v>162.33948860854719</v>
      </c>
      <c r="P137" s="301">
        <f t="shared" si="100"/>
        <v>178.12249444548928</v>
      </c>
      <c r="Q137" s="301">
        <f t="shared" si="100"/>
        <v>178.12249444548928</v>
      </c>
      <c r="R137" s="301">
        <f>R120+R124+R129</f>
        <v>12.573352549093359</v>
      </c>
      <c r="S137" s="301">
        <f>S120+S124+S129</f>
        <v>123.31557307764642</v>
      </c>
      <c r="T137" s="301">
        <f>T120+T124+T129</f>
        <v>123.31557307764642</v>
      </c>
      <c r="U137" s="301">
        <f t="shared" si="100"/>
        <v>164.42076410352857</v>
      </c>
      <c r="V137" s="301">
        <f t="shared" si="100"/>
        <v>450.28616606369388</v>
      </c>
      <c r="W137" s="301">
        <f t="shared" si="100"/>
        <v>450.28616606369388</v>
      </c>
      <c r="X137" s="301">
        <f t="shared" ref="X137:BC137" si="101">X120+X124+X129</f>
        <v>156.50627308566379</v>
      </c>
      <c r="Y137" s="301">
        <f t="shared" si="101"/>
        <v>174.22396437838049</v>
      </c>
      <c r="Z137" s="301">
        <f t="shared" si="101"/>
        <v>189.99732740852193</v>
      </c>
      <c r="AA137" s="301">
        <f t="shared" si="101"/>
        <v>189.99732740852193</v>
      </c>
      <c r="AB137" s="301">
        <f t="shared" si="101"/>
        <v>404.99430316027036</v>
      </c>
      <c r="AC137" s="301">
        <f t="shared" si="101"/>
        <v>438.74382842362621</v>
      </c>
      <c r="AD137" s="301">
        <f t="shared" si="101"/>
        <v>506.24287895033785</v>
      </c>
      <c r="AE137" s="301">
        <f t="shared" si="101"/>
        <v>641.24098000376148</v>
      </c>
      <c r="AF137" s="301">
        <f t="shared" si="101"/>
        <v>809.98860632054073</v>
      </c>
      <c r="AG137" s="301">
        <f t="shared" si="101"/>
        <v>273.37115463318253</v>
      </c>
      <c r="AH137" s="301">
        <f t="shared" si="101"/>
        <v>337.49525263355861</v>
      </c>
      <c r="AI137" s="301">
        <f t="shared" si="101"/>
        <v>438.74382842362621</v>
      </c>
      <c r="AJ137" s="301">
        <f t="shared" si="101"/>
        <v>539.99240421369382</v>
      </c>
      <c r="AK137" s="301">
        <f t="shared" si="101"/>
        <v>674.99050526711721</v>
      </c>
      <c r="AL137" s="301">
        <f t="shared" si="101"/>
        <v>911.23718211060816</v>
      </c>
      <c r="AM137" s="301">
        <f t="shared" si="101"/>
        <v>1079.9848084273876</v>
      </c>
      <c r="AN137" s="301">
        <f t="shared" si="101"/>
        <v>432.63516435095886</v>
      </c>
      <c r="AO137" s="301">
        <f t="shared" si="101"/>
        <v>513.66777450827624</v>
      </c>
      <c r="AP137" s="301">
        <f t="shared" si="101"/>
        <v>520.45142908621074</v>
      </c>
      <c r="AQ137" s="301">
        <f t="shared" si="101"/>
        <v>560.91710987697445</v>
      </c>
      <c r="AR137" s="301">
        <f t="shared" si="101"/>
        <v>601.41654019300154</v>
      </c>
      <c r="AS137" s="301">
        <f t="shared" si="101"/>
        <v>601.41654019300154</v>
      </c>
      <c r="AT137" s="301">
        <f t="shared" si="101"/>
        <v>682.75289607768912</v>
      </c>
      <c r="AU137" s="301">
        <f t="shared" si="101"/>
        <v>682.75289607768912</v>
      </c>
      <c r="AV137" s="301">
        <f t="shared" si="101"/>
        <v>770.50166176241441</v>
      </c>
      <c r="AW137" s="301">
        <f t="shared" si="101"/>
        <v>770.50166176241441</v>
      </c>
      <c r="AX137" s="301">
        <f t="shared" si="101"/>
        <v>851.56802144499511</v>
      </c>
      <c r="AY137" s="301">
        <f t="shared" si="101"/>
        <v>851.56802144499511</v>
      </c>
      <c r="AZ137" s="301">
        <f t="shared" si="101"/>
        <v>851.50052239446836</v>
      </c>
      <c r="BA137" s="301">
        <f t="shared" si="101"/>
        <v>939.58678333182706</v>
      </c>
      <c r="BB137" s="301">
        <f t="shared" si="101"/>
        <v>905.70225996741794</v>
      </c>
      <c r="BC137" s="301">
        <f t="shared" si="101"/>
        <v>932.49938302652242</v>
      </c>
      <c r="BD137" s="301">
        <f t="shared" ref="BD137:BI137" si="102">BD120+BD124+BD129</f>
        <v>156.40023902530766</v>
      </c>
      <c r="BE137" s="301">
        <f t="shared" si="102"/>
        <v>869.05027553141349</v>
      </c>
      <c r="BF137" s="301">
        <f t="shared" si="102"/>
        <v>869.05027553141349</v>
      </c>
      <c r="BG137" s="301">
        <f t="shared" si="102"/>
        <v>417.74656677769474</v>
      </c>
      <c r="BH137" s="301">
        <f t="shared" si="102"/>
        <v>237.49665926065239</v>
      </c>
      <c r="BI137" s="301">
        <f t="shared" si="102"/>
        <v>76.33821190520969</v>
      </c>
      <c r="BJ137" s="301"/>
    </row>
    <row r="138" spans="1:62" s="2112" customFormat="1">
      <c r="B138" s="2113"/>
      <c r="C138" s="2113"/>
      <c r="D138" s="4035"/>
      <c r="E138" s="2114" t="s">
        <v>241</v>
      </c>
      <c r="F138" s="2112" t="s">
        <v>244</v>
      </c>
      <c r="G138" s="2115" t="str">
        <f>Substances!$G$24</f>
        <v>(mg/m2/s)/(mg/l/m)</v>
      </c>
      <c r="H138" s="2116">
        <f t="shared" ref="H138:V138" si="103">$H135/H136</f>
        <v>5.3196188632140591E-5</v>
      </c>
      <c r="I138" s="2116">
        <f>$H135/I136</f>
        <v>5.3196188632140591E-5</v>
      </c>
      <c r="J138" s="2116">
        <f>$H135/J136</f>
        <v>5.467898351704702E-5</v>
      </c>
      <c r="K138" s="2116">
        <f t="shared" si="103"/>
        <v>1.0998619977629253E-4</v>
      </c>
      <c r="L138" s="2116">
        <f t="shared" si="103"/>
        <v>7.6367776448444625E-5</v>
      </c>
      <c r="M138" s="2116">
        <f t="shared" si="103"/>
        <v>7.6367776448444625E-5</v>
      </c>
      <c r="N138" s="2116">
        <f>$H135/N136</f>
        <v>8.1970847003085958E-5</v>
      </c>
      <c r="O138" s="2116">
        <f>$H135/O136</f>
        <v>8.1970847003085958E-5</v>
      </c>
      <c r="P138" s="2116">
        <f t="shared" si="103"/>
        <v>7.4707607395217566E-5</v>
      </c>
      <c r="Q138" s="2116">
        <f t="shared" si="103"/>
        <v>7.4707607395217566E-5</v>
      </c>
      <c r="R138" s="2116">
        <f>$H135/R136</f>
        <v>1.058357771432249E-3</v>
      </c>
      <c r="S138" s="2116">
        <f>$H135/S136</f>
        <v>1.0791098845975871E-4</v>
      </c>
      <c r="T138" s="2116">
        <f>$H135/T136</f>
        <v>1.0791098845975871E-4</v>
      </c>
      <c r="U138" s="2116">
        <f>$H135/U136</f>
        <v>8.0933241344819041E-5</v>
      </c>
      <c r="V138" s="2116">
        <f t="shared" si="103"/>
        <v>2.9552552101740831E-5</v>
      </c>
      <c r="W138" s="2116">
        <f>$H135/W136</f>
        <v>2.9552552101740831E-5</v>
      </c>
      <c r="X138" s="2116">
        <f t="shared" ref="X138:BC138" si="104">$H135/X136</f>
        <v>8.5026019219094085E-5</v>
      </c>
      <c r="Y138" s="2116">
        <f t="shared" si="104"/>
        <v>7.6379305400203155E-5</v>
      </c>
      <c r="Z138" s="2116">
        <f t="shared" si="104"/>
        <v>7.0038381933016473E-5</v>
      </c>
      <c r="AA138" s="2116">
        <f t="shared" si="104"/>
        <v>7.0038381933016473E-5</v>
      </c>
      <c r="AB138" s="2116">
        <f t="shared" si="104"/>
        <v>3.2857512511785507E-5</v>
      </c>
      <c r="AC138" s="2116">
        <f t="shared" si="104"/>
        <v>3.0330011549340466E-5</v>
      </c>
      <c r="AD138" s="2116">
        <f t="shared" si="104"/>
        <v>2.6286010009428411E-5</v>
      </c>
      <c r="AE138" s="2116">
        <f t="shared" si="104"/>
        <v>2.0752113165338215E-5</v>
      </c>
      <c r="AF138" s="2116">
        <f t="shared" si="104"/>
        <v>1.6428756255892754E-5</v>
      </c>
      <c r="AG138" s="2116">
        <f t="shared" si="104"/>
        <v>4.867779631375631E-5</v>
      </c>
      <c r="AH138" s="2116">
        <f t="shared" si="104"/>
        <v>3.942901501414261E-5</v>
      </c>
      <c r="AI138" s="2116">
        <f t="shared" si="104"/>
        <v>3.0330011549340466E-5</v>
      </c>
      <c r="AJ138" s="2116">
        <f t="shared" si="104"/>
        <v>2.464313438383913E-5</v>
      </c>
      <c r="AK138" s="2116">
        <f t="shared" si="104"/>
        <v>1.9714507507071305E-5</v>
      </c>
      <c r="AL138" s="2116">
        <f t="shared" si="104"/>
        <v>1.4603338894126893E-5</v>
      </c>
      <c r="AM138" s="2116">
        <f t="shared" si="104"/>
        <v>1.2321567191919565E-5</v>
      </c>
      <c r="AN138" s="2116">
        <f t="shared" si="104"/>
        <v>3.0758261185851165E-5</v>
      </c>
      <c r="AO138" s="2116">
        <f t="shared" si="104"/>
        <v>2.5906054542800664E-5</v>
      </c>
      <c r="AP138" s="2116">
        <f t="shared" si="104"/>
        <v>2.5568390515623246E-5</v>
      </c>
      <c r="AQ138" s="2116">
        <f t="shared" si="104"/>
        <v>2.3723835748581597E-5</v>
      </c>
      <c r="AR138" s="2116">
        <f t="shared" si="104"/>
        <v>2.2126271051707413E-5</v>
      </c>
      <c r="AS138" s="2116">
        <f t="shared" si="104"/>
        <v>2.2126271051707413E-5</v>
      </c>
      <c r="AT138" s="2116">
        <f t="shared" si="104"/>
        <v>1.9490368271943947E-5</v>
      </c>
      <c r="AU138" s="2116">
        <f t="shared" si="104"/>
        <v>1.9490368271943947E-5</v>
      </c>
      <c r="AV138" s="2116">
        <f t="shared" si="104"/>
        <v>1.7270703028533777E-5</v>
      </c>
      <c r="AW138" s="2116">
        <f t="shared" si="104"/>
        <v>1.7270703028533777E-5</v>
      </c>
      <c r="AX138" s="2116">
        <f t="shared" si="104"/>
        <v>1.56265912389595E-5</v>
      </c>
      <c r="AY138" s="2116">
        <f t="shared" si="104"/>
        <v>1.56265912389595E-5</v>
      </c>
      <c r="AZ138" s="2116">
        <f t="shared" si="104"/>
        <v>1.5627829969933656E-5</v>
      </c>
      <c r="BA138" s="2116">
        <f t="shared" si="104"/>
        <v>1.4162720910252377E-5</v>
      </c>
      <c r="BB138" s="2116">
        <f t="shared" si="104"/>
        <v>1.4692582729968182E-5</v>
      </c>
      <c r="BC138" s="2116">
        <f t="shared" si="104"/>
        <v>1.4270363740189147E-5</v>
      </c>
      <c r="BD138" s="2116">
        <f t="shared" ref="BD138:BI138" si="105">$H135/BD136</f>
        <v>8.5083663977886695E-5</v>
      </c>
      <c r="BE138" s="2116">
        <f t="shared" si="105"/>
        <v>1.5312238840443732E-5</v>
      </c>
      <c r="BF138" s="2116">
        <f t="shared" si="105"/>
        <v>1.5312238840443732E-5</v>
      </c>
      <c r="BG138" s="2116">
        <f t="shared" si="105"/>
        <v>3.185449370879416E-5</v>
      </c>
      <c r="BH138" s="2116">
        <f t="shared" si="105"/>
        <v>5.6030705546413181E-5</v>
      </c>
      <c r="BI138" s="2116">
        <f t="shared" si="105"/>
        <v>1.7431775058884098E-4</v>
      </c>
      <c r="BJ138" s="2116"/>
    </row>
    <row r="139" spans="1:62" s="2112" customFormat="1">
      <c r="B139" s="2113"/>
      <c r="C139" s="2113"/>
      <c r="D139" s="4035"/>
      <c r="E139" s="2114" t="s">
        <v>133</v>
      </c>
      <c r="F139" s="2112" t="s">
        <v>134</v>
      </c>
      <c r="G139" s="2115" t="s">
        <v>131</v>
      </c>
      <c r="H139" s="2116">
        <f t="shared" ref="H139:AM139" si="106">SUM(H115/H18,H119/H37,H123/H48,H128/H54,H132/H60)</f>
        <v>133915.86399031797</v>
      </c>
      <c r="I139" s="2116">
        <f t="shared" si="106"/>
        <v>133915.86399031797</v>
      </c>
      <c r="J139" s="2116">
        <f t="shared" si="106"/>
        <v>133915.86399031797</v>
      </c>
      <c r="K139" s="2116">
        <f t="shared" si="106"/>
        <v>133915.86399031797</v>
      </c>
      <c r="L139" s="2116">
        <f t="shared" si="106"/>
        <v>133915.86399031797</v>
      </c>
      <c r="M139" s="2116">
        <f t="shared" si="106"/>
        <v>133915.86399031797</v>
      </c>
      <c r="N139" s="2116">
        <f t="shared" si="106"/>
        <v>133915.86399031797</v>
      </c>
      <c r="O139" s="2116">
        <f t="shared" si="106"/>
        <v>133915.86399031797</v>
      </c>
      <c r="P139" s="2116">
        <f t="shared" si="106"/>
        <v>133915.86399031797</v>
      </c>
      <c r="Q139" s="2116">
        <f t="shared" si="106"/>
        <v>133915.86399031797</v>
      </c>
      <c r="R139" s="2116">
        <f t="shared" si="106"/>
        <v>133915.86399031797</v>
      </c>
      <c r="S139" s="2116">
        <f t="shared" si="106"/>
        <v>133915.86399031797</v>
      </c>
      <c r="T139" s="2116">
        <f t="shared" si="106"/>
        <v>133915.86399031797</v>
      </c>
      <c r="U139" s="2116">
        <f t="shared" si="106"/>
        <v>133915.86399031797</v>
      </c>
      <c r="V139" s="2116">
        <f t="shared" si="106"/>
        <v>133915.86399031797</v>
      </c>
      <c r="W139" s="2116">
        <f t="shared" si="106"/>
        <v>133915.86399031797</v>
      </c>
      <c r="X139" s="2116">
        <f t="shared" si="106"/>
        <v>133915.86399031797</v>
      </c>
      <c r="Y139" s="2116">
        <f t="shared" si="106"/>
        <v>133915.86399031797</v>
      </c>
      <c r="Z139" s="2116">
        <f t="shared" si="106"/>
        <v>133915.86399031797</v>
      </c>
      <c r="AA139" s="2116">
        <f t="shared" si="106"/>
        <v>133915.86399031797</v>
      </c>
      <c r="AB139" s="2116">
        <f t="shared" si="106"/>
        <v>133915.86399031797</v>
      </c>
      <c r="AC139" s="2116">
        <f t="shared" si="106"/>
        <v>133915.86399031797</v>
      </c>
      <c r="AD139" s="2116">
        <f t="shared" si="106"/>
        <v>133915.86399031797</v>
      </c>
      <c r="AE139" s="2116">
        <f t="shared" si="106"/>
        <v>133915.86399031797</v>
      </c>
      <c r="AF139" s="2116">
        <f t="shared" si="106"/>
        <v>133915.86399031797</v>
      </c>
      <c r="AG139" s="2116">
        <f t="shared" si="106"/>
        <v>133915.86399031797</v>
      </c>
      <c r="AH139" s="2116">
        <f t="shared" si="106"/>
        <v>133915.86399031797</v>
      </c>
      <c r="AI139" s="2116">
        <f t="shared" si="106"/>
        <v>133915.86399031797</v>
      </c>
      <c r="AJ139" s="2116">
        <f t="shared" si="106"/>
        <v>133915.86399031797</v>
      </c>
      <c r="AK139" s="2116">
        <f t="shared" si="106"/>
        <v>133915.86399031797</v>
      </c>
      <c r="AL139" s="2116">
        <f t="shared" si="106"/>
        <v>133915.86399031797</v>
      </c>
      <c r="AM139" s="2116">
        <f t="shared" si="106"/>
        <v>133915.86399031797</v>
      </c>
      <c r="AN139" s="2116">
        <f t="shared" ref="AN139:BI139" si="107">SUM(AN115/AN18,AN119/AN37,AN123/AN48,AN128/AN54,AN132/AN60)</f>
        <v>133915.86399031797</v>
      </c>
      <c r="AO139" s="2116">
        <f t="shared" si="107"/>
        <v>133915.86399031797</v>
      </c>
      <c r="AP139" s="2116">
        <f t="shared" si="107"/>
        <v>133915.86399031797</v>
      </c>
      <c r="AQ139" s="2116">
        <f t="shared" si="107"/>
        <v>133915.86399031797</v>
      </c>
      <c r="AR139" s="2116">
        <f t="shared" si="107"/>
        <v>133915.86399031797</v>
      </c>
      <c r="AS139" s="2116">
        <f t="shared" si="107"/>
        <v>133915.86399031797</v>
      </c>
      <c r="AT139" s="2116">
        <f t="shared" si="107"/>
        <v>133915.86399031797</v>
      </c>
      <c r="AU139" s="2116">
        <f t="shared" si="107"/>
        <v>133915.86399031797</v>
      </c>
      <c r="AV139" s="2116">
        <f t="shared" si="107"/>
        <v>133915.86399031797</v>
      </c>
      <c r="AW139" s="2116">
        <f t="shared" si="107"/>
        <v>133915.86399031797</v>
      </c>
      <c r="AX139" s="2116">
        <f t="shared" si="107"/>
        <v>133915.86399031797</v>
      </c>
      <c r="AY139" s="2116">
        <f t="shared" si="107"/>
        <v>133915.86399031797</v>
      </c>
      <c r="AZ139" s="2116">
        <f t="shared" si="107"/>
        <v>133915.86399031797</v>
      </c>
      <c r="BA139" s="2116">
        <f t="shared" si="107"/>
        <v>133915.86399031797</v>
      </c>
      <c r="BB139" s="2116">
        <f t="shared" si="107"/>
        <v>133915.86399031797</v>
      </c>
      <c r="BC139" s="2116">
        <f t="shared" si="107"/>
        <v>133915.86399031797</v>
      </c>
      <c r="BD139" s="2116">
        <f t="shared" si="107"/>
        <v>133915.86399031797</v>
      </c>
      <c r="BE139" s="2116">
        <f t="shared" si="107"/>
        <v>133915.86399031797</v>
      </c>
      <c r="BF139" s="2116">
        <f t="shared" si="107"/>
        <v>133915.86399031797</v>
      </c>
      <c r="BG139" s="2116">
        <f t="shared" si="107"/>
        <v>133915.86399031797</v>
      </c>
      <c r="BH139" s="2116">
        <f t="shared" si="107"/>
        <v>133915.86399031797</v>
      </c>
      <c r="BI139" s="2116">
        <f t="shared" si="107"/>
        <v>133915.86399031797</v>
      </c>
      <c r="BJ139" s="2116"/>
    </row>
    <row r="140" spans="1:62" s="3647" customFormat="1" ht="13.5" thickBot="1">
      <c r="B140" s="3648"/>
      <c r="C140" s="3648"/>
      <c r="D140" s="4036"/>
      <c r="E140" s="3649" t="s">
        <v>248</v>
      </c>
      <c r="F140" s="3647" t="s">
        <v>132</v>
      </c>
      <c r="G140" s="3650" t="s">
        <v>125</v>
      </c>
      <c r="H140" s="3651">
        <f>H135/H139</f>
        <v>2.2402125563084131E-6</v>
      </c>
      <c r="I140" s="3651">
        <f t="shared" ref="I140:BI140" si="108">I135/I139</f>
        <v>2.2402125563084131E-6</v>
      </c>
      <c r="J140" s="3651">
        <f t="shared" si="108"/>
        <v>2.2402125563084131E-6</v>
      </c>
      <c r="K140" s="3651">
        <f t="shared" si="108"/>
        <v>2.2402125563084131E-6</v>
      </c>
      <c r="L140" s="3651">
        <f t="shared" si="108"/>
        <v>2.2402125563084131E-6</v>
      </c>
      <c r="M140" s="3651">
        <f t="shared" si="108"/>
        <v>2.2402125563084131E-6</v>
      </c>
      <c r="N140" s="3651">
        <f t="shared" si="108"/>
        <v>2.2402125563084131E-6</v>
      </c>
      <c r="O140" s="3651">
        <f t="shared" si="108"/>
        <v>2.2402125563084131E-6</v>
      </c>
      <c r="P140" s="3651">
        <f t="shared" si="108"/>
        <v>2.2402125563084131E-6</v>
      </c>
      <c r="Q140" s="3651">
        <f t="shared" si="108"/>
        <v>2.2402125563084131E-6</v>
      </c>
      <c r="R140" s="3651">
        <f t="shared" si="108"/>
        <v>2.2402125563084131E-6</v>
      </c>
      <c r="S140" s="3651">
        <f t="shared" si="108"/>
        <v>2.2402125563084131E-6</v>
      </c>
      <c r="T140" s="3651">
        <f t="shared" si="108"/>
        <v>2.2402125563084131E-6</v>
      </c>
      <c r="U140" s="3651">
        <f t="shared" si="108"/>
        <v>2.2402125563084131E-6</v>
      </c>
      <c r="V140" s="3651">
        <f t="shared" si="108"/>
        <v>2.2402125563084131E-6</v>
      </c>
      <c r="W140" s="3651">
        <f t="shared" si="108"/>
        <v>2.2402125563084131E-6</v>
      </c>
      <c r="X140" s="3651">
        <f t="shared" si="108"/>
        <v>2.2402125563084131E-6</v>
      </c>
      <c r="Y140" s="3651">
        <f t="shared" si="108"/>
        <v>2.2402125563084131E-6</v>
      </c>
      <c r="Z140" s="3651">
        <f t="shared" si="108"/>
        <v>2.2402125563084131E-6</v>
      </c>
      <c r="AA140" s="3651">
        <f t="shared" si="108"/>
        <v>2.2402125563084131E-6</v>
      </c>
      <c r="AB140" s="3651">
        <f t="shared" si="108"/>
        <v>2.2402125563084131E-6</v>
      </c>
      <c r="AC140" s="3651">
        <f t="shared" si="108"/>
        <v>2.2402125563084131E-6</v>
      </c>
      <c r="AD140" s="3651">
        <f t="shared" si="108"/>
        <v>2.2402125563084131E-6</v>
      </c>
      <c r="AE140" s="3651">
        <f t="shared" si="108"/>
        <v>2.2402125563084131E-6</v>
      </c>
      <c r="AF140" s="3651">
        <f t="shared" si="108"/>
        <v>2.2402125563084131E-6</v>
      </c>
      <c r="AG140" s="3651">
        <f t="shared" si="108"/>
        <v>2.2402125563084131E-6</v>
      </c>
      <c r="AH140" s="3651">
        <f t="shared" si="108"/>
        <v>2.2402125563084131E-6</v>
      </c>
      <c r="AI140" s="3651">
        <f t="shared" si="108"/>
        <v>2.2402125563084131E-6</v>
      </c>
      <c r="AJ140" s="3651">
        <f t="shared" si="108"/>
        <v>2.2402125563084131E-6</v>
      </c>
      <c r="AK140" s="3651">
        <f t="shared" si="108"/>
        <v>2.2402125563084131E-6</v>
      </c>
      <c r="AL140" s="3651">
        <f t="shared" si="108"/>
        <v>2.2402125563084131E-6</v>
      </c>
      <c r="AM140" s="3651">
        <f t="shared" si="108"/>
        <v>2.2402125563084131E-6</v>
      </c>
      <c r="AN140" s="3651">
        <f t="shared" si="108"/>
        <v>2.2402125563084131E-6</v>
      </c>
      <c r="AO140" s="3651">
        <f t="shared" si="108"/>
        <v>2.2402125563084131E-6</v>
      </c>
      <c r="AP140" s="3651">
        <f t="shared" si="108"/>
        <v>2.2402125563084131E-6</v>
      </c>
      <c r="AQ140" s="3651">
        <f t="shared" si="108"/>
        <v>2.2402125563084131E-6</v>
      </c>
      <c r="AR140" s="3651">
        <f t="shared" si="108"/>
        <v>2.2402125563084131E-6</v>
      </c>
      <c r="AS140" s="3651">
        <f t="shared" si="108"/>
        <v>2.2402125563084131E-6</v>
      </c>
      <c r="AT140" s="3651">
        <f t="shared" si="108"/>
        <v>2.2402125563084131E-6</v>
      </c>
      <c r="AU140" s="3651">
        <f t="shared" si="108"/>
        <v>2.2402125563084131E-6</v>
      </c>
      <c r="AV140" s="3651">
        <f t="shared" si="108"/>
        <v>2.2402125563084131E-6</v>
      </c>
      <c r="AW140" s="3651">
        <f t="shared" si="108"/>
        <v>2.2402125563084131E-6</v>
      </c>
      <c r="AX140" s="3651">
        <f t="shared" si="108"/>
        <v>2.2402125563084131E-6</v>
      </c>
      <c r="AY140" s="3651">
        <f t="shared" si="108"/>
        <v>2.2402125563084131E-6</v>
      </c>
      <c r="AZ140" s="3651">
        <f t="shared" si="108"/>
        <v>2.2402125563084131E-6</v>
      </c>
      <c r="BA140" s="3651">
        <f t="shared" si="108"/>
        <v>2.2402125563084131E-6</v>
      </c>
      <c r="BB140" s="3651">
        <f t="shared" si="108"/>
        <v>2.2402125563084131E-6</v>
      </c>
      <c r="BC140" s="3651">
        <f t="shared" si="108"/>
        <v>2.2402125563084131E-6</v>
      </c>
      <c r="BD140" s="3651">
        <f t="shared" si="108"/>
        <v>2.2402125563084131E-6</v>
      </c>
      <c r="BE140" s="3651">
        <f t="shared" si="108"/>
        <v>2.2402125563084131E-6</v>
      </c>
      <c r="BF140" s="3651">
        <f t="shared" si="108"/>
        <v>2.2402125563084131E-6</v>
      </c>
      <c r="BG140" s="3651">
        <f t="shared" si="108"/>
        <v>2.2402125563084131E-6</v>
      </c>
      <c r="BH140" s="3651">
        <f t="shared" si="108"/>
        <v>2.2402125563084131E-6</v>
      </c>
      <c r="BI140" s="3651">
        <f t="shared" si="108"/>
        <v>2.2402125563084131E-6</v>
      </c>
      <c r="BJ140" s="3651"/>
    </row>
    <row r="141" spans="1:62">
      <c r="A141" s="293"/>
      <c r="B141" s="294"/>
      <c r="C141" s="294"/>
      <c r="D141" s="2007"/>
      <c r="E141" s="326"/>
      <c r="F141" s="293"/>
      <c r="G141" s="2017"/>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302"/>
      <c r="AF141" s="302"/>
      <c r="AG141" s="302"/>
      <c r="AH141" s="302"/>
      <c r="AI141" s="302"/>
      <c r="AJ141" s="302"/>
      <c r="AK141" s="302"/>
      <c r="AL141" s="302"/>
      <c r="AM141" s="302"/>
      <c r="AN141" s="302"/>
      <c r="AO141" s="302"/>
      <c r="AP141" s="302"/>
      <c r="AQ141" s="302"/>
      <c r="AR141" s="302"/>
      <c r="AS141" s="302"/>
      <c r="AT141" s="302"/>
      <c r="AU141" s="302"/>
      <c r="AV141" s="302"/>
      <c r="AW141" s="302"/>
      <c r="AX141" s="302"/>
      <c r="AY141" s="302"/>
      <c r="AZ141" s="302"/>
      <c r="BA141" s="302"/>
      <c r="BB141" s="302"/>
      <c r="BC141" s="302"/>
      <c r="BD141" s="302"/>
      <c r="BE141" s="302"/>
      <c r="BF141" s="302"/>
      <c r="BG141" s="302"/>
      <c r="BH141" s="302"/>
      <c r="BI141" s="302"/>
      <c r="BJ141" s="302"/>
    </row>
    <row r="142" spans="1:62">
      <c r="A142" s="293"/>
      <c r="B142" s="294"/>
      <c r="C142" s="294"/>
      <c r="D142" s="294"/>
      <c r="E142" s="326"/>
      <c r="F142" s="293"/>
      <c r="G142" s="2017"/>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302"/>
      <c r="AF142" s="302"/>
      <c r="AG142" s="302"/>
      <c r="AH142" s="302"/>
      <c r="AI142" s="302"/>
      <c r="AJ142" s="302"/>
      <c r="AK142" s="302"/>
      <c r="AL142" s="302"/>
      <c r="AM142" s="302"/>
      <c r="AN142" s="302"/>
      <c r="AO142" s="302"/>
      <c r="AP142" s="302"/>
      <c r="AQ142" s="302"/>
      <c r="AR142" s="302"/>
      <c r="AS142" s="302"/>
      <c r="AT142" s="302"/>
      <c r="AU142" s="302"/>
      <c r="AV142" s="302"/>
      <c r="AW142" s="302"/>
      <c r="AX142" s="302"/>
      <c r="AY142" s="302"/>
      <c r="AZ142" s="302"/>
      <c r="BA142" s="302"/>
      <c r="BB142" s="302"/>
      <c r="BC142" s="302"/>
      <c r="BD142" s="302"/>
      <c r="BE142" s="302"/>
      <c r="BF142" s="302"/>
      <c r="BG142" s="302"/>
      <c r="BH142" s="302"/>
      <c r="BI142" s="302"/>
      <c r="BJ142" s="302"/>
    </row>
    <row r="143" spans="1:62" ht="13.15" customHeight="1">
      <c r="A143" s="297"/>
      <c r="B143" s="299"/>
      <c r="C143" s="299"/>
      <c r="D143" s="299"/>
      <c r="K143" s="332"/>
      <c r="O143" s="333"/>
      <c r="W143" s="333"/>
      <c r="X143" s="333"/>
    </row>
    <row r="144" spans="1:62" ht="13.15" customHeight="1">
      <c r="A144" s="297"/>
      <c r="B144" s="299"/>
      <c r="C144" s="299"/>
      <c r="D144" s="299"/>
      <c r="K144" s="332"/>
      <c r="O144" s="333"/>
      <c r="W144" s="333"/>
      <c r="X144" s="333"/>
    </row>
    <row r="145" spans="1:24" ht="13.15" customHeight="1">
      <c r="A145" s="297"/>
      <c r="B145" s="299"/>
      <c r="C145" s="299"/>
      <c r="D145" s="299"/>
      <c r="K145" s="332"/>
      <c r="O145" s="333"/>
      <c r="W145" s="333"/>
      <c r="X145" s="333"/>
    </row>
    <row r="146" spans="1:24" ht="13.15" customHeight="1">
      <c r="A146" s="297"/>
      <c r="B146" s="299"/>
      <c r="C146" s="299"/>
      <c r="D146" s="299"/>
      <c r="K146" s="332"/>
      <c r="O146" s="333"/>
      <c r="W146" s="333"/>
      <c r="X146" s="333"/>
    </row>
    <row r="147" spans="1:24" ht="13.15" customHeight="1">
      <c r="A147" s="297"/>
      <c r="B147" s="299"/>
      <c r="C147" s="299"/>
      <c r="D147" s="299"/>
      <c r="K147" s="332"/>
      <c r="O147" s="333"/>
      <c r="W147" s="333"/>
      <c r="X147" s="333"/>
    </row>
    <row r="148" spans="1:24" ht="13.15" customHeight="1">
      <c r="A148" s="297"/>
      <c r="B148" s="299"/>
      <c r="C148" s="299"/>
      <c r="D148" s="299"/>
      <c r="K148" s="332"/>
      <c r="O148" s="333"/>
      <c r="W148" s="333"/>
      <c r="X148" s="333"/>
    </row>
    <row r="149" spans="1:24" ht="13.15" customHeight="1">
      <c r="A149" s="297"/>
      <c r="B149" s="299"/>
      <c r="C149" s="299"/>
      <c r="D149" s="299"/>
      <c r="K149" s="332"/>
      <c r="O149" s="333"/>
      <c r="W149" s="333"/>
      <c r="X149" s="333"/>
    </row>
    <row r="150" spans="1:24" ht="13.15" customHeight="1">
      <c r="A150" s="297"/>
      <c r="B150" s="299"/>
      <c r="C150" s="299"/>
      <c r="D150" s="299"/>
      <c r="K150" s="332"/>
      <c r="O150" s="333"/>
      <c r="W150" s="333"/>
      <c r="X150" s="333"/>
    </row>
    <row r="151" spans="1:24" ht="13.15" customHeight="1">
      <c r="A151" s="297"/>
      <c r="B151" s="299"/>
      <c r="C151" s="299"/>
      <c r="D151" s="299"/>
      <c r="K151" s="332"/>
      <c r="O151" s="333"/>
      <c r="W151" s="333"/>
      <c r="X151" s="333"/>
    </row>
    <row r="152" spans="1:24" ht="13.15" customHeight="1">
      <c r="A152" s="297"/>
      <c r="B152" s="299"/>
      <c r="C152" s="299"/>
      <c r="D152" s="299"/>
      <c r="K152" s="332"/>
      <c r="O152" s="333"/>
      <c r="W152" s="333"/>
      <c r="X152" s="333"/>
    </row>
    <row r="153" spans="1:24" ht="13.15" customHeight="1">
      <c r="A153" s="297"/>
      <c r="B153" s="299"/>
      <c r="C153" s="299"/>
      <c r="D153" s="299"/>
      <c r="K153" s="332"/>
      <c r="O153" s="333"/>
      <c r="W153" s="333"/>
      <c r="X153" s="333"/>
    </row>
    <row r="154" spans="1:24" ht="13.15" customHeight="1">
      <c r="A154" s="297"/>
      <c r="B154" s="299"/>
      <c r="C154" s="299"/>
      <c r="D154" s="299"/>
      <c r="K154" s="332"/>
      <c r="O154" s="333"/>
      <c r="W154" s="333"/>
      <c r="X154" s="333"/>
    </row>
    <row r="155" spans="1:24" ht="13.15" customHeight="1">
      <c r="A155" s="297"/>
      <c r="B155" s="299"/>
      <c r="C155" s="299"/>
      <c r="D155" s="299"/>
      <c r="K155" s="332"/>
      <c r="O155" s="333"/>
      <c r="W155" s="333"/>
      <c r="X155" s="333"/>
    </row>
    <row r="156" spans="1:24" ht="13.15" customHeight="1">
      <c r="A156" s="297"/>
      <c r="B156" s="299"/>
      <c r="C156" s="299"/>
      <c r="D156" s="299"/>
      <c r="K156" s="332"/>
      <c r="O156" s="333"/>
      <c r="W156" s="333"/>
      <c r="X156" s="333"/>
    </row>
    <row r="157" spans="1:24" ht="13.15" customHeight="1">
      <c r="A157" s="297"/>
      <c r="B157" s="299"/>
      <c r="C157" s="299"/>
      <c r="D157" s="299"/>
      <c r="K157" s="332"/>
      <c r="O157" s="333"/>
      <c r="W157" s="333"/>
      <c r="X157" s="333"/>
    </row>
    <row r="158" spans="1:24" ht="13.15" customHeight="1">
      <c r="A158" s="297"/>
      <c r="B158" s="299"/>
      <c r="C158" s="299"/>
      <c r="D158" s="299"/>
      <c r="K158" s="332"/>
      <c r="O158" s="333"/>
      <c r="W158" s="333"/>
      <c r="X158" s="333"/>
    </row>
    <row r="159" spans="1:24" ht="13.15" customHeight="1">
      <c r="A159" s="297"/>
      <c r="B159" s="299"/>
      <c r="C159" s="299"/>
      <c r="D159" s="299"/>
      <c r="K159" s="332"/>
      <c r="O159" s="333"/>
      <c r="W159" s="333"/>
      <c r="X159" s="333"/>
    </row>
    <row r="160" spans="1:24" ht="13.15" customHeight="1">
      <c r="A160" s="297"/>
      <c r="B160" s="299"/>
      <c r="C160" s="299"/>
      <c r="D160" s="299"/>
      <c r="K160" s="332"/>
      <c r="O160" s="333"/>
      <c r="W160" s="333"/>
      <c r="X160" s="333"/>
    </row>
    <row r="161" spans="1:24" ht="13.15" customHeight="1">
      <c r="A161" s="297"/>
      <c r="B161" s="299"/>
      <c r="C161" s="299"/>
      <c r="D161" s="299"/>
      <c r="K161" s="332"/>
      <c r="O161" s="333"/>
      <c r="W161" s="333"/>
      <c r="X161" s="333"/>
    </row>
    <row r="162" spans="1:24" ht="13.15" customHeight="1">
      <c r="A162" s="297"/>
      <c r="B162" s="299"/>
      <c r="C162" s="299"/>
      <c r="D162" s="299"/>
      <c r="K162" s="332"/>
      <c r="O162" s="333"/>
      <c r="W162" s="333"/>
      <c r="X162" s="333"/>
    </row>
    <row r="163" spans="1:24" ht="13.15" customHeight="1">
      <c r="A163" s="297"/>
      <c r="B163" s="299"/>
      <c r="C163" s="299"/>
      <c r="D163" s="299"/>
      <c r="K163" s="332"/>
      <c r="O163" s="333"/>
      <c r="W163" s="333"/>
      <c r="X163" s="333"/>
    </row>
    <row r="164" spans="1:24" ht="13.15" customHeight="1">
      <c r="A164" s="297"/>
      <c r="B164" s="299"/>
      <c r="C164" s="299"/>
      <c r="D164" s="299"/>
      <c r="K164" s="332"/>
      <c r="O164" s="333"/>
      <c r="W164" s="333"/>
      <c r="X164" s="333"/>
    </row>
    <row r="165" spans="1:24" ht="13.15" customHeight="1">
      <c r="A165" s="297"/>
      <c r="B165" s="299"/>
      <c r="C165" s="299"/>
      <c r="D165" s="299"/>
      <c r="K165" s="332"/>
      <c r="O165" s="333"/>
      <c r="W165" s="333"/>
      <c r="X165" s="333"/>
    </row>
    <row r="166" spans="1:24" ht="13.15" customHeight="1">
      <c r="A166" s="297"/>
      <c r="B166" s="299"/>
      <c r="C166" s="299"/>
      <c r="D166" s="299"/>
      <c r="K166" s="332"/>
      <c r="O166" s="333"/>
      <c r="W166" s="333"/>
      <c r="X166" s="333"/>
    </row>
    <row r="167" spans="1:24" ht="13.15" customHeight="1">
      <c r="A167" s="297"/>
      <c r="B167" s="299"/>
      <c r="C167" s="299"/>
      <c r="D167" s="299"/>
      <c r="K167" s="332"/>
      <c r="O167" s="333"/>
      <c r="W167" s="333"/>
      <c r="X167" s="333"/>
    </row>
    <row r="168" spans="1:24" ht="13.15" customHeight="1">
      <c r="A168" s="297"/>
      <c r="B168" s="299"/>
      <c r="C168" s="299"/>
      <c r="D168" s="299"/>
      <c r="K168" s="332"/>
      <c r="O168" s="333"/>
      <c r="W168" s="333"/>
      <c r="X168" s="333"/>
    </row>
    <row r="169" spans="1:24" ht="13.15" customHeight="1">
      <c r="A169" s="297"/>
      <c r="B169" s="299"/>
      <c r="C169" s="299"/>
      <c r="D169" s="299"/>
      <c r="K169" s="332"/>
      <c r="O169" s="333"/>
      <c r="W169" s="333"/>
      <c r="X169" s="333"/>
    </row>
    <row r="170" spans="1:24" ht="13.15" customHeight="1">
      <c r="A170" s="297"/>
      <c r="B170" s="299"/>
      <c r="C170" s="299"/>
      <c r="D170" s="299"/>
      <c r="K170" s="332"/>
      <c r="O170" s="333"/>
      <c r="W170" s="333"/>
      <c r="X170" s="333"/>
    </row>
    <row r="171" spans="1:24" ht="13.15" customHeight="1">
      <c r="A171" s="297"/>
      <c r="B171" s="299"/>
      <c r="C171" s="299"/>
      <c r="D171" s="299"/>
      <c r="K171" s="332"/>
      <c r="O171" s="333"/>
      <c r="W171" s="333"/>
      <c r="X171" s="333"/>
    </row>
    <row r="172" spans="1:24" ht="13.15" customHeight="1">
      <c r="A172" s="297"/>
      <c r="B172" s="299"/>
      <c r="C172" s="299"/>
      <c r="D172" s="299"/>
      <c r="K172" s="332"/>
      <c r="O172" s="333"/>
      <c r="W172" s="333"/>
      <c r="X172" s="333"/>
    </row>
    <row r="173" spans="1:24" ht="13.15" customHeight="1">
      <c r="A173" s="297"/>
      <c r="B173" s="299"/>
      <c r="C173" s="299"/>
      <c r="D173" s="299"/>
      <c r="K173" s="332"/>
      <c r="O173" s="333"/>
      <c r="W173" s="333"/>
      <c r="X173" s="333"/>
    </row>
    <row r="174" spans="1:24" ht="13.15" customHeight="1">
      <c r="A174" s="297"/>
      <c r="B174" s="299"/>
      <c r="C174" s="299"/>
      <c r="D174" s="299"/>
      <c r="K174" s="332"/>
      <c r="O174" s="333"/>
      <c r="W174" s="333"/>
      <c r="X174" s="333"/>
    </row>
    <row r="175" spans="1:24" ht="13.15" customHeight="1">
      <c r="A175" s="297"/>
      <c r="B175" s="299"/>
      <c r="C175" s="299"/>
      <c r="D175" s="299"/>
      <c r="K175" s="332"/>
      <c r="O175" s="333"/>
      <c r="W175" s="333"/>
      <c r="X175" s="333"/>
    </row>
    <row r="176" spans="1:24" ht="13.15" customHeight="1">
      <c r="A176" s="297"/>
      <c r="B176" s="299"/>
      <c r="C176" s="299"/>
      <c r="D176" s="299"/>
      <c r="K176" s="332"/>
      <c r="O176" s="333"/>
      <c r="W176" s="333"/>
      <c r="X176" s="333"/>
    </row>
    <row r="177" spans="1:24">
      <c r="A177" s="297"/>
      <c r="B177" s="299"/>
      <c r="C177" s="299"/>
      <c r="D177" s="299"/>
      <c r="K177" s="332"/>
      <c r="O177" s="333"/>
      <c r="W177" s="333"/>
      <c r="X177" s="333"/>
    </row>
    <row r="178" spans="1:24">
      <c r="A178" s="297"/>
      <c r="B178" s="299"/>
      <c r="C178" s="299"/>
      <c r="D178" s="299"/>
      <c r="K178" s="332"/>
      <c r="O178" s="333"/>
      <c r="W178" s="333"/>
      <c r="X178" s="333"/>
    </row>
    <row r="179" spans="1:24">
      <c r="A179" s="297"/>
      <c r="B179" s="299"/>
      <c r="C179" s="299"/>
      <c r="D179" s="299"/>
      <c r="K179" s="332"/>
      <c r="O179" s="333"/>
      <c r="W179" s="333"/>
      <c r="X179" s="333"/>
    </row>
    <row r="180" spans="1:24">
      <c r="A180" s="297"/>
      <c r="B180" s="299"/>
      <c r="C180" s="299"/>
      <c r="D180" s="299"/>
      <c r="K180" s="332"/>
      <c r="O180" s="333"/>
      <c r="W180" s="333"/>
      <c r="X180" s="333"/>
    </row>
    <row r="181" spans="1:24">
      <c r="A181" s="297"/>
      <c r="B181" s="299"/>
      <c r="C181" s="299"/>
      <c r="D181" s="299"/>
      <c r="K181" s="332"/>
      <c r="O181" s="333"/>
      <c r="W181" s="333"/>
      <c r="X181" s="333"/>
    </row>
    <row r="182" spans="1:24">
      <c r="A182" s="297"/>
      <c r="B182" s="299"/>
      <c r="C182" s="299"/>
      <c r="D182" s="299"/>
      <c r="K182" s="332"/>
      <c r="O182" s="333"/>
      <c r="W182" s="333"/>
      <c r="X182" s="333"/>
    </row>
    <row r="183" spans="1:24">
      <c r="A183" s="297"/>
      <c r="B183" s="299"/>
      <c r="C183" s="299"/>
      <c r="D183" s="299"/>
      <c r="K183" s="332"/>
      <c r="O183" s="333"/>
      <c r="W183" s="333"/>
      <c r="X183" s="333"/>
    </row>
    <row r="184" spans="1:24">
      <c r="A184" s="297"/>
      <c r="B184" s="299"/>
      <c r="C184" s="299"/>
      <c r="D184" s="299"/>
      <c r="K184" s="332"/>
      <c r="O184" s="333"/>
      <c r="W184" s="333"/>
      <c r="X184" s="333"/>
    </row>
    <row r="185" spans="1:24">
      <c r="A185" s="297"/>
      <c r="B185" s="299"/>
      <c r="C185" s="299"/>
      <c r="D185" s="299"/>
      <c r="K185" s="332"/>
      <c r="O185" s="333"/>
      <c r="W185" s="333"/>
      <c r="X185" s="333"/>
    </row>
    <row r="186" spans="1:24">
      <c r="A186" s="297"/>
      <c r="B186" s="299"/>
      <c r="C186" s="299"/>
      <c r="D186" s="299"/>
      <c r="K186" s="332"/>
      <c r="O186" s="333"/>
      <c r="W186" s="333"/>
      <c r="X186" s="333"/>
    </row>
    <row r="187" spans="1:24">
      <c r="A187" s="297"/>
      <c r="B187" s="299"/>
      <c r="C187" s="299"/>
      <c r="D187" s="299"/>
      <c r="K187" s="332"/>
      <c r="O187" s="333"/>
      <c r="W187" s="333"/>
      <c r="X187" s="333"/>
    </row>
    <row r="188" spans="1:24">
      <c r="A188" s="297"/>
      <c r="B188" s="299"/>
      <c r="C188" s="299"/>
      <c r="D188" s="299"/>
      <c r="K188" s="332"/>
      <c r="O188" s="333"/>
      <c r="W188" s="333"/>
      <c r="X188" s="333"/>
    </row>
    <row r="189" spans="1:24">
      <c r="A189" s="297"/>
      <c r="B189" s="299"/>
      <c r="C189" s="299"/>
      <c r="D189" s="299"/>
      <c r="K189" s="332"/>
      <c r="O189" s="333"/>
      <c r="W189" s="333"/>
      <c r="X189" s="333"/>
    </row>
    <row r="190" spans="1:24">
      <c r="A190" s="297"/>
      <c r="B190" s="299"/>
      <c r="C190" s="299"/>
      <c r="D190" s="299"/>
      <c r="K190" s="332"/>
      <c r="O190" s="333"/>
      <c r="W190" s="333"/>
      <c r="X190" s="333"/>
    </row>
    <row r="191" spans="1:24">
      <c r="A191" s="297"/>
      <c r="B191" s="299"/>
      <c r="C191" s="299"/>
      <c r="D191" s="299"/>
      <c r="K191" s="332"/>
      <c r="O191" s="333"/>
      <c r="W191" s="333"/>
      <c r="X191" s="333"/>
    </row>
    <row r="192" spans="1:24">
      <c r="A192" s="297"/>
      <c r="B192" s="299"/>
      <c r="C192" s="299"/>
      <c r="D192" s="299"/>
      <c r="K192" s="332"/>
      <c r="O192" s="333"/>
      <c r="W192" s="333"/>
      <c r="X192" s="333"/>
    </row>
    <row r="193" spans="1:24">
      <c r="A193" s="297"/>
      <c r="B193" s="299"/>
      <c r="C193" s="299"/>
      <c r="D193" s="299"/>
      <c r="K193" s="332"/>
      <c r="O193" s="333"/>
      <c r="W193" s="333"/>
      <c r="X193" s="333"/>
    </row>
    <row r="194" spans="1:24">
      <c r="A194" s="297"/>
      <c r="B194" s="299"/>
      <c r="C194" s="299"/>
      <c r="D194" s="299"/>
      <c r="K194" s="332"/>
      <c r="O194" s="333"/>
      <c r="W194" s="333"/>
      <c r="X194" s="333"/>
    </row>
    <row r="195" spans="1:24">
      <c r="A195" s="297"/>
      <c r="B195" s="299"/>
      <c r="C195" s="299"/>
      <c r="D195" s="299"/>
      <c r="K195" s="332"/>
      <c r="O195" s="333"/>
      <c r="W195" s="333"/>
      <c r="X195" s="333"/>
    </row>
    <row r="196" spans="1:24">
      <c r="A196" s="297"/>
      <c r="B196" s="299"/>
      <c r="C196" s="299"/>
      <c r="D196" s="299"/>
      <c r="K196" s="332"/>
      <c r="O196" s="333"/>
      <c r="W196" s="333"/>
      <c r="X196" s="333"/>
    </row>
    <row r="197" spans="1:24">
      <c r="A197" s="297"/>
      <c r="B197" s="299"/>
      <c r="C197" s="299"/>
      <c r="D197" s="299"/>
      <c r="K197" s="332"/>
      <c r="O197" s="333"/>
      <c r="W197" s="333"/>
      <c r="X197" s="333"/>
    </row>
    <row r="198" spans="1:24">
      <c r="A198" s="297"/>
      <c r="B198" s="299"/>
      <c r="C198" s="299"/>
      <c r="D198" s="299"/>
      <c r="K198" s="332"/>
      <c r="O198" s="333"/>
      <c r="W198" s="333"/>
      <c r="X198" s="333"/>
    </row>
    <row r="199" spans="1:24">
      <c r="A199" s="297"/>
      <c r="B199" s="299"/>
      <c r="C199" s="299"/>
      <c r="D199" s="299"/>
      <c r="K199" s="332"/>
      <c r="O199" s="333"/>
      <c r="W199" s="333"/>
      <c r="X199" s="333"/>
    </row>
    <row r="200" spans="1:24">
      <c r="A200" s="297"/>
      <c r="B200" s="299"/>
      <c r="C200" s="299"/>
      <c r="D200" s="299"/>
      <c r="K200" s="332"/>
      <c r="O200" s="333"/>
      <c r="W200" s="333"/>
      <c r="X200" s="333"/>
    </row>
    <row r="201" spans="1:24">
      <c r="A201" s="297"/>
      <c r="B201" s="299"/>
      <c r="C201" s="299"/>
      <c r="D201" s="299"/>
      <c r="K201" s="332"/>
      <c r="O201" s="333"/>
      <c r="W201" s="333"/>
      <c r="X201" s="333"/>
    </row>
    <row r="202" spans="1:24">
      <c r="A202" s="297"/>
      <c r="B202" s="299"/>
      <c r="C202" s="299"/>
      <c r="D202" s="299"/>
      <c r="K202" s="332"/>
      <c r="O202" s="333"/>
      <c r="W202" s="333"/>
      <c r="X202" s="333"/>
    </row>
    <row r="203" spans="1:24">
      <c r="A203" s="297"/>
      <c r="B203" s="299"/>
      <c r="C203" s="299"/>
      <c r="D203" s="299"/>
      <c r="K203" s="332"/>
      <c r="O203" s="333"/>
      <c r="W203" s="333"/>
      <c r="X203" s="333"/>
    </row>
    <row r="204" spans="1:24">
      <c r="A204" s="297"/>
      <c r="B204" s="299"/>
      <c r="C204" s="299"/>
      <c r="D204" s="299"/>
      <c r="K204" s="332"/>
      <c r="O204" s="333"/>
      <c r="W204" s="333"/>
      <c r="X204" s="333"/>
    </row>
    <row r="205" spans="1:24">
      <c r="A205" s="297"/>
      <c r="B205" s="299"/>
      <c r="C205" s="299"/>
      <c r="D205" s="299"/>
      <c r="K205" s="332"/>
      <c r="O205" s="333"/>
      <c r="W205" s="333"/>
      <c r="X205" s="333"/>
    </row>
    <row r="206" spans="1:24">
      <c r="A206" s="297"/>
      <c r="B206" s="299"/>
      <c r="C206" s="299"/>
      <c r="D206" s="299"/>
      <c r="K206" s="332"/>
      <c r="O206" s="333"/>
      <c r="W206" s="333"/>
      <c r="X206" s="333"/>
    </row>
    <row r="207" spans="1:24">
      <c r="A207" s="297"/>
      <c r="B207" s="299"/>
      <c r="C207" s="299"/>
      <c r="D207" s="299"/>
      <c r="K207" s="332"/>
      <c r="O207" s="333"/>
      <c r="W207" s="333"/>
      <c r="X207" s="333"/>
    </row>
    <row r="208" spans="1:24">
      <c r="A208" s="297"/>
      <c r="B208" s="299"/>
      <c r="C208" s="299"/>
      <c r="D208" s="299"/>
      <c r="K208" s="332"/>
      <c r="O208" s="333"/>
      <c r="W208" s="333"/>
      <c r="X208" s="333"/>
    </row>
    <row r="209" spans="1:24">
      <c r="A209" s="297"/>
      <c r="B209" s="299"/>
      <c r="C209" s="299"/>
      <c r="D209" s="299"/>
      <c r="K209" s="332"/>
      <c r="O209" s="333"/>
      <c r="W209" s="333"/>
      <c r="X209" s="333"/>
    </row>
    <row r="210" spans="1:24">
      <c r="A210" s="297"/>
      <c r="B210" s="299"/>
      <c r="C210" s="299"/>
      <c r="D210" s="299"/>
      <c r="K210" s="332"/>
      <c r="O210" s="333"/>
      <c r="W210" s="333"/>
      <c r="X210" s="333"/>
    </row>
    <row r="211" spans="1:24">
      <c r="A211" s="297"/>
      <c r="B211" s="299"/>
      <c r="C211" s="299"/>
      <c r="D211" s="299"/>
      <c r="K211" s="332"/>
      <c r="O211" s="333"/>
      <c r="W211" s="333"/>
      <c r="X211" s="333"/>
    </row>
    <row r="212" spans="1:24">
      <c r="A212" s="297"/>
      <c r="B212" s="299"/>
      <c r="C212" s="299"/>
      <c r="D212" s="299"/>
      <c r="K212" s="332"/>
      <c r="O212" s="333"/>
      <c r="W212" s="333"/>
      <c r="X212" s="333"/>
    </row>
    <row r="213" spans="1:24">
      <c r="A213" s="297"/>
      <c r="B213" s="299"/>
      <c r="C213" s="299"/>
      <c r="D213" s="299"/>
      <c r="K213" s="332"/>
      <c r="O213" s="333"/>
      <c r="W213" s="333"/>
      <c r="X213" s="333"/>
    </row>
    <row r="214" spans="1:24">
      <c r="A214" s="297"/>
      <c r="B214" s="299"/>
      <c r="C214" s="299"/>
      <c r="D214" s="299"/>
      <c r="K214" s="332"/>
      <c r="O214" s="333"/>
      <c r="W214" s="333"/>
      <c r="X214" s="333"/>
    </row>
    <row r="215" spans="1:24">
      <c r="A215" s="297"/>
      <c r="B215" s="299"/>
      <c r="C215" s="299"/>
      <c r="D215" s="299"/>
      <c r="K215" s="332"/>
      <c r="O215" s="333"/>
      <c r="W215" s="333"/>
      <c r="X215" s="333"/>
    </row>
    <row r="216" spans="1:24">
      <c r="A216" s="297"/>
      <c r="B216" s="299"/>
      <c r="C216" s="299"/>
      <c r="D216" s="299"/>
      <c r="K216" s="332"/>
      <c r="O216" s="333"/>
      <c r="W216" s="333"/>
      <c r="X216" s="333"/>
    </row>
    <row r="217" spans="1:24">
      <c r="A217" s="297"/>
      <c r="B217" s="299"/>
      <c r="C217" s="299"/>
      <c r="D217" s="299"/>
      <c r="K217" s="332"/>
      <c r="O217" s="333"/>
      <c r="W217" s="333"/>
      <c r="X217" s="333"/>
    </row>
    <row r="218" spans="1:24">
      <c r="A218" s="297"/>
      <c r="B218" s="299"/>
      <c r="C218" s="299"/>
      <c r="D218" s="299"/>
      <c r="K218" s="332"/>
      <c r="O218" s="333"/>
      <c r="W218" s="333"/>
      <c r="X218" s="333"/>
    </row>
    <row r="219" spans="1:24">
      <c r="A219" s="297"/>
      <c r="B219" s="299"/>
      <c r="C219" s="299"/>
      <c r="D219" s="299"/>
      <c r="K219" s="332"/>
      <c r="O219" s="333"/>
      <c r="W219" s="333"/>
      <c r="X219" s="333"/>
    </row>
    <row r="220" spans="1:24">
      <c r="A220" s="297"/>
      <c r="B220" s="299"/>
      <c r="C220" s="299"/>
      <c r="D220" s="299"/>
      <c r="K220" s="332"/>
      <c r="O220" s="333"/>
      <c r="W220" s="333"/>
      <c r="X220" s="333"/>
    </row>
    <row r="221" spans="1:24">
      <c r="A221" s="297"/>
      <c r="B221" s="299"/>
      <c r="C221" s="299"/>
      <c r="D221" s="299"/>
      <c r="K221" s="332"/>
      <c r="O221" s="333"/>
      <c r="W221" s="333"/>
      <c r="X221" s="333"/>
    </row>
    <row r="222" spans="1:24">
      <c r="A222" s="297"/>
      <c r="B222" s="299"/>
      <c r="C222" s="299"/>
      <c r="D222" s="299"/>
      <c r="K222" s="332"/>
      <c r="O222" s="333"/>
      <c r="W222" s="333"/>
      <c r="X222" s="333"/>
    </row>
    <row r="223" spans="1:24">
      <c r="A223" s="297"/>
      <c r="B223" s="299"/>
      <c r="C223" s="299"/>
      <c r="D223" s="299"/>
      <c r="K223" s="332"/>
      <c r="O223" s="333"/>
      <c r="W223" s="333"/>
      <c r="X223" s="333"/>
    </row>
    <row r="224" spans="1:24">
      <c r="A224" s="297"/>
      <c r="B224" s="299"/>
      <c r="C224" s="299"/>
      <c r="D224" s="299"/>
      <c r="K224" s="332"/>
      <c r="O224" s="333"/>
      <c r="W224" s="333"/>
      <c r="X224" s="333"/>
    </row>
    <row r="225" spans="1:24">
      <c r="A225" s="297"/>
      <c r="B225" s="299"/>
      <c r="C225" s="299"/>
      <c r="D225" s="299"/>
      <c r="K225" s="332"/>
      <c r="O225" s="333"/>
      <c r="W225" s="333"/>
      <c r="X225" s="333"/>
    </row>
    <row r="226" spans="1:24">
      <c r="A226" s="297"/>
      <c r="B226" s="299"/>
      <c r="C226" s="299"/>
      <c r="D226" s="299"/>
      <c r="K226" s="332"/>
      <c r="O226" s="333"/>
      <c r="W226" s="333"/>
      <c r="X226" s="333"/>
    </row>
    <row r="227" spans="1:24">
      <c r="A227" s="297"/>
      <c r="B227" s="299"/>
      <c r="C227" s="299"/>
      <c r="D227" s="299"/>
      <c r="K227" s="332"/>
      <c r="O227" s="333"/>
      <c r="W227" s="333"/>
      <c r="X227" s="333"/>
    </row>
    <row r="228" spans="1:24">
      <c r="A228" s="297"/>
      <c r="B228" s="299"/>
      <c r="C228" s="299"/>
      <c r="D228" s="299"/>
      <c r="K228" s="332"/>
      <c r="O228" s="333"/>
      <c r="W228" s="333"/>
      <c r="X228" s="333"/>
    </row>
    <row r="229" spans="1:24">
      <c r="A229" s="297"/>
      <c r="B229" s="299"/>
      <c r="C229" s="299"/>
      <c r="D229" s="299"/>
      <c r="K229" s="332"/>
      <c r="O229" s="333"/>
      <c r="W229" s="333"/>
      <c r="X229" s="333"/>
    </row>
    <row r="230" spans="1:24">
      <c r="A230" s="297"/>
      <c r="B230" s="299"/>
      <c r="C230" s="299"/>
      <c r="D230" s="299"/>
      <c r="K230" s="332"/>
      <c r="O230" s="333"/>
      <c r="W230" s="333"/>
      <c r="X230" s="333"/>
    </row>
    <row r="231" spans="1:24">
      <c r="A231" s="297"/>
      <c r="B231" s="299"/>
      <c r="C231" s="299"/>
      <c r="D231" s="299"/>
      <c r="K231" s="332"/>
      <c r="O231" s="333"/>
      <c r="W231" s="333"/>
      <c r="X231" s="333"/>
    </row>
    <row r="232" spans="1:24">
      <c r="A232" s="297"/>
      <c r="B232" s="299"/>
      <c r="C232" s="299"/>
      <c r="D232" s="299"/>
      <c r="K232" s="332"/>
      <c r="O232" s="333"/>
      <c r="W232" s="333"/>
      <c r="X232" s="333"/>
    </row>
    <row r="233" spans="1:24">
      <c r="A233" s="297"/>
      <c r="B233" s="299"/>
      <c r="C233" s="299"/>
      <c r="D233" s="299"/>
      <c r="K233" s="332"/>
      <c r="O233" s="333"/>
      <c r="W233" s="333"/>
      <c r="X233" s="333"/>
    </row>
    <row r="234" spans="1:24">
      <c r="A234" s="297"/>
      <c r="B234" s="299"/>
      <c r="C234" s="299"/>
      <c r="D234" s="299"/>
      <c r="K234" s="332"/>
      <c r="O234" s="333"/>
      <c r="W234" s="333"/>
      <c r="X234" s="333"/>
    </row>
    <row r="235" spans="1:24">
      <c r="A235" s="297"/>
      <c r="B235" s="299"/>
      <c r="C235" s="299"/>
      <c r="D235" s="299"/>
      <c r="K235" s="332"/>
      <c r="O235" s="333"/>
      <c r="W235" s="333"/>
      <c r="X235" s="333"/>
    </row>
    <row r="236" spans="1:24">
      <c r="A236" s="297"/>
      <c r="B236" s="299"/>
      <c r="C236" s="299"/>
      <c r="D236" s="299"/>
      <c r="K236" s="332"/>
      <c r="O236" s="333"/>
      <c r="W236" s="333"/>
      <c r="X236" s="333"/>
    </row>
    <row r="237" spans="1:24">
      <c r="A237" s="297"/>
      <c r="B237" s="299"/>
      <c r="C237" s="299"/>
      <c r="D237" s="299"/>
      <c r="K237" s="332"/>
      <c r="O237" s="333"/>
      <c r="W237" s="333"/>
      <c r="X237" s="333"/>
    </row>
    <row r="238" spans="1:24">
      <c r="A238" s="297"/>
      <c r="B238" s="299"/>
      <c r="C238" s="299"/>
      <c r="D238" s="299"/>
      <c r="K238" s="332"/>
      <c r="O238" s="333"/>
      <c r="W238" s="333"/>
      <c r="X238" s="333"/>
    </row>
    <row r="239" spans="1:24">
      <c r="A239" s="297"/>
      <c r="B239" s="299"/>
      <c r="C239" s="299"/>
      <c r="D239" s="299"/>
      <c r="K239" s="332"/>
      <c r="O239" s="333"/>
      <c r="W239" s="333"/>
      <c r="X239" s="333"/>
    </row>
    <row r="240" spans="1:24">
      <c r="A240" s="297"/>
      <c r="B240" s="299"/>
      <c r="C240" s="299"/>
      <c r="D240" s="299"/>
      <c r="K240" s="332"/>
      <c r="O240" s="333"/>
      <c r="W240" s="333"/>
      <c r="X240" s="333"/>
    </row>
    <row r="241" spans="1:24">
      <c r="A241" s="297"/>
      <c r="B241" s="299"/>
      <c r="C241" s="299"/>
      <c r="D241" s="299"/>
      <c r="K241" s="332"/>
      <c r="O241" s="333"/>
      <c r="W241" s="333"/>
      <c r="X241" s="333"/>
    </row>
    <row r="242" spans="1:24">
      <c r="A242" s="297"/>
      <c r="B242" s="299"/>
      <c r="C242" s="299"/>
      <c r="D242" s="299"/>
      <c r="K242" s="332"/>
      <c r="O242" s="333"/>
      <c r="W242" s="333"/>
      <c r="X242" s="333"/>
    </row>
    <row r="243" spans="1:24">
      <c r="A243" s="297"/>
      <c r="B243" s="299"/>
      <c r="C243" s="299"/>
      <c r="D243" s="299"/>
      <c r="K243" s="332"/>
      <c r="O243" s="333"/>
      <c r="W243" s="333"/>
      <c r="X243" s="333"/>
    </row>
    <row r="244" spans="1:24">
      <c r="A244" s="297"/>
      <c r="B244" s="299"/>
      <c r="C244" s="299"/>
      <c r="D244" s="299"/>
      <c r="K244" s="332"/>
      <c r="O244" s="333"/>
      <c r="W244" s="333"/>
      <c r="X244" s="333"/>
    </row>
    <row r="245" spans="1:24">
      <c r="A245" s="297"/>
      <c r="B245" s="299"/>
      <c r="C245" s="299"/>
      <c r="D245" s="299"/>
      <c r="K245" s="332"/>
      <c r="O245" s="333"/>
      <c r="W245" s="333"/>
      <c r="X245" s="333"/>
    </row>
    <row r="246" spans="1:24">
      <c r="A246" s="297"/>
      <c r="B246" s="299"/>
      <c r="C246" s="299"/>
      <c r="D246" s="299"/>
      <c r="K246" s="332"/>
      <c r="O246" s="333"/>
      <c r="W246" s="333"/>
      <c r="X246" s="333"/>
    </row>
    <row r="247" spans="1:24">
      <c r="A247" s="297"/>
      <c r="B247" s="299"/>
      <c r="C247" s="299"/>
      <c r="D247" s="299"/>
      <c r="K247" s="332"/>
      <c r="O247" s="333"/>
      <c r="W247" s="333"/>
      <c r="X247" s="333"/>
    </row>
    <row r="248" spans="1:24">
      <c r="A248" s="297"/>
      <c r="B248" s="299"/>
      <c r="C248" s="299"/>
      <c r="D248" s="299"/>
      <c r="K248" s="332"/>
      <c r="O248" s="333"/>
      <c r="W248" s="333"/>
      <c r="X248" s="333"/>
    </row>
    <row r="249" spans="1:24">
      <c r="A249" s="297"/>
      <c r="B249" s="299"/>
      <c r="C249" s="299"/>
      <c r="D249" s="299"/>
      <c r="K249" s="332"/>
      <c r="O249" s="333"/>
      <c r="W249" s="333"/>
      <c r="X249" s="333"/>
    </row>
    <row r="250" spans="1:24">
      <c r="A250" s="297"/>
      <c r="B250" s="299"/>
      <c r="C250" s="299"/>
      <c r="D250" s="299"/>
      <c r="K250" s="332"/>
      <c r="O250" s="333"/>
      <c r="W250" s="333"/>
      <c r="X250" s="333"/>
    </row>
    <row r="251" spans="1:24">
      <c r="A251" s="297"/>
      <c r="B251" s="299"/>
      <c r="C251" s="299"/>
      <c r="D251" s="299"/>
      <c r="K251" s="332"/>
      <c r="O251" s="333"/>
      <c r="W251" s="333"/>
      <c r="X251" s="333"/>
    </row>
    <row r="252" spans="1:24">
      <c r="A252" s="297"/>
      <c r="B252" s="299"/>
      <c r="C252" s="299"/>
      <c r="D252" s="299"/>
      <c r="K252" s="332"/>
      <c r="O252" s="333"/>
      <c r="W252" s="333"/>
      <c r="X252" s="333"/>
    </row>
    <row r="253" spans="1:24">
      <c r="A253" s="297"/>
      <c r="B253" s="299"/>
      <c r="C253" s="299"/>
      <c r="D253" s="299"/>
      <c r="K253" s="332"/>
      <c r="O253" s="333"/>
      <c r="W253" s="333"/>
      <c r="X253" s="333"/>
    </row>
    <row r="254" spans="1:24">
      <c r="A254" s="297"/>
      <c r="B254" s="299"/>
      <c r="C254" s="299"/>
      <c r="D254" s="299"/>
      <c r="K254" s="332"/>
      <c r="O254" s="333"/>
      <c r="W254" s="333"/>
      <c r="X254" s="333"/>
    </row>
    <row r="255" spans="1:24">
      <c r="A255" s="297"/>
      <c r="B255" s="299"/>
      <c r="C255" s="299"/>
      <c r="D255" s="299"/>
      <c r="K255" s="332"/>
      <c r="O255" s="333"/>
      <c r="W255" s="333"/>
      <c r="X255" s="333"/>
    </row>
    <row r="256" spans="1:24">
      <c r="A256" s="297"/>
      <c r="B256" s="299"/>
      <c r="C256" s="299"/>
      <c r="D256" s="299"/>
      <c r="K256" s="332"/>
      <c r="O256" s="333"/>
      <c r="W256" s="333"/>
      <c r="X256" s="333"/>
    </row>
    <row r="257" spans="1:24">
      <c r="A257" s="297"/>
      <c r="B257" s="299"/>
      <c r="C257" s="299"/>
      <c r="D257" s="299"/>
      <c r="K257" s="332"/>
      <c r="O257" s="333"/>
      <c r="W257" s="333"/>
      <c r="X257" s="333"/>
    </row>
    <row r="258" spans="1:24">
      <c r="A258" s="297"/>
      <c r="B258" s="299"/>
      <c r="C258" s="299"/>
      <c r="D258" s="299"/>
      <c r="K258" s="332"/>
      <c r="O258" s="333"/>
      <c r="W258" s="333"/>
      <c r="X258" s="333"/>
    </row>
    <row r="259" spans="1:24">
      <c r="A259" s="297"/>
      <c r="B259" s="299"/>
      <c r="C259" s="299"/>
      <c r="D259" s="299"/>
      <c r="K259" s="332"/>
      <c r="O259" s="333"/>
      <c r="W259" s="333"/>
      <c r="X259" s="333"/>
    </row>
    <row r="260" spans="1:24">
      <c r="A260" s="297"/>
      <c r="B260" s="299"/>
      <c r="C260" s="299"/>
      <c r="D260" s="299"/>
      <c r="K260" s="332"/>
      <c r="O260" s="333"/>
      <c r="W260" s="333"/>
      <c r="X260" s="333"/>
    </row>
    <row r="261" spans="1:24">
      <c r="A261" s="297"/>
      <c r="B261" s="299"/>
      <c r="C261" s="299"/>
      <c r="D261" s="299"/>
      <c r="K261" s="332"/>
      <c r="O261" s="333"/>
      <c r="W261" s="333"/>
      <c r="X261" s="333"/>
    </row>
    <row r="262" spans="1:24">
      <c r="A262" s="297"/>
      <c r="B262" s="299"/>
      <c r="C262" s="299"/>
      <c r="D262" s="299"/>
      <c r="K262" s="332"/>
      <c r="O262" s="333"/>
      <c r="W262" s="333"/>
      <c r="X262" s="333"/>
    </row>
    <row r="263" spans="1:24">
      <c r="A263" s="297"/>
      <c r="B263" s="299"/>
      <c r="C263" s="299"/>
      <c r="D263" s="299"/>
      <c r="K263" s="332"/>
      <c r="O263" s="333"/>
      <c r="W263" s="333"/>
      <c r="X263" s="333"/>
    </row>
    <row r="264" spans="1:24">
      <c r="A264" s="297"/>
      <c r="B264" s="299"/>
      <c r="C264" s="299"/>
      <c r="D264" s="299"/>
      <c r="K264" s="332"/>
      <c r="O264" s="333"/>
      <c r="W264" s="333"/>
      <c r="X264" s="333"/>
    </row>
    <row r="265" spans="1:24">
      <c r="A265" s="297"/>
      <c r="B265" s="299"/>
      <c r="C265" s="299"/>
      <c r="D265" s="299"/>
      <c r="K265" s="332"/>
      <c r="O265" s="333"/>
      <c r="W265" s="333"/>
      <c r="X265" s="333"/>
    </row>
    <row r="266" spans="1:24">
      <c r="A266" s="297"/>
      <c r="B266" s="299"/>
      <c r="C266" s="299"/>
      <c r="D266" s="299"/>
      <c r="K266" s="332"/>
      <c r="O266" s="333"/>
      <c r="W266" s="333"/>
      <c r="X266" s="333"/>
    </row>
    <row r="267" spans="1:24">
      <c r="A267" s="297"/>
      <c r="B267" s="299"/>
      <c r="C267" s="299"/>
      <c r="D267" s="299"/>
      <c r="K267" s="332"/>
      <c r="O267" s="333"/>
      <c r="W267" s="333"/>
      <c r="X267" s="333"/>
    </row>
    <row r="268" spans="1:24">
      <c r="A268" s="297"/>
      <c r="B268" s="299"/>
      <c r="C268" s="299"/>
      <c r="D268" s="299"/>
      <c r="K268" s="332"/>
      <c r="O268" s="333"/>
      <c r="W268" s="333"/>
      <c r="X268" s="333"/>
    </row>
    <row r="269" spans="1:24">
      <c r="A269" s="297"/>
      <c r="B269" s="299"/>
      <c r="C269" s="299"/>
      <c r="D269" s="299"/>
      <c r="K269" s="332"/>
      <c r="O269" s="333"/>
      <c r="W269" s="333"/>
      <c r="X269" s="333"/>
    </row>
    <row r="270" spans="1:24">
      <c r="A270" s="297"/>
      <c r="B270" s="299"/>
      <c r="C270" s="299"/>
      <c r="D270" s="299"/>
      <c r="K270" s="332"/>
      <c r="O270" s="333"/>
      <c r="W270" s="333"/>
      <c r="X270" s="333"/>
    </row>
    <row r="271" spans="1:24">
      <c r="A271" s="297"/>
      <c r="B271" s="299"/>
      <c r="C271" s="299"/>
      <c r="D271" s="299"/>
      <c r="K271" s="332"/>
      <c r="O271" s="333"/>
      <c r="W271" s="333"/>
      <c r="X271" s="333"/>
    </row>
    <row r="272" spans="1:24">
      <c r="A272" s="297"/>
      <c r="B272" s="299"/>
      <c r="C272" s="299"/>
      <c r="D272" s="299"/>
      <c r="K272" s="332"/>
      <c r="O272" s="333"/>
      <c r="W272" s="333"/>
      <c r="X272" s="333"/>
    </row>
    <row r="273" spans="1:24">
      <c r="A273" s="297"/>
      <c r="B273" s="299"/>
      <c r="C273" s="299"/>
      <c r="D273" s="299"/>
      <c r="K273" s="332"/>
      <c r="O273" s="333"/>
      <c r="W273" s="333"/>
      <c r="X273" s="333"/>
    </row>
    <row r="274" spans="1:24">
      <c r="A274" s="297"/>
      <c r="B274" s="299"/>
      <c r="C274" s="299"/>
      <c r="D274" s="299"/>
      <c r="K274" s="332"/>
      <c r="O274" s="333"/>
      <c r="W274" s="333"/>
      <c r="X274" s="333"/>
    </row>
    <row r="275" spans="1:24">
      <c r="A275" s="297"/>
      <c r="B275" s="299"/>
      <c r="C275" s="299"/>
      <c r="D275" s="299"/>
      <c r="K275" s="332"/>
      <c r="O275" s="333"/>
      <c r="W275" s="333"/>
      <c r="X275" s="333"/>
    </row>
    <row r="276" spans="1:24">
      <c r="A276" s="297"/>
      <c r="B276" s="299"/>
      <c r="C276" s="299"/>
      <c r="D276" s="299"/>
      <c r="K276" s="332"/>
      <c r="O276" s="333"/>
      <c r="W276" s="333"/>
      <c r="X276" s="333"/>
    </row>
    <row r="277" spans="1:24">
      <c r="A277" s="297"/>
      <c r="B277" s="299"/>
      <c r="C277" s="299"/>
      <c r="D277" s="299"/>
      <c r="K277" s="332"/>
      <c r="O277" s="333"/>
      <c r="W277" s="333"/>
      <c r="X277" s="333"/>
    </row>
    <row r="278" spans="1:24">
      <c r="A278" s="297"/>
      <c r="B278" s="299"/>
      <c r="C278" s="299"/>
      <c r="D278" s="299"/>
      <c r="K278" s="332"/>
      <c r="O278" s="333"/>
      <c r="W278" s="333"/>
      <c r="X278" s="333"/>
    </row>
    <row r="279" spans="1:24">
      <c r="A279" s="297"/>
      <c r="B279" s="299"/>
      <c r="C279" s="299"/>
      <c r="D279" s="299"/>
      <c r="K279" s="332"/>
      <c r="O279" s="333"/>
      <c r="W279" s="333"/>
      <c r="X279" s="333"/>
    </row>
    <row r="280" spans="1:24">
      <c r="A280" s="297"/>
      <c r="B280" s="299"/>
      <c r="C280" s="299"/>
      <c r="D280" s="299"/>
      <c r="K280" s="332"/>
      <c r="O280" s="333"/>
      <c r="W280" s="333"/>
      <c r="X280" s="333"/>
    </row>
    <row r="281" spans="1:24">
      <c r="A281" s="297"/>
      <c r="B281" s="299"/>
      <c r="C281" s="299"/>
      <c r="D281" s="312"/>
      <c r="K281" s="332"/>
      <c r="O281" s="333"/>
      <c r="W281" s="333"/>
      <c r="X281" s="333"/>
    </row>
    <row r="282" spans="1:24">
      <c r="A282" s="297"/>
      <c r="B282" s="299"/>
      <c r="C282" s="299"/>
      <c r="D282" s="312"/>
      <c r="K282" s="332"/>
      <c r="O282" s="333"/>
      <c r="W282" s="333"/>
      <c r="X282" s="333"/>
    </row>
    <row r="283" spans="1:24">
      <c r="A283" s="297"/>
      <c r="B283" s="299"/>
      <c r="C283" s="299"/>
      <c r="D283" s="312"/>
      <c r="K283" s="332"/>
      <c r="O283" s="333"/>
      <c r="W283" s="333"/>
      <c r="X283" s="333"/>
    </row>
    <row r="284" spans="1:24">
      <c r="A284" s="297"/>
      <c r="B284" s="299"/>
      <c r="C284" s="299"/>
      <c r="D284" s="312"/>
      <c r="K284" s="332"/>
      <c r="O284" s="333"/>
      <c r="W284" s="333"/>
      <c r="X284" s="333"/>
    </row>
    <row r="285" spans="1:24">
      <c r="A285" s="297"/>
      <c r="B285" s="299"/>
      <c r="C285" s="299"/>
      <c r="D285" s="312"/>
      <c r="K285" s="332"/>
      <c r="O285" s="333"/>
      <c r="W285" s="333"/>
      <c r="X285" s="333"/>
    </row>
    <row r="286" spans="1:24">
      <c r="A286" s="297"/>
      <c r="B286" s="299"/>
      <c r="C286" s="299"/>
      <c r="D286" s="312"/>
      <c r="K286" s="332"/>
      <c r="O286" s="333"/>
      <c r="W286" s="333"/>
      <c r="X286" s="333"/>
    </row>
    <row r="287" spans="1:24">
      <c r="A287" s="297"/>
      <c r="B287" s="299"/>
      <c r="C287" s="299"/>
      <c r="D287" s="312"/>
      <c r="K287" s="332"/>
      <c r="O287" s="333"/>
      <c r="W287" s="333"/>
      <c r="X287" s="333"/>
    </row>
    <row r="288" spans="1:24">
      <c r="A288" s="297"/>
      <c r="B288" s="299"/>
      <c r="C288" s="299"/>
      <c r="D288" s="312"/>
      <c r="K288" s="332"/>
      <c r="O288" s="333"/>
      <c r="W288" s="333"/>
      <c r="X288" s="333"/>
    </row>
    <row r="289" spans="1:24">
      <c r="A289" s="297"/>
      <c r="B289" s="299"/>
      <c r="C289" s="299"/>
      <c r="D289" s="312"/>
      <c r="K289" s="332"/>
      <c r="O289" s="333"/>
      <c r="W289" s="333"/>
      <c r="X289" s="333"/>
    </row>
    <row r="290" spans="1:24">
      <c r="A290" s="297"/>
      <c r="B290" s="299"/>
      <c r="C290" s="299"/>
      <c r="D290" s="312"/>
      <c r="K290" s="332"/>
      <c r="O290" s="333"/>
      <c r="W290" s="333"/>
      <c r="X290" s="333"/>
    </row>
    <row r="291" spans="1:24">
      <c r="A291" s="297"/>
      <c r="B291" s="299"/>
      <c r="C291" s="299"/>
      <c r="D291" s="312"/>
      <c r="K291" s="332"/>
      <c r="O291" s="333"/>
      <c r="W291" s="333"/>
      <c r="X291" s="333"/>
    </row>
    <row r="292" spans="1:24">
      <c r="A292" s="297"/>
      <c r="B292" s="299"/>
      <c r="C292" s="299"/>
      <c r="D292" s="312"/>
      <c r="K292" s="332"/>
      <c r="O292" s="333"/>
      <c r="W292" s="333"/>
      <c r="X292" s="333"/>
    </row>
    <row r="293" spans="1:24">
      <c r="A293" s="297"/>
      <c r="B293" s="299"/>
      <c r="C293" s="299"/>
      <c r="D293" s="312"/>
      <c r="K293" s="332"/>
      <c r="O293" s="333"/>
      <c r="W293" s="333"/>
      <c r="X293" s="333"/>
    </row>
    <row r="294" spans="1:24">
      <c r="A294" s="297"/>
      <c r="B294" s="299"/>
      <c r="C294" s="299"/>
      <c r="D294" s="312"/>
      <c r="K294" s="332"/>
      <c r="O294" s="333"/>
      <c r="W294" s="333"/>
      <c r="X294" s="333"/>
    </row>
    <row r="295" spans="1:24">
      <c r="A295" s="297"/>
      <c r="B295" s="299"/>
      <c r="C295" s="299"/>
      <c r="D295" s="312"/>
      <c r="K295" s="332"/>
      <c r="O295" s="333"/>
      <c r="W295" s="333"/>
      <c r="X295" s="333"/>
    </row>
    <row r="296" spans="1:24">
      <c r="A296" s="297"/>
      <c r="B296" s="299"/>
      <c r="C296" s="299"/>
      <c r="D296" s="312"/>
      <c r="K296" s="332"/>
      <c r="O296" s="333"/>
      <c r="W296" s="333"/>
      <c r="X296" s="333"/>
    </row>
    <row r="297" spans="1:24">
      <c r="A297" s="297"/>
      <c r="B297" s="299"/>
      <c r="C297" s="299"/>
      <c r="D297" s="312"/>
      <c r="K297" s="332"/>
      <c r="O297" s="333"/>
      <c r="W297" s="333"/>
      <c r="X297" s="333"/>
    </row>
    <row r="298" spans="1:24">
      <c r="A298" s="297"/>
      <c r="B298" s="299"/>
      <c r="C298" s="299"/>
      <c r="D298" s="312"/>
      <c r="K298" s="332"/>
      <c r="O298" s="333"/>
      <c r="W298" s="333"/>
      <c r="X298" s="333"/>
    </row>
    <row r="299" spans="1:24">
      <c r="A299" s="297"/>
      <c r="B299" s="299"/>
      <c r="C299" s="299"/>
      <c r="D299" s="312"/>
      <c r="K299" s="332"/>
      <c r="O299" s="333"/>
      <c r="W299" s="333"/>
      <c r="X299" s="333"/>
    </row>
    <row r="300" spans="1:24">
      <c r="A300" s="297"/>
      <c r="B300" s="299"/>
      <c r="C300" s="299"/>
      <c r="D300" s="312"/>
      <c r="K300" s="332"/>
      <c r="O300" s="333"/>
      <c r="W300" s="333"/>
      <c r="X300" s="333"/>
    </row>
    <row r="301" spans="1:24">
      <c r="A301" s="297"/>
      <c r="B301" s="299"/>
      <c r="C301" s="299"/>
      <c r="D301" s="312"/>
      <c r="K301" s="332"/>
      <c r="O301" s="333"/>
      <c r="W301" s="333"/>
      <c r="X301" s="333"/>
    </row>
    <row r="302" spans="1:24">
      <c r="A302" s="297"/>
      <c r="B302" s="299"/>
      <c r="C302" s="299"/>
      <c r="D302" s="312"/>
      <c r="K302" s="332"/>
      <c r="O302" s="333"/>
      <c r="W302" s="333"/>
      <c r="X302" s="333"/>
    </row>
    <row r="303" spans="1:24">
      <c r="A303" s="297"/>
      <c r="B303" s="299"/>
      <c r="C303" s="299"/>
      <c r="D303" s="312"/>
      <c r="K303" s="332"/>
      <c r="O303" s="333"/>
      <c r="W303" s="333"/>
      <c r="X303" s="333"/>
    </row>
    <row r="304" spans="1:24">
      <c r="A304" s="297"/>
      <c r="B304" s="299"/>
      <c r="C304" s="299"/>
      <c r="D304" s="312"/>
      <c r="K304" s="332"/>
      <c r="O304" s="333"/>
      <c r="W304" s="333"/>
      <c r="X304" s="333"/>
    </row>
    <row r="305" spans="1:24">
      <c r="A305" s="297"/>
      <c r="B305" s="299"/>
      <c r="C305" s="299"/>
      <c r="D305" s="312"/>
      <c r="K305" s="332"/>
      <c r="O305" s="333"/>
      <c r="W305" s="333"/>
      <c r="X305" s="333"/>
    </row>
    <row r="306" spans="1:24">
      <c r="A306" s="297"/>
      <c r="B306" s="299"/>
      <c r="C306" s="299"/>
      <c r="D306" s="312"/>
      <c r="K306" s="332"/>
      <c r="O306" s="333"/>
      <c r="W306" s="333"/>
      <c r="X306" s="333"/>
    </row>
    <row r="307" spans="1:24">
      <c r="A307" s="297"/>
      <c r="B307" s="299"/>
      <c r="C307" s="299"/>
      <c r="D307" s="312"/>
      <c r="K307" s="332"/>
      <c r="O307" s="333"/>
      <c r="W307" s="333"/>
      <c r="X307" s="333"/>
    </row>
    <row r="308" spans="1:24">
      <c r="A308" s="297"/>
      <c r="B308" s="299"/>
      <c r="C308" s="299"/>
      <c r="D308" s="312"/>
      <c r="K308" s="332"/>
      <c r="O308" s="333"/>
      <c r="W308" s="333"/>
      <c r="X308" s="333"/>
    </row>
    <row r="309" spans="1:24">
      <c r="A309" s="297"/>
      <c r="B309" s="299"/>
      <c r="C309" s="299"/>
      <c r="D309" s="312"/>
      <c r="K309" s="332"/>
      <c r="O309" s="333"/>
      <c r="W309" s="333"/>
      <c r="X309" s="333"/>
    </row>
    <row r="310" spans="1:24">
      <c r="A310" s="297"/>
      <c r="B310" s="299"/>
      <c r="C310" s="299"/>
      <c r="D310" s="312"/>
      <c r="K310" s="332"/>
      <c r="O310" s="333"/>
      <c r="W310" s="333"/>
      <c r="X310" s="333"/>
    </row>
    <row r="311" spans="1:24">
      <c r="A311" s="297"/>
      <c r="B311" s="299"/>
      <c r="C311" s="299"/>
      <c r="D311" s="312"/>
      <c r="K311" s="332"/>
      <c r="O311" s="333"/>
      <c r="W311" s="333"/>
      <c r="X311" s="333"/>
    </row>
    <row r="312" spans="1:24">
      <c r="A312" s="297"/>
      <c r="B312" s="299"/>
      <c r="C312" s="299"/>
      <c r="D312" s="312"/>
      <c r="K312" s="332"/>
      <c r="O312" s="333"/>
      <c r="W312" s="333"/>
      <c r="X312" s="333"/>
    </row>
    <row r="313" spans="1:24">
      <c r="A313" s="297"/>
      <c r="B313" s="299"/>
      <c r="C313" s="299"/>
      <c r="D313" s="312"/>
      <c r="K313" s="332"/>
      <c r="O313" s="333"/>
      <c r="W313" s="333"/>
      <c r="X313" s="333"/>
    </row>
    <row r="314" spans="1:24">
      <c r="A314" s="297"/>
      <c r="B314" s="299"/>
      <c r="C314" s="299"/>
      <c r="D314" s="312"/>
      <c r="K314" s="332"/>
      <c r="O314" s="333"/>
      <c r="W314" s="333"/>
      <c r="X314" s="333"/>
    </row>
    <row r="315" spans="1:24">
      <c r="A315" s="297"/>
      <c r="B315" s="299"/>
      <c r="C315" s="299"/>
      <c r="D315" s="312"/>
      <c r="K315" s="332"/>
      <c r="O315" s="333"/>
      <c r="W315" s="333"/>
      <c r="X315" s="333"/>
    </row>
    <row r="316" spans="1:24">
      <c r="A316" s="297"/>
      <c r="B316" s="299"/>
      <c r="C316" s="299"/>
      <c r="D316" s="312"/>
      <c r="K316" s="332"/>
      <c r="O316" s="333"/>
      <c r="W316" s="333"/>
      <c r="X316" s="333"/>
    </row>
    <row r="317" spans="1:24">
      <c r="A317" s="297"/>
      <c r="B317" s="299"/>
      <c r="C317" s="299"/>
      <c r="D317" s="312"/>
      <c r="K317" s="332"/>
      <c r="O317" s="333"/>
      <c r="W317" s="333"/>
      <c r="X317" s="333"/>
    </row>
    <row r="318" spans="1:24">
      <c r="A318" s="297"/>
      <c r="B318" s="299"/>
      <c r="C318" s="299"/>
      <c r="D318" s="312"/>
      <c r="K318" s="332"/>
      <c r="O318" s="333"/>
      <c r="W318" s="333"/>
      <c r="X318" s="333"/>
    </row>
    <row r="319" spans="1:24">
      <c r="A319" s="297"/>
      <c r="B319" s="299"/>
      <c r="C319" s="299"/>
      <c r="D319" s="312"/>
      <c r="K319" s="332"/>
      <c r="O319" s="333"/>
      <c r="W319" s="333"/>
      <c r="X319" s="333"/>
    </row>
    <row r="320" spans="1:24">
      <c r="A320" s="297"/>
      <c r="B320" s="299"/>
      <c r="C320" s="299"/>
      <c r="D320" s="312"/>
      <c r="K320" s="332"/>
      <c r="O320" s="333"/>
      <c r="W320" s="333"/>
      <c r="X320" s="333"/>
    </row>
    <row r="321" spans="1:24">
      <c r="A321" s="297"/>
      <c r="B321" s="299"/>
      <c r="C321" s="299"/>
      <c r="D321" s="312"/>
      <c r="K321" s="332"/>
      <c r="O321" s="333"/>
      <c r="W321" s="333"/>
      <c r="X321" s="333"/>
    </row>
    <row r="322" spans="1:24">
      <c r="A322" s="297"/>
      <c r="B322" s="299"/>
      <c r="C322" s="299"/>
      <c r="D322" s="312"/>
      <c r="K322" s="332"/>
      <c r="O322" s="333"/>
      <c r="W322" s="333"/>
      <c r="X322" s="333"/>
    </row>
    <row r="323" spans="1:24">
      <c r="A323" s="297"/>
      <c r="B323" s="299"/>
      <c r="C323" s="299"/>
      <c r="D323" s="312"/>
      <c r="K323" s="332"/>
      <c r="O323" s="333"/>
      <c r="W323" s="333"/>
      <c r="X323" s="333"/>
    </row>
    <row r="324" spans="1:24">
      <c r="A324" s="297"/>
      <c r="B324" s="299"/>
      <c r="C324" s="299"/>
      <c r="D324" s="312"/>
      <c r="K324" s="332"/>
      <c r="O324" s="333"/>
      <c r="W324" s="333"/>
      <c r="X324" s="333"/>
    </row>
    <row r="325" spans="1:24">
      <c r="A325" s="297"/>
      <c r="B325" s="299"/>
      <c r="C325" s="299"/>
      <c r="D325" s="312"/>
      <c r="K325" s="332"/>
      <c r="O325" s="333"/>
      <c r="W325" s="333"/>
      <c r="X325" s="333"/>
    </row>
    <row r="326" spans="1:24">
      <c r="A326" s="297"/>
      <c r="B326" s="299"/>
      <c r="C326" s="299"/>
      <c r="D326" s="312"/>
      <c r="K326" s="332"/>
      <c r="O326" s="333"/>
      <c r="W326" s="333"/>
      <c r="X326" s="333"/>
    </row>
    <row r="327" spans="1:24">
      <c r="A327" s="297"/>
      <c r="B327" s="299"/>
      <c r="C327" s="299"/>
      <c r="D327" s="312"/>
      <c r="K327" s="332"/>
      <c r="O327" s="333"/>
      <c r="W327" s="333"/>
      <c r="X327" s="333"/>
    </row>
    <row r="328" spans="1:24">
      <c r="A328" s="297"/>
      <c r="B328" s="299"/>
      <c r="C328" s="299"/>
      <c r="D328" s="312"/>
      <c r="K328" s="332"/>
      <c r="O328" s="333"/>
      <c r="W328" s="333"/>
      <c r="X328" s="333"/>
    </row>
    <row r="329" spans="1:24">
      <c r="A329" s="297"/>
      <c r="B329" s="299"/>
      <c r="C329" s="299"/>
      <c r="D329" s="312"/>
      <c r="K329" s="332"/>
      <c r="O329" s="333"/>
      <c r="W329" s="333"/>
      <c r="X329" s="333"/>
    </row>
    <row r="330" spans="1:24">
      <c r="A330" s="297"/>
      <c r="B330" s="299"/>
      <c r="C330" s="299"/>
      <c r="D330" s="312"/>
      <c r="K330" s="332"/>
      <c r="O330" s="333"/>
      <c r="W330" s="333"/>
      <c r="X330" s="333"/>
    </row>
    <row r="331" spans="1:24">
      <c r="A331" s="297"/>
      <c r="B331" s="299"/>
      <c r="C331" s="299"/>
      <c r="D331" s="312"/>
      <c r="K331" s="332"/>
      <c r="O331" s="333"/>
      <c r="W331" s="333"/>
      <c r="X331" s="333"/>
    </row>
    <row r="332" spans="1:24">
      <c r="A332" s="297"/>
      <c r="B332" s="299"/>
      <c r="C332" s="299"/>
      <c r="D332" s="312"/>
      <c r="K332" s="332"/>
      <c r="O332" s="333"/>
      <c r="W332" s="333"/>
      <c r="X332" s="333"/>
    </row>
    <row r="333" spans="1:24">
      <c r="A333" s="297"/>
      <c r="B333" s="299"/>
      <c r="C333" s="299"/>
      <c r="D333" s="312"/>
      <c r="K333" s="332"/>
      <c r="O333" s="333"/>
      <c r="W333" s="333"/>
      <c r="X333" s="333"/>
    </row>
    <row r="334" spans="1:24">
      <c r="A334" s="297"/>
      <c r="B334" s="299"/>
      <c r="C334" s="299"/>
      <c r="D334" s="312"/>
      <c r="K334" s="332"/>
      <c r="O334" s="333"/>
      <c r="W334" s="333"/>
      <c r="X334" s="333"/>
    </row>
    <row r="335" spans="1:24">
      <c r="A335" s="297"/>
      <c r="B335" s="299"/>
      <c r="C335" s="299"/>
      <c r="D335" s="312"/>
      <c r="K335" s="332"/>
      <c r="O335" s="333"/>
      <c r="W335" s="333"/>
      <c r="X335" s="333"/>
    </row>
    <row r="336" spans="1:24">
      <c r="A336" s="297"/>
      <c r="B336" s="299"/>
      <c r="C336" s="299"/>
      <c r="D336" s="312"/>
      <c r="K336" s="332"/>
      <c r="O336" s="333"/>
      <c r="W336" s="333"/>
      <c r="X336" s="333"/>
    </row>
    <row r="337" spans="1:24">
      <c r="A337" s="297"/>
      <c r="B337" s="299"/>
      <c r="C337" s="299"/>
      <c r="D337" s="312"/>
      <c r="K337" s="332"/>
      <c r="O337" s="333"/>
      <c r="W337" s="333"/>
      <c r="X337" s="333"/>
    </row>
    <row r="338" spans="1:24">
      <c r="A338" s="297"/>
      <c r="B338" s="299"/>
      <c r="C338" s="299"/>
      <c r="D338" s="312"/>
      <c r="K338" s="332"/>
      <c r="O338" s="333"/>
      <c r="W338" s="333"/>
      <c r="X338" s="333"/>
    </row>
    <row r="339" spans="1:24">
      <c r="A339" s="297"/>
      <c r="B339" s="299"/>
      <c r="C339" s="299"/>
      <c r="D339" s="312"/>
      <c r="K339" s="332"/>
      <c r="O339" s="333"/>
      <c r="W339" s="333"/>
      <c r="X339" s="333"/>
    </row>
    <row r="340" spans="1:24">
      <c r="A340" s="297"/>
      <c r="B340" s="299"/>
      <c r="C340" s="299"/>
      <c r="D340" s="312"/>
      <c r="K340" s="332"/>
      <c r="O340" s="333"/>
      <c r="W340" s="333"/>
      <c r="X340" s="333"/>
    </row>
    <row r="341" spans="1:24">
      <c r="A341" s="297"/>
      <c r="B341" s="299"/>
      <c r="C341" s="299"/>
      <c r="D341" s="312"/>
      <c r="K341" s="332"/>
      <c r="O341" s="333"/>
      <c r="W341" s="333"/>
      <c r="X341" s="333"/>
    </row>
    <row r="342" spans="1:24">
      <c r="A342" s="297"/>
      <c r="B342" s="299"/>
      <c r="C342" s="299"/>
      <c r="D342" s="312"/>
      <c r="K342" s="332"/>
      <c r="O342" s="333"/>
      <c r="W342" s="333"/>
      <c r="X342" s="333"/>
    </row>
    <row r="343" spans="1:24">
      <c r="A343" s="297"/>
      <c r="B343" s="299"/>
      <c r="C343" s="299"/>
      <c r="D343" s="312"/>
      <c r="K343" s="332"/>
      <c r="O343" s="333"/>
      <c r="W343" s="333"/>
      <c r="X343" s="333"/>
    </row>
    <row r="344" spans="1:24">
      <c r="A344" s="297"/>
      <c r="B344" s="299"/>
      <c r="C344" s="299"/>
      <c r="D344" s="312"/>
      <c r="K344" s="332"/>
      <c r="O344" s="333"/>
      <c r="W344" s="333"/>
      <c r="X344" s="333"/>
    </row>
    <row r="345" spans="1:24">
      <c r="A345" s="297"/>
      <c r="B345" s="299"/>
      <c r="C345" s="299"/>
      <c r="D345" s="312"/>
      <c r="K345" s="332"/>
      <c r="O345" s="333"/>
      <c r="W345" s="333"/>
      <c r="X345" s="333"/>
    </row>
    <row r="346" spans="1:24">
      <c r="A346" s="297"/>
      <c r="B346" s="299"/>
      <c r="C346" s="299"/>
      <c r="D346" s="312"/>
      <c r="K346" s="332"/>
      <c r="O346" s="333"/>
      <c r="W346" s="333"/>
      <c r="X346" s="333"/>
    </row>
    <row r="347" spans="1:24">
      <c r="A347" s="297"/>
      <c r="B347" s="299"/>
      <c r="C347" s="299"/>
      <c r="D347" s="312"/>
      <c r="K347" s="332"/>
      <c r="O347" s="333"/>
      <c r="W347" s="333"/>
      <c r="X347" s="333"/>
    </row>
    <row r="348" spans="1:24">
      <c r="A348" s="297"/>
      <c r="B348" s="299"/>
      <c r="C348" s="299"/>
      <c r="D348" s="312"/>
      <c r="K348" s="332"/>
      <c r="O348" s="333"/>
      <c r="W348" s="333"/>
      <c r="X348" s="333"/>
    </row>
    <row r="349" spans="1:24">
      <c r="A349" s="297"/>
      <c r="B349" s="299"/>
      <c r="C349" s="299"/>
      <c r="D349" s="312"/>
      <c r="K349" s="332"/>
      <c r="O349" s="333"/>
      <c r="W349" s="333"/>
      <c r="X349" s="333"/>
    </row>
    <row r="350" spans="1:24">
      <c r="A350" s="297"/>
      <c r="B350" s="299"/>
      <c r="C350" s="299"/>
      <c r="D350" s="312"/>
      <c r="K350" s="332"/>
      <c r="O350" s="333"/>
      <c r="W350" s="333"/>
      <c r="X350" s="333"/>
    </row>
    <row r="351" spans="1:24">
      <c r="A351" s="297"/>
      <c r="B351" s="299"/>
      <c r="C351" s="299"/>
      <c r="D351" s="312"/>
      <c r="K351" s="332"/>
      <c r="O351" s="333"/>
      <c r="W351" s="333"/>
      <c r="X351" s="333"/>
    </row>
    <row r="352" spans="1:24">
      <c r="A352" s="297"/>
      <c r="B352" s="299"/>
      <c r="C352" s="299"/>
      <c r="D352" s="312"/>
      <c r="K352" s="332"/>
      <c r="O352" s="333"/>
      <c r="W352" s="333"/>
      <c r="X352" s="333"/>
    </row>
    <row r="353" spans="1:24">
      <c r="A353" s="297"/>
      <c r="B353" s="299"/>
      <c r="C353" s="299"/>
      <c r="D353" s="312"/>
      <c r="K353" s="332"/>
      <c r="O353" s="333"/>
      <c r="W353" s="333"/>
      <c r="X353" s="333"/>
    </row>
    <row r="354" spans="1:24">
      <c r="A354" s="297"/>
      <c r="B354" s="299"/>
      <c r="C354" s="299"/>
      <c r="D354" s="312"/>
      <c r="K354" s="332"/>
      <c r="O354" s="333"/>
      <c r="W354" s="333"/>
      <c r="X354" s="333"/>
    </row>
    <row r="355" spans="1:24">
      <c r="A355" s="297"/>
      <c r="B355" s="299"/>
      <c r="C355" s="299"/>
      <c r="D355" s="312"/>
      <c r="K355" s="332"/>
      <c r="O355" s="333"/>
      <c r="W355" s="333"/>
      <c r="X355" s="333"/>
    </row>
    <row r="356" spans="1:24">
      <c r="A356" s="297"/>
      <c r="B356" s="299"/>
      <c r="C356" s="299"/>
      <c r="D356" s="312"/>
      <c r="K356" s="332"/>
      <c r="O356" s="333"/>
      <c r="W356" s="333"/>
      <c r="X356" s="333"/>
    </row>
    <row r="357" spans="1:24">
      <c r="A357" s="297"/>
      <c r="B357" s="299"/>
      <c r="C357" s="299"/>
      <c r="D357" s="312"/>
      <c r="K357" s="332"/>
      <c r="O357" s="333"/>
      <c r="W357" s="333"/>
      <c r="X357" s="333"/>
    </row>
    <row r="358" spans="1:24">
      <c r="A358" s="297"/>
      <c r="B358" s="299"/>
      <c r="C358" s="299"/>
      <c r="D358" s="312"/>
      <c r="K358" s="332"/>
      <c r="O358" s="333"/>
      <c r="W358" s="333"/>
      <c r="X358" s="333"/>
    </row>
    <row r="359" spans="1:24">
      <c r="A359" s="297"/>
      <c r="B359" s="299"/>
      <c r="C359" s="299"/>
      <c r="D359" s="312"/>
      <c r="K359" s="332"/>
      <c r="O359" s="333"/>
      <c r="W359" s="333"/>
      <c r="X359" s="333"/>
    </row>
    <row r="360" spans="1:24">
      <c r="A360" s="297"/>
      <c r="B360" s="299"/>
      <c r="C360" s="299"/>
      <c r="D360" s="312"/>
      <c r="K360" s="332"/>
      <c r="O360" s="333"/>
      <c r="W360" s="333"/>
      <c r="X360" s="333"/>
    </row>
    <row r="361" spans="1:24">
      <c r="A361" s="297"/>
      <c r="B361" s="299"/>
      <c r="C361" s="299"/>
      <c r="D361" s="312"/>
      <c r="K361" s="332"/>
      <c r="O361" s="333"/>
      <c r="W361" s="333"/>
      <c r="X361" s="333"/>
    </row>
    <row r="362" spans="1:24">
      <c r="A362" s="297"/>
      <c r="B362" s="299"/>
      <c r="C362" s="299"/>
      <c r="D362" s="312"/>
      <c r="K362" s="332"/>
      <c r="O362" s="333"/>
      <c r="W362" s="333"/>
      <c r="X362" s="333"/>
    </row>
    <row r="363" spans="1:24">
      <c r="A363" s="297"/>
      <c r="B363" s="299"/>
      <c r="C363" s="299"/>
      <c r="D363" s="312"/>
      <c r="K363" s="332"/>
      <c r="O363" s="333"/>
      <c r="W363" s="333"/>
      <c r="X363" s="333"/>
    </row>
    <row r="364" spans="1:24">
      <c r="A364" s="297"/>
      <c r="B364" s="299"/>
      <c r="C364" s="299"/>
      <c r="D364" s="312"/>
      <c r="K364" s="332"/>
      <c r="O364" s="333"/>
      <c r="W364" s="333"/>
      <c r="X364" s="333"/>
    </row>
    <row r="365" spans="1:24">
      <c r="A365" s="297"/>
      <c r="B365" s="299"/>
      <c r="C365" s="299"/>
      <c r="D365" s="312"/>
      <c r="K365" s="332"/>
      <c r="O365" s="333"/>
      <c r="W365" s="333"/>
      <c r="X365" s="333"/>
    </row>
    <row r="366" spans="1:24">
      <c r="A366" s="297"/>
      <c r="B366" s="299"/>
      <c r="C366" s="299"/>
      <c r="D366" s="312"/>
      <c r="K366" s="332"/>
      <c r="O366" s="333"/>
      <c r="W366" s="333"/>
      <c r="X366" s="333"/>
    </row>
    <row r="367" spans="1:24">
      <c r="A367" s="297"/>
      <c r="B367" s="299"/>
      <c r="C367" s="299"/>
      <c r="D367" s="312"/>
      <c r="K367" s="332"/>
      <c r="O367" s="333"/>
      <c r="W367" s="333"/>
      <c r="X367" s="333"/>
    </row>
    <row r="368" spans="1:24">
      <c r="A368" s="297"/>
      <c r="B368" s="299"/>
      <c r="C368" s="299"/>
      <c r="D368" s="312"/>
      <c r="K368" s="332"/>
      <c r="O368" s="333"/>
      <c r="W368" s="333"/>
      <c r="X368" s="333"/>
    </row>
    <row r="369" spans="1:24">
      <c r="A369" s="297"/>
      <c r="B369" s="299"/>
      <c r="C369" s="299"/>
      <c r="D369" s="312"/>
      <c r="K369" s="332"/>
      <c r="O369" s="333"/>
      <c r="W369" s="333"/>
      <c r="X369" s="333"/>
    </row>
    <row r="370" spans="1:24">
      <c r="A370" s="297"/>
      <c r="B370" s="299"/>
      <c r="C370" s="299"/>
      <c r="D370" s="312"/>
      <c r="K370" s="332"/>
      <c r="O370" s="333"/>
      <c r="W370" s="333"/>
      <c r="X370" s="333"/>
    </row>
    <row r="371" spans="1:24">
      <c r="A371" s="297"/>
      <c r="B371" s="299"/>
      <c r="C371" s="299"/>
      <c r="D371" s="312"/>
      <c r="K371" s="332"/>
      <c r="O371" s="333"/>
      <c r="W371" s="333"/>
      <c r="X371" s="333"/>
    </row>
    <row r="372" spans="1:24">
      <c r="A372" s="297"/>
      <c r="B372" s="299"/>
      <c r="C372" s="299"/>
      <c r="D372" s="312"/>
      <c r="K372" s="332"/>
      <c r="O372" s="333"/>
      <c r="W372" s="333"/>
      <c r="X372" s="333"/>
    </row>
    <row r="373" spans="1:24">
      <c r="A373" s="297"/>
      <c r="B373" s="299"/>
      <c r="C373" s="299"/>
      <c r="D373" s="312"/>
      <c r="K373" s="332"/>
      <c r="O373" s="333"/>
      <c r="W373" s="333"/>
      <c r="X373" s="333"/>
    </row>
    <row r="374" spans="1:24">
      <c r="A374" s="297"/>
      <c r="B374" s="299"/>
      <c r="C374" s="299"/>
      <c r="D374" s="312"/>
      <c r="K374" s="332"/>
      <c r="O374" s="333"/>
      <c r="W374" s="333"/>
      <c r="X374" s="333"/>
    </row>
    <row r="375" spans="1:24">
      <c r="A375" s="297"/>
      <c r="B375" s="299"/>
      <c r="C375" s="299"/>
      <c r="D375" s="312"/>
      <c r="K375" s="332"/>
      <c r="O375" s="333"/>
      <c r="W375" s="333"/>
      <c r="X375" s="333"/>
    </row>
    <row r="376" spans="1:24">
      <c r="A376" s="297"/>
      <c r="B376" s="299"/>
      <c r="C376" s="299"/>
      <c r="D376" s="312"/>
      <c r="K376" s="332"/>
      <c r="O376" s="333"/>
      <c r="W376" s="333"/>
      <c r="X376" s="333"/>
    </row>
    <row r="377" spans="1:24">
      <c r="A377" s="297"/>
      <c r="B377" s="299"/>
      <c r="C377" s="299"/>
      <c r="D377" s="312"/>
      <c r="K377" s="332"/>
      <c r="O377" s="333"/>
      <c r="W377" s="333"/>
      <c r="X377" s="333"/>
    </row>
    <row r="378" spans="1:24">
      <c r="A378" s="297"/>
      <c r="B378" s="299"/>
      <c r="C378" s="299"/>
      <c r="D378" s="312"/>
      <c r="K378" s="332"/>
      <c r="O378" s="333"/>
      <c r="W378" s="333"/>
      <c r="X378" s="333"/>
    </row>
    <row r="379" spans="1:24">
      <c r="A379" s="297"/>
      <c r="B379" s="299"/>
      <c r="C379" s="299"/>
      <c r="D379" s="312"/>
      <c r="K379" s="332"/>
      <c r="O379" s="333"/>
      <c r="W379" s="333"/>
      <c r="X379" s="333"/>
    </row>
    <row r="380" spans="1:24">
      <c r="A380" s="297"/>
      <c r="B380" s="299"/>
      <c r="C380" s="299"/>
      <c r="D380" s="312"/>
      <c r="K380" s="332"/>
      <c r="O380" s="333"/>
      <c r="W380" s="333"/>
      <c r="X380" s="333"/>
    </row>
    <row r="381" spans="1:24">
      <c r="A381" s="297"/>
      <c r="B381" s="299"/>
      <c r="C381" s="299"/>
      <c r="D381" s="312"/>
      <c r="K381" s="332"/>
      <c r="O381" s="333"/>
      <c r="W381" s="333"/>
      <c r="X381" s="333"/>
    </row>
    <row r="382" spans="1:24">
      <c r="A382" s="297"/>
      <c r="B382" s="299"/>
      <c r="C382" s="299"/>
      <c r="D382" s="312"/>
      <c r="K382" s="332"/>
      <c r="O382" s="333"/>
      <c r="W382" s="333"/>
      <c r="X382" s="333"/>
    </row>
    <row r="383" spans="1:24">
      <c r="A383" s="297"/>
      <c r="B383" s="299"/>
      <c r="C383" s="299"/>
      <c r="D383" s="312"/>
      <c r="K383" s="332"/>
      <c r="O383" s="333"/>
      <c r="W383" s="333"/>
      <c r="X383" s="333"/>
    </row>
    <row r="384" spans="1:24">
      <c r="A384" s="297"/>
      <c r="B384" s="299"/>
      <c r="C384" s="299"/>
      <c r="D384" s="312"/>
      <c r="K384" s="332"/>
      <c r="O384" s="333"/>
      <c r="W384" s="333"/>
      <c r="X384" s="333"/>
    </row>
    <row r="385" spans="1:24">
      <c r="A385" s="297"/>
      <c r="B385" s="299"/>
      <c r="C385" s="299"/>
      <c r="D385" s="312"/>
      <c r="K385" s="332"/>
      <c r="O385" s="333"/>
      <c r="W385" s="333"/>
      <c r="X385" s="333"/>
    </row>
    <row r="386" spans="1:24">
      <c r="A386" s="297"/>
      <c r="B386" s="299"/>
      <c r="C386" s="299"/>
      <c r="D386" s="312"/>
      <c r="K386" s="332"/>
      <c r="O386" s="333"/>
      <c r="W386" s="333"/>
      <c r="X386" s="333"/>
    </row>
    <row r="387" spans="1:24">
      <c r="A387" s="297"/>
      <c r="B387" s="299"/>
      <c r="C387" s="299"/>
      <c r="D387" s="312"/>
      <c r="K387" s="332"/>
      <c r="O387" s="333"/>
      <c r="W387" s="333"/>
      <c r="X387" s="333"/>
    </row>
    <row r="388" spans="1:24">
      <c r="A388" s="297"/>
      <c r="B388" s="299"/>
      <c r="C388" s="299"/>
      <c r="D388" s="312"/>
      <c r="K388" s="332"/>
      <c r="O388" s="333"/>
      <c r="W388" s="333"/>
      <c r="X388" s="333"/>
    </row>
    <row r="389" spans="1:24">
      <c r="A389" s="297"/>
      <c r="B389" s="299"/>
      <c r="C389" s="299"/>
      <c r="D389" s="312"/>
      <c r="K389" s="332"/>
      <c r="O389" s="333"/>
      <c r="W389" s="333"/>
      <c r="X389" s="333"/>
    </row>
    <row r="390" spans="1:24">
      <c r="A390" s="297"/>
      <c r="B390" s="299"/>
      <c r="C390" s="299"/>
      <c r="D390" s="312"/>
      <c r="K390" s="332"/>
      <c r="O390" s="333"/>
      <c r="W390" s="333"/>
      <c r="X390" s="333"/>
    </row>
    <row r="391" spans="1:24">
      <c r="A391" s="297"/>
      <c r="B391" s="299"/>
      <c r="C391" s="299"/>
      <c r="D391" s="312"/>
      <c r="K391" s="332"/>
      <c r="O391" s="333"/>
      <c r="W391" s="333"/>
      <c r="X391" s="333"/>
    </row>
    <row r="392" spans="1:24">
      <c r="A392" s="297"/>
      <c r="B392" s="299"/>
      <c r="C392" s="299"/>
      <c r="D392" s="312"/>
      <c r="K392" s="332"/>
      <c r="O392" s="333"/>
      <c r="W392" s="333"/>
      <c r="X392" s="333"/>
    </row>
    <row r="393" spans="1:24">
      <c r="A393" s="297"/>
      <c r="B393" s="299"/>
      <c r="C393" s="299"/>
      <c r="D393" s="312"/>
      <c r="K393" s="332"/>
      <c r="O393" s="333"/>
      <c r="W393" s="333"/>
      <c r="X393" s="333"/>
    </row>
    <row r="394" spans="1:24">
      <c r="A394" s="297"/>
      <c r="B394" s="299"/>
      <c r="C394" s="299"/>
      <c r="D394" s="312"/>
      <c r="K394" s="332"/>
      <c r="O394" s="333"/>
      <c r="W394" s="333"/>
      <c r="X394" s="333"/>
    </row>
    <row r="395" spans="1:24">
      <c r="A395" s="297"/>
      <c r="B395" s="299"/>
      <c r="C395" s="299"/>
      <c r="D395" s="312"/>
      <c r="K395" s="332"/>
      <c r="O395" s="333"/>
      <c r="W395" s="333"/>
      <c r="X395" s="333"/>
    </row>
    <row r="396" spans="1:24">
      <c r="A396" s="297"/>
      <c r="B396" s="299"/>
      <c r="C396" s="299"/>
      <c r="D396" s="312"/>
      <c r="K396" s="332"/>
      <c r="O396" s="333"/>
      <c r="W396" s="333"/>
      <c r="X396" s="333"/>
    </row>
    <row r="397" spans="1:24">
      <c r="A397" s="297"/>
      <c r="B397" s="299"/>
      <c r="C397" s="299"/>
      <c r="D397" s="312"/>
      <c r="K397" s="332"/>
      <c r="O397" s="333"/>
      <c r="W397" s="333"/>
      <c r="X397" s="333"/>
    </row>
    <row r="398" spans="1:24">
      <c r="A398" s="297"/>
      <c r="B398" s="299"/>
      <c r="C398" s="299"/>
      <c r="D398" s="312"/>
      <c r="K398" s="332"/>
      <c r="O398" s="333"/>
      <c r="W398" s="333"/>
      <c r="X398" s="333"/>
    </row>
    <row r="399" spans="1:24">
      <c r="A399" s="297"/>
      <c r="B399" s="299"/>
      <c r="C399" s="299"/>
      <c r="D399" s="312"/>
      <c r="K399" s="332"/>
      <c r="O399" s="333"/>
      <c r="W399" s="333"/>
      <c r="X399" s="333"/>
    </row>
    <row r="400" spans="1:24">
      <c r="A400" s="297"/>
      <c r="B400" s="299"/>
      <c r="C400" s="299"/>
      <c r="D400" s="312"/>
      <c r="K400" s="332"/>
      <c r="O400" s="333"/>
      <c r="W400" s="333"/>
      <c r="X400" s="333"/>
    </row>
    <row r="401" spans="1:24">
      <c r="A401" s="297"/>
      <c r="B401" s="299"/>
      <c r="C401" s="299"/>
      <c r="D401" s="312"/>
      <c r="K401" s="332"/>
      <c r="O401" s="333"/>
      <c r="W401" s="333"/>
      <c r="X401" s="333"/>
    </row>
    <row r="402" spans="1:24">
      <c r="A402" s="297"/>
      <c r="B402" s="299"/>
      <c r="C402" s="299"/>
      <c r="D402" s="312"/>
      <c r="K402" s="332"/>
      <c r="O402" s="333"/>
      <c r="W402" s="333"/>
      <c r="X402" s="333"/>
    </row>
    <row r="403" spans="1:24">
      <c r="A403" s="297"/>
      <c r="B403" s="299"/>
      <c r="C403" s="299"/>
      <c r="D403" s="312"/>
      <c r="K403" s="332"/>
      <c r="O403" s="333"/>
      <c r="W403" s="333"/>
      <c r="X403" s="333"/>
    </row>
    <row r="404" spans="1:24">
      <c r="A404" s="297"/>
      <c r="B404" s="299"/>
      <c r="C404" s="299"/>
      <c r="D404" s="312"/>
      <c r="K404" s="332"/>
      <c r="O404" s="333"/>
      <c r="W404" s="333"/>
      <c r="X404" s="333"/>
    </row>
    <row r="405" spans="1:24">
      <c r="A405" s="297"/>
      <c r="B405" s="299"/>
      <c r="C405" s="299"/>
      <c r="D405" s="312"/>
      <c r="K405" s="332"/>
      <c r="O405" s="333"/>
      <c r="W405" s="333"/>
      <c r="X405" s="333"/>
    </row>
    <row r="406" spans="1:24">
      <c r="A406" s="297"/>
      <c r="B406" s="299"/>
      <c r="C406" s="299"/>
      <c r="D406" s="312"/>
      <c r="K406" s="332"/>
      <c r="O406" s="333"/>
      <c r="W406" s="333"/>
      <c r="X406" s="333"/>
    </row>
    <row r="407" spans="1:24">
      <c r="A407" s="297"/>
      <c r="B407" s="299"/>
      <c r="C407" s="299"/>
      <c r="D407" s="312"/>
      <c r="K407" s="332"/>
      <c r="O407" s="333"/>
      <c r="W407" s="333"/>
      <c r="X407" s="333"/>
    </row>
    <row r="408" spans="1:24">
      <c r="A408" s="297"/>
      <c r="B408" s="299"/>
      <c r="C408" s="299"/>
      <c r="D408" s="312"/>
      <c r="K408" s="332"/>
      <c r="O408" s="333"/>
      <c r="W408" s="333"/>
      <c r="X408" s="333"/>
    </row>
    <row r="409" spans="1:24">
      <c r="A409" s="297"/>
      <c r="B409" s="299"/>
      <c r="C409" s="299"/>
      <c r="D409" s="312"/>
      <c r="K409" s="332"/>
      <c r="O409" s="333"/>
      <c r="W409" s="333"/>
      <c r="X409" s="333"/>
    </row>
    <row r="410" spans="1:24">
      <c r="A410" s="297"/>
      <c r="B410" s="299"/>
      <c r="C410" s="299"/>
      <c r="D410" s="312"/>
      <c r="K410" s="332"/>
      <c r="O410" s="333"/>
      <c r="W410" s="333"/>
      <c r="X410" s="333"/>
    </row>
    <row r="411" spans="1:24">
      <c r="A411" s="297"/>
      <c r="B411" s="299"/>
      <c r="C411" s="299"/>
      <c r="D411" s="312"/>
      <c r="K411" s="332"/>
      <c r="O411" s="333"/>
      <c r="W411" s="333"/>
      <c r="X411" s="333"/>
    </row>
    <row r="412" spans="1:24">
      <c r="A412" s="297"/>
      <c r="B412" s="299"/>
      <c r="C412" s="299"/>
      <c r="D412" s="312"/>
      <c r="K412" s="332"/>
      <c r="O412" s="333"/>
      <c r="W412" s="333"/>
      <c r="X412" s="333"/>
    </row>
    <row r="413" spans="1:24">
      <c r="A413" s="297"/>
      <c r="B413" s="299"/>
      <c r="C413" s="299"/>
      <c r="D413" s="312"/>
      <c r="K413" s="332"/>
      <c r="O413" s="333"/>
      <c r="W413" s="333"/>
      <c r="X413" s="333"/>
    </row>
    <row r="414" spans="1:24">
      <c r="A414" s="297"/>
      <c r="B414" s="299"/>
      <c r="C414" s="299"/>
      <c r="D414" s="312"/>
      <c r="K414" s="332"/>
      <c r="O414" s="333"/>
      <c r="W414" s="333"/>
      <c r="X414" s="333"/>
    </row>
    <row r="415" spans="1:24">
      <c r="A415" s="297"/>
      <c r="B415" s="299"/>
      <c r="C415" s="299"/>
      <c r="D415" s="312"/>
      <c r="K415" s="332"/>
      <c r="O415" s="333"/>
      <c r="W415" s="333"/>
      <c r="X415" s="333"/>
    </row>
    <row r="416" spans="1:24">
      <c r="A416" s="297"/>
      <c r="B416" s="299"/>
      <c r="C416" s="299"/>
      <c r="D416" s="312"/>
      <c r="K416" s="332"/>
      <c r="O416" s="333"/>
      <c r="W416" s="333"/>
      <c r="X416" s="333"/>
    </row>
    <row r="417" spans="1:24">
      <c r="A417" s="297"/>
      <c r="B417" s="299"/>
      <c r="C417" s="299"/>
      <c r="D417" s="312"/>
      <c r="K417" s="332"/>
      <c r="O417" s="333"/>
      <c r="W417" s="333"/>
      <c r="X417" s="333"/>
    </row>
    <row r="418" spans="1:24">
      <c r="A418" s="297"/>
      <c r="B418" s="299"/>
      <c r="C418" s="299"/>
      <c r="D418" s="312"/>
      <c r="K418" s="332"/>
      <c r="O418" s="333"/>
      <c r="W418" s="333"/>
      <c r="X418" s="333"/>
    </row>
    <row r="419" spans="1:24">
      <c r="A419" s="297"/>
      <c r="B419" s="299"/>
      <c r="C419" s="299"/>
      <c r="D419" s="312"/>
      <c r="K419" s="332"/>
      <c r="O419" s="333"/>
      <c r="W419" s="333"/>
      <c r="X419" s="333"/>
    </row>
    <row r="420" spans="1:24">
      <c r="A420" s="297"/>
      <c r="B420" s="299"/>
      <c r="C420" s="299"/>
      <c r="D420" s="312"/>
      <c r="K420" s="332"/>
      <c r="O420" s="333"/>
      <c r="W420" s="333"/>
      <c r="X420" s="333"/>
    </row>
    <row r="421" spans="1:24">
      <c r="A421" s="297"/>
      <c r="B421" s="299"/>
      <c r="C421" s="299"/>
      <c r="D421" s="312"/>
      <c r="K421" s="332"/>
      <c r="O421" s="333"/>
      <c r="W421" s="333"/>
      <c r="X421" s="333"/>
    </row>
    <row r="422" spans="1:24">
      <c r="A422" s="297"/>
      <c r="B422" s="299"/>
      <c r="C422" s="299"/>
      <c r="D422" s="312"/>
      <c r="K422" s="332"/>
      <c r="O422" s="333"/>
      <c r="W422" s="333"/>
      <c r="X422" s="333"/>
    </row>
    <row r="423" spans="1:24">
      <c r="A423" s="297"/>
      <c r="B423" s="299"/>
      <c r="C423" s="299"/>
      <c r="D423" s="312"/>
      <c r="K423" s="332"/>
      <c r="O423" s="333"/>
      <c r="W423" s="333"/>
      <c r="X423" s="333"/>
    </row>
    <row r="424" spans="1:24">
      <c r="A424" s="297"/>
      <c r="B424" s="299"/>
      <c r="C424" s="299"/>
      <c r="D424" s="312"/>
      <c r="K424" s="332"/>
      <c r="O424" s="333"/>
      <c r="W424" s="333"/>
      <c r="X424" s="333"/>
    </row>
    <row r="425" spans="1:24">
      <c r="A425" s="297"/>
      <c r="B425" s="299"/>
      <c r="C425" s="299"/>
      <c r="D425" s="312"/>
      <c r="K425" s="332"/>
      <c r="O425" s="333"/>
      <c r="W425" s="333"/>
      <c r="X425" s="333"/>
    </row>
    <row r="426" spans="1:24">
      <c r="A426" s="297"/>
      <c r="B426" s="299"/>
      <c r="C426" s="299"/>
      <c r="D426" s="312"/>
      <c r="K426" s="332"/>
      <c r="O426" s="333"/>
      <c r="W426" s="333"/>
      <c r="X426" s="333"/>
    </row>
    <row r="427" spans="1:24">
      <c r="A427" s="297"/>
      <c r="B427" s="299"/>
      <c r="C427" s="299"/>
      <c r="D427" s="312"/>
      <c r="K427" s="332"/>
      <c r="O427" s="333"/>
      <c r="W427" s="333"/>
      <c r="X427" s="333"/>
    </row>
    <row r="428" spans="1:24">
      <c r="A428" s="297"/>
      <c r="B428" s="299"/>
      <c r="C428" s="299"/>
      <c r="D428" s="312"/>
      <c r="K428" s="332"/>
      <c r="O428" s="333"/>
      <c r="W428" s="333"/>
      <c r="X428" s="333"/>
    </row>
    <row r="429" spans="1:24">
      <c r="A429" s="297"/>
      <c r="B429" s="299"/>
      <c r="C429" s="299"/>
      <c r="D429" s="312"/>
      <c r="K429" s="332"/>
      <c r="O429" s="333"/>
      <c r="W429" s="333"/>
      <c r="X429" s="333"/>
    </row>
    <row r="430" spans="1:24">
      <c r="A430" s="297"/>
      <c r="B430" s="299"/>
      <c r="C430" s="299"/>
      <c r="D430" s="312"/>
      <c r="K430" s="332"/>
      <c r="O430" s="333"/>
      <c r="W430" s="333"/>
      <c r="X430" s="333"/>
    </row>
    <row r="431" spans="1:24">
      <c r="A431" s="297"/>
      <c r="B431" s="299"/>
      <c r="C431" s="299"/>
      <c r="D431" s="312"/>
      <c r="K431" s="332"/>
      <c r="O431" s="333"/>
      <c r="W431" s="333"/>
      <c r="X431" s="333"/>
    </row>
    <row r="432" spans="1:24">
      <c r="A432" s="297"/>
      <c r="B432" s="299"/>
      <c r="C432" s="299"/>
      <c r="D432" s="312"/>
      <c r="K432" s="332"/>
      <c r="O432" s="333"/>
      <c r="W432" s="333"/>
      <c r="X432" s="333"/>
    </row>
    <row r="433" spans="1:24">
      <c r="A433" s="297"/>
      <c r="B433" s="299"/>
      <c r="C433" s="299"/>
      <c r="D433" s="312"/>
      <c r="K433" s="332"/>
      <c r="O433" s="333"/>
      <c r="W433" s="333"/>
      <c r="X433" s="333"/>
    </row>
    <row r="434" spans="1:24">
      <c r="A434" s="297"/>
      <c r="B434" s="299"/>
      <c r="C434" s="299"/>
      <c r="D434" s="312"/>
      <c r="K434" s="332"/>
      <c r="O434" s="333"/>
      <c r="W434" s="333"/>
      <c r="X434" s="333"/>
    </row>
    <row r="435" spans="1:24">
      <c r="A435" s="297"/>
      <c r="B435" s="299"/>
      <c r="C435" s="299"/>
      <c r="D435" s="312"/>
      <c r="K435" s="332"/>
      <c r="O435" s="333"/>
      <c r="W435" s="333"/>
      <c r="X435" s="333"/>
    </row>
    <row r="436" spans="1:24">
      <c r="A436" s="297"/>
      <c r="B436" s="299"/>
      <c r="C436" s="299"/>
      <c r="D436" s="312"/>
      <c r="K436" s="332"/>
      <c r="O436" s="333"/>
      <c r="W436" s="333"/>
      <c r="X436" s="333"/>
    </row>
    <row r="437" spans="1:24">
      <c r="A437" s="297"/>
      <c r="B437" s="299"/>
      <c r="C437" s="299"/>
      <c r="D437" s="312"/>
      <c r="K437" s="332"/>
      <c r="O437" s="333"/>
      <c r="W437" s="333"/>
      <c r="X437" s="333"/>
    </row>
    <row r="438" spans="1:24">
      <c r="A438" s="297"/>
      <c r="B438" s="299"/>
      <c r="C438" s="299"/>
      <c r="D438" s="312"/>
      <c r="K438" s="332"/>
      <c r="O438" s="333"/>
      <c r="W438" s="333"/>
      <c r="X438" s="333"/>
    </row>
    <row r="439" spans="1:24">
      <c r="A439" s="297"/>
      <c r="B439" s="299"/>
      <c r="C439" s="299"/>
      <c r="D439" s="312"/>
      <c r="K439" s="332"/>
      <c r="O439" s="333"/>
      <c r="W439" s="333"/>
      <c r="X439" s="333"/>
    </row>
    <row r="440" spans="1:24">
      <c r="A440" s="297"/>
      <c r="B440" s="299"/>
      <c r="C440" s="299"/>
      <c r="D440" s="312"/>
      <c r="K440" s="332"/>
      <c r="O440" s="333"/>
      <c r="W440" s="333"/>
      <c r="X440" s="333"/>
    </row>
    <row r="441" spans="1:24">
      <c r="A441" s="297"/>
      <c r="B441" s="299"/>
      <c r="C441" s="299"/>
      <c r="D441" s="312"/>
      <c r="K441" s="332"/>
      <c r="O441" s="333"/>
      <c r="W441" s="333"/>
      <c r="X441" s="333"/>
    </row>
    <row r="442" spans="1:24">
      <c r="A442" s="297"/>
      <c r="B442" s="299"/>
      <c r="C442" s="299"/>
      <c r="D442" s="312"/>
      <c r="K442" s="332"/>
      <c r="O442" s="333"/>
      <c r="W442" s="333"/>
      <c r="X442" s="333"/>
    </row>
    <row r="443" spans="1:24">
      <c r="A443" s="297"/>
      <c r="B443" s="299"/>
      <c r="C443" s="299"/>
      <c r="D443" s="312"/>
      <c r="K443" s="332"/>
      <c r="O443" s="333"/>
      <c r="W443" s="333"/>
      <c r="X443" s="333"/>
    </row>
    <row r="444" spans="1:24">
      <c r="A444" s="297"/>
      <c r="B444" s="299"/>
      <c r="C444" s="299"/>
      <c r="D444" s="312"/>
      <c r="K444" s="332"/>
      <c r="O444" s="333"/>
      <c r="W444" s="333"/>
      <c r="X444" s="333"/>
    </row>
    <row r="445" spans="1:24">
      <c r="A445" s="297"/>
      <c r="B445" s="299"/>
      <c r="C445" s="299"/>
      <c r="D445" s="312"/>
      <c r="K445" s="332"/>
      <c r="O445" s="333"/>
      <c r="W445" s="333"/>
      <c r="X445" s="333"/>
    </row>
    <row r="446" spans="1:24">
      <c r="A446" s="297"/>
      <c r="B446" s="299"/>
      <c r="C446" s="299"/>
      <c r="D446" s="312"/>
      <c r="K446" s="332"/>
      <c r="O446" s="333"/>
      <c r="W446" s="333"/>
      <c r="X446" s="333"/>
    </row>
    <row r="447" spans="1:24">
      <c r="A447" s="297"/>
      <c r="B447" s="299"/>
      <c r="C447" s="299"/>
      <c r="D447" s="312"/>
      <c r="K447" s="332"/>
      <c r="O447" s="333"/>
      <c r="W447" s="333"/>
      <c r="X447" s="333"/>
    </row>
    <row r="448" spans="1:24">
      <c r="A448" s="297"/>
      <c r="B448" s="299"/>
      <c r="C448" s="299"/>
      <c r="D448" s="312"/>
      <c r="K448" s="332"/>
      <c r="O448" s="333"/>
      <c r="W448" s="333"/>
      <c r="X448" s="333"/>
    </row>
    <row r="449" spans="1:24">
      <c r="A449" s="297"/>
      <c r="B449" s="299"/>
      <c r="C449" s="299"/>
      <c r="D449" s="312"/>
      <c r="K449" s="332"/>
      <c r="O449" s="333"/>
      <c r="W449" s="333"/>
      <c r="X449" s="333"/>
    </row>
    <row r="450" spans="1:24">
      <c r="A450" s="297"/>
      <c r="B450" s="299"/>
      <c r="C450" s="299"/>
      <c r="D450" s="312"/>
      <c r="K450" s="332"/>
      <c r="O450" s="333"/>
      <c r="W450" s="333"/>
      <c r="X450" s="333"/>
    </row>
    <row r="451" spans="1:24">
      <c r="A451" s="297"/>
      <c r="B451" s="299"/>
      <c r="C451" s="299"/>
      <c r="D451" s="312"/>
      <c r="K451" s="332"/>
      <c r="O451" s="333"/>
      <c r="W451" s="333"/>
      <c r="X451" s="333"/>
    </row>
    <row r="452" spans="1:24">
      <c r="A452" s="297"/>
      <c r="B452" s="299"/>
      <c r="C452" s="299"/>
      <c r="D452" s="312"/>
      <c r="K452" s="332"/>
      <c r="O452" s="333"/>
      <c r="W452" s="333"/>
      <c r="X452" s="333"/>
    </row>
    <row r="453" spans="1:24">
      <c r="A453" s="297"/>
      <c r="B453" s="299"/>
      <c r="C453" s="299"/>
      <c r="D453" s="312"/>
      <c r="K453" s="332"/>
      <c r="O453" s="333"/>
      <c r="W453" s="333"/>
      <c r="X453" s="333"/>
    </row>
    <row r="454" spans="1:24">
      <c r="A454" s="297"/>
      <c r="B454" s="299"/>
      <c r="C454" s="299"/>
      <c r="D454" s="312"/>
      <c r="K454" s="332"/>
      <c r="O454" s="333"/>
      <c r="W454" s="333"/>
      <c r="X454" s="333"/>
    </row>
    <row r="455" spans="1:24">
      <c r="A455" s="297"/>
      <c r="B455" s="299"/>
      <c r="C455" s="299"/>
      <c r="D455" s="312"/>
      <c r="K455" s="332"/>
      <c r="O455" s="333"/>
      <c r="W455" s="333"/>
      <c r="X455" s="333"/>
    </row>
    <row r="456" spans="1:24">
      <c r="A456" s="297"/>
      <c r="B456" s="299"/>
      <c r="C456" s="299"/>
      <c r="D456" s="312"/>
      <c r="K456" s="332"/>
      <c r="O456" s="333"/>
      <c r="W456" s="333"/>
      <c r="X456" s="333"/>
    </row>
    <row r="457" spans="1:24">
      <c r="A457" s="297"/>
      <c r="B457" s="299"/>
      <c r="C457" s="299"/>
      <c r="D457" s="312"/>
      <c r="K457" s="332"/>
      <c r="O457" s="333"/>
      <c r="W457" s="333"/>
      <c r="X457" s="333"/>
    </row>
    <row r="458" spans="1:24">
      <c r="A458" s="297"/>
      <c r="B458" s="299"/>
      <c r="C458" s="299"/>
      <c r="D458" s="312"/>
      <c r="K458" s="332"/>
      <c r="O458" s="333"/>
      <c r="W458" s="333"/>
      <c r="X458" s="333"/>
    </row>
    <row r="459" spans="1:24">
      <c r="A459" s="297"/>
      <c r="B459" s="299"/>
      <c r="C459" s="299"/>
      <c r="D459" s="312"/>
      <c r="K459" s="332"/>
      <c r="O459" s="333"/>
      <c r="W459" s="333"/>
      <c r="X459" s="333"/>
    </row>
    <row r="460" spans="1:24">
      <c r="A460" s="297"/>
      <c r="B460" s="299"/>
      <c r="C460" s="299"/>
      <c r="D460" s="312"/>
      <c r="K460" s="332"/>
      <c r="O460" s="333"/>
      <c r="W460" s="333"/>
      <c r="X460" s="333"/>
    </row>
    <row r="461" spans="1:24">
      <c r="A461" s="297"/>
      <c r="B461" s="299"/>
      <c r="C461" s="299"/>
      <c r="D461" s="312"/>
      <c r="K461" s="332"/>
      <c r="O461" s="333"/>
      <c r="W461" s="333"/>
      <c r="X461" s="333"/>
    </row>
    <row r="462" spans="1:24">
      <c r="A462" s="297"/>
      <c r="B462" s="299"/>
      <c r="C462" s="299"/>
      <c r="D462" s="312"/>
      <c r="K462" s="332"/>
      <c r="O462" s="333"/>
      <c r="W462" s="333"/>
      <c r="X462" s="333"/>
    </row>
    <row r="463" spans="1:24">
      <c r="A463" s="297"/>
      <c r="B463" s="299"/>
      <c r="C463" s="299"/>
      <c r="D463" s="312"/>
      <c r="K463" s="332"/>
      <c r="O463" s="333"/>
      <c r="W463" s="333"/>
      <c r="X463" s="333"/>
    </row>
    <row r="464" spans="1:24">
      <c r="A464" s="297"/>
      <c r="B464" s="299"/>
      <c r="C464" s="299"/>
      <c r="D464" s="312"/>
      <c r="K464" s="332"/>
      <c r="O464" s="333"/>
      <c r="W464" s="333"/>
      <c r="X464" s="333"/>
    </row>
    <row r="465" spans="1:24">
      <c r="A465" s="297"/>
      <c r="B465" s="299"/>
      <c r="C465" s="299"/>
      <c r="D465" s="312"/>
      <c r="K465" s="332"/>
      <c r="O465" s="333"/>
      <c r="W465" s="333"/>
      <c r="X465" s="333"/>
    </row>
    <row r="466" spans="1:24">
      <c r="A466" s="297"/>
      <c r="B466" s="299"/>
      <c r="C466" s="299"/>
      <c r="D466" s="312"/>
      <c r="K466" s="332"/>
      <c r="O466" s="333"/>
      <c r="W466" s="333"/>
      <c r="X466" s="333"/>
    </row>
    <row r="467" spans="1:24">
      <c r="A467" s="297"/>
      <c r="B467" s="299"/>
      <c r="C467" s="299"/>
      <c r="D467" s="312"/>
      <c r="K467" s="332"/>
      <c r="O467" s="333"/>
      <c r="W467" s="333"/>
      <c r="X467" s="333"/>
    </row>
    <row r="468" spans="1:24">
      <c r="A468" s="297"/>
      <c r="B468" s="299"/>
      <c r="C468" s="299"/>
      <c r="D468" s="312"/>
      <c r="K468" s="332"/>
      <c r="O468" s="333"/>
      <c r="W468" s="333"/>
      <c r="X468" s="333"/>
    </row>
    <row r="469" spans="1:24">
      <c r="A469" s="297"/>
      <c r="B469" s="299"/>
      <c r="C469" s="299"/>
      <c r="D469" s="312"/>
      <c r="K469" s="332"/>
      <c r="O469" s="333"/>
      <c r="W469" s="333"/>
      <c r="X469" s="333"/>
    </row>
    <row r="470" spans="1:24">
      <c r="A470" s="297"/>
      <c r="B470" s="299"/>
      <c r="C470" s="299"/>
      <c r="D470" s="312"/>
      <c r="K470" s="332"/>
      <c r="O470" s="333"/>
      <c r="W470" s="333"/>
      <c r="X470" s="333"/>
    </row>
    <row r="471" spans="1:24">
      <c r="A471" s="297"/>
      <c r="B471" s="299"/>
      <c r="C471" s="299"/>
      <c r="D471" s="312"/>
      <c r="K471" s="332"/>
      <c r="O471" s="333"/>
      <c r="W471" s="333"/>
      <c r="X471" s="333"/>
    </row>
    <row r="472" spans="1:24">
      <c r="A472" s="297"/>
      <c r="B472" s="299"/>
      <c r="C472" s="299"/>
      <c r="D472" s="312"/>
      <c r="K472" s="332"/>
      <c r="O472" s="333"/>
      <c r="W472" s="333"/>
      <c r="X472" s="333"/>
    </row>
    <row r="473" spans="1:24">
      <c r="A473" s="297"/>
      <c r="B473" s="299"/>
      <c r="C473" s="299"/>
      <c r="D473" s="312"/>
      <c r="K473" s="332"/>
      <c r="O473" s="333"/>
      <c r="W473" s="333"/>
      <c r="X473" s="333"/>
    </row>
    <row r="474" spans="1:24">
      <c r="A474" s="297"/>
      <c r="B474" s="299"/>
      <c r="C474" s="299"/>
      <c r="D474" s="312"/>
      <c r="K474" s="332"/>
      <c r="O474" s="333"/>
      <c r="W474" s="333"/>
      <c r="X474" s="333"/>
    </row>
    <row r="475" spans="1:24">
      <c r="A475" s="297"/>
      <c r="B475" s="299"/>
      <c r="C475" s="299"/>
      <c r="D475" s="312"/>
      <c r="K475" s="332"/>
      <c r="O475" s="333"/>
      <c r="W475" s="333"/>
      <c r="X475" s="333"/>
    </row>
    <row r="476" spans="1:24">
      <c r="A476" s="297"/>
      <c r="B476" s="299"/>
      <c r="C476" s="299"/>
      <c r="D476" s="312"/>
      <c r="K476" s="332"/>
      <c r="O476" s="333"/>
      <c r="W476" s="333"/>
      <c r="X476" s="333"/>
    </row>
    <row r="477" spans="1:24">
      <c r="A477" s="297"/>
      <c r="B477" s="299"/>
      <c r="C477" s="299"/>
      <c r="D477" s="312"/>
      <c r="K477" s="332"/>
      <c r="O477" s="333"/>
      <c r="W477" s="333"/>
      <c r="X477" s="333"/>
    </row>
    <row r="478" spans="1:24">
      <c r="A478" s="297"/>
      <c r="B478" s="299"/>
      <c r="C478" s="299"/>
      <c r="D478" s="312"/>
      <c r="K478" s="332"/>
      <c r="O478" s="333"/>
      <c r="W478" s="333"/>
      <c r="X478" s="333"/>
    </row>
    <row r="479" spans="1:24">
      <c r="A479" s="297"/>
      <c r="B479" s="299"/>
      <c r="C479" s="299"/>
      <c r="D479" s="312"/>
      <c r="K479" s="332"/>
      <c r="O479" s="333"/>
      <c r="W479" s="333"/>
      <c r="X479" s="333"/>
    </row>
    <row r="480" spans="1:24">
      <c r="A480" s="297"/>
      <c r="B480" s="299"/>
      <c r="C480" s="299"/>
      <c r="D480" s="312"/>
      <c r="K480" s="332"/>
      <c r="O480" s="333"/>
      <c r="W480" s="333"/>
      <c r="X480" s="333"/>
    </row>
    <row r="481" spans="1:24">
      <c r="A481" s="297"/>
      <c r="B481" s="299"/>
      <c r="C481" s="299"/>
      <c r="D481" s="312"/>
      <c r="K481" s="332"/>
      <c r="O481" s="333"/>
      <c r="W481" s="333"/>
      <c r="X481" s="333"/>
    </row>
    <row r="482" spans="1:24">
      <c r="A482" s="297"/>
      <c r="B482" s="299"/>
      <c r="C482" s="299"/>
      <c r="D482" s="312"/>
      <c r="K482" s="332"/>
      <c r="O482" s="333"/>
      <c r="W482" s="333"/>
      <c r="X482" s="333"/>
    </row>
    <row r="483" spans="1:24">
      <c r="A483" s="297"/>
      <c r="B483" s="299"/>
      <c r="C483" s="299"/>
      <c r="D483" s="312"/>
      <c r="K483" s="332"/>
      <c r="O483" s="333"/>
      <c r="W483" s="333"/>
      <c r="X483" s="333"/>
    </row>
    <row r="484" spans="1:24">
      <c r="A484" s="297"/>
      <c r="B484" s="299"/>
      <c r="C484" s="299"/>
      <c r="D484" s="312"/>
      <c r="K484" s="332"/>
      <c r="O484" s="333"/>
      <c r="W484" s="333"/>
      <c r="X484" s="333"/>
    </row>
    <row r="485" spans="1:24">
      <c r="A485" s="297"/>
      <c r="B485" s="299"/>
      <c r="C485" s="299"/>
      <c r="D485" s="312"/>
      <c r="K485" s="332"/>
      <c r="O485" s="333"/>
      <c r="W485" s="333"/>
      <c r="X485" s="333"/>
    </row>
    <row r="486" spans="1:24">
      <c r="A486" s="297"/>
      <c r="B486" s="299"/>
      <c r="C486" s="299"/>
      <c r="D486" s="312"/>
      <c r="K486" s="332"/>
      <c r="O486" s="333"/>
      <c r="W486" s="333"/>
      <c r="X486" s="333"/>
    </row>
    <row r="487" spans="1:24">
      <c r="A487" s="297"/>
      <c r="B487" s="299"/>
      <c r="C487" s="299"/>
      <c r="D487" s="312"/>
      <c r="K487" s="332"/>
      <c r="O487" s="333"/>
      <c r="W487" s="333"/>
      <c r="X487" s="333"/>
    </row>
    <row r="488" spans="1:24">
      <c r="A488" s="297"/>
      <c r="B488" s="299"/>
      <c r="C488" s="299"/>
      <c r="D488" s="312"/>
      <c r="K488" s="332"/>
      <c r="O488" s="333"/>
      <c r="W488" s="333"/>
      <c r="X488" s="333"/>
    </row>
    <row r="489" spans="1:24">
      <c r="A489" s="297"/>
      <c r="B489" s="299"/>
      <c r="C489" s="299"/>
      <c r="D489" s="312"/>
      <c r="K489" s="332"/>
      <c r="O489" s="333"/>
      <c r="W489" s="333"/>
      <c r="X489" s="333"/>
    </row>
    <row r="490" spans="1:24">
      <c r="A490" s="297"/>
      <c r="B490" s="299"/>
      <c r="C490" s="299"/>
      <c r="D490" s="312"/>
      <c r="K490" s="332"/>
      <c r="O490" s="333"/>
      <c r="W490" s="333"/>
      <c r="X490" s="333"/>
    </row>
    <row r="491" spans="1:24">
      <c r="A491" s="297"/>
      <c r="B491" s="299"/>
      <c r="C491" s="299"/>
      <c r="D491" s="312"/>
      <c r="K491" s="332"/>
      <c r="O491" s="333"/>
      <c r="W491" s="333"/>
      <c r="X491" s="333"/>
    </row>
    <row r="492" spans="1:24">
      <c r="A492" s="297"/>
      <c r="B492" s="299"/>
      <c r="C492" s="299"/>
      <c r="D492" s="312"/>
      <c r="K492" s="332"/>
      <c r="O492" s="333"/>
      <c r="W492" s="333"/>
      <c r="X492" s="333"/>
    </row>
    <row r="493" spans="1:24">
      <c r="A493" s="297"/>
      <c r="B493" s="299"/>
      <c r="C493" s="299"/>
      <c r="D493" s="312"/>
      <c r="K493" s="332"/>
      <c r="O493" s="333"/>
      <c r="W493" s="333"/>
      <c r="X493" s="333"/>
    </row>
    <row r="494" spans="1:24">
      <c r="A494" s="297"/>
      <c r="B494" s="299"/>
      <c r="C494" s="299"/>
      <c r="D494" s="312"/>
      <c r="K494" s="332"/>
      <c r="O494" s="333"/>
      <c r="W494" s="333"/>
      <c r="X494" s="333"/>
    </row>
    <row r="495" spans="1:24">
      <c r="A495" s="297"/>
      <c r="B495" s="299"/>
      <c r="C495" s="299"/>
      <c r="D495" s="312"/>
      <c r="K495" s="332"/>
      <c r="O495" s="333"/>
      <c r="W495" s="333"/>
      <c r="X495" s="333"/>
    </row>
    <row r="496" spans="1:24">
      <c r="A496" s="297"/>
      <c r="B496" s="299"/>
      <c r="C496" s="299"/>
      <c r="D496" s="312"/>
      <c r="K496" s="332"/>
      <c r="O496" s="333"/>
      <c r="W496" s="333"/>
      <c r="X496" s="333"/>
    </row>
    <row r="497" spans="1:24">
      <c r="A497" s="297"/>
      <c r="B497" s="299"/>
      <c r="C497" s="299"/>
      <c r="D497" s="312"/>
      <c r="K497" s="332"/>
      <c r="O497" s="333"/>
      <c r="W497" s="333"/>
      <c r="X497" s="333"/>
    </row>
    <row r="498" spans="1:24">
      <c r="A498" s="297"/>
      <c r="B498" s="299"/>
      <c r="C498" s="299"/>
      <c r="D498" s="312"/>
      <c r="K498" s="332"/>
      <c r="O498" s="333"/>
      <c r="W498" s="333"/>
      <c r="X498" s="333"/>
    </row>
    <row r="499" spans="1:24">
      <c r="A499" s="297"/>
      <c r="B499" s="299"/>
      <c r="C499" s="299"/>
      <c r="D499" s="312"/>
      <c r="K499" s="332"/>
      <c r="O499" s="333"/>
      <c r="W499" s="333"/>
      <c r="X499" s="333"/>
    </row>
    <row r="500" spans="1:24">
      <c r="A500" s="297"/>
      <c r="B500" s="299"/>
      <c r="C500" s="299"/>
      <c r="D500" s="312"/>
      <c r="K500" s="332"/>
      <c r="O500" s="333"/>
      <c r="W500" s="333"/>
      <c r="X500" s="333"/>
    </row>
    <row r="501" spans="1:24">
      <c r="A501" s="297"/>
      <c r="B501" s="299"/>
      <c r="C501" s="299"/>
      <c r="D501" s="312"/>
      <c r="K501" s="332"/>
      <c r="O501" s="333"/>
      <c r="W501" s="333"/>
      <c r="X501" s="333"/>
    </row>
    <row r="502" spans="1:24">
      <c r="A502" s="297"/>
      <c r="B502" s="299"/>
      <c r="C502" s="299"/>
      <c r="D502" s="312"/>
      <c r="K502" s="332"/>
      <c r="O502" s="333"/>
      <c r="W502" s="333"/>
      <c r="X502" s="333"/>
    </row>
    <row r="503" spans="1:24">
      <c r="A503" s="297"/>
      <c r="B503" s="299"/>
      <c r="C503" s="299"/>
      <c r="D503" s="312"/>
      <c r="K503" s="332"/>
      <c r="O503" s="333"/>
      <c r="W503" s="333"/>
      <c r="X503" s="333"/>
    </row>
    <row r="504" spans="1:24">
      <c r="A504" s="297"/>
      <c r="B504" s="299"/>
      <c r="C504" s="299"/>
      <c r="D504" s="312"/>
      <c r="K504" s="332"/>
      <c r="O504" s="333"/>
      <c r="W504" s="333"/>
      <c r="X504" s="333"/>
    </row>
    <row r="505" spans="1:24">
      <c r="A505" s="297"/>
      <c r="B505" s="299"/>
      <c r="C505" s="299"/>
      <c r="D505" s="312"/>
      <c r="K505" s="332"/>
      <c r="O505" s="333"/>
      <c r="W505" s="333"/>
      <c r="X505" s="333"/>
    </row>
    <row r="506" spans="1:24">
      <c r="A506" s="297"/>
      <c r="B506" s="299"/>
      <c r="C506" s="299"/>
      <c r="D506" s="312"/>
      <c r="K506" s="332"/>
      <c r="O506" s="333"/>
      <c r="W506" s="333"/>
      <c r="X506" s="333"/>
    </row>
    <row r="507" spans="1:24">
      <c r="A507" s="297"/>
      <c r="B507" s="299"/>
      <c r="C507" s="299"/>
      <c r="D507" s="312"/>
      <c r="K507" s="332"/>
      <c r="O507" s="333"/>
      <c r="W507" s="333"/>
      <c r="X507" s="333"/>
    </row>
    <row r="508" spans="1:24">
      <c r="A508" s="297"/>
      <c r="B508" s="299"/>
      <c r="C508" s="299"/>
      <c r="D508" s="312"/>
      <c r="K508" s="332"/>
      <c r="O508" s="333"/>
      <c r="W508" s="333"/>
      <c r="X508" s="333"/>
    </row>
    <row r="509" spans="1:24">
      <c r="A509" s="297"/>
      <c r="B509" s="299"/>
      <c r="C509" s="299"/>
      <c r="D509" s="312"/>
      <c r="K509" s="332"/>
      <c r="O509" s="333"/>
      <c r="W509" s="333"/>
      <c r="X509" s="333"/>
    </row>
    <row r="510" spans="1:24">
      <c r="A510" s="297"/>
      <c r="B510" s="299"/>
      <c r="C510" s="299"/>
      <c r="D510" s="312"/>
      <c r="K510" s="332"/>
      <c r="O510" s="333"/>
      <c r="W510" s="333"/>
      <c r="X510" s="333"/>
    </row>
    <row r="511" spans="1:24">
      <c r="A511" s="297"/>
      <c r="B511" s="299"/>
      <c r="C511" s="299"/>
      <c r="D511" s="312"/>
      <c r="K511" s="332"/>
      <c r="O511" s="333"/>
      <c r="W511" s="333"/>
      <c r="X511" s="333"/>
    </row>
    <row r="512" spans="1:24">
      <c r="A512" s="297"/>
      <c r="B512" s="299"/>
      <c r="C512" s="299"/>
      <c r="D512" s="312"/>
      <c r="K512" s="332"/>
      <c r="O512" s="333"/>
      <c r="W512" s="333"/>
      <c r="X512" s="333"/>
    </row>
    <row r="513" spans="1:24">
      <c r="A513" s="297"/>
      <c r="B513" s="299"/>
      <c r="C513" s="299"/>
      <c r="D513" s="312"/>
      <c r="K513" s="332"/>
      <c r="O513" s="333"/>
      <c r="W513" s="333"/>
      <c r="X513" s="333"/>
    </row>
    <row r="514" spans="1:24">
      <c r="A514" s="297"/>
      <c r="B514" s="299"/>
      <c r="C514" s="299"/>
      <c r="D514" s="312"/>
      <c r="K514" s="332"/>
      <c r="O514" s="333"/>
      <c r="W514" s="333"/>
      <c r="X514" s="333"/>
    </row>
    <row r="515" spans="1:24">
      <c r="A515" s="297"/>
      <c r="B515" s="299"/>
      <c r="C515" s="299"/>
      <c r="D515" s="312"/>
      <c r="K515" s="332"/>
      <c r="O515" s="333"/>
      <c r="W515" s="333"/>
      <c r="X515" s="333"/>
    </row>
    <row r="516" spans="1:24">
      <c r="A516" s="297"/>
      <c r="B516" s="299"/>
      <c r="C516" s="299"/>
      <c r="D516" s="312"/>
      <c r="K516" s="332"/>
      <c r="O516" s="333"/>
      <c r="W516" s="333"/>
      <c r="X516" s="333"/>
    </row>
    <row r="517" spans="1:24">
      <c r="A517" s="297"/>
      <c r="B517" s="299"/>
      <c r="C517" s="299"/>
      <c r="D517" s="312"/>
      <c r="K517" s="332"/>
      <c r="O517" s="333"/>
      <c r="W517" s="333"/>
      <c r="X517" s="333"/>
    </row>
    <row r="518" spans="1:24">
      <c r="A518" s="297"/>
      <c r="B518" s="299"/>
      <c r="C518" s="299"/>
      <c r="D518" s="312"/>
      <c r="K518" s="332"/>
      <c r="O518" s="333"/>
      <c r="W518" s="333"/>
      <c r="X518" s="333"/>
    </row>
    <row r="519" spans="1:24">
      <c r="A519" s="297"/>
      <c r="B519" s="299"/>
      <c r="C519" s="299"/>
      <c r="D519" s="312"/>
      <c r="K519" s="332"/>
      <c r="O519" s="333"/>
      <c r="W519" s="333"/>
      <c r="X519" s="333"/>
    </row>
    <row r="520" spans="1:24">
      <c r="A520" s="297"/>
      <c r="B520" s="299"/>
      <c r="C520" s="299"/>
      <c r="D520" s="312"/>
      <c r="K520" s="332"/>
      <c r="O520" s="333"/>
      <c r="W520" s="333"/>
      <c r="X520" s="333"/>
    </row>
    <row r="521" spans="1:24">
      <c r="A521" s="297"/>
      <c r="B521" s="299"/>
      <c r="C521" s="299"/>
      <c r="D521" s="312"/>
      <c r="K521" s="332"/>
      <c r="O521" s="333"/>
      <c r="W521" s="333"/>
      <c r="X521" s="333"/>
    </row>
    <row r="522" spans="1:24">
      <c r="A522" s="297"/>
      <c r="B522" s="299"/>
      <c r="C522" s="299"/>
      <c r="D522" s="312"/>
      <c r="K522" s="332"/>
      <c r="O522" s="333"/>
      <c r="W522" s="333"/>
      <c r="X522" s="333"/>
    </row>
    <row r="523" spans="1:24">
      <c r="A523" s="297"/>
      <c r="B523" s="299"/>
      <c r="C523" s="299"/>
      <c r="D523" s="312"/>
      <c r="K523" s="332"/>
      <c r="O523" s="333"/>
      <c r="W523" s="333"/>
      <c r="X523" s="333"/>
    </row>
    <row r="524" spans="1:24">
      <c r="A524" s="297"/>
      <c r="B524" s="299"/>
      <c r="C524" s="299"/>
      <c r="D524" s="312"/>
      <c r="K524" s="332"/>
      <c r="O524" s="333"/>
      <c r="W524" s="333"/>
      <c r="X524" s="333"/>
    </row>
    <row r="525" spans="1:24">
      <c r="A525" s="297"/>
      <c r="B525" s="299"/>
      <c r="C525" s="299"/>
      <c r="D525" s="312"/>
      <c r="K525" s="332"/>
      <c r="O525" s="333"/>
      <c r="W525" s="333"/>
      <c r="X525" s="333"/>
    </row>
    <row r="526" spans="1:24">
      <c r="A526" s="297"/>
      <c r="B526" s="299"/>
      <c r="C526" s="299"/>
      <c r="D526" s="312"/>
      <c r="K526" s="332"/>
      <c r="O526" s="333"/>
      <c r="W526" s="333"/>
      <c r="X526" s="333"/>
    </row>
    <row r="527" spans="1:24">
      <c r="A527" s="297"/>
      <c r="B527" s="299"/>
      <c r="C527" s="299"/>
      <c r="D527" s="312"/>
      <c r="K527" s="332"/>
      <c r="O527" s="333"/>
      <c r="W527" s="333"/>
      <c r="X527" s="333"/>
    </row>
    <row r="528" spans="1:24">
      <c r="A528" s="297"/>
      <c r="B528" s="299"/>
      <c r="C528" s="299"/>
      <c r="D528" s="312"/>
      <c r="K528" s="332"/>
      <c r="O528" s="333"/>
      <c r="W528" s="333"/>
      <c r="X528" s="333"/>
    </row>
    <row r="529" spans="1:24">
      <c r="A529" s="297"/>
      <c r="B529" s="299"/>
      <c r="C529" s="299"/>
      <c r="D529" s="312"/>
      <c r="K529" s="332"/>
      <c r="O529" s="333"/>
      <c r="W529" s="333"/>
      <c r="X529" s="333"/>
    </row>
    <row r="530" spans="1:24">
      <c r="A530" s="297"/>
      <c r="B530" s="299"/>
      <c r="C530" s="299"/>
      <c r="D530" s="312"/>
      <c r="K530" s="332"/>
      <c r="O530" s="333"/>
      <c r="W530" s="333"/>
      <c r="X530" s="333"/>
    </row>
    <row r="531" spans="1:24">
      <c r="A531" s="297"/>
      <c r="B531" s="299"/>
      <c r="C531" s="299"/>
      <c r="D531" s="312"/>
      <c r="K531" s="332"/>
      <c r="O531" s="333"/>
      <c r="W531" s="333"/>
      <c r="X531" s="333"/>
    </row>
    <row r="532" spans="1:24">
      <c r="A532" s="297"/>
      <c r="B532" s="299"/>
      <c r="C532" s="299"/>
      <c r="D532" s="312"/>
      <c r="K532" s="332"/>
      <c r="O532" s="333"/>
      <c r="W532" s="333"/>
      <c r="X532" s="333"/>
    </row>
    <row r="533" spans="1:24">
      <c r="A533" s="297"/>
      <c r="B533" s="299"/>
      <c r="C533" s="299"/>
      <c r="D533" s="312"/>
      <c r="K533" s="332"/>
      <c r="O533" s="333"/>
      <c r="W533" s="333"/>
      <c r="X533" s="333"/>
    </row>
    <row r="534" spans="1:24">
      <c r="A534" s="297"/>
      <c r="B534" s="299"/>
      <c r="C534" s="299"/>
      <c r="D534" s="312"/>
      <c r="K534" s="332"/>
      <c r="O534" s="333"/>
      <c r="W534" s="333"/>
      <c r="X534" s="333"/>
    </row>
    <row r="535" spans="1:24">
      <c r="A535" s="297"/>
      <c r="B535" s="299"/>
      <c r="C535" s="299"/>
      <c r="D535" s="312"/>
      <c r="K535" s="332"/>
      <c r="O535" s="333"/>
      <c r="W535" s="333"/>
      <c r="X535" s="333"/>
    </row>
    <row r="536" spans="1:24">
      <c r="A536" s="297"/>
      <c r="B536" s="299"/>
      <c r="C536" s="299"/>
      <c r="D536" s="312"/>
      <c r="K536" s="332"/>
      <c r="O536" s="333"/>
      <c r="W536" s="333"/>
      <c r="X536" s="333"/>
    </row>
    <row r="537" spans="1:24">
      <c r="A537" s="297"/>
      <c r="B537" s="299"/>
      <c r="C537" s="299"/>
      <c r="D537" s="312"/>
      <c r="K537" s="332"/>
      <c r="O537" s="333"/>
      <c r="W537" s="333"/>
      <c r="X537" s="333"/>
    </row>
    <row r="538" spans="1:24">
      <c r="A538" s="297"/>
      <c r="B538" s="299"/>
      <c r="C538" s="299"/>
      <c r="D538" s="312"/>
      <c r="K538" s="332"/>
      <c r="O538" s="333"/>
      <c r="W538" s="333"/>
      <c r="X538" s="333"/>
    </row>
    <row r="539" spans="1:24">
      <c r="A539" s="297"/>
      <c r="B539" s="299"/>
      <c r="C539" s="299"/>
      <c r="D539" s="312"/>
      <c r="K539" s="332"/>
      <c r="O539" s="333"/>
      <c r="W539" s="333"/>
      <c r="X539" s="333"/>
    </row>
    <row r="540" spans="1:24">
      <c r="A540" s="297"/>
      <c r="B540" s="299"/>
      <c r="C540" s="299"/>
      <c r="D540" s="312"/>
      <c r="K540" s="332"/>
      <c r="O540" s="333"/>
      <c r="W540" s="333"/>
      <c r="X540" s="333"/>
    </row>
    <row r="541" spans="1:24">
      <c r="A541" s="297"/>
      <c r="B541" s="299"/>
      <c r="C541" s="299"/>
      <c r="D541" s="312"/>
      <c r="K541" s="332"/>
      <c r="O541" s="333"/>
      <c r="W541" s="333"/>
      <c r="X541" s="333"/>
    </row>
    <row r="542" spans="1:24">
      <c r="A542" s="297"/>
      <c r="B542" s="299"/>
      <c r="C542" s="299"/>
      <c r="D542" s="312"/>
      <c r="K542" s="332"/>
      <c r="O542" s="333"/>
      <c r="W542" s="333"/>
      <c r="X542" s="333"/>
    </row>
    <row r="543" spans="1:24">
      <c r="A543" s="297"/>
      <c r="B543" s="299"/>
      <c r="C543" s="299"/>
      <c r="D543" s="312"/>
      <c r="K543" s="332"/>
      <c r="O543" s="333"/>
      <c r="W543" s="333"/>
      <c r="X543" s="333"/>
    </row>
    <row r="544" spans="1:24">
      <c r="A544" s="297"/>
      <c r="B544" s="299"/>
      <c r="C544" s="299"/>
      <c r="D544" s="312"/>
      <c r="K544" s="332"/>
      <c r="O544" s="333"/>
      <c r="W544" s="333"/>
      <c r="X544" s="333"/>
    </row>
    <row r="545" spans="1:24">
      <c r="A545" s="297"/>
      <c r="B545" s="299"/>
      <c r="C545" s="299"/>
      <c r="D545" s="312"/>
      <c r="K545" s="332"/>
      <c r="O545" s="333"/>
      <c r="W545" s="333"/>
      <c r="X545" s="333"/>
    </row>
    <row r="546" spans="1:24">
      <c r="A546" s="297"/>
      <c r="B546" s="299"/>
      <c r="C546" s="299"/>
      <c r="D546" s="312"/>
      <c r="K546" s="332"/>
      <c r="O546" s="333"/>
      <c r="W546" s="333"/>
      <c r="X546" s="333"/>
    </row>
    <row r="547" spans="1:24">
      <c r="A547" s="297"/>
      <c r="B547" s="299"/>
      <c r="C547" s="299"/>
      <c r="D547" s="312"/>
      <c r="K547" s="332"/>
      <c r="O547" s="333"/>
      <c r="W547" s="333"/>
      <c r="X547" s="333"/>
    </row>
    <row r="548" spans="1:24">
      <c r="A548" s="297"/>
      <c r="B548" s="299"/>
      <c r="C548" s="299"/>
      <c r="D548" s="312"/>
      <c r="K548" s="332"/>
      <c r="O548" s="333"/>
      <c r="W548" s="333"/>
      <c r="X548" s="333"/>
    </row>
    <row r="549" spans="1:24">
      <c r="A549" s="297"/>
      <c r="B549" s="299"/>
      <c r="C549" s="299"/>
      <c r="D549" s="312"/>
      <c r="K549" s="332"/>
      <c r="O549" s="333"/>
      <c r="W549" s="333"/>
      <c r="X549" s="333"/>
    </row>
    <row r="550" spans="1:24">
      <c r="A550" s="297"/>
      <c r="B550" s="299"/>
      <c r="C550" s="299"/>
      <c r="D550" s="312"/>
      <c r="K550" s="332"/>
      <c r="O550" s="333"/>
      <c r="W550" s="333"/>
      <c r="X550" s="333"/>
    </row>
    <row r="551" spans="1:24">
      <c r="A551" s="297"/>
      <c r="B551" s="299"/>
      <c r="C551" s="299"/>
      <c r="D551" s="312"/>
      <c r="K551" s="332"/>
      <c r="O551" s="333"/>
      <c r="W551" s="333"/>
      <c r="X551" s="333"/>
    </row>
    <row r="552" spans="1:24">
      <c r="A552" s="297"/>
      <c r="B552" s="299"/>
      <c r="C552" s="299"/>
      <c r="D552" s="312"/>
      <c r="K552" s="332"/>
      <c r="O552" s="333"/>
      <c r="W552" s="333"/>
      <c r="X552" s="333"/>
    </row>
    <row r="553" spans="1:24">
      <c r="A553" s="297"/>
      <c r="B553" s="299"/>
      <c r="C553" s="299"/>
      <c r="D553" s="312"/>
      <c r="K553" s="332"/>
      <c r="O553" s="333"/>
      <c r="W553" s="333"/>
      <c r="X553" s="333"/>
    </row>
    <row r="554" spans="1:24">
      <c r="A554" s="297"/>
      <c r="B554" s="299"/>
      <c r="C554" s="299"/>
      <c r="D554" s="312"/>
      <c r="K554" s="332"/>
      <c r="O554" s="333"/>
      <c r="W554" s="333"/>
      <c r="X554" s="333"/>
    </row>
    <row r="555" spans="1:24">
      <c r="A555" s="297"/>
      <c r="B555" s="299"/>
      <c r="C555" s="299"/>
      <c r="D555" s="312"/>
      <c r="K555" s="332"/>
      <c r="O555" s="333"/>
      <c r="W555" s="333"/>
      <c r="X555" s="333"/>
    </row>
    <row r="556" spans="1:24">
      <c r="A556" s="297"/>
      <c r="B556" s="299"/>
      <c r="C556" s="299"/>
      <c r="D556" s="312"/>
      <c r="K556" s="332"/>
      <c r="O556" s="333"/>
      <c r="W556" s="333"/>
      <c r="X556" s="333"/>
    </row>
    <row r="557" spans="1:24">
      <c r="A557" s="297"/>
      <c r="B557" s="299"/>
      <c r="C557" s="299"/>
      <c r="D557" s="312"/>
      <c r="K557" s="332"/>
      <c r="O557" s="333"/>
      <c r="W557" s="333"/>
      <c r="X557" s="333"/>
    </row>
    <row r="558" spans="1:24">
      <c r="A558" s="297"/>
      <c r="B558" s="299"/>
      <c r="C558" s="299"/>
      <c r="D558" s="312"/>
      <c r="K558" s="332"/>
      <c r="O558" s="333"/>
      <c r="W558" s="333"/>
      <c r="X558" s="333"/>
    </row>
    <row r="559" spans="1:24">
      <c r="A559" s="297"/>
      <c r="B559" s="299"/>
      <c r="C559" s="299"/>
      <c r="D559" s="312"/>
      <c r="K559" s="332"/>
      <c r="O559" s="333"/>
      <c r="W559" s="333"/>
      <c r="X559" s="333"/>
    </row>
    <row r="560" spans="1:24">
      <c r="A560" s="297"/>
      <c r="B560" s="299"/>
      <c r="C560" s="299"/>
      <c r="D560" s="312"/>
      <c r="K560" s="332"/>
      <c r="O560" s="333"/>
      <c r="W560" s="333"/>
      <c r="X560" s="333"/>
    </row>
    <row r="561" spans="1:24">
      <c r="A561" s="297"/>
      <c r="B561" s="299"/>
      <c r="C561" s="299"/>
      <c r="D561" s="312"/>
      <c r="K561" s="332"/>
      <c r="O561" s="333"/>
      <c r="W561" s="333"/>
      <c r="X561" s="333"/>
    </row>
    <row r="562" spans="1:24">
      <c r="A562" s="297"/>
      <c r="B562" s="299"/>
      <c r="C562" s="299"/>
      <c r="D562" s="312"/>
      <c r="K562" s="332"/>
      <c r="O562" s="333"/>
      <c r="W562" s="333"/>
      <c r="X562" s="333"/>
    </row>
    <row r="563" spans="1:24">
      <c r="A563" s="297"/>
      <c r="B563" s="299"/>
      <c r="C563" s="299"/>
      <c r="D563" s="312"/>
      <c r="K563" s="332"/>
      <c r="O563" s="333"/>
      <c r="W563" s="333"/>
      <c r="X563" s="333"/>
    </row>
    <row r="564" spans="1:24">
      <c r="A564" s="297"/>
      <c r="B564" s="299"/>
      <c r="C564" s="299"/>
      <c r="D564" s="312"/>
      <c r="K564" s="332"/>
      <c r="O564" s="333"/>
      <c r="W564" s="333"/>
      <c r="X564" s="333"/>
    </row>
    <row r="565" spans="1:24">
      <c r="A565" s="297"/>
      <c r="B565" s="299"/>
      <c r="C565" s="299"/>
      <c r="D565" s="312"/>
      <c r="K565" s="332"/>
      <c r="O565" s="333"/>
      <c r="W565" s="333"/>
      <c r="X565" s="333"/>
    </row>
    <row r="566" spans="1:24">
      <c r="A566" s="297"/>
      <c r="B566" s="299"/>
      <c r="C566" s="299"/>
      <c r="D566" s="312"/>
      <c r="K566" s="332"/>
      <c r="O566" s="333"/>
      <c r="W566" s="333"/>
      <c r="X566" s="333"/>
    </row>
    <row r="567" spans="1:24">
      <c r="A567" s="297"/>
      <c r="B567" s="299"/>
      <c r="C567" s="299"/>
      <c r="D567" s="312"/>
      <c r="K567" s="332"/>
      <c r="O567" s="333"/>
      <c r="W567" s="333"/>
      <c r="X567" s="333"/>
    </row>
    <row r="568" spans="1:24">
      <c r="A568" s="297"/>
      <c r="B568" s="299"/>
      <c r="C568" s="299"/>
      <c r="D568" s="312"/>
      <c r="K568" s="332"/>
      <c r="O568" s="333"/>
      <c r="W568" s="333"/>
      <c r="X568" s="333"/>
    </row>
    <row r="569" spans="1:24">
      <c r="A569" s="297"/>
      <c r="B569" s="299"/>
      <c r="C569" s="299"/>
      <c r="D569" s="312"/>
      <c r="K569" s="332"/>
      <c r="O569" s="333"/>
      <c r="W569" s="333"/>
      <c r="X569" s="333"/>
    </row>
    <row r="570" spans="1:24">
      <c r="A570" s="297"/>
      <c r="B570" s="299"/>
      <c r="C570" s="299"/>
      <c r="D570" s="312"/>
      <c r="K570" s="332"/>
      <c r="O570" s="333"/>
      <c r="W570" s="333"/>
      <c r="X570" s="333"/>
    </row>
    <row r="571" spans="1:24">
      <c r="A571" s="297"/>
      <c r="B571" s="299"/>
      <c r="C571" s="299"/>
      <c r="D571" s="312"/>
      <c r="K571" s="332"/>
      <c r="O571" s="333"/>
      <c r="W571" s="333"/>
      <c r="X571" s="333"/>
    </row>
    <row r="572" spans="1:24">
      <c r="A572" s="297"/>
      <c r="B572" s="299"/>
      <c r="C572" s="299"/>
      <c r="D572" s="312"/>
      <c r="K572" s="332"/>
      <c r="O572" s="333"/>
      <c r="W572" s="333"/>
      <c r="X572" s="333"/>
    </row>
    <row r="573" spans="1:24">
      <c r="A573" s="297"/>
      <c r="B573" s="299"/>
      <c r="C573" s="299"/>
      <c r="D573" s="312"/>
      <c r="K573" s="332"/>
      <c r="O573" s="333"/>
      <c r="W573" s="333"/>
      <c r="X573" s="333"/>
    </row>
    <row r="574" spans="1:24">
      <c r="A574" s="297"/>
      <c r="B574" s="299"/>
      <c r="C574" s="299"/>
      <c r="D574" s="312"/>
      <c r="K574" s="332"/>
      <c r="O574" s="333"/>
      <c r="W574" s="333"/>
      <c r="X574" s="333"/>
    </row>
    <row r="575" spans="1:24">
      <c r="A575" s="297"/>
      <c r="B575" s="299"/>
      <c r="C575" s="299"/>
      <c r="D575" s="312"/>
      <c r="K575" s="332"/>
      <c r="O575" s="333"/>
      <c r="W575" s="333"/>
      <c r="X575" s="333"/>
    </row>
    <row r="576" spans="1:24">
      <c r="A576" s="297"/>
      <c r="B576" s="299"/>
      <c r="C576" s="299"/>
      <c r="D576" s="312"/>
      <c r="K576" s="332"/>
      <c r="O576" s="333"/>
      <c r="W576" s="333"/>
      <c r="X576" s="333"/>
    </row>
    <row r="577" spans="1:24">
      <c r="A577" s="297"/>
      <c r="B577" s="299"/>
      <c r="C577" s="299"/>
      <c r="D577" s="312"/>
      <c r="K577" s="332"/>
      <c r="O577" s="333"/>
      <c r="W577" s="333"/>
      <c r="X577" s="333"/>
    </row>
    <row r="578" spans="1:24">
      <c r="A578" s="297"/>
      <c r="B578" s="299"/>
      <c r="C578" s="299"/>
      <c r="D578" s="312"/>
      <c r="K578" s="332"/>
      <c r="O578" s="333"/>
      <c r="W578" s="333"/>
      <c r="X578" s="333"/>
    </row>
    <row r="579" spans="1:24">
      <c r="A579" s="297"/>
      <c r="B579" s="299"/>
      <c r="C579" s="299"/>
      <c r="D579" s="312"/>
      <c r="K579" s="332"/>
      <c r="O579" s="333"/>
      <c r="W579" s="333"/>
      <c r="X579" s="333"/>
    </row>
    <row r="580" spans="1:24">
      <c r="A580" s="297"/>
      <c r="B580" s="299"/>
      <c r="C580" s="299"/>
      <c r="D580" s="312"/>
      <c r="K580" s="332"/>
      <c r="O580" s="333"/>
      <c r="W580" s="333"/>
      <c r="X580" s="333"/>
    </row>
    <row r="581" spans="1:24">
      <c r="A581" s="297"/>
      <c r="B581" s="299"/>
      <c r="C581" s="299"/>
      <c r="D581" s="312"/>
      <c r="K581" s="332"/>
      <c r="O581" s="333"/>
      <c r="W581" s="333"/>
      <c r="X581" s="333"/>
    </row>
    <row r="582" spans="1:24">
      <c r="A582" s="297"/>
      <c r="B582" s="299"/>
      <c r="C582" s="299"/>
      <c r="D582" s="312"/>
      <c r="K582" s="332"/>
      <c r="O582" s="333"/>
      <c r="W582" s="333"/>
      <c r="X582" s="333"/>
    </row>
    <row r="583" spans="1:24">
      <c r="A583" s="297"/>
      <c r="B583" s="299"/>
      <c r="C583" s="299"/>
      <c r="D583" s="312"/>
      <c r="K583" s="332"/>
      <c r="O583" s="333"/>
      <c r="W583" s="333"/>
      <c r="X583" s="333"/>
    </row>
    <row r="584" spans="1:24">
      <c r="A584" s="297"/>
      <c r="B584" s="299"/>
      <c r="C584" s="299"/>
      <c r="D584" s="312"/>
      <c r="K584" s="332"/>
      <c r="O584" s="333"/>
      <c r="W584" s="333"/>
      <c r="X584" s="333"/>
    </row>
    <row r="585" spans="1:24">
      <c r="A585" s="297"/>
      <c r="B585" s="299"/>
      <c r="C585" s="299"/>
      <c r="D585" s="312"/>
      <c r="K585" s="332"/>
      <c r="O585" s="333"/>
      <c r="W585" s="333"/>
      <c r="X585" s="333"/>
    </row>
    <row r="586" spans="1:24">
      <c r="A586" s="297"/>
      <c r="B586" s="299"/>
      <c r="C586" s="299"/>
      <c r="D586" s="312"/>
      <c r="K586" s="332"/>
      <c r="O586" s="333"/>
      <c r="W586" s="333"/>
      <c r="X586" s="333"/>
    </row>
    <row r="587" spans="1:24">
      <c r="A587" s="297"/>
      <c r="B587" s="299"/>
      <c r="C587" s="299"/>
      <c r="D587" s="312"/>
      <c r="K587" s="332"/>
      <c r="O587" s="333"/>
      <c r="W587" s="333"/>
      <c r="X587" s="333"/>
    </row>
    <row r="588" spans="1:24">
      <c r="A588" s="297"/>
      <c r="B588" s="299"/>
      <c r="C588" s="299"/>
      <c r="D588" s="312"/>
      <c r="K588" s="332"/>
      <c r="O588" s="333"/>
      <c r="W588" s="333"/>
      <c r="X588" s="333"/>
    </row>
    <row r="589" spans="1:24">
      <c r="A589" s="297"/>
      <c r="B589" s="299"/>
      <c r="C589" s="299"/>
      <c r="D589" s="312"/>
      <c r="K589" s="332"/>
      <c r="O589" s="333"/>
      <c r="W589" s="333"/>
      <c r="X589" s="333"/>
    </row>
    <row r="590" spans="1:24">
      <c r="A590" s="297"/>
      <c r="B590" s="299"/>
      <c r="C590" s="299"/>
      <c r="D590" s="312"/>
      <c r="K590" s="332"/>
      <c r="O590" s="333"/>
      <c r="W590" s="333"/>
      <c r="X590" s="333"/>
    </row>
    <row r="591" spans="1:24">
      <c r="A591" s="297"/>
      <c r="B591" s="299"/>
      <c r="C591" s="299"/>
      <c r="D591" s="312"/>
      <c r="K591" s="332"/>
      <c r="O591" s="333"/>
      <c r="W591" s="333"/>
      <c r="X591" s="333"/>
    </row>
    <row r="592" spans="1:24">
      <c r="A592" s="297"/>
      <c r="B592" s="299"/>
      <c r="C592" s="299"/>
      <c r="D592" s="312"/>
      <c r="K592" s="332"/>
      <c r="O592" s="333"/>
      <c r="W592" s="333"/>
      <c r="X592" s="333"/>
    </row>
    <row r="593" spans="1:24">
      <c r="A593" s="297"/>
      <c r="B593" s="299"/>
      <c r="C593" s="299"/>
      <c r="D593" s="312"/>
      <c r="K593" s="332"/>
      <c r="O593" s="333"/>
      <c r="W593" s="333"/>
      <c r="X593" s="333"/>
    </row>
    <row r="594" spans="1:24">
      <c r="A594" s="297"/>
      <c r="B594" s="299"/>
      <c r="C594" s="299"/>
      <c r="D594" s="312"/>
      <c r="K594" s="332"/>
      <c r="O594" s="333"/>
      <c r="W594" s="333"/>
      <c r="X594" s="333"/>
    </row>
    <row r="595" spans="1:24">
      <c r="A595" s="297"/>
      <c r="B595" s="299"/>
      <c r="C595" s="299"/>
      <c r="D595" s="312"/>
      <c r="K595" s="332"/>
      <c r="O595" s="333"/>
      <c r="W595" s="333"/>
      <c r="X595" s="333"/>
    </row>
    <row r="596" spans="1:24">
      <c r="A596" s="297"/>
      <c r="B596" s="299"/>
      <c r="C596" s="299"/>
      <c r="D596" s="312"/>
      <c r="K596" s="332"/>
      <c r="O596" s="333"/>
      <c r="W596" s="333"/>
      <c r="X596" s="333"/>
    </row>
    <row r="597" spans="1:24">
      <c r="A597" s="297"/>
      <c r="B597" s="299"/>
      <c r="C597" s="299"/>
      <c r="D597" s="312"/>
      <c r="K597" s="332"/>
      <c r="O597" s="333"/>
      <c r="W597" s="333"/>
      <c r="X597" s="333"/>
    </row>
    <row r="598" spans="1:24">
      <c r="A598" s="297"/>
      <c r="B598" s="299"/>
      <c r="C598" s="299"/>
      <c r="D598" s="312"/>
      <c r="K598" s="332"/>
      <c r="O598" s="333"/>
      <c r="W598" s="333"/>
      <c r="X598" s="333"/>
    </row>
    <row r="599" spans="1:24">
      <c r="A599" s="297"/>
      <c r="B599" s="299"/>
      <c r="C599" s="299"/>
      <c r="D599" s="312"/>
      <c r="K599" s="332"/>
      <c r="O599" s="333"/>
      <c r="W599" s="333"/>
      <c r="X599" s="333"/>
    </row>
    <row r="600" spans="1:24">
      <c r="A600" s="297"/>
      <c r="B600" s="299"/>
      <c r="C600" s="299"/>
      <c r="D600" s="312"/>
      <c r="K600" s="332"/>
      <c r="O600" s="333"/>
      <c r="W600" s="333"/>
      <c r="X600" s="333"/>
    </row>
    <row r="601" spans="1:24">
      <c r="A601" s="297"/>
      <c r="B601" s="299"/>
      <c r="C601" s="299"/>
      <c r="D601" s="312"/>
      <c r="K601" s="332"/>
      <c r="O601" s="333"/>
      <c r="W601" s="333"/>
      <c r="X601" s="333"/>
    </row>
    <row r="602" spans="1:24">
      <c r="A602" s="297"/>
      <c r="B602" s="299"/>
      <c r="C602" s="299"/>
      <c r="D602" s="312"/>
      <c r="K602" s="332"/>
      <c r="O602" s="333"/>
      <c r="W602" s="333"/>
      <c r="X602" s="333"/>
    </row>
    <row r="603" spans="1:24">
      <c r="A603" s="297"/>
      <c r="B603" s="299"/>
      <c r="C603" s="299"/>
      <c r="D603" s="312"/>
      <c r="K603" s="332"/>
      <c r="O603" s="333"/>
      <c r="W603" s="333"/>
      <c r="X603" s="333"/>
    </row>
    <row r="604" spans="1:24">
      <c r="A604" s="297"/>
      <c r="B604" s="299"/>
      <c r="C604" s="299"/>
      <c r="D604" s="312"/>
      <c r="K604" s="332"/>
      <c r="O604" s="333"/>
      <c r="W604" s="333"/>
      <c r="X604" s="333"/>
    </row>
    <row r="605" spans="1:24">
      <c r="A605" s="297"/>
      <c r="B605" s="299"/>
      <c r="C605" s="299"/>
      <c r="D605" s="312"/>
      <c r="K605" s="332"/>
      <c r="O605" s="333"/>
      <c r="W605" s="333"/>
      <c r="X605" s="333"/>
    </row>
    <row r="606" spans="1:24">
      <c r="A606" s="297"/>
      <c r="B606" s="299"/>
      <c r="C606" s="299"/>
      <c r="D606" s="312"/>
      <c r="K606" s="332"/>
      <c r="O606" s="333"/>
      <c r="W606" s="333"/>
      <c r="X606" s="333"/>
    </row>
    <row r="607" spans="1:24">
      <c r="A607" s="297"/>
      <c r="B607" s="299"/>
      <c r="C607" s="299"/>
      <c r="D607" s="312"/>
      <c r="K607" s="332"/>
      <c r="O607" s="333"/>
      <c r="W607" s="333"/>
      <c r="X607" s="333"/>
    </row>
    <row r="608" spans="1:24">
      <c r="A608" s="297"/>
      <c r="B608" s="299"/>
      <c r="C608" s="299"/>
      <c r="D608" s="312"/>
      <c r="K608" s="332"/>
      <c r="O608" s="333"/>
      <c r="W608" s="333"/>
      <c r="X608" s="333"/>
    </row>
    <row r="609" spans="1:24">
      <c r="A609" s="297"/>
      <c r="B609" s="299"/>
      <c r="C609" s="299"/>
      <c r="D609" s="312"/>
      <c r="K609" s="332"/>
      <c r="O609" s="333"/>
      <c r="W609" s="333"/>
      <c r="X609" s="333"/>
    </row>
    <row r="610" spans="1:24">
      <c r="A610" s="297"/>
      <c r="B610" s="299"/>
      <c r="C610" s="299"/>
      <c r="D610" s="312"/>
      <c r="K610" s="332"/>
      <c r="O610" s="333"/>
      <c r="W610" s="333"/>
      <c r="X610" s="333"/>
    </row>
    <row r="611" spans="1:24">
      <c r="A611" s="297"/>
      <c r="B611" s="299"/>
      <c r="C611" s="299"/>
      <c r="D611" s="312"/>
      <c r="K611" s="332"/>
      <c r="O611" s="333"/>
      <c r="W611" s="333"/>
      <c r="X611" s="333"/>
    </row>
    <row r="612" spans="1:24">
      <c r="A612" s="297"/>
      <c r="B612" s="299"/>
      <c r="C612" s="299"/>
      <c r="D612" s="312"/>
      <c r="K612" s="332"/>
      <c r="O612" s="333"/>
      <c r="W612" s="333"/>
      <c r="X612" s="333"/>
    </row>
    <row r="613" spans="1:24">
      <c r="A613" s="297"/>
      <c r="B613" s="299"/>
      <c r="C613" s="299"/>
      <c r="D613" s="312"/>
      <c r="K613" s="332"/>
      <c r="O613" s="333"/>
      <c r="W613" s="333"/>
      <c r="X613" s="333"/>
    </row>
    <row r="614" spans="1:24">
      <c r="A614" s="297"/>
      <c r="B614" s="299"/>
      <c r="C614" s="299"/>
      <c r="D614" s="312"/>
      <c r="K614" s="332"/>
      <c r="O614" s="333"/>
      <c r="W614" s="333"/>
      <c r="X614" s="333"/>
    </row>
    <row r="615" spans="1:24">
      <c r="A615" s="297"/>
      <c r="B615" s="299"/>
      <c r="C615" s="299"/>
      <c r="D615" s="312"/>
      <c r="K615" s="332"/>
      <c r="O615" s="333"/>
      <c r="W615" s="333"/>
      <c r="X615" s="333"/>
    </row>
    <row r="616" spans="1:24">
      <c r="A616" s="297"/>
      <c r="B616" s="299"/>
      <c r="C616" s="299"/>
      <c r="D616" s="312"/>
      <c r="K616" s="332"/>
      <c r="O616" s="333"/>
      <c r="W616" s="333"/>
      <c r="X616" s="333"/>
    </row>
    <row r="617" spans="1:24">
      <c r="A617" s="297"/>
      <c r="B617" s="299"/>
      <c r="C617" s="299"/>
      <c r="D617" s="312"/>
      <c r="K617" s="332"/>
      <c r="O617" s="333"/>
      <c r="W617" s="333"/>
      <c r="X617" s="333"/>
    </row>
    <row r="618" spans="1:24">
      <c r="A618" s="297"/>
      <c r="B618" s="299"/>
      <c r="C618" s="299"/>
      <c r="D618" s="312"/>
      <c r="K618" s="332"/>
      <c r="O618" s="333"/>
      <c r="W618" s="333"/>
      <c r="X618" s="333"/>
    </row>
    <row r="619" spans="1:24">
      <c r="A619" s="297"/>
      <c r="B619" s="299"/>
      <c r="C619" s="299"/>
      <c r="D619" s="312"/>
      <c r="K619" s="332"/>
      <c r="O619" s="333"/>
      <c r="W619" s="333"/>
      <c r="X619" s="333"/>
    </row>
    <row r="620" spans="1:24">
      <c r="A620" s="297"/>
      <c r="B620" s="299"/>
      <c r="C620" s="299"/>
      <c r="D620" s="312"/>
      <c r="K620" s="332"/>
      <c r="O620" s="333"/>
      <c r="W620" s="333"/>
      <c r="X620" s="333"/>
    </row>
    <row r="621" spans="1:24">
      <c r="A621" s="297"/>
      <c r="B621" s="299"/>
      <c r="C621" s="299"/>
      <c r="D621" s="312"/>
      <c r="K621" s="332"/>
      <c r="O621" s="333"/>
      <c r="W621" s="333"/>
      <c r="X621" s="333"/>
    </row>
    <row r="622" spans="1:24">
      <c r="A622" s="297"/>
      <c r="B622" s="299"/>
      <c r="C622" s="299"/>
      <c r="D622" s="312"/>
      <c r="K622" s="332"/>
      <c r="O622" s="333"/>
      <c r="W622" s="333"/>
      <c r="X622" s="333"/>
    </row>
    <row r="623" spans="1:24">
      <c r="A623" s="297"/>
      <c r="B623" s="299"/>
      <c r="C623" s="299"/>
      <c r="D623" s="312"/>
      <c r="K623" s="332"/>
      <c r="O623" s="333"/>
      <c r="W623" s="333"/>
      <c r="X623" s="333"/>
    </row>
    <row r="624" spans="1:24">
      <c r="A624" s="297"/>
      <c r="B624" s="299"/>
      <c r="C624" s="299"/>
      <c r="D624" s="312"/>
      <c r="K624" s="332"/>
      <c r="O624" s="333"/>
      <c r="W624" s="333"/>
      <c r="X624" s="333"/>
    </row>
    <row r="625" spans="1:24">
      <c r="A625" s="297"/>
      <c r="B625" s="299"/>
      <c r="C625" s="299"/>
      <c r="D625" s="312"/>
      <c r="K625" s="332"/>
      <c r="O625" s="333"/>
      <c r="W625" s="333"/>
      <c r="X625" s="333"/>
    </row>
    <row r="626" spans="1:24">
      <c r="A626" s="297"/>
      <c r="B626" s="299"/>
      <c r="C626" s="299"/>
      <c r="D626" s="312"/>
      <c r="K626" s="332"/>
      <c r="O626" s="333"/>
      <c r="W626" s="333"/>
      <c r="X626" s="333"/>
    </row>
    <row r="627" spans="1:24">
      <c r="A627" s="297"/>
      <c r="B627" s="299"/>
      <c r="C627" s="299"/>
      <c r="D627" s="312"/>
      <c r="K627" s="332"/>
      <c r="O627" s="333"/>
      <c r="W627" s="333"/>
      <c r="X627" s="333"/>
    </row>
    <row r="628" spans="1:24">
      <c r="A628" s="297"/>
      <c r="B628" s="299"/>
      <c r="C628" s="299"/>
      <c r="D628" s="312"/>
      <c r="K628" s="332"/>
      <c r="O628" s="333"/>
      <c r="W628" s="333"/>
      <c r="X628" s="333"/>
    </row>
    <row r="629" spans="1:24">
      <c r="A629" s="297"/>
      <c r="B629" s="299"/>
      <c r="C629" s="299"/>
      <c r="D629" s="312"/>
      <c r="K629" s="332"/>
      <c r="O629" s="333"/>
      <c r="W629" s="333"/>
      <c r="X629" s="333"/>
    </row>
    <row r="630" spans="1:24">
      <c r="A630" s="297"/>
      <c r="B630" s="299"/>
      <c r="C630" s="299"/>
      <c r="D630" s="312"/>
      <c r="K630" s="332"/>
      <c r="O630" s="333"/>
      <c r="W630" s="333"/>
      <c r="X630" s="333"/>
    </row>
    <row r="631" spans="1:24">
      <c r="A631" s="297"/>
      <c r="B631" s="299"/>
      <c r="C631" s="299"/>
      <c r="D631" s="312"/>
      <c r="K631" s="332"/>
      <c r="O631" s="333"/>
      <c r="W631" s="333"/>
      <c r="X631" s="333"/>
    </row>
    <row r="632" spans="1:24">
      <c r="A632" s="297"/>
      <c r="B632" s="299"/>
      <c r="C632" s="299"/>
      <c r="D632" s="312"/>
      <c r="K632" s="332"/>
      <c r="O632" s="333"/>
      <c r="W632" s="333"/>
      <c r="X632" s="333"/>
    </row>
    <row r="633" spans="1:24">
      <c r="A633" s="297"/>
      <c r="B633" s="299"/>
      <c r="C633" s="299"/>
      <c r="D633" s="312"/>
      <c r="K633" s="332"/>
      <c r="O633" s="333"/>
      <c r="W633" s="333"/>
      <c r="X633" s="333"/>
    </row>
    <row r="634" spans="1:24">
      <c r="A634" s="297"/>
      <c r="B634" s="299"/>
      <c r="C634" s="299"/>
      <c r="D634" s="312"/>
      <c r="K634" s="332"/>
      <c r="O634" s="333"/>
      <c r="W634" s="333"/>
      <c r="X634" s="333"/>
    </row>
    <row r="635" spans="1:24">
      <c r="A635" s="297"/>
      <c r="B635" s="299"/>
      <c r="C635" s="299"/>
      <c r="D635" s="312"/>
      <c r="K635" s="332"/>
      <c r="O635" s="333"/>
      <c r="W635" s="333"/>
      <c r="X635" s="333"/>
    </row>
    <row r="636" spans="1:24">
      <c r="A636" s="297"/>
      <c r="B636" s="299"/>
      <c r="C636" s="299"/>
      <c r="D636" s="312"/>
      <c r="K636" s="332"/>
      <c r="O636" s="333"/>
      <c r="W636" s="333"/>
      <c r="X636" s="333"/>
    </row>
    <row r="637" spans="1:24">
      <c r="A637" s="297"/>
      <c r="B637" s="299"/>
      <c r="C637" s="299"/>
      <c r="D637" s="312"/>
      <c r="K637" s="332"/>
      <c r="O637" s="333"/>
      <c r="W637" s="333"/>
      <c r="X637" s="333"/>
    </row>
    <row r="638" spans="1:24">
      <c r="A638" s="297"/>
      <c r="B638" s="299"/>
      <c r="C638" s="299"/>
      <c r="D638" s="312"/>
      <c r="K638" s="332"/>
      <c r="O638" s="333"/>
      <c r="W638" s="333"/>
      <c r="X638" s="333"/>
    </row>
    <row r="639" spans="1:24">
      <c r="A639" s="297"/>
      <c r="B639" s="299"/>
      <c r="C639" s="299"/>
      <c r="D639" s="312"/>
      <c r="K639" s="332"/>
      <c r="O639" s="333"/>
      <c r="W639" s="333"/>
      <c r="X639" s="333"/>
    </row>
    <row r="640" spans="1:24">
      <c r="A640" s="297"/>
      <c r="B640" s="299"/>
      <c r="C640" s="299"/>
      <c r="D640" s="312"/>
      <c r="K640" s="332"/>
      <c r="O640" s="333"/>
      <c r="W640" s="333"/>
      <c r="X640" s="333"/>
    </row>
    <row r="641" spans="1:24">
      <c r="A641" s="297"/>
      <c r="B641" s="299"/>
      <c r="C641" s="299"/>
      <c r="D641" s="312"/>
      <c r="K641" s="332"/>
      <c r="O641" s="333"/>
      <c r="W641" s="333"/>
      <c r="X641" s="333"/>
    </row>
    <row r="642" spans="1:24">
      <c r="A642" s="297"/>
      <c r="B642" s="299"/>
      <c r="C642" s="299"/>
      <c r="D642" s="312"/>
      <c r="K642" s="332"/>
      <c r="O642" s="333"/>
      <c r="W642" s="333"/>
      <c r="X642" s="333"/>
    </row>
    <row r="643" spans="1:24">
      <c r="A643" s="297"/>
      <c r="B643" s="299"/>
      <c r="C643" s="299"/>
      <c r="D643" s="312"/>
      <c r="K643" s="332"/>
      <c r="O643" s="333"/>
      <c r="W643" s="333"/>
      <c r="X643" s="333"/>
    </row>
    <row r="644" spans="1:24">
      <c r="A644" s="297"/>
      <c r="B644" s="299"/>
      <c r="C644" s="299"/>
      <c r="D644" s="312"/>
      <c r="K644" s="332"/>
      <c r="O644" s="333"/>
      <c r="W644" s="333"/>
      <c r="X644" s="333"/>
    </row>
    <row r="645" spans="1:24">
      <c r="A645" s="297"/>
      <c r="B645" s="299"/>
      <c r="C645" s="299"/>
      <c r="D645" s="312"/>
      <c r="K645" s="332"/>
      <c r="O645" s="333"/>
      <c r="W645" s="333"/>
      <c r="X645" s="333"/>
    </row>
    <row r="646" spans="1:24">
      <c r="A646" s="297"/>
      <c r="B646" s="299"/>
      <c r="C646" s="299"/>
      <c r="D646" s="312"/>
      <c r="K646" s="332"/>
      <c r="O646" s="333"/>
      <c r="W646" s="333"/>
      <c r="X646" s="333"/>
    </row>
    <row r="647" spans="1:24">
      <c r="A647" s="297"/>
      <c r="B647" s="299"/>
      <c r="C647" s="299"/>
      <c r="D647" s="312"/>
      <c r="K647" s="332"/>
      <c r="O647" s="333"/>
      <c r="W647" s="333"/>
      <c r="X647" s="333"/>
    </row>
    <row r="648" spans="1:24">
      <c r="A648" s="297"/>
      <c r="B648" s="299"/>
      <c r="C648" s="299"/>
      <c r="D648" s="312"/>
      <c r="K648" s="332"/>
      <c r="O648" s="333"/>
      <c r="W648" s="333"/>
      <c r="X648" s="333"/>
    </row>
    <row r="649" spans="1:24">
      <c r="A649" s="297"/>
      <c r="B649" s="299"/>
      <c r="C649" s="299"/>
      <c r="D649" s="312"/>
      <c r="K649" s="332"/>
      <c r="O649" s="333"/>
      <c r="W649" s="333"/>
      <c r="X649" s="333"/>
    </row>
    <row r="650" spans="1:24">
      <c r="A650" s="297"/>
      <c r="B650" s="299"/>
      <c r="C650" s="299"/>
      <c r="D650" s="312"/>
      <c r="K650" s="332"/>
      <c r="O650" s="333"/>
      <c r="W650" s="333"/>
      <c r="X650" s="333"/>
    </row>
    <row r="651" spans="1:24">
      <c r="A651" s="297"/>
      <c r="B651" s="299"/>
      <c r="C651" s="299"/>
      <c r="D651" s="312"/>
      <c r="K651" s="332"/>
      <c r="O651" s="333"/>
      <c r="W651" s="333"/>
      <c r="X651" s="333"/>
    </row>
    <row r="652" spans="1:24">
      <c r="A652" s="297"/>
      <c r="B652" s="299"/>
      <c r="C652" s="299"/>
      <c r="D652" s="312"/>
      <c r="K652" s="332"/>
      <c r="O652" s="333"/>
      <c r="W652" s="333"/>
      <c r="X652" s="333"/>
    </row>
    <row r="653" spans="1:24">
      <c r="A653" s="297"/>
      <c r="B653" s="299"/>
      <c r="C653" s="299"/>
      <c r="D653" s="312"/>
      <c r="K653" s="332"/>
      <c r="O653" s="333"/>
      <c r="W653" s="333"/>
      <c r="X653" s="333"/>
    </row>
    <row r="654" spans="1:24">
      <c r="A654" s="297"/>
      <c r="B654" s="299"/>
      <c r="C654" s="299"/>
      <c r="D654" s="312"/>
      <c r="K654" s="332"/>
      <c r="O654" s="333"/>
      <c r="W654" s="333"/>
      <c r="X654" s="333"/>
    </row>
    <row r="655" spans="1:24">
      <c r="A655" s="297"/>
      <c r="B655" s="299"/>
      <c r="C655" s="299"/>
      <c r="D655" s="312"/>
      <c r="K655" s="332"/>
      <c r="O655" s="333"/>
      <c r="W655" s="333"/>
      <c r="X655" s="333"/>
    </row>
    <row r="656" spans="1:24">
      <c r="A656" s="297"/>
      <c r="B656" s="299"/>
      <c r="C656" s="299"/>
      <c r="D656" s="312"/>
      <c r="K656" s="332"/>
      <c r="O656" s="333"/>
      <c r="W656" s="333"/>
      <c r="X656" s="333"/>
    </row>
    <row r="657" spans="1:24">
      <c r="A657" s="297"/>
      <c r="B657" s="299"/>
      <c r="C657" s="299"/>
      <c r="D657" s="312"/>
      <c r="K657" s="332"/>
      <c r="O657" s="333"/>
      <c r="W657" s="333"/>
      <c r="X657" s="333"/>
    </row>
    <row r="658" spans="1:24">
      <c r="A658" s="297"/>
      <c r="B658" s="299"/>
      <c r="C658" s="299"/>
      <c r="D658" s="312"/>
      <c r="K658" s="332"/>
      <c r="O658" s="333"/>
      <c r="W658" s="333"/>
      <c r="X658" s="333"/>
    </row>
    <row r="659" spans="1:24">
      <c r="A659" s="297"/>
      <c r="B659" s="299"/>
      <c r="C659" s="299"/>
      <c r="D659" s="312"/>
      <c r="K659" s="332"/>
      <c r="O659" s="333"/>
      <c r="W659" s="333"/>
      <c r="X659" s="333"/>
    </row>
    <row r="660" spans="1:24">
      <c r="A660" s="297"/>
      <c r="B660" s="299"/>
      <c r="C660" s="299"/>
      <c r="D660" s="312"/>
      <c r="K660" s="332"/>
      <c r="O660" s="333"/>
      <c r="W660" s="333"/>
      <c r="X660" s="333"/>
    </row>
    <row r="661" spans="1:24">
      <c r="A661" s="297"/>
      <c r="B661" s="299"/>
      <c r="C661" s="299"/>
      <c r="D661" s="312"/>
      <c r="K661" s="332"/>
      <c r="O661" s="333"/>
      <c r="W661" s="333"/>
      <c r="X661" s="333"/>
    </row>
    <row r="662" spans="1:24">
      <c r="A662" s="297"/>
      <c r="B662" s="299"/>
      <c r="C662" s="299"/>
      <c r="D662" s="312"/>
      <c r="K662" s="332"/>
      <c r="O662" s="333"/>
      <c r="W662" s="333"/>
      <c r="X662" s="333"/>
    </row>
    <row r="663" spans="1:24">
      <c r="A663" s="297"/>
      <c r="B663" s="299"/>
      <c r="C663" s="299"/>
      <c r="D663" s="312"/>
      <c r="K663" s="332"/>
      <c r="O663" s="333"/>
      <c r="W663" s="333"/>
      <c r="X663" s="333"/>
    </row>
    <row r="664" spans="1:24">
      <c r="A664" s="297"/>
      <c r="B664" s="299"/>
      <c r="C664" s="299"/>
      <c r="D664" s="312"/>
      <c r="K664" s="332"/>
      <c r="O664" s="333"/>
      <c r="W664" s="333"/>
      <c r="X664" s="333"/>
    </row>
    <row r="665" spans="1:24">
      <c r="A665" s="297"/>
      <c r="B665" s="299"/>
      <c r="C665" s="299"/>
      <c r="D665" s="312"/>
      <c r="K665" s="332"/>
      <c r="O665" s="333"/>
      <c r="W665" s="333"/>
      <c r="X665" s="333"/>
    </row>
    <row r="666" spans="1:24">
      <c r="A666" s="297"/>
      <c r="B666" s="299"/>
      <c r="C666" s="299"/>
      <c r="D666" s="312"/>
      <c r="K666" s="332"/>
      <c r="O666" s="333"/>
      <c r="W666" s="333"/>
      <c r="X666" s="333"/>
    </row>
    <row r="667" spans="1:24">
      <c r="A667" s="297"/>
      <c r="B667" s="299"/>
      <c r="C667" s="299"/>
      <c r="D667" s="312"/>
      <c r="K667" s="332"/>
      <c r="O667" s="333"/>
      <c r="W667" s="333"/>
      <c r="X667" s="333"/>
    </row>
    <row r="668" spans="1:24">
      <c r="A668" s="297"/>
      <c r="B668" s="299"/>
      <c r="C668" s="299"/>
      <c r="D668" s="312"/>
      <c r="K668" s="332"/>
      <c r="O668" s="333"/>
      <c r="W668" s="333"/>
      <c r="X668" s="333"/>
    </row>
    <row r="669" spans="1:24">
      <c r="A669" s="297"/>
      <c r="B669" s="299"/>
      <c r="C669" s="299"/>
      <c r="D669" s="312"/>
      <c r="K669" s="332"/>
      <c r="O669" s="333"/>
      <c r="W669" s="333"/>
      <c r="X669" s="333"/>
    </row>
    <row r="670" spans="1:24">
      <c r="A670" s="297"/>
      <c r="B670" s="299"/>
      <c r="C670" s="299"/>
      <c r="D670" s="312"/>
      <c r="K670" s="332"/>
      <c r="O670" s="333"/>
      <c r="W670" s="333"/>
      <c r="X670" s="333"/>
    </row>
    <row r="671" spans="1:24">
      <c r="A671" s="297"/>
      <c r="B671" s="299"/>
      <c r="C671" s="299"/>
      <c r="D671" s="312"/>
      <c r="K671" s="332"/>
      <c r="O671" s="333"/>
      <c r="W671" s="333"/>
      <c r="X671" s="333"/>
    </row>
    <row r="672" spans="1:24">
      <c r="A672" s="297"/>
      <c r="B672" s="299"/>
      <c r="C672" s="299"/>
      <c r="D672" s="312"/>
      <c r="K672" s="332"/>
      <c r="O672" s="333"/>
      <c r="W672" s="333"/>
      <c r="X672" s="333"/>
    </row>
    <row r="673" spans="1:24">
      <c r="A673" s="297"/>
      <c r="B673" s="299"/>
      <c r="C673" s="299"/>
      <c r="D673" s="312"/>
      <c r="K673" s="332"/>
      <c r="O673" s="333"/>
      <c r="W673" s="333"/>
      <c r="X673" s="333"/>
    </row>
    <row r="674" spans="1:24">
      <c r="A674" s="297"/>
      <c r="B674" s="299"/>
      <c r="C674" s="299"/>
      <c r="D674" s="312"/>
      <c r="K674" s="332"/>
      <c r="O674" s="333"/>
      <c r="W674" s="333"/>
      <c r="X674" s="333"/>
    </row>
    <row r="675" spans="1:24">
      <c r="A675" s="297"/>
      <c r="B675" s="299"/>
      <c r="C675" s="299"/>
      <c r="D675" s="312"/>
      <c r="K675" s="332"/>
      <c r="O675" s="333"/>
      <c r="W675" s="333"/>
      <c r="X675" s="333"/>
    </row>
    <row r="676" spans="1:24">
      <c r="A676" s="297"/>
      <c r="B676" s="299"/>
      <c r="C676" s="299"/>
      <c r="D676" s="312"/>
      <c r="K676" s="332"/>
      <c r="O676" s="333"/>
      <c r="W676" s="333"/>
      <c r="X676" s="333"/>
    </row>
    <row r="677" spans="1:24">
      <c r="A677" s="297"/>
      <c r="B677" s="299"/>
      <c r="C677" s="299"/>
      <c r="D677" s="312"/>
      <c r="K677" s="332"/>
      <c r="O677" s="333"/>
      <c r="W677" s="333"/>
      <c r="X677" s="333"/>
    </row>
    <row r="678" spans="1:24">
      <c r="A678" s="297"/>
      <c r="B678" s="299"/>
      <c r="C678" s="299"/>
      <c r="D678" s="312"/>
      <c r="K678" s="332"/>
      <c r="O678" s="333"/>
      <c r="W678" s="333"/>
      <c r="X678" s="333"/>
    </row>
    <row r="679" spans="1:24">
      <c r="A679" s="297"/>
      <c r="B679" s="299"/>
      <c r="C679" s="299"/>
      <c r="D679" s="312"/>
      <c r="K679" s="332"/>
      <c r="O679" s="333"/>
      <c r="W679" s="333"/>
      <c r="X679" s="333"/>
    </row>
    <row r="680" spans="1:24">
      <c r="A680" s="297"/>
      <c r="B680" s="299"/>
      <c r="C680" s="299"/>
      <c r="D680" s="312"/>
      <c r="K680" s="332"/>
      <c r="O680" s="333"/>
      <c r="W680" s="333"/>
      <c r="X680" s="333"/>
    </row>
    <row r="681" spans="1:24">
      <c r="A681" s="297"/>
      <c r="B681" s="299"/>
      <c r="C681" s="299"/>
      <c r="D681" s="312"/>
      <c r="K681" s="332"/>
      <c r="O681" s="333"/>
      <c r="W681" s="333"/>
      <c r="X681" s="333"/>
    </row>
    <row r="682" spans="1:24">
      <c r="A682" s="297"/>
      <c r="B682" s="299"/>
      <c r="C682" s="299"/>
      <c r="D682" s="312"/>
      <c r="K682" s="332"/>
      <c r="O682" s="333"/>
      <c r="W682" s="333"/>
      <c r="X682" s="333"/>
    </row>
    <row r="683" spans="1:24">
      <c r="A683" s="297"/>
      <c r="B683" s="299"/>
      <c r="C683" s="299"/>
      <c r="D683" s="312"/>
      <c r="K683" s="332"/>
      <c r="O683" s="333"/>
      <c r="W683" s="333"/>
      <c r="X683" s="333"/>
    </row>
    <row r="684" spans="1:24">
      <c r="A684" s="297"/>
      <c r="B684" s="299"/>
      <c r="C684" s="299"/>
      <c r="D684" s="312"/>
      <c r="K684" s="332"/>
      <c r="O684" s="333"/>
      <c r="W684" s="333"/>
      <c r="X684" s="333"/>
    </row>
    <row r="685" spans="1:24">
      <c r="A685" s="297"/>
      <c r="B685" s="299"/>
      <c r="C685" s="299"/>
      <c r="D685" s="312"/>
      <c r="K685" s="332"/>
      <c r="O685" s="333"/>
      <c r="W685" s="333"/>
      <c r="X685" s="333"/>
    </row>
    <row r="686" spans="1:24">
      <c r="A686" s="297"/>
      <c r="B686" s="299"/>
      <c r="C686" s="299"/>
      <c r="D686" s="312"/>
      <c r="K686" s="332"/>
      <c r="O686" s="333"/>
      <c r="W686" s="333"/>
      <c r="X686" s="333"/>
    </row>
    <row r="687" spans="1:24">
      <c r="A687" s="297"/>
      <c r="B687" s="299"/>
      <c r="C687" s="299"/>
      <c r="D687" s="312"/>
      <c r="K687" s="332"/>
      <c r="O687" s="333"/>
      <c r="W687" s="333"/>
      <c r="X687" s="333"/>
    </row>
    <row r="688" spans="1:24">
      <c r="A688" s="297"/>
      <c r="B688" s="299"/>
      <c r="C688" s="299"/>
      <c r="D688" s="312"/>
      <c r="K688" s="332"/>
      <c r="O688" s="333"/>
      <c r="W688" s="333"/>
      <c r="X688" s="333"/>
    </row>
    <row r="689" spans="1:24">
      <c r="A689" s="297"/>
      <c r="B689" s="299"/>
      <c r="C689" s="299"/>
      <c r="D689" s="312"/>
      <c r="K689" s="332"/>
      <c r="O689" s="333"/>
      <c r="W689" s="333"/>
      <c r="X689" s="333"/>
    </row>
    <row r="690" spans="1:24">
      <c r="A690" s="297"/>
      <c r="B690" s="299"/>
      <c r="C690" s="299"/>
      <c r="D690" s="312"/>
      <c r="K690" s="332"/>
      <c r="O690" s="333"/>
      <c r="W690" s="333"/>
      <c r="X690" s="333"/>
    </row>
    <row r="691" spans="1:24">
      <c r="A691" s="297"/>
      <c r="B691" s="299"/>
      <c r="C691" s="299"/>
      <c r="D691" s="312"/>
      <c r="K691" s="332"/>
      <c r="O691" s="333"/>
      <c r="W691" s="333"/>
      <c r="X691" s="333"/>
    </row>
    <row r="692" spans="1:24">
      <c r="A692" s="297"/>
      <c r="B692" s="299"/>
      <c r="C692" s="299"/>
      <c r="D692" s="312"/>
      <c r="K692" s="332"/>
      <c r="O692" s="333"/>
      <c r="W692" s="333"/>
      <c r="X692" s="333"/>
    </row>
    <row r="693" spans="1:24">
      <c r="A693" s="297"/>
      <c r="B693" s="299"/>
      <c r="C693" s="299"/>
      <c r="D693" s="312"/>
      <c r="K693" s="332"/>
      <c r="O693" s="333"/>
      <c r="W693" s="333"/>
      <c r="X693" s="333"/>
    </row>
    <row r="694" spans="1:24">
      <c r="A694" s="297"/>
      <c r="B694" s="299"/>
      <c r="C694" s="299"/>
      <c r="D694" s="312"/>
      <c r="K694" s="332"/>
      <c r="O694" s="333"/>
      <c r="W694" s="333"/>
      <c r="X694" s="333"/>
    </row>
    <row r="695" spans="1:24">
      <c r="A695" s="297"/>
      <c r="B695" s="299"/>
      <c r="C695" s="299"/>
      <c r="D695" s="312"/>
      <c r="K695" s="332"/>
      <c r="O695" s="333"/>
      <c r="W695" s="333"/>
      <c r="X695" s="333"/>
    </row>
    <row r="696" spans="1:24">
      <c r="A696" s="297"/>
      <c r="B696" s="299"/>
      <c r="C696" s="299"/>
      <c r="D696" s="312"/>
      <c r="K696" s="332"/>
      <c r="O696" s="333"/>
      <c r="W696" s="333"/>
      <c r="X696" s="333"/>
    </row>
    <row r="697" spans="1:24">
      <c r="A697" s="297"/>
      <c r="B697" s="299"/>
      <c r="C697" s="299"/>
      <c r="D697" s="312"/>
      <c r="K697" s="332"/>
      <c r="O697" s="333"/>
      <c r="W697" s="333"/>
      <c r="X697" s="333"/>
    </row>
    <row r="698" spans="1:24">
      <c r="A698" s="297"/>
      <c r="B698" s="299"/>
      <c r="C698" s="299"/>
      <c r="D698" s="312"/>
      <c r="K698" s="332"/>
      <c r="O698" s="333"/>
      <c r="W698" s="333"/>
      <c r="X698" s="333"/>
    </row>
    <row r="699" spans="1:24">
      <c r="A699" s="297"/>
      <c r="B699" s="299"/>
      <c r="C699" s="299"/>
      <c r="D699" s="312"/>
      <c r="K699" s="332"/>
      <c r="O699" s="333"/>
      <c r="W699" s="333"/>
      <c r="X699" s="333"/>
    </row>
    <row r="700" spans="1:24">
      <c r="A700" s="297"/>
      <c r="B700" s="299"/>
      <c r="C700" s="299"/>
      <c r="D700" s="312"/>
      <c r="K700" s="332"/>
      <c r="O700" s="333"/>
      <c r="W700" s="333"/>
      <c r="X700" s="333"/>
    </row>
    <row r="701" spans="1:24">
      <c r="A701" s="297"/>
      <c r="B701" s="299"/>
      <c r="C701" s="299"/>
      <c r="D701" s="312"/>
      <c r="K701" s="332"/>
      <c r="O701" s="333"/>
      <c r="W701" s="333"/>
      <c r="X701" s="333"/>
    </row>
    <row r="702" spans="1:24">
      <c r="A702" s="297"/>
      <c r="B702" s="299"/>
      <c r="C702" s="299"/>
      <c r="D702" s="312"/>
      <c r="K702" s="332"/>
      <c r="O702" s="333"/>
      <c r="W702" s="333"/>
      <c r="X702" s="333"/>
    </row>
    <row r="703" spans="1:24">
      <c r="A703" s="297"/>
      <c r="B703" s="299"/>
      <c r="C703" s="299"/>
      <c r="D703" s="312"/>
      <c r="K703" s="332"/>
      <c r="O703" s="333"/>
      <c r="W703" s="333"/>
      <c r="X703" s="333"/>
    </row>
    <row r="704" spans="1:24">
      <c r="A704" s="297"/>
      <c r="B704" s="299"/>
      <c r="C704" s="299"/>
      <c r="D704" s="312"/>
      <c r="K704" s="332"/>
      <c r="O704" s="333"/>
      <c r="W704" s="333"/>
      <c r="X704" s="333"/>
    </row>
    <row r="705" spans="1:24">
      <c r="A705" s="297"/>
      <c r="B705" s="299"/>
      <c r="C705" s="299"/>
      <c r="D705" s="312"/>
      <c r="K705" s="332"/>
      <c r="O705" s="333"/>
      <c r="W705" s="333"/>
      <c r="X705" s="333"/>
    </row>
    <row r="706" spans="1:24">
      <c r="A706" s="297"/>
      <c r="B706" s="299"/>
      <c r="C706" s="299"/>
      <c r="D706" s="312"/>
      <c r="K706" s="332"/>
      <c r="O706" s="333"/>
      <c r="W706" s="333"/>
      <c r="X706" s="333"/>
    </row>
    <row r="707" spans="1:24">
      <c r="A707" s="297"/>
      <c r="B707" s="299"/>
      <c r="C707" s="299"/>
      <c r="D707" s="312"/>
      <c r="K707" s="332"/>
      <c r="O707" s="333"/>
      <c r="W707" s="333"/>
      <c r="X707" s="333"/>
    </row>
    <row r="708" spans="1:24">
      <c r="A708" s="297"/>
      <c r="B708" s="299"/>
      <c r="C708" s="299"/>
      <c r="D708" s="312"/>
      <c r="K708" s="332"/>
      <c r="O708" s="333"/>
      <c r="W708" s="333"/>
      <c r="X708" s="333"/>
    </row>
    <row r="709" spans="1:24">
      <c r="A709" s="297"/>
      <c r="B709" s="299"/>
      <c r="C709" s="299"/>
      <c r="D709" s="312"/>
      <c r="K709" s="332"/>
      <c r="O709" s="333"/>
      <c r="W709" s="333"/>
      <c r="X709" s="333"/>
    </row>
    <row r="710" spans="1:24">
      <c r="A710" s="297"/>
      <c r="B710" s="299"/>
      <c r="C710" s="299"/>
      <c r="D710" s="312"/>
      <c r="K710" s="332"/>
      <c r="O710" s="333"/>
      <c r="W710" s="333"/>
      <c r="X710" s="333"/>
    </row>
    <row r="711" spans="1:24">
      <c r="A711" s="297"/>
      <c r="B711" s="299"/>
      <c r="C711" s="299"/>
      <c r="D711" s="312"/>
      <c r="K711" s="332"/>
      <c r="O711" s="333"/>
      <c r="W711" s="333"/>
      <c r="X711" s="333"/>
    </row>
    <row r="712" spans="1:24">
      <c r="A712" s="297"/>
      <c r="B712" s="299"/>
      <c r="C712" s="299"/>
      <c r="D712" s="312"/>
      <c r="K712" s="332"/>
      <c r="O712" s="333"/>
      <c r="W712" s="333"/>
      <c r="X712" s="333"/>
    </row>
    <row r="713" spans="1:24">
      <c r="A713" s="297"/>
      <c r="B713" s="299"/>
      <c r="C713" s="299"/>
      <c r="D713" s="312"/>
      <c r="K713" s="332"/>
      <c r="O713" s="333"/>
      <c r="W713" s="333"/>
      <c r="X713" s="333"/>
    </row>
    <row r="714" spans="1:24">
      <c r="A714" s="297"/>
      <c r="B714" s="299"/>
      <c r="C714" s="299"/>
      <c r="D714" s="312"/>
      <c r="K714" s="332"/>
      <c r="O714" s="333"/>
      <c r="W714" s="333"/>
      <c r="X714" s="333"/>
    </row>
    <row r="715" spans="1:24">
      <c r="A715" s="297"/>
      <c r="B715" s="299"/>
      <c r="C715" s="299"/>
      <c r="D715" s="312"/>
      <c r="K715" s="332"/>
      <c r="O715" s="333"/>
      <c r="W715" s="333"/>
      <c r="X715" s="333"/>
    </row>
    <row r="716" spans="1:24">
      <c r="A716" s="297"/>
      <c r="B716" s="299"/>
      <c r="C716" s="299"/>
      <c r="D716" s="312"/>
      <c r="K716" s="332"/>
      <c r="O716" s="333"/>
      <c r="W716" s="333"/>
      <c r="X716" s="333"/>
    </row>
    <row r="717" spans="1:24">
      <c r="A717" s="297"/>
      <c r="B717" s="299"/>
      <c r="C717" s="299"/>
      <c r="D717" s="312"/>
      <c r="K717" s="332"/>
      <c r="O717" s="333"/>
      <c r="W717" s="333"/>
      <c r="X717" s="333"/>
    </row>
    <row r="718" spans="1:24">
      <c r="A718" s="297"/>
      <c r="B718" s="299"/>
      <c r="C718" s="299"/>
      <c r="D718" s="312"/>
      <c r="K718" s="332"/>
      <c r="O718" s="333"/>
      <c r="W718" s="333"/>
      <c r="X718" s="333"/>
    </row>
    <row r="719" spans="1:24">
      <c r="A719" s="297"/>
      <c r="B719" s="299"/>
      <c r="C719" s="299"/>
      <c r="D719" s="312"/>
      <c r="K719" s="332"/>
      <c r="O719" s="333"/>
      <c r="W719" s="333"/>
      <c r="X719" s="333"/>
    </row>
    <row r="720" spans="1:24">
      <c r="A720" s="297"/>
      <c r="B720" s="299"/>
      <c r="C720" s="299"/>
      <c r="D720" s="312"/>
      <c r="K720" s="332"/>
      <c r="O720" s="333"/>
      <c r="W720" s="333"/>
      <c r="X720" s="333"/>
    </row>
    <row r="721" spans="1:24">
      <c r="A721" s="297"/>
      <c r="B721" s="299"/>
      <c r="C721" s="299"/>
      <c r="D721" s="312"/>
      <c r="K721" s="332"/>
      <c r="O721" s="333"/>
      <c r="W721" s="333"/>
      <c r="X721" s="333"/>
    </row>
    <row r="722" spans="1:24">
      <c r="A722" s="297"/>
      <c r="B722" s="299"/>
      <c r="C722" s="299"/>
      <c r="D722" s="312"/>
      <c r="K722" s="332"/>
      <c r="O722" s="333"/>
      <c r="W722" s="333"/>
      <c r="X722" s="333"/>
    </row>
    <row r="723" spans="1:24">
      <c r="A723" s="297"/>
      <c r="B723" s="299"/>
      <c r="C723" s="299"/>
      <c r="D723" s="312"/>
      <c r="K723" s="332"/>
      <c r="O723" s="333"/>
      <c r="W723" s="333"/>
      <c r="X723" s="333"/>
    </row>
    <row r="724" spans="1:24">
      <c r="A724" s="297"/>
      <c r="B724" s="299"/>
      <c r="C724" s="299"/>
      <c r="D724" s="312"/>
      <c r="K724" s="332"/>
      <c r="O724" s="333"/>
      <c r="W724" s="333"/>
      <c r="X724" s="333"/>
    </row>
    <row r="725" spans="1:24">
      <c r="A725" s="297"/>
      <c r="B725" s="299"/>
      <c r="C725" s="299"/>
      <c r="D725" s="312"/>
      <c r="K725" s="332"/>
      <c r="O725" s="333"/>
      <c r="W725" s="333"/>
      <c r="X725" s="333"/>
    </row>
    <row r="726" spans="1:24">
      <c r="A726" s="297"/>
      <c r="B726" s="299"/>
      <c r="C726" s="299"/>
      <c r="D726" s="312"/>
      <c r="K726" s="332"/>
      <c r="O726" s="333"/>
      <c r="W726" s="333"/>
      <c r="X726" s="333"/>
    </row>
    <row r="727" spans="1:24">
      <c r="A727" s="297"/>
      <c r="B727" s="299"/>
      <c r="C727" s="299"/>
      <c r="D727" s="312"/>
      <c r="K727" s="332"/>
      <c r="O727" s="333"/>
      <c r="W727" s="333"/>
      <c r="X727" s="333"/>
    </row>
    <row r="728" spans="1:24">
      <c r="A728" s="297"/>
      <c r="B728" s="299"/>
      <c r="C728" s="299"/>
      <c r="D728" s="312"/>
      <c r="K728" s="332"/>
      <c r="O728" s="333"/>
      <c r="W728" s="333"/>
      <c r="X728" s="333"/>
    </row>
    <row r="729" spans="1:24">
      <c r="A729" s="297"/>
      <c r="B729" s="299"/>
      <c r="C729" s="299"/>
      <c r="D729" s="312"/>
      <c r="K729" s="332"/>
      <c r="O729" s="333"/>
      <c r="W729" s="333"/>
      <c r="X729" s="333"/>
    </row>
    <row r="730" spans="1:24">
      <c r="A730" s="297"/>
      <c r="B730" s="299"/>
      <c r="C730" s="299"/>
      <c r="D730" s="312"/>
      <c r="K730" s="332"/>
      <c r="O730" s="333"/>
      <c r="W730" s="333"/>
      <c r="X730" s="333"/>
    </row>
    <row r="731" spans="1:24">
      <c r="A731" s="297"/>
      <c r="B731" s="299"/>
      <c r="C731" s="299"/>
      <c r="D731" s="312"/>
      <c r="K731" s="332"/>
      <c r="O731" s="333"/>
      <c r="W731" s="333"/>
      <c r="X731" s="333"/>
    </row>
    <row r="732" spans="1:24">
      <c r="A732" s="297"/>
      <c r="B732" s="299"/>
      <c r="C732" s="299"/>
      <c r="D732" s="312"/>
      <c r="K732" s="332"/>
      <c r="O732" s="333"/>
      <c r="W732" s="333"/>
      <c r="X732" s="333"/>
    </row>
    <row r="733" spans="1:24">
      <c r="A733" s="297"/>
      <c r="B733" s="299"/>
      <c r="C733" s="299"/>
      <c r="D733" s="312"/>
      <c r="K733" s="332"/>
      <c r="O733" s="333"/>
      <c r="W733" s="333"/>
      <c r="X733" s="333"/>
    </row>
    <row r="734" spans="1:24">
      <c r="A734" s="297"/>
      <c r="B734" s="299"/>
      <c r="C734" s="299"/>
      <c r="D734" s="312"/>
      <c r="K734" s="332"/>
      <c r="O734" s="333"/>
      <c r="W734" s="333"/>
      <c r="X734" s="333"/>
    </row>
    <row r="735" spans="1:24">
      <c r="A735" s="297"/>
      <c r="B735" s="299"/>
      <c r="C735" s="299"/>
      <c r="D735" s="312"/>
      <c r="K735" s="332"/>
      <c r="O735" s="333"/>
      <c r="W735" s="333"/>
      <c r="X735" s="333"/>
    </row>
    <row r="736" spans="1:24">
      <c r="A736" s="297"/>
      <c r="B736" s="299"/>
      <c r="C736" s="299"/>
      <c r="D736" s="312"/>
      <c r="K736" s="332"/>
      <c r="O736" s="333"/>
      <c r="W736" s="333"/>
      <c r="X736" s="333"/>
    </row>
    <row r="737" spans="1:24">
      <c r="A737" s="297"/>
      <c r="B737" s="299"/>
      <c r="C737" s="299"/>
      <c r="D737" s="312"/>
      <c r="K737" s="332"/>
      <c r="O737" s="333"/>
      <c r="W737" s="333"/>
      <c r="X737" s="333"/>
    </row>
    <row r="738" spans="1:24">
      <c r="A738" s="297"/>
      <c r="B738" s="299"/>
      <c r="C738" s="299"/>
      <c r="D738" s="312"/>
      <c r="K738" s="332"/>
      <c r="O738" s="333"/>
      <c r="W738" s="333"/>
      <c r="X738" s="333"/>
    </row>
    <row r="739" spans="1:24">
      <c r="A739" s="297"/>
      <c r="B739" s="299"/>
      <c r="C739" s="299"/>
      <c r="D739" s="312"/>
      <c r="K739" s="332"/>
      <c r="O739" s="333"/>
      <c r="W739" s="333"/>
      <c r="X739" s="333"/>
    </row>
    <row r="740" spans="1:24">
      <c r="A740" s="297"/>
      <c r="B740" s="299"/>
      <c r="C740" s="299"/>
      <c r="D740" s="312"/>
      <c r="K740" s="332"/>
      <c r="O740" s="333"/>
      <c r="W740" s="333"/>
      <c r="X740" s="333"/>
    </row>
    <row r="741" spans="1:24">
      <c r="A741" s="297"/>
      <c r="B741" s="299"/>
      <c r="C741" s="299"/>
      <c r="D741" s="312"/>
      <c r="K741" s="332"/>
      <c r="O741" s="333"/>
      <c r="W741" s="333"/>
      <c r="X741" s="333"/>
    </row>
    <row r="742" spans="1:24">
      <c r="A742" s="297"/>
      <c r="B742" s="299"/>
      <c r="C742" s="299"/>
      <c r="D742" s="312"/>
      <c r="K742" s="332"/>
      <c r="O742" s="333"/>
      <c r="W742" s="333"/>
      <c r="X742" s="333"/>
    </row>
    <row r="743" spans="1:24">
      <c r="A743" s="297"/>
      <c r="B743" s="299"/>
      <c r="C743" s="299"/>
      <c r="D743" s="312"/>
      <c r="K743" s="332"/>
      <c r="O743" s="333"/>
      <c r="W743" s="333"/>
      <c r="X743" s="333"/>
    </row>
    <row r="744" spans="1:24">
      <c r="A744" s="297"/>
      <c r="B744" s="299"/>
      <c r="C744" s="299"/>
      <c r="D744" s="312"/>
      <c r="K744" s="332"/>
      <c r="O744" s="333"/>
      <c r="W744" s="333"/>
      <c r="X744" s="333"/>
    </row>
    <row r="745" spans="1:24">
      <c r="A745" s="297"/>
      <c r="B745" s="299"/>
      <c r="C745" s="299"/>
      <c r="D745" s="312"/>
      <c r="K745" s="332"/>
      <c r="O745" s="333"/>
      <c r="W745" s="333"/>
      <c r="X745" s="333"/>
    </row>
    <row r="746" spans="1:24">
      <c r="A746" s="297"/>
      <c r="B746" s="299"/>
      <c r="C746" s="299"/>
      <c r="D746" s="312"/>
      <c r="K746" s="332"/>
      <c r="O746" s="333"/>
      <c r="W746" s="333"/>
      <c r="X746" s="333"/>
    </row>
    <row r="747" spans="1:24">
      <c r="A747" s="297"/>
      <c r="B747" s="299"/>
      <c r="C747" s="299"/>
      <c r="D747" s="312"/>
      <c r="K747" s="332"/>
      <c r="O747" s="333"/>
      <c r="W747" s="333"/>
      <c r="X747" s="333"/>
    </row>
    <row r="748" spans="1:24">
      <c r="A748" s="297"/>
      <c r="B748" s="299"/>
      <c r="C748" s="299"/>
      <c r="D748" s="312"/>
      <c r="K748" s="332"/>
      <c r="O748" s="333"/>
      <c r="W748" s="333"/>
      <c r="X748" s="333"/>
    </row>
    <row r="749" spans="1:24">
      <c r="A749" s="297"/>
      <c r="B749" s="299"/>
      <c r="C749" s="299"/>
      <c r="D749" s="312"/>
      <c r="K749" s="332"/>
      <c r="O749" s="333"/>
      <c r="W749" s="333"/>
      <c r="X749" s="333"/>
    </row>
    <row r="750" spans="1:24">
      <c r="A750" s="297"/>
      <c r="B750" s="299"/>
      <c r="C750" s="299"/>
      <c r="D750" s="312"/>
      <c r="K750" s="332"/>
      <c r="O750" s="333"/>
      <c r="W750" s="333"/>
      <c r="X750" s="333"/>
    </row>
    <row r="751" spans="1:24">
      <c r="A751" s="297"/>
      <c r="B751" s="299"/>
      <c r="C751" s="299"/>
      <c r="D751" s="312"/>
      <c r="K751" s="332"/>
      <c r="O751" s="333"/>
      <c r="W751" s="333"/>
      <c r="X751" s="333"/>
    </row>
    <row r="752" spans="1:24">
      <c r="A752" s="297"/>
      <c r="B752" s="299"/>
      <c r="C752" s="299"/>
      <c r="D752" s="312"/>
      <c r="K752" s="332"/>
      <c r="O752" s="333"/>
      <c r="W752" s="333"/>
      <c r="X752" s="333"/>
    </row>
    <row r="753" spans="1:24">
      <c r="A753" s="297"/>
      <c r="B753" s="299"/>
      <c r="C753" s="299"/>
      <c r="D753" s="312"/>
      <c r="K753" s="332"/>
      <c r="O753" s="333"/>
      <c r="W753" s="333"/>
      <c r="X753" s="333"/>
    </row>
    <row r="754" spans="1:24">
      <c r="A754" s="297"/>
      <c r="B754" s="299"/>
      <c r="C754" s="299"/>
      <c r="D754" s="312"/>
      <c r="K754" s="332"/>
      <c r="O754" s="333"/>
      <c r="W754" s="333"/>
      <c r="X754" s="333"/>
    </row>
    <row r="755" spans="1:24">
      <c r="A755" s="297"/>
      <c r="B755" s="299"/>
      <c r="C755" s="299"/>
      <c r="D755" s="312"/>
      <c r="K755" s="332"/>
      <c r="O755" s="333"/>
      <c r="W755" s="333"/>
      <c r="X755" s="333"/>
    </row>
    <row r="756" spans="1:24">
      <c r="A756" s="297"/>
      <c r="B756" s="299"/>
      <c r="C756" s="299"/>
      <c r="D756" s="312"/>
      <c r="K756" s="332"/>
      <c r="O756" s="333"/>
      <c r="W756" s="333"/>
      <c r="X756" s="333"/>
    </row>
    <row r="757" spans="1:24">
      <c r="A757" s="297"/>
      <c r="B757" s="299"/>
      <c r="C757" s="299"/>
      <c r="D757" s="312"/>
      <c r="K757" s="332"/>
      <c r="O757" s="333"/>
      <c r="W757" s="333"/>
      <c r="X757" s="333"/>
    </row>
    <row r="758" spans="1:24">
      <c r="A758" s="297"/>
      <c r="B758" s="299"/>
      <c r="C758" s="299"/>
      <c r="D758" s="312"/>
      <c r="K758" s="332"/>
      <c r="O758" s="333"/>
      <c r="W758" s="333"/>
      <c r="X758" s="333"/>
    </row>
    <row r="759" spans="1:24">
      <c r="A759" s="297"/>
      <c r="B759" s="299"/>
      <c r="C759" s="299"/>
      <c r="D759" s="312"/>
      <c r="K759" s="332"/>
      <c r="O759" s="333"/>
      <c r="W759" s="333"/>
      <c r="X759" s="333"/>
    </row>
    <row r="760" spans="1:24">
      <c r="A760" s="297"/>
      <c r="B760" s="299"/>
      <c r="C760" s="299"/>
      <c r="D760" s="312"/>
      <c r="K760" s="332"/>
      <c r="O760" s="333"/>
      <c r="W760" s="333"/>
      <c r="X760" s="333"/>
    </row>
    <row r="761" spans="1:24">
      <c r="A761" s="297"/>
      <c r="B761" s="299"/>
      <c r="C761" s="299"/>
      <c r="D761" s="312"/>
      <c r="K761" s="332"/>
      <c r="O761" s="333"/>
      <c r="W761" s="333"/>
      <c r="X761" s="333"/>
    </row>
    <row r="762" spans="1:24">
      <c r="A762" s="297"/>
      <c r="B762" s="299"/>
      <c r="C762" s="299"/>
      <c r="D762" s="312"/>
      <c r="K762" s="332"/>
      <c r="O762" s="333"/>
      <c r="W762" s="333"/>
      <c r="X762" s="333"/>
    </row>
    <row r="763" spans="1:24">
      <c r="A763" s="297"/>
      <c r="B763" s="299"/>
      <c r="C763" s="299"/>
      <c r="D763" s="312"/>
      <c r="K763" s="332"/>
      <c r="O763" s="333"/>
      <c r="W763" s="333"/>
      <c r="X763" s="333"/>
    </row>
    <row r="764" spans="1:24">
      <c r="A764" s="297"/>
      <c r="B764" s="299"/>
      <c r="C764" s="299"/>
      <c r="D764" s="312"/>
      <c r="K764" s="332"/>
      <c r="O764" s="333"/>
      <c r="W764" s="333"/>
      <c r="X764" s="333"/>
    </row>
    <row r="765" spans="1:24">
      <c r="A765" s="297"/>
      <c r="B765" s="299"/>
      <c r="C765" s="299"/>
      <c r="D765" s="312"/>
      <c r="K765" s="332"/>
      <c r="O765" s="333"/>
      <c r="W765" s="333"/>
      <c r="X765" s="333"/>
    </row>
    <row r="766" spans="1:24">
      <c r="A766" s="297"/>
      <c r="B766" s="299"/>
      <c r="C766" s="299"/>
      <c r="D766" s="312"/>
      <c r="K766" s="332"/>
      <c r="O766" s="333"/>
      <c r="W766" s="333"/>
      <c r="X766" s="333"/>
    </row>
    <row r="767" spans="1:24">
      <c r="A767" s="297"/>
      <c r="B767" s="299"/>
      <c r="C767" s="299"/>
      <c r="D767" s="312"/>
      <c r="K767" s="332"/>
      <c r="O767" s="333"/>
      <c r="W767" s="333"/>
      <c r="X767" s="333"/>
    </row>
    <row r="768" spans="1:24">
      <c r="A768" s="297"/>
      <c r="B768" s="299"/>
      <c r="C768" s="299"/>
      <c r="D768" s="312"/>
      <c r="K768" s="332"/>
      <c r="O768" s="333"/>
      <c r="W768" s="333"/>
      <c r="X768" s="333"/>
    </row>
    <row r="769" spans="1:24">
      <c r="A769" s="297"/>
      <c r="B769" s="299"/>
      <c r="C769" s="299"/>
      <c r="D769" s="312"/>
      <c r="K769" s="332"/>
      <c r="O769" s="333"/>
      <c r="W769" s="333"/>
      <c r="X769" s="333"/>
    </row>
    <row r="770" spans="1:24">
      <c r="A770" s="297"/>
      <c r="B770" s="299"/>
      <c r="C770" s="299"/>
      <c r="D770" s="312"/>
      <c r="K770" s="332"/>
      <c r="O770" s="333"/>
      <c r="W770" s="333"/>
      <c r="X770" s="333"/>
    </row>
    <row r="771" spans="1:24">
      <c r="A771" s="297"/>
      <c r="B771" s="299"/>
      <c r="C771" s="299"/>
      <c r="D771" s="312"/>
      <c r="K771" s="332"/>
      <c r="O771" s="333"/>
      <c r="W771" s="333"/>
      <c r="X771" s="333"/>
    </row>
    <row r="772" spans="1:24">
      <c r="A772" s="297"/>
      <c r="B772" s="299"/>
      <c r="C772" s="299"/>
      <c r="D772" s="312"/>
      <c r="K772" s="332"/>
      <c r="O772" s="333"/>
      <c r="W772" s="333"/>
      <c r="X772" s="333"/>
    </row>
    <row r="773" spans="1:24">
      <c r="A773" s="297"/>
      <c r="B773" s="299"/>
      <c r="C773" s="299"/>
      <c r="D773" s="312"/>
      <c r="K773" s="332"/>
      <c r="O773" s="333"/>
      <c r="W773" s="333"/>
      <c r="X773" s="333"/>
    </row>
    <row r="774" spans="1:24">
      <c r="A774" s="297"/>
      <c r="B774" s="299"/>
      <c r="C774" s="299"/>
      <c r="D774" s="312"/>
      <c r="K774" s="332"/>
      <c r="O774" s="333"/>
      <c r="W774" s="333"/>
      <c r="X774" s="333"/>
    </row>
    <row r="775" spans="1:24">
      <c r="A775" s="297"/>
      <c r="B775" s="299"/>
      <c r="C775" s="299"/>
      <c r="D775" s="312"/>
      <c r="K775" s="332"/>
      <c r="O775" s="333"/>
      <c r="W775" s="333"/>
      <c r="X775" s="333"/>
    </row>
    <row r="776" spans="1:24">
      <c r="A776" s="297"/>
      <c r="B776" s="299"/>
      <c r="C776" s="299"/>
      <c r="D776" s="312"/>
      <c r="K776" s="332"/>
      <c r="O776" s="333"/>
      <c r="W776" s="333"/>
      <c r="X776" s="333"/>
    </row>
    <row r="777" spans="1:24">
      <c r="A777" s="297"/>
      <c r="B777" s="299"/>
      <c r="C777" s="299"/>
      <c r="D777" s="312"/>
      <c r="K777" s="332"/>
      <c r="O777" s="333"/>
      <c r="W777" s="333"/>
      <c r="X777" s="333"/>
    </row>
    <row r="778" spans="1:24">
      <c r="A778" s="297"/>
      <c r="B778" s="299"/>
      <c r="C778" s="299"/>
      <c r="D778" s="312"/>
      <c r="K778" s="332"/>
      <c r="O778" s="333"/>
      <c r="W778" s="333"/>
      <c r="X778" s="333"/>
    </row>
    <row r="779" spans="1:24">
      <c r="A779" s="297"/>
      <c r="B779" s="299"/>
      <c r="C779" s="299"/>
      <c r="D779" s="312"/>
      <c r="K779" s="332"/>
      <c r="O779" s="333"/>
      <c r="W779" s="333"/>
      <c r="X779" s="333"/>
    </row>
    <row r="780" spans="1:24">
      <c r="A780" s="297"/>
      <c r="B780" s="299"/>
      <c r="C780" s="299"/>
      <c r="D780" s="312"/>
      <c r="K780" s="332"/>
      <c r="O780" s="333"/>
      <c r="W780" s="333"/>
      <c r="X780" s="333"/>
    </row>
    <row r="781" spans="1:24">
      <c r="A781" s="297"/>
      <c r="B781" s="299"/>
      <c r="C781" s="299"/>
      <c r="D781" s="312"/>
      <c r="K781" s="332"/>
      <c r="O781" s="333"/>
      <c r="W781" s="333"/>
      <c r="X781" s="333"/>
    </row>
    <row r="782" spans="1:24">
      <c r="A782" s="297"/>
      <c r="B782" s="299"/>
      <c r="C782" s="299"/>
      <c r="D782" s="312"/>
      <c r="K782" s="332"/>
      <c r="O782" s="333"/>
      <c r="W782" s="333"/>
      <c r="X782" s="333"/>
    </row>
    <row r="783" spans="1:24">
      <c r="A783" s="297"/>
      <c r="B783" s="299"/>
      <c r="C783" s="299"/>
      <c r="D783" s="312"/>
      <c r="K783" s="332"/>
      <c r="O783" s="333"/>
      <c r="W783" s="333"/>
      <c r="X783" s="333"/>
    </row>
    <row r="784" spans="1:24">
      <c r="A784" s="297"/>
      <c r="B784" s="299"/>
      <c r="C784" s="299"/>
      <c r="D784" s="312"/>
      <c r="K784" s="332"/>
      <c r="O784" s="333"/>
      <c r="W784" s="333"/>
      <c r="X784" s="333"/>
    </row>
    <row r="785" spans="1:24">
      <c r="A785" s="297"/>
      <c r="B785" s="299"/>
      <c r="C785" s="299"/>
      <c r="D785" s="312"/>
      <c r="K785" s="332"/>
      <c r="O785" s="333"/>
      <c r="W785" s="333"/>
      <c r="X785" s="333"/>
    </row>
    <row r="786" spans="1:24">
      <c r="A786" s="297"/>
      <c r="B786" s="299"/>
      <c r="C786" s="299"/>
      <c r="D786" s="312"/>
      <c r="K786" s="332"/>
      <c r="O786" s="333"/>
      <c r="W786" s="333"/>
      <c r="X786" s="333"/>
    </row>
    <row r="787" spans="1:24">
      <c r="A787" s="297"/>
      <c r="B787" s="299"/>
      <c r="C787" s="299"/>
      <c r="D787" s="312"/>
      <c r="K787" s="332"/>
      <c r="O787" s="333"/>
      <c r="W787" s="333"/>
      <c r="X787" s="333"/>
    </row>
    <row r="788" spans="1:24">
      <c r="A788" s="297"/>
      <c r="B788" s="299"/>
      <c r="C788" s="299"/>
      <c r="D788" s="312"/>
      <c r="K788" s="332"/>
      <c r="O788" s="333"/>
      <c r="W788" s="333"/>
      <c r="X788" s="333"/>
    </row>
    <row r="789" spans="1:24">
      <c r="A789" s="297"/>
      <c r="B789" s="299"/>
      <c r="C789" s="299"/>
      <c r="D789" s="312"/>
      <c r="K789" s="332"/>
      <c r="O789" s="333"/>
      <c r="W789" s="333"/>
      <c r="X789" s="333"/>
    </row>
    <row r="790" spans="1:24">
      <c r="A790" s="297"/>
      <c r="B790" s="299"/>
      <c r="C790" s="299"/>
      <c r="D790" s="312"/>
      <c r="K790" s="332"/>
      <c r="O790" s="333"/>
      <c r="W790" s="333"/>
      <c r="X790" s="333"/>
    </row>
    <row r="791" spans="1:24">
      <c r="A791" s="297"/>
      <c r="B791" s="299"/>
      <c r="C791" s="299"/>
      <c r="D791" s="312"/>
      <c r="K791" s="332"/>
      <c r="O791" s="333"/>
      <c r="W791" s="333"/>
      <c r="X791" s="333"/>
    </row>
    <row r="792" spans="1:24">
      <c r="A792" s="297"/>
      <c r="B792" s="299"/>
      <c r="C792" s="299"/>
      <c r="D792" s="312"/>
      <c r="K792" s="332"/>
      <c r="O792" s="333"/>
      <c r="W792" s="333"/>
      <c r="X792" s="333"/>
    </row>
    <row r="793" spans="1:24">
      <c r="A793" s="297"/>
      <c r="B793" s="299"/>
      <c r="C793" s="299"/>
      <c r="D793" s="312"/>
      <c r="K793" s="332"/>
      <c r="O793" s="333"/>
      <c r="W793" s="333"/>
      <c r="X793" s="333"/>
    </row>
    <row r="794" spans="1:24">
      <c r="A794" s="297"/>
      <c r="B794" s="299"/>
      <c r="C794" s="299"/>
      <c r="D794" s="312"/>
      <c r="K794" s="332"/>
      <c r="O794" s="333"/>
      <c r="W794" s="333"/>
      <c r="X794" s="333"/>
    </row>
    <row r="795" spans="1:24">
      <c r="A795" s="297"/>
      <c r="B795" s="299"/>
      <c r="C795" s="299"/>
      <c r="D795" s="312"/>
      <c r="K795" s="332"/>
      <c r="O795" s="333"/>
      <c r="W795" s="333"/>
      <c r="X795" s="333"/>
    </row>
    <row r="796" spans="1:24">
      <c r="A796" s="297"/>
      <c r="B796" s="299"/>
      <c r="C796" s="299"/>
      <c r="D796" s="312"/>
      <c r="K796" s="332"/>
      <c r="O796" s="333"/>
      <c r="W796" s="333"/>
      <c r="X796" s="333"/>
    </row>
    <row r="797" spans="1:24">
      <c r="A797" s="297"/>
      <c r="B797" s="299"/>
      <c r="C797" s="299"/>
      <c r="D797" s="312"/>
      <c r="K797" s="332"/>
      <c r="O797" s="333"/>
      <c r="W797" s="333"/>
      <c r="X797" s="333"/>
    </row>
    <row r="798" spans="1:24">
      <c r="A798" s="297"/>
      <c r="B798" s="299"/>
      <c r="C798" s="299"/>
      <c r="D798" s="312"/>
      <c r="K798" s="332"/>
      <c r="O798" s="333"/>
      <c r="W798" s="333"/>
      <c r="X798" s="333"/>
    </row>
    <row r="799" spans="1:24">
      <c r="A799" s="297"/>
      <c r="B799" s="299"/>
      <c r="C799" s="299"/>
      <c r="D799" s="312"/>
      <c r="K799" s="332"/>
      <c r="O799" s="333"/>
      <c r="W799" s="333"/>
      <c r="X799" s="333"/>
    </row>
    <row r="800" spans="1:24">
      <c r="A800" s="297"/>
      <c r="B800" s="299"/>
      <c r="C800" s="299"/>
      <c r="D800" s="312"/>
      <c r="K800" s="332"/>
      <c r="O800" s="333"/>
      <c r="W800" s="333"/>
      <c r="X800" s="333"/>
    </row>
    <row r="801" spans="1:24">
      <c r="A801" s="297"/>
      <c r="B801" s="299"/>
      <c r="C801" s="299"/>
      <c r="D801" s="312"/>
      <c r="K801" s="332"/>
      <c r="O801" s="333"/>
      <c r="W801" s="333"/>
      <c r="X801" s="333"/>
    </row>
    <row r="802" spans="1:24">
      <c r="A802" s="297"/>
      <c r="B802" s="299"/>
      <c r="C802" s="299"/>
      <c r="D802" s="312"/>
      <c r="K802" s="332"/>
      <c r="O802" s="333"/>
      <c r="W802" s="333"/>
      <c r="X802" s="333"/>
    </row>
    <row r="803" spans="1:24">
      <c r="A803" s="297"/>
      <c r="B803" s="299"/>
      <c r="C803" s="299"/>
      <c r="D803" s="312"/>
      <c r="K803" s="332"/>
      <c r="O803" s="333"/>
      <c r="W803" s="333"/>
      <c r="X803" s="333"/>
    </row>
    <row r="804" spans="1:24">
      <c r="A804" s="297"/>
      <c r="B804" s="299"/>
      <c r="C804" s="299"/>
      <c r="D804" s="312"/>
      <c r="K804" s="332"/>
      <c r="O804" s="333"/>
      <c r="W804" s="333"/>
      <c r="X804" s="333"/>
    </row>
    <row r="805" spans="1:24">
      <c r="A805" s="297"/>
      <c r="B805" s="299"/>
      <c r="C805" s="299"/>
      <c r="D805" s="312"/>
      <c r="K805" s="332"/>
      <c r="O805" s="333"/>
      <c r="W805" s="333"/>
      <c r="X805" s="333"/>
    </row>
    <row r="806" spans="1:24">
      <c r="A806" s="297"/>
      <c r="B806" s="299"/>
      <c r="C806" s="299"/>
      <c r="D806" s="312"/>
      <c r="K806" s="332"/>
      <c r="O806" s="333"/>
      <c r="W806" s="333"/>
      <c r="X806" s="333"/>
    </row>
    <row r="807" spans="1:24">
      <c r="A807" s="297"/>
      <c r="B807" s="299"/>
      <c r="C807" s="299"/>
      <c r="D807" s="312"/>
      <c r="K807" s="332"/>
      <c r="O807" s="333"/>
      <c r="W807" s="333"/>
      <c r="X807" s="333"/>
    </row>
    <row r="808" spans="1:24">
      <c r="A808" s="297"/>
      <c r="B808" s="299"/>
      <c r="C808" s="299"/>
      <c r="D808" s="312"/>
      <c r="K808" s="332"/>
      <c r="O808" s="333"/>
      <c r="W808" s="333"/>
      <c r="X808" s="333"/>
    </row>
    <row r="809" spans="1:24">
      <c r="A809" s="297"/>
      <c r="B809" s="299"/>
      <c r="C809" s="299"/>
      <c r="D809" s="312"/>
      <c r="K809" s="332"/>
      <c r="O809" s="333"/>
      <c r="W809" s="333"/>
      <c r="X809" s="333"/>
    </row>
    <row r="810" spans="1:24">
      <c r="A810" s="297"/>
      <c r="B810" s="299"/>
      <c r="C810" s="299"/>
      <c r="D810" s="312"/>
      <c r="K810" s="332"/>
      <c r="O810" s="333"/>
      <c r="W810" s="333"/>
      <c r="X810" s="333"/>
    </row>
    <row r="811" spans="1:24">
      <c r="A811" s="297"/>
      <c r="B811" s="299"/>
      <c r="C811" s="299"/>
      <c r="D811" s="312"/>
      <c r="K811" s="332"/>
      <c r="O811" s="333"/>
      <c r="W811" s="333"/>
      <c r="X811" s="333"/>
    </row>
    <row r="812" spans="1:24">
      <c r="A812" s="297"/>
      <c r="B812" s="299"/>
      <c r="C812" s="299"/>
      <c r="D812" s="312"/>
      <c r="K812" s="332"/>
      <c r="O812" s="333"/>
      <c r="W812" s="333"/>
      <c r="X812" s="333"/>
    </row>
    <row r="813" spans="1:24">
      <c r="A813" s="297"/>
      <c r="B813" s="299"/>
      <c r="C813" s="299"/>
      <c r="D813" s="312"/>
      <c r="K813" s="332"/>
      <c r="O813" s="333"/>
      <c r="W813" s="333"/>
      <c r="X813" s="333"/>
    </row>
    <row r="814" spans="1:24">
      <c r="A814" s="297"/>
      <c r="B814" s="299"/>
      <c r="C814" s="299"/>
      <c r="D814" s="312"/>
      <c r="K814" s="332"/>
      <c r="O814" s="333"/>
      <c r="W814" s="333"/>
      <c r="X814" s="333"/>
    </row>
    <row r="815" spans="1:24">
      <c r="A815" s="297"/>
      <c r="B815" s="299"/>
      <c r="C815" s="299"/>
      <c r="D815" s="312"/>
      <c r="K815" s="332"/>
      <c r="O815" s="333"/>
      <c r="W815" s="333"/>
      <c r="X815" s="333"/>
    </row>
    <row r="816" spans="1:24">
      <c r="A816" s="297"/>
      <c r="B816" s="299"/>
      <c r="C816" s="299"/>
      <c r="D816" s="312"/>
      <c r="K816" s="332"/>
      <c r="O816" s="333"/>
      <c r="W816" s="333"/>
      <c r="X816" s="333"/>
    </row>
    <row r="817" spans="1:24">
      <c r="A817" s="297"/>
      <c r="B817" s="299"/>
      <c r="C817" s="299"/>
      <c r="D817" s="312"/>
      <c r="K817" s="332"/>
      <c r="O817" s="333"/>
      <c r="W817" s="333"/>
      <c r="X817" s="333"/>
    </row>
    <row r="818" spans="1:24">
      <c r="A818" s="297"/>
      <c r="B818" s="299"/>
      <c r="C818" s="299"/>
      <c r="D818" s="312"/>
      <c r="K818" s="332"/>
      <c r="O818" s="333"/>
      <c r="W818" s="333"/>
      <c r="X818" s="333"/>
    </row>
    <row r="819" spans="1:24">
      <c r="A819" s="297"/>
      <c r="B819" s="299"/>
      <c r="C819" s="299"/>
      <c r="D819" s="312"/>
      <c r="K819" s="332"/>
      <c r="O819" s="333"/>
      <c r="W819" s="333"/>
      <c r="X819" s="333"/>
    </row>
    <row r="820" spans="1:24">
      <c r="A820" s="297"/>
      <c r="B820" s="299"/>
      <c r="C820" s="299"/>
      <c r="D820" s="312"/>
      <c r="K820" s="332"/>
      <c r="O820" s="333"/>
      <c r="W820" s="333"/>
      <c r="X820" s="333"/>
    </row>
    <row r="821" spans="1:24">
      <c r="A821" s="297"/>
      <c r="B821" s="299"/>
      <c r="C821" s="299"/>
      <c r="D821" s="312"/>
      <c r="K821" s="332"/>
      <c r="O821" s="333"/>
      <c r="W821" s="333"/>
      <c r="X821" s="333"/>
    </row>
    <row r="822" spans="1:24">
      <c r="A822" s="297"/>
      <c r="B822" s="299"/>
      <c r="C822" s="299"/>
      <c r="D822" s="312"/>
      <c r="K822" s="332"/>
      <c r="O822" s="333"/>
      <c r="W822" s="333"/>
      <c r="X822" s="333"/>
    </row>
    <row r="823" spans="1:24">
      <c r="A823" s="297"/>
      <c r="B823" s="299"/>
      <c r="C823" s="299"/>
      <c r="D823" s="312"/>
      <c r="K823" s="332"/>
      <c r="O823" s="333"/>
      <c r="W823" s="333"/>
      <c r="X823" s="333"/>
    </row>
    <row r="824" spans="1:24">
      <c r="A824" s="297"/>
      <c r="B824" s="299"/>
      <c r="C824" s="299"/>
      <c r="D824" s="312"/>
      <c r="K824" s="332"/>
      <c r="O824" s="333"/>
      <c r="W824" s="333"/>
      <c r="X824" s="333"/>
    </row>
    <row r="825" spans="1:24">
      <c r="A825" s="297"/>
      <c r="B825" s="299"/>
      <c r="C825" s="299"/>
      <c r="D825" s="312"/>
      <c r="K825" s="332"/>
      <c r="O825" s="333"/>
      <c r="W825" s="333"/>
      <c r="X825" s="333"/>
    </row>
    <row r="826" spans="1:24">
      <c r="A826" s="297"/>
      <c r="B826" s="299"/>
      <c r="C826" s="299"/>
      <c r="D826" s="312"/>
      <c r="K826" s="332"/>
      <c r="O826" s="333"/>
      <c r="W826" s="333"/>
      <c r="X826" s="333"/>
    </row>
    <row r="827" spans="1:24">
      <c r="A827" s="297"/>
      <c r="B827" s="299"/>
      <c r="C827" s="299"/>
      <c r="D827" s="312"/>
      <c r="K827" s="332"/>
      <c r="O827" s="333"/>
      <c r="W827" s="333"/>
      <c r="X827" s="333"/>
    </row>
    <row r="828" spans="1:24">
      <c r="A828" s="297"/>
      <c r="B828" s="299"/>
      <c r="C828" s="299"/>
      <c r="D828" s="312"/>
      <c r="K828" s="332"/>
      <c r="O828" s="333"/>
      <c r="W828" s="333"/>
      <c r="X828" s="333"/>
    </row>
    <row r="829" spans="1:24">
      <c r="A829" s="297"/>
      <c r="B829" s="299"/>
      <c r="C829" s="299"/>
      <c r="D829" s="312"/>
      <c r="K829" s="332"/>
      <c r="O829" s="333"/>
      <c r="W829" s="333"/>
      <c r="X829" s="333"/>
    </row>
    <row r="830" spans="1:24">
      <c r="A830" s="297"/>
      <c r="B830" s="299"/>
      <c r="C830" s="299"/>
      <c r="D830" s="312"/>
      <c r="K830" s="332"/>
      <c r="O830" s="333"/>
      <c r="W830" s="333"/>
      <c r="X830" s="333"/>
    </row>
    <row r="831" spans="1:24">
      <c r="A831" s="297"/>
      <c r="B831" s="299"/>
      <c r="C831" s="299"/>
      <c r="D831" s="312"/>
      <c r="K831" s="332"/>
      <c r="O831" s="333"/>
      <c r="W831" s="333"/>
      <c r="X831" s="333"/>
    </row>
    <row r="832" spans="1:24">
      <c r="A832" s="297"/>
      <c r="B832" s="299"/>
      <c r="C832" s="299"/>
      <c r="D832" s="312"/>
      <c r="K832" s="332"/>
      <c r="O832" s="333"/>
      <c r="W832" s="333"/>
      <c r="X832" s="333"/>
    </row>
    <row r="833" spans="1:24">
      <c r="A833" s="297"/>
      <c r="B833" s="299"/>
      <c r="C833" s="299"/>
      <c r="D833" s="312"/>
      <c r="K833" s="332"/>
      <c r="O833" s="333"/>
      <c r="W833" s="333"/>
      <c r="X833" s="333"/>
    </row>
    <row r="834" spans="1:24">
      <c r="A834" s="297"/>
      <c r="B834" s="299"/>
      <c r="C834" s="299"/>
      <c r="D834" s="312"/>
      <c r="K834" s="332"/>
      <c r="O834" s="333"/>
      <c r="W834" s="333"/>
      <c r="X834" s="333"/>
    </row>
    <row r="835" spans="1:24">
      <c r="A835" s="297"/>
      <c r="B835" s="299"/>
      <c r="C835" s="299"/>
      <c r="D835" s="312"/>
      <c r="K835" s="332"/>
      <c r="O835" s="333"/>
      <c r="W835" s="333"/>
      <c r="X835" s="333"/>
    </row>
    <row r="836" spans="1:24">
      <c r="A836" s="297"/>
      <c r="B836" s="299"/>
      <c r="C836" s="299"/>
      <c r="D836" s="312"/>
      <c r="K836" s="332"/>
      <c r="O836" s="333"/>
      <c r="W836" s="333"/>
      <c r="X836" s="333"/>
    </row>
    <row r="837" spans="1:24">
      <c r="A837" s="297"/>
      <c r="B837" s="299"/>
      <c r="C837" s="299"/>
      <c r="D837" s="312"/>
      <c r="K837" s="332"/>
      <c r="O837" s="333"/>
      <c r="W837" s="333"/>
      <c r="X837" s="333"/>
    </row>
    <row r="838" spans="1:24">
      <c r="A838" s="297"/>
      <c r="B838" s="299"/>
      <c r="C838" s="299"/>
      <c r="D838" s="312"/>
      <c r="K838" s="332"/>
      <c r="O838" s="333"/>
      <c r="W838" s="333"/>
      <c r="X838" s="333"/>
    </row>
    <row r="839" spans="1:24">
      <c r="A839" s="297"/>
      <c r="B839" s="299"/>
      <c r="C839" s="299"/>
      <c r="D839" s="312"/>
      <c r="K839" s="332"/>
      <c r="O839" s="333"/>
      <c r="W839" s="333"/>
      <c r="X839" s="333"/>
    </row>
    <row r="840" spans="1:24">
      <c r="A840" s="297"/>
      <c r="B840" s="299"/>
      <c r="C840" s="299"/>
      <c r="D840" s="312"/>
      <c r="K840" s="332"/>
      <c r="O840" s="333"/>
      <c r="W840" s="333"/>
      <c r="X840" s="333"/>
    </row>
    <row r="841" spans="1:24">
      <c r="A841" s="297"/>
      <c r="B841" s="299"/>
      <c r="C841" s="299"/>
      <c r="D841" s="312"/>
      <c r="K841" s="332"/>
      <c r="O841" s="333"/>
      <c r="W841" s="333"/>
      <c r="X841" s="333"/>
    </row>
    <row r="842" spans="1:24">
      <c r="A842" s="297"/>
      <c r="B842" s="299"/>
      <c r="C842" s="299"/>
      <c r="D842" s="312"/>
      <c r="K842" s="332"/>
      <c r="O842" s="333"/>
      <c r="W842" s="333"/>
      <c r="X842" s="333"/>
    </row>
    <row r="843" spans="1:24">
      <c r="A843" s="297"/>
      <c r="B843" s="299"/>
      <c r="C843" s="299"/>
      <c r="D843" s="312"/>
      <c r="K843" s="332"/>
      <c r="O843" s="333"/>
      <c r="W843" s="333"/>
      <c r="X843" s="333"/>
    </row>
    <row r="844" spans="1:24">
      <c r="A844" s="297"/>
      <c r="B844" s="299"/>
      <c r="C844" s="299"/>
      <c r="D844" s="312"/>
      <c r="K844" s="332"/>
      <c r="O844" s="333"/>
      <c r="W844" s="333"/>
      <c r="X844" s="333"/>
    </row>
    <row r="845" spans="1:24">
      <c r="A845" s="297"/>
      <c r="B845" s="299"/>
      <c r="C845" s="299"/>
      <c r="D845" s="312"/>
      <c r="K845" s="332"/>
      <c r="O845" s="333"/>
      <c r="W845" s="333"/>
      <c r="X845" s="333"/>
    </row>
    <row r="846" spans="1:24">
      <c r="A846" s="297"/>
      <c r="B846" s="299"/>
      <c r="C846" s="299"/>
      <c r="D846" s="312"/>
      <c r="K846" s="332"/>
      <c r="O846" s="333"/>
      <c r="W846" s="333"/>
      <c r="X846" s="333"/>
    </row>
    <row r="847" spans="1:24">
      <c r="A847" s="297"/>
      <c r="B847" s="299"/>
      <c r="C847" s="299"/>
      <c r="D847" s="312"/>
      <c r="K847" s="332"/>
      <c r="O847" s="333"/>
      <c r="W847" s="333"/>
      <c r="X847" s="333"/>
    </row>
    <row r="848" spans="1:24">
      <c r="A848" s="297"/>
      <c r="B848" s="299"/>
      <c r="C848" s="299"/>
      <c r="D848" s="312"/>
      <c r="K848" s="332"/>
      <c r="O848" s="333"/>
      <c r="W848" s="333"/>
      <c r="X848" s="333"/>
    </row>
    <row r="849" spans="1:24">
      <c r="A849" s="297"/>
      <c r="B849" s="299"/>
      <c r="C849" s="299"/>
      <c r="D849" s="312"/>
      <c r="K849" s="332"/>
      <c r="O849" s="333"/>
      <c r="W849" s="333"/>
      <c r="X849" s="333"/>
    </row>
    <row r="850" spans="1:24">
      <c r="A850" s="297"/>
      <c r="B850" s="299"/>
      <c r="C850" s="299"/>
      <c r="D850" s="312"/>
      <c r="K850" s="332"/>
      <c r="O850" s="333"/>
      <c r="W850" s="333"/>
      <c r="X850" s="333"/>
    </row>
    <row r="851" spans="1:24">
      <c r="A851" s="297"/>
      <c r="B851" s="299"/>
      <c r="C851" s="299"/>
      <c r="D851" s="312"/>
      <c r="K851" s="332"/>
      <c r="O851" s="333"/>
      <c r="W851" s="333"/>
      <c r="X851" s="333"/>
    </row>
    <row r="852" spans="1:24">
      <c r="A852" s="297"/>
      <c r="B852" s="299"/>
      <c r="C852" s="299"/>
      <c r="D852" s="312"/>
      <c r="K852" s="332"/>
      <c r="O852" s="333"/>
      <c r="W852" s="333"/>
      <c r="X852" s="333"/>
    </row>
    <row r="853" spans="1:24">
      <c r="A853" s="297"/>
      <c r="B853" s="299"/>
      <c r="C853" s="299"/>
      <c r="D853" s="312"/>
      <c r="K853" s="332"/>
      <c r="O853" s="333"/>
      <c r="W853" s="333"/>
      <c r="X853" s="333"/>
    </row>
    <row r="854" spans="1:24">
      <c r="A854" s="297"/>
      <c r="B854" s="299"/>
      <c r="C854" s="299"/>
      <c r="D854" s="312"/>
      <c r="K854" s="332"/>
      <c r="O854" s="333"/>
      <c r="W854" s="333"/>
      <c r="X854" s="333"/>
    </row>
    <row r="855" spans="1:24">
      <c r="A855" s="297"/>
      <c r="B855" s="299"/>
      <c r="C855" s="299"/>
      <c r="D855" s="312"/>
      <c r="K855" s="332"/>
      <c r="O855" s="333"/>
      <c r="W855" s="333"/>
      <c r="X855" s="333"/>
    </row>
    <row r="856" spans="1:24">
      <c r="A856" s="297"/>
      <c r="B856" s="299"/>
      <c r="C856" s="299"/>
      <c r="D856" s="312"/>
      <c r="K856" s="332"/>
      <c r="O856" s="333"/>
      <c r="W856" s="333"/>
      <c r="X856" s="333"/>
    </row>
    <row r="857" spans="1:24">
      <c r="A857" s="297"/>
      <c r="B857" s="299"/>
      <c r="C857" s="299"/>
      <c r="D857" s="312"/>
      <c r="K857" s="332"/>
      <c r="O857" s="333"/>
      <c r="W857" s="333"/>
      <c r="X857" s="333"/>
    </row>
    <row r="858" spans="1:24">
      <c r="A858" s="297"/>
      <c r="B858" s="299"/>
      <c r="C858" s="299"/>
      <c r="D858" s="312"/>
      <c r="K858" s="332"/>
      <c r="O858" s="333"/>
      <c r="W858" s="333"/>
      <c r="X858" s="333"/>
    </row>
    <row r="859" spans="1:24">
      <c r="A859" s="297"/>
      <c r="B859" s="299"/>
      <c r="C859" s="299"/>
      <c r="D859" s="312"/>
      <c r="K859" s="332"/>
      <c r="O859" s="333"/>
      <c r="W859" s="333"/>
      <c r="X859" s="333"/>
    </row>
    <row r="860" spans="1:24">
      <c r="A860" s="297"/>
      <c r="B860" s="299"/>
      <c r="C860" s="299"/>
      <c r="D860" s="312"/>
      <c r="K860" s="332"/>
      <c r="O860" s="333"/>
      <c r="W860" s="333"/>
      <c r="X860" s="333"/>
    </row>
    <row r="861" spans="1:24">
      <c r="A861" s="297"/>
      <c r="B861" s="299"/>
      <c r="C861" s="299"/>
      <c r="D861" s="312"/>
      <c r="K861" s="332"/>
      <c r="O861" s="333"/>
      <c r="W861" s="333"/>
      <c r="X861" s="333"/>
    </row>
    <row r="862" spans="1:24">
      <c r="A862" s="297"/>
      <c r="B862" s="299"/>
      <c r="C862" s="299"/>
      <c r="D862" s="312"/>
      <c r="K862" s="332"/>
      <c r="O862" s="333"/>
      <c r="W862" s="333"/>
      <c r="X862" s="333"/>
    </row>
    <row r="863" spans="1:24">
      <c r="A863" s="297"/>
      <c r="B863" s="299"/>
      <c r="C863" s="299"/>
      <c r="D863" s="312"/>
      <c r="K863" s="332"/>
      <c r="O863" s="333"/>
      <c r="W863" s="333"/>
      <c r="X863" s="333"/>
    </row>
    <row r="864" spans="1:24">
      <c r="A864" s="297"/>
      <c r="B864" s="299"/>
      <c r="C864" s="299"/>
      <c r="D864" s="312"/>
      <c r="K864" s="332"/>
      <c r="O864" s="333"/>
      <c r="W864" s="333"/>
      <c r="X864" s="333"/>
    </row>
    <row r="865" spans="1:24">
      <c r="A865" s="297"/>
      <c r="B865" s="299"/>
      <c r="C865" s="299"/>
      <c r="D865" s="312"/>
      <c r="K865" s="332"/>
      <c r="O865" s="333"/>
      <c r="W865" s="333"/>
      <c r="X865" s="333"/>
    </row>
    <row r="866" spans="1:24">
      <c r="A866" s="297"/>
      <c r="B866" s="299"/>
      <c r="C866" s="299"/>
      <c r="D866" s="312"/>
      <c r="K866" s="332"/>
      <c r="O866" s="333"/>
      <c r="W866" s="333"/>
      <c r="X866" s="333"/>
    </row>
    <row r="867" spans="1:24">
      <c r="A867" s="297"/>
      <c r="B867" s="299"/>
      <c r="C867" s="299"/>
      <c r="D867" s="312"/>
      <c r="K867" s="332"/>
      <c r="O867" s="333"/>
      <c r="W867" s="333"/>
      <c r="X867" s="333"/>
    </row>
    <row r="868" spans="1:24">
      <c r="A868" s="297"/>
      <c r="B868" s="299"/>
      <c r="C868" s="299"/>
      <c r="D868" s="312"/>
      <c r="K868" s="332"/>
      <c r="O868" s="333"/>
      <c r="W868" s="333"/>
      <c r="X868" s="333"/>
    </row>
    <row r="869" spans="1:24">
      <c r="A869" s="297"/>
      <c r="B869" s="299"/>
      <c r="C869" s="299"/>
      <c r="D869" s="312"/>
      <c r="K869" s="332"/>
      <c r="O869" s="333"/>
      <c r="W869" s="333"/>
      <c r="X869" s="333"/>
    </row>
    <row r="870" spans="1:24">
      <c r="A870" s="297"/>
      <c r="B870" s="299"/>
      <c r="C870" s="299"/>
      <c r="D870" s="312"/>
      <c r="K870" s="332"/>
      <c r="O870" s="333"/>
      <c r="W870" s="333"/>
      <c r="X870" s="333"/>
    </row>
    <row r="871" spans="1:24">
      <c r="A871" s="297"/>
      <c r="B871" s="299"/>
      <c r="C871" s="299"/>
      <c r="D871" s="312"/>
      <c r="K871" s="332"/>
      <c r="O871" s="333"/>
      <c r="W871" s="333"/>
      <c r="X871" s="333"/>
    </row>
    <row r="872" spans="1:24">
      <c r="A872" s="297"/>
      <c r="B872" s="299"/>
      <c r="C872" s="299"/>
      <c r="D872" s="312"/>
      <c r="K872" s="332"/>
      <c r="O872" s="333"/>
      <c r="W872" s="333"/>
      <c r="X872" s="333"/>
    </row>
    <row r="873" spans="1:24">
      <c r="A873" s="297"/>
      <c r="B873" s="299"/>
      <c r="C873" s="299"/>
      <c r="D873" s="312"/>
      <c r="K873" s="332"/>
      <c r="O873" s="333"/>
      <c r="W873" s="333"/>
      <c r="X873" s="333"/>
    </row>
    <row r="874" spans="1:24">
      <c r="A874" s="297"/>
      <c r="B874" s="299"/>
      <c r="C874" s="299"/>
      <c r="D874" s="312"/>
      <c r="K874" s="332"/>
      <c r="O874" s="333"/>
      <c r="W874" s="333"/>
      <c r="X874" s="333"/>
    </row>
    <row r="875" spans="1:24">
      <c r="A875" s="297"/>
      <c r="B875" s="299"/>
      <c r="C875" s="299"/>
      <c r="D875" s="312"/>
      <c r="K875" s="332"/>
      <c r="O875" s="333"/>
      <c r="W875" s="333"/>
      <c r="X875" s="333"/>
    </row>
    <row r="876" spans="1:24">
      <c r="A876" s="297"/>
      <c r="B876" s="299"/>
      <c r="C876" s="299"/>
      <c r="D876" s="312"/>
      <c r="K876" s="332"/>
      <c r="O876" s="333"/>
      <c r="W876" s="333"/>
      <c r="X876" s="333"/>
    </row>
    <row r="877" spans="1:24">
      <c r="A877" s="297"/>
      <c r="B877" s="299"/>
      <c r="C877" s="299"/>
      <c r="D877" s="312"/>
      <c r="K877" s="332"/>
      <c r="O877" s="333"/>
      <c r="W877" s="333"/>
      <c r="X877" s="333"/>
    </row>
    <row r="878" spans="1:24">
      <c r="A878" s="297"/>
      <c r="B878" s="299"/>
      <c r="C878" s="299"/>
      <c r="D878" s="312"/>
      <c r="K878" s="332"/>
      <c r="O878" s="333"/>
      <c r="W878" s="333"/>
      <c r="X878" s="333"/>
    </row>
    <row r="879" spans="1:24">
      <c r="A879" s="297"/>
      <c r="B879" s="299"/>
      <c r="C879" s="299"/>
      <c r="D879" s="312"/>
      <c r="K879" s="332"/>
      <c r="O879" s="333"/>
      <c r="W879" s="333"/>
      <c r="X879" s="333"/>
    </row>
    <row r="880" spans="1:24">
      <c r="A880" s="297"/>
      <c r="B880" s="299"/>
      <c r="C880" s="299"/>
      <c r="D880" s="312"/>
      <c r="K880" s="332"/>
      <c r="O880" s="333"/>
      <c r="W880" s="333"/>
      <c r="X880" s="333"/>
    </row>
    <row r="881" spans="1:24">
      <c r="A881" s="297"/>
      <c r="B881" s="299"/>
      <c r="C881" s="299"/>
      <c r="D881" s="312"/>
      <c r="K881" s="332"/>
      <c r="O881" s="333"/>
      <c r="W881" s="333"/>
      <c r="X881" s="333"/>
    </row>
    <row r="882" spans="1:24">
      <c r="A882" s="297"/>
      <c r="B882" s="299"/>
      <c r="C882" s="299"/>
      <c r="D882" s="312"/>
      <c r="K882" s="332"/>
      <c r="O882" s="333"/>
      <c r="W882" s="333"/>
      <c r="X882" s="333"/>
    </row>
    <row r="883" spans="1:24">
      <c r="A883" s="297"/>
      <c r="B883" s="299"/>
      <c r="C883" s="299"/>
      <c r="D883" s="312"/>
      <c r="K883" s="332"/>
      <c r="O883" s="333"/>
      <c r="W883" s="333"/>
      <c r="X883" s="333"/>
    </row>
    <row r="884" spans="1:24">
      <c r="A884" s="297"/>
      <c r="B884" s="299"/>
      <c r="C884" s="299"/>
      <c r="D884" s="312"/>
      <c r="K884" s="332"/>
      <c r="O884" s="333"/>
      <c r="W884" s="333"/>
      <c r="X884" s="333"/>
    </row>
    <row r="885" spans="1:24">
      <c r="A885" s="297"/>
      <c r="B885" s="299"/>
      <c r="C885" s="299"/>
      <c r="D885" s="312"/>
      <c r="K885" s="332"/>
      <c r="O885" s="333"/>
      <c r="W885" s="333"/>
      <c r="X885" s="333"/>
    </row>
    <row r="886" spans="1:24">
      <c r="A886" s="297"/>
      <c r="B886" s="299"/>
      <c r="C886" s="299"/>
      <c r="D886" s="312"/>
      <c r="K886" s="332"/>
      <c r="O886" s="333"/>
      <c r="W886" s="333"/>
      <c r="X886" s="333"/>
    </row>
    <row r="887" spans="1:24">
      <c r="A887" s="297"/>
      <c r="B887" s="299"/>
      <c r="C887" s="299"/>
      <c r="D887" s="312"/>
      <c r="K887" s="332"/>
      <c r="O887" s="333"/>
      <c r="W887" s="333"/>
      <c r="X887" s="333"/>
    </row>
    <row r="888" spans="1:24">
      <c r="A888" s="297"/>
      <c r="B888" s="299"/>
      <c r="C888" s="299"/>
      <c r="D888" s="312"/>
      <c r="K888" s="332"/>
      <c r="O888" s="333"/>
      <c r="W888" s="333"/>
      <c r="X888" s="333"/>
    </row>
    <row r="889" spans="1:24">
      <c r="A889" s="297"/>
      <c r="B889" s="299"/>
      <c r="C889" s="299"/>
      <c r="D889" s="312"/>
      <c r="K889" s="332"/>
      <c r="O889" s="333"/>
      <c r="W889" s="333"/>
      <c r="X889" s="333"/>
    </row>
    <row r="890" spans="1:24">
      <c r="A890" s="297"/>
      <c r="B890" s="299"/>
      <c r="C890" s="299"/>
      <c r="D890" s="312"/>
      <c r="K890" s="332"/>
      <c r="O890" s="333"/>
      <c r="W890" s="333"/>
      <c r="X890" s="333"/>
    </row>
    <row r="891" spans="1:24">
      <c r="A891" s="297"/>
      <c r="B891" s="299"/>
      <c r="C891" s="299"/>
      <c r="D891" s="312"/>
      <c r="K891" s="332"/>
      <c r="O891" s="333"/>
      <c r="W891" s="333"/>
      <c r="X891" s="333"/>
    </row>
    <row r="892" spans="1:24">
      <c r="A892" s="297"/>
      <c r="B892" s="299"/>
      <c r="C892" s="299"/>
      <c r="D892" s="312"/>
      <c r="K892" s="332"/>
      <c r="O892" s="333"/>
      <c r="W892" s="333"/>
      <c r="X892" s="333"/>
    </row>
    <row r="893" spans="1:24">
      <c r="A893" s="297"/>
      <c r="B893" s="299"/>
      <c r="C893" s="299"/>
      <c r="D893" s="312"/>
      <c r="K893" s="332"/>
      <c r="O893" s="333"/>
      <c r="W893" s="333"/>
      <c r="X893" s="333"/>
    </row>
    <row r="894" spans="1:24">
      <c r="A894" s="297"/>
      <c r="B894" s="299"/>
      <c r="C894" s="299"/>
      <c r="D894" s="312"/>
      <c r="K894" s="332"/>
      <c r="O894" s="333"/>
      <c r="W894" s="333"/>
      <c r="X894" s="333"/>
    </row>
    <row r="895" spans="1:24">
      <c r="A895" s="297"/>
      <c r="B895" s="299"/>
      <c r="C895" s="299"/>
      <c r="D895" s="312"/>
      <c r="K895" s="332"/>
      <c r="O895" s="333"/>
      <c r="W895" s="333"/>
      <c r="X895" s="333"/>
    </row>
    <row r="896" spans="1:24">
      <c r="A896" s="297"/>
      <c r="B896" s="299"/>
      <c r="C896" s="299"/>
      <c r="D896" s="312"/>
      <c r="K896" s="332"/>
      <c r="O896" s="333"/>
      <c r="W896" s="333"/>
      <c r="X896" s="333"/>
    </row>
    <row r="897" spans="1:24">
      <c r="A897" s="297"/>
      <c r="B897" s="299"/>
      <c r="C897" s="299"/>
      <c r="D897" s="312"/>
      <c r="K897" s="332"/>
      <c r="O897" s="333"/>
      <c r="W897" s="333"/>
      <c r="X897" s="333"/>
    </row>
    <row r="898" spans="1:24">
      <c r="A898" s="297"/>
      <c r="B898" s="299"/>
      <c r="C898" s="299"/>
      <c r="D898" s="312"/>
      <c r="K898" s="332"/>
      <c r="O898" s="333"/>
      <c r="W898" s="333"/>
      <c r="X898" s="333"/>
    </row>
    <row r="899" spans="1:24">
      <c r="A899" s="297"/>
      <c r="B899" s="299"/>
      <c r="C899" s="299"/>
      <c r="D899" s="312"/>
      <c r="K899" s="332"/>
      <c r="O899" s="333"/>
      <c r="W899" s="333"/>
      <c r="X899" s="333"/>
    </row>
    <row r="900" spans="1:24">
      <c r="A900" s="297"/>
      <c r="B900" s="299"/>
      <c r="C900" s="299"/>
      <c r="D900" s="312"/>
      <c r="K900" s="332"/>
      <c r="O900" s="333"/>
      <c r="W900" s="333"/>
      <c r="X900" s="333"/>
    </row>
    <row r="901" spans="1:24">
      <c r="A901" s="297"/>
      <c r="B901" s="299"/>
      <c r="C901" s="299"/>
      <c r="D901" s="312"/>
      <c r="K901" s="332"/>
      <c r="O901" s="333"/>
      <c r="W901" s="333"/>
      <c r="X901" s="333"/>
    </row>
    <row r="902" spans="1:24">
      <c r="A902" s="297"/>
      <c r="B902" s="299"/>
      <c r="C902" s="299"/>
      <c r="D902" s="312"/>
      <c r="K902" s="332"/>
      <c r="O902" s="333"/>
      <c r="W902" s="333"/>
      <c r="X902" s="333"/>
    </row>
    <row r="903" spans="1:24">
      <c r="A903" s="297"/>
      <c r="B903" s="299"/>
      <c r="C903" s="299"/>
      <c r="D903" s="312"/>
      <c r="K903" s="332"/>
      <c r="O903" s="333"/>
      <c r="W903" s="333"/>
      <c r="X903" s="333"/>
    </row>
    <row r="904" spans="1:24">
      <c r="A904" s="297"/>
      <c r="B904" s="299"/>
      <c r="C904" s="299"/>
      <c r="D904" s="312"/>
      <c r="K904" s="332"/>
      <c r="O904" s="333"/>
      <c r="W904" s="333"/>
      <c r="X904" s="333"/>
    </row>
    <row r="905" spans="1:24">
      <c r="A905" s="297"/>
      <c r="B905" s="299"/>
      <c r="C905" s="299"/>
      <c r="D905" s="312"/>
      <c r="K905" s="332"/>
      <c r="O905" s="333"/>
      <c r="W905" s="333"/>
      <c r="X905" s="333"/>
    </row>
    <row r="906" spans="1:24">
      <c r="A906" s="297"/>
      <c r="B906" s="299"/>
      <c r="C906" s="299"/>
      <c r="D906" s="312"/>
      <c r="K906" s="332"/>
      <c r="O906" s="333"/>
      <c r="W906" s="333"/>
      <c r="X906" s="333"/>
    </row>
    <row r="907" spans="1:24">
      <c r="A907" s="297"/>
      <c r="B907" s="299"/>
      <c r="C907" s="299"/>
      <c r="D907" s="312"/>
      <c r="K907" s="332"/>
      <c r="O907" s="333"/>
      <c r="W907" s="333"/>
      <c r="X907" s="333"/>
    </row>
    <row r="908" spans="1:24">
      <c r="A908" s="297"/>
      <c r="B908" s="299"/>
      <c r="C908" s="299"/>
      <c r="D908" s="312"/>
      <c r="K908" s="332"/>
      <c r="O908" s="333"/>
      <c r="W908" s="333"/>
      <c r="X908" s="333"/>
    </row>
    <row r="909" spans="1:24">
      <c r="A909" s="297"/>
      <c r="B909" s="299"/>
      <c r="C909" s="299"/>
      <c r="D909" s="312"/>
      <c r="K909" s="332"/>
      <c r="O909" s="333"/>
      <c r="W909" s="333"/>
      <c r="X909" s="333"/>
    </row>
    <row r="910" spans="1:24">
      <c r="A910" s="297"/>
      <c r="B910" s="299"/>
      <c r="C910" s="299"/>
      <c r="D910" s="312"/>
      <c r="K910" s="332"/>
      <c r="O910" s="333"/>
      <c r="W910" s="333"/>
      <c r="X910" s="333"/>
    </row>
    <row r="911" spans="1:24">
      <c r="A911" s="297"/>
      <c r="B911" s="299"/>
      <c r="C911" s="299"/>
      <c r="D911" s="312"/>
      <c r="K911" s="332"/>
      <c r="O911" s="333"/>
      <c r="W911" s="333"/>
      <c r="X911" s="333"/>
    </row>
    <row r="912" spans="1:24">
      <c r="A912" s="297"/>
      <c r="B912" s="299"/>
      <c r="C912" s="299"/>
      <c r="D912" s="312"/>
      <c r="K912" s="332"/>
      <c r="O912" s="333"/>
      <c r="W912" s="333"/>
      <c r="X912" s="333"/>
    </row>
    <row r="913" spans="1:24">
      <c r="A913" s="297"/>
      <c r="B913" s="299"/>
      <c r="C913" s="299"/>
      <c r="D913" s="312"/>
      <c r="K913" s="332"/>
      <c r="O913" s="333"/>
      <c r="W913" s="333"/>
      <c r="X913" s="333"/>
    </row>
    <row r="914" spans="1:24">
      <c r="A914" s="297"/>
      <c r="B914" s="299"/>
      <c r="C914" s="299"/>
      <c r="D914" s="312"/>
      <c r="K914" s="332"/>
      <c r="O914" s="333"/>
      <c r="W914" s="333"/>
      <c r="X914" s="333"/>
    </row>
    <row r="915" spans="1:24">
      <c r="A915" s="297"/>
      <c r="B915" s="299"/>
      <c r="C915" s="299"/>
      <c r="D915" s="312"/>
      <c r="K915" s="332"/>
      <c r="O915" s="333"/>
      <c r="W915" s="333"/>
      <c r="X915" s="333"/>
    </row>
    <row r="916" spans="1:24">
      <c r="A916" s="297"/>
      <c r="B916" s="299"/>
      <c r="C916" s="299"/>
      <c r="D916" s="312"/>
      <c r="K916" s="332"/>
      <c r="O916" s="333"/>
      <c r="W916" s="333"/>
      <c r="X916" s="333"/>
    </row>
    <row r="917" spans="1:24">
      <c r="A917" s="297"/>
      <c r="B917" s="299"/>
      <c r="C917" s="299"/>
      <c r="D917" s="312"/>
      <c r="K917" s="332"/>
      <c r="O917" s="333"/>
      <c r="W917" s="333"/>
      <c r="X917" s="333"/>
    </row>
    <row r="918" spans="1:24">
      <c r="A918" s="297"/>
      <c r="B918" s="299"/>
      <c r="C918" s="299"/>
      <c r="D918" s="312"/>
      <c r="K918" s="332"/>
      <c r="O918" s="333"/>
      <c r="W918" s="333"/>
      <c r="X918" s="333"/>
    </row>
    <row r="919" spans="1:24">
      <c r="A919" s="297"/>
      <c r="B919" s="299"/>
      <c r="C919" s="299"/>
      <c r="D919" s="312"/>
      <c r="K919" s="332"/>
      <c r="O919" s="333"/>
      <c r="W919" s="333"/>
      <c r="X919" s="333"/>
    </row>
    <row r="920" spans="1:24">
      <c r="A920" s="297"/>
      <c r="B920" s="299"/>
      <c r="C920" s="299"/>
      <c r="D920" s="312"/>
      <c r="K920" s="332"/>
      <c r="O920" s="333"/>
      <c r="W920" s="333"/>
      <c r="X920" s="333"/>
    </row>
    <row r="921" spans="1:24">
      <c r="A921" s="297"/>
      <c r="B921" s="299"/>
      <c r="C921" s="299"/>
      <c r="D921" s="312"/>
      <c r="K921" s="332"/>
      <c r="O921" s="333"/>
      <c r="W921" s="333"/>
      <c r="X921" s="333"/>
    </row>
    <row r="922" spans="1:24">
      <c r="A922" s="297"/>
      <c r="B922" s="299"/>
      <c r="C922" s="299"/>
      <c r="D922" s="312"/>
      <c r="K922" s="332"/>
      <c r="O922" s="333"/>
      <c r="W922" s="333"/>
      <c r="X922" s="333"/>
    </row>
    <row r="923" spans="1:24">
      <c r="A923" s="297"/>
      <c r="B923" s="299"/>
      <c r="C923" s="299"/>
      <c r="D923" s="312"/>
      <c r="K923" s="332"/>
      <c r="O923" s="333"/>
      <c r="W923" s="333"/>
      <c r="X923" s="333"/>
    </row>
    <row r="924" spans="1:24">
      <c r="A924" s="297"/>
      <c r="B924" s="299"/>
      <c r="C924" s="299"/>
      <c r="D924" s="312"/>
      <c r="K924" s="332"/>
      <c r="O924" s="333"/>
      <c r="W924" s="333"/>
      <c r="X924" s="333"/>
    </row>
    <row r="925" spans="1:24">
      <c r="A925" s="297"/>
      <c r="B925" s="299"/>
      <c r="C925" s="299"/>
      <c r="D925" s="312"/>
      <c r="K925" s="332"/>
      <c r="O925" s="333"/>
      <c r="W925" s="333"/>
      <c r="X925" s="333"/>
    </row>
    <row r="926" spans="1:24">
      <c r="A926" s="297"/>
      <c r="B926" s="299"/>
      <c r="C926" s="299"/>
      <c r="D926" s="312"/>
      <c r="K926" s="332"/>
      <c r="O926" s="333"/>
      <c r="W926" s="333"/>
      <c r="X926" s="333"/>
    </row>
    <row r="927" spans="1:24">
      <c r="A927" s="297"/>
      <c r="B927" s="299"/>
      <c r="C927" s="299"/>
      <c r="D927" s="312"/>
      <c r="K927" s="332"/>
      <c r="O927" s="333"/>
      <c r="W927" s="333"/>
      <c r="X927" s="333"/>
    </row>
    <row r="928" spans="1:24">
      <c r="A928" s="297"/>
      <c r="B928" s="299"/>
      <c r="C928" s="299"/>
      <c r="D928" s="312"/>
      <c r="K928" s="332"/>
      <c r="O928" s="333"/>
      <c r="W928" s="333"/>
      <c r="X928" s="333"/>
    </row>
    <row r="929" spans="1:24">
      <c r="A929" s="297"/>
      <c r="B929" s="299"/>
      <c r="C929" s="299"/>
      <c r="D929" s="312"/>
      <c r="K929" s="332"/>
      <c r="O929" s="333"/>
      <c r="W929" s="333"/>
      <c r="X929" s="333"/>
    </row>
    <row r="930" spans="1:24">
      <c r="A930" s="297"/>
      <c r="B930" s="299"/>
      <c r="C930" s="299"/>
      <c r="D930" s="312"/>
      <c r="K930" s="332"/>
      <c r="O930" s="333"/>
      <c r="W930" s="333"/>
      <c r="X930" s="333"/>
    </row>
    <row r="931" spans="1:24">
      <c r="A931" s="297"/>
      <c r="B931" s="299"/>
      <c r="C931" s="299"/>
      <c r="D931" s="312"/>
      <c r="K931" s="332"/>
      <c r="O931" s="333"/>
      <c r="W931" s="333"/>
      <c r="X931" s="333"/>
    </row>
    <row r="932" spans="1:24">
      <c r="A932" s="297"/>
      <c r="B932" s="299"/>
      <c r="C932" s="299"/>
      <c r="D932" s="312"/>
      <c r="K932" s="332"/>
      <c r="O932" s="333"/>
      <c r="W932" s="333"/>
      <c r="X932" s="333"/>
    </row>
    <row r="933" spans="1:24">
      <c r="A933" s="297"/>
      <c r="B933" s="299"/>
      <c r="C933" s="299"/>
      <c r="D933" s="312"/>
      <c r="K933" s="332"/>
      <c r="O933" s="333"/>
      <c r="W933" s="333"/>
      <c r="X933" s="333"/>
    </row>
    <row r="934" spans="1:24">
      <c r="A934" s="297"/>
      <c r="B934" s="299"/>
      <c r="C934" s="299"/>
      <c r="D934" s="312"/>
      <c r="K934" s="332"/>
      <c r="O934" s="333"/>
      <c r="W934" s="333"/>
      <c r="X934" s="333"/>
    </row>
    <row r="935" spans="1:24">
      <c r="A935" s="297"/>
      <c r="B935" s="299"/>
      <c r="C935" s="299"/>
      <c r="D935" s="312"/>
      <c r="K935" s="332"/>
      <c r="O935" s="333"/>
      <c r="W935" s="333"/>
      <c r="X935" s="333"/>
    </row>
    <row r="936" spans="1:24">
      <c r="A936" s="297"/>
      <c r="B936" s="299"/>
      <c r="C936" s="299"/>
      <c r="D936" s="312"/>
      <c r="K936" s="332"/>
      <c r="O936" s="333"/>
      <c r="W936" s="333"/>
      <c r="X936" s="333"/>
    </row>
    <row r="937" spans="1:24">
      <c r="A937" s="297"/>
      <c r="B937" s="299"/>
      <c r="C937" s="299"/>
      <c r="D937" s="312"/>
      <c r="K937" s="332"/>
      <c r="O937" s="333"/>
      <c r="W937" s="333"/>
      <c r="X937" s="333"/>
    </row>
    <row r="938" spans="1:24">
      <c r="A938" s="297"/>
      <c r="B938" s="299"/>
      <c r="C938" s="299"/>
      <c r="D938" s="312"/>
      <c r="K938" s="332"/>
      <c r="O938" s="333"/>
      <c r="W938" s="333"/>
      <c r="X938" s="333"/>
    </row>
    <row r="939" spans="1:24">
      <c r="A939" s="297"/>
      <c r="B939" s="299"/>
      <c r="C939" s="299"/>
      <c r="D939" s="312"/>
      <c r="K939" s="332"/>
      <c r="O939" s="333"/>
      <c r="W939" s="333"/>
      <c r="X939" s="333"/>
    </row>
    <row r="940" spans="1:24">
      <c r="A940" s="297"/>
      <c r="B940" s="299"/>
      <c r="C940" s="299"/>
      <c r="D940" s="312"/>
      <c r="K940" s="332"/>
      <c r="O940" s="333"/>
      <c r="W940" s="333"/>
      <c r="X940" s="333"/>
    </row>
    <row r="941" spans="1:24">
      <c r="A941" s="297"/>
      <c r="B941" s="299"/>
      <c r="C941" s="299"/>
      <c r="D941" s="312"/>
      <c r="K941" s="332"/>
      <c r="O941" s="333"/>
      <c r="W941" s="333"/>
      <c r="X941" s="333"/>
    </row>
    <row r="942" spans="1:24">
      <c r="A942" s="297"/>
      <c r="B942" s="299"/>
      <c r="C942" s="299"/>
      <c r="D942" s="312"/>
      <c r="K942" s="332"/>
      <c r="O942" s="333"/>
      <c r="W942" s="333"/>
      <c r="X942" s="333"/>
    </row>
    <row r="943" spans="1:24">
      <c r="A943" s="297"/>
      <c r="B943" s="299"/>
      <c r="C943" s="299"/>
      <c r="D943" s="312"/>
      <c r="K943" s="332"/>
      <c r="O943" s="333"/>
      <c r="W943" s="333"/>
      <c r="X943" s="333"/>
    </row>
    <row r="944" spans="1:24">
      <c r="A944" s="297"/>
      <c r="B944" s="299"/>
      <c r="C944" s="299"/>
      <c r="D944" s="312"/>
      <c r="K944" s="332"/>
      <c r="O944" s="333"/>
      <c r="W944" s="333"/>
      <c r="X944" s="333"/>
    </row>
    <row r="945" spans="1:24">
      <c r="A945" s="297"/>
      <c r="B945" s="299"/>
      <c r="C945" s="299"/>
      <c r="D945" s="312"/>
      <c r="K945" s="332"/>
      <c r="O945" s="333"/>
      <c r="W945" s="333"/>
      <c r="X945" s="333"/>
    </row>
    <row r="946" spans="1:24">
      <c r="A946" s="297"/>
      <c r="B946" s="299"/>
      <c r="C946" s="299"/>
      <c r="D946" s="312"/>
      <c r="K946" s="332"/>
      <c r="O946" s="333"/>
      <c r="W946" s="333"/>
      <c r="X946" s="333"/>
    </row>
    <row r="947" spans="1:24">
      <c r="A947" s="297"/>
      <c r="B947" s="299"/>
      <c r="C947" s="299"/>
      <c r="D947" s="312"/>
      <c r="K947" s="332"/>
      <c r="O947" s="333"/>
      <c r="W947" s="333"/>
      <c r="X947" s="333"/>
    </row>
    <row r="948" spans="1:24">
      <c r="A948" s="297"/>
      <c r="B948" s="299"/>
      <c r="C948" s="299"/>
      <c r="D948" s="312"/>
      <c r="K948" s="332"/>
      <c r="O948" s="333"/>
      <c r="W948" s="333"/>
      <c r="X948" s="333"/>
    </row>
    <row r="949" spans="1:24">
      <c r="A949" s="297"/>
      <c r="B949" s="299"/>
      <c r="C949" s="299"/>
      <c r="D949" s="312"/>
      <c r="K949" s="332"/>
      <c r="O949" s="333"/>
      <c r="W949" s="333"/>
      <c r="X949" s="333"/>
    </row>
    <row r="950" spans="1:24">
      <c r="A950" s="297"/>
      <c r="B950" s="299"/>
      <c r="C950" s="299"/>
      <c r="D950" s="312"/>
      <c r="K950" s="332"/>
      <c r="O950" s="333"/>
      <c r="W950" s="333"/>
      <c r="X950" s="333"/>
    </row>
    <row r="951" spans="1:24">
      <c r="A951" s="297"/>
      <c r="B951" s="299"/>
      <c r="C951" s="299"/>
      <c r="D951" s="312"/>
      <c r="K951" s="332"/>
      <c r="O951" s="333"/>
      <c r="W951" s="333"/>
      <c r="X951" s="333"/>
    </row>
    <row r="952" spans="1:24">
      <c r="A952" s="297"/>
      <c r="B952" s="299"/>
      <c r="C952" s="299"/>
      <c r="D952" s="312"/>
      <c r="K952" s="332"/>
      <c r="O952" s="333"/>
      <c r="W952" s="333"/>
      <c r="X952" s="333"/>
    </row>
    <row r="953" spans="1:24">
      <c r="A953" s="297"/>
      <c r="B953" s="299"/>
      <c r="C953" s="299"/>
      <c r="D953" s="312"/>
      <c r="K953" s="332"/>
      <c r="O953" s="333"/>
      <c r="W953" s="333"/>
      <c r="X953" s="333"/>
    </row>
    <row r="954" spans="1:24">
      <c r="A954" s="297"/>
      <c r="B954" s="299"/>
      <c r="C954" s="299"/>
      <c r="D954" s="312"/>
      <c r="K954" s="332"/>
      <c r="O954" s="333"/>
      <c r="W954" s="333"/>
      <c r="X954" s="333"/>
    </row>
    <row r="955" spans="1:24">
      <c r="A955" s="297"/>
      <c r="B955" s="299"/>
      <c r="C955" s="299"/>
      <c r="D955" s="312"/>
      <c r="K955" s="332"/>
      <c r="O955" s="333"/>
      <c r="W955" s="333"/>
      <c r="X955" s="333"/>
    </row>
    <row r="956" spans="1:24">
      <c r="A956" s="297"/>
      <c r="B956" s="299"/>
      <c r="C956" s="299"/>
      <c r="D956" s="312"/>
      <c r="K956" s="332"/>
      <c r="O956" s="333"/>
      <c r="W956" s="333"/>
      <c r="X956" s="333"/>
    </row>
    <row r="957" spans="1:24">
      <c r="A957" s="297"/>
      <c r="B957" s="299"/>
      <c r="C957" s="299"/>
      <c r="D957" s="312"/>
      <c r="K957" s="332"/>
      <c r="O957" s="333"/>
      <c r="W957" s="333"/>
      <c r="X957" s="333"/>
    </row>
    <row r="958" spans="1:24">
      <c r="A958" s="297"/>
      <c r="B958" s="299"/>
      <c r="C958" s="299"/>
      <c r="D958" s="312"/>
      <c r="K958" s="332"/>
      <c r="O958" s="333"/>
      <c r="W958" s="333"/>
      <c r="X958" s="333"/>
    </row>
    <row r="959" spans="1:24">
      <c r="A959" s="297"/>
      <c r="B959" s="299"/>
      <c r="C959" s="299"/>
      <c r="D959" s="312"/>
      <c r="K959" s="332"/>
      <c r="O959" s="333"/>
      <c r="W959" s="333"/>
      <c r="X959" s="333"/>
    </row>
    <row r="960" spans="1:24">
      <c r="A960" s="297"/>
      <c r="B960" s="299"/>
      <c r="C960" s="299"/>
      <c r="D960" s="312"/>
      <c r="K960" s="332"/>
      <c r="O960" s="333"/>
      <c r="W960" s="333"/>
      <c r="X960" s="333"/>
    </row>
    <row r="961" spans="1:24">
      <c r="A961" s="297"/>
      <c r="B961" s="299"/>
      <c r="C961" s="299"/>
      <c r="D961" s="312"/>
      <c r="K961" s="332"/>
      <c r="O961" s="333"/>
      <c r="W961" s="333"/>
      <c r="X961" s="333"/>
    </row>
    <row r="962" spans="1:24">
      <c r="A962" s="297"/>
      <c r="B962" s="299"/>
      <c r="C962" s="299"/>
      <c r="D962" s="312"/>
      <c r="K962" s="332"/>
      <c r="O962" s="333"/>
      <c r="W962" s="333"/>
      <c r="X962" s="333"/>
    </row>
    <row r="963" spans="1:24">
      <c r="A963" s="297"/>
      <c r="B963" s="299"/>
      <c r="C963" s="299"/>
      <c r="D963" s="312"/>
      <c r="K963" s="332"/>
      <c r="O963" s="333"/>
      <c r="W963" s="333"/>
      <c r="X963" s="333"/>
    </row>
    <row r="964" spans="1:24">
      <c r="A964" s="297"/>
      <c r="B964" s="299"/>
      <c r="C964" s="299"/>
      <c r="D964" s="312"/>
      <c r="K964" s="332"/>
      <c r="O964" s="333"/>
      <c r="W964" s="333"/>
      <c r="X964" s="333"/>
    </row>
    <row r="965" spans="1:24">
      <c r="A965" s="297"/>
      <c r="B965" s="299"/>
      <c r="C965" s="299"/>
      <c r="D965" s="312"/>
      <c r="K965" s="332"/>
      <c r="O965" s="333"/>
      <c r="W965" s="333"/>
      <c r="X965" s="333"/>
    </row>
    <row r="966" spans="1:24">
      <c r="A966" s="297"/>
      <c r="B966" s="299"/>
      <c r="C966" s="299"/>
      <c r="D966" s="312"/>
      <c r="K966" s="332"/>
      <c r="O966" s="333"/>
      <c r="W966" s="333"/>
      <c r="X966" s="333"/>
    </row>
    <row r="967" spans="1:24">
      <c r="A967" s="297"/>
      <c r="B967" s="299"/>
      <c r="C967" s="299"/>
      <c r="D967" s="312"/>
      <c r="K967" s="332"/>
      <c r="O967" s="333"/>
      <c r="W967" s="333"/>
      <c r="X967" s="333"/>
    </row>
    <row r="968" spans="1:24">
      <c r="A968" s="297"/>
      <c r="B968" s="299"/>
      <c r="C968" s="299"/>
      <c r="D968" s="312"/>
      <c r="K968" s="332"/>
      <c r="O968" s="333"/>
      <c r="W968" s="333"/>
      <c r="X968" s="333"/>
    </row>
    <row r="969" spans="1:24">
      <c r="A969" s="297"/>
      <c r="B969" s="299"/>
      <c r="C969" s="299"/>
      <c r="D969" s="312"/>
      <c r="K969" s="332"/>
      <c r="O969" s="333"/>
      <c r="W969" s="333"/>
      <c r="X969" s="333"/>
    </row>
    <row r="970" spans="1:24">
      <c r="A970" s="297"/>
      <c r="B970" s="299"/>
      <c r="C970" s="299"/>
      <c r="D970" s="312"/>
      <c r="K970" s="332"/>
      <c r="O970" s="333"/>
      <c r="W970" s="333"/>
      <c r="X970" s="333"/>
    </row>
    <row r="971" spans="1:24">
      <c r="A971" s="297"/>
      <c r="B971" s="299"/>
      <c r="C971" s="299"/>
      <c r="D971" s="312"/>
      <c r="K971" s="332"/>
      <c r="O971" s="333"/>
      <c r="W971" s="333"/>
      <c r="X971" s="333"/>
    </row>
    <row r="972" spans="1:24">
      <c r="A972" s="297"/>
      <c r="B972" s="299"/>
      <c r="C972" s="299"/>
      <c r="D972" s="312"/>
      <c r="K972" s="332"/>
      <c r="O972" s="333"/>
      <c r="W972" s="333"/>
      <c r="X972" s="333"/>
    </row>
    <row r="973" spans="1:24">
      <c r="A973" s="297"/>
      <c r="B973" s="299"/>
      <c r="C973" s="299"/>
      <c r="D973" s="312"/>
      <c r="K973" s="332"/>
      <c r="O973" s="333"/>
      <c r="W973" s="333"/>
      <c r="X973" s="333"/>
    </row>
    <row r="974" spans="1:24">
      <c r="A974" s="297"/>
      <c r="B974" s="299"/>
      <c r="C974" s="299"/>
      <c r="D974" s="312"/>
      <c r="K974" s="332"/>
      <c r="O974" s="333"/>
      <c r="W974" s="333"/>
      <c r="X974" s="333"/>
    </row>
    <row r="975" spans="1:24">
      <c r="A975" s="297"/>
      <c r="B975" s="299"/>
      <c r="C975" s="299"/>
      <c r="D975" s="312"/>
      <c r="K975" s="332"/>
      <c r="O975" s="333"/>
      <c r="W975" s="333"/>
      <c r="X975" s="333"/>
    </row>
    <row r="976" spans="1:24">
      <c r="A976" s="297"/>
      <c r="B976" s="299"/>
      <c r="C976" s="299"/>
      <c r="D976" s="312"/>
      <c r="K976" s="332"/>
      <c r="O976" s="333"/>
      <c r="W976" s="333"/>
      <c r="X976" s="333"/>
    </row>
    <row r="977" spans="1:24">
      <c r="A977" s="297"/>
      <c r="B977" s="299"/>
      <c r="C977" s="299"/>
      <c r="D977" s="312"/>
      <c r="K977" s="332"/>
      <c r="O977" s="333"/>
      <c r="W977" s="333"/>
      <c r="X977" s="333"/>
    </row>
    <row r="978" spans="1:24">
      <c r="A978" s="297"/>
      <c r="B978" s="299"/>
      <c r="C978" s="299"/>
      <c r="D978" s="312"/>
      <c r="K978" s="332"/>
      <c r="O978" s="333"/>
      <c r="W978" s="333"/>
      <c r="X978" s="333"/>
    </row>
    <row r="979" spans="1:24">
      <c r="A979" s="297"/>
      <c r="B979" s="299"/>
      <c r="C979" s="299"/>
      <c r="D979" s="312"/>
      <c r="K979" s="332"/>
      <c r="O979" s="333"/>
      <c r="W979" s="333"/>
      <c r="X979" s="333"/>
    </row>
    <row r="980" spans="1:24">
      <c r="A980" s="297"/>
      <c r="B980" s="299"/>
      <c r="C980" s="299"/>
      <c r="D980" s="312"/>
      <c r="K980" s="332"/>
      <c r="O980" s="333"/>
      <c r="W980" s="333"/>
      <c r="X980" s="333"/>
    </row>
    <row r="981" spans="1:24">
      <c r="A981" s="297"/>
      <c r="B981" s="299"/>
      <c r="C981" s="299"/>
      <c r="D981" s="312"/>
      <c r="K981" s="332"/>
      <c r="O981" s="333"/>
      <c r="W981" s="333"/>
      <c r="X981" s="333"/>
    </row>
    <row r="982" spans="1:24">
      <c r="A982" s="297"/>
      <c r="B982" s="299"/>
      <c r="C982" s="299"/>
      <c r="D982" s="312"/>
      <c r="K982" s="332"/>
      <c r="O982" s="333"/>
      <c r="W982" s="333"/>
      <c r="X982" s="333"/>
    </row>
    <row r="983" spans="1:24">
      <c r="A983" s="297"/>
      <c r="B983" s="299"/>
      <c r="C983" s="299"/>
      <c r="D983" s="312"/>
      <c r="K983" s="332"/>
      <c r="O983" s="333"/>
      <c r="W983" s="333"/>
      <c r="X983" s="333"/>
    </row>
    <row r="984" spans="1:24">
      <c r="A984" s="297"/>
      <c r="B984" s="299"/>
      <c r="C984" s="299"/>
      <c r="D984" s="312"/>
      <c r="K984" s="332"/>
      <c r="O984" s="333"/>
      <c r="W984" s="333"/>
      <c r="X984" s="333"/>
    </row>
    <row r="985" spans="1:24">
      <c r="A985" s="297"/>
      <c r="B985" s="299"/>
      <c r="C985" s="299"/>
      <c r="D985" s="312"/>
      <c r="K985" s="332"/>
      <c r="O985" s="333"/>
      <c r="W985" s="333"/>
      <c r="X985" s="333"/>
    </row>
    <row r="986" spans="1:24">
      <c r="A986" s="297"/>
      <c r="B986" s="299"/>
      <c r="C986" s="299"/>
      <c r="D986" s="312"/>
      <c r="K986" s="332"/>
      <c r="O986" s="333"/>
      <c r="W986" s="333"/>
      <c r="X986" s="333"/>
    </row>
    <row r="987" spans="1:24">
      <c r="A987" s="297"/>
      <c r="B987" s="299"/>
      <c r="C987" s="299"/>
      <c r="D987" s="312"/>
      <c r="K987" s="332"/>
      <c r="O987" s="333"/>
      <c r="W987" s="333"/>
      <c r="X987" s="333"/>
    </row>
    <row r="988" spans="1:24">
      <c r="A988" s="297"/>
      <c r="B988" s="299"/>
      <c r="C988" s="299"/>
      <c r="D988" s="312"/>
      <c r="K988" s="332"/>
      <c r="O988" s="333"/>
      <c r="W988" s="333"/>
      <c r="X988" s="333"/>
    </row>
    <row r="989" spans="1:24">
      <c r="A989" s="297"/>
      <c r="B989" s="299"/>
      <c r="C989" s="299"/>
      <c r="D989" s="312"/>
      <c r="K989" s="332"/>
      <c r="O989" s="333"/>
      <c r="W989" s="333"/>
      <c r="X989" s="333"/>
    </row>
    <row r="990" spans="1:24">
      <c r="A990" s="297"/>
      <c r="B990" s="299"/>
      <c r="C990" s="299"/>
      <c r="D990" s="312"/>
      <c r="K990" s="332"/>
      <c r="O990" s="333"/>
      <c r="W990" s="333"/>
      <c r="X990" s="333"/>
    </row>
    <row r="991" spans="1:24">
      <c r="A991" s="297"/>
      <c r="B991" s="299"/>
      <c r="C991" s="299"/>
      <c r="D991" s="312"/>
      <c r="K991" s="332"/>
      <c r="O991" s="333"/>
      <c r="W991" s="333"/>
      <c r="X991" s="333"/>
    </row>
    <row r="992" spans="1:24">
      <c r="A992" s="297"/>
      <c r="B992" s="299"/>
      <c r="C992" s="299"/>
      <c r="D992" s="312"/>
      <c r="K992" s="332"/>
      <c r="O992" s="333"/>
      <c r="W992" s="333"/>
      <c r="X992" s="333"/>
    </row>
    <row r="993" spans="1:24">
      <c r="A993" s="297"/>
      <c r="B993" s="299"/>
      <c r="C993" s="299"/>
      <c r="D993" s="312"/>
      <c r="K993" s="332"/>
      <c r="O993" s="333"/>
      <c r="W993" s="333"/>
      <c r="X993" s="333"/>
    </row>
    <row r="994" spans="1:24">
      <c r="A994" s="297"/>
      <c r="B994" s="299"/>
      <c r="C994" s="299"/>
      <c r="D994" s="312"/>
      <c r="K994" s="332"/>
      <c r="O994" s="333"/>
      <c r="W994" s="333"/>
      <c r="X994" s="333"/>
    </row>
    <row r="995" spans="1:24">
      <c r="A995" s="297"/>
      <c r="B995" s="299"/>
      <c r="C995" s="299"/>
      <c r="D995" s="312"/>
      <c r="K995" s="332"/>
      <c r="O995" s="333"/>
      <c r="W995" s="333"/>
      <c r="X995" s="333"/>
    </row>
    <row r="996" spans="1:24">
      <c r="A996" s="297"/>
      <c r="B996" s="299"/>
      <c r="C996" s="299"/>
      <c r="D996" s="312"/>
      <c r="K996" s="332"/>
      <c r="O996" s="333"/>
      <c r="W996" s="333"/>
      <c r="X996" s="333"/>
    </row>
    <row r="997" spans="1:24">
      <c r="A997" s="297"/>
      <c r="B997" s="299"/>
      <c r="C997" s="299"/>
      <c r="D997" s="312"/>
      <c r="K997" s="332"/>
      <c r="O997" s="333"/>
      <c r="W997" s="333"/>
      <c r="X997" s="333"/>
    </row>
    <row r="998" spans="1:24">
      <c r="A998" s="297"/>
      <c r="B998" s="299"/>
      <c r="C998" s="299"/>
      <c r="D998" s="312"/>
      <c r="K998" s="332"/>
      <c r="O998" s="333"/>
      <c r="W998" s="333"/>
      <c r="X998" s="333"/>
    </row>
    <row r="999" spans="1:24">
      <c r="A999" s="297"/>
      <c r="B999" s="299"/>
      <c r="C999" s="299"/>
      <c r="D999" s="312"/>
      <c r="K999" s="332"/>
      <c r="O999" s="333"/>
      <c r="W999" s="333"/>
      <c r="X999" s="333"/>
    </row>
    <row r="1000" spans="1:24">
      <c r="A1000" s="297"/>
      <c r="B1000" s="299"/>
      <c r="C1000" s="299"/>
      <c r="D1000" s="312"/>
      <c r="K1000" s="332"/>
      <c r="O1000" s="333"/>
      <c r="W1000" s="333"/>
      <c r="X1000" s="333"/>
    </row>
    <row r="1001" spans="1:24">
      <c r="A1001" s="297"/>
      <c r="B1001" s="299"/>
      <c r="C1001" s="299"/>
      <c r="D1001" s="312"/>
      <c r="K1001" s="332"/>
      <c r="O1001" s="333"/>
      <c r="W1001" s="333"/>
      <c r="X1001" s="333"/>
    </row>
    <row r="1002" spans="1:24">
      <c r="A1002" s="297"/>
      <c r="B1002" s="299"/>
      <c r="C1002" s="299"/>
      <c r="D1002" s="312"/>
      <c r="K1002" s="332"/>
      <c r="O1002" s="333"/>
      <c r="W1002" s="333"/>
      <c r="X1002" s="333"/>
    </row>
    <row r="1003" spans="1:24">
      <c r="A1003" s="297"/>
      <c r="B1003" s="299"/>
      <c r="C1003" s="299"/>
      <c r="D1003" s="312"/>
      <c r="K1003" s="332"/>
      <c r="O1003" s="333"/>
      <c r="W1003" s="333"/>
      <c r="X1003" s="333"/>
    </row>
    <row r="1004" spans="1:24">
      <c r="A1004" s="297"/>
      <c r="B1004" s="299"/>
      <c r="C1004" s="299"/>
      <c r="D1004" s="312"/>
      <c r="K1004" s="332"/>
      <c r="O1004" s="333"/>
      <c r="W1004" s="333"/>
      <c r="X1004" s="333"/>
    </row>
    <row r="1005" spans="1:24">
      <c r="A1005" s="297"/>
      <c r="B1005" s="299"/>
      <c r="C1005" s="299"/>
      <c r="D1005" s="312"/>
      <c r="K1005" s="332"/>
      <c r="O1005" s="333"/>
      <c r="W1005" s="333"/>
      <c r="X1005" s="333"/>
    </row>
    <row r="1006" spans="1:24">
      <c r="A1006" s="297"/>
      <c r="B1006" s="299"/>
      <c r="C1006" s="299"/>
      <c r="D1006" s="312"/>
      <c r="K1006" s="332"/>
      <c r="O1006" s="333"/>
      <c r="W1006" s="333"/>
      <c r="X1006" s="333"/>
    </row>
    <row r="1007" spans="1:24">
      <c r="A1007" s="297"/>
      <c r="B1007" s="299"/>
      <c r="C1007" s="299"/>
      <c r="D1007" s="312"/>
      <c r="K1007" s="332"/>
      <c r="O1007" s="333"/>
      <c r="W1007" s="333"/>
      <c r="X1007" s="333"/>
    </row>
    <row r="1008" spans="1:24">
      <c r="A1008" s="297"/>
      <c r="B1008" s="299"/>
      <c r="C1008" s="299"/>
      <c r="D1008" s="312"/>
      <c r="K1008" s="332"/>
      <c r="O1008" s="333"/>
      <c r="W1008" s="333"/>
      <c r="X1008" s="333"/>
    </row>
    <row r="1009" spans="1:24">
      <c r="A1009" s="297"/>
      <c r="B1009" s="299"/>
      <c r="C1009" s="299"/>
      <c r="D1009" s="312"/>
      <c r="K1009" s="332"/>
      <c r="O1009" s="333"/>
      <c r="W1009" s="333"/>
      <c r="X1009" s="333"/>
    </row>
    <row r="1010" spans="1:24">
      <c r="A1010" s="297"/>
      <c r="B1010" s="299"/>
      <c r="C1010" s="299"/>
      <c r="D1010" s="312"/>
      <c r="K1010" s="332"/>
      <c r="O1010" s="333"/>
      <c r="W1010" s="333"/>
      <c r="X1010" s="333"/>
    </row>
    <row r="1011" spans="1:24">
      <c r="A1011" s="297"/>
      <c r="B1011" s="299"/>
      <c r="C1011" s="299"/>
      <c r="D1011" s="312"/>
      <c r="K1011" s="332"/>
      <c r="O1011" s="333"/>
      <c r="W1011" s="333"/>
      <c r="X1011" s="333"/>
    </row>
    <row r="1012" spans="1:24">
      <c r="A1012" s="297"/>
      <c r="B1012" s="299"/>
      <c r="C1012" s="299"/>
      <c r="D1012" s="312"/>
      <c r="K1012" s="332"/>
      <c r="O1012" s="333"/>
      <c r="W1012" s="333"/>
      <c r="X1012" s="333"/>
    </row>
    <row r="1013" spans="1:24">
      <c r="A1013" s="297"/>
      <c r="B1013" s="299"/>
      <c r="C1013" s="299"/>
      <c r="D1013" s="312"/>
      <c r="K1013" s="332"/>
      <c r="O1013" s="333"/>
      <c r="W1013" s="333"/>
      <c r="X1013" s="333"/>
    </row>
    <row r="1014" spans="1:24">
      <c r="A1014" s="297"/>
      <c r="B1014" s="299"/>
      <c r="C1014" s="299"/>
      <c r="D1014" s="312"/>
      <c r="K1014" s="332"/>
      <c r="O1014" s="333"/>
      <c r="W1014" s="333"/>
      <c r="X1014" s="333"/>
    </row>
    <row r="1015" spans="1:24">
      <c r="A1015" s="297"/>
      <c r="B1015" s="299"/>
      <c r="C1015" s="299"/>
      <c r="D1015" s="312"/>
      <c r="K1015" s="332"/>
      <c r="O1015" s="333"/>
      <c r="W1015" s="333"/>
      <c r="X1015" s="333"/>
    </row>
    <row r="1016" spans="1:24">
      <c r="A1016" s="297"/>
      <c r="B1016" s="299"/>
      <c r="C1016" s="299"/>
      <c r="D1016" s="312"/>
      <c r="K1016" s="332"/>
      <c r="O1016" s="333"/>
      <c r="W1016" s="333"/>
      <c r="X1016" s="333"/>
    </row>
    <row r="1017" spans="1:24">
      <c r="A1017" s="297"/>
      <c r="B1017" s="299"/>
      <c r="C1017" s="299"/>
      <c r="D1017" s="312"/>
      <c r="K1017" s="332"/>
      <c r="O1017" s="333"/>
      <c r="W1017" s="333"/>
      <c r="X1017" s="333"/>
    </row>
    <row r="1018" spans="1:24">
      <c r="A1018" s="297"/>
      <c r="B1018" s="299"/>
      <c r="C1018" s="299"/>
      <c r="D1018" s="312"/>
      <c r="K1018" s="332"/>
      <c r="O1018" s="333"/>
      <c r="W1018" s="333"/>
      <c r="X1018" s="333"/>
    </row>
    <row r="1019" spans="1:24">
      <c r="A1019" s="297"/>
      <c r="B1019" s="299"/>
      <c r="C1019" s="299"/>
      <c r="D1019" s="312"/>
      <c r="K1019" s="332"/>
      <c r="O1019" s="333"/>
      <c r="W1019" s="333"/>
      <c r="X1019" s="333"/>
    </row>
    <row r="1020" spans="1:24">
      <c r="A1020" s="297"/>
      <c r="B1020" s="299"/>
      <c r="C1020" s="299"/>
      <c r="D1020" s="312"/>
      <c r="K1020" s="332"/>
      <c r="O1020" s="333"/>
      <c r="W1020" s="333"/>
      <c r="X1020" s="333"/>
    </row>
    <row r="1021" spans="1:24">
      <c r="A1021" s="297"/>
      <c r="B1021" s="299"/>
      <c r="C1021" s="299"/>
      <c r="D1021" s="312"/>
      <c r="K1021" s="332"/>
      <c r="O1021" s="333"/>
      <c r="W1021" s="333"/>
      <c r="X1021" s="333"/>
    </row>
    <row r="1022" spans="1:24">
      <c r="A1022" s="297"/>
      <c r="B1022" s="299"/>
      <c r="C1022" s="299"/>
      <c r="D1022" s="312"/>
      <c r="K1022" s="332"/>
      <c r="O1022" s="333"/>
      <c r="W1022" s="333"/>
      <c r="X1022" s="333"/>
    </row>
    <row r="1023" spans="1:24">
      <c r="A1023" s="297"/>
      <c r="B1023" s="299"/>
      <c r="C1023" s="299"/>
      <c r="D1023" s="312"/>
      <c r="K1023" s="332"/>
      <c r="O1023" s="333"/>
      <c r="W1023" s="333"/>
      <c r="X1023" s="333"/>
    </row>
    <row r="1024" spans="1:24">
      <c r="A1024" s="297"/>
      <c r="B1024" s="299"/>
      <c r="C1024" s="299"/>
      <c r="D1024" s="312"/>
      <c r="K1024" s="332"/>
      <c r="O1024" s="333"/>
      <c r="W1024" s="333"/>
      <c r="X1024" s="333"/>
    </row>
    <row r="1025" spans="1:24">
      <c r="A1025" s="297"/>
      <c r="B1025" s="299"/>
      <c r="C1025" s="299"/>
      <c r="D1025" s="312"/>
      <c r="K1025" s="332"/>
      <c r="O1025" s="333"/>
      <c r="W1025" s="333"/>
      <c r="X1025" s="333"/>
    </row>
    <row r="1026" spans="1:24">
      <c r="A1026" s="297"/>
      <c r="B1026" s="299"/>
      <c r="C1026" s="299"/>
      <c r="D1026" s="312"/>
      <c r="K1026" s="332"/>
      <c r="O1026" s="333"/>
      <c r="W1026" s="333"/>
      <c r="X1026" s="333"/>
    </row>
    <row r="1027" spans="1:24">
      <c r="A1027" s="297"/>
      <c r="B1027" s="299"/>
      <c r="C1027" s="299"/>
      <c r="D1027" s="312"/>
      <c r="K1027" s="332"/>
      <c r="O1027" s="333"/>
      <c r="W1027" s="333"/>
      <c r="X1027" s="333"/>
    </row>
    <row r="1028" spans="1:24">
      <c r="A1028" s="297"/>
      <c r="B1028" s="299"/>
      <c r="C1028" s="299"/>
      <c r="D1028" s="312"/>
      <c r="K1028" s="332"/>
      <c r="O1028" s="333"/>
      <c r="W1028" s="333"/>
      <c r="X1028" s="333"/>
    </row>
    <row r="1029" spans="1:24">
      <c r="A1029" s="297"/>
      <c r="B1029" s="299"/>
      <c r="C1029" s="299"/>
      <c r="D1029" s="312"/>
      <c r="K1029" s="332"/>
      <c r="O1029" s="333"/>
      <c r="W1029" s="333"/>
      <c r="X1029" s="333"/>
    </row>
    <row r="1030" spans="1:24">
      <c r="A1030" s="297"/>
      <c r="B1030" s="299"/>
      <c r="C1030" s="299"/>
      <c r="D1030" s="312"/>
      <c r="K1030" s="332"/>
      <c r="O1030" s="333"/>
      <c r="W1030" s="333"/>
      <c r="X1030" s="333"/>
    </row>
    <row r="1031" spans="1:24">
      <c r="A1031" s="297"/>
      <c r="B1031" s="299"/>
      <c r="C1031" s="299"/>
      <c r="D1031" s="312"/>
      <c r="K1031" s="332"/>
      <c r="O1031" s="333"/>
      <c r="W1031" s="333"/>
      <c r="X1031" s="333"/>
    </row>
    <row r="1032" spans="1:24">
      <c r="A1032" s="297"/>
      <c r="B1032" s="299"/>
      <c r="C1032" s="299"/>
      <c r="D1032" s="312"/>
      <c r="K1032" s="332"/>
      <c r="O1032" s="333"/>
      <c r="W1032" s="333"/>
      <c r="X1032" s="333"/>
    </row>
    <row r="1033" spans="1:24">
      <c r="A1033" s="297"/>
      <c r="B1033" s="299"/>
      <c r="C1033" s="299"/>
      <c r="D1033" s="312"/>
      <c r="K1033" s="332"/>
      <c r="O1033" s="333"/>
      <c r="W1033" s="333"/>
      <c r="X1033" s="333"/>
    </row>
    <row r="1034" spans="1:24">
      <c r="A1034" s="297"/>
      <c r="B1034" s="299"/>
      <c r="C1034" s="299"/>
      <c r="D1034" s="312"/>
      <c r="K1034" s="332"/>
      <c r="O1034" s="333"/>
      <c r="W1034" s="333"/>
      <c r="X1034" s="333"/>
    </row>
    <row r="1035" spans="1:24">
      <c r="A1035" s="297"/>
      <c r="B1035" s="299"/>
      <c r="C1035" s="299"/>
      <c r="D1035" s="312"/>
      <c r="K1035" s="332"/>
      <c r="O1035" s="333"/>
      <c r="W1035" s="333"/>
      <c r="X1035" s="333"/>
    </row>
    <row r="1036" spans="1:24">
      <c r="A1036" s="297"/>
      <c r="B1036" s="299"/>
      <c r="C1036" s="299"/>
      <c r="D1036" s="312"/>
      <c r="K1036" s="332"/>
      <c r="O1036" s="333"/>
      <c r="W1036" s="333"/>
      <c r="X1036" s="333"/>
    </row>
    <row r="1037" spans="1:24">
      <c r="A1037" s="297"/>
      <c r="B1037" s="299"/>
      <c r="C1037" s="299"/>
      <c r="D1037" s="312"/>
      <c r="K1037" s="332"/>
      <c r="O1037" s="333"/>
      <c r="W1037" s="333"/>
      <c r="X1037" s="333"/>
    </row>
    <row r="1038" spans="1:24">
      <c r="A1038" s="297"/>
      <c r="B1038" s="299"/>
      <c r="C1038" s="299"/>
      <c r="D1038" s="312"/>
      <c r="K1038" s="332"/>
      <c r="O1038" s="333"/>
      <c r="W1038" s="333"/>
      <c r="X1038" s="333"/>
    </row>
    <row r="1039" spans="1:24">
      <c r="A1039" s="297"/>
      <c r="B1039" s="299"/>
      <c r="C1039" s="299"/>
      <c r="D1039" s="312"/>
      <c r="K1039" s="332"/>
      <c r="O1039" s="333"/>
      <c r="W1039" s="333"/>
      <c r="X1039" s="333"/>
    </row>
    <row r="1040" spans="1:24">
      <c r="A1040" s="297"/>
      <c r="B1040" s="299"/>
      <c r="C1040" s="299"/>
      <c r="D1040" s="312"/>
      <c r="K1040" s="332"/>
      <c r="O1040" s="333"/>
      <c r="W1040" s="333"/>
      <c r="X1040" s="333"/>
    </row>
    <row r="1041" spans="1:24">
      <c r="A1041" s="297"/>
      <c r="B1041" s="299"/>
      <c r="C1041" s="299"/>
      <c r="D1041" s="312"/>
      <c r="K1041" s="332"/>
      <c r="O1041" s="333"/>
      <c r="W1041" s="333"/>
      <c r="X1041" s="333"/>
    </row>
    <row r="1042" spans="1:24">
      <c r="A1042" s="297"/>
      <c r="B1042" s="299"/>
      <c r="C1042" s="299"/>
      <c r="D1042" s="312"/>
      <c r="K1042" s="332"/>
      <c r="O1042" s="333"/>
      <c r="W1042" s="333"/>
      <c r="X1042" s="333"/>
    </row>
    <row r="1043" spans="1:24">
      <c r="A1043" s="297"/>
      <c r="B1043" s="299"/>
      <c r="C1043" s="299"/>
      <c r="D1043" s="312"/>
      <c r="K1043" s="332"/>
      <c r="O1043" s="333"/>
      <c r="W1043" s="333"/>
      <c r="X1043" s="333"/>
    </row>
    <row r="1044" spans="1:24">
      <c r="A1044" s="297"/>
      <c r="B1044" s="299"/>
      <c r="C1044" s="299"/>
      <c r="D1044" s="312"/>
      <c r="K1044" s="332"/>
      <c r="O1044" s="333"/>
      <c r="W1044" s="333"/>
      <c r="X1044" s="333"/>
    </row>
    <row r="1045" spans="1:24">
      <c r="A1045" s="297"/>
      <c r="B1045" s="299"/>
      <c r="C1045" s="299"/>
      <c r="D1045" s="312"/>
      <c r="K1045" s="332"/>
      <c r="O1045" s="333"/>
      <c r="W1045" s="333"/>
      <c r="X1045" s="333"/>
    </row>
    <row r="1046" spans="1:24">
      <c r="A1046" s="297"/>
      <c r="B1046" s="299"/>
      <c r="C1046" s="299"/>
      <c r="D1046" s="312"/>
      <c r="K1046" s="332"/>
      <c r="O1046" s="333"/>
      <c r="W1046" s="333"/>
      <c r="X1046" s="333"/>
    </row>
    <row r="1047" spans="1:24">
      <c r="A1047" s="297"/>
      <c r="B1047" s="299"/>
      <c r="C1047" s="299"/>
      <c r="D1047" s="312"/>
      <c r="K1047" s="332"/>
      <c r="O1047" s="333"/>
      <c r="W1047" s="333"/>
      <c r="X1047" s="333"/>
    </row>
    <row r="1048" spans="1:24">
      <c r="A1048" s="297"/>
      <c r="B1048" s="299"/>
      <c r="C1048" s="299"/>
      <c r="D1048" s="312"/>
      <c r="K1048" s="332"/>
      <c r="O1048" s="333"/>
      <c r="W1048" s="333"/>
      <c r="X1048" s="333"/>
    </row>
    <row r="1049" spans="1:24">
      <c r="A1049" s="297"/>
      <c r="B1049" s="299"/>
      <c r="C1049" s="299"/>
      <c r="D1049" s="312"/>
      <c r="K1049" s="332"/>
      <c r="O1049" s="333"/>
      <c r="W1049" s="333"/>
      <c r="X1049" s="333"/>
    </row>
    <row r="1050" spans="1:24">
      <c r="A1050" s="297"/>
      <c r="B1050" s="299"/>
      <c r="C1050" s="299"/>
      <c r="D1050" s="312"/>
      <c r="K1050" s="332"/>
      <c r="O1050" s="333"/>
      <c r="W1050" s="333"/>
      <c r="X1050" s="333"/>
    </row>
    <row r="1051" spans="1:24">
      <c r="A1051" s="297"/>
      <c r="B1051" s="299"/>
      <c r="C1051" s="299"/>
      <c r="D1051" s="312"/>
      <c r="K1051" s="332"/>
      <c r="O1051" s="333"/>
      <c r="W1051" s="333"/>
      <c r="X1051" s="333"/>
    </row>
    <row r="1052" spans="1:24">
      <c r="A1052" s="297"/>
      <c r="B1052" s="299"/>
      <c r="C1052" s="299"/>
      <c r="D1052" s="312"/>
      <c r="K1052" s="332"/>
      <c r="O1052" s="333"/>
      <c r="W1052" s="333"/>
      <c r="X1052" s="333"/>
    </row>
    <row r="1053" spans="1:24">
      <c r="A1053" s="297"/>
      <c r="B1053" s="299"/>
      <c r="C1053" s="299"/>
      <c r="D1053" s="312"/>
      <c r="K1053" s="332"/>
      <c r="O1053" s="333"/>
      <c r="W1053" s="333"/>
      <c r="X1053" s="333"/>
    </row>
    <row r="1054" spans="1:24">
      <c r="A1054" s="297"/>
      <c r="B1054" s="299"/>
      <c r="C1054" s="299"/>
      <c r="D1054" s="312"/>
      <c r="K1054" s="332"/>
      <c r="O1054" s="333"/>
      <c r="W1054" s="333"/>
      <c r="X1054" s="333"/>
    </row>
    <row r="1055" spans="1:24">
      <c r="A1055" s="297"/>
      <c r="B1055" s="299"/>
      <c r="C1055" s="299"/>
      <c r="D1055" s="312"/>
      <c r="K1055" s="332"/>
      <c r="O1055" s="333"/>
      <c r="W1055" s="333"/>
      <c r="X1055" s="333"/>
    </row>
    <row r="1056" spans="1:24">
      <c r="A1056" s="297"/>
      <c r="B1056" s="299"/>
      <c r="C1056" s="299"/>
      <c r="D1056" s="312"/>
      <c r="K1056" s="332"/>
      <c r="O1056" s="333"/>
      <c r="W1056" s="333"/>
      <c r="X1056" s="333"/>
    </row>
    <row r="1057" spans="1:24">
      <c r="A1057" s="297"/>
      <c r="B1057" s="299"/>
      <c r="C1057" s="299"/>
      <c r="D1057" s="312"/>
      <c r="K1057" s="332"/>
      <c r="O1057" s="333"/>
      <c r="W1057" s="333"/>
      <c r="X1057" s="333"/>
    </row>
    <row r="1058" spans="1:24">
      <c r="A1058" s="297"/>
      <c r="B1058" s="299"/>
      <c r="C1058" s="299"/>
      <c r="D1058" s="312"/>
      <c r="K1058" s="332"/>
      <c r="O1058" s="333"/>
      <c r="W1058" s="333"/>
      <c r="X1058" s="333"/>
    </row>
    <row r="1059" spans="1:24">
      <c r="A1059" s="297"/>
      <c r="B1059" s="299"/>
      <c r="C1059" s="299"/>
      <c r="D1059" s="312"/>
      <c r="K1059" s="332"/>
      <c r="O1059" s="333"/>
      <c r="W1059" s="333"/>
      <c r="X1059" s="333"/>
    </row>
    <row r="1060" spans="1:24">
      <c r="A1060" s="297"/>
      <c r="B1060" s="299"/>
      <c r="C1060" s="299"/>
      <c r="D1060" s="312"/>
      <c r="K1060" s="332"/>
      <c r="O1060" s="333"/>
      <c r="W1060" s="333"/>
      <c r="X1060" s="333"/>
    </row>
    <row r="1061" spans="1:24">
      <c r="A1061" s="297"/>
      <c r="B1061" s="299"/>
      <c r="C1061" s="299"/>
      <c r="D1061" s="312"/>
      <c r="K1061" s="332"/>
      <c r="O1061" s="333"/>
      <c r="W1061" s="333"/>
      <c r="X1061" s="333"/>
    </row>
    <row r="1062" spans="1:24">
      <c r="A1062" s="297"/>
      <c r="B1062" s="299"/>
      <c r="C1062" s="299"/>
      <c r="D1062" s="312"/>
      <c r="K1062" s="332"/>
      <c r="O1062" s="333"/>
      <c r="W1062" s="333"/>
      <c r="X1062" s="333"/>
    </row>
    <row r="1063" spans="1:24">
      <c r="A1063" s="297"/>
      <c r="B1063" s="299"/>
      <c r="C1063" s="299"/>
      <c r="D1063" s="312"/>
      <c r="K1063" s="332"/>
      <c r="O1063" s="333"/>
      <c r="W1063" s="333"/>
      <c r="X1063" s="333"/>
    </row>
    <row r="1064" spans="1:24">
      <c r="A1064" s="297"/>
      <c r="B1064" s="299"/>
      <c r="C1064" s="299"/>
      <c r="D1064" s="312"/>
      <c r="K1064" s="332"/>
      <c r="O1064" s="333"/>
      <c r="W1064" s="333"/>
      <c r="X1064" s="333"/>
    </row>
    <row r="1065" spans="1:24">
      <c r="A1065" s="297"/>
      <c r="B1065" s="299"/>
      <c r="C1065" s="299"/>
      <c r="D1065" s="312"/>
      <c r="K1065" s="332"/>
      <c r="O1065" s="333"/>
      <c r="W1065" s="333"/>
      <c r="X1065" s="333"/>
    </row>
    <row r="1066" spans="1:24">
      <c r="A1066" s="297"/>
      <c r="B1066" s="299"/>
      <c r="C1066" s="299"/>
      <c r="D1066" s="312"/>
      <c r="K1066" s="332"/>
      <c r="O1066" s="333"/>
      <c r="W1066" s="333"/>
      <c r="X1066" s="333"/>
    </row>
    <row r="1067" spans="1:24">
      <c r="A1067" s="297"/>
      <c r="B1067" s="299"/>
      <c r="C1067" s="299"/>
      <c r="D1067" s="312"/>
      <c r="K1067" s="332"/>
      <c r="O1067" s="333"/>
      <c r="W1067" s="333"/>
      <c r="X1067" s="333"/>
    </row>
    <row r="1068" spans="1:24">
      <c r="A1068" s="297"/>
      <c r="B1068" s="299"/>
      <c r="C1068" s="299"/>
      <c r="D1068" s="312"/>
      <c r="K1068" s="332"/>
      <c r="O1068" s="333"/>
      <c r="W1068" s="333"/>
      <c r="X1068" s="333"/>
    </row>
    <row r="1069" spans="1:24">
      <c r="A1069" s="297"/>
      <c r="B1069" s="299"/>
      <c r="C1069" s="299"/>
      <c r="D1069" s="312"/>
      <c r="K1069" s="332"/>
      <c r="O1069" s="333"/>
      <c r="W1069" s="333"/>
      <c r="X1069" s="333"/>
    </row>
    <row r="1070" spans="1:24">
      <c r="A1070" s="297"/>
      <c r="B1070" s="299"/>
      <c r="C1070" s="299"/>
      <c r="D1070" s="312"/>
      <c r="K1070" s="332"/>
      <c r="O1070" s="333"/>
      <c r="W1070" s="333"/>
      <c r="X1070" s="333"/>
    </row>
    <row r="1071" spans="1:24">
      <c r="A1071" s="297"/>
      <c r="B1071" s="299"/>
      <c r="C1071" s="299"/>
      <c r="D1071" s="312"/>
      <c r="K1071" s="332"/>
      <c r="O1071" s="333"/>
      <c r="W1071" s="333"/>
      <c r="X1071" s="333"/>
    </row>
    <row r="1072" spans="1:24">
      <c r="A1072" s="297"/>
      <c r="B1072" s="299"/>
      <c r="C1072" s="299"/>
      <c r="D1072" s="312"/>
      <c r="K1072" s="332"/>
      <c r="O1072" s="333"/>
      <c r="W1072" s="333"/>
      <c r="X1072" s="333"/>
    </row>
    <row r="1073" spans="1:24">
      <c r="A1073" s="297"/>
      <c r="B1073" s="299"/>
      <c r="C1073" s="299"/>
      <c r="D1073" s="312"/>
      <c r="K1073" s="332"/>
      <c r="O1073" s="333"/>
      <c r="W1073" s="333"/>
      <c r="X1073" s="333"/>
    </row>
    <row r="1074" spans="1:24">
      <c r="A1074" s="297"/>
      <c r="B1074" s="299"/>
      <c r="C1074" s="299"/>
      <c r="D1074" s="312"/>
      <c r="K1074" s="332"/>
      <c r="O1074" s="333"/>
      <c r="W1074" s="333"/>
      <c r="X1074" s="333"/>
    </row>
    <row r="1075" spans="1:24">
      <c r="A1075" s="297"/>
      <c r="B1075" s="299"/>
      <c r="C1075" s="299"/>
      <c r="D1075" s="312"/>
      <c r="K1075" s="332"/>
      <c r="O1075" s="333"/>
      <c r="W1075" s="333"/>
      <c r="X1075" s="333"/>
    </row>
    <row r="1076" spans="1:24">
      <c r="A1076" s="297"/>
      <c r="B1076" s="299"/>
      <c r="C1076" s="299"/>
      <c r="D1076" s="312"/>
      <c r="K1076" s="332"/>
      <c r="O1076" s="333"/>
      <c r="W1076" s="333"/>
      <c r="X1076" s="333"/>
    </row>
    <row r="1077" spans="1:24">
      <c r="A1077" s="297"/>
      <c r="B1077" s="299"/>
      <c r="C1077" s="299"/>
      <c r="D1077" s="312"/>
      <c r="K1077" s="332"/>
      <c r="O1077" s="333"/>
      <c r="W1077" s="333"/>
      <c r="X1077" s="333"/>
    </row>
    <row r="1078" spans="1:24">
      <c r="A1078" s="297"/>
      <c r="B1078" s="299"/>
      <c r="C1078" s="299"/>
      <c r="D1078" s="312"/>
      <c r="K1078" s="332"/>
      <c r="O1078" s="333"/>
      <c r="W1078" s="333"/>
      <c r="X1078" s="333"/>
    </row>
    <row r="1079" spans="1:24">
      <c r="A1079" s="297"/>
      <c r="B1079" s="299"/>
      <c r="C1079" s="299"/>
      <c r="D1079" s="312"/>
      <c r="K1079" s="332"/>
      <c r="O1079" s="333"/>
      <c r="W1079" s="333"/>
      <c r="X1079" s="333"/>
    </row>
    <row r="1080" spans="1:24">
      <c r="A1080" s="297"/>
      <c r="B1080" s="299"/>
      <c r="C1080" s="299"/>
      <c r="D1080" s="312"/>
      <c r="K1080" s="332"/>
      <c r="O1080" s="333"/>
      <c r="W1080" s="333"/>
      <c r="X1080" s="333"/>
    </row>
    <row r="1081" spans="1:24">
      <c r="A1081" s="297"/>
      <c r="B1081" s="299"/>
      <c r="C1081" s="299"/>
      <c r="D1081" s="312"/>
      <c r="K1081" s="332"/>
      <c r="O1081" s="333"/>
      <c r="W1081" s="333"/>
      <c r="X1081" s="333"/>
    </row>
    <row r="1082" spans="1:24">
      <c r="A1082" s="297"/>
      <c r="B1082" s="299"/>
      <c r="C1082" s="299"/>
      <c r="D1082" s="312"/>
      <c r="K1082" s="332"/>
      <c r="O1082" s="333"/>
      <c r="W1082" s="333"/>
      <c r="X1082" s="333"/>
    </row>
    <row r="1083" spans="1:24">
      <c r="A1083" s="297"/>
      <c r="B1083" s="299"/>
      <c r="C1083" s="299"/>
      <c r="D1083" s="312"/>
      <c r="K1083" s="332"/>
      <c r="O1083" s="333"/>
      <c r="W1083" s="333"/>
      <c r="X1083" s="333"/>
    </row>
    <row r="1084" spans="1:24">
      <c r="A1084" s="297"/>
      <c r="B1084" s="299"/>
      <c r="C1084" s="299"/>
      <c r="D1084" s="312"/>
      <c r="K1084" s="332"/>
      <c r="O1084" s="333"/>
      <c r="W1084" s="333"/>
      <c r="X1084" s="333"/>
    </row>
    <row r="1085" spans="1:24">
      <c r="A1085" s="297"/>
      <c r="B1085" s="299"/>
      <c r="C1085" s="299"/>
      <c r="D1085" s="312"/>
      <c r="K1085" s="332"/>
      <c r="O1085" s="333"/>
      <c r="W1085" s="333"/>
      <c r="X1085" s="333"/>
    </row>
    <row r="1086" spans="1:24">
      <c r="A1086" s="297"/>
      <c r="B1086" s="299"/>
      <c r="C1086" s="299"/>
      <c r="D1086" s="312"/>
      <c r="K1086" s="332"/>
      <c r="O1086" s="333"/>
      <c r="W1086" s="333"/>
      <c r="X1086" s="333"/>
    </row>
    <row r="1087" spans="1:24">
      <c r="A1087" s="297"/>
      <c r="B1087" s="299"/>
      <c r="C1087" s="299"/>
      <c r="D1087" s="312"/>
      <c r="K1087" s="332"/>
      <c r="O1087" s="333"/>
      <c r="W1087" s="333"/>
      <c r="X1087" s="333"/>
    </row>
    <row r="1088" spans="1:24">
      <c r="A1088" s="297"/>
      <c r="B1088" s="299"/>
      <c r="C1088" s="299"/>
      <c r="D1088" s="312"/>
      <c r="K1088" s="332"/>
      <c r="O1088" s="333"/>
      <c r="W1088" s="333"/>
      <c r="X1088" s="333"/>
    </row>
    <row r="1089" spans="1:24">
      <c r="A1089" s="297"/>
      <c r="B1089" s="299"/>
      <c r="C1089" s="299"/>
      <c r="D1089" s="312"/>
      <c r="K1089" s="332"/>
      <c r="O1089" s="333"/>
      <c r="W1089" s="333"/>
      <c r="X1089" s="333"/>
    </row>
    <row r="1090" spans="1:24">
      <c r="A1090" s="297"/>
      <c r="B1090" s="299"/>
      <c r="C1090" s="299"/>
      <c r="D1090" s="312"/>
      <c r="K1090" s="332"/>
      <c r="O1090" s="333"/>
      <c r="W1090" s="333"/>
      <c r="X1090" s="333"/>
    </row>
    <row r="1091" spans="1:24">
      <c r="A1091" s="297"/>
      <c r="B1091" s="299"/>
      <c r="C1091" s="299"/>
      <c r="D1091" s="312"/>
      <c r="K1091" s="332"/>
      <c r="O1091" s="333"/>
      <c r="W1091" s="333"/>
      <c r="X1091" s="333"/>
    </row>
    <row r="1092" spans="1:24">
      <c r="A1092" s="297"/>
      <c r="B1092" s="299"/>
      <c r="C1092" s="299"/>
      <c r="D1092" s="312"/>
      <c r="K1092" s="332"/>
      <c r="O1092" s="333"/>
      <c r="W1092" s="333"/>
      <c r="X1092" s="333"/>
    </row>
    <row r="1093" spans="1:24">
      <c r="A1093" s="297"/>
      <c r="B1093" s="299"/>
      <c r="C1093" s="299"/>
      <c r="D1093" s="312"/>
      <c r="K1093" s="332"/>
      <c r="O1093" s="333"/>
      <c r="W1093" s="333"/>
      <c r="X1093" s="333"/>
    </row>
    <row r="1094" spans="1:24">
      <c r="A1094" s="297"/>
      <c r="B1094" s="299"/>
      <c r="C1094" s="299"/>
      <c r="D1094" s="312"/>
      <c r="K1094" s="332"/>
      <c r="O1094" s="333"/>
      <c r="W1094" s="333"/>
      <c r="X1094" s="333"/>
    </row>
    <row r="1095" spans="1:24">
      <c r="A1095" s="297"/>
      <c r="B1095" s="299"/>
      <c r="C1095" s="299"/>
      <c r="D1095" s="312"/>
      <c r="K1095" s="332"/>
      <c r="O1095" s="333"/>
      <c r="W1095" s="333"/>
      <c r="X1095" s="333"/>
    </row>
    <row r="1096" spans="1:24">
      <c r="A1096" s="297"/>
      <c r="B1096" s="299"/>
      <c r="C1096" s="299"/>
      <c r="D1096" s="312"/>
      <c r="K1096" s="332"/>
      <c r="O1096" s="333"/>
      <c r="W1096" s="333"/>
      <c r="X1096" s="333"/>
    </row>
    <row r="1097" spans="1:24">
      <c r="A1097" s="297"/>
      <c r="B1097" s="299"/>
      <c r="C1097" s="299"/>
      <c r="D1097" s="312"/>
      <c r="K1097" s="332"/>
      <c r="O1097" s="333"/>
      <c r="W1097" s="333"/>
      <c r="X1097" s="333"/>
    </row>
    <row r="1098" spans="1:24">
      <c r="A1098" s="297"/>
      <c r="B1098" s="299"/>
      <c r="C1098" s="299"/>
      <c r="D1098" s="312"/>
      <c r="K1098" s="332"/>
      <c r="O1098" s="333"/>
      <c r="W1098" s="333"/>
      <c r="X1098" s="333"/>
    </row>
    <row r="1099" spans="1:24">
      <c r="A1099" s="297"/>
      <c r="B1099" s="299"/>
      <c r="C1099" s="299"/>
      <c r="D1099" s="312"/>
      <c r="K1099" s="332"/>
      <c r="O1099" s="333"/>
      <c r="W1099" s="333"/>
      <c r="X1099" s="333"/>
    </row>
    <row r="1100" spans="1:24">
      <c r="A1100" s="297"/>
      <c r="B1100" s="299"/>
      <c r="C1100" s="299"/>
      <c r="D1100" s="312"/>
      <c r="K1100" s="332"/>
      <c r="O1100" s="333"/>
      <c r="W1100" s="333"/>
      <c r="X1100" s="333"/>
    </row>
    <row r="1101" spans="1:24">
      <c r="A1101" s="297"/>
      <c r="B1101" s="299"/>
      <c r="C1101" s="299"/>
      <c r="D1101" s="312"/>
      <c r="K1101" s="332"/>
      <c r="O1101" s="333"/>
      <c r="W1101" s="333"/>
      <c r="X1101" s="333"/>
    </row>
    <row r="1102" spans="1:24">
      <c r="A1102" s="297"/>
      <c r="B1102" s="299"/>
      <c r="C1102" s="299"/>
      <c r="D1102" s="312"/>
      <c r="K1102" s="332"/>
      <c r="O1102" s="333"/>
      <c r="W1102" s="333"/>
      <c r="X1102" s="333"/>
    </row>
    <row r="1103" spans="1:24">
      <c r="A1103" s="297"/>
      <c r="B1103" s="299"/>
      <c r="C1103" s="299"/>
      <c r="D1103" s="312"/>
      <c r="K1103" s="332"/>
      <c r="O1103" s="333"/>
      <c r="W1103" s="333"/>
      <c r="X1103" s="333"/>
    </row>
    <row r="1104" spans="1:24">
      <c r="A1104" s="297"/>
      <c r="B1104" s="299"/>
      <c r="C1104" s="299"/>
      <c r="D1104" s="312"/>
      <c r="K1104" s="332"/>
      <c r="O1104" s="333"/>
      <c r="W1104" s="333"/>
      <c r="X1104" s="333"/>
    </row>
    <row r="1105" spans="1:24">
      <c r="A1105" s="297"/>
      <c r="B1105" s="299"/>
      <c r="C1105" s="299"/>
      <c r="D1105" s="312"/>
      <c r="K1105" s="332"/>
      <c r="O1105" s="333"/>
      <c r="W1105" s="333"/>
      <c r="X1105" s="333"/>
    </row>
    <row r="1106" spans="1:24">
      <c r="A1106" s="297"/>
      <c r="B1106" s="299"/>
      <c r="C1106" s="299"/>
      <c r="D1106" s="312"/>
      <c r="K1106" s="332"/>
      <c r="O1106" s="333"/>
      <c r="W1106" s="333"/>
      <c r="X1106" s="333"/>
    </row>
    <row r="1107" spans="1:24">
      <c r="A1107" s="297"/>
      <c r="B1107" s="299"/>
      <c r="C1107" s="299"/>
      <c r="D1107" s="312"/>
      <c r="K1107" s="332"/>
      <c r="O1107" s="333"/>
      <c r="W1107" s="333"/>
      <c r="X1107" s="333"/>
    </row>
    <row r="1108" spans="1:24">
      <c r="A1108" s="297"/>
      <c r="B1108" s="299"/>
      <c r="C1108" s="299"/>
      <c r="D1108" s="312"/>
      <c r="K1108" s="332"/>
      <c r="O1108" s="333"/>
      <c r="W1108" s="333"/>
      <c r="X1108" s="333"/>
    </row>
    <row r="1109" spans="1:24">
      <c r="A1109" s="297"/>
      <c r="B1109" s="299"/>
      <c r="C1109" s="299"/>
      <c r="D1109" s="312"/>
      <c r="K1109" s="332"/>
      <c r="O1109" s="333"/>
      <c r="W1109" s="333"/>
      <c r="X1109" s="333"/>
    </row>
    <row r="1110" spans="1:24">
      <c r="A1110" s="297"/>
      <c r="B1110" s="299"/>
      <c r="C1110" s="299"/>
      <c r="D1110" s="312"/>
      <c r="K1110" s="332"/>
      <c r="O1110" s="333"/>
      <c r="W1110" s="333"/>
      <c r="X1110" s="333"/>
    </row>
    <row r="1111" spans="1:24">
      <c r="A1111" s="297"/>
      <c r="B1111" s="299"/>
      <c r="C1111" s="299"/>
      <c r="D1111" s="312"/>
      <c r="K1111" s="332"/>
      <c r="O1111" s="333"/>
      <c r="W1111" s="333"/>
      <c r="X1111" s="333"/>
    </row>
    <row r="1112" spans="1:24">
      <c r="A1112" s="297"/>
      <c r="B1112" s="299"/>
      <c r="C1112" s="299"/>
      <c r="D1112" s="312"/>
      <c r="K1112" s="332"/>
      <c r="O1112" s="333"/>
      <c r="W1112" s="333"/>
      <c r="X1112" s="333"/>
    </row>
    <row r="1113" spans="1:24">
      <c r="A1113" s="297"/>
      <c r="B1113" s="299"/>
      <c r="C1113" s="299"/>
      <c r="D1113" s="312"/>
      <c r="K1113" s="332"/>
      <c r="O1113" s="333"/>
      <c r="W1113" s="333"/>
      <c r="X1113" s="333"/>
    </row>
    <row r="1114" spans="1:24">
      <c r="A1114" s="297"/>
      <c r="B1114" s="299"/>
      <c r="C1114" s="299"/>
      <c r="D1114" s="312"/>
      <c r="K1114" s="332"/>
      <c r="O1114" s="333"/>
      <c r="W1114" s="333"/>
      <c r="X1114" s="333"/>
    </row>
    <row r="1115" spans="1:24">
      <c r="A1115" s="297"/>
      <c r="B1115" s="299"/>
      <c r="C1115" s="299"/>
      <c r="D1115" s="312"/>
      <c r="K1115" s="332"/>
      <c r="O1115" s="333"/>
      <c r="W1115" s="333"/>
      <c r="X1115" s="333"/>
    </row>
    <row r="1116" spans="1:24">
      <c r="A1116" s="297"/>
      <c r="B1116" s="299"/>
      <c r="C1116" s="299"/>
      <c r="D1116" s="312"/>
      <c r="K1116" s="332"/>
      <c r="O1116" s="333"/>
      <c r="W1116" s="333"/>
      <c r="X1116" s="333"/>
    </row>
    <row r="1117" spans="1:24">
      <c r="A1117" s="297"/>
      <c r="B1117" s="299"/>
      <c r="C1117" s="299"/>
      <c r="D1117" s="312"/>
      <c r="K1117" s="332"/>
      <c r="O1117" s="333"/>
      <c r="W1117" s="333"/>
      <c r="X1117" s="333"/>
    </row>
    <row r="1118" spans="1:24">
      <c r="A1118" s="297"/>
      <c r="B1118" s="299"/>
      <c r="C1118" s="299"/>
      <c r="D1118" s="312"/>
      <c r="K1118" s="332"/>
      <c r="O1118" s="333"/>
      <c r="W1118" s="333"/>
      <c r="X1118" s="333"/>
    </row>
    <row r="1119" spans="1:24">
      <c r="A1119" s="297"/>
      <c r="B1119" s="299"/>
      <c r="C1119" s="299"/>
      <c r="D1119" s="312"/>
      <c r="K1119" s="332"/>
      <c r="O1119" s="333"/>
      <c r="W1119" s="333"/>
      <c r="X1119" s="333"/>
    </row>
    <row r="1120" spans="1:24">
      <c r="A1120" s="297"/>
      <c r="B1120" s="299"/>
      <c r="C1120" s="299"/>
      <c r="D1120" s="312"/>
      <c r="K1120" s="332"/>
      <c r="O1120" s="333"/>
      <c r="W1120" s="333"/>
      <c r="X1120" s="333"/>
    </row>
    <row r="1121" spans="1:24">
      <c r="A1121" s="297"/>
      <c r="B1121" s="299"/>
      <c r="C1121" s="299"/>
      <c r="D1121" s="312"/>
      <c r="K1121" s="332"/>
      <c r="O1121" s="333"/>
      <c r="W1121" s="333"/>
      <c r="X1121" s="333"/>
    </row>
    <row r="1122" spans="1:24">
      <c r="A1122" s="297"/>
      <c r="B1122" s="299"/>
      <c r="C1122" s="299"/>
      <c r="D1122" s="312"/>
      <c r="K1122" s="332"/>
      <c r="O1122" s="333"/>
      <c r="W1122" s="333"/>
      <c r="X1122" s="333"/>
    </row>
    <row r="1123" spans="1:24">
      <c r="A1123" s="297"/>
      <c r="B1123" s="299"/>
      <c r="C1123" s="299"/>
      <c r="D1123" s="312"/>
      <c r="K1123" s="332"/>
      <c r="O1123" s="333"/>
      <c r="W1123" s="333"/>
      <c r="X1123" s="333"/>
    </row>
    <row r="1124" spans="1:24">
      <c r="A1124" s="297"/>
      <c r="B1124" s="299"/>
      <c r="C1124" s="299"/>
      <c r="D1124" s="312"/>
      <c r="K1124" s="332"/>
      <c r="O1124" s="333"/>
      <c r="W1124" s="333"/>
      <c r="X1124" s="333"/>
    </row>
    <row r="1125" spans="1:24">
      <c r="A1125" s="297"/>
      <c r="B1125" s="299"/>
      <c r="C1125" s="299"/>
      <c r="D1125" s="312"/>
      <c r="K1125" s="332"/>
      <c r="O1125" s="333"/>
      <c r="W1125" s="333"/>
      <c r="X1125" s="333"/>
    </row>
    <row r="1126" spans="1:24">
      <c r="A1126" s="297"/>
      <c r="B1126" s="299"/>
      <c r="C1126" s="299"/>
      <c r="D1126" s="312"/>
      <c r="K1126" s="332"/>
      <c r="O1126" s="333"/>
      <c r="W1126" s="333"/>
      <c r="X1126" s="333"/>
    </row>
    <row r="1127" spans="1:24">
      <c r="A1127" s="297"/>
      <c r="B1127" s="299"/>
      <c r="C1127" s="299"/>
      <c r="D1127" s="312"/>
      <c r="K1127" s="332"/>
      <c r="O1127" s="333"/>
      <c r="W1127" s="333"/>
      <c r="X1127" s="333"/>
    </row>
    <row r="1128" spans="1:24">
      <c r="A1128" s="297"/>
      <c r="B1128" s="299"/>
      <c r="C1128" s="299"/>
      <c r="D1128" s="312"/>
      <c r="K1128" s="332"/>
      <c r="O1128" s="333"/>
      <c r="W1128" s="333"/>
      <c r="X1128" s="333"/>
    </row>
    <row r="1129" spans="1:24">
      <c r="A1129" s="297"/>
      <c r="B1129" s="299"/>
      <c r="C1129" s="299"/>
      <c r="D1129" s="312"/>
      <c r="K1129" s="332"/>
      <c r="O1129" s="333"/>
      <c r="W1129" s="333"/>
      <c r="X1129" s="333"/>
    </row>
    <row r="1130" spans="1:24">
      <c r="A1130" s="297"/>
      <c r="B1130" s="299"/>
      <c r="C1130" s="299"/>
      <c r="D1130" s="312"/>
      <c r="K1130" s="332"/>
      <c r="O1130" s="333"/>
      <c r="W1130" s="333"/>
      <c r="X1130" s="333"/>
    </row>
    <row r="1131" spans="1:24">
      <c r="A1131" s="297"/>
      <c r="B1131" s="299"/>
      <c r="C1131" s="299"/>
      <c r="D1131" s="312"/>
      <c r="K1131" s="332"/>
      <c r="O1131" s="333"/>
      <c r="W1131" s="333"/>
      <c r="X1131" s="333"/>
    </row>
    <row r="1132" spans="1:24">
      <c r="A1132" s="297"/>
      <c r="B1132" s="299"/>
      <c r="C1132" s="299"/>
      <c r="D1132" s="312"/>
      <c r="K1132" s="332"/>
      <c r="O1132" s="333"/>
      <c r="W1132" s="333"/>
      <c r="X1132" s="333"/>
    </row>
    <row r="1133" spans="1:24">
      <c r="A1133" s="297"/>
      <c r="B1133" s="299"/>
      <c r="C1133" s="299"/>
      <c r="D1133" s="312"/>
      <c r="K1133" s="332"/>
      <c r="O1133" s="333"/>
      <c r="W1133" s="333"/>
      <c r="X1133" s="333"/>
    </row>
    <row r="1134" spans="1:24">
      <c r="A1134" s="297"/>
      <c r="B1134" s="299"/>
      <c r="C1134" s="299"/>
      <c r="D1134" s="312"/>
      <c r="K1134" s="332"/>
      <c r="O1134" s="333"/>
      <c r="W1134" s="333"/>
      <c r="X1134" s="333"/>
    </row>
    <row r="1135" spans="1:24">
      <c r="A1135" s="297"/>
      <c r="B1135" s="299"/>
      <c r="C1135" s="299"/>
      <c r="D1135" s="312"/>
      <c r="K1135" s="332"/>
      <c r="O1135" s="333"/>
      <c r="W1135" s="333"/>
      <c r="X1135" s="333"/>
    </row>
    <row r="1136" spans="1:24">
      <c r="A1136" s="297"/>
      <c r="B1136" s="299"/>
      <c r="C1136" s="299"/>
      <c r="D1136" s="312"/>
      <c r="K1136" s="332"/>
      <c r="O1136" s="333"/>
      <c r="W1136" s="333"/>
      <c r="X1136" s="333"/>
    </row>
    <row r="1137" spans="1:24">
      <c r="A1137" s="297"/>
      <c r="B1137" s="299"/>
      <c r="C1137" s="299"/>
      <c r="D1137" s="312"/>
      <c r="K1137" s="332"/>
      <c r="O1137" s="333"/>
      <c r="W1137" s="333"/>
      <c r="X1137" s="333"/>
    </row>
    <row r="1138" spans="1:24">
      <c r="A1138" s="297"/>
      <c r="B1138" s="299"/>
      <c r="C1138" s="299"/>
      <c r="D1138" s="312"/>
      <c r="K1138" s="332"/>
      <c r="O1138" s="333"/>
      <c r="W1138" s="333"/>
      <c r="X1138" s="333"/>
    </row>
    <row r="1139" spans="1:24">
      <c r="A1139" s="297"/>
      <c r="B1139" s="299"/>
      <c r="C1139" s="299"/>
      <c r="D1139" s="312"/>
      <c r="K1139" s="332"/>
      <c r="O1139" s="333"/>
      <c r="W1139" s="333"/>
      <c r="X1139" s="333"/>
    </row>
    <row r="1140" spans="1:24">
      <c r="A1140" s="297"/>
      <c r="B1140" s="299"/>
      <c r="C1140" s="299"/>
      <c r="D1140" s="312"/>
      <c r="K1140" s="332"/>
      <c r="O1140" s="333"/>
      <c r="W1140" s="333"/>
      <c r="X1140" s="333"/>
    </row>
    <row r="1141" spans="1:24">
      <c r="A1141" s="297"/>
      <c r="B1141" s="299"/>
      <c r="C1141" s="299"/>
      <c r="D1141" s="312"/>
      <c r="K1141" s="332"/>
      <c r="O1141" s="333"/>
      <c r="W1141" s="333"/>
      <c r="X1141" s="333"/>
    </row>
    <row r="1142" spans="1:24">
      <c r="A1142" s="297"/>
      <c r="B1142" s="299"/>
      <c r="C1142" s="299"/>
      <c r="D1142" s="312"/>
      <c r="K1142" s="332"/>
      <c r="O1142" s="333"/>
      <c r="W1142" s="333"/>
      <c r="X1142" s="333"/>
    </row>
    <row r="1143" spans="1:24">
      <c r="A1143" s="297"/>
      <c r="B1143" s="299"/>
      <c r="C1143" s="299"/>
      <c r="D1143" s="312"/>
      <c r="K1143" s="332"/>
      <c r="O1143" s="333"/>
      <c r="W1143" s="333"/>
      <c r="X1143" s="333"/>
    </row>
    <row r="1144" spans="1:24">
      <c r="A1144" s="297"/>
      <c r="B1144" s="299"/>
      <c r="C1144" s="299"/>
      <c r="D1144" s="312"/>
      <c r="K1144" s="332"/>
      <c r="O1144" s="333"/>
      <c r="W1144" s="333"/>
      <c r="X1144" s="333"/>
    </row>
    <row r="1145" spans="1:24">
      <c r="A1145" s="297"/>
      <c r="B1145" s="299"/>
      <c r="C1145" s="299"/>
      <c r="D1145" s="312"/>
      <c r="K1145" s="332"/>
      <c r="O1145" s="333"/>
      <c r="W1145" s="333"/>
      <c r="X1145" s="333"/>
    </row>
    <row r="1146" spans="1:24">
      <c r="A1146" s="297"/>
      <c r="B1146" s="299"/>
      <c r="C1146" s="299"/>
      <c r="D1146" s="312"/>
      <c r="K1146" s="332"/>
      <c r="O1146" s="333"/>
      <c r="W1146" s="333"/>
      <c r="X1146" s="333"/>
    </row>
    <row r="1147" spans="1:24">
      <c r="A1147" s="297"/>
      <c r="B1147" s="299"/>
      <c r="C1147" s="299"/>
      <c r="D1147" s="312"/>
      <c r="K1147" s="332"/>
      <c r="O1147" s="333"/>
      <c r="W1147" s="333"/>
      <c r="X1147" s="333"/>
    </row>
    <row r="1148" spans="1:24">
      <c r="A1148" s="297"/>
      <c r="B1148" s="299"/>
      <c r="C1148" s="299"/>
      <c r="D1148" s="312"/>
      <c r="K1148" s="332"/>
      <c r="O1148" s="333"/>
      <c r="W1148" s="333"/>
      <c r="X1148" s="333"/>
    </row>
    <row r="1149" spans="1:24">
      <c r="A1149" s="297"/>
      <c r="B1149" s="299"/>
      <c r="C1149" s="299"/>
      <c r="D1149" s="312"/>
      <c r="K1149" s="332"/>
      <c r="O1149" s="333"/>
      <c r="W1149" s="333"/>
      <c r="X1149" s="333"/>
    </row>
    <row r="1150" spans="1:24">
      <c r="A1150" s="297"/>
      <c r="B1150" s="299"/>
      <c r="C1150" s="299"/>
      <c r="D1150" s="312"/>
      <c r="K1150" s="332"/>
      <c r="O1150" s="333"/>
      <c r="W1150" s="333"/>
      <c r="X1150" s="333"/>
    </row>
    <row r="1151" spans="1:24">
      <c r="A1151" s="297"/>
      <c r="B1151" s="299"/>
      <c r="C1151" s="299"/>
      <c r="D1151" s="312"/>
      <c r="K1151" s="332"/>
      <c r="O1151" s="333"/>
      <c r="W1151" s="333"/>
      <c r="X1151" s="333"/>
    </row>
    <row r="1152" spans="1:24">
      <c r="A1152" s="297"/>
      <c r="B1152" s="299"/>
      <c r="C1152" s="299"/>
      <c r="D1152" s="312"/>
      <c r="K1152" s="332"/>
      <c r="O1152" s="333"/>
      <c r="W1152" s="333"/>
      <c r="X1152" s="333"/>
    </row>
    <row r="1153" spans="1:24">
      <c r="A1153" s="297"/>
      <c r="B1153" s="299"/>
      <c r="C1153" s="299"/>
      <c r="D1153" s="312"/>
      <c r="K1153" s="332"/>
      <c r="O1153" s="333"/>
      <c r="W1153" s="333"/>
      <c r="X1153" s="333"/>
    </row>
    <row r="1154" spans="1:24">
      <c r="A1154" s="297"/>
      <c r="B1154" s="299"/>
      <c r="C1154" s="299"/>
      <c r="D1154" s="312"/>
      <c r="K1154" s="332"/>
      <c r="O1154" s="333"/>
      <c r="W1154" s="333"/>
      <c r="X1154" s="333"/>
    </row>
    <row r="1155" spans="1:24">
      <c r="A1155" s="297"/>
      <c r="B1155" s="299"/>
      <c r="C1155" s="299"/>
      <c r="D1155" s="312"/>
      <c r="K1155" s="332"/>
      <c r="O1155" s="333"/>
      <c r="W1155" s="333"/>
      <c r="X1155" s="333"/>
    </row>
    <row r="1156" spans="1:24">
      <c r="A1156" s="297"/>
      <c r="B1156" s="299"/>
      <c r="C1156" s="299"/>
      <c r="D1156" s="312"/>
      <c r="K1156" s="332"/>
      <c r="O1156" s="333"/>
      <c r="W1156" s="333"/>
      <c r="X1156" s="333"/>
    </row>
    <row r="1157" spans="1:24">
      <c r="A1157" s="297"/>
      <c r="B1157" s="299"/>
      <c r="C1157" s="299"/>
      <c r="D1157" s="312"/>
      <c r="K1157" s="332"/>
      <c r="O1157" s="333"/>
      <c r="W1157" s="333"/>
      <c r="X1157" s="333"/>
    </row>
    <row r="1158" spans="1:24">
      <c r="A1158" s="297"/>
      <c r="B1158" s="299"/>
      <c r="C1158" s="299"/>
      <c r="D1158" s="312"/>
      <c r="K1158" s="332"/>
      <c r="O1158" s="333"/>
      <c r="W1158" s="333"/>
      <c r="X1158" s="333"/>
    </row>
    <row r="1159" spans="1:24">
      <c r="A1159" s="297"/>
      <c r="B1159" s="299"/>
      <c r="C1159" s="299"/>
      <c r="D1159" s="312"/>
      <c r="K1159" s="332"/>
      <c r="O1159" s="333"/>
      <c r="W1159" s="333"/>
      <c r="X1159" s="333"/>
    </row>
    <row r="1160" spans="1:24">
      <c r="A1160" s="297"/>
      <c r="B1160" s="299"/>
      <c r="C1160" s="299"/>
      <c r="D1160" s="312"/>
      <c r="K1160" s="332"/>
      <c r="O1160" s="333"/>
      <c r="W1160" s="333"/>
      <c r="X1160" s="333"/>
    </row>
    <row r="1161" spans="1:24">
      <c r="A1161" s="297"/>
      <c r="B1161" s="299"/>
      <c r="C1161" s="299"/>
      <c r="D1161" s="312"/>
      <c r="K1161" s="332"/>
      <c r="O1161" s="333"/>
      <c r="W1161" s="333"/>
      <c r="X1161" s="333"/>
    </row>
    <row r="1162" spans="1:24">
      <c r="A1162" s="297"/>
      <c r="B1162" s="299"/>
      <c r="C1162" s="299"/>
      <c r="D1162" s="312"/>
      <c r="K1162" s="332"/>
      <c r="O1162" s="333"/>
      <c r="W1162" s="333"/>
      <c r="X1162" s="333"/>
    </row>
    <row r="1163" spans="1:24">
      <c r="A1163" s="297"/>
      <c r="B1163" s="299"/>
      <c r="C1163" s="299"/>
      <c r="D1163" s="312"/>
      <c r="K1163" s="332"/>
      <c r="O1163" s="333"/>
      <c r="W1163" s="333"/>
      <c r="X1163" s="333"/>
    </row>
    <row r="1164" spans="1:24">
      <c r="A1164" s="297"/>
      <c r="B1164" s="299"/>
      <c r="C1164" s="299"/>
      <c r="D1164" s="312"/>
      <c r="K1164" s="332"/>
      <c r="O1164" s="333"/>
      <c r="W1164" s="333"/>
      <c r="X1164" s="333"/>
    </row>
    <row r="1165" spans="1:24">
      <c r="A1165" s="297"/>
      <c r="B1165" s="299"/>
      <c r="C1165" s="299"/>
      <c r="D1165" s="312"/>
      <c r="K1165" s="332"/>
      <c r="O1165" s="333"/>
      <c r="W1165" s="333"/>
      <c r="X1165" s="333"/>
    </row>
    <row r="1166" spans="1:24">
      <c r="A1166" s="297"/>
      <c r="B1166" s="299"/>
      <c r="C1166" s="299"/>
      <c r="D1166" s="312"/>
      <c r="K1166" s="332"/>
      <c r="O1166" s="333"/>
      <c r="W1166" s="333"/>
      <c r="X1166" s="333"/>
    </row>
    <row r="1167" spans="1:24">
      <c r="A1167" s="297"/>
      <c r="B1167" s="299"/>
      <c r="C1167" s="299"/>
      <c r="D1167" s="312"/>
      <c r="K1167" s="332"/>
      <c r="O1167" s="333"/>
      <c r="W1167" s="333"/>
      <c r="X1167" s="333"/>
    </row>
    <row r="1168" spans="1:24">
      <c r="A1168" s="297"/>
      <c r="B1168" s="299"/>
      <c r="C1168" s="299"/>
      <c r="D1168" s="312"/>
      <c r="K1168" s="332"/>
      <c r="O1168" s="333"/>
      <c r="W1168" s="333"/>
      <c r="X1168" s="333"/>
    </row>
    <row r="1169" spans="1:24">
      <c r="A1169" s="297"/>
      <c r="B1169" s="299"/>
      <c r="C1169" s="299"/>
      <c r="D1169" s="312"/>
      <c r="K1169" s="332"/>
      <c r="O1169" s="333"/>
      <c r="W1169" s="333"/>
      <c r="X1169" s="333"/>
    </row>
    <row r="1170" spans="1:24">
      <c r="A1170" s="297"/>
      <c r="B1170" s="299"/>
      <c r="C1170" s="299"/>
      <c r="D1170" s="312"/>
      <c r="K1170" s="332"/>
      <c r="O1170" s="333"/>
      <c r="W1170" s="333"/>
      <c r="X1170" s="333"/>
    </row>
    <row r="1171" spans="1:24">
      <c r="A1171" s="297"/>
      <c r="B1171" s="299"/>
      <c r="C1171" s="299"/>
      <c r="D1171" s="312"/>
      <c r="K1171" s="332"/>
      <c r="O1171" s="333"/>
      <c r="W1171" s="333"/>
      <c r="X1171" s="333"/>
    </row>
    <row r="1172" spans="1:24">
      <c r="A1172" s="297"/>
      <c r="B1172" s="299"/>
      <c r="C1172" s="299"/>
      <c r="D1172" s="312"/>
      <c r="K1172" s="332"/>
      <c r="O1172" s="333"/>
      <c r="W1172" s="333"/>
      <c r="X1172" s="333"/>
    </row>
    <row r="1173" spans="1:24">
      <c r="A1173" s="297"/>
      <c r="B1173" s="299"/>
      <c r="C1173" s="299"/>
      <c r="D1173" s="312"/>
      <c r="K1173" s="332"/>
      <c r="O1173" s="333"/>
      <c r="W1173" s="333"/>
      <c r="X1173" s="333"/>
    </row>
    <row r="1174" spans="1:24">
      <c r="A1174" s="297"/>
      <c r="B1174" s="299"/>
      <c r="C1174" s="299"/>
      <c r="D1174" s="312"/>
      <c r="K1174" s="332"/>
      <c r="O1174" s="333"/>
      <c r="W1174" s="333"/>
      <c r="X1174" s="333"/>
    </row>
    <row r="1175" spans="1:24">
      <c r="A1175" s="297"/>
      <c r="B1175" s="299"/>
      <c r="C1175" s="299"/>
      <c r="D1175" s="312"/>
      <c r="K1175" s="332"/>
      <c r="O1175" s="333"/>
      <c r="W1175" s="333"/>
      <c r="X1175" s="333"/>
    </row>
    <row r="1176" spans="1:24">
      <c r="A1176" s="297"/>
      <c r="B1176" s="299"/>
      <c r="C1176" s="299"/>
      <c r="D1176" s="312"/>
      <c r="K1176" s="332"/>
      <c r="O1176" s="333"/>
      <c r="W1176" s="333"/>
      <c r="X1176" s="333"/>
    </row>
    <row r="1177" spans="1:24">
      <c r="A1177" s="297"/>
      <c r="B1177" s="299"/>
      <c r="C1177" s="299"/>
      <c r="D1177" s="312"/>
      <c r="K1177" s="332"/>
      <c r="O1177" s="333"/>
      <c r="W1177" s="333"/>
      <c r="X1177" s="333"/>
    </row>
    <row r="1178" spans="1:24">
      <c r="A1178" s="297"/>
      <c r="B1178" s="299"/>
      <c r="C1178" s="299"/>
      <c r="D1178" s="312"/>
      <c r="K1178" s="332"/>
      <c r="O1178" s="333"/>
      <c r="W1178" s="333"/>
      <c r="X1178" s="333"/>
    </row>
    <row r="1179" spans="1:24">
      <c r="A1179" s="297"/>
      <c r="B1179" s="299"/>
      <c r="C1179" s="299"/>
      <c r="D1179" s="312"/>
      <c r="K1179" s="332"/>
      <c r="O1179" s="333"/>
      <c r="W1179" s="333"/>
      <c r="X1179" s="333"/>
    </row>
    <row r="1180" spans="1:24">
      <c r="A1180" s="297"/>
      <c r="B1180" s="299"/>
      <c r="C1180" s="299"/>
      <c r="D1180" s="312"/>
      <c r="K1180" s="332"/>
      <c r="O1180" s="333"/>
      <c r="W1180" s="333"/>
      <c r="X1180" s="333"/>
    </row>
    <row r="1181" spans="1:24">
      <c r="A1181" s="297"/>
      <c r="B1181" s="299"/>
      <c r="C1181" s="299"/>
      <c r="D1181" s="312"/>
      <c r="K1181" s="332"/>
      <c r="O1181" s="333"/>
      <c r="W1181" s="333"/>
      <c r="X1181" s="333"/>
    </row>
    <row r="1182" spans="1:24">
      <c r="A1182" s="297"/>
      <c r="B1182" s="299"/>
      <c r="C1182" s="299"/>
      <c r="D1182" s="312"/>
      <c r="K1182" s="332"/>
      <c r="O1182" s="333"/>
      <c r="W1182" s="333"/>
      <c r="X1182" s="333"/>
    </row>
    <row r="1183" spans="1:24">
      <c r="A1183" s="297"/>
      <c r="B1183" s="299"/>
      <c r="C1183" s="299"/>
      <c r="D1183" s="312"/>
      <c r="K1183" s="332"/>
      <c r="O1183" s="333"/>
      <c r="W1183" s="333"/>
      <c r="X1183" s="333"/>
    </row>
    <row r="1184" spans="1:24">
      <c r="A1184" s="297"/>
      <c r="B1184" s="299"/>
      <c r="C1184" s="299"/>
      <c r="D1184" s="312"/>
      <c r="K1184" s="332"/>
      <c r="O1184" s="333"/>
      <c r="W1184" s="333"/>
      <c r="X1184" s="333"/>
    </row>
    <row r="1185" spans="1:24">
      <c r="A1185" s="297"/>
      <c r="B1185" s="299"/>
      <c r="C1185" s="299"/>
      <c r="D1185" s="312"/>
      <c r="K1185" s="332"/>
      <c r="O1185" s="333"/>
      <c r="W1185" s="333"/>
      <c r="X1185" s="333"/>
    </row>
    <row r="1186" spans="1:24">
      <c r="A1186" s="297"/>
      <c r="B1186" s="299"/>
      <c r="C1186" s="299"/>
      <c r="D1186" s="312"/>
      <c r="K1186" s="332"/>
      <c r="O1186" s="333"/>
      <c r="W1186" s="333"/>
      <c r="X1186" s="333"/>
    </row>
    <row r="1187" spans="1:24">
      <c r="A1187" s="297"/>
      <c r="B1187" s="299"/>
      <c r="C1187" s="299"/>
      <c r="D1187" s="312"/>
      <c r="K1187" s="332"/>
      <c r="O1187" s="333"/>
      <c r="W1187" s="333"/>
      <c r="X1187" s="333"/>
    </row>
    <row r="1188" spans="1:24">
      <c r="A1188" s="297"/>
      <c r="B1188" s="299"/>
      <c r="C1188" s="299"/>
      <c r="D1188" s="312"/>
      <c r="K1188" s="332"/>
      <c r="O1188" s="333"/>
      <c r="W1188" s="333"/>
      <c r="X1188" s="333"/>
    </row>
    <row r="1189" spans="1:24">
      <c r="A1189" s="297"/>
      <c r="B1189" s="299"/>
      <c r="C1189" s="299"/>
      <c r="D1189" s="312"/>
      <c r="K1189" s="332"/>
      <c r="O1189" s="333"/>
      <c r="W1189" s="333"/>
      <c r="X1189" s="333"/>
    </row>
    <row r="1190" spans="1:24">
      <c r="A1190" s="297"/>
      <c r="B1190" s="299"/>
      <c r="C1190" s="299"/>
      <c r="D1190" s="312"/>
      <c r="K1190" s="332"/>
      <c r="O1190" s="333"/>
      <c r="W1190" s="333"/>
      <c r="X1190" s="333"/>
    </row>
    <row r="1191" spans="1:24">
      <c r="A1191" s="297"/>
      <c r="B1191" s="299"/>
      <c r="C1191" s="299"/>
      <c r="D1191" s="312"/>
      <c r="K1191" s="332"/>
      <c r="O1191" s="333"/>
      <c r="W1191" s="333"/>
      <c r="X1191" s="333"/>
    </row>
    <row r="1192" spans="1:24">
      <c r="A1192" s="297"/>
      <c r="B1192" s="299"/>
      <c r="C1192" s="299"/>
      <c r="D1192" s="312"/>
      <c r="K1192" s="332"/>
      <c r="O1192" s="333"/>
      <c r="W1192" s="333"/>
      <c r="X1192" s="333"/>
    </row>
    <row r="1193" spans="1:24">
      <c r="A1193" s="297"/>
      <c r="B1193" s="299"/>
      <c r="C1193" s="299"/>
      <c r="D1193" s="312"/>
      <c r="K1193" s="332"/>
      <c r="O1193" s="333"/>
      <c r="W1193" s="333"/>
      <c r="X1193" s="333"/>
    </row>
    <row r="1194" spans="1:24">
      <c r="A1194" s="297"/>
      <c r="B1194" s="299"/>
      <c r="C1194" s="299"/>
      <c r="D1194" s="312"/>
      <c r="K1194" s="332"/>
      <c r="O1194" s="333"/>
      <c r="W1194" s="333"/>
      <c r="X1194" s="333"/>
    </row>
    <row r="1195" spans="1:24">
      <c r="A1195" s="297"/>
      <c r="B1195" s="299"/>
      <c r="C1195" s="299"/>
      <c r="D1195" s="312"/>
      <c r="K1195" s="332"/>
      <c r="O1195" s="333"/>
      <c r="W1195" s="333"/>
      <c r="X1195" s="333"/>
    </row>
    <row r="1196" spans="1:24">
      <c r="A1196" s="297"/>
      <c r="B1196" s="299"/>
      <c r="C1196" s="299"/>
      <c r="D1196" s="312"/>
      <c r="K1196" s="332"/>
      <c r="O1196" s="333"/>
      <c r="W1196" s="333"/>
      <c r="X1196" s="333"/>
    </row>
    <row r="1197" spans="1:24">
      <c r="A1197" s="297"/>
      <c r="B1197" s="299"/>
      <c r="C1197" s="299"/>
      <c r="D1197" s="312"/>
      <c r="K1197" s="332"/>
      <c r="O1197" s="333"/>
      <c r="W1197" s="333"/>
      <c r="X1197" s="333"/>
    </row>
    <row r="1198" spans="1:24">
      <c r="A1198" s="297"/>
      <c r="B1198" s="299"/>
      <c r="C1198" s="299"/>
      <c r="D1198" s="312"/>
      <c r="K1198" s="332"/>
      <c r="O1198" s="333"/>
      <c r="W1198" s="333"/>
      <c r="X1198" s="333"/>
    </row>
    <row r="1199" spans="1:24">
      <c r="A1199" s="297"/>
      <c r="B1199" s="299"/>
      <c r="C1199" s="299"/>
      <c r="D1199" s="312"/>
      <c r="K1199" s="332"/>
      <c r="O1199" s="333"/>
      <c r="W1199" s="333"/>
      <c r="X1199" s="333"/>
    </row>
    <row r="1200" spans="1:24">
      <c r="A1200" s="297"/>
      <c r="B1200" s="299"/>
      <c r="C1200" s="299"/>
      <c r="D1200" s="312"/>
      <c r="K1200" s="332"/>
      <c r="O1200" s="333"/>
      <c r="W1200" s="333"/>
      <c r="X1200" s="333"/>
    </row>
    <row r="1201" spans="1:24">
      <c r="A1201" s="297"/>
      <c r="B1201" s="299"/>
      <c r="C1201" s="299"/>
      <c r="D1201" s="312"/>
      <c r="K1201" s="332"/>
      <c r="O1201" s="333"/>
      <c r="W1201" s="333"/>
      <c r="X1201" s="333"/>
    </row>
    <row r="1202" spans="1:24">
      <c r="A1202" s="297"/>
      <c r="B1202" s="299"/>
      <c r="C1202" s="299"/>
      <c r="D1202" s="312"/>
      <c r="K1202" s="332"/>
      <c r="O1202" s="333"/>
      <c r="W1202" s="333"/>
      <c r="X1202" s="333"/>
    </row>
    <row r="1203" spans="1:24">
      <c r="A1203" s="297"/>
      <c r="B1203" s="299"/>
      <c r="C1203" s="299"/>
      <c r="D1203" s="312"/>
      <c r="K1203" s="332"/>
      <c r="O1203" s="333"/>
      <c r="W1203" s="333"/>
      <c r="X1203" s="333"/>
    </row>
    <row r="1204" spans="1:24">
      <c r="A1204" s="297"/>
      <c r="B1204" s="299"/>
      <c r="C1204" s="299"/>
      <c r="D1204" s="312"/>
      <c r="K1204" s="332"/>
      <c r="O1204" s="333"/>
      <c r="W1204" s="333"/>
      <c r="X1204" s="333"/>
    </row>
    <row r="1205" spans="1:24">
      <c r="A1205" s="297"/>
      <c r="B1205" s="299"/>
      <c r="C1205" s="299"/>
      <c r="D1205" s="312"/>
      <c r="K1205" s="332"/>
      <c r="O1205" s="333"/>
      <c r="W1205" s="333"/>
      <c r="X1205" s="333"/>
    </row>
    <row r="1206" spans="1:24">
      <c r="A1206" s="297"/>
      <c r="B1206" s="299"/>
      <c r="C1206" s="299"/>
      <c r="D1206" s="312"/>
      <c r="K1206" s="332"/>
      <c r="O1206" s="333"/>
      <c r="W1206" s="333"/>
      <c r="X1206" s="333"/>
    </row>
    <row r="1207" spans="1:24">
      <c r="A1207" s="297"/>
      <c r="B1207" s="299"/>
      <c r="C1207" s="299"/>
      <c r="D1207" s="312"/>
      <c r="K1207" s="332"/>
      <c r="O1207" s="333"/>
      <c r="W1207" s="333"/>
      <c r="X1207" s="333"/>
    </row>
    <row r="1208" spans="1:24">
      <c r="A1208" s="297"/>
      <c r="B1208" s="299"/>
      <c r="C1208" s="299"/>
      <c r="D1208" s="312"/>
      <c r="K1208" s="332"/>
      <c r="O1208" s="333"/>
      <c r="W1208" s="333"/>
      <c r="X1208" s="333"/>
    </row>
    <row r="1209" spans="1:24">
      <c r="A1209" s="297"/>
      <c r="B1209" s="299"/>
      <c r="C1209" s="299"/>
      <c r="D1209" s="312"/>
      <c r="K1209" s="332"/>
      <c r="O1209" s="333"/>
      <c r="W1209" s="333"/>
      <c r="X1209" s="333"/>
    </row>
    <row r="1210" spans="1:24">
      <c r="A1210" s="297"/>
      <c r="B1210" s="299"/>
      <c r="C1210" s="299"/>
      <c r="D1210" s="312"/>
      <c r="K1210" s="332"/>
      <c r="O1210" s="333"/>
      <c r="W1210" s="333"/>
      <c r="X1210" s="333"/>
    </row>
    <row r="1211" spans="1:24">
      <c r="A1211" s="297"/>
      <c r="B1211" s="299"/>
      <c r="C1211" s="299"/>
      <c r="D1211" s="312"/>
      <c r="K1211" s="332"/>
      <c r="O1211" s="333"/>
      <c r="W1211" s="333"/>
      <c r="X1211" s="333"/>
    </row>
    <row r="1212" spans="1:24">
      <c r="A1212" s="297"/>
      <c r="B1212" s="299"/>
      <c r="C1212" s="299"/>
      <c r="D1212" s="312"/>
      <c r="K1212" s="332"/>
      <c r="O1212" s="333"/>
      <c r="W1212" s="333"/>
      <c r="X1212" s="333"/>
    </row>
    <row r="1213" spans="1:24">
      <c r="A1213" s="297"/>
      <c r="B1213" s="299"/>
      <c r="C1213" s="299"/>
      <c r="D1213" s="312"/>
      <c r="K1213" s="332"/>
      <c r="O1213" s="333"/>
      <c r="W1213" s="333"/>
      <c r="X1213" s="333"/>
    </row>
    <row r="1214" spans="1:24">
      <c r="A1214" s="297"/>
      <c r="B1214" s="299"/>
      <c r="C1214" s="299"/>
      <c r="D1214" s="312"/>
      <c r="K1214" s="332"/>
      <c r="O1214" s="333"/>
      <c r="W1214" s="333"/>
      <c r="X1214" s="333"/>
    </row>
    <row r="1215" spans="1:24">
      <c r="A1215" s="297"/>
      <c r="B1215" s="299"/>
      <c r="C1215" s="299"/>
      <c r="D1215" s="312"/>
      <c r="K1215" s="332"/>
      <c r="O1215" s="333"/>
      <c r="W1215" s="333"/>
      <c r="X1215" s="333"/>
    </row>
    <row r="1216" spans="1:24">
      <c r="A1216" s="297"/>
      <c r="B1216" s="299"/>
      <c r="C1216" s="299"/>
      <c r="D1216" s="312"/>
      <c r="K1216" s="332"/>
      <c r="O1216" s="333"/>
      <c r="W1216" s="333"/>
      <c r="X1216" s="333"/>
    </row>
    <row r="1217" spans="1:24">
      <c r="A1217" s="297"/>
      <c r="B1217" s="299"/>
      <c r="C1217" s="299"/>
      <c r="D1217" s="312"/>
      <c r="K1217" s="332"/>
      <c r="O1217" s="333"/>
      <c r="W1217" s="333"/>
      <c r="X1217" s="333"/>
    </row>
    <row r="1218" spans="1:24">
      <c r="A1218" s="297"/>
      <c r="B1218" s="299"/>
      <c r="C1218" s="299"/>
      <c r="D1218" s="312"/>
      <c r="K1218" s="332"/>
      <c r="O1218" s="333"/>
      <c r="W1218" s="333"/>
      <c r="X1218" s="333"/>
    </row>
    <row r="1219" spans="1:24">
      <c r="A1219" s="297"/>
      <c r="B1219" s="299"/>
      <c r="C1219" s="299"/>
      <c r="D1219" s="312"/>
      <c r="K1219" s="332"/>
      <c r="O1219" s="333"/>
      <c r="W1219" s="333"/>
      <c r="X1219" s="333"/>
    </row>
    <row r="1220" spans="1:24">
      <c r="A1220" s="297"/>
      <c r="B1220" s="299"/>
      <c r="C1220" s="299"/>
      <c r="D1220" s="312"/>
      <c r="K1220" s="332"/>
      <c r="O1220" s="333"/>
      <c r="W1220" s="333"/>
      <c r="X1220" s="333"/>
    </row>
    <row r="1221" spans="1:24">
      <c r="A1221" s="297"/>
      <c r="B1221" s="299"/>
      <c r="C1221" s="299"/>
      <c r="D1221" s="312"/>
      <c r="K1221" s="332"/>
      <c r="O1221" s="333"/>
      <c r="W1221" s="333"/>
      <c r="X1221" s="333"/>
    </row>
    <row r="1222" spans="1:24">
      <c r="A1222" s="297"/>
      <c r="B1222" s="299"/>
      <c r="C1222" s="299"/>
      <c r="D1222" s="312"/>
      <c r="K1222" s="332"/>
      <c r="O1222" s="333"/>
      <c r="W1222" s="333"/>
      <c r="X1222" s="333"/>
    </row>
    <row r="1223" spans="1:24">
      <c r="A1223" s="297"/>
      <c r="B1223" s="299"/>
      <c r="C1223" s="299"/>
      <c r="D1223" s="312"/>
      <c r="K1223" s="332"/>
      <c r="O1223" s="333"/>
      <c r="W1223" s="333"/>
      <c r="X1223" s="333"/>
    </row>
    <row r="1224" spans="1:24">
      <c r="A1224" s="297"/>
      <c r="B1224" s="299"/>
      <c r="C1224" s="299"/>
      <c r="D1224" s="312"/>
      <c r="K1224" s="332"/>
      <c r="O1224" s="333"/>
      <c r="W1224" s="333"/>
      <c r="X1224" s="333"/>
    </row>
    <row r="1225" spans="1:24">
      <c r="A1225" s="297"/>
      <c r="B1225" s="299"/>
      <c r="C1225" s="299"/>
      <c r="D1225" s="312"/>
      <c r="K1225" s="332"/>
      <c r="O1225" s="333"/>
      <c r="W1225" s="333"/>
      <c r="X1225" s="333"/>
    </row>
    <row r="1226" spans="1:24">
      <c r="A1226" s="297"/>
      <c r="B1226" s="299"/>
      <c r="C1226" s="299"/>
      <c r="D1226" s="312"/>
      <c r="K1226" s="332"/>
      <c r="O1226" s="333"/>
      <c r="W1226" s="333"/>
      <c r="X1226" s="333"/>
    </row>
    <row r="1227" spans="1:24">
      <c r="A1227" s="297"/>
      <c r="B1227" s="299"/>
      <c r="C1227" s="299"/>
      <c r="D1227" s="312"/>
      <c r="K1227" s="332"/>
      <c r="O1227" s="333"/>
      <c r="W1227" s="333"/>
      <c r="X1227" s="333"/>
    </row>
    <row r="1228" spans="1:24">
      <c r="A1228" s="297"/>
      <c r="B1228" s="299"/>
      <c r="C1228" s="299"/>
      <c r="D1228" s="312"/>
      <c r="K1228" s="332"/>
      <c r="O1228" s="333"/>
      <c r="W1228" s="333"/>
      <c r="X1228" s="333"/>
    </row>
    <row r="1229" spans="1:24">
      <c r="A1229" s="297"/>
      <c r="B1229" s="299"/>
      <c r="C1229" s="299"/>
      <c r="D1229" s="312"/>
      <c r="K1229" s="332"/>
      <c r="O1229" s="333"/>
      <c r="W1229" s="333"/>
      <c r="X1229" s="333"/>
    </row>
    <row r="1230" spans="1:24">
      <c r="A1230" s="297"/>
      <c r="B1230" s="299"/>
      <c r="C1230" s="299"/>
      <c r="D1230" s="312"/>
      <c r="K1230" s="332"/>
      <c r="O1230" s="333"/>
      <c r="W1230" s="333"/>
      <c r="X1230" s="333"/>
    </row>
    <row r="1231" spans="1:24">
      <c r="A1231" s="297"/>
      <c r="B1231" s="299"/>
      <c r="C1231" s="299"/>
      <c r="D1231" s="312"/>
      <c r="K1231" s="332"/>
      <c r="O1231" s="333"/>
      <c r="W1231" s="333"/>
      <c r="X1231" s="333"/>
    </row>
    <row r="1232" spans="1:24">
      <c r="A1232" s="297"/>
      <c r="B1232" s="299"/>
      <c r="C1232" s="299"/>
      <c r="D1232" s="312"/>
      <c r="K1232" s="332"/>
      <c r="O1232" s="333"/>
      <c r="W1232" s="333"/>
      <c r="X1232" s="333"/>
    </row>
    <row r="1233" spans="1:24">
      <c r="A1233" s="297"/>
      <c r="B1233" s="299"/>
      <c r="C1233" s="299"/>
      <c r="D1233" s="312"/>
      <c r="K1233" s="332"/>
      <c r="O1233" s="333"/>
      <c r="W1233" s="333"/>
      <c r="X1233" s="333"/>
    </row>
    <row r="1234" spans="1:24">
      <c r="A1234" s="297"/>
      <c r="B1234" s="299"/>
      <c r="C1234" s="299"/>
      <c r="D1234" s="312"/>
      <c r="K1234" s="332"/>
      <c r="O1234" s="333"/>
      <c r="W1234" s="333"/>
      <c r="X1234" s="333"/>
    </row>
    <row r="1235" spans="1:24">
      <c r="A1235" s="297"/>
      <c r="B1235" s="299"/>
      <c r="C1235" s="299"/>
      <c r="D1235" s="312"/>
      <c r="K1235" s="332"/>
      <c r="O1235" s="333"/>
      <c r="W1235" s="333"/>
      <c r="X1235" s="333"/>
    </row>
    <row r="1236" spans="1:24">
      <c r="A1236" s="297"/>
      <c r="B1236" s="299"/>
      <c r="C1236" s="299"/>
      <c r="D1236" s="312"/>
      <c r="K1236" s="332"/>
      <c r="O1236" s="333"/>
      <c r="W1236" s="333"/>
      <c r="X1236" s="333"/>
    </row>
    <row r="1237" spans="1:24">
      <c r="A1237" s="297"/>
      <c r="B1237" s="299"/>
      <c r="C1237" s="299"/>
      <c r="D1237" s="312"/>
      <c r="K1237" s="332"/>
      <c r="O1237" s="333"/>
      <c r="W1237" s="333"/>
      <c r="X1237" s="333"/>
    </row>
    <row r="1238" spans="1:24">
      <c r="A1238" s="297"/>
      <c r="B1238" s="299"/>
      <c r="C1238" s="299"/>
      <c r="D1238" s="312"/>
      <c r="K1238" s="332"/>
      <c r="O1238" s="333"/>
      <c r="W1238" s="333"/>
      <c r="X1238" s="333"/>
    </row>
    <row r="1239" spans="1:24">
      <c r="A1239" s="297"/>
      <c r="B1239" s="299"/>
      <c r="C1239" s="299"/>
      <c r="D1239" s="312"/>
      <c r="K1239" s="332"/>
      <c r="O1239" s="333"/>
      <c r="W1239" s="333"/>
      <c r="X1239" s="333"/>
    </row>
    <row r="1240" spans="1:24">
      <c r="A1240" s="297"/>
      <c r="B1240" s="299"/>
      <c r="C1240" s="299"/>
      <c r="D1240" s="312"/>
      <c r="K1240" s="332"/>
      <c r="O1240" s="333"/>
      <c r="W1240" s="333"/>
      <c r="X1240" s="333"/>
    </row>
    <row r="1241" spans="1:24">
      <c r="A1241" s="297"/>
      <c r="B1241" s="299"/>
      <c r="C1241" s="299"/>
      <c r="D1241" s="312"/>
      <c r="K1241" s="332"/>
      <c r="O1241" s="333"/>
      <c r="W1241" s="333"/>
      <c r="X1241" s="333"/>
    </row>
    <row r="1242" spans="1:24">
      <c r="A1242" s="297"/>
      <c r="B1242" s="299"/>
      <c r="C1242" s="299"/>
      <c r="D1242" s="312"/>
      <c r="K1242" s="332"/>
      <c r="O1242" s="333"/>
      <c r="W1242" s="333"/>
      <c r="X1242" s="333"/>
    </row>
    <row r="1243" spans="1:24">
      <c r="A1243" s="297"/>
      <c r="B1243" s="299"/>
      <c r="C1243" s="299"/>
      <c r="D1243" s="312"/>
      <c r="K1243" s="332"/>
      <c r="O1243" s="333"/>
      <c r="W1243" s="333"/>
      <c r="X1243" s="333"/>
    </row>
    <row r="1244" spans="1:24">
      <c r="A1244" s="297"/>
      <c r="B1244" s="299"/>
      <c r="C1244" s="299"/>
      <c r="D1244" s="312"/>
      <c r="K1244" s="332"/>
      <c r="O1244" s="333"/>
      <c r="W1244" s="333"/>
      <c r="X1244" s="333"/>
    </row>
    <row r="1245" spans="1:24">
      <c r="A1245" s="297"/>
      <c r="B1245" s="299"/>
      <c r="C1245" s="299"/>
      <c r="D1245" s="312"/>
      <c r="K1245" s="332"/>
      <c r="O1245" s="333"/>
      <c r="W1245" s="333"/>
      <c r="X1245" s="333"/>
    </row>
    <row r="1246" spans="1:24">
      <c r="A1246" s="297"/>
      <c r="B1246" s="299"/>
      <c r="C1246" s="299"/>
      <c r="D1246" s="312"/>
      <c r="K1246" s="332"/>
      <c r="O1246" s="333"/>
      <c r="W1246" s="333"/>
      <c r="X1246" s="333"/>
    </row>
    <row r="1247" spans="1:24">
      <c r="A1247" s="297"/>
      <c r="B1247" s="299"/>
      <c r="C1247" s="299"/>
      <c r="D1247" s="312"/>
      <c r="K1247" s="332"/>
      <c r="O1247" s="333"/>
      <c r="W1247" s="333"/>
      <c r="X1247" s="333"/>
    </row>
    <row r="1248" spans="1:24">
      <c r="A1248" s="297"/>
      <c r="B1248" s="299"/>
      <c r="C1248" s="299"/>
      <c r="D1248" s="312"/>
      <c r="K1248" s="332"/>
      <c r="O1248" s="333"/>
      <c r="W1248" s="333"/>
      <c r="X1248" s="333"/>
    </row>
    <row r="1249" spans="1:24">
      <c r="A1249" s="297"/>
      <c r="B1249" s="299"/>
      <c r="C1249" s="299"/>
      <c r="D1249" s="312"/>
      <c r="K1249" s="332"/>
      <c r="O1249" s="333"/>
      <c r="W1249" s="333"/>
      <c r="X1249" s="333"/>
    </row>
    <row r="1250" spans="1:24">
      <c r="A1250" s="297"/>
      <c r="B1250" s="299"/>
      <c r="C1250" s="299"/>
      <c r="D1250" s="312"/>
      <c r="K1250" s="332"/>
      <c r="O1250" s="333"/>
      <c r="W1250" s="333"/>
      <c r="X1250" s="333"/>
    </row>
    <row r="1251" spans="1:24">
      <c r="A1251" s="297"/>
      <c r="B1251" s="299"/>
      <c r="C1251" s="299"/>
      <c r="D1251" s="312"/>
      <c r="K1251" s="332"/>
      <c r="O1251" s="333"/>
      <c r="W1251" s="333"/>
      <c r="X1251" s="333"/>
    </row>
    <row r="1252" spans="1:24">
      <c r="A1252" s="297"/>
      <c r="B1252" s="299"/>
      <c r="C1252" s="299"/>
      <c r="D1252" s="312"/>
      <c r="K1252" s="332"/>
      <c r="O1252" s="333"/>
      <c r="W1252" s="333"/>
      <c r="X1252" s="333"/>
    </row>
    <row r="1253" spans="1:24">
      <c r="A1253" s="297"/>
      <c r="B1253" s="299"/>
      <c r="C1253" s="299"/>
      <c r="D1253" s="312"/>
      <c r="K1253" s="332"/>
      <c r="O1253" s="333"/>
      <c r="W1253" s="333"/>
      <c r="X1253" s="333"/>
    </row>
    <row r="1254" spans="1:24">
      <c r="A1254" s="297"/>
      <c r="B1254" s="299"/>
      <c r="C1254" s="299"/>
      <c r="D1254" s="312"/>
      <c r="K1254" s="332"/>
      <c r="O1254" s="333"/>
      <c r="W1254" s="333"/>
      <c r="X1254" s="333"/>
    </row>
    <row r="1255" spans="1:24">
      <c r="A1255" s="297"/>
      <c r="B1255" s="299"/>
      <c r="C1255" s="299"/>
      <c r="D1255" s="312"/>
      <c r="K1255" s="332"/>
      <c r="O1255" s="333"/>
      <c r="W1255" s="333"/>
      <c r="X1255" s="333"/>
    </row>
    <row r="1256" spans="1:24">
      <c r="A1256" s="297"/>
      <c r="B1256" s="299"/>
      <c r="C1256" s="299"/>
      <c r="D1256" s="312"/>
      <c r="K1256" s="332"/>
      <c r="O1256" s="333"/>
      <c r="W1256" s="333"/>
      <c r="X1256" s="333"/>
    </row>
    <row r="1257" spans="1:24">
      <c r="A1257" s="297"/>
      <c r="B1257" s="299"/>
      <c r="C1257" s="299"/>
      <c r="D1257" s="312"/>
      <c r="K1257" s="332"/>
      <c r="O1257" s="333"/>
      <c r="W1257" s="333"/>
      <c r="X1257" s="333"/>
    </row>
    <row r="1258" spans="1:24">
      <c r="A1258" s="297"/>
      <c r="B1258" s="299"/>
      <c r="C1258" s="299"/>
      <c r="D1258" s="312"/>
      <c r="K1258" s="332"/>
      <c r="O1258" s="333"/>
      <c r="W1258" s="333"/>
      <c r="X1258" s="333"/>
    </row>
    <row r="1259" spans="1:24">
      <c r="A1259" s="297"/>
      <c r="B1259" s="299"/>
      <c r="C1259" s="299"/>
      <c r="D1259" s="312"/>
      <c r="K1259" s="332"/>
      <c r="O1259" s="333"/>
      <c r="W1259" s="333"/>
      <c r="X1259" s="333"/>
    </row>
    <row r="1260" spans="1:24">
      <c r="A1260" s="297"/>
      <c r="B1260" s="299"/>
      <c r="C1260" s="299"/>
      <c r="D1260" s="312"/>
      <c r="K1260" s="332"/>
      <c r="O1260" s="333"/>
      <c r="W1260" s="333"/>
      <c r="X1260" s="333"/>
    </row>
    <row r="1261" spans="1:24">
      <c r="A1261" s="297"/>
      <c r="B1261" s="299"/>
      <c r="C1261" s="299"/>
      <c r="D1261" s="312"/>
      <c r="K1261" s="332"/>
      <c r="O1261" s="333"/>
      <c r="W1261" s="333"/>
      <c r="X1261" s="333"/>
    </row>
    <row r="1262" spans="1:24">
      <c r="A1262" s="297"/>
      <c r="B1262" s="299"/>
      <c r="C1262" s="299"/>
      <c r="D1262" s="312"/>
      <c r="K1262" s="332"/>
      <c r="O1262" s="333"/>
      <c r="W1262" s="333"/>
      <c r="X1262" s="333"/>
    </row>
    <row r="1263" spans="1:24">
      <c r="A1263" s="297"/>
      <c r="B1263" s="299"/>
      <c r="C1263" s="299"/>
      <c r="D1263" s="312"/>
      <c r="K1263" s="332"/>
      <c r="O1263" s="333"/>
      <c r="W1263" s="333"/>
      <c r="X1263" s="333"/>
    </row>
    <row r="1264" spans="1:24">
      <c r="A1264" s="297"/>
      <c r="B1264" s="299"/>
      <c r="C1264" s="299"/>
      <c r="D1264" s="312"/>
      <c r="K1264" s="332"/>
      <c r="O1264" s="333"/>
      <c r="W1264" s="333"/>
      <c r="X1264" s="333"/>
    </row>
    <row r="1265" spans="1:24">
      <c r="A1265" s="297"/>
      <c r="B1265" s="299"/>
      <c r="C1265" s="299"/>
      <c r="D1265" s="312"/>
      <c r="K1265" s="332"/>
      <c r="O1265" s="333"/>
      <c r="W1265" s="333"/>
      <c r="X1265" s="333"/>
    </row>
    <row r="1266" spans="1:24">
      <c r="A1266" s="297"/>
      <c r="B1266" s="299"/>
      <c r="C1266" s="299"/>
      <c r="D1266" s="312"/>
      <c r="K1266" s="332"/>
      <c r="O1266" s="333"/>
      <c r="W1266" s="333"/>
      <c r="X1266" s="333"/>
    </row>
    <row r="1267" spans="1:24">
      <c r="A1267" s="297"/>
      <c r="B1267" s="299"/>
      <c r="C1267" s="299"/>
      <c r="D1267" s="312"/>
      <c r="K1267" s="332"/>
      <c r="O1267" s="333"/>
      <c r="W1267" s="333"/>
      <c r="X1267" s="333"/>
    </row>
    <row r="1268" spans="1:24">
      <c r="A1268" s="297"/>
      <c r="B1268" s="299"/>
      <c r="C1268" s="299"/>
      <c r="D1268" s="312"/>
      <c r="K1268" s="332"/>
      <c r="O1268" s="333"/>
      <c r="W1268" s="333"/>
      <c r="X1268" s="333"/>
    </row>
    <row r="1269" spans="1:24">
      <c r="A1269" s="297"/>
      <c r="B1269" s="299"/>
      <c r="C1269" s="299"/>
      <c r="D1269" s="312"/>
      <c r="K1269" s="332"/>
      <c r="O1269" s="333"/>
      <c r="W1269" s="333"/>
      <c r="X1269" s="333"/>
    </row>
    <row r="1270" spans="1:24">
      <c r="A1270" s="297"/>
      <c r="B1270" s="299"/>
      <c r="C1270" s="299"/>
      <c r="D1270" s="312"/>
      <c r="K1270" s="332"/>
      <c r="O1270" s="333"/>
      <c r="W1270" s="333"/>
      <c r="X1270" s="333"/>
    </row>
    <row r="1271" spans="1:24">
      <c r="A1271" s="297"/>
      <c r="B1271" s="299"/>
      <c r="C1271" s="299"/>
      <c r="D1271" s="312"/>
      <c r="K1271" s="332"/>
      <c r="O1271" s="333"/>
      <c r="W1271" s="333"/>
      <c r="X1271" s="333"/>
    </row>
    <row r="1272" spans="1:24">
      <c r="A1272" s="297"/>
      <c r="B1272" s="299"/>
      <c r="C1272" s="299"/>
      <c r="D1272" s="312"/>
      <c r="K1272" s="332"/>
      <c r="O1272" s="333"/>
      <c r="W1272" s="333"/>
      <c r="X1272" s="333"/>
    </row>
    <row r="1273" spans="1:24">
      <c r="A1273" s="297"/>
      <c r="B1273" s="299"/>
      <c r="C1273" s="299"/>
      <c r="D1273" s="312"/>
      <c r="K1273" s="332"/>
      <c r="O1273" s="333"/>
      <c r="W1273" s="333"/>
      <c r="X1273" s="333"/>
    </row>
    <row r="1274" spans="1:24">
      <c r="A1274" s="297"/>
      <c r="B1274" s="299"/>
      <c r="C1274" s="299"/>
      <c r="D1274" s="312"/>
      <c r="K1274" s="332"/>
      <c r="O1274" s="333"/>
      <c r="W1274" s="333"/>
      <c r="X1274" s="333"/>
    </row>
    <row r="1275" spans="1:24">
      <c r="A1275" s="297"/>
      <c r="B1275" s="299"/>
      <c r="C1275" s="299"/>
      <c r="D1275" s="312"/>
      <c r="K1275" s="332"/>
      <c r="O1275" s="333"/>
      <c r="W1275" s="333"/>
      <c r="X1275" s="333"/>
    </row>
    <row r="1276" spans="1:24">
      <c r="A1276" s="297"/>
      <c r="B1276" s="299"/>
      <c r="C1276" s="299"/>
      <c r="D1276" s="312"/>
      <c r="K1276" s="332"/>
      <c r="O1276" s="333"/>
      <c r="W1276" s="333"/>
      <c r="X1276" s="333"/>
    </row>
    <row r="1277" spans="1:24">
      <c r="A1277" s="297"/>
      <c r="B1277" s="299"/>
      <c r="C1277" s="299"/>
      <c r="D1277" s="312"/>
      <c r="K1277" s="332"/>
      <c r="O1277" s="333"/>
      <c r="W1277" s="333"/>
      <c r="X1277" s="333"/>
    </row>
    <row r="1278" spans="1:24">
      <c r="A1278" s="297"/>
      <c r="B1278" s="299"/>
      <c r="C1278" s="299"/>
      <c r="D1278" s="312"/>
      <c r="K1278" s="332"/>
      <c r="O1278" s="333"/>
      <c r="W1278" s="333"/>
      <c r="X1278" s="333"/>
    </row>
    <row r="1279" spans="1:24">
      <c r="A1279" s="297"/>
      <c r="B1279" s="299"/>
      <c r="C1279" s="299"/>
      <c r="D1279" s="312"/>
      <c r="K1279" s="332"/>
      <c r="O1279" s="333"/>
      <c r="W1279" s="333"/>
      <c r="X1279" s="333"/>
    </row>
    <row r="1280" spans="1:24">
      <c r="A1280" s="297"/>
      <c r="B1280" s="299"/>
      <c r="C1280" s="299"/>
      <c r="D1280" s="312"/>
      <c r="K1280" s="332"/>
      <c r="O1280" s="333"/>
      <c r="W1280" s="333"/>
      <c r="X1280" s="333"/>
    </row>
    <row r="1281" spans="1:24">
      <c r="A1281" s="297"/>
      <c r="B1281" s="299"/>
      <c r="C1281" s="299"/>
      <c r="D1281" s="312"/>
      <c r="K1281" s="332"/>
      <c r="O1281" s="333"/>
      <c r="W1281" s="333"/>
      <c r="X1281" s="333"/>
    </row>
    <row r="1282" spans="1:24">
      <c r="A1282" s="297"/>
      <c r="B1282" s="299"/>
      <c r="C1282" s="299"/>
      <c r="D1282" s="312"/>
      <c r="K1282" s="332"/>
      <c r="O1282" s="333"/>
      <c r="W1282" s="333"/>
      <c r="X1282" s="333"/>
    </row>
    <row r="1283" spans="1:24">
      <c r="A1283" s="297"/>
      <c r="B1283" s="299"/>
      <c r="C1283" s="299"/>
      <c r="D1283" s="312"/>
      <c r="K1283" s="332"/>
      <c r="O1283" s="333"/>
      <c r="W1283" s="333"/>
      <c r="X1283" s="333"/>
    </row>
    <row r="1284" spans="1:24">
      <c r="A1284" s="297"/>
      <c r="B1284" s="299"/>
      <c r="C1284" s="299"/>
      <c r="D1284" s="312"/>
      <c r="K1284" s="332"/>
      <c r="O1284" s="333"/>
      <c r="W1284" s="333"/>
      <c r="X1284" s="333"/>
    </row>
    <row r="1285" spans="1:24">
      <c r="A1285" s="297"/>
      <c r="B1285" s="299"/>
      <c r="C1285" s="299"/>
      <c r="D1285" s="312"/>
      <c r="K1285" s="332"/>
      <c r="O1285" s="333"/>
      <c r="W1285" s="333"/>
      <c r="X1285" s="333"/>
    </row>
    <row r="1286" spans="1:24">
      <c r="A1286" s="297"/>
      <c r="B1286" s="299"/>
      <c r="C1286" s="299"/>
      <c r="D1286" s="312"/>
      <c r="K1286" s="332"/>
      <c r="O1286" s="333"/>
      <c r="W1286" s="333"/>
      <c r="X1286" s="333"/>
    </row>
    <row r="1287" spans="1:24">
      <c r="A1287" s="297"/>
      <c r="B1287" s="299"/>
      <c r="C1287" s="299"/>
      <c r="D1287" s="312"/>
      <c r="K1287" s="332"/>
      <c r="O1287" s="333"/>
      <c r="W1287" s="333"/>
      <c r="X1287" s="333"/>
    </row>
    <row r="1288" spans="1:24">
      <c r="A1288" s="297"/>
      <c r="B1288" s="299"/>
      <c r="C1288" s="299"/>
      <c r="D1288" s="312"/>
      <c r="K1288" s="332"/>
      <c r="O1288" s="333"/>
      <c r="W1288" s="333"/>
      <c r="X1288" s="333"/>
    </row>
    <row r="1289" spans="1:24">
      <c r="A1289" s="297"/>
      <c r="B1289" s="299"/>
      <c r="C1289" s="299"/>
      <c r="D1289" s="312"/>
      <c r="K1289" s="332"/>
      <c r="O1289" s="333"/>
      <c r="W1289" s="333"/>
      <c r="X1289" s="333"/>
    </row>
    <row r="1290" spans="1:24">
      <c r="A1290" s="297"/>
      <c r="B1290" s="299"/>
      <c r="C1290" s="299"/>
      <c r="D1290" s="312"/>
      <c r="K1290" s="332"/>
      <c r="O1290" s="333"/>
      <c r="W1290" s="333"/>
      <c r="X1290" s="333"/>
    </row>
    <row r="1291" spans="1:24">
      <c r="A1291" s="297"/>
      <c r="B1291" s="299"/>
      <c r="C1291" s="299"/>
      <c r="D1291" s="312"/>
      <c r="K1291" s="332"/>
      <c r="O1291" s="333"/>
      <c r="W1291" s="333"/>
      <c r="X1291" s="333"/>
    </row>
    <row r="1292" spans="1:24">
      <c r="A1292" s="297"/>
      <c r="B1292" s="299"/>
      <c r="C1292" s="299"/>
      <c r="D1292" s="312"/>
      <c r="K1292" s="332"/>
      <c r="O1292" s="333"/>
      <c r="W1292" s="333"/>
      <c r="X1292" s="333"/>
    </row>
    <row r="1293" spans="1:24">
      <c r="A1293" s="297"/>
      <c r="B1293" s="299"/>
      <c r="C1293" s="299"/>
      <c r="D1293" s="312"/>
      <c r="K1293" s="332"/>
      <c r="O1293" s="333"/>
      <c r="W1293" s="333"/>
      <c r="X1293" s="333"/>
    </row>
    <row r="1294" spans="1:24">
      <c r="A1294" s="297"/>
      <c r="B1294" s="299"/>
      <c r="C1294" s="299"/>
      <c r="D1294" s="312"/>
      <c r="K1294" s="332"/>
      <c r="O1294" s="333"/>
      <c r="W1294" s="333"/>
      <c r="X1294" s="333"/>
    </row>
    <row r="1295" spans="1:24">
      <c r="A1295" s="297"/>
      <c r="B1295" s="299"/>
      <c r="C1295" s="299"/>
      <c r="D1295" s="312"/>
      <c r="K1295" s="332"/>
      <c r="O1295" s="333"/>
      <c r="W1295" s="333"/>
      <c r="X1295" s="333"/>
    </row>
    <row r="1296" spans="1:24">
      <c r="A1296" s="297"/>
      <c r="B1296" s="299"/>
      <c r="C1296" s="299"/>
      <c r="D1296" s="312"/>
      <c r="K1296" s="332"/>
      <c r="O1296" s="333"/>
      <c r="W1296" s="333"/>
      <c r="X1296" s="333"/>
    </row>
    <row r="1297" spans="1:24">
      <c r="A1297" s="297"/>
      <c r="B1297" s="299"/>
      <c r="C1297" s="299"/>
      <c r="D1297" s="312"/>
      <c r="K1297" s="332"/>
      <c r="O1297" s="333"/>
      <c r="W1297" s="333"/>
      <c r="X1297" s="333"/>
    </row>
    <row r="1298" spans="1:24">
      <c r="A1298" s="297"/>
      <c r="B1298" s="299"/>
      <c r="C1298" s="299"/>
      <c r="D1298" s="312"/>
      <c r="K1298" s="332"/>
      <c r="O1298" s="333"/>
      <c r="W1298" s="333"/>
      <c r="X1298" s="333"/>
    </row>
    <row r="1299" spans="1:24">
      <c r="A1299" s="297"/>
      <c r="B1299" s="299"/>
      <c r="C1299" s="299"/>
      <c r="D1299" s="312"/>
      <c r="K1299" s="332"/>
      <c r="O1299" s="333"/>
      <c r="W1299" s="333"/>
      <c r="X1299" s="333"/>
    </row>
    <row r="1300" spans="1:24">
      <c r="A1300" s="297"/>
      <c r="B1300" s="299"/>
      <c r="C1300" s="299"/>
      <c r="D1300" s="312"/>
      <c r="K1300" s="332"/>
      <c r="O1300" s="333"/>
      <c r="W1300" s="333"/>
      <c r="X1300" s="333"/>
    </row>
    <row r="1301" spans="1:24">
      <c r="A1301" s="297"/>
      <c r="B1301" s="299"/>
      <c r="C1301" s="299"/>
      <c r="D1301" s="312"/>
      <c r="K1301" s="332"/>
      <c r="O1301" s="333"/>
      <c r="W1301" s="333"/>
      <c r="X1301" s="333"/>
    </row>
    <row r="1302" spans="1:24">
      <c r="A1302" s="297"/>
      <c r="B1302" s="299"/>
      <c r="C1302" s="299"/>
      <c r="D1302" s="312"/>
      <c r="K1302" s="332"/>
      <c r="O1302" s="333"/>
      <c r="W1302" s="333"/>
      <c r="X1302" s="333"/>
    </row>
    <row r="1303" spans="1:24">
      <c r="A1303" s="297"/>
      <c r="B1303" s="299"/>
      <c r="C1303" s="299"/>
      <c r="D1303" s="312"/>
      <c r="K1303" s="332"/>
      <c r="O1303" s="333"/>
      <c r="W1303" s="333"/>
      <c r="X1303" s="333"/>
    </row>
    <row r="1304" spans="1:24">
      <c r="A1304" s="297"/>
      <c r="B1304" s="299"/>
      <c r="C1304" s="299"/>
      <c r="D1304" s="312"/>
      <c r="K1304" s="332"/>
      <c r="O1304" s="333"/>
      <c r="W1304" s="333"/>
      <c r="X1304" s="333"/>
    </row>
    <row r="1305" spans="1:24">
      <c r="A1305" s="297"/>
      <c r="B1305" s="299"/>
      <c r="C1305" s="299"/>
      <c r="D1305" s="312"/>
      <c r="K1305" s="332"/>
      <c r="O1305" s="333"/>
      <c r="W1305" s="333"/>
      <c r="X1305" s="333"/>
    </row>
    <row r="1306" spans="1:24">
      <c r="A1306" s="297"/>
      <c r="B1306" s="299"/>
      <c r="C1306" s="299"/>
      <c r="D1306" s="312"/>
      <c r="K1306" s="332"/>
      <c r="O1306" s="333"/>
      <c r="W1306" s="333"/>
      <c r="X1306" s="333"/>
    </row>
    <row r="1307" spans="1:24">
      <c r="A1307" s="297"/>
      <c r="B1307" s="299"/>
      <c r="C1307" s="299"/>
      <c r="D1307" s="312"/>
      <c r="K1307" s="332"/>
      <c r="O1307" s="333"/>
      <c r="W1307" s="333"/>
      <c r="X1307" s="333"/>
    </row>
    <row r="1308" spans="1:24">
      <c r="A1308" s="297"/>
      <c r="B1308" s="299"/>
      <c r="C1308" s="299"/>
      <c r="D1308" s="312"/>
      <c r="K1308" s="332"/>
      <c r="O1308" s="333"/>
      <c r="W1308" s="333"/>
      <c r="X1308" s="333"/>
    </row>
    <row r="1309" spans="1:24">
      <c r="A1309" s="297"/>
      <c r="B1309" s="299"/>
      <c r="C1309" s="299"/>
      <c r="D1309" s="312"/>
      <c r="K1309" s="332"/>
      <c r="O1309" s="333"/>
      <c r="W1309" s="333"/>
      <c r="X1309" s="333"/>
    </row>
    <row r="1310" spans="1:24">
      <c r="A1310" s="297"/>
      <c r="B1310" s="299"/>
      <c r="C1310" s="299"/>
      <c r="D1310" s="312"/>
      <c r="K1310" s="332"/>
      <c r="O1310" s="333"/>
      <c r="W1310" s="333"/>
      <c r="X1310" s="333"/>
    </row>
    <row r="1311" spans="1:24">
      <c r="A1311" s="297"/>
      <c r="B1311" s="299"/>
      <c r="C1311" s="299"/>
      <c r="D1311" s="312"/>
      <c r="K1311" s="332"/>
      <c r="O1311" s="333"/>
      <c r="W1311" s="333"/>
      <c r="X1311" s="333"/>
    </row>
    <row r="1312" spans="1:24">
      <c r="A1312" s="297"/>
      <c r="B1312" s="299"/>
      <c r="C1312" s="299"/>
      <c r="D1312" s="312"/>
      <c r="K1312" s="332"/>
      <c r="O1312" s="333"/>
      <c r="W1312" s="333"/>
      <c r="X1312" s="333"/>
    </row>
    <row r="1313" spans="1:24">
      <c r="A1313" s="297"/>
      <c r="B1313" s="299"/>
      <c r="C1313" s="299"/>
      <c r="D1313" s="312"/>
      <c r="K1313" s="332"/>
      <c r="O1313" s="333"/>
      <c r="W1313" s="333"/>
      <c r="X1313" s="333"/>
    </row>
    <row r="1314" spans="1:24">
      <c r="A1314" s="297"/>
      <c r="B1314" s="299"/>
      <c r="C1314" s="299"/>
      <c r="D1314" s="312"/>
      <c r="K1314" s="332"/>
      <c r="O1314" s="333"/>
      <c r="W1314" s="333"/>
      <c r="X1314" s="333"/>
    </row>
    <row r="1315" spans="1:24">
      <c r="A1315" s="297"/>
      <c r="B1315" s="299"/>
      <c r="C1315" s="299"/>
      <c r="D1315" s="312"/>
      <c r="K1315" s="332"/>
      <c r="O1315" s="333"/>
      <c r="W1315" s="333"/>
      <c r="X1315" s="333"/>
    </row>
    <row r="1316" spans="1:24">
      <c r="A1316" s="297"/>
      <c r="B1316" s="299"/>
      <c r="C1316" s="299"/>
      <c r="D1316" s="312"/>
      <c r="K1316" s="332"/>
      <c r="O1316" s="333"/>
      <c r="W1316" s="333"/>
      <c r="X1316" s="333"/>
    </row>
    <row r="1317" spans="1:24">
      <c r="A1317" s="297"/>
      <c r="B1317" s="299"/>
      <c r="C1317" s="299"/>
      <c r="D1317" s="312"/>
      <c r="K1317" s="332"/>
      <c r="O1317" s="333"/>
      <c r="W1317" s="333"/>
      <c r="X1317" s="333"/>
    </row>
    <row r="1318" spans="1:24">
      <c r="A1318" s="297"/>
      <c r="B1318" s="299"/>
      <c r="C1318" s="299"/>
      <c r="D1318" s="312"/>
      <c r="K1318" s="332"/>
      <c r="O1318" s="333"/>
      <c r="W1318" s="333"/>
      <c r="X1318" s="333"/>
    </row>
    <row r="1319" spans="1:24">
      <c r="A1319" s="297"/>
      <c r="B1319" s="299"/>
      <c r="C1319" s="299"/>
      <c r="D1319" s="312"/>
      <c r="K1319" s="332"/>
      <c r="O1319" s="333"/>
      <c r="W1319" s="333"/>
      <c r="X1319" s="333"/>
    </row>
    <row r="1320" spans="1:24">
      <c r="A1320" s="297"/>
      <c r="B1320" s="299"/>
      <c r="C1320" s="299"/>
      <c r="D1320" s="312"/>
      <c r="K1320" s="332"/>
      <c r="O1320" s="333"/>
      <c r="W1320" s="333"/>
      <c r="X1320" s="333"/>
    </row>
    <row r="1321" spans="1:24">
      <c r="A1321" s="297"/>
      <c r="B1321" s="299"/>
      <c r="C1321" s="299"/>
      <c r="D1321" s="312"/>
      <c r="K1321" s="332"/>
      <c r="O1321" s="333"/>
      <c r="W1321" s="333"/>
      <c r="X1321" s="333"/>
    </row>
    <row r="1322" spans="1:24">
      <c r="A1322" s="297"/>
      <c r="B1322" s="299"/>
      <c r="C1322" s="299"/>
      <c r="D1322" s="312"/>
      <c r="K1322" s="332"/>
      <c r="O1322" s="333"/>
      <c r="W1322" s="333"/>
      <c r="X1322" s="333"/>
    </row>
    <row r="1323" spans="1:24">
      <c r="A1323" s="297"/>
      <c r="B1323" s="299"/>
      <c r="C1323" s="299"/>
      <c r="D1323" s="312"/>
      <c r="K1323" s="332"/>
      <c r="O1323" s="333"/>
      <c r="W1323" s="333"/>
      <c r="X1323" s="333"/>
    </row>
    <row r="1324" spans="1:24">
      <c r="A1324" s="297"/>
      <c r="B1324" s="299"/>
      <c r="C1324" s="299"/>
      <c r="D1324" s="312"/>
      <c r="K1324" s="332"/>
      <c r="O1324" s="333"/>
      <c r="W1324" s="333"/>
      <c r="X1324" s="333"/>
    </row>
    <row r="1325" spans="1:24">
      <c r="A1325" s="297"/>
      <c r="B1325" s="299"/>
      <c r="C1325" s="299"/>
      <c r="D1325" s="312"/>
      <c r="K1325" s="332"/>
      <c r="O1325" s="333"/>
      <c r="W1325" s="333"/>
      <c r="X1325" s="333"/>
    </row>
    <row r="1326" spans="1:24">
      <c r="A1326" s="297"/>
      <c r="B1326" s="299"/>
      <c r="C1326" s="299"/>
      <c r="D1326" s="312"/>
      <c r="K1326" s="332"/>
      <c r="O1326" s="333"/>
      <c r="W1326" s="333"/>
      <c r="X1326" s="333"/>
    </row>
    <row r="1327" spans="1:24">
      <c r="A1327" s="297"/>
      <c r="B1327" s="299"/>
      <c r="C1327" s="299"/>
      <c r="D1327" s="312"/>
      <c r="K1327" s="332"/>
      <c r="O1327" s="333"/>
      <c r="W1327" s="333"/>
      <c r="X1327" s="333"/>
    </row>
    <row r="1328" spans="1:24">
      <c r="A1328" s="297"/>
      <c r="B1328" s="299"/>
      <c r="C1328" s="299"/>
      <c r="D1328" s="312"/>
      <c r="K1328" s="332"/>
      <c r="O1328" s="333"/>
      <c r="W1328" s="333"/>
      <c r="X1328" s="333"/>
    </row>
    <row r="1329" spans="1:24">
      <c r="A1329" s="297"/>
      <c r="B1329" s="299"/>
      <c r="C1329" s="299"/>
      <c r="D1329" s="312"/>
      <c r="K1329" s="332"/>
      <c r="O1329" s="333"/>
      <c r="W1329" s="333"/>
      <c r="X1329" s="333"/>
    </row>
    <row r="1330" spans="1:24">
      <c r="A1330" s="297"/>
      <c r="B1330" s="299"/>
      <c r="C1330" s="299"/>
      <c r="D1330" s="312"/>
      <c r="K1330" s="332"/>
      <c r="O1330" s="333"/>
      <c r="W1330" s="333"/>
      <c r="X1330" s="333"/>
    </row>
    <row r="1331" spans="1:24">
      <c r="A1331" s="297"/>
      <c r="B1331" s="299"/>
      <c r="C1331" s="299"/>
      <c r="D1331" s="312"/>
      <c r="K1331" s="332"/>
      <c r="O1331" s="333"/>
      <c r="W1331" s="333"/>
      <c r="X1331" s="333"/>
    </row>
    <row r="1332" spans="1:24">
      <c r="A1332" s="297"/>
      <c r="B1332" s="299"/>
      <c r="C1332" s="299"/>
      <c r="D1332" s="312"/>
      <c r="K1332" s="332"/>
      <c r="O1332" s="333"/>
      <c r="W1332" s="333"/>
      <c r="X1332" s="333"/>
    </row>
    <row r="1333" spans="1:24">
      <c r="A1333" s="297"/>
      <c r="B1333" s="299"/>
      <c r="C1333" s="299"/>
      <c r="D1333" s="312"/>
      <c r="K1333" s="332"/>
      <c r="O1333" s="333"/>
      <c r="W1333" s="333"/>
      <c r="X1333" s="333"/>
    </row>
    <row r="1334" spans="1:24">
      <c r="A1334" s="297"/>
      <c r="B1334" s="299"/>
      <c r="C1334" s="299"/>
      <c r="D1334" s="312"/>
      <c r="K1334" s="332"/>
      <c r="O1334" s="333"/>
      <c r="W1334" s="333"/>
      <c r="X1334" s="333"/>
    </row>
    <row r="1335" spans="1:24">
      <c r="A1335" s="297"/>
      <c r="B1335" s="299"/>
      <c r="C1335" s="299"/>
      <c r="D1335" s="312"/>
      <c r="K1335" s="332"/>
      <c r="O1335" s="333"/>
      <c r="W1335" s="333"/>
      <c r="X1335" s="333"/>
    </row>
    <row r="1336" spans="1:24">
      <c r="A1336" s="297"/>
      <c r="B1336" s="299"/>
      <c r="C1336" s="299"/>
      <c r="D1336" s="312"/>
      <c r="K1336" s="332"/>
      <c r="O1336" s="333"/>
      <c r="W1336" s="333"/>
      <c r="X1336" s="333"/>
    </row>
    <row r="1337" spans="1:24">
      <c r="A1337" s="297"/>
      <c r="B1337" s="299"/>
      <c r="C1337" s="299"/>
      <c r="D1337" s="312"/>
      <c r="K1337" s="332"/>
      <c r="O1337" s="333"/>
      <c r="W1337" s="333"/>
      <c r="X1337" s="333"/>
    </row>
    <row r="1338" spans="1:24">
      <c r="A1338" s="297"/>
      <c r="B1338" s="299"/>
      <c r="C1338" s="299"/>
      <c r="D1338" s="312"/>
      <c r="K1338" s="332"/>
      <c r="O1338" s="333"/>
      <c r="W1338" s="333"/>
      <c r="X1338" s="333"/>
    </row>
    <row r="1339" spans="1:24">
      <c r="A1339" s="297"/>
      <c r="B1339" s="299"/>
      <c r="C1339" s="299"/>
      <c r="D1339" s="312"/>
      <c r="K1339" s="332"/>
      <c r="O1339" s="333"/>
      <c r="W1339" s="333"/>
      <c r="X1339" s="333"/>
    </row>
    <row r="1340" spans="1:24">
      <c r="A1340" s="297"/>
      <c r="B1340" s="299"/>
      <c r="C1340" s="299"/>
      <c r="D1340" s="312"/>
      <c r="K1340" s="332"/>
      <c r="O1340" s="333"/>
      <c r="W1340" s="333"/>
      <c r="X1340" s="333"/>
    </row>
    <row r="1341" spans="1:24">
      <c r="A1341" s="297"/>
      <c r="B1341" s="299"/>
      <c r="C1341" s="299"/>
      <c r="D1341" s="312"/>
      <c r="K1341" s="332"/>
      <c r="O1341" s="333"/>
      <c r="W1341" s="333"/>
      <c r="X1341" s="333"/>
    </row>
    <row r="1342" spans="1:24">
      <c r="A1342" s="297"/>
      <c r="B1342" s="299"/>
      <c r="C1342" s="299"/>
      <c r="D1342" s="312"/>
      <c r="K1342" s="332"/>
      <c r="O1342" s="333"/>
      <c r="W1342" s="333"/>
      <c r="X1342" s="333"/>
    </row>
    <row r="1343" spans="1:24">
      <c r="A1343" s="297"/>
      <c r="B1343" s="299"/>
      <c r="C1343" s="299"/>
      <c r="D1343" s="312"/>
      <c r="K1343" s="332"/>
      <c r="O1343" s="333"/>
      <c r="W1343" s="333"/>
      <c r="X1343" s="333"/>
    </row>
    <row r="1344" spans="1:24">
      <c r="A1344" s="297"/>
      <c r="B1344" s="299"/>
      <c r="C1344" s="299"/>
      <c r="D1344" s="312"/>
      <c r="K1344" s="332"/>
      <c r="O1344" s="333"/>
      <c r="W1344" s="333"/>
      <c r="X1344" s="333"/>
    </row>
    <row r="1345" spans="1:24">
      <c r="A1345" s="297"/>
      <c r="B1345" s="299"/>
      <c r="C1345" s="299"/>
      <c r="D1345" s="312"/>
      <c r="K1345" s="332"/>
      <c r="O1345" s="333"/>
      <c r="W1345" s="333"/>
      <c r="X1345" s="333"/>
    </row>
    <row r="1346" spans="1:24">
      <c r="A1346" s="297"/>
      <c r="B1346" s="299"/>
      <c r="C1346" s="299"/>
      <c r="D1346" s="312"/>
      <c r="K1346" s="332"/>
      <c r="O1346" s="333"/>
      <c r="W1346" s="333"/>
      <c r="X1346" s="333"/>
    </row>
    <row r="1347" spans="1:24">
      <c r="A1347" s="297"/>
      <c r="B1347" s="299"/>
      <c r="C1347" s="299"/>
      <c r="D1347" s="312"/>
      <c r="K1347" s="332"/>
      <c r="O1347" s="333"/>
      <c r="W1347" s="333"/>
      <c r="X1347" s="333"/>
    </row>
    <row r="1348" spans="1:24">
      <c r="A1348" s="297"/>
      <c r="B1348" s="299"/>
      <c r="C1348" s="299"/>
      <c r="D1348" s="312"/>
      <c r="K1348" s="332"/>
      <c r="O1348" s="333"/>
      <c r="W1348" s="333"/>
      <c r="X1348" s="333"/>
    </row>
    <row r="1349" spans="1:24">
      <c r="A1349" s="297"/>
      <c r="B1349" s="299"/>
      <c r="C1349" s="299"/>
      <c r="D1349" s="312"/>
      <c r="K1349" s="332"/>
      <c r="O1349" s="333"/>
      <c r="W1349" s="333"/>
      <c r="X1349" s="333"/>
    </row>
    <row r="1350" spans="1:24">
      <c r="A1350" s="297"/>
      <c r="B1350" s="299"/>
      <c r="C1350" s="299"/>
      <c r="D1350" s="312"/>
      <c r="K1350" s="332"/>
      <c r="O1350" s="333"/>
      <c r="W1350" s="333"/>
      <c r="X1350" s="333"/>
    </row>
    <row r="1351" spans="1:24">
      <c r="A1351" s="297"/>
      <c r="B1351" s="299"/>
      <c r="C1351" s="299"/>
      <c r="D1351" s="312"/>
      <c r="K1351" s="332"/>
      <c r="O1351" s="333"/>
      <c r="W1351" s="333"/>
      <c r="X1351" s="333"/>
    </row>
    <row r="1352" spans="1:24">
      <c r="A1352" s="297"/>
      <c r="B1352" s="299"/>
      <c r="C1352" s="299"/>
      <c r="D1352" s="312"/>
      <c r="K1352" s="332"/>
      <c r="O1352" s="333"/>
      <c r="W1352" s="333"/>
      <c r="X1352" s="333"/>
    </row>
    <row r="1353" spans="1:24">
      <c r="A1353" s="297"/>
      <c r="B1353" s="299"/>
      <c r="C1353" s="299"/>
      <c r="D1353" s="312"/>
      <c r="K1353" s="332"/>
      <c r="O1353" s="333"/>
      <c r="W1353" s="333"/>
      <c r="X1353" s="333"/>
    </row>
    <row r="1354" spans="1:24">
      <c r="A1354" s="297"/>
      <c r="B1354" s="299"/>
      <c r="C1354" s="299"/>
      <c r="D1354" s="312"/>
      <c r="K1354" s="332"/>
      <c r="O1354" s="333"/>
      <c r="W1354" s="333"/>
      <c r="X1354" s="333"/>
    </row>
    <row r="1355" spans="1:24">
      <c r="A1355" s="297"/>
      <c r="B1355" s="299"/>
      <c r="C1355" s="299"/>
      <c r="D1355" s="312"/>
      <c r="K1355" s="332"/>
      <c r="O1355" s="333"/>
      <c r="W1355" s="333"/>
      <c r="X1355" s="333"/>
    </row>
    <row r="1356" spans="1:24">
      <c r="A1356" s="297"/>
      <c r="B1356" s="299"/>
      <c r="C1356" s="299"/>
      <c r="D1356" s="312"/>
      <c r="K1356" s="332"/>
      <c r="O1356" s="333"/>
      <c r="W1356" s="333"/>
      <c r="X1356" s="333"/>
    </row>
    <row r="1357" spans="1:24">
      <c r="A1357" s="297"/>
      <c r="B1357" s="299"/>
      <c r="C1357" s="299"/>
      <c r="D1357" s="312"/>
      <c r="K1357" s="332"/>
      <c r="O1357" s="333"/>
      <c r="W1357" s="333"/>
      <c r="X1357" s="333"/>
    </row>
    <row r="1358" spans="1:24">
      <c r="A1358" s="297"/>
      <c r="B1358" s="299"/>
      <c r="C1358" s="299"/>
      <c r="D1358" s="312"/>
      <c r="K1358" s="332"/>
      <c r="O1358" s="333"/>
      <c r="W1358" s="333"/>
      <c r="X1358" s="333"/>
    </row>
    <row r="1359" spans="1:24">
      <c r="A1359" s="297"/>
      <c r="B1359" s="299"/>
      <c r="C1359" s="299"/>
      <c r="D1359" s="312"/>
      <c r="K1359" s="332"/>
      <c r="O1359" s="333"/>
      <c r="W1359" s="333"/>
      <c r="X1359" s="333"/>
    </row>
    <row r="1360" spans="1:24">
      <c r="A1360" s="297"/>
      <c r="B1360" s="299"/>
      <c r="C1360" s="299"/>
      <c r="D1360" s="312"/>
      <c r="K1360" s="332"/>
      <c r="O1360" s="333"/>
      <c r="W1360" s="333"/>
      <c r="X1360" s="333"/>
    </row>
    <row r="1361" spans="1:24">
      <c r="A1361" s="297"/>
      <c r="B1361" s="299"/>
      <c r="C1361" s="299"/>
      <c r="D1361" s="312"/>
      <c r="K1361" s="332"/>
      <c r="O1361" s="333"/>
      <c r="W1361" s="333"/>
      <c r="X1361" s="333"/>
    </row>
    <row r="1362" spans="1:24">
      <c r="A1362" s="297"/>
      <c r="B1362" s="299"/>
      <c r="C1362" s="299"/>
      <c r="D1362" s="312"/>
      <c r="K1362" s="332"/>
      <c r="O1362" s="333"/>
      <c r="W1362" s="333"/>
      <c r="X1362" s="333"/>
    </row>
    <row r="1363" spans="1:24">
      <c r="A1363" s="297"/>
      <c r="B1363" s="299"/>
      <c r="C1363" s="299"/>
      <c r="D1363" s="312"/>
      <c r="K1363" s="332"/>
      <c r="O1363" s="333"/>
      <c r="W1363" s="333"/>
      <c r="X1363" s="333"/>
    </row>
    <row r="1364" spans="1:24">
      <c r="A1364" s="297"/>
      <c r="B1364" s="299"/>
      <c r="C1364" s="299"/>
      <c r="D1364" s="312"/>
      <c r="K1364" s="332"/>
      <c r="O1364" s="333"/>
      <c r="W1364" s="333"/>
      <c r="X1364" s="333"/>
    </row>
    <row r="1365" spans="1:24">
      <c r="A1365" s="297"/>
      <c r="B1365" s="299"/>
      <c r="C1365" s="299"/>
      <c r="D1365" s="312"/>
      <c r="K1365" s="332"/>
      <c r="O1365" s="333"/>
      <c r="W1365" s="333"/>
      <c r="X1365" s="333"/>
    </row>
    <row r="1366" spans="1:24">
      <c r="A1366" s="297"/>
      <c r="B1366" s="299"/>
      <c r="C1366" s="299"/>
      <c r="D1366" s="312"/>
      <c r="K1366" s="332"/>
      <c r="O1366" s="333"/>
      <c r="W1366" s="333"/>
      <c r="X1366" s="333"/>
    </row>
    <row r="1367" spans="1:24">
      <c r="A1367" s="297"/>
      <c r="B1367" s="299"/>
      <c r="C1367" s="299"/>
      <c r="D1367" s="312"/>
      <c r="K1367" s="332"/>
      <c r="O1367" s="333"/>
      <c r="W1367" s="333"/>
      <c r="X1367" s="333"/>
    </row>
    <row r="1368" spans="1:24">
      <c r="A1368" s="297"/>
      <c r="B1368" s="299"/>
      <c r="C1368" s="299"/>
      <c r="D1368" s="312"/>
      <c r="K1368" s="332"/>
      <c r="O1368" s="333"/>
      <c r="W1368" s="333"/>
      <c r="X1368" s="333"/>
    </row>
    <row r="1369" spans="1:24">
      <c r="A1369" s="297"/>
      <c r="B1369" s="299"/>
      <c r="C1369" s="299"/>
      <c r="D1369" s="312"/>
      <c r="K1369" s="332"/>
      <c r="O1369" s="333"/>
      <c r="W1369" s="333"/>
      <c r="X1369" s="333"/>
    </row>
    <row r="1370" spans="1:24">
      <c r="A1370" s="297"/>
      <c r="B1370" s="299"/>
      <c r="C1370" s="299"/>
      <c r="D1370" s="312"/>
      <c r="K1370" s="332"/>
      <c r="O1370" s="333"/>
      <c r="W1370" s="333"/>
      <c r="X1370" s="333"/>
    </row>
    <row r="1371" spans="1:24">
      <c r="A1371" s="297"/>
      <c r="B1371" s="299"/>
      <c r="C1371" s="299"/>
      <c r="D1371" s="312"/>
      <c r="K1371" s="332"/>
      <c r="O1371" s="333"/>
      <c r="W1371" s="333"/>
      <c r="X1371" s="333"/>
    </row>
    <row r="1372" spans="1:24">
      <c r="A1372" s="297"/>
      <c r="B1372" s="299"/>
      <c r="C1372" s="299"/>
      <c r="D1372" s="312"/>
      <c r="K1372" s="332"/>
      <c r="O1372" s="333"/>
      <c r="W1372" s="333"/>
      <c r="X1372" s="333"/>
    </row>
    <row r="1373" spans="1:24">
      <c r="A1373" s="297"/>
      <c r="B1373" s="299"/>
      <c r="C1373" s="299"/>
      <c r="D1373" s="312"/>
      <c r="K1373" s="332"/>
      <c r="O1373" s="333"/>
      <c r="W1373" s="333"/>
      <c r="X1373" s="333"/>
    </row>
    <row r="1374" spans="1:24">
      <c r="A1374" s="297"/>
      <c r="B1374" s="299"/>
      <c r="C1374" s="299"/>
      <c r="D1374" s="312"/>
      <c r="K1374" s="332"/>
      <c r="O1374" s="333"/>
      <c r="W1374" s="333"/>
      <c r="X1374" s="333"/>
    </row>
    <row r="1375" spans="1:24">
      <c r="A1375" s="297"/>
      <c r="B1375" s="299"/>
      <c r="C1375" s="299"/>
      <c r="D1375" s="312"/>
      <c r="K1375" s="332"/>
      <c r="O1375" s="333"/>
      <c r="W1375" s="333"/>
      <c r="X1375" s="333"/>
    </row>
    <row r="1376" spans="1:24">
      <c r="A1376" s="297"/>
      <c r="B1376" s="299"/>
      <c r="C1376" s="299"/>
      <c r="D1376" s="312"/>
      <c r="K1376" s="332"/>
      <c r="O1376" s="333"/>
      <c r="W1376" s="333"/>
      <c r="X1376" s="333"/>
    </row>
    <row r="1377" spans="1:24">
      <c r="A1377" s="297"/>
      <c r="B1377" s="299"/>
      <c r="C1377" s="299"/>
      <c r="D1377" s="312"/>
      <c r="K1377" s="332"/>
      <c r="O1377" s="333"/>
      <c r="W1377" s="333"/>
      <c r="X1377" s="333"/>
    </row>
    <row r="1378" spans="1:24">
      <c r="A1378" s="297"/>
      <c r="B1378" s="299"/>
      <c r="C1378" s="299"/>
      <c r="D1378" s="312"/>
      <c r="K1378" s="332"/>
      <c r="O1378" s="333"/>
      <c r="W1378" s="333"/>
      <c r="X1378" s="333"/>
    </row>
    <row r="1379" spans="1:24">
      <c r="A1379" s="297"/>
      <c r="B1379" s="299"/>
      <c r="C1379" s="299"/>
      <c r="D1379" s="312"/>
      <c r="K1379" s="332"/>
      <c r="O1379" s="333"/>
      <c r="W1379" s="333"/>
      <c r="X1379" s="333"/>
    </row>
    <row r="1380" spans="1:24">
      <c r="A1380" s="297"/>
      <c r="B1380" s="299"/>
      <c r="C1380" s="299"/>
      <c r="D1380" s="312"/>
      <c r="K1380" s="332"/>
      <c r="O1380" s="333"/>
      <c r="W1380" s="333"/>
      <c r="X1380" s="333"/>
    </row>
    <row r="1381" spans="1:24">
      <c r="A1381" s="297"/>
      <c r="B1381" s="299"/>
      <c r="C1381" s="299"/>
      <c r="D1381" s="312"/>
      <c r="K1381" s="332"/>
      <c r="O1381" s="333"/>
      <c r="W1381" s="333"/>
      <c r="X1381" s="333"/>
    </row>
    <row r="1382" spans="1:24">
      <c r="A1382" s="297"/>
      <c r="B1382" s="299"/>
      <c r="C1382" s="299"/>
      <c r="D1382" s="312"/>
      <c r="K1382" s="332"/>
      <c r="O1382" s="333"/>
      <c r="W1382" s="333"/>
      <c r="X1382" s="333"/>
    </row>
    <row r="1383" spans="1:24">
      <c r="A1383" s="297"/>
      <c r="B1383" s="299"/>
      <c r="C1383" s="299"/>
      <c r="D1383" s="312"/>
      <c r="K1383" s="332"/>
      <c r="O1383" s="333"/>
      <c r="W1383" s="333"/>
      <c r="X1383" s="333"/>
    </row>
    <row r="1384" spans="1:24">
      <c r="A1384" s="297"/>
      <c r="B1384" s="299"/>
      <c r="C1384" s="299"/>
      <c r="D1384" s="312"/>
      <c r="K1384" s="332"/>
      <c r="O1384" s="333"/>
      <c r="W1384" s="333"/>
      <c r="X1384" s="333"/>
    </row>
    <row r="1385" spans="1:24">
      <c r="A1385" s="297"/>
      <c r="B1385" s="299"/>
      <c r="C1385" s="299"/>
      <c r="D1385" s="312"/>
      <c r="K1385" s="332"/>
      <c r="O1385" s="333"/>
      <c r="W1385" s="333"/>
      <c r="X1385" s="333"/>
    </row>
    <row r="1386" spans="1:24">
      <c r="A1386" s="297"/>
      <c r="B1386" s="299"/>
      <c r="C1386" s="299"/>
      <c r="D1386" s="312"/>
      <c r="K1386" s="332"/>
      <c r="O1386" s="333"/>
      <c r="W1386" s="333"/>
      <c r="X1386" s="333"/>
    </row>
    <row r="1387" spans="1:24">
      <c r="A1387" s="297"/>
      <c r="B1387" s="299"/>
      <c r="C1387" s="299"/>
      <c r="D1387" s="312"/>
      <c r="K1387" s="332"/>
      <c r="O1387" s="333"/>
      <c r="W1387" s="333"/>
      <c r="X1387" s="333"/>
    </row>
    <row r="1388" spans="1:24">
      <c r="A1388" s="297"/>
      <c r="B1388" s="299"/>
      <c r="C1388" s="299"/>
      <c r="D1388" s="312"/>
      <c r="K1388" s="332"/>
      <c r="O1388" s="333"/>
      <c r="W1388" s="333"/>
      <c r="X1388" s="333"/>
    </row>
    <row r="1389" spans="1:24">
      <c r="A1389" s="297"/>
      <c r="B1389" s="299"/>
      <c r="C1389" s="299"/>
      <c r="D1389" s="312"/>
      <c r="K1389" s="332"/>
      <c r="O1389" s="333"/>
      <c r="W1389" s="333"/>
      <c r="X1389" s="333"/>
    </row>
    <row r="1390" spans="1:24">
      <c r="A1390" s="297"/>
      <c r="B1390" s="299"/>
      <c r="C1390" s="299"/>
      <c r="D1390" s="312"/>
      <c r="K1390" s="332"/>
      <c r="O1390" s="333"/>
      <c r="W1390" s="333"/>
      <c r="X1390" s="333"/>
    </row>
    <row r="1391" spans="1:24">
      <c r="A1391" s="297"/>
      <c r="B1391" s="299"/>
      <c r="C1391" s="299"/>
      <c r="D1391" s="312"/>
      <c r="K1391" s="332"/>
      <c r="O1391" s="333"/>
      <c r="W1391" s="333"/>
      <c r="X1391" s="333"/>
    </row>
    <row r="1392" spans="1:24">
      <c r="A1392" s="297"/>
      <c r="B1392" s="299"/>
      <c r="C1392" s="299"/>
      <c r="D1392" s="312"/>
      <c r="K1392" s="332"/>
      <c r="O1392" s="333"/>
      <c r="W1392" s="333"/>
      <c r="X1392" s="333"/>
    </row>
    <row r="1393" spans="1:24">
      <c r="A1393" s="297"/>
      <c r="B1393" s="299"/>
      <c r="C1393" s="299"/>
      <c r="D1393" s="312"/>
      <c r="K1393" s="332"/>
      <c r="O1393" s="333"/>
      <c r="W1393" s="333"/>
      <c r="X1393" s="333"/>
    </row>
    <row r="1394" spans="1:24">
      <c r="A1394" s="297"/>
      <c r="B1394" s="299"/>
      <c r="C1394" s="299"/>
      <c r="D1394" s="312"/>
      <c r="K1394" s="332"/>
      <c r="O1394" s="333"/>
      <c r="W1394" s="333"/>
      <c r="X1394" s="333"/>
    </row>
    <row r="1395" spans="1:24">
      <c r="A1395" s="297"/>
      <c r="B1395" s="299"/>
      <c r="C1395" s="299"/>
      <c r="D1395" s="312"/>
      <c r="K1395" s="332"/>
      <c r="O1395" s="333"/>
      <c r="W1395" s="333"/>
      <c r="X1395" s="333"/>
    </row>
    <row r="1396" spans="1:24">
      <c r="A1396" s="297"/>
      <c r="B1396" s="299"/>
      <c r="C1396" s="299"/>
      <c r="D1396" s="312"/>
      <c r="K1396" s="332"/>
      <c r="O1396" s="333"/>
      <c r="W1396" s="333"/>
      <c r="X1396" s="333"/>
    </row>
    <row r="1397" spans="1:24">
      <c r="A1397" s="297"/>
      <c r="B1397" s="299"/>
      <c r="C1397" s="299"/>
      <c r="D1397" s="312"/>
      <c r="K1397" s="332"/>
      <c r="O1397" s="333"/>
      <c r="W1397" s="333"/>
      <c r="X1397" s="333"/>
    </row>
    <row r="1398" spans="1:24">
      <c r="A1398" s="297"/>
      <c r="B1398" s="299"/>
      <c r="C1398" s="299"/>
      <c r="D1398" s="312"/>
      <c r="K1398" s="332"/>
      <c r="O1398" s="333"/>
      <c r="W1398" s="333"/>
      <c r="X1398" s="333"/>
    </row>
    <row r="1399" spans="1:24">
      <c r="A1399" s="297"/>
      <c r="B1399" s="299"/>
      <c r="C1399" s="299"/>
      <c r="D1399" s="312"/>
      <c r="K1399" s="332"/>
      <c r="O1399" s="333"/>
      <c r="W1399" s="333"/>
      <c r="X1399" s="333"/>
    </row>
    <row r="1400" spans="1:24">
      <c r="A1400" s="297"/>
      <c r="B1400" s="299"/>
      <c r="C1400" s="299"/>
      <c r="D1400" s="312"/>
      <c r="K1400" s="332"/>
      <c r="O1400" s="333"/>
      <c r="W1400" s="333"/>
      <c r="X1400" s="333"/>
    </row>
    <row r="1401" spans="1:24">
      <c r="A1401" s="297"/>
      <c r="B1401" s="299"/>
      <c r="C1401" s="299"/>
      <c r="D1401" s="312"/>
      <c r="K1401" s="332"/>
      <c r="O1401" s="333"/>
      <c r="W1401" s="333"/>
      <c r="X1401" s="333"/>
    </row>
    <row r="1402" spans="1:24">
      <c r="A1402" s="297"/>
      <c r="B1402" s="299"/>
      <c r="C1402" s="299"/>
      <c r="D1402" s="312"/>
      <c r="K1402" s="332"/>
      <c r="O1402" s="333"/>
      <c r="W1402" s="333"/>
      <c r="X1402" s="333"/>
    </row>
    <row r="1403" spans="1:24">
      <c r="A1403" s="297"/>
      <c r="B1403" s="299"/>
      <c r="C1403" s="299"/>
      <c r="D1403" s="312"/>
      <c r="K1403" s="332"/>
      <c r="O1403" s="333"/>
      <c r="W1403" s="333"/>
      <c r="X1403" s="333"/>
    </row>
    <row r="1404" spans="1:24">
      <c r="A1404" s="297"/>
      <c r="B1404" s="299"/>
      <c r="C1404" s="299"/>
      <c r="D1404" s="312"/>
      <c r="K1404" s="332"/>
      <c r="O1404" s="333"/>
      <c r="W1404" s="333"/>
      <c r="X1404" s="333"/>
    </row>
    <row r="1405" spans="1:24">
      <c r="A1405" s="297"/>
      <c r="B1405" s="299"/>
      <c r="C1405" s="299"/>
      <c r="D1405" s="312"/>
      <c r="K1405" s="332"/>
      <c r="O1405" s="333"/>
      <c r="W1405" s="333"/>
      <c r="X1405" s="333"/>
    </row>
    <row r="1406" spans="1:24">
      <c r="A1406" s="297"/>
      <c r="B1406" s="299"/>
      <c r="C1406" s="299"/>
      <c r="D1406" s="312"/>
      <c r="K1406" s="332"/>
      <c r="O1406" s="333"/>
      <c r="W1406" s="333"/>
      <c r="X1406" s="333"/>
    </row>
    <row r="1407" spans="1:24">
      <c r="A1407" s="297"/>
      <c r="B1407" s="299"/>
      <c r="C1407" s="299"/>
      <c r="D1407" s="312"/>
      <c r="K1407" s="332"/>
      <c r="O1407" s="333"/>
      <c r="W1407" s="333"/>
      <c r="X1407" s="333"/>
    </row>
    <row r="1408" spans="1:24">
      <c r="A1408" s="297"/>
      <c r="B1408" s="299"/>
      <c r="C1408" s="299"/>
      <c r="D1408" s="312"/>
      <c r="K1408" s="332"/>
      <c r="O1408" s="333"/>
      <c r="W1408" s="333"/>
      <c r="X1408" s="333"/>
    </row>
    <row r="1409" spans="1:24">
      <c r="A1409" s="297"/>
      <c r="B1409" s="299"/>
      <c r="C1409" s="299"/>
      <c r="D1409" s="312"/>
      <c r="K1409" s="332"/>
      <c r="O1409" s="333"/>
      <c r="W1409" s="333"/>
      <c r="X1409" s="333"/>
    </row>
    <row r="1410" spans="1:24">
      <c r="A1410" s="297"/>
      <c r="B1410" s="299"/>
      <c r="C1410" s="299"/>
      <c r="D1410" s="312"/>
      <c r="K1410" s="332"/>
      <c r="O1410" s="333"/>
      <c r="W1410" s="333"/>
      <c r="X1410" s="333"/>
    </row>
    <row r="1411" spans="1:24">
      <c r="A1411" s="297"/>
      <c r="B1411" s="299"/>
      <c r="C1411" s="299"/>
      <c r="D1411" s="312"/>
      <c r="K1411" s="332"/>
      <c r="O1411" s="333"/>
      <c r="W1411" s="333"/>
      <c r="X1411" s="333"/>
    </row>
    <row r="1412" spans="1:24">
      <c r="A1412" s="297"/>
      <c r="B1412" s="299"/>
      <c r="C1412" s="299"/>
      <c r="D1412" s="312"/>
      <c r="K1412" s="332"/>
      <c r="O1412" s="333"/>
      <c r="W1412" s="333"/>
      <c r="X1412" s="333"/>
    </row>
    <row r="1413" spans="1:24">
      <c r="A1413" s="297"/>
      <c r="B1413" s="299"/>
      <c r="C1413" s="299"/>
      <c r="D1413" s="312"/>
      <c r="K1413" s="332"/>
      <c r="O1413" s="333"/>
      <c r="W1413" s="333"/>
      <c r="X1413" s="333"/>
    </row>
    <row r="1414" spans="1:24">
      <c r="A1414" s="297"/>
      <c r="B1414" s="299"/>
      <c r="C1414" s="299"/>
      <c r="D1414" s="312"/>
      <c r="K1414" s="332"/>
      <c r="O1414" s="333"/>
      <c r="W1414" s="333"/>
      <c r="X1414" s="333"/>
    </row>
    <row r="1415" spans="1:24">
      <c r="A1415" s="297"/>
      <c r="B1415" s="299"/>
      <c r="C1415" s="299"/>
      <c r="D1415" s="312"/>
      <c r="K1415" s="332"/>
      <c r="O1415" s="333"/>
      <c r="W1415" s="333"/>
      <c r="X1415" s="333"/>
    </row>
    <row r="1416" spans="1:24">
      <c r="A1416" s="297"/>
      <c r="B1416" s="299"/>
      <c r="C1416" s="299"/>
      <c r="D1416" s="312"/>
      <c r="K1416" s="332"/>
      <c r="O1416" s="333"/>
      <c r="W1416" s="333"/>
      <c r="X1416" s="333"/>
    </row>
    <row r="1417" spans="1:24">
      <c r="A1417" s="297"/>
      <c r="B1417" s="299"/>
      <c r="C1417" s="299"/>
      <c r="D1417" s="312"/>
      <c r="K1417" s="332"/>
      <c r="O1417" s="333"/>
      <c r="W1417" s="333"/>
      <c r="X1417" s="333"/>
    </row>
    <row r="1418" spans="1:24">
      <c r="A1418" s="297"/>
      <c r="B1418" s="299"/>
      <c r="C1418" s="299"/>
      <c r="D1418" s="312"/>
      <c r="K1418" s="332"/>
      <c r="O1418" s="333"/>
      <c r="W1418" s="333"/>
      <c r="X1418" s="333"/>
    </row>
    <row r="1419" spans="1:24">
      <c r="A1419" s="297"/>
      <c r="B1419" s="299"/>
      <c r="C1419" s="299"/>
      <c r="D1419" s="312"/>
      <c r="K1419" s="332"/>
      <c r="O1419" s="333"/>
      <c r="W1419" s="333"/>
      <c r="X1419" s="333"/>
    </row>
    <row r="1420" spans="1:24">
      <c r="A1420" s="297"/>
      <c r="B1420" s="299"/>
      <c r="C1420" s="299"/>
      <c r="D1420" s="312"/>
      <c r="K1420" s="332"/>
      <c r="O1420" s="333"/>
      <c r="W1420" s="333"/>
      <c r="X1420" s="333"/>
    </row>
    <row r="1421" spans="1:24">
      <c r="A1421" s="297"/>
      <c r="B1421" s="299"/>
      <c r="C1421" s="299"/>
      <c r="D1421" s="312"/>
      <c r="K1421" s="332"/>
      <c r="O1421" s="333"/>
      <c r="W1421" s="333"/>
      <c r="X1421" s="333"/>
    </row>
    <row r="1422" spans="1:24">
      <c r="A1422" s="297"/>
      <c r="B1422" s="299"/>
      <c r="C1422" s="299"/>
      <c r="D1422" s="312"/>
      <c r="K1422" s="332"/>
      <c r="O1422" s="333"/>
      <c r="W1422" s="333"/>
      <c r="X1422" s="333"/>
    </row>
    <row r="1423" spans="1:24">
      <c r="A1423" s="297"/>
      <c r="B1423" s="299"/>
      <c r="C1423" s="299"/>
      <c r="D1423" s="312"/>
      <c r="K1423" s="332"/>
      <c r="O1423" s="333"/>
      <c r="W1423" s="333"/>
      <c r="X1423" s="333"/>
    </row>
    <row r="1424" spans="1:24">
      <c r="A1424" s="297"/>
      <c r="B1424" s="299"/>
      <c r="C1424" s="299"/>
      <c r="D1424" s="312"/>
      <c r="K1424" s="332"/>
      <c r="O1424" s="333"/>
      <c r="W1424" s="333"/>
      <c r="X1424" s="333"/>
    </row>
    <row r="1425" spans="1:24">
      <c r="A1425" s="297"/>
      <c r="B1425" s="299"/>
      <c r="C1425" s="299"/>
      <c r="D1425" s="312"/>
      <c r="K1425" s="332"/>
      <c r="O1425" s="333"/>
      <c r="W1425" s="333"/>
      <c r="X1425" s="333"/>
    </row>
    <row r="1426" spans="1:24">
      <c r="A1426" s="297"/>
      <c r="B1426" s="299"/>
      <c r="C1426" s="299"/>
      <c r="D1426" s="312"/>
      <c r="K1426" s="332"/>
      <c r="O1426" s="333"/>
      <c r="W1426" s="333"/>
      <c r="X1426" s="333"/>
    </row>
    <row r="1427" spans="1:24">
      <c r="A1427" s="297"/>
      <c r="B1427" s="299"/>
      <c r="C1427" s="299"/>
      <c r="D1427" s="312"/>
      <c r="K1427" s="332"/>
      <c r="O1427" s="333"/>
      <c r="W1427" s="333"/>
      <c r="X1427" s="333"/>
    </row>
    <row r="1428" spans="1:24">
      <c r="A1428" s="297"/>
      <c r="B1428" s="299"/>
      <c r="C1428" s="299"/>
      <c r="D1428" s="312"/>
      <c r="K1428" s="332"/>
      <c r="O1428" s="333"/>
      <c r="W1428" s="333"/>
      <c r="X1428" s="333"/>
    </row>
    <row r="1429" spans="1:24">
      <c r="A1429" s="297"/>
      <c r="B1429" s="299"/>
      <c r="C1429" s="299"/>
      <c r="D1429" s="312"/>
      <c r="K1429" s="332"/>
      <c r="O1429" s="333"/>
      <c r="W1429" s="333"/>
      <c r="X1429" s="333"/>
    </row>
    <row r="1430" spans="1:24">
      <c r="A1430" s="297"/>
      <c r="B1430" s="299"/>
      <c r="C1430" s="299"/>
      <c r="D1430" s="312"/>
      <c r="K1430" s="332"/>
      <c r="O1430" s="333"/>
      <c r="W1430" s="333"/>
      <c r="X1430" s="333"/>
    </row>
    <row r="1431" spans="1:24">
      <c r="A1431" s="297"/>
      <c r="B1431" s="299"/>
      <c r="C1431" s="299"/>
      <c r="D1431" s="312"/>
      <c r="K1431" s="332"/>
      <c r="O1431" s="333"/>
      <c r="W1431" s="333"/>
      <c r="X1431" s="333"/>
    </row>
    <row r="1432" spans="1:24">
      <c r="A1432" s="297"/>
      <c r="B1432" s="299"/>
      <c r="C1432" s="299"/>
      <c r="D1432" s="312"/>
      <c r="K1432" s="332"/>
      <c r="O1432" s="333"/>
      <c r="W1432" s="333"/>
      <c r="X1432" s="333"/>
    </row>
    <row r="1433" spans="1:24">
      <c r="A1433" s="297"/>
      <c r="B1433" s="299"/>
      <c r="C1433" s="299"/>
      <c r="D1433" s="312"/>
      <c r="K1433" s="332"/>
      <c r="O1433" s="333"/>
      <c r="W1433" s="333"/>
      <c r="X1433" s="333"/>
    </row>
    <row r="1434" spans="1:24">
      <c r="A1434" s="297"/>
      <c r="B1434" s="299"/>
      <c r="C1434" s="299"/>
      <c r="D1434" s="312"/>
      <c r="K1434" s="332"/>
      <c r="O1434" s="333"/>
      <c r="W1434" s="333"/>
      <c r="X1434" s="333"/>
    </row>
    <row r="1435" spans="1:24">
      <c r="A1435" s="297"/>
      <c r="B1435" s="299"/>
      <c r="C1435" s="299"/>
      <c r="D1435" s="312"/>
      <c r="K1435" s="332"/>
      <c r="O1435" s="333"/>
      <c r="W1435" s="333"/>
      <c r="X1435" s="333"/>
    </row>
    <row r="1436" spans="1:24">
      <c r="A1436" s="297"/>
      <c r="B1436" s="299"/>
      <c r="C1436" s="299"/>
      <c r="D1436" s="312"/>
      <c r="K1436" s="332"/>
      <c r="O1436" s="333"/>
      <c r="W1436" s="333"/>
      <c r="X1436" s="333"/>
    </row>
    <row r="1437" spans="1:24">
      <c r="A1437" s="297"/>
      <c r="B1437" s="299"/>
      <c r="C1437" s="299"/>
      <c r="D1437" s="312"/>
      <c r="K1437" s="332"/>
      <c r="O1437" s="333"/>
      <c r="W1437" s="333"/>
      <c r="X1437" s="333"/>
    </row>
    <row r="1438" spans="1:24">
      <c r="A1438" s="297"/>
      <c r="B1438" s="299"/>
      <c r="C1438" s="299"/>
      <c r="D1438" s="312"/>
      <c r="K1438" s="332"/>
      <c r="O1438" s="333"/>
      <c r="W1438" s="333"/>
      <c r="X1438" s="333"/>
    </row>
    <row r="1439" spans="1:24">
      <c r="A1439" s="297"/>
      <c r="B1439" s="299"/>
      <c r="C1439" s="299"/>
      <c r="D1439" s="312"/>
      <c r="K1439" s="332"/>
      <c r="O1439" s="333"/>
      <c r="W1439" s="333"/>
      <c r="X1439" s="333"/>
    </row>
    <row r="1440" spans="1:24">
      <c r="A1440" s="297"/>
      <c r="B1440" s="299"/>
      <c r="C1440" s="299"/>
      <c r="D1440" s="312"/>
      <c r="K1440" s="332"/>
      <c r="O1440" s="333"/>
      <c r="W1440" s="333"/>
      <c r="X1440" s="333"/>
    </row>
    <row r="1441" spans="1:24">
      <c r="A1441" s="297"/>
      <c r="B1441" s="299"/>
      <c r="C1441" s="299"/>
      <c r="D1441" s="312"/>
      <c r="K1441" s="332"/>
      <c r="O1441" s="333"/>
      <c r="W1441" s="333"/>
      <c r="X1441" s="333"/>
    </row>
    <row r="1442" spans="1:24">
      <c r="A1442" s="297"/>
      <c r="B1442" s="299"/>
      <c r="C1442" s="299"/>
      <c r="D1442" s="312"/>
      <c r="K1442" s="332"/>
      <c r="O1442" s="333"/>
      <c r="W1442" s="333"/>
      <c r="X1442" s="333"/>
    </row>
    <row r="1443" spans="1:24">
      <c r="A1443" s="297"/>
      <c r="B1443" s="299"/>
      <c r="C1443" s="299"/>
      <c r="D1443" s="312"/>
      <c r="K1443" s="332"/>
      <c r="O1443" s="333"/>
      <c r="W1443" s="333"/>
      <c r="X1443" s="333"/>
    </row>
    <row r="1444" spans="1:24">
      <c r="A1444" s="297"/>
      <c r="B1444" s="299"/>
      <c r="C1444" s="299"/>
      <c r="D1444" s="312"/>
      <c r="K1444" s="332"/>
      <c r="O1444" s="333"/>
      <c r="W1444" s="333"/>
      <c r="X1444" s="333"/>
    </row>
    <row r="1445" spans="1:24">
      <c r="A1445" s="297"/>
      <c r="B1445" s="299"/>
      <c r="C1445" s="299"/>
      <c r="D1445" s="312"/>
      <c r="K1445" s="332"/>
      <c r="O1445" s="333"/>
      <c r="W1445" s="333"/>
      <c r="X1445" s="333"/>
    </row>
    <row r="1446" spans="1:24">
      <c r="A1446" s="297"/>
      <c r="B1446" s="299"/>
      <c r="C1446" s="299"/>
      <c r="D1446" s="312"/>
      <c r="K1446" s="332"/>
      <c r="O1446" s="333"/>
      <c r="W1446" s="333"/>
      <c r="X1446" s="333"/>
    </row>
    <row r="1447" spans="1:24">
      <c r="A1447" s="297"/>
      <c r="B1447" s="299"/>
      <c r="C1447" s="299"/>
      <c r="D1447" s="312"/>
      <c r="K1447" s="332"/>
      <c r="O1447" s="333"/>
      <c r="W1447" s="333"/>
      <c r="X1447" s="333"/>
    </row>
    <row r="1448" spans="1:24">
      <c r="A1448" s="297"/>
      <c r="B1448" s="299"/>
      <c r="C1448" s="299"/>
      <c r="D1448" s="312"/>
      <c r="K1448" s="332"/>
      <c r="O1448" s="333"/>
      <c r="W1448" s="333"/>
      <c r="X1448" s="333"/>
    </row>
    <row r="1449" spans="1:24">
      <c r="A1449" s="297"/>
      <c r="B1449" s="299"/>
      <c r="C1449" s="299"/>
      <c r="D1449" s="312"/>
      <c r="K1449" s="332"/>
      <c r="O1449" s="333"/>
      <c r="W1449" s="333"/>
      <c r="X1449" s="333"/>
    </row>
    <row r="1450" spans="1:24">
      <c r="A1450" s="297"/>
      <c r="B1450" s="299"/>
      <c r="C1450" s="299"/>
      <c r="D1450" s="312"/>
      <c r="K1450" s="332"/>
      <c r="O1450" s="333"/>
      <c r="W1450" s="333"/>
      <c r="X1450" s="333"/>
    </row>
    <row r="1451" spans="1:24">
      <c r="A1451" s="297"/>
      <c r="B1451" s="299"/>
      <c r="C1451" s="299"/>
      <c r="D1451" s="312"/>
      <c r="K1451" s="332"/>
      <c r="O1451" s="333"/>
      <c r="W1451" s="333"/>
      <c r="X1451" s="333"/>
    </row>
    <row r="1452" spans="1:24">
      <c r="A1452" s="297"/>
      <c r="B1452" s="299"/>
      <c r="C1452" s="299"/>
      <c r="D1452" s="312"/>
      <c r="K1452" s="332"/>
      <c r="O1452" s="333"/>
      <c r="W1452" s="333"/>
      <c r="X1452" s="333"/>
    </row>
    <row r="1453" spans="1:24">
      <c r="A1453" s="297"/>
      <c r="B1453" s="299"/>
      <c r="C1453" s="299"/>
      <c r="D1453" s="312"/>
      <c r="K1453" s="332"/>
      <c r="O1453" s="333"/>
      <c r="W1453" s="333"/>
      <c r="X1453" s="333"/>
    </row>
    <row r="1454" spans="1:24">
      <c r="A1454" s="297"/>
      <c r="B1454" s="299"/>
      <c r="C1454" s="299"/>
      <c r="D1454" s="312"/>
      <c r="K1454" s="332"/>
      <c r="O1454" s="333"/>
      <c r="W1454" s="333"/>
      <c r="X1454" s="333"/>
    </row>
    <row r="1455" spans="1:24">
      <c r="A1455" s="297"/>
      <c r="B1455" s="299"/>
      <c r="C1455" s="299"/>
      <c r="D1455" s="312"/>
      <c r="K1455" s="332"/>
      <c r="O1455" s="333"/>
      <c r="W1455" s="333"/>
      <c r="X1455" s="333"/>
    </row>
    <row r="1456" spans="1:24">
      <c r="A1456" s="297"/>
      <c r="B1456" s="299"/>
      <c r="C1456" s="299"/>
      <c r="D1456" s="312"/>
      <c r="K1456" s="332"/>
      <c r="O1456" s="333"/>
      <c r="W1456" s="333"/>
      <c r="X1456" s="333"/>
    </row>
    <row r="1457" spans="1:24">
      <c r="A1457" s="297"/>
      <c r="B1457" s="299"/>
      <c r="C1457" s="299"/>
      <c r="D1457" s="312"/>
      <c r="K1457" s="332"/>
      <c r="O1457" s="333"/>
      <c r="W1457" s="333"/>
      <c r="X1457" s="333"/>
    </row>
    <row r="1458" spans="1:24">
      <c r="A1458" s="297"/>
      <c r="B1458" s="299"/>
      <c r="C1458" s="299"/>
      <c r="D1458" s="312"/>
      <c r="K1458" s="332"/>
      <c r="O1458" s="333"/>
      <c r="W1458" s="333"/>
      <c r="X1458" s="333"/>
    </row>
    <row r="1459" spans="1:24">
      <c r="A1459" s="297"/>
      <c r="B1459" s="299"/>
      <c r="C1459" s="299"/>
      <c r="D1459" s="312"/>
      <c r="K1459" s="332"/>
      <c r="O1459" s="333"/>
      <c r="W1459" s="333"/>
      <c r="X1459" s="333"/>
    </row>
    <row r="1460" spans="1:24">
      <c r="A1460" s="297"/>
      <c r="B1460" s="299"/>
      <c r="C1460" s="299"/>
      <c r="D1460" s="312"/>
      <c r="K1460" s="332"/>
      <c r="O1460" s="333"/>
      <c r="W1460" s="333"/>
      <c r="X1460" s="333"/>
    </row>
    <row r="1461" spans="1:24">
      <c r="A1461" s="297"/>
      <c r="B1461" s="299"/>
      <c r="C1461" s="299"/>
      <c r="D1461" s="312"/>
      <c r="K1461" s="332"/>
      <c r="O1461" s="333"/>
      <c r="W1461" s="333"/>
      <c r="X1461" s="333"/>
    </row>
    <row r="1462" spans="1:24">
      <c r="A1462" s="297"/>
      <c r="B1462" s="299"/>
      <c r="C1462" s="299"/>
      <c r="D1462" s="312"/>
      <c r="K1462" s="332"/>
      <c r="O1462" s="333"/>
      <c r="W1462" s="333"/>
      <c r="X1462" s="333"/>
    </row>
    <row r="1463" spans="1:24">
      <c r="A1463" s="297"/>
      <c r="B1463" s="299"/>
      <c r="C1463" s="299"/>
      <c r="D1463" s="312"/>
      <c r="K1463" s="332"/>
      <c r="O1463" s="333"/>
      <c r="W1463" s="333"/>
      <c r="X1463" s="333"/>
    </row>
    <row r="1464" spans="1:24">
      <c r="A1464" s="297"/>
      <c r="B1464" s="299"/>
      <c r="C1464" s="299"/>
      <c r="D1464" s="312"/>
      <c r="K1464" s="332"/>
      <c r="O1464" s="333"/>
      <c r="W1464" s="333"/>
      <c r="X1464" s="333"/>
    </row>
    <row r="1465" spans="1:24">
      <c r="A1465" s="297"/>
      <c r="B1465" s="299"/>
      <c r="C1465" s="299"/>
      <c r="D1465" s="312"/>
      <c r="K1465" s="332"/>
      <c r="O1465" s="333"/>
      <c r="W1465" s="333"/>
      <c r="X1465" s="333"/>
    </row>
    <row r="1466" spans="1:24">
      <c r="A1466" s="297"/>
      <c r="B1466" s="299"/>
      <c r="C1466" s="299"/>
      <c r="D1466" s="312"/>
      <c r="K1466" s="332"/>
      <c r="O1466" s="333"/>
      <c r="W1466" s="333"/>
      <c r="X1466" s="333"/>
    </row>
    <row r="1467" spans="1:24">
      <c r="A1467" s="297"/>
      <c r="B1467" s="299"/>
      <c r="C1467" s="299"/>
      <c r="D1467" s="312"/>
      <c r="K1467" s="332"/>
      <c r="O1467" s="333"/>
      <c r="W1467" s="333"/>
      <c r="X1467" s="333"/>
    </row>
    <row r="1468" spans="1:24">
      <c r="A1468" s="297"/>
      <c r="B1468" s="299"/>
      <c r="C1468" s="299"/>
      <c r="D1468" s="312"/>
      <c r="K1468" s="332"/>
      <c r="O1468" s="333"/>
      <c r="W1468" s="333"/>
      <c r="X1468" s="333"/>
    </row>
    <row r="1469" spans="1:24">
      <c r="A1469" s="297"/>
      <c r="B1469" s="299"/>
      <c r="C1469" s="299"/>
      <c r="D1469" s="312"/>
      <c r="K1469" s="332"/>
      <c r="O1469" s="333"/>
      <c r="W1469" s="333"/>
      <c r="X1469" s="333"/>
    </row>
    <row r="1470" spans="1:24">
      <c r="A1470" s="297"/>
      <c r="B1470" s="299"/>
      <c r="C1470" s="299"/>
      <c r="D1470" s="312"/>
      <c r="K1470" s="332"/>
      <c r="O1470" s="333"/>
      <c r="W1470" s="333"/>
      <c r="X1470" s="333"/>
    </row>
    <row r="1471" spans="1:24">
      <c r="A1471" s="297"/>
      <c r="B1471" s="299"/>
      <c r="C1471" s="299"/>
      <c r="D1471" s="312"/>
      <c r="K1471" s="332"/>
      <c r="O1471" s="333"/>
      <c r="W1471" s="333"/>
      <c r="X1471" s="333"/>
    </row>
    <row r="1472" spans="1:24">
      <c r="A1472" s="297"/>
      <c r="B1472" s="299"/>
      <c r="C1472" s="299"/>
      <c r="D1472" s="312"/>
      <c r="K1472" s="332"/>
      <c r="O1472" s="333"/>
      <c r="W1472" s="333"/>
      <c r="X1472" s="333"/>
    </row>
    <row r="1473" spans="1:24">
      <c r="A1473" s="297"/>
      <c r="B1473" s="299"/>
      <c r="C1473" s="299"/>
      <c r="D1473" s="312"/>
      <c r="K1473" s="332"/>
      <c r="O1473" s="333"/>
      <c r="W1473" s="333"/>
      <c r="X1473" s="333"/>
    </row>
    <row r="1474" spans="1:24">
      <c r="A1474" s="297"/>
      <c r="B1474" s="299"/>
      <c r="C1474" s="299"/>
      <c r="D1474" s="312"/>
      <c r="K1474" s="332"/>
      <c r="O1474" s="333"/>
      <c r="W1474" s="333"/>
      <c r="X1474" s="333"/>
    </row>
    <row r="1475" spans="1:24">
      <c r="A1475" s="297"/>
      <c r="B1475" s="299"/>
      <c r="C1475" s="299"/>
      <c r="D1475" s="312"/>
      <c r="K1475" s="332"/>
      <c r="O1475" s="333"/>
      <c r="W1475" s="333"/>
      <c r="X1475" s="333"/>
    </row>
    <row r="1476" spans="1:24">
      <c r="A1476" s="297"/>
      <c r="B1476" s="299"/>
      <c r="C1476" s="299"/>
      <c r="D1476" s="312"/>
      <c r="K1476" s="332"/>
      <c r="O1476" s="333"/>
      <c r="W1476" s="333"/>
      <c r="X1476" s="333"/>
    </row>
    <row r="1477" spans="1:24">
      <c r="A1477" s="297"/>
      <c r="B1477" s="299"/>
      <c r="C1477" s="299"/>
      <c r="D1477" s="312"/>
      <c r="K1477" s="332"/>
      <c r="O1477" s="333"/>
      <c r="W1477" s="333"/>
      <c r="X1477" s="333"/>
    </row>
    <row r="1478" spans="1:24">
      <c r="A1478" s="297"/>
      <c r="B1478" s="299"/>
      <c r="C1478" s="299"/>
      <c r="D1478" s="312"/>
      <c r="K1478" s="332"/>
      <c r="O1478" s="333"/>
      <c r="W1478" s="333"/>
      <c r="X1478" s="333"/>
    </row>
    <row r="1479" spans="1:24">
      <c r="A1479" s="297"/>
      <c r="B1479" s="299"/>
      <c r="C1479" s="299"/>
      <c r="D1479" s="312"/>
      <c r="K1479" s="332"/>
      <c r="O1479" s="333"/>
      <c r="W1479" s="333"/>
      <c r="X1479" s="333"/>
    </row>
    <row r="1480" spans="1:24">
      <c r="A1480" s="297"/>
      <c r="B1480" s="299"/>
      <c r="C1480" s="299"/>
      <c r="D1480" s="312"/>
      <c r="K1480" s="332"/>
      <c r="O1480" s="333"/>
      <c r="W1480" s="333"/>
      <c r="X1480" s="333"/>
    </row>
    <row r="1481" spans="1:24">
      <c r="A1481" s="297"/>
      <c r="B1481" s="299"/>
      <c r="C1481" s="299"/>
      <c r="D1481" s="312"/>
      <c r="K1481" s="332"/>
      <c r="O1481" s="333"/>
      <c r="W1481" s="333"/>
      <c r="X1481" s="333"/>
    </row>
    <row r="1482" spans="1:24">
      <c r="A1482" s="297"/>
      <c r="B1482" s="299"/>
      <c r="C1482" s="299"/>
      <c r="D1482" s="312"/>
      <c r="K1482" s="332"/>
      <c r="O1482" s="333"/>
      <c r="W1482" s="333"/>
      <c r="X1482" s="333"/>
    </row>
    <row r="1483" spans="1:24">
      <c r="A1483" s="297"/>
      <c r="B1483" s="299"/>
      <c r="C1483" s="299"/>
      <c r="D1483" s="312"/>
      <c r="K1483" s="332"/>
      <c r="O1483" s="333"/>
      <c r="W1483" s="333"/>
      <c r="X1483" s="333"/>
    </row>
    <row r="1484" spans="1:24">
      <c r="A1484" s="297"/>
      <c r="B1484" s="299"/>
      <c r="C1484" s="299"/>
      <c r="D1484" s="312"/>
      <c r="K1484" s="332"/>
      <c r="O1484" s="333"/>
      <c r="W1484" s="333"/>
      <c r="X1484" s="333"/>
    </row>
    <row r="1485" spans="1:24">
      <c r="A1485" s="297"/>
      <c r="B1485" s="299"/>
      <c r="C1485" s="299"/>
      <c r="D1485" s="312"/>
      <c r="K1485" s="332"/>
      <c r="O1485" s="333"/>
      <c r="W1485" s="333"/>
      <c r="X1485" s="333"/>
    </row>
    <row r="1486" spans="1:24">
      <c r="A1486" s="297"/>
      <c r="B1486" s="299"/>
      <c r="C1486" s="299"/>
      <c r="D1486" s="312"/>
      <c r="K1486" s="332"/>
      <c r="O1486" s="333"/>
      <c r="W1486" s="333"/>
      <c r="X1486" s="333"/>
    </row>
    <row r="1487" spans="1:24">
      <c r="A1487" s="297"/>
      <c r="B1487" s="299"/>
      <c r="C1487" s="299"/>
      <c r="D1487" s="312"/>
      <c r="K1487" s="332"/>
      <c r="O1487" s="333"/>
      <c r="W1487" s="333"/>
      <c r="X1487" s="333"/>
    </row>
    <row r="1488" spans="1:24">
      <c r="A1488" s="297"/>
      <c r="B1488" s="299"/>
      <c r="C1488" s="299"/>
      <c r="D1488" s="312"/>
      <c r="K1488" s="332"/>
      <c r="O1488" s="333"/>
      <c r="W1488" s="333"/>
      <c r="X1488" s="333"/>
    </row>
    <row r="1489" spans="1:24">
      <c r="A1489" s="297"/>
      <c r="B1489" s="299"/>
      <c r="C1489" s="299"/>
      <c r="D1489" s="312"/>
      <c r="K1489" s="332"/>
      <c r="O1489" s="333"/>
      <c r="W1489" s="333"/>
      <c r="X1489" s="333"/>
    </row>
    <row r="1490" spans="1:24">
      <c r="A1490" s="297"/>
      <c r="B1490" s="299"/>
      <c r="C1490" s="299"/>
      <c r="D1490" s="312"/>
      <c r="K1490" s="332"/>
      <c r="O1490" s="333"/>
      <c r="W1490" s="333"/>
      <c r="X1490" s="333"/>
    </row>
    <row r="1491" spans="1:24">
      <c r="A1491" s="297"/>
      <c r="B1491" s="299"/>
      <c r="C1491" s="299"/>
      <c r="D1491" s="312"/>
      <c r="K1491" s="332"/>
      <c r="O1491" s="333"/>
      <c r="W1491" s="333"/>
      <c r="X1491" s="333"/>
    </row>
    <row r="1492" spans="1:24">
      <c r="A1492" s="297"/>
      <c r="B1492" s="299"/>
      <c r="C1492" s="299"/>
      <c r="D1492" s="312"/>
      <c r="K1492" s="332"/>
      <c r="O1492" s="333"/>
      <c r="W1492" s="333"/>
      <c r="X1492" s="333"/>
    </row>
    <row r="1493" spans="1:24">
      <c r="A1493" s="297"/>
      <c r="B1493" s="299"/>
      <c r="C1493" s="299"/>
      <c r="D1493" s="312"/>
      <c r="K1493" s="332"/>
      <c r="O1493" s="333"/>
      <c r="W1493" s="333"/>
      <c r="X1493" s="333"/>
    </row>
    <row r="1494" spans="1:24">
      <c r="A1494" s="297"/>
      <c r="B1494" s="299"/>
      <c r="C1494" s="299"/>
      <c r="D1494" s="312"/>
      <c r="K1494" s="332"/>
      <c r="O1494" s="333"/>
      <c r="W1494" s="333"/>
      <c r="X1494" s="333"/>
    </row>
    <row r="1495" spans="1:24">
      <c r="A1495" s="297"/>
      <c r="B1495" s="299"/>
      <c r="C1495" s="299"/>
      <c r="D1495" s="312"/>
      <c r="K1495" s="332"/>
      <c r="O1495" s="333"/>
      <c r="W1495" s="333"/>
      <c r="X1495" s="333"/>
    </row>
    <row r="1496" spans="1:24">
      <c r="A1496" s="297"/>
      <c r="B1496" s="299"/>
      <c r="C1496" s="299"/>
      <c r="D1496" s="312"/>
      <c r="K1496" s="332"/>
      <c r="O1496" s="333"/>
      <c r="W1496" s="333"/>
      <c r="X1496" s="333"/>
    </row>
    <row r="1497" spans="1:24">
      <c r="A1497" s="297"/>
      <c r="B1497" s="299"/>
      <c r="C1497" s="299"/>
      <c r="D1497" s="312"/>
      <c r="K1497" s="332"/>
      <c r="O1497" s="333"/>
      <c r="W1497" s="333"/>
      <c r="X1497" s="333"/>
    </row>
    <row r="1498" spans="1:24">
      <c r="A1498" s="297"/>
      <c r="B1498" s="299"/>
      <c r="C1498" s="299"/>
      <c r="D1498" s="312"/>
      <c r="K1498" s="332"/>
      <c r="O1498" s="333"/>
      <c r="W1498" s="333"/>
      <c r="X1498" s="333"/>
    </row>
    <row r="1499" spans="1:24">
      <c r="A1499" s="297"/>
      <c r="B1499" s="299"/>
      <c r="C1499" s="299"/>
      <c r="D1499" s="312"/>
      <c r="K1499" s="332"/>
      <c r="O1499" s="333"/>
      <c r="W1499" s="333"/>
      <c r="X1499" s="333"/>
    </row>
    <row r="1500" spans="1:24">
      <c r="A1500" s="297"/>
      <c r="B1500" s="299"/>
      <c r="C1500" s="299"/>
      <c r="D1500" s="312"/>
      <c r="K1500" s="332"/>
      <c r="O1500" s="333"/>
      <c r="W1500" s="333"/>
      <c r="X1500" s="333"/>
    </row>
    <row r="1501" spans="1:24">
      <c r="A1501" s="297"/>
      <c r="B1501" s="299"/>
      <c r="C1501" s="299"/>
      <c r="D1501" s="312"/>
      <c r="K1501" s="332"/>
      <c r="O1501" s="333"/>
      <c r="W1501" s="333"/>
      <c r="X1501" s="333"/>
    </row>
    <row r="1502" spans="1:24">
      <c r="A1502" s="297"/>
      <c r="B1502" s="299"/>
      <c r="C1502" s="299"/>
      <c r="D1502" s="312"/>
      <c r="K1502" s="332"/>
      <c r="O1502" s="333"/>
      <c r="W1502" s="333"/>
      <c r="X1502" s="333"/>
    </row>
    <row r="1503" spans="1:24">
      <c r="A1503" s="297"/>
      <c r="B1503" s="299"/>
      <c r="C1503" s="299"/>
      <c r="D1503" s="312"/>
      <c r="K1503" s="332"/>
      <c r="O1503" s="333"/>
      <c r="W1503" s="333"/>
      <c r="X1503" s="333"/>
    </row>
    <row r="1504" spans="1:24">
      <c r="A1504" s="297"/>
      <c r="B1504" s="299"/>
      <c r="C1504" s="299"/>
      <c r="D1504" s="312"/>
      <c r="K1504" s="332"/>
      <c r="O1504" s="333"/>
      <c r="W1504" s="333"/>
      <c r="X1504" s="333"/>
    </row>
    <row r="1505" spans="1:24">
      <c r="A1505" s="297"/>
      <c r="B1505" s="299"/>
      <c r="C1505" s="299"/>
      <c r="D1505" s="312"/>
      <c r="K1505" s="332"/>
      <c r="O1505" s="333"/>
      <c r="W1505" s="333"/>
      <c r="X1505" s="333"/>
    </row>
    <row r="1506" spans="1:24">
      <c r="A1506" s="297"/>
      <c r="B1506" s="299"/>
      <c r="C1506" s="299"/>
      <c r="D1506" s="312"/>
      <c r="K1506" s="332"/>
      <c r="O1506" s="333"/>
      <c r="W1506" s="333"/>
      <c r="X1506" s="333"/>
    </row>
    <row r="1507" spans="1:24">
      <c r="A1507" s="297"/>
      <c r="B1507" s="299"/>
      <c r="C1507" s="299"/>
      <c r="D1507" s="312"/>
      <c r="K1507" s="332"/>
      <c r="O1507" s="333"/>
      <c r="W1507" s="333"/>
      <c r="X1507" s="333"/>
    </row>
    <row r="1508" spans="1:24">
      <c r="A1508" s="297"/>
      <c r="B1508" s="299"/>
      <c r="C1508" s="299"/>
      <c r="D1508" s="312"/>
      <c r="K1508" s="332"/>
      <c r="O1508" s="333"/>
      <c r="W1508" s="333"/>
      <c r="X1508" s="333"/>
    </row>
    <row r="1509" spans="1:24">
      <c r="A1509" s="297"/>
      <c r="B1509" s="299"/>
      <c r="C1509" s="299"/>
      <c r="D1509" s="312"/>
      <c r="K1509" s="332"/>
      <c r="O1509" s="333"/>
      <c r="W1509" s="333"/>
      <c r="X1509" s="333"/>
    </row>
    <row r="1510" spans="1:24">
      <c r="A1510" s="297"/>
      <c r="B1510" s="299"/>
      <c r="C1510" s="299"/>
      <c r="D1510" s="312"/>
      <c r="K1510" s="332"/>
      <c r="O1510" s="333"/>
      <c r="W1510" s="333"/>
      <c r="X1510" s="333"/>
    </row>
    <row r="1511" spans="1:24">
      <c r="A1511" s="297"/>
      <c r="B1511" s="299"/>
      <c r="C1511" s="299"/>
      <c r="D1511" s="312"/>
      <c r="K1511" s="332"/>
      <c r="O1511" s="333"/>
      <c r="W1511" s="333"/>
      <c r="X1511" s="333"/>
    </row>
    <row r="1512" spans="1:24">
      <c r="A1512" s="297"/>
      <c r="B1512" s="299"/>
      <c r="C1512" s="299"/>
      <c r="D1512" s="312"/>
      <c r="K1512" s="332"/>
      <c r="O1512" s="333"/>
      <c r="W1512" s="333"/>
      <c r="X1512" s="333"/>
    </row>
    <row r="1513" spans="1:24">
      <c r="A1513" s="297"/>
      <c r="B1513" s="299"/>
      <c r="C1513" s="299"/>
      <c r="D1513" s="312"/>
      <c r="K1513" s="332"/>
      <c r="O1513" s="333"/>
      <c r="W1513" s="333"/>
      <c r="X1513" s="333"/>
    </row>
    <row r="1514" spans="1:24">
      <c r="A1514" s="297"/>
      <c r="B1514" s="299"/>
      <c r="C1514" s="299"/>
      <c r="D1514" s="312"/>
      <c r="K1514" s="332"/>
      <c r="O1514" s="333"/>
      <c r="W1514" s="333"/>
      <c r="X1514" s="333"/>
    </row>
    <row r="1515" spans="1:24">
      <c r="A1515" s="297"/>
      <c r="B1515" s="299"/>
      <c r="C1515" s="299"/>
      <c r="D1515" s="312"/>
      <c r="K1515" s="332"/>
      <c r="O1515" s="333"/>
      <c r="W1515" s="333"/>
      <c r="X1515" s="333"/>
    </row>
    <row r="1516" spans="1:24">
      <c r="A1516" s="297"/>
      <c r="B1516" s="299"/>
      <c r="C1516" s="299"/>
      <c r="D1516" s="312"/>
      <c r="K1516" s="332"/>
      <c r="O1516" s="333"/>
      <c r="W1516" s="333"/>
      <c r="X1516" s="333"/>
    </row>
    <row r="1517" spans="1:24">
      <c r="A1517" s="297"/>
      <c r="B1517" s="299"/>
      <c r="C1517" s="299"/>
      <c r="D1517" s="312"/>
      <c r="K1517" s="332"/>
      <c r="O1517" s="333"/>
      <c r="W1517" s="333"/>
      <c r="X1517" s="333"/>
    </row>
    <row r="1518" spans="1:24">
      <c r="A1518" s="297"/>
      <c r="B1518" s="299"/>
      <c r="C1518" s="299"/>
      <c r="D1518" s="312"/>
      <c r="K1518" s="332"/>
      <c r="O1518" s="333"/>
      <c r="W1518" s="333"/>
      <c r="X1518" s="333"/>
    </row>
    <row r="1519" spans="1:24">
      <c r="A1519" s="297"/>
      <c r="B1519" s="299"/>
      <c r="C1519" s="299"/>
      <c r="D1519" s="312"/>
      <c r="K1519" s="332"/>
      <c r="O1519" s="333"/>
      <c r="W1519" s="333"/>
      <c r="X1519" s="333"/>
    </row>
    <row r="1520" spans="1:24">
      <c r="A1520" s="297"/>
      <c r="B1520" s="299"/>
      <c r="C1520" s="299"/>
      <c r="D1520" s="312"/>
      <c r="K1520" s="332"/>
      <c r="O1520" s="333"/>
      <c r="W1520" s="333"/>
      <c r="X1520" s="333"/>
    </row>
    <row r="1521" spans="1:24">
      <c r="A1521" s="297"/>
      <c r="B1521" s="299"/>
      <c r="C1521" s="299"/>
      <c r="D1521" s="312"/>
      <c r="K1521" s="332"/>
      <c r="O1521" s="333"/>
      <c r="W1521" s="333"/>
      <c r="X1521" s="333"/>
    </row>
    <row r="1522" spans="1:24">
      <c r="A1522" s="297"/>
      <c r="B1522" s="299"/>
      <c r="C1522" s="299"/>
      <c r="D1522" s="312"/>
      <c r="K1522" s="332"/>
      <c r="O1522" s="333"/>
      <c r="W1522" s="333"/>
      <c r="X1522" s="333"/>
    </row>
    <row r="1523" spans="1:24">
      <c r="A1523" s="297"/>
      <c r="B1523" s="299"/>
      <c r="C1523" s="299"/>
      <c r="D1523" s="312"/>
      <c r="K1523" s="332"/>
      <c r="O1523" s="333"/>
      <c r="W1523" s="333"/>
      <c r="X1523" s="333"/>
    </row>
    <row r="1524" spans="1:24">
      <c r="A1524" s="297"/>
      <c r="B1524" s="299"/>
      <c r="C1524" s="299"/>
      <c r="D1524" s="312"/>
      <c r="K1524" s="332"/>
      <c r="O1524" s="333"/>
      <c r="W1524" s="333"/>
      <c r="X1524" s="333"/>
    </row>
    <row r="1525" spans="1:24">
      <c r="A1525" s="297"/>
      <c r="B1525" s="299"/>
      <c r="C1525" s="299"/>
      <c r="D1525" s="312"/>
      <c r="K1525" s="332"/>
      <c r="O1525" s="333"/>
      <c r="W1525" s="333"/>
      <c r="X1525" s="333"/>
    </row>
    <row r="1526" spans="1:24">
      <c r="A1526" s="297"/>
      <c r="B1526" s="299"/>
      <c r="C1526" s="299"/>
      <c r="D1526" s="312"/>
      <c r="K1526" s="332"/>
      <c r="O1526" s="333"/>
      <c r="W1526" s="333"/>
      <c r="X1526" s="333"/>
    </row>
    <row r="1527" spans="1:24">
      <c r="A1527" s="297"/>
      <c r="B1527" s="299"/>
      <c r="C1527" s="299"/>
      <c r="D1527" s="312"/>
      <c r="K1527" s="332"/>
      <c r="O1527" s="333"/>
      <c r="W1527" s="333"/>
      <c r="X1527" s="333"/>
    </row>
    <row r="1528" spans="1:24">
      <c r="A1528" s="297"/>
      <c r="B1528" s="299"/>
      <c r="C1528" s="299"/>
      <c r="D1528" s="312"/>
      <c r="K1528" s="332"/>
      <c r="O1528" s="333"/>
      <c r="W1528" s="333"/>
      <c r="X1528" s="333"/>
    </row>
    <row r="1529" spans="1:24">
      <c r="A1529" s="297"/>
      <c r="B1529" s="299"/>
      <c r="C1529" s="299"/>
      <c r="D1529" s="312"/>
      <c r="K1529" s="332"/>
      <c r="O1529" s="333"/>
      <c r="W1529" s="333"/>
      <c r="X1529" s="333"/>
    </row>
    <row r="1530" spans="1:24">
      <c r="A1530" s="297"/>
      <c r="B1530" s="299"/>
      <c r="C1530" s="299"/>
      <c r="D1530" s="312"/>
      <c r="K1530" s="332"/>
      <c r="O1530" s="333"/>
      <c r="W1530" s="333"/>
      <c r="X1530" s="333"/>
    </row>
    <row r="1531" spans="1:24">
      <c r="A1531" s="297"/>
      <c r="B1531" s="299"/>
      <c r="C1531" s="299"/>
      <c r="D1531" s="312"/>
      <c r="K1531" s="332"/>
      <c r="O1531" s="333"/>
      <c r="W1531" s="333"/>
      <c r="X1531" s="333"/>
    </row>
    <row r="1532" spans="1:24">
      <c r="A1532" s="297"/>
      <c r="B1532" s="299"/>
      <c r="C1532" s="299"/>
      <c r="D1532" s="312"/>
      <c r="K1532" s="332"/>
      <c r="O1532" s="333"/>
      <c r="W1532" s="333"/>
      <c r="X1532" s="333"/>
    </row>
    <row r="1533" spans="1:24">
      <c r="A1533" s="297"/>
      <c r="B1533" s="299"/>
      <c r="C1533" s="299"/>
      <c r="D1533" s="312"/>
      <c r="K1533" s="332"/>
      <c r="O1533" s="333"/>
      <c r="W1533" s="333"/>
      <c r="X1533" s="333"/>
    </row>
    <row r="1534" spans="1:24">
      <c r="A1534" s="297"/>
      <c r="B1534" s="299"/>
      <c r="C1534" s="299"/>
      <c r="D1534" s="312"/>
      <c r="K1534" s="332"/>
      <c r="O1534" s="333"/>
      <c r="W1534" s="333"/>
      <c r="X1534" s="333"/>
    </row>
    <row r="1535" spans="1:24">
      <c r="A1535" s="297"/>
      <c r="B1535" s="299"/>
      <c r="C1535" s="299"/>
      <c r="D1535" s="312"/>
      <c r="K1535" s="332"/>
      <c r="O1535" s="333"/>
      <c r="W1535" s="333"/>
      <c r="X1535" s="333"/>
    </row>
    <row r="1536" spans="1:24">
      <c r="A1536" s="297"/>
      <c r="B1536" s="299"/>
      <c r="C1536" s="299"/>
      <c r="D1536" s="312"/>
      <c r="K1536" s="332"/>
      <c r="O1536" s="333"/>
      <c r="W1536" s="333"/>
      <c r="X1536" s="333"/>
    </row>
    <row r="1537" spans="1:24">
      <c r="A1537" s="297"/>
      <c r="B1537" s="299"/>
      <c r="C1537" s="299"/>
      <c r="D1537" s="312"/>
      <c r="K1537" s="332"/>
      <c r="O1537" s="333"/>
      <c r="W1537" s="333"/>
      <c r="X1537" s="333"/>
    </row>
    <row r="1538" spans="1:24">
      <c r="A1538" s="297"/>
      <c r="B1538" s="299"/>
      <c r="C1538" s="299"/>
      <c r="D1538" s="312"/>
      <c r="K1538" s="332"/>
      <c r="O1538" s="333"/>
      <c r="W1538" s="333"/>
      <c r="X1538" s="333"/>
    </row>
    <row r="1539" spans="1:24">
      <c r="A1539" s="297"/>
      <c r="B1539" s="299"/>
      <c r="C1539" s="299"/>
      <c r="D1539" s="312"/>
      <c r="K1539" s="332"/>
      <c r="O1539" s="333"/>
      <c r="W1539" s="333"/>
      <c r="X1539" s="333"/>
    </row>
    <row r="1540" spans="1:24">
      <c r="A1540" s="297"/>
      <c r="B1540" s="299"/>
      <c r="C1540" s="299"/>
      <c r="D1540" s="312"/>
      <c r="K1540" s="332"/>
      <c r="O1540" s="333"/>
      <c r="W1540" s="333"/>
      <c r="X1540" s="333"/>
    </row>
    <row r="1541" spans="1:24">
      <c r="A1541" s="297"/>
      <c r="B1541" s="299"/>
      <c r="C1541" s="299"/>
      <c r="D1541" s="312"/>
      <c r="K1541" s="332"/>
      <c r="O1541" s="333"/>
      <c r="W1541" s="333"/>
      <c r="X1541" s="333"/>
    </row>
    <row r="1542" spans="1:24">
      <c r="A1542" s="297"/>
      <c r="B1542" s="299"/>
      <c r="C1542" s="299"/>
      <c r="D1542" s="312"/>
      <c r="K1542" s="332"/>
      <c r="O1542" s="333"/>
      <c r="W1542" s="333"/>
      <c r="X1542" s="333"/>
    </row>
    <row r="1543" spans="1:24">
      <c r="A1543" s="297"/>
      <c r="B1543" s="299"/>
      <c r="C1543" s="299"/>
      <c r="D1543" s="312"/>
      <c r="K1543" s="332"/>
      <c r="O1543" s="333"/>
      <c r="W1543" s="333"/>
      <c r="X1543" s="333"/>
    </row>
    <row r="1544" spans="1:24">
      <c r="A1544" s="297"/>
      <c r="B1544" s="299"/>
      <c r="C1544" s="299"/>
      <c r="D1544" s="312"/>
      <c r="K1544" s="332"/>
      <c r="O1544" s="333"/>
      <c r="W1544" s="333"/>
      <c r="X1544" s="333"/>
    </row>
    <row r="1545" spans="1:24">
      <c r="A1545" s="297"/>
      <c r="B1545" s="299"/>
      <c r="C1545" s="299"/>
      <c r="D1545" s="312"/>
      <c r="K1545" s="332"/>
      <c r="O1545" s="333"/>
      <c r="W1545" s="333"/>
      <c r="X1545" s="333"/>
    </row>
    <row r="1546" spans="1:24">
      <c r="A1546" s="297"/>
      <c r="B1546" s="299"/>
      <c r="C1546" s="299"/>
      <c r="D1546" s="312"/>
      <c r="K1546" s="332"/>
      <c r="O1546" s="333"/>
      <c r="W1546" s="333"/>
      <c r="X1546" s="333"/>
    </row>
    <row r="1547" spans="1:24">
      <c r="A1547" s="297"/>
      <c r="B1547" s="299"/>
      <c r="C1547" s="299"/>
      <c r="D1547" s="312"/>
      <c r="K1547" s="332"/>
      <c r="O1547" s="333"/>
      <c r="W1547" s="333"/>
      <c r="X1547" s="333"/>
    </row>
    <row r="1548" spans="1:24">
      <c r="A1548" s="297"/>
      <c r="B1548" s="299"/>
      <c r="C1548" s="299"/>
      <c r="D1548" s="312"/>
      <c r="K1548" s="332"/>
      <c r="O1548" s="333"/>
      <c r="W1548" s="333"/>
      <c r="X1548" s="333"/>
    </row>
    <row r="1549" spans="1:24">
      <c r="A1549" s="297"/>
      <c r="B1549" s="299"/>
      <c r="C1549" s="299"/>
      <c r="D1549" s="312"/>
      <c r="K1549" s="332"/>
      <c r="O1549" s="333"/>
      <c r="W1549" s="333"/>
      <c r="X1549" s="333"/>
    </row>
    <row r="1550" spans="1:24">
      <c r="A1550" s="297"/>
      <c r="B1550" s="299"/>
      <c r="C1550" s="299"/>
      <c r="D1550" s="312"/>
      <c r="K1550" s="332"/>
      <c r="O1550" s="333"/>
      <c r="W1550" s="333"/>
      <c r="X1550" s="333"/>
    </row>
    <row r="1551" spans="1:24">
      <c r="A1551" s="297"/>
      <c r="B1551" s="299"/>
      <c r="C1551" s="299"/>
      <c r="D1551" s="312"/>
      <c r="K1551" s="332"/>
      <c r="O1551" s="333"/>
      <c r="W1551" s="333"/>
      <c r="X1551" s="333"/>
    </row>
    <row r="1552" spans="1:24">
      <c r="A1552" s="297"/>
      <c r="B1552" s="299"/>
      <c r="C1552" s="299"/>
      <c r="D1552" s="312"/>
      <c r="K1552" s="332"/>
      <c r="O1552" s="333"/>
      <c r="W1552" s="333"/>
      <c r="X1552" s="333"/>
    </row>
    <row r="1553" spans="1:24">
      <c r="A1553" s="297"/>
      <c r="B1553" s="299"/>
      <c r="C1553" s="299"/>
      <c r="D1553" s="312"/>
      <c r="K1553" s="332"/>
      <c r="O1553" s="333"/>
      <c r="W1553" s="333"/>
      <c r="X1553" s="333"/>
    </row>
    <row r="1554" spans="1:24">
      <c r="A1554" s="297"/>
      <c r="B1554" s="299"/>
      <c r="C1554" s="299"/>
      <c r="D1554" s="312"/>
      <c r="K1554" s="332"/>
      <c r="O1554" s="333"/>
      <c r="W1554" s="333"/>
      <c r="X1554" s="333"/>
    </row>
    <row r="1555" spans="1:24">
      <c r="A1555" s="297"/>
      <c r="B1555" s="299"/>
      <c r="C1555" s="299"/>
      <c r="D1555" s="312"/>
      <c r="K1555" s="332"/>
      <c r="O1555" s="333"/>
      <c r="W1555" s="333"/>
      <c r="X1555" s="333"/>
    </row>
    <row r="1556" spans="1:24">
      <c r="A1556" s="297"/>
      <c r="B1556" s="299"/>
      <c r="C1556" s="299"/>
      <c r="D1556" s="312"/>
      <c r="K1556" s="332"/>
      <c r="O1556" s="333"/>
      <c r="W1556" s="333"/>
      <c r="X1556" s="333"/>
    </row>
    <row r="1557" spans="1:24">
      <c r="A1557" s="297"/>
      <c r="B1557" s="299"/>
      <c r="C1557" s="299"/>
      <c r="D1557" s="312"/>
      <c r="K1557" s="332"/>
      <c r="O1557" s="333"/>
      <c r="W1557" s="333"/>
      <c r="X1557" s="333"/>
    </row>
    <row r="1558" spans="1:24">
      <c r="A1558" s="297"/>
      <c r="B1558" s="299"/>
      <c r="C1558" s="299"/>
      <c r="D1558" s="312"/>
      <c r="K1558" s="332"/>
      <c r="O1558" s="333"/>
      <c r="W1558" s="333"/>
      <c r="X1558" s="333"/>
    </row>
    <row r="1559" spans="1:24">
      <c r="A1559" s="297"/>
      <c r="B1559" s="299"/>
      <c r="C1559" s="299"/>
      <c r="D1559" s="312"/>
      <c r="K1559" s="332"/>
      <c r="O1559" s="333"/>
      <c r="W1559" s="333"/>
      <c r="X1559" s="333"/>
    </row>
    <row r="1560" spans="1:24">
      <c r="A1560" s="297"/>
      <c r="B1560" s="299"/>
      <c r="C1560" s="299"/>
      <c r="D1560" s="312"/>
      <c r="K1560" s="332"/>
      <c r="O1560" s="333"/>
      <c r="W1560" s="333"/>
      <c r="X1560" s="333"/>
    </row>
    <row r="1561" spans="1:24">
      <c r="A1561" s="297"/>
      <c r="B1561" s="299"/>
      <c r="C1561" s="299"/>
      <c r="D1561" s="312"/>
      <c r="K1561" s="332"/>
      <c r="O1561" s="333"/>
      <c r="W1561" s="333"/>
      <c r="X1561" s="333"/>
    </row>
    <row r="1562" spans="1:24">
      <c r="A1562" s="297"/>
      <c r="B1562" s="299"/>
      <c r="C1562" s="299"/>
      <c r="D1562" s="312"/>
      <c r="K1562" s="332"/>
      <c r="O1562" s="333"/>
      <c r="W1562" s="333"/>
      <c r="X1562" s="333"/>
    </row>
    <row r="1563" spans="1:24">
      <c r="A1563" s="297"/>
      <c r="B1563" s="299"/>
      <c r="C1563" s="299"/>
      <c r="D1563" s="312"/>
      <c r="K1563" s="332"/>
      <c r="O1563" s="333"/>
      <c r="W1563" s="333"/>
      <c r="X1563" s="333"/>
    </row>
    <row r="1564" spans="1:24">
      <c r="A1564" s="297"/>
      <c r="B1564" s="299"/>
      <c r="C1564" s="299"/>
      <c r="D1564" s="312"/>
      <c r="K1564" s="332"/>
      <c r="O1564" s="333"/>
      <c r="W1564" s="333"/>
      <c r="X1564" s="333"/>
    </row>
    <row r="1565" spans="1:24">
      <c r="A1565" s="297"/>
      <c r="B1565" s="299"/>
      <c r="C1565" s="299"/>
      <c r="D1565" s="312"/>
      <c r="K1565" s="332"/>
      <c r="O1565" s="333"/>
      <c r="W1565" s="333"/>
      <c r="X1565" s="333"/>
    </row>
    <row r="1566" spans="1:24">
      <c r="A1566" s="297"/>
      <c r="B1566" s="299"/>
      <c r="C1566" s="299"/>
      <c r="D1566" s="312"/>
      <c r="K1566" s="332"/>
      <c r="O1566" s="333"/>
      <c r="W1566" s="333"/>
      <c r="X1566" s="333"/>
    </row>
    <row r="1567" spans="1:24">
      <c r="A1567" s="297"/>
      <c r="B1567" s="299"/>
      <c r="C1567" s="299"/>
      <c r="D1567" s="312"/>
      <c r="K1567" s="332"/>
      <c r="O1567" s="333"/>
      <c r="W1567" s="333"/>
      <c r="X1567" s="333"/>
    </row>
    <row r="1568" spans="1:24">
      <c r="A1568" s="297"/>
      <c r="B1568" s="299"/>
      <c r="C1568" s="299"/>
      <c r="D1568" s="312"/>
      <c r="K1568" s="332"/>
      <c r="O1568" s="333"/>
      <c r="W1568" s="333"/>
      <c r="X1568" s="333"/>
    </row>
    <row r="1569" spans="1:24">
      <c r="A1569" s="297"/>
      <c r="B1569" s="299"/>
      <c r="C1569" s="299"/>
      <c r="D1569" s="312"/>
      <c r="K1569" s="332"/>
      <c r="O1569" s="333"/>
      <c r="W1569" s="333"/>
      <c r="X1569" s="333"/>
    </row>
    <row r="1570" spans="1:24">
      <c r="A1570" s="297"/>
      <c r="B1570" s="299"/>
      <c r="C1570" s="299"/>
      <c r="D1570" s="312"/>
      <c r="K1570" s="332"/>
      <c r="O1570" s="333"/>
      <c r="W1570" s="333"/>
      <c r="X1570" s="333"/>
    </row>
    <row r="1571" spans="1:24">
      <c r="A1571" s="297"/>
      <c r="B1571" s="299"/>
      <c r="C1571" s="299"/>
      <c r="D1571" s="312"/>
      <c r="K1571" s="332"/>
      <c r="O1571" s="333"/>
      <c r="W1571" s="333"/>
      <c r="X1571" s="333"/>
    </row>
    <row r="1572" spans="1:24">
      <c r="A1572" s="297"/>
      <c r="B1572" s="299"/>
      <c r="C1572" s="299"/>
      <c r="D1572" s="312"/>
      <c r="K1572" s="332"/>
      <c r="O1572" s="333"/>
      <c r="W1572" s="333"/>
      <c r="X1572" s="333"/>
    </row>
    <row r="1573" spans="1:24">
      <c r="A1573" s="297"/>
      <c r="B1573" s="299"/>
      <c r="C1573" s="299"/>
      <c r="D1573" s="312"/>
      <c r="K1573" s="332"/>
      <c r="O1573" s="333"/>
      <c r="W1573" s="333"/>
      <c r="X1573" s="333"/>
    </row>
    <row r="1574" spans="1:24">
      <c r="A1574" s="297"/>
      <c r="B1574" s="299"/>
      <c r="C1574" s="299"/>
      <c r="D1574" s="312"/>
      <c r="K1574" s="332"/>
      <c r="O1574" s="333"/>
      <c r="W1574" s="333"/>
      <c r="X1574" s="333"/>
    </row>
    <row r="1575" spans="1:24">
      <c r="A1575" s="297"/>
      <c r="B1575" s="299"/>
      <c r="C1575" s="299"/>
      <c r="D1575" s="312"/>
      <c r="K1575" s="332"/>
      <c r="O1575" s="333"/>
      <c r="W1575" s="333"/>
      <c r="X1575" s="333"/>
    </row>
    <row r="1576" spans="1:24">
      <c r="A1576" s="297"/>
      <c r="B1576" s="299"/>
      <c r="C1576" s="299"/>
      <c r="D1576" s="312"/>
      <c r="K1576" s="332"/>
      <c r="O1576" s="333"/>
      <c r="W1576" s="333"/>
      <c r="X1576" s="333"/>
    </row>
    <row r="1577" spans="1:24">
      <c r="A1577" s="297"/>
      <c r="B1577" s="299"/>
      <c r="C1577" s="299"/>
      <c r="D1577" s="312"/>
      <c r="K1577" s="332"/>
      <c r="O1577" s="333"/>
      <c r="W1577" s="333"/>
      <c r="X1577" s="333"/>
    </row>
    <row r="1578" spans="1:24">
      <c r="A1578" s="297"/>
      <c r="B1578" s="299"/>
      <c r="C1578" s="299"/>
      <c r="D1578" s="312"/>
      <c r="K1578" s="332"/>
      <c r="O1578" s="333"/>
      <c r="W1578" s="333"/>
      <c r="X1578" s="333"/>
    </row>
    <row r="1579" spans="1:24">
      <c r="A1579" s="297"/>
      <c r="B1579" s="299"/>
      <c r="C1579" s="299"/>
      <c r="D1579" s="312"/>
      <c r="K1579" s="332"/>
      <c r="O1579" s="333"/>
      <c r="W1579" s="333"/>
      <c r="X1579" s="333"/>
    </row>
    <row r="1580" spans="1:24">
      <c r="A1580" s="297"/>
      <c r="B1580" s="299"/>
      <c r="C1580" s="299"/>
      <c r="D1580" s="312"/>
      <c r="K1580" s="332"/>
      <c r="O1580" s="333"/>
      <c r="W1580" s="333"/>
      <c r="X1580" s="333"/>
    </row>
    <row r="1581" spans="1:24">
      <c r="A1581" s="297"/>
      <c r="B1581" s="299"/>
      <c r="C1581" s="299"/>
      <c r="D1581" s="312"/>
      <c r="K1581" s="332"/>
      <c r="O1581" s="333"/>
      <c r="W1581" s="333"/>
      <c r="X1581" s="333"/>
    </row>
    <row r="1582" spans="1:24">
      <c r="A1582" s="297"/>
      <c r="B1582" s="299"/>
      <c r="C1582" s="299"/>
      <c r="D1582" s="312"/>
      <c r="K1582" s="332"/>
      <c r="O1582" s="333"/>
      <c r="W1582" s="333"/>
      <c r="X1582" s="333"/>
    </row>
    <row r="1583" spans="1:24">
      <c r="A1583" s="297"/>
      <c r="B1583" s="299"/>
      <c r="C1583" s="299"/>
      <c r="D1583" s="312"/>
      <c r="K1583" s="332"/>
      <c r="O1583" s="333"/>
      <c r="W1583" s="333"/>
      <c r="X1583" s="333"/>
    </row>
    <row r="1584" spans="1:24">
      <c r="A1584" s="297"/>
      <c r="B1584" s="299"/>
      <c r="C1584" s="299"/>
      <c r="D1584" s="312"/>
      <c r="K1584" s="332"/>
      <c r="O1584" s="333"/>
      <c r="W1584" s="333"/>
      <c r="X1584" s="333"/>
    </row>
    <row r="1585" spans="1:24">
      <c r="A1585" s="297"/>
      <c r="B1585" s="299"/>
      <c r="C1585" s="299"/>
      <c r="D1585" s="312"/>
      <c r="K1585" s="332"/>
      <c r="O1585" s="333"/>
      <c r="W1585" s="333"/>
      <c r="X1585" s="333"/>
    </row>
    <row r="1586" spans="1:24">
      <c r="A1586" s="297"/>
      <c r="B1586" s="299"/>
      <c r="C1586" s="299"/>
      <c r="D1586" s="312"/>
      <c r="K1586" s="332"/>
      <c r="O1586" s="333"/>
      <c r="W1586" s="333"/>
      <c r="X1586" s="333"/>
    </row>
    <row r="1587" spans="1:24">
      <c r="A1587" s="297"/>
      <c r="B1587" s="299"/>
      <c r="C1587" s="299"/>
      <c r="D1587" s="312"/>
      <c r="K1587" s="332"/>
      <c r="O1587" s="333"/>
      <c r="W1587" s="333"/>
      <c r="X1587" s="333"/>
    </row>
    <row r="1588" spans="1:24">
      <c r="A1588" s="297"/>
      <c r="B1588" s="299"/>
      <c r="C1588" s="299"/>
      <c r="D1588" s="312"/>
      <c r="K1588" s="332"/>
      <c r="O1588" s="333"/>
      <c r="W1588" s="333"/>
      <c r="X1588" s="333"/>
    </row>
    <row r="1589" spans="1:24">
      <c r="A1589" s="297"/>
      <c r="B1589" s="299"/>
      <c r="C1589" s="299"/>
      <c r="D1589" s="312"/>
      <c r="K1589" s="332"/>
      <c r="O1589" s="333"/>
      <c r="W1589" s="333"/>
      <c r="X1589" s="333"/>
    </row>
    <row r="1590" spans="1:24">
      <c r="A1590" s="297"/>
      <c r="B1590" s="299"/>
      <c r="C1590" s="299"/>
      <c r="D1590" s="312"/>
      <c r="K1590" s="332"/>
      <c r="O1590" s="333"/>
      <c r="W1590" s="333"/>
      <c r="X1590" s="333"/>
    </row>
    <row r="1591" spans="1:24">
      <c r="A1591" s="297"/>
      <c r="B1591" s="299"/>
      <c r="C1591" s="299"/>
      <c r="D1591" s="312"/>
      <c r="K1591" s="332"/>
      <c r="O1591" s="333"/>
      <c r="W1591" s="333"/>
      <c r="X1591" s="333"/>
    </row>
    <row r="1592" spans="1:24">
      <c r="A1592" s="297"/>
      <c r="B1592" s="299"/>
      <c r="C1592" s="299"/>
      <c r="D1592" s="312"/>
      <c r="K1592" s="332"/>
      <c r="O1592" s="333"/>
      <c r="W1592" s="333"/>
      <c r="X1592" s="333"/>
    </row>
    <row r="1593" spans="1:24">
      <c r="A1593" s="297"/>
      <c r="B1593" s="299"/>
      <c r="C1593" s="299"/>
      <c r="D1593" s="312"/>
      <c r="K1593" s="332"/>
      <c r="O1593" s="333"/>
      <c r="W1593" s="333"/>
      <c r="X1593" s="333"/>
    </row>
    <row r="1594" spans="1:24">
      <c r="A1594" s="297"/>
      <c r="B1594" s="299"/>
      <c r="C1594" s="299"/>
      <c r="D1594" s="312"/>
      <c r="K1594" s="332"/>
      <c r="O1594" s="333"/>
      <c r="W1594" s="333"/>
      <c r="X1594" s="333"/>
    </row>
    <row r="1595" spans="1:24">
      <c r="A1595" s="297"/>
      <c r="B1595" s="299"/>
      <c r="C1595" s="299"/>
      <c r="D1595" s="312"/>
      <c r="K1595" s="332"/>
      <c r="O1595" s="333"/>
      <c r="W1595" s="333"/>
      <c r="X1595" s="333"/>
    </row>
    <row r="1596" spans="1:24">
      <c r="A1596" s="297"/>
      <c r="B1596" s="299"/>
      <c r="C1596" s="299"/>
      <c r="D1596" s="312"/>
      <c r="K1596" s="332"/>
      <c r="O1596" s="333"/>
      <c r="W1596" s="333"/>
      <c r="X1596" s="333"/>
    </row>
    <row r="1597" spans="1:24">
      <c r="A1597" s="297"/>
      <c r="B1597" s="299"/>
      <c r="C1597" s="299"/>
      <c r="D1597" s="312"/>
      <c r="K1597" s="332"/>
      <c r="O1597" s="333"/>
      <c r="W1597" s="333"/>
      <c r="X1597" s="333"/>
    </row>
    <row r="1598" spans="1:24">
      <c r="A1598" s="297"/>
      <c r="B1598" s="299"/>
      <c r="C1598" s="299"/>
      <c r="D1598" s="312"/>
      <c r="K1598" s="332"/>
      <c r="O1598" s="333"/>
      <c r="W1598" s="333"/>
      <c r="X1598" s="333"/>
    </row>
    <row r="1599" spans="1:24">
      <c r="A1599" s="297"/>
      <c r="B1599" s="299"/>
      <c r="C1599" s="299"/>
      <c r="D1599" s="312"/>
      <c r="K1599" s="332"/>
      <c r="O1599" s="333"/>
      <c r="W1599" s="333"/>
      <c r="X1599" s="333"/>
    </row>
    <row r="1600" spans="1:24">
      <c r="A1600" s="297"/>
      <c r="B1600" s="299"/>
      <c r="C1600" s="299"/>
      <c r="D1600" s="312"/>
      <c r="K1600" s="332"/>
      <c r="O1600" s="333"/>
      <c r="W1600" s="333"/>
      <c r="X1600" s="333"/>
    </row>
    <row r="1601" spans="1:24">
      <c r="A1601" s="297"/>
      <c r="B1601" s="299"/>
      <c r="C1601" s="299"/>
      <c r="D1601" s="312"/>
      <c r="K1601" s="332"/>
      <c r="O1601" s="333"/>
      <c r="W1601" s="333"/>
      <c r="X1601" s="333"/>
    </row>
    <row r="1602" spans="1:24">
      <c r="A1602" s="297"/>
      <c r="B1602" s="299"/>
      <c r="C1602" s="299"/>
      <c r="D1602" s="312"/>
      <c r="K1602" s="332"/>
      <c r="O1602" s="333"/>
      <c r="W1602" s="333"/>
      <c r="X1602" s="333"/>
    </row>
    <row r="1603" spans="1:24">
      <c r="A1603" s="297"/>
      <c r="B1603" s="299"/>
      <c r="C1603" s="299"/>
      <c r="D1603" s="312"/>
      <c r="K1603" s="332"/>
      <c r="O1603" s="333"/>
      <c r="W1603" s="333"/>
      <c r="X1603" s="333"/>
    </row>
    <row r="1604" spans="1:24">
      <c r="A1604" s="297"/>
      <c r="B1604" s="299"/>
      <c r="C1604" s="299"/>
      <c r="D1604" s="312"/>
      <c r="K1604" s="332"/>
      <c r="O1604" s="333"/>
      <c r="W1604" s="333"/>
      <c r="X1604" s="333"/>
    </row>
    <row r="1605" spans="1:24">
      <c r="A1605" s="297"/>
      <c r="B1605" s="299"/>
      <c r="C1605" s="299"/>
      <c r="D1605" s="312"/>
      <c r="K1605" s="332"/>
      <c r="O1605" s="333"/>
      <c r="W1605" s="333"/>
      <c r="X1605" s="333"/>
    </row>
    <row r="1606" spans="1:24">
      <c r="A1606" s="297"/>
      <c r="B1606" s="299"/>
      <c r="C1606" s="299"/>
      <c r="D1606" s="312"/>
      <c r="K1606" s="332"/>
      <c r="O1606" s="333"/>
      <c r="W1606" s="333"/>
      <c r="X1606" s="333"/>
    </row>
    <row r="1607" spans="1:24">
      <c r="A1607" s="297"/>
      <c r="B1607" s="299"/>
      <c r="C1607" s="299"/>
      <c r="D1607" s="312"/>
      <c r="K1607" s="332"/>
      <c r="O1607" s="333"/>
      <c r="W1607" s="333"/>
      <c r="X1607" s="333"/>
    </row>
    <row r="1608" spans="1:24">
      <c r="A1608" s="297"/>
      <c r="B1608" s="299"/>
      <c r="C1608" s="299"/>
      <c r="D1608" s="312"/>
      <c r="K1608" s="332"/>
      <c r="O1608" s="333"/>
      <c r="W1608" s="333"/>
      <c r="X1608" s="333"/>
    </row>
    <row r="1609" spans="1:24">
      <c r="A1609" s="297"/>
      <c r="B1609" s="299"/>
      <c r="C1609" s="299"/>
      <c r="D1609" s="312"/>
      <c r="K1609" s="332"/>
      <c r="O1609" s="333"/>
      <c r="W1609" s="333"/>
      <c r="X1609" s="333"/>
    </row>
    <row r="1610" spans="1:24">
      <c r="A1610" s="297"/>
      <c r="B1610" s="299"/>
      <c r="C1610" s="299"/>
      <c r="D1610" s="312"/>
      <c r="K1610" s="332"/>
      <c r="O1610" s="333"/>
      <c r="W1610" s="333"/>
      <c r="X1610" s="333"/>
    </row>
    <row r="1611" spans="1:24">
      <c r="A1611" s="297"/>
      <c r="B1611" s="299"/>
      <c r="C1611" s="299"/>
      <c r="D1611" s="312"/>
      <c r="K1611" s="332"/>
      <c r="O1611" s="333"/>
      <c r="W1611" s="333"/>
      <c r="X1611" s="333"/>
    </row>
    <row r="1612" spans="1:24">
      <c r="A1612" s="297"/>
      <c r="B1612" s="299"/>
      <c r="C1612" s="299"/>
      <c r="D1612" s="312"/>
      <c r="K1612" s="332"/>
      <c r="O1612" s="333"/>
      <c r="W1612" s="333"/>
      <c r="X1612" s="333"/>
    </row>
    <row r="1613" spans="1:24">
      <c r="A1613" s="297"/>
      <c r="B1613" s="299"/>
      <c r="C1613" s="299"/>
      <c r="D1613" s="312"/>
      <c r="K1613" s="332"/>
      <c r="O1613" s="333"/>
      <c r="W1613" s="333"/>
      <c r="X1613" s="333"/>
    </row>
    <row r="1614" spans="1:24">
      <c r="A1614" s="297"/>
      <c r="B1614" s="299"/>
      <c r="C1614" s="299"/>
      <c r="D1614" s="312"/>
      <c r="K1614" s="332"/>
      <c r="O1614" s="333"/>
      <c r="W1614" s="333"/>
      <c r="X1614" s="333"/>
    </row>
    <row r="1615" spans="1:24">
      <c r="A1615" s="297"/>
      <c r="B1615" s="299"/>
      <c r="C1615" s="299"/>
      <c r="D1615" s="312"/>
      <c r="K1615" s="332"/>
      <c r="O1615" s="333"/>
      <c r="W1615" s="333"/>
      <c r="X1615" s="333"/>
    </row>
    <row r="1616" spans="1:24">
      <c r="A1616" s="297"/>
      <c r="B1616" s="299"/>
      <c r="C1616" s="299"/>
      <c r="D1616" s="312"/>
      <c r="K1616" s="332"/>
      <c r="O1616" s="333"/>
      <c r="W1616" s="333"/>
      <c r="X1616" s="333"/>
    </row>
    <row r="1617" spans="1:24">
      <c r="A1617" s="297"/>
      <c r="B1617" s="299"/>
      <c r="C1617" s="299"/>
      <c r="D1617" s="312"/>
      <c r="K1617" s="332"/>
      <c r="O1617" s="333"/>
      <c r="W1617" s="333"/>
      <c r="X1617" s="333"/>
    </row>
    <row r="1618" spans="1:24">
      <c r="A1618" s="297"/>
      <c r="B1618" s="299"/>
      <c r="C1618" s="299"/>
      <c r="D1618" s="312"/>
      <c r="K1618" s="332"/>
      <c r="O1618" s="333"/>
      <c r="W1618" s="333"/>
      <c r="X1618" s="333"/>
    </row>
    <row r="1619" spans="1:24">
      <c r="A1619" s="297"/>
      <c r="B1619" s="299"/>
      <c r="C1619" s="299"/>
      <c r="D1619" s="312"/>
      <c r="K1619" s="332"/>
      <c r="O1619" s="333"/>
      <c r="W1619" s="333"/>
      <c r="X1619" s="333"/>
    </row>
    <row r="1620" spans="1:24">
      <c r="A1620" s="297"/>
      <c r="B1620" s="299"/>
      <c r="C1620" s="299"/>
      <c r="D1620" s="312"/>
      <c r="K1620" s="332"/>
      <c r="O1620" s="333"/>
      <c r="W1620" s="333"/>
      <c r="X1620" s="333"/>
    </row>
  </sheetData>
  <mergeCells count="5">
    <mergeCell ref="D87:D89"/>
    <mergeCell ref="D63:D66"/>
    <mergeCell ref="D6:D61"/>
    <mergeCell ref="D3:D5"/>
    <mergeCell ref="D113:D140"/>
  </mergeCells>
  <printOptions horizontalCentered="1" gridLines="1"/>
  <pageMargins left="0.59055118110236227" right="0.59055118110236227" top="1.1811023622047245" bottom="0.98425196850393704" header="0" footer="0.47244094488188981"/>
  <pageSetup paperSize="9" scale="63" fitToHeight="3" orientation="landscape" r:id="rId1"/>
  <headerFooter alignWithMargins="0">
    <oddFooter xml:space="preserve">&amp;C&amp;"Times New Roman,Normal"&amp;12&amp;F   -   &amp;A&amp;R&amp;"Times New Roman,Normal"&amp;12&amp;P/&amp;N </oddFooter>
  </headerFooter>
  <rowBreaks count="1" manualBreakCount="1">
    <brk id="61" min="3" max="21" man="1"/>
  </rowBreaks>
  <legacyDrawing r:id="rId2"/>
</worksheet>
</file>

<file path=xl/worksheets/sheet6.xml><?xml version="1.0" encoding="utf-8"?>
<worksheet xmlns="http://schemas.openxmlformats.org/spreadsheetml/2006/main" xmlns:r="http://schemas.openxmlformats.org/officeDocument/2006/relationships">
  <sheetPr>
    <pageSetUpPr fitToPage="1"/>
  </sheetPr>
  <dimension ref="A1:BR458"/>
  <sheetViews>
    <sheetView topLeftCell="D9" zoomScale="64" zoomScaleNormal="64" workbookViewId="0">
      <pane xSplit="4" ySplit="1" topLeftCell="H10" activePane="bottomRight" state="frozen"/>
      <selection activeCell="D9" sqref="D9"/>
      <selection pane="topRight" activeCell="H9" sqref="H9"/>
      <selection pane="bottomLeft" activeCell="D12" sqref="D12"/>
      <selection pane="bottomRight" activeCell="F16" sqref="F16"/>
    </sheetView>
  </sheetViews>
  <sheetFormatPr baseColWidth="10" defaultRowHeight="12.75"/>
  <cols>
    <col min="1" max="1" width="11.42578125" style="2117"/>
    <col min="2" max="2" width="7.85546875" style="2118" customWidth="1"/>
    <col min="3" max="3" width="4.42578125" style="2118" customWidth="1"/>
    <col min="4" max="4" width="12.5703125" style="2127" bestFit="1" customWidth="1"/>
    <col min="5" max="5" width="41.7109375" style="525" customWidth="1"/>
    <col min="6" max="6" width="16" style="525" bestFit="1" customWidth="1"/>
    <col min="7" max="7" width="19.28515625" style="526" customWidth="1"/>
    <col min="8" max="9" width="8.42578125" style="2158" customWidth="1"/>
    <col min="10" max="10" width="8.5703125" style="2158" customWidth="1"/>
    <col min="11" max="11" width="9.140625" style="2158" customWidth="1"/>
    <col min="12" max="12" width="9.42578125" style="2158" customWidth="1"/>
    <col min="13" max="13" width="9" style="2158" customWidth="1"/>
    <col min="14" max="14" width="8.7109375" style="2131" customWidth="1"/>
    <col min="15" max="15" width="8.5703125" style="2131" customWidth="1"/>
    <col min="16" max="17" width="8.7109375" style="2158" customWidth="1"/>
    <col min="18" max="18" width="9" style="2156" customWidth="1"/>
    <col min="19" max="20" width="8.7109375" style="2131" customWidth="1"/>
    <col min="21" max="22" width="8.85546875" style="2158" customWidth="1"/>
    <col min="23" max="23" width="8.7109375" style="2131" customWidth="1"/>
    <col min="24" max="61" width="8.5703125" style="2131" customWidth="1"/>
    <col min="62" max="16384" width="11.42578125" style="2126"/>
  </cols>
  <sheetData>
    <row r="1" spans="1:70" ht="16.5" customHeight="1">
      <c r="D1" s="2119"/>
      <c r="E1" s="2120"/>
      <c r="F1" s="2120"/>
      <c r="G1" s="2121"/>
      <c r="H1" s="2122"/>
      <c r="I1" s="2122"/>
      <c r="J1" s="2122"/>
      <c r="K1" s="2122"/>
      <c r="L1" s="2122"/>
      <c r="M1" s="2122"/>
      <c r="N1" s="2122"/>
      <c r="O1" s="2122"/>
      <c r="P1" s="2123"/>
      <c r="Q1" s="2122"/>
      <c r="R1" s="2124"/>
      <c r="S1" s="2122"/>
      <c r="T1" s="2122"/>
      <c r="U1" s="2122"/>
      <c r="V1" s="2122"/>
      <c r="W1" s="2122"/>
      <c r="X1" s="2122"/>
      <c r="Y1" s="2122"/>
      <c r="Z1" s="2122"/>
      <c r="AA1" s="2122"/>
      <c r="AB1" s="2122"/>
      <c r="AC1" s="2122"/>
      <c r="AD1" s="2122"/>
      <c r="AE1" s="2122"/>
      <c r="AF1" s="2122"/>
      <c r="AG1" s="2122"/>
      <c r="AH1" s="2122"/>
      <c r="AI1" s="2122"/>
      <c r="AJ1" s="2122"/>
      <c r="AK1" s="2122"/>
      <c r="AL1" s="2122"/>
      <c r="AM1" s="2122"/>
      <c r="AN1" s="2122"/>
      <c r="AO1" s="2122"/>
      <c r="AP1" s="2122"/>
      <c r="AQ1" s="2122"/>
      <c r="AR1" s="2122"/>
      <c r="AS1" s="2122"/>
      <c r="AT1" s="2122"/>
      <c r="AU1" s="2122"/>
      <c r="AV1" s="2122"/>
      <c r="AW1" s="2122"/>
      <c r="AX1" s="2122"/>
      <c r="AY1" s="2122"/>
      <c r="AZ1" s="2122"/>
      <c r="BA1" s="2122"/>
      <c r="BB1" s="2122"/>
      <c r="BC1" s="2122"/>
      <c r="BD1" s="2122"/>
      <c r="BE1" s="2122"/>
      <c r="BF1" s="2122"/>
      <c r="BG1" s="2122"/>
      <c r="BH1" s="2122"/>
      <c r="BI1" s="2122"/>
      <c r="BJ1" s="2125"/>
      <c r="BK1" s="2125"/>
      <c r="BL1" s="2125"/>
      <c r="BM1" s="2125"/>
      <c r="BN1" s="2125"/>
      <c r="BO1" s="2125"/>
      <c r="BP1" s="2125"/>
      <c r="BQ1" s="2125"/>
      <c r="BR1" s="2125"/>
    </row>
    <row r="2" spans="1:70" ht="16.5" customHeight="1">
      <c r="H2" s="2128"/>
      <c r="I2" s="2128"/>
      <c r="J2" s="2128"/>
      <c r="K2" s="2128"/>
      <c r="L2" s="2128"/>
      <c r="M2" s="2128"/>
      <c r="N2" s="2128"/>
      <c r="O2" s="2128"/>
      <c r="P2" s="2129"/>
      <c r="Q2" s="2128"/>
      <c r="R2" s="2125"/>
      <c r="S2" s="2128"/>
      <c r="T2" s="2128"/>
      <c r="U2" s="2128"/>
      <c r="V2" s="2128"/>
      <c r="W2" s="2128"/>
      <c r="X2" s="2128"/>
      <c r="Y2" s="2128"/>
      <c r="Z2" s="2128"/>
      <c r="AA2" s="2128"/>
      <c r="AB2" s="2128"/>
      <c r="AC2" s="2128"/>
      <c r="AD2" s="2128"/>
      <c r="AE2" s="2128"/>
      <c r="AF2" s="2128"/>
      <c r="AG2" s="2128"/>
      <c r="AH2" s="2128"/>
      <c r="AI2" s="2128"/>
      <c r="AJ2" s="2128"/>
      <c r="AK2" s="2128"/>
      <c r="AL2" s="2128"/>
      <c r="AM2" s="2128"/>
      <c r="AN2" s="2128"/>
      <c r="AO2" s="2128"/>
      <c r="AP2" s="2128"/>
      <c r="AQ2" s="2128"/>
      <c r="AR2" s="2128"/>
      <c r="AS2" s="2128"/>
      <c r="AT2" s="2128"/>
      <c r="AU2" s="2128"/>
      <c r="AV2" s="2128"/>
      <c r="AW2" s="2128"/>
      <c r="AX2" s="2128"/>
      <c r="AY2" s="2128"/>
      <c r="AZ2" s="2128"/>
      <c r="BA2" s="2128"/>
      <c r="BB2" s="2128"/>
      <c r="BC2" s="2128"/>
      <c r="BD2" s="2128"/>
      <c r="BE2" s="2128"/>
      <c r="BF2" s="2128"/>
      <c r="BG2" s="2128"/>
      <c r="BH2" s="2128"/>
      <c r="BI2" s="2128"/>
      <c r="BJ2" s="2125"/>
      <c r="BK2" s="2125"/>
      <c r="BL2" s="2125"/>
      <c r="BM2" s="2125"/>
      <c r="BN2" s="2125"/>
      <c r="BO2" s="2125"/>
      <c r="BP2" s="2125"/>
      <c r="BQ2" s="2125"/>
      <c r="BR2" s="2125"/>
    </row>
    <row r="3" spans="1:70" ht="16.5" customHeight="1">
      <c r="H3" s="2128"/>
      <c r="I3" s="2128"/>
      <c r="J3" s="2128"/>
      <c r="K3" s="2128"/>
      <c r="L3" s="2128"/>
      <c r="M3" s="2128"/>
      <c r="N3" s="2128"/>
      <c r="O3" s="2128"/>
      <c r="P3" s="2129"/>
      <c r="Q3" s="2128"/>
      <c r="R3" s="2125"/>
      <c r="S3" s="2128"/>
      <c r="T3" s="2128"/>
      <c r="U3" s="2128"/>
      <c r="V3" s="2128"/>
      <c r="W3" s="2128"/>
      <c r="X3" s="2128"/>
      <c r="Y3" s="2128"/>
      <c r="Z3" s="2128"/>
      <c r="AA3" s="2128"/>
      <c r="AB3" s="2128"/>
      <c r="AC3" s="2128"/>
      <c r="AD3" s="2128"/>
      <c r="AE3" s="2128"/>
      <c r="AF3" s="2128"/>
      <c r="AG3" s="2128"/>
      <c r="AH3" s="2128"/>
      <c r="AI3" s="2128"/>
      <c r="AJ3" s="2128"/>
      <c r="AK3" s="2128"/>
      <c r="AL3" s="2128"/>
      <c r="AM3" s="2128"/>
      <c r="AN3" s="2128"/>
      <c r="AO3" s="2128"/>
      <c r="AP3" s="2128"/>
      <c r="AQ3" s="2128"/>
      <c r="AR3" s="2128"/>
      <c r="AS3" s="2128"/>
      <c r="AT3" s="2128"/>
      <c r="AU3" s="2128"/>
      <c r="AV3" s="2128"/>
      <c r="AW3" s="2128"/>
      <c r="AX3" s="2128"/>
      <c r="AY3" s="2128"/>
      <c r="AZ3" s="2128"/>
      <c r="BA3" s="2128"/>
      <c r="BB3" s="2128"/>
      <c r="BC3" s="2128"/>
      <c r="BD3" s="2128"/>
      <c r="BE3" s="2128"/>
      <c r="BF3" s="2128"/>
      <c r="BG3" s="2128"/>
      <c r="BH3" s="2128"/>
      <c r="BI3" s="2128"/>
      <c r="BJ3" s="2125"/>
      <c r="BK3" s="2125"/>
      <c r="BL3" s="2125"/>
      <c r="BM3" s="2125"/>
      <c r="BN3" s="2125"/>
      <c r="BO3" s="2125"/>
      <c r="BP3" s="2125"/>
      <c r="BQ3" s="2125"/>
      <c r="BR3" s="2125"/>
    </row>
    <row r="4" spans="1:70" ht="4.1500000000000004" customHeight="1">
      <c r="H4" s="2128"/>
      <c r="I4" s="2128"/>
      <c r="J4" s="2128"/>
      <c r="K4" s="2128"/>
      <c r="L4" s="2128"/>
      <c r="M4" s="2128"/>
      <c r="N4" s="2128"/>
      <c r="O4" s="2128"/>
      <c r="P4" s="2129"/>
      <c r="Q4" s="2128"/>
      <c r="R4" s="2125"/>
      <c r="S4" s="2128"/>
      <c r="T4" s="2128"/>
      <c r="U4" s="2128"/>
      <c r="V4" s="2128"/>
      <c r="W4" s="2128"/>
      <c r="X4" s="2128"/>
      <c r="Y4" s="2128"/>
      <c r="Z4" s="2128"/>
      <c r="AA4" s="2128"/>
      <c r="AB4" s="2128"/>
      <c r="AC4" s="2128"/>
      <c r="AD4" s="2128"/>
      <c r="AE4" s="2128"/>
      <c r="AF4" s="2128"/>
      <c r="AG4" s="2128"/>
      <c r="AH4" s="2128"/>
      <c r="AI4" s="2128"/>
      <c r="AJ4" s="2128"/>
      <c r="AK4" s="2128"/>
      <c r="AL4" s="2128"/>
      <c r="AM4" s="2128"/>
      <c r="AN4" s="2128"/>
      <c r="AO4" s="2128"/>
      <c r="AP4" s="2128"/>
      <c r="AQ4" s="2128"/>
      <c r="AR4" s="2128"/>
      <c r="AS4" s="2128"/>
      <c r="AT4" s="2128"/>
      <c r="AU4" s="2128"/>
      <c r="AV4" s="2128"/>
      <c r="AW4" s="2128"/>
      <c r="AX4" s="2128"/>
      <c r="AY4" s="2128"/>
      <c r="AZ4" s="2128"/>
      <c r="BA4" s="2128"/>
      <c r="BB4" s="2128"/>
      <c r="BC4" s="2128"/>
      <c r="BD4" s="2128"/>
      <c r="BE4" s="2128"/>
      <c r="BF4" s="2128"/>
      <c r="BG4" s="2128"/>
      <c r="BH4" s="2128"/>
      <c r="BI4" s="2128"/>
      <c r="BJ4" s="2125"/>
      <c r="BK4" s="2125"/>
      <c r="BL4" s="2125"/>
      <c r="BM4" s="2125"/>
      <c r="BN4" s="2125"/>
      <c r="BO4" s="2125"/>
      <c r="BP4" s="2125"/>
      <c r="BQ4" s="2125"/>
      <c r="BR4" s="2125"/>
    </row>
    <row r="5" spans="1:70" ht="21.6" customHeight="1">
      <c r="G5" s="2130"/>
      <c r="H5" s="2131"/>
      <c r="I5" s="2131"/>
      <c r="J5" s="2131"/>
      <c r="K5" s="2131"/>
      <c r="L5" s="2131"/>
      <c r="M5" s="2131"/>
      <c r="P5" s="2132"/>
      <c r="Q5" s="2131"/>
      <c r="R5" s="2126"/>
      <c r="U5" s="2131"/>
      <c r="V5" s="2131"/>
    </row>
    <row r="6" spans="1:70" ht="15.6" customHeight="1" thickBot="1">
      <c r="H6" s="2131"/>
      <c r="I6" s="2131"/>
      <c r="J6" s="2131"/>
      <c r="K6" s="2131"/>
      <c r="L6" s="2131"/>
      <c r="M6" s="2131"/>
      <c r="P6" s="2132"/>
      <c r="Q6" s="2131"/>
      <c r="R6" s="2126"/>
      <c r="U6" s="2131"/>
      <c r="V6" s="2131"/>
    </row>
    <row r="7" spans="1:70">
      <c r="D7" s="2119"/>
      <c r="E7" s="2120"/>
      <c r="F7" s="2120"/>
      <c r="G7" s="2121"/>
      <c r="H7" s="2131"/>
      <c r="I7" s="2131"/>
      <c r="J7" s="2131"/>
      <c r="K7" s="2131"/>
      <c r="L7" s="2131"/>
      <c r="M7" s="2131"/>
      <c r="P7" s="2132"/>
      <c r="Q7" s="2131"/>
      <c r="R7" s="2126"/>
      <c r="U7" s="2131"/>
      <c r="V7" s="2131"/>
    </row>
    <row r="8" spans="1:70" ht="13.5" thickBot="1">
      <c r="D8" s="2127" t="s">
        <v>76</v>
      </c>
      <c r="H8" s="2131"/>
      <c r="I8" s="2131"/>
      <c r="J8" s="2131"/>
      <c r="K8" s="2131"/>
      <c r="L8" s="2131"/>
      <c r="M8" s="2131"/>
      <c r="P8" s="2132"/>
      <c r="Q8" s="2131"/>
      <c r="R8" s="2126"/>
      <c r="U8" s="2131"/>
      <c r="V8" s="2131"/>
    </row>
    <row r="9" spans="1:70" s="2137" customFormat="1" ht="38.25">
      <c r="A9" s="2133"/>
      <c r="B9" s="2134"/>
      <c r="C9" s="2134"/>
      <c r="D9" s="2135" t="s">
        <v>77</v>
      </c>
      <c r="E9" s="3695" t="s">
        <v>1291</v>
      </c>
      <c r="F9" s="2136" t="str">
        <f>'Du K'!F2</f>
        <v>Symbole</v>
      </c>
      <c r="G9" s="3679" t="str">
        <f>'Du K'!G2</f>
        <v>Unité</v>
      </c>
      <c r="H9" s="415" t="str">
        <f>'Du K'!H2</f>
        <v>butanol</v>
      </c>
      <c r="I9" s="415" t="str">
        <f>'Du K'!I2</f>
        <v>butanol</v>
      </c>
      <c r="J9" s="415" t="str">
        <f>'Du K'!J2</f>
        <v>MEK</v>
      </c>
      <c r="K9" s="415" t="str">
        <f>'Du K'!K2</f>
        <v>CV</v>
      </c>
      <c r="L9" s="415" t="str">
        <f>'Du K'!L2</f>
        <v>cis-DCE</v>
      </c>
      <c r="M9" s="415" t="str">
        <f>'Du K'!M2</f>
        <v>cis-DCE</v>
      </c>
      <c r="N9" s="415" t="str">
        <f>'Du K'!N2</f>
        <v>TCE</v>
      </c>
      <c r="O9" s="415" t="str">
        <f>'Du K'!O2</f>
        <v>TCE</v>
      </c>
      <c r="P9" s="415" t="str">
        <f>'Du K'!P2</f>
        <v>PCE</v>
      </c>
      <c r="Q9" s="415" t="str">
        <f>'Du K'!Q2</f>
        <v>PCE</v>
      </c>
      <c r="R9" s="415" t="str">
        <f>'Du K'!R2</f>
        <v>DCMA</v>
      </c>
      <c r="S9" s="415" t="str">
        <f>'Du K'!S2</f>
        <v>chloroforme</v>
      </c>
      <c r="T9" s="415" t="str">
        <f>'Du K'!T2</f>
        <v>chloroforme</v>
      </c>
      <c r="U9" s="415" t="str">
        <f>'Du K'!U2</f>
        <v>PCMA</v>
      </c>
      <c r="V9" s="415" t="str">
        <f>'Du K'!V2</f>
        <v>1,1,1-TCA</v>
      </c>
      <c r="W9" s="415" t="str">
        <f>'Du K'!W2</f>
        <v>1,1,1-TCA</v>
      </c>
      <c r="X9" s="415" t="str">
        <f>'Du K'!X2</f>
        <v>B</v>
      </c>
      <c r="Y9" s="415" t="str">
        <f>'Du K'!Y2</f>
        <v>T</v>
      </c>
      <c r="Z9" s="415" t="str">
        <f>'Du K'!Z2</f>
        <v>E</v>
      </c>
      <c r="AA9" s="415" t="str">
        <f>'Du K'!AA2</f>
        <v>X</v>
      </c>
      <c r="AB9" s="415" t="str">
        <f>'Du K'!AB2</f>
        <v>Ar 
&gt;EC8-EC10</v>
      </c>
      <c r="AC9" s="415" t="str">
        <f>'Du K'!AC2</f>
        <v>Ar
&gt;EC10-EC12</v>
      </c>
      <c r="AD9" s="415" t="str">
        <f>'Du K'!AD2</f>
        <v>Ar
 &gt;EC12 - EC16</v>
      </c>
      <c r="AE9" s="415" t="str">
        <f>'Du K'!AE2</f>
        <v>Ar
 &gt;EC16 - EC21</v>
      </c>
      <c r="AF9" s="415" t="str">
        <f>'Du K'!AF2</f>
        <v>Ar
 &gt;EC21 - EC35</v>
      </c>
      <c r="AG9" s="415" t="str">
        <f>'Du K'!AG2</f>
        <v>Al 
EC5-EC6</v>
      </c>
      <c r="AH9" s="415" t="str">
        <f>'Du K'!AH2</f>
        <v>Al
&gt;EC6-EC8</v>
      </c>
      <c r="AI9" s="415" t="str">
        <f>'Du K'!AI2</f>
        <v>Al 
&gt;EC8-EC10</v>
      </c>
      <c r="AJ9" s="415" t="str">
        <f>'Du K'!AJ2</f>
        <v>Al &gt;
EC10-EC12</v>
      </c>
      <c r="AK9" s="415" t="str">
        <f>'Du K'!AK2</f>
        <v>Al 
&gt;EC12-EC16</v>
      </c>
      <c r="AL9" s="415" t="str">
        <f>'Du K'!AL2</f>
        <v>Al 
&gt;EC16- EC21</v>
      </c>
      <c r="AM9" s="415" t="str">
        <f>'Du K'!AM2</f>
        <v>Al  &gt;EC21</v>
      </c>
      <c r="AN9" s="415" t="str">
        <f>'Du K'!AN2</f>
        <v>Naphtalène</v>
      </c>
      <c r="AO9" s="415" t="str">
        <f>'Du K'!AO2</f>
        <v>Acénaphthylène</v>
      </c>
      <c r="AP9" s="415" t="str">
        <f>'Du K'!AP2</f>
        <v>Acénaphtène</v>
      </c>
      <c r="AQ9" s="415" t="str">
        <f>'Du K'!AQ2</f>
        <v>Fluorène</v>
      </c>
      <c r="AR9" s="415" t="str">
        <f>'Du K'!AR2</f>
        <v>Phénanthrène</v>
      </c>
      <c r="AS9" s="415" t="str">
        <f>'Du K'!AS2</f>
        <v>Anthracène</v>
      </c>
      <c r="AT9" s="415" t="str">
        <f>'Du K'!AT2</f>
        <v>Fluoranthène</v>
      </c>
      <c r="AU9" s="415" t="str">
        <f>'Du K'!AU2</f>
        <v>Pyrène</v>
      </c>
      <c r="AV9" s="415" t="str">
        <f>'Du K'!AV2</f>
        <v>BaA</v>
      </c>
      <c r="AW9" s="415" t="str">
        <f>'Du K'!AW2</f>
        <v>Chrysène</v>
      </c>
      <c r="AX9" s="415" t="str">
        <f>'Du K'!AX2</f>
        <v>BbF</v>
      </c>
      <c r="AY9" s="415" t="str">
        <f>'Du K'!AY2</f>
        <v>BkF</v>
      </c>
      <c r="AZ9" s="415" t="str">
        <f>'Du K'!AZ2</f>
        <v>BaP</v>
      </c>
      <c r="BA9" s="415" t="str">
        <f>'Du K'!BA2</f>
        <v>DahA</v>
      </c>
      <c r="BB9" s="415" t="str">
        <f>'Du K'!BB2</f>
        <v>BghP</v>
      </c>
      <c r="BC9" s="415" t="str">
        <f>'Du K'!BC2</f>
        <v>IcdP</v>
      </c>
      <c r="BD9" s="415" t="str">
        <f>'Du K'!BD2</f>
        <v>Phénol</v>
      </c>
      <c r="BE9" s="415" t="str">
        <f>'Du K'!BE2</f>
        <v>PCB (7)</v>
      </c>
      <c r="BF9" s="415" t="str">
        <f>'Du K'!BF2</f>
        <v>PCB-A1254</v>
      </c>
      <c r="BG9" s="415" t="str">
        <f>'Du K'!BG2</f>
        <v>Hg0</v>
      </c>
      <c r="BH9" s="415" t="str">
        <f>'Du K'!BH2</f>
        <v>CH3HgCl</v>
      </c>
      <c r="BI9" s="415" t="str">
        <f>'Du K'!BI2</f>
        <v>CN/HCN</v>
      </c>
    </row>
    <row r="10" spans="1:70" ht="13.15" customHeight="1" thickBot="1">
      <c r="A10" s="2131"/>
      <c r="B10" s="78"/>
      <c r="C10" s="2138"/>
      <c r="D10" s="2139"/>
      <c r="H10" s="2140"/>
      <c r="I10" s="2140"/>
      <c r="J10" s="2140"/>
      <c r="K10" s="2140"/>
      <c r="L10" s="2140"/>
      <c r="M10" s="2140"/>
      <c r="N10" s="2140"/>
      <c r="O10" s="2140"/>
      <c r="P10" s="2140"/>
      <c r="Q10" s="2140"/>
      <c r="R10" s="2141"/>
      <c r="S10" s="2140"/>
      <c r="T10" s="2140"/>
      <c r="U10" s="2140"/>
      <c r="V10" s="2140"/>
      <c r="W10" s="2140"/>
      <c r="X10" s="2140"/>
      <c r="Y10" s="2140"/>
      <c r="Z10" s="2140"/>
      <c r="AA10" s="2140"/>
      <c r="AB10" s="2140"/>
      <c r="AC10" s="2140"/>
      <c r="AD10" s="2140"/>
      <c r="AE10" s="2140"/>
      <c r="AF10" s="2140"/>
      <c r="AG10" s="2140"/>
      <c r="AH10" s="2140"/>
      <c r="AI10" s="2140"/>
      <c r="AJ10" s="2140"/>
      <c r="AK10" s="2140"/>
      <c r="AL10" s="2140"/>
      <c r="AM10" s="2140"/>
      <c r="AN10" s="2140"/>
      <c r="AO10" s="2140"/>
      <c r="AP10" s="2140"/>
      <c r="AQ10" s="2140"/>
      <c r="AR10" s="2140"/>
      <c r="AS10" s="2140"/>
      <c r="AT10" s="2140"/>
      <c r="AU10" s="2140"/>
      <c r="AV10" s="2140"/>
      <c r="AW10" s="2140"/>
      <c r="AX10" s="2140"/>
      <c r="AY10" s="2140"/>
      <c r="AZ10" s="2140"/>
      <c r="BA10" s="2140"/>
      <c r="BB10" s="2140"/>
      <c r="BC10" s="2140"/>
      <c r="BD10" s="2140"/>
      <c r="BE10" s="2140"/>
      <c r="BF10" s="2140"/>
      <c r="BG10" s="2140"/>
      <c r="BH10" s="2140"/>
      <c r="BI10" s="2140"/>
    </row>
    <row r="11" spans="1:70" s="2148" customFormat="1">
      <c r="A11" s="2142"/>
      <c r="B11" s="2143"/>
      <c r="C11" s="2143"/>
      <c r="D11" s="2144"/>
      <c r="E11" s="2145" t="s">
        <v>1128</v>
      </c>
      <c r="F11" s="2120"/>
      <c r="G11" s="2121"/>
      <c r="H11" s="2143"/>
      <c r="I11" s="2143"/>
      <c r="J11" s="2143"/>
      <c r="K11" s="2143"/>
      <c r="L11" s="2143"/>
      <c r="M11" s="2143"/>
      <c r="N11" s="2146"/>
      <c r="O11" s="2146"/>
      <c r="P11" s="2143"/>
      <c r="Q11" s="2143"/>
      <c r="R11" s="2147"/>
      <c r="S11" s="2146"/>
      <c r="T11" s="2146"/>
      <c r="U11" s="2143"/>
      <c r="V11" s="2143"/>
      <c r="W11" s="2146"/>
      <c r="X11" s="2146"/>
      <c r="Y11" s="2146"/>
      <c r="Z11" s="2146"/>
      <c r="AA11" s="2146"/>
      <c r="AB11" s="2146"/>
      <c r="AC11" s="2146"/>
      <c r="AD11" s="2146"/>
      <c r="AE11" s="2146"/>
      <c r="AF11" s="2146"/>
      <c r="AG11" s="2146"/>
      <c r="AH11" s="2146"/>
      <c r="AI11" s="2146"/>
      <c r="AJ11" s="2146"/>
      <c r="AK11" s="2146"/>
      <c r="AL11" s="2146"/>
      <c r="AM11" s="2146"/>
      <c r="AN11" s="2146"/>
      <c r="AO11" s="2146"/>
      <c r="AP11" s="2146"/>
      <c r="AQ11" s="2146"/>
      <c r="AR11" s="2146"/>
      <c r="AS11" s="2146"/>
      <c r="AT11" s="2146"/>
      <c r="AU11" s="2146"/>
      <c r="AV11" s="2146"/>
      <c r="AW11" s="2146"/>
      <c r="AX11" s="2146"/>
      <c r="AY11" s="2146"/>
      <c r="AZ11" s="2146"/>
      <c r="BA11" s="2146"/>
      <c r="BB11" s="2146"/>
      <c r="BC11" s="2146"/>
      <c r="BD11" s="2146"/>
      <c r="BE11" s="2146"/>
      <c r="BF11" s="2146"/>
      <c r="BG11" s="2146"/>
      <c r="BH11" s="2146"/>
      <c r="BI11" s="2146"/>
    </row>
    <row r="12" spans="1:70" ht="13.15" customHeight="1">
      <c r="A12" s="2149"/>
      <c r="B12" s="2150"/>
      <c r="C12" s="2151"/>
      <c r="D12" s="2152"/>
      <c r="E12" s="2153" t="s">
        <v>299</v>
      </c>
      <c r="F12" s="2153" t="s">
        <v>1129</v>
      </c>
      <c r="G12" s="2154" t="s">
        <v>73</v>
      </c>
      <c r="H12" s="2155">
        <f>'Du K'!H125</f>
        <v>3</v>
      </c>
      <c r="I12" s="2155">
        <f>'Du K'!I125</f>
        <v>3</v>
      </c>
      <c r="J12" s="2155">
        <f>'Du K'!J125</f>
        <v>3</v>
      </c>
      <c r="K12" s="2155">
        <f>'Du K'!K125</f>
        <v>3</v>
      </c>
      <c r="L12" s="2155">
        <f>'Du K'!L125</f>
        <v>3</v>
      </c>
      <c r="M12" s="2155">
        <f>'Du K'!M125</f>
        <v>3</v>
      </c>
      <c r="N12" s="2155">
        <f>'Du K'!N125</f>
        <v>3</v>
      </c>
      <c r="O12" s="2155">
        <f>'Du K'!O125</f>
        <v>3</v>
      </c>
      <c r="P12" s="2155">
        <f>'Du K'!P125</f>
        <v>3</v>
      </c>
      <c r="Q12" s="2155">
        <f>'Du K'!Q125</f>
        <v>3</v>
      </c>
      <c r="R12" s="2155">
        <f>'Du K'!R125</f>
        <v>3</v>
      </c>
      <c r="S12" s="2155">
        <f>'Du K'!S125</f>
        <v>3</v>
      </c>
      <c r="T12" s="2155">
        <f>'Du K'!T125</f>
        <v>3</v>
      </c>
      <c r="U12" s="2155">
        <f>'Du K'!U125</f>
        <v>3</v>
      </c>
      <c r="V12" s="2155">
        <f>'Du K'!V125</f>
        <v>3</v>
      </c>
      <c r="W12" s="2155">
        <f>'Du K'!W125</f>
        <v>3</v>
      </c>
      <c r="X12" s="2155">
        <f>'Du K'!X125</f>
        <v>3</v>
      </c>
      <c r="Y12" s="2155">
        <f>'Du K'!Y125</f>
        <v>3</v>
      </c>
      <c r="Z12" s="2155">
        <f>'Du K'!Z125</f>
        <v>3</v>
      </c>
      <c r="AA12" s="2155">
        <f>'Du K'!AA125</f>
        <v>3</v>
      </c>
      <c r="AB12" s="2155">
        <f>'Du K'!AB125</f>
        <v>3</v>
      </c>
      <c r="AC12" s="2155">
        <f>'Du K'!AC125</f>
        <v>3</v>
      </c>
      <c r="AD12" s="2155">
        <f>'Du K'!AD125</f>
        <v>3</v>
      </c>
      <c r="AE12" s="2155">
        <f>'Du K'!AE125</f>
        <v>3</v>
      </c>
      <c r="AF12" s="2155">
        <f>'Du K'!AF125</f>
        <v>3</v>
      </c>
      <c r="AG12" s="2155">
        <f>'Du K'!AG125</f>
        <v>3</v>
      </c>
      <c r="AH12" s="2155">
        <f>'Du K'!AH125</f>
        <v>3</v>
      </c>
      <c r="AI12" s="2155">
        <f>'Du K'!AI125</f>
        <v>3</v>
      </c>
      <c r="AJ12" s="2155">
        <f>'Du K'!AJ125</f>
        <v>3</v>
      </c>
      <c r="AK12" s="2155">
        <f>'Du K'!AK125</f>
        <v>3</v>
      </c>
      <c r="AL12" s="2155">
        <f>'Du K'!AL125</f>
        <v>3</v>
      </c>
      <c r="AM12" s="2155">
        <f>'Du K'!AM125</f>
        <v>3</v>
      </c>
      <c r="AN12" s="2155">
        <f>'Du K'!AN125</f>
        <v>3</v>
      </c>
      <c r="AO12" s="2155">
        <f>'Du K'!AO125</f>
        <v>3</v>
      </c>
      <c r="AP12" s="2155">
        <f>'Du K'!AP125</f>
        <v>3</v>
      </c>
      <c r="AQ12" s="2155">
        <f>'Du K'!AQ125</f>
        <v>3</v>
      </c>
      <c r="AR12" s="2155">
        <f>'Du K'!AR125</f>
        <v>3</v>
      </c>
      <c r="AS12" s="2155">
        <f>'Du K'!AS125</f>
        <v>3</v>
      </c>
      <c r="AT12" s="2155">
        <f>'Du K'!AT125</f>
        <v>3</v>
      </c>
      <c r="AU12" s="2155">
        <f>'Du K'!AU125</f>
        <v>3</v>
      </c>
      <c r="AV12" s="2155">
        <f>'Du K'!AV125</f>
        <v>3</v>
      </c>
      <c r="AW12" s="2155">
        <f>'Du K'!AW125</f>
        <v>3</v>
      </c>
      <c r="AX12" s="2155">
        <f>'Du K'!AX125</f>
        <v>3</v>
      </c>
      <c r="AY12" s="2155">
        <f>'Du K'!AY125</f>
        <v>3</v>
      </c>
      <c r="AZ12" s="2155">
        <f>'Du K'!AZ125</f>
        <v>3</v>
      </c>
      <c r="BA12" s="2155">
        <f>'Du K'!BA125</f>
        <v>3</v>
      </c>
      <c r="BB12" s="2155">
        <f>'Du K'!BB125</f>
        <v>3</v>
      </c>
      <c r="BC12" s="2155">
        <f>'Du K'!BC125</f>
        <v>3</v>
      </c>
      <c r="BD12" s="2155">
        <f>'Du K'!BD125</f>
        <v>3</v>
      </c>
      <c r="BE12" s="2155">
        <f>'Du K'!BE125</f>
        <v>3</v>
      </c>
      <c r="BF12" s="2155">
        <f>'Du K'!BF125</f>
        <v>3</v>
      </c>
      <c r="BG12" s="2155">
        <f>'Du K'!BG125</f>
        <v>3</v>
      </c>
      <c r="BH12" s="2155">
        <f>'Du K'!BH125</f>
        <v>3</v>
      </c>
      <c r="BI12" s="2155">
        <f>'Du K'!BI125</f>
        <v>3</v>
      </c>
    </row>
    <row r="13" spans="1:70" ht="13.15" customHeight="1">
      <c r="A13" s="2149"/>
      <c r="B13" s="2150"/>
      <c r="C13" s="2151"/>
      <c r="D13" s="2152"/>
      <c r="E13" s="2153" t="str">
        <f>CONCATENATE('3phas'!E26,", zone source")</f>
        <v>CT du sol à l'air du sol, zone source</v>
      </c>
      <c r="F13" s="2153" t="str">
        <f>'3phas'!F26</f>
        <v xml:space="preserve">CTs--&gt;sa </v>
      </c>
      <c r="G13" s="2154" t="str">
        <f>'3phas'!G26</f>
        <v>(mg/l air)/(mg/kg ms)</v>
      </c>
      <c r="H13" s="2155">
        <f>'3phas'!H26</f>
        <v>2.6344915493597683E-3</v>
      </c>
      <c r="I13" s="2155">
        <f>'3phas'!I26</f>
        <v>2.6344915493597683E-3</v>
      </c>
      <c r="J13" s="2155">
        <f>'3phas'!J26</f>
        <v>1.7294665170559827E-2</v>
      </c>
      <c r="K13" s="2155">
        <f>'3phas'!K26</f>
        <v>3.8533137340406047</v>
      </c>
      <c r="L13" s="2155">
        <f>'3phas'!L26</f>
        <v>0.72043886661145617</v>
      </c>
      <c r="M13" s="2155">
        <f>'3phas'!M26</f>
        <v>0.72043886661145617</v>
      </c>
      <c r="N13" s="2155">
        <f>'3phas'!N26</f>
        <v>1.4209304329284909</v>
      </c>
      <c r="O13" s="2155">
        <f>'3phas'!O26</f>
        <v>1.4209304329284909</v>
      </c>
      <c r="P13" s="2155">
        <f>'3phas'!P26</f>
        <v>1.5512881309499849</v>
      </c>
      <c r="Q13" s="2155">
        <f>'3phas'!Q26</f>
        <v>1.5512881309499849</v>
      </c>
      <c r="R13" s="2155">
        <f>'3phas'!R26</f>
        <v>0.62357526395766227</v>
      </c>
      <c r="S13" s="2155">
        <f>'3phas'!S26</f>
        <v>0.58502321443335115</v>
      </c>
      <c r="T13" s="2155">
        <f>'3phas'!T26</f>
        <v>0.58502321443335115</v>
      </c>
      <c r="U13" s="2155">
        <f>'3phas'!U26</f>
        <v>2.7542637283837155</v>
      </c>
      <c r="V13" s="2155">
        <f>'3phas'!V26</f>
        <v>4.5081833000455136</v>
      </c>
      <c r="W13" s="2155">
        <f>'3phas'!W26</f>
        <v>4.5081833000455136</v>
      </c>
      <c r="X13" s="2155">
        <f>'3phas'!X26</f>
        <v>0.86485661989017704</v>
      </c>
      <c r="Y13" s="2155">
        <f>'3phas'!Y26</f>
        <v>0.59939659773856913</v>
      </c>
      <c r="Z13" s="2155">
        <f>'3phas'!Z26</f>
        <v>0.35497292270791519</v>
      </c>
      <c r="AA13" s="2155">
        <f>'3phas'!AA26</f>
        <v>0.23813702260309097</v>
      </c>
      <c r="AB13" s="2155">
        <f>'3phas'!AB26</f>
        <v>0.26932603294411983</v>
      </c>
      <c r="AC13" s="2155">
        <f>'3phas'!AC26</f>
        <v>5.2554793006195942E-2</v>
      </c>
      <c r="AD13" s="2155">
        <f>'3phas'!AD26</f>
        <v>1.028672332145031E-2</v>
      </c>
      <c r="AE13" s="2155">
        <f>'3phas'!AE26</f>
        <v>1.2826753318511306E-3</v>
      </c>
      <c r="AF13" s="2155">
        <f>'3phas'!AF26</f>
        <v>5.316364815255657E-6</v>
      </c>
      <c r="AG13" s="2155">
        <f>'3phas'!AG26</f>
        <v>6.1940871390656476</v>
      </c>
      <c r="AH13" s="2155">
        <f>'3phas'!AH26</f>
        <v>4.6377578561443125</v>
      </c>
      <c r="AI13" s="2155">
        <f>'3phas'!AI26</f>
        <v>1.8857794422825369</v>
      </c>
      <c r="AJ13" s="2155">
        <f>'3phas'!AJ26</f>
        <v>0.44889687551390439</v>
      </c>
      <c r="AK13" s="2155">
        <f>'3phas'!AK26</f>
        <v>0.10233523087107475</v>
      </c>
      <c r="AL13" s="2155">
        <f>'3phas'!AL26</f>
        <v>7.7579419375401505E-3</v>
      </c>
      <c r="AM13" s="2155">
        <f>'3phas'!AM26</f>
        <v>5.3702795063791613E-5</v>
      </c>
      <c r="AN13" s="2155">
        <f>'3phas'!AN26</f>
        <v>4.2745064887962942E-3</v>
      </c>
      <c r="AO13" s="2155">
        <f>'3phas'!AO26</f>
        <v>1.1674416703897762E-3</v>
      </c>
      <c r="AP13" s="2155">
        <f>'3phas'!AP26</f>
        <v>1.9530721705911089E-3</v>
      </c>
      <c r="AQ13" s="2155">
        <f>'3phas'!AQ26</f>
        <v>7.9082569474491784E-4</v>
      </c>
      <c r="AR13" s="2155">
        <f>'3phas'!AR26</f>
        <v>1.5833670554255824E-4</v>
      </c>
      <c r="AS13" s="2155">
        <f>'3phas'!AS26</f>
        <v>2.0451082714404039E-4</v>
      </c>
      <c r="AT13" s="2155">
        <f>'3phas'!AT26</f>
        <v>1.4928371240425742E-5</v>
      </c>
      <c r="AU13" s="2155">
        <f>'3phas'!AU26</f>
        <v>1.4361262823078675E-5</v>
      </c>
      <c r="AV13" s="2155">
        <f>'3phas'!AV26</f>
        <v>2.2911220155058073E-6</v>
      </c>
      <c r="AW13" s="2155">
        <f>'3phas'!AW26</f>
        <v>2.2076853681384034E-6</v>
      </c>
      <c r="AX13" s="2155">
        <f>'3phas'!AX26</f>
        <v>7.7706494784308E-8</v>
      </c>
      <c r="AY13" s="2155">
        <f>'3phas'!AY26</f>
        <v>5.3329663902576084E-8</v>
      </c>
      <c r="AZ13" s="2155">
        <f>'3phas'!AZ26</f>
        <v>3.5612607863435813E-8</v>
      </c>
      <c r="BA13" s="2155">
        <f>'3phas'!BA26</f>
        <v>6.1506611409422915E-9</v>
      </c>
      <c r="BB13" s="2155">
        <f>'3phas'!BB26</f>
        <v>9.7385899742535777E-8</v>
      </c>
      <c r="BC13" s="2155">
        <f>'3phas'!BC26</f>
        <v>2.587068821863014E-14</v>
      </c>
      <c r="BD13" s="2155">
        <f>'3phas'!BD26</f>
        <v>9.3547154384050266E-5</v>
      </c>
      <c r="BE13" s="2155">
        <f>'3phas'!BE26</f>
        <v>2.0762670819205671E-6</v>
      </c>
      <c r="BF13" s="2155">
        <f>'3phas'!BF26</f>
        <v>2.0762670819205671E-6</v>
      </c>
      <c r="BG13" s="2155">
        <f>'3phas'!BG26</f>
        <v>3.7704368743318515</v>
      </c>
      <c r="BH13" s="2155">
        <f>'3phas'!BH26</f>
        <v>1.2439792874542166E-4</v>
      </c>
      <c r="BI13" s="2155">
        <f>'3phas'!BI26</f>
        <v>9.6251339173241269E-4</v>
      </c>
    </row>
    <row r="14" spans="1:70" ht="13.15" customHeight="1">
      <c r="A14" s="2149"/>
      <c r="B14" s="2150"/>
      <c r="C14" s="2151"/>
      <c r="D14" s="2152"/>
      <c r="E14" s="2153" t="str">
        <f>CONCATENATE('3phas'!E20,", zone source")</f>
        <v>densité du sol sec en place, zone source</v>
      </c>
      <c r="F14" s="2153" t="str">
        <f>'3phas'!F20</f>
        <v>SD</v>
      </c>
      <c r="G14" s="2154" t="str">
        <f>'3phas'!G20</f>
        <v>kg ms/l de sol sec</v>
      </c>
      <c r="H14" s="2155">
        <f>'3phas'!H20</f>
        <v>1.5</v>
      </c>
      <c r="I14" s="2155">
        <f>'3phas'!I20</f>
        <v>1.5</v>
      </c>
      <c r="J14" s="2155">
        <f>'3phas'!J20</f>
        <v>1.5</v>
      </c>
      <c r="K14" s="2155">
        <f>'3phas'!K20</f>
        <v>1.5</v>
      </c>
      <c r="L14" s="2155">
        <f>'3phas'!L20</f>
        <v>1.5</v>
      </c>
      <c r="M14" s="2155">
        <f>'3phas'!M20</f>
        <v>1.5</v>
      </c>
      <c r="N14" s="2155">
        <f>'3phas'!N20</f>
        <v>1.5</v>
      </c>
      <c r="O14" s="2155">
        <f>'3phas'!O20</f>
        <v>1.5</v>
      </c>
      <c r="P14" s="2155">
        <f>'3phas'!P20</f>
        <v>1.5</v>
      </c>
      <c r="Q14" s="2155">
        <f>'3phas'!Q20</f>
        <v>1.5</v>
      </c>
      <c r="R14" s="2155">
        <f>'3phas'!R20</f>
        <v>1.5</v>
      </c>
      <c r="S14" s="2155">
        <f>'3phas'!S20</f>
        <v>1.5</v>
      </c>
      <c r="T14" s="2155">
        <f>'3phas'!T20</f>
        <v>1.5</v>
      </c>
      <c r="U14" s="2155">
        <f>'3phas'!U20</f>
        <v>1.5</v>
      </c>
      <c r="V14" s="2155">
        <f>'3phas'!V20</f>
        <v>1.5</v>
      </c>
      <c r="W14" s="2155">
        <f>'3phas'!W20</f>
        <v>1.5</v>
      </c>
      <c r="X14" s="2155">
        <f>'3phas'!X20</f>
        <v>1.5</v>
      </c>
      <c r="Y14" s="2155">
        <f>'3phas'!Y20</f>
        <v>1.5</v>
      </c>
      <c r="Z14" s="2155">
        <f>'3phas'!Z20</f>
        <v>1.5</v>
      </c>
      <c r="AA14" s="2155">
        <f>'3phas'!AA20</f>
        <v>1.5</v>
      </c>
      <c r="AB14" s="2155">
        <f>'3phas'!AB20</f>
        <v>1.5</v>
      </c>
      <c r="AC14" s="2155">
        <f>'3phas'!AC20</f>
        <v>1.5</v>
      </c>
      <c r="AD14" s="2155">
        <f>'3phas'!AD20</f>
        <v>1.5</v>
      </c>
      <c r="AE14" s="2155">
        <f>'3phas'!AE20</f>
        <v>1.5</v>
      </c>
      <c r="AF14" s="2155">
        <f>'3phas'!AF20</f>
        <v>1.5</v>
      </c>
      <c r="AG14" s="2155">
        <f>'3phas'!AG20</f>
        <v>1.5</v>
      </c>
      <c r="AH14" s="2155">
        <f>'3phas'!AH20</f>
        <v>1.5</v>
      </c>
      <c r="AI14" s="2155">
        <f>'3phas'!AI20</f>
        <v>1.5</v>
      </c>
      <c r="AJ14" s="2155">
        <f>'3phas'!AJ20</f>
        <v>1.5</v>
      </c>
      <c r="AK14" s="2155">
        <f>'3phas'!AK20</f>
        <v>1.5</v>
      </c>
      <c r="AL14" s="2155">
        <f>'3phas'!AL20</f>
        <v>1.5</v>
      </c>
      <c r="AM14" s="2155">
        <f>'3phas'!AM20</f>
        <v>1.5</v>
      </c>
      <c r="AN14" s="2155">
        <f>'3phas'!AN20</f>
        <v>1.5</v>
      </c>
      <c r="AO14" s="2155">
        <f>'3phas'!AO20</f>
        <v>1.5</v>
      </c>
      <c r="AP14" s="2155">
        <f>'3phas'!AP20</f>
        <v>1.5</v>
      </c>
      <c r="AQ14" s="2155">
        <f>'3phas'!AQ20</f>
        <v>1.5</v>
      </c>
      <c r="AR14" s="2155">
        <f>'3phas'!AR20</f>
        <v>1.5</v>
      </c>
      <c r="AS14" s="2155">
        <f>'3phas'!AS20</f>
        <v>1.5</v>
      </c>
      <c r="AT14" s="2155">
        <f>'3phas'!AT20</f>
        <v>1.5</v>
      </c>
      <c r="AU14" s="2155">
        <f>'3phas'!AU20</f>
        <v>1.5</v>
      </c>
      <c r="AV14" s="2155">
        <f>'3phas'!AV20</f>
        <v>1.5</v>
      </c>
      <c r="AW14" s="2155">
        <f>'3phas'!AW20</f>
        <v>1.5</v>
      </c>
      <c r="AX14" s="2155">
        <f>'3phas'!AX20</f>
        <v>1.5</v>
      </c>
      <c r="AY14" s="2155">
        <f>'3phas'!AY20</f>
        <v>1.5</v>
      </c>
      <c r="AZ14" s="2155">
        <f>'3phas'!AZ20</f>
        <v>1.5</v>
      </c>
      <c r="BA14" s="2155">
        <f>'3phas'!BA20</f>
        <v>1.5</v>
      </c>
      <c r="BB14" s="2155">
        <f>'3phas'!BB20</f>
        <v>1.5</v>
      </c>
      <c r="BC14" s="2155">
        <f>'3phas'!BC20</f>
        <v>1.5</v>
      </c>
      <c r="BD14" s="2155">
        <f>'3phas'!BD20</f>
        <v>1.5</v>
      </c>
      <c r="BE14" s="2155">
        <f>'3phas'!BE20</f>
        <v>1.5</v>
      </c>
      <c r="BF14" s="2155">
        <f>'3phas'!BF20</f>
        <v>1.5</v>
      </c>
      <c r="BG14" s="2155">
        <f>'3phas'!BG20</f>
        <v>1.5</v>
      </c>
      <c r="BH14" s="2155">
        <f>'3phas'!BH20</f>
        <v>1.5</v>
      </c>
      <c r="BI14" s="2155">
        <f>'3phas'!BI20</f>
        <v>1.5</v>
      </c>
    </row>
    <row r="15" spans="1:70" ht="13.15" customHeight="1">
      <c r="A15" s="2149"/>
      <c r="B15" s="76"/>
      <c r="C15" s="2156"/>
      <c r="D15" s="2152"/>
      <c r="E15" s="2153"/>
      <c r="F15" s="2153"/>
      <c r="G15" s="2154"/>
      <c r="H15" s="2155"/>
      <c r="I15" s="2155"/>
      <c r="J15" s="2155"/>
      <c r="K15" s="2155"/>
      <c r="L15" s="2155"/>
      <c r="M15" s="2155"/>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c r="AL15" s="2155"/>
      <c r="AM15" s="2155"/>
      <c r="AN15" s="2155"/>
      <c r="AO15" s="2155"/>
      <c r="AP15" s="2155"/>
      <c r="AQ15" s="2155"/>
      <c r="AR15" s="2155"/>
      <c r="AS15" s="2155"/>
      <c r="AT15" s="2155"/>
      <c r="AU15" s="2155"/>
      <c r="AV15" s="2155"/>
      <c r="AW15" s="2155"/>
      <c r="AX15" s="2155"/>
      <c r="AY15" s="2155"/>
      <c r="AZ15" s="2155"/>
      <c r="BA15" s="2155"/>
      <c r="BB15" s="2155"/>
      <c r="BC15" s="2155"/>
      <c r="BD15" s="2155"/>
      <c r="BE15" s="2155"/>
      <c r="BF15" s="2155"/>
      <c r="BG15" s="2155"/>
      <c r="BH15" s="2155"/>
      <c r="BI15" s="2155"/>
    </row>
    <row r="16" spans="1:70">
      <c r="A16" s="2157"/>
      <c r="B16" s="2158"/>
      <c r="C16" s="2158"/>
      <c r="D16" s="2152"/>
      <c r="E16" s="2159" t="s">
        <v>571</v>
      </c>
    </row>
    <row r="17" spans="1:61" s="529" customFormat="1" ht="13.15" customHeight="1">
      <c r="A17" s="523"/>
      <c r="B17" s="224"/>
      <c r="C17" s="524"/>
      <c r="D17" s="2160"/>
      <c r="E17" s="525" t="str">
        <f>Substances!E$10</f>
        <v>Durée d'exposition considérée</v>
      </c>
      <c r="F17" s="525" t="str">
        <f>Substances!F$10</f>
        <v>t</v>
      </c>
      <c r="G17" s="526" t="str">
        <f>Substances!G$10</f>
        <v>an</v>
      </c>
      <c r="H17" s="527">
        <f>Substances!H$10</f>
        <v>7</v>
      </c>
      <c r="I17" s="527">
        <f>Substances!I$10</f>
        <v>7</v>
      </c>
      <c r="J17" s="527">
        <f>Substances!J$10</f>
        <v>7</v>
      </c>
      <c r="K17" s="527">
        <f>Substances!K$10</f>
        <v>1</v>
      </c>
      <c r="L17" s="527">
        <f>Substances!L$10</f>
        <v>1</v>
      </c>
      <c r="M17" s="527">
        <f>Substances!M$10</f>
        <v>1</v>
      </c>
      <c r="N17" s="527">
        <f>Substances!N$10</f>
        <v>1</v>
      </c>
      <c r="O17" s="527">
        <f>Substances!O$10</f>
        <v>1</v>
      </c>
      <c r="P17" s="527">
        <f>Substances!P$10</f>
        <v>1</v>
      </c>
      <c r="Q17" s="527">
        <f>Substances!Q$10</f>
        <v>1</v>
      </c>
      <c r="R17" s="527">
        <f>Substances!R$10</f>
        <v>1</v>
      </c>
      <c r="S17" s="527">
        <f>Substances!S$10</f>
        <v>1</v>
      </c>
      <c r="T17" s="527">
        <f>Substances!T$10</f>
        <v>1</v>
      </c>
      <c r="U17" s="527">
        <f>Substances!U$10</f>
        <v>1</v>
      </c>
      <c r="V17" s="527">
        <f>Substances!V$10</f>
        <v>1</v>
      </c>
      <c r="W17" s="527">
        <f>Substances!W$10</f>
        <v>1</v>
      </c>
      <c r="X17" s="527">
        <f>Substances!X$10</f>
        <v>1</v>
      </c>
      <c r="Y17" s="527">
        <f>Substances!Y$10</f>
        <v>1</v>
      </c>
      <c r="Z17" s="527">
        <f>Substances!Z$10</f>
        <v>1</v>
      </c>
      <c r="AA17" s="528">
        <f>Substances!AA$10</f>
        <v>7</v>
      </c>
      <c r="AB17" s="527">
        <f>Substances!AB$10</f>
        <v>1</v>
      </c>
      <c r="AC17" s="527">
        <f>Substances!AC$10</f>
        <v>1</v>
      </c>
      <c r="AD17" s="527">
        <f>Substances!AD$10</f>
        <v>1</v>
      </c>
      <c r="AE17" s="527">
        <f>Substances!AE$10</f>
        <v>1</v>
      </c>
      <c r="AF17" s="527">
        <f>Substances!AF$10</f>
        <v>1</v>
      </c>
      <c r="AG17" s="527">
        <f>Substances!AG$10</f>
        <v>1</v>
      </c>
      <c r="AH17" s="527">
        <f>Substances!AH$10</f>
        <v>1</v>
      </c>
      <c r="AI17" s="527">
        <f>Substances!AI$10</f>
        <v>1</v>
      </c>
      <c r="AJ17" s="527">
        <f>Substances!AJ$10</f>
        <v>1</v>
      </c>
      <c r="AK17" s="527">
        <f>Substances!AK$10</f>
        <v>1</v>
      </c>
      <c r="AL17" s="527">
        <f>Substances!AL$10</f>
        <v>1</v>
      </c>
      <c r="AM17" s="527">
        <f>Substances!AM$10</f>
        <v>1</v>
      </c>
      <c r="AN17" s="528">
        <f>Substances!AN$10</f>
        <v>7</v>
      </c>
      <c r="AO17" s="527">
        <f>Substances!AO$10</f>
        <v>1</v>
      </c>
      <c r="AP17" s="527">
        <f>Substances!AP$10</f>
        <v>1</v>
      </c>
      <c r="AQ17" s="527">
        <f>Substances!AQ$10</f>
        <v>1</v>
      </c>
      <c r="AR17" s="527">
        <f>Substances!AR$10</f>
        <v>1</v>
      </c>
      <c r="AS17" s="527">
        <f>Substances!AS$10</f>
        <v>1</v>
      </c>
      <c r="AT17" s="527">
        <f>Substances!AT$10</f>
        <v>1</v>
      </c>
      <c r="AU17" s="527">
        <f>Substances!AU$10</f>
        <v>1</v>
      </c>
      <c r="AV17" s="527">
        <f>Substances!AV$10</f>
        <v>1</v>
      </c>
      <c r="AW17" s="527">
        <f>Substances!AW$10</f>
        <v>1</v>
      </c>
      <c r="AX17" s="527">
        <f>Substances!AX$10</f>
        <v>1</v>
      </c>
      <c r="AY17" s="527">
        <f>Substances!AY$10</f>
        <v>1</v>
      </c>
      <c r="AZ17" s="527">
        <f>Substances!AZ$10</f>
        <v>1</v>
      </c>
      <c r="BA17" s="527">
        <f>Substances!BA$10</f>
        <v>1</v>
      </c>
      <c r="BB17" s="527">
        <f>Substances!BB$10</f>
        <v>1</v>
      </c>
      <c r="BC17" s="527">
        <f>Substances!BC$10</f>
        <v>1</v>
      </c>
      <c r="BD17" s="527">
        <f>Substances!BD$10</f>
        <v>1</v>
      </c>
      <c r="BE17" s="527">
        <f>Substances!BE$10</f>
        <v>1</v>
      </c>
      <c r="BF17" s="527">
        <f>Substances!BF$10</f>
        <v>1</v>
      </c>
      <c r="BG17" s="527">
        <f>Substances!BG$10</f>
        <v>1</v>
      </c>
      <c r="BH17" s="527">
        <f>Substances!BH$10</f>
        <v>1</v>
      </c>
      <c r="BI17" s="527">
        <f>Substances!BI$10</f>
        <v>7</v>
      </c>
    </row>
    <row r="18" spans="1:61" s="529" customFormat="1" ht="13.15" customHeight="1">
      <c r="A18" s="523"/>
      <c r="B18" s="224"/>
      <c r="C18" s="524"/>
      <c r="D18" s="4037" t="s">
        <v>500</v>
      </c>
      <c r="E18" s="525" t="str">
        <f>E17</f>
        <v>Durée d'exposition considérée</v>
      </c>
      <c r="F18" s="525" t="str">
        <f>F17</f>
        <v>t</v>
      </c>
      <c r="G18" s="526" t="s">
        <v>294</v>
      </c>
      <c r="H18" s="2161">
        <f t="shared" ref="H18:AL18" si="0">H17*365*24*3600</f>
        <v>220752000</v>
      </c>
      <c r="I18" s="2161">
        <f t="shared" si="0"/>
        <v>220752000</v>
      </c>
      <c r="J18" s="2161">
        <f>J17*365*24*3600</f>
        <v>220752000</v>
      </c>
      <c r="K18" s="2161">
        <f t="shared" si="0"/>
        <v>31536000</v>
      </c>
      <c r="L18" s="2161">
        <f t="shared" si="0"/>
        <v>31536000</v>
      </c>
      <c r="M18" s="2161">
        <f t="shared" si="0"/>
        <v>31536000</v>
      </c>
      <c r="N18" s="2161">
        <f>N17*365*24*3600</f>
        <v>31536000</v>
      </c>
      <c r="O18" s="2161">
        <f>O17*365*24*3600</f>
        <v>31536000</v>
      </c>
      <c r="P18" s="2161">
        <f t="shared" si="0"/>
        <v>31536000</v>
      </c>
      <c r="Q18" s="2161">
        <f t="shared" si="0"/>
        <v>31536000</v>
      </c>
      <c r="R18" s="2161">
        <f>R17*365*24*3600</f>
        <v>31536000</v>
      </c>
      <c r="S18" s="2161">
        <f>S17*365*24*3600</f>
        <v>31536000</v>
      </c>
      <c r="T18" s="2161">
        <f>T17*365*24*3600</f>
        <v>31536000</v>
      </c>
      <c r="U18" s="2161">
        <f t="shared" si="0"/>
        <v>31536000</v>
      </c>
      <c r="V18" s="2161">
        <f t="shared" si="0"/>
        <v>31536000</v>
      </c>
      <c r="W18" s="2161">
        <f t="shared" si="0"/>
        <v>31536000</v>
      </c>
      <c r="X18" s="2161">
        <f t="shared" si="0"/>
        <v>31536000</v>
      </c>
      <c r="Y18" s="2161">
        <f t="shared" si="0"/>
        <v>31536000</v>
      </c>
      <c r="Z18" s="2161">
        <f t="shared" si="0"/>
        <v>31536000</v>
      </c>
      <c r="AA18" s="2161">
        <f t="shared" si="0"/>
        <v>220752000</v>
      </c>
      <c r="AB18" s="2161">
        <f t="shared" si="0"/>
        <v>31536000</v>
      </c>
      <c r="AC18" s="2161">
        <f t="shared" si="0"/>
        <v>31536000</v>
      </c>
      <c r="AD18" s="2161">
        <f t="shared" si="0"/>
        <v>31536000</v>
      </c>
      <c r="AE18" s="2161">
        <f t="shared" si="0"/>
        <v>31536000</v>
      </c>
      <c r="AF18" s="2161">
        <f t="shared" si="0"/>
        <v>31536000</v>
      </c>
      <c r="AG18" s="2161">
        <f t="shared" si="0"/>
        <v>31536000</v>
      </c>
      <c r="AH18" s="2161">
        <f t="shared" si="0"/>
        <v>31536000</v>
      </c>
      <c r="AI18" s="2161">
        <f t="shared" si="0"/>
        <v>31536000</v>
      </c>
      <c r="AJ18" s="2161">
        <f t="shared" si="0"/>
        <v>31536000</v>
      </c>
      <c r="AK18" s="2161">
        <f t="shared" si="0"/>
        <v>31536000</v>
      </c>
      <c r="AL18" s="2161">
        <f t="shared" si="0"/>
        <v>31536000</v>
      </c>
      <c r="AM18" s="2161">
        <f t="shared" ref="AM18:BI18" si="1">AM17*365*24*3600</f>
        <v>31536000</v>
      </c>
      <c r="AN18" s="2161">
        <f t="shared" si="1"/>
        <v>220752000</v>
      </c>
      <c r="AO18" s="2161">
        <f t="shared" si="1"/>
        <v>31536000</v>
      </c>
      <c r="AP18" s="2161">
        <f t="shared" si="1"/>
        <v>31536000</v>
      </c>
      <c r="AQ18" s="2161">
        <f t="shared" si="1"/>
        <v>31536000</v>
      </c>
      <c r="AR18" s="2161">
        <f t="shared" si="1"/>
        <v>31536000</v>
      </c>
      <c r="AS18" s="2161">
        <f t="shared" si="1"/>
        <v>31536000</v>
      </c>
      <c r="AT18" s="2161">
        <f t="shared" si="1"/>
        <v>31536000</v>
      </c>
      <c r="AU18" s="2161">
        <f t="shared" si="1"/>
        <v>31536000</v>
      </c>
      <c r="AV18" s="2161">
        <f t="shared" si="1"/>
        <v>31536000</v>
      </c>
      <c r="AW18" s="2161">
        <f t="shared" si="1"/>
        <v>31536000</v>
      </c>
      <c r="AX18" s="2161">
        <f t="shared" si="1"/>
        <v>31536000</v>
      </c>
      <c r="AY18" s="2161">
        <f t="shared" si="1"/>
        <v>31536000</v>
      </c>
      <c r="AZ18" s="2161">
        <f t="shared" si="1"/>
        <v>31536000</v>
      </c>
      <c r="BA18" s="2161">
        <f t="shared" si="1"/>
        <v>31536000</v>
      </c>
      <c r="BB18" s="2161">
        <f t="shared" si="1"/>
        <v>31536000</v>
      </c>
      <c r="BC18" s="2161">
        <f t="shared" si="1"/>
        <v>31536000</v>
      </c>
      <c r="BD18" s="2161">
        <f t="shared" si="1"/>
        <v>31536000</v>
      </c>
      <c r="BE18" s="2161">
        <f t="shared" si="1"/>
        <v>31536000</v>
      </c>
      <c r="BF18" s="2161">
        <f t="shared" si="1"/>
        <v>31536000</v>
      </c>
      <c r="BG18" s="2161">
        <f t="shared" si="1"/>
        <v>31536000</v>
      </c>
      <c r="BH18" s="2161">
        <f t="shared" si="1"/>
        <v>31536000</v>
      </c>
      <c r="BI18" s="2161">
        <f t="shared" si="1"/>
        <v>220752000</v>
      </c>
    </row>
    <row r="19" spans="1:61" ht="25.5">
      <c r="A19" s="2157"/>
      <c r="B19" s="2158"/>
      <c r="C19" s="2158"/>
      <c r="D19" s="4037"/>
      <c r="E19" s="2162" t="s">
        <v>569</v>
      </c>
      <c r="F19" s="2162" t="s">
        <v>138</v>
      </c>
      <c r="G19" s="2163" t="s">
        <v>139</v>
      </c>
      <c r="H19" s="2164">
        <f t="shared" ref="H19:AL19" si="2">1000*H$14/H$13*H$12/H18</f>
        <v>7.7376852016212191E-3</v>
      </c>
      <c r="I19" s="2165">
        <f t="shared" si="2"/>
        <v>7.7376852016212191E-3</v>
      </c>
      <c r="J19" s="2165">
        <f>1000*J$14/J$13*J$12/J18</f>
        <v>1.1786794409861003E-3</v>
      </c>
      <c r="K19" s="2165">
        <f t="shared" si="2"/>
        <v>3.7031519823149957E-5</v>
      </c>
      <c r="L19" s="2165">
        <f t="shared" si="2"/>
        <v>1.9806547167297369E-4</v>
      </c>
      <c r="M19" s="2165">
        <f t="shared" si="2"/>
        <v>1.9806547167297369E-4</v>
      </c>
      <c r="N19" s="2166">
        <f>1000*N$14/N$13*N$12/N18</f>
        <v>1.0042297681868412E-4</v>
      </c>
      <c r="O19" s="2166">
        <f>1000*O$14/O$13*O$12/O18</f>
        <v>1.0042297681868412E-4</v>
      </c>
      <c r="P19" s="2165">
        <f t="shared" si="2"/>
        <v>9.1984242694848056E-5</v>
      </c>
      <c r="Q19" s="2165">
        <f t="shared" si="2"/>
        <v>9.1984242694848056E-5</v>
      </c>
      <c r="R19" s="2165">
        <f>1000*R$14/R$13*R$12/R18</f>
        <v>2.2883214292577979E-4</v>
      </c>
      <c r="S19" s="2166">
        <f>1000*S$14/S$13*S$12/S18</f>
        <v>2.4391179769704181E-4</v>
      </c>
      <c r="T19" s="2166">
        <f>1000*T$14/T$13*T$12/T18</f>
        <v>2.4391179769704181E-4</v>
      </c>
      <c r="U19" s="2165">
        <f t="shared" si="2"/>
        <v>5.1808424319147455E-5</v>
      </c>
      <c r="V19" s="2165">
        <f t="shared" si="2"/>
        <v>3.1652232047774111E-5</v>
      </c>
      <c r="W19" s="2166">
        <f t="shared" si="2"/>
        <v>3.1652232047774111E-5</v>
      </c>
      <c r="X19" s="2166">
        <f t="shared" si="2"/>
        <v>1.6499158432187349E-4</v>
      </c>
      <c r="Y19" s="2166">
        <f t="shared" si="2"/>
        <v>2.3806285265098821E-4</v>
      </c>
      <c r="Z19" s="2166">
        <f t="shared" si="2"/>
        <v>4.0198577074103924E-4</v>
      </c>
      <c r="AA19" s="2166">
        <f t="shared" si="2"/>
        <v>8.5601415741445673E-5</v>
      </c>
      <c r="AB19" s="2166">
        <f t="shared" si="2"/>
        <v>5.2981905375833833E-4</v>
      </c>
      <c r="AC19" s="2166">
        <f t="shared" si="2"/>
        <v>2.7151484339424138E-3</v>
      </c>
      <c r="AD19" s="2166">
        <f t="shared" si="2"/>
        <v>1.3871673172096401E-2</v>
      </c>
      <c r="AE19" s="2166">
        <f t="shared" si="2"/>
        <v>0.11124721929516451</v>
      </c>
      <c r="AF19" s="2166">
        <f t="shared" si="2"/>
        <v>26.840532748518438</v>
      </c>
      <c r="AG19" s="2166">
        <f t="shared" si="2"/>
        <v>2.3037141829500553E-5</v>
      </c>
      <c r="AH19" s="2166">
        <f t="shared" si="2"/>
        <v>3.0767898703010778E-5</v>
      </c>
      <c r="AI19" s="2166">
        <f t="shared" si="2"/>
        <v>7.5668479954487443E-5</v>
      </c>
      <c r="AJ19" s="2166">
        <f t="shared" si="2"/>
        <v>3.1787716001271374E-4</v>
      </c>
      <c r="AK19" s="2166">
        <f t="shared" si="2"/>
        <v>1.3943786779228675E-3</v>
      </c>
      <c r="AL19" s="2166">
        <f t="shared" si="2"/>
        <v>1.8393288461783119E-2</v>
      </c>
      <c r="AM19" s="2166">
        <f t="shared" ref="AM19:BI19" si="3">1000*AM$14/AM$13*AM$12/AM18</f>
        <v>2.6571068369428352</v>
      </c>
      <c r="AN19" s="2166">
        <f t="shared" si="3"/>
        <v>4.7689403042683503E-3</v>
      </c>
      <c r="AO19" s="2166">
        <f t="shared" si="3"/>
        <v>0.12222800294536265</v>
      </c>
      <c r="AP19" s="2166">
        <f t="shared" si="3"/>
        <v>7.3061336941662239E-2</v>
      </c>
      <c r="AQ19" s="2166">
        <f t="shared" si="3"/>
        <v>0.18043680785178184</v>
      </c>
      <c r="AR19" s="2166">
        <f t="shared" si="3"/>
        <v>0.901206472864164</v>
      </c>
      <c r="AS19" s="2166">
        <f t="shared" si="3"/>
        <v>0.69773354261796039</v>
      </c>
      <c r="AT19" s="2166">
        <f t="shared" si="3"/>
        <v>9.5585822209812044</v>
      </c>
      <c r="AU19" s="2166">
        <f t="shared" si="3"/>
        <v>9.9360387512461674</v>
      </c>
      <c r="AV19" s="2166">
        <f t="shared" si="3"/>
        <v>62.281302768346137</v>
      </c>
      <c r="AW19" s="2166">
        <f t="shared" si="3"/>
        <v>64.635145019448672</v>
      </c>
      <c r="AX19" s="2166">
        <f t="shared" si="3"/>
        <v>1836.3209448968248</v>
      </c>
      <c r="AY19" s="2166">
        <f t="shared" si="3"/>
        <v>2675.6977915258867</v>
      </c>
      <c r="AZ19" s="2166">
        <f t="shared" si="3"/>
        <v>4006.8411859679481</v>
      </c>
      <c r="BA19" s="2166">
        <f t="shared" si="3"/>
        <v>23199.792779525436</v>
      </c>
      <c r="BB19" s="2166">
        <f t="shared" si="3"/>
        <v>1465.2435753449774</v>
      </c>
      <c r="BC19" s="2166">
        <f t="shared" si="3"/>
        <v>5515665556.3644037</v>
      </c>
      <c r="BD19" s="2166">
        <f t="shared" si="3"/>
        <v>1.5253704387535052</v>
      </c>
      <c r="BE19" s="2166">
        <f t="shared" si="3"/>
        <v>68.726256448157542</v>
      </c>
      <c r="BF19" s="2166">
        <f t="shared" si="3"/>
        <v>68.726256448157542</v>
      </c>
      <c r="BG19" s="2166">
        <f t="shared" si="3"/>
        <v>3.7845498726782705E-5</v>
      </c>
      <c r="BH19" s="2166">
        <f t="shared" si="3"/>
        <v>1.1470774904858885</v>
      </c>
      <c r="BI19" s="2166">
        <f t="shared" si="3"/>
        <v>2.1178787173638004E-2</v>
      </c>
    </row>
    <row r="20" spans="1:61" ht="13.15" customHeight="1">
      <c r="A20" s="2157"/>
      <c r="B20" s="78"/>
      <c r="C20" s="2138"/>
      <c r="D20" s="2167"/>
      <c r="H20" s="2140"/>
      <c r="I20" s="2140"/>
      <c r="J20" s="2140"/>
      <c r="K20" s="2140"/>
      <c r="L20" s="2140"/>
      <c r="M20" s="2140"/>
      <c r="N20" s="2140"/>
      <c r="O20" s="2140"/>
      <c r="P20" s="2140"/>
      <c r="Q20" s="2140"/>
      <c r="R20" s="2141"/>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c r="AN20" s="2140"/>
      <c r="AO20" s="2140"/>
      <c r="AP20" s="2140"/>
      <c r="AQ20" s="2140"/>
      <c r="AR20" s="2140"/>
      <c r="AS20" s="2140"/>
      <c r="AT20" s="2140"/>
      <c r="AU20" s="2140"/>
      <c r="AV20" s="2140"/>
      <c r="AW20" s="2140"/>
      <c r="AX20" s="2140"/>
      <c r="AY20" s="2140"/>
      <c r="AZ20" s="2140"/>
      <c r="BA20" s="2140"/>
      <c r="BB20" s="2140"/>
      <c r="BC20" s="2140"/>
      <c r="BD20" s="2140"/>
      <c r="BE20" s="2140"/>
      <c r="BF20" s="2140"/>
      <c r="BG20" s="2140"/>
      <c r="BH20" s="2140"/>
      <c r="BI20" s="2140"/>
    </row>
    <row r="21" spans="1:61" ht="13.15" customHeight="1">
      <c r="A21" s="2157"/>
      <c r="B21" s="78"/>
      <c r="C21" s="2138"/>
      <c r="D21" s="2167"/>
      <c r="E21" s="3660" t="s">
        <v>950</v>
      </c>
      <c r="H21" s="2140"/>
      <c r="I21" s="2140"/>
      <c r="J21" s="2140"/>
      <c r="K21" s="2140"/>
      <c r="L21" s="2140"/>
      <c r="M21" s="2140"/>
      <c r="N21" s="2140"/>
      <c r="O21" s="2140"/>
      <c r="P21" s="2140"/>
      <c r="Q21" s="2140"/>
      <c r="R21" s="2141"/>
      <c r="S21" s="2140"/>
      <c r="T21" s="2140"/>
      <c r="U21" s="2140"/>
      <c r="V21" s="2140"/>
      <c r="W21" s="2140"/>
      <c r="X21" s="2140"/>
      <c r="Y21" s="2140"/>
      <c r="Z21" s="2140"/>
      <c r="AA21" s="2140"/>
      <c r="AB21" s="2140"/>
      <c r="AC21" s="2140"/>
      <c r="AD21" s="2140"/>
      <c r="AE21" s="2140"/>
      <c r="AF21" s="2140"/>
      <c r="AG21" s="2140"/>
      <c r="AH21" s="2140"/>
      <c r="AI21" s="2140"/>
      <c r="AJ21" s="2140"/>
      <c r="AK21" s="2140"/>
      <c r="AL21" s="2140"/>
      <c r="AM21" s="2140"/>
      <c r="AN21" s="2140"/>
      <c r="AO21" s="2140"/>
      <c r="AP21" s="2140"/>
      <c r="AQ21" s="2140"/>
      <c r="AR21" s="2140"/>
      <c r="AS21" s="2140"/>
      <c r="AT21" s="2140"/>
      <c r="AU21" s="2140"/>
      <c r="AV21" s="2140"/>
      <c r="AW21" s="2140"/>
      <c r="AX21" s="2140"/>
      <c r="AY21" s="2140"/>
      <c r="AZ21" s="2140"/>
      <c r="BA21" s="2140"/>
      <c r="BB21" s="2140"/>
      <c r="BC21" s="2140"/>
      <c r="BD21" s="2140"/>
      <c r="BE21" s="2140"/>
      <c r="BF21" s="2140"/>
      <c r="BG21" s="2140"/>
      <c r="BH21" s="2140"/>
      <c r="BI21" s="2140"/>
    </row>
    <row r="22" spans="1:61" s="529" customFormat="1" ht="13.15" customHeight="1">
      <c r="A22" s="523"/>
      <c r="B22" s="224"/>
      <c r="C22" s="524"/>
      <c r="D22" s="2160"/>
      <c r="E22" s="3655" t="str">
        <f>Substances!E$10</f>
        <v>Durée d'exposition considérée</v>
      </c>
      <c r="F22" s="525" t="str">
        <f>Substances!F$10</f>
        <v>t</v>
      </c>
      <c r="G22" s="526" t="s">
        <v>951</v>
      </c>
      <c r="H22" s="527">
        <v>2</v>
      </c>
      <c r="I22" s="527">
        <v>2</v>
      </c>
      <c r="J22" s="527">
        <v>2</v>
      </c>
      <c r="K22" s="527">
        <v>2</v>
      </c>
      <c r="L22" s="527">
        <v>2</v>
      </c>
      <c r="M22" s="527">
        <v>2</v>
      </c>
      <c r="N22" s="527">
        <v>2</v>
      </c>
      <c r="O22" s="527">
        <v>2</v>
      </c>
      <c r="P22" s="527">
        <v>2</v>
      </c>
      <c r="Q22" s="527">
        <v>2</v>
      </c>
      <c r="R22" s="527">
        <v>2</v>
      </c>
      <c r="S22" s="527">
        <v>2</v>
      </c>
      <c r="T22" s="527">
        <v>2</v>
      </c>
      <c r="U22" s="527">
        <v>2</v>
      </c>
      <c r="V22" s="527">
        <v>2</v>
      </c>
      <c r="W22" s="527">
        <v>2</v>
      </c>
      <c r="X22" s="527">
        <v>2</v>
      </c>
      <c r="Y22" s="527">
        <v>2</v>
      </c>
      <c r="Z22" s="527">
        <v>2</v>
      </c>
      <c r="AA22" s="528">
        <v>2</v>
      </c>
      <c r="AB22" s="527">
        <v>2</v>
      </c>
      <c r="AC22" s="527">
        <v>2</v>
      </c>
      <c r="AD22" s="527">
        <v>2</v>
      </c>
      <c r="AE22" s="527">
        <v>2</v>
      </c>
      <c r="AF22" s="527">
        <v>2</v>
      </c>
      <c r="AG22" s="527">
        <v>2</v>
      </c>
      <c r="AH22" s="527">
        <v>2</v>
      </c>
      <c r="AI22" s="527">
        <v>2</v>
      </c>
      <c r="AJ22" s="527">
        <v>2</v>
      </c>
      <c r="AK22" s="527">
        <v>2</v>
      </c>
      <c r="AL22" s="527">
        <v>2</v>
      </c>
      <c r="AM22" s="527">
        <v>2</v>
      </c>
      <c r="AN22" s="528">
        <v>2</v>
      </c>
      <c r="AO22" s="527">
        <v>2</v>
      </c>
      <c r="AP22" s="527">
        <v>2</v>
      </c>
      <c r="AQ22" s="527">
        <v>2</v>
      </c>
      <c r="AR22" s="527">
        <v>2</v>
      </c>
      <c r="AS22" s="527">
        <v>2</v>
      </c>
      <c r="AT22" s="527">
        <v>2</v>
      </c>
      <c r="AU22" s="527">
        <v>2</v>
      </c>
      <c r="AV22" s="527">
        <v>2</v>
      </c>
      <c r="AW22" s="527">
        <v>2</v>
      </c>
      <c r="AX22" s="527">
        <v>2</v>
      </c>
      <c r="AY22" s="527">
        <v>2</v>
      </c>
      <c r="AZ22" s="527">
        <v>2</v>
      </c>
      <c r="BA22" s="527">
        <v>2</v>
      </c>
      <c r="BB22" s="527">
        <v>2</v>
      </c>
      <c r="BC22" s="527">
        <v>2</v>
      </c>
      <c r="BD22" s="527">
        <v>2</v>
      </c>
      <c r="BE22" s="527">
        <v>2</v>
      </c>
      <c r="BF22" s="527">
        <v>2</v>
      </c>
      <c r="BG22" s="527">
        <v>2</v>
      </c>
      <c r="BH22" s="527">
        <v>2</v>
      </c>
      <c r="BI22" s="527">
        <v>2</v>
      </c>
    </row>
    <row r="23" spans="1:61" s="529" customFormat="1" ht="13.15" customHeight="1">
      <c r="A23" s="523"/>
      <c r="B23" s="224"/>
      <c r="C23" s="524"/>
      <c r="D23" s="2160"/>
      <c r="E23" s="3655" t="str">
        <f>E22</f>
        <v>Durée d'exposition considérée</v>
      </c>
      <c r="F23" s="525" t="str">
        <f>F22</f>
        <v>t</v>
      </c>
      <c r="G23" s="526" t="s">
        <v>294</v>
      </c>
      <c r="H23" s="2161">
        <f t="shared" ref="H23:AL23" si="4">H22*30.5*24*3600</f>
        <v>5270400</v>
      </c>
      <c r="I23" s="2161">
        <f t="shared" si="4"/>
        <v>5270400</v>
      </c>
      <c r="J23" s="2161">
        <f>J22*30.5*24*3600</f>
        <v>5270400</v>
      </c>
      <c r="K23" s="2161">
        <f t="shared" si="4"/>
        <v>5270400</v>
      </c>
      <c r="L23" s="2161">
        <f t="shared" si="4"/>
        <v>5270400</v>
      </c>
      <c r="M23" s="2161">
        <f t="shared" si="4"/>
        <v>5270400</v>
      </c>
      <c r="N23" s="2161">
        <f>N22*30.5*24*3600</f>
        <v>5270400</v>
      </c>
      <c r="O23" s="2161">
        <f>O22*30.5*24*3600</f>
        <v>5270400</v>
      </c>
      <c r="P23" s="2161">
        <f t="shared" si="4"/>
        <v>5270400</v>
      </c>
      <c r="Q23" s="2161">
        <f t="shared" si="4"/>
        <v>5270400</v>
      </c>
      <c r="R23" s="2161">
        <f>R22*30.5*24*3600</f>
        <v>5270400</v>
      </c>
      <c r="S23" s="2161">
        <f>S22*30.5*24*3600</f>
        <v>5270400</v>
      </c>
      <c r="T23" s="2161">
        <f>T22*30.5*24*3600</f>
        <v>5270400</v>
      </c>
      <c r="U23" s="2161">
        <f t="shared" si="4"/>
        <v>5270400</v>
      </c>
      <c r="V23" s="2161">
        <f t="shared" si="4"/>
        <v>5270400</v>
      </c>
      <c r="W23" s="2161">
        <f t="shared" si="4"/>
        <v>5270400</v>
      </c>
      <c r="X23" s="2161">
        <f t="shared" si="4"/>
        <v>5270400</v>
      </c>
      <c r="Y23" s="2161">
        <f t="shared" si="4"/>
        <v>5270400</v>
      </c>
      <c r="Z23" s="2161">
        <f t="shared" si="4"/>
        <v>5270400</v>
      </c>
      <c r="AA23" s="2161">
        <f t="shared" si="4"/>
        <v>5270400</v>
      </c>
      <c r="AB23" s="2161">
        <f t="shared" si="4"/>
        <v>5270400</v>
      </c>
      <c r="AC23" s="2161">
        <f t="shared" si="4"/>
        <v>5270400</v>
      </c>
      <c r="AD23" s="2161">
        <f t="shared" si="4"/>
        <v>5270400</v>
      </c>
      <c r="AE23" s="2161">
        <f t="shared" si="4"/>
        <v>5270400</v>
      </c>
      <c r="AF23" s="2161">
        <f t="shared" si="4"/>
        <v>5270400</v>
      </c>
      <c r="AG23" s="2161">
        <f t="shared" si="4"/>
        <v>5270400</v>
      </c>
      <c r="AH23" s="2161">
        <f t="shared" si="4"/>
        <v>5270400</v>
      </c>
      <c r="AI23" s="2161">
        <f t="shared" si="4"/>
        <v>5270400</v>
      </c>
      <c r="AJ23" s="2161">
        <f t="shared" si="4"/>
        <v>5270400</v>
      </c>
      <c r="AK23" s="2161">
        <f t="shared" si="4"/>
        <v>5270400</v>
      </c>
      <c r="AL23" s="2161">
        <f t="shared" si="4"/>
        <v>5270400</v>
      </c>
      <c r="AM23" s="2161">
        <f t="shared" ref="AM23:BI23" si="5">AM22*30.5*24*3600</f>
        <v>5270400</v>
      </c>
      <c r="AN23" s="2161">
        <f t="shared" si="5"/>
        <v>5270400</v>
      </c>
      <c r="AO23" s="2161">
        <f t="shared" si="5"/>
        <v>5270400</v>
      </c>
      <c r="AP23" s="2161">
        <f t="shared" si="5"/>
        <v>5270400</v>
      </c>
      <c r="AQ23" s="2161">
        <f t="shared" si="5"/>
        <v>5270400</v>
      </c>
      <c r="AR23" s="2161">
        <f t="shared" si="5"/>
        <v>5270400</v>
      </c>
      <c r="AS23" s="2161">
        <f t="shared" si="5"/>
        <v>5270400</v>
      </c>
      <c r="AT23" s="2161">
        <f t="shared" si="5"/>
        <v>5270400</v>
      </c>
      <c r="AU23" s="2161">
        <f t="shared" si="5"/>
        <v>5270400</v>
      </c>
      <c r="AV23" s="2161">
        <f t="shared" si="5"/>
        <v>5270400</v>
      </c>
      <c r="AW23" s="2161">
        <f t="shared" si="5"/>
        <v>5270400</v>
      </c>
      <c r="AX23" s="2161">
        <f t="shared" si="5"/>
        <v>5270400</v>
      </c>
      <c r="AY23" s="2161">
        <f t="shared" si="5"/>
        <v>5270400</v>
      </c>
      <c r="AZ23" s="2161">
        <f t="shared" si="5"/>
        <v>5270400</v>
      </c>
      <c r="BA23" s="2161">
        <f t="shared" si="5"/>
        <v>5270400</v>
      </c>
      <c r="BB23" s="2161">
        <f t="shared" si="5"/>
        <v>5270400</v>
      </c>
      <c r="BC23" s="2161">
        <f t="shared" si="5"/>
        <v>5270400</v>
      </c>
      <c r="BD23" s="2161">
        <f t="shared" si="5"/>
        <v>5270400</v>
      </c>
      <c r="BE23" s="2161">
        <f t="shared" si="5"/>
        <v>5270400</v>
      </c>
      <c r="BF23" s="2161">
        <f t="shared" si="5"/>
        <v>5270400</v>
      </c>
      <c r="BG23" s="2161">
        <f t="shared" si="5"/>
        <v>5270400</v>
      </c>
      <c r="BH23" s="2161">
        <f t="shared" si="5"/>
        <v>5270400</v>
      </c>
      <c r="BI23" s="2161">
        <f t="shared" si="5"/>
        <v>5270400</v>
      </c>
    </row>
    <row r="24" spans="1:61" ht="25.5">
      <c r="A24" s="2157"/>
      <c r="B24" s="2158"/>
      <c r="C24" s="2158"/>
      <c r="D24" s="2160"/>
      <c r="E24" s="3655" t="s">
        <v>569</v>
      </c>
      <c r="F24" s="2162" t="s">
        <v>138</v>
      </c>
      <c r="G24" s="2163" t="s">
        <v>139</v>
      </c>
      <c r="H24" s="2164">
        <f t="shared" ref="H24:BI24" si="6">1000*H$14/H$13*H$12/H23</f>
        <v>0.3240948473793806</v>
      </c>
      <c r="I24" s="2165">
        <f t="shared" si="6"/>
        <v>0.3240948473793806</v>
      </c>
      <c r="J24" s="2165">
        <f>1000*J$14/J$13*J$12/J23</f>
        <v>4.9369278224909607E-2</v>
      </c>
      <c r="K24" s="2165">
        <f t="shared" si="6"/>
        <v>2.2158204484343824E-4</v>
      </c>
      <c r="L24" s="2165">
        <f t="shared" si="6"/>
        <v>1.1851458550923837E-3</v>
      </c>
      <c r="M24" s="2165">
        <f t="shared" si="6"/>
        <v>1.1851458550923837E-3</v>
      </c>
      <c r="N24" s="2166">
        <f>1000*N$14/N$13*N$12/N23</f>
        <v>6.0089158260360175E-4</v>
      </c>
      <c r="O24" s="2166">
        <f>1000*O$14/O$13*O$12/O23</f>
        <v>6.0089158260360175E-4</v>
      </c>
      <c r="P24" s="2165">
        <f t="shared" si="6"/>
        <v>5.5039751776425475E-4</v>
      </c>
      <c r="Q24" s="2165">
        <f t="shared" si="6"/>
        <v>5.5039751776425475E-4</v>
      </c>
      <c r="R24" s="2165">
        <f>1000*R$14/R$13*R$12/R23</f>
        <v>1.3692415109493382E-3</v>
      </c>
      <c r="S24" s="2166">
        <f>1000*S$14/S$13*S$12/S23</f>
        <v>1.4594722321216436E-3</v>
      </c>
      <c r="T24" s="2166">
        <f>1000*T$14/T$13*T$12/T23</f>
        <v>1.4594722321216436E-3</v>
      </c>
      <c r="U24" s="2165">
        <f t="shared" si="6"/>
        <v>3.1000122748342328E-4</v>
      </c>
      <c r="V24" s="2165">
        <f t="shared" si="6"/>
        <v>1.8939450323668115E-4</v>
      </c>
      <c r="W24" s="2166">
        <f t="shared" si="6"/>
        <v>1.8939450323668115E-4</v>
      </c>
      <c r="X24" s="2166">
        <f t="shared" si="6"/>
        <v>9.8724472586039064E-4</v>
      </c>
      <c r="Y24" s="2166">
        <f t="shared" si="6"/>
        <v>1.4244744461903392E-3</v>
      </c>
      <c r="Z24" s="2166">
        <f t="shared" si="6"/>
        <v>2.4053246937783494E-3</v>
      </c>
      <c r="AA24" s="2166">
        <f t="shared" si="6"/>
        <v>3.5854363478589131E-3</v>
      </c>
      <c r="AB24" s="2166">
        <f t="shared" si="6"/>
        <v>3.1702287642916965E-3</v>
      </c>
      <c r="AC24" s="2166">
        <f t="shared" si="6"/>
        <v>1.6246379973589853E-2</v>
      </c>
      <c r="AD24" s="2166">
        <f t="shared" si="6"/>
        <v>8.3002634554347324E-2</v>
      </c>
      <c r="AE24" s="2166">
        <f t="shared" si="6"/>
        <v>0.66565959086450899</v>
      </c>
      <c r="AF24" s="2166">
        <f t="shared" si="6"/>
        <v>160.60318775752836</v>
      </c>
      <c r="AG24" s="2166">
        <f t="shared" si="6"/>
        <v>1.3784519291422463E-4</v>
      </c>
      <c r="AH24" s="2166">
        <f t="shared" si="6"/>
        <v>1.8410300043604811E-4</v>
      </c>
      <c r="AI24" s="2166">
        <f t="shared" si="6"/>
        <v>4.5277041284242487E-4</v>
      </c>
      <c r="AJ24" s="2166">
        <f t="shared" si="6"/>
        <v>1.9020518590924676E-3</v>
      </c>
      <c r="AK24" s="2166">
        <f t="shared" si="6"/>
        <v>8.3434134006860113E-3</v>
      </c>
      <c r="AL24" s="2166">
        <f t="shared" si="6"/>
        <v>0.1100582014516531</v>
      </c>
      <c r="AM24" s="2166">
        <f t="shared" si="6"/>
        <v>15.89908189318254</v>
      </c>
      <c r="AN24" s="2166">
        <f t="shared" si="6"/>
        <v>0.1997482373345186</v>
      </c>
      <c r="AO24" s="2166">
        <f t="shared" si="6"/>
        <v>0.73136427991897324</v>
      </c>
      <c r="AP24" s="2166">
        <f t="shared" si="6"/>
        <v>0.43717029481486419</v>
      </c>
      <c r="AQ24" s="2166">
        <f t="shared" si="6"/>
        <v>1.0796628666541046</v>
      </c>
      <c r="AR24" s="2166">
        <f t="shared" si="6"/>
        <v>5.3924649605806536</v>
      </c>
      <c r="AS24" s="2166">
        <f t="shared" si="6"/>
        <v>4.174963000910747</v>
      </c>
      <c r="AT24" s="2166">
        <f t="shared" si="6"/>
        <v>57.194795256690817</v>
      </c>
      <c r="AU24" s="2166">
        <f t="shared" si="6"/>
        <v>59.453346626309028</v>
      </c>
      <c r="AV24" s="2166">
        <f t="shared" si="6"/>
        <v>372.6668116466613</v>
      </c>
      <c r="AW24" s="2166">
        <f t="shared" si="6"/>
        <v>386.75127757538957</v>
      </c>
      <c r="AX24" s="2166">
        <f t="shared" si="6"/>
        <v>10987.82204733346</v>
      </c>
      <c r="AY24" s="2166">
        <f t="shared" si="6"/>
        <v>16010.322850933584</v>
      </c>
      <c r="AZ24" s="2166">
        <f t="shared" si="6"/>
        <v>23975.361194726247</v>
      </c>
      <c r="BA24" s="2166">
        <f t="shared" si="6"/>
        <v>138818.43220535712</v>
      </c>
      <c r="BB24" s="2166">
        <f t="shared" si="6"/>
        <v>8767.4410655887987</v>
      </c>
      <c r="BC24" s="2166">
        <f t="shared" si="6"/>
        <v>33003572591.360779</v>
      </c>
      <c r="BD24" s="2166">
        <f t="shared" si="6"/>
        <v>9.1272165597545794</v>
      </c>
      <c r="BE24" s="2166">
        <f t="shared" si="6"/>
        <v>411.2308787471722</v>
      </c>
      <c r="BF24" s="2166">
        <f t="shared" si="6"/>
        <v>411.2308787471722</v>
      </c>
      <c r="BG24" s="2166">
        <f t="shared" si="6"/>
        <v>2.2645257434878176E-4</v>
      </c>
      <c r="BH24" s="2166">
        <f t="shared" si="6"/>
        <v>6.8636603938909726</v>
      </c>
      <c r="BI24" s="2166">
        <f t="shared" si="6"/>
        <v>0.88707870866631311</v>
      </c>
    </row>
    <row r="25" spans="1:61" ht="13.15" customHeight="1">
      <c r="A25" s="2157"/>
      <c r="B25" s="78"/>
      <c r="C25" s="2138"/>
      <c r="D25" s="2167"/>
      <c r="E25" s="3655"/>
      <c r="H25" s="2140"/>
      <c r="I25" s="2140"/>
      <c r="J25" s="2140"/>
      <c r="K25" s="2140"/>
      <c r="L25" s="2140"/>
      <c r="M25" s="2140"/>
      <c r="N25" s="2140"/>
      <c r="O25" s="2140"/>
      <c r="P25" s="2140"/>
      <c r="Q25" s="2140"/>
      <c r="R25" s="2141"/>
      <c r="S25" s="2140"/>
      <c r="T25" s="2140"/>
      <c r="U25" s="2140"/>
      <c r="V25" s="2140"/>
      <c r="W25" s="2140"/>
      <c r="X25" s="2140"/>
      <c r="Y25" s="2140"/>
      <c r="Z25" s="2140"/>
      <c r="AA25" s="2140"/>
      <c r="AB25" s="2140"/>
      <c r="AC25" s="2140"/>
      <c r="AD25" s="2140"/>
      <c r="AE25" s="2140"/>
      <c r="AF25" s="2140"/>
      <c r="AG25" s="2140"/>
      <c r="AH25" s="2140"/>
      <c r="AI25" s="2140"/>
      <c r="AJ25" s="2140"/>
      <c r="AK25" s="2140"/>
      <c r="AL25" s="2140"/>
      <c r="AM25" s="2140"/>
      <c r="AN25" s="2140"/>
      <c r="AO25" s="2140"/>
      <c r="AP25" s="2140"/>
      <c r="AQ25" s="2140"/>
      <c r="AR25" s="2140"/>
      <c r="AS25" s="2140"/>
      <c r="AT25" s="2140"/>
      <c r="AU25" s="2140"/>
      <c r="AV25" s="2140"/>
      <c r="AW25" s="2140"/>
      <c r="AX25" s="2140"/>
      <c r="AY25" s="2140"/>
      <c r="AZ25" s="2140"/>
      <c r="BA25" s="2140"/>
      <c r="BB25" s="2140"/>
      <c r="BC25" s="2140"/>
      <c r="BD25" s="2140"/>
      <c r="BE25" s="2140"/>
      <c r="BF25" s="2140"/>
      <c r="BG25" s="2140"/>
      <c r="BH25" s="2140"/>
      <c r="BI25" s="2140"/>
    </row>
    <row r="26" spans="1:61" ht="13.15" customHeight="1">
      <c r="A26" s="2157"/>
      <c r="B26" s="78"/>
      <c r="C26" s="2138"/>
      <c r="D26" s="2167"/>
      <c r="E26" s="2168" t="s">
        <v>573</v>
      </c>
      <c r="H26" s="2140"/>
      <c r="I26" s="2140"/>
      <c r="J26" s="2140"/>
      <c r="K26" s="2140"/>
      <c r="L26" s="2140"/>
      <c r="M26" s="2140"/>
      <c r="N26" s="2140"/>
      <c r="O26" s="2140"/>
      <c r="P26" s="2140"/>
      <c r="Q26" s="2140"/>
      <c r="R26" s="2141"/>
      <c r="S26" s="2140"/>
      <c r="T26" s="2140"/>
      <c r="U26" s="2140"/>
      <c r="V26" s="2140"/>
      <c r="W26" s="2140"/>
      <c r="X26" s="2140"/>
      <c r="Y26" s="2140"/>
      <c r="Z26" s="2140"/>
      <c r="AA26" s="2140"/>
      <c r="AB26" s="2140"/>
      <c r="AC26" s="2140"/>
      <c r="AD26" s="2140"/>
      <c r="AE26" s="2140"/>
      <c r="AF26" s="2140"/>
      <c r="AG26" s="2140"/>
      <c r="AH26" s="2140"/>
      <c r="AI26" s="2140"/>
      <c r="AJ26" s="2140"/>
      <c r="AK26" s="2140"/>
      <c r="AL26" s="2140"/>
      <c r="AM26" s="2140"/>
      <c r="AN26" s="2140"/>
      <c r="AO26" s="2140"/>
      <c r="AP26" s="2140"/>
      <c r="AQ26" s="2140"/>
      <c r="AR26" s="2140"/>
      <c r="AS26" s="2140"/>
      <c r="AT26" s="2140"/>
      <c r="AU26" s="2140"/>
      <c r="AV26" s="2140"/>
      <c r="AW26" s="2140"/>
      <c r="AX26" s="2140"/>
      <c r="AY26" s="2140"/>
      <c r="AZ26" s="2140"/>
      <c r="BA26" s="2140"/>
      <c r="BB26" s="2140"/>
      <c r="BC26" s="2140"/>
      <c r="BD26" s="2140"/>
      <c r="BE26" s="2140"/>
      <c r="BF26" s="2140"/>
      <c r="BG26" s="2140"/>
      <c r="BH26" s="2140"/>
      <c r="BI26" s="2140"/>
    </row>
    <row r="27" spans="1:61" s="529" customFormat="1" ht="13.15" customHeight="1">
      <c r="A27" s="523"/>
      <c r="B27" s="224"/>
      <c r="C27" s="524"/>
      <c r="D27" s="2160"/>
      <c r="E27" s="525" t="str">
        <f>Substances!E$10</f>
        <v>Durée d'exposition considérée</v>
      </c>
      <c r="F27" s="525" t="str">
        <f>Substances!F$10</f>
        <v>t</v>
      </c>
      <c r="G27" s="526" t="str">
        <f>Substances!G$10</f>
        <v>an</v>
      </c>
      <c r="H27" s="527">
        <v>6</v>
      </c>
      <c r="I27" s="527">
        <v>6</v>
      </c>
      <c r="J27" s="527">
        <v>6</v>
      </c>
      <c r="K27" s="527">
        <v>6</v>
      </c>
      <c r="L27" s="527">
        <v>6</v>
      </c>
      <c r="M27" s="527">
        <v>6</v>
      </c>
      <c r="N27" s="527">
        <v>6</v>
      </c>
      <c r="O27" s="527">
        <v>6</v>
      </c>
      <c r="P27" s="527">
        <v>6</v>
      </c>
      <c r="Q27" s="527">
        <v>6</v>
      </c>
      <c r="R27" s="527">
        <v>6</v>
      </c>
      <c r="S27" s="527">
        <v>6</v>
      </c>
      <c r="T27" s="527">
        <v>6</v>
      </c>
      <c r="U27" s="527">
        <v>6</v>
      </c>
      <c r="V27" s="527">
        <v>6</v>
      </c>
      <c r="W27" s="527">
        <v>6</v>
      </c>
      <c r="X27" s="527">
        <v>6</v>
      </c>
      <c r="Y27" s="527">
        <v>6</v>
      </c>
      <c r="Z27" s="527">
        <v>6</v>
      </c>
      <c r="AA27" s="528">
        <v>6</v>
      </c>
      <c r="AB27" s="527">
        <v>6</v>
      </c>
      <c r="AC27" s="527">
        <v>6</v>
      </c>
      <c r="AD27" s="527">
        <v>6</v>
      </c>
      <c r="AE27" s="527">
        <v>6</v>
      </c>
      <c r="AF27" s="527">
        <v>6</v>
      </c>
      <c r="AG27" s="527">
        <v>6</v>
      </c>
      <c r="AH27" s="527">
        <v>6</v>
      </c>
      <c r="AI27" s="527">
        <v>6</v>
      </c>
      <c r="AJ27" s="527">
        <v>6</v>
      </c>
      <c r="AK27" s="527">
        <v>6</v>
      </c>
      <c r="AL27" s="527">
        <v>6</v>
      </c>
      <c r="AM27" s="527">
        <v>6</v>
      </c>
      <c r="AN27" s="528">
        <v>6</v>
      </c>
      <c r="AO27" s="527">
        <v>6</v>
      </c>
      <c r="AP27" s="527">
        <v>6</v>
      </c>
      <c r="AQ27" s="527">
        <v>6</v>
      </c>
      <c r="AR27" s="527">
        <v>6</v>
      </c>
      <c r="AS27" s="527">
        <v>6</v>
      </c>
      <c r="AT27" s="527">
        <v>6</v>
      </c>
      <c r="AU27" s="527">
        <v>6</v>
      </c>
      <c r="AV27" s="527">
        <v>6</v>
      </c>
      <c r="AW27" s="527">
        <v>6</v>
      </c>
      <c r="AX27" s="527">
        <v>6</v>
      </c>
      <c r="AY27" s="527">
        <v>6</v>
      </c>
      <c r="AZ27" s="527">
        <v>6</v>
      </c>
      <c r="BA27" s="527">
        <v>6</v>
      </c>
      <c r="BB27" s="527">
        <v>6</v>
      </c>
      <c r="BC27" s="527">
        <v>6</v>
      </c>
      <c r="BD27" s="527">
        <v>6</v>
      </c>
      <c r="BE27" s="527">
        <v>6</v>
      </c>
      <c r="BF27" s="527">
        <v>6</v>
      </c>
      <c r="BG27" s="527">
        <v>6</v>
      </c>
      <c r="BH27" s="527">
        <v>6</v>
      </c>
      <c r="BI27" s="527">
        <v>6</v>
      </c>
    </row>
    <row r="28" spans="1:61" s="529" customFormat="1" ht="13.15" customHeight="1">
      <c r="A28" s="523"/>
      <c r="B28" s="224"/>
      <c r="C28" s="524"/>
      <c r="D28" s="2160"/>
      <c r="E28" s="525" t="str">
        <f>E27</f>
        <v>Durée d'exposition considérée</v>
      </c>
      <c r="F28" s="525" t="str">
        <f>F27</f>
        <v>t</v>
      </c>
      <c r="G28" s="526" t="s">
        <v>294</v>
      </c>
      <c r="H28" s="2161">
        <f t="shared" ref="H28:AL28" si="7">H27*365*24*3600</f>
        <v>189216000</v>
      </c>
      <c r="I28" s="2161">
        <f t="shared" si="7"/>
        <v>189216000</v>
      </c>
      <c r="J28" s="2161">
        <f>J27*365*24*3600</f>
        <v>189216000</v>
      </c>
      <c r="K28" s="2161">
        <f t="shared" si="7"/>
        <v>189216000</v>
      </c>
      <c r="L28" s="2161">
        <f t="shared" si="7"/>
        <v>189216000</v>
      </c>
      <c r="M28" s="2161">
        <f t="shared" si="7"/>
        <v>189216000</v>
      </c>
      <c r="N28" s="2161">
        <f>N27*365*24*3600</f>
        <v>189216000</v>
      </c>
      <c r="O28" s="2161">
        <f>O27*365*24*3600</f>
        <v>189216000</v>
      </c>
      <c r="P28" s="2161">
        <f t="shared" si="7"/>
        <v>189216000</v>
      </c>
      <c r="Q28" s="2161">
        <f t="shared" si="7"/>
        <v>189216000</v>
      </c>
      <c r="R28" s="2161">
        <f>R27*365*24*3600</f>
        <v>189216000</v>
      </c>
      <c r="S28" s="2161">
        <f>S27*365*24*3600</f>
        <v>189216000</v>
      </c>
      <c r="T28" s="2161">
        <f>T27*365*24*3600</f>
        <v>189216000</v>
      </c>
      <c r="U28" s="2161">
        <f t="shared" si="7"/>
        <v>189216000</v>
      </c>
      <c r="V28" s="2161">
        <f t="shared" si="7"/>
        <v>189216000</v>
      </c>
      <c r="W28" s="2161">
        <f t="shared" si="7"/>
        <v>189216000</v>
      </c>
      <c r="X28" s="2161">
        <f t="shared" si="7"/>
        <v>189216000</v>
      </c>
      <c r="Y28" s="2161">
        <f t="shared" si="7"/>
        <v>189216000</v>
      </c>
      <c r="Z28" s="2161">
        <f t="shared" si="7"/>
        <v>189216000</v>
      </c>
      <c r="AA28" s="2161">
        <f t="shared" si="7"/>
        <v>189216000</v>
      </c>
      <c r="AB28" s="2161">
        <f t="shared" si="7"/>
        <v>189216000</v>
      </c>
      <c r="AC28" s="2161">
        <f t="shared" si="7"/>
        <v>189216000</v>
      </c>
      <c r="AD28" s="2161">
        <f t="shared" si="7"/>
        <v>189216000</v>
      </c>
      <c r="AE28" s="2161">
        <f t="shared" si="7"/>
        <v>189216000</v>
      </c>
      <c r="AF28" s="2161">
        <f t="shared" si="7"/>
        <v>189216000</v>
      </c>
      <c r="AG28" s="2161">
        <f t="shared" si="7"/>
        <v>189216000</v>
      </c>
      <c r="AH28" s="2161">
        <f t="shared" si="7"/>
        <v>189216000</v>
      </c>
      <c r="AI28" s="2161">
        <f t="shared" si="7"/>
        <v>189216000</v>
      </c>
      <c r="AJ28" s="2161">
        <f t="shared" si="7"/>
        <v>189216000</v>
      </c>
      <c r="AK28" s="2161">
        <f t="shared" si="7"/>
        <v>189216000</v>
      </c>
      <c r="AL28" s="2161">
        <f t="shared" si="7"/>
        <v>189216000</v>
      </c>
      <c r="AM28" s="2161">
        <f t="shared" ref="AM28:BI28" si="8">AM27*365*24*3600</f>
        <v>189216000</v>
      </c>
      <c r="AN28" s="2161">
        <f t="shared" si="8"/>
        <v>189216000</v>
      </c>
      <c r="AO28" s="2161">
        <f t="shared" si="8"/>
        <v>189216000</v>
      </c>
      <c r="AP28" s="2161">
        <f t="shared" si="8"/>
        <v>189216000</v>
      </c>
      <c r="AQ28" s="2161">
        <f t="shared" si="8"/>
        <v>189216000</v>
      </c>
      <c r="AR28" s="2161">
        <f t="shared" si="8"/>
        <v>189216000</v>
      </c>
      <c r="AS28" s="2161">
        <f t="shared" si="8"/>
        <v>189216000</v>
      </c>
      <c r="AT28" s="2161">
        <f t="shared" si="8"/>
        <v>189216000</v>
      </c>
      <c r="AU28" s="2161">
        <f t="shared" si="8"/>
        <v>189216000</v>
      </c>
      <c r="AV28" s="2161">
        <f t="shared" si="8"/>
        <v>189216000</v>
      </c>
      <c r="AW28" s="2161">
        <f t="shared" si="8"/>
        <v>189216000</v>
      </c>
      <c r="AX28" s="2161">
        <f t="shared" si="8"/>
        <v>189216000</v>
      </c>
      <c r="AY28" s="2161">
        <f t="shared" si="8"/>
        <v>189216000</v>
      </c>
      <c r="AZ28" s="2161">
        <f t="shared" si="8"/>
        <v>189216000</v>
      </c>
      <c r="BA28" s="2161">
        <f t="shared" si="8"/>
        <v>189216000</v>
      </c>
      <c r="BB28" s="2161">
        <f t="shared" si="8"/>
        <v>189216000</v>
      </c>
      <c r="BC28" s="2161">
        <f t="shared" si="8"/>
        <v>189216000</v>
      </c>
      <c r="BD28" s="2161">
        <f t="shared" si="8"/>
        <v>189216000</v>
      </c>
      <c r="BE28" s="2161">
        <f t="shared" si="8"/>
        <v>189216000</v>
      </c>
      <c r="BF28" s="2161">
        <f t="shared" si="8"/>
        <v>189216000</v>
      </c>
      <c r="BG28" s="2161">
        <f t="shared" si="8"/>
        <v>189216000</v>
      </c>
      <c r="BH28" s="2161">
        <f t="shared" si="8"/>
        <v>189216000</v>
      </c>
      <c r="BI28" s="2161">
        <f t="shared" si="8"/>
        <v>189216000</v>
      </c>
    </row>
    <row r="29" spans="1:61" ht="25.5">
      <c r="A29" s="2157"/>
      <c r="B29" s="2158"/>
      <c r="C29" s="2158"/>
      <c r="D29" s="2160"/>
      <c r="E29" s="2162" t="s">
        <v>569</v>
      </c>
      <c r="F29" s="2162" t="s">
        <v>138</v>
      </c>
      <c r="G29" s="2163" t="s">
        <v>139</v>
      </c>
      <c r="H29" s="2164">
        <f t="shared" ref="H29:AL29" si="9">1000*H$14/H$13*H$12/H28</f>
        <v>9.027299401891422E-3</v>
      </c>
      <c r="I29" s="2165">
        <f t="shared" si="9"/>
        <v>9.027299401891422E-3</v>
      </c>
      <c r="J29" s="2165">
        <f>1000*J$14/J$13*J$12/J28</f>
        <v>1.3751260144837835E-3</v>
      </c>
      <c r="K29" s="2165">
        <f t="shared" si="9"/>
        <v>6.1719199705249922E-6</v>
      </c>
      <c r="L29" s="2165">
        <f t="shared" si="9"/>
        <v>3.3010911945495617E-5</v>
      </c>
      <c r="M29" s="2165">
        <f t="shared" si="9"/>
        <v>3.3010911945495617E-5</v>
      </c>
      <c r="N29" s="2166">
        <f>1000*N$14/N$13*N$12/N28</f>
        <v>1.673716280311402E-5</v>
      </c>
      <c r="O29" s="2166">
        <f>1000*O$14/O$13*O$12/O28</f>
        <v>1.673716280311402E-5</v>
      </c>
      <c r="P29" s="2165">
        <f t="shared" si="9"/>
        <v>1.5330707115808009E-5</v>
      </c>
      <c r="Q29" s="2165">
        <f t="shared" si="9"/>
        <v>1.5330707115808009E-5</v>
      </c>
      <c r="R29" s="2165">
        <f>1000*R$14/R$13*R$12/R28</f>
        <v>3.8138690487629963E-5</v>
      </c>
      <c r="S29" s="2166">
        <f>1000*S$14/S$13*S$12/S28</f>
        <v>4.0651966282840303E-5</v>
      </c>
      <c r="T29" s="2166">
        <f>1000*T$14/T$13*T$12/T28</f>
        <v>4.0651966282840303E-5</v>
      </c>
      <c r="U29" s="2165">
        <f t="shared" si="9"/>
        <v>8.6347373865245747E-6</v>
      </c>
      <c r="V29" s="2165">
        <f t="shared" si="9"/>
        <v>5.2753720079623515E-6</v>
      </c>
      <c r="W29" s="2166">
        <f t="shared" si="9"/>
        <v>5.2753720079623515E-6</v>
      </c>
      <c r="X29" s="2166">
        <f t="shared" si="9"/>
        <v>2.7498597386978914E-5</v>
      </c>
      <c r="Y29" s="2166">
        <f t="shared" si="9"/>
        <v>3.9677142108498037E-5</v>
      </c>
      <c r="Z29" s="2166">
        <f t="shared" si="9"/>
        <v>6.6997628456839868E-5</v>
      </c>
      <c r="AA29" s="2166">
        <f t="shared" si="9"/>
        <v>9.9868318365019948E-5</v>
      </c>
      <c r="AB29" s="2166">
        <f t="shared" si="9"/>
        <v>8.8303175626389731E-5</v>
      </c>
      <c r="AC29" s="2166">
        <f t="shared" si="9"/>
        <v>4.5252473899040228E-4</v>
      </c>
      <c r="AD29" s="2166">
        <f t="shared" si="9"/>
        <v>2.3119455286827336E-3</v>
      </c>
      <c r="AE29" s="2166">
        <f t="shared" si="9"/>
        <v>1.8541203215860752E-2</v>
      </c>
      <c r="AF29" s="2166">
        <f t="shared" si="9"/>
        <v>4.473422124753073</v>
      </c>
      <c r="AG29" s="2166">
        <f t="shared" si="9"/>
        <v>3.8395236382500922E-6</v>
      </c>
      <c r="AH29" s="2166">
        <f t="shared" si="9"/>
        <v>5.1279831171684633E-6</v>
      </c>
      <c r="AI29" s="2166">
        <f t="shared" si="9"/>
        <v>1.2611413325747907E-5</v>
      </c>
      <c r="AJ29" s="2166">
        <f t="shared" si="9"/>
        <v>5.2979526668785625E-5</v>
      </c>
      <c r="AK29" s="2166">
        <f t="shared" si="9"/>
        <v>2.3239644632047792E-4</v>
      </c>
      <c r="AL29" s="2166">
        <f t="shared" si="9"/>
        <v>3.0655480769638532E-3</v>
      </c>
      <c r="AM29" s="2166">
        <f t="shared" ref="AM29:BI29" si="10">1000*AM$14/AM$13*AM$12/AM28</f>
        <v>0.44285113949047256</v>
      </c>
      <c r="AN29" s="2166">
        <f t="shared" si="10"/>
        <v>5.5637636883130752E-3</v>
      </c>
      <c r="AO29" s="2166">
        <f t="shared" si="10"/>
        <v>2.0371333824227109E-2</v>
      </c>
      <c r="AP29" s="2166">
        <f t="shared" si="10"/>
        <v>1.2176889490277039E-2</v>
      </c>
      <c r="AQ29" s="2166">
        <f t="shared" si="10"/>
        <v>3.0072801308630309E-2</v>
      </c>
      <c r="AR29" s="2166">
        <f t="shared" si="10"/>
        <v>0.150201078810694</v>
      </c>
      <c r="AS29" s="2166">
        <f t="shared" si="10"/>
        <v>0.11628892376966007</v>
      </c>
      <c r="AT29" s="2166">
        <f t="shared" si="10"/>
        <v>1.5930970368302009</v>
      </c>
      <c r="AU29" s="2166">
        <f t="shared" si="10"/>
        <v>1.6560064585410277</v>
      </c>
      <c r="AV29" s="2166">
        <f t="shared" si="10"/>
        <v>10.380217128057691</v>
      </c>
      <c r="AW29" s="2166">
        <f t="shared" si="10"/>
        <v>10.772524169908111</v>
      </c>
      <c r="AX29" s="2166">
        <f t="shared" si="10"/>
        <v>306.05349081613747</v>
      </c>
      <c r="AY29" s="2166">
        <f t="shared" si="10"/>
        <v>445.94963192098112</v>
      </c>
      <c r="AZ29" s="2166">
        <f t="shared" si="10"/>
        <v>667.80686432799132</v>
      </c>
      <c r="BA29" s="2166">
        <f t="shared" si="10"/>
        <v>3866.6321299209058</v>
      </c>
      <c r="BB29" s="2166">
        <f t="shared" si="10"/>
        <v>244.20726255749625</v>
      </c>
      <c r="BC29" s="2166">
        <f t="shared" si="10"/>
        <v>919277592.72740066</v>
      </c>
      <c r="BD29" s="2166">
        <f t="shared" si="10"/>
        <v>0.25422840645891753</v>
      </c>
      <c r="BE29" s="2166">
        <f t="shared" si="10"/>
        <v>11.454376074692924</v>
      </c>
      <c r="BF29" s="2166">
        <f t="shared" si="10"/>
        <v>11.454376074692924</v>
      </c>
      <c r="BG29" s="2166">
        <f t="shared" si="10"/>
        <v>6.3075831211304503E-6</v>
      </c>
      <c r="BH29" s="2166">
        <f t="shared" si="10"/>
        <v>0.1911795817476481</v>
      </c>
      <c r="BI29" s="2166">
        <f t="shared" si="10"/>
        <v>2.4708585035911005E-2</v>
      </c>
    </row>
    <row r="30" spans="1:61" ht="13.15" customHeight="1">
      <c r="A30" s="2157"/>
      <c r="B30" s="78"/>
      <c r="C30" s="2138"/>
      <c r="D30" s="2167"/>
      <c r="H30" s="2140"/>
      <c r="I30" s="2140"/>
      <c r="J30" s="2140"/>
      <c r="K30" s="2140"/>
      <c r="L30" s="2140"/>
      <c r="M30" s="2140"/>
      <c r="N30" s="2140"/>
      <c r="O30" s="2140"/>
      <c r="P30" s="2140"/>
      <c r="Q30" s="2140"/>
      <c r="R30" s="2141"/>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2140"/>
      <c r="AP30" s="2140"/>
      <c r="AQ30" s="2140"/>
      <c r="AR30" s="2140"/>
      <c r="AS30" s="2140"/>
      <c r="AT30" s="2140"/>
      <c r="AU30" s="2140"/>
      <c r="AV30" s="2140"/>
      <c r="AW30" s="2140"/>
      <c r="AX30" s="2140"/>
      <c r="AY30" s="2140"/>
      <c r="AZ30" s="2140"/>
      <c r="BA30" s="2140"/>
      <c r="BB30" s="2140"/>
      <c r="BC30" s="2140"/>
      <c r="BD30" s="2140"/>
      <c r="BE30" s="2140"/>
      <c r="BF30" s="2140"/>
      <c r="BG30" s="2140"/>
      <c r="BH30" s="2140"/>
      <c r="BI30" s="2140"/>
    </row>
    <row r="31" spans="1:61" ht="13.15" customHeight="1">
      <c r="A31" s="2157"/>
      <c r="B31" s="78"/>
      <c r="C31" s="2138"/>
      <c r="D31" s="2167"/>
      <c r="E31" s="2168" t="s">
        <v>574</v>
      </c>
      <c r="H31" s="2140"/>
      <c r="I31" s="2140"/>
      <c r="J31" s="2140"/>
      <c r="K31" s="2140"/>
      <c r="L31" s="2140"/>
      <c r="M31" s="2140"/>
      <c r="N31" s="2140"/>
      <c r="O31" s="2140"/>
      <c r="P31" s="2140"/>
      <c r="Q31" s="2140"/>
      <c r="R31" s="2141"/>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2140"/>
      <c r="AP31" s="2140"/>
      <c r="AQ31" s="2140"/>
      <c r="AR31" s="2140"/>
      <c r="AS31" s="2140"/>
      <c r="AT31" s="2140"/>
      <c r="AU31" s="2140"/>
      <c r="AV31" s="2140"/>
      <c r="AW31" s="2140"/>
      <c r="AX31" s="2140"/>
      <c r="AY31" s="2140"/>
      <c r="AZ31" s="2140"/>
      <c r="BA31" s="2140"/>
      <c r="BB31" s="2140"/>
      <c r="BC31" s="2140"/>
      <c r="BD31" s="2140"/>
      <c r="BE31" s="2140"/>
      <c r="BF31" s="2140"/>
      <c r="BG31" s="2140"/>
      <c r="BH31" s="2140"/>
      <c r="BI31" s="2140"/>
    </row>
    <row r="32" spans="1:61" s="529" customFormat="1" ht="13.15" customHeight="1">
      <c r="A32" s="523"/>
      <c r="B32" s="224"/>
      <c r="C32" s="524"/>
      <c r="D32" s="2160"/>
      <c r="E32" s="525" t="str">
        <f>Substances!E$10</f>
        <v>Durée d'exposition considérée</v>
      </c>
      <c r="F32" s="525" t="str">
        <f>Substances!F$10</f>
        <v>t</v>
      </c>
      <c r="G32" s="526" t="str">
        <f>Substances!G$10</f>
        <v>an</v>
      </c>
      <c r="H32" s="527">
        <v>70</v>
      </c>
      <c r="I32" s="527">
        <v>70</v>
      </c>
      <c r="J32" s="527">
        <v>70</v>
      </c>
      <c r="K32" s="527">
        <v>70</v>
      </c>
      <c r="L32" s="527">
        <v>70</v>
      </c>
      <c r="M32" s="527">
        <v>70</v>
      </c>
      <c r="N32" s="527">
        <v>70</v>
      </c>
      <c r="O32" s="527">
        <v>70</v>
      </c>
      <c r="P32" s="527">
        <v>70</v>
      </c>
      <c r="Q32" s="527">
        <v>70</v>
      </c>
      <c r="R32" s="527">
        <v>70</v>
      </c>
      <c r="S32" s="527">
        <v>70</v>
      </c>
      <c r="T32" s="527">
        <v>70</v>
      </c>
      <c r="U32" s="527">
        <v>70</v>
      </c>
      <c r="V32" s="527">
        <v>70</v>
      </c>
      <c r="W32" s="527">
        <v>70</v>
      </c>
      <c r="X32" s="527">
        <v>70</v>
      </c>
      <c r="Y32" s="527">
        <v>70</v>
      </c>
      <c r="Z32" s="528">
        <v>70</v>
      </c>
      <c r="AA32" s="527">
        <v>70</v>
      </c>
      <c r="AB32" s="527">
        <v>70</v>
      </c>
      <c r="AC32" s="527">
        <v>70</v>
      </c>
      <c r="AD32" s="527">
        <v>70</v>
      </c>
      <c r="AE32" s="527">
        <v>70</v>
      </c>
      <c r="AF32" s="527">
        <v>70</v>
      </c>
      <c r="AG32" s="527">
        <v>70</v>
      </c>
      <c r="AH32" s="527">
        <v>70</v>
      </c>
      <c r="AI32" s="527">
        <v>70</v>
      </c>
      <c r="AJ32" s="527">
        <v>70</v>
      </c>
      <c r="AK32" s="527">
        <v>70</v>
      </c>
      <c r="AL32" s="527">
        <v>70</v>
      </c>
      <c r="AM32" s="527">
        <v>70</v>
      </c>
      <c r="AN32" s="527">
        <v>70</v>
      </c>
      <c r="AO32" s="527">
        <v>70</v>
      </c>
      <c r="AP32" s="527">
        <v>70</v>
      </c>
      <c r="AQ32" s="527">
        <v>70</v>
      </c>
      <c r="AR32" s="527">
        <v>70</v>
      </c>
      <c r="AS32" s="527">
        <v>70</v>
      </c>
      <c r="AT32" s="527">
        <v>70</v>
      </c>
      <c r="AU32" s="527">
        <v>70</v>
      </c>
      <c r="AV32" s="527">
        <v>70</v>
      </c>
      <c r="AW32" s="527">
        <v>70</v>
      </c>
      <c r="AX32" s="527">
        <v>70</v>
      </c>
      <c r="AY32" s="527">
        <v>70</v>
      </c>
      <c r="AZ32" s="527">
        <v>70</v>
      </c>
      <c r="BA32" s="527">
        <v>70</v>
      </c>
      <c r="BB32" s="527">
        <v>70</v>
      </c>
      <c r="BC32" s="527">
        <v>70</v>
      </c>
      <c r="BD32" s="527">
        <v>70</v>
      </c>
      <c r="BE32" s="527">
        <v>70</v>
      </c>
      <c r="BF32" s="527">
        <v>70</v>
      </c>
      <c r="BG32" s="527">
        <v>70</v>
      </c>
      <c r="BH32" s="527">
        <v>70</v>
      </c>
      <c r="BI32" s="527">
        <v>70</v>
      </c>
    </row>
    <row r="33" spans="1:61" s="529" customFormat="1" ht="13.15" customHeight="1">
      <c r="A33" s="523"/>
      <c r="B33" s="224"/>
      <c r="C33" s="524"/>
      <c r="D33" s="2160"/>
      <c r="E33" s="525" t="str">
        <f>E32</f>
        <v>Durée d'exposition considérée</v>
      </c>
      <c r="F33" s="525" t="str">
        <f>F32</f>
        <v>t</v>
      </c>
      <c r="G33" s="526" t="s">
        <v>294</v>
      </c>
      <c r="H33" s="2161">
        <f t="shared" ref="H33:AL33" si="11">H32*365*24*3600</f>
        <v>2207520000</v>
      </c>
      <c r="I33" s="2161">
        <f t="shared" si="11"/>
        <v>2207520000</v>
      </c>
      <c r="J33" s="2161">
        <f>J32*365*24*3600</f>
        <v>2207520000</v>
      </c>
      <c r="K33" s="2161">
        <f t="shared" si="11"/>
        <v>2207520000</v>
      </c>
      <c r="L33" s="2161">
        <f t="shared" si="11"/>
        <v>2207520000</v>
      </c>
      <c r="M33" s="2161">
        <f t="shared" si="11"/>
        <v>2207520000</v>
      </c>
      <c r="N33" s="2161">
        <f>N32*365*24*3600</f>
        <v>2207520000</v>
      </c>
      <c r="O33" s="2161">
        <f>O32*365*24*3600</f>
        <v>2207520000</v>
      </c>
      <c r="P33" s="2161">
        <f t="shared" si="11"/>
        <v>2207520000</v>
      </c>
      <c r="Q33" s="2161">
        <f t="shared" si="11"/>
        <v>2207520000</v>
      </c>
      <c r="R33" s="2161">
        <f>R32*365*24*3600</f>
        <v>2207520000</v>
      </c>
      <c r="S33" s="2161">
        <f>S32*365*24*3600</f>
        <v>2207520000</v>
      </c>
      <c r="T33" s="2161">
        <f>T32*365*24*3600</f>
        <v>2207520000</v>
      </c>
      <c r="U33" s="2161">
        <f t="shared" si="11"/>
        <v>2207520000</v>
      </c>
      <c r="V33" s="2161">
        <f t="shared" si="11"/>
        <v>2207520000</v>
      </c>
      <c r="W33" s="2161">
        <f t="shared" si="11"/>
        <v>2207520000</v>
      </c>
      <c r="X33" s="2161">
        <f t="shared" si="11"/>
        <v>2207520000</v>
      </c>
      <c r="Y33" s="2161">
        <f t="shared" si="11"/>
        <v>2207520000</v>
      </c>
      <c r="Z33" s="2161">
        <f t="shared" si="11"/>
        <v>2207520000</v>
      </c>
      <c r="AA33" s="2161">
        <f t="shared" si="11"/>
        <v>2207520000</v>
      </c>
      <c r="AB33" s="2161">
        <f t="shared" si="11"/>
        <v>2207520000</v>
      </c>
      <c r="AC33" s="2161">
        <f t="shared" si="11"/>
        <v>2207520000</v>
      </c>
      <c r="AD33" s="2161">
        <f t="shared" si="11"/>
        <v>2207520000</v>
      </c>
      <c r="AE33" s="2161">
        <f t="shared" si="11"/>
        <v>2207520000</v>
      </c>
      <c r="AF33" s="2161">
        <f t="shared" si="11"/>
        <v>2207520000</v>
      </c>
      <c r="AG33" s="2161">
        <f t="shared" si="11"/>
        <v>2207520000</v>
      </c>
      <c r="AH33" s="2161">
        <f t="shared" si="11"/>
        <v>2207520000</v>
      </c>
      <c r="AI33" s="2161">
        <f t="shared" si="11"/>
        <v>2207520000</v>
      </c>
      <c r="AJ33" s="2161">
        <f t="shared" si="11"/>
        <v>2207520000</v>
      </c>
      <c r="AK33" s="2161">
        <f t="shared" si="11"/>
        <v>2207520000</v>
      </c>
      <c r="AL33" s="2161">
        <f t="shared" si="11"/>
        <v>2207520000</v>
      </c>
      <c r="AM33" s="2161">
        <f t="shared" ref="AM33:BI33" si="12">AM32*365*24*3600</f>
        <v>2207520000</v>
      </c>
      <c r="AN33" s="2161">
        <f t="shared" si="12"/>
        <v>2207520000</v>
      </c>
      <c r="AO33" s="2161">
        <f t="shared" si="12"/>
        <v>2207520000</v>
      </c>
      <c r="AP33" s="2161">
        <f t="shared" si="12"/>
        <v>2207520000</v>
      </c>
      <c r="AQ33" s="2161">
        <f t="shared" si="12"/>
        <v>2207520000</v>
      </c>
      <c r="AR33" s="2161">
        <f t="shared" si="12"/>
        <v>2207520000</v>
      </c>
      <c r="AS33" s="2161">
        <f t="shared" si="12"/>
        <v>2207520000</v>
      </c>
      <c r="AT33" s="2161">
        <f t="shared" si="12"/>
        <v>2207520000</v>
      </c>
      <c r="AU33" s="2161">
        <f t="shared" si="12"/>
        <v>2207520000</v>
      </c>
      <c r="AV33" s="2161">
        <f t="shared" si="12"/>
        <v>2207520000</v>
      </c>
      <c r="AW33" s="2161">
        <f t="shared" si="12"/>
        <v>2207520000</v>
      </c>
      <c r="AX33" s="2161">
        <f t="shared" si="12"/>
        <v>2207520000</v>
      </c>
      <c r="AY33" s="2161">
        <f t="shared" si="12"/>
        <v>2207520000</v>
      </c>
      <c r="AZ33" s="2161">
        <f t="shared" si="12"/>
        <v>2207520000</v>
      </c>
      <c r="BA33" s="2161">
        <f t="shared" si="12"/>
        <v>2207520000</v>
      </c>
      <c r="BB33" s="2161">
        <f t="shared" si="12"/>
        <v>2207520000</v>
      </c>
      <c r="BC33" s="2161">
        <f t="shared" si="12"/>
        <v>2207520000</v>
      </c>
      <c r="BD33" s="2161">
        <f t="shared" si="12"/>
        <v>2207520000</v>
      </c>
      <c r="BE33" s="2161">
        <f t="shared" si="12"/>
        <v>2207520000</v>
      </c>
      <c r="BF33" s="2161">
        <f t="shared" si="12"/>
        <v>2207520000</v>
      </c>
      <c r="BG33" s="2161">
        <f t="shared" si="12"/>
        <v>2207520000</v>
      </c>
      <c r="BH33" s="2161">
        <f t="shared" si="12"/>
        <v>2207520000</v>
      </c>
      <c r="BI33" s="2161">
        <f t="shared" si="12"/>
        <v>2207520000</v>
      </c>
    </row>
    <row r="34" spans="1:61" ht="25.5">
      <c r="A34" s="2157"/>
      <c r="B34" s="2158"/>
      <c r="C34" s="2158"/>
      <c r="D34" s="2160"/>
      <c r="E34" s="2162" t="s">
        <v>569</v>
      </c>
      <c r="F34" s="2162" t="s">
        <v>138</v>
      </c>
      <c r="G34" s="2163" t="s">
        <v>139</v>
      </c>
      <c r="H34" s="2164">
        <f t="shared" ref="H34:AL34" si="13">1000*H$14/H$13*H$12/H33</f>
        <v>7.7376852016212191E-4</v>
      </c>
      <c r="I34" s="2165">
        <f t="shared" si="13"/>
        <v>7.7376852016212191E-4</v>
      </c>
      <c r="J34" s="2165">
        <f>1000*J$14/J$13*J$12/J33</f>
        <v>1.1786794409861001E-4</v>
      </c>
      <c r="K34" s="2165">
        <f t="shared" si="13"/>
        <v>5.2902171175928501E-7</v>
      </c>
      <c r="L34" s="2165">
        <f t="shared" si="13"/>
        <v>2.8295067381853387E-6</v>
      </c>
      <c r="M34" s="2165">
        <f t="shared" si="13"/>
        <v>2.8295067381853387E-6</v>
      </c>
      <c r="N34" s="2166">
        <f>1000*N$14/N$13*N$12/N33</f>
        <v>1.4346139545526303E-6</v>
      </c>
      <c r="O34" s="2166">
        <f>1000*O$14/O$13*O$12/O33</f>
        <v>1.4346139545526303E-6</v>
      </c>
      <c r="P34" s="2165">
        <f t="shared" si="13"/>
        <v>1.314060609926401E-6</v>
      </c>
      <c r="Q34" s="2165">
        <f t="shared" si="13"/>
        <v>1.314060609926401E-6</v>
      </c>
      <c r="R34" s="2165">
        <f>1000*R$14/R$13*R$12/R33</f>
        <v>3.2690306132254255E-6</v>
      </c>
      <c r="S34" s="2166">
        <f>1000*S$14/S$13*S$12/S33</f>
        <v>3.4844542528148829E-6</v>
      </c>
      <c r="T34" s="2166">
        <f>1000*T$14/T$13*T$12/T33</f>
        <v>3.4844542528148829E-6</v>
      </c>
      <c r="U34" s="2165">
        <f t="shared" si="13"/>
        <v>7.4012034741639221E-7</v>
      </c>
      <c r="V34" s="2165">
        <f t="shared" si="13"/>
        <v>4.5217474353963014E-7</v>
      </c>
      <c r="W34" s="2166">
        <f t="shared" si="13"/>
        <v>4.5217474353963014E-7</v>
      </c>
      <c r="X34" s="2166">
        <f t="shared" si="13"/>
        <v>2.3570226331696212E-6</v>
      </c>
      <c r="Y34" s="2166">
        <f t="shared" si="13"/>
        <v>3.4008978950141175E-6</v>
      </c>
      <c r="Z34" s="2166">
        <f t="shared" si="13"/>
        <v>5.7426538677291316E-6</v>
      </c>
      <c r="AA34" s="2166">
        <f t="shared" si="13"/>
        <v>8.560141574144568E-6</v>
      </c>
      <c r="AB34" s="2166">
        <f t="shared" si="13"/>
        <v>7.5688436251191195E-6</v>
      </c>
      <c r="AC34" s="2166">
        <f t="shared" si="13"/>
        <v>3.8787834770605911E-5</v>
      </c>
      <c r="AD34" s="2166">
        <f t="shared" si="13"/>
        <v>1.9816675960137716E-4</v>
      </c>
      <c r="AE34" s="2166">
        <f t="shared" si="13"/>
        <v>1.5892459899309215E-3</v>
      </c>
      <c r="AF34" s="2166">
        <f t="shared" si="13"/>
        <v>0.383436182121692</v>
      </c>
      <c r="AG34" s="2166">
        <f t="shared" si="13"/>
        <v>3.291020261357222E-7</v>
      </c>
      <c r="AH34" s="2166">
        <f t="shared" si="13"/>
        <v>4.3954141004301113E-7</v>
      </c>
      <c r="AI34" s="2166">
        <f t="shared" si="13"/>
        <v>1.0809782850641064E-6</v>
      </c>
      <c r="AJ34" s="2166">
        <f t="shared" si="13"/>
        <v>4.5411022858959111E-6</v>
      </c>
      <c r="AK34" s="2166">
        <f t="shared" si="13"/>
        <v>1.991969539889811E-5</v>
      </c>
      <c r="AL34" s="2166">
        <f t="shared" si="13"/>
        <v>2.6276126373975885E-4</v>
      </c>
      <c r="AM34" s="2166">
        <f t="shared" ref="AM34:BI34" si="14">1000*AM$14/AM$13*AM$12/AM33</f>
        <v>3.7958669099183363E-2</v>
      </c>
      <c r="AN34" s="2166">
        <f t="shared" si="14"/>
        <v>4.7689403042683499E-4</v>
      </c>
      <c r="AO34" s="2166">
        <f t="shared" si="14"/>
        <v>1.7461143277908949E-3</v>
      </c>
      <c r="AP34" s="2166">
        <f t="shared" si="14"/>
        <v>1.0437333848808891E-3</v>
      </c>
      <c r="AQ34" s="2166">
        <f t="shared" si="14"/>
        <v>2.5776686835968835E-3</v>
      </c>
      <c r="AR34" s="2166">
        <f t="shared" si="14"/>
        <v>1.2874378183773771E-2</v>
      </c>
      <c r="AS34" s="2166">
        <f t="shared" si="14"/>
        <v>9.9676220373994349E-3</v>
      </c>
      <c r="AT34" s="2166">
        <f t="shared" si="14"/>
        <v>0.13655117458544577</v>
      </c>
      <c r="AU34" s="2166">
        <f t="shared" si="14"/>
        <v>0.1419434107320881</v>
      </c>
      <c r="AV34" s="2166">
        <f t="shared" si="14"/>
        <v>0.88973289669065914</v>
      </c>
      <c r="AW34" s="2166">
        <f t="shared" si="14"/>
        <v>0.92335921456355241</v>
      </c>
      <c r="AX34" s="2166">
        <f t="shared" si="14"/>
        <v>26.233156355668925</v>
      </c>
      <c r="AY34" s="2166">
        <f t="shared" si="14"/>
        <v>38.224254164655527</v>
      </c>
      <c r="AZ34" s="2166">
        <f t="shared" si="14"/>
        <v>57.240588370970684</v>
      </c>
      <c r="BA34" s="2166">
        <f t="shared" si="14"/>
        <v>331.42561113607763</v>
      </c>
      <c r="BB34" s="2166">
        <f t="shared" si="14"/>
        <v>20.932051076356821</v>
      </c>
      <c r="BC34" s="2166">
        <f t="shared" si="14"/>
        <v>78795222.233777195</v>
      </c>
      <c r="BD34" s="2166">
        <f t="shared" si="14"/>
        <v>2.1791006267907215E-2</v>
      </c>
      <c r="BE34" s="2166">
        <f t="shared" si="14"/>
        <v>0.98180366354510773</v>
      </c>
      <c r="BF34" s="2166">
        <f t="shared" si="14"/>
        <v>0.98180366354510773</v>
      </c>
      <c r="BG34" s="2166">
        <f t="shared" si="14"/>
        <v>5.4064998181118143E-7</v>
      </c>
      <c r="BH34" s="2166">
        <f t="shared" si="14"/>
        <v>1.6386821292655552E-2</v>
      </c>
      <c r="BI34" s="2166">
        <f t="shared" si="14"/>
        <v>2.1178787173638004E-3</v>
      </c>
    </row>
    <row r="35" spans="1:61" ht="13.15" customHeight="1">
      <c r="A35" s="2157"/>
      <c r="B35" s="78"/>
      <c r="C35" s="2138"/>
      <c r="D35" s="2167"/>
      <c r="H35" s="2140"/>
      <c r="I35" s="2140"/>
      <c r="J35" s="2140"/>
      <c r="K35" s="2140"/>
      <c r="L35" s="2140"/>
      <c r="M35" s="2140"/>
      <c r="N35" s="2140"/>
      <c r="O35" s="2140"/>
      <c r="P35" s="2140"/>
      <c r="Q35" s="2140"/>
      <c r="R35" s="2141"/>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2140"/>
      <c r="AP35" s="2140"/>
      <c r="AQ35" s="2140"/>
      <c r="AR35" s="2140"/>
      <c r="AS35" s="2140"/>
      <c r="AT35" s="2140"/>
      <c r="AU35" s="2140"/>
      <c r="AV35" s="2140"/>
      <c r="AW35" s="2140"/>
      <c r="AX35" s="2140"/>
      <c r="AY35" s="2140"/>
      <c r="AZ35" s="2140"/>
      <c r="BA35" s="2140"/>
      <c r="BB35" s="2140"/>
      <c r="BC35" s="2140"/>
      <c r="BD35" s="2140"/>
      <c r="BE35" s="2140"/>
      <c r="BF35" s="2140"/>
      <c r="BG35" s="2140"/>
      <c r="BH35" s="2140"/>
      <c r="BI35" s="2140"/>
    </row>
    <row r="36" spans="1:61" ht="13.15" customHeight="1">
      <c r="A36" s="2157"/>
      <c r="B36" s="78"/>
      <c r="C36" s="2138"/>
      <c r="D36" s="2167"/>
      <c r="E36" s="2168" t="s">
        <v>584</v>
      </c>
      <c r="H36" s="2140"/>
      <c r="I36" s="2140"/>
      <c r="J36" s="2140"/>
      <c r="K36" s="2140"/>
      <c r="L36" s="2140"/>
      <c r="M36" s="2140"/>
      <c r="N36" s="2140"/>
      <c r="O36" s="2140"/>
      <c r="P36" s="2140"/>
      <c r="Q36" s="2140"/>
      <c r="R36" s="2141"/>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c r="AS36" s="2140"/>
      <c r="AT36" s="2140"/>
      <c r="AU36" s="2140"/>
      <c r="AV36" s="2140"/>
      <c r="AW36" s="2140"/>
      <c r="AX36" s="2140"/>
      <c r="AY36" s="2140"/>
      <c r="AZ36" s="2140"/>
      <c r="BA36" s="2140"/>
      <c r="BB36" s="2140"/>
      <c r="BC36" s="2140"/>
      <c r="BD36" s="2140"/>
      <c r="BE36" s="2140"/>
      <c r="BF36" s="2140"/>
      <c r="BG36" s="2140"/>
      <c r="BH36" s="2140"/>
      <c r="BI36" s="2140"/>
    </row>
    <row r="37" spans="1:61" s="529" customFormat="1" ht="13.15" customHeight="1">
      <c r="A37" s="523"/>
      <c r="B37" s="224"/>
      <c r="C37" s="524"/>
      <c r="D37" s="2160"/>
      <c r="E37" s="525" t="str">
        <f>Substances!E$10</f>
        <v>Durée d'exposition considérée</v>
      </c>
      <c r="F37" s="525" t="str">
        <f>Substances!F$10</f>
        <v>t</v>
      </c>
      <c r="G37" s="526" t="str">
        <f>Substances!G$10</f>
        <v>an</v>
      </c>
      <c r="H37" s="527">
        <f>FEM!$E22</f>
        <v>40</v>
      </c>
      <c r="I37" s="527">
        <f>FEM!$E22</f>
        <v>40</v>
      </c>
      <c r="J37" s="527">
        <f>FEM!$E22</f>
        <v>40</v>
      </c>
      <c r="K37" s="527">
        <f>FEM!$E22</f>
        <v>40</v>
      </c>
      <c r="L37" s="527">
        <f>FEM!$E22</f>
        <v>40</v>
      </c>
      <c r="M37" s="527">
        <f>FEM!$E22</f>
        <v>40</v>
      </c>
      <c r="N37" s="527">
        <f>FEM!$E22</f>
        <v>40</v>
      </c>
      <c r="O37" s="527">
        <f>FEM!$E22</f>
        <v>40</v>
      </c>
      <c r="P37" s="527">
        <f>FEM!$E22</f>
        <v>40</v>
      </c>
      <c r="Q37" s="527">
        <f>FEM!$E22</f>
        <v>40</v>
      </c>
      <c r="R37" s="527">
        <f>FEM!$E22</f>
        <v>40</v>
      </c>
      <c r="S37" s="527">
        <f>FEM!$E22</f>
        <v>40</v>
      </c>
      <c r="T37" s="527">
        <f>FEM!$E22</f>
        <v>40</v>
      </c>
      <c r="U37" s="527">
        <f>FEM!$E22</f>
        <v>40</v>
      </c>
      <c r="V37" s="527">
        <f>FEM!$E22</f>
        <v>40</v>
      </c>
      <c r="W37" s="527">
        <f>FEM!$E22</f>
        <v>40</v>
      </c>
      <c r="X37" s="527">
        <f>FEM!$E22</f>
        <v>40</v>
      </c>
      <c r="Y37" s="527">
        <f>FEM!$E22</f>
        <v>40</v>
      </c>
      <c r="Z37" s="528">
        <f>FEM!$E22</f>
        <v>40</v>
      </c>
      <c r="AA37" s="527">
        <f>FEM!$E22</f>
        <v>40</v>
      </c>
      <c r="AB37" s="527">
        <f>FEM!$E22</f>
        <v>40</v>
      </c>
      <c r="AC37" s="527">
        <f>FEM!$E22</f>
        <v>40</v>
      </c>
      <c r="AD37" s="527">
        <f>FEM!$E22</f>
        <v>40</v>
      </c>
      <c r="AE37" s="527">
        <f>FEM!$E22</f>
        <v>40</v>
      </c>
      <c r="AF37" s="527">
        <f>FEM!$E22</f>
        <v>40</v>
      </c>
      <c r="AG37" s="527">
        <f>FEM!$E22</f>
        <v>40</v>
      </c>
      <c r="AH37" s="527">
        <f>FEM!$E22</f>
        <v>40</v>
      </c>
      <c r="AI37" s="527">
        <f>FEM!$E22</f>
        <v>40</v>
      </c>
      <c r="AJ37" s="527">
        <f>FEM!$E22</f>
        <v>40</v>
      </c>
      <c r="AK37" s="527">
        <f>FEM!$E22</f>
        <v>40</v>
      </c>
      <c r="AL37" s="527">
        <f>FEM!$E22</f>
        <v>40</v>
      </c>
      <c r="AM37" s="527">
        <f>FEM!$E22</f>
        <v>40</v>
      </c>
      <c r="AN37" s="527">
        <f>FEM!$E22</f>
        <v>40</v>
      </c>
      <c r="AO37" s="527">
        <f>FEM!$E22</f>
        <v>40</v>
      </c>
      <c r="AP37" s="527">
        <f>FEM!$E22</f>
        <v>40</v>
      </c>
      <c r="AQ37" s="527">
        <f>FEM!$E22</f>
        <v>40</v>
      </c>
      <c r="AR37" s="527">
        <f>FEM!$E22</f>
        <v>40</v>
      </c>
      <c r="AS37" s="527">
        <f>FEM!$E22</f>
        <v>40</v>
      </c>
      <c r="AT37" s="527">
        <f>FEM!$E22</f>
        <v>40</v>
      </c>
      <c r="AU37" s="527">
        <f>FEM!$E22</f>
        <v>40</v>
      </c>
      <c r="AV37" s="527">
        <f>FEM!$E22</f>
        <v>40</v>
      </c>
      <c r="AW37" s="527">
        <f>FEM!$E22</f>
        <v>40</v>
      </c>
      <c r="AX37" s="527">
        <f>FEM!$E22</f>
        <v>40</v>
      </c>
      <c r="AY37" s="527">
        <f>FEM!$E22</f>
        <v>40</v>
      </c>
      <c r="AZ37" s="527">
        <f>FEM!$E22</f>
        <v>40</v>
      </c>
      <c r="BA37" s="527">
        <f>FEM!$E22</f>
        <v>40</v>
      </c>
      <c r="BB37" s="527">
        <f>FEM!$E22</f>
        <v>40</v>
      </c>
      <c r="BC37" s="527">
        <f>FEM!$E22</f>
        <v>40</v>
      </c>
      <c r="BD37" s="527">
        <f>FEM!$E22</f>
        <v>40</v>
      </c>
      <c r="BE37" s="527">
        <f>FEM!$E22</f>
        <v>40</v>
      </c>
      <c r="BF37" s="527">
        <f>FEM!$E22</f>
        <v>40</v>
      </c>
      <c r="BG37" s="527">
        <f>FEM!$E22</f>
        <v>40</v>
      </c>
      <c r="BH37" s="527">
        <f>FEM!$E22</f>
        <v>40</v>
      </c>
      <c r="BI37" s="527">
        <f>FEM!$E22</f>
        <v>40</v>
      </c>
    </row>
    <row r="38" spans="1:61" s="529" customFormat="1" ht="13.15" customHeight="1">
      <c r="A38" s="523"/>
      <c r="B38" s="224"/>
      <c r="C38" s="524"/>
      <c r="D38" s="2160"/>
      <c r="E38" s="525" t="str">
        <f>E37</f>
        <v>Durée d'exposition considérée</v>
      </c>
      <c r="F38" s="525" t="str">
        <f>F37</f>
        <v>t</v>
      </c>
      <c r="G38" s="526" t="s">
        <v>294</v>
      </c>
      <c r="H38" s="2161">
        <f t="shared" ref="H38:BI38" si="15">H37*365*24*3600</f>
        <v>1261440000</v>
      </c>
      <c r="I38" s="2161">
        <f t="shared" si="15"/>
        <v>1261440000</v>
      </c>
      <c r="J38" s="2161">
        <f>J37*365*24*3600</f>
        <v>1261440000</v>
      </c>
      <c r="K38" s="2161">
        <f t="shared" si="15"/>
        <v>1261440000</v>
      </c>
      <c r="L38" s="2161">
        <f t="shared" si="15"/>
        <v>1261440000</v>
      </c>
      <c r="M38" s="2161">
        <f t="shared" si="15"/>
        <v>1261440000</v>
      </c>
      <c r="N38" s="2161">
        <f>N37*365*24*3600</f>
        <v>1261440000</v>
      </c>
      <c r="O38" s="2161">
        <f>O37*365*24*3600</f>
        <v>1261440000</v>
      </c>
      <c r="P38" s="2161">
        <f t="shared" si="15"/>
        <v>1261440000</v>
      </c>
      <c r="Q38" s="2161">
        <f t="shared" si="15"/>
        <v>1261440000</v>
      </c>
      <c r="R38" s="2161">
        <f>R37*365*24*3600</f>
        <v>1261440000</v>
      </c>
      <c r="S38" s="2161">
        <f>S37*365*24*3600</f>
        <v>1261440000</v>
      </c>
      <c r="T38" s="2161">
        <f>T37*365*24*3600</f>
        <v>1261440000</v>
      </c>
      <c r="U38" s="2161">
        <f t="shared" si="15"/>
        <v>1261440000</v>
      </c>
      <c r="V38" s="2161">
        <f t="shared" si="15"/>
        <v>1261440000</v>
      </c>
      <c r="W38" s="2161">
        <f t="shared" si="15"/>
        <v>1261440000</v>
      </c>
      <c r="X38" s="2161">
        <f t="shared" si="15"/>
        <v>1261440000</v>
      </c>
      <c r="Y38" s="2161">
        <f t="shared" si="15"/>
        <v>1261440000</v>
      </c>
      <c r="Z38" s="2161">
        <f t="shared" si="15"/>
        <v>1261440000</v>
      </c>
      <c r="AA38" s="2161">
        <f t="shared" si="15"/>
        <v>1261440000</v>
      </c>
      <c r="AB38" s="2161">
        <f t="shared" si="15"/>
        <v>1261440000</v>
      </c>
      <c r="AC38" s="2161">
        <f t="shared" si="15"/>
        <v>1261440000</v>
      </c>
      <c r="AD38" s="2161">
        <f t="shared" si="15"/>
        <v>1261440000</v>
      </c>
      <c r="AE38" s="2161">
        <f t="shared" si="15"/>
        <v>1261440000</v>
      </c>
      <c r="AF38" s="2161">
        <f t="shared" si="15"/>
        <v>1261440000</v>
      </c>
      <c r="AG38" s="2161">
        <f t="shared" si="15"/>
        <v>1261440000</v>
      </c>
      <c r="AH38" s="2161">
        <f t="shared" si="15"/>
        <v>1261440000</v>
      </c>
      <c r="AI38" s="2161">
        <f t="shared" si="15"/>
        <v>1261440000</v>
      </c>
      <c r="AJ38" s="2161">
        <f t="shared" si="15"/>
        <v>1261440000</v>
      </c>
      <c r="AK38" s="2161">
        <f t="shared" si="15"/>
        <v>1261440000</v>
      </c>
      <c r="AL38" s="2161">
        <f t="shared" si="15"/>
        <v>1261440000</v>
      </c>
      <c r="AM38" s="2161">
        <f t="shared" si="15"/>
        <v>1261440000</v>
      </c>
      <c r="AN38" s="2161">
        <f t="shared" si="15"/>
        <v>1261440000</v>
      </c>
      <c r="AO38" s="2161">
        <f t="shared" si="15"/>
        <v>1261440000</v>
      </c>
      <c r="AP38" s="2161">
        <f t="shared" si="15"/>
        <v>1261440000</v>
      </c>
      <c r="AQ38" s="2161">
        <f t="shared" si="15"/>
        <v>1261440000</v>
      </c>
      <c r="AR38" s="2161">
        <f t="shared" si="15"/>
        <v>1261440000</v>
      </c>
      <c r="AS38" s="2161">
        <f t="shared" si="15"/>
        <v>1261440000</v>
      </c>
      <c r="AT38" s="2161">
        <f t="shared" si="15"/>
        <v>1261440000</v>
      </c>
      <c r="AU38" s="2161">
        <f t="shared" si="15"/>
        <v>1261440000</v>
      </c>
      <c r="AV38" s="2161">
        <f t="shared" si="15"/>
        <v>1261440000</v>
      </c>
      <c r="AW38" s="2161">
        <f t="shared" si="15"/>
        <v>1261440000</v>
      </c>
      <c r="AX38" s="2161">
        <f t="shared" si="15"/>
        <v>1261440000</v>
      </c>
      <c r="AY38" s="2161">
        <f t="shared" si="15"/>
        <v>1261440000</v>
      </c>
      <c r="AZ38" s="2161">
        <f t="shared" si="15"/>
        <v>1261440000</v>
      </c>
      <c r="BA38" s="2161">
        <f t="shared" si="15"/>
        <v>1261440000</v>
      </c>
      <c r="BB38" s="2161">
        <f t="shared" si="15"/>
        <v>1261440000</v>
      </c>
      <c r="BC38" s="2161">
        <f t="shared" si="15"/>
        <v>1261440000</v>
      </c>
      <c r="BD38" s="2161">
        <f t="shared" si="15"/>
        <v>1261440000</v>
      </c>
      <c r="BE38" s="2161">
        <f t="shared" si="15"/>
        <v>1261440000</v>
      </c>
      <c r="BF38" s="2161">
        <f t="shared" si="15"/>
        <v>1261440000</v>
      </c>
      <c r="BG38" s="2161">
        <f t="shared" si="15"/>
        <v>1261440000</v>
      </c>
      <c r="BH38" s="2161">
        <f t="shared" si="15"/>
        <v>1261440000</v>
      </c>
      <c r="BI38" s="2161">
        <f t="shared" si="15"/>
        <v>1261440000</v>
      </c>
    </row>
    <row r="39" spans="1:61" s="2177" customFormat="1" ht="26.25" thickBot="1">
      <c r="A39" s="2169"/>
      <c r="B39" s="2170"/>
      <c r="C39" s="2170"/>
      <c r="D39" s="2171"/>
      <c r="E39" s="2172" t="s">
        <v>569</v>
      </c>
      <c r="F39" s="2172" t="s">
        <v>138</v>
      </c>
      <c r="G39" s="2173" t="s">
        <v>139</v>
      </c>
      <c r="H39" s="2174">
        <f t="shared" ref="H39:BI39" si="16">1000*H$14/H$13*H$12/H38</f>
        <v>1.3540949102837133E-3</v>
      </c>
      <c r="I39" s="2175">
        <f t="shared" si="16"/>
        <v>1.3540949102837133E-3</v>
      </c>
      <c r="J39" s="2175">
        <f>1000*J$14/J$13*J$12/J38</f>
        <v>2.0626890217256754E-4</v>
      </c>
      <c r="K39" s="2175">
        <f t="shared" si="16"/>
        <v>9.2578799557874888E-7</v>
      </c>
      <c r="L39" s="2175">
        <f t="shared" si="16"/>
        <v>4.9516367918243421E-6</v>
      </c>
      <c r="M39" s="2175">
        <f t="shared" si="16"/>
        <v>4.9516367918243421E-6</v>
      </c>
      <c r="N39" s="2176">
        <f>1000*N$14/N$13*N$12/N38</f>
        <v>2.5105744204671032E-6</v>
      </c>
      <c r="O39" s="2176">
        <f>1000*O$14/O$13*O$12/O38</f>
        <v>2.5105744204671032E-6</v>
      </c>
      <c r="P39" s="2175">
        <f t="shared" si="16"/>
        <v>2.2996060673712017E-6</v>
      </c>
      <c r="Q39" s="2175">
        <f t="shared" si="16"/>
        <v>2.2996060673712017E-6</v>
      </c>
      <c r="R39" s="2175">
        <f>1000*R$14/R$13*R$12/R38</f>
        <v>5.720803573144495E-6</v>
      </c>
      <c r="S39" s="2176">
        <f>1000*S$14/S$13*S$12/S38</f>
        <v>6.0977949424260457E-6</v>
      </c>
      <c r="T39" s="2176">
        <f>1000*T$14/T$13*T$12/T38</f>
        <v>6.0977949424260457E-6</v>
      </c>
      <c r="U39" s="2175">
        <f t="shared" si="16"/>
        <v>1.2952106079786864E-6</v>
      </c>
      <c r="V39" s="2175">
        <f t="shared" si="16"/>
        <v>7.9130580119435269E-7</v>
      </c>
      <c r="W39" s="2176">
        <f t="shared" si="16"/>
        <v>7.9130580119435269E-7</v>
      </c>
      <c r="X39" s="2176">
        <f t="shared" si="16"/>
        <v>4.124789608046837E-6</v>
      </c>
      <c r="Y39" s="2176">
        <f t="shared" si="16"/>
        <v>5.9515713162747051E-6</v>
      </c>
      <c r="Z39" s="2176">
        <f t="shared" si="16"/>
        <v>1.004964426852598E-5</v>
      </c>
      <c r="AA39" s="2176">
        <f t="shared" si="16"/>
        <v>1.4980247754752993E-5</v>
      </c>
      <c r="AB39" s="2176">
        <f t="shared" si="16"/>
        <v>1.3245476343958458E-5</v>
      </c>
      <c r="AC39" s="2176">
        <f t="shared" si="16"/>
        <v>6.7878710848560343E-5</v>
      </c>
      <c r="AD39" s="2176">
        <f t="shared" si="16"/>
        <v>3.4679182930241005E-4</v>
      </c>
      <c r="AE39" s="2176">
        <f t="shared" si="16"/>
        <v>2.7811804823791126E-3</v>
      </c>
      <c r="AF39" s="2176">
        <f t="shared" si="16"/>
        <v>0.67101331871296099</v>
      </c>
      <c r="AG39" s="2176">
        <f t="shared" si="16"/>
        <v>5.7592854573751388E-7</v>
      </c>
      <c r="AH39" s="2176">
        <f t="shared" si="16"/>
        <v>7.6919746757526942E-7</v>
      </c>
      <c r="AI39" s="2176">
        <f t="shared" si="16"/>
        <v>1.8917119988621861E-6</v>
      </c>
      <c r="AJ39" s="2176">
        <f t="shared" si="16"/>
        <v>7.9469290003178434E-6</v>
      </c>
      <c r="AK39" s="2176">
        <f t="shared" si="16"/>
        <v>3.4859466948071687E-5</v>
      </c>
      <c r="AL39" s="2176">
        <f t="shared" si="16"/>
        <v>4.59832211544578E-4</v>
      </c>
      <c r="AM39" s="2176">
        <f t="shared" si="16"/>
        <v>6.6427670923570881E-2</v>
      </c>
      <c r="AN39" s="2176">
        <f t="shared" si="16"/>
        <v>8.3456455324696125E-4</v>
      </c>
      <c r="AO39" s="2176">
        <f t="shared" si="16"/>
        <v>3.055700073634066E-3</v>
      </c>
      <c r="AP39" s="2176">
        <f t="shared" si="16"/>
        <v>1.826533423541556E-3</v>
      </c>
      <c r="AQ39" s="2176">
        <f t="shared" si="16"/>
        <v>4.5109201962945464E-3</v>
      </c>
      <c r="AR39" s="2176">
        <f t="shared" si="16"/>
        <v>2.2530161821604101E-2</v>
      </c>
      <c r="AS39" s="2176">
        <f t="shared" si="16"/>
        <v>1.744333856544901E-2</v>
      </c>
      <c r="AT39" s="2176">
        <f t="shared" si="16"/>
        <v>0.23896455552453011</v>
      </c>
      <c r="AU39" s="2176">
        <f t="shared" si="16"/>
        <v>0.24840096878115417</v>
      </c>
      <c r="AV39" s="2176">
        <f t="shared" si="16"/>
        <v>1.5570325692086535</v>
      </c>
      <c r="AW39" s="2176">
        <f t="shared" si="16"/>
        <v>1.6158786254862167</v>
      </c>
      <c r="AX39" s="2176">
        <f t="shared" si="16"/>
        <v>45.908023622420622</v>
      </c>
      <c r="AY39" s="2176">
        <f t="shared" si="16"/>
        <v>66.892444788147174</v>
      </c>
      <c r="AZ39" s="2176">
        <f t="shared" si="16"/>
        <v>100.1710296491987</v>
      </c>
      <c r="BA39" s="2176">
        <f t="shared" si="16"/>
        <v>579.99481948813593</v>
      </c>
      <c r="BB39" s="2176">
        <f t="shared" si="16"/>
        <v>36.631089383624435</v>
      </c>
      <c r="BC39" s="2176">
        <f t="shared" si="16"/>
        <v>137891638.9091101</v>
      </c>
      <c r="BD39" s="2176">
        <f t="shared" si="16"/>
        <v>3.8134260968837624E-2</v>
      </c>
      <c r="BE39" s="2176">
        <f t="shared" si="16"/>
        <v>1.7181564112039387</v>
      </c>
      <c r="BF39" s="2176">
        <f t="shared" si="16"/>
        <v>1.7181564112039387</v>
      </c>
      <c r="BG39" s="2176">
        <f t="shared" si="16"/>
        <v>9.4613746816956763E-7</v>
      </c>
      <c r="BH39" s="2176">
        <f t="shared" si="16"/>
        <v>2.8676937262147213E-2</v>
      </c>
      <c r="BI39" s="2176">
        <f t="shared" si="16"/>
        <v>3.7062877553866507E-3</v>
      </c>
    </row>
    <row r="40" spans="1:61" ht="13.5" thickBot="1"/>
    <row r="41" spans="1:61" s="2185" customFormat="1" ht="13.15" customHeight="1" thickBot="1">
      <c r="A41" s="2178"/>
      <c r="B41" s="2179"/>
      <c r="C41" s="2180"/>
      <c r="D41" s="2181"/>
      <c r="E41" s="2182" t="s">
        <v>296</v>
      </c>
      <c r="F41" s="2182" t="s">
        <v>1130</v>
      </c>
      <c r="G41" s="2183" t="s">
        <v>73</v>
      </c>
      <c r="H41" s="2184">
        <v>0</v>
      </c>
      <c r="I41" s="2184">
        <v>0</v>
      </c>
      <c r="J41" s="2184">
        <v>0</v>
      </c>
      <c r="K41" s="2184">
        <v>0</v>
      </c>
      <c r="L41" s="2184">
        <v>0</v>
      </c>
      <c r="M41" s="2184">
        <v>0</v>
      </c>
      <c r="N41" s="2184">
        <v>0</v>
      </c>
      <c r="O41" s="2184">
        <v>0</v>
      </c>
      <c r="P41" s="2184">
        <v>0</v>
      </c>
      <c r="Q41" s="2184">
        <v>0</v>
      </c>
      <c r="R41" s="2184">
        <v>0</v>
      </c>
      <c r="S41" s="2184">
        <v>0</v>
      </c>
      <c r="T41" s="2184">
        <v>0</v>
      </c>
      <c r="U41" s="2184">
        <v>0</v>
      </c>
      <c r="V41" s="2184">
        <v>0</v>
      </c>
      <c r="W41" s="2184">
        <v>0</v>
      </c>
      <c r="X41" s="2184">
        <v>0</v>
      </c>
      <c r="Y41" s="2184">
        <v>0</v>
      </c>
      <c r="Z41" s="2184">
        <v>0</v>
      </c>
      <c r="AA41" s="2184">
        <v>0</v>
      </c>
      <c r="AB41" s="2184">
        <v>0</v>
      </c>
      <c r="AC41" s="2184">
        <v>0</v>
      </c>
      <c r="AD41" s="2184">
        <v>0</v>
      </c>
      <c r="AE41" s="2184">
        <v>0</v>
      </c>
      <c r="AF41" s="2184">
        <v>0</v>
      </c>
      <c r="AG41" s="2184">
        <v>0</v>
      </c>
      <c r="AH41" s="2184">
        <v>0</v>
      </c>
      <c r="AI41" s="2184">
        <v>0</v>
      </c>
      <c r="AJ41" s="2184">
        <v>0</v>
      </c>
      <c r="AK41" s="2184">
        <v>0</v>
      </c>
      <c r="AL41" s="2184">
        <v>0</v>
      </c>
      <c r="AM41" s="2184">
        <v>0</v>
      </c>
      <c r="AN41" s="2184">
        <v>0</v>
      </c>
      <c r="AO41" s="2184">
        <v>0</v>
      </c>
      <c r="AP41" s="2184">
        <v>0</v>
      </c>
      <c r="AQ41" s="2184">
        <v>0</v>
      </c>
      <c r="AR41" s="2184">
        <v>0</v>
      </c>
      <c r="AS41" s="2184">
        <v>0</v>
      </c>
      <c r="AT41" s="2184">
        <v>0</v>
      </c>
      <c r="AU41" s="2184">
        <v>0</v>
      </c>
      <c r="AV41" s="2184">
        <v>0</v>
      </c>
      <c r="AW41" s="2184">
        <v>0</v>
      </c>
      <c r="AX41" s="2184">
        <v>0</v>
      </c>
      <c r="AY41" s="2184">
        <v>0</v>
      </c>
      <c r="AZ41" s="2184">
        <v>0</v>
      </c>
      <c r="BA41" s="2184">
        <v>0</v>
      </c>
      <c r="BB41" s="2184">
        <v>0</v>
      </c>
      <c r="BC41" s="2184">
        <v>0</v>
      </c>
      <c r="BD41" s="2184">
        <v>0</v>
      </c>
      <c r="BE41" s="2184">
        <v>0</v>
      </c>
      <c r="BF41" s="2184">
        <v>0</v>
      </c>
      <c r="BG41" s="2184">
        <v>0</v>
      </c>
      <c r="BH41" s="2184">
        <v>0</v>
      </c>
      <c r="BI41" s="2184">
        <v>0</v>
      </c>
    </row>
    <row r="42" spans="1:61" ht="13.15" customHeight="1" thickBot="1">
      <c r="A42" s="2131"/>
      <c r="B42" s="78"/>
      <c r="C42" s="2138"/>
      <c r="D42" s="2139"/>
      <c r="H42" s="2140"/>
      <c r="I42" s="2140"/>
      <c r="J42" s="2140"/>
      <c r="K42" s="2140"/>
      <c r="L42" s="2140"/>
      <c r="M42" s="2140"/>
      <c r="N42" s="2140"/>
      <c r="O42" s="2140"/>
      <c r="P42" s="2140"/>
      <c r="Q42" s="2140"/>
      <c r="R42" s="2141"/>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c r="AS42" s="2140"/>
      <c r="AT42" s="2140"/>
      <c r="AU42" s="2140"/>
      <c r="AV42" s="2140"/>
      <c r="AW42" s="2140"/>
      <c r="AX42" s="2140"/>
      <c r="AY42" s="2140"/>
      <c r="AZ42" s="2140"/>
      <c r="BA42" s="2140"/>
      <c r="BB42" s="2140"/>
      <c r="BC42" s="2140"/>
      <c r="BD42" s="2140"/>
      <c r="BE42" s="2140"/>
      <c r="BF42" s="2140"/>
      <c r="BG42" s="2140"/>
      <c r="BH42" s="2140"/>
      <c r="BI42" s="2140"/>
    </row>
    <row r="43" spans="1:61" s="2148" customFormat="1" ht="15.75">
      <c r="A43" s="2186"/>
      <c r="B43" s="2187"/>
      <c r="C43" s="2188"/>
      <c r="D43" s="4050" t="str">
        <f>'Du K'!D63</f>
        <v>Ext. Sous TV</v>
      </c>
      <c r="E43" s="2297" t="s">
        <v>1141</v>
      </c>
      <c r="F43" s="2298"/>
      <c r="G43" s="3680"/>
      <c r="H43" s="2298"/>
    </row>
    <row r="44" spans="1:61">
      <c r="A44" s="2149"/>
      <c r="B44" s="224"/>
      <c r="C44" s="2151"/>
      <c r="D44" s="4051"/>
      <c r="E44" s="2126"/>
      <c r="F44" s="2126"/>
      <c r="G44" s="3248"/>
      <c r="H44" s="2126"/>
      <c r="I44" s="2126"/>
      <c r="J44" s="2126"/>
      <c r="K44" s="2126"/>
      <c r="L44" s="2126"/>
      <c r="M44" s="2126"/>
      <c r="N44" s="2126"/>
      <c r="O44" s="2126"/>
      <c r="P44" s="2126"/>
      <c r="Q44" s="2126"/>
      <c r="R44" s="2126"/>
      <c r="S44" s="2126"/>
      <c r="T44" s="2126"/>
      <c r="U44" s="2126"/>
      <c r="V44" s="2126"/>
      <c r="W44" s="2126"/>
      <c r="X44" s="2126"/>
      <c r="Y44" s="2126"/>
      <c r="Z44" s="2126"/>
      <c r="AA44" s="2126"/>
      <c r="AB44" s="2126"/>
      <c r="AC44" s="2126"/>
      <c r="AD44" s="2126"/>
      <c r="AE44" s="2126"/>
      <c r="AF44" s="2126"/>
      <c r="AG44" s="2126"/>
      <c r="AH44" s="2126"/>
      <c r="AI44" s="2126"/>
      <c r="AJ44" s="2126"/>
      <c r="AK44" s="2126"/>
      <c r="AL44" s="2126"/>
      <c r="AM44" s="2126"/>
      <c r="AN44" s="2126"/>
      <c r="AO44" s="2126"/>
      <c r="AP44" s="2126"/>
      <c r="AQ44" s="2126"/>
      <c r="AR44" s="2126"/>
      <c r="AS44" s="2126"/>
      <c r="AT44" s="2126"/>
      <c r="AU44" s="2126"/>
      <c r="AV44" s="2126"/>
      <c r="AW44" s="2126"/>
      <c r="AX44" s="2126"/>
      <c r="AY44" s="2126"/>
      <c r="AZ44" s="2126"/>
      <c r="BA44" s="2126"/>
      <c r="BB44" s="2126"/>
      <c r="BC44" s="2126"/>
      <c r="BD44" s="2126"/>
      <c r="BE44" s="2126"/>
      <c r="BF44" s="2126"/>
      <c r="BG44" s="2126"/>
      <c r="BH44" s="2126"/>
      <c r="BI44" s="2126"/>
    </row>
    <row r="45" spans="1:61" s="2177" customFormat="1" ht="24.75" customHeight="1" thickBot="1">
      <c r="A45" s="2318"/>
      <c r="B45" s="2319"/>
      <c r="C45" s="2320"/>
      <c r="D45" s="4051"/>
      <c r="E45" s="2229" t="str">
        <f>CONCATENATE('Du K'!E$84," à t=0")</f>
        <v>Résistance totale du sol à la diffusion  à t=0</v>
      </c>
      <c r="F45" s="2229" t="str">
        <f>CONCATENATE('Du K'!F$84,"tot")</f>
        <v>L/Dueqtot</v>
      </c>
      <c r="G45" s="2230" t="str">
        <f>'Du K'!G$84</f>
        <v>(mg/l)/(mg/m2/s)</v>
      </c>
      <c r="H45" s="2321">
        <f>'Du K'!H84</f>
        <v>1274.908241420535</v>
      </c>
      <c r="I45" s="2321">
        <f>'Du K'!I84</f>
        <v>1274.908241420535</v>
      </c>
      <c r="J45" s="2321">
        <f>'Du K'!J84</f>
        <v>1386.4789038976335</v>
      </c>
      <c r="K45" s="2321">
        <f>'Du K'!K84</f>
        <v>704.46191780980234</v>
      </c>
      <c r="L45" s="2321">
        <f>'Du K'!L84</f>
        <v>1013.9891209021745</v>
      </c>
      <c r="M45" s="2321">
        <f>'Du K'!M84</f>
        <v>1013.9891209021745</v>
      </c>
      <c r="N45" s="2321">
        <f>'Du K'!N84</f>
        <v>945.10207692151619</v>
      </c>
      <c r="O45" s="2321">
        <f>'Du K'!O84</f>
        <v>945.10207692151619</v>
      </c>
      <c r="P45" s="2321">
        <f>'Du K'!P84</f>
        <v>1037.0485236336572</v>
      </c>
      <c r="Q45" s="2321">
        <f>'Du K'!Q84</f>
        <v>1037.0485236336572</v>
      </c>
      <c r="R45" s="2322">
        <f>'Du K'!R84</f>
        <v>73.20689691105224</v>
      </c>
      <c r="S45" s="2321">
        <f>'Du K'!S84</f>
        <v>717.72479347551814</v>
      </c>
      <c r="T45" s="2321">
        <f>'Du K'!T84</f>
        <v>717.72479347551814</v>
      </c>
      <c r="U45" s="2321">
        <f>'Du K'!U84</f>
        <v>957.28843460964197</v>
      </c>
      <c r="V45" s="2321">
        <f>'Du K'!V84</f>
        <v>2621.7749697335075</v>
      </c>
      <c r="W45" s="2321">
        <f>'Du K'!W84</f>
        <v>2621.7749697335075</v>
      </c>
      <c r="X45" s="2321">
        <f>'Du K'!X84</f>
        <v>911.02107345410764</v>
      </c>
      <c r="Y45" s="2321">
        <f>'Du K'!Y84</f>
        <v>1014.1920925333236</v>
      </c>
      <c r="Z45" s="2321">
        <f>'Du K'!Z84</f>
        <v>1106.0588425985097</v>
      </c>
      <c r="AA45" s="2321">
        <f>'Du K'!AA84</f>
        <v>1105.9782961671656</v>
      </c>
      <c r="AB45" s="2321">
        <f>'Du K'!AB84</f>
        <v>2357.8541495450331</v>
      </c>
      <c r="AC45" s="2321">
        <f>'Du K'!AC84</f>
        <v>2553.6801915971932</v>
      </c>
      <c r="AD45" s="2321">
        <f>'Du K'!AD84</f>
        <v>2944.7859558764899</v>
      </c>
      <c r="AE45" s="2321">
        <f>'Du K'!AE84</f>
        <v>3719.0125672926283</v>
      </c>
      <c r="AF45" s="2321">
        <f>'Du K'!AF84</f>
        <v>4381.2301821941419</v>
      </c>
      <c r="AG45" s="2321">
        <f>'Du K'!AG84</f>
        <v>1591.7189352773873</v>
      </c>
      <c r="AH45" s="2321">
        <f>'Du K'!AH84</f>
        <v>1965.0861424396537</v>
      </c>
      <c r="AI45" s="2321">
        <f>'Du K'!AI84</f>
        <v>2554.6129666603424</v>
      </c>
      <c r="AJ45" s="2321">
        <f>'Du K'!AJ84</f>
        <v>3144.1397069935015</v>
      </c>
      <c r="AK45" s="2321">
        <f>'Du K'!AK84</f>
        <v>3930.1759243269012</v>
      </c>
      <c r="AL45" s="2321">
        <f>'Du K'!AL84</f>
        <v>5305.7379650596286</v>
      </c>
      <c r="AM45" s="2321">
        <f>'Du K'!AM84</f>
        <v>6288.2820661910991</v>
      </c>
      <c r="AN45" s="2321">
        <f>'Du K'!AN84</f>
        <v>2488.5486537323472</v>
      </c>
      <c r="AO45" s="2321">
        <f>'Du K'!AO84</f>
        <v>2946.3413416056105</v>
      </c>
      <c r="AP45" s="2321">
        <f>'Du K'!AP84</f>
        <v>2999.0724937832679</v>
      </c>
      <c r="AQ45" s="2321">
        <f>'Du K'!AQ84</f>
        <v>3214.3582958457464</v>
      </c>
      <c r="AR45" s="2321">
        <f>'Du K'!AR84</f>
        <v>3370.0043396887058</v>
      </c>
      <c r="AS45" s="2321">
        <f>'Du K'!AS84</f>
        <v>3393.1489450509603</v>
      </c>
      <c r="AT45" s="2321">
        <f>'Du K'!AT84</f>
        <v>3540.4418738694831</v>
      </c>
      <c r="AU45" s="2321">
        <f>'Du K'!AU84</f>
        <v>3493.057777981202</v>
      </c>
      <c r="AV45" s="2321">
        <f>'Du K'!AV84</f>
        <v>3680.5530735241155</v>
      </c>
      <c r="AW45" s="2321">
        <f>'Du K'!AW84</f>
        <v>3492.382482957209</v>
      </c>
      <c r="AX45" s="2321">
        <f>'Du K'!AX84</f>
        <v>555.2490723745783</v>
      </c>
      <c r="AY45" s="2321">
        <f>'Du K'!AY84</f>
        <v>555.2490723745783</v>
      </c>
      <c r="AZ45" s="2321">
        <f>'Du K'!AZ84</f>
        <v>414.2163325189257</v>
      </c>
      <c r="BA45" s="2321">
        <f>'Du K'!BA84</f>
        <v>309.32380675500252</v>
      </c>
      <c r="BB45" s="2321">
        <f>'Du K'!BB84</f>
        <v>1959.9305366740934</v>
      </c>
      <c r="BC45" s="2321">
        <f>'Du K'!BC84</f>
        <v>2.193985124265442E-3</v>
      </c>
      <c r="BD45" s="2321">
        <f>'Du K'!BD84</f>
        <v>180.68500542983705</v>
      </c>
      <c r="BE45" s="2321">
        <f>'Du K'!BE84</f>
        <v>4397.5350003472831</v>
      </c>
      <c r="BF45" s="2321">
        <f>'Du K'!BF84</f>
        <v>4397.5350003472831</v>
      </c>
      <c r="BG45" s="2321">
        <f>'Du K'!BG84</f>
        <v>2431.5024835064946</v>
      </c>
      <c r="BH45" s="2321">
        <f>'Du K'!BH84</f>
        <v>340.25146469501004</v>
      </c>
      <c r="BI45" s="2321">
        <f>'Du K'!BI84</f>
        <v>320.88881340715437</v>
      </c>
    </row>
    <row r="46" spans="1:61" ht="13.15" customHeight="1">
      <c r="A46" s="2149"/>
      <c r="B46" s="224"/>
      <c r="C46" s="2151"/>
      <c r="D46" s="2194"/>
      <c r="E46" s="3655"/>
      <c r="H46" s="2161"/>
      <c r="I46" s="2161"/>
      <c r="J46" s="2161"/>
      <c r="K46" s="2161"/>
      <c r="L46" s="2161"/>
      <c r="M46" s="2161"/>
      <c r="N46" s="2161"/>
      <c r="O46" s="2161"/>
      <c r="P46" s="2161"/>
      <c r="Q46" s="2161"/>
      <c r="R46" s="2155"/>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c r="AS46" s="2161"/>
      <c r="AT46" s="2161"/>
      <c r="AU46" s="2161"/>
      <c r="AV46" s="2161"/>
      <c r="AW46" s="2161"/>
      <c r="AX46" s="2161"/>
      <c r="AY46" s="2161"/>
      <c r="AZ46" s="2161"/>
      <c r="BA46" s="2161"/>
      <c r="BB46" s="2161"/>
      <c r="BC46" s="2161"/>
      <c r="BD46" s="2161"/>
      <c r="BE46" s="2161"/>
      <c r="BF46" s="2161"/>
      <c r="BG46" s="2161"/>
      <c r="BH46" s="2161"/>
      <c r="BI46" s="2161"/>
    </row>
    <row r="47" spans="1:61" ht="13.15" customHeight="1">
      <c r="A47" s="2149"/>
      <c r="B47" s="224"/>
      <c r="C47" s="2151"/>
      <c r="D47" s="580" t="s">
        <v>1018</v>
      </c>
      <c r="E47" s="3662" t="s">
        <v>576</v>
      </c>
      <c r="H47" s="2161"/>
      <c r="I47" s="2161"/>
      <c r="J47" s="2161"/>
      <c r="K47" s="2161"/>
      <c r="L47" s="2161"/>
      <c r="M47" s="2161"/>
      <c r="N47" s="2161"/>
      <c r="O47" s="2161"/>
      <c r="P47" s="2161"/>
      <c r="Q47" s="2161"/>
      <c r="R47" s="2155"/>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c r="AS47" s="2161"/>
      <c r="AT47" s="2161"/>
      <c r="AU47" s="2161"/>
      <c r="AV47" s="2161"/>
      <c r="AW47" s="2161"/>
      <c r="AX47" s="2161"/>
      <c r="AY47" s="2161"/>
      <c r="AZ47" s="2161"/>
      <c r="BA47" s="2161"/>
      <c r="BB47" s="2161"/>
      <c r="BC47" s="2161"/>
      <c r="BD47" s="2161"/>
      <c r="BE47" s="2161"/>
      <c r="BF47" s="2161"/>
      <c r="BG47" s="2161"/>
      <c r="BH47" s="2161"/>
      <c r="BI47" s="2161"/>
    </row>
    <row r="48" spans="1:61" ht="13.15" customHeight="1">
      <c r="A48" s="2149"/>
      <c r="B48" s="224"/>
      <c r="C48" s="2151"/>
      <c r="D48" s="4039">
        <f>D216</f>
        <v>0</v>
      </c>
      <c r="E48" s="3655"/>
      <c r="H48" s="2161"/>
      <c r="I48" s="2161"/>
      <c r="J48" s="2161"/>
      <c r="K48" s="2161"/>
      <c r="L48" s="2161"/>
      <c r="M48" s="2161"/>
      <c r="N48" s="2161"/>
      <c r="O48" s="2161"/>
      <c r="P48" s="2161"/>
      <c r="Q48" s="2161"/>
      <c r="R48" s="2155"/>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c r="AS48" s="2161"/>
      <c r="AT48" s="2161"/>
      <c r="AU48" s="2161"/>
      <c r="AV48" s="2161"/>
      <c r="AW48" s="2161"/>
      <c r="AX48" s="2161"/>
      <c r="AY48" s="2161"/>
      <c r="AZ48" s="2161"/>
      <c r="BA48" s="2161"/>
      <c r="BB48" s="2161"/>
      <c r="BC48" s="2161"/>
      <c r="BD48" s="2161"/>
      <c r="BE48" s="2161"/>
      <c r="BF48" s="2161"/>
      <c r="BG48" s="2161"/>
      <c r="BH48" s="2161"/>
      <c r="BI48" s="2161"/>
    </row>
    <row r="49" spans="1:61" ht="25.5">
      <c r="A49" s="2149"/>
      <c r="B49" s="2150"/>
      <c r="C49" s="2151"/>
      <c r="D49" s="4039"/>
      <c r="E49" s="3655" t="s">
        <v>570</v>
      </c>
      <c r="F49" s="2196" t="s">
        <v>138</v>
      </c>
      <c r="G49" s="2197" t="s">
        <v>139</v>
      </c>
      <c r="H49" s="2198">
        <f t="shared" ref="H49:AM49" si="17">1/H45</f>
        <v>7.8437017466117772E-4</v>
      </c>
      <c r="I49" s="2198">
        <f t="shared" si="17"/>
        <v>7.8437017466117772E-4</v>
      </c>
      <c r="J49" s="2198">
        <f t="shared" si="17"/>
        <v>7.2125150782231589E-4</v>
      </c>
      <c r="K49" s="2198">
        <f t="shared" si="17"/>
        <v>1.4195231491136331E-3</v>
      </c>
      <c r="L49" s="2198">
        <f t="shared" si="17"/>
        <v>9.8620387476176471E-4</v>
      </c>
      <c r="M49" s="2198">
        <f t="shared" si="17"/>
        <v>9.8620387476176471E-4</v>
      </c>
      <c r="N49" s="2198">
        <f t="shared" si="17"/>
        <v>1.0580867658838535E-3</v>
      </c>
      <c r="O49" s="2198">
        <f t="shared" si="17"/>
        <v>1.0580867658838535E-3</v>
      </c>
      <c r="P49" s="2198">
        <f t="shared" si="17"/>
        <v>9.6427503362731296E-4</v>
      </c>
      <c r="Q49" s="2198">
        <f t="shared" si="17"/>
        <v>9.6427503362731296E-4</v>
      </c>
      <c r="R49" s="2198">
        <f t="shared" si="17"/>
        <v>1.365991514727115E-2</v>
      </c>
      <c r="S49" s="2198">
        <f t="shared" si="17"/>
        <v>1.3932917032970108E-3</v>
      </c>
      <c r="T49" s="2198">
        <f t="shared" si="17"/>
        <v>1.3932917032970108E-3</v>
      </c>
      <c r="U49" s="2198">
        <f t="shared" si="17"/>
        <v>1.0446172374450286E-3</v>
      </c>
      <c r="V49" s="2198">
        <f t="shared" si="17"/>
        <v>3.8142098827865682E-4</v>
      </c>
      <c r="W49" s="2198">
        <f t="shared" si="17"/>
        <v>3.8142098827865682E-4</v>
      </c>
      <c r="X49" s="2198">
        <f t="shared" si="17"/>
        <v>1.0976694493010262E-3</v>
      </c>
      <c r="Y49" s="2198">
        <f t="shared" si="17"/>
        <v>9.860065044503812E-4</v>
      </c>
      <c r="Z49" s="2198">
        <f t="shared" si="17"/>
        <v>9.0411103052226286E-4</v>
      </c>
      <c r="AA49" s="2198">
        <f t="shared" si="17"/>
        <v>9.0417687531985048E-4</v>
      </c>
      <c r="AB49" s="2198">
        <f t="shared" si="17"/>
        <v>4.241144432928381E-4</v>
      </c>
      <c r="AC49" s="2198">
        <f t="shared" si="17"/>
        <v>3.9159171273304679E-4</v>
      </c>
      <c r="AD49" s="2198">
        <f t="shared" si="17"/>
        <v>3.3958325494063242E-4</v>
      </c>
      <c r="AE49" s="2198">
        <f t="shared" si="17"/>
        <v>2.6888857778934085E-4</v>
      </c>
      <c r="AF49" s="2198">
        <f t="shared" si="17"/>
        <v>2.2824639619806395E-4</v>
      </c>
      <c r="AG49" s="2198">
        <f t="shared" si="17"/>
        <v>6.2825162020563069E-4</v>
      </c>
      <c r="AH49" s="2198">
        <f t="shared" si="17"/>
        <v>5.0888354378119034E-4</v>
      </c>
      <c r="AI49" s="2198">
        <f t="shared" si="17"/>
        <v>3.9144872943603064E-4</v>
      </c>
      <c r="AJ49" s="2198">
        <f t="shared" si="17"/>
        <v>3.1805202477984764E-4</v>
      </c>
      <c r="AK49" s="2198">
        <f t="shared" si="17"/>
        <v>2.5444153627073685E-4</v>
      </c>
      <c r="AL49" s="2198">
        <f t="shared" si="17"/>
        <v>1.8847519545544717E-4</v>
      </c>
      <c r="AM49" s="2198">
        <f t="shared" si="17"/>
        <v>1.5902594531763968E-4</v>
      </c>
      <c r="AN49" s="2198">
        <f t="shared" ref="AN49:BI49" si="18">1/AN45</f>
        <v>4.0184064655524867E-4</v>
      </c>
      <c r="AO49" s="2198">
        <f t="shared" si="18"/>
        <v>3.3940398754173182E-4</v>
      </c>
      <c r="AP49" s="2198">
        <f t="shared" si="18"/>
        <v>3.3343642145126034E-4</v>
      </c>
      <c r="AQ49" s="2198">
        <f t="shared" si="18"/>
        <v>3.1110408609158637E-4</v>
      </c>
      <c r="AR49" s="2198">
        <f t="shared" si="18"/>
        <v>2.9673552292587611E-4</v>
      </c>
      <c r="AS49" s="2198">
        <f t="shared" si="18"/>
        <v>2.9471149548520079E-4</v>
      </c>
      <c r="AT49" s="2198">
        <f t="shared" si="18"/>
        <v>2.8245061933669375E-4</v>
      </c>
      <c r="AU49" s="2198">
        <f t="shared" si="18"/>
        <v>2.862821240185571E-4</v>
      </c>
      <c r="AV49" s="2198">
        <f t="shared" si="18"/>
        <v>2.7169829643089585E-4</v>
      </c>
      <c r="AW49" s="2198">
        <f t="shared" si="18"/>
        <v>2.8633748018150643E-4</v>
      </c>
      <c r="AX49" s="2198">
        <f t="shared" si="18"/>
        <v>1.8009935536198193E-3</v>
      </c>
      <c r="AY49" s="2198">
        <f t="shared" si="18"/>
        <v>1.8009935536198193E-3</v>
      </c>
      <c r="AZ49" s="2198">
        <f t="shared" si="18"/>
        <v>2.4141974168879728E-3</v>
      </c>
      <c r="BA49" s="2198">
        <f t="shared" si="18"/>
        <v>3.2328581834376625E-3</v>
      </c>
      <c r="BB49" s="2198">
        <f t="shared" si="18"/>
        <v>5.1022216414718007E-4</v>
      </c>
      <c r="BC49" s="2198">
        <f t="shared" si="18"/>
        <v>455.79160448264452</v>
      </c>
      <c r="BD49" s="2198">
        <f t="shared" si="18"/>
        <v>5.5344935658665729E-3</v>
      </c>
      <c r="BE49" s="2198">
        <f t="shared" si="18"/>
        <v>2.2740012300550826E-4</v>
      </c>
      <c r="BF49" s="2198">
        <f t="shared" si="18"/>
        <v>2.2740012300550826E-4</v>
      </c>
      <c r="BG49" s="2198">
        <f t="shared" si="18"/>
        <v>4.1126834407254634E-4</v>
      </c>
      <c r="BH49" s="2198">
        <f t="shared" si="18"/>
        <v>2.9390027781257791E-3</v>
      </c>
      <c r="BI49" s="2198">
        <f t="shared" si="18"/>
        <v>3.1163442233530492E-3</v>
      </c>
    </row>
    <row r="50" spans="1:61">
      <c r="A50" s="2157"/>
      <c r="B50" s="2158"/>
      <c r="C50" s="2158"/>
      <c r="D50" s="4038" t="s">
        <v>577</v>
      </c>
      <c r="E50" s="3655"/>
    </row>
    <row r="51" spans="1:61">
      <c r="A51" s="2157"/>
      <c r="B51" s="2158"/>
      <c r="C51" s="2158"/>
      <c r="D51" s="4038"/>
      <c r="E51" s="3659" t="str">
        <f>E16</f>
        <v>Période chronique</v>
      </c>
    </row>
    <row r="52" spans="1:61" s="2204" customFormat="1" ht="25.5">
      <c r="A52" s="2199"/>
      <c r="B52" s="2200"/>
      <c r="C52" s="2200"/>
      <c r="D52" s="4046" t="str">
        <f>'Du K'!E63</f>
        <v>Limon sableux pelouse</v>
      </c>
      <c r="E52" s="3656" t="s">
        <v>608</v>
      </c>
      <c r="F52" s="2201" t="s">
        <v>581</v>
      </c>
      <c r="G52" s="2202" t="s">
        <v>73</v>
      </c>
      <c r="H52" s="2203">
        <f>H49/(1000*H$14/H$13/H$18)</f>
        <v>0.30411039770531162</v>
      </c>
      <c r="I52" s="2203">
        <f t="shared" ref="I52:BI52" si="19">I49/(1000*I$14/I$13/I$18)</f>
        <v>0.30411039770531162</v>
      </c>
      <c r="J52" s="2203">
        <f>J49/(1000*J$14/J$13/J$18)</f>
        <v>1.8357446886973099</v>
      </c>
      <c r="K52" s="2203">
        <f t="shared" si="19"/>
        <v>114.9985058047412</v>
      </c>
      <c r="L52" s="2203">
        <f t="shared" si="19"/>
        <v>14.937543627847784</v>
      </c>
      <c r="M52" s="2203">
        <f t="shared" si="19"/>
        <v>14.937543627847784</v>
      </c>
      <c r="N52" s="2203">
        <f>N49/(1000*N$14/N$13/N$18)</f>
        <v>31.608904637260025</v>
      </c>
      <c r="O52" s="2203">
        <f>O49/(1000*O$14/O$13/O$18)</f>
        <v>31.608904637260025</v>
      </c>
      <c r="P52" s="2203">
        <f t="shared" si="19"/>
        <v>31.44913754933771</v>
      </c>
      <c r="Q52" s="2203">
        <f t="shared" si="19"/>
        <v>31.44913754933771</v>
      </c>
      <c r="R52" s="2203">
        <f>R49/(1000*R$14/R$13/R$18)</f>
        <v>179.0821207102228</v>
      </c>
      <c r="S52" s="2203">
        <f>S49/(1000*S$14/S$13/S$18)</f>
        <v>17.136830400810606</v>
      </c>
      <c r="T52" s="2203">
        <f>T49/(1000*T$14/T$13/T$18)</f>
        <v>17.136830400810606</v>
      </c>
      <c r="U52" s="2203">
        <f t="shared" si="19"/>
        <v>60.489230342735411</v>
      </c>
      <c r="V52" s="2203">
        <f t="shared" si="19"/>
        <v>36.151098700050092</v>
      </c>
      <c r="W52" s="2203">
        <f t="shared" si="19"/>
        <v>36.151098700050092</v>
      </c>
      <c r="X52" s="2203">
        <f t="shared" si="19"/>
        <v>19.958644323815452</v>
      </c>
      <c r="Y52" s="2203">
        <f t="shared" si="19"/>
        <v>12.42537204108759</v>
      </c>
      <c r="Z52" s="2203">
        <f t="shared" si="19"/>
        <v>6.7473360725349751</v>
      </c>
      <c r="AA52" s="2203">
        <f t="shared" si="19"/>
        <v>31.687917804450805</v>
      </c>
      <c r="AB52" s="2203">
        <f t="shared" si="19"/>
        <v>2.4014676725062758</v>
      </c>
      <c r="AC52" s="2203">
        <f t="shared" si="19"/>
        <v>0.43267437003190246</v>
      </c>
      <c r="AD52" s="2203">
        <f t="shared" si="19"/>
        <v>7.3441015527324127E-2</v>
      </c>
      <c r="AE52" s="2203">
        <f t="shared" si="19"/>
        <v>7.2511091825832735E-3</v>
      </c>
      <c r="AF52" s="2203">
        <f t="shared" si="19"/>
        <v>2.5511385895721031E-5</v>
      </c>
      <c r="AG52" s="2203">
        <f t="shared" si="19"/>
        <v>81.813745583809421</v>
      </c>
      <c r="AH52" s="2203">
        <f t="shared" si="19"/>
        <v>49.618293601382057</v>
      </c>
      <c r="AI52" s="2203">
        <f t="shared" si="19"/>
        <v>15.519621763440071</v>
      </c>
      <c r="AJ52" s="2203">
        <f t="shared" si="19"/>
        <v>3.0016503051096239</v>
      </c>
      <c r="AK52" s="2203">
        <f t="shared" si="19"/>
        <v>0.54742992050717176</v>
      </c>
      <c r="AL52" s="2203">
        <f t="shared" si="19"/>
        <v>3.0740864394159934E-2</v>
      </c>
      <c r="AM52" s="2203">
        <f t="shared" si="19"/>
        <v>1.795478560816269E-4</v>
      </c>
      <c r="AN52" s="2203">
        <f t="shared" si="19"/>
        <v>0.25278612495668407</v>
      </c>
      <c r="AO52" s="2203">
        <f t="shared" si="19"/>
        <v>8.3304311458017363E-3</v>
      </c>
      <c r="AP52" s="2203">
        <f t="shared" si="19"/>
        <v>1.3691362712846392E-2</v>
      </c>
      <c r="AQ52" s="2203">
        <f t="shared" si="19"/>
        <v>5.1725159039691052E-3</v>
      </c>
      <c r="AR52" s="2203">
        <f t="shared" si="19"/>
        <v>9.8779424647098203E-4</v>
      </c>
      <c r="AS52" s="2203">
        <f t="shared" si="19"/>
        <v>1.2671520465222992E-3</v>
      </c>
      <c r="AT52" s="2203">
        <f t="shared" si="19"/>
        <v>8.8648278418334214E-5</v>
      </c>
      <c r="AU52" s="2203">
        <f t="shared" si="19"/>
        <v>8.6437502263963668E-5</v>
      </c>
      <c r="AV52" s="2203">
        <f t="shared" si="19"/>
        <v>1.3087312773857895E-5</v>
      </c>
      <c r="AW52" s="2203">
        <f t="shared" si="19"/>
        <v>1.3290175805841281E-5</v>
      </c>
      <c r="AX52" s="2203">
        <f t="shared" si="19"/>
        <v>2.9422855933078892E-6</v>
      </c>
      <c r="AY52" s="2203">
        <f t="shared" si="19"/>
        <v>2.0192791121519996E-6</v>
      </c>
      <c r="AZ52" s="2203">
        <f t="shared" si="19"/>
        <v>1.8075566049454732E-6</v>
      </c>
      <c r="BA52" s="2203">
        <f t="shared" si="19"/>
        <v>4.1804574042886678E-7</v>
      </c>
      <c r="BB52" s="2203">
        <f t="shared" si="19"/>
        <v>1.0446498576737724E-6</v>
      </c>
      <c r="BC52" s="2203">
        <f t="shared" si="19"/>
        <v>2.4790749175684703E-7</v>
      </c>
      <c r="BD52" s="2203">
        <f t="shared" si="19"/>
        <v>1.0884884271893764E-2</v>
      </c>
      <c r="BE52" s="2203">
        <f t="shared" si="19"/>
        <v>9.9263426275972225E-6</v>
      </c>
      <c r="BF52" s="2203">
        <f t="shared" si="19"/>
        <v>9.9263426275972225E-6</v>
      </c>
      <c r="BG52" s="2203">
        <f t="shared" si="19"/>
        <v>32.601103796380769</v>
      </c>
      <c r="BH52" s="2203">
        <f t="shared" si="19"/>
        <v>7.6864975622898462E-3</v>
      </c>
      <c r="BI52" s="2203">
        <f t="shared" si="19"/>
        <v>0.44143380796121434</v>
      </c>
    </row>
    <row r="53" spans="1:61" s="2338" customFormat="1" ht="25.5">
      <c r="A53" s="2337"/>
      <c r="D53" s="4046"/>
      <c r="E53" s="3656" t="s">
        <v>575</v>
      </c>
      <c r="F53" s="2303" t="s">
        <v>138</v>
      </c>
      <c r="G53" s="2339" t="s">
        <v>139</v>
      </c>
      <c r="H53" s="2338">
        <f t="shared" ref="H53:AL53" si="20">MIN(H19,H$49)</f>
        <v>7.8437017466117772E-4</v>
      </c>
      <c r="I53" s="2338">
        <f t="shared" si="20"/>
        <v>7.8437017466117772E-4</v>
      </c>
      <c r="J53" s="2338">
        <f>MIN(J19,J$49)</f>
        <v>7.2125150782231589E-4</v>
      </c>
      <c r="K53" s="2338">
        <f t="shared" si="20"/>
        <v>3.7031519823149957E-5</v>
      </c>
      <c r="L53" s="2338">
        <f t="shared" si="20"/>
        <v>1.9806547167297369E-4</v>
      </c>
      <c r="M53" s="2338">
        <f t="shared" si="20"/>
        <v>1.9806547167297369E-4</v>
      </c>
      <c r="N53" s="2338">
        <f>MIN(N19,N$49)</f>
        <v>1.0042297681868412E-4</v>
      </c>
      <c r="O53" s="2338">
        <f>MIN(O19,O$49)</f>
        <v>1.0042297681868412E-4</v>
      </c>
      <c r="P53" s="2338">
        <f t="shared" si="20"/>
        <v>9.1984242694848056E-5</v>
      </c>
      <c r="Q53" s="2338">
        <f t="shared" si="20"/>
        <v>9.1984242694848056E-5</v>
      </c>
      <c r="R53" s="2338">
        <f>MIN(R19,R$49)</f>
        <v>2.2883214292577979E-4</v>
      </c>
      <c r="S53" s="2338">
        <f>MIN(S19,S$49)</f>
        <v>2.4391179769704181E-4</v>
      </c>
      <c r="T53" s="2338">
        <f>MIN(T19,T$49)</f>
        <v>2.4391179769704181E-4</v>
      </c>
      <c r="U53" s="2338">
        <f t="shared" si="20"/>
        <v>5.1808424319147455E-5</v>
      </c>
      <c r="V53" s="2338">
        <f t="shared" si="20"/>
        <v>3.1652232047774111E-5</v>
      </c>
      <c r="W53" s="2338">
        <f t="shared" si="20"/>
        <v>3.1652232047774111E-5</v>
      </c>
      <c r="X53" s="2338">
        <f t="shared" si="20"/>
        <v>1.6499158432187349E-4</v>
      </c>
      <c r="Y53" s="2338">
        <f t="shared" si="20"/>
        <v>2.3806285265098821E-4</v>
      </c>
      <c r="Z53" s="2338">
        <f t="shared" si="20"/>
        <v>4.0198577074103924E-4</v>
      </c>
      <c r="AA53" s="2338">
        <f t="shared" si="20"/>
        <v>8.5601415741445673E-5</v>
      </c>
      <c r="AB53" s="2338">
        <f t="shared" si="20"/>
        <v>4.241144432928381E-4</v>
      </c>
      <c r="AC53" s="2338">
        <f t="shared" si="20"/>
        <v>3.9159171273304679E-4</v>
      </c>
      <c r="AD53" s="2338">
        <f t="shared" si="20"/>
        <v>3.3958325494063242E-4</v>
      </c>
      <c r="AE53" s="2338">
        <f t="shared" si="20"/>
        <v>2.6888857778934085E-4</v>
      </c>
      <c r="AF53" s="2338">
        <f t="shared" si="20"/>
        <v>2.2824639619806395E-4</v>
      </c>
      <c r="AG53" s="2338">
        <f t="shared" si="20"/>
        <v>2.3037141829500553E-5</v>
      </c>
      <c r="AH53" s="2338">
        <f t="shared" si="20"/>
        <v>3.0767898703010778E-5</v>
      </c>
      <c r="AI53" s="2338">
        <f t="shared" si="20"/>
        <v>7.5668479954487443E-5</v>
      </c>
      <c r="AJ53" s="2338">
        <f t="shared" si="20"/>
        <v>3.1787716001271374E-4</v>
      </c>
      <c r="AK53" s="2338">
        <f t="shared" si="20"/>
        <v>2.5444153627073685E-4</v>
      </c>
      <c r="AL53" s="2338">
        <f t="shared" si="20"/>
        <v>1.8847519545544717E-4</v>
      </c>
      <c r="AM53" s="2338">
        <f t="shared" ref="AM53:BI53" si="21">MIN(AM19,AM$49)</f>
        <v>1.5902594531763968E-4</v>
      </c>
      <c r="AN53" s="2338">
        <f t="shared" si="21"/>
        <v>4.0184064655524867E-4</v>
      </c>
      <c r="AO53" s="2338">
        <f t="shared" si="21"/>
        <v>3.3940398754173182E-4</v>
      </c>
      <c r="AP53" s="2338">
        <f t="shared" si="21"/>
        <v>3.3343642145126034E-4</v>
      </c>
      <c r="AQ53" s="2338">
        <f t="shared" si="21"/>
        <v>3.1110408609158637E-4</v>
      </c>
      <c r="AR53" s="2338">
        <f t="shared" si="21"/>
        <v>2.9673552292587611E-4</v>
      </c>
      <c r="AS53" s="2338">
        <f t="shared" si="21"/>
        <v>2.9471149548520079E-4</v>
      </c>
      <c r="AT53" s="2338">
        <f t="shared" si="21"/>
        <v>2.8245061933669375E-4</v>
      </c>
      <c r="AU53" s="2338">
        <f t="shared" si="21"/>
        <v>2.862821240185571E-4</v>
      </c>
      <c r="AV53" s="2338">
        <f t="shared" si="21"/>
        <v>2.7169829643089585E-4</v>
      </c>
      <c r="AW53" s="2338">
        <f t="shared" si="21"/>
        <v>2.8633748018150643E-4</v>
      </c>
      <c r="AX53" s="2338">
        <f t="shared" si="21"/>
        <v>1.8009935536198193E-3</v>
      </c>
      <c r="AY53" s="2338">
        <f t="shared" si="21"/>
        <v>1.8009935536198193E-3</v>
      </c>
      <c r="AZ53" s="2338">
        <f t="shared" si="21"/>
        <v>2.4141974168879728E-3</v>
      </c>
      <c r="BA53" s="2338">
        <f t="shared" si="21"/>
        <v>3.2328581834376625E-3</v>
      </c>
      <c r="BB53" s="2338">
        <f t="shared" si="21"/>
        <v>5.1022216414718007E-4</v>
      </c>
      <c r="BC53" s="2338">
        <f t="shared" si="21"/>
        <v>455.79160448264452</v>
      </c>
      <c r="BD53" s="2338">
        <f t="shared" si="21"/>
        <v>5.5344935658665729E-3</v>
      </c>
      <c r="BE53" s="2338">
        <f t="shared" si="21"/>
        <v>2.2740012300550826E-4</v>
      </c>
      <c r="BF53" s="2338">
        <f t="shared" si="21"/>
        <v>2.2740012300550826E-4</v>
      </c>
      <c r="BG53" s="2338">
        <f t="shared" si="21"/>
        <v>3.7845498726782705E-5</v>
      </c>
      <c r="BH53" s="2338">
        <f t="shared" si="21"/>
        <v>2.9390027781257791E-3</v>
      </c>
      <c r="BI53" s="2338">
        <f t="shared" si="21"/>
        <v>3.1163442233530492E-3</v>
      </c>
    </row>
    <row r="54" spans="1:61" s="2204" customFormat="1">
      <c r="A54" s="2199"/>
      <c r="B54" s="2200"/>
      <c r="C54" s="2200"/>
      <c r="D54" s="3616"/>
      <c r="E54" s="3656"/>
      <c r="F54" s="2301" t="s">
        <v>1134</v>
      </c>
      <c r="G54" s="2302"/>
    </row>
    <row r="55" spans="1:61" s="2204" customFormat="1">
      <c r="A55" s="2199"/>
      <c r="B55" s="2200"/>
      <c r="C55" s="2200"/>
      <c r="D55" s="2207"/>
      <c r="E55" s="3663" t="str">
        <f>E26</f>
        <v>Période enfant 0-6 ans (effets sans seuil)</v>
      </c>
      <c r="F55" s="2208"/>
      <c r="G55" s="2209"/>
      <c r="H55" s="2200"/>
      <c r="I55" s="2200"/>
      <c r="J55" s="2200"/>
      <c r="K55" s="2200"/>
      <c r="L55" s="2200"/>
      <c r="M55" s="2200"/>
      <c r="N55" s="2200"/>
      <c r="O55" s="2200"/>
      <c r="P55" s="2200"/>
      <c r="Q55" s="2200"/>
      <c r="R55" s="2200"/>
      <c r="S55" s="2200"/>
      <c r="T55" s="2200"/>
      <c r="U55" s="2200"/>
      <c r="V55" s="2200"/>
      <c r="W55" s="2200"/>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c r="AS55" s="2200"/>
      <c r="AT55" s="2200"/>
      <c r="AU55" s="2200"/>
      <c r="AV55" s="2200"/>
      <c r="AW55" s="2200"/>
      <c r="AX55" s="2200"/>
      <c r="AY55" s="2200"/>
      <c r="AZ55" s="2200"/>
      <c r="BA55" s="2200"/>
      <c r="BB55" s="2200"/>
      <c r="BC55" s="2200"/>
      <c r="BD55" s="2200"/>
      <c r="BE55" s="2200"/>
      <c r="BF55" s="2200"/>
      <c r="BG55" s="2200"/>
      <c r="BH55" s="2200"/>
      <c r="BI55" s="2200"/>
    </row>
    <row r="56" spans="1:61" s="2204" customFormat="1" ht="25.5">
      <c r="A56" s="2210"/>
      <c r="D56" s="2207"/>
      <c r="E56" s="3656" t="s">
        <v>575</v>
      </c>
      <c r="F56" s="2205" t="s">
        <v>138</v>
      </c>
      <c r="G56" s="2206" t="s">
        <v>139</v>
      </c>
      <c r="H56" s="2204">
        <f t="shared" ref="H56:AL56" si="22">MIN(H29,H$49)</f>
        <v>7.8437017466117772E-4</v>
      </c>
      <c r="I56" s="2204">
        <f t="shared" si="22"/>
        <v>7.8437017466117772E-4</v>
      </c>
      <c r="J56" s="2204">
        <f>MIN(J29,J$49)</f>
        <v>7.2125150782231589E-4</v>
      </c>
      <c r="K56" s="2204">
        <f t="shared" si="22"/>
        <v>6.1719199705249922E-6</v>
      </c>
      <c r="L56" s="2204">
        <f t="shared" si="22"/>
        <v>3.3010911945495617E-5</v>
      </c>
      <c r="M56" s="2204">
        <f t="shared" si="22"/>
        <v>3.3010911945495617E-5</v>
      </c>
      <c r="N56" s="2204">
        <f>MIN(N29,N$49)</f>
        <v>1.673716280311402E-5</v>
      </c>
      <c r="O56" s="2204">
        <f>MIN(O29,O$49)</f>
        <v>1.673716280311402E-5</v>
      </c>
      <c r="P56" s="2204">
        <f t="shared" si="22"/>
        <v>1.5330707115808009E-5</v>
      </c>
      <c r="Q56" s="2204">
        <f t="shared" si="22"/>
        <v>1.5330707115808009E-5</v>
      </c>
      <c r="R56" s="2204">
        <f>MIN(R29,R$49)</f>
        <v>3.8138690487629963E-5</v>
      </c>
      <c r="S56" s="2204">
        <f>MIN(S29,S$49)</f>
        <v>4.0651966282840303E-5</v>
      </c>
      <c r="T56" s="2204">
        <f>MIN(T29,T$49)</f>
        <v>4.0651966282840303E-5</v>
      </c>
      <c r="U56" s="2204">
        <f t="shared" si="22"/>
        <v>8.6347373865245747E-6</v>
      </c>
      <c r="V56" s="2204">
        <f t="shared" si="22"/>
        <v>5.2753720079623515E-6</v>
      </c>
      <c r="W56" s="2204">
        <f t="shared" si="22"/>
        <v>5.2753720079623515E-6</v>
      </c>
      <c r="X56" s="2204">
        <f t="shared" si="22"/>
        <v>2.7498597386978914E-5</v>
      </c>
      <c r="Y56" s="2204">
        <f t="shared" si="22"/>
        <v>3.9677142108498037E-5</v>
      </c>
      <c r="Z56" s="2204">
        <f t="shared" si="22"/>
        <v>6.6997628456839868E-5</v>
      </c>
      <c r="AA56" s="2204">
        <f t="shared" si="22"/>
        <v>9.9868318365019948E-5</v>
      </c>
      <c r="AB56" s="2204">
        <f t="shared" si="22"/>
        <v>8.8303175626389731E-5</v>
      </c>
      <c r="AC56" s="2204">
        <f t="shared" si="22"/>
        <v>3.9159171273304679E-4</v>
      </c>
      <c r="AD56" s="2204">
        <f t="shared" si="22"/>
        <v>3.3958325494063242E-4</v>
      </c>
      <c r="AE56" s="2204">
        <f t="shared" si="22"/>
        <v>2.6888857778934085E-4</v>
      </c>
      <c r="AF56" s="2204">
        <f t="shared" si="22"/>
        <v>2.2824639619806395E-4</v>
      </c>
      <c r="AG56" s="2204">
        <f t="shared" si="22"/>
        <v>3.8395236382500922E-6</v>
      </c>
      <c r="AH56" s="2204">
        <f t="shared" si="22"/>
        <v>5.1279831171684633E-6</v>
      </c>
      <c r="AI56" s="2204">
        <f t="shared" si="22"/>
        <v>1.2611413325747907E-5</v>
      </c>
      <c r="AJ56" s="2204">
        <f t="shared" si="22"/>
        <v>5.2979526668785625E-5</v>
      </c>
      <c r="AK56" s="2204">
        <f t="shared" si="22"/>
        <v>2.3239644632047792E-4</v>
      </c>
      <c r="AL56" s="2204">
        <f t="shared" si="22"/>
        <v>1.8847519545544717E-4</v>
      </c>
      <c r="AM56" s="2204">
        <f t="shared" ref="AM56:BI56" si="23">MIN(AM29,AM$49)</f>
        <v>1.5902594531763968E-4</v>
      </c>
      <c r="AN56" s="2204">
        <f t="shared" si="23"/>
        <v>4.0184064655524867E-4</v>
      </c>
      <c r="AO56" s="2204">
        <f t="shared" si="23"/>
        <v>3.3940398754173182E-4</v>
      </c>
      <c r="AP56" s="2204">
        <f t="shared" si="23"/>
        <v>3.3343642145126034E-4</v>
      </c>
      <c r="AQ56" s="2204">
        <f t="shared" si="23"/>
        <v>3.1110408609158637E-4</v>
      </c>
      <c r="AR56" s="2204">
        <f t="shared" si="23"/>
        <v>2.9673552292587611E-4</v>
      </c>
      <c r="AS56" s="2204">
        <f t="shared" si="23"/>
        <v>2.9471149548520079E-4</v>
      </c>
      <c r="AT56" s="2204">
        <f t="shared" si="23"/>
        <v>2.8245061933669375E-4</v>
      </c>
      <c r="AU56" s="2204">
        <f t="shared" si="23"/>
        <v>2.862821240185571E-4</v>
      </c>
      <c r="AV56" s="2204">
        <f t="shared" si="23"/>
        <v>2.7169829643089585E-4</v>
      </c>
      <c r="AW56" s="2204">
        <f t="shared" si="23"/>
        <v>2.8633748018150643E-4</v>
      </c>
      <c r="AX56" s="2204">
        <f t="shared" si="23"/>
        <v>1.8009935536198193E-3</v>
      </c>
      <c r="AY56" s="2204">
        <f t="shared" si="23"/>
        <v>1.8009935536198193E-3</v>
      </c>
      <c r="AZ56" s="2204">
        <f t="shared" si="23"/>
        <v>2.4141974168879728E-3</v>
      </c>
      <c r="BA56" s="2204">
        <f t="shared" si="23"/>
        <v>3.2328581834376625E-3</v>
      </c>
      <c r="BB56" s="2204">
        <f t="shared" si="23"/>
        <v>5.1022216414718007E-4</v>
      </c>
      <c r="BC56" s="2204">
        <f t="shared" si="23"/>
        <v>455.79160448264452</v>
      </c>
      <c r="BD56" s="2204">
        <f t="shared" si="23"/>
        <v>5.5344935658665729E-3</v>
      </c>
      <c r="BE56" s="2204">
        <f t="shared" si="23"/>
        <v>2.2740012300550826E-4</v>
      </c>
      <c r="BF56" s="2204">
        <f t="shared" si="23"/>
        <v>2.2740012300550826E-4</v>
      </c>
      <c r="BG56" s="2204">
        <f t="shared" si="23"/>
        <v>6.3075831211304503E-6</v>
      </c>
      <c r="BH56" s="2204">
        <f t="shared" si="23"/>
        <v>2.9390027781257791E-3</v>
      </c>
      <c r="BI56" s="2204">
        <f t="shared" si="23"/>
        <v>3.1163442233530492E-3</v>
      </c>
    </row>
    <row r="57" spans="1:61" s="2204" customFormat="1">
      <c r="A57" s="2199"/>
      <c r="B57" s="2200"/>
      <c r="C57" s="2200"/>
      <c r="D57" s="2207"/>
      <c r="E57" s="3656"/>
      <c r="F57" s="2301" t="s">
        <v>1134</v>
      </c>
      <c r="G57" s="2302"/>
      <c r="H57" s="2200"/>
      <c r="I57" s="2200"/>
      <c r="J57" s="2200"/>
      <c r="K57" s="2200"/>
      <c r="L57" s="2200"/>
      <c r="M57" s="2200"/>
      <c r="N57" s="2200"/>
      <c r="O57" s="2200"/>
      <c r="P57" s="2200"/>
      <c r="Q57" s="2200"/>
      <c r="R57" s="2200"/>
      <c r="S57" s="2200"/>
      <c r="T57" s="2200"/>
      <c r="U57" s="2200"/>
      <c r="V57" s="2200"/>
      <c r="W57" s="2200"/>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c r="AS57" s="2200"/>
      <c r="AT57" s="2200"/>
      <c r="AU57" s="2200"/>
      <c r="AV57" s="2200"/>
      <c r="AW57" s="2200"/>
      <c r="AX57" s="2200"/>
      <c r="AY57" s="2200"/>
      <c r="AZ57" s="2200"/>
      <c r="BA57" s="2200"/>
      <c r="BB57" s="2200"/>
      <c r="BC57" s="2200"/>
      <c r="BD57" s="2200"/>
      <c r="BE57" s="2200"/>
      <c r="BF57" s="2200"/>
      <c r="BG57" s="2200"/>
      <c r="BH57" s="2200"/>
      <c r="BI57" s="2200"/>
    </row>
    <row r="58" spans="1:61" s="2204" customFormat="1">
      <c r="A58" s="2199"/>
      <c r="B58" s="2200"/>
      <c r="C58" s="2200"/>
      <c r="D58" s="2207"/>
      <c r="E58" s="3663" t="str">
        <f>E31</f>
        <v>Période vie entière 0-70 ans (effets sans seuil)</v>
      </c>
      <c r="F58" s="2208"/>
      <c r="G58" s="2209"/>
      <c r="H58" s="2200"/>
      <c r="I58" s="2200"/>
      <c r="J58" s="2200"/>
      <c r="K58" s="2200"/>
      <c r="L58" s="2200"/>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c r="AS58" s="2200"/>
      <c r="AT58" s="2200"/>
      <c r="AU58" s="2200"/>
      <c r="AV58" s="2200"/>
      <c r="AW58" s="2200"/>
      <c r="AX58" s="2200"/>
      <c r="AY58" s="2200"/>
      <c r="AZ58" s="2200"/>
      <c r="BA58" s="2200"/>
      <c r="BB58" s="2200"/>
      <c r="BC58" s="2200"/>
      <c r="BD58" s="2200"/>
      <c r="BE58" s="2200"/>
      <c r="BF58" s="2200"/>
      <c r="BG58" s="2200"/>
      <c r="BH58" s="2200"/>
      <c r="BI58" s="2200"/>
    </row>
    <row r="59" spans="1:61" s="2204" customFormat="1" ht="25.5">
      <c r="A59" s="2210"/>
      <c r="D59" s="2207"/>
      <c r="E59" s="3656" t="s">
        <v>575</v>
      </c>
      <c r="F59" s="2205" t="s">
        <v>138</v>
      </c>
      <c r="G59" s="2206" t="s">
        <v>139</v>
      </c>
      <c r="H59" s="2204">
        <f t="shared" ref="H59:AL59" si="24">MIN(H34,H$49)</f>
        <v>7.7376852016212191E-4</v>
      </c>
      <c r="I59" s="2204">
        <f t="shared" si="24"/>
        <v>7.7376852016212191E-4</v>
      </c>
      <c r="J59" s="2204">
        <f>MIN(J34,J$49)</f>
        <v>1.1786794409861001E-4</v>
      </c>
      <c r="K59" s="2204">
        <f t="shared" si="24"/>
        <v>5.2902171175928501E-7</v>
      </c>
      <c r="L59" s="2204">
        <f t="shared" si="24"/>
        <v>2.8295067381853387E-6</v>
      </c>
      <c r="M59" s="2204">
        <f t="shared" si="24"/>
        <v>2.8295067381853387E-6</v>
      </c>
      <c r="N59" s="2204">
        <f>MIN(N34,N$49)</f>
        <v>1.4346139545526303E-6</v>
      </c>
      <c r="O59" s="2204">
        <f>MIN(O34,O$49)</f>
        <v>1.4346139545526303E-6</v>
      </c>
      <c r="P59" s="2204">
        <f t="shared" si="24"/>
        <v>1.314060609926401E-6</v>
      </c>
      <c r="Q59" s="2204">
        <f t="shared" si="24"/>
        <v>1.314060609926401E-6</v>
      </c>
      <c r="R59" s="2204">
        <f>MIN(R34,R$49)</f>
        <v>3.2690306132254255E-6</v>
      </c>
      <c r="S59" s="2204">
        <f>MIN(S34,S$49)</f>
        <v>3.4844542528148829E-6</v>
      </c>
      <c r="T59" s="2204">
        <f>MIN(T34,T$49)</f>
        <v>3.4844542528148829E-6</v>
      </c>
      <c r="U59" s="2204">
        <f t="shared" si="24"/>
        <v>7.4012034741639221E-7</v>
      </c>
      <c r="V59" s="2204">
        <f t="shared" si="24"/>
        <v>4.5217474353963014E-7</v>
      </c>
      <c r="W59" s="2204">
        <f t="shared" si="24"/>
        <v>4.5217474353963014E-7</v>
      </c>
      <c r="X59" s="2204">
        <f t="shared" si="24"/>
        <v>2.3570226331696212E-6</v>
      </c>
      <c r="Y59" s="2204">
        <f t="shared" si="24"/>
        <v>3.4008978950141175E-6</v>
      </c>
      <c r="Z59" s="2204">
        <f t="shared" si="24"/>
        <v>5.7426538677291316E-6</v>
      </c>
      <c r="AA59" s="2204">
        <f t="shared" si="24"/>
        <v>8.560141574144568E-6</v>
      </c>
      <c r="AB59" s="2204">
        <f t="shared" si="24"/>
        <v>7.5688436251191195E-6</v>
      </c>
      <c r="AC59" s="2204">
        <f t="shared" si="24"/>
        <v>3.8787834770605911E-5</v>
      </c>
      <c r="AD59" s="2204">
        <f t="shared" si="24"/>
        <v>1.9816675960137716E-4</v>
      </c>
      <c r="AE59" s="2204">
        <f t="shared" si="24"/>
        <v>2.6888857778934085E-4</v>
      </c>
      <c r="AF59" s="2204">
        <f t="shared" si="24"/>
        <v>2.2824639619806395E-4</v>
      </c>
      <c r="AG59" s="2204">
        <f t="shared" si="24"/>
        <v>3.291020261357222E-7</v>
      </c>
      <c r="AH59" s="2204">
        <f t="shared" si="24"/>
        <v>4.3954141004301113E-7</v>
      </c>
      <c r="AI59" s="2204">
        <f t="shared" si="24"/>
        <v>1.0809782850641064E-6</v>
      </c>
      <c r="AJ59" s="2204">
        <f t="shared" si="24"/>
        <v>4.5411022858959111E-6</v>
      </c>
      <c r="AK59" s="2204">
        <f t="shared" si="24"/>
        <v>1.991969539889811E-5</v>
      </c>
      <c r="AL59" s="2204">
        <f t="shared" si="24"/>
        <v>1.8847519545544717E-4</v>
      </c>
      <c r="AM59" s="2204">
        <f t="shared" ref="AM59:BI59" si="25">MIN(AM34,AM$49)</f>
        <v>1.5902594531763968E-4</v>
      </c>
      <c r="AN59" s="2204">
        <f t="shared" si="25"/>
        <v>4.0184064655524867E-4</v>
      </c>
      <c r="AO59" s="2204">
        <f t="shared" si="25"/>
        <v>3.3940398754173182E-4</v>
      </c>
      <c r="AP59" s="2204">
        <f t="shared" si="25"/>
        <v>3.3343642145126034E-4</v>
      </c>
      <c r="AQ59" s="2204">
        <f t="shared" si="25"/>
        <v>3.1110408609158637E-4</v>
      </c>
      <c r="AR59" s="2204">
        <f t="shared" si="25"/>
        <v>2.9673552292587611E-4</v>
      </c>
      <c r="AS59" s="2204">
        <f t="shared" si="25"/>
        <v>2.9471149548520079E-4</v>
      </c>
      <c r="AT59" s="2204">
        <f t="shared" si="25"/>
        <v>2.8245061933669375E-4</v>
      </c>
      <c r="AU59" s="2204">
        <f t="shared" si="25"/>
        <v>2.862821240185571E-4</v>
      </c>
      <c r="AV59" s="2204">
        <f t="shared" si="25"/>
        <v>2.7169829643089585E-4</v>
      </c>
      <c r="AW59" s="2204">
        <f t="shared" si="25"/>
        <v>2.8633748018150643E-4</v>
      </c>
      <c r="AX59" s="2204">
        <f t="shared" si="25"/>
        <v>1.8009935536198193E-3</v>
      </c>
      <c r="AY59" s="2204">
        <f t="shared" si="25"/>
        <v>1.8009935536198193E-3</v>
      </c>
      <c r="AZ59" s="2204">
        <f t="shared" si="25"/>
        <v>2.4141974168879728E-3</v>
      </c>
      <c r="BA59" s="2204">
        <f t="shared" si="25"/>
        <v>3.2328581834376625E-3</v>
      </c>
      <c r="BB59" s="2204">
        <f t="shared" si="25"/>
        <v>5.1022216414718007E-4</v>
      </c>
      <c r="BC59" s="2204">
        <f t="shared" si="25"/>
        <v>455.79160448264452</v>
      </c>
      <c r="BD59" s="2204">
        <f t="shared" si="25"/>
        <v>5.5344935658665729E-3</v>
      </c>
      <c r="BE59" s="2204">
        <f t="shared" si="25"/>
        <v>2.2740012300550826E-4</v>
      </c>
      <c r="BF59" s="2204">
        <f t="shared" si="25"/>
        <v>2.2740012300550826E-4</v>
      </c>
      <c r="BG59" s="2204">
        <f t="shared" si="25"/>
        <v>5.4064998181118143E-7</v>
      </c>
      <c r="BH59" s="2204">
        <f t="shared" si="25"/>
        <v>2.9390027781257791E-3</v>
      </c>
      <c r="BI59" s="2204">
        <f t="shared" si="25"/>
        <v>2.1178787173638004E-3</v>
      </c>
    </row>
    <row r="60" spans="1:61" s="2204" customFormat="1">
      <c r="A60" s="2210"/>
      <c r="D60" s="2207"/>
      <c r="E60" s="3656"/>
      <c r="F60" s="2301" t="s">
        <v>1134</v>
      </c>
      <c r="G60" s="2302"/>
    </row>
    <row r="61" spans="1:61" s="2204" customFormat="1">
      <c r="A61" s="2199"/>
      <c r="B61" s="2200"/>
      <c r="C61" s="2200"/>
      <c r="D61" s="2207"/>
      <c r="E61" s="3663" t="s">
        <v>572</v>
      </c>
      <c r="F61" s="2208"/>
      <c r="G61" s="2209"/>
      <c r="H61" s="2200"/>
      <c r="I61" s="2200"/>
      <c r="J61" s="2200"/>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c r="AS61" s="2200"/>
      <c r="AT61" s="2200"/>
      <c r="AU61" s="2200"/>
      <c r="AV61" s="2200"/>
      <c r="AW61" s="2200"/>
      <c r="AX61" s="2200"/>
      <c r="AY61" s="2200"/>
      <c r="AZ61" s="2200"/>
      <c r="BA61" s="2200"/>
      <c r="BB61" s="2200"/>
      <c r="BC61" s="2200"/>
      <c r="BD61" s="2200"/>
      <c r="BE61" s="2200"/>
      <c r="BF61" s="2200"/>
      <c r="BG61" s="2200"/>
      <c r="BH61" s="2200"/>
      <c r="BI61" s="2200"/>
    </row>
    <row r="62" spans="1:61" s="2204" customFormat="1" ht="25.5">
      <c r="A62" s="2210"/>
      <c r="D62" s="2207"/>
      <c r="E62" s="3656" t="s">
        <v>575</v>
      </c>
      <c r="F62" s="2205" t="s">
        <v>138</v>
      </c>
      <c r="G62" s="2206" t="s">
        <v>139</v>
      </c>
      <c r="H62" s="2204">
        <f>ROUND((H59*H$32-H56*H$27)/(H$32-H$27),20)</f>
        <v>7.7277461505283499E-4</v>
      </c>
      <c r="I62" s="2204">
        <f t="shared" ref="I62:BI62" si="26">ROUND((I59*I$32-I56*I$27)/(I$32-I$27),20)</f>
        <v>7.7277461505283499E-4</v>
      </c>
      <c r="J62" s="2204">
        <f>ROUND((J59*J$32-J56*J$27)/(J$32-J$27),20)</f>
        <v>6.13007349995126E-5</v>
      </c>
      <c r="K62" s="2204">
        <f t="shared" si="26"/>
        <v>0</v>
      </c>
      <c r="L62" s="2204">
        <f t="shared" si="26"/>
        <v>0</v>
      </c>
      <c r="M62" s="2204">
        <f t="shared" si="26"/>
        <v>0</v>
      </c>
      <c r="N62" s="2204">
        <f>ROUND((N59*N$32-N56*N$27)/(N$32-N$27),20)</f>
        <v>0</v>
      </c>
      <c r="O62" s="2204">
        <f>ROUND((O59*O$32-O56*O$27)/(O$32-O$27),20)</f>
        <v>0</v>
      </c>
      <c r="P62" s="2204">
        <f t="shared" si="26"/>
        <v>0</v>
      </c>
      <c r="Q62" s="2204">
        <f t="shared" si="26"/>
        <v>0</v>
      </c>
      <c r="R62" s="2204">
        <f>ROUND((R59*R$32-R56*R$27)/(R$32-R$27),20)</f>
        <v>0</v>
      </c>
      <c r="S62" s="2204">
        <f>ROUND((S59*S$32-S56*S$27)/(S$32-S$27),20)</f>
        <v>0</v>
      </c>
      <c r="T62" s="2204">
        <f>ROUND((T59*T$32-T56*T$27)/(T$32-T$27),20)</f>
        <v>0</v>
      </c>
      <c r="U62" s="2204">
        <f t="shared" si="26"/>
        <v>0</v>
      </c>
      <c r="V62" s="2204">
        <f t="shared" si="26"/>
        <v>0</v>
      </c>
      <c r="W62" s="2204">
        <f t="shared" si="26"/>
        <v>0</v>
      </c>
      <c r="X62" s="2204">
        <f t="shared" si="26"/>
        <v>0</v>
      </c>
      <c r="Y62" s="2204">
        <f t="shared" si="26"/>
        <v>0</v>
      </c>
      <c r="Z62" s="2204">
        <f t="shared" si="26"/>
        <v>0</v>
      </c>
      <c r="AA62" s="2204">
        <f t="shared" si="26"/>
        <v>0</v>
      </c>
      <c r="AB62" s="2204">
        <f t="shared" si="26"/>
        <v>0</v>
      </c>
      <c r="AC62" s="2204">
        <f t="shared" si="26"/>
        <v>5.7124712116270803E-6</v>
      </c>
      <c r="AD62" s="2204">
        <f t="shared" si="26"/>
        <v>1.8490896316332201E-4</v>
      </c>
      <c r="AE62" s="2204">
        <f t="shared" si="26"/>
        <v>2.6888857778934101E-4</v>
      </c>
      <c r="AF62" s="2204">
        <f t="shared" si="26"/>
        <v>2.28246396198064E-4</v>
      </c>
      <c r="AG62" s="2204">
        <f t="shared" si="26"/>
        <v>0</v>
      </c>
      <c r="AH62" s="2204">
        <f t="shared" si="26"/>
        <v>0</v>
      </c>
      <c r="AI62" s="2204">
        <f t="shared" si="26"/>
        <v>0</v>
      </c>
      <c r="AJ62" s="2204">
        <f t="shared" si="26"/>
        <v>0</v>
      </c>
      <c r="AK62" s="2204">
        <f t="shared" si="26"/>
        <v>0</v>
      </c>
      <c r="AL62" s="2204">
        <f t="shared" si="26"/>
        <v>1.8847519545544701E-4</v>
      </c>
      <c r="AM62" s="2204">
        <f t="shared" si="26"/>
        <v>1.5902594531764001E-4</v>
      </c>
      <c r="AN62" s="2204">
        <f t="shared" si="26"/>
        <v>4.01840646555249E-4</v>
      </c>
      <c r="AO62" s="2204">
        <f t="shared" si="26"/>
        <v>3.3940398754173199E-4</v>
      </c>
      <c r="AP62" s="2204">
        <f t="shared" si="26"/>
        <v>3.3343642145126001E-4</v>
      </c>
      <c r="AQ62" s="2204">
        <f t="shared" si="26"/>
        <v>3.1110408609158599E-4</v>
      </c>
      <c r="AR62" s="2204">
        <f t="shared" si="26"/>
        <v>2.9673552292587601E-4</v>
      </c>
      <c r="AS62" s="2204">
        <f t="shared" si="26"/>
        <v>2.9471149548520101E-4</v>
      </c>
      <c r="AT62" s="2204">
        <f t="shared" si="26"/>
        <v>2.8245061933669403E-4</v>
      </c>
      <c r="AU62" s="2204">
        <f t="shared" si="26"/>
        <v>2.8628212401855699E-4</v>
      </c>
      <c r="AV62" s="2204">
        <f t="shared" si="26"/>
        <v>2.7169829643089601E-4</v>
      </c>
      <c r="AW62" s="2204">
        <f t="shared" si="26"/>
        <v>2.86337480181506E-4</v>
      </c>
      <c r="AX62" s="2204">
        <f t="shared" si="26"/>
        <v>1.80099355361982E-3</v>
      </c>
      <c r="AY62" s="2204">
        <f t="shared" si="26"/>
        <v>1.80099355361982E-3</v>
      </c>
      <c r="AZ62" s="2204">
        <f t="shared" si="26"/>
        <v>2.4141974168879702E-3</v>
      </c>
      <c r="BA62" s="2204">
        <f t="shared" si="26"/>
        <v>3.2328581834376599E-3</v>
      </c>
      <c r="BB62" s="2204">
        <f t="shared" si="26"/>
        <v>5.1022216414717996E-4</v>
      </c>
      <c r="BC62" s="2204">
        <f t="shared" si="26"/>
        <v>455.79160448264503</v>
      </c>
      <c r="BD62" s="2204">
        <f t="shared" si="26"/>
        <v>5.5344935658665703E-3</v>
      </c>
      <c r="BE62" s="2204">
        <f t="shared" si="26"/>
        <v>2.2740012300550801E-4</v>
      </c>
      <c r="BF62" s="2204">
        <f t="shared" si="26"/>
        <v>2.2740012300550801E-4</v>
      </c>
      <c r="BG62" s="2204">
        <f t="shared" si="26"/>
        <v>0</v>
      </c>
      <c r="BH62" s="2204">
        <f t="shared" si="26"/>
        <v>2.93900277812578E-3</v>
      </c>
      <c r="BI62" s="2204">
        <f t="shared" si="26"/>
        <v>2.02427257617731E-3</v>
      </c>
    </row>
    <row r="63" spans="1:61" s="2204" customFormat="1">
      <c r="A63" s="2199"/>
      <c r="B63" s="2200"/>
      <c r="C63" s="2200"/>
      <c r="D63" s="2207"/>
      <c r="E63" s="3656"/>
      <c r="F63" s="2208"/>
      <c r="G63" s="2209"/>
      <c r="H63" s="2200"/>
      <c r="I63" s="2200"/>
      <c r="J63" s="2200"/>
      <c r="K63" s="2200"/>
      <c r="L63" s="220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c r="AS63" s="2200"/>
      <c r="AT63" s="2200"/>
      <c r="AU63" s="2200"/>
      <c r="AV63" s="2200"/>
      <c r="AW63" s="2200"/>
      <c r="AX63" s="2200"/>
      <c r="AY63" s="2200"/>
      <c r="AZ63" s="2200"/>
      <c r="BA63" s="2200"/>
      <c r="BB63" s="2200"/>
      <c r="BC63" s="2200"/>
      <c r="BD63" s="2200"/>
      <c r="BE63" s="2200"/>
      <c r="BF63" s="2200"/>
      <c r="BG63" s="2200"/>
      <c r="BH63" s="2200"/>
      <c r="BI63" s="2200"/>
    </row>
    <row r="64" spans="1:61" s="2204" customFormat="1">
      <c r="A64" s="2199"/>
      <c r="B64" s="2200"/>
      <c r="C64" s="2200"/>
      <c r="D64" s="2207"/>
      <c r="E64" s="3663" t="str">
        <f>E36</f>
        <v>Période employé (40 ans)</v>
      </c>
      <c r="F64" s="2208"/>
      <c r="G64" s="2209"/>
      <c r="H64" s="2200"/>
      <c r="I64" s="2200"/>
      <c r="J64" s="2200"/>
      <c r="K64" s="2200"/>
      <c r="L64" s="2200"/>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c r="AS64" s="2200"/>
      <c r="AT64" s="2200"/>
      <c r="AU64" s="2200"/>
      <c r="AV64" s="2200"/>
      <c r="AW64" s="2200"/>
      <c r="AX64" s="2200"/>
      <c r="AY64" s="2200"/>
      <c r="AZ64" s="2200"/>
      <c r="BA64" s="2200"/>
      <c r="BB64" s="2200"/>
      <c r="BC64" s="2200"/>
      <c r="BD64" s="2200"/>
      <c r="BE64" s="2200"/>
      <c r="BF64" s="2200"/>
      <c r="BG64" s="2200"/>
      <c r="BH64" s="2200"/>
      <c r="BI64" s="2200"/>
    </row>
    <row r="65" spans="1:62" s="2315" customFormat="1" ht="26.25" thickBot="1">
      <c r="A65" s="2314"/>
      <c r="D65" s="2207"/>
      <c r="E65" s="3664" t="s">
        <v>575</v>
      </c>
      <c r="F65" s="2316" t="s">
        <v>138</v>
      </c>
      <c r="G65" s="2317" t="s">
        <v>139</v>
      </c>
      <c r="H65" s="2315">
        <f t="shared" ref="H65:AL65" si="27">MIN(H39,H$49)</f>
        <v>7.8437017466117772E-4</v>
      </c>
      <c r="I65" s="2315">
        <f t="shared" si="27"/>
        <v>7.8437017466117772E-4</v>
      </c>
      <c r="J65" s="2315">
        <f>MIN(J39,J$49)</f>
        <v>2.0626890217256754E-4</v>
      </c>
      <c r="K65" s="2315">
        <f t="shared" si="27"/>
        <v>9.2578799557874888E-7</v>
      </c>
      <c r="L65" s="2315">
        <f t="shared" si="27"/>
        <v>4.9516367918243421E-6</v>
      </c>
      <c r="M65" s="2315">
        <f t="shared" si="27"/>
        <v>4.9516367918243421E-6</v>
      </c>
      <c r="N65" s="2315">
        <f>MIN(N39,N$49)</f>
        <v>2.5105744204671032E-6</v>
      </c>
      <c r="O65" s="2315">
        <f>MIN(O39,O$49)</f>
        <v>2.5105744204671032E-6</v>
      </c>
      <c r="P65" s="2315">
        <f t="shared" si="27"/>
        <v>2.2996060673712017E-6</v>
      </c>
      <c r="Q65" s="2315">
        <f t="shared" si="27"/>
        <v>2.2996060673712017E-6</v>
      </c>
      <c r="R65" s="2315">
        <f>MIN(R39,R$49)</f>
        <v>5.720803573144495E-6</v>
      </c>
      <c r="S65" s="2315">
        <f>MIN(S39,S$49)</f>
        <v>6.0977949424260457E-6</v>
      </c>
      <c r="T65" s="2315">
        <f>MIN(T39,T$49)</f>
        <v>6.0977949424260457E-6</v>
      </c>
      <c r="U65" s="2315">
        <f t="shared" si="27"/>
        <v>1.2952106079786864E-6</v>
      </c>
      <c r="V65" s="2315">
        <f t="shared" si="27"/>
        <v>7.9130580119435269E-7</v>
      </c>
      <c r="W65" s="2315">
        <f t="shared" si="27"/>
        <v>7.9130580119435269E-7</v>
      </c>
      <c r="X65" s="2315">
        <f t="shared" si="27"/>
        <v>4.124789608046837E-6</v>
      </c>
      <c r="Y65" s="2315">
        <f t="shared" si="27"/>
        <v>5.9515713162747051E-6</v>
      </c>
      <c r="Z65" s="2315">
        <f t="shared" si="27"/>
        <v>1.004964426852598E-5</v>
      </c>
      <c r="AA65" s="2315">
        <f t="shared" si="27"/>
        <v>1.4980247754752993E-5</v>
      </c>
      <c r="AB65" s="2315">
        <f t="shared" si="27"/>
        <v>1.3245476343958458E-5</v>
      </c>
      <c r="AC65" s="2315">
        <f t="shared" si="27"/>
        <v>6.7878710848560343E-5</v>
      </c>
      <c r="AD65" s="2315">
        <f t="shared" si="27"/>
        <v>3.3958325494063242E-4</v>
      </c>
      <c r="AE65" s="2315">
        <f t="shared" si="27"/>
        <v>2.6888857778934085E-4</v>
      </c>
      <c r="AF65" s="2315">
        <f t="shared" si="27"/>
        <v>2.2824639619806395E-4</v>
      </c>
      <c r="AG65" s="2315">
        <f t="shared" si="27"/>
        <v>5.7592854573751388E-7</v>
      </c>
      <c r="AH65" s="2315">
        <f t="shared" si="27"/>
        <v>7.6919746757526942E-7</v>
      </c>
      <c r="AI65" s="2315">
        <f t="shared" si="27"/>
        <v>1.8917119988621861E-6</v>
      </c>
      <c r="AJ65" s="2315">
        <f t="shared" si="27"/>
        <v>7.9469290003178434E-6</v>
      </c>
      <c r="AK65" s="2315">
        <f t="shared" si="27"/>
        <v>3.4859466948071687E-5</v>
      </c>
      <c r="AL65" s="2315">
        <f t="shared" si="27"/>
        <v>1.8847519545544717E-4</v>
      </c>
      <c r="AM65" s="2315">
        <f t="shared" ref="AM65:BI65" si="28">MIN(AM39,AM$49)</f>
        <v>1.5902594531763968E-4</v>
      </c>
      <c r="AN65" s="2315">
        <f t="shared" si="28"/>
        <v>4.0184064655524867E-4</v>
      </c>
      <c r="AO65" s="2315">
        <f t="shared" si="28"/>
        <v>3.3940398754173182E-4</v>
      </c>
      <c r="AP65" s="2315">
        <f t="shared" si="28"/>
        <v>3.3343642145126034E-4</v>
      </c>
      <c r="AQ65" s="2315">
        <f t="shared" si="28"/>
        <v>3.1110408609158637E-4</v>
      </c>
      <c r="AR65" s="2315">
        <f t="shared" si="28"/>
        <v>2.9673552292587611E-4</v>
      </c>
      <c r="AS65" s="2315">
        <f t="shared" si="28"/>
        <v>2.9471149548520079E-4</v>
      </c>
      <c r="AT65" s="2315">
        <f t="shared" si="28"/>
        <v>2.8245061933669375E-4</v>
      </c>
      <c r="AU65" s="2315">
        <f t="shared" si="28"/>
        <v>2.862821240185571E-4</v>
      </c>
      <c r="AV65" s="2315">
        <f t="shared" si="28"/>
        <v>2.7169829643089585E-4</v>
      </c>
      <c r="AW65" s="2315">
        <f t="shared" si="28"/>
        <v>2.8633748018150643E-4</v>
      </c>
      <c r="AX65" s="2315">
        <f t="shared" si="28"/>
        <v>1.8009935536198193E-3</v>
      </c>
      <c r="AY65" s="2315">
        <f t="shared" si="28"/>
        <v>1.8009935536198193E-3</v>
      </c>
      <c r="AZ65" s="2315">
        <f t="shared" si="28"/>
        <v>2.4141974168879728E-3</v>
      </c>
      <c r="BA65" s="2315">
        <f t="shared" si="28"/>
        <v>3.2328581834376625E-3</v>
      </c>
      <c r="BB65" s="2315">
        <f t="shared" si="28"/>
        <v>5.1022216414718007E-4</v>
      </c>
      <c r="BC65" s="2315">
        <f t="shared" si="28"/>
        <v>455.79160448264452</v>
      </c>
      <c r="BD65" s="2315">
        <f t="shared" si="28"/>
        <v>5.5344935658665729E-3</v>
      </c>
      <c r="BE65" s="2315">
        <f t="shared" si="28"/>
        <v>2.2740012300550826E-4</v>
      </c>
      <c r="BF65" s="2315">
        <f t="shared" si="28"/>
        <v>2.2740012300550826E-4</v>
      </c>
      <c r="BG65" s="2315">
        <f t="shared" si="28"/>
        <v>9.4613746816956763E-7</v>
      </c>
      <c r="BH65" s="2315">
        <f t="shared" si="28"/>
        <v>2.9390027781257791E-3</v>
      </c>
      <c r="BI65" s="2315">
        <f t="shared" si="28"/>
        <v>3.1163442233530492E-3</v>
      </c>
    </row>
    <row r="66" spans="1:62">
      <c r="A66" s="2126"/>
      <c r="B66" s="2156"/>
      <c r="C66" s="2156"/>
      <c r="D66" s="2207"/>
      <c r="E66" s="2153"/>
      <c r="F66" s="2153"/>
      <c r="G66" s="2154"/>
      <c r="H66" s="2156"/>
      <c r="I66" s="2156"/>
      <c r="J66" s="2156"/>
      <c r="K66" s="2156"/>
      <c r="L66" s="2156"/>
      <c r="M66" s="2156"/>
      <c r="N66" s="2156"/>
      <c r="O66" s="2156"/>
      <c r="P66" s="2156"/>
      <c r="Q66" s="2156"/>
      <c r="S66" s="2156"/>
      <c r="T66" s="2156"/>
      <c r="U66" s="2156"/>
      <c r="V66" s="2156"/>
      <c r="W66" s="2156"/>
      <c r="X66" s="2156"/>
      <c r="Y66" s="2156"/>
      <c r="Z66" s="2156"/>
      <c r="AA66" s="2156"/>
      <c r="AB66" s="2156"/>
      <c r="AC66" s="2156"/>
      <c r="AD66" s="2156"/>
      <c r="AE66" s="2156"/>
      <c r="AF66" s="2156"/>
      <c r="AG66" s="2156"/>
      <c r="AH66" s="2156"/>
      <c r="AI66" s="2156"/>
      <c r="AJ66" s="2156"/>
      <c r="AK66" s="2156"/>
      <c r="AL66" s="2156"/>
      <c r="AM66" s="2156"/>
      <c r="AN66" s="2156"/>
      <c r="AO66" s="2156"/>
      <c r="AP66" s="2156"/>
      <c r="AQ66" s="2156"/>
      <c r="AR66" s="2156"/>
      <c r="AS66" s="2156"/>
      <c r="AT66" s="2156"/>
      <c r="AU66" s="2156"/>
      <c r="AV66" s="2156"/>
      <c r="AW66" s="2156"/>
      <c r="AX66" s="2156"/>
      <c r="AY66" s="2156"/>
      <c r="AZ66" s="2156"/>
      <c r="BA66" s="2156"/>
      <c r="BB66" s="2156"/>
      <c r="BC66" s="2156"/>
      <c r="BD66" s="2156"/>
      <c r="BE66" s="2156"/>
      <c r="BF66" s="2156"/>
      <c r="BG66" s="2156"/>
      <c r="BH66" s="2156"/>
      <c r="BI66" s="2156"/>
    </row>
    <row r="67" spans="1:62">
      <c r="A67" s="2126"/>
      <c r="B67" s="2156"/>
      <c r="C67" s="2156"/>
      <c r="D67" s="2207"/>
      <c r="E67" s="2195" t="s">
        <v>578</v>
      </c>
      <c r="F67" s="2153"/>
      <c r="G67" s="2154"/>
      <c r="H67" s="2156"/>
      <c r="I67" s="2156"/>
      <c r="J67" s="2156"/>
      <c r="K67" s="2156"/>
      <c r="L67" s="2156"/>
      <c r="M67" s="2156"/>
      <c r="N67" s="2156"/>
      <c r="O67" s="2156"/>
      <c r="P67" s="2156"/>
      <c r="Q67" s="2156"/>
      <c r="S67" s="2156"/>
      <c r="T67" s="2156"/>
      <c r="U67" s="2156"/>
      <c r="V67" s="2156"/>
      <c r="W67" s="2156"/>
      <c r="X67" s="2156"/>
      <c r="Y67" s="2156"/>
      <c r="Z67" s="2156"/>
      <c r="AA67" s="2156"/>
      <c r="AB67" s="2156"/>
      <c r="AC67" s="2156"/>
      <c r="AD67" s="2156"/>
      <c r="AE67" s="2156"/>
      <c r="AF67" s="2156"/>
      <c r="AG67" s="2156"/>
      <c r="AH67" s="2156"/>
      <c r="AI67" s="2156"/>
      <c r="AJ67" s="2156"/>
      <c r="AK67" s="2156"/>
      <c r="AL67" s="2156"/>
      <c r="AM67" s="2156"/>
      <c r="AN67" s="2156"/>
      <c r="AO67" s="2156"/>
      <c r="AP67" s="2156"/>
      <c r="AQ67" s="2156"/>
      <c r="AR67" s="2156"/>
      <c r="AS67" s="2156"/>
      <c r="AT67" s="2156"/>
      <c r="AU67" s="2156"/>
      <c r="AV67" s="2156"/>
      <c r="AW67" s="2156"/>
      <c r="AX67" s="2156"/>
      <c r="AY67" s="2156"/>
      <c r="AZ67" s="2156"/>
      <c r="BA67" s="2156"/>
      <c r="BB67" s="2156"/>
      <c r="BC67" s="2156"/>
      <c r="BD67" s="2156"/>
      <c r="BE67" s="2156"/>
      <c r="BF67" s="2156"/>
      <c r="BG67" s="2156"/>
      <c r="BH67" s="2156"/>
      <c r="BI67" s="2156"/>
    </row>
    <row r="68" spans="1:62" s="2193" customFormat="1" ht="25.5">
      <c r="B68" s="2236"/>
      <c r="C68" s="2236"/>
      <c r="D68" s="2207"/>
      <c r="E68" s="2313" t="s">
        <v>602</v>
      </c>
      <c r="F68" s="2217" t="s">
        <v>580</v>
      </c>
      <c r="G68" s="2218" t="str">
        <f>'Du K'!G$47</f>
        <v>(mg/m2/s)/(mg/l/m)</v>
      </c>
      <c r="H68" s="2236">
        <f>'Du K'!H$47</f>
        <v>1.9159627734629636E-4</v>
      </c>
      <c r="I68" s="2236">
        <f>'Du K'!I$47</f>
        <v>1.9159627734629636E-4</v>
      </c>
      <c r="J68" s="2236">
        <f>'Du K'!J$47</f>
        <v>1.6071467255706864E-4</v>
      </c>
      <c r="K68" s="2236">
        <f>'Du K'!K$47</f>
        <v>3.099490129549467E-4</v>
      </c>
      <c r="L68" s="2236">
        <f>'Du K'!L$47</f>
        <v>2.154539868716845E-4</v>
      </c>
      <c r="M68" s="2236">
        <f>'Du K'!M$47</f>
        <v>2.154539868716845E-4</v>
      </c>
      <c r="N68" s="2236">
        <f>'Du K'!N$47</f>
        <v>2.3105952278671638E-4</v>
      </c>
      <c r="O68" s="2236">
        <f>'Du K'!O$47</f>
        <v>2.3105952278671638E-4</v>
      </c>
      <c r="P68" s="2236">
        <f>'Du K'!P$47</f>
        <v>2.1056150999831108E-4</v>
      </c>
      <c r="Q68" s="2236">
        <f>'Du K'!Q$47</f>
        <v>2.1056150999831108E-4</v>
      </c>
      <c r="R68" s="2236">
        <f>'Du K'!R$47</f>
        <v>2.9826785993674505E-3</v>
      </c>
      <c r="S68" s="2236">
        <f>'Du K'!S$47</f>
        <v>3.0433620271631741E-4</v>
      </c>
      <c r="T68" s="2236">
        <f>'Du K'!T$47</f>
        <v>3.0433620271631741E-4</v>
      </c>
      <c r="U68" s="2236">
        <f>'Du K'!U$47</f>
        <v>2.2810231436902058E-4</v>
      </c>
      <c r="V68" s="2236">
        <f>'Du K'!V$47</f>
        <v>8.3283203817867459E-5</v>
      </c>
      <c r="W68" s="2236">
        <f>'Du K'!W$47</f>
        <v>8.3283203817867459E-5</v>
      </c>
      <c r="X68" s="2236">
        <f>'Du K'!X$47</f>
        <v>2.3973378529884719E-4</v>
      </c>
      <c r="Y68" s="2236">
        <f>'Du K'!Y$47</f>
        <v>2.1533892865267568E-4</v>
      </c>
      <c r="Z68" s="2236">
        <f>'Du K'!Z$47</f>
        <v>1.9744539702761256E-4</v>
      </c>
      <c r="AA68" s="2236">
        <f>'Du K'!AA$47</f>
        <v>1.9747346219845099E-4</v>
      </c>
      <c r="AB68" s="2236">
        <f>'Du K'!AB$47</f>
        <v>9.2613185438208126E-5</v>
      </c>
      <c r="AC68" s="2236">
        <f>'Du K'!AC$47</f>
        <v>8.5532338652184915E-5</v>
      </c>
      <c r="AD68" s="2236">
        <f>'Du K'!AD$47</f>
        <v>7.4214880404602782E-5</v>
      </c>
      <c r="AE68" s="2236">
        <f>'Du K'!AE$47</f>
        <v>5.8930203647059292E-5</v>
      </c>
      <c r="AF68" s="2236">
        <f>'Du K'!AF$47</f>
        <v>5.3206939689122174E-5</v>
      </c>
      <c r="AG68" s="2236">
        <f>'Du K'!AG$47</f>
        <v>1.3717655649032317E-4</v>
      </c>
      <c r="AH68" s="2236">
        <f>'Du K'!AH$47</f>
        <v>1.1111289627743701E-4</v>
      </c>
      <c r="AI68" s="2236">
        <f>'Du K'!AI$47</f>
        <v>8.5471394571485736E-5</v>
      </c>
      <c r="AJ68" s="2236">
        <f>'Du K'!AJ$47</f>
        <v>6.944547915373997E-5</v>
      </c>
      <c r="AK68" s="2236">
        <f>'Du K'!AK$47</f>
        <v>5.5556347709955414E-5</v>
      </c>
      <c r="AL68" s="2236">
        <f>'Du K'!AL$47</f>
        <v>4.1152843081368337E-5</v>
      </c>
      <c r="AM68" s="2236">
        <f>'Du K'!AM$47</f>
        <v>3.4722710988504891E-5</v>
      </c>
      <c r="AN68" s="2236">
        <f>'Du K'!AN$47</f>
        <v>8.8751752863654547E-5</v>
      </c>
      <c r="AO68" s="2236">
        <f>'Du K'!AO$47</f>
        <v>7.5157906736941809E-5</v>
      </c>
      <c r="AP68" s="2236">
        <f>'Du K'!AP$47</f>
        <v>7.3520304327643436E-5</v>
      </c>
      <c r="AQ68" s="2236">
        <f>'Du K'!AQ$47</f>
        <v>6.8950559553842763E-5</v>
      </c>
      <c r="AR68" s="2236">
        <f>'Du K'!AR$47</f>
        <v>6.7112546334183802E-5</v>
      </c>
      <c r="AS68" s="2236">
        <f>'Du K'!AS$47</f>
        <v>6.6249840729710685E-5</v>
      </c>
      <c r="AT68" s="2236">
        <f>'Du K'!AT$47</f>
        <v>6.8096094535064936E-5</v>
      </c>
      <c r="AU68" s="2236">
        <f>'Du K'!AU$47</f>
        <v>6.972920508296619E-5</v>
      </c>
      <c r="AV68" s="2236">
        <f>'Du K'!AV$47</f>
        <v>6.9468560136792736E-5</v>
      </c>
      <c r="AW68" s="2236">
        <f>'Du K'!AW$47</f>
        <v>7.5708251167043585E-5</v>
      </c>
      <c r="AX68" s="2236">
        <f>'Du K'!AX$47</f>
        <v>7.2571461172120768E-4</v>
      </c>
      <c r="AY68" s="2236">
        <f>'Du K'!AY$47</f>
        <v>7.2571461172120768E-4</v>
      </c>
      <c r="AZ68" s="2236">
        <f>'Du K'!AZ$47</f>
        <v>9.8707850032651585E-4</v>
      </c>
      <c r="BA68" s="2236">
        <f>'Du K'!BA$47</f>
        <v>1.3399490006351796E-3</v>
      </c>
      <c r="BB68" s="2236">
        <f>'Du K'!BB$47</f>
        <v>1.7805230633235368E-4</v>
      </c>
      <c r="BC68" s="2236">
        <f>'Du K'!BC$47</f>
        <v>194.27300552401812</v>
      </c>
      <c r="BD68" s="2236">
        <f>'Du K'!BD$47</f>
        <v>2.1306962850719362E-3</v>
      </c>
      <c r="BE68" s="2236">
        <f>'Du K'!BE$47</f>
        <v>5.584189215638962E-5</v>
      </c>
      <c r="BF68" s="2236">
        <f>'Du K'!BF$47</f>
        <v>5.584189215638962E-5</v>
      </c>
      <c r="BG68" s="2236">
        <f>'Du K'!BG$47</f>
        <v>8.9828904678261023E-5</v>
      </c>
      <c r="BH68" s="2236">
        <f>'Du K'!BH$47</f>
        <v>1.102364880153907E-3</v>
      </c>
      <c r="BI68" s="2236">
        <f>'Du K'!BI$47</f>
        <v>8.6058458905717604E-4</v>
      </c>
    </row>
    <row r="69" spans="1:62">
      <c r="A69" s="2126"/>
      <c r="B69" s="2156"/>
      <c r="C69" s="2156"/>
      <c r="D69" s="2207"/>
      <c r="E69" s="581"/>
      <c r="F69" s="2153"/>
      <c r="G69" s="2154"/>
      <c r="H69" s="2156"/>
      <c r="I69" s="2156"/>
      <c r="J69" s="2156"/>
      <c r="K69" s="2156"/>
      <c r="L69" s="2156"/>
      <c r="M69" s="2156"/>
      <c r="N69" s="2156"/>
      <c r="O69" s="2156"/>
      <c r="P69" s="2156"/>
      <c r="Q69" s="2156"/>
      <c r="S69" s="2156"/>
      <c r="T69" s="2156"/>
      <c r="U69" s="2156"/>
      <c r="V69" s="2156"/>
      <c r="W69" s="2156"/>
      <c r="X69" s="2156"/>
      <c r="Y69" s="2156"/>
      <c r="Z69" s="2156"/>
      <c r="AA69" s="2156"/>
      <c r="AB69" s="2156"/>
      <c r="AC69" s="2156"/>
      <c r="AD69" s="2156"/>
      <c r="AE69" s="2156"/>
      <c r="AF69" s="2156"/>
      <c r="AG69" s="2156"/>
      <c r="AH69" s="2156"/>
      <c r="AI69" s="2156"/>
      <c r="AJ69" s="2156"/>
      <c r="AK69" s="2156"/>
      <c r="AL69" s="2156"/>
      <c r="AM69" s="2156"/>
      <c r="AN69" s="2156"/>
      <c r="AO69" s="2156"/>
      <c r="AP69" s="2156"/>
      <c r="AQ69" s="2156"/>
      <c r="AR69" s="2156"/>
      <c r="AS69" s="2156"/>
      <c r="AT69" s="2156"/>
      <c r="AU69" s="2156"/>
      <c r="AV69" s="2156"/>
      <c r="AW69" s="2156"/>
      <c r="AX69" s="2156"/>
      <c r="AY69" s="2156"/>
      <c r="AZ69" s="2156"/>
      <c r="BA69" s="2156"/>
      <c r="BB69" s="2156"/>
      <c r="BC69" s="2156"/>
      <c r="BD69" s="2156"/>
      <c r="BE69" s="2156"/>
      <c r="BF69" s="2156"/>
      <c r="BG69" s="2156"/>
      <c r="BH69" s="2156"/>
      <c r="BI69" s="2156"/>
    </row>
    <row r="70" spans="1:62">
      <c r="A70" s="2126"/>
      <c r="B70" s="2156"/>
      <c r="C70" s="2156"/>
      <c r="D70" s="2207"/>
      <c r="E70" s="2212" t="str">
        <f>E16</f>
        <v>Période chronique</v>
      </c>
      <c r="F70" s="2153"/>
      <c r="G70" s="2154"/>
      <c r="H70" s="2156"/>
      <c r="I70" s="2156"/>
      <c r="J70" s="2156"/>
      <c r="K70" s="2156"/>
      <c r="L70" s="2156"/>
      <c r="M70" s="2156"/>
      <c r="N70" s="2156"/>
      <c r="O70" s="2156"/>
      <c r="P70" s="2156"/>
      <c r="Q70" s="2156"/>
      <c r="S70" s="2156"/>
      <c r="T70" s="2156"/>
      <c r="U70" s="2156"/>
      <c r="V70" s="2156"/>
      <c r="W70" s="2156"/>
      <c r="X70" s="2156"/>
      <c r="Y70" s="2156"/>
      <c r="Z70" s="2156"/>
      <c r="AA70" s="2156"/>
      <c r="AB70" s="2156"/>
      <c r="AC70" s="2156"/>
      <c r="AD70" s="2156"/>
      <c r="AE70" s="2156"/>
      <c r="AF70" s="2156"/>
      <c r="AG70" s="2156"/>
      <c r="AH70" s="2156"/>
      <c r="AI70" s="2156"/>
      <c r="AJ70" s="2156"/>
      <c r="AK70" s="2156"/>
      <c r="AL70" s="2156"/>
      <c r="AM70" s="2156"/>
      <c r="AN70" s="2156"/>
      <c r="AO70" s="2156"/>
      <c r="AP70" s="2156"/>
      <c r="AQ70" s="2156"/>
      <c r="AR70" s="2156"/>
      <c r="AS70" s="2156"/>
      <c r="AT70" s="2156"/>
      <c r="AU70" s="2156"/>
      <c r="AV70" s="2156"/>
      <c r="AW70" s="2156"/>
      <c r="AX70" s="2156"/>
      <c r="AY70" s="2156"/>
      <c r="AZ70" s="2156"/>
      <c r="BA70" s="2156"/>
      <c r="BB70" s="2156"/>
      <c r="BC70" s="2156"/>
      <c r="BD70" s="2156"/>
      <c r="BE70" s="2156"/>
      <c r="BF70" s="2156"/>
      <c r="BG70" s="2156"/>
      <c r="BH70" s="2156"/>
      <c r="BI70" s="2156"/>
    </row>
    <row r="71" spans="1:62" s="2100" customFormat="1" ht="13.15" customHeight="1">
      <c r="D71" s="2207"/>
      <c r="E71" s="525" t="str">
        <f t="shared" ref="E71:AJ71" si="29">E$17</f>
        <v>Durée d'exposition considérée</v>
      </c>
      <c r="F71" s="525" t="str">
        <f t="shared" si="29"/>
        <v>t</v>
      </c>
      <c r="G71" s="526" t="str">
        <f t="shared" si="29"/>
        <v>an</v>
      </c>
      <c r="H71" s="527">
        <f t="shared" si="29"/>
        <v>7</v>
      </c>
      <c r="I71" s="527">
        <f t="shared" si="29"/>
        <v>7</v>
      </c>
      <c r="J71" s="527">
        <f t="shared" si="29"/>
        <v>7</v>
      </c>
      <c r="K71" s="527">
        <f t="shared" si="29"/>
        <v>1</v>
      </c>
      <c r="L71" s="527">
        <f t="shared" si="29"/>
        <v>1</v>
      </c>
      <c r="M71" s="527">
        <f t="shared" si="29"/>
        <v>1</v>
      </c>
      <c r="N71" s="527">
        <f t="shared" si="29"/>
        <v>1</v>
      </c>
      <c r="O71" s="527">
        <f t="shared" si="29"/>
        <v>1</v>
      </c>
      <c r="P71" s="527">
        <f t="shared" si="29"/>
        <v>1</v>
      </c>
      <c r="Q71" s="527">
        <f t="shared" si="29"/>
        <v>1</v>
      </c>
      <c r="R71" s="527">
        <f t="shared" si="29"/>
        <v>1</v>
      </c>
      <c r="S71" s="527">
        <f t="shared" si="29"/>
        <v>1</v>
      </c>
      <c r="T71" s="527">
        <f t="shared" si="29"/>
        <v>1</v>
      </c>
      <c r="U71" s="527">
        <f t="shared" si="29"/>
        <v>1</v>
      </c>
      <c r="V71" s="527">
        <f t="shared" si="29"/>
        <v>1</v>
      </c>
      <c r="W71" s="527">
        <f t="shared" si="29"/>
        <v>1</v>
      </c>
      <c r="X71" s="527">
        <f t="shared" si="29"/>
        <v>1</v>
      </c>
      <c r="Y71" s="527">
        <f t="shared" si="29"/>
        <v>1</v>
      </c>
      <c r="Z71" s="527">
        <f t="shared" si="29"/>
        <v>1</v>
      </c>
      <c r="AA71" s="528">
        <f t="shared" si="29"/>
        <v>7</v>
      </c>
      <c r="AB71" s="527">
        <f t="shared" si="29"/>
        <v>1</v>
      </c>
      <c r="AC71" s="527">
        <f t="shared" si="29"/>
        <v>1</v>
      </c>
      <c r="AD71" s="527">
        <f t="shared" si="29"/>
        <v>1</v>
      </c>
      <c r="AE71" s="527">
        <f t="shared" si="29"/>
        <v>1</v>
      </c>
      <c r="AF71" s="527">
        <f t="shared" si="29"/>
        <v>1</v>
      </c>
      <c r="AG71" s="527">
        <f t="shared" si="29"/>
        <v>1</v>
      </c>
      <c r="AH71" s="527">
        <f t="shared" si="29"/>
        <v>1</v>
      </c>
      <c r="AI71" s="527">
        <f t="shared" si="29"/>
        <v>1</v>
      </c>
      <c r="AJ71" s="527">
        <f t="shared" si="29"/>
        <v>1</v>
      </c>
      <c r="AK71" s="527">
        <f t="shared" ref="AK71:BI71" si="30">AK$17</f>
        <v>1</v>
      </c>
      <c r="AL71" s="527">
        <f t="shared" si="30"/>
        <v>1</v>
      </c>
      <c r="AM71" s="527">
        <f t="shared" si="30"/>
        <v>1</v>
      </c>
      <c r="AN71" s="528">
        <f t="shared" si="30"/>
        <v>7</v>
      </c>
      <c r="AO71" s="527">
        <f t="shared" si="30"/>
        <v>1</v>
      </c>
      <c r="AP71" s="527">
        <f t="shared" si="30"/>
        <v>1</v>
      </c>
      <c r="AQ71" s="527">
        <f t="shared" si="30"/>
        <v>1</v>
      </c>
      <c r="AR71" s="527">
        <f t="shared" si="30"/>
        <v>1</v>
      </c>
      <c r="AS71" s="527">
        <f t="shared" si="30"/>
        <v>1</v>
      </c>
      <c r="AT71" s="527">
        <f t="shared" si="30"/>
        <v>1</v>
      </c>
      <c r="AU71" s="527">
        <f t="shared" si="30"/>
        <v>1</v>
      </c>
      <c r="AV71" s="527">
        <f t="shared" si="30"/>
        <v>1</v>
      </c>
      <c r="AW71" s="527">
        <f t="shared" si="30"/>
        <v>1</v>
      </c>
      <c r="AX71" s="527">
        <f t="shared" si="30"/>
        <v>1</v>
      </c>
      <c r="AY71" s="527">
        <f t="shared" si="30"/>
        <v>1</v>
      </c>
      <c r="AZ71" s="527">
        <f t="shared" si="30"/>
        <v>1</v>
      </c>
      <c r="BA71" s="527">
        <f t="shared" si="30"/>
        <v>1</v>
      </c>
      <c r="BB71" s="527">
        <f t="shared" si="30"/>
        <v>1</v>
      </c>
      <c r="BC71" s="527">
        <f t="shared" si="30"/>
        <v>1</v>
      </c>
      <c r="BD71" s="527">
        <f t="shared" si="30"/>
        <v>1</v>
      </c>
      <c r="BE71" s="527">
        <f t="shared" si="30"/>
        <v>1</v>
      </c>
      <c r="BF71" s="527">
        <f t="shared" si="30"/>
        <v>1</v>
      </c>
      <c r="BG71" s="527">
        <f t="shared" si="30"/>
        <v>1</v>
      </c>
      <c r="BH71" s="527">
        <f t="shared" si="30"/>
        <v>1</v>
      </c>
      <c r="BI71" s="527">
        <f t="shared" si="30"/>
        <v>7</v>
      </c>
      <c r="BJ71" s="78"/>
    </row>
    <row r="72" spans="1:62" s="2216" customFormat="1" ht="13.15" customHeight="1">
      <c r="A72" s="2213"/>
      <c r="B72" s="2214"/>
      <c r="C72" s="2213"/>
      <c r="D72" s="2207"/>
      <c r="E72" s="2208" t="str">
        <f t="shared" ref="E72:AJ72" si="31">E$18</f>
        <v>Durée d'exposition considérée</v>
      </c>
      <c r="F72" s="2208" t="str">
        <f t="shared" si="31"/>
        <v>t</v>
      </c>
      <c r="G72" s="2209" t="str">
        <f t="shared" si="31"/>
        <v>s</v>
      </c>
      <c r="H72" s="2161">
        <f t="shared" si="31"/>
        <v>220752000</v>
      </c>
      <c r="I72" s="2161">
        <f t="shared" si="31"/>
        <v>220752000</v>
      </c>
      <c r="J72" s="2161">
        <f t="shared" si="31"/>
        <v>220752000</v>
      </c>
      <c r="K72" s="2161">
        <f t="shared" si="31"/>
        <v>31536000</v>
      </c>
      <c r="L72" s="2161">
        <f t="shared" si="31"/>
        <v>31536000</v>
      </c>
      <c r="M72" s="2161">
        <f t="shared" si="31"/>
        <v>31536000</v>
      </c>
      <c r="N72" s="2161">
        <f t="shared" si="31"/>
        <v>31536000</v>
      </c>
      <c r="O72" s="2161">
        <f t="shared" si="31"/>
        <v>31536000</v>
      </c>
      <c r="P72" s="2161">
        <f t="shared" si="31"/>
        <v>31536000</v>
      </c>
      <c r="Q72" s="2161">
        <f t="shared" si="31"/>
        <v>31536000</v>
      </c>
      <c r="R72" s="2161">
        <f t="shared" si="31"/>
        <v>31536000</v>
      </c>
      <c r="S72" s="2161">
        <f t="shared" si="31"/>
        <v>31536000</v>
      </c>
      <c r="T72" s="2161">
        <f t="shared" si="31"/>
        <v>31536000</v>
      </c>
      <c r="U72" s="2161">
        <f t="shared" si="31"/>
        <v>31536000</v>
      </c>
      <c r="V72" s="2161">
        <f t="shared" si="31"/>
        <v>31536000</v>
      </c>
      <c r="W72" s="2161">
        <f t="shared" si="31"/>
        <v>31536000</v>
      </c>
      <c r="X72" s="2161">
        <f t="shared" si="31"/>
        <v>31536000</v>
      </c>
      <c r="Y72" s="2161">
        <f t="shared" si="31"/>
        <v>31536000</v>
      </c>
      <c r="Z72" s="2161">
        <f t="shared" si="31"/>
        <v>31536000</v>
      </c>
      <c r="AA72" s="2215">
        <f t="shared" si="31"/>
        <v>220752000</v>
      </c>
      <c r="AB72" s="2161">
        <f t="shared" si="31"/>
        <v>31536000</v>
      </c>
      <c r="AC72" s="2161">
        <f t="shared" si="31"/>
        <v>31536000</v>
      </c>
      <c r="AD72" s="2161">
        <f t="shared" si="31"/>
        <v>31536000</v>
      </c>
      <c r="AE72" s="2161">
        <f t="shared" si="31"/>
        <v>31536000</v>
      </c>
      <c r="AF72" s="2161">
        <f t="shared" si="31"/>
        <v>31536000</v>
      </c>
      <c r="AG72" s="2161">
        <f t="shared" si="31"/>
        <v>31536000</v>
      </c>
      <c r="AH72" s="2161">
        <f t="shared" si="31"/>
        <v>31536000</v>
      </c>
      <c r="AI72" s="2161">
        <f t="shared" si="31"/>
        <v>31536000</v>
      </c>
      <c r="AJ72" s="2161">
        <f t="shared" si="31"/>
        <v>31536000</v>
      </c>
      <c r="AK72" s="2161">
        <f t="shared" ref="AK72:BI72" si="32">AK$18</f>
        <v>31536000</v>
      </c>
      <c r="AL72" s="2161">
        <f t="shared" si="32"/>
        <v>31536000</v>
      </c>
      <c r="AM72" s="2161">
        <f t="shared" si="32"/>
        <v>31536000</v>
      </c>
      <c r="AN72" s="2215">
        <f t="shared" si="32"/>
        <v>220752000</v>
      </c>
      <c r="AO72" s="2161">
        <f t="shared" si="32"/>
        <v>31536000</v>
      </c>
      <c r="AP72" s="2161">
        <f t="shared" si="32"/>
        <v>31536000</v>
      </c>
      <c r="AQ72" s="2161">
        <f t="shared" si="32"/>
        <v>31536000</v>
      </c>
      <c r="AR72" s="2161">
        <f t="shared" si="32"/>
        <v>31536000</v>
      </c>
      <c r="AS72" s="2161">
        <f t="shared" si="32"/>
        <v>31536000</v>
      </c>
      <c r="AT72" s="2161">
        <f t="shared" si="32"/>
        <v>31536000</v>
      </c>
      <c r="AU72" s="2161">
        <f t="shared" si="32"/>
        <v>31536000</v>
      </c>
      <c r="AV72" s="2161">
        <f t="shared" si="32"/>
        <v>31536000</v>
      </c>
      <c r="AW72" s="2161">
        <f t="shared" si="32"/>
        <v>31536000</v>
      </c>
      <c r="AX72" s="2161">
        <f t="shared" si="32"/>
        <v>31536000</v>
      </c>
      <c r="AY72" s="2161">
        <f t="shared" si="32"/>
        <v>31536000</v>
      </c>
      <c r="AZ72" s="2161">
        <f t="shared" si="32"/>
        <v>31536000</v>
      </c>
      <c r="BA72" s="2161">
        <f t="shared" si="32"/>
        <v>31536000</v>
      </c>
      <c r="BB72" s="2161">
        <f t="shared" si="32"/>
        <v>31536000</v>
      </c>
      <c r="BC72" s="2161">
        <f t="shared" si="32"/>
        <v>31536000</v>
      </c>
      <c r="BD72" s="2161">
        <f t="shared" si="32"/>
        <v>31536000</v>
      </c>
      <c r="BE72" s="2161">
        <f t="shared" si="32"/>
        <v>31536000</v>
      </c>
      <c r="BF72" s="2161">
        <f t="shared" si="32"/>
        <v>31536000</v>
      </c>
      <c r="BG72" s="2161">
        <f t="shared" si="32"/>
        <v>31536000</v>
      </c>
      <c r="BH72" s="2161">
        <f t="shared" si="32"/>
        <v>31536000</v>
      </c>
      <c r="BI72" s="2161">
        <f t="shared" si="32"/>
        <v>220752000</v>
      </c>
    </row>
    <row r="73" spans="1:62" s="2204" customFormat="1" ht="25.5">
      <c r="D73" s="2207"/>
      <c r="E73" s="2201" t="s">
        <v>609</v>
      </c>
      <c r="F73" s="2201" t="s">
        <v>1131</v>
      </c>
      <c r="G73" s="2202" t="s">
        <v>73</v>
      </c>
      <c r="H73" s="2203">
        <f t="shared" ref="H73:AM73" si="33">(2*H68*H13*0.001/H14*H72+(H41+H68*H45)^2)^0.5-H68*H45</f>
        <v>0.21206047037998846</v>
      </c>
      <c r="I73" s="2203">
        <f t="shared" si="33"/>
        <v>0.21206047037998846</v>
      </c>
      <c r="J73" s="2203">
        <f t="shared" si="33"/>
        <v>0.70870934890412951</v>
      </c>
      <c r="K73" s="2203">
        <f t="shared" si="33"/>
        <v>6.8715678522199113</v>
      </c>
      <c r="L73" s="2203">
        <f t="shared" si="33"/>
        <v>2.3456066474980699</v>
      </c>
      <c r="M73" s="2203">
        <f t="shared" si="33"/>
        <v>2.3456066474980699</v>
      </c>
      <c r="N73" s="2203">
        <f t="shared" si="33"/>
        <v>3.5035690430159927</v>
      </c>
      <c r="O73" s="2203">
        <f t="shared" si="33"/>
        <v>3.5035690430159927</v>
      </c>
      <c r="P73" s="2203">
        <f t="shared" si="33"/>
        <v>3.4940904558934593</v>
      </c>
      <c r="Q73" s="2203">
        <f t="shared" si="33"/>
        <v>3.4940904558934593</v>
      </c>
      <c r="R73" s="2203">
        <f t="shared" si="33"/>
        <v>8.6277644268249993</v>
      </c>
      <c r="S73" s="2203">
        <f t="shared" si="33"/>
        <v>2.5264009279279191</v>
      </c>
      <c r="T73" s="2203">
        <f t="shared" si="33"/>
        <v>2.5264009279279191</v>
      </c>
      <c r="U73" s="2203">
        <f t="shared" si="33"/>
        <v>4.9260063609027478</v>
      </c>
      <c r="V73" s="2203">
        <f t="shared" si="33"/>
        <v>3.7609526789275964</v>
      </c>
      <c r="W73" s="2203">
        <f t="shared" si="33"/>
        <v>3.7609526789275964</v>
      </c>
      <c r="X73" s="2203">
        <f t="shared" si="33"/>
        <v>2.7422961225425935</v>
      </c>
      <c r="Y73" s="2203">
        <f t="shared" si="33"/>
        <v>2.1214715403027795</v>
      </c>
      <c r="Z73" s="2203">
        <f t="shared" si="33"/>
        <v>1.512146373612274</v>
      </c>
      <c r="AA73" s="2203">
        <f t="shared" si="33"/>
        <v>3.5084026361778968</v>
      </c>
      <c r="AB73" s="2203">
        <f t="shared" si="33"/>
        <v>0.82876770055727345</v>
      </c>
      <c r="AC73" s="2203">
        <f t="shared" si="33"/>
        <v>0.26811623203410911</v>
      </c>
      <c r="AD73" s="2203">
        <f t="shared" si="33"/>
        <v>6.4054162908354473E-2</v>
      </c>
      <c r="AE73" s="2203">
        <f t="shared" si="33"/>
        <v>7.1349674219258474E-3</v>
      </c>
      <c r="AF73" s="2203">
        <f t="shared" si="33"/>
        <v>2.5509990085964551E-5</v>
      </c>
      <c r="AG73" s="2203">
        <f t="shared" si="33"/>
        <v>5.7628882059556457</v>
      </c>
      <c r="AH73" s="2203">
        <f t="shared" si="33"/>
        <v>4.441656589676934</v>
      </c>
      <c r="AI73" s="2203">
        <f t="shared" si="33"/>
        <v>2.3941199577696501</v>
      </c>
      <c r="AJ73" s="2203">
        <f t="shared" si="33"/>
        <v>0.9471894289297107</v>
      </c>
      <c r="AK73" s="2203">
        <f t="shared" si="33"/>
        <v>0.31712887708834447</v>
      </c>
      <c r="AL73" s="2203">
        <f t="shared" si="33"/>
        <v>2.8836657237436142E-2</v>
      </c>
      <c r="AM73" s="2203">
        <f t="shared" si="33"/>
        <v>1.7947409489268984E-4</v>
      </c>
      <c r="AN73" s="2203">
        <f t="shared" ref="AN73:BI73" si="34">(2*AN68*AN13*0.001/AN14*AN72+(AN41+AN68*AN45)^2)^0.5-AN68*AN45</f>
        <v>0.17968996361102896</v>
      </c>
      <c r="AO73" s="2203">
        <f t="shared" si="34"/>
        <v>8.1793702673659541E-3</v>
      </c>
      <c r="AP73" s="2203">
        <f t="shared" si="34"/>
        <v>1.3290793501444798E-2</v>
      </c>
      <c r="AQ73" s="2203">
        <f t="shared" si="34"/>
        <v>5.1135258443422427E-3</v>
      </c>
      <c r="AR73" s="2203">
        <f t="shared" si="34"/>
        <v>9.8564652372593042E-4</v>
      </c>
      <c r="AS73" s="2203">
        <f t="shared" si="34"/>
        <v>1.2636006275708878E-3</v>
      </c>
      <c r="AT73" s="2203">
        <f t="shared" si="34"/>
        <v>8.8631986534776219E-5</v>
      </c>
      <c r="AU73" s="2203">
        <f t="shared" si="34"/>
        <v>8.6422170227029582E-5</v>
      </c>
      <c r="AV73" s="2203">
        <f t="shared" si="34"/>
        <v>1.3086977849019465E-5</v>
      </c>
      <c r="AW73" s="2203">
        <f t="shared" si="34"/>
        <v>1.3289841807262448E-5</v>
      </c>
      <c r="AX73" s="2203">
        <f t="shared" si="34"/>
        <v>2.9422748513696639E-6</v>
      </c>
      <c r="AY73" s="2203">
        <f t="shared" si="34"/>
        <v>2.0192740526892017E-6</v>
      </c>
      <c r="AZ73" s="2203">
        <f t="shared" si="34"/>
        <v>1.8075526094230021E-6</v>
      </c>
      <c r="BA73" s="2203">
        <f t="shared" si="34"/>
        <v>4.1804552958213392E-7</v>
      </c>
      <c r="BB73" s="2203">
        <f t="shared" si="34"/>
        <v>1.0446482940906776E-6</v>
      </c>
      <c r="BC73" s="2203">
        <f t="shared" si="34"/>
        <v>2.4790741964819674E-7</v>
      </c>
      <c r="BD73" s="2203">
        <f t="shared" si="34"/>
        <v>1.0735209907032806E-2</v>
      </c>
      <c r="BE73" s="2203">
        <f t="shared" si="34"/>
        <v>9.92614201344999E-6</v>
      </c>
      <c r="BF73" s="2203">
        <f t="shared" si="34"/>
        <v>9.92614201344999E-6</v>
      </c>
      <c r="BG73" s="2203">
        <f t="shared" si="34"/>
        <v>3.5616762018745569</v>
      </c>
      <c r="BH73" s="2203">
        <f t="shared" si="34"/>
        <v>7.6093121144384379E-3</v>
      </c>
      <c r="BI73" s="2203">
        <f t="shared" si="34"/>
        <v>0.28959138276519308</v>
      </c>
    </row>
    <row r="74" spans="1:62" s="2204" customFormat="1" ht="25.5">
      <c r="D74" s="2207"/>
      <c r="E74" s="2205" t="s">
        <v>610</v>
      </c>
      <c r="F74" s="2205" t="s">
        <v>138</v>
      </c>
      <c r="G74" s="2206" t="s">
        <v>139</v>
      </c>
      <c r="H74" s="2204">
        <f t="shared" ref="H74:AM74" si="35">1000*H14/H13*(H73-H41)/H72</f>
        <v>5.4695238783602389E-4</v>
      </c>
      <c r="I74" s="2204">
        <f t="shared" si="35"/>
        <v>5.4695238783602389E-4</v>
      </c>
      <c r="J74" s="2204">
        <f t="shared" si="35"/>
        <v>2.7844704639598083E-4</v>
      </c>
      <c r="K74" s="2204">
        <f t="shared" si="35"/>
        <v>8.4821533711867215E-5</v>
      </c>
      <c r="L74" s="2204">
        <f t="shared" si="35"/>
        <v>1.548612289986559E-4</v>
      </c>
      <c r="M74" s="2204">
        <f t="shared" si="35"/>
        <v>1.548612289986559E-4</v>
      </c>
      <c r="N74" s="2204">
        <f t="shared" si="35"/>
        <v>1.1727961092981813E-4</v>
      </c>
      <c r="O74" s="2204">
        <f t="shared" si="35"/>
        <v>1.1727961092981813E-4</v>
      </c>
      <c r="P74" s="2204">
        <f t="shared" si="35"/>
        <v>1.0713375483088542E-4</v>
      </c>
      <c r="Q74" s="2204">
        <f t="shared" si="35"/>
        <v>1.0713375483088542E-4</v>
      </c>
      <c r="R74" s="2204">
        <f t="shared" si="35"/>
        <v>6.5810327414972565E-4</v>
      </c>
      <c r="S74" s="2204">
        <f t="shared" si="35"/>
        <v>2.0540633067812444E-4</v>
      </c>
      <c r="T74" s="2204">
        <f t="shared" si="35"/>
        <v>2.0540633067812444E-4</v>
      </c>
      <c r="U74" s="2204">
        <f t="shared" si="35"/>
        <v>8.5069542581489661E-5</v>
      </c>
      <c r="V74" s="2204">
        <f t="shared" si="35"/>
        <v>3.9680848971371318E-5</v>
      </c>
      <c r="W74" s="2204">
        <f t="shared" si="35"/>
        <v>3.9680848971371318E-5</v>
      </c>
      <c r="X74" s="2204">
        <f t="shared" si="35"/>
        <v>1.5081859397934435E-4</v>
      </c>
      <c r="Y74" s="2204">
        <f t="shared" si="35"/>
        <v>1.6834785556745521E-4</v>
      </c>
      <c r="Z74" s="2204">
        <f t="shared" si="35"/>
        <v>2.0262044182326581E-4</v>
      </c>
      <c r="AA74" s="2204">
        <f t="shared" si="35"/>
        <v>1.0010807754928269E-4</v>
      </c>
      <c r="AB74" s="2204">
        <f t="shared" si="35"/>
        <v>1.4636563963157616E-4</v>
      </c>
      <c r="AC74" s="2204">
        <f t="shared" si="35"/>
        <v>2.4265845584065074E-4</v>
      </c>
      <c r="AD74" s="2204">
        <f t="shared" si="35"/>
        <v>2.9617947105897106E-4</v>
      </c>
      <c r="AE74" s="2204">
        <f t="shared" si="35"/>
        <v>2.6458176181694639E-4</v>
      </c>
      <c r="AF74" s="2204">
        <f t="shared" si="35"/>
        <v>2.2823390810557077E-4</v>
      </c>
      <c r="AG74" s="2204">
        <f t="shared" si="35"/>
        <v>4.4253490982718733E-5</v>
      </c>
      <c r="AH74" s="2204">
        <f t="shared" si="35"/>
        <v>4.5553480008246742E-5</v>
      </c>
      <c r="AI74" s="2204">
        <f t="shared" si="35"/>
        <v>6.0386472677710355E-5</v>
      </c>
      <c r="AJ74" s="2204">
        <f t="shared" si="35"/>
        <v>1.0036329522074687E-4</v>
      </c>
      <c r="AK74" s="2204">
        <f t="shared" si="35"/>
        <v>1.4739924812186977E-4</v>
      </c>
      <c r="AL74" s="2204">
        <f t="shared" si="35"/>
        <v>1.7680031828057631E-4</v>
      </c>
      <c r="AM74" s="2204">
        <f t="shared" si="35"/>
        <v>1.5896061486449779E-4</v>
      </c>
      <c r="AN74" s="2204">
        <f t="shared" ref="AN74:BI74" si="36">1000*AN14/AN13*(AN73-AN41)/AN72</f>
        <v>2.8564356991238305E-4</v>
      </c>
      <c r="AO74" s="2204">
        <f t="shared" si="36"/>
        <v>3.3324936437693914E-4</v>
      </c>
      <c r="AP74" s="2204">
        <f t="shared" si="36"/>
        <v>3.2368104741037107E-4</v>
      </c>
      <c r="AQ74" s="2204">
        <f t="shared" si="36"/>
        <v>3.075560934069006E-4</v>
      </c>
      <c r="AR74" s="2204">
        <f t="shared" si="36"/>
        <v>2.9609034237929011E-4</v>
      </c>
      <c r="AS74" s="2204">
        <f t="shared" si="36"/>
        <v>2.9388551410977116E-4</v>
      </c>
      <c r="AT74" s="2204">
        <f t="shared" si="36"/>
        <v>2.8239871023385253E-4</v>
      </c>
      <c r="AU74" s="2204">
        <f t="shared" si="36"/>
        <v>2.8623134411418622E-4</v>
      </c>
      <c r="AV74" s="2204">
        <f t="shared" si="36"/>
        <v>2.716913432458069E-4</v>
      </c>
      <c r="AW74" s="2204">
        <f t="shared" si="36"/>
        <v>2.8633028416598009E-4</v>
      </c>
      <c r="AX74" s="2204">
        <f t="shared" si="36"/>
        <v>1.800986978404435E-3</v>
      </c>
      <c r="AY74" s="2204">
        <f t="shared" si="36"/>
        <v>1.8009890410886748E-3</v>
      </c>
      <c r="AZ74" s="2204">
        <f t="shared" si="36"/>
        <v>2.4141920804133074E-3</v>
      </c>
      <c r="BA74" s="2204">
        <f t="shared" si="36"/>
        <v>3.2328565529041588E-3</v>
      </c>
      <c r="BB74" s="2204">
        <f t="shared" si="36"/>
        <v>5.1022140047048538E-4</v>
      </c>
      <c r="BC74" s="2204">
        <f t="shared" si="36"/>
        <v>455.79147190691157</v>
      </c>
      <c r="BD74" s="2204">
        <f t="shared" si="36"/>
        <v>5.4583906153338685E-3</v>
      </c>
      <c r="BE74" s="2204">
        <f t="shared" si="36"/>
        <v>2.2739552718573165E-4</v>
      </c>
      <c r="BF74" s="2204">
        <f t="shared" si="36"/>
        <v>2.2739552718573165E-4</v>
      </c>
      <c r="BG74" s="2204">
        <f t="shared" si="36"/>
        <v>4.4931137387751933E-5</v>
      </c>
      <c r="BH74" s="2204">
        <f t="shared" si="36"/>
        <v>2.9094902148513045E-3</v>
      </c>
      <c r="BI74" s="2204">
        <f t="shared" si="36"/>
        <v>2.0443980876345218E-3</v>
      </c>
    </row>
    <row r="75" spans="1:62" s="2306" customFormat="1" ht="25.5">
      <c r="B75" s="2307"/>
      <c r="C75" s="2307"/>
      <c r="D75" s="2207"/>
      <c r="E75" s="2310" t="s">
        <v>611</v>
      </c>
      <c r="F75" s="2310" t="s">
        <v>138</v>
      </c>
      <c r="G75" s="2311" t="s">
        <v>139</v>
      </c>
      <c r="H75" s="2312">
        <f t="shared" ref="H75:AL75" si="37">MIN(H74,H$19)</f>
        <v>5.4695238783602389E-4</v>
      </c>
      <c r="I75" s="2312">
        <f t="shared" si="37"/>
        <v>5.4695238783602389E-4</v>
      </c>
      <c r="J75" s="2312">
        <f>MIN(J74,J$19)</f>
        <v>2.7844704639598083E-4</v>
      </c>
      <c r="K75" s="2312">
        <f t="shared" si="37"/>
        <v>3.7031519823149957E-5</v>
      </c>
      <c r="L75" s="2312">
        <f t="shared" si="37"/>
        <v>1.548612289986559E-4</v>
      </c>
      <c r="M75" s="2312">
        <f t="shared" si="37"/>
        <v>1.548612289986559E-4</v>
      </c>
      <c r="N75" s="2312">
        <f>MIN(N74,N$19)</f>
        <v>1.0042297681868412E-4</v>
      </c>
      <c r="O75" s="2312">
        <f>MIN(O74,O$19)</f>
        <v>1.0042297681868412E-4</v>
      </c>
      <c r="P75" s="2312">
        <f t="shared" si="37"/>
        <v>9.1984242694848056E-5</v>
      </c>
      <c r="Q75" s="2312">
        <f t="shared" si="37"/>
        <v>9.1984242694848056E-5</v>
      </c>
      <c r="R75" s="2312">
        <f>MIN(R74,R$19)</f>
        <v>2.2883214292577979E-4</v>
      </c>
      <c r="S75" s="2312">
        <f>MIN(S74,S$19)</f>
        <v>2.0540633067812444E-4</v>
      </c>
      <c r="T75" s="2312">
        <f>MIN(T74,T$19)</f>
        <v>2.0540633067812444E-4</v>
      </c>
      <c r="U75" s="2312">
        <f t="shared" si="37"/>
        <v>5.1808424319147455E-5</v>
      </c>
      <c r="V75" s="2312">
        <f t="shared" si="37"/>
        <v>3.1652232047774111E-5</v>
      </c>
      <c r="W75" s="2312">
        <f t="shared" si="37"/>
        <v>3.1652232047774111E-5</v>
      </c>
      <c r="X75" s="2312">
        <f t="shared" si="37"/>
        <v>1.5081859397934435E-4</v>
      </c>
      <c r="Y75" s="2312">
        <f t="shared" si="37"/>
        <v>1.6834785556745521E-4</v>
      </c>
      <c r="Z75" s="2312">
        <f t="shared" si="37"/>
        <v>2.0262044182326581E-4</v>
      </c>
      <c r="AA75" s="2312">
        <f t="shared" si="37"/>
        <v>8.5601415741445673E-5</v>
      </c>
      <c r="AB75" s="2312">
        <f t="shared" si="37"/>
        <v>1.4636563963157616E-4</v>
      </c>
      <c r="AC75" s="2312">
        <f t="shared" si="37"/>
        <v>2.4265845584065074E-4</v>
      </c>
      <c r="AD75" s="2312">
        <f t="shared" si="37"/>
        <v>2.9617947105897106E-4</v>
      </c>
      <c r="AE75" s="2312">
        <f t="shared" si="37"/>
        <v>2.6458176181694639E-4</v>
      </c>
      <c r="AF75" s="2312">
        <f t="shared" si="37"/>
        <v>2.2823390810557077E-4</v>
      </c>
      <c r="AG75" s="2312">
        <f t="shared" si="37"/>
        <v>2.3037141829500553E-5</v>
      </c>
      <c r="AH75" s="2312">
        <f t="shared" si="37"/>
        <v>3.0767898703010778E-5</v>
      </c>
      <c r="AI75" s="2312">
        <f t="shared" si="37"/>
        <v>6.0386472677710355E-5</v>
      </c>
      <c r="AJ75" s="2312">
        <f t="shared" si="37"/>
        <v>1.0036329522074687E-4</v>
      </c>
      <c r="AK75" s="2312">
        <f t="shared" si="37"/>
        <v>1.4739924812186977E-4</v>
      </c>
      <c r="AL75" s="2312">
        <f t="shared" si="37"/>
        <v>1.7680031828057631E-4</v>
      </c>
      <c r="AM75" s="2312">
        <f t="shared" ref="AM75:BI75" si="38">MIN(AM74,AM$19)</f>
        <v>1.5896061486449779E-4</v>
      </c>
      <c r="AN75" s="2312">
        <f t="shared" si="38"/>
        <v>2.8564356991238305E-4</v>
      </c>
      <c r="AO75" s="2312">
        <f t="shared" si="38"/>
        <v>3.3324936437693914E-4</v>
      </c>
      <c r="AP75" s="2312">
        <f t="shared" si="38"/>
        <v>3.2368104741037107E-4</v>
      </c>
      <c r="AQ75" s="2312">
        <f t="shared" si="38"/>
        <v>3.075560934069006E-4</v>
      </c>
      <c r="AR75" s="2312">
        <f t="shared" si="38"/>
        <v>2.9609034237929011E-4</v>
      </c>
      <c r="AS75" s="2312">
        <f t="shared" si="38"/>
        <v>2.9388551410977116E-4</v>
      </c>
      <c r="AT75" s="2312">
        <f t="shared" si="38"/>
        <v>2.8239871023385253E-4</v>
      </c>
      <c r="AU75" s="2312">
        <f t="shared" si="38"/>
        <v>2.8623134411418622E-4</v>
      </c>
      <c r="AV75" s="2312">
        <f t="shared" si="38"/>
        <v>2.716913432458069E-4</v>
      </c>
      <c r="AW75" s="2312">
        <f t="shared" si="38"/>
        <v>2.8633028416598009E-4</v>
      </c>
      <c r="AX75" s="2312">
        <f t="shared" si="38"/>
        <v>1.800986978404435E-3</v>
      </c>
      <c r="AY75" s="2312">
        <f t="shared" si="38"/>
        <v>1.8009890410886748E-3</v>
      </c>
      <c r="AZ75" s="2312">
        <f t="shared" si="38"/>
        <v>2.4141920804133074E-3</v>
      </c>
      <c r="BA75" s="2312">
        <f t="shared" si="38"/>
        <v>3.2328565529041588E-3</v>
      </c>
      <c r="BB75" s="2312">
        <f t="shared" si="38"/>
        <v>5.1022140047048538E-4</v>
      </c>
      <c r="BC75" s="2312">
        <f t="shared" si="38"/>
        <v>455.79147190691157</v>
      </c>
      <c r="BD75" s="2312">
        <f t="shared" si="38"/>
        <v>5.4583906153338685E-3</v>
      </c>
      <c r="BE75" s="2312">
        <f t="shared" si="38"/>
        <v>2.2739552718573165E-4</v>
      </c>
      <c r="BF75" s="2312">
        <f t="shared" si="38"/>
        <v>2.2739552718573165E-4</v>
      </c>
      <c r="BG75" s="2312">
        <f t="shared" si="38"/>
        <v>3.7845498726782705E-5</v>
      </c>
      <c r="BH75" s="2312">
        <f t="shared" si="38"/>
        <v>2.9094902148513045E-3</v>
      </c>
      <c r="BI75" s="2312">
        <f t="shared" si="38"/>
        <v>2.0443980876345218E-3</v>
      </c>
    </row>
    <row r="76" spans="1:62" ht="25.5">
      <c r="A76" s="2126"/>
      <c r="B76" s="2156"/>
      <c r="C76" s="2156"/>
      <c r="D76" s="2211"/>
      <c r="E76" s="2153" t="s">
        <v>582</v>
      </c>
      <c r="F76" s="2153" t="s">
        <v>300</v>
      </c>
      <c r="G76" s="2220" t="s">
        <v>35</v>
      </c>
      <c r="H76" s="2221">
        <f t="shared" ref="H76:AM76" si="39">H49/H74</f>
        <v>1.4340739561709923</v>
      </c>
      <c r="I76" s="2221">
        <f t="shared" si="39"/>
        <v>1.4340739561709923</v>
      </c>
      <c r="J76" s="2221">
        <f t="shared" si="39"/>
        <v>2.5902645302138376</v>
      </c>
      <c r="K76" s="2221">
        <f t="shared" si="39"/>
        <v>16.735410066218012</v>
      </c>
      <c r="L76" s="2221">
        <f t="shared" si="39"/>
        <v>6.3683071685445833</v>
      </c>
      <c r="M76" s="2221">
        <f t="shared" si="39"/>
        <v>6.3683071685445833</v>
      </c>
      <c r="N76" s="2221">
        <f t="shared" si="39"/>
        <v>9.0219157234161393</v>
      </c>
      <c r="O76" s="2221">
        <f t="shared" si="39"/>
        <v>9.0219157234161393</v>
      </c>
      <c r="P76" s="2221">
        <f t="shared" si="39"/>
        <v>9.0006649645525503</v>
      </c>
      <c r="Q76" s="2221">
        <f t="shared" si="39"/>
        <v>9.0006649645525503</v>
      </c>
      <c r="R76" s="2221">
        <f t="shared" si="39"/>
        <v>20.756491699452283</v>
      </c>
      <c r="S76" s="2221">
        <f t="shared" si="39"/>
        <v>6.783100105518777</v>
      </c>
      <c r="T76" s="2221">
        <f t="shared" si="39"/>
        <v>6.783100105518777</v>
      </c>
      <c r="U76" s="2221">
        <f t="shared" si="39"/>
        <v>12.279568053917426</v>
      </c>
      <c r="V76" s="2221">
        <f t="shared" si="39"/>
        <v>9.6122184420459842</v>
      </c>
      <c r="W76" s="2221">
        <f t="shared" si="39"/>
        <v>9.6122184420459842</v>
      </c>
      <c r="X76" s="2221">
        <f t="shared" si="39"/>
        <v>7.2780777246296271</v>
      </c>
      <c r="Y76" s="2221">
        <f t="shared" si="39"/>
        <v>5.8569590989253726</v>
      </c>
      <c r="Z76" s="2221">
        <f t="shared" si="39"/>
        <v>4.4620918915519248</v>
      </c>
      <c r="AA76" s="2221">
        <f t="shared" si="39"/>
        <v>9.0320071811860423</v>
      </c>
      <c r="AB76" s="2221">
        <f t="shared" si="39"/>
        <v>2.897636660902084</v>
      </c>
      <c r="AC76" s="2221">
        <f t="shared" si="39"/>
        <v>1.6137567156950745</v>
      </c>
      <c r="AD76" s="2221">
        <f t="shared" si="39"/>
        <v>1.146545551339105</v>
      </c>
      <c r="AE76" s="2221">
        <f t="shared" si="39"/>
        <v>1.0162778263430499</v>
      </c>
      <c r="AF76" s="2221">
        <f t="shared" si="39"/>
        <v>1.0000547162014481</v>
      </c>
      <c r="AG76" s="2221">
        <f t="shared" si="39"/>
        <v>14.196656721409095</v>
      </c>
      <c r="AH76" s="2221">
        <f t="shared" si="39"/>
        <v>11.171123340940472</v>
      </c>
      <c r="AI76" s="2221">
        <f t="shared" si="39"/>
        <v>6.4823910402125682</v>
      </c>
      <c r="AJ76" s="2221">
        <f t="shared" si="39"/>
        <v>3.1690073953859246</v>
      </c>
      <c r="AK76" s="2221">
        <f t="shared" si="39"/>
        <v>1.7262064733217937</v>
      </c>
      <c r="AL76" s="2221">
        <f t="shared" si="39"/>
        <v>1.0660342542842214</v>
      </c>
      <c r="AM76" s="2221">
        <f t="shared" si="39"/>
        <v>1.0004109851562766</v>
      </c>
      <c r="AN76" s="2221">
        <f t="shared" ref="AN76:BI76" si="40">AN49/AN74</f>
        <v>1.4067904510453617</v>
      </c>
      <c r="AO76" s="2221">
        <f t="shared" si="40"/>
        <v>1.0184685218418936</v>
      </c>
      <c r="AP76" s="2221">
        <f t="shared" si="40"/>
        <v>1.0301388484711653</v>
      </c>
      <c r="AQ76" s="2221">
        <f t="shared" si="40"/>
        <v>1.0115360832080531</v>
      </c>
      <c r="AR76" s="2221">
        <f t="shared" si="40"/>
        <v>1.0021789989548511</v>
      </c>
      <c r="AS76" s="2221">
        <f t="shared" si="40"/>
        <v>1.0028105549126218</v>
      </c>
      <c r="AT76" s="2221">
        <f t="shared" si="40"/>
        <v>1.0001838149430577</v>
      </c>
      <c r="AU76" s="2221">
        <f t="shared" si="40"/>
        <v>1.0001774086081594</v>
      </c>
      <c r="AV76" s="2221">
        <f t="shared" si="40"/>
        <v>1.000025592221695</v>
      </c>
      <c r="AW76" s="2221">
        <f t="shared" si="40"/>
        <v>1.0000251318701663</v>
      </c>
      <c r="AX76" s="2221">
        <f t="shared" si="40"/>
        <v>1.0000036508955719</v>
      </c>
      <c r="AY76" s="2221">
        <f t="shared" si="40"/>
        <v>1.0000025055850099</v>
      </c>
      <c r="AZ76" s="2221">
        <f t="shared" si="40"/>
        <v>1.0000022104598505</v>
      </c>
      <c r="BA76" s="2221">
        <f t="shared" si="40"/>
        <v>1.0000005043630849</v>
      </c>
      <c r="BB76" s="2221">
        <f t="shared" si="40"/>
        <v>1.0000014967555144</v>
      </c>
      <c r="BC76" s="2221">
        <f t="shared" si="40"/>
        <v>1.0000002908692704</v>
      </c>
      <c r="BD76" s="2221">
        <f t="shared" si="40"/>
        <v>1.0139423789713609</v>
      </c>
      <c r="BE76" s="2221">
        <f t="shared" si="40"/>
        <v>1.0000202106867866</v>
      </c>
      <c r="BF76" s="2221">
        <f t="shared" si="40"/>
        <v>1.0000202106867866</v>
      </c>
      <c r="BG76" s="2221">
        <f t="shared" si="40"/>
        <v>9.1533036549539162</v>
      </c>
      <c r="BH76" s="2221">
        <f t="shared" si="40"/>
        <v>1.0101435513080022</v>
      </c>
      <c r="BI76" s="2221">
        <f t="shared" si="40"/>
        <v>1.5243333684384466</v>
      </c>
    </row>
    <row r="77" spans="1:62" ht="25.5">
      <c r="A77" s="2126"/>
      <c r="B77" s="2156"/>
      <c r="C77" s="2156"/>
      <c r="D77" s="2211"/>
      <c r="E77" s="2217" t="s">
        <v>583</v>
      </c>
      <c r="F77" s="2217" t="s">
        <v>300</v>
      </c>
      <c r="G77" s="2222" t="s">
        <v>35</v>
      </c>
      <c r="H77" s="2223">
        <f t="shared" ref="H77:AM77" si="41">H53/H75</f>
        <v>1.4340739561709923</v>
      </c>
      <c r="I77" s="2223">
        <f t="shared" si="41"/>
        <v>1.4340739561709923</v>
      </c>
      <c r="J77" s="2223">
        <f t="shared" si="41"/>
        <v>2.5902645302138376</v>
      </c>
      <c r="K77" s="2223">
        <f t="shared" si="41"/>
        <v>1</v>
      </c>
      <c r="L77" s="2223">
        <f t="shared" si="41"/>
        <v>1.2789868255190766</v>
      </c>
      <c r="M77" s="2223">
        <f t="shared" si="41"/>
        <v>1.2789868255190766</v>
      </c>
      <c r="N77" s="2223">
        <f t="shared" si="41"/>
        <v>1</v>
      </c>
      <c r="O77" s="2223">
        <f t="shared" si="41"/>
        <v>1</v>
      </c>
      <c r="P77" s="2223">
        <f t="shared" si="41"/>
        <v>1</v>
      </c>
      <c r="Q77" s="2223">
        <f t="shared" si="41"/>
        <v>1</v>
      </c>
      <c r="R77" s="2223">
        <f t="shared" si="41"/>
        <v>1</v>
      </c>
      <c r="S77" s="2223">
        <f t="shared" si="41"/>
        <v>1.1874599818408527</v>
      </c>
      <c r="T77" s="2223">
        <f t="shared" si="41"/>
        <v>1.1874599818408527</v>
      </c>
      <c r="U77" s="2223">
        <f t="shared" si="41"/>
        <v>1</v>
      </c>
      <c r="V77" s="2223">
        <f t="shared" si="41"/>
        <v>1</v>
      </c>
      <c r="W77" s="2223">
        <f t="shared" si="41"/>
        <v>1</v>
      </c>
      <c r="X77" s="2223">
        <f t="shared" si="41"/>
        <v>1.0939737599229324</v>
      </c>
      <c r="Y77" s="2223">
        <f t="shared" si="41"/>
        <v>1.414112771728173</v>
      </c>
      <c r="Z77" s="2223">
        <f t="shared" si="41"/>
        <v>1.9839349234647725</v>
      </c>
      <c r="AA77" s="2223">
        <f t="shared" si="41"/>
        <v>1</v>
      </c>
      <c r="AB77" s="2223">
        <f t="shared" si="41"/>
        <v>2.897636660902084</v>
      </c>
      <c r="AC77" s="2223">
        <f t="shared" si="41"/>
        <v>1.6137567156950745</v>
      </c>
      <c r="AD77" s="2223">
        <f t="shared" si="41"/>
        <v>1.146545551339105</v>
      </c>
      <c r="AE77" s="2223">
        <f t="shared" si="41"/>
        <v>1.0162778263430499</v>
      </c>
      <c r="AF77" s="2223">
        <f t="shared" si="41"/>
        <v>1.0000547162014481</v>
      </c>
      <c r="AG77" s="2223">
        <f t="shared" si="41"/>
        <v>1</v>
      </c>
      <c r="AH77" s="2223">
        <f t="shared" si="41"/>
        <v>1</v>
      </c>
      <c r="AI77" s="2223">
        <f t="shared" si="41"/>
        <v>1.2530700436559516</v>
      </c>
      <c r="AJ77" s="2223">
        <f t="shared" si="41"/>
        <v>3.1672650774722957</v>
      </c>
      <c r="AK77" s="2223">
        <f t="shared" si="41"/>
        <v>1.7262064733217937</v>
      </c>
      <c r="AL77" s="2223">
        <f t="shared" si="41"/>
        <v>1.0660342542842214</v>
      </c>
      <c r="AM77" s="2223">
        <f t="shared" si="41"/>
        <v>1.0004109851562766</v>
      </c>
      <c r="AN77" s="2223">
        <f t="shared" ref="AN77:BI77" si="42">AN53/AN75</f>
        <v>1.4067904510453617</v>
      </c>
      <c r="AO77" s="2223">
        <f t="shared" si="42"/>
        <v>1.0184685218418936</v>
      </c>
      <c r="AP77" s="2223">
        <f t="shared" si="42"/>
        <v>1.0301388484711653</v>
      </c>
      <c r="AQ77" s="2223">
        <f t="shared" si="42"/>
        <v>1.0115360832080531</v>
      </c>
      <c r="AR77" s="2223">
        <f t="shared" si="42"/>
        <v>1.0021789989548511</v>
      </c>
      <c r="AS77" s="2223">
        <f t="shared" si="42"/>
        <v>1.0028105549126218</v>
      </c>
      <c r="AT77" s="2223">
        <f t="shared" si="42"/>
        <v>1.0001838149430577</v>
      </c>
      <c r="AU77" s="2223">
        <f t="shared" si="42"/>
        <v>1.0001774086081594</v>
      </c>
      <c r="AV77" s="2223">
        <f t="shared" si="42"/>
        <v>1.000025592221695</v>
      </c>
      <c r="AW77" s="2223">
        <f t="shared" si="42"/>
        <v>1.0000251318701663</v>
      </c>
      <c r="AX77" s="2223">
        <f t="shared" si="42"/>
        <v>1.0000036508955719</v>
      </c>
      <c r="AY77" s="2223">
        <f t="shared" si="42"/>
        <v>1.0000025055850099</v>
      </c>
      <c r="AZ77" s="2223">
        <f t="shared" si="42"/>
        <v>1.0000022104598505</v>
      </c>
      <c r="BA77" s="2223">
        <f t="shared" si="42"/>
        <v>1.0000005043630849</v>
      </c>
      <c r="BB77" s="2223">
        <f t="shared" si="42"/>
        <v>1.0000014967555144</v>
      </c>
      <c r="BC77" s="2223">
        <f t="shared" si="42"/>
        <v>1.0000002908692704</v>
      </c>
      <c r="BD77" s="2223">
        <f t="shared" si="42"/>
        <v>1.0139423789713609</v>
      </c>
      <c r="BE77" s="2223">
        <f t="shared" si="42"/>
        <v>1.0000202106867866</v>
      </c>
      <c r="BF77" s="2223">
        <f t="shared" si="42"/>
        <v>1.0000202106867866</v>
      </c>
      <c r="BG77" s="2223">
        <f t="shared" si="42"/>
        <v>1</v>
      </c>
      <c r="BH77" s="2223">
        <f t="shared" si="42"/>
        <v>1.0101435513080022</v>
      </c>
      <c r="BI77" s="2223">
        <f t="shared" si="42"/>
        <v>1.5243333684384466</v>
      </c>
    </row>
    <row r="78" spans="1:62">
      <c r="A78" s="2126"/>
      <c r="B78" s="2156"/>
      <c r="C78" s="2156"/>
      <c r="D78" s="2211"/>
      <c r="E78" s="3655"/>
      <c r="F78" s="2153"/>
      <c r="G78" s="2154"/>
      <c r="H78" s="2156"/>
      <c r="I78" s="2156"/>
      <c r="J78" s="2156"/>
      <c r="K78" s="2156"/>
      <c r="L78" s="2156"/>
      <c r="M78" s="2156"/>
      <c r="N78" s="2156"/>
      <c r="O78" s="2156"/>
      <c r="P78" s="2156"/>
      <c r="Q78" s="2156"/>
      <c r="S78" s="2156"/>
      <c r="T78" s="2156"/>
      <c r="U78" s="2156"/>
      <c r="V78" s="2156"/>
      <c r="W78" s="2156"/>
      <c r="X78" s="2156"/>
      <c r="Y78" s="2156"/>
      <c r="Z78" s="2156"/>
      <c r="AA78" s="2156"/>
      <c r="AB78" s="2156"/>
      <c r="AC78" s="2156"/>
      <c r="AD78" s="2156"/>
      <c r="AE78" s="2156"/>
      <c r="AF78" s="2156"/>
      <c r="AG78" s="2156"/>
      <c r="AH78" s="2156"/>
      <c r="AI78" s="2156"/>
      <c r="AJ78" s="2156"/>
      <c r="AK78" s="2156"/>
      <c r="AL78" s="2156"/>
      <c r="AM78" s="2156"/>
      <c r="AN78" s="2156"/>
      <c r="AO78" s="2156"/>
      <c r="AP78" s="2156"/>
      <c r="AQ78" s="2156"/>
      <c r="AR78" s="2156"/>
      <c r="AS78" s="2156"/>
      <c r="AT78" s="2156"/>
      <c r="AU78" s="2156"/>
      <c r="AV78" s="2156"/>
      <c r="AW78" s="2156"/>
      <c r="AX78" s="2156"/>
      <c r="AY78" s="2156"/>
      <c r="AZ78" s="2156"/>
      <c r="BA78" s="2156"/>
      <c r="BB78" s="2156"/>
      <c r="BC78" s="2156"/>
      <c r="BD78" s="2156"/>
      <c r="BE78" s="2156"/>
      <c r="BF78" s="2156"/>
      <c r="BG78" s="2156"/>
      <c r="BH78" s="2156"/>
      <c r="BI78" s="2156"/>
    </row>
    <row r="79" spans="1:62">
      <c r="A79" s="2126"/>
      <c r="B79" s="2156"/>
      <c r="C79" s="2156"/>
      <c r="D79" s="2211"/>
      <c r="E79" s="3660" t="s">
        <v>950</v>
      </c>
      <c r="F79" s="2153"/>
      <c r="G79" s="2154"/>
      <c r="H79" s="2156"/>
      <c r="I79" s="2156"/>
      <c r="J79" s="2156"/>
      <c r="K79" s="2156"/>
      <c r="L79" s="2156"/>
      <c r="M79" s="2156"/>
      <c r="N79" s="2156"/>
      <c r="O79" s="2156"/>
      <c r="P79" s="2156"/>
      <c r="Q79" s="2156"/>
      <c r="S79" s="2156"/>
      <c r="T79" s="2156"/>
      <c r="U79" s="2156"/>
      <c r="V79" s="2156"/>
      <c r="W79" s="2156"/>
      <c r="X79" s="2156"/>
      <c r="Y79" s="2156"/>
      <c r="Z79" s="2156"/>
      <c r="AA79" s="2156"/>
      <c r="AB79" s="2156"/>
      <c r="AC79" s="2156"/>
      <c r="AD79" s="2156"/>
      <c r="AE79" s="2156"/>
      <c r="AF79" s="2156"/>
      <c r="AG79" s="2156"/>
      <c r="AH79" s="2156"/>
      <c r="AI79" s="2156"/>
      <c r="AJ79" s="2156"/>
      <c r="AK79" s="2156"/>
      <c r="AL79" s="2156"/>
      <c r="AM79" s="2156"/>
      <c r="AN79" s="2156"/>
      <c r="AO79" s="2156"/>
      <c r="AP79" s="2156"/>
      <c r="AQ79" s="2156"/>
      <c r="AR79" s="2156"/>
      <c r="AS79" s="2156"/>
      <c r="AT79" s="2156"/>
      <c r="AU79" s="2156"/>
      <c r="AV79" s="2156"/>
      <c r="AW79" s="2156"/>
      <c r="AX79" s="2156"/>
      <c r="AY79" s="2156"/>
      <c r="AZ79" s="2156"/>
      <c r="BA79" s="2156"/>
      <c r="BB79" s="2156"/>
      <c r="BC79" s="2156"/>
      <c r="BD79" s="2156"/>
      <c r="BE79" s="2156"/>
      <c r="BF79" s="2156"/>
      <c r="BG79" s="2156"/>
      <c r="BH79" s="2156"/>
      <c r="BI79" s="2156"/>
    </row>
    <row r="80" spans="1:62">
      <c r="A80" s="2126"/>
      <c r="B80" s="2156"/>
      <c r="C80" s="2156"/>
      <c r="D80" s="2211"/>
      <c r="E80" s="3655" t="str">
        <f>E$23</f>
        <v>Durée d'exposition considérée</v>
      </c>
      <c r="F80" s="525" t="str">
        <f>F$23</f>
        <v>t</v>
      </c>
      <c r="G80" s="526" t="s">
        <v>951</v>
      </c>
      <c r="H80" s="2224">
        <f t="shared" ref="H80:AL80" si="43">H81/(30.5*24*3600)</f>
        <v>2</v>
      </c>
      <c r="I80" s="2224">
        <f t="shared" si="43"/>
        <v>2</v>
      </c>
      <c r="J80" s="2224">
        <f>J81/(30.5*24*3600)</f>
        <v>2</v>
      </c>
      <c r="K80" s="2224">
        <f t="shared" si="43"/>
        <v>2</v>
      </c>
      <c r="L80" s="2224">
        <f t="shared" si="43"/>
        <v>2</v>
      </c>
      <c r="M80" s="2224">
        <f t="shared" si="43"/>
        <v>2</v>
      </c>
      <c r="N80" s="2224">
        <f>N81/(30.5*24*3600)</f>
        <v>2</v>
      </c>
      <c r="O80" s="2224">
        <f>O81/(30.5*24*3600)</f>
        <v>2</v>
      </c>
      <c r="P80" s="2224">
        <f t="shared" si="43"/>
        <v>2</v>
      </c>
      <c r="Q80" s="2224">
        <f t="shared" si="43"/>
        <v>2</v>
      </c>
      <c r="R80" s="2224">
        <f>R81/(30.5*24*3600)</f>
        <v>2</v>
      </c>
      <c r="S80" s="2224">
        <f>S81/(30.5*24*3600)</f>
        <v>2</v>
      </c>
      <c r="T80" s="2224">
        <f>T81/(30.5*24*3600)</f>
        <v>2</v>
      </c>
      <c r="U80" s="2224">
        <f t="shared" si="43"/>
        <v>2</v>
      </c>
      <c r="V80" s="2224">
        <f t="shared" si="43"/>
        <v>2</v>
      </c>
      <c r="W80" s="2224">
        <f t="shared" si="43"/>
        <v>2</v>
      </c>
      <c r="X80" s="2224">
        <f t="shared" si="43"/>
        <v>2</v>
      </c>
      <c r="Y80" s="2224">
        <f t="shared" si="43"/>
        <v>2</v>
      </c>
      <c r="Z80" s="2224">
        <f t="shared" si="43"/>
        <v>2</v>
      </c>
      <c r="AA80" s="2224">
        <f t="shared" si="43"/>
        <v>2</v>
      </c>
      <c r="AB80" s="2224">
        <f t="shared" si="43"/>
        <v>2</v>
      </c>
      <c r="AC80" s="2224">
        <f t="shared" si="43"/>
        <v>2</v>
      </c>
      <c r="AD80" s="2224">
        <f t="shared" si="43"/>
        <v>2</v>
      </c>
      <c r="AE80" s="2224">
        <f t="shared" si="43"/>
        <v>2</v>
      </c>
      <c r="AF80" s="2224">
        <f t="shared" si="43"/>
        <v>2</v>
      </c>
      <c r="AG80" s="2224">
        <f t="shared" si="43"/>
        <v>2</v>
      </c>
      <c r="AH80" s="2224">
        <f t="shared" si="43"/>
        <v>2</v>
      </c>
      <c r="AI80" s="2224">
        <f t="shared" si="43"/>
        <v>2</v>
      </c>
      <c r="AJ80" s="2224">
        <f t="shared" si="43"/>
        <v>2</v>
      </c>
      <c r="AK80" s="2224">
        <f t="shared" si="43"/>
        <v>2</v>
      </c>
      <c r="AL80" s="2224">
        <f t="shared" si="43"/>
        <v>2</v>
      </c>
      <c r="AM80" s="2224">
        <f t="shared" ref="AM80:BI80" si="44">AM81/(30.5*24*3600)</f>
        <v>2</v>
      </c>
      <c r="AN80" s="2224">
        <f t="shared" si="44"/>
        <v>2</v>
      </c>
      <c r="AO80" s="2224">
        <f t="shared" si="44"/>
        <v>2</v>
      </c>
      <c r="AP80" s="2224">
        <f t="shared" si="44"/>
        <v>2</v>
      </c>
      <c r="AQ80" s="2224">
        <f t="shared" si="44"/>
        <v>2</v>
      </c>
      <c r="AR80" s="2224">
        <f t="shared" si="44"/>
        <v>2</v>
      </c>
      <c r="AS80" s="2224">
        <f t="shared" si="44"/>
        <v>2</v>
      </c>
      <c r="AT80" s="2224">
        <f t="shared" si="44"/>
        <v>2</v>
      </c>
      <c r="AU80" s="2224">
        <f t="shared" si="44"/>
        <v>2</v>
      </c>
      <c r="AV80" s="2224">
        <f t="shared" si="44"/>
        <v>2</v>
      </c>
      <c r="AW80" s="2224">
        <f t="shared" si="44"/>
        <v>2</v>
      </c>
      <c r="AX80" s="2224">
        <f t="shared" si="44"/>
        <v>2</v>
      </c>
      <c r="AY80" s="2224">
        <f t="shared" si="44"/>
        <v>2</v>
      </c>
      <c r="AZ80" s="2224">
        <f t="shared" si="44"/>
        <v>2</v>
      </c>
      <c r="BA80" s="2224">
        <f t="shared" si="44"/>
        <v>2</v>
      </c>
      <c r="BB80" s="2224">
        <f t="shared" si="44"/>
        <v>2</v>
      </c>
      <c r="BC80" s="2224">
        <f t="shared" si="44"/>
        <v>2</v>
      </c>
      <c r="BD80" s="2224">
        <f t="shared" si="44"/>
        <v>2</v>
      </c>
      <c r="BE80" s="2224">
        <f t="shared" si="44"/>
        <v>2</v>
      </c>
      <c r="BF80" s="2224">
        <f t="shared" si="44"/>
        <v>2</v>
      </c>
      <c r="BG80" s="2224">
        <f t="shared" si="44"/>
        <v>2</v>
      </c>
      <c r="BH80" s="2224">
        <f t="shared" si="44"/>
        <v>2</v>
      </c>
      <c r="BI80" s="2224">
        <f t="shared" si="44"/>
        <v>2</v>
      </c>
    </row>
    <row r="81" spans="1:61" s="529" customFormat="1" ht="13.15" customHeight="1">
      <c r="A81" s="523"/>
      <c r="B81" s="224"/>
      <c r="C81" s="524"/>
      <c r="D81" s="2211"/>
      <c r="E81" s="3655" t="str">
        <f>E$23</f>
        <v>Durée d'exposition considérée</v>
      </c>
      <c r="F81" s="525" t="str">
        <f>F$23</f>
        <v>t</v>
      </c>
      <c r="G81" s="526" t="str">
        <f t="shared" ref="G81:AK81" si="45">G$23</f>
        <v>s</v>
      </c>
      <c r="H81" s="2161">
        <f t="shared" si="45"/>
        <v>5270400</v>
      </c>
      <c r="I81" s="2161">
        <f t="shared" si="45"/>
        <v>5270400</v>
      </c>
      <c r="J81" s="2161">
        <f>J$23</f>
        <v>5270400</v>
      </c>
      <c r="K81" s="2161">
        <f t="shared" si="45"/>
        <v>5270400</v>
      </c>
      <c r="L81" s="2161">
        <f t="shared" si="45"/>
        <v>5270400</v>
      </c>
      <c r="M81" s="2161">
        <f t="shared" si="45"/>
        <v>5270400</v>
      </c>
      <c r="N81" s="2161">
        <f>N$23</f>
        <v>5270400</v>
      </c>
      <c r="O81" s="2161">
        <f>O$23</f>
        <v>5270400</v>
      </c>
      <c r="P81" s="2161">
        <f t="shared" si="45"/>
        <v>5270400</v>
      </c>
      <c r="Q81" s="2161">
        <f t="shared" si="45"/>
        <v>5270400</v>
      </c>
      <c r="R81" s="2161">
        <f>R$23</f>
        <v>5270400</v>
      </c>
      <c r="S81" s="2161">
        <f>S$23</f>
        <v>5270400</v>
      </c>
      <c r="T81" s="2161">
        <f>T$23</f>
        <v>5270400</v>
      </c>
      <c r="U81" s="2161">
        <f t="shared" si="45"/>
        <v>5270400</v>
      </c>
      <c r="V81" s="2161">
        <f t="shared" si="45"/>
        <v>5270400</v>
      </c>
      <c r="W81" s="2161">
        <f t="shared" si="45"/>
        <v>5270400</v>
      </c>
      <c r="X81" s="2161">
        <f t="shared" si="45"/>
        <v>5270400</v>
      </c>
      <c r="Y81" s="2161">
        <f t="shared" si="45"/>
        <v>5270400</v>
      </c>
      <c r="Z81" s="2161">
        <f t="shared" si="45"/>
        <v>5270400</v>
      </c>
      <c r="AA81" s="2215">
        <f t="shared" si="45"/>
        <v>5270400</v>
      </c>
      <c r="AB81" s="2161">
        <f t="shared" si="45"/>
        <v>5270400</v>
      </c>
      <c r="AC81" s="2161">
        <f t="shared" si="45"/>
        <v>5270400</v>
      </c>
      <c r="AD81" s="2161">
        <f t="shared" si="45"/>
        <v>5270400</v>
      </c>
      <c r="AE81" s="2161">
        <f t="shared" si="45"/>
        <v>5270400</v>
      </c>
      <c r="AF81" s="2161">
        <f t="shared" si="45"/>
        <v>5270400</v>
      </c>
      <c r="AG81" s="2161">
        <f t="shared" si="45"/>
        <v>5270400</v>
      </c>
      <c r="AH81" s="2161">
        <f t="shared" si="45"/>
        <v>5270400</v>
      </c>
      <c r="AI81" s="2161">
        <f t="shared" si="45"/>
        <v>5270400</v>
      </c>
      <c r="AJ81" s="2161">
        <f t="shared" si="45"/>
        <v>5270400</v>
      </c>
      <c r="AK81" s="2161">
        <f t="shared" si="45"/>
        <v>5270400</v>
      </c>
      <c r="AL81" s="2161">
        <f t="shared" ref="AL81:BI81" si="46">AL$23</f>
        <v>5270400</v>
      </c>
      <c r="AM81" s="2161">
        <f t="shared" si="46"/>
        <v>5270400</v>
      </c>
      <c r="AN81" s="2155">
        <f t="shared" si="46"/>
        <v>5270400</v>
      </c>
      <c r="AO81" s="2161">
        <f t="shared" si="46"/>
        <v>5270400</v>
      </c>
      <c r="AP81" s="2161">
        <f t="shared" si="46"/>
        <v>5270400</v>
      </c>
      <c r="AQ81" s="2161">
        <f t="shared" si="46"/>
        <v>5270400</v>
      </c>
      <c r="AR81" s="2161">
        <f t="shared" si="46"/>
        <v>5270400</v>
      </c>
      <c r="AS81" s="2161">
        <f t="shared" si="46"/>
        <v>5270400</v>
      </c>
      <c r="AT81" s="2161">
        <f t="shared" si="46"/>
        <v>5270400</v>
      </c>
      <c r="AU81" s="2161">
        <f t="shared" si="46"/>
        <v>5270400</v>
      </c>
      <c r="AV81" s="2161">
        <f t="shared" si="46"/>
        <v>5270400</v>
      </c>
      <c r="AW81" s="2161">
        <f t="shared" si="46"/>
        <v>5270400</v>
      </c>
      <c r="AX81" s="2161">
        <f t="shared" si="46"/>
        <v>5270400</v>
      </c>
      <c r="AY81" s="2161">
        <f t="shared" si="46"/>
        <v>5270400</v>
      </c>
      <c r="AZ81" s="2161">
        <f t="shared" si="46"/>
        <v>5270400</v>
      </c>
      <c r="BA81" s="2161">
        <f t="shared" si="46"/>
        <v>5270400</v>
      </c>
      <c r="BB81" s="2161">
        <f t="shared" si="46"/>
        <v>5270400</v>
      </c>
      <c r="BC81" s="2161">
        <f t="shared" si="46"/>
        <v>5270400</v>
      </c>
      <c r="BD81" s="2161">
        <f t="shared" si="46"/>
        <v>5270400</v>
      </c>
      <c r="BE81" s="2161">
        <f t="shared" si="46"/>
        <v>5270400</v>
      </c>
      <c r="BF81" s="2161">
        <f t="shared" si="46"/>
        <v>5270400</v>
      </c>
      <c r="BG81" s="2161">
        <f t="shared" si="46"/>
        <v>5270400</v>
      </c>
      <c r="BH81" s="2161">
        <f t="shared" si="46"/>
        <v>5270400</v>
      </c>
      <c r="BI81" s="2161">
        <f t="shared" si="46"/>
        <v>5270400</v>
      </c>
    </row>
    <row r="82" spans="1:61" ht="15.75">
      <c r="A82" s="2126"/>
      <c r="B82" s="2156"/>
      <c r="C82" s="2156"/>
      <c r="D82" s="2211"/>
      <c r="E82" s="3655" t="s">
        <v>297</v>
      </c>
      <c r="F82" s="2225" t="s">
        <v>1131</v>
      </c>
      <c r="G82" s="2226" t="s">
        <v>73</v>
      </c>
      <c r="H82" s="2227">
        <f t="shared" ref="H82:AM82" si="47">(2*H68*H13*0.001/H14*H81+(H41+H68*H45)^2)^0.5-H68*H45</f>
        <v>7.1557485942788379E-3</v>
      </c>
      <c r="I82" s="2227">
        <f t="shared" si="47"/>
        <v>7.1557485942788379E-3</v>
      </c>
      <c r="J82" s="2227">
        <f t="shared" si="47"/>
        <v>4.0201476038340539E-2</v>
      </c>
      <c r="K82" s="2227">
        <f t="shared" si="47"/>
        <v>2.6869026012400776</v>
      </c>
      <c r="L82" s="2227">
        <f t="shared" si="47"/>
        <v>0.84853728335564604</v>
      </c>
      <c r="M82" s="2227">
        <f t="shared" si="47"/>
        <v>0.84853728335564604</v>
      </c>
      <c r="N82" s="2227">
        <f t="shared" si="47"/>
        <v>1.3161786550131638</v>
      </c>
      <c r="O82" s="2227">
        <f t="shared" si="47"/>
        <v>1.3161786550131638</v>
      </c>
      <c r="P82" s="2227">
        <f t="shared" si="47"/>
        <v>1.3123425085284801</v>
      </c>
      <c r="Q82" s="2227">
        <f t="shared" si="47"/>
        <v>1.3123425085284801</v>
      </c>
      <c r="R82" s="2227">
        <f t="shared" si="47"/>
        <v>3.4034894267393638</v>
      </c>
      <c r="S82" s="2227">
        <f t="shared" si="47"/>
        <v>0.9212459742720589</v>
      </c>
      <c r="T82" s="2227">
        <f t="shared" si="47"/>
        <v>0.9212459742720589</v>
      </c>
      <c r="U82" s="2227">
        <f t="shared" si="47"/>
        <v>1.8941144307427014</v>
      </c>
      <c r="V82" s="2227">
        <f t="shared" si="47"/>
        <v>1.4205768679393729</v>
      </c>
      <c r="W82" s="2227">
        <f t="shared" si="47"/>
        <v>1.4205768679393729</v>
      </c>
      <c r="X82" s="2227">
        <f t="shared" si="47"/>
        <v>1.0082541637793414</v>
      </c>
      <c r="Y82" s="2227">
        <f t="shared" si="47"/>
        <v>0.75870328717127244</v>
      </c>
      <c r="Z82" s="2227">
        <f t="shared" si="47"/>
        <v>0.51660582653640308</v>
      </c>
      <c r="AA82" s="2227">
        <f t="shared" si="47"/>
        <v>0.39654453028047854</v>
      </c>
      <c r="AB82" s="2227">
        <f t="shared" si="47"/>
        <v>0.2538235236228078</v>
      </c>
      <c r="AC82" s="2227">
        <f t="shared" si="47"/>
        <v>6.3174072449590279E-2</v>
      </c>
      <c r="AD82" s="2227">
        <f t="shared" si="47"/>
        <v>1.194715074793129E-2</v>
      </c>
      <c r="AE82" s="2227">
        <f t="shared" si="47"/>
        <v>1.2084972766251145E-3</v>
      </c>
      <c r="AF82" s="2227">
        <f t="shared" si="47"/>
        <v>4.2635076951402784E-6</v>
      </c>
      <c r="AG82" s="2227">
        <f t="shared" si="47"/>
        <v>2.2349311639676706</v>
      </c>
      <c r="AH82" s="2227">
        <f t="shared" si="47"/>
        <v>1.6970894826831371</v>
      </c>
      <c r="AI82" s="2227">
        <f t="shared" si="47"/>
        <v>0.86807928079201169</v>
      </c>
      <c r="AJ82" s="2227">
        <f t="shared" si="47"/>
        <v>0.29812253044605785</v>
      </c>
      <c r="AK82" s="2227">
        <f t="shared" si="47"/>
        <v>7.7672893486504718E-2</v>
      </c>
      <c r="AL82" s="2227">
        <f t="shared" si="47"/>
        <v>5.0784551179803572E-3</v>
      </c>
      <c r="AM82" s="2227">
        <f t="shared" si="47"/>
        <v>3.0004566427987989E-5</v>
      </c>
      <c r="AN82" s="2227">
        <f t="shared" ref="AN82:BI82" si="48">(2*AN68*AN13*0.001/AN14*AN81+(AN41+AN68*AN45)^2)^0.5-AN68*AN45</f>
        <v>5.954928259038067E-3</v>
      </c>
      <c r="AO82" s="2227">
        <f t="shared" si="48"/>
        <v>1.3878598994433167E-3</v>
      </c>
      <c r="AP82" s="2227">
        <f t="shared" si="48"/>
        <v>2.2763946565986515E-3</v>
      </c>
      <c r="AQ82" s="2227">
        <f t="shared" si="48"/>
        <v>8.6276857009964791E-4</v>
      </c>
      <c r="AR82" s="2227">
        <f t="shared" si="48"/>
        <v>1.6502321793207542E-4</v>
      </c>
      <c r="AS82" s="2227">
        <f t="shared" si="48"/>
        <v>2.1167095968477323E-4</v>
      </c>
      <c r="AT82" s="2227">
        <f t="shared" si="48"/>
        <v>1.4814736560869735E-5</v>
      </c>
      <c r="AU82" s="2227">
        <f t="shared" si="48"/>
        <v>1.4445291203118993E-5</v>
      </c>
      <c r="AV82" s="2227">
        <f t="shared" si="48"/>
        <v>2.1871853826405108E-6</v>
      </c>
      <c r="AW82" s="2227">
        <f t="shared" si="48"/>
        <v>2.221088545362182E-6</v>
      </c>
      <c r="AX82" s="2227">
        <f t="shared" si="48"/>
        <v>4.9172414157139244E-7</v>
      </c>
      <c r="AY82" s="2227">
        <f t="shared" si="48"/>
        <v>3.374684226509217E-7</v>
      </c>
      <c r="AZ82" s="2227">
        <f t="shared" si="48"/>
        <v>3.0208469087300571E-7</v>
      </c>
      <c r="BA82" s="2227">
        <f t="shared" si="48"/>
        <v>6.9865172647176621E-8</v>
      </c>
      <c r="BB82" s="2227">
        <f t="shared" si="48"/>
        <v>1.7458527501457155E-7</v>
      </c>
      <c r="BC82" s="2227">
        <f t="shared" si="48"/>
        <v>4.1431113040335532E-8</v>
      </c>
      <c r="BD82" s="2227">
        <f t="shared" si="48"/>
        <v>1.8148400172183221E-3</v>
      </c>
      <c r="BE82" s="2227">
        <f t="shared" si="48"/>
        <v>1.6589174111070193E-6</v>
      </c>
      <c r="BF82" s="2227">
        <f t="shared" si="48"/>
        <v>1.6589174111070193E-6</v>
      </c>
      <c r="BG82" s="2227">
        <f t="shared" si="48"/>
        <v>1.3397139517940801</v>
      </c>
      <c r="BH82" s="2227">
        <f t="shared" si="48"/>
        <v>1.2824004836971548E-3</v>
      </c>
      <c r="BI82" s="2227">
        <f t="shared" si="48"/>
        <v>1.0345342978605288E-2</v>
      </c>
    </row>
    <row r="83" spans="1:61" s="2204" customFormat="1" ht="25.5">
      <c r="D83" s="2207"/>
      <c r="E83" s="3656" t="s">
        <v>610</v>
      </c>
      <c r="F83" s="2205" t="s">
        <v>138</v>
      </c>
      <c r="G83" s="2206" t="s">
        <v>139</v>
      </c>
      <c r="H83" s="2204">
        <f t="shared" ref="H83:AM83" si="49">1000*H14/H13*(H82-H41)/H81</f>
        <v>7.7304708284933906E-4</v>
      </c>
      <c r="I83" s="2204">
        <f t="shared" si="49"/>
        <v>7.7304708284933906E-4</v>
      </c>
      <c r="J83" s="2204">
        <f t="shared" si="49"/>
        <v>6.615726185296236E-4</v>
      </c>
      <c r="K83" s="2204">
        <f t="shared" si="49"/>
        <v>1.9845645755930995E-4</v>
      </c>
      <c r="L83" s="2204">
        <f t="shared" si="49"/>
        <v>3.352134814200984E-4</v>
      </c>
      <c r="M83" s="2204">
        <f t="shared" si="49"/>
        <v>3.352134814200984E-4</v>
      </c>
      <c r="N83" s="2204">
        <f t="shared" si="49"/>
        <v>2.6362689166664665E-4</v>
      </c>
      <c r="O83" s="2204">
        <f t="shared" si="49"/>
        <v>2.6362689166664665E-4</v>
      </c>
      <c r="P83" s="2204">
        <f t="shared" si="49"/>
        <v>2.407700197168636E-4</v>
      </c>
      <c r="Q83" s="2204">
        <f t="shared" si="49"/>
        <v>2.407700197168636E-4</v>
      </c>
      <c r="R83" s="2204">
        <f t="shared" si="49"/>
        <v>1.5533996683895677E-3</v>
      </c>
      <c r="S83" s="2204">
        <f t="shared" si="49"/>
        <v>4.4817763946797333E-4</v>
      </c>
      <c r="T83" s="2204">
        <f t="shared" si="49"/>
        <v>4.4817763946797333E-4</v>
      </c>
      <c r="U83" s="2204">
        <f t="shared" si="49"/>
        <v>1.9572593284143433E-4</v>
      </c>
      <c r="V83" s="2204">
        <f t="shared" si="49"/>
        <v>8.9683150070965964E-5</v>
      </c>
      <c r="W83" s="2204">
        <f t="shared" si="49"/>
        <v>8.9683150070965964E-5</v>
      </c>
      <c r="X83" s="2204">
        <f t="shared" si="49"/>
        <v>3.3179786850597774E-4</v>
      </c>
      <c r="Y83" s="2204">
        <f t="shared" si="49"/>
        <v>3.6025114827202949E-4</v>
      </c>
      <c r="Z83" s="2204">
        <f t="shared" si="49"/>
        <v>4.1420158383926155E-4</v>
      </c>
      <c r="AA83" s="2204">
        <f t="shared" si="49"/>
        <v>4.7392839080408899E-4</v>
      </c>
      <c r="AB83" s="2204">
        <f t="shared" si="49"/>
        <v>2.682262118809661E-4</v>
      </c>
      <c r="AC83" s="2204">
        <f t="shared" si="49"/>
        <v>3.4211666183171265E-4</v>
      </c>
      <c r="AD83" s="2204">
        <f t="shared" si="49"/>
        <v>3.3054832916541271E-4</v>
      </c>
      <c r="AE83" s="2204">
        <f t="shared" si="49"/>
        <v>2.6814926757304897E-4</v>
      </c>
      <c r="AF83" s="2204">
        <f t="shared" si="49"/>
        <v>2.2824430895609373E-4</v>
      </c>
      <c r="AG83" s="2204">
        <f t="shared" si="49"/>
        <v>1.0269150581571205E-4</v>
      </c>
      <c r="AH83" s="2204">
        <f t="shared" si="49"/>
        <v>1.0414642192347542E-4</v>
      </c>
      <c r="AI83" s="2204">
        <f t="shared" si="49"/>
        <v>1.3101353811471812E-4</v>
      </c>
      <c r="AJ83" s="2204">
        <f t="shared" si="49"/>
        <v>1.8901483775742505E-4</v>
      </c>
      <c r="AK83" s="2204">
        <f t="shared" si="49"/>
        <v>2.1601902012845356E-4</v>
      </c>
      <c r="AL83" s="2204">
        <f t="shared" si="49"/>
        <v>1.8630854547928695E-4</v>
      </c>
      <c r="AM83" s="2204">
        <f t="shared" si="49"/>
        <v>1.590150196026722E-4</v>
      </c>
      <c r="AN83" s="2204">
        <f t="shared" ref="AN83:BI83" si="50">1000*AN14/AN13*(AN82-AN41)/AN81</f>
        <v>3.9649547439878915E-4</v>
      </c>
      <c r="AO83" s="2204">
        <f t="shared" si="50"/>
        <v>3.383437186615933E-4</v>
      </c>
      <c r="AP83" s="2204">
        <f t="shared" si="50"/>
        <v>3.3172404104673799E-4</v>
      </c>
      <c r="AQ83" s="2204">
        <f t="shared" si="50"/>
        <v>3.1049972921761619E-4</v>
      </c>
      <c r="AR83" s="2204">
        <f t="shared" si="50"/>
        <v>2.9662730679366056E-4</v>
      </c>
      <c r="AS83" s="2204">
        <f t="shared" si="50"/>
        <v>2.9457280835039953E-4</v>
      </c>
      <c r="AT83" s="2204">
        <f t="shared" si="50"/>
        <v>2.8244194146025213E-4</v>
      </c>
      <c r="AU83" s="2204">
        <f t="shared" si="50"/>
        <v>2.8627363500566868E-4</v>
      </c>
      <c r="AV83" s="2204">
        <f t="shared" si="50"/>
        <v>2.7169713434294069E-4</v>
      </c>
      <c r="AW83" s="2204">
        <f t="shared" si="50"/>
        <v>2.8633627750896252E-4</v>
      </c>
      <c r="AX83" s="2204">
        <f t="shared" si="50"/>
        <v>1.800992454654755E-3</v>
      </c>
      <c r="AY83" s="2204">
        <f t="shared" si="50"/>
        <v>1.8009927995455215E-3</v>
      </c>
      <c r="AZ83" s="2204">
        <f t="shared" si="50"/>
        <v>2.4141965250258452E-3</v>
      </c>
      <c r="BA83" s="2204">
        <f t="shared" si="50"/>
        <v>3.2328579108792193E-3</v>
      </c>
      <c r="BB83" s="2204">
        <f t="shared" si="50"/>
        <v>5.1022203653662297E-4</v>
      </c>
      <c r="BC83" s="2204">
        <f t="shared" si="50"/>
        <v>455.79158225586264</v>
      </c>
      <c r="BD83" s="2204">
        <f t="shared" si="50"/>
        <v>5.5214792861534518E-3</v>
      </c>
      <c r="BE83" s="2204">
        <f t="shared" si="50"/>
        <v>2.2739935491284115E-4</v>
      </c>
      <c r="BF83" s="2204">
        <f t="shared" si="50"/>
        <v>2.2739935491284115E-4</v>
      </c>
      <c r="BG83" s="2204">
        <f t="shared" si="50"/>
        <v>1.0112722442491638E-4</v>
      </c>
      <c r="BH83" s="2204">
        <f t="shared" si="50"/>
        <v>2.9339871363529288E-3</v>
      </c>
      <c r="BI83" s="2204">
        <f t="shared" si="50"/>
        <v>3.0590444967237627E-3</v>
      </c>
    </row>
    <row r="84" spans="1:61" ht="25.5">
      <c r="A84" s="2126"/>
      <c r="B84" s="2156"/>
      <c r="C84" s="2156"/>
      <c r="D84" s="2211"/>
      <c r="E84" s="3655" t="s">
        <v>611</v>
      </c>
      <c r="F84" s="2153" t="s">
        <v>138</v>
      </c>
      <c r="G84" s="2154" t="s">
        <v>139</v>
      </c>
      <c r="H84" s="2161">
        <f t="shared" ref="H84:AL84" si="51">MIN(H83,H$24)</f>
        <v>7.7304708284933906E-4</v>
      </c>
      <c r="I84" s="2161">
        <f t="shared" si="51"/>
        <v>7.7304708284933906E-4</v>
      </c>
      <c r="J84" s="2161">
        <f>MIN(J83,J$24)</f>
        <v>6.615726185296236E-4</v>
      </c>
      <c r="K84" s="2161">
        <f t="shared" si="51"/>
        <v>1.9845645755930995E-4</v>
      </c>
      <c r="L84" s="2161">
        <f t="shared" si="51"/>
        <v>3.352134814200984E-4</v>
      </c>
      <c r="M84" s="2161">
        <f t="shared" si="51"/>
        <v>3.352134814200984E-4</v>
      </c>
      <c r="N84" s="2161">
        <f>MIN(N83,N$24)</f>
        <v>2.6362689166664665E-4</v>
      </c>
      <c r="O84" s="2161">
        <f>MIN(O83,O$24)</f>
        <v>2.6362689166664665E-4</v>
      </c>
      <c r="P84" s="2161">
        <f t="shared" si="51"/>
        <v>2.407700197168636E-4</v>
      </c>
      <c r="Q84" s="2161">
        <f t="shared" si="51"/>
        <v>2.407700197168636E-4</v>
      </c>
      <c r="R84" s="2161">
        <f>MIN(R83,R$24)</f>
        <v>1.3692415109493382E-3</v>
      </c>
      <c r="S84" s="2161">
        <f>MIN(S83,S$24)</f>
        <v>4.4817763946797333E-4</v>
      </c>
      <c r="T84" s="2161">
        <f>MIN(T83,T$24)</f>
        <v>4.4817763946797333E-4</v>
      </c>
      <c r="U84" s="2161">
        <f t="shared" si="51"/>
        <v>1.9572593284143433E-4</v>
      </c>
      <c r="V84" s="2161">
        <f t="shared" si="51"/>
        <v>8.9683150070965964E-5</v>
      </c>
      <c r="W84" s="2161">
        <f t="shared" si="51"/>
        <v>8.9683150070965964E-5</v>
      </c>
      <c r="X84" s="2161">
        <f t="shared" si="51"/>
        <v>3.3179786850597774E-4</v>
      </c>
      <c r="Y84" s="2161">
        <f t="shared" si="51"/>
        <v>3.6025114827202949E-4</v>
      </c>
      <c r="Z84" s="2161">
        <f t="shared" si="51"/>
        <v>4.1420158383926155E-4</v>
      </c>
      <c r="AA84" s="2161">
        <f t="shared" si="51"/>
        <v>4.7392839080408899E-4</v>
      </c>
      <c r="AB84" s="2161">
        <f t="shared" si="51"/>
        <v>2.682262118809661E-4</v>
      </c>
      <c r="AC84" s="2161">
        <f t="shared" si="51"/>
        <v>3.4211666183171265E-4</v>
      </c>
      <c r="AD84" s="2161">
        <f t="shared" si="51"/>
        <v>3.3054832916541271E-4</v>
      </c>
      <c r="AE84" s="2161">
        <f t="shared" si="51"/>
        <v>2.6814926757304897E-4</v>
      </c>
      <c r="AF84" s="2161">
        <f t="shared" si="51"/>
        <v>2.2824430895609373E-4</v>
      </c>
      <c r="AG84" s="2161">
        <f t="shared" si="51"/>
        <v>1.0269150581571205E-4</v>
      </c>
      <c r="AH84" s="2161">
        <f t="shared" si="51"/>
        <v>1.0414642192347542E-4</v>
      </c>
      <c r="AI84" s="2161">
        <f t="shared" si="51"/>
        <v>1.3101353811471812E-4</v>
      </c>
      <c r="AJ84" s="2161">
        <f t="shared" si="51"/>
        <v>1.8901483775742505E-4</v>
      </c>
      <c r="AK84" s="2161">
        <f t="shared" si="51"/>
        <v>2.1601902012845356E-4</v>
      </c>
      <c r="AL84" s="2161">
        <f t="shared" si="51"/>
        <v>1.8630854547928695E-4</v>
      </c>
      <c r="AM84" s="2161">
        <f t="shared" ref="AM84:BI84" si="52">MIN(AM83,AM$24)</f>
        <v>1.590150196026722E-4</v>
      </c>
      <c r="AN84" s="2161">
        <f t="shared" si="52"/>
        <v>3.9649547439878915E-4</v>
      </c>
      <c r="AO84" s="2161">
        <f t="shared" si="52"/>
        <v>3.383437186615933E-4</v>
      </c>
      <c r="AP84" s="2161">
        <f t="shared" si="52"/>
        <v>3.3172404104673799E-4</v>
      </c>
      <c r="AQ84" s="2161">
        <f t="shared" si="52"/>
        <v>3.1049972921761619E-4</v>
      </c>
      <c r="AR84" s="2161">
        <f t="shared" si="52"/>
        <v>2.9662730679366056E-4</v>
      </c>
      <c r="AS84" s="2161">
        <f t="shared" si="52"/>
        <v>2.9457280835039953E-4</v>
      </c>
      <c r="AT84" s="2161">
        <f t="shared" si="52"/>
        <v>2.8244194146025213E-4</v>
      </c>
      <c r="AU84" s="2161">
        <f t="shared" si="52"/>
        <v>2.8627363500566868E-4</v>
      </c>
      <c r="AV84" s="2161">
        <f t="shared" si="52"/>
        <v>2.7169713434294069E-4</v>
      </c>
      <c r="AW84" s="2161">
        <f t="shared" si="52"/>
        <v>2.8633627750896252E-4</v>
      </c>
      <c r="AX84" s="2161">
        <f t="shared" si="52"/>
        <v>1.800992454654755E-3</v>
      </c>
      <c r="AY84" s="2161">
        <f t="shared" si="52"/>
        <v>1.8009927995455215E-3</v>
      </c>
      <c r="AZ84" s="2161">
        <f t="shared" si="52"/>
        <v>2.4141965250258452E-3</v>
      </c>
      <c r="BA84" s="2161">
        <f t="shared" si="52"/>
        <v>3.2328579108792193E-3</v>
      </c>
      <c r="BB84" s="2161">
        <f t="shared" si="52"/>
        <v>5.1022203653662297E-4</v>
      </c>
      <c r="BC84" s="2161">
        <f t="shared" si="52"/>
        <v>455.79158225586264</v>
      </c>
      <c r="BD84" s="2161">
        <f t="shared" si="52"/>
        <v>5.5214792861534518E-3</v>
      </c>
      <c r="BE84" s="2161">
        <f t="shared" si="52"/>
        <v>2.2739935491284115E-4</v>
      </c>
      <c r="BF84" s="2161">
        <f t="shared" si="52"/>
        <v>2.2739935491284115E-4</v>
      </c>
      <c r="BG84" s="2161">
        <f t="shared" si="52"/>
        <v>1.0112722442491638E-4</v>
      </c>
      <c r="BH84" s="2161">
        <f t="shared" si="52"/>
        <v>2.9339871363529288E-3</v>
      </c>
      <c r="BI84" s="2161">
        <f t="shared" si="52"/>
        <v>3.0590444967237627E-3</v>
      </c>
    </row>
    <row r="85" spans="1:61" s="2193" customFormat="1" ht="38.25">
      <c r="B85" s="2236"/>
      <c r="C85" s="2236"/>
      <c r="D85" s="2211"/>
      <c r="E85" s="3658" t="s">
        <v>952</v>
      </c>
      <c r="F85" s="2217" t="s">
        <v>300</v>
      </c>
      <c r="G85" s="2222" t="s">
        <v>35</v>
      </c>
      <c r="H85" s="2223">
        <f t="shared" ref="H85:AM85" si="53">H49/H83</f>
        <v>1.0146473508057277</v>
      </c>
      <c r="I85" s="2223">
        <f t="shared" si="53"/>
        <v>1.0146473508057277</v>
      </c>
      <c r="J85" s="2223">
        <f t="shared" si="53"/>
        <v>1.0902076168529033</v>
      </c>
      <c r="K85" s="2223">
        <f t="shared" si="53"/>
        <v>7.1528191451739467</v>
      </c>
      <c r="L85" s="2223">
        <f t="shared" si="53"/>
        <v>2.9420173394691962</v>
      </c>
      <c r="M85" s="2223">
        <f t="shared" si="53"/>
        <v>2.9420173394691962</v>
      </c>
      <c r="N85" s="2223">
        <f t="shared" si="53"/>
        <v>4.0135767606811248</v>
      </c>
      <c r="O85" s="2223">
        <f t="shared" si="53"/>
        <v>4.0135767606811248</v>
      </c>
      <c r="P85" s="2223">
        <f t="shared" si="53"/>
        <v>4.0049630546247572</v>
      </c>
      <c r="Q85" s="2223">
        <f t="shared" si="53"/>
        <v>4.0049630546247572</v>
      </c>
      <c r="R85" s="2223">
        <f t="shared" si="53"/>
        <v>8.7935612613028216</v>
      </c>
      <c r="S85" s="2223">
        <f t="shared" si="53"/>
        <v>3.1087934350115543</v>
      </c>
      <c r="T85" s="2223">
        <f t="shared" si="53"/>
        <v>3.1087934350115543</v>
      </c>
      <c r="U85" s="2223">
        <f t="shared" si="53"/>
        <v>5.3371427193110694</v>
      </c>
      <c r="V85" s="2223">
        <f t="shared" si="53"/>
        <v>4.2529838434180744</v>
      </c>
      <c r="W85" s="2223">
        <f t="shared" si="53"/>
        <v>4.2529838434180744</v>
      </c>
      <c r="X85" s="2223">
        <f t="shared" si="53"/>
        <v>3.3082474406590419</v>
      </c>
      <c r="Y85" s="2223">
        <f t="shared" si="53"/>
        <v>2.7369975340254493</v>
      </c>
      <c r="Z85" s="2223">
        <f t="shared" si="53"/>
        <v>2.1827802350295205</v>
      </c>
      <c r="AA85" s="2223">
        <f t="shared" si="53"/>
        <v>1.9078343751168438</v>
      </c>
      <c r="AB85" s="2223">
        <f t="shared" si="53"/>
        <v>1.5811819445932911</v>
      </c>
      <c r="AC85" s="2223">
        <f t="shared" si="53"/>
        <v>1.1446145611162046</v>
      </c>
      <c r="AD85" s="2223">
        <f t="shared" si="53"/>
        <v>1.0273331461031179</v>
      </c>
      <c r="AE85" s="2223">
        <f t="shared" si="53"/>
        <v>1.0027570846006151</v>
      </c>
      <c r="AF85" s="2223">
        <f t="shared" si="53"/>
        <v>1.0000091447711434</v>
      </c>
      <c r="AG85" s="2223">
        <f t="shared" si="53"/>
        <v>6.1178538109381453</v>
      </c>
      <c r="AH85" s="2223">
        <f t="shared" si="53"/>
        <v>4.8862316571481177</v>
      </c>
      <c r="AI85" s="2223">
        <f t="shared" si="53"/>
        <v>2.9878494624980676</v>
      </c>
      <c r="AJ85" s="2223">
        <f t="shared" si="53"/>
        <v>1.6826828441268953</v>
      </c>
      <c r="AK85" s="2223">
        <f t="shared" si="53"/>
        <v>1.1778663569505858</v>
      </c>
      <c r="AL85" s="2223">
        <f t="shared" si="53"/>
        <v>1.0116293644533934</v>
      </c>
      <c r="AM85" s="2223">
        <f t="shared" si="53"/>
        <v>1.0000687086980511</v>
      </c>
      <c r="AN85" s="2223">
        <f t="shared" ref="AN85:BI85" si="54">AN49/AN83</f>
        <v>1.0134810420334923</v>
      </c>
      <c r="AO85" s="2223">
        <f t="shared" si="54"/>
        <v>1.0031337034549739</v>
      </c>
      <c r="AP85" s="2223">
        <f t="shared" si="54"/>
        <v>1.0051620630181612</v>
      </c>
      <c r="AQ85" s="2223">
        <f t="shared" si="54"/>
        <v>1.0019464006474113</v>
      </c>
      <c r="AR85" s="2223">
        <f t="shared" si="54"/>
        <v>1.0003648218816579</v>
      </c>
      <c r="AS85" s="2223">
        <f t="shared" si="54"/>
        <v>1.0004708076606863</v>
      </c>
      <c r="AT85" s="2223">
        <f t="shared" si="54"/>
        <v>1.0000307244610938</v>
      </c>
      <c r="AU85" s="2223">
        <f t="shared" si="54"/>
        <v>1.0000296534918007</v>
      </c>
      <c r="AV85" s="2223">
        <f t="shared" si="54"/>
        <v>1.0000042771446889</v>
      </c>
      <c r="AW85" s="2223">
        <f t="shared" si="54"/>
        <v>1.0000042002101668</v>
      </c>
      <c r="AX85" s="2223">
        <f t="shared" si="54"/>
        <v>1.000000610199705</v>
      </c>
      <c r="AY85" s="2223">
        <f t="shared" si="54"/>
        <v>1.0000004186992297</v>
      </c>
      <c r="AZ85" s="2223">
        <f t="shared" si="54"/>
        <v>1.0000003694239961</v>
      </c>
      <c r="BA85" s="2223">
        <f t="shared" si="54"/>
        <v>1.0000000843088224</v>
      </c>
      <c r="BB85" s="2223">
        <f t="shared" si="54"/>
        <v>1.0000002501078902</v>
      </c>
      <c r="BC85" s="2223">
        <f t="shared" si="54"/>
        <v>1.0000000487652312</v>
      </c>
      <c r="BD85" s="2223">
        <f t="shared" si="54"/>
        <v>1.0023570277164233</v>
      </c>
      <c r="BE85" s="2223">
        <f t="shared" si="54"/>
        <v>1.0000033777257962</v>
      </c>
      <c r="BF85" s="2223">
        <f t="shared" si="54"/>
        <v>1.0000033777257962</v>
      </c>
      <c r="BG85" s="2223">
        <f t="shared" si="54"/>
        <v>4.0668410154764949</v>
      </c>
      <c r="BH85" s="2223">
        <f t="shared" si="54"/>
        <v>1.0017094968518114</v>
      </c>
      <c r="BI85" s="2223">
        <f t="shared" si="54"/>
        <v>1.0187312498038699</v>
      </c>
    </row>
    <row r="86" spans="1:61">
      <c r="A86" s="2126"/>
      <c r="B86" s="2156"/>
      <c r="C86" s="2156"/>
      <c r="D86" s="2211"/>
      <c r="E86" s="2153"/>
      <c r="F86" s="2153"/>
      <c r="G86" s="2154"/>
      <c r="H86" s="2156"/>
      <c r="I86" s="2156"/>
      <c r="J86" s="2156"/>
      <c r="K86" s="2156"/>
      <c r="L86" s="2156"/>
      <c r="M86" s="2156"/>
      <c r="N86" s="2156"/>
      <c r="O86" s="2156"/>
      <c r="P86" s="2156"/>
      <c r="Q86" s="2156"/>
      <c r="S86" s="2156"/>
      <c r="T86" s="2156"/>
      <c r="U86" s="2156"/>
      <c r="V86" s="2156"/>
      <c r="W86" s="2156"/>
      <c r="X86" s="2156"/>
      <c r="Y86" s="2156"/>
      <c r="Z86" s="2156"/>
      <c r="AA86" s="2156"/>
      <c r="AB86" s="2156"/>
      <c r="AC86" s="2156"/>
      <c r="AD86" s="2156"/>
      <c r="AE86" s="2156"/>
      <c r="AF86" s="2156"/>
      <c r="AG86" s="2156"/>
      <c r="AH86" s="2156"/>
      <c r="AI86" s="2156"/>
      <c r="AJ86" s="2156"/>
      <c r="AK86" s="2156"/>
      <c r="AL86" s="2156"/>
      <c r="AM86" s="2156"/>
      <c r="AN86" s="2156"/>
      <c r="AO86" s="2156"/>
      <c r="AP86" s="2156"/>
      <c r="AQ86" s="2156"/>
      <c r="AR86" s="2156"/>
      <c r="AS86" s="2156"/>
      <c r="AT86" s="2156"/>
      <c r="AU86" s="2156"/>
      <c r="AV86" s="2156"/>
      <c r="AW86" s="2156"/>
      <c r="AX86" s="2156"/>
      <c r="AY86" s="2156"/>
      <c r="AZ86" s="2156"/>
      <c r="BA86" s="2156"/>
      <c r="BB86" s="2156"/>
      <c r="BC86" s="2156"/>
      <c r="BD86" s="2156"/>
      <c r="BE86" s="2156"/>
      <c r="BF86" s="2156"/>
      <c r="BG86" s="2156"/>
      <c r="BH86" s="2156"/>
      <c r="BI86" s="2156"/>
    </row>
    <row r="87" spans="1:61">
      <c r="A87" s="2126"/>
      <c r="B87" s="2156"/>
      <c r="C87" s="2156"/>
      <c r="D87" s="2211"/>
      <c r="E87" s="2212" t="str">
        <f>E55</f>
        <v>Période enfant 0-6 ans (effets sans seuil)</v>
      </c>
      <c r="F87" s="2153"/>
      <c r="G87" s="2154"/>
      <c r="H87" s="2156"/>
      <c r="I87" s="2156"/>
      <c r="J87" s="2156"/>
      <c r="K87" s="2156"/>
      <c r="L87" s="2156"/>
      <c r="M87" s="2156"/>
      <c r="N87" s="2156"/>
      <c r="O87" s="2156"/>
      <c r="P87" s="2156"/>
      <c r="Q87" s="2156"/>
      <c r="S87" s="2156"/>
      <c r="T87" s="2156"/>
      <c r="U87" s="2156"/>
      <c r="V87" s="2156"/>
      <c r="W87" s="2156"/>
      <c r="X87" s="2156"/>
      <c r="Y87" s="2156"/>
      <c r="Z87" s="2156"/>
      <c r="AA87" s="2156"/>
      <c r="AB87" s="2156"/>
      <c r="AC87" s="2156"/>
      <c r="AD87" s="2156"/>
      <c r="AE87" s="2156"/>
      <c r="AF87" s="2156"/>
      <c r="AG87" s="2156"/>
      <c r="AH87" s="2156"/>
      <c r="AI87" s="2156"/>
      <c r="AJ87" s="2156"/>
      <c r="AK87" s="2156"/>
      <c r="AL87" s="2156"/>
      <c r="AM87" s="2156"/>
      <c r="AN87" s="2156"/>
      <c r="AO87" s="2156"/>
      <c r="AP87" s="2156"/>
      <c r="AQ87" s="2156"/>
      <c r="AR87" s="2156"/>
      <c r="AS87" s="2156"/>
      <c r="AT87" s="2156"/>
      <c r="AU87" s="2156"/>
      <c r="AV87" s="2156"/>
      <c r="AW87" s="2156"/>
      <c r="AX87" s="2156"/>
      <c r="AY87" s="2156"/>
      <c r="AZ87" s="2156"/>
      <c r="BA87" s="2156"/>
      <c r="BB87" s="2156"/>
      <c r="BC87" s="2156"/>
      <c r="BD87" s="2156"/>
      <c r="BE87" s="2156"/>
      <c r="BF87" s="2156"/>
      <c r="BG87" s="2156"/>
      <c r="BH87" s="2156"/>
      <c r="BI87" s="2156"/>
    </row>
    <row r="88" spans="1:61">
      <c r="A88" s="2126"/>
      <c r="B88" s="2156"/>
      <c r="C88" s="2156"/>
      <c r="D88" s="2211"/>
      <c r="E88" s="525" t="str">
        <f t="shared" ref="E88:G89" si="55">E27</f>
        <v>Durée d'exposition considérée</v>
      </c>
      <c r="F88" s="525" t="str">
        <f t="shared" si="55"/>
        <v>t</v>
      </c>
      <c r="G88" s="526" t="str">
        <f t="shared" si="55"/>
        <v>an</v>
      </c>
      <c r="H88" s="2224">
        <f t="shared" ref="H88:AL88" si="56">H89/(365*24*3600)</f>
        <v>6</v>
      </c>
      <c r="I88" s="2224">
        <f t="shared" si="56"/>
        <v>6</v>
      </c>
      <c r="J88" s="2224">
        <f>J89/(365*24*3600)</f>
        <v>6</v>
      </c>
      <c r="K88" s="2224">
        <f t="shared" si="56"/>
        <v>6</v>
      </c>
      <c r="L88" s="2224">
        <f t="shared" si="56"/>
        <v>6</v>
      </c>
      <c r="M88" s="2224">
        <f t="shared" si="56"/>
        <v>6</v>
      </c>
      <c r="N88" s="2224">
        <f>N89/(365*24*3600)</f>
        <v>6</v>
      </c>
      <c r="O88" s="2224">
        <f>O89/(365*24*3600)</f>
        <v>6</v>
      </c>
      <c r="P88" s="2224">
        <f t="shared" si="56"/>
        <v>6</v>
      </c>
      <c r="Q88" s="2224">
        <f t="shared" si="56"/>
        <v>6</v>
      </c>
      <c r="R88" s="2224">
        <f>R89/(365*24*3600)</f>
        <v>6</v>
      </c>
      <c r="S88" s="2224">
        <f>S89/(365*24*3600)</f>
        <v>6</v>
      </c>
      <c r="T88" s="2224">
        <f>T89/(365*24*3600)</f>
        <v>6</v>
      </c>
      <c r="U88" s="2224">
        <f t="shared" si="56"/>
        <v>6</v>
      </c>
      <c r="V88" s="2224">
        <f t="shared" si="56"/>
        <v>6</v>
      </c>
      <c r="W88" s="2224">
        <f t="shared" si="56"/>
        <v>6</v>
      </c>
      <c r="X88" s="2224">
        <f t="shared" si="56"/>
        <v>6</v>
      </c>
      <c r="Y88" s="2224">
        <f t="shared" si="56"/>
        <v>6</v>
      </c>
      <c r="Z88" s="2224">
        <f t="shared" si="56"/>
        <v>6</v>
      </c>
      <c r="AA88" s="2224">
        <f t="shared" si="56"/>
        <v>6</v>
      </c>
      <c r="AB88" s="2224">
        <f t="shared" si="56"/>
        <v>6</v>
      </c>
      <c r="AC88" s="2224">
        <f t="shared" si="56"/>
        <v>6</v>
      </c>
      <c r="AD88" s="2224">
        <f t="shared" si="56"/>
        <v>6</v>
      </c>
      <c r="AE88" s="2224">
        <f t="shared" si="56"/>
        <v>6</v>
      </c>
      <c r="AF88" s="2224">
        <f t="shared" si="56"/>
        <v>6</v>
      </c>
      <c r="AG88" s="2224">
        <f t="shared" si="56"/>
        <v>6</v>
      </c>
      <c r="AH88" s="2224">
        <f t="shared" si="56"/>
        <v>6</v>
      </c>
      <c r="AI88" s="2224">
        <f t="shared" si="56"/>
        <v>6</v>
      </c>
      <c r="AJ88" s="2224">
        <f t="shared" si="56"/>
        <v>6</v>
      </c>
      <c r="AK88" s="2224">
        <f t="shared" si="56"/>
        <v>6</v>
      </c>
      <c r="AL88" s="2224">
        <f t="shared" si="56"/>
        <v>6</v>
      </c>
      <c r="AM88" s="2224">
        <f t="shared" ref="AM88:BI88" si="57">AM89/(365*24*3600)</f>
        <v>6</v>
      </c>
      <c r="AN88" s="2224">
        <f t="shared" si="57"/>
        <v>6</v>
      </c>
      <c r="AO88" s="2224">
        <f t="shared" si="57"/>
        <v>6</v>
      </c>
      <c r="AP88" s="2224">
        <f t="shared" si="57"/>
        <v>6</v>
      </c>
      <c r="AQ88" s="2224">
        <f t="shared" si="57"/>
        <v>6</v>
      </c>
      <c r="AR88" s="2224">
        <f t="shared" si="57"/>
        <v>6</v>
      </c>
      <c r="AS88" s="2224">
        <f t="shared" si="57"/>
        <v>6</v>
      </c>
      <c r="AT88" s="2224">
        <f t="shared" si="57"/>
        <v>6</v>
      </c>
      <c r="AU88" s="2224">
        <f t="shared" si="57"/>
        <v>6</v>
      </c>
      <c r="AV88" s="2224">
        <f t="shared" si="57"/>
        <v>6</v>
      </c>
      <c r="AW88" s="2224">
        <f t="shared" si="57"/>
        <v>6</v>
      </c>
      <c r="AX88" s="2224">
        <f t="shared" si="57"/>
        <v>6</v>
      </c>
      <c r="AY88" s="2224">
        <f t="shared" si="57"/>
        <v>6</v>
      </c>
      <c r="AZ88" s="2224">
        <f t="shared" si="57"/>
        <v>6</v>
      </c>
      <c r="BA88" s="2224">
        <f t="shared" si="57"/>
        <v>6</v>
      </c>
      <c r="BB88" s="2224">
        <f t="shared" si="57"/>
        <v>6</v>
      </c>
      <c r="BC88" s="2224">
        <f t="shared" si="57"/>
        <v>6</v>
      </c>
      <c r="BD88" s="2224">
        <f t="shared" si="57"/>
        <v>6</v>
      </c>
      <c r="BE88" s="2224">
        <f t="shared" si="57"/>
        <v>6</v>
      </c>
      <c r="BF88" s="2224">
        <f t="shared" si="57"/>
        <v>6</v>
      </c>
      <c r="BG88" s="2224">
        <f t="shared" si="57"/>
        <v>6</v>
      </c>
      <c r="BH88" s="2224">
        <f t="shared" si="57"/>
        <v>6</v>
      </c>
      <c r="BI88" s="2224">
        <f t="shared" si="57"/>
        <v>6</v>
      </c>
    </row>
    <row r="89" spans="1:61" s="529" customFormat="1" ht="13.15" customHeight="1">
      <c r="A89" s="523"/>
      <c r="B89" s="224"/>
      <c r="C89" s="524"/>
      <c r="D89" s="2211"/>
      <c r="E89" s="525" t="str">
        <f t="shared" si="55"/>
        <v>Durée d'exposition considérée</v>
      </c>
      <c r="F89" s="525" t="str">
        <f t="shared" si="55"/>
        <v>t</v>
      </c>
      <c r="G89" s="526" t="str">
        <f t="shared" si="55"/>
        <v>s</v>
      </c>
      <c r="H89" s="2161">
        <f t="shared" ref="H89:AL89" si="58">H28</f>
        <v>189216000</v>
      </c>
      <c r="I89" s="2161">
        <f t="shared" si="58"/>
        <v>189216000</v>
      </c>
      <c r="J89" s="2161">
        <f>J28</f>
        <v>189216000</v>
      </c>
      <c r="K89" s="2161">
        <f t="shared" si="58"/>
        <v>189216000</v>
      </c>
      <c r="L89" s="2161">
        <f t="shared" si="58"/>
        <v>189216000</v>
      </c>
      <c r="M89" s="2161">
        <f t="shared" si="58"/>
        <v>189216000</v>
      </c>
      <c r="N89" s="2161">
        <f>N28</f>
        <v>189216000</v>
      </c>
      <c r="O89" s="2161">
        <f>O28</f>
        <v>189216000</v>
      </c>
      <c r="P89" s="2161">
        <f t="shared" si="58"/>
        <v>189216000</v>
      </c>
      <c r="Q89" s="2161">
        <f t="shared" si="58"/>
        <v>189216000</v>
      </c>
      <c r="R89" s="2161">
        <f>R28</f>
        <v>189216000</v>
      </c>
      <c r="S89" s="2161">
        <f>S28</f>
        <v>189216000</v>
      </c>
      <c r="T89" s="2161">
        <f>T28</f>
        <v>189216000</v>
      </c>
      <c r="U89" s="2161">
        <f t="shared" si="58"/>
        <v>189216000</v>
      </c>
      <c r="V89" s="2161">
        <f t="shared" si="58"/>
        <v>189216000</v>
      </c>
      <c r="W89" s="2161">
        <f t="shared" si="58"/>
        <v>189216000</v>
      </c>
      <c r="X89" s="2161">
        <f t="shared" si="58"/>
        <v>189216000</v>
      </c>
      <c r="Y89" s="2161">
        <f t="shared" si="58"/>
        <v>189216000</v>
      </c>
      <c r="Z89" s="2161">
        <f t="shared" si="58"/>
        <v>189216000</v>
      </c>
      <c r="AA89" s="2215">
        <f t="shared" si="58"/>
        <v>189216000</v>
      </c>
      <c r="AB89" s="2161">
        <f t="shared" si="58"/>
        <v>189216000</v>
      </c>
      <c r="AC89" s="2161">
        <f t="shared" si="58"/>
        <v>189216000</v>
      </c>
      <c r="AD89" s="2161">
        <f t="shared" si="58"/>
        <v>189216000</v>
      </c>
      <c r="AE89" s="2161">
        <f t="shared" si="58"/>
        <v>189216000</v>
      </c>
      <c r="AF89" s="2161">
        <f t="shared" si="58"/>
        <v>189216000</v>
      </c>
      <c r="AG89" s="2161">
        <f t="shared" si="58"/>
        <v>189216000</v>
      </c>
      <c r="AH89" s="2161">
        <f t="shared" si="58"/>
        <v>189216000</v>
      </c>
      <c r="AI89" s="2161">
        <f t="shared" si="58"/>
        <v>189216000</v>
      </c>
      <c r="AJ89" s="2161">
        <f t="shared" si="58"/>
        <v>189216000</v>
      </c>
      <c r="AK89" s="2161">
        <f t="shared" si="58"/>
        <v>189216000</v>
      </c>
      <c r="AL89" s="2161">
        <f t="shared" si="58"/>
        <v>189216000</v>
      </c>
      <c r="AM89" s="2161">
        <f t="shared" ref="AM89:BI89" si="59">AM28</f>
        <v>189216000</v>
      </c>
      <c r="AN89" s="2155">
        <f t="shared" si="59"/>
        <v>189216000</v>
      </c>
      <c r="AO89" s="2161">
        <f t="shared" si="59"/>
        <v>189216000</v>
      </c>
      <c r="AP89" s="2161">
        <f t="shared" si="59"/>
        <v>189216000</v>
      </c>
      <c r="AQ89" s="2161">
        <f t="shared" si="59"/>
        <v>189216000</v>
      </c>
      <c r="AR89" s="2161">
        <f t="shared" si="59"/>
        <v>189216000</v>
      </c>
      <c r="AS89" s="2161">
        <f t="shared" si="59"/>
        <v>189216000</v>
      </c>
      <c r="AT89" s="2161">
        <f t="shared" si="59"/>
        <v>189216000</v>
      </c>
      <c r="AU89" s="2161">
        <f t="shared" si="59"/>
        <v>189216000</v>
      </c>
      <c r="AV89" s="2161">
        <f t="shared" si="59"/>
        <v>189216000</v>
      </c>
      <c r="AW89" s="2161">
        <f t="shared" si="59"/>
        <v>189216000</v>
      </c>
      <c r="AX89" s="2161">
        <f t="shared" si="59"/>
        <v>189216000</v>
      </c>
      <c r="AY89" s="2161">
        <f t="shared" si="59"/>
        <v>189216000</v>
      </c>
      <c r="AZ89" s="2161">
        <f t="shared" si="59"/>
        <v>189216000</v>
      </c>
      <c r="BA89" s="2161">
        <f t="shared" si="59"/>
        <v>189216000</v>
      </c>
      <c r="BB89" s="2161">
        <f t="shared" si="59"/>
        <v>189216000</v>
      </c>
      <c r="BC89" s="2161">
        <f t="shared" si="59"/>
        <v>189216000</v>
      </c>
      <c r="BD89" s="2161">
        <f t="shared" si="59"/>
        <v>189216000</v>
      </c>
      <c r="BE89" s="2161">
        <f t="shared" si="59"/>
        <v>189216000</v>
      </c>
      <c r="BF89" s="2161">
        <f t="shared" si="59"/>
        <v>189216000</v>
      </c>
      <c r="BG89" s="2161">
        <f t="shared" si="59"/>
        <v>189216000</v>
      </c>
      <c r="BH89" s="2161">
        <f t="shared" si="59"/>
        <v>189216000</v>
      </c>
      <c r="BI89" s="2161">
        <f t="shared" si="59"/>
        <v>189216000</v>
      </c>
    </row>
    <row r="90" spans="1:61" ht="15.75">
      <c r="A90" s="2126"/>
      <c r="B90" s="2156"/>
      <c r="C90" s="2156"/>
      <c r="D90" s="2211"/>
      <c r="E90" s="2225" t="s">
        <v>297</v>
      </c>
      <c r="F90" s="2225" t="s">
        <v>1131</v>
      </c>
      <c r="G90" s="2226" t="s">
        <v>73</v>
      </c>
      <c r="H90" s="2227">
        <f t="shared" ref="H90:AM90" si="60">(2*H68*H13*0.001/H14*H89+(H41+H68*H45)^2)^0.5-H68*H45</f>
        <v>0.18818033258073966</v>
      </c>
      <c r="I90" s="2227">
        <f t="shared" si="60"/>
        <v>0.18818033258073966</v>
      </c>
      <c r="J90" s="2227">
        <f t="shared" si="60"/>
        <v>0.64371056267134097</v>
      </c>
      <c r="K90" s="2227">
        <f t="shared" si="60"/>
        <v>17.141462673760334</v>
      </c>
      <c r="L90" s="2227">
        <f t="shared" si="60"/>
        <v>6.0431796611466835</v>
      </c>
      <c r="M90" s="2227">
        <f t="shared" si="60"/>
        <v>6.0431796611466835</v>
      </c>
      <c r="N90" s="2227">
        <f t="shared" si="60"/>
        <v>8.8854023778299656</v>
      </c>
      <c r="O90" s="2227">
        <f t="shared" si="60"/>
        <v>8.8854023778299656</v>
      </c>
      <c r="P90" s="2227">
        <f t="shared" si="60"/>
        <v>8.8621347807550226</v>
      </c>
      <c r="Q90" s="2227">
        <f t="shared" si="60"/>
        <v>8.8621347807550226</v>
      </c>
      <c r="R90" s="2227">
        <f t="shared" si="60"/>
        <v>21.444618852167828</v>
      </c>
      <c r="S90" s="2227">
        <f t="shared" si="60"/>
        <v>6.4872404615739834</v>
      </c>
      <c r="T90" s="2227">
        <f t="shared" si="60"/>
        <v>6.4872404615739834</v>
      </c>
      <c r="U90" s="2227">
        <f t="shared" si="60"/>
        <v>12.373248953171363</v>
      </c>
      <c r="V90" s="2227">
        <f t="shared" si="60"/>
        <v>9.5166749373731498</v>
      </c>
      <c r="W90" s="2227">
        <f t="shared" si="60"/>
        <v>9.5166749373731498</v>
      </c>
      <c r="X90" s="2227">
        <f t="shared" si="60"/>
        <v>7.017336599452932</v>
      </c>
      <c r="Y90" s="2227">
        <f t="shared" si="60"/>
        <v>5.4922416753536467</v>
      </c>
      <c r="Z90" s="2227">
        <f t="shared" si="60"/>
        <v>3.9923139253681117</v>
      </c>
      <c r="AA90" s="2227">
        <f t="shared" si="60"/>
        <v>3.2329360060346946</v>
      </c>
      <c r="AB90" s="2227">
        <f t="shared" si="60"/>
        <v>2.2996745305738573</v>
      </c>
      <c r="AC90" s="2227">
        <f t="shared" si="60"/>
        <v>0.86867330890038774</v>
      </c>
      <c r="AD90" s="2227">
        <f t="shared" si="60"/>
        <v>0.271724897573419</v>
      </c>
      <c r="AE90" s="2227">
        <f t="shared" si="60"/>
        <v>3.9878526850173457E-2</v>
      </c>
      <c r="AF90" s="2227">
        <f t="shared" si="60"/>
        <v>1.5301809369536179E-4</v>
      </c>
      <c r="AG90" s="2227">
        <f t="shared" si="60"/>
        <v>14.424489174164707</v>
      </c>
      <c r="AH90" s="2227">
        <f t="shared" si="60"/>
        <v>11.185836684476705</v>
      </c>
      <c r="AI90" s="2227">
        <f t="shared" si="60"/>
        <v>6.1622104698446405</v>
      </c>
      <c r="AJ90" s="2227">
        <f t="shared" si="60"/>
        <v>2.5945642225160688</v>
      </c>
      <c r="AK90" s="2227">
        <f t="shared" si="60"/>
        <v>0.99903873105473662</v>
      </c>
      <c r="AL90" s="2227">
        <f t="shared" si="60"/>
        <v>0.13973322460734758</v>
      </c>
      <c r="AM90" s="2227">
        <f t="shared" si="60"/>
        <v>1.0746425823924821E-3</v>
      </c>
      <c r="AN90" s="2227">
        <f t="shared" ref="AN90:BI90" si="61">(2*AN68*AN13*0.001/AN14*AN89+(AN41+AN68*AN45)^2)^0.5-AN68*AN45</f>
        <v>0.15925662791328266</v>
      </c>
      <c r="AO90" s="2227">
        <f t="shared" si="61"/>
        <v>4.5340751827246117E-2</v>
      </c>
      <c r="AP90" s="2227">
        <f t="shared" si="61"/>
        <v>7.0785822445669527E-2</v>
      </c>
      <c r="AQ90" s="2227">
        <f t="shared" si="61"/>
        <v>2.9121829898004381E-2</v>
      </c>
      <c r="AR90" s="2227">
        <f t="shared" si="61"/>
        <v>5.8510807921677011E-3</v>
      </c>
      <c r="AS90" s="2227">
        <f t="shared" si="61"/>
        <v>7.4785144181878649E-3</v>
      </c>
      <c r="AT90" s="2227">
        <f t="shared" si="61"/>
        <v>5.3130423792568937E-4</v>
      </c>
      <c r="AU90" s="2227">
        <f t="shared" si="61"/>
        <v>5.1807403695486309E-4</v>
      </c>
      <c r="AV90" s="2227">
        <f t="shared" si="61"/>
        <v>7.8511822433569023E-5</v>
      </c>
      <c r="AW90" s="2227">
        <f t="shared" si="61"/>
        <v>7.9729033907127711E-5</v>
      </c>
      <c r="AX90" s="2227">
        <f t="shared" si="61"/>
        <v>1.7653326864042196E-5</v>
      </c>
      <c r="AY90" s="2227">
        <f t="shared" si="61"/>
        <v>1.2115492535824668E-5</v>
      </c>
      <c r="AZ90" s="2227">
        <f t="shared" si="61"/>
        <v>1.084519579425125E-5</v>
      </c>
      <c r="BA90" s="2227">
        <f t="shared" si="61"/>
        <v>2.5082668529963215E-6</v>
      </c>
      <c r="BB90" s="2227">
        <f t="shared" si="61"/>
        <v>6.2678428577878087E-6</v>
      </c>
      <c r="BC90" s="2227">
        <f t="shared" si="61"/>
        <v>1.4874423551192173E-6</v>
      </c>
      <c r="BD90" s="2227">
        <f t="shared" si="61"/>
        <v>6.0548001070060087E-2</v>
      </c>
      <c r="BE90" s="2227">
        <f t="shared" si="61"/>
        <v>5.9550835115718126E-5</v>
      </c>
      <c r="BF90" s="2227">
        <f t="shared" si="61"/>
        <v>5.9550835115718126E-5</v>
      </c>
      <c r="BG90" s="2227">
        <f t="shared" si="61"/>
        <v>9.0279959360335909</v>
      </c>
      <c r="BH90" s="2227">
        <f t="shared" si="61"/>
        <v>4.3586491226231761E-2</v>
      </c>
      <c r="BI90" s="2227">
        <f t="shared" si="61"/>
        <v>0.25792308599417774</v>
      </c>
    </row>
    <row r="91" spans="1:61" s="2204" customFormat="1" ht="25.5">
      <c r="D91" s="2207"/>
      <c r="E91" s="2205" t="s">
        <v>610</v>
      </c>
      <c r="F91" s="2205" t="s">
        <v>138</v>
      </c>
      <c r="G91" s="2206" t="s">
        <v>139</v>
      </c>
      <c r="H91" s="2204">
        <f t="shared" ref="H91:AM91" si="62">1000*H14/H13*(H90-H41)/H89</f>
        <v>5.6625340125127999E-4</v>
      </c>
      <c r="I91" s="2204">
        <f t="shared" si="62"/>
        <v>5.6625340125127999E-4</v>
      </c>
      <c r="J91" s="2204">
        <f t="shared" si="62"/>
        <v>2.9506104684245163E-4</v>
      </c>
      <c r="K91" s="2204">
        <f t="shared" si="62"/>
        <v>3.5265245266730051E-5</v>
      </c>
      <c r="L91" s="2204">
        <f t="shared" si="62"/>
        <v>6.6496957221641071E-5</v>
      </c>
      <c r="M91" s="2204">
        <f t="shared" si="62"/>
        <v>6.6496957221641071E-5</v>
      </c>
      <c r="N91" s="2204">
        <f t="shared" si="62"/>
        <v>4.9572142056305533E-5</v>
      </c>
      <c r="O91" s="2204">
        <f t="shared" si="62"/>
        <v>4.9572142056305533E-5</v>
      </c>
      <c r="P91" s="2204">
        <f t="shared" si="62"/>
        <v>4.528759758152356E-5</v>
      </c>
      <c r="Q91" s="2204">
        <f t="shared" si="62"/>
        <v>4.528759758152356E-5</v>
      </c>
      <c r="R91" s="2204">
        <f t="shared" si="62"/>
        <v>2.7262322700934112E-4</v>
      </c>
      <c r="S91" s="2204">
        <f t="shared" si="62"/>
        <v>8.7906360170860972E-5</v>
      </c>
      <c r="T91" s="2204">
        <f t="shared" si="62"/>
        <v>8.7906360170860972E-5</v>
      </c>
      <c r="U91" s="2204">
        <f t="shared" si="62"/>
        <v>3.5613251776241612E-5</v>
      </c>
      <c r="V91" s="2204">
        <f t="shared" si="62"/>
        <v>1.6734666857831727E-5</v>
      </c>
      <c r="W91" s="2204">
        <f t="shared" si="62"/>
        <v>1.6734666857831727E-5</v>
      </c>
      <c r="X91" s="2204">
        <f t="shared" si="62"/>
        <v>6.4322304625755974E-5</v>
      </c>
      <c r="Y91" s="2204">
        <f t="shared" si="62"/>
        <v>7.263881781574067E-5</v>
      </c>
      <c r="Z91" s="2204">
        <f t="shared" si="62"/>
        <v>8.9158521684960234E-5</v>
      </c>
      <c r="AA91" s="2204">
        <f t="shared" si="62"/>
        <v>1.0762262743480299E-4</v>
      </c>
      <c r="AB91" s="2204">
        <f t="shared" si="62"/>
        <v>6.7689521318932896E-5</v>
      </c>
      <c r="AC91" s="2204">
        <f t="shared" si="62"/>
        <v>1.3103205412602568E-4</v>
      </c>
      <c r="AD91" s="2204">
        <f t="shared" si="62"/>
        <v>2.0940438732554658E-4</v>
      </c>
      <c r="AE91" s="2204">
        <f t="shared" si="62"/>
        <v>2.4646529009274179E-4</v>
      </c>
      <c r="AF91" s="2204">
        <f t="shared" si="62"/>
        <v>2.2817150860812341E-4</v>
      </c>
      <c r="AG91" s="2204">
        <f t="shared" si="62"/>
        <v>1.8461055717962648E-5</v>
      </c>
      <c r="AH91" s="2204">
        <f t="shared" si="62"/>
        <v>1.9120260556466736E-5</v>
      </c>
      <c r="AI91" s="2204">
        <f t="shared" si="62"/>
        <v>2.5904727745153989E-5</v>
      </c>
      <c r="AJ91" s="2204">
        <f t="shared" si="62"/>
        <v>4.5819594806889035E-5</v>
      </c>
      <c r="AK91" s="2204">
        <f t="shared" si="62"/>
        <v>7.7391016944546818E-5</v>
      </c>
      <c r="AL91" s="2204">
        <f t="shared" si="62"/>
        <v>1.4278630599433753E-4</v>
      </c>
      <c r="AM91" s="2204">
        <f t="shared" si="62"/>
        <v>1.5863556405249825E-4</v>
      </c>
      <c r="AN91" s="2204">
        <f t="shared" ref="AN91:BI91" si="63">1000*AN14/AN13*(AN90-AN41)/AN89</f>
        <v>2.9535541450236951E-4</v>
      </c>
      <c r="AO91" s="2204">
        <f t="shared" si="63"/>
        <v>3.0788386377142191E-4</v>
      </c>
      <c r="AP91" s="2204">
        <f t="shared" si="63"/>
        <v>2.8731704579976333E-4</v>
      </c>
      <c r="AQ91" s="2204">
        <f t="shared" si="63"/>
        <v>2.9192500142213846E-4</v>
      </c>
      <c r="AR91" s="2204">
        <f t="shared" si="63"/>
        <v>2.9294621573070623E-4</v>
      </c>
      <c r="AS91" s="2204">
        <f t="shared" si="63"/>
        <v>2.8988946436231741E-4</v>
      </c>
      <c r="AT91" s="2204">
        <f t="shared" si="63"/>
        <v>2.8213973569824792E-4</v>
      </c>
      <c r="AU91" s="2204">
        <f t="shared" si="63"/>
        <v>2.8597798373322544E-4</v>
      </c>
      <c r="AV91" s="2204">
        <f t="shared" si="63"/>
        <v>2.7165658799331908E-4</v>
      </c>
      <c r="AW91" s="2204">
        <f t="shared" si="63"/>
        <v>2.8629431493598558E-4</v>
      </c>
      <c r="AX91" s="2204">
        <f t="shared" si="63"/>
        <v>1.8009541037528035E-3</v>
      </c>
      <c r="AY91" s="2204">
        <f t="shared" si="63"/>
        <v>1.800966478964135E-3</v>
      </c>
      <c r="AZ91" s="2204">
        <f t="shared" si="63"/>
        <v>2.4141653987940158E-3</v>
      </c>
      <c r="BA91" s="2204">
        <f t="shared" si="63"/>
        <v>3.2328484014037245E-3</v>
      </c>
      <c r="BB91" s="2204">
        <f t="shared" si="63"/>
        <v>5.1021758214697167E-4</v>
      </c>
      <c r="BC91" s="2204">
        <f t="shared" si="63"/>
        <v>455.7908091782565</v>
      </c>
      <c r="BD91" s="2204">
        <f t="shared" si="63"/>
        <v>5.1310072754380699E-3</v>
      </c>
      <c r="BE91" s="2204">
        <f t="shared" si="63"/>
        <v>2.2737255365915503E-4</v>
      </c>
      <c r="BF91" s="2204">
        <f t="shared" si="63"/>
        <v>2.2737255365915503E-4</v>
      </c>
      <c r="BG91" s="2204">
        <f t="shared" si="63"/>
        <v>1.8981611594586593E-5</v>
      </c>
      <c r="BH91" s="2204">
        <f t="shared" si="63"/>
        <v>2.7776157208261737E-3</v>
      </c>
      <c r="BI91" s="2204">
        <f t="shared" si="63"/>
        <v>2.1243048343372426E-3</v>
      </c>
    </row>
    <row r="92" spans="1:61" ht="25.5">
      <c r="A92" s="2126"/>
      <c r="B92" s="2156"/>
      <c r="C92" s="2156"/>
      <c r="D92" s="2211"/>
      <c r="E92" s="2153" t="s">
        <v>611</v>
      </c>
      <c r="F92" s="2153" t="s">
        <v>138</v>
      </c>
      <c r="G92" s="2154" t="s">
        <v>139</v>
      </c>
      <c r="H92" s="2161">
        <f t="shared" ref="H92:AL92" si="64">MIN(H91,H$29)</f>
        <v>5.6625340125127999E-4</v>
      </c>
      <c r="I92" s="2161">
        <f t="shared" si="64"/>
        <v>5.6625340125127999E-4</v>
      </c>
      <c r="J92" s="2161">
        <f>MIN(J91,J$29)</f>
        <v>2.9506104684245163E-4</v>
      </c>
      <c r="K92" s="2161">
        <f t="shared" si="64"/>
        <v>6.1719199705249922E-6</v>
      </c>
      <c r="L92" s="2161">
        <f t="shared" si="64"/>
        <v>3.3010911945495617E-5</v>
      </c>
      <c r="M92" s="2161">
        <f t="shared" si="64"/>
        <v>3.3010911945495617E-5</v>
      </c>
      <c r="N92" s="2161">
        <f>MIN(N91,N$29)</f>
        <v>1.673716280311402E-5</v>
      </c>
      <c r="O92" s="2161">
        <f>MIN(O91,O$29)</f>
        <v>1.673716280311402E-5</v>
      </c>
      <c r="P92" s="2161">
        <f t="shared" si="64"/>
        <v>1.5330707115808009E-5</v>
      </c>
      <c r="Q92" s="2161">
        <f t="shared" si="64"/>
        <v>1.5330707115808009E-5</v>
      </c>
      <c r="R92" s="2161">
        <f>MIN(R91,R$29)</f>
        <v>3.8138690487629963E-5</v>
      </c>
      <c r="S92" s="2161">
        <f>MIN(S91,S$29)</f>
        <v>4.0651966282840303E-5</v>
      </c>
      <c r="T92" s="2161">
        <f>MIN(T91,T$29)</f>
        <v>4.0651966282840303E-5</v>
      </c>
      <c r="U92" s="2161">
        <f t="shared" si="64"/>
        <v>8.6347373865245747E-6</v>
      </c>
      <c r="V92" s="2161">
        <f t="shared" si="64"/>
        <v>5.2753720079623515E-6</v>
      </c>
      <c r="W92" s="2161">
        <f t="shared" si="64"/>
        <v>5.2753720079623515E-6</v>
      </c>
      <c r="X92" s="2161">
        <f t="shared" si="64"/>
        <v>2.7498597386978914E-5</v>
      </c>
      <c r="Y92" s="2161">
        <f t="shared" si="64"/>
        <v>3.9677142108498037E-5</v>
      </c>
      <c r="Z92" s="2161">
        <f t="shared" si="64"/>
        <v>6.6997628456839868E-5</v>
      </c>
      <c r="AA92" s="2161">
        <f t="shared" si="64"/>
        <v>9.9868318365019948E-5</v>
      </c>
      <c r="AB92" s="2161">
        <f t="shared" si="64"/>
        <v>6.7689521318932896E-5</v>
      </c>
      <c r="AC92" s="2161">
        <f t="shared" si="64"/>
        <v>1.3103205412602568E-4</v>
      </c>
      <c r="AD92" s="2161">
        <f t="shared" si="64"/>
        <v>2.0940438732554658E-4</v>
      </c>
      <c r="AE92" s="2161">
        <f t="shared" si="64"/>
        <v>2.4646529009274179E-4</v>
      </c>
      <c r="AF92" s="2161">
        <f t="shared" si="64"/>
        <v>2.2817150860812341E-4</v>
      </c>
      <c r="AG92" s="2161">
        <f t="shared" si="64"/>
        <v>3.8395236382500922E-6</v>
      </c>
      <c r="AH92" s="2161">
        <f t="shared" si="64"/>
        <v>5.1279831171684633E-6</v>
      </c>
      <c r="AI92" s="2161">
        <f t="shared" si="64"/>
        <v>1.2611413325747907E-5</v>
      </c>
      <c r="AJ92" s="2161">
        <f t="shared" si="64"/>
        <v>4.5819594806889035E-5</v>
      </c>
      <c r="AK92" s="2161">
        <f t="shared" si="64"/>
        <v>7.7391016944546818E-5</v>
      </c>
      <c r="AL92" s="2161">
        <f t="shared" si="64"/>
        <v>1.4278630599433753E-4</v>
      </c>
      <c r="AM92" s="2161">
        <f t="shared" ref="AM92:BI92" si="65">MIN(AM91,AM$29)</f>
        <v>1.5863556405249825E-4</v>
      </c>
      <c r="AN92" s="2161">
        <f t="shared" si="65"/>
        <v>2.9535541450236951E-4</v>
      </c>
      <c r="AO92" s="2161">
        <f t="shared" si="65"/>
        <v>3.0788386377142191E-4</v>
      </c>
      <c r="AP92" s="2161">
        <f t="shared" si="65"/>
        <v>2.8731704579976333E-4</v>
      </c>
      <c r="AQ92" s="2161">
        <f t="shared" si="65"/>
        <v>2.9192500142213846E-4</v>
      </c>
      <c r="AR92" s="2161">
        <f t="shared" si="65"/>
        <v>2.9294621573070623E-4</v>
      </c>
      <c r="AS92" s="2161">
        <f t="shared" si="65"/>
        <v>2.8988946436231741E-4</v>
      </c>
      <c r="AT92" s="2161">
        <f t="shared" si="65"/>
        <v>2.8213973569824792E-4</v>
      </c>
      <c r="AU92" s="2161">
        <f t="shared" si="65"/>
        <v>2.8597798373322544E-4</v>
      </c>
      <c r="AV92" s="2161">
        <f t="shared" si="65"/>
        <v>2.7165658799331908E-4</v>
      </c>
      <c r="AW92" s="2161">
        <f t="shared" si="65"/>
        <v>2.8629431493598558E-4</v>
      </c>
      <c r="AX92" s="2161">
        <f t="shared" si="65"/>
        <v>1.8009541037528035E-3</v>
      </c>
      <c r="AY92" s="2161">
        <f t="shared" si="65"/>
        <v>1.800966478964135E-3</v>
      </c>
      <c r="AZ92" s="2161">
        <f t="shared" si="65"/>
        <v>2.4141653987940158E-3</v>
      </c>
      <c r="BA92" s="2161">
        <f t="shared" si="65"/>
        <v>3.2328484014037245E-3</v>
      </c>
      <c r="BB92" s="2161">
        <f t="shared" si="65"/>
        <v>5.1021758214697167E-4</v>
      </c>
      <c r="BC92" s="2161">
        <f t="shared" si="65"/>
        <v>455.7908091782565</v>
      </c>
      <c r="BD92" s="2161">
        <f t="shared" si="65"/>
        <v>5.1310072754380699E-3</v>
      </c>
      <c r="BE92" s="2161">
        <f t="shared" si="65"/>
        <v>2.2737255365915503E-4</v>
      </c>
      <c r="BF92" s="2161">
        <f t="shared" si="65"/>
        <v>2.2737255365915503E-4</v>
      </c>
      <c r="BG92" s="2161">
        <f t="shared" si="65"/>
        <v>6.3075831211304503E-6</v>
      </c>
      <c r="BH92" s="2161">
        <f t="shared" si="65"/>
        <v>2.7776157208261737E-3</v>
      </c>
      <c r="BI92" s="2161">
        <f t="shared" si="65"/>
        <v>2.1243048343372426E-3</v>
      </c>
    </row>
    <row r="93" spans="1:61" ht="25.5">
      <c r="A93" s="2126"/>
      <c r="B93" s="2156"/>
      <c r="C93" s="2156"/>
      <c r="D93" s="2211"/>
      <c r="E93" s="3655" t="s">
        <v>582</v>
      </c>
      <c r="F93" s="2153" t="s">
        <v>300</v>
      </c>
      <c r="G93" s="2220" t="s">
        <v>35</v>
      </c>
      <c r="H93" s="2221">
        <f t="shared" ref="H93:AM93" si="66">H49/H91</f>
        <v>1.3851928711207979</v>
      </c>
      <c r="I93" s="2221">
        <f t="shared" si="66"/>
        <v>1.3851928711207979</v>
      </c>
      <c r="J93" s="2221">
        <f t="shared" si="66"/>
        <v>2.4444145221494771</v>
      </c>
      <c r="K93" s="2221">
        <f t="shared" si="66"/>
        <v>40.252751352699086</v>
      </c>
      <c r="L93" s="2221">
        <f t="shared" si="66"/>
        <v>14.830812054672633</v>
      </c>
      <c r="M93" s="2221">
        <f t="shared" si="66"/>
        <v>14.830812054672633</v>
      </c>
      <c r="N93" s="2221">
        <f t="shared" si="66"/>
        <v>21.344382590569651</v>
      </c>
      <c r="O93" s="2221">
        <f t="shared" si="66"/>
        <v>21.344382590569651</v>
      </c>
      <c r="P93" s="2221">
        <f t="shared" si="66"/>
        <v>21.292254063410908</v>
      </c>
      <c r="Q93" s="2221">
        <f t="shared" si="66"/>
        <v>21.292254063410908</v>
      </c>
      <c r="R93" s="2221">
        <f t="shared" si="66"/>
        <v>50.105470825503467</v>
      </c>
      <c r="S93" s="2221">
        <f t="shared" si="66"/>
        <v>15.849725783082262</v>
      </c>
      <c r="T93" s="2221">
        <f t="shared" si="66"/>
        <v>15.849725783082262</v>
      </c>
      <c r="U93" s="2221">
        <f t="shared" si="66"/>
        <v>29.332262159276222</v>
      </c>
      <c r="V93" s="2221">
        <f t="shared" si="66"/>
        <v>22.79226658761683</v>
      </c>
      <c r="W93" s="2221">
        <f t="shared" si="66"/>
        <v>22.79226658761683</v>
      </c>
      <c r="X93" s="2221">
        <f t="shared" si="66"/>
        <v>17.065144908714863</v>
      </c>
      <c r="Y93" s="2221">
        <f t="shared" si="66"/>
        <v>13.574099002430568</v>
      </c>
      <c r="Z93" s="2221">
        <f t="shared" si="66"/>
        <v>10.14048924809364</v>
      </c>
      <c r="AA93" s="2221">
        <f t="shared" si="66"/>
        <v>8.4013640706513542</v>
      </c>
      <c r="AB93" s="2221">
        <f t="shared" si="66"/>
        <v>6.265584909288056</v>
      </c>
      <c r="AC93" s="2221">
        <f t="shared" si="66"/>
        <v>2.9885184609593063</v>
      </c>
      <c r="AD93" s="2221">
        <f t="shared" si="66"/>
        <v>1.6216625605494392</v>
      </c>
      <c r="AE93" s="2221">
        <f t="shared" si="66"/>
        <v>1.0909794952796861</v>
      </c>
      <c r="AF93" s="2221">
        <f t="shared" si="66"/>
        <v>1.0003282074541093</v>
      </c>
      <c r="AG93" s="2221">
        <f t="shared" si="66"/>
        <v>34.031185962693371</v>
      </c>
      <c r="AH93" s="2221">
        <f t="shared" si="66"/>
        <v>26.614885413215717</v>
      </c>
      <c r="AI93" s="2221">
        <f t="shared" si="66"/>
        <v>15.111092202436259</v>
      </c>
      <c r="AJ93" s="2221">
        <f t="shared" si="66"/>
        <v>6.9413975859085539</v>
      </c>
      <c r="AK93" s="2221">
        <f t="shared" si="66"/>
        <v>3.2877399253333564</v>
      </c>
      <c r="AL93" s="2221">
        <f t="shared" si="66"/>
        <v>1.3199808913252613</v>
      </c>
      <c r="AM93" s="2221">
        <f t="shared" si="66"/>
        <v>1.0024608685162946</v>
      </c>
      <c r="AN93" s="2221">
        <f t="shared" ref="AN93:BI93" si="67">AN49/AN91</f>
        <v>1.360532520564389</v>
      </c>
      <c r="AO93" s="2221">
        <f t="shared" si="67"/>
        <v>1.1023766669165584</v>
      </c>
      <c r="AP93" s="2221">
        <f t="shared" si="67"/>
        <v>1.1605173668799256</v>
      </c>
      <c r="AQ93" s="2221">
        <f t="shared" si="67"/>
        <v>1.0656986711518894</v>
      </c>
      <c r="AR93" s="2221">
        <f t="shared" si="67"/>
        <v>1.0129351634931283</v>
      </c>
      <c r="AS93" s="2221">
        <f t="shared" si="67"/>
        <v>1.0166340337117481</v>
      </c>
      <c r="AT93" s="2221">
        <f t="shared" si="67"/>
        <v>1.0011018782507768</v>
      </c>
      <c r="AU93" s="2221">
        <f t="shared" si="67"/>
        <v>1.0010635094399971</v>
      </c>
      <c r="AV93" s="2221">
        <f t="shared" si="67"/>
        <v>1.0001535336870895</v>
      </c>
      <c r="AW93" s="2221">
        <f t="shared" si="67"/>
        <v>1.000150772276182</v>
      </c>
      <c r="AX93" s="2221">
        <f t="shared" si="67"/>
        <v>1.0000219049818837</v>
      </c>
      <c r="AY93" s="2221">
        <f t="shared" si="67"/>
        <v>1.0000150334034534</v>
      </c>
      <c r="AZ93" s="2221">
        <f t="shared" si="67"/>
        <v>1.0000132625933471</v>
      </c>
      <c r="BA93" s="2221">
        <f t="shared" si="67"/>
        <v>1.0000030258251311</v>
      </c>
      <c r="BB93" s="2221">
        <f t="shared" si="67"/>
        <v>1.0000089804827759</v>
      </c>
      <c r="BC93" s="2221">
        <f t="shared" si="67"/>
        <v>1.0000017448890413</v>
      </c>
      <c r="BD93" s="2221">
        <f t="shared" si="67"/>
        <v>1.0786368579830272</v>
      </c>
      <c r="BE93" s="2221">
        <f t="shared" si="67"/>
        <v>1.0001212518657576</v>
      </c>
      <c r="BF93" s="2221">
        <f t="shared" si="67"/>
        <v>1.0001212518657576</v>
      </c>
      <c r="BG93" s="2221">
        <f t="shared" si="67"/>
        <v>21.666671558585513</v>
      </c>
      <c r="BH93" s="2221">
        <f t="shared" si="67"/>
        <v>1.058102730370349</v>
      </c>
      <c r="BI93" s="2221">
        <f t="shared" si="67"/>
        <v>1.466994836607483</v>
      </c>
    </row>
    <row r="94" spans="1:61" ht="25.5">
      <c r="A94" s="2126"/>
      <c r="B94" s="2156"/>
      <c r="C94" s="2156"/>
      <c r="D94" s="2211"/>
      <c r="E94" s="3658" t="s">
        <v>583</v>
      </c>
      <c r="F94" s="2217" t="s">
        <v>300</v>
      </c>
      <c r="G94" s="2222" t="s">
        <v>35</v>
      </c>
      <c r="H94" s="2223">
        <f t="shared" ref="H94:AM94" si="68">H56/H92</f>
        <v>1.3851928711207979</v>
      </c>
      <c r="I94" s="2223">
        <f t="shared" si="68"/>
        <v>1.3851928711207979</v>
      </c>
      <c r="J94" s="2223">
        <f t="shared" si="68"/>
        <v>2.4444145221494771</v>
      </c>
      <c r="K94" s="2223">
        <f t="shared" si="68"/>
        <v>1</v>
      </c>
      <c r="L94" s="2223">
        <f t="shared" si="68"/>
        <v>1</v>
      </c>
      <c r="M94" s="2223">
        <f t="shared" si="68"/>
        <v>1</v>
      </c>
      <c r="N94" s="2223">
        <f t="shared" si="68"/>
        <v>1</v>
      </c>
      <c r="O94" s="2223">
        <f t="shared" si="68"/>
        <v>1</v>
      </c>
      <c r="P94" s="2223">
        <f t="shared" si="68"/>
        <v>1</v>
      </c>
      <c r="Q94" s="2223">
        <f t="shared" si="68"/>
        <v>1</v>
      </c>
      <c r="R94" s="2223">
        <f t="shared" si="68"/>
        <v>1</v>
      </c>
      <c r="S94" s="2223">
        <f t="shared" si="68"/>
        <v>1</v>
      </c>
      <c r="T94" s="2223">
        <f t="shared" si="68"/>
        <v>1</v>
      </c>
      <c r="U94" s="2223">
        <f t="shared" si="68"/>
        <v>1</v>
      </c>
      <c r="V94" s="2223">
        <f t="shared" si="68"/>
        <v>1</v>
      </c>
      <c r="W94" s="2223">
        <f t="shared" si="68"/>
        <v>1</v>
      </c>
      <c r="X94" s="2223">
        <f t="shared" si="68"/>
        <v>1</v>
      </c>
      <c r="Y94" s="2223">
        <f t="shared" si="68"/>
        <v>1</v>
      </c>
      <c r="Z94" s="2223">
        <f t="shared" si="68"/>
        <v>1</v>
      </c>
      <c r="AA94" s="2223">
        <f t="shared" si="68"/>
        <v>1</v>
      </c>
      <c r="AB94" s="2223">
        <f t="shared" si="68"/>
        <v>1.3045324284438566</v>
      </c>
      <c r="AC94" s="2223">
        <f t="shared" si="68"/>
        <v>2.9885184609593063</v>
      </c>
      <c r="AD94" s="2223">
        <f t="shared" si="68"/>
        <v>1.6216625605494392</v>
      </c>
      <c r="AE94" s="2223">
        <f t="shared" si="68"/>
        <v>1.0909794952796861</v>
      </c>
      <c r="AF94" s="2223">
        <f t="shared" si="68"/>
        <v>1.0003282074541093</v>
      </c>
      <c r="AG94" s="2223">
        <f t="shared" si="68"/>
        <v>1</v>
      </c>
      <c r="AH94" s="2223">
        <f t="shared" si="68"/>
        <v>1</v>
      </c>
      <c r="AI94" s="2223">
        <f t="shared" si="68"/>
        <v>1</v>
      </c>
      <c r="AJ94" s="2223">
        <f t="shared" si="68"/>
        <v>1.1562635351114037</v>
      </c>
      <c r="AK94" s="2223">
        <f t="shared" si="68"/>
        <v>3.0028865816170569</v>
      </c>
      <c r="AL94" s="2223">
        <f t="shared" si="68"/>
        <v>1.3199808913252613</v>
      </c>
      <c r="AM94" s="2223">
        <f t="shared" si="68"/>
        <v>1.0024608685162946</v>
      </c>
      <c r="AN94" s="2223">
        <f t="shared" ref="AN94:BI94" si="69">AN56/AN92</f>
        <v>1.360532520564389</v>
      </c>
      <c r="AO94" s="2223">
        <f t="shared" si="69"/>
        <v>1.1023766669165584</v>
      </c>
      <c r="AP94" s="2223">
        <f t="shared" si="69"/>
        <v>1.1605173668799256</v>
      </c>
      <c r="AQ94" s="2223">
        <f t="shared" si="69"/>
        <v>1.0656986711518894</v>
      </c>
      <c r="AR94" s="2223">
        <f t="shared" si="69"/>
        <v>1.0129351634931283</v>
      </c>
      <c r="AS94" s="2223">
        <f t="shared" si="69"/>
        <v>1.0166340337117481</v>
      </c>
      <c r="AT94" s="2223">
        <f t="shared" si="69"/>
        <v>1.0011018782507768</v>
      </c>
      <c r="AU94" s="2223">
        <f t="shared" si="69"/>
        <v>1.0010635094399971</v>
      </c>
      <c r="AV94" s="2223">
        <f t="shared" si="69"/>
        <v>1.0001535336870895</v>
      </c>
      <c r="AW94" s="2223">
        <f t="shared" si="69"/>
        <v>1.000150772276182</v>
      </c>
      <c r="AX94" s="2223">
        <f t="shared" si="69"/>
        <v>1.0000219049818837</v>
      </c>
      <c r="AY94" s="2223">
        <f t="shared" si="69"/>
        <v>1.0000150334034534</v>
      </c>
      <c r="AZ94" s="2223">
        <f t="shared" si="69"/>
        <v>1.0000132625933471</v>
      </c>
      <c r="BA94" s="2223">
        <f t="shared" si="69"/>
        <v>1.0000030258251311</v>
      </c>
      <c r="BB94" s="2223">
        <f t="shared" si="69"/>
        <v>1.0000089804827759</v>
      </c>
      <c r="BC94" s="2223">
        <f t="shared" si="69"/>
        <v>1.0000017448890413</v>
      </c>
      <c r="BD94" s="2223">
        <f t="shared" si="69"/>
        <v>1.0786368579830272</v>
      </c>
      <c r="BE94" s="2223">
        <f t="shared" si="69"/>
        <v>1.0001212518657576</v>
      </c>
      <c r="BF94" s="2223">
        <f t="shared" si="69"/>
        <v>1.0001212518657576</v>
      </c>
      <c r="BG94" s="2223">
        <f t="shared" si="69"/>
        <v>1</v>
      </c>
      <c r="BH94" s="2223">
        <f t="shared" si="69"/>
        <v>1.058102730370349</v>
      </c>
      <c r="BI94" s="2223">
        <f t="shared" si="69"/>
        <v>1.466994836607483</v>
      </c>
    </row>
    <row r="95" spans="1:61">
      <c r="A95" s="2126"/>
      <c r="B95" s="2156"/>
      <c r="C95" s="2156"/>
      <c r="D95" s="2211"/>
      <c r="E95" s="2153"/>
      <c r="F95" s="2153"/>
      <c r="G95" s="2154"/>
      <c r="H95" s="2156"/>
      <c r="I95" s="2156"/>
      <c r="J95" s="2156"/>
      <c r="K95" s="2156"/>
      <c r="L95" s="2156"/>
      <c r="M95" s="2156"/>
      <c r="N95" s="2156"/>
      <c r="O95" s="2156"/>
      <c r="P95" s="2156"/>
      <c r="Q95" s="2156"/>
      <c r="S95" s="2156"/>
      <c r="T95" s="2156"/>
      <c r="U95" s="2156"/>
      <c r="V95" s="2156"/>
      <c r="W95" s="2156"/>
      <c r="X95" s="2156"/>
      <c r="Y95" s="2156"/>
      <c r="Z95" s="2156"/>
      <c r="AA95" s="2156"/>
      <c r="AB95" s="2156"/>
      <c r="AC95" s="2156"/>
      <c r="AD95" s="2156"/>
      <c r="AE95" s="2156"/>
      <c r="AF95" s="2156"/>
      <c r="AG95" s="2156"/>
      <c r="AH95" s="2156"/>
      <c r="AI95" s="2156"/>
      <c r="AJ95" s="2156"/>
      <c r="AK95" s="2156"/>
      <c r="AL95" s="2156"/>
      <c r="AM95" s="2156"/>
      <c r="AN95" s="2156"/>
      <c r="AO95" s="2156"/>
      <c r="AP95" s="2156"/>
      <c r="AQ95" s="2156"/>
      <c r="AR95" s="2156"/>
      <c r="AS95" s="2156"/>
      <c r="AT95" s="2156"/>
      <c r="AU95" s="2156"/>
      <c r="AV95" s="2156"/>
      <c r="AW95" s="2156"/>
      <c r="AX95" s="2156"/>
      <c r="AY95" s="2156"/>
      <c r="AZ95" s="2156"/>
      <c r="BA95" s="2156"/>
      <c r="BB95" s="2156"/>
      <c r="BC95" s="2156"/>
      <c r="BD95" s="2156"/>
      <c r="BE95" s="2156"/>
      <c r="BF95" s="2156"/>
      <c r="BG95" s="2156"/>
      <c r="BH95" s="2156"/>
      <c r="BI95" s="2156"/>
    </row>
    <row r="96" spans="1:61">
      <c r="A96" s="2126"/>
      <c r="B96" s="2156"/>
      <c r="C96" s="2156"/>
      <c r="D96" s="2211"/>
      <c r="E96" s="2212" t="str">
        <f>E64</f>
        <v>Période employé (40 ans)</v>
      </c>
      <c r="F96" s="2153"/>
      <c r="G96" s="2154"/>
      <c r="H96" s="2156"/>
      <c r="I96" s="2156"/>
      <c r="J96" s="2156"/>
      <c r="K96" s="2156"/>
      <c r="L96" s="2156"/>
      <c r="M96" s="2156"/>
      <c r="N96" s="2156"/>
      <c r="O96" s="2156"/>
      <c r="P96" s="2156"/>
      <c r="Q96" s="2156"/>
      <c r="S96" s="2156"/>
      <c r="T96" s="2156"/>
      <c r="U96" s="2156"/>
      <c r="V96" s="2156"/>
      <c r="W96" s="2156"/>
      <c r="X96" s="2156"/>
      <c r="Y96" s="2156"/>
      <c r="Z96" s="2156"/>
      <c r="AA96" s="2156"/>
      <c r="AB96" s="2156"/>
      <c r="AC96" s="2156"/>
      <c r="AD96" s="2156"/>
      <c r="AE96" s="2156"/>
      <c r="AF96" s="2156"/>
      <c r="AG96" s="2156"/>
      <c r="AH96" s="2156"/>
      <c r="AI96" s="2156"/>
      <c r="AJ96" s="2156"/>
      <c r="AK96" s="2156"/>
      <c r="AL96" s="2156"/>
      <c r="AM96" s="2156"/>
      <c r="AN96" s="2156"/>
      <c r="AO96" s="2156"/>
      <c r="AP96" s="2156"/>
      <c r="AQ96" s="2156"/>
      <c r="AR96" s="2156"/>
      <c r="AS96" s="2156"/>
      <c r="AT96" s="2156"/>
      <c r="AU96" s="2156"/>
      <c r="AV96" s="2156"/>
      <c r="AW96" s="2156"/>
      <c r="AX96" s="2156"/>
      <c r="AY96" s="2156"/>
      <c r="AZ96" s="2156"/>
      <c r="BA96" s="2156"/>
      <c r="BB96" s="2156"/>
      <c r="BC96" s="2156"/>
      <c r="BD96" s="2156"/>
      <c r="BE96" s="2156"/>
      <c r="BF96" s="2156"/>
      <c r="BG96" s="2156"/>
      <c r="BH96" s="2156"/>
      <c r="BI96" s="2156"/>
    </row>
    <row r="97" spans="1:61">
      <c r="A97" s="2126"/>
      <c r="B97" s="2156"/>
      <c r="C97" s="2156"/>
      <c r="D97" s="2211"/>
      <c r="E97" s="525" t="str">
        <f>E27</f>
        <v>Durée d'exposition considérée</v>
      </c>
      <c r="F97" s="525" t="str">
        <f>F27</f>
        <v>t</v>
      </c>
      <c r="G97" s="526" t="str">
        <f>G27</f>
        <v>an</v>
      </c>
      <c r="H97" s="2224">
        <f t="shared" ref="H97:BI97" si="70">H98/(365*24*3600)</f>
        <v>40</v>
      </c>
      <c r="I97" s="2224">
        <f t="shared" si="70"/>
        <v>40</v>
      </c>
      <c r="J97" s="2224">
        <f>J98/(365*24*3600)</f>
        <v>40</v>
      </c>
      <c r="K97" s="2224">
        <f t="shared" si="70"/>
        <v>40</v>
      </c>
      <c r="L97" s="2224">
        <f t="shared" si="70"/>
        <v>40</v>
      </c>
      <c r="M97" s="2224">
        <f t="shared" si="70"/>
        <v>40</v>
      </c>
      <c r="N97" s="2224">
        <f>N98/(365*24*3600)</f>
        <v>40</v>
      </c>
      <c r="O97" s="2224">
        <f>O98/(365*24*3600)</f>
        <v>40</v>
      </c>
      <c r="P97" s="2224">
        <f t="shared" si="70"/>
        <v>40</v>
      </c>
      <c r="Q97" s="2224">
        <f t="shared" si="70"/>
        <v>40</v>
      </c>
      <c r="R97" s="2224">
        <f>R98/(365*24*3600)</f>
        <v>40</v>
      </c>
      <c r="S97" s="2224">
        <f>S98/(365*24*3600)</f>
        <v>40</v>
      </c>
      <c r="T97" s="2224">
        <f>T98/(365*24*3600)</f>
        <v>40</v>
      </c>
      <c r="U97" s="2224">
        <f t="shared" si="70"/>
        <v>40</v>
      </c>
      <c r="V97" s="2224">
        <f t="shared" si="70"/>
        <v>40</v>
      </c>
      <c r="W97" s="2224">
        <f t="shared" si="70"/>
        <v>40</v>
      </c>
      <c r="X97" s="2224">
        <f t="shared" si="70"/>
        <v>40</v>
      </c>
      <c r="Y97" s="2224">
        <f t="shared" si="70"/>
        <v>40</v>
      </c>
      <c r="Z97" s="2224">
        <f t="shared" si="70"/>
        <v>40</v>
      </c>
      <c r="AA97" s="2224">
        <f t="shared" si="70"/>
        <v>40</v>
      </c>
      <c r="AB97" s="2224">
        <f t="shared" si="70"/>
        <v>40</v>
      </c>
      <c r="AC97" s="2224">
        <f t="shared" si="70"/>
        <v>40</v>
      </c>
      <c r="AD97" s="2224">
        <f t="shared" si="70"/>
        <v>40</v>
      </c>
      <c r="AE97" s="2224">
        <f t="shared" si="70"/>
        <v>40</v>
      </c>
      <c r="AF97" s="2224">
        <f t="shared" si="70"/>
        <v>40</v>
      </c>
      <c r="AG97" s="2224">
        <f t="shared" si="70"/>
        <v>40</v>
      </c>
      <c r="AH97" s="2224">
        <f t="shared" si="70"/>
        <v>40</v>
      </c>
      <c r="AI97" s="2224">
        <f t="shared" si="70"/>
        <v>40</v>
      </c>
      <c r="AJ97" s="2224">
        <f t="shared" si="70"/>
        <v>40</v>
      </c>
      <c r="AK97" s="2224">
        <f t="shared" si="70"/>
        <v>40</v>
      </c>
      <c r="AL97" s="2224">
        <f t="shared" si="70"/>
        <v>40</v>
      </c>
      <c r="AM97" s="2224">
        <f t="shared" si="70"/>
        <v>40</v>
      </c>
      <c r="AN97" s="2224">
        <f t="shared" si="70"/>
        <v>40</v>
      </c>
      <c r="AO97" s="2224">
        <f t="shared" si="70"/>
        <v>40</v>
      </c>
      <c r="AP97" s="2224">
        <f t="shared" si="70"/>
        <v>40</v>
      </c>
      <c r="AQ97" s="2224">
        <f t="shared" si="70"/>
        <v>40</v>
      </c>
      <c r="AR97" s="2224">
        <f t="shared" si="70"/>
        <v>40</v>
      </c>
      <c r="AS97" s="2224">
        <f t="shared" si="70"/>
        <v>40</v>
      </c>
      <c r="AT97" s="2224">
        <f t="shared" si="70"/>
        <v>40</v>
      </c>
      <c r="AU97" s="2224">
        <f t="shared" si="70"/>
        <v>40</v>
      </c>
      <c r="AV97" s="2224">
        <f t="shared" si="70"/>
        <v>40</v>
      </c>
      <c r="AW97" s="2224">
        <f t="shared" si="70"/>
        <v>40</v>
      </c>
      <c r="AX97" s="2224">
        <f t="shared" si="70"/>
        <v>40</v>
      </c>
      <c r="AY97" s="2224">
        <f t="shared" si="70"/>
        <v>40</v>
      </c>
      <c r="AZ97" s="2224">
        <f t="shared" si="70"/>
        <v>40</v>
      </c>
      <c r="BA97" s="2224">
        <f t="shared" si="70"/>
        <v>40</v>
      </c>
      <c r="BB97" s="2224">
        <f t="shared" si="70"/>
        <v>40</v>
      </c>
      <c r="BC97" s="2224">
        <f t="shared" si="70"/>
        <v>40</v>
      </c>
      <c r="BD97" s="2224">
        <f t="shared" si="70"/>
        <v>40</v>
      </c>
      <c r="BE97" s="2224">
        <f t="shared" si="70"/>
        <v>40</v>
      </c>
      <c r="BF97" s="2224">
        <f t="shared" si="70"/>
        <v>40</v>
      </c>
      <c r="BG97" s="2224">
        <f t="shared" si="70"/>
        <v>40</v>
      </c>
      <c r="BH97" s="2224">
        <f t="shared" si="70"/>
        <v>40</v>
      </c>
      <c r="BI97" s="2224">
        <f t="shared" si="70"/>
        <v>40</v>
      </c>
    </row>
    <row r="98" spans="1:61" s="529" customFormat="1" ht="13.15" customHeight="1">
      <c r="A98" s="523"/>
      <c r="B98" s="224"/>
      <c r="C98" s="524"/>
      <c r="D98" s="2211"/>
      <c r="E98" s="525" t="str">
        <f t="shared" ref="E98:AI98" si="71">E38</f>
        <v>Durée d'exposition considérée</v>
      </c>
      <c r="F98" s="525" t="str">
        <f t="shared" si="71"/>
        <v>t</v>
      </c>
      <c r="G98" s="526" t="str">
        <f t="shared" si="71"/>
        <v>s</v>
      </c>
      <c r="H98" s="2161">
        <f t="shared" si="71"/>
        <v>1261440000</v>
      </c>
      <c r="I98" s="2161">
        <f t="shared" si="71"/>
        <v>1261440000</v>
      </c>
      <c r="J98" s="2161">
        <f>J38</f>
        <v>1261440000</v>
      </c>
      <c r="K98" s="2161">
        <f t="shared" si="71"/>
        <v>1261440000</v>
      </c>
      <c r="L98" s="2161">
        <f t="shared" si="71"/>
        <v>1261440000</v>
      </c>
      <c r="M98" s="2161">
        <f t="shared" si="71"/>
        <v>1261440000</v>
      </c>
      <c r="N98" s="2161">
        <f>N38</f>
        <v>1261440000</v>
      </c>
      <c r="O98" s="2161">
        <f>O38</f>
        <v>1261440000</v>
      </c>
      <c r="P98" s="2161">
        <f t="shared" si="71"/>
        <v>1261440000</v>
      </c>
      <c r="Q98" s="2161">
        <f t="shared" si="71"/>
        <v>1261440000</v>
      </c>
      <c r="R98" s="2161">
        <f>R38</f>
        <v>1261440000</v>
      </c>
      <c r="S98" s="2161">
        <f>S38</f>
        <v>1261440000</v>
      </c>
      <c r="T98" s="2161">
        <f>T38</f>
        <v>1261440000</v>
      </c>
      <c r="U98" s="2161">
        <f t="shared" si="71"/>
        <v>1261440000</v>
      </c>
      <c r="V98" s="2161">
        <f t="shared" si="71"/>
        <v>1261440000</v>
      </c>
      <c r="W98" s="2161">
        <f t="shared" si="71"/>
        <v>1261440000</v>
      </c>
      <c r="X98" s="2161">
        <f t="shared" si="71"/>
        <v>1261440000</v>
      </c>
      <c r="Y98" s="2161">
        <f t="shared" si="71"/>
        <v>1261440000</v>
      </c>
      <c r="Z98" s="2161">
        <f t="shared" si="71"/>
        <v>1261440000</v>
      </c>
      <c r="AA98" s="2215">
        <f t="shared" si="71"/>
        <v>1261440000</v>
      </c>
      <c r="AB98" s="2161">
        <f t="shared" si="71"/>
        <v>1261440000</v>
      </c>
      <c r="AC98" s="2161">
        <f t="shared" si="71"/>
        <v>1261440000</v>
      </c>
      <c r="AD98" s="2161">
        <f t="shared" si="71"/>
        <v>1261440000</v>
      </c>
      <c r="AE98" s="2161">
        <f t="shared" si="71"/>
        <v>1261440000</v>
      </c>
      <c r="AF98" s="2161">
        <f t="shared" si="71"/>
        <v>1261440000</v>
      </c>
      <c r="AG98" s="2161">
        <f t="shared" si="71"/>
        <v>1261440000</v>
      </c>
      <c r="AH98" s="2161">
        <f t="shared" si="71"/>
        <v>1261440000</v>
      </c>
      <c r="AI98" s="2161">
        <f t="shared" si="71"/>
        <v>1261440000</v>
      </c>
      <c r="AJ98" s="2161">
        <f t="shared" ref="AJ98:BI98" si="72">AJ38</f>
        <v>1261440000</v>
      </c>
      <c r="AK98" s="2161">
        <f t="shared" si="72"/>
        <v>1261440000</v>
      </c>
      <c r="AL98" s="2161">
        <f t="shared" si="72"/>
        <v>1261440000</v>
      </c>
      <c r="AM98" s="2161">
        <f t="shared" si="72"/>
        <v>1261440000</v>
      </c>
      <c r="AN98" s="2155">
        <f t="shared" si="72"/>
        <v>1261440000</v>
      </c>
      <c r="AO98" s="2161">
        <f t="shared" si="72"/>
        <v>1261440000</v>
      </c>
      <c r="AP98" s="2161">
        <f t="shared" si="72"/>
        <v>1261440000</v>
      </c>
      <c r="AQ98" s="2161">
        <f t="shared" si="72"/>
        <v>1261440000</v>
      </c>
      <c r="AR98" s="2161">
        <f t="shared" si="72"/>
        <v>1261440000</v>
      </c>
      <c r="AS98" s="2161">
        <f t="shared" si="72"/>
        <v>1261440000</v>
      </c>
      <c r="AT98" s="2161">
        <f t="shared" si="72"/>
        <v>1261440000</v>
      </c>
      <c r="AU98" s="2161">
        <f t="shared" si="72"/>
        <v>1261440000</v>
      </c>
      <c r="AV98" s="2161">
        <f t="shared" si="72"/>
        <v>1261440000</v>
      </c>
      <c r="AW98" s="2161">
        <f t="shared" si="72"/>
        <v>1261440000</v>
      </c>
      <c r="AX98" s="2161">
        <f t="shared" si="72"/>
        <v>1261440000</v>
      </c>
      <c r="AY98" s="2161">
        <f t="shared" si="72"/>
        <v>1261440000</v>
      </c>
      <c r="AZ98" s="2161">
        <f t="shared" si="72"/>
        <v>1261440000</v>
      </c>
      <c r="BA98" s="2161">
        <f t="shared" si="72"/>
        <v>1261440000</v>
      </c>
      <c r="BB98" s="2161">
        <f t="shared" si="72"/>
        <v>1261440000</v>
      </c>
      <c r="BC98" s="2161">
        <f t="shared" si="72"/>
        <v>1261440000</v>
      </c>
      <c r="BD98" s="2161">
        <f t="shared" si="72"/>
        <v>1261440000</v>
      </c>
      <c r="BE98" s="2161">
        <f t="shared" si="72"/>
        <v>1261440000</v>
      </c>
      <c r="BF98" s="2161">
        <f t="shared" si="72"/>
        <v>1261440000</v>
      </c>
      <c r="BG98" s="2161">
        <f t="shared" si="72"/>
        <v>1261440000</v>
      </c>
      <c r="BH98" s="2161">
        <f t="shared" si="72"/>
        <v>1261440000</v>
      </c>
      <c r="BI98" s="2161">
        <f t="shared" si="72"/>
        <v>1261440000</v>
      </c>
    </row>
    <row r="99" spans="1:61" ht="15.75">
      <c r="A99" s="2126"/>
      <c r="B99" s="2156"/>
      <c r="C99" s="2156"/>
      <c r="D99" s="2211"/>
      <c r="E99" s="2225" t="s">
        <v>297</v>
      </c>
      <c r="F99" s="2225" t="s">
        <v>1131</v>
      </c>
      <c r="G99" s="2226" t="s">
        <v>73</v>
      </c>
      <c r="H99" s="2227">
        <f t="shared" ref="H99:AM99" si="73">(2*H68*H13*0.001/H14*H98+(H41+H68*H45)^2)^0.5-H68*H45</f>
        <v>0.70895348311991568</v>
      </c>
      <c r="I99" s="2227">
        <f t="shared" si="73"/>
        <v>0.70895348311991568</v>
      </c>
      <c r="J99" s="2227">
        <f t="shared" si="73"/>
        <v>1.9507777012805656</v>
      </c>
      <c r="K99" s="2227">
        <f t="shared" si="73"/>
        <v>44.601475517839219</v>
      </c>
      <c r="L99" s="2227">
        <f t="shared" si="73"/>
        <v>15.940670260066383</v>
      </c>
      <c r="M99" s="2227">
        <f t="shared" si="73"/>
        <v>15.940670260066383</v>
      </c>
      <c r="N99" s="2227">
        <f t="shared" si="73"/>
        <v>23.281728016725495</v>
      </c>
      <c r="O99" s="2227">
        <f t="shared" si="73"/>
        <v>23.281728016725495</v>
      </c>
      <c r="P99" s="2227">
        <f t="shared" si="73"/>
        <v>23.221617739569968</v>
      </c>
      <c r="Q99" s="2227">
        <f t="shared" si="73"/>
        <v>23.221617739569968</v>
      </c>
      <c r="R99" s="2227">
        <f t="shared" si="73"/>
        <v>55.712784055078423</v>
      </c>
      <c r="S99" s="2227">
        <f t="shared" si="73"/>
        <v>17.087726627998546</v>
      </c>
      <c r="T99" s="2227">
        <f t="shared" si="73"/>
        <v>17.087726627998546</v>
      </c>
      <c r="U99" s="2227">
        <f t="shared" si="73"/>
        <v>32.288878444969782</v>
      </c>
      <c r="V99" s="2227">
        <f t="shared" si="73"/>
        <v>24.91200126784474</v>
      </c>
      <c r="W99" s="2227">
        <f t="shared" si="73"/>
        <v>24.91200126784474</v>
      </c>
      <c r="X99" s="2227">
        <f t="shared" si="73"/>
        <v>18.456960213067646</v>
      </c>
      <c r="Y99" s="2227">
        <f t="shared" si="73"/>
        <v>14.517237454365681</v>
      </c>
      <c r="Z99" s="2227">
        <f t="shared" si="73"/>
        <v>10.641158610647016</v>
      </c>
      <c r="AA99" s="2227">
        <f t="shared" si="73"/>
        <v>8.6777346348533015</v>
      </c>
      <c r="AB99" s="2227">
        <f t="shared" si="73"/>
        <v>6.2623764703377161</v>
      </c>
      <c r="AC99" s="2227">
        <f t="shared" si="73"/>
        <v>2.5398679281224528</v>
      </c>
      <c r="AD99" s="2227">
        <f t="shared" si="73"/>
        <v>0.93548403541702307</v>
      </c>
      <c r="AE99" s="2227">
        <f t="shared" si="73"/>
        <v>0.19936568123269893</v>
      </c>
      <c r="AF99" s="2227">
        <f t="shared" si="73"/>
        <v>1.0182316200260111E-3</v>
      </c>
      <c r="AG99" s="2227">
        <f t="shared" si="73"/>
        <v>37.585719688706313</v>
      </c>
      <c r="AH99" s="2227">
        <f t="shared" si="73"/>
        <v>29.222539922652309</v>
      </c>
      <c r="AI99" s="2227">
        <f t="shared" si="73"/>
        <v>16.247979154744488</v>
      </c>
      <c r="AJ99" s="2227">
        <f t="shared" si="73"/>
        <v>7.0259349992799693</v>
      </c>
      <c r="AK99" s="2227">
        <f t="shared" si="73"/>
        <v>2.8816562620164028</v>
      </c>
      <c r="AL99" s="2227">
        <f t="shared" si="73"/>
        <v>0.54627602023370558</v>
      </c>
      <c r="AM99" s="2227">
        <f t="shared" si="73"/>
        <v>7.0675316627101248E-3</v>
      </c>
      <c r="AN99" s="2227">
        <f t="shared" ref="AN99:BI99" si="74">(2*AN68*AN13*0.001/AN14*AN98+(AN41+AN68*AN45)^2)^0.5-AN68*AN45</f>
        <v>0.60790131701445971</v>
      </c>
      <c r="AO99" s="2227">
        <f t="shared" si="74"/>
        <v>0.22196852050928673</v>
      </c>
      <c r="AP99" s="2227">
        <f t="shared" si="74"/>
        <v>0.31813953404691009</v>
      </c>
      <c r="AQ99" s="2227">
        <f t="shared" si="74"/>
        <v>0.15364433290482032</v>
      </c>
      <c r="AR99" s="2227">
        <f t="shared" si="74"/>
        <v>3.6557273710259047E-2</v>
      </c>
      <c r="AS99" s="2227">
        <f t="shared" si="74"/>
        <v>4.5983051174473849E-2</v>
      </c>
      <c r="AT99" s="2227">
        <f t="shared" si="74"/>
        <v>3.520231161959736E-3</v>
      </c>
      <c r="AU99" s="2227">
        <f t="shared" si="74"/>
        <v>3.4333024155835667E-3</v>
      </c>
      <c r="AV99" s="2227">
        <f t="shared" si="74"/>
        <v>5.2295769821564253E-4</v>
      </c>
      <c r="AW99" s="2227">
        <f t="shared" si="74"/>
        <v>5.3107367947630157E-4</v>
      </c>
      <c r="AX99" s="2227">
        <f t="shared" si="74"/>
        <v>1.1767424151887251E-4</v>
      </c>
      <c r="AY99" s="2227">
        <f t="shared" si="74"/>
        <v>8.0763070882228227E-5</v>
      </c>
      <c r="AZ99" s="2227">
        <f t="shared" si="74"/>
        <v>7.2295872472594169E-5</v>
      </c>
      <c r="BA99" s="2227">
        <f t="shared" si="74"/>
        <v>1.6721492315519004E-5</v>
      </c>
      <c r="BB99" s="2227">
        <f t="shared" si="74"/>
        <v>4.1783492860547611E-5</v>
      </c>
      <c r="BC99" s="2227">
        <f t="shared" si="74"/>
        <v>9.9161843214456979E-6</v>
      </c>
      <c r="BD99" s="2227">
        <f t="shared" si="74"/>
        <v>0.31032413368015377</v>
      </c>
      <c r="BE99" s="2227">
        <f t="shared" si="74"/>
        <v>3.9673322747063589E-4</v>
      </c>
      <c r="BF99" s="2227">
        <f t="shared" si="74"/>
        <v>3.9673322747063589E-4</v>
      </c>
      <c r="BG99" s="2227">
        <f t="shared" si="74"/>
        <v>23.65005959746679</v>
      </c>
      <c r="BH99" s="2227">
        <f t="shared" si="74"/>
        <v>0.23428796108167982</v>
      </c>
      <c r="BI99" s="2227">
        <f t="shared" si="74"/>
        <v>0.9360505458664321</v>
      </c>
    </row>
    <row r="100" spans="1:61" s="2204" customFormat="1" ht="25.5">
      <c r="D100" s="2211"/>
      <c r="E100" s="2205" t="s">
        <v>610</v>
      </c>
      <c r="F100" s="2205" t="s">
        <v>138</v>
      </c>
      <c r="G100" s="2206" t="s">
        <v>139</v>
      </c>
      <c r="H100" s="2204">
        <f t="shared" ref="H100:AM100" si="75">1000*H14/H13*(H99-H41)/H98</f>
        <v>3.1999676770686278E-4</v>
      </c>
      <c r="I100" s="2204">
        <f t="shared" si="75"/>
        <v>3.1999676770686278E-4</v>
      </c>
      <c r="J100" s="2204">
        <f t="shared" si="75"/>
        <v>1.3412825827528905E-4</v>
      </c>
      <c r="K100" s="2204">
        <f t="shared" si="75"/>
        <v>1.3763836873171671E-5</v>
      </c>
      <c r="L100" s="2204">
        <f t="shared" si="75"/>
        <v>2.6310803115361602E-5</v>
      </c>
      <c r="M100" s="2204">
        <f t="shared" si="75"/>
        <v>2.6310803115361602E-5</v>
      </c>
      <c r="N100" s="2204">
        <f t="shared" si="75"/>
        <v>1.9483503607687778E-5</v>
      </c>
      <c r="O100" s="2204">
        <f t="shared" si="75"/>
        <v>1.9483503607687778E-5</v>
      </c>
      <c r="P100" s="2204">
        <f t="shared" si="75"/>
        <v>1.7800191016029941E-5</v>
      </c>
      <c r="Q100" s="2204">
        <f t="shared" si="75"/>
        <v>1.7800191016029941E-5</v>
      </c>
      <c r="R100" s="2204">
        <f t="shared" si="75"/>
        <v>1.0624063136404008E-4</v>
      </c>
      <c r="S100" s="2204">
        <f t="shared" si="75"/>
        <v>3.4732484336589463E-5</v>
      </c>
      <c r="T100" s="2204">
        <f t="shared" si="75"/>
        <v>3.4732484336589463E-5</v>
      </c>
      <c r="U100" s="2204">
        <f t="shared" si="75"/>
        <v>1.3940299293886404E-5</v>
      </c>
      <c r="V100" s="2204">
        <f t="shared" si="75"/>
        <v>6.5710037075355377E-6</v>
      </c>
      <c r="W100" s="2204">
        <f t="shared" si="75"/>
        <v>6.5710037075355377E-6</v>
      </c>
      <c r="X100" s="2204">
        <f t="shared" si="75"/>
        <v>2.5377025894331788E-5</v>
      </c>
      <c r="Y100" s="2204">
        <f t="shared" si="75"/>
        <v>2.880012467498387E-5</v>
      </c>
      <c r="Z100" s="2204">
        <f t="shared" si="75"/>
        <v>3.5646619547321557E-5</v>
      </c>
      <c r="AA100" s="2204">
        <f t="shared" si="75"/>
        <v>4.3331538260034487E-5</v>
      </c>
      <c r="AB100" s="2204">
        <f t="shared" si="75"/>
        <v>2.76493864649401E-5</v>
      </c>
      <c r="AC100" s="2204">
        <f t="shared" si="75"/>
        <v>5.7467653562185339E-5</v>
      </c>
      <c r="AD100" s="2204">
        <f t="shared" si="75"/>
        <v>1.0813940664182331E-4</v>
      </c>
      <c r="AE100" s="2204">
        <f t="shared" si="75"/>
        <v>1.8482398050019935E-4</v>
      </c>
      <c r="AF100" s="2204">
        <f t="shared" si="75"/>
        <v>2.2774899285737615E-4</v>
      </c>
      <c r="AG100" s="2204">
        <f t="shared" si="75"/>
        <v>7.2155629602714896E-6</v>
      </c>
      <c r="AH100" s="2204">
        <f t="shared" si="75"/>
        <v>7.4926345682071225E-6</v>
      </c>
      <c r="AI100" s="2204">
        <f t="shared" si="75"/>
        <v>1.0245499041430942E-5</v>
      </c>
      <c r="AJ100" s="2204">
        <f t="shared" si="75"/>
        <v>1.8611535533375372E-5</v>
      </c>
      <c r="AK100" s="2204">
        <f t="shared" si="75"/>
        <v>3.3484333740488201E-5</v>
      </c>
      <c r="AL100" s="2204">
        <f t="shared" si="75"/>
        <v>8.3731770165945167E-5</v>
      </c>
      <c r="AM100" s="2204">
        <f t="shared" si="75"/>
        <v>1.5649322251080864E-4</v>
      </c>
      <c r="AN100" s="2204">
        <f t="shared" ref="AN100:BI100" si="76">1000*AN14/AN13*(AN99-AN41)/AN98</f>
        <v>1.691109636841373E-4</v>
      </c>
      <c r="AO100" s="2204">
        <f t="shared" si="76"/>
        <v>2.2608974148822402E-4</v>
      </c>
      <c r="AP100" s="2204">
        <f t="shared" si="76"/>
        <v>1.9369749742887272E-4</v>
      </c>
      <c r="AQ100" s="2204">
        <f t="shared" si="76"/>
        <v>2.3102577478218558E-4</v>
      </c>
      <c r="AR100" s="2204">
        <f t="shared" si="76"/>
        <v>2.7454709748293653E-4</v>
      </c>
      <c r="AS100" s="2204">
        <f t="shared" si="76"/>
        <v>2.6736597663623839E-4</v>
      </c>
      <c r="AT100" s="2204">
        <f t="shared" si="76"/>
        <v>2.8040349165376949E-4</v>
      </c>
      <c r="AU100" s="2204">
        <f t="shared" si="76"/>
        <v>2.8427854871654492E-4</v>
      </c>
      <c r="AV100" s="2204">
        <f t="shared" si="76"/>
        <v>2.7142072281338187E-4</v>
      </c>
      <c r="AW100" s="2204">
        <f t="shared" si="76"/>
        <v>2.8605020240802463E-4</v>
      </c>
      <c r="AX100" s="2204">
        <f t="shared" si="76"/>
        <v>1.8007306197996094E-3</v>
      </c>
      <c r="AY100" s="2204">
        <f t="shared" si="76"/>
        <v>1.8008130866368896E-3</v>
      </c>
      <c r="AZ100" s="2204">
        <f t="shared" si="76"/>
        <v>2.4139839949889733E-3</v>
      </c>
      <c r="BA100" s="2204">
        <f t="shared" si="76"/>
        <v>3.2327929723705655E-3</v>
      </c>
      <c r="BB100" s="2204">
        <f t="shared" si="76"/>
        <v>5.1019162057825101E-4</v>
      </c>
      <c r="BC100" s="2204">
        <f t="shared" si="76"/>
        <v>455.78630260298974</v>
      </c>
      <c r="BD100" s="2204">
        <f t="shared" si="76"/>
        <v>3.9446604995624791E-3</v>
      </c>
      <c r="BE100" s="2204">
        <f t="shared" si="76"/>
        <v>2.2721657943876791E-4</v>
      </c>
      <c r="BF100" s="2204">
        <f t="shared" si="76"/>
        <v>2.2721657943876791E-4</v>
      </c>
      <c r="BG100" s="2204">
        <f t="shared" si="76"/>
        <v>7.4587358365355368E-6</v>
      </c>
      <c r="BH100" s="2204">
        <f t="shared" si="76"/>
        <v>2.2395537204052403E-3</v>
      </c>
      <c r="BI100" s="2204">
        <f t="shared" si="76"/>
        <v>1.1564242255225827E-3</v>
      </c>
    </row>
    <row r="101" spans="1:61" s="2306" customFormat="1" ht="25.5">
      <c r="B101" s="2307"/>
      <c r="C101" s="2307"/>
      <c r="D101" s="2211"/>
      <c r="E101" s="2310" t="s">
        <v>611</v>
      </c>
      <c r="F101" s="2310" t="s">
        <v>138</v>
      </c>
      <c r="G101" s="2311" t="s">
        <v>139</v>
      </c>
      <c r="H101" s="2312">
        <f t="shared" ref="H101:AM101" si="77">MIN(H100,H$39)</f>
        <v>3.1999676770686278E-4</v>
      </c>
      <c r="I101" s="2312">
        <f t="shared" si="77"/>
        <v>3.1999676770686278E-4</v>
      </c>
      <c r="J101" s="2312">
        <f t="shared" si="77"/>
        <v>1.3412825827528905E-4</v>
      </c>
      <c r="K101" s="2312">
        <f t="shared" si="77"/>
        <v>9.2578799557874888E-7</v>
      </c>
      <c r="L101" s="2312">
        <f t="shared" si="77"/>
        <v>4.9516367918243421E-6</v>
      </c>
      <c r="M101" s="2312">
        <f t="shared" si="77"/>
        <v>4.9516367918243421E-6</v>
      </c>
      <c r="N101" s="2312">
        <f t="shared" si="77"/>
        <v>2.5105744204671032E-6</v>
      </c>
      <c r="O101" s="2312">
        <f t="shared" si="77"/>
        <v>2.5105744204671032E-6</v>
      </c>
      <c r="P101" s="2312">
        <f t="shared" si="77"/>
        <v>2.2996060673712017E-6</v>
      </c>
      <c r="Q101" s="2312">
        <f t="shared" si="77"/>
        <v>2.2996060673712017E-6</v>
      </c>
      <c r="R101" s="2312">
        <f t="shared" si="77"/>
        <v>5.720803573144495E-6</v>
      </c>
      <c r="S101" s="2312">
        <f t="shared" si="77"/>
        <v>6.0977949424260457E-6</v>
      </c>
      <c r="T101" s="2312">
        <f t="shared" si="77"/>
        <v>6.0977949424260457E-6</v>
      </c>
      <c r="U101" s="2312">
        <f t="shared" si="77"/>
        <v>1.2952106079786864E-6</v>
      </c>
      <c r="V101" s="2312">
        <f t="shared" si="77"/>
        <v>7.9130580119435269E-7</v>
      </c>
      <c r="W101" s="2312">
        <f t="shared" si="77"/>
        <v>7.9130580119435269E-7</v>
      </c>
      <c r="X101" s="2312">
        <f t="shared" si="77"/>
        <v>4.124789608046837E-6</v>
      </c>
      <c r="Y101" s="2312">
        <f t="shared" si="77"/>
        <v>5.9515713162747051E-6</v>
      </c>
      <c r="Z101" s="2312">
        <f t="shared" si="77"/>
        <v>1.004964426852598E-5</v>
      </c>
      <c r="AA101" s="2312">
        <f t="shared" si="77"/>
        <v>1.4980247754752993E-5</v>
      </c>
      <c r="AB101" s="2312">
        <f t="shared" si="77"/>
        <v>1.3245476343958458E-5</v>
      </c>
      <c r="AC101" s="2312">
        <f t="shared" si="77"/>
        <v>5.7467653562185339E-5</v>
      </c>
      <c r="AD101" s="2312">
        <f t="shared" si="77"/>
        <v>1.0813940664182331E-4</v>
      </c>
      <c r="AE101" s="2312">
        <f t="shared" si="77"/>
        <v>1.8482398050019935E-4</v>
      </c>
      <c r="AF101" s="2312">
        <f t="shared" si="77"/>
        <v>2.2774899285737615E-4</v>
      </c>
      <c r="AG101" s="2312">
        <f t="shared" si="77"/>
        <v>5.7592854573751388E-7</v>
      </c>
      <c r="AH101" s="2312">
        <f t="shared" si="77"/>
        <v>7.6919746757526942E-7</v>
      </c>
      <c r="AI101" s="2312">
        <f t="shared" si="77"/>
        <v>1.8917119988621861E-6</v>
      </c>
      <c r="AJ101" s="2312">
        <f t="shared" si="77"/>
        <v>7.9469290003178434E-6</v>
      </c>
      <c r="AK101" s="2312">
        <f t="shared" si="77"/>
        <v>3.3484333740488201E-5</v>
      </c>
      <c r="AL101" s="2312">
        <f t="shared" si="77"/>
        <v>8.3731770165945167E-5</v>
      </c>
      <c r="AM101" s="2312">
        <f t="shared" si="77"/>
        <v>1.5649322251080864E-4</v>
      </c>
      <c r="AN101" s="2312">
        <f t="shared" ref="AN101:BI101" si="78">MIN(AN100,AN$39)</f>
        <v>1.691109636841373E-4</v>
      </c>
      <c r="AO101" s="2312">
        <f t="shared" si="78"/>
        <v>2.2608974148822402E-4</v>
      </c>
      <c r="AP101" s="2312">
        <f t="shared" si="78"/>
        <v>1.9369749742887272E-4</v>
      </c>
      <c r="AQ101" s="2312">
        <f t="shared" si="78"/>
        <v>2.3102577478218558E-4</v>
      </c>
      <c r="AR101" s="2312">
        <f t="shared" si="78"/>
        <v>2.7454709748293653E-4</v>
      </c>
      <c r="AS101" s="2312">
        <f t="shared" si="78"/>
        <v>2.6736597663623839E-4</v>
      </c>
      <c r="AT101" s="2312">
        <f t="shared" si="78"/>
        <v>2.8040349165376949E-4</v>
      </c>
      <c r="AU101" s="2312">
        <f t="shared" si="78"/>
        <v>2.8427854871654492E-4</v>
      </c>
      <c r="AV101" s="2312">
        <f t="shared" si="78"/>
        <v>2.7142072281338187E-4</v>
      </c>
      <c r="AW101" s="2312">
        <f t="shared" si="78"/>
        <v>2.8605020240802463E-4</v>
      </c>
      <c r="AX101" s="2312">
        <f t="shared" si="78"/>
        <v>1.8007306197996094E-3</v>
      </c>
      <c r="AY101" s="2312">
        <f t="shared" si="78"/>
        <v>1.8008130866368896E-3</v>
      </c>
      <c r="AZ101" s="2312">
        <f t="shared" si="78"/>
        <v>2.4139839949889733E-3</v>
      </c>
      <c r="BA101" s="2312">
        <f t="shared" si="78"/>
        <v>3.2327929723705655E-3</v>
      </c>
      <c r="BB101" s="2312">
        <f t="shared" si="78"/>
        <v>5.1019162057825101E-4</v>
      </c>
      <c r="BC101" s="2312">
        <f t="shared" si="78"/>
        <v>455.78630260298974</v>
      </c>
      <c r="BD101" s="2312">
        <f t="shared" si="78"/>
        <v>3.9446604995624791E-3</v>
      </c>
      <c r="BE101" s="2312">
        <f t="shared" si="78"/>
        <v>2.2721657943876791E-4</v>
      </c>
      <c r="BF101" s="2312">
        <f t="shared" si="78"/>
        <v>2.2721657943876791E-4</v>
      </c>
      <c r="BG101" s="2312">
        <f t="shared" si="78"/>
        <v>9.4613746816956763E-7</v>
      </c>
      <c r="BH101" s="2312">
        <f t="shared" si="78"/>
        <v>2.2395537204052403E-3</v>
      </c>
      <c r="BI101" s="2312">
        <f t="shared" si="78"/>
        <v>1.1564242255225827E-3</v>
      </c>
    </row>
    <row r="102" spans="1:61" ht="25.5">
      <c r="A102" s="2126"/>
      <c r="B102" s="2156"/>
      <c r="C102" s="2156"/>
      <c r="D102" s="2211"/>
      <c r="E102" s="3655" t="s">
        <v>582</v>
      </c>
      <c r="F102" s="2153" t="s">
        <v>300</v>
      </c>
      <c r="G102" s="2220" t="s">
        <v>35</v>
      </c>
      <c r="H102" s="2221">
        <f t="shared" ref="H102:AM102" si="79">H49/H100</f>
        <v>2.4511815549953</v>
      </c>
      <c r="I102" s="2221">
        <f t="shared" si="79"/>
        <v>2.4511815549953</v>
      </c>
      <c r="J102" s="2221">
        <f t="shared" si="79"/>
        <v>5.3773270233778527</v>
      </c>
      <c r="K102" s="2221">
        <f t="shared" si="79"/>
        <v>103.13426133962348</v>
      </c>
      <c r="L102" s="2221">
        <f t="shared" si="79"/>
        <v>37.482849551862145</v>
      </c>
      <c r="M102" s="2221">
        <f t="shared" si="79"/>
        <v>37.482849551862145</v>
      </c>
      <c r="N102" s="2221">
        <f t="shared" si="79"/>
        <v>54.306801650723379</v>
      </c>
      <c r="O102" s="2221">
        <f t="shared" si="79"/>
        <v>54.306801650723379</v>
      </c>
      <c r="P102" s="2221">
        <f t="shared" si="79"/>
        <v>54.172173363697965</v>
      </c>
      <c r="Q102" s="2221">
        <f t="shared" si="79"/>
        <v>54.172173363697965</v>
      </c>
      <c r="R102" s="2221">
        <f t="shared" si="79"/>
        <v>128.57524444169206</v>
      </c>
      <c r="S102" s="2221">
        <f t="shared" si="79"/>
        <v>40.114945127297631</v>
      </c>
      <c r="T102" s="2221">
        <f t="shared" si="79"/>
        <v>40.114945127297631</v>
      </c>
      <c r="U102" s="2221">
        <f t="shared" si="79"/>
        <v>74.935065268157572</v>
      </c>
      <c r="V102" s="2221">
        <f t="shared" si="79"/>
        <v>58.046077167974872</v>
      </c>
      <c r="W102" s="2221">
        <f t="shared" si="79"/>
        <v>58.046077167974872</v>
      </c>
      <c r="X102" s="2221">
        <f t="shared" si="79"/>
        <v>43.254455974141621</v>
      </c>
      <c r="Y102" s="2221">
        <f t="shared" si="79"/>
        <v>34.236188751878501</v>
      </c>
      <c r="Z102" s="2221">
        <f t="shared" si="79"/>
        <v>25.36316323970183</v>
      </c>
      <c r="AA102" s="2221">
        <f t="shared" si="79"/>
        <v>20.866484588981006</v>
      </c>
      <c r="AB102" s="2221">
        <f t="shared" si="79"/>
        <v>15.339018239360303</v>
      </c>
      <c r="AC102" s="2221">
        <f t="shared" si="79"/>
        <v>6.8141239194551106</v>
      </c>
      <c r="AD102" s="2221">
        <f t="shared" si="79"/>
        <v>3.1402359739719281</v>
      </c>
      <c r="AE102" s="2221">
        <f t="shared" si="79"/>
        <v>1.4548359853609518</v>
      </c>
      <c r="AF102" s="2221">
        <f t="shared" si="79"/>
        <v>1.0021839979814939</v>
      </c>
      <c r="AG102" s="2221">
        <f t="shared" si="79"/>
        <v>87.068967960608347</v>
      </c>
      <c r="AH102" s="2221">
        <f t="shared" si="79"/>
        <v>67.917838398324378</v>
      </c>
      <c r="AI102" s="2221">
        <f t="shared" si="79"/>
        <v>38.206897277827352</v>
      </c>
      <c r="AJ102" s="2221">
        <f t="shared" si="79"/>
        <v>17.088972815246589</v>
      </c>
      <c r="AK102" s="2221">
        <f t="shared" si="79"/>
        <v>7.5988233256400193</v>
      </c>
      <c r="AL102" s="2221">
        <f t="shared" si="79"/>
        <v>2.2509400563479613</v>
      </c>
      <c r="AM102" s="2221">
        <f t="shared" si="79"/>
        <v>1.0161842331967834</v>
      </c>
      <c r="AN102" s="2221">
        <f t="shared" ref="AN102:BI102" si="80">AN49/AN100</f>
        <v>2.3761951194707875</v>
      </c>
      <c r="AO102" s="2221">
        <f t="shared" si="80"/>
        <v>1.5011914530381725</v>
      </c>
      <c r="AP102" s="2221">
        <f t="shared" si="80"/>
        <v>1.7214286497103601</v>
      </c>
      <c r="AQ102" s="2221">
        <f t="shared" si="80"/>
        <v>1.3466206806790271</v>
      </c>
      <c r="AR102" s="2221">
        <f t="shared" si="80"/>
        <v>1.0808182845361118</v>
      </c>
      <c r="AS102" s="2221">
        <f t="shared" si="80"/>
        <v>1.1022774819481502</v>
      </c>
      <c r="AT102" s="2221">
        <f t="shared" si="80"/>
        <v>1.0073006497560022</v>
      </c>
      <c r="AU102" s="2221">
        <f t="shared" si="80"/>
        <v>1.0070479299653734</v>
      </c>
      <c r="AV102" s="2221">
        <f t="shared" si="80"/>
        <v>1.0010226692149251</v>
      </c>
      <c r="AW102" s="2221">
        <f t="shared" si="80"/>
        <v>1.0010042914532604</v>
      </c>
      <c r="AX102" s="2221">
        <f t="shared" si="80"/>
        <v>1.0001460150770576</v>
      </c>
      <c r="AY102" s="2221">
        <f t="shared" si="80"/>
        <v>1.0001002141667388</v>
      </c>
      <c r="AZ102" s="2221">
        <f t="shared" si="80"/>
        <v>1.0000884106520351</v>
      </c>
      <c r="BA102" s="2221">
        <f t="shared" si="80"/>
        <v>1.000020171742408</v>
      </c>
      <c r="BB102" s="2221">
        <f t="shared" si="80"/>
        <v>1.0000598668572691</v>
      </c>
      <c r="BC102" s="2221">
        <f t="shared" si="80"/>
        <v>1.000011632380404</v>
      </c>
      <c r="BD102" s="2221">
        <f t="shared" si="80"/>
        <v>1.4030341943192399</v>
      </c>
      <c r="BE102" s="2221">
        <f t="shared" si="80"/>
        <v>1.0008077912588673</v>
      </c>
      <c r="BF102" s="2221">
        <f t="shared" si="80"/>
        <v>1.0008077912588673</v>
      </c>
      <c r="BG102" s="2221">
        <f t="shared" si="80"/>
        <v>55.139148655460879</v>
      </c>
      <c r="BH102" s="2221">
        <f t="shared" si="80"/>
        <v>1.3123162670078643</v>
      </c>
      <c r="BI102" s="2221">
        <f t="shared" si="80"/>
        <v>2.6948105674150744</v>
      </c>
    </row>
    <row r="103" spans="1:61" ht="25.5">
      <c r="A103" s="2126"/>
      <c r="B103" s="2156"/>
      <c r="C103" s="2156"/>
      <c r="D103" s="2211"/>
      <c r="E103" s="3658" t="s">
        <v>583</v>
      </c>
      <c r="F103" s="2217" t="s">
        <v>300</v>
      </c>
      <c r="G103" s="2222" t="s">
        <v>35</v>
      </c>
      <c r="H103" s="2223">
        <f t="shared" ref="H103:AM103" si="81">H56/H101</f>
        <v>2.4511815549953</v>
      </c>
      <c r="I103" s="2223">
        <f t="shared" si="81"/>
        <v>2.4511815549953</v>
      </c>
      <c r="J103" s="2223">
        <f t="shared" si="81"/>
        <v>5.3773270233778527</v>
      </c>
      <c r="K103" s="2223">
        <f t="shared" si="81"/>
        <v>6.6666666666666661</v>
      </c>
      <c r="L103" s="2223">
        <f t="shared" si="81"/>
        <v>6.666666666666667</v>
      </c>
      <c r="M103" s="2223">
        <f t="shared" si="81"/>
        <v>6.666666666666667</v>
      </c>
      <c r="N103" s="2223">
        <f t="shared" si="81"/>
        <v>6.6666666666666661</v>
      </c>
      <c r="O103" s="2223">
        <f t="shared" si="81"/>
        <v>6.6666666666666661</v>
      </c>
      <c r="P103" s="2223">
        <f t="shared" si="81"/>
        <v>6.6666666666666661</v>
      </c>
      <c r="Q103" s="2223">
        <f t="shared" si="81"/>
        <v>6.6666666666666661</v>
      </c>
      <c r="R103" s="2223">
        <f t="shared" si="81"/>
        <v>6.6666666666666661</v>
      </c>
      <c r="S103" s="2223">
        <f t="shared" si="81"/>
        <v>6.6666666666666661</v>
      </c>
      <c r="T103" s="2223">
        <f t="shared" si="81"/>
        <v>6.6666666666666661</v>
      </c>
      <c r="U103" s="2223">
        <f t="shared" si="81"/>
        <v>6.6666666666666661</v>
      </c>
      <c r="V103" s="2223">
        <f t="shared" si="81"/>
        <v>6.666666666666667</v>
      </c>
      <c r="W103" s="2223">
        <f t="shared" si="81"/>
        <v>6.666666666666667</v>
      </c>
      <c r="X103" s="2223">
        <f t="shared" si="81"/>
        <v>6.666666666666667</v>
      </c>
      <c r="Y103" s="2223">
        <f t="shared" si="81"/>
        <v>6.666666666666667</v>
      </c>
      <c r="Z103" s="2223">
        <f t="shared" si="81"/>
        <v>6.666666666666667</v>
      </c>
      <c r="AA103" s="2223">
        <f t="shared" si="81"/>
        <v>6.6666666666666661</v>
      </c>
      <c r="AB103" s="2223">
        <f t="shared" si="81"/>
        <v>6.666666666666667</v>
      </c>
      <c r="AC103" s="2223">
        <f t="shared" si="81"/>
        <v>6.8141239194551106</v>
      </c>
      <c r="AD103" s="2223">
        <f t="shared" si="81"/>
        <v>3.1402359739719281</v>
      </c>
      <c r="AE103" s="2223">
        <f t="shared" si="81"/>
        <v>1.4548359853609518</v>
      </c>
      <c r="AF103" s="2223">
        <f t="shared" si="81"/>
        <v>1.0021839979814939</v>
      </c>
      <c r="AG103" s="2223">
        <f t="shared" si="81"/>
        <v>6.6666666666666661</v>
      </c>
      <c r="AH103" s="2223">
        <f t="shared" si="81"/>
        <v>6.666666666666667</v>
      </c>
      <c r="AI103" s="2223">
        <f t="shared" si="81"/>
        <v>6.666666666666667</v>
      </c>
      <c r="AJ103" s="2223">
        <f t="shared" si="81"/>
        <v>6.666666666666667</v>
      </c>
      <c r="AK103" s="2223">
        <f t="shared" si="81"/>
        <v>6.940453052511284</v>
      </c>
      <c r="AL103" s="2223">
        <f t="shared" si="81"/>
        <v>2.2509400563479613</v>
      </c>
      <c r="AM103" s="2223">
        <f t="shared" si="81"/>
        <v>1.0161842331967834</v>
      </c>
      <c r="AN103" s="2223">
        <f t="shared" ref="AN103:BI103" si="82">AN56/AN101</f>
        <v>2.3761951194707875</v>
      </c>
      <c r="AO103" s="2223">
        <f t="shared" si="82"/>
        <v>1.5011914530381725</v>
      </c>
      <c r="AP103" s="2223">
        <f t="shared" si="82"/>
        <v>1.7214286497103601</v>
      </c>
      <c r="AQ103" s="2223">
        <f t="shared" si="82"/>
        <v>1.3466206806790271</v>
      </c>
      <c r="AR103" s="2223">
        <f t="shared" si="82"/>
        <v>1.0808182845361118</v>
      </c>
      <c r="AS103" s="2223">
        <f t="shared" si="82"/>
        <v>1.1022774819481502</v>
      </c>
      <c r="AT103" s="2223">
        <f t="shared" si="82"/>
        <v>1.0073006497560022</v>
      </c>
      <c r="AU103" s="2223">
        <f t="shared" si="82"/>
        <v>1.0070479299653734</v>
      </c>
      <c r="AV103" s="2223">
        <f t="shared" si="82"/>
        <v>1.0010226692149251</v>
      </c>
      <c r="AW103" s="2223">
        <f t="shared" si="82"/>
        <v>1.0010042914532604</v>
      </c>
      <c r="AX103" s="2223">
        <f t="shared" si="82"/>
        <v>1.0001460150770576</v>
      </c>
      <c r="AY103" s="2223">
        <f t="shared" si="82"/>
        <v>1.0001002141667388</v>
      </c>
      <c r="AZ103" s="2223">
        <f t="shared" si="82"/>
        <v>1.0000884106520351</v>
      </c>
      <c r="BA103" s="2223">
        <f t="shared" si="82"/>
        <v>1.000020171742408</v>
      </c>
      <c r="BB103" s="2223">
        <f t="shared" si="82"/>
        <v>1.0000598668572691</v>
      </c>
      <c r="BC103" s="2223">
        <f t="shared" si="82"/>
        <v>1.000011632380404</v>
      </c>
      <c r="BD103" s="2223">
        <f t="shared" si="82"/>
        <v>1.4030341943192399</v>
      </c>
      <c r="BE103" s="2223">
        <f t="shared" si="82"/>
        <v>1.0008077912588673</v>
      </c>
      <c r="BF103" s="2223">
        <f t="shared" si="82"/>
        <v>1.0008077912588673</v>
      </c>
      <c r="BG103" s="2223">
        <f t="shared" si="82"/>
        <v>6.6666666666666661</v>
      </c>
      <c r="BH103" s="2223">
        <f t="shared" si="82"/>
        <v>1.3123162670078643</v>
      </c>
      <c r="BI103" s="2223">
        <f t="shared" si="82"/>
        <v>2.6948105674150744</v>
      </c>
    </row>
    <row r="104" spans="1:61">
      <c r="A104" s="2126"/>
      <c r="B104" s="2156"/>
      <c r="C104" s="2156"/>
      <c r="D104" s="2211"/>
      <c r="E104" s="2153"/>
      <c r="F104" s="2153"/>
      <c r="G104" s="2154"/>
      <c r="H104" s="2156"/>
      <c r="I104" s="2156"/>
      <c r="J104" s="2156"/>
      <c r="K104" s="2156"/>
      <c r="L104" s="2156"/>
      <c r="M104" s="2156"/>
      <c r="N104" s="2156"/>
      <c r="O104" s="2156"/>
      <c r="P104" s="2156"/>
      <c r="Q104" s="2156"/>
      <c r="S104" s="2156"/>
      <c r="T104" s="2156"/>
      <c r="U104" s="2156"/>
      <c r="V104" s="2156"/>
      <c r="W104" s="2156"/>
      <c r="X104" s="2156"/>
      <c r="Y104" s="2156"/>
      <c r="Z104" s="2156"/>
      <c r="AA104" s="2156"/>
      <c r="AB104" s="2156"/>
      <c r="AC104" s="2156"/>
      <c r="AD104" s="2156"/>
      <c r="AE104" s="2156"/>
      <c r="AF104" s="2156"/>
      <c r="AG104" s="2156"/>
      <c r="AH104" s="2156"/>
      <c r="AI104" s="2156"/>
      <c r="AJ104" s="2156"/>
      <c r="AK104" s="2156"/>
      <c r="AL104" s="2156"/>
      <c r="AM104" s="2156"/>
      <c r="AN104" s="2156"/>
      <c r="AO104" s="2156"/>
      <c r="AP104" s="2156"/>
      <c r="AQ104" s="2156"/>
      <c r="AR104" s="2156"/>
      <c r="AS104" s="2156"/>
      <c r="AT104" s="2156"/>
      <c r="AU104" s="2156"/>
      <c r="AV104" s="2156"/>
      <c r="AW104" s="2156"/>
      <c r="AX104" s="2156"/>
      <c r="AY104" s="2156"/>
      <c r="AZ104" s="2156"/>
      <c r="BA104" s="2156"/>
      <c r="BB104" s="2156"/>
      <c r="BC104" s="2156"/>
      <c r="BD104" s="2156"/>
      <c r="BE104" s="2156"/>
      <c r="BF104" s="2156"/>
      <c r="BG104" s="2156"/>
      <c r="BH104" s="2156"/>
      <c r="BI104" s="2156"/>
    </row>
    <row r="105" spans="1:61">
      <c r="A105" s="2126"/>
      <c r="B105" s="2156"/>
      <c r="C105" s="2156"/>
      <c r="D105" s="2211"/>
      <c r="E105" s="2212" t="str">
        <f>E31</f>
        <v>Période vie entière 0-70 ans (effets sans seuil)</v>
      </c>
      <c r="F105" s="2153"/>
      <c r="G105" s="2154"/>
      <c r="H105" s="2156"/>
      <c r="I105" s="2156"/>
      <c r="J105" s="2156"/>
      <c r="K105" s="2156"/>
      <c r="L105" s="2156"/>
      <c r="M105" s="2156"/>
      <c r="N105" s="2156"/>
      <c r="O105" s="2156"/>
      <c r="P105" s="2156"/>
      <c r="Q105" s="2156"/>
      <c r="S105" s="2156"/>
      <c r="T105" s="2156"/>
      <c r="U105" s="2156"/>
      <c r="V105" s="2156"/>
      <c r="W105" s="2156"/>
      <c r="X105" s="2156"/>
      <c r="Y105" s="2156"/>
      <c r="Z105" s="2156"/>
      <c r="AA105" s="2156"/>
      <c r="AB105" s="2156"/>
      <c r="AC105" s="2156"/>
      <c r="AD105" s="2156"/>
      <c r="AE105" s="2156"/>
      <c r="AF105" s="2156"/>
      <c r="AG105" s="2156"/>
      <c r="AH105" s="2156"/>
      <c r="AI105" s="2156"/>
      <c r="AJ105" s="2156"/>
      <c r="AK105" s="2156"/>
      <c r="AL105" s="2156"/>
      <c r="AM105" s="2156"/>
      <c r="AN105" s="2156"/>
      <c r="AO105" s="2156"/>
      <c r="AP105" s="2156"/>
      <c r="AQ105" s="2156"/>
      <c r="AR105" s="2156"/>
      <c r="AS105" s="2156"/>
      <c r="AT105" s="2156"/>
      <c r="AU105" s="2156"/>
      <c r="AV105" s="2156"/>
      <c r="AW105" s="2156"/>
      <c r="AX105" s="2156"/>
      <c r="AY105" s="2156"/>
      <c r="AZ105" s="2156"/>
      <c r="BA105" s="2156"/>
      <c r="BB105" s="2156"/>
      <c r="BC105" s="2156"/>
      <c r="BD105" s="2156"/>
      <c r="BE105" s="2156"/>
      <c r="BF105" s="2156"/>
      <c r="BG105" s="2156"/>
      <c r="BH105" s="2156"/>
      <c r="BI105" s="2156"/>
    </row>
    <row r="106" spans="1:61">
      <c r="A106" s="2126"/>
      <c r="B106" s="2156"/>
      <c r="C106" s="2156"/>
      <c r="D106" s="2211"/>
      <c r="E106" s="525" t="str">
        <f>E27</f>
        <v>Durée d'exposition considérée</v>
      </c>
      <c r="F106" s="525" t="str">
        <f>F27</f>
        <v>t</v>
      </c>
      <c r="G106" s="526" t="str">
        <f>G27</f>
        <v>an</v>
      </c>
      <c r="H106" s="2224">
        <f t="shared" ref="H106:AL106" si="83">H107/(365*24*3600)</f>
        <v>70</v>
      </c>
      <c r="I106" s="2224">
        <f t="shared" si="83"/>
        <v>70</v>
      </c>
      <c r="J106" s="2224">
        <f>J107/(365*24*3600)</f>
        <v>70</v>
      </c>
      <c r="K106" s="2224">
        <f t="shared" si="83"/>
        <v>70</v>
      </c>
      <c r="L106" s="2224">
        <f t="shared" si="83"/>
        <v>70</v>
      </c>
      <c r="M106" s="2224">
        <f t="shared" si="83"/>
        <v>70</v>
      </c>
      <c r="N106" s="2224">
        <f>N107/(365*24*3600)</f>
        <v>70</v>
      </c>
      <c r="O106" s="2224">
        <f>O107/(365*24*3600)</f>
        <v>70</v>
      </c>
      <c r="P106" s="2224">
        <f t="shared" si="83"/>
        <v>70</v>
      </c>
      <c r="Q106" s="2224">
        <f t="shared" si="83"/>
        <v>70</v>
      </c>
      <c r="R106" s="2224">
        <f>R107/(365*24*3600)</f>
        <v>70</v>
      </c>
      <c r="S106" s="2224">
        <f>S107/(365*24*3600)</f>
        <v>70</v>
      </c>
      <c r="T106" s="2224">
        <f>T107/(365*24*3600)</f>
        <v>70</v>
      </c>
      <c r="U106" s="2224">
        <f t="shared" si="83"/>
        <v>70</v>
      </c>
      <c r="V106" s="2224">
        <f t="shared" si="83"/>
        <v>70</v>
      </c>
      <c r="W106" s="2224">
        <f t="shared" si="83"/>
        <v>70</v>
      </c>
      <c r="X106" s="2224">
        <f t="shared" si="83"/>
        <v>70</v>
      </c>
      <c r="Y106" s="2224">
        <f t="shared" si="83"/>
        <v>70</v>
      </c>
      <c r="Z106" s="2224">
        <f t="shared" si="83"/>
        <v>70</v>
      </c>
      <c r="AA106" s="2224">
        <f t="shared" si="83"/>
        <v>70</v>
      </c>
      <c r="AB106" s="2224">
        <f t="shared" si="83"/>
        <v>70</v>
      </c>
      <c r="AC106" s="2224">
        <f t="shared" si="83"/>
        <v>70</v>
      </c>
      <c r="AD106" s="2224">
        <f t="shared" si="83"/>
        <v>70</v>
      </c>
      <c r="AE106" s="2224">
        <f t="shared" si="83"/>
        <v>70</v>
      </c>
      <c r="AF106" s="2224">
        <f t="shared" si="83"/>
        <v>70</v>
      </c>
      <c r="AG106" s="2224">
        <f t="shared" si="83"/>
        <v>70</v>
      </c>
      <c r="AH106" s="2224">
        <f t="shared" si="83"/>
        <v>70</v>
      </c>
      <c r="AI106" s="2224">
        <f t="shared" si="83"/>
        <v>70</v>
      </c>
      <c r="AJ106" s="2224">
        <f t="shared" si="83"/>
        <v>70</v>
      </c>
      <c r="AK106" s="2224">
        <f t="shared" si="83"/>
        <v>70</v>
      </c>
      <c r="AL106" s="2224">
        <f t="shared" si="83"/>
        <v>70</v>
      </c>
      <c r="AM106" s="2224">
        <f t="shared" ref="AM106:BI106" si="84">AM107/(365*24*3600)</f>
        <v>70</v>
      </c>
      <c r="AN106" s="2224">
        <f t="shared" si="84"/>
        <v>70</v>
      </c>
      <c r="AO106" s="2224">
        <f t="shared" si="84"/>
        <v>70</v>
      </c>
      <c r="AP106" s="2224">
        <f t="shared" si="84"/>
        <v>70</v>
      </c>
      <c r="AQ106" s="2224">
        <f t="shared" si="84"/>
        <v>70</v>
      </c>
      <c r="AR106" s="2224">
        <f t="shared" si="84"/>
        <v>70</v>
      </c>
      <c r="AS106" s="2224">
        <f t="shared" si="84"/>
        <v>70</v>
      </c>
      <c r="AT106" s="2224">
        <f t="shared" si="84"/>
        <v>70</v>
      </c>
      <c r="AU106" s="2224">
        <f t="shared" si="84"/>
        <v>70</v>
      </c>
      <c r="AV106" s="2224">
        <f t="shared" si="84"/>
        <v>70</v>
      </c>
      <c r="AW106" s="2224">
        <f t="shared" si="84"/>
        <v>70</v>
      </c>
      <c r="AX106" s="2224">
        <f t="shared" si="84"/>
        <v>70</v>
      </c>
      <c r="AY106" s="2224">
        <f t="shared" si="84"/>
        <v>70</v>
      </c>
      <c r="AZ106" s="2224">
        <f t="shared" si="84"/>
        <v>70</v>
      </c>
      <c r="BA106" s="2224">
        <f t="shared" si="84"/>
        <v>70</v>
      </c>
      <c r="BB106" s="2224">
        <f t="shared" si="84"/>
        <v>70</v>
      </c>
      <c r="BC106" s="2224">
        <f t="shared" si="84"/>
        <v>70</v>
      </c>
      <c r="BD106" s="2224">
        <f t="shared" si="84"/>
        <v>70</v>
      </c>
      <c r="BE106" s="2224">
        <f t="shared" si="84"/>
        <v>70</v>
      </c>
      <c r="BF106" s="2224">
        <f t="shared" si="84"/>
        <v>70</v>
      </c>
      <c r="BG106" s="2224">
        <f t="shared" si="84"/>
        <v>70</v>
      </c>
      <c r="BH106" s="2224">
        <f t="shared" si="84"/>
        <v>70</v>
      </c>
      <c r="BI106" s="2224">
        <f t="shared" si="84"/>
        <v>70</v>
      </c>
    </row>
    <row r="107" spans="1:61" s="529" customFormat="1" ht="13.15" customHeight="1">
      <c r="A107" s="523"/>
      <c r="B107" s="224"/>
      <c r="C107" s="524"/>
      <c r="D107" s="2211"/>
      <c r="E107" s="525" t="str">
        <f t="shared" ref="E107:AI107" si="85">E33</f>
        <v>Durée d'exposition considérée</v>
      </c>
      <c r="F107" s="525" t="str">
        <f t="shared" si="85"/>
        <v>t</v>
      </c>
      <c r="G107" s="526" t="str">
        <f t="shared" si="85"/>
        <v>s</v>
      </c>
      <c r="H107" s="2161">
        <f t="shared" si="85"/>
        <v>2207520000</v>
      </c>
      <c r="I107" s="2161">
        <f t="shared" si="85"/>
        <v>2207520000</v>
      </c>
      <c r="J107" s="2161">
        <f>J33</f>
        <v>2207520000</v>
      </c>
      <c r="K107" s="2161">
        <f t="shared" si="85"/>
        <v>2207520000</v>
      </c>
      <c r="L107" s="2161">
        <f t="shared" si="85"/>
        <v>2207520000</v>
      </c>
      <c r="M107" s="2161">
        <f t="shared" si="85"/>
        <v>2207520000</v>
      </c>
      <c r="N107" s="2161">
        <f>N33</f>
        <v>2207520000</v>
      </c>
      <c r="O107" s="2161">
        <f>O33</f>
        <v>2207520000</v>
      </c>
      <c r="P107" s="2161">
        <f t="shared" si="85"/>
        <v>2207520000</v>
      </c>
      <c r="Q107" s="2161">
        <f t="shared" si="85"/>
        <v>2207520000</v>
      </c>
      <c r="R107" s="2161">
        <f>R33</f>
        <v>2207520000</v>
      </c>
      <c r="S107" s="2161">
        <f>S33</f>
        <v>2207520000</v>
      </c>
      <c r="T107" s="2161">
        <f>T33</f>
        <v>2207520000</v>
      </c>
      <c r="U107" s="2161">
        <f t="shared" si="85"/>
        <v>2207520000</v>
      </c>
      <c r="V107" s="2161">
        <f t="shared" si="85"/>
        <v>2207520000</v>
      </c>
      <c r="W107" s="2161">
        <f t="shared" si="85"/>
        <v>2207520000</v>
      </c>
      <c r="X107" s="2161">
        <f t="shared" si="85"/>
        <v>2207520000</v>
      </c>
      <c r="Y107" s="2161">
        <f t="shared" si="85"/>
        <v>2207520000</v>
      </c>
      <c r="Z107" s="2161">
        <f t="shared" si="85"/>
        <v>2207520000</v>
      </c>
      <c r="AA107" s="2215">
        <f t="shared" si="85"/>
        <v>2207520000</v>
      </c>
      <c r="AB107" s="2161">
        <f t="shared" si="85"/>
        <v>2207520000</v>
      </c>
      <c r="AC107" s="2161">
        <f t="shared" si="85"/>
        <v>2207520000</v>
      </c>
      <c r="AD107" s="2161">
        <f t="shared" si="85"/>
        <v>2207520000</v>
      </c>
      <c r="AE107" s="2161">
        <f t="shared" si="85"/>
        <v>2207520000</v>
      </c>
      <c r="AF107" s="2161">
        <f t="shared" si="85"/>
        <v>2207520000</v>
      </c>
      <c r="AG107" s="2161">
        <f t="shared" si="85"/>
        <v>2207520000</v>
      </c>
      <c r="AH107" s="2161">
        <f t="shared" si="85"/>
        <v>2207520000</v>
      </c>
      <c r="AI107" s="2161">
        <f t="shared" si="85"/>
        <v>2207520000</v>
      </c>
      <c r="AJ107" s="2161">
        <f t="shared" ref="AJ107:BI107" si="86">AJ33</f>
        <v>2207520000</v>
      </c>
      <c r="AK107" s="2161">
        <f t="shared" si="86"/>
        <v>2207520000</v>
      </c>
      <c r="AL107" s="2161">
        <f t="shared" si="86"/>
        <v>2207520000</v>
      </c>
      <c r="AM107" s="2161">
        <f t="shared" si="86"/>
        <v>2207520000</v>
      </c>
      <c r="AN107" s="2155">
        <f t="shared" si="86"/>
        <v>2207520000</v>
      </c>
      <c r="AO107" s="2161">
        <f t="shared" si="86"/>
        <v>2207520000</v>
      </c>
      <c r="AP107" s="2161">
        <f t="shared" si="86"/>
        <v>2207520000</v>
      </c>
      <c r="AQ107" s="2161">
        <f t="shared" si="86"/>
        <v>2207520000</v>
      </c>
      <c r="AR107" s="2161">
        <f t="shared" si="86"/>
        <v>2207520000</v>
      </c>
      <c r="AS107" s="2161">
        <f t="shared" si="86"/>
        <v>2207520000</v>
      </c>
      <c r="AT107" s="2161">
        <f t="shared" si="86"/>
        <v>2207520000</v>
      </c>
      <c r="AU107" s="2161">
        <f t="shared" si="86"/>
        <v>2207520000</v>
      </c>
      <c r="AV107" s="2161">
        <f t="shared" si="86"/>
        <v>2207520000</v>
      </c>
      <c r="AW107" s="2161">
        <f t="shared" si="86"/>
        <v>2207520000</v>
      </c>
      <c r="AX107" s="2161">
        <f t="shared" si="86"/>
        <v>2207520000</v>
      </c>
      <c r="AY107" s="2161">
        <f t="shared" si="86"/>
        <v>2207520000</v>
      </c>
      <c r="AZ107" s="2161">
        <f t="shared" si="86"/>
        <v>2207520000</v>
      </c>
      <c r="BA107" s="2161">
        <f t="shared" si="86"/>
        <v>2207520000</v>
      </c>
      <c r="BB107" s="2161">
        <f t="shared" si="86"/>
        <v>2207520000</v>
      </c>
      <c r="BC107" s="2161">
        <f t="shared" si="86"/>
        <v>2207520000</v>
      </c>
      <c r="BD107" s="2161">
        <f t="shared" si="86"/>
        <v>2207520000</v>
      </c>
      <c r="BE107" s="2161">
        <f t="shared" si="86"/>
        <v>2207520000</v>
      </c>
      <c r="BF107" s="2161">
        <f t="shared" si="86"/>
        <v>2207520000</v>
      </c>
      <c r="BG107" s="2161">
        <f t="shared" si="86"/>
        <v>2207520000</v>
      </c>
      <c r="BH107" s="2161">
        <f t="shared" si="86"/>
        <v>2207520000</v>
      </c>
      <c r="BI107" s="2161">
        <f t="shared" si="86"/>
        <v>2207520000</v>
      </c>
    </row>
    <row r="108" spans="1:61" s="2204" customFormat="1" ht="15.75">
      <c r="D108" s="2211"/>
      <c r="E108" s="2201" t="s">
        <v>297</v>
      </c>
      <c r="F108" s="2201" t="s">
        <v>1131</v>
      </c>
      <c r="G108" s="2202" t="s">
        <v>73</v>
      </c>
      <c r="H108" s="2203">
        <f t="shared" ref="H108:AM108" si="87">(2*H68*H13*0.001/H14*H107+(H41+H68*H45)^2)^0.5-H68*H45</f>
        <v>0.99885479875522243</v>
      </c>
      <c r="I108" s="2203">
        <f t="shared" si="87"/>
        <v>0.99885479875522243</v>
      </c>
      <c r="J108" s="2203">
        <f t="shared" si="87"/>
        <v>2.6460991604291615</v>
      </c>
      <c r="K108" s="2203">
        <f t="shared" si="87"/>
        <v>59.072403647547986</v>
      </c>
      <c r="L108" s="2203">
        <f t="shared" si="87"/>
        <v>21.1572253237658</v>
      </c>
      <c r="M108" s="2203">
        <f t="shared" si="87"/>
        <v>21.1572253237658</v>
      </c>
      <c r="N108" s="2203">
        <f t="shared" si="87"/>
        <v>30.868763886569543</v>
      </c>
      <c r="O108" s="2203">
        <f t="shared" si="87"/>
        <v>30.868763886569543</v>
      </c>
      <c r="P108" s="2203">
        <f t="shared" si="87"/>
        <v>30.789240072265617</v>
      </c>
      <c r="Q108" s="2203">
        <f t="shared" si="87"/>
        <v>30.789240072265617</v>
      </c>
      <c r="R108" s="2203">
        <f t="shared" si="87"/>
        <v>73.771344837586128</v>
      </c>
      <c r="S108" s="2203">
        <f t="shared" si="87"/>
        <v>22.674681653477133</v>
      </c>
      <c r="T108" s="2203">
        <f t="shared" si="87"/>
        <v>22.674681653477133</v>
      </c>
      <c r="U108" s="2203">
        <f t="shared" si="87"/>
        <v>42.784258477963391</v>
      </c>
      <c r="V108" s="2203">
        <f t="shared" si="87"/>
        <v>33.025442046250802</v>
      </c>
      <c r="W108" s="2203">
        <f t="shared" si="87"/>
        <v>33.025442046250802</v>
      </c>
      <c r="X108" s="2203">
        <f t="shared" si="87"/>
        <v>24.486056157286708</v>
      </c>
      <c r="Y108" s="2203">
        <f t="shared" si="87"/>
        <v>19.274096885203779</v>
      </c>
      <c r="Z108" s="2203">
        <f t="shared" si="87"/>
        <v>14.146196267322894</v>
      </c>
      <c r="AA108" s="2203">
        <f t="shared" si="87"/>
        <v>11.548560356020849</v>
      </c>
      <c r="AB108" s="2203">
        <f t="shared" si="87"/>
        <v>8.3527651875760469</v>
      </c>
      <c r="AC108" s="2203">
        <f t="shared" si="87"/>
        <v>3.4255463290069841</v>
      </c>
      <c r="AD108" s="2203">
        <f t="shared" si="87"/>
        <v>1.2963147817321108</v>
      </c>
      <c r="AE108" s="2203">
        <f t="shared" si="87"/>
        <v>0.30094905962813628</v>
      </c>
      <c r="AF108" s="2203">
        <f t="shared" si="87"/>
        <v>1.7790087006603617E-3</v>
      </c>
      <c r="AG108" s="2203">
        <f t="shared" si="87"/>
        <v>49.791374855172641</v>
      </c>
      <c r="AH108" s="2203">
        <f t="shared" si="87"/>
        <v>38.727826351809931</v>
      </c>
      <c r="AI108" s="2203">
        <f t="shared" si="87"/>
        <v>21.563734031985831</v>
      </c>
      <c r="AJ108" s="2203">
        <f t="shared" si="87"/>
        <v>9.3630713301217714</v>
      </c>
      <c r="AK108" s="2203">
        <f t="shared" si="87"/>
        <v>3.8782097269564382</v>
      </c>
      <c r="AL108" s="2203">
        <f t="shared" si="87"/>
        <v>0.7753218521329337</v>
      </c>
      <c r="AM108" s="2203">
        <f t="shared" si="87"/>
        <v>1.2226057542156388E-2</v>
      </c>
      <c r="AN108" s="2203">
        <f t="shared" ref="AN108:BI108" si="88">(2*AN68*AN13*0.001/AN14*AN107+(AN41+AN68*AN45)^2)^0.5-AN68*AN45</f>
        <v>0.85867518230618312</v>
      </c>
      <c r="AO108" s="2203">
        <f t="shared" si="88"/>
        <v>0.33289996074956346</v>
      </c>
      <c r="AP108" s="2203">
        <f t="shared" si="88"/>
        <v>0.46598776383635376</v>
      </c>
      <c r="AQ108" s="2203">
        <f t="shared" si="88"/>
        <v>0.23620639958415252</v>
      </c>
      <c r="AR108" s="2203">
        <f t="shared" si="88"/>
        <v>6.0936567916764189E-2</v>
      </c>
      <c r="AS108" s="2203">
        <f t="shared" si="88"/>
        <v>7.5890431995564306E-2</v>
      </c>
      <c r="AT108" s="2203">
        <f t="shared" si="88"/>
        <v>6.1275115628762478E-3</v>
      </c>
      <c r="AU108" s="2203">
        <f t="shared" si="88"/>
        <v>5.9772824279673287E-3</v>
      </c>
      <c r="AV108" s="2203">
        <f t="shared" si="88"/>
        <v>9.1447653273329932E-4</v>
      </c>
      <c r="AW108" s="2203">
        <f t="shared" si="88"/>
        <v>9.2868136465745765E-4</v>
      </c>
      <c r="AX108" s="2203">
        <f t="shared" si="88"/>
        <v>2.0590738252129759E-4</v>
      </c>
      <c r="AY108" s="2203">
        <f t="shared" si="88"/>
        <v>1.4132475491340779E-4</v>
      </c>
      <c r="AZ108" s="2203">
        <f t="shared" si="88"/>
        <v>1.2650939028263641E-4</v>
      </c>
      <c r="BA108" s="2203">
        <f t="shared" si="88"/>
        <v>2.9262168874999439E-5</v>
      </c>
      <c r="BB108" s="2203">
        <f t="shared" si="88"/>
        <v>7.3117830045266174E-5</v>
      </c>
      <c r="BC108" s="2203">
        <f t="shared" si="88"/>
        <v>1.7353171173462023E-5</v>
      </c>
      <c r="BD108" s="2203">
        <f t="shared" si="88"/>
        <v>0.47226979223754961</v>
      </c>
      <c r="BE108" s="2203">
        <f t="shared" si="88"/>
        <v>6.9386370669549668E-4</v>
      </c>
      <c r="BF108" s="2203">
        <f t="shared" si="88"/>
        <v>6.9386370669549668E-4</v>
      </c>
      <c r="BG108" s="2203">
        <f t="shared" si="88"/>
        <v>31.356043741915382</v>
      </c>
      <c r="BH108" s="2203">
        <f t="shared" si="88"/>
        <v>0.36269548135417506</v>
      </c>
      <c r="BI108" s="2203">
        <f t="shared" si="88"/>
        <v>1.3095075803486087</v>
      </c>
    </row>
    <row r="109" spans="1:61" s="2204" customFormat="1" ht="25.5">
      <c r="D109" s="2211"/>
      <c r="E109" s="2205" t="s">
        <v>610</v>
      </c>
      <c r="F109" s="2205" t="s">
        <v>138</v>
      </c>
      <c r="G109" s="2206" t="s">
        <v>139</v>
      </c>
      <c r="H109" s="2204">
        <f t="shared" ref="H109:AM109" si="89">1000*H14/H13*(H108-H41)/H107</f>
        <v>2.5762746649655419E-4</v>
      </c>
      <c r="I109" s="2204">
        <f t="shared" si="89"/>
        <v>2.5762746649655419E-4</v>
      </c>
      <c r="J109" s="2204">
        <f t="shared" si="89"/>
        <v>1.0396342264028111E-4</v>
      </c>
      <c r="K109" s="2204">
        <f t="shared" si="89"/>
        <v>1.0416861365120425E-5</v>
      </c>
      <c r="L109" s="2204">
        <f t="shared" si="89"/>
        <v>1.9954837204966939E-5</v>
      </c>
      <c r="M109" s="2204">
        <f t="shared" si="89"/>
        <v>1.9954837204966939E-5</v>
      </c>
      <c r="N109" s="2204">
        <f t="shared" si="89"/>
        <v>1.4761586477154319E-5</v>
      </c>
      <c r="O109" s="2204">
        <f t="shared" si="89"/>
        <v>1.4761586477154319E-5</v>
      </c>
      <c r="P109" s="2204">
        <f t="shared" si="89"/>
        <v>1.3486309196177247E-5</v>
      </c>
      <c r="Q109" s="2204">
        <f t="shared" si="89"/>
        <v>1.3486309196177247E-5</v>
      </c>
      <c r="R109" s="2204">
        <f t="shared" si="89"/>
        <v>8.0386928217626174E-5</v>
      </c>
      <c r="S109" s="2204">
        <f t="shared" si="89"/>
        <v>2.6336296972893996E-5</v>
      </c>
      <c r="T109" s="2204">
        <f t="shared" si="89"/>
        <v>2.6336296972893996E-5</v>
      </c>
      <c r="U109" s="2204">
        <f t="shared" si="89"/>
        <v>1.0555166749554329E-5</v>
      </c>
      <c r="V109" s="2204">
        <f t="shared" si="89"/>
        <v>4.9777569291821239E-6</v>
      </c>
      <c r="W109" s="2204">
        <f t="shared" si="89"/>
        <v>4.9777569291821239E-6</v>
      </c>
      <c r="X109" s="2204">
        <f t="shared" si="89"/>
        <v>1.9238062853262381E-5</v>
      </c>
      <c r="Y109" s="2204">
        <f t="shared" si="89"/>
        <v>2.1849745175062566E-5</v>
      </c>
      <c r="Z109" s="2204">
        <f t="shared" si="89"/>
        <v>2.7078902902732409E-5</v>
      </c>
      <c r="AA109" s="2204">
        <f t="shared" si="89"/>
        <v>3.2952437208363946E-5</v>
      </c>
      <c r="AB109" s="2204">
        <f t="shared" si="89"/>
        <v>2.1073591180700625E-5</v>
      </c>
      <c r="AC109" s="2204">
        <f t="shared" si="89"/>
        <v>4.4289841669526178E-5</v>
      </c>
      <c r="AD109" s="2204">
        <f t="shared" si="89"/>
        <v>8.5628833239739631E-5</v>
      </c>
      <c r="AE109" s="2204">
        <f t="shared" si="89"/>
        <v>1.5942736206249914E-4</v>
      </c>
      <c r="AF109" s="2204">
        <f t="shared" si="89"/>
        <v>2.2737876804749369E-4</v>
      </c>
      <c r="AG109" s="2204">
        <f t="shared" si="89"/>
        <v>5.4621474496401886E-6</v>
      </c>
      <c r="AH109" s="2204">
        <f t="shared" si="89"/>
        <v>5.6741611341918077E-6</v>
      </c>
      <c r="AI109" s="2204">
        <f t="shared" si="89"/>
        <v>7.7699760778248497E-6</v>
      </c>
      <c r="AJ109" s="2204">
        <f t="shared" si="89"/>
        <v>1.4172888206740815E-5</v>
      </c>
      <c r="AK109" s="2204">
        <f t="shared" si="89"/>
        <v>2.5750918818005349E-5</v>
      </c>
      <c r="AL109" s="2204">
        <f t="shared" si="89"/>
        <v>6.7908183223833378E-5</v>
      </c>
      <c r="AM109" s="2204">
        <f t="shared" si="89"/>
        <v>1.5469495754342981E-4</v>
      </c>
      <c r="AN109" s="2204">
        <f t="shared" ref="AN109:BI109" si="90">1000*AN14/AN13*(AN108-AN41)/AN107</f>
        <v>1.3649902283916434E-4</v>
      </c>
      <c r="AO109" s="2204">
        <f t="shared" si="90"/>
        <v>1.9376046372861309E-4</v>
      </c>
      <c r="AP109" s="2204">
        <f t="shared" si="90"/>
        <v>1.6212232868733129E-4</v>
      </c>
      <c r="AQ109" s="2204">
        <f t="shared" si="90"/>
        <v>2.0295394635774729E-4</v>
      </c>
      <c r="AR109" s="2204">
        <f t="shared" si="90"/>
        <v>2.6150680686054588E-4</v>
      </c>
      <c r="AS109" s="2204">
        <f t="shared" si="90"/>
        <v>2.5214904746224997E-4</v>
      </c>
      <c r="AT109" s="2204">
        <f t="shared" si="90"/>
        <v>2.7890630039888409E-4</v>
      </c>
      <c r="AU109" s="2204">
        <f t="shared" si="90"/>
        <v>2.8281195157821976E-4</v>
      </c>
      <c r="AV109" s="2204">
        <f t="shared" si="90"/>
        <v>2.7121328480814296E-4</v>
      </c>
      <c r="AW109" s="2204">
        <f t="shared" si="90"/>
        <v>2.8583549848330608E-4</v>
      </c>
      <c r="AX109" s="2204">
        <f t="shared" si="90"/>
        <v>1.8005335201559101E-3</v>
      </c>
      <c r="AY109" s="2204">
        <f t="shared" si="90"/>
        <v>1.8006777838559165E-3</v>
      </c>
      <c r="AZ109" s="2204">
        <f t="shared" si="90"/>
        <v>2.4138239780769569E-3</v>
      </c>
      <c r="BA109" s="2204">
        <f t="shared" si="90"/>
        <v>3.232744067521266E-3</v>
      </c>
      <c r="BB109" s="2204">
        <f t="shared" si="90"/>
        <v>5.1016871769996291E-4</v>
      </c>
      <c r="BC109" s="2204">
        <f t="shared" si="90"/>
        <v>455.7823263579055</v>
      </c>
      <c r="BD109" s="2204">
        <f t="shared" si="90"/>
        <v>3.4304113342638943E-3</v>
      </c>
      <c r="BE109" s="2204">
        <f t="shared" si="90"/>
        <v>2.2707930974487562E-4</v>
      </c>
      <c r="BF109" s="2204">
        <f t="shared" si="90"/>
        <v>2.2707930974487562E-4</v>
      </c>
      <c r="BG109" s="2204">
        <f t="shared" si="90"/>
        <v>5.6508814929123872E-6</v>
      </c>
      <c r="BH109" s="2204">
        <f t="shared" si="90"/>
        <v>1.9811420122015167E-3</v>
      </c>
      <c r="BI109" s="2204">
        <f t="shared" si="90"/>
        <v>9.2445941154896177E-4</v>
      </c>
    </row>
    <row r="110" spans="1:61" ht="25.5">
      <c r="A110" s="2126"/>
      <c r="B110" s="2156"/>
      <c r="C110" s="2156"/>
      <c r="D110" s="2211"/>
      <c r="E110" s="2153" t="s">
        <v>611</v>
      </c>
      <c r="F110" s="2153" t="s">
        <v>138</v>
      </c>
      <c r="G110" s="2154" t="s">
        <v>139</v>
      </c>
      <c r="H110" s="2155">
        <f t="shared" ref="H110:AL110" si="91">MIN(H109,H$34)</f>
        <v>2.5762746649655419E-4</v>
      </c>
      <c r="I110" s="2155">
        <f t="shared" si="91"/>
        <v>2.5762746649655419E-4</v>
      </c>
      <c r="J110" s="2155">
        <f>MIN(J109,J$34)</f>
        <v>1.0396342264028111E-4</v>
      </c>
      <c r="K110" s="2155">
        <f t="shared" si="91"/>
        <v>5.2902171175928501E-7</v>
      </c>
      <c r="L110" s="2155">
        <f t="shared" si="91"/>
        <v>2.8295067381853387E-6</v>
      </c>
      <c r="M110" s="2155">
        <f t="shared" si="91"/>
        <v>2.8295067381853387E-6</v>
      </c>
      <c r="N110" s="2155">
        <f>MIN(N109,N$34)</f>
        <v>1.4346139545526303E-6</v>
      </c>
      <c r="O110" s="2155">
        <f>MIN(O109,O$34)</f>
        <v>1.4346139545526303E-6</v>
      </c>
      <c r="P110" s="2155">
        <f t="shared" si="91"/>
        <v>1.314060609926401E-6</v>
      </c>
      <c r="Q110" s="2155">
        <f t="shared" si="91"/>
        <v>1.314060609926401E-6</v>
      </c>
      <c r="R110" s="2155">
        <f>MIN(R109,R$34)</f>
        <v>3.2690306132254255E-6</v>
      </c>
      <c r="S110" s="2155">
        <f>MIN(S109,S$34)</f>
        <v>3.4844542528148829E-6</v>
      </c>
      <c r="T110" s="2155">
        <f>MIN(T109,T$34)</f>
        <v>3.4844542528148829E-6</v>
      </c>
      <c r="U110" s="2155">
        <f t="shared" si="91"/>
        <v>7.4012034741639221E-7</v>
      </c>
      <c r="V110" s="2155">
        <f t="shared" si="91"/>
        <v>4.5217474353963014E-7</v>
      </c>
      <c r="W110" s="2155">
        <f t="shared" si="91"/>
        <v>4.5217474353963014E-7</v>
      </c>
      <c r="X110" s="2155">
        <f t="shared" si="91"/>
        <v>2.3570226331696212E-6</v>
      </c>
      <c r="Y110" s="2155">
        <f t="shared" si="91"/>
        <v>3.4008978950141175E-6</v>
      </c>
      <c r="Z110" s="2155">
        <f t="shared" si="91"/>
        <v>5.7426538677291316E-6</v>
      </c>
      <c r="AA110" s="2155">
        <f t="shared" si="91"/>
        <v>8.560141574144568E-6</v>
      </c>
      <c r="AB110" s="2155">
        <f t="shared" si="91"/>
        <v>7.5688436251191195E-6</v>
      </c>
      <c r="AC110" s="2155">
        <f t="shared" si="91"/>
        <v>3.8787834770605911E-5</v>
      </c>
      <c r="AD110" s="2155">
        <f t="shared" si="91"/>
        <v>8.5628833239739631E-5</v>
      </c>
      <c r="AE110" s="2155">
        <f t="shared" si="91"/>
        <v>1.5942736206249914E-4</v>
      </c>
      <c r="AF110" s="2155">
        <f t="shared" si="91"/>
        <v>2.2737876804749369E-4</v>
      </c>
      <c r="AG110" s="2155">
        <f t="shared" si="91"/>
        <v>3.291020261357222E-7</v>
      </c>
      <c r="AH110" s="2155">
        <f t="shared" si="91"/>
        <v>4.3954141004301113E-7</v>
      </c>
      <c r="AI110" s="2155">
        <f t="shared" si="91"/>
        <v>1.0809782850641064E-6</v>
      </c>
      <c r="AJ110" s="2155">
        <f t="shared" si="91"/>
        <v>4.5411022858959111E-6</v>
      </c>
      <c r="AK110" s="2155">
        <f t="shared" si="91"/>
        <v>1.991969539889811E-5</v>
      </c>
      <c r="AL110" s="2155">
        <f t="shared" si="91"/>
        <v>6.7908183223833378E-5</v>
      </c>
      <c r="AM110" s="2155">
        <f t="shared" ref="AM110:BI110" si="92">MIN(AM109,AM$34)</f>
        <v>1.5469495754342981E-4</v>
      </c>
      <c r="AN110" s="2155">
        <f t="shared" si="92"/>
        <v>1.3649902283916434E-4</v>
      </c>
      <c r="AO110" s="2155">
        <f t="shared" si="92"/>
        <v>1.9376046372861309E-4</v>
      </c>
      <c r="AP110" s="2155">
        <f t="shared" si="92"/>
        <v>1.6212232868733129E-4</v>
      </c>
      <c r="AQ110" s="2155">
        <f t="shared" si="92"/>
        <v>2.0295394635774729E-4</v>
      </c>
      <c r="AR110" s="2155">
        <f t="shared" si="92"/>
        <v>2.6150680686054588E-4</v>
      </c>
      <c r="AS110" s="2155">
        <f t="shared" si="92"/>
        <v>2.5214904746224997E-4</v>
      </c>
      <c r="AT110" s="2155">
        <f t="shared" si="92"/>
        <v>2.7890630039888409E-4</v>
      </c>
      <c r="AU110" s="2155">
        <f t="shared" si="92"/>
        <v>2.8281195157821976E-4</v>
      </c>
      <c r="AV110" s="2155">
        <f t="shared" si="92"/>
        <v>2.7121328480814296E-4</v>
      </c>
      <c r="AW110" s="2155">
        <f t="shared" si="92"/>
        <v>2.8583549848330608E-4</v>
      </c>
      <c r="AX110" s="2155">
        <f t="shared" si="92"/>
        <v>1.8005335201559101E-3</v>
      </c>
      <c r="AY110" s="2155">
        <f t="shared" si="92"/>
        <v>1.8006777838559165E-3</v>
      </c>
      <c r="AZ110" s="2155">
        <f t="shared" si="92"/>
        <v>2.4138239780769569E-3</v>
      </c>
      <c r="BA110" s="2155">
        <f t="shared" si="92"/>
        <v>3.232744067521266E-3</v>
      </c>
      <c r="BB110" s="2155">
        <f t="shared" si="92"/>
        <v>5.1016871769996291E-4</v>
      </c>
      <c r="BC110" s="2155">
        <f t="shared" si="92"/>
        <v>455.7823263579055</v>
      </c>
      <c r="BD110" s="2155">
        <f t="shared" si="92"/>
        <v>3.4304113342638943E-3</v>
      </c>
      <c r="BE110" s="2155">
        <f t="shared" si="92"/>
        <v>2.2707930974487562E-4</v>
      </c>
      <c r="BF110" s="2155">
        <f t="shared" si="92"/>
        <v>2.2707930974487562E-4</v>
      </c>
      <c r="BG110" s="2155">
        <f t="shared" si="92"/>
        <v>5.4064998181118143E-7</v>
      </c>
      <c r="BH110" s="2155">
        <f t="shared" si="92"/>
        <v>1.9811420122015167E-3</v>
      </c>
      <c r="BI110" s="2155">
        <f t="shared" si="92"/>
        <v>9.2445941154896177E-4</v>
      </c>
    </row>
    <row r="111" spans="1:61" ht="25.5">
      <c r="A111" s="2126"/>
      <c r="B111" s="2156"/>
      <c r="C111" s="2156"/>
      <c r="D111" s="2211"/>
      <c r="E111" s="3655" t="s">
        <v>582</v>
      </c>
      <c r="F111" s="2153" t="s">
        <v>300</v>
      </c>
      <c r="G111" s="2220" t="s">
        <v>35</v>
      </c>
      <c r="H111" s="2221">
        <f t="shared" ref="H111:AM111" si="93">H49/H109</f>
        <v>3.0445906460508114</v>
      </c>
      <c r="I111" s="2221">
        <f t="shared" si="93"/>
        <v>3.0445906460508114</v>
      </c>
      <c r="J111" s="2221">
        <f t="shared" si="93"/>
        <v>6.9375506260301174</v>
      </c>
      <c r="K111" s="2221">
        <f t="shared" si="93"/>
        <v>136.27167525400034</v>
      </c>
      <c r="L111" s="2221">
        <f t="shared" si="93"/>
        <v>49.421795058107001</v>
      </c>
      <c r="M111" s="2221">
        <f t="shared" si="93"/>
        <v>49.421795058107001</v>
      </c>
      <c r="N111" s="2221">
        <f t="shared" si="93"/>
        <v>71.678390904757777</v>
      </c>
      <c r="O111" s="2221">
        <f t="shared" si="93"/>
        <v>71.678390904757777</v>
      </c>
      <c r="P111" s="2221">
        <f t="shared" si="93"/>
        <v>71.500291117501661</v>
      </c>
      <c r="Q111" s="2221">
        <f t="shared" si="93"/>
        <v>71.500291117501661</v>
      </c>
      <c r="R111" s="2221">
        <f t="shared" si="93"/>
        <v>169.92706961373835</v>
      </c>
      <c r="S111" s="2221">
        <f t="shared" si="93"/>
        <v>52.903857544248645</v>
      </c>
      <c r="T111" s="2221">
        <f t="shared" si="93"/>
        <v>52.903857544248645</v>
      </c>
      <c r="U111" s="2221">
        <f t="shared" si="93"/>
        <v>98.967383673889884</v>
      </c>
      <c r="V111" s="2221">
        <f t="shared" si="93"/>
        <v>76.625073040946305</v>
      </c>
      <c r="W111" s="2221">
        <f t="shared" si="93"/>
        <v>76.625073040946305</v>
      </c>
      <c r="X111" s="2221">
        <f t="shared" si="93"/>
        <v>57.057171383286338</v>
      </c>
      <c r="Y111" s="2221">
        <f t="shared" si="93"/>
        <v>45.126682098596042</v>
      </c>
      <c r="Z111" s="2221">
        <f t="shared" si="93"/>
        <v>33.38802291104021</v>
      </c>
      <c r="AA111" s="2221">
        <f t="shared" si="93"/>
        <v>27.438846771866498</v>
      </c>
      <c r="AB111" s="2221">
        <f t="shared" si="93"/>
        <v>20.125399589285273</v>
      </c>
      <c r="AC111" s="2221">
        <f t="shared" si="93"/>
        <v>8.8415694879867495</v>
      </c>
      <c r="AD111" s="2221">
        <f t="shared" si="93"/>
        <v>3.9657582859955944</v>
      </c>
      <c r="AE111" s="2221">
        <f t="shared" si="93"/>
        <v>1.6865898946752342</v>
      </c>
      <c r="AF111" s="2221">
        <f t="shared" si="93"/>
        <v>1.0038157834965005</v>
      </c>
      <c r="AG111" s="2221">
        <f t="shared" si="93"/>
        <v>115.01916160227712</v>
      </c>
      <c r="AH111" s="2221">
        <f t="shared" si="93"/>
        <v>89.684365978738199</v>
      </c>
      <c r="AI111" s="2221">
        <f t="shared" si="93"/>
        <v>50.379656966152972</v>
      </c>
      <c r="AJ111" s="2221">
        <f t="shared" si="93"/>
        <v>22.440875856805096</v>
      </c>
      <c r="AK111" s="2221">
        <f t="shared" si="93"/>
        <v>9.8808721377673052</v>
      </c>
      <c r="AL111" s="2221">
        <f t="shared" si="93"/>
        <v>2.775441581675226</v>
      </c>
      <c r="AM111" s="2221">
        <f t="shared" si="93"/>
        <v>1.0279969550590811</v>
      </c>
      <c r="AN111" s="2221">
        <f t="shared" ref="AN111:BI111" si="94">AN49/AN109</f>
        <v>2.9439085950727586</v>
      </c>
      <c r="AO111" s="2221">
        <f t="shared" si="94"/>
        <v>1.751667915169276</v>
      </c>
      <c r="AP111" s="2221">
        <f t="shared" si="94"/>
        <v>2.0566964720468888</v>
      </c>
      <c r="AQ111" s="2221">
        <f t="shared" si="94"/>
        <v>1.532880201024535</v>
      </c>
      <c r="AR111" s="2221">
        <f t="shared" si="94"/>
        <v>1.1347143368398693</v>
      </c>
      <c r="AS111" s="2221">
        <f t="shared" si="94"/>
        <v>1.1687987658542434</v>
      </c>
      <c r="AT111" s="2221">
        <f t="shared" si="94"/>
        <v>1.0127079199456617</v>
      </c>
      <c r="AU111" s="2221">
        <f t="shared" si="94"/>
        <v>1.0122702467875639</v>
      </c>
      <c r="AV111" s="2221">
        <f t="shared" si="94"/>
        <v>1.0017883033388131</v>
      </c>
      <c r="AW111" s="2221">
        <f t="shared" si="94"/>
        <v>1.0017561908890391</v>
      </c>
      <c r="AX111" s="2221">
        <f t="shared" si="94"/>
        <v>1.0002554984168635</v>
      </c>
      <c r="AY111" s="2221">
        <f t="shared" si="94"/>
        <v>1.0001753616147953</v>
      </c>
      <c r="AZ111" s="2221">
        <f t="shared" si="94"/>
        <v>1.0001547083857014</v>
      </c>
      <c r="BA111" s="2221">
        <f t="shared" si="94"/>
        <v>1.0000353000157183</v>
      </c>
      <c r="BB111" s="2221">
        <f t="shared" si="94"/>
        <v>1.0001047622979671</v>
      </c>
      <c r="BC111" s="2221">
        <f t="shared" si="94"/>
        <v>1.0000203564820365</v>
      </c>
      <c r="BD111" s="2221">
        <f t="shared" si="94"/>
        <v>1.6133614970853569</v>
      </c>
      <c r="BE111" s="2221">
        <f t="shared" si="94"/>
        <v>1.0014127806755846</v>
      </c>
      <c r="BF111" s="2221">
        <f t="shared" si="94"/>
        <v>1.0014127806755846</v>
      </c>
      <c r="BG111" s="2221">
        <f t="shared" si="94"/>
        <v>72.779502558738713</v>
      </c>
      <c r="BH111" s="2221">
        <f t="shared" si="94"/>
        <v>1.4834891996762276</v>
      </c>
      <c r="BI111" s="2221">
        <f t="shared" si="94"/>
        <v>3.3709908563011037</v>
      </c>
    </row>
    <row r="112" spans="1:61" ht="25.5">
      <c r="A112" s="2126"/>
      <c r="B112" s="2156"/>
      <c r="C112" s="2156"/>
      <c r="D112" s="2211"/>
      <c r="E112" s="3658" t="s">
        <v>583</v>
      </c>
      <c r="F112" s="2217" t="s">
        <v>300</v>
      </c>
      <c r="G112" s="2222" t="s">
        <v>35</v>
      </c>
      <c r="H112" s="2223">
        <f t="shared" ref="H112:AM112" si="95">H59/H110</f>
        <v>3.0034395427029175</v>
      </c>
      <c r="I112" s="2223">
        <f t="shared" si="95"/>
        <v>3.0034395427029175</v>
      </c>
      <c r="J112" s="2223">
        <f t="shared" si="95"/>
        <v>1.133744360326028</v>
      </c>
      <c r="K112" s="2223">
        <f t="shared" si="95"/>
        <v>1</v>
      </c>
      <c r="L112" s="2223">
        <f t="shared" si="95"/>
        <v>1</v>
      </c>
      <c r="M112" s="2223">
        <f t="shared" si="95"/>
        <v>1</v>
      </c>
      <c r="N112" s="2223">
        <f t="shared" si="95"/>
        <v>1</v>
      </c>
      <c r="O112" s="2223">
        <f t="shared" si="95"/>
        <v>1</v>
      </c>
      <c r="P112" s="2223">
        <f t="shared" si="95"/>
        <v>1</v>
      </c>
      <c r="Q112" s="2223">
        <f t="shared" si="95"/>
        <v>1</v>
      </c>
      <c r="R112" s="2223">
        <f t="shared" si="95"/>
        <v>1</v>
      </c>
      <c r="S112" s="2223">
        <f t="shared" si="95"/>
        <v>1</v>
      </c>
      <c r="T112" s="2223">
        <f t="shared" si="95"/>
        <v>1</v>
      </c>
      <c r="U112" s="2223">
        <f t="shared" si="95"/>
        <v>1</v>
      </c>
      <c r="V112" s="2223">
        <f t="shared" si="95"/>
        <v>1</v>
      </c>
      <c r="W112" s="2223">
        <f t="shared" si="95"/>
        <v>1</v>
      </c>
      <c r="X112" s="2223">
        <f t="shared" si="95"/>
        <v>1</v>
      </c>
      <c r="Y112" s="2223">
        <f t="shared" si="95"/>
        <v>1</v>
      </c>
      <c r="Z112" s="2223">
        <f t="shared" si="95"/>
        <v>1</v>
      </c>
      <c r="AA112" s="2223">
        <f t="shared" si="95"/>
        <v>1</v>
      </c>
      <c r="AB112" s="2223">
        <f t="shared" si="95"/>
        <v>1</v>
      </c>
      <c r="AC112" s="2223">
        <f t="shared" si="95"/>
        <v>1</v>
      </c>
      <c r="AD112" s="2223">
        <f t="shared" si="95"/>
        <v>2.3142527125945893</v>
      </c>
      <c r="AE112" s="2223">
        <f t="shared" si="95"/>
        <v>1.6865898946752342</v>
      </c>
      <c r="AF112" s="2223">
        <f t="shared" si="95"/>
        <v>1.0038157834965005</v>
      </c>
      <c r="AG112" s="2223">
        <f t="shared" si="95"/>
        <v>1</v>
      </c>
      <c r="AH112" s="2223">
        <f t="shared" si="95"/>
        <v>1</v>
      </c>
      <c r="AI112" s="2223">
        <f t="shared" si="95"/>
        <v>1</v>
      </c>
      <c r="AJ112" s="2223">
        <f t="shared" si="95"/>
        <v>1</v>
      </c>
      <c r="AK112" s="2223">
        <f t="shared" si="95"/>
        <v>1</v>
      </c>
      <c r="AL112" s="2223">
        <f t="shared" si="95"/>
        <v>2.775441581675226</v>
      </c>
      <c r="AM112" s="2223">
        <f t="shared" si="95"/>
        <v>1.0279969550590811</v>
      </c>
      <c r="AN112" s="2223">
        <f t="shared" ref="AN112:BI112" si="96">AN59/AN110</f>
        <v>2.9439085950727586</v>
      </c>
      <c r="AO112" s="2223">
        <f t="shared" si="96"/>
        <v>1.751667915169276</v>
      </c>
      <c r="AP112" s="2223">
        <f t="shared" si="96"/>
        <v>2.0566964720468888</v>
      </c>
      <c r="AQ112" s="2223">
        <f t="shared" si="96"/>
        <v>1.532880201024535</v>
      </c>
      <c r="AR112" s="2223">
        <f t="shared" si="96"/>
        <v>1.1347143368398693</v>
      </c>
      <c r="AS112" s="2223">
        <f t="shared" si="96"/>
        <v>1.1687987658542434</v>
      </c>
      <c r="AT112" s="2223">
        <f t="shared" si="96"/>
        <v>1.0127079199456617</v>
      </c>
      <c r="AU112" s="2223">
        <f t="shared" si="96"/>
        <v>1.0122702467875639</v>
      </c>
      <c r="AV112" s="2223">
        <f t="shared" si="96"/>
        <v>1.0017883033388131</v>
      </c>
      <c r="AW112" s="2223">
        <f t="shared" si="96"/>
        <v>1.0017561908890391</v>
      </c>
      <c r="AX112" s="2223">
        <f t="shared" si="96"/>
        <v>1.0002554984168635</v>
      </c>
      <c r="AY112" s="2223">
        <f t="shared" si="96"/>
        <v>1.0001753616147953</v>
      </c>
      <c r="AZ112" s="2223">
        <f t="shared" si="96"/>
        <v>1.0001547083857014</v>
      </c>
      <c r="BA112" s="2223">
        <f t="shared" si="96"/>
        <v>1.0000353000157183</v>
      </c>
      <c r="BB112" s="2223">
        <f t="shared" si="96"/>
        <v>1.0001047622979671</v>
      </c>
      <c r="BC112" s="2223">
        <f t="shared" si="96"/>
        <v>1.0000203564820365</v>
      </c>
      <c r="BD112" s="2223">
        <f t="shared" si="96"/>
        <v>1.6133614970853569</v>
      </c>
      <c r="BE112" s="2223">
        <f t="shared" si="96"/>
        <v>1.0014127806755846</v>
      </c>
      <c r="BF112" s="2223">
        <f t="shared" si="96"/>
        <v>1.0014127806755846</v>
      </c>
      <c r="BG112" s="2223">
        <f t="shared" si="96"/>
        <v>1</v>
      </c>
      <c r="BH112" s="2223">
        <f t="shared" si="96"/>
        <v>1.4834891996762276</v>
      </c>
      <c r="BI112" s="2223">
        <f t="shared" si="96"/>
        <v>2.290937482928781</v>
      </c>
    </row>
    <row r="113" spans="1:61">
      <c r="A113" s="2126"/>
      <c r="B113" s="2156"/>
      <c r="C113" s="2156"/>
      <c r="D113" s="2211"/>
      <c r="E113" s="2153"/>
      <c r="F113" s="2153"/>
      <c r="G113" s="2154"/>
      <c r="H113" s="2156"/>
      <c r="I113" s="2156"/>
      <c r="J113" s="2156"/>
      <c r="K113" s="2156"/>
      <c r="L113" s="2156"/>
      <c r="M113" s="2156"/>
      <c r="N113" s="2156"/>
      <c r="O113" s="2156"/>
      <c r="P113" s="2156"/>
      <c r="Q113" s="2156"/>
      <c r="S113" s="2156"/>
      <c r="T113" s="2156"/>
      <c r="U113" s="2156"/>
      <c r="V113" s="2156"/>
      <c r="W113" s="2156"/>
      <c r="X113" s="2156"/>
      <c r="Y113" s="2156"/>
      <c r="Z113" s="2156"/>
      <c r="AA113" s="2156"/>
      <c r="AB113" s="2156"/>
      <c r="AC113" s="2156"/>
      <c r="AD113" s="2156"/>
      <c r="AE113" s="2156"/>
      <c r="AF113" s="2156"/>
      <c r="AG113" s="2156"/>
      <c r="AH113" s="2156"/>
      <c r="AI113" s="2156"/>
      <c r="AJ113" s="2156"/>
      <c r="AK113" s="2156"/>
      <c r="AL113" s="2156"/>
      <c r="AM113" s="2156"/>
      <c r="AN113" s="2156"/>
      <c r="AO113" s="2156"/>
      <c r="AP113" s="2156"/>
      <c r="AQ113" s="2156"/>
      <c r="AR113" s="2156"/>
      <c r="AS113" s="2156"/>
      <c r="AT113" s="2156"/>
      <c r="AU113" s="2156"/>
      <c r="AV113" s="2156"/>
      <c r="AW113" s="2156"/>
      <c r="AX113" s="2156"/>
      <c r="AY113" s="2156"/>
      <c r="AZ113" s="2156"/>
      <c r="BA113" s="2156"/>
      <c r="BB113" s="2156"/>
      <c r="BC113" s="2156"/>
      <c r="BD113" s="2156"/>
      <c r="BE113" s="2156"/>
      <c r="BF113" s="2156"/>
      <c r="BG113" s="2156"/>
      <c r="BH113" s="2156"/>
      <c r="BI113" s="2156"/>
    </row>
    <row r="114" spans="1:61">
      <c r="A114" s="2126"/>
      <c r="B114" s="2156"/>
      <c r="C114" s="2156"/>
      <c r="D114" s="2211"/>
      <c r="E114" s="2228" t="str">
        <f>E$61</f>
        <v>Période adulte 6-70 ans (effets sans seuil)</v>
      </c>
      <c r="F114" s="2153"/>
      <c r="G114" s="2154"/>
      <c r="H114" s="2156"/>
      <c r="I114" s="2156"/>
      <c r="J114" s="2156"/>
      <c r="K114" s="2156"/>
      <c r="L114" s="2156"/>
      <c r="M114" s="2156"/>
      <c r="N114" s="2156"/>
      <c r="O114" s="2156"/>
      <c r="P114" s="2156"/>
      <c r="Q114" s="2156"/>
      <c r="S114" s="2156"/>
      <c r="T114" s="2156"/>
      <c r="U114" s="2156"/>
      <c r="V114" s="2156"/>
      <c r="W114" s="2156"/>
      <c r="X114" s="2156"/>
      <c r="Y114" s="2156"/>
      <c r="Z114" s="2156"/>
      <c r="AA114" s="2156"/>
      <c r="AB114" s="2156"/>
      <c r="AC114" s="2156"/>
      <c r="AD114" s="2156"/>
      <c r="AE114" s="2156"/>
      <c r="AF114" s="2156"/>
      <c r="AG114" s="2156"/>
      <c r="AH114" s="2156"/>
      <c r="AI114" s="2156"/>
      <c r="AJ114" s="2156"/>
      <c r="AK114" s="2156"/>
      <c r="AL114" s="2156"/>
      <c r="AM114" s="2156"/>
      <c r="AN114" s="2156"/>
      <c r="AO114" s="2156"/>
      <c r="AP114" s="2156"/>
      <c r="AQ114" s="2156"/>
      <c r="AR114" s="2156"/>
      <c r="AS114" s="2156"/>
      <c r="AT114" s="2156"/>
      <c r="AU114" s="2156"/>
      <c r="AV114" s="2156"/>
      <c r="AW114" s="2156"/>
      <c r="AX114" s="2156"/>
      <c r="AY114" s="2156"/>
      <c r="AZ114" s="2156"/>
      <c r="BA114" s="2156"/>
      <c r="BB114" s="2156"/>
      <c r="BC114" s="2156"/>
      <c r="BD114" s="2156"/>
      <c r="BE114" s="2156"/>
      <c r="BF114" s="2156"/>
      <c r="BG114" s="2156"/>
      <c r="BH114" s="2156"/>
      <c r="BI114" s="2156"/>
    </row>
    <row r="115" spans="1:61" s="2324" customFormat="1" ht="25.5">
      <c r="A115" s="2323"/>
      <c r="D115" s="2211"/>
      <c r="E115" s="2325" t="s">
        <v>575</v>
      </c>
      <c r="F115" s="2325" t="s">
        <v>138</v>
      </c>
      <c r="G115" s="2326" t="s">
        <v>139</v>
      </c>
      <c r="H115" s="2324">
        <f t="shared" ref="H115:AL115" si="97">ROUND((H110*H$32-H92*H$27)/(H$32-H$27),20)</f>
        <v>2.28693785113299E-4</v>
      </c>
      <c r="I115" s="2324">
        <f t="shared" si="97"/>
        <v>2.28693785113299E-4</v>
      </c>
      <c r="J115" s="2324">
        <f>ROUND((J110*J$32-J92*J$27)/(J$32-J$27),20)</f>
        <v>8.6048020371327604E-5</v>
      </c>
      <c r="K115" s="2324">
        <f t="shared" si="97"/>
        <v>0</v>
      </c>
      <c r="L115" s="2324">
        <f t="shared" si="97"/>
        <v>0</v>
      </c>
      <c r="M115" s="2324">
        <f t="shared" si="97"/>
        <v>0</v>
      </c>
      <c r="N115" s="2324">
        <f>ROUND((N110*N$32-N92*N$27)/(N$32-N$27),20)</f>
        <v>0</v>
      </c>
      <c r="O115" s="2324">
        <f>ROUND((O110*O$32-O92*O$27)/(O$32-O$27),20)</f>
        <v>0</v>
      </c>
      <c r="P115" s="2324">
        <f t="shared" si="97"/>
        <v>0</v>
      </c>
      <c r="Q115" s="2324">
        <f t="shared" si="97"/>
        <v>0</v>
      </c>
      <c r="R115" s="2324">
        <f>ROUND((R110*R$32-R92*R$27)/(R$32-R$27),20)</f>
        <v>0</v>
      </c>
      <c r="S115" s="2324">
        <f>ROUND((S110*S$32-S92*S$27)/(S$32-S$27),20)</f>
        <v>0</v>
      </c>
      <c r="T115" s="2324">
        <f>ROUND((T110*T$32-T92*T$27)/(T$32-T$27),20)</f>
        <v>0</v>
      </c>
      <c r="U115" s="2324">
        <f t="shared" si="97"/>
        <v>0</v>
      </c>
      <c r="V115" s="2324">
        <f t="shared" si="97"/>
        <v>0</v>
      </c>
      <c r="W115" s="2324">
        <f t="shared" si="97"/>
        <v>0</v>
      </c>
      <c r="X115" s="2324">
        <f t="shared" si="97"/>
        <v>0</v>
      </c>
      <c r="Y115" s="2324">
        <f t="shared" si="97"/>
        <v>0</v>
      </c>
      <c r="Z115" s="2324">
        <f t="shared" si="97"/>
        <v>0</v>
      </c>
      <c r="AA115" s="2324">
        <f t="shared" si="97"/>
        <v>0</v>
      </c>
      <c r="AB115" s="2324">
        <f t="shared" si="97"/>
        <v>1.93253009132408E-6</v>
      </c>
      <c r="AC115" s="2324">
        <f t="shared" si="97"/>
        <v>3.0139939206035299E-5</v>
      </c>
      <c r="AD115" s="2324">
        <f t="shared" si="97"/>
        <v>7.4024875044195206E-5</v>
      </c>
      <c r="AE115" s="2324">
        <f t="shared" si="97"/>
        <v>1.5126755630966401E-4</v>
      </c>
      <c r="AF115" s="2324">
        <f t="shared" si="97"/>
        <v>2.2730444861993499E-4</v>
      </c>
      <c r="AG115" s="2324">
        <f t="shared" si="97"/>
        <v>0</v>
      </c>
      <c r="AH115" s="2324">
        <f t="shared" si="97"/>
        <v>0</v>
      </c>
      <c r="AI115" s="2324">
        <f t="shared" si="97"/>
        <v>0</v>
      </c>
      <c r="AJ115" s="2324">
        <f t="shared" si="97"/>
        <v>6.7124361205281001E-7</v>
      </c>
      <c r="AK115" s="2324">
        <f t="shared" si="97"/>
        <v>1.4531759003993499E-5</v>
      </c>
      <c r="AL115" s="2324">
        <f t="shared" si="97"/>
        <v>6.0888359214098602E-5</v>
      </c>
      <c r="AM115" s="2324">
        <f t="shared" ref="AM115:BI115" si="98">ROUND((AM110*AM$32-AM92*AM$27)/(AM$32-AM$27),20)</f>
        <v>1.54325525683205E-4</v>
      </c>
      <c r="AN115" s="2324">
        <f t="shared" si="98"/>
        <v>1.21606236120739E-4</v>
      </c>
      <c r="AO115" s="2324">
        <f t="shared" si="98"/>
        <v>1.830613949746E-4</v>
      </c>
      <c r="AP115" s="2324">
        <f t="shared" si="98"/>
        <v>1.5038532395804101E-4</v>
      </c>
      <c r="AQ115" s="2324">
        <f t="shared" si="98"/>
        <v>1.9461290994546101E-4</v>
      </c>
      <c r="AR115" s="2324">
        <f t="shared" si="98"/>
        <v>2.58559362278968E-4</v>
      </c>
      <c r="AS115" s="2324">
        <f t="shared" si="98"/>
        <v>2.4861088337786898E-4</v>
      </c>
      <c r="AT115" s="2324">
        <f t="shared" si="98"/>
        <v>2.7860316583956901E-4</v>
      </c>
      <c r="AU115" s="2324">
        <f t="shared" si="98"/>
        <v>2.8251513606368799E-4</v>
      </c>
      <c r="AV115" s="2324">
        <f t="shared" si="98"/>
        <v>2.71171725134533E-4</v>
      </c>
      <c r="AW115" s="2324">
        <f t="shared" si="98"/>
        <v>2.8579248444086702E-4</v>
      </c>
      <c r="AX115" s="2324">
        <f t="shared" si="98"/>
        <v>1.8004940904437E-3</v>
      </c>
      <c r="AY115" s="2324">
        <f t="shared" si="98"/>
        <v>1.80065071868952E-3</v>
      </c>
      <c r="AZ115" s="2324">
        <f t="shared" si="98"/>
        <v>2.41379196988473E-3</v>
      </c>
      <c r="BA115" s="2324">
        <f t="shared" si="98"/>
        <v>3.2327342862197902E-3</v>
      </c>
      <c r="BB115" s="2324">
        <f t="shared" si="98"/>
        <v>5.1016413665805598E-4</v>
      </c>
      <c r="BC115" s="2324">
        <f t="shared" si="98"/>
        <v>455.78153109349802</v>
      </c>
      <c r="BD115" s="2324">
        <f t="shared" si="98"/>
        <v>3.2709804647788202E-3</v>
      </c>
      <c r="BE115" s="2324">
        <f t="shared" si="98"/>
        <v>2.2705181812791199E-4</v>
      </c>
      <c r="BF115" s="2324">
        <f t="shared" si="98"/>
        <v>2.2705181812791199E-4</v>
      </c>
      <c r="BG115" s="2324">
        <f t="shared" si="98"/>
        <v>0</v>
      </c>
      <c r="BH115" s="2324">
        <f t="shared" si="98"/>
        <v>1.90647260201796E-3</v>
      </c>
      <c r="BI115" s="2324">
        <f t="shared" si="98"/>
        <v>8.1197390316256005E-4</v>
      </c>
    </row>
    <row r="116" spans="1:61" s="2177" customFormat="1" ht="13.5" thickBot="1">
      <c r="A116" s="2169"/>
      <c r="B116" s="2170"/>
      <c r="C116" s="2170"/>
      <c r="D116" s="2327"/>
      <c r="E116" s="2229"/>
      <c r="F116" s="2229"/>
      <c r="G116" s="2230"/>
      <c r="H116" s="2170"/>
      <c r="I116" s="2170"/>
      <c r="J116" s="2170"/>
      <c r="K116" s="2170"/>
      <c r="L116" s="2170"/>
      <c r="M116" s="2170"/>
      <c r="N116" s="2231"/>
      <c r="O116" s="2231"/>
      <c r="P116" s="2170"/>
      <c r="Q116" s="2170"/>
      <c r="R116" s="2232"/>
      <c r="S116" s="2231"/>
      <c r="T116" s="2231"/>
      <c r="U116" s="2170"/>
      <c r="V116" s="2170"/>
      <c r="W116" s="2231"/>
      <c r="X116" s="2231"/>
      <c r="Y116" s="2231"/>
      <c r="Z116" s="2231"/>
      <c r="AA116" s="2231"/>
      <c r="AB116" s="2231"/>
      <c r="AC116" s="2231"/>
      <c r="AD116" s="2231"/>
      <c r="AE116" s="2231"/>
      <c r="AF116" s="2231"/>
      <c r="AG116" s="2231"/>
      <c r="AH116" s="2231"/>
      <c r="AI116" s="2231"/>
      <c r="AJ116" s="2231"/>
      <c r="AK116" s="2231"/>
      <c r="AL116" s="2231"/>
      <c r="AM116" s="2231"/>
      <c r="AN116" s="2231"/>
      <c r="AO116" s="2231"/>
      <c r="AP116" s="2231"/>
      <c r="AQ116" s="2231"/>
      <c r="AR116" s="2231"/>
      <c r="AS116" s="2231"/>
      <c r="AT116" s="2231"/>
      <c r="AU116" s="2231"/>
      <c r="AV116" s="2231"/>
      <c r="AW116" s="2231"/>
      <c r="AX116" s="2231"/>
      <c r="AY116" s="2231"/>
      <c r="AZ116" s="2231"/>
      <c r="BA116" s="2231"/>
      <c r="BB116" s="2231"/>
      <c r="BC116" s="2231"/>
      <c r="BD116" s="2231"/>
      <c r="BE116" s="2231"/>
      <c r="BF116" s="2231"/>
      <c r="BG116" s="2231"/>
      <c r="BH116" s="2231"/>
      <c r="BI116" s="2231"/>
    </row>
    <row r="117" spans="1:61" s="2148" customFormat="1" ht="15.75">
      <c r="A117" s="2186"/>
      <c r="B117" s="2187"/>
      <c r="C117" s="2188"/>
      <c r="D117" s="4042" t="str">
        <f>'Du K'!D87</f>
        <v>Ext. parking</v>
      </c>
      <c r="E117" s="2328" t="s">
        <v>1140</v>
      </c>
      <c r="F117" s="2329"/>
      <c r="G117" s="3681"/>
      <c r="H117" s="2329"/>
    </row>
    <row r="118" spans="1:61">
      <c r="A118" s="2149"/>
      <c r="B118" s="224"/>
      <c r="C118" s="2151"/>
      <c r="D118" s="4043"/>
      <c r="E118" s="2126"/>
      <c r="F118" s="2126"/>
      <c r="G118" s="3248"/>
      <c r="H118" s="2126"/>
      <c r="I118" s="2126"/>
      <c r="J118" s="2126"/>
      <c r="K118" s="2126"/>
      <c r="L118" s="2126"/>
      <c r="M118" s="2126"/>
      <c r="N118" s="2126"/>
      <c r="O118" s="2126"/>
      <c r="P118" s="2126"/>
      <c r="Q118" s="2126"/>
      <c r="R118" s="2126"/>
      <c r="S118" s="2126"/>
      <c r="T118" s="2126"/>
      <c r="U118" s="2126"/>
      <c r="V118" s="2126"/>
      <c r="W118" s="2126"/>
      <c r="X118" s="2126"/>
      <c r="Y118" s="2126"/>
      <c r="Z118" s="2126"/>
      <c r="AA118" s="2126"/>
      <c r="AB118" s="2126"/>
      <c r="AC118" s="2126"/>
      <c r="AD118" s="2126"/>
      <c r="AE118" s="2126"/>
      <c r="AF118" s="2126"/>
      <c r="AG118" s="2126"/>
      <c r="AH118" s="2126"/>
      <c r="AI118" s="2126"/>
      <c r="AJ118" s="2126"/>
      <c r="AK118" s="2126"/>
      <c r="AL118" s="2126"/>
      <c r="AM118" s="2126"/>
      <c r="AN118" s="2126"/>
      <c r="AO118" s="2126"/>
      <c r="AP118" s="2126"/>
      <c r="AQ118" s="2126"/>
      <c r="AR118" s="2126"/>
      <c r="AS118" s="2126"/>
      <c r="AT118" s="2126"/>
      <c r="AU118" s="2126"/>
      <c r="AV118" s="2126"/>
      <c r="AW118" s="2126"/>
      <c r="AX118" s="2126"/>
      <c r="AY118" s="2126"/>
      <c r="AZ118" s="2126"/>
      <c r="BA118" s="2126"/>
      <c r="BB118" s="2126"/>
      <c r="BC118" s="2126"/>
      <c r="BD118" s="2126"/>
      <c r="BE118" s="2126"/>
      <c r="BF118" s="2126"/>
      <c r="BG118" s="2126"/>
      <c r="BH118" s="2126"/>
      <c r="BI118" s="2126"/>
    </row>
    <row r="119" spans="1:61" s="2177" customFormat="1" ht="13.5" thickBot="1">
      <c r="A119" s="2318"/>
      <c r="B119" s="2319"/>
      <c r="C119" s="2320"/>
      <c r="D119" s="2332"/>
      <c r="E119" s="2229" t="str">
        <f>CONCATENATE('Du K'!E$109," à t=0")</f>
        <v>Résistance totale du sol à la diffusion  à t=0</v>
      </c>
      <c r="F119" s="2229" t="str">
        <f>CONCATENATE('Du K'!F$109,"tot")</f>
        <v>L/Dueqtot</v>
      </c>
      <c r="G119" s="2230" t="str">
        <f>'Du K'!G$109</f>
        <v>(mg/l)/(mg/m2/s)</v>
      </c>
      <c r="H119" s="2321">
        <f>'Du K'!H109</f>
        <v>1504.0539288002792</v>
      </c>
      <c r="I119" s="2321">
        <f>'Du K'!I109</f>
        <v>1504.0539288002792</v>
      </c>
      <c r="J119" s="2321">
        <f>'Du K'!J109</f>
        <v>1463.2667135157599</v>
      </c>
      <c r="K119" s="2321">
        <f>'Du K'!K109</f>
        <v>727.45432310697856</v>
      </c>
      <c r="L119" s="2321">
        <f>'Du K'!L109</f>
        <v>1047.6923675182029</v>
      </c>
      <c r="M119" s="2321">
        <f>'Du K'!M109</f>
        <v>1047.6923675182029</v>
      </c>
      <c r="N119" s="2321">
        <f>'Du K'!N109</f>
        <v>976.07795252328754</v>
      </c>
      <c r="O119" s="2321">
        <f>'Du K'!O109</f>
        <v>976.07795252328754</v>
      </c>
      <c r="P119" s="2321">
        <f>'Du K'!P109</f>
        <v>1070.9744201297185</v>
      </c>
      <c r="Q119" s="2321">
        <f>'Du K'!Q109</f>
        <v>1070.9744201297185</v>
      </c>
      <c r="R119" s="2322">
        <f>'Du K'!R109</f>
        <v>75.598194362097757</v>
      </c>
      <c r="S119" s="2321">
        <f>'Du K'!S109</f>
        <v>741.44382932057442</v>
      </c>
      <c r="T119" s="2321">
        <f>'Du K'!T109</f>
        <v>741.44382932057442</v>
      </c>
      <c r="U119" s="2321">
        <f>'Du K'!U109</f>
        <v>988.59177242743249</v>
      </c>
      <c r="V119" s="2321">
        <f>'Du K'!V109</f>
        <v>2707.3782404281328</v>
      </c>
      <c r="W119" s="2321">
        <f>'Du K'!W109</f>
        <v>2707.3782404281328</v>
      </c>
      <c r="X119" s="2321">
        <f>'Du K'!X109</f>
        <v>941.00532100889154</v>
      </c>
      <c r="Y119" s="2321">
        <f>'Du K'!Y109</f>
        <v>1047.5342252740493</v>
      </c>
      <c r="Z119" s="2321">
        <f>'Du K'!Z109</f>
        <v>1142.372714805033</v>
      </c>
      <c r="AA119" s="2321">
        <f>'Du K'!AA109</f>
        <v>1142.372714805033</v>
      </c>
      <c r="AB119" s="2321">
        <f>'Du K'!AB109</f>
        <v>2435.0576289265173</v>
      </c>
      <c r="AC119" s="2321">
        <f>'Du K'!AC109</f>
        <v>2637.9790980037278</v>
      </c>
      <c r="AD119" s="2321">
        <f>'Du K'!AD109</f>
        <v>3043.8220361581466</v>
      </c>
      <c r="AE119" s="2321">
        <f>'Du K'!AE109</f>
        <v>3855.507912466986</v>
      </c>
      <c r="AF119" s="2321">
        <f>'Du K'!AF109</f>
        <v>4870.1152578530346</v>
      </c>
      <c r="AG119" s="2321">
        <f>'Du K'!AG109</f>
        <v>1643.6638995253995</v>
      </c>
      <c r="AH119" s="2321">
        <f>'Du K'!AH109</f>
        <v>2029.214690772098</v>
      </c>
      <c r="AI119" s="2321">
        <f>'Du K'!AI109</f>
        <v>2637.9790980037278</v>
      </c>
      <c r="AJ119" s="2321">
        <f>'Du K'!AJ109</f>
        <v>3246.7435052353571</v>
      </c>
      <c r="AK119" s="2321">
        <f>'Du K'!AK109</f>
        <v>4058.4293815441961</v>
      </c>
      <c r="AL119" s="2321">
        <f>'Du K'!AL109</f>
        <v>5478.8796650846643</v>
      </c>
      <c r="AM119" s="2321">
        <f>'Du K'!AM109</f>
        <v>6493.4870104707143</v>
      </c>
      <c r="AN119" s="2321">
        <f>'Du K'!AN109</f>
        <v>2601.2503121007526</v>
      </c>
      <c r="AO119" s="2321">
        <f>'Du K'!AO109</f>
        <v>3088.4647593551335</v>
      </c>
      <c r="AP119" s="2321">
        <f>'Du K'!AP109</f>
        <v>3129.2519746396524</v>
      </c>
      <c r="AQ119" s="2321">
        <f>'Du K'!AQ109</f>
        <v>3372.554816063227</v>
      </c>
      <c r="AR119" s="2321">
        <f>'Du K'!AR109</f>
        <v>3616.0605789558786</v>
      </c>
      <c r="AS119" s="2321">
        <f>'Du K'!AS109</f>
        <v>3616.0605789558786</v>
      </c>
      <c r="AT119" s="2321">
        <f>'Du K'!AT109</f>
        <v>4105.1013194319548</v>
      </c>
      <c r="AU119" s="2321">
        <f>'Du K'!AU109</f>
        <v>4105.1013194319548</v>
      </c>
      <c r="AV119" s="2321">
        <f>'Du K'!AV109</f>
        <v>4632.6971390326999</v>
      </c>
      <c r="AW119" s="2321">
        <f>'Du K'!AW109</f>
        <v>4632.6971390326999</v>
      </c>
      <c r="AX119" s="2321">
        <f>'Du K'!AX109</f>
        <v>5120.1145077561578</v>
      </c>
      <c r="AY119" s="2321">
        <f>'Du K'!AY109</f>
        <v>5120.1145077561578</v>
      </c>
      <c r="AZ119" s="2321">
        <f>'Du K'!AZ109</f>
        <v>5119.7086648180029</v>
      </c>
      <c r="BA119" s="2321">
        <f>'Du K'!BA109</f>
        <v>5649.3336991095202</v>
      </c>
      <c r="BB119" s="2321">
        <f>'Du K'!BB109</f>
        <v>5445.6005441560028</v>
      </c>
      <c r="BC119" s="2321">
        <f>'Du K'!BC109</f>
        <v>5606.720190603306</v>
      </c>
      <c r="BD119" s="2321">
        <f>'Du K'!BD109</f>
        <v>940.36778352853321</v>
      </c>
      <c r="BE119" s="2321">
        <f>'Du K'!BE109</f>
        <v>5225.2278287381523</v>
      </c>
      <c r="BF119" s="2321">
        <f>'Du K'!BF109</f>
        <v>5225.2278287381523</v>
      </c>
      <c r="BG119" s="2321">
        <f>'Du K'!BG109</f>
        <v>2511.7315390664407</v>
      </c>
      <c r="BH119" s="2321">
        <f>'Du K'!BH109</f>
        <v>1427.9658935062912</v>
      </c>
      <c r="BI119" s="2321">
        <f>'Du K'!BI109</f>
        <v>458.98903719845077</v>
      </c>
    </row>
    <row r="120" spans="1:61" ht="13.15" customHeight="1">
      <c r="A120" s="2149"/>
      <c r="B120" s="224"/>
      <c r="C120" s="2151"/>
      <c r="D120" s="2330"/>
      <c r="E120" s="3655"/>
      <c r="H120" s="2161"/>
      <c r="I120" s="2161"/>
      <c r="J120" s="2161"/>
      <c r="K120" s="2161"/>
      <c r="L120" s="2161"/>
      <c r="M120" s="2161"/>
      <c r="N120" s="2161"/>
      <c r="O120" s="2161"/>
      <c r="P120" s="2161"/>
      <c r="Q120" s="2161"/>
      <c r="R120" s="2155"/>
      <c r="S120" s="2161"/>
      <c r="T120" s="2161"/>
      <c r="U120" s="2161"/>
      <c r="V120" s="2161"/>
      <c r="W120" s="2161"/>
      <c r="X120" s="2161"/>
      <c r="Y120" s="2161"/>
      <c r="Z120" s="2161"/>
      <c r="AA120" s="2161"/>
      <c r="AB120" s="2161"/>
      <c r="AC120" s="2161"/>
      <c r="AD120" s="2161"/>
      <c r="AE120" s="2161"/>
      <c r="AF120" s="2161"/>
      <c r="AG120" s="2161"/>
      <c r="AH120" s="2161"/>
      <c r="AI120" s="2161"/>
      <c r="AJ120" s="2161"/>
      <c r="AK120" s="2161"/>
      <c r="AL120" s="2161"/>
      <c r="AM120" s="2161"/>
      <c r="AN120" s="2161"/>
      <c r="AO120" s="2161"/>
      <c r="AP120" s="2161"/>
      <c r="AQ120" s="2161"/>
      <c r="AR120" s="2161"/>
      <c r="AS120" s="2161"/>
      <c r="AT120" s="2161"/>
      <c r="AU120" s="2161"/>
      <c r="AV120" s="2161"/>
      <c r="AW120" s="2161"/>
      <c r="AX120" s="2161"/>
      <c r="AY120" s="2161"/>
      <c r="AZ120" s="2161"/>
      <c r="BA120" s="2161"/>
      <c r="BB120" s="2161"/>
      <c r="BC120" s="2161"/>
      <c r="BD120" s="2161"/>
      <c r="BE120" s="2161"/>
      <c r="BF120" s="2161"/>
      <c r="BG120" s="2161"/>
      <c r="BH120" s="2161"/>
      <c r="BI120" s="2161"/>
    </row>
    <row r="121" spans="1:61" ht="13.15" customHeight="1">
      <c r="A121" s="2149"/>
      <c r="B121" s="224"/>
      <c r="C121" s="2151"/>
      <c r="D121" s="2331" t="s">
        <v>1018</v>
      </c>
      <c r="E121" s="3662" t="s">
        <v>576</v>
      </c>
      <c r="H121" s="2161"/>
      <c r="I121" s="2161"/>
      <c r="J121" s="2161"/>
      <c r="K121" s="2161"/>
      <c r="L121" s="2161"/>
      <c r="M121" s="2161"/>
      <c r="N121" s="2161"/>
      <c r="O121" s="2161"/>
      <c r="P121" s="2161"/>
      <c r="Q121" s="2161"/>
      <c r="R121" s="2155"/>
      <c r="S121" s="2161"/>
      <c r="T121" s="2161"/>
      <c r="U121" s="2161"/>
      <c r="V121" s="2161"/>
      <c r="W121" s="2161"/>
      <c r="X121" s="2161"/>
      <c r="Y121" s="2161"/>
      <c r="Z121" s="2161"/>
      <c r="AA121" s="2161"/>
      <c r="AB121" s="2161"/>
      <c r="AC121" s="2161"/>
      <c r="AD121" s="2161"/>
      <c r="AE121" s="2161"/>
      <c r="AF121" s="2161"/>
      <c r="AG121" s="2161"/>
      <c r="AH121" s="2161"/>
      <c r="AI121" s="2161"/>
      <c r="AJ121" s="2161"/>
      <c r="AK121" s="2161"/>
      <c r="AL121" s="2161"/>
      <c r="AM121" s="2161"/>
      <c r="AN121" s="2161"/>
      <c r="AO121" s="2161"/>
      <c r="AP121" s="2161"/>
      <c r="AQ121" s="2161"/>
      <c r="AR121" s="2161"/>
      <c r="AS121" s="2161"/>
      <c r="AT121" s="2161"/>
      <c r="AU121" s="2161"/>
      <c r="AV121" s="2161"/>
      <c r="AW121" s="2161"/>
      <c r="AX121" s="2161"/>
      <c r="AY121" s="2161"/>
      <c r="AZ121" s="2161"/>
      <c r="BA121" s="2161"/>
      <c r="BB121" s="2161"/>
      <c r="BC121" s="2161"/>
      <c r="BD121" s="2161"/>
      <c r="BE121" s="2161"/>
      <c r="BF121" s="2161"/>
      <c r="BG121" s="2161"/>
      <c r="BH121" s="2161"/>
      <c r="BI121" s="2161"/>
    </row>
    <row r="122" spans="1:61" ht="13.15" customHeight="1">
      <c r="A122" s="2149"/>
      <c r="B122" s="224"/>
      <c r="C122" s="2151"/>
      <c r="D122" s="4041">
        <f>D216</f>
        <v>0</v>
      </c>
      <c r="E122" s="3655"/>
      <c r="H122" s="2161"/>
      <c r="I122" s="2161"/>
      <c r="J122" s="2161"/>
      <c r="K122" s="2161"/>
      <c r="L122" s="2161"/>
      <c r="M122" s="2161"/>
      <c r="N122" s="2161"/>
      <c r="O122" s="2161"/>
      <c r="P122" s="2161"/>
      <c r="Q122" s="2161"/>
      <c r="R122" s="2155"/>
      <c r="S122" s="2161"/>
      <c r="T122" s="2161"/>
      <c r="U122" s="2161"/>
      <c r="V122" s="2161"/>
      <c r="W122" s="2161"/>
      <c r="X122" s="2161"/>
      <c r="Y122" s="2161"/>
      <c r="Z122" s="2161"/>
      <c r="AA122" s="2161"/>
      <c r="AB122" s="2161"/>
      <c r="AC122" s="2161"/>
      <c r="AD122" s="2161"/>
      <c r="AE122" s="2161"/>
      <c r="AF122" s="2161"/>
      <c r="AG122" s="2161"/>
      <c r="AH122" s="2161"/>
      <c r="AI122" s="2161"/>
      <c r="AJ122" s="2161"/>
      <c r="AK122" s="2161"/>
      <c r="AL122" s="2161"/>
      <c r="AM122" s="2161"/>
      <c r="AN122" s="2161"/>
      <c r="AO122" s="2161"/>
      <c r="AP122" s="2161"/>
      <c r="AQ122" s="2161"/>
      <c r="AR122" s="2161"/>
      <c r="AS122" s="2161"/>
      <c r="AT122" s="2161"/>
      <c r="AU122" s="2161"/>
      <c r="AV122" s="2161"/>
      <c r="AW122" s="2161"/>
      <c r="AX122" s="2161"/>
      <c r="AY122" s="2161"/>
      <c r="AZ122" s="2161"/>
      <c r="BA122" s="2161"/>
      <c r="BB122" s="2161"/>
      <c r="BC122" s="2161"/>
      <c r="BD122" s="2161"/>
      <c r="BE122" s="2161"/>
      <c r="BF122" s="2161"/>
      <c r="BG122" s="2161"/>
      <c r="BH122" s="2161"/>
      <c r="BI122" s="2161"/>
    </row>
    <row r="123" spans="1:61" ht="25.5">
      <c r="A123" s="2149"/>
      <c r="B123" s="2150"/>
      <c r="C123" s="2151"/>
      <c r="D123" s="4041"/>
      <c r="E123" s="3655" t="s">
        <v>570</v>
      </c>
      <c r="F123" s="2196" t="s">
        <v>138</v>
      </c>
      <c r="G123" s="2197" t="s">
        <v>139</v>
      </c>
      <c r="H123" s="2198">
        <f t="shared" ref="H123:AM123" si="99">1/H119</f>
        <v>6.6486977684214964E-4</v>
      </c>
      <c r="I123" s="2198">
        <f t="shared" si="99"/>
        <v>6.6486977684214964E-4</v>
      </c>
      <c r="J123" s="2198">
        <f t="shared" si="99"/>
        <v>6.834024110323136E-4</v>
      </c>
      <c r="K123" s="2198">
        <f t="shared" si="99"/>
        <v>1.374656756081909E-3</v>
      </c>
      <c r="L123" s="2198">
        <f t="shared" si="99"/>
        <v>9.5447865327951407E-4</v>
      </c>
      <c r="M123" s="2198">
        <f t="shared" si="99"/>
        <v>9.5447865327951407E-4</v>
      </c>
      <c r="N123" s="2198">
        <f t="shared" si="99"/>
        <v>1.0245083370799134E-3</v>
      </c>
      <c r="O123" s="2198">
        <f t="shared" si="99"/>
        <v>1.0245083370799134E-3</v>
      </c>
      <c r="P123" s="2198">
        <f t="shared" si="99"/>
        <v>9.3372911733865507E-4</v>
      </c>
      <c r="Q123" s="2198">
        <f t="shared" si="99"/>
        <v>9.3372911733865507E-4</v>
      </c>
      <c r="R123" s="2198">
        <f t="shared" si="99"/>
        <v>1.3227829162297616E-2</v>
      </c>
      <c r="S123" s="2198">
        <f t="shared" si="99"/>
        <v>1.3487198361558351E-3</v>
      </c>
      <c r="T123" s="2198">
        <f t="shared" si="99"/>
        <v>1.3487198361558351E-3</v>
      </c>
      <c r="U123" s="2198">
        <f t="shared" si="99"/>
        <v>1.0115398771168762E-3</v>
      </c>
      <c r="V123" s="2198">
        <f t="shared" si="99"/>
        <v>3.6936102428076855E-4</v>
      </c>
      <c r="W123" s="2198">
        <f t="shared" si="99"/>
        <v>3.6936102428076855E-4</v>
      </c>
      <c r="X123" s="2198">
        <f t="shared" si="99"/>
        <v>1.0626932469710775E-3</v>
      </c>
      <c r="Y123" s="2198">
        <f t="shared" si="99"/>
        <v>9.5462274727910331E-4</v>
      </c>
      <c r="Z123" s="2198">
        <f t="shared" si="99"/>
        <v>8.7537104750498921E-4</v>
      </c>
      <c r="AA123" s="2198">
        <f t="shared" si="99"/>
        <v>8.7537104750498921E-4</v>
      </c>
      <c r="AB123" s="2198">
        <f t="shared" si="99"/>
        <v>4.1066789882950115E-4</v>
      </c>
      <c r="AC123" s="2198">
        <f t="shared" si="99"/>
        <v>3.79078060458001E-4</v>
      </c>
      <c r="AD123" s="2198">
        <f t="shared" si="99"/>
        <v>3.2853431906360096E-4</v>
      </c>
      <c r="AE123" s="2198">
        <f t="shared" si="99"/>
        <v>2.5936919926073754E-4</v>
      </c>
      <c r="AF123" s="2198">
        <f t="shared" si="99"/>
        <v>2.0533394941475057E-4</v>
      </c>
      <c r="AG123" s="2198">
        <f t="shared" si="99"/>
        <v>6.0839688715481639E-4</v>
      </c>
      <c r="AH123" s="2198">
        <f t="shared" si="99"/>
        <v>4.9280147859540133E-4</v>
      </c>
      <c r="AI123" s="2198">
        <f t="shared" si="99"/>
        <v>3.79078060458001E-4</v>
      </c>
      <c r="AJ123" s="2198">
        <f t="shared" si="99"/>
        <v>3.0800092412212578E-4</v>
      </c>
      <c r="AK123" s="2198">
        <f t="shared" si="99"/>
        <v>2.4640073929770067E-4</v>
      </c>
      <c r="AL123" s="2198">
        <f t="shared" si="99"/>
        <v>1.8251906614644495E-4</v>
      </c>
      <c r="AM123" s="2198">
        <f t="shared" si="99"/>
        <v>1.5400046206106289E-4</v>
      </c>
      <c r="AN123" s="2198">
        <f t="shared" ref="AN123:BI123" si="100">1/AN119</f>
        <v>3.8443051610531344E-4</v>
      </c>
      <c r="AO123" s="2198">
        <f t="shared" si="100"/>
        <v>3.2378546556859479E-4</v>
      </c>
      <c r="AP123" s="2198">
        <f t="shared" si="100"/>
        <v>3.1956518941404663E-4</v>
      </c>
      <c r="AQ123" s="2198">
        <f t="shared" si="100"/>
        <v>2.9651111828844843E-4</v>
      </c>
      <c r="AR123" s="2198">
        <f t="shared" si="100"/>
        <v>2.7654403961582569E-4</v>
      </c>
      <c r="AS123" s="2198">
        <f t="shared" si="100"/>
        <v>2.7654403961582569E-4</v>
      </c>
      <c r="AT123" s="2198">
        <f t="shared" si="100"/>
        <v>2.4359934680939262E-4</v>
      </c>
      <c r="AU123" s="2198">
        <f t="shared" si="100"/>
        <v>2.4359934680939262E-4</v>
      </c>
      <c r="AV123" s="2198">
        <f t="shared" si="100"/>
        <v>2.1585697704572989E-4</v>
      </c>
      <c r="AW123" s="2198">
        <f t="shared" si="100"/>
        <v>2.1585697704572989E-4</v>
      </c>
      <c r="AX123" s="2198">
        <f t="shared" si="100"/>
        <v>1.9530813197344695E-4</v>
      </c>
      <c r="AY123" s="2198">
        <f t="shared" si="100"/>
        <v>1.9530813197344695E-4</v>
      </c>
      <c r="AZ123" s="2198">
        <f t="shared" si="100"/>
        <v>1.953236141876343E-4</v>
      </c>
      <c r="BA123" s="2198">
        <f t="shared" si="100"/>
        <v>1.7701202535754361E-4</v>
      </c>
      <c r="BB123" s="2198">
        <f t="shared" si="100"/>
        <v>1.836344755535107E-4</v>
      </c>
      <c r="BC123" s="2198">
        <f t="shared" si="100"/>
        <v>1.7835739362844784E-4</v>
      </c>
      <c r="BD123" s="2198">
        <f t="shared" si="100"/>
        <v>1.0634137169690239E-3</v>
      </c>
      <c r="BE123" s="2198">
        <f t="shared" si="100"/>
        <v>1.9137921498850536E-4</v>
      </c>
      <c r="BF123" s="2198">
        <f t="shared" si="100"/>
        <v>1.9137921498850536E-4</v>
      </c>
      <c r="BG123" s="2198">
        <f t="shared" si="100"/>
        <v>3.9813172086523212E-4</v>
      </c>
      <c r="BH123" s="2198">
        <f t="shared" si="100"/>
        <v>7.0029683800399139E-4</v>
      </c>
      <c r="BI123" s="2198">
        <f t="shared" si="100"/>
        <v>2.1787012737901953E-3</v>
      </c>
    </row>
    <row r="124" spans="1:61">
      <c r="A124" s="2157"/>
      <c r="B124" s="2158"/>
      <c r="C124" s="2158"/>
      <c r="D124" s="4044" t="str">
        <f>CONCATENATE('Du K'!E87, ": ",'Du K'!L88," m")</f>
        <v>Bitume parking: 0,04 m</v>
      </c>
      <c r="E124" s="3655"/>
    </row>
    <row r="125" spans="1:61">
      <c r="A125" s="2157"/>
      <c r="B125" s="2158"/>
      <c r="C125" s="2158"/>
      <c r="D125" s="4044"/>
      <c r="E125" s="3662" t="s">
        <v>500</v>
      </c>
    </row>
    <row r="126" spans="1:61">
      <c r="A126" s="2157"/>
      <c r="B126" s="2158"/>
      <c r="C126" s="2158"/>
      <c r="D126" s="4044"/>
      <c r="E126" s="3655"/>
    </row>
    <row r="127" spans="1:61">
      <c r="A127" s="2157"/>
      <c r="B127" s="2158"/>
      <c r="C127" s="2158"/>
      <c r="D127" s="4044"/>
      <c r="E127" s="3659" t="str">
        <f>E16</f>
        <v>Période chronique</v>
      </c>
    </row>
    <row r="128" spans="1:61" s="2204" customFormat="1" ht="25.5">
      <c r="A128" s="2199"/>
      <c r="B128" s="2200"/>
      <c r="C128" s="2200"/>
      <c r="D128" s="4044"/>
      <c r="E128" s="3656" t="s">
        <v>608</v>
      </c>
      <c r="F128" s="2201" t="s">
        <v>581</v>
      </c>
      <c r="G128" s="2202" t="s">
        <v>73</v>
      </c>
      <c r="H128" s="2203">
        <f>H123/(1000*H$14/H$13/H$18)</f>
        <v>0.25777855761158824</v>
      </c>
      <c r="I128" s="2203">
        <f t="shared" ref="I128:BI128" si="101">I123/(1000*I$14/I$13/I$18)</f>
        <v>0.25777855761158824</v>
      </c>
      <c r="J128" s="2203">
        <f>J123/(1000*J$14/J$13/J$18)</f>
        <v>1.7394103619739969</v>
      </c>
      <c r="K128" s="2203">
        <f t="shared" si="101"/>
        <v>111.36378652403189</v>
      </c>
      <c r="L128" s="2203">
        <f t="shared" si="101"/>
        <v>14.457017347104129</v>
      </c>
      <c r="M128" s="2203">
        <f t="shared" si="101"/>
        <v>14.457017347104129</v>
      </c>
      <c r="N128" s="2203">
        <f>N123/(1000*N$14/N$13/N$18)</f>
        <v>30.605794695660702</v>
      </c>
      <c r="O128" s="2203">
        <f>O123/(1000*O$14/O$13/O$18)</f>
        <v>30.605794695660702</v>
      </c>
      <c r="P128" s="2203">
        <f t="shared" si="101"/>
        <v>30.452904431781086</v>
      </c>
      <c r="Q128" s="2203">
        <f t="shared" si="101"/>
        <v>30.452904431781086</v>
      </c>
      <c r="R128" s="2203">
        <f>R123/(1000*R$14/R$13/R$18)</f>
        <v>173.4174534202738</v>
      </c>
      <c r="S128" s="2203">
        <f>S123/(1000*S$14/S$13/S$18)</f>
        <v>16.588617470210124</v>
      </c>
      <c r="T128" s="2203">
        <f>T123/(1000*T$14/T$13/T$18)</f>
        <v>16.588617470210124</v>
      </c>
      <c r="U128" s="2203">
        <f t="shared" si="101"/>
        <v>58.573864602731952</v>
      </c>
      <c r="V128" s="2203">
        <f t="shared" si="101"/>
        <v>35.008054761187992</v>
      </c>
      <c r="W128" s="2203">
        <f t="shared" si="101"/>
        <v>35.008054761187992</v>
      </c>
      <c r="X128" s="2203">
        <f t="shared" si="101"/>
        <v>19.32268093561532</v>
      </c>
      <c r="Y128" s="2203">
        <f t="shared" si="101"/>
        <v>12.029882906745978</v>
      </c>
      <c r="Z128" s="2203">
        <f t="shared" si="101"/>
        <v>6.5328509953819234</v>
      </c>
      <c r="AA128" s="2203">
        <f t="shared" si="101"/>
        <v>30.678384460918227</v>
      </c>
      <c r="AB128" s="2203">
        <f t="shared" si="101"/>
        <v>2.3253291623793624</v>
      </c>
      <c r="AC128" s="2203">
        <f t="shared" si="101"/>
        <v>0.41884788586778343</v>
      </c>
      <c r="AD128" s="2203">
        <f t="shared" si="101"/>
        <v>7.1051483477378552E-2</v>
      </c>
      <c r="AE128" s="2203">
        <f t="shared" si="101"/>
        <v>6.994400423777909E-3</v>
      </c>
      <c r="AF128" s="2203">
        <f t="shared" si="101"/>
        <v>2.2950432989384465E-5</v>
      </c>
      <c r="AG128" s="2203">
        <f t="shared" si="101"/>
        <v>79.228173137657819</v>
      </c>
      <c r="AH128" s="2203">
        <f t="shared" si="101"/>
        <v>48.050224360675479</v>
      </c>
      <c r="AI128" s="2203">
        <f t="shared" si="101"/>
        <v>15.029166464795102</v>
      </c>
      <c r="AJ128" s="2203">
        <f t="shared" si="101"/>
        <v>2.9067919580300172</v>
      </c>
      <c r="AK128" s="2203">
        <f t="shared" si="101"/>
        <v>0.53013017883653568</v>
      </c>
      <c r="AL128" s="2203">
        <f t="shared" si="101"/>
        <v>2.9769402006445365E-2</v>
      </c>
      <c r="AM128" s="2203">
        <f t="shared" si="101"/>
        <v>1.7387384645577505E-4</v>
      </c>
      <c r="AN128" s="2203">
        <f t="shared" si="101"/>
        <v>0.24183392425434819</v>
      </c>
      <c r="AO128" s="2203">
        <f t="shared" si="101"/>
        <v>7.9470855556724763E-3</v>
      </c>
      <c r="AP128" s="2203">
        <f t="shared" si="101"/>
        <v>1.3121790653894492E-2</v>
      </c>
      <c r="AQ128" s="2203">
        <f t="shared" si="101"/>
        <v>4.9298885601880317E-3</v>
      </c>
      <c r="AR128" s="2203">
        <f t="shared" si="101"/>
        <v>9.2057940530629648E-4</v>
      </c>
      <c r="AS128" s="2203">
        <f t="shared" si="101"/>
        <v>1.1890386059621285E-3</v>
      </c>
      <c r="AT128" s="2203">
        <f t="shared" si="101"/>
        <v>7.6454648140606788E-5</v>
      </c>
      <c r="AU128" s="2203">
        <f t="shared" si="101"/>
        <v>7.3550240566093005E-5</v>
      </c>
      <c r="AV128" s="2203">
        <f t="shared" si="101"/>
        <v>1.0397517430645513E-5</v>
      </c>
      <c r="AW128" s="2203">
        <f t="shared" si="101"/>
        <v>1.0018867149479375E-5</v>
      </c>
      <c r="AX128" s="2203">
        <f t="shared" si="101"/>
        <v>3.1907515815720411E-7</v>
      </c>
      <c r="AY128" s="2203">
        <f t="shared" si="101"/>
        <v>2.1898003495611593E-7</v>
      </c>
      <c r="AZ128" s="2203">
        <f t="shared" si="101"/>
        <v>1.4624259244788301E-7</v>
      </c>
      <c r="BA128" s="2203">
        <f t="shared" si="101"/>
        <v>2.2889690486429143E-8</v>
      </c>
      <c r="BB128" s="2203">
        <f t="shared" si="101"/>
        <v>3.7598078294308658E-7</v>
      </c>
      <c r="BC128" s="2203">
        <f t="shared" si="101"/>
        <v>9.7009540447559517E-14</v>
      </c>
      <c r="BD128" s="2203">
        <f t="shared" si="101"/>
        <v>2.0914533741155082E-3</v>
      </c>
      <c r="BE128" s="2203">
        <f t="shared" si="101"/>
        <v>8.3539781538749577E-6</v>
      </c>
      <c r="BF128" s="2203">
        <f t="shared" si="101"/>
        <v>8.3539781538749577E-6</v>
      </c>
      <c r="BG128" s="2203">
        <f t="shared" si="101"/>
        <v>31.559768077529402</v>
      </c>
      <c r="BH128" s="2203">
        <f t="shared" si="101"/>
        <v>1.8315157706756686E-3</v>
      </c>
      <c r="BI128" s="2203">
        <f t="shared" si="101"/>
        <v>0.30861558633094477</v>
      </c>
    </row>
    <row r="129" spans="1:61" s="2338" customFormat="1" ht="25.5">
      <c r="A129" s="2337"/>
      <c r="D129" s="3617" t="str">
        <f>CONCATENATE('Du K'!E91, ": ",'Du K'!L92," m")</f>
        <v>Gravier (sec) : 0,4 m</v>
      </c>
      <c r="E129" s="3656" t="s">
        <v>575</v>
      </c>
      <c r="F129" s="2303" t="s">
        <v>138</v>
      </c>
      <c r="G129" s="2339" t="s">
        <v>139</v>
      </c>
      <c r="H129" s="2338">
        <f t="shared" ref="H129:AM129" si="102">MIN(H19,H$123)</f>
        <v>6.6486977684214964E-4</v>
      </c>
      <c r="I129" s="2338">
        <f t="shared" si="102"/>
        <v>6.6486977684214964E-4</v>
      </c>
      <c r="J129" s="2338">
        <f t="shared" si="102"/>
        <v>6.834024110323136E-4</v>
      </c>
      <c r="K129" s="2338">
        <f t="shared" si="102"/>
        <v>3.7031519823149957E-5</v>
      </c>
      <c r="L129" s="2338">
        <f t="shared" si="102"/>
        <v>1.9806547167297369E-4</v>
      </c>
      <c r="M129" s="2338">
        <f t="shared" si="102"/>
        <v>1.9806547167297369E-4</v>
      </c>
      <c r="N129" s="2338">
        <f t="shared" si="102"/>
        <v>1.0042297681868412E-4</v>
      </c>
      <c r="O129" s="2338">
        <f t="shared" si="102"/>
        <v>1.0042297681868412E-4</v>
      </c>
      <c r="P129" s="2338">
        <f t="shared" si="102"/>
        <v>9.1984242694848056E-5</v>
      </c>
      <c r="Q129" s="2338">
        <f t="shared" si="102"/>
        <v>9.1984242694848056E-5</v>
      </c>
      <c r="R129" s="2338">
        <f t="shared" si="102"/>
        <v>2.2883214292577979E-4</v>
      </c>
      <c r="S129" s="2338">
        <f t="shared" si="102"/>
        <v>2.4391179769704181E-4</v>
      </c>
      <c r="T129" s="2338">
        <f t="shared" si="102"/>
        <v>2.4391179769704181E-4</v>
      </c>
      <c r="U129" s="2338">
        <f t="shared" si="102"/>
        <v>5.1808424319147455E-5</v>
      </c>
      <c r="V129" s="2338">
        <f t="shared" si="102"/>
        <v>3.1652232047774111E-5</v>
      </c>
      <c r="W129" s="2338">
        <f t="shared" si="102"/>
        <v>3.1652232047774111E-5</v>
      </c>
      <c r="X129" s="2338">
        <f t="shared" si="102"/>
        <v>1.6499158432187349E-4</v>
      </c>
      <c r="Y129" s="2338">
        <f t="shared" si="102"/>
        <v>2.3806285265098821E-4</v>
      </c>
      <c r="Z129" s="2338">
        <f t="shared" si="102"/>
        <v>4.0198577074103924E-4</v>
      </c>
      <c r="AA129" s="2338">
        <f t="shared" si="102"/>
        <v>8.5601415741445673E-5</v>
      </c>
      <c r="AB129" s="2338">
        <f t="shared" si="102"/>
        <v>4.1066789882950115E-4</v>
      </c>
      <c r="AC129" s="2338">
        <f t="shared" si="102"/>
        <v>3.79078060458001E-4</v>
      </c>
      <c r="AD129" s="2338">
        <f t="shared" si="102"/>
        <v>3.2853431906360096E-4</v>
      </c>
      <c r="AE129" s="2338">
        <f t="shared" si="102"/>
        <v>2.5936919926073754E-4</v>
      </c>
      <c r="AF129" s="2338">
        <f t="shared" si="102"/>
        <v>2.0533394941475057E-4</v>
      </c>
      <c r="AG129" s="2338">
        <f t="shared" si="102"/>
        <v>2.3037141829500553E-5</v>
      </c>
      <c r="AH129" s="2338">
        <f t="shared" si="102"/>
        <v>3.0767898703010778E-5</v>
      </c>
      <c r="AI129" s="2338">
        <f t="shared" si="102"/>
        <v>7.5668479954487443E-5</v>
      </c>
      <c r="AJ129" s="2338">
        <f t="shared" si="102"/>
        <v>3.0800092412212578E-4</v>
      </c>
      <c r="AK129" s="2338">
        <f t="shared" si="102"/>
        <v>2.4640073929770067E-4</v>
      </c>
      <c r="AL129" s="2338">
        <f t="shared" si="102"/>
        <v>1.8251906614644495E-4</v>
      </c>
      <c r="AM129" s="2338">
        <f t="shared" si="102"/>
        <v>1.5400046206106289E-4</v>
      </c>
      <c r="AN129" s="2338">
        <f t="shared" ref="AN129:BI129" si="103">MIN(AN19,AN$123)</f>
        <v>3.8443051610531344E-4</v>
      </c>
      <c r="AO129" s="2338">
        <f t="shared" si="103"/>
        <v>3.2378546556859479E-4</v>
      </c>
      <c r="AP129" s="2338">
        <f t="shared" si="103"/>
        <v>3.1956518941404663E-4</v>
      </c>
      <c r="AQ129" s="2338">
        <f t="shared" si="103"/>
        <v>2.9651111828844843E-4</v>
      </c>
      <c r="AR129" s="2338">
        <f t="shared" si="103"/>
        <v>2.7654403961582569E-4</v>
      </c>
      <c r="AS129" s="2338">
        <f t="shared" si="103"/>
        <v>2.7654403961582569E-4</v>
      </c>
      <c r="AT129" s="2338">
        <f t="shared" si="103"/>
        <v>2.4359934680939262E-4</v>
      </c>
      <c r="AU129" s="2338">
        <f t="shared" si="103"/>
        <v>2.4359934680939262E-4</v>
      </c>
      <c r="AV129" s="2338">
        <f t="shared" si="103"/>
        <v>2.1585697704572989E-4</v>
      </c>
      <c r="AW129" s="2338">
        <f t="shared" si="103"/>
        <v>2.1585697704572989E-4</v>
      </c>
      <c r="AX129" s="2338">
        <f t="shared" si="103"/>
        <v>1.9530813197344695E-4</v>
      </c>
      <c r="AY129" s="2338">
        <f t="shared" si="103"/>
        <v>1.9530813197344695E-4</v>
      </c>
      <c r="AZ129" s="2338">
        <f t="shared" si="103"/>
        <v>1.953236141876343E-4</v>
      </c>
      <c r="BA129" s="2338">
        <f t="shared" si="103"/>
        <v>1.7701202535754361E-4</v>
      </c>
      <c r="BB129" s="2338">
        <f t="shared" si="103"/>
        <v>1.836344755535107E-4</v>
      </c>
      <c r="BC129" s="2338">
        <f t="shared" si="103"/>
        <v>1.7835739362844784E-4</v>
      </c>
      <c r="BD129" s="2338">
        <f t="shared" si="103"/>
        <v>1.0634137169690239E-3</v>
      </c>
      <c r="BE129" s="2338">
        <f t="shared" si="103"/>
        <v>1.9137921498850536E-4</v>
      </c>
      <c r="BF129" s="2338">
        <f t="shared" si="103"/>
        <v>1.9137921498850536E-4</v>
      </c>
      <c r="BG129" s="2338">
        <f t="shared" si="103"/>
        <v>3.7845498726782705E-5</v>
      </c>
      <c r="BH129" s="2338">
        <f t="shared" si="103"/>
        <v>7.0029683800399139E-4</v>
      </c>
      <c r="BI129" s="2338">
        <f t="shared" si="103"/>
        <v>2.1787012737901953E-3</v>
      </c>
    </row>
    <row r="130" spans="1:61" s="2204" customFormat="1">
      <c r="A130" s="2210"/>
      <c r="D130" s="3617"/>
      <c r="E130" s="3656"/>
      <c r="F130" s="2205"/>
      <c r="G130" s="2206"/>
    </row>
    <row r="131" spans="1:61" s="2204" customFormat="1">
      <c r="A131" s="2199"/>
      <c r="B131" s="2200"/>
      <c r="C131" s="2200"/>
      <c r="D131" s="2332"/>
      <c r="E131" s="3663" t="str">
        <f>E26</f>
        <v>Période enfant 0-6 ans (effets sans seuil)</v>
      </c>
      <c r="F131" s="2208"/>
      <c r="G131" s="2209"/>
      <c r="H131" s="2200"/>
      <c r="I131" s="2200"/>
      <c r="J131" s="2200"/>
      <c r="K131" s="2200"/>
      <c r="L131" s="2200"/>
      <c r="M131" s="2200"/>
      <c r="N131" s="2200"/>
      <c r="O131" s="2200"/>
      <c r="P131" s="2200"/>
      <c r="Q131" s="2200"/>
      <c r="R131" s="2200"/>
      <c r="S131" s="2200"/>
      <c r="T131" s="2200"/>
      <c r="U131" s="2200"/>
      <c r="V131" s="2200"/>
      <c r="W131" s="2200"/>
      <c r="X131" s="2200"/>
      <c r="Y131" s="2200"/>
      <c r="Z131" s="2200"/>
      <c r="AA131" s="2200"/>
      <c r="AB131" s="2200"/>
      <c r="AC131" s="2200"/>
      <c r="AD131" s="2200"/>
      <c r="AE131" s="2200"/>
      <c r="AF131" s="2200"/>
      <c r="AG131" s="2200"/>
      <c r="AH131" s="2200"/>
      <c r="AI131" s="2200"/>
      <c r="AJ131" s="2200"/>
      <c r="AK131" s="2200"/>
      <c r="AL131" s="2200"/>
      <c r="AM131" s="2200"/>
      <c r="AN131" s="2200"/>
      <c r="AO131" s="2200"/>
      <c r="AP131" s="2200"/>
      <c r="AQ131" s="2200"/>
      <c r="AR131" s="2200"/>
      <c r="AS131" s="2200"/>
      <c r="AT131" s="2200"/>
      <c r="AU131" s="2200"/>
      <c r="AV131" s="2200"/>
      <c r="AW131" s="2200"/>
      <c r="AX131" s="2200"/>
      <c r="AY131" s="2200"/>
      <c r="AZ131" s="2200"/>
      <c r="BA131" s="2200"/>
      <c r="BB131" s="2200"/>
      <c r="BC131" s="2200"/>
      <c r="BD131" s="2200"/>
      <c r="BE131" s="2200"/>
      <c r="BF131" s="2200"/>
      <c r="BG131" s="2200"/>
      <c r="BH131" s="2200"/>
      <c r="BI131" s="2200"/>
    </row>
    <row r="132" spans="1:61" s="2204" customFormat="1" ht="25.5">
      <c r="A132" s="2210"/>
      <c r="D132" s="2332"/>
      <c r="E132" s="3656" t="s">
        <v>575</v>
      </c>
      <c r="F132" s="2205" t="s">
        <v>138</v>
      </c>
      <c r="G132" s="2206" t="s">
        <v>139</v>
      </c>
      <c r="H132" s="2204">
        <f t="shared" ref="H132:AM132" si="104">MIN(H29,H$123)</f>
        <v>6.6486977684214964E-4</v>
      </c>
      <c r="I132" s="2204">
        <f t="shared" si="104"/>
        <v>6.6486977684214964E-4</v>
      </c>
      <c r="J132" s="2204">
        <f t="shared" si="104"/>
        <v>6.834024110323136E-4</v>
      </c>
      <c r="K132" s="2204">
        <f t="shared" si="104"/>
        <v>6.1719199705249922E-6</v>
      </c>
      <c r="L132" s="2204">
        <f t="shared" si="104"/>
        <v>3.3010911945495617E-5</v>
      </c>
      <c r="M132" s="2204">
        <f t="shared" si="104"/>
        <v>3.3010911945495617E-5</v>
      </c>
      <c r="N132" s="2204">
        <f t="shared" si="104"/>
        <v>1.673716280311402E-5</v>
      </c>
      <c r="O132" s="2204">
        <f t="shared" si="104"/>
        <v>1.673716280311402E-5</v>
      </c>
      <c r="P132" s="2204">
        <f t="shared" si="104"/>
        <v>1.5330707115808009E-5</v>
      </c>
      <c r="Q132" s="2204">
        <f t="shared" si="104"/>
        <v>1.5330707115808009E-5</v>
      </c>
      <c r="R132" s="2204">
        <f t="shared" si="104"/>
        <v>3.8138690487629963E-5</v>
      </c>
      <c r="S132" s="2204">
        <f t="shared" si="104"/>
        <v>4.0651966282840303E-5</v>
      </c>
      <c r="T132" s="2204">
        <f t="shared" si="104"/>
        <v>4.0651966282840303E-5</v>
      </c>
      <c r="U132" s="2204">
        <f t="shared" si="104"/>
        <v>8.6347373865245747E-6</v>
      </c>
      <c r="V132" s="2204">
        <f t="shared" si="104"/>
        <v>5.2753720079623515E-6</v>
      </c>
      <c r="W132" s="2204">
        <f t="shared" si="104"/>
        <v>5.2753720079623515E-6</v>
      </c>
      <c r="X132" s="2204">
        <f t="shared" si="104"/>
        <v>2.7498597386978914E-5</v>
      </c>
      <c r="Y132" s="2204">
        <f t="shared" si="104"/>
        <v>3.9677142108498037E-5</v>
      </c>
      <c r="Z132" s="2204">
        <f t="shared" si="104"/>
        <v>6.6997628456839868E-5</v>
      </c>
      <c r="AA132" s="2204">
        <f t="shared" si="104"/>
        <v>9.9868318365019948E-5</v>
      </c>
      <c r="AB132" s="2204">
        <f t="shared" si="104"/>
        <v>8.8303175626389731E-5</v>
      </c>
      <c r="AC132" s="2204">
        <f t="shared" si="104"/>
        <v>3.79078060458001E-4</v>
      </c>
      <c r="AD132" s="2204">
        <f t="shared" si="104"/>
        <v>3.2853431906360096E-4</v>
      </c>
      <c r="AE132" s="2204">
        <f t="shared" si="104"/>
        <v>2.5936919926073754E-4</v>
      </c>
      <c r="AF132" s="2204">
        <f t="shared" si="104"/>
        <v>2.0533394941475057E-4</v>
      </c>
      <c r="AG132" s="2204">
        <f t="shared" si="104"/>
        <v>3.8395236382500922E-6</v>
      </c>
      <c r="AH132" s="2204">
        <f t="shared" si="104"/>
        <v>5.1279831171684633E-6</v>
      </c>
      <c r="AI132" s="2204">
        <f t="shared" si="104"/>
        <v>1.2611413325747907E-5</v>
      </c>
      <c r="AJ132" s="2204">
        <f t="shared" si="104"/>
        <v>5.2979526668785625E-5</v>
      </c>
      <c r="AK132" s="2204">
        <f t="shared" si="104"/>
        <v>2.3239644632047792E-4</v>
      </c>
      <c r="AL132" s="2204">
        <f t="shared" si="104"/>
        <v>1.8251906614644495E-4</v>
      </c>
      <c r="AM132" s="2204">
        <f t="shared" si="104"/>
        <v>1.5400046206106289E-4</v>
      </c>
      <c r="AN132" s="2204">
        <f t="shared" ref="AN132:BI132" si="105">MIN(AN29,AN$123)</f>
        <v>3.8443051610531344E-4</v>
      </c>
      <c r="AO132" s="2204">
        <f t="shared" si="105"/>
        <v>3.2378546556859479E-4</v>
      </c>
      <c r="AP132" s="2204">
        <f t="shared" si="105"/>
        <v>3.1956518941404663E-4</v>
      </c>
      <c r="AQ132" s="2204">
        <f t="shared" si="105"/>
        <v>2.9651111828844843E-4</v>
      </c>
      <c r="AR132" s="2204">
        <f t="shared" si="105"/>
        <v>2.7654403961582569E-4</v>
      </c>
      <c r="AS132" s="2204">
        <f t="shared" si="105"/>
        <v>2.7654403961582569E-4</v>
      </c>
      <c r="AT132" s="2204">
        <f t="shared" si="105"/>
        <v>2.4359934680939262E-4</v>
      </c>
      <c r="AU132" s="2204">
        <f t="shared" si="105"/>
        <v>2.4359934680939262E-4</v>
      </c>
      <c r="AV132" s="2204">
        <f t="shared" si="105"/>
        <v>2.1585697704572989E-4</v>
      </c>
      <c r="AW132" s="2204">
        <f t="shared" si="105"/>
        <v>2.1585697704572989E-4</v>
      </c>
      <c r="AX132" s="2204">
        <f t="shared" si="105"/>
        <v>1.9530813197344695E-4</v>
      </c>
      <c r="AY132" s="2204">
        <f t="shared" si="105"/>
        <v>1.9530813197344695E-4</v>
      </c>
      <c r="AZ132" s="2204">
        <f t="shared" si="105"/>
        <v>1.953236141876343E-4</v>
      </c>
      <c r="BA132" s="2204">
        <f t="shared" si="105"/>
        <v>1.7701202535754361E-4</v>
      </c>
      <c r="BB132" s="2204">
        <f t="shared" si="105"/>
        <v>1.836344755535107E-4</v>
      </c>
      <c r="BC132" s="2204">
        <f t="shared" si="105"/>
        <v>1.7835739362844784E-4</v>
      </c>
      <c r="BD132" s="2204">
        <f t="shared" si="105"/>
        <v>1.0634137169690239E-3</v>
      </c>
      <c r="BE132" s="2204">
        <f t="shared" si="105"/>
        <v>1.9137921498850536E-4</v>
      </c>
      <c r="BF132" s="2204">
        <f t="shared" si="105"/>
        <v>1.9137921498850536E-4</v>
      </c>
      <c r="BG132" s="2204">
        <f t="shared" si="105"/>
        <v>6.3075831211304503E-6</v>
      </c>
      <c r="BH132" s="2204">
        <f t="shared" si="105"/>
        <v>7.0029683800399139E-4</v>
      </c>
      <c r="BI132" s="2204">
        <f t="shared" si="105"/>
        <v>2.1787012737901953E-3</v>
      </c>
    </row>
    <row r="133" spans="1:61" s="2204" customFormat="1">
      <c r="A133" s="2199"/>
      <c r="B133" s="2200"/>
      <c r="C133" s="2200"/>
      <c r="D133" s="2332"/>
      <c r="E133" s="3656"/>
      <c r="F133" s="2208"/>
      <c r="G133" s="2209"/>
      <c r="H133" s="2200"/>
      <c r="I133" s="2200"/>
      <c r="J133" s="2200"/>
      <c r="K133" s="2200"/>
      <c r="L133" s="2200"/>
      <c r="M133" s="2200"/>
      <c r="N133" s="2200"/>
      <c r="O133" s="2200"/>
      <c r="P133" s="2200"/>
      <c r="Q133" s="2200"/>
      <c r="R133" s="2200"/>
      <c r="S133" s="2200"/>
      <c r="T133" s="2200"/>
      <c r="U133" s="2200"/>
      <c r="V133" s="2200"/>
      <c r="W133" s="2200"/>
      <c r="X133" s="2200"/>
      <c r="Y133" s="2200"/>
      <c r="Z133" s="2200"/>
      <c r="AA133" s="2200"/>
      <c r="AB133" s="2200"/>
      <c r="AC133" s="2200"/>
      <c r="AD133" s="2200"/>
      <c r="AE133" s="2200"/>
      <c r="AF133" s="2200"/>
      <c r="AG133" s="2200"/>
      <c r="AH133" s="2200"/>
      <c r="AI133" s="2200"/>
      <c r="AJ133" s="2200"/>
      <c r="AK133" s="2200"/>
      <c r="AL133" s="2200"/>
      <c r="AM133" s="2200"/>
      <c r="AN133" s="2200"/>
      <c r="AO133" s="2200"/>
      <c r="AP133" s="2200"/>
      <c r="AQ133" s="2200"/>
      <c r="AR133" s="2200"/>
      <c r="AS133" s="2200"/>
      <c r="AT133" s="2200"/>
      <c r="AU133" s="2200"/>
      <c r="AV133" s="2200"/>
      <c r="AW133" s="2200"/>
      <c r="AX133" s="2200"/>
      <c r="AY133" s="2200"/>
      <c r="AZ133" s="2200"/>
      <c r="BA133" s="2200"/>
      <c r="BB133" s="2200"/>
      <c r="BC133" s="2200"/>
      <c r="BD133" s="2200"/>
      <c r="BE133" s="2200"/>
      <c r="BF133" s="2200"/>
      <c r="BG133" s="2200"/>
      <c r="BH133" s="2200"/>
      <c r="BI133" s="2200"/>
    </row>
    <row r="134" spans="1:61" s="2204" customFormat="1">
      <c r="A134" s="2199"/>
      <c r="B134" s="2200"/>
      <c r="C134" s="2200"/>
      <c r="D134" s="2332"/>
      <c r="E134" s="3665" t="str">
        <f>E31</f>
        <v>Période vie entière 0-70 ans (effets sans seuil)</v>
      </c>
      <c r="F134" s="2208"/>
      <c r="G134" s="2209"/>
      <c r="H134" s="2200"/>
      <c r="I134" s="2200"/>
      <c r="J134" s="2200"/>
      <c r="K134" s="2200"/>
      <c r="L134" s="2200"/>
      <c r="M134" s="2200"/>
      <c r="N134" s="2200"/>
      <c r="O134" s="2200"/>
      <c r="P134" s="2200"/>
      <c r="Q134" s="2200"/>
      <c r="R134" s="2200"/>
      <c r="S134" s="2200"/>
      <c r="T134" s="2200"/>
      <c r="U134" s="2200"/>
      <c r="V134" s="2200"/>
      <c r="W134" s="2200"/>
      <c r="X134" s="2200"/>
      <c r="Y134" s="2200"/>
      <c r="Z134" s="2200"/>
      <c r="AA134" s="2200"/>
      <c r="AB134" s="2200"/>
      <c r="AC134" s="2200"/>
      <c r="AD134" s="2200"/>
      <c r="AE134" s="2200"/>
      <c r="AF134" s="2200"/>
      <c r="AG134" s="2200"/>
      <c r="AH134" s="2200"/>
      <c r="AI134" s="2200"/>
      <c r="AJ134" s="2200"/>
      <c r="AK134" s="2200"/>
      <c r="AL134" s="2200"/>
      <c r="AM134" s="2200"/>
      <c r="AN134" s="2200"/>
      <c r="AO134" s="2200"/>
      <c r="AP134" s="2200"/>
      <c r="AQ134" s="2200"/>
      <c r="AR134" s="2200"/>
      <c r="AS134" s="2200"/>
      <c r="AT134" s="2200"/>
      <c r="AU134" s="2200"/>
      <c r="AV134" s="2200"/>
      <c r="AW134" s="2200"/>
      <c r="AX134" s="2200"/>
      <c r="AY134" s="2200"/>
      <c r="AZ134" s="2200"/>
      <c r="BA134" s="2200"/>
      <c r="BB134" s="2200"/>
      <c r="BC134" s="2200"/>
      <c r="BD134" s="2200"/>
      <c r="BE134" s="2200"/>
      <c r="BF134" s="2200"/>
      <c r="BG134" s="2200"/>
      <c r="BH134" s="2200"/>
      <c r="BI134" s="2200"/>
    </row>
    <row r="135" spans="1:61" s="2204" customFormat="1" ht="25.5">
      <c r="A135" s="2210"/>
      <c r="D135" s="2332"/>
      <c r="E135" s="3656" t="s">
        <v>575</v>
      </c>
      <c r="F135" s="2205" t="s">
        <v>138</v>
      </c>
      <c r="G135" s="2206" t="s">
        <v>139</v>
      </c>
      <c r="H135" s="2204">
        <f t="shared" ref="H135:AM135" si="106">MIN(H34,H$123)</f>
        <v>6.6486977684214964E-4</v>
      </c>
      <c r="I135" s="2204">
        <f t="shared" si="106"/>
        <v>6.6486977684214964E-4</v>
      </c>
      <c r="J135" s="2204">
        <f t="shared" si="106"/>
        <v>1.1786794409861001E-4</v>
      </c>
      <c r="K135" s="2204">
        <f t="shared" si="106"/>
        <v>5.2902171175928501E-7</v>
      </c>
      <c r="L135" s="2204">
        <f t="shared" si="106"/>
        <v>2.8295067381853387E-6</v>
      </c>
      <c r="M135" s="2204">
        <f t="shared" si="106"/>
        <v>2.8295067381853387E-6</v>
      </c>
      <c r="N135" s="2204">
        <f t="shared" si="106"/>
        <v>1.4346139545526303E-6</v>
      </c>
      <c r="O135" s="2204">
        <f t="shared" si="106"/>
        <v>1.4346139545526303E-6</v>
      </c>
      <c r="P135" s="2204">
        <f t="shared" si="106"/>
        <v>1.314060609926401E-6</v>
      </c>
      <c r="Q135" s="2204">
        <f t="shared" si="106"/>
        <v>1.314060609926401E-6</v>
      </c>
      <c r="R135" s="2204">
        <f t="shared" si="106"/>
        <v>3.2690306132254255E-6</v>
      </c>
      <c r="S135" s="2204">
        <f t="shared" si="106"/>
        <v>3.4844542528148829E-6</v>
      </c>
      <c r="T135" s="2204">
        <f t="shared" si="106"/>
        <v>3.4844542528148829E-6</v>
      </c>
      <c r="U135" s="2204">
        <f t="shared" si="106"/>
        <v>7.4012034741639221E-7</v>
      </c>
      <c r="V135" s="2204">
        <f t="shared" si="106"/>
        <v>4.5217474353963014E-7</v>
      </c>
      <c r="W135" s="2204">
        <f t="shared" si="106"/>
        <v>4.5217474353963014E-7</v>
      </c>
      <c r="X135" s="2204">
        <f t="shared" si="106"/>
        <v>2.3570226331696212E-6</v>
      </c>
      <c r="Y135" s="2204">
        <f t="shared" si="106"/>
        <v>3.4008978950141175E-6</v>
      </c>
      <c r="Z135" s="2204">
        <f t="shared" si="106"/>
        <v>5.7426538677291316E-6</v>
      </c>
      <c r="AA135" s="2204">
        <f t="shared" si="106"/>
        <v>8.560141574144568E-6</v>
      </c>
      <c r="AB135" s="2204">
        <f t="shared" si="106"/>
        <v>7.5688436251191195E-6</v>
      </c>
      <c r="AC135" s="2204">
        <f t="shared" si="106"/>
        <v>3.8787834770605911E-5</v>
      </c>
      <c r="AD135" s="2204">
        <f t="shared" si="106"/>
        <v>1.9816675960137716E-4</v>
      </c>
      <c r="AE135" s="2204">
        <f t="shared" si="106"/>
        <v>2.5936919926073754E-4</v>
      </c>
      <c r="AF135" s="2204">
        <f t="shared" si="106"/>
        <v>2.0533394941475057E-4</v>
      </c>
      <c r="AG135" s="2204">
        <f t="shared" si="106"/>
        <v>3.291020261357222E-7</v>
      </c>
      <c r="AH135" s="2204">
        <f t="shared" si="106"/>
        <v>4.3954141004301113E-7</v>
      </c>
      <c r="AI135" s="2204">
        <f t="shared" si="106"/>
        <v>1.0809782850641064E-6</v>
      </c>
      <c r="AJ135" s="2204">
        <f t="shared" si="106"/>
        <v>4.5411022858959111E-6</v>
      </c>
      <c r="AK135" s="2204">
        <f t="shared" si="106"/>
        <v>1.991969539889811E-5</v>
      </c>
      <c r="AL135" s="2204">
        <f t="shared" si="106"/>
        <v>1.8251906614644495E-4</v>
      </c>
      <c r="AM135" s="2204">
        <f t="shared" si="106"/>
        <v>1.5400046206106289E-4</v>
      </c>
      <c r="AN135" s="2204">
        <f t="shared" ref="AN135:BI135" si="107">MIN(AN34,AN$123)</f>
        <v>3.8443051610531344E-4</v>
      </c>
      <c r="AO135" s="2204">
        <f t="shared" si="107"/>
        <v>3.2378546556859479E-4</v>
      </c>
      <c r="AP135" s="2204">
        <f t="shared" si="107"/>
        <v>3.1956518941404663E-4</v>
      </c>
      <c r="AQ135" s="2204">
        <f t="shared" si="107"/>
        <v>2.9651111828844843E-4</v>
      </c>
      <c r="AR135" s="2204">
        <f t="shared" si="107"/>
        <v>2.7654403961582569E-4</v>
      </c>
      <c r="AS135" s="2204">
        <f t="shared" si="107"/>
        <v>2.7654403961582569E-4</v>
      </c>
      <c r="AT135" s="2204">
        <f t="shared" si="107"/>
        <v>2.4359934680939262E-4</v>
      </c>
      <c r="AU135" s="2204">
        <f t="shared" si="107"/>
        <v>2.4359934680939262E-4</v>
      </c>
      <c r="AV135" s="2204">
        <f t="shared" si="107"/>
        <v>2.1585697704572989E-4</v>
      </c>
      <c r="AW135" s="2204">
        <f t="shared" si="107"/>
        <v>2.1585697704572989E-4</v>
      </c>
      <c r="AX135" s="2204">
        <f t="shared" si="107"/>
        <v>1.9530813197344695E-4</v>
      </c>
      <c r="AY135" s="2204">
        <f t="shared" si="107"/>
        <v>1.9530813197344695E-4</v>
      </c>
      <c r="AZ135" s="2204">
        <f t="shared" si="107"/>
        <v>1.953236141876343E-4</v>
      </c>
      <c r="BA135" s="2204">
        <f t="shared" si="107"/>
        <v>1.7701202535754361E-4</v>
      </c>
      <c r="BB135" s="2204">
        <f t="shared" si="107"/>
        <v>1.836344755535107E-4</v>
      </c>
      <c r="BC135" s="2204">
        <f t="shared" si="107"/>
        <v>1.7835739362844784E-4</v>
      </c>
      <c r="BD135" s="2204">
        <f t="shared" si="107"/>
        <v>1.0634137169690239E-3</v>
      </c>
      <c r="BE135" s="2204">
        <f t="shared" si="107"/>
        <v>1.9137921498850536E-4</v>
      </c>
      <c r="BF135" s="2204">
        <f t="shared" si="107"/>
        <v>1.9137921498850536E-4</v>
      </c>
      <c r="BG135" s="2204">
        <f t="shared" si="107"/>
        <v>5.4064998181118143E-7</v>
      </c>
      <c r="BH135" s="2204">
        <f t="shared" si="107"/>
        <v>7.0029683800399139E-4</v>
      </c>
      <c r="BI135" s="2204">
        <f t="shared" si="107"/>
        <v>2.1178787173638004E-3</v>
      </c>
    </row>
    <row r="136" spans="1:61" s="2204" customFormat="1">
      <c r="A136" s="2199"/>
      <c r="B136" s="2200"/>
      <c r="C136" s="2200"/>
      <c r="D136" s="2332"/>
      <c r="E136" s="3656"/>
      <c r="F136" s="2208"/>
      <c r="G136" s="2209"/>
      <c r="H136" s="2200"/>
      <c r="I136" s="2200"/>
      <c r="J136" s="2200"/>
      <c r="K136" s="2200"/>
      <c r="L136" s="2200"/>
      <c r="M136" s="2200"/>
      <c r="N136" s="2200"/>
      <c r="O136" s="2200"/>
      <c r="P136" s="2200"/>
      <c r="Q136" s="2200"/>
      <c r="R136" s="2200"/>
      <c r="S136" s="2200"/>
      <c r="T136" s="2200"/>
      <c r="U136" s="2200"/>
      <c r="V136" s="2200"/>
      <c r="W136" s="2200"/>
      <c r="X136" s="2200"/>
      <c r="Y136" s="2200"/>
      <c r="Z136" s="2200"/>
      <c r="AA136" s="2200"/>
      <c r="AB136" s="2200"/>
      <c r="AC136" s="2200"/>
      <c r="AD136" s="2200"/>
      <c r="AE136" s="2200"/>
      <c r="AF136" s="2200"/>
      <c r="AG136" s="2200"/>
      <c r="AH136" s="2200"/>
      <c r="AI136" s="2200"/>
      <c r="AJ136" s="2200"/>
      <c r="AK136" s="2200"/>
      <c r="AL136" s="2200"/>
      <c r="AM136" s="2200"/>
      <c r="AN136" s="2200"/>
      <c r="AO136" s="2200"/>
      <c r="AP136" s="2200"/>
      <c r="AQ136" s="2200"/>
      <c r="AR136" s="2200"/>
      <c r="AS136" s="2200"/>
      <c r="AT136" s="2200"/>
      <c r="AU136" s="2200"/>
      <c r="AV136" s="2200"/>
      <c r="AW136" s="2200"/>
      <c r="AX136" s="2200"/>
      <c r="AY136" s="2200"/>
      <c r="AZ136" s="2200"/>
      <c r="BA136" s="2200"/>
      <c r="BB136" s="2200"/>
      <c r="BC136" s="2200"/>
      <c r="BD136" s="2200"/>
      <c r="BE136" s="2200"/>
      <c r="BF136" s="2200"/>
      <c r="BG136" s="2200"/>
      <c r="BH136" s="2200"/>
      <c r="BI136" s="2200"/>
    </row>
    <row r="137" spans="1:61" s="2204" customFormat="1">
      <c r="A137" s="2199"/>
      <c r="B137" s="2200"/>
      <c r="C137" s="2200"/>
      <c r="D137" s="2332"/>
      <c r="E137" s="3663" t="s">
        <v>572</v>
      </c>
      <c r="F137" s="2208"/>
      <c r="G137" s="2209"/>
      <c r="H137" s="2200"/>
      <c r="I137" s="2200"/>
      <c r="J137" s="2200"/>
      <c r="K137" s="2200"/>
      <c r="L137" s="2200"/>
      <c r="M137" s="2200"/>
      <c r="N137" s="2200"/>
      <c r="O137" s="2200"/>
      <c r="P137" s="2200"/>
      <c r="Q137" s="2200"/>
      <c r="R137" s="2200"/>
      <c r="S137" s="2200"/>
      <c r="T137" s="2200"/>
      <c r="U137" s="2200"/>
      <c r="V137" s="2200"/>
      <c r="W137" s="2200"/>
      <c r="X137" s="2200"/>
      <c r="Y137" s="2200"/>
      <c r="Z137" s="2200"/>
      <c r="AA137" s="2200"/>
      <c r="AB137" s="2200"/>
      <c r="AC137" s="2200"/>
      <c r="AD137" s="2200"/>
      <c r="AE137" s="2200"/>
      <c r="AF137" s="2200"/>
      <c r="AG137" s="2200"/>
      <c r="AH137" s="2200"/>
      <c r="AI137" s="2200"/>
      <c r="AJ137" s="2200"/>
      <c r="AK137" s="2200"/>
      <c r="AL137" s="2200"/>
      <c r="AM137" s="2200"/>
      <c r="AN137" s="2200"/>
      <c r="AO137" s="2200"/>
      <c r="AP137" s="2200"/>
      <c r="AQ137" s="2200"/>
      <c r="AR137" s="2200"/>
      <c r="AS137" s="2200"/>
      <c r="AT137" s="2200"/>
      <c r="AU137" s="2200"/>
      <c r="AV137" s="2200"/>
      <c r="AW137" s="2200"/>
      <c r="AX137" s="2200"/>
      <c r="AY137" s="2200"/>
      <c r="AZ137" s="2200"/>
      <c r="BA137" s="2200"/>
      <c r="BB137" s="2200"/>
      <c r="BC137" s="2200"/>
      <c r="BD137" s="2200"/>
      <c r="BE137" s="2200"/>
      <c r="BF137" s="2200"/>
      <c r="BG137" s="2200"/>
      <c r="BH137" s="2200"/>
      <c r="BI137" s="2200"/>
    </row>
    <row r="138" spans="1:61" s="2204" customFormat="1" ht="25.5">
      <c r="A138" s="2210"/>
      <c r="D138" s="2332"/>
      <c r="E138" s="3656" t="s">
        <v>575</v>
      </c>
      <c r="F138" s="2205" t="s">
        <v>138</v>
      </c>
      <c r="G138" s="2206" t="s">
        <v>139</v>
      </c>
      <c r="H138" s="2204">
        <f>ROUND((H135*H$32-H132*H$27)/(H$32-H$27),20)</f>
        <v>6.6486977684214997E-4</v>
      </c>
      <c r="I138" s="2204">
        <f t="shared" ref="I138:BI138" si="108">ROUND((I135*I$32-I132*I$27)/(I$32-I$27),20)</f>
        <v>6.6486977684214997E-4</v>
      </c>
      <c r="J138" s="2204">
        <f>ROUND((J135*J$32-J132*J$27)/(J$32-J$27),20)</f>
        <v>6.4849087823575305E-5</v>
      </c>
      <c r="K138" s="2204">
        <f t="shared" si="108"/>
        <v>0</v>
      </c>
      <c r="L138" s="2204">
        <f t="shared" si="108"/>
        <v>0</v>
      </c>
      <c r="M138" s="2204">
        <f t="shared" si="108"/>
        <v>0</v>
      </c>
      <c r="N138" s="2204">
        <f>ROUND((N135*N$32-N132*N$27)/(N$32-N$27),20)</f>
        <v>0</v>
      </c>
      <c r="O138" s="2204">
        <f>ROUND((O135*O$32-O132*O$27)/(O$32-O$27),20)</f>
        <v>0</v>
      </c>
      <c r="P138" s="2204">
        <f t="shared" si="108"/>
        <v>0</v>
      </c>
      <c r="Q138" s="2204">
        <f t="shared" si="108"/>
        <v>0</v>
      </c>
      <c r="R138" s="2204">
        <f>ROUND((R135*R$32-R132*R$27)/(R$32-R$27),20)</f>
        <v>0</v>
      </c>
      <c r="S138" s="2204">
        <f>ROUND((S135*S$32-S132*S$27)/(S$32-S$27),20)</f>
        <v>0</v>
      </c>
      <c r="T138" s="2204">
        <f>ROUND((T135*T$32-T132*T$27)/(T$32-T$27),20)</f>
        <v>0</v>
      </c>
      <c r="U138" s="2204">
        <f t="shared" si="108"/>
        <v>0</v>
      </c>
      <c r="V138" s="2204">
        <f t="shared" si="108"/>
        <v>0</v>
      </c>
      <c r="W138" s="2204">
        <f t="shared" si="108"/>
        <v>0</v>
      </c>
      <c r="X138" s="2204">
        <f t="shared" si="108"/>
        <v>0</v>
      </c>
      <c r="Y138" s="2204">
        <f t="shared" si="108"/>
        <v>0</v>
      </c>
      <c r="Z138" s="2204">
        <f t="shared" si="108"/>
        <v>0</v>
      </c>
      <c r="AA138" s="2204">
        <f t="shared" si="108"/>
        <v>0</v>
      </c>
      <c r="AB138" s="2204">
        <f t="shared" si="108"/>
        <v>0</v>
      </c>
      <c r="AC138" s="2204">
        <f t="shared" si="108"/>
        <v>6.8856261124126199E-6</v>
      </c>
      <c r="AD138" s="2204">
        <f t="shared" si="108"/>
        <v>1.85944800901794E-4</v>
      </c>
      <c r="AE138" s="2204">
        <f t="shared" si="108"/>
        <v>2.5936919926073803E-4</v>
      </c>
      <c r="AF138" s="2204">
        <f t="shared" si="108"/>
        <v>2.0533394941475101E-4</v>
      </c>
      <c r="AG138" s="2204">
        <f t="shared" si="108"/>
        <v>0</v>
      </c>
      <c r="AH138" s="2204">
        <f t="shared" si="108"/>
        <v>0</v>
      </c>
      <c r="AI138" s="2204">
        <f t="shared" si="108"/>
        <v>0</v>
      </c>
      <c r="AJ138" s="2204">
        <f t="shared" si="108"/>
        <v>0</v>
      </c>
      <c r="AK138" s="2204">
        <f t="shared" si="108"/>
        <v>0</v>
      </c>
      <c r="AL138" s="2204">
        <f t="shared" si="108"/>
        <v>1.82519066146445E-4</v>
      </c>
      <c r="AM138" s="2204">
        <f t="shared" si="108"/>
        <v>1.54000462061063E-4</v>
      </c>
      <c r="AN138" s="2204">
        <f t="shared" si="108"/>
        <v>3.84430516105313E-4</v>
      </c>
      <c r="AO138" s="2204">
        <f t="shared" si="108"/>
        <v>3.2378546556859501E-4</v>
      </c>
      <c r="AP138" s="2204">
        <f t="shared" si="108"/>
        <v>3.1956518941404701E-4</v>
      </c>
      <c r="AQ138" s="2204">
        <f t="shared" si="108"/>
        <v>2.96511118288448E-4</v>
      </c>
      <c r="AR138" s="2204">
        <f t="shared" si="108"/>
        <v>2.7654403961582601E-4</v>
      </c>
      <c r="AS138" s="2204">
        <f t="shared" si="108"/>
        <v>2.7654403961582601E-4</v>
      </c>
      <c r="AT138" s="2204">
        <f t="shared" si="108"/>
        <v>2.4359934680939299E-4</v>
      </c>
      <c r="AU138" s="2204">
        <f t="shared" si="108"/>
        <v>2.4359934680939299E-4</v>
      </c>
      <c r="AV138" s="2204">
        <f t="shared" si="108"/>
        <v>2.1585697704572999E-4</v>
      </c>
      <c r="AW138" s="2204">
        <f t="shared" si="108"/>
        <v>2.1585697704572999E-4</v>
      </c>
      <c r="AX138" s="2204">
        <f t="shared" si="108"/>
        <v>1.95308131973447E-4</v>
      </c>
      <c r="AY138" s="2204">
        <f t="shared" si="108"/>
        <v>1.95308131973447E-4</v>
      </c>
      <c r="AZ138" s="2204">
        <f t="shared" si="108"/>
        <v>1.9532361418763401E-4</v>
      </c>
      <c r="BA138" s="2204">
        <f t="shared" si="108"/>
        <v>1.7701202535754399E-4</v>
      </c>
      <c r="BB138" s="2204">
        <f t="shared" si="108"/>
        <v>1.83634475553511E-4</v>
      </c>
      <c r="BC138" s="2204">
        <f t="shared" si="108"/>
        <v>1.7835739362844801E-4</v>
      </c>
      <c r="BD138" s="2204">
        <f t="shared" si="108"/>
        <v>1.06341371696902E-3</v>
      </c>
      <c r="BE138" s="2204">
        <f t="shared" si="108"/>
        <v>1.9137921498850501E-4</v>
      </c>
      <c r="BF138" s="2204">
        <f t="shared" si="108"/>
        <v>1.9137921498850501E-4</v>
      </c>
      <c r="BG138" s="2204">
        <f t="shared" si="108"/>
        <v>0</v>
      </c>
      <c r="BH138" s="2204">
        <f t="shared" si="108"/>
        <v>7.0029683800399095E-4</v>
      </c>
      <c r="BI138" s="2204">
        <f t="shared" si="108"/>
        <v>2.11217660269883E-3</v>
      </c>
    </row>
    <row r="139" spans="1:61" s="2204" customFormat="1">
      <c r="A139" s="2199"/>
      <c r="B139" s="2200"/>
      <c r="C139" s="2200"/>
      <c r="D139" s="2332"/>
      <c r="E139" s="3656"/>
      <c r="F139" s="2208"/>
      <c r="G139" s="2209"/>
      <c r="H139" s="2200"/>
      <c r="I139" s="2200"/>
      <c r="J139" s="2200"/>
      <c r="K139" s="2200"/>
      <c r="L139" s="2200"/>
      <c r="M139" s="2200"/>
      <c r="N139" s="2200"/>
      <c r="O139" s="2200"/>
      <c r="P139" s="2200"/>
      <c r="Q139" s="2200"/>
      <c r="R139" s="2200"/>
      <c r="S139" s="2200"/>
      <c r="T139" s="2200"/>
      <c r="U139" s="2200"/>
      <c r="V139" s="2200"/>
      <c r="W139" s="2200"/>
      <c r="X139" s="2200"/>
      <c r="Y139" s="2200"/>
      <c r="Z139" s="2200"/>
      <c r="AA139" s="2200"/>
      <c r="AB139" s="2200"/>
      <c r="AC139" s="2200"/>
      <c r="AD139" s="2200"/>
      <c r="AE139" s="2200"/>
      <c r="AF139" s="2200"/>
      <c r="AG139" s="2200"/>
      <c r="AH139" s="2200"/>
      <c r="AI139" s="2200"/>
      <c r="AJ139" s="2200"/>
      <c r="AK139" s="2200"/>
      <c r="AL139" s="2200"/>
      <c r="AM139" s="2200"/>
      <c r="AN139" s="2200"/>
      <c r="AO139" s="2200"/>
      <c r="AP139" s="2200"/>
      <c r="AQ139" s="2200"/>
      <c r="AR139" s="2200"/>
      <c r="AS139" s="2200"/>
      <c r="AT139" s="2200"/>
      <c r="AU139" s="2200"/>
      <c r="AV139" s="2200"/>
      <c r="AW139" s="2200"/>
      <c r="AX139" s="2200"/>
      <c r="AY139" s="2200"/>
      <c r="AZ139" s="2200"/>
      <c r="BA139" s="2200"/>
      <c r="BB139" s="2200"/>
      <c r="BC139" s="2200"/>
      <c r="BD139" s="2200"/>
      <c r="BE139" s="2200"/>
      <c r="BF139" s="2200"/>
      <c r="BG139" s="2200"/>
      <c r="BH139" s="2200"/>
      <c r="BI139" s="2200"/>
    </row>
    <row r="140" spans="1:61" s="2204" customFormat="1">
      <c r="A140" s="2199"/>
      <c r="B140" s="2200"/>
      <c r="C140" s="2200"/>
      <c r="D140" s="2332"/>
      <c r="E140" s="3663" t="str">
        <f>E36</f>
        <v>Période employé (40 ans)</v>
      </c>
      <c r="F140" s="2208"/>
      <c r="G140" s="2209"/>
      <c r="H140" s="2200"/>
      <c r="I140" s="2200"/>
      <c r="J140" s="2200"/>
      <c r="K140" s="2200"/>
      <c r="L140" s="2200"/>
      <c r="M140" s="2200"/>
      <c r="N140" s="2200"/>
      <c r="O140" s="2200"/>
      <c r="P140" s="2200"/>
      <c r="Q140" s="2200"/>
      <c r="R140" s="2200"/>
      <c r="S140" s="2200"/>
      <c r="T140" s="2200"/>
      <c r="U140" s="2200"/>
      <c r="V140" s="2200"/>
      <c r="W140" s="2200"/>
      <c r="X140" s="2200"/>
      <c r="Y140" s="2200"/>
      <c r="Z140" s="2200"/>
      <c r="AA140" s="2200"/>
      <c r="AB140" s="2200"/>
      <c r="AC140" s="2200"/>
      <c r="AD140" s="2200"/>
      <c r="AE140" s="2200"/>
      <c r="AF140" s="2200"/>
      <c r="AG140" s="2200"/>
      <c r="AH140" s="2200"/>
      <c r="AI140" s="2200"/>
      <c r="AJ140" s="2200"/>
      <c r="AK140" s="2200"/>
      <c r="AL140" s="2200"/>
      <c r="AM140" s="2200"/>
      <c r="AN140" s="2200"/>
      <c r="AO140" s="2200"/>
      <c r="AP140" s="2200"/>
      <c r="AQ140" s="2200"/>
      <c r="AR140" s="2200"/>
      <c r="AS140" s="2200"/>
      <c r="AT140" s="2200"/>
      <c r="AU140" s="2200"/>
      <c r="AV140" s="2200"/>
      <c r="AW140" s="2200"/>
      <c r="AX140" s="2200"/>
      <c r="AY140" s="2200"/>
      <c r="AZ140" s="2200"/>
      <c r="BA140" s="2200"/>
      <c r="BB140" s="2200"/>
      <c r="BC140" s="2200"/>
      <c r="BD140" s="2200"/>
      <c r="BE140" s="2200"/>
      <c r="BF140" s="2200"/>
      <c r="BG140" s="2200"/>
      <c r="BH140" s="2200"/>
      <c r="BI140" s="2200"/>
    </row>
    <row r="141" spans="1:61" s="2315" customFormat="1" ht="26.25" thickBot="1">
      <c r="A141" s="2314"/>
      <c r="D141" s="2332"/>
      <c r="E141" s="3664" t="s">
        <v>575</v>
      </c>
      <c r="F141" s="2316" t="s">
        <v>138</v>
      </c>
      <c r="G141" s="2317" t="s">
        <v>139</v>
      </c>
      <c r="H141" s="2315">
        <f t="shared" ref="H141:AM141" si="109">MIN(H39,H$123)</f>
        <v>6.6486977684214964E-4</v>
      </c>
      <c r="I141" s="2315">
        <f t="shared" si="109"/>
        <v>6.6486977684214964E-4</v>
      </c>
      <c r="J141" s="2315">
        <f t="shared" si="109"/>
        <v>2.0626890217256754E-4</v>
      </c>
      <c r="K141" s="2315">
        <f t="shared" si="109"/>
        <v>9.2578799557874888E-7</v>
      </c>
      <c r="L141" s="2315">
        <f t="shared" si="109"/>
        <v>4.9516367918243421E-6</v>
      </c>
      <c r="M141" s="2315">
        <f t="shared" si="109"/>
        <v>4.9516367918243421E-6</v>
      </c>
      <c r="N141" s="2315">
        <f t="shared" si="109"/>
        <v>2.5105744204671032E-6</v>
      </c>
      <c r="O141" s="2315">
        <f t="shared" si="109"/>
        <v>2.5105744204671032E-6</v>
      </c>
      <c r="P141" s="2315">
        <f t="shared" si="109"/>
        <v>2.2996060673712017E-6</v>
      </c>
      <c r="Q141" s="2315">
        <f t="shared" si="109"/>
        <v>2.2996060673712017E-6</v>
      </c>
      <c r="R141" s="2315">
        <f t="shared" si="109"/>
        <v>5.720803573144495E-6</v>
      </c>
      <c r="S141" s="2315">
        <f t="shared" si="109"/>
        <v>6.0977949424260457E-6</v>
      </c>
      <c r="T141" s="2315">
        <f t="shared" si="109"/>
        <v>6.0977949424260457E-6</v>
      </c>
      <c r="U141" s="2315">
        <f t="shared" si="109"/>
        <v>1.2952106079786864E-6</v>
      </c>
      <c r="V141" s="2315">
        <f t="shared" si="109"/>
        <v>7.9130580119435269E-7</v>
      </c>
      <c r="W141" s="2315">
        <f t="shared" si="109"/>
        <v>7.9130580119435269E-7</v>
      </c>
      <c r="X141" s="2315">
        <f t="shared" si="109"/>
        <v>4.124789608046837E-6</v>
      </c>
      <c r="Y141" s="2315">
        <f t="shared" si="109"/>
        <v>5.9515713162747051E-6</v>
      </c>
      <c r="Z141" s="2315">
        <f t="shared" si="109"/>
        <v>1.004964426852598E-5</v>
      </c>
      <c r="AA141" s="2315">
        <f t="shared" si="109"/>
        <v>1.4980247754752993E-5</v>
      </c>
      <c r="AB141" s="2315">
        <f t="shared" si="109"/>
        <v>1.3245476343958458E-5</v>
      </c>
      <c r="AC141" s="2315">
        <f t="shared" si="109"/>
        <v>6.7878710848560343E-5</v>
      </c>
      <c r="AD141" s="2315">
        <f t="shared" si="109"/>
        <v>3.2853431906360096E-4</v>
      </c>
      <c r="AE141" s="2315">
        <f t="shared" si="109"/>
        <v>2.5936919926073754E-4</v>
      </c>
      <c r="AF141" s="2315">
        <f t="shared" si="109"/>
        <v>2.0533394941475057E-4</v>
      </c>
      <c r="AG141" s="2315">
        <f t="shared" si="109"/>
        <v>5.7592854573751388E-7</v>
      </c>
      <c r="AH141" s="2315">
        <f t="shared" si="109"/>
        <v>7.6919746757526942E-7</v>
      </c>
      <c r="AI141" s="2315">
        <f t="shared" si="109"/>
        <v>1.8917119988621861E-6</v>
      </c>
      <c r="AJ141" s="2315">
        <f t="shared" si="109"/>
        <v>7.9469290003178434E-6</v>
      </c>
      <c r="AK141" s="2315">
        <f t="shared" si="109"/>
        <v>3.4859466948071687E-5</v>
      </c>
      <c r="AL141" s="2315">
        <f t="shared" si="109"/>
        <v>1.8251906614644495E-4</v>
      </c>
      <c r="AM141" s="2315">
        <f t="shared" si="109"/>
        <v>1.5400046206106289E-4</v>
      </c>
      <c r="AN141" s="2315">
        <f t="shared" ref="AN141:BI141" si="110">MIN(AN39,AN$123)</f>
        <v>3.8443051610531344E-4</v>
      </c>
      <c r="AO141" s="2315">
        <f t="shared" si="110"/>
        <v>3.2378546556859479E-4</v>
      </c>
      <c r="AP141" s="2315">
        <f t="shared" si="110"/>
        <v>3.1956518941404663E-4</v>
      </c>
      <c r="AQ141" s="2315">
        <f t="shared" si="110"/>
        <v>2.9651111828844843E-4</v>
      </c>
      <c r="AR141" s="2315">
        <f t="shared" si="110"/>
        <v>2.7654403961582569E-4</v>
      </c>
      <c r="AS141" s="2315">
        <f t="shared" si="110"/>
        <v>2.7654403961582569E-4</v>
      </c>
      <c r="AT141" s="2315">
        <f t="shared" si="110"/>
        <v>2.4359934680939262E-4</v>
      </c>
      <c r="AU141" s="2315">
        <f t="shared" si="110"/>
        <v>2.4359934680939262E-4</v>
      </c>
      <c r="AV141" s="2315">
        <f t="shared" si="110"/>
        <v>2.1585697704572989E-4</v>
      </c>
      <c r="AW141" s="2315">
        <f t="shared" si="110"/>
        <v>2.1585697704572989E-4</v>
      </c>
      <c r="AX141" s="2315">
        <f t="shared" si="110"/>
        <v>1.9530813197344695E-4</v>
      </c>
      <c r="AY141" s="2315">
        <f t="shared" si="110"/>
        <v>1.9530813197344695E-4</v>
      </c>
      <c r="AZ141" s="2315">
        <f t="shared" si="110"/>
        <v>1.953236141876343E-4</v>
      </c>
      <c r="BA141" s="2315">
        <f t="shared" si="110"/>
        <v>1.7701202535754361E-4</v>
      </c>
      <c r="BB141" s="2315">
        <f t="shared" si="110"/>
        <v>1.836344755535107E-4</v>
      </c>
      <c r="BC141" s="2315">
        <f t="shared" si="110"/>
        <v>1.7835739362844784E-4</v>
      </c>
      <c r="BD141" s="2315">
        <f t="shared" si="110"/>
        <v>1.0634137169690239E-3</v>
      </c>
      <c r="BE141" s="2315">
        <f t="shared" si="110"/>
        <v>1.9137921498850536E-4</v>
      </c>
      <c r="BF141" s="2315">
        <f t="shared" si="110"/>
        <v>1.9137921498850536E-4</v>
      </c>
      <c r="BG141" s="2315">
        <f t="shared" si="110"/>
        <v>9.4613746816956763E-7</v>
      </c>
      <c r="BH141" s="2315">
        <f t="shared" si="110"/>
        <v>7.0029683800399139E-4</v>
      </c>
      <c r="BI141" s="2315">
        <f t="shared" si="110"/>
        <v>2.1787012737901953E-3</v>
      </c>
    </row>
    <row r="142" spans="1:61">
      <c r="A142" s="2126"/>
      <c r="B142" s="2156"/>
      <c r="C142" s="2156"/>
      <c r="D142" s="2332"/>
      <c r="E142" s="2153"/>
      <c r="F142" s="2153"/>
      <c r="G142" s="2154"/>
      <c r="H142" s="2156"/>
      <c r="I142" s="2156"/>
      <c r="J142" s="2156"/>
      <c r="K142" s="2156"/>
      <c r="L142" s="2156"/>
      <c r="M142" s="2156"/>
      <c r="N142" s="2156"/>
      <c r="O142" s="2156"/>
      <c r="P142" s="2156"/>
      <c r="Q142" s="2156"/>
      <c r="S142" s="2156"/>
      <c r="T142" s="2156"/>
      <c r="U142" s="2156"/>
      <c r="V142" s="2156"/>
      <c r="W142" s="2156"/>
      <c r="X142" s="2156"/>
      <c r="Y142" s="2156"/>
      <c r="Z142" s="2156"/>
      <c r="AA142" s="2156"/>
      <c r="AB142" s="2156"/>
      <c r="AC142" s="2156"/>
      <c r="AD142" s="2156"/>
      <c r="AE142" s="2156"/>
      <c r="AF142" s="2156"/>
      <c r="AG142" s="2156"/>
      <c r="AH142" s="2156"/>
      <c r="AI142" s="2156"/>
      <c r="AJ142" s="2156"/>
      <c r="AK142" s="2156"/>
      <c r="AL142" s="2156"/>
      <c r="AM142" s="2156"/>
      <c r="AN142" s="2156"/>
      <c r="AO142" s="2156"/>
      <c r="AP142" s="2156"/>
      <c r="AQ142" s="2156"/>
      <c r="AR142" s="2156"/>
      <c r="AS142" s="2156"/>
      <c r="AT142" s="2156"/>
      <c r="AU142" s="2156"/>
      <c r="AV142" s="2156"/>
      <c r="AW142" s="2156"/>
      <c r="AX142" s="2156"/>
      <c r="AY142" s="2156"/>
      <c r="AZ142" s="2156"/>
      <c r="BA142" s="2156"/>
      <c r="BB142" s="2156"/>
      <c r="BC142" s="2156"/>
      <c r="BD142" s="2156"/>
      <c r="BE142" s="2156"/>
      <c r="BF142" s="2156"/>
      <c r="BG142" s="2156"/>
      <c r="BH142" s="2156"/>
      <c r="BI142" s="2156"/>
    </row>
    <row r="143" spans="1:61">
      <c r="A143" s="2126"/>
      <c r="B143" s="2156"/>
      <c r="C143" s="2156"/>
      <c r="D143" s="2332"/>
      <c r="E143" s="2195" t="s">
        <v>578</v>
      </c>
      <c r="F143" s="2153"/>
      <c r="G143" s="2154"/>
      <c r="H143" s="2156"/>
      <c r="I143" s="2156"/>
      <c r="J143" s="2156"/>
      <c r="K143" s="2156"/>
      <c r="L143" s="2156"/>
      <c r="M143" s="2156"/>
      <c r="N143" s="2156"/>
      <c r="O143" s="2156"/>
      <c r="P143" s="2156"/>
      <c r="Q143" s="2156"/>
      <c r="S143" s="2156"/>
      <c r="T143" s="2156"/>
      <c r="U143" s="2156"/>
      <c r="V143" s="2156"/>
      <c r="W143" s="2156"/>
      <c r="X143" s="2156"/>
      <c r="Y143" s="2156"/>
      <c r="Z143" s="2156"/>
      <c r="AA143" s="2156"/>
      <c r="AB143" s="2156"/>
      <c r="AC143" s="2156"/>
      <c r="AD143" s="2156"/>
      <c r="AE143" s="2156"/>
      <c r="AF143" s="2156"/>
      <c r="AG143" s="2156"/>
      <c r="AH143" s="2156"/>
      <c r="AI143" s="2156"/>
      <c r="AJ143" s="2156"/>
      <c r="AK143" s="2156"/>
      <c r="AL143" s="2156"/>
      <c r="AM143" s="2156"/>
      <c r="AN143" s="2156"/>
      <c r="AO143" s="2156"/>
      <c r="AP143" s="2156"/>
      <c r="AQ143" s="2156"/>
      <c r="AR143" s="2156"/>
      <c r="AS143" s="2156"/>
      <c r="AT143" s="2156"/>
      <c r="AU143" s="2156"/>
      <c r="AV143" s="2156"/>
      <c r="AW143" s="2156"/>
      <c r="AX143" s="2156"/>
      <c r="AY143" s="2156"/>
      <c r="AZ143" s="2156"/>
      <c r="BA143" s="2156"/>
      <c r="BB143" s="2156"/>
      <c r="BC143" s="2156"/>
      <c r="BD143" s="2156"/>
      <c r="BE143" s="2156"/>
      <c r="BF143" s="2156"/>
      <c r="BG143" s="2156"/>
      <c r="BH143" s="2156"/>
      <c r="BI143" s="2156"/>
    </row>
    <row r="144" spans="1:61">
      <c r="A144" s="2126"/>
      <c r="B144" s="2156"/>
      <c r="C144" s="2156"/>
      <c r="D144" s="2332"/>
      <c r="E144" s="2195"/>
      <c r="F144" s="2153"/>
      <c r="G144" s="2154"/>
      <c r="H144" s="2156"/>
      <c r="I144" s="2156"/>
      <c r="J144" s="2156"/>
      <c r="K144" s="2156"/>
      <c r="L144" s="2156"/>
      <c r="M144" s="2156"/>
      <c r="N144" s="2156"/>
      <c r="O144" s="2156"/>
      <c r="P144" s="2156"/>
      <c r="Q144" s="2156"/>
      <c r="S144" s="2156"/>
      <c r="T144" s="2156"/>
      <c r="U144" s="2156"/>
      <c r="V144" s="2156"/>
      <c r="W144" s="2156"/>
      <c r="X144" s="2156"/>
      <c r="Y144" s="2156"/>
      <c r="Z144" s="2156"/>
      <c r="AA144" s="2156"/>
      <c r="AB144" s="2156"/>
      <c r="AC144" s="2156"/>
      <c r="AD144" s="2156"/>
      <c r="AE144" s="2156"/>
      <c r="AF144" s="2156"/>
      <c r="AG144" s="2156"/>
      <c r="AH144" s="2156"/>
      <c r="AI144" s="2156"/>
      <c r="AJ144" s="2156"/>
      <c r="AK144" s="2156"/>
      <c r="AL144" s="2156"/>
      <c r="AM144" s="2156"/>
      <c r="AN144" s="2156"/>
      <c r="AO144" s="2156"/>
      <c r="AP144" s="2156"/>
      <c r="AQ144" s="2156"/>
      <c r="AR144" s="2156"/>
      <c r="AS144" s="2156"/>
      <c r="AT144" s="2156"/>
      <c r="AU144" s="2156"/>
      <c r="AV144" s="2156"/>
      <c r="AW144" s="2156"/>
      <c r="AX144" s="2156"/>
      <c r="AY144" s="2156"/>
      <c r="AZ144" s="2156"/>
      <c r="BA144" s="2156"/>
      <c r="BB144" s="2156"/>
      <c r="BC144" s="2156"/>
      <c r="BD144" s="2156"/>
      <c r="BE144" s="2156"/>
      <c r="BF144" s="2156"/>
      <c r="BG144" s="2156"/>
      <c r="BH144" s="2156"/>
      <c r="BI144" s="2156"/>
    </row>
    <row r="145" spans="1:62" s="2193" customFormat="1" ht="25.5">
      <c r="B145" s="2236"/>
      <c r="C145" s="2236"/>
      <c r="D145" s="2333"/>
      <c r="E145" s="2313" t="s">
        <v>602</v>
      </c>
      <c r="F145" s="2217" t="s">
        <v>580</v>
      </c>
      <c r="G145" s="2218" t="str">
        <f>'Du K'!G47</f>
        <v>(mg/m2/s)/(mg/l/m)</v>
      </c>
      <c r="H145" s="2236">
        <f>'Du K'!H47</f>
        <v>1.9159627734629636E-4</v>
      </c>
      <c r="I145" s="2236">
        <f>'Du K'!I47</f>
        <v>1.9159627734629636E-4</v>
      </c>
      <c r="J145" s="2236">
        <f>'Du K'!J47</f>
        <v>1.6071467255706864E-4</v>
      </c>
      <c r="K145" s="2236">
        <f>'Du K'!K47</f>
        <v>3.099490129549467E-4</v>
      </c>
      <c r="L145" s="2236">
        <f>'Du K'!L47</f>
        <v>2.154539868716845E-4</v>
      </c>
      <c r="M145" s="2236">
        <f>'Du K'!M47</f>
        <v>2.154539868716845E-4</v>
      </c>
      <c r="N145" s="2236">
        <f>'Du K'!N47</f>
        <v>2.3105952278671638E-4</v>
      </c>
      <c r="O145" s="2236">
        <f>'Du K'!O47</f>
        <v>2.3105952278671638E-4</v>
      </c>
      <c r="P145" s="2236">
        <f>'Du K'!P47</f>
        <v>2.1056150999831108E-4</v>
      </c>
      <c r="Q145" s="2236">
        <f>'Du K'!Q47</f>
        <v>2.1056150999831108E-4</v>
      </c>
      <c r="R145" s="2236">
        <f>'Du K'!R47</f>
        <v>2.9826785993674505E-3</v>
      </c>
      <c r="S145" s="2236">
        <f>'Du K'!S47</f>
        <v>3.0433620271631741E-4</v>
      </c>
      <c r="T145" s="2236">
        <f>'Du K'!T47</f>
        <v>3.0433620271631741E-4</v>
      </c>
      <c r="U145" s="2236">
        <f>'Du K'!U47</f>
        <v>2.2810231436902058E-4</v>
      </c>
      <c r="V145" s="2236">
        <f>'Du K'!V47</f>
        <v>8.3283203817867459E-5</v>
      </c>
      <c r="W145" s="2236">
        <f>'Du K'!W47</f>
        <v>8.3283203817867459E-5</v>
      </c>
      <c r="X145" s="2236">
        <f>'Du K'!X47</f>
        <v>2.3973378529884719E-4</v>
      </c>
      <c r="Y145" s="2236">
        <f>'Du K'!Y47</f>
        <v>2.1533892865267568E-4</v>
      </c>
      <c r="Z145" s="2236">
        <f>'Du K'!Z47</f>
        <v>1.9744539702761256E-4</v>
      </c>
      <c r="AA145" s="2236">
        <f>'Du K'!AA47</f>
        <v>1.9747346219845099E-4</v>
      </c>
      <c r="AB145" s="2236">
        <f>'Du K'!AB47</f>
        <v>9.2613185438208126E-5</v>
      </c>
      <c r="AC145" s="2236">
        <f>'Du K'!AC47</f>
        <v>8.5532338652184915E-5</v>
      </c>
      <c r="AD145" s="2236">
        <f>'Du K'!AD47</f>
        <v>7.4214880404602782E-5</v>
      </c>
      <c r="AE145" s="2236">
        <f>'Du K'!AE47</f>
        <v>5.8930203647059292E-5</v>
      </c>
      <c r="AF145" s="2236">
        <f>'Du K'!AF47</f>
        <v>5.3206939689122174E-5</v>
      </c>
      <c r="AG145" s="2236">
        <f>'Du K'!AG47</f>
        <v>1.3717655649032317E-4</v>
      </c>
      <c r="AH145" s="2236">
        <f>'Du K'!AH47</f>
        <v>1.1111289627743701E-4</v>
      </c>
      <c r="AI145" s="2236">
        <f>'Du K'!AI47</f>
        <v>8.5471394571485736E-5</v>
      </c>
      <c r="AJ145" s="2236">
        <f>'Du K'!AJ47</f>
        <v>6.944547915373997E-5</v>
      </c>
      <c r="AK145" s="2236">
        <f>'Du K'!AK47</f>
        <v>5.5556347709955414E-5</v>
      </c>
      <c r="AL145" s="2236">
        <f>'Du K'!AL47</f>
        <v>4.1152843081368337E-5</v>
      </c>
      <c r="AM145" s="2236">
        <f>'Du K'!AM47</f>
        <v>3.4722710988504891E-5</v>
      </c>
      <c r="AN145" s="2236">
        <f>'Du K'!AN47</f>
        <v>8.8751752863654547E-5</v>
      </c>
      <c r="AO145" s="2236">
        <f>'Du K'!AO47</f>
        <v>7.5157906736941809E-5</v>
      </c>
      <c r="AP145" s="2236">
        <f>'Du K'!AP47</f>
        <v>7.3520304327643436E-5</v>
      </c>
      <c r="AQ145" s="2236">
        <f>'Du K'!AQ47</f>
        <v>6.8950559553842763E-5</v>
      </c>
      <c r="AR145" s="2236">
        <f>'Du K'!AR47</f>
        <v>6.7112546334183802E-5</v>
      </c>
      <c r="AS145" s="2236">
        <f>'Du K'!AS47</f>
        <v>6.6249840729710685E-5</v>
      </c>
      <c r="AT145" s="2236">
        <f>'Du K'!AT47</f>
        <v>6.8096094535064936E-5</v>
      </c>
      <c r="AU145" s="2236">
        <f>'Du K'!AU47</f>
        <v>6.972920508296619E-5</v>
      </c>
      <c r="AV145" s="2236">
        <f>'Du K'!AV47</f>
        <v>6.9468560136792736E-5</v>
      </c>
      <c r="AW145" s="2236">
        <f>'Du K'!AW47</f>
        <v>7.5708251167043585E-5</v>
      </c>
      <c r="AX145" s="2236">
        <f>'Du K'!AX47</f>
        <v>7.2571461172120768E-4</v>
      </c>
      <c r="AY145" s="2236">
        <f>'Du K'!AY47</f>
        <v>7.2571461172120768E-4</v>
      </c>
      <c r="AZ145" s="2236">
        <f>'Du K'!AZ47</f>
        <v>9.8707850032651585E-4</v>
      </c>
      <c r="BA145" s="2236">
        <f>'Du K'!BA47</f>
        <v>1.3399490006351796E-3</v>
      </c>
      <c r="BB145" s="2236">
        <f>'Du K'!BB47</f>
        <v>1.7805230633235368E-4</v>
      </c>
      <c r="BC145" s="2236">
        <f>'Du K'!BC47</f>
        <v>194.27300552401812</v>
      </c>
      <c r="BD145" s="2236">
        <f>'Du K'!BD47</f>
        <v>2.1306962850719362E-3</v>
      </c>
      <c r="BE145" s="2236">
        <f>'Du K'!BE47</f>
        <v>5.584189215638962E-5</v>
      </c>
      <c r="BF145" s="2236">
        <f>'Du K'!BF47</f>
        <v>5.584189215638962E-5</v>
      </c>
      <c r="BG145" s="2236">
        <f>'Du K'!BG47</f>
        <v>8.9828904678261023E-5</v>
      </c>
      <c r="BH145" s="2236">
        <f>'Du K'!BH47</f>
        <v>1.102364880153907E-3</v>
      </c>
      <c r="BI145" s="2236">
        <f>'Du K'!BI47</f>
        <v>8.6058458905717604E-4</v>
      </c>
    </row>
    <row r="146" spans="1:62">
      <c r="A146" s="2126"/>
      <c r="B146" s="2156"/>
      <c r="C146" s="2156"/>
      <c r="D146" s="2333"/>
      <c r="E146" s="581"/>
      <c r="F146" s="2153"/>
      <c r="G146" s="2154"/>
      <c r="H146" s="2156"/>
      <c r="I146" s="2156"/>
      <c r="J146" s="2156"/>
      <c r="K146" s="2156"/>
      <c r="L146" s="2156"/>
      <c r="M146" s="2156"/>
      <c r="N146" s="2156"/>
      <c r="O146" s="2156"/>
      <c r="P146" s="2156"/>
      <c r="Q146" s="2156"/>
      <c r="S146" s="2156"/>
      <c r="T146" s="2156"/>
      <c r="U146" s="2156"/>
      <c r="V146" s="2156"/>
      <c r="W146" s="2156"/>
      <c r="X146" s="2156"/>
      <c r="Y146" s="2156"/>
      <c r="Z146" s="2156"/>
      <c r="AA146" s="2156"/>
      <c r="AB146" s="2156"/>
      <c r="AC146" s="2156"/>
      <c r="AD146" s="2156"/>
      <c r="AE146" s="2156"/>
      <c r="AF146" s="2156"/>
      <c r="AG146" s="2156"/>
      <c r="AH146" s="2156"/>
      <c r="AI146" s="2156"/>
      <c r="AJ146" s="2156"/>
      <c r="AK146" s="2156"/>
      <c r="AL146" s="2156"/>
      <c r="AM146" s="2156"/>
      <c r="AN146" s="2156"/>
      <c r="AO146" s="2156"/>
      <c r="AP146" s="2156"/>
      <c r="AQ146" s="2156"/>
      <c r="AR146" s="2156"/>
      <c r="AS146" s="2156"/>
      <c r="AT146" s="2156"/>
      <c r="AU146" s="2156"/>
      <c r="AV146" s="2156"/>
      <c r="AW146" s="2156"/>
      <c r="AX146" s="2156"/>
      <c r="AY146" s="2156"/>
      <c r="AZ146" s="2156"/>
      <c r="BA146" s="2156"/>
      <c r="BB146" s="2156"/>
      <c r="BC146" s="2156"/>
      <c r="BD146" s="2156"/>
      <c r="BE146" s="2156"/>
      <c r="BF146" s="2156"/>
      <c r="BG146" s="2156"/>
      <c r="BH146" s="2156"/>
      <c r="BI146" s="2156"/>
    </row>
    <row r="147" spans="1:62">
      <c r="A147" s="2126"/>
      <c r="B147" s="2156"/>
      <c r="C147" s="2156"/>
      <c r="D147" s="2333"/>
      <c r="E147" s="2212" t="str">
        <f>E16</f>
        <v>Période chronique</v>
      </c>
      <c r="F147" s="2153"/>
      <c r="G147" s="2154"/>
      <c r="H147" s="2156"/>
      <c r="I147" s="2156"/>
      <c r="J147" s="2156"/>
      <c r="K147" s="2156"/>
      <c r="L147" s="2156"/>
      <c r="M147" s="2156"/>
      <c r="N147" s="2156"/>
      <c r="O147" s="2156"/>
      <c r="P147" s="2156"/>
      <c r="Q147" s="2156"/>
      <c r="S147" s="2156"/>
      <c r="T147" s="2156"/>
      <c r="U147" s="2156"/>
      <c r="V147" s="2156"/>
      <c r="W147" s="2156"/>
      <c r="X147" s="2156"/>
      <c r="Y147" s="2156"/>
      <c r="Z147" s="2156"/>
      <c r="AA147" s="2156"/>
      <c r="AB147" s="2156"/>
      <c r="AC147" s="2156"/>
      <c r="AD147" s="2156"/>
      <c r="AE147" s="2156"/>
      <c r="AF147" s="2156"/>
      <c r="AG147" s="2156"/>
      <c r="AH147" s="2156"/>
      <c r="AI147" s="2156"/>
      <c r="AJ147" s="2156"/>
      <c r="AK147" s="2156"/>
      <c r="AL147" s="2156"/>
      <c r="AM147" s="2156"/>
      <c r="AN147" s="2156"/>
      <c r="AO147" s="2156"/>
      <c r="AP147" s="2156"/>
      <c r="AQ147" s="2156"/>
      <c r="AR147" s="2156"/>
      <c r="AS147" s="2156"/>
      <c r="AT147" s="2156"/>
      <c r="AU147" s="2156"/>
      <c r="AV147" s="2156"/>
      <c r="AW147" s="2156"/>
      <c r="AX147" s="2156"/>
      <c r="AY147" s="2156"/>
      <c r="AZ147" s="2156"/>
      <c r="BA147" s="2156"/>
      <c r="BB147" s="2156"/>
      <c r="BC147" s="2156"/>
      <c r="BD147" s="2156"/>
      <c r="BE147" s="2156"/>
      <c r="BF147" s="2156"/>
      <c r="BG147" s="2156"/>
      <c r="BH147" s="2156"/>
      <c r="BI147" s="2156"/>
    </row>
    <row r="148" spans="1:62" s="2100" customFormat="1" ht="13.15" customHeight="1">
      <c r="D148" s="2333"/>
      <c r="E148" s="78" t="str">
        <f>E17</f>
        <v>Durée d'exposition considérée</v>
      </c>
      <c r="F148" s="78" t="str">
        <f t="shared" ref="F148:BI149" si="111">F17</f>
        <v>t</v>
      </c>
      <c r="G148" s="3043" t="str">
        <f t="shared" si="111"/>
        <v>an</v>
      </c>
      <c r="H148" s="527">
        <f t="shared" si="111"/>
        <v>7</v>
      </c>
      <c r="I148" s="527">
        <f t="shared" si="111"/>
        <v>7</v>
      </c>
      <c r="J148" s="527">
        <f>J17</f>
        <v>7</v>
      </c>
      <c r="K148" s="527">
        <f t="shared" si="111"/>
        <v>1</v>
      </c>
      <c r="L148" s="527">
        <f t="shared" si="111"/>
        <v>1</v>
      </c>
      <c r="M148" s="527">
        <f t="shared" si="111"/>
        <v>1</v>
      </c>
      <c r="N148" s="527">
        <f>N17</f>
        <v>1</v>
      </c>
      <c r="O148" s="527">
        <f>O17</f>
        <v>1</v>
      </c>
      <c r="P148" s="527">
        <f t="shared" si="111"/>
        <v>1</v>
      </c>
      <c r="Q148" s="527">
        <f t="shared" si="111"/>
        <v>1</v>
      </c>
      <c r="R148" s="527">
        <f t="shared" ref="R148:T149" si="112">R17</f>
        <v>1</v>
      </c>
      <c r="S148" s="527">
        <f t="shared" si="112"/>
        <v>1</v>
      </c>
      <c r="T148" s="527">
        <f t="shared" si="112"/>
        <v>1</v>
      </c>
      <c r="U148" s="527">
        <f t="shared" si="111"/>
        <v>1</v>
      </c>
      <c r="V148" s="527">
        <f t="shared" si="111"/>
        <v>1</v>
      </c>
      <c r="W148" s="527">
        <f t="shared" si="111"/>
        <v>1</v>
      </c>
      <c r="X148" s="527">
        <f t="shared" si="111"/>
        <v>1</v>
      </c>
      <c r="Y148" s="527">
        <f t="shared" si="111"/>
        <v>1</v>
      </c>
      <c r="Z148" s="527">
        <f t="shared" si="111"/>
        <v>1</v>
      </c>
      <c r="AA148" s="528">
        <f t="shared" si="111"/>
        <v>7</v>
      </c>
      <c r="AB148" s="527">
        <f t="shared" si="111"/>
        <v>1</v>
      </c>
      <c r="AC148" s="527">
        <f t="shared" si="111"/>
        <v>1</v>
      </c>
      <c r="AD148" s="527">
        <f t="shared" si="111"/>
        <v>1</v>
      </c>
      <c r="AE148" s="527">
        <f t="shared" si="111"/>
        <v>1</v>
      </c>
      <c r="AF148" s="527">
        <f t="shared" si="111"/>
        <v>1</v>
      </c>
      <c r="AG148" s="527">
        <f t="shared" si="111"/>
        <v>1</v>
      </c>
      <c r="AH148" s="527">
        <f t="shared" si="111"/>
        <v>1</v>
      </c>
      <c r="AI148" s="527">
        <f t="shared" si="111"/>
        <v>1</v>
      </c>
      <c r="AJ148" s="527">
        <f t="shared" si="111"/>
        <v>1</v>
      </c>
      <c r="AK148" s="527">
        <f t="shared" si="111"/>
        <v>1</v>
      </c>
      <c r="AL148" s="527">
        <f t="shared" si="111"/>
        <v>1</v>
      </c>
      <c r="AM148" s="527">
        <f t="shared" si="111"/>
        <v>1</v>
      </c>
      <c r="AN148" s="528">
        <f t="shared" si="111"/>
        <v>7</v>
      </c>
      <c r="AO148" s="527">
        <f t="shared" si="111"/>
        <v>1</v>
      </c>
      <c r="AP148" s="527">
        <f t="shared" si="111"/>
        <v>1</v>
      </c>
      <c r="AQ148" s="527">
        <f t="shared" si="111"/>
        <v>1</v>
      </c>
      <c r="AR148" s="527">
        <f t="shared" si="111"/>
        <v>1</v>
      </c>
      <c r="AS148" s="527">
        <f t="shared" si="111"/>
        <v>1</v>
      </c>
      <c r="AT148" s="527">
        <f t="shared" si="111"/>
        <v>1</v>
      </c>
      <c r="AU148" s="527">
        <f t="shared" si="111"/>
        <v>1</v>
      </c>
      <c r="AV148" s="527">
        <f t="shared" si="111"/>
        <v>1</v>
      </c>
      <c r="AW148" s="527">
        <f t="shared" si="111"/>
        <v>1</v>
      </c>
      <c r="AX148" s="527">
        <f t="shared" si="111"/>
        <v>1</v>
      </c>
      <c r="AY148" s="527">
        <f t="shared" si="111"/>
        <v>1</v>
      </c>
      <c r="AZ148" s="527">
        <f t="shared" si="111"/>
        <v>1</v>
      </c>
      <c r="BA148" s="527">
        <f t="shared" si="111"/>
        <v>1</v>
      </c>
      <c r="BB148" s="527">
        <f t="shared" si="111"/>
        <v>1</v>
      </c>
      <c r="BC148" s="527">
        <f t="shared" si="111"/>
        <v>1</v>
      </c>
      <c r="BD148" s="527">
        <f t="shared" si="111"/>
        <v>1</v>
      </c>
      <c r="BE148" s="527">
        <f t="shared" si="111"/>
        <v>1</v>
      </c>
      <c r="BF148" s="527">
        <f t="shared" si="111"/>
        <v>1</v>
      </c>
      <c r="BG148" s="527">
        <f t="shared" si="111"/>
        <v>1</v>
      </c>
      <c r="BH148" s="527">
        <f t="shared" si="111"/>
        <v>1</v>
      </c>
      <c r="BI148" s="527">
        <f t="shared" si="111"/>
        <v>7</v>
      </c>
      <c r="BJ148" s="78"/>
    </row>
    <row r="149" spans="1:62" s="2216" customFormat="1" ht="13.15" customHeight="1">
      <c r="A149" s="2213"/>
      <c r="B149" s="2214"/>
      <c r="C149" s="2213"/>
      <c r="D149" s="2332"/>
      <c r="E149" s="2208" t="str">
        <f>E18</f>
        <v>Durée d'exposition considérée</v>
      </c>
      <c r="F149" s="2208" t="str">
        <f t="shared" si="111"/>
        <v>t</v>
      </c>
      <c r="G149" s="2209" t="str">
        <f t="shared" si="111"/>
        <v>s</v>
      </c>
      <c r="H149" s="2161">
        <f t="shared" si="111"/>
        <v>220752000</v>
      </c>
      <c r="I149" s="2161">
        <f t="shared" si="111"/>
        <v>220752000</v>
      </c>
      <c r="J149" s="2161">
        <f>J18</f>
        <v>220752000</v>
      </c>
      <c r="K149" s="2161">
        <f t="shared" si="111"/>
        <v>31536000</v>
      </c>
      <c r="L149" s="2161">
        <f t="shared" si="111"/>
        <v>31536000</v>
      </c>
      <c r="M149" s="2161">
        <f t="shared" si="111"/>
        <v>31536000</v>
      </c>
      <c r="N149" s="2161">
        <f>N18</f>
        <v>31536000</v>
      </c>
      <c r="O149" s="2161">
        <f>O18</f>
        <v>31536000</v>
      </c>
      <c r="P149" s="2161">
        <f t="shared" si="111"/>
        <v>31536000</v>
      </c>
      <c r="Q149" s="2161">
        <f t="shared" si="111"/>
        <v>31536000</v>
      </c>
      <c r="R149" s="2161">
        <f t="shared" si="112"/>
        <v>31536000</v>
      </c>
      <c r="S149" s="2161">
        <f t="shared" si="112"/>
        <v>31536000</v>
      </c>
      <c r="T149" s="2161">
        <f t="shared" si="112"/>
        <v>31536000</v>
      </c>
      <c r="U149" s="2161">
        <f t="shared" si="111"/>
        <v>31536000</v>
      </c>
      <c r="V149" s="2161">
        <f t="shared" si="111"/>
        <v>31536000</v>
      </c>
      <c r="W149" s="2161">
        <f t="shared" si="111"/>
        <v>31536000</v>
      </c>
      <c r="X149" s="2161">
        <f t="shared" si="111"/>
        <v>31536000</v>
      </c>
      <c r="Y149" s="2161">
        <f t="shared" si="111"/>
        <v>31536000</v>
      </c>
      <c r="Z149" s="2161">
        <f t="shared" si="111"/>
        <v>31536000</v>
      </c>
      <c r="AA149" s="2215">
        <f t="shared" si="111"/>
        <v>220752000</v>
      </c>
      <c r="AB149" s="2161">
        <f t="shared" si="111"/>
        <v>31536000</v>
      </c>
      <c r="AC149" s="2161">
        <f t="shared" si="111"/>
        <v>31536000</v>
      </c>
      <c r="AD149" s="2161">
        <f t="shared" si="111"/>
        <v>31536000</v>
      </c>
      <c r="AE149" s="2161">
        <f t="shared" si="111"/>
        <v>31536000</v>
      </c>
      <c r="AF149" s="2161">
        <f t="shared" si="111"/>
        <v>31536000</v>
      </c>
      <c r="AG149" s="2161">
        <f t="shared" si="111"/>
        <v>31536000</v>
      </c>
      <c r="AH149" s="2161">
        <f t="shared" si="111"/>
        <v>31536000</v>
      </c>
      <c r="AI149" s="2161">
        <f t="shared" si="111"/>
        <v>31536000</v>
      </c>
      <c r="AJ149" s="2161">
        <f t="shared" si="111"/>
        <v>31536000</v>
      </c>
      <c r="AK149" s="2161">
        <f t="shared" si="111"/>
        <v>31536000</v>
      </c>
      <c r="AL149" s="2161">
        <f t="shared" si="111"/>
        <v>31536000</v>
      </c>
      <c r="AM149" s="2161">
        <f t="shared" si="111"/>
        <v>31536000</v>
      </c>
      <c r="AN149" s="2215">
        <f t="shared" si="111"/>
        <v>220752000</v>
      </c>
      <c r="AO149" s="2161">
        <f t="shared" si="111"/>
        <v>31536000</v>
      </c>
      <c r="AP149" s="2161">
        <f t="shared" si="111"/>
        <v>31536000</v>
      </c>
      <c r="AQ149" s="2161">
        <f t="shared" si="111"/>
        <v>31536000</v>
      </c>
      <c r="AR149" s="2161">
        <f t="shared" si="111"/>
        <v>31536000</v>
      </c>
      <c r="AS149" s="2161">
        <f t="shared" si="111"/>
        <v>31536000</v>
      </c>
      <c r="AT149" s="2161">
        <f t="shared" si="111"/>
        <v>31536000</v>
      </c>
      <c r="AU149" s="2161">
        <f t="shared" si="111"/>
        <v>31536000</v>
      </c>
      <c r="AV149" s="2161">
        <f t="shared" si="111"/>
        <v>31536000</v>
      </c>
      <c r="AW149" s="2161">
        <f t="shared" si="111"/>
        <v>31536000</v>
      </c>
      <c r="AX149" s="2161">
        <f t="shared" si="111"/>
        <v>31536000</v>
      </c>
      <c r="AY149" s="2161">
        <f t="shared" si="111"/>
        <v>31536000</v>
      </c>
      <c r="AZ149" s="2161">
        <f t="shared" si="111"/>
        <v>31536000</v>
      </c>
      <c r="BA149" s="2161">
        <f t="shared" si="111"/>
        <v>31536000</v>
      </c>
      <c r="BB149" s="2161">
        <f t="shared" si="111"/>
        <v>31536000</v>
      </c>
      <c r="BC149" s="2161">
        <f t="shared" si="111"/>
        <v>31536000</v>
      </c>
      <c r="BD149" s="2161">
        <f t="shared" si="111"/>
        <v>31536000</v>
      </c>
      <c r="BE149" s="2161">
        <f t="shared" si="111"/>
        <v>31536000</v>
      </c>
      <c r="BF149" s="2161">
        <f t="shared" si="111"/>
        <v>31536000</v>
      </c>
      <c r="BG149" s="2161">
        <f t="shared" si="111"/>
        <v>31536000</v>
      </c>
      <c r="BH149" s="2161">
        <f t="shared" si="111"/>
        <v>31536000</v>
      </c>
      <c r="BI149" s="2161">
        <f t="shared" si="111"/>
        <v>220752000</v>
      </c>
    </row>
    <row r="150" spans="1:62" s="2204" customFormat="1" ht="25.5">
      <c r="D150" s="2332"/>
      <c r="E150" s="2201" t="s">
        <v>609</v>
      </c>
      <c r="F150" s="2201" t="s">
        <v>1131</v>
      </c>
      <c r="G150" s="2202" t="s">
        <v>73</v>
      </c>
      <c r="H150" s="2203">
        <f t="shared" ref="H150:AM150" si="113">(2*H145*H13*0.001/H14*H149+(H41+H145*H119)^2)^0.5-H145*H119</f>
        <v>0.19308896300148509</v>
      </c>
      <c r="I150" s="2203">
        <f t="shared" si="113"/>
        <v>0.19308896300148509</v>
      </c>
      <c r="J150" s="2203">
        <f t="shared" si="113"/>
        <v>0.69939724446156037</v>
      </c>
      <c r="K150" s="2203">
        <f t="shared" si="113"/>
        <v>6.8646644301485837</v>
      </c>
      <c r="L150" s="2203">
        <f t="shared" si="113"/>
        <v>2.3389740585878376</v>
      </c>
      <c r="M150" s="2203">
        <f t="shared" si="113"/>
        <v>2.3389740585878376</v>
      </c>
      <c r="N150" s="2203">
        <f t="shared" si="113"/>
        <v>3.4968385624227061</v>
      </c>
      <c r="O150" s="2203">
        <f t="shared" si="113"/>
        <v>3.4968385624227061</v>
      </c>
      <c r="P150" s="2203">
        <f t="shared" si="113"/>
        <v>3.487373988382362</v>
      </c>
      <c r="Q150" s="2203">
        <f t="shared" si="113"/>
        <v>3.487373988382362</v>
      </c>
      <c r="R150" s="2203">
        <f t="shared" si="113"/>
        <v>8.620810882652151</v>
      </c>
      <c r="S150" s="2203">
        <f t="shared" si="113"/>
        <v>2.5197662391300124</v>
      </c>
      <c r="T150" s="2203">
        <f t="shared" si="113"/>
        <v>2.5197662391300124</v>
      </c>
      <c r="U150" s="2203">
        <f t="shared" si="113"/>
        <v>4.9191740258604018</v>
      </c>
      <c r="V150" s="2203">
        <f t="shared" si="113"/>
        <v>3.7542209261960755</v>
      </c>
      <c r="W150" s="2203">
        <f t="shared" si="113"/>
        <v>3.7542209261960755</v>
      </c>
      <c r="X150" s="2203">
        <f t="shared" si="113"/>
        <v>2.7356468187590601</v>
      </c>
      <c r="Y150" s="2203">
        <f t="shared" si="113"/>
        <v>2.1149727408817625</v>
      </c>
      <c r="Z150" s="2203">
        <f t="shared" si="113"/>
        <v>1.5058958018916886</v>
      </c>
      <c r="AA150" s="2203">
        <f t="shared" si="113"/>
        <v>3.5016437842783055</v>
      </c>
      <c r="AB150" s="2203">
        <f t="shared" si="113"/>
        <v>0.82313202053990575</v>
      </c>
      <c r="AC150" s="2203">
        <f t="shared" si="113"/>
        <v>0.26418524461921394</v>
      </c>
      <c r="AD150" s="2203">
        <f t="shared" si="113"/>
        <v>6.2425886031806904E-2</v>
      </c>
      <c r="AE150" s="2203">
        <f t="shared" si="113"/>
        <v>6.8899330989442842E-3</v>
      </c>
      <c r="AF150" s="2203">
        <f t="shared" si="113"/>
        <v>2.2949416727147121E-5</v>
      </c>
      <c r="AG150" s="2203">
        <f t="shared" si="113"/>
        <v>5.7560269363006418</v>
      </c>
      <c r="AH150" s="2203">
        <f t="shared" si="113"/>
        <v>4.4348703850421689</v>
      </c>
      <c r="AI150" s="2203">
        <f t="shared" si="113"/>
        <v>2.3875997180913151</v>
      </c>
      <c r="AJ150" s="2203">
        <f t="shared" si="113"/>
        <v>0.94141988565368862</v>
      </c>
      <c r="AK150" s="2203">
        <f t="shared" si="113"/>
        <v>0.31294831443401538</v>
      </c>
      <c r="AL150" s="2203">
        <f t="shared" si="113"/>
        <v>2.8027416515549547E-2</v>
      </c>
      <c r="AM150" s="2203">
        <f t="shared" si="113"/>
        <v>1.7380685611137481E-4</v>
      </c>
      <c r="AN150" s="2203">
        <f t="shared" ref="AN150:BI150" si="114">(2*AN145*AN13*0.001/AN14*AN149+(AN41+AN145*AN119)^2)^0.5-AN145*AN119</f>
        <v>0.17528853737447475</v>
      </c>
      <c r="AO150" s="2203">
        <f t="shared" si="114"/>
        <v>7.8155123120103032E-3</v>
      </c>
      <c r="AP150" s="2203">
        <f t="shared" si="114"/>
        <v>1.2767519931949689E-2</v>
      </c>
      <c r="AQ150" s="2203">
        <f t="shared" si="114"/>
        <v>4.878710561450561E-3</v>
      </c>
      <c r="AR150" s="2203">
        <f t="shared" si="114"/>
        <v>9.1883996175240457E-4</v>
      </c>
      <c r="AS150" s="2203">
        <f t="shared" si="114"/>
        <v>1.1861023507439838E-3</v>
      </c>
      <c r="AT150" s="2203">
        <f t="shared" si="114"/>
        <v>7.6444195814484583E-5</v>
      </c>
      <c r="AU150" s="2203">
        <f t="shared" si="114"/>
        <v>7.3540793693982476E-5</v>
      </c>
      <c r="AV150" s="2203">
        <f t="shared" si="114"/>
        <v>1.039734947561044E-5</v>
      </c>
      <c r="AW150" s="2203">
        <f t="shared" si="114"/>
        <v>1.0018724056704009E-5</v>
      </c>
      <c r="AX150" s="2203">
        <f t="shared" si="114"/>
        <v>3.190751445281137E-7</v>
      </c>
      <c r="AY150" s="2203">
        <f t="shared" si="114"/>
        <v>2.1898002877662748E-7</v>
      </c>
      <c r="AZ150" s="2203">
        <f t="shared" si="114"/>
        <v>1.4624259048190424E-7</v>
      </c>
      <c r="BA150" s="2203">
        <f t="shared" si="114"/>
        <v>2.2889691031480197E-8</v>
      </c>
      <c r="BB150" s="2203">
        <f t="shared" si="114"/>
        <v>3.7598071001010425E-7</v>
      </c>
      <c r="BC150" s="2203">
        <f t="shared" si="114"/>
        <v>0</v>
      </c>
      <c r="BD150" s="2203">
        <f t="shared" si="114"/>
        <v>2.0903629533495227E-3</v>
      </c>
      <c r="BE150" s="2203">
        <f t="shared" si="114"/>
        <v>8.3538585682885191E-6</v>
      </c>
      <c r="BF150" s="2203">
        <f t="shared" si="114"/>
        <v>8.3538585682885191E-6</v>
      </c>
      <c r="BG150" s="2203">
        <f t="shared" si="114"/>
        <v>3.5548925841778751</v>
      </c>
      <c r="BH150" s="2203">
        <f t="shared" si="114"/>
        <v>1.8304515216438499E-3</v>
      </c>
      <c r="BI150" s="2203">
        <f t="shared" si="114"/>
        <v>0.23732203441688998</v>
      </c>
    </row>
    <row r="151" spans="1:62" s="2204" customFormat="1" ht="25.5">
      <c r="D151" s="2332"/>
      <c r="E151" s="2205" t="s">
        <v>610</v>
      </c>
      <c r="F151" s="2205" t="s">
        <v>138</v>
      </c>
      <c r="G151" s="2206" t="s">
        <v>139</v>
      </c>
      <c r="H151" s="2204">
        <f t="shared" ref="H151:AM151" si="115">1000*H14/H13*(H150-H41)/H149</f>
        <v>4.9802053720432611E-4</v>
      </c>
      <c r="I151" s="2204">
        <f t="shared" si="115"/>
        <v>4.9802053720432611E-4</v>
      </c>
      <c r="J151" s="2204">
        <f t="shared" si="115"/>
        <v>2.7478838437639029E-4</v>
      </c>
      <c r="K151" s="2204">
        <f t="shared" si="115"/>
        <v>8.4736318974773227E-5</v>
      </c>
      <c r="L151" s="2204">
        <f t="shared" si="115"/>
        <v>1.5442333338168323E-4</v>
      </c>
      <c r="M151" s="2204">
        <f t="shared" si="115"/>
        <v>1.5442333338168323E-4</v>
      </c>
      <c r="N151" s="2204">
        <f t="shared" si="115"/>
        <v>1.1705431263095205E-4</v>
      </c>
      <c r="O151" s="2204">
        <f t="shared" si="115"/>
        <v>1.1705431263095205E-4</v>
      </c>
      <c r="P151" s="2204">
        <f t="shared" si="115"/>
        <v>1.0692781843835447E-4</v>
      </c>
      <c r="Q151" s="2204">
        <f t="shared" si="115"/>
        <v>1.0692781843835447E-4</v>
      </c>
      <c r="R151" s="2204">
        <f t="shared" si="115"/>
        <v>6.57572876011725E-4</v>
      </c>
      <c r="S151" s="2204">
        <f t="shared" si="115"/>
        <v>2.0486690438750512E-4</v>
      </c>
      <c r="T151" s="2204">
        <f t="shared" si="115"/>
        <v>2.0486690438750512E-4</v>
      </c>
      <c r="U151" s="2204">
        <f t="shared" si="115"/>
        <v>8.4951551743834858E-5</v>
      </c>
      <c r="V151" s="2204">
        <f t="shared" si="115"/>
        <v>3.9609823971522536E-5</v>
      </c>
      <c r="W151" s="2204">
        <f t="shared" si="115"/>
        <v>3.9609823971522536E-5</v>
      </c>
      <c r="X151" s="2204">
        <f t="shared" si="115"/>
        <v>1.5045290092405015E-4</v>
      </c>
      <c r="Y151" s="2204">
        <f t="shared" si="115"/>
        <v>1.6783214799113056E-4</v>
      </c>
      <c r="Z151" s="2204">
        <f t="shared" si="115"/>
        <v>2.0178289485970859E-4</v>
      </c>
      <c r="AA151" s="2204">
        <f t="shared" si="115"/>
        <v>9.9915221785485439E-5</v>
      </c>
      <c r="AB151" s="2204">
        <f t="shared" si="115"/>
        <v>1.4537034274688068E-4</v>
      </c>
      <c r="AC151" s="2204">
        <f t="shared" si="115"/>
        <v>2.3910071773285076E-4</v>
      </c>
      <c r="AD151" s="2204">
        <f t="shared" si="115"/>
        <v>2.8865049617058779E-4</v>
      </c>
      <c r="AE151" s="2204">
        <f t="shared" si="115"/>
        <v>2.5549529946242237E-4</v>
      </c>
      <c r="AF151" s="2204">
        <f t="shared" si="115"/>
        <v>2.0532485707479642E-4</v>
      </c>
      <c r="AG151" s="2204">
        <f t="shared" si="115"/>
        <v>4.4200802968661143E-5</v>
      </c>
      <c r="AH151" s="2204">
        <f t="shared" si="115"/>
        <v>4.5483880922653289E-5</v>
      </c>
      <c r="AI151" s="2204">
        <f t="shared" si="115"/>
        <v>6.022201380257751E-5</v>
      </c>
      <c r="AJ151" s="2204">
        <f t="shared" si="115"/>
        <v>9.9751959877029424E-5</v>
      </c>
      <c r="AK151" s="2204">
        <f t="shared" si="115"/>
        <v>1.454561523128974E-4</v>
      </c>
      <c r="AL151" s="2204">
        <f t="shared" si="115"/>
        <v>1.7183878560301572E-4</v>
      </c>
      <c r="AM151" s="2204">
        <f t="shared" si="115"/>
        <v>1.5394112856035788E-4</v>
      </c>
      <c r="AN151" s="2204">
        <f t="shared" ref="AN151:BI151" si="116">1000*AN14/AN13*(AN150-AN41)/AN149</f>
        <v>2.7864685692046055E-4</v>
      </c>
      <c r="AO151" s="2204">
        <f t="shared" si="116"/>
        <v>3.1842482063063776E-4</v>
      </c>
      <c r="AP151" s="2204">
        <f t="shared" si="116"/>
        <v>3.1093735855252156E-4</v>
      </c>
      <c r="AQ151" s="2204">
        <f t="shared" si="116"/>
        <v>2.9343298671363787E-4</v>
      </c>
      <c r="AR151" s="2204">
        <f t="shared" si="116"/>
        <v>2.7602150701917598E-4</v>
      </c>
      <c r="AS151" s="2204">
        <f t="shared" si="116"/>
        <v>2.7586113169736354E-4</v>
      </c>
      <c r="AT151" s="2204">
        <f t="shared" si="116"/>
        <v>2.4356604366984608E-4</v>
      </c>
      <c r="AU151" s="2204">
        <f t="shared" si="116"/>
        <v>2.4356805864693656E-4</v>
      </c>
      <c r="AV151" s="2204">
        <f t="shared" si="116"/>
        <v>2.1585349022626627E-4</v>
      </c>
      <c r="AW151" s="2204">
        <f t="shared" si="116"/>
        <v>2.1585389410496759E-4</v>
      </c>
      <c r="AX151" s="2204">
        <f t="shared" si="116"/>
        <v>1.9530812363098554E-4</v>
      </c>
      <c r="AY151" s="2204">
        <f t="shared" si="116"/>
        <v>1.9530812646196576E-4</v>
      </c>
      <c r="AZ151" s="2204">
        <f t="shared" si="116"/>
        <v>1.9532361156184607E-4</v>
      </c>
      <c r="BA151" s="2204">
        <f t="shared" si="116"/>
        <v>1.7701202957256745E-4</v>
      </c>
      <c r="BB151" s="2204">
        <f t="shared" si="116"/>
        <v>1.8363443993198275E-4</v>
      </c>
      <c r="BC151" s="2204">
        <f t="shared" si="116"/>
        <v>0</v>
      </c>
      <c r="BD151" s="2204">
        <f t="shared" si="116"/>
        <v>1.0628592851016114E-3</v>
      </c>
      <c r="BE151" s="2204">
        <f t="shared" si="116"/>
        <v>1.9137647543194503E-4</v>
      </c>
      <c r="BF151" s="2204">
        <f t="shared" si="116"/>
        <v>1.9137647543194503E-4</v>
      </c>
      <c r="BG151" s="2204">
        <f t="shared" si="116"/>
        <v>4.4845560922784344E-5</v>
      </c>
      <c r="BH151" s="2204">
        <f t="shared" si="116"/>
        <v>6.9988991263443448E-4</v>
      </c>
      <c r="BI151" s="2204">
        <f t="shared" si="116"/>
        <v>1.6753976195100356E-3</v>
      </c>
    </row>
    <row r="152" spans="1:62" s="2306" customFormat="1" ht="25.5">
      <c r="B152" s="2307"/>
      <c r="C152" s="2307"/>
      <c r="D152" s="2332"/>
      <c r="E152" s="2310" t="s">
        <v>611</v>
      </c>
      <c r="F152" s="2310" t="s">
        <v>138</v>
      </c>
      <c r="G152" s="2311" t="s">
        <v>139</v>
      </c>
      <c r="H152" s="2312">
        <f t="shared" ref="H152:BI152" si="117">MIN(H151,H$19)</f>
        <v>4.9802053720432611E-4</v>
      </c>
      <c r="I152" s="2312">
        <f t="shared" si="117"/>
        <v>4.9802053720432611E-4</v>
      </c>
      <c r="J152" s="2312">
        <f>MIN(J151,J$19)</f>
        <v>2.7478838437639029E-4</v>
      </c>
      <c r="K152" s="2312">
        <f t="shared" si="117"/>
        <v>3.7031519823149957E-5</v>
      </c>
      <c r="L152" s="2312">
        <f t="shared" si="117"/>
        <v>1.5442333338168323E-4</v>
      </c>
      <c r="M152" s="2312">
        <f t="shared" si="117"/>
        <v>1.5442333338168323E-4</v>
      </c>
      <c r="N152" s="2312">
        <f>MIN(N151,N$19)</f>
        <v>1.0042297681868412E-4</v>
      </c>
      <c r="O152" s="2312">
        <f>MIN(O151,O$19)</f>
        <v>1.0042297681868412E-4</v>
      </c>
      <c r="P152" s="2312">
        <f t="shared" si="117"/>
        <v>9.1984242694848056E-5</v>
      </c>
      <c r="Q152" s="2312">
        <f t="shared" si="117"/>
        <v>9.1984242694848056E-5</v>
      </c>
      <c r="R152" s="2312">
        <f>MIN(R151,R$19)</f>
        <v>2.2883214292577979E-4</v>
      </c>
      <c r="S152" s="2312">
        <f>MIN(S151,S$19)</f>
        <v>2.0486690438750512E-4</v>
      </c>
      <c r="T152" s="2312">
        <f>MIN(T151,T$19)</f>
        <v>2.0486690438750512E-4</v>
      </c>
      <c r="U152" s="2312">
        <f t="shared" si="117"/>
        <v>5.1808424319147455E-5</v>
      </c>
      <c r="V152" s="2312">
        <f t="shared" si="117"/>
        <v>3.1652232047774111E-5</v>
      </c>
      <c r="W152" s="2312">
        <f t="shared" si="117"/>
        <v>3.1652232047774111E-5</v>
      </c>
      <c r="X152" s="2312">
        <f t="shared" si="117"/>
        <v>1.5045290092405015E-4</v>
      </c>
      <c r="Y152" s="2312">
        <f t="shared" si="117"/>
        <v>1.6783214799113056E-4</v>
      </c>
      <c r="Z152" s="2312">
        <f t="shared" si="117"/>
        <v>2.0178289485970859E-4</v>
      </c>
      <c r="AA152" s="2312">
        <f t="shared" si="117"/>
        <v>8.5601415741445673E-5</v>
      </c>
      <c r="AB152" s="2312">
        <f t="shared" si="117"/>
        <v>1.4537034274688068E-4</v>
      </c>
      <c r="AC152" s="2312">
        <f t="shared" si="117"/>
        <v>2.3910071773285076E-4</v>
      </c>
      <c r="AD152" s="2312">
        <f t="shared" si="117"/>
        <v>2.8865049617058779E-4</v>
      </c>
      <c r="AE152" s="2312">
        <f t="shared" si="117"/>
        <v>2.5549529946242237E-4</v>
      </c>
      <c r="AF152" s="2312">
        <f t="shared" si="117"/>
        <v>2.0532485707479642E-4</v>
      </c>
      <c r="AG152" s="2312">
        <f t="shared" si="117"/>
        <v>2.3037141829500553E-5</v>
      </c>
      <c r="AH152" s="2312">
        <f t="shared" si="117"/>
        <v>3.0767898703010778E-5</v>
      </c>
      <c r="AI152" s="2312">
        <f t="shared" si="117"/>
        <v>6.022201380257751E-5</v>
      </c>
      <c r="AJ152" s="2312">
        <f t="shared" si="117"/>
        <v>9.9751959877029424E-5</v>
      </c>
      <c r="AK152" s="2312">
        <f t="shared" si="117"/>
        <v>1.454561523128974E-4</v>
      </c>
      <c r="AL152" s="2312">
        <f t="shared" si="117"/>
        <v>1.7183878560301572E-4</v>
      </c>
      <c r="AM152" s="2312">
        <f t="shared" si="117"/>
        <v>1.5394112856035788E-4</v>
      </c>
      <c r="AN152" s="2312">
        <f t="shared" si="117"/>
        <v>2.7864685692046055E-4</v>
      </c>
      <c r="AO152" s="2312">
        <f t="shared" si="117"/>
        <v>3.1842482063063776E-4</v>
      </c>
      <c r="AP152" s="2312">
        <f t="shared" si="117"/>
        <v>3.1093735855252156E-4</v>
      </c>
      <c r="AQ152" s="2312">
        <f t="shared" si="117"/>
        <v>2.9343298671363787E-4</v>
      </c>
      <c r="AR152" s="2312">
        <f t="shared" si="117"/>
        <v>2.7602150701917598E-4</v>
      </c>
      <c r="AS152" s="2312">
        <f t="shared" si="117"/>
        <v>2.7586113169736354E-4</v>
      </c>
      <c r="AT152" s="2312">
        <f t="shared" si="117"/>
        <v>2.4356604366984608E-4</v>
      </c>
      <c r="AU152" s="2312">
        <f t="shared" si="117"/>
        <v>2.4356805864693656E-4</v>
      </c>
      <c r="AV152" s="2312">
        <f t="shared" si="117"/>
        <v>2.1585349022626627E-4</v>
      </c>
      <c r="AW152" s="2312">
        <f t="shared" si="117"/>
        <v>2.1585389410496759E-4</v>
      </c>
      <c r="AX152" s="2312">
        <f t="shared" si="117"/>
        <v>1.9530812363098554E-4</v>
      </c>
      <c r="AY152" s="2312">
        <f t="shared" si="117"/>
        <v>1.9530812646196576E-4</v>
      </c>
      <c r="AZ152" s="2312">
        <f t="shared" si="117"/>
        <v>1.9532361156184607E-4</v>
      </c>
      <c r="BA152" s="2312">
        <f t="shared" si="117"/>
        <v>1.7701202957256745E-4</v>
      </c>
      <c r="BB152" s="2312">
        <f t="shared" si="117"/>
        <v>1.8363443993198275E-4</v>
      </c>
      <c r="BC152" s="2312">
        <f t="shared" si="117"/>
        <v>0</v>
      </c>
      <c r="BD152" s="2312">
        <f t="shared" si="117"/>
        <v>1.0628592851016114E-3</v>
      </c>
      <c r="BE152" s="2312">
        <f t="shared" si="117"/>
        <v>1.9137647543194503E-4</v>
      </c>
      <c r="BF152" s="2312">
        <f t="shared" si="117"/>
        <v>1.9137647543194503E-4</v>
      </c>
      <c r="BG152" s="2312">
        <f t="shared" si="117"/>
        <v>3.7845498726782705E-5</v>
      </c>
      <c r="BH152" s="2312">
        <f t="shared" si="117"/>
        <v>6.9988991263443448E-4</v>
      </c>
      <c r="BI152" s="2312">
        <f t="shared" si="117"/>
        <v>1.6753976195100356E-3</v>
      </c>
    </row>
    <row r="153" spans="1:62" ht="25.5">
      <c r="A153" s="2126"/>
      <c r="B153" s="2156"/>
      <c r="C153" s="2156"/>
      <c r="D153" s="2333"/>
      <c r="E153" s="3655" t="s">
        <v>582</v>
      </c>
      <c r="F153" s="2153" t="s">
        <v>300</v>
      </c>
      <c r="G153" s="2220" t="s">
        <v>35</v>
      </c>
      <c r="H153" s="2221">
        <f t="shared" ref="H153:AM153" si="118">H123/H151</f>
        <v>1.3350248175997794</v>
      </c>
      <c r="I153" s="2221">
        <f t="shared" si="118"/>
        <v>1.3350248175997794</v>
      </c>
      <c r="J153" s="2221">
        <f t="shared" si="118"/>
        <v>2.4870134615887762</v>
      </c>
      <c r="K153" s="2221">
        <f t="shared" si="118"/>
        <v>16.222757522558382</v>
      </c>
      <c r="L153" s="2221">
        <f t="shared" si="118"/>
        <v>6.1809224835236503</v>
      </c>
      <c r="M153" s="2221">
        <f t="shared" si="118"/>
        <v>6.1809224835236503</v>
      </c>
      <c r="N153" s="2221">
        <f t="shared" si="118"/>
        <v>8.7524185487293877</v>
      </c>
      <c r="O153" s="2221">
        <f t="shared" si="118"/>
        <v>8.7524185487293877</v>
      </c>
      <c r="P153" s="2221">
        <f t="shared" si="118"/>
        <v>8.7323311274414923</v>
      </c>
      <c r="Q153" s="2221">
        <f t="shared" si="118"/>
        <v>8.7323311274414923</v>
      </c>
      <c r="R153" s="2221">
        <f t="shared" si="118"/>
        <v>20.116141715768936</v>
      </c>
      <c r="S153" s="2221">
        <f t="shared" si="118"/>
        <v>6.5833954009708453</v>
      </c>
      <c r="T153" s="2221">
        <f t="shared" si="118"/>
        <v>6.5833954009708453</v>
      </c>
      <c r="U153" s="2221">
        <f t="shared" si="118"/>
        <v>11.907256034205238</v>
      </c>
      <c r="V153" s="2221">
        <f t="shared" si="118"/>
        <v>9.3249852497784502</v>
      </c>
      <c r="W153" s="2221">
        <f t="shared" si="118"/>
        <v>9.3249852497784502</v>
      </c>
      <c r="X153" s="2221">
        <f t="shared" si="118"/>
        <v>7.0632951604405001</v>
      </c>
      <c r="Y153" s="2221">
        <f t="shared" si="118"/>
        <v>5.687961208299332</v>
      </c>
      <c r="Z153" s="2221">
        <f t="shared" si="118"/>
        <v>4.3381826200560702</v>
      </c>
      <c r="AA153" s="2221">
        <f t="shared" si="118"/>
        <v>8.7611380114271373</v>
      </c>
      <c r="AB153" s="2221">
        <f t="shared" si="118"/>
        <v>2.8249771656971152</v>
      </c>
      <c r="AC153" s="2221">
        <f t="shared" si="118"/>
        <v>1.5854325493140011</v>
      </c>
      <c r="AD153" s="2221">
        <f t="shared" si="118"/>
        <v>1.1381734084026742</v>
      </c>
      <c r="AE153" s="2221">
        <f t="shared" si="118"/>
        <v>1.0151623133829315</v>
      </c>
      <c r="AF153" s="2221">
        <f t="shared" si="118"/>
        <v>1.0000442827044114</v>
      </c>
      <c r="AG153" s="2221">
        <f t="shared" si="118"/>
        <v>13.764385402368742</v>
      </c>
      <c r="AH153" s="2221">
        <f t="shared" si="118"/>
        <v>10.834640065860366</v>
      </c>
      <c r="AI153" s="2221">
        <f t="shared" si="118"/>
        <v>6.294675925330421</v>
      </c>
      <c r="AJ153" s="2221">
        <f t="shared" si="118"/>
        <v>3.0876678964685813</v>
      </c>
      <c r="AK153" s="2221">
        <f t="shared" si="118"/>
        <v>1.6939863689481951</v>
      </c>
      <c r="AL153" s="2221">
        <f t="shared" si="118"/>
        <v>1.0621529098099132</v>
      </c>
      <c r="AM153" s="2221">
        <f t="shared" si="118"/>
        <v>1.0003854298150201</v>
      </c>
      <c r="AN153" s="2221">
        <f t="shared" ref="AN153:BI153" si="119">AN123/AN151</f>
        <v>1.3796334197124955</v>
      </c>
      <c r="AO153" s="2221">
        <f t="shared" si="119"/>
        <v>1.0168348840625561</v>
      </c>
      <c r="AP153" s="2221">
        <f t="shared" si="119"/>
        <v>1.0277478103682665</v>
      </c>
      <c r="AQ153" s="2221">
        <f t="shared" si="119"/>
        <v>1.0104900666052741</v>
      </c>
      <c r="AR153" s="2221">
        <f t="shared" si="119"/>
        <v>1.0018930865289906</v>
      </c>
      <c r="AS153" s="2221">
        <f t="shared" si="119"/>
        <v>1.0024755496153455</v>
      </c>
      <c r="AT153" s="2221">
        <f t="shared" si="119"/>
        <v>1.0001367314550287</v>
      </c>
      <c r="AU153" s="2221">
        <f t="shared" si="119"/>
        <v>1.0001284575762104</v>
      </c>
      <c r="AV153" s="2221">
        <f t="shared" si="119"/>
        <v>1.0000161536394891</v>
      </c>
      <c r="AW153" s="2221">
        <f t="shared" si="119"/>
        <v>1.0000142825348373</v>
      </c>
      <c r="AX153" s="2221">
        <f t="shared" si="119"/>
        <v>1.0000000427143596</v>
      </c>
      <c r="AY153" s="2221">
        <f t="shared" si="119"/>
        <v>1.0000000282194157</v>
      </c>
      <c r="AZ153" s="2221">
        <f t="shared" si="119"/>
        <v>1.0000000134432709</v>
      </c>
      <c r="BA153" s="2221">
        <f t="shared" si="119"/>
        <v>0.99999997618792436</v>
      </c>
      <c r="BB153" s="2221">
        <f t="shared" si="119"/>
        <v>1.0000001939806495</v>
      </c>
      <c r="BC153" s="2221" t="e">
        <f t="shared" si="119"/>
        <v>#DIV/0!</v>
      </c>
      <c r="BD153" s="2221">
        <f t="shared" si="119"/>
        <v>1.0005216418346099</v>
      </c>
      <c r="BE153" s="2221">
        <f t="shared" si="119"/>
        <v>1.0000143150120941</v>
      </c>
      <c r="BF153" s="2221">
        <f t="shared" si="119"/>
        <v>1.0000143150120941</v>
      </c>
      <c r="BG153" s="2221">
        <f t="shared" si="119"/>
        <v>8.8778401400919122</v>
      </c>
      <c r="BH153" s="2221">
        <f t="shared" si="119"/>
        <v>1.0005814133940367</v>
      </c>
      <c r="BI153" s="2221">
        <f t="shared" si="119"/>
        <v>1.3004084811982419</v>
      </c>
    </row>
    <row r="154" spans="1:62" ht="25.5">
      <c r="A154" s="2126"/>
      <c r="B154" s="2156"/>
      <c r="C154" s="2156"/>
      <c r="D154" s="2333"/>
      <c r="E154" s="3658" t="s">
        <v>583</v>
      </c>
      <c r="F154" s="2217" t="s">
        <v>300</v>
      </c>
      <c r="G154" s="2222" t="s">
        <v>35</v>
      </c>
      <c r="H154" s="2223">
        <f t="shared" ref="H154:AM154" si="120">H129/H152</f>
        <v>1.3350248175997794</v>
      </c>
      <c r="I154" s="2223">
        <f t="shared" si="120"/>
        <v>1.3350248175997794</v>
      </c>
      <c r="J154" s="2223">
        <f t="shared" si="120"/>
        <v>2.4870134615887762</v>
      </c>
      <c r="K154" s="2223">
        <f t="shared" si="120"/>
        <v>1</v>
      </c>
      <c r="L154" s="2223">
        <f t="shared" si="120"/>
        <v>1.2826136266818018</v>
      </c>
      <c r="M154" s="2223">
        <f t="shared" si="120"/>
        <v>1.2826136266818018</v>
      </c>
      <c r="N154" s="2223">
        <f t="shared" si="120"/>
        <v>1</v>
      </c>
      <c r="O154" s="2223">
        <f t="shared" si="120"/>
        <v>1</v>
      </c>
      <c r="P154" s="2223">
        <f t="shared" si="120"/>
        <v>1</v>
      </c>
      <c r="Q154" s="2223">
        <f t="shared" si="120"/>
        <v>1</v>
      </c>
      <c r="R154" s="2223">
        <f t="shared" si="120"/>
        <v>1</v>
      </c>
      <c r="S154" s="2223">
        <f t="shared" si="120"/>
        <v>1.1905866319709864</v>
      </c>
      <c r="T154" s="2223">
        <f t="shared" si="120"/>
        <v>1.1905866319709864</v>
      </c>
      <c r="U154" s="2223">
        <f t="shared" si="120"/>
        <v>1</v>
      </c>
      <c r="V154" s="2223">
        <f t="shared" si="120"/>
        <v>1</v>
      </c>
      <c r="W154" s="2223">
        <f t="shared" si="120"/>
        <v>1</v>
      </c>
      <c r="X154" s="2223">
        <f t="shared" si="120"/>
        <v>1.0966327887899123</v>
      </c>
      <c r="Y154" s="2223">
        <f t="shared" si="120"/>
        <v>1.4184579980682197</v>
      </c>
      <c r="Z154" s="2223">
        <f t="shared" si="120"/>
        <v>1.9921697080444978</v>
      </c>
      <c r="AA154" s="2223">
        <f t="shared" si="120"/>
        <v>1</v>
      </c>
      <c r="AB154" s="2223">
        <f t="shared" si="120"/>
        <v>2.8249771656971152</v>
      </c>
      <c r="AC154" s="2223">
        <f t="shared" si="120"/>
        <v>1.5854325493140011</v>
      </c>
      <c r="AD154" s="2223">
        <f t="shared" si="120"/>
        <v>1.1381734084026742</v>
      </c>
      <c r="AE154" s="2223">
        <f t="shared" si="120"/>
        <v>1.0151623133829315</v>
      </c>
      <c r="AF154" s="2223">
        <f t="shared" si="120"/>
        <v>1.0000442827044114</v>
      </c>
      <c r="AG154" s="2223">
        <f t="shared" si="120"/>
        <v>1</v>
      </c>
      <c r="AH154" s="2223">
        <f t="shared" si="120"/>
        <v>1</v>
      </c>
      <c r="AI154" s="2223">
        <f t="shared" si="120"/>
        <v>1.2564920230423915</v>
      </c>
      <c r="AJ154" s="2223">
        <f t="shared" si="120"/>
        <v>3.0876678964685813</v>
      </c>
      <c r="AK154" s="2223">
        <f t="shared" si="120"/>
        <v>1.6939863689481951</v>
      </c>
      <c r="AL154" s="2223">
        <f t="shared" si="120"/>
        <v>1.0621529098099132</v>
      </c>
      <c r="AM154" s="2223">
        <f t="shared" si="120"/>
        <v>1.0003854298150201</v>
      </c>
      <c r="AN154" s="2223">
        <f t="shared" ref="AN154:BI154" si="121">AN129/AN152</f>
        <v>1.3796334197124955</v>
      </c>
      <c r="AO154" s="2223">
        <f t="shared" si="121"/>
        <v>1.0168348840625561</v>
      </c>
      <c r="AP154" s="2223">
        <f t="shared" si="121"/>
        <v>1.0277478103682665</v>
      </c>
      <c r="AQ154" s="2223">
        <f t="shared" si="121"/>
        <v>1.0104900666052741</v>
      </c>
      <c r="AR154" s="2223">
        <f t="shared" si="121"/>
        <v>1.0018930865289906</v>
      </c>
      <c r="AS154" s="2223">
        <f t="shared" si="121"/>
        <v>1.0024755496153455</v>
      </c>
      <c r="AT154" s="2223">
        <f t="shared" si="121"/>
        <v>1.0001367314550287</v>
      </c>
      <c r="AU154" s="2223">
        <f t="shared" si="121"/>
        <v>1.0001284575762104</v>
      </c>
      <c r="AV154" s="2223">
        <f t="shared" si="121"/>
        <v>1.0000161536394891</v>
      </c>
      <c r="AW154" s="2223">
        <f t="shared" si="121"/>
        <v>1.0000142825348373</v>
      </c>
      <c r="AX154" s="2223">
        <f t="shared" si="121"/>
        <v>1.0000000427143596</v>
      </c>
      <c r="AY154" s="2223">
        <f t="shared" si="121"/>
        <v>1.0000000282194157</v>
      </c>
      <c r="AZ154" s="2223">
        <f t="shared" si="121"/>
        <v>1.0000000134432709</v>
      </c>
      <c r="BA154" s="2223">
        <f t="shared" si="121"/>
        <v>0.99999997618792436</v>
      </c>
      <c r="BB154" s="2223">
        <f t="shared" si="121"/>
        <v>1.0000001939806495</v>
      </c>
      <c r="BC154" s="2223" t="e">
        <f t="shared" si="121"/>
        <v>#DIV/0!</v>
      </c>
      <c r="BD154" s="2223">
        <f t="shared" si="121"/>
        <v>1.0005216418346099</v>
      </c>
      <c r="BE154" s="2223">
        <f t="shared" si="121"/>
        <v>1.0000143150120941</v>
      </c>
      <c r="BF154" s="2223">
        <f t="shared" si="121"/>
        <v>1.0000143150120941</v>
      </c>
      <c r="BG154" s="2223">
        <f t="shared" si="121"/>
        <v>1</v>
      </c>
      <c r="BH154" s="2223">
        <f t="shared" si="121"/>
        <v>1.0005814133940367</v>
      </c>
      <c r="BI154" s="2223">
        <f t="shared" si="121"/>
        <v>1.3004084811982419</v>
      </c>
    </row>
    <row r="155" spans="1:62">
      <c r="A155" s="2126"/>
      <c r="B155" s="2156"/>
      <c r="C155" s="2156"/>
      <c r="D155" s="2333"/>
      <c r="E155" s="3655"/>
      <c r="F155" s="2153"/>
      <c r="G155" s="2154"/>
      <c r="H155" s="2156"/>
      <c r="I155" s="2156"/>
      <c r="J155" s="2156"/>
      <c r="K155" s="2156"/>
      <c r="L155" s="2156"/>
      <c r="M155" s="2156"/>
      <c r="N155" s="2156"/>
      <c r="O155" s="2156"/>
      <c r="P155" s="2156"/>
      <c r="Q155" s="2156"/>
      <c r="S155" s="2156"/>
      <c r="T155" s="2156"/>
      <c r="U155" s="2156"/>
      <c r="V155" s="2156"/>
      <c r="W155" s="2156"/>
      <c r="X155" s="2156"/>
      <c r="Y155" s="2156"/>
      <c r="Z155" s="2156"/>
      <c r="AA155" s="2156"/>
      <c r="AB155" s="2156"/>
      <c r="AC155" s="2156"/>
      <c r="AD155" s="2156"/>
      <c r="AE155" s="2156"/>
      <c r="AF155" s="2156"/>
      <c r="AG155" s="2156"/>
      <c r="AH155" s="2156"/>
      <c r="AI155" s="2156"/>
      <c r="AJ155" s="2156"/>
      <c r="AK155" s="2156"/>
      <c r="AL155" s="2156"/>
      <c r="AM155" s="2156"/>
      <c r="AN155" s="2156"/>
      <c r="AO155" s="2156"/>
      <c r="AP155" s="2156"/>
      <c r="AQ155" s="2156"/>
      <c r="AR155" s="2156"/>
      <c r="AS155" s="2156"/>
      <c r="AT155" s="2156"/>
      <c r="AU155" s="2156"/>
      <c r="AV155" s="2156"/>
      <c r="AW155" s="2156"/>
      <c r="AX155" s="2156"/>
      <c r="AY155" s="2156"/>
      <c r="AZ155" s="2156"/>
      <c r="BA155" s="2156"/>
      <c r="BB155" s="2156"/>
      <c r="BC155" s="2156"/>
      <c r="BD155" s="2156"/>
      <c r="BE155" s="2156"/>
      <c r="BF155" s="2156"/>
      <c r="BG155" s="2156"/>
      <c r="BH155" s="2156"/>
      <c r="BI155" s="2156"/>
    </row>
    <row r="156" spans="1:62">
      <c r="A156" s="2126"/>
      <c r="B156" s="2156"/>
      <c r="C156" s="2156"/>
      <c r="D156" s="2333"/>
      <c r="E156" s="3660" t="s">
        <v>950</v>
      </c>
      <c r="F156" s="2153"/>
      <c r="G156" s="2154"/>
      <c r="H156" s="2156"/>
      <c r="I156" s="2156"/>
      <c r="J156" s="2156"/>
      <c r="K156" s="2156"/>
      <c r="L156" s="2156"/>
      <c r="M156" s="2156"/>
      <c r="N156" s="2156"/>
      <c r="O156" s="2156"/>
      <c r="P156" s="2156"/>
      <c r="Q156" s="2156"/>
      <c r="S156" s="2156"/>
      <c r="T156" s="2156"/>
      <c r="U156" s="2156"/>
      <c r="V156" s="2156"/>
      <c r="W156" s="2156"/>
      <c r="X156" s="2156"/>
      <c r="Y156" s="2156"/>
      <c r="Z156" s="2156"/>
      <c r="AA156" s="2156"/>
      <c r="AB156" s="2156"/>
      <c r="AC156" s="2156"/>
      <c r="AD156" s="2156"/>
      <c r="AE156" s="2156"/>
      <c r="AF156" s="2156"/>
      <c r="AG156" s="2156"/>
      <c r="AH156" s="2156"/>
      <c r="AI156" s="2156"/>
      <c r="AJ156" s="2156"/>
      <c r="AK156" s="2156"/>
      <c r="AL156" s="2156"/>
      <c r="AM156" s="2156"/>
      <c r="AN156" s="2156"/>
      <c r="AO156" s="2156"/>
      <c r="AP156" s="2156"/>
      <c r="AQ156" s="2156"/>
      <c r="AR156" s="2156"/>
      <c r="AS156" s="2156"/>
      <c r="AT156" s="2156"/>
      <c r="AU156" s="2156"/>
      <c r="AV156" s="2156"/>
      <c r="AW156" s="2156"/>
      <c r="AX156" s="2156"/>
      <c r="AY156" s="2156"/>
      <c r="AZ156" s="2156"/>
      <c r="BA156" s="2156"/>
      <c r="BB156" s="2156"/>
      <c r="BC156" s="2156"/>
      <c r="BD156" s="2156"/>
      <c r="BE156" s="2156"/>
      <c r="BF156" s="2156"/>
      <c r="BG156" s="2156"/>
      <c r="BH156" s="2156"/>
      <c r="BI156" s="2156"/>
    </row>
    <row r="157" spans="1:62">
      <c r="A157" s="2126"/>
      <c r="B157" s="2156"/>
      <c r="C157" s="2156"/>
      <c r="D157" s="2333"/>
      <c r="E157" s="3655" t="str">
        <f>E$23</f>
        <v>Durée d'exposition considérée</v>
      </c>
      <c r="F157" s="525" t="str">
        <f>F$23</f>
        <v>t</v>
      </c>
      <c r="G157" s="526" t="s">
        <v>951</v>
      </c>
      <c r="H157" s="2224">
        <f t="shared" ref="H157:AL157" si="122">H158/(30.5*24*3600)</f>
        <v>2</v>
      </c>
      <c r="I157" s="2224">
        <f t="shared" si="122"/>
        <v>2</v>
      </c>
      <c r="J157" s="2224">
        <f>J158/(30.5*24*3600)</f>
        <v>2</v>
      </c>
      <c r="K157" s="2224">
        <f t="shared" si="122"/>
        <v>2</v>
      </c>
      <c r="L157" s="2224">
        <f t="shared" si="122"/>
        <v>2</v>
      </c>
      <c r="M157" s="2224">
        <f t="shared" si="122"/>
        <v>2</v>
      </c>
      <c r="N157" s="2224">
        <f>N158/(30.5*24*3600)</f>
        <v>2</v>
      </c>
      <c r="O157" s="2224">
        <f>O158/(30.5*24*3600)</f>
        <v>2</v>
      </c>
      <c r="P157" s="2224">
        <f t="shared" si="122"/>
        <v>2</v>
      </c>
      <c r="Q157" s="2224">
        <f t="shared" si="122"/>
        <v>2</v>
      </c>
      <c r="R157" s="2224">
        <f>R158/(30.5*24*3600)</f>
        <v>2</v>
      </c>
      <c r="S157" s="2224">
        <f>S158/(30.5*24*3600)</f>
        <v>2</v>
      </c>
      <c r="T157" s="2224">
        <f>T158/(30.5*24*3600)</f>
        <v>2</v>
      </c>
      <c r="U157" s="2224">
        <f t="shared" si="122"/>
        <v>2</v>
      </c>
      <c r="V157" s="2224">
        <f t="shared" si="122"/>
        <v>2</v>
      </c>
      <c r="W157" s="2224">
        <f t="shared" si="122"/>
        <v>2</v>
      </c>
      <c r="X157" s="2224">
        <f t="shared" si="122"/>
        <v>2</v>
      </c>
      <c r="Y157" s="2224">
        <f t="shared" si="122"/>
        <v>2</v>
      </c>
      <c r="Z157" s="2224">
        <f t="shared" si="122"/>
        <v>2</v>
      </c>
      <c r="AA157" s="2224">
        <f t="shared" si="122"/>
        <v>2</v>
      </c>
      <c r="AB157" s="2224">
        <f t="shared" si="122"/>
        <v>2</v>
      </c>
      <c r="AC157" s="2224">
        <f t="shared" si="122"/>
        <v>2</v>
      </c>
      <c r="AD157" s="2224">
        <f t="shared" si="122"/>
        <v>2</v>
      </c>
      <c r="AE157" s="2224">
        <f t="shared" si="122"/>
        <v>2</v>
      </c>
      <c r="AF157" s="2224">
        <f t="shared" si="122"/>
        <v>2</v>
      </c>
      <c r="AG157" s="2224">
        <f t="shared" si="122"/>
        <v>2</v>
      </c>
      <c r="AH157" s="2224">
        <f t="shared" si="122"/>
        <v>2</v>
      </c>
      <c r="AI157" s="2224">
        <f t="shared" si="122"/>
        <v>2</v>
      </c>
      <c r="AJ157" s="2224">
        <f t="shared" si="122"/>
        <v>2</v>
      </c>
      <c r="AK157" s="2224">
        <f t="shared" si="122"/>
        <v>2</v>
      </c>
      <c r="AL157" s="2224">
        <f t="shared" si="122"/>
        <v>2</v>
      </c>
      <c r="AM157" s="2224">
        <f t="shared" ref="AM157:BI157" si="123">AM158/(30.5*24*3600)</f>
        <v>2</v>
      </c>
      <c r="AN157" s="2224">
        <f t="shared" si="123"/>
        <v>2</v>
      </c>
      <c r="AO157" s="2224">
        <f t="shared" si="123"/>
        <v>2</v>
      </c>
      <c r="AP157" s="2224">
        <f t="shared" si="123"/>
        <v>2</v>
      </c>
      <c r="AQ157" s="2224">
        <f t="shared" si="123"/>
        <v>2</v>
      </c>
      <c r="AR157" s="2224">
        <f t="shared" si="123"/>
        <v>2</v>
      </c>
      <c r="AS157" s="2224">
        <f t="shared" si="123"/>
        <v>2</v>
      </c>
      <c r="AT157" s="2224">
        <f t="shared" si="123"/>
        <v>2</v>
      </c>
      <c r="AU157" s="2224">
        <f t="shared" si="123"/>
        <v>2</v>
      </c>
      <c r="AV157" s="2224">
        <f t="shared" si="123"/>
        <v>2</v>
      </c>
      <c r="AW157" s="2224">
        <f t="shared" si="123"/>
        <v>2</v>
      </c>
      <c r="AX157" s="2224">
        <f t="shared" si="123"/>
        <v>2</v>
      </c>
      <c r="AY157" s="2224">
        <f t="shared" si="123"/>
        <v>2</v>
      </c>
      <c r="AZ157" s="2224">
        <f t="shared" si="123"/>
        <v>2</v>
      </c>
      <c r="BA157" s="2224">
        <f t="shared" si="123"/>
        <v>2</v>
      </c>
      <c r="BB157" s="2224">
        <f t="shared" si="123"/>
        <v>2</v>
      </c>
      <c r="BC157" s="2224">
        <f t="shared" si="123"/>
        <v>2</v>
      </c>
      <c r="BD157" s="2224">
        <f t="shared" si="123"/>
        <v>2</v>
      </c>
      <c r="BE157" s="2224">
        <f t="shared" si="123"/>
        <v>2</v>
      </c>
      <c r="BF157" s="2224">
        <f t="shared" si="123"/>
        <v>2</v>
      </c>
      <c r="BG157" s="2224">
        <f t="shared" si="123"/>
        <v>2</v>
      </c>
      <c r="BH157" s="2224">
        <f t="shared" si="123"/>
        <v>2</v>
      </c>
      <c r="BI157" s="2224">
        <f t="shared" si="123"/>
        <v>2</v>
      </c>
    </row>
    <row r="158" spans="1:62" s="529" customFormat="1" ht="13.15" customHeight="1">
      <c r="A158" s="523"/>
      <c r="B158" s="224"/>
      <c r="C158" s="524"/>
      <c r="D158" s="2333"/>
      <c r="E158" s="3655" t="str">
        <f>E$23</f>
        <v>Durée d'exposition considérée</v>
      </c>
      <c r="F158" s="525" t="str">
        <f>F$23</f>
        <v>t</v>
      </c>
      <c r="G158" s="526" t="str">
        <f t="shared" ref="G158:AK158" si="124">G$23</f>
        <v>s</v>
      </c>
      <c r="H158" s="2161">
        <f t="shared" si="124"/>
        <v>5270400</v>
      </c>
      <c r="I158" s="2161">
        <f t="shared" si="124"/>
        <v>5270400</v>
      </c>
      <c r="J158" s="2161">
        <f>J$23</f>
        <v>5270400</v>
      </c>
      <c r="K158" s="2161">
        <f t="shared" si="124"/>
        <v>5270400</v>
      </c>
      <c r="L158" s="2161">
        <f t="shared" si="124"/>
        <v>5270400</v>
      </c>
      <c r="M158" s="2161">
        <f t="shared" si="124"/>
        <v>5270400</v>
      </c>
      <c r="N158" s="2161">
        <f>N$23</f>
        <v>5270400</v>
      </c>
      <c r="O158" s="2161">
        <f>O$23</f>
        <v>5270400</v>
      </c>
      <c r="P158" s="2161">
        <f t="shared" si="124"/>
        <v>5270400</v>
      </c>
      <c r="Q158" s="2161">
        <f t="shared" si="124"/>
        <v>5270400</v>
      </c>
      <c r="R158" s="2161">
        <f>R$23</f>
        <v>5270400</v>
      </c>
      <c r="S158" s="2161">
        <f>S$23</f>
        <v>5270400</v>
      </c>
      <c r="T158" s="2161">
        <f>T$23</f>
        <v>5270400</v>
      </c>
      <c r="U158" s="2161">
        <f t="shared" si="124"/>
        <v>5270400</v>
      </c>
      <c r="V158" s="2161">
        <f t="shared" si="124"/>
        <v>5270400</v>
      </c>
      <c r="W158" s="2161">
        <f t="shared" si="124"/>
        <v>5270400</v>
      </c>
      <c r="X158" s="2161">
        <f t="shared" si="124"/>
        <v>5270400</v>
      </c>
      <c r="Y158" s="2161">
        <f t="shared" si="124"/>
        <v>5270400</v>
      </c>
      <c r="Z158" s="2161">
        <f t="shared" si="124"/>
        <v>5270400</v>
      </c>
      <c r="AA158" s="2215">
        <f t="shared" si="124"/>
        <v>5270400</v>
      </c>
      <c r="AB158" s="2161">
        <f t="shared" si="124"/>
        <v>5270400</v>
      </c>
      <c r="AC158" s="2161">
        <f t="shared" si="124"/>
        <v>5270400</v>
      </c>
      <c r="AD158" s="2161">
        <f t="shared" si="124"/>
        <v>5270400</v>
      </c>
      <c r="AE158" s="2161">
        <f t="shared" si="124"/>
        <v>5270400</v>
      </c>
      <c r="AF158" s="2161">
        <f t="shared" si="124"/>
        <v>5270400</v>
      </c>
      <c r="AG158" s="2161">
        <f t="shared" si="124"/>
        <v>5270400</v>
      </c>
      <c r="AH158" s="2161">
        <f t="shared" si="124"/>
        <v>5270400</v>
      </c>
      <c r="AI158" s="2161">
        <f t="shared" si="124"/>
        <v>5270400</v>
      </c>
      <c r="AJ158" s="2161">
        <f t="shared" si="124"/>
        <v>5270400</v>
      </c>
      <c r="AK158" s="2161">
        <f t="shared" si="124"/>
        <v>5270400</v>
      </c>
      <c r="AL158" s="2161">
        <f t="shared" ref="AL158:BI158" si="125">AL$23</f>
        <v>5270400</v>
      </c>
      <c r="AM158" s="2161">
        <f t="shared" si="125"/>
        <v>5270400</v>
      </c>
      <c r="AN158" s="2155">
        <f t="shared" si="125"/>
        <v>5270400</v>
      </c>
      <c r="AO158" s="2161">
        <f t="shared" si="125"/>
        <v>5270400</v>
      </c>
      <c r="AP158" s="2161">
        <f t="shared" si="125"/>
        <v>5270400</v>
      </c>
      <c r="AQ158" s="2161">
        <f t="shared" si="125"/>
        <v>5270400</v>
      </c>
      <c r="AR158" s="2161">
        <f t="shared" si="125"/>
        <v>5270400</v>
      </c>
      <c r="AS158" s="2161">
        <f t="shared" si="125"/>
        <v>5270400</v>
      </c>
      <c r="AT158" s="2161">
        <f t="shared" si="125"/>
        <v>5270400</v>
      </c>
      <c r="AU158" s="2161">
        <f t="shared" si="125"/>
        <v>5270400</v>
      </c>
      <c r="AV158" s="2161">
        <f t="shared" si="125"/>
        <v>5270400</v>
      </c>
      <c r="AW158" s="2161">
        <f t="shared" si="125"/>
        <v>5270400</v>
      </c>
      <c r="AX158" s="2161">
        <f t="shared" si="125"/>
        <v>5270400</v>
      </c>
      <c r="AY158" s="2161">
        <f t="shared" si="125"/>
        <v>5270400</v>
      </c>
      <c r="AZ158" s="2161">
        <f t="shared" si="125"/>
        <v>5270400</v>
      </c>
      <c r="BA158" s="2161">
        <f t="shared" si="125"/>
        <v>5270400</v>
      </c>
      <c r="BB158" s="2161">
        <f t="shared" si="125"/>
        <v>5270400</v>
      </c>
      <c r="BC158" s="2161">
        <f t="shared" si="125"/>
        <v>5270400</v>
      </c>
      <c r="BD158" s="2161">
        <f t="shared" si="125"/>
        <v>5270400</v>
      </c>
      <c r="BE158" s="2161">
        <f t="shared" si="125"/>
        <v>5270400</v>
      </c>
      <c r="BF158" s="2161">
        <f t="shared" si="125"/>
        <v>5270400</v>
      </c>
      <c r="BG158" s="2161">
        <f t="shared" si="125"/>
        <v>5270400</v>
      </c>
      <c r="BH158" s="2161">
        <f t="shared" si="125"/>
        <v>5270400</v>
      </c>
      <c r="BI158" s="2161">
        <f t="shared" si="125"/>
        <v>5270400</v>
      </c>
    </row>
    <row r="159" spans="1:62" ht="15.75">
      <c r="A159" s="2126"/>
      <c r="B159" s="2156"/>
      <c r="C159" s="2156"/>
      <c r="D159" s="2333"/>
      <c r="E159" s="3655" t="s">
        <v>297</v>
      </c>
      <c r="F159" s="2225" t="s">
        <v>1131</v>
      </c>
      <c r="G159" s="2226" t="s">
        <v>73</v>
      </c>
      <c r="H159" s="2227">
        <f t="shared" ref="H159:AM159" si="126">(2*H145*H13*0.001/H14*H158+(H41+H145*H119)^2)^0.5-H145*H119</f>
        <v>6.0900481634176273E-3</v>
      </c>
      <c r="I159" s="2227">
        <f t="shared" si="126"/>
        <v>6.0900481634176273E-3</v>
      </c>
      <c r="J159" s="2227">
        <f t="shared" si="126"/>
        <v>3.839388125179094E-2</v>
      </c>
      <c r="K159" s="2227">
        <f t="shared" si="126"/>
        <v>2.6803204154241618</v>
      </c>
      <c r="L159" s="2227">
        <f t="shared" si="126"/>
        <v>0.84278620731197718</v>
      </c>
      <c r="M159" s="2227">
        <f t="shared" si="126"/>
        <v>0.84278620731197718</v>
      </c>
      <c r="N159" s="2227">
        <f t="shared" si="126"/>
        <v>1.310056242449986</v>
      </c>
      <c r="O159" s="2227">
        <f t="shared" si="126"/>
        <v>1.310056242449986</v>
      </c>
      <c r="P159" s="2227">
        <f t="shared" si="126"/>
        <v>1.3062343922225699</v>
      </c>
      <c r="Q159" s="2227">
        <f t="shared" si="126"/>
        <v>1.3062343922225699</v>
      </c>
      <c r="R159" s="2227">
        <f t="shared" si="126"/>
        <v>3.3967939521564383</v>
      </c>
      <c r="S159" s="2227">
        <f t="shared" si="126"/>
        <v>0.91543291275946692</v>
      </c>
      <c r="T159" s="2227">
        <f t="shared" si="126"/>
        <v>0.91543291275946692</v>
      </c>
      <c r="U159" s="2227">
        <f t="shared" si="126"/>
        <v>1.8877240779625541</v>
      </c>
      <c r="V159" s="2227">
        <f t="shared" si="126"/>
        <v>1.4144125949237429</v>
      </c>
      <c r="W159" s="2227">
        <f t="shared" si="126"/>
        <v>1.4144125949237429</v>
      </c>
      <c r="X159" s="2227">
        <f t="shared" si="126"/>
        <v>1.0023661431201618</v>
      </c>
      <c r="Y159" s="2227">
        <f t="shared" si="126"/>
        <v>0.75315324624373392</v>
      </c>
      <c r="Z159" s="2227">
        <f t="shared" si="126"/>
        <v>0.51159801675373018</v>
      </c>
      <c r="AA159" s="2227">
        <f t="shared" si="126"/>
        <v>0.39194662325224655</v>
      </c>
      <c r="AB159" s="2227">
        <f t="shared" si="126"/>
        <v>0.25002231660682883</v>
      </c>
      <c r="AC159" s="2227">
        <f t="shared" si="126"/>
        <v>6.1592552051923988E-2</v>
      </c>
      <c r="AD159" s="2227">
        <f t="shared" si="126"/>
        <v>1.1577668166616401E-2</v>
      </c>
      <c r="AE159" s="2227">
        <f t="shared" si="126"/>
        <v>1.1659356211073668E-3</v>
      </c>
      <c r="AF159" s="2227">
        <f t="shared" si="126"/>
        <v>3.8355234281972628E-6</v>
      </c>
      <c r="AG159" s="2227">
        <f t="shared" si="126"/>
        <v>2.2284499914748355</v>
      </c>
      <c r="AH159" s="2227">
        <f t="shared" si="126"/>
        <v>1.6907893083362979</v>
      </c>
      <c r="AI159" s="2227">
        <f t="shared" si="126"/>
        <v>0.86240829802591712</v>
      </c>
      <c r="AJ159" s="2227">
        <f t="shared" si="126"/>
        <v>0.29404966740339911</v>
      </c>
      <c r="AK159" s="2227">
        <f t="shared" si="126"/>
        <v>7.5841690885250473E-2</v>
      </c>
      <c r="AL159" s="2227">
        <f t="shared" si="126"/>
        <v>4.921449190440963E-3</v>
      </c>
      <c r="AM159" s="2227">
        <f t="shared" si="126"/>
        <v>2.9056496605145421E-5</v>
      </c>
      <c r="AN159" s="2227">
        <f t="shared" ref="AN159:BI159" si="127">(2*AN145*AN13*0.001/AN14*AN158+(AN41+AN145*AN119)^2)^0.5-AN145*AN119</f>
        <v>5.703279161523106E-3</v>
      </c>
      <c r="AO159" s="2227">
        <f t="shared" si="127"/>
        <v>1.3243650122091999E-3</v>
      </c>
      <c r="AP159" s="2227">
        <f t="shared" si="127"/>
        <v>2.1826036579324082E-3</v>
      </c>
      <c r="AQ159" s="2227">
        <f t="shared" si="127"/>
        <v>8.2244477459564314E-4</v>
      </c>
      <c r="AR159" s="2227">
        <f t="shared" si="127"/>
        <v>1.5380152055652352E-4</v>
      </c>
      <c r="AS159" s="2227">
        <f t="shared" si="127"/>
        <v>1.9863369257078212E-4</v>
      </c>
      <c r="AT159" s="2227">
        <f t="shared" si="127"/>
        <v>1.2777060153013053E-5</v>
      </c>
      <c r="AU159" s="2227">
        <f t="shared" si="127"/>
        <v>1.229169410299491E-5</v>
      </c>
      <c r="AV159" s="2227">
        <f t="shared" si="127"/>
        <v>1.7376626054721456E-6</v>
      </c>
      <c r="AW159" s="2227">
        <f t="shared" si="127"/>
        <v>1.6743820200337822E-6</v>
      </c>
      <c r="AX159" s="2227">
        <f t="shared" si="127"/>
        <v>5.3324888948935723E-8</v>
      </c>
      <c r="AY159" s="2227">
        <f t="shared" si="127"/>
        <v>3.6596663033350296E-8</v>
      </c>
      <c r="AZ159" s="2227">
        <f t="shared" si="127"/>
        <v>2.4440542922832265E-8</v>
      </c>
      <c r="BA159" s="2227">
        <f t="shared" si="127"/>
        <v>3.825400440859994E-9</v>
      </c>
      <c r="BB159" s="2227">
        <f t="shared" si="127"/>
        <v>6.2835142533579358E-8</v>
      </c>
      <c r="BC159" s="2227">
        <f t="shared" si="127"/>
        <v>0</v>
      </c>
      <c r="BD159" s="2227">
        <f t="shared" si="127"/>
        <v>3.4950008176526381E-4</v>
      </c>
      <c r="BE159" s="2227">
        <f t="shared" si="127"/>
        <v>1.3961409540685921E-6</v>
      </c>
      <c r="BF159" s="2227">
        <f t="shared" si="127"/>
        <v>1.3961409540685921E-6</v>
      </c>
      <c r="BG159" s="2227">
        <f t="shared" si="127"/>
        <v>1.3335336546002339</v>
      </c>
      <c r="BH159" s="2227">
        <f t="shared" si="127"/>
        <v>3.0605918354642547E-4</v>
      </c>
      <c r="BI159" s="2227">
        <f t="shared" si="127"/>
        <v>7.3006536642227782E-3</v>
      </c>
    </row>
    <row r="160" spans="1:62" s="2204" customFormat="1" ht="25.5">
      <c r="D160" s="2332"/>
      <c r="E160" s="3656" t="s">
        <v>610</v>
      </c>
      <c r="F160" s="2205" t="s">
        <v>138</v>
      </c>
      <c r="G160" s="2206" t="s">
        <v>139</v>
      </c>
      <c r="H160" s="2204">
        <f t="shared" ref="H160:AM160" si="128">1000*H14/H13*(H159-H41)/H158</f>
        <v>6.5791774335197096E-4</v>
      </c>
      <c r="I160" s="2204">
        <f t="shared" si="128"/>
        <v>6.5791774335197096E-4</v>
      </c>
      <c r="J160" s="2204">
        <f t="shared" si="128"/>
        <v>6.318260685512692E-4</v>
      </c>
      <c r="K160" s="2204">
        <f t="shared" si="128"/>
        <v>1.9797029282843322E-4</v>
      </c>
      <c r="L160" s="2204">
        <f t="shared" si="128"/>
        <v>3.3294152677494003E-4</v>
      </c>
      <c r="M160" s="2204">
        <f t="shared" si="128"/>
        <v>3.3294152677494003E-4</v>
      </c>
      <c r="N160" s="2204">
        <f t="shared" si="128"/>
        <v>2.6240058960849992E-4</v>
      </c>
      <c r="O160" s="2204">
        <f t="shared" si="128"/>
        <v>2.6240058960849992E-4</v>
      </c>
      <c r="P160" s="2204">
        <f t="shared" si="128"/>
        <v>2.3964938903253411E-4</v>
      </c>
      <c r="Q160" s="2204">
        <f t="shared" si="128"/>
        <v>2.3964938903253411E-4</v>
      </c>
      <c r="R160" s="2204">
        <f t="shared" si="128"/>
        <v>1.5503437611447519E-3</v>
      </c>
      <c r="S160" s="2204">
        <f t="shared" si="128"/>
        <v>4.45349638847559E-4</v>
      </c>
      <c r="T160" s="2204">
        <f t="shared" si="128"/>
        <v>4.45349638847559E-4</v>
      </c>
      <c r="U160" s="2204">
        <f t="shared" si="128"/>
        <v>1.9506559377280175E-4</v>
      </c>
      <c r="V160" s="2204">
        <f t="shared" si="128"/>
        <v>8.9293990262429132E-5</v>
      </c>
      <c r="W160" s="2204">
        <f t="shared" si="128"/>
        <v>8.9293990262429132E-5</v>
      </c>
      <c r="X160" s="2204">
        <f t="shared" si="128"/>
        <v>3.2986022939213372E-4</v>
      </c>
      <c r="Y160" s="2204">
        <f t="shared" si="128"/>
        <v>3.5761585111316642E-4</v>
      </c>
      <c r="Z160" s="2204">
        <f t="shared" si="128"/>
        <v>4.1018644766192559E-4</v>
      </c>
      <c r="AA160" s="2204">
        <f t="shared" si="128"/>
        <v>4.6843322314305604E-4</v>
      </c>
      <c r="AB160" s="2204">
        <f t="shared" si="128"/>
        <v>2.642093132739381E-4</v>
      </c>
      <c r="AC160" s="2204">
        <f t="shared" si="128"/>
        <v>3.3355200139288953E-4</v>
      </c>
      <c r="AD160" s="2204">
        <f t="shared" si="128"/>
        <v>3.2032565327505384E-4</v>
      </c>
      <c r="AE160" s="2204">
        <f t="shared" si="128"/>
        <v>2.5870540950689565E-4</v>
      </c>
      <c r="AF160" s="2204">
        <f t="shared" si="128"/>
        <v>2.0533242976238797E-4</v>
      </c>
      <c r="AG160" s="2204">
        <f t="shared" si="128"/>
        <v>1.0239370632485031E-4</v>
      </c>
      <c r="AH160" s="2204">
        <f t="shared" si="128"/>
        <v>1.0375979492330098E-4</v>
      </c>
      <c r="AI160" s="2204">
        <f t="shared" si="128"/>
        <v>1.3015765371197582E-4</v>
      </c>
      <c r="AJ160" s="2204">
        <f t="shared" si="128"/>
        <v>1.8643257218338568E-4</v>
      </c>
      <c r="AK160" s="2204">
        <f t="shared" si="128"/>
        <v>2.1092619335422828E-4</v>
      </c>
      <c r="AL160" s="2204">
        <f t="shared" si="128"/>
        <v>1.805486154785422E-4</v>
      </c>
      <c r="AM160" s="2204">
        <f t="shared" si="128"/>
        <v>1.5399053968472918E-4</v>
      </c>
      <c r="AN160" s="2204">
        <f t="shared" ref="AN160:BI160" si="129">1000*AN14/AN13*(AN159-AN41)/AN158</f>
        <v>3.7973998651364386E-4</v>
      </c>
      <c r="AO160" s="2204">
        <f t="shared" si="129"/>
        <v>3.2286442116808784E-4</v>
      </c>
      <c r="AP160" s="2204">
        <f t="shared" si="129"/>
        <v>3.1805649486743733E-4</v>
      </c>
      <c r="AQ160" s="2204">
        <f t="shared" si="129"/>
        <v>2.9598769433487366E-4</v>
      </c>
      <c r="AR160" s="2204">
        <f t="shared" si="129"/>
        <v>2.7645643682835941E-4</v>
      </c>
      <c r="AS160" s="2204">
        <f t="shared" si="129"/>
        <v>2.7642943907243175E-4</v>
      </c>
      <c r="AT160" s="2204">
        <f t="shared" si="129"/>
        <v>2.4359377981133474E-4</v>
      </c>
      <c r="AU160" s="2204">
        <f t="shared" si="129"/>
        <v>2.4359411670997166E-4</v>
      </c>
      <c r="AV160" s="2204">
        <f t="shared" si="129"/>
        <v>2.1585639429964499E-4</v>
      </c>
      <c r="AW160" s="2204">
        <f t="shared" si="129"/>
        <v>2.1585646179910894E-4</v>
      </c>
      <c r="AX160" s="2204">
        <f t="shared" si="129"/>
        <v>1.9530813015490809E-4</v>
      </c>
      <c r="AY160" s="2204">
        <f t="shared" si="129"/>
        <v>1.9530813014358823E-4</v>
      </c>
      <c r="AZ160" s="2204">
        <f t="shared" si="129"/>
        <v>1.9532361479003796E-4</v>
      </c>
      <c r="BA160" s="2204">
        <f t="shared" si="129"/>
        <v>1.7701203058595542E-4</v>
      </c>
      <c r="BB160" s="2204">
        <f t="shared" si="129"/>
        <v>1.8363446967034305E-4</v>
      </c>
      <c r="BC160" s="2204">
        <f t="shared" si="129"/>
        <v>0</v>
      </c>
      <c r="BD160" s="2204">
        <f t="shared" si="129"/>
        <v>1.0633209779744987E-3</v>
      </c>
      <c r="BE160" s="2204">
        <f t="shared" si="129"/>
        <v>1.9137875713218084E-4</v>
      </c>
      <c r="BF160" s="2204">
        <f t="shared" si="129"/>
        <v>1.9137875713218084E-4</v>
      </c>
      <c r="BG160" s="2204">
        <f t="shared" si="129"/>
        <v>1.006607096883207E-4</v>
      </c>
      <c r="BH160" s="2204">
        <f t="shared" si="129"/>
        <v>7.0022876543140262E-4</v>
      </c>
      <c r="BI160" s="2204">
        <f t="shared" si="129"/>
        <v>2.1587514749595764E-3</v>
      </c>
    </row>
    <row r="161" spans="1:61" ht="25.5">
      <c r="A161" s="2126"/>
      <c r="B161" s="2156"/>
      <c r="C161" s="2156"/>
      <c r="D161" s="2333"/>
      <c r="E161" s="3655" t="s">
        <v>611</v>
      </c>
      <c r="F161" s="2153" t="s">
        <v>138</v>
      </c>
      <c r="G161" s="2154" t="s">
        <v>139</v>
      </c>
      <c r="H161" s="2161">
        <f t="shared" ref="H161:AL161" si="130">MIN(H160,H$24)</f>
        <v>6.5791774335197096E-4</v>
      </c>
      <c r="I161" s="2161">
        <f t="shared" si="130"/>
        <v>6.5791774335197096E-4</v>
      </c>
      <c r="J161" s="2161">
        <f>MIN(J160,J$24)</f>
        <v>6.318260685512692E-4</v>
      </c>
      <c r="K161" s="2161">
        <f t="shared" si="130"/>
        <v>1.9797029282843322E-4</v>
      </c>
      <c r="L161" s="2161">
        <f t="shared" si="130"/>
        <v>3.3294152677494003E-4</v>
      </c>
      <c r="M161" s="2161">
        <f t="shared" si="130"/>
        <v>3.3294152677494003E-4</v>
      </c>
      <c r="N161" s="2161">
        <f>MIN(N160,N$24)</f>
        <v>2.6240058960849992E-4</v>
      </c>
      <c r="O161" s="2161">
        <f>MIN(O160,O$24)</f>
        <v>2.6240058960849992E-4</v>
      </c>
      <c r="P161" s="2161">
        <f t="shared" si="130"/>
        <v>2.3964938903253411E-4</v>
      </c>
      <c r="Q161" s="2161">
        <f t="shared" si="130"/>
        <v>2.3964938903253411E-4</v>
      </c>
      <c r="R161" s="2161">
        <f>MIN(R160,R$24)</f>
        <v>1.3692415109493382E-3</v>
      </c>
      <c r="S161" s="2161">
        <f>MIN(S160,S$24)</f>
        <v>4.45349638847559E-4</v>
      </c>
      <c r="T161" s="2161">
        <f>MIN(T160,T$24)</f>
        <v>4.45349638847559E-4</v>
      </c>
      <c r="U161" s="2161">
        <f t="shared" si="130"/>
        <v>1.9506559377280175E-4</v>
      </c>
      <c r="V161" s="2161">
        <f t="shared" si="130"/>
        <v>8.9293990262429132E-5</v>
      </c>
      <c r="W161" s="2161">
        <f t="shared" si="130"/>
        <v>8.9293990262429132E-5</v>
      </c>
      <c r="X161" s="2161">
        <f t="shared" si="130"/>
        <v>3.2986022939213372E-4</v>
      </c>
      <c r="Y161" s="2161">
        <f t="shared" si="130"/>
        <v>3.5761585111316642E-4</v>
      </c>
      <c r="Z161" s="2161">
        <f t="shared" si="130"/>
        <v>4.1018644766192559E-4</v>
      </c>
      <c r="AA161" s="2161">
        <f t="shared" si="130"/>
        <v>4.6843322314305604E-4</v>
      </c>
      <c r="AB161" s="2161">
        <f t="shared" si="130"/>
        <v>2.642093132739381E-4</v>
      </c>
      <c r="AC161" s="2161">
        <f t="shared" si="130"/>
        <v>3.3355200139288953E-4</v>
      </c>
      <c r="AD161" s="2161">
        <f t="shared" si="130"/>
        <v>3.2032565327505384E-4</v>
      </c>
      <c r="AE161" s="2161">
        <f t="shared" si="130"/>
        <v>2.5870540950689565E-4</v>
      </c>
      <c r="AF161" s="2161">
        <f t="shared" si="130"/>
        <v>2.0533242976238797E-4</v>
      </c>
      <c r="AG161" s="2161">
        <f t="shared" si="130"/>
        <v>1.0239370632485031E-4</v>
      </c>
      <c r="AH161" s="2161">
        <f t="shared" si="130"/>
        <v>1.0375979492330098E-4</v>
      </c>
      <c r="AI161" s="2161">
        <f t="shared" si="130"/>
        <v>1.3015765371197582E-4</v>
      </c>
      <c r="AJ161" s="2161">
        <f t="shared" si="130"/>
        <v>1.8643257218338568E-4</v>
      </c>
      <c r="AK161" s="2161">
        <f t="shared" si="130"/>
        <v>2.1092619335422828E-4</v>
      </c>
      <c r="AL161" s="2161">
        <f t="shared" si="130"/>
        <v>1.805486154785422E-4</v>
      </c>
      <c r="AM161" s="2161">
        <f t="shared" ref="AM161:BI161" si="131">MIN(AM160,AM$24)</f>
        <v>1.5399053968472918E-4</v>
      </c>
      <c r="AN161" s="2161">
        <f t="shared" si="131"/>
        <v>3.7973998651364386E-4</v>
      </c>
      <c r="AO161" s="2161">
        <f t="shared" si="131"/>
        <v>3.2286442116808784E-4</v>
      </c>
      <c r="AP161" s="2161">
        <f t="shared" si="131"/>
        <v>3.1805649486743733E-4</v>
      </c>
      <c r="AQ161" s="2161">
        <f t="shared" si="131"/>
        <v>2.9598769433487366E-4</v>
      </c>
      <c r="AR161" s="2161">
        <f t="shared" si="131"/>
        <v>2.7645643682835941E-4</v>
      </c>
      <c r="AS161" s="2161">
        <f t="shared" si="131"/>
        <v>2.7642943907243175E-4</v>
      </c>
      <c r="AT161" s="2161">
        <f t="shared" si="131"/>
        <v>2.4359377981133474E-4</v>
      </c>
      <c r="AU161" s="2161">
        <f t="shared" si="131"/>
        <v>2.4359411670997166E-4</v>
      </c>
      <c r="AV161" s="2161">
        <f t="shared" si="131"/>
        <v>2.1585639429964499E-4</v>
      </c>
      <c r="AW161" s="2161">
        <f t="shared" si="131"/>
        <v>2.1585646179910894E-4</v>
      </c>
      <c r="AX161" s="2161">
        <f t="shared" si="131"/>
        <v>1.9530813015490809E-4</v>
      </c>
      <c r="AY161" s="2161">
        <f t="shared" si="131"/>
        <v>1.9530813014358823E-4</v>
      </c>
      <c r="AZ161" s="2161">
        <f t="shared" si="131"/>
        <v>1.9532361479003796E-4</v>
      </c>
      <c r="BA161" s="2161">
        <f t="shared" si="131"/>
        <v>1.7701203058595542E-4</v>
      </c>
      <c r="BB161" s="2161">
        <f t="shared" si="131"/>
        <v>1.8363446967034305E-4</v>
      </c>
      <c r="BC161" s="2161">
        <f t="shared" si="131"/>
        <v>0</v>
      </c>
      <c r="BD161" s="2161">
        <f t="shared" si="131"/>
        <v>1.0633209779744987E-3</v>
      </c>
      <c r="BE161" s="2161">
        <f t="shared" si="131"/>
        <v>1.9137875713218084E-4</v>
      </c>
      <c r="BF161" s="2161">
        <f t="shared" si="131"/>
        <v>1.9137875713218084E-4</v>
      </c>
      <c r="BG161" s="2161">
        <f t="shared" si="131"/>
        <v>1.006607096883207E-4</v>
      </c>
      <c r="BH161" s="2161">
        <f t="shared" si="131"/>
        <v>7.0022876543140262E-4</v>
      </c>
      <c r="BI161" s="2161">
        <f t="shared" si="131"/>
        <v>2.1587514749595764E-3</v>
      </c>
    </row>
    <row r="162" spans="1:61" ht="38.25">
      <c r="A162" s="2126"/>
      <c r="B162" s="2156"/>
      <c r="C162" s="2156"/>
      <c r="D162" s="2333"/>
      <c r="E162" s="3655" t="s">
        <v>952</v>
      </c>
      <c r="F162" s="2153" t="s">
        <v>300</v>
      </c>
      <c r="G162" s="2220" t="s">
        <v>35</v>
      </c>
      <c r="H162" s="2221">
        <f t="shared" ref="H162:AM162" si="132">H123/H160</f>
        <v>1.0105667213879341</v>
      </c>
      <c r="I162" s="2221">
        <f t="shared" si="132"/>
        <v>1.0105667213879341</v>
      </c>
      <c r="J162" s="2221">
        <f t="shared" si="132"/>
        <v>1.0816306022309354</v>
      </c>
      <c r="K162" s="2221">
        <f t="shared" si="132"/>
        <v>6.9437527037110884</v>
      </c>
      <c r="L162" s="2221">
        <f t="shared" si="132"/>
        <v>2.8668056596157716</v>
      </c>
      <c r="M162" s="2221">
        <f t="shared" si="132"/>
        <v>2.8668056596157716</v>
      </c>
      <c r="N162" s="2221">
        <f t="shared" si="132"/>
        <v>3.904367511553513</v>
      </c>
      <c r="O162" s="2221">
        <f t="shared" si="132"/>
        <v>3.904367511553513</v>
      </c>
      <c r="P162" s="2221">
        <f t="shared" si="132"/>
        <v>3.8962299094862063</v>
      </c>
      <c r="Q162" s="2221">
        <f t="shared" si="132"/>
        <v>3.8962299094862063</v>
      </c>
      <c r="R162" s="2221">
        <f t="shared" si="132"/>
        <v>8.532191049377575</v>
      </c>
      <c r="S162" s="2221">
        <f t="shared" si="132"/>
        <v>3.0284516220692281</v>
      </c>
      <c r="T162" s="2221">
        <f t="shared" si="132"/>
        <v>3.0284516220692281</v>
      </c>
      <c r="U162" s="2221">
        <f t="shared" si="132"/>
        <v>5.1856396484509943</v>
      </c>
      <c r="V162" s="2221">
        <f t="shared" si="132"/>
        <v>4.136460059576696</v>
      </c>
      <c r="W162" s="2221">
        <f t="shared" si="132"/>
        <v>4.136460059576696</v>
      </c>
      <c r="X162" s="2221">
        <f t="shared" si="132"/>
        <v>3.2216470864929914</v>
      </c>
      <c r="Y162" s="2221">
        <f t="shared" si="132"/>
        <v>2.6694083730002669</v>
      </c>
      <c r="Z162" s="2221">
        <f t="shared" si="132"/>
        <v>2.134080861263528</v>
      </c>
      <c r="AA162" s="2221">
        <f t="shared" si="132"/>
        <v>1.868721098882556</v>
      </c>
      <c r="AB162" s="2221">
        <f t="shared" si="132"/>
        <v>1.5543278688428046</v>
      </c>
      <c r="AC162" s="2221">
        <f t="shared" si="132"/>
        <v>1.136488640077103</v>
      </c>
      <c r="AD162" s="2221">
        <f t="shared" si="132"/>
        <v>1.025626001865978</v>
      </c>
      <c r="AE162" s="2221">
        <f t="shared" si="132"/>
        <v>1.0025658131969761</v>
      </c>
      <c r="AF162" s="2221">
        <f t="shared" si="132"/>
        <v>1.0000074009369313</v>
      </c>
      <c r="AG162" s="2221">
        <f t="shared" si="132"/>
        <v>5.9417410404565292</v>
      </c>
      <c r="AH162" s="2221">
        <f t="shared" si="132"/>
        <v>4.7494453796837126</v>
      </c>
      <c r="AI162" s="2221">
        <f t="shared" si="132"/>
        <v>2.9124530878288413</v>
      </c>
      <c r="AJ162" s="2221">
        <f t="shared" si="132"/>
        <v>1.6520767831232761</v>
      </c>
      <c r="AK162" s="2221">
        <f t="shared" si="132"/>
        <v>1.1681846402257714</v>
      </c>
      <c r="AL162" s="2221">
        <f t="shared" si="132"/>
        <v>1.0109136847307307</v>
      </c>
      <c r="AM162" s="2221">
        <f t="shared" si="132"/>
        <v>1.0000644349734342</v>
      </c>
      <c r="AN162" s="2221">
        <f t="shared" ref="AN162:BI162" si="133">AN123/AN160</f>
        <v>1.0123519506985106</v>
      </c>
      <c r="AO162" s="2221">
        <f t="shared" si="133"/>
        <v>1.0028527280806436</v>
      </c>
      <c r="AP162" s="2221">
        <f t="shared" si="133"/>
        <v>1.0047434797621035</v>
      </c>
      <c r="AQ162" s="2221">
        <f t="shared" si="133"/>
        <v>1.0017683976854206</v>
      </c>
      <c r="AR162" s="2221">
        <f t="shared" si="133"/>
        <v>1.0003168773658204</v>
      </c>
      <c r="AS162" s="2221">
        <f t="shared" si="133"/>
        <v>1.0004145743079265</v>
      </c>
      <c r="AT162" s="2221">
        <f t="shared" si="133"/>
        <v>1.0000228536133484</v>
      </c>
      <c r="AU162" s="2221">
        <f t="shared" si="133"/>
        <v>1.0000214705490083</v>
      </c>
      <c r="AV162" s="2221">
        <f t="shared" si="133"/>
        <v>1.0000026996934086</v>
      </c>
      <c r="AW162" s="2221">
        <f t="shared" si="133"/>
        <v>1.0000023869872445</v>
      </c>
      <c r="AX162" s="2221">
        <f t="shared" si="133"/>
        <v>1.0000000093111272</v>
      </c>
      <c r="AY162" s="2221">
        <f t="shared" si="133"/>
        <v>1.0000000093690862</v>
      </c>
      <c r="AZ162" s="2221">
        <f t="shared" si="133"/>
        <v>0.99999999691586883</v>
      </c>
      <c r="BA162" s="2221">
        <f t="shared" si="133"/>
        <v>0.99999997046295785</v>
      </c>
      <c r="BB162" s="2221">
        <f t="shared" si="133"/>
        <v>1.0000000320373821</v>
      </c>
      <c r="BC162" s="2221" t="e">
        <f t="shared" si="133"/>
        <v>#DIV/0!</v>
      </c>
      <c r="BD162" s="2221">
        <f t="shared" si="133"/>
        <v>1.00008721636876</v>
      </c>
      <c r="BE162" s="2221">
        <f t="shared" si="133"/>
        <v>1.000002392409332</v>
      </c>
      <c r="BF162" s="2221">
        <f t="shared" si="133"/>
        <v>1.000002392409332</v>
      </c>
      <c r="BG162" s="2221">
        <f t="shared" si="133"/>
        <v>3.9551849187034485</v>
      </c>
      <c r="BH162" s="2221">
        <f t="shared" si="133"/>
        <v>1.0000972147617313</v>
      </c>
      <c r="BI162" s="2221">
        <f t="shared" si="133"/>
        <v>1.0092413596757321</v>
      </c>
    </row>
    <row r="163" spans="1:61">
      <c r="A163" s="2126"/>
      <c r="B163" s="2156"/>
      <c r="C163" s="2156"/>
      <c r="D163" s="2333"/>
      <c r="E163" s="2153"/>
      <c r="F163" s="2153"/>
      <c r="G163" s="2220"/>
      <c r="H163" s="2221"/>
      <c r="I163" s="2221"/>
      <c r="J163" s="2221"/>
      <c r="K163" s="2221"/>
      <c r="L163" s="2221"/>
      <c r="M163" s="2221"/>
      <c r="N163" s="2221"/>
      <c r="O163" s="2221"/>
      <c r="P163" s="2221"/>
      <c r="Q163" s="2221"/>
      <c r="R163" s="2221"/>
      <c r="S163" s="2221"/>
      <c r="T163" s="2221"/>
      <c r="U163" s="2221"/>
      <c r="V163" s="2221"/>
      <c r="W163" s="2221"/>
      <c r="X163" s="2221"/>
      <c r="Y163" s="2221"/>
      <c r="Z163" s="2221"/>
      <c r="AA163" s="2221"/>
      <c r="AB163" s="2221"/>
      <c r="AC163" s="2221"/>
      <c r="AD163" s="2221"/>
      <c r="AE163" s="2221"/>
      <c r="AF163" s="2221"/>
      <c r="AG163" s="2221"/>
      <c r="AH163" s="2221"/>
      <c r="AI163" s="2221"/>
      <c r="AJ163" s="2221"/>
      <c r="AK163" s="2221"/>
      <c r="AL163" s="2221"/>
      <c r="AM163" s="2221"/>
      <c r="AN163" s="2221"/>
      <c r="AO163" s="2221"/>
      <c r="AP163" s="2221"/>
      <c r="AQ163" s="2221"/>
      <c r="AR163" s="2221"/>
      <c r="AS163" s="2221"/>
      <c r="AT163" s="2221"/>
      <c r="AU163" s="2221"/>
      <c r="AV163" s="2221"/>
      <c r="AW163" s="2221"/>
      <c r="AX163" s="2221"/>
      <c r="AY163" s="2221"/>
      <c r="AZ163" s="2221"/>
      <c r="BA163" s="2221"/>
      <c r="BB163" s="2221"/>
      <c r="BC163" s="2221"/>
      <c r="BD163" s="2221"/>
      <c r="BE163" s="2221"/>
      <c r="BF163" s="2221"/>
      <c r="BG163" s="2221"/>
      <c r="BH163" s="2221"/>
      <c r="BI163" s="2221"/>
    </row>
    <row r="164" spans="1:61">
      <c r="A164" s="2126"/>
      <c r="B164" s="2156"/>
      <c r="C164" s="2156"/>
      <c r="D164" s="2333"/>
      <c r="E164" s="2212" t="str">
        <f>E131</f>
        <v>Période enfant 0-6 ans (effets sans seuil)</v>
      </c>
      <c r="F164" s="2153"/>
      <c r="G164" s="2154"/>
      <c r="H164" s="2156"/>
      <c r="I164" s="2156"/>
      <c r="J164" s="2156"/>
      <c r="K164" s="2156"/>
      <c r="L164" s="2156"/>
      <c r="M164" s="2156"/>
      <c r="N164" s="2156"/>
      <c r="O164" s="2156"/>
      <c r="P164" s="2156"/>
      <c r="Q164" s="2156"/>
      <c r="S164" s="2156"/>
      <c r="T164" s="2156"/>
      <c r="U164" s="2156"/>
      <c r="V164" s="2156"/>
      <c r="W164" s="2156"/>
      <c r="X164" s="2156"/>
      <c r="Y164" s="2156"/>
      <c r="Z164" s="2156"/>
      <c r="AA164" s="2156"/>
      <c r="AB164" s="2156"/>
      <c r="AC164" s="2156"/>
      <c r="AD164" s="2156"/>
      <c r="AE164" s="2156"/>
      <c r="AF164" s="2156"/>
      <c r="AG164" s="2156"/>
      <c r="AH164" s="2156"/>
      <c r="AI164" s="2156"/>
      <c r="AJ164" s="2156"/>
      <c r="AK164" s="2156"/>
      <c r="AL164" s="2156"/>
      <c r="AM164" s="2156"/>
      <c r="AN164" s="2156"/>
      <c r="AO164" s="2156"/>
      <c r="AP164" s="2156"/>
      <c r="AQ164" s="2156"/>
      <c r="AR164" s="2156"/>
      <c r="AS164" s="2156"/>
      <c r="AT164" s="2156"/>
      <c r="AU164" s="2156"/>
      <c r="AV164" s="2156"/>
      <c r="AW164" s="2156"/>
      <c r="AX164" s="2156"/>
      <c r="AY164" s="2156"/>
      <c r="AZ164" s="2156"/>
      <c r="BA164" s="2156"/>
      <c r="BB164" s="2156"/>
      <c r="BC164" s="2156"/>
      <c r="BD164" s="2156"/>
      <c r="BE164" s="2156"/>
      <c r="BF164" s="2156"/>
      <c r="BG164" s="2156"/>
      <c r="BH164" s="2156"/>
      <c r="BI164" s="2156"/>
    </row>
    <row r="165" spans="1:61">
      <c r="A165" s="2126"/>
      <c r="B165" s="2156"/>
      <c r="C165" s="2156"/>
      <c r="D165" s="2333"/>
      <c r="E165" s="525" t="str">
        <f>E27</f>
        <v>Durée d'exposition considérée</v>
      </c>
      <c r="F165" s="525" t="str">
        <f>F27</f>
        <v>t</v>
      </c>
      <c r="G165" s="526" t="str">
        <f>G27</f>
        <v>an</v>
      </c>
      <c r="H165" s="2224">
        <f t="shared" ref="H165:BI165" si="134">H166/(365*24*3600)</f>
        <v>6</v>
      </c>
      <c r="I165" s="2224">
        <f t="shared" si="134"/>
        <v>6</v>
      </c>
      <c r="J165" s="2224">
        <f>J166/(365*24*3600)</f>
        <v>6</v>
      </c>
      <c r="K165" s="2224">
        <f t="shared" si="134"/>
        <v>6</v>
      </c>
      <c r="L165" s="2224">
        <f t="shared" si="134"/>
        <v>6</v>
      </c>
      <c r="M165" s="2224">
        <f t="shared" si="134"/>
        <v>6</v>
      </c>
      <c r="N165" s="2224">
        <f>N166/(365*24*3600)</f>
        <v>6</v>
      </c>
      <c r="O165" s="2224">
        <f>O166/(365*24*3600)</f>
        <v>6</v>
      </c>
      <c r="P165" s="2224">
        <f t="shared" si="134"/>
        <v>6</v>
      </c>
      <c r="Q165" s="2224">
        <f t="shared" si="134"/>
        <v>6</v>
      </c>
      <c r="R165" s="2224">
        <f>R166/(365*24*3600)</f>
        <v>6</v>
      </c>
      <c r="S165" s="2224">
        <f>S166/(365*24*3600)</f>
        <v>6</v>
      </c>
      <c r="T165" s="2224">
        <f>T166/(365*24*3600)</f>
        <v>6</v>
      </c>
      <c r="U165" s="2224">
        <f t="shared" si="134"/>
        <v>6</v>
      </c>
      <c r="V165" s="2224">
        <f t="shared" si="134"/>
        <v>6</v>
      </c>
      <c r="W165" s="2224">
        <f t="shared" si="134"/>
        <v>6</v>
      </c>
      <c r="X165" s="2224">
        <f t="shared" si="134"/>
        <v>6</v>
      </c>
      <c r="Y165" s="2224">
        <f t="shared" si="134"/>
        <v>6</v>
      </c>
      <c r="Z165" s="2224">
        <f t="shared" si="134"/>
        <v>6</v>
      </c>
      <c r="AA165" s="2224">
        <f t="shared" si="134"/>
        <v>6</v>
      </c>
      <c r="AB165" s="2224">
        <f t="shared" si="134"/>
        <v>6</v>
      </c>
      <c r="AC165" s="2224">
        <f t="shared" si="134"/>
        <v>6</v>
      </c>
      <c r="AD165" s="2224">
        <f t="shared" si="134"/>
        <v>6</v>
      </c>
      <c r="AE165" s="2224">
        <f t="shared" si="134"/>
        <v>6</v>
      </c>
      <c r="AF165" s="2224">
        <f t="shared" si="134"/>
        <v>6</v>
      </c>
      <c r="AG165" s="2224">
        <f t="shared" si="134"/>
        <v>6</v>
      </c>
      <c r="AH165" s="2224">
        <f t="shared" si="134"/>
        <v>6</v>
      </c>
      <c r="AI165" s="2224">
        <f t="shared" si="134"/>
        <v>6</v>
      </c>
      <c r="AJ165" s="2224">
        <f t="shared" si="134"/>
        <v>6</v>
      </c>
      <c r="AK165" s="2224">
        <f t="shared" si="134"/>
        <v>6</v>
      </c>
      <c r="AL165" s="2224">
        <f t="shared" si="134"/>
        <v>6</v>
      </c>
      <c r="AM165" s="2224">
        <f t="shared" si="134"/>
        <v>6</v>
      </c>
      <c r="AN165" s="2224">
        <f t="shared" si="134"/>
        <v>6</v>
      </c>
      <c r="AO165" s="2224">
        <f t="shared" si="134"/>
        <v>6</v>
      </c>
      <c r="AP165" s="2224">
        <f t="shared" si="134"/>
        <v>6</v>
      </c>
      <c r="AQ165" s="2224">
        <f t="shared" si="134"/>
        <v>6</v>
      </c>
      <c r="AR165" s="2224">
        <f t="shared" si="134"/>
        <v>6</v>
      </c>
      <c r="AS165" s="2224">
        <f t="shared" si="134"/>
        <v>6</v>
      </c>
      <c r="AT165" s="2224">
        <f t="shared" si="134"/>
        <v>6</v>
      </c>
      <c r="AU165" s="2224">
        <f t="shared" si="134"/>
        <v>6</v>
      </c>
      <c r="AV165" s="2224">
        <f t="shared" si="134"/>
        <v>6</v>
      </c>
      <c r="AW165" s="2224">
        <f t="shared" si="134"/>
        <v>6</v>
      </c>
      <c r="AX165" s="2224">
        <f t="shared" si="134"/>
        <v>6</v>
      </c>
      <c r="AY165" s="2224">
        <f t="shared" si="134"/>
        <v>6</v>
      </c>
      <c r="AZ165" s="2224">
        <f t="shared" si="134"/>
        <v>6</v>
      </c>
      <c r="BA165" s="2224">
        <f t="shared" si="134"/>
        <v>6</v>
      </c>
      <c r="BB165" s="2224">
        <f t="shared" si="134"/>
        <v>6</v>
      </c>
      <c r="BC165" s="2224">
        <f t="shared" si="134"/>
        <v>6</v>
      </c>
      <c r="BD165" s="2224">
        <f t="shared" si="134"/>
        <v>6</v>
      </c>
      <c r="BE165" s="2224">
        <f t="shared" si="134"/>
        <v>6</v>
      </c>
      <c r="BF165" s="2224">
        <f t="shared" si="134"/>
        <v>6</v>
      </c>
      <c r="BG165" s="2224">
        <f t="shared" si="134"/>
        <v>6</v>
      </c>
      <c r="BH165" s="2224">
        <f t="shared" si="134"/>
        <v>6</v>
      </c>
      <c r="BI165" s="2224">
        <f t="shared" si="134"/>
        <v>6</v>
      </c>
    </row>
    <row r="166" spans="1:61" s="529" customFormat="1" ht="13.15" customHeight="1">
      <c r="A166" s="523"/>
      <c r="B166" s="224"/>
      <c r="C166" s="524"/>
      <c r="D166" s="2333"/>
      <c r="E166" s="525" t="str">
        <f t="shared" ref="E166:BI166" si="135">E28</f>
        <v>Durée d'exposition considérée</v>
      </c>
      <c r="F166" s="525" t="str">
        <f t="shared" si="135"/>
        <v>t</v>
      </c>
      <c r="G166" s="526" t="str">
        <f t="shared" si="135"/>
        <v>s</v>
      </c>
      <c r="H166" s="2161">
        <f t="shared" si="135"/>
        <v>189216000</v>
      </c>
      <c r="I166" s="2161">
        <f t="shared" si="135"/>
        <v>189216000</v>
      </c>
      <c r="J166" s="2161">
        <f>J28</f>
        <v>189216000</v>
      </c>
      <c r="K166" s="2161">
        <f t="shared" si="135"/>
        <v>189216000</v>
      </c>
      <c r="L166" s="2161">
        <f t="shared" si="135"/>
        <v>189216000</v>
      </c>
      <c r="M166" s="2161">
        <f t="shared" si="135"/>
        <v>189216000</v>
      </c>
      <c r="N166" s="2161">
        <f>N28</f>
        <v>189216000</v>
      </c>
      <c r="O166" s="2161">
        <f>O28</f>
        <v>189216000</v>
      </c>
      <c r="P166" s="2161">
        <f t="shared" si="135"/>
        <v>189216000</v>
      </c>
      <c r="Q166" s="2161">
        <f t="shared" si="135"/>
        <v>189216000</v>
      </c>
      <c r="R166" s="2161">
        <f>R28</f>
        <v>189216000</v>
      </c>
      <c r="S166" s="2161">
        <f>S28</f>
        <v>189216000</v>
      </c>
      <c r="T166" s="2161">
        <f>T28</f>
        <v>189216000</v>
      </c>
      <c r="U166" s="2161">
        <f t="shared" si="135"/>
        <v>189216000</v>
      </c>
      <c r="V166" s="2161">
        <f t="shared" si="135"/>
        <v>189216000</v>
      </c>
      <c r="W166" s="2161">
        <f t="shared" si="135"/>
        <v>189216000</v>
      </c>
      <c r="X166" s="2161">
        <f t="shared" si="135"/>
        <v>189216000</v>
      </c>
      <c r="Y166" s="2161">
        <f t="shared" si="135"/>
        <v>189216000</v>
      </c>
      <c r="Z166" s="2161">
        <f t="shared" si="135"/>
        <v>189216000</v>
      </c>
      <c r="AA166" s="2215">
        <f t="shared" si="135"/>
        <v>189216000</v>
      </c>
      <c r="AB166" s="2161">
        <f t="shared" si="135"/>
        <v>189216000</v>
      </c>
      <c r="AC166" s="2161">
        <f t="shared" si="135"/>
        <v>189216000</v>
      </c>
      <c r="AD166" s="2161">
        <f t="shared" si="135"/>
        <v>189216000</v>
      </c>
      <c r="AE166" s="2161">
        <f t="shared" si="135"/>
        <v>189216000</v>
      </c>
      <c r="AF166" s="2161">
        <f t="shared" si="135"/>
        <v>189216000</v>
      </c>
      <c r="AG166" s="2161">
        <f t="shared" si="135"/>
        <v>189216000</v>
      </c>
      <c r="AH166" s="2161">
        <f t="shared" si="135"/>
        <v>189216000</v>
      </c>
      <c r="AI166" s="2161">
        <f t="shared" si="135"/>
        <v>189216000</v>
      </c>
      <c r="AJ166" s="2161">
        <f t="shared" si="135"/>
        <v>189216000</v>
      </c>
      <c r="AK166" s="2161">
        <f t="shared" si="135"/>
        <v>189216000</v>
      </c>
      <c r="AL166" s="2161">
        <f t="shared" si="135"/>
        <v>189216000</v>
      </c>
      <c r="AM166" s="2161">
        <f t="shared" si="135"/>
        <v>189216000</v>
      </c>
      <c r="AN166" s="2155">
        <f t="shared" si="135"/>
        <v>189216000</v>
      </c>
      <c r="AO166" s="2161">
        <f t="shared" si="135"/>
        <v>189216000</v>
      </c>
      <c r="AP166" s="2161">
        <f t="shared" si="135"/>
        <v>189216000</v>
      </c>
      <c r="AQ166" s="2161">
        <f t="shared" si="135"/>
        <v>189216000</v>
      </c>
      <c r="AR166" s="2161">
        <f t="shared" si="135"/>
        <v>189216000</v>
      </c>
      <c r="AS166" s="2161">
        <f t="shared" si="135"/>
        <v>189216000</v>
      </c>
      <c r="AT166" s="2161">
        <f t="shared" si="135"/>
        <v>189216000</v>
      </c>
      <c r="AU166" s="2161">
        <f t="shared" si="135"/>
        <v>189216000</v>
      </c>
      <c r="AV166" s="2161">
        <f t="shared" si="135"/>
        <v>189216000</v>
      </c>
      <c r="AW166" s="2161">
        <f t="shared" si="135"/>
        <v>189216000</v>
      </c>
      <c r="AX166" s="2161">
        <f t="shared" si="135"/>
        <v>189216000</v>
      </c>
      <c r="AY166" s="2161">
        <f t="shared" si="135"/>
        <v>189216000</v>
      </c>
      <c r="AZ166" s="2161">
        <f t="shared" si="135"/>
        <v>189216000</v>
      </c>
      <c r="BA166" s="2161">
        <f t="shared" si="135"/>
        <v>189216000</v>
      </c>
      <c r="BB166" s="2161">
        <f t="shared" si="135"/>
        <v>189216000</v>
      </c>
      <c r="BC166" s="2161">
        <f t="shared" si="135"/>
        <v>189216000</v>
      </c>
      <c r="BD166" s="2161">
        <f t="shared" si="135"/>
        <v>189216000</v>
      </c>
      <c r="BE166" s="2161">
        <f t="shared" si="135"/>
        <v>189216000</v>
      </c>
      <c r="BF166" s="2161">
        <f t="shared" si="135"/>
        <v>189216000</v>
      </c>
      <c r="BG166" s="2161">
        <f t="shared" si="135"/>
        <v>189216000</v>
      </c>
      <c r="BH166" s="2161">
        <f t="shared" si="135"/>
        <v>189216000</v>
      </c>
      <c r="BI166" s="2161">
        <f t="shared" si="135"/>
        <v>189216000</v>
      </c>
    </row>
    <row r="167" spans="1:61" ht="15.75">
      <c r="A167" s="2126"/>
      <c r="B167" s="2156"/>
      <c r="C167" s="2156"/>
      <c r="D167" s="2333"/>
      <c r="E167" s="2225" t="s">
        <v>297</v>
      </c>
      <c r="F167" s="2225" t="s">
        <v>1131</v>
      </c>
      <c r="G167" s="2226" t="s">
        <v>73</v>
      </c>
      <c r="H167" s="2227">
        <f t="shared" ref="H167:AM167" si="136">(2*H145*H13*0.001/H14*H166+(H41+H145*H119)^2)^0.5-H145*H119</f>
        <v>0.1705086933754334</v>
      </c>
      <c r="I167" s="2227">
        <f t="shared" si="136"/>
        <v>0.1705086933754334</v>
      </c>
      <c r="J167" s="2227">
        <f t="shared" si="136"/>
        <v>0.63462482863777747</v>
      </c>
      <c r="K167" s="2227">
        <f t="shared" si="136"/>
        <v>17.134427297928053</v>
      </c>
      <c r="L167" s="2227">
        <f t="shared" si="136"/>
        <v>6.0361757201632669</v>
      </c>
      <c r="M167" s="2227">
        <f t="shared" si="136"/>
        <v>6.0361757201632669</v>
      </c>
      <c r="N167" s="2227">
        <f t="shared" si="136"/>
        <v>8.8784196020498776</v>
      </c>
      <c r="O167" s="2227">
        <f t="shared" si="136"/>
        <v>8.8784196020498776</v>
      </c>
      <c r="P167" s="2227">
        <f t="shared" si="136"/>
        <v>8.8551658833518978</v>
      </c>
      <c r="Q167" s="2227">
        <f t="shared" si="136"/>
        <v>8.8551658833518978</v>
      </c>
      <c r="R167" s="2227">
        <f t="shared" si="136"/>
        <v>21.437559446472708</v>
      </c>
      <c r="S167" s="2227">
        <f t="shared" si="136"/>
        <v>6.4802609178443111</v>
      </c>
      <c r="T167" s="2227">
        <f t="shared" si="136"/>
        <v>6.4802609178443111</v>
      </c>
      <c r="U167" s="2227">
        <f t="shared" si="136"/>
        <v>12.366234439231041</v>
      </c>
      <c r="V167" s="2227">
        <f t="shared" si="136"/>
        <v>9.5097081374625017</v>
      </c>
      <c r="W167" s="2227">
        <f t="shared" si="136"/>
        <v>9.5097081374625017</v>
      </c>
      <c r="X167" s="2227">
        <f t="shared" si="136"/>
        <v>7.0103688981878172</v>
      </c>
      <c r="Y167" s="2227">
        <f t="shared" si="136"/>
        <v>5.4853409062553853</v>
      </c>
      <c r="Z167" s="2227">
        <f t="shared" si="136"/>
        <v>3.9855218755087987</v>
      </c>
      <c r="AA167" s="2227">
        <f t="shared" si="136"/>
        <v>3.2262113166992821</v>
      </c>
      <c r="AB167" s="2227">
        <f t="shared" si="136"/>
        <v>2.293154606712327</v>
      </c>
      <c r="AC167" s="2227">
        <f t="shared" si="136"/>
        <v>0.86293465159583027</v>
      </c>
      <c r="AD167" s="2227">
        <f t="shared" si="136"/>
        <v>0.26769516237614921</v>
      </c>
      <c r="AE167" s="2227">
        <f t="shared" si="136"/>
        <v>3.8674805002912704E-2</v>
      </c>
      <c r="AF167" s="2227">
        <f t="shared" si="136"/>
        <v>1.3766602868636735E-4</v>
      </c>
      <c r="AG167" s="2227">
        <f t="shared" si="136"/>
        <v>14.417471530006148</v>
      </c>
      <c r="AH167" s="2227">
        <f t="shared" si="136"/>
        <v>11.178849827150138</v>
      </c>
      <c r="AI167" s="2227">
        <f t="shared" si="136"/>
        <v>6.1553328601090254</v>
      </c>
      <c r="AJ167" s="2227">
        <f t="shared" si="136"/>
        <v>2.5880009129714026</v>
      </c>
      <c r="AK167" s="2227">
        <f t="shared" si="136"/>
        <v>0.99321156685461531</v>
      </c>
      <c r="AL167" s="2227">
        <f t="shared" si="136"/>
        <v>0.13699672748362415</v>
      </c>
      <c r="AM167" s="2227">
        <f t="shared" si="136"/>
        <v>1.0408406699357331E-3</v>
      </c>
      <c r="AN167" s="2227">
        <f t="shared" ref="AN167:BI167" si="137">(2*AN145*AN13*0.001/AN14*AN166+(AN41+AN145*AN119)^2)^0.5-AN145*AN119</f>
        <v>0.15515179973047555</v>
      </c>
      <c r="AO167" s="2227">
        <f t="shared" si="137"/>
        <v>4.3589711895596212E-2</v>
      </c>
      <c r="AP167" s="2227">
        <f t="shared" si="137"/>
        <v>6.8525441883238225E-2</v>
      </c>
      <c r="AQ167" s="2227">
        <f t="shared" si="137"/>
        <v>2.7905014340326689E-2</v>
      </c>
      <c r="AR167" s="2227">
        <f t="shared" si="137"/>
        <v>5.4620103364781958E-3</v>
      </c>
      <c r="AS167" s="2227">
        <f t="shared" si="137"/>
        <v>7.0310529006876732E-3</v>
      </c>
      <c r="AT167" s="2227">
        <f t="shared" si="137"/>
        <v>4.5835211858386016E-4</v>
      </c>
      <c r="AU167" s="2227">
        <f t="shared" si="137"/>
        <v>4.4096179205738162E-4</v>
      </c>
      <c r="AV167" s="2227">
        <f t="shared" si="137"/>
        <v>6.2379059178330198E-5</v>
      </c>
      <c r="AW167" s="2227">
        <f t="shared" si="137"/>
        <v>6.0108052292506819E-5</v>
      </c>
      <c r="AX167" s="2227">
        <f t="shared" si="137"/>
        <v>1.9144504554979846E-6</v>
      </c>
      <c r="AY167" s="2227">
        <f t="shared" si="137"/>
        <v>1.3138799777046017E-6</v>
      </c>
      <c r="AZ167" s="2227">
        <f t="shared" si="137"/>
        <v>8.7745547805440083E-7</v>
      </c>
      <c r="BA167" s="2227">
        <f t="shared" si="137"/>
        <v>1.3733814174798908E-7</v>
      </c>
      <c r="BB167" s="2227">
        <f t="shared" si="137"/>
        <v>2.2558820733653562E-6</v>
      </c>
      <c r="BC167" s="2227">
        <f t="shared" si="137"/>
        <v>0</v>
      </c>
      <c r="BD167" s="2227">
        <f t="shared" si="137"/>
        <v>1.2509668332465917E-2</v>
      </c>
      <c r="BE167" s="2227">
        <f t="shared" si="137"/>
        <v>5.0119564457828947E-5</v>
      </c>
      <c r="BF167" s="2227">
        <f t="shared" si="137"/>
        <v>5.0119564457828947E-5</v>
      </c>
      <c r="BG167" s="2227">
        <f t="shared" si="137"/>
        <v>9.0209620962586055</v>
      </c>
      <c r="BH167" s="2227">
        <f t="shared" si="137"/>
        <v>1.0951002555120048E-2</v>
      </c>
      <c r="BI167" s="2227">
        <f t="shared" si="137"/>
        <v>0.20915371982121728</v>
      </c>
    </row>
    <row r="168" spans="1:61" s="2204" customFormat="1" ht="25.5">
      <c r="D168" s="2333"/>
      <c r="E168" s="2205" t="s">
        <v>610</v>
      </c>
      <c r="F168" s="2205" t="s">
        <v>138</v>
      </c>
      <c r="G168" s="2206" t="s">
        <v>139</v>
      </c>
      <c r="H168" s="2204">
        <f t="shared" ref="H168:AM168" si="138">1000*H14/H13*(H167-H41)/H166</f>
        <v>5.1307767524177918E-4</v>
      </c>
      <c r="I168" s="2204">
        <f t="shared" si="138"/>
        <v>5.1307767524177918E-4</v>
      </c>
      <c r="J168" s="2204">
        <f t="shared" si="138"/>
        <v>2.9089637043237365E-4</v>
      </c>
      <c r="K168" s="2204">
        <f t="shared" si="138"/>
        <v>3.5250771341196911E-5</v>
      </c>
      <c r="L168" s="2204">
        <f t="shared" si="138"/>
        <v>6.6419888395282729E-5</v>
      </c>
      <c r="M168" s="2204">
        <f t="shared" si="138"/>
        <v>6.6419888395282729E-5</v>
      </c>
      <c r="N168" s="2204">
        <f t="shared" si="138"/>
        <v>4.9533184771289199E-5</v>
      </c>
      <c r="O168" s="2204">
        <f t="shared" si="138"/>
        <v>4.9533184771289199E-5</v>
      </c>
      <c r="P168" s="2204">
        <f t="shared" si="138"/>
        <v>4.5251984873187748E-5</v>
      </c>
      <c r="Q168" s="2204">
        <f t="shared" si="138"/>
        <v>4.5251984873187748E-5</v>
      </c>
      <c r="R168" s="2204">
        <f t="shared" si="138"/>
        <v>2.7253348151306351E-4</v>
      </c>
      <c r="S168" s="2204">
        <f t="shared" si="138"/>
        <v>8.7811782778738221E-5</v>
      </c>
      <c r="T168" s="2204">
        <f t="shared" si="138"/>
        <v>8.7811782778738221E-5</v>
      </c>
      <c r="U168" s="2204">
        <f t="shared" si="138"/>
        <v>3.5593062280985351E-5</v>
      </c>
      <c r="V168" s="2204">
        <f t="shared" si="138"/>
        <v>1.6722416037420487E-5</v>
      </c>
      <c r="W168" s="2204">
        <f t="shared" si="138"/>
        <v>1.6722416037420487E-5</v>
      </c>
      <c r="X168" s="2204">
        <f t="shared" si="138"/>
        <v>6.4258437288488589E-5</v>
      </c>
      <c r="Y168" s="2204">
        <f t="shared" si="138"/>
        <v>7.2547550217017437E-5</v>
      </c>
      <c r="Z168" s="2204">
        <f t="shared" si="138"/>
        <v>8.9006837940648707E-5</v>
      </c>
      <c r="AA168" s="2204">
        <f t="shared" si="138"/>
        <v>1.0739876629631803E-4</v>
      </c>
      <c r="AB168" s="2204">
        <f t="shared" si="138"/>
        <v>6.7497611324994418E-5</v>
      </c>
      <c r="AC168" s="2204">
        <f t="shared" si="138"/>
        <v>1.3016642599305894E-4</v>
      </c>
      <c r="AD168" s="2204">
        <f t="shared" si="138"/>
        <v>2.0629887790184548E-4</v>
      </c>
      <c r="AE168" s="2204">
        <f t="shared" si="138"/>
        <v>2.3902580629759751E-4</v>
      </c>
      <c r="AF168" s="2204">
        <f t="shared" si="138"/>
        <v>2.0527941951749566E-4</v>
      </c>
      <c r="AG168" s="2204">
        <f t="shared" si="138"/>
        <v>1.845207424775211E-5</v>
      </c>
      <c r="AH168" s="2204">
        <f t="shared" si="138"/>
        <v>1.9108317727662499E-5</v>
      </c>
      <c r="AI168" s="2204">
        <f t="shared" si="138"/>
        <v>2.5875815618797644E-5</v>
      </c>
      <c r="AJ168" s="2204">
        <f t="shared" si="138"/>
        <v>4.5703687795869994E-5</v>
      </c>
      <c r="AK168" s="2204">
        <f t="shared" si="138"/>
        <v>7.6939612860468798E-5</v>
      </c>
      <c r="AL168" s="2204">
        <f t="shared" si="138"/>
        <v>1.399900181625884E-4</v>
      </c>
      <c r="AM168" s="2204">
        <f t="shared" si="138"/>
        <v>1.5364582556968875E-4</v>
      </c>
      <c r="AN168" s="2204">
        <f t="shared" ref="AN168:BI168" si="139">1000*AN14/AN13*(AN167-AN41)/AN166</f>
        <v>2.8774264983894742E-4</v>
      </c>
      <c r="AO168" s="2204">
        <f t="shared" si="139"/>
        <v>2.9599352410902461E-4</v>
      </c>
      <c r="AP168" s="2204">
        <f t="shared" si="139"/>
        <v>2.7814224436153122E-4</v>
      </c>
      <c r="AQ168" s="2204">
        <f t="shared" si="139"/>
        <v>2.7972731725704134E-4</v>
      </c>
      <c r="AR168" s="2204">
        <f t="shared" si="139"/>
        <v>2.7346661500472888E-4</v>
      </c>
      <c r="AS168" s="2204">
        <f t="shared" si="139"/>
        <v>2.7254452492950535E-4</v>
      </c>
      <c r="AT168" s="2204">
        <f t="shared" si="139"/>
        <v>2.433998006469308E-4</v>
      </c>
      <c r="AU168" s="2204">
        <f t="shared" si="139"/>
        <v>2.4341185853894988E-4</v>
      </c>
      <c r="AV168" s="2204">
        <f t="shared" si="139"/>
        <v>2.1583605950500911E-4</v>
      </c>
      <c r="AW168" s="2204">
        <f t="shared" si="139"/>
        <v>2.1583848204237682E-4</v>
      </c>
      <c r="AX168" s="2204">
        <f t="shared" si="139"/>
        <v>1.9530808163323418E-4</v>
      </c>
      <c r="AY168" s="2204">
        <f t="shared" si="139"/>
        <v>1.9530809748190468E-4</v>
      </c>
      <c r="AZ168" s="2204">
        <f t="shared" si="139"/>
        <v>1.9532359712897603E-4</v>
      </c>
      <c r="BA168" s="2204">
        <f t="shared" si="139"/>
        <v>1.7701202384880208E-4</v>
      </c>
      <c r="BB168" s="2204">
        <f t="shared" si="139"/>
        <v>1.8363426192969417E-4</v>
      </c>
      <c r="BC168" s="2204">
        <f t="shared" si="139"/>
        <v>0</v>
      </c>
      <c r="BD168" s="2204">
        <f t="shared" si="139"/>
        <v>1.0601043484974649E-3</v>
      </c>
      <c r="BE168" s="2204">
        <f t="shared" si="139"/>
        <v>1.9136277999992859E-4</v>
      </c>
      <c r="BF168" s="2204">
        <f t="shared" si="139"/>
        <v>1.9136277999992859E-4</v>
      </c>
      <c r="BG168" s="2204">
        <f t="shared" si="139"/>
        <v>1.8966822751572781E-5</v>
      </c>
      <c r="BH168" s="2204">
        <f t="shared" si="139"/>
        <v>6.9786936273509212E-4</v>
      </c>
      <c r="BI168" s="2204">
        <f t="shared" si="139"/>
        <v>1.7226308239265509E-3</v>
      </c>
    </row>
    <row r="169" spans="1:61" s="2306" customFormat="1" ht="25.5">
      <c r="B169" s="2307"/>
      <c r="C169" s="2307"/>
      <c r="D169" s="2333"/>
      <c r="E169" s="2310" t="s">
        <v>611</v>
      </c>
      <c r="F169" s="2310" t="s">
        <v>138</v>
      </c>
      <c r="G169" s="2311" t="s">
        <v>139</v>
      </c>
      <c r="H169" s="2312">
        <f t="shared" ref="H169:BI169" si="140">MIN(H168,H$29)</f>
        <v>5.1307767524177918E-4</v>
      </c>
      <c r="I169" s="2312">
        <f t="shared" si="140"/>
        <v>5.1307767524177918E-4</v>
      </c>
      <c r="J169" s="2312">
        <f>MIN(J168,J$29)</f>
        <v>2.9089637043237365E-4</v>
      </c>
      <c r="K169" s="2312">
        <f t="shared" si="140"/>
        <v>6.1719199705249922E-6</v>
      </c>
      <c r="L169" s="2312">
        <f t="shared" si="140"/>
        <v>3.3010911945495617E-5</v>
      </c>
      <c r="M169" s="2312">
        <f t="shared" si="140"/>
        <v>3.3010911945495617E-5</v>
      </c>
      <c r="N169" s="2312">
        <f>MIN(N168,N$29)</f>
        <v>1.673716280311402E-5</v>
      </c>
      <c r="O169" s="2312">
        <f>MIN(O168,O$29)</f>
        <v>1.673716280311402E-5</v>
      </c>
      <c r="P169" s="2312">
        <f t="shared" si="140"/>
        <v>1.5330707115808009E-5</v>
      </c>
      <c r="Q169" s="2312">
        <f t="shared" si="140"/>
        <v>1.5330707115808009E-5</v>
      </c>
      <c r="R169" s="2312">
        <f>MIN(R168,R$29)</f>
        <v>3.8138690487629963E-5</v>
      </c>
      <c r="S169" s="2312">
        <f>MIN(S168,S$29)</f>
        <v>4.0651966282840303E-5</v>
      </c>
      <c r="T169" s="2312">
        <f>MIN(T168,T$29)</f>
        <v>4.0651966282840303E-5</v>
      </c>
      <c r="U169" s="2312">
        <f t="shared" si="140"/>
        <v>8.6347373865245747E-6</v>
      </c>
      <c r="V169" s="2312">
        <f t="shared" si="140"/>
        <v>5.2753720079623515E-6</v>
      </c>
      <c r="W169" s="2312">
        <f t="shared" si="140"/>
        <v>5.2753720079623515E-6</v>
      </c>
      <c r="X169" s="2312">
        <f t="shared" si="140"/>
        <v>2.7498597386978914E-5</v>
      </c>
      <c r="Y169" s="2312">
        <f t="shared" si="140"/>
        <v>3.9677142108498037E-5</v>
      </c>
      <c r="Z169" s="2312">
        <f t="shared" si="140"/>
        <v>6.6997628456839868E-5</v>
      </c>
      <c r="AA169" s="2312">
        <f t="shared" si="140"/>
        <v>9.9868318365019948E-5</v>
      </c>
      <c r="AB169" s="2312">
        <f t="shared" si="140"/>
        <v>6.7497611324994418E-5</v>
      </c>
      <c r="AC169" s="2312">
        <f t="shared" si="140"/>
        <v>1.3016642599305894E-4</v>
      </c>
      <c r="AD169" s="2312">
        <f t="shared" si="140"/>
        <v>2.0629887790184548E-4</v>
      </c>
      <c r="AE169" s="2312">
        <f t="shared" si="140"/>
        <v>2.3902580629759751E-4</v>
      </c>
      <c r="AF169" s="2312">
        <f t="shared" si="140"/>
        <v>2.0527941951749566E-4</v>
      </c>
      <c r="AG169" s="2312">
        <f t="shared" si="140"/>
        <v>3.8395236382500922E-6</v>
      </c>
      <c r="AH169" s="2312">
        <f t="shared" si="140"/>
        <v>5.1279831171684633E-6</v>
      </c>
      <c r="AI169" s="2312">
        <f t="shared" si="140"/>
        <v>1.2611413325747907E-5</v>
      </c>
      <c r="AJ169" s="2312">
        <f t="shared" si="140"/>
        <v>4.5703687795869994E-5</v>
      </c>
      <c r="AK169" s="2312">
        <f t="shared" si="140"/>
        <v>7.6939612860468798E-5</v>
      </c>
      <c r="AL169" s="2312">
        <f t="shared" si="140"/>
        <v>1.399900181625884E-4</v>
      </c>
      <c r="AM169" s="2312">
        <f t="shared" si="140"/>
        <v>1.5364582556968875E-4</v>
      </c>
      <c r="AN169" s="2312">
        <f t="shared" si="140"/>
        <v>2.8774264983894742E-4</v>
      </c>
      <c r="AO169" s="2312">
        <f t="shared" si="140"/>
        <v>2.9599352410902461E-4</v>
      </c>
      <c r="AP169" s="2312">
        <f t="shared" si="140"/>
        <v>2.7814224436153122E-4</v>
      </c>
      <c r="AQ169" s="2312">
        <f t="shared" si="140"/>
        <v>2.7972731725704134E-4</v>
      </c>
      <c r="AR169" s="2312">
        <f t="shared" si="140"/>
        <v>2.7346661500472888E-4</v>
      </c>
      <c r="AS169" s="2312">
        <f t="shared" si="140"/>
        <v>2.7254452492950535E-4</v>
      </c>
      <c r="AT169" s="2312">
        <f t="shared" si="140"/>
        <v>2.433998006469308E-4</v>
      </c>
      <c r="AU169" s="2312">
        <f t="shared" si="140"/>
        <v>2.4341185853894988E-4</v>
      </c>
      <c r="AV169" s="2312">
        <f t="shared" si="140"/>
        <v>2.1583605950500911E-4</v>
      </c>
      <c r="AW169" s="2312">
        <f t="shared" si="140"/>
        <v>2.1583848204237682E-4</v>
      </c>
      <c r="AX169" s="2312">
        <f t="shared" si="140"/>
        <v>1.9530808163323418E-4</v>
      </c>
      <c r="AY169" s="2312">
        <f t="shared" si="140"/>
        <v>1.9530809748190468E-4</v>
      </c>
      <c r="AZ169" s="2312">
        <f t="shared" si="140"/>
        <v>1.9532359712897603E-4</v>
      </c>
      <c r="BA169" s="2312">
        <f t="shared" si="140"/>
        <v>1.7701202384880208E-4</v>
      </c>
      <c r="BB169" s="2312">
        <f t="shared" si="140"/>
        <v>1.8363426192969417E-4</v>
      </c>
      <c r="BC169" s="2312">
        <f t="shared" si="140"/>
        <v>0</v>
      </c>
      <c r="BD169" s="2312">
        <f t="shared" si="140"/>
        <v>1.0601043484974649E-3</v>
      </c>
      <c r="BE169" s="2312">
        <f t="shared" si="140"/>
        <v>1.9136277999992859E-4</v>
      </c>
      <c r="BF169" s="2312">
        <f t="shared" si="140"/>
        <v>1.9136277999992859E-4</v>
      </c>
      <c r="BG169" s="2312">
        <f t="shared" si="140"/>
        <v>6.3075831211304503E-6</v>
      </c>
      <c r="BH169" s="2312">
        <f t="shared" si="140"/>
        <v>6.9786936273509212E-4</v>
      </c>
      <c r="BI169" s="2312">
        <f t="shared" si="140"/>
        <v>1.7226308239265509E-3</v>
      </c>
    </row>
    <row r="170" spans="1:61" ht="25.5">
      <c r="A170" s="2126"/>
      <c r="B170" s="2156"/>
      <c r="C170" s="2156"/>
      <c r="D170" s="2333"/>
      <c r="E170" s="3655" t="s">
        <v>582</v>
      </c>
      <c r="F170" s="2153" t="s">
        <v>300</v>
      </c>
      <c r="G170" s="2220" t="s">
        <v>35</v>
      </c>
      <c r="H170" s="2221">
        <f t="shared" ref="H170:AM170" si="141">H123/H168</f>
        <v>1.2958462410761509</v>
      </c>
      <c r="I170" s="2221">
        <f t="shared" si="141"/>
        <v>1.2958462410761509</v>
      </c>
      <c r="J170" s="2221">
        <f t="shared" si="141"/>
        <v>2.3492985148509717</v>
      </c>
      <c r="K170" s="2221">
        <f t="shared" si="141"/>
        <v>38.996501460249569</v>
      </c>
      <c r="L170" s="2221">
        <f t="shared" si="141"/>
        <v>14.370374240907381</v>
      </c>
      <c r="M170" s="2221">
        <f t="shared" si="141"/>
        <v>14.370374240907381</v>
      </c>
      <c r="N170" s="2221">
        <f t="shared" si="141"/>
        <v>20.683272069227954</v>
      </c>
      <c r="O170" s="2221">
        <f t="shared" si="141"/>
        <v>20.683272069227954</v>
      </c>
      <c r="P170" s="2221">
        <f t="shared" si="141"/>
        <v>20.6339925188983</v>
      </c>
      <c r="Q170" s="2221">
        <f t="shared" si="141"/>
        <v>20.6339925188983</v>
      </c>
      <c r="R170" s="2221">
        <f t="shared" si="141"/>
        <v>48.536528755508371</v>
      </c>
      <c r="S170" s="2221">
        <f t="shared" si="141"/>
        <v>15.359212550714769</v>
      </c>
      <c r="T170" s="2221">
        <f t="shared" si="141"/>
        <v>15.359212550714769</v>
      </c>
      <c r="U170" s="2221">
        <f t="shared" si="141"/>
        <v>28.419579892603522</v>
      </c>
      <c r="V170" s="2221">
        <f t="shared" si="141"/>
        <v>22.087778671110268</v>
      </c>
      <c r="W170" s="2221">
        <f t="shared" si="141"/>
        <v>22.087778671110268</v>
      </c>
      <c r="X170" s="2221">
        <f t="shared" si="141"/>
        <v>16.537800977015838</v>
      </c>
      <c r="Y170" s="2221">
        <f t="shared" si="141"/>
        <v>13.158580054370713</v>
      </c>
      <c r="Z170" s="2221">
        <f t="shared" si="141"/>
        <v>9.8348741260609849</v>
      </c>
      <c r="AA170" s="2221">
        <f t="shared" si="141"/>
        <v>8.1506620391690632</v>
      </c>
      <c r="AB170" s="2221">
        <f t="shared" si="141"/>
        <v>6.0841841773062937</v>
      </c>
      <c r="AC170" s="2221">
        <f t="shared" si="141"/>
        <v>2.9122568094342172</v>
      </c>
      <c r="AD170" s="2221">
        <f t="shared" si="141"/>
        <v>1.5925162676837905</v>
      </c>
      <c r="AE170" s="2221">
        <f t="shared" si="141"/>
        <v>1.0851096092018266</v>
      </c>
      <c r="AF170" s="2221">
        <f t="shared" si="141"/>
        <v>1.0002656374291348</v>
      </c>
      <c r="AG170" s="2221">
        <f t="shared" si="141"/>
        <v>32.971734179366486</v>
      </c>
      <c r="AH170" s="2221">
        <f t="shared" si="141"/>
        <v>25.789893470422488</v>
      </c>
      <c r="AI170" s="2221">
        <f t="shared" si="141"/>
        <v>14.649898037711221</v>
      </c>
      <c r="AJ170" s="2221">
        <f t="shared" si="141"/>
        <v>6.7390825330720521</v>
      </c>
      <c r="AK170" s="2221">
        <f t="shared" si="141"/>
        <v>3.2025211739049468</v>
      </c>
      <c r="AL170" s="2221">
        <f t="shared" si="141"/>
        <v>1.3038005747985697</v>
      </c>
      <c r="AM170" s="2221">
        <f t="shared" si="141"/>
        <v>1.0023081427045559</v>
      </c>
      <c r="AN170" s="2221">
        <f t="shared" ref="AN170:BI170" si="142">AN123/AN168</f>
        <v>1.3360220193999159</v>
      </c>
      <c r="AO170" s="2221">
        <f t="shared" si="142"/>
        <v>1.0938937483285394</v>
      </c>
      <c r="AP170" s="2221">
        <f t="shared" si="142"/>
        <v>1.148927197835772</v>
      </c>
      <c r="AQ170" s="2221">
        <f t="shared" si="142"/>
        <v>1.0600005791210747</v>
      </c>
      <c r="AR170" s="2221">
        <f t="shared" si="142"/>
        <v>1.0112533832001527</v>
      </c>
      <c r="AS170" s="2221">
        <f t="shared" si="142"/>
        <v>1.0146747203502064</v>
      </c>
      <c r="AT170" s="2221">
        <f t="shared" si="142"/>
        <v>1.0008198287834724</v>
      </c>
      <c r="AU170" s="2221">
        <f t="shared" si="142"/>
        <v>1.0007702511766194</v>
      </c>
      <c r="AV170" s="2221">
        <f t="shared" si="142"/>
        <v>1.0000969140224703</v>
      </c>
      <c r="AW170" s="2221">
        <f t="shared" si="142"/>
        <v>1.0000856890911114</v>
      </c>
      <c r="AX170" s="2221">
        <f t="shared" si="142"/>
        <v>1.0000002577477201</v>
      </c>
      <c r="AY170" s="2221">
        <f t="shared" si="142"/>
        <v>1.0000001766006772</v>
      </c>
      <c r="AZ170" s="2221">
        <f t="shared" si="142"/>
        <v>1.0000000873353683</v>
      </c>
      <c r="BA170" s="2221">
        <f t="shared" si="142"/>
        <v>1.0000000085233844</v>
      </c>
      <c r="BB170" s="2221">
        <f t="shared" si="142"/>
        <v>1.0000011633113248</v>
      </c>
      <c r="BC170" s="2221" t="e">
        <f t="shared" si="142"/>
        <v>#DIV/0!</v>
      </c>
      <c r="BD170" s="2221">
        <f t="shared" si="142"/>
        <v>1.0031217384177789</v>
      </c>
      <c r="BE170" s="2221">
        <f t="shared" si="142"/>
        <v>1.0000858839350932</v>
      </c>
      <c r="BF170" s="2221">
        <f t="shared" si="142"/>
        <v>1.0000858839350932</v>
      </c>
      <c r="BG170" s="2221">
        <f t="shared" si="142"/>
        <v>20.990954894235934</v>
      </c>
      <c r="BH170" s="2221">
        <f t="shared" si="142"/>
        <v>1.0034784092819113</v>
      </c>
      <c r="BI170" s="2221">
        <f t="shared" si="142"/>
        <v>1.2647522867517726</v>
      </c>
    </row>
    <row r="171" spans="1:61" ht="25.5">
      <c r="A171" s="2126"/>
      <c r="B171" s="2156"/>
      <c r="C171" s="2156"/>
      <c r="D171" s="2333"/>
      <c r="E171" s="3658" t="s">
        <v>583</v>
      </c>
      <c r="F171" s="2217" t="s">
        <v>300</v>
      </c>
      <c r="G171" s="2222" t="s">
        <v>35</v>
      </c>
      <c r="H171" s="2223">
        <f t="shared" ref="H171:AM171" si="143">H132/H169</f>
        <v>1.2958462410761509</v>
      </c>
      <c r="I171" s="2223">
        <f t="shared" si="143"/>
        <v>1.2958462410761509</v>
      </c>
      <c r="J171" s="2223">
        <f t="shared" si="143"/>
        <v>2.3492985148509717</v>
      </c>
      <c r="K171" s="2223">
        <f t="shared" si="143"/>
        <v>1</v>
      </c>
      <c r="L171" s="2223">
        <f t="shared" si="143"/>
        <v>1</v>
      </c>
      <c r="M171" s="2223">
        <f t="shared" si="143"/>
        <v>1</v>
      </c>
      <c r="N171" s="2223">
        <f t="shared" si="143"/>
        <v>1</v>
      </c>
      <c r="O171" s="2223">
        <f t="shared" si="143"/>
        <v>1</v>
      </c>
      <c r="P171" s="2223">
        <f t="shared" si="143"/>
        <v>1</v>
      </c>
      <c r="Q171" s="2223">
        <f t="shared" si="143"/>
        <v>1</v>
      </c>
      <c r="R171" s="2223">
        <f t="shared" si="143"/>
        <v>1</v>
      </c>
      <c r="S171" s="2223">
        <f t="shared" si="143"/>
        <v>1</v>
      </c>
      <c r="T171" s="2223">
        <f t="shared" si="143"/>
        <v>1</v>
      </c>
      <c r="U171" s="2223">
        <f t="shared" si="143"/>
        <v>1</v>
      </c>
      <c r="V171" s="2223">
        <f t="shared" si="143"/>
        <v>1</v>
      </c>
      <c r="W171" s="2223">
        <f t="shared" si="143"/>
        <v>1</v>
      </c>
      <c r="X171" s="2223">
        <f t="shared" si="143"/>
        <v>1</v>
      </c>
      <c r="Y171" s="2223">
        <f t="shared" si="143"/>
        <v>1</v>
      </c>
      <c r="Z171" s="2223">
        <f t="shared" si="143"/>
        <v>1</v>
      </c>
      <c r="AA171" s="2223">
        <f t="shared" si="143"/>
        <v>1</v>
      </c>
      <c r="AB171" s="2223">
        <f t="shared" si="143"/>
        <v>1.3082414902242769</v>
      </c>
      <c r="AC171" s="2223">
        <f t="shared" si="143"/>
        <v>2.9122568094342172</v>
      </c>
      <c r="AD171" s="2223">
        <f t="shared" si="143"/>
        <v>1.5925162676837905</v>
      </c>
      <c r="AE171" s="2223">
        <f t="shared" si="143"/>
        <v>1.0851096092018266</v>
      </c>
      <c r="AF171" s="2223">
        <f t="shared" si="143"/>
        <v>1.0002656374291348</v>
      </c>
      <c r="AG171" s="2223">
        <f t="shared" si="143"/>
        <v>1</v>
      </c>
      <c r="AH171" s="2223">
        <f t="shared" si="143"/>
        <v>1</v>
      </c>
      <c r="AI171" s="2223">
        <f t="shared" si="143"/>
        <v>1</v>
      </c>
      <c r="AJ171" s="2223">
        <f t="shared" si="143"/>
        <v>1.1591958816411552</v>
      </c>
      <c r="AK171" s="2223">
        <f t="shared" si="143"/>
        <v>3.020504492814807</v>
      </c>
      <c r="AL171" s="2223">
        <f t="shared" si="143"/>
        <v>1.3038005747985697</v>
      </c>
      <c r="AM171" s="2223">
        <f t="shared" si="143"/>
        <v>1.0023081427045559</v>
      </c>
      <c r="AN171" s="2223">
        <f t="shared" ref="AN171:BI171" si="144">AN132/AN169</f>
        <v>1.3360220193999159</v>
      </c>
      <c r="AO171" s="2223">
        <f t="shared" si="144"/>
        <v>1.0938937483285394</v>
      </c>
      <c r="AP171" s="2223">
        <f t="shared" si="144"/>
        <v>1.148927197835772</v>
      </c>
      <c r="AQ171" s="2223">
        <f t="shared" si="144"/>
        <v>1.0600005791210747</v>
      </c>
      <c r="AR171" s="2223">
        <f t="shared" si="144"/>
        <v>1.0112533832001527</v>
      </c>
      <c r="AS171" s="2223">
        <f t="shared" si="144"/>
        <v>1.0146747203502064</v>
      </c>
      <c r="AT171" s="2223">
        <f t="shared" si="144"/>
        <v>1.0008198287834724</v>
      </c>
      <c r="AU171" s="2223">
        <f t="shared" si="144"/>
        <v>1.0007702511766194</v>
      </c>
      <c r="AV171" s="2223">
        <f t="shared" si="144"/>
        <v>1.0000969140224703</v>
      </c>
      <c r="AW171" s="2223">
        <f t="shared" si="144"/>
        <v>1.0000856890911114</v>
      </c>
      <c r="AX171" s="2223">
        <f t="shared" si="144"/>
        <v>1.0000002577477201</v>
      </c>
      <c r="AY171" s="2223">
        <f t="shared" si="144"/>
        <v>1.0000001766006772</v>
      </c>
      <c r="AZ171" s="2223">
        <f t="shared" si="144"/>
        <v>1.0000000873353683</v>
      </c>
      <c r="BA171" s="2223">
        <f t="shared" si="144"/>
        <v>1.0000000085233844</v>
      </c>
      <c r="BB171" s="2223">
        <f t="shared" si="144"/>
        <v>1.0000011633113248</v>
      </c>
      <c r="BC171" s="2223" t="e">
        <f t="shared" si="144"/>
        <v>#DIV/0!</v>
      </c>
      <c r="BD171" s="2223">
        <f t="shared" si="144"/>
        <v>1.0031217384177789</v>
      </c>
      <c r="BE171" s="2223">
        <f t="shared" si="144"/>
        <v>1.0000858839350932</v>
      </c>
      <c r="BF171" s="2223">
        <f t="shared" si="144"/>
        <v>1.0000858839350932</v>
      </c>
      <c r="BG171" s="2223">
        <f t="shared" si="144"/>
        <v>1</v>
      </c>
      <c r="BH171" s="2223">
        <f t="shared" si="144"/>
        <v>1.0034784092819113</v>
      </c>
      <c r="BI171" s="2223">
        <f t="shared" si="144"/>
        <v>1.2647522867517726</v>
      </c>
    </row>
    <row r="172" spans="1:61">
      <c r="A172" s="2126"/>
      <c r="B172" s="2156"/>
      <c r="C172" s="2156"/>
      <c r="D172" s="2333"/>
      <c r="E172" s="2153"/>
      <c r="F172" s="2153"/>
      <c r="G172" s="2154"/>
      <c r="H172" s="2156"/>
      <c r="I172" s="2156"/>
      <c r="J172" s="2156"/>
      <c r="K172" s="2156"/>
      <c r="L172" s="2156"/>
      <c r="M172" s="2156"/>
      <c r="N172" s="2156"/>
      <c r="O172" s="2156"/>
      <c r="P172" s="2156"/>
      <c r="Q172" s="2156"/>
      <c r="S172" s="2156"/>
      <c r="T172" s="2156"/>
      <c r="U172" s="2156"/>
      <c r="V172" s="2156"/>
      <c r="W172" s="2156"/>
      <c r="X172" s="2156"/>
      <c r="Y172" s="2156"/>
      <c r="Z172" s="2156"/>
      <c r="AA172" s="2156"/>
      <c r="AB172" s="2156"/>
      <c r="AC172" s="2156"/>
      <c r="AD172" s="2156"/>
      <c r="AE172" s="2156"/>
      <c r="AF172" s="2156"/>
      <c r="AG172" s="2156"/>
      <c r="AH172" s="2156"/>
      <c r="AI172" s="2156"/>
      <c r="AJ172" s="2156"/>
      <c r="AK172" s="2156"/>
      <c r="AL172" s="2156"/>
      <c r="AM172" s="2156"/>
      <c r="AN172" s="2156"/>
      <c r="AO172" s="2156"/>
      <c r="AP172" s="2156"/>
      <c r="AQ172" s="2156"/>
      <c r="AR172" s="2156"/>
      <c r="AS172" s="2156"/>
      <c r="AT172" s="2156"/>
      <c r="AU172" s="2156"/>
      <c r="AV172" s="2156"/>
      <c r="AW172" s="2156"/>
      <c r="AX172" s="2156"/>
      <c r="AY172" s="2156"/>
      <c r="AZ172" s="2156"/>
      <c r="BA172" s="2156"/>
      <c r="BB172" s="2156"/>
      <c r="BC172" s="2156"/>
      <c r="BD172" s="2156"/>
      <c r="BE172" s="2156"/>
      <c r="BF172" s="2156"/>
      <c r="BG172" s="2156"/>
      <c r="BH172" s="2156"/>
      <c r="BI172" s="2156"/>
    </row>
    <row r="173" spans="1:61">
      <c r="A173" s="2126"/>
      <c r="B173" s="2156"/>
      <c r="C173" s="2156"/>
      <c r="D173" s="2333"/>
      <c r="E173" s="2212" t="str">
        <f>E31</f>
        <v>Période vie entière 0-70 ans (effets sans seuil)</v>
      </c>
      <c r="F173" s="2153"/>
      <c r="G173" s="2154"/>
      <c r="H173" s="2156"/>
      <c r="I173" s="2156"/>
      <c r="J173" s="2156"/>
      <c r="K173" s="2156"/>
      <c r="L173" s="2156"/>
      <c r="M173" s="2156"/>
      <c r="N173" s="2156"/>
      <c r="O173" s="2156"/>
      <c r="P173" s="2156"/>
      <c r="Q173" s="2156"/>
      <c r="S173" s="2156"/>
      <c r="T173" s="2156"/>
      <c r="U173" s="2156"/>
      <c r="V173" s="2156"/>
      <c r="W173" s="2156"/>
      <c r="X173" s="2156"/>
      <c r="Y173" s="2156"/>
      <c r="Z173" s="2156"/>
      <c r="AA173" s="2156"/>
      <c r="AB173" s="2156"/>
      <c r="AC173" s="2156"/>
      <c r="AD173" s="2156"/>
      <c r="AE173" s="2156"/>
      <c r="AF173" s="2156"/>
      <c r="AG173" s="2156"/>
      <c r="AH173" s="2156"/>
      <c r="AI173" s="2156"/>
      <c r="AJ173" s="2156"/>
      <c r="AK173" s="2156"/>
      <c r="AL173" s="2156"/>
      <c r="AM173" s="2156"/>
      <c r="AN173" s="2156"/>
      <c r="AO173" s="2156"/>
      <c r="AP173" s="2156"/>
      <c r="AQ173" s="2156"/>
      <c r="AR173" s="2156"/>
      <c r="AS173" s="2156"/>
      <c r="AT173" s="2156"/>
      <c r="AU173" s="2156"/>
      <c r="AV173" s="2156"/>
      <c r="AW173" s="2156"/>
      <c r="AX173" s="2156"/>
      <c r="AY173" s="2156"/>
      <c r="AZ173" s="2156"/>
      <c r="BA173" s="2156"/>
      <c r="BB173" s="2156"/>
      <c r="BC173" s="2156"/>
      <c r="BD173" s="2156"/>
      <c r="BE173" s="2156"/>
      <c r="BF173" s="2156"/>
      <c r="BG173" s="2156"/>
      <c r="BH173" s="2156"/>
      <c r="BI173" s="2156"/>
    </row>
    <row r="174" spans="1:61">
      <c r="A174" s="2126"/>
      <c r="B174" s="2156"/>
      <c r="C174" s="2156"/>
      <c r="D174" s="2333"/>
      <c r="E174" s="525" t="str">
        <f>E27</f>
        <v>Durée d'exposition considérée</v>
      </c>
      <c r="F174" s="525" t="str">
        <f>F27</f>
        <v>t</v>
      </c>
      <c r="G174" s="526" t="str">
        <f>G27</f>
        <v>an</v>
      </c>
      <c r="H174" s="2224">
        <f t="shared" ref="H174:BI174" si="145">H175/(365*24*3600)</f>
        <v>70</v>
      </c>
      <c r="I174" s="2224">
        <f t="shared" si="145"/>
        <v>70</v>
      </c>
      <c r="J174" s="2224">
        <f>J175/(365*24*3600)</f>
        <v>70</v>
      </c>
      <c r="K174" s="2224">
        <f t="shared" si="145"/>
        <v>70</v>
      </c>
      <c r="L174" s="2224">
        <f t="shared" si="145"/>
        <v>70</v>
      </c>
      <c r="M174" s="2224">
        <f t="shared" si="145"/>
        <v>70</v>
      </c>
      <c r="N174" s="2224">
        <f>N175/(365*24*3600)</f>
        <v>70</v>
      </c>
      <c r="O174" s="2224">
        <f>O175/(365*24*3600)</f>
        <v>70</v>
      </c>
      <c r="P174" s="2224">
        <f t="shared" si="145"/>
        <v>70</v>
      </c>
      <c r="Q174" s="2224">
        <f t="shared" si="145"/>
        <v>70</v>
      </c>
      <c r="R174" s="2224">
        <f>R175/(365*24*3600)</f>
        <v>70</v>
      </c>
      <c r="S174" s="2224">
        <f>S175/(365*24*3600)</f>
        <v>70</v>
      </c>
      <c r="T174" s="2224">
        <f>T175/(365*24*3600)</f>
        <v>70</v>
      </c>
      <c r="U174" s="2224">
        <f t="shared" si="145"/>
        <v>70</v>
      </c>
      <c r="V174" s="2224">
        <f t="shared" si="145"/>
        <v>70</v>
      </c>
      <c r="W174" s="2224">
        <f t="shared" si="145"/>
        <v>70</v>
      </c>
      <c r="X174" s="2224">
        <f t="shared" si="145"/>
        <v>70</v>
      </c>
      <c r="Y174" s="2224">
        <f t="shared" si="145"/>
        <v>70</v>
      </c>
      <c r="Z174" s="2224">
        <f t="shared" si="145"/>
        <v>70</v>
      </c>
      <c r="AA174" s="2224">
        <f t="shared" si="145"/>
        <v>70</v>
      </c>
      <c r="AB174" s="2224">
        <f t="shared" si="145"/>
        <v>70</v>
      </c>
      <c r="AC174" s="2224">
        <f t="shared" si="145"/>
        <v>70</v>
      </c>
      <c r="AD174" s="2224">
        <f t="shared" si="145"/>
        <v>70</v>
      </c>
      <c r="AE174" s="2224">
        <f t="shared" si="145"/>
        <v>70</v>
      </c>
      <c r="AF174" s="2224">
        <f t="shared" si="145"/>
        <v>70</v>
      </c>
      <c r="AG174" s="2224">
        <f t="shared" si="145"/>
        <v>70</v>
      </c>
      <c r="AH174" s="2224">
        <f t="shared" si="145"/>
        <v>70</v>
      </c>
      <c r="AI174" s="2224">
        <f t="shared" si="145"/>
        <v>70</v>
      </c>
      <c r="AJ174" s="2224">
        <f t="shared" si="145"/>
        <v>70</v>
      </c>
      <c r="AK174" s="2224">
        <f t="shared" si="145"/>
        <v>70</v>
      </c>
      <c r="AL174" s="2224">
        <f t="shared" si="145"/>
        <v>70</v>
      </c>
      <c r="AM174" s="2224">
        <f t="shared" si="145"/>
        <v>70</v>
      </c>
      <c r="AN174" s="2224">
        <f t="shared" si="145"/>
        <v>70</v>
      </c>
      <c r="AO174" s="2224">
        <f t="shared" si="145"/>
        <v>70</v>
      </c>
      <c r="AP174" s="2224">
        <f t="shared" si="145"/>
        <v>70</v>
      </c>
      <c r="AQ174" s="2224">
        <f t="shared" si="145"/>
        <v>70</v>
      </c>
      <c r="AR174" s="2224">
        <f t="shared" si="145"/>
        <v>70</v>
      </c>
      <c r="AS174" s="2224">
        <f t="shared" si="145"/>
        <v>70</v>
      </c>
      <c r="AT174" s="2224">
        <f t="shared" si="145"/>
        <v>70</v>
      </c>
      <c r="AU174" s="2224">
        <f t="shared" si="145"/>
        <v>70</v>
      </c>
      <c r="AV174" s="2224">
        <f t="shared" si="145"/>
        <v>70</v>
      </c>
      <c r="AW174" s="2224">
        <f t="shared" si="145"/>
        <v>70</v>
      </c>
      <c r="AX174" s="2224">
        <f t="shared" si="145"/>
        <v>70</v>
      </c>
      <c r="AY174" s="2224">
        <f t="shared" si="145"/>
        <v>70</v>
      </c>
      <c r="AZ174" s="2224">
        <f t="shared" si="145"/>
        <v>70</v>
      </c>
      <c r="BA174" s="2224">
        <f t="shared" si="145"/>
        <v>70</v>
      </c>
      <c r="BB174" s="2224">
        <f t="shared" si="145"/>
        <v>70</v>
      </c>
      <c r="BC174" s="2224">
        <f t="shared" si="145"/>
        <v>70</v>
      </c>
      <c r="BD174" s="2224">
        <f t="shared" si="145"/>
        <v>70</v>
      </c>
      <c r="BE174" s="2224">
        <f t="shared" si="145"/>
        <v>70</v>
      </c>
      <c r="BF174" s="2224">
        <f t="shared" si="145"/>
        <v>70</v>
      </c>
      <c r="BG174" s="2224">
        <f t="shared" si="145"/>
        <v>70</v>
      </c>
      <c r="BH174" s="2224">
        <f t="shared" si="145"/>
        <v>70</v>
      </c>
      <c r="BI174" s="2224">
        <f t="shared" si="145"/>
        <v>70</v>
      </c>
    </row>
    <row r="175" spans="1:61" s="529" customFormat="1" ht="13.15" customHeight="1">
      <c r="A175" s="523"/>
      <c r="B175" s="224"/>
      <c r="C175" s="524"/>
      <c r="D175" s="2333"/>
      <c r="E175" s="525" t="str">
        <f t="shared" ref="E175:BI175" si="146">E33</f>
        <v>Durée d'exposition considérée</v>
      </c>
      <c r="F175" s="525" t="str">
        <f t="shared" si="146"/>
        <v>t</v>
      </c>
      <c r="G175" s="526" t="str">
        <f t="shared" si="146"/>
        <v>s</v>
      </c>
      <c r="H175" s="2161">
        <f t="shared" si="146"/>
        <v>2207520000</v>
      </c>
      <c r="I175" s="2161">
        <f t="shared" si="146"/>
        <v>2207520000</v>
      </c>
      <c r="J175" s="2161">
        <f>J33</f>
        <v>2207520000</v>
      </c>
      <c r="K175" s="2161">
        <f t="shared" si="146"/>
        <v>2207520000</v>
      </c>
      <c r="L175" s="2161">
        <f t="shared" si="146"/>
        <v>2207520000</v>
      </c>
      <c r="M175" s="2161">
        <f t="shared" si="146"/>
        <v>2207520000</v>
      </c>
      <c r="N175" s="2161">
        <f>N33</f>
        <v>2207520000</v>
      </c>
      <c r="O175" s="2161">
        <f>O33</f>
        <v>2207520000</v>
      </c>
      <c r="P175" s="2161">
        <f t="shared" si="146"/>
        <v>2207520000</v>
      </c>
      <c r="Q175" s="2161">
        <f t="shared" si="146"/>
        <v>2207520000</v>
      </c>
      <c r="R175" s="2161">
        <f>R33</f>
        <v>2207520000</v>
      </c>
      <c r="S175" s="2161">
        <f>S33</f>
        <v>2207520000</v>
      </c>
      <c r="T175" s="2161">
        <f>T33</f>
        <v>2207520000</v>
      </c>
      <c r="U175" s="2161">
        <f t="shared" si="146"/>
        <v>2207520000</v>
      </c>
      <c r="V175" s="2161">
        <f t="shared" si="146"/>
        <v>2207520000</v>
      </c>
      <c r="W175" s="2161">
        <f t="shared" si="146"/>
        <v>2207520000</v>
      </c>
      <c r="X175" s="2161">
        <f t="shared" si="146"/>
        <v>2207520000</v>
      </c>
      <c r="Y175" s="2161">
        <f t="shared" si="146"/>
        <v>2207520000</v>
      </c>
      <c r="Z175" s="2161">
        <f t="shared" si="146"/>
        <v>2207520000</v>
      </c>
      <c r="AA175" s="2215">
        <f t="shared" si="146"/>
        <v>2207520000</v>
      </c>
      <c r="AB175" s="2161">
        <f t="shared" si="146"/>
        <v>2207520000</v>
      </c>
      <c r="AC175" s="2161">
        <f t="shared" si="146"/>
        <v>2207520000</v>
      </c>
      <c r="AD175" s="2161">
        <f t="shared" si="146"/>
        <v>2207520000</v>
      </c>
      <c r="AE175" s="2161">
        <f t="shared" si="146"/>
        <v>2207520000</v>
      </c>
      <c r="AF175" s="2161">
        <f t="shared" si="146"/>
        <v>2207520000</v>
      </c>
      <c r="AG175" s="2161">
        <f t="shared" si="146"/>
        <v>2207520000</v>
      </c>
      <c r="AH175" s="2161">
        <f t="shared" si="146"/>
        <v>2207520000</v>
      </c>
      <c r="AI175" s="2161">
        <f t="shared" si="146"/>
        <v>2207520000</v>
      </c>
      <c r="AJ175" s="2161">
        <f t="shared" si="146"/>
        <v>2207520000</v>
      </c>
      <c r="AK175" s="2161">
        <f t="shared" si="146"/>
        <v>2207520000</v>
      </c>
      <c r="AL175" s="2161">
        <f t="shared" si="146"/>
        <v>2207520000</v>
      </c>
      <c r="AM175" s="2161">
        <f t="shared" si="146"/>
        <v>2207520000</v>
      </c>
      <c r="AN175" s="2155">
        <f t="shared" si="146"/>
        <v>2207520000</v>
      </c>
      <c r="AO175" s="2161">
        <f t="shared" si="146"/>
        <v>2207520000</v>
      </c>
      <c r="AP175" s="2161">
        <f t="shared" si="146"/>
        <v>2207520000</v>
      </c>
      <c r="AQ175" s="2161">
        <f t="shared" si="146"/>
        <v>2207520000</v>
      </c>
      <c r="AR175" s="2161">
        <f t="shared" si="146"/>
        <v>2207520000</v>
      </c>
      <c r="AS175" s="2161">
        <f t="shared" si="146"/>
        <v>2207520000</v>
      </c>
      <c r="AT175" s="2161">
        <f t="shared" si="146"/>
        <v>2207520000</v>
      </c>
      <c r="AU175" s="2161">
        <f t="shared" si="146"/>
        <v>2207520000</v>
      </c>
      <c r="AV175" s="2161">
        <f t="shared" si="146"/>
        <v>2207520000</v>
      </c>
      <c r="AW175" s="2161">
        <f t="shared" si="146"/>
        <v>2207520000</v>
      </c>
      <c r="AX175" s="2161">
        <f t="shared" si="146"/>
        <v>2207520000</v>
      </c>
      <c r="AY175" s="2161">
        <f t="shared" si="146"/>
        <v>2207520000</v>
      </c>
      <c r="AZ175" s="2161">
        <f t="shared" si="146"/>
        <v>2207520000</v>
      </c>
      <c r="BA175" s="2161">
        <f t="shared" si="146"/>
        <v>2207520000</v>
      </c>
      <c r="BB175" s="2161">
        <f t="shared" si="146"/>
        <v>2207520000</v>
      </c>
      <c r="BC175" s="2161">
        <f t="shared" si="146"/>
        <v>2207520000</v>
      </c>
      <c r="BD175" s="2161">
        <f t="shared" si="146"/>
        <v>2207520000</v>
      </c>
      <c r="BE175" s="2161">
        <f t="shared" si="146"/>
        <v>2207520000</v>
      </c>
      <c r="BF175" s="2161">
        <f t="shared" si="146"/>
        <v>2207520000</v>
      </c>
      <c r="BG175" s="2161">
        <f t="shared" si="146"/>
        <v>2207520000</v>
      </c>
      <c r="BH175" s="2161">
        <f t="shared" si="146"/>
        <v>2207520000</v>
      </c>
      <c r="BI175" s="2161">
        <f t="shared" si="146"/>
        <v>2207520000</v>
      </c>
    </row>
    <row r="176" spans="1:61" ht="15.75">
      <c r="A176" s="2126"/>
      <c r="B176" s="2156"/>
      <c r="C176" s="2156"/>
      <c r="D176" s="2333"/>
      <c r="E176" s="2225" t="s">
        <v>297</v>
      </c>
      <c r="F176" s="2225" t="s">
        <v>1131</v>
      </c>
      <c r="G176" s="2226" t="s">
        <v>73</v>
      </c>
      <c r="H176" s="2227">
        <f t="shared" ref="H176:AM176" si="147">(2*H145*H13*0.001/H14*H175+(H41+H145*H119)^2)^0.5-H145*H119</f>
        <v>0.96431814212756994</v>
      </c>
      <c r="I176" s="2227">
        <f t="shared" si="147"/>
        <v>0.96431814212756994</v>
      </c>
      <c r="J176" s="2227">
        <f t="shared" si="147"/>
        <v>2.6347431175799119</v>
      </c>
      <c r="K176" s="2227">
        <f t="shared" si="147"/>
        <v>59.065303846829295</v>
      </c>
      <c r="L176" s="2227">
        <f t="shared" si="147"/>
        <v>21.150039273550401</v>
      </c>
      <c r="M176" s="2227">
        <f t="shared" si="147"/>
        <v>21.150039273550401</v>
      </c>
      <c r="N176" s="2227">
        <f t="shared" si="147"/>
        <v>30.86165771640524</v>
      </c>
      <c r="O176" s="2227">
        <f t="shared" si="147"/>
        <v>30.86165771640524</v>
      </c>
      <c r="P176" s="2227">
        <f t="shared" si="147"/>
        <v>30.782147713129792</v>
      </c>
      <c r="Q176" s="2227">
        <f t="shared" si="147"/>
        <v>30.782147713129792</v>
      </c>
      <c r="R176" s="2227">
        <f t="shared" si="147"/>
        <v>73.764233758425945</v>
      </c>
      <c r="S176" s="2227">
        <f t="shared" si="147"/>
        <v>22.667533104463754</v>
      </c>
      <c r="T176" s="2227">
        <f t="shared" si="147"/>
        <v>22.667533104463754</v>
      </c>
      <c r="U176" s="2227">
        <f t="shared" si="147"/>
        <v>42.777154964461751</v>
      </c>
      <c r="V176" s="2227">
        <f t="shared" si="147"/>
        <v>33.018360322360252</v>
      </c>
      <c r="W176" s="2227">
        <f t="shared" si="147"/>
        <v>33.018360322360252</v>
      </c>
      <c r="X176" s="2227">
        <f t="shared" si="147"/>
        <v>24.478932514229232</v>
      </c>
      <c r="Y176" s="2227">
        <f t="shared" si="147"/>
        <v>19.266998791771378</v>
      </c>
      <c r="Z176" s="2227">
        <f t="shared" si="147"/>
        <v>14.139137055769771</v>
      </c>
      <c r="AA176" s="2227">
        <f t="shared" si="147"/>
        <v>11.541509011633313</v>
      </c>
      <c r="AB176" s="2227">
        <f t="shared" si="147"/>
        <v>8.3458002711512052</v>
      </c>
      <c r="AC176" s="2227">
        <f t="shared" si="147"/>
        <v>3.4187753431789178</v>
      </c>
      <c r="AD176" s="2227">
        <f t="shared" si="147"/>
        <v>1.2900426449629026</v>
      </c>
      <c r="AE176" s="2227">
        <f t="shared" si="147"/>
        <v>0.2963456008851218</v>
      </c>
      <c r="AF176" s="2227">
        <f t="shared" si="147"/>
        <v>1.6015808220724015E-3</v>
      </c>
      <c r="AG176" s="2227">
        <f t="shared" si="147"/>
        <v>49.784280842575143</v>
      </c>
      <c r="AH176" s="2227">
        <f t="shared" si="147"/>
        <v>38.720741443077607</v>
      </c>
      <c r="AI176" s="2227">
        <f t="shared" si="147"/>
        <v>21.55668120391098</v>
      </c>
      <c r="AJ176" s="2227">
        <f t="shared" si="147"/>
        <v>9.3561109848212336</v>
      </c>
      <c r="AK176" s="2227">
        <f t="shared" si="147"/>
        <v>3.8714703895403133</v>
      </c>
      <c r="AL176" s="2227">
        <f t="shared" si="147"/>
        <v>0.76978654360010446</v>
      </c>
      <c r="AM176" s="2227">
        <f t="shared" si="147"/>
        <v>1.185928365696165E-2</v>
      </c>
      <c r="AN176" s="2227">
        <f t="shared" ref="AN176:BI176" si="148">(2*AN145*AN13*0.001/AN14*AN175+(AN41+AN145*AN119)^2)^0.5-AN145*AN119</f>
        <v>0.85076343533500665</v>
      </c>
      <c r="AO176" s="2227">
        <f t="shared" si="148"/>
        <v>0.32657107224196646</v>
      </c>
      <c r="AP176" s="2227">
        <f t="shared" si="148"/>
        <v>0.4595505794550187</v>
      </c>
      <c r="AQ176" s="2227">
        <f t="shared" si="148"/>
        <v>0.2306772565177693</v>
      </c>
      <c r="AR176" s="2227">
        <f t="shared" si="148"/>
        <v>5.7604021026230606E-2</v>
      </c>
      <c r="AS176" s="2227">
        <f t="shared" si="148"/>
        <v>7.2317413454662444E-2</v>
      </c>
      <c r="AT176" s="2227">
        <f t="shared" si="148"/>
        <v>5.3015529119112004E-3</v>
      </c>
      <c r="AU176" s="2227">
        <f t="shared" si="148"/>
        <v>5.1030298056241596E-3</v>
      </c>
      <c r="AV176" s="2227">
        <f t="shared" si="148"/>
        <v>7.2700506980616364E-4</v>
      </c>
      <c r="AW176" s="2227">
        <f t="shared" si="148"/>
        <v>7.0062092439193702E-4</v>
      </c>
      <c r="AX176" s="2227">
        <f t="shared" si="148"/>
        <v>2.2335193943234799E-5</v>
      </c>
      <c r="AY176" s="2227">
        <f t="shared" si="148"/>
        <v>1.5328570829531429E-5</v>
      </c>
      <c r="AZ176" s="2227">
        <f t="shared" si="148"/>
        <v>1.0236971102806081E-5</v>
      </c>
      <c r="BA176" s="2227">
        <f t="shared" si="148"/>
        <v>1.6022781643698636E-6</v>
      </c>
      <c r="BB176" s="2227">
        <f t="shared" si="148"/>
        <v>2.6318297621896747E-5</v>
      </c>
      <c r="BC176" s="2227">
        <f t="shared" si="148"/>
        <v>0</v>
      </c>
      <c r="BD176" s="2227">
        <f t="shared" si="148"/>
        <v>0.14141150997773178</v>
      </c>
      <c r="BE176" s="2227">
        <f t="shared" si="148"/>
        <v>5.8419365601741768E-4</v>
      </c>
      <c r="BF176" s="2227">
        <f t="shared" si="148"/>
        <v>5.8419365601741768E-4</v>
      </c>
      <c r="BG176" s="2227">
        <f t="shared" si="148"/>
        <v>31.348887530479661</v>
      </c>
      <c r="BH176" s="2227">
        <f t="shared" si="148"/>
        <v>0.12337154553582352</v>
      </c>
      <c r="BI176" s="2227">
        <f t="shared" si="148"/>
        <v>1.215616027098162</v>
      </c>
    </row>
    <row r="177" spans="1:61" s="2204" customFormat="1" ht="25.5">
      <c r="D177" s="2333"/>
      <c r="E177" s="2205" t="s">
        <v>610</v>
      </c>
      <c r="F177" s="2205" t="s">
        <v>138</v>
      </c>
      <c r="G177" s="2206" t="s">
        <v>139</v>
      </c>
      <c r="H177" s="2204">
        <f t="shared" ref="H177:AM177" si="149">1000*H14/H13*(H176-H41)/H175</f>
        <v>2.487196739331788E-4</v>
      </c>
      <c r="I177" s="2204">
        <f t="shared" si="149"/>
        <v>2.487196739331788E-4</v>
      </c>
      <c r="J177" s="2204">
        <f t="shared" si="149"/>
        <v>1.0351725149903551E-4</v>
      </c>
      <c r="K177" s="2204">
        <f t="shared" si="149"/>
        <v>1.0415609382210641E-5</v>
      </c>
      <c r="L177" s="2204">
        <f t="shared" si="149"/>
        <v>1.9948059545798467E-5</v>
      </c>
      <c r="M177" s="2204">
        <f t="shared" si="149"/>
        <v>1.9948059545798467E-5</v>
      </c>
      <c r="N177" s="2204">
        <f t="shared" si="149"/>
        <v>1.4758188273527275E-5</v>
      </c>
      <c r="O177" s="2204">
        <f t="shared" si="149"/>
        <v>1.4758188273527275E-5</v>
      </c>
      <c r="P177" s="2204">
        <f t="shared" si="149"/>
        <v>1.3483202599586633E-5</v>
      </c>
      <c r="Q177" s="2204">
        <f t="shared" si="149"/>
        <v>1.3483202599586633E-5</v>
      </c>
      <c r="R177" s="2204">
        <f t="shared" si="149"/>
        <v>8.0379179439136941E-5</v>
      </c>
      <c r="S177" s="2204">
        <f t="shared" si="149"/>
        <v>2.6327994042223623E-5</v>
      </c>
      <c r="T177" s="2204">
        <f t="shared" si="149"/>
        <v>2.6327994042223623E-5</v>
      </c>
      <c r="U177" s="2204">
        <f t="shared" si="149"/>
        <v>1.0553414264594093E-5</v>
      </c>
      <c r="V177" s="2204">
        <f t="shared" si="149"/>
        <v>4.9766895369541152E-6</v>
      </c>
      <c r="W177" s="2204">
        <f t="shared" si="149"/>
        <v>4.9766895369541152E-6</v>
      </c>
      <c r="X177" s="2204">
        <f t="shared" si="149"/>
        <v>1.9232465990623348E-5</v>
      </c>
      <c r="Y177" s="2204">
        <f t="shared" si="149"/>
        <v>2.1841698544724943E-5</v>
      </c>
      <c r="Z177" s="2204">
        <f t="shared" si="149"/>
        <v>2.7065390033222854E-5</v>
      </c>
      <c r="AA177" s="2204">
        <f t="shared" si="149"/>
        <v>3.2932317039615497E-5</v>
      </c>
      <c r="AB177" s="2204">
        <f t="shared" si="149"/>
        <v>2.105601905960674E-5</v>
      </c>
      <c r="AC177" s="2204">
        <f t="shared" si="149"/>
        <v>4.4202297709681798E-5</v>
      </c>
      <c r="AD177" s="2204">
        <f t="shared" si="149"/>
        <v>8.521452356662941E-5</v>
      </c>
      <c r="AE177" s="2204">
        <f t="shared" si="149"/>
        <v>1.5698868594678304E-4</v>
      </c>
      <c r="AF177" s="2204">
        <f t="shared" si="149"/>
        <v>2.0470134525825417E-4</v>
      </c>
      <c r="AG177" s="2204">
        <f t="shared" si="149"/>
        <v>5.4613692316671001E-6</v>
      </c>
      <c r="AH177" s="2204">
        <f t="shared" si="149"/>
        <v>5.6731230972670637E-6</v>
      </c>
      <c r="AI177" s="2204">
        <f t="shared" si="149"/>
        <v>7.7674347598257817E-6</v>
      </c>
      <c r="AJ177" s="2204">
        <f t="shared" si="149"/>
        <v>1.4162352326755848E-5</v>
      </c>
      <c r="AK177" s="2204">
        <f t="shared" si="149"/>
        <v>2.5706170301832147E-5</v>
      </c>
      <c r="AL177" s="2204">
        <f t="shared" si="149"/>
        <v>6.7423361668741486E-5</v>
      </c>
      <c r="AM177" s="2204">
        <f t="shared" si="149"/>
        <v>1.5005420802932014E-4</v>
      </c>
      <c r="AN177" s="2204">
        <f t="shared" ref="AN177:BI177" si="150">1000*AN14/AN13*(AN176-AN41)/AN175</f>
        <v>1.352413345388971E-4</v>
      </c>
      <c r="AO177" s="2204">
        <f t="shared" si="150"/>
        <v>1.9007680942791102E-4</v>
      </c>
      <c r="AP177" s="2204">
        <f t="shared" si="150"/>
        <v>1.5988276060618689E-4</v>
      </c>
      <c r="AQ177" s="2204">
        <f t="shared" si="150"/>
        <v>1.9820318004796635E-4</v>
      </c>
      <c r="AR177" s="2204">
        <f t="shared" si="150"/>
        <v>2.4720531719924968E-4</v>
      </c>
      <c r="AS177" s="2204">
        <f t="shared" si="150"/>
        <v>2.4027754801280658E-4</v>
      </c>
      <c r="AT177" s="2204">
        <f t="shared" si="150"/>
        <v>2.4131109241612162E-4</v>
      </c>
      <c r="AU177" s="2204">
        <f t="shared" si="150"/>
        <v>2.4144715189259924E-4</v>
      </c>
      <c r="AV177" s="2204">
        <f t="shared" si="150"/>
        <v>2.1561344222247763E-4</v>
      </c>
      <c r="AW177" s="2204">
        <f t="shared" si="150"/>
        <v>2.1564159548444298E-4</v>
      </c>
      <c r="AX177" s="2204">
        <f t="shared" si="150"/>
        <v>1.9530754498235602E-4</v>
      </c>
      <c r="AY177" s="2204">
        <f t="shared" si="150"/>
        <v>1.9530772912297798E-4</v>
      </c>
      <c r="AZ177" s="2204">
        <f t="shared" si="150"/>
        <v>1.9532341635374823E-4</v>
      </c>
      <c r="BA177" s="2204">
        <f t="shared" si="150"/>
        <v>1.7701200661209156E-4</v>
      </c>
      <c r="BB177" s="2204">
        <f t="shared" si="150"/>
        <v>1.8363198335476764E-4</v>
      </c>
      <c r="BC177" s="2204">
        <f t="shared" si="150"/>
        <v>0</v>
      </c>
      <c r="BD177" s="2204">
        <f t="shared" si="150"/>
        <v>1.027166366759659E-3</v>
      </c>
      <c r="BE177" s="2204">
        <f t="shared" si="150"/>
        <v>1.9118782389923708E-4</v>
      </c>
      <c r="BF177" s="2204">
        <f t="shared" si="150"/>
        <v>1.9118782389923708E-4</v>
      </c>
      <c r="BG177" s="2204">
        <f t="shared" si="150"/>
        <v>5.6495918243848681E-6</v>
      </c>
      <c r="BH177" s="2204">
        <f t="shared" si="150"/>
        <v>6.7388915643141892E-4</v>
      </c>
      <c r="BI177" s="2204">
        <f t="shared" si="150"/>
        <v>8.5817577075917803E-4</v>
      </c>
    </row>
    <row r="178" spans="1:61" ht="25.5">
      <c r="A178" s="2126"/>
      <c r="B178" s="2156"/>
      <c r="C178" s="2156"/>
      <c r="D178" s="2333"/>
      <c r="E178" s="2153" t="s">
        <v>611</v>
      </c>
      <c r="F178" s="2153" t="s">
        <v>138</v>
      </c>
      <c r="G178" s="2154" t="s">
        <v>139</v>
      </c>
      <c r="H178" s="2161">
        <f t="shared" ref="H178:BI178" si="151">MIN(H177,H$34)</f>
        <v>2.487196739331788E-4</v>
      </c>
      <c r="I178" s="2161">
        <f t="shared" si="151"/>
        <v>2.487196739331788E-4</v>
      </c>
      <c r="J178" s="2161">
        <f>MIN(J177,J$34)</f>
        <v>1.0351725149903551E-4</v>
      </c>
      <c r="K178" s="2161">
        <f t="shared" si="151"/>
        <v>5.2902171175928501E-7</v>
      </c>
      <c r="L178" s="2161">
        <f t="shared" si="151"/>
        <v>2.8295067381853387E-6</v>
      </c>
      <c r="M178" s="2161">
        <f t="shared" si="151"/>
        <v>2.8295067381853387E-6</v>
      </c>
      <c r="N178" s="2161">
        <f>MIN(N177,N$34)</f>
        <v>1.4346139545526303E-6</v>
      </c>
      <c r="O178" s="2161">
        <f>MIN(O177,O$34)</f>
        <v>1.4346139545526303E-6</v>
      </c>
      <c r="P178" s="2161">
        <f t="shared" si="151"/>
        <v>1.314060609926401E-6</v>
      </c>
      <c r="Q178" s="2161">
        <f t="shared" si="151"/>
        <v>1.314060609926401E-6</v>
      </c>
      <c r="R178" s="2161">
        <f>MIN(R177,R$34)</f>
        <v>3.2690306132254255E-6</v>
      </c>
      <c r="S178" s="2161">
        <f>MIN(S177,S$34)</f>
        <v>3.4844542528148829E-6</v>
      </c>
      <c r="T178" s="2161">
        <f>MIN(T177,T$34)</f>
        <v>3.4844542528148829E-6</v>
      </c>
      <c r="U178" s="2161">
        <f t="shared" si="151"/>
        <v>7.4012034741639221E-7</v>
      </c>
      <c r="V178" s="2161">
        <f t="shared" si="151"/>
        <v>4.5217474353963014E-7</v>
      </c>
      <c r="W178" s="2161">
        <f t="shared" si="151"/>
        <v>4.5217474353963014E-7</v>
      </c>
      <c r="X178" s="2161">
        <f t="shared" si="151"/>
        <v>2.3570226331696212E-6</v>
      </c>
      <c r="Y178" s="2161">
        <f t="shared" si="151"/>
        <v>3.4008978950141175E-6</v>
      </c>
      <c r="Z178" s="2161">
        <f t="shared" si="151"/>
        <v>5.7426538677291316E-6</v>
      </c>
      <c r="AA178" s="2161">
        <f t="shared" si="151"/>
        <v>8.560141574144568E-6</v>
      </c>
      <c r="AB178" s="2161">
        <f t="shared" si="151"/>
        <v>7.5688436251191195E-6</v>
      </c>
      <c r="AC178" s="2161">
        <f t="shared" si="151"/>
        <v>3.8787834770605911E-5</v>
      </c>
      <c r="AD178" s="2161">
        <f t="shared" si="151"/>
        <v>8.521452356662941E-5</v>
      </c>
      <c r="AE178" s="2161">
        <f t="shared" si="151"/>
        <v>1.5698868594678304E-4</v>
      </c>
      <c r="AF178" s="2161">
        <f t="shared" si="151"/>
        <v>2.0470134525825417E-4</v>
      </c>
      <c r="AG178" s="2161">
        <f t="shared" si="151"/>
        <v>3.291020261357222E-7</v>
      </c>
      <c r="AH178" s="2161">
        <f t="shared" si="151"/>
        <v>4.3954141004301113E-7</v>
      </c>
      <c r="AI178" s="2161">
        <f t="shared" si="151"/>
        <v>1.0809782850641064E-6</v>
      </c>
      <c r="AJ178" s="2161">
        <f t="shared" si="151"/>
        <v>4.5411022858959111E-6</v>
      </c>
      <c r="AK178" s="2161">
        <f t="shared" si="151"/>
        <v>1.991969539889811E-5</v>
      </c>
      <c r="AL178" s="2161">
        <f t="shared" si="151"/>
        <v>6.7423361668741486E-5</v>
      </c>
      <c r="AM178" s="2161">
        <f t="shared" si="151"/>
        <v>1.5005420802932014E-4</v>
      </c>
      <c r="AN178" s="2161">
        <f t="shared" si="151"/>
        <v>1.352413345388971E-4</v>
      </c>
      <c r="AO178" s="2161">
        <f t="shared" si="151"/>
        <v>1.9007680942791102E-4</v>
      </c>
      <c r="AP178" s="2161">
        <f t="shared" si="151"/>
        <v>1.5988276060618689E-4</v>
      </c>
      <c r="AQ178" s="2161">
        <f t="shared" si="151"/>
        <v>1.9820318004796635E-4</v>
      </c>
      <c r="AR178" s="2161">
        <f t="shared" si="151"/>
        <v>2.4720531719924968E-4</v>
      </c>
      <c r="AS178" s="2161">
        <f t="shared" si="151"/>
        <v>2.4027754801280658E-4</v>
      </c>
      <c r="AT178" s="2161">
        <f t="shared" si="151"/>
        <v>2.4131109241612162E-4</v>
      </c>
      <c r="AU178" s="2161">
        <f t="shared" si="151"/>
        <v>2.4144715189259924E-4</v>
      </c>
      <c r="AV178" s="2161">
        <f t="shared" si="151"/>
        <v>2.1561344222247763E-4</v>
      </c>
      <c r="AW178" s="2161">
        <f t="shared" si="151"/>
        <v>2.1564159548444298E-4</v>
      </c>
      <c r="AX178" s="2161">
        <f t="shared" si="151"/>
        <v>1.9530754498235602E-4</v>
      </c>
      <c r="AY178" s="2161">
        <f t="shared" si="151"/>
        <v>1.9530772912297798E-4</v>
      </c>
      <c r="AZ178" s="2161">
        <f t="shared" si="151"/>
        <v>1.9532341635374823E-4</v>
      </c>
      <c r="BA178" s="2161">
        <f t="shared" si="151"/>
        <v>1.7701200661209156E-4</v>
      </c>
      <c r="BB178" s="2161">
        <f t="shared" si="151"/>
        <v>1.8363198335476764E-4</v>
      </c>
      <c r="BC178" s="2161">
        <f t="shared" si="151"/>
        <v>0</v>
      </c>
      <c r="BD178" s="2161">
        <f t="shared" si="151"/>
        <v>1.027166366759659E-3</v>
      </c>
      <c r="BE178" s="2161">
        <f t="shared" si="151"/>
        <v>1.9118782389923708E-4</v>
      </c>
      <c r="BF178" s="2161">
        <f t="shared" si="151"/>
        <v>1.9118782389923708E-4</v>
      </c>
      <c r="BG178" s="2161">
        <f t="shared" si="151"/>
        <v>5.4064998181118143E-7</v>
      </c>
      <c r="BH178" s="2161">
        <f t="shared" si="151"/>
        <v>6.7388915643141892E-4</v>
      </c>
      <c r="BI178" s="2161">
        <f t="shared" si="151"/>
        <v>8.5817577075917803E-4</v>
      </c>
    </row>
    <row r="179" spans="1:61" ht="25.5">
      <c r="A179" s="2126"/>
      <c r="B179" s="2156"/>
      <c r="C179" s="2156"/>
      <c r="D179" s="2333"/>
      <c r="E179" s="3655" t="s">
        <v>582</v>
      </c>
      <c r="F179" s="2153" t="s">
        <v>300</v>
      </c>
      <c r="G179" s="2220" t="s">
        <v>35</v>
      </c>
      <c r="H179" s="2221">
        <f t="shared" ref="H179:AM179" si="152">H123/H177</f>
        <v>2.6731692203037145</v>
      </c>
      <c r="I179" s="2221">
        <f t="shared" si="152"/>
        <v>2.6731692203037145</v>
      </c>
      <c r="J179" s="2221">
        <f t="shared" si="152"/>
        <v>6.601821446531364</v>
      </c>
      <c r="K179" s="2221">
        <f t="shared" si="152"/>
        <v>131.98044450762109</v>
      </c>
      <c r="L179" s="2221">
        <f t="shared" si="152"/>
        <v>47.848195514362693</v>
      </c>
      <c r="M179" s="2221">
        <f t="shared" si="152"/>
        <v>47.848195514362693</v>
      </c>
      <c r="N179" s="2221">
        <f t="shared" si="152"/>
        <v>69.419654912360812</v>
      </c>
      <c r="O179" s="2221">
        <f t="shared" si="152"/>
        <v>69.419654912360812</v>
      </c>
      <c r="P179" s="2221">
        <f t="shared" si="152"/>
        <v>69.251285845640354</v>
      </c>
      <c r="Q179" s="2221">
        <f t="shared" si="152"/>
        <v>69.251285845640354</v>
      </c>
      <c r="R179" s="2221">
        <f t="shared" si="152"/>
        <v>164.56785519082985</v>
      </c>
      <c r="S179" s="2221">
        <f t="shared" si="152"/>
        <v>51.22759576718304</v>
      </c>
      <c r="T179" s="2221">
        <f t="shared" si="152"/>
        <v>51.22759576718304</v>
      </c>
      <c r="U179" s="2221">
        <f t="shared" si="152"/>
        <v>95.849537576717324</v>
      </c>
      <c r="V179" s="2221">
        <f t="shared" si="152"/>
        <v>74.218217057363134</v>
      </c>
      <c r="W179" s="2221">
        <f t="shared" si="152"/>
        <v>74.218217057363134</v>
      </c>
      <c r="X179" s="2221">
        <f t="shared" si="152"/>
        <v>55.255173594961043</v>
      </c>
      <c r="Y179" s="2221">
        <f t="shared" si="152"/>
        <v>43.706433605625293</v>
      </c>
      <c r="Z179" s="2221">
        <f t="shared" si="152"/>
        <v>32.342820348440142</v>
      </c>
      <c r="AA179" s="2221">
        <f t="shared" si="152"/>
        <v>26.580912799180609</v>
      </c>
      <c r="AB179" s="2221">
        <f t="shared" si="152"/>
        <v>19.503586963279048</v>
      </c>
      <c r="AC179" s="2221">
        <f t="shared" si="152"/>
        <v>8.5759808901284806</v>
      </c>
      <c r="AD179" s="2221">
        <f t="shared" si="152"/>
        <v>3.8553794038022087</v>
      </c>
      <c r="AE179" s="2221">
        <f t="shared" si="152"/>
        <v>1.6521521770598173</v>
      </c>
      <c r="AF179" s="2221">
        <f t="shared" si="152"/>
        <v>1.0030903761560448</v>
      </c>
      <c r="AG179" s="2221">
        <f t="shared" si="152"/>
        <v>111.40006495570734</v>
      </c>
      <c r="AH179" s="2221">
        <f t="shared" si="152"/>
        <v>86.865994293830951</v>
      </c>
      <c r="AI179" s="2221">
        <f t="shared" si="152"/>
        <v>48.803507487265136</v>
      </c>
      <c r="AJ179" s="2221">
        <f t="shared" si="152"/>
        <v>21.747864833177694</v>
      </c>
      <c r="AK179" s="2221">
        <f t="shared" si="152"/>
        <v>9.5852760798110417</v>
      </c>
      <c r="AL179" s="2221">
        <f t="shared" si="152"/>
        <v>2.7070597138597381</v>
      </c>
      <c r="AM179" s="2221">
        <f t="shared" si="152"/>
        <v>1.0262988561505164</v>
      </c>
      <c r="AN179" s="2221">
        <f t="shared" ref="AN179:BI179" si="153">AN123/AN177</f>
        <v>2.8425519270127166</v>
      </c>
      <c r="AO179" s="2221">
        <f t="shared" si="153"/>
        <v>1.7034453942230887</v>
      </c>
      <c r="AP179" s="2221">
        <f t="shared" si="153"/>
        <v>1.9987470081354137</v>
      </c>
      <c r="AQ179" s="2221">
        <f t="shared" si="153"/>
        <v>1.4959957666506207</v>
      </c>
      <c r="AR179" s="2221">
        <f t="shared" si="153"/>
        <v>1.1186815993643402</v>
      </c>
      <c r="AS179" s="2221">
        <f t="shared" si="153"/>
        <v>1.1509358319283587</v>
      </c>
      <c r="AT179" s="2221">
        <f t="shared" si="153"/>
        <v>1.009482591000521</v>
      </c>
      <c r="AU179" s="2221">
        <f t="shared" si="153"/>
        <v>1.0089137308099236</v>
      </c>
      <c r="AV179" s="2221">
        <f t="shared" si="153"/>
        <v>1.0011294974039744</v>
      </c>
      <c r="AW179" s="2221">
        <f t="shared" si="153"/>
        <v>1.0009987941371099</v>
      </c>
      <c r="AX179" s="2221">
        <f t="shared" si="153"/>
        <v>1.0000030054706335</v>
      </c>
      <c r="AY179" s="2221">
        <f t="shared" si="153"/>
        <v>1.0000020626447852</v>
      </c>
      <c r="AZ179" s="2221">
        <f t="shared" si="153"/>
        <v>1.0000010128528867</v>
      </c>
      <c r="BA179" s="2221">
        <f t="shared" si="153"/>
        <v>1.0000001058993251</v>
      </c>
      <c r="BB179" s="2221">
        <f t="shared" si="153"/>
        <v>1.0000135717030199</v>
      </c>
      <c r="BC179" s="2221" t="e">
        <f t="shared" si="153"/>
        <v>#DIV/0!</v>
      </c>
      <c r="BD179" s="2221">
        <f t="shared" si="153"/>
        <v>1.0352886848541509</v>
      </c>
      <c r="BE179" s="2221">
        <f t="shared" si="153"/>
        <v>1.0010010631710999</v>
      </c>
      <c r="BF179" s="2221">
        <f t="shared" si="153"/>
        <v>1.0010010631710999</v>
      </c>
      <c r="BG179" s="2221">
        <f t="shared" si="153"/>
        <v>70.47088236477704</v>
      </c>
      <c r="BH179" s="2221">
        <f t="shared" si="153"/>
        <v>1.0391869810050283</v>
      </c>
      <c r="BI179" s="2221">
        <f t="shared" si="153"/>
        <v>2.5387587811560159</v>
      </c>
    </row>
    <row r="180" spans="1:61" ht="25.5">
      <c r="A180" s="2126"/>
      <c r="B180" s="2156"/>
      <c r="C180" s="2156"/>
      <c r="D180" s="2333"/>
      <c r="E180" s="3658" t="s">
        <v>583</v>
      </c>
      <c r="F180" s="2217" t="s">
        <v>300</v>
      </c>
      <c r="G180" s="2222" t="s">
        <v>35</v>
      </c>
      <c r="H180" s="2223">
        <f t="shared" ref="H180:AM180" si="154">H135/H178</f>
        <v>2.6731692203037145</v>
      </c>
      <c r="I180" s="2223">
        <f t="shared" si="154"/>
        <v>2.6731692203037145</v>
      </c>
      <c r="J180" s="2223">
        <f t="shared" si="154"/>
        <v>1.1386309276160429</v>
      </c>
      <c r="K180" s="2223">
        <f t="shared" si="154"/>
        <v>1</v>
      </c>
      <c r="L180" s="2223">
        <f t="shared" si="154"/>
        <v>1</v>
      </c>
      <c r="M180" s="2223">
        <f t="shared" si="154"/>
        <v>1</v>
      </c>
      <c r="N180" s="2223">
        <f t="shared" si="154"/>
        <v>1</v>
      </c>
      <c r="O180" s="2223">
        <f t="shared" si="154"/>
        <v>1</v>
      </c>
      <c r="P180" s="2223">
        <f t="shared" si="154"/>
        <v>1</v>
      </c>
      <c r="Q180" s="2223">
        <f t="shared" si="154"/>
        <v>1</v>
      </c>
      <c r="R180" s="2223">
        <f t="shared" si="154"/>
        <v>1</v>
      </c>
      <c r="S180" s="2223">
        <f t="shared" si="154"/>
        <v>1</v>
      </c>
      <c r="T180" s="2223">
        <f t="shared" si="154"/>
        <v>1</v>
      </c>
      <c r="U180" s="2223">
        <f t="shared" si="154"/>
        <v>1</v>
      </c>
      <c r="V180" s="2223">
        <f t="shared" si="154"/>
        <v>1</v>
      </c>
      <c r="W180" s="2223">
        <f t="shared" si="154"/>
        <v>1</v>
      </c>
      <c r="X180" s="2223">
        <f t="shared" si="154"/>
        <v>1</v>
      </c>
      <c r="Y180" s="2223">
        <f t="shared" si="154"/>
        <v>1</v>
      </c>
      <c r="Z180" s="2223">
        <f t="shared" si="154"/>
        <v>1</v>
      </c>
      <c r="AA180" s="2223">
        <f t="shared" si="154"/>
        <v>1</v>
      </c>
      <c r="AB180" s="2223">
        <f t="shared" si="154"/>
        <v>1</v>
      </c>
      <c r="AC180" s="2223">
        <f t="shared" si="154"/>
        <v>1</v>
      </c>
      <c r="AD180" s="2223">
        <f t="shared" si="154"/>
        <v>2.32550451856285</v>
      </c>
      <c r="AE180" s="2223">
        <f t="shared" si="154"/>
        <v>1.6521521770598173</v>
      </c>
      <c r="AF180" s="2223">
        <f t="shared" si="154"/>
        <v>1.0030903761560448</v>
      </c>
      <c r="AG180" s="2223">
        <f t="shared" si="154"/>
        <v>1</v>
      </c>
      <c r="AH180" s="2223">
        <f t="shared" si="154"/>
        <v>1</v>
      </c>
      <c r="AI180" s="2223">
        <f t="shared" si="154"/>
        <v>1</v>
      </c>
      <c r="AJ180" s="2223">
        <f t="shared" si="154"/>
        <v>1</v>
      </c>
      <c r="AK180" s="2223">
        <f t="shared" si="154"/>
        <v>1</v>
      </c>
      <c r="AL180" s="2223">
        <f t="shared" si="154"/>
        <v>2.7070597138597381</v>
      </c>
      <c r="AM180" s="2223">
        <f t="shared" si="154"/>
        <v>1.0262988561505164</v>
      </c>
      <c r="AN180" s="2223">
        <f t="shared" ref="AN180:BI180" si="155">AN135/AN178</f>
        <v>2.8425519270127166</v>
      </c>
      <c r="AO180" s="2223">
        <f t="shared" si="155"/>
        <v>1.7034453942230887</v>
      </c>
      <c r="AP180" s="2223">
        <f t="shared" si="155"/>
        <v>1.9987470081354137</v>
      </c>
      <c r="AQ180" s="2223">
        <f t="shared" si="155"/>
        <v>1.4959957666506207</v>
      </c>
      <c r="AR180" s="2223">
        <f t="shared" si="155"/>
        <v>1.1186815993643402</v>
      </c>
      <c r="AS180" s="2223">
        <f t="shared" si="155"/>
        <v>1.1509358319283587</v>
      </c>
      <c r="AT180" s="2223">
        <f t="shared" si="155"/>
        <v>1.009482591000521</v>
      </c>
      <c r="AU180" s="2223">
        <f t="shared" si="155"/>
        <v>1.0089137308099236</v>
      </c>
      <c r="AV180" s="2223">
        <f t="shared" si="155"/>
        <v>1.0011294974039744</v>
      </c>
      <c r="AW180" s="2223">
        <f t="shared" si="155"/>
        <v>1.0009987941371099</v>
      </c>
      <c r="AX180" s="2223">
        <f t="shared" si="155"/>
        <v>1.0000030054706335</v>
      </c>
      <c r="AY180" s="2223">
        <f t="shared" si="155"/>
        <v>1.0000020626447852</v>
      </c>
      <c r="AZ180" s="2223">
        <f t="shared" si="155"/>
        <v>1.0000010128528867</v>
      </c>
      <c r="BA180" s="2223">
        <f t="shared" si="155"/>
        <v>1.0000001058993251</v>
      </c>
      <c r="BB180" s="2223">
        <f t="shared" si="155"/>
        <v>1.0000135717030199</v>
      </c>
      <c r="BC180" s="2223" t="e">
        <f t="shared" si="155"/>
        <v>#DIV/0!</v>
      </c>
      <c r="BD180" s="2223">
        <f t="shared" si="155"/>
        <v>1.0352886848541509</v>
      </c>
      <c r="BE180" s="2223">
        <f t="shared" si="155"/>
        <v>1.0010010631710999</v>
      </c>
      <c r="BF180" s="2223">
        <f t="shared" si="155"/>
        <v>1.0010010631710999</v>
      </c>
      <c r="BG180" s="2223">
        <f t="shared" si="155"/>
        <v>1</v>
      </c>
      <c r="BH180" s="2223">
        <f t="shared" si="155"/>
        <v>1.0391869810050283</v>
      </c>
      <c r="BI180" s="2223">
        <f t="shared" si="155"/>
        <v>2.467884540121934</v>
      </c>
    </row>
    <row r="181" spans="1:61">
      <c r="A181" s="2126"/>
      <c r="B181" s="2156"/>
      <c r="C181" s="2156"/>
      <c r="D181" s="2333"/>
      <c r="E181" s="2153"/>
      <c r="F181" s="2153"/>
      <c r="G181" s="2154"/>
      <c r="H181" s="2156"/>
      <c r="I181" s="2156"/>
      <c r="J181" s="2156"/>
      <c r="K181" s="2156"/>
      <c r="L181" s="2156"/>
      <c r="M181" s="2156"/>
      <c r="N181" s="2156"/>
      <c r="O181" s="2156"/>
      <c r="P181" s="2156"/>
      <c r="Q181" s="2156"/>
      <c r="S181" s="2156"/>
      <c r="T181" s="2156"/>
      <c r="U181" s="2156"/>
      <c r="V181" s="2156"/>
      <c r="W181" s="2156"/>
      <c r="X181" s="2156"/>
      <c r="Y181" s="2156"/>
      <c r="Z181" s="2156"/>
      <c r="AA181" s="2156"/>
      <c r="AB181" s="2156"/>
      <c r="AC181" s="2156"/>
      <c r="AD181" s="2156"/>
      <c r="AE181" s="2156"/>
      <c r="AF181" s="2156"/>
      <c r="AG181" s="2156"/>
      <c r="AH181" s="2156"/>
      <c r="AI181" s="2156"/>
      <c r="AJ181" s="2156"/>
      <c r="AK181" s="2156"/>
      <c r="AL181" s="2156"/>
      <c r="AM181" s="2156"/>
      <c r="AN181" s="2156"/>
      <c r="AO181" s="2156"/>
      <c r="AP181" s="2156"/>
      <c r="AQ181" s="2156"/>
      <c r="AR181" s="2156"/>
      <c r="AS181" s="2156"/>
      <c r="AT181" s="2156"/>
      <c r="AU181" s="2156"/>
      <c r="AV181" s="2156"/>
      <c r="AW181" s="2156"/>
      <c r="AX181" s="2156"/>
      <c r="AY181" s="2156"/>
      <c r="AZ181" s="2156"/>
      <c r="BA181" s="2156"/>
      <c r="BB181" s="2156"/>
      <c r="BC181" s="2156"/>
      <c r="BD181" s="2156"/>
      <c r="BE181" s="2156"/>
      <c r="BF181" s="2156"/>
      <c r="BG181" s="2156"/>
      <c r="BH181" s="2156"/>
      <c r="BI181" s="2156"/>
    </row>
    <row r="182" spans="1:61">
      <c r="A182" s="2126"/>
      <c r="B182" s="2156"/>
      <c r="C182" s="2156"/>
      <c r="D182" s="2333"/>
      <c r="E182" s="2159" t="str">
        <f>E$61</f>
        <v>Période adulte 6-70 ans (effets sans seuil)</v>
      </c>
      <c r="F182" s="2153"/>
      <c r="G182" s="2154"/>
      <c r="H182" s="2156"/>
      <c r="I182" s="2156"/>
      <c r="J182" s="2156"/>
      <c r="K182" s="2156"/>
      <c r="L182" s="2156"/>
      <c r="M182" s="2156"/>
      <c r="N182" s="2156"/>
      <c r="O182" s="2156"/>
      <c r="P182" s="2156"/>
      <c r="Q182" s="2156"/>
      <c r="S182" s="2156"/>
      <c r="T182" s="2156"/>
      <c r="U182" s="2156"/>
      <c r="V182" s="2156"/>
      <c r="W182" s="2156"/>
      <c r="X182" s="2156"/>
      <c r="Y182" s="2156"/>
      <c r="Z182" s="2156"/>
      <c r="AA182" s="2156"/>
      <c r="AB182" s="2156"/>
      <c r="AC182" s="2156"/>
      <c r="AD182" s="2156"/>
      <c r="AE182" s="2156"/>
      <c r="AF182" s="2156"/>
      <c r="AG182" s="2156"/>
      <c r="AH182" s="2156"/>
      <c r="AI182" s="2156"/>
      <c r="AJ182" s="2156"/>
      <c r="AK182" s="2156"/>
      <c r="AL182" s="2156"/>
      <c r="AM182" s="2156"/>
      <c r="AN182" s="2156"/>
      <c r="AO182" s="2156"/>
      <c r="AP182" s="2156"/>
      <c r="AQ182" s="2156"/>
      <c r="AR182" s="2156"/>
      <c r="AS182" s="2156"/>
      <c r="AT182" s="2156"/>
      <c r="AU182" s="2156"/>
      <c r="AV182" s="2156"/>
      <c r="AW182" s="2156"/>
      <c r="AX182" s="2156"/>
      <c r="AY182" s="2156"/>
      <c r="AZ182" s="2156"/>
      <c r="BA182" s="2156"/>
      <c r="BB182" s="2156"/>
      <c r="BC182" s="2156"/>
      <c r="BD182" s="2156"/>
      <c r="BE182" s="2156"/>
      <c r="BF182" s="2156"/>
      <c r="BG182" s="2156"/>
      <c r="BH182" s="2156"/>
      <c r="BI182" s="2156"/>
    </row>
    <row r="183" spans="1:61" s="2342" customFormat="1" ht="25.5">
      <c r="A183" s="2340"/>
      <c r="B183" s="2341"/>
      <c r="C183" s="2341"/>
      <c r="D183" s="2333"/>
      <c r="E183" s="2308" t="s">
        <v>575</v>
      </c>
      <c r="F183" s="2308" t="s">
        <v>138</v>
      </c>
      <c r="G183" s="2309" t="s">
        <v>139</v>
      </c>
      <c r="H183" s="2341">
        <f t="shared" ref="H183:BI183" si="156">ROUND((H178*H$32-H169*H$27)/(H$32-H$27),20)</f>
        <v>2.23936111310497E-4</v>
      </c>
      <c r="I183" s="2341">
        <f t="shared" si="156"/>
        <v>2.23936111310497E-4</v>
      </c>
      <c r="J183" s="2341">
        <f>ROUND((J178*J$32-J169*J$27)/(J$32-J$27),20)</f>
        <v>8.5950459099034995E-5</v>
      </c>
      <c r="K183" s="2341">
        <f t="shared" si="156"/>
        <v>0</v>
      </c>
      <c r="L183" s="2341">
        <f t="shared" si="156"/>
        <v>0</v>
      </c>
      <c r="M183" s="2341">
        <f t="shared" si="156"/>
        <v>0</v>
      </c>
      <c r="N183" s="2341">
        <f>ROUND((N178*N$32-N169*N$27)/(N$32-N$27),20)</f>
        <v>0</v>
      </c>
      <c r="O183" s="2341">
        <f>ROUND((O178*O$32-O169*O$27)/(O$32-O$27),20)</f>
        <v>0</v>
      </c>
      <c r="P183" s="2341">
        <f t="shared" si="156"/>
        <v>0</v>
      </c>
      <c r="Q183" s="2341">
        <f t="shared" si="156"/>
        <v>0</v>
      </c>
      <c r="R183" s="2341">
        <f>ROUND((R178*R$32-R169*R$27)/(R$32-R$27),20)</f>
        <v>0</v>
      </c>
      <c r="S183" s="2341">
        <f>ROUND((S178*S$32-S169*S$27)/(S$32-S$27),20)</f>
        <v>0</v>
      </c>
      <c r="T183" s="2341">
        <f>ROUND((T178*T$32-T169*T$27)/(T$32-T$27),20)</f>
        <v>0</v>
      </c>
      <c r="U183" s="2341">
        <f t="shared" si="156"/>
        <v>0</v>
      </c>
      <c r="V183" s="2341">
        <f t="shared" si="156"/>
        <v>0</v>
      </c>
      <c r="W183" s="2341">
        <f t="shared" si="156"/>
        <v>0</v>
      </c>
      <c r="X183" s="2341">
        <f t="shared" si="156"/>
        <v>0</v>
      </c>
      <c r="Y183" s="2341">
        <f t="shared" si="156"/>
        <v>0</v>
      </c>
      <c r="Z183" s="2341">
        <f t="shared" si="156"/>
        <v>0</v>
      </c>
      <c r="AA183" s="2341">
        <f t="shared" si="156"/>
        <v>0</v>
      </c>
      <c r="AB183" s="2341">
        <f t="shared" si="156"/>
        <v>1.9505216532558102E-6</v>
      </c>
      <c r="AC183" s="2341">
        <f t="shared" si="156"/>
        <v>3.0221091843500901E-5</v>
      </c>
      <c r="AD183" s="2341">
        <f t="shared" si="156"/>
        <v>7.3862865347702896E-5</v>
      </c>
      <c r="AE183" s="2341">
        <f t="shared" si="156"/>
        <v>1.4929770591389399E-4</v>
      </c>
      <c r="AF183" s="2341">
        <f t="shared" si="156"/>
        <v>2.0464715079645E-4</v>
      </c>
      <c r="AG183" s="2341">
        <f t="shared" si="156"/>
        <v>0</v>
      </c>
      <c r="AH183" s="2341">
        <f t="shared" si="156"/>
        <v>0</v>
      </c>
      <c r="AI183" s="2341">
        <f t="shared" si="156"/>
        <v>0</v>
      </c>
      <c r="AJ183" s="2341">
        <f t="shared" si="156"/>
        <v>6.8210989433583998E-7</v>
      </c>
      <c r="AK183" s="2341">
        <f t="shared" si="156"/>
        <v>1.4574078136875899E-5</v>
      </c>
      <c r="AL183" s="2341">
        <f t="shared" si="156"/>
        <v>6.06202376224433E-5</v>
      </c>
      <c r="AM183" s="2341">
        <f t="shared" si="156"/>
        <v>1.49717493884911E-4</v>
      </c>
      <c r="AN183" s="2341">
        <f t="shared" si="156"/>
        <v>1.2094433622951701E-4</v>
      </c>
      <c r="AO183" s="2341">
        <f t="shared" si="156"/>
        <v>1.80147117426557E-4</v>
      </c>
      <c r="AP183" s="2341">
        <f t="shared" si="156"/>
        <v>1.48795934004123E-4</v>
      </c>
      <c r="AQ183" s="2341">
        <f t="shared" si="156"/>
        <v>1.9056029218461601E-4</v>
      </c>
      <c r="AR183" s="2341">
        <f t="shared" si="156"/>
        <v>2.4474332052998597E-4</v>
      </c>
      <c r="AS183" s="2341">
        <f t="shared" si="156"/>
        <v>2.3725251892686599E-4</v>
      </c>
      <c r="AT183" s="2341">
        <f t="shared" si="156"/>
        <v>2.4111527601948301E-4</v>
      </c>
      <c r="AU183" s="2341">
        <f t="shared" si="156"/>
        <v>2.41262960644504E-4</v>
      </c>
      <c r="AV183" s="2341">
        <f t="shared" si="156"/>
        <v>2.1559257185224E-4</v>
      </c>
      <c r="AW183" s="2341">
        <f t="shared" si="156"/>
        <v>2.1562313736963701E-4</v>
      </c>
      <c r="AX183" s="2341">
        <f t="shared" si="156"/>
        <v>1.9530749467133599E-4</v>
      </c>
      <c r="AY183" s="2341">
        <f t="shared" si="156"/>
        <v>1.9530769458932901E-4</v>
      </c>
      <c r="AZ183" s="2341">
        <f t="shared" si="156"/>
        <v>1.95323399406071E-4</v>
      </c>
      <c r="BA183" s="2341">
        <f t="shared" si="156"/>
        <v>1.7701200499615E-4</v>
      </c>
      <c r="BB183" s="2341">
        <f t="shared" si="156"/>
        <v>1.8363176973836801E-4</v>
      </c>
      <c r="BC183" s="2341">
        <f t="shared" si="156"/>
        <v>0</v>
      </c>
      <c r="BD183" s="2341">
        <f t="shared" si="156"/>
        <v>1.0240784309717399E-3</v>
      </c>
      <c r="BE183" s="2341">
        <f t="shared" si="156"/>
        <v>1.9117142176479701E-4</v>
      </c>
      <c r="BF183" s="2341">
        <f t="shared" si="156"/>
        <v>1.9117142176479701E-4</v>
      </c>
      <c r="BG183" s="2341">
        <f t="shared" si="156"/>
        <v>0</v>
      </c>
      <c r="BH183" s="2341">
        <f t="shared" si="156"/>
        <v>6.7164101209045001E-4</v>
      </c>
      <c r="BI183" s="2341">
        <f t="shared" si="156"/>
        <v>7.7713310952473699E-4</v>
      </c>
    </row>
    <row r="184" spans="1:61">
      <c r="D184" s="2333"/>
    </row>
    <row r="185" spans="1:61">
      <c r="A185" s="2126"/>
      <c r="B185" s="2156"/>
      <c r="C185" s="2156"/>
      <c r="D185" s="2333"/>
      <c r="E185" s="2212" t="str">
        <f>E36</f>
        <v>Période employé (40 ans)</v>
      </c>
      <c r="F185" s="2153"/>
      <c r="G185" s="2154"/>
      <c r="H185" s="2156"/>
      <c r="I185" s="2156"/>
      <c r="J185" s="2156"/>
      <c r="K185" s="2156"/>
      <c r="L185" s="2156"/>
      <c r="M185" s="2156"/>
      <c r="N185" s="2156"/>
      <c r="O185" s="2156"/>
      <c r="P185" s="2156"/>
      <c r="Q185" s="2156"/>
      <c r="S185" s="2156"/>
      <c r="T185" s="2156"/>
      <c r="U185" s="2156"/>
      <c r="V185" s="2156"/>
      <c r="W185" s="2156"/>
      <c r="X185" s="2156"/>
      <c r="Y185" s="2156"/>
      <c r="Z185" s="2156"/>
      <c r="AA185" s="2156"/>
      <c r="AB185" s="2156"/>
      <c r="AC185" s="2156"/>
      <c r="AD185" s="2156"/>
      <c r="AE185" s="2156"/>
      <c r="AF185" s="2156"/>
      <c r="AG185" s="2156"/>
      <c r="AH185" s="2156"/>
      <c r="AI185" s="2156"/>
      <c r="AJ185" s="2156"/>
      <c r="AK185" s="2156"/>
      <c r="AL185" s="2156"/>
      <c r="AM185" s="2156"/>
      <c r="AN185" s="2156"/>
      <c r="AO185" s="2156"/>
      <c r="AP185" s="2156"/>
      <c r="AQ185" s="2156"/>
      <c r="AR185" s="2156"/>
      <c r="AS185" s="2156"/>
      <c r="AT185" s="2156"/>
      <c r="AU185" s="2156"/>
      <c r="AV185" s="2156"/>
      <c r="AW185" s="2156"/>
      <c r="AX185" s="2156"/>
      <c r="AY185" s="2156"/>
      <c r="AZ185" s="2156"/>
      <c r="BA185" s="2156"/>
      <c r="BB185" s="2156"/>
      <c r="BC185" s="2156"/>
      <c r="BD185" s="2156"/>
      <c r="BE185" s="2156"/>
      <c r="BF185" s="2156"/>
      <c r="BG185" s="2156"/>
      <c r="BH185" s="2156"/>
      <c r="BI185" s="2156"/>
    </row>
    <row r="186" spans="1:61">
      <c r="A186" s="2126"/>
      <c r="B186" s="2156"/>
      <c r="C186" s="2156"/>
      <c r="D186" s="2333"/>
      <c r="E186" s="525" t="str">
        <f>E27</f>
        <v>Durée d'exposition considérée</v>
      </c>
      <c r="F186" s="525" t="str">
        <f>F27</f>
        <v>t</v>
      </c>
      <c r="G186" s="526" t="str">
        <f>G27</f>
        <v>an</v>
      </c>
      <c r="H186" s="2224">
        <f t="shared" ref="H186:BI186" si="157">H187/(365*24*3600)</f>
        <v>40</v>
      </c>
      <c r="I186" s="2224">
        <f t="shared" si="157"/>
        <v>40</v>
      </c>
      <c r="J186" s="2224">
        <f>J187/(365*24*3600)</f>
        <v>40</v>
      </c>
      <c r="K186" s="2224">
        <f t="shared" si="157"/>
        <v>40</v>
      </c>
      <c r="L186" s="2224">
        <f t="shared" si="157"/>
        <v>40</v>
      </c>
      <c r="M186" s="2224">
        <f t="shared" si="157"/>
        <v>40</v>
      </c>
      <c r="N186" s="2224">
        <f>N187/(365*24*3600)</f>
        <v>40</v>
      </c>
      <c r="O186" s="2224">
        <f>O187/(365*24*3600)</f>
        <v>40</v>
      </c>
      <c r="P186" s="2224">
        <f t="shared" si="157"/>
        <v>40</v>
      </c>
      <c r="Q186" s="2224">
        <f t="shared" si="157"/>
        <v>40</v>
      </c>
      <c r="R186" s="2224">
        <f>R187/(365*24*3600)</f>
        <v>40</v>
      </c>
      <c r="S186" s="2224">
        <f>S187/(365*24*3600)</f>
        <v>40</v>
      </c>
      <c r="T186" s="2224">
        <f>T187/(365*24*3600)</f>
        <v>40</v>
      </c>
      <c r="U186" s="2224">
        <f t="shared" si="157"/>
        <v>40</v>
      </c>
      <c r="V186" s="2224">
        <f t="shared" si="157"/>
        <v>40</v>
      </c>
      <c r="W186" s="2224">
        <f t="shared" si="157"/>
        <v>40</v>
      </c>
      <c r="X186" s="2224">
        <f t="shared" si="157"/>
        <v>40</v>
      </c>
      <c r="Y186" s="2224">
        <f t="shared" si="157"/>
        <v>40</v>
      </c>
      <c r="Z186" s="2224">
        <f t="shared" si="157"/>
        <v>40</v>
      </c>
      <c r="AA186" s="2224">
        <f t="shared" si="157"/>
        <v>40</v>
      </c>
      <c r="AB186" s="2224">
        <f t="shared" si="157"/>
        <v>40</v>
      </c>
      <c r="AC186" s="2224">
        <f t="shared" si="157"/>
        <v>40</v>
      </c>
      <c r="AD186" s="2224">
        <f t="shared" si="157"/>
        <v>40</v>
      </c>
      <c r="AE186" s="2224">
        <f t="shared" si="157"/>
        <v>40</v>
      </c>
      <c r="AF186" s="2224">
        <f t="shared" si="157"/>
        <v>40</v>
      </c>
      <c r="AG186" s="2224">
        <f t="shared" si="157"/>
        <v>40</v>
      </c>
      <c r="AH186" s="2224">
        <f t="shared" si="157"/>
        <v>40</v>
      </c>
      <c r="AI186" s="2224">
        <f t="shared" si="157"/>
        <v>40</v>
      </c>
      <c r="AJ186" s="2224">
        <f t="shared" si="157"/>
        <v>40</v>
      </c>
      <c r="AK186" s="2224">
        <f t="shared" si="157"/>
        <v>40</v>
      </c>
      <c r="AL186" s="2224">
        <f t="shared" si="157"/>
        <v>40</v>
      </c>
      <c r="AM186" s="2224">
        <f t="shared" si="157"/>
        <v>40</v>
      </c>
      <c r="AN186" s="2224">
        <f t="shared" si="157"/>
        <v>40</v>
      </c>
      <c r="AO186" s="2224">
        <f t="shared" si="157"/>
        <v>40</v>
      </c>
      <c r="AP186" s="2224">
        <f t="shared" si="157"/>
        <v>40</v>
      </c>
      <c r="AQ186" s="2224">
        <f t="shared" si="157"/>
        <v>40</v>
      </c>
      <c r="AR186" s="2224">
        <f t="shared" si="157"/>
        <v>40</v>
      </c>
      <c r="AS186" s="2224">
        <f t="shared" si="157"/>
        <v>40</v>
      </c>
      <c r="AT186" s="2224">
        <f t="shared" si="157"/>
        <v>40</v>
      </c>
      <c r="AU186" s="2224">
        <f t="shared" si="157"/>
        <v>40</v>
      </c>
      <c r="AV186" s="2224">
        <f t="shared" si="157"/>
        <v>40</v>
      </c>
      <c r="AW186" s="2224">
        <f t="shared" si="157"/>
        <v>40</v>
      </c>
      <c r="AX186" s="2224">
        <f t="shared" si="157"/>
        <v>40</v>
      </c>
      <c r="AY186" s="2224">
        <f t="shared" si="157"/>
        <v>40</v>
      </c>
      <c r="AZ186" s="2224">
        <f t="shared" si="157"/>
        <v>40</v>
      </c>
      <c r="BA186" s="2224">
        <f t="shared" si="157"/>
        <v>40</v>
      </c>
      <c r="BB186" s="2224">
        <f t="shared" si="157"/>
        <v>40</v>
      </c>
      <c r="BC186" s="2224">
        <f t="shared" si="157"/>
        <v>40</v>
      </c>
      <c r="BD186" s="2224">
        <f t="shared" si="157"/>
        <v>40</v>
      </c>
      <c r="BE186" s="2224">
        <f t="shared" si="157"/>
        <v>40</v>
      </c>
      <c r="BF186" s="2224">
        <f t="shared" si="157"/>
        <v>40</v>
      </c>
      <c r="BG186" s="2224">
        <f t="shared" si="157"/>
        <v>40</v>
      </c>
      <c r="BH186" s="2224">
        <f t="shared" si="157"/>
        <v>40</v>
      </c>
      <c r="BI186" s="2224">
        <f t="shared" si="157"/>
        <v>40</v>
      </c>
    </row>
    <row r="187" spans="1:61" s="529" customFormat="1" ht="13.15" customHeight="1">
      <c r="A187" s="523"/>
      <c r="B187" s="224"/>
      <c r="C187" s="524"/>
      <c r="D187" s="2333"/>
      <c r="E187" s="525" t="str">
        <f t="shared" ref="E187:BI187" si="158">E38</f>
        <v>Durée d'exposition considérée</v>
      </c>
      <c r="F187" s="525" t="str">
        <f t="shared" si="158"/>
        <v>t</v>
      </c>
      <c r="G187" s="526" t="str">
        <f t="shared" si="158"/>
        <v>s</v>
      </c>
      <c r="H187" s="2161">
        <f t="shared" si="158"/>
        <v>1261440000</v>
      </c>
      <c r="I187" s="2161">
        <f t="shared" si="158"/>
        <v>1261440000</v>
      </c>
      <c r="J187" s="2161">
        <f>J38</f>
        <v>1261440000</v>
      </c>
      <c r="K187" s="2161">
        <f t="shared" si="158"/>
        <v>1261440000</v>
      </c>
      <c r="L187" s="2161">
        <f t="shared" si="158"/>
        <v>1261440000</v>
      </c>
      <c r="M187" s="2161">
        <f t="shared" si="158"/>
        <v>1261440000</v>
      </c>
      <c r="N187" s="2161">
        <f>N38</f>
        <v>1261440000</v>
      </c>
      <c r="O187" s="2161">
        <f>O38</f>
        <v>1261440000</v>
      </c>
      <c r="P187" s="2161">
        <f t="shared" si="158"/>
        <v>1261440000</v>
      </c>
      <c r="Q187" s="2161">
        <f t="shared" si="158"/>
        <v>1261440000</v>
      </c>
      <c r="R187" s="2161">
        <f>R38</f>
        <v>1261440000</v>
      </c>
      <c r="S187" s="2161">
        <f>S38</f>
        <v>1261440000</v>
      </c>
      <c r="T187" s="2161">
        <f>T38</f>
        <v>1261440000</v>
      </c>
      <c r="U187" s="2161">
        <f t="shared" si="158"/>
        <v>1261440000</v>
      </c>
      <c r="V187" s="2161">
        <f t="shared" si="158"/>
        <v>1261440000</v>
      </c>
      <c r="W187" s="2161">
        <f t="shared" si="158"/>
        <v>1261440000</v>
      </c>
      <c r="X187" s="2161">
        <f t="shared" si="158"/>
        <v>1261440000</v>
      </c>
      <c r="Y187" s="2161">
        <f t="shared" si="158"/>
        <v>1261440000</v>
      </c>
      <c r="Z187" s="2161">
        <f t="shared" si="158"/>
        <v>1261440000</v>
      </c>
      <c r="AA187" s="2215">
        <f t="shared" si="158"/>
        <v>1261440000</v>
      </c>
      <c r="AB187" s="2161">
        <f t="shared" si="158"/>
        <v>1261440000</v>
      </c>
      <c r="AC187" s="2161">
        <f t="shared" si="158"/>
        <v>1261440000</v>
      </c>
      <c r="AD187" s="2161">
        <f t="shared" si="158"/>
        <v>1261440000</v>
      </c>
      <c r="AE187" s="2161">
        <f t="shared" si="158"/>
        <v>1261440000</v>
      </c>
      <c r="AF187" s="2161">
        <f t="shared" si="158"/>
        <v>1261440000</v>
      </c>
      <c r="AG187" s="2161">
        <f t="shared" si="158"/>
        <v>1261440000</v>
      </c>
      <c r="AH187" s="2161">
        <f t="shared" si="158"/>
        <v>1261440000</v>
      </c>
      <c r="AI187" s="2161">
        <f t="shared" si="158"/>
        <v>1261440000</v>
      </c>
      <c r="AJ187" s="2161">
        <f t="shared" si="158"/>
        <v>1261440000</v>
      </c>
      <c r="AK187" s="2161">
        <f t="shared" si="158"/>
        <v>1261440000</v>
      </c>
      <c r="AL187" s="2161">
        <f t="shared" si="158"/>
        <v>1261440000</v>
      </c>
      <c r="AM187" s="2161">
        <f t="shared" si="158"/>
        <v>1261440000</v>
      </c>
      <c r="AN187" s="2155">
        <f t="shared" si="158"/>
        <v>1261440000</v>
      </c>
      <c r="AO187" s="2161">
        <f t="shared" si="158"/>
        <v>1261440000</v>
      </c>
      <c r="AP187" s="2161">
        <f t="shared" si="158"/>
        <v>1261440000</v>
      </c>
      <c r="AQ187" s="2161">
        <f t="shared" si="158"/>
        <v>1261440000</v>
      </c>
      <c r="AR187" s="2161">
        <f t="shared" si="158"/>
        <v>1261440000</v>
      </c>
      <c r="AS187" s="2161">
        <f t="shared" si="158"/>
        <v>1261440000</v>
      </c>
      <c r="AT187" s="2161">
        <f t="shared" si="158"/>
        <v>1261440000</v>
      </c>
      <c r="AU187" s="2161">
        <f t="shared" si="158"/>
        <v>1261440000</v>
      </c>
      <c r="AV187" s="2161">
        <f t="shared" si="158"/>
        <v>1261440000</v>
      </c>
      <c r="AW187" s="2161">
        <f t="shared" si="158"/>
        <v>1261440000</v>
      </c>
      <c r="AX187" s="2161">
        <f t="shared" si="158"/>
        <v>1261440000</v>
      </c>
      <c r="AY187" s="2161">
        <f t="shared" si="158"/>
        <v>1261440000</v>
      </c>
      <c r="AZ187" s="2161">
        <f t="shared" si="158"/>
        <v>1261440000</v>
      </c>
      <c r="BA187" s="2161">
        <f t="shared" si="158"/>
        <v>1261440000</v>
      </c>
      <c r="BB187" s="2161">
        <f t="shared" si="158"/>
        <v>1261440000</v>
      </c>
      <c r="BC187" s="2161">
        <f t="shared" si="158"/>
        <v>1261440000</v>
      </c>
      <c r="BD187" s="2161">
        <f t="shared" si="158"/>
        <v>1261440000</v>
      </c>
      <c r="BE187" s="2161">
        <f t="shared" si="158"/>
        <v>1261440000</v>
      </c>
      <c r="BF187" s="2161">
        <f t="shared" si="158"/>
        <v>1261440000</v>
      </c>
      <c r="BG187" s="2161">
        <f t="shared" si="158"/>
        <v>1261440000</v>
      </c>
      <c r="BH187" s="2161">
        <f t="shared" si="158"/>
        <v>1261440000</v>
      </c>
      <c r="BI187" s="2161">
        <f t="shared" si="158"/>
        <v>1261440000</v>
      </c>
    </row>
    <row r="188" spans="1:61" ht="15.75">
      <c r="A188" s="2126"/>
      <c r="B188" s="2156"/>
      <c r="C188" s="2156"/>
      <c r="D188" s="2333"/>
      <c r="E188" s="2225" t="s">
        <v>297</v>
      </c>
      <c r="F188" s="2225" t="s">
        <v>1131</v>
      </c>
      <c r="G188" s="2226" t="s">
        <v>73</v>
      </c>
      <c r="H188" s="2227">
        <f t="shared" ref="H188:AM188" si="159">(2*H145*H13*0.001/H14*H187+(H41+H145*H119)^2)^0.5-H145*H119</f>
        <v>0.6772336926493614</v>
      </c>
      <c r="I188" s="2227">
        <f t="shared" si="159"/>
        <v>0.6772336926493614</v>
      </c>
      <c r="J188" s="2227">
        <f t="shared" si="159"/>
        <v>1.9397365508709576</v>
      </c>
      <c r="K188" s="2227">
        <f t="shared" si="159"/>
        <v>44.594384328871122</v>
      </c>
      <c r="L188" s="2227">
        <f t="shared" si="159"/>
        <v>15.933508566338119</v>
      </c>
      <c r="M188" s="2227">
        <f t="shared" si="159"/>
        <v>15.933508566338119</v>
      </c>
      <c r="N188" s="2227">
        <f t="shared" si="159"/>
        <v>23.27463834449561</v>
      </c>
      <c r="O188" s="2227">
        <f t="shared" si="159"/>
        <v>23.27463834449561</v>
      </c>
      <c r="P188" s="2227">
        <f t="shared" si="159"/>
        <v>23.214541887398173</v>
      </c>
      <c r="Q188" s="2227">
        <f t="shared" si="159"/>
        <v>23.214541887398173</v>
      </c>
      <c r="R188" s="2227">
        <f t="shared" si="159"/>
        <v>55.705679882963381</v>
      </c>
      <c r="S188" s="2227">
        <f t="shared" si="159"/>
        <v>17.080600680980623</v>
      </c>
      <c r="T188" s="2227">
        <f t="shared" si="159"/>
        <v>17.080600680980623</v>
      </c>
      <c r="U188" s="2227">
        <f t="shared" si="159"/>
        <v>32.281786829046567</v>
      </c>
      <c r="V188" s="2227">
        <f t="shared" si="159"/>
        <v>24.904934908796591</v>
      </c>
      <c r="W188" s="2227">
        <f t="shared" si="159"/>
        <v>24.904934908796591</v>
      </c>
      <c r="X188" s="2227">
        <f t="shared" si="159"/>
        <v>18.44985742328711</v>
      </c>
      <c r="Y188" s="2227">
        <f t="shared" si="159"/>
        <v>14.510165755829261</v>
      </c>
      <c r="Z188" s="2227">
        <f t="shared" si="159"/>
        <v>10.634135159093178</v>
      </c>
      <c r="AA188" s="2227">
        <f t="shared" si="159"/>
        <v>8.6707270444162496</v>
      </c>
      <c r="AB188" s="2227">
        <f t="shared" si="159"/>
        <v>6.2554712707399815</v>
      </c>
      <c r="AC188" s="2227">
        <f t="shared" si="159"/>
        <v>2.5332379730595558</v>
      </c>
      <c r="AD188" s="2227">
        <f t="shared" si="159"/>
        <v>0.92954853516451375</v>
      </c>
      <c r="AE188" s="2227">
        <f t="shared" si="159"/>
        <v>0.19558960471187331</v>
      </c>
      <c r="AF188" s="2227">
        <f t="shared" si="159"/>
        <v>9.1639689172251515E-4</v>
      </c>
      <c r="AG188" s="2227">
        <f t="shared" si="159"/>
        <v>37.578635884716483</v>
      </c>
      <c r="AH188" s="2227">
        <f t="shared" si="159"/>
        <v>29.215468122019807</v>
      </c>
      <c r="AI188" s="2227">
        <f t="shared" si="159"/>
        <v>16.240949760937255</v>
      </c>
      <c r="AJ188" s="2227">
        <f t="shared" si="159"/>
        <v>7.0190278925055587</v>
      </c>
      <c r="AK188" s="2227">
        <f t="shared" si="159"/>
        <v>2.8750409794886012</v>
      </c>
      <c r="AL188" s="2227">
        <f t="shared" si="159"/>
        <v>0.54121585671617911</v>
      </c>
      <c r="AM188" s="2227">
        <f t="shared" si="159"/>
        <v>6.850873146183406E-3</v>
      </c>
      <c r="AN188" s="2227">
        <f t="shared" ref="AN188:BI188" si="160">(2*AN145*AN13*0.001/AN14*AN187+(AN41+AN145*AN119)^2)^0.5-AN145*AN119</f>
        <v>0.60062036556879173</v>
      </c>
      <c r="AO188" s="2227">
        <f t="shared" si="160"/>
        <v>0.21671672927358301</v>
      </c>
      <c r="AP188" s="2227">
        <f t="shared" si="160"/>
        <v>0.31255685086588975</v>
      </c>
      <c r="AQ188" s="2227">
        <f t="shared" si="160"/>
        <v>0.14927999756807533</v>
      </c>
      <c r="AR188" s="2227">
        <f t="shared" si="160"/>
        <v>3.4386948561675262E-2</v>
      </c>
      <c r="AS188" s="2227">
        <f t="shared" si="160"/>
        <v>4.3594918632005347E-2</v>
      </c>
      <c r="AT188" s="2227">
        <f t="shared" si="160"/>
        <v>3.0416381730364872E-3</v>
      </c>
      <c r="AU188" s="2227">
        <f t="shared" si="160"/>
        <v>2.927044166426529E-3</v>
      </c>
      <c r="AV188" s="2227">
        <f t="shared" si="160"/>
        <v>4.1563230718671962E-4</v>
      </c>
      <c r="AW188" s="2227">
        <f t="shared" si="160"/>
        <v>4.0052599223189267E-4</v>
      </c>
      <c r="AX188" s="2227">
        <f t="shared" si="160"/>
        <v>1.2762984406666789E-5</v>
      </c>
      <c r="AY188" s="2227">
        <f t="shared" si="160"/>
        <v>8.7591910742368384E-6</v>
      </c>
      <c r="AZ188" s="2227">
        <f t="shared" si="160"/>
        <v>5.8497003125879132E-6</v>
      </c>
      <c r="BA188" s="2227">
        <f t="shared" si="160"/>
        <v>9.1558756398768537E-7</v>
      </c>
      <c r="BB188" s="2227">
        <f t="shared" si="160"/>
        <v>1.5039114684811672E-5</v>
      </c>
      <c r="BC188" s="2227">
        <f t="shared" si="160"/>
        <v>0</v>
      </c>
      <c r="BD188" s="2227">
        <f t="shared" si="160"/>
        <v>8.1980966151784518E-2</v>
      </c>
      <c r="BE188" s="2227">
        <f t="shared" si="160"/>
        <v>3.3396800253365777E-4</v>
      </c>
      <c r="BF188" s="2227">
        <f t="shared" si="160"/>
        <v>3.3396800253365777E-4</v>
      </c>
      <c r="BG188" s="2227">
        <f t="shared" si="160"/>
        <v>23.642919747076174</v>
      </c>
      <c r="BH188" s="2227">
        <f t="shared" si="160"/>
        <v>7.1630857875060627E-2</v>
      </c>
      <c r="BI188" s="2227">
        <f t="shared" si="160"/>
        <v>0.84966939683491249</v>
      </c>
    </row>
    <row r="189" spans="1:61" s="2204" customFormat="1" ht="25.5">
      <c r="D189" s="2333"/>
      <c r="E189" s="2205" t="s">
        <v>610</v>
      </c>
      <c r="F189" s="2205" t="s">
        <v>138</v>
      </c>
      <c r="G189" s="2206" t="s">
        <v>139</v>
      </c>
      <c r="H189" s="2204">
        <f t="shared" ref="H189:AM189" si="161">1000*H14/H13*(H188-H41)/H187</f>
        <v>3.0567956542971498E-4</v>
      </c>
      <c r="I189" s="2204">
        <f t="shared" si="161"/>
        <v>3.0567956542971498E-4</v>
      </c>
      <c r="J189" s="2204">
        <f t="shared" si="161"/>
        <v>1.3336910961738504E-4</v>
      </c>
      <c r="K189" s="2204">
        <f t="shared" si="161"/>
        <v>1.3761648560631323E-5</v>
      </c>
      <c r="L189" s="2204">
        <f t="shared" si="161"/>
        <v>2.6298982413309389E-5</v>
      </c>
      <c r="M189" s="2204">
        <f t="shared" si="161"/>
        <v>2.6298982413309389E-5</v>
      </c>
      <c r="N189" s="2204">
        <f t="shared" si="161"/>
        <v>1.9477570557771165E-5</v>
      </c>
      <c r="O189" s="2204">
        <f t="shared" si="161"/>
        <v>1.9477570557771165E-5</v>
      </c>
      <c r="P189" s="2204">
        <f t="shared" si="161"/>
        <v>1.7794767125167916E-5</v>
      </c>
      <c r="Q189" s="2204">
        <f t="shared" si="161"/>
        <v>1.7794767125167916E-5</v>
      </c>
      <c r="R189" s="2204">
        <f t="shared" si="161"/>
        <v>1.0622708417296679E-4</v>
      </c>
      <c r="S189" s="2204">
        <f t="shared" si="161"/>
        <v>3.4718000148694169E-5</v>
      </c>
      <c r="T189" s="2204">
        <f t="shared" si="161"/>
        <v>3.4718000148694169E-5</v>
      </c>
      <c r="U189" s="2204">
        <f t="shared" si="161"/>
        <v>1.3937237581829253E-5</v>
      </c>
      <c r="V189" s="2204">
        <f t="shared" si="161"/>
        <v>6.5691398238994961E-6</v>
      </c>
      <c r="W189" s="2204">
        <f t="shared" si="161"/>
        <v>6.5691398238994961E-6</v>
      </c>
      <c r="X189" s="2204">
        <f t="shared" si="161"/>
        <v>2.5367260056506826E-5</v>
      </c>
      <c r="Y189" s="2204">
        <f t="shared" si="161"/>
        <v>2.8786095435594972E-5</v>
      </c>
      <c r="Z189" s="2204">
        <f t="shared" si="161"/>
        <v>3.5623091817437125E-5</v>
      </c>
      <c r="AA189" s="2204">
        <f t="shared" si="161"/>
        <v>4.3296546446397524E-5</v>
      </c>
      <c r="AB189" s="2204">
        <f t="shared" si="161"/>
        <v>2.7618898912299396E-5</v>
      </c>
      <c r="AC189" s="2204">
        <f t="shared" si="161"/>
        <v>5.7317642627967564E-5</v>
      </c>
      <c r="AD189" s="2204">
        <f t="shared" si="161"/>
        <v>1.0745327897835912E-4</v>
      </c>
      <c r="AE189" s="2204">
        <f t="shared" si="161"/>
        <v>1.8132333039363592E-4</v>
      </c>
      <c r="AF189" s="2204">
        <f t="shared" si="161"/>
        <v>2.049715065243223E-4</v>
      </c>
      <c r="AG189" s="2204">
        <f t="shared" si="161"/>
        <v>7.2142030386281051E-6</v>
      </c>
      <c r="AH189" s="2204">
        <f t="shared" si="161"/>
        <v>7.4908213644945507E-6</v>
      </c>
      <c r="AI189" s="2204">
        <f t="shared" si="161"/>
        <v>1.0241066511894317E-5</v>
      </c>
      <c r="AJ189" s="2204">
        <f t="shared" si="161"/>
        <v>1.8593238770997423E-5</v>
      </c>
      <c r="AK189" s="2204">
        <f t="shared" si="161"/>
        <v>3.3407465332944846E-5</v>
      </c>
      <c r="AL189" s="2204">
        <f t="shared" si="161"/>
        <v>8.2956161438931366E-5</v>
      </c>
      <c r="AM189" s="2204">
        <f t="shared" si="161"/>
        <v>1.5169584896460001E-4</v>
      </c>
      <c r="AN189" s="2204">
        <f t="shared" ref="AN189:BI189" si="162">1000*AN14/AN13*(AN188-AN41)/AN187</f>
        <v>1.6708548902064841E-4</v>
      </c>
      <c r="AO189" s="2204">
        <f t="shared" si="162"/>
        <v>2.2074044186634053E-4</v>
      </c>
      <c r="AP189" s="2204">
        <f t="shared" si="162"/>
        <v>1.9029851162114705E-4</v>
      </c>
      <c r="AQ189" s="2204">
        <f t="shared" si="162"/>
        <v>2.2446338531087728E-4</v>
      </c>
      <c r="AR189" s="2204">
        <f t="shared" si="162"/>
        <v>2.5824783854857332E-4</v>
      </c>
      <c r="AS189" s="2204">
        <f t="shared" si="162"/>
        <v>2.5348030847709016E-4</v>
      </c>
      <c r="AT189" s="2204">
        <f t="shared" si="162"/>
        <v>2.4228123802870268E-4</v>
      </c>
      <c r="AU189" s="2204">
        <f t="shared" si="162"/>
        <v>2.4236020220185856E-4</v>
      </c>
      <c r="AV189" s="2204">
        <f t="shared" si="162"/>
        <v>2.1571767970168614E-4</v>
      </c>
      <c r="AW189" s="2204">
        <f t="shared" si="162"/>
        <v>2.1573379659972462E-4</v>
      </c>
      <c r="AX189" s="2204">
        <f t="shared" si="162"/>
        <v>1.9530779654461497E-4</v>
      </c>
      <c r="AY189" s="2204">
        <f t="shared" si="162"/>
        <v>1.9530790177407306E-4</v>
      </c>
      <c r="AZ189" s="2204">
        <f t="shared" si="162"/>
        <v>1.9532350115039027E-4</v>
      </c>
      <c r="BA189" s="2204">
        <f t="shared" si="162"/>
        <v>1.7701201463353987E-4</v>
      </c>
      <c r="BB189" s="2204">
        <f t="shared" si="162"/>
        <v>1.8363305142330506E-4</v>
      </c>
      <c r="BC189" s="2204">
        <f t="shared" si="162"/>
        <v>0</v>
      </c>
      <c r="BD189" s="2204">
        <f t="shared" si="162"/>
        <v>1.0420945192365317E-3</v>
      </c>
      <c r="BE189" s="2204">
        <f t="shared" si="162"/>
        <v>1.9126975489672579E-4</v>
      </c>
      <c r="BF189" s="2204">
        <f t="shared" si="162"/>
        <v>1.9126975489672579E-4</v>
      </c>
      <c r="BG189" s="2204">
        <f t="shared" si="162"/>
        <v>7.4564840765449758E-6</v>
      </c>
      <c r="BH189" s="2204">
        <f t="shared" si="162"/>
        <v>6.8471787243896574E-4</v>
      </c>
      <c r="BI189" s="2204">
        <f t="shared" si="162"/>
        <v>1.0497064272053324E-3</v>
      </c>
    </row>
    <row r="190" spans="1:61" s="2306" customFormat="1" ht="25.5">
      <c r="B190" s="2307"/>
      <c r="C190" s="2307"/>
      <c r="D190" s="2333"/>
      <c r="E190" s="2310" t="s">
        <v>611</v>
      </c>
      <c r="F190" s="2310" t="s">
        <v>138</v>
      </c>
      <c r="G190" s="2311" t="s">
        <v>139</v>
      </c>
      <c r="H190" s="2312">
        <f t="shared" ref="H190:BI190" si="163">MIN(H189,H$39)</f>
        <v>3.0567956542971498E-4</v>
      </c>
      <c r="I190" s="2312">
        <f t="shared" si="163"/>
        <v>3.0567956542971498E-4</v>
      </c>
      <c r="J190" s="2312">
        <f>MIN(J189,J$39)</f>
        <v>1.3336910961738504E-4</v>
      </c>
      <c r="K190" s="2312">
        <f t="shared" si="163"/>
        <v>9.2578799557874888E-7</v>
      </c>
      <c r="L190" s="2312">
        <f t="shared" si="163"/>
        <v>4.9516367918243421E-6</v>
      </c>
      <c r="M190" s="2312">
        <f t="shared" si="163"/>
        <v>4.9516367918243421E-6</v>
      </c>
      <c r="N190" s="2312">
        <f>MIN(N189,N$39)</f>
        <v>2.5105744204671032E-6</v>
      </c>
      <c r="O190" s="2312">
        <f>MIN(O189,O$39)</f>
        <v>2.5105744204671032E-6</v>
      </c>
      <c r="P190" s="2312">
        <f t="shared" si="163"/>
        <v>2.2996060673712017E-6</v>
      </c>
      <c r="Q190" s="2312">
        <f t="shared" si="163"/>
        <v>2.2996060673712017E-6</v>
      </c>
      <c r="R190" s="2312">
        <f>MIN(R189,R$39)</f>
        <v>5.720803573144495E-6</v>
      </c>
      <c r="S190" s="2312">
        <f>MIN(S189,S$39)</f>
        <v>6.0977949424260457E-6</v>
      </c>
      <c r="T190" s="2312">
        <f>MIN(T189,T$39)</f>
        <v>6.0977949424260457E-6</v>
      </c>
      <c r="U190" s="2312">
        <f t="shared" si="163"/>
        <v>1.2952106079786864E-6</v>
      </c>
      <c r="V190" s="2312">
        <f t="shared" si="163"/>
        <v>7.9130580119435269E-7</v>
      </c>
      <c r="W190" s="2312">
        <f t="shared" si="163"/>
        <v>7.9130580119435269E-7</v>
      </c>
      <c r="X190" s="2312">
        <f t="shared" si="163"/>
        <v>4.124789608046837E-6</v>
      </c>
      <c r="Y190" s="2312">
        <f t="shared" si="163"/>
        <v>5.9515713162747051E-6</v>
      </c>
      <c r="Z190" s="2312">
        <f t="shared" si="163"/>
        <v>1.004964426852598E-5</v>
      </c>
      <c r="AA190" s="2312">
        <f t="shared" si="163"/>
        <v>1.4980247754752993E-5</v>
      </c>
      <c r="AB190" s="2312">
        <f t="shared" si="163"/>
        <v>1.3245476343958458E-5</v>
      </c>
      <c r="AC190" s="2312">
        <f t="shared" si="163"/>
        <v>5.7317642627967564E-5</v>
      </c>
      <c r="AD190" s="2312">
        <f t="shared" si="163"/>
        <v>1.0745327897835912E-4</v>
      </c>
      <c r="AE190" s="2312">
        <f t="shared" si="163"/>
        <v>1.8132333039363592E-4</v>
      </c>
      <c r="AF190" s="2312">
        <f t="shared" si="163"/>
        <v>2.049715065243223E-4</v>
      </c>
      <c r="AG190" s="2312">
        <f t="shared" si="163"/>
        <v>5.7592854573751388E-7</v>
      </c>
      <c r="AH190" s="2312">
        <f t="shared" si="163"/>
        <v>7.6919746757526942E-7</v>
      </c>
      <c r="AI190" s="2312">
        <f t="shared" si="163"/>
        <v>1.8917119988621861E-6</v>
      </c>
      <c r="AJ190" s="2312">
        <f t="shared" si="163"/>
        <v>7.9469290003178434E-6</v>
      </c>
      <c r="AK190" s="2312">
        <f t="shared" si="163"/>
        <v>3.3407465332944846E-5</v>
      </c>
      <c r="AL190" s="2312">
        <f t="shared" si="163"/>
        <v>8.2956161438931366E-5</v>
      </c>
      <c r="AM190" s="2312">
        <f t="shared" si="163"/>
        <v>1.5169584896460001E-4</v>
      </c>
      <c r="AN190" s="2312">
        <f t="shared" si="163"/>
        <v>1.6708548902064841E-4</v>
      </c>
      <c r="AO190" s="2312">
        <f t="shared" si="163"/>
        <v>2.2074044186634053E-4</v>
      </c>
      <c r="AP190" s="2312">
        <f t="shared" si="163"/>
        <v>1.9029851162114705E-4</v>
      </c>
      <c r="AQ190" s="2312">
        <f t="shared" si="163"/>
        <v>2.2446338531087728E-4</v>
      </c>
      <c r="AR190" s="2312">
        <f t="shared" si="163"/>
        <v>2.5824783854857332E-4</v>
      </c>
      <c r="AS190" s="2312">
        <f t="shared" si="163"/>
        <v>2.5348030847709016E-4</v>
      </c>
      <c r="AT190" s="2312">
        <f t="shared" si="163"/>
        <v>2.4228123802870268E-4</v>
      </c>
      <c r="AU190" s="2312">
        <f t="shared" si="163"/>
        <v>2.4236020220185856E-4</v>
      </c>
      <c r="AV190" s="2312">
        <f t="shared" si="163"/>
        <v>2.1571767970168614E-4</v>
      </c>
      <c r="AW190" s="2312">
        <f t="shared" si="163"/>
        <v>2.1573379659972462E-4</v>
      </c>
      <c r="AX190" s="2312">
        <f t="shared" si="163"/>
        <v>1.9530779654461497E-4</v>
      </c>
      <c r="AY190" s="2312">
        <f t="shared" si="163"/>
        <v>1.9530790177407306E-4</v>
      </c>
      <c r="AZ190" s="2312">
        <f t="shared" si="163"/>
        <v>1.9532350115039027E-4</v>
      </c>
      <c r="BA190" s="2312">
        <f t="shared" si="163"/>
        <v>1.7701201463353987E-4</v>
      </c>
      <c r="BB190" s="2312">
        <f t="shared" si="163"/>
        <v>1.8363305142330506E-4</v>
      </c>
      <c r="BC190" s="2312">
        <f t="shared" si="163"/>
        <v>0</v>
      </c>
      <c r="BD190" s="2312">
        <f t="shared" si="163"/>
        <v>1.0420945192365317E-3</v>
      </c>
      <c r="BE190" s="2312">
        <f t="shared" si="163"/>
        <v>1.9126975489672579E-4</v>
      </c>
      <c r="BF190" s="2312">
        <f t="shared" si="163"/>
        <v>1.9126975489672579E-4</v>
      </c>
      <c r="BG190" s="2312">
        <f t="shared" si="163"/>
        <v>9.4613746816956763E-7</v>
      </c>
      <c r="BH190" s="2312">
        <f t="shared" si="163"/>
        <v>6.8471787243896574E-4</v>
      </c>
      <c r="BI190" s="2312">
        <f t="shared" si="163"/>
        <v>1.0497064272053324E-3</v>
      </c>
    </row>
    <row r="191" spans="1:61" ht="25.5">
      <c r="A191" s="2126"/>
      <c r="B191" s="2156"/>
      <c r="C191" s="2156"/>
      <c r="D191" s="2333"/>
      <c r="E191" s="3655" t="s">
        <v>582</v>
      </c>
      <c r="F191" s="2153" t="s">
        <v>300</v>
      </c>
      <c r="G191" s="2220" t="s">
        <v>35</v>
      </c>
      <c r="H191" s="2221">
        <f t="shared" ref="H191:AM191" si="164">H123/H189</f>
        <v>2.1750547044500541</v>
      </c>
      <c r="I191" s="2221">
        <f t="shared" si="164"/>
        <v>2.1750547044500541</v>
      </c>
      <c r="J191" s="2221">
        <f t="shared" si="164"/>
        <v>5.1241431617327837</v>
      </c>
      <c r="K191" s="2221">
        <f t="shared" si="164"/>
        <v>99.890412840105682</v>
      </c>
      <c r="L191" s="2221">
        <f t="shared" si="164"/>
        <v>36.293368248212964</v>
      </c>
      <c r="M191" s="2221">
        <f t="shared" si="164"/>
        <v>36.293368248212964</v>
      </c>
      <c r="N191" s="2221">
        <f t="shared" si="164"/>
        <v>52.599390362426639</v>
      </c>
      <c r="O191" s="2221">
        <f t="shared" si="164"/>
        <v>52.599390362426639</v>
      </c>
      <c r="P191" s="2221">
        <f t="shared" si="164"/>
        <v>52.472117829406223</v>
      </c>
      <c r="Q191" s="2221">
        <f t="shared" si="164"/>
        <v>52.472117829406223</v>
      </c>
      <c r="R191" s="2221">
        <f t="shared" si="164"/>
        <v>124.52407279445879</v>
      </c>
      <c r="S191" s="2221">
        <f t="shared" si="164"/>
        <v>38.847855014096019</v>
      </c>
      <c r="T191" s="2221">
        <f t="shared" si="164"/>
        <v>38.847855014096019</v>
      </c>
      <c r="U191" s="2221">
        <f t="shared" si="164"/>
        <v>72.578218687731678</v>
      </c>
      <c r="V191" s="2221">
        <f t="shared" si="164"/>
        <v>56.226695455161249</v>
      </c>
      <c r="W191" s="2221">
        <f t="shared" si="164"/>
        <v>56.226695455161249</v>
      </c>
      <c r="X191" s="2221">
        <f t="shared" si="164"/>
        <v>41.892314921038995</v>
      </c>
      <c r="Y191" s="2221">
        <f t="shared" si="164"/>
        <v>33.162634002063378</v>
      </c>
      <c r="Z191" s="2221">
        <f t="shared" si="164"/>
        <v>24.57313508864226</v>
      </c>
      <c r="AA191" s="2221">
        <f t="shared" si="164"/>
        <v>20.218033985429436</v>
      </c>
      <c r="AB191" s="2221">
        <f t="shared" si="164"/>
        <v>14.869090188335507</v>
      </c>
      <c r="AC191" s="2221">
        <f t="shared" si="164"/>
        <v>6.6136366235172712</v>
      </c>
      <c r="AD191" s="2221">
        <f t="shared" si="164"/>
        <v>3.0574620168619249</v>
      </c>
      <c r="AE191" s="2221">
        <f t="shared" si="164"/>
        <v>1.4304237557167705</v>
      </c>
      <c r="AF191" s="2221">
        <f t="shared" si="164"/>
        <v>1.0017682598746245</v>
      </c>
      <c r="AG191" s="2221">
        <f t="shared" si="164"/>
        <v>84.333208241739854</v>
      </c>
      <c r="AH191" s="2221">
        <f t="shared" si="164"/>
        <v>65.78737559157554</v>
      </c>
      <c r="AI191" s="2221">
        <f t="shared" si="164"/>
        <v>37.015486621215388</v>
      </c>
      <c r="AJ191" s="2221">
        <f t="shared" si="164"/>
        <v>16.565211038033869</v>
      </c>
      <c r="AK191" s="2221">
        <f t="shared" si="164"/>
        <v>7.3756190971696389</v>
      </c>
      <c r="AL191" s="2221">
        <f t="shared" si="164"/>
        <v>2.2001869780439076</v>
      </c>
      <c r="AM191" s="2221">
        <f t="shared" si="164"/>
        <v>1.0151923280181561</v>
      </c>
      <c r="AN191" s="2221">
        <f t="shared" ref="AN191:BI191" si="165">AN123/AN189</f>
        <v>2.3008013344462577</v>
      </c>
      <c r="AO191" s="2221">
        <f t="shared" si="165"/>
        <v>1.466815336741278</v>
      </c>
      <c r="AP191" s="2221">
        <f t="shared" si="165"/>
        <v>1.6792837037540693</v>
      </c>
      <c r="AQ191" s="2221">
        <f t="shared" si="165"/>
        <v>1.3209776635854729</v>
      </c>
      <c r="AR191" s="2221">
        <f t="shared" si="165"/>
        <v>1.0708474509218828</v>
      </c>
      <c r="AS191" s="2221">
        <f t="shared" si="165"/>
        <v>1.090988255763544</v>
      </c>
      <c r="AT191" s="2221">
        <f t="shared" si="165"/>
        <v>1.0054404079796462</v>
      </c>
      <c r="AU191" s="2221">
        <f t="shared" si="165"/>
        <v>1.0051128221394285</v>
      </c>
      <c r="AV191" s="2221">
        <f t="shared" si="165"/>
        <v>1.0006457391171479</v>
      </c>
      <c r="AW191" s="2221">
        <f t="shared" si="165"/>
        <v>1.0005709835359446</v>
      </c>
      <c r="AX191" s="2221">
        <f t="shared" si="165"/>
        <v>1.0000017174369786</v>
      </c>
      <c r="AY191" s="2221">
        <f t="shared" si="165"/>
        <v>1.0000011786485432</v>
      </c>
      <c r="AZ191" s="2221">
        <f t="shared" si="165"/>
        <v>1.0000005787180926</v>
      </c>
      <c r="BA191" s="2221">
        <f t="shared" si="165"/>
        <v>1.0000000605834793</v>
      </c>
      <c r="BB191" s="2221">
        <f t="shared" si="165"/>
        <v>1.0000077553043671</v>
      </c>
      <c r="BC191" s="2221" t="e">
        <f t="shared" si="165"/>
        <v>#DIV/0!</v>
      </c>
      <c r="BD191" s="2221">
        <f t="shared" si="165"/>
        <v>1.0204580269245742</v>
      </c>
      <c r="BE191" s="2221">
        <f t="shared" si="165"/>
        <v>1.0005722812361979</v>
      </c>
      <c r="BF191" s="2221">
        <f t="shared" si="165"/>
        <v>1.0005722812361979</v>
      </c>
      <c r="BG191" s="2221">
        <f t="shared" si="165"/>
        <v>53.394028174430133</v>
      </c>
      <c r="BH191" s="2221">
        <f t="shared" si="165"/>
        <v>1.0227523863361903</v>
      </c>
      <c r="BI191" s="2221">
        <f t="shared" si="165"/>
        <v>2.0755338991213215</v>
      </c>
    </row>
    <row r="192" spans="1:61" ht="26.25" thickBot="1">
      <c r="A192" s="2126"/>
      <c r="B192" s="2156"/>
      <c r="C192" s="2156"/>
      <c r="D192" s="2333"/>
      <c r="E192" s="3655" t="s">
        <v>583</v>
      </c>
      <c r="F192" s="2153" t="s">
        <v>300</v>
      </c>
      <c r="G192" s="2220" t="s">
        <v>35</v>
      </c>
      <c r="H192" s="2221">
        <f t="shared" ref="H192:AM192" si="166">H141/H190</f>
        <v>2.1750547044500541</v>
      </c>
      <c r="I192" s="2221">
        <f t="shared" si="166"/>
        <v>2.1750547044500541</v>
      </c>
      <c r="J192" s="2221">
        <f t="shared" si="166"/>
        <v>1.5466017788101047</v>
      </c>
      <c r="K192" s="2221">
        <f t="shared" si="166"/>
        <v>1</v>
      </c>
      <c r="L192" s="2221">
        <f t="shared" si="166"/>
        <v>1</v>
      </c>
      <c r="M192" s="2221">
        <f t="shared" si="166"/>
        <v>1</v>
      </c>
      <c r="N192" s="2221">
        <f t="shared" si="166"/>
        <v>1</v>
      </c>
      <c r="O192" s="2221">
        <f t="shared" si="166"/>
        <v>1</v>
      </c>
      <c r="P192" s="2221">
        <f t="shared" si="166"/>
        <v>1</v>
      </c>
      <c r="Q192" s="2221">
        <f t="shared" si="166"/>
        <v>1</v>
      </c>
      <c r="R192" s="2221">
        <f t="shared" si="166"/>
        <v>1</v>
      </c>
      <c r="S192" s="2221">
        <f t="shared" si="166"/>
        <v>1</v>
      </c>
      <c r="T192" s="2221">
        <f t="shared" si="166"/>
        <v>1</v>
      </c>
      <c r="U192" s="2221">
        <f t="shared" si="166"/>
        <v>1</v>
      </c>
      <c r="V192" s="2221">
        <f t="shared" si="166"/>
        <v>1</v>
      </c>
      <c r="W192" s="2221">
        <f t="shared" si="166"/>
        <v>1</v>
      </c>
      <c r="X192" s="2221">
        <f t="shared" si="166"/>
        <v>1</v>
      </c>
      <c r="Y192" s="2221">
        <f t="shared" si="166"/>
        <v>1</v>
      </c>
      <c r="Z192" s="2221">
        <f t="shared" si="166"/>
        <v>1</v>
      </c>
      <c r="AA192" s="2221">
        <f t="shared" si="166"/>
        <v>1</v>
      </c>
      <c r="AB192" s="2221">
        <f t="shared" si="166"/>
        <v>1</v>
      </c>
      <c r="AC192" s="2221">
        <f t="shared" si="166"/>
        <v>1.1842551042990663</v>
      </c>
      <c r="AD192" s="2221">
        <f t="shared" si="166"/>
        <v>3.0574620168619249</v>
      </c>
      <c r="AE192" s="2221">
        <f t="shared" si="166"/>
        <v>1.4304237557167705</v>
      </c>
      <c r="AF192" s="2221">
        <f t="shared" si="166"/>
        <v>1.0017682598746245</v>
      </c>
      <c r="AG192" s="2221">
        <f t="shared" si="166"/>
        <v>1</v>
      </c>
      <c r="AH192" s="2221">
        <f t="shared" si="166"/>
        <v>1</v>
      </c>
      <c r="AI192" s="2221">
        <f t="shared" si="166"/>
        <v>1</v>
      </c>
      <c r="AJ192" s="2221">
        <f t="shared" si="166"/>
        <v>1</v>
      </c>
      <c r="AK192" s="2221">
        <f t="shared" si="166"/>
        <v>1.0434633876187831</v>
      </c>
      <c r="AL192" s="2221">
        <f t="shared" si="166"/>
        <v>2.2001869780439076</v>
      </c>
      <c r="AM192" s="2221">
        <f t="shared" si="166"/>
        <v>1.0151923280181561</v>
      </c>
      <c r="AN192" s="2221">
        <f t="shared" ref="AN192:BI192" si="167">AN141/AN190</f>
        <v>2.3008013344462577</v>
      </c>
      <c r="AO192" s="2221">
        <f t="shared" si="167"/>
        <v>1.466815336741278</v>
      </c>
      <c r="AP192" s="2221">
        <f t="shared" si="167"/>
        <v>1.6792837037540693</v>
      </c>
      <c r="AQ192" s="2221">
        <f t="shared" si="167"/>
        <v>1.3209776635854729</v>
      </c>
      <c r="AR192" s="2221">
        <f t="shared" si="167"/>
        <v>1.0708474509218828</v>
      </c>
      <c r="AS192" s="2221">
        <f t="shared" si="167"/>
        <v>1.090988255763544</v>
      </c>
      <c r="AT192" s="2221">
        <f t="shared" si="167"/>
        <v>1.0054404079796462</v>
      </c>
      <c r="AU192" s="2221">
        <f t="shared" si="167"/>
        <v>1.0051128221394285</v>
      </c>
      <c r="AV192" s="2221">
        <f t="shared" si="167"/>
        <v>1.0006457391171479</v>
      </c>
      <c r="AW192" s="2221">
        <f t="shared" si="167"/>
        <v>1.0005709835359446</v>
      </c>
      <c r="AX192" s="2221">
        <f t="shared" si="167"/>
        <v>1.0000017174369786</v>
      </c>
      <c r="AY192" s="2221">
        <f t="shared" si="167"/>
        <v>1.0000011786485432</v>
      </c>
      <c r="AZ192" s="2221">
        <f t="shared" si="167"/>
        <v>1.0000005787180926</v>
      </c>
      <c r="BA192" s="2221">
        <f t="shared" si="167"/>
        <v>1.0000000605834793</v>
      </c>
      <c r="BB192" s="2221">
        <f t="shared" si="167"/>
        <v>1.0000077553043671</v>
      </c>
      <c r="BC192" s="2221" t="e">
        <f t="shared" si="167"/>
        <v>#DIV/0!</v>
      </c>
      <c r="BD192" s="2221">
        <f t="shared" si="167"/>
        <v>1.0204580269245742</v>
      </c>
      <c r="BE192" s="2221">
        <f t="shared" si="167"/>
        <v>1.0005722812361979</v>
      </c>
      <c r="BF192" s="2221">
        <f t="shared" si="167"/>
        <v>1.0005722812361979</v>
      </c>
      <c r="BG192" s="2221">
        <f t="shared" si="167"/>
        <v>1</v>
      </c>
      <c r="BH192" s="2221">
        <f t="shared" si="167"/>
        <v>1.0227523863361903</v>
      </c>
      <c r="BI192" s="2221">
        <f t="shared" si="167"/>
        <v>2.0755338991213215</v>
      </c>
    </row>
    <row r="193" spans="1:61" s="2148" customFormat="1">
      <c r="A193" s="2142"/>
      <c r="B193" s="2143"/>
      <c r="C193" s="2143"/>
      <c r="D193" s="2334"/>
      <c r="E193" s="3666"/>
      <c r="F193" s="2120"/>
      <c r="G193" s="2121"/>
      <c r="H193" s="2143"/>
      <c r="I193" s="2143"/>
      <c r="J193" s="2143"/>
      <c r="K193" s="2143"/>
      <c r="L193" s="2143"/>
      <c r="M193" s="2143"/>
      <c r="N193" s="2146"/>
      <c r="O193" s="2146"/>
      <c r="P193" s="2143"/>
      <c r="Q193" s="2143"/>
      <c r="R193" s="2147"/>
      <c r="S193" s="2146"/>
      <c r="T193" s="2146"/>
      <c r="U193" s="2143"/>
      <c r="V193" s="2143"/>
      <c r="W193" s="2146"/>
      <c r="X193" s="2146"/>
      <c r="Y193" s="2146"/>
      <c r="Z193" s="2146"/>
      <c r="AA193" s="2146"/>
      <c r="AB193" s="2146"/>
      <c r="AC193" s="2146"/>
      <c r="AD193" s="2146"/>
      <c r="AE193" s="2146"/>
      <c r="AF193" s="2146"/>
      <c r="AG193" s="2146"/>
      <c r="AH193" s="2146"/>
      <c r="AI193" s="2146"/>
      <c r="AJ193" s="2146"/>
      <c r="AK193" s="2146"/>
      <c r="AL193" s="2146"/>
      <c r="AM193" s="2146"/>
      <c r="AN193" s="2146"/>
      <c r="AO193" s="2146"/>
      <c r="AP193" s="2146"/>
      <c r="AQ193" s="2146"/>
      <c r="AR193" s="2146"/>
      <c r="AS193" s="2146"/>
      <c r="AT193" s="2146"/>
      <c r="AU193" s="2146"/>
      <c r="AV193" s="2146"/>
      <c r="AW193" s="2146"/>
      <c r="AX193" s="2146"/>
      <c r="AY193" s="2146"/>
      <c r="AZ193" s="2146"/>
      <c r="BA193" s="2146"/>
      <c r="BB193" s="2146"/>
      <c r="BC193" s="2146"/>
      <c r="BD193" s="2146"/>
      <c r="BE193" s="2146"/>
      <c r="BF193" s="2146"/>
      <c r="BG193" s="2146"/>
      <c r="BH193" s="2146"/>
      <c r="BI193" s="2146"/>
    </row>
    <row r="194" spans="1:61">
      <c r="A194" s="2157"/>
      <c r="B194" s="2158"/>
      <c r="C194" s="2158"/>
      <c r="D194" s="2211"/>
      <c r="E194" s="3667" t="s">
        <v>1135</v>
      </c>
    </row>
    <row r="195" spans="1:61" s="2204" customFormat="1" ht="15" customHeight="1">
      <c r="A195" s="2199"/>
      <c r="B195" s="2200"/>
      <c r="C195" s="2200"/>
      <c r="D195" s="2335"/>
      <c r="E195" s="3668" t="s">
        <v>662</v>
      </c>
      <c r="F195" s="2208" t="s">
        <v>644</v>
      </c>
      <c r="G195" s="2209" t="s">
        <v>35</v>
      </c>
      <c r="H195" s="2200">
        <f t="shared" ref="H195:AM195" si="168">H119/H45</f>
        <v>1.1797350428329056</v>
      </c>
      <c r="I195" s="2200">
        <f t="shared" si="168"/>
        <v>1.1797350428329056</v>
      </c>
      <c r="J195" s="2200">
        <f t="shared" si="168"/>
        <v>1.0553833234694465</v>
      </c>
      <c r="K195" s="2200">
        <f t="shared" si="168"/>
        <v>1.0326382515731445</v>
      </c>
      <c r="L195" s="2200">
        <f t="shared" si="168"/>
        <v>1.0332382724047786</v>
      </c>
      <c r="M195" s="2200">
        <f t="shared" si="168"/>
        <v>1.0332382724047786</v>
      </c>
      <c r="N195" s="2200">
        <f t="shared" si="168"/>
        <v>1.0327751640358989</v>
      </c>
      <c r="O195" s="2200">
        <f t="shared" si="168"/>
        <v>1.0327751640358989</v>
      </c>
      <c r="P195" s="2200">
        <f t="shared" si="168"/>
        <v>1.0327138949845762</v>
      </c>
      <c r="Q195" s="2200">
        <f t="shared" si="168"/>
        <v>1.0327138949845762</v>
      </c>
      <c r="R195" s="2204">
        <f t="shared" si="168"/>
        <v>1.0326649202731675</v>
      </c>
      <c r="S195" s="2200">
        <f t="shared" si="168"/>
        <v>1.0330475358531213</v>
      </c>
      <c r="T195" s="2200">
        <f t="shared" si="168"/>
        <v>1.0330475358531213</v>
      </c>
      <c r="U195" s="2200">
        <f t="shared" si="168"/>
        <v>1.0327000062740288</v>
      </c>
      <c r="V195" s="2200">
        <f t="shared" si="168"/>
        <v>1.0326508841082294</v>
      </c>
      <c r="W195" s="2200">
        <f t="shared" si="168"/>
        <v>1.0326508841082294</v>
      </c>
      <c r="X195" s="2200">
        <f t="shared" si="168"/>
        <v>1.0329127925011652</v>
      </c>
      <c r="Y195" s="2200">
        <f t="shared" si="168"/>
        <v>1.0328755597546035</v>
      </c>
      <c r="Z195" s="2200">
        <f t="shared" si="168"/>
        <v>1.0328317724228935</v>
      </c>
      <c r="AA195" s="2200">
        <f t="shared" si="168"/>
        <v>1.0329069917230695</v>
      </c>
      <c r="AB195" s="2200">
        <f t="shared" si="168"/>
        <v>1.0327431106781482</v>
      </c>
      <c r="AC195" s="2200">
        <f t="shared" si="168"/>
        <v>1.0330107531412578</v>
      </c>
      <c r="AD195" s="2200">
        <f t="shared" si="168"/>
        <v>1.0336309944986068</v>
      </c>
      <c r="AE195" s="2200">
        <f t="shared" si="168"/>
        <v>1.0367020392387982</v>
      </c>
      <c r="AF195" s="2200">
        <f t="shared" si="168"/>
        <v>1.1115862566741601</v>
      </c>
      <c r="AG195" s="2200">
        <f t="shared" si="168"/>
        <v>1.0326345079503372</v>
      </c>
      <c r="AH195" s="2200">
        <f t="shared" si="168"/>
        <v>1.0326339629329575</v>
      </c>
      <c r="AI195" s="2200">
        <f t="shared" si="168"/>
        <v>1.0326335661923656</v>
      </c>
      <c r="AJ195" s="2200">
        <f t="shared" si="168"/>
        <v>1.0326333457809251</v>
      </c>
      <c r="AK195" s="2200">
        <f t="shared" si="168"/>
        <v>1.0326330066864018</v>
      </c>
      <c r="AL195" s="2200">
        <f t="shared" si="168"/>
        <v>1.0326329157537071</v>
      </c>
      <c r="AM195" s="2200">
        <f t="shared" si="168"/>
        <v>1.0326329102479195</v>
      </c>
      <c r="AN195" s="2200">
        <f t="shared" ref="AN195:BI195" si="169">AN119/AN45</f>
        <v>1.0452881072666087</v>
      </c>
      <c r="AO195" s="2200">
        <f t="shared" si="169"/>
        <v>1.0482372547072474</v>
      </c>
      <c r="AP195" s="2200">
        <f t="shared" si="169"/>
        <v>1.0434065802431358</v>
      </c>
      <c r="AQ195" s="2200">
        <f t="shared" si="169"/>
        <v>1.0492155838451285</v>
      </c>
      <c r="AR195" s="2200">
        <f t="shared" si="169"/>
        <v>1.073013626828119</v>
      </c>
      <c r="AS195" s="2200">
        <f t="shared" si="169"/>
        <v>1.065694620989168</v>
      </c>
      <c r="AT195" s="2200">
        <f t="shared" si="169"/>
        <v>1.1594884101134342</v>
      </c>
      <c r="AU195" s="2200">
        <f t="shared" si="169"/>
        <v>1.1752171250383614</v>
      </c>
      <c r="AV195" s="2200">
        <f t="shared" si="169"/>
        <v>1.2586959205554697</v>
      </c>
      <c r="AW195" s="2200">
        <f t="shared" si="169"/>
        <v>1.3265148252346972</v>
      </c>
      <c r="AX195" s="2200">
        <f t="shared" si="169"/>
        <v>9.2212932222641548</v>
      </c>
      <c r="AY195" s="2200">
        <f t="shared" si="169"/>
        <v>9.2212932222641548</v>
      </c>
      <c r="AZ195" s="2200">
        <f t="shared" si="169"/>
        <v>12.359987433822594</v>
      </c>
      <c r="BA195" s="2200">
        <f t="shared" si="169"/>
        <v>18.263494680136375</v>
      </c>
      <c r="BB195" s="2200">
        <f t="shared" si="169"/>
        <v>2.7784660947203372</v>
      </c>
      <c r="BC195" s="2200">
        <f t="shared" si="169"/>
        <v>2555495.9915603194</v>
      </c>
      <c r="BD195" s="2200">
        <f t="shared" si="169"/>
        <v>5.2044594474868777</v>
      </c>
      <c r="BE195" s="2200">
        <f t="shared" si="169"/>
        <v>1.1882174509868606</v>
      </c>
      <c r="BF195" s="2200">
        <f t="shared" si="169"/>
        <v>1.1882174509868606</v>
      </c>
      <c r="BG195" s="2200">
        <f t="shared" si="169"/>
        <v>1.0329956708266435</v>
      </c>
      <c r="BH195" s="2200">
        <f t="shared" si="169"/>
        <v>4.1967957280838508</v>
      </c>
      <c r="BI195" s="2200">
        <f t="shared" si="169"/>
        <v>1.4303678346557698</v>
      </c>
    </row>
    <row r="196" spans="1:61" s="2204" customFormat="1">
      <c r="A196" s="2199"/>
      <c r="B196" s="2200"/>
      <c r="C196" s="2200"/>
      <c r="D196" s="2207"/>
      <c r="E196" s="3656" t="s">
        <v>641</v>
      </c>
      <c r="F196" s="2208" t="s">
        <v>300</v>
      </c>
      <c r="G196" s="2209" t="s">
        <v>35</v>
      </c>
      <c r="H196" s="2200">
        <f t="shared" ref="H196:AM196" si="170">H49/H123</f>
        <v>1.1797350428329054</v>
      </c>
      <c r="I196" s="2200">
        <f t="shared" si="170"/>
        <v>1.1797350428329054</v>
      </c>
      <c r="J196" s="2200">
        <f t="shared" si="170"/>
        <v>1.0553833234694465</v>
      </c>
      <c r="K196" s="2200">
        <f t="shared" si="170"/>
        <v>1.0326382515731445</v>
      </c>
      <c r="L196" s="2200">
        <f t="shared" si="170"/>
        <v>1.0332382724047786</v>
      </c>
      <c r="M196" s="2200">
        <f t="shared" si="170"/>
        <v>1.0332382724047786</v>
      </c>
      <c r="N196" s="2200">
        <f t="shared" si="170"/>
        <v>1.0327751640358989</v>
      </c>
      <c r="O196" s="2200">
        <f t="shared" si="170"/>
        <v>1.0327751640358989</v>
      </c>
      <c r="P196" s="2200">
        <f t="shared" si="170"/>
        <v>1.0327138949845762</v>
      </c>
      <c r="Q196" s="2200">
        <f t="shared" si="170"/>
        <v>1.0327138949845762</v>
      </c>
      <c r="R196" s="2204">
        <f t="shared" si="170"/>
        <v>1.0326649202731677</v>
      </c>
      <c r="S196" s="2200">
        <f t="shared" si="170"/>
        <v>1.0330475358531213</v>
      </c>
      <c r="T196" s="2200">
        <f t="shared" si="170"/>
        <v>1.0330475358531213</v>
      </c>
      <c r="U196" s="2200">
        <f t="shared" si="170"/>
        <v>1.032700006274029</v>
      </c>
      <c r="V196" s="2200">
        <f t="shared" si="170"/>
        <v>1.0326508841082294</v>
      </c>
      <c r="W196" s="2200">
        <f t="shared" si="170"/>
        <v>1.0326508841082294</v>
      </c>
      <c r="X196" s="2200">
        <f t="shared" si="170"/>
        <v>1.0329127925011654</v>
      </c>
      <c r="Y196" s="2200">
        <f t="shared" si="170"/>
        <v>1.0328755597546035</v>
      </c>
      <c r="Z196" s="2200">
        <f t="shared" si="170"/>
        <v>1.0328317724228935</v>
      </c>
      <c r="AA196" s="2200">
        <f t="shared" si="170"/>
        <v>1.0329069917230693</v>
      </c>
      <c r="AB196" s="2200">
        <f t="shared" si="170"/>
        <v>1.0327431106781484</v>
      </c>
      <c r="AC196" s="2200">
        <f t="shared" si="170"/>
        <v>1.0330107531412576</v>
      </c>
      <c r="AD196" s="2200">
        <f t="shared" si="170"/>
        <v>1.0336309944986066</v>
      </c>
      <c r="AE196" s="2200">
        <f t="shared" si="170"/>
        <v>1.0367020392387984</v>
      </c>
      <c r="AF196" s="2200">
        <f t="shared" si="170"/>
        <v>1.1115862566741601</v>
      </c>
      <c r="AG196" s="2200">
        <f t="shared" si="170"/>
        <v>1.0326345079503372</v>
      </c>
      <c r="AH196" s="2200">
        <f t="shared" si="170"/>
        <v>1.0326339629329575</v>
      </c>
      <c r="AI196" s="2200">
        <f t="shared" si="170"/>
        <v>1.0326335661923653</v>
      </c>
      <c r="AJ196" s="2200">
        <f t="shared" si="170"/>
        <v>1.0326333457809254</v>
      </c>
      <c r="AK196" s="2200">
        <f t="shared" si="170"/>
        <v>1.0326330066864018</v>
      </c>
      <c r="AL196" s="2200">
        <f t="shared" si="170"/>
        <v>1.0326329157537071</v>
      </c>
      <c r="AM196" s="2200">
        <f t="shared" si="170"/>
        <v>1.0326329102479195</v>
      </c>
      <c r="AN196" s="2200">
        <f t="shared" ref="AN196:BI196" si="171">AN49/AN123</f>
        <v>1.0452881072666089</v>
      </c>
      <c r="AO196" s="2200">
        <f t="shared" si="171"/>
        <v>1.0482372547072476</v>
      </c>
      <c r="AP196" s="2200">
        <f t="shared" si="171"/>
        <v>1.0434065802431358</v>
      </c>
      <c r="AQ196" s="2200">
        <f t="shared" si="171"/>
        <v>1.0492155838451285</v>
      </c>
      <c r="AR196" s="2200">
        <f t="shared" si="171"/>
        <v>1.073013626828119</v>
      </c>
      <c r="AS196" s="2200">
        <f t="shared" si="171"/>
        <v>1.065694620989168</v>
      </c>
      <c r="AT196" s="2200">
        <f t="shared" si="171"/>
        <v>1.1594884101134344</v>
      </c>
      <c r="AU196" s="2200">
        <f t="shared" si="171"/>
        <v>1.1752171250383612</v>
      </c>
      <c r="AV196" s="2200">
        <f t="shared" si="171"/>
        <v>1.2586959205554695</v>
      </c>
      <c r="AW196" s="2200">
        <f t="shared" si="171"/>
        <v>1.3265148252346972</v>
      </c>
      <c r="AX196" s="2200">
        <f t="shared" si="171"/>
        <v>9.2212932222641548</v>
      </c>
      <c r="AY196" s="2200">
        <f t="shared" si="171"/>
        <v>9.2212932222641548</v>
      </c>
      <c r="AZ196" s="2200">
        <f t="shared" si="171"/>
        <v>12.359987433822596</v>
      </c>
      <c r="BA196" s="2200">
        <f t="shared" si="171"/>
        <v>18.263494680136372</v>
      </c>
      <c r="BB196" s="2200">
        <f t="shared" si="171"/>
        <v>2.7784660947203372</v>
      </c>
      <c r="BC196" s="2200">
        <f t="shared" si="171"/>
        <v>2555495.9915603194</v>
      </c>
      <c r="BD196" s="2200">
        <f t="shared" si="171"/>
        <v>5.2044594474868777</v>
      </c>
      <c r="BE196" s="2200">
        <f t="shared" si="171"/>
        <v>1.1882174509868608</v>
      </c>
      <c r="BF196" s="2200">
        <f t="shared" si="171"/>
        <v>1.1882174509868608</v>
      </c>
      <c r="BG196" s="2200">
        <f t="shared" si="171"/>
        <v>1.0329956708266432</v>
      </c>
      <c r="BH196" s="2200">
        <f t="shared" si="171"/>
        <v>4.1967957280838499</v>
      </c>
      <c r="BI196" s="2200">
        <f t="shared" si="171"/>
        <v>1.4303678346557698</v>
      </c>
    </row>
    <row r="197" spans="1:61" s="2204" customFormat="1">
      <c r="A197" s="2199"/>
      <c r="B197" s="2200"/>
      <c r="C197" s="2200"/>
      <c r="D197" s="2332"/>
      <c r="E197" s="3663" t="str">
        <f>E218</f>
        <v>Période chronique</v>
      </c>
      <c r="F197" s="2208"/>
      <c r="G197" s="2209"/>
      <c r="H197" s="2200"/>
      <c r="I197" s="2200"/>
      <c r="J197" s="2200"/>
      <c r="K197" s="2200"/>
      <c r="L197" s="2200"/>
      <c r="M197" s="2200"/>
      <c r="N197" s="2200"/>
      <c r="O197" s="2200"/>
      <c r="P197" s="2200"/>
      <c r="Q197" s="2200"/>
      <c r="S197" s="2200"/>
      <c r="T197" s="2200"/>
      <c r="U197" s="2200"/>
      <c r="V197" s="2200"/>
      <c r="W197" s="2200"/>
      <c r="X197" s="2200"/>
      <c r="Y197" s="2200"/>
      <c r="Z197" s="2200"/>
      <c r="AA197" s="2200"/>
      <c r="AB197" s="2200"/>
      <c r="AC197" s="2200"/>
      <c r="AD197" s="2200"/>
      <c r="AE197" s="2200"/>
      <c r="AF197" s="2200"/>
      <c r="AG197" s="2200"/>
      <c r="AH197" s="2200"/>
      <c r="AI197" s="2200"/>
      <c r="AJ197" s="2200"/>
      <c r="AK197" s="2200"/>
      <c r="AL197" s="2200"/>
      <c r="AM197" s="2200"/>
      <c r="AN197" s="2200"/>
      <c r="AO197" s="2200"/>
      <c r="AP197" s="2200"/>
      <c r="AQ197" s="2200"/>
      <c r="AR197" s="2200"/>
      <c r="AS197" s="2200"/>
      <c r="AT197" s="2200"/>
      <c r="AU197" s="2200"/>
      <c r="AV197" s="2200"/>
      <c r="AW197" s="2200"/>
      <c r="AX197" s="2200"/>
      <c r="AY197" s="2200"/>
      <c r="AZ197" s="2200"/>
      <c r="BA197" s="2200"/>
      <c r="BB197" s="2200"/>
      <c r="BC197" s="2200"/>
      <c r="BD197" s="2200"/>
      <c r="BE197" s="2200"/>
      <c r="BF197" s="2200"/>
      <c r="BG197" s="2200"/>
      <c r="BH197" s="2200"/>
      <c r="BI197" s="2200"/>
    </row>
    <row r="198" spans="1:61" s="2204" customFormat="1">
      <c r="A198" s="2199"/>
      <c r="B198" s="2200"/>
      <c r="C198" s="2200"/>
      <c r="D198" s="2207"/>
      <c r="E198" s="3656" t="s">
        <v>642</v>
      </c>
      <c r="F198" s="2208" t="s">
        <v>300</v>
      </c>
      <c r="G198" s="2209" t="s">
        <v>35</v>
      </c>
      <c r="H198" s="2200">
        <f t="shared" ref="H198:AM198" si="172">H74/H151</f>
        <v>1.0982526762980103</v>
      </c>
      <c r="I198" s="2200">
        <f t="shared" si="172"/>
        <v>1.0982526762980103</v>
      </c>
      <c r="J198" s="2200">
        <f t="shared" si="172"/>
        <v>1.0133144711625768</v>
      </c>
      <c r="K198" s="2200">
        <f t="shared" si="172"/>
        <v>1.0010056459629708</v>
      </c>
      <c r="L198" s="2200">
        <f t="shared" si="172"/>
        <v>1.0028356829721474</v>
      </c>
      <c r="M198" s="2200">
        <f t="shared" si="172"/>
        <v>1.0028356829721474</v>
      </c>
      <c r="N198" s="2200">
        <f t="shared" si="172"/>
        <v>1.0019247330047241</v>
      </c>
      <c r="O198" s="2200">
        <f t="shared" si="172"/>
        <v>1.0019247330047241</v>
      </c>
      <c r="P198" s="2200">
        <f t="shared" si="172"/>
        <v>1.0019259384090931</v>
      </c>
      <c r="Q198" s="2200">
        <f t="shared" si="172"/>
        <v>1.0019259384090931</v>
      </c>
      <c r="R198" s="2204">
        <f t="shared" si="172"/>
        <v>1.0008065997813316</v>
      </c>
      <c r="S198" s="2200">
        <f t="shared" si="172"/>
        <v>1.0026330572633586</v>
      </c>
      <c r="T198" s="2200">
        <f t="shared" si="172"/>
        <v>1.0026330572633586</v>
      </c>
      <c r="U198" s="2200">
        <f t="shared" si="172"/>
        <v>1.0013889191572463</v>
      </c>
      <c r="V198" s="2200">
        <f t="shared" si="172"/>
        <v>1.0017931157659232</v>
      </c>
      <c r="W198" s="2200">
        <f t="shared" si="172"/>
        <v>1.0017931157659232</v>
      </c>
      <c r="X198" s="2200">
        <f t="shared" si="172"/>
        <v>1.0024306148505491</v>
      </c>
      <c r="Y198" s="2200">
        <f t="shared" si="172"/>
        <v>1.0030727580055276</v>
      </c>
      <c r="Z198" s="2200">
        <f t="shared" si="172"/>
        <v>1.0041507332132367</v>
      </c>
      <c r="AA198" s="2200">
        <f t="shared" si="172"/>
        <v>1.0019301940220011</v>
      </c>
      <c r="AB198" s="2200">
        <f t="shared" si="172"/>
        <v>1.006846629552415</v>
      </c>
      <c r="AC198" s="2200">
        <f t="shared" si="172"/>
        <v>1.0148796630203973</v>
      </c>
      <c r="AD198" s="2200">
        <f t="shared" si="172"/>
        <v>1.0260833602861148</v>
      </c>
      <c r="AE198" s="2200">
        <f t="shared" si="172"/>
        <v>1.0355641077297411</v>
      </c>
      <c r="AF198" s="2200">
        <f t="shared" si="172"/>
        <v>1.1115746595767944</v>
      </c>
      <c r="AG198" s="2200">
        <f t="shared" si="172"/>
        <v>1.0011920148621496</v>
      </c>
      <c r="AH198" s="2200">
        <f t="shared" si="172"/>
        <v>1.0015301923270754</v>
      </c>
      <c r="AI198" s="2200">
        <f t="shared" si="172"/>
        <v>1.002730876381384</v>
      </c>
      <c r="AJ198" s="2200">
        <f t="shared" si="172"/>
        <v>1.0061285547118179</v>
      </c>
      <c r="AK198" s="2200">
        <f t="shared" si="172"/>
        <v>1.0133586361118125</v>
      </c>
      <c r="AL198" s="2200">
        <f t="shared" si="172"/>
        <v>1.0288731828507145</v>
      </c>
      <c r="AM198" s="2200">
        <f t="shared" si="172"/>
        <v>1.0326065318026549</v>
      </c>
      <c r="AN198" s="2200">
        <f t="shared" ref="AN198:BI198" si="173">AN74/AN151</f>
        <v>1.0251096067231784</v>
      </c>
      <c r="AO198" s="2200">
        <f t="shared" si="173"/>
        <v>1.0465558674632884</v>
      </c>
      <c r="AP198" s="2200">
        <f t="shared" si="173"/>
        <v>1.0409847466292699</v>
      </c>
      <c r="AQ198" s="2200">
        <f t="shared" si="173"/>
        <v>1.048130603349805</v>
      </c>
      <c r="AR198" s="2200">
        <f t="shared" si="173"/>
        <v>1.0727075059361946</v>
      </c>
      <c r="AS198" s="2200">
        <f t="shared" si="173"/>
        <v>1.0653386082392406</v>
      </c>
      <c r="AT198" s="2200">
        <f t="shared" si="173"/>
        <v>1.1594338273878775</v>
      </c>
      <c r="AU198" s="2200">
        <f t="shared" si="173"/>
        <v>1.1751596071514949</v>
      </c>
      <c r="AV198" s="2200">
        <f t="shared" si="173"/>
        <v>1.2586840405545872</v>
      </c>
      <c r="AW198" s="2200">
        <f t="shared" si="173"/>
        <v>1.326500433792223</v>
      </c>
      <c r="AX198" s="2200">
        <f t="shared" si="173"/>
        <v>9.221259950288669</v>
      </c>
      <c r="AY198" s="2200">
        <f t="shared" si="173"/>
        <v>9.2212703778068281</v>
      </c>
      <c r="AZ198" s="2200">
        <f t="shared" si="173"/>
        <v>12.359960278785303</v>
      </c>
      <c r="BA198" s="2200">
        <f t="shared" si="173"/>
        <v>18.263485033817005</v>
      </c>
      <c r="BB198" s="2200">
        <f t="shared" si="173"/>
        <v>2.778462475009964</v>
      </c>
      <c r="BC198" s="2200" t="e">
        <f t="shared" si="173"/>
        <v>#DIV/0!</v>
      </c>
      <c r="BD198" s="2200">
        <f t="shared" si="173"/>
        <v>5.1355722171745777</v>
      </c>
      <c r="BE198" s="2200">
        <f t="shared" si="173"/>
        <v>1.1882104457848859</v>
      </c>
      <c r="BF198" s="2200">
        <f t="shared" si="173"/>
        <v>1.1882104457848859</v>
      </c>
      <c r="BG198" s="2200">
        <f t="shared" si="173"/>
        <v>1.0019082482905037</v>
      </c>
      <c r="BH198" s="2200">
        <f t="shared" si="173"/>
        <v>4.1570683650801312</v>
      </c>
      <c r="BI198" s="2200">
        <f t="shared" si="173"/>
        <v>1.2202465037716832</v>
      </c>
    </row>
    <row r="199" spans="1:61" s="2203" customFormat="1">
      <c r="A199" s="2239"/>
      <c r="D199" s="2332"/>
      <c r="E199" s="3656" t="s">
        <v>643</v>
      </c>
      <c r="F199" s="2201" t="s">
        <v>300</v>
      </c>
      <c r="G199" s="2202" t="s">
        <v>35</v>
      </c>
      <c r="H199" s="2203">
        <f t="shared" ref="H199:AM199" si="174">H75/H152</f>
        <v>1.0982526762980103</v>
      </c>
      <c r="I199" s="2203">
        <f t="shared" si="174"/>
        <v>1.0982526762980103</v>
      </c>
      <c r="J199" s="2203">
        <f t="shared" si="174"/>
        <v>1.0133144711625768</v>
      </c>
      <c r="K199" s="2203">
        <f t="shared" si="174"/>
        <v>1</v>
      </c>
      <c r="L199" s="2203">
        <f t="shared" si="174"/>
        <v>1.0028356829721474</v>
      </c>
      <c r="M199" s="2203">
        <f t="shared" si="174"/>
        <v>1.0028356829721474</v>
      </c>
      <c r="N199" s="2203">
        <f t="shared" si="174"/>
        <v>1</v>
      </c>
      <c r="O199" s="2203">
        <f t="shared" si="174"/>
        <v>1</v>
      </c>
      <c r="P199" s="2203">
        <f t="shared" si="174"/>
        <v>1</v>
      </c>
      <c r="Q199" s="2203">
        <f t="shared" si="174"/>
        <v>1</v>
      </c>
      <c r="R199" s="2203">
        <f t="shared" si="174"/>
        <v>1</v>
      </c>
      <c r="S199" s="2203">
        <f t="shared" si="174"/>
        <v>1.0026330572633586</v>
      </c>
      <c r="T199" s="2203">
        <f t="shared" si="174"/>
        <v>1.0026330572633586</v>
      </c>
      <c r="U199" s="2203">
        <f t="shared" si="174"/>
        <v>1</v>
      </c>
      <c r="V199" s="2203">
        <f t="shared" si="174"/>
        <v>1</v>
      </c>
      <c r="W199" s="2203">
        <f t="shared" si="174"/>
        <v>1</v>
      </c>
      <c r="X199" s="2203">
        <f t="shared" si="174"/>
        <v>1.0024306148505491</v>
      </c>
      <c r="Y199" s="2203">
        <f t="shared" si="174"/>
        <v>1.0030727580055276</v>
      </c>
      <c r="Z199" s="2203">
        <f t="shared" si="174"/>
        <v>1.0041507332132367</v>
      </c>
      <c r="AA199" s="2203">
        <f t="shared" si="174"/>
        <v>1</v>
      </c>
      <c r="AB199" s="2203">
        <f t="shared" si="174"/>
        <v>1.006846629552415</v>
      </c>
      <c r="AC199" s="2203">
        <f t="shared" si="174"/>
        <v>1.0148796630203973</v>
      </c>
      <c r="AD199" s="2203">
        <f t="shared" si="174"/>
        <v>1.0260833602861148</v>
      </c>
      <c r="AE199" s="2203">
        <f t="shared" si="174"/>
        <v>1.0355641077297411</v>
      </c>
      <c r="AF199" s="2203">
        <f t="shared" si="174"/>
        <v>1.1115746595767944</v>
      </c>
      <c r="AG199" s="2203">
        <f t="shared" si="174"/>
        <v>1</v>
      </c>
      <c r="AH199" s="2203">
        <f t="shared" si="174"/>
        <v>1</v>
      </c>
      <c r="AI199" s="2203">
        <f t="shared" si="174"/>
        <v>1.002730876381384</v>
      </c>
      <c r="AJ199" s="2203">
        <f t="shared" si="174"/>
        <v>1.0061285547118179</v>
      </c>
      <c r="AK199" s="2203">
        <f t="shared" si="174"/>
        <v>1.0133586361118125</v>
      </c>
      <c r="AL199" s="2203">
        <f t="shared" si="174"/>
        <v>1.0288731828507145</v>
      </c>
      <c r="AM199" s="2203">
        <f t="shared" si="174"/>
        <v>1.0326065318026549</v>
      </c>
      <c r="AN199" s="2203">
        <f t="shared" ref="AN199:BI199" si="175">AN75/AN152</f>
        <v>1.0251096067231784</v>
      </c>
      <c r="AO199" s="2203">
        <f t="shared" si="175"/>
        <v>1.0465558674632884</v>
      </c>
      <c r="AP199" s="2203">
        <f t="shared" si="175"/>
        <v>1.0409847466292699</v>
      </c>
      <c r="AQ199" s="2203">
        <f t="shared" si="175"/>
        <v>1.048130603349805</v>
      </c>
      <c r="AR199" s="2203">
        <f t="shared" si="175"/>
        <v>1.0727075059361946</v>
      </c>
      <c r="AS199" s="2203">
        <f t="shared" si="175"/>
        <v>1.0653386082392406</v>
      </c>
      <c r="AT199" s="2203">
        <f t="shared" si="175"/>
        <v>1.1594338273878775</v>
      </c>
      <c r="AU199" s="2203">
        <f t="shared" si="175"/>
        <v>1.1751596071514949</v>
      </c>
      <c r="AV199" s="2203">
        <f t="shared" si="175"/>
        <v>1.2586840405545872</v>
      </c>
      <c r="AW199" s="2203">
        <f t="shared" si="175"/>
        <v>1.326500433792223</v>
      </c>
      <c r="AX199" s="2203">
        <f t="shared" si="175"/>
        <v>9.221259950288669</v>
      </c>
      <c r="AY199" s="2203">
        <f t="shared" si="175"/>
        <v>9.2212703778068281</v>
      </c>
      <c r="AZ199" s="2203">
        <f t="shared" si="175"/>
        <v>12.359960278785303</v>
      </c>
      <c r="BA199" s="2203">
        <f t="shared" si="175"/>
        <v>18.263485033817005</v>
      </c>
      <c r="BB199" s="2203">
        <f t="shared" si="175"/>
        <v>2.778462475009964</v>
      </c>
      <c r="BC199" s="2203" t="e">
        <f t="shared" si="175"/>
        <v>#DIV/0!</v>
      </c>
      <c r="BD199" s="2203">
        <f t="shared" si="175"/>
        <v>5.1355722171745777</v>
      </c>
      <c r="BE199" s="2203">
        <f t="shared" si="175"/>
        <v>1.1882104457848859</v>
      </c>
      <c r="BF199" s="2203">
        <f t="shared" si="175"/>
        <v>1.1882104457848859</v>
      </c>
      <c r="BG199" s="2203">
        <f t="shared" si="175"/>
        <v>1</v>
      </c>
      <c r="BH199" s="2203">
        <f t="shared" si="175"/>
        <v>4.1570683650801312</v>
      </c>
      <c r="BI199" s="2203">
        <f t="shared" si="175"/>
        <v>1.2202465037716832</v>
      </c>
    </row>
    <row r="200" spans="1:61" s="2204" customFormat="1">
      <c r="A200" s="2199"/>
      <c r="B200" s="2200"/>
      <c r="C200" s="2200"/>
      <c r="D200" s="2207"/>
      <c r="E200" s="3663" t="str">
        <f>E185</f>
        <v>Période employé (40 ans)</v>
      </c>
      <c r="F200" s="2208"/>
      <c r="G200" s="2209"/>
      <c r="H200" s="2200"/>
      <c r="I200" s="2200"/>
      <c r="J200" s="2200"/>
      <c r="K200" s="2200"/>
      <c r="L200" s="2200"/>
      <c r="M200" s="2200"/>
      <c r="N200" s="2200"/>
      <c r="O200" s="2200"/>
      <c r="P200" s="2200"/>
      <c r="Q200" s="2200"/>
      <c r="S200" s="2200"/>
      <c r="T200" s="2200"/>
      <c r="U200" s="2200"/>
      <c r="V200" s="2200"/>
      <c r="W200" s="2200"/>
      <c r="X200" s="2200"/>
      <c r="Y200" s="2200"/>
      <c r="Z200" s="2200"/>
      <c r="AA200" s="2200"/>
      <c r="AB200" s="2200"/>
      <c r="AC200" s="2200"/>
      <c r="AD200" s="2200"/>
      <c r="AE200" s="2200"/>
      <c r="AF200" s="2200"/>
      <c r="AG200" s="2200"/>
      <c r="AH200" s="2200"/>
      <c r="AI200" s="2200"/>
      <c r="AJ200" s="2200"/>
      <c r="AK200" s="2200"/>
      <c r="AL200" s="2200"/>
      <c r="AM200" s="2200"/>
      <c r="AN200" s="2200"/>
      <c r="AO200" s="2200"/>
      <c r="AP200" s="2200"/>
      <c r="AQ200" s="2200"/>
      <c r="AR200" s="2200"/>
      <c r="AS200" s="2200"/>
      <c r="AT200" s="2200"/>
      <c r="AU200" s="2200"/>
      <c r="AV200" s="2200"/>
      <c r="AW200" s="2200"/>
      <c r="AX200" s="2200"/>
      <c r="AY200" s="2200"/>
      <c r="AZ200" s="2200"/>
      <c r="BA200" s="2200"/>
      <c r="BB200" s="2200"/>
      <c r="BC200" s="2200"/>
      <c r="BD200" s="2200"/>
      <c r="BE200" s="2200"/>
      <c r="BF200" s="2200"/>
      <c r="BG200" s="2200"/>
      <c r="BH200" s="2200"/>
      <c r="BI200" s="2200"/>
    </row>
    <row r="201" spans="1:61" s="2204" customFormat="1">
      <c r="A201" s="2199"/>
      <c r="B201" s="2200"/>
      <c r="C201" s="2200"/>
      <c r="D201" s="2332"/>
      <c r="E201" s="3656" t="s">
        <v>642</v>
      </c>
      <c r="F201" s="2208" t="s">
        <v>300</v>
      </c>
      <c r="G201" s="2209" t="s">
        <v>35</v>
      </c>
      <c r="H201" s="2200">
        <f t="shared" ref="H201:AM201" si="176">H100/H189</f>
        <v>1.0468372894243718</v>
      </c>
      <c r="I201" s="2200">
        <f t="shared" si="176"/>
        <v>1.0468372894243718</v>
      </c>
      <c r="J201" s="2200">
        <f t="shared" si="176"/>
        <v>1.0056920876212032</v>
      </c>
      <c r="K201" s="2200">
        <f t="shared" si="176"/>
        <v>1.0001590152902617</v>
      </c>
      <c r="L201" s="2200">
        <f t="shared" si="176"/>
        <v>1.0004494737426126</v>
      </c>
      <c r="M201" s="2200">
        <f t="shared" si="176"/>
        <v>1.0004494737426126</v>
      </c>
      <c r="N201" s="2200">
        <f t="shared" si="176"/>
        <v>1.0003046093402159</v>
      </c>
      <c r="O201" s="2200">
        <f t="shared" si="176"/>
        <v>1.0003046093402159</v>
      </c>
      <c r="P201" s="2200">
        <f t="shared" si="176"/>
        <v>1.0003048025761661</v>
      </c>
      <c r="Q201" s="2200">
        <f t="shared" si="176"/>
        <v>1.0003048025761661</v>
      </c>
      <c r="R201" s="2204">
        <f t="shared" si="176"/>
        <v>1.0001275304803738</v>
      </c>
      <c r="S201" s="2200">
        <f t="shared" si="176"/>
        <v>1.0004171953405512</v>
      </c>
      <c r="T201" s="2200">
        <f t="shared" si="176"/>
        <v>1.0004171953405512</v>
      </c>
      <c r="U201" s="2200">
        <f t="shared" si="176"/>
        <v>1.0002196785438415</v>
      </c>
      <c r="V201" s="2200">
        <f t="shared" si="176"/>
        <v>1.000283733287159</v>
      </c>
      <c r="W201" s="2200">
        <f t="shared" si="176"/>
        <v>1.000283733287159</v>
      </c>
      <c r="X201" s="2200">
        <f t="shared" si="176"/>
        <v>1.0003849780308638</v>
      </c>
      <c r="Y201" s="2200">
        <f t="shared" si="176"/>
        <v>1.0004873616646026</v>
      </c>
      <c r="Z201" s="2200">
        <f t="shared" si="176"/>
        <v>1.000660462881914</v>
      </c>
      <c r="AA201" s="2200">
        <f t="shared" si="176"/>
        <v>1.000808189486436</v>
      </c>
      <c r="AB201" s="2200">
        <f t="shared" si="176"/>
        <v>1.0011038656080213</v>
      </c>
      <c r="AC201" s="2200">
        <f t="shared" si="176"/>
        <v>1.002617186041503</v>
      </c>
      <c r="AD201" s="2200">
        <f t="shared" si="176"/>
        <v>1.0063853580829523</v>
      </c>
      <c r="AE201" s="2200">
        <f t="shared" si="176"/>
        <v>1.0193061207234824</v>
      </c>
      <c r="AF201" s="2200">
        <f t="shared" si="176"/>
        <v>1.1111251349970004</v>
      </c>
      <c r="AG201" s="2200">
        <f t="shared" si="176"/>
        <v>1.0001885061504512</v>
      </c>
      <c r="AH201" s="2200">
        <f t="shared" si="176"/>
        <v>1.0002420567284072</v>
      </c>
      <c r="AI201" s="2200">
        <f t="shared" si="176"/>
        <v>1.0004328191337764</v>
      </c>
      <c r="AJ201" s="2200">
        <f t="shared" si="176"/>
        <v>1.0009840546127171</v>
      </c>
      <c r="AK201" s="2200">
        <f t="shared" si="176"/>
        <v>1.0023009350388385</v>
      </c>
      <c r="AL201" s="2200">
        <f t="shared" si="176"/>
        <v>1.0093496216985012</v>
      </c>
      <c r="AM201" s="2200">
        <f t="shared" si="176"/>
        <v>1.0316249493901983</v>
      </c>
      <c r="AN201" s="2200">
        <f t="shared" ref="AN201:BI201" si="177">AN100/AN189</f>
        <v>1.0121223852254373</v>
      </c>
      <c r="AO201" s="2200">
        <f t="shared" si="177"/>
        <v>1.0242334371384583</v>
      </c>
      <c r="AP201" s="2200">
        <f t="shared" si="177"/>
        <v>1.0178613367953844</v>
      </c>
      <c r="AQ201" s="2200">
        <f t="shared" si="177"/>
        <v>1.0292359017138566</v>
      </c>
      <c r="AR201" s="2200">
        <f t="shared" si="177"/>
        <v>1.0631147932388116</v>
      </c>
      <c r="AS201" s="2200">
        <f t="shared" si="177"/>
        <v>1.054780066517093</v>
      </c>
      <c r="AT201" s="2200">
        <f t="shared" si="177"/>
        <v>1.1573471141853358</v>
      </c>
      <c r="AU201" s="2200">
        <f t="shared" si="177"/>
        <v>1.1729588692114274</v>
      </c>
      <c r="AV201" s="2200">
        <f t="shared" si="177"/>
        <v>1.2582219648789423</v>
      </c>
      <c r="AW201" s="2200">
        <f t="shared" si="177"/>
        <v>1.3259406125353925</v>
      </c>
      <c r="AX201" s="2200">
        <f t="shared" si="177"/>
        <v>9.2199628056745855</v>
      </c>
      <c r="AY201" s="2200">
        <f t="shared" si="177"/>
        <v>9.2203800782214227</v>
      </c>
      <c r="AZ201" s="2200">
        <f t="shared" si="177"/>
        <v>12.358901928193038</v>
      </c>
      <c r="BA201" s="2200">
        <f t="shared" si="177"/>
        <v>18.263127387501203</v>
      </c>
      <c r="BB201" s="2200">
        <f t="shared" si="177"/>
        <v>2.7783213132050695</v>
      </c>
      <c r="BC201" s="2200" t="e">
        <f t="shared" si="177"/>
        <v>#DIV/0!</v>
      </c>
      <c r="BD201" s="2200">
        <f t="shared" si="177"/>
        <v>3.7853193033319572</v>
      </c>
      <c r="BE201" s="2200">
        <f t="shared" si="177"/>
        <v>1.1879378397355675</v>
      </c>
      <c r="BF201" s="2200">
        <f t="shared" si="177"/>
        <v>1.1879378397355675</v>
      </c>
      <c r="BG201" s="2200">
        <f t="shared" si="177"/>
        <v>1.0003019868301797</v>
      </c>
      <c r="BH201" s="2200">
        <f t="shared" si="177"/>
        <v>3.2707686049262126</v>
      </c>
      <c r="BI201" s="2200">
        <f t="shared" si="177"/>
        <v>1.1016644230724284</v>
      </c>
    </row>
    <row r="202" spans="1:61" s="2203" customFormat="1">
      <c r="A202" s="2239"/>
      <c r="D202" s="2207"/>
      <c r="E202" s="3656" t="s">
        <v>643</v>
      </c>
      <c r="F202" s="2201" t="s">
        <v>300</v>
      </c>
      <c r="G202" s="2202" t="s">
        <v>35</v>
      </c>
      <c r="H202" s="2203">
        <f t="shared" ref="H202:AM202" si="178">H101/H190</f>
        <v>1.0468372894243718</v>
      </c>
      <c r="I202" s="2203">
        <f t="shared" si="178"/>
        <v>1.0468372894243718</v>
      </c>
      <c r="J202" s="2203">
        <f t="shared" si="178"/>
        <v>1.0056920876212032</v>
      </c>
      <c r="K202" s="2203">
        <f t="shared" si="178"/>
        <v>1</v>
      </c>
      <c r="L202" s="2203">
        <f t="shared" si="178"/>
        <v>1</v>
      </c>
      <c r="M202" s="2203">
        <f t="shared" si="178"/>
        <v>1</v>
      </c>
      <c r="N202" s="2203">
        <f t="shared" si="178"/>
        <v>1</v>
      </c>
      <c r="O202" s="2203">
        <f t="shared" si="178"/>
        <v>1</v>
      </c>
      <c r="P202" s="2203">
        <f t="shared" si="178"/>
        <v>1</v>
      </c>
      <c r="Q202" s="2203">
        <f t="shared" si="178"/>
        <v>1</v>
      </c>
      <c r="R202" s="2203">
        <f t="shared" si="178"/>
        <v>1</v>
      </c>
      <c r="S202" s="2203">
        <f t="shared" si="178"/>
        <v>1</v>
      </c>
      <c r="T202" s="2203">
        <f t="shared" si="178"/>
        <v>1</v>
      </c>
      <c r="U202" s="2203">
        <f t="shared" si="178"/>
        <v>1</v>
      </c>
      <c r="V202" s="2203">
        <f t="shared" si="178"/>
        <v>1</v>
      </c>
      <c r="W202" s="2203">
        <f t="shared" si="178"/>
        <v>1</v>
      </c>
      <c r="X202" s="2203">
        <f t="shared" si="178"/>
        <v>1</v>
      </c>
      <c r="Y202" s="2203">
        <f t="shared" si="178"/>
        <v>1</v>
      </c>
      <c r="Z202" s="2203">
        <f t="shared" si="178"/>
        <v>1</v>
      </c>
      <c r="AA202" s="2203">
        <f t="shared" si="178"/>
        <v>1</v>
      </c>
      <c r="AB202" s="2203">
        <f t="shared" si="178"/>
        <v>1</v>
      </c>
      <c r="AC202" s="2203">
        <f t="shared" si="178"/>
        <v>1.002617186041503</v>
      </c>
      <c r="AD202" s="2203">
        <f t="shared" si="178"/>
        <v>1.0063853580829523</v>
      </c>
      <c r="AE202" s="2203">
        <f t="shared" si="178"/>
        <v>1.0193061207234824</v>
      </c>
      <c r="AF202" s="2203">
        <f t="shared" si="178"/>
        <v>1.1111251349970004</v>
      </c>
      <c r="AG202" s="2203">
        <f t="shared" si="178"/>
        <v>1</v>
      </c>
      <c r="AH202" s="2203">
        <f t="shared" si="178"/>
        <v>1</v>
      </c>
      <c r="AI202" s="2203">
        <f t="shared" si="178"/>
        <v>1</v>
      </c>
      <c r="AJ202" s="2203">
        <f t="shared" si="178"/>
        <v>1</v>
      </c>
      <c r="AK202" s="2203">
        <f t="shared" si="178"/>
        <v>1.0023009350388385</v>
      </c>
      <c r="AL202" s="2203">
        <f t="shared" si="178"/>
        <v>1.0093496216985012</v>
      </c>
      <c r="AM202" s="2203">
        <f t="shared" si="178"/>
        <v>1.0316249493901983</v>
      </c>
      <c r="AN202" s="2203">
        <f t="shared" ref="AN202:BI202" si="179">AN101/AN190</f>
        <v>1.0121223852254373</v>
      </c>
      <c r="AO202" s="2203">
        <f t="shared" si="179"/>
        <v>1.0242334371384583</v>
      </c>
      <c r="AP202" s="2203">
        <f t="shared" si="179"/>
        <v>1.0178613367953844</v>
      </c>
      <c r="AQ202" s="2203">
        <f t="shared" si="179"/>
        <v>1.0292359017138566</v>
      </c>
      <c r="AR202" s="2203">
        <f t="shared" si="179"/>
        <v>1.0631147932388116</v>
      </c>
      <c r="AS202" s="2203">
        <f t="shared" si="179"/>
        <v>1.054780066517093</v>
      </c>
      <c r="AT202" s="2203">
        <f t="shared" si="179"/>
        <v>1.1573471141853358</v>
      </c>
      <c r="AU202" s="2203">
        <f t="shared" si="179"/>
        <v>1.1729588692114274</v>
      </c>
      <c r="AV202" s="2203">
        <f t="shared" si="179"/>
        <v>1.2582219648789423</v>
      </c>
      <c r="AW202" s="2203">
        <f t="shared" si="179"/>
        <v>1.3259406125353925</v>
      </c>
      <c r="AX202" s="2203">
        <f t="shared" si="179"/>
        <v>9.2199628056745855</v>
      </c>
      <c r="AY202" s="2203">
        <f t="shared" si="179"/>
        <v>9.2203800782214227</v>
      </c>
      <c r="AZ202" s="2203">
        <f t="shared" si="179"/>
        <v>12.358901928193038</v>
      </c>
      <c r="BA202" s="2203">
        <f t="shared" si="179"/>
        <v>18.263127387501203</v>
      </c>
      <c r="BB202" s="2203">
        <f t="shared" si="179"/>
        <v>2.7783213132050695</v>
      </c>
      <c r="BC202" s="2203" t="e">
        <f t="shared" si="179"/>
        <v>#DIV/0!</v>
      </c>
      <c r="BD202" s="2203">
        <f t="shared" si="179"/>
        <v>3.7853193033319572</v>
      </c>
      <c r="BE202" s="2203">
        <f t="shared" si="179"/>
        <v>1.1879378397355675</v>
      </c>
      <c r="BF202" s="2203">
        <f t="shared" si="179"/>
        <v>1.1879378397355675</v>
      </c>
      <c r="BG202" s="2203">
        <f t="shared" si="179"/>
        <v>1</v>
      </c>
      <c r="BH202" s="2203">
        <f t="shared" si="179"/>
        <v>3.2707686049262126</v>
      </c>
      <c r="BI202" s="2203">
        <f t="shared" si="179"/>
        <v>1.1016644230724284</v>
      </c>
    </row>
    <row r="203" spans="1:61" s="2204" customFormat="1">
      <c r="A203" s="2199"/>
      <c r="B203" s="2200"/>
      <c r="C203" s="2200"/>
      <c r="D203" s="2207"/>
      <c r="E203" s="3665" t="str">
        <f>E173</f>
        <v>Période vie entière 0-70 ans (effets sans seuil)</v>
      </c>
      <c r="F203" s="2208"/>
      <c r="G203" s="2209"/>
      <c r="H203" s="2200"/>
      <c r="I203" s="2200"/>
      <c r="J203" s="2200"/>
      <c r="K203" s="2200"/>
      <c r="L203" s="2200"/>
      <c r="M203" s="2200"/>
      <c r="N203" s="2200"/>
      <c r="O203" s="2200"/>
      <c r="P203" s="2200"/>
      <c r="Q203" s="2200"/>
      <c r="S203" s="2200"/>
      <c r="T203" s="2200"/>
      <c r="U203" s="2200"/>
      <c r="V203" s="2200"/>
      <c r="W203" s="2200"/>
      <c r="X203" s="2200"/>
      <c r="Y203" s="2200"/>
      <c r="Z203" s="2200"/>
      <c r="AA203" s="2200"/>
      <c r="AB203" s="2200"/>
      <c r="AC203" s="2200"/>
      <c r="AD203" s="2200"/>
      <c r="AE203" s="2200"/>
      <c r="AF203" s="2200"/>
      <c r="AG203" s="2200"/>
      <c r="AH203" s="2200"/>
      <c r="AI203" s="2200"/>
      <c r="AJ203" s="2200"/>
      <c r="AK203" s="2200"/>
      <c r="AL203" s="2200"/>
      <c r="AM203" s="2200"/>
      <c r="AN203" s="2200"/>
      <c r="AO203" s="2200"/>
      <c r="AP203" s="2200"/>
      <c r="AQ203" s="2200"/>
      <c r="AR203" s="2200"/>
      <c r="AS203" s="2200"/>
      <c r="AT203" s="2200"/>
      <c r="AU203" s="2200"/>
      <c r="AV203" s="2200"/>
      <c r="AW203" s="2200"/>
      <c r="AX203" s="2200"/>
      <c r="AY203" s="2200"/>
      <c r="AZ203" s="2200"/>
      <c r="BA203" s="2200"/>
      <c r="BB203" s="2200"/>
      <c r="BC203" s="2200"/>
      <c r="BD203" s="2200"/>
      <c r="BE203" s="2200"/>
      <c r="BF203" s="2200"/>
      <c r="BG203" s="2200"/>
      <c r="BH203" s="2200"/>
      <c r="BI203" s="2200"/>
    </row>
    <row r="204" spans="1:61" s="2204" customFormat="1">
      <c r="A204" s="2199"/>
      <c r="B204" s="2200"/>
      <c r="C204" s="2200"/>
      <c r="D204" s="2332"/>
      <c r="E204" s="3656" t="s">
        <v>642</v>
      </c>
      <c r="F204" s="2208" t="s">
        <v>300</v>
      </c>
      <c r="G204" s="2209" t="s">
        <v>35</v>
      </c>
      <c r="H204" s="2200">
        <f t="shared" ref="H204:AM204" si="180">H109/H177</f>
        <v>1.0358145876540854</v>
      </c>
      <c r="I204" s="2200">
        <f t="shared" si="180"/>
        <v>1.0358145876540854</v>
      </c>
      <c r="J204" s="2200">
        <f t="shared" si="180"/>
        <v>1.0043101138678296</v>
      </c>
      <c r="K204" s="2200">
        <f t="shared" si="180"/>
        <v>1.0001202025598159</v>
      </c>
      <c r="L204" s="2200">
        <f t="shared" si="180"/>
        <v>1.0003397653367192</v>
      </c>
      <c r="M204" s="2200">
        <f t="shared" si="180"/>
        <v>1.0003397653367192</v>
      </c>
      <c r="N204" s="2200">
        <f t="shared" si="180"/>
        <v>1.0002302588613223</v>
      </c>
      <c r="O204" s="2200">
        <f t="shared" si="180"/>
        <v>1.0002302588613223</v>
      </c>
      <c r="P204" s="2200">
        <f t="shared" si="180"/>
        <v>1.0002304049477613</v>
      </c>
      <c r="Q204" s="2200">
        <f t="shared" si="180"/>
        <v>1.0002304049477613</v>
      </c>
      <c r="R204" s="2204">
        <f t="shared" si="180"/>
        <v>1.0000964028065888</v>
      </c>
      <c r="S204" s="2200">
        <f t="shared" si="180"/>
        <v>1.0003153651074617</v>
      </c>
      <c r="T204" s="2200">
        <f t="shared" si="180"/>
        <v>1.0003153651074617</v>
      </c>
      <c r="U204" s="2200">
        <f t="shared" si="180"/>
        <v>1.0001660585774705</v>
      </c>
      <c r="V204" s="2200">
        <f t="shared" si="180"/>
        <v>1.0002144783635956</v>
      </c>
      <c r="W204" s="2200">
        <f t="shared" si="180"/>
        <v>1.0002144783635956</v>
      </c>
      <c r="X204" s="2200">
        <f t="shared" si="180"/>
        <v>1.0002910111808732</v>
      </c>
      <c r="Y204" s="2200">
        <f t="shared" si="180"/>
        <v>1.0003684068032139</v>
      </c>
      <c r="Z204" s="2200">
        <f t="shared" si="180"/>
        <v>1.0004992674959781</v>
      </c>
      <c r="AA204" s="2200">
        <f t="shared" si="180"/>
        <v>1.0006109551515687</v>
      </c>
      <c r="AB204" s="2200">
        <f t="shared" si="180"/>
        <v>1.0008345414697879</v>
      </c>
      <c r="AC204" s="2200">
        <f t="shared" si="180"/>
        <v>1.0019805296190565</v>
      </c>
      <c r="AD204" s="2200">
        <f t="shared" si="180"/>
        <v>1.0048619607992795</v>
      </c>
      <c r="AE204" s="2200">
        <f t="shared" si="180"/>
        <v>1.0155340883389696</v>
      </c>
      <c r="AF204" s="2200">
        <f t="shared" si="180"/>
        <v>1.1107829690158086</v>
      </c>
      <c r="AG204" s="2200">
        <f t="shared" si="180"/>
        <v>1.0001424950301063</v>
      </c>
      <c r="AH204" s="2200">
        <f t="shared" si="180"/>
        <v>1.0001829745110316</v>
      </c>
      <c r="AI204" s="2200">
        <f t="shared" si="180"/>
        <v>1.0003271759696279</v>
      </c>
      <c r="AJ204" s="2200">
        <f t="shared" si="180"/>
        <v>1.0007439357348187</v>
      </c>
      <c r="AK204" s="2200">
        <f t="shared" si="180"/>
        <v>1.0017407694591525</v>
      </c>
      <c r="AL204" s="2200">
        <f t="shared" si="180"/>
        <v>1.0071907057597316</v>
      </c>
      <c r="AM204" s="2200">
        <f t="shared" si="180"/>
        <v>1.0309271534271327</v>
      </c>
      <c r="AN204" s="2200">
        <f t="shared" ref="AN204:BI204" si="181">AN109/AN177</f>
        <v>1.0092995851050666</v>
      </c>
      <c r="AO204" s="2200">
        <f t="shared" si="181"/>
        <v>1.0193798197254522</v>
      </c>
      <c r="AP204" s="2200">
        <f t="shared" si="181"/>
        <v>1.0140075644969677</v>
      </c>
      <c r="AQ204" s="2200">
        <f t="shared" si="181"/>
        <v>1.0239691729902176</v>
      </c>
      <c r="AR204" s="2200">
        <f t="shared" si="181"/>
        <v>1.0578526781839772</v>
      </c>
      <c r="AS204" s="2200">
        <f t="shared" si="181"/>
        <v>1.0494074437983305</v>
      </c>
      <c r="AT204" s="2200">
        <f t="shared" si="181"/>
        <v>1.1557956064362451</v>
      </c>
      <c r="AU204" s="2200">
        <f t="shared" si="181"/>
        <v>1.1713203049254457</v>
      </c>
      <c r="AV204" s="2200">
        <f t="shared" si="181"/>
        <v>1.2578681644917826</v>
      </c>
      <c r="AW204" s="2200">
        <f t="shared" si="181"/>
        <v>1.3255118885629238</v>
      </c>
      <c r="AX204" s="2200">
        <f t="shared" si="181"/>
        <v>9.2189655054983639</v>
      </c>
      <c r="AY204" s="2200">
        <f t="shared" si="181"/>
        <v>9.2196954618324245</v>
      </c>
      <c r="AZ204" s="2200">
        <f t="shared" si="181"/>
        <v>12.358088052818538</v>
      </c>
      <c r="BA204" s="2200">
        <f t="shared" si="181"/>
        <v>18.262851935267761</v>
      </c>
      <c r="BB204" s="2200">
        <f t="shared" si="181"/>
        <v>2.7782127512849595</v>
      </c>
      <c r="BC204" s="2200" t="e">
        <f t="shared" si="181"/>
        <v>#DIV/0!</v>
      </c>
      <c r="BD204" s="2200">
        <f t="shared" si="181"/>
        <v>3.3396842471445107</v>
      </c>
      <c r="BE204" s="2200">
        <f t="shared" si="181"/>
        <v>1.1877289312344215</v>
      </c>
      <c r="BF204" s="2200">
        <f t="shared" si="181"/>
        <v>1.1877289312344215</v>
      </c>
      <c r="BG204" s="2200">
        <f t="shared" si="181"/>
        <v>1.0002282764078552</v>
      </c>
      <c r="BH204" s="2200">
        <f t="shared" si="181"/>
        <v>2.9398633192032015</v>
      </c>
      <c r="BI204" s="2200">
        <f t="shared" si="181"/>
        <v>1.0772378375716043</v>
      </c>
    </row>
    <row r="205" spans="1:61" s="2203" customFormat="1">
      <c r="A205" s="2239"/>
      <c r="D205" s="2207"/>
      <c r="E205" s="3656" t="s">
        <v>643</v>
      </c>
      <c r="F205" s="2201" t="s">
        <v>300</v>
      </c>
      <c r="G205" s="2202" t="s">
        <v>35</v>
      </c>
      <c r="H205" s="2203">
        <f t="shared" ref="H205:AM205" si="182">H110/H178</f>
        <v>1.0358145876540854</v>
      </c>
      <c r="I205" s="2203">
        <f t="shared" si="182"/>
        <v>1.0358145876540854</v>
      </c>
      <c r="J205" s="2203">
        <f t="shared" si="182"/>
        <v>1.0043101138678296</v>
      </c>
      <c r="K205" s="2203">
        <f t="shared" si="182"/>
        <v>1</v>
      </c>
      <c r="L205" s="2203">
        <f t="shared" si="182"/>
        <v>1</v>
      </c>
      <c r="M205" s="2203">
        <f t="shared" si="182"/>
        <v>1</v>
      </c>
      <c r="N205" s="2203">
        <f t="shared" si="182"/>
        <v>1</v>
      </c>
      <c r="O205" s="2203">
        <f t="shared" si="182"/>
        <v>1</v>
      </c>
      <c r="P205" s="2203">
        <f t="shared" si="182"/>
        <v>1</v>
      </c>
      <c r="Q205" s="2203">
        <f t="shared" si="182"/>
        <v>1</v>
      </c>
      <c r="R205" s="2203">
        <f t="shared" si="182"/>
        <v>1</v>
      </c>
      <c r="S205" s="2203">
        <f t="shared" si="182"/>
        <v>1</v>
      </c>
      <c r="T205" s="2203">
        <f t="shared" si="182"/>
        <v>1</v>
      </c>
      <c r="U205" s="2203">
        <f t="shared" si="182"/>
        <v>1</v>
      </c>
      <c r="V205" s="2203">
        <f t="shared" si="182"/>
        <v>1</v>
      </c>
      <c r="W205" s="2203">
        <f t="shared" si="182"/>
        <v>1</v>
      </c>
      <c r="X205" s="2203">
        <f t="shared" si="182"/>
        <v>1</v>
      </c>
      <c r="Y205" s="2203">
        <f t="shared" si="182"/>
        <v>1</v>
      </c>
      <c r="Z205" s="2203">
        <f t="shared" si="182"/>
        <v>1</v>
      </c>
      <c r="AA205" s="2203">
        <f t="shared" si="182"/>
        <v>1</v>
      </c>
      <c r="AB205" s="2203">
        <f t="shared" si="182"/>
        <v>1</v>
      </c>
      <c r="AC205" s="2203">
        <f t="shared" si="182"/>
        <v>1</v>
      </c>
      <c r="AD205" s="2203">
        <f t="shared" si="182"/>
        <v>1.0048619607992795</v>
      </c>
      <c r="AE205" s="2203">
        <f t="shared" si="182"/>
        <v>1.0155340883389696</v>
      </c>
      <c r="AF205" s="2203">
        <f t="shared" si="182"/>
        <v>1.1107829690158086</v>
      </c>
      <c r="AG205" s="2203">
        <f t="shared" si="182"/>
        <v>1</v>
      </c>
      <c r="AH205" s="2203">
        <f t="shared" si="182"/>
        <v>1</v>
      </c>
      <c r="AI205" s="2203">
        <f t="shared" si="182"/>
        <v>1</v>
      </c>
      <c r="AJ205" s="2203">
        <f t="shared" si="182"/>
        <v>1</v>
      </c>
      <c r="AK205" s="2203">
        <f t="shared" si="182"/>
        <v>1</v>
      </c>
      <c r="AL205" s="2203">
        <f t="shared" si="182"/>
        <v>1.0071907057597316</v>
      </c>
      <c r="AM205" s="2203">
        <f t="shared" si="182"/>
        <v>1.0309271534271327</v>
      </c>
      <c r="AN205" s="2203">
        <f t="shared" ref="AN205:BI205" si="183">AN110/AN178</f>
        <v>1.0092995851050666</v>
      </c>
      <c r="AO205" s="2203">
        <f t="shared" si="183"/>
        <v>1.0193798197254522</v>
      </c>
      <c r="AP205" s="2203">
        <f t="shared" si="183"/>
        <v>1.0140075644969677</v>
      </c>
      <c r="AQ205" s="2203">
        <f t="shared" si="183"/>
        <v>1.0239691729902176</v>
      </c>
      <c r="AR205" s="2203">
        <f t="shared" si="183"/>
        <v>1.0578526781839772</v>
      </c>
      <c r="AS205" s="2203">
        <f t="shared" si="183"/>
        <v>1.0494074437983305</v>
      </c>
      <c r="AT205" s="2203">
        <f t="shared" si="183"/>
        <v>1.1557956064362451</v>
      </c>
      <c r="AU205" s="2203">
        <f t="shared" si="183"/>
        <v>1.1713203049254457</v>
      </c>
      <c r="AV205" s="2203">
        <f t="shared" si="183"/>
        <v>1.2578681644917826</v>
      </c>
      <c r="AW205" s="2203">
        <f t="shared" si="183"/>
        <v>1.3255118885629238</v>
      </c>
      <c r="AX205" s="2203">
        <f t="shared" si="183"/>
        <v>9.2189655054983639</v>
      </c>
      <c r="AY205" s="2203">
        <f t="shared" si="183"/>
        <v>9.2196954618324245</v>
      </c>
      <c r="AZ205" s="2203">
        <f t="shared" si="183"/>
        <v>12.358088052818538</v>
      </c>
      <c r="BA205" s="2203">
        <f t="shared" si="183"/>
        <v>18.262851935267761</v>
      </c>
      <c r="BB205" s="2203">
        <f t="shared" si="183"/>
        <v>2.7782127512849595</v>
      </c>
      <c r="BC205" s="2203" t="e">
        <f t="shared" si="183"/>
        <v>#DIV/0!</v>
      </c>
      <c r="BD205" s="2203">
        <f t="shared" si="183"/>
        <v>3.3396842471445107</v>
      </c>
      <c r="BE205" s="2203">
        <f t="shared" si="183"/>
        <v>1.1877289312344215</v>
      </c>
      <c r="BF205" s="2203">
        <f t="shared" si="183"/>
        <v>1.1877289312344215</v>
      </c>
      <c r="BG205" s="2203">
        <f t="shared" si="183"/>
        <v>1</v>
      </c>
      <c r="BH205" s="2203">
        <f t="shared" si="183"/>
        <v>2.9398633192032015</v>
      </c>
      <c r="BI205" s="2203">
        <f t="shared" si="183"/>
        <v>1.0772378375716043</v>
      </c>
    </row>
    <row r="206" spans="1:61" s="2177" customFormat="1" ht="13.5" thickBot="1">
      <c r="A206" s="2169"/>
      <c r="B206" s="2170"/>
      <c r="C206" s="2170"/>
      <c r="D206" s="2336"/>
      <c r="E206" s="3661"/>
      <c r="F206" s="2229"/>
      <c r="G206" s="2230"/>
      <c r="H206" s="2170"/>
      <c r="I206" s="2170"/>
      <c r="J206" s="2170"/>
      <c r="K206" s="2170"/>
      <c r="L206" s="2170"/>
      <c r="M206" s="2170"/>
      <c r="N206" s="2231"/>
      <c r="O206" s="2231"/>
      <c r="P206" s="2170"/>
      <c r="Q206" s="2170"/>
      <c r="R206" s="2232"/>
      <c r="S206" s="2231"/>
      <c r="T206" s="2231"/>
      <c r="U206" s="2170"/>
      <c r="V206" s="2170"/>
      <c r="W206" s="2231"/>
      <c r="X206" s="2231"/>
      <c r="Y206" s="2231"/>
      <c r="Z206" s="2231"/>
      <c r="AA206" s="2231"/>
      <c r="AB206" s="2231"/>
      <c r="AC206" s="2231"/>
      <c r="AD206" s="2231"/>
      <c r="AE206" s="2231"/>
      <c r="AF206" s="2231"/>
      <c r="AG206" s="2231"/>
      <c r="AH206" s="2231"/>
      <c r="AI206" s="2231"/>
      <c r="AJ206" s="2231"/>
      <c r="AK206" s="2231"/>
      <c r="AL206" s="2231"/>
      <c r="AM206" s="2231"/>
      <c r="AN206" s="2231"/>
      <c r="AO206" s="2231"/>
      <c r="AP206" s="2231"/>
      <c r="AQ206" s="2231"/>
      <c r="AR206" s="2231"/>
      <c r="AS206" s="2231"/>
      <c r="AT206" s="2231"/>
      <c r="AU206" s="2231"/>
      <c r="AV206" s="2231"/>
      <c r="AW206" s="2231"/>
      <c r="AX206" s="2231"/>
      <c r="AY206" s="2231"/>
      <c r="AZ206" s="2231"/>
      <c r="BA206" s="2231"/>
      <c r="BB206" s="2231"/>
      <c r="BC206" s="2231"/>
      <c r="BD206" s="2231"/>
      <c r="BE206" s="2231"/>
      <c r="BF206" s="2231"/>
      <c r="BG206" s="2231"/>
      <c r="BH206" s="2231"/>
      <c r="BI206" s="2231"/>
    </row>
    <row r="207" spans="1:61" ht="13.15" customHeight="1">
      <c r="A207" s="2149"/>
      <c r="B207" s="2150"/>
      <c r="C207" s="2151"/>
      <c r="D207" s="2240" t="str">
        <f>'Du K'!D113</f>
        <v>Bâti</v>
      </c>
      <c r="E207" s="4048" t="s">
        <v>1137</v>
      </c>
      <c r="F207" s="4049"/>
      <c r="G207" s="2154"/>
      <c r="H207" s="2155"/>
      <c r="I207" s="2155"/>
      <c r="J207" s="2155"/>
      <c r="K207" s="2155"/>
      <c r="L207" s="2155"/>
      <c r="M207" s="2155"/>
      <c r="N207" s="2155"/>
      <c r="O207" s="2155"/>
      <c r="P207" s="2192"/>
      <c r="Q207" s="2155"/>
      <c r="R207" s="2155"/>
      <c r="S207" s="2155"/>
      <c r="T207" s="2155"/>
      <c r="U207" s="2155"/>
      <c r="V207" s="2155"/>
      <c r="W207" s="2155"/>
      <c r="X207" s="2155"/>
      <c r="Y207" s="2155"/>
      <c r="Z207" s="2155"/>
      <c r="AA207" s="2155"/>
      <c r="AB207" s="2155"/>
      <c r="AC207" s="2155"/>
      <c r="AD207" s="2155"/>
      <c r="AE207" s="2155"/>
      <c r="AF207" s="2155"/>
      <c r="AG207" s="2155"/>
      <c r="AH207" s="2155"/>
      <c r="AI207" s="2155"/>
      <c r="AJ207" s="2155"/>
      <c r="AK207" s="2155"/>
      <c r="AL207" s="2155"/>
      <c r="AM207" s="2155"/>
      <c r="AN207" s="2155"/>
      <c r="AO207" s="2155"/>
      <c r="AP207" s="2155"/>
      <c r="AQ207" s="2155"/>
      <c r="AR207" s="2155"/>
      <c r="AS207" s="2155"/>
      <c r="AT207" s="2155"/>
      <c r="AU207" s="2155"/>
      <c r="AV207" s="2155"/>
      <c r="AW207" s="2155"/>
      <c r="AX207" s="2155"/>
      <c r="AY207" s="2155"/>
      <c r="AZ207" s="2155"/>
      <c r="BA207" s="2155"/>
      <c r="BB207" s="2155"/>
      <c r="BC207" s="2155"/>
      <c r="BD207" s="2155"/>
      <c r="BE207" s="2155"/>
      <c r="BF207" s="2155"/>
      <c r="BG207" s="2155"/>
      <c r="BH207" s="2155"/>
      <c r="BI207" s="2155"/>
    </row>
    <row r="208" spans="1:61" s="2177" customFormat="1" ht="13.15" customHeight="1" thickBot="1">
      <c r="A208" s="2318"/>
      <c r="B208" s="2348"/>
      <c r="C208" s="2320"/>
      <c r="D208" s="2240"/>
      <c r="E208" s="2349"/>
      <c r="F208" s="2349"/>
      <c r="G208" s="2350"/>
      <c r="H208" s="2322"/>
      <c r="I208" s="2322"/>
      <c r="J208" s="2322"/>
      <c r="K208" s="2322"/>
      <c r="L208" s="2322"/>
      <c r="M208" s="2322"/>
      <c r="N208" s="2322"/>
      <c r="O208" s="2322"/>
      <c r="P208" s="2322"/>
      <c r="Q208" s="2322"/>
      <c r="R208" s="2322"/>
      <c r="S208" s="2322"/>
      <c r="T208" s="2322"/>
      <c r="U208" s="2322"/>
      <c r="V208" s="2322"/>
      <c r="W208" s="2322"/>
      <c r="X208" s="2322"/>
      <c r="Y208" s="2322"/>
      <c r="Z208" s="2322"/>
      <c r="AA208" s="2322"/>
      <c r="AB208" s="2322"/>
      <c r="AC208" s="2322"/>
      <c r="AD208" s="2322"/>
      <c r="AE208" s="2322"/>
      <c r="AF208" s="2322"/>
      <c r="AG208" s="2322"/>
      <c r="AH208" s="2322"/>
      <c r="AI208" s="2322"/>
      <c r="AJ208" s="2322"/>
      <c r="AK208" s="2322"/>
      <c r="AL208" s="2322"/>
      <c r="AM208" s="2322"/>
      <c r="AN208" s="2322"/>
      <c r="AO208" s="2322"/>
      <c r="AP208" s="2322"/>
      <c r="AQ208" s="2322"/>
      <c r="AR208" s="2322"/>
      <c r="AS208" s="2322"/>
      <c r="AT208" s="2322"/>
      <c r="AU208" s="2322"/>
      <c r="AV208" s="2322"/>
      <c r="AW208" s="2322"/>
      <c r="AX208" s="2322"/>
      <c r="AY208" s="2322"/>
      <c r="AZ208" s="2322"/>
      <c r="BA208" s="2322"/>
      <c r="BB208" s="2322"/>
      <c r="BC208" s="2322"/>
      <c r="BD208" s="2322"/>
      <c r="BE208" s="2322"/>
      <c r="BF208" s="2322"/>
      <c r="BG208" s="2322"/>
      <c r="BH208" s="2322"/>
      <c r="BI208" s="2322"/>
    </row>
    <row r="209" spans="1:62" ht="13.15" customHeight="1">
      <c r="A209" s="2149"/>
      <c r="B209" s="2150"/>
      <c r="C209" s="2151"/>
      <c r="D209" s="2240"/>
      <c r="E209" s="3682" t="s">
        <v>1136</v>
      </c>
      <c r="F209" s="2346"/>
      <c r="G209" s="2154"/>
      <c r="H209" s="2155"/>
      <c r="I209" s="2155"/>
      <c r="J209" s="2155"/>
      <c r="K209" s="2155"/>
      <c r="L209" s="2155"/>
      <c r="M209" s="2155"/>
      <c r="N209" s="2155"/>
      <c r="O209" s="2155"/>
      <c r="P209" s="2155"/>
      <c r="Q209" s="2155"/>
      <c r="R209" s="2155"/>
      <c r="S209" s="2155"/>
      <c r="T209" s="2155"/>
      <c r="U209" s="2155"/>
      <c r="V209" s="2155"/>
      <c r="W209" s="2155"/>
      <c r="X209" s="2155"/>
      <c r="Y209" s="2155"/>
      <c r="Z209" s="2155"/>
      <c r="AA209" s="2155"/>
      <c r="AB209" s="2155"/>
      <c r="AC209" s="2155"/>
      <c r="AD209" s="2155"/>
      <c r="AE209" s="2155"/>
      <c r="AF209" s="2155"/>
      <c r="AG209" s="2155"/>
      <c r="AH209" s="2155"/>
      <c r="AI209" s="2155"/>
      <c r="AJ209" s="2155"/>
      <c r="AK209" s="2155"/>
      <c r="AL209" s="2155"/>
      <c r="AM209" s="2155"/>
      <c r="AN209" s="2155"/>
      <c r="AO209" s="2155"/>
      <c r="AP209" s="2155"/>
      <c r="AQ209" s="2155"/>
      <c r="AR209" s="2155"/>
      <c r="AS209" s="2155"/>
      <c r="AT209" s="2155"/>
      <c r="AU209" s="2155"/>
      <c r="AV209" s="2155"/>
      <c r="AW209" s="2155"/>
      <c r="AX209" s="2155"/>
      <c r="AY209" s="2155"/>
      <c r="AZ209" s="2155"/>
      <c r="BA209" s="2155"/>
      <c r="BB209" s="2155"/>
      <c r="BC209" s="2155"/>
      <c r="BD209" s="2155"/>
      <c r="BE209" s="2155"/>
      <c r="BF209" s="2155"/>
      <c r="BG209" s="2155"/>
      <c r="BH209" s="2155"/>
      <c r="BI209" s="2155"/>
    </row>
    <row r="210" spans="1:62" ht="13.15" customHeight="1">
      <c r="A210" s="2149"/>
      <c r="B210" s="2150"/>
      <c r="C210" s="2151"/>
      <c r="D210" s="2240"/>
      <c r="E210" s="3683"/>
      <c r="F210" s="2346"/>
      <c r="G210" s="2154"/>
      <c r="H210" s="2155"/>
      <c r="I210" s="2155"/>
      <c r="J210" s="2155"/>
      <c r="K210" s="2155"/>
      <c r="L210" s="2155"/>
      <c r="M210" s="2155"/>
      <c r="N210" s="2155"/>
      <c r="O210" s="2155"/>
      <c r="P210" s="2155"/>
      <c r="Q210" s="2155"/>
      <c r="R210" s="2155"/>
      <c r="S210" s="2155"/>
      <c r="T210" s="2155"/>
      <c r="U210" s="2155"/>
      <c r="V210" s="2155"/>
      <c r="W210" s="2155"/>
      <c r="X210" s="2155"/>
      <c r="Y210" s="2155"/>
      <c r="Z210" s="2155"/>
      <c r="AA210" s="2155"/>
      <c r="AB210" s="2155"/>
      <c r="AC210" s="2155"/>
      <c r="AD210" s="2155"/>
      <c r="AE210" s="2155"/>
      <c r="AF210" s="2155"/>
      <c r="AG210" s="2155"/>
      <c r="AH210" s="2155"/>
      <c r="AI210" s="2155"/>
      <c r="AJ210" s="2155"/>
      <c r="AK210" s="2155"/>
      <c r="AL210" s="2155"/>
      <c r="AM210" s="2155"/>
      <c r="AN210" s="2155"/>
      <c r="AO210" s="2155"/>
      <c r="AP210" s="2155"/>
      <c r="AQ210" s="2155"/>
      <c r="AR210" s="2155"/>
      <c r="AS210" s="2155"/>
      <c r="AT210" s="2155"/>
      <c r="AU210" s="2155"/>
      <c r="AV210" s="2155"/>
      <c r="AW210" s="2155"/>
      <c r="AX210" s="2155"/>
      <c r="AY210" s="2155"/>
      <c r="AZ210" s="2155"/>
      <c r="BA210" s="2155"/>
      <c r="BB210" s="2155"/>
      <c r="BC210" s="2155"/>
      <c r="BD210" s="2155"/>
      <c r="BE210" s="2155"/>
      <c r="BF210" s="2155"/>
      <c r="BG210" s="2155"/>
      <c r="BH210" s="2155"/>
      <c r="BI210" s="2155"/>
    </row>
    <row r="211" spans="1:62" s="2263" customFormat="1" ht="25.5">
      <c r="A211" s="2256"/>
      <c r="B211" s="2257"/>
      <c r="C211" s="2258"/>
      <c r="D211" s="2259"/>
      <c r="E211" s="2260" t="s">
        <v>1263</v>
      </c>
      <c r="F211" s="2260" t="s">
        <v>1111</v>
      </c>
      <c r="G211" s="2261" t="s">
        <v>135</v>
      </c>
      <c r="H211" s="2262">
        <v>4</v>
      </c>
      <c r="I211" s="2262">
        <v>4</v>
      </c>
      <c r="J211" s="2262">
        <v>4</v>
      </c>
      <c r="K211" s="2262">
        <v>4</v>
      </c>
      <c r="L211" s="2262">
        <v>4</v>
      </c>
      <c r="M211" s="2262">
        <v>4</v>
      </c>
      <c r="N211" s="2262">
        <v>4</v>
      </c>
      <c r="O211" s="2262">
        <v>4</v>
      </c>
      <c r="P211" s="2262">
        <v>4</v>
      </c>
      <c r="Q211" s="2262">
        <v>4</v>
      </c>
      <c r="R211" s="2262">
        <v>4</v>
      </c>
      <c r="S211" s="2262">
        <v>4</v>
      </c>
      <c r="T211" s="2262">
        <v>4</v>
      </c>
      <c r="U211" s="2262">
        <v>4</v>
      </c>
      <c r="V211" s="2262">
        <v>4</v>
      </c>
      <c r="W211" s="2262">
        <v>4</v>
      </c>
      <c r="X211" s="2262">
        <v>4</v>
      </c>
      <c r="Y211" s="2262">
        <v>4</v>
      </c>
      <c r="Z211" s="2262">
        <v>4</v>
      </c>
      <c r="AA211" s="2262">
        <v>4</v>
      </c>
      <c r="AB211" s="2262">
        <v>4</v>
      </c>
      <c r="AC211" s="2262">
        <v>4</v>
      </c>
      <c r="AD211" s="2262">
        <v>4</v>
      </c>
      <c r="AE211" s="2262">
        <v>4</v>
      </c>
      <c r="AF211" s="2262">
        <v>4</v>
      </c>
      <c r="AG211" s="2262">
        <v>4</v>
      </c>
      <c r="AH211" s="2262">
        <v>4</v>
      </c>
      <c r="AI211" s="2262">
        <v>4</v>
      </c>
      <c r="AJ211" s="2262">
        <v>4</v>
      </c>
      <c r="AK211" s="2262">
        <v>4</v>
      </c>
      <c r="AL211" s="2262">
        <v>4</v>
      </c>
      <c r="AM211" s="2262">
        <v>4</v>
      </c>
      <c r="AN211" s="2262">
        <v>4</v>
      </c>
      <c r="AO211" s="2262">
        <v>4</v>
      </c>
      <c r="AP211" s="2262">
        <v>4</v>
      </c>
      <c r="AQ211" s="2262">
        <v>4</v>
      </c>
      <c r="AR211" s="2262">
        <v>4</v>
      </c>
      <c r="AS211" s="2262">
        <v>4</v>
      </c>
      <c r="AT211" s="2262">
        <v>4</v>
      </c>
      <c r="AU211" s="2262">
        <v>4</v>
      </c>
      <c r="AV211" s="2262">
        <v>4</v>
      </c>
      <c r="AW211" s="2262">
        <v>4</v>
      </c>
      <c r="AX211" s="2262">
        <v>4</v>
      </c>
      <c r="AY211" s="2262">
        <v>4</v>
      </c>
      <c r="AZ211" s="2262">
        <v>4</v>
      </c>
      <c r="BA211" s="2262">
        <v>4</v>
      </c>
      <c r="BB211" s="2262">
        <v>4</v>
      </c>
      <c r="BC211" s="2262">
        <v>4</v>
      </c>
      <c r="BD211" s="2262">
        <v>4</v>
      </c>
      <c r="BE211" s="2262">
        <v>4</v>
      </c>
      <c r="BF211" s="2262">
        <v>4</v>
      </c>
      <c r="BG211" s="2262">
        <v>4</v>
      </c>
      <c r="BH211" s="2262">
        <v>4</v>
      </c>
      <c r="BI211" s="2262">
        <v>4</v>
      </c>
    </row>
    <row r="212" spans="1:62" s="2244" customFormat="1" ht="13.15" customHeight="1">
      <c r="A212" s="2241"/>
      <c r="B212" s="276"/>
      <c r="C212" s="2242"/>
      <c r="D212" s="2243"/>
      <c r="E212" s="3655" t="str">
        <f>'Du K'!E$136</f>
        <v xml:space="preserve">Résistance totale du sol à la diffusion </v>
      </c>
      <c r="F212" s="2153" t="str">
        <f>'Du K'!F$136</f>
        <v>L/Dueq</v>
      </c>
      <c r="G212" s="526" t="str">
        <f>'Du K'!G$136</f>
        <v>(mg/l)/(mg/m2/s)</v>
      </c>
      <c r="H212" s="2161">
        <f>'Du K'!H136</f>
        <v>5639.5017709735521</v>
      </c>
      <c r="I212" s="2161">
        <f>'Du K'!I136</f>
        <v>5639.5017709735521</v>
      </c>
      <c r="J212" s="2161">
        <f>'Du K'!J136</f>
        <v>5486.5687089166595</v>
      </c>
      <c r="K212" s="2161">
        <f>'Du K'!K136</f>
        <v>2727.6149245104189</v>
      </c>
      <c r="L212" s="2161">
        <f>'Du K'!L136</f>
        <v>3928.3584510612009</v>
      </c>
      <c r="M212" s="2161">
        <f>'Du K'!M136</f>
        <v>3928.3584510612009</v>
      </c>
      <c r="N212" s="2161">
        <f>'Du K'!N136</f>
        <v>3659.8377468114472</v>
      </c>
      <c r="O212" s="2161">
        <f>'Du K'!O136</f>
        <v>3659.8377468114472</v>
      </c>
      <c r="P212" s="2161">
        <f>'Du K'!P136</f>
        <v>4015.6553055292275</v>
      </c>
      <c r="Q212" s="2161">
        <f>'Du K'!Q136</f>
        <v>4015.6553055292275</v>
      </c>
      <c r="R212" s="2161">
        <f>'Du K'!R136</f>
        <v>283.45802156676899</v>
      </c>
      <c r="S212" s="2161">
        <f>'Du K'!S136</f>
        <v>2780.0690576740808</v>
      </c>
      <c r="T212" s="2161">
        <f>'Du K'!T136</f>
        <v>2780.0690576740808</v>
      </c>
      <c r="U212" s="2161">
        <f>'Du K'!U136</f>
        <v>3706.7587435654405</v>
      </c>
      <c r="V212" s="2161">
        <f>'Du K'!V136</f>
        <v>10151.407532154493</v>
      </c>
      <c r="W212" s="2161">
        <f>'Du K'!W136</f>
        <v>10151.407532154493</v>
      </c>
      <c r="X212" s="2161">
        <f>'Du K'!X136</f>
        <v>3528.3317125192393</v>
      </c>
      <c r="Y212" s="2161">
        <f>'Du K'!Y136</f>
        <v>3927.7654912950029</v>
      </c>
      <c r="Z212" s="2161">
        <f>'Du K'!Z136</f>
        <v>4283.3656592311763</v>
      </c>
      <c r="AA212" s="2161">
        <f>'Du K'!AA136</f>
        <v>4283.3656592311763</v>
      </c>
      <c r="AB212" s="2161">
        <f>'Du K'!AB136</f>
        <v>9130.3320630980324</v>
      </c>
      <c r="AC212" s="2161">
        <f>'Du K'!AC136</f>
        <v>9891.1930683562023</v>
      </c>
      <c r="AD212" s="2161">
        <f>'Du K'!AD136</f>
        <v>11412.915078872538</v>
      </c>
      <c r="AE212" s="2161">
        <f>'Du K'!AE136</f>
        <v>14456.359099905218</v>
      </c>
      <c r="AF212" s="2161">
        <f>'Du K'!AF136</f>
        <v>18260.664126196065</v>
      </c>
      <c r="AG212" s="2161">
        <f>'Du K'!AG136</f>
        <v>6162.9741425911716</v>
      </c>
      <c r="AH212" s="2161">
        <f>'Du K'!AH136</f>
        <v>7608.6100525816937</v>
      </c>
      <c r="AI212" s="2161">
        <f>'Du K'!AI136</f>
        <v>9891.1930683562023</v>
      </c>
      <c r="AJ212" s="2161">
        <f>'Du K'!AJ136</f>
        <v>12173.77608413071</v>
      </c>
      <c r="AK212" s="2161">
        <f>'Du K'!AK136</f>
        <v>15217.220105163387</v>
      </c>
      <c r="AL212" s="2161">
        <f>'Du K'!AL136</f>
        <v>20543.247141970573</v>
      </c>
      <c r="AM212" s="2161">
        <f>'Du K'!AM136</f>
        <v>24347.55216826142</v>
      </c>
      <c r="AN212" s="2161">
        <f>'Du K'!AN136</f>
        <v>9753.4772264044732</v>
      </c>
      <c r="AO212" s="2161">
        <f>'Du K'!AO136</f>
        <v>11580.304500029337</v>
      </c>
      <c r="AP212" s="2161">
        <f>'Du K'!AP136</f>
        <v>11733.237562086229</v>
      </c>
      <c r="AQ212" s="2161">
        <f>'Du K'!AQ136</f>
        <v>12645.509907390773</v>
      </c>
      <c r="AR212" s="2161">
        <f>'Du K'!AR136</f>
        <v>13558.543113700578</v>
      </c>
      <c r="AS212" s="2161">
        <f>'Du K'!AS136</f>
        <v>13558.543113700578</v>
      </c>
      <c r="AT212" s="2161">
        <f>'Du K'!AT136</f>
        <v>15392.218136372767</v>
      </c>
      <c r="AU212" s="2161">
        <f>'Du K'!AU136</f>
        <v>15392.218136372767</v>
      </c>
      <c r="AV212" s="2161">
        <f>'Du K'!AV136</f>
        <v>17370.456750044006</v>
      </c>
      <c r="AW212" s="2161">
        <f>'Du K'!AW136</f>
        <v>17370.456750044006</v>
      </c>
      <c r="AX212" s="2161">
        <f>'Du K'!AX136</f>
        <v>19198.044884674131</v>
      </c>
      <c r="AY212" s="2161">
        <f>'Du K'!AY136</f>
        <v>19198.044884674131</v>
      </c>
      <c r="AZ212" s="2161">
        <f>'Du K'!AZ136</f>
        <v>19196.523162663612</v>
      </c>
      <c r="BA212" s="2161">
        <f>'Du K'!BA136</f>
        <v>21182.370386387433</v>
      </c>
      <c r="BB212" s="2161">
        <f>'Du K'!BB136</f>
        <v>20418.465937108231</v>
      </c>
      <c r="BC212" s="2161">
        <f>'Du K'!BC136</f>
        <v>21022.589575283218</v>
      </c>
      <c r="BD212" s="2161">
        <f>'Du K'!BD136</f>
        <v>3525.9412438793211</v>
      </c>
      <c r="BE212" s="2161">
        <f>'Du K'!BE136</f>
        <v>19592.17088539786</v>
      </c>
      <c r="BF212" s="2161">
        <f>'Du K'!BF136</f>
        <v>19592.17088539786</v>
      </c>
      <c r="BG212" s="2161">
        <f>'Du K'!BG136</f>
        <v>9417.8235178535615</v>
      </c>
      <c r="BH212" s="2161">
        <f>'Du K'!BH136</f>
        <v>5354.2070740389699</v>
      </c>
      <c r="BI212" s="2161">
        <f>'Du K'!BI136</f>
        <v>1720.9951309410976</v>
      </c>
    </row>
    <row r="213" spans="1:62" s="2244" customFormat="1" ht="25.5">
      <c r="A213" s="2241"/>
      <c r="B213" s="276"/>
      <c r="C213" s="2242"/>
      <c r="D213" s="2245" t="s">
        <v>1018</v>
      </c>
      <c r="E213" s="3655" t="s">
        <v>502</v>
      </c>
      <c r="F213" s="2153" t="s">
        <v>140</v>
      </c>
      <c r="G213" s="526" t="s">
        <v>139</v>
      </c>
      <c r="H213" s="2161">
        <f t="shared" ref="H213:AL213" si="184">1/H212</f>
        <v>1.7732062877380198E-4</v>
      </c>
      <c r="I213" s="2161">
        <f t="shared" si="184"/>
        <v>1.7732062877380198E-4</v>
      </c>
      <c r="J213" s="2161">
        <f>1/J212</f>
        <v>1.8226327839015674E-4</v>
      </c>
      <c r="K213" s="2161">
        <f t="shared" si="184"/>
        <v>3.6662066592097511E-4</v>
      </c>
      <c r="L213" s="2161">
        <f t="shared" si="184"/>
        <v>2.5455925482814878E-4</v>
      </c>
      <c r="M213" s="2161">
        <f t="shared" si="184"/>
        <v>2.5455925482814878E-4</v>
      </c>
      <c r="N213" s="2161">
        <f>1/N212</f>
        <v>2.732361566769532E-4</v>
      </c>
      <c r="O213" s="2161">
        <f>1/O212</f>
        <v>2.732361566769532E-4</v>
      </c>
      <c r="P213" s="2161">
        <f t="shared" si="184"/>
        <v>2.4902535798405857E-4</v>
      </c>
      <c r="Q213" s="2161">
        <f t="shared" si="184"/>
        <v>2.4902535798405857E-4</v>
      </c>
      <c r="R213" s="2161">
        <f>1/R212</f>
        <v>3.5278592381074968E-3</v>
      </c>
      <c r="S213" s="2161">
        <f>1/S212</f>
        <v>3.5970329486586237E-4</v>
      </c>
      <c r="T213" s="2161">
        <f>1/T212</f>
        <v>3.5970329486586237E-4</v>
      </c>
      <c r="U213" s="2161">
        <f t="shared" si="184"/>
        <v>2.697774711493968E-4</v>
      </c>
      <c r="V213" s="2161">
        <f t="shared" si="184"/>
        <v>9.8508507005802778E-5</v>
      </c>
      <c r="W213" s="2161">
        <f t="shared" si="184"/>
        <v>9.8508507005802778E-5</v>
      </c>
      <c r="X213" s="2161">
        <f t="shared" si="184"/>
        <v>2.8342006406364696E-4</v>
      </c>
      <c r="Y213" s="2161">
        <f t="shared" si="184"/>
        <v>2.5459768466734383E-4</v>
      </c>
      <c r="Z213" s="2161">
        <f t="shared" si="184"/>
        <v>2.3346127311005491E-4</v>
      </c>
      <c r="AA213" s="2161">
        <f t="shared" si="184"/>
        <v>2.3346127311005491E-4</v>
      </c>
      <c r="AB213" s="2161">
        <f t="shared" si="184"/>
        <v>1.095250417059517E-4</v>
      </c>
      <c r="AC213" s="2161">
        <f t="shared" si="184"/>
        <v>1.0110003849780156E-4</v>
      </c>
      <c r="AD213" s="2161">
        <f t="shared" si="184"/>
        <v>8.7620033364761371E-5</v>
      </c>
      <c r="AE213" s="2161">
        <f t="shared" si="184"/>
        <v>6.9173710551127387E-5</v>
      </c>
      <c r="AF213" s="2161">
        <f t="shared" si="184"/>
        <v>5.476252085297585E-5</v>
      </c>
      <c r="AG213" s="2161">
        <f t="shared" si="184"/>
        <v>1.6225932104585436E-4</v>
      </c>
      <c r="AH213" s="2161">
        <f t="shared" si="184"/>
        <v>1.3143005004714203E-4</v>
      </c>
      <c r="AI213" s="2161">
        <f t="shared" si="184"/>
        <v>1.0110003849780156E-4</v>
      </c>
      <c r="AJ213" s="2161">
        <f t="shared" si="184"/>
        <v>8.2143781279463775E-5</v>
      </c>
      <c r="AK213" s="2161">
        <f t="shared" si="184"/>
        <v>6.5715025023571015E-5</v>
      </c>
      <c r="AL213" s="2161">
        <f t="shared" si="184"/>
        <v>4.867779631375631E-5</v>
      </c>
      <c r="AM213" s="2161">
        <f t="shared" ref="AM213:BC213" si="185">1/AM212</f>
        <v>4.1071890639731887E-5</v>
      </c>
      <c r="AN213" s="2161">
        <f t="shared" si="185"/>
        <v>1.0252753728617055E-4</v>
      </c>
      <c r="AO213" s="2161">
        <f t="shared" si="185"/>
        <v>8.6353515142668883E-5</v>
      </c>
      <c r="AP213" s="2161">
        <f t="shared" si="185"/>
        <v>8.522796838541083E-5</v>
      </c>
      <c r="AQ213" s="2161">
        <f t="shared" si="185"/>
        <v>7.9079452495271998E-5</v>
      </c>
      <c r="AR213" s="2161">
        <f t="shared" si="185"/>
        <v>7.3754236839024709E-5</v>
      </c>
      <c r="AS213" s="2161">
        <f t="shared" si="185"/>
        <v>7.3754236839024709E-5</v>
      </c>
      <c r="AT213" s="2161">
        <f t="shared" si="185"/>
        <v>6.496789423981317E-5</v>
      </c>
      <c r="AU213" s="2161">
        <f t="shared" si="185"/>
        <v>6.496789423981317E-5</v>
      </c>
      <c r="AV213" s="2161">
        <f t="shared" si="185"/>
        <v>5.7569010095112589E-5</v>
      </c>
      <c r="AW213" s="2161">
        <f t="shared" si="185"/>
        <v>5.7569010095112589E-5</v>
      </c>
      <c r="AX213" s="2161">
        <f t="shared" si="185"/>
        <v>5.208863746319833E-5</v>
      </c>
      <c r="AY213" s="2161">
        <f t="shared" si="185"/>
        <v>5.208863746319833E-5</v>
      </c>
      <c r="AZ213" s="2161">
        <f t="shared" si="185"/>
        <v>5.2092766566445515E-5</v>
      </c>
      <c r="BA213" s="2161">
        <f t="shared" si="185"/>
        <v>4.7209069700841258E-5</v>
      </c>
      <c r="BB213" s="2161">
        <f t="shared" si="185"/>
        <v>4.8975275766560613E-5</v>
      </c>
      <c r="BC213" s="2161">
        <f t="shared" si="185"/>
        <v>4.7567879133963822E-5</v>
      </c>
      <c r="BD213" s="2161">
        <f t="shared" ref="BD213:BI213" si="186">1/BD212</f>
        <v>2.8361221325962234E-4</v>
      </c>
      <c r="BE213" s="2161">
        <f t="shared" si="186"/>
        <v>5.1040796134812446E-5</v>
      </c>
      <c r="BF213" s="2161">
        <f t="shared" si="186"/>
        <v>5.1040796134812446E-5</v>
      </c>
      <c r="BG213" s="2161">
        <f t="shared" si="186"/>
        <v>1.0618164569598055E-4</v>
      </c>
      <c r="BH213" s="2161">
        <f t="shared" si="186"/>
        <v>1.8676901848804393E-4</v>
      </c>
      <c r="BI213" s="2161">
        <f t="shared" si="186"/>
        <v>5.8105916862946996E-4</v>
      </c>
    </row>
    <row r="214" spans="1:62" s="2064" customFormat="1" ht="25.5">
      <c r="D214" s="2347" t="str">
        <f>'Du K'!E122</f>
        <v>Sable limoneux</v>
      </c>
      <c r="E214" s="3684" t="s">
        <v>1040</v>
      </c>
      <c r="F214" s="2299" t="s">
        <v>1131</v>
      </c>
      <c r="G214" s="3685" t="s">
        <v>73</v>
      </c>
      <c r="H214" s="2247">
        <f t="shared" ref="H214:AM214" si="187">H$12/H$19*H213</f>
        <v>6.8749486759935377E-2</v>
      </c>
      <c r="I214" s="2247">
        <f t="shared" si="187"/>
        <v>6.8749486759935377E-2</v>
      </c>
      <c r="J214" s="2247">
        <f t="shared" si="187"/>
        <v>0.46390037541760965</v>
      </c>
      <c r="K214" s="2247">
        <f t="shared" si="187"/>
        <v>29.700698297436752</v>
      </c>
      <c r="L214" s="2247">
        <f t="shared" si="187"/>
        <v>3.8556834668556279</v>
      </c>
      <c r="M214" s="2247">
        <f t="shared" si="187"/>
        <v>3.8556834668556279</v>
      </c>
      <c r="N214" s="2247">
        <f t="shared" si="187"/>
        <v>8.162558968062271</v>
      </c>
      <c r="O214" s="2247">
        <f t="shared" si="187"/>
        <v>8.162558968062271</v>
      </c>
      <c r="P214" s="2247">
        <f t="shared" si="187"/>
        <v>8.1217831670425742</v>
      </c>
      <c r="Q214" s="2247">
        <f t="shared" si="187"/>
        <v>8.1217831670425742</v>
      </c>
      <c r="R214" s="2247">
        <f t="shared" si="187"/>
        <v>46.250398125910159</v>
      </c>
      <c r="S214" s="2247">
        <f t="shared" si="187"/>
        <v>4.4241807685658934</v>
      </c>
      <c r="T214" s="2247">
        <f t="shared" si="187"/>
        <v>4.4241807685658934</v>
      </c>
      <c r="U214" s="2247">
        <f t="shared" si="187"/>
        <v>15.621637293243753</v>
      </c>
      <c r="V214" s="2247">
        <f t="shared" si="187"/>
        <v>9.336640795864211</v>
      </c>
      <c r="W214" s="2247">
        <f t="shared" si="187"/>
        <v>9.336640795864211</v>
      </c>
      <c r="X214" s="2247">
        <f t="shared" si="187"/>
        <v>5.15335491616477</v>
      </c>
      <c r="Y214" s="2247">
        <f t="shared" si="187"/>
        <v>3.2083672252797437</v>
      </c>
      <c r="Z214" s="2247">
        <f t="shared" si="187"/>
        <v>1.7423099778856468</v>
      </c>
      <c r="AA214" s="2247">
        <f t="shared" si="187"/>
        <v>8.1819186430938853</v>
      </c>
      <c r="AB214" s="2247">
        <f t="shared" si="187"/>
        <v>0.62016479548454517</v>
      </c>
      <c r="AC214" s="2247">
        <f t="shared" si="187"/>
        <v>0.11170664251788653</v>
      </c>
      <c r="AD214" s="2247">
        <f t="shared" si="187"/>
        <v>1.8949415606405794E-2</v>
      </c>
      <c r="AE214" s="2247">
        <f t="shared" si="187"/>
        <v>1.8654051127586458E-3</v>
      </c>
      <c r="AF214" s="2247">
        <f t="shared" si="187"/>
        <v>6.1208756211441444E-6</v>
      </c>
      <c r="AG214" s="2247">
        <f t="shared" si="187"/>
        <v>21.130137008325065</v>
      </c>
      <c r="AH214" s="2247">
        <f t="shared" si="187"/>
        <v>12.814984667862385</v>
      </c>
      <c r="AI214" s="2247">
        <f t="shared" si="187"/>
        <v>4.0082755154567868</v>
      </c>
      <c r="AJ214" s="2247">
        <f t="shared" si="187"/>
        <v>0.77524080002644769</v>
      </c>
      <c r="AK214" s="2247">
        <f t="shared" si="187"/>
        <v>0.14138560650137716</v>
      </c>
      <c r="AL214" s="2247">
        <f t="shared" si="187"/>
        <v>7.9394932148588657E-3</v>
      </c>
      <c r="AM214" s="2247">
        <f t="shared" si="187"/>
        <v>4.6372118051889427E-5</v>
      </c>
      <c r="AN214" s="2247">
        <f t="shared" ref="AN214:BI214" si="188">AN$12/AN$19*AN213</f>
        <v>6.4497056418008764E-2</v>
      </c>
      <c r="AO214" s="2247">
        <f t="shared" si="188"/>
        <v>2.1194860358130022E-3</v>
      </c>
      <c r="AP214" s="2247">
        <f t="shared" si="188"/>
        <v>3.4995787903578891E-3</v>
      </c>
      <c r="AQ214" s="2247">
        <f t="shared" si="188"/>
        <v>1.3148002356630764E-3</v>
      </c>
      <c r="AR214" s="2247">
        <f t="shared" si="188"/>
        <v>2.4551833256797345E-4</v>
      </c>
      <c r="AS214" s="2247">
        <f t="shared" si="188"/>
        <v>3.1711634456740617E-4</v>
      </c>
      <c r="AT214" s="2247">
        <f t="shared" si="188"/>
        <v>2.0390438478587708E-5</v>
      </c>
      <c r="AU214" s="2247">
        <f t="shared" si="188"/>
        <v>1.9615833593140415E-5</v>
      </c>
      <c r="AV214" s="2247">
        <f t="shared" si="188"/>
        <v>2.7730156982701145E-6</v>
      </c>
      <c r="AW214" s="2247">
        <f t="shared" si="188"/>
        <v>2.6720297484189191E-6</v>
      </c>
      <c r="AX214" s="2247">
        <f t="shared" si="188"/>
        <v>8.5097277152918891E-8</v>
      </c>
      <c r="AY214" s="2247">
        <f t="shared" si="188"/>
        <v>5.8401928978862845E-8</v>
      </c>
      <c r="AZ214" s="2247">
        <f t="shared" si="188"/>
        <v>3.9002868455736859E-8</v>
      </c>
      <c r="BA214" s="2247">
        <f t="shared" si="188"/>
        <v>6.1046756084612246E-9</v>
      </c>
      <c r="BB214" s="2247">
        <f t="shared" si="188"/>
        <v>1.0027399524006756E-7</v>
      </c>
      <c r="BC214" s="2247">
        <f t="shared" si="188"/>
        <v>2.5872423906708577E-14</v>
      </c>
      <c r="BD214" s="2247">
        <f t="shared" si="188"/>
        <v>5.5779017225097765E-4</v>
      </c>
      <c r="BE214" s="2247">
        <f t="shared" si="188"/>
        <v>2.2280042056407152E-6</v>
      </c>
      <c r="BF214" s="2247">
        <f t="shared" si="188"/>
        <v>2.2280042056407152E-6</v>
      </c>
      <c r="BG214" s="2247">
        <f t="shared" si="188"/>
        <v>8.4169834671120878</v>
      </c>
      <c r="BH214" s="2247">
        <f t="shared" si="188"/>
        <v>4.8846486842557806E-4</v>
      </c>
      <c r="BI214" s="2247">
        <f t="shared" si="188"/>
        <v>8.230771156047148E-2</v>
      </c>
      <c r="BJ214" s="2299"/>
    </row>
    <row r="215" spans="1:62" s="2351" customFormat="1">
      <c r="D215" s="2347"/>
      <c r="E215" s="3684"/>
      <c r="F215" s="537"/>
      <c r="G215" s="3686"/>
      <c r="H215" s="2352"/>
      <c r="I215" s="2352"/>
      <c r="J215" s="2352"/>
      <c r="K215" s="2352"/>
      <c r="L215" s="2352"/>
      <c r="M215" s="2352"/>
      <c r="N215" s="2352"/>
      <c r="O215" s="2352"/>
      <c r="P215" s="2352"/>
      <c r="Q215" s="2352"/>
      <c r="R215" s="2352"/>
      <c r="S215" s="2352"/>
      <c r="T215" s="2352"/>
      <c r="U215" s="2352"/>
      <c r="V215" s="2352"/>
      <c r="W215" s="2352"/>
      <c r="X215" s="2352"/>
      <c r="Y215" s="2352"/>
      <c r="Z215" s="2352"/>
      <c r="AA215" s="2352"/>
      <c r="AB215" s="2352"/>
      <c r="AC215" s="2352"/>
      <c r="AD215" s="2352"/>
      <c r="AE215" s="2352"/>
      <c r="AF215" s="2352"/>
      <c r="AG215" s="2352"/>
      <c r="AH215" s="2352"/>
      <c r="AI215" s="2352"/>
      <c r="AJ215" s="2352"/>
      <c r="AK215" s="2352"/>
      <c r="AL215" s="2352"/>
      <c r="AM215" s="2352"/>
      <c r="AN215" s="2352"/>
      <c r="AO215" s="2352"/>
      <c r="AP215" s="2352"/>
      <c r="AQ215" s="2352"/>
      <c r="AR215" s="2352"/>
      <c r="AS215" s="2352"/>
      <c r="AT215" s="2352"/>
      <c r="AU215" s="2352"/>
      <c r="AV215" s="2352"/>
      <c r="AW215" s="2352"/>
      <c r="AX215" s="2352"/>
      <c r="AY215" s="2352"/>
      <c r="AZ215" s="2352"/>
      <c r="BA215" s="2352"/>
      <c r="BB215" s="2352"/>
      <c r="BC215" s="2352"/>
      <c r="BD215" s="2352"/>
      <c r="BE215" s="2352"/>
      <c r="BF215" s="2352"/>
      <c r="BG215" s="2352"/>
      <c r="BH215" s="2352"/>
      <c r="BI215" s="2352"/>
      <c r="BJ215" s="537"/>
    </row>
    <row r="216" spans="1:62" ht="12.75" customHeight="1">
      <c r="A216" s="2248"/>
      <c r="B216" s="2249"/>
      <c r="C216" s="2250"/>
      <c r="D216" s="4047"/>
      <c r="E216" s="3662" t="s">
        <v>500</v>
      </c>
      <c r="F216" s="2153"/>
      <c r="G216" s="2154"/>
      <c r="H216" s="2251"/>
      <c r="I216" s="2251"/>
      <c r="J216" s="2251"/>
      <c r="K216" s="2251"/>
      <c r="L216" s="2251"/>
      <c r="M216" s="2251"/>
      <c r="N216" s="2251"/>
      <c r="O216" s="2251"/>
      <c r="P216" s="2251"/>
      <c r="Q216" s="2251"/>
      <c r="R216" s="2251"/>
      <c r="S216" s="2251"/>
      <c r="T216" s="2251"/>
      <c r="U216" s="2251"/>
      <c r="V216" s="2251"/>
      <c r="W216" s="2251"/>
      <c r="X216" s="2251"/>
      <c r="Y216" s="2251"/>
      <c r="Z216" s="2251"/>
      <c r="AA216" s="2251"/>
      <c r="AB216" s="2251"/>
      <c r="AC216" s="2251"/>
      <c r="AD216" s="2251"/>
      <c r="AE216" s="2251"/>
      <c r="AF216" s="2251"/>
      <c r="AG216" s="2251"/>
      <c r="AH216" s="2251"/>
      <c r="AI216" s="2251"/>
      <c r="AJ216" s="2251"/>
      <c r="AK216" s="2251"/>
      <c r="AL216" s="2251"/>
      <c r="AM216" s="2251"/>
      <c r="AN216" s="2251"/>
      <c r="AO216" s="2251"/>
      <c r="AP216" s="2251"/>
      <c r="AQ216" s="2251"/>
      <c r="AR216" s="2251"/>
      <c r="AS216" s="2251"/>
      <c r="AT216" s="2251"/>
      <c r="AU216" s="2251"/>
      <c r="AV216" s="2251"/>
      <c r="AW216" s="2251"/>
      <c r="AX216" s="2251"/>
      <c r="AY216" s="2251"/>
      <c r="AZ216" s="2251"/>
      <c r="BA216" s="2251"/>
      <c r="BB216" s="2251"/>
      <c r="BC216" s="2251"/>
      <c r="BD216" s="2251"/>
      <c r="BE216" s="2251"/>
      <c r="BF216" s="2251"/>
      <c r="BG216" s="2251"/>
      <c r="BH216" s="2251"/>
      <c r="BI216" s="2251"/>
    </row>
    <row r="217" spans="1:62" ht="12.75" customHeight="1">
      <c r="A217" s="2248"/>
      <c r="B217" s="2249"/>
      <c r="C217" s="2250"/>
      <c r="D217" s="4047"/>
      <c r="E217" s="3662"/>
      <c r="F217" s="2153"/>
      <c r="G217" s="2154"/>
      <c r="H217" s="2251"/>
      <c r="I217" s="2251"/>
      <c r="J217" s="2251"/>
      <c r="K217" s="2251"/>
      <c r="L217" s="2251"/>
      <c r="M217" s="2251"/>
      <c r="N217" s="2251"/>
      <c r="O217" s="2251"/>
      <c r="P217" s="2251"/>
      <c r="Q217" s="2251"/>
      <c r="R217" s="2251"/>
      <c r="S217" s="2251"/>
      <c r="T217" s="2251"/>
      <c r="U217" s="2251"/>
      <c r="V217" s="2251"/>
      <c r="W217" s="2251"/>
      <c r="X217" s="2251"/>
      <c r="Y217" s="2251"/>
      <c r="Z217" s="2251"/>
      <c r="AA217" s="2251"/>
      <c r="AB217" s="2251"/>
      <c r="AC217" s="2251"/>
      <c r="AD217" s="2251"/>
      <c r="AE217" s="2251"/>
      <c r="AF217" s="2251"/>
      <c r="AG217" s="2251"/>
      <c r="AH217" s="2251"/>
      <c r="AI217" s="2251"/>
      <c r="AJ217" s="2251"/>
      <c r="AK217" s="2251"/>
      <c r="AL217" s="2251"/>
      <c r="AM217" s="2251"/>
      <c r="AN217" s="2251"/>
      <c r="AO217" s="2251"/>
      <c r="AP217" s="2251"/>
      <c r="AQ217" s="2251"/>
      <c r="AR217" s="2251"/>
      <c r="AS217" s="2251"/>
      <c r="AT217" s="2251"/>
      <c r="AU217" s="2251"/>
      <c r="AV217" s="2251"/>
      <c r="AW217" s="2251"/>
      <c r="AX217" s="2251"/>
      <c r="AY217" s="2251"/>
      <c r="AZ217" s="2251"/>
      <c r="BA217" s="2251"/>
      <c r="BB217" s="2251"/>
      <c r="BC217" s="2251"/>
      <c r="BD217" s="2251"/>
      <c r="BE217" s="2251"/>
      <c r="BF217" s="2251"/>
      <c r="BG217" s="2251"/>
      <c r="BH217" s="2251"/>
      <c r="BI217" s="2251"/>
    </row>
    <row r="218" spans="1:62">
      <c r="A218" s="2248"/>
      <c r="B218" s="2249"/>
      <c r="C218" s="2250"/>
      <c r="D218" s="4047"/>
      <c r="E218" s="3660" t="str">
        <f>E16</f>
        <v>Période chronique</v>
      </c>
      <c r="F218" s="2153"/>
      <c r="G218" s="2154"/>
      <c r="H218" s="2251"/>
      <c r="I218" s="2251"/>
      <c r="J218" s="2251"/>
      <c r="K218" s="2251"/>
      <c r="L218" s="2251"/>
      <c r="M218" s="2251"/>
      <c r="N218" s="2251"/>
      <c r="O218" s="2251"/>
      <c r="P218" s="2251"/>
      <c r="Q218" s="2251"/>
      <c r="R218" s="2251"/>
      <c r="S218" s="2251"/>
      <c r="T218" s="2251"/>
      <c r="U218" s="2251"/>
      <c r="V218" s="2251"/>
      <c r="W218" s="2251"/>
      <c r="X218" s="2251"/>
      <c r="Y218" s="2251"/>
      <c r="Z218" s="2251"/>
      <c r="AA218" s="2251"/>
      <c r="AB218" s="2251"/>
      <c r="AC218" s="2251"/>
      <c r="AD218" s="2251"/>
      <c r="AE218" s="2251"/>
      <c r="AF218" s="2251"/>
      <c r="AG218" s="2251"/>
      <c r="AH218" s="2251"/>
      <c r="AI218" s="2251"/>
      <c r="AJ218" s="2251"/>
      <c r="AK218" s="2251"/>
      <c r="AL218" s="2251"/>
      <c r="AM218" s="2251"/>
      <c r="AN218" s="2251"/>
      <c r="AO218" s="2251"/>
      <c r="AP218" s="2251"/>
      <c r="AQ218" s="2251"/>
      <c r="AR218" s="2251"/>
      <c r="AS218" s="2251"/>
      <c r="AT218" s="2251"/>
      <c r="AU218" s="2251"/>
      <c r="AV218" s="2251"/>
      <c r="AW218" s="2251"/>
      <c r="AX218" s="2251"/>
      <c r="AY218" s="2251"/>
      <c r="AZ218" s="2251"/>
      <c r="BA218" s="2251"/>
      <c r="BB218" s="2251"/>
      <c r="BC218" s="2251"/>
      <c r="BD218" s="2251"/>
      <c r="BE218" s="2251"/>
      <c r="BF218" s="2251"/>
      <c r="BG218" s="2251"/>
      <c r="BH218" s="2251"/>
      <c r="BI218" s="2251"/>
    </row>
    <row r="219" spans="1:62" s="2255" customFormat="1" ht="25.5">
      <c r="A219" s="2252"/>
      <c r="B219" s="2253"/>
      <c r="C219" s="2254"/>
      <c r="D219" s="2243"/>
      <c r="E219" s="3658" t="s">
        <v>503</v>
      </c>
      <c r="F219" s="2217" t="s">
        <v>140</v>
      </c>
      <c r="G219" s="2218" t="s">
        <v>139</v>
      </c>
      <c r="H219" s="2219">
        <f t="shared" ref="H219:AL219" si="189">MIN(H213,H$19)</f>
        <v>1.7732062877380198E-4</v>
      </c>
      <c r="I219" s="2219">
        <f t="shared" si="189"/>
        <v>1.7732062877380198E-4</v>
      </c>
      <c r="J219" s="2219">
        <f>MIN(J213,J$19)</f>
        <v>1.8226327839015674E-4</v>
      </c>
      <c r="K219" s="2219">
        <f t="shared" si="189"/>
        <v>3.7031519823149957E-5</v>
      </c>
      <c r="L219" s="2219">
        <f t="shared" si="189"/>
        <v>1.9806547167297369E-4</v>
      </c>
      <c r="M219" s="2219">
        <f t="shared" si="189"/>
        <v>1.9806547167297369E-4</v>
      </c>
      <c r="N219" s="2219">
        <f>MIN(N213,N$19)</f>
        <v>1.0042297681868412E-4</v>
      </c>
      <c r="O219" s="2219">
        <f>MIN(O213,O$19)</f>
        <v>1.0042297681868412E-4</v>
      </c>
      <c r="P219" s="2219">
        <f t="shared" si="189"/>
        <v>9.1984242694848056E-5</v>
      </c>
      <c r="Q219" s="2219">
        <f t="shared" si="189"/>
        <v>9.1984242694848056E-5</v>
      </c>
      <c r="R219" s="2219">
        <f>MIN(R213,R$19)</f>
        <v>2.2883214292577979E-4</v>
      </c>
      <c r="S219" s="2219">
        <f>MIN(S213,S$19)</f>
        <v>2.4391179769704181E-4</v>
      </c>
      <c r="T219" s="2219">
        <f>MIN(T213,T$19)</f>
        <v>2.4391179769704181E-4</v>
      </c>
      <c r="U219" s="2219">
        <f t="shared" si="189"/>
        <v>5.1808424319147455E-5</v>
      </c>
      <c r="V219" s="2219">
        <f t="shared" si="189"/>
        <v>3.1652232047774111E-5</v>
      </c>
      <c r="W219" s="2219">
        <f t="shared" si="189"/>
        <v>3.1652232047774111E-5</v>
      </c>
      <c r="X219" s="2219">
        <f t="shared" si="189"/>
        <v>1.6499158432187349E-4</v>
      </c>
      <c r="Y219" s="2219">
        <f t="shared" si="189"/>
        <v>2.3806285265098821E-4</v>
      </c>
      <c r="Z219" s="2219">
        <f t="shared" si="189"/>
        <v>2.3346127311005491E-4</v>
      </c>
      <c r="AA219" s="2219">
        <f t="shared" si="189"/>
        <v>8.5601415741445673E-5</v>
      </c>
      <c r="AB219" s="2219">
        <f t="shared" si="189"/>
        <v>1.095250417059517E-4</v>
      </c>
      <c r="AC219" s="2219">
        <f t="shared" si="189"/>
        <v>1.0110003849780156E-4</v>
      </c>
      <c r="AD219" s="2219">
        <f t="shared" si="189"/>
        <v>8.7620033364761371E-5</v>
      </c>
      <c r="AE219" s="2219">
        <f t="shared" si="189"/>
        <v>6.9173710551127387E-5</v>
      </c>
      <c r="AF219" s="2219">
        <f t="shared" si="189"/>
        <v>5.476252085297585E-5</v>
      </c>
      <c r="AG219" s="2219">
        <f t="shared" si="189"/>
        <v>2.3037141829500553E-5</v>
      </c>
      <c r="AH219" s="2219">
        <f t="shared" si="189"/>
        <v>3.0767898703010778E-5</v>
      </c>
      <c r="AI219" s="2219">
        <f t="shared" si="189"/>
        <v>7.5668479954487443E-5</v>
      </c>
      <c r="AJ219" s="2219">
        <f t="shared" si="189"/>
        <v>8.2143781279463775E-5</v>
      </c>
      <c r="AK219" s="2219">
        <f t="shared" si="189"/>
        <v>6.5715025023571015E-5</v>
      </c>
      <c r="AL219" s="2219">
        <f t="shared" si="189"/>
        <v>4.867779631375631E-5</v>
      </c>
      <c r="AM219" s="2219">
        <f t="shared" ref="AM219:BI219" si="190">MIN(AM213,AM$19)</f>
        <v>4.1071890639731887E-5</v>
      </c>
      <c r="AN219" s="2219">
        <f t="shared" si="190"/>
        <v>1.0252753728617055E-4</v>
      </c>
      <c r="AO219" s="2219">
        <f t="shared" si="190"/>
        <v>8.6353515142668883E-5</v>
      </c>
      <c r="AP219" s="2219">
        <f t="shared" si="190"/>
        <v>8.522796838541083E-5</v>
      </c>
      <c r="AQ219" s="2219">
        <f t="shared" si="190"/>
        <v>7.9079452495271998E-5</v>
      </c>
      <c r="AR219" s="2219">
        <f t="shared" si="190"/>
        <v>7.3754236839024709E-5</v>
      </c>
      <c r="AS219" s="2219">
        <f t="shared" si="190"/>
        <v>7.3754236839024709E-5</v>
      </c>
      <c r="AT219" s="2219">
        <f t="shared" si="190"/>
        <v>6.496789423981317E-5</v>
      </c>
      <c r="AU219" s="2219">
        <f t="shared" si="190"/>
        <v>6.496789423981317E-5</v>
      </c>
      <c r="AV219" s="2219">
        <f t="shared" si="190"/>
        <v>5.7569010095112589E-5</v>
      </c>
      <c r="AW219" s="2219">
        <f t="shared" si="190"/>
        <v>5.7569010095112589E-5</v>
      </c>
      <c r="AX219" s="2219">
        <f t="shared" si="190"/>
        <v>5.208863746319833E-5</v>
      </c>
      <c r="AY219" s="2219">
        <f t="shared" si="190"/>
        <v>5.208863746319833E-5</v>
      </c>
      <c r="AZ219" s="2219">
        <f t="shared" si="190"/>
        <v>5.2092766566445515E-5</v>
      </c>
      <c r="BA219" s="2219">
        <f t="shared" si="190"/>
        <v>4.7209069700841258E-5</v>
      </c>
      <c r="BB219" s="2219">
        <f t="shared" si="190"/>
        <v>4.8975275766560613E-5</v>
      </c>
      <c r="BC219" s="2219">
        <f t="shared" si="190"/>
        <v>4.7567879133963822E-5</v>
      </c>
      <c r="BD219" s="2219">
        <f t="shared" si="190"/>
        <v>2.8361221325962234E-4</v>
      </c>
      <c r="BE219" s="2219">
        <f t="shared" si="190"/>
        <v>5.1040796134812446E-5</v>
      </c>
      <c r="BF219" s="2219">
        <f t="shared" si="190"/>
        <v>5.1040796134812446E-5</v>
      </c>
      <c r="BG219" s="2219">
        <f t="shared" si="190"/>
        <v>3.7845498726782705E-5</v>
      </c>
      <c r="BH219" s="2219">
        <f t="shared" si="190"/>
        <v>1.8676901848804393E-4</v>
      </c>
      <c r="BI219" s="2219">
        <f t="shared" si="190"/>
        <v>5.8105916862946996E-4</v>
      </c>
    </row>
    <row r="220" spans="1:62" s="2244" customFormat="1">
      <c r="A220" s="2248"/>
      <c r="B220" s="76"/>
      <c r="C220" s="2250"/>
      <c r="D220" s="2243"/>
      <c r="E220" s="3655"/>
      <c r="F220" s="2153"/>
      <c r="G220" s="2154"/>
      <c r="H220" s="2161"/>
      <c r="I220" s="2161"/>
      <c r="J220" s="2161"/>
      <c r="K220" s="2161"/>
      <c r="L220" s="2161"/>
      <c r="M220" s="2161"/>
      <c r="N220" s="2161"/>
      <c r="O220" s="2161"/>
      <c r="P220" s="2161"/>
      <c r="Q220" s="2161"/>
      <c r="R220" s="2161"/>
      <c r="S220" s="2161"/>
      <c r="T220" s="2161"/>
      <c r="U220" s="2161"/>
      <c r="V220" s="2161"/>
      <c r="W220" s="2161"/>
      <c r="X220" s="2161"/>
      <c r="Y220" s="2161"/>
      <c r="Z220" s="2161"/>
      <c r="AA220" s="2161"/>
      <c r="AB220" s="2161"/>
      <c r="AC220" s="2161"/>
      <c r="AD220" s="2161"/>
      <c r="AE220" s="2161"/>
      <c r="AF220" s="2161"/>
      <c r="AG220" s="2161"/>
      <c r="AH220" s="2161"/>
      <c r="AI220" s="2161"/>
      <c r="AJ220" s="2161"/>
      <c r="AK220" s="2161"/>
      <c r="AL220" s="2161"/>
      <c r="AM220" s="2161"/>
      <c r="AN220" s="2161"/>
      <c r="AO220" s="2161"/>
      <c r="AP220" s="2161"/>
      <c r="AQ220" s="2161"/>
      <c r="AR220" s="2161"/>
      <c r="AS220" s="2161"/>
      <c r="AT220" s="2161"/>
      <c r="AU220" s="2161"/>
      <c r="AV220" s="2161"/>
      <c r="AW220" s="2161"/>
      <c r="AX220" s="2161"/>
      <c r="AY220" s="2161"/>
      <c r="AZ220" s="2161"/>
      <c r="BA220" s="2161"/>
      <c r="BB220" s="2161"/>
      <c r="BC220" s="2161"/>
      <c r="BD220" s="2161"/>
      <c r="BE220" s="2161"/>
      <c r="BF220" s="2161"/>
      <c r="BG220" s="2161"/>
      <c r="BH220" s="2161"/>
      <c r="BI220" s="2161"/>
    </row>
    <row r="221" spans="1:62" s="529" customFormat="1" ht="13.15" customHeight="1">
      <c r="A221" s="523"/>
      <c r="B221" s="224"/>
      <c r="C221" s="524"/>
      <c r="D221" s="2243"/>
      <c r="E221" s="3667" t="s">
        <v>1152</v>
      </c>
      <c r="F221" s="2237"/>
      <c r="G221" s="526"/>
      <c r="H221" s="2161"/>
      <c r="I221" s="2161"/>
      <c r="J221" s="2161"/>
      <c r="K221" s="2161"/>
      <c r="L221" s="2161"/>
      <c r="M221" s="2161"/>
      <c r="N221" s="2161"/>
      <c r="O221" s="2161"/>
      <c r="P221" s="2161"/>
      <c r="Q221" s="2161"/>
      <c r="R221" s="2161"/>
      <c r="S221" s="2161"/>
      <c r="T221" s="2161"/>
      <c r="U221" s="2161"/>
      <c r="V221" s="2161"/>
      <c r="W221" s="2161"/>
      <c r="X221" s="2161"/>
      <c r="Y221" s="2161"/>
      <c r="Z221" s="2161"/>
      <c r="AA221" s="2161"/>
      <c r="AB221" s="2161"/>
      <c r="AC221" s="2161"/>
      <c r="AD221" s="2161"/>
      <c r="AE221" s="2161"/>
      <c r="AF221" s="2161"/>
      <c r="AG221" s="2161"/>
      <c r="AH221" s="2161"/>
      <c r="AI221" s="2161"/>
      <c r="AJ221" s="2161"/>
      <c r="AK221" s="2161"/>
      <c r="AL221" s="2161"/>
      <c r="AM221" s="2161"/>
      <c r="AN221" s="2161"/>
      <c r="AO221" s="2161"/>
      <c r="AP221" s="2161"/>
      <c r="AQ221" s="2161"/>
      <c r="AR221" s="2161"/>
      <c r="AS221" s="2161"/>
      <c r="AT221" s="2161"/>
      <c r="AU221" s="2161"/>
      <c r="AV221" s="2161"/>
      <c r="AW221" s="2161"/>
      <c r="AX221" s="2161"/>
      <c r="AY221" s="2161"/>
      <c r="AZ221" s="2161"/>
      <c r="BA221" s="2161"/>
      <c r="BB221" s="2161"/>
      <c r="BC221" s="2161"/>
      <c r="BD221" s="2161"/>
      <c r="BE221" s="2161"/>
      <c r="BF221" s="2161"/>
      <c r="BG221" s="2161"/>
      <c r="BH221" s="2161"/>
      <c r="BI221" s="2161"/>
    </row>
    <row r="222" spans="1:62" s="529" customFormat="1" ht="13.15" customHeight="1">
      <c r="A222" s="523"/>
      <c r="B222" s="224"/>
      <c r="C222" s="524"/>
      <c r="D222" s="2243"/>
      <c r="E222" s="3667"/>
      <c r="F222" s="2237"/>
      <c r="G222" s="526"/>
      <c r="H222" s="2161"/>
      <c r="I222" s="2161"/>
      <c r="J222" s="2161"/>
      <c r="K222" s="2161"/>
      <c r="L222" s="2161"/>
      <c r="M222" s="2161"/>
      <c r="N222" s="2161"/>
      <c r="O222" s="2161"/>
      <c r="P222" s="2161"/>
      <c r="Q222" s="2161"/>
      <c r="R222" s="2161"/>
      <c r="S222" s="2161"/>
      <c r="T222" s="2161"/>
      <c r="U222" s="2161"/>
      <c r="V222" s="2161"/>
      <c r="W222" s="2161"/>
      <c r="X222" s="2161"/>
      <c r="Y222" s="2161"/>
      <c r="Z222" s="2161"/>
      <c r="AA222" s="2161"/>
      <c r="AB222" s="2161"/>
      <c r="AC222" s="2161"/>
      <c r="AD222" s="2161"/>
      <c r="AE222" s="2161"/>
      <c r="AF222" s="2161"/>
      <c r="AG222" s="2161"/>
      <c r="AH222" s="2161"/>
      <c r="AI222" s="2161"/>
      <c r="AJ222" s="2161"/>
      <c r="AK222" s="2161"/>
      <c r="AL222" s="2161"/>
      <c r="AM222" s="2161"/>
      <c r="AN222" s="2161"/>
      <c r="AO222" s="2161"/>
      <c r="AP222" s="2161"/>
      <c r="AQ222" s="2161"/>
      <c r="AR222" s="2161"/>
      <c r="AS222" s="2161"/>
      <c r="AT222" s="2161"/>
      <c r="AU222" s="2161"/>
      <c r="AV222" s="2161"/>
      <c r="AW222" s="2161"/>
      <c r="AX222" s="2161"/>
      <c r="AY222" s="2161"/>
      <c r="AZ222" s="2161"/>
      <c r="BA222" s="2161"/>
      <c r="BB222" s="2161"/>
      <c r="BC222" s="2161"/>
      <c r="BD222" s="2161"/>
      <c r="BE222" s="2161"/>
      <c r="BF222" s="2161"/>
      <c r="BG222" s="2161"/>
      <c r="BH222" s="2161"/>
      <c r="BI222" s="2161"/>
    </row>
    <row r="223" spans="1:62" ht="13.15" customHeight="1">
      <c r="A223" s="2149"/>
      <c r="B223" s="2150"/>
      <c r="C223" s="2151"/>
      <c r="D223" s="2245"/>
      <c r="E223" s="3655" t="str">
        <f>CONCATENATE('Du K'!E139,", à t=0")</f>
        <v>Résistance totale à la convection, à t=0</v>
      </c>
      <c r="F223" s="2153" t="str">
        <f>'Du K'!F139</f>
        <v>L / Ktot</v>
      </c>
      <c r="G223" s="2154" t="str">
        <f>'Du K'!G139</f>
        <v>Pa.s/m</v>
      </c>
      <c r="H223" s="2155">
        <f>'Du K'!H139</f>
        <v>133915.86399031797</v>
      </c>
      <c r="I223" s="2155">
        <f>'Du K'!I139</f>
        <v>133915.86399031797</v>
      </c>
      <c r="J223" s="2155">
        <f>'Du K'!J139</f>
        <v>133915.86399031797</v>
      </c>
      <c r="K223" s="2155">
        <f>'Du K'!K139</f>
        <v>133915.86399031797</v>
      </c>
      <c r="L223" s="2155">
        <f>'Du K'!L139</f>
        <v>133915.86399031797</v>
      </c>
      <c r="M223" s="2155">
        <f>'Du K'!M139</f>
        <v>133915.86399031797</v>
      </c>
      <c r="N223" s="2155">
        <f>'Du K'!N139</f>
        <v>133915.86399031797</v>
      </c>
      <c r="O223" s="2155">
        <f>'Du K'!O139</f>
        <v>133915.86399031797</v>
      </c>
      <c r="P223" s="2155">
        <f>'Du K'!P139</f>
        <v>133915.86399031797</v>
      </c>
      <c r="Q223" s="2155">
        <f>'Du K'!Q139</f>
        <v>133915.86399031797</v>
      </c>
      <c r="R223" s="2155">
        <f>'Du K'!R139</f>
        <v>133915.86399031797</v>
      </c>
      <c r="S223" s="2155">
        <f>'Du K'!S139</f>
        <v>133915.86399031797</v>
      </c>
      <c r="T223" s="2155">
        <f>'Du K'!T139</f>
        <v>133915.86399031797</v>
      </c>
      <c r="U223" s="2155">
        <f>'Du K'!U139</f>
        <v>133915.86399031797</v>
      </c>
      <c r="V223" s="2155">
        <f>'Du K'!V139</f>
        <v>133915.86399031797</v>
      </c>
      <c r="W223" s="2155">
        <f>'Du K'!W139</f>
        <v>133915.86399031797</v>
      </c>
      <c r="X223" s="2155">
        <f>'Du K'!X139</f>
        <v>133915.86399031797</v>
      </c>
      <c r="Y223" s="2155">
        <f>'Du K'!Y139</f>
        <v>133915.86399031797</v>
      </c>
      <c r="Z223" s="2155">
        <f>'Du K'!Z139</f>
        <v>133915.86399031797</v>
      </c>
      <c r="AA223" s="2155">
        <f>'Du K'!AA139</f>
        <v>133915.86399031797</v>
      </c>
      <c r="AB223" s="2155">
        <f>'Du K'!AB139</f>
        <v>133915.86399031797</v>
      </c>
      <c r="AC223" s="2155">
        <f>'Du K'!AC139</f>
        <v>133915.86399031797</v>
      </c>
      <c r="AD223" s="2155">
        <f>'Du K'!AD139</f>
        <v>133915.86399031797</v>
      </c>
      <c r="AE223" s="2155">
        <f>'Du K'!AE139</f>
        <v>133915.86399031797</v>
      </c>
      <c r="AF223" s="2155">
        <f>'Du K'!AF139</f>
        <v>133915.86399031797</v>
      </c>
      <c r="AG223" s="2155">
        <f>'Du K'!AG139</f>
        <v>133915.86399031797</v>
      </c>
      <c r="AH223" s="2155">
        <f>'Du K'!AH139</f>
        <v>133915.86399031797</v>
      </c>
      <c r="AI223" s="2155">
        <f>'Du K'!AI139</f>
        <v>133915.86399031797</v>
      </c>
      <c r="AJ223" s="2155">
        <f>'Du K'!AJ139</f>
        <v>133915.86399031797</v>
      </c>
      <c r="AK223" s="2155">
        <f>'Du K'!AK139</f>
        <v>133915.86399031797</v>
      </c>
      <c r="AL223" s="2155">
        <f>'Du K'!AL139</f>
        <v>133915.86399031797</v>
      </c>
      <c r="AM223" s="2155">
        <f>'Du K'!AM139</f>
        <v>133915.86399031797</v>
      </c>
      <c r="AN223" s="2155">
        <f>'Du K'!AN139</f>
        <v>133915.86399031797</v>
      </c>
      <c r="AO223" s="2155">
        <f>'Du K'!AO139</f>
        <v>133915.86399031797</v>
      </c>
      <c r="AP223" s="2155">
        <f>'Du K'!AP139</f>
        <v>133915.86399031797</v>
      </c>
      <c r="AQ223" s="2155">
        <f>'Du K'!AQ139</f>
        <v>133915.86399031797</v>
      </c>
      <c r="AR223" s="2155">
        <f>'Du K'!AR139</f>
        <v>133915.86399031797</v>
      </c>
      <c r="AS223" s="2155">
        <f>'Du K'!AS139</f>
        <v>133915.86399031797</v>
      </c>
      <c r="AT223" s="2155">
        <f>'Du K'!AT139</f>
        <v>133915.86399031797</v>
      </c>
      <c r="AU223" s="2155">
        <f>'Du K'!AU139</f>
        <v>133915.86399031797</v>
      </c>
      <c r="AV223" s="2155">
        <f>'Du K'!AV139</f>
        <v>133915.86399031797</v>
      </c>
      <c r="AW223" s="2155">
        <f>'Du K'!AW139</f>
        <v>133915.86399031797</v>
      </c>
      <c r="AX223" s="2155">
        <f>'Du K'!AX139</f>
        <v>133915.86399031797</v>
      </c>
      <c r="AY223" s="2155">
        <f>'Du K'!AY139</f>
        <v>133915.86399031797</v>
      </c>
      <c r="AZ223" s="2155">
        <f>'Du K'!AZ139</f>
        <v>133915.86399031797</v>
      </c>
      <c r="BA223" s="2155">
        <f>'Du K'!BA139</f>
        <v>133915.86399031797</v>
      </c>
      <c r="BB223" s="2155">
        <f>'Du K'!BB139</f>
        <v>133915.86399031797</v>
      </c>
      <c r="BC223" s="2155">
        <f>'Du K'!BC139</f>
        <v>133915.86399031797</v>
      </c>
      <c r="BD223" s="2155">
        <f>'Du K'!BD139</f>
        <v>133915.86399031797</v>
      </c>
      <c r="BE223" s="2155">
        <f>'Du K'!BE139</f>
        <v>133915.86399031797</v>
      </c>
      <c r="BF223" s="2155">
        <f>'Du K'!BF139</f>
        <v>133915.86399031797</v>
      </c>
      <c r="BG223" s="2155">
        <f>'Du K'!BG139</f>
        <v>133915.86399031797</v>
      </c>
      <c r="BH223" s="2155">
        <f>'Du K'!BH139</f>
        <v>133915.86399031797</v>
      </c>
      <c r="BI223" s="2155">
        <f>'Du K'!BI139</f>
        <v>133915.86399031797</v>
      </c>
    </row>
    <row r="224" spans="1:62" s="529" customFormat="1" ht="25.5" customHeight="1">
      <c r="A224" s="523"/>
      <c r="B224" s="224"/>
      <c r="C224" s="524"/>
      <c r="D224" s="2245"/>
      <c r="E224" s="3655" t="s">
        <v>1037</v>
      </c>
      <c r="F224" s="525" t="s">
        <v>136</v>
      </c>
      <c r="G224" s="526" t="s">
        <v>137</v>
      </c>
      <c r="H224" s="2264">
        <f t="shared" ref="H224:AM224" si="191">1000*H211/H223</f>
        <v>2.9869500750778842E-2</v>
      </c>
      <c r="I224" s="2264">
        <f t="shared" si="191"/>
        <v>2.9869500750778842E-2</v>
      </c>
      <c r="J224" s="2264">
        <f t="shared" si="191"/>
        <v>2.9869500750778842E-2</v>
      </c>
      <c r="K224" s="2264">
        <f t="shared" si="191"/>
        <v>2.9869500750778842E-2</v>
      </c>
      <c r="L224" s="2264">
        <f t="shared" si="191"/>
        <v>2.9869500750778842E-2</v>
      </c>
      <c r="M224" s="2264">
        <f t="shared" si="191"/>
        <v>2.9869500750778842E-2</v>
      </c>
      <c r="N224" s="2264">
        <f t="shared" si="191"/>
        <v>2.9869500750778842E-2</v>
      </c>
      <c r="O224" s="2264">
        <f t="shared" si="191"/>
        <v>2.9869500750778842E-2</v>
      </c>
      <c r="P224" s="2264">
        <f t="shared" si="191"/>
        <v>2.9869500750778842E-2</v>
      </c>
      <c r="Q224" s="2264">
        <f t="shared" si="191"/>
        <v>2.9869500750778842E-2</v>
      </c>
      <c r="R224" s="2264">
        <f t="shared" si="191"/>
        <v>2.9869500750778842E-2</v>
      </c>
      <c r="S224" s="2264">
        <f t="shared" si="191"/>
        <v>2.9869500750778842E-2</v>
      </c>
      <c r="T224" s="2264">
        <f t="shared" si="191"/>
        <v>2.9869500750778842E-2</v>
      </c>
      <c r="U224" s="2264">
        <f t="shared" si="191"/>
        <v>2.9869500750778842E-2</v>
      </c>
      <c r="V224" s="2264">
        <f t="shared" si="191"/>
        <v>2.9869500750778842E-2</v>
      </c>
      <c r="W224" s="2264">
        <f t="shared" si="191"/>
        <v>2.9869500750778842E-2</v>
      </c>
      <c r="X224" s="2264">
        <f t="shared" si="191"/>
        <v>2.9869500750778842E-2</v>
      </c>
      <c r="Y224" s="2264">
        <f t="shared" si="191"/>
        <v>2.9869500750778842E-2</v>
      </c>
      <c r="Z224" s="2264">
        <f t="shared" si="191"/>
        <v>2.9869500750778842E-2</v>
      </c>
      <c r="AA224" s="2264">
        <f t="shared" si="191"/>
        <v>2.9869500750778842E-2</v>
      </c>
      <c r="AB224" s="2264">
        <f t="shared" si="191"/>
        <v>2.9869500750778842E-2</v>
      </c>
      <c r="AC224" s="2264">
        <f t="shared" si="191"/>
        <v>2.9869500750778842E-2</v>
      </c>
      <c r="AD224" s="2264">
        <f t="shared" si="191"/>
        <v>2.9869500750778842E-2</v>
      </c>
      <c r="AE224" s="2264">
        <f t="shared" si="191"/>
        <v>2.9869500750778842E-2</v>
      </c>
      <c r="AF224" s="2264">
        <f t="shared" si="191"/>
        <v>2.9869500750778842E-2</v>
      </c>
      <c r="AG224" s="2264">
        <f t="shared" si="191"/>
        <v>2.9869500750778842E-2</v>
      </c>
      <c r="AH224" s="2264">
        <f t="shared" si="191"/>
        <v>2.9869500750778842E-2</v>
      </c>
      <c r="AI224" s="2264">
        <f t="shared" si="191"/>
        <v>2.9869500750778842E-2</v>
      </c>
      <c r="AJ224" s="2264">
        <f t="shared" si="191"/>
        <v>2.9869500750778842E-2</v>
      </c>
      <c r="AK224" s="2264">
        <f t="shared" si="191"/>
        <v>2.9869500750778842E-2</v>
      </c>
      <c r="AL224" s="2264">
        <f t="shared" si="191"/>
        <v>2.9869500750778842E-2</v>
      </c>
      <c r="AM224" s="2264">
        <f t="shared" si="191"/>
        <v>2.9869500750778842E-2</v>
      </c>
      <c r="AN224" s="2264">
        <f t="shared" ref="AN224:BI224" si="192">1000*AN211/AN223</f>
        <v>2.9869500750778842E-2</v>
      </c>
      <c r="AO224" s="2264">
        <f t="shared" si="192"/>
        <v>2.9869500750778842E-2</v>
      </c>
      <c r="AP224" s="2264">
        <f t="shared" si="192"/>
        <v>2.9869500750778842E-2</v>
      </c>
      <c r="AQ224" s="2264">
        <f t="shared" si="192"/>
        <v>2.9869500750778842E-2</v>
      </c>
      <c r="AR224" s="2264">
        <f t="shared" si="192"/>
        <v>2.9869500750778842E-2</v>
      </c>
      <c r="AS224" s="2264">
        <f t="shared" si="192"/>
        <v>2.9869500750778842E-2</v>
      </c>
      <c r="AT224" s="2264">
        <f t="shared" si="192"/>
        <v>2.9869500750778842E-2</v>
      </c>
      <c r="AU224" s="2264">
        <f t="shared" si="192"/>
        <v>2.9869500750778842E-2</v>
      </c>
      <c r="AV224" s="2264">
        <f t="shared" si="192"/>
        <v>2.9869500750778842E-2</v>
      </c>
      <c r="AW224" s="2264">
        <f t="shared" si="192"/>
        <v>2.9869500750778842E-2</v>
      </c>
      <c r="AX224" s="2264">
        <f t="shared" si="192"/>
        <v>2.9869500750778842E-2</v>
      </c>
      <c r="AY224" s="2264">
        <f t="shared" si="192"/>
        <v>2.9869500750778842E-2</v>
      </c>
      <c r="AZ224" s="2264">
        <f t="shared" si="192"/>
        <v>2.9869500750778842E-2</v>
      </c>
      <c r="BA224" s="2264">
        <f t="shared" si="192"/>
        <v>2.9869500750778842E-2</v>
      </c>
      <c r="BB224" s="2264">
        <f t="shared" si="192"/>
        <v>2.9869500750778842E-2</v>
      </c>
      <c r="BC224" s="2264">
        <f t="shared" si="192"/>
        <v>2.9869500750778842E-2</v>
      </c>
      <c r="BD224" s="2264">
        <f t="shared" si="192"/>
        <v>2.9869500750778842E-2</v>
      </c>
      <c r="BE224" s="2264">
        <f t="shared" si="192"/>
        <v>2.9869500750778842E-2</v>
      </c>
      <c r="BF224" s="2264">
        <f t="shared" si="192"/>
        <v>2.9869500750778842E-2</v>
      </c>
      <c r="BG224" s="2264">
        <f t="shared" si="192"/>
        <v>2.9869500750778842E-2</v>
      </c>
      <c r="BH224" s="2264">
        <f t="shared" si="192"/>
        <v>2.9869500750778842E-2</v>
      </c>
      <c r="BI224" s="2264">
        <f t="shared" si="192"/>
        <v>2.9869500750778842E-2</v>
      </c>
    </row>
    <row r="225" spans="1:62" s="2064" customFormat="1" ht="25.5">
      <c r="D225" s="2246"/>
      <c r="E225" s="3684" t="s">
        <v>1038</v>
      </c>
      <c r="F225" s="2299" t="s">
        <v>1131</v>
      </c>
      <c r="G225" s="3685" t="s">
        <v>73</v>
      </c>
      <c r="H225" s="2247">
        <f t="shared" ref="H225:AM225" si="193">H$12/H$19*H224</f>
        <v>11.580789333942086</v>
      </c>
      <c r="I225" s="2247">
        <f t="shared" si="193"/>
        <v>11.580789333942086</v>
      </c>
      <c r="J225" s="2247">
        <f t="shared" si="193"/>
        <v>76.024489047988112</v>
      </c>
      <c r="K225" s="2247">
        <f t="shared" si="193"/>
        <v>2419.7900242894834</v>
      </c>
      <c r="L225" s="2247">
        <f t="shared" si="193"/>
        <v>452.41859419237551</v>
      </c>
      <c r="M225" s="2247">
        <f t="shared" si="193"/>
        <v>452.41859419237551</v>
      </c>
      <c r="N225" s="2247">
        <f t="shared" si="193"/>
        <v>892.31075487959924</v>
      </c>
      <c r="O225" s="2247">
        <f t="shared" si="193"/>
        <v>892.31075487959924</v>
      </c>
      <c r="P225" s="2247">
        <f t="shared" si="193"/>
        <v>974.17231068159253</v>
      </c>
      <c r="Q225" s="2247">
        <f t="shared" si="193"/>
        <v>974.17231068159253</v>
      </c>
      <c r="R225" s="2247">
        <f t="shared" si="193"/>
        <v>391.5905392775195</v>
      </c>
      <c r="S225" s="2247">
        <f t="shared" si="193"/>
        <v>367.38076262976642</v>
      </c>
      <c r="T225" s="2247">
        <f t="shared" si="193"/>
        <v>367.38076262976642</v>
      </c>
      <c r="U225" s="2247">
        <f t="shared" si="193"/>
        <v>1729.6125761388741</v>
      </c>
      <c r="V225" s="2247">
        <f t="shared" si="193"/>
        <v>2831.0326461996888</v>
      </c>
      <c r="W225" s="2247">
        <f t="shared" si="193"/>
        <v>2831.0326461996888</v>
      </c>
      <c r="X225" s="2247">
        <f t="shared" si="193"/>
        <v>543.10953265061062</v>
      </c>
      <c r="Y225" s="2247">
        <f t="shared" si="193"/>
        <v>376.40690790052395</v>
      </c>
      <c r="Z225" s="2247">
        <f t="shared" si="193"/>
        <v>222.91461234348682</v>
      </c>
      <c r="AA225" s="2247">
        <f t="shared" si="193"/>
        <v>1046.8109840962682</v>
      </c>
      <c r="AB225" s="2247">
        <f t="shared" si="193"/>
        <v>169.13038822723968</v>
      </c>
      <c r="AC225" s="2247">
        <f t="shared" si="193"/>
        <v>33.003168862567257</v>
      </c>
      <c r="AD225" s="2247">
        <f t="shared" si="193"/>
        <v>6.459819312394754</v>
      </c>
      <c r="AE225" s="2247">
        <f t="shared" si="193"/>
        <v>0.80548981646529538</v>
      </c>
      <c r="AF225" s="2247">
        <f t="shared" si="193"/>
        <v>3.3385515515627312E-3</v>
      </c>
      <c r="AG225" s="2247">
        <f t="shared" si="193"/>
        <v>3889.7404424357464</v>
      </c>
      <c r="AH225" s="2247">
        <f t="shared" si="193"/>
        <v>2912.402407369078</v>
      </c>
      <c r="AI225" s="2247">
        <f t="shared" si="193"/>
        <v>1184.2249547795018</v>
      </c>
      <c r="AJ225" s="2247">
        <f t="shared" si="193"/>
        <v>281.89663657732621</v>
      </c>
      <c r="AK225" s="2247">
        <f t="shared" si="193"/>
        <v>64.2641082161566</v>
      </c>
      <c r="AL225" s="2247">
        <f t="shared" si="193"/>
        <v>4.8718043235456072</v>
      </c>
      <c r="AM225" s="2247">
        <f t="shared" si="193"/>
        <v>3.3724087043273211E-2</v>
      </c>
      <c r="AN225" s="2247">
        <f t="shared" ref="AN225:BI225" si="194">AN$12/AN$19*AN224</f>
        <v>18.790023891079979</v>
      </c>
      <c r="AO225" s="2247">
        <f t="shared" si="194"/>
        <v>0.73312579845056114</v>
      </c>
      <c r="AP225" s="2247">
        <f t="shared" si="194"/>
        <v>1.2264831989577032</v>
      </c>
      <c r="AQ225" s="2247">
        <f t="shared" si="194"/>
        <v>0.49661985998967906</v>
      </c>
      <c r="AR225" s="2247">
        <f t="shared" si="194"/>
        <v>9.943171176694704E-2</v>
      </c>
      <c r="AS225" s="2247">
        <f t="shared" si="194"/>
        <v>0.12842796967466577</v>
      </c>
      <c r="AT225" s="2247">
        <f t="shared" si="194"/>
        <v>9.3746645873532125E-3</v>
      </c>
      <c r="AU225" s="2247">
        <f t="shared" si="194"/>
        <v>9.0185338942139221E-3</v>
      </c>
      <c r="AV225" s="2247">
        <f t="shared" si="194"/>
        <v>1.4387705181061045E-3</v>
      </c>
      <c r="AW225" s="2247">
        <f t="shared" si="194"/>
        <v>1.38637427401723E-3</v>
      </c>
      <c r="AX225" s="2247">
        <f t="shared" si="194"/>
        <v>4.8797843591209082E-5</v>
      </c>
      <c r="AY225" s="2247">
        <f t="shared" si="194"/>
        <v>3.3489769485975817E-5</v>
      </c>
      <c r="AZ225" s="2247">
        <f t="shared" si="194"/>
        <v>2.23638767032114E-5</v>
      </c>
      <c r="BA225" s="2247">
        <f t="shared" si="194"/>
        <v>3.8624699411720137E-6</v>
      </c>
      <c r="BB225" s="2247">
        <f t="shared" si="194"/>
        <v>6.1156045151905254E-5</v>
      </c>
      <c r="BC225" s="2247">
        <f t="shared" si="194"/>
        <v>1.6246181233548372E-11</v>
      </c>
      <c r="BD225" s="2247">
        <f t="shared" si="194"/>
        <v>5.8745403723414469E-2</v>
      </c>
      <c r="BE225" s="2247">
        <f t="shared" si="194"/>
        <v>1.3038466938750132E-3</v>
      </c>
      <c r="BF225" s="2247">
        <f t="shared" si="194"/>
        <v>1.3038466938750132E-3</v>
      </c>
      <c r="BG225" s="2247">
        <f t="shared" si="194"/>
        <v>2367.7453136301756</v>
      </c>
      <c r="BH225" s="2247">
        <f t="shared" si="194"/>
        <v>7.8118961443816165E-2</v>
      </c>
      <c r="BI225" s="2247">
        <f t="shared" si="194"/>
        <v>4.2310497535890743</v>
      </c>
      <c r="BJ225" s="2299"/>
    </row>
    <row r="226" spans="1:62" s="529" customFormat="1" ht="38.25">
      <c r="A226" s="523"/>
      <c r="B226" s="224"/>
      <c r="C226" s="524"/>
      <c r="D226" s="2245"/>
      <c r="E226" s="3655" t="s">
        <v>1138</v>
      </c>
      <c r="F226" s="525" t="s">
        <v>138</v>
      </c>
      <c r="G226" s="526" t="s">
        <v>139</v>
      </c>
      <c r="H226" s="2264">
        <f t="shared" ref="H226:AM226" si="195">H$224/(1-EXP(-H$224*H$212))</f>
        <v>2.9869500750778842E-2</v>
      </c>
      <c r="I226" s="2264">
        <f t="shared" si="195"/>
        <v>2.9869500750778842E-2</v>
      </c>
      <c r="J226" s="2264">
        <f t="shared" si="195"/>
        <v>2.9869500750778842E-2</v>
      </c>
      <c r="K226" s="2264">
        <f t="shared" si="195"/>
        <v>2.9869500750778842E-2</v>
      </c>
      <c r="L226" s="2264">
        <f t="shared" si="195"/>
        <v>2.9869500750778842E-2</v>
      </c>
      <c r="M226" s="2264">
        <f t="shared" si="195"/>
        <v>2.9869500750778842E-2</v>
      </c>
      <c r="N226" s="2264">
        <f t="shared" si="195"/>
        <v>2.9869500750778842E-2</v>
      </c>
      <c r="O226" s="2264">
        <f t="shared" si="195"/>
        <v>2.9869500750778842E-2</v>
      </c>
      <c r="P226" s="2264">
        <f t="shared" si="195"/>
        <v>2.9869500750778842E-2</v>
      </c>
      <c r="Q226" s="2264">
        <f t="shared" si="195"/>
        <v>2.9869500750778842E-2</v>
      </c>
      <c r="R226" s="2264">
        <f t="shared" si="195"/>
        <v>2.9875785047756648E-2</v>
      </c>
      <c r="S226" s="2264">
        <f t="shared" si="195"/>
        <v>2.9869500750778842E-2</v>
      </c>
      <c r="T226" s="2264">
        <f t="shared" si="195"/>
        <v>2.9869500750778842E-2</v>
      </c>
      <c r="U226" s="2264">
        <f t="shared" si="195"/>
        <v>2.9869500750778842E-2</v>
      </c>
      <c r="V226" s="2264">
        <f t="shared" si="195"/>
        <v>2.9869500750778842E-2</v>
      </c>
      <c r="W226" s="2264">
        <f t="shared" si="195"/>
        <v>2.9869500750778842E-2</v>
      </c>
      <c r="X226" s="2264">
        <f t="shared" si="195"/>
        <v>2.9869500750778842E-2</v>
      </c>
      <c r="Y226" s="2264">
        <f t="shared" si="195"/>
        <v>2.9869500750778842E-2</v>
      </c>
      <c r="Z226" s="2264">
        <f t="shared" si="195"/>
        <v>2.9869500750778842E-2</v>
      </c>
      <c r="AA226" s="2264">
        <f t="shared" si="195"/>
        <v>2.9869500750778842E-2</v>
      </c>
      <c r="AB226" s="2264">
        <f t="shared" si="195"/>
        <v>2.9869500750778842E-2</v>
      </c>
      <c r="AC226" s="2264">
        <f t="shared" si="195"/>
        <v>2.9869500750778842E-2</v>
      </c>
      <c r="AD226" s="2264">
        <f t="shared" si="195"/>
        <v>2.9869500750778842E-2</v>
      </c>
      <c r="AE226" s="2264">
        <f t="shared" si="195"/>
        <v>2.9869500750778842E-2</v>
      </c>
      <c r="AF226" s="2264">
        <f t="shared" si="195"/>
        <v>2.9869500750778842E-2</v>
      </c>
      <c r="AG226" s="2264">
        <f t="shared" si="195"/>
        <v>2.9869500750778842E-2</v>
      </c>
      <c r="AH226" s="2264">
        <f t="shared" si="195"/>
        <v>2.9869500750778842E-2</v>
      </c>
      <c r="AI226" s="2264">
        <f t="shared" si="195"/>
        <v>2.9869500750778842E-2</v>
      </c>
      <c r="AJ226" s="2264">
        <f t="shared" si="195"/>
        <v>2.9869500750778842E-2</v>
      </c>
      <c r="AK226" s="2264">
        <f t="shared" si="195"/>
        <v>2.9869500750778842E-2</v>
      </c>
      <c r="AL226" s="2264">
        <f t="shared" si="195"/>
        <v>2.9869500750778842E-2</v>
      </c>
      <c r="AM226" s="2264">
        <f t="shared" si="195"/>
        <v>2.9869500750778842E-2</v>
      </c>
      <c r="AN226" s="2264">
        <f t="shared" ref="AN226:BI226" si="196">AN$224/(1-EXP(-AN$224*AN$212))</f>
        <v>2.9869500750778842E-2</v>
      </c>
      <c r="AO226" s="2264">
        <f t="shared" si="196"/>
        <v>2.9869500750778842E-2</v>
      </c>
      <c r="AP226" s="2264">
        <f t="shared" si="196"/>
        <v>2.9869500750778842E-2</v>
      </c>
      <c r="AQ226" s="2264">
        <f t="shared" si="196"/>
        <v>2.9869500750778842E-2</v>
      </c>
      <c r="AR226" s="2264">
        <f t="shared" si="196"/>
        <v>2.9869500750778842E-2</v>
      </c>
      <c r="AS226" s="2264">
        <f t="shared" si="196"/>
        <v>2.9869500750778842E-2</v>
      </c>
      <c r="AT226" s="2264">
        <f t="shared" si="196"/>
        <v>2.9869500750778842E-2</v>
      </c>
      <c r="AU226" s="2264">
        <f t="shared" si="196"/>
        <v>2.9869500750778842E-2</v>
      </c>
      <c r="AV226" s="2264">
        <f t="shared" si="196"/>
        <v>2.9869500750778842E-2</v>
      </c>
      <c r="AW226" s="2264">
        <f t="shared" si="196"/>
        <v>2.9869500750778842E-2</v>
      </c>
      <c r="AX226" s="2264">
        <f t="shared" si="196"/>
        <v>2.9869500750778842E-2</v>
      </c>
      <c r="AY226" s="2264">
        <f t="shared" si="196"/>
        <v>2.9869500750778842E-2</v>
      </c>
      <c r="AZ226" s="2264">
        <f t="shared" si="196"/>
        <v>2.9869500750778842E-2</v>
      </c>
      <c r="BA226" s="2264">
        <f t="shared" si="196"/>
        <v>2.9869500750778842E-2</v>
      </c>
      <c r="BB226" s="2264">
        <f t="shared" si="196"/>
        <v>2.9869500750778842E-2</v>
      </c>
      <c r="BC226" s="2264">
        <f t="shared" si="196"/>
        <v>2.9869500750778842E-2</v>
      </c>
      <c r="BD226" s="2264">
        <f t="shared" si="196"/>
        <v>2.9869500750778842E-2</v>
      </c>
      <c r="BE226" s="2264">
        <f t="shared" si="196"/>
        <v>2.9869500750778842E-2</v>
      </c>
      <c r="BF226" s="2264">
        <f t="shared" si="196"/>
        <v>2.9869500750778842E-2</v>
      </c>
      <c r="BG226" s="2264">
        <f t="shared" si="196"/>
        <v>2.9869500750778842E-2</v>
      </c>
      <c r="BH226" s="2264">
        <f t="shared" si="196"/>
        <v>2.9869500750778842E-2</v>
      </c>
      <c r="BI226" s="2264">
        <f t="shared" si="196"/>
        <v>2.9869500750778842E-2</v>
      </c>
    </row>
    <row r="227" spans="1:62" s="2064" customFormat="1" ht="25.5">
      <c r="D227" s="2246"/>
      <c r="E227" s="3684" t="s">
        <v>1039</v>
      </c>
      <c r="F227" s="2299" t="s">
        <v>1131</v>
      </c>
      <c r="G227" s="3685" t="s">
        <v>73</v>
      </c>
      <c r="H227" s="2247">
        <f t="shared" ref="H227:AM227" si="197">H$12/H$19*H226</f>
        <v>11.580789333942086</v>
      </c>
      <c r="I227" s="2247">
        <f t="shared" si="197"/>
        <v>11.580789333942086</v>
      </c>
      <c r="J227" s="2247">
        <f t="shared" si="197"/>
        <v>76.024489047988112</v>
      </c>
      <c r="K227" s="2247">
        <f t="shared" si="197"/>
        <v>2419.7900242894834</v>
      </c>
      <c r="L227" s="2247">
        <f t="shared" si="197"/>
        <v>452.41859419237551</v>
      </c>
      <c r="M227" s="2247">
        <f t="shared" si="197"/>
        <v>452.41859419237551</v>
      </c>
      <c r="N227" s="2247">
        <f t="shared" si="197"/>
        <v>892.31075487959924</v>
      </c>
      <c r="O227" s="2247">
        <f t="shared" si="197"/>
        <v>892.31075487959924</v>
      </c>
      <c r="P227" s="2247">
        <f t="shared" si="197"/>
        <v>974.17231068159253</v>
      </c>
      <c r="Q227" s="2247">
        <f t="shared" si="197"/>
        <v>974.17231068159253</v>
      </c>
      <c r="R227" s="2247">
        <f t="shared" si="197"/>
        <v>391.67292670217222</v>
      </c>
      <c r="S227" s="2247">
        <f t="shared" si="197"/>
        <v>367.38076262976642</v>
      </c>
      <c r="T227" s="2247">
        <f t="shared" si="197"/>
        <v>367.38076262976642</v>
      </c>
      <c r="U227" s="2247">
        <f t="shared" si="197"/>
        <v>1729.6125761388741</v>
      </c>
      <c r="V227" s="2247">
        <f t="shared" si="197"/>
        <v>2831.0326461996888</v>
      </c>
      <c r="W227" s="2247">
        <f t="shared" si="197"/>
        <v>2831.0326461996888</v>
      </c>
      <c r="X227" s="2247">
        <f t="shared" si="197"/>
        <v>543.10953265061062</v>
      </c>
      <c r="Y227" s="2247">
        <f t="shared" si="197"/>
        <v>376.40690790052395</v>
      </c>
      <c r="Z227" s="2247">
        <f t="shared" si="197"/>
        <v>222.91461234348682</v>
      </c>
      <c r="AA227" s="2247">
        <f t="shared" si="197"/>
        <v>1046.8109840962682</v>
      </c>
      <c r="AB227" s="2247">
        <f t="shared" si="197"/>
        <v>169.13038822723968</v>
      </c>
      <c r="AC227" s="2247">
        <f t="shared" si="197"/>
        <v>33.003168862567257</v>
      </c>
      <c r="AD227" s="2247">
        <f t="shared" si="197"/>
        <v>6.459819312394754</v>
      </c>
      <c r="AE227" s="2247">
        <f t="shared" si="197"/>
        <v>0.80548981646529538</v>
      </c>
      <c r="AF227" s="2247">
        <f t="shared" si="197"/>
        <v>3.3385515515627312E-3</v>
      </c>
      <c r="AG227" s="2247">
        <f t="shared" si="197"/>
        <v>3889.7404424357464</v>
      </c>
      <c r="AH227" s="2247">
        <f t="shared" si="197"/>
        <v>2912.402407369078</v>
      </c>
      <c r="AI227" s="2247">
        <f t="shared" si="197"/>
        <v>1184.2249547795018</v>
      </c>
      <c r="AJ227" s="2247">
        <f t="shared" si="197"/>
        <v>281.89663657732621</v>
      </c>
      <c r="AK227" s="2247">
        <f t="shared" si="197"/>
        <v>64.2641082161566</v>
      </c>
      <c r="AL227" s="2247">
        <f t="shared" si="197"/>
        <v>4.8718043235456072</v>
      </c>
      <c r="AM227" s="2247">
        <f t="shared" si="197"/>
        <v>3.3724087043273211E-2</v>
      </c>
      <c r="AN227" s="2247">
        <f t="shared" ref="AN227:BI227" si="198">AN$12/AN$19*AN226</f>
        <v>18.790023891079979</v>
      </c>
      <c r="AO227" s="2247">
        <f t="shared" si="198"/>
        <v>0.73312579845056114</v>
      </c>
      <c r="AP227" s="2247">
        <f t="shared" si="198"/>
        <v>1.2264831989577032</v>
      </c>
      <c r="AQ227" s="2247">
        <f t="shared" si="198"/>
        <v>0.49661985998967906</v>
      </c>
      <c r="AR227" s="2247">
        <f t="shared" si="198"/>
        <v>9.943171176694704E-2</v>
      </c>
      <c r="AS227" s="2247">
        <f t="shared" si="198"/>
        <v>0.12842796967466577</v>
      </c>
      <c r="AT227" s="2247">
        <f t="shared" si="198"/>
        <v>9.3746645873532125E-3</v>
      </c>
      <c r="AU227" s="2247">
        <f t="shared" si="198"/>
        <v>9.0185338942139221E-3</v>
      </c>
      <c r="AV227" s="2247">
        <f t="shared" si="198"/>
        <v>1.4387705181061045E-3</v>
      </c>
      <c r="AW227" s="2247">
        <f t="shared" si="198"/>
        <v>1.38637427401723E-3</v>
      </c>
      <c r="AX227" s="2247">
        <f t="shared" si="198"/>
        <v>4.8797843591209082E-5</v>
      </c>
      <c r="AY227" s="2247">
        <f t="shared" si="198"/>
        <v>3.3489769485975817E-5</v>
      </c>
      <c r="AZ227" s="2247">
        <f t="shared" si="198"/>
        <v>2.23638767032114E-5</v>
      </c>
      <c r="BA227" s="2247">
        <f t="shared" si="198"/>
        <v>3.8624699411720137E-6</v>
      </c>
      <c r="BB227" s="2247">
        <f t="shared" si="198"/>
        <v>6.1156045151905254E-5</v>
      </c>
      <c r="BC227" s="2247">
        <f t="shared" si="198"/>
        <v>1.6246181233548372E-11</v>
      </c>
      <c r="BD227" s="2247">
        <f t="shared" si="198"/>
        <v>5.8745403723414469E-2</v>
      </c>
      <c r="BE227" s="2247">
        <f t="shared" si="198"/>
        <v>1.3038466938750132E-3</v>
      </c>
      <c r="BF227" s="2247">
        <f t="shared" si="198"/>
        <v>1.3038466938750132E-3</v>
      </c>
      <c r="BG227" s="2247">
        <f t="shared" si="198"/>
        <v>2367.7453136301756</v>
      </c>
      <c r="BH227" s="2247">
        <f t="shared" si="198"/>
        <v>7.8118961443816165E-2</v>
      </c>
      <c r="BI227" s="2247">
        <f t="shared" si="198"/>
        <v>4.2310497535890743</v>
      </c>
      <c r="BJ227" s="2299"/>
    </row>
    <row r="228" spans="1:62" ht="25.5">
      <c r="A228" s="2248"/>
      <c r="B228" s="2249"/>
      <c r="C228" s="2250"/>
      <c r="D228" s="2265"/>
      <c r="E228" s="3655" t="s">
        <v>508</v>
      </c>
      <c r="F228" s="2153" t="s">
        <v>300</v>
      </c>
      <c r="G228" s="2154" t="s">
        <v>21</v>
      </c>
      <c r="H228" s="2251">
        <f t="shared" ref="H228:AM228" si="199">H213/H226</f>
        <v>5.9365113013875323E-3</v>
      </c>
      <c r="I228" s="2251">
        <f t="shared" si="199"/>
        <v>5.9365113013875323E-3</v>
      </c>
      <c r="J228" s="2251">
        <f t="shared" si="199"/>
        <v>6.1019860998314229E-3</v>
      </c>
      <c r="K228" s="2251">
        <f t="shared" si="199"/>
        <v>1.2274080808378277E-2</v>
      </c>
      <c r="L228" s="2251">
        <f t="shared" si="199"/>
        <v>8.5223806367607669E-3</v>
      </c>
      <c r="M228" s="2251">
        <f t="shared" si="199"/>
        <v>8.5223806367607669E-3</v>
      </c>
      <c r="N228" s="2251">
        <f t="shared" si="199"/>
        <v>9.1476639986970195E-3</v>
      </c>
      <c r="O228" s="2251">
        <f t="shared" si="199"/>
        <v>9.1476639986970195E-3</v>
      </c>
      <c r="P228" s="2251">
        <f t="shared" si="199"/>
        <v>8.3371114924833574E-3</v>
      </c>
      <c r="Q228" s="2251">
        <f t="shared" si="199"/>
        <v>8.3371114924833574E-3</v>
      </c>
      <c r="R228" s="2251">
        <f t="shared" si="199"/>
        <v>0.11808423552613562</v>
      </c>
      <c r="S228" s="2251">
        <f t="shared" si="199"/>
        <v>1.2042494378031517E-2</v>
      </c>
      <c r="T228" s="2251">
        <f t="shared" si="199"/>
        <v>1.2042494378031517E-2</v>
      </c>
      <c r="U228" s="2251">
        <f t="shared" si="199"/>
        <v>9.0318707835236375E-3</v>
      </c>
      <c r="V228" s="2251">
        <f t="shared" si="199"/>
        <v>3.2979629565195925E-3</v>
      </c>
      <c r="W228" s="2251">
        <f t="shared" si="199"/>
        <v>3.2979629565195925E-3</v>
      </c>
      <c r="X228" s="2251">
        <f t="shared" si="199"/>
        <v>9.4886106878186386E-3</v>
      </c>
      <c r="Y228" s="2251">
        <f t="shared" si="199"/>
        <v>8.5236672280404706E-3</v>
      </c>
      <c r="Z228" s="2251">
        <f t="shared" si="199"/>
        <v>7.8160420242031486E-3</v>
      </c>
      <c r="AA228" s="2251">
        <f t="shared" si="199"/>
        <v>7.8160420242031486E-3</v>
      </c>
      <c r="AB228" s="2251">
        <f t="shared" si="199"/>
        <v>3.6667851471570327E-3</v>
      </c>
      <c r="AC228" s="2251">
        <f t="shared" si="199"/>
        <v>3.3847247512218764E-3</v>
      </c>
      <c r="AD228" s="2251">
        <f t="shared" si="199"/>
        <v>2.9334281177256266E-3</v>
      </c>
      <c r="AE228" s="2251">
        <f t="shared" si="199"/>
        <v>2.3158643034675995E-3</v>
      </c>
      <c r="AF228" s="2251">
        <f t="shared" si="199"/>
        <v>1.8333925735785164E-3</v>
      </c>
      <c r="AG228" s="2251">
        <f t="shared" si="199"/>
        <v>5.4322742920844928E-3</v>
      </c>
      <c r="AH228" s="2251">
        <f t="shared" si="199"/>
        <v>4.4001421765884393E-3</v>
      </c>
      <c r="AI228" s="2251">
        <f t="shared" si="199"/>
        <v>3.3847247512218764E-3</v>
      </c>
      <c r="AJ228" s="2251">
        <f t="shared" si="199"/>
        <v>2.7500888603677748E-3</v>
      </c>
      <c r="AK228" s="2251">
        <f t="shared" si="199"/>
        <v>2.2000710882942196E-3</v>
      </c>
      <c r="AL228" s="2251">
        <f t="shared" si="199"/>
        <v>1.6296822876253479E-3</v>
      </c>
      <c r="AM228" s="2251">
        <f t="shared" si="199"/>
        <v>1.3750444301838874E-3</v>
      </c>
      <c r="AN228" s="2251">
        <f t="shared" ref="AN228:BI228" si="200">AN213/AN226</f>
        <v>3.4325159346192675E-3</v>
      </c>
      <c r="AO228" s="2251">
        <f t="shared" si="200"/>
        <v>2.8910263972328773E-3</v>
      </c>
      <c r="AP228" s="2251">
        <f t="shared" si="200"/>
        <v>2.8533442556179494E-3</v>
      </c>
      <c r="AQ228" s="2251">
        <f t="shared" si="200"/>
        <v>2.647498301196414E-3</v>
      </c>
      <c r="AR228" s="2251">
        <f t="shared" si="200"/>
        <v>2.4692155873111332E-3</v>
      </c>
      <c r="AS228" s="2251">
        <f t="shared" si="200"/>
        <v>2.4692155873111332E-3</v>
      </c>
      <c r="AT228" s="2251">
        <f t="shared" si="200"/>
        <v>2.1750579221890458E-3</v>
      </c>
      <c r="AU228" s="2251">
        <f t="shared" si="200"/>
        <v>2.1750579221890458E-3</v>
      </c>
      <c r="AV228" s="2251">
        <f t="shared" si="200"/>
        <v>1.927350931488585E-3</v>
      </c>
      <c r="AW228" s="2251">
        <f t="shared" si="200"/>
        <v>1.927350931488585E-3</v>
      </c>
      <c r="AX228" s="2251">
        <f t="shared" si="200"/>
        <v>1.7438737224906623E-3</v>
      </c>
      <c r="AY228" s="2251">
        <f t="shared" si="200"/>
        <v>1.7438737224906623E-3</v>
      </c>
      <c r="AZ228" s="2251">
        <f t="shared" si="200"/>
        <v>1.7440119605978753E-3</v>
      </c>
      <c r="BA228" s="2251">
        <f t="shared" si="200"/>
        <v>1.5805108392918249E-3</v>
      </c>
      <c r="BB228" s="2251">
        <f t="shared" si="200"/>
        <v>1.6396415921107617E-3</v>
      </c>
      <c r="BC228" s="2251">
        <f t="shared" si="200"/>
        <v>1.592523408102946E-3</v>
      </c>
      <c r="BD228" s="2251">
        <f t="shared" si="200"/>
        <v>9.4950436442171604E-3</v>
      </c>
      <c r="BE228" s="2251">
        <f t="shared" si="200"/>
        <v>1.7087930782867728E-3</v>
      </c>
      <c r="BF228" s="2251">
        <f t="shared" si="200"/>
        <v>1.7087930782867728E-3</v>
      </c>
      <c r="BG228" s="2251">
        <f t="shared" si="200"/>
        <v>3.5548517058227656E-3</v>
      </c>
      <c r="BH228" s="2251">
        <f t="shared" si="200"/>
        <v>6.252833619362518E-3</v>
      </c>
      <c r="BI228" s="2251">
        <f t="shared" si="200"/>
        <v>1.9453260149127835E-2</v>
      </c>
    </row>
    <row r="229" spans="1:62">
      <c r="A229" s="2266"/>
      <c r="B229" s="2267"/>
      <c r="C229" s="2268"/>
      <c r="D229" s="2265"/>
      <c r="E229" s="3655"/>
      <c r="F229" s="2153"/>
      <c r="G229" s="2154"/>
      <c r="H229" s="2251"/>
      <c r="I229" s="2251"/>
      <c r="J229" s="2251"/>
      <c r="K229" s="2251"/>
      <c r="L229" s="2251"/>
      <c r="M229" s="2251"/>
      <c r="N229" s="2251"/>
      <c r="O229" s="2251"/>
      <c r="P229" s="2251"/>
      <c r="Q229" s="2251"/>
      <c r="R229" s="2251"/>
      <c r="S229" s="2251"/>
      <c r="T229" s="2251"/>
      <c r="U229" s="2251"/>
      <c r="V229" s="2251"/>
      <c r="W229" s="2251"/>
      <c r="X229" s="2251"/>
      <c r="Y229" s="2251"/>
      <c r="Z229" s="2251"/>
      <c r="AA229" s="2251"/>
      <c r="AB229" s="2251"/>
      <c r="AC229" s="2251"/>
      <c r="AD229" s="2251"/>
      <c r="AE229" s="2251"/>
      <c r="AF229" s="2251"/>
      <c r="AG229" s="2251"/>
      <c r="AH229" s="2251"/>
      <c r="AI229" s="2251"/>
      <c r="AJ229" s="2251"/>
      <c r="AK229" s="2251"/>
      <c r="AL229" s="2251"/>
      <c r="AM229" s="2251"/>
      <c r="AN229" s="2251"/>
      <c r="AO229" s="2251"/>
      <c r="AP229" s="2251"/>
      <c r="AQ229" s="2251"/>
      <c r="AR229" s="2251"/>
      <c r="AS229" s="2251"/>
      <c r="AT229" s="2251"/>
      <c r="AU229" s="2251"/>
      <c r="AV229" s="2251"/>
      <c r="AW229" s="2251"/>
      <c r="AX229" s="2251"/>
      <c r="AY229" s="2251"/>
      <c r="AZ229" s="2251"/>
      <c r="BA229" s="2251"/>
      <c r="BB229" s="2251"/>
      <c r="BC229" s="2251"/>
      <c r="BD229" s="2251"/>
      <c r="BE229" s="2251"/>
      <c r="BF229" s="2251"/>
      <c r="BG229" s="2251"/>
      <c r="BH229" s="2251"/>
      <c r="BI229" s="2251"/>
    </row>
    <row r="230" spans="1:62">
      <c r="A230" s="2266"/>
      <c r="B230" s="2267"/>
      <c r="C230" s="2268"/>
      <c r="D230" s="2265"/>
      <c r="E230" s="3662" t="s">
        <v>500</v>
      </c>
      <c r="F230" s="2153"/>
      <c r="G230" s="2154"/>
      <c r="H230" s="2251"/>
      <c r="I230" s="2251"/>
      <c r="J230" s="2251"/>
      <c r="K230" s="2251"/>
      <c r="L230" s="2251"/>
      <c r="M230" s="2251"/>
      <c r="N230" s="2251"/>
      <c r="O230" s="2251"/>
      <c r="P230" s="2251"/>
      <c r="Q230" s="2251"/>
      <c r="R230" s="2251"/>
      <c r="S230" s="2251"/>
      <c r="T230" s="2251"/>
      <c r="U230" s="2251"/>
      <c r="V230" s="2251"/>
      <c r="W230" s="2251"/>
      <c r="X230" s="2251"/>
      <c r="Y230" s="2251"/>
      <c r="Z230" s="2251"/>
      <c r="AA230" s="2251"/>
      <c r="AB230" s="2251"/>
      <c r="AC230" s="2251"/>
      <c r="AD230" s="2251"/>
      <c r="AE230" s="2251"/>
      <c r="AF230" s="2251"/>
      <c r="AG230" s="2251"/>
      <c r="AH230" s="2251"/>
      <c r="AI230" s="2251"/>
      <c r="AJ230" s="2251"/>
      <c r="AK230" s="2251"/>
      <c r="AL230" s="2251"/>
      <c r="AM230" s="2251"/>
      <c r="AN230" s="2251"/>
      <c r="AO230" s="2251"/>
      <c r="AP230" s="2251"/>
      <c r="AQ230" s="2251"/>
      <c r="AR230" s="2251"/>
      <c r="AS230" s="2251"/>
      <c r="AT230" s="2251"/>
      <c r="AU230" s="2251"/>
      <c r="AV230" s="2251"/>
      <c r="AW230" s="2251"/>
      <c r="AX230" s="2251"/>
      <c r="AY230" s="2251"/>
      <c r="AZ230" s="2251"/>
      <c r="BA230" s="2251"/>
      <c r="BB230" s="2251"/>
      <c r="BC230" s="2251"/>
      <c r="BD230" s="2251"/>
      <c r="BE230" s="2251"/>
      <c r="BF230" s="2251"/>
      <c r="BG230" s="2251"/>
      <c r="BH230" s="2251"/>
      <c r="BI230" s="2251"/>
    </row>
    <row r="231" spans="1:62">
      <c r="A231" s="2266"/>
      <c r="B231" s="2267"/>
      <c r="C231" s="2268"/>
      <c r="D231" s="2265"/>
      <c r="E231" s="3662"/>
      <c r="F231" s="2153"/>
      <c r="G231" s="2154"/>
      <c r="H231" s="2251"/>
      <c r="I231" s="2251"/>
      <c r="J231" s="2251"/>
      <c r="K231" s="2251"/>
      <c r="L231" s="2251"/>
      <c r="M231" s="2251"/>
      <c r="N231" s="2251"/>
      <c r="O231" s="2251"/>
      <c r="P231" s="2251"/>
      <c r="Q231" s="2251"/>
      <c r="R231" s="2251"/>
      <c r="S231" s="2251"/>
      <c r="T231" s="2251"/>
      <c r="U231" s="2251"/>
      <c r="V231" s="2251"/>
      <c r="W231" s="2251"/>
      <c r="X231" s="2251"/>
      <c r="Y231" s="2251"/>
      <c r="Z231" s="2251"/>
      <c r="AA231" s="2251"/>
      <c r="AB231" s="2251"/>
      <c r="AC231" s="2251"/>
      <c r="AD231" s="2251"/>
      <c r="AE231" s="2251"/>
      <c r="AF231" s="2251"/>
      <c r="AG231" s="2251"/>
      <c r="AH231" s="2251"/>
      <c r="AI231" s="2251"/>
      <c r="AJ231" s="2251"/>
      <c r="AK231" s="2251"/>
      <c r="AL231" s="2251"/>
      <c r="AM231" s="2251"/>
      <c r="AN231" s="2251"/>
      <c r="AO231" s="2251"/>
      <c r="AP231" s="2251"/>
      <c r="AQ231" s="2251"/>
      <c r="AR231" s="2251"/>
      <c r="AS231" s="2251"/>
      <c r="AT231" s="2251"/>
      <c r="AU231" s="2251"/>
      <c r="AV231" s="2251"/>
      <c r="AW231" s="2251"/>
      <c r="AX231" s="2251"/>
      <c r="AY231" s="2251"/>
      <c r="AZ231" s="2251"/>
      <c r="BA231" s="2251"/>
      <c r="BB231" s="2251"/>
      <c r="BC231" s="2251"/>
      <c r="BD231" s="2251"/>
      <c r="BE231" s="2251"/>
      <c r="BF231" s="2251"/>
      <c r="BG231" s="2251"/>
      <c r="BH231" s="2251"/>
      <c r="BI231" s="2251"/>
    </row>
    <row r="232" spans="1:62">
      <c r="A232" s="2266"/>
      <c r="B232" s="2267"/>
      <c r="C232" s="2268"/>
      <c r="D232" s="2265"/>
      <c r="E232" s="3660" t="str">
        <f>E16</f>
        <v>Période chronique</v>
      </c>
      <c r="F232" s="2153"/>
      <c r="G232" s="2154"/>
      <c r="H232" s="2251"/>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2251"/>
      <c r="AD232" s="2251"/>
      <c r="AE232" s="2251"/>
      <c r="AF232" s="2251"/>
      <c r="AG232" s="2251"/>
      <c r="AH232" s="2251"/>
      <c r="AI232" s="2251"/>
      <c r="AJ232" s="2251"/>
      <c r="AK232" s="2251"/>
      <c r="AL232" s="2251"/>
      <c r="AM232" s="2251"/>
      <c r="AN232" s="2251"/>
      <c r="AO232" s="2251"/>
      <c r="AP232" s="2251"/>
      <c r="AQ232" s="2251"/>
      <c r="AR232" s="2251"/>
      <c r="AS232" s="2251"/>
      <c r="AT232" s="2251"/>
      <c r="AU232" s="2251"/>
      <c r="AV232" s="2251"/>
      <c r="AW232" s="2251"/>
      <c r="AX232" s="2251"/>
      <c r="AY232" s="2251"/>
      <c r="AZ232" s="2251"/>
      <c r="BA232" s="2251"/>
      <c r="BB232" s="2251"/>
      <c r="BC232" s="2251"/>
      <c r="BD232" s="2251"/>
      <c r="BE232" s="2251"/>
      <c r="BF232" s="2251"/>
      <c r="BG232" s="2251"/>
      <c r="BH232" s="2251"/>
      <c r="BI232" s="2251"/>
    </row>
    <row r="233" spans="1:62">
      <c r="A233" s="2126"/>
      <c r="B233" s="2156"/>
      <c r="C233" s="2156"/>
      <c r="D233" s="2243"/>
      <c r="E233" s="3655" t="str">
        <f t="shared" ref="E233:AJ233" si="201">E$17</f>
        <v>Durée d'exposition considérée</v>
      </c>
      <c r="F233" s="525" t="str">
        <f t="shared" si="201"/>
        <v>t</v>
      </c>
      <c r="G233" s="526" t="str">
        <f t="shared" si="201"/>
        <v>an</v>
      </c>
      <c r="H233" s="2224">
        <f t="shared" si="201"/>
        <v>7</v>
      </c>
      <c r="I233" s="2224">
        <f t="shared" si="201"/>
        <v>7</v>
      </c>
      <c r="J233" s="2224">
        <f t="shared" si="201"/>
        <v>7</v>
      </c>
      <c r="K233" s="2224">
        <f t="shared" si="201"/>
        <v>1</v>
      </c>
      <c r="L233" s="2224">
        <f t="shared" si="201"/>
        <v>1</v>
      </c>
      <c r="M233" s="2224">
        <f t="shared" si="201"/>
        <v>1</v>
      </c>
      <c r="N233" s="2224">
        <f t="shared" si="201"/>
        <v>1</v>
      </c>
      <c r="O233" s="2224">
        <f t="shared" si="201"/>
        <v>1</v>
      </c>
      <c r="P233" s="2224">
        <f t="shared" si="201"/>
        <v>1</v>
      </c>
      <c r="Q233" s="2224">
        <f t="shared" si="201"/>
        <v>1</v>
      </c>
      <c r="R233" s="2224">
        <f t="shared" si="201"/>
        <v>1</v>
      </c>
      <c r="S233" s="2224">
        <f t="shared" si="201"/>
        <v>1</v>
      </c>
      <c r="T233" s="2224">
        <f t="shared" si="201"/>
        <v>1</v>
      </c>
      <c r="U233" s="2224">
        <f t="shared" si="201"/>
        <v>1</v>
      </c>
      <c r="V233" s="2224">
        <f t="shared" si="201"/>
        <v>1</v>
      </c>
      <c r="W233" s="2224">
        <f t="shared" si="201"/>
        <v>1</v>
      </c>
      <c r="X233" s="2224">
        <f t="shared" si="201"/>
        <v>1</v>
      </c>
      <c r="Y233" s="2224">
        <f t="shared" si="201"/>
        <v>1</v>
      </c>
      <c r="Z233" s="2224">
        <f t="shared" si="201"/>
        <v>1</v>
      </c>
      <c r="AA233" s="2224">
        <f t="shared" si="201"/>
        <v>7</v>
      </c>
      <c r="AB233" s="2224">
        <f t="shared" si="201"/>
        <v>1</v>
      </c>
      <c r="AC233" s="2224">
        <f t="shared" si="201"/>
        <v>1</v>
      </c>
      <c r="AD233" s="2224">
        <f t="shared" si="201"/>
        <v>1</v>
      </c>
      <c r="AE233" s="2224">
        <f t="shared" si="201"/>
        <v>1</v>
      </c>
      <c r="AF233" s="2224">
        <f t="shared" si="201"/>
        <v>1</v>
      </c>
      <c r="AG233" s="2224">
        <f t="shared" si="201"/>
        <v>1</v>
      </c>
      <c r="AH233" s="2224">
        <f t="shared" si="201"/>
        <v>1</v>
      </c>
      <c r="AI233" s="2224">
        <f t="shared" si="201"/>
        <v>1</v>
      </c>
      <c r="AJ233" s="2224">
        <f t="shared" si="201"/>
        <v>1</v>
      </c>
      <c r="AK233" s="2224">
        <f t="shared" ref="AK233:BI233" si="202">AK$17</f>
        <v>1</v>
      </c>
      <c r="AL233" s="2224">
        <f t="shared" si="202"/>
        <v>1</v>
      </c>
      <c r="AM233" s="2224">
        <f t="shared" si="202"/>
        <v>1</v>
      </c>
      <c r="AN233" s="2224">
        <f t="shared" si="202"/>
        <v>7</v>
      </c>
      <c r="AO233" s="2224">
        <f t="shared" si="202"/>
        <v>1</v>
      </c>
      <c r="AP233" s="2224">
        <f t="shared" si="202"/>
        <v>1</v>
      </c>
      <c r="AQ233" s="2224">
        <f t="shared" si="202"/>
        <v>1</v>
      </c>
      <c r="AR233" s="2224">
        <f t="shared" si="202"/>
        <v>1</v>
      </c>
      <c r="AS233" s="2224">
        <f t="shared" si="202"/>
        <v>1</v>
      </c>
      <c r="AT233" s="2224">
        <f t="shared" si="202"/>
        <v>1</v>
      </c>
      <c r="AU233" s="2224">
        <f t="shared" si="202"/>
        <v>1</v>
      </c>
      <c r="AV233" s="2224">
        <f t="shared" si="202"/>
        <v>1</v>
      </c>
      <c r="AW233" s="2224">
        <f t="shared" si="202"/>
        <v>1</v>
      </c>
      <c r="AX233" s="2224">
        <f t="shared" si="202"/>
        <v>1</v>
      </c>
      <c r="AY233" s="2224">
        <f t="shared" si="202"/>
        <v>1</v>
      </c>
      <c r="AZ233" s="2224">
        <f t="shared" si="202"/>
        <v>1</v>
      </c>
      <c r="BA233" s="2224">
        <f t="shared" si="202"/>
        <v>1</v>
      </c>
      <c r="BB233" s="2224">
        <f t="shared" si="202"/>
        <v>1</v>
      </c>
      <c r="BC233" s="2224">
        <f t="shared" si="202"/>
        <v>1</v>
      </c>
      <c r="BD233" s="2224">
        <f t="shared" si="202"/>
        <v>1</v>
      </c>
      <c r="BE233" s="2224">
        <f t="shared" si="202"/>
        <v>1</v>
      </c>
      <c r="BF233" s="2224">
        <f t="shared" si="202"/>
        <v>1</v>
      </c>
      <c r="BG233" s="2224">
        <f t="shared" si="202"/>
        <v>1</v>
      </c>
      <c r="BH233" s="2224">
        <f t="shared" si="202"/>
        <v>1</v>
      </c>
      <c r="BI233" s="2224">
        <f t="shared" si="202"/>
        <v>7</v>
      </c>
    </row>
    <row r="234" spans="1:62" s="2244" customFormat="1" ht="23.25" customHeight="1">
      <c r="A234" s="2241"/>
      <c r="B234" s="276"/>
      <c r="C234" s="2242"/>
      <c r="D234" s="2243"/>
      <c r="E234" s="3655" t="s">
        <v>650</v>
      </c>
      <c r="F234" s="2153" t="s">
        <v>138</v>
      </c>
      <c r="G234" s="2154" t="s">
        <v>139</v>
      </c>
      <c r="H234" s="2161">
        <f t="shared" ref="H234:AM234" si="203">MIN(H$226,H$19)</f>
        <v>7.7376852016212191E-3</v>
      </c>
      <c r="I234" s="2161">
        <f t="shared" si="203"/>
        <v>7.7376852016212191E-3</v>
      </c>
      <c r="J234" s="2161">
        <f t="shared" si="203"/>
        <v>1.1786794409861003E-3</v>
      </c>
      <c r="K234" s="2161">
        <f t="shared" si="203"/>
        <v>3.7031519823149957E-5</v>
      </c>
      <c r="L234" s="2161">
        <f t="shared" si="203"/>
        <v>1.9806547167297369E-4</v>
      </c>
      <c r="M234" s="2161">
        <f t="shared" si="203"/>
        <v>1.9806547167297369E-4</v>
      </c>
      <c r="N234" s="2161">
        <f t="shared" si="203"/>
        <v>1.0042297681868412E-4</v>
      </c>
      <c r="O234" s="2161">
        <f t="shared" si="203"/>
        <v>1.0042297681868412E-4</v>
      </c>
      <c r="P234" s="2161">
        <f t="shared" si="203"/>
        <v>9.1984242694848056E-5</v>
      </c>
      <c r="Q234" s="2161">
        <f t="shared" si="203"/>
        <v>9.1984242694848056E-5</v>
      </c>
      <c r="R234" s="2161">
        <f t="shared" si="203"/>
        <v>2.2883214292577979E-4</v>
      </c>
      <c r="S234" s="2161">
        <f t="shared" si="203"/>
        <v>2.4391179769704181E-4</v>
      </c>
      <c r="T234" s="2161">
        <f t="shared" si="203"/>
        <v>2.4391179769704181E-4</v>
      </c>
      <c r="U234" s="2161">
        <f t="shared" si="203"/>
        <v>5.1808424319147455E-5</v>
      </c>
      <c r="V234" s="2161">
        <f t="shared" si="203"/>
        <v>3.1652232047774111E-5</v>
      </c>
      <c r="W234" s="2161">
        <f t="shared" si="203"/>
        <v>3.1652232047774111E-5</v>
      </c>
      <c r="X234" s="2161">
        <f t="shared" si="203"/>
        <v>1.6499158432187349E-4</v>
      </c>
      <c r="Y234" s="2161">
        <f t="shared" si="203"/>
        <v>2.3806285265098821E-4</v>
      </c>
      <c r="Z234" s="2161">
        <f t="shared" si="203"/>
        <v>4.0198577074103924E-4</v>
      </c>
      <c r="AA234" s="2161">
        <f t="shared" si="203"/>
        <v>8.5601415741445673E-5</v>
      </c>
      <c r="AB234" s="2161">
        <f t="shared" si="203"/>
        <v>5.2981905375833833E-4</v>
      </c>
      <c r="AC234" s="2161">
        <f t="shared" si="203"/>
        <v>2.7151484339424138E-3</v>
      </c>
      <c r="AD234" s="2161">
        <f t="shared" si="203"/>
        <v>1.3871673172096401E-2</v>
      </c>
      <c r="AE234" s="2161">
        <f t="shared" si="203"/>
        <v>2.9869500750778842E-2</v>
      </c>
      <c r="AF234" s="2161">
        <f t="shared" si="203"/>
        <v>2.9869500750778842E-2</v>
      </c>
      <c r="AG234" s="2161">
        <f t="shared" si="203"/>
        <v>2.3037141829500553E-5</v>
      </c>
      <c r="AH234" s="2161">
        <f t="shared" si="203"/>
        <v>3.0767898703010778E-5</v>
      </c>
      <c r="AI234" s="2161">
        <f t="shared" si="203"/>
        <v>7.5668479954487443E-5</v>
      </c>
      <c r="AJ234" s="2161">
        <f t="shared" si="203"/>
        <v>3.1787716001271374E-4</v>
      </c>
      <c r="AK234" s="2161">
        <f t="shared" si="203"/>
        <v>1.3943786779228675E-3</v>
      </c>
      <c r="AL234" s="2161">
        <f t="shared" si="203"/>
        <v>1.8393288461783119E-2</v>
      </c>
      <c r="AM234" s="2161">
        <f t="shared" si="203"/>
        <v>2.9869500750778842E-2</v>
      </c>
      <c r="AN234" s="2161">
        <f t="shared" ref="AN234:BI234" si="204">MIN(AN$226,AN$19)</f>
        <v>4.7689403042683503E-3</v>
      </c>
      <c r="AO234" s="2161">
        <f t="shared" si="204"/>
        <v>2.9869500750778842E-2</v>
      </c>
      <c r="AP234" s="2161">
        <f t="shared" si="204"/>
        <v>2.9869500750778842E-2</v>
      </c>
      <c r="AQ234" s="2161">
        <f t="shared" si="204"/>
        <v>2.9869500750778842E-2</v>
      </c>
      <c r="AR234" s="2161">
        <f t="shared" si="204"/>
        <v>2.9869500750778842E-2</v>
      </c>
      <c r="AS234" s="2161">
        <f t="shared" si="204"/>
        <v>2.9869500750778842E-2</v>
      </c>
      <c r="AT234" s="2161">
        <f t="shared" si="204"/>
        <v>2.9869500750778842E-2</v>
      </c>
      <c r="AU234" s="2161">
        <f t="shared" si="204"/>
        <v>2.9869500750778842E-2</v>
      </c>
      <c r="AV234" s="2161">
        <f t="shared" si="204"/>
        <v>2.9869500750778842E-2</v>
      </c>
      <c r="AW234" s="2161">
        <f t="shared" si="204"/>
        <v>2.9869500750778842E-2</v>
      </c>
      <c r="AX234" s="2161">
        <f t="shared" si="204"/>
        <v>2.9869500750778842E-2</v>
      </c>
      <c r="AY234" s="2161">
        <f t="shared" si="204"/>
        <v>2.9869500750778842E-2</v>
      </c>
      <c r="AZ234" s="2161">
        <f t="shared" si="204"/>
        <v>2.9869500750778842E-2</v>
      </c>
      <c r="BA234" s="2161">
        <f t="shared" si="204"/>
        <v>2.9869500750778842E-2</v>
      </c>
      <c r="BB234" s="2161">
        <f t="shared" si="204"/>
        <v>2.9869500750778842E-2</v>
      </c>
      <c r="BC234" s="2161">
        <f t="shared" si="204"/>
        <v>2.9869500750778842E-2</v>
      </c>
      <c r="BD234" s="2161">
        <f t="shared" si="204"/>
        <v>2.9869500750778842E-2</v>
      </c>
      <c r="BE234" s="2161">
        <f t="shared" si="204"/>
        <v>2.9869500750778842E-2</v>
      </c>
      <c r="BF234" s="2161">
        <f t="shared" si="204"/>
        <v>2.9869500750778842E-2</v>
      </c>
      <c r="BG234" s="2161">
        <f t="shared" si="204"/>
        <v>3.7845498726782705E-5</v>
      </c>
      <c r="BH234" s="2161">
        <f t="shared" si="204"/>
        <v>2.9869500750778842E-2</v>
      </c>
      <c r="BI234" s="2161">
        <f t="shared" si="204"/>
        <v>2.1178787173638004E-2</v>
      </c>
    </row>
    <row r="235" spans="1:62" ht="25.5">
      <c r="A235" s="2248"/>
      <c r="B235" s="2249"/>
      <c r="C235" s="2250"/>
      <c r="D235" s="2265"/>
      <c r="E235" s="3655" t="s">
        <v>509</v>
      </c>
      <c r="F235" s="2153" t="s">
        <v>300</v>
      </c>
      <c r="G235" s="2154" t="s">
        <v>21</v>
      </c>
      <c r="H235" s="2251">
        <f t="shared" ref="H235:AM235" si="205">H219/H234</f>
        <v>2.2916495586645127E-2</v>
      </c>
      <c r="I235" s="2251">
        <f t="shared" si="205"/>
        <v>2.2916495586645127E-2</v>
      </c>
      <c r="J235" s="2251">
        <f t="shared" si="205"/>
        <v>0.15463345847253657</v>
      </c>
      <c r="K235" s="2251">
        <f t="shared" si="205"/>
        <v>1</v>
      </c>
      <c r="L235" s="2251">
        <f t="shared" si="205"/>
        <v>1</v>
      </c>
      <c r="M235" s="2251">
        <f t="shared" si="205"/>
        <v>1</v>
      </c>
      <c r="N235" s="2251">
        <f t="shared" si="205"/>
        <v>1</v>
      </c>
      <c r="O235" s="2251">
        <f t="shared" si="205"/>
        <v>1</v>
      </c>
      <c r="P235" s="2251">
        <f t="shared" si="205"/>
        <v>1</v>
      </c>
      <c r="Q235" s="2251">
        <f t="shared" si="205"/>
        <v>1</v>
      </c>
      <c r="R235" s="2251">
        <f t="shared" si="205"/>
        <v>1</v>
      </c>
      <c r="S235" s="2251">
        <f t="shared" si="205"/>
        <v>1</v>
      </c>
      <c r="T235" s="2251">
        <f t="shared" si="205"/>
        <v>1</v>
      </c>
      <c r="U235" s="2251">
        <f t="shared" si="205"/>
        <v>1</v>
      </c>
      <c r="V235" s="2251">
        <f t="shared" si="205"/>
        <v>1</v>
      </c>
      <c r="W235" s="2251">
        <f t="shared" si="205"/>
        <v>1</v>
      </c>
      <c r="X235" s="2251">
        <f t="shared" si="205"/>
        <v>1</v>
      </c>
      <c r="Y235" s="2251">
        <f t="shared" si="205"/>
        <v>1</v>
      </c>
      <c r="Z235" s="2251">
        <f t="shared" si="205"/>
        <v>0.58076999262854889</v>
      </c>
      <c r="AA235" s="2251">
        <f t="shared" si="205"/>
        <v>1</v>
      </c>
      <c r="AB235" s="2251">
        <f t="shared" si="205"/>
        <v>0.20672159849484836</v>
      </c>
      <c r="AC235" s="2251">
        <f t="shared" si="205"/>
        <v>3.7235547505962176E-2</v>
      </c>
      <c r="AD235" s="2251">
        <f t="shared" si="205"/>
        <v>6.316471868801932E-3</v>
      </c>
      <c r="AE235" s="2251">
        <f t="shared" si="205"/>
        <v>2.3158643034675995E-3</v>
      </c>
      <c r="AF235" s="2251">
        <f t="shared" si="205"/>
        <v>1.8333925735785164E-3</v>
      </c>
      <c r="AG235" s="2251">
        <f t="shared" si="205"/>
        <v>1</v>
      </c>
      <c r="AH235" s="2251">
        <f t="shared" si="205"/>
        <v>1</v>
      </c>
      <c r="AI235" s="2251">
        <f t="shared" si="205"/>
        <v>1</v>
      </c>
      <c r="AJ235" s="2251">
        <f t="shared" si="205"/>
        <v>0.25841360000881591</v>
      </c>
      <c r="AK235" s="2251">
        <f t="shared" si="205"/>
        <v>4.7128535500459048E-2</v>
      </c>
      <c r="AL235" s="2251">
        <f t="shared" si="205"/>
        <v>2.6464977382862883E-3</v>
      </c>
      <c r="AM235" s="2251">
        <f t="shared" si="205"/>
        <v>1.3750444301838874E-3</v>
      </c>
      <c r="AN235" s="2251">
        <f t="shared" ref="AN235:BI235" si="206">AN219/AN234</f>
        <v>2.1499018806002922E-2</v>
      </c>
      <c r="AO235" s="2251">
        <f t="shared" si="206"/>
        <v>2.8910263972328773E-3</v>
      </c>
      <c r="AP235" s="2251">
        <f t="shared" si="206"/>
        <v>2.8533442556179494E-3</v>
      </c>
      <c r="AQ235" s="2251">
        <f t="shared" si="206"/>
        <v>2.647498301196414E-3</v>
      </c>
      <c r="AR235" s="2251">
        <f t="shared" si="206"/>
        <v>2.4692155873111332E-3</v>
      </c>
      <c r="AS235" s="2251">
        <f t="shared" si="206"/>
        <v>2.4692155873111332E-3</v>
      </c>
      <c r="AT235" s="2251">
        <f t="shared" si="206"/>
        <v>2.1750579221890458E-3</v>
      </c>
      <c r="AU235" s="2251">
        <f t="shared" si="206"/>
        <v>2.1750579221890458E-3</v>
      </c>
      <c r="AV235" s="2251">
        <f t="shared" si="206"/>
        <v>1.927350931488585E-3</v>
      </c>
      <c r="AW235" s="2251">
        <f t="shared" si="206"/>
        <v>1.927350931488585E-3</v>
      </c>
      <c r="AX235" s="2251">
        <f t="shared" si="206"/>
        <v>1.7438737224906623E-3</v>
      </c>
      <c r="AY235" s="2251">
        <f t="shared" si="206"/>
        <v>1.7438737224906623E-3</v>
      </c>
      <c r="AZ235" s="2251">
        <f t="shared" si="206"/>
        <v>1.7440119605978753E-3</v>
      </c>
      <c r="BA235" s="2251">
        <f t="shared" si="206"/>
        <v>1.5805108392918249E-3</v>
      </c>
      <c r="BB235" s="2251">
        <f t="shared" si="206"/>
        <v>1.6396415921107617E-3</v>
      </c>
      <c r="BC235" s="2251">
        <f t="shared" si="206"/>
        <v>1.592523408102946E-3</v>
      </c>
      <c r="BD235" s="2251">
        <f t="shared" si="206"/>
        <v>9.4950436442171604E-3</v>
      </c>
      <c r="BE235" s="2251">
        <f t="shared" si="206"/>
        <v>1.7087930782867728E-3</v>
      </c>
      <c r="BF235" s="2251">
        <f t="shared" si="206"/>
        <v>1.7087930782867728E-3</v>
      </c>
      <c r="BG235" s="2251">
        <f t="shared" si="206"/>
        <v>1</v>
      </c>
      <c r="BH235" s="2251">
        <f t="shared" si="206"/>
        <v>6.252833619362518E-3</v>
      </c>
      <c r="BI235" s="2251">
        <f t="shared" si="206"/>
        <v>2.7435903853490495E-2</v>
      </c>
    </row>
    <row r="236" spans="1:62">
      <c r="A236" s="2248"/>
      <c r="B236" s="2249"/>
      <c r="C236" s="2250"/>
      <c r="D236" s="2265"/>
      <c r="E236" s="3655"/>
      <c r="F236" s="2153"/>
      <c r="G236" s="2154"/>
      <c r="H236" s="2251"/>
      <c r="I236" s="2251"/>
      <c r="J236" s="2251"/>
      <c r="K236" s="2251"/>
      <c r="L236" s="2251"/>
      <c r="M236" s="2251"/>
      <c r="N236" s="2251"/>
      <c r="O236" s="2251"/>
      <c r="P236" s="2251"/>
      <c r="Q236" s="2251"/>
      <c r="R236" s="2251"/>
      <c r="S236" s="2251"/>
      <c r="T236" s="2251"/>
      <c r="U236" s="2251"/>
      <c r="V236" s="2251"/>
      <c r="W236" s="2251"/>
      <c r="X236" s="2251"/>
      <c r="Y236" s="2251"/>
      <c r="Z236" s="2251"/>
      <c r="AA236" s="2251"/>
      <c r="AB236" s="2251"/>
      <c r="AC236" s="2251"/>
      <c r="AD236" s="2251"/>
      <c r="AE236" s="2251"/>
      <c r="AF236" s="2251"/>
      <c r="AG236" s="2251"/>
      <c r="AH236" s="2251"/>
      <c r="AI236" s="2251"/>
      <c r="AJ236" s="2251"/>
      <c r="AK236" s="2251"/>
      <c r="AL236" s="2251"/>
      <c r="AM236" s="2251"/>
      <c r="AN236" s="2251"/>
      <c r="AO236" s="2251"/>
      <c r="AP236" s="2251"/>
      <c r="AQ236" s="2251"/>
      <c r="AR236" s="2251"/>
      <c r="AS236" s="2251"/>
      <c r="AT236" s="2251"/>
      <c r="AU236" s="2251"/>
      <c r="AV236" s="2251"/>
      <c r="AW236" s="2251"/>
      <c r="AX236" s="2251"/>
      <c r="AY236" s="2251"/>
      <c r="AZ236" s="2251"/>
      <c r="BA236" s="2251"/>
      <c r="BB236" s="2251"/>
      <c r="BC236" s="2251"/>
      <c r="BD236" s="2251"/>
      <c r="BE236" s="2251"/>
      <c r="BF236" s="2251"/>
      <c r="BG236" s="2251"/>
      <c r="BH236" s="2251"/>
      <c r="BI236" s="2251"/>
    </row>
    <row r="237" spans="1:62">
      <c r="A237" s="2248"/>
      <c r="B237" s="2249"/>
      <c r="C237" s="2250"/>
      <c r="D237" s="2265"/>
      <c r="E237" s="3659" t="str">
        <f>E26</f>
        <v>Période enfant 0-6 ans (effets sans seuil)</v>
      </c>
      <c r="F237" s="2153"/>
      <c r="G237" s="2154"/>
      <c r="H237" s="2251"/>
      <c r="I237" s="2251"/>
      <c r="J237" s="2251"/>
      <c r="K237" s="2251"/>
      <c r="L237" s="2251"/>
      <c r="M237" s="2251"/>
      <c r="N237" s="2251"/>
      <c r="O237" s="2251"/>
      <c r="P237" s="2251"/>
      <c r="Q237" s="2251"/>
      <c r="R237" s="2251"/>
      <c r="S237" s="2251"/>
      <c r="T237" s="2251"/>
      <c r="U237" s="2251"/>
      <c r="V237" s="2251"/>
      <c r="W237" s="2251"/>
      <c r="X237" s="2251"/>
      <c r="Y237" s="2251"/>
      <c r="Z237" s="2251"/>
      <c r="AA237" s="2251"/>
      <c r="AB237" s="2251"/>
      <c r="AC237" s="2251"/>
      <c r="AD237" s="2251"/>
      <c r="AE237" s="2251"/>
      <c r="AF237" s="2251"/>
      <c r="AG237" s="2251"/>
      <c r="AH237" s="2251"/>
      <c r="AI237" s="2251"/>
      <c r="AJ237" s="2251"/>
      <c r="AK237" s="2251"/>
      <c r="AL237" s="2251"/>
      <c r="AM237" s="2251"/>
      <c r="AN237" s="2251"/>
      <c r="AO237" s="2251"/>
      <c r="AP237" s="2251"/>
      <c r="AQ237" s="2251"/>
      <c r="AR237" s="2251"/>
      <c r="AS237" s="2251"/>
      <c r="AT237" s="2251"/>
      <c r="AU237" s="2251"/>
      <c r="AV237" s="2251"/>
      <c r="AW237" s="2251"/>
      <c r="AX237" s="2251"/>
      <c r="AY237" s="2251"/>
      <c r="AZ237" s="2251"/>
      <c r="BA237" s="2251"/>
      <c r="BB237" s="2251"/>
      <c r="BC237" s="2251"/>
      <c r="BD237" s="2251"/>
      <c r="BE237" s="2251"/>
      <c r="BF237" s="2251"/>
      <c r="BG237" s="2251"/>
      <c r="BH237" s="2251"/>
      <c r="BI237" s="2251"/>
    </row>
    <row r="238" spans="1:62" s="2244" customFormat="1" ht="23.25" customHeight="1">
      <c r="A238" s="2241"/>
      <c r="B238" s="276"/>
      <c r="C238" s="2242"/>
      <c r="D238" s="2243"/>
      <c r="E238" s="3655" t="s">
        <v>650</v>
      </c>
      <c r="F238" s="2153" t="s">
        <v>138</v>
      </c>
      <c r="G238" s="2154" t="s">
        <v>139</v>
      </c>
      <c r="H238" s="2161">
        <f t="shared" ref="H238:AM238" si="207">MIN(H$226,H$29)</f>
        <v>9.027299401891422E-3</v>
      </c>
      <c r="I238" s="2161">
        <f t="shared" si="207"/>
        <v>9.027299401891422E-3</v>
      </c>
      <c r="J238" s="2161">
        <f t="shared" si="207"/>
        <v>1.3751260144837835E-3</v>
      </c>
      <c r="K238" s="2161">
        <f t="shared" si="207"/>
        <v>6.1719199705249922E-6</v>
      </c>
      <c r="L238" s="2161">
        <f t="shared" si="207"/>
        <v>3.3010911945495617E-5</v>
      </c>
      <c r="M238" s="2161">
        <f t="shared" si="207"/>
        <v>3.3010911945495617E-5</v>
      </c>
      <c r="N238" s="2161">
        <f t="shared" si="207"/>
        <v>1.673716280311402E-5</v>
      </c>
      <c r="O238" s="2161">
        <f t="shared" si="207"/>
        <v>1.673716280311402E-5</v>
      </c>
      <c r="P238" s="2161">
        <f t="shared" si="207"/>
        <v>1.5330707115808009E-5</v>
      </c>
      <c r="Q238" s="2161">
        <f t="shared" si="207"/>
        <v>1.5330707115808009E-5</v>
      </c>
      <c r="R238" s="2161">
        <f t="shared" si="207"/>
        <v>3.8138690487629963E-5</v>
      </c>
      <c r="S238" s="2161">
        <f t="shared" si="207"/>
        <v>4.0651966282840303E-5</v>
      </c>
      <c r="T238" s="2161">
        <f t="shared" si="207"/>
        <v>4.0651966282840303E-5</v>
      </c>
      <c r="U238" s="2161">
        <f t="shared" si="207"/>
        <v>8.6347373865245747E-6</v>
      </c>
      <c r="V238" s="2161">
        <f t="shared" si="207"/>
        <v>5.2753720079623515E-6</v>
      </c>
      <c r="W238" s="2161">
        <f t="shared" si="207"/>
        <v>5.2753720079623515E-6</v>
      </c>
      <c r="X238" s="2161">
        <f t="shared" si="207"/>
        <v>2.7498597386978914E-5</v>
      </c>
      <c r="Y238" s="2161">
        <f t="shared" si="207"/>
        <v>3.9677142108498037E-5</v>
      </c>
      <c r="Z238" s="2161">
        <f t="shared" si="207"/>
        <v>6.6997628456839868E-5</v>
      </c>
      <c r="AA238" s="2161">
        <f t="shared" si="207"/>
        <v>9.9868318365019948E-5</v>
      </c>
      <c r="AB238" s="2161">
        <f t="shared" si="207"/>
        <v>8.8303175626389731E-5</v>
      </c>
      <c r="AC238" s="2161">
        <f t="shared" si="207"/>
        <v>4.5252473899040228E-4</v>
      </c>
      <c r="AD238" s="2161">
        <f t="shared" si="207"/>
        <v>2.3119455286827336E-3</v>
      </c>
      <c r="AE238" s="2161">
        <f t="shared" si="207"/>
        <v>1.8541203215860752E-2</v>
      </c>
      <c r="AF238" s="2161">
        <f t="shared" si="207"/>
        <v>2.9869500750778842E-2</v>
      </c>
      <c r="AG238" s="2161">
        <f t="shared" si="207"/>
        <v>3.8395236382500922E-6</v>
      </c>
      <c r="AH238" s="2161">
        <f t="shared" si="207"/>
        <v>5.1279831171684633E-6</v>
      </c>
      <c r="AI238" s="2161">
        <f t="shared" si="207"/>
        <v>1.2611413325747907E-5</v>
      </c>
      <c r="AJ238" s="2161">
        <f t="shared" si="207"/>
        <v>5.2979526668785625E-5</v>
      </c>
      <c r="AK238" s="2161">
        <f t="shared" si="207"/>
        <v>2.3239644632047792E-4</v>
      </c>
      <c r="AL238" s="2161">
        <f t="shared" si="207"/>
        <v>3.0655480769638532E-3</v>
      </c>
      <c r="AM238" s="2161">
        <f t="shared" si="207"/>
        <v>2.9869500750778842E-2</v>
      </c>
      <c r="AN238" s="2161">
        <f t="shared" ref="AN238:BI238" si="208">MIN(AN$226,AN$29)</f>
        <v>5.5637636883130752E-3</v>
      </c>
      <c r="AO238" s="2161">
        <f t="shared" si="208"/>
        <v>2.0371333824227109E-2</v>
      </c>
      <c r="AP238" s="2161">
        <f t="shared" si="208"/>
        <v>1.2176889490277039E-2</v>
      </c>
      <c r="AQ238" s="2161">
        <f t="shared" si="208"/>
        <v>2.9869500750778842E-2</v>
      </c>
      <c r="AR238" s="2161">
        <f t="shared" si="208"/>
        <v>2.9869500750778842E-2</v>
      </c>
      <c r="AS238" s="2161">
        <f t="shared" si="208"/>
        <v>2.9869500750778842E-2</v>
      </c>
      <c r="AT238" s="2161">
        <f t="shared" si="208"/>
        <v>2.9869500750778842E-2</v>
      </c>
      <c r="AU238" s="2161">
        <f t="shared" si="208"/>
        <v>2.9869500750778842E-2</v>
      </c>
      <c r="AV238" s="2161">
        <f t="shared" si="208"/>
        <v>2.9869500750778842E-2</v>
      </c>
      <c r="AW238" s="2161">
        <f t="shared" si="208"/>
        <v>2.9869500750778842E-2</v>
      </c>
      <c r="AX238" s="2161">
        <f t="shared" si="208"/>
        <v>2.9869500750778842E-2</v>
      </c>
      <c r="AY238" s="2161">
        <f t="shared" si="208"/>
        <v>2.9869500750778842E-2</v>
      </c>
      <c r="AZ238" s="2161">
        <f t="shared" si="208"/>
        <v>2.9869500750778842E-2</v>
      </c>
      <c r="BA238" s="2161">
        <f t="shared" si="208"/>
        <v>2.9869500750778842E-2</v>
      </c>
      <c r="BB238" s="2161">
        <f t="shared" si="208"/>
        <v>2.9869500750778842E-2</v>
      </c>
      <c r="BC238" s="2161">
        <f t="shared" si="208"/>
        <v>2.9869500750778842E-2</v>
      </c>
      <c r="BD238" s="2161">
        <f t="shared" si="208"/>
        <v>2.9869500750778842E-2</v>
      </c>
      <c r="BE238" s="2161">
        <f t="shared" si="208"/>
        <v>2.9869500750778842E-2</v>
      </c>
      <c r="BF238" s="2161">
        <f t="shared" si="208"/>
        <v>2.9869500750778842E-2</v>
      </c>
      <c r="BG238" s="2161">
        <f t="shared" si="208"/>
        <v>6.3075831211304503E-6</v>
      </c>
      <c r="BH238" s="2161">
        <f t="shared" si="208"/>
        <v>2.9869500750778842E-2</v>
      </c>
      <c r="BI238" s="2161">
        <f t="shared" si="208"/>
        <v>2.4708585035911005E-2</v>
      </c>
    </row>
    <row r="239" spans="1:62" s="2244" customFormat="1">
      <c r="A239" s="2241"/>
      <c r="B239" s="224"/>
      <c r="C239" s="2242"/>
      <c r="D239" s="2243"/>
      <c r="E239" s="3655"/>
      <c r="F239" s="2153"/>
      <c r="G239" s="2154"/>
      <c r="H239" s="2161"/>
      <c r="I239" s="2161"/>
      <c r="J239" s="2161"/>
      <c r="K239" s="2161"/>
      <c r="L239" s="2161"/>
      <c r="M239" s="2161"/>
      <c r="N239" s="2161"/>
      <c r="O239" s="2161"/>
      <c r="P239" s="2161"/>
      <c r="Q239" s="2161"/>
      <c r="R239" s="2161"/>
      <c r="S239" s="2161"/>
      <c r="T239" s="2161"/>
      <c r="U239" s="2161"/>
      <c r="V239" s="2161"/>
      <c r="W239" s="2161"/>
      <c r="X239" s="2161"/>
      <c r="Y239" s="2161"/>
      <c r="Z239" s="2161"/>
      <c r="AA239" s="2161"/>
      <c r="AB239" s="2161"/>
      <c r="AC239" s="2161"/>
      <c r="AD239" s="2161"/>
      <c r="AE239" s="2161"/>
      <c r="AF239" s="2161"/>
      <c r="AG239" s="2161"/>
      <c r="AH239" s="2161"/>
      <c r="AI239" s="2161"/>
      <c r="AJ239" s="2161"/>
      <c r="AK239" s="2161"/>
      <c r="AL239" s="2161"/>
      <c r="AM239" s="2161"/>
      <c r="AN239" s="2161"/>
      <c r="AO239" s="2161"/>
      <c r="AP239" s="2161"/>
      <c r="AQ239" s="2161"/>
      <c r="AR239" s="2161"/>
      <c r="AS239" s="2161"/>
      <c r="AT239" s="2161"/>
      <c r="AU239" s="2161"/>
      <c r="AV239" s="2161"/>
      <c r="AW239" s="2161"/>
      <c r="AX239" s="2161"/>
      <c r="AY239" s="2161"/>
      <c r="AZ239" s="2161"/>
      <c r="BA239" s="2161"/>
      <c r="BB239" s="2161"/>
      <c r="BC239" s="2161"/>
      <c r="BD239" s="2161"/>
      <c r="BE239" s="2161"/>
      <c r="BF239" s="2161"/>
      <c r="BG239" s="2161"/>
      <c r="BH239" s="2161"/>
      <c r="BI239" s="2161"/>
    </row>
    <row r="240" spans="1:62">
      <c r="A240" s="2248"/>
      <c r="B240" s="2267"/>
      <c r="C240" s="2250"/>
      <c r="D240" s="2265"/>
      <c r="E240" s="3659" t="str">
        <f>E31</f>
        <v>Période vie entière 0-70 ans (effets sans seuil)</v>
      </c>
      <c r="F240" s="2153"/>
      <c r="G240" s="2154"/>
      <c r="H240" s="2251"/>
      <c r="I240" s="2251"/>
      <c r="J240" s="2251"/>
      <c r="K240" s="2251"/>
      <c r="L240" s="2251"/>
      <c r="M240" s="2251"/>
      <c r="N240" s="2251"/>
      <c r="O240" s="2251"/>
      <c r="P240" s="2251"/>
      <c r="Q240" s="2251"/>
      <c r="R240" s="2251"/>
      <c r="S240" s="2251"/>
      <c r="T240" s="2251"/>
      <c r="U240" s="2251"/>
      <c r="V240" s="2251"/>
      <c r="W240" s="2251"/>
      <c r="X240" s="2251"/>
      <c r="Y240" s="2251"/>
      <c r="Z240" s="2251"/>
      <c r="AA240" s="2251"/>
      <c r="AB240" s="2251"/>
      <c r="AC240" s="2251"/>
      <c r="AD240" s="2251"/>
      <c r="AE240" s="2251"/>
      <c r="AF240" s="2251"/>
      <c r="AG240" s="2251"/>
      <c r="AH240" s="2251"/>
      <c r="AI240" s="2251"/>
      <c r="AJ240" s="2251"/>
      <c r="AK240" s="2251"/>
      <c r="AL240" s="2251"/>
      <c r="AM240" s="2251"/>
      <c r="AN240" s="2251"/>
      <c r="AO240" s="2251"/>
      <c r="AP240" s="2251"/>
      <c r="AQ240" s="2251"/>
      <c r="AR240" s="2251"/>
      <c r="AS240" s="2251"/>
      <c r="AT240" s="2251"/>
      <c r="AU240" s="2251"/>
      <c r="AV240" s="2251"/>
      <c r="AW240" s="2251"/>
      <c r="AX240" s="2251"/>
      <c r="AY240" s="2251"/>
      <c r="AZ240" s="2251"/>
      <c r="BA240" s="2251"/>
      <c r="BB240" s="2251"/>
      <c r="BC240" s="2251"/>
      <c r="BD240" s="2251"/>
      <c r="BE240" s="2251"/>
      <c r="BF240" s="2251"/>
      <c r="BG240" s="2251"/>
      <c r="BH240" s="2251"/>
      <c r="BI240" s="2251"/>
    </row>
    <row r="241" spans="1:62" s="2244" customFormat="1" ht="23.25" customHeight="1">
      <c r="A241" s="2241"/>
      <c r="B241" s="276"/>
      <c r="C241" s="2242"/>
      <c r="D241" s="2243"/>
      <c r="E241" s="3655" t="s">
        <v>650</v>
      </c>
      <c r="F241" s="2153" t="s">
        <v>138</v>
      </c>
      <c r="G241" s="2154" t="s">
        <v>139</v>
      </c>
      <c r="H241" s="2161">
        <f t="shared" ref="H241:AM241" si="209">MIN(H$226,H$34)</f>
        <v>7.7376852016212191E-4</v>
      </c>
      <c r="I241" s="2161">
        <f t="shared" si="209"/>
        <v>7.7376852016212191E-4</v>
      </c>
      <c r="J241" s="2161">
        <f t="shared" si="209"/>
        <v>1.1786794409861001E-4</v>
      </c>
      <c r="K241" s="2161">
        <f t="shared" si="209"/>
        <v>5.2902171175928501E-7</v>
      </c>
      <c r="L241" s="2161">
        <f t="shared" si="209"/>
        <v>2.8295067381853387E-6</v>
      </c>
      <c r="M241" s="2161">
        <f t="shared" si="209"/>
        <v>2.8295067381853387E-6</v>
      </c>
      <c r="N241" s="2161">
        <f t="shared" si="209"/>
        <v>1.4346139545526303E-6</v>
      </c>
      <c r="O241" s="2161">
        <f t="shared" si="209"/>
        <v>1.4346139545526303E-6</v>
      </c>
      <c r="P241" s="2161">
        <f t="shared" si="209"/>
        <v>1.314060609926401E-6</v>
      </c>
      <c r="Q241" s="2161">
        <f t="shared" si="209"/>
        <v>1.314060609926401E-6</v>
      </c>
      <c r="R241" s="2161">
        <f t="shared" si="209"/>
        <v>3.2690306132254255E-6</v>
      </c>
      <c r="S241" s="2161">
        <f t="shared" si="209"/>
        <v>3.4844542528148829E-6</v>
      </c>
      <c r="T241" s="2161">
        <f t="shared" si="209"/>
        <v>3.4844542528148829E-6</v>
      </c>
      <c r="U241" s="2161">
        <f t="shared" si="209"/>
        <v>7.4012034741639221E-7</v>
      </c>
      <c r="V241" s="2161">
        <f t="shared" si="209"/>
        <v>4.5217474353963014E-7</v>
      </c>
      <c r="W241" s="2161">
        <f t="shared" si="209"/>
        <v>4.5217474353963014E-7</v>
      </c>
      <c r="X241" s="2161">
        <f t="shared" si="209"/>
        <v>2.3570226331696212E-6</v>
      </c>
      <c r="Y241" s="2161">
        <f t="shared" si="209"/>
        <v>3.4008978950141175E-6</v>
      </c>
      <c r="Z241" s="2161">
        <f t="shared" si="209"/>
        <v>5.7426538677291316E-6</v>
      </c>
      <c r="AA241" s="2161">
        <f t="shared" si="209"/>
        <v>8.560141574144568E-6</v>
      </c>
      <c r="AB241" s="2161">
        <f t="shared" si="209"/>
        <v>7.5688436251191195E-6</v>
      </c>
      <c r="AC241" s="2161">
        <f t="shared" si="209"/>
        <v>3.8787834770605911E-5</v>
      </c>
      <c r="AD241" s="2161">
        <f t="shared" si="209"/>
        <v>1.9816675960137716E-4</v>
      </c>
      <c r="AE241" s="2161">
        <f t="shared" si="209"/>
        <v>1.5892459899309215E-3</v>
      </c>
      <c r="AF241" s="2161">
        <f t="shared" si="209"/>
        <v>2.9869500750778842E-2</v>
      </c>
      <c r="AG241" s="2161">
        <f t="shared" si="209"/>
        <v>3.291020261357222E-7</v>
      </c>
      <c r="AH241" s="2161">
        <f t="shared" si="209"/>
        <v>4.3954141004301113E-7</v>
      </c>
      <c r="AI241" s="2161">
        <f t="shared" si="209"/>
        <v>1.0809782850641064E-6</v>
      </c>
      <c r="AJ241" s="2161">
        <f t="shared" si="209"/>
        <v>4.5411022858959111E-6</v>
      </c>
      <c r="AK241" s="2161">
        <f t="shared" si="209"/>
        <v>1.991969539889811E-5</v>
      </c>
      <c r="AL241" s="2161">
        <f t="shared" si="209"/>
        <v>2.6276126373975885E-4</v>
      </c>
      <c r="AM241" s="2161">
        <f t="shared" si="209"/>
        <v>2.9869500750778842E-2</v>
      </c>
      <c r="AN241" s="2161">
        <f t="shared" ref="AN241:BI241" si="210">MIN(AN$226,AN$34)</f>
        <v>4.7689403042683499E-4</v>
      </c>
      <c r="AO241" s="2161">
        <f t="shared" si="210"/>
        <v>1.7461143277908949E-3</v>
      </c>
      <c r="AP241" s="2161">
        <f t="shared" si="210"/>
        <v>1.0437333848808891E-3</v>
      </c>
      <c r="AQ241" s="2161">
        <f t="shared" si="210"/>
        <v>2.5776686835968835E-3</v>
      </c>
      <c r="AR241" s="2161">
        <f t="shared" si="210"/>
        <v>1.2874378183773771E-2</v>
      </c>
      <c r="AS241" s="2161">
        <f t="shared" si="210"/>
        <v>9.9676220373994349E-3</v>
      </c>
      <c r="AT241" s="2161">
        <f t="shared" si="210"/>
        <v>2.9869500750778842E-2</v>
      </c>
      <c r="AU241" s="2161">
        <f t="shared" si="210"/>
        <v>2.9869500750778842E-2</v>
      </c>
      <c r="AV241" s="2161">
        <f t="shared" si="210"/>
        <v>2.9869500750778842E-2</v>
      </c>
      <c r="AW241" s="2161">
        <f t="shared" si="210"/>
        <v>2.9869500750778842E-2</v>
      </c>
      <c r="AX241" s="2161">
        <f t="shared" si="210"/>
        <v>2.9869500750778842E-2</v>
      </c>
      <c r="AY241" s="2161">
        <f t="shared" si="210"/>
        <v>2.9869500750778842E-2</v>
      </c>
      <c r="AZ241" s="2161">
        <f t="shared" si="210"/>
        <v>2.9869500750778842E-2</v>
      </c>
      <c r="BA241" s="2161">
        <f t="shared" si="210"/>
        <v>2.9869500750778842E-2</v>
      </c>
      <c r="BB241" s="2161">
        <f t="shared" si="210"/>
        <v>2.9869500750778842E-2</v>
      </c>
      <c r="BC241" s="2161">
        <f t="shared" si="210"/>
        <v>2.9869500750778842E-2</v>
      </c>
      <c r="BD241" s="2161">
        <f t="shared" si="210"/>
        <v>2.1791006267907215E-2</v>
      </c>
      <c r="BE241" s="2161">
        <f t="shared" si="210"/>
        <v>2.9869500750778842E-2</v>
      </c>
      <c r="BF241" s="2161">
        <f t="shared" si="210"/>
        <v>2.9869500750778842E-2</v>
      </c>
      <c r="BG241" s="2161">
        <f t="shared" si="210"/>
        <v>5.4064998181118143E-7</v>
      </c>
      <c r="BH241" s="2161">
        <f t="shared" si="210"/>
        <v>1.6386821292655552E-2</v>
      </c>
      <c r="BI241" s="2161">
        <f t="shared" si="210"/>
        <v>2.1178787173638004E-3</v>
      </c>
    </row>
    <row r="242" spans="1:62" s="2244" customFormat="1">
      <c r="A242" s="2241"/>
      <c r="B242" s="224"/>
      <c r="C242" s="2242"/>
      <c r="D242" s="2243"/>
      <c r="E242" s="3655"/>
      <c r="F242" s="2153"/>
      <c r="G242" s="2154"/>
      <c r="H242" s="2161"/>
      <c r="I242" s="2161"/>
      <c r="J242" s="2161"/>
      <c r="K242" s="2161"/>
      <c r="L242" s="2161"/>
      <c r="M242" s="2161"/>
      <c r="N242" s="2161"/>
      <c r="O242" s="2161"/>
      <c r="P242" s="2161"/>
      <c r="Q242" s="2161"/>
      <c r="R242" s="2161"/>
      <c r="S242" s="2161"/>
      <c r="T242" s="2161"/>
      <c r="U242" s="2161"/>
      <c r="V242" s="2161"/>
      <c r="W242" s="2161"/>
      <c r="X242" s="2161"/>
      <c r="Y242" s="2161"/>
      <c r="Z242" s="2161"/>
      <c r="AA242" s="2161"/>
      <c r="AB242" s="2161"/>
      <c r="AC242" s="2161"/>
      <c r="AD242" s="2161"/>
      <c r="AE242" s="2161"/>
      <c r="AF242" s="2161"/>
      <c r="AG242" s="2161"/>
      <c r="AH242" s="2161"/>
      <c r="AI242" s="2161"/>
      <c r="AJ242" s="2161"/>
      <c r="AK242" s="2161"/>
      <c r="AL242" s="2161"/>
      <c r="AM242" s="2161"/>
      <c r="AN242" s="2161"/>
      <c r="AO242" s="2161"/>
      <c r="AP242" s="2161"/>
      <c r="AQ242" s="2161"/>
      <c r="AR242" s="2161"/>
      <c r="AS242" s="2161"/>
      <c r="AT242" s="2161"/>
      <c r="AU242" s="2161"/>
      <c r="AV242" s="2161"/>
      <c r="AW242" s="2161"/>
      <c r="AX242" s="2161"/>
      <c r="AY242" s="2161"/>
      <c r="AZ242" s="2161"/>
      <c r="BA242" s="2161"/>
      <c r="BB242" s="2161"/>
      <c r="BC242" s="2161"/>
      <c r="BD242" s="2161"/>
      <c r="BE242" s="2161"/>
      <c r="BF242" s="2161"/>
      <c r="BG242" s="2161"/>
      <c r="BH242" s="2161"/>
      <c r="BI242" s="2161"/>
    </row>
    <row r="243" spans="1:62">
      <c r="A243" s="2248"/>
      <c r="B243" s="2267"/>
      <c r="C243" s="2250"/>
      <c r="D243" s="2243"/>
      <c r="E243" s="3660" t="str">
        <f>E36</f>
        <v>Période employé (40 ans)</v>
      </c>
      <c r="F243" s="2153"/>
      <c r="G243" s="2154"/>
      <c r="H243" s="2251"/>
      <c r="I243" s="2251"/>
      <c r="J243" s="2251"/>
      <c r="K243" s="2251"/>
      <c r="L243" s="2251"/>
      <c r="M243" s="2251"/>
      <c r="N243" s="2251"/>
      <c r="O243" s="2251"/>
      <c r="P243" s="2251"/>
      <c r="Q243" s="2251"/>
      <c r="R243" s="2251"/>
      <c r="S243" s="2251"/>
      <c r="T243" s="2251"/>
      <c r="U243" s="2251"/>
      <c r="V243" s="2251"/>
      <c r="W243" s="2251"/>
      <c r="X243" s="2251"/>
      <c r="Y243" s="2251"/>
      <c r="Z243" s="2251"/>
      <c r="AA243" s="2251"/>
      <c r="AB243" s="2251"/>
      <c r="AC243" s="2251"/>
      <c r="AD243" s="2251"/>
      <c r="AE243" s="2251"/>
      <c r="AF243" s="2251"/>
      <c r="AG243" s="2251"/>
      <c r="AH243" s="2251"/>
      <c r="AI243" s="2251"/>
      <c r="AJ243" s="2251"/>
      <c r="AK243" s="2251"/>
      <c r="AL243" s="2251"/>
      <c r="AM243" s="2251"/>
      <c r="AN243" s="2251"/>
      <c r="AO243" s="2251"/>
      <c r="AP243" s="2251"/>
      <c r="AQ243" s="2251"/>
      <c r="AR243" s="2251"/>
      <c r="AS243" s="2251"/>
      <c r="AT243" s="2251"/>
      <c r="AU243" s="2251"/>
      <c r="AV243" s="2251"/>
      <c r="AW243" s="2251"/>
      <c r="AX243" s="2251"/>
      <c r="AY243" s="2251"/>
      <c r="AZ243" s="2251"/>
      <c r="BA243" s="2251"/>
      <c r="BB243" s="2251"/>
      <c r="BC243" s="2251"/>
      <c r="BD243" s="2251"/>
      <c r="BE243" s="2251"/>
      <c r="BF243" s="2251"/>
      <c r="BG243" s="2251"/>
      <c r="BH243" s="2251"/>
      <c r="BI243" s="2251"/>
    </row>
    <row r="244" spans="1:62" s="2244" customFormat="1" ht="23.25" customHeight="1">
      <c r="A244" s="2241"/>
      <c r="B244" s="276"/>
      <c r="C244" s="2242"/>
      <c r="D244" s="2243"/>
      <c r="E244" s="3655" t="s">
        <v>650</v>
      </c>
      <c r="F244" s="2153" t="s">
        <v>138</v>
      </c>
      <c r="G244" s="2154" t="s">
        <v>139</v>
      </c>
      <c r="H244" s="2161">
        <f t="shared" ref="H244:AM244" si="211">MIN(H$226,H$39)</f>
        <v>1.3540949102837133E-3</v>
      </c>
      <c r="I244" s="2161">
        <f t="shared" si="211"/>
        <v>1.3540949102837133E-3</v>
      </c>
      <c r="J244" s="2161">
        <f t="shared" si="211"/>
        <v>2.0626890217256754E-4</v>
      </c>
      <c r="K244" s="2161">
        <f t="shared" si="211"/>
        <v>9.2578799557874888E-7</v>
      </c>
      <c r="L244" s="2161">
        <f t="shared" si="211"/>
        <v>4.9516367918243421E-6</v>
      </c>
      <c r="M244" s="2161">
        <f t="shared" si="211"/>
        <v>4.9516367918243421E-6</v>
      </c>
      <c r="N244" s="2161">
        <f t="shared" si="211"/>
        <v>2.5105744204671032E-6</v>
      </c>
      <c r="O244" s="2161">
        <f t="shared" si="211"/>
        <v>2.5105744204671032E-6</v>
      </c>
      <c r="P244" s="2161">
        <f t="shared" si="211"/>
        <v>2.2996060673712017E-6</v>
      </c>
      <c r="Q244" s="2161">
        <f t="shared" si="211"/>
        <v>2.2996060673712017E-6</v>
      </c>
      <c r="R244" s="2161">
        <f t="shared" si="211"/>
        <v>5.720803573144495E-6</v>
      </c>
      <c r="S244" s="2161">
        <f t="shared" si="211"/>
        <v>6.0977949424260457E-6</v>
      </c>
      <c r="T244" s="2161">
        <f t="shared" si="211"/>
        <v>6.0977949424260457E-6</v>
      </c>
      <c r="U244" s="2161">
        <f t="shared" si="211"/>
        <v>1.2952106079786864E-6</v>
      </c>
      <c r="V244" s="2161">
        <f t="shared" si="211"/>
        <v>7.9130580119435269E-7</v>
      </c>
      <c r="W244" s="2161">
        <f t="shared" si="211"/>
        <v>7.9130580119435269E-7</v>
      </c>
      <c r="X244" s="2161">
        <f t="shared" si="211"/>
        <v>4.124789608046837E-6</v>
      </c>
      <c r="Y244" s="2161">
        <f t="shared" si="211"/>
        <v>5.9515713162747051E-6</v>
      </c>
      <c r="Z244" s="2161">
        <f t="shared" si="211"/>
        <v>1.004964426852598E-5</v>
      </c>
      <c r="AA244" s="2161">
        <f t="shared" si="211"/>
        <v>1.4980247754752993E-5</v>
      </c>
      <c r="AB244" s="2161">
        <f t="shared" si="211"/>
        <v>1.3245476343958458E-5</v>
      </c>
      <c r="AC244" s="2161">
        <f t="shared" si="211"/>
        <v>6.7878710848560343E-5</v>
      </c>
      <c r="AD244" s="2161">
        <f t="shared" si="211"/>
        <v>3.4679182930241005E-4</v>
      </c>
      <c r="AE244" s="2161">
        <f t="shared" si="211"/>
        <v>2.7811804823791126E-3</v>
      </c>
      <c r="AF244" s="2161">
        <f t="shared" si="211"/>
        <v>2.9869500750778842E-2</v>
      </c>
      <c r="AG244" s="2161">
        <f t="shared" si="211"/>
        <v>5.7592854573751388E-7</v>
      </c>
      <c r="AH244" s="2161">
        <f t="shared" si="211"/>
        <v>7.6919746757526942E-7</v>
      </c>
      <c r="AI244" s="2161">
        <f t="shared" si="211"/>
        <v>1.8917119988621861E-6</v>
      </c>
      <c r="AJ244" s="2161">
        <f t="shared" si="211"/>
        <v>7.9469290003178434E-6</v>
      </c>
      <c r="AK244" s="2161">
        <f t="shared" si="211"/>
        <v>3.4859466948071687E-5</v>
      </c>
      <c r="AL244" s="2161">
        <f t="shared" si="211"/>
        <v>4.59832211544578E-4</v>
      </c>
      <c r="AM244" s="2161">
        <f t="shared" si="211"/>
        <v>2.9869500750778842E-2</v>
      </c>
      <c r="AN244" s="2161">
        <f t="shared" ref="AN244:BI244" si="212">MIN(AN$226,AN$39)</f>
        <v>8.3456455324696125E-4</v>
      </c>
      <c r="AO244" s="2161">
        <f t="shared" si="212"/>
        <v>3.055700073634066E-3</v>
      </c>
      <c r="AP244" s="2161">
        <f t="shared" si="212"/>
        <v>1.826533423541556E-3</v>
      </c>
      <c r="AQ244" s="2161">
        <f t="shared" si="212"/>
        <v>4.5109201962945464E-3</v>
      </c>
      <c r="AR244" s="2161">
        <f t="shared" si="212"/>
        <v>2.2530161821604101E-2</v>
      </c>
      <c r="AS244" s="2161">
        <f t="shared" si="212"/>
        <v>1.744333856544901E-2</v>
      </c>
      <c r="AT244" s="2161">
        <f t="shared" si="212"/>
        <v>2.9869500750778842E-2</v>
      </c>
      <c r="AU244" s="2161">
        <f t="shared" si="212"/>
        <v>2.9869500750778842E-2</v>
      </c>
      <c r="AV244" s="2161">
        <f t="shared" si="212"/>
        <v>2.9869500750778842E-2</v>
      </c>
      <c r="AW244" s="2161">
        <f t="shared" si="212"/>
        <v>2.9869500750778842E-2</v>
      </c>
      <c r="AX244" s="2161">
        <f t="shared" si="212"/>
        <v>2.9869500750778842E-2</v>
      </c>
      <c r="AY244" s="2161">
        <f t="shared" si="212"/>
        <v>2.9869500750778842E-2</v>
      </c>
      <c r="AZ244" s="2161">
        <f t="shared" si="212"/>
        <v>2.9869500750778842E-2</v>
      </c>
      <c r="BA244" s="2161">
        <f t="shared" si="212"/>
        <v>2.9869500750778842E-2</v>
      </c>
      <c r="BB244" s="2161">
        <f t="shared" si="212"/>
        <v>2.9869500750778842E-2</v>
      </c>
      <c r="BC244" s="2161">
        <f t="shared" si="212"/>
        <v>2.9869500750778842E-2</v>
      </c>
      <c r="BD244" s="2161">
        <f t="shared" si="212"/>
        <v>2.9869500750778842E-2</v>
      </c>
      <c r="BE244" s="2161">
        <f t="shared" si="212"/>
        <v>2.9869500750778842E-2</v>
      </c>
      <c r="BF244" s="2161">
        <f t="shared" si="212"/>
        <v>2.9869500750778842E-2</v>
      </c>
      <c r="BG244" s="2161">
        <f t="shared" si="212"/>
        <v>9.4613746816956763E-7</v>
      </c>
      <c r="BH244" s="2161">
        <f t="shared" si="212"/>
        <v>2.8676937262147213E-2</v>
      </c>
      <c r="BI244" s="2161">
        <f t="shared" si="212"/>
        <v>3.7062877553866507E-3</v>
      </c>
    </row>
    <row r="245" spans="1:62" s="2177" customFormat="1" ht="13.5" thickBot="1">
      <c r="A245" s="2353"/>
      <c r="B245" s="2354"/>
      <c r="C245" s="2355"/>
      <c r="D245" s="2243"/>
      <c r="E245" s="3661"/>
      <c r="F245" s="2356"/>
      <c r="G245" s="2350"/>
      <c r="H245" s="2357"/>
      <c r="I245" s="2357"/>
      <c r="J245" s="2357"/>
      <c r="K245" s="2357"/>
      <c r="L245" s="2357"/>
      <c r="M245" s="2357"/>
      <c r="N245" s="2357"/>
      <c r="O245" s="2357"/>
      <c r="P245" s="2357"/>
      <c r="Q245" s="2357"/>
      <c r="R245" s="2357"/>
      <c r="S245" s="2357"/>
      <c r="T245" s="2357"/>
      <c r="U245" s="2357"/>
      <c r="V245" s="2357"/>
      <c r="W245" s="2357"/>
      <c r="X245" s="2357"/>
      <c r="Y245" s="2357"/>
      <c r="Z245" s="2357"/>
      <c r="AA245" s="2357"/>
      <c r="AB245" s="2357"/>
      <c r="AC245" s="2357"/>
      <c r="AD245" s="2357"/>
      <c r="AE245" s="2357"/>
      <c r="AF245" s="2357"/>
      <c r="AG245" s="2357"/>
      <c r="AH245" s="2357"/>
      <c r="AI245" s="2357"/>
      <c r="AJ245" s="2357"/>
      <c r="AK245" s="2357"/>
      <c r="AL245" s="2357"/>
      <c r="AM245" s="2357"/>
      <c r="AN245" s="2357"/>
      <c r="AO245" s="2357"/>
      <c r="AP245" s="2357"/>
      <c r="AQ245" s="2357"/>
      <c r="AR245" s="2357"/>
      <c r="AS245" s="2357"/>
      <c r="AT245" s="2357"/>
      <c r="AU245" s="2357"/>
      <c r="AV245" s="2357"/>
      <c r="AW245" s="2357"/>
      <c r="AX245" s="2357"/>
      <c r="AY245" s="2357"/>
      <c r="AZ245" s="2357"/>
      <c r="BA245" s="2357"/>
      <c r="BB245" s="2357"/>
      <c r="BC245" s="2357"/>
      <c r="BD245" s="2357"/>
      <c r="BE245" s="2357"/>
      <c r="BF245" s="2357"/>
      <c r="BG245" s="2357"/>
      <c r="BH245" s="2357"/>
      <c r="BI245" s="2357"/>
    </row>
    <row r="246" spans="1:62">
      <c r="A246" s="2248"/>
      <c r="B246" s="2267"/>
      <c r="C246" s="2250"/>
      <c r="D246" s="2243"/>
      <c r="E246" s="3669" t="s">
        <v>1139</v>
      </c>
      <c r="F246" s="2359"/>
      <c r="G246" s="2358"/>
      <c r="H246" s="2251"/>
      <c r="I246" s="2251"/>
      <c r="J246" s="2251"/>
      <c r="K246" s="2251"/>
      <c r="L246" s="2251"/>
      <c r="M246" s="2251"/>
      <c r="N246" s="2251"/>
      <c r="O246" s="2251"/>
      <c r="P246" s="2251"/>
      <c r="Q246" s="2251"/>
      <c r="R246" s="2251"/>
      <c r="S246" s="2251"/>
      <c r="T246" s="2251"/>
      <c r="U246" s="2251"/>
      <c r="V246" s="2251"/>
      <c r="W246" s="2251"/>
      <c r="X246" s="2251"/>
      <c r="Y246" s="2251"/>
      <c r="Z246" s="2251"/>
      <c r="AA246" s="2251"/>
      <c r="AB246" s="2251"/>
      <c r="AC246" s="2251"/>
      <c r="AD246" s="2251"/>
      <c r="AE246" s="2251"/>
      <c r="AF246" s="2251"/>
      <c r="AG246" s="2251"/>
      <c r="AH246" s="2251"/>
      <c r="AI246" s="2251"/>
      <c r="AJ246" s="2251"/>
      <c r="AK246" s="2251"/>
      <c r="AL246" s="2251"/>
      <c r="AM246" s="2251"/>
      <c r="AN246" s="2251"/>
      <c r="AO246" s="2251"/>
      <c r="AP246" s="2251"/>
      <c r="AQ246" s="2251"/>
      <c r="AR246" s="2251"/>
      <c r="AS246" s="2251"/>
      <c r="AT246" s="2251"/>
      <c r="AU246" s="2251"/>
      <c r="AV246" s="2251"/>
      <c r="AW246" s="2251"/>
      <c r="AX246" s="2251"/>
      <c r="AY246" s="2251"/>
      <c r="AZ246" s="2251"/>
      <c r="BA246" s="2251"/>
      <c r="BB246" s="2251"/>
      <c r="BC246" s="2251"/>
      <c r="BD246" s="2251"/>
      <c r="BE246" s="2251"/>
      <c r="BF246" s="2251"/>
      <c r="BG246" s="2251"/>
      <c r="BH246" s="2251"/>
      <c r="BI246" s="2251"/>
    </row>
    <row r="247" spans="1:62">
      <c r="A247" s="2248"/>
      <c r="B247" s="2267"/>
      <c r="C247" s="2250"/>
      <c r="D247" s="2243"/>
      <c r="E247" s="3655"/>
      <c r="F247" s="2153"/>
      <c r="G247" s="2154"/>
      <c r="H247" s="2251"/>
      <c r="I247" s="2251"/>
      <c r="J247" s="2251"/>
      <c r="K247" s="2251"/>
      <c r="L247" s="2251"/>
      <c r="M247" s="2251"/>
      <c r="N247" s="2251"/>
      <c r="O247" s="2251"/>
      <c r="P247" s="2251"/>
      <c r="Q247" s="2251"/>
      <c r="R247" s="2251"/>
      <c r="S247" s="2251"/>
      <c r="T247" s="2251"/>
      <c r="U247" s="2251"/>
      <c r="V247" s="2251"/>
      <c r="W247" s="2251"/>
      <c r="X247" s="2251"/>
      <c r="Y247" s="2251"/>
      <c r="Z247" s="2251"/>
      <c r="AA247" s="2251"/>
      <c r="AB247" s="2251"/>
      <c r="AC247" s="2251"/>
      <c r="AD247" s="2251"/>
      <c r="AE247" s="2251"/>
      <c r="AF247" s="2251"/>
      <c r="AG247" s="2251"/>
      <c r="AH247" s="2251"/>
      <c r="AI247" s="2251"/>
      <c r="AJ247" s="2251"/>
      <c r="AK247" s="2251"/>
      <c r="AL247" s="2251"/>
      <c r="AM247" s="2251"/>
      <c r="AN247" s="2251"/>
      <c r="AO247" s="2251"/>
      <c r="AP247" s="2251"/>
      <c r="AQ247" s="2251"/>
      <c r="AR247" s="2251"/>
      <c r="AS247" s="2251"/>
      <c r="AT247" s="2251"/>
      <c r="AU247" s="2251"/>
      <c r="AV247" s="2251"/>
      <c r="AW247" s="2251"/>
      <c r="AX247" s="2251"/>
      <c r="AY247" s="2251"/>
      <c r="AZ247" s="2251"/>
      <c r="BA247" s="2251"/>
      <c r="BB247" s="2251"/>
      <c r="BC247" s="2251"/>
      <c r="BD247" s="2251"/>
      <c r="BE247" s="2251"/>
      <c r="BF247" s="2251"/>
      <c r="BG247" s="2251"/>
      <c r="BH247" s="2251"/>
      <c r="BI247" s="2251"/>
    </row>
    <row r="248" spans="1:62" s="2193" customFormat="1" ht="25.5">
      <c r="B248" s="2236"/>
      <c r="C248" s="2236"/>
      <c r="D248" s="2243"/>
      <c r="E248" s="3670" t="s">
        <v>602</v>
      </c>
      <c r="F248" s="2217" t="s">
        <v>580</v>
      </c>
      <c r="G248" s="2218" t="str">
        <f>'Du K'!G$47</f>
        <v>(mg/m2/s)/(mg/l/m)</v>
      </c>
      <c r="H248" s="2236">
        <f>'Du K'!H$47</f>
        <v>1.9159627734629636E-4</v>
      </c>
      <c r="I248" s="2236">
        <f>'Du K'!I$47</f>
        <v>1.9159627734629636E-4</v>
      </c>
      <c r="J248" s="2236">
        <f>'Du K'!J$47</f>
        <v>1.6071467255706864E-4</v>
      </c>
      <c r="K248" s="2236">
        <f>'Du K'!K$47</f>
        <v>3.099490129549467E-4</v>
      </c>
      <c r="L248" s="2236">
        <f>'Du K'!L$47</f>
        <v>2.154539868716845E-4</v>
      </c>
      <c r="M248" s="2236">
        <f>'Du K'!M$47</f>
        <v>2.154539868716845E-4</v>
      </c>
      <c r="N248" s="2236">
        <f>'Du K'!N$47</f>
        <v>2.3105952278671638E-4</v>
      </c>
      <c r="O248" s="2236">
        <f>'Du K'!O$47</f>
        <v>2.3105952278671638E-4</v>
      </c>
      <c r="P248" s="2236">
        <f>'Du K'!P$47</f>
        <v>2.1056150999831108E-4</v>
      </c>
      <c r="Q248" s="2236">
        <f>'Du K'!Q$47</f>
        <v>2.1056150999831108E-4</v>
      </c>
      <c r="R248" s="2236">
        <f>'Du K'!R$47</f>
        <v>2.9826785993674505E-3</v>
      </c>
      <c r="S248" s="2236">
        <f>'Du K'!S$47</f>
        <v>3.0433620271631741E-4</v>
      </c>
      <c r="T248" s="2236">
        <f>'Du K'!T$47</f>
        <v>3.0433620271631741E-4</v>
      </c>
      <c r="U248" s="2236">
        <f>'Du K'!U$47</f>
        <v>2.2810231436902058E-4</v>
      </c>
      <c r="V248" s="2236">
        <f>'Du K'!V$47</f>
        <v>8.3283203817867459E-5</v>
      </c>
      <c r="W248" s="2236">
        <f>'Du K'!W$47</f>
        <v>8.3283203817867459E-5</v>
      </c>
      <c r="X248" s="2236">
        <f>'Du K'!X$47</f>
        <v>2.3973378529884719E-4</v>
      </c>
      <c r="Y248" s="2236">
        <f>'Du K'!Y$47</f>
        <v>2.1533892865267568E-4</v>
      </c>
      <c r="Z248" s="2236">
        <f>'Du K'!Z$47</f>
        <v>1.9744539702761256E-4</v>
      </c>
      <c r="AA248" s="2236">
        <f>'Du K'!AA$47</f>
        <v>1.9747346219845099E-4</v>
      </c>
      <c r="AB248" s="2236">
        <f>'Du K'!AB$47</f>
        <v>9.2613185438208126E-5</v>
      </c>
      <c r="AC248" s="2236">
        <f>'Du K'!AC$47</f>
        <v>8.5532338652184915E-5</v>
      </c>
      <c r="AD248" s="2236">
        <f>'Du K'!AD$47</f>
        <v>7.4214880404602782E-5</v>
      </c>
      <c r="AE248" s="2236">
        <f>'Du K'!AE$47</f>
        <v>5.8930203647059292E-5</v>
      </c>
      <c r="AF248" s="2236">
        <f>'Du K'!AF$47</f>
        <v>5.3206939689122174E-5</v>
      </c>
      <c r="AG248" s="2236">
        <f>'Du K'!AG$47</f>
        <v>1.3717655649032317E-4</v>
      </c>
      <c r="AH248" s="2236">
        <f>'Du K'!AH$47</f>
        <v>1.1111289627743701E-4</v>
      </c>
      <c r="AI248" s="2236">
        <f>'Du K'!AI$47</f>
        <v>8.5471394571485736E-5</v>
      </c>
      <c r="AJ248" s="2236">
        <f>'Du K'!AJ$47</f>
        <v>6.944547915373997E-5</v>
      </c>
      <c r="AK248" s="2236">
        <f>'Du K'!AK$47</f>
        <v>5.5556347709955414E-5</v>
      </c>
      <c r="AL248" s="2236">
        <f>'Du K'!AL$47</f>
        <v>4.1152843081368337E-5</v>
      </c>
      <c r="AM248" s="2236">
        <f>'Du K'!AM$47</f>
        <v>3.4722710988504891E-5</v>
      </c>
      <c r="AN248" s="2236">
        <f>'Du K'!AN$47</f>
        <v>8.8751752863654547E-5</v>
      </c>
      <c r="AO248" s="2236">
        <f>'Du K'!AO$47</f>
        <v>7.5157906736941809E-5</v>
      </c>
      <c r="AP248" s="2236">
        <f>'Du K'!AP$47</f>
        <v>7.3520304327643436E-5</v>
      </c>
      <c r="AQ248" s="2236">
        <f>'Du K'!AQ$47</f>
        <v>6.8950559553842763E-5</v>
      </c>
      <c r="AR248" s="2236">
        <f>'Du K'!AR$47</f>
        <v>6.7112546334183802E-5</v>
      </c>
      <c r="AS248" s="2236">
        <f>'Du K'!AS$47</f>
        <v>6.6249840729710685E-5</v>
      </c>
      <c r="AT248" s="2236">
        <f>'Du K'!AT$47</f>
        <v>6.8096094535064936E-5</v>
      </c>
      <c r="AU248" s="2236">
        <f>'Du K'!AU$47</f>
        <v>6.972920508296619E-5</v>
      </c>
      <c r="AV248" s="2236">
        <f>'Du K'!AV$47</f>
        <v>6.9468560136792736E-5</v>
      </c>
      <c r="AW248" s="2236">
        <f>'Du K'!AW$47</f>
        <v>7.5708251167043585E-5</v>
      </c>
      <c r="AX248" s="2236">
        <f>'Du K'!AX$47</f>
        <v>7.2571461172120768E-4</v>
      </c>
      <c r="AY248" s="2236">
        <f>'Du K'!AY$47</f>
        <v>7.2571461172120768E-4</v>
      </c>
      <c r="AZ248" s="2236">
        <f>'Du K'!AZ$47</f>
        <v>9.8707850032651585E-4</v>
      </c>
      <c r="BA248" s="2236">
        <f>'Du K'!BA$47</f>
        <v>1.3399490006351796E-3</v>
      </c>
      <c r="BB248" s="2236">
        <f>'Du K'!BB$47</f>
        <v>1.7805230633235368E-4</v>
      </c>
      <c r="BC248" s="2236">
        <f>'Du K'!BC$47</f>
        <v>194.27300552401812</v>
      </c>
      <c r="BD248" s="2236">
        <f>'Du K'!BD$47</f>
        <v>2.1306962850719362E-3</v>
      </c>
      <c r="BE248" s="2236">
        <f>'Du K'!BE$47</f>
        <v>5.584189215638962E-5</v>
      </c>
      <c r="BF248" s="2236">
        <f>'Du K'!BF$47</f>
        <v>5.584189215638962E-5</v>
      </c>
      <c r="BG248" s="2236">
        <f>'Du K'!BG$47</f>
        <v>8.9828904678261023E-5</v>
      </c>
      <c r="BH248" s="2236">
        <f>'Du K'!BH$47</f>
        <v>1.102364880153907E-3</v>
      </c>
      <c r="BI248" s="2236">
        <f>'Du K'!BI$47</f>
        <v>8.6058458905717604E-4</v>
      </c>
    </row>
    <row r="249" spans="1:62">
      <c r="A249" s="2126"/>
      <c r="B249" s="2156"/>
      <c r="C249" s="2156"/>
      <c r="D249" s="2243"/>
      <c r="E249" s="3652"/>
      <c r="F249" s="2153"/>
      <c r="G249" s="2154"/>
      <c r="H249" s="2156"/>
      <c r="I249" s="2156"/>
      <c r="J249" s="2156"/>
      <c r="K249" s="2156"/>
      <c r="L249" s="2156"/>
      <c r="M249" s="2156"/>
      <c r="N249" s="2156"/>
      <c r="O249" s="2156"/>
      <c r="P249" s="2156"/>
      <c r="Q249" s="2156"/>
      <c r="S249" s="2156"/>
      <c r="T249" s="2156"/>
      <c r="U249" s="2156"/>
      <c r="V249" s="2156"/>
      <c r="W249" s="2156"/>
      <c r="X249" s="2156"/>
      <c r="Y249" s="2156"/>
      <c r="Z249" s="2156"/>
      <c r="AA249" s="2156"/>
      <c r="AB249" s="2156"/>
      <c r="AC249" s="2156"/>
      <c r="AD249" s="2156"/>
      <c r="AE249" s="2156"/>
      <c r="AF249" s="2156"/>
      <c r="AG249" s="2156"/>
      <c r="AH249" s="2156"/>
      <c r="AI249" s="2156"/>
      <c r="AJ249" s="2156"/>
      <c r="AK249" s="2156"/>
      <c r="AL249" s="2156"/>
      <c r="AM249" s="2156"/>
      <c r="AN249" s="2156"/>
      <c r="AO249" s="2156"/>
      <c r="AP249" s="2156"/>
      <c r="AQ249" s="2156"/>
      <c r="AR249" s="2156"/>
      <c r="AS249" s="2156"/>
      <c r="AT249" s="2156"/>
      <c r="AU249" s="2156"/>
      <c r="AV249" s="2156"/>
      <c r="AW249" s="2156"/>
      <c r="AX249" s="2156"/>
      <c r="AY249" s="2156"/>
      <c r="AZ249" s="2156"/>
      <c r="BA249" s="2156"/>
      <c r="BB249" s="2156"/>
      <c r="BC249" s="2156"/>
      <c r="BD249" s="2156"/>
      <c r="BE249" s="2156"/>
      <c r="BF249" s="2156"/>
      <c r="BG249" s="2156"/>
      <c r="BH249" s="2156"/>
      <c r="BI249" s="2156"/>
    </row>
    <row r="250" spans="1:62">
      <c r="A250" s="2126"/>
      <c r="B250" s="2156"/>
      <c r="C250" s="2156"/>
      <c r="D250" s="2243"/>
      <c r="E250" s="3659" t="str">
        <f>E16</f>
        <v>Période chronique</v>
      </c>
      <c r="F250" s="2153"/>
      <c r="G250" s="2154"/>
      <c r="H250" s="2156"/>
      <c r="I250" s="2156"/>
      <c r="J250" s="2156"/>
      <c r="K250" s="2156"/>
      <c r="L250" s="2156"/>
      <c r="M250" s="2156"/>
      <c r="N250" s="2156"/>
      <c r="O250" s="2156"/>
      <c r="P250" s="2156"/>
      <c r="Q250" s="2156"/>
      <c r="S250" s="2156"/>
      <c r="T250" s="2156"/>
      <c r="U250" s="2156"/>
      <c r="V250" s="2156"/>
      <c r="W250" s="2156"/>
      <c r="X250" s="2156"/>
      <c r="Y250" s="2156"/>
      <c r="Z250" s="2156"/>
      <c r="AA250" s="2156"/>
      <c r="AB250" s="2156"/>
      <c r="AC250" s="2156"/>
      <c r="AD250" s="2156"/>
      <c r="AE250" s="2156"/>
      <c r="AF250" s="2156"/>
      <c r="AG250" s="2156"/>
      <c r="AH250" s="2156"/>
      <c r="AI250" s="2156"/>
      <c r="AJ250" s="2156"/>
      <c r="AK250" s="2156"/>
      <c r="AL250" s="2156"/>
      <c r="AM250" s="2156"/>
      <c r="AN250" s="2156"/>
      <c r="AO250" s="2156"/>
      <c r="AP250" s="2156"/>
      <c r="AQ250" s="2156"/>
      <c r="AR250" s="2156"/>
      <c r="AS250" s="2156"/>
      <c r="AT250" s="2156"/>
      <c r="AU250" s="2156"/>
      <c r="AV250" s="2156"/>
      <c r="AW250" s="2156"/>
      <c r="AX250" s="2156"/>
      <c r="AY250" s="2156"/>
      <c r="AZ250" s="2156"/>
      <c r="BA250" s="2156"/>
      <c r="BB250" s="2156"/>
      <c r="BC250" s="2156"/>
      <c r="BD250" s="2156"/>
      <c r="BE250" s="2156"/>
      <c r="BF250" s="2156"/>
      <c r="BG250" s="2156"/>
      <c r="BH250" s="2156"/>
      <c r="BI250" s="2156"/>
    </row>
    <row r="251" spans="1:62" s="2100" customFormat="1" ht="13.15" customHeight="1">
      <c r="D251" s="2243"/>
      <c r="E251" s="3655" t="str">
        <f t="shared" ref="E251:AJ251" si="213">E$17</f>
        <v>Durée d'exposition considérée</v>
      </c>
      <c r="F251" s="525" t="str">
        <f t="shared" si="213"/>
        <v>t</v>
      </c>
      <c r="G251" s="526" t="str">
        <f t="shared" si="213"/>
        <v>an</v>
      </c>
      <c r="H251" s="527">
        <f t="shared" si="213"/>
        <v>7</v>
      </c>
      <c r="I251" s="527">
        <f t="shared" si="213"/>
        <v>7</v>
      </c>
      <c r="J251" s="527">
        <f t="shared" si="213"/>
        <v>7</v>
      </c>
      <c r="K251" s="527">
        <f t="shared" si="213"/>
        <v>1</v>
      </c>
      <c r="L251" s="527">
        <f t="shared" si="213"/>
        <v>1</v>
      </c>
      <c r="M251" s="527">
        <f t="shared" si="213"/>
        <v>1</v>
      </c>
      <c r="N251" s="527">
        <f t="shared" si="213"/>
        <v>1</v>
      </c>
      <c r="O251" s="527">
        <f t="shared" si="213"/>
        <v>1</v>
      </c>
      <c r="P251" s="527">
        <f t="shared" si="213"/>
        <v>1</v>
      </c>
      <c r="Q251" s="527">
        <f t="shared" si="213"/>
        <v>1</v>
      </c>
      <c r="R251" s="527">
        <f t="shared" si="213"/>
        <v>1</v>
      </c>
      <c r="S251" s="527">
        <f t="shared" si="213"/>
        <v>1</v>
      </c>
      <c r="T251" s="527">
        <f t="shared" si="213"/>
        <v>1</v>
      </c>
      <c r="U251" s="527">
        <f t="shared" si="213"/>
        <v>1</v>
      </c>
      <c r="V251" s="527">
        <f t="shared" si="213"/>
        <v>1</v>
      </c>
      <c r="W251" s="527">
        <f t="shared" si="213"/>
        <v>1</v>
      </c>
      <c r="X251" s="527">
        <f t="shared" si="213"/>
        <v>1</v>
      </c>
      <c r="Y251" s="527">
        <f t="shared" si="213"/>
        <v>1</v>
      </c>
      <c r="Z251" s="527">
        <f t="shared" si="213"/>
        <v>1</v>
      </c>
      <c r="AA251" s="528">
        <f t="shared" si="213"/>
        <v>7</v>
      </c>
      <c r="AB251" s="527">
        <f t="shared" si="213"/>
        <v>1</v>
      </c>
      <c r="AC251" s="527">
        <f t="shared" si="213"/>
        <v>1</v>
      </c>
      <c r="AD251" s="527">
        <f t="shared" si="213"/>
        <v>1</v>
      </c>
      <c r="AE251" s="527">
        <f t="shared" si="213"/>
        <v>1</v>
      </c>
      <c r="AF251" s="527">
        <f t="shared" si="213"/>
        <v>1</v>
      </c>
      <c r="AG251" s="527">
        <f t="shared" si="213"/>
        <v>1</v>
      </c>
      <c r="AH251" s="527">
        <f t="shared" si="213"/>
        <v>1</v>
      </c>
      <c r="AI251" s="527">
        <f t="shared" si="213"/>
        <v>1</v>
      </c>
      <c r="AJ251" s="527">
        <f t="shared" si="213"/>
        <v>1</v>
      </c>
      <c r="AK251" s="527">
        <f t="shared" ref="AK251:BI251" si="214">AK$17</f>
        <v>1</v>
      </c>
      <c r="AL251" s="527">
        <f t="shared" si="214"/>
        <v>1</v>
      </c>
      <c r="AM251" s="527">
        <f t="shared" si="214"/>
        <v>1</v>
      </c>
      <c r="AN251" s="528">
        <f t="shared" si="214"/>
        <v>7</v>
      </c>
      <c r="AO251" s="527">
        <f t="shared" si="214"/>
        <v>1</v>
      </c>
      <c r="AP251" s="527">
        <f t="shared" si="214"/>
        <v>1</v>
      </c>
      <c r="AQ251" s="527">
        <f t="shared" si="214"/>
        <v>1</v>
      </c>
      <c r="AR251" s="527">
        <f t="shared" si="214"/>
        <v>1</v>
      </c>
      <c r="AS251" s="527">
        <f t="shared" si="214"/>
        <v>1</v>
      </c>
      <c r="AT251" s="527">
        <f t="shared" si="214"/>
        <v>1</v>
      </c>
      <c r="AU251" s="527">
        <f t="shared" si="214"/>
        <v>1</v>
      </c>
      <c r="AV251" s="527">
        <f t="shared" si="214"/>
        <v>1</v>
      </c>
      <c r="AW251" s="527">
        <f t="shared" si="214"/>
        <v>1</v>
      </c>
      <c r="AX251" s="527">
        <f t="shared" si="214"/>
        <v>1</v>
      </c>
      <c r="AY251" s="527">
        <f t="shared" si="214"/>
        <v>1</v>
      </c>
      <c r="AZ251" s="527">
        <f t="shared" si="214"/>
        <v>1</v>
      </c>
      <c r="BA251" s="527">
        <f t="shared" si="214"/>
        <v>1</v>
      </c>
      <c r="BB251" s="527">
        <f t="shared" si="214"/>
        <v>1</v>
      </c>
      <c r="BC251" s="527">
        <f t="shared" si="214"/>
        <v>1</v>
      </c>
      <c r="BD251" s="527">
        <f t="shared" si="214"/>
        <v>1</v>
      </c>
      <c r="BE251" s="527">
        <f t="shared" si="214"/>
        <v>1</v>
      </c>
      <c r="BF251" s="527">
        <f t="shared" si="214"/>
        <v>1</v>
      </c>
      <c r="BG251" s="527">
        <f t="shared" si="214"/>
        <v>1</v>
      </c>
      <c r="BH251" s="527">
        <f t="shared" si="214"/>
        <v>1</v>
      </c>
      <c r="BI251" s="527">
        <f t="shared" si="214"/>
        <v>7</v>
      </c>
      <c r="BJ251" s="78"/>
    </row>
    <row r="252" spans="1:62" s="2216" customFormat="1" ht="13.15" customHeight="1">
      <c r="A252" s="2213"/>
      <c r="B252" s="2214"/>
      <c r="C252" s="2213"/>
      <c r="D252" s="2243"/>
      <c r="E252" s="3656" t="str">
        <f t="shared" ref="E252:AJ252" si="215">E$18</f>
        <v>Durée d'exposition considérée</v>
      </c>
      <c r="F252" s="2208" t="str">
        <f t="shared" si="215"/>
        <v>t</v>
      </c>
      <c r="G252" s="2209" t="str">
        <f t="shared" si="215"/>
        <v>s</v>
      </c>
      <c r="H252" s="2161">
        <f t="shared" si="215"/>
        <v>220752000</v>
      </c>
      <c r="I252" s="2161">
        <f t="shared" si="215"/>
        <v>220752000</v>
      </c>
      <c r="J252" s="2161">
        <f t="shared" si="215"/>
        <v>220752000</v>
      </c>
      <c r="K252" s="2161">
        <f t="shared" si="215"/>
        <v>31536000</v>
      </c>
      <c r="L252" s="2161">
        <f t="shared" si="215"/>
        <v>31536000</v>
      </c>
      <c r="M252" s="2161">
        <f t="shared" si="215"/>
        <v>31536000</v>
      </c>
      <c r="N252" s="2161">
        <f t="shared" si="215"/>
        <v>31536000</v>
      </c>
      <c r="O252" s="2161">
        <f t="shared" si="215"/>
        <v>31536000</v>
      </c>
      <c r="P252" s="2161">
        <f t="shared" si="215"/>
        <v>31536000</v>
      </c>
      <c r="Q252" s="2161">
        <f t="shared" si="215"/>
        <v>31536000</v>
      </c>
      <c r="R252" s="2161">
        <f t="shared" si="215"/>
        <v>31536000</v>
      </c>
      <c r="S252" s="2161">
        <f t="shared" si="215"/>
        <v>31536000</v>
      </c>
      <c r="T252" s="2161">
        <f t="shared" si="215"/>
        <v>31536000</v>
      </c>
      <c r="U252" s="2161">
        <f t="shared" si="215"/>
        <v>31536000</v>
      </c>
      <c r="V252" s="2161">
        <f t="shared" si="215"/>
        <v>31536000</v>
      </c>
      <c r="W252" s="2161">
        <f t="shared" si="215"/>
        <v>31536000</v>
      </c>
      <c r="X252" s="2161">
        <f t="shared" si="215"/>
        <v>31536000</v>
      </c>
      <c r="Y252" s="2161">
        <f t="shared" si="215"/>
        <v>31536000</v>
      </c>
      <c r="Z252" s="2161">
        <f t="shared" si="215"/>
        <v>31536000</v>
      </c>
      <c r="AA252" s="2215">
        <f t="shared" si="215"/>
        <v>220752000</v>
      </c>
      <c r="AB252" s="2161">
        <f t="shared" si="215"/>
        <v>31536000</v>
      </c>
      <c r="AC252" s="2161">
        <f t="shared" si="215"/>
        <v>31536000</v>
      </c>
      <c r="AD252" s="2161">
        <f t="shared" si="215"/>
        <v>31536000</v>
      </c>
      <c r="AE252" s="2161">
        <f t="shared" si="215"/>
        <v>31536000</v>
      </c>
      <c r="AF252" s="2161">
        <f t="shared" si="215"/>
        <v>31536000</v>
      </c>
      <c r="AG252" s="2161">
        <f t="shared" si="215"/>
        <v>31536000</v>
      </c>
      <c r="AH252" s="2161">
        <f t="shared" si="215"/>
        <v>31536000</v>
      </c>
      <c r="AI252" s="2161">
        <f t="shared" si="215"/>
        <v>31536000</v>
      </c>
      <c r="AJ252" s="2161">
        <f t="shared" si="215"/>
        <v>31536000</v>
      </c>
      <c r="AK252" s="2161">
        <f t="shared" ref="AK252:BI252" si="216">AK$18</f>
        <v>31536000</v>
      </c>
      <c r="AL252" s="2161">
        <f t="shared" si="216"/>
        <v>31536000</v>
      </c>
      <c r="AM252" s="2161">
        <f t="shared" si="216"/>
        <v>31536000</v>
      </c>
      <c r="AN252" s="2215">
        <f t="shared" si="216"/>
        <v>220752000</v>
      </c>
      <c r="AO252" s="2161">
        <f t="shared" si="216"/>
        <v>31536000</v>
      </c>
      <c r="AP252" s="2161">
        <f t="shared" si="216"/>
        <v>31536000</v>
      </c>
      <c r="AQ252" s="2161">
        <f t="shared" si="216"/>
        <v>31536000</v>
      </c>
      <c r="AR252" s="2161">
        <f t="shared" si="216"/>
        <v>31536000</v>
      </c>
      <c r="AS252" s="2161">
        <f t="shared" si="216"/>
        <v>31536000</v>
      </c>
      <c r="AT252" s="2161">
        <f t="shared" si="216"/>
        <v>31536000</v>
      </c>
      <c r="AU252" s="2161">
        <f t="shared" si="216"/>
        <v>31536000</v>
      </c>
      <c r="AV252" s="2161">
        <f t="shared" si="216"/>
        <v>31536000</v>
      </c>
      <c r="AW252" s="2161">
        <f t="shared" si="216"/>
        <v>31536000</v>
      </c>
      <c r="AX252" s="2161">
        <f t="shared" si="216"/>
        <v>31536000</v>
      </c>
      <c r="AY252" s="2161">
        <f t="shared" si="216"/>
        <v>31536000</v>
      </c>
      <c r="AZ252" s="2161">
        <f t="shared" si="216"/>
        <v>31536000</v>
      </c>
      <c r="BA252" s="2161">
        <f t="shared" si="216"/>
        <v>31536000</v>
      </c>
      <c r="BB252" s="2161">
        <f t="shared" si="216"/>
        <v>31536000</v>
      </c>
      <c r="BC252" s="2161">
        <f t="shared" si="216"/>
        <v>31536000</v>
      </c>
      <c r="BD252" s="2161">
        <f t="shared" si="216"/>
        <v>31536000</v>
      </c>
      <c r="BE252" s="2161">
        <f t="shared" si="216"/>
        <v>31536000</v>
      </c>
      <c r="BF252" s="2161">
        <f t="shared" si="216"/>
        <v>31536000</v>
      </c>
      <c r="BG252" s="2161">
        <f t="shared" si="216"/>
        <v>31536000</v>
      </c>
      <c r="BH252" s="2161">
        <f t="shared" si="216"/>
        <v>31536000</v>
      </c>
      <c r="BI252" s="2161">
        <f t="shared" si="216"/>
        <v>220752000</v>
      </c>
    </row>
    <row r="253" spans="1:62" s="2204" customFormat="1" ht="25.5">
      <c r="D253" s="2243"/>
      <c r="E253" s="3656" t="s">
        <v>609</v>
      </c>
      <c r="F253" s="2201" t="s">
        <v>1131</v>
      </c>
      <c r="G253" s="2202" t="s">
        <v>73</v>
      </c>
      <c r="H253" s="2203">
        <f t="shared" ref="H253:AM253" si="217">(2*H248*H13*0.001/H14*H252+(H41+H248*H212)^2)^0.5-H248*H212</f>
        <v>6.6691318807655442E-2</v>
      </c>
      <c r="I253" s="2203">
        <f t="shared" si="217"/>
        <v>6.6691318807655442E-2</v>
      </c>
      <c r="J253" s="2203">
        <f t="shared" si="217"/>
        <v>0.38141072592589642</v>
      </c>
      <c r="K253" s="2203">
        <f t="shared" si="217"/>
        <v>6.2913815540444684</v>
      </c>
      <c r="L253" s="2203">
        <f t="shared" si="217"/>
        <v>1.8449222537188992</v>
      </c>
      <c r="M253" s="2203">
        <f t="shared" si="217"/>
        <v>1.8449222537188992</v>
      </c>
      <c r="N253" s="2203">
        <f t="shared" si="217"/>
        <v>2.964908978460941</v>
      </c>
      <c r="O253" s="2203">
        <f t="shared" si="217"/>
        <v>2.964908978460941</v>
      </c>
      <c r="P253" s="2203">
        <f t="shared" si="217"/>
        <v>2.9557161383523862</v>
      </c>
      <c r="Q253" s="2203">
        <f t="shared" si="217"/>
        <v>2.9557161383523862</v>
      </c>
      <c r="R253" s="2203">
        <f t="shared" si="217"/>
        <v>8.038280476986758</v>
      </c>
      <c r="S253" s="2203">
        <f t="shared" si="217"/>
        <v>2.0178774386633842</v>
      </c>
      <c r="T253" s="2203">
        <f t="shared" si="217"/>
        <v>2.0178774386633842</v>
      </c>
      <c r="U253" s="2203">
        <f t="shared" si="217"/>
        <v>4.3632920706879528</v>
      </c>
      <c r="V253" s="2203">
        <f t="shared" si="217"/>
        <v>3.2168166770910833</v>
      </c>
      <c r="W253" s="2203">
        <f t="shared" si="217"/>
        <v>3.2168166770910833</v>
      </c>
      <c r="X253" s="2203">
        <f t="shared" si="217"/>
        <v>2.2255427049488135</v>
      </c>
      <c r="Y253" s="2203">
        <f t="shared" si="217"/>
        <v>1.6326378547961271</v>
      </c>
      <c r="Z253" s="2203">
        <f t="shared" si="217"/>
        <v>1.0679857552233689</v>
      </c>
      <c r="AA253" s="2203">
        <f t="shared" si="217"/>
        <v>2.969490732041534</v>
      </c>
      <c r="AB253" s="2203">
        <f t="shared" si="217"/>
        <v>0.48250356190703869</v>
      </c>
      <c r="AC253" s="2203">
        <f t="shared" si="217"/>
        <v>0.10516973236302807</v>
      </c>
      <c r="AD253" s="2203">
        <f t="shared" si="217"/>
        <v>1.8742059396381294E-2</v>
      </c>
      <c r="AE253" s="2203">
        <f t="shared" si="217"/>
        <v>1.8633672728562978E-3</v>
      </c>
      <c r="AF253" s="2203">
        <f t="shared" si="217"/>
        <v>6.1208563411074834E-6</v>
      </c>
      <c r="AG253" s="2203">
        <f t="shared" si="217"/>
        <v>5.1913237114242818</v>
      </c>
      <c r="AH253" s="2203">
        <f t="shared" si="217"/>
        <v>3.8856188915726477</v>
      </c>
      <c r="AI253" s="2203">
        <f t="shared" si="217"/>
        <v>1.8917432081321797</v>
      </c>
      <c r="AJ253" s="2203">
        <f t="shared" si="217"/>
        <v>0.57779489879065071</v>
      </c>
      <c r="AK253" s="2203">
        <f t="shared" si="217"/>
        <v>0.13120442947594957</v>
      </c>
      <c r="AL253" s="2203">
        <f t="shared" si="217"/>
        <v>7.9025583519081177E-3</v>
      </c>
      <c r="AM253" s="2203">
        <f t="shared" si="217"/>
        <v>4.6370846332965954E-5</v>
      </c>
      <c r="AN253" s="2203">
        <f t="shared" ref="AN253:BI253" si="218">(2*AN248*AN13*0.001/AN14*AN252+(AN41+AN248*AN212)^2)^0.5-AN248*AN212</f>
        <v>6.2258197744282207E-2</v>
      </c>
      <c r="AO253" s="2203">
        <f t="shared" si="218"/>
        <v>2.1169116075306915E-3</v>
      </c>
      <c r="AP253" s="2203">
        <f t="shared" si="218"/>
        <v>3.4925087831216839E-3</v>
      </c>
      <c r="AQ253" s="2203">
        <f t="shared" si="218"/>
        <v>1.3138104041944265E-3</v>
      </c>
      <c r="AR253" s="2203">
        <f t="shared" si="218"/>
        <v>2.4548521915412902E-4</v>
      </c>
      <c r="AS253" s="2203">
        <f t="shared" si="218"/>
        <v>3.1706038734979902E-4</v>
      </c>
      <c r="AT253" s="2203">
        <f t="shared" si="218"/>
        <v>2.0390240147216687E-5</v>
      </c>
      <c r="AU253" s="2203">
        <f t="shared" si="218"/>
        <v>1.9615654342830524E-5</v>
      </c>
      <c r="AV253" s="2203">
        <f t="shared" si="218"/>
        <v>2.7730125120584148E-6</v>
      </c>
      <c r="AW253" s="2203">
        <f t="shared" si="218"/>
        <v>2.6720270338564944E-6</v>
      </c>
      <c r="AX253" s="2203">
        <f t="shared" si="218"/>
        <v>8.5097276780743414E-8</v>
      </c>
      <c r="AY253" s="2203">
        <f t="shared" si="218"/>
        <v>5.8401928626494737E-8</v>
      </c>
      <c r="AZ253" s="2203">
        <f t="shared" si="218"/>
        <v>3.9002866714099582E-8</v>
      </c>
      <c r="BA253" s="2203">
        <f t="shared" si="218"/>
        <v>6.1046740995607252E-9</v>
      </c>
      <c r="BB253" s="2203">
        <f t="shared" si="218"/>
        <v>1.002739939970354E-7</v>
      </c>
      <c r="BC253" s="2203">
        <f t="shared" si="218"/>
        <v>0</v>
      </c>
      <c r="BD253" s="2203">
        <f t="shared" si="218"/>
        <v>5.5776946688723683E-4</v>
      </c>
      <c r="BE253" s="2203">
        <f t="shared" si="218"/>
        <v>2.2280019369436133E-6</v>
      </c>
      <c r="BF253" s="2203">
        <f t="shared" si="218"/>
        <v>2.2280019369436133E-6</v>
      </c>
      <c r="BG253" s="2203">
        <f t="shared" si="218"/>
        <v>3.0214505838352692</v>
      </c>
      <c r="BH253" s="2203">
        <f t="shared" si="218"/>
        <v>4.884446577788637E-4</v>
      </c>
      <c r="BI253" s="2203">
        <f t="shared" si="218"/>
        <v>8.0139554942425084E-2</v>
      </c>
    </row>
    <row r="254" spans="1:62" s="2204" customFormat="1" ht="25.5">
      <c r="D254" s="2243"/>
      <c r="E254" s="3656" t="s">
        <v>610</v>
      </c>
      <c r="F254" s="2205" t="s">
        <v>138</v>
      </c>
      <c r="G254" s="2206" t="s">
        <v>139</v>
      </c>
      <c r="H254" s="2204">
        <f t="shared" ref="H254:AM254" si="219">1000*H14/H13*(H253-H41)/H252</f>
        <v>1.7201214353819948E-4</v>
      </c>
      <c r="I254" s="2204">
        <f t="shared" si="219"/>
        <v>1.7201214353819948E-4</v>
      </c>
      <c r="J254" s="2204">
        <f t="shared" si="219"/>
        <v>1.4985366040681276E-4</v>
      </c>
      <c r="K254" s="2204">
        <f t="shared" si="219"/>
        <v>7.7659806911199245E-5</v>
      </c>
      <c r="L254" s="2204">
        <f t="shared" si="219"/>
        <v>1.218051321275998E-4</v>
      </c>
      <c r="M254" s="2204">
        <f t="shared" si="219"/>
        <v>1.218051321275998E-4</v>
      </c>
      <c r="N254" s="2204">
        <f t="shared" si="219"/>
        <v>9.9248328537830508E-5</v>
      </c>
      <c r="O254" s="2204">
        <f t="shared" si="219"/>
        <v>9.9248328537830508E-5</v>
      </c>
      <c r="P254" s="2204">
        <f t="shared" si="219"/>
        <v>9.0626436869095E-5</v>
      </c>
      <c r="Q254" s="2204">
        <f t="shared" si="219"/>
        <v>9.0626436869095E-5</v>
      </c>
      <c r="R254" s="2204">
        <f t="shared" si="219"/>
        <v>6.1313898232911307E-4</v>
      </c>
      <c r="S254" s="2204">
        <f t="shared" si="219"/>
        <v>1.6406137119889607E-4</v>
      </c>
      <c r="T254" s="2204">
        <f t="shared" si="219"/>
        <v>1.6406137119889607E-4</v>
      </c>
      <c r="U254" s="2204">
        <f t="shared" si="219"/>
        <v>7.5351762342191006E-5</v>
      </c>
      <c r="V254" s="2204">
        <f t="shared" si="219"/>
        <v>3.3939809306145532E-5</v>
      </c>
      <c r="W254" s="2204">
        <f t="shared" si="219"/>
        <v>3.3939809306145532E-5</v>
      </c>
      <c r="X254" s="2204">
        <f t="shared" si="219"/>
        <v>1.2239860562183086E-4</v>
      </c>
      <c r="Y254" s="2204">
        <f t="shared" si="219"/>
        <v>1.2955680835291864E-4</v>
      </c>
      <c r="Z254" s="2204">
        <f t="shared" si="219"/>
        <v>1.431050256513056E-4</v>
      </c>
      <c r="AA254" s="2204">
        <f t="shared" si="219"/>
        <v>8.4730870231285738E-5</v>
      </c>
      <c r="AB254" s="2204">
        <f t="shared" si="219"/>
        <v>8.5213193534871694E-5</v>
      </c>
      <c r="AC254" s="2204">
        <f t="shared" si="219"/>
        <v>9.5183811374539482E-5</v>
      </c>
      <c r="AD254" s="2204">
        <f t="shared" si="219"/>
        <v>8.6661240839539896E-5</v>
      </c>
      <c r="AE254" s="2204">
        <f t="shared" si="219"/>
        <v>6.9098142543625729E-5</v>
      </c>
      <c r="AF254" s="2204">
        <f t="shared" si="219"/>
        <v>5.4762348357490723E-5</v>
      </c>
      <c r="AG254" s="2204">
        <f t="shared" si="219"/>
        <v>3.9864420207643458E-5</v>
      </c>
      <c r="AH254" s="2204">
        <f t="shared" si="219"/>
        <v>3.9850776151470751E-5</v>
      </c>
      <c r="AI254" s="2204">
        <f t="shared" si="219"/>
        <v>4.7715111007862529E-5</v>
      </c>
      <c r="AJ254" s="2204">
        <f t="shared" si="219"/>
        <v>6.1222600499135149E-5</v>
      </c>
      <c r="AK254" s="2204">
        <f t="shared" si="219"/>
        <v>6.0982886303432887E-5</v>
      </c>
      <c r="AL254" s="2204">
        <f t="shared" si="219"/>
        <v>4.8451345117573145E-5</v>
      </c>
      <c r="AM254" s="2204">
        <f t="shared" si="219"/>
        <v>4.1070764275383145E-5</v>
      </c>
      <c r="AN254" s="2204">
        <f t="shared" ref="AN254:BI254" si="220">1000*AN14/AN13*(AN253-AN41)/AN252</f>
        <v>9.8968542831272084E-5</v>
      </c>
      <c r="AO254" s="2204">
        <f t="shared" si="220"/>
        <v>8.6248626066777906E-5</v>
      </c>
      <c r="AP254" s="2204">
        <f t="shared" si="220"/>
        <v>8.5055786991789382E-5</v>
      </c>
      <c r="AQ254" s="2204">
        <f t="shared" si="220"/>
        <v>7.9019918485100527E-5</v>
      </c>
      <c r="AR254" s="2204">
        <f t="shared" si="220"/>
        <v>7.3744289498059643E-5</v>
      </c>
      <c r="AS254" s="2204">
        <f t="shared" si="220"/>
        <v>7.3741222429799349E-5</v>
      </c>
      <c r="AT254" s="2204">
        <f t="shared" si="220"/>
        <v>6.49672623175742E-5</v>
      </c>
      <c r="AU254" s="2204">
        <f t="shared" si="220"/>
        <v>6.4967300560471412E-5</v>
      </c>
      <c r="AV254" s="2204">
        <f t="shared" si="220"/>
        <v>5.7568943947974082E-5</v>
      </c>
      <c r="AW254" s="2204">
        <f t="shared" si="220"/>
        <v>5.7568951609733933E-5</v>
      </c>
      <c r="AX254" s="2204">
        <f t="shared" si="220"/>
        <v>5.2088637235387118E-5</v>
      </c>
      <c r="AY254" s="2204">
        <f t="shared" si="220"/>
        <v>5.208863714892148E-5</v>
      </c>
      <c r="AZ254" s="2204">
        <f t="shared" si="220"/>
        <v>5.2092764240290865E-5</v>
      </c>
      <c r="BA254" s="2204">
        <f t="shared" si="220"/>
        <v>4.7209058032114949E-5</v>
      </c>
      <c r="BB254" s="2204">
        <f t="shared" si="220"/>
        <v>4.8975275159445655E-5</v>
      </c>
      <c r="BC254" s="2204">
        <f t="shared" si="220"/>
        <v>0</v>
      </c>
      <c r="BD254" s="2204">
        <f t="shared" si="220"/>
        <v>2.8360168547636439E-4</v>
      </c>
      <c r="BE254" s="2204">
        <f t="shared" si="220"/>
        <v>5.1040744161792835E-5</v>
      </c>
      <c r="BF254" s="2204">
        <f t="shared" si="220"/>
        <v>5.1040744161792835E-5</v>
      </c>
      <c r="BG254" s="2204">
        <f t="shared" si="220"/>
        <v>3.8116101407858177E-5</v>
      </c>
      <c r="BH254" s="2204">
        <f t="shared" si="220"/>
        <v>1.8676129076207254E-4</v>
      </c>
      <c r="BI254" s="2204">
        <f t="shared" si="220"/>
        <v>5.6575285943856349E-4</v>
      </c>
    </row>
    <row r="255" spans="1:62" s="2304" customFormat="1" ht="25.5">
      <c r="B255" s="2305"/>
      <c r="C255" s="2305"/>
      <c r="D255" s="2243"/>
      <c r="E255" s="3655" t="s">
        <v>611</v>
      </c>
      <c r="F255" s="2343" t="s">
        <v>138</v>
      </c>
      <c r="G255" s="2344" t="s">
        <v>139</v>
      </c>
      <c r="H255" s="2345">
        <f t="shared" ref="H255:AM255" si="221">MIN(H254,H$19)</f>
        <v>1.7201214353819948E-4</v>
      </c>
      <c r="I255" s="2345">
        <f t="shared" si="221"/>
        <v>1.7201214353819948E-4</v>
      </c>
      <c r="J255" s="2345">
        <f t="shared" si="221"/>
        <v>1.4985366040681276E-4</v>
      </c>
      <c r="K255" s="2345">
        <f t="shared" si="221"/>
        <v>3.7031519823149957E-5</v>
      </c>
      <c r="L255" s="2345">
        <f t="shared" si="221"/>
        <v>1.218051321275998E-4</v>
      </c>
      <c r="M255" s="2345">
        <f t="shared" si="221"/>
        <v>1.218051321275998E-4</v>
      </c>
      <c r="N255" s="2345">
        <f t="shared" si="221"/>
        <v>9.9248328537830508E-5</v>
      </c>
      <c r="O255" s="2345">
        <f t="shared" si="221"/>
        <v>9.9248328537830508E-5</v>
      </c>
      <c r="P255" s="2345">
        <f t="shared" si="221"/>
        <v>9.0626436869095E-5</v>
      </c>
      <c r="Q255" s="2345">
        <f t="shared" si="221"/>
        <v>9.0626436869095E-5</v>
      </c>
      <c r="R255" s="2345">
        <f t="shared" si="221"/>
        <v>2.2883214292577979E-4</v>
      </c>
      <c r="S255" s="2345">
        <f t="shared" si="221"/>
        <v>1.6406137119889607E-4</v>
      </c>
      <c r="T255" s="2345">
        <f t="shared" si="221"/>
        <v>1.6406137119889607E-4</v>
      </c>
      <c r="U255" s="2345">
        <f t="shared" si="221"/>
        <v>5.1808424319147455E-5</v>
      </c>
      <c r="V255" s="2345">
        <f t="shared" si="221"/>
        <v>3.1652232047774111E-5</v>
      </c>
      <c r="W255" s="2345">
        <f t="shared" si="221"/>
        <v>3.1652232047774111E-5</v>
      </c>
      <c r="X255" s="2345">
        <f t="shared" si="221"/>
        <v>1.2239860562183086E-4</v>
      </c>
      <c r="Y255" s="2345">
        <f t="shared" si="221"/>
        <v>1.2955680835291864E-4</v>
      </c>
      <c r="Z255" s="2345">
        <f t="shared" si="221"/>
        <v>1.431050256513056E-4</v>
      </c>
      <c r="AA255" s="2345">
        <f t="shared" si="221"/>
        <v>8.4730870231285738E-5</v>
      </c>
      <c r="AB255" s="2345">
        <f t="shared" si="221"/>
        <v>8.5213193534871694E-5</v>
      </c>
      <c r="AC255" s="2345">
        <f t="shared" si="221"/>
        <v>9.5183811374539482E-5</v>
      </c>
      <c r="AD255" s="2345">
        <f t="shared" si="221"/>
        <v>8.6661240839539896E-5</v>
      </c>
      <c r="AE255" s="2345">
        <f t="shared" si="221"/>
        <v>6.9098142543625729E-5</v>
      </c>
      <c r="AF255" s="2345">
        <f t="shared" si="221"/>
        <v>5.4762348357490723E-5</v>
      </c>
      <c r="AG255" s="2345">
        <f t="shared" si="221"/>
        <v>2.3037141829500553E-5</v>
      </c>
      <c r="AH255" s="2345">
        <f t="shared" si="221"/>
        <v>3.0767898703010778E-5</v>
      </c>
      <c r="AI255" s="2345">
        <f t="shared" si="221"/>
        <v>4.7715111007862529E-5</v>
      </c>
      <c r="AJ255" s="2345">
        <f t="shared" si="221"/>
        <v>6.1222600499135149E-5</v>
      </c>
      <c r="AK255" s="2345">
        <f t="shared" si="221"/>
        <v>6.0982886303432887E-5</v>
      </c>
      <c r="AL255" s="2345">
        <f t="shared" si="221"/>
        <v>4.8451345117573145E-5</v>
      </c>
      <c r="AM255" s="2345">
        <f t="shared" si="221"/>
        <v>4.1070764275383145E-5</v>
      </c>
      <c r="AN255" s="2345">
        <f t="shared" ref="AN255:BI255" si="222">MIN(AN254,AN$19)</f>
        <v>9.8968542831272084E-5</v>
      </c>
      <c r="AO255" s="2345">
        <f t="shared" si="222"/>
        <v>8.6248626066777906E-5</v>
      </c>
      <c r="AP255" s="2345">
        <f t="shared" si="222"/>
        <v>8.5055786991789382E-5</v>
      </c>
      <c r="AQ255" s="2345">
        <f t="shared" si="222"/>
        <v>7.9019918485100527E-5</v>
      </c>
      <c r="AR255" s="2345">
        <f t="shared" si="222"/>
        <v>7.3744289498059643E-5</v>
      </c>
      <c r="AS255" s="2345">
        <f t="shared" si="222"/>
        <v>7.3741222429799349E-5</v>
      </c>
      <c r="AT255" s="2345">
        <f t="shared" si="222"/>
        <v>6.49672623175742E-5</v>
      </c>
      <c r="AU255" s="2345">
        <f t="shared" si="222"/>
        <v>6.4967300560471412E-5</v>
      </c>
      <c r="AV255" s="2345">
        <f t="shared" si="222"/>
        <v>5.7568943947974082E-5</v>
      </c>
      <c r="AW255" s="2345">
        <f t="shared" si="222"/>
        <v>5.7568951609733933E-5</v>
      </c>
      <c r="AX255" s="2345">
        <f t="shared" si="222"/>
        <v>5.2088637235387118E-5</v>
      </c>
      <c r="AY255" s="2345">
        <f t="shared" si="222"/>
        <v>5.208863714892148E-5</v>
      </c>
      <c r="AZ255" s="2345">
        <f t="shared" si="222"/>
        <v>5.2092764240290865E-5</v>
      </c>
      <c r="BA255" s="2345">
        <f t="shared" si="222"/>
        <v>4.7209058032114949E-5</v>
      </c>
      <c r="BB255" s="2345">
        <f t="shared" si="222"/>
        <v>4.8975275159445655E-5</v>
      </c>
      <c r="BC255" s="2345">
        <f t="shared" si="222"/>
        <v>0</v>
      </c>
      <c r="BD255" s="2345">
        <f t="shared" si="222"/>
        <v>2.8360168547636439E-4</v>
      </c>
      <c r="BE255" s="2345">
        <f t="shared" si="222"/>
        <v>5.1040744161792835E-5</v>
      </c>
      <c r="BF255" s="2345">
        <f t="shared" si="222"/>
        <v>5.1040744161792835E-5</v>
      </c>
      <c r="BG255" s="2345">
        <f t="shared" si="222"/>
        <v>3.7845498726782705E-5</v>
      </c>
      <c r="BH255" s="2345">
        <f t="shared" si="222"/>
        <v>1.8676129076207254E-4</v>
      </c>
      <c r="BI255" s="2345">
        <f t="shared" si="222"/>
        <v>5.6575285943856349E-4</v>
      </c>
    </row>
    <row r="256" spans="1:62" ht="25.5">
      <c r="A256" s="2126"/>
      <c r="B256" s="2156"/>
      <c r="C256" s="2156"/>
      <c r="D256" s="2243"/>
      <c r="E256" s="3655" t="s">
        <v>582</v>
      </c>
      <c r="F256" s="2153" t="s">
        <v>300</v>
      </c>
      <c r="G256" s="2220" t="s">
        <v>35</v>
      </c>
      <c r="H256" s="2221">
        <f t="shared" ref="H256:AM256" si="223">H213/H254</f>
        <v>1.0308611073986391</v>
      </c>
      <c r="I256" s="2221">
        <f t="shared" si="223"/>
        <v>1.0308611073986391</v>
      </c>
      <c r="J256" s="2221">
        <f t="shared" si="223"/>
        <v>1.2162751173068478</v>
      </c>
      <c r="K256" s="2221">
        <f t="shared" si="223"/>
        <v>4.7208547188404753</v>
      </c>
      <c r="L256" s="2221">
        <f t="shared" si="223"/>
        <v>2.0898894027016803</v>
      </c>
      <c r="M256" s="2221">
        <f t="shared" si="223"/>
        <v>2.0898894027016803</v>
      </c>
      <c r="N256" s="2221">
        <f t="shared" si="223"/>
        <v>2.7530554992954235</v>
      </c>
      <c r="O256" s="2221">
        <f t="shared" si="223"/>
        <v>2.7530554992954235</v>
      </c>
      <c r="P256" s="2221">
        <f t="shared" si="223"/>
        <v>2.7478224521147427</v>
      </c>
      <c r="Q256" s="2221">
        <f t="shared" si="223"/>
        <v>2.7478224521147427</v>
      </c>
      <c r="R256" s="2221">
        <f t="shared" si="223"/>
        <v>5.75376764450096</v>
      </c>
      <c r="S256" s="2221">
        <f t="shared" si="223"/>
        <v>2.1924923108791057</v>
      </c>
      <c r="T256" s="2221">
        <f t="shared" si="223"/>
        <v>2.1924923108791057</v>
      </c>
      <c r="U256" s="2221">
        <f t="shared" si="223"/>
        <v>3.5802410290587567</v>
      </c>
      <c r="V256" s="2221">
        <f t="shared" si="223"/>
        <v>2.9024472741502909</v>
      </c>
      <c r="W256" s="2221">
        <f t="shared" si="223"/>
        <v>2.9024472741502909</v>
      </c>
      <c r="X256" s="2221">
        <f t="shared" si="223"/>
        <v>2.3155497779061016</v>
      </c>
      <c r="Y256" s="2221">
        <f t="shared" si="223"/>
        <v>1.9651432287048023</v>
      </c>
      <c r="Z256" s="2221">
        <f t="shared" si="223"/>
        <v>1.6313981430597295</v>
      </c>
      <c r="AA256" s="2221">
        <f t="shared" si="223"/>
        <v>2.7553272198525405</v>
      </c>
      <c r="AB256" s="2221">
        <f t="shared" si="223"/>
        <v>1.2853061499347622</v>
      </c>
      <c r="AC256" s="2221">
        <f t="shared" si="223"/>
        <v>1.0621558123994665</v>
      </c>
      <c r="AD256" s="2221">
        <f t="shared" si="223"/>
        <v>1.0110636833252451</v>
      </c>
      <c r="AE256" s="2221">
        <f t="shared" si="223"/>
        <v>1.0010936329794096</v>
      </c>
      <c r="AF256" s="2221">
        <f t="shared" si="223"/>
        <v>1.000003149892039</v>
      </c>
      <c r="AG256" s="2221">
        <f t="shared" si="223"/>
        <v>4.0702792164212473</v>
      </c>
      <c r="AH256" s="2221">
        <f t="shared" si="223"/>
        <v>3.2980549625328042</v>
      </c>
      <c r="AI256" s="2221">
        <f t="shared" si="223"/>
        <v>2.1188264338553511</v>
      </c>
      <c r="AJ256" s="2221">
        <f t="shared" si="223"/>
        <v>1.3417231644811325</v>
      </c>
      <c r="AK256" s="2221">
        <f t="shared" si="223"/>
        <v>1.0775978148458307</v>
      </c>
      <c r="AL256" s="2221">
        <f t="shared" si="223"/>
        <v>1.0046737855395687</v>
      </c>
      <c r="AM256" s="2221">
        <f t="shared" si="223"/>
        <v>1.0000274249668497</v>
      </c>
      <c r="AN256" s="2221">
        <f t="shared" ref="AN256:BI256" si="224">AN213/AN254</f>
        <v>1.0359608654738512</v>
      </c>
      <c r="AO256" s="2221">
        <f t="shared" si="224"/>
        <v>1.0012161246001736</v>
      </c>
      <c r="AP256" s="2221">
        <f t="shared" si="224"/>
        <v>1.0020243348478812</v>
      </c>
      <c r="AQ256" s="2221">
        <f t="shared" si="224"/>
        <v>1.0007534051073805</v>
      </c>
      <c r="AR256" s="2221">
        <f t="shared" si="224"/>
        <v>1.0001348896441036</v>
      </c>
      <c r="AS256" s="2221">
        <f t="shared" si="224"/>
        <v>1.0001764875709478</v>
      </c>
      <c r="AT256" s="2221">
        <f t="shared" si="224"/>
        <v>1.0000097267795567</v>
      </c>
      <c r="AU256" s="2221">
        <f t="shared" si="224"/>
        <v>1.0000091381254359</v>
      </c>
      <c r="AV256" s="2221">
        <f t="shared" si="224"/>
        <v>1.0000011490073288</v>
      </c>
      <c r="AW256" s="2221">
        <f t="shared" si="224"/>
        <v>1.0000010159187724</v>
      </c>
      <c r="AX256" s="2221">
        <f t="shared" si="224"/>
        <v>1.00000000437353</v>
      </c>
      <c r="AY256" s="2221">
        <f t="shared" si="224"/>
        <v>1.000000006033501</v>
      </c>
      <c r="AZ256" s="2221">
        <f t="shared" si="224"/>
        <v>1.0000000446540835</v>
      </c>
      <c r="BA256" s="2221">
        <f t="shared" si="224"/>
        <v>1.0000002471713436</v>
      </c>
      <c r="BB256" s="2221">
        <f t="shared" si="224"/>
        <v>1.0000000123963562</v>
      </c>
      <c r="BC256" s="2221" t="e">
        <f t="shared" si="224"/>
        <v>#DIV/0!</v>
      </c>
      <c r="BD256" s="2221">
        <f t="shared" si="224"/>
        <v>1.0000371217231669</v>
      </c>
      <c r="BE256" s="2221">
        <f t="shared" si="224"/>
        <v>1.0000010182653185</v>
      </c>
      <c r="BF256" s="2221">
        <f t="shared" si="224"/>
        <v>1.0000010182653185</v>
      </c>
      <c r="BG256" s="2221">
        <f t="shared" si="224"/>
        <v>2.7857425543025154</v>
      </c>
      <c r="BH256" s="2221">
        <f t="shared" si="224"/>
        <v>1.0000413775570935</v>
      </c>
      <c r="BI256" s="2221">
        <f t="shared" si="224"/>
        <v>1.0270547624029616</v>
      </c>
    </row>
    <row r="257" spans="1:61" ht="25.5">
      <c r="A257" s="2126"/>
      <c r="B257" s="2156"/>
      <c r="C257" s="2156"/>
      <c r="D257" s="2243"/>
      <c r="E257" s="3658" t="s">
        <v>583</v>
      </c>
      <c r="F257" s="2217" t="s">
        <v>300</v>
      </c>
      <c r="G257" s="2222" t="s">
        <v>35</v>
      </c>
      <c r="H257" s="2223">
        <f t="shared" ref="H257:AM257" si="225">H219/H255</f>
        <v>1.0308611073986391</v>
      </c>
      <c r="I257" s="2223">
        <f t="shared" si="225"/>
        <v>1.0308611073986391</v>
      </c>
      <c r="J257" s="2223">
        <f t="shared" si="225"/>
        <v>1.2162751173068478</v>
      </c>
      <c r="K257" s="2223">
        <f t="shared" si="225"/>
        <v>1</v>
      </c>
      <c r="L257" s="2223">
        <f t="shared" si="225"/>
        <v>1.6260847815959478</v>
      </c>
      <c r="M257" s="2223">
        <f t="shared" si="225"/>
        <v>1.6260847815959478</v>
      </c>
      <c r="N257" s="2223">
        <f t="shared" si="225"/>
        <v>1.0118354464821628</v>
      </c>
      <c r="O257" s="2223">
        <f t="shared" si="225"/>
        <v>1.0118354464821628</v>
      </c>
      <c r="P257" s="2223">
        <f t="shared" si="225"/>
        <v>1.014982447425516</v>
      </c>
      <c r="Q257" s="2223">
        <f t="shared" si="225"/>
        <v>1.014982447425516</v>
      </c>
      <c r="R257" s="2223">
        <f t="shared" si="225"/>
        <v>1</v>
      </c>
      <c r="S257" s="2223">
        <f t="shared" si="225"/>
        <v>1.4867107102337995</v>
      </c>
      <c r="T257" s="2223">
        <f t="shared" si="225"/>
        <v>1.4867107102337995</v>
      </c>
      <c r="U257" s="2223">
        <f t="shared" si="225"/>
        <v>1</v>
      </c>
      <c r="V257" s="2223">
        <f t="shared" si="225"/>
        <v>1</v>
      </c>
      <c r="W257" s="2223">
        <f t="shared" si="225"/>
        <v>1</v>
      </c>
      <c r="X257" s="2223">
        <f t="shared" si="225"/>
        <v>1.3479858163714717</v>
      </c>
      <c r="Y257" s="2223">
        <f t="shared" si="225"/>
        <v>1.8375171145193248</v>
      </c>
      <c r="Z257" s="2223">
        <f t="shared" si="225"/>
        <v>1.6313981430597295</v>
      </c>
      <c r="AA257" s="2223">
        <f t="shared" si="225"/>
        <v>1.0102742425255831</v>
      </c>
      <c r="AB257" s="2223">
        <f t="shared" si="225"/>
        <v>1.2853061499347622</v>
      </c>
      <c r="AC257" s="2223">
        <f t="shared" si="225"/>
        <v>1.0621558123994665</v>
      </c>
      <c r="AD257" s="2223">
        <f t="shared" si="225"/>
        <v>1.0110636833252451</v>
      </c>
      <c r="AE257" s="2223">
        <f t="shared" si="225"/>
        <v>1.0010936329794096</v>
      </c>
      <c r="AF257" s="2223">
        <f t="shared" si="225"/>
        <v>1.000003149892039</v>
      </c>
      <c r="AG257" s="2223">
        <f t="shared" si="225"/>
        <v>1</v>
      </c>
      <c r="AH257" s="2223">
        <f t="shared" si="225"/>
        <v>1</v>
      </c>
      <c r="AI257" s="2223">
        <f t="shared" si="225"/>
        <v>1.5858389167745777</v>
      </c>
      <c r="AJ257" s="2223">
        <f t="shared" si="225"/>
        <v>1.3417231644811325</v>
      </c>
      <c r="AK257" s="2223">
        <f t="shared" si="225"/>
        <v>1.0775978148458307</v>
      </c>
      <c r="AL257" s="2223">
        <f t="shared" si="225"/>
        <v>1.0046737855395687</v>
      </c>
      <c r="AM257" s="2223">
        <f t="shared" si="225"/>
        <v>1.0000274249668497</v>
      </c>
      <c r="AN257" s="2223">
        <f t="shared" ref="AN257:BI257" si="226">AN219/AN255</f>
        <v>1.0359608654738512</v>
      </c>
      <c r="AO257" s="2223">
        <f t="shared" si="226"/>
        <v>1.0012161246001736</v>
      </c>
      <c r="AP257" s="2223">
        <f t="shared" si="226"/>
        <v>1.0020243348478812</v>
      </c>
      <c r="AQ257" s="2223">
        <f t="shared" si="226"/>
        <v>1.0007534051073805</v>
      </c>
      <c r="AR257" s="2223">
        <f t="shared" si="226"/>
        <v>1.0001348896441036</v>
      </c>
      <c r="AS257" s="2223">
        <f t="shared" si="226"/>
        <v>1.0001764875709478</v>
      </c>
      <c r="AT257" s="2223">
        <f t="shared" si="226"/>
        <v>1.0000097267795567</v>
      </c>
      <c r="AU257" s="2223">
        <f t="shared" si="226"/>
        <v>1.0000091381254359</v>
      </c>
      <c r="AV257" s="2223">
        <f t="shared" si="226"/>
        <v>1.0000011490073288</v>
      </c>
      <c r="AW257" s="2223">
        <f t="shared" si="226"/>
        <v>1.0000010159187724</v>
      </c>
      <c r="AX257" s="2223">
        <f t="shared" si="226"/>
        <v>1.00000000437353</v>
      </c>
      <c r="AY257" s="2223">
        <f t="shared" si="226"/>
        <v>1.000000006033501</v>
      </c>
      <c r="AZ257" s="2223">
        <f t="shared" si="226"/>
        <v>1.0000000446540835</v>
      </c>
      <c r="BA257" s="2223">
        <f t="shared" si="226"/>
        <v>1.0000002471713436</v>
      </c>
      <c r="BB257" s="2223">
        <f t="shared" si="226"/>
        <v>1.0000000123963562</v>
      </c>
      <c r="BC257" s="2223" t="e">
        <f t="shared" si="226"/>
        <v>#DIV/0!</v>
      </c>
      <c r="BD257" s="2223">
        <f t="shared" si="226"/>
        <v>1.0000371217231669</v>
      </c>
      <c r="BE257" s="2223">
        <f t="shared" si="226"/>
        <v>1.0000010182653185</v>
      </c>
      <c r="BF257" s="2223">
        <f t="shared" si="226"/>
        <v>1.0000010182653185</v>
      </c>
      <c r="BG257" s="2223">
        <f t="shared" si="226"/>
        <v>1</v>
      </c>
      <c r="BH257" s="2223">
        <f t="shared" si="226"/>
        <v>1.0000413775570935</v>
      </c>
      <c r="BI257" s="2223">
        <f t="shared" si="226"/>
        <v>1.0270547624029616</v>
      </c>
    </row>
    <row r="258" spans="1:61">
      <c r="A258" s="2126"/>
      <c r="B258" s="2156"/>
      <c r="C258" s="2156"/>
      <c r="D258" s="2243"/>
      <c r="E258" s="3655"/>
      <c r="F258" s="2153"/>
      <c r="G258" s="2154"/>
      <c r="H258" s="2156"/>
      <c r="I258" s="2156"/>
      <c r="J258" s="2156"/>
      <c r="K258" s="2156"/>
      <c r="L258" s="2156"/>
      <c r="M258" s="2156"/>
      <c r="N258" s="2156"/>
      <c r="O258" s="2156"/>
      <c r="P258" s="2156"/>
      <c r="Q258" s="2156"/>
      <c r="S258" s="2156"/>
      <c r="T258" s="2156"/>
      <c r="U258" s="2156"/>
      <c r="V258" s="2156"/>
      <c r="W258" s="2156"/>
      <c r="X258" s="2156"/>
      <c r="Y258" s="2156"/>
      <c r="Z258" s="2156"/>
      <c r="AA258" s="2156"/>
      <c r="AB258" s="2156"/>
      <c r="AC258" s="2156"/>
      <c r="AD258" s="2156"/>
      <c r="AE258" s="2156"/>
      <c r="AF258" s="2156"/>
      <c r="AG258" s="2156"/>
      <c r="AH258" s="2156"/>
      <c r="AI258" s="2156"/>
      <c r="AJ258" s="2156"/>
      <c r="AK258" s="2156"/>
      <c r="AL258" s="2156"/>
      <c r="AM258" s="2156"/>
      <c r="AN258" s="2156"/>
      <c r="AO258" s="2156"/>
      <c r="AP258" s="2156"/>
      <c r="AQ258" s="2156"/>
      <c r="AR258" s="2156"/>
      <c r="AS258" s="2156"/>
      <c r="AT258" s="2156"/>
      <c r="AU258" s="2156"/>
      <c r="AV258" s="2156"/>
      <c r="AW258" s="2156"/>
      <c r="AX258" s="2156"/>
      <c r="AY258" s="2156"/>
      <c r="AZ258" s="2156"/>
      <c r="BA258" s="2156"/>
      <c r="BB258" s="2156"/>
      <c r="BC258" s="2156"/>
      <c r="BD258" s="2156"/>
      <c r="BE258" s="2156"/>
      <c r="BF258" s="2156"/>
      <c r="BG258" s="2156"/>
      <c r="BH258" s="2156"/>
      <c r="BI258" s="2156"/>
    </row>
    <row r="259" spans="1:61">
      <c r="A259" s="2126"/>
      <c r="B259" s="2156"/>
      <c r="C259" s="2156"/>
      <c r="D259" s="2243"/>
      <c r="E259" s="3660" t="s">
        <v>950</v>
      </c>
      <c r="F259" s="2153"/>
      <c r="G259" s="2154"/>
      <c r="H259" s="2156"/>
      <c r="I259" s="2156"/>
      <c r="J259" s="2156"/>
      <c r="K259" s="2156"/>
      <c r="L259" s="2156"/>
      <c r="M259" s="2156"/>
      <c r="N259" s="2156"/>
      <c r="O259" s="2156"/>
      <c r="P259" s="2156"/>
      <c r="Q259" s="2156"/>
      <c r="S259" s="2156"/>
      <c r="T259" s="2156"/>
      <c r="U259" s="2156"/>
      <c r="V259" s="2156"/>
      <c r="W259" s="2156"/>
      <c r="X259" s="2156"/>
      <c r="Y259" s="2156"/>
      <c r="Z259" s="2156"/>
      <c r="AA259" s="2156"/>
      <c r="AB259" s="2156"/>
      <c r="AC259" s="2156"/>
      <c r="AD259" s="2156"/>
      <c r="AE259" s="2156"/>
      <c r="AF259" s="2156"/>
      <c r="AG259" s="2156"/>
      <c r="AH259" s="2156"/>
      <c r="AI259" s="2156"/>
      <c r="AJ259" s="2156"/>
      <c r="AK259" s="2156"/>
      <c r="AL259" s="2156"/>
      <c r="AM259" s="2156"/>
      <c r="AN259" s="2156"/>
      <c r="AO259" s="2156"/>
      <c r="AP259" s="2156"/>
      <c r="AQ259" s="2156"/>
      <c r="AR259" s="2156"/>
      <c r="AS259" s="2156"/>
      <c r="AT259" s="2156"/>
      <c r="AU259" s="2156"/>
      <c r="AV259" s="2156"/>
      <c r="AW259" s="2156"/>
      <c r="AX259" s="2156"/>
      <c r="AY259" s="2156"/>
      <c r="AZ259" s="2156"/>
      <c r="BA259" s="2156"/>
      <c r="BB259" s="2156"/>
      <c r="BC259" s="2156"/>
      <c r="BD259" s="2156"/>
      <c r="BE259" s="2156"/>
      <c r="BF259" s="2156"/>
      <c r="BG259" s="2156"/>
      <c r="BH259" s="2156"/>
      <c r="BI259" s="2156"/>
    </row>
    <row r="260" spans="1:61">
      <c r="A260" s="2126"/>
      <c r="B260" s="2156"/>
      <c r="C260" s="2156"/>
      <c r="D260" s="2243"/>
      <c r="E260" s="3655" t="str">
        <f>E$23</f>
        <v>Durée d'exposition considérée</v>
      </c>
      <c r="F260" s="525" t="str">
        <f>F$23</f>
        <v>t</v>
      </c>
      <c r="G260" s="526" t="s">
        <v>951</v>
      </c>
      <c r="H260" s="2224">
        <f t="shared" ref="H260:BI260" si="227">H261/(30.5*24*3600)</f>
        <v>2</v>
      </c>
      <c r="I260" s="2224">
        <f t="shared" si="227"/>
        <v>2</v>
      </c>
      <c r="J260" s="2224">
        <f>J261/(30.5*24*3600)</f>
        <v>2</v>
      </c>
      <c r="K260" s="2224">
        <f t="shared" si="227"/>
        <v>2</v>
      </c>
      <c r="L260" s="2224">
        <f t="shared" si="227"/>
        <v>2</v>
      </c>
      <c r="M260" s="2224">
        <f t="shared" si="227"/>
        <v>2</v>
      </c>
      <c r="N260" s="2224">
        <f>N261/(30.5*24*3600)</f>
        <v>2</v>
      </c>
      <c r="O260" s="2224">
        <f>O261/(30.5*24*3600)</f>
        <v>2</v>
      </c>
      <c r="P260" s="2224">
        <f t="shared" si="227"/>
        <v>2</v>
      </c>
      <c r="Q260" s="2224">
        <f t="shared" si="227"/>
        <v>2</v>
      </c>
      <c r="R260" s="2224">
        <f>R261/(30.5*24*3600)</f>
        <v>2</v>
      </c>
      <c r="S260" s="2224">
        <f>S261/(30.5*24*3600)</f>
        <v>2</v>
      </c>
      <c r="T260" s="2224">
        <f>T261/(30.5*24*3600)</f>
        <v>2</v>
      </c>
      <c r="U260" s="2224">
        <f t="shared" si="227"/>
        <v>2</v>
      </c>
      <c r="V260" s="2224">
        <f t="shared" si="227"/>
        <v>2</v>
      </c>
      <c r="W260" s="2224">
        <f t="shared" si="227"/>
        <v>2</v>
      </c>
      <c r="X260" s="2224">
        <f t="shared" si="227"/>
        <v>2</v>
      </c>
      <c r="Y260" s="2224">
        <f t="shared" si="227"/>
        <v>2</v>
      </c>
      <c r="Z260" s="2224">
        <f t="shared" si="227"/>
        <v>2</v>
      </c>
      <c r="AA260" s="2224">
        <f t="shared" si="227"/>
        <v>2</v>
      </c>
      <c r="AB260" s="2224">
        <f t="shared" si="227"/>
        <v>2</v>
      </c>
      <c r="AC260" s="2224">
        <f t="shared" si="227"/>
        <v>2</v>
      </c>
      <c r="AD260" s="2224">
        <f t="shared" si="227"/>
        <v>2</v>
      </c>
      <c r="AE260" s="2224">
        <f t="shared" si="227"/>
        <v>2</v>
      </c>
      <c r="AF260" s="2224">
        <f t="shared" si="227"/>
        <v>2</v>
      </c>
      <c r="AG260" s="2224">
        <f t="shared" si="227"/>
        <v>2</v>
      </c>
      <c r="AH260" s="2224">
        <f t="shared" si="227"/>
        <v>2</v>
      </c>
      <c r="AI260" s="2224">
        <f t="shared" si="227"/>
        <v>2</v>
      </c>
      <c r="AJ260" s="2224">
        <f t="shared" si="227"/>
        <v>2</v>
      </c>
      <c r="AK260" s="2224">
        <f t="shared" si="227"/>
        <v>2</v>
      </c>
      <c r="AL260" s="2224">
        <f t="shared" si="227"/>
        <v>2</v>
      </c>
      <c r="AM260" s="2224">
        <f t="shared" si="227"/>
        <v>2</v>
      </c>
      <c r="AN260" s="2224">
        <f t="shared" si="227"/>
        <v>2</v>
      </c>
      <c r="AO260" s="2224">
        <f t="shared" si="227"/>
        <v>2</v>
      </c>
      <c r="AP260" s="2224">
        <f t="shared" si="227"/>
        <v>2</v>
      </c>
      <c r="AQ260" s="2224">
        <f t="shared" si="227"/>
        <v>2</v>
      </c>
      <c r="AR260" s="2224">
        <f t="shared" si="227"/>
        <v>2</v>
      </c>
      <c r="AS260" s="2224">
        <f t="shared" si="227"/>
        <v>2</v>
      </c>
      <c r="AT260" s="2224">
        <f t="shared" si="227"/>
        <v>2</v>
      </c>
      <c r="AU260" s="2224">
        <f t="shared" si="227"/>
        <v>2</v>
      </c>
      <c r="AV260" s="2224">
        <f t="shared" si="227"/>
        <v>2</v>
      </c>
      <c r="AW260" s="2224">
        <f t="shared" si="227"/>
        <v>2</v>
      </c>
      <c r="AX260" s="2224">
        <f t="shared" si="227"/>
        <v>2</v>
      </c>
      <c r="AY260" s="2224">
        <f t="shared" si="227"/>
        <v>2</v>
      </c>
      <c r="AZ260" s="2224">
        <f t="shared" si="227"/>
        <v>2</v>
      </c>
      <c r="BA260" s="2224">
        <f t="shared" si="227"/>
        <v>2</v>
      </c>
      <c r="BB260" s="2224">
        <f t="shared" si="227"/>
        <v>2</v>
      </c>
      <c r="BC260" s="2224">
        <f t="shared" si="227"/>
        <v>2</v>
      </c>
      <c r="BD260" s="2224">
        <f t="shared" si="227"/>
        <v>2</v>
      </c>
      <c r="BE260" s="2224">
        <f t="shared" si="227"/>
        <v>2</v>
      </c>
      <c r="BF260" s="2224">
        <f t="shared" si="227"/>
        <v>2</v>
      </c>
      <c r="BG260" s="2224">
        <f t="shared" si="227"/>
        <v>2</v>
      </c>
      <c r="BH260" s="2224">
        <f t="shared" si="227"/>
        <v>2</v>
      </c>
      <c r="BI260" s="2224">
        <f t="shared" si="227"/>
        <v>2</v>
      </c>
    </row>
    <row r="261" spans="1:61" s="529" customFormat="1" ht="13.15" customHeight="1">
      <c r="A261" s="523"/>
      <c r="B261" s="224"/>
      <c r="C261" s="524"/>
      <c r="D261" s="2243"/>
      <c r="E261" s="3655" t="str">
        <f>E$23</f>
        <v>Durée d'exposition considérée</v>
      </c>
      <c r="F261" s="525" t="str">
        <f>F$23</f>
        <v>t</v>
      </c>
      <c r="G261" s="526" t="str">
        <f t="shared" ref="G261:BI261" si="228">G$23</f>
        <v>s</v>
      </c>
      <c r="H261" s="2161">
        <f t="shared" si="228"/>
        <v>5270400</v>
      </c>
      <c r="I261" s="2161">
        <f t="shared" si="228"/>
        <v>5270400</v>
      </c>
      <c r="J261" s="2161">
        <f>J$23</f>
        <v>5270400</v>
      </c>
      <c r="K261" s="2161">
        <f t="shared" si="228"/>
        <v>5270400</v>
      </c>
      <c r="L261" s="2161">
        <f t="shared" si="228"/>
        <v>5270400</v>
      </c>
      <c r="M261" s="2161">
        <f t="shared" si="228"/>
        <v>5270400</v>
      </c>
      <c r="N261" s="2161">
        <f>N$23</f>
        <v>5270400</v>
      </c>
      <c r="O261" s="2161">
        <f>O$23</f>
        <v>5270400</v>
      </c>
      <c r="P261" s="2161">
        <f t="shared" si="228"/>
        <v>5270400</v>
      </c>
      <c r="Q261" s="2161">
        <f t="shared" si="228"/>
        <v>5270400</v>
      </c>
      <c r="R261" s="2161">
        <f>R$23</f>
        <v>5270400</v>
      </c>
      <c r="S261" s="2161">
        <f>S$23</f>
        <v>5270400</v>
      </c>
      <c r="T261" s="2161">
        <f>T$23</f>
        <v>5270400</v>
      </c>
      <c r="U261" s="2161">
        <f t="shared" si="228"/>
        <v>5270400</v>
      </c>
      <c r="V261" s="2161">
        <f t="shared" si="228"/>
        <v>5270400</v>
      </c>
      <c r="W261" s="2161">
        <f t="shared" si="228"/>
        <v>5270400</v>
      </c>
      <c r="X261" s="2161">
        <f t="shared" si="228"/>
        <v>5270400</v>
      </c>
      <c r="Y261" s="2161">
        <f t="shared" si="228"/>
        <v>5270400</v>
      </c>
      <c r="Z261" s="2161">
        <f t="shared" si="228"/>
        <v>5270400</v>
      </c>
      <c r="AA261" s="2215">
        <f t="shared" si="228"/>
        <v>5270400</v>
      </c>
      <c r="AB261" s="2161">
        <f t="shared" si="228"/>
        <v>5270400</v>
      </c>
      <c r="AC261" s="2161">
        <f t="shared" si="228"/>
        <v>5270400</v>
      </c>
      <c r="AD261" s="2161">
        <f t="shared" si="228"/>
        <v>5270400</v>
      </c>
      <c r="AE261" s="2161">
        <f t="shared" si="228"/>
        <v>5270400</v>
      </c>
      <c r="AF261" s="2161">
        <f t="shared" si="228"/>
        <v>5270400</v>
      </c>
      <c r="AG261" s="2161">
        <f t="shared" si="228"/>
        <v>5270400</v>
      </c>
      <c r="AH261" s="2161">
        <f t="shared" si="228"/>
        <v>5270400</v>
      </c>
      <c r="AI261" s="2161">
        <f t="shared" si="228"/>
        <v>5270400</v>
      </c>
      <c r="AJ261" s="2161">
        <f t="shared" si="228"/>
        <v>5270400</v>
      </c>
      <c r="AK261" s="2161">
        <f t="shared" si="228"/>
        <v>5270400</v>
      </c>
      <c r="AL261" s="2161">
        <f t="shared" si="228"/>
        <v>5270400</v>
      </c>
      <c r="AM261" s="2161">
        <f t="shared" si="228"/>
        <v>5270400</v>
      </c>
      <c r="AN261" s="2155">
        <f t="shared" si="228"/>
        <v>5270400</v>
      </c>
      <c r="AO261" s="2161">
        <f t="shared" si="228"/>
        <v>5270400</v>
      </c>
      <c r="AP261" s="2161">
        <f t="shared" si="228"/>
        <v>5270400</v>
      </c>
      <c r="AQ261" s="2161">
        <f t="shared" si="228"/>
        <v>5270400</v>
      </c>
      <c r="AR261" s="2161">
        <f t="shared" si="228"/>
        <v>5270400</v>
      </c>
      <c r="AS261" s="2161">
        <f t="shared" si="228"/>
        <v>5270400</v>
      </c>
      <c r="AT261" s="2161">
        <f t="shared" si="228"/>
        <v>5270400</v>
      </c>
      <c r="AU261" s="2161">
        <f t="shared" si="228"/>
        <v>5270400</v>
      </c>
      <c r="AV261" s="2161">
        <f t="shared" si="228"/>
        <v>5270400</v>
      </c>
      <c r="AW261" s="2161">
        <f t="shared" si="228"/>
        <v>5270400</v>
      </c>
      <c r="AX261" s="2161">
        <f t="shared" si="228"/>
        <v>5270400</v>
      </c>
      <c r="AY261" s="2161">
        <f t="shared" si="228"/>
        <v>5270400</v>
      </c>
      <c r="AZ261" s="2161">
        <f t="shared" si="228"/>
        <v>5270400</v>
      </c>
      <c r="BA261" s="2161">
        <f t="shared" si="228"/>
        <v>5270400</v>
      </c>
      <c r="BB261" s="2161">
        <f t="shared" si="228"/>
        <v>5270400</v>
      </c>
      <c r="BC261" s="2161">
        <f t="shared" si="228"/>
        <v>5270400</v>
      </c>
      <c r="BD261" s="2161">
        <f t="shared" si="228"/>
        <v>5270400</v>
      </c>
      <c r="BE261" s="2161">
        <f t="shared" si="228"/>
        <v>5270400</v>
      </c>
      <c r="BF261" s="2161">
        <f t="shared" si="228"/>
        <v>5270400</v>
      </c>
      <c r="BG261" s="2161">
        <f t="shared" si="228"/>
        <v>5270400</v>
      </c>
      <c r="BH261" s="2161">
        <f t="shared" si="228"/>
        <v>5270400</v>
      </c>
      <c r="BI261" s="2161">
        <f t="shared" si="228"/>
        <v>5270400</v>
      </c>
    </row>
    <row r="262" spans="1:61" ht="15.75">
      <c r="A262" s="2126"/>
      <c r="B262" s="2156"/>
      <c r="C262" s="2156"/>
      <c r="D262" s="2243"/>
      <c r="E262" s="3655" t="s">
        <v>297</v>
      </c>
      <c r="F262" s="2225" t="s">
        <v>1131</v>
      </c>
      <c r="G262" s="2226" t="s">
        <v>73</v>
      </c>
      <c r="H262" s="2227">
        <f t="shared" ref="H262:AM262" si="229">(2*H248*H13*0.001/H14*H261+(H41+H248*H212)^2)^0.5-H248*H212</f>
        <v>1.6401323777865962E-3</v>
      </c>
      <c r="I262" s="2227">
        <f t="shared" si="229"/>
        <v>1.6401323777865962E-3</v>
      </c>
      <c r="J262" s="2227">
        <f t="shared" si="229"/>
        <v>1.100681115644675E-2</v>
      </c>
      <c r="K262" s="2227">
        <f t="shared" si="229"/>
        <v>2.1724483773539083</v>
      </c>
      <c r="L262" s="2227">
        <f t="shared" si="229"/>
        <v>0.49791558574465211</v>
      </c>
      <c r="M262" s="2227">
        <f t="shared" si="229"/>
        <v>0.49791558574465211</v>
      </c>
      <c r="N262" s="2227">
        <f t="shared" si="229"/>
        <v>0.89282863813549629</v>
      </c>
      <c r="O262" s="2227">
        <f t="shared" si="229"/>
        <v>0.89282863813549629</v>
      </c>
      <c r="P262" s="2227">
        <f t="shared" si="229"/>
        <v>0.8894842627255436</v>
      </c>
      <c r="Q262" s="2227">
        <f t="shared" si="229"/>
        <v>0.8894842627255436</v>
      </c>
      <c r="R262" s="2227">
        <f t="shared" si="229"/>
        <v>2.8673342016904151</v>
      </c>
      <c r="S262" s="2227">
        <f t="shared" si="229"/>
        <v>0.55641962234676567</v>
      </c>
      <c r="T262" s="2227">
        <f t="shared" si="229"/>
        <v>0.55641962234676567</v>
      </c>
      <c r="U262" s="2227">
        <f t="shared" si="229"/>
        <v>1.4193794212735185</v>
      </c>
      <c r="V262" s="2227">
        <f t="shared" si="229"/>
        <v>0.98572613130890607</v>
      </c>
      <c r="W262" s="2227">
        <f t="shared" si="229"/>
        <v>0.98572613130890607</v>
      </c>
      <c r="X262" s="2227">
        <f t="shared" si="229"/>
        <v>0.62806866898484326</v>
      </c>
      <c r="Y262" s="2227">
        <f t="shared" si="229"/>
        <v>0.42793532952870661</v>
      </c>
      <c r="Z262" s="2227">
        <f t="shared" si="229"/>
        <v>0.25326025737626223</v>
      </c>
      <c r="AA262" s="2227">
        <f t="shared" si="229"/>
        <v>0.17685286438625525</v>
      </c>
      <c r="AB262" s="2227">
        <f t="shared" si="229"/>
        <v>9.7968722911310979E-2</v>
      </c>
      <c r="AC262" s="2227">
        <f t="shared" si="229"/>
        <v>1.8467226013034521E-2</v>
      </c>
      <c r="AD262" s="2227">
        <f t="shared" si="229"/>
        <v>3.1609903098179792E-3</v>
      </c>
      <c r="AE262" s="2227">
        <f t="shared" si="229"/>
        <v>3.1169561432387027E-4</v>
      </c>
      <c r="AF262" s="2227">
        <f t="shared" si="229"/>
        <v>1.022940318784471E-6</v>
      </c>
      <c r="AG262" s="2227">
        <f t="shared" si="229"/>
        <v>1.7402417326242703</v>
      </c>
      <c r="AH262" s="2227">
        <f t="shared" si="229"/>
        <v>1.2368786341511442</v>
      </c>
      <c r="AI262" s="2227">
        <f t="shared" si="229"/>
        <v>0.51376599432508274</v>
      </c>
      <c r="AJ262" s="2227">
        <f t="shared" si="229"/>
        <v>0.12091401882365305</v>
      </c>
      <c r="AK262" s="2227">
        <f t="shared" si="229"/>
        <v>2.3307539860820459E-2</v>
      </c>
      <c r="AL262" s="2227">
        <f t="shared" si="229"/>
        <v>1.3258345762424684E-3</v>
      </c>
      <c r="AM262" s="2227">
        <f t="shared" si="229"/>
        <v>7.7498253041596854E-6</v>
      </c>
      <c r="AN262" s="2227">
        <f t="shared" ref="AN262:BI262" si="230">(2*AN248*AN13*0.001/AN14*AN261+(AN41+AN248*AN212)^2)^0.5-AN248*AN212</f>
        <v>1.5384842836311252E-3</v>
      </c>
      <c r="AO262" s="2227">
        <f t="shared" si="230"/>
        <v>3.5414342452322334E-4</v>
      </c>
      <c r="AP262" s="2227">
        <f t="shared" si="230"/>
        <v>5.8466298026449426E-4</v>
      </c>
      <c r="AQ262" s="2227">
        <f t="shared" si="230"/>
        <v>2.1970605713295122E-4</v>
      </c>
      <c r="AR262" s="2227">
        <f t="shared" si="230"/>
        <v>4.1030905850503174E-5</v>
      </c>
      <c r="AS262" s="2227">
        <f t="shared" si="230"/>
        <v>5.2995962723012546E-5</v>
      </c>
      <c r="AT262" s="2227">
        <f t="shared" si="230"/>
        <v>3.4077115760311472E-6</v>
      </c>
      <c r="AU262" s="2227">
        <f t="shared" si="230"/>
        <v>3.2782575938306024E-6</v>
      </c>
      <c r="AV262" s="2227">
        <f t="shared" si="230"/>
        <v>4.634354111576755E-7</v>
      </c>
      <c r="AW262" s="2227">
        <f t="shared" si="230"/>
        <v>4.46558320543744E-7</v>
      </c>
      <c r="AX262" s="2227">
        <f t="shared" si="230"/>
        <v>1.422173667720017E-8</v>
      </c>
      <c r="AY262" s="2227">
        <f t="shared" si="230"/>
        <v>9.7603223281339524E-9</v>
      </c>
      <c r="AZ262" s="2227">
        <f t="shared" si="230"/>
        <v>6.5182881314740371E-9</v>
      </c>
      <c r="BA262" s="2227">
        <f t="shared" si="230"/>
        <v>1.0202327871411399E-9</v>
      </c>
      <c r="BB262" s="2227">
        <f t="shared" si="230"/>
        <v>1.6758119336657273E-8</v>
      </c>
      <c r="BC262" s="2227">
        <f t="shared" si="230"/>
        <v>0</v>
      </c>
      <c r="BD262" s="2227">
        <f t="shared" si="230"/>
        <v>9.321914907722828E-5</v>
      </c>
      <c r="BE262" s="2227">
        <f t="shared" si="230"/>
        <v>3.7235132444024543E-7</v>
      </c>
      <c r="BF262" s="2227">
        <f t="shared" si="230"/>
        <v>3.7235132444024543E-7</v>
      </c>
      <c r="BG262" s="2227">
        <f t="shared" si="230"/>
        <v>0.91348890073345002</v>
      </c>
      <c r="BH262" s="2227">
        <f t="shared" si="230"/>
        <v>8.1633290196947428E-5</v>
      </c>
      <c r="BI262" s="2227">
        <f t="shared" si="230"/>
        <v>1.9637745722245192E-3</v>
      </c>
    </row>
    <row r="263" spans="1:61" s="2204" customFormat="1" ht="25.5">
      <c r="D263" s="2243"/>
      <c r="E263" s="3656" t="s">
        <v>610</v>
      </c>
      <c r="F263" s="2205" t="s">
        <v>138</v>
      </c>
      <c r="G263" s="2206" t="s">
        <v>139</v>
      </c>
      <c r="H263" s="2204">
        <f t="shared" ref="H263:AM263" si="231">1000*H14/H13*(H262-H41)/H261</f>
        <v>1.7718615088690916E-4</v>
      </c>
      <c r="I263" s="2204">
        <f t="shared" si="231"/>
        <v>1.7718615088690916E-4</v>
      </c>
      <c r="J263" s="2204">
        <f t="shared" si="231"/>
        <v>1.8113277411721954E-4</v>
      </c>
      <c r="K263" s="2204">
        <f t="shared" si="231"/>
        <v>1.6045851792362945E-4</v>
      </c>
      <c r="L263" s="2204">
        <f t="shared" si="231"/>
        <v>1.9670086421039025E-4</v>
      </c>
      <c r="M263" s="2204">
        <f t="shared" si="231"/>
        <v>1.9670086421039025E-4</v>
      </c>
      <c r="N263" s="2204">
        <f t="shared" si="231"/>
        <v>1.7883107112101894E-4</v>
      </c>
      <c r="O263" s="2204">
        <f t="shared" si="231"/>
        <v>1.7883107112101894E-4</v>
      </c>
      <c r="P263" s="2204">
        <f t="shared" si="231"/>
        <v>1.6318997676483582E-4</v>
      </c>
      <c r="Q263" s="2204">
        <f t="shared" si="231"/>
        <v>1.6318997676483582E-4</v>
      </c>
      <c r="R263" s="2204">
        <f t="shared" si="231"/>
        <v>1.3086910049064327E-3</v>
      </c>
      <c r="S263" s="2204">
        <f t="shared" si="231"/>
        <v>2.7069299607423866E-4</v>
      </c>
      <c r="T263" s="2204">
        <f t="shared" si="231"/>
        <v>2.7069299607423866E-4</v>
      </c>
      <c r="U263" s="2204">
        <f t="shared" si="231"/>
        <v>1.466697876198339E-4</v>
      </c>
      <c r="V263" s="2204">
        <f t="shared" si="231"/>
        <v>6.2230370322221922E-5</v>
      </c>
      <c r="W263" s="2204">
        <f t="shared" si="231"/>
        <v>6.2230370322221922E-5</v>
      </c>
      <c r="X263" s="2204">
        <f t="shared" si="231"/>
        <v>2.0668582697781399E-4</v>
      </c>
      <c r="Y263" s="2204">
        <f t="shared" si="231"/>
        <v>2.0319431384522825E-4</v>
      </c>
      <c r="Z263" s="2204">
        <f t="shared" si="231"/>
        <v>2.0305771700659462E-4</v>
      </c>
      <c r="AA263" s="2204">
        <f t="shared" si="231"/>
        <v>2.1136489606448085E-4</v>
      </c>
      <c r="AB263" s="2204">
        <f t="shared" si="231"/>
        <v>1.0352775445812035E-4</v>
      </c>
      <c r="AC263" s="2204">
        <f t="shared" si="231"/>
        <v>1.0000852362197387E-4</v>
      </c>
      <c r="AD263" s="2204">
        <f t="shared" si="231"/>
        <v>8.7456841171884938E-5</v>
      </c>
      <c r="AE263" s="2204">
        <f t="shared" si="231"/>
        <v>6.9161058368363092E-5</v>
      </c>
      <c r="AF263" s="2204">
        <f t="shared" si="231"/>
        <v>5.4762492027496107E-5</v>
      </c>
      <c r="AG263" s="2204">
        <f t="shared" si="231"/>
        <v>7.9961319116992341E-5</v>
      </c>
      <c r="AH263" s="2204">
        <f t="shared" si="231"/>
        <v>7.5904355907488889E-5</v>
      </c>
      <c r="AI263" s="2204">
        <f t="shared" si="231"/>
        <v>7.7539347118322209E-5</v>
      </c>
      <c r="AJ263" s="2204">
        <f t="shared" si="231"/>
        <v>7.6661578097956973E-5</v>
      </c>
      <c r="AK263" s="2204">
        <f t="shared" si="231"/>
        <v>6.4821480137264252E-5</v>
      </c>
      <c r="AL263" s="2204">
        <f t="shared" si="231"/>
        <v>4.8639656294553574E-5</v>
      </c>
      <c r="AM263" s="2204">
        <f t="shared" si="231"/>
        <v>4.1071702389564372E-5</v>
      </c>
      <c r="AN263" s="2204">
        <f t="shared" ref="AN263:BI263" si="232">1000*AN14/AN13*(AN262-AN41)/AN261</f>
        <v>1.0243650794072561E-4</v>
      </c>
      <c r="AO263" s="2204">
        <f t="shared" si="232"/>
        <v>8.6335950221488821E-5</v>
      </c>
      <c r="AP263" s="2204">
        <f t="shared" si="232"/>
        <v>8.519909581652203E-5</v>
      </c>
      <c r="AQ263" s="2204">
        <f t="shared" si="232"/>
        <v>7.9069490488477523E-5</v>
      </c>
      <c r="AR263" s="2204">
        <f t="shared" si="232"/>
        <v>7.3752574033240695E-5</v>
      </c>
      <c r="AS263" s="2204">
        <f t="shared" si="232"/>
        <v>7.375206118874085E-5</v>
      </c>
      <c r="AT263" s="2204">
        <f t="shared" si="232"/>
        <v>6.4967788628318888E-5</v>
      </c>
      <c r="AU263" s="2204">
        <f t="shared" si="232"/>
        <v>6.4967795018780209E-5</v>
      </c>
      <c r="AV263" s="2204">
        <f t="shared" si="232"/>
        <v>5.7568999026763505E-5</v>
      </c>
      <c r="AW263" s="2204">
        <f t="shared" si="232"/>
        <v>5.7569000327404442E-5</v>
      </c>
      <c r="AX263" s="2204">
        <f t="shared" si="232"/>
        <v>5.2088637271036973E-5</v>
      </c>
      <c r="AY263" s="2204">
        <f t="shared" si="232"/>
        <v>5.2088637200866764E-5</v>
      </c>
      <c r="AZ263" s="2204">
        <f t="shared" si="232"/>
        <v>5.2092770774462432E-5</v>
      </c>
      <c r="BA263" s="2204">
        <f t="shared" si="232"/>
        <v>4.7209038665144947E-5</v>
      </c>
      <c r="BB263" s="2204">
        <f t="shared" si="232"/>
        <v>4.8975274551415569E-5</v>
      </c>
      <c r="BC263" s="2204">
        <f t="shared" si="232"/>
        <v>0</v>
      </c>
      <c r="BD263" s="2204">
        <f t="shared" si="232"/>
        <v>2.8361045371463629E-4</v>
      </c>
      <c r="BE263" s="2204">
        <f t="shared" si="232"/>
        <v>5.104078745074518E-5</v>
      </c>
      <c r="BF263" s="2204">
        <f t="shared" si="232"/>
        <v>5.104078745074518E-5</v>
      </c>
      <c r="BG263" s="2204">
        <f t="shared" si="232"/>
        <v>6.8953971070042833E-5</v>
      </c>
      <c r="BH263" s="2204">
        <f t="shared" si="232"/>
        <v>1.8676772691593208E-4</v>
      </c>
      <c r="BI263" s="2204">
        <f t="shared" si="232"/>
        <v>5.806742038802227E-4</v>
      </c>
    </row>
    <row r="264" spans="1:61" s="2304" customFormat="1" ht="25.5">
      <c r="B264" s="2305"/>
      <c r="C264" s="2305"/>
      <c r="D264" s="2243"/>
      <c r="E264" s="3655" t="s">
        <v>611</v>
      </c>
      <c r="F264" s="2343" t="s">
        <v>138</v>
      </c>
      <c r="G264" s="2344" t="s">
        <v>139</v>
      </c>
      <c r="H264" s="2345">
        <f t="shared" ref="H264:AM264" si="233">MIN(H263,H$24)</f>
        <v>1.7718615088690916E-4</v>
      </c>
      <c r="I264" s="2345">
        <f t="shared" si="233"/>
        <v>1.7718615088690916E-4</v>
      </c>
      <c r="J264" s="2345">
        <f t="shared" si="233"/>
        <v>1.8113277411721954E-4</v>
      </c>
      <c r="K264" s="2345">
        <f t="shared" si="233"/>
        <v>1.6045851792362945E-4</v>
      </c>
      <c r="L264" s="2345">
        <f t="shared" si="233"/>
        <v>1.9670086421039025E-4</v>
      </c>
      <c r="M264" s="2345">
        <f t="shared" si="233"/>
        <v>1.9670086421039025E-4</v>
      </c>
      <c r="N264" s="2345">
        <f t="shared" si="233"/>
        <v>1.7883107112101894E-4</v>
      </c>
      <c r="O264" s="2345">
        <f t="shared" si="233"/>
        <v>1.7883107112101894E-4</v>
      </c>
      <c r="P264" s="2345">
        <f t="shared" si="233"/>
        <v>1.6318997676483582E-4</v>
      </c>
      <c r="Q264" s="2345">
        <f t="shared" si="233"/>
        <v>1.6318997676483582E-4</v>
      </c>
      <c r="R264" s="2345">
        <f t="shared" si="233"/>
        <v>1.3086910049064327E-3</v>
      </c>
      <c r="S264" s="2345">
        <f t="shared" si="233"/>
        <v>2.7069299607423866E-4</v>
      </c>
      <c r="T264" s="2345">
        <f t="shared" si="233"/>
        <v>2.7069299607423866E-4</v>
      </c>
      <c r="U264" s="2345">
        <f t="shared" si="233"/>
        <v>1.466697876198339E-4</v>
      </c>
      <c r="V264" s="2345">
        <f t="shared" si="233"/>
        <v>6.2230370322221922E-5</v>
      </c>
      <c r="W264" s="2345">
        <f t="shared" si="233"/>
        <v>6.2230370322221922E-5</v>
      </c>
      <c r="X264" s="2345">
        <f t="shared" si="233"/>
        <v>2.0668582697781399E-4</v>
      </c>
      <c r="Y264" s="2345">
        <f t="shared" si="233"/>
        <v>2.0319431384522825E-4</v>
      </c>
      <c r="Z264" s="2345">
        <f t="shared" si="233"/>
        <v>2.0305771700659462E-4</v>
      </c>
      <c r="AA264" s="2345">
        <f t="shared" si="233"/>
        <v>2.1136489606448085E-4</v>
      </c>
      <c r="AB264" s="2345">
        <f t="shared" si="233"/>
        <v>1.0352775445812035E-4</v>
      </c>
      <c r="AC264" s="2345">
        <f t="shared" si="233"/>
        <v>1.0000852362197387E-4</v>
      </c>
      <c r="AD264" s="2345">
        <f t="shared" si="233"/>
        <v>8.7456841171884938E-5</v>
      </c>
      <c r="AE264" s="2345">
        <f t="shared" si="233"/>
        <v>6.9161058368363092E-5</v>
      </c>
      <c r="AF264" s="2345">
        <f t="shared" si="233"/>
        <v>5.4762492027496107E-5</v>
      </c>
      <c r="AG264" s="2345">
        <f t="shared" si="233"/>
        <v>7.9961319116992341E-5</v>
      </c>
      <c r="AH264" s="2345">
        <f t="shared" si="233"/>
        <v>7.5904355907488889E-5</v>
      </c>
      <c r="AI264" s="2345">
        <f t="shared" si="233"/>
        <v>7.7539347118322209E-5</v>
      </c>
      <c r="AJ264" s="2345">
        <f t="shared" si="233"/>
        <v>7.6661578097956973E-5</v>
      </c>
      <c r="AK264" s="2345">
        <f t="shared" si="233"/>
        <v>6.4821480137264252E-5</v>
      </c>
      <c r="AL264" s="2345">
        <f t="shared" si="233"/>
        <v>4.8639656294553574E-5</v>
      </c>
      <c r="AM264" s="2345">
        <f t="shared" si="233"/>
        <v>4.1071702389564372E-5</v>
      </c>
      <c r="AN264" s="2345">
        <f t="shared" ref="AN264:BI264" si="234">MIN(AN263,AN$24)</f>
        <v>1.0243650794072561E-4</v>
      </c>
      <c r="AO264" s="2345">
        <f t="shared" si="234"/>
        <v>8.6335950221488821E-5</v>
      </c>
      <c r="AP264" s="2345">
        <f t="shared" si="234"/>
        <v>8.519909581652203E-5</v>
      </c>
      <c r="AQ264" s="2345">
        <f t="shared" si="234"/>
        <v>7.9069490488477523E-5</v>
      </c>
      <c r="AR264" s="2345">
        <f t="shared" si="234"/>
        <v>7.3752574033240695E-5</v>
      </c>
      <c r="AS264" s="2345">
        <f t="shared" si="234"/>
        <v>7.375206118874085E-5</v>
      </c>
      <c r="AT264" s="2345">
        <f t="shared" si="234"/>
        <v>6.4967788628318888E-5</v>
      </c>
      <c r="AU264" s="2345">
        <f t="shared" si="234"/>
        <v>6.4967795018780209E-5</v>
      </c>
      <c r="AV264" s="2345">
        <f t="shared" si="234"/>
        <v>5.7568999026763505E-5</v>
      </c>
      <c r="AW264" s="2345">
        <f t="shared" si="234"/>
        <v>5.7569000327404442E-5</v>
      </c>
      <c r="AX264" s="2345">
        <f t="shared" si="234"/>
        <v>5.2088637271036973E-5</v>
      </c>
      <c r="AY264" s="2345">
        <f t="shared" si="234"/>
        <v>5.2088637200866764E-5</v>
      </c>
      <c r="AZ264" s="2345">
        <f t="shared" si="234"/>
        <v>5.2092770774462432E-5</v>
      </c>
      <c r="BA264" s="2345">
        <f t="shared" si="234"/>
        <v>4.7209038665144947E-5</v>
      </c>
      <c r="BB264" s="2345">
        <f t="shared" si="234"/>
        <v>4.8975274551415569E-5</v>
      </c>
      <c r="BC264" s="2345">
        <f t="shared" si="234"/>
        <v>0</v>
      </c>
      <c r="BD264" s="2345">
        <f t="shared" si="234"/>
        <v>2.8361045371463629E-4</v>
      </c>
      <c r="BE264" s="2345">
        <f t="shared" si="234"/>
        <v>5.104078745074518E-5</v>
      </c>
      <c r="BF264" s="2345">
        <f t="shared" si="234"/>
        <v>5.104078745074518E-5</v>
      </c>
      <c r="BG264" s="2345">
        <f t="shared" si="234"/>
        <v>6.8953971070042833E-5</v>
      </c>
      <c r="BH264" s="2345">
        <f t="shared" si="234"/>
        <v>1.8676772691593208E-4</v>
      </c>
      <c r="BI264" s="2345">
        <f t="shared" si="234"/>
        <v>5.806742038802227E-4</v>
      </c>
    </row>
    <row r="265" spans="1:61" ht="38.25">
      <c r="A265" s="2126"/>
      <c r="B265" s="2156"/>
      <c r="C265" s="2156"/>
      <c r="D265" s="2243"/>
      <c r="E265" s="3671" t="s">
        <v>952</v>
      </c>
      <c r="F265" s="2153" t="s">
        <v>300</v>
      </c>
      <c r="G265" s="2220" t="s">
        <v>35</v>
      </c>
      <c r="H265" s="2221">
        <f t="shared" ref="H265:AM265" si="235">H213/H263</f>
        <v>1.0007589638705943</v>
      </c>
      <c r="I265" s="2221">
        <f t="shared" si="235"/>
        <v>1.0007589638705943</v>
      </c>
      <c r="J265" s="2221">
        <f t="shared" si="235"/>
        <v>1.0062413016001488</v>
      </c>
      <c r="K265" s="2221">
        <f t="shared" si="235"/>
        <v>2.2848314359694442</v>
      </c>
      <c r="L265" s="2221">
        <f t="shared" si="235"/>
        <v>1.2941440590513802</v>
      </c>
      <c r="M265" s="2221">
        <f t="shared" si="235"/>
        <v>1.2941440590513802</v>
      </c>
      <c r="N265" s="2221">
        <f t="shared" si="235"/>
        <v>1.5279009120962443</v>
      </c>
      <c r="O265" s="2221">
        <f t="shared" si="235"/>
        <v>1.5279009120962443</v>
      </c>
      <c r="P265" s="2221">
        <f t="shared" si="235"/>
        <v>1.5259843951256604</v>
      </c>
      <c r="Q265" s="2221">
        <f t="shared" si="235"/>
        <v>1.5259843951256604</v>
      </c>
      <c r="R265" s="2221">
        <f t="shared" si="235"/>
        <v>2.6957159672383684</v>
      </c>
      <c r="S265" s="2221">
        <f t="shared" si="235"/>
        <v>1.328823797004383</v>
      </c>
      <c r="T265" s="2221">
        <f t="shared" si="235"/>
        <v>1.328823797004383</v>
      </c>
      <c r="U265" s="2221">
        <f t="shared" si="235"/>
        <v>1.8393527087436463</v>
      </c>
      <c r="V265" s="2221">
        <f t="shared" si="235"/>
        <v>1.5829651421924167</v>
      </c>
      <c r="W265" s="2221">
        <f t="shared" si="235"/>
        <v>1.5829651421924167</v>
      </c>
      <c r="X265" s="2221">
        <f t="shared" si="235"/>
        <v>1.3712602755972705</v>
      </c>
      <c r="Y265" s="2221">
        <f t="shared" si="235"/>
        <v>1.2529764236477068</v>
      </c>
      <c r="Z265" s="2221">
        <f t="shared" si="235"/>
        <v>1.1497286414506123</v>
      </c>
      <c r="AA265" s="2221">
        <f t="shared" si="235"/>
        <v>1.1045413758717679</v>
      </c>
      <c r="AB265" s="2221">
        <f t="shared" si="235"/>
        <v>1.0579292700708331</v>
      </c>
      <c r="AC265" s="2221">
        <f t="shared" si="235"/>
        <v>1.0109142184715529</v>
      </c>
      <c r="AD265" s="2221">
        <f t="shared" si="235"/>
        <v>1.0018659740128928</v>
      </c>
      <c r="AE265" s="2221">
        <f t="shared" si="235"/>
        <v>1.0001829379576135</v>
      </c>
      <c r="AF265" s="2221">
        <f t="shared" si="235"/>
        <v>1.000000526372681</v>
      </c>
      <c r="AG265" s="2221">
        <f t="shared" si="235"/>
        <v>2.029222664629267</v>
      </c>
      <c r="AH265" s="2221">
        <f t="shared" si="235"/>
        <v>1.7315218405558574</v>
      </c>
      <c r="AI265" s="2221">
        <f t="shared" si="235"/>
        <v>1.3038546525743453</v>
      </c>
      <c r="AJ265" s="2221">
        <f t="shared" si="235"/>
        <v>1.0715117444425906</v>
      </c>
      <c r="AK265" s="2221">
        <f t="shared" si="235"/>
        <v>1.0137847035336838</v>
      </c>
      <c r="AL265" s="2221">
        <f t="shared" si="235"/>
        <v>1.0007841342252044</v>
      </c>
      <c r="AM265" s="2221">
        <f t="shared" si="235"/>
        <v>1.0000045834517821</v>
      </c>
      <c r="AN265" s="2221">
        <f t="shared" ref="AN265:BI265" si="236">AN213/AN263</f>
        <v>1.0008886416305565</v>
      </c>
      <c r="AO265" s="2221">
        <f t="shared" si="236"/>
        <v>1.0002034485186646</v>
      </c>
      <c r="AP265" s="2221">
        <f t="shared" si="236"/>
        <v>1.0003388835129305</v>
      </c>
      <c r="AQ265" s="2221">
        <f t="shared" si="236"/>
        <v>1.0001259905272304</v>
      </c>
      <c r="AR265" s="2221">
        <f t="shared" si="236"/>
        <v>1.0000225457322109</v>
      </c>
      <c r="AS265" s="2221">
        <f t="shared" si="236"/>
        <v>1.0000294995183701</v>
      </c>
      <c r="AT265" s="2221">
        <f t="shared" si="236"/>
        <v>1.0000016255978001</v>
      </c>
      <c r="AU265" s="2221">
        <f t="shared" si="236"/>
        <v>1.0000015272341154</v>
      </c>
      <c r="AV265" s="2221">
        <f t="shared" si="236"/>
        <v>1.0000001922623161</v>
      </c>
      <c r="AW265" s="2221">
        <f t="shared" si="236"/>
        <v>1.0000001696695806</v>
      </c>
      <c r="AX265" s="2221">
        <f t="shared" si="236"/>
        <v>1.0000000036891223</v>
      </c>
      <c r="AY265" s="2221">
        <f t="shared" si="236"/>
        <v>1.0000000050362532</v>
      </c>
      <c r="AZ265" s="2221">
        <f t="shared" si="236"/>
        <v>0.9999999192207123</v>
      </c>
      <c r="BA265" s="2221">
        <f t="shared" si="236"/>
        <v>1.0000006574100466</v>
      </c>
      <c r="BB265" s="2221">
        <f t="shared" si="236"/>
        <v>1.0000000248113983</v>
      </c>
      <c r="BC265" s="2221" t="e">
        <f t="shared" si="236"/>
        <v>#DIV/0!</v>
      </c>
      <c r="BD265" s="2221">
        <f t="shared" si="236"/>
        <v>1.0000062040907274</v>
      </c>
      <c r="BE265" s="2221">
        <f t="shared" si="236"/>
        <v>1.0000001701397587</v>
      </c>
      <c r="BF265" s="2221">
        <f t="shared" si="236"/>
        <v>1.0000001701397587</v>
      </c>
      <c r="BG265" s="2221">
        <f t="shared" si="236"/>
        <v>1.539891670461186</v>
      </c>
      <c r="BH265" s="2221">
        <f t="shared" si="236"/>
        <v>1.0000069153923603</v>
      </c>
      <c r="BI265" s="2221">
        <f t="shared" si="236"/>
        <v>1.000662961686045</v>
      </c>
    </row>
    <row r="266" spans="1:61">
      <c r="A266" s="2126"/>
      <c r="B266" s="2156"/>
      <c r="C266" s="2156"/>
      <c r="D266" s="2243"/>
      <c r="E266" s="3655"/>
      <c r="F266" s="2153"/>
      <c r="G266" s="2154"/>
      <c r="H266" s="2156"/>
      <c r="I266" s="2156"/>
      <c r="J266" s="2156"/>
      <c r="K266" s="2156"/>
      <c r="L266" s="2156"/>
      <c r="M266" s="2156"/>
      <c r="N266" s="2156"/>
      <c r="O266" s="2156"/>
      <c r="P266" s="2156"/>
      <c r="Q266" s="2156"/>
      <c r="S266" s="2156"/>
      <c r="T266" s="2156"/>
      <c r="U266" s="2156"/>
      <c r="V266" s="2156"/>
      <c r="W266" s="2156"/>
      <c r="X266" s="2156"/>
      <c r="Y266" s="2156"/>
      <c r="Z266" s="2156"/>
      <c r="AA266" s="2156"/>
      <c r="AB266" s="2156"/>
      <c r="AC266" s="2156"/>
      <c r="AD266" s="2156"/>
      <c r="AE266" s="2156"/>
      <c r="AF266" s="2156"/>
      <c r="AG266" s="2156"/>
      <c r="AH266" s="2156"/>
      <c r="AI266" s="2156"/>
      <c r="AJ266" s="2156"/>
      <c r="AK266" s="2156"/>
      <c r="AL266" s="2156"/>
      <c r="AM266" s="2156"/>
      <c r="AN266" s="2156"/>
      <c r="AO266" s="2156"/>
      <c r="AP266" s="2156"/>
      <c r="AQ266" s="2156"/>
      <c r="AR266" s="2156"/>
      <c r="AS266" s="2156"/>
      <c r="AT266" s="2156"/>
      <c r="AU266" s="2156"/>
      <c r="AV266" s="2156"/>
      <c r="AW266" s="2156"/>
      <c r="AX266" s="2156"/>
      <c r="AY266" s="2156"/>
      <c r="AZ266" s="2156"/>
      <c r="BA266" s="2156"/>
      <c r="BB266" s="2156"/>
      <c r="BC266" s="2156"/>
      <c r="BD266" s="2156"/>
      <c r="BE266" s="2156"/>
      <c r="BF266" s="2156"/>
      <c r="BG266" s="2156"/>
      <c r="BH266" s="2156"/>
      <c r="BI266" s="2156"/>
    </row>
    <row r="267" spans="1:61">
      <c r="A267" s="2126"/>
      <c r="B267" s="2156"/>
      <c r="C267" s="2156"/>
      <c r="D267" s="2243"/>
      <c r="E267" s="3659" t="str">
        <f>E55</f>
        <v>Période enfant 0-6 ans (effets sans seuil)</v>
      </c>
      <c r="F267" s="2153"/>
      <c r="G267" s="2154"/>
      <c r="H267" s="2156"/>
      <c r="I267" s="2156"/>
      <c r="J267" s="2156"/>
      <c r="K267" s="2156"/>
      <c r="L267" s="2156"/>
      <c r="M267" s="2156"/>
      <c r="N267" s="2156"/>
      <c r="O267" s="2156"/>
      <c r="P267" s="2156"/>
      <c r="Q267" s="2156"/>
      <c r="S267" s="2156"/>
      <c r="T267" s="2156"/>
      <c r="U267" s="2156"/>
      <c r="V267" s="2156"/>
      <c r="W267" s="2156"/>
      <c r="X267" s="2156"/>
      <c r="Y267" s="2156"/>
      <c r="Z267" s="2156"/>
      <c r="AA267" s="2156"/>
      <c r="AB267" s="2156"/>
      <c r="AC267" s="2156"/>
      <c r="AD267" s="2156"/>
      <c r="AE267" s="2156"/>
      <c r="AF267" s="2156"/>
      <c r="AG267" s="2156"/>
      <c r="AH267" s="2156"/>
      <c r="AI267" s="2156"/>
      <c r="AJ267" s="2156"/>
      <c r="AK267" s="2156"/>
      <c r="AL267" s="2156"/>
      <c r="AM267" s="2156"/>
      <c r="AN267" s="2156"/>
      <c r="AO267" s="2156"/>
      <c r="AP267" s="2156"/>
      <c r="AQ267" s="2156"/>
      <c r="AR267" s="2156"/>
      <c r="AS267" s="2156"/>
      <c r="AT267" s="2156"/>
      <c r="AU267" s="2156"/>
      <c r="AV267" s="2156"/>
      <c r="AW267" s="2156"/>
      <c r="AX267" s="2156"/>
      <c r="AY267" s="2156"/>
      <c r="AZ267" s="2156"/>
      <c r="BA267" s="2156"/>
      <c r="BB267" s="2156"/>
      <c r="BC267" s="2156"/>
      <c r="BD267" s="2156"/>
      <c r="BE267" s="2156"/>
      <c r="BF267" s="2156"/>
      <c r="BG267" s="2156"/>
      <c r="BH267" s="2156"/>
      <c r="BI267" s="2156"/>
    </row>
    <row r="268" spans="1:61">
      <c r="A268" s="2126"/>
      <c r="B268" s="2156"/>
      <c r="C268" s="2156"/>
      <c r="D268" s="2243"/>
      <c r="E268" s="3655" t="str">
        <f t="shared" ref="E268:G269" si="237">E27</f>
        <v>Durée d'exposition considérée</v>
      </c>
      <c r="F268" s="525" t="str">
        <f t="shared" si="237"/>
        <v>t</v>
      </c>
      <c r="G268" s="526" t="str">
        <f t="shared" si="237"/>
        <v>an</v>
      </c>
      <c r="H268" s="2224">
        <f t="shared" ref="H268:BI268" si="238">H269/(365*24*3600)</f>
        <v>6</v>
      </c>
      <c r="I268" s="2224">
        <f t="shared" si="238"/>
        <v>6</v>
      </c>
      <c r="J268" s="2224">
        <f>J269/(365*24*3600)</f>
        <v>6</v>
      </c>
      <c r="K268" s="2224">
        <f t="shared" si="238"/>
        <v>6</v>
      </c>
      <c r="L268" s="2224">
        <f t="shared" si="238"/>
        <v>6</v>
      </c>
      <c r="M268" s="2224">
        <f t="shared" si="238"/>
        <v>6</v>
      </c>
      <c r="N268" s="2224">
        <f>N269/(365*24*3600)</f>
        <v>6</v>
      </c>
      <c r="O268" s="2224">
        <f>O269/(365*24*3600)</f>
        <v>6</v>
      </c>
      <c r="P268" s="2224">
        <f t="shared" si="238"/>
        <v>6</v>
      </c>
      <c r="Q268" s="2224">
        <f t="shared" si="238"/>
        <v>6</v>
      </c>
      <c r="R268" s="2224">
        <f>R269/(365*24*3600)</f>
        <v>6</v>
      </c>
      <c r="S268" s="2224">
        <f>S269/(365*24*3600)</f>
        <v>6</v>
      </c>
      <c r="T268" s="2224">
        <f>T269/(365*24*3600)</f>
        <v>6</v>
      </c>
      <c r="U268" s="2224">
        <f t="shared" si="238"/>
        <v>6</v>
      </c>
      <c r="V268" s="2224">
        <f t="shared" si="238"/>
        <v>6</v>
      </c>
      <c r="W268" s="2224">
        <f t="shared" si="238"/>
        <v>6</v>
      </c>
      <c r="X268" s="2224">
        <f t="shared" si="238"/>
        <v>6</v>
      </c>
      <c r="Y268" s="2224">
        <f t="shared" si="238"/>
        <v>6</v>
      </c>
      <c r="Z268" s="2224">
        <f t="shared" si="238"/>
        <v>6</v>
      </c>
      <c r="AA268" s="2224">
        <f t="shared" si="238"/>
        <v>6</v>
      </c>
      <c r="AB268" s="2224">
        <f t="shared" si="238"/>
        <v>6</v>
      </c>
      <c r="AC268" s="2224">
        <f t="shared" si="238"/>
        <v>6</v>
      </c>
      <c r="AD268" s="2224">
        <f t="shared" si="238"/>
        <v>6</v>
      </c>
      <c r="AE268" s="2224">
        <f t="shared" si="238"/>
        <v>6</v>
      </c>
      <c r="AF268" s="2224">
        <f t="shared" si="238"/>
        <v>6</v>
      </c>
      <c r="AG268" s="2224">
        <f t="shared" si="238"/>
        <v>6</v>
      </c>
      <c r="AH268" s="2224">
        <f t="shared" si="238"/>
        <v>6</v>
      </c>
      <c r="AI268" s="2224">
        <f t="shared" si="238"/>
        <v>6</v>
      </c>
      <c r="AJ268" s="2224">
        <f t="shared" si="238"/>
        <v>6</v>
      </c>
      <c r="AK268" s="2224">
        <f t="shared" si="238"/>
        <v>6</v>
      </c>
      <c r="AL268" s="2224">
        <f t="shared" si="238"/>
        <v>6</v>
      </c>
      <c r="AM268" s="2224">
        <f t="shared" si="238"/>
        <v>6</v>
      </c>
      <c r="AN268" s="2224">
        <f t="shared" si="238"/>
        <v>6</v>
      </c>
      <c r="AO268" s="2224">
        <f t="shared" si="238"/>
        <v>6</v>
      </c>
      <c r="AP268" s="2224">
        <f t="shared" si="238"/>
        <v>6</v>
      </c>
      <c r="AQ268" s="2224">
        <f t="shared" si="238"/>
        <v>6</v>
      </c>
      <c r="AR268" s="2224">
        <f t="shared" si="238"/>
        <v>6</v>
      </c>
      <c r="AS268" s="2224">
        <f t="shared" si="238"/>
        <v>6</v>
      </c>
      <c r="AT268" s="2224">
        <f t="shared" si="238"/>
        <v>6</v>
      </c>
      <c r="AU268" s="2224">
        <f t="shared" si="238"/>
        <v>6</v>
      </c>
      <c r="AV268" s="2224">
        <f t="shared" si="238"/>
        <v>6</v>
      </c>
      <c r="AW268" s="2224">
        <f t="shared" si="238"/>
        <v>6</v>
      </c>
      <c r="AX268" s="2224">
        <f t="shared" si="238"/>
        <v>6</v>
      </c>
      <c r="AY268" s="2224">
        <f t="shared" si="238"/>
        <v>6</v>
      </c>
      <c r="AZ268" s="2224">
        <f t="shared" si="238"/>
        <v>6</v>
      </c>
      <c r="BA268" s="2224">
        <f t="shared" si="238"/>
        <v>6</v>
      </c>
      <c r="BB268" s="2224">
        <f t="shared" si="238"/>
        <v>6</v>
      </c>
      <c r="BC268" s="2224">
        <f t="shared" si="238"/>
        <v>6</v>
      </c>
      <c r="BD268" s="2224">
        <f t="shared" si="238"/>
        <v>6</v>
      </c>
      <c r="BE268" s="2224">
        <f t="shared" si="238"/>
        <v>6</v>
      </c>
      <c r="BF268" s="2224">
        <f t="shared" si="238"/>
        <v>6</v>
      </c>
      <c r="BG268" s="2224">
        <f t="shared" si="238"/>
        <v>6</v>
      </c>
      <c r="BH268" s="2224">
        <f t="shared" si="238"/>
        <v>6</v>
      </c>
      <c r="BI268" s="2224">
        <f t="shared" si="238"/>
        <v>6</v>
      </c>
    </row>
    <row r="269" spans="1:61" s="529" customFormat="1" ht="13.15" customHeight="1">
      <c r="A269" s="523"/>
      <c r="B269" s="224"/>
      <c r="C269" s="524"/>
      <c r="D269" s="2243"/>
      <c r="E269" s="3655" t="str">
        <f t="shared" si="237"/>
        <v>Durée d'exposition considérée</v>
      </c>
      <c r="F269" s="525" t="str">
        <f t="shared" si="237"/>
        <v>t</v>
      </c>
      <c r="G269" s="526" t="str">
        <f t="shared" si="237"/>
        <v>s</v>
      </c>
      <c r="H269" s="2161">
        <f t="shared" ref="H269:AM269" si="239">H28</f>
        <v>189216000</v>
      </c>
      <c r="I269" s="2161">
        <f t="shared" si="239"/>
        <v>189216000</v>
      </c>
      <c r="J269" s="2161">
        <f t="shared" si="239"/>
        <v>189216000</v>
      </c>
      <c r="K269" s="2161">
        <f t="shared" si="239"/>
        <v>189216000</v>
      </c>
      <c r="L269" s="2161">
        <f t="shared" si="239"/>
        <v>189216000</v>
      </c>
      <c r="M269" s="2161">
        <f t="shared" si="239"/>
        <v>189216000</v>
      </c>
      <c r="N269" s="2161">
        <f t="shared" si="239"/>
        <v>189216000</v>
      </c>
      <c r="O269" s="2161">
        <f t="shared" si="239"/>
        <v>189216000</v>
      </c>
      <c r="P269" s="2161">
        <f t="shared" si="239"/>
        <v>189216000</v>
      </c>
      <c r="Q269" s="2161">
        <f t="shared" si="239"/>
        <v>189216000</v>
      </c>
      <c r="R269" s="2161">
        <f t="shared" si="239"/>
        <v>189216000</v>
      </c>
      <c r="S269" s="2161">
        <f t="shared" si="239"/>
        <v>189216000</v>
      </c>
      <c r="T269" s="2161">
        <f t="shared" si="239"/>
        <v>189216000</v>
      </c>
      <c r="U269" s="2161">
        <f t="shared" si="239"/>
        <v>189216000</v>
      </c>
      <c r="V269" s="2161">
        <f t="shared" si="239"/>
        <v>189216000</v>
      </c>
      <c r="W269" s="2161">
        <f t="shared" si="239"/>
        <v>189216000</v>
      </c>
      <c r="X269" s="2161">
        <f t="shared" si="239"/>
        <v>189216000</v>
      </c>
      <c r="Y269" s="2161">
        <f t="shared" si="239"/>
        <v>189216000</v>
      </c>
      <c r="Z269" s="2161">
        <f t="shared" si="239"/>
        <v>189216000</v>
      </c>
      <c r="AA269" s="2215">
        <f t="shared" si="239"/>
        <v>189216000</v>
      </c>
      <c r="AB269" s="2161">
        <f t="shared" si="239"/>
        <v>189216000</v>
      </c>
      <c r="AC269" s="2161">
        <f t="shared" si="239"/>
        <v>189216000</v>
      </c>
      <c r="AD269" s="2161">
        <f t="shared" si="239"/>
        <v>189216000</v>
      </c>
      <c r="AE269" s="2161">
        <f t="shared" si="239"/>
        <v>189216000</v>
      </c>
      <c r="AF269" s="2161">
        <f t="shared" si="239"/>
        <v>189216000</v>
      </c>
      <c r="AG269" s="2161">
        <f t="shared" si="239"/>
        <v>189216000</v>
      </c>
      <c r="AH269" s="2161">
        <f t="shared" si="239"/>
        <v>189216000</v>
      </c>
      <c r="AI269" s="2161">
        <f t="shared" si="239"/>
        <v>189216000</v>
      </c>
      <c r="AJ269" s="2161">
        <f t="shared" si="239"/>
        <v>189216000</v>
      </c>
      <c r="AK269" s="2161">
        <f t="shared" si="239"/>
        <v>189216000</v>
      </c>
      <c r="AL269" s="2161">
        <f t="shared" si="239"/>
        <v>189216000</v>
      </c>
      <c r="AM269" s="2161">
        <f t="shared" si="239"/>
        <v>189216000</v>
      </c>
      <c r="AN269" s="2155">
        <f t="shared" ref="AN269:BI269" si="240">AN28</f>
        <v>189216000</v>
      </c>
      <c r="AO269" s="2161">
        <f t="shared" si="240"/>
        <v>189216000</v>
      </c>
      <c r="AP269" s="2161">
        <f t="shared" si="240"/>
        <v>189216000</v>
      </c>
      <c r="AQ269" s="2161">
        <f t="shared" si="240"/>
        <v>189216000</v>
      </c>
      <c r="AR269" s="2161">
        <f t="shared" si="240"/>
        <v>189216000</v>
      </c>
      <c r="AS269" s="2161">
        <f t="shared" si="240"/>
        <v>189216000</v>
      </c>
      <c r="AT269" s="2161">
        <f t="shared" si="240"/>
        <v>189216000</v>
      </c>
      <c r="AU269" s="2161">
        <f t="shared" si="240"/>
        <v>189216000</v>
      </c>
      <c r="AV269" s="2161">
        <f t="shared" si="240"/>
        <v>189216000</v>
      </c>
      <c r="AW269" s="2161">
        <f t="shared" si="240"/>
        <v>189216000</v>
      </c>
      <c r="AX269" s="2161">
        <f t="shared" si="240"/>
        <v>189216000</v>
      </c>
      <c r="AY269" s="2161">
        <f t="shared" si="240"/>
        <v>189216000</v>
      </c>
      <c r="AZ269" s="2161">
        <f t="shared" si="240"/>
        <v>189216000</v>
      </c>
      <c r="BA269" s="2161">
        <f t="shared" si="240"/>
        <v>189216000</v>
      </c>
      <c r="BB269" s="2161">
        <f t="shared" si="240"/>
        <v>189216000</v>
      </c>
      <c r="BC269" s="2161">
        <f t="shared" si="240"/>
        <v>189216000</v>
      </c>
      <c r="BD269" s="2161">
        <f t="shared" si="240"/>
        <v>189216000</v>
      </c>
      <c r="BE269" s="2161">
        <f t="shared" si="240"/>
        <v>189216000</v>
      </c>
      <c r="BF269" s="2161">
        <f t="shared" si="240"/>
        <v>189216000</v>
      </c>
      <c r="BG269" s="2161">
        <f t="shared" si="240"/>
        <v>189216000</v>
      </c>
      <c r="BH269" s="2161">
        <f t="shared" si="240"/>
        <v>189216000</v>
      </c>
      <c r="BI269" s="2161">
        <f t="shared" si="240"/>
        <v>189216000</v>
      </c>
    </row>
    <row r="270" spans="1:61" ht="15.75">
      <c r="A270" s="2126"/>
      <c r="B270" s="2156"/>
      <c r="C270" s="2156"/>
      <c r="D270" s="2243"/>
      <c r="E270" s="3655" t="s">
        <v>297</v>
      </c>
      <c r="F270" s="2225" t="s">
        <v>1131</v>
      </c>
      <c r="G270" s="2226" t="s">
        <v>73</v>
      </c>
      <c r="H270" s="2227">
        <f t="shared" ref="H270:AM270" si="241">(2*H248*H13*0.001/H14*H269+(H41+H248*H212)^2)^0.5-H248*H212</f>
        <v>5.740331979503055E-2</v>
      </c>
      <c r="I270" s="2227">
        <f t="shared" si="241"/>
        <v>5.740331979503055E-2</v>
      </c>
      <c r="J270" s="2227">
        <f t="shared" si="241"/>
        <v>0.33426990745640073</v>
      </c>
      <c r="K270" s="2227">
        <f t="shared" si="241"/>
        <v>16.533590603772684</v>
      </c>
      <c r="L270" s="2227">
        <f t="shared" si="241"/>
        <v>5.4684324987133728</v>
      </c>
      <c r="M270" s="2227">
        <f t="shared" si="241"/>
        <v>5.4684324987133728</v>
      </c>
      <c r="N270" s="2227">
        <f t="shared" si="241"/>
        <v>8.29471956368889</v>
      </c>
      <c r="O270" s="2227">
        <f t="shared" si="241"/>
        <v>8.29471956368889</v>
      </c>
      <c r="P270" s="2227">
        <f t="shared" si="241"/>
        <v>8.271622178342616</v>
      </c>
      <c r="Q270" s="2227">
        <f t="shared" si="241"/>
        <v>8.271622178342616</v>
      </c>
      <c r="R270" s="2227">
        <f t="shared" si="241"/>
        <v>20.832899828777432</v>
      </c>
      <c r="S270" s="2227">
        <f t="shared" si="241"/>
        <v>5.9092292183588473</v>
      </c>
      <c r="T270" s="2227">
        <f t="shared" si="241"/>
        <v>5.9092292183588473</v>
      </c>
      <c r="U270" s="2227">
        <f t="shared" si="241"/>
        <v>11.772555365388675</v>
      </c>
      <c r="V270" s="2227">
        <f t="shared" si="241"/>
        <v>8.9237855609374108</v>
      </c>
      <c r="W270" s="2227">
        <f t="shared" si="241"/>
        <v>8.9237855609374108</v>
      </c>
      <c r="X270" s="2227">
        <f t="shared" si="241"/>
        <v>6.4358771654456257</v>
      </c>
      <c r="Y270" s="2227">
        <f t="shared" si="241"/>
        <v>4.9229992617795002</v>
      </c>
      <c r="Z270" s="2227">
        <f t="shared" si="241"/>
        <v>3.4435073128724221</v>
      </c>
      <c r="AA270" s="2227">
        <f t="shared" si="241"/>
        <v>2.7009072584309202</v>
      </c>
      <c r="AB270" s="2227">
        <f t="shared" si="241"/>
        <v>1.8016502471745257</v>
      </c>
      <c r="AC270" s="2227">
        <f t="shared" si="241"/>
        <v>0.51406143461416609</v>
      </c>
      <c r="AD270" s="2227">
        <f t="shared" si="241"/>
        <v>0.10694495122716985</v>
      </c>
      <c r="AE270" s="2227">
        <f t="shared" si="241"/>
        <v>1.1119858251238512E-2</v>
      </c>
      <c r="AF270" s="2227">
        <f t="shared" si="241"/>
        <v>3.672455966474697E-5</v>
      </c>
      <c r="AG270" s="2227">
        <f t="shared" si="241"/>
        <v>13.820179866354596</v>
      </c>
      <c r="AH270" s="2227">
        <f t="shared" si="241"/>
        <v>10.587976878274821</v>
      </c>
      <c r="AI270" s="2227">
        <f t="shared" si="241"/>
        <v>5.587202426502639</v>
      </c>
      <c r="AJ270" s="2227">
        <f t="shared" si="241"/>
        <v>2.0836671643679856</v>
      </c>
      <c r="AK270" s="2227">
        <f t="shared" si="241"/>
        <v>0.62055902415542896</v>
      </c>
      <c r="AL270" s="2227">
        <f t="shared" si="241"/>
        <v>4.636553190250936E-2</v>
      </c>
      <c r="AM270" s="2227">
        <f t="shared" si="241"/>
        <v>2.7818693898240543E-4</v>
      </c>
      <c r="AN270" s="2227">
        <f t="shared" ref="AN270:BI270" si="242">(2*AN248*AN13*0.001/AN14*AN269+(AN41+AN248*AN212)^2)^0.5-AN248*AN212</f>
        <v>5.3622360215875187E-2</v>
      </c>
      <c r="AO270" s="2227">
        <f t="shared" si="242"/>
        <v>1.2625344400957972E-2</v>
      </c>
      <c r="AP270" s="2227">
        <f t="shared" si="242"/>
        <v>2.0747958362167696E-2</v>
      </c>
      <c r="AQ270" s="2227">
        <f t="shared" si="242"/>
        <v>7.8534330513361228E-3</v>
      </c>
      <c r="AR270" s="2227">
        <f t="shared" si="242"/>
        <v>1.4719195173666932E-3</v>
      </c>
      <c r="AS270" s="2227">
        <f t="shared" si="242"/>
        <v>1.9006871537721182E-3</v>
      </c>
      <c r="AT270" s="2227">
        <f t="shared" si="242"/>
        <v>1.223354916388697E-4</v>
      </c>
      <c r="AU270" s="2227">
        <f t="shared" si="242"/>
        <v>1.1768854914073756E-4</v>
      </c>
      <c r="AV270" s="2227">
        <f t="shared" si="242"/>
        <v>1.6637979487477139E-5</v>
      </c>
      <c r="AW270" s="2227">
        <f t="shared" si="242"/>
        <v>1.6032080767836021E-5</v>
      </c>
      <c r="AX270" s="2227">
        <f t="shared" si="242"/>
        <v>5.1058365357903313E-7</v>
      </c>
      <c r="AY270" s="2227">
        <f t="shared" si="242"/>
        <v>3.5041156820625474E-7</v>
      </c>
      <c r="AZ270" s="2227">
        <f t="shared" si="242"/>
        <v>2.3401720739002485E-7</v>
      </c>
      <c r="BA270" s="2227">
        <f t="shared" si="242"/>
        <v>3.6628051702791709E-8</v>
      </c>
      <c r="BB270" s="2227">
        <f t="shared" si="242"/>
        <v>6.0164392179373749E-7</v>
      </c>
      <c r="BC270" s="2227">
        <f t="shared" si="242"/>
        <v>0</v>
      </c>
      <c r="BD270" s="2227">
        <f t="shared" si="242"/>
        <v>3.3459959169759301E-3</v>
      </c>
      <c r="BE270" s="2227">
        <f t="shared" si="242"/>
        <v>1.336794356499027E-5</v>
      </c>
      <c r="BF270" s="2227">
        <f t="shared" si="242"/>
        <v>1.336794356499027E-5</v>
      </c>
      <c r="BG270" s="2227">
        <f t="shared" si="242"/>
        <v>8.4364740226619368</v>
      </c>
      <c r="BH270" s="2227">
        <f t="shared" si="242"/>
        <v>2.9300619281649176E-3</v>
      </c>
      <c r="BI270" s="2227">
        <f t="shared" si="242"/>
        <v>6.8944747412564844E-2</v>
      </c>
    </row>
    <row r="271" spans="1:61" s="2204" customFormat="1" ht="25.5">
      <c r="D271" s="2243"/>
      <c r="E271" s="3656" t="s">
        <v>610</v>
      </c>
      <c r="F271" s="2205" t="s">
        <v>138</v>
      </c>
      <c r="G271" s="2206" t="s">
        <v>139</v>
      </c>
      <c r="H271" s="2204">
        <f t="shared" ref="H271:AM271" si="243">1000*H14/H13*(H270-H41)/H269</f>
        <v>1.7273231815075377E-4</v>
      </c>
      <c r="I271" s="2204">
        <f t="shared" si="243"/>
        <v>1.7273231815075377E-4</v>
      </c>
      <c r="J271" s="2204">
        <f t="shared" si="243"/>
        <v>1.5322108186746118E-4</v>
      </c>
      <c r="K271" s="2204">
        <f t="shared" si="243"/>
        <v>3.4014666010636333E-5</v>
      </c>
      <c r="L271" s="2204">
        <f t="shared" si="243"/>
        <v>6.0172647898304572E-5</v>
      </c>
      <c r="M271" s="2204">
        <f t="shared" si="243"/>
        <v>6.0172647898304572E-5</v>
      </c>
      <c r="N271" s="2204">
        <f t="shared" si="243"/>
        <v>4.6276690581211948E-5</v>
      </c>
      <c r="O271" s="2204">
        <f t="shared" si="243"/>
        <v>4.6276690581211948E-5</v>
      </c>
      <c r="P271" s="2204">
        <f t="shared" si="243"/>
        <v>4.2269938996264165E-5</v>
      </c>
      <c r="Q271" s="2204">
        <f t="shared" si="243"/>
        <v>4.2269938996264165E-5</v>
      </c>
      <c r="R271" s="2204">
        <f t="shared" si="243"/>
        <v>2.648465061765139E-4</v>
      </c>
      <c r="S271" s="2204">
        <f t="shared" si="243"/>
        <v>8.0073928980766205E-5</v>
      </c>
      <c r="T271" s="2204">
        <f t="shared" si="243"/>
        <v>8.0073928980766205E-5</v>
      </c>
      <c r="U271" s="2204">
        <f t="shared" si="243"/>
        <v>3.3884307982817359E-5</v>
      </c>
      <c r="V271" s="2204">
        <f t="shared" si="243"/>
        <v>1.5692096184409275E-5</v>
      </c>
      <c r="W271" s="2204">
        <f t="shared" si="243"/>
        <v>1.5692096184409275E-5</v>
      </c>
      <c r="X271" s="2204">
        <f t="shared" si="243"/>
        <v>5.899253166821345E-5</v>
      </c>
      <c r="Y271" s="2204">
        <f t="shared" si="243"/>
        <v>6.5110180436552057E-5</v>
      </c>
      <c r="Z271" s="2204">
        <f t="shared" si="243"/>
        <v>7.6902274512079182E-5</v>
      </c>
      <c r="AA271" s="2204">
        <f t="shared" si="243"/>
        <v>8.9911688653124109E-5</v>
      </c>
      <c r="AB271" s="2204">
        <f t="shared" si="243"/>
        <v>5.3030479397860207E-5</v>
      </c>
      <c r="AC271" s="2204">
        <f t="shared" si="243"/>
        <v>7.7541838841269092E-5</v>
      </c>
      <c r="AD271" s="2204">
        <f t="shared" si="243"/>
        <v>8.2416967268282782E-5</v>
      </c>
      <c r="AE271" s="2204">
        <f t="shared" si="243"/>
        <v>6.8725183855926404E-5</v>
      </c>
      <c r="AF271" s="2204">
        <f t="shared" si="243"/>
        <v>5.4761485908697799E-5</v>
      </c>
      <c r="AG271" s="2204">
        <f t="shared" si="243"/>
        <v>1.7687635760578824E-5</v>
      </c>
      <c r="AH271" s="2204">
        <f t="shared" si="243"/>
        <v>1.8098322225587777E-5</v>
      </c>
      <c r="AI271" s="2204">
        <f t="shared" si="243"/>
        <v>2.3487506378415474E-5</v>
      </c>
      <c r="AJ271" s="2204">
        <f t="shared" si="243"/>
        <v>3.6797233367835541E-5</v>
      </c>
      <c r="AK271" s="2204">
        <f t="shared" si="243"/>
        <v>4.8071903981941773E-5</v>
      </c>
      <c r="AL271" s="2204">
        <f t="shared" si="243"/>
        <v>4.7378589053714585E-5</v>
      </c>
      <c r="AM271" s="2204">
        <f t="shared" si="243"/>
        <v>4.1065134306574936E-5</v>
      </c>
      <c r="AN271" s="2204">
        <f t="shared" ref="AN271:BI271" si="244">1000*AN14/AN13*(AN270-AN41)/AN269</f>
        <v>9.9447380216910011E-5</v>
      </c>
      <c r="AO271" s="2204">
        <f t="shared" si="244"/>
        <v>8.573170181258382E-5</v>
      </c>
      <c r="AP271" s="2204">
        <f t="shared" si="244"/>
        <v>8.4215198708328484E-5</v>
      </c>
      <c r="AQ271" s="2204">
        <f t="shared" si="244"/>
        <v>7.8724910581153828E-5</v>
      </c>
      <c r="AR271" s="2204">
        <f t="shared" si="244"/>
        <v>7.3694633143664453E-5</v>
      </c>
      <c r="AS271" s="2204">
        <f t="shared" si="244"/>
        <v>7.3676287844992678E-5</v>
      </c>
      <c r="AT271" s="2204">
        <f t="shared" si="244"/>
        <v>6.4964103076349712E-5</v>
      </c>
      <c r="AU271" s="2204">
        <f t="shared" si="244"/>
        <v>6.4964332491128187E-5</v>
      </c>
      <c r="AV271" s="2204">
        <f t="shared" si="244"/>
        <v>5.7568613217394237E-5</v>
      </c>
      <c r="AW271" s="2204">
        <f t="shared" si="244"/>
        <v>5.7568659188477514E-5</v>
      </c>
      <c r="AX271" s="2204">
        <f t="shared" si="244"/>
        <v>5.2088636510506845E-5</v>
      </c>
      <c r="AY271" s="2204">
        <f t="shared" si="244"/>
        <v>5.2088636620811033E-5</v>
      </c>
      <c r="AZ271" s="2204">
        <f t="shared" si="244"/>
        <v>5.2092765821975247E-5</v>
      </c>
      <c r="BA271" s="2204">
        <f t="shared" si="244"/>
        <v>4.7209067190139521E-5</v>
      </c>
      <c r="BB271" s="2204">
        <f t="shared" si="244"/>
        <v>4.8975271725201663E-5</v>
      </c>
      <c r="BC271" s="2204">
        <f t="shared" si="244"/>
        <v>0</v>
      </c>
      <c r="BD271" s="2204">
        <f t="shared" si="244"/>
        <v>2.8354906999694505E-4</v>
      </c>
      <c r="BE271" s="2204">
        <f t="shared" si="244"/>
        <v>5.1040484312889935E-5</v>
      </c>
      <c r="BF271" s="2204">
        <f t="shared" si="244"/>
        <v>5.1040484312889935E-5</v>
      </c>
      <c r="BG271" s="2204">
        <f t="shared" si="244"/>
        <v>1.7737920382399316E-5</v>
      </c>
      <c r="BH271" s="2204">
        <f t="shared" si="244"/>
        <v>1.8672267130709206E-4</v>
      </c>
      <c r="BI271" s="2204">
        <f t="shared" si="244"/>
        <v>5.6784238474092124E-4</v>
      </c>
    </row>
    <row r="272" spans="1:61" s="2304" customFormat="1" ht="25.5">
      <c r="B272" s="2305"/>
      <c r="C272" s="2305"/>
      <c r="D272" s="2243"/>
      <c r="E272" s="3655" t="s">
        <v>611</v>
      </c>
      <c r="F272" s="2343" t="s">
        <v>138</v>
      </c>
      <c r="G272" s="2344" t="s">
        <v>139</v>
      </c>
      <c r="H272" s="2345">
        <f t="shared" ref="H272:AM272" si="245">MIN(H271,H$29)</f>
        <v>1.7273231815075377E-4</v>
      </c>
      <c r="I272" s="2345">
        <f t="shared" si="245"/>
        <v>1.7273231815075377E-4</v>
      </c>
      <c r="J272" s="2345">
        <f t="shared" si="245"/>
        <v>1.5322108186746118E-4</v>
      </c>
      <c r="K272" s="2345">
        <f t="shared" si="245"/>
        <v>6.1719199705249922E-6</v>
      </c>
      <c r="L272" s="2345">
        <f t="shared" si="245"/>
        <v>3.3010911945495617E-5</v>
      </c>
      <c r="M272" s="2345">
        <f t="shared" si="245"/>
        <v>3.3010911945495617E-5</v>
      </c>
      <c r="N272" s="2345">
        <f t="shared" si="245"/>
        <v>1.673716280311402E-5</v>
      </c>
      <c r="O272" s="2345">
        <f t="shared" si="245"/>
        <v>1.673716280311402E-5</v>
      </c>
      <c r="P272" s="2345">
        <f t="shared" si="245"/>
        <v>1.5330707115808009E-5</v>
      </c>
      <c r="Q272" s="2345">
        <f t="shared" si="245"/>
        <v>1.5330707115808009E-5</v>
      </c>
      <c r="R272" s="2345">
        <f t="shared" si="245"/>
        <v>3.8138690487629963E-5</v>
      </c>
      <c r="S272" s="2345">
        <f t="shared" si="245"/>
        <v>4.0651966282840303E-5</v>
      </c>
      <c r="T272" s="2345">
        <f t="shared" si="245"/>
        <v>4.0651966282840303E-5</v>
      </c>
      <c r="U272" s="2345">
        <f t="shared" si="245"/>
        <v>8.6347373865245747E-6</v>
      </c>
      <c r="V272" s="2345">
        <f t="shared" si="245"/>
        <v>5.2753720079623515E-6</v>
      </c>
      <c r="W272" s="2345">
        <f t="shared" si="245"/>
        <v>5.2753720079623515E-6</v>
      </c>
      <c r="X272" s="2345">
        <f t="shared" si="245"/>
        <v>2.7498597386978914E-5</v>
      </c>
      <c r="Y272" s="2345">
        <f t="shared" si="245"/>
        <v>3.9677142108498037E-5</v>
      </c>
      <c r="Z272" s="2345">
        <f t="shared" si="245"/>
        <v>6.6997628456839868E-5</v>
      </c>
      <c r="AA272" s="2345">
        <f t="shared" si="245"/>
        <v>8.9911688653124109E-5</v>
      </c>
      <c r="AB272" s="2345">
        <f t="shared" si="245"/>
        <v>5.3030479397860207E-5</v>
      </c>
      <c r="AC272" s="2345">
        <f t="shared" si="245"/>
        <v>7.7541838841269092E-5</v>
      </c>
      <c r="AD272" s="2345">
        <f t="shared" si="245"/>
        <v>8.2416967268282782E-5</v>
      </c>
      <c r="AE272" s="2345">
        <f t="shared" si="245"/>
        <v>6.8725183855926404E-5</v>
      </c>
      <c r="AF272" s="2345">
        <f t="shared" si="245"/>
        <v>5.4761485908697799E-5</v>
      </c>
      <c r="AG272" s="2345">
        <f t="shared" si="245"/>
        <v>3.8395236382500922E-6</v>
      </c>
      <c r="AH272" s="2345">
        <f t="shared" si="245"/>
        <v>5.1279831171684633E-6</v>
      </c>
      <c r="AI272" s="2345">
        <f t="shared" si="245"/>
        <v>1.2611413325747907E-5</v>
      </c>
      <c r="AJ272" s="2345">
        <f t="shared" si="245"/>
        <v>3.6797233367835541E-5</v>
      </c>
      <c r="AK272" s="2345">
        <f t="shared" si="245"/>
        <v>4.8071903981941773E-5</v>
      </c>
      <c r="AL272" s="2345">
        <f t="shared" si="245"/>
        <v>4.7378589053714585E-5</v>
      </c>
      <c r="AM272" s="2345">
        <f t="shared" si="245"/>
        <v>4.1065134306574936E-5</v>
      </c>
      <c r="AN272" s="2345">
        <f t="shared" ref="AN272:BI272" si="246">MIN(AN271,AN$29)</f>
        <v>9.9447380216910011E-5</v>
      </c>
      <c r="AO272" s="2345">
        <f t="shared" si="246"/>
        <v>8.573170181258382E-5</v>
      </c>
      <c r="AP272" s="2345">
        <f t="shared" si="246"/>
        <v>8.4215198708328484E-5</v>
      </c>
      <c r="AQ272" s="2345">
        <f t="shared" si="246"/>
        <v>7.8724910581153828E-5</v>
      </c>
      <c r="AR272" s="2345">
        <f t="shared" si="246"/>
        <v>7.3694633143664453E-5</v>
      </c>
      <c r="AS272" s="2345">
        <f t="shared" si="246"/>
        <v>7.3676287844992678E-5</v>
      </c>
      <c r="AT272" s="2345">
        <f t="shared" si="246"/>
        <v>6.4964103076349712E-5</v>
      </c>
      <c r="AU272" s="2345">
        <f t="shared" si="246"/>
        <v>6.4964332491128187E-5</v>
      </c>
      <c r="AV272" s="2345">
        <f t="shared" si="246"/>
        <v>5.7568613217394237E-5</v>
      </c>
      <c r="AW272" s="2345">
        <f t="shared" si="246"/>
        <v>5.7568659188477514E-5</v>
      </c>
      <c r="AX272" s="2345">
        <f t="shared" si="246"/>
        <v>5.2088636510506845E-5</v>
      </c>
      <c r="AY272" s="2345">
        <f t="shared" si="246"/>
        <v>5.2088636620811033E-5</v>
      </c>
      <c r="AZ272" s="2345">
        <f t="shared" si="246"/>
        <v>5.2092765821975247E-5</v>
      </c>
      <c r="BA272" s="2345">
        <f t="shared" si="246"/>
        <v>4.7209067190139521E-5</v>
      </c>
      <c r="BB272" s="2345">
        <f t="shared" si="246"/>
        <v>4.8975271725201663E-5</v>
      </c>
      <c r="BC272" s="2345">
        <f t="shared" si="246"/>
        <v>0</v>
      </c>
      <c r="BD272" s="2345">
        <f t="shared" si="246"/>
        <v>2.8354906999694505E-4</v>
      </c>
      <c r="BE272" s="2345">
        <f t="shared" si="246"/>
        <v>5.1040484312889935E-5</v>
      </c>
      <c r="BF272" s="2345">
        <f t="shared" si="246"/>
        <v>5.1040484312889935E-5</v>
      </c>
      <c r="BG272" s="2345">
        <f t="shared" si="246"/>
        <v>6.3075831211304503E-6</v>
      </c>
      <c r="BH272" s="2345">
        <f t="shared" si="246"/>
        <v>1.8672267130709206E-4</v>
      </c>
      <c r="BI272" s="2345">
        <f t="shared" si="246"/>
        <v>5.6784238474092124E-4</v>
      </c>
    </row>
    <row r="273" spans="1:61" ht="25.5">
      <c r="A273" s="2126"/>
      <c r="B273" s="2156"/>
      <c r="C273" s="2156"/>
      <c r="D273" s="2243"/>
      <c r="E273" s="3671" t="s">
        <v>582</v>
      </c>
      <c r="F273" s="2153" t="s">
        <v>300</v>
      </c>
      <c r="G273" s="2220" t="s">
        <v>35</v>
      </c>
      <c r="H273" s="2221">
        <f t="shared" ref="H273:AM273" si="247">H213/H271</f>
        <v>1.026563127688958</v>
      </c>
      <c r="I273" s="2221">
        <f t="shared" si="247"/>
        <v>1.026563127688958</v>
      </c>
      <c r="J273" s="2221">
        <f t="shared" si="247"/>
        <v>1.1895443901630818</v>
      </c>
      <c r="K273" s="2221">
        <f t="shared" si="247"/>
        <v>10.778311502642225</v>
      </c>
      <c r="L273" s="2221">
        <f t="shared" si="247"/>
        <v>4.230481185710314</v>
      </c>
      <c r="M273" s="2221">
        <f t="shared" si="247"/>
        <v>4.230481185710314</v>
      </c>
      <c r="N273" s="2221">
        <f t="shared" si="247"/>
        <v>5.9044014004727767</v>
      </c>
      <c r="O273" s="2221">
        <f t="shared" si="247"/>
        <v>5.9044014004727767</v>
      </c>
      <c r="P273" s="2221">
        <f t="shared" si="247"/>
        <v>5.891311033263321</v>
      </c>
      <c r="Q273" s="2221">
        <f t="shared" si="247"/>
        <v>5.891311033263321</v>
      </c>
      <c r="R273" s="2221">
        <f t="shared" si="247"/>
        <v>13.320391833888351</v>
      </c>
      <c r="S273" s="2221">
        <f t="shared" si="247"/>
        <v>4.4921399442290797</v>
      </c>
      <c r="T273" s="2221">
        <f t="shared" si="247"/>
        <v>4.4921399442290797</v>
      </c>
      <c r="U273" s="2221">
        <f t="shared" si="247"/>
        <v>7.9617229097964826</v>
      </c>
      <c r="V273" s="2221">
        <f t="shared" si="247"/>
        <v>6.2775875095434932</v>
      </c>
      <c r="W273" s="2221">
        <f t="shared" si="247"/>
        <v>6.2775875095434932</v>
      </c>
      <c r="X273" s="2221">
        <f t="shared" si="247"/>
        <v>4.8043380415958703</v>
      </c>
      <c r="Y273" s="2221">
        <f t="shared" si="247"/>
        <v>3.9102592399577474</v>
      </c>
      <c r="Z273" s="2221">
        <f t="shared" si="247"/>
        <v>3.0358175306425395</v>
      </c>
      <c r="AA273" s="2221">
        <f t="shared" si="247"/>
        <v>2.5965619888504117</v>
      </c>
      <c r="AB273" s="2221">
        <f t="shared" si="247"/>
        <v>2.0653224890584538</v>
      </c>
      <c r="AC273" s="2221">
        <f t="shared" si="247"/>
        <v>1.3038127546182769</v>
      </c>
      <c r="AD273" s="2221">
        <f t="shared" si="247"/>
        <v>1.0631310065018726</v>
      </c>
      <c r="AE273" s="2221">
        <f t="shared" si="247"/>
        <v>1.0065263804334268</v>
      </c>
      <c r="AF273" s="2221">
        <f t="shared" si="247"/>
        <v>1.0000188991270211</v>
      </c>
      <c r="AG273" s="2221">
        <f t="shared" si="247"/>
        <v>9.1736014491822875</v>
      </c>
      <c r="AH273" s="2221">
        <f t="shared" si="247"/>
        <v>7.2620018811093736</v>
      </c>
      <c r="AI273" s="2221">
        <f t="shared" si="247"/>
        <v>4.3044177133554875</v>
      </c>
      <c r="AJ273" s="2221">
        <f t="shared" si="247"/>
        <v>2.2323357970511353</v>
      </c>
      <c r="AK273" s="2221">
        <f t="shared" si="247"/>
        <v>1.3670152330196217</v>
      </c>
      <c r="AL273" s="2221">
        <f t="shared" si="247"/>
        <v>1.0274218225149925</v>
      </c>
      <c r="AM273" s="2221">
        <f t="shared" si="247"/>
        <v>1.0001645272387645</v>
      </c>
      <c r="AN273" s="2221">
        <f t="shared" ref="AN273:BI273" si="248">AN213/AN271</f>
        <v>1.0309727321377622</v>
      </c>
      <c r="AO273" s="2221">
        <f t="shared" si="248"/>
        <v>1.0072530151267076</v>
      </c>
      <c r="AP273" s="2221">
        <f t="shared" si="248"/>
        <v>1.0120259726583318</v>
      </c>
      <c r="AQ273" s="2221">
        <f t="shared" si="248"/>
        <v>1.004503554357838</v>
      </c>
      <c r="AR273" s="2221">
        <f t="shared" si="248"/>
        <v>1.0008087928905767</v>
      </c>
      <c r="AS273" s="2221">
        <f t="shared" si="248"/>
        <v>1.0010579929623493</v>
      </c>
      <c r="AT273" s="2221">
        <f t="shared" si="248"/>
        <v>1.0000583578204567</v>
      </c>
      <c r="AU273" s="2221">
        <f t="shared" si="248"/>
        <v>1.0000548262184557</v>
      </c>
      <c r="AV273" s="2221">
        <f t="shared" si="248"/>
        <v>1.0000068939947686</v>
      </c>
      <c r="AW273" s="2221">
        <f t="shared" si="248"/>
        <v>1.0000060954456822</v>
      </c>
      <c r="AX273" s="2221">
        <f t="shared" si="248"/>
        <v>1.0000000182898143</v>
      </c>
      <c r="AY273" s="2221">
        <f t="shared" si="248"/>
        <v>1.0000000161721894</v>
      </c>
      <c r="AZ273" s="2221">
        <f t="shared" si="248"/>
        <v>1.0000000142912409</v>
      </c>
      <c r="BA273" s="2221">
        <f t="shared" si="248"/>
        <v>1.000000053182617</v>
      </c>
      <c r="BB273" s="2221">
        <f t="shared" si="248"/>
        <v>1.0000000825183568</v>
      </c>
      <c r="BC273" s="2221" t="e">
        <f t="shared" si="248"/>
        <v>#DIV/0!</v>
      </c>
      <c r="BD273" s="2221">
        <f t="shared" si="248"/>
        <v>1.0002226890135029</v>
      </c>
      <c r="BE273" s="2221">
        <f t="shared" si="248"/>
        <v>1.0000061093057151</v>
      </c>
      <c r="BF273" s="2221">
        <f t="shared" si="248"/>
        <v>1.0000061093057151</v>
      </c>
      <c r="BG273" s="2221">
        <f t="shared" si="248"/>
        <v>5.98613836384905</v>
      </c>
      <c r="BH273" s="2221">
        <f t="shared" si="248"/>
        <v>1.0002482139990148</v>
      </c>
      <c r="BI273" s="2221">
        <f t="shared" si="248"/>
        <v>1.0232754444608407</v>
      </c>
    </row>
    <row r="274" spans="1:61" ht="25.5">
      <c r="A274" s="2126"/>
      <c r="B274" s="2156"/>
      <c r="C274" s="2156"/>
      <c r="D274" s="2243"/>
      <c r="E274" s="3658" t="s">
        <v>583</v>
      </c>
      <c r="F274" s="2217" t="s">
        <v>300</v>
      </c>
      <c r="G274" s="2222" t="s">
        <v>35</v>
      </c>
      <c r="H274" s="2223"/>
      <c r="I274" s="2223"/>
      <c r="J274" s="2223"/>
      <c r="K274" s="2223"/>
      <c r="L274" s="2223"/>
      <c r="M274" s="2223"/>
      <c r="N274" s="2223"/>
      <c r="O274" s="2223"/>
      <c r="P274" s="2223"/>
      <c r="Q274" s="2223"/>
      <c r="R274" s="2223"/>
      <c r="S274" s="2223"/>
      <c r="T274" s="2223"/>
      <c r="U274" s="2223"/>
      <c r="V274" s="2223"/>
      <c r="W274" s="2223"/>
      <c r="X274" s="2223"/>
      <c r="Y274" s="2223"/>
      <c r="Z274" s="2223"/>
      <c r="AA274" s="2223"/>
      <c r="AB274" s="2223"/>
      <c r="AC274" s="2223"/>
      <c r="AD274" s="2223"/>
      <c r="AE274" s="2223"/>
      <c r="AF274" s="2223"/>
      <c r="AG274" s="2223"/>
      <c r="AH274" s="2223"/>
      <c r="AI274" s="2223"/>
      <c r="AJ274" s="2223"/>
      <c r="AK274" s="2223"/>
      <c r="AL274" s="2223"/>
      <c r="AM274" s="2223"/>
      <c r="AN274" s="2223"/>
      <c r="AO274" s="2223"/>
      <c r="AP274" s="2223"/>
      <c r="AQ274" s="2223"/>
      <c r="AR274" s="2223"/>
      <c r="AS274" s="2223"/>
      <c r="AT274" s="2223"/>
      <c r="AU274" s="2223"/>
      <c r="AV274" s="2223"/>
      <c r="AW274" s="2223"/>
      <c r="AX274" s="2223"/>
      <c r="AY274" s="2223"/>
      <c r="AZ274" s="2223"/>
      <c r="BA274" s="2223"/>
      <c r="BB274" s="2223"/>
      <c r="BC274" s="2223"/>
      <c r="BD274" s="2223"/>
      <c r="BE274" s="2223"/>
      <c r="BF274" s="2223"/>
      <c r="BG274" s="2223"/>
      <c r="BH274" s="2223"/>
      <c r="BI274" s="2223"/>
    </row>
    <row r="275" spans="1:61">
      <c r="A275" s="2126"/>
      <c r="B275" s="2156"/>
      <c r="C275" s="2156"/>
      <c r="D275" s="2243"/>
      <c r="E275" s="3655"/>
      <c r="F275" s="2153"/>
      <c r="G275" s="2154"/>
      <c r="H275" s="2156"/>
      <c r="I275" s="2156"/>
      <c r="J275" s="2156"/>
      <c r="K275" s="2156"/>
      <c r="L275" s="2156"/>
      <c r="M275" s="2156"/>
      <c r="N275" s="2156"/>
      <c r="O275" s="2156"/>
      <c r="P275" s="2156"/>
      <c r="Q275" s="2156"/>
      <c r="S275" s="2156"/>
      <c r="T275" s="2156"/>
      <c r="U275" s="2156"/>
      <c r="V275" s="2156"/>
      <c r="W275" s="2156"/>
      <c r="X275" s="2156"/>
      <c r="Y275" s="2156"/>
      <c r="Z275" s="2156"/>
      <c r="AA275" s="2156"/>
      <c r="AB275" s="2156"/>
      <c r="AC275" s="2156"/>
      <c r="AD275" s="2156"/>
      <c r="AE275" s="2156"/>
      <c r="AF275" s="2156"/>
      <c r="AG275" s="2156"/>
      <c r="AH275" s="2156"/>
      <c r="AI275" s="2156"/>
      <c r="AJ275" s="2156"/>
      <c r="AK275" s="2156"/>
      <c r="AL275" s="2156"/>
      <c r="AM275" s="2156"/>
      <c r="AN275" s="2156"/>
      <c r="AO275" s="2156"/>
      <c r="AP275" s="2156"/>
      <c r="AQ275" s="2156"/>
      <c r="AR275" s="2156"/>
      <c r="AS275" s="2156"/>
      <c r="AT275" s="2156"/>
      <c r="AU275" s="2156"/>
      <c r="AV275" s="2156"/>
      <c r="AW275" s="2156"/>
      <c r="AX275" s="2156"/>
      <c r="AY275" s="2156"/>
      <c r="AZ275" s="2156"/>
      <c r="BA275" s="2156"/>
      <c r="BB275" s="2156"/>
      <c r="BC275" s="2156"/>
      <c r="BD275" s="2156"/>
      <c r="BE275" s="2156"/>
      <c r="BF275" s="2156"/>
      <c r="BG275" s="2156"/>
      <c r="BH275" s="2156"/>
      <c r="BI275" s="2156"/>
    </row>
    <row r="276" spans="1:61">
      <c r="A276" s="2126"/>
      <c r="B276" s="2156"/>
      <c r="C276" s="2156"/>
      <c r="D276" s="2243"/>
      <c r="E276" s="3659" t="str">
        <f>E64</f>
        <v>Période employé (40 ans)</v>
      </c>
      <c r="F276" s="2153"/>
      <c r="G276" s="2154"/>
      <c r="H276" s="2156"/>
      <c r="I276" s="2156"/>
      <c r="J276" s="2156"/>
      <c r="K276" s="2156"/>
      <c r="L276" s="2156"/>
      <c r="M276" s="2156"/>
      <c r="N276" s="2156"/>
      <c r="O276" s="2156"/>
      <c r="P276" s="2156"/>
      <c r="Q276" s="2156"/>
      <c r="S276" s="2156"/>
      <c r="T276" s="2156"/>
      <c r="U276" s="2156"/>
      <c r="V276" s="2156"/>
      <c r="W276" s="2156"/>
      <c r="X276" s="2156"/>
      <c r="Y276" s="2156"/>
      <c r="Z276" s="2156"/>
      <c r="AA276" s="2156"/>
      <c r="AB276" s="2156"/>
      <c r="AC276" s="2156"/>
      <c r="AD276" s="2156"/>
      <c r="AE276" s="2156"/>
      <c r="AF276" s="2156"/>
      <c r="AG276" s="2156"/>
      <c r="AH276" s="2156"/>
      <c r="AI276" s="2156"/>
      <c r="AJ276" s="2156"/>
      <c r="AK276" s="2156"/>
      <c r="AL276" s="2156"/>
      <c r="AM276" s="2156"/>
      <c r="AN276" s="2156"/>
      <c r="AO276" s="2156"/>
      <c r="AP276" s="2156"/>
      <c r="AQ276" s="2156"/>
      <c r="AR276" s="2156"/>
      <c r="AS276" s="2156"/>
      <c r="AT276" s="2156"/>
      <c r="AU276" s="2156"/>
      <c r="AV276" s="2156"/>
      <c r="AW276" s="2156"/>
      <c r="AX276" s="2156"/>
      <c r="AY276" s="2156"/>
      <c r="AZ276" s="2156"/>
      <c r="BA276" s="2156"/>
      <c r="BB276" s="2156"/>
      <c r="BC276" s="2156"/>
      <c r="BD276" s="2156"/>
      <c r="BE276" s="2156"/>
      <c r="BF276" s="2156"/>
      <c r="BG276" s="2156"/>
      <c r="BH276" s="2156"/>
      <c r="BI276" s="2156"/>
    </row>
    <row r="277" spans="1:61">
      <c r="A277" s="2126"/>
      <c r="B277" s="2156"/>
      <c r="C277" s="2156"/>
      <c r="D277" s="2243"/>
      <c r="E277" s="3655" t="str">
        <f>E27</f>
        <v>Durée d'exposition considérée</v>
      </c>
      <c r="F277" s="525" t="str">
        <f>F27</f>
        <v>t</v>
      </c>
      <c r="G277" s="526" t="str">
        <f>G27</f>
        <v>an</v>
      </c>
      <c r="H277" s="2224">
        <f t="shared" ref="H277:BI277" si="249">H278/(365*24*3600)</f>
        <v>40</v>
      </c>
      <c r="I277" s="2224">
        <f t="shared" si="249"/>
        <v>40</v>
      </c>
      <c r="J277" s="2224">
        <f>J278/(365*24*3600)</f>
        <v>40</v>
      </c>
      <c r="K277" s="2224">
        <f t="shared" si="249"/>
        <v>40</v>
      </c>
      <c r="L277" s="2224">
        <f t="shared" si="249"/>
        <v>40</v>
      </c>
      <c r="M277" s="2224">
        <f t="shared" si="249"/>
        <v>40</v>
      </c>
      <c r="N277" s="2224">
        <f>N278/(365*24*3600)</f>
        <v>40</v>
      </c>
      <c r="O277" s="2224">
        <f>O278/(365*24*3600)</f>
        <v>40</v>
      </c>
      <c r="P277" s="2224">
        <f t="shared" si="249"/>
        <v>40</v>
      </c>
      <c r="Q277" s="2224">
        <f t="shared" si="249"/>
        <v>40</v>
      </c>
      <c r="R277" s="2224">
        <f>R278/(365*24*3600)</f>
        <v>40</v>
      </c>
      <c r="S277" s="2224">
        <f>S278/(365*24*3600)</f>
        <v>40</v>
      </c>
      <c r="T277" s="2224">
        <f>T278/(365*24*3600)</f>
        <v>40</v>
      </c>
      <c r="U277" s="2224">
        <f t="shared" si="249"/>
        <v>40</v>
      </c>
      <c r="V277" s="2224">
        <f t="shared" si="249"/>
        <v>40</v>
      </c>
      <c r="W277" s="2224">
        <f t="shared" si="249"/>
        <v>40</v>
      </c>
      <c r="X277" s="2224">
        <f t="shared" si="249"/>
        <v>40</v>
      </c>
      <c r="Y277" s="2224">
        <f t="shared" si="249"/>
        <v>40</v>
      </c>
      <c r="Z277" s="2224">
        <f t="shared" si="249"/>
        <v>40</v>
      </c>
      <c r="AA277" s="2224">
        <f t="shared" si="249"/>
        <v>40</v>
      </c>
      <c r="AB277" s="2224">
        <f t="shared" si="249"/>
        <v>40</v>
      </c>
      <c r="AC277" s="2224">
        <f t="shared" si="249"/>
        <v>40</v>
      </c>
      <c r="AD277" s="2224">
        <f t="shared" si="249"/>
        <v>40</v>
      </c>
      <c r="AE277" s="2224">
        <f t="shared" si="249"/>
        <v>40</v>
      </c>
      <c r="AF277" s="2224">
        <f t="shared" si="249"/>
        <v>40</v>
      </c>
      <c r="AG277" s="2224">
        <f t="shared" si="249"/>
        <v>40</v>
      </c>
      <c r="AH277" s="2224">
        <f t="shared" si="249"/>
        <v>40</v>
      </c>
      <c r="AI277" s="2224">
        <f t="shared" si="249"/>
        <v>40</v>
      </c>
      <c r="AJ277" s="2224">
        <f t="shared" si="249"/>
        <v>40</v>
      </c>
      <c r="AK277" s="2224">
        <f t="shared" si="249"/>
        <v>40</v>
      </c>
      <c r="AL277" s="2224">
        <f t="shared" si="249"/>
        <v>40</v>
      </c>
      <c r="AM277" s="2224">
        <f t="shared" si="249"/>
        <v>40</v>
      </c>
      <c r="AN277" s="2224">
        <f t="shared" si="249"/>
        <v>40</v>
      </c>
      <c r="AO277" s="2224">
        <f t="shared" si="249"/>
        <v>40</v>
      </c>
      <c r="AP277" s="2224">
        <f t="shared" si="249"/>
        <v>40</v>
      </c>
      <c r="AQ277" s="2224">
        <f t="shared" si="249"/>
        <v>40</v>
      </c>
      <c r="AR277" s="2224">
        <f t="shared" si="249"/>
        <v>40</v>
      </c>
      <c r="AS277" s="2224">
        <f t="shared" si="249"/>
        <v>40</v>
      </c>
      <c r="AT277" s="2224">
        <f t="shared" si="249"/>
        <v>40</v>
      </c>
      <c r="AU277" s="2224">
        <f t="shared" si="249"/>
        <v>40</v>
      </c>
      <c r="AV277" s="2224">
        <f t="shared" si="249"/>
        <v>40</v>
      </c>
      <c r="AW277" s="2224">
        <f t="shared" si="249"/>
        <v>40</v>
      </c>
      <c r="AX277" s="2224">
        <f t="shared" si="249"/>
        <v>40</v>
      </c>
      <c r="AY277" s="2224">
        <f t="shared" si="249"/>
        <v>40</v>
      </c>
      <c r="AZ277" s="2224">
        <f t="shared" si="249"/>
        <v>40</v>
      </c>
      <c r="BA277" s="2224">
        <f t="shared" si="249"/>
        <v>40</v>
      </c>
      <c r="BB277" s="2224">
        <f t="shared" si="249"/>
        <v>40</v>
      </c>
      <c r="BC277" s="2224">
        <f t="shared" si="249"/>
        <v>40</v>
      </c>
      <c r="BD277" s="2224">
        <f t="shared" si="249"/>
        <v>40</v>
      </c>
      <c r="BE277" s="2224">
        <f t="shared" si="249"/>
        <v>40</v>
      </c>
      <c r="BF277" s="2224">
        <f t="shared" si="249"/>
        <v>40</v>
      </c>
      <c r="BG277" s="2224">
        <f t="shared" si="249"/>
        <v>40</v>
      </c>
      <c r="BH277" s="2224">
        <f t="shared" si="249"/>
        <v>40</v>
      </c>
      <c r="BI277" s="2224">
        <f t="shared" si="249"/>
        <v>40</v>
      </c>
    </row>
    <row r="278" spans="1:61" s="529" customFormat="1" ht="13.15" customHeight="1">
      <c r="A278" s="523"/>
      <c r="B278" s="224"/>
      <c r="C278" s="524"/>
      <c r="D278" s="2243"/>
      <c r="E278" s="3655" t="str">
        <f t="shared" ref="E278:AJ278" si="250">E38</f>
        <v>Durée d'exposition considérée</v>
      </c>
      <c r="F278" s="525" t="str">
        <f t="shared" si="250"/>
        <v>t</v>
      </c>
      <c r="G278" s="526" t="str">
        <f t="shared" si="250"/>
        <v>s</v>
      </c>
      <c r="H278" s="2161">
        <f t="shared" si="250"/>
        <v>1261440000</v>
      </c>
      <c r="I278" s="2161">
        <f t="shared" si="250"/>
        <v>1261440000</v>
      </c>
      <c r="J278" s="2161">
        <f t="shared" si="250"/>
        <v>1261440000</v>
      </c>
      <c r="K278" s="2161">
        <f t="shared" si="250"/>
        <v>1261440000</v>
      </c>
      <c r="L278" s="2161">
        <f t="shared" si="250"/>
        <v>1261440000</v>
      </c>
      <c r="M278" s="2161">
        <f t="shared" si="250"/>
        <v>1261440000</v>
      </c>
      <c r="N278" s="2161">
        <f t="shared" si="250"/>
        <v>1261440000</v>
      </c>
      <c r="O278" s="2161">
        <f t="shared" si="250"/>
        <v>1261440000</v>
      </c>
      <c r="P278" s="2161">
        <f t="shared" si="250"/>
        <v>1261440000</v>
      </c>
      <c r="Q278" s="2161">
        <f t="shared" si="250"/>
        <v>1261440000</v>
      </c>
      <c r="R278" s="2161">
        <f t="shared" si="250"/>
        <v>1261440000</v>
      </c>
      <c r="S278" s="2161">
        <f t="shared" si="250"/>
        <v>1261440000</v>
      </c>
      <c r="T278" s="2161">
        <f t="shared" si="250"/>
        <v>1261440000</v>
      </c>
      <c r="U278" s="2161">
        <f t="shared" si="250"/>
        <v>1261440000</v>
      </c>
      <c r="V278" s="2161">
        <f t="shared" si="250"/>
        <v>1261440000</v>
      </c>
      <c r="W278" s="2161">
        <f t="shared" si="250"/>
        <v>1261440000</v>
      </c>
      <c r="X278" s="2161">
        <f t="shared" si="250"/>
        <v>1261440000</v>
      </c>
      <c r="Y278" s="2161">
        <f t="shared" si="250"/>
        <v>1261440000</v>
      </c>
      <c r="Z278" s="2161">
        <f t="shared" si="250"/>
        <v>1261440000</v>
      </c>
      <c r="AA278" s="2215">
        <f t="shared" si="250"/>
        <v>1261440000</v>
      </c>
      <c r="AB278" s="2161">
        <f t="shared" si="250"/>
        <v>1261440000</v>
      </c>
      <c r="AC278" s="2161">
        <f t="shared" si="250"/>
        <v>1261440000</v>
      </c>
      <c r="AD278" s="2161">
        <f t="shared" si="250"/>
        <v>1261440000</v>
      </c>
      <c r="AE278" s="2161">
        <f t="shared" si="250"/>
        <v>1261440000</v>
      </c>
      <c r="AF278" s="2161">
        <f t="shared" si="250"/>
        <v>1261440000</v>
      </c>
      <c r="AG278" s="2161">
        <f t="shared" si="250"/>
        <v>1261440000</v>
      </c>
      <c r="AH278" s="2161">
        <f t="shared" si="250"/>
        <v>1261440000</v>
      </c>
      <c r="AI278" s="2161">
        <f t="shared" si="250"/>
        <v>1261440000</v>
      </c>
      <c r="AJ278" s="2161">
        <f t="shared" si="250"/>
        <v>1261440000</v>
      </c>
      <c r="AK278" s="2161">
        <f t="shared" ref="AK278:BI278" si="251">AK38</f>
        <v>1261440000</v>
      </c>
      <c r="AL278" s="2161">
        <f t="shared" si="251"/>
        <v>1261440000</v>
      </c>
      <c r="AM278" s="2161">
        <f t="shared" si="251"/>
        <v>1261440000</v>
      </c>
      <c r="AN278" s="2155">
        <f t="shared" si="251"/>
        <v>1261440000</v>
      </c>
      <c r="AO278" s="2161">
        <f t="shared" si="251"/>
        <v>1261440000</v>
      </c>
      <c r="AP278" s="2161">
        <f t="shared" si="251"/>
        <v>1261440000</v>
      </c>
      <c r="AQ278" s="2161">
        <f t="shared" si="251"/>
        <v>1261440000</v>
      </c>
      <c r="AR278" s="2161">
        <f t="shared" si="251"/>
        <v>1261440000</v>
      </c>
      <c r="AS278" s="2161">
        <f t="shared" si="251"/>
        <v>1261440000</v>
      </c>
      <c r="AT278" s="2161">
        <f t="shared" si="251"/>
        <v>1261440000</v>
      </c>
      <c r="AU278" s="2161">
        <f t="shared" si="251"/>
        <v>1261440000</v>
      </c>
      <c r="AV278" s="2161">
        <f t="shared" si="251"/>
        <v>1261440000</v>
      </c>
      <c r="AW278" s="2161">
        <f t="shared" si="251"/>
        <v>1261440000</v>
      </c>
      <c r="AX278" s="2161">
        <f t="shared" si="251"/>
        <v>1261440000</v>
      </c>
      <c r="AY278" s="2161">
        <f t="shared" si="251"/>
        <v>1261440000</v>
      </c>
      <c r="AZ278" s="2161">
        <f t="shared" si="251"/>
        <v>1261440000</v>
      </c>
      <c r="BA278" s="2161">
        <f t="shared" si="251"/>
        <v>1261440000</v>
      </c>
      <c r="BB278" s="2161">
        <f t="shared" si="251"/>
        <v>1261440000</v>
      </c>
      <c r="BC278" s="2161">
        <f t="shared" si="251"/>
        <v>1261440000</v>
      </c>
      <c r="BD278" s="2161">
        <f t="shared" si="251"/>
        <v>1261440000</v>
      </c>
      <c r="BE278" s="2161">
        <f t="shared" si="251"/>
        <v>1261440000</v>
      </c>
      <c r="BF278" s="2161">
        <f t="shared" si="251"/>
        <v>1261440000</v>
      </c>
      <c r="BG278" s="2161">
        <f t="shared" si="251"/>
        <v>1261440000</v>
      </c>
      <c r="BH278" s="2161">
        <f t="shared" si="251"/>
        <v>1261440000</v>
      </c>
      <c r="BI278" s="2161">
        <f t="shared" si="251"/>
        <v>1261440000</v>
      </c>
    </row>
    <row r="279" spans="1:61" ht="15.75">
      <c r="A279" s="2126"/>
      <c r="B279" s="2156"/>
      <c r="C279" s="2156"/>
      <c r="D279" s="2243"/>
      <c r="E279" s="3655" t="s">
        <v>297</v>
      </c>
      <c r="F279" s="2225" t="s">
        <v>1131</v>
      </c>
      <c r="G279" s="2226" t="s">
        <v>73</v>
      </c>
      <c r="H279" s="2227">
        <f t="shared" ref="H279:AM279" si="252">(2*H248*H13*0.001/H14*H278+(H41+H248*H212)^2)^0.5-H248*H212</f>
        <v>0.33951373334339063</v>
      </c>
      <c r="I279" s="2227">
        <f t="shared" si="252"/>
        <v>0.33951373334339063</v>
      </c>
      <c r="J279" s="2227">
        <f t="shared" si="252"/>
        <v>1.4532716990223324</v>
      </c>
      <c r="K279" s="2227">
        <f t="shared" si="252"/>
        <v>43.981842219151574</v>
      </c>
      <c r="L279" s="2227">
        <f t="shared" si="252"/>
        <v>15.333433505541796</v>
      </c>
      <c r="M279" s="2227">
        <f t="shared" si="252"/>
        <v>15.333433505541796</v>
      </c>
      <c r="N279" s="2227">
        <f t="shared" si="252"/>
        <v>22.668658565086623</v>
      </c>
      <c r="O279" s="2227">
        <f t="shared" si="252"/>
        <v>22.668658565086623</v>
      </c>
      <c r="P279" s="2227">
        <f t="shared" si="252"/>
        <v>22.608666849493233</v>
      </c>
      <c r="Q279" s="2227">
        <f t="shared" si="252"/>
        <v>22.608666849493233</v>
      </c>
      <c r="R279" s="2227">
        <f t="shared" si="252"/>
        <v>55.091636074796455</v>
      </c>
      <c r="S279" s="2227">
        <f t="shared" si="252"/>
        <v>16.479373171622395</v>
      </c>
      <c r="T279" s="2227">
        <f t="shared" si="252"/>
        <v>16.479373171622395</v>
      </c>
      <c r="U279" s="2227">
        <f t="shared" si="252"/>
        <v>31.671978976458657</v>
      </c>
      <c r="V279" s="2227">
        <f t="shared" si="252"/>
        <v>24.29817853881827</v>
      </c>
      <c r="W279" s="2227">
        <f t="shared" si="252"/>
        <v>24.29817853881827</v>
      </c>
      <c r="X279" s="2227">
        <f t="shared" si="252"/>
        <v>17.847372512111377</v>
      </c>
      <c r="Y279" s="2227">
        <f t="shared" si="252"/>
        <v>13.912469668145214</v>
      </c>
      <c r="Z279" s="2227">
        <f t="shared" si="252"/>
        <v>10.044507097422878</v>
      </c>
      <c r="AA279" s="2227">
        <f t="shared" si="252"/>
        <v>8.0877372881427902</v>
      </c>
      <c r="AB279" s="2227">
        <f t="shared" si="252"/>
        <v>5.686438886925691</v>
      </c>
      <c r="AC279" s="2227">
        <f t="shared" si="252"/>
        <v>2.0308218280422885</v>
      </c>
      <c r="AD279" s="2227">
        <f t="shared" si="252"/>
        <v>0.5677171074862335</v>
      </c>
      <c r="AE279" s="2227">
        <f t="shared" si="252"/>
        <v>7.1606792971176558E-2</v>
      </c>
      <c r="AF279" s="2227">
        <f t="shared" si="252"/>
        <v>2.448041842449955E-4</v>
      </c>
      <c r="AG279" s="2227">
        <f t="shared" si="252"/>
        <v>36.96747210514588</v>
      </c>
      <c r="AH279" s="2227">
        <f t="shared" si="252"/>
        <v>28.606798104727925</v>
      </c>
      <c r="AI279" s="2227">
        <f t="shared" si="252"/>
        <v>15.64115394860243</v>
      </c>
      <c r="AJ279" s="2227">
        <f t="shared" si="252"/>
        <v>6.4447619101991336</v>
      </c>
      <c r="AK279" s="2227">
        <f t="shared" si="252"/>
        <v>2.3603728084498155</v>
      </c>
      <c r="AL279" s="2227">
        <f t="shared" si="252"/>
        <v>0.27337885063579848</v>
      </c>
      <c r="AM279" s="2227">
        <f t="shared" si="252"/>
        <v>1.8528543126579144E-3</v>
      </c>
      <c r="AN279" s="2227">
        <f t="shared" ref="AN279:BI279" si="253">(2*AN248*AN13*0.001/AN14*AN278+(AN41+AN248*AN212)^2)^0.5-AN248*AN212</f>
        <v>0.31224099094425817</v>
      </c>
      <c r="AO279" s="2227">
        <f t="shared" si="253"/>
        <v>8.1009399544421545E-2</v>
      </c>
      <c r="AP279" s="2227">
        <f t="shared" si="253"/>
        <v>0.13016296560267226</v>
      </c>
      <c r="AQ279" s="2227">
        <f t="shared" si="253"/>
        <v>5.1094908384098248E-2</v>
      </c>
      <c r="AR279" s="2227">
        <f t="shared" si="253"/>
        <v>9.7683019082001055E-3</v>
      </c>
      <c r="AS279" s="2227">
        <f t="shared" si="253"/>
        <v>1.2596333502034263E-2</v>
      </c>
      <c r="AT279" s="2227">
        <f t="shared" si="253"/>
        <v>8.1530044957611736E-4</v>
      </c>
      <c r="AU279" s="2227">
        <f t="shared" si="253"/>
        <v>7.8434674762273282E-4</v>
      </c>
      <c r="AV279" s="2227">
        <f t="shared" si="253"/>
        <v>1.1091553045483593E-4</v>
      </c>
      <c r="AW279" s="2227">
        <f t="shared" si="253"/>
        <v>1.0687684700694255E-4</v>
      </c>
      <c r="AX279" s="2227">
        <f t="shared" si="253"/>
        <v>3.4038906697730908E-6</v>
      </c>
      <c r="AY279" s="2227">
        <f t="shared" si="253"/>
        <v>2.336076962095035E-6</v>
      </c>
      <c r="AZ279" s="2227">
        <f t="shared" si="253"/>
        <v>1.560114672116697E-6</v>
      </c>
      <c r="BA279" s="2227">
        <f t="shared" si="253"/>
        <v>2.4418702437856155E-7</v>
      </c>
      <c r="BB279" s="2227">
        <f t="shared" si="253"/>
        <v>4.010957596722875E-6</v>
      </c>
      <c r="BC279" s="2227">
        <f t="shared" si="253"/>
        <v>0</v>
      </c>
      <c r="BD279" s="2227">
        <f t="shared" si="253"/>
        <v>2.2278573879311203E-2</v>
      </c>
      <c r="BE279" s="2227">
        <f t="shared" si="253"/>
        <v>8.9116538749545171E-5</v>
      </c>
      <c r="BF279" s="2227">
        <f t="shared" si="253"/>
        <v>8.9116538749545171E-5</v>
      </c>
      <c r="BG279" s="2227">
        <f t="shared" si="253"/>
        <v>23.036475216034209</v>
      </c>
      <c r="BH279" s="2227">
        <f t="shared" si="253"/>
        <v>1.9506361641492553E-2</v>
      </c>
      <c r="BI279" s="2227">
        <f t="shared" si="253"/>
        <v>0.41280171346513805</v>
      </c>
    </row>
    <row r="280" spans="1:61" s="2204" customFormat="1" ht="25.5">
      <c r="D280" s="2243"/>
      <c r="E280" s="3656" t="s">
        <v>610</v>
      </c>
      <c r="F280" s="2205" t="s">
        <v>138</v>
      </c>
      <c r="G280" s="2206" t="s">
        <v>139</v>
      </c>
      <c r="H280" s="2204">
        <f t="shared" ref="H280:AM280" si="254">1000*H14/H13*(H279-H41)/H278</f>
        <v>1.5324460609723571E-4</v>
      </c>
      <c r="I280" s="2204">
        <f t="shared" si="254"/>
        <v>1.5324460609723571E-4</v>
      </c>
      <c r="J280" s="2204">
        <f t="shared" si="254"/>
        <v>9.9921585971932835E-5</v>
      </c>
      <c r="K280" s="2204">
        <f t="shared" si="254"/>
        <v>1.3572620516643043E-5</v>
      </c>
      <c r="L280" s="2204">
        <f t="shared" si="254"/>
        <v>2.5308531163677619E-5</v>
      </c>
      <c r="M280" s="2204">
        <f t="shared" si="254"/>
        <v>2.5308531163677619E-5</v>
      </c>
      <c r="N280" s="2204">
        <f t="shared" si="254"/>
        <v>1.8970451446602997E-5</v>
      </c>
      <c r="O280" s="2204">
        <f t="shared" si="254"/>
        <v>1.8970451446602997E-5</v>
      </c>
      <c r="P280" s="2204">
        <f t="shared" si="254"/>
        <v>1.7330342487422928E-5</v>
      </c>
      <c r="Q280" s="2204">
        <f t="shared" si="254"/>
        <v>1.7330342487422928E-5</v>
      </c>
      <c r="R280" s="2204">
        <f t="shared" si="254"/>
        <v>1.0505614283569057E-4</v>
      </c>
      <c r="S280" s="2204">
        <f t="shared" si="254"/>
        <v>3.3495946126756832E-5</v>
      </c>
      <c r="T280" s="2204">
        <f t="shared" si="254"/>
        <v>3.3495946126756832E-5</v>
      </c>
      <c r="U280" s="2204">
        <f t="shared" si="254"/>
        <v>1.3673961048662398E-5</v>
      </c>
      <c r="V280" s="2204">
        <f t="shared" si="254"/>
        <v>6.4090965454076717E-6</v>
      </c>
      <c r="W280" s="2204">
        <f t="shared" si="254"/>
        <v>6.4090965454076717E-6</v>
      </c>
      <c r="X280" s="2204">
        <f t="shared" si="254"/>
        <v>2.4538885556299261E-5</v>
      </c>
      <c r="Y280" s="2204">
        <f t="shared" si="254"/>
        <v>2.7600351805158308E-5</v>
      </c>
      <c r="Z280" s="2204">
        <f t="shared" si="254"/>
        <v>3.3647907727261451E-5</v>
      </c>
      <c r="AA280" s="2204">
        <f t="shared" si="254"/>
        <v>4.0385436117244362E-5</v>
      </c>
      <c r="AB280" s="2204">
        <f t="shared" si="254"/>
        <v>2.5106530586046571E-5</v>
      </c>
      <c r="AC280" s="2204">
        <f t="shared" si="254"/>
        <v>4.5949855883542414E-5</v>
      </c>
      <c r="AD280" s="2204">
        <f t="shared" si="254"/>
        <v>6.5626551410474611E-5</v>
      </c>
      <c r="AE280" s="2204">
        <f t="shared" si="254"/>
        <v>6.6383805005732692E-5</v>
      </c>
      <c r="AF280" s="2204">
        <f t="shared" si="254"/>
        <v>5.4755622701684528E-5</v>
      </c>
      <c r="AG280" s="2204">
        <f t="shared" si="254"/>
        <v>7.0968741497029254E-6</v>
      </c>
      <c r="AH280" s="2204">
        <f t="shared" si="254"/>
        <v>7.3347588858645804E-6</v>
      </c>
      <c r="AI280" s="2204">
        <f t="shared" si="254"/>
        <v>9.8628528668739575E-6</v>
      </c>
      <c r="AJ280" s="2204">
        <f t="shared" si="254"/>
        <v>1.7072021774768442E-5</v>
      </c>
      <c r="AK280" s="2204">
        <f t="shared" si="254"/>
        <v>2.7427112633761161E-5</v>
      </c>
      <c r="AL280" s="2204">
        <f t="shared" si="254"/>
        <v>4.1902800492458032E-5</v>
      </c>
      <c r="AM280" s="2204">
        <f t="shared" si="254"/>
        <v>4.1026932183519689E-5</v>
      </c>
      <c r="AN280" s="2204">
        <f t="shared" ref="AN280:BI280" si="255">1000*AN14/AN13*(AN279-AN41)/AN278</f>
        <v>8.6861754370927766E-5</v>
      </c>
      <c r="AO280" s="2204">
        <f t="shared" si="255"/>
        <v>8.2513476050980131E-5</v>
      </c>
      <c r="AP280" s="2204">
        <f t="shared" si="255"/>
        <v>7.9249002393523598E-5</v>
      </c>
      <c r="AQ280" s="2204">
        <f t="shared" si="255"/>
        <v>7.6828351385882783E-5</v>
      </c>
      <c r="AR280" s="2204">
        <f t="shared" si="255"/>
        <v>7.3360474238010829E-5</v>
      </c>
      <c r="AS280" s="2204">
        <f t="shared" si="255"/>
        <v>7.3240703319763889E-5</v>
      </c>
      <c r="AT280" s="2204">
        <f t="shared" si="255"/>
        <v>6.4942636517302153E-5</v>
      </c>
      <c r="AU280" s="2204">
        <f t="shared" si="255"/>
        <v>6.4944163989944759E-5</v>
      </c>
      <c r="AV280" s="2204">
        <f t="shared" si="255"/>
        <v>5.7566364449744611E-5</v>
      </c>
      <c r="AW280" s="2204">
        <f t="shared" si="255"/>
        <v>5.7566670879293E-5</v>
      </c>
      <c r="AX280" s="2204">
        <f t="shared" si="255"/>
        <v>5.2088631092026727E-5</v>
      </c>
      <c r="AY280" s="2204">
        <f t="shared" si="255"/>
        <v>5.2088633069268232E-5</v>
      </c>
      <c r="AZ280" s="2204">
        <f t="shared" si="255"/>
        <v>5.2092764358917186E-5</v>
      </c>
      <c r="BA280" s="2204">
        <f t="shared" si="255"/>
        <v>4.7209069708596278E-5</v>
      </c>
      <c r="BB280" s="2204">
        <f t="shared" si="255"/>
        <v>4.8975248746494368E-5</v>
      </c>
      <c r="BC280" s="2204">
        <f t="shared" si="255"/>
        <v>0</v>
      </c>
      <c r="BD280" s="2204">
        <f t="shared" si="255"/>
        <v>2.8319231677572759E-4</v>
      </c>
      <c r="BE280" s="2204">
        <f t="shared" si="255"/>
        <v>5.1038717465611764E-5</v>
      </c>
      <c r="BF280" s="2204">
        <f t="shared" si="255"/>
        <v>5.1038717465611764E-5</v>
      </c>
      <c r="BG280" s="2204">
        <f t="shared" si="255"/>
        <v>7.2652241121498661E-6</v>
      </c>
      <c r="BH280" s="2204">
        <f t="shared" si="255"/>
        <v>1.8646090300194562E-4</v>
      </c>
      <c r="BI280" s="2204">
        <f t="shared" si="255"/>
        <v>5.0998731200615664E-4</v>
      </c>
    </row>
    <row r="281" spans="1:61" s="2304" customFormat="1" ht="25.5">
      <c r="B281" s="2305"/>
      <c r="C281" s="2305"/>
      <c r="D281" s="2243"/>
      <c r="E281" s="3655" t="s">
        <v>611</v>
      </c>
      <c r="F281" s="2343" t="s">
        <v>138</v>
      </c>
      <c r="G281" s="2344" t="s">
        <v>139</v>
      </c>
      <c r="H281" s="2345">
        <f t="shared" ref="H281:AM281" si="256">MIN(H280,H$39)</f>
        <v>1.5324460609723571E-4</v>
      </c>
      <c r="I281" s="2345">
        <f t="shared" si="256"/>
        <v>1.5324460609723571E-4</v>
      </c>
      <c r="J281" s="2345">
        <f t="shared" si="256"/>
        <v>9.9921585971932835E-5</v>
      </c>
      <c r="K281" s="2345">
        <f t="shared" si="256"/>
        <v>9.2578799557874888E-7</v>
      </c>
      <c r="L281" s="2345">
        <f t="shared" si="256"/>
        <v>4.9516367918243421E-6</v>
      </c>
      <c r="M281" s="2345">
        <f t="shared" si="256"/>
        <v>4.9516367918243421E-6</v>
      </c>
      <c r="N281" s="2345">
        <f t="shared" si="256"/>
        <v>2.5105744204671032E-6</v>
      </c>
      <c r="O281" s="2345">
        <f t="shared" si="256"/>
        <v>2.5105744204671032E-6</v>
      </c>
      <c r="P281" s="2345">
        <f t="shared" si="256"/>
        <v>2.2996060673712017E-6</v>
      </c>
      <c r="Q281" s="2345">
        <f t="shared" si="256"/>
        <v>2.2996060673712017E-6</v>
      </c>
      <c r="R281" s="2345">
        <f t="shared" si="256"/>
        <v>5.720803573144495E-6</v>
      </c>
      <c r="S281" s="2345">
        <f t="shared" si="256"/>
        <v>6.0977949424260457E-6</v>
      </c>
      <c r="T281" s="2345">
        <f t="shared" si="256"/>
        <v>6.0977949424260457E-6</v>
      </c>
      <c r="U281" s="2345">
        <f t="shared" si="256"/>
        <v>1.2952106079786864E-6</v>
      </c>
      <c r="V281" s="2345">
        <f t="shared" si="256"/>
        <v>7.9130580119435269E-7</v>
      </c>
      <c r="W281" s="2345">
        <f t="shared" si="256"/>
        <v>7.9130580119435269E-7</v>
      </c>
      <c r="X281" s="2345">
        <f t="shared" si="256"/>
        <v>4.124789608046837E-6</v>
      </c>
      <c r="Y281" s="2345">
        <f t="shared" si="256"/>
        <v>5.9515713162747051E-6</v>
      </c>
      <c r="Z281" s="2345">
        <f t="shared" si="256"/>
        <v>1.004964426852598E-5</v>
      </c>
      <c r="AA281" s="2345">
        <f t="shared" si="256"/>
        <v>1.4980247754752993E-5</v>
      </c>
      <c r="AB281" s="2345">
        <f t="shared" si="256"/>
        <v>1.3245476343958458E-5</v>
      </c>
      <c r="AC281" s="2345">
        <f t="shared" si="256"/>
        <v>4.5949855883542414E-5</v>
      </c>
      <c r="AD281" s="2345">
        <f t="shared" si="256"/>
        <v>6.5626551410474611E-5</v>
      </c>
      <c r="AE281" s="2345">
        <f t="shared" si="256"/>
        <v>6.6383805005732692E-5</v>
      </c>
      <c r="AF281" s="2345">
        <f t="shared" si="256"/>
        <v>5.4755622701684528E-5</v>
      </c>
      <c r="AG281" s="2345">
        <f t="shared" si="256"/>
        <v>5.7592854573751388E-7</v>
      </c>
      <c r="AH281" s="2345">
        <f t="shared" si="256"/>
        <v>7.6919746757526942E-7</v>
      </c>
      <c r="AI281" s="2345">
        <f t="shared" si="256"/>
        <v>1.8917119988621861E-6</v>
      </c>
      <c r="AJ281" s="2345">
        <f t="shared" si="256"/>
        <v>7.9469290003178434E-6</v>
      </c>
      <c r="AK281" s="2345">
        <f t="shared" si="256"/>
        <v>2.7427112633761161E-5</v>
      </c>
      <c r="AL281" s="2345">
        <f t="shared" si="256"/>
        <v>4.1902800492458032E-5</v>
      </c>
      <c r="AM281" s="2345">
        <f t="shared" si="256"/>
        <v>4.1026932183519689E-5</v>
      </c>
      <c r="AN281" s="2345">
        <f t="shared" ref="AN281:BI281" si="257">MIN(AN280,AN$39)</f>
        <v>8.6861754370927766E-5</v>
      </c>
      <c r="AO281" s="2345">
        <f t="shared" si="257"/>
        <v>8.2513476050980131E-5</v>
      </c>
      <c r="AP281" s="2345">
        <f t="shared" si="257"/>
        <v>7.9249002393523598E-5</v>
      </c>
      <c r="AQ281" s="2345">
        <f t="shared" si="257"/>
        <v>7.6828351385882783E-5</v>
      </c>
      <c r="AR281" s="2345">
        <f t="shared" si="257"/>
        <v>7.3360474238010829E-5</v>
      </c>
      <c r="AS281" s="2345">
        <f t="shared" si="257"/>
        <v>7.3240703319763889E-5</v>
      </c>
      <c r="AT281" s="2345">
        <f t="shared" si="257"/>
        <v>6.4942636517302153E-5</v>
      </c>
      <c r="AU281" s="2345">
        <f t="shared" si="257"/>
        <v>6.4944163989944759E-5</v>
      </c>
      <c r="AV281" s="2345">
        <f t="shared" si="257"/>
        <v>5.7566364449744611E-5</v>
      </c>
      <c r="AW281" s="2345">
        <f t="shared" si="257"/>
        <v>5.7566670879293E-5</v>
      </c>
      <c r="AX281" s="2345">
        <f t="shared" si="257"/>
        <v>5.2088631092026727E-5</v>
      </c>
      <c r="AY281" s="2345">
        <f t="shared" si="257"/>
        <v>5.2088633069268232E-5</v>
      </c>
      <c r="AZ281" s="2345">
        <f t="shared" si="257"/>
        <v>5.2092764358917186E-5</v>
      </c>
      <c r="BA281" s="2345">
        <f t="shared" si="257"/>
        <v>4.7209069708596278E-5</v>
      </c>
      <c r="BB281" s="2345">
        <f t="shared" si="257"/>
        <v>4.8975248746494368E-5</v>
      </c>
      <c r="BC281" s="2345">
        <f t="shared" si="257"/>
        <v>0</v>
      </c>
      <c r="BD281" s="2345">
        <f t="shared" si="257"/>
        <v>2.8319231677572759E-4</v>
      </c>
      <c r="BE281" s="2345">
        <f t="shared" si="257"/>
        <v>5.1038717465611764E-5</v>
      </c>
      <c r="BF281" s="2345">
        <f t="shared" si="257"/>
        <v>5.1038717465611764E-5</v>
      </c>
      <c r="BG281" s="2345">
        <f t="shared" si="257"/>
        <v>9.4613746816956763E-7</v>
      </c>
      <c r="BH281" s="2345">
        <f t="shared" si="257"/>
        <v>1.8646090300194562E-4</v>
      </c>
      <c r="BI281" s="2345">
        <f t="shared" si="257"/>
        <v>5.0998731200615664E-4</v>
      </c>
    </row>
    <row r="282" spans="1:61" ht="25.5">
      <c r="A282" s="2126"/>
      <c r="B282" s="2156"/>
      <c r="C282" s="2156"/>
      <c r="D282" s="2243"/>
      <c r="E282" s="3671" t="s">
        <v>582</v>
      </c>
      <c r="F282" s="2153" t="s">
        <v>300</v>
      </c>
      <c r="G282" s="2220" t="s">
        <v>35</v>
      </c>
      <c r="H282" s="2221">
        <f t="shared" ref="H282:AM282" si="258">H213/H280</f>
        <v>1.1571084509251159</v>
      </c>
      <c r="I282" s="2221">
        <f t="shared" si="258"/>
        <v>1.1571084509251159</v>
      </c>
      <c r="J282" s="2221">
        <f t="shared" si="258"/>
        <v>1.8240631052568863</v>
      </c>
      <c r="K282" s="2221">
        <f t="shared" si="258"/>
        <v>27.011781952602067</v>
      </c>
      <c r="L282" s="2221">
        <f t="shared" si="258"/>
        <v>10.058238985970389</v>
      </c>
      <c r="M282" s="2221">
        <f t="shared" si="258"/>
        <v>10.058238985970389</v>
      </c>
      <c r="N282" s="2221">
        <f t="shared" si="258"/>
        <v>14.403250099031306</v>
      </c>
      <c r="O282" s="2221">
        <f t="shared" si="258"/>
        <v>14.403250099031306</v>
      </c>
      <c r="P282" s="2221">
        <f t="shared" si="258"/>
        <v>14.369326986167909</v>
      </c>
      <c r="Q282" s="2221">
        <f t="shared" si="258"/>
        <v>14.369326986167909</v>
      </c>
      <c r="R282" s="2221">
        <f t="shared" si="258"/>
        <v>33.580704020564731</v>
      </c>
      <c r="S282" s="2221">
        <f t="shared" si="258"/>
        <v>10.738711290753136</v>
      </c>
      <c r="T282" s="2221">
        <f t="shared" si="258"/>
        <v>10.738711290753136</v>
      </c>
      <c r="U282" s="2221">
        <f t="shared" si="258"/>
        <v>19.729284747069446</v>
      </c>
      <c r="V282" s="2221">
        <f t="shared" si="258"/>
        <v>15.37010814361774</v>
      </c>
      <c r="W282" s="2221">
        <f t="shared" si="258"/>
        <v>15.37010814361774</v>
      </c>
      <c r="X282" s="2221">
        <f t="shared" si="258"/>
        <v>11.549834380758647</v>
      </c>
      <c r="Y282" s="2221">
        <f t="shared" si="258"/>
        <v>9.2244362124312254</v>
      </c>
      <c r="Z282" s="2221">
        <f t="shared" si="258"/>
        <v>6.9383592882628236</v>
      </c>
      <c r="AA282" s="2221">
        <f t="shared" si="258"/>
        <v>5.7808283271297451</v>
      </c>
      <c r="AB282" s="2221">
        <f t="shared" si="258"/>
        <v>4.3624124540258986</v>
      </c>
      <c r="AC282" s="2221">
        <f t="shared" si="258"/>
        <v>2.2002253664088629</v>
      </c>
      <c r="AD282" s="2221">
        <f t="shared" si="258"/>
        <v>1.3351308499622974</v>
      </c>
      <c r="AE282" s="2221">
        <f t="shared" si="258"/>
        <v>1.0420269001626792</v>
      </c>
      <c r="AF282" s="2221">
        <f t="shared" si="258"/>
        <v>1.0001259806929583</v>
      </c>
      <c r="AG282" s="2221">
        <f t="shared" si="258"/>
        <v>22.863491393974702</v>
      </c>
      <c r="AH282" s="2221">
        <f t="shared" si="258"/>
        <v>17.91879625387983</v>
      </c>
      <c r="AI282" s="2221">
        <f t="shared" si="258"/>
        <v>10.250587721668541</v>
      </c>
      <c r="AJ282" s="2221">
        <f t="shared" si="258"/>
        <v>4.8116024196306961</v>
      </c>
      <c r="AK282" s="2221">
        <f t="shared" si="258"/>
        <v>2.395987718469486</v>
      </c>
      <c r="AL282" s="2221">
        <f t="shared" si="258"/>
        <v>1.1616836044769296</v>
      </c>
      <c r="AM282" s="2221">
        <f t="shared" si="258"/>
        <v>1.0010958278823066</v>
      </c>
      <c r="AN282" s="2221">
        <f t="shared" ref="AN282:BI282" si="259">AN213/AN280</f>
        <v>1.1803530567474476</v>
      </c>
      <c r="AO282" s="2221">
        <f t="shared" si="259"/>
        <v>1.0465383265312471</v>
      </c>
      <c r="AP282" s="2221">
        <f t="shared" si="259"/>
        <v>1.0754453155409796</v>
      </c>
      <c r="AQ282" s="2221">
        <f t="shared" si="259"/>
        <v>1.02930039586666</v>
      </c>
      <c r="AR282" s="2221">
        <f t="shared" si="259"/>
        <v>1.0053675034833656</v>
      </c>
      <c r="AS282" s="2221">
        <f t="shared" si="259"/>
        <v>1.0070115863991471</v>
      </c>
      <c r="AT282" s="2221">
        <f t="shared" si="259"/>
        <v>1.0003889235772603</v>
      </c>
      <c r="AU282" s="2221">
        <f t="shared" si="259"/>
        <v>1.000365394646886</v>
      </c>
      <c r="AV282" s="2221">
        <f t="shared" si="259"/>
        <v>1.0000459581804977</v>
      </c>
      <c r="AW282" s="2221">
        <f t="shared" si="259"/>
        <v>1.000040634898351</v>
      </c>
      <c r="AX282" s="2221">
        <f t="shared" si="259"/>
        <v>1.0000001223140533</v>
      </c>
      <c r="AY282" s="2221">
        <f t="shared" si="259"/>
        <v>1.0000000843548744</v>
      </c>
      <c r="AZ282" s="2221">
        <f t="shared" si="259"/>
        <v>1.0000000423768705</v>
      </c>
      <c r="BA282" s="2221">
        <f t="shared" si="259"/>
        <v>0.99999999983573029</v>
      </c>
      <c r="BB282" s="2221">
        <f t="shared" si="259"/>
        <v>1.0000005517086066</v>
      </c>
      <c r="BC282" s="2221" t="e">
        <f t="shared" si="259"/>
        <v>#DIV/0!</v>
      </c>
      <c r="BD282" s="2221">
        <f t="shared" si="259"/>
        <v>1.0014827255508747</v>
      </c>
      <c r="BE282" s="2221">
        <f t="shared" si="259"/>
        <v>1.0000407273008394</v>
      </c>
      <c r="BF282" s="2221">
        <f t="shared" si="259"/>
        <v>1.0000407273008394</v>
      </c>
      <c r="BG282" s="2221">
        <f t="shared" si="259"/>
        <v>14.61505440945856</v>
      </c>
      <c r="BH282" s="2221">
        <f t="shared" si="259"/>
        <v>1.0016524401691602</v>
      </c>
      <c r="BI282" s="2221">
        <f t="shared" si="259"/>
        <v>1.1393600486720645</v>
      </c>
    </row>
    <row r="283" spans="1:61" ht="25.5">
      <c r="A283" s="2126"/>
      <c r="B283" s="2156"/>
      <c r="C283" s="2156"/>
      <c r="D283" s="2243"/>
      <c r="E283" s="3658" t="s">
        <v>583</v>
      </c>
      <c r="F283" s="2217" t="s">
        <v>300</v>
      </c>
      <c r="G283" s="2222" t="s">
        <v>35</v>
      </c>
      <c r="H283" s="2223"/>
      <c r="I283" s="2223"/>
      <c r="J283" s="2223"/>
      <c r="K283" s="2223"/>
      <c r="L283" s="2223"/>
      <c r="M283" s="2223"/>
      <c r="N283" s="2223"/>
      <c r="O283" s="2223"/>
      <c r="P283" s="2223"/>
      <c r="Q283" s="2223"/>
      <c r="R283" s="2223"/>
      <c r="S283" s="2223"/>
      <c r="T283" s="2223"/>
      <c r="U283" s="2223"/>
      <c r="V283" s="2223"/>
      <c r="W283" s="2223"/>
      <c r="X283" s="2223"/>
      <c r="Y283" s="2223"/>
      <c r="Z283" s="2223"/>
      <c r="AA283" s="2223"/>
      <c r="AB283" s="2223"/>
      <c r="AC283" s="2223"/>
      <c r="AD283" s="2223"/>
      <c r="AE283" s="2223"/>
      <c r="AF283" s="2223"/>
      <c r="AG283" s="2223"/>
      <c r="AH283" s="2223"/>
      <c r="AI283" s="2223"/>
      <c r="AJ283" s="2223"/>
      <c r="AK283" s="2223"/>
      <c r="AL283" s="2223"/>
      <c r="AM283" s="2223"/>
      <c r="AN283" s="2223"/>
      <c r="AO283" s="2223"/>
      <c r="AP283" s="2223"/>
      <c r="AQ283" s="2223"/>
      <c r="AR283" s="2223"/>
      <c r="AS283" s="2223"/>
      <c r="AT283" s="2223"/>
      <c r="AU283" s="2223"/>
      <c r="AV283" s="2223"/>
      <c r="AW283" s="2223"/>
      <c r="AX283" s="2223"/>
      <c r="AY283" s="2223"/>
      <c r="AZ283" s="2223"/>
      <c r="BA283" s="2223"/>
      <c r="BB283" s="2223"/>
      <c r="BC283" s="2223"/>
      <c r="BD283" s="2223"/>
      <c r="BE283" s="2223"/>
      <c r="BF283" s="2223"/>
      <c r="BG283" s="2223"/>
      <c r="BH283" s="2223"/>
      <c r="BI283" s="2223"/>
    </row>
    <row r="284" spans="1:61">
      <c r="A284" s="2126"/>
      <c r="B284" s="2156"/>
      <c r="C284" s="2156"/>
      <c r="D284" s="2243"/>
      <c r="E284" s="3655"/>
      <c r="F284" s="2153"/>
      <c r="G284" s="2154"/>
      <c r="H284" s="2156"/>
      <c r="I284" s="2156"/>
      <c r="J284" s="2156"/>
      <c r="K284" s="2156"/>
      <c r="L284" s="2156"/>
      <c r="M284" s="2156"/>
      <c r="N284" s="2156"/>
      <c r="O284" s="2156"/>
      <c r="P284" s="2156"/>
      <c r="Q284" s="2156"/>
      <c r="S284" s="2156"/>
      <c r="T284" s="2156"/>
      <c r="U284" s="2156"/>
      <c r="V284" s="2156"/>
      <c r="W284" s="2156"/>
      <c r="X284" s="2156"/>
      <c r="Y284" s="2156"/>
      <c r="Z284" s="2156"/>
      <c r="AA284" s="2156"/>
      <c r="AB284" s="2156"/>
      <c r="AC284" s="2156"/>
      <c r="AD284" s="2156"/>
      <c r="AE284" s="2156"/>
      <c r="AF284" s="2156"/>
      <c r="AG284" s="2156"/>
      <c r="AH284" s="2156"/>
      <c r="AI284" s="2156"/>
      <c r="AJ284" s="2156"/>
      <c r="AK284" s="2156"/>
      <c r="AL284" s="2156"/>
      <c r="AM284" s="2156"/>
      <c r="AN284" s="2156"/>
      <c r="AO284" s="2156"/>
      <c r="AP284" s="2156"/>
      <c r="AQ284" s="2156"/>
      <c r="AR284" s="2156"/>
      <c r="AS284" s="2156"/>
      <c r="AT284" s="2156"/>
      <c r="AU284" s="2156"/>
      <c r="AV284" s="2156"/>
      <c r="AW284" s="2156"/>
      <c r="AX284" s="2156"/>
      <c r="AY284" s="2156"/>
      <c r="AZ284" s="2156"/>
      <c r="BA284" s="2156"/>
      <c r="BB284" s="2156"/>
      <c r="BC284" s="2156"/>
      <c r="BD284" s="2156"/>
      <c r="BE284" s="2156"/>
      <c r="BF284" s="2156"/>
      <c r="BG284" s="2156"/>
      <c r="BH284" s="2156"/>
      <c r="BI284" s="2156"/>
    </row>
    <row r="285" spans="1:61">
      <c r="A285" s="2126"/>
      <c r="B285" s="2156"/>
      <c r="C285" s="2156"/>
      <c r="D285" s="2243"/>
      <c r="E285" s="3659" t="str">
        <f>E31</f>
        <v>Période vie entière 0-70 ans (effets sans seuil)</v>
      </c>
      <c r="F285" s="2153"/>
      <c r="G285" s="2154"/>
      <c r="H285" s="2156"/>
      <c r="I285" s="2156"/>
      <c r="J285" s="2156"/>
      <c r="K285" s="2156"/>
      <c r="L285" s="2156"/>
      <c r="M285" s="2156"/>
      <c r="N285" s="2156"/>
      <c r="O285" s="2156"/>
      <c r="P285" s="2156"/>
      <c r="Q285" s="2156"/>
      <c r="S285" s="2156"/>
      <c r="T285" s="2156"/>
      <c r="U285" s="2156"/>
      <c r="V285" s="2156"/>
      <c r="W285" s="2156"/>
      <c r="X285" s="2156"/>
      <c r="Y285" s="2156"/>
      <c r="Z285" s="2156"/>
      <c r="AA285" s="2156"/>
      <c r="AB285" s="2156"/>
      <c r="AC285" s="2156"/>
      <c r="AD285" s="2156"/>
      <c r="AE285" s="2156"/>
      <c r="AF285" s="2156"/>
      <c r="AG285" s="2156"/>
      <c r="AH285" s="2156"/>
      <c r="AI285" s="2156"/>
      <c r="AJ285" s="2156"/>
      <c r="AK285" s="2156"/>
      <c r="AL285" s="2156"/>
      <c r="AM285" s="2156"/>
      <c r="AN285" s="2156"/>
      <c r="AO285" s="2156"/>
      <c r="AP285" s="2156"/>
      <c r="AQ285" s="2156"/>
      <c r="AR285" s="2156"/>
      <c r="AS285" s="2156"/>
      <c r="AT285" s="2156"/>
      <c r="AU285" s="2156"/>
      <c r="AV285" s="2156"/>
      <c r="AW285" s="2156"/>
      <c r="AX285" s="2156"/>
      <c r="AY285" s="2156"/>
      <c r="AZ285" s="2156"/>
      <c r="BA285" s="2156"/>
      <c r="BB285" s="2156"/>
      <c r="BC285" s="2156"/>
      <c r="BD285" s="2156"/>
      <c r="BE285" s="2156"/>
      <c r="BF285" s="2156"/>
      <c r="BG285" s="2156"/>
      <c r="BH285" s="2156"/>
      <c r="BI285" s="2156"/>
    </row>
    <row r="286" spans="1:61">
      <c r="A286" s="2126"/>
      <c r="B286" s="2156"/>
      <c r="C286" s="2156"/>
      <c r="D286" s="2243"/>
      <c r="E286" s="3655" t="str">
        <f>E27</f>
        <v>Durée d'exposition considérée</v>
      </c>
      <c r="F286" s="525" t="str">
        <f>F27</f>
        <v>t</v>
      </c>
      <c r="G286" s="526" t="str">
        <f>G27</f>
        <v>an</v>
      </c>
      <c r="H286" s="2224">
        <f t="shared" ref="H286:BI286" si="260">H287/(365*24*3600)</f>
        <v>70</v>
      </c>
      <c r="I286" s="2224">
        <f t="shared" si="260"/>
        <v>70</v>
      </c>
      <c r="J286" s="2224">
        <f>J287/(365*24*3600)</f>
        <v>70</v>
      </c>
      <c r="K286" s="2224">
        <f t="shared" si="260"/>
        <v>70</v>
      </c>
      <c r="L286" s="2224">
        <f t="shared" si="260"/>
        <v>70</v>
      </c>
      <c r="M286" s="2224">
        <f t="shared" si="260"/>
        <v>70</v>
      </c>
      <c r="N286" s="2224">
        <f>N287/(365*24*3600)</f>
        <v>70</v>
      </c>
      <c r="O286" s="2224">
        <f>O287/(365*24*3600)</f>
        <v>70</v>
      </c>
      <c r="P286" s="2224">
        <f t="shared" si="260"/>
        <v>70</v>
      </c>
      <c r="Q286" s="2224">
        <f t="shared" si="260"/>
        <v>70</v>
      </c>
      <c r="R286" s="2224">
        <f>R287/(365*24*3600)</f>
        <v>70</v>
      </c>
      <c r="S286" s="2224">
        <f>S287/(365*24*3600)</f>
        <v>70</v>
      </c>
      <c r="T286" s="2224">
        <f>T287/(365*24*3600)</f>
        <v>70</v>
      </c>
      <c r="U286" s="2224">
        <f t="shared" si="260"/>
        <v>70</v>
      </c>
      <c r="V286" s="2224">
        <f t="shared" si="260"/>
        <v>70</v>
      </c>
      <c r="W286" s="2224">
        <f t="shared" si="260"/>
        <v>70</v>
      </c>
      <c r="X286" s="2224">
        <f t="shared" si="260"/>
        <v>70</v>
      </c>
      <c r="Y286" s="2224">
        <f t="shared" si="260"/>
        <v>70</v>
      </c>
      <c r="Z286" s="2224">
        <f t="shared" si="260"/>
        <v>70</v>
      </c>
      <c r="AA286" s="2224">
        <f t="shared" si="260"/>
        <v>70</v>
      </c>
      <c r="AB286" s="2224">
        <f t="shared" si="260"/>
        <v>70</v>
      </c>
      <c r="AC286" s="2224">
        <f t="shared" si="260"/>
        <v>70</v>
      </c>
      <c r="AD286" s="2224">
        <f t="shared" si="260"/>
        <v>70</v>
      </c>
      <c r="AE286" s="2224">
        <f t="shared" si="260"/>
        <v>70</v>
      </c>
      <c r="AF286" s="2224">
        <f t="shared" si="260"/>
        <v>70</v>
      </c>
      <c r="AG286" s="2224">
        <f t="shared" si="260"/>
        <v>70</v>
      </c>
      <c r="AH286" s="2224">
        <f t="shared" si="260"/>
        <v>70</v>
      </c>
      <c r="AI286" s="2224">
        <f t="shared" si="260"/>
        <v>70</v>
      </c>
      <c r="AJ286" s="2224">
        <f t="shared" si="260"/>
        <v>70</v>
      </c>
      <c r="AK286" s="2224">
        <f t="shared" si="260"/>
        <v>70</v>
      </c>
      <c r="AL286" s="2224">
        <f t="shared" si="260"/>
        <v>70</v>
      </c>
      <c r="AM286" s="2224">
        <f t="shared" si="260"/>
        <v>70</v>
      </c>
      <c r="AN286" s="2224">
        <f t="shared" si="260"/>
        <v>70</v>
      </c>
      <c r="AO286" s="2224">
        <f t="shared" si="260"/>
        <v>70</v>
      </c>
      <c r="AP286" s="2224">
        <f t="shared" si="260"/>
        <v>70</v>
      </c>
      <c r="AQ286" s="2224">
        <f t="shared" si="260"/>
        <v>70</v>
      </c>
      <c r="AR286" s="2224">
        <f t="shared" si="260"/>
        <v>70</v>
      </c>
      <c r="AS286" s="2224">
        <f t="shared" si="260"/>
        <v>70</v>
      </c>
      <c r="AT286" s="2224">
        <f t="shared" si="260"/>
        <v>70</v>
      </c>
      <c r="AU286" s="2224">
        <f t="shared" si="260"/>
        <v>70</v>
      </c>
      <c r="AV286" s="2224">
        <f t="shared" si="260"/>
        <v>70</v>
      </c>
      <c r="AW286" s="2224">
        <f t="shared" si="260"/>
        <v>70</v>
      </c>
      <c r="AX286" s="2224">
        <f t="shared" si="260"/>
        <v>70</v>
      </c>
      <c r="AY286" s="2224">
        <f t="shared" si="260"/>
        <v>70</v>
      </c>
      <c r="AZ286" s="2224">
        <f t="shared" si="260"/>
        <v>70</v>
      </c>
      <c r="BA286" s="2224">
        <f t="shared" si="260"/>
        <v>70</v>
      </c>
      <c r="BB286" s="2224">
        <f t="shared" si="260"/>
        <v>70</v>
      </c>
      <c r="BC286" s="2224">
        <f t="shared" si="260"/>
        <v>70</v>
      </c>
      <c r="BD286" s="2224">
        <f t="shared" si="260"/>
        <v>70</v>
      </c>
      <c r="BE286" s="2224">
        <f t="shared" si="260"/>
        <v>70</v>
      </c>
      <c r="BF286" s="2224">
        <f t="shared" si="260"/>
        <v>70</v>
      </c>
      <c r="BG286" s="2224">
        <f t="shared" si="260"/>
        <v>70</v>
      </c>
      <c r="BH286" s="2224">
        <f t="shared" si="260"/>
        <v>70</v>
      </c>
      <c r="BI286" s="2224">
        <f t="shared" si="260"/>
        <v>70</v>
      </c>
    </row>
    <row r="287" spans="1:61" s="529" customFormat="1" ht="13.15" customHeight="1">
      <c r="A287" s="523"/>
      <c r="B287" s="224"/>
      <c r="C287" s="524"/>
      <c r="D287" s="2243"/>
      <c r="E287" s="3655" t="str">
        <f t="shared" ref="E287:AJ287" si="261">E33</f>
        <v>Durée d'exposition considérée</v>
      </c>
      <c r="F287" s="525" t="str">
        <f t="shared" si="261"/>
        <v>t</v>
      </c>
      <c r="G287" s="526" t="str">
        <f t="shared" si="261"/>
        <v>s</v>
      </c>
      <c r="H287" s="2161">
        <f t="shared" si="261"/>
        <v>2207520000</v>
      </c>
      <c r="I287" s="2161">
        <f t="shared" si="261"/>
        <v>2207520000</v>
      </c>
      <c r="J287" s="2161">
        <f t="shared" si="261"/>
        <v>2207520000</v>
      </c>
      <c r="K287" s="2161">
        <f t="shared" si="261"/>
        <v>2207520000</v>
      </c>
      <c r="L287" s="2161">
        <f t="shared" si="261"/>
        <v>2207520000</v>
      </c>
      <c r="M287" s="2161">
        <f t="shared" si="261"/>
        <v>2207520000</v>
      </c>
      <c r="N287" s="2161">
        <f t="shared" si="261"/>
        <v>2207520000</v>
      </c>
      <c r="O287" s="2161">
        <f t="shared" si="261"/>
        <v>2207520000</v>
      </c>
      <c r="P287" s="2161">
        <f t="shared" si="261"/>
        <v>2207520000</v>
      </c>
      <c r="Q287" s="2161">
        <f t="shared" si="261"/>
        <v>2207520000</v>
      </c>
      <c r="R287" s="2161">
        <f t="shared" si="261"/>
        <v>2207520000</v>
      </c>
      <c r="S287" s="2161">
        <f t="shared" si="261"/>
        <v>2207520000</v>
      </c>
      <c r="T287" s="2161">
        <f t="shared" si="261"/>
        <v>2207520000</v>
      </c>
      <c r="U287" s="2161">
        <f t="shared" si="261"/>
        <v>2207520000</v>
      </c>
      <c r="V287" s="2161">
        <f t="shared" si="261"/>
        <v>2207520000</v>
      </c>
      <c r="W287" s="2161">
        <f t="shared" si="261"/>
        <v>2207520000</v>
      </c>
      <c r="X287" s="2161">
        <f t="shared" si="261"/>
        <v>2207520000</v>
      </c>
      <c r="Y287" s="2161">
        <f t="shared" si="261"/>
        <v>2207520000</v>
      </c>
      <c r="Z287" s="2161">
        <f t="shared" si="261"/>
        <v>2207520000</v>
      </c>
      <c r="AA287" s="2215">
        <f t="shared" si="261"/>
        <v>2207520000</v>
      </c>
      <c r="AB287" s="2161">
        <f t="shared" si="261"/>
        <v>2207520000</v>
      </c>
      <c r="AC287" s="2161">
        <f t="shared" si="261"/>
        <v>2207520000</v>
      </c>
      <c r="AD287" s="2161">
        <f t="shared" si="261"/>
        <v>2207520000</v>
      </c>
      <c r="AE287" s="2161">
        <f t="shared" si="261"/>
        <v>2207520000</v>
      </c>
      <c r="AF287" s="2161">
        <f t="shared" si="261"/>
        <v>2207520000</v>
      </c>
      <c r="AG287" s="2161">
        <f t="shared" si="261"/>
        <v>2207520000</v>
      </c>
      <c r="AH287" s="2161">
        <f t="shared" si="261"/>
        <v>2207520000</v>
      </c>
      <c r="AI287" s="2161">
        <f t="shared" si="261"/>
        <v>2207520000</v>
      </c>
      <c r="AJ287" s="2161">
        <f t="shared" si="261"/>
        <v>2207520000</v>
      </c>
      <c r="AK287" s="2161">
        <f t="shared" ref="AK287:BI287" si="262">AK33</f>
        <v>2207520000</v>
      </c>
      <c r="AL287" s="2161">
        <f t="shared" si="262"/>
        <v>2207520000</v>
      </c>
      <c r="AM287" s="2161">
        <f t="shared" si="262"/>
        <v>2207520000</v>
      </c>
      <c r="AN287" s="2155">
        <f t="shared" si="262"/>
        <v>2207520000</v>
      </c>
      <c r="AO287" s="2161">
        <f t="shared" si="262"/>
        <v>2207520000</v>
      </c>
      <c r="AP287" s="2161">
        <f t="shared" si="262"/>
        <v>2207520000</v>
      </c>
      <c r="AQ287" s="2161">
        <f t="shared" si="262"/>
        <v>2207520000</v>
      </c>
      <c r="AR287" s="2161">
        <f t="shared" si="262"/>
        <v>2207520000</v>
      </c>
      <c r="AS287" s="2161">
        <f t="shared" si="262"/>
        <v>2207520000</v>
      </c>
      <c r="AT287" s="2161">
        <f t="shared" si="262"/>
        <v>2207520000</v>
      </c>
      <c r="AU287" s="2161">
        <f t="shared" si="262"/>
        <v>2207520000</v>
      </c>
      <c r="AV287" s="2161">
        <f t="shared" si="262"/>
        <v>2207520000</v>
      </c>
      <c r="AW287" s="2161">
        <f t="shared" si="262"/>
        <v>2207520000</v>
      </c>
      <c r="AX287" s="2161">
        <f t="shared" si="262"/>
        <v>2207520000</v>
      </c>
      <c r="AY287" s="2161">
        <f t="shared" si="262"/>
        <v>2207520000</v>
      </c>
      <c r="AZ287" s="2161">
        <f t="shared" si="262"/>
        <v>2207520000</v>
      </c>
      <c r="BA287" s="2161">
        <f t="shared" si="262"/>
        <v>2207520000</v>
      </c>
      <c r="BB287" s="2161">
        <f t="shared" si="262"/>
        <v>2207520000</v>
      </c>
      <c r="BC287" s="2161">
        <f t="shared" si="262"/>
        <v>2207520000</v>
      </c>
      <c r="BD287" s="2161">
        <f t="shared" si="262"/>
        <v>2207520000</v>
      </c>
      <c r="BE287" s="2161">
        <f t="shared" si="262"/>
        <v>2207520000</v>
      </c>
      <c r="BF287" s="2161">
        <f t="shared" si="262"/>
        <v>2207520000</v>
      </c>
      <c r="BG287" s="2161">
        <f t="shared" si="262"/>
        <v>2207520000</v>
      </c>
      <c r="BH287" s="2161">
        <f t="shared" si="262"/>
        <v>2207520000</v>
      </c>
      <c r="BI287" s="2161">
        <f t="shared" si="262"/>
        <v>2207520000</v>
      </c>
    </row>
    <row r="288" spans="1:61" s="2204" customFormat="1" ht="15.75">
      <c r="D288" s="2243"/>
      <c r="E288" s="3656" t="s">
        <v>297</v>
      </c>
      <c r="F288" s="2201" t="s">
        <v>1131</v>
      </c>
      <c r="G288" s="2202" t="s">
        <v>73</v>
      </c>
      <c r="H288" s="2203">
        <f t="shared" ref="H288:AM288" si="263">(2*H248*H13*0.001/H14*H287+(H41+H248*H212)^2)^0.5-H248*H212</f>
        <v>0.54835197567536276</v>
      </c>
      <c r="I288" s="2203">
        <f t="shared" si="263"/>
        <v>0.54835197567536276</v>
      </c>
      <c r="J288" s="2203">
        <f t="shared" si="263"/>
        <v>2.1113216452762615</v>
      </c>
      <c r="K288" s="2203">
        <f t="shared" si="263"/>
        <v>58.450954450016525</v>
      </c>
      <c r="L288" s="2203">
        <f t="shared" si="263"/>
        <v>20.544947114416637</v>
      </c>
      <c r="M288" s="2203">
        <f t="shared" si="263"/>
        <v>20.544947114416637</v>
      </c>
      <c r="N288" s="2203">
        <f t="shared" si="263"/>
        <v>30.252231170693921</v>
      </c>
      <c r="O288" s="2203">
        <f t="shared" si="263"/>
        <v>30.252231170693921</v>
      </c>
      <c r="P288" s="2203">
        <f t="shared" si="263"/>
        <v>30.172817881235407</v>
      </c>
      <c r="Q288" s="2203">
        <f t="shared" si="263"/>
        <v>30.172817881235407</v>
      </c>
      <c r="R288" s="2203">
        <f t="shared" si="263"/>
        <v>73.148741445152453</v>
      </c>
      <c r="S288" s="2203">
        <f t="shared" si="263"/>
        <v>22.061623419508088</v>
      </c>
      <c r="T288" s="2203">
        <f t="shared" si="263"/>
        <v>22.061623419508088</v>
      </c>
      <c r="U288" s="2203">
        <f t="shared" si="263"/>
        <v>42.164855178291454</v>
      </c>
      <c r="V288" s="2203">
        <f t="shared" si="263"/>
        <v>32.408381987791074</v>
      </c>
      <c r="W288" s="2203">
        <f t="shared" si="263"/>
        <v>32.408381987791074</v>
      </c>
      <c r="X288" s="2203">
        <f t="shared" si="263"/>
        <v>23.87211004976767</v>
      </c>
      <c r="Y288" s="2203">
        <f t="shared" si="263"/>
        <v>18.66381025508565</v>
      </c>
      <c r="Z288" s="2203">
        <f t="shared" si="263"/>
        <v>13.542069497048615</v>
      </c>
      <c r="AA288" s="2203">
        <f t="shared" si="263"/>
        <v>10.949451108953459</v>
      </c>
      <c r="AB288" s="2203">
        <f t="shared" si="263"/>
        <v>7.7643857143335016</v>
      </c>
      <c r="AC288" s="2203">
        <f t="shared" si="263"/>
        <v>2.8884902144947961</v>
      </c>
      <c r="AD288" s="2203">
        <f t="shared" si="263"/>
        <v>0.87475435100377852</v>
      </c>
      <c r="AE288" s="2203">
        <f t="shared" si="263"/>
        <v>0.12186244450353767</v>
      </c>
      <c r="AF288" s="2203">
        <f t="shared" si="263"/>
        <v>4.2836686197988971E-4</v>
      </c>
      <c r="AG288" s="2203">
        <f t="shared" si="263"/>
        <v>49.170974588505381</v>
      </c>
      <c r="AH288" s="2203">
        <f t="shared" si="263"/>
        <v>38.109320877271379</v>
      </c>
      <c r="AI288" s="2203">
        <f t="shared" si="263"/>
        <v>20.951972815502447</v>
      </c>
      <c r="AJ288" s="2203">
        <f t="shared" si="263"/>
        <v>8.7707504298208701</v>
      </c>
      <c r="AK288" s="2203">
        <f t="shared" si="263"/>
        <v>3.3317651809302853</v>
      </c>
      <c r="AL288" s="2203">
        <f t="shared" si="263"/>
        <v>0.44083124405496588</v>
      </c>
      <c r="AM288" s="2203">
        <f t="shared" si="263"/>
        <v>3.2398403125850628E-3</v>
      </c>
      <c r="AN288" s="2203">
        <f t="shared" ref="AN288:BI288" si="264">(2*AN248*AN13*0.001/AN14*AN287+(AN41+AN248*AN212)^2)^0.5-AN248*AN212</f>
        <v>0.50036026627394847</v>
      </c>
      <c r="AO288" s="2203">
        <f t="shared" si="264"/>
        <v>0.13750237405135179</v>
      </c>
      <c r="AP288" s="2203">
        <f t="shared" si="264"/>
        <v>0.21754054847804383</v>
      </c>
      <c r="AQ288" s="2203">
        <f t="shared" si="264"/>
        <v>8.7632254558448475E-2</v>
      </c>
      <c r="AR288" s="2203">
        <f t="shared" si="264"/>
        <v>1.7026978633268963E-2</v>
      </c>
      <c r="AS288" s="2203">
        <f t="shared" si="264"/>
        <v>2.193043291454555E-2</v>
      </c>
      <c r="AT288" s="2203">
        <f t="shared" si="264"/>
        <v>1.4263601723663033E-3</v>
      </c>
      <c r="AU288" s="2203">
        <f t="shared" si="264"/>
        <v>1.372231131335111E-3</v>
      </c>
      <c r="AV288" s="2203">
        <f t="shared" si="264"/>
        <v>1.9409548893456474E-4</v>
      </c>
      <c r="AW288" s="2203">
        <f t="shared" si="264"/>
        <v>1.8702878297705006E-4</v>
      </c>
      <c r="AX288" s="2203">
        <f t="shared" si="264"/>
        <v>5.9568081258731809E-6</v>
      </c>
      <c r="AY288" s="2203">
        <f t="shared" si="264"/>
        <v>4.0881344283150156E-6</v>
      </c>
      <c r="AZ288" s="2203">
        <f t="shared" si="264"/>
        <v>2.7302005953799835E-6</v>
      </c>
      <c r="BA288" s="2203">
        <f t="shared" si="264"/>
        <v>4.2732728999794745E-7</v>
      </c>
      <c r="BB288" s="2203">
        <f t="shared" si="264"/>
        <v>7.0191728909207995E-6</v>
      </c>
      <c r="BC288" s="2203">
        <f t="shared" si="264"/>
        <v>0</v>
      </c>
      <c r="BD288" s="2203">
        <f t="shared" si="264"/>
        <v>3.8944372174205988E-2</v>
      </c>
      <c r="BE288" s="2203">
        <f t="shared" si="264"/>
        <v>1.5594917980332745E-4</v>
      </c>
      <c r="BF288" s="2203">
        <f t="shared" si="264"/>
        <v>1.5594917980332745E-4</v>
      </c>
      <c r="BG288" s="2203">
        <f t="shared" si="264"/>
        <v>30.739046522789824</v>
      </c>
      <c r="BH288" s="2203">
        <f t="shared" si="264"/>
        <v>3.4094070056849723E-2</v>
      </c>
      <c r="BI288" s="2203">
        <f t="shared" si="264"/>
        <v>0.67105349216844101</v>
      </c>
    </row>
    <row r="289" spans="1:61" s="2204" customFormat="1" ht="25.5">
      <c r="D289" s="2243"/>
      <c r="E289" s="3656" t="s">
        <v>610</v>
      </c>
      <c r="F289" s="2205" t="s">
        <v>138</v>
      </c>
      <c r="G289" s="2206" t="s">
        <v>139</v>
      </c>
      <c r="H289" s="2204">
        <f t="shared" ref="H289:AM289" si="265">1000*H14/H13*(H288-H41)/H287</f>
        <v>1.4143249891543377E-4</v>
      </c>
      <c r="I289" s="2204">
        <f t="shared" si="265"/>
        <v>1.4143249891543377E-4</v>
      </c>
      <c r="J289" s="2204">
        <f t="shared" si="265"/>
        <v>8.2952380553202572E-5</v>
      </c>
      <c r="K289" s="2204">
        <f t="shared" si="265"/>
        <v>1.0307274659037248E-5</v>
      </c>
      <c r="L289" s="2204">
        <f t="shared" si="265"/>
        <v>1.9377355431967767E-5</v>
      </c>
      <c r="M289" s="2204">
        <f t="shared" si="265"/>
        <v>1.9377355431967767E-5</v>
      </c>
      <c r="N289" s="2204">
        <f t="shared" si="265"/>
        <v>1.4466757664609854E-5</v>
      </c>
      <c r="O289" s="2204">
        <f t="shared" si="265"/>
        <v>1.4466757664609854E-5</v>
      </c>
      <c r="P289" s="2204">
        <f t="shared" si="265"/>
        <v>1.3216303822738137E-5</v>
      </c>
      <c r="Q289" s="2204">
        <f t="shared" si="265"/>
        <v>1.3216303822738137E-5</v>
      </c>
      <c r="R289" s="2204">
        <f t="shared" si="265"/>
        <v>7.9708491701038274E-5</v>
      </c>
      <c r="S289" s="2204">
        <f t="shared" si="265"/>
        <v>2.5624239182701792E-5</v>
      </c>
      <c r="T289" s="2204">
        <f t="shared" si="265"/>
        <v>2.5624239182701792E-5</v>
      </c>
      <c r="U289" s="2204">
        <f t="shared" si="265"/>
        <v>1.0402355754439645E-5</v>
      </c>
      <c r="V289" s="2204">
        <f t="shared" si="265"/>
        <v>4.884750604621265E-6</v>
      </c>
      <c r="W289" s="2204">
        <f t="shared" si="265"/>
        <v>4.884750604621265E-6</v>
      </c>
      <c r="X289" s="2204">
        <f t="shared" si="265"/>
        <v>1.8755701229606122E-5</v>
      </c>
      <c r="Y289" s="2204">
        <f t="shared" si="265"/>
        <v>2.1157904336487898E-5</v>
      </c>
      <c r="Z289" s="2204">
        <f t="shared" si="265"/>
        <v>2.5922472591427641E-5</v>
      </c>
      <c r="AA289" s="2204">
        <f t="shared" si="265"/>
        <v>3.1242950550605279E-5</v>
      </c>
      <c r="AB289" s="2204">
        <f t="shared" si="265"/>
        <v>1.9589140438966363E-5</v>
      </c>
      <c r="AC289" s="2204">
        <f t="shared" si="265"/>
        <v>3.7346093725445392E-5</v>
      </c>
      <c r="AD289" s="2204">
        <f t="shared" si="265"/>
        <v>5.7782411728541489E-5</v>
      </c>
      <c r="AE289" s="2204">
        <f t="shared" si="265"/>
        <v>6.4556467083475572E-5</v>
      </c>
      <c r="AF289" s="2204">
        <f t="shared" si="265"/>
        <v>5.4750451368339565E-5</v>
      </c>
      <c r="AG289" s="2204">
        <f t="shared" si="265"/>
        <v>5.3940891213817429E-6</v>
      </c>
      <c r="AH289" s="2204">
        <f t="shared" si="265"/>
        <v>5.5835415447258081E-6</v>
      </c>
      <c r="AI289" s="2204">
        <f t="shared" si="265"/>
        <v>7.5495425476038699E-6</v>
      </c>
      <c r="AJ289" s="2204">
        <f t="shared" si="265"/>
        <v>1.3276291608627365E-5</v>
      </c>
      <c r="AK289" s="2204">
        <f t="shared" si="265"/>
        <v>2.212258251492864E-5</v>
      </c>
      <c r="AL289" s="2204">
        <f t="shared" si="265"/>
        <v>3.8611124927950966E-5</v>
      </c>
      <c r="AM289" s="2204">
        <f t="shared" si="265"/>
        <v>4.0993342119870396E-5</v>
      </c>
      <c r="AN289" s="2204">
        <f t="shared" ref="AN289:BI289" si="266">1000*AN14/AN13*(AN288-AN41)/AN287</f>
        <v>7.9539608016275875E-5</v>
      </c>
      <c r="AO289" s="2204">
        <f t="shared" si="266"/>
        <v>8.0031621812109446E-5</v>
      </c>
      <c r="AP289" s="2204">
        <f t="shared" si="266"/>
        <v>7.5684777670611286E-5</v>
      </c>
      <c r="AQ289" s="2204">
        <f t="shared" si="266"/>
        <v>7.5295639416100962E-5</v>
      </c>
      <c r="AR289" s="2204">
        <f t="shared" si="266"/>
        <v>7.3070587417246698E-5</v>
      </c>
      <c r="AS289" s="2204">
        <f t="shared" si="266"/>
        <v>7.2864755469578048E-5</v>
      </c>
      <c r="AT289" s="2204">
        <f t="shared" si="266"/>
        <v>6.4923718972839219E-5</v>
      </c>
      <c r="AU289" s="2204">
        <f t="shared" si="266"/>
        <v>6.4926389031485853E-5</v>
      </c>
      <c r="AV289" s="2204">
        <f t="shared" si="266"/>
        <v>5.7564380534780024E-5</v>
      </c>
      <c r="AW289" s="2204">
        <f t="shared" si="266"/>
        <v>5.7564916716822013E-5</v>
      </c>
      <c r="AX289" s="2204">
        <f t="shared" si="266"/>
        <v>5.2088626315583442E-5</v>
      </c>
      <c r="AY289" s="2204">
        <f t="shared" si="266"/>
        <v>5.2088629815730629E-5</v>
      </c>
      <c r="AZ289" s="2204">
        <f t="shared" si="266"/>
        <v>5.2092762816774911E-5</v>
      </c>
      <c r="BA289" s="2204">
        <f t="shared" si="266"/>
        <v>4.72090694142312E-5</v>
      </c>
      <c r="BB289" s="2204">
        <f t="shared" si="266"/>
        <v>4.8975228488844447E-5</v>
      </c>
      <c r="BC289" s="2204">
        <f t="shared" si="266"/>
        <v>0</v>
      </c>
      <c r="BD289" s="2204">
        <f t="shared" si="266"/>
        <v>2.8287901938261139E-4</v>
      </c>
      <c r="BE289" s="2204">
        <f t="shared" si="266"/>
        <v>5.103715868592055E-5</v>
      </c>
      <c r="BF289" s="2204">
        <f t="shared" si="266"/>
        <v>5.103715868592055E-5</v>
      </c>
      <c r="BG289" s="2204">
        <f t="shared" si="266"/>
        <v>5.5396883144797936E-6</v>
      </c>
      <c r="BH289" s="2204">
        <f t="shared" si="266"/>
        <v>1.8623114438695836E-4</v>
      </c>
      <c r="BI289" s="2204">
        <f t="shared" si="266"/>
        <v>4.7373663642539897E-4</v>
      </c>
    </row>
    <row r="290" spans="1:61" s="2304" customFormat="1" ht="25.5">
      <c r="B290" s="2305"/>
      <c r="C290" s="2305"/>
      <c r="D290" s="2243"/>
      <c r="E290" s="3655" t="s">
        <v>611</v>
      </c>
      <c r="F290" s="2343" t="s">
        <v>138</v>
      </c>
      <c r="G290" s="2344" t="s">
        <v>139</v>
      </c>
      <c r="H290" s="2345">
        <f t="shared" ref="H290:AM290" si="267">MIN(H289,H$34)</f>
        <v>1.4143249891543377E-4</v>
      </c>
      <c r="I290" s="2345">
        <f t="shared" si="267"/>
        <v>1.4143249891543377E-4</v>
      </c>
      <c r="J290" s="2345">
        <f t="shared" si="267"/>
        <v>8.2952380553202572E-5</v>
      </c>
      <c r="K290" s="2345">
        <f t="shared" si="267"/>
        <v>5.2902171175928501E-7</v>
      </c>
      <c r="L290" s="2345">
        <f t="shared" si="267"/>
        <v>2.8295067381853387E-6</v>
      </c>
      <c r="M290" s="2345">
        <f t="shared" si="267"/>
        <v>2.8295067381853387E-6</v>
      </c>
      <c r="N290" s="2345">
        <f t="shared" si="267"/>
        <v>1.4346139545526303E-6</v>
      </c>
      <c r="O290" s="2345">
        <f t="shared" si="267"/>
        <v>1.4346139545526303E-6</v>
      </c>
      <c r="P290" s="2345">
        <f t="shared" si="267"/>
        <v>1.314060609926401E-6</v>
      </c>
      <c r="Q290" s="2345">
        <f t="shared" si="267"/>
        <v>1.314060609926401E-6</v>
      </c>
      <c r="R290" s="2345">
        <f t="shared" si="267"/>
        <v>3.2690306132254255E-6</v>
      </c>
      <c r="S290" s="2345">
        <f t="shared" si="267"/>
        <v>3.4844542528148829E-6</v>
      </c>
      <c r="T290" s="2345">
        <f t="shared" si="267"/>
        <v>3.4844542528148829E-6</v>
      </c>
      <c r="U290" s="2345">
        <f t="shared" si="267"/>
        <v>7.4012034741639221E-7</v>
      </c>
      <c r="V290" s="2345">
        <f t="shared" si="267"/>
        <v>4.5217474353963014E-7</v>
      </c>
      <c r="W290" s="2345">
        <f t="shared" si="267"/>
        <v>4.5217474353963014E-7</v>
      </c>
      <c r="X290" s="2345">
        <f t="shared" si="267"/>
        <v>2.3570226331696212E-6</v>
      </c>
      <c r="Y290" s="2345">
        <f t="shared" si="267"/>
        <v>3.4008978950141175E-6</v>
      </c>
      <c r="Z290" s="2345">
        <f t="shared" si="267"/>
        <v>5.7426538677291316E-6</v>
      </c>
      <c r="AA290" s="2345">
        <f t="shared" si="267"/>
        <v>8.560141574144568E-6</v>
      </c>
      <c r="AB290" s="2345">
        <f t="shared" si="267"/>
        <v>7.5688436251191195E-6</v>
      </c>
      <c r="AC290" s="2345">
        <f t="shared" si="267"/>
        <v>3.7346093725445392E-5</v>
      </c>
      <c r="AD290" s="2345">
        <f t="shared" si="267"/>
        <v>5.7782411728541489E-5</v>
      </c>
      <c r="AE290" s="2345">
        <f t="shared" si="267"/>
        <v>6.4556467083475572E-5</v>
      </c>
      <c r="AF290" s="2345">
        <f t="shared" si="267"/>
        <v>5.4750451368339565E-5</v>
      </c>
      <c r="AG290" s="2345">
        <f t="shared" si="267"/>
        <v>3.291020261357222E-7</v>
      </c>
      <c r="AH290" s="2345">
        <f t="shared" si="267"/>
        <v>4.3954141004301113E-7</v>
      </c>
      <c r="AI290" s="2345">
        <f t="shared" si="267"/>
        <v>1.0809782850641064E-6</v>
      </c>
      <c r="AJ290" s="2345">
        <f t="shared" si="267"/>
        <v>4.5411022858959111E-6</v>
      </c>
      <c r="AK290" s="2345">
        <f t="shared" si="267"/>
        <v>1.991969539889811E-5</v>
      </c>
      <c r="AL290" s="2345">
        <f t="shared" si="267"/>
        <v>3.8611124927950966E-5</v>
      </c>
      <c r="AM290" s="2345">
        <f t="shared" si="267"/>
        <v>4.0993342119870396E-5</v>
      </c>
      <c r="AN290" s="2345">
        <f t="shared" ref="AN290:BI290" si="268">MIN(AN289,AN$34)</f>
        <v>7.9539608016275875E-5</v>
      </c>
      <c r="AO290" s="2345">
        <f t="shared" si="268"/>
        <v>8.0031621812109446E-5</v>
      </c>
      <c r="AP290" s="2345">
        <f t="shared" si="268"/>
        <v>7.5684777670611286E-5</v>
      </c>
      <c r="AQ290" s="2345">
        <f t="shared" si="268"/>
        <v>7.5295639416100962E-5</v>
      </c>
      <c r="AR290" s="2345">
        <f t="shared" si="268"/>
        <v>7.3070587417246698E-5</v>
      </c>
      <c r="AS290" s="2345">
        <f t="shared" si="268"/>
        <v>7.2864755469578048E-5</v>
      </c>
      <c r="AT290" s="2345">
        <f t="shared" si="268"/>
        <v>6.4923718972839219E-5</v>
      </c>
      <c r="AU290" s="2345">
        <f t="shared" si="268"/>
        <v>6.4926389031485853E-5</v>
      </c>
      <c r="AV290" s="2345">
        <f t="shared" si="268"/>
        <v>5.7564380534780024E-5</v>
      </c>
      <c r="AW290" s="2345">
        <f t="shared" si="268"/>
        <v>5.7564916716822013E-5</v>
      </c>
      <c r="AX290" s="2345">
        <f t="shared" si="268"/>
        <v>5.2088626315583442E-5</v>
      </c>
      <c r="AY290" s="2345">
        <f t="shared" si="268"/>
        <v>5.2088629815730629E-5</v>
      </c>
      <c r="AZ290" s="2345">
        <f t="shared" si="268"/>
        <v>5.2092762816774911E-5</v>
      </c>
      <c r="BA290" s="2345">
        <f t="shared" si="268"/>
        <v>4.72090694142312E-5</v>
      </c>
      <c r="BB290" s="2345">
        <f t="shared" si="268"/>
        <v>4.8975228488844447E-5</v>
      </c>
      <c r="BC290" s="2345">
        <f t="shared" si="268"/>
        <v>0</v>
      </c>
      <c r="BD290" s="2345">
        <f t="shared" si="268"/>
        <v>2.8287901938261139E-4</v>
      </c>
      <c r="BE290" s="2345">
        <f t="shared" si="268"/>
        <v>5.103715868592055E-5</v>
      </c>
      <c r="BF290" s="2345">
        <f t="shared" si="268"/>
        <v>5.103715868592055E-5</v>
      </c>
      <c r="BG290" s="2345">
        <f t="shared" si="268"/>
        <v>5.4064998181118143E-7</v>
      </c>
      <c r="BH290" s="2345">
        <f t="shared" si="268"/>
        <v>1.8623114438695836E-4</v>
      </c>
      <c r="BI290" s="2345">
        <f t="shared" si="268"/>
        <v>4.7373663642539897E-4</v>
      </c>
    </row>
    <row r="291" spans="1:61" ht="25.5">
      <c r="A291" s="2126"/>
      <c r="B291" s="2156"/>
      <c r="C291" s="2156"/>
      <c r="D291" s="2243"/>
      <c r="E291" s="3671" t="s">
        <v>582</v>
      </c>
      <c r="F291" s="2153" t="s">
        <v>300</v>
      </c>
      <c r="G291" s="2220" t="s">
        <v>35</v>
      </c>
      <c r="H291" s="2221">
        <f t="shared" ref="H291:AM291" si="269">H213/H289</f>
        <v>1.2537474069508356</v>
      </c>
      <c r="I291" s="2221">
        <f t="shared" si="269"/>
        <v>1.2537474069508356</v>
      </c>
      <c r="J291" s="2221">
        <f t="shared" si="269"/>
        <v>2.1972037110286409</v>
      </c>
      <c r="K291" s="2221">
        <f t="shared" si="269"/>
        <v>35.569117739530512</v>
      </c>
      <c r="L291" s="2221">
        <f t="shared" si="269"/>
        <v>13.136945117298616</v>
      </c>
      <c r="M291" s="2221">
        <f t="shared" si="269"/>
        <v>13.136945117298616</v>
      </c>
      <c r="N291" s="2221">
        <f t="shared" si="269"/>
        <v>18.887173132468583</v>
      </c>
      <c r="O291" s="2221">
        <f t="shared" si="269"/>
        <v>18.887173132468583</v>
      </c>
      <c r="P291" s="2221">
        <f t="shared" si="269"/>
        <v>18.842284599694214</v>
      </c>
      <c r="Q291" s="2221">
        <f t="shared" si="269"/>
        <v>18.842284599694214</v>
      </c>
      <c r="R291" s="2221">
        <f t="shared" si="269"/>
        <v>44.259515677945558</v>
      </c>
      <c r="S291" s="2221">
        <f t="shared" si="269"/>
        <v>14.037618533809503</v>
      </c>
      <c r="T291" s="2221">
        <f t="shared" si="269"/>
        <v>14.037618533809503</v>
      </c>
      <c r="U291" s="2221">
        <f t="shared" si="269"/>
        <v>25.934266960083331</v>
      </c>
      <c r="V291" s="2221">
        <f t="shared" si="269"/>
        <v>20.166537655496242</v>
      </c>
      <c r="W291" s="2221">
        <f t="shared" si="269"/>
        <v>20.166537655496242</v>
      </c>
      <c r="X291" s="2221">
        <f t="shared" si="269"/>
        <v>15.111141971928229</v>
      </c>
      <c r="Y291" s="2221">
        <f t="shared" si="269"/>
        <v>12.033218442540974</v>
      </c>
      <c r="Z291" s="2221">
        <f t="shared" si="269"/>
        <v>9.0061344374710117</v>
      </c>
      <c r="AA291" s="2221">
        <f t="shared" si="269"/>
        <v>7.4724463917679502</v>
      </c>
      <c r="AB291" s="2221">
        <f t="shared" si="269"/>
        <v>5.5911101381501389</v>
      </c>
      <c r="AC291" s="2221">
        <f t="shared" si="269"/>
        <v>2.7071114650183095</v>
      </c>
      <c r="AD291" s="2221">
        <f t="shared" si="269"/>
        <v>1.5163789593344656</v>
      </c>
      <c r="AE291" s="2221">
        <f t="shared" si="269"/>
        <v>1.0715225550010572</v>
      </c>
      <c r="AF291" s="2221">
        <f t="shared" si="269"/>
        <v>1.0002204453905792</v>
      </c>
      <c r="AG291" s="2221">
        <f t="shared" si="269"/>
        <v>30.08094923805972</v>
      </c>
      <c r="AH291" s="2221">
        <f t="shared" si="269"/>
        <v>23.538832655644939</v>
      </c>
      <c r="AI291" s="2221">
        <f t="shared" si="269"/>
        <v>13.391544965845572</v>
      </c>
      <c r="AJ291" s="2221">
        <f t="shared" si="269"/>
        <v>6.1872534666294978</v>
      </c>
      <c r="AK291" s="2221">
        <f t="shared" si="269"/>
        <v>2.9704951932815962</v>
      </c>
      <c r="AL291" s="2221">
        <f t="shared" si="269"/>
        <v>1.2607194533852595</v>
      </c>
      <c r="AM291" s="2221">
        <f t="shared" si="269"/>
        <v>1.0019161287126042</v>
      </c>
      <c r="AN291" s="2221">
        <f t="shared" ref="AN291:BI291" si="270">AN213/AN289</f>
        <v>1.289012353005194</v>
      </c>
      <c r="AO291" s="2221">
        <f t="shared" si="270"/>
        <v>1.078992443079579</v>
      </c>
      <c r="AP291" s="2221">
        <f t="shared" si="270"/>
        <v>1.1260912829305332</v>
      </c>
      <c r="AQ291" s="2221">
        <f t="shared" si="270"/>
        <v>1.0502527517996203</v>
      </c>
      <c r="AR291" s="2221">
        <f t="shared" si="270"/>
        <v>1.0093560137661717</v>
      </c>
      <c r="AS291" s="2221">
        <f t="shared" si="270"/>
        <v>1.012207292314568</v>
      </c>
      <c r="AT291" s="2221">
        <f t="shared" si="270"/>
        <v>1.0006804179993514</v>
      </c>
      <c r="AU291" s="2221">
        <f t="shared" si="270"/>
        <v>1.0006392656198266</v>
      </c>
      <c r="AV291" s="2221">
        <f t="shared" si="270"/>
        <v>1.0000804240450354</v>
      </c>
      <c r="AW291" s="2221">
        <f t="shared" si="270"/>
        <v>1.0000711089066752</v>
      </c>
      <c r="AX291" s="2221">
        <f t="shared" si="270"/>
        <v>1.0000002140124569</v>
      </c>
      <c r="AY291" s="2221">
        <f t="shared" si="270"/>
        <v>1.0000001468164497</v>
      </c>
      <c r="AZ291" s="2221">
        <f t="shared" si="270"/>
        <v>1.0000000719806439</v>
      </c>
      <c r="BA291" s="2221">
        <f t="shared" si="270"/>
        <v>1.0000000060710805</v>
      </c>
      <c r="BB291" s="2221">
        <f t="shared" si="270"/>
        <v>1.0000009653393689</v>
      </c>
      <c r="BC291" s="2221" t="e">
        <f t="shared" si="270"/>
        <v>#DIV/0!</v>
      </c>
      <c r="BD291" s="2221">
        <f t="shared" si="270"/>
        <v>1.0025918991044693</v>
      </c>
      <c r="BE291" s="2221">
        <f t="shared" si="270"/>
        <v>1.0000712705994133</v>
      </c>
      <c r="BF291" s="2221">
        <f t="shared" si="270"/>
        <v>1.0000712705994133</v>
      </c>
      <c r="BG291" s="2221">
        <f t="shared" si="270"/>
        <v>19.16744041689854</v>
      </c>
      <c r="BH291" s="2221">
        <f t="shared" si="270"/>
        <v>1.0028882070335559</v>
      </c>
      <c r="BI291" s="2221">
        <f t="shared" si="270"/>
        <v>1.2265447169420503</v>
      </c>
    </row>
    <row r="292" spans="1:61" ht="25.5">
      <c r="A292" s="2126"/>
      <c r="B292" s="2156"/>
      <c r="C292" s="2156"/>
      <c r="D292" s="2243"/>
      <c r="E292" s="3658" t="s">
        <v>583</v>
      </c>
      <c r="F292" s="2217" t="s">
        <v>300</v>
      </c>
      <c r="G292" s="2222" t="s">
        <v>35</v>
      </c>
      <c r="H292" s="2223"/>
      <c r="I292" s="2223"/>
      <c r="J292" s="2223"/>
      <c r="K292" s="2223"/>
      <c r="L292" s="2223"/>
      <c r="M292" s="2223"/>
      <c r="N292" s="2223"/>
      <c r="O292" s="2223"/>
      <c r="P292" s="2223"/>
      <c r="Q292" s="2223"/>
      <c r="R292" s="2223"/>
      <c r="S292" s="2223"/>
      <c r="T292" s="2223"/>
      <c r="U292" s="2223"/>
      <c r="V292" s="2223"/>
      <c r="W292" s="2223"/>
      <c r="X292" s="2223"/>
      <c r="Y292" s="2223"/>
      <c r="Z292" s="2223"/>
      <c r="AA292" s="2223"/>
      <c r="AB292" s="2223"/>
      <c r="AC292" s="2223"/>
      <c r="AD292" s="2223"/>
      <c r="AE292" s="2223"/>
      <c r="AF292" s="2223"/>
      <c r="AG292" s="2223"/>
      <c r="AH292" s="2223"/>
      <c r="AI292" s="2223"/>
      <c r="AJ292" s="2223"/>
      <c r="AK292" s="2223"/>
      <c r="AL292" s="2223"/>
      <c r="AM292" s="2223"/>
      <c r="AN292" s="2223"/>
      <c r="AO292" s="2223"/>
      <c r="AP292" s="2223"/>
      <c r="AQ292" s="2223"/>
      <c r="AR292" s="2223"/>
      <c r="AS292" s="2223"/>
      <c r="AT292" s="2223"/>
      <c r="AU292" s="2223"/>
      <c r="AV292" s="2223"/>
      <c r="AW292" s="2223"/>
      <c r="AX292" s="2223"/>
      <c r="AY292" s="2223"/>
      <c r="AZ292" s="2223"/>
      <c r="BA292" s="2223"/>
      <c r="BB292" s="2223"/>
      <c r="BC292" s="2223"/>
      <c r="BD292" s="2223"/>
      <c r="BE292" s="2223"/>
      <c r="BF292" s="2223"/>
      <c r="BG292" s="2223"/>
      <c r="BH292" s="2223"/>
      <c r="BI292" s="2223"/>
    </row>
    <row r="293" spans="1:61">
      <c r="A293" s="2126"/>
      <c r="B293" s="2156"/>
      <c r="C293" s="2156"/>
      <c r="D293" s="2243"/>
      <c r="E293" s="3655"/>
      <c r="F293" s="2153"/>
      <c r="G293" s="2154"/>
      <c r="H293" s="2156"/>
      <c r="I293" s="2156"/>
      <c r="J293" s="2156"/>
      <c r="K293" s="2156"/>
      <c r="L293" s="2156"/>
      <c r="M293" s="2156"/>
      <c r="N293" s="2156"/>
      <c r="O293" s="2156"/>
      <c r="P293" s="2156"/>
      <c r="Q293" s="2156"/>
      <c r="S293" s="2156"/>
      <c r="T293" s="2156"/>
      <c r="U293" s="2156"/>
      <c r="V293" s="2156"/>
      <c r="W293" s="2156"/>
      <c r="X293" s="2156"/>
      <c r="Y293" s="2156"/>
      <c r="Z293" s="2156"/>
      <c r="AA293" s="2156"/>
      <c r="AB293" s="2156"/>
      <c r="AC293" s="2156"/>
      <c r="AD293" s="2156"/>
      <c r="AE293" s="2156"/>
      <c r="AF293" s="2156"/>
      <c r="AG293" s="2156"/>
      <c r="AH293" s="2156"/>
      <c r="AI293" s="2156"/>
      <c r="AJ293" s="2156"/>
      <c r="AK293" s="2156"/>
      <c r="AL293" s="2156"/>
      <c r="AM293" s="2156"/>
      <c r="AN293" s="2156"/>
      <c r="AO293" s="2156"/>
      <c r="AP293" s="2156"/>
      <c r="AQ293" s="2156"/>
      <c r="AR293" s="2156"/>
      <c r="AS293" s="2156"/>
      <c r="AT293" s="2156"/>
      <c r="AU293" s="2156"/>
      <c r="AV293" s="2156"/>
      <c r="AW293" s="2156"/>
      <c r="AX293" s="2156"/>
      <c r="AY293" s="2156"/>
      <c r="AZ293" s="2156"/>
      <c r="BA293" s="2156"/>
      <c r="BB293" s="2156"/>
      <c r="BC293" s="2156"/>
      <c r="BD293" s="2156"/>
      <c r="BE293" s="2156"/>
      <c r="BF293" s="2156"/>
      <c r="BG293" s="2156"/>
      <c r="BH293" s="2156"/>
      <c r="BI293" s="2156"/>
    </row>
    <row r="294" spans="1:61">
      <c r="A294" s="2126"/>
      <c r="B294" s="2156"/>
      <c r="C294" s="2156"/>
      <c r="D294" s="2243"/>
      <c r="E294" s="3660" t="str">
        <f>E$61</f>
        <v>Période adulte 6-70 ans (effets sans seuil)</v>
      </c>
      <c r="F294" s="2153"/>
      <c r="G294" s="2154"/>
      <c r="H294" s="2156"/>
      <c r="I294" s="2156"/>
      <c r="J294" s="2156"/>
      <c r="K294" s="2156"/>
      <c r="L294" s="2156"/>
      <c r="M294" s="2156"/>
      <c r="N294" s="2156"/>
      <c r="O294" s="2156"/>
      <c r="P294" s="2156"/>
      <c r="Q294" s="2156"/>
      <c r="S294" s="2156"/>
      <c r="T294" s="2156"/>
      <c r="U294" s="2156"/>
      <c r="V294" s="2156"/>
      <c r="W294" s="2156"/>
      <c r="X294" s="2156"/>
      <c r="Y294" s="2156"/>
      <c r="Z294" s="2156"/>
      <c r="AA294" s="2156"/>
      <c r="AB294" s="2156"/>
      <c r="AC294" s="2156"/>
      <c r="AD294" s="2156"/>
      <c r="AE294" s="2156"/>
      <c r="AF294" s="2156"/>
      <c r="AG294" s="2156"/>
      <c r="AH294" s="2156"/>
      <c r="AI294" s="2156"/>
      <c r="AJ294" s="2156"/>
      <c r="AK294" s="2156"/>
      <c r="AL294" s="2156"/>
      <c r="AM294" s="2156"/>
      <c r="AN294" s="2156"/>
      <c r="AO294" s="2156"/>
      <c r="AP294" s="2156"/>
      <c r="AQ294" s="2156"/>
      <c r="AR294" s="2156"/>
      <c r="AS294" s="2156"/>
      <c r="AT294" s="2156"/>
      <c r="AU294" s="2156"/>
      <c r="AV294" s="2156"/>
      <c r="AW294" s="2156"/>
      <c r="AX294" s="2156"/>
      <c r="AY294" s="2156"/>
      <c r="AZ294" s="2156"/>
      <c r="BA294" s="2156"/>
      <c r="BB294" s="2156"/>
      <c r="BC294" s="2156"/>
      <c r="BD294" s="2156"/>
      <c r="BE294" s="2156"/>
      <c r="BF294" s="2156"/>
      <c r="BG294" s="2156"/>
      <c r="BH294" s="2156"/>
      <c r="BI294" s="2156"/>
    </row>
    <row r="295" spans="1:61" s="2383" customFormat="1" ht="26.25" thickBot="1">
      <c r="A295" s="2382"/>
      <c r="D295" s="2243"/>
      <c r="E295" s="3664" t="s">
        <v>575</v>
      </c>
      <c r="F295" s="2384" t="s">
        <v>138</v>
      </c>
      <c r="G295" s="2385" t="s">
        <v>139</v>
      </c>
      <c r="H295" s="2383">
        <f t="shared" ref="H295:AM295" si="271">ROUND((H290*H$32-H272*H$27)/(H$32-H$27),20)</f>
        <v>1.3849814086212299E-4</v>
      </c>
      <c r="I295" s="2383">
        <f t="shared" si="271"/>
        <v>1.3849814086212299E-4</v>
      </c>
      <c r="J295" s="2383">
        <f t="shared" si="271"/>
        <v>7.63646898049908E-5</v>
      </c>
      <c r="K295" s="2383">
        <f t="shared" si="271"/>
        <v>0</v>
      </c>
      <c r="L295" s="2383">
        <f t="shared" si="271"/>
        <v>0</v>
      </c>
      <c r="M295" s="2383">
        <f t="shared" si="271"/>
        <v>0</v>
      </c>
      <c r="N295" s="2383">
        <f t="shared" si="271"/>
        <v>0</v>
      </c>
      <c r="O295" s="2383">
        <f t="shared" si="271"/>
        <v>0</v>
      </c>
      <c r="P295" s="2383">
        <f t="shared" si="271"/>
        <v>0</v>
      </c>
      <c r="Q295" s="2383">
        <f t="shared" si="271"/>
        <v>0</v>
      </c>
      <c r="R295" s="2383">
        <f t="shared" si="271"/>
        <v>0</v>
      </c>
      <c r="S295" s="2383">
        <f t="shared" si="271"/>
        <v>0</v>
      </c>
      <c r="T295" s="2383">
        <f t="shared" si="271"/>
        <v>0</v>
      </c>
      <c r="U295" s="2383">
        <f t="shared" si="271"/>
        <v>0</v>
      </c>
      <c r="V295" s="2383">
        <f t="shared" si="271"/>
        <v>0</v>
      </c>
      <c r="W295" s="2383">
        <f t="shared" si="271"/>
        <v>0</v>
      </c>
      <c r="X295" s="2383">
        <f t="shared" si="271"/>
        <v>0</v>
      </c>
      <c r="Y295" s="2383">
        <f t="shared" si="271"/>
        <v>0</v>
      </c>
      <c r="Z295" s="2383">
        <f t="shared" si="271"/>
        <v>0</v>
      </c>
      <c r="AA295" s="2383">
        <f t="shared" si="271"/>
        <v>9.3343403549024005E-7</v>
      </c>
      <c r="AB295" s="2383">
        <f t="shared" si="271"/>
        <v>3.3068152714246399E-6</v>
      </c>
      <c r="AC295" s="2383">
        <f t="shared" si="271"/>
        <v>3.3577742620836902E-5</v>
      </c>
      <c r="AD295" s="2383">
        <f t="shared" si="271"/>
        <v>5.54729221466907E-5</v>
      </c>
      <c r="AE295" s="2383">
        <f t="shared" si="271"/>
        <v>6.4165649886058305E-5</v>
      </c>
      <c r="AF295" s="2383">
        <f t="shared" si="271"/>
        <v>5.4749416880180997E-5</v>
      </c>
      <c r="AG295" s="2383">
        <f t="shared" si="271"/>
        <v>0</v>
      </c>
      <c r="AH295" s="2383">
        <f t="shared" si="271"/>
        <v>0</v>
      </c>
      <c r="AI295" s="2383">
        <f t="shared" si="271"/>
        <v>0</v>
      </c>
      <c r="AJ295" s="2383">
        <f t="shared" si="271"/>
        <v>1.51708999696407E-6</v>
      </c>
      <c r="AK295" s="2383">
        <f t="shared" si="271"/>
        <v>1.7280425844237799E-5</v>
      </c>
      <c r="AL295" s="2383">
        <f t="shared" si="271"/>
        <v>3.7789175166160602E-5</v>
      </c>
      <c r="AM295" s="2383">
        <f t="shared" si="271"/>
        <v>4.0986611602366798E-5</v>
      </c>
      <c r="AN295" s="2383">
        <f t="shared" ref="AN295:BI295" si="272">ROUND((AN290*AN$32-AN272*AN$27)/(AN$32-AN$27),20)</f>
        <v>7.7673254372466396E-5</v>
      </c>
      <c r="AO295" s="2383">
        <f t="shared" si="272"/>
        <v>7.9497239312064998E-5</v>
      </c>
      <c r="AP295" s="2383">
        <f t="shared" si="272"/>
        <v>7.4885050698325297E-5</v>
      </c>
      <c r="AQ295" s="2383">
        <f t="shared" si="272"/>
        <v>7.4974145244377293E-5</v>
      </c>
      <c r="AR295" s="2383">
        <f t="shared" si="272"/>
        <v>7.3012083130394995E-5</v>
      </c>
      <c r="AS295" s="2383">
        <f t="shared" si="272"/>
        <v>7.2788674309382903E-5</v>
      </c>
      <c r="AT295" s="2383">
        <f t="shared" si="272"/>
        <v>6.4919932963135099E-5</v>
      </c>
      <c r="AU295" s="2383">
        <f t="shared" si="272"/>
        <v>6.4922831832144398E-5</v>
      </c>
      <c r="AV295" s="2383">
        <f t="shared" si="272"/>
        <v>5.7563983720784902E-5</v>
      </c>
      <c r="AW295" s="2383">
        <f t="shared" si="272"/>
        <v>5.7564565860104297E-5</v>
      </c>
      <c r="AX295" s="2383">
        <f t="shared" si="272"/>
        <v>5.2088625359809401E-5</v>
      </c>
      <c r="AY295" s="2383">
        <f t="shared" si="272"/>
        <v>5.2088629177754303E-5</v>
      </c>
      <c r="AZ295" s="2383">
        <f t="shared" si="272"/>
        <v>5.20927625350374E-5</v>
      </c>
      <c r="BA295" s="2383">
        <f t="shared" si="272"/>
        <v>4.7209069622739799E-5</v>
      </c>
      <c r="BB295" s="2383">
        <f t="shared" si="272"/>
        <v>4.8975224435436E-5</v>
      </c>
      <c r="BC295" s="2383">
        <f t="shared" si="272"/>
        <v>0</v>
      </c>
      <c r="BD295" s="2383">
        <f t="shared" si="272"/>
        <v>2.8281620213751801E-4</v>
      </c>
      <c r="BE295" s="2383">
        <f t="shared" si="272"/>
        <v>5.1036846908392202E-5</v>
      </c>
      <c r="BF295" s="2383">
        <f t="shared" si="272"/>
        <v>5.1036846908392202E-5</v>
      </c>
      <c r="BG295" s="2383">
        <f t="shared" si="272"/>
        <v>0</v>
      </c>
      <c r="BH295" s="2383">
        <f t="shared" si="272"/>
        <v>1.8618506373819599E-4</v>
      </c>
      <c r="BI295" s="2383">
        <f t="shared" si="272"/>
        <v>4.6491422252081902E-4</v>
      </c>
    </row>
    <row r="296" spans="1:61">
      <c r="D296" s="2243"/>
    </row>
    <row r="297" spans="1:61" s="529" customFormat="1" ht="13.15" customHeight="1">
      <c r="A297" s="523"/>
      <c r="B297" s="224"/>
      <c r="C297" s="524"/>
      <c r="D297" s="2243"/>
      <c r="E297" s="3687" t="s">
        <v>1142</v>
      </c>
      <c r="F297" s="78"/>
      <c r="G297" s="526"/>
      <c r="H297" s="2161"/>
      <c r="I297" s="2161"/>
      <c r="J297" s="2161"/>
      <c r="K297" s="2161"/>
      <c r="L297" s="2161"/>
      <c r="M297" s="2161"/>
      <c r="N297" s="2161"/>
      <c r="O297" s="2161"/>
      <c r="P297" s="2161"/>
      <c r="Q297" s="2161"/>
      <c r="R297" s="2161"/>
      <c r="S297" s="2161"/>
      <c r="T297" s="2161"/>
      <c r="U297" s="2161"/>
      <c r="V297" s="2161"/>
      <c r="W297" s="2161"/>
      <c r="X297" s="2161"/>
      <c r="Y297" s="2161"/>
      <c r="Z297" s="2161"/>
      <c r="AA297" s="2161"/>
      <c r="AB297" s="2161"/>
      <c r="AC297" s="2161"/>
      <c r="AD297" s="2161"/>
      <c r="AE297" s="2161"/>
      <c r="AF297" s="2161"/>
      <c r="AG297" s="2161"/>
      <c r="AH297" s="2161"/>
      <c r="AI297" s="2161"/>
      <c r="AJ297" s="2161"/>
      <c r="AK297" s="2161"/>
      <c r="AL297" s="2161"/>
      <c r="AM297" s="2161"/>
      <c r="AN297" s="2161"/>
      <c r="AO297" s="2161"/>
      <c r="AP297" s="2161"/>
      <c r="AQ297" s="2161"/>
      <c r="AR297" s="2161"/>
      <c r="AS297" s="2161"/>
      <c r="AT297" s="2161"/>
      <c r="AU297" s="2161"/>
      <c r="AV297" s="2161"/>
      <c r="AW297" s="2161"/>
      <c r="AX297" s="2161"/>
      <c r="AY297" s="2161"/>
      <c r="AZ297" s="2161"/>
      <c r="BA297" s="2161"/>
      <c r="BB297" s="2161"/>
      <c r="BC297" s="2161"/>
      <c r="BD297" s="2161"/>
      <c r="BE297" s="2161"/>
      <c r="BF297" s="2161"/>
      <c r="BG297" s="2161"/>
      <c r="BH297" s="2161"/>
      <c r="BI297" s="2161"/>
    </row>
    <row r="298" spans="1:61" s="2379" customFormat="1" ht="13.15" customHeight="1">
      <c r="B298" s="2190"/>
      <c r="C298" s="2380"/>
      <c r="D298" s="2243"/>
      <c r="E298" s="2381"/>
      <c r="F298" s="2381"/>
      <c r="G298" s="2234"/>
      <c r="H298" s="2219"/>
      <c r="I298" s="2219"/>
      <c r="J298" s="2219"/>
      <c r="K298" s="2219"/>
      <c r="L298" s="2219"/>
      <c r="M298" s="2219"/>
      <c r="N298" s="2219"/>
      <c r="O298" s="2219"/>
      <c r="P298" s="2219"/>
      <c r="Q298" s="2219"/>
      <c r="R298" s="2219"/>
      <c r="S298" s="2219"/>
      <c r="T298" s="2219"/>
      <c r="U298" s="2219"/>
      <c r="V298" s="2219"/>
      <c r="W298" s="2219"/>
      <c r="X298" s="2219"/>
      <c r="Y298" s="2219"/>
      <c r="Z298" s="2219"/>
      <c r="AA298" s="2219"/>
      <c r="AB298" s="2219"/>
      <c r="AC298" s="2219"/>
      <c r="AD298" s="2219"/>
      <c r="AE298" s="2219"/>
      <c r="AF298" s="2219"/>
      <c r="AG298" s="2219"/>
      <c r="AH298" s="2219"/>
      <c r="AI298" s="2219"/>
      <c r="AJ298" s="2219"/>
      <c r="AK298" s="2219"/>
      <c r="AL298" s="2219"/>
      <c r="AM298" s="2219"/>
      <c r="AN298" s="2219"/>
      <c r="AO298" s="2219"/>
      <c r="AP298" s="2219"/>
      <c r="AQ298" s="2219"/>
      <c r="AR298" s="2219"/>
      <c r="AS298" s="2219"/>
      <c r="AT298" s="2219"/>
      <c r="AU298" s="2219"/>
      <c r="AV298" s="2219"/>
      <c r="AW298" s="2219"/>
      <c r="AX298" s="2219"/>
      <c r="AY298" s="2219"/>
      <c r="AZ298" s="2219"/>
      <c r="BA298" s="2219"/>
      <c r="BB298" s="2219"/>
      <c r="BC298" s="2219"/>
      <c r="BD298" s="2219"/>
      <c r="BE298" s="2219"/>
      <c r="BF298" s="2219"/>
      <c r="BG298" s="2219"/>
      <c r="BH298" s="2219"/>
      <c r="BI298" s="2219"/>
    </row>
    <row r="299" spans="1:61" s="529" customFormat="1" ht="13.15" customHeight="1">
      <c r="B299" s="224"/>
      <c r="C299" s="2269"/>
      <c r="D299" s="2243"/>
      <c r="E299" s="2268"/>
      <c r="F299" s="2268"/>
      <c r="G299" s="526"/>
      <c r="H299" s="2161"/>
      <c r="I299" s="2161"/>
      <c r="J299" s="2161"/>
      <c r="K299" s="2161"/>
      <c r="L299" s="2161"/>
      <c r="M299" s="2161"/>
      <c r="N299" s="2161"/>
      <c r="O299" s="2161"/>
      <c r="P299" s="2161"/>
      <c r="Q299" s="2161"/>
      <c r="R299" s="2161"/>
      <c r="S299" s="2161"/>
      <c r="T299" s="2161"/>
      <c r="U299" s="2161"/>
      <c r="V299" s="2161"/>
      <c r="W299" s="2161"/>
      <c r="X299" s="2161"/>
      <c r="Y299" s="2161"/>
      <c r="Z299" s="2161"/>
      <c r="AA299" s="2161"/>
      <c r="AB299" s="2161"/>
      <c r="AC299" s="2161"/>
      <c r="AD299" s="2161"/>
      <c r="AE299" s="2161"/>
      <c r="AF299" s="2161"/>
      <c r="AG299" s="2161"/>
      <c r="AH299" s="2161"/>
      <c r="AI299" s="2161"/>
      <c r="AJ299" s="2161"/>
      <c r="AK299" s="2161"/>
      <c r="AL299" s="2161"/>
      <c r="AM299" s="2161"/>
      <c r="AN299" s="2161"/>
      <c r="AO299" s="2161"/>
      <c r="AP299" s="2161"/>
      <c r="AQ299" s="2161"/>
      <c r="AR299" s="2161"/>
      <c r="AS299" s="2161"/>
      <c r="AT299" s="2161"/>
      <c r="AU299" s="2161"/>
      <c r="AV299" s="2161"/>
      <c r="AW299" s="2161"/>
      <c r="AX299" s="2161"/>
      <c r="AY299" s="2161"/>
      <c r="AZ299" s="2161"/>
      <c r="BA299" s="2161"/>
      <c r="BB299" s="2161"/>
      <c r="BC299" s="2161"/>
      <c r="BD299" s="2161"/>
      <c r="BE299" s="2161"/>
      <c r="BF299" s="2161"/>
      <c r="BG299" s="2161"/>
      <c r="BH299" s="2161"/>
      <c r="BI299" s="2161"/>
    </row>
    <row r="300" spans="1:61" s="529" customFormat="1" ht="13.15" customHeight="1">
      <c r="B300" s="224"/>
      <c r="C300" s="2269"/>
      <c r="D300" s="2243"/>
      <c r="E300" s="2369" t="str">
        <f>E70</f>
        <v>Période chronique</v>
      </c>
      <c r="F300" s="2237"/>
      <c r="G300" s="526"/>
      <c r="H300" s="2161"/>
      <c r="I300" s="2161"/>
      <c r="J300" s="2161"/>
      <c r="K300" s="2161"/>
      <c r="L300" s="2161"/>
      <c r="M300" s="2161"/>
      <c r="N300" s="2161"/>
      <c r="O300" s="2161"/>
      <c r="P300" s="2161"/>
      <c r="Q300" s="2161"/>
      <c r="R300" s="2161"/>
      <c r="S300" s="2161"/>
      <c r="T300" s="2161"/>
      <c r="U300" s="2161"/>
      <c r="V300" s="2161"/>
      <c r="W300" s="2161"/>
      <c r="X300" s="2161"/>
      <c r="Y300" s="2161"/>
      <c r="Z300" s="2161"/>
      <c r="AA300" s="2161"/>
      <c r="AB300" s="2161"/>
      <c r="AC300" s="2161"/>
      <c r="AD300" s="2161"/>
      <c r="AE300" s="2161"/>
      <c r="AF300" s="2161"/>
      <c r="AG300" s="2161"/>
      <c r="AH300" s="2161"/>
      <c r="AI300" s="2161"/>
      <c r="AJ300" s="2161"/>
      <c r="AK300" s="2161"/>
      <c r="AL300" s="2161"/>
      <c r="AM300" s="2161"/>
      <c r="AN300" s="2161"/>
      <c r="AO300" s="2161"/>
      <c r="AP300" s="2161"/>
      <c r="AQ300" s="2161"/>
      <c r="AR300" s="2161"/>
      <c r="AS300" s="2161"/>
      <c r="AT300" s="2161"/>
      <c r="AU300" s="2161"/>
      <c r="AV300" s="2161"/>
      <c r="AW300" s="2161"/>
      <c r="AX300" s="2161"/>
      <c r="AY300" s="2161"/>
      <c r="AZ300" s="2161"/>
      <c r="BA300" s="2161"/>
      <c r="BB300" s="2161"/>
      <c r="BC300" s="2161"/>
      <c r="BD300" s="2161"/>
      <c r="BE300" s="2161"/>
      <c r="BF300" s="2161"/>
      <c r="BG300" s="2161"/>
      <c r="BH300" s="2161"/>
      <c r="BI300" s="2161"/>
    </row>
    <row r="301" spans="1:61" s="529" customFormat="1" ht="13.15" customHeight="1">
      <c r="B301" s="224"/>
      <c r="C301" s="2269"/>
      <c r="D301" s="2243"/>
      <c r="E301" s="2369"/>
      <c r="F301" s="2237"/>
      <c r="G301" s="526"/>
      <c r="H301" s="2161"/>
      <c r="I301" s="2161"/>
      <c r="J301" s="2161"/>
      <c r="K301" s="2161"/>
      <c r="L301" s="2161"/>
      <c r="M301" s="2161"/>
      <c r="N301" s="2161"/>
      <c r="O301" s="2161"/>
      <c r="P301" s="2161"/>
      <c r="Q301" s="2161"/>
      <c r="R301" s="2161"/>
      <c r="S301" s="2161"/>
      <c r="T301" s="2161"/>
      <c r="U301" s="2161"/>
      <c r="V301" s="2161"/>
      <c r="W301" s="2161"/>
      <c r="X301" s="2161"/>
      <c r="Y301" s="2161"/>
      <c r="Z301" s="2161"/>
      <c r="AA301" s="2161"/>
      <c r="AB301" s="2161"/>
      <c r="AC301" s="2161"/>
      <c r="AD301" s="2161"/>
      <c r="AE301" s="2161"/>
      <c r="AF301" s="2161"/>
      <c r="AG301" s="2161"/>
      <c r="AH301" s="2161"/>
      <c r="AI301" s="2161"/>
      <c r="AJ301" s="2161"/>
      <c r="AK301" s="2161"/>
      <c r="AL301" s="2161"/>
      <c r="AM301" s="2161"/>
      <c r="AN301" s="2161"/>
      <c r="AO301" s="2161"/>
      <c r="AP301" s="2161"/>
      <c r="AQ301" s="2161"/>
      <c r="AR301" s="2161"/>
      <c r="AS301" s="2161"/>
      <c r="AT301" s="2161"/>
      <c r="AU301" s="2161"/>
      <c r="AV301" s="2161"/>
      <c r="AW301" s="2161"/>
      <c r="AX301" s="2161"/>
      <c r="AY301" s="2161"/>
      <c r="AZ301" s="2161"/>
      <c r="BA301" s="2161"/>
      <c r="BB301" s="2161"/>
      <c r="BC301" s="2161"/>
      <c r="BD301" s="2161"/>
      <c r="BE301" s="2161"/>
      <c r="BF301" s="2161"/>
      <c r="BG301" s="2161"/>
      <c r="BH301" s="2161"/>
      <c r="BI301" s="2161"/>
    </row>
    <row r="302" spans="1:61">
      <c r="A302" s="2126"/>
      <c r="B302" s="2156"/>
      <c r="C302" s="2156"/>
      <c r="D302" s="2243"/>
      <c r="E302" s="525" t="str">
        <f t="shared" ref="E302:AJ302" si="273">E$17</f>
        <v>Durée d'exposition considérée</v>
      </c>
      <c r="F302" s="525" t="str">
        <f t="shared" si="273"/>
        <v>t</v>
      </c>
      <c r="G302" s="526" t="str">
        <f t="shared" si="273"/>
        <v>an</v>
      </c>
      <c r="H302" s="2224">
        <f t="shared" si="273"/>
        <v>7</v>
      </c>
      <c r="I302" s="2224">
        <f t="shared" si="273"/>
        <v>7</v>
      </c>
      <c r="J302" s="2224">
        <f t="shared" si="273"/>
        <v>7</v>
      </c>
      <c r="K302" s="2224">
        <f t="shared" si="273"/>
        <v>1</v>
      </c>
      <c r="L302" s="2224">
        <f t="shared" si="273"/>
        <v>1</v>
      </c>
      <c r="M302" s="2224">
        <f t="shared" si="273"/>
        <v>1</v>
      </c>
      <c r="N302" s="2224">
        <f t="shared" si="273"/>
        <v>1</v>
      </c>
      <c r="O302" s="2224">
        <f t="shared" si="273"/>
        <v>1</v>
      </c>
      <c r="P302" s="2224">
        <f t="shared" si="273"/>
        <v>1</v>
      </c>
      <c r="Q302" s="2224">
        <f t="shared" si="273"/>
        <v>1</v>
      </c>
      <c r="R302" s="2224">
        <f t="shared" si="273"/>
        <v>1</v>
      </c>
      <c r="S302" s="2224">
        <f t="shared" si="273"/>
        <v>1</v>
      </c>
      <c r="T302" s="2224">
        <f t="shared" si="273"/>
        <v>1</v>
      </c>
      <c r="U302" s="2224">
        <f t="shared" si="273"/>
        <v>1</v>
      </c>
      <c r="V302" s="2224">
        <f t="shared" si="273"/>
        <v>1</v>
      </c>
      <c r="W302" s="2224">
        <f t="shared" si="273"/>
        <v>1</v>
      </c>
      <c r="X302" s="2224">
        <f t="shared" si="273"/>
        <v>1</v>
      </c>
      <c r="Y302" s="2224">
        <f t="shared" si="273"/>
        <v>1</v>
      </c>
      <c r="Z302" s="2224">
        <f t="shared" si="273"/>
        <v>1</v>
      </c>
      <c r="AA302" s="2224">
        <f t="shared" si="273"/>
        <v>7</v>
      </c>
      <c r="AB302" s="2224">
        <f t="shared" si="273"/>
        <v>1</v>
      </c>
      <c r="AC302" s="2224">
        <f t="shared" si="273"/>
        <v>1</v>
      </c>
      <c r="AD302" s="2224">
        <f t="shared" si="273"/>
        <v>1</v>
      </c>
      <c r="AE302" s="2224">
        <f t="shared" si="273"/>
        <v>1</v>
      </c>
      <c r="AF302" s="2224">
        <f t="shared" si="273"/>
        <v>1</v>
      </c>
      <c r="AG302" s="2224">
        <f t="shared" si="273"/>
        <v>1</v>
      </c>
      <c r="AH302" s="2224">
        <f t="shared" si="273"/>
        <v>1</v>
      </c>
      <c r="AI302" s="2224">
        <f t="shared" si="273"/>
        <v>1</v>
      </c>
      <c r="AJ302" s="2224">
        <f t="shared" si="273"/>
        <v>1</v>
      </c>
      <c r="AK302" s="2224">
        <f t="shared" ref="AK302:BI302" si="274">AK$17</f>
        <v>1</v>
      </c>
      <c r="AL302" s="2224">
        <f t="shared" si="274"/>
        <v>1</v>
      </c>
      <c r="AM302" s="2224">
        <f t="shared" si="274"/>
        <v>1</v>
      </c>
      <c r="AN302" s="2224">
        <f t="shared" si="274"/>
        <v>7</v>
      </c>
      <c r="AO302" s="2224">
        <f t="shared" si="274"/>
        <v>1</v>
      </c>
      <c r="AP302" s="2224">
        <f t="shared" si="274"/>
        <v>1</v>
      </c>
      <c r="AQ302" s="2224">
        <f t="shared" si="274"/>
        <v>1</v>
      </c>
      <c r="AR302" s="2224">
        <f t="shared" si="274"/>
        <v>1</v>
      </c>
      <c r="AS302" s="2224">
        <f t="shared" si="274"/>
        <v>1</v>
      </c>
      <c r="AT302" s="2224">
        <f t="shared" si="274"/>
        <v>1</v>
      </c>
      <c r="AU302" s="2224">
        <f t="shared" si="274"/>
        <v>1</v>
      </c>
      <c r="AV302" s="2224">
        <f t="shared" si="274"/>
        <v>1</v>
      </c>
      <c r="AW302" s="2224">
        <f t="shared" si="274"/>
        <v>1</v>
      </c>
      <c r="AX302" s="2224">
        <f t="shared" si="274"/>
        <v>1</v>
      </c>
      <c r="AY302" s="2224">
        <f t="shared" si="274"/>
        <v>1</v>
      </c>
      <c r="AZ302" s="2224">
        <f t="shared" si="274"/>
        <v>1</v>
      </c>
      <c r="BA302" s="2224">
        <f t="shared" si="274"/>
        <v>1</v>
      </c>
      <c r="BB302" s="2224">
        <f t="shared" si="274"/>
        <v>1</v>
      </c>
      <c r="BC302" s="2224">
        <f t="shared" si="274"/>
        <v>1</v>
      </c>
      <c r="BD302" s="2224">
        <f t="shared" si="274"/>
        <v>1</v>
      </c>
      <c r="BE302" s="2224">
        <f t="shared" si="274"/>
        <v>1</v>
      </c>
      <c r="BF302" s="2224">
        <f t="shared" si="274"/>
        <v>1</v>
      </c>
      <c r="BG302" s="2224">
        <f t="shared" si="274"/>
        <v>1</v>
      </c>
      <c r="BH302" s="2224">
        <f t="shared" si="274"/>
        <v>1</v>
      </c>
      <c r="BI302" s="2224">
        <f t="shared" si="274"/>
        <v>7</v>
      </c>
    </row>
    <row r="303" spans="1:61" s="2216" customFormat="1" ht="13.15" customHeight="1">
      <c r="A303" s="2213"/>
      <c r="B303" s="2214"/>
      <c r="C303" s="2213"/>
      <c r="D303" s="2243"/>
      <c r="E303" s="2208" t="str">
        <f t="shared" ref="E303:AJ303" si="275">E18</f>
        <v>Durée d'exposition considérée</v>
      </c>
      <c r="F303" s="2208" t="str">
        <f t="shared" si="275"/>
        <v>t</v>
      </c>
      <c r="G303" s="2209" t="str">
        <f t="shared" si="275"/>
        <v>s</v>
      </c>
      <c r="H303" s="2161">
        <f t="shared" si="275"/>
        <v>220752000</v>
      </c>
      <c r="I303" s="2161">
        <f t="shared" si="275"/>
        <v>220752000</v>
      </c>
      <c r="J303" s="2161">
        <f t="shared" si="275"/>
        <v>220752000</v>
      </c>
      <c r="K303" s="2161">
        <f t="shared" si="275"/>
        <v>31536000</v>
      </c>
      <c r="L303" s="2161">
        <f t="shared" si="275"/>
        <v>31536000</v>
      </c>
      <c r="M303" s="2161">
        <f t="shared" si="275"/>
        <v>31536000</v>
      </c>
      <c r="N303" s="2161">
        <f t="shared" si="275"/>
        <v>31536000</v>
      </c>
      <c r="O303" s="2161">
        <f t="shared" si="275"/>
        <v>31536000</v>
      </c>
      <c r="P303" s="2161">
        <f t="shared" si="275"/>
        <v>31536000</v>
      </c>
      <c r="Q303" s="2161">
        <f t="shared" si="275"/>
        <v>31536000</v>
      </c>
      <c r="R303" s="2161">
        <f t="shared" si="275"/>
        <v>31536000</v>
      </c>
      <c r="S303" s="2161">
        <f t="shared" si="275"/>
        <v>31536000</v>
      </c>
      <c r="T303" s="2161">
        <f t="shared" si="275"/>
        <v>31536000</v>
      </c>
      <c r="U303" s="2161">
        <f t="shared" si="275"/>
        <v>31536000</v>
      </c>
      <c r="V303" s="2161">
        <f t="shared" si="275"/>
        <v>31536000</v>
      </c>
      <c r="W303" s="2161">
        <f t="shared" si="275"/>
        <v>31536000</v>
      </c>
      <c r="X303" s="2161">
        <f t="shared" si="275"/>
        <v>31536000</v>
      </c>
      <c r="Y303" s="2161">
        <f t="shared" si="275"/>
        <v>31536000</v>
      </c>
      <c r="Z303" s="2161">
        <f t="shared" si="275"/>
        <v>31536000</v>
      </c>
      <c r="AA303" s="2215">
        <f t="shared" si="275"/>
        <v>220752000</v>
      </c>
      <c r="AB303" s="2161">
        <f t="shared" si="275"/>
        <v>31536000</v>
      </c>
      <c r="AC303" s="2161">
        <f t="shared" si="275"/>
        <v>31536000</v>
      </c>
      <c r="AD303" s="2161">
        <f t="shared" si="275"/>
        <v>31536000</v>
      </c>
      <c r="AE303" s="2161">
        <f t="shared" si="275"/>
        <v>31536000</v>
      </c>
      <c r="AF303" s="2161">
        <f t="shared" si="275"/>
        <v>31536000</v>
      </c>
      <c r="AG303" s="2161">
        <f t="shared" si="275"/>
        <v>31536000</v>
      </c>
      <c r="AH303" s="2161">
        <f t="shared" si="275"/>
        <v>31536000</v>
      </c>
      <c r="AI303" s="2161">
        <f t="shared" si="275"/>
        <v>31536000</v>
      </c>
      <c r="AJ303" s="2161">
        <f t="shared" si="275"/>
        <v>31536000</v>
      </c>
      <c r="AK303" s="2161">
        <f t="shared" ref="AK303:BI303" si="276">AK18</f>
        <v>31536000</v>
      </c>
      <c r="AL303" s="2161">
        <f t="shared" si="276"/>
        <v>31536000</v>
      </c>
      <c r="AM303" s="2161">
        <f t="shared" si="276"/>
        <v>31536000</v>
      </c>
      <c r="AN303" s="2215">
        <f t="shared" si="276"/>
        <v>220752000</v>
      </c>
      <c r="AO303" s="2161">
        <f t="shared" si="276"/>
        <v>31536000</v>
      </c>
      <c r="AP303" s="2161">
        <f t="shared" si="276"/>
        <v>31536000</v>
      </c>
      <c r="AQ303" s="2161">
        <f t="shared" si="276"/>
        <v>31536000</v>
      </c>
      <c r="AR303" s="2161">
        <f t="shared" si="276"/>
        <v>31536000</v>
      </c>
      <c r="AS303" s="2161">
        <f t="shared" si="276"/>
        <v>31536000</v>
      </c>
      <c r="AT303" s="2161">
        <f t="shared" si="276"/>
        <v>31536000</v>
      </c>
      <c r="AU303" s="2161">
        <f t="shared" si="276"/>
        <v>31536000</v>
      </c>
      <c r="AV303" s="2161">
        <f t="shared" si="276"/>
        <v>31536000</v>
      </c>
      <c r="AW303" s="2161">
        <f t="shared" si="276"/>
        <v>31536000</v>
      </c>
      <c r="AX303" s="2161">
        <f t="shared" si="276"/>
        <v>31536000</v>
      </c>
      <c r="AY303" s="2161">
        <f t="shared" si="276"/>
        <v>31536000</v>
      </c>
      <c r="AZ303" s="2161">
        <f t="shared" si="276"/>
        <v>31536000</v>
      </c>
      <c r="BA303" s="2161">
        <f t="shared" si="276"/>
        <v>31536000</v>
      </c>
      <c r="BB303" s="2161">
        <f t="shared" si="276"/>
        <v>31536000</v>
      </c>
      <c r="BC303" s="2161">
        <f t="shared" si="276"/>
        <v>31536000</v>
      </c>
      <c r="BD303" s="2161">
        <f t="shared" si="276"/>
        <v>31536000</v>
      </c>
      <c r="BE303" s="2161">
        <f t="shared" si="276"/>
        <v>31536000</v>
      </c>
      <c r="BF303" s="2161">
        <f t="shared" si="276"/>
        <v>31536000</v>
      </c>
      <c r="BG303" s="2161">
        <f t="shared" si="276"/>
        <v>31536000</v>
      </c>
      <c r="BH303" s="2161">
        <f t="shared" si="276"/>
        <v>31536000</v>
      </c>
      <c r="BI303" s="2161">
        <f t="shared" si="276"/>
        <v>220752000</v>
      </c>
    </row>
    <row r="304" spans="1:61" ht="13.15" customHeight="1">
      <c r="A304" s="2149"/>
      <c r="B304" s="2150"/>
      <c r="C304" s="2151"/>
      <c r="D304" s="2243"/>
      <c r="E304" s="45" t="s">
        <v>579</v>
      </c>
      <c r="F304" s="2153" t="s">
        <v>1132</v>
      </c>
      <c r="G304" s="2154" t="str">
        <f>Sols!T35</f>
        <v>m3/m/Pa/s</v>
      </c>
      <c r="H304" s="2155">
        <f>Sols!$U15</f>
        <v>3.0472745960090518E-7</v>
      </c>
      <c r="I304" s="2155">
        <f>Sols!$U15</f>
        <v>3.0472745960090518E-7</v>
      </c>
      <c r="J304" s="2155">
        <f>Sols!$U15</f>
        <v>3.0472745960090518E-7</v>
      </c>
      <c r="K304" s="2155">
        <f>Sols!$U15</f>
        <v>3.0472745960090518E-7</v>
      </c>
      <c r="L304" s="2155">
        <f>Sols!$U15</f>
        <v>3.0472745960090518E-7</v>
      </c>
      <c r="M304" s="2155">
        <f>Sols!$U15</f>
        <v>3.0472745960090518E-7</v>
      </c>
      <c r="N304" s="2155">
        <f>Sols!$U15</f>
        <v>3.0472745960090518E-7</v>
      </c>
      <c r="O304" s="2155">
        <f>Sols!$U15</f>
        <v>3.0472745960090518E-7</v>
      </c>
      <c r="P304" s="2155">
        <f>Sols!$U15</f>
        <v>3.0472745960090518E-7</v>
      </c>
      <c r="Q304" s="2155">
        <f>Sols!$U15</f>
        <v>3.0472745960090518E-7</v>
      </c>
      <c r="R304" s="2155">
        <f>Sols!$U15</f>
        <v>3.0472745960090518E-7</v>
      </c>
      <c r="S304" s="2155">
        <f>Sols!$U15</f>
        <v>3.0472745960090518E-7</v>
      </c>
      <c r="T304" s="2155">
        <f>Sols!$U15</f>
        <v>3.0472745960090518E-7</v>
      </c>
      <c r="U304" s="2155">
        <f>Sols!$U15</f>
        <v>3.0472745960090518E-7</v>
      </c>
      <c r="V304" s="2155">
        <f>Sols!$U15</f>
        <v>3.0472745960090518E-7</v>
      </c>
      <c r="W304" s="2155">
        <f>Sols!$U15</f>
        <v>3.0472745960090518E-7</v>
      </c>
      <c r="X304" s="2155">
        <f>Sols!$U15</f>
        <v>3.0472745960090518E-7</v>
      </c>
      <c r="Y304" s="2155">
        <f>Sols!$U15</f>
        <v>3.0472745960090518E-7</v>
      </c>
      <c r="Z304" s="2155">
        <f>Sols!$U15</f>
        <v>3.0472745960090518E-7</v>
      </c>
      <c r="AA304" s="2155">
        <f>Sols!$U15</f>
        <v>3.0472745960090518E-7</v>
      </c>
      <c r="AB304" s="2155">
        <f>Sols!$U15</f>
        <v>3.0472745960090518E-7</v>
      </c>
      <c r="AC304" s="2155">
        <f>Sols!$U15</f>
        <v>3.0472745960090518E-7</v>
      </c>
      <c r="AD304" s="2155">
        <f>Sols!$U15</f>
        <v>3.0472745960090518E-7</v>
      </c>
      <c r="AE304" s="2155">
        <f>Sols!$U15</f>
        <v>3.0472745960090518E-7</v>
      </c>
      <c r="AF304" s="2155">
        <f>Sols!$U15</f>
        <v>3.0472745960090518E-7</v>
      </c>
      <c r="AG304" s="2155">
        <f>Sols!$U15</f>
        <v>3.0472745960090518E-7</v>
      </c>
      <c r="AH304" s="2155">
        <f>Sols!$U15</f>
        <v>3.0472745960090518E-7</v>
      </c>
      <c r="AI304" s="2155">
        <f>Sols!$U15</f>
        <v>3.0472745960090518E-7</v>
      </c>
      <c r="AJ304" s="2155">
        <f>Sols!$U15</f>
        <v>3.0472745960090518E-7</v>
      </c>
      <c r="AK304" s="2155">
        <f>Sols!$U15</f>
        <v>3.0472745960090518E-7</v>
      </c>
      <c r="AL304" s="2155">
        <f>Sols!$U15</f>
        <v>3.0472745960090518E-7</v>
      </c>
      <c r="AM304" s="2155">
        <f>Sols!$U15</f>
        <v>3.0472745960090518E-7</v>
      </c>
      <c r="AN304" s="2155">
        <f>Sols!$U15</f>
        <v>3.0472745960090518E-7</v>
      </c>
      <c r="AO304" s="2155">
        <f>Sols!$U15</f>
        <v>3.0472745960090518E-7</v>
      </c>
      <c r="AP304" s="2155">
        <f>Sols!$U15</f>
        <v>3.0472745960090518E-7</v>
      </c>
      <c r="AQ304" s="2155">
        <f>Sols!$U15</f>
        <v>3.0472745960090518E-7</v>
      </c>
      <c r="AR304" s="2155">
        <f>Sols!$U15</f>
        <v>3.0472745960090518E-7</v>
      </c>
      <c r="AS304" s="2155">
        <f>Sols!$U15</f>
        <v>3.0472745960090518E-7</v>
      </c>
      <c r="AT304" s="2155">
        <f>Sols!$U15</f>
        <v>3.0472745960090518E-7</v>
      </c>
      <c r="AU304" s="2155">
        <f>Sols!$U15</f>
        <v>3.0472745960090518E-7</v>
      </c>
      <c r="AV304" s="2155">
        <f>Sols!$U15</f>
        <v>3.0472745960090518E-7</v>
      </c>
      <c r="AW304" s="2155">
        <f>Sols!$U15</f>
        <v>3.0472745960090518E-7</v>
      </c>
      <c r="AX304" s="2155">
        <f>Sols!$U15</f>
        <v>3.0472745960090518E-7</v>
      </c>
      <c r="AY304" s="2155">
        <f>Sols!$U15</f>
        <v>3.0472745960090518E-7</v>
      </c>
      <c r="AZ304" s="2155">
        <f>Sols!$U15</f>
        <v>3.0472745960090518E-7</v>
      </c>
      <c r="BA304" s="2155">
        <f>Sols!$U15</f>
        <v>3.0472745960090518E-7</v>
      </c>
      <c r="BB304" s="2155">
        <f>Sols!$U15</f>
        <v>3.0472745960090518E-7</v>
      </c>
      <c r="BC304" s="2155">
        <f>Sols!$U15</f>
        <v>3.0472745960090518E-7</v>
      </c>
      <c r="BD304" s="2155">
        <f>Sols!$U15</f>
        <v>3.0472745960090518E-7</v>
      </c>
      <c r="BE304" s="2155">
        <f>Sols!$U15</f>
        <v>3.0472745960090518E-7</v>
      </c>
      <c r="BF304" s="2155">
        <f>Sols!$U15</f>
        <v>3.0472745960090518E-7</v>
      </c>
      <c r="BG304" s="2155">
        <f>Sols!$U15</f>
        <v>3.0472745960090518E-7</v>
      </c>
      <c r="BH304" s="2155">
        <f>Sols!$U15</f>
        <v>3.0472745960090518E-7</v>
      </c>
      <c r="BI304" s="2155">
        <f>Sols!$U15</f>
        <v>3.0472745960090518E-7</v>
      </c>
    </row>
    <row r="305" spans="1:61" s="529" customFormat="1" ht="13.15" customHeight="1">
      <c r="B305" s="224"/>
      <c r="C305" s="2269"/>
      <c r="D305" s="2243"/>
      <c r="E305" s="2369"/>
      <c r="F305" s="2237"/>
      <c r="G305" s="526"/>
      <c r="H305" s="2161"/>
      <c r="I305" s="2161"/>
      <c r="J305" s="2161"/>
      <c r="K305" s="2161"/>
      <c r="L305" s="2161"/>
      <c r="M305" s="2161"/>
      <c r="N305" s="2161"/>
      <c r="O305" s="2161"/>
      <c r="P305" s="2161"/>
      <c r="Q305" s="2161"/>
      <c r="R305" s="2161"/>
      <c r="S305" s="2161"/>
      <c r="T305" s="2161"/>
      <c r="U305" s="2161"/>
      <c r="V305" s="2161"/>
      <c r="W305" s="2161"/>
      <c r="X305" s="2161"/>
      <c r="Y305" s="2161"/>
      <c r="Z305" s="2161"/>
      <c r="AA305" s="2161"/>
      <c r="AB305" s="2161"/>
      <c r="AC305" s="2161"/>
      <c r="AD305" s="2161"/>
      <c r="AE305" s="2161"/>
      <c r="AF305" s="2161"/>
      <c r="AG305" s="2161"/>
      <c r="AH305" s="2161"/>
      <c r="AI305" s="2161"/>
      <c r="AJ305" s="2161"/>
      <c r="AK305" s="2161"/>
      <c r="AL305" s="2161"/>
      <c r="AM305" s="2161"/>
      <c r="AN305" s="2161"/>
      <c r="AO305" s="2161"/>
      <c r="AP305" s="2161"/>
      <c r="AQ305" s="2161"/>
      <c r="AR305" s="2161"/>
      <c r="AS305" s="2161"/>
      <c r="AT305" s="2161"/>
      <c r="AU305" s="2161"/>
      <c r="AV305" s="2161"/>
      <c r="AW305" s="2161"/>
      <c r="AX305" s="2161"/>
      <c r="AY305" s="2161"/>
      <c r="AZ305" s="2161"/>
      <c r="BA305" s="2161"/>
      <c r="BB305" s="2161"/>
      <c r="BC305" s="2161"/>
      <c r="BD305" s="2161"/>
      <c r="BE305" s="2161"/>
      <c r="BF305" s="2161"/>
      <c r="BG305" s="2161"/>
      <c r="BH305" s="2161"/>
      <c r="BI305" s="2161"/>
    </row>
    <row r="306" spans="1:61" s="529" customFormat="1" ht="13.15" customHeight="1">
      <c r="B306" s="224"/>
      <c r="C306" s="2269"/>
      <c r="D306" s="2243"/>
      <c r="E306" s="3667" t="s">
        <v>1143</v>
      </c>
      <c r="F306" s="2237"/>
      <c r="G306" s="526"/>
      <c r="H306" s="2161"/>
      <c r="I306" s="2161"/>
      <c r="J306" s="2161"/>
      <c r="K306" s="2161"/>
      <c r="L306" s="2161"/>
      <c r="M306" s="2161"/>
      <c r="N306" s="2161"/>
      <c r="O306" s="2161"/>
      <c r="P306" s="2161"/>
      <c r="Q306" s="2161"/>
      <c r="R306" s="2161"/>
      <c r="S306" s="2161"/>
      <c r="T306" s="2161"/>
      <c r="U306" s="2161"/>
      <c r="V306" s="2161"/>
      <c r="W306" s="2161"/>
      <c r="X306" s="2161"/>
      <c r="Y306" s="2161"/>
      <c r="Z306" s="2161"/>
      <c r="AA306" s="2161"/>
      <c r="AB306" s="2161"/>
      <c r="AC306" s="2161"/>
      <c r="AD306" s="2161"/>
      <c r="AE306" s="2161"/>
      <c r="AF306" s="2161"/>
      <c r="AG306" s="2161"/>
      <c r="AH306" s="2161"/>
      <c r="AI306" s="2161"/>
      <c r="AJ306" s="2161"/>
      <c r="AK306" s="2161"/>
      <c r="AL306" s="2161"/>
      <c r="AM306" s="2161"/>
      <c r="AN306" s="2161"/>
      <c r="AO306" s="2161"/>
      <c r="AP306" s="2161"/>
      <c r="AQ306" s="2161"/>
      <c r="AR306" s="2161"/>
      <c r="AS306" s="2161"/>
      <c r="AT306" s="2161"/>
      <c r="AU306" s="2161"/>
      <c r="AV306" s="2161"/>
      <c r="AW306" s="2161"/>
      <c r="AX306" s="2161"/>
      <c r="AY306" s="2161"/>
      <c r="AZ306" s="2161"/>
      <c r="BA306" s="2161"/>
      <c r="BB306" s="2161"/>
      <c r="BC306" s="2161"/>
      <c r="BD306" s="2161"/>
      <c r="BE306" s="2161"/>
      <c r="BF306" s="2161"/>
      <c r="BG306" s="2161"/>
      <c r="BH306" s="2161"/>
      <c r="BI306" s="2161"/>
    </row>
    <row r="307" spans="1:61" s="2274" customFormat="1" ht="13.15" customHeight="1">
      <c r="A307" s="2270"/>
      <c r="B307" s="2271"/>
      <c r="C307" s="2272"/>
      <c r="D307" s="2243"/>
      <c r="E307" s="3655" t="s">
        <v>297</v>
      </c>
      <c r="F307" s="2225" t="s">
        <v>1131</v>
      </c>
      <c r="G307" s="2226" t="s">
        <v>73</v>
      </c>
      <c r="H307" s="2273">
        <f t="shared" ref="H307:AM307" si="277">(2*H304*H13*H211/H14*H303+(H41+H304*H223)^2)^0.5-H304*H223</f>
        <v>0.93224883782186008</v>
      </c>
      <c r="I307" s="2273">
        <f t="shared" si="277"/>
        <v>0.93224883782186008</v>
      </c>
      <c r="J307" s="2273">
        <f t="shared" si="277"/>
        <v>2.4504680986035599</v>
      </c>
      <c r="K307" s="2273">
        <f t="shared" si="277"/>
        <v>14.012465036618465</v>
      </c>
      <c r="L307" s="2273">
        <f t="shared" si="277"/>
        <v>6.0358785442563425</v>
      </c>
      <c r="M307" s="2273">
        <f t="shared" si="277"/>
        <v>6.0358785442563425</v>
      </c>
      <c r="N307" s="2273">
        <f t="shared" si="277"/>
        <v>8.4931370941090218</v>
      </c>
      <c r="O307" s="2273">
        <f t="shared" si="277"/>
        <v>8.4931370941090218</v>
      </c>
      <c r="P307" s="2273">
        <f t="shared" si="277"/>
        <v>8.8759966800926939</v>
      </c>
      <c r="Q307" s="2273">
        <f t="shared" si="277"/>
        <v>8.8759966800926939</v>
      </c>
      <c r="R307" s="2273">
        <f t="shared" si="277"/>
        <v>5.6126507671476906</v>
      </c>
      <c r="S307" s="2273">
        <f t="shared" si="277"/>
        <v>5.4351118808576491</v>
      </c>
      <c r="T307" s="2273">
        <f t="shared" si="277"/>
        <v>5.4351118808576491</v>
      </c>
      <c r="U307" s="2273">
        <f t="shared" si="277"/>
        <v>11.840487349093948</v>
      </c>
      <c r="V307" s="2273">
        <f t="shared" si="277"/>
        <v>15.159794964658312</v>
      </c>
      <c r="W307" s="2273">
        <f t="shared" si="277"/>
        <v>15.159794964658312</v>
      </c>
      <c r="X307" s="2273">
        <f t="shared" si="277"/>
        <v>6.6171137734665999</v>
      </c>
      <c r="Y307" s="2273">
        <f t="shared" si="277"/>
        <v>5.5019687017575443</v>
      </c>
      <c r="Z307" s="2273">
        <f t="shared" si="277"/>
        <v>4.2247511386590997</v>
      </c>
      <c r="AA307" s="2273">
        <f t="shared" si="277"/>
        <v>9.2024522842271743</v>
      </c>
      <c r="AB307" s="2273">
        <f t="shared" si="277"/>
        <v>3.6747482779731615</v>
      </c>
      <c r="AC307" s="2273">
        <f t="shared" si="277"/>
        <v>1.6009112022299632</v>
      </c>
      <c r="AD307" s="2273">
        <f t="shared" si="277"/>
        <v>0.6864389115248124</v>
      </c>
      <c r="AE307" s="2273">
        <f t="shared" si="277"/>
        <v>0.21881858416099922</v>
      </c>
      <c r="AF307" s="2273">
        <f t="shared" si="277"/>
        <v>3.2121322946629047E-3</v>
      </c>
      <c r="AG307" s="2273">
        <f t="shared" si="277"/>
        <v>17.776753287161945</v>
      </c>
      <c r="AH307" s="2273">
        <f t="shared" si="277"/>
        <v>15.376694363083754</v>
      </c>
      <c r="AI307" s="2273">
        <f t="shared" si="277"/>
        <v>9.7904175498435624</v>
      </c>
      <c r="AJ307" s="2273">
        <f t="shared" si="277"/>
        <v>4.7559464310587494</v>
      </c>
      <c r="AK307" s="2273">
        <f t="shared" si="277"/>
        <v>2.2497432508316568</v>
      </c>
      <c r="AL307" s="2273">
        <f t="shared" si="277"/>
        <v>0.59107894681499318</v>
      </c>
      <c r="AM307" s="2273">
        <f t="shared" si="277"/>
        <v>2.5657896425340963E-2</v>
      </c>
      <c r="AN307" s="2273">
        <f t="shared" ref="AN307:BI307" si="278">(2*AN304*AN13*AN211/AN14*AN303+(AN41+AN304*AN223)^2)^0.5-AN304*AN223</f>
        <v>1.1982344890885093</v>
      </c>
      <c r="AO307" s="2273">
        <f t="shared" si="278"/>
        <v>0.2071837757034965</v>
      </c>
      <c r="AP307" s="2273">
        <f t="shared" si="278"/>
        <v>0.27819927913385528</v>
      </c>
      <c r="AQ307" s="2273">
        <f t="shared" si="278"/>
        <v>0.16461184763154252</v>
      </c>
      <c r="AR307" s="2273">
        <f t="shared" si="278"/>
        <v>5.8088401892143822E-2</v>
      </c>
      <c r="AS307" s="2273">
        <f t="shared" si="278"/>
        <v>6.9405661911265348E-2</v>
      </c>
      <c r="AT307" s="2273">
        <f t="shared" si="278"/>
        <v>8.491241455553751E-3</v>
      </c>
      <c r="AU307" s="2273">
        <f t="shared" si="278"/>
        <v>8.1955637955208674E-3</v>
      </c>
      <c r="AV307" s="2273">
        <f t="shared" si="278"/>
        <v>1.4142636865225808E-3</v>
      </c>
      <c r="AW307" s="2273">
        <f t="shared" si="278"/>
        <v>1.3635920911815522E-3</v>
      </c>
      <c r="AX307" s="2273">
        <f t="shared" si="278"/>
        <v>4.8768702300423794E-5</v>
      </c>
      <c r="AY307" s="2273">
        <f t="shared" si="278"/>
        <v>3.347603872810162E-5</v>
      </c>
      <c r="AZ307" s="2273">
        <f t="shared" si="278"/>
        <v>2.2357752033741463E-5</v>
      </c>
      <c r="BA307" s="2273">
        <f t="shared" si="278"/>
        <v>3.8622871667143288E-6</v>
      </c>
      <c r="BB307" s="2273">
        <f t="shared" si="278"/>
        <v>6.1110288414281677E-5</v>
      </c>
      <c r="BC307" s="2273">
        <f t="shared" si="278"/>
        <v>1.624618495288388E-11</v>
      </c>
      <c r="BD307" s="2273">
        <f t="shared" si="278"/>
        <v>3.9565202227431005E-2</v>
      </c>
      <c r="BE307" s="2273">
        <f t="shared" si="278"/>
        <v>1.2836572416486253E-3</v>
      </c>
      <c r="BF307" s="2273">
        <f t="shared" si="278"/>
        <v>1.2836572416486253E-3</v>
      </c>
      <c r="BG307" s="2273">
        <f t="shared" si="278"/>
        <v>13.860516341045496</v>
      </c>
      <c r="BH307" s="2273">
        <f t="shared" si="278"/>
        <v>4.8863850209885977E-2</v>
      </c>
      <c r="BI307" s="2273">
        <f t="shared" si="278"/>
        <v>0.54824673317189843</v>
      </c>
    </row>
    <row r="308" spans="1:61" s="2244" customFormat="1" ht="27" customHeight="1">
      <c r="A308" s="2241"/>
      <c r="B308" s="276"/>
      <c r="C308" s="2242"/>
      <c r="D308" s="2243"/>
      <c r="E308" s="3655" t="s">
        <v>610</v>
      </c>
      <c r="F308" s="2153" t="s">
        <v>138</v>
      </c>
      <c r="G308" s="2154" t="s">
        <v>139</v>
      </c>
      <c r="H308" s="2155">
        <f t="shared" ref="H308:AM308" si="279">1000*H14/H13*(H307-H41)/H303</f>
        <v>2.4044826788809284E-3</v>
      </c>
      <c r="I308" s="2155">
        <f t="shared" si="279"/>
        <v>2.4044826788809284E-3</v>
      </c>
      <c r="J308" s="2155">
        <f t="shared" si="279"/>
        <v>9.6277212287210526E-4</v>
      </c>
      <c r="K308" s="2155">
        <f t="shared" si="279"/>
        <v>1.7296762559157746E-4</v>
      </c>
      <c r="L308" s="2155">
        <f t="shared" si="279"/>
        <v>3.9849971027630475E-4</v>
      </c>
      <c r="M308" s="2155">
        <f t="shared" si="279"/>
        <v>3.9849971027630475E-4</v>
      </c>
      <c r="N308" s="2155">
        <f t="shared" si="279"/>
        <v>2.8430203650653884E-4</v>
      </c>
      <c r="O308" s="2155">
        <f t="shared" si="279"/>
        <v>2.8430203650653884E-4</v>
      </c>
      <c r="P308" s="2155">
        <f t="shared" si="279"/>
        <v>2.7215061092677068E-4</v>
      </c>
      <c r="Q308" s="2155">
        <f t="shared" si="279"/>
        <v>2.7215061092677068E-4</v>
      </c>
      <c r="R308" s="2155">
        <f t="shared" si="279"/>
        <v>4.2811830084680933E-4</v>
      </c>
      <c r="S308" s="2155">
        <f t="shared" si="279"/>
        <v>4.4189596984817972E-4</v>
      </c>
      <c r="T308" s="2155">
        <f t="shared" si="279"/>
        <v>4.4189596984817972E-4</v>
      </c>
      <c r="U308" s="2155">
        <f t="shared" si="279"/>
        <v>2.0447899757578556E-4</v>
      </c>
      <c r="V308" s="2155">
        <f t="shared" si="279"/>
        <v>1.5994711600601411E-4</v>
      </c>
      <c r="W308" s="2155">
        <f t="shared" si="279"/>
        <v>1.5994711600601411E-4</v>
      </c>
      <c r="X308" s="2155">
        <f t="shared" si="279"/>
        <v>3.6392269504078169E-4</v>
      </c>
      <c r="Y308" s="2155">
        <f t="shared" si="279"/>
        <v>4.3660478811228506E-4</v>
      </c>
      <c r="Z308" s="2155">
        <f t="shared" si="279"/>
        <v>5.660966142209871E-4</v>
      </c>
      <c r="AA308" s="2155">
        <f t="shared" si="279"/>
        <v>2.625809812743156E-4</v>
      </c>
      <c r="AB308" s="2155">
        <f t="shared" si="279"/>
        <v>6.4898388514527457E-4</v>
      </c>
      <c r="AC308" s="2155">
        <f t="shared" si="279"/>
        <v>1.4489038478718503E-3</v>
      </c>
      <c r="AD308" s="2155">
        <f t="shared" si="279"/>
        <v>3.1740187444272653E-3</v>
      </c>
      <c r="AE308" s="2155">
        <f t="shared" si="279"/>
        <v>8.114319672672031E-3</v>
      </c>
      <c r="AF308" s="2155">
        <f t="shared" si="279"/>
        <v>2.8738447349157793E-2</v>
      </c>
      <c r="AG308" s="2155">
        <f t="shared" si="279"/>
        <v>1.3650852891479662E-4</v>
      </c>
      <c r="AH308" s="2155">
        <f t="shared" si="279"/>
        <v>1.5770285818350594E-4</v>
      </c>
      <c r="AI308" s="2155">
        <f t="shared" si="279"/>
        <v>2.4694200470546653E-4</v>
      </c>
      <c r="AJ308" s="2155">
        <f t="shared" si="279"/>
        <v>5.0393558155918574E-4</v>
      </c>
      <c r="AK308" s="2155">
        <f t="shared" si="279"/>
        <v>1.0456646732535132E-3</v>
      </c>
      <c r="AL308" s="2155">
        <f t="shared" si="279"/>
        <v>3.6239618574850441E-3</v>
      </c>
      <c r="AM308" s="2155">
        <f t="shared" si="279"/>
        <v>2.2725257337781534E-2</v>
      </c>
      <c r="AN308" s="2155">
        <f t="shared" ref="AN308:BI308" si="280">1000*AN14/AN13*(AN307-AN41)/AN303</f>
        <v>1.9047695829928621E-3</v>
      </c>
      <c r="AO308" s="2155">
        <f t="shared" si="280"/>
        <v>8.4412197156394399E-3</v>
      </c>
      <c r="AP308" s="2155">
        <f t="shared" si="280"/>
        <v>6.7752037565753818E-3</v>
      </c>
      <c r="AQ308" s="2155">
        <f t="shared" si="280"/>
        <v>9.9006787737398096E-3</v>
      </c>
      <c r="AR308" s="2155">
        <f t="shared" si="280"/>
        <v>1.7449881261178322E-2</v>
      </c>
      <c r="AS308" s="2155">
        <f t="shared" si="280"/>
        <v>1.6142219454363872E-2</v>
      </c>
      <c r="AT308" s="2155">
        <f t="shared" si="280"/>
        <v>2.7054743203704885E-2</v>
      </c>
      <c r="AU308" s="2155">
        <f t="shared" si="280"/>
        <v>2.7143813153535149E-2</v>
      </c>
      <c r="AV308" s="2155">
        <f t="shared" si="280"/>
        <v>2.936072828486341E-2</v>
      </c>
      <c r="AW308" s="2155">
        <f t="shared" si="280"/>
        <v>2.937865752029763E-2</v>
      </c>
      <c r="AX308" s="2155">
        <f t="shared" si="280"/>
        <v>2.9851663163235391E-2</v>
      </c>
      <c r="AY308" s="2155">
        <f t="shared" si="280"/>
        <v>2.9857254297938854E-2</v>
      </c>
      <c r="AZ308" s="2155">
        <f t="shared" si="280"/>
        <v>2.9861320558151317E-2</v>
      </c>
      <c r="BA308" s="2155">
        <f t="shared" si="280"/>
        <v>2.9868087307597612E-2</v>
      </c>
      <c r="BB308" s="2155">
        <f t="shared" si="280"/>
        <v>2.9847152495501614E-2</v>
      </c>
      <c r="BC308" s="2155">
        <f t="shared" si="280"/>
        <v>2.9869507588982425E-2</v>
      </c>
      <c r="BD308" s="2155">
        <f t="shared" si="280"/>
        <v>2.0117196627009198E-2</v>
      </c>
      <c r="BE308" s="2155">
        <f t="shared" si="280"/>
        <v>2.9406985593692658E-2</v>
      </c>
      <c r="BF308" s="2155">
        <f t="shared" si="280"/>
        <v>2.9406985593692658E-2</v>
      </c>
      <c r="BG308" s="2155">
        <f t="shared" si="280"/>
        <v>1.7485271784586272E-4</v>
      </c>
      <c r="BH308" s="2155">
        <f t="shared" si="280"/>
        <v>1.8683540891411454E-2</v>
      </c>
      <c r="BI308" s="2155">
        <f t="shared" si="280"/>
        <v>3.8704002934966467E-3</v>
      </c>
    </row>
    <row r="309" spans="1:61" s="2244" customFormat="1" ht="27" customHeight="1">
      <c r="A309" s="2241"/>
      <c r="B309" s="276"/>
      <c r="C309" s="2242"/>
      <c r="D309" s="2243"/>
      <c r="E309" s="3655" t="s">
        <v>611</v>
      </c>
      <c r="F309" s="2153" t="s">
        <v>138</v>
      </c>
      <c r="G309" s="2154" t="s">
        <v>139</v>
      </c>
      <c r="H309" s="2161">
        <f t="shared" ref="H309:AL309" si="281">MIN(H308,H$19)</f>
        <v>2.4044826788809284E-3</v>
      </c>
      <c r="I309" s="2161">
        <f t="shared" si="281"/>
        <v>2.4044826788809284E-3</v>
      </c>
      <c r="J309" s="2161">
        <f>MIN(J308,J$19)</f>
        <v>9.6277212287210526E-4</v>
      </c>
      <c r="K309" s="2161">
        <f t="shared" si="281"/>
        <v>3.7031519823149957E-5</v>
      </c>
      <c r="L309" s="2161">
        <f t="shared" si="281"/>
        <v>1.9806547167297369E-4</v>
      </c>
      <c r="M309" s="2161">
        <f t="shared" si="281"/>
        <v>1.9806547167297369E-4</v>
      </c>
      <c r="N309" s="2161">
        <f>MIN(N308,N$19)</f>
        <v>1.0042297681868412E-4</v>
      </c>
      <c r="O309" s="2161">
        <f>MIN(O308,O$19)</f>
        <v>1.0042297681868412E-4</v>
      </c>
      <c r="P309" s="2161">
        <f t="shared" si="281"/>
        <v>9.1984242694848056E-5</v>
      </c>
      <c r="Q309" s="2161">
        <f t="shared" si="281"/>
        <v>9.1984242694848056E-5</v>
      </c>
      <c r="R309" s="2161">
        <f>MIN(R308,R$19)</f>
        <v>2.2883214292577979E-4</v>
      </c>
      <c r="S309" s="2161">
        <f>MIN(S308,S$19)</f>
        <v>2.4391179769704181E-4</v>
      </c>
      <c r="T309" s="2161">
        <f>MIN(T308,T$19)</f>
        <v>2.4391179769704181E-4</v>
      </c>
      <c r="U309" s="2161">
        <f t="shared" si="281"/>
        <v>5.1808424319147455E-5</v>
      </c>
      <c r="V309" s="2161">
        <f t="shared" si="281"/>
        <v>3.1652232047774111E-5</v>
      </c>
      <c r="W309" s="2161">
        <f t="shared" si="281"/>
        <v>3.1652232047774111E-5</v>
      </c>
      <c r="X309" s="2161">
        <f t="shared" si="281"/>
        <v>1.6499158432187349E-4</v>
      </c>
      <c r="Y309" s="2161">
        <f t="shared" si="281"/>
        <v>2.3806285265098821E-4</v>
      </c>
      <c r="Z309" s="2161">
        <f t="shared" si="281"/>
        <v>4.0198577074103924E-4</v>
      </c>
      <c r="AA309" s="2161">
        <f t="shared" si="281"/>
        <v>8.5601415741445673E-5</v>
      </c>
      <c r="AB309" s="2161">
        <f t="shared" si="281"/>
        <v>5.2981905375833833E-4</v>
      </c>
      <c r="AC309" s="2161">
        <f t="shared" si="281"/>
        <v>1.4489038478718503E-3</v>
      </c>
      <c r="AD309" s="2161">
        <f t="shared" si="281"/>
        <v>3.1740187444272653E-3</v>
      </c>
      <c r="AE309" s="2161">
        <f t="shared" si="281"/>
        <v>8.114319672672031E-3</v>
      </c>
      <c r="AF309" s="2161">
        <f t="shared" si="281"/>
        <v>2.8738447349157793E-2</v>
      </c>
      <c r="AG309" s="2161">
        <f t="shared" si="281"/>
        <v>2.3037141829500553E-5</v>
      </c>
      <c r="AH309" s="2161">
        <f t="shared" si="281"/>
        <v>3.0767898703010778E-5</v>
      </c>
      <c r="AI309" s="2161">
        <f t="shared" si="281"/>
        <v>7.5668479954487443E-5</v>
      </c>
      <c r="AJ309" s="2161">
        <f t="shared" si="281"/>
        <v>3.1787716001271374E-4</v>
      </c>
      <c r="AK309" s="2161">
        <f t="shared" si="281"/>
        <v>1.0456646732535132E-3</v>
      </c>
      <c r="AL309" s="2161">
        <f t="shared" si="281"/>
        <v>3.6239618574850441E-3</v>
      </c>
      <c r="AM309" s="2161">
        <f t="shared" ref="AM309:BI309" si="282">MIN(AM308,AM$19)</f>
        <v>2.2725257337781534E-2</v>
      </c>
      <c r="AN309" s="2161">
        <f t="shared" si="282"/>
        <v>1.9047695829928621E-3</v>
      </c>
      <c r="AO309" s="2161">
        <f t="shared" si="282"/>
        <v>8.4412197156394399E-3</v>
      </c>
      <c r="AP309" s="2161">
        <f t="shared" si="282"/>
        <v>6.7752037565753818E-3</v>
      </c>
      <c r="AQ309" s="2161">
        <f t="shared" si="282"/>
        <v>9.9006787737398096E-3</v>
      </c>
      <c r="AR309" s="2161">
        <f t="shared" si="282"/>
        <v>1.7449881261178322E-2</v>
      </c>
      <c r="AS309" s="2161">
        <f t="shared" si="282"/>
        <v>1.6142219454363872E-2</v>
      </c>
      <c r="AT309" s="2161">
        <f t="shared" si="282"/>
        <v>2.7054743203704885E-2</v>
      </c>
      <c r="AU309" s="2161">
        <f t="shared" si="282"/>
        <v>2.7143813153535149E-2</v>
      </c>
      <c r="AV309" s="2161">
        <f t="shared" si="282"/>
        <v>2.936072828486341E-2</v>
      </c>
      <c r="AW309" s="2161">
        <f t="shared" si="282"/>
        <v>2.937865752029763E-2</v>
      </c>
      <c r="AX309" s="2161">
        <f t="shared" si="282"/>
        <v>2.9851663163235391E-2</v>
      </c>
      <c r="AY309" s="2161">
        <f t="shared" si="282"/>
        <v>2.9857254297938854E-2</v>
      </c>
      <c r="AZ309" s="2161">
        <f t="shared" si="282"/>
        <v>2.9861320558151317E-2</v>
      </c>
      <c r="BA309" s="2161">
        <f t="shared" si="282"/>
        <v>2.9868087307597612E-2</v>
      </c>
      <c r="BB309" s="2161">
        <f t="shared" si="282"/>
        <v>2.9847152495501614E-2</v>
      </c>
      <c r="BC309" s="2161">
        <f t="shared" si="282"/>
        <v>2.9869507588982425E-2</v>
      </c>
      <c r="BD309" s="2161">
        <f t="shared" si="282"/>
        <v>2.0117196627009198E-2</v>
      </c>
      <c r="BE309" s="2161">
        <f t="shared" si="282"/>
        <v>2.9406985593692658E-2</v>
      </c>
      <c r="BF309" s="2161">
        <f t="shared" si="282"/>
        <v>2.9406985593692658E-2</v>
      </c>
      <c r="BG309" s="2161">
        <f t="shared" si="282"/>
        <v>3.7845498726782705E-5</v>
      </c>
      <c r="BH309" s="2161">
        <f t="shared" si="282"/>
        <v>1.8683540891411454E-2</v>
      </c>
      <c r="BI309" s="2161">
        <f t="shared" si="282"/>
        <v>3.8704002934966467E-3</v>
      </c>
    </row>
    <row r="310" spans="1:61" s="2368" customFormat="1" ht="13.15" hidden="1" customHeight="1">
      <c r="A310" s="2360"/>
      <c r="B310" s="2361"/>
      <c r="C310" s="2362"/>
      <c r="D310" s="2373"/>
      <c r="E310" s="3662" t="s">
        <v>307</v>
      </c>
      <c r="F310" s="2363" t="s">
        <v>300</v>
      </c>
      <c r="G310" s="2364" t="s">
        <v>35</v>
      </c>
      <c r="H310" s="2365">
        <f t="shared" ref="H310:AL310" si="283">H$234/H309</f>
        <v>3.2180249288476555</v>
      </c>
      <c r="I310" s="2366">
        <f t="shared" si="283"/>
        <v>3.2180249288476555</v>
      </c>
      <c r="J310" s="2365">
        <f>J$234/J309</f>
        <v>1.2242558887869628</v>
      </c>
      <c r="K310" s="2367">
        <f t="shared" si="283"/>
        <v>1</v>
      </c>
      <c r="L310" s="2367">
        <f t="shared" si="283"/>
        <v>1</v>
      </c>
      <c r="M310" s="2365">
        <f t="shared" si="283"/>
        <v>1</v>
      </c>
      <c r="N310" s="2367">
        <f>N$234/N309</f>
        <v>1</v>
      </c>
      <c r="O310" s="2365">
        <f>O$234/O309</f>
        <v>1</v>
      </c>
      <c r="P310" s="2367">
        <f t="shared" si="283"/>
        <v>1</v>
      </c>
      <c r="Q310" s="2365">
        <f t="shared" si="283"/>
        <v>1</v>
      </c>
      <c r="R310" s="2365">
        <f>R$234/R309</f>
        <v>1</v>
      </c>
      <c r="S310" s="2367">
        <f>S$234/S309</f>
        <v>1</v>
      </c>
      <c r="T310" s="2365">
        <f>T$234/T309</f>
        <v>1</v>
      </c>
      <c r="U310" s="2367">
        <f t="shared" si="283"/>
        <v>1</v>
      </c>
      <c r="V310" s="2367">
        <f t="shared" si="283"/>
        <v>1</v>
      </c>
      <c r="W310" s="2365">
        <f t="shared" si="283"/>
        <v>1</v>
      </c>
      <c r="X310" s="2365">
        <f t="shared" si="283"/>
        <v>1</v>
      </c>
      <c r="Y310" s="2365">
        <f t="shared" si="283"/>
        <v>1</v>
      </c>
      <c r="Z310" s="2365">
        <f t="shared" si="283"/>
        <v>1</v>
      </c>
      <c r="AA310" s="2365">
        <f t="shared" si="283"/>
        <v>1</v>
      </c>
      <c r="AB310" s="2365">
        <f t="shared" si="283"/>
        <v>1</v>
      </c>
      <c r="AC310" s="2365">
        <f t="shared" si="283"/>
        <v>1.873932792662828</v>
      </c>
      <c r="AD310" s="2365">
        <f t="shared" si="283"/>
        <v>4.3703816168229563</v>
      </c>
      <c r="AE310" s="2365">
        <f t="shared" si="283"/>
        <v>3.6810850392517094</v>
      </c>
      <c r="AF310" s="2365">
        <f t="shared" si="283"/>
        <v>1.0393568026789797</v>
      </c>
      <c r="AG310" s="2365">
        <f t="shared" si="283"/>
        <v>1</v>
      </c>
      <c r="AH310" s="2365">
        <f t="shared" si="283"/>
        <v>1</v>
      </c>
      <c r="AI310" s="2365">
        <f t="shared" si="283"/>
        <v>1</v>
      </c>
      <c r="AJ310" s="2365">
        <f t="shared" si="283"/>
        <v>1</v>
      </c>
      <c r="AK310" s="2365">
        <f t="shared" si="283"/>
        <v>1.333485498352311</v>
      </c>
      <c r="AL310" s="2365">
        <f t="shared" si="283"/>
        <v>5.0754641425910831</v>
      </c>
      <c r="AM310" s="2365">
        <f t="shared" ref="AM310:BI310" si="284">AM$234/AM309</f>
        <v>1.3143745880104845</v>
      </c>
      <c r="AN310" s="2365">
        <f t="shared" si="284"/>
        <v>2.5036835672140305</v>
      </c>
      <c r="AO310" s="2365">
        <f t="shared" si="284"/>
        <v>3.5385289990068887</v>
      </c>
      <c r="AP310" s="2365">
        <f t="shared" si="284"/>
        <v>4.4086498095042952</v>
      </c>
      <c r="AQ310" s="2365">
        <f t="shared" si="284"/>
        <v>3.0169144392406295</v>
      </c>
      <c r="AR310" s="2365">
        <f t="shared" si="284"/>
        <v>1.711730888234243</v>
      </c>
      <c r="AS310" s="2365">
        <f t="shared" si="284"/>
        <v>1.8503961512370561</v>
      </c>
      <c r="AT310" s="2365">
        <f t="shared" si="284"/>
        <v>1.1040393370537889</v>
      </c>
      <c r="AU310" s="2365">
        <f t="shared" si="284"/>
        <v>1.1004165325566539</v>
      </c>
      <c r="AV310" s="2365">
        <f t="shared" si="284"/>
        <v>1.0173283326278295</v>
      </c>
      <c r="AW310" s="2365">
        <f t="shared" si="284"/>
        <v>1.0167074765122297</v>
      </c>
      <c r="AX310" s="2365">
        <f t="shared" si="284"/>
        <v>1.0005975408286605</v>
      </c>
      <c r="AY310" s="2365">
        <f t="shared" si="284"/>
        <v>1.0004101667460037</v>
      </c>
      <c r="AZ310" s="2365">
        <f t="shared" si="284"/>
        <v>1.0002739394130811</v>
      </c>
      <c r="BA310" s="2365">
        <f t="shared" si="284"/>
        <v>1.0000473228555506</v>
      </c>
      <c r="BB310" s="2365">
        <f t="shared" si="284"/>
        <v>1.0007487566956546</v>
      </c>
      <c r="BC310" s="2365">
        <f t="shared" si="284"/>
        <v>0.99999977106406712</v>
      </c>
      <c r="BD310" s="2365">
        <f t="shared" si="284"/>
        <v>1.48477450932086</v>
      </c>
      <c r="BE310" s="2365">
        <f t="shared" si="284"/>
        <v>1.0157280709922674</v>
      </c>
      <c r="BF310" s="2365">
        <f t="shared" si="284"/>
        <v>1.0157280709922674</v>
      </c>
      <c r="BG310" s="2365">
        <f t="shared" si="284"/>
        <v>1</v>
      </c>
      <c r="BH310" s="2365">
        <f t="shared" si="284"/>
        <v>1.5987066329867594</v>
      </c>
      <c r="BI310" s="2365">
        <f t="shared" si="284"/>
        <v>5.471988829998871</v>
      </c>
    </row>
    <row r="311" spans="1:61" ht="25.5">
      <c r="A311" s="2248"/>
      <c r="B311" s="2249"/>
      <c r="C311" s="2250"/>
      <c r="D311" s="2265"/>
      <c r="E311" s="3655" t="s">
        <v>1144</v>
      </c>
      <c r="F311" s="2153" t="s">
        <v>300</v>
      </c>
      <c r="G311" s="2154" t="s">
        <v>21</v>
      </c>
      <c r="H311" s="2396">
        <f t="shared" ref="H311:AM311" si="285">H213/H308</f>
        <v>7.3745854079651285E-2</v>
      </c>
      <c r="I311" s="2396">
        <f t="shared" si="285"/>
        <v>7.3745854079651285E-2</v>
      </c>
      <c r="J311" s="2396">
        <f t="shared" si="285"/>
        <v>0.18931092213849715</v>
      </c>
      <c r="K311" s="2396">
        <f t="shared" si="285"/>
        <v>2.1195912510625772</v>
      </c>
      <c r="L311" s="2396">
        <f t="shared" si="285"/>
        <v>0.63879407754561968</v>
      </c>
      <c r="M311" s="2396">
        <f t="shared" si="285"/>
        <v>0.63879407754561968</v>
      </c>
      <c r="N311" s="2396">
        <f t="shared" si="285"/>
        <v>0.96107702932570749</v>
      </c>
      <c r="O311" s="2396">
        <f t="shared" si="285"/>
        <v>0.96107702932570749</v>
      </c>
      <c r="P311" s="2396">
        <f t="shared" si="285"/>
        <v>0.91502773826609352</v>
      </c>
      <c r="Q311" s="2396">
        <f t="shared" si="285"/>
        <v>0.91502773826609352</v>
      </c>
      <c r="R311" s="2396">
        <f t="shared" si="285"/>
        <v>8.2403840974082687</v>
      </c>
      <c r="S311" s="2396">
        <f t="shared" si="285"/>
        <v>0.81399994435216072</v>
      </c>
      <c r="T311" s="2396">
        <f t="shared" si="285"/>
        <v>0.81399994435216072</v>
      </c>
      <c r="U311" s="2396">
        <f t="shared" si="285"/>
        <v>1.3193407359570501</v>
      </c>
      <c r="V311" s="2396">
        <f t="shared" si="285"/>
        <v>0.61588173307294136</v>
      </c>
      <c r="W311" s="2396">
        <f t="shared" si="285"/>
        <v>0.61588173307294136</v>
      </c>
      <c r="X311" s="2396">
        <f t="shared" si="285"/>
        <v>0.778791946547567</v>
      </c>
      <c r="Y311" s="2396">
        <f t="shared" si="285"/>
        <v>0.58313076631185945</v>
      </c>
      <c r="Z311" s="2396">
        <f t="shared" si="285"/>
        <v>0.41240535139275475</v>
      </c>
      <c r="AA311" s="2396">
        <f t="shared" si="285"/>
        <v>0.88910199046807725</v>
      </c>
      <c r="AB311" s="2396">
        <f t="shared" si="285"/>
        <v>0.1687638849174731</v>
      </c>
      <c r="AC311" s="2396">
        <f t="shared" si="285"/>
        <v>6.9776913524177114E-2</v>
      </c>
      <c r="AD311" s="2396">
        <f t="shared" si="285"/>
        <v>2.7605392538591306E-2</v>
      </c>
      <c r="AE311" s="2396">
        <f t="shared" si="285"/>
        <v>8.524893440431662E-3</v>
      </c>
      <c r="AF311" s="2396">
        <f t="shared" si="285"/>
        <v>1.9055490433299528E-3</v>
      </c>
      <c r="AG311" s="2396">
        <f t="shared" si="285"/>
        <v>1.188638705110729</v>
      </c>
      <c r="AH311" s="2396">
        <f t="shared" si="285"/>
        <v>0.83340309466178231</v>
      </c>
      <c r="AI311" s="2396">
        <f t="shared" si="285"/>
        <v>0.40940802525024417</v>
      </c>
      <c r="AJ311" s="2396">
        <f t="shared" si="285"/>
        <v>0.16300452733523885</v>
      </c>
      <c r="AK311" s="2396">
        <f t="shared" si="285"/>
        <v>6.2845218648444209E-2</v>
      </c>
      <c r="AL311" s="2396">
        <f t="shared" si="285"/>
        <v>1.3432204374120458E-2</v>
      </c>
      <c r="AM311" s="2251">
        <f t="shared" si="285"/>
        <v>1.8073234564190581E-3</v>
      </c>
      <c r="AN311" s="2251">
        <f t="shared" ref="AN311:BI311" si="286">AN213/AN308</f>
        <v>5.3826740095814923E-2</v>
      </c>
      <c r="AO311" s="2251">
        <f t="shared" si="286"/>
        <v>1.0229980743502946E-2</v>
      </c>
      <c r="AP311" s="2251">
        <f t="shared" si="286"/>
        <v>1.2579395608980247E-2</v>
      </c>
      <c r="AQ311" s="2251">
        <f t="shared" si="286"/>
        <v>7.9872758527444986E-3</v>
      </c>
      <c r="AR311" s="2251">
        <f t="shared" si="286"/>
        <v>4.2266325905099241E-3</v>
      </c>
      <c r="AS311" s="2251">
        <f t="shared" si="286"/>
        <v>4.5690270193350681E-3</v>
      </c>
      <c r="AT311" s="2251">
        <f t="shared" si="286"/>
        <v>2.4013495064671856E-3</v>
      </c>
      <c r="AU311" s="2251">
        <f t="shared" si="286"/>
        <v>2.3934696968451502E-3</v>
      </c>
      <c r="AV311" s="2251">
        <f t="shared" si="286"/>
        <v>1.9607487095199762E-3</v>
      </c>
      <c r="AW311" s="2251">
        <f t="shared" si="286"/>
        <v>1.9595521019072546E-3</v>
      </c>
      <c r="AX311" s="2251">
        <f t="shared" si="286"/>
        <v>1.7449157582398785E-3</v>
      </c>
      <c r="AY311" s="2251">
        <f t="shared" si="286"/>
        <v>1.7445890015008575E-3</v>
      </c>
      <c r="AZ311" s="2251">
        <f t="shared" si="286"/>
        <v>1.7444897142107677E-3</v>
      </c>
      <c r="BA311" s="2251">
        <f t="shared" si="286"/>
        <v>1.5805856335779688E-3</v>
      </c>
      <c r="BB311" s="2251">
        <f t="shared" si="286"/>
        <v>1.6408692847313282E-3</v>
      </c>
      <c r="BC311" s="2251">
        <f t="shared" si="286"/>
        <v>1.5925230435171139E-3</v>
      </c>
      <c r="BD311" s="2251">
        <f t="shared" si="286"/>
        <v>1.4097998767822684E-2</v>
      </c>
      <c r="BE311" s="2251">
        <f t="shared" si="286"/>
        <v>1.7356690971331622E-3</v>
      </c>
      <c r="BF311" s="2251">
        <f t="shared" si="286"/>
        <v>1.7356690971331622E-3</v>
      </c>
      <c r="BG311" s="2251">
        <f t="shared" si="286"/>
        <v>0.60726334142305105</v>
      </c>
      <c r="BH311" s="2251">
        <f t="shared" si="286"/>
        <v>9.9964465822374639E-3</v>
      </c>
      <c r="BI311" s="2251">
        <f t="shared" si="286"/>
        <v>0.15012895942722299</v>
      </c>
    </row>
    <row r="312" spans="1:61" ht="25.5">
      <c r="A312" s="2248"/>
      <c r="B312" s="2249"/>
      <c r="C312" s="2250"/>
      <c r="D312" s="2265"/>
      <c r="E312" s="3655" t="s">
        <v>507</v>
      </c>
      <c r="F312" s="2153" t="s">
        <v>300</v>
      </c>
      <c r="G312" s="2154" t="s">
        <v>21</v>
      </c>
      <c r="H312" s="2396">
        <f t="shared" ref="H312:AM312" si="287">H219/H309</f>
        <v>7.3745854079651285E-2</v>
      </c>
      <c r="I312" s="2396">
        <f t="shared" si="287"/>
        <v>7.3745854079651285E-2</v>
      </c>
      <c r="J312" s="2396">
        <f t="shared" si="287"/>
        <v>0.18931092213849715</v>
      </c>
      <c r="K312" s="2396">
        <f t="shared" si="287"/>
        <v>1</v>
      </c>
      <c r="L312" s="2396">
        <f t="shared" si="287"/>
        <v>1</v>
      </c>
      <c r="M312" s="2396">
        <f t="shared" si="287"/>
        <v>1</v>
      </c>
      <c r="N312" s="2396">
        <f t="shared" si="287"/>
        <v>1</v>
      </c>
      <c r="O312" s="2396">
        <f t="shared" si="287"/>
        <v>1</v>
      </c>
      <c r="P312" s="2396">
        <f t="shared" si="287"/>
        <v>1</v>
      </c>
      <c r="Q312" s="2396">
        <f t="shared" si="287"/>
        <v>1</v>
      </c>
      <c r="R312" s="2396">
        <f t="shared" si="287"/>
        <v>1</v>
      </c>
      <c r="S312" s="2396">
        <f t="shared" si="287"/>
        <v>1</v>
      </c>
      <c r="T312" s="2396">
        <f t="shared" si="287"/>
        <v>1</v>
      </c>
      <c r="U312" s="2396">
        <f t="shared" si="287"/>
        <v>1</v>
      </c>
      <c r="V312" s="2396">
        <f t="shared" si="287"/>
        <v>1</v>
      </c>
      <c r="W312" s="2396">
        <f t="shared" si="287"/>
        <v>1</v>
      </c>
      <c r="X312" s="2396">
        <f t="shared" si="287"/>
        <v>1</v>
      </c>
      <c r="Y312" s="2396">
        <f t="shared" si="287"/>
        <v>1</v>
      </c>
      <c r="Z312" s="2396">
        <f t="shared" si="287"/>
        <v>0.58076999262854889</v>
      </c>
      <c r="AA312" s="2396">
        <f t="shared" si="287"/>
        <v>1</v>
      </c>
      <c r="AB312" s="2396">
        <f t="shared" si="287"/>
        <v>0.20672159849484836</v>
      </c>
      <c r="AC312" s="2396">
        <f t="shared" si="287"/>
        <v>6.9776913524177114E-2</v>
      </c>
      <c r="AD312" s="2396">
        <f t="shared" si="287"/>
        <v>2.7605392538591306E-2</v>
      </c>
      <c r="AE312" s="2396">
        <f t="shared" si="287"/>
        <v>8.524893440431662E-3</v>
      </c>
      <c r="AF312" s="2396">
        <f t="shared" si="287"/>
        <v>1.9055490433299528E-3</v>
      </c>
      <c r="AG312" s="2396">
        <f t="shared" si="287"/>
        <v>1</v>
      </c>
      <c r="AH312" s="2396">
        <f t="shared" si="287"/>
        <v>1</v>
      </c>
      <c r="AI312" s="2396">
        <f t="shared" si="287"/>
        <v>1</v>
      </c>
      <c r="AJ312" s="2396">
        <f t="shared" si="287"/>
        <v>0.25841360000881591</v>
      </c>
      <c r="AK312" s="2396">
        <f t="shared" si="287"/>
        <v>6.2845218648444209E-2</v>
      </c>
      <c r="AL312" s="2396">
        <f t="shared" si="287"/>
        <v>1.3432204374120458E-2</v>
      </c>
      <c r="AM312" s="2251">
        <f t="shared" si="287"/>
        <v>1.8073234564190581E-3</v>
      </c>
      <c r="AN312" s="2251">
        <f t="shared" ref="AN312:BI312" si="288">AN219/AN309</f>
        <v>5.3826740095814923E-2</v>
      </c>
      <c r="AO312" s="2251">
        <f t="shared" si="288"/>
        <v>1.0229980743502946E-2</v>
      </c>
      <c r="AP312" s="2251">
        <f t="shared" si="288"/>
        <v>1.2579395608980247E-2</v>
      </c>
      <c r="AQ312" s="2251">
        <f t="shared" si="288"/>
        <v>7.9872758527444986E-3</v>
      </c>
      <c r="AR312" s="2251">
        <f t="shared" si="288"/>
        <v>4.2266325905099241E-3</v>
      </c>
      <c r="AS312" s="2251">
        <f t="shared" si="288"/>
        <v>4.5690270193350681E-3</v>
      </c>
      <c r="AT312" s="2251">
        <f t="shared" si="288"/>
        <v>2.4013495064671856E-3</v>
      </c>
      <c r="AU312" s="2251">
        <f t="shared" si="288"/>
        <v>2.3934696968451502E-3</v>
      </c>
      <c r="AV312" s="2251">
        <f t="shared" si="288"/>
        <v>1.9607487095199762E-3</v>
      </c>
      <c r="AW312" s="2251">
        <f t="shared" si="288"/>
        <v>1.9595521019072546E-3</v>
      </c>
      <c r="AX312" s="2251">
        <f t="shared" si="288"/>
        <v>1.7449157582398785E-3</v>
      </c>
      <c r="AY312" s="2251">
        <f t="shared" si="288"/>
        <v>1.7445890015008575E-3</v>
      </c>
      <c r="AZ312" s="2251">
        <f t="shared" si="288"/>
        <v>1.7444897142107677E-3</v>
      </c>
      <c r="BA312" s="2251">
        <f t="shared" si="288"/>
        <v>1.5805856335779688E-3</v>
      </c>
      <c r="BB312" s="2251">
        <f t="shared" si="288"/>
        <v>1.6408692847313282E-3</v>
      </c>
      <c r="BC312" s="2251">
        <f t="shared" si="288"/>
        <v>1.5925230435171139E-3</v>
      </c>
      <c r="BD312" s="2251">
        <f t="shared" si="288"/>
        <v>1.4097998767822684E-2</v>
      </c>
      <c r="BE312" s="2251">
        <f t="shared" si="288"/>
        <v>1.7356690971331622E-3</v>
      </c>
      <c r="BF312" s="2251">
        <f t="shared" si="288"/>
        <v>1.7356690971331622E-3</v>
      </c>
      <c r="BG312" s="2251">
        <f t="shared" si="288"/>
        <v>1</v>
      </c>
      <c r="BH312" s="2251">
        <f t="shared" si="288"/>
        <v>9.9964465822374639E-3</v>
      </c>
      <c r="BI312" s="2251">
        <f t="shared" si="288"/>
        <v>0.15012895942722299</v>
      </c>
    </row>
    <row r="313" spans="1:61">
      <c r="A313" s="2248"/>
      <c r="B313" s="2249"/>
      <c r="C313" s="2250"/>
      <c r="D313" s="2265"/>
      <c r="E313" s="2153"/>
      <c r="F313" s="2153"/>
      <c r="G313" s="2154"/>
      <c r="H313" s="2251"/>
      <c r="I313" s="2251"/>
      <c r="J313" s="2251"/>
      <c r="K313" s="2251"/>
      <c r="L313" s="2251"/>
      <c r="M313" s="2251"/>
      <c r="N313" s="2251"/>
      <c r="O313" s="2251"/>
      <c r="P313" s="2251"/>
      <c r="Q313" s="2251"/>
      <c r="R313" s="2251"/>
      <c r="S313" s="2251"/>
      <c r="T313" s="2251"/>
      <c r="U313" s="2251"/>
      <c r="V313" s="2251"/>
      <c r="W313" s="2251"/>
      <c r="X313" s="2251"/>
      <c r="Y313" s="2251"/>
      <c r="Z313" s="2251"/>
      <c r="AA313" s="2251"/>
      <c r="AB313" s="2251"/>
      <c r="AC313" s="2251"/>
      <c r="AD313" s="2251"/>
      <c r="AE313" s="2251"/>
      <c r="AF313" s="2251"/>
      <c r="AG313" s="2251"/>
      <c r="AH313" s="2251"/>
      <c r="AI313" s="2251"/>
      <c r="AJ313" s="2251"/>
      <c r="AK313" s="2251"/>
      <c r="AL313" s="2251"/>
      <c r="AM313" s="2251"/>
      <c r="AN313" s="2251"/>
      <c r="AO313" s="2251"/>
      <c r="AP313" s="2251"/>
      <c r="AQ313" s="2251"/>
      <c r="AR313" s="2251"/>
      <c r="AS313" s="2251"/>
      <c r="AT313" s="2251"/>
      <c r="AU313" s="2251"/>
      <c r="AV313" s="2251"/>
      <c r="AW313" s="2251"/>
      <c r="AX313" s="2251"/>
      <c r="AY313" s="2251"/>
      <c r="AZ313" s="2251"/>
      <c r="BA313" s="2251"/>
      <c r="BB313" s="2251"/>
      <c r="BC313" s="2251"/>
      <c r="BD313" s="2251"/>
      <c r="BE313" s="2251"/>
      <c r="BF313" s="2251"/>
      <c r="BG313" s="2251"/>
      <c r="BH313" s="2251"/>
      <c r="BI313" s="2251"/>
    </row>
    <row r="314" spans="1:61" s="2244" customFormat="1" ht="13.15" customHeight="1">
      <c r="A314" s="2241"/>
      <c r="B314" s="276"/>
      <c r="C314" s="2242"/>
      <c r="D314" s="2265"/>
      <c r="E314" s="2275" t="s">
        <v>1146</v>
      </c>
      <c r="F314" s="2275"/>
      <c r="G314" s="3688"/>
      <c r="H314" s="2275"/>
      <c r="I314" s="2155"/>
      <c r="J314" s="2155"/>
      <c r="K314" s="2155"/>
      <c r="L314" s="2155"/>
      <c r="M314" s="2155"/>
      <c r="N314" s="2155"/>
      <c r="O314" s="2155"/>
      <c r="P314" s="2155"/>
      <c r="Q314" s="2155"/>
      <c r="R314" s="2155"/>
      <c r="S314" s="2155"/>
      <c r="T314" s="2155"/>
      <c r="U314" s="2155"/>
      <c r="V314" s="2155"/>
      <c r="W314" s="2155"/>
      <c r="X314" s="2155"/>
      <c r="Y314" s="2155"/>
      <c r="Z314" s="2155"/>
      <c r="AA314" s="2155"/>
      <c r="AB314" s="2155"/>
      <c r="AC314" s="2155"/>
      <c r="AD314" s="2155"/>
      <c r="AE314" s="2155"/>
      <c r="AF314" s="2155"/>
      <c r="AG314" s="2155"/>
      <c r="AH314" s="2155"/>
      <c r="AI314" s="2155"/>
      <c r="AJ314" s="2155"/>
      <c r="AK314" s="2155"/>
      <c r="AL314" s="2155"/>
      <c r="AM314" s="2155"/>
      <c r="AN314" s="2155"/>
      <c r="AO314" s="2155"/>
      <c r="AP314" s="2155"/>
      <c r="AQ314" s="2155"/>
      <c r="AR314" s="2155"/>
      <c r="AS314" s="2155"/>
      <c r="AT314" s="2155"/>
      <c r="AU314" s="2155"/>
      <c r="AV314" s="2155"/>
      <c r="AW314" s="2155"/>
      <c r="AX314" s="2155"/>
      <c r="AY314" s="2155"/>
      <c r="AZ314" s="2155"/>
      <c r="BA314" s="2155"/>
      <c r="BB314" s="2155"/>
      <c r="BC314" s="2155"/>
      <c r="BD314" s="2155"/>
      <c r="BE314" s="2155"/>
      <c r="BF314" s="2155"/>
      <c r="BG314" s="2155"/>
      <c r="BH314" s="2155"/>
      <c r="BI314" s="2155"/>
    </row>
    <row r="315" spans="1:61" ht="25.5">
      <c r="A315" s="2149"/>
      <c r="B315" s="2150"/>
      <c r="C315" s="2151"/>
      <c r="D315" s="2245"/>
      <c r="E315" s="2153" t="s">
        <v>610</v>
      </c>
      <c r="F315" s="2153" t="s">
        <v>138</v>
      </c>
      <c r="G315" s="2154" t="s">
        <v>139</v>
      </c>
      <c r="H315" s="2155">
        <f t="shared" ref="H315:AM315" si="289">MIN(H226,H308+H254)</f>
        <v>2.5764948224191279E-3</v>
      </c>
      <c r="I315" s="2155">
        <f t="shared" si="289"/>
        <v>2.5764948224191279E-3</v>
      </c>
      <c r="J315" s="2155">
        <f t="shared" si="289"/>
        <v>1.112625783278918E-3</v>
      </c>
      <c r="K315" s="2155">
        <f t="shared" si="289"/>
        <v>2.5062743250277671E-4</v>
      </c>
      <c r="L315" s="2155">
        <f t="shared" si="289"/>
        <v>5.2030484240390452E-4</v>
      </c>
      <c r="M315" s="2155">
        <f t="shared" si="289"/>
        <v>5.2030484240390452E-4</v>
      </c>
      <c r="N315" s="2155">
        <f t="shared" si="289"/>
        <v>3.8355036504436938E-4</v>
      </c>
      <c r="O315" s="2155">
        <f t="shared" si="289"/>
        <v>3.8355036504436938E-4</v>
      </c>
      <c r="P315" s="2155">
        <f t="shared" si="289"/>
        <v>3.6277704779586568E-4</v>
      </c>
      <c r="Q315" s="2155">
        <f t="shared" si="289"/>
        <v>3.6277704779586568E-4</v>
      </c>
      <c r="R315" s="2155">
        <f t="shared" si="289"/>
        <v>1.0412572831759225E-3</v>
      </c>
      <c r="S315" s="2155">
        <f t="shared" si="289"/>
        <v>6.0595734104707585E-4</v>
      </c>
      <c r="T315" s="2155">
        <f t="shared" si="289"/>
        <v>6.0595734104707585E-4</v>
      </c>
      <c r="U315" s="2155">
        <f t="shared" si="289"/>
        <v>2.7983075991797654E-4</v>
      </c>
      <c r="V315" s="2155">
        <f t="shared" si="289"/>
        <v>1.9388692531215965E-4</v>
      </c>
      <c r="W315" s="2155">
        <f t="shared" si="289"/>
        <v>1.9388692531215965E-4</v>
      </c>
      <c r="X315" s="2155">
        <f t="shared" si="289"/>
        <v>4.8632130066261254E-4</v>
      </c>
      <c r="Y315" s="2155">
        <f t="shared" si="289"/>
        <v>5.6616159646520376E-4</v>
      </c>
      <c r="Z315" s="2155">
        <f t="shared" si="289"/>
        <v>7.0920163987229275E-4</v>
      </c>
      <c r="AA315" s="2155">
        <f t="shared" si="289"/>
        <v>3.4731185150560132E-4</v>
      </c>
      <c r="AB315" s="2155">
        <f t="shared" si="289"/>
        <v>7.3419707868014629E-4</v>
      </c>
      <c r="AC315" s="2155">
        <f t="shared" si="289"/>
        <v>1.5440876592463897E-3</v>
      </c>
      <c r="AD315" s="2155">
        <f t="shared" si="289"/>
        <v>3.260679985266805E-3</v>
      </c>
      <c r="AE315" s="2155">
        <f t="shared" si="289"/>
        <v>8.1834178152156573E-3</v>
      </c>
      <c r="AF315" s="2155">
        <f t="shared" si="289"/>
        <v>2.8793209697515285E-2</v>
      </c>
      <c r="AG315" s="2155">
        <f t="shared" si="289"/>
        <v>1.7637294912244009E-4</v>
      </c>
      <c r="AH315" s="2155">
        <f t="shared" si="289"/>
        <v>1.9755363433497669E-4</v>
      </c>
      <c r="AI315" s="2155">
        <f t="shared" si="289"/>
        <v>2.9465711571332904E-4</v>
      </c>
      <c r="AJ315" s="2155">
        <f t="shared" si="289"/>
        <v>5.6515818205832085E-4</v>
      </c>
      <c r="AK315" s="2155">
        <f t="shared" si="289"/>
        <v>1.106647559556946E-3</v>
      </c>
      <c r="AL315" s="2155">
        <f t="shared" si="289"/>
        <v>3.6724132026026172E-3</v>
      </c>
      <c r="AM315" s="2155">
        <f t="shared" si="289"/>
        <v>2.2766328102056917E-2</v>
      </c>
      <c r="AN315" s="2155">
        <f t="shared" ref="AN315:BI315" si="290">MIN(AN226,AN308+AN254)</f>
        <v>2.0037381258241342E-3</v>
      </c>
      <c r="AO315" s="2155">
        <f t="shared" si="290"/>
        <v>8.527468341706217E-3</v>
      </c>
      <c r="AP315" s="2155">
        <f t="shared" si="290"/>
        <v>6.8602595435671709E-3</v>
      </c>
      <c r="AQ315" s="2155">
        <f t="shared" si="290"/>
        <v>9.9796986922249097E-3</v>
      </c>
      <c r="AR315" s="2155">
        <f t="shared" si="290"/>
        <v>1.7523625550676381E-2</v>
      </c>
      <c r="AS315" s="2155">
        <f t="shared" si="290"/>
        <v>1.6215960676793671E-2</v>
      </c>
      <c r="AT315" s="2155">
        <f t="shared" si="290"/>
        <v>2.7119710466022458E-2</v>
      </c>
      <c r="AU315" s="2155">
        <f t="shared" si="290"/>
        <v>2.7208780454095621E-2</v>
      </c>
      <c r="AV315" s="2155">
        <f t="shared" si="290"/>
        <v>2.9418297228811383E-2</v>
      </c>
      <c r="AW315" s="2155">
        <f t="shared" si="290"/>
        <v>2.9436226471907363E-2</v>
      </c>
      <c r="AX315" s="2155">
        <f t="shared" si="290"/>
        <v>2.9869500750778842E-2</v>
      </c>
      <c r="AY315" s="2155">
        <f t="shared" si="290"/>
        <v>2.9869500750778842E-2</v>
      </c>
      <c r="AZ315" s="2155">
        <f t="shared" si="290"/>
        <v>2.9869500750778842E-2</v>
      </c>
      <c r="BA315" s="2155">
        <f t="shared" si="290"/>
        <v>2.9869500750778842E-2</v>
      </c>
      <c r="BB315" s="2155">
        <f t="shared" si="290"/>
        <v>2.9869500750778842E-2</v>
      </c>
      <c r="BC315" s="2155">
        <f t="shared" si="290"/>
        <v>2.9869500750778842E-2</v>
      </c>
      <c r="BD315" s="2155">
        <f t="shared" si="290"/>
        <v>2.0400798312485563E-2</v>
      </c>
      <c r="BE315" s="2155">
        <f t="shared" si="290"/>
        <v>2.9458026337854451E-2</v>
      </c>
      <c r="BF315" s="2155">
        <f t="shared" si="290"/>
        <v>2.9458026337854451E-2</v>
      </c>
      <c r="BG315" s="2155">
        <f t="shared" si="290"/>
        <v>2.1296881925372089E-4</v>
      </c>
      <c r="BH315" s="2155">
        <f t="shared" si="290"/>
        <v>1.8870302182173525E-2</v>
      </c>
      <c r="BI315" s="2155">
        <f t="shared" si="290"/>
        <v>4.4361531529352105E-3</v>
      </c>
    </row>
    <row r="316" spans="1:61" s="2274" customFormat="1" ht="13.15" customHeight="1">
      <c r="A316" s="2270"/>
      <c r="B316" s="2271"/>
      <c r="C316" s="2272"/>
      <c r="D316" s="2243"/>
      <c r="E316" s="2225" t="s">
        <v>297</v>
      </c>
      <c r="F316" s="2225" t="s">
        <v>1131</v>
      </c>
      <c r="G316" s="2226" t="s">
        <v>73</v>
      </c>
      <c r="H316" s="2273">
        <f t="shared" ref="H316:AM316" si="291">H$12/H$19*H315</f>
        <v>0.99894015662951541</v>
      </c>
      <c r="I316" s="2273">
        <f t="shared" si="291"/>
        <v>0.99894015662951541</v>
      </c>
      <c r="J316" s="2273">
        <f t="shared" si="291"/>
        <v>2.8318788245294559</v>
      </c>
      <c r="K316" s="2273">
        <f t="shared" si="291"/>
        <v>20.303846590662936</v>
      </c>
      <c r="L316" s="2273">
        <f t="shared" si="291"/>
        <v>7.8808007979752412</v>
      </c>
      <c r="M316" s="2273">
        <f t="shared" si="291"/>
        <v>7.8808007979752412</v>
      </c>
      <c r="N316" s="2273">
        <f t="shared" si="291"/>
        <v>11.458046072569964</v>
      </c>
      <c r="O316" s="2273">
        <f t="shared" si="291"/>
        <v>11.458046072569964</v>
      </c>
      <c r="P316" s="2273">
        <f t="shared" si="291"/>
        <v>11.831712818445082</v>
      </c>
      <c r="Q316" s="2273">
        <f t="shared" si="291"/>
        <v>11.831712818445082</v>
      </c>
      <c r="R316" s="2273">
        <f t="shared" si="291"/>
        <v>13.650931244134451</v>
      </c>
      <c r="S316" s="2273">
        <f t="shared" si="291"/>
        <v>7.4529893195210333</v>
      </c>
      <c r="T316" s="2273">
        <f t="shared" si="291"/>
        <v>7.4529893195210333</v>
      </c>
      <c r="U316" s="2273">
        <f t="shared" si="291"/>
        <v>16.203779419781899</v>
      </c>
      <c r="V316" s="2273">
        <f t="shared" si="291"/>
        <v>18.376611641749395</v>
      </c>
      <c r="W316" s="2273">
        <f t="shared" si="291"/>
        <v>18.376611641749395</v>
      </c>
      <c r="X316" s="2273">
        <f t="shared" si="291"/>
        <v>8.8426564784154138</v>
      </c>
      <c r="Y316" s="2273">
        <f t="shared" si="291"/>
        <v>7.1346065565536723</v>
      </c>
      <c r="Z316" s="2273">
        <f t="shared" si="291"/>
        <v>5.292736893882469</v>
      </c>
      <c r="AA316" s="2273">
        <f t="shared" si="291"/>
        <v>12.171943016268708</v>
      </c>
      <c r="AB316" s="2273">
        <f t="shared" si="291"/>
        <v>4.1572518398802005</v>
      </c>
      <c r="AC316" s="2273">
        <f t="shared" si="291"/>
        <v>1.7060809345929908</v>
      </c>
      <c r="AD316" s="2273">
        <f t="shared" si="291"/>
        <v>0.70518097092119381</v>
      </c>
      <c r="AE316" s="2273">
        <f t="shared" si="291"/>
        <v>0.22068195143385555</v>
      </c>
      <c r="AF316" s="2273">
        <f t="shared" si="291"/>
        <v>3.2182531510040126E-3</v>
      </c>
      <c r="AG316" s="2273">
        <f t="shared" si="291"/>
        <v>22.968076998586223</v>
      </c>
      <c r="AH316" s="2273">
        <f t="shared" si="291"/>
        <v>19.262313254656402</v>
      </c>
      <c r="AI316" s="2273">
        <f t="shared" si="291"/>
        <v>11.68216075797574</v>
      </c>
      <c r="AJ316" s="2273">
        <f t="shared" si="291"/>
        <v>5.333741329849401</v>
      </c>
      <c r="AK316" s="2273">
        <f t="shared" si="291"/>
        <v>2.3809476803076062</v>
      </c>
      <c r="AL316" s="2273">
        <f t="shared" si="291"/>
        <v>0.5989815051669013</v>
      </c>
      <c r="AM316" s="2273">
        <f t="shared" si="291"/>
        <v>2.5704267271673929E-2</v>
      </c>
      <c r="AN316" s="2273">
        <f t="shared" ref="AN316:BI316" si="292">AN$12/AN$19*AN315</f>
        <v>1.2604926868327915</v>
      </c>
      <c r="AO316" s="2273">
        <f t="shared" si="292"/>
        <v>0.20930068731102713</v>
      </c>
      <c r="AP316" s="2273">
        <f t="shared" si="292"/>
        <v>0.28169178791697697</v>
      </c>
      <c r="AQ316" s="2273">
        <f t="shared" si="292"/>
        <v>0.16592565803573694</v>
      </c>
      <c r="AR316" s="2273">
        <f t="shared" si="292"/>
        <v>5.8333887111297951E-2</v>
      </c>
      <c r="AS316" s="2273">
        <f t="shared" si="292"/>
        <v>6.9722722298615147E-2</v>
      </c>
      <c r="AT316" s="2273">
        <f t="shared" si="292"/>
        <v>8.5116316957009677E-3</v>
      </c>
      <c r="AU316" s="2273">
        <f t="shared" si="292"/>
        <v>8.2151794498636962E-3</v>
      </c>
      <c r="AV316" s="2273">
        <f t="shared" si="292"/>
        <v>1.4170366990346392E-3</v>
      </c>
      <c r="AW316" s="2273">
        <f t="shared" si="292"/>
        <v>1.3662641182154084E-3</v>
      </c>
      <c r="AX316" s="2273">
        <f t="shared" si="292"/>
        <v>4.8797843591209082E-5</v>
      </c>
      <c r="AY316" s="2273">
        <f t="shared" si="292"/>
        <v>3.3489769485975817E-5</v>
      </c>
      <c r="AZ316" s="2273">
        <f t="shared" si="292"/>
        <v>2.23638767032114E-5</v>
      </c>
      <c r="BA316" s="2273">
        <f t="shared" si="292"/>
        <v>3.8624699411720137E-6</v>
      </c>
      <c r="BB316" s="2273">
        <f t="shared" si="292"/>
        <v>6.1156045151905254E-5</v>
      </c>
      <c r="BC316" s="2273">
        <f t="shared" si="292"/>
        <v>1.6246181233548372E-11</v>
      </c>
      <c r="BD316" s="2273">
        <f t="shared" si="292"/>
        <v>4.0122971694318242E-2</v>
      </c>
      <c r="BE316" s="2273">
        <f t="shared" si="292"/>
        <v>1.2858852435855691E-3</v>
      </c>
      <c r="BF316" s="2273">
        <f t="shared" si="292"/>
        <v>1.2858852435855691E-3</v>
      </c>
      <c r="BG316" s="2273">
        <f t="shared" si="292"/>
        <v>16.881966924880764</v>
      </c>
      <c r="BH316" s="2273">
        <f t="shared" si="292"/>
        <v>4.9352294867664834E-2</v>
      </c>
      <c r="BI316" s="2273">
        <f t="shared" si="292"/>
        <v>0.62838628811432362</v>
      </c>
    </row>
    <row r="317" spans="1:61" ht="38.25">
      <c r="A317" s="2149"/>
      <c r="B317" s="2150"/>
      <c r="C317" s="2151"/>
      <c r="D317" s="2245"/>
      <c r="E317" s="2153" t="s">
        <v>650</v>
      </c>
      <c r="F317" s="2153" t="s">
        <v>138</v>
      </c>
      <c r="G317" s="2154" t="s">
        <v>139</v>
      </c>
      <c r="H317" s="2155">
        <f t="shared" ref="H317:BI317" si="293">MIN(H315,H$19)</f>
        <v>2.5764948224191279E-3</v>
      </c>
      <c r="I317" s="2155">
        <f t="shared" si="293"/>
        <v>2.5764948224191279E-3</v>
      </c>
      <c r="J317" s="2155">
        <f>MIN(J315,J$19)</f>
        <v>1.112625783278918E-3</v>
      </c>
      <c r="K317" s="2155">
        <f t="shared" si="293"/>
        <v>3.7031519823149957E-5</v>
      </c>
      <c r="L317" s="2155">
        <f t="shared" si="293"/>
        <v>1.9806547167297369E-4</v>
      </c>
      <c r="M317" s="2155">
        <f t="shared" si="293"/>
        <v>1.9806547167297369E-4</v>
      </c>
      <c r="N317" s="2155">
        <f>MIN(N315,N$19)</f>
        <v>1.0042297681868412E-4</v>
      </c>
      <c r="O317" s="2155">
        <f>MIN(O315,O$19)</f>
        <v>1.0042297681868412E-4</v>
      </c>
      <c r="P317" s="2155">
        <f t="shared" si="293"/>
        <v>9.1984242694848056E-5</v>
      </c>
      <c r="Q317" s="2155">
        <f t="shared" si="293"/>
        <v>9.1984242694848056E-5</v>
      </c>
      <c r="R317" s="2155">
        <f>MIN(R315,R$19)</f>
        <v>2.2883214292577979E-4</v>
      </c>
      <c r="S317" s="2155">
        <f>MIN(S315,S$19)</f>
        <v>2.4391179769704181E-4</v>
      </c>
      <c r="T317" s="2155">
        <f>MIN(T315,T$19)</f>
        <v>2.4391179769704181E-4</v>
      </c>
      <c r="U317" s="2155">
        <f t="shared" si="293"/>
        <v>5.1808424319147455E-5</v>
      </c>
      <c r="V317" s="2155">
        <f t="shared" si="293"/>
        <v>3.1652232047774111E-5</v>
      </c>
      <c r="W317" s="2155">
        <f t="shared" si="293"/>
        <v>3.1652232047774111E-5</v>
      </c>
      <c r="X317" s="2155">
        <f t="shared" si="293"/>
        <v>1.6499158432187349E-4</v>
      </c>
      <c r="Y317" s="2155">
        <f t="shared" si="293"/>
        <v>2.3806285265098821E-4</v>
      </c>
      <c r="Z317" s="2155">
        <f t="shared" si="293"/>
        <v>4.0198577074103924E-4</v>
      </c>
      <c r="AA317" s="2155">
        <f t="shared" si="293"/>
        <v>8.5601415741445673E-5</v>
      </c>
      <c r="AB317" s="2155">
        <f t="shared" si="293"/>
        <v>5.2981905375833833E-4</v>
      </c>
      <c r="AC317" s="2155">
        <f t="shared" si="293"/>
        <v>1.5440876592463897E-3</v>
      </c>
      <c r="AD317" s="2155">
        <f t="shared" si="293"/>
        <v>3.260679985266805E-3</v>
      </c>
      <c r="AE317" s="2155">
        <f t="shared" si="293"/>
        <v>8.1834178152156573E-3</v>
      </c>
      <c r="AF317" s="2155">
        <f t="shared" si="293"/>
        <v>2.8793209697515285E-2</v>
      </c>
      <c r="AG317" s="2155">
        <f t="shared" si="293"/>
        <v>2.3037141829500553E-5</v>
      </c>
      <c r="AH317" s="2155">
        <f t="shared" si="293"/>
        <v>3.0767898703010778E-5</v>
      </c>
      <c r="AI317" s="2155">
        <f t="shared" si="293"/>
        <v>7.5668479954487443E-5</v>
      </c>
      <c r="AJ317" s="2155">
        <f t="shared" si="293"/>
        <v>3.1787716001271374E-4</v>
      </c>
      <c r="AK317" s="2155">
        <f t="shared" si="293"/>
        <v>1.106647559556946E-3</v>
      </c>
      <c r="AL317" s="2155">
        <f t="shared" si="293"/>
        <v>3.6724132026026172E-3</v>
      </c>
      <c r="AM317" s="2155">
        <f t="shared" si="293"/>
        <v>2.2766328102056917E-2</v>
      </c>
      <c r="AN317" s="2155">
        <f t="shared" si="293"/>
        <v>2.0037381258241342E-3</v>
      </c>
      <c r="AO317" s="2155">
        <f t="shared" si="293"/>
        <v>8.527468341706217E-3</v>
      </c>
      <c r="AP317" s="2155">
        <f t="shared" si="293"/>
        <v>6.8602595435671709E-3</v>
      </c>
      <c r="AQ317" s="2155">
        <f t="shared" si="293"/>
        <v>9.9796986922249097E-3</v>
      </c>
      <c r="AR317" s="2155">
        <f t="shared" si="293"/>
        <v>1.7523625550676381E-2</v>
      </c>
      <c r="AS317" s="2155">
        <f t="shared" si="293"/>
        <v>1.6215960676793671E-2</v>
      </c>
      <c r="AT317" s="2155">
        <f t="shared" si="293"/>
        <v>2.7119710466022458E-2</v>
      </c>
      <c r="AU317" s="2155">
        <f t="shared" si="293"/>
        <v>2.7208780454095621E-2</v>
      </c>
      <c r="AV317" s="2155">
        <f t="shared" si="293"/>
        <v>2.9418297228811383E-2</v>
      </c>
      <c r="AW317" s="2155">
        <f t="shared" si="293"/>
        <v>2.9436226471907363E-2</v>
      </c>
      <c r="AX317" s="2155">
        <f t="shared" si="293"/>
        <v>2.9869500750778842E-2</v>
      </c>
      <c r="AY317" s="2155">
        <f t="shared" si="293"/>
        <v>2.9869500750778842E-2</v>
      </c>
      <c r="AZ317" s="2155">
        <f t="shared" si="293"/>
        <v>2.9869500750778842E-2</v>
      </c>
      <c r="BA317" s="2155">
        <f t="shared" si="293"/>
        <v>2.9869500750778842E-2</v>
      </c>
      <c r="BB317" s="2155">
        <f t="shared" si="293"/>
        <v>2.9869500750778842E-2</v>
      </c>
      <c r="BC317" s="2155">
        <f t="shared" si="293"/>
        <v>2.9869500750778842E-2</v>
      </c>
      <c r="BD317" s="2155">
        <f t="shared" si="293"/>
        <v>2.0400798312485563E-2</v>
      </c>
      <c r="BE317" s="2155">
        <f t="shared" si="293"/>
        <v>2.9458026337854451E-2</v>
      </c>
      <c r="BF317" s="2155">
        <f t="shared" si="293"/>
        <v>2.9458026337854451E-2</v>
      </c>
      <c r="BG317" s="2155">
        <f t="shared" si="293"/>
        <v>3.7845498726782705E-5</v>
      </c>
      <c r="BH317" s="2155">
        <f t="shared" si="293"/>
        <v>1.8870302182173525E-2</v>
      </c>
      <c r="BI317" s="2155">
        <f t="shared" si="293"/>
        <v>4.4361531529352105E-3</v>
      </c>
    </row>
    <row r="318" spans="1:61" s="2274" customFormat="1" ht="13.15" customHeight="1">
      <c r="A318" s="2270"/>
      <c r="B318" s="2271"/>
      <c r="C318" s="2272"/>
      <c r="D318" s="2243"/>
      <c r="E318" s="2225" t="s">
        <v>297</v>
      </c>
      <c r="F318" s="2225" t="s">
        <v>1131</v>
      </c>
      <c r="G318" s="2226" t="s">
        <v>73</v>
      </c>
      <c r="H318" s="2273">
        <f t="shared" ref="H318:AM318" si="294">H$12/H$19*H317</f>
        <v>0.99894015662951541</v>
      </c>
      <c r="I318" s="2273">
        <f t="shared" si="294"/>
        <v>0.99894015662951541</v>
      </c>
      <c r="J318" s="2273">
        <f t="shared" si="294"/>
        <v>2.8318788245294559</v>
      </c>
      <c r="K318" s="2273">
        <f t="shared" si="294"/>
        <v>3</v>
      </c>
      <c r="L318" s="2273">
        <f t="shared" si="294"/>
        <v>3</v>
      </c>
      <c r="M318" s="2273">
        <f t="shared" si="294"/>
        <v>3</v>
      </c>
      <c r="N318" s="2273">
        <f t="shared" si="294"/>
        <v>3</v>
      </c>
      <c r="O318" s="2273">
        <f t="shared" si="294"/>
        <v>3</v>
      </c>
      <c r="P318" s="2273">
        <f t="shared" si="294"/>
        <v>3</v>
      </c>
      <c r="Q318" s="2273">
        <f t="shared" si="294"/>
        <v>3</v>
      </c>
      <c r="R318" s="2273">
        <f t="shared" si="294"/>
        <v>3</v>
      </c>
      <c r="S318" s="2273">
        <f t="shared" si="294"/>
        <v>3</v>
      </c>
      <c r="T318" s="2273">
        <f t="shared" si="294"/>
        <v>3</v>
      </c>
      <c r="U318" s="2273">
        <f t="shared" si="294"/>
        <v>3</v>
      </c>
      <c r="V318" s="2273">
        <f t="shared" si="294"/>
        <v>3</v>
      </c>
      <c r="W318" s="2273">
        <f t="shared" si="294"/>
        <v>3</v>
      </c>
      <c r="X318" s="2273">
        <f t="shared" si="294"/>
        <v>3</v>
      </c>
      <c r="Y318" s="2273">
        <f t="shared" si="294"/>
        <v>3</v>
      </c>
      <c r="Z318" s="2273">
        <f t="shared" si="294"/>
        <v>3</v>
      </c>
      <c r="AA318" s="2273">
        <f t="shared" si="294"/>
        <v>3</v>
      </c>
      <c r="AB318" s="2273">
        <f t="shared" si="294"/>
        <v>3.0000000000000004</v>
      </c>
      <c r="AC318" s="2273">
        <f t="shared" si="294"/>
        <v>1.7060809345929908</v>
      </c>
      <c r="AD318" s="2273">
        <f t="shared" si="294"/>
        <v>0.70518097092119381</v>
      </c>
      <c r="AE318" s="2273">
        <f t="shared" si="294"/>
        <v>0.22068195143385555</v>
      </c>
      <c r="AF318" s="2273">
        <f t="shared" si="294"/>
        <v>3.2182531510040126E-3</v>
      </c>
      <c r="AG318" s="2273">
        <f t="shared" si="294"/>
        <v>3</v>
      </c>
      <c r="AH318" s="2273">
        <f t="shared" si="294"/>
        <v>3</v>
      </c>
      <c r="AI318" s="2273">
        <f t="shared" si="294"/>
        <v>3</v>
      </c>
      <c r="AJ318" s="2273">
        <f t="shared" si="294"/>
        <v>3</v>
      </c>
      <c r="AK318" s="2273">
        <f t="shared" si="294"/>
        <v>2.3809476803076062</v>
      </c>
      <c r="AL318" s="2273">
        <f t="shared" si="294"/>
        <v>0.5989815051669013</v>
      </c>
      <c r="AM318" s="2273">
        <f t="shared" si="294"/>
        <v>2.5704267271673929E-2</v>
      </c>
      <c r="AN318" s="2273">
        <f t="shared" ref="AN318:BI318" si="295">AN$12/AN$19*AN317</f>
        <v>1.2604926868327915</v>
      </c>
      <c r="AO318" s="2273">
        <f t="shared" si="295"/>
        <v>0.20930068731102713</v>
      </c>
      <c r="AP318" s="2273">
        <f t="shared" si="295"/>
        <v>0.28169178791697697</v>
      </c>
      <c r="AQ318" s="2273">
        <f t="shared" si="295"/>
        <v>0.16592565803573694</v>
      </c>
      <c r="AR318" s="2273">
        <f t="shared" si="295"/>
        <v>5.8333887111297951E-2</v>
      </c>
      <c r="AS318" s="2273">
        <f t="shared" si="295"/>
        <v>6.9722722298615147E-2</v>
      </c>
      <c r="AT318" s="2273">
        <f t="shared" si="295"/>
        <v>8.5116316957009677E-3</v>
      </c>
      <c r="AU318" s="2273">
        <f t="shared" si="295"/>
        <v>8.2151794498636962E-3</v>
      </c>
      <c r="AV318" s="2273">
        <f t="shared" si="295"/>
        <v>1.4170366990346392E-3</v>
      </c>
      <c r="AW318" s="2273">
        <f t="shared" si="295"/>
        <v>1.3662641182154084E-3</v>
      </c>
      <c r="AX318" s="2273">
        <f t="shared" si="295"/>
        <v>4.8797843591209082E-5</v>
      </c>
      <c r="AY318" s="2273">
        <f t="shared" si="295"/>
        <v>3.3489769485975817E-5</v>
      </c>
      <c r="AZ318" s="2273">
        <f t="shared" si="295"/>
        <v>2.23638767032114E-5</v>
      </c>
      <c r="BA318" s="2273">
        <f t="shared" si="295"/>
        <v>3.8624699411720137E-6</v>
      </c>
      <c r="BB318" s="2273">
        <f t="shared" si="295"/>
        <v>6.1156045151905254E-5</v>
      </c>
      <c r="BC318" s="2273">
        <f t="shared" si="295"/>
        <v>1.6246181233548372E-11</v>
      </c>
      <c r="BD318" s="2273">
        <f t="shared" si="295"/>
        <v>4.0122971694318242E-2</v>
      </c>
      <c r="BE318" s="2273">
        <f t="shared" si="295"/>
        <v>1.2858852435855691E-3</v>
      </c>
      <c r="BF318" s="2273">
        <f t="shared" si="295"/>
        <v>1.2858852435855691E-3</v>
      </c>
      <c r="BG318" s="2273">
        <f t="shared" si="295"/>
        <v>3</v>
      </c>
      <c r="BH318" s="2273">
        <f t="shared" si="295"/>
        <v>4.9352294867664834E-2</v>
      </c>
      <c r="BI318" s="2273">
        <f t="shared" si="295"/>
        <v>0.62838628811432362</v>
      </c>
    </row>
    <row r="319" spans="1:61" ht="25.5">
      <c r="A319" s="2149"/>
      <c r="B319" s="2150"/>
      <c r="C319" s="2151"/>
      <c r="D319" s="2245"/>
      <c r="E319" s="3655" t="s">
        <v>505</v>
      </c>
      <c r="F319" s="2153" t="s">
        <v>300</v>
      </c>
      <c r="G319" s="2154" t="s">
        <v>35</v>
      </c>
      <c r="H319" s="2155">
        <f t="shared" ref="H319:AM319" si="296">H226/H315</f>
        <v>11.593076178873789</v>
      </c>
      <c r="I319" s="2155">
        <f t="shared" si="296"/>
        <v>11.593076178873789</v>
      </c>
      <c r="J319" s="2155">
        <f t="shared" si="296"/>
        <v>26.845954138104872</v>
      </c>
      <c r="K319" s="2155">
        <f t="shared" si="296"/>
        <v>119.17889615075524</v>
      </c>
      <c r="L319" s="2155">
        <f t="shared" si="296"/>
        <v>57.407693176131573</v>
      </c>
      <c r="M319" s="2155">
        <f t="shared" si="296"/>
        <v>57.407693176131573</v>
      </c>
      <c r="N319" s="2155">
        <f t="shared" si="296"/>
        <v>77.876345515467094</v>
      </c>
      <c r="O319" s="2155">
        <f t="shared" si="296"/>
        <v>77.876345515467094</v>
      </c>
      <c r="P319" s="2155">
        <f t="shared" si="296"/>
        <v>82.335696076302995</v>
      </c>
      <c r="Q319" s="2155">
        <f t="shared" si="296"/>
        <v>82.335696076302995</v>
      </c>
      <c r="R319" s="2155">
        <f t="shared" si="296"/>
        <v>28.692029847448449</v>
      </c>
      <c r="S319" s="2155">
        <f t="shared" si="296"/>
        <v>49.293075151404643</v>
      </c>
      <c r="T319" s="2155">
        <f t="shared" si="296"/>
        <v>49.293075151404643</v>
      </c>
      <c r="U319" s="2155">
        <f t="shared" si="296"/>
        <v>106.74130592195846</v>
      </c>
      <c r="V319" s="2155">
        <f t="shared" si="296"/>
        <v>154.05629184478883</v>
      </c>
      <c r="W319" s="2155">
        <f t="shared" si="296"/>
        <v>154.05629184478883</v>
      </c>
      <c r="X319" s="2155">
        <f t="shared" si="296"/>
        <v>61.419273040439855</v>
      </c>
      <c r="Y319" s="2155">
        <f t="shared" si="296"/>
        <v>52.75790681894938</v>
      </c>
      <c r="Z319" s="2155">
        <f t="shared" si="296"/>
        <v>42.117077952833696</v>
      </c>
      <c r="AA319" s="2155">
        <f t="shared" si="296"/>
        <v>86.001962274809145</v>
      </c>
      <c r="AB319" s="2155">
        <f t="shared" si="296"/>
        <v>40.683219285583021</v>
      </c>
      <c r="AC319" s="2155">
        <f t="shared" si="296"/>
        <v>19.344433311096473</v>
      </c>
      <c r="AD319" s="2155">
        <f t="shared" si="296"/>
        <v>9.1605128027719562</v>
      </c>
      <c r="AE319" s="2155">
        <f t="shared" si="296"/>
        <v>3.6500031435816029</v>
      </c>
      <c r="AF319" s="2155">
        <f t="shared" si="296"/>
        <v>1.0373800303811365</v>
      </c>
      <c r="AG319" s="2155">
        <f t="shared" si="296"/>
        <v>169.35420595617018</v>
      </c>
      <c r="AH319" s="2155">
        <f t="shared" si="296"/>
        <v>151.19691850432577</v>
      </c>
      <c r="AI319" s="2155">
        <f t="shared" si="296"/>
        <v>101.37036968704595</v>
      </c>
      <c r="AJ319" s="2155">
        <f t="shared" si="296"/>
        <v>52.851576247190373</v>
      </c>
      <c r="AK319" s="2155">
        <f t="shared" si="296"/>
        <v>26.990978738287104</v>
      </c>
      <c r="AL319" s="2155">
        <f t="shared" si="296"/>
        <v>8.1334803854888946</v>
      </c>
      <c r="AM319" s="2155">
        <f t="shared" si="296"/>
        <v>1.3120034384499695</v>
      </c>
      <c r="AN319" s="2155">
        <f t="shared" ref="AN319:BI319" si="297">AN226/AN315</f>
        <v>14.906888463028853</v>
      </c>
      <c r="AO319" s="2155">
        <f t="shared" si="297"/>
        <v>3.5027395651172135</v>
      </c>
      <c r="AP319" s="2155">
        <f t="shared" si="297"/>
        <v>4.3539898980625766</v>
      </c>
      <c r="AQ319" s="2155">
        <f t="shared" si="297"/>
        <v>2.9930263099075218</v>
      </c>
      <c r="AR319" s="2155">
        <f t="shared" si="297"/>
        <v>1.7045274486378152</v>
      </c>
      <c r="AS319" s="2155">
        <f t="shared" si="297"/>
        <v>1.8419815727306537</v>
      </c>
      <c r="AT319" s="2155">
        <f t="shared" si="297"/>
        <v>1.1013945295692416</v>
      </c>
      <c r="AU319" s="2155">
        <f t="shared" si="297"/>
        <v>1.0977890317859769</v>
      </c>
      <c r="AV319" s="2155">
        <f t="shared" si="297"/>
        <v>1.0153375131965681</v>
      </c>
      <c r="AW319" s="2155">
        <f t="shared" si="297"/>
        <v>1.014719083619124</v>
      </c>
      <c r="AX319" s="2155">
        <f t="shared" si="297"/>
        <v>1</v>
      </c>
      <c r="AY319" s="2155">
        <f t="shared" si="297"/>
        <v>1</v>
      </c>
      <c r="AZ319" s="2155">
        <f t="shared" si="297"/>
        <v>1</v>
      </c>
      <c r="BA319" s="2155">
        <f t="shared" si="297"/>
        <v>1</v>
      </c>
      <c r="BB319" s="2155">
        <f t="shared" si="297"/>
        <v>1</v>
      </c>
      <c r="BC319" s="2155">
        <f t="shared" si="297"/>
        <v>1</v>
      </c>
      <c r="BD319" s="2155">
        <f t="shared" si="297"/>
        <v>1.4641339173721601</v>
      </c>
      <c r="BE319" s="2155">
        <f t="shared" si="297"/>
        <v>1.0139681595842569</v>
      </c>
      <c r="BF319" s="2155">
        <f t="shared" si="297"/>
        <v>1.0139681595842569</v>
      </c>
      <c r="BG319" s="2155">
        <f t="shared" si="297"/>
        <v>140.25292930414261</v>
      </c>
      <c r="BH319" s="2155">
        <f t="shared" si="297"/>
        <v>1.5828840716178931</v>
      </c>
      <c r="BI319" s="2155">
        <f t="shared" si="297"/>
        <v>6.7331987244433806</v>
      </c>
    </row>
    <row r="320" spans="1:61" s="2378" customFormat="1" ht="25.5">
      <c r="A320" s="2374"/>
      <c r="B320" s="397"/>
      <c r="C320" s="2375"/>
      <c r="D320" s="2373"/>
      <c r="E320" s="3662" t="s">
        <v>1149</v>
      </c>
      <c r="F320" s="2372" t="s">
        <v>300</v>
      </c>
      <c r="G320" s="2376" t="s">
        <v>35</v>
      </c>
      <c r="H320" s="2377">
        <f t="shared" ref="H320:AM320" si="298">H234/H317</f>
        <v>3.0031829034906172</v>
      </c>
      <c r="I320" s="2377">
        <f t="shared" si="298"/>
        <v>3.0031829034906172</v>
      </c>
      <c r="J320" s="2377">
        <f t="shared" si="298"/>
        <v>1.0593673620545818</v>
      </c>
      <c r="K320" s="2377">
        <f t="shared" si="298"/>
        <v>1</v>
      </c>
      <c r="L320" s="2377">
        <f t="shared" si="298"/>
        <v>1</v>
      </c>
      <c r="M320" s="2377">
        <f t="shared" si="298"/>
        <v>1</v>
      </c>
      <c r="N320" s="2377">
        <f t="shared" si="298"/>
        <v>1</v>
      </c>
      <c r="O320" s="2377">
        <f t="shared" si="298"/>
        <v>1</v>
      </c>
      <c r="P320" s="2377">
        <f t="shared" si="298"/>
        <v>1</v>
      </c>
      <c r="Q320" s="2377">
        <f t="shared" si="298"/>
        <v>1</v>
      </c>
      <c r="R320" s="2377">
        <f t="shared" si="298"/>
        <v>1</v>
      </c>
      <c r="S320" s="2377">
        <f t="shared" si="298"/>
        <v>1</v>
      </c>
      <c r="T320" s="2377">
        <f t="shared" si="298"/>
        <v>1</v>
      </c>
      <c r="U320" s="2377">
        <f t="shared" si="298"/>
        <v>1</v>
      </c>
      <c r="V320" s="2377">
        <f t="shared" si="298"/>
        <v>1</v>
      </c>
      <c r="W320" s="2377">
        <f t="shared" si="298"/>
        <v>1</v>
      </c>
      <c r="X320" s="2377">
        <f t="shared" si="298"/>
        <v>1</v>
      </c>
      <c r="Y320" s="2377">
        <f t="shared" si="298"/>
        <v>1</v>
      </c>
      <c r="Z320" s="2377">
        <f t="shared" si="298"/>
        <v>1</v>
      </c>
      <c r="AA320" s="2377">
        <f t="shared" si="298"/>
        <v>1</v>
      </c>
      <c r="AB320" s="2377">
        <f t="shared" si="298"/>
        <v>1</v>
      </c>
      <c r="AC320" s="2377">
        <f t="shared" si="298"/>
        <v>1.7584159925658458</v>
      </c>
      <c r="AD320" s="2377">
        <f t="shared" si="298"/>
        <v>4.254227104399928</v>
      </c>
      <c r="AE320" s="2377">
        <f t="shared" si="298"/>
        <v>3.6500031435816029</v>
      </c>
      <c r="AF320" s="2377">
        <f t="shared" si="298"/>
        <v>1.0373800303811365</v>
      </c>
      <c r="AG320" s="2377">
        <f t="shared" si="298"/>
        <v>1</v>
      </c>
      <c r="AH320" s="2377">
        <f t="shared" si="298"/>
        <v>1</v>
      </c>
      <c r="AI320" s="2377">
        <f t="shared" si="298"/>
        <v>1</v>
      </c>
      <c r="AJ320" s="2377">
        <f t="shared" si="298"/>
        <v>1</v>
      </c>
      <c r="AK320" s="2377">
        <f t="shared" si="298"/>
        <v>1.260002487586126</v>
      </c>
      <c r="AL320" s="2377">
        <f t="shared" si="298"/>
        <v>5.0085018888255561</v>
      </c>
      <c r="AM320" s="2377">
        <f t="shared" si="298"/>
        <v>1.3120034384499695</v>
      </c>
      <c r="AN320" s="2377">
        <f t="shared" ref="AN320:BI320" si="299">AN234/AN317</f>
        <v>2.3800217417667255</v>
      </c>
      <c r="AO320" s="2377">
        <f t="shared" si="299"/>
        <v>3.5027395651172135</v>
      </c>
      <c r="AP320" s="2377">
        <f t="shared" si="299"/>
        <v>4.3539898980625766</v>
      </c>
      <c r="AQ320" s="2377">
        <f t="shared" si="299"/>
        <v>2.9930263099075218</v>
      </c>
      <c r="AR320" s="2377">
        <f t="shared" si="299"/>
        <v>1.7045274486378152</v>
      </c>
      <c r="AS320" s="2377">
        <f t="shared" si="299"/>
        <v>1.8419815727306537</v>
      </c>
      <c r="AT320" s="2377">
        <f t="shared" si="299"/>
        <v>1.1013945295692416</v>
      </c>
      <c r="AU320" s="2377">
        <f t="shared" si="299"/>
        <v>1.0977890317859769</v>
      </c>
      <c r="AV320" s="2377">
        <f t="shared" si="299"/>
        <v>1.0153375131965681</v>
      </c>
      <c r="AW320" s="2377">
        <f t="shared" si="299"/>
        <v>1.014719083619124</v>
      </c>
      <c r="AX320" s="2377">
        <f t="shared" si="299"/>
        <v>1</v>
      </c>
      <c r="AY320" s="2377">
        <f t="shared" si="299"/>
        <v>1</v>
      </c>
      <c r="AZ320" s="2377">
        <f t="shared" si="299"/>
        <v>1</v>
      </c>
      <c r="BA320" s="2377">
        <f t="shared" si="299"/>
        <v>1</v>
      </c>
      <c r="BB320" s="2377">
        <f t="shared" si="299"/>
        <v>1</v>
      </c>
      <c r="BC320" s="2377">
        <f t="shared" si="299"/>
        <v>1</v>
      </c>
      <c r="BD320" s="2377">
        <f t="shared" si="299"/>
        <v>1.4641339173721601</v>
      </c>
      <c r="BE320" s="2377">
        <f t="shared" si="299"/>
        <v>1.0139681595842569</v>
      </c>
      <c r="BF320" s="2377">
        <f t="shared" si="299"/>
        <v>1.0139681595842569</v>
      </c>
      <c r="BG320" s="2377">
        <f t="shared" si="299"/>
        <v>1</v>
      </c>
      <c r="BH320" s="2377">
        <f t="shared" si="299"/>
        <v>1.5828840716178931</v>
      </c>
      <c r="BI320" s="2377">
        <f t="shared" si="299"/>
        <v>4.7741334538066882</v>
      </c>
    </row>
    <row r="321" spans="1:62" s="224" customFormat="1">
      <c r="A321" s="390"/>
      <c r="B321" s="78"/>
      <c r="C321" s="78"/>
      <c r="D321" s="2373"/>
      <c r="E321" s="525"/>
      <c r="F321" s="525"/>
      <c r="G321" s="526"/>
      <c r="H321" s="2161"/>
      <c r="I321" s="2161"/>
      <c r="J321" s="2161"/>
      <c r="K321" s="2161"/>
      <c r="L321" s="2161"/>
      <c r="M321" s="2161"/>
      <c r="N321" s="2161"/>
      <c r="O321" s="2161"/>
      <c r="P321" s="2161"/>
      <c r="Q321" s="2161"/>
      <c r="R321" s="2155"/>
      <c r="S321" s="2161"/>
      <c r="T321" s="2161"/>
      <c r="U321" s="2161"/>
      <c r="V321" s="2161"/>
      <c r="W321" s="2161"/>
      <c r="X321" s="2161"/>
      <c r="Y321" s="2161"/>
      <c r="Z321" s="2161"/>
      <c r="AA321" s="2161"/>
      <c r="AB321" s="2161"/>
      <c r="AC321" s="2161"/>
      <c r="AD321" s="2161"/>
      <c r="AE321" s="2161"/>
      <c r="AF321" s="2161"/>
      <c r="AG321" s="2161"/>
      <c r="AH321" s="2161"/>
      <c r="AI321" s="2161"/>
      <c r="AJ321" s="2161"/>
      <c r="AK321" s="2161"/>
      <c r="AL321" s="2161"/>
      <c r="AM321" s="2161"/>
      <c r="AN321" s="2161"/>
      <c r="AO321" s="2161"/>
      <c r="AP321" s="2161"/>
      <c r="AQ321" s="2161"/>
      <c r="AR321" s="2161"/>
      <c r="AS321" s="2161"/>
      <c r="AT321" s="2161"/>
      <c r="AU321" s="2161"/>
      <c r="AV321" s="2161"/>
      <c r="AW321" s="2161"/>
      <c r="AX321" s="2161"/>
      <c r="AY321" s="2161"/>
      <c r="AZ321" s="2161"/>
      <c r="BA321" s="2161"/>
      <c r="BB321" s="2161"/>
      <c r="BC321" s="2161"/>
      <c r="BD321" s="2161"/>
      <c r="BE321" s="2161"/>
      <c r="BF321" s="2161"/>
      <c r="BG321" s="2161"/>
      <c r="BH321" s="2161"/>
      <c r="BI321" s="2161"/>
    </row>
    <row r="322" spans="1:62" s="2100" customFormat="1" ht="13.15" customHeight="1">
      <c r="D322" s="2265"/>
      <c r="E322" s="3689" t="s">
        <v>1145</v>
      </c>
      <c r="F322" s="78"/>
      <c r="G322" s="3043"/>
      <c r="P322" s="78"/>
      <c r="Y322" s="78"/>
      <c r="Z322" s="78"/>
      <c r="AA322" s="78"/>
      <c r="AB322" s="78"/>
      <c r="AC322" s="78"/>
      <c r="AD322" s="78"/>
      <c r="AE322" s="78"/>
      <c r="AF322" s="78"/>
      <c r="AG322" s="78"/>
      <c r="AH322" s="78"/>
      <c r="AI322" s="78"/>
      <c r="AJ322" s="78"/>
      <c r="AK322" s="78"/>
      <c r="AL322" s="78"/>
      <c r="AM322" s="78"/>
      <c r="AN322" s="78"/>
      <c r="AO322" s="78"/>
      <c r="AP322" s="78"/>
      <c r="AQ322" s="78"/>
      <c r="AR322" s="78"/>
      <c r="AS322" s="78"/>
      <c r="AT322" s="78"/>
      <c r="AU322" s="78"/>
      <c r="AV322" s="78"/>
      <c r="AW322" s="78"/>
      <c r="AX322" s="78"/>
      <c r="AY322" s="78"/>
      <c r="AZ322" s="78"/>
      <c r="BA322" s="78"/>
      <c r="BB322" s="78"/>
      <c r="BC322" s="78"/>
      <c r="BD322" s="78"/>
      <c r="BE322" s="78"/>
      <c r="BF322" s="78"/>
      <c r="BG322" s="78"/>
      <c r="BH322" s="78"/>
      <c r="BI322" s="78"/>
      <c r="BJ322" s="78"/>
    </row>
    <row r="323" spans="1:62" s="2100" customFormat="1" ht="25.5">
      <c r="D323" s="2265"/>
      <c r="E323" s="3690" t="s">
        <v>610</v>
      </c>
      <c r="F323" s="78" t="s">
        <v>138</v>
      </c>
      <c r="G323" s="3043" t="s">
        <v>139</v>
      </c>
      <c r="H323" s="2370">
        <f t="shared" ref="H323:AM323" si="300">MIN(H226,H308+H213)</f>
        <v>2.5818033076547304E-3</v>
      </c>
      <c r="I323" s="2370">
        <f t="shared" si="300"/>
        <v>2.5818033076547304E-3</v>
      </c>
      <c r="J323" s="2370">
        <f t="shared" si="300"/>
        <v>1.1450354012622621E-3</v>
      </c>
      <c r="K323" s="2370">
        <f t="shared" si="300"/>
        <v>5.3958829151255251E-4</v>
      </c>
      <c r="L323" s="2370">
        <f t="shared" si="300"/>
        <v>6.5305896510445358E-4</v>
      </c>
      <c r="M323" s="2370">
        <f t="shared" si="300"/>
        <v>6.5305896510445358E-4</v>
      </c>
      <c r="N323" s="2370">
        <f t="shared" si="300"/>
        <v>5.5753819318349199E-4</v>
      </c>
      <c r="O323" s="2370">
        <f t="shared" si="300"/>
        <v>5.5753819318349199E-4</v>
      </c>
      <c r="P323" s="2371">
        <f t="shared" si="300"/>
        <v>5.211759689108292E-4</v>
      </c>
      <c r="Q323" s="2370">
        <f t="shared" si="300"/>
        <v>5.211759689108292E-4</v>
      </c>
      <c r="R323" s="2370">
        <f t="shared" si="300"/>
        <v>3.9559775389543059E-3</v>
      </c>
      <c r="S323" s="2370">
        <f t="shared" si="300"/>
        <v>8.0159926471404209E-4</v>
      </c>
      <c r="T323" s="2370">
        <f t="shared" si="300"/>
        <v>8.0159926471404209E-4</v>
      </c>
      <c r="U323" s="2370">
        <f t="shared" si="300"/>
        <v>4.7425646872518236E-4</v>
      </c>
      <c r="V323" s="2370">
        <f t="shared" si="300"/>
        <v>2.5845562301181688E-4</v>
      </c>
      <c r="W323" s="2370">
        <f t="shared" si="300"/>
        <v>2.5845562301181688E-4</v>
      </c>
      <c r="X323" s="2370">
        <f t="shared" si="300"/>
        <v>6.4734275910442859E-4</v>
      </c>
      <c r="Y323" s="2371">
        <f t="shared" si="300"/>
        <v>6.9120247277962895E-4</v>
      </c>
      <c r="Z323" s="2371">
        <f t="shared" si="300"/>
        <v>7.9955788733104198E-4</v>
      </c>
      <c r="AA323" s="2371">
        <f t="shared" si="300"/>
        <v>4.9604225438437048E-4</v>
      </c>
      <c r="AB323" s="2371">
        <f t="shared" si="300"/>
        <v>7.5850892685122627E-4</v>
      </c>
      <c r="AC323" s="2371">
        <f t="shared" si="300"/>
        <v>1.5500038863696518E-3</v>
      </c>
      <c r="AD323" s="2371">
        <f t="shared" si="300"/>
        <v>3.2616387777920268E-3</v>
      </c>
      <c r="AE323" s="2371">
        <f t="shared" si="300"/>
        <v>8.1834933832231581E-3</v>
      </c>
      <c r="AF323" s="2371">
        <f t="shared" si="300"/>
        <v>2.8793209870010768E-2</v>
      </c>
      <c r="AG323" s="2371">
        <f t="shared" si="300"/>
        <v>2.9876784996065098E-4</v>
      </c>
      <c r="AH323" s="2371">
        <f t="shared" si="300"/>
        <v>2.8913290823064797E-4</v>
      </c>
      <c r="AI323" s="2371">
        <f t="shared" si="300"/>
        <v>3.4804204320326812E-4</v>
      </c>
      <c r="AJ323" s="2371">
        <f t="shared" si="300"/>
        <v>5.8607936283864952E-4</v>
      </c>
      <c r="AK323" s="2371">
        <f t="shared" si="300"/>
        <v>1.1113796982770842E-3</v>
      </c>
      <c r="AL323" s="2371">
        <f t="shared" si="300"/>
        <v>3.6726396537988004E-3</v>
      </c>
      <c r="AM323" s="2371">
        <f t="shared" si="300"/>
        <v>2.2766329228421266E-2</v>
      </c>
      <c r="AN323" s="2371">
        <f t="shared" ref="AN323:BI323" si="301">MIN(AN226,AN308+AN213)</f>
        <v>2.0072971202790327E-3</v>
      </c>
      <c r="AO323" s="2371">
        <f t="shared" si="301"/>
        <v>8.5275732307821088E-3</v>
      </c>
      <c r="AP323" s="2371">
        <f t="shared" si="301"/>
        <v>6.860431724960793E-3</v>
      </c>
      <c r="AQ323" s="2371">
        <f t="shared" si="301"/>
        <v>9.979758226235081E-3</v>
      </c>
      <c r="AR323" s="2371">
        <f t="shared" si="301"/>
        <v>1.7523635498017349E-2</v>
      </c>
      <c r="AS323" s="2371">
        <f t="shared" si="301"/>
        <v>1.6215973691202899E-2</v>
      </c>
      <c r="AT323" s="2371">
        <f t="shared" si="301"/>
        <v>2.7119711097944699E-2</v>
      </c>
      <c r="AU323" s="2371">
        <f t="shared" si="301"/>
        <v>2.7208781047774962E-2</v>
      </c>
      <c r="AV323" s="2371">
        <f t="shared" si="301"/>
        <v>2.9418297294958522E-2</v>
      </c>
      <c r="AW323" s="2371">
        <f t="shared" si="301"/>
        <v>2.9436226530392743E-2</v>
      </c>
      <c r="AX323" s="2371">
        <f t="shared" si="301"/>
        <v>2.9869500750778842E-2</v>
      </c>
      <c r="AY323" s="2371">
        <f t="shared" si="301"/>
        <v>2.9869500750778842E-2</v>
      </c>
      <c r="AZ323" s="2371">
        <f t="shared" si="301"/>
        <v>2.9869500750778842E-2</v>
      </c>
      <c r="BA323" s="2371">
        <f t="shared" si="301"/>
        <v>2.9869500750778842E-2</v>
      </c>
      <c r="BB323" s="2371">
        <f t="shared" si="301"/>
        <v>2.9869500750778842E-2</v>
      </c>
      <c r="BC323" s="2371">
        <f t="shared" si="301"/>
        <v>2.9869500750778842E-2</v>
      </c>
      <c r="BD323" s="2371">
        <f t="shared" si="301"/>
        <v>2.0400808840268819E-2</v>
      </c>
      <c r="BE323" s="2371">
        <f t="shared" si="301"/>
        <v>2.9458026389827471E-2</v>
      </c>
      <c r="BF323" s="2371">
        <f t="shared" si="301"/>
        <v>2.9458026389827471E-2</v>
      </c>
      <c r="BG323" s="2371">
        <f t="shared" si="301"/>
        <v>2.8103436354184327E-4</v>
      </c>
      <c r="BH323" s="2371">
        <f t="shared" si="301"/>
        <v>1.8870309909899498E-2</v>
      </c>
      <c r="BI323" s="2371">
        <f t="shared" si="301"/>
        <v>4.4514594621261165E-3</v>
      </c>
      <c r="BJ323" s="78"/>
    </row>
    <row r="324" spans="1:62" s="2100" customFormat="1" ht="13.15" customHeight="1">
      <c r="D324" s="2265"/>
      <c r="E324" s="3690" t="s">
        <v>297</v>
      </c>
      <c r="F324" s="78" t="s">
        <v>1131</v>
      </c>
      <c r="G324" s="3043" t="s">
        <v>73</v>
      </c>
      <c r="H324" s="2370">
        <f t="shared" ref="H324:AM324" si="302">H$12/H$19*H323</f>
        <v>1.0009983245817953</v>
      </c>
      <c r="I324" s="2370">
        <f t="shared" si="302"/>
        <v>1.0009983245817953</v>
      </c>
      <c r="J324" s="2370">
        <f t="shared" si="302"/>
        <v>2.9143684740211695</v>
      </c>
      <c r="K324" s="2370">
        <f t="shared" si="302"/>
        <v>43.71316333405521</v>
      </c>
      <c r="L324" s="2370">
        <f t="shared" si="302"/>
        <v>9.8915620111119704</v>
      </c>
      <c r="M324" s="2370">
        <f t="shared" si="302"/>
        <v>9.8915620111119704</v>
      </c>
      <c r="N324" s="2370">
        <f t="shared" si="302"/>
        <v>16.655696062171291</v>
      </c>
      <c r="O324" s="2370">
        <f t="shared" si="302"/>
        <v>16.655696062171291</v>
      </c>
      <c r="P324" s="2371">
        <f t="shared" si="302"/>
        <v>16.997779847135266</v>
      </c>
      <c r="Q324" s="2370">
        <f t="shared" si="302"/>
        <v>16.997779847135266</v>
      </c>
      <c r="R324" s="2370">
        <f t="shared" si="302"/>
        <v>51.863048893057844</v>
      </c>
      <c r="S324" s="2370">
        <f t="shared" si="302"/>
        <v>9.8592926494235424</v>
      </c>
      <c r="T324" s="2370">
        <f t="shared" si="302"/>
        <v>9.8592926494235424</v>
      </c>
      <c r="U324" s="2370">
        <f t="shared" si="302"/>
        <v>27.462124642337702</v>
      </c>
      <c r="V324" s="2370">
        <f t="shared" si="302"/>
        <v>24.49643576052252</v>
      </c>
      <c r="W324" s="2370">
        <f t="shared" si="302"/>
        <v>24.49643576052252</v>
      </c>
      <c r="X324" s="2370">
        <f t="shared" si="302"/>
        <v>11.77046868963137</v>
      </c>
      <c r="Y324" s="2371">
        <f t="shared" si="302"/>
        <v>8.7103359270372884</v>
      </c>
      <c r="Z324" s="2371">
        <f t="shared" si="302"/>
        <v>5.9670611165447465</v>
      </c>
      <c r="AA324" s="2371">
        <f t="shared" si="302"/>
        <v>17.384370927321058</v>
      </c>
      <c r="AB324" s="2371">
        <f t="shared" si="302"/>
        <v>4.2949130734577068</v>
      </c>
      <c r="AC324" s="2371">
        <f t="shared" si="302"/>
        <v>1.7126178447478495</v>
      </c>
      <c r="AD324" s="2371">
        <f t="shared" si="302"/>
        <v>0.70538832713121835</v>
      </c>
      <c r="AE324" s="2371">
        <f t="shared" si="302"/>
        <v>0.22068398927375787</v>
      </c>
      <c r="AF324" s="2371">
        <f t="shared" si="302"/>
        <v>3.2182531702840494E-3</v>
      </c>
      <c r="AG324" s="2371">
        <f t="shared" si="302"/>
        <v>38.90689029548701</v>
      </c>
      <c r="AH324" s="2371">
        <f t="shared" si="302"/>
        <v>28.19167903094614</v>
      </c>
      <c r="AI324" s="2371">
        <f t="shared" si="302"/>
        <v>13.79869306530035</v>
      </c>
      <c r="AJ324" s="2371">
        <f t="shared" si="302"/>
        <v>5.5311872310851982</v>
      </c>
      <c r="AK324" s="2371">
        <f t="shared" si="302"/>
        <v>2.3911288573330336</v>
      </c>
      <c r="AL324" s="2371">
        <f t="shared" si="302"/>
        <v>0.59901844002985205</v>
      </c>
      <c r="AM324" s="2371">
        <f t="shared" si="302"/>
        <v>2.5704268543392854E-2</v>
      </c>
      <c r="AN324" s="2371">
        <f t="shared" ref="AN324:BI324" si="303">AN$12/AN$19*AN323</f>
        <v>1.262731545506518</v>
      </c>
      <c r="AO324" s="2371">
        <f t="shared" si="303"/>
        <v>0.20930326173930947</v>
      </c>
      <c r="AP324" s="2371">
        <f t="shared" si="303"/>
        <v>0.28169885792421318</v>
      </c>
      <c r="AQ324" s="2371">
        <f t="shared" si="303"/>
        <v>0.1659266478672056</v>
      </c>
      <c r="AR324" s="2371">
        <f t="shared" si="303"/>
        <v>5.8333920224711809E-2</v>
      </c>
      <c r="AS324" s="2371">
        <f t="shared" si="303"/>
        <v>6.9722778255832771E-2</v>
      </c>
      <c r="AT324" s="2371">
        <f t="shared" si="303"/>
        <v>8.5116318940323399E-3</v>
      </c>
      <c r="AU324" s="2371">
        <f t="shared" si="303"/>
        <v>8.215179629114007E-3</v>
      </c>
      <c r="AV324" s="2371">
        <f t="shared" si="303"/>
        <v>1.4170367022208511E-3</v>
      </c>
      <c r="AW324" s="2371">
        <f t="shared" si="303"/>
        <v>1.366264120929971E-3</v>
      </c>
      <c r="AX324" s="2371">
        <f t="shared" si="303"/>
        <v>4.8797843591209082E-5</v>
      </c>
      <c r="AY324" s="2371">
        <f t="shared" si="303"/>
        <v>3.3489769485975817E-5</v>
      </c>
      <c r="AZ324" s="2371">
        <f t="shared" si="303"/>
        <v>2.23638767032114E-5</v>
      </c>
      <c r="BA324" s="2371">
        <f t="shared" si="303"/>
        <v>3.8624699411720137E-6</v>
      </c>
      <c r="BB324" s="2371">
        <f t="shared" si="303"/>
        <v>6.1156045151905254E-5</v>
      </c>
      <c r="BC324" s="2371">
        <f t="shared" si="303"/>
        <v>1.6246181233548372E-11</v>
      </c>
      <c r="BD324" s="2371">
        <f t="shared" si="303"/>
        <v>4.0122992399681985E-2</v>
      </c>
      <c r="BE324" s="2371">
        <f t="shared" si="303"/>
        <v>1.2858852458542663E-3</v>
      </c>
      <c r="BF324" s="2371">
        <f t="shared" si="303"/>
        <v>1.2858852458542663E-3</v>
      </c>
      <c r="BG324" s="2371">
        <f t="shared" si="303"/>
        <v>22.277499808157582</v>
      </c>
      <c r="BH324" s="2371">
        <f t="shared" si="303"/>
        <v>4.9352315078311552E-2</v>
      </c>
      <c r="BI324" s="2371">
        <f t="shared" si="303"/>
        <v>0.63055444473236999</v>
      </c>
      <c r="BJ324" s="78"/>
    </row>
    <row r="325" spans="1:62" s="2100" customFormat="1" ht="38.25">
      <c r="D325" s="2265"/>
      <c r="E325" s="3690" t="s">
        <v>650</v>
      </c>
      <c r="F325" s="78" t="s">
        <v>138</v>
      </c>
      <c r="G325" s="3043" t="s">
        <v>139</v>
      </c>
      <c r="H325" s="2370">
        <f t="shared" ref="H325:AM325" si="304">MIN(H323,H$19)</f>
        <v>2.5818033076547304E-3</v>
      </c>
      <c r="I325" s="2370">
        <f t="shared" si="304"/>
        <v>2.5818033076547304E-3</v>
      </c>
      <c r="J325" s="2370">
        <f t="shared" si="304"/>
        <v>1.1450354012622621E-3</v>
      </c>
      <c r="K325" s="2370">
        <f t="shared" si="304"/>
        <v>3.7031519823149957E-5</v>
      </c>
      <c r="L325" s="2370">
        <f t="shared" si="304"/>
        <v>1.9806547167297369E-4</v>
      </c>
      <c r="M325" s="2370">
        <f t="shared" si="304"/>
        <v>1.9806547167297369E-4</v>
      </c>
      <c r="N325" s="2370">
        <f t="shared" si="304"/>
        <v>1.0042297681868412E-4</v>
      </c>
      <c r="O325" s="2370">
        <f t="shared" si="304"/>
        <v>1.0042297681868412E-4</v>
      </c>
      <c r="P325" s="2371">
        <f t="shared" si="304"/>
        <v>9.1984242694848056E-5</v>
      </c>
      <c r="Q325" s="2370">
        <f t="shared" si="304"/>
        <v>9.1984242694848056E-5</v>
      </c>
      <c r="R325" s="2370">
        <f t="shared" si="304"/>
        <v>2.2883214292577979E-4</v>
      </c>
      <c r="S325" s="2370">
        <f t="shared" si="304"/>
        <v>2.4391179769704181E-4</v>
      </c>
      <c r="T325" s="2370">
        <f t="shared" si="304"/>
        <v>2.4391179769704181E-4</v>
      </c>
      <c r="U325" s="2370">
        <f t="shared" si="304"/>
        <v>5.1808424319147455E-5</v>
      </c>
      <c r="V325" s="2370">
        <f t="shared" si="304"/>
        <v>3.1652232047774111E-5</v>
      </c>
      <c r="W325" s="2370">
        <f t="shared" si="304"/>
        <v>3.1652232047774111E-5</v>
      </c>
      <c r="X325" s="2370">
        <f t="shared" si="304"/>
        <v>1.6499158432187349E-4</v>
      </c>
      <c r="Y325" s="2371">
        <f t="shared" si="304"/>
        <v>2.3806285265098821E-4</v>
      </c>
      <c r="Z325" s="2371">
        <f t="shared" si="304"/>
        <v>4.0198577074103924E-4</v>
      </c>
      <c r="AA325" s="2371">
        <f t="shared" si="304"/>
        <v>8.5601415741445673E-5</v>
      </c>
      <c r="AB325" s="2371">
        <f t="shared" si="304"/>
        <v>5.2981905375833833E-4</v>
      </c>
      <c r="AC325" s="2371">
        <f t="shared" si="304"/>
        <v>1.5500038863696518E-3</v>
      </c>
      <c r="AD325" s="2371">
        <f t="shared" si="304"/>
        <v>3.2616387777920268E-3</v>
      </c>
      <c r="AE325" s="2371">
        <f t="shared" si="304"/>
        <v>8.1834933832231581E-3</v>
      </c>
      <c r="AF325" s="2371">
        <f t="shared" si="304"/>
        <v>2.8793209870010768E-2</v>
      </c>
      <c r="AG325" s="2371">
        <f t="shared" si="304"/>
        <v>2.3037141829500553E-5</v>
      </c>
      <c r="AH325" s="2371">
        <f t="shared" si="304"/>
        <v>3.0767898703010778E-5</v>
      </c>
      <c r="AI325" s="2371">
        <f t="shared" si="304"/>
        <v>7.5668479954487443E-5</v>
      </c>
      <c r="AJ325" s="2371">
        <f t="shared" si="304"/>
        <v>3.1787716001271374E-4</v>
      </c>
      <c r="AK325" s="2371">
        <f t="shared" si="304"/>
        <v>1.1113796982770842E-3</v>
      </c>
      <c r="AL325" s="2371">
        <f t="shared" si="304"/>
        <v>3.6726396537988004E-3</v>
      </c>
      <c r="AM325" s="2371">
        <f t="shared" si="304"/>
        <v>2.2766329228421266E-2</v>
      </c>
      <c r="AN325" s="2371">
        <f t="shared" ref="AN325:BI325" si="305">MIN(AN323,AN$19)</f>
        <v>2.0072971202790327E-3</v>
      </c>
      <c r="AO325" s="2371">
        <f t="shared" si="305"/>
        <v>8.5275732307821088E-3</v>
      </c>
      <c r="AP325" s="2371">
        <f t="shared" si="305"/>
        <v>6.860431724960793E-3</v>
      </c>
      <c r="AQ325" s="2371">
        <f t="shared" si="305"/>
        <v>9.979758226235081E-3</v>
      </c>
      <c r="AR325" s="2371">
        <f t="shared" si="305"/>
        <v>1.7523635498017349E-2</v>
      </c>
      <c r="AS325" s="2371">
        <f t="shared" si="305"/>
        <v>1.6215973691202899E-2</v>
      </c>
      <c r="AT325" s="2371">
        <f t="shared" si="305"/>
        <v>2.7119711097944699E-2</v>
      </c>
      <c r="AU325" s="2371">
        <f t="shared" si="305"/>
        <v>2.7208781047774962E-2</v>
      </c>
      <c r="AV325" s="2371">
        <f t="shared" si="305"/>
        <v>2.9418297294958522E-2</v>
      </c>
      <c r="AW325" s="2371">
        <f t="shared" si="305"/>
        <v>2.9436226530392743E-2</v>
      </c>
      <c r="AX325" s="2371">
        <f t="shared" si="305"/>
        <v>2.9869500750778842E-2</v>
      </c>
      <c r="AY325" s="2371">
        <f t="shared" si="305"/>
        <v>2.9869500750778842E-2</v>
      </c>
      <c r="AZ325" s="2371">
        <f t="shared" si="305"/>
        <v>2.9869500750778842E-2</v>
      </c>
      <c r="BA325" s="2371">
        <f t="shared" si="305"/>
        <v>2.9869500750778842E-2</v>
      </c>
      <c r="BB325" s="2371">
        <f t="shared" si="305"/>
        <v>2.9869500750778842E-2</v>
      </c>
      <c r="BC325" s="2371">
        <f t="shared" si="305"/>
        <v>2.9869500750778842E-2</v>
      </c>
      <c r="BD325" s="2371">
        <f t="shared" si="305"/>
        <v>2.0400808840268819E-2</v>
      </c>
      <c r="BE325" s="2371">
        <f t="shared" si="305"/>
        <v>2.9458026389827471E-2</v>
      </c>
      <c r="BF325" s="2371">
        <f t="shared" si="305"/>
        <v>2.9458026389827471E-2</v>
      </c>
      <c r="BG325" s="2371">
        <f t="shared" si="305"/>
        <v>3.7845498726782705E-5</v>
      </c>
      <c r="BH325" s="2371">
        <f t="shared" si="305"/>
        <v>1.8870309909899498E-2</v>
      </c>
      <c r="BI325" s="2371">
        <f t="shared" si="305"/>
        <v>4.4514594621261165E-3</v>
      </c>
      <c r="BJ325" s="78"/>
    </row>
    <row r="326" spans="1:62" s="2100" customFormat="1" ht="13.15" customHeight="1">
      <c r="D326" s="2265"/>
      <c r="E326" s="3690" t="s">
        <v>297</v>
      </c>
      <c r="F326" s="78" t="s">
        <v>1131</v>
      </c>
      <c r="G326" s="3043" t="s">
        <v>73</v>
      </c>
      <c r="H326" s="2370">
        <f t="shared" ref="H326:AM326" si="306">H$12/H$19*H325</f>
        <v>1.0009983245817953</v>
      </c>
      <c r="I326" s="2370">
        <f t="shared" si="306"/>
        <v>1.0009983245817953</v>
      </c>
      <c r="J326" s="2370">
        <f t="shared" si="306"/>
        <v>2.9143684740211695</v>
      </c>
      <c r="K326" s="2370">
        <f t="shared" si="306"/>
        <v>3</v>
      </c>
      <c r="L326" s="2370">
        <f t="shared" si="306"/>
        <v>3</v>
      </c>
      <c r="M326" s="2370">
        <f t="shared" si="306"/>
        <v>3</v>
      </c>
      <c r="N326" s="2370">
        <f t="shared" si="306"/>
        <v>3</v>
      </c>
      <c r="O326" s="2370">
        <f t="shared" si="306"/>
        <v>3</v>
      </c>
      <c r="P326" s="2371">
        <f t="shared" si="306"/>
        <v>3</v>
      </c>
      <c r="Q326" s="2370">
        <f t="shared" si="306"/>
        <v>3</v>
      </c>
      <c r="R326" s="2370">
        <f t="shared" si="306"/>
        <v>3</v>
      </c>
      <c r="S326" s="2370">
        <f t="shared" si="306"/>
        <v>3</v>
      </c>
      <c r="T326" s="2370">
        <f t="shared" si="306"/>
        <v>3</v>
      </c>
      <c r="U326" s="2370">
        <f t="shared" si="306"/>
        <v>3</v>
      </c>
      <c r="V326" s="2370">
        <f t="shared" si="306"/>
        <v>3</v>
      </c>
      <c r="W326" s="2370">
        <f t="shared" si="306"/>
        <v>3</v>
      </c>
      <c r="X326" s="2370">
        <f t="shared" si="306"/>
        <v>3</v>
      </c>
      <c r="Y326" s="2371">
        <f t="shared" si="306"/>
        <v>3</v>
      </c>
      <c r="Z326" s="2371">
        <f t="shared" si="306"/>
        <v>3</v>
      </c>
      <c r="AA326" s="2371">
        <f t="shared" si="306"/>
        <v>3</v>
      </c>
      <c r="AB326" s="2371">
        <f t="shared" si="306"/>
        <v>3.0000000000000004</v>
      </c>
      <c r="AC326" s="2371">
        <f t="shared" si="306"/>
        <v>1.7126178447478495</v>
      </c>
      <c r="AD326" s="2371">
        <f t="shared" si="306"/>
        <v>0.70538832713121835</v>
      </c>
      <c r="AE326" s="2371">
        <f t="shared" si="306"/>
        <v>0.22068398927375787</v>
      </c>
      <c r="AF326" s="2371">
        <f t="shared" si="306"/>
        <v>3.2182531702840494E-3</v>
      </c>
      <c r="AG326" s="2371">
        <f t="shared" si="306"/>
        <v>3</v>
      </c>
      <c r="AH326" s="2371">
        <f t="shared" si="306"/>
        <v>3</v>
      </c>
      <c r="AI326" s="2371">
        <f t="shared" si="306"/>
        <v>3</v>
      </c>
      <c r="AJ326" s="2371">
        <f t="shared" si="306"/>
        <v>3</v>
      </c>
      <c r="AK326" s="2371">
        <f t="shared" si="306"/>
        <v>2.3911288573330336</v>
      </c>
      <c r="AL326" s="2371">
        <f t="shared" si="306"/>
        <v>0.59901844002985205</v>
      </c>
      <c r="AM326" s="2371">
        <f t="shared" si="306"/>
        <v>2.5704268543392854E-2</v>
      </c>
      <c r="AN326" s="2371">
        <f t="shared" ref="AN326:BI326" si="307">AN$12/AN$19*AN325</f>
        <v>1.262731545506518</v>
      </c>
      <c r="AO326" s="2371">
        <f t="shared" si="307"/>
        <v>0.20930326173930947</v>
      </c>
      <c r="AP326" s="2371">
        <f t="shared" si="307"/>
        <v>0.28169885792421318</v>
      </c>
      <c r="AQ326" s="2371">
        <f t="shared" si="307"/>
        <v>0.1659266478672056</v>
      </c>
      <c r="AR326" s="2371">
        <f t="shared" si="307"/>
        <v>5.8333920224711809E-2</v>
      </c>
      <c r="AS326" s="2371">
        <f t="shared" si="307"/>
        <v>6.9722778255832771E-2</v>
      </c>
      <c r="AT326" s="2371">
        <f t="shared" si="307"/>
        <v>8.5116318940323399E-3</v>
      </c>
      <c r="AU326" s="2371">
        <f t="shared" si="307"/>
        <v>8.215179629114007E-3</v>
      </c>
      <c r="AV326" s="2371">
        <f t="shared" si="307"/>
        <v>1.4170367022208511E-3</v>
      </c>
      <c r="AW326" s="2371">
        <f t="shared" si="307"/>
        <v>1.366264120929971E-3</v>
      </c>
      <c r="AX326" s="2371">
        <f t="shared" si="307"/>
        <v>4.8797843591209082E-5</v>
      </c>
      <c r="AY326" s="2371">
        <f t="shared" si="307"/>
        <v>3.3489769485975817E-5</v>
      </c>
      <c r="AZ326" s="2371">
        <f t="shared" si="307"/>
        <v>2.23638767032114E-5</v>
      </c>
      <c r="BA326" s="2371">
        <f t="shared" si="307"/>
        <v>3.8624699411720137E-6</v>
      </c>
      <c r="BB326" s="2371">
        <f t="shared" si="307"/>
        <v>6.1156045151905254E-5</v>
      </c>
      <c r="BC326" s="2371">
        <f t="shared" si="307"/>
        <v>1.6246181233548372E-11</v>
      </c>
      <c r="BD326" s="2371">
        <f t="shared" si="307"/>
        <v>4.0122992399681985E-2</v>
      </c>
      <c r="BE326" s="2371">
        <f t="shared" si="307"/>
        <v>1.2858852458542663E-3</v>
      </c>
      <c r="BF326" s="2371">
        <f t="shared" si="307"/>
        <v>1.2858852458542663E-3</v>
      </c>
      <c r="BG326" s="2371">
        <f t="shared" si="307"/>
        <v>3</v>
      </c>
      <c r="BH326" s="2371">
        <f t="shared" si="307"/>
        <v>4.9352315078311552E-2</v>
      </c>
      <c r="BI326" s="2371">
        <f t="shared" si="307"/>
        <v>0.63055444473236999</v>
      </c>
      <c r="BJ326" s="78"/>
    </row>
    <row r="327" spans="1:62" s="2100" customFormat="1" ht="13.15" customHeight="1">
      <c r="D327" s="2265"/>
      <c r="E327" s="3691" t="s">
        <v>1151</v>
      </c>
      <c r="F327" s="78"/>
      <c r="G327" s="3043"/>
      <c r="H327" s="2370"/>
      <c r="I327" s="2370"/>
      <c r="J327" s="2370"/>
      <c r="K327" s="2370"/>
      <c r="L327" s="2370"/>
      <c r="M327" s="2370"/>
      <c r="N327" s="2370"/>
      <c r="O327" s="2370"/>
      <c r="P327" s="2371"/>
      <c r="Q327" s="2370"/>
      <c r="R327" s="2370"/>
      <c r="S327" s="2370"/>
      <c r="T327" s="2370"/>
      <c r="U327" s="2370"/>
      <c r="V327" s="2370"/>
      <c r="W327" s="2370"/>
      <c r="X327" s="2370"/>
      <c r="Y327" s="2371"/>
      <c r="Z327" s="2371"/>
      <c r="AA327" s="2371"/>
      <c r="AB327" s="2371"/>
      <c r="AC327" s="2371"/>
      <c r="AD327" s="2371"/>
      <c r="AE327" s="2371"/>
      <c r="AF327" s="2371"/>
      <c r="AG327" s="2371"/>
      <c r="AH327" s="2371"/>
      <c r="AI327" s="2371"/>
      <c r="AJ327" s="2371"/>
      <c r="AK327" s="2371"/>
      <c r="AL327" s="2371"/>
      <c r="AM327" s="2371"/>
      <c r="AN327" s="2371"/>
      <c r="AO327" s="2371"/>
      <c r="AP327" s="2371"/>
      <c r="AQ327" s="2371"/>
      <c r="AR327" s="2371"/>
      <c r="AS327" s="2371"/>
      <c r="AT327" s="2371"/>
      <c r="AU327" s="2371"/>
      <c r="AV327" s="2371"/>
      <c r="AW327" s="2371"/>
      <c r="AX327" s="2371"/>
      <c r="AY327" s="2371"/>
      <c r="AZ327" s="2371"/>
      <c r="BA327" s="2371"/>
      <c r="BB327" s="2371"/>
      <c r="BC327" s="2371"/>
      <c r="BD327" s="2371"/>
      <c r="BE327" s="2371"/>
      <c r="BF327" s="2371"/>
      <c r="BG327" s="2371"/>
      <c r="BH327" s="2371"/>
      <c r="BI327" s="2371"/>
      <c r="BJ327" s="78"/>
    </row>
    <row r="328" spans="1:62" s="2100" customFormat="1">
      <c r="D328" s="2265"/>
      <c r="E328" s="3690" t="s">
        <v>1147</v>
      </c>
      <c r="F328" s="78" t="s">
        <v>300</v>
      </c>
      <c r="G328" s="3043" t="s">
        <v>35</v>
      </c>
      <c r="H328" s="2370">
        <f t="shared" ref="H328:AM328" si="308">H226/H323</f>
        <v>11.569239477778742</v>
      </c>
      <c r="I328" s="2370">
        <f t="shared" si="308"/>
        <v>11.569239477778742</v>
      </c>
      <c r="J328" s="2370">
        <f t="shared" si="308"/>
        <v>26.086093685707318</v>
      </c>
      <c r="K328" s="2370">
        <f t="shared" si="308"/>
        <v>55.356095046187605</v>
      </c>
      <c r="L328" s="2370">
        <f t="shared" si="308"/>
        <v>45.737831263064223</v>
      </c>
      <c r="M328" s="2370">
        <f t="shared" si="308"/>
        <v>45.737831263064223</v>
      </c>
      <c r="N328" s="2370">
        <f t="shared" si="308"/>
        <v>53.573909583174434</v>
      </c>
      <c r="O328" s="2370">
        <f t="shared" si="308"/>
        <v>53.573909583174434</v>
      </c>
      <c r="P328" s="2371">
        <f t="shared" si="308"/>
        <v>57.31173832362439</v>
      </c>
      <c r="Q328" s="2370">
        <f t="shared" si="308"/>
        <v>57.31173832362439</v>
      </c>
      <c r="R328" s="2370">
        <f t="shared" si="308"/>
        <v>7.5520613435165744</v>
      </c>
      <c r="S328" s="2370">
        <f t="shared" si="308"/>
        <v>37.262385415777942</v>
      </c>
      <c r="T328" s="2370">
        <f t="shared" si="308"/>
        <v>37.262385415777942</v>
      </c>
      <c r="U328" s="2370">
        <f t="shared" si="308"/>
        <v>62.98174662976993</v>
      </c>
      <c r="V328" s="2370">
        <f t="shared" si="308"/>
        <v>115.56916581154505</v>
      </c>
      <c r="W328" s="2370">
        <f t="shared" si="308"/>
        <v>115.56916581154505</v>
      </c>
      <c r="X328" s="2370">
        <f t="shared" si="308"/>
        <v>46.141708284652843</v>
      </c>
      <c r="Y328" s="2371">
        <f t="shared" si="308"/>
        <v>43.213822182464789</v>
      </c>
      <c r="Z328" s="2371">
        <f t="shared" si="308"/>
        <v>37.357521230244501</v>
      </c>
      <c r="AA328" s="2371">
        <f t="shared" si="308"/>
        <v>60.215637854983477</v>
      </c>
      <c r="AB328" s="2371">
        <f t="shared" si="308"/>
        <v>39.379234302192252</v>
      </c>
      <c r="AC328" s="2371">
        <f t="shared" si="308"/>
        <v>19.270597327815622</v>
      </c>
      <c r="AD328" s="2371">
        <f t="shared" si="308"/>
        <v>9.1578199750859781</v>
      </c>
      <c r="AE328" s="2371">
        <f t="shared" si="308"/>
        <v>3.6499694387257406</v>
      </c>
      <c r="AF328" s="2371">
        <f t="shared" si="308"/>
        <v>1.0373800241663598</v>
      </c>
      <c r="AG328" s="2371">
        <f t="shared" si="308"/>
        <v>99.975619045733282</v>
      </c>
      <c r="AH328" s="2371">
        <f t="shared" si="308"/>
        <v>103.3071639391226</v>
      </c>
      <c r="AI328" s="2371">
        <f t="shared" si="308"/>
        <v>85.821530283725124</v>
      </c>
      <c r="AJ328" s="2371">
        <f t="shared" si="308"/>
        <v>50.964942027829188</v>
      </c>
      <c r="AK328" s="2371">
        <f t="shared" si="308"/>
        <v>26.876053968849728</v>
      </c>
      <c r="AL328" s="2371">
        <f t="shared" si="308"/>
        <v>8.1329788834260608</v>
      </c>
      <c r="AM328" s="2371">
        <f t="shared" si="308"/>
        <v>1.3120033735385872</v>
      </c>
      <c r="AN328" s="2371">
        <f t="shared" ref="AN328:BI328" si="309">AN226/AN323</f>
        <v>14.880458129002202</v>
      </c>
      <c r="AO328" s="2371">
        <f t="shared" si="309"/>
        <v>3.5026964814513066</v>
      </c>
      <c r="AP328" s="2371">
        <f t="shared" si="309"/>
        <v>4.3538806227168658</v>
      </c>
      <c r="AQ328" s="2371">
        <f t="shared" si="309"/>
        <v>2.9930084550803069</v>
      </c>
      <c r="AR328" s="2371">
        <f t="shared" si="309"/>
        <v>1.7045264810580159</v>
      </c>
      <c r="AS328" s="2371">
        <f t="shared" si="309"/>
        <v>1.8419800944165892</v>
      </c>
      <c r="AT328" s="2371">
        <f t="shared" si="309"/>
        <v>1.10139450390541</v>
      </c>
      <c r="AU328" s="2371">
        <f t="shared" si="309"/>
        <v>1.0977890078328763</v>
      </c>
      <c r="AV328" s="2371">
        <f t="shared" si="309"/>
        <v>1.0153375109135785</v>
      </c>
      <c r="AW328" s="2371">
        <f t="shared" si="309"/>
        <v>1.0147190816030289</v>
      </c>
      <c r="AX328" s="2371">
        <f t="shared" si="309"/>
        <v>1</v>
      </c>
      <c r="AY328" s="2371">
        <f t="shared" si="309"/>
        <v>1</v>
      </c>
      <c r="AZ328" s="2371">
        <f t="shared" si="309"/>
        <v>1</v>
      </c>
      <c r="BA328" s="2371">
        <f t="shared" si="309"/>
        <v>1</v>
      </c>
      <c r="BB328" s="2371">
        <f t="shared" si="309"/>
        <v>1</v>
      </c>
      <c r="BC328" s="2371">
        <f t="shared" si="309"/>
        <v>1</v>
      </c>
      <c r="BD328" s="2371">
        <f t="shared" si="309"/>
        <v>1.4641331618097382</v>
      </c>
      <c r="BE328" s="2371">
        <f t="shared" si="309"/>
        <v>1.013968157795305</v>
      </c>
      <c r="BF328" s="2371">
        <f t="shared" si="309"/>
        <v>1.013968157795305</v>
      </c>
      <c r="BG328" s="2371">
        <f t="shared" si="309"/>
        <v>106.28415818740815</v>
      </c>
      <c r="BH328" s="2371">
        <f t="shared" si="309"/>
        <v>1.5828834233988436</v>
      </c>
      <c r="BI328" s="2371">
        <f t="shared" si="309"/>
        <v>6.7100466723137364</v>
      </c>
      <c r="BJ328" s="78"/>
    </row>
    <row r="329" spans="1:62" s="2100" customFormat="1">
      <c r="D329" s="2265"/>
      <c r="E329" s="3690" t="s">
        <v>1148</v>
      </c>
      <c r="F329" s="78" t="s">
        <v>300</v>
      </c>
      <c r="G329" s="3043" t="s">
        <v>35</v>
      </c>
      <c r="H329" s="2370">
        <f t="shared" ref="H329:AM329" si="310">H234/H325</f>
        <v>2.9970080132285566</v>
      </c>
      <c r="I329" s="2370">
        <f t="shared" si="310"/>
        <v>2.9970080132285566</v>
      </c>
      <c r="J329" s="2370">
        <f t="shared" si="310"/>
        <v>1.0293825323538028</v>
      </c>
      <c r="K329" s="2370">
        <f t="shared" si="310"/>
        <v>1</v>
      </c>
      <c r="L329" s="2370">
        <f t="shared" si="310"/>
        <v>1</v>
      </c>
      <c r="M329" s="2370">
        <f t="shared" si="310"/>
        <v>1</v>
      </c>
      <c r="N329" s="2370">
        <f t="shared" si="310"/>
        <v>1</v>
      </c>
      <c r="O329" s="2370">
        <f t="shared" si="310"/>
        <v>1</v>
      </c>
      <c r="P329" s="2371">
        <f t="shared" si="310"/>
        <v>1</v>
      </c>
      <c r="Q329" s="2370">
        <f t="shared" si="310"/>
        <v>1</v>
      </c>
      <c r="R329" s="2370">
        <f t="shared" si="310"/>
        <v>1</v>
      </c>
      <c r="S329" s="2370">
        <f t="shared" si="310"/>
        <v>1</v>
      </c>
      <c r="T329" s="2370">
        <f t="shared" si="310"/>
        <v>1</v>
      </c>
      <c r="U329" s="2370">
        <f t="shared" si="310"/>
        <v>1</v>
      </c>
      <c r="V329" s="2370">
        <f t="shared" si="310"/>
        <v>1</v>
      </c>
      <c r="W329" s="2370">
        <f t="shared" si="310"/>
        <v>1</v>
      </c>
      <c r="X329" s="2370">
        <f t="shared" si="310"/>
        <v>1</v>
      </c>
      <c r="Y329" s="2371">
        <f t="shared" si="310"/>
        <v>1</v>
      </c>
      <c r="Z329" s="2371">
        <f t="shared" si="310"/>
        <v>1</v>
      </c>
      <c r="AA329" s="2371">
        <f t="shared" si="310"/>
        <v>1</v>
      </c>
      <c r="AB329" s="2371">
        <f t="shared" si="310"/>
        <v>1</v>
      </c>
      <c r="AC329" s="2371">
        <f t="shared" si="310"/>
        <v>1.7517042749497296</v>
      </c>
      <c r="AD329" s="2371">
        <f t="shared" si="310"/>
        <v>4.2529765302480422</v>
      </c>
      <c r="AE329" s="2371">
        <f t="shared" si="310"/>
        <v>3.6499694387257406</v>
      </c>
      <c r="AF329" s="2371">
        <f t="shared" si="310"/>
        <v>1.0373800241663598</v>
      </c>
      <c r="AG329" s="2371">
        <f t="shared" si="310"/>
        <v>1</v>
      </c>
      <c r="AH329" s="2371">
        <f t="shared" si="310"/>
        <v>1</v>
      </c>
      <c r="AI329" s="2371">
        <f t="shared" si="310"/>
        <v>1</v>
      </c>
      <c r="AJ329" s="2371">
        <f t="shared" si="310"/>
        <v>1</v>
      </c>
      <c r="AK329" s="2371">
        <f t="shared" si="310"/>
        <v>1.2546375285462767</v>
      </c>
      <c r="AL329" s="2371">
        <f t="shared" si="310"/>
        <v>5.0081930697333714</v>
      </c>
      <c r="AM329" s="2371">
        <f t="shared" si="310"/>
        <v>1.3120033735385872</v>
      </c>
      <c r="AN329" s="2371">
        <f t="shared" ref="AN329:BI329" si="311">AN234/AN325</f>
        <v>2.3758018960369074</v>
      </c>
      <c r="AO329" s="2371">
        <f t="shared" si="311"/>
        <v>3.5026964814513066</v>
      </c>
      <c r="AP329" s="2371">
        <f t="shared" si="311"/>
        <v>4.3538806227168658</v>
      </c>
      <c r="AQ329" s="2371">
        <f t="shared" si="311"/>
        <v>2.9930084550803069</v>
      </c>
      <c r="AR329" s="2371">
        <f t="shared" si="311"/>
        <v>1.7045264810580159</v>
      </c>
      <c r="AS329" s="2371">
        <f t="shared" si="311"/>
        <v>1.8419800944165892</v>
      </c>
      <c r="AT329" s="2371">
        <f t="shared" si="311"/>
        <v>1.10139450390541</v>
      </c>
      <c r="AU329" s="2371">
        <f t="shared" si="311"/>
        <v>1.0977890078328763</v>
      </c>
      <c r="AV329" s="2371">
        <f t="shared" si="311"/>
        <v>1.0153375109135785</v>
      </c>
      <c r="AW329" s="2371">
        <f t="shared" si="311"/>
        <v>1.0147190816030289</v>
      </c>
      <c r="AX329" s="2371">
        <f t="shared" si="311"/>
        <v>1</v>
      </c>
      <c r="AY329" s="2371">
        <f t="shared" si="311"/>
        <v>1</v>
      </c>
      <c r="AZ329" s="2371">
        <f t="shared" si="311"/>
        <v>1</v>
      </c>
      <c r="BA329" s="2371">
        <f t="shared" si="311"/>
        <v>1</v>
      </c>
      <c r="BB329" s="2371">
        <f t="shared" si="311"/>
        <v>1</v>
      </c>
      <c r="BC329" s="2371">
        <f t="shared" si="311"/>
        <v>1</v>
      </c>
      <c r="BD329" s="2371">
        <f t="shared" si="311"/>
        <v>1.4641331618097382</v>
      </c>
      <c r="BE329" s="2371">
        <f t="shared" si="311"/>
        <v>1.013968157795305</v>
      </c>
      <c r="BF329" s="2371">
        <f t="shared" si="311"/>
        <v>1.013968157795305</v>
      </c>
      <c r="BG329" s="2371">
        <f t="shared" si="311"/>
        <v>1</v>
      </c>
      <c r="BH329" s="2371">
        <f t="shared" si="311"/>
        <v>1.5828834233988436</v>
      </c>
      <c r="BI329" s="2371">
        <f t="shared" si="311"/>
        <v>4.7577176325722492</v>
      </c>
      <c r="BJ329" s="78"/>
    </row>
    <row r="330" spans="1:62" s="224" customFormat="1">
      <c r="A330" s="78"/>
      <c r="B330" s="78"/>
      <c r="C330" s="78"/>
      <c r="D330" s="2373"/>
      <c r="E330" s="3674" t="s">
        <v>1150</v>
      </c>
      <c r="F330" s="525"/>
      <c r="G330" s="526"/>
      <c r="H330" s="2161"/>
      <c r="I330" s="2161"/>
      <c r="J330" s="2161"/>
      <c r="K330" s="2161"/>
      <c r="L330" s="2161"/>
      <c r="M330" s="2161"/>
      <c r="N330" s="2161"/>
      <c r="O330" s="2161"/>
      <c r="P330" s="2161"/>
      <c r="Q330" s="2161"/>
      <c r="R330" s="2155"/>
      <c r="S330" s="2161"/>
      <c r="T330" s="2161"/>
      <c r="U330" s="2161"/>
      <c r="V330" s="2161"/>
      <c r="W330" s="2161"/>
      <c r="X330" s="2161"/>
      <c r="Y330" s="2161"/>
      <c r="Z330" s="2161"/>
      <c r="AA330" s="2161"/>
      <c r="AB330" s="2161"/>
      <c r="AC330" s="2161"/>
      <c r="AD330" s="2161"/>
      <c r="AE330" s="2161"/>
      <c r="AF330" s="2161"/>
      <c r="AG330" s="2161"/>
      <c r="AH330" s="2161"/>
      <c r="AI330" s="2161"/>
      <c r="AJ330" s="2161"/>
      <c r="AK330" s="2161"/>
      <c r="AL330" s="2161"/>
      <c r="AM330" s="2161"/>
      <c r="AN330" s="2161"/>
      <c r="AO330" s="2161"/>
      <c r="AP330" s="2161"/>
      <c r="AQ330" s="2161"/>
      <c r="AR330" s="2161"/>
      <c r="AS330" s="2161"/>
      <c r="AT330" s="2161"/>
      <c r="AU330" s="2161"/>
      <c r="AV330" s="2161"/>
      <c r="AW330" s="2161"/>
      <c r="AX330" s="2161"/>
      <c r="AY330" s="2161"/>
      <c r="AZ330" s="2161"/>
      <c r="BA330" s="2161"/>
      <c r="BB330" s="2161"/>
      <c r="BC330" s="2161"/>
      <c r="BD330" s="2161"/>
      <c r="BE330" s="2161"/>
      <c r="BF330" s="2161"/>
      <c r="BG330" s="2161"/>
      <c r="BH330" s="2161"/>
      <c r="BI330" s="2161"/>
    </row>
    <row r="331" spans="1:62" s="224" customFormat="1">
      <c r="A331" s="78"/>
      <c r="B331" s="78"/>
      <c r="C331" s="78"/>
      <c r="D331" s="2373"/>
      <c r="E331" s="3655" t="s">
        <v>1147</v>
      </c>
      <c r="F331" s="525"/>
      <c r="G331" s="526"/>
      <c r="H331" s="2161">
        <f t="shared" ref="H331:AM331" si="312">H323/H315</f>
        <v>1.0020603516022664</v>
      </c>
      <c r="I331" s="2161">
        <f t="shared" si="312"/>
        <v>1.0020603516022664</v>
      </c>
      <c r="J331" s="2161">
        <f t="shared" si="312"/>
        <v>1.0291289474596146</v>
      </c>
      <c r="K331" s="2161">
        <f t="shared" si="312"/>
        <v>2.1529498432162821</v>
      </c>
      <c r="L331" s="2161">
        <f t="shared" si="312"/>
        <v>1.2551468137163599</v>
      </c>
      <c r="M331" s="2161">
        <f t="shared" si="312"/>
        <v>1.2551468137163599</v>
      </c>
      <c r="N331" s="2161">
        <f t="shared" si="312"/>
        <v>1.4536244623805679</v>
      </c>
      <c r="O331" s="2161">
        <f t="shared" si="312"/>
        <v>1.4536244623805679</v>
      </c>
      <c r="P331" s="2161">
        <f t="shared" si="312"/>
        <v>1.4366288387794988</v>
      </c>
      <c r="Q331" s="2161">
        <f t="shared" si="312"/>
        <v>1.4366288387794988</v>
      </c>
      <c r="R331" s="2161">
        <f t="shared" si="312"/>
        <v>3.7992315663696883</v>
      </c>
      <c r="S331" s="2161">
        <f t="shared" si="312"/>
        <v>1.322864185998478</v>
      </c>
      <c r="T331" s="2161">
        <f t="shared" si="312"/>
        <v>1.322864185998478</v>
      </c>
      <c r="U331" s="2161">
        <f t="shared" si="312"/>
        <v>1.6947974871104075</v>
      </c>
      <c r="V331" s="2161">
        <f t="shared" si="312"/>
        <v>1.3330224438584555</v>
      </c>
      <c r="W331" s="2161">
        <f t="shared" si="312"/>
        <v>1.3330224438584555</v>
      </c>
      <c r="X331" s="2161">
        <f t="shared" si="312"/>
        <v>1.3311009783499599</v>
      </c>
      <c r="Y331" s="2161">
        <f t="shared" si="312"/>
        <v>1.2208572200854146</v>
      </c>
      <c r="Z331" s="78">
        <f t="shared" si="312"/>
        <v>1.1274055816833981</v>
      </c>
      <c r="AA331" s="78">
        <f t="shared" si="312"/>
        <v>1.4282330195011226</v>
      </c>
      <c r="AB331" s="78">
        <f t="shared" si="312"/>
        <v>1.0331135179872752</v>
      </c>
      <c r="AC331" s="78">
        <f t="shared" si="312"/>
        <v>1.0038315357860899</v>
      </c>
      <c r="AD331" s="78">
        <f t="shared" si="312"/>
        <v>1.0002940468029839</v>
      </c>
      <c r="AE331" s="78">
        <f t="shared" si="312"/>
        <v>1.0000092342844038</v>
      </c>
      <c r="AF331" s="78">
        <f t="shared" si="312"/>
        <v>1.0000000059908389</v>
      </c>
      <c r="AG331" s="78">
        <f t="shared" si="312"/>
        <v>1.6939550619706596</v>
      </c>
      <c r="AH331" s="78">
        <f t="shared" si="312"/>
        <v>1.4635666369993845</v>
      </c>
      <c r="AI331" s="78">
        <f t="shared" si="312"/>
        <v>1.1811764408292014</v>
      </c>
      <c r="AJ331" s="78">
        <f t="shared" si="312"/>
        <v>1.0370182746078862</v>
      </c>
      <c r="AK331" s="78">
        <f t="shared" si="312"/>
        <v>1.0042761027928646</v>
      </c>
      <c r="AL331" s="78">
        <f t="shared" si="312"/>
        <v>1.0000616627769507</v>
      </c>
      <c r="AM331" s="78">
        <f t="shared" si="312"/>
        <v>1.0000000494750116</v>
      </c>
      <c r="AN331" s="78">
        <f t="shared" ref="AN331:BI331" si="313">AN323/AN315</f>
        <v>1.0017761774400709</v>
      </c>
      <c r="AO331" s="78">
        <f t="shared" si="313"/>
        <v>1.0000123001425145</v>
      </c>
      <c r="AP331" s="78">
        <f t="shared" si="313"/>
        <v>1.0000250983789358</v>
      </c>
      <c r="AQ331" s="78">
        <f t="shared" si="313"/>
        <v>1.0000059655117861</v>
      </c>
      <c r="AR331" s="78">
        <f t="shared" si="313"/>
        <v>1.0000005676531343</v>
      </c>
      <c r="AS331" s="78">
        <f t="shared" si="313"/>
        <v>1.0000008025678828</v>
      </c>
      <c r="AT331" s="78">
        <f t="shared" si="313"/>
        <v>1.0000000233012163</v>
      </c>
      <c r="AU331" s="78">
        <f t="shared" si="313"/>
        <v>1.000000021819403</v>
      </c>
      <c r="AV331" s="78">
        <f t="shared" si="313"/>
        <v>1.0000000022485034</v>
      </c>
      <c r="AW331" s="78">
        <f t="shared" si="313"/>
        <v>1.0000000019868505</v>
      </c>
      <c r="AX331" s="78">
        <f t="shared" si="313"/>
        <v>1</v>
      </c>
      <c r="AY331" s="78">
        <f t="shared" si="313"/>
        <v>1</v>
      </c>
      <c r="AZ331" s="78">
        <f t="shared" si="313"/>
        <v>1</v>
      </c>
      <c r="BA331" s="78">
        <f t="shared" si="313"/>
        <v>1</v>
      </c>
      <c r="BB331" s="78">
        <f t="shared" si="313"/>
        <v>1</v>
      </c>
      <c r="BC331" s="78">
        <f t="shared" si="313"/>
        <v>1</v>
      </c>
      <c r="BD331" s="78">
        <f t="shared" si="313"/>
        <v>1.0000005160476122</v>
      </c>
      <c r="BE331" s="78">
        <f t="shared" si="313"/>
        <v>1.0000000017643076</v>
      </c>
      <c r="BF331" s="78">
        <f t="shared" si="313"/>
        <v>1.0000000017643076</v>
      </c>
      <c r="BG331" s="78">
        <f t="shared" si="313"/>
        <v>1.3196033321996885</v>
      </c>
      <c r="BH331" s="78">
        <f t="shared" si="313"/>
        <v>1.0000004095178709</v>
      </c>
      <c r="BI331" s="78">
        <f t="shared" si="313"/>
        <v>1.003450356347769</v>
      </c>
    </row>
    <row r="332" spans="1:62" s="2190" customFormat="1">
      <c r="A332" s="1685"/>
      <c r="B332" s="1685"/>
      <c r="C332" s="1685"/>
      <c r="D332" s="2373"/>
      <c r="E332" s="3658" t="s">
        <v>1148</v>
      </c>
      <c r="F332" s="2233"/>
      <c r="G332" s="2234"/>
      <c r="H332" s="2219">
        <f t="shared" ref="H332:AM332" si="314">H325/H317</f>
        <v>1.0020603516022664</v>
      </c>
      <c r="I332" s="2219">
        <f t="shared" si="314"/>
        <v>1.0020603516022664</v>
      </c>
      <c r="J332" s="2219">
        <f t="shared" si="314"/>
        <v>1.0291289474596146</v>
      </c>
      <c r="K332" s="2219">
        <f t="shared" si="314"/>
        <v>1</v>
      </c>
      <c r="L332" s="2219">
        <f t="shared" si="314"/>
        <v>1</v>
      </c>
      <c r="M332" s="2219">
        <f t="shared" si="314"/>
        <v>1</v>
      </c>
      <c r="N332" s="2219">
        <f t="shared" si="314"/>
        <v>1</v>
      </c>
      <c r="O332" s="2219">
        <f t="shared" si="314"/>
        <v>1</v>
      </c>
      <c r="P332" s="2219">
        <f t="shared" si="314"/>
        <v>1</v>
      </c>
      <c r="Q332" s="2219">
        <f t="shared" si="314"/>
        <v>1</v>
      </c>
      <c r="R332" s="2219">
        <f t="shared" si="314"/>
        <v>1</v>
      </c>
      <c r="S332" s="2219">
        <f t="shared" si="314"/>
        <v>1</v>
      </c>
      <c r="T332" s="2219">
        <f t="shared" si="314"/>
        <v>1</v>
      </c>
      <c r="U332" s="2219">
        <f t="shared" si="314"/>
        <v>1</v>
      </c>
      <c r="V332" s="2219">
        <f t="shared" si="314"/>
        <v>1</v>
      </c>
      <c r="W332" s="2219">
        <f t="shared" si="314"/>
        <v>1</v>
      </c>
      <c r="X332" s="2219">
        <f t="shared" si="314"/>
        <v>1</v>
      </c>
      <c r="Y332" s="2219">
        <f t="shared" si="314"/>
        <v>1</v>
      </c>
      <c r="Z332" s="1685">
        <f t="shared" si="314"/>
        <v>1</v>
      </c>
      <c r="AA332" s="1685">
        <f t="shared" si="314"/>
        <v>1</v>
      </c>
      <c r="AB332" s="1685">
        <f t="shared" si="314"/>
        <v>1</v>
      </c>
      <c r="AC332" s="1685">
        <f t="shared" si="314"/>
        <v>1.0038315357860899</v>
      </c>
      <c r="AD332" s="1685">
        <f t="shared" si="314"/>
        <v>1.0002940468029839</v>
      </c>
      <c r="AE332" s="1685">
        <f t="shared" si="314"/>
        <v>1.0000092342844038</v>
      </c>
      <c r="AF332" s="1685">
        <f t="shared" si="314"/>
        <v>1.0000000059908389</v>
      </c>
      <c r="AG332" s="1685">
        <f t="shared" si="314"/>
        <v>1</v>
      </c>
      <c r="AH332" s="1685">
        <f t="shared" si="314"/>
        <v>1</v>
      </c>
      <c r="AI332" s="1685">
        <f t="shared" si="314"/>
        <v>1</v>
      </c>
      <c r="AJ332" s="1685">
        <f t="shared" si="314"/>
        <v>1</v>
      </c>
      <c r="AK332" s="1685">
        <f t="shared" si="314"/>
        <v>1.0042761027928646</v>
      </c>
      <c r="AL332" s="1685">
        <f t="shared" si="314"/>
        <v>1.0000616627769507</v>
      </c>
      <c r="AM332" s="1685">
        <f t="shared" si="314"/>
        <v>1.0000000494750116</v>
      </c>
      <c r="AN332" s="1685">
        <f t="shared" ref="AN332:BI332" si="315">AN325/AN317</f>
        <v>1.0017761774400709</v>
      </c>
      <c r="AO332" s="1685">
        <f t="shared" si="315"/>
        <v>1.0000123001425145</v>
      </c>
      <c r="AP332" s="1685">
        <f t="shared" si="315"/>
        <v>1.0000250983789358</v>
      </c>
      <c r="AQ332" s="1685">
        <f t="shared" si="315"/>
        <v>1.0000059655117861</v>
      </c>
      <c r="AR332" s="1685">
        <f t="shared" si="315"/>
        <v>1.0000005676531343</v>
      </c>
      <c r="AS332" s="1685">
        <f t="shared" si="315"/>
        <v>1.0000008025678828</v>
      </c>
      <c r="AT332" s="1685">
        <f t="shared" si="315"/>
        <v>1.0000000233012163</v>
      </c>
      <c r="AU332" s="1685">
        <f t="shared" si="315"/>
        <v>1.000000021819403</v>
      </c>
      <c r="AV332" s="1685">
        <f t="shared" si="315"/>
        <v>1.0000000022485034</v>
      </c>
      <c r="AW332" s="1685">
        <f t="shared" si="315"/>
        <v>1.0000000019868505</v>
      </c>
      <c r="AX332" s="1685">
        <f t="shared" si="315"/>
        <v>1</v>
      </c>
      <c r="AY332" s="1685">
        <f t="shared" si="315"/>
        <v>1</v>
      </c>
      <c r="AZ332" s="1685">
        <f t="shared" si="315"/>
        <v>1</v>
      </c>
      <c r="BA332" s="1685">
        <f t="shared" si="315"/>
        <v>1</v>
      </c>
      <c r="BB332" s="1685">
        <f t="shared" si="315"/>
        <v>1</v>
      </c>
      <c r="BC332" s="1685">
        <f t="shared" si="315"/>
        <v>1</v>
      </c>
      <c r="BD332" s="1685">
        <f t="shared" si="315"/>
        <v>1.0000005160476122</v>
      </c>
      <c r="BE332" s="1685">
        <f t="shared" si="315"/>
        <v>1.0000000017643076</v>
      </c>
      <c r="BF332" s="1685">
        <f t="shared" si="315"/>
        <v>1.0000000017643076</v>
      </c>
      <c r="BG332" s="1685">
        <f t="shared" si="315"/>
        <v>1</v>
      </c>
      <c r="BH332" s="1685">
        <f t="shared" si="315"/>
        <v>1.0000004095178709</v>
      </c>
      <c r="BI332" s="1685">
        <f t="shared" si="315"/>
        <v>1.003450356347769</v>
      </c>
    </row>
    <row r="333" spans="1:62" s="224" customFormat="1">
      <c r="A333" s="78"/>
      <c r="B333" s="78"/>
      <c r="C333" s="78"/>
      <c r="D333" s="2373"/>
      <c r="E333" s="3655"/>
      <c r="F333" s="525"/>
      <c r="G333" s="526"/>
      <c r="H333" s="2161"/>
      <c r="I333" s="2161"/>
      <c r="J333" s="2161"/>
      <c r="K333" s="2161"/>
      <c r="L333" s="2161"/>
      <c r="M333" s="2161"/>
      <c r="N333" s="2161"/>
      <c r="O333" s="2161"/>
      <c r="P333" s="2161"/>
      <c r="Q333" s="2161"/>
      <c r="R333" s="2161"/>
      <c r="S333" s="2161"/>
      <c r="T333" s="2161"/>
      <c r="U333" s="2161"/>
      <c r="V333" s="2161"/>
      <c r="W333" s="2161"/>
      <c r="X333" s="2161"/>
      <c r="Y333" s="2161"/>
      <c r="Z333" s="2161"/>
      <c r="AA333" s="2161"/>
      <c r="AB333" s="2161"/>
      <c r="AC333" s="2161"/>
      <c r="AD333" s="2161"/>
      <c r="AE333" s="2161"/>
      <c r="AF333" s="2161"/>
      <c r="AG333" s="2161"/>
      <c r="AH333" s="2161"/>
      <c r="AI333" s="2161"/>
      <c r="AJ333" s="2161"/>
      <c r="AK333" s="2161"/>
      <c r="AL333" s="2161"/>
      <c r="AM333" s="2161"/>
      <c r="AN333" s="2161"/>
      <c r="AO333" s="2161"/>
      <c r="AP333" s="2161"/>
      <c r="AQ333" s="2161"/>
      <c r="AR333" s="2161"/>
      <c r="AS333" s="2161"/>
      <c r="AT333" s="2161"/>
      <c r="AU333" s="2161"/>
      <c r="AV333" s="2161"/>
      <c r="AW333" s="2161"/>
      <c r="AX333" s="2161"/>
      <c r="AY333" s="2161"/>
      <c r="AZ333" s="2161"/>
      <c r="BA333" s="2161"/>
      <c r="BB333" s="2161"/>
      <c r="BC333" s="2161"/>
      <c r="BD333" s="2161"/>
      <c r="BE333" s="2161"/>
      <c r="BF333" s="2161"/>
      <c r="BG333" s="2161"/>
      <c r="BH333" s="2161"/>
      <c r="BI333" s="2161"/>
    </row>
    <row r="334" spans="1:62">
      <c r="A334" s="2126"/>
      <c r="B334" s="2156"/>
      <c r="C334" s="2156"/>
      <c r="D334" s="2373"/>
      <c r="E334" s="3675" t="s">
        <v>950</v>
      </c>
      <c r="F334" s="2153"/>
      <c r="G334" s="2154"/>
      <c r="H334" s="2156"/>
      <c r="I334" s="2156"/>
      <c r="J334" s="2156"/>
      <c r="K334" s="2156"/>
      <c r="L334" s="2156"/>
      <c r="M334" s="2156"/>
      <c r="N334" s="2156"/>
      <c r="O334" s="2156"/>
      <c r="P334" s="2156"/>
      <c r="Q334" s="2156"/>
      <c r="S334" s="2156"/>
      <c r="T334" s="2156"/>
      <c r="U334" s="2156"/>
      <c r="V334" s="2156"/>
      <c r="W334" s="2156"/>
      <c r="X334" s="2156"/>
      <c r="Y334" s="2156"/>
      <c r="Z334" s="2156"/>
      <c r="AA334" s="2156"/>
      <c r="AB334" s="2156"/>
      <c r="AC334" s="2156"/>
      <c r="AD334" s="2156"/>
      <c r="AE334" s="2156"/>
      <c r="AF334" s="2156"/>
      <c r="AG334" s="2156"/>
      <c r="AH334" s="2156"/>
      <c r="AI334" s="2156"/>
      <c r="AJ334" s="2156"/>
      <c r="AK334" s="2156"/>
      <c r="AL334" s="2156"/>
      <c r="AM334" s="2156"/>
      <c r="AN334" s="2156"/>
      <c r="AO334" s="2156"/>
      <c r="AP334" s="2156"/>
      <c r="AQ334" s="2156"/>
      <c r="AR334" s="2156"/>
      <c r="AS334" s="2156"/>
      <c r="AT334" s="2156"/>
      <c r="AU334" s="2156"/>
      <c r="AV334" s="2156"/>
      <c r="AW334" s="2156"/>
      <c r="AX334" s="2156"/>
      <c r="AY334" s="2156"/>
      <c r="AZ334" s="2156"/>
      <c r="BA334" s="2156"/>
      <c r="BB334" s="2156"/>
      <c r="BC334" s="2156"/>
      <c r="BD334" s="2156"/>
      <c r="BE334" s="2156"/>
      <c r="BF334" s="2156"/>
      <c r="BG334" s="2156"/>
      <c r="BH334" s="2156"/>
      <c r="BI334" s="2156"/>
    </row>
    <row r="335" spans="1:62">
      <c r="A335" s="2126"/>
      <c r="B335" s="2156"/>
      <c r="C335" s="2156"/>
      <c r="D335" s="2373"/>
      <c r="E335" s="3675"/>
      <c r="F335" s="2153"/>
      <c r="G335" s="2154"/>
      <c r="H335" s="2156"/>
      <c r="I335" s="2156"/>
      <c r="J335" s="2156"/>
      <c r="K335" s="2156"/>
      <c r="L335" s="2156"/>
      <c r="M335" s="2156"/>
      <c r="N335" s="2156"/>
      <c r="O335" s="2156"/>
      <c r="P335" s="2156"/>
      <c r="Q335" s="2156"/>
      <c r="S335" s="2156"/>
      <c r="T335" s="2156"/>
      <c r="U335" s="2156"/>
      <c r="V335" s="2156"/>
      <c r="W335" s="2156"/>
      <c r="X335" s="2156"/>
      <c r="Y335" s="2156"/>
      <c r="Z335" s="2156"/>
      <c r="AA335" s="2156"/>
      <c r="AB335" s="2156"/>
      <c r="AC335" s="2156"/>
      <c r="AD335" s="2156"/>
      <c r="AE335" s="2156"/>
      <c r="AF335" s="2156"/>
      <c r="AG335" s="2156"/>
      <c r="AH335" s="2156"/>
      <c r="AI335" s="2156"/>
      <c r="AJ335" s="2156"/>
      <c r="AK335" s="2156"/>
      <c r="AL335" s="2156"/>
      <c r="AM335" s="2156"/>
      <c r="AN335" s="2156"/>
      <c r="AO335" s="2156"/>
      <c r="AP335" s="2156"/>
      <c r="AQ335" s="2156"/>
      <c r="AR335" s="2156"/>
      <c r="AS335" s="2156"/>
      <c r="AT335" s="2156"/>
      <c r="AU335" s="2156"/>
      <c r="AV335" s="2156"/>
      <c r="AW335" s="2156"/>
      <c r="AX335" s="2156"/>
      <c r="AY335" s="2156"/>
      <c r="AZ335" s="2156"/>
      <c r="BA335" s="2156"/>
      <c r="BB335" s="2156"/>
      <c r="BC335" s="2156"/>
      <c r="BD335" s="2156"/>
      <c r="BE335" s="2156"/>
      <c r="BF335" s="2156"/>
      <c r="BG335" s="2156"/>
      <c r="BH335" s="2156"/>
      <c r="BI335" s="2156"/>
    </row>
    <row r="336" spans="1:62">
      <c r="A336" s="2126"/>
      <c r="B336" s="2156"/>
      <c r="C336" s="2156"/>
      <c r="D336" s="2373"/>
      <c r="E336" s="3655" t="str">
        <f>E$23</f>
        <v>Durée d'exposition considérée</v>
      </c>
      <c r="F336" s="525" t="str">
        <f>F$23</f>
        <v>t</v>
      </c>
      <c r="G336" s="526" t="s">
        <v>951</v>
      </c>
      <c r="H336" s="2224">
        <f t="shared" ref="H336:AL336" si="316">H337/(30.5*24*3600)</f>
        <v>2</v>
      </c>
      <c r="I336" s="2224">
        <f t="shared" si="316"/>
        <v>2</v>
      </c>
      <c r="J336" s="2224">
        <f>J337/(30.5*24*3600)</f>
        <v>2</v>
      </c>
      <c r="K336" s="2224">
        <f t="shared" si="316"/>
        <v>2</v>
      </c>
      <c r="L336" s="2224">
        <f t="shared" si="316"/>
        <v>2</v>
      </c>
      <c r="M336" s="2224">
        <f t="shared" si="316"/>
        <v>2</v>
      </c>
      <c r="N336" s="2224">
        <f>N337/(30.5*24*3600)</f>
        <v>2</v>
      </c>
      <c r="O336" s="2224">
        <f>O337/(30.5*24*3600)</f>
        <v>2</v>
      </c>
      <c r="P336" s="2224">
        <f t="shared" si="316"/>
        <v>2</v>
      </c>
      <c r="Q336" s="2224">
        <f t="shared" si="316"/>
        <v>2</v>
      </c>
      <c r="R336" s="2224">
        <f>R337/(30.5*24*3600)</f>
        <v>2</v>
      </c>
      <c r="S336" s="2224">
        <f>S337/(30.5*24*3600)</f>
        <v>2</v>
      </c>
      <c r="T336" s="2224">
        <f>T337/(30.5*24*3600)</f>
        <v>2</v>
      </c>
      <c r="U336" s="2224">
        <f t="shared" si="316"/>
        <v>2</v>
      </c>
      <c r="V336" s="2224">
        <f t="shared" si="316"/>
        <v>2</v>
      </c>
      <c r="W336" s="2224">
        <f t="shared" si="316"/>
        <v>2</v>
      </c>
      <c r="X336" s="2224">
        <f t="shared" si="316"/>
        <v>2</v>
      </c>
      <c r="Y336" s="2224">
        <f t="shared" si="316"/>
        <v>2</v>
      </c>
      <c r="Z336" s="2224">
        <f t="shared" si="316"/>
        <v>2</v>
      </c>
      <c r="AA336" s="2224">
        <f t="shared" si="316"/>
        <v>2</v>
      </c>
      <c r="AB336" s="2224">
        <f t="shared" si="316"/>
        <v>2</v>
      </c>
      <c r="AC336" s="2224">
        <f t="shared" si="316"/>
        <v>2</v>
      </c>
      <c r="AD336" s="2224">
        <f t="shared" si="316"/>
        <v>2</v>
      </c>
      <c r="AE336" s="2224">
        <f t="shared" si="316"/>
        <v>2</v>
      </c>
      <c r="AF336" s="2224">
        <f t="shared" si="316"/>
        <v>2</v>
      </c>
      <c r="AG336" s="2224">
        <f t="shared" si="316"/>
        <v>2</v>
      </c>
      <c r="AH336" s="2224">
        <f t="shared" si="316"/>
        <v>2</v>
      </c>
      <c r="AI336" s="2224">
        <f t="shared" si="316"/>
        <v>2</v>
      </c>
      <c r="AJ336" s="2224">
        <f t="shared" si="316"/>
        <v>2</v>
      </c>
      <c r="AK336" s="2224">
        <f t="shared" si="316"/>
        <v>2</v>
      </c>
      <c r="AL336" s="2224">
        <f t="shared" si="316"/>
        <v>2</v>
      </c>
      <c r="AM336" s="2224">
        <f t="shared" ref="AM336:BI336" si="317">AM337/(30.5*24*3600)</f>
        <v>2</v>
      </c>
      <c r="AN336" s="2224">
        <f t="shared" si="317"/>
        <v>2</v>
      </c>
      <c r="AO336" s="2224">
        <f t="shared" si="317"/>
        <v>2</v>
      </c>
      <c r="AP336" s="2224">
        <f t="shared" si="317"/>
        <v>2</v>
      </c>
      <c r="AQ336" s="2224">
        <f t="shared" si="317"/>
        <v>2</v>
      </c>
      <c r="AR336" s="2224">
        <f t="shared" si="317"/>
        <v>2</v>
      </c>
      <c r="AS336" s="2224">
        <f t="shared" si="317"/>
        <v>2</v>
      </c>
      <c r="AT336" s="2224">
        <f t="shared" si="317"/>
        <v>2</v>
      </c>
      <c r="AU336" s="2224">
        <f t="shared" si="317"/>
        <v>2</v>
      </c>
      <c r="AV336" s="2224">
        <f t="shared" si="317"/>
        <v>2</v>
      </c>
      <c r="AW336" s="2224">
        <f t="shared" si="317"/>
        <v>2</v>
      </c>
      <c r="AX336" s="2224">
        <f t="shared" si="317"/>
        <v>2</v>
      </c>
      <c r="AY336" s="2224">
        <f t="shared" si="317"/>
        <v>2</v>
      </c>
      <c r="AZ336" s="2224">
        <f t="shared" si="317"/>
        <v>2</v>
      </c>
      <c r="BA336" s="2224">
        <f t="shared" si="317"/>
        <v>2</v>
      </c>
      <c r="BB336" s="2224">
        <f t="shared" si="317"/>
        <v>2</v>
      </c>
      <c r="BC336" s="2224">
        <f t="shared" si="317"/>
        <v>2</v>
      </c>
      <c r="BD336" s="2224">
        <f t="shared" si="317"/>
        <v>2</v>
      </c>
      <c r="BE336" s="2224">
        <f t="shared" si="317"/>
        <v>2</v>
      </c>
      <c r="BF336" s="2224">
        <f t="shared" si="317"/>
        <v>2</v>
      </c>
      <c r="BG336" s="2224">
        <f t="shared" si="317"/>
        <v>2</v>
      </c>
      <c r="BH336" s="2224">
        <f t="shared" si="317"/>
        <v>2</v>
      </c>
      <c r="BI336" s="2224">
        <f t="shared" si="317"/>
        <v>2</v>
      </c>
    </row>
    <row r="337" spans="1:61" s="529" customFormat="1" ht="13.15" customHeight="1">
      <c r="A337" s="523"/>
      <c r="B337" s="224"/>
      <c r="C337" s="524"/>
      <c r="D337" s="2373"/>
      <c r="E337" s="3655" t="str">
        <f>E$23</f>
        <v>Durée d'exposition considérée</v>
      </c>
      <c r="F337" s="525" t="str">
        <f>F$23</f>
        <v>t</v>
      </c>
      <c r="G337" s="526" t="str">
        <f t="shared" ref="G337:AK337" si="318">G$23</f>
        <v>s</v>
      </c>
      <c r="H337" s="2161">
        <f t="shared" si="318"/>
        <v>5270400</v>
      </c>
      <c r="I337" s="2161">
        <f t="shared" si="318"/>
        <v>5270400</v>
      </c>
      <c r="J337" s="2161">
        <f>J$23</f>
        <v>5270400</v>
      </c>
      <c r="K337" s="2161">
        <f t="shared" si="318"/>
        <v>5270400</v>
      </c>
      <c r="L337" s="2161">
        <f t="shared" si="318"/>
        <v>5270400</v>
      </c>
      <c r="M337" s="2161">
        <f t="shared" si="318"/>
        <v>5270400</v>
      </c>
      <c r="N337" s="2161">
        <f>N$23</f>
        <v>5270400</v>
      </c>
      <c r="O337" s="2161">
        <f>O$23</f>
        <v>5270400</v>
      </c>
      <c r="P337" s="2161">
        <f t="shared" si="318"/>
        <v>5270400</v>
      </c>
      <c r="Q337" s="2161">
        <f t="shared" si="318"/>
        <v>5270400</v>
      </c>
      <c r="R337" s="2161">
        <f>R$23</f>
        <v>5270400</v>
      </c>
      <c r="S337" s="2161">
        <f>S$23</f>
        <v>5270400</v>
      </c>
      <c r="T337" s="2161">
        <f>T$23</f>
        <v>5270400</v>
      </c>
      <c r="U337" s="2161">
        <f t="shared" si="318"/>
        <v>5270400</v>
      </c>
      <c r="V337" s="2161">
        <f t="shared" si="318"/>
        <v>5270400</v>
      </c>
      <c r="W337" s="2161">
        <f t="shared" si="318"/>
        <v>5270400</v>
      </c>
      <c r="X337" s="2161">
        <f t="shared" si="318"/>
        <v>5270400</v>
      </c>
      <c r="Y337" s="2161">
        <f t="shared" si="318"/>
        <v>5270400</v>
      </c>
      <c r="Z337" s="2161">
        <f t="shared" si="318"/>
        <v>5270400</v>
      </c>
      <c r="AA337" s="2215">
        <f t="shared" si="318"/>
        <v>5270400</v>
      </c>
      <c r="AB337" s="2161">
        <f t="shared" si="318"/>
        <v>5270400</v>
      </c>
      <c r="AC337" s="2161">
        <f t="shared" si="318"/>
        <v>5270400</v>
      </c>
      <c r="AD337" s="2161">
        <f t="shared" si="318"/>
        <v>5270400</v>
      </c>
      <c r="AE337" s="2161">
        <f t="shared" si="318"/>
        <v>5270400</v>
      </c>
      <c r="AF337" s="2161">
        <f t="shared" si="318"/>
        <v>5270400</v>
      </c>
      <c r="AG337" s="2161">
        <f t="shared" si="318"/>
        <v>5270400</v>
      </c>
      <c r="AH337" s="2161">
        <f t="shared" si="318"/>
        <v>5270400</v>
      </c>
      <c r="AI337" s="2161">
        <f t="shared" si="318"/>
        <v>5270400</v>
      </c>
      <c r="AJ337" s="2161">
        <f t="shared" si="318"/>
        <v>5270400</v>
      </c>
      <c r="AK337" s="2161">
        <f t="shared" si="318"/>
        <v>5270400</v>
      </c>
      <c r="AL337" s="2161">
        <f t="shared" ref="AL337:BI337" si="319">AL$23</f>
        <v>5270400</v>
      </c>
      <c r="AM337" s="2161">
        <f t="shared" si="319"/>
        <v>5270400</v>
      </c>
      <c r="AN337" s="2155">
        <f t="shared" si="319"/>
        <v>5270400</v>
      </c>
      <c r="AO337" s="2161">
        <f t="shared" si="319"/>
        <v>5270400</v>
      </c>
      <c r="AP337" s="2161">
        <f t="shared" si="319"/>
        <v>5270400</v>
      </c>
      <c r="AQ337" s="2161">
        <f t="shared" si="319"/>
        <v>5270400</v>
      </c>
      <c r="AR337" s="2161">
        <f t="shared" si="319"/>
        <v>5270400</v>
      </c>
      <c r="AS337" s="2161">
        <f t="shared" si="319"/>
        <v>5270400</v>
      </c>
      <c r="AT337" s="2161">
        <f t="shared" si="319"/>
        <v>5270400</v>
      </c>
      <c r="AU337" s="2161">
        <f t="shared" si="319"/>
        <v>5270400</v>
      </c>
      <c r="AV337" s="2161">
        <f t="shared" si="319"/>
        <v>5270400</v>
      </c>
      <c r="AW337" s="2161">
        <f t="shared" si="319"/>
        <v>5270400</v>
      </c>
      <c r="AX337" s="2161">
        <f t="shared" si="319"/>
        <v>5270400</v>
      </c>
      <c r="AY337" s="2161">
        <f t="shared" si="319"/>
        <v>5270400</v>
      </c>
      <c r="AZ337" s="2161">
        <f t="shared" si="319"/>
        <v>5270400</v>
      </c>
      <c r="BA337" s="2161">
        <f t="shared" si="319"/>
        <v>5270400</v>
      </c>
      <c r="BB337" s="2161">
        <f t="shared" si="319"/>
        <v>5270400</v>
      </c>
      <c r="BC337" s="2161">
        <f t="shared" si="319"/>
        <v>5270400</v>
      </c>
      <c r="BD337" s="2161">
        <f t="shared" si="319"/>
        <v>5270400</v>
      </c>
      <c r="BE337" s="2161">
        <f t="shared" si="319"/>
        <v>5270400</v>
      </c>
      <c r="BF337" s="2161">
        <f t="shared" si="319"/>
        <v>5270400</v>
      </c>
      <c r="BG337" s="2161">
        <f t="shared" si="319"/>
        <v>5270400</v>
      </c>
      <c r="BH337" s="2161">
        <f t="shared" si="319"/>
        <v>5270400</v>
      </c>
      <c r="BI337" s="2161">
        <f t="shared" si="319"/>
        <v>5270400</v>
      </c>
    </row>
    <row r="338" spans="1:61" ht="13.15" customHeight="1">
      <c r="A338" s="2149"/>
      <c r="B338" s="2150"/>
      <c r="C338" s="2151"/>
      <c r="D338" s="2243"/>
      <c r="E338" s="3676" t="s">
        <v>579</v>
      </c>
      <c r="F338" s="2153" t="s">
        <v>1132</v>
      </c>
      <c r="G338" s="2154" t="str">
        <f>Sols!T35</f>
        <v>m3/m/Pa/s</v>
      </c>
      <c r="H338" s="2155">
        <f>Sols!$U15</f>
        <v>3.0472745960090518E-7</v>
      </c>
      <c r="I338" s="2155">
        <f>Sols!$U15</f>
        <v>3.0472745960090518E-7</v>
      </c>
      <c r="J338" s="2155">
        <f>Sols!$U15</f>
        <v>3.0472745960090518E-7</v>
      </c>
      <c r="K338" s="2155">
        <f>Sols!$U15</f>
        <v>3.0472745960090518E-7</v>
      </c>
      <c r="L338" s="2155">
        <f>Sols!$U15</f>
        <v>3.0472745960090518E-7</v>
      </c>
      <c r="M338" s="2155">
        <f>Sols!$U15</f>
        <v>3.0472745960090518E-7</v>
      </c>
      <c r="N338" s="2155">
        <f>Sols!$U15</f>
        <v>3.0472745960090518E-7</v>
      </c>
      <c r="O338" s="2155">
        <f>Sols!$U15</f>
        <v>3.0472745960090518E-7</v>
      </c>
      <c r="P338" s="2155">
        <f>Sols!$U15</f>
        <v>3.0472745960090518E-7</v>
      </c>
      <c r="Q338" s="2155">
        <f>Sols!$U15</f>
        <v>3.0472745960090518E-7</v>
      </c>
      <c r="R338" s="2155">
        <f>Sols!$U15</f>
        <v>3.0472745960090518E-7</v>
      </c>
      <c r="S338" s="2155">
        <f>Sols!$U15</f>
        <v>3.0472745960090518E-7</v>
      </c>
      <c r="T338" s="2155">
        <f>Sols!$U15</f>
        <v>3.0472745960090518E-7</v>
      </c>
      <c r="U338" s="2155">
        <f>Sols!$U15</f>
        <v>3.0472745960090518E-7</v>
      </c>
      <c r="V338" s="2155">
        <f>Sols!$U15</f>
        <v>3.0472745960090518E-7</v>
      </c>
      <c r="W338" s="2155">
        <f>Sols!$U15</f>
        <v>3.0472745960090518E-7</v>
      </c>
      <c r="X338" s="2155">
        <f>Sols!$U15</f>
        <v>3.0472745960090518E-7</v>
      </c>
      <c r="Y338" s="2155">
        <f>Sols!$U15</f>
        <v>3.0472745960090518E-7</v>
      </c>
      <c r="Z338" s="2155">
        <f>Sols!$U15</f>
        <v>3.0472745960090518E-7</v>
      </c>
      <c r="AA338" s="2155">
        <f>Sols!$U15</f>
        <v>3.0472745960090518E-7</v>
      </c>
      <c r="AB338" s="2155">
        <f>Sols!$U15</f>
        <v>3.0472745960090518E-7</v>
      </c>
      <c r="AC338" s="2155">
        <f>Sols!$U15</f>
        <v>3.0472745960090518E-7</v>
      </c>
      <c r="AD338" s="2155">
        <f>Sols!$U15</f>
        <v>3.0472745960090518E-7</v>
      </c>
      <c r="AE338" s="2155">
        <f>Sols!$U15</f>
        <v>3.0472745960090518E-7</v>
      </c>
      <c r="AF338" s="2155">
        <f>Sols!$U15</f>
        <v>3.0472745960090518E-7</v>
      </c>
      <c r="AG338" s="2155">
        <f>Sols!$U15</f>
        <v>3.0472745960090518E-7</v>
      </c>
      <c r="AH338" s="2155">
        <f>Sols!$U15</f>
        <v>3.0472745960090518E-7</v>
      </c>
      <c r="AI338" s="2155">
        <f>Sols!$U15</f>
        <v>3.0472745960090518E-7</v>
      </c>
      <c r="AJ338" s="2155">
        <f>Sols!$U15</f>
        <v>3.0472745960090518E-7</v>
      </c>
      <c r="AK338" s="2155">
        <f>Sols!$U15</f>
        <v>3.0472745960090518E-7</v>
      </c>
      <c r="AL338" s="2155">
        <f>Sols!$U15</f>
        <v>3.0472745960090518E-7</v>
      </c>
      <c r="AM338" s="2155">
        <f>Sols!$U15</f>
        <v>3.0472745960090518E-7</v>
      </c>
      <c r="AN338" s="2155">
        <f>Sols!$U15</f>
        <v>3.0472745960090518E-7</v>
      </c>
      <c r="AO338" s="2155">
        <f>Sols!$U15</f>
        <v>3.0472745960090518E-7</v>
      </c>
      <c r="AP338" s="2155">
        <f>Sols!$U15</f>
        <v>3.0472745960090518E-7</v>
      </c>
      <c r="AQ338" s="2155">
        <f>Sols!$U15</f>
        <v>3.0472745960090518E-7</v>
      </c>
      <c r="AR338" s="2155">
        <f>Sols!$U15</f>
        <v>3.0472745960090518E-7</v>
      </c>
      <c r="AS338" s="2155">
        <f>Sols!$U15</f>
        <v>3.0472745960090518E-7</v>
      </c>
      <c r="AT338" s="2155">
        <f>Sols!$U15</f>
        <v>3.0472745960090518E-7</v>
      </c>
      <c r="AU338" s="2155">
        <f>Sols!$U15</f>
        <v>3.0472745960090518E-7</v>
      </c>
      <c r="AV338" s="2155">
        <f>Sols!$U15</f>
        <v>3.0472745960090518E-7</v>
      </c>
      <c r="AW338" s="2155">
        <f>Sols!$U15</f>
        <v>3.0472745960090518E-7</v>
      </c>
      <c r="AX338" s="2155">
        <f>Sols!$U15</f>
        <v>3.0472745960090518E-7</v>
      </c>
      <c r="AY338" s="2155">
        <f>Sols!$U15</f>
        <v>3.0472745960090518E-7</v>
      </c>
      <c r="AZ338" s="2155">
        <f>Sols!$U15</f>
        <v>3.0472745960090518E-7</v>
      </c>
      <c r="BA338" s="2155">
        <f>Sols!$U15</f>
        <v>3.0472745960090518E-7</v>
      </c>
      <c r="BB338" s="2155">
        <f>Sols!$U15</f>
        <v>3.0472745960090518E-7</v>
      </c>
      <c r="BC338" s="2155">
        <f>Sols!$U15</f>
        <v>3.0472745960090518E-7</v>
      </c>
      <c r="BD338" s="2155">
        <f>Sols!$U15</f>
        <v>3.0472745960090518E-7</v>
      </c>
      <c r="BE338" s="2155">
        <f>Sols!$U15</f>
        <v>3.0472745960090518E-7</v>
      </c>
      <c r="BF338" s="2155">
        <f>Sols!$U15</f>
        <v>3.0472745960090518E-7</v>
      </c>
      <c r="BG338" s="2155">
        <f>Sols!$U15</f>
        <v>3.0472745960090518E-7</v>
      </c>
      <c r="BH338" s="2155">
        <f>Sols!$U15</f>
        <v>3.0472745960090518E-7</v>
      </c>
      <c r="BI338" s="2155">
        <f>Sols!$U15</f>
        <v>3.0472745960090518E-7</v>
      </c>
    </row>
    <row r="339" spans="1:61" ht="13.15" customHeight="1">
      <c r="A339" s="2149"/>
      <c r="B339" s="2150"/>
      <c r="C339" s="2151"/>
      <c r="D339" s="2243"/>
      <c r="E339" s="3676"/>
      <c r="F339" s="2153"/>
      <c r="G339" s="2154"/>
      <c r="H339" s="2155"/>
      <c r="I339" s="2155"/>
      <c r="J339" s="2155"/>
      <c r="K339" s="2155"/>
      <c r="L339" s="2155"/>
      <c r="M339" s="2155"/>
      <c r="N339" s="2155"/>
      <c r="O339" s="2155"/>
      <c r="P339" s="2155"/>
      <c r="Q339" s="2155"/>
      <c r="R339" s="2155"/>
      <c r="S339" s="2155"/>
      <c r="T339" s="2155"/>
      <c r="U339" s="2155"/>
      <c r="V339" s="2155"/>
      <c r="W339" s="2155"/>
      <c r="X339" s="2155"/>
      <c r="Y339" s="2155"/>
      <c r="Z339" s="2155"/>
      <c r="AA339" s="2155"/>
      <c r="AB339" s="2155"/>
      <c r="AC339" s="2155"/>
      <c r="AD339" s="2155"/>
      <c r="AE339" s="2155"/>
      <c r="AF339" s="2155"/>
      <c r="AG339" s="2155"/>
      <c r="AH339" s="2155"/>
      <c r="AI339" s="2155"/>
      <c r="AJ339" s="2155"/>
      <c r="AK339" s="2155"/>
      <c r="AL339" s="2155"/>
      <c r="AM339" s="2155"/>
      <c r="AN339" s="2155"/>
      <c r="AO339" s="2155"/>
      <c r="AP339" s="2155"/>
      <c r="AQ339" s="2155"/>
      <c r="AR339" s="2155"/>
      <c r="AS339" s="2155"/>
      <c r="AT339" s="2155"/>
      <c r="AU339" s="2155"/>
      <c r="AV339" s="2155"/>
      <c r="AW339" s="2155"/>
      <c r="AX339" s="2155"/>
      <c r="AY339" s="2155"/>
      <c r="AZ339" s="2155"/>
      <c r="BA339" s="2155"/>
      <c r="BB339" s="2155"/>
      <c r="BC339" s="2155"/>
      <c r="BD339" s="2155"/>
      <c r="BE339" s="2155"/>
      <c r="BF339" s="2155"/>
      <c r="BG339" s="2155"/>
      <c r="BH339" s="2155"/>
      <c r="BI339" s="2155"/>
    </row>
    <row r="340" spans="1:61" ht="13.15" customHeight="1">
      <c r="A340" s="2149"/>
      <c r="B340" s="2150"/>
      <c r="C340" s="2151"/>
      <c r="D340" s="2243"/>
      <c r="E340" s="3662" t="s">
        <v>1143</v>
      </c>
      <c r="F340" s="2153"/>
      <c r="G340" s="2154"/>
      <c r="H340" s="2155"/>
      <c r="I340" s="2155"/>
      <c r="J340" s="2155"/>
      <c r="K340" s="2155"/>
      <c r="L340" s="2155"/>
      <c r="M340" s="2155"/>
      <c r="N340" s="2155"/>
      <c r="O340" s="2155"/>
      <c r="P340" s="2155"/>
      <c r="Q340" s="2155"/>
      <c r="R340" s="2155"/>
      <c r="S340" s="2155"/>
      <c r="T340" s="2155"/>
      <c r="U340" s="2155"/>
      <c r="V340" s="2155"/>
      <c r="W340" s="2155"/>
      <c r="X340" s="2155"/>
      <c r="Y340" s="2155"/>
      <c r="Z340" s="2155"/>
      <c r="AA340" s="2155"/>
      <c r="AB340" s="2155"/>
      <c r="AC340" s="2155"/>
      <c r="AD340" s="2155"/>
      <c r="AE340" s="2155"/>
      <c r="AF340" s="2155"/>
      <c r="AG340" s="2155"/>
      <c r="AH340" s="2155"/>
      <c r="AI340" s="2155"/>
      <c r="AJ340" s="2155"/>
      <c r="AK340" s="2155"/>
      <c r="AL340" s="2155"/>
      <c r="AM340" s="2155"/>
      <c r="AN340" s="2155"/>
      <c r="AO340" s="2155"/>
      <c r="AP340" s="2155"/>
      <c r="AQ340" s="2155"/>
      <c r="AR340" s="2155"/>
      <c r="AS340" s="2155"/>
      <c r="AT340" s="2155"/>
      <c r="AU340" s="2155"/>
      <c r="AV340" s="2155"/>
      <c r="AW340" s="2155"/>
      <c r="AX340" s="2155"/>
      <c r="AY340" s="2155"/>
      <c r="AZ340" s="2155"/>
      <c r="BA340" s="2155"/>
      <c r="BB340" s="2155"/>
      <c r="BC340" s="2155"/>
      <c r="BD340" s="2155"/>
      <c r="BE340" s="2155"/>
      <c r="BF340" s="2155"/>
      <c r="BG340" s="2155"/>
      <c r="BH340" s="2155"/>
      <c r="BI340" s="2155"/>
    </row>
    <row r="341" spans="1:61" s="2274" customFormat="1" ht="13.15" customHeight="1">
      <c r="A341" s="2270"/>
      <c r="B341" s="2271"/>
      <c r="C341" s="2272"/>
      <c r="D341" s="2243"/>
      <c r="E341" s="3655" t="s">
        <v>297</v>
      </c>
      <c r="F341" s="2225" t="s">
        <v>1131</v>
      </c>
      <c r="G341" s="2226" t="s">
        <v>73</v>
      </c>
      <c r="H341" s="2273">
        <f t="shared" ref="H341:AM341" si="320">(2*H338*H13*H211/H14*H337+(H41+H338*H223)^2)^0.5-H338*H223</f>
        <v>0.11485550860032745</v>
      </c>
      <c r="I341" s="2273">
        <f t="shared" si="320"/>
        <v>0.11485550860032745</v>
      </c>
      <c r="J341" s="2273">
        <f t="shared" si="320"/>
        <v>0.34623625972022626</v>
      </c>
      <c r="K341" s="2273">
        <f t="shared" si="320"/>
        <v>5.7043913312317089</v>
      </c>
      <c r="L341" s="2273">
        <f t="shared" si="320"/>
        <v>2.4436641587817753</v>
      </c>
      <c r="M341" s="2273">
        <f t="shared" si="320"/>
        <v>2.4436641587817753</v>
      </c>
      <c r="N341" s="2273">
        <f t="shared" si="320"/>
        <v>3.4481286576816843</v>
      </c>
      <c r="O341" s="2273">
        <f t="shared" si="320"/>
        <v>3.4481286576816843</v>
      </c>
      <c r="P341" s="2273">
        <f t="shared" si="320"/>
        <v>3.6046358604807986</v>
      </c>
      <c r="Q341" s="2273">
        <f t="shared" si="320"/>
        <v>3.6046358604807986</v>
      </c>
      <c r="R341" s="2273">
        <f t="shared" si="320"/>
        <v>2.2706665110864153</v>
      </c>
      <c r="S341" s="2273">
        <f t="shared" si="320"/>
        <v>2.1980970710310603</v>
      </c>
      <c r="T341" s="2273">
        <f t="shared" si="320"/>
        <v>2.1980970710310603</v>
      </c>
      <c r="U341" s="2273">
        <f t="shared" si="320"/>
        <v>4.8164933838779493</v>
      </c>
      <c r="V341" s="2273">
        <f t="shared" si="320"/>
        <v>6.1734189009147515</v>
      </c>
      <c r="W341" s="2273">
        <f t="shared" si="320"/>
        <v>6.1734189009147515</v>
      </c>
      <c r="X341" s="2273">
        <f t="shared" si="320"/>
        <v>2.6812529107572081</v>
      </c>
      <c r="Y341" s="2273">
        <f t="shared" si="320"/>
        <v>2.2254248817172502</v>
      </c>
      <c r="Z341" s="2273">
        <f t="shared" si="320"/>
        <v>1.7033808215103894</v>
      </c>
      <c r="AA341" s="2273">
        <f t="shared" si="320"/>
        <v>1.3879795734150657</v>
      </c>
      <c r="AB341" s="2273">
        <f t="shared" si="320"/>
        <v>1.4785945638152211</v>
      </c>
      <c r="AC341" s="2273">
        <f t="shared" si="320"/>
        <v>0.63137113774996845</v>
      </c>
      <c r="AD341" s="2273">
        <f t="shared" si="320"/>
        <v>0.25881933950994612</v>
      </c>
      <c r="AE341" s="2273">
        <f t="shared" si="320"/>
        <v>7.1673558423709177E-2</v>
      </c>
      <c r="AF341" s="2273">
        <f t="shared" si="320"/>
        <v>5.5418667389005305E-4</v>
      </c>
      <c r="AG341" s="2273">
        <f t="shared" si="320"/>
        <v>7.2432337894172036</v>
      </c>
      <c r="AH341" s="2273">
        <f t="shared" si="320"/>
        <v>6.2620873563236277</v>
      </c>
      <c r="AI341" s="2273">
        <f t="shared" si="320"/>
        <v>3.9784399584711458</v>
      </c>
      <c r="AJ341" s="2273">
        <f t="shared" si="320"/>
        <v>1.9204932294003541</v>
      </c>
      <c r="AK341" s="2273">
        <f t="shared" si="320"/>
        <v>0.89632612792385913</v>
      </c>
      <c r="AL341" s="2273">
        <f t="shared" si="320"/>
        <v>0.22018279417645834</v>
      </c>
      <c r="AM341" s="2273">
        <f t="shared" si="320"/>
        <v>5.2928360517216708E-3</v>
      </c>
      <c r="AN341" s="2273">
        <f t="shared" ref="AN341:BI341" si="321">(2*AN338*AN13*AN211/AN14*AN337+(AN41+AN338*AN223)^2)^0.5-AN338*AN223</f>
        <v>0.15484149951794757</v>
      </c>
      <c r="AO341" s="2273">
        <f t="shared" si="321"/>
        <v>6.7196920997141696E-2</v>
      </c>
      <c r="AP341" s="2273">
        <f t="shared" si="321"/>
        <v>9.4817985822140738E-2</v>
      </c>
      <c r="AQ341" s="2273">
        <f t="shared" si="321"/>
        <v>5.1056818864897331E-2</v>
      </c>
      <c r="AR341" s="2273">
        <f t="shared" si="321"/>
        <v>1.4160482727901068E-2</v>
      </c>
      <c r="AS341" s="2273">
        <f t="shared" si="321"/>
        <v>1.7647459219858268E-2</v>
      </c>
      <c r="AT341" s="2273">
        <f t="shared" si="321"/>
        <v>1.5377514202268433E-3</v>
      </c>
      <c r="AU341" s="2273">
        <f t="shared" si="321"/>
        <v>1.4803561371310725E-3</v>
      </c>
      <c r="AV341" s="2273">
        <f t="shared" si="321"/>
        <v>2.3974779496398202E-4</v>
      </c>
      <c r="AW341" s="2273">
        <f t="shared" si="321"/>
        <v>2.3104138416000369E-4</v>
      </c>
      <c r="AX341" s="2273">
        <f t="shared" si="321"/>
        <v>8.1544413201642407E-6</v>
      </c>
      <c r="AY341" s="2273">
        <f t="shared" si="321"/>
        <v>5.5965366150961815E-6</v>
      </c>
      <c r="AZ341" s="2273">
        <f t="shared" si="321"/>
        <v>3.7373534584536627E-6</v>
      </c>
      <c r="BA341" s="2273">
        <f t="shared" si="321"/>
        <v>6.4550356976972312E-7</v>
      </c>
      <c r="BB341" s="2273">
        <f t="shared" si="321"/>
        <v>1.0219319738165311E-5</v>
      </c>
      <c r="BC341" s="2273">
        <f t="shared" si="321"/>
        <v>2.7151128567659555E-12</v>
      </c>
      <c r="BD341" s="2273">
        <f t="shared" si="321"/>
        <v>8.8566353305326376E-3</v>
      </c>
      <c r="BE341" s="2273">
        <f t="shared" si="321"/>
        <v>2.173244592664561E-4</v>
      </c>
      <c r="BF341" s="2273">
        <f t="shared" si="321"/>
        <v>2.173244592664561E-4</v>
      </c>
      <c r="BG341" s="2273">
        <f t="shared" si="321"/>
        <v>5.6422749370946512</v>
      </c>
      <c r="BH341" s="2273">
        <f t="shared" si="321"/>
        <v>1.1449342554481247E-2</v>
      </c>
      <c r="BI341" s="2273">
        <f t="shared" si="321"/>
        <v>5.8739688783978859E-2</v>
      </c>
    </row>
    <row r="342" spans="1:61" s="2244" customFormat="1" ht="27" customHeight="1">
      <c r="A342" s="2241"/>
      <c r="B342" s="276"/>
      <c r="C342" s="2242"/>
      <c r="D342" s="2243"/>
      <c r="E342" s="3655" t="s">
        <v>610</v>
      </c>
      <c r="F342" s="2153" t="s">
        <v>138</v>
      </c>
      <c r="G342" s="2154" t="s">
        <v>139</v>
      </c>
      <c r="H342" s="2155">
        <f t="shared" ref="H342:AM342" si="322">1000*H14/H13*(H341-H41)/H337</f>
        <v>1.2408026176834753E-2</v>
      </c>
      <c r="I342" s="2155">
        <f t="shared" si="322"/>
        <v>1.2408026176834753E-2</v>
      </c>
      <c r="J342" s="2155">
        <f t="shared" si="322"/>
        <v>5.6978114125599711E-3</v>
      </c>
      <c r="K342" s="2155">
        <f t="shared" si="322"/>
        <v>4.2133023192050166E-4</v>
      </c>
      <c r="L342" s="2155">
        <f t="shared" si="322"/>
        <v>9.6536614967267904E-4</v>
      </c>
      <c r="M342" s="2155">
        <f t="shared" si="322"/>
        <v>9.6536614967267904E-4</v>
      </c>
      <c r="N342" s="2155">
        <f t="shared" si="322"/>
        <v>6.9065049537839337E-4</v>
      </c>
      <c r="O342" s="2155">
        <f t="shared" si="322"/>
        <v>6.9065049537839337E-4</v>
      </c>
      <c r="P342" s="2155">
        <f t="shared" si="322"/>
        <v>6.6132754335088335E-4</v>
      </c>
      <c r="Q342" s="2155">
        <f t="shared" si="322"/>
        <v>6.6132754335088335E-4</v>
      </c>
      <c r="R342" s="2155">
        <f t="shared" si="322"/>
        <v>1.0363636148340084E-3</v>
      </c>
      <c r="S342" s="2155">
        <f t="shared" si="322"/>
        <v>1.0693538795592495E-3</v>
      </c>
      <c r="T342" s="2155">
        <f t="shared" si="322"/>
        <v>1.0693538795592495E-3</v>
      </c>
      <c r="U342" s="2155">
        <f t="shared" si="322"/>
        <v>4.977062870559838E-4</v>
      </c>
      <c r="V342" s="2155">
        <f t="shared" si="322"/>
        <v>3.8973720200356245E-4</v>
      </c>
      <c r="W342" s="2155">
        <f t="shared" si="322"/>
        <v>3.8973720200356245E-4</v>
      </c>
      <c r="X342" s="2155">
        <f t="shared" si="322"/>
        <v>8.8235093161429131E-4</v>
      </c>
      <c r="Y342" s="2155">
        <f t="shared" si="322"/>
        <v>1.056686958640794E-3</v>
      </c>
      <c r="Z342" s="2155">
        <f t="shared" si="322"/>
        <v>1.365727984295797E-3</v>
      </c>
      <c r="AA342" s="2155">
        <f t="shared" si="322"/>
        <v>1.6588374708693618E-3</v>
      </c>
      <c r="AB342" s="2155">
        <f t="shared" si="322"/>
        <v>1.5624943389774496E-3</v>
      </c>
      <c r="AC342" s="2155">
        <f t="shared" si="322"/>
        <v>3.4191651360812427E-3</v>
      </c>
      <c r="AD342" s="2155">
        <f t="shared" si="322"/>
        <v>7.1608956843138673E-3</v>
      </c>
      <c r="AE342" s="2155">
        <f t="shared" si="322"/>
        <v>1.5903397192043242E-2</v>
      </c>
      <c r="AF342" s="2155">
        <f t="shared" si="322"/>
        <v>2.9668048813161443E-2</v>
      </c>
      <c r="AG342" s="2155">
        <f t="shared" si="322"/>
        <v>3.3281498634168158E-4</v>
      </c>
      <c r="AH342" s="2155">
        <f t="shared" si="322"/>
        <v>3.8428969043060674E-4</v>
      </c>
      <c r="AI342" s="2155">
        <f t="shared" si="322"/>
        <v>6.0043996748859339E-4</v>
      </c>
      <c r="AJ342" s="2155">
        <f t="shared" si="322"/>
        <v>1.2176259057851467E-3</v>
      </c>
      <c r="AK342" s="2155">
        <f t="shared" si="322"/>
        <v>2.4928064757016432E-3</v>
      </c>
      <c r="AL342" s="2155">
        <f t="shared" si="322"/>
        <v>8.0776407725535078E-3</v>
      </c>
      <c r="AM342" s="2155">
        <f t="shared" si="322"/>
        <v>2.8050411277837257E-2</v>
      </c>
      <c r="AN342" s="2155">
        <f t="shared" ref="AN342:BI342" si="323">1000*AN14/AN13*(AN341-AN41)/AN337</f>
        <v>1.0309772198314578E-2</v>
      </c>
      <c r="AO342" s="2155">
        <f t="shared" si="323"/>
        <v>1.6381809245948887E-2</v>
      </c>
      <c r="AP342" s="2155">
        <f t="shared" si="323"/>
        <v>1.3817202271872294E-2</v>
      </c>
      <c r="AQ342" s="2155">
        <f t="shared" si="323"/>
        <v>1.8374717139304806E-2</v>
      </c>
      <c r="AR342" s="2155">
        <f t="shared" si="323"/>
        <v>2.5453302311704687E-2</v>
      </c>
      <c r="AS342" s="2155">
        <f t="shared" si="323"/>
        <v>2.4559163100996501E-2</v>
      </c>
      <c r="AT342" s="2155">
        <f t="shared" si="323"/>
        <v>2.931712587851994E-2</v>
      </c>
      <c r="AU342" s="2155">
        <f t="shared" si="323"/>
        <v>2.9337375517079173E-2</v>
      </c>
      <c r="AV342" s="2155">
        <f t="shared" si="323"/>
        <v>2.9782015449514889E-2</v>
      </c>
      <c r="AW342" s="2155">
        <f t="shared" si="323"/>
        <v>2.978518349888927E-2</v>
      </c>
      <c r="AX342" s="2155">
        <f t="shared" si="323"/>
        <v>2.9866516707129198E-2</v>
      </c>
      <c r="AY342" s="2155">
        <f t="shared" si="323"/>
        <v>2.98674526849203E-2</v>
      </c>
      <c r="AZ342" s="2155">
        <f t="shared" si="323"/>
        <v>2.9868133026261959E-2</v>
      </c>
      <c r="BA342" s="2155">
        <f t="shared" si="323"/>
        <v>2.9869264512798106E-2</v>
      </c>
      <c r="BB342" s="2155">
        <f t="shared" si="323"/>
        <v>2.986576117825758E-2</v>
      </c>
      <c r="BC342" s="2155">
        <f t="shared" si="323"/>
        <v>2.986947475400405E-2</v>
      </c>
      <c r="BD342" s="2155">
        <f t="shared" si="323"/>
        <v>2.6945476217514988E-2</v>
      </c>
      <c r="BE342" s="2155">
        <f t="shared" si="323"/>
        <v>2.9790176119132927E-2</v>
      </c>
      <c r="BF342" s="2155">
        <f t="shared" si="323"/>
        <v>2.9790176119132927E-2</v>
      </c>
      <c r="BG342" s="2155">
        <f t="shared" si="323"/>
        <v>4.2590256156289815E-4</v>
      </c>
      <c r="BH342" s="2155">
        <f t="shared" si="323"/>
        <v>2.6194799675761139E-2</v>
      </c>
      <c r="BI342" s="2155">
        <f t="shared" si="323"/>
        <v>1.7368909091317695E-2</v>
      </c>
    </row>
    <row r="343" spans="1:61" s="2244" customFormat="1" ht="27" customHeight="1">
      <c r="A343" s="2241"/>
      <c r="B343" s="276"/>
      <c r="C343" s="2242"/>
      <c r="D343" s="2243"/>
      <c r="E343" s="3655" t="s">
        <v>611</v>
      </c>
      <c r="F343" s="2153" t="s">
        <v>138</v>
      </c>
      <c r="G343" s="2154" t="s">
        <v>139</v>
      </c>
      <c r="H343" s="2161">
        <f t="shared" ref="H343:AL343" si="324">MIN(H342,H$24)</f>
        <v>1.2408026176834753E-2</v>
      </c>
      <c r="I343" s="2161">
        <f t="shared" si="324"/>
        <v>1.2408026176834753E-2</v>
      </c>
      <c r="J343" s="2161">
        <f>MIN(J342,J$24)</f>
        <v>5.6978114125599711E-3</v>
      </c>
      <c r="K343" s="2161">
        <f t="shared" si="324"/>
        <v>2.2158204484343824E-4</v>
      </c>
      <c r="L343" s="2161">
        <f t="shared" si="324"/>
        <v>9.6536614967267904E-4</v>
      </c>
      <c r="M343" s="2161">
        <f t="shared" si="324"/>
        <v>9.6536614967267904E-4</v>
      </c>
      <c r="N343" s="2161">
        <f>MIN(N342,N$24)</f>
        <v>6.0089158260360175E-4</v>
      </c>
      <c r="O343" s="2161">
        <f>MIN(O342,O$24)</f>
        <v>6.0089158260360175E-4</v>
      </c>
      <c r="P343" s="2161">
        <f t="shared" si="324"/>
        <v>5.5039751776425475E-4</v>
      </c>
      <c r="Q343" s="2161">
        <f t="shared" si="324"/>
        <v>5.5039751776425475E-4</v>
      </c>
      <c r="R343" s="2161">
        <f>MIN(R342,R$24)</f>
        <v>1.0363636148340084E-3</v>
      </c>
      <c r="S343" s="2161">
        <f>MIN(S342,S$24)</f>
        <v>1.0693538795592495E-3</v>
      </c>
      <c r="T343" s="2161">
        <f>MIN(T342,T$24)</f>
        <v>1.0693538795592495E-3</v>
      </c>
      <c r="U343" s="2161">
        <f t="shared" si="324"/>
        <v>3.1000122748342328E-4</v>
      </c>
      <c r="V343" s="2161">
        <f t="shared" si="324"/>
        <v>1.8939450323668115E-4</v>
      </c>
      <c r="W343" s="2161">
        <f t="shared" si="324"/>
        <v>1.8939450323668115E-4</v>
      </c>
      <c r="X343" s="2161">
        <f t="shared" si="324"/>
        <v>8.8235093161429131E-4</v>
      </c>
      <c r="Y343" s="2161">
        <f t="shared" si="324"/>
        <v>1.056686958640794E-3</v>
      </c>
      <c r="Z343" s="2161">
        <f t="shared" si="324"/>
        <v>1.365727984295797E-3</v>
      </c>
      <c r="AA343" s="2161">
        <f t="shared" si="324"/>
        <v>1.6588374708693618E-3</v>
      </c>
      <c r="AB343" s="2161">
        <f t="shared" si="324"/>
        <v>1.5624943389774496E-3</v>
      </c>
      <c r="AC343" s="2161">
        <f t="shared" si="324"/>
        <v>3.4191651360812427E-3</v>
      </c>
      <c r="AD343" s="2161">
        <f t="shared" si="324"/>
        <v>7.1608956843138673E-3</v>
      </c>
      <c r="AE343" s="2161">
        <f t="shared" si="324"/>
        <v>1.5903397192043242E-2</v>
      </c>
      <c r="AF343" s="2161">
        <f t="shared" si="324"/>
        <v>2.9668048813161443E-2</v>
      </c>
      <c r="AG343" s="2161">
        <f t="shared" si="324"/>
        <v>1.3784519291422463E-4</v>
      </c>
      <c r="AH343" s="2161">
        <f t="shared" si="324"/>
        <v>1.8410300043604811E-4</v>
      </c>
      <c r="AI343" s="2161">
        <f t="shared" si="324"/>
        <v>4.5277041284242487E-4</v>
      </c>
      <c r="AJ343" s="2161">
        <f t="shared" si="324"/>
        <v>1.2176259057851467E-3</v>
      </c>
      <c r="AK343" s="2161">
        <f t="shared" si="324"/>
        <v>2.4928064757016432E-3</v>
      </c>
      <c r="AL343" s="2161">
        <f t="shared" si="324"/>
        <v>8.0776407725535078E-3</v>
      </c>
      <c r="AM343" s="2161">
        <f t="shared" ref="AM343:BI343" si="325">MIN(AM342,AM$24)</f>
        <v>2.8050411277837257E-2</v>
      </c>
      <c r="AN343" s="2161">
        <f t="shared" si="325"/>
        <v>1.0309772198314578E-2</v>
      </c>
      <c r="AO343" s="2161">
        <f t="shared" si="325"/>
        <v>1.6381809245948887E-2</v>
      </c>
      <c r="AP343" s="2161">
        <f t="shared" si="325"/>
        <v>1.3817202271872294E-2</v>
      </c>
      <c r="AQ343" s="2161">
        <f t="shared" si="325"/>
        <v>1.8374717139304806E-2</v>
      </c>
      <c r="AR343" s="2161">
        <f t="shared" si="325"/>
        <v>2.5453302311704687E-2</v>
      </c>
      <c r="AS343" s="2161">
        <f t="shared" si="325"/>
        <v>2.4559163100996501E-2</v>
      </c>
      <c r="AT343" s="2161">
        <f t="shared" si="325"/>
        <v>2.931712587851994E-2</v>
      </c>
      <c r="AU343" s="2161">
        <f t="shared" si="325"/>
        <v>2.9337375517079173E-2</v>
      </c>
      <c r="AV343" s="2161">
        <f t="shared" si="325"/>
        <v>2.9782015449514889E-2</v>
      </c>
      <c r="AW343" s="2161">
        <f t="shared" si="325"/>
        <v>2.978518349888927E-2</v>
      </c>
      <c r="AX343" s="2161">
        <f t="shared" si="325"/>
        <v>2.9866516707129198E-2</v>
      </c>
      <c r="AY343" s="2161">
        <f t="shared" si="325"/>
        <v>2.98674526849203E-2</v>
      </c>
      <c r="AZ343" s="2161">
        <f t="shared" si="325"/>
        <v>2.9868133026261959E-2</v>
      </c>
      <c r="BA343" s="2161">
        <f t="shared" si="325"/>
        <v>2.9869264512798106E-2</v>
      </c>
      <c r="BB343" s="2161">
        <f t="shared" si="325"/>
        <v>2.986576117825758E-2</v>
      </c>
      <c r="BC343" s="2161">
        <f t="shared" si="325"/>
        <v>2.986947475400405E-2</v>
      </c>
      <c r="BD343" s="2161">
        <f t="shared" si="325"/>
        <v>2.6945476217514988E-2</v>
      </c>
      <c r="BE343" s="2161">
        <f t="shared" si="325"/>
        <v>2.9790176119132927E-2</v>
      </c>
      <c r="BF343" s="2161">
        <f t="shared" si="325"/>
        <v>2.9790176119132927E-2</v>
      </c>
      <c r="BG343" s="2161">
        <f t="shared" si="325"/>
        <v>2.2645257434878176E-4</v>
      </c>
      <c r="BH343" s="2161">
        <f t="shared" si="325"/>
        <v>2.6194799675761139E-2</v>
      </c>
      <c r="BI343" s="2161">
        <f t="shared" si="325"/>
        <v>1.7368909091317695E-2</v>
      </c>
    </row>
    <row r="344" spans="1:61" s="2378" customFormat="1" ht="13.15" hidden="1" customHeight="1">
      <c r="A344" s="2374"/>
      <c r="B344" s="397"/>
      <c r="C344" s="2375"/>
      <c r="D344" s="2373"/>
      <c r="E344" s="3662" t="s">
        <v>307</v>
      </c>
      <c r="F344" s="2372" t="s">
        <v>300</v>
      </c>
      <c r="G344" s="2376" t="s">
        <v>35</v>
      </c>
      <c r="H344" s="2377">
        <f t="shared" ref="H344:AL344" si="326">H$234/H343</f>
        <v>0.62360322998569606</v>
      </c>
      <c r="I344" s="2387">
        <f t="shared" si="326"/>
        <v>0.62360322998569606</v>
      </c>
      <c r="J344" s="2377">
        <f>J$234/J343</f>
        <v>0.20686529539883999</v>
      </c>
      <c r="K344" s="2388">
        <f t="shared" si="326"/>
        <v>0.16712328767123288</v>
      </c>
      <c r="L344" s="2388">
        <f t="shared" si="326"/>
        <v>0.20517134533889611</v>
      </c>
      <c r="M344" s="2377">
        <f t="shared" si="326"/>
        <v>0.20517134533889611</v>
      </c>
      <c r="N344" s="2388">
        <f>N$234/N343</f>
        <v>0.16712328767123286</v>
      </c>
      <c r="O344" s="2377">
        <f>O$234/O343</f>
        <v>0.16712328767123286</v>
      </c>
      <c r="P344" s="2388">
        <f t="shared" si="326"/>
        <v>0.16712328767123288</v>
      </c>
      <c r="Q344" s="2377">
        <f t="shared" si="326"/>
        <v>0.16712328767123288</v>
      </c>
      <c r="R344" s="2377">
        <f>R$234/R343</f>
        <v>0.2208029495153892</v>
      </c>
      <c r="S344" s="2388">
        <f>S$234/S343</f>
        <v>0.22809268508716102</v>
      </c>
      <c r="T344" s="2377">
        <f>T$234/T343</f>
        <v>0.22809268508716102</v>
      </c>
      <c r="U344" s="2388">
        <f t="shared" si="326"/>
        <v>0.16712328767123288</v>
      </c>
      <c r="V344" s="2388">
        <f t="shared" si="326"/>
        <v>0.16712328767123288</v>
      </c>
      <c r="W344" s="2377">
        <f t="shared" si="326"/>
        <v>0.16712328767123288</v>
      </c>
      <c r="X344" s="2377">
        <f t="shared" si="326"/>
        <v>0.18699088810391543</v>
      </c>
      <c r="Y344" s="2377">
        <f t="shared" si="326"/>
        <v>0.22529174861513018</v>
      </c>
      <c r="Z344" s="2377">
        <f t="shared" si="326"/>
        <v>0.29433809320991033</v>
      </c>
      <c r="AA344" s="2377">
        <f t="shared" si="326"/>
        <v>5.1603256644898295E-2</v>
      </c>
      <c r="AB344" s="2377">
        <f t="shared" si="326"/>
        <v>0.33908542293028099</v>
      </c>
      <c r="AC344" s="2377">
        <f t="shared" si="326"/>
        <v>0.794096899646762</v>
      </c>
      <c r="AD344" s="2377">
        <f t="shared" si="326"/>
        <v>1.9371421933268307</v>
      </c>
      <c r="AE344" s="2377">
        <f t="shared" si="326"/>
        <v>1.8781836603894353</v>
      </c>
      <c r="AF344" s="2377">
        <f t="shared" si="326"/>
        <v>1.0067901984011847</v>
      </c>
      <c r="AG344" s="2377">
        <f t="shared" si="326"/>
        <v>0.16712328767123288</v>
      </c>
      <c r="AH344" s="2377">
        <f t="shared" si="326"/>
        <v>0.16712328767123286</v>
      </c>
      <c r="AI344" s="2377">
        <f t="shared" si="326"/>
        <v>0.16712328767123288</v>
      </c>
      <c r="AJ344" s="2377">
        <f t="shared" si="326"/>
        <v>0.26106307241199911</v>
      </c>
      <c r="AK344" s="2377">
        <f t="shared" si="326"/>
        <v>0.559360981895073</v>
      </c>
      <c r="AL344" s="2377">
        <f t="shared" si="326"/>
        <v>2.277061951588697</v>
      </c>
      <c r="AM344" s="2377">
        <f t="shared" ref="AM344:BI344" si="327">AM$234/AM343</f>
        <v>1.0648507237531613</v>
      </c>
      <c r="AN344" s="2377">
        <f t="shared" si="327"/>
        <v>0.46256505115098151</v>
      </c>
      <c r="AO344" s="2377">
        <f t="shared" si="327"/>
        <v>1.8233334488475608</v>
      </c>
      <c r="AP344" s="2377">
        <f t="shared" si="327"/>
        <v>2.1617618504133969</v>
      </c>
      <c r="AQ344" s="2377">
        <f t="shared" si="327"/>
        <v>1.6255760850264132</v>
      </c>
      <c r="AR344" s="2377">
        <f t="shared" si="327"/>
        <v>1.1735019835537555</v>
      </c>
      <c r="AS344" s="2377">
        <f t="shared" si="327"/>
        <v>1.2162263277435081</v>
      </c>
      <c r="AT344" s="2377">
        <f t="shared" si="327"/>
        <v>1.0188413719185077</v>
      </c>
      <c r="AU344" s="2377">
        <f t="shared" si="327"/>
        <v>1.0181381335010653</v>
      </c>
      <c r="AV344" s="2377">
        <f t="shared" si="327"/>
        <v>1.0029375211832878</v>
      </c>
      <c r="AW344" s="2377">
        <f t="shared" si="327"/>
        <v>1.0028308454736468</v>
      </c>
      <c r="AX344" s="2377">
        <f t="shared" si="327"/>
        <v>1.0000999126774275</v>
      </c>
      <c r="AY344" s="2377">
        <f t="shared" si="327"/>
        <v>1.0000685718290123</v>
      </c>
      <c r="AZ344" s="2377">
        <f t="shared" si="327"/>
        <v>1.000045792099415</v>
      </c>
      <c r="BA344" s="2377">
        <f t="shared" si="327"/>
        <v>1.0000079090658773</v>
      </c>
      <c r="BB344" s="2377">
        <f t="shared" si="327"/>
        <v>1.0001252126975415</v>
      </c>
      <c r="BC344" s="2377">
        <f t="shared" si="327"/>
        <v>1.0000008703458969</v>
      </c>
      <c r="BD344" s="2377">
        <f t="shared" si="327"/>
        <v>1.1085163427678888</v>
      </c>
      <c r="BE344" s="2377">
        <f t="shared" si="327"/>
        <v>1.0026627782034148</v>
      </c>
      <c r="BF344" s="2377">
        <f t="shared" si="327"/>
        <v>1.0026627782034148</v>
      </c>
      <c r="BG344" s="2377">
        <f t="shared" si="327"/>
        <v>0.16712328767123288</v>
      </c>
      <c r="BH344" s="2377">
        <f t="shared" si="327"/>
        <v>1.1402836105067837</v>
      </c>
      <c r="BI344" s="2377">
        <f t="shared" si="327"/>
        <v>1.2193504532892498</v>
      </c>
    </row>
    <row r="345" spans="1:61" ht="25.5">
      <c r="A345" s="2248"/>
      <c r="B345" s="2249"/>
      <c r="C345" s="2250"/>
      <c r="D345" s="2265"/>
      <c r="E345" s="3655" t="s">
        <v>506</v>
      </c>
      <c r="F345" s="2153" t="s">
        <v>300</v>
      </c>
      <c r="G345" s="2154" t="s">
        <v>21</v>
      </c>
      <c r="H345" s="2251">
        <f t="shared" ref="H345:AM345" si="328">H213/H342</f>
        <v>1.4290800667784849E-2</v>
      </c>
      <c r="I345" s="2251">
        <f t="shared" si="328"/>
        <v>1.4290800667784849E-2</v>
      </c>
      <c r="J345" s="2251">
        <f t="shared" si="328"/>
        <v>3.1988296065465535E-2</v>
      </c>
      <c r="K345" s="2251">
        <f t="shared" si="328"/>
        <v>0.87015039070386624</v>
      </c>
      <c r="L345" s="2251">
        <f t="shared" si="328"/>
        <v>0.26369192136523606</v>
      </c>
      <c r="M345" s="2251">
        <f t="shared" si="328"/>
        <v>0.26369192136523606</v>
      </c>
      <c r="N345" s="2251">
        <f t="shared" si="328"/>
        <v>0.39562145905253088</v>
      </c>
      <c r="O345" s="2251">
        <f t="shared" si="328"/>
        <v>0.39562145905253088</v>
      </c>
      <c r="P345" s="2251">
        <f t="shared" si="328"/>
        <v>0.37655373723324892</v>
      </c>
      <c r="Q345" s="2251">
        <f t="shared" si="328"/>
        <v>0.37655373723324892</v>
      </c>
      <c r="R345" s="2251">
        <f t="shared" si="328"/>
        <v>3.404074774153997</v>
      </c>
      <c r="S345" s="2251">
        <f t="shared" si="328"/>
        <v>0.3363744236043914</v>
      </c>
      <c r="T345" s="2251">
        <f t="shared" si="328"/>
        <v>0.3363744236043914</v>
      </c>
      <c r="U345" s="2251">
        <f t="shared" si="328"/>
        <v>0.54204151758896957</v>
      </c>
      <c r="V345" s="2251">
        <f t="shared" si="328"/>
        <v>0.25275623291641108</v>
      </c>
      <c r="W345" s="2251">
        <f t="shared" si="328"/>
        <v>0.25275623291641108</v>
      </c>
      <c r="X345" s="2251">
        <f t="shared" si="328"/>
        <v>0.32121013749610966</v>
      </c>
      <c r="Y345" s="2251">
        <f t="shared" si="328"/>
        <v>0.24093955412758225</v>
      </c>
      <c r="Z345" s="2251">
        <f t="shared" si="328"/>
        <v>0.17094273222382075</v>
      </c>
      <c r="AA345" s="2251">
        <f t="shared" si="328"/>
        <v>0.14073788252908392</v>
      </c>
      <c r="AB345" s="2251">
        <f t="shared" si="328"/>
        <v>7.0096280654449394E-2</v>
      </c>
      <c r="AC345" s="2251">
        <f t="shared" si="328"/>
        <v>2.9568632831134287E-2</v>
      </c>
      <c r="AD345" s="2251">
        <f t="shared" si="328"/>
        <v>1.2235904170018198E-2</v>
      </c>
      <c r="AE345" s="2251">
        <f t="shared" si="328"/>
        <v>4.3496184944520058E-3</v>
      </c>
      <c r="AF345" s="2251">
        <f t="shared" si="328"/>
        <v>1.8458416729003732E-3</v>
      </c>
      <c r="AG345" s="2251">
        <f t="shared" si="328"/>
        <v>0.48753610175255829</v>
      </c>
      <c r="AH345" s="2251">
        <f t="shared" si="328"/>
        <v>0.34200774394928779</v>
      </c>
      <c r="AI345" s="2251">
        <f t="shared" si="328"/>
        <v>0.16837659711538466</v>
      </c>
      <c r="AJ345" s="2251">
        <f t="shared" si="328"/>
        <v>6.7462248371346872E-2</v>
      </c>
      <c r="AK345" s="2251">
        <f t="shared" si="328"/>
        <v>2.6361863892813579E-2</v>
      </c>
      <c r="AL345" s="2251">
        <f t="shared" si="328"/>
        <v>6.0262393048172479E-3</v>
      </c>
      <c r="AM345" s="2251">
        <f t="shared" si="328"/>
        <v>1.4642170566740657E-3</v>
      </c>
      <c r="AN345" s="2251">
        <f t="shared" ref="AN345:BI345" si="329">AN213/AN342</f>
        <v>9.9446947336946558E-3</v>
      </c>
      <c r="AO345" s="2251">
        <f t="shared" si="329"/>
        <v>5.2713051315759606E-3</v>
      </c>
      <c r="AP345" s="2251">
        <f t="shared" si="329"/>
        <v>6.1682507578910946E-3</v>
      </c>
      <c r="AQ345" s="2251">
        <f t="shared" si="329"/>
        <v>4.3037099235729466E-3</v>
      </c>
      <c r="AR345" s="2251">
        <f t="shared" si="329"/>
        <v>2.8976293895314662E-3</v>
      </c>
      <c r="AS345" s="2251">
        <f t="shared" si="329"/>
        <v>3.0031250061624492E-3</v>
      </c>
      <c r="AT345" s="2251">
        <f t="shared" si="329"/>
        <v>2.2160389974453061E-3</v>
      </c>
      <c r="AU345" s="2251">
        <f t="shared" si="329"/>
        <v>2.2145094131542603E-3</v>
      </c>
      <c r="AV345" s="2251">
        <f t="shared" si="329"/>
        <v>1.9330125656774621E-3</v>
      </c>
      <c r="AW345" s="2251">
        <f t="shared" si="329"/>
        <v>1.9328069641491184E-3</v>
      </c>
      <c r="AX345" s="2251">
        <f t="shared" si="329"/>
        <v>1.7440479575833718E-3</v>
      </c>
      <c r="AY345" s="2251">
        <f t="shared" si="329"/>
        <v>1.7439933031013798E-3</v>
      </c>
      <c r="AZ345" s="2251">
        <f t="shared" si="329"/>
        <v>1.7440918225669561E-3</v>
      </c>
      <c r="BA345" s="2251">
        <f t="shared" si="329"/>
        <v>1.5805233396561725E-3</v>
      </c>
      <c r="BB345" s="2251">
        <f t="shared" si="329"/>
        <v>1.6398468960575113E-3</v>
      </c>
      <c r="BC345" s="2251">
        <f t="shared" si="329"/>
        <v>1.5925247941491597E-3</v>
      </c>
      <c r="BD345" s="2251">
        <f t="shared" si="329"/>
        <v>1.0525411054909095E-2</v>
      </c>
      <c r="BE345" s="2251">
        <f t="shared" si="329"/>
        <v>1.7133432152497809E-3</v>
      </c>
      <c r="BF345" s="2251">
        <f t="shared" si="329"/>
        <v>1.7133432152497809E-3</v>
      </c>
      <c r="BG345" s="2251">
        <f t="shared" si="329"/>
        <v>0.24930971372028113</v>
      </c>
      <c r="BH345" s="2251">
        <f t="shared" si="329"/>
        <v>7.1300036953848931E-3</v>
      </c>
      <c r="BI345" s="2251">
        <f t="shared" si="329"/>
        <v>3.3453981800153909E-2</v>
      </c>
    </row>
    <row r="346" spans="1:61" ht="25.5">
      <c r="A346" s="2248"/>
      <c r="B346" s="2249"/>
      <c r="C346" s="2250"/>
      <c r="D346" s="2265"/>
      <c r="E346" s="3655" t="s">
        <v>507</v>
      </c>
      <c r="F346" s="2153" t="s">
        <v>300</v>
      </c>
      <c r="G346" s="2154" t="s">
        <v>21</v>
      </c>
      <c r="H346" s="2251">
        <f t="shared" ref="H346:AM346" si="330">H219/H343</f>
        <v>1.4290800667784849E-2</v>
      </c>
      <c r="I346" s="2251">
        <f t="shared" si="330"/>
        <v>1.4290800667784849E-2</v>
      </c>
      <c r="J346" s="2251">
        <f t="shared" si="330"/>
        <v>3.1988296065465535E-2</v>
      </c>
      <c r="K346" s="2251">
        <f t="shared" si="330"/>
        <v>0.16712328767123288</v>
      </c>
      <c r="L346" s="2251">
        <f t="shared" si="330"/>
        <v>0.20517134533889611</v>
      </c>
      <c r="M346" s="2251">
        <f t="shared" si="330"/>
        <v>0.20517134533889611</v>
      </c>
      <c r="N346" s="2251">
        <f t="shared" si="330"/>
        <v>0.16712328767123286</v>
      </c>
      <c r="O346" s="2251">
        <f t="shared" si="330"/>
        <v>0.16712328767123286</v>
      </c>
      <c r="P346" s="2251">
        <f t="shared" si="330"/>
        <v>0.16712328767123288</v>
      </c>
      <c r="Q346" s="2251">
        <f t="shared" si="330"/>
        <v>0.16712328767123288</v>
      </c>
      <c r="R346" s="2251">
        <f t="shared" si="330"/>
        <v>0.2208029495153892</v>
      </c>
      <c r="S346" s="2251">
        <f t="shared" si="330"/>
        <v>0.22809268508716102</v>
      </c>
      <c r="T346" s="2251">
        <f t="shared" si="330"/>
        <v>0.22809268508716102</v>
      </c>
      <c r="U346" s="2251">
        <f t="shared" si="330"/>
        <v>0.16712328767123288</v>
      </c>
      <c r="V346" s="2251">
        <f t="shared" si="330"/>
        <v>0.16712328767123288</v>
      </c>
      <c r="W346" s="2251">
        <f t="shared" si="330"/>
        <v>0.16712328767123288</v>
      </c>
      <c r="X346" s="2251">
        <f t="shared" si="330"/>
        <v>0.18699088810391543</v>
      </c>
      <c r="Y346" s="2251">
        <f t="shared" si="330"/>
        <v>0.22529174861513018</v>
      </c>
      <c r="Z346" s="2251">
        <f t="shared" si="330"/>
        <v>0.17094273222382075</v>
      </c>
      <c r="AA346" s="2251">
        <f t="shared" si="330"/>
        <v>5.1603256644898295E-2</v>
      </c>
      <c r="AB346" s="2251">
        <f t="shared" si="330"/>
        <v>7.0096280654449394E-2</v>
      </c>
      <c r="AC346" s="2251">
        <f t="shared" si="330"/>
        <v>2.9568632831134287E-2</v>
      </c>
      <c r="AD346" s="2251">
        <f t="shared" si="330"/>
        <v>1.2235904170018198E-2</v>
      </c>
      <c r="AE346" s="2251">
        <f t="shared" si="330"/>
        <v>4.3496184944520058E-3</v>
      </c>
      <c r="AF346" s="2251">
        <f t="shared" si="330"/>
        <v>1.8458416729003732E-3</v>
      </c>
      <c r="AG346" s="2251">
        <f t="shared" si="330"/>
        <v>0.16712328767123288</v>
      </c>
      <c r="AH346" s="2251">
        <f t="shared" si="330"/>
        <v>0.16712328767123286</v>
      </c>
      <c r="AI346" s="2251">
        <f t="shared" si="330"/>
        <v>0.16712328767123288</v>
      </c>
      <c r="AJ346" s="2251">
        <f t="shared" si="330"/>
        <v>6.7462248371346872E-2</v>
      </c>
      <c r="AK346" s="2251">
        <f t="shared" si="330"/>
        <v>2.6361863892813579E-2</v>
      </c>
      <c r="AL346" s="2251">
        <f t="shared" si="330"/>
        <v>6.0262393048172479E-3</v>
      </c>
      <c r="AM346" s="2251">
        <f t="shared" si="330"/>
        <v>1.4642170566740657E-3</v>
      </c>
      <c r="AN346" s="2251">
        <f t="shared" ref="AN346:BI346" si="331">AN219/AN343</f>
        <v>9.9446947336946558E-3</v>
      </c>
      <c r="AO346" s="2251">
        <f t="shared" si="331"/>
        <v>5.2713051315759606E-3</v>
      </c>
      <c r="AP346" s="2251">
        <f t="shared" si="331"/>
        <v>6.1682507578910946E-3</v>
      </c>
      <c r="AQ346" s="2251">
        <f t="shared" si="331"/>
        <v>4.3037099235729466E-3</v>
      </c>
      <c r="AR346" s="2251">
        <f t="shared" si="331"/>
        <v>2.8976293895314662E-3</v>
      </c>
      <c r="AS346" s="2251">
        <f t="shared" si="331"/>
        <v>3.0031250061624492E-3</v>
      </c>
      <c r="AT346" s="2251">
        <f t="shared" si="331"/>
        <v>2.2160389974453061E-3</v>
      </c>
      <c r="AU346" s="2251">
        <f t="shared" si="331"/>
        <v>2.2145094131542603E-3</v>
      </c>
      <c r="AV346" s="2251">
        <f t="shared" si="331"/>
        <v>1.9330125656774621E-3</v>
      </c>
      <c r="AW346" s="2251">
        <f t="shared" si="331"/>
        <v>1.9328069641491184E-3</v>
      </c>
      <c r="AX346" s="2251">
        <f t="shared" si="331"/>
        <v>1.7440479575833718E-3</v>
      </c>
      <c r="AY346" s="2251">
        <f t="shared" si="331"/>
        <v>1.7439933031013798E-3</v>
      </c>
      <c r="AZ346" s="2251">
        <f t="shared" si="331"/>
        <v>1.7440918225669561E-3</v>
      </c>
      <c r="BA346" s="2251">
        <f t="shared" si="331"/>
        <v>1.5805233396561725E-3</v>
      </c>
      <c r="BB346" s="2251">
        <f t="shared" si="331"/>
        <v>1.6398468960575113E-3</v>
      </c>
      <c r="BC346" s="2251">
        <f t="shared" si="331"/>
        <v>1.5925247941491597E-3</v>
      </c>
      <c r="BD346" s="2251">
        <f t="shared" si="331"/>
        <v>1.0525411054909095E-2</v>
      </c>
      <c r="BE346" s="2251">
        <f t="shared" si="331"/>
        <v>1.7133432152497809E-3</v>
      </c>
      <c r="BF346" s="2251">
        <f t="shared" si="331"/>
        <v>1.7133432152497809E-3</v>
      </c>
      <c r="BG346" s="2251">
        <f t="shared" si="331"/>
        <v>0.16712328767123288</v>
      </c>
      <c r="BH346" s="2251">
        <f t="shared" si="331"/>
        <v>7.1300036953848931E-3</v>
      </c>
      <c r="BI346" s="2251">
        <f t="shared" si="331"/>
        <v>3.3453981800153909E-2</v>
      </c>
    </row>
    <row r="347" spans="1:61">
      <c r="A347" s="2248"/>
      <c r="B347" s="2249"/>
      <c r="C347" s="2250"/>
      <c r="D347" s="2265"/>
      <c r="E347" s="3655"/>
      <c r="F347" s="2153"/>
      <c r="G347" s="2154"/>
      <c r="H347" s="2251"/>
      <c r="I347" s="2251"/>
      <c r="J347" s="2251"/>
      <c r="K347" s="2251"/>
      <c r="L347" s="2251"/>
      <c r="M347" s="2251"/>
      <c r="N347" s="2251"/>
      <c r="O347" s="2251"/>
      <c r="P347" s="2251"/>
      <c r="Q347" s="2251"/>
      <c r="R347" s="2251"/>
      <c r="S347" s="2251"/>
      <c r="T347" s="2251"/>
      <c r="U347" s="2251"/>
      <c r="V347" s="2251"/>
      <c r="W347" s="2251"/>
      <c r="X347" s="2251"/>
      <c r="Y347" s="2251"/>
      <c r="Z347" s="2251"/>
      <c r="AA347" s="2251"/>
      <c r="AB347" s="2251"/>
      <c r="AC347" s="2251"/>
      <c r="AD347" s="2251"/>
      <c r="AE347" s="2251"/>
      <c r="AF347" s="2251"/>
      <c r="AG347" s="2251"/>
      <c r="AH347" s="2251"/>
      <c r="AI347" s="2251"/>
      <c r="AJ347" s="2251"/>
      <c r="AK347" s="2251"/>
      <c r="AL347" s="2251"/>
      <c r="AM347" s="2251"/>
      <c r="AN347" s="2251"/>
      <c r="AO347" s="2251"/>
      <c r="AP347" s="2251"/>
      <c r="AQ347" s="2251"/>
      <c r="AR347" s="2251"/>
      <c r="AS347" s="2251"/>
      <c r="AT347" s="2251"/>
      <c r="AU347" s="2251"/>
      <c r="AV347" s="2251"/>
      <c r="AW347" s="2251"/>
      <c r="AX347" s="2251"/>
      <c r="AY347" s="2251"/>
      <c r="AZ347" s="2251"/>
      <c r="BA347" s="2251"/>
      <c r="BB347" s="2251"/>
      <c r="BC347" s="2251"/>
      <c r="BD347" s="2251"/>
      <c r="BE347" s="2251"/>
      <c r="BF347" s="2251"/>
      <c r="BG347" s="2251"/>
      <c r="BH347" s="2251"/>
      <c r="BI347" s="2251"/>
    </row>
    <row r="348" spans="1:61" s="2244" customFormat="1" ht="13.15" customHeight="1">
      <c r="A348" s="2241"/>
      <c r="B348" s="276"/>
      <c r="C348" s="2242"/>
      <c r="D348" s="2243"/>
      <c r="E348" s="3677" t="s">
        <v>1036</v>
      </c>
      <c r="F348" s="2275"/>
      <c r="G348" s="3688"/>
      <c r="H348" s="2275"/>
      <c r="I348" s="2155"/>
      <c r="J348" s="2155"/>
      <c r="K348" s="2155"/>
      <c r="L348" s="2155"/>
      <c r="M348" s="2155"/>
      <c r="N348" s="2155"/>
      <c r="O348" s="2155"/>
      <c r="P348" s="2155"/>
      <c r="Q348" s="2155"/>
      <c r="R348" s="2155"/>
      <c r="S348" s="2155"/>
      <c r="T348" s="2155"/>
      <c r="U348" s="2155"/>
      <c r="V348" s="2155"/>
      <c r="W348" s="2155"/>
      <c r="X348" s="2155"/>
      <c r="Y348" s="2155"/>
      <c r="Z348" s="2155"/>
      <c r="AA348" s="2155"/>
      <c r="AB348" s="2155"/>
      <c r="AC348" s="2155"/>
      <c r="AD348" s="2155"/>
      <c r="AE348" s="2155"/>
      <c r="AF348" s="2155"/>
      <c r="AG348" s="2155"/>
      <c r="AH348" s="2155"/>
      <c r="AI348" s="2155"/>
      <c r="AJ348" s="2155"/>
      <c r="AK348" s="2155"/>
      <c r="AL348" s="2155"/>
      <c r="AM348" s="2155"/>
      <c r="AN348" s="2155"/>
      <c r="AO348" s="2155"/>
      <c r="AP348" s="2155"/>
      <c r="AQ348" s="2155"/>
      <c r="AR348" s="2155"/>
      <c r="AS348" s="2155"/>
      <c r="AT348" s="2155"/>
      <c r="AU348" s="2155"/>
      <c r="AV348" s="2155"/>
      <c r="AW348" s="2155"/>
      <c r="AX348" s="2155"/>
      <c r="AY348" s="2155"/>
      <c r="AZ348" s="2155"/>
      <c r="BA348" s="2155"/>
      <c r="BB348" s="2155"/>
      <c r="BC348" s="2155"/>
      <c r="BD348" s="2155"/>
      <c r="BE348" s="2155"/>
      <c r="BF348" s="2155"/>
      <c r="BG348" s="2155"/>
      <c r="BH348" s="2155"/>
      <c r="BI348" s="2155"/>
    </row>
    <row r="349" spans="1:61" ht="25.5">
      <c r="A349" s="2149"/>
      <c r="B349" s="2150"/>
      <c r="C349" s="2151"/>
      <c r="D349" s="2245"/>
      <c r="E349" s="3655" t="s">
        <v>610</v>
      </c>
      <c r="F349" s="2153" t="s">
        <v>138</v>
      </c>
      <c r="G349" s="2154" t="s">
        <v>139</v>
      </c>
      <c r="H349" s="2155">
        <f t="shared" ref="H349:AM349" si="332">MIN(H226,H342+H252)</f>
        <v>2.9869500750778842E-2</v>
      </c>
      <c r="I349" s="2155">
        <f t="shared" si="332"/>
        <v>2.9869500750778842E-2</v>
      </c>
      <c r="J349" s="2155">
        <f t="shared" si="332"/>
        <v>2.9869500750778842E-2</v>
      </c>
      <c r="K349" s="2155">
        <f t="shared" si="332"/>
        <v>2.9869500750778842E-2</v>
      </c>
      <c r="L349" s="2155">
        <f t="shared" si="332"/>
        <v>2.9869500750778842E-2</v>
      </c>
      <c r="M349" s="2155">
        <f t="shared" si="332"/>
        <v>2.9869500750778842E-2</v>
      </c>
      <c r="N349" s="2155">
        <f t="shared" si="332"/>
        <v>2.9869500750778842E-2</v>
      </c>
      <c r="O349" s="2155">
        <f t="shared" si="332"/>
        <v>2.9869500750778842E-2</v>
      </c>
      <c r="P349" s="2155">
        <f t="shared" si="332"/>
        <v>2.9869500750778842E-2</v>
      </c>
      <c r="Q349" s="2155">
        <f t="shared" si="332"/>
        <v>2.9869500750778842E-2</v>
      </c>
      <c r="R349" s="2155">
        <f t="shared" si="332"/>
        <v>2.9875785047756648E-2</v>
      </c>
      <c r="S349" s="2155">
        <f t="shared" si="332"/>
        <v>2.9869500750778842E-2</v>
      </c>
      <c r="T349" s="2155">
        <f t="shared" si="332"/>
        <v>2.9869500750778842E-2</v>
      </c>
      <c r="U349" s="2155">
        <f t="shared" si="332"/>
        <v>2.9869500750778842E-2</v>
      </c>
      <c r="V349" s="2155">
        <f t="shared" si="332"/>
        <v>2.9869500750778842E-2</v>
      </c>
      <c r="W349" s="2155">
        <f t="shared" si="332"/>
        <v>2.9869500750778842E-2</v>
      </c>
      <c r="X349" s="2155">
        <f t="shared" si="332"/>
        <v>2.9869500750778842E-2</v>
      </c>
      <c r="Y349" s="2155">
        <f t="shared" si="332"/>
        <v>2.9869500750778842E-2</v>
      </c>
      <c r="Z349" s="2155">
        <f t="shared" si="332"/>
        <v>2.9869500750778842E-2</v>
      </c>
      <c r="AA349" s="2155">
        <f t="shared" si="332"/>
        <v>2.9869500750778842E-2</v>
      </c>
      <c r="AB349" s="2155">
        <f t="shared" si="332"/>
        <v>2.9869500750778842E-2</v>
      </c>
      <c r="AC349" s="2155">
        <f t="shared" si="332"/>
        <v>2.9869500750778842E-2</v>
      </c>
      <c r="AD349" s="2155">
        <f t="shared" si="332"/>
        <v>2.9869500750778842E-2</v>
      </c>
      <c r="AE349" s="2155">
        <f t="shared" si="332"/>
        <v>2.9869500750778842E-2</v>
      </c>
      <c r="AF349" s="2155">
        <f t="shared" si="332"/>
        <v>2.9869500750778842E-2</v>
      </c>
      <c r="AG349" s="2155">
        <f t="shared" si="332"/>
        <v>2.9869500750778842E-2</v>
      </c>
      <c r="AH349" s="2155">
        <f t="shared" si="332"/>
        <v>2.9869500750778842E-2</v>
      </c>
      <c r="AI349" s="2155">
        <f t="shared" si="332"/>
        <v>2.9869500750778842E-2</v>
      </c>
      <c r="AJ349" s="2155">
        <f t="shared" si="332"/>
        <v>2.9869500750778842E-2</v>
      </c>
      <c r="AK349" s="2155">
        <f t="shared" si="332"/>
        <v>2.9869500750778842E-2</v>
      </c>
      <c r="AL349" s="2155">
        <f t="shared" si="332"/>
        <v>2.9869500750778842E-2</v>
      </c>
      <c r="AM349" s="2155">
        <f t="shared" si="332"/>
        <v>2.9869500750778842E-2</v>
      </c>
      <c r="AN349" s="2155">
        <f t="shared" ref="AN349:BI349" si="333">MIN(AN226,AN342+AN252)</f>
        <v>2.9869500750778842E-2</v>
      </c>
      <c r="AO349" s="2155">
        <f t="shared" si="333"/>
        <v>2.9869500750778842E-2</v>
      </c>
      <c r="AP349" s="2155">
        <f t="shared" si="333"/>
        <v>2.9869500750778842E-2</v>
      </c>
      <c r="AQ349" s="2155">
        <f t="shared" si="333"/>
        <v>2.9869500750778842E-2</v>
      </c>
      <c r="AR349" s="2155">
        <f t="shared" si="333"/>
        <v>2.9869500750778842E-2</v>
      </c>
      <c r="AS349" s="2155">
        <f t="shared" si="333"/>
        <v>2.9869500750778842E-2</v>
      </c>
      <c r="AT349" s="2155">
        <f t="shared" si="333"/>
        <v>2.9869500750778842E-2</v>
      </c>
      <c r="AU349" s="2155">
        <f t="shared" si="333"/>
        <v>2.9869500750778842E-2</v>
      </c>
      <c r="AV349" s="2155">
        <f t="shared" si="333"/>
        <v>2.9869500750778842E-2</v>
      </c>
      <c r="AW349" s="2155">
        <f t="shared" si="333"/>
        <v>2.9869500750778842E-2</v>
      </c>
      <c r="AX349" s="2155">
        <f t="shared" si="333"/>
        <v>2.9869500750778842E-2</v>
      </c>
      <c r="AY349" s="2155">
        <f t="shared" si="333"/>
        <v>2.9869500750778842E-2</v>
      </c>
      <c r="AZ349" s="2155">
        <f t="shared" si="333"/>
        <v>2.9869500750778842E-2</v>
      </c>
      <c r="BA349" s="2155">
        <f t="shared" si="333"/>
        <v>2.9869500750778842E-2</v>
      </c>
      <c r="BB349" s="2155">
        <f t="shared" si="333"/>
        <v>2.9869500750778842E-2</v>
      </c>
      <c r="BC349" s="2155">
        <f t="shared" si="333"/>
        <v>2.9869500750778842E-2</v>
      </c>
      <c r="BD349" s="2155">
        <f t="shared" si="333"/>
        <v>2.9869500750778842E-2</v>
      </c>
      <c r="BE349" s="2155">
        <f t="shared" si="333"/>
        <v>2.9869500750778842E-2</v>
      </c>
      <c r="BF349" s="2155">
        <f t="shared" si="333"/>
        <v>2.9869500750778842E-2</v>
      </c>
      <c r="BG349" s="2155">
        <f t="shared" si="333"/>
        <v>2.9869500750778842E-2</v>
      </c>
      <c r="BH349" s="2155">
        <f t="shared" si="333"/>
        <v>2.9869500750778842E-2</v>
      </c>
      <c r="BI349" s="2155">
        <f t="shared" si="333"/>
        <v>2.9869500750778842E-2</v>
      </c>
    </row>
    <row r="350" spans="1:61" s="2304" customFormat="1" ht="25.5">
      <c r="A350" s="2389"/>
      <c r="B350" s="2390"/>
      <c r="C350" s="2391"/>
      <c r="D350" s="2245"/>
      <c r="E350" s="3655" t="s">
        <v>611</v>
      </c>
      <c r="F350" s="2343" t="s">
        <v>138</v>
      </c>
      <c r="G350" s="2344" t="s">
        <v>139</v>
      </c>
      <c r="H350" s="2345">
        <f t="shared" ref="H350:AL350" si="334">MIN(H349,H$24)</f>
        <v>2.9869500750778842E-2</v>
      </c>
      <c r="I350" s="2345">
        <f t="shared" si="334"/>
        <v>2.9869500750778842E-2</v>
      </c>
      <c r="J350" s="2345">
        <f>MIN(J349,J$24)</f>
        <v>2.9869500750778842E-2</v>
      </c>
      <c r="K350" s="2345">
        <f t="shared" si="334"/>
        <v>2.2158204484343824E-4</v>
      </c>
      <c r="L350" s="2345">
        <f t="shared" si="334"/>
        <v>1.1851458550923837E-3</v>
      </c>
      <c r="M350" s="2345">
        <f t="shared" si="334"/>
        <v>1.1851458550923837E-3</v>
      </c>
      <c r="N350" s="2345">
        <f>MIN(N349,N$24)</f>
        <v>6.0089158260360175E-4</v>
      </c>
      <c r="O350" s="2345">
        <f>MIN(O349,O$24)</f>
        <v>6.0089158260360175E-4</v>
      </c>
      <c r="P350" s="2345">
        <f t="shared" si="334"/>
        <v>5.5039751776425475E-4</v>
      </c>
      <c r="Q350" s="2345">
        <f t="shared" si="334"/>
        <v>5.5039751776425475E-4</v>
      </c>
      <c r="R350" s="2345">
        <f>MIN(R349,R$24)</f>
        <v>1.3692415109493382E-3</v>
      </c>
      <c r="S350" s="2345">
        <f>MIN(S349,S$24)</f>
        <v>1.4594722321216436E-3</v>
      </c>
      <c r="T350" s="2345">
        <f>MIN(T349,T$24)</f>
        <v>1.4594722321216436E-3</v>
      </c>
      <c r="U350" s="2345">
        <f t="shared" si="334"/>
        <v>3.1000122748342328E-4</v>
      </c>
      <c r="V350" s="2345">
        <f t="shared" si="334"/>
        <v>1.8939450323668115E-4</v>
      </c>
      <c r="W350" s="2345">
        <f t="shared" si="334"/>
        <v>1.8939450323668115E-4</v>
      </c>
      <c r="X350" s="2345">
        <f t="shared" si="334"/>
        <v>9.8724472586039064E-4</v>
      </c>
      <c r="Y350" s="2345">
        <f t="shared" si="334"/>
        <v>1.4244744461903392E-3</v>
      </c>
      <c r="Z350" s="2345">
        <f t="shared" si="334"/>
        <v>2.4053246937783494E-3</v>
      </c>
      <c r="AA350" s="2345">
        <f t="shared" si="334"/>
        <v>3.5854363478589131E-3</v>
      </c>
      <c r="AB350" s="2345">
        <f t="shared" si="334"/>
        <v>3.1702287642916965E-3</v>
      </c>
      <c r="AC350" s="2345">
        <f t="shared" si="334"/>
        <v>1.6246379973589853E-2</v>
      </c>
      <c r="AD350" s="2345">
        <f t="shared" si="334"/>
        <v>2.9869500750778842E-2</v>
      </c>
      <c r="AE350" s="2345">
        <f t="shared" si="334"/>
        <v>2.9869500750778842E-2</v>
      </c>
      <c r="AF350" s="2345">
        <f t="shared" si="334"/>
        <v>2.9869500750778842E-2</v>
      </c>
      <c r="AG350" s="2345">
        <f t="shared" si="334"/>
        <v>1.3784519291422463E-4</v>
      </c>
      <c r="AH350" s="2345">
        <f t="shared" si="334"/>
        <v>1.8410300043604811E-4</v>
      </c>
      <c r="AI350" s="2345">
        <f t="shared" si="334"/>
        <v>4.5277041284242487E-4</v>
      </c>
      <c r="AJ350" s="2345">
        <f t="shared" si="334"/>
        <v>1.9020518590924676E-3</v>
      </c>
      <c r="AK350" s="2345">
        <f t="shared" si="334"/>
        <v>8.3434134006860113E-3</v>
      </c>
      <c r="AL350" s="2345">
        <f t="shared" si="334"/>
        <v>2.9869500750778842E-2</v>
      </c>
      <c r="AM350" s="2345">
        <f t="shared" ref="AM350:BI350" si="335">MIN(AM349,AM$24)</f>
        <v>2.9869500750778842E-2</v>
      </c>
      <c r="AN350" s="2345">
        <f t="shared" si="335"/>
        <v>2.9869500750778842E-2</v>
      </c>
      <c r="AO350" s="2345">
        <f t="shared" si="335"/>
        <v>2.9869500750778842E-2</v>
      </c>
      <c r="AP350" s="2345">
        <f t="shared" si="335"/>
        <v>2.9869500750778842E-2</v>
      </c>
      <c r="AQ350" s="2345">
        <f t="shared" si="335"/>
        <v>2.9869500750778842E-2</v>
      </c>
      <c r="AR350" s="2345">
        <f t="shared" si="335"/>
        <v>2.9869500750778842E-2</v>
      </c>
      <c r="AS350" s="2345">
        <f t="shared" si="335"/>
        <v>2.9869500750778842E-2</v>
      </c>
      <c r="AT350" s="2345">
        <f t="shared" si="335"/>
        <v>2.9869500750778842E-2</v>
      </c>
      <c r="AU350" s="2345">
        <f t="shared" si="335"/>
        <v>2.9869500750778842E-2</v>
      </c>
      <c r="AV350" s="2345">
        <f t="shared" si="335"/>
        <v>2.9869500750778842E-2</v>
      </c>
      <c r="AW350" s="2345">
        <f t="shared" si="335"/>
        <v>2.9869500750778842E-2</v>
      </c>
      <c r="AX350" s="2345">
        <f t="shared" si="335"/>
        <v>2.9869500750778842E-2</v>
      </c>
      <c r="AY350" s="2345">
        <f t="shared" si="335"/>
        <v>2.9869500750778842E-2</v>
      </c>
      <c r="AZ350" s="2345">
        <f t="shared" si="335"/>
        <v>2.9869500750778842E-2</v>
      </c>
      <c r="BA350" s="2345">
        <f t="shared" si="335"/>
        <v>2.9869500750778842E-2</v>
      </c>
      <c r="BB350" s="2345">
        <f t="shared" si="335"/>
        <v>2.9869500750778842E-2</v>
      </c>
      <c r="BC350" s="2345">
        <f t="shared" si="335"/>
        <v>2.9869500750778842E-2</v>
      </c>
      <c r="BD350" s="2345">
        <f t="shared" si="335"/>
        <v>2.9869500750778842E-2</v>
      </c>
      <c r="BE350" s="2345">
        <f t="shared" si="335"/>
        <v>2.9869500750778842E-2</v>
      </c>
      <c r="BF350" s="2345">
        <f t="shared" si="335"/>
        <v>2.9869500750778842E-2</v>
      </c>
      <c r="BG350" s="2345">
        <f t="shared" si="335"/>
        <v>2.2645257434878176E-4</v>
      </c>
      <c r="BH350" s="2345">
        <f t="shared" si="335"/>
        <v>2.9869500750778842E-2</v>
      </c>
      <c r="BI350" s="2345">
        <f t="shared" si="335"/>
        <v>2.9869500750778842E-2</v>
      </c>
    </row>
    <row r="351" spans="1:61" s="2193" customFormat="1" ht="38.25">
      <c r="A351" s="2189"/>
      <c r="B351" s="2253"/>
      <c r="C351" s="2191"/>
      <c r="D351" s="2245"/>
      <c r="E351" s="3658" t="s">
        <v>952</v>
      </c>
      <c r="F351" s="2217" t="s">
        <v>300</v>
      </c>
      <c r="G351" s="2222" t="s">
        <v>35</v>
      </c>
      <c r="H351" s="2235">
        <f t="shared" ref="H351:AM351" si="336">H226/H350</f>
        <v>1</v>
      </c>
      <c r="I351" s="2235">
        <f t="shared" si="336"/>
        <v>1</v>
      </c>
      <c r="J351" s="2235">
        <f t="shared" si="336"/>
        <v>1</v>
      </c>
      <c r="K351" s="2235">
        <f t="shared" si="336"/>
        <v>134.80108811110367</v>
      </c>
      <c r="L351" s="2235">
        <f t="shared" si="336"/>
        <v>25.203227621675708</v>
      </c>
      <c r="M351" s="2235">
        <f t="shared" si="336"/>
        <v>25.203227621675708</v>
      </c>
      <c r="N351" s="2235">
        <f t="shared" si="336"/>
        <v>49.708635659959405</v>
      </c>
      <c r="O351" s="2235">
        <f t="shared" si="336"/>
        <v>49.708635659959405</v>
      </c>
      <c r="P351" s="2235">
        <f t="shared" si="336"/>
        <v>54.268959773129815</v>
      </c>
      <c r="Q351" s="2235">
        <f t="shared" si="336"/>
        <v>54.268959773129815</v>
      </c>
      <c r="R351" s="2235">
        <f t="shared" si="336"/>
        <v>21.819222400760278</v>
      </c>
      <c r="S351" s="2235">
        <f t="shared" si="336"/>
        <v>20.465960292617126</v>
      </c>
      <c r="T351" s="2235">
        <f t="shared" si="336"/>
        <v>20.465960292617126</v>
      </c>
      <c r="U351" s="2235">
        <f t="shared" si="336"/>
        <v>96.352846707279753</v>
      </c>
      <c r="V351" s="2235">
        <f t="shared" si="336"/>
        <v>157.71049444582741</v>
      </c>
      <c r="W351" s="2235">
        <f t="shared" si="336"/>
        <v>157.71049444582741</v>
      </c>
      <c r="X351" s="2235">
        <f t="shared" si="336"/>
        <v>30.255416887385611</v>
      </c>
      <c r="Y351" s="2235">
        <f t="shared" si="336"/>
        <v>20.968786650166177</v>
      </c>
      <c r="Z351" s="2235">
        <f t="shared" si="336"/>
        <v>12.41807429493397</v>
      </c>
      <c r="AA351" s="2235">
        <f t="shared" si="336"/>
        <v>8.3307853920250956</v>
      </c>
      <c r="AB351" s="2235">
        <f t="shared" si="336"/>
        <v>9.4218755085494248</v>
      </c>
      <c r="AC351" s="2235">
        <f t="shared" si="336"/>
        <v>1.8385326946270346</v>
      </c>
      <c r="AD351" s="2235">
        <f t="shared" si="336"/>
        <v>1</v>
      </c>
      <c r="AE351" s="2235">
        <f t="shared" si="336"/>
        <v>1</v>
      </c>
      <c r="AF351" s="2235">
        <f t="shared" si="336"/>
        <v>1</v>
      </c>
      <c r="AG351" s="2235">
        <f t="shared" si="336"/>
        <v>216.68873697587264</v>
      </c>
      <c r="AH351" s="2235">
        <f t="shared" si="336"/>
        <v>162.24342178037784</v>
      </c>
      <c r="AI351" s="2235">
        <f t="shared" si="336"/>
        <v>65.970522595022473</v>
      </c>
      <c r="AJ351" s="2235">
        <f t="shared" si="336"/>
        <v>15.703830896088489</v>
      </c>
      <c r="AK351" s="2235">
        <f t="shared" si="336"/>
        <v>3.5800096814479927</v>
      </c>
      <c r="AL351" s="2235">
        <f t="shared" si="336"/>
        <v>1</v>
      </c>
      <c r="AM351" s="2235">
        <f t="shared" si="336"/>
        <v>1</v>
      </c>
      <c r="AN351" s="2235">
        <f t="shared" ref="AN351:BI351" si="337">AN226/AN350</f>
        <v>1</v>
      </c>
      <c r="AO351" s="2235">
        <f t="shared" si="337"/>
        <v>1</v>
      </c>
      <c r="AP351" s="2235">
        <f t="shared" si="337"/>
        <v>1</v>
      </c>
      <c r="AQ351" s="2235">
        <f t="shared" si="337"/>
        <v>1</v>
      </c>
      <c r="AR351" s="2235">
        <f t="shared" si="337"/>
        <v>1</v>
      </c>
      <c r="AS351" s="2235">
        <f t="shared" si="337"/>
        <v>1</v>
      </c>
      <c r="AT351" s="2235">
        <f t="shared" si="337"/>
        <v>1</v>
      </c>
      <c r="AU351" s="2235">
        <f t="shared" si="337"/>
        <v>1</v>
      </c>
      <c r="AV351" s="2235">
        <f t="shared" si="337"/>
        <v>1</v>
      </c>
      <c r="AW351" s="2235">
        <f t="shared" si="337"/>
        <v>1</v>
      </c>
      <c r="AX351" s="2235">
        <f t="shared" si="337"/>
        <v>1</v>
      </c>
      <c r="AY351" s="2235">
        <f t="shared" si="337"/>
        <v>1</v>
      </c>
      <c r="AZ351" s="2235">
        <f t="shared" si="337"/>
        <v>1</v>
      </c>
      <c r="BA351" s="2235">
        <f t="shared" si="337"/>
        <v>1</v>
      </c>
      <c r="BB351" s="2235">
        <f t="shared" si="337"/>
        <v>1</v>
      </c>
      <c r="BC351" s="2235">
        <f t="shared" si="337"/>
        <v>1</v>
      </c>
      <c r="BD351" s="2235">
        <f t="shared" si="337"/>
        <v>1</v>
      </c>
      <c r="BE351" s="2235">
        <f t="shared" si="337"/>
        <v>1</v>
      </c>
      <c r="BF351" s="2235">
        <f t="shared" si="337"/>
        <v>1</v>
      </c>
      <c r="BG351" s="2235">
        <f t="shared" si="337"/>
        <v>131.90179372734312</v>
      </c>
      <c r="BH351" s="2235">
        <f t="shared" si="337"/>
        <v>1</v>
      </c>
      <c r="BI351" s="2235">
        <f t="shared" si="337"/>
        <v>1</v>
      </c>
    </row>
    <row r="352" spans="1:61" s="224" customFormat="1">
      <c r="A352" s="390"/>
      <c r="B352" s="78"/>
      <c r="C352" s="78"/>
      <c r="D352" s="2245"/>
      <c r="E352" s="525"/>
      <c r="F352" s="525"/>
      <c r="G352" s="526"/>
      <c r="H352" s="2161"/>
      <c r="I352" s="2161"/>
      <c r="J352" s="2161"/>
      <c r="K352" s="2161"/>
      <c r="L352" s="2161"/>
      <c r="M352" s="2161"/>
      <c r="N352" s="2161"/>
      <c r="O352" s="2161"/>
      <c r="P352" s="2161"/>
      <c r="Q352" s="2161"/>
      <c r="R352" s="2155"/>
      <c r="S352" s="2161"/>
      <c r="T352" s="2161"/>
      <c r="U352" s="2161"/>
      <c r="V352" s="2161"/>
      <c r="W352" s="2161"/>
      <c r="X352" s="2161"/>
      <c r="Y352" s="2161"/>
      <c r="Z352" s="2161"/>
      <c r="AA352" s="2161"/>
      <c r="AB352" s="2161"/>
      <c r="AC352" s="2161"/>
      <c r="AD352" s="2161"/>
      <c r="AE352" s="2161"/>
      <c r="AF352" s="2161"/>
      <c r="AG352" s="2161"/>
      <c r="AH352" s="2161"/>
      <c r="AI352" s="2161"/>
      <c r="AJ352" s="2161"/>
      <c r="AK352" s="2161"/>
      <c r="AL352" s="2161"/>
      <c r="AM352" s="2161"/>
      <c r="AN352" s="2161"/>
      <c r="AO352" s="2161"/>
      <c r="AP352" s="2161"/>
      <c r="AQ352" s="2161"/>
      <c r="AR352" s="2161"/>
      <c r="AS352" s="2161"/>
      <c r="AT352" s="2161"/>
      <c r="AU352" s="2161"/>
      <c r="AV352" s="2161"/>
      <c r="AW352" s="2161"/>
      <c r="AX352" s="2161"/>
      <c r="AY352" s="2161"/>
      <c r="AZ352" s="2161"/>
      <c r="BA352" s="2161"/>
      <c r="BB352" s="2161"/>
      <c r="BC352" s="2161"/>
      <c r="BD352" s="2161"/>
      <c r="BE352" s="2161"/>
      <c r="BF352" s="2161"/>
      <c r="BG352" s="2161"/>
      <c r="BH352" s="2161"/>
      <c r="BI352" s="2161"/>
    </row>
    <row r="353" spans="1:61" s="529" customFormat="1" ht="13.15" customHeight="1">
      <c r="B353" s="224"/>
      <c r="C353" s="2269"/>
      <c r="D353" s="2245"/>
      <c r="E353" s="2392" t="str">
        <f>E26</f>
        <v>Période enfant 0-6 ans (effets sans seuil)</v>
      </c>
      <c r="F353" s="2237"/>
      <c r="G353" s="526"/>
      <c r="H353" s="2161"/>
      <c r="I353" s="2161"/>
      <c r="J353" s="2161"/>
      <c r="K353" s="2161"/>
      <c r="L353" s="2161"/>
      <c r="M353" s="2161"/>
      <c r="N353" s="2161"/>
      <c r="O353" s="2161"/>
      <c r="P353" s="2161"/>
      <c r="Q353" s="2161"/>
      <c r="R353" s="2161"/>
      <c r="S353" s="2161"/>
      <c r="T353" s="2161"/>
      <c r="U353" s="2161"/>
      <c r="V353" s="2161"/>
      <c r="W353" s="2161"/>
      <c r="X353" s="2161"/>
      <c r="Y353" s="2161"/>
      <c r="Z353" s="2161"/>
      <c r="AA353" s="2161"/>
      <c r="AB353" s="2161"/>
      <c r="AC353" s="2161"/>
      <c r="AD353" s="2161"/>
      <c r="AE353" s="2161"/>
      <c r="AF353" s="2161"/>
      <c r="AG353" s="2161"/>
      <c r="AH353" s="2161"/>
      <c r="AI353" s="2161"/>
      <c r="AJ353" s="2161"/>
      <c r="AK353" s="2161"/>
      <c r="AL353" s="2161"/>
      <c r="AM353" s="2161"/>
      <c r="AN353" s="2161"/>
      <c r="AO353" s="2161"/>
      <c r="AP353" s="2161"/>
      <c r="AQ353" s="2161"/>
      <c r="AR353" s="2161"/>
      <c r="AS353" s="2161"/>
      <c r="AT353" s="2161"/>
      <c r="AU353" s="2161"/>
      <c r="AV353" s="2161"/>
      <c r="AW353" s="2161"/>
      <c r="AX353" s="2161"/>
      <c r="AY353" s="2161"/>
      <c r="AZ353" s="2161"/>
      <c r="BA353" s="2161"/>
      <c r="BB353" s="2161"/>
      <c r="BC353" s="2161"/>
      <c r="BD353" s="2161"/>
      <c r="BE353" s="2161"/>
      <c r="BF353" s="2161"/>
      <c r="BG353" s="2161"/>
      <c r="BH353" s="2161"/>
      <c r="BI353" s="2161"/>
    </row>
    <row r="354" spans="1:61" s="529" customFormat="1" ht="13.15" customHeight="1">
      <c r="B354" s="224"/>
      <c r="C354" s="2269"/>
      <c r="D354" s="2245"/>
      <c r="E354" s="2212"/>
      <c r="F354" s="2237"/>
      <c r="G354" s="526"/>
      <c r="H354" s="2161"/>
      <c r="I354" s="2161"/>
      <c r="J354" s="2161"/>
      <c r="K354" s="2161"/>
      <c r="L354" s="2161"/>
      <c r="M354" s="2161"/>
      <c r="N354" s="2161"/>
      <c r="O354" s="2161"/>
      <c r="P354" s="2161"/>
      <c r="Q354" s="2161"/>
      <c r="R354" s="2161"/>
      <c r="S354" s="2161"/>
      <c r="T354" s="2161"/>
      <c r="U354" s="2161"/>
      <c r="V354" s="2161"/>
      <c r="W354" s="2161"/>
      <c r="X354" s="2161"/>
      <c r="Y354" s="2161"/>
      <c r="Z354" s="2161"/>
      <c r="AA354" s="2161"/>
      <c r="AB354" s="2161"/>
      <c r="AC354" s="2161"/>
      <c r="AD354" s="2161"/>
      <c r="AE354" s="2161"/>
      <c r="AF354" s="2161"/>
      <c r="AG354" s="2161"/>
      <c r="AH354" s="2161"/>
      <c r="AI354" s="2161"/>
      <c r="AJ354" s="2161"/>
      <c r="AK354" s="2161"/>
      <c r="AL354" s="2161"/>
      <c r="AM354" s="2161"/>
      <c r="AN354" s="2161"/>
      <c r="AO354" s="2161"/>
      <c r="AP354" s="2161"/>
      <c r="AQ354" s="2161"/>
      <c r="AR354" s="2161"/>
      <c r="AS354" s="2161"/>
      <c r="AT354" s="2161"/>
      <c r="AU354" s="2161"/>
      <c r="AV354" s="2161"/>
      <c r="AW354" s="2161"/>
      <c r="AX354" s="2161"/>
      <c r="AY354" s="2161"/>
      <c r="AZ354" s="2161"/>
      <c r="BA354" s="2161"/>
      <c r="BB354" s="2161"/>
      <c r="BC354" s="2161"/>
      <c r="BD354" s="2161"/>
      <c r="BE354" s="2161"/>
      <c r="BF354" s="2161"/>
      <c r="BG354" s="2161"/>
      <c r="BH354" s="2161"/>
      <c r="BI354" s="2161"/>
    </row>
    <row r="355" spans="1:61">
      <c r="A355" s="2126"/>
      <c r="B355" s="2156"/>
      <c r="C355" s="2156"/>
      <c r="D355" s="2245"/>
      <c r="E355" s="525" t="str">
        <f>E17</f>
        <v>Durée d'exposition considérée</v>
      </c>
      <c r="F355" s="525" t="str">
        <f>F17</f>
        <v>t</v>
      </c>
      <c r="G355" s="526" t="str">
        <f>G17</f>
        <v>an</v>
      </c>
      <c r="H355" s="2224">
        <f t="shared" ref="H355:AL355" si="338">H356/(365*24*3600)</f>
        <v>6</v>
      </c>
      <c r="I355" s="2224">
        <f t="shared" si="338"/>
        <v>6</v>
      </c>
      <c r="J355" s="2224">
        <f>J356/(365*24*3600)</f>
        <v>6</v>
      </c>
      <c r="K355" s="2224">
        <f t="shared" si="338"/>
        <v>6</v>
      </c>
      <c r="L355" s="2224">
        <f t="shared" si="338"/>
        <v>6</v>
      </c>
      <c r="M355" s="2224">
        <f t="shared" si="338"/>
        <v>6</v>
      </c>
      <c r="N355" s="2224">
        <f>N356/(365*24*3600)</f>
        <v>6</v>
      </c>
      <c r="O355" s="2224">
        <f>O356/(365*24*3600)</f>
        <v>6</v>
      </c>
      <c r="P355" s="2224">
        <f t="shared" si="338"/>
        <v>6</v>
      </c>
      <c r="Q355" s="2224">
        <f t="shared" si="338"/>
        <v>6</v>
      </c>
      <c r="R355" s="2224">
        <f>R356/(365*24*3600)</f>
        <v>6</v>
      </c>
      <c r="S355" s="2224">
        <f>S356/(365*24*3600)</f>
        <v>6</v>
      </c>
      <c r="T355" s="2224">
        <f>T356/(365*24*3600)</f>
        <v>6</v>
      </c>
      <c r="U355" s="2224">
        <f t="shared" si="338"/>
        <v>6</v>
      </c>
      <c r="V355" s="2224">
        <f t="shared" si="338"/>
        <v>6</v>
      </c>
      <c r="W355" s="2224">
        <f t="shared" si="338"/>
        <v>6</v>
      </c>
      <c r="X355" s="2224">
        <f t="shared" si="338"/>
        <v>6</v>
      </c>
      <c r="Y355" s="2224">
        <f t="shared" si="338"/>
        <v>6</v>
      </c>
      <c r="Z355" s="2224">
        <f t="shared" si="338"/>
        <v>6</v>
      </c>
      <c r="AA355" s="2224">
        <f t="shared" si="338"/>
        <v>6</v>
      </c>
      <c r="AB355" s="2224">
        <f t="shared" si="338"/>
        <v>6</v>
      </c>
      <c r="AC355" s="2224">
        <f t="shared" si="338"/>
        <v>6</v>
      </c>
      <c r="AD355" s="2224">
        <f t="shared" si="338"/>
        <v>6</v>
      </c>
      <c r="AE355" s="2224">
        <f t="shared" si="338"/>
        <v>6</v>
      </c>
      <c r="AF355" s="2224">
        <f t="shared" si="338"/>
        <v>6</v>
      </c>
      <c r="AG355" s="2224">
        <f t="shared" si="338"/>
        <v>6</v>
      </c>
      <c r="AH355" s="2224">
        <f t="shared" si="338"/>
        <v>6</v>
      </c>
      <c r="AI355" s="2224">
        <f t="shared" si="338"/>
        <v>6</v>
      </c>
      <c r="AJ355" s="2224">
        <f t="shared" si="338"/>
        <v>6</v>
      </c>
      <c r="AK355" s="2224">
        <f t="shared" si="338"/>
        <v>6</v>
      </c>
      <c r="AL355" s="2224">
        <f t="shared" si="338"/>
        <v>6</v>
      </c>
      <c r="AM355" s="2224">
        <f t="shared" ref="AM355:BI355" si="339">AM356/(365*24*3600)</f>
        <v>6</v>
      </c>
      <c r="AN355" s="2224">
        <f t="shared" si="339"/>
        <v>6</v>
      </c>
      <c r="AO355" s="2224">
        <f t="shared" si="339"/>
        <v>6</v>
      </c>
      <c r="AP355" s="2224">
        <f t="shared" si="339"/>
        <v>6</v>
      </c>
      <c r="AQ355" s="2224">
        <f t="shared" si="339"/>
        <v>6</v>
      </c>
      <c r="AR355" s="2224">
        <f t="shared" si="339"/>
        <v>6</v>
      </c>
      <c r="AS355" s="2224">
        <f t="shared" si="339"/>
        <v>6</v>
      </c>
      <c r="AT355" s="2224">
        <f t="shared" si="339"/>
        <v>6</v>
      </c>
      <c r="AU355" s="2224">
        <f t="shared" si="339"/>
        <v>6</v>
      </c>
      <c r="AV355" s="2224">
        <f t="shared" si="339"/>
        <v>6</v>
      </c>
      <c r="AW355" s="2224">
        <f t="shared" si="339"/>
        <v>6</v>
      </c>
      <c r="AX355" s="2224">
        <f t="shared" si="339"/>
        <v>6</v>
      </c>
      <c r="AY355" s="2224">
        <f t="shared" si="339"/>
        <v>6</v>
      </c>
      <c r="AZ355" s="2224">
        <f t="shared" si="339"/>
        <v>6</v>
      </c>
      <c r="BA355" s="2224">
        <f t="shared" si="339"/>
        <v>6</v>
      </c>
      <c r="BB355" s="2224">
        <f t="shared" si="339"/>
        <v>6</v>
      </c>
      <c r="BC355" s="2224">
        <f t="shared" si="339"/>
        <v>6</v>
      </c>
      <c r="BD355" s="2224">
        <f t="shared" si="339"/>
        <v>6</v>
      </c>
      <c r="BE355" s="2224">
        <f t="shared" si="339"/>
        <v>6</v>
      </c>
      <c r="BF355" s="2224">
        <f t="shared" si="339"/>
        <v>6</v>
      </c>
      <c r="BG355" s="2224">
        <f t="shared" si="339"/>
        <v>6</v>
      </c>
      <c r="BH355" s="2224">
        <f t="shared" si="339"/>
        <v>6</v>
      </c>
      <c r="BI355" s="2224">
        <f t="shared" si="339"/>
        <v>6</v>
      </c>
    </row>
    <row r="356" spans="1:61" s="2216" customFormat="1" ht="13.15" customHeight="1">
      <c r="A356" s="2213"/>
      <c r="B356" s="2214"/>
      <c r="C356" s="2213"/>
      <c r="D356" s="2243"/>
      <c r="E356" s="2208" t="str">
        <f>E28</f>
        <v>Durée d'exposition considérée</v>
      </c>
      <c r="F356" s="2208" t="str">
        <f t="shared" ref="F356:AI356" si="340">F28</f>
        <v>t</v>
      </c>
      <c r="G356" s="2209" t="str">
        <f t="shared" si="340"/>
        <v>s</v>
      </c>
      <c r="H356" s="2161">
        <f t="shared" si="340"/>
        <v>189216000</v>
      </c>
      <c r="I356" s="2161">
        <f t="shared" si="340"/>
        <v>189216000</v>
      </c>
      <c r="J356" s="2161">
        <f>J28</f>
        <v>189216000</v>
      </c>
      <c r="K356" s="2161">
        <f t="shared" si="340"/>
        <v>189216000</v>
      </c>
      <c r="L356" s="2161">
        <f t="shared" si="340"/>
        <v>189216000</v>
      </c>
      <c r="M356" s="2161">
        <f t="shared" si="340"/>
        <v>189216000</v>
      </c>
      <c r="N356" s="2161">
        <f>N28</f>
        <v>189216000</v>
      </c>
      <c r="O356" s="2161">
        <f>O28</f>
        <v>189216000</v>
      </c>
      <c r="P356" s="2161">
        <f t="shared" si="340"/>
        <v>189216000</v>
      </c>
      <c r="Q356" s="2161">
        <f t="shared" si="340"/>
        <v>189216000</v>
      </c>
      <c r="R356" s="2161">
        <f>R28</f>
        <v>189216000</v>
      </c>
      <c r="S356" s="2161">
        <f>S28</f>
        <v>189216000</v>
      </c>
      <c r="T356" s="2161">
        <f>T28</f>
        <v>189216000</v>
      </c>
      <c r="U356" s="2161">
        <f t="shared" si="340"/>
        <v>189216000</v>
      </c>
      <c r="V356" s="2161">
        <f t="shared" si="340"/>
        <v>189216000</v>
      </c>
      <c r="W356" s="2161">
        <f t="shared" si="340"/>
        <v>189216000</v>
      </c>
      <c r="X356" s="2161">
        <f t="shared" si="340"/>
        <v>189216000</v>
      </c>
      <c r="Y356" s="2161">
        <f t="shared" si="340"/>
        <v>189216000</v>
      </c>
      <c r="Z356" s="2161">
        <f t="shared" si="340"/>
        <v>189216000</v>
      </c>
      <c r="AA356" s="2215">
        <f t="shared" si="340"/>
        <v>189216000</v>
      </c>
      <c r="AB356" s="2161">
        <f t="shared" si="340"/>
        <v>189216000</v>
      </c>
      <c r="AC356" s="2161">
        <f t="shared" si="340"/>
        <v>189216000</v>
      </c>
      <c r="AD356" s="2161">
        <f t="shared" si="340"/>
        <v>189216000</v>
      </c>
      <c r="AE356" s="2161">
        <f t="shared" si="340"/>
        <v>189216000</v>
      </c>
      <c r="AF356" s="2161">
        <f t="shared" si="340"/>
        <v>189216000</v>
      </c>
      <c r="AG356" s="2161">
        <f t="shared" si="340"/>
        <v>189216000</v>
      </c>
      <c r="AH356" s="2161">
        <f t="shared" si="340"/>
        <v>189216000</v>
      </c>
      <c r="AI356" s="2161">
        <f t="shared" si="340"/>
        <v>189216000</v>
      </c>
      <c r="AJ356" s="2161">
        <f t="shared" ref="AJ356:BI356" si="341">AJ28</f>
        <v>189216000</v>
      </c>
      <c r="AK356" s="2161">
        <f t="shared" si="341"/>
        <v>189216000</v>
      </c>
      <c r="AL356" s="2161">
        <f t="shared" si="341"/>
        <v>189216000</v>
      </c>
      <c r="AM356" s="2161">
        <f t="shared" si="341"/>
        <v>189216000</v>
      </c>
      <c r="AN356" s="2155">
        <f t="shared" si="341"/>
        <v>189216000</v>
      </c>
      <c r="AO356" s="2161">
        <f t="shared" si="341"/>
        <v>189216000</v>
      </c>
      <c r="AP356" s="2161">
        <f t="shared" si="341"/>
        <v>189216000</v>
      </c>
      <c r="AQ356" s="2161">
        <f t="shared" si="341"/>
        <v>189216000</v>
      </c>
      <c r="AR356" s="2161">
        <f t="shared" si="341"/>
        <v>189216000</v>
      </c>
      <c r="AS356" s="2161">
        <f t="shared" si="341"/>
        <v>189216000</v>
      </c>
      <c r="AT356" s="2161">
        <f t="shared" si="341"/>
        <v>189216000</v>
      </c>
      <c r="AU356" s="2161">
        <f t="shared" si="341"/>
        <v>189216000</v>
      </c>
      <c r="AV356" s="2161">
        <f t="shared" si="341"/>
        <v>189216000</v>
      </c>
      <c r="AW356" s="2161">
        <f t="shared" si="341"/>
        <v>189216000</v>
      </c>
      <c r="AX356" s="2161">
        <f t="shared" si="341"/>
        <v>189216000</v>
      </c>
      <c r="AY356" s="2161">
        <f t="shared" si="341"/>
        <v>189216000</v>
      </c>
      <c r="AZ356" s="2161">
        <f t="shared" si="341"/>
        <v>189216000</v>
      </c>
      <c r="BA356" s="2161">
        <f t="shared" si="341"/>
        <v>189216000</v>
      </c>
      <c r="BB356" s="2161">
        <f t="shared" si="341"/>
        <v>189216000</v>
      </c>
      <c r="BC356" s="2161">
        <f t="shared" si="341"/>
        <v>189216000</v>
      </c>
      <c r="BD356" s="2161">
        <f t="shared" si="341"/>
        <v>189216000</v>
      </c>
      <c r="BE356" s="2161">
        <f t="shared" si="341"/>
        <v>189216000</v>
      </c>
      <c r="BF356" s="2161">
        <f t="shared" si="341"/>
        <v>189216000</v>
      </c>
      <c r="BG356" s="2161">
        <f t="shared" si="341"/>
        <v>189216000</v>
      </c>
      <c r="BH356" s="2161">
        <f t="shared" si="341"/>
        <v>189216000</v>
      </c>
      <c r="BI356" s="2161">
        <f t="shared" si="341"/>
        <v>189216000</v>
      </c>
    </row>
    <row r="357" spans="1:61" ht="13.15" customHeight="1">
      <c r="A357" s="2149"/>
      <c r="B357" s="2150"/>
      <c r="C357" s="2151"/>
      <c r="D357" s="2243"/>
      <c r="E357" s="45" t="s">
        <v>579</v>
      </c>
      <c r="F357" s="2153" t="s">
        <v>1132</v>
      </c>
      <c r="G357" s="2154" t="str">
        <f>Sols!T35</f>
        <v>m3/m/Pa/s</v>
      </c>
      <c r="H357" s="2155">
        <f>Sols!$U15</f>
        <v>3.0472745960090518E-7</v>
      </c>
      <c r="I357" s="2155">
        <f>Sols!$U15</f>
        <v>3.0472745960090518E-7</v>
      </c>
      <c r="J357" s="2155">
        <f>Sols!$U15</f>
        <v>3.0472745960090518E-7</v>
      </c>
      <c r="K357" s="2155">
        <f>Sols!$U15</f>
        <v>3.0472745960090518E-7</v>
      </c>
      <c r="L357" s="2155">
        <f>Sols!$U15</f>
        <v>3.0472745960090518E-7</v>
      </c>
      <c r="M357" s="2155">
        <f>Sols!$U15</f>
        <v>3.0472745960090518E-7</v>
      </c>
      <c r="N357" s="2155">
        <f>Sols!$U15</f>
        <v>3.0472745960090518E-7</v>
      </c>
      <c r="O357" s="2155">
        <f>Sols!$U15</f>
        <v>3.0472745960090518E-7</v>
      </c>
      <c r="P357" s="2155">
        <f>Sols!$U15</f>
        <v>3.0472745960090518E-7</v>
      </c>
      <c r="Q357" s="2155">
        <f>Sols!$U15</f>
        <v>3.0472745960090518E-7</v>
      </c>
      <c r="R357" s="2155">
        <f>Sols!$U15</f>
        <v>3.0472745960090518E-7</v>
      </c>
      <c r="S357" s="2155">
        <f>Sols!$U15</f>
        <v>3.0472745960090518E-7</v>
      </c>
      <c r="T357" s="2155">
        <f>Sols!$U15</f>
        <v>3.0472745960090518E-7</v>
      </c>
      <c r="U357" s="2155">
        <f>Sols!$U15</f>
        <v>3.0472745960090518E-7</v>
      </c>
      <c r="V357" s="2155">
        <f>Sols!$U15</f>
        <v>3.0472745960090518E-7</v>
      </c>
      <c r="W357" s="2155">
        <f>Sols!$U15</f>
        <v>3.0472745960090518E-7</v>
      </c>
      <c r="X357" s="2155">
        <f>Sols!$U15</f>
        <v>3.0472745960090518E-7</v>
      </c>
      <c r="Y357" s="2155">
        <f>Sols!$U15</f>
        <v>3.0472745960090518E-7</v>
      </c>
      <c r="Z357" s="2155">
        <f>Sols!$U15</f>
        <v>3.0472745960090518E-7</v>
      </c>
      <c r="AA357" s="2155">
        <f>Sols!$U15</f>
        <v>3.0472745960090518E-7</v>
      </c>
      <c r="AB357" s="2155">
        <f>Sols!$U15</f>
        <v>3.0472745960090518E-7</v>
      </c>
      <c r="AC357" s="2155">
        <f>Sols!$U15</f>
        <v>3.0472745960090518E-7</v>
      </c>
      <c r="AD357" s="2155">
        <f>Sols!$U15</f>
        <v>3.0472745960090518E-7</v>
      </c>
      <c r="AE357" s="2155">
        <f>Sols!$U15</f>
        <v>3.0472745960090518E-7</v>
      </c>
      <c r="AF357" s="2155">
        <f>Sols!$U15</f>
        <v>3.0472745960090518E-7</v>
      </c>
      <c r="AG357" s="2155">
        <f>Sols!$U15</f>
        <v>3.0472745960090518E-7</v>
      </c>
      <c r="AH357" s="2155">
        <f>Sols!$U15</f>
        <v>3.0472745960090518E-7</v>
      </c>
      <c r="AI357" s="2155">
        <f>Sols!$U15</f>
        <v>3.0472745960090518E-7</v>
      </c>
      <c r="AJ357" s="2155">
        <f>Sols!$U15</f>
        <v>3.0472745960090518E-7</v>
      </c>
      <c r="AK357" s="2155">
        <f>Sols!$U15</f>
        <v>3.0472745960090518E-7</v>
      </c>
      <c r="AL357" s="2155">
        <f>Sols!$U15</f>
        <v>3.0472745960090518E-7</v>
      </c>
      <c r="AM357" s="2155">
        <f>Sols!$U15</f>
        <v>3.0472745960090518E-7</v>
      </c>
      <c r="AN357" s="2155">
        <f>Sols!$U15</f>
        <v>3.0472745960090518E-7</v>
      </c>
      <c r="AO357" s="2155">
        <f>Sols!$U15</f>
        <v>3.0472745960090518E-7</v>
      </c>
      <c r="AP357" s="2155">
        <f>Sols!$U15</f>
        <v>3.0472745960090518E-7</v>
      </c>
      <c r="AQ357" s="2155">
        <f>Sols!$U15</f>
        <v>3.0472745960090518E-7</v>
      </c>
      <c r="AR357" s="2155">
        <f>Sols!$U15</f>
        <v>3.0472745960090518E-7</v>
      </c>
      <c r="AS357" s="2155">
        <f>Sols!$U15</f>
        <v>3.0472745960090518E-7</v>
      </c>
      <c r="AT357" s="2155">
        <f>Sols!$U15</f>
        <v>3.0472745960090518E-7</v>
      </c>
      <c r="AU357" s="2155">
        <f>Sols!$U15</f>
        <v>3.0472745960090518E-7</v>
      </c>
      <c r="AV357" s="2155">
        <f>Sols!$U15</f>
        <v>3.0472745960090518E-7</v>
      </c>
      <c r="AW357" s="2155">
        <f>Sols!$U15</f>
        <v>3.0472745960090518E-7</v>
      </c>
      <c r="AX357" s="2155">
        <f>Sols!$U15</f>
        <v>3.0472745960090518E-7</v>
      </c>
      <c r="AY357" s="2155">
        <f>Sols!$U15</f>
        <v>3.0472745960090518E-7</v>
      </c>
      <c r="AZ357" s="2155">
        <f>Sols!$U15</f>
        <v>3.0472745960090518E-7</v>
      </c>
      <c r="BA357" s="2155">
        <f>Sols!$U15</f>
        <v>3.0472745960090518E-7</v>
      </c>
      <c r="BB357" s="2155">
        <f>Sols!$U15</f>
        <v>3.0472745960090518E-7</v>
      </c>
      <c r="BC357" s="2155">
        <f>Sols!$U15</f>
        <v>3.0472745960090518E-7</v>
      </c>
      <c r="BD357" s="2155">
        <f>Sols!$U15</f>
        <v>3.0472745960090518E-7</v>
      </c>
      <c r="BE357" s="2155">
        <f>Sols!$U15</f>
        <v>3.0472745960090518E-7</v>
      </c>
      <c r="BF357" s="2155">
        <f>Sols!$U15</f>
        <v>3.0472745960090518E-7</v>
      </c>
      <c r="BG357" s="2155">
        <f>Sols!$U15</f>
        <v>3.0472745960090518E-7</v>
      </c>
      <c r="BH357" s="2155">
        <f>Sols!$U15</f>
        <v>3.0472745960090518E-7</v>
      </c>
      <c r="BI357" s="2155">
        <f>Sols!$U15</f>
        <v>3.0472745960090518E-7</v>
      </c>
    </row>
    <row r="358" spans="1:61" ht="13.15" customHeight="1">
      <c r="A358" s="2149"/>
      <c r="B358" s="2150"/>
      <c r="C358" s="2151"/>
      <c r="D358" s="2243"/>
      <c r="E358" s="45"/>
      <c r="F358" s="2153"/>
      <c r="G358" s="2154"/>
      <c r="H358" s="2155"/>
      <c r="I358" s="2155"/>
      <c r="J358" s="2155"/>
      <c r="K358" s="2155"/>
      <c r="L358" s="2155"/>
      <c r="M358" s="2155"/>
      <c r="N358" s="2155"/>
      <c r="O358" s="2155"/>
      <c r="P358" s="2155"/>
      <c r="Q358" s="2155"/>
      <c r="R358" s="2155"/>
      <c r="S358" s="2155"/>
      <c r="T358" s="2155"/>
      <c r="U358" s="2155"/>
      <c r="V358" s="2155"/>
      <c r="W358" s="2155"/>
      <c r="X358" s="2155"/>
      <c r="Y358" s="2155"/>
      <c r="Z358" s="2155"/>
      <c r="AA358" s="2155"/>
      <c r="AB358" s="2155"/>
      <c r="AC358" s="2155"/>
      <c r="AD358" s="2155"/>
      <c r="AE358" s="2155"/>
      <c r="AF358" s="2155"/>
      <c r="AG358" s="2155"/>
      <c r="AH358" s="2155"/>
      <c r="AI358" s="2155"/>
      <c r="AJ358" s="2155"/>
      <c r="AK358" s="2155"/>
      <c r="AL358" s="2155"/>
      <c r="AM358" s="2155"/>
      <c r="AN358" s="2155"/>
      <c r="AO358" s="2155"/>
      <c r="AP358" s="2155"/>
      <c r="AQ358" s="2155"/>
      <c r="AR358" s="2155"/>
      <c r="AS358" s="2155"/>
      <c r="AT358" s="2155"/>
      <c r="AU358" s="2155"/>
      <c r="AV358" s="2155"/>
      <c r="AW358" s="2155"/>
      <c r="AX358" s="2155"/>
      <c r="AY358" s="2155"/>
      <c r="AZ358" s="2155"/>
      <c r="BA358" s="2155"/>
      <c r="BB358" s="2155"/>
      <c r="BC358" s="2155"/>
      <c r="BD358" s="2155"/>
      <c r="BE358" s="2155"/>
      <c r="BF358" s="2155"/>
      <c r="BG358" s="2155"/>
      <c r="BH358" s="2155"/>
      <c r="BI358" s="2155"/>
    </row>
    <row r="359" spans="1:61" ht="13.15" customHeight="1">
      <c r="A359" s="2149"/>
      <c r="B359" s="2150"/>
      <c r="C359" s="2151"/>
      <c r="D359" s="2243"/>
      <c r="E359" s="3662" t="s">
        <v>1143</v>
      </c>
      <c r="F359" s="2153"/>
      <c r="G359" s="2154"/>
      <c r="H359" s="2155"/>
      <c r="I359" s="2155"/>
      <c r="J359" s="2155"/>
      <c r="K359" s="2155"/>
      <c r="L359" s="2155"/>
      <c r="M359" s="2155"/>
      <c r="N359" s="2155"/>
      <c r="O359" s="2155"/>
      <c r="P359" s="2155"/>
      <c r="Q359" s="2155"/>
      <c r="R359" s="2155"/>
      <c r="S359" s="2155"/>
      <c r="T359" s="2155"/>
      <c r="U359" s="2155"/>
      <c r="V359" s="2155"/>
      <c r="W359" s="2155"/>
      <c r="X359" s="2155"/>
      <c r="Y359" s="2155"/>
      <c r="Z359" s="2155"/>
      <c r="AA359" s="2155"/>
      <c r="AB359" s="2155"/>
      <c r="AC359" s="2155"/>
      <c r="AD359" s="2155"/>
      <c r="AE359" s="2155"/>
      <c r="AF359" s="2155"/>
      <c r="AG359" s="2155"/>
      <c r="AH359" s="2155"/>
      <c r="AI359" s="2155"/>
      <c r="AJ359" s="2155"/>
      <c r="AK359" s="2155"/>
      <c r="AL359" s="2155"/>
      <c r="AM359" s="2155"/>
      <c r="AN359" s="2155"/>
      <c r="AO359" s="2155"/>
      <c r="AP359" s="2155"/>
      <c r="AQ359" s="2155"/>
      <c r="AR359" s="2155"/>
      <c r="AS359" s="2155"/>
      <c r="AT359" s="2155"/>
      <c r="AU359" s="2155"/>
      <c r="AV359" s="2155"/>
      <c r="AW359" s="2155"/>
      <c r="AX359" s="2155"/>
      <c r="AY359" s="2155"/>
      <c r="AZ359" s="2155"/>
      <c r="BA359" s="2155"/>
      <c r="BB359" s="2155"/>
      <c r="BC359" s="2155"/>
      <c r="BD359" s="2155"/>
      <c r="BE359" s="2155"/>
      <c r="BF359" s="2155"/>
      <c r="BG359" s="2155"/>
      <c r="BH359" s="2155"/>
      <c r="BI359" s="2155"/>
    </row>
    <row r="360" spans="1:61" s="2274" customFormat="1" ht="13.15" customHeight="1">
      <c r="A360" s="2270"/>
      <c r="B360" s="2271"/>
      <c r="C360" s="2272"/>
      <c r="D360" s="2243"/>
      <c r="E360" s="3655" t="s">
        <v>297</v>
      </c>
      <c r="F360" s="2225" t="s">
        <v>1131</v>
      </c>
      <c r="G360" s="2226" t="s">
        <v>73</v>
      </c>
      <c r="H360" s="2273">
        <f t="shared" ref="H360:AM360" si="342">(2*H357*H13*H211/H14*H356+(H41+H357*H223)^2)^0.5-H357*H223</f>
        <v>0.86019961743249818</v>
      </c>
      <c r="I360" s="2273">
        <f t="shared" si="342"/>
        <v>0.86019961743249818</v>
      </c>
      <c r="J360" s="2273">
        <f t="shared" si="342"/>
        <v>2.2657170690043471</v>
      </c>
      <c r="K360" s="2273">
        <f t="shared" si="342"/>
        <v>34.382418983933</v>
      </c>
      <c r="L360" s="2273">
        <f t="shared" si="342"/>
        <v>14.843693432155845</v>
      </c>
      <c r="M360" s="2273">
        <f t="shared" si="342"/>
        <v>14.843693432155845</v>
      </c>
      <c r="N360" s="2273">
        <f t="shared" si="342"/>
        <v>20.862803582279238</v>
      </c>
      <c r="O360" s="2273">
        <f t="shared" si="342"/>
        <v>20.862803582279238</v>
      </c>
      <c r="P360" s="2273">
        <f t="shared" si="342"/>
        <v>21.800622762487944</v>
      </c>
      <c r="Q360" s="2273">
        <f t="shared" si="342"/>
        <v>21.800622762487944</v>
      </c>
      <c r="R360" s="2273">
        <f t="shared" si="342"/>
        <v>13.806980394171429</v>
      </c>
      <c r="S360" s="2273">
        <f t="shared" si="342"/>
        <v>13.372090965866894</v>
      </c>
      <c r="T360" s="2273">
        <f t="shared" si="342"/>
        <v>13.372090965866894</v>
      </c>
      <c r="U360" s="2273">
        <f t="shared" si="342"/>
        <v>29.062159807820954</v>
      </c>
      <c r="V360" s="2273">
        <f t="shared" si="342"/>
        <v>37.192801002846274</v>
      </c>
      <c r="W360" s="2273">
        <f t="shared" si="342"/>
        <v>37.192801002846274</v>
      </c>
      <c r="X360" s="2273">
        <f t="shared" si="342"/>
        <v>16.267447582203573</v>
      </c>
      <c r="Y360" s="2273">
        <f t="shared" si="342"/>
        <v>13.535859806826906</v>
      </c>
      <c r="Z360" s="2273">
        <f t="shared" si="342"/>
        <v>10.407236667676434</v>
      </c>
      <c r="AA360" s="2273">
        <f t="shared" si="342"/>
        <v>8.5168020701114919</v>
      </c>
      <c r="AB360" s="2273">
        <f t="shared" si="342"/>
        <v>9.059951316393521</v>
      </c>
      <c r="AC360" s="2273">
        <f t="shared" si="342"/>
        <v>3.9795307146904193</v>
      </c>
      <c r="AD360" s="2273">
        <f t="shared" si="342"/>
        <v>1.7382370249530532</v>
      </c>
      <c r="AE360" s="2273">
        <f t="shared" si="342"/>
        <v>0.58856397634263591</v>
      </c>
      <c r="AF360" s="2273">
        <f t="shared" si="342"/>
        <v>1.6639081092918589E-2</v>
      </c>
      <c r="AG360" s="2273">
        <f t="shared" si="342"/>
        <v>43.603029993676984</v>
      </c>
      <c r="AH360" s="2273">
        <f t="shared" si="342"/>
        <v>37.724095427535467</v>
      </c>
      <c r="AI360" s="2273">
        <f t="shared" si="342"/>
        <v>24.040505032602411</v>
      </c>
      <c r="AJ360" s="2273">
        <f t="shared" si="342"/>
        <v>11.70843821484516</v>
      </c>
      <c r="AK360" s="2273">
        <f t="shared" si="342"/>
        <v>5.569131501528708</v>
      </c>
      <c r="AL360" s="2273">
        <f t="shared" si="342"/>
        <v>1.5043002705554616</v>
      </c>
      <c r="AM360" s="2273">
        <f t="shared" si="342"/>
        <v>9.4024521871968414E-2</v>
      </c>
      <c r="AN360" s="2273">
        <f t="shared" ref="AN360:BI360" si="343">(2*AN357*AN13*AN211/AN14*AN356+(AN41+AN357*AN223)^2)^0.5-AN357*AN223</f>
        <v>1.106426140263272</v>
      </c>
      <c r="AO360" s="2273">
        <f t="shared" si="343"/>
        <v>0.5597524410220347</v>
      </c>
      <c r="AP360" s="2273">
        <f t="shared" si="343"/>
        <v>0.73525069854758707</v>
      </c>
      <c r="AQ360" s="2273">
        <f t="shared" si="343"/>
        <v>0.45402252535375648</v>
      </c>
      <c r="AR360" s="2273">
        <f t="shared" si="343"/>
        <v>0.18359448012193172</v>
      </c>
      <c r="AS360" s="2273">
        <f t="shared" si="343"/>
        <v>0.21327029249883114</v>
      </c>
      <c r="AT360" s="2273">
        <f t="shared" si="343"/>
        <v>3.8287024517378483E-2</v>
      </c>
      <c r="AU360" s="2273">
        <f t="shared" si="343"/>
        <v>3.7176789887965002E-2</v>
      </c>
      <c r="AV360" s="2273">
        <f t="shared" si="343"/>
        <v>7.8731338217238392E-3</v>
      </c>
      <c r="AW360" s="2273">
        <f t="shared" si="343"/>
        <v>7.6088831603207466E-3</v>
      </c>
      <c r="AX360" s="2273">
        <f t="shared" si="343"/>
        <v>2.9174419000291968E-4</v>
      </c>
      <c r="AY360" s="2273">
        <f t="shared" si="343"/>
        <v>2.004463251375696E-4</v>
      </c>
      <c r="AZ360" s="2273">
        <f t="shared" si="343"/>
        <v>1.3396337373364209E-4</v>
      </c>
      <c r="BA360" s="2273">
        <f t="shared" si="343"/>
        <v>2.3168242878152112E-5</v>
      </c>
      <c r="BB360" s="2273">
        <f t="shared" si="343"/>
        <v>3.6530122988531755E-4</v>
      </c>
      <c r="BC360" s="2273">
        <f t="shared" si="343"/>
        <v>9.7477088900621567E-11</v>
      </c>
      <c r="BD360" s="2273">
        <f t="shared" si="343"/>
        <v>0.13364145546600972</v>
      </c>
      <c r="BE360" s="2273">
        <f t="shared" si="343"/>
        <v>7.1897205004420178E-3</v>
      </c>
      <c r="BF360" s="2273">
        <f t="shared" si="343"/>
        <v>7.1897205004420178E-3</v>
      </c>
      <c r="BG360" s="2273">
        <f t="shared" si="343"/>
        <v>34.010220890740939</v>
      </c>
      <c r="BH360" s="2273">
        <f t="shared" si="343"/>
        <v>0.15899124258241668</v>
      </c>
      <c r="BI360" s="2273">
        <f t="shared" si="343"/>
        <v>0.5047687907769407</v>
      </c>
    </row>
    <row r="361" spans="1:61" s="2244" customFormat="1" ht="27" customHeight="1">
      <c r="A361" s="2241"/>
      <c r="B361" s="276"/>
      <c r="C361" s="2242"/>
      <c r="D361" s="2243"/>
      <c r="E361" s="3655" t="s">
        <v>610</v>
      </c>
      <c r="F361" s="2153" t="s">
        <v>138</v>
      </c>
      <c r="G361" s="2154" t="s">
        <v>139</v>
      </c>
      <c r="H361" s="2155">
        <f t="shared" ref="H361:AM361" si="344">1000*H14/H13*(H360-H41)/H356</f>
        <v>2.5884264973185401E-3</v>
      </c>
      <c r="I361" s="2155">
        <f t="shared" si="344"/>
        <v>2.5884264973185401E-3</v>
      </c>
      <c r="J361" s="2155">
        <f t="shared" si="344"/>
        <v>1.0385488276826091E-3</v>
      </c>
      <c r="K361" s="2155">
        <f t="shared" si="344"/>
        <v>7.073517945396458E-5</v>
      </c>
      <c r="L361" s="2155">
        <f t="shared" si="344"/>
        <v>1.6333461894494275E-4</v>
      </c>
      <c r="M361" s="2155">
        <f t="shared" si="344"/>
        <v>1.6333461894494275E-4</v>
      </c>
      <c r="N361" s="2155">
        <f t="shared" si="344"/>
        <v>1.1639471336199935E-4</v>
      </c>
      <c r="O361" s="2155">
        <f t="shared" si="344"/>
        <v>1.1639471336199935E-4</v>
      </c>
      <c r="P361" s="2155">
        <f t="shared" si="344"/>
        <v>1.1140632083797333E-4</v>
      </c>
      <c r="Q361" s="2155">
        <f t="shared" si="344"/>
        <v>1.1140632083797333E-4</v>
      </c>
      <c r="R361" s="2155">
        <f t="shared" si="344"/>
        <v>1.7552671727402646E-4</v>
      </c>
      <c r="S361" s="2155">
        <f t="shared" si="344"/>
        <v>1.8120059702516475E-4</v>
      </c>
      <c r="T361" s="2155">
        <f t="shared" si="344"/>
        <v>1.8120059702516475E-4</v>
      </c>
      <c r="U361" s="2155">
        <f t="shared" si="344"/>
        <v>8.3648039275247831E-5</v>
      </c>
      <c r="V361" s="2155">
        <f t="shared" si="344"/>
        <v>6.5401953769376431E-5</v>
      </c>
      <c r="W361" s="2155">
        <f t="shared" si="344"/>
        <v>6.5401953769376431E-5</v>
      </c>
      <c r="X361" s="2155">
        <f t="shared" si="344"/>
        <v>1.4911066385893323E-4</v>
      </c>
      <c r="Y361" s="2155">
        <f t="shared" si="344"/>
        <v>1.7902141103872597E-4</v>
      </c>
      <c r="Z361" s="2155">
        <f t="shared" si="344"/>
        <v>2.3242005850779534E-4</v>
      </c>
      <c r="AA361" s="2155">
        <f t="shared" si="344"/>
        <v>2.8351956686325179E-4</v>
      </c>
      <c r="AB361" s="2155">
        <f t="shared" si="344"/>
        <v>2.6667415741934595E-4</v>
      </c>
      <c r="AC361" s="2155">
        <f t="shared" si="344"/>
        <v>6.0027869932319038E-4</v>
      </c>
      <c r="AD361" s="2155">
        <f t="shared" si="344"/>
        <v>1.3395697725436628E-3</v>
      </c>
      <c r="AE361" s="2155">
        <f t="shared" si="344"/>
        <v>3.6375614303012908E-3</v>
      </c>
      <c r="AF361" s="2155">
        <f t="shared" si="344"/>
        <v>2.4811211165540855E-2</v>
      </c>
      <c r="AG361" s="2155">
        <f t="shared" si="344"/>
        <v>5.5804954786683516E-5</v>
      </c>
      <c r="AH361" s="2155">
        <f t="shared" si="344"/>
        <v>6.4482841487617973E-5</v>
      </c>
      <c r="AI361" s="2155">
        <f t="shared" si="344"/>
        <v>1.0106158184195722E-4</v>
      </c>
      <c r="AJ361" s="2155">
        <f t="shared" si="344"/>
        <v>2.0676917155107265E-4</v>
      </c>
      <c r="AK361" s="2155">
        <f t="shared" si="344"/>
        <v>4.3141545668223298E-4</v>
      </c>
      <c r="AL361" s="2155">
        <f t="shared" si="344"/>
        <v>1.5371682671925001E-3</v>
      </c>
      <c r="AM361" s="2155">
        <f t="shared" si="344"/>
        <v>1.3879622217016023E-2</v>
      </c>
      <c r="AN361" s="2155">
        <f t="shared" ref="AN361:BI361" si="345">1000*AN14/AN13*(AN360-AN41)/AN356</f>
        <v>2.0519645276657274E-3</v>
      </c>
      <c r="AO361" s="2155">
        <f t="shared" si="345"/>
        <v>3.8009679449952879E-3</v>
      </c>
      <c r="AP361" s="2155">
        <f t="shared" si="345"/>
        <v>2.9843555012876552E-3</v>
      </c>
      <c r="AQ361" s="2155">
        <f t="shared" si="345"/>
        <v>4.5512430648686954E-3</v>
      </c>
      <c r="AR361" s="2155">
        <f t="shared" si="345"/>
        <v>9.19202965933422E-3</v>
      </c>
      <c r="AS361" s="2155">
        <f t="shared" si="345"/>
        <v>8.2669909289098936E-3</v>
      </c>
      <c r="AT361" s="2155">
        <f t="shared" si="345"/>
        <v>2.0331648435893638E-2</v>
      </c>
      <c r="AU361" s="2155">
        <f t="shared" si="345"/>
        <v>2.0521668054097605E-2</v>
      </c>
      <c r="AV361" s="2155">
        <f t="shared" si="345"/>
        <v>2.7241612849249364E-2</v>
      </c>
      <c r="AW361" s="2155">
        <f t="shared" si="345"/>
        <v>2.7322292583520685E-2</v>
      </c>
      <c r="AX361" s="2155">
        <f t="shared" si="345"/>
        <v>2.9763109258573346E-2</v>
      </c>
      <c r="AY361" s="2155">
        <f t="shared" si="345"/>
        <v>2.9796321638337491E-2</v>
      </c>
      <c r="AZ361" s="2155">
        <f t="shared" si="345"/>
        <v>2.9820553515954109E-2</v>
      </c>
      <c r="BA361" s="2155">
        <f t="shared" si="345"/>
        <v>2.9861024102158049E-2</v>
      </c>
      <c r="BB361" s="2155">
        <f t="shared" si="345"/>
        <v>2.9736404453060014E-2</v>
      </c>
      <c r="BC361" s="2155">
        <f t="shared" si="345"/>
        <v>2.9869501210212739E-2</v>
      </c>
      <c r="BD361" s="2155">
        <f t="shared" si="345"/>
        <v>1.1325151419991349E-2</v>
      </c>
      <c r="BE361" s="2155">
        <f t="shared" si="345"/>
        <v>2.7451254161330766E-2</v>
      </c>
      <c r="BF361" s="2155">
        <f t="shared" si="345"/>
        <v>2.7451254161330766E-2</v>
      </c>
      <c r="BG361" s="2155">
        <f t="shared" si="345"/>
        <v>7.1507431745451922E-5</v>
      </c>
      <c r="BH361" s="2155">
        <f t="shared" si="345"/>
        <v>1.0131959752815093E-2</v>
      </c>
      <c r="BI361" s="2155">
        <f t="shared" si="345"/>
        <v>4.1573741967953371E-3</v>
      </c>
    </row>
    <row r="362" spans="1:61" s="2244" customFormat="1" ht="27" customHeight="1">
      <c r="A362" s="2241"/>
      <c r="B362" s="276"/>
      <c r="C362" s="2242"/>
      <c r="D362" s="2243"/>
      <c r="E362" s="3655" t="s">
        <v>611</v>
      </c>
      <c r="F362" s="2153" t="s">
        <v>138</v>
      </c>
      <c r="G362" s="2154" t="s">
        <v>139</v>
      </c>
      <c r="H362" s="2161">
        <f t="shared" ref="H362:AL362" si="346">MIN(H361,H$29)</f>
        <v>2.5884264973185401E-3</v>
      </c>
      <c r="I362" s="2161">
        <f t="shared" si="346"/>
        <v>2.5884264973185401E-3</v>
      </c>
      <c r="J362" s="2161">
        <f>MIN(J361,J$29)</f>
        <v>1.0385488276826091E-3</v>
      </c>
      <c r="K362" s="2161">
        <f t="shared" si="346"/>
        <v>6.1719199705249922E-6</v>
      </c>
      <c r="L362" s="2161">
        <f t="shared" si="346"/>
        <v>3.3010911945495617E-5</v>
      </c>
      <c r="M362" s="2161">
        <f t="shared" si="346"/>
        <v>3.3010911945495617E-5</v>
      </c>
      <c r="N362" s="2161">
        <f>MIN(N361,N$29)</f>
        <v>1.673716280311402E-5</v>
      </c>
      <c r="O362" s="2161">
        <f>MIN(O361,O$29)</f>
        <v>1.673716280311402E-5</v>
      </c>
      <c r="P362" s="2161">
        <f t="shared" si="346"/>
        <v>1.5330707115808009E-5</v>
      </c>
      <c r="Q362" s="2161">
        <f t="shared" si="346"/>
        <v>1.5330707115808009E-5</v>
      </c>
      <c r="R362" s="2161">
        <f>MIN(R361,R$29)</f>
        <v>3.8138690487629963E-5</v>
      </c>
      <c r="S362" s="2161">
        <f>MIN(S361,S$29)</f>
        <v>4.0651966282840303E-5</v>
      </c>
      <c r="T362" s="2161">
        <f>MIN(T361,T$29)</f>
        <v>4.0651966282840303E-5</v>
      </c>
      <c r="U362" s="2161">
        <f t="shared" si="346"/>
        <v>8.6347373865245747E-6</v>
      </c>
      <c r="V362" s="2161">
        <f t="shared" si="346"/>
        <v>5.2753720079623515E-6</v>
      </c>
      <c r="W362" s="2161">
        <f t="shared" si="346"/>
        <v>5.2753720079623515E-6</v>
      </c>
      <c r="X362" s="2161">
        <f t="shared" si="346"/>
        <v>2.7498597386978914E-5</v>
      </c>
      <c r="Y362" s="2161">
        <f t="shared" si="346"/>
        <v>3.9677142108498037E-5</v>
      </c>
      <c r="Z362" s="2161">
        <f t="shared" si="346"/>
        <v>6.6997628456839868E-5</v>
      </c>
      <c r="AA362" s="2161">
        <f t="shared" si="346"/>
        <v>9.9868318365019948E-5</v>
      </c>
      <c r="AB362" s="2161">
        <f t="shared" si="346"/>
        <v>8.8303175626389731E-5</v>
      </c>
      <c r="AC362" s="2161">
        <f t="shared" si="346"/>
        <v>4.5252473899040228E-4</v>
      </c>
      <c r="AD362" s="2161">
        <f t="shared" si="346"/>
        <v>1.3395697725436628E-3</v>
      </c>
      <c r="AE362" s="2161">
        <f t="shared" si="346"/>
        <v>3.6375614303012908E-3</v>
      </c>
      <c r="AF362" s="2161">
        <f t="shared" si="346"/>
        <v>2.4811211165540855E-2</v>
      </c>
      <c r="AG362" s="2161">
        <f t="shared" si="346"/>
        <v>3.8395236382500922E-6</v>
      </c>
      <c r="AH362" s="2161">
        <f t="shared" si="346"/>
        <v>5.1279831171684633E-6</v>
      </c>
      <c r="AI362" s="2161">
        <f t="shared" si="346"/>
        <v>1.2611413325747907E-5</v>
      </c>
      <c r="AJ362" s="2161">
        <f t="shared" si="346"/>
        <v>5.2979526668785625E-5</v>
      </c>
      <c r="AK362" s="2161">
        <f t="shared" si="346"/>
        <v>2.3239644632047792E-4</v>
      </c>
      <c r="AL362" s="2161">
        <f t="shared" si="346"/>
        <v>1.5371682671925001E-3</v>
      </c>
      <c r="AM362" s="2161">
        <f t="shared" ref="AM362:BI362" si="347">MIN(AM361,AM$29)</f>
        <v>1.3879622217016023E-2</v>
      </c>
      <c r="AN362" s="2161">
        <f t="shared" si="347"/>
        <v>2.0519645276657274E-3</v>
      </c>
      <c r="AO362" s="2161">
        <f t="shared" si="347"/>
        <v>3.8009679449952879E-3</v>
      </c>
      <c r="AP362" s="2161">
        <f t="shared" si="347"/>
        <v>2.9843555012876552E-3</v>
      </c>
      <c r="AQ362" s="2161">
        <f t="shared" si="347"/>
        <v>4.5512430648686954E-3</v>
      </c>
      <c r="AR362" s="2161">
        <f t="shared" si="347"/>
        <v>9.19202965933422E-3</v>
      </c>
      <c r="AS362" s="2161">
        <f t="shared" si="347"/>
        <v>8.2669909289098936E-3</v>
      </c>
      <c r="AT362" s="2161">
        <f t="shared" si="347"/>
        <v>2.0331648435893638E-2</v>
      </c>
      <c r="AU362" s="2161">
        <f t="shared" si="347"/>
        <v>2.0521668054097605E-2</v>
      </c>
      <c r="AV362" s="2161">
        <f t="shared" si="347"/>
        <v>2.7241612849249364E-2</v>
      </c>
      <c r="AW362" s="2161">
        <f t="shared" si="347"/>
        <v>2.7322292583520685E-2</v>
      </c>
      <c r="AX362" s="2161">
        <f t="shared" si="347"/>
        <v>2.9763109258573346E-2</v>
      </c>
      <c r="AY362" s="2161">
        <f t="shared" si="347"/>
        <v>2.9796321638337491E-2</v>
      </c>
      <c r="AZ362" s="2161">
        <f t="shared" si="347"/>
        <v>2.9820553515954109E-2</v>
      </c>
      <c r="BA362" s="2161">
        <f t="shared" si="347"/>
        <v>2.9861024102158049E-2</v>
      </c>
      <c r="BB362" s="2161">
        <f t="shared" si="347"/>
        <v>2.9736404453060014E-2</v>
      </c>
      <c r="BC362" s="2161">
        <f t="shared" si="347"/>
        <v>2.9869501210212739E-2</v>
      </c>
      <c r="BD362" s="2161">
        <f t="shared" si="347"/>
        <v>1.1325151419991349E-2</v>
      </c>
      <c r="BE362" s="2161">
        <f t="shared" si="347"/>
        <v>2.7451254161330766E-2</v>
      </c>
      <c r="BF362" s="2161">
        <f t="shared" si="347"/>
        <v>2.7451254161330766E-2</v>
      </c>
      <c r="BG362" s="2161">
        <f t="shared" si="347"/>
        <v>6.3075831211304503E-6</v>
      </c>
      <c r="BH362" s="2161">
        <f t="shared" si="347"/>
        <v>1.0131959752815093E-2</v>
      </c>
      <c r="BI362" s="2161">
        <f t="shared" si="347"/>
        <v>4.1573741967953371E-3</v>
      </c>
    </row>
    <row r="363" spans="1:61" s="2378" customFormat="1" ht="13.15" hidden="1" customHeight="1">
      <c r="A363" s="2374"/>
      <c r="B363" s="397"/>
      <c r="C363" s="2375"/>
      <c r="D363" s="2373"/>
      <c r="E363" s="3662" t="s">
        <v>307</v>
      </c>
      <c r="F363" s="2372" t="s">
        <v>300</v>
      </c>
      <c r="G363" s="2376" t="s">
        <v>35</v>
      </c>
      <c r="H363" s="2377">
        <f t="shared" ref="H363:AL363" si="348">H$234/H362</f>
        <v>2.98933935718747</v>
      </c>
      <c r="I363" s="2387">
        <f t="shared" si="348"/>
        <v>2.98933935718747</v>
      </c>
      <c r="J363" s="2377">
        <f>J$234/J362</f>
        <v>1.1349292489368794</v>
      </c>
      <c r="K363" s="2388">
        <f t="shared" si="348"/>
        <v>6.0000000000000009</v>
      </c>
      <c r="L363" s="2388">
        <f t="shared" si="348"/>
        <v>6</v>
      </c>
      <c r="M363" s="2377">
        <f t="shared" si="348"/>
        <v>6</v>
      </c>
      <c r="N363" s="2388">
        <f>N$234/N362</f>
        <v>6</v>
      </c>
      <c r="O363" s="2377">
        <f>O$234/O362</f>
        <v>6</v>
      </c>
      <c r="P363" s="2388">
        <f t="shared" si="348"/>
        <v>6</v>
      </c>
      <c r="Q363" s="2377">
        <f t="shared" si="348"/>
        <v>6</v>
      </c>
      <c r="R363" s="2377">
        <f>R$234/R362</f>
        <v>6</v>
      </c>
      <c r="S363" s="2388">
        <f>S$234/S362</f>
        <v>6</v>
      </c>
      <c r="T363" s="2377">
        <f>T$234/T362</f>
        <v>6</v>
      </c>
      <c r="U363" s="2388">
        <f t="shared" si="348"/>
        <v>6.0000000000000009</v>
      </c>
      <c r="V363" s="2388">
        <f t="shared" si="348"/>
        <v>6</v>
      </c>
      <c r="W363" s="2377">
        <f t="shared" si="348"/>
        <v>6</v>
      </c>
      <c r="X363" s="2377">
        <f t="shared" si="348"/>
        <v>6</v>
      </c>
      <c r="Y363" s="2377">
        <f t="shared" si="348"/>
        <v>6</v>
      </c>
      <c r="Z363" s="2377">
        <f t="shared" si="348"/>
        <v>6</v>
      </c>
      <c r="AA363" s="2377">
        <f t="shared" si="348"/>
        <v>0.85714285714285721</v>
      </c>
      <c r="AB363" s="2377">
        <f t="shared" si="348"/>
        <v>5.9999999999999991</v>
      </c>
      <c r="AC363" s="2377">
        <f t="shared" si="348"/>
        <v>6</v>
      </c>
      <c r="AD363" s="2377">
        <f t="shared" si="348"/>
        <v>10.355319638002848</v>
      </c>
      <c r="AE363" s="2377">
        <f t="shared" si="348"/>
        <v>8.2114079234408486</v>
      </c>
      <c r="AF363" s="2377">
        <f t="shared" si="348"/>
        <v>1.2038711271081846</v>
      </c>
      <c r="AG363" s="2377">
        <f t="shared" si="348"/>
        <v>6</v>
      </c>
      <c r="AH363" s="2377">
        <f t="shared" si="348"/>
        <v>6</v>
      </c>
      <c r="AI363" s="2377">
        <f t="shared" si="348"/>
        <v>6</v>
      </c>
      <c r="AJ363" s="2377">
        <f t="shared" si="348"/>
        <v>6</v>
      </c>
      <c r="AK363" s="2377">
        <f t="shared" si="348"/>
        <v>6</v>
      </c>
      <c r="AL363" s="2377">
        <f t="shared" si="348"/>
        <v>11.965696179362855</v>
      </c>
      <c r="AM363" s="2377">
        <f t="shared" ref="AM363:BI363" si="349">AM$234/AM362</f>
        <v>2.152039895881293</v>
      </c>
      <c r="AN363" s="2377">
        <f t="shared" si="349"/>
        <v>2.324085158379126</v>
      </c>
      <c r="AO363" s="2377">
        <f t="shared" si="349"/>
        <v>7.8583932258907465</v>
      </c>
      <c r="AP363" s="2377">
        <f t="shared" si="349"/>
        <v>10.008693916623235</v>
      </c>
      <c r="AQ363" s="2377">
        <f t="shared" si="349"/>
        <v>6.5629324395665041</v>
      </c>
      <c r="AR363" s="2377">
        <f t="shared" si="349"/>
        <v>3.249500040553861</v>
      </c>
      <c r="AS363" s="2377">
        <f t="shared" si="349"/>
        <v>3.6131043335640274</v>
      </c>
      <c r="AT363" s="2377">
        <f t="shared" si="349"/>
        <v>1.4691135765483241</v>
      </c>
      <c r="AU363" s="2377">
        <f t="shared" si="349"/>
        <v>1.4555103743048186</v>
      </c>
      <c r="AV363" s="2377">
        <f t="shared" si="349"/>
        <v>1.0964659440713653</v>
      </c>
      <c r="AW363" s="2377">
        <f t="shared" si="349"/>
        <v>1.0932282003595297</v>
      </c>
      <c r="AX363" s="2377">
        <f t="shared" si="349"/>
        <v>1.00357460946977</v>
      </c>
      <c r="AY363" s="2377">
        <f t="shared" si="349"/>
        <v>1.0024559780676818</v>
      </c>
      <c r="AZ363" s="2377">
        <f t="shared" si="349"/>
        <v>1.0016413925649819</v>
      </c>
      <c r="BA363" s="2377">
        <f t="shared" si="349"/>
        <v>1.0002838699902519</v>
      </c>
      <c r="BB363" s="2377">
        <f t="shared" si="349"/>
        <v>1.0044758705757089</v>
      </c>
      <c r="BC363" s="2377">
        <f t="shared" si="349"/>
        <v>0.99999998461862838</v>
      </c>
      <c r="BD363" s="2377">
        <f t="shared" si="349"/>
        <v>2.6374482462152948</v>
      </c>
      <c r="BE363" s="2377">
        <f t="shared" si="349"/>
        <v>1.0880923900684487</v>
      </c>
      <c r="BF363" s="2377">
        <f t="shared" si="349"/>
        <v>1.0880923900684487</v>
      </c>
      <c r="BG363" s="2377">
        <f t="shared" si="349"/>
        <v>6.0000000000000009</v>
      </c>
      <c r="BH363" s="2377">
        <f t="shared" si="349"/>
        <v>2.948047710363221</v>
      </c>
      <c r="BI363" s="2377">
        <f t="shared" si="349"/>
        <v>5.0942701260722263</v>
      </c>
    </row>
    <row r="364" spans="1:61" ht="25.5">
      <c r="A364" s="2248"/>
      <c r="B364" s="2249"/>
      <c r="C364" s="2250"/>
      <c r="D364" s="2265"/>
      <c r="E364" s="3655" t="s">
        <v>506</v>
      </c>
      <c r="F364" s="2153" t="s">
        <v>300</v>
      </c>
      <c r="G364" s="2154" t="s">
        <v>21</v>
      </c>
      <c r="H364" s="2396">
        <f t="shared" ref="H364:AM364" si="350">H213/H361</f>
        <v>6.8505182185971236E-2</v>
      </c>
      <c r="I364" s="2396">
        <f t="shared" si="350"/>
        <v>6.8505182185971236E-2</v>
      </c>
      <c r="J364" s="2396">
        <f t="shared" si="350"/>
        <v>0.17549803488474805</v>
      </c>
      <c r="K364" s="2396">
        <f t="shared" si="350"/>
        <v>5.1830032630309057</v>
      </c>
      <c r="L364" s="2396">
        <f t="shared" si="350"/>
        <v>1.5585137827636912</v>
      </c>
      <c r="M364" s="2396">
        <f t="shared" si="350"/>
        <v>1.5585137827636912</v>
      </c>
      <c r="N364" s="2396">
        <f t="shared" si="350"/>
        <v>2.3474962804123334</v>
      </c>
      <c r="O364" s="2396">
        <f t="shared" si="350"/>
        <v>2.3474962804123334</v>
      </c>
      <c r="P364" s="2396">
        <f t="shared" si="350"/>
        <v>2.2352893095377868</v>
      </c>
      <c r="Q364" s="2396">
        <f t="shared" si="350"/>
        <v>2.2352893095377868</v>
      </c>
      <c r="R364" s="2396">
        <f t="shared" si="350"/>
        <v>20.098702310941761</v>
      </c>
      <c r="S364" s="2396">
        <f t="shared" si="350"/>
        <v>1.9851109807100003</v>
      </c>
      <c r="T364" s="2396">
        <f t="shared" si="350"/>
        <v>1.9851109807100003</v>
      </c>
      <c r="U364" s="2396">
        <f t="shared" si="350"/>
        <v>3.225149967492738</v>
      </c>
      <c r="V364" s="2396">
        <f t="shared" si="350"/>
        <v>1.5062012880099622</v>
      </c>
      <c r="W364" s="2396">
        <f t="shared" si="350"/>
        <v>1.5062012880099622</v>
      </c>
      <c r="X364" s="2396">
        <f t="shared" si="350"/>
        <v>1.9007363841648355</v>
      </c>
      <c r="Y364" s="2396">
        <f t="shared" si="350"/>
        <v>1.4221633221976402</v>
      </c>
      <c r="Z364" s="2396">
        <f t="shared" si="350"/>
        <v>1.0044798827129831</v>
      </c>
      <c r="AA364" s="2396">
        <f t="shared" si="350"/>
        <v>0.82343972126149168</v>
      </c>
      <c r="AB364" s="2396">
        <f t="shared" si="350"/>
        <v>0.41070736949483722</v>
      </c>
      <c r="AC364" s="2396">
        <f t="shared" si="350"/>
        <v>0.16842183241182984</v>
      </c>
      <c r="AD364" s="2396">
        <f t="shared" si="350"/>
        <v>6.5409085185897192E-2</v>
      </c>
      <c r="AE364" s="2396">
        <f t="shared" si="350"/>
        <v>1.9016506491107667E-2</v>
      </c>
      <c r="AF364" s="2396">
        <f t="shared" si="350"/>
        <v>2.2071683839857436E-3</v>
      </c>
      <c r="AG364" s="2396">
        <f t="shared" si="350"/>
        <v>2.9076149540143263</v>
      </c>
      <c r="AH364" s="2396">
        <f t="shared" si="350"/>
        <v>2.0382174081515823</v>
      </c>
      <c r="AI364" s="2396">
        <f t="shared" si="350"/>
        <v>1.0003805269534023</v>
      </c>
      <c r="AJ364" s="2396">
        <f t="shared" si="350"/>
        <v>0.39727286550148988</v>
      </c>
      <c r="AK364" s="2396">
        <f t="shared" si="350"/>
        <v>0.15232422484105532</v>
      </c>
      <c r="AL364" s="2396">
        <f t="shared" si="350"/>
        <v>3.1667187875704682E-2</v>
      </c>
      <c r="AM364" s="2251">
        <f t="shared" si="350"/>
        <v>2.9591504723650848E-3</v>
      </c>
      <c r="AN364" s="2251">
        <f t="shared" ref="AN364:BI364" si="351">AN213/AN361</f>
        <v>4.9965550526745103E-2</v>
      </c>
      <c r="AO364" s="2251">
        <f t="shared" si="351"/>
        <v>2.2718822255886173E-2</v>
      </c>
      <c r="AP364" s="2251">
        <f t="shared" si="351"/>
        <v>2.8558249293235222E-2</v>
      </c>
      <c r="AQ364" s="2251">
        <f t="shared" si="351"/>
        <v>1.7375352484619157E-2</v>
      </c>
      <c r="AR364" s="2251">
        <f t="shared" si="351"/>
        <v>8.023716151103753E-3</v>
      </c>
      <c r="AS364" s="2251">
        <f t="shared" si="351"/>
        <v>8.9215335390177009E-3</v>
      </c>
      <c r="AT364" s="2251">
        <f t="shared" si="351"/>
        <v>3.1954071232669153E-3</v>
      </c>
      <c r="AU364" s="2251">
        <f t="shared" si="351"/>
        <v>3.1658193704600388E-3</v>
      </c>
      <c r="AV364" s="2251">
        <f t="shared" si="351"/>
        <v>2.1132746586514568E-3</v>
      </c>
      <c r="AW364" s="2251">
        <f t="shared" si="351"/>
        <v>2.107034390292529E-3</v>
      </c>
      <c r="AX364" s="2251">
        <f t="shared" si="351"/>
        <v>1.7501073900131605E-3</v>
      </c>
      <c r="AY364" s="2251">
        <f t="shared" si="351"/>
        <v>1.7481566381059061E-3</v>
      </c>
      <c r="AZ364" s="2251">
        <f t="shared" si="351"/>
        <v>1.7468745688632402E-3</v>
      </c>
      <c r="BA364" s="2251">
        <f t="shared" si="351"/>
        <v>1.5809594988883677E-3</v>
      </c>
      <c r="BB364" s="2251">
        <f t="shared" si="351"/>
        <v>1.6469804156675986E-3</v>
      </c>
      <c r="BC364" s="2251">
        <f t="shared" si="351"/>
        <v>1.5925233836077517E-3</v>
      </c>
      <c r="BD364" s="2251">
        <f t="shared" si="351"/>
        <v>2.5042686207178234E-2</v>
      </c>
      <c r="BE364" s="2251">
        <f t="shared" si="351"/>
        <v>1.8593247446854764E-3</v>
      </c>
      <c r="BF364" s="2251">
        <f t="shared" si="351"/>
        <v>1.8593247446854764E-3</v>
      </c>
      <c r="BG364" s="2251">
        <f t="shared" si="351"/>
        <v>1.484903640141348</v>
      </c>
      <c r="BH364" s="2251">
        <f t="shared" si="351"/>
        <v>1.8433651834843846E-2</v>
      </c>
      <c r="BI364" s="2251">
        <f t="shared" si="351"/>
        <v>0.13976590538262651</v>
      </c>
    </row>
    <row r="365" spans="1:61" ht="25.5">
      <c r="A365" s="2248"/>
      <c r="B365" s="2249"/>
      <c r="C365" s="2250"/>
      <c r="D365" s="2265"/>
      <c r="E365" s="3655" t="s">
        <v>507</v>
      </c>
      <c r="F365" s="2153" t="s">
        <v>300</v>
      </c>
      <c r="G365" s="2154" t="s">
        <v>21</v>
      </c>
      <c r="H365" s="2396">
        <f t="shared" ref="H365:AM365" si="352">H219/H362</f>
        <v>6.8505182185971236E-2</v>
      </c>
      <c r="I365" s="2396">
        <f t="shared" si="352"/>
        <v>6.8505182185971236E-2</v>
      </c>
      <c r="J365" s="2396">
        <f t="shared" si="352"/>
        <v>0.17549803488474805</v>
      </c>
      <c r="K365" s="2396">
        <f t="shared" si="352"/>
        <v>6.0000000000000009</v>
      </c>
      <c r="L365" s="2396">
        <f t="shared" si="352"/>
        <v>6</v>
      </c>
      <c r="M365" s="2396">
        <f t="shared" si="352"/>
        <v>6</v>
      </c>
      <c r="N365" s="2396">
        <f t="shared" si="352"/>
        <v>6</v>
      </c>
      <c r="O365" s="2396">
        <f t="shared" si="352"/>
        <v>6</v>
      </c>
      <c r="P365" s="2396">
        <f t="shared" si="352"/>
        <v>6</v>
      </c>
      <c r="Q365" s="2396">
        <f t="shared" si="352"/>
        <v>6</v>
      </c>
      <c r="R365" s="2396">
        <f t="shared" si="352"/>
        <v>6</v>
      </c>
      <c r="S365" s="2396">
        <f t="shared" si="352"/>
        <v>6</v>
      </c>
      <c r="T365" s="2396">
        <f t="shared" si="352"/>
        <v>6</v>
      </c>
      <c r="U365" s="2396">
        <f t="shared" si="352"/>
        <v>6.0000000000000009</v>
      </c>
      <c r="V365" s="2396">
        <f t="shared" si="352"/>
        <v>6</v>
      </c>
      <c r="W365" s="2396">
        <f t="shared" si="352"/>
        <v>6</v>
      </c>
      <c r="X365" s="2396">
        <f t="shared" si="352"/>
        <v>6</v>
      </c>
      <c r="Y365" s="2396">
        <f t="shared" si="352"/>
        <v>6</v>
      </c>
      <c r="Z365" s="2396">
        <f t="shared" si="352"/>
        <v>3.4846199557712936</v>
      </c>
      <c r="AA365" s="2396">
        <f t="shared" si="352"/>
        <v>0.85714285714285721</v>
      </c>
      <c r="AB365" s="2396">
        <f t="shared" si="352"/>
        <v>1.2403295909690901</v>
      </c>
      <c r="AC365" s="2396">
        <f t="shared" si="352"/>
        <v>0.2234132850357731</v>
      </c>
      <c r="AD365" s="2396">
        <f t="shared" si="352"/>
        <v>6.5409085185897192E-2</v>
      </c>
      <c r="AE365" s="2396">
        <f t="shared" si="352"/>
        <v>1.9016506491107667E-2</v>
      </c>
      <c r="AF365" s="2396">
        <f t="shared" si="352"/>
        <v>2.2071683839857436E-3</v>
      </c>
      <c r="AG365" s="2396">
        <f t="shared" si="352"/>
        <v>6</v>
      </c>
      <c r="AH365" s="2396">
        <f t="shared" si="352"/>
        <v>6</v>
      </c>
      <c r="AI365" s="2396">
        <f t="shared" si="352"/>
        <v>6</v>
      </c>
      <c r="AJ365" s="2396">
        <f t="shared" si="352"/>
        <v>1.5504816000528954</v>
      </c>
      <c r="AK365" s="2396">
        <f t="shared" si="352"/>
        <v>0.28277121300275426</v>
      </c>
      <c r="AL365" s="2396">
        <f t="shared" si="352"/>
        <v>3.1667187875704682E-2</v>
      </c>
      <c r="AM365" s="2251">
        <f t="shared" si="352"/>
        <v>2.9591504723650848E-3</v>
      </c>
      <c r="AN365" s="2251">
        <f t="shared" ref="AN365:BI365" si="353">AN219/AN362</f>
        <v>4.9965550526745103E-2</v>
      </c>
      <c r="AO365" s="2251">
        <f t="shared" si="353"/>
        <v>2.2718822255886173E-2</v>
      </c>
      <c r="AP365" s="2251">
        <f t="shared" si="353"/>
        <v>2.8558249293235222E-2</v>
      </c>
      <c r="AQ365" s="2251">
        <f t="shared" si="353"/>
        <v>1.7375352484619157E-2</v>
      </c>
      <c r="AR365" s="2251">
        <f t="shared" si="353"/>
        <v>8.023716151103753E-3</v>
      </c>
      <c r="AS365" s="2251">
        <f t="shared" si="353"/>
        <v>8.9215335390177009E-3</v>
      </c>
      <c r="AT365" s="2251">
        <f t="shared" si="353"/>
        <v>3.1954071232669153E-3</v>
      </c>
      <c r="AU365" s="2251">
        <f t="shared" si="353"/>
        <v>3.1658193704600388E-3</v>
      </c>
      <c r="AV365" s="2251">
        <f t="shared" si="353"/>
        <v>2.1132746586514568E-3</v>
      </c>
      <c r="AW365" s="2251">
        <f t="shared" si="353"/>
        <v>2.107034390292529E-3</v>
      </c>
      <c r="AX365" s="2251">
        <f t="shared" si="353"/>
        <v>1.7501073900131605E-3</v>
      </c>
      <c r="AY365" s="2251">
        <f t="shared" si="353"/>
        <v>1.7481566381059061E-3</v>
      </c>
      <c r="AZ365" s="2251">
        <f t="shared" si="353"/>
        <v>1.7468745688632402E-3</v>
      </c>
      <c r="BA365" s="2251">
        <f t="shared" si="353"/>
        <v>1.5809594988883677E-3</v>
      </c>
      <c r="BB365" s="2251">
        <f t="shared" si="353"/>
        <v>1.6469804156675986E-3</v>
      </c>
      <c r="BC365" s="2251">
        <f t="shared" si="353"/>
        <v>1.5925233836077517E-3</v>
      </c>
      <c r="BD365" s="2251">
        <f t="shared" si="353"/>
        <v>2.5042686207178234E-2</v>
      </c>
      <c r="BE365" s="2251">
        <f t="shared" si="353"/>
        <v>1.8593247446854764E-3</v>
      </c>
      <c r="BF365" s="2251">
        <f t="shared" si="353"/>
        <v>1.8593247446854764E-3</v>
      </c>
      <c r="BG365" s="2251">
        <f t="shared" si="353"/>
        <v>6.0000000000000009</v>
      </c>
      <c r="BH365" s="2251">
        <f t="shared" si="353"/>
        <v>1.8433651834843846E-2</v>
      </c>
      <c r="BI365" s="2251">
        <f t="shared" si="353"/>
        <v>0.13976590538262651</v>
      </c>
    </row>
    <row r="366" spans="1:61" s="2244" customFormat="1" ht="13.15" customHeight="1">
      <c r="A366" s="2241"/>
      <c r="B366" s="276"/>
      <c r="C366" s="2242"/>
      <c r="D366" s="2243"/>
      <c r="E366" s="2275" t="s">
        <v>1036</v>
      </c>
      <c r="F366" s="2275"/>
      <c r="G366" s="3688"/>
      <c r="H366" s="2275"/>
      <c r="I366" s="2155"/>
      <c r="J366" s="2155"/>
      <c r="K366" s="2155"/>
      <c r="L366" s="2155"/>
      <c r="M366" s="2155"/>
      <c r="N366" s="2155"/>
      <c r="O366" s="2155"/>
      <c r="P366" s="2155"/>
      <c r="Q366" s="2155"/>
      <c r="R366" s="2155"/>
      <c r="S366" s="2155"/>
      <c r="T366" s="2155"/>
      <c r="U366" s="2155"/>
      <c r="V366" s="2155"/>
      <c r="W366" s="2155"/>
      <c r="X366" s="2155"/>
      <c r="Y366" s="2155"/>
      <c r="Z366" s="2155"/>
      <c r="AA366" s="2155"/>
      <c r="AB366" s="2155"/>
      <c r="AC366" s="2155"/>
      <c r="AD366" s="2155"/>
      <c r="AE366" s="2155"/>
      <c r="AF366" s="2155"/>
      <c r="AG366" s="2155"/>
      <c r="AH366" s="2155"/>
      <c r="AI366" s="2155"/>
      <c r="AJ366" s="2155"/>
      <c r="AK366" s="2155"/>
      <c r="AL366" s="2155"/>
      <c r="AM366" s="2155"/>
      <c r="AN366" s="2155"/>
      <c r="AO366" s="2155"/>
      <c r="AP366" s="2155"/>
      <c r="AQ366" s="2155"/>
      <c r="AR366" s="2155"/>
      <c r="AS366" s="2155"/>
      <c r="AT366" s="2155"/>
      <c r="AU366" s="2155"/>
      <c r="AV366" s="2155"/>
      <c r="AW366" s="2155"/>
      <c r="AX366" s="2155"/>
      <c r="AY366" s="2155"/>
      <c r="AZ366" s="2155"/>
      <c r="BA366" s="2155"/>
      <c r="BB366" s="2155"/>
      <c r="BC366" s="2155"/>
      <c r="BD366" s="2155"/>
      <c r="BE366" s="2155"/>
      <c r="BF366" s="2155"/>
      <c r="BG366" s="2155"/>
      <c r="BH366" s="2155"/>
      <c r="BI366" s="2155"/>
    </row>
    <row r="367" spans="1:61" ht="25.5">
      <c r="A367" s="2149"/>
      <c r="B367" s="2150"/>
      <c r="C367" s="2151"/>
      <c r="D367" s="2243"/>
      <c r="E367" s="2153" t="s">
        <v>610</v>
      </c>
      <c r="F367" s="2153" t="s">
        <v>138</v>
      </c>
      <c r="G367" s="2154" t="s">
        <v>139</v>
      </c>
      <c r="H367" s="2155">
        <f t="shared" ref="H367:AM367" si="354">MIN(H226,H361+H271)</f>
        <v>2.7611588154692938E-3</v>
      </c>
      <c r="I367" s="2155">
        <f t="shared" si="354"/>
        <v>2.7611588154692938E-3</v>
      </c>
      <c r="J367" s="2155">
        <f t="shared" si="354"/>
        <v>1.1917699095500703E-3</v>
      </c>
      <c r="K367" s="2155">
        <f t="shared" si="354"/>
        <v>1.0474984546460091E-4</v>
      </c>
      <c r="L367" s="2155">
        <f t="shared" si="354"/>
        <v>2.2350726684324733E-4</v>
      </c>
      <c r="M367" s="2155">
        <f t="shared" si="354"/>
        <v>2.2350726684324733E-4</v>
      </c>
      <c r="N367" s="2155">
        <f t="shared" si="354"/>
        <v>1.6267140394321129E-4</v>
      </c>
      <c r="O367" s="2155">
        <f t="shared" si="354"/>
        <v>1.6267140394321129E-4</v>
      </c>
      <c r="P367" s="2155">
        <f t="shared" si="354"/>
        <v>1.5367625983423751E-4</v>
      </c>
      <c r="Q367" s="2155">
        <f t="shared" si="354"/>
        <v>1.5367625983423751E-4</v>
      </c>
      <c r="R367" s="2155">
        <f t="shared" si="354"/>
        <v>4.4037322345054039E-4</v>
      </c>
      <c r="S367" s="2155">
        <f t="shared" si="354"/>
        <v>2.6127452600593096E-4</v>
      </c>
      <c r="T367" s="2155">
        <f t="shared" si="354"/>
        <v>2.6127452600593096E-4</v>
      </c>
      <c r="U367" s="2155">
        <f t="shared" si="354"/>
        <v>1.1753234725806518E-4</v>
      </c>
      <c r="V367" s="2155">
        <f t="shared" si="354"/>
        <v>8.1094049953785703E-5</v>
      </c>
      <c r="W367" s="2155">
        <f t="shared" si="354"/>
        <v>8.1094049953785703E-5</v>
      </c>
      <c r="X367" s="2155">
        <f t="shared" si="354"/>
        <v>2.0810319552714668E-4</v>
      </c>
      <c r="Y367" s="2155">
        <f t="shared" si="354"/>
        <v>2.4413159147527801E-4</v>
      </c>
      <c r="Z367" s="2155">
        <f t="shared" si="354"/>
        <v>3.0932233301987454E-4</v>
      </c>
      <c r="AA367" s="2155">
        <f t="shared" si="354"/>
        <v>3.7343125551637588E-4</v>
      </c>
      <c r="AB367" s="2155">
        <f t="shared" si="354"/>
        <v>3.1970463681720615E-4</v>
      </c>
      <c r="AC367" s="2155">
        <f t="shared" si="354"/>
        <v>6.7782053816445949E-4</v>
      </c>
      <c r="AD367" s="2155">
        <f t="shared" si="354"/>
        <v>1.4219867398119455E-3</v>
      </c>
      <c r="AE367" s="2155">
        <f t="shared" si="354"/>
        <v>3.7062866141572173E-3</v>
      </c>
      <c r="AF367" s="2155">
        <f t="shared" si="354"/>
        <v>2.4865972651449554E-2</v>
      </c>
      <c r="AG367" s="2155">
        <f t="shared" si="354"/>
        <v>7.3492590547262344E-5</v>
      </c>
      <c r="AH367" s="2155">
        <f t="shared" si="354"/>
        <v>8.2581163713205753E-5</v>
      </c>
      <c r="AI367" s="2155">
        <f t="shared" si="354"/>
        <v>1.2454908822037269E-4</v>
      </c>
      <c r="AJ367" s="2155">
        <f t="shared" si="354"/>
        <v>2.4356640491890818E-4</v>
      </c>
      <c r="AK367" s="2155">
        <f t="shared" si="354"/>
        <v>4.7948736066417475E-4</v>
      </c>
      <c r="AL367" s="2155">
        <f t="shared" si="354"/>
        <v>1.5845468562462146E-3</v>
      </c>
      <c r="AM367" s="2155">
        <f t="shared" si="354"/>
        <v>1.3920687351322597E-2</v>
      </c>
      <c r="AN367" s="2155">
        <f t="shared" ref="AN367:BI367" si="355">MIN(AN226,AN361+AN271)</f>
        <v>2.1514119078826373E-3</v>
      </c>
      <c r="AO367" s="2155">
        <f t="shared" si="355"/>
        <v>3.8866996468078716E-3</v>
      </c>
      <c r="AP367" s="2155">
        <f t="shared" si="355"/>
        <v>3.0685706999959836E-3</v>
      </c>
      <c r="AQ367" s="2155">
        <f t="shared" si="355"/>
        <v>4.629967975449849E-3</v>
      </c>
      <c r="AR367" s="2155">
        <f t="shared" si="355"/>
        <v>9.2657242924778851E-3</v>
      </c>
      <c r="AS367" s="2155">
        <f t="shared" si="355"/>
        <v>8.3406672167548861E-3</v>
      </c>
      <c r="AT367" s="2155">
        <f t="shared" si="355"/>
        <v>2.0396612538969988E-2</v>
      </c>
      <c r="AU367" s="2155">
        <f t="shared" si="355"/>
        <v>2.0586632386588734E-2</v>
      </c>
      <c r="AV367" s="2155">
        <f t="shared" si="355"/>
        <v>2.7299181462466758E-2</v>
      </c>
      <c r="AW367" s="2155">
        <f t="shared" si="355"/>
        <v>2.7379861242709164E-2</v>
      </c>
      <c r="AX367" s="2155">
        <f t="shared" si="355"/>
        <v>2.9815197895083852E-2</v>
      </c>
      <c r="AY367" s="2155">
        <f t="shared" si="355"/>
        <v>2.9848410274958301E-2</v>
      </c>
      <c r="AZ367" s="2155">
        <f t="shared" si="355"/>
        <v>2.9869500750778842E-2</v>
      </c>
      <c r="BA367" s="2155">
        <f t="shared" si="355"/>
        <v>2.9869500750778842E-2</v>
      </c>
      <c r="BB367" s="2155">
        <f t="shared" si="355"/>
        <v>2.9785379724785215E-2</v>
      </c>
      <c r="BC367" s="2155">
        <f t="shared" si="355"/>
        <v>2.9869500750778842E-2</v>
      </c>
      <c r="BD367" s="2155">
        <f t="shared" si="355"/>
        <v>1.1608700489988294E-2</v>
      </c>
      <c r="BE367" s="2155">
        <f t="shared" si="355"/>
        <v>2.7502294645643657E-2</v>
      </c>
      <c r="BF367" s="2155">
        <f t="shared" si="355"/>
        <v>2.7502294645643657E-2</v>
      </c>
      <c r="BG367" s="2155">
        <f t="shared" si="355"/>
        <v>8.9245352127851241E-5</v>
      </c>
      <c r="BH367" s="2155">
        <f t="shared" si="355"/>
        <v>1.0318682424122184E-2</v>
      </c>
      <c r="BI367" s="2155">
        <f t="shared" si="355"/>
        <v>4.7252165815362583E-3</v>
      </c>
    </row>
    <row r="368" spans="1:61" s="2393" customFormat="1" ht="38.25">
      <c r="D368" s="2394"/>
      <c r="E368" s="2395" t="s">
        <v>650</v>
      </c>
      <c r="F368" s="2393" t="s">
        <v>138</v>
      </c>
      <c r="G368" s="3692" t="s">
        <v>139</v>
      </c>
      <c r="H368" s="2273">
        <f t="shared" ref="H368:BI368" si="356">MIN(H367,H$29)</f>
        <v>2.7611588154692938E-3</v>
      </c>
      <c r="I368" s="2273">
        <f t="shared" si="356"/>
        <v>2.7611588154692938E-3</v>
      </c>
      <c r="J368" s="2273">
        <f>MIN(J367,J$29)</f>
        <v>1.1917699095500703E-3</v>
      </c>
      <c r="K368" s="2273">
        <f t="shared" si="356"/>
        <v>6.1719199705249922E-6</v>
      </c>
      <c r="L368" s="2273">
        <f t="shared" si="356"/>
        <v>3.3010911945495617E-5</v>
      </c>
      <c r="M368" s="2273">
        <f t="shared" si="356"/>
        <v>3.3010911945495617E-5</v>
      </c>
      <c r="N368" s="2273">
        <f>MIN(N367,N$29)</f>
        <v>1.673716280311402E-5</v>
      </c>
      <c r="O368" s="2273">
        <f>MIN(O367,O$29)</f>
        <v>1.673716280311402E-5</v>
      </c>
      <c r="P368" s="2273">
        <f t="shared" si="356"/>
        <v>1.5330707115808009E-5</v>
      </c>
      <c r="Q368" s="2273">
        <f t="shared" si="356"/>
        <v>1.5330707115808009E-5</v>
      </c>
      <c r="R368" s="2273">
        <f>MIN(R367,R$29)</f>
        <v>3.8138690487629963E-5</v>
      </c>
      <c r="S368" s="2273">
        <f>MIN(S367,S$29)</f>
        <v>4.0651966282840303E-5</v>
      </c>
      <c r="T368" s="2273">
        <f>MIN(T367,T$29)</f>
        <v>4.0651966282840303E-5</v>
      </c>
      <c r="U368" s="2273">
        <f t="shared" si="356"/>
        <v>8.6347373865245747E-6</v>
      </c>
      <c r="V368" s="2273">
        <f t="shared" si="356"/>
        <v>5.2753720079623515E-6</v>
      </c>
      <c r="W368" s="2273">
        <f t="shared" si="356"/>
        <v>5.2753720079623515E-6</v>
      </c>
      <c r="X368" s="2273">
        <f t="shared" si="356"/>
        <v>2.7498597386978914E-5</v>
      </c>
      <c r="Y368" s="2273">
        <f t="shared" si="356"/>
        <v>3.9677142108498037E-5</v>
      </c>
      <c r="Z368" s="2273">
        <f t="shared" si="356"/>
        <v>6.6997628456839868E-5</v>
      </c>
      <c r="AA368" s="2273">
        <f t="shared" si="356"/>
        <v>9.9868318365019948E-5</v>
      </c>
      <c r="AB368" s="2273">
        <f t="shared" si="356"/>
        <v>8.8303175626389731E-5</v>
      </c>
      <c r="AC368" s="2273">
        <f t="shared" si="356"/>
        <v>4.5252473899040228E-4</v>
      </c>
      <c r="AD368" s="2273">
        <f t="shared" si="356"/>
        <v>1.4219867398119455E-3</v>
      </c>
      <c r="AE368" s="2273">
        <f t="shared" si="356"/>
        <v>3.7062866141572173E-3</v>
      </c>
      <c r="AF368" s="2273">
        <f t="shared" si="356"/>
        <v>2.4865972651449554E-2</v>
      </c>
      <c r="AG368" s="2273">
        <f t="shared" si="356"/>
        <v>3.8395236382500922E-6</v>
      </c>
      <c r="AH368" s="2273">
        <f t="shared" si="356"/>
        <v>5.1279831171684633E-6</v>
      </c>
      <c r="AI368" s="2273">
        <f t="shared" si="356"/>
        <v>1.2611413325747907E-5</v>
      </c>
      <c r="AJ368" s="2273">
        <f t="shared" si="356"/>
        <v>5.2979526668785625E-5</v>
      </c>
      <c r="AK368" s="2273">
        <f t="shared" si="356"/>
        <v>2.3239644632047792E-4</v>
      </c>
      <c r="AL368" s="2273">
        <f t="shared" si="356"/>
        <v>1.5845468562462146E-3</v>
      </c>
      <c r="AM368" s="2273">
        <f t="shared" si="356"/>
        <v>1.3920687351322597E-2</v>
      </c>
      <c r="AN368" s="2273">
        <f t="shared" si="356"/>
        <v>2.1514119078826373E-3</v>
      </c>
      <c r="AO368" s="2273">
        <f t="shared" si="356"/>
        <v>3.8866996468078716E-3</v>
      </c>
      <c r="AP368" s="2273">
        <f t="shared" si="356"/>
        <v>3.0685706999959836E-3</v>
      </c>
      <c r="AQ368" s="2273">
        <f t="shared" si="356"/>
        <v>4.629967975449849E-3</v>
      </c>
      <c r="AR368" s="2273">
        <f t="shared" si="356"/>
        <v>9.2657242924778851E-3</v>
      </c>
      <c r="AS368" s="2273">
        <f t="shared" si="356"/>
        <v>8.3406672167548861E-3</v>
      </c>
      <c r="AT368" s="2273">
        <f t="shared" si="356"/>
        <v>2.0396612538969988E-2</v>
      </c>
      <c r="AU368" s="2273">
        <f t="shared" si="356"/>
        <v>2.0586632386588734E-2</v>
      </c>
      <c r="AV368" s="2273">
        <f t="shared" si="356"/>
        <v>2.7299181462466758E-2</v>
      </c>
      <c r="AW368" s="2273">
        <f t="shared" si="356"/>
        <v>2.7379861242709164E-2</v>
      </c>
      <c r="AX368" s="2273">
        <f t="shared" si="356"/>
        <v>2.9815197895083852E-2</v>
      </c>
      <c r="AY368" s="2273">
        <f t="shared" si="356"/>
        <v>2.9848410274958301E-2</v>
      </c>
      <c r="AZ368" s="2273">
        <f t="shared" si="356"/>
        <v>2.9869500750778842E-2</v>
      </c>
      <c r="BA368" s="2273">
        <f t="shared" si="356"/>
        <v>2.9869500750778842E-2</v>
      </c>
      <c r="BB368" s="2273">
        <f t="shared" si="356"/>
        <v>2.9785379724785215E-2</v>
      </c>
      <c r="BC368" s="2273">
        <f t="shared" si="356"/>
        <v>2.9869500750778842E-2</v>
      </c>
      <c r="BD368" s="2273">
        <f t="shared" si="356"/>
        <v>1.1608700489988294E-2</v>
      </c>
      <c r="BE368" s="2273">
        <f t="shared" si="356"/>
        <v>2.7502294645643657E-2</v>
      </c>
      <c r="BF368" s="2273">
        <f t="shared" si="356"/>
        <v>2.7502294645643657E-2</v>
      </c>
      <c r="BG368" s="2273">
        <f t="shared" si="356"/>
        <v>6.3075831211304503E-6</v>
      </c>
      <c r="BH368" s="2273">
        <f t="shared" si="356"/>
        <v>1.0318682424122184E-2</v>
      </c>
      <c r="BI368" s="2273">
        <f t="shared" si="356"/>
        <v>4.7252165815362583E-3</v>
      </c>
    </row>
    <row r="369" spans="1:61" ht="25.5">
      <c r="A369" s="2149"/>
      <c r="B369" s="2150"/>
      <c r="C369" s="2151"/>
      <c r="D369" s="2243"/>
      <c r="E369" s="3655" t="s">
        <v>505</v>
      </c>
      <c r="F369" s="2153" t="s">
        <v>300</v>
      </c>
      <c r="G369" s="2154" t="s">
        <v>35</v>
      </c>
      <c r="H369" s="2155">
        <f t="shared" ref="H369:AM369" si="357">H226/H367</f>
        <v>10.817740936680654</v>
      </c>
      <c r="I369" s="2155">
        <f t="shared" si="357"/>
        <v>10.817740936680654</v>
      </c>
      <c r="J369" s="2155">
        <f t="shared" si="357"/>
        <v>25.063143910098798</v>
      </c>
      <c r="K369" s="2155">
        <f t="shared" si="357"/>
        <v>285.15078583932535</v>
      </c>
      <c r="L369" s="2155">
        <f t="shared" si="357"/>
        <v>133.63995351313235</v>
      </c>
      <c r="M369" s="2155">
        <f t="shared" si="357"/>
        <v>133.63995351313235</v>
      </c>
      <c r="N369" s="2155">
        <f t="shared" si="357"/>
        <v>183.61863257297705</v>
      </c>
      <c r="O369" s="2155">
        <f t="shared" si="357"/>
        <v>183.61863257297705</v>
      </c>
      <c r="P369" s="2155">
        <f t="shared" si="357"/>
        <v>194.36639584407831</v>
      </c>
      <c r="Q369" s="2155">
        <f t="shared" si="357"/>
        <v>194.36639584407831</v>
      </c>
      <c r="R369" s="2155">
        <f t="shared" si="357"/>
        <v>67.841965534746194</v>
      </c>
      <c r="S369" s="2155">
        <f t="shared" si="357"/>
        <v>114.32228471481679</v>
      </c>
      <c r="T369" s="2155">
        <f t="shared" si="357"/>
        <v>114.32228471481679</v>
      </c>
      <c r="U369" s="2155">
        <f t="shared" si="357"/>
        <v>254.13855374805482</v>
      </c>
      <c r="V369" s="2155">
        <f t="shared" si="357"/>
        <v>368.33159483095278</v>
      </c>
      <c r="W369" s="2155">
        <f t="shared" si="357"/>
        <v>368.33159483095278</v>
      </c>
      <c r="X369" s="2155">
        <f t="shared" si="357"/>
        <v>143.53215804839681</v>
      </c>
      <c r="Y369" s="2155">
        <f t="shared" si="357"/>
        <v>122.35000218643795</v>
      </c>
      <c r="Z369" s="2155">
        <f t="shared" si="357"/>
        <v>96.564320006146048</v>
      </c>
      <c r="AA369" s="2155">
        <f t="shared" si="357"/>
        <v>79.986611483486257</v>
      </c>
      <c r="AB369" s="2155">
        <f t="shared" si="357"/>
        <v>93.428425211915155</v>
      </c>
      <c r="AC369" s="2155">
        <f t="shared" si="357"/>
        <v>44.066975060486598</v>
      </c>
      <c r="AD369" s="2155">
        <f t="shared" si="357"/>
        <v>21.005470666153339</v>
      </c>
      <c r="AE369" s="2155">
        <f t="shared" si="357"/>
        <v>8.0591448693373522</v>
      </c>
      <c r="AF369" s="2155">
        <f t="shared" si="357"/>
        <v>1.2012198826671519</v>
      </c>
      <c r="AG369" s="2155">
        <f t="shared" si="357"/>
        <v>406.42873694280877</v>
      </c>
      <c r="AH369" s="2155">
        <f t="shared" si="357"/>
        <v>361.69871442490142</v>
      </c>
      <c r="AI369" s="2155">
        <f t="shared" si="357"/>
        <v>239.82111131900717</v>
      </c>
      <c r="AJ369" s="2155">
        <f t="shared" si="357"/>
        <v>122.63391070177946</v>
      </c>
      <c r="AK369" s="2155">
        <f t="shared" si="357"/>
        <v>62.294657171785097</v>
      </c>
      <c r="AL369" s="2155">
        <f t="shared" si="357"/>
        <v>18.850500149638727</v>
      </c>
      <c r="AM369" s="2155">
        <f t="shared" si="357"/>
        <v>2.1456915162986516</v>
      </c>
      <c r="AN369" s="2155">
        <f t="shared" ref="AN369:BI369" si="358">AN226/AN367</f>
        <v>13.883673619793067</v>
      </c>
      <c r="AO369" s="2155">
        <f t="shared" si="358"/>
        <v>7.6850550505775574</v>
      </c>
      <c r="AP369" s="2155">
        <f t="shared" si="358"/>
        <v>9.7340109357160767</v>
      </c>
      <c r="AQ369" s="2155">
        <f t="shared" si="358"/>
        <v>6.4513406807909321</v>
      </c>
      <c r="AR369" s="2155">
        <f t="shared" si="358"/>
        <v>3.2236552489509696</v>
      </c>
      <c r="AS369" s="2155">
        <f t="shared" si="358"/>
        <v>3.5811884078981642</v>
      </c>
      <c r="AT369" s="2155">
        <f t="shared" si="358"/>
        <v>1.4644343855485733</v>
      </c>
      <c r="AU369" s="2155">
        <f t="shared" si="358"/>
        <v>1.4509172840836988</v>
      </c>
      <c r="AV369" s="2155">
        <f t="shared" si="358"/>
        <v>1.094153712698162</v>
      </c>
      <c r="AW369" s="2155">
        <f t="shared" si="358"/>
        <v>1.0909295882108472</v>
      </c>
      <c r="AX369" s="2155">
        <f t="shared" si="358"/>
        <v>1.0018213146156558</v>
      </c>
      <c r="AY369" s="2155">
        <f t="shared" si="358"/>
        <v>1.0007065862344513</v>
      </c>
      <c r="AZ369" s="2155">
        <f t="shared" si="358"/>
        <v>1</v>
      </c>
      <c r="BA369" s="2155">
        <f t="shared" si="358"/>
        <v>1</v>
      </c>
      <c r="BB369" s="2155">
        <f t="shared" si="358"/>
        <v>1.0028242388302886</v>
      </c>
      <c r="BC369" s="2155">
        <f t="shared" si="358"/>
        <v>1</v>
      </c>
      <c r="BD369" s="2155">
        <f t="shared" si="358"/>
        <v>2.5730270822767141</v>
      </c>
      <c r="BE369" s="2155">
        <f t="shared" si="358"/>
        <v>1.0860730399276028</v>
      </c>
      <c r="BF369" s="2155">
        <f t="shared" si="358"/>
        <v>1.0860730399276028</v>
      </c>
      <c r="BG369" s="2155">
        <f t="shared" si="358"/>
        <v>334.68970695514037</v>
      </c>
      <c r="BH369" s="2155">
        <f t="shared" si="358"/>
        <v>2.8947010406049838</v>
      </c>
      <c r="BI369" s="2155">
        <f t="shared" si="358"/>
        <v>6.3212977088698219</v>
      </c>
    </row>
    <row r="370" spans="1:61" s="2368" customFormat="1" ht="25.5">
      <c r="A370" s="2360"/>
      <c r="B370" s="2361"/>
      <c r="C370" s="2362"/>
      <c r="D370" s="2243"/>
      <c r="E370" s="3678" t="s">
        <v>504</v>
      </c>
      <c r="F370" s="2363" t="s">
        <v>300</v>
      </c>
      <c r="G370" s="2364" t="s">
        <v>35</v>
      </c>
      <c r="H370" s="2365">
        <f t="shared" ref="H370:AM370" si="359">H238/H368</f>
        <v>3.2693879654137601</v>
      </c>
      <c r="I370" s="2365">
        <f t="shared" si="359"/>
        <v>3.2693879654137601</v>
      </c>
      <c r="J370" s="2365">
        <f t="shared" si="359"/>
        <v>1.1538519335522877</v>
      </c>
      <c r="K370" s="2365">
        <f t="shared" si="359"/>
        <v>1</v>
      </c>
      <c r="L370" s="2365">
        <f t="shared" si="359"/>
        <v>1</v>
      </c>
      <c r="M370" s="2365">
        <f t="shared" si="359"/>
        <v>1</v>
      </c>
      <c r="N370" s="2365">
        <f t="shared" si="359"/>
        <v>1</v>
      </c>
      <c r="O370" s="2365">
        <f t="shared" si="359"/>
        <v>1</v>
      </c>
      <c r="P370" s="2365">
        <f t="shared" si="359"/>
        <v>1</v>
      </c>
      <c r="Q370" s="2365">
        <f t="shared" si="359"/>
        <v>1</v>
      </c>
      <c r="R370" s="2365">
        <f t="shared" si="359"/>
        <v>1</v>
      </c>
      <c r="S370" s="2365">
        <f t="shared" si="359"/>
        <v>1</v>
      </c>
      <c r="T370" s="2365">
        <f t="shared" si="359"/>
        <v>1</v>
      </c>
      <c r="U370" s="2365">
        <f t="shared" si="359"/>
        <v>1</v>
      </c>
      <c r="V370" s="2365">
        <f t="shared" si="359"/>
        <v>1</v>
      </c>
      <c r="W370" s="2365">
        <f t="shared" si="359"/>
        <v>1</v>
      </c>
      <c r="X370" s="2365">
        <f t="shared" si="359"/>
        <v>1</v>
      </c>
      <c r="Y370" s="2365">
        <f t="shared" si="359"/>
        <v>1</v>
      </c>
      <c r="Z370" s="2365">
        <f t="shared" si="359"/>
        <v>1</v>
      </c>
      <c r="AA370" s="2365">
        <f t="shared" si="359"/>
        <v>1</v>
      </c>
      <c r="AB370" s="2365">
        <f t="shared" si="359"/>
        <v>1</v>
      </c>
      <c r="AC370" s="2365">
        <f t="shared" si="359"/>
        <v>1</v>
      </c>
      <c r="AD370" s="2365">
        <f t="shared" si="359"/>
        <v>1.6258558986200413</v>
      </c>
      <c r="AE370" s="2365">
        <f t="shared" si="359"/>
        <v>5.0026361007908413</v>
      </c>
      <c r="AF370" s="2365">
        <f t="shared" si="359"/>
        <v>1.2012198826671519</v>
      </c>
      <c r="AG370" s="2365">
        <f t="shared" si="359"/>
        <v>1</v>
      </c>
      <c r="AH370" s="2365">
        <f t="shared" si="359"/>
        <v>1</v>
      </c>
      <c r="AI370" s="2365">
        <f t="shared" si="359"/>
        <v>1</v>
      </c>
      <c r="AJ370" s="2365">
        <f t="shared" si="359"/>
        <v>1</v>
      </c>
      <c r="AK370" s="2365">
        <f t="shared" si="359"/>
        <v>1</v>
      </c>
      <c r="AL370" s="2365">
        <f t="shared" si="359"/>
        <v>1.9346528408923955</v>
      </c>
      <c r="AM370" s="2365">
        <f t="shared" si="359"/>
        <v>2.1456915162986516</v>
      </c>
      <c r="AN370" s="2365">
        <f t="shared" ref="AN370:BI370" si="360">AN238/AN368</f>
        <v>2.586098769802192</v>
      </c>
      <c r="AO370" s="2365">
        <f t="shared" si="360"/>
        <v>5.241293558908775</v>
      </c>
      <c r="AP370" s="2365">
        <f t="shared" si="360"/>
        <v>3.9682610181648994</v>
      </c>
      <c r="AQ370" s="2365">
        <f t="shared" si="360"/>
        <v>6.4513406807909321</v>
      </c>
      <c r="AR370" s="2365">
        <f t="shared" si="360"/>
        <v>3.2236552489509696</v>
      </c>
      <c r="AS370" s="2365">
        <f t="shared" si="360"/>
        <v>3.5811884078981642</v>
      </c>
      <c r="AT370" s="2365">
        <f t="shared" si="360"/>
        <v>1.4644343855485733</v>
      </c>
      <c r="AU370" s="2365">
        <f t="shared" si="360"/>
        <v>1.4509172840836988</v>
      </c>
      <c r="AV370" s="2365">
        <f t="shared" si="360"/>
        <v>1.094153712698162</v>
      </c>
      <c r="AW370" s="2365">
        <f t="shared" si="360"/>
        <v>1.0909295882108472</v>
      </c>
      <c r="AX370" s="2365">
        <f t="shared" si="360"/>
        <v>1.0018213146156558</v>
      </c>
      <c r="AY370" s="2365">
        <f t="shared" si="360"/>
        <v>1.0007065862344513</v>
      </c>
      <c r="AZ370" s="2365">
        <f t="shared" si="360"/>
        <v>1</v>
      </c>
      <c r="BA370" s="2365">
        <f t="shared" si="360"/>
        <v>1</v>
      </c>
      <c r="BB370" s="2365">
        <f t="shared" si="360"/>
        <v>1.0028242388302886</v>
      </c>
      <c r="BC370" s="2365">
        <f t="shared" si="360"/>
        <v>1</v>
      </c>
      <c r="BD370" s="2365">
        <f t="shared" si="360"/>
        <v>2.5730270822767141</v>
      </c>
      <c r="BE370" s="2365">
        <f t="shared" si="360"/>
        <v>1.0860730399276028</v>
      </c>
      <c r="BF370" s="2365">
        <f t="shared" si="360"/>
        <v>1.0860730399276028</v>
      </c>
      <c r="BG370" s="2365">
        <f t="shared" si="360"/>
        <v>1</v>
      </c>
      <c r="BH370" s="2365">
        <f t="shared" si="360"/>
        <v>2.8947010406049838</v>
      </c>
      <c r="BI370" s="2365">
        <f t="shared" si="360"/>
        <v>5.2290904786162775</v>
      </c>
    </row>
    <row r="371" spans="1:61" ht="13.15" customHeight="1">
      <c r="A371" s="2131"/>
      <c r="B371" s="78"/>
      <c r="C371" s="2158"/>
      <c r="D371" s="2243"/>
      <c r="H371" s="2140"/>
      <c r="I371" s="2140"/>
      <c r="J371" s="2140"/>
      <c r="K371" s="2140"/>
      <c r="L371" s="2140"/>
      <c r="M371" s="2140"/>
      <c r="N371" s="2140"/>
      <c r="O371" s="2140"/>
      <c r="P371" s="2140"/>
      <c r="Q371" s="2140"/>
      <c r="R371" s="2141"/>
      <c r="S371" s="2140"/>
      <c r="T371" s="2140"/>
      <c r="U371" s="2140"/>
      <c r="V371" s="2140"/>
      <c r="W371" s="2140"/>
      <c r="X371" s="2140"/>
      <c r="Y371" s="2140"/>
      <c r="Z371" s="2140"/>
      <c r="AA371" s="2140"/>
      <c r="AB371" s="2140"/>
      <c r="AC371" s="2140"/>
      <c r="AD371" s="2140"/>
      <c r="AE371" s="2140"/>
      <c r="AF371" s="2140"/>
      <c r="AG371" s="2140"/>
      <c r="AH371" s="2140"/>
      <c r="AI371" s="2140"/>
      <c r="AJ371" s="2140"/>
      <c r="AK371" s="2140"/>
      <c r="AL371" s="2140"/>
      <c r="AM371" s="2140"/>
      <c r="AN371" s="2140"/>
      <c r="AO371" s="2140"/>
      <c r="AP371" s="2140"/>
      <c r="AQ371" s="2140"/>
      <c r="AR371" s="2140"/>
      <c r="AS371" s="2140"/>
      <c r="AT371" s="2140"/>
      <c r="AU371" s="2140"/>
      <c r="AV371" s="2140"/>
      <c r="AW371" s="2140"/>
      <c r="AX371" s="2140"/>
      <c r="AY371" s="2140"/>
      <c r="AZ371" s="2140"/>
      <c r="BA371" s="2140"/>
      <c r="BB371" s="2140"/>
      <c r="BC371" s="2140"/>
      <c r="BD371" s="2140"/>
      <c r="BE371" s="2140"/>
      <c r="BF371" s="2140"/>
      <c r="BG371" s="2140"/>
      <c r="BH371" s="2140"/>
      <c r="BI371" s="2140"/>
    </row>
    <row r="372" spans="1:61" s="529" customFormat="1" ht="13.15" customHeight="1">
      <c r="B372" s="224"/>
      <c r="C372" s="2269"/>
      <c r="D372" s="2243"/>
      <c r="E372" s="2392" t="str">
        <f>E31</f>
        <v>Période vie entière 0-70 ans (effets sans seuil)</v>
      </c>
      <c r="F372" s="2237"/>
      <c r="G372" s="526"/>
      <c r="H372" s="2161"/>
      <c r="I372" s="2161"/>
      <c r="J372" s="2161"/>
      <c r="K372" s="2161"/>
      <c r="L372" s="2161"/>
      <c r="M372" s="2161"/>
      <c r="N372" s="2161"/>
      <c r="O372" s="2161"/>
      <c r="P372" s="2161"/>
      <c r="Q372" s="2161"/>
      <c r="R372" s="2161"/>
      <c r="S372" s="2161"/>
      <c r="T372" s="2161"/>
      <c r="U372" s="2161"/>
      <c r="V372" s="2161"/>
      <c r="W372" s="2161"/>
      <c r="X372" s="2161"/>
      <c r="Y372" s="2161"/>
      <c r="Z372" s="2161"/>
      <c r="AA372" s="2161"/>
      <c r="AB372" s="2161"/>
      <c r="AC372" s="2161"/>
      <c r="AD372" s="2161"/>
      <c r="AE372" s="2161"/>
      <c r="AF372" s="2161"/>
      <c r="AG372" s="2161"/>
      <c r="AH372" s="2161"/>
      <c r="AI372" s="2161"/>
      <c r="AJ372" s="2161"/>
      <c r="AK372" s="2161"/>
      <c r="AL372" s="2161"/>
      <c r="AM372" s="2161"/>
      <c r="AN372" s="2161"/>
      <c r="AO372" s="2161"/>
      <c r="AP372" s="2161"/>
      <c r="AQ372" s="2161"/>
      <c r="AR372" s="2161"/>
      <c r="AS372" s="2161"/>
      <c r="AT372" s="2161"/>
      <c r="AU372" s="2161"/>
      <c r="AV372" s="2161"/>
      <c r="AW372" s="2161"/>
      <c r="AX372" s="2161"/>
      <c r="AY372" s="2161"/>
      <c r="AZ372" s="2161"/>
      <c r="BA372" s="2161"/>
      <c r="BB372" s="2161"/>
      <c r="BC372" s="2161"/>
      <c r="BD372" s="2161"/>
      <c r="BE372" s="2161"/>
      <c r="BF372" s="2161"/>
      <c r="BG372" s="2161"/>
      <c r="BH372" s="2161"/>
      <c r="BI372" s="2161"/>
    </row>
    <row r="373" spans="1:61" s="529" customFormat="1" ht="13.15" customHeight="1">
      <c r="B373" s="224"/>
      <c r="C373" s="2269"/>
      <c r="D373" s="2243"/>
      <c r="E373" s="2212"/>
      <c r="F373" s="2237"/>
      <c r="G373" s="526"/>
      <c r="H373" s="2161"/>
      <c r="I373" s="2161"/>
      <c r="J373" s="2161"/>
      <c r="K373" s="2161"/>
      <c r="L373" s="2161"/>
      <c r="M373" s="2161"/>
      <c r="N373" s="2161"/>
      <c r="O373" s="2161"/>
      <c r="P373" s="2161"/>
      <c r="Q373" s="2161"/>
      <c r="R373" s="2161"/>
      <c r="S373" s="2161"/>
      <c r="T373" s="2161"/>
      <c r="U373" s="2161"/>
      <c r="V373" s="2161"/>
      <c r="W373" s="2161"/>
      <c r="X373" s="2161"/>
      <c r="Y373" s="2161"/>
      <c r="Z373" s="2161"/>
      <c r="AA373" s="2161"/>
      <c r="AB373" s="2161"/>
      <c r="AC373" s="2161"/>
      <c r="AD373" s="2161"/>
      <c r="AE373" s="2161"/>
      <c r="AF373" s="2161"/>
      <c r="AG373" s="2161"/>
      <c r="AH373" s="2161"/>
      <c r="AI373" s="2161"/>
      <c r="AJ373" s="2161"/>
      <c r="AK373" s="2161"/>
      <c r="AL373" s="2161"/>
      <c r="AM373" s="2161"/>
      <c r="AN373" s="2161"/>
      <c r="AO373" s="2161"/>
      <c r="AP373" s="2161"/>
      <c r="AQ373" s="2161"/>
      <c r="AR373" s="2161"/>
      <c r="AS373" s="2161"/>
      <c r="AT373" s="2161"/>
      <c r="AU373" s="2161"/>
      <c r="AV373" s="2161"/>
      <c r="AW373" s="2161"/>
      <c r="AX373" s="2161"/>
      <c r="AY373" s="2161"/>
      <c r="AZ373" s="2161"/>
      <c r="BA373" s="2161"/>
      <c r="BB373" s="2161"/>
      <c r="BC373" s="2161"/>
      <c r="BD373" s="2161"/>
      <c r="BE373" s="2161"/>
      <c r="BF373" s="2161"/>
      <c r="BG373" s="2161"/>
      <c r="BH373" s="2161"/>
      <c r="BI373" s="2161"/>
    </row>
    <row r="374" spans="1:61">
      <c r="A374" s="2126"/>
      <c r="B374" s="2156"/>
      <c r="C374" s="2156"/>
      <c r="D374" s="2243"/>
      <c r="E374" s="525" t="str">
        <f>E17</f>
        <v>Durée d'exposition considérée</v>
      </c>
      <c r="F374" s="525" t="str">
        <f>F17</f>
        <v>t</v>
      </c>
      <c r="G374" s="526" t="str">
        <f>G17</f>
        <v>an</v>
      </c>
      <c r="H374" s="2224">
        <f t="shared" ref="H374:AL374" si="361">H375/(365*24*3600)</f>
        <v>70</v>
      </c>
      <c r="I374" s="2224">
        <f t="shared" si="361"/>
        <v>70</v>
      </c>
      <c r="J374" s="2224">
        <f>J375/(365*24*3600)</f>
        <v>70</v>
      </c>
      <c r="K374" s="2224">
        <f t="shared" si="361"/>
        <v>70</v>
      </c>
      <c r="L374" s="2224">
        <f t="shared" si="361"/>
        <v>70</v>
      </c>
      <c r="M374" s="2224">
        <f t="shared" si="361"/>
        <v>70</v>
      </c>
      <c r="N374" s="2224">
        <f>N375/(365*24*3600)</f>
        <v>70</v>
      </c>
      <c r="O374" s="2224">
        <f>O375/(365*24*3600)</f>
        <v>70</v>
      </c>
      <c r="P374" s="2224">
        <f t="shared" si="361"/>
        <v>70</v>
      </c>
      <c r="Q374" s="2224">
        <f t="shared" si="361"/>
        <v>70</v>
      </c>
      <c r="R374" s="2224">
        <f>R375/(365*24*3600)</f>
        <v>70</v>
      </c>
      <c r="S374" s="2224">
        <f>S375/(365*24*3600)</f>
        <v>70</v>
      </c>
      <c r="T374" s="2224">
        <f>T375/(365*24*3600)</f>
        <v>70</v>
      </c>
      <c r="U374" s="2224">
        <f t="shared" si="361"/>
        <v>70</v>
      </c>
      <c r="V374" s="2224">
        <f t="shared" si="361"/>
        <v>70</v>
      </c>
      <c r="W374" s="2224">
        <f t="shared" si="361"/>
        <v>70</v>
      </c>
      <c r="X374" s="2224">
        <f t="shared" si="361"/>
        <v>70</v>
      </c>
      <c r="Y374" s="2224">
        <f t="shared" si="361"/>
        <v>70</v>
      </c>
      <c r="Z374" s="2224">
        <f t="shared" si="361"/>
        <v>70</v>
      </c>
      <c r="AA374" s="2224">
        <f t="shared" si="361"/>
        <v>70</v>
      </c>
      <c r="AB374" s="2224">
        <f t="shared" si="361"/>
        <v>70</v>
      </c>
      <c r="AC374" s="2224">
        <f t="shared" si="361"/>
        <v>70</v>
      </c>
      <c r="AD374" s="2224">
        <f t="shared" si="361"/>
        <v>70</v>
      </c>
      <c r="AE374" s="2224">
        <f t="shared" si="361"/>
        <v>70</v>
      </c>
      <c r="AF374" s="2224">
        <f t="shared" si="361"/>
        <v>70</v>
      </c>
      <c r="AG374" s="2224">
        <f t="shared" si="361"/>
        <v>70</v>
      </c>
      <c r="AH374" s="2224">
        <f t="shared" si="361"/>
        <v>70</v>
      </c>
      <c r="AI374" s="2224">
        <f t="shared" si="361"/>
        <v>70</v>
      </c>
      <c r="AJ374" s="2224">
        <f t="shared" si="361"/>
        <v>70</v>
      </c>
      <c r="AK374" s="2224">
        <f t="shared" si="361"/>
        <v>70</v>
      </c>
      <c r="AL374" s="2224">
        <f t="shared" si="361"/>
        <v>70</v>
      </c>
      <c r="AM374" s="2224">
        <f t="shared" ref="AM374:BI374" si="362">AM375/(365*24*3600)</f>
        <v>70</v>
      </c>
      <c r="AN374" s="2224">
        <f t="shared" si="362"/>
        <v>70</v>
      </c>
      <c r="AO374" s="2224">
        <f t="shared" si="362"/>
        <v>70</v>
      </c>
      <c r="AP374" s="2224">
        <f t="shared" si="362"/>
        <v>70</v>
      </c>
      <c r="AQ374" s="2224">
        <f t="shared" si="362"/>
        <v>70</v>
      </c>
      <c r="AR374" s="2224">
        <f t="shared" si="362"/>
        <v>70</v>
      </c>
      <c r="AS374" s="2224">
        <f t="shared" si="362"/>
        <v>70</v>
      </c>
      <c r="AT374" s="2224">
        <f t="shared" si="362"/>
        <v>70</v>
      </c>
      <c r="AU374" s="2224">
        <f t="shared" si="362"/>
        <v>70</v>
      </c>
      <c r="AV374" s="2224">
        <f t="shared" si="362"/>
        <v>70</v>
      </c>
      <c r="AW374" s="2224">
        <f t="shared" si="362"/>
        <v>70</v>
      </c>
      <c r="AX374" s="2224">
        <f t="shared" si="362"/>
        <v>70</v>
      </c>
      <c r="AY374" s="2224">
        <f t="shared" si="362"/>
        <v>70</v>
      </c>
      <c r="AZ374" s="2224">
        <f t="shared" si="362"/>
        <v>70</v>
      </c>
      <c r="BA374" s="2224">
        <f t="shared" si="362"/>
        <v>70</v>
      </c>
      <c r="BB374" s="2224">
        <f t="shared" si="362"/>
        <v>70</v>
      </c>
      <c r="BC374" s="2224">
        <f t="shared" si="362"/>
        <v>70</v>
      </c>
      <c r="BD374" s="2224">
        <f t="shared" si="362"/>
        <v>70</v>
      </c>
      <c r="BE374" s="2224">
        <f t="shared" si="362"/>
        <v>70</v>
      </c>
      <c r="BF374" s="2224">
        <f t="shared" si="362"/>
        <v>70</v>
      </c>
      <c r="BG374" s="2224">
        <f t="shared" si="362"/>
        <v>70</v>
      </c>
      <c r="BH374" s="2224">
        <f t="shared" si="362"/>
        <v>70</v>
      </c>
      <c r="BI374" s="2224">
        <f t="shared" si="362"/>
        <v>70</v>
      </c>
    </row>
    <row r="375" spans="1:61" s="2216" customFormat="1" ht="13.15" customHeight="1">
      <c r="A375" s="2213"/>
      <c r="B375" s="2214"/>
      <c r="C375" s="2213"/>
      <c r="D375" s="2243"/>
      <c r="E375" s="2208" t="str">
        <f>E33</f>
        <v>Durée d'exposition considérée</v>
      </c>
      <c r="F375" s="2208" t="str">
        <f t="shared" ref="F375:AI375" si="363">F33</f>
        <v>t</v>
      </c>
      <c r="G375" s="2209" t="str">
        <f t="shared" si="363"/>
        <v>s</v>
      </c>
      <c r="H375" s="2161">
        <f t="shared" si="363"/>
        <v>2207520000</v>
      </c>
      <c r="I375" s="2161">
        <f t="shared" si="363"/>
        <v>2207520000</v>
      </c>
      <c r="J375" s="2161">
        <f>J33</f>
        <v>2207520000</v>
      </c>
      <c r="K375" s="2161">
        <f t="shared" si="363"/>
        <v>2207520000</v>
      </c>
      <c r="L375" s="2161">
        <f t="shared" si="363"/>
        <v>2207520000</v>
      </c>
      <c r="M375" s="2161">
        <f t="shared" si="363"/>
        <v>2207520000</v>
      </c>
      <c r="N375" s="2161">
        <f>N33</f>
        <v>2207520000</v>
      </c>
      <c r="O375" s="2161">
        <f>O33</f>
        <v>2207520000</v>
      </c>
      <c r="P375" s="2161">
        <f t="shared" si="363"/>
        <v>2207520000</v>
      </c>
      <c r="Q375" s="2161">
        <f t="shared" si="363"/>
        <v>2207520000</v>
      </c>
      <c r="R375" s="2161">
        <f>R33</f>
        <v>2207520000</v>
      </c>
      <c r="S375" s="2161">
        <f>S33</f>
        <v>2207520000</v>
      </c>
      <c r="T375" s="2161">
        <f>T33</f>
        <v>2207520000</v>
      </c>
      <c r="U375" s="2161">
        <f t="shared" si="363"/>
        <v>2207520000</v>
      </c>
      <c r="V375" s="2161">
        <f t="shared" si="363"/>
        <v>2207520000</v>
      </c>
      <c r="W375" s="2161">
        <f t="shared" si="363"/>
        <v>2207520000</v>
      </c>
      <c r="X375" s="2161">
        <f t="shared" si="363"/>
        <v>2207520000</v>
      </c>
      <c r="Y375" s="2161">
        <f t="shared" si="363"/>
        <v>2207520000</v>
      </c>
      <c r="Z375" s="2161">
        <f t="shared" si="363"/>
        <v>2207520000</v>
      </c>
      <c r="AA375" s="2215">
        <f t="shared" si="363"/>
        <v>2207520000</v>
      </c>
      <c r="AB375" s="2161">
        <f t="shared" si="363"/>
        <v>2207520000</v>
      </c>
      <c r="AC375" s="2161">
        <f t="shared" si="363"/>
        <v>2207520000</v>
      </c>
      <c r="AD375" s="2161">
        <f t="shared" si="363"/>
        <v>2207520000</v>
      </c>
      <c r="AE375" s="2161">
        <f t="shared" si="363"/>
        <v>2207520000</v>
      </c>
      <c r="AF375" s="2161">
        <f t="shared" si="363"/>
        <v>2207520000</v>
      </c>
      <c r="AG375" s="2161">
        <f t="shared" si="363"/>
        <v>2207520000</v>
      </c>
      <c r="AH375" s="2161">
        <f t="shared" si="363"/>
        <v>2207520000</v>
      </c>
      <c r="AI375" s="2161">
        <f t="shared" si="363"/>
        <v>2207520000</v>
      </c>
      <c r="AJ375" s="2161">
        <f t="shared" ref="AJ375:BI375" si="364">AJ33</f>
        <v>2207520000</v>
      </c>
      <c r="AK375" s="2161">
        <f t="shared" si="364"/>
        <v>2207520000</v>
      </c>
      <c r="AL375" s="2161">
        <f t="shared" si="364"/>
        <v>2207520000</v>
      </c>
      <c r="AM375" s="2161">
        <f t="shared" si="364"/>
        <v>2207520000</v>
      </c>
      <c r="AN375" s="2155">
        <f t="shared" si="364"/>
        <v>2207520000</v>
      </c>
      <c r="AO375" s="2161">
        <f t="shared" si="364"/>
        <v>2207520000</v>
      </c>
      <c r="AP375" s="2161">
        <f t="shared" si="364"/>
        <v>2207520000</v>
      </c>
      <c r="AQ375" s="2161">
        <f t="shared" si="364"/>
        <v>2207520000</v>
      </c>
      <c r="AR375" s="2161">
        <f t="shared" si="364"/>
        <v>2207520000</v>
      </c>
      <c r="AS375" s="2161">
        <f t="shared" si="364"/>
        <v>2207520000</v>
      </c>
      <c r="AT375" s="2161">
        <f t="shared" si="364"/>
        <v>2207520000</v>
      </c>
      <c r="AU375" s="2161">
        <f t="shared" si="364"/>
        <v>2207520000</v>
      </c>
      <c r="AV375" s="2161">
        <f t="shared" si="364"/>
        <v>2207520000</v>
      </c>
      <c r="AW375" s="2161">
        <f t="shared" si="364"/>
        <v>2207520000</v>
      </c>
      <c r="AX375" s="2161">
        <f t="shared" si="364"/>
        <v>2207520000</v>
      </c>
      <c r="AY375" s="2161">
        <f t="shared" si="364"/>
        <v>2207520000</v>
      </c>
      <c r="AZ375" s="2161">
        <f t="shared" si="364"/>
        <v>2207520000</v>
      </c>
      <c r="BA375" s="2161">
        <f t="shared" si="364"/>
        <v>2207520000</v>
      </c>
      <c r="BB375" s="2161">
        <f t="shared" si="364"/>
        <v>2207520000</v>
      </c>
      <c r="BC375" s="2161">
        <f t="shared" si="364"/>
        <v>2207520000</v>
      </c>
      <c r="BD375" s="2161">
        <f t="shared" si="364"/>
        <v>2207520000</v>
      </c>
      <c r="BE375" s="2161">
        <f t="shared" si="364"/>
        <v>2207520000</v>
      </c>
      <c r="BF375" s="2161">
        <f t="shared" si="364"/>
        <v>2207520000</v>
      </c>
      <c r="BG375" s="2161">
        <f t="shared" si="364"/>
        <v>2207520000</v>
      </c>
      <c r="BH375" s="2161">
        <f t="shared" si="364"/>
        <v>2207520000</v>
      </c>
      <c r="BI375" s="2161">
        <f t="shared" si="364"/>
        <v>2207520000</v>
      </c>
    </row>
    <row r="376" spans="1:61" ht="13.15" customHeight="1">
      <c r="A376" s="2149"/>
      <c r="B376" s="2150"/>
      <c r="C376" s="2151"/>
      <c r="D376" s="2243"/>
      <c r="E376" s="45" t="s">
        <v>579</v>
      </c>
      <c r="F376" s="2153" t="s">
        <v>1132</v>
      </c>
      <c r="G376" s="2154" t="str">
        <f>Sols!T35</f>
        <v>m3/m/Pa/s</v>
      </c>
      <c r="H376" s="2155">
        <f>Sols!$U15</f>
        <v>3.0472745960090518E-7</v>
      </c>
      <c r="I376" s="2155">
        <f>Sols!$U15</f>
        <v>3.0472745960090518E-7</v>
      </c>
      <c r="J376" s="2155">
        <f>Sols!$U15</f>
        <v>3.0472745960090518E-7</v>
      </c>
      <c r="K376" s="2155">
        <f>Sols!$U15</f>
        <v>3.0472745960090518E-7</v>
      </c>
      <c r="L376" s="2155">
        <f>Sols!$U15</f>
        <v>3.0472745960090518E-7</v>
      </c>
      <c r="M376" s="2155">
        <f>Sols!$U15</f>
        <v>3.0472745960090518E-7</v>
      </c>
      <c r="N376" s="2155">
        <f>Sols!$U15</f>
        <v>3.0472745960090518E-7</v>
      </c>
      <c r="O376" s="2155">
        <f>Sols!$U15</f>
        <v>3.0472745960090518E-7</v>
      </c>
      <c r="P376" s="2155">
        <f>Sols!$U15</f>
        <v>3.0472745960090518E-7</v>
      </c>
      <c r="Q376" s="2155">
        <f>Sols!$U15</f>
        <v>3.0472745960090518E-7</v>
      </c>
      <c r="R376" s="2155">
        <f>Sols!$U15</f>
        <v>3.0472745960090518E-7</v>
      </c>
      <c r="S376" s="2155">
        <f>Sols!$U15</f>
        <v>3.0472745960090518E-7</v>
      </c>
      <c r="T376" s="2155">
        <f>Sols!$U15</f>
        <v>3.0472745960090518E-7</v>
      </c>
      <c r="U376" s="2155">
        <f>Sols!$U15</f>
        <v>3.0472745960090518E-7</v>
      </c>
      <c r="V376" s="2155">
        <f>Sols!$U15</f>
        <v>3.0472745960090518E-7</v>
      </c>
      <c r="W376" s="2155">
        <f>Sols!$U15</f>
        <v>3.0472745960090518E-7</v>
      </c>
      <c r="X376" s="2155">
        <f>Sols!$U15</f>
        <v>3.0472745960090518E-7</v>
      </c>
      <c r="Y376" s="2155">
        <f>Sols!$U15</f>
        <v>3.0472745960090518E-7</v>
      </c>
      <c r="Z376" s="2155">
        <f>Sols!$U15</f>
        <v>3.0472745960090518E-7</v>
      </c>
      <c r="AA376" s="2155">
        <f>Sols!$U15</f>
        <v>3.0472745960090518E-7</v>
      </c>
      <c r="AB376" s="2155">
        <f>Sols!$U15</f>
        <v>3.0472745960090518E-7</v>
      </c>
      <c r="AC376" s="2155">
        <f>Sols!$U15</f>
        <v>3.0472745960090518E-7</v>
      </c>
      <c r="AD376" s="2155">
        <f>Sols!$U15</f>
        <v>3.0472745960090518E-7</v>
      </c>
      <c r="AE376" s="2155">
        <f>Sols!$U15</f>
        <v>3.0472745960090518E-7</v>
      </c>
      <c r="AF376" s="2155">
        <f>Sols!$U15</f>
        <v>3.0472745960090518E-7</v>
      </c>
      <c r="AG376" s="2155">
        <f>Sols!$U15</f>
        <v>3.0472745960090518E-7</v>
      </c>
      <c r="AH376" s="2155">
        <f>Sols!$U15</f>
        <v>3.0472745960090518E-7</v>
      </c>
      <c r="AI376" s="2155">
        <f>Sols!$U15</f>
        <v>3.0472745960090518E-7</v>
      </c>
      <c r="AJ376" s="2155">
        <f>Sols!$U15</f>
        <v>3.0472745960090518E-7</v>
      </c>
      <c r="AK376" s="2155">
        <f>Sols!$U15</f>
        <v>3.0472745960090518E-7</v>
      </c>
      <c r="AL376" s="2155">
        <f>Sols!$U15</f>
        <v>3.0472745960090518E-7</v>
      </c>
      <c r="AM376" s="2155">
        <f>Sols!$U15</f>
        <v>3.0472745960090518E-7</v>
      </c>
      <c r="AN376" s="2155">
        <f>Sols!$U15</f>
        <v>3.0472745960090518E-7</v>
      </c>
      <c r="AO376" s="2155">
        <f>Sols!$U15</f>
        <v>3.0472745960090518E-7</v>
      </c>
      <c r="AP376" s="2155">
        <f>Sols!$U15</f>
        <v>3.0472745960090518E-7</v>
      </c>
      <c r="AQ376" s="2155">
        <f>Sols!$U15</f>
        <v>3.0472745960090518E-7</v>
      </c>
      <c r="AR376" s="2155">
        <f>Sols!$U15</f>
        <v>3.0472745960090518E-7</v>
      </c>
      <c r="AS376" s="2155">
        <f>Sols!$U15</f>
        <v>3.0472745960090518E-7</v>
      </c>
      <c r="AT376" s="2155">
        <f>Sols!$U15</f>
        <v>3.0472745960090518E-7</v>
      </c>
      <c r="AU376" s="2155">
        <f>Sols!$U15</f>
        <v>3.0472745960090518E-7</v>
      </c>
      <c r="AV376" s="2155">
        <f>Sols!$U15</f>
        <v>3.0472745960090518E-7</v>
      </c>
      <c r="AW376" s="2155">
        <f>Sols!$U15</f>
        <v>3.0472745960090518E-7</v>
      </c>
      <c r="AX376" s="2155">
        <f>Sols!$U15</f>
        <v>3.0472745960090518E-7</v>
      </c>
      <c r="AY376" s="2155">
        <f>Sols!$U15</f>
        <v>3.0472745960090518E-7</v>
      </c>
      <c r="AZ376" s="2155">
        <f>Sols!$U15</f>
        <v>3.0472745960090518E-7</v>
      </c>
      <c r="BA376" s="2155">
        <f>Sols!$U15</f>
        <v>3.0472745960090518E-7</v>
      </c>
      <c r="BB376" s="2155">
        <f>Sols!$U15</f>
        <v>3.0472745960090518E-7</v>
      </c>
      <c r="BC376" s="2155">
        <f>Sols!$U15</f>
        <v>3.0472745960090518E-7</v>
      </c>
      <c r="BD376" s="2155">
        <f>Sols!$U15</f>
        <v>3.0472745960090518E-7</v>
      </c>
      <c r="BE376" s="2155">
        <f>Sols!$U15</f>
        <v>3.0472745960090518E-7</v>
      </c>
      <c r="BF376" s="2155">
        <f>Sols!$U15</f>
        <v>3.0472745960090518E-7</v>
      </c>
      <c r="BG376" s="2155">
        <f>Sols!$U15</f>
        <v>3.0472745960090518E-7</v>
      </c>
      <c r="BH376" s="2155">
        <f>Sols!$U15</f>
        <v>3.0472745960090518E-7</v>
      </c>
      <c r="BI376" s="2155">
        <f>Sols!$U15</f>
        <v>3.0472745960090518E-7</v>
      </c>
    </row>
    <row r="377" spans="1:61" ht="13.15" customHeight="1">
      <c r="A377" s="2149"/>
      <c r="B377" s="2150"/>
      <c r="C377" s="2151"/>
      <c r="D377" s="2243"/>
      <c r="E377" s="45"/>
      <c r="F377" s="2153"/>
      <c r="G377" s="2154"/>
      <c r="H377" s="2155"/>
      <c r="I377" s="2155"/>
      <c r="J377" s="2155"/>
      <c r="K377" s="2155"/>
      <c r="L377" s="2155"/>
      <c r="M377" s="2155"/>
      <c r="N377" s="2155"/>
      <c r="O377" s="2155"/>
      <c r="P377" s="2155"/>
      <c r="Q377" s="2155"/>
      <c r="R377" s="2155"/>
      <c r="S377" s="2155"/>
      <c r="T377" s="2155"/>
      <c r="U377" s="2155"/>
      <c r="V377" s="2155"/>
      <c r="W377" s="2155"/>
      <c r="X377" s="2155"/>
      <c r="Y377" s="2155"/>
      <c r="Z377" s="2155"/>
      <c r="AA377" s="2155"/>
      <c r="AB377" s="2155"/>
      <c r="AC377" s="2155"/>
      <c r="AD377" s="2155"/>
      <c r="AE377" s="2155"/>
      <c r="AF377" s="2155"/>
      <c r="AG377" s="2155"/>
      <c r="AH377" s="2155"/>
      <c r="AI377" s="2155"/>
      <c r="AJ377" s="2155"/>
      <c r="AK377" s="2155"/>
      <c r="AL377" s="2155"/>
      <c r="AM377" s="2155"/>
      <c r="AN377" s="2155"/>
      <c r="AO377" s="2155"/>
      <c r="AP377" s="2155"/>
      <c r="AQ377" s="2155"/>
      <c r="AR377" s="2155"/>
      <c r="AS377" s="2155"/>
      <c r="AT377" s="2155"/>
      <c r="AU377" s="2155"/>
      <c r="AV377" s="2155"/>
      <c r="AW377" s="2155"/>
      <c r="AX377" s="2155"/>
      <c r="AY377" s="2155"/>
      <c r="AZ377" s="2155"/>
      <c r="BA377" s="2155"/>
      <c r="BB377" s="2155"/>
      <c r="BC377" s="2155"/>
      <c r="BD377" s="2155"/>
      <c r="BE377" s="2155"/>
      <c r="BF377" s="2155"/>
      <c r="BG377" s="2155"/>
      <c r="BH377" s="2155"/>
      <c r="BI377" s="2155"/>
    </row>
    <row r="378" spans="1:61" ht="13.15" customHeight="1">
      <c r="A378" s="2149"/>
      <c r="B378" s="2150"/>
      <c r="C378" s="2151"/>
      <c r="D378" s="2243"/>
      <c r="E378" s="3662" t="s">
        <v>1143</v>
      </c>
      <c r="F378" s="2153"/>
      <c r="G378" s="2154"/>
      <c r="H378" s="2155"/>
      <c r="I378" s="2155"/>
      <c r="J378" s="2155"/>
      <c r="K378" s="2155"/>
      <c r="L378" s="2155"/>
      <c r="M378" s="2155"/>
      <c r="N378" s="2155"/>
      <c r="O378" s="2155"/>
      <c r="P378" s="2155"/>
      <c r="Q378" s="2155"/>
      <c r="R378" s="2155"/>
      <c r="S378" s="2155"/>
      <c r="T378" s="2155"/>
      <c r="U378" s="2155"/>
      <c r="V378" s="2155"/>
      <c r="W378" s="2155"/>
      <c r="X378" s="2155"/>
      <c r="Y378" s="2155"/>
      <c r="Z378" s="2155"/>
      <c r="AA378" s="2155"/>
      <c r="AB378" s="2155"/>
      <c r="AC378" s="2155"/>
      <c r="AD378" s="2155"/>
      <c r="AE378" s="2155"/>
      <c r="AF378" s="2155"/>
      <c r="AG378" s="2155"/>
      <c r="AH378" s="2155"/>
      <c r="AI378" s="2155"/>
      <c r="AJ378" s="2155"/>
      <c r="AK378" s="2155"/>
      <c r="AL378" s="2155"/>
      <c r="AM378" s="2155"/>
      <c r="AN378" s="2155"/>
      <c r="AO378" s="2155"/>
      <c r="AP378" s="2155"/>
      <c r="AQ378" s="2155"/>
      <c r="AR378" s="2155"/>
      <c r="AS378" s="2155"/>
      <c r="AT378" s="2155"/>
      <c r="AU378" s="2155"/>
      <c r="AV378" s="2155"/>
      <c r="AW378" s="2155"/>
      <c r="AX378" s="2155"/>
      <c r="AY378" s="2155"/>
      <c r="AZ378" s="2155"/>
      <c r="BA378" s="2155"/>
      <c r="BB378" s="2155"/>
      <c r="BC378" s="2155"/>
      <c r="BD378" s="2155"/>
      <c r="BE378" s="2155"/>
      <c r="BF378" s="2155"/>
      <c r="BG378" s="2155"/>
      <c r="BH378" s="2155"/>
      <c r="BI378" s="2155"/>
    </row>
    <row r="379" spans="1:61" s="2274" customFormat="1" ht="13.15" customHeight="1">
      <c r="A379" s="2270"/>
      <c r="B379" s="2271"/>
      <c r="C379" s="2272"/>
      <c r="D379" s="2243"/>
      <c r="E379" s="3655" t="s">
        <v>297</v>
      </c>
      <c r="F379" s="2225" t="s">
        <v>1131</v>
      </c>
      <c r="G379" s="2226" t="s">
        <v>73</v>
      </c>
      <c r="H379" s="2273">
        <f t="shared" ref="H379:AM379" si="365">(2*H376*H13*H211/H14*H375+(H41+H376*H223)^2)^0.5-H376*H223</f>
        <v>3.0338312408179879</v>
      </c>
      <c r="I379" s="2273">
        <f t="shared" si="365"/>
        <v>3.0338312408179879</v>
      </c>
      <c r="J379" s="2273">
        <f t="shared" si="365"/>
        <v>7.8363471374567979</v>
      </c>
      <c r="K379" s="2273">
        <f t="shared" si="365"/>
        <v>117.53682011535496</v>
      </c>
      <c r="L379" s="2273">
        <f t="shared" si="365"/>
        <v>50.799268038627439</v>
      </c>
      <c r="M379" s="2273">
        <f t="shared" si="365"/>
        <v>50.799268038627439</v>
      </c>
      <c r="N379" s="2273">
        <f t="shared" si="365"/>
        <v>71.358493462349614</v>
      </c>
      <c r="O379" s="2273">
        <f t="shared" si="365"/>
        <v>71.358493462349614</v>
      </c>
      <c r="P379" s="2273">
        <f t="shared" si="365"/>
        <v>74.561761125769095</v>
      </c>
      <c r="Q379" s="2273">
        <f t="shared" si="365"/>
        <v>74.561761125769095</v>
      </c>
      <c r="R379" s="2273">
        <f t="shared" si="365"/>
        <v>47.258205807215333</v>
      </c>
      <c r="S379" s="2273">
        <f t="shared" si="365"/>
        <v>45.77276953216132</v>
      </c>
      <c r="T379" s="2273">
        <f t="shared" si="365"/>
        <v>45.77276953216132</v>
      </c>
      <c r="U379" s="2273">
        <f t="shared" si="365"/>
        <v>99.364661693266115</v>
      </c>
      <c r="V379" s="2273">
        <f t="shared" si="365"/>
        <v>127.13610787733496</v>
      </c>
      <c r="W379" s="2273">
        <f t="shared" si="365"/>
        <v>127.13610787733496</v>
      </c>
      <c r="X379" s="2273">
        <f t="shared" si="365"/>
        <v>55.662329516084618</v>
      </c>
      <c r="Y379" s="2273">
        <f t="shared" si="365"/>
        <v>46.332148954064074</v>
      </c>
      <c r="Z379" s="2273">
        <f t="shared" si="365"/>
        <v>35.645809178998114</v>
      </c>
      <c r="AA379" s="2273">
        <f t="shared" si="365"/>
        <v>29.188690784728074</v>
      </c>
      <c r="AB379" s="2273">
        <f t="shared" si="365"/>
        <v>31.043916781069743</v>
      </c>
      <c r="AC379" s="2273">
        <f t="shared" si="365"/>
        <v>13.690615787952684</v>
      </c>
      <c r="AD379" s="2273">
        <f t="shared" si="365"/>
        <v>6.0343254435216673</v>
      </c>
      <c r="AE379" s="2273">
        <f t="shared" si="365"/>
        <v>2.1047707135214209</v>
      </c>
      <c r="AF379" s="2273">
        <f t="shared" si="365"/>
        <v>0.10320171153062005</v>
      </c>
      <c r="AG379" s="2273">
        <f t="shared" si="365"/>
        <v>149.03121842371365</v>
      </c>
      <c r="AH379" s="2273">
        <f t="shared" si="365"/>
        <v>128.9508247971568</v>
      </c>
      <c r="AI379" s="2273">
        <f t="shared" si="365"/>
        <v>82.212426646882236</v>
      </c>
      <c r="AJ379" s="2273">
        <f t="shared" si="365"/>
        <v>40.090286138154006</v>
      </c>
      <c r="AK379" s="2273">
        <f t="shared" si="365"/>
        <v>19.120319396132786</v>
      </c>
      <c r="AL379" s="2273">
        <f t="shared" si="365"/>
        <v>5.2350579242855062</v>
      </c>
      <c r="AM379" s="2273">
        <f t="shared" si="365"/>
        <v>0.40002578463558031</v>
      </c>
      <c r="AN379" s="2273">
        <f t="shared" ref="AN379:BI379" si="366">(2*AN376*AN13*AN211/AN14*AN375+(AN41+AN376*AN223)^2)^0.5-AN376*AN223</f>
        <v>3.8754750189425304</v>
      </c>
      <c r="AO379" s="2273">
        <f t="shared" si="366"/>
        <v>2.006161779074243</v>
      </c>
      <c r="AP379" s="2273">
        <f t="shared" si="366"/>
        <v>2.6065840222620489</v>
      </c>
      <c r="AQ379" s="2273">
        <f t="shared" si="366"/>
        <v>1.644096631629629</v>
      </c>
      <c r="AR379" s="2273">
        <f t="shared" si="366"/>
        <v>0.71399568846463823</v>
      </c>
      <c r="AS379" s="2273">
        <f t="shared" si="366"/>
        <v>0.8167391394882243</v>
      </c>
      <c r="AT379" s="2273">
        <f t="shared" si="366"/>
        <v>0.1941892972502203</v>
      </c>
      <c r="AU379" s="2273">
        <f t="shared" si="366"/>
        <v>0.18981966283741128</v>
      </c>
      <c r="AV379" s="2273">
        <f t="shared" si="366"/>
        <v>5.8616082103632693E-2</v>
      </c>
      <c r="AW379" s="2273">
        <f t="shared" si="366"/>
        <v>5.7099112897473749E-2</v>
      </c>
      <c r="AX379" s="2273">
        <f t="shared" si="366"/>
        <v>3.2837311768693922E-3</v>
      </c>
      <c r="AY379" s="2273">
        <f t="shared" si="366"/>
        <v>2.2805589871086815E-3</v>
      </c>
      <c r="AZ379" s="2273">
        <f t="shared" si="366"/>
        <v>1.5365435218466436E-3</v>
      </c>
      <c r="BA379" s="2273">
        <f t="shared" si="366"/>
        <v>2.6948310190650498E-4</v>
      </c>
      <c r="BB379" s="2273">
        <f t="shared" si="366"/>
        <v>4.0772383743291896E-3</v>
      </c>
      <c r="BC379" s="2273">
        <f t="shared" si="366"/>
        <v>1.1372326691461154E-9</v>
      </c>
      <c r="BD379" s="2273">
        <f t="shared" si="366"/>
        <v>0.53995330902454597</v>
      </c>
      <c r="BE379" s="2273">
        <f t="shared" si="366"/>
        <v>5.4660915615222815E-2</v>
      </c>
      <c r="BF379" s="2273">
        <f t="shared" si="366"/>
        <v>5.4660915615222815E-2</v>
      </c>
      <c r="BG379" s="2273">
        <f t="shared" si="366"/>
        <v>116.26552077764617</v>
      </c>
      <c r="BH379" s="2273">
        <f t="shared" si="366"/>
        <v>0.62849518625469047</v>
      </c>
      <c r="BI379" s="2273">
        <f t="shared" si="366"/>
        <v>1.817918979916415</v>
      </c>
    </row>
    <row r="380" spans="1:61" s="2244" customFormat="1" ht="27" customHeight="1">
      <c r="A380" s="2241"/>
      <c r="B380" s="276"/>
      <c r="C380" s="2242"/>
      <c r="D380" s="2243"/>
      <c r="E380" s="3655" t="s">
        <v>610</v>
      </c>
      <c r="F380" s="2153" t="s">
        <v>138</v>
      </c>
      <c r="G380" s="2154" t="s">
        <v>139</v>
      </c>
      <c r="H380" s="2155">
        <f t="shared" ref="H380:AM380" si="367">1000*H14/H13*(H379-H41)/H375</f>
        <v>7.8249436987644957E-4</v>
      </c>
      <c r="I380" s="2155">
        <f t="shared" si="367"/>
        <v>7.8249436987644957E-4</v>
      </c>
      <c r="J380" s="2155">
        <f t="shared" si="367"/>
        <v>3.0788470877835352E-4</v>
      </c>
      <c r="K380" s="2155">
        <f t="shared" si="367"/>
        <v>2.0726509924056083E-5</v>
      </c>
      <c r="L380" s="2155">
        <f t="shared" si="367"/>
        <v>4.7912290403393151E-5</v>
      </c>
      <c r="M380" s="2155">
        <f t="shared" si="367"/>
        <v>4.7912290403393151E-5</v>
      </c>
      <c r="N380" s="2155">
        <f t="shared" si="367"/>
        <v>3.4123963498979797E-5</v>
      </c>
      <c r="O380" s="2155">
        <f t="shared" si="367"/>
        <v>3.4123963498979797E-5</v>
      </c>
      <c r="P380" s="2155">
        <f t="shared" si="367"/>
        <v>3.2659557767371583E-5</v>
      </c>
      <c r="Q380" s="2155">
        <f t="shared" si="367"/>
        <v>3.2659557767371583E-5</v>
      </c>
      <c r="R380" s="2155">
        <f t="shared" si="367"/>
        <v>5.1496173836631508E-5</v>
      </c>
      <c r="S380" s="2155">
        <f t="shared" si="367"/>
        <v>5.3164373819818336E-5</v>
      </c>
      <c r="T380" s="2155">
        <f t="shared" si="367"/>
        <v>5.3164373819818336E-5</v>
      </c>
      <c r="U380" s="2155">
        <f t="shared" si="367"/>
        <v>2.4513935977777465E-5</v>
      </c>
      <c r="V380" s="2155">
        <f t="shared" si="367"/>
        <v>1.916257899135356E-5</v>
      </c>
      <c r="W380" s="2155">
        <f t="shared" si="367"/>
        <v>1.916257899135356E-5</v>
      </c>
      <c r="X380" s="2155">
        <f t="shared" si="367"/>
        <v>4.3732456828118967E-5</v>
      </c>
      <c r="Y380" s="2155">
        <f t="shared" si="367"/>
        <v>5.2523635949785683E-5</v>
      </c>
      <c r="Z380" s="2155">
        <f t="shared" si="367"/>
        <v>6.8233847983369364E-5</v>
      </c>
      <c r="AA380" s="2155">
        <f t="shared" si="367"/>
        <v>8.3286441827067068E-5</v>
      </c>
      <c r="AB380" s="2155">
        <f t="shared" si="367"/>
        <v>7.8322183875709404E-5</v>
      </c>
      <c r="AC380" s="2155">
        <f t="shared" si="367"/>
        <v>1.7700978103031911E-4</v>
      </c>
      <c r="AD380" s="2155">
        <f t="shared" si="367"/>
        <v>3.9860090650761066E-4</v>
      </c>
      <c r="AE380" s="2155">
        <f t="shared" si="367"/>
        <v>1.1149994720626541E-3</v>
      </c>
      <c r="AF380" s="2155">
        <f t="shared" si="367"/>
        <v>1.3190423419241717E-2</v>
      </c>
      <c r="AG380" s="2155">
        <f t="shared" si="367"/>
        <v>1.6348825313573179E-5</v>
      </c>
      <c r="AH380" s="2155">
        <f t="shared" si="367"/>
        <v>1.889307578585053E-5</v>
      </c>
      <c r="AI380" s="2155">
        <f t="shared" si="367"/>
        <v>2.9623282655901795E-5</v>
      </c>
      <c r="AJ380" s="2155">
        <f t="shared" si="367"/>
        <v>6.0684696674730766E-5</v>
      </c>
      <c r="AK380" s="2155">
        <f t="shared" si="367"/>
        <v>1.2695697943353616E-4</v>
      </c>
      <c r="AL380" s="2155">
        <f t="shared" si="367"/>
        <v>4.5852347864536619E-4</v>
      </c>
      <c r="AM380" s="2155">
        <f t="shared" si="367"/>
        <v>5.0614821300410595E-3</v>
      </c>
      <c r="AN380" s="2155">
        <f t="shared" ref="AN380:BI380" si="368">1000*AN14/AN13*(AN379-AN41)/AN375</f>
        <v>6.160636338673394E-4</v>
      </c>
      <c r="AO380" s="2155">
        <f t="shared" si="368"/>
        <v>1.1676626087693358E-3</v>
      </c>
      <c r="AP380" s="2155">
        <f t="shared" si="368"/>
        <v>9.0685958817733701E-4</v>
      </c>
      <c r="AQ380" s="2155">
        <f t="shared" si="368"/>
        <v>1.4126454667196056E-3</v>
      </c>
      <c r="AR380" s="2155">
        <f t="shared" si="368"/>
        <v>3.0640835049592242E-3</v>
      </c>
      <c r="AS380" s="2155">
        <f t="shared" si="368"/>
        <v>2.7136490151898254E-3</v>
      </c>
      <c r="AT380" s="2155">
        <f t="shared" si="368"/>
        <v>8.8389255438132853E-3</v>
      </c>
      <c r="AU380" s="2155">
        <f t="shared" si="368"/>
        <v>8.9812167890523827E-3</v>
      </c>
      <c r="AV380" s="2155">
        <f t="shared" si="368"/>
        <v>1.7384218840907541E-2</v>
      </c>
      <c r="AW380" s="2155">
        <f t="shared" si="368"/>
        <v>1.7574330679095654E-2</v>
      </c>
      <c r="AX380" s="2155">
        <f t="shared" si="368"/>
        <v>2.8714211130933164E-2</v>
      </c>
      <c r="AY380" s="2155">
        <f t="shared" si="368"/>
        <v>2.9057555453577202E-2</v>
      </c>
      <c r="AZ380" s="2155">
        <f t="shared" si="368"/>
        <v>2.9317551749368446E-2</v>
      </c>
      <c r="BA380" s="2155">
        <f t="shared" si="368"/>
        <v>2.9771200580069768E-2</v>
      </c>
      <c r="BB380" s="2155">
        <f t="shared" si="368"/>
        <v>2.8448320633980215E-2</v>
      </c>
      <c r="BC380" s="2155">
        <f t="shared" si="368"/>
        <v>2.986950029895993E-2</v>
      </c>
      <c r="BD380" s="2155">
        <f t="shared" si="368"/>
        <v>3.9220419804437074E-3</v>
      </c>
      <c r="BE380" s="2155">
        <f t="shared" si="368"/>
        <v>1.7888762401251916E-2</v>
      </c>
      <c r="BF380" s="2155">
        <f t="shared" si="368"/>
        <v>1.7888762401251916E-2</v>
      </c>
      <c r="BG380" s="2155">
        <f t="shared" si="368"/>
        <v>2.0952983897900648E-5</v>
      </c>
      <c r="BH380" s="2155">
        <f t="shared" si="368"/>
        <v>3.4330127668166259E-3</v>
      </c>
      <c r="BI380" s="2155">
        <f t="shared" si="368"/>
        <v>1.2833773058188952E-3</v>
      </c>
    </row>
    <row r="381" spans="1:61" s="2244" customFormat="1" ht="27" customHeight="1">
      <c r="A381" s="2241"/>
      <c r="B381" s="276"/>
      <c r="C381" s="2242"/>
      <c r="D381" s="2243"/>
      <c r="E381" s="3655" t="s">
        <v>611</v>
      </c>
      <c r="F381" s="2153" t="s">
        <v>138</v>
      </c>
      <c r="G381" s="2154" t="s">
        <v>139</v>
      </c>
      <c r="H381" s="2161">
        <f t="shared" ref="H381:AL381" si="369">MIN(H380,H$34)</f>
        <v>7.7376852016212191E-4</v>
      </c>
      <c r="I381" s="2161">
        <f t="shared" si="369"/>
        <v>7.7376852016212191E-4</v>
      </c>
      <c r="J381" s="2161">
        <f>MIN(J380,J$34)</f>
        <v>1.1786794409861001E-4</v>
      </c>
      <c r="K381" s="2161">
        <f t="shared" si="369"/>
        <v>5.2902171175928501E-7</v>
      </c>
      <c r="L381" s="2161">
        <f t="shared" si="369"/>
        <v>2.8295067381853387E-6</v>
      </c>
      <c r="M381" s="2161">
        <f t="shared" si="369"/>
        <v>2.8295067381853387E-6</v>
      </c>
      <c r="N381" s="2161">
        <f>MIN(N380,N$34)</f>
        <v>1.4346139545526303E-6</v>
      </c>
      <c r="O381" s="2161">
        <f>MIN(O380,O$34)</f>
        <v>1.4346139545526303E-6</v>
      </c>
      <c r="P381" s="2161">
        <f t="shared" si="369"/>
        <v>1.314060609926401E-6</v>
      </c>
      <c r="Q381" s="2161">
        <f t="shared" si="369"/>
        <v>1.314060609926401E-6</v>
      </c>
      <c r="R381" s="2161">
        <f>MIN(R380,R$34)</f>
        <v>3.2690306132254255E-6</v>
      </c>
      <c r="S381" s="2161">
        <f>MIN(S380,S$34)</f>
        <v>3.4844542528148829E-6</v>
      </c>
      <c r="T381" s="2161">
        <f>MIN(T380,T$34)</f>
        <v>3.4844542528148829E-6</v>
      </c>
      <c r="U381" s="2161">
        <f t="shared" si="369"/>
        <v>7.4012034741639221E-7</v>
      </c>
      <c r="V381" s="2161">
        <f t="shared" si="369"/>
        <v>4.5217474353963014E-7</v>
      </c>
      <c r="W381" s="2161">
        <f t="shared" si="369"/>
        <v>4.5217474353963014E-7</v>
      </c>
      <c r="X381" s="2161">
        <f t="shared" si="369"/>
        <v>2.3570226331696212E-6</v>
      </c>
      <c r="Y381" s="2161">
        <f t="shared" si="369"/>
        <v>3.4008978950141175E-6</v>
      </c>
      <c r="Z381" s="2161">
        <f t="shared" si="369"/>
        <v>5.7426538677291316E-6</v>
      </c>
      <c r="AA381" s="2161">
        <f t="shared" si="369"/>
        <v>8.560141574144568E-6</v>
      </c>
      <c r="AB381" s="2161">
        <f t="shared" si="369"/>
        <v>7.5688436251191195E-6</v>
      </c>
      <c r="AC381" s="2161">
        <f t="shared" si="369"/>
        <v>3.8787834770605911E-5</v>
      </c>
      <c r="AD381" s="2161">
        <f t="shared" si="369"/>
        <v>1.9816675960137716E-4</v>
      </c>
      <c r="AE381" s="2161">
        <f t="shared" si="369"/>
        <v>1.1149994720626541E-3</v>
      </c>
      <c r="AF381" s="2161">
        <f t="shared" si="369"/>
        <v>1.3190423419241717E-2</v>
      </c>
      <c r="AG381" s="2161">
        <f t="shared" si="369"/>
        <v>3.291020261357222E-7</v>
      </c>
      <c r="AH381" s="2161">
        <f t="shared" si="369"/>
        <v>4.3954141004301113E-7</v>
      </c>
      <c r="AI381" s="2161">
        <f t="shared" si="369"/>
        <v>1.0809782850641064E-6</v>
      </c>
      <c r="AJ381" s="2161">
        <f t="shared" si="369"/>
        <v>4.5411022858959111E-6</v>
      </c>
      <c r="AK381" s="2161">
        <f t="shared" si="369"/>
        <v>1.991969539889811E-5</v>
      </c>
      <c r="AL381" s="2161">
        <f t="shared" si="369"/>
        <v>2.6276126373975885E-4</v>
      </c>
      <c r="AM381" s="2161">
        <f t="shared" ref="AM381:BI381" si="370">MIN(AM380,AM$34)</f>
        <v>5.0614821300410595E-3</v>
      </c>
      <c r="AN381" s="2161">
        <f t="shared" si="370"/>
        <v>4.7689403042683499E-4</v>
      </c>
      <c r="AO381" s="2161">
        <f t="shared" si="370"/>
        <v>1.1676626087693358E-3</v>
      </c>
      <c r="AP381" s="2161">
        <f t="shared" si="370"/>
        <v>9.0685958817733701E-4</v>
      </c>
      <c r="AQ381" s="2161">
        <f t="shared" si="370"/>
        <v>1.4126454667196056E-3</v>
      </c>
      <c r="AR381" s="2161">
        <f t="shared" si="370"/>
        <v>3.0640835049592242E-3</v>
      </c>
      <c r="AS381" s="2161">
        <f t="shared" si="370"/>
        <v>2.7136490151898254E-3</v>
      </c>
      <c r="AT381" s="2161">
        <f t="shared" si="370"/>
        <v>8.8389255438132853E-3</v>
      </c>
      <c r="AU381" s="2161">
        <f t="shared" si="370"/>
        <v>8.9812167890523827E-3</v>
      </c>
      <c r="AV381" s="2161">
        <f t="shared" si="370"/>
        <v>1.7384218840907541E-2</v>
      </c>
      <c r="AW381" s="2161">
        <f t="shared" si="370"/>
        <v>1.7574330679095654E-2</v>
      </c>
      <c r="AX381" s="2161">
        <f t="shared" si="370"/>
        <v>2.8714211130933164E-2</v>
      </c>
      <c r="AY381" s="2161">
        <f t="shared" si="370"/>
        <v>2.9057555453577202E-2</v>
      </c>
      <c r="AZ381" s="2161">
        <f t="shared" si="370"/>
        <v>2.9317551749368446E-2</v>
      </c>
      <c r="BA381" s="2161">
        <f t="shared" si="370"/>
        <v>2.9771200580069768E-2</v>
      </c>
      <c r="BB381" s="2161">
        <f t="shared" si="370"/>
        <v>2.8448320633980215E-2</v>
      </c>
      <c r="BC381" s="2161">
        <f t="shared" si="370"/>
        <v>2.986950029895993E-2</v>
      </c>
      <c r="BD381" s="2161">
        <f t="shared" si="370"/>
        <v>3.9220419804437074E-3</v>
      </c>
      <c r="BE381" s="2161">
        <f t="shared" si="370"/>
        <v>1.7888762401251916E-2</v>
      </c>
      <c r="BF381" s="2161">
        <f t="shared" si="370"/>
        <v>1.7888762401251916E-2</v>
      </c>
      <c r="BG381" s="2161">
        <f t="shared" si="370"/>
        <v>5.4064998181118143E-7</v>
      </c>
      <c r="BH381" s="2161">
        <f t="shared" si="370"/>
        <v>3.4330127668166259E-3</v>
      </c>
      <c r="BI381" s="2161">
        <f t="shared" si="370"/>
        <v>1.2833773058188952E-3</v>
      </c>
    </row>
    <row r="382" spans="1:61" s="2378" customFormat="1" ht="13.15" hidden="1" customHeight="1">
      <c r="A382" s="2374"/>
      <c r="B382" s="397"/>
      <c r="C382" s="2375"/>
      <c r="D382" s="2373"/>
      <c r="E382" s="3662" t="s">
        <v>307</v>
      </c>
      <c r="F382" s="2372" t="s">
        <v>300</v>
      </c>
      <c r="G382" s="2376" t="s">
        <v>35</v>
      </c>
      <c r="H382" s="2377">
        <f t="shared" ref="H382:AL382" si="371">H$234/H381</f>
        <v>10</v>
      </c>
      <c r="I382" s="2387">
        <f t="shared" si="371"/>
        <v>10</v>
      </c>
      <c r="J382" s="2377">
        <f>J$234/J381</f>
        <v>10.000000000000002</v>
      </c>
      <c r="K382" s="2388">
        <f t="shared" si="371"/>
        <v>70.000000000000014</v>
      </c>
      <c r="L382" s="2388">
        <f t="shared" si="371"/>
        <v>70</v>
      </c>
      <c r="M382" s="2377">
        <f t="shared" si="371"/>
        <v>70</v>
      </c>
      <c r="N382" s="2388">
        <f>N$234/N381</f>
        <v>70</v>
      </c>
      <c r="O382" s="2377">
        <f>O$234/O381</f>
        <v>70</v>
      </c>
      <c r="P382" s="2388">
        <f t="shared" si="371"/>
        <v>69.999999999999986</v>
      </c>
      <c r="Q382" s="2377">
        <f t="shared" si="371"/>
        <v>69.999999999999986</v>
      </c>
      <c r="R382" s="2377">
        <f>R$234/R381</f>
        <v>70</v>
      </c>
      <c r="S382" s="2388">
        <f>S$234/S381</f>
        <v>70</v>
      </c>
      <c r="T382" s="2377">
        <f>T$234/T381</f>
        <v>70</v>
      </c>
      <c r="U382" s="2388">
        <f t="shared" si="371"/>
        <v>70</v>
      </c>
      <c r="V382" s="2388">
        <f t="shared" si="371"/>
        <v>70</v>
      </c>
      <c r="W382" s="2377">
        <f t="shared" si="371"/>
        <v>70</v>
      </c>
      <c r="X382" s="2377">
        <f t="shared" si="371"/>
        <v>70</v>
      </c>
      <c r="Y382" s="2377">
        <f t="shared" si="371"/>
        <v>70</v>
      </c>
      <c r="Z382" s="2377">
        <f t="shared" si="371"/>
        <v>70</v>
      </c>
      <c r="AA382" s="2377">
        <f t="shared" si="371"/>
        <v>10</v>
      </c>
      <c r="AB382" s="2377">
        <f t="shared" si="371"/>
        <v>70</v>
      </c>
      <c r="AC382" s="2377">
        <f t="shared" si="371"/>
        <v>70</v>
      </c>
      <c r="AD382" s="2377">
        <f t="shared" si="371"/>
        <v>70</v>
      </c>
      <c r="AE382" s="2377">
        <f t="shared" si="371"/>
        <v>26.788802595146354</v>
      </c>
      <c r="AF382" s="2377">
        <f t="shared" si="371"/>
        <v>2.2644838456971961</v>
      </c>
      <c r="AG382" s="2377">
        <f t="shared" si="371"/>
        <v>70</v>
      </c>
      <c r="AH382" s="2377">
        <f t="shared" si="371"/>
        <v>70</v>
      </c>
      <c r="AI382" s="2377">
        <f t="shared" si="371"/>
        <v>70</v>
      </c>
      <c r="AJ382" s="2377">
        <f t="shared" si="371"/>
        <v>69.999999999999986</v>
      </c>
      <c r="AK382" s="2377">
        <f t="shared" si="371"/>
        <v>69.999999999999986</v>
      </c>
      <c r="AL382" s="2377">
        <f t="shared" si="371"/>
        <v>70</v>
      </c>
      <c r="AM382" s="2377">
        <f t="shared" ref="AM382:BI382" si="372">AM$234/AM381</f>
        <v>5.9013348231531815</v>
      </c>
      <c r="AN382" s="2377">
        <f t="shared" si="372"/>
        <v>10</v>
      </c>
      <c r="AO382" s="2377">
        <f t="shared" si="372"/>
        <v>25.580591967623217</v>
      </c>
      <c r="AP382" s="2377">
        <f t="shared" si="372"/>
        <v>32.937293865759777</v>
      </c>
      <c r="AQ382" s="2377">
        <f t="shared" si="372"/>
        <v>21.144371644883215</v>
      </c>
      <c r="AR382" s="2377">
        <f t="shared" si="372"/>
        <v>9.7482659015118251</v>
      </c>
      <c r="AS382" s="2377">
        <f t="shared" si="372"/>
        <v>11.007134888698717</v>
      </c>
      <c r="AT382" s="2377">
        <f t="shared" si="372"/>
        <v>3.3793135379091059</v>
      </c>
      <c r="AU382" s="2377">
        <f t="shared" si="372"/>
        <v>3.3257743858480455</v>
      </c>
      <c r="AV382" s="2377">
        <f t="shared" si="372"/>
        <v>1.718196314952712</v>
      </c>
      <c r="AW382" s="2377">
        <f t="shared" si="372"/>
        <v>1.6996095780938087</v>
      </c>
      <c r="AX382" s="2377">
        <f t="shared" si="372"/>
        <v>1.0402340713654887</v>
      </c>
      <c r="AY382" s="2377">
        <f t="shared" si="372"/>
        <v>1.0279426567213754</v>
      </c>
      <c r="AZ382" s="2377">
        <f t="shared" si="372"/>
        <v>1.0188265720865415</v>
      </c>
      <c r="BA382" s="2377">
        <f t="shared" si="372"/>
        <v>1.0033018544362931</v>
      </c>
      <c r="BB382" s="2377">
        <f t="shared" si="372"/>
        <v>1.0499565557870256</v>
      </c>
      <c r="BC382" s="2377">
        <f t="shared" si="372"/>
        <v>1.0000000151264303</v>
      </c>
      <c r="BD382" s="2377">
        <f t="shared" si="372"/>
        <v>7.6158034257959812</v>
      </c>
      <c r="BE382" s="2377">
        <f t="shared" si="372"/>
        <v>1.6697354507144928</v>
      </c>
      <c r="BF382" s="2377">
        <f t="shared" si="372"/>
        <v>1.6697354507144928</v>
      </c>
      <c r="BG382" s="2377">
        <f t="shared" si="372"/>
        <v>70.000000000000014</v>
      </c>
      <c r="BH382" s="2377">
        <f t="shared" si="372"/>
        <v>8.7006669592074726</v>
      </c>
      <c r="BI382" s="2377">
        <f t="shared" si="372"/>
        <v>16.50238560212367</v>
      </c>
    </row>
    <row r="383" spans="1:61" ht="25.5">
      <c r="A383" s="2248"/>
      <c r="B383" s="2249"/>
      <c r="C383" s="2250"/>
      <c r="D383" s="2265"/>
      <c r="E383" s="3655" t="s">
        <v>506</v>
      </c>
      <c r="F383" s="2153" t="s">
        <v>300</v>
      </c>
      <c r="G383" s="2154" t="s">
        <v>21</v>
      </c>
      <c r="H383" s="2396">
        <f t="shared" ref="H383:AM383" si="373">H213/H380</f>
        <v>0.22660946276431315</v>
      </c>
      <c r="I383" s="2396">
        <f t="shared" si="373"/>
        <v>0.22660946276431315</v>
      </c>
      <c r="J383" s="2396">
        <f t="shared" si="373"/>
        <v>0.5919854841552662</v>
      </c>
      <c r="K383" s="2396">
        <f t="shared" si="373"/>
        <v>17.688490115523951</v>
      </c>
      <c r="L383" s="2396">
        <f t="shared" si="373"/>
        <v>5.3130262127923835</v>
      </c>
      <c r="M383" s="2396">
        <f t="shared" si="373"/>
        <v>5.3130262127923835</v>
      </c>
      <c r="N383" s="2396">
        <f t="shared" si="373"/>
        <v>8.007163549015111</v>
      </c>
      <c r="O383" s="2396">
        <f t="shared" si="373"/>
        <v>8.007163549015111</v>
      </c>
      <c r="P383" s="2396">
        <f t="shared" si="373"/>
        <v>7.6248845669565828</v>
      </c>
      <c r="Q383" s="2396">
        <f t="shared" si="373"/>
        <v>7.6248845669565828</v>
      </c>
      <c r="R383" s="2396">
        <f t="shared" si="373"/>
        <v>68.507210832777915</v>
      </c>
      <c r="S383" s="2396">
        <f t="shared" si="373"/>
        <v>6.7658709963357841</v>
      </c>
      <c r="T383" s="2396">
        <f t="shared" si="373"/>
        <v>6.7658709963357841</v>
      </c>
      <c r="U383" s="2396">
        <f t="shared" si="373"/>
        <v>11.005065502086538</v>
      </c>
      <c r="V383" s="2396">
        <f t="shared" si="373"/>
        <v>5.1406706294727487</v>
      </c>
      <c r="W383" s="2396">
        <f t="shared" si="373"/>
        <v>5.1406706294727487</v>
      </c>
      <c r="X383" s="2396">
        <f t="shared" si="373"/>
        <v>6.4807715966557442</v>
      </c>
      <c r="Y383" s="2396">
        <f t="shared" si="373"/>
        <v>4.8472974131255411</v>
      </c>
      <c r="Z383" s="2396">
        <f t="shared" si="373"/>
        <v>3.4214877221486386</v>
      </c>
      <c r="AA383" s="2396">
        <f t="shared" si="373"/>
        <v>2.8031125833758801</v>
      </c>
      <c r="AB383" s="2396">
        <f t="shared" si="373"/>
        <v>1.3983910596742113</v>
      </c>
      <c r="AC383" s="2396">
        <f t="shared" si="373"/>
        <v>0.5711550961157601</v>
      </c>
      <c r="AD383" s="2396">
        <f t="shared" si="373"/>
        <v>0.21981895157352935</v>
      </c>
      <c r="AE383" s="2396">
        <f t="shared" si="373"/>
        <v>6.2039231662739634E-2</v>
      </c>
      <c r="AF383" s="2396">
        <f t="shared" si="373"/>
        <v>4.151687865689758E-3</v>
      </c>
      <c r="AG383" s="2396">
        <f t="shared" si="373"/>
        <v>9.9248305571619788</v>
      </c>
      <c r="AH383" s="2396">
        <f t="shared" si="373"/>
        <v>6.9565194961835219</v>
      </c>
      <c r="AI383" s="2396">
        <f t="shared" si="373"/>
        <v>3.4128573687176962</v>
      </c>
      <c r="AJ383" s="2396">
        <f t="shared" si="373"/>
        <v>1.3536160808342412</v>
      </c>
      <c r="AK383" s="2396">
        <f t="shared" si="373"/>
        <v>0.51761648171516084</v>
      </c>
      <c r="AL383" s="2396">
        <f t="shared" si="373"/>
        <v>0.10616205839135441</v>
      </c>
      <c r="AM383" s="2251">
        <f t="shared" si="373"/>
        <v>8.1145975792269974E-3</v>
      </c>
      <c r="AN383" s="2251">
        <f t="shared" ref="AN383:BI383" si="374">AN213/AN380</f>
        <v>0.1664236154349088</v>
      </c>
      <c r="AO383" s="2251">
        <f t="shared" si="374"/>
        <v>7.3954166635242027E-2</v>
      </c>
      <c r="AP383" s="2251">
        <f t="shared" si="374"/>
        <v>9.3981438247465979E-2</v>
      </c>
      <c r="AQ383" s="2251">
        <f t="shared" si="374"/>
        <v>5.5979688009693933E-2</v>
      </c>
      <c r="AR383" s="2251">
        <f t="shared" si="374"/>
        <v>2.4070570113266611E-2</v>
      </c>
      <c r="AS383" s="2251">
        <f t="shared" si="374"/>
        <v>2.7178989038811066E-2</v>
      </c>
      <c r="AT383" s="2251">
        <f t="shared" si="374"/>
        <v>7.3502026821898932E-3</v>
      </c>
      <c r="AU383" s="2251">
        <f t="shared" si="374"/>
        <v>7.2337519253521994E-3</v>
      </c>
      <c r="AV383" s="2251">
        <f t="shared" si="374"/>
        <v>3.3115672681043634E-3</v>
      </c>
      <c r="AW383" s="2251">
        <f t="shared" si="374"/>
        <v>3.2757441035060229E-3</v>
      </c>
      <c r="AX383" s="2251">
        <f t="shared" si="374"/>
        <v>1.8140368622937522E-3</v>
      </c>
      <c r="AY383" s="2251">
        <f t="shared" si="374"/>
        <v>1.792602187283646E-3</v>
      </c>
      <c r="AZ383" s="2251">
        <f t="shared" si="374"/>
        <v>1.7768457274938618E-3</v>
      </c>
      <c r="BA383" s="2251">
        <f t="shared" si="374"/>
        <v>1.5857294560181498E-3</v>
      </c>
      <c r="BB383" s="2251">
        <f t="shared" si="374"/>
        <v>1.7215524387777707E-3</v>
      </c>
      <c r="BC383" s="2251">
        <f t="shared" si="374"/>
        <v>1.5925234321921401E-3</v>
      </c>
      <c r="BD383" s="2251">
        <f t="shared" si="374"/>
        <v>7.2312385913711405E-2</v>
      </c>
      <c r="BE383" s="2251">
        <f t="shared" si="374"/>
        <v>2.8532323807509701E-3</v>
      </c>
      <c r="BF383" s="2251">
        <f t="shared" si="374"/>
        <v>2.8532323807509701E-3</v>
      </c>
      <c r="BG383" s="2251">
        <f t="shared" si="374"/>
        <v>5.0676145322967221</v>
      </c>
      <c r="BH383" s="2251">
        <f t="shared" si="374"/>
        <v>5.4403822873409134E-2</v>
      </c>
      <c r="BI383" s="2251">
        <f t="shared" si="374"/>
        <v>0.45275786473309088</v>
      </c>
    </row>
    <row r="384" spans="1:61" ht="25.5">
      <c r="A384" s="2248"/>
      <c r="B384" s="2249"/>
      <c r="C384" s="2250"/>
      <c r="D384" s="2265"/>
      <c r="E384" s="3655" t="s">
        <v>507</v>
      </c>
      <c r="F384" s="2153" t="s">
        <v>300</v>
      </c>
      <c r="G384" s="2154" t="s">
        <v>21</v>
      </c>
      <c r="H384" s="2396">
        <f t="shared" ref="H384:AM384" si="375">H219/H381</f>
        <v>0.22916495586645128</v>
      </c>
      <c r="I384" s="2396">
        <f t="shared" si="375"/>
        <v>0.22916495586645128</v>
      </c>
      <c r="J384" s="2396">
        <f t="shared" si="375"/>
        <v>1.5463345847253658</v>
      </c>
      <c r="K384" s="2396">
        <f t="shared" si="375"/>
        <v>70.000000000000014</v>
      </c>
      <c r="L384" s="2396">
        <f t="shared" si="375"/>
        <v>70</v>
      </c>
      <c r="M384" s="2396">
        <f t="shared" si="375"/>
        <v>70</v>
      </c>
      <c r="N384" s="2396">
        <f t="shared" si="375"/>
        <v>70</v>
      </c>
      <c r="O384" s="2396">
        <f t="shared" si="375"/>
        <v>70</v>
      </c>
      <c r="P384" s="2396">
        <f t="shared" si="375"/>
        <v>69.999999999999986</v>
      </c>
      <c r="Q384" s="2396">
        <f t="shared" si="375"/>
        <v>69.999999999999986</v>
      </c>
      <c r="R384" s="2396">
        <f t="shared" si="375"/>
        <v>70</v>
      </c>
      <c r="S384" s="2396">
        <f t="shared" si="375"/>
        <v>70</v>
      </c>
      <c r="T384" s="2396">
        <f t="shared" si="375"/>
        <v>70</v>
      </c>
      <c r="U384" s="2396">
        <f t="shared" si="375"/>
        <v>70</v>
      </c>
      <c r="V384" s="2396">
        <f t="shared" si="375"/>
        <v>70</v>
      </c>
      <c r="W384" s="2396">
        <f t="shared" si="375"/>
        <v>70</v>
      </c>
      <c r="X384" s="2396">
        <f t="shared" si="375"/>
        <v>70</v>
      </c>
      <c r="Y384" s="2396">
        <f t="shared" si="375"/>
        <v>70</v>
      </c>
      <c r="Z384" s="2396">
        <f t="shared" si="375"/>
        <v>40.653899483998423</v>
      </c>
      <c r="AA384" s="2396">
        <f t="shared" si="375"/>
        <v>10</v>
      </c>
      <c r="AB384" s="2396">
        <f t="shared" si="375"/>
        <v>14.470511894639385</v>
      </c>
      <c r="AC384" s="2396">
        <f t="shared" si="375"/>
        <v>2.6064883254173528</v>
      </c>
      <c r="AD384" s="2396">
        <f t="shared" si="375"/>
        <v>0.44215303081613522</v>
      </c>
      <c r="AE384" s="2396">
        <f t="shared" si="375"/>
        <v>6.2039231662739634E-2</v>
      </c>
      <c r="AF384" s="2396">
        <f t="shared" si="375"/>
        <v>4.151687865689758E-3</v>
      </c>
      <c r="AG384" s="2396">
        <f t="shared" si="375"/>
        <v>70</v>
      </c>
      <c r="AH384" s="2396">
        <f t="shared" si="375"/>
        <v>70</v>
      </c>
      <c r="AI384" s="2396">
        <f t="shared" si="375"/>
        <v>70</v>
      </c>
      <c r="AJ384" s="2396">
        <f t="shared" si="375"/>
        <v>18.088952000617109</v>
      </c>
      <c r="AK384" s="2396">
        <f t="shared" si="375"/>
        <v>3.2989974850321331</v>
      </c>
      <c r="AL384" s="2396">
        <f t="shared" si="375"/>
        <v>0.18525484168004019</v>
      </c>
      <c r="AM384" s="2251">
        <f t="shared" si="375"/>
        <v>8.1145975792269974E-3</v>
      </c>
      <c r="AN384" s="2251">
        <f t="shared" ref="AN384:BI384" si="376">AN219/AN381</f>
        <v>0.21499018806002923</v>
      </c>
      <c r="AO384" s="2251">
        <f t="shared" si="376"/>
        <v>7.3954166635242027E-2</v>
      </c>
      <c r="AP384" s="2251">
        <f t="shared" si="376"/>
        <v>9.3981438247465979E-2</v>
      </c>
      <c r="AQ384" s="2251">
        <f t="shared" si="376"/>
        <v>5.5979688009693933E-2</v>
      </c>
      <c r="AR384" s="2251">
        <f t="shared" si="376"/>
        <v>2.4070570113266611E-2</v>
      </c>
      <c r="AS384" s="2251">
        <f t="shared" si="376"/>
        <v>2.7178989038811066E-2</v>
      </c>
      <c r="AT384" s="2251">
        <f t="shared" si="376"/>
        <v>7.3502026821898932E-3</v>
      </c>
      <c r="AU384" s="2251">
        <f t="shared" si="376"/>
        <v>7.2337519253521994E-3</v>
      </c>
      <c r="AV384" s="2251">
        <f t="shared" si="376"/>
        <v>3.3115672681043634E-3</v>
      </c>
      <c r="AW384" s="2251">
        <f t="shared" si="376"/>
        <v>3.2757441035060229E-3</v>
      </c>
      <c r="AX384" s="2251">
        <f t="shared" si="376"/>
        <v>1.8140368622937522E-3</v>
      </c>
      <c r="AY384" s="2251">
        <f t="shared" si="376"/>
        <v>1.792602187283646E-3</v>
      </c>
      <c r="AZ384" s="2251">
        <f t="shared" si="376"/>
        <v>1.7768457274938618E-3</v>
      </c>
      <c r="BA384" s="2251">
        <f t="shared" si="376"/>
        <v>1.5857294560181498E-3</v>
      </c>
      <c r="BB384" s="2251">
        <f t="shared" si="376"/>
        <v>1.7215524387777707E-3</v>
      </c>
      <c r="BC384" s="2251">
        <f t="shared" si="376"/>
        <v>1.5925234321921401E-3</v>
      </c>
      <c r="BD384" s="2251">
        <f t="shared" si="376"/>
        <v>7.2312385913711405E-2</v>
      </c>
      <c r="BE384" s="2251">
        <f t="shared" si="376"/>
        <v>2.8532323807509701E-3</v>
      </c>
      <c r="BF384" s="2251">
        <f t="shared" si="376"/>
        <v>2.8532323807509701E-3</v>
      </c>
      <c r="BG384" s="2251">
        <f t="shared" si="376"/>
        <v>70.000000000000014</v>
      </c>
      <c r="BH384" s="2251">
        <f t="shared" si="376"/>
        <v>5.4403822873409134E-2</v>
      </c>
      <c r="BI384" s="2251">
        <f t="shared" si="376"/>
        <v>0.45275786473309088</v>
      </c>
    </row>
    <row r="385" spans="1:61">
      <c r="A385" s="2248"/>
      <c r="B385" s="2249"/>
      <c r="C385" s="2250"/>
      <c r="D385" s="2265"/>
      <c r="E385" s="3655"/>
      <c r="F385" s="2153"/>
      <c r="G385" s="2154"/>
      <c r="H385" s="2251"/>
      <c r="I385" s="2251"/>
      <c r="J385" s="2251"/>
      <c r="K385" s="2251"/>
      <c r="L385" s="2251"/>
      <c r="M385" s="2251"/>
      <c r="N385" s="2251"/>
      <c r="O385" s="2251"/>
      <c r="P385" s="2251"/>
      <c r="Q385" s="2251"/>
      <c r="R385" s="2251"/>
      <c r="S385" s="2251"/>
      <c r="T385" s="2251"/>
      <c r="U385" s="2251"/>
      <c r="V385" s="2251"/>
      <c r="W385" s="2251"/>
      <c r="X385" s="2251"/>
      <c r="Y385" s="2251"/>
      <c r="Z385" s="2251"/>
      <c r="AA385" s="2251"/>
      <c r="AB385" s="2251"/>
      <c r="AC385" s="2251"/>
      <c r="AD385" s="2251"/>
      <c r="AE385" s="2251"/>
      <c r="AF385" s="2251"/>
      <c r="AG385" s="2251"/>
      <c r="AH385" s="2251"/>
      <c r="AI385" s="2251"/>
      <c r="AJ385" s="2251"/>
      <c r="AK385" s="2251"/>
      <c r="AL385" s="2251"/>
      <c r="AM385" s="2251"/>
      <c r="AN385" s="2251"/>
      <c r="AO385" s="2251"/>
      <c r="AP385" s="2251"/>
      <c r="AQ385" s="2251"/>
      <c r="AR385" s="2251"/>
      <c r="AS385" s="2251"/>
      <c r="AT385" s="2251"/>
      <c r="AU385" s="2251"/>
      <c r="AV385" s="2251"/>
      <c r="AW385" s="2251"/>
      <c r="AX385" s="2251"/>
      <c r="AY385" s="2251"/>
      <c r="AZ385" s="2251"/>
      <c r="BA385" s="2251"/>
      <c r="BB385" s="2251"/>
      <c r="BC385" s="2251"/>
      <c r="BD385" s="2251"/>
      <c r="BE385" s="2251"/>
      <c r="BF385" s="2251"/>
      <c r="BG385" s="2251"/>
      <c r="BH385" s="2251"/>
      <c r="BI385" s="2251"/>
    </row>
    <row r="386" spans="1:61" s="2244" customFormat="1" ht="13.15" customHeight="1">
      <c r="A386" s="2241"/>
      <c r="B386" s="276"/>
      <c r="C386" s="2242"/>
      <c r="D386" s="2243"/>
      <c r="E386" s="2275" t="s">
        <v>1036</v>
      </c>
      <c r="F386" s="2275"/>
      <c r="G386" s="3688"/>
      <c r="H386" s="2275"/>
      <c r="I386" s="2155"/>
      <c r="J386" s="2155"/>
      <c r="K386" s="2155"/>
      <c r="L386" s="2155"/>
      <c r="M386" s="2155"/>
      <c r="N386" s="2155"/>
      <c r="O386" s="2155"/>
      <c r="P386" s="2155"/>
      <c r="Q386" s="2155"/>
      <c r="R386" s="2155"/>
      <c r="S386" s="2155"/>
      <c r="T386" s="2155"/>
      <c r="U386" s="2155"/>
      <c r="V386" s="2155"/>
      <c r="W386" s="2155"/>
      <c r="X386" s="2155"/>
      <c r="Y386" s="2155"/>
      <c r="Z386" s="2155"/>
      <c r="AA386" s="2155"/>
      <c r="AB386" s="2155"/>
      <c r="AC386" s="2155"/>
      <c r="AD386" s="2155"/>
      <c r="AE386" s="2155"/>
      <c r="AF386" s="2155"/>
      <c r="AG386" s="2155"/>
      <c r="AH386" s="2155"/>
      <c r="AI386" s="2155"/>
      <c r="AJ386" s="2155"/>
      <c r="AK386" s="2155"/>
      <c r="AL386" s="2155"/>
      <c r="AM386" s="2155"/>
      <c r="AN386" s="2155"/>
      <c r="AO386" s="2155"/>
      <c r="AP386" s="2155"/>
      <c r="AQ386" s="2155"/>
      <c r="AR386" s="2155"/>
      <c r="AS386" s="2155"/>
      <c r="AT386" s="2155"/>
      <c r="AU386" s="2155"/>
      <c r="AV386" s="2155"/>
      <c r="AW386" s="2155"/>
      <c r="AX386" s="2155"/>
      <c r="AY386" s="2155"/>
      <c r="AZ386" s="2155"/>
      <c r="BA386" s="2155"/>
      <c r="BB386" s="2155"/>
      <c r="BC386" s="2155"/>
      <c r="BD386" s="2155"/>
      <c r="BE386" s="2155"/>
      <c r="BF386" s="2155"/>
      <c r="BG386" s="2155"/>
      <c r="BH386" s="2155"/>
      <c r="BI386" s="2155"/>
    </row>
    <row r="387" spans="1:61" ht="25.5">
      <c r="A387" s="2149"/>
      <c r="B387" s="2150"/>
      <c r="C387" s="2151"/>
      <c r="D387" s="2245"/>
      <c r="E387" s="2153" t="s">
        <v>610</v>
      </c>
      <c r="F387" s="2153" t="s">
        <v>138</v>
      </c>
      <c r="G387" s="2154" t="s">
        <v>139</v>
      </c>
      <c r="H387" s="2155">
        <f t="shared" ref="H387:AM387" si="377">MIN(H226,H380+H289)</f>
        <v>9.2392686879188331E-4</v>
      </c>
      <c r="I387" s="2155">
        <f t="shared" si="377"/>
        <v>9.2392686879188331E-4</v>
      </c>
      <c r="J387" s="2155">
        <f t="shared" si="377"/>
        <v>3.9083708933155609E-4</v>
      </c>
      <c r="K387" s="2155">
        <f t="shared" si="377"/>
        <v>3.1033784583093331E-5</v>
      </c>
      <c r="L387" s="2155">
        <f t="shared" si="377"/>
        <v>6.7289645835360911E-5</v>
      </c>
      <c r="M387" s="2155">
        <f t="shared" si="377"/>
        <v>6.7289645835360911E-5</v>
      </c>
      <c r="N387" s="2155">
        <f t="shared" si="377"/>
        <v>4.8590721163589655E-5</v>
      </c>
      <c r="O387" s="2155">
        <f t="shared" si="377"/>
        <v>4.8590721163589655E-5</v>
      </c>
      <c r="P387" s="2155">
        <f t="shared" si="377"/>
        <v>4.587586159010972E-5</v>
      </c>
      <c r="Q387" s="2155">
        <f t="shared" si="377"/>
        <v>4.587586159010972E-5</v>
      </c>
      <c r="R387" s="2155">
        <f t="shared" si="377"/>
        <v>1.3120466553766979E-4</v>
      </c>
      <c r="S387" s="2155">
        <f t="shared" si="377"/>
        <v>7.8788613002520128E-5</v>
      </c>
      <c r="T387" s="2155">
        <f t="shared" si="377"/>
        <v>7.8788613002520128E-5</v>
      </c>
      <c r="U387" s="2155">
        <f t="shared" si="377"/>
        <v>3.4916291732217108E-5</v>
      </c>
      <c r="V387" s="2155">
        <f t="shared" si="377"/>
        <v>2.4047329595974823E-5</v>
      </c>
      <c r="W387" s="2155">
        <f t="shared" si="377"/>
        <v>2.4047329595974823E-5</v>
      </c>
      <c r="X387" s="2155">
        <f t="shared" si="377"/>
        <v>6.2488158057725086E-5</v>
      </c>
      <c r="Y387" s="2155">
        <f t="shared" si="377"/>
        <v>7.368154028627358E-5</v>
      </c>
      <c r="Z387" s="2155">
        <f t="shared" si="377"/>
        <v>9.4156320574797012E-5</v>
      </c>
      <c r="AA387" s="2155">
        <f t="shared" si="377"/>
        <v>1.1452939237767235E-4</v>
      </c>
      <c r="AB387" s="2155">
        <f t="shared" si="377"/>
        <v>9.791132431467576E-5</v>
      </c>
      <c r="AC387" s="2155">
        <f t="shared" si="377"/>
        <v>2.1435587475576452E-4</v>
      </c>
      <c r="AD387" s="2155">
        <f t="shared" si="377"/>
        <v>4.5638331823615215E-4</v>
      </c>
      <c r="AE387" s="2155">
        <f t="shared" si="377"/>
        <v>1.1795559391461297E-3</v>
      </c>
      <c r="AF387" s="2155">
        <f t="shared" si="377"/>
        <v>1.3245173870610057E-2</v>
      </c>
      <c r="AG387" s="2155">
        <f t="shared" si="377"/>
        <v>2.1742914434954922E-5</v>
      </c>
      <c r="AH387" s="2155">
        <f t="shared" si="377"/>
        <v>2.4476617330576338E-5</v>
      </c>
      <c r="AI387" s="2155">
        <f t="shared" si="377"/>
        <v>3.7172825203505662E-5</v>
      </c>
      <c r="AJ387" s="2155">
        <f t="shared" si="377"/>
        <v>7.3960988283358134E-5</v>
      </c>
      <c r="AK387" s="2155">
        <f t="shared" si="377"/>
        <v>1.490795619484648E-4</v>
      </c>
      <c r="AL387" s="2155">
        <f t="shared" si="377"/>
        <v>4.9713460357331718E-4</v>
      </c>
      <c r="AM387" s="2155">
        <f t="shared" si="377"/>
        <v>5.1024754721609297E-3</v>
      </c>
      <c r="AN387" s="2155">
        <f t="shared" ref="AN387:BI387" si="378">MIN(AN226,AN380+AN289)</f>
        <v>6.9560324188361528E-4</v>
      </c>
      <c r="AO387" s="2155">
        <f t="shared" si="378"/>
        <v>1.2476942305814451E-3</v>
      </c>
      <c r="AP387" s="2155">
        <f t="shared" si="378"/>
        <v>9.825443658479482E-4</v>
      </c>
      <c r="AQ387" s="2155">
        <f t="shared" si="378"/>
        <v>1.4879411061357066E-3</v>
      </c>
      <c r="AR387" s="2155">
        <f t="shared" si="378"/>
        <v>3.1371540923764707E-3</v>
      </c>
      <c r="AS387" s="2155">
        <f t="shared" si="378"/>
        <v>2.7865137706594035E-3</v>
      </c>
      <c r="AT387" s="2155">
        <f t="shared" si="378"/>
        <v>8.9038492627861246E-3</v>
      </c>
      <c r="AU387" s="2155">
        <f t="shared" si="378"/>
        <v>9.0461431780838684E-3</v>
      </c>
      <c r="AV387" s="2155">
        <f t="shared" si="378"/>
        <v>1.7441783221442322E-2</v>
      </c>
      <c r="AW387" s="2155">
        <f t="shared" si="378"/>
        <v>1.7631895595812477E-2</v>
      </c>
      <c r="AX387" s="2155">
        <f t="shared" si="378"/>
        <v>2.8766299757248748E-2</v>
      </c>
      <c r="AY387" s="2155">
        <f t="shared" si="378"/>
        <v>2.9109644083392932E-2</v>
      </c>
      <c r="AZ387" s="2155">
        <f t="shared" si="378"/>
        <v>2.9369644512185222E-2</v>
      </c>
      <c r="BA387" s="2155">
        <f t="shared" si="378"/>
        <v>2.9818409649483998E-2</v>
      </c>
      <c r="BB387" s="2155">
        <f t="shared" si="378"/>
        <v>2.849729586246906E-2</v>
      </c>
      <c r="BC387" s="2155">
        <f t="shared" si="378"/>
        <v>2.986950029895993E-2</v>
      </c>
      <c r="BD387" s="2155">
        <f t="shared" si="378"/>
        <v>4.204920999826319E-3</v>
      </c>
      <c r="BE387" s="2155">
        <f t="shared" si="378"/>
        <v>1.7939799559937835E-2</v>
      </c>
      <c r="BF387" s="2155">
        <f t="shared" si="378"/>
        <v>1.7939799559937835E-2</v>
      </c>
      <c r="BG387" s="2155">
        <f t="shared" si="378"/>
        <v>2.6492672212380442E-5</v>
      </c>
      <c r="BH387" s="2155">
        <f t="shared" si="378"/>
        <v>3.6192439112035842E-3</v>
      </c>
      <c r="BI387" s="2155">
        <f t="shared" si="378"/>
        <v>1.7571139422442941E-3</v>
      </c>
    </row>
    <row r="388" spans="1:61" s="2393" customFormat="1" ht="38.25">
      <c r="D388" s="2394"/>
      <c r="E388" s="2395" t="s">
        <v>650</v>
      </c>
      <c r="F388" s="2393" t="s">
        <v>138</v>
      </c>
      <c r="G388" s="3692" t="s">
        <v>139</v>
      </c>
      <c r="H388" s="2273">
        <f t="shared" ref="H388:BI388" si="379">MIN(H387,H$34)</f>
        <v>7.7376852016212191E-4</v>
      </c>
      <c r="I388" s="2273">
        <f t="shared" si="379"/>
        <v>7.7376852016212191E-4</v>
      </c>
      <c r="J388" s="2273">
        <f>MIN(J387,J$34)</f>
        <v>1.1786794409861001E-4</v>
      </c>
      <c r="K388" s="2273">
        <f t="shared" si="379"/>
        <v>5.2902171175928501E-7</v>
      </c>
      <c r="L388" s="2273">
        <f t="shared" si="379"/>
        <v>2.8295067381853387E-6</v>
      </c>
      <c r="M388" s="2273">
        <f t="shared" si="379"/>
        <v>2.8295067381853387E-6</v>
      </c>
      <c r="N388" s="2273">
        <f>MIN(N387,N$34)</f>
        <v>1.4346139545526303E-6</v>
      </c>
      <c r="O388" s="2273">
        <f>MIN(O387,O$34)</f>
        <v>1.4346139545526303E-6</v>
      </c>
      <c r="P388" s="2273">
        <f t="shared" si="379"/>
        <v>1.314060609926401E-6</v>
      </c>
      <c r="Q388" s="2273">
        <f t="shared" si="379"/>
        <v>1.314060609926401E-6</v>
      </c>
      <c r="R388" s="2273">
        <f>MIN(R387,R$34)</f>
        <v>3.2690306132254255E-6</v>
      </c>
      <c r="S388" s="2273">
        <f>MIN(S387,S$34)</f>
        <v>3.4844542528148829E-6</v>
      </c>
      <c r="T388" s="2273">
        <f>MIN(T387,T$34)</f>
        <v>3.4844542528148829E-6</v>
      </c>
      <c r="U388" s="2273">
        <f t="shared" si="379"/>
        <v>7.4012034741639221E-7</v>
      </c>
      <c r="V388" s="2273">
        <f t="shared" si="379"/>
        <v>4.5217474353963014E-7</v>
      </c>
      <c r="W388" s="2273">
        <f t="shared" si="379"/>
        <v>4.5217474353963014E-7</v>
      </c>
      <c r="X388" s="2273">
        <f t="shared" si="379"/>
        <v>2.3570226331696212E-6</v>
      </c>
      <c r="Y388" s="2273">
        <f t="shared" si="379"/>
        <v>3.4008978950141175E-6</v>
      </c>
      <c r="Z388" s="2273">
        <f t="shared" si="379"/>
        <v>5.7426538677291316E-6</v>
      </c>
      <c r="AA388" s="2273">
        <f t="shared" si="379"/>
        <v>8.560141574144568E-6</v>
      </c>
      <c r="AB388" s="2273">
        <f t="shared" si="379"/>
        <v>7.5688436251191195E-6</v>
      </c>
      <c r="AC388" s="2273">
        <f t="shared" si="379"/>
        <v>3.8787834770605911E-5</v>
      </c>
      <c r="AD388" s="2273">
        <f t="shared" si="379"/>
        <v>1.9816675960137716E-4</v>
      </c>
      <c r="AE388" s="2273">
        <f t="shared" si="379"/>
        <v>1.1795559391461297E-3</v>
      </c>
      <c r="AF388" s="2273">
        <f t="shared" si="379"/>
        <v>1.3245173870610057E-2</v>
      </c>
      <c r="AG388" s="2273">
        <f t="shared" si="379"/>
        <v>3.291020261357222E-7</v>
      </c>
      <c r="AH388" s="2273">
        <f t="shared" si="379"/>
        <v>4.3954141004301113E-7</v>
      </c>
      <c r="AI388" s="2273">
        <f t="shared" si="379"/>
        <v>1.0809782850641064E-6</v>
      </c>
      <c r="AJ388" s="2273">
        <f t="shared" si="379"/>
        <v>4.5411022858959111E-6</v>
      </c>
      <c r="AK388" s="2273">
        <f t="shared" si="379"/>
        <v>1.991969539889811E-5</v>
      </c>
      <c r="AL388" s="2273">
        <f t="shared" si="379"/>
        <v>2.6276126373975885E-4</v>
      </c>
      <c r="AM388" s="2273">
        <f t="shared" si="379"/>
        <v>5.1024754721609297E-3</v>
      </c>
      <c r="AN388" s="2273">
        <f t="shared" si="379"/>
        <v>4.7689403042683499E-4</v>
      </c>
      <c r="AO388" s="2273">
        <f t="shared" si="379"/>
        <v>1.2476942305814451E-3</v>
      </c>
      <c r="AP388" s="2273">
        <f t="shared" si="379"/>
        <v>9.825443658479482E-4</v>
      </c>
      <c r="AQ388" s="2273">
        <f t="shared" si="379"/>
        <v>1.4879411061357066E-3</v>
      </c>
      <c r="AR388" s="2273">
        <f t="shared" si="379"/>
        <v>3.1371540923764707E-3</v>
      </c>
      <c r="AS388" s="2273">
        <f t="shared" si="379"/>
        <v>2.7865137706594035E-3</v>
      </c>
      <c r="AT388" s="2273">
        <f t="shared" si="379"/>
        <v>8.9038492627861246E-3</v>
      </c>
      <c r="AU388" s="2273">
        <f t="shared" si="379"/>
        <v>9.0461431780838684E-3</v>
      </c>
      <c r="AV388" s="2273">
        <f t="shared" si="379"/>
        <v>1.7441783221442322E-2</v>
      </c>
      <c r="AW388" s="2273">
        <f t="shared" si="379"/>
        <v>1.7631895595812477E-2</v>
      </c>
      <c r="AX388" s="2273">
        <f t="shared" si="379"/>
        <v>2.8766299757248748E-2</v>
      </c>
      <c r="AY388" s="2273">
        <f t="shared" si="379"/>
        <v>2.9109644083392932E-2</v>
      </c>
      <c r="AZ388" s="2273">
        <f t="shared" si="379"/>
        <v>2.9369644512185222E-2</v>
      </c>
      <c r="BA388" s="2273">
        <f t="shared" si="379"/>
        <v>2.9818409649483998E-2</v>
      </c>
      <c r="BB388" s="2273">
        <f t="shared" si="379"/>
        <v>2.849729586246906E-2</v>
      </c>
      <c r="BC388" s="2273">
        <f t="shared" si="379"/>
        <v>2.986950029895993E-2</v>
      </c>
      <c r="BD388" s="2273">
        <f t="shared" si="379"/>
        <v>4.204920999826319E-3</v>
      </c>
      <c r="BE388" s="2273">
        <f t="shared" si="379"/>
        <v>1.7939799559937835E-2</v>
      </c>
      <c r="BF388" s="2273">
        <f t="shared" si="379"/>
        <v>1.7939799559937835E-2</v>
      </c>
      <c r="BG388" s="2273">
        <f t="shared" si="379"/>
        <v>5.4064998181118143E-7</v>
      </c>
      <c r="BH388" s="2273">
        <f t="shared" si="379"/>
        <v>3.6192439112035842E-3</v>
      </c>
      <c r="BI388" s="2273">
        <f t="shared" si="379"/>
        <v>1.7571139422442941E-3</v>
      </c>
    </row>
    <row r="389" spans="1:61" ht="25.5">
      <c r="A389" s="2149"/>
      <c r="B389" s="2150"/>
      <c r="C389" s="2151"/>
      <c r="D389" s="2245"/>
      <c r="E389" s="3655" t="s">
        <v>505</v>
      </c>
      <c r="F389" s="2153" t="s">
        <v>300</v>
      </c>
      <c r="G389" s="2154" t="s">
        <v>35</v>
      </c>
      <c r="H389" s="2155">
        <f t="shared" ref="H389:AM389" si="380">H226/H387</f>
        <v>32.328858224283351</v>
      </c>
      <c r="I389" s="2155">
        <f t="shared" si="380"/>
        <v>32.328858224283351</v>
      </c>
      <c r="J389" s="2155">
        <f t="shared" si="380"/>
        <v>76.424427379357169</v>
      </c>
      <c r="K389" s="2155">
        <f t="shared" si="380"/>
        <v>962.4833436219451</v>
      </c>
      <c r="L389" s="2155">
        <f t="shared" si="380"/>
        <v>443.89445627134404</v>
      </c>
      <c r="M389" s="2155">
        <f t="shared" si="380"/>
        <v>443.89445627134404</v>
      </c>
      <c r="N389" s="2155">
        <f t="shared" si="380"/>
        <v>614.7161440600488</v>
      </c>
      <c r="O389" s="2155">
        <f t="shared" si="380"/>
        <v>614.7161440600488</v>
      </c>
      <c r="P389" s="2155">
        <f t="shared" si="380"/>
        <v>651.0940550317282</v>
      </c>
      <c r="Q389" s="2155">
        <f t="shared" si="380"/>
        <v>651.0940550317282</v>
      </c>
      <c r="R389" s="2155">
        <f t="shared" si="380"/>
        <v>227.70367902183401</v>
      </c>
      <c r="S389" s="2155">
        <f t="shared" si="380"/>
        <v>379.10936127056124</v>
      </c>
      <c r="T389" s="2155">
        <f t="shared" si="380"/>
        <v>379.10936127056124</v>
      </c>
      <c r="U389" s="2155">
        <f t="shared" si="380"/>
        <v>855.46028140263206</v>
      </c>
      <c r="V389" s="2155">
        <f t="shared" si="380"/>
        <v>1242.1130018436045</v>
      </c>
      <c r="W389" s="2155">
        <f t="shared" si="380"/>
        <v>1242.1130018436045</v>
      </c>
      <c r="X389" s="2155">
        <f t="shared" si="380"/>
        <v>478.00257967575396</v>
      </c>
      <c r="Y389" s="2155">
        <f t="shared" si="380"/>
        <v>405.38648669296816</v>
      </c>
      <c r="Z389" s="2155">
        <f t="shared" si="380"/>
        <v>317.23309246192088</v>
      </c>
      <c r="AA389" s="2155">
        <f t="shared" si="380"/>
        <v>260.80205378442173</v>
      </c>
      <c r="AB389" s="2155">
        <f t="shared" si="380"/>
        <v>305.06686493976628</v>
      </c>
      <c r="AC389" s="2155">
        <f t="shared" si="380"/>
        <v>139.34537966273109</v>
      </c>
      <c r="AD389" s="2155">
        <f t="shared" si="380"/>
        <v>65.448274635058183</v>
      </c>
      <c r="AE389" s="2155">
        <f t="shared" si="380"/>
        <v>25.322665724866862</v>
      </c>
      <c r="AF389" s="2155">
        <f t="shared" si="380"/>
        <v>2.2551233409669909</v>
      </c>
      <c r="AG389" s="2155">
        <f t="shared" si="380"/>
        <v>1373.7579127276167</v>
      </c>
      <c r="AH389" s="2155">
        <f t="shared" si="380"/>
        <v>1220.3279704612485</v>
      </c>
      <c r="AI389" s="2155">
        <f t="shared" si="380"/>
        <v>803.53055188180679</v>
      </c>
      <c r="AJ389" s="2155">
        <f t="shared" si="380"/>
        <v>403.85480838010568</v>
      </c>
      <c r="AK389" s="2155">
        <f t="shared" si="380"/>
        <v>200.35946148744659</v>
      </c>
      <c r="AL389" s="2155">
        <f t="shared" si="380"/>
        <v>60.083326600244803</v>
      </c>
      <c r="AM389" s="2155">
        <f t="shared" si="380"/>
        <v>5.8539234365253936</v>
      </c>
      <c r="AN389" s="2155">
        <f t="shared" ref="AN389:BI389" si="381">AN226/AN387</f>
        <v>42.940427750013924</v>
      </c>
      <c r="AO389" s="2155">
        <f t="shared" si="381"/>
        <v>23.939760254288572</v>
      </c>
      <c r="AP389" s="2155">
        <f t="shared" si="381"/>
        <v>30.400154729909918</v>
      </c>
      <c r="AQ389" s="2155">
        <f t="shared" si="381"/>
        <v>20.07438374248034</v>
      </c>
      <c r="AR389" s="2155">
        <f t="shared" si="381"/>
        <v>9.5212093098531749</v>
      </c>
      <c r="AS389" s="2155">
        <f t="shared" si="381"/>
        <v>10.719308501285639</v>
      </c>
      <c r="AT389" s="2155">
        <f t="shared" si="381"/>
        <v>3.3546727790663771</v>
      </c>
      <c r="AU389" s="2155">
        <f t="shared" si="381"/>
        <v>3.3019044871126755</v>
      </c>
      <c r="AV389" s="2155">
        <f t="shared" si="381"/>
        <v>1.7125256271995353</v>
      </c>
      <c r="AW389" s="2155">
        <f t="shared" si="381"/>
        <v>1.6940606634418116</v>
      </c>
      <c r="AX389" s="2155">
        <f t="shared" si="381"/>
        <v>1.0383504657477576</v>
      </c>
      <c r="AY389" s="2155">
        <f t="shared" si="381"/>
        <v>1.0261032620395181</v>
      </c>
      <c r="AZ389" s="2155">
        <f t="shared" si="381"/>
        <v>1.0170194854890475</v>
      </c>
      <c r="BA389" s="2155">
        <f t="shared" si="381"/>
        <v>1.0017134079884011</v>
      </c>
      <c r="BB389" s="2155">
        <f t="shared" si="381"/>
        <v>1.0481521087099697</v>
      </c>
      <c r="BC389" s="2155">
        <f t="shared" si="381"/>
        <v>1.0000000151264303</v>
      </c>
      <c r="BD389" s="2155">
        <f t="shared" si="381"/>
        <v>7.103463002518378</v>
      </c>
      <c r="BE389" s="2155">
        <f t="shared" si="381"/>
        <v>1.6649851995828178</v>
      </c>
      <c r="BF389" s="2155">
        <f t="shared" si="381"/>
        <v>1.6649851995828178</v>
      </c>
      <c r="BG389" s="2155">
        <f t="shared" si="381"/>
        <v>1127.4627380480085</v>
      </c>
      <c r="BH389" s="2155">
        <f t="shared" si="381"/>
        <v>8.2529670515756148</v>
      </c>
      <c r="BI389" s="2155">
        <f t="shared" si="381"/>
        <v>16.999182598612631</v>
      </c>
    </row>
    <row r="390" spans="1:61" s="2368" customFormat="1" ht="25.5">
      <c r="A390" s="2360"/>
      <c r="B390" s="2361"/>
      <c r="C390" s="2362"/>
      <c r="D390" s="2245"/>
      <c r="E390" s="3678" t="s">
        <v>504</v>
      </c>
      <c r="F390" s="2363" t="s">
        <v>300</v>
      </c>
      <c r="G390" s="2364" t="s">
        <v>35</v>
      </c>
      <c r="H390" s="2365">
        <f t="shared" ref="H390:AM390" si="382">H241/H388</f>
        <v>1</v>
      </c>
      <c r="I390" s="2365">
        <f t="shared" si="382"/>
        <v>1</v>
      </c>
      <c r="J390" s="2365">
        <f t="shared" si="382"/>
        <v>1</v>
      </c>
      <c r="K390" s="2365">
        <f t="shared" si="382"/>
        <v>1</v>
      </c>
      <c r="L390" s="2365">
        <f t="shared" si="382"/>
        <v>1</v>
      </c>
      <c r="M390" s="2365">
        <f t="shared" si="382"/>
        <v>1</v>
      </c>
      <c r="N390" s="2365">
        <f t="shared" si="382"/>
        <v>1</v>
      </c>
      <c r="O390" s="2365">
        <f t="shared" si="382"/>
        <v>1</v>
      </c>
      <c r="P390" s="2365">
        <f t="shared" si="382"/>
        <v>1</v>
      </c>
      <c r="Q390" s="2365">
        <f t="shared" si="382"/>
        <v>1</v>
      </c>
      <c r="R390" s="2365">
        <f t="shared" si="382"/>
        <v>1</v>
      </c>
      <c r="S390" s="2365">
        <f t="shared" si="382"/>
        <v>1</v>
      </c>
      <c r="T390" s="2365">
        <f t="shared" si="382"/>
        <v>1</v>
      </c>
      <c r="U390" s="2365">
        <f t="shared" si="382"/>
        <v>1</v>
      </c>
      <c r="V390" s="2365">
        <f t="shared" si="382"/>
        <v>1</v>
      </c>
      <c r="W390" s="2365">
        <f t="shared" si="382"/>
        <v>1</v>
      </c>
      <c r="X390" s="2365">
        <f t="shared" si="382"/>
        <v>1</v>
      </c>
      <c r="Y390" s="2365">
        <f t="shared" si="382"/>
        <v>1</v>
      </c>
      <c r="Z390" s="2365">
        <f t="shared" si="382"/>
        <v>1</v>
      </c>
      <c r="AA390" s="2365">
        <f t="shared" si="382"/>
        <v>1</v>
      </c>
      <c r="AB390" s="2365">
        <f t="shared" si="382"/>
        <v>1</v>
      </c>
      <c r="AC390" s="2365">
        <f t="shared" si="382"/>
        <v>1</v>
      </c>
      <c r="AD390" s="2365">
        <f t="shared" si="382"/>
        <v>1</v>
      </c>
      <c r="AE390" s="2365">
        <f t="shared" si="382"/>
        <v>1.3473256648441472</v>
      </c>
      <c r="AF390" s="2365">
        <f t="shared" si="382"/>
        <v>2.2551233409669909</v>
      </c>
      <c r="AG390" s="2365">
        <f t="shared" si="382"/>
        <v>1</v>
      </c>
      <c r="AH390" s="2365">
        <f t="shared" si="382"/>
        <v>1</v>
      </c>
      <c r="AI390" s="2365">
        <f t="shared" si="382"/>
        <v>1</v>
      </c>
      <c r="AJ390" s="2365">
        <f t="shared" si="382"/>
        <v>1</v>
      </c>
      <c r="AK390" s="2365">
        <f t="shared" si="382"/>
        <v>1</v>
      </c>
      <c r="AL390" s="2365">
        <f t="shared" si="382"/>
        <v>1</v>
      </c>
      <c r="AM390" s="2365">
        <f t="shared" si="382"/>
        <v>5.8539234365253936</v>
      </c>
      <c r="AN390" s="2365">
        <f t="shared" ref="AN390:BI390" si="383">AN241/AN388</f>
        <v>1</v>
      </c>
      <c r="AO390" s="2365">
        <f t="shared" si="383"/>
        <v>1.3994729517801634</v>
      </c>
      <c r="AP390" s="2365">
        <f t="shared" si="383"/>
        <v>1.0622760876351207</v>
      </c>
      <c r="AQ390" s="2365">
        <f t="shared" si="383"/>
        <v>1.7323727887935567</v>
      </c>
      <c r="AR390" s="2365">
        <f t="shared" si="383"/>
        <v>4.103839914991589</v>
      </c>
      <c r="AS390" s="2365">
        <f t="shared" si="383"/>
        <v>3.5770941246921191</v>
      </c>
      <c r="AT390" s="2365">
        <f t="shared" si="383"/>
        <v>3.3546727790663771</v>
      </c>
      <c r="AU390" s="2365">
        <f t="shared" si="383"/>
        <v>3.3019044871126755</v>
      </c>
      <c r="AV390" s="2365">
        <f t="shared" si="383"/>
        <v>1.7125256271995353</v>
      </c>
      <c r="AW390" s="2365">
        <f t="shared" si="383"/>
        <v>1.6940606634418116</v>
      </c>
      <c r="AX390" s="2365">
        <f t="shared" si="383"/>
        <v>1.0383504657477576</v>
      </c>
      <c r="AY390" s="2365">
        <f t="shared" si="383"/>
        <v>1.0261032620395181</v>
      </c>
      <c r="AZ390" s="2365">
        <f t="shared" si="383"/>
        <v>1.0170194854890475</v>
      </c>
      <c r="BA390" s="2365">
        <f t="shared" si="383"/>
        <v>1.0017134079884011</v>
      </c>
      <c r="BB390" s="2365">
        <f t="shared" si="383"/>
        <v>1.0481521087099697</v>
      </c>
      <c r="BC390" s="2365">
        <f t="shared" si="383"/>
        <v>1.0000000151264303</v>
      </c>
      <c r="BD390" s="2365">
        <f t="shared" si="383"/>
        <v>5.1822629411604346</v>
      </c>
      <c r="BE390" s="2365">
        <f t="shared" si="383"/>
        <v>1.6649851995828178</v>
      </c>
      <c r="BF390" s="2365">
        <f t="shared" si="383"/>
        <v>1.6649851995828178</v>
      </c>
      <c r="BG390" s="2365">
        <f t="shared" si="383"/>
        <v>1</v>
      </c>
      <c r="BH390" s="2365">
        <f t="shared" si="383"/>
        <v>4.5276918866753286</v>
      </c>
      <c r="BI390" s="2365">
        <f t="shared" si="383"/>
        <v>1.2053166652691374</v>
      </c>
    </row>
    <row r="391" spans="1:61" ht="13.15" customHeight="1">
      <c r="A391" s="2131"/>
      <c r="B391" s="78"/>
      <c r="C391" s="2158"/>
      <c r="D391" s="2245"/>
      <c r="H391" s="2140"/>
      <c r="I391" s="2140"/>
      <c r="J391" s="2140"/>
      <c r="K391" s="2140"/>
      <c r="L391" s="2140"/>
      <c r="M391" s="2140"/>
      <c r="N391" s="2140"/>
      <c r="O391" s="2140"/>
      <c r="P391" s="2140"/>
      <c r="Q391" s="2140"/>
      <c r="R391" s="2141"/>
      <c r="S391" s="2140"/>
      <c r="T391" s="2140"/>
      <c r="U391" s="2140"/>
      <c r="V391" s="2140"/>
      <c r="W391" s="2140"/>
      <c r="X391" s="2140"/>
      <c r="Y391" s="2140"/>
      <c r="Z391" s="2140"/>
      <c r="AA391" s="2140"/>
      <c r="AB391" s="2140"/>
      <c r="AC391" s="2140"/>
      <c r="AD391" s="2140"/>
      <c r="AE391" s="2140"/>
      <c r="AF391" s="2140"/>
      <c r="AG391" s="2140"/>
      <c r="AH391" s="2140"/>
      <c r="AI391" s="2140"/>
      <c r="AJ391" s="2140"/>
      <c r="AK391" s="2140"/>
      <c r="AL391" s="2140"/>
      <c r="AM391" s="2140"/>
      <c r="AN391" s="2140"/>
      <c r="AO391" s="2140"/>
      <c r="AP391" s="2140"/>
      <c r="AQ391" s="2140"/>
      <c r="AR391" s="2140"/>
      <c r="AS391" s="2140"/>
      <c r="AT391" s="2140"/>
      <c r="AU391" s="2140"/>
      <c r="AV391" s="2140"/>
      <c r="AW391" s="2140"/>
      <c r="AX391" s="2140"/>
      <c r="AY391" s="2140"/>
      <c r="AZ391" s="2140"/>
      <c r="BA391" s="2140"/>
      <c r="BB391" s="2140"/>
      <c r="BC391" s="2140"/>
      <c r="BD391" s="2140"/>
      <c r="BE391" s="2140"/>
      <c r="BF391" s="2140"/>
      <c r="BG391" s="2140"/>
      <c r="BH391" s="2140"/>
      <c r="BI391" s="2140"/>
    </row>
    <row r="392" spans="1:61">
      <c r="A392" s="2126"/>
      <c r="B392" s="2156"/>
      <c r="C392" s="2156"/>
      <c r="D392" s="2245"/>
      <c r="E392" s="2369" t="str">
        <f>E$61</f>
        <v>Période adulte 6-70 ans (effets sans seuil)</v>
      </c>
      <c r="F392" s="2153"/>
      <c r="G392" s="2154"/>
      <c r="H392" s="2156"/>
      <c r="I392" s="2156"/>
      <c r="J392" s="2156"/>
      <c r="K392" s="2156"/>
      <c r="L392" s="2156"/>
      <c r="M392" s="2156"/>
      <c r="N392" s="2156"/>
      <c r="O392" s="2156"/>
      <c r="P392" s="2156"/>
      <c r="Q392" s="2156"/>
      <c r="S392" s="2156"/>
      <c r="T392" s="2156"/>
      <c r="U392" s="2156"/>
      <c r="V392" s="2156"/>
      <c r="W392" s="2156"/>
      <c r="X392" s="2156"/>
      <c r="Y392" s="2156"/>
      <c r="Z392" s="2156"/>
      <c r="AA392" s="2156"/>
      <c r="AB392" s="2156"/>
      <c r="AC392" s="2156"/>
      <c r="AD392" s="2156"/>
      <c r="AE392" s="2156"/>
      <c r="AF392" s="2156"/>
      <c r="AG392" s="2156"/>
      <c r="AH392" s="2156"/>
      <c r="AI392" s="2156"/>
      <c r="AJ392" s="2156"/>
      <c r="AK392" s="2156"/>
      <c r="AL392" s="2156"/>
      <c r="AM392" s="2156"/>
      <c r="AN392" s="2156"/>
      <c r="AO392" s="2156"/>
      <c r="AP392" s="2156"/>
      <c r="AQ392" s="2156"/>
      <c r="AR392" s="2156"/>
      <c r="AS392" s="2156"/>
      <c r="AT392" s="2156"/>
      <c r="AU392" s="2156"/>
      <c r="AV392" s="2156"/>
      <c r="AW392" s="2156"/>
      <c r="AX392" s="2156"/>
      <c r="AY392" s="2156"/>
      <c r="AZ392" s="2156"/>
      <c r="BA392" s="2156"/>
      <c r="BB392" s="2156"/>
      <c r="BC392" s="2156"/>
      <c r="BD392" s="2156"/>
      <c r="BE392" s="2156"/>
      <c r="BF392" s="2156"/>
      <c r="BG392" s="2156"/>
      <c r="BH392" s="2156"/>
      <c r="BI392" s="2156"/>
    </row>
    <row r="393" spans="1:61">
      <c r="A393" s="2126"/>
      <c r="B393" s="2156"/>
      <c r="C393" s="2156"/>
      <c r="D393" s="2245"/>
      <c r="E393" s="2386"/>
      <c r="F393" s="2153"/>
      <c r="G393" s="2154"/>
      <c r="H393" s="2156"/>
      <c r="I393" s="2156"/>
      <c r="J393" s="2156"/>
      <c r="K393" s="2156"/>
      <c r="L393" s="2156"/>
      <c r="M393" s="2156"/>
      <c r="N393" s="2156"/>
      <c r="O393" s="2156"/>
      <c r="P393" s="2156"/>
      <c r="Q393" s="2156"/>
      <c r="S393" s="2156"/>
      <c r="T393" s="2156"/>
      <c r="U393" s="2156"/>
      <c r="V393" s="2156"/>
      <c r="W393" s="2156"/>
      <c r="X393" s="2156"/>
      <c r="Y393" s="2156"/>
      <c r="Z393" s="2156"/>
      <c r="AA393" s="2156"/>
      <c r="AB393" s="2156"/>
      <c r="AC393" s="2156"/>
      <c r="AD393" s="2156"/>
      <c r="AE393" s="2156"/>
      <c r="AF393" s="2156"/>
      <c r="AG393" s="2156"/>
      <c r="AH393" s="2156"/>
      <c r="AI393" s="2156"/>
      <c r="AJ393" s="2156"/>
      <c r="AK393" s="2156"/>
      <c r="AL393" s="2156"/>
      <c r="AM393" s="2156"/>
      <c r="AN393" s="2156"/>
      <c r="AO393" s="2156"/>
      <c r="AP393" s="2156"/>
      <c r="AQ393" s="2156"/>
      <c r="AR393" s="2156"/>
      <c r="AS393" s="2156"/>
      <c r="AT393" s="2156"/>
      <c r="AU393" s="2156"/>
      <c r="AV393" s="2156"/>
      <c r="AW393" s="2156"/>
      <c r="AX393" s="2156"/>
      <c r="AY393" s="2156"/>
      <c r="AZ393" s="2156"/>
      <c r="BA393" s="2156"/>
      <c r="BB393" s="2156"/>
      <c r="BC393" s="2156"/>
      <c r="BD393" s="2156"/>
      <c r="BE393" s="2156"/>
      <c r="BF393" s="2156"/>
      <c r="BG393" s="2156"/>
      <c r="BH393" s="2156"/>
      <c r="BI393" s="2156"/>
    </row>
    <row r="394" spans="1:61" s="1685" customFormat="1">
      <c r="D394" s="2245"/>
      <c r="E394" s="1685" t="s">
        <v>575</v>
      </c>
      <c r="F394" s="1685" t="s">
        <v>138</v>
      </c>
      <c r="G394" s="3047" t="s">
        <v>139</v>
      </c>
      <c r="H394" s="2235">
        <f t="shared" ref="H394:AM394" si="384">ROUND((H388*H$32-H368*H$27)/(H$32-H$27),20)</f>
        <v>5.8745067997707497E-4</v>
      </c>
      <c r="I394" s="2235">
        <f t="shared" si="384"/>
        <v>5.8745067997707497E-4</v>
      </c>
      <c r="J394" s="2235">
        <f t="shared" si="384"/>
        <v>1.7189634837535599E-5</v>
      </c>
      <c r="K394" s="2235">
        <f t="shared" si="384"/>
        <v>0</v>
      </c>
      <c r="L394" s="2235">
        <f t="shared" si="384"/>
        <v>0</v>
      </c>
      <c r="M394" s="2235">
        <f t="shared" si="384"/>
        <v>0</v>
      </c>
      <c r="N394" s="2235">
        <f t="shared" si="384"/>
        <v>0</v>
      </c>
      <c r="O394" s="2235">
        <f t="shared" si="384"/>
        <v>0</v>
      </c>
      <c r="P394" s="2235">
        <f t="shared" si="384"/>
        <v>0</v>
      </c>
      <c r="Q394" s="2235">
        <f t="shared" si="384"/>
        <v>0</v>
      </c>
      <c r="R394" s="2235">
        <f t="shared" si="384"/>
        <v>0</v>
      </c>
      <c r="S394" s="2235">
        <f t="shared" si="384"/>
        <v>0</v>
      </c>
      <c r="T394" s="2235">
        <f t="shared" si="384"/>
        <v>0</v>
      </c>
      <c r="U394" s="2235">
        <f t="shared" si="384"/>
        <v>0</v>
      </c>
      <c r="V394" s="2235">
        <f t="shared" si="384"/>
        <v>0</v>
      </c>
      <c r="W394" s="2235">
        <f t="shared" si="384"/>
        <v>0</v>
      </c>
      <c r="X394" s="2235">
        <f t="shared" si="384"/>
        <v>0</v>
      </c>
      <c r="Y394" s="2235">
        <f t="shared" si="384"/>
        <v>0</v>
      </c>
      <c r="Z394" s="2235">
        <f t="shared" si="384"/>
        <v>0</v>
      </c>
      <c r="AA394" s="2235">
        <f t="shared" si="384"/>
        <v>0</v>
      </c>
      <c r="AB394" s="2235">
        <f t="shared" si="384"/>
        <v>0</v>
      </c>
      <c r="AC394" s="2235">
        <f t="shared" si="384"/>
        <v>0</v>
      </c>
      <c r="AD394" s="2235">
        <f t="shared" si="384"/>
        <v>8.3433636456636402E-5</v>
      </c>
      <c r="AE394" s="2235">
        <f t="shared" si="384"/>
        <v>9.4267493836383998E-4</v>
      </c>
      <c r="AF394" s="2235">
        <f t="shared" si="384"/>
        <v>1.21557239849064E-2</v>
      </c>
      <c r="AG394" s="2235">
        <f t="shared" si="384"/>
        <v>0</v>
      </c>
      <c r="AH394" s="2235">
        <f t="shared" si="384"/>
        <v>0</v>
      </c>
      <c r="AI394" s="2235">
        <f t="shared" si="384"/>
        <v>0</v>
      </c>
      <c r="AJ394" s="2235">
        <f t="shared" si="384"/>
        <v>0</v>
      </c>
      <c r="AK394" s="2235">
        <f t="shared" si="384"/>
        <v>0</v>
      </c>
      <c r="AL394" s="2235">
        <f t="shared" si="384"/>
        <v>1.38843864442279E-4</v>
      </c>
      <c r="AM394" s="2235">
        <f t="shared" si="384"/>
        <v>4.2757681084895204E-3</v>
      </c>
      <c r="AN394" s="2235">
        <f t="shared" ref="AN394:BI394" si="385">ROUND((AN388*AN$32-AN368*AN$27)/(AN$32-AN$27),20)</f>
        <v>3.1990797941535402E-4</v>
      </c>
      <c r="AO394" s="2235">
        <f t="shared" si="385"/>
        <v>1.0002874728102201E-3</v>
      </c>
      <c r="AP394" s="2235">
        <f t="shared" si="385"/>
        <v>7.8697939702156996E-4</v>
      </c>
      <c r="AQ394" s="2235">
        <f t="shared" si="385"/>
        <v>1.19337608713751E-3</v>
      </c>
      <c r="AR394" s="2235">
        <f t="shared" si="385"/>
        <v>2.5626006361169598E-3</v>
      </c>
      <c r="AS394" s="2235">
        <f t="shared" si="385"/>
        <v>2.2658118850879499E-3</v>
      </c>
      <c r="AT394" s="2235">
        <f t="shared" si="385"/>
        <v>7.8264027056438902E-3</v>
      </c>
      <c r="AU394" s="2235">
        <f t="shared" si="385"/>
        <v>7.9642223147865406E-3</v>
      </c>
      <c r="AV394" s="2235">
        <f t="shared" si="385"/>
        <v>1.65176521363463E-2</v>
      </c>
      <c r="AW394" s="2235">
        <f t="shared" si="385"/>
        <v>1.6718023816415899E-2</v>
      </c>
      <c r="AX394" s="2235">
        <f t="shared" si="385"/>
        <v>2.8667965556826699E-2</v>
      </c>
      <c r="AY394" s="2235">
        <f t="shared" si="385"/>
        <v>2.90403847529337E-2</v>
      </c>
      <c r="AZ394" s="2235">
        <f t="shared" si="385"/>
        <v>2.9322782989817098E-2</v>
      </c>
      <c r="BA394" s="2235">
        <f t="shared" si="385"/>
        <v>2.9813619858737601E-2</v>
      </c>
      <c r="BB394" s="2235">
        <f t="shared" si="385"/>
        <v>2.83765380003769E-2</v>
      </c>
      <c r="BC394" s="2235">
        <f t="shared" si="385"/>
        <v>2.98695002566019E-2</v>
      </c>
      <c r="BD394" s="2235">
        <f t="shared" si="385"/>
        <v>3.5108166726236299E-3</v>
      </c>
      <c r="BE394" s="2235">
        <f t="shared" si="385"/>
        <v>1.7043315645652899E-2</v>
      </c>
      <c r="BF394" s="2235">
        <f t="shared" si="385"/>
        <v>1.7043315645652899E-2</v>
      </c>
      <c r="BG394" s="2235">
        <f t="shared" si="385"/>
        <v>0</v>
      </c>
      <c r="BH394" s="2235">
        <f t="shared" si="385"/>
        <v>2.99117155061747E-3</v>
      </c>
      <c r="BI394" s="2235">
        <f t="shared" si="385"/>
        <v>1.4788543198106701E-3</v>
      </c>
    </row>
    <row r="395" spans="1:61" ht="13.15" customHeight="1">
      <c r="B395" s="2278"/>
      <c r="D395" s="2245"/>
    </row>
    <row r="396" spans="1:61" s="529" customFormat="1" ht="13.15" customHeight="1">
      <c r="B396" s="224"/>
      <c r="C396" s="2269"/>
      <c r="D396" s="2245"/>
      <c r="E396" s="2392" t="str">
        <f>E36</f>
        <v>Période employé (40 ans)</v>
      </c>
      <c r="F396" s="2237"/>
      <c r="G396" s="526"/>
      <c r="H396" s="2161"/>
      <c r="I396" s="2161"/>
      <c r="J396" s="2161"/>
      <c r="K396" s="2161"/>
      <c r="L396" s="2161"/>
      <c r="M396" s="2161"/>
      <c r="N396" s="2161"/>
      <c r="O396" s="2161"/>
      <c r="P396" s="2161"/>
      <c r="Q396" s="2161"/>
      <c r="R396" s="2161"/>
      <c r="S396" s="2161"/>
      <c r="T396" s="2161"/>
      <c r="U396" s="2161"/>
      <c r="V396" s="2161"/>
      <c r="W396" s="2161"/>
      <c r="X396" s="2161"/>
      <c r="Y396" s="2161"/>
      <c r="Z396" s="2161"/>
      <c r="AA396" s="2161"/>
      <c r="AB396" s="2161"/>
      <c r="AC396" s="2161"/>
      <c r="AD396" s="2161"/>
      <c r="AE396" s="2161"/>
      <c r="AF396" s="2161"/>
      <c r="AG396" s="2161"/>
      <c r="AH396" s="2161"/>
      <c r="AI396" s="2161"/>
      <c r="AJ396" s="2161"/>
      <c r="AK396" s="2161"/>
      <c r="AL396" s="2161"/>
      <c r="AM396" s="2161"/>
      <c r="AN396" s="2161"/>
      <c r="AO396" s="2161"/>
      <c r="AP396" s="2161"/>
      <c r="AQ396" s="2161"/>
      <c r="AR396" s="2161"/>
      <c r="AS396" s="2161"/>
      <c r="AT396" s="2161"/>
      <c r="AU396" s="2161"/>
      <c r="AV396" s="2161"/>
      <c r="AW396" s="2161"/>
      <c r="AX396" s="2161"/>
      <c r="AY396" s="2161"/>
      <c r="AZ396" s="2161"/>
      <c r="BA396" s="2161"/>
      <c r="BB396" s="2161"/>
      <c r="BC396" s="2161"/>
      <c r="BD396" s="2161"/>
      <c r="BE396" s="2161"/>
      <c r="BF396" s="2161"/>
      <c r="BG396" s="2161"/>
      <c r="BH396" s="2161"/>
      <c r="BI396" s="2161"/>
    </row>
    <row r="397" spans="1:61" s="529" customFormat="1" ht="13.15" customHeight="1">
      <c r="B397" s="224"/>
      <c r="C397" s="2269"/>
      <c r="D397" s="2245"/>
      <c r="E397" s="2392"/>
      <c r="F397" s="2237"/>
      <c r="G397" s="526"/>
      <c r="H397" s="2161"/>
      <c r="I397" s="2161"/>
      <c r="J397" s="2161"/>
      <c r="K397" s="2161"/>
      <c r="L397" s="2161"/>
      <c r="M397" s="2161"/>
      <c r="N397" s="2161"/>
      <c r="O397" s="2161"/>
      <c r="P397" s="2161"/>
      <c r="Q397" s="2161"/>
      <c r="R397" s="2161"/>
      <c r="S397" s="2161"/>
      <c r="T397" s="2161"/>
      <c r="U397" s="2161"/>
      <c r="V397" s="2161"/>
      <c r="W397" s="2161"/>
      <c r="X397" s="2161"/>
      <c r="Y397" s="2161"/>
      <c r="Z397" s="2161"/>
      <c r="AA397" s="2161"/>
      <c r="AB397" s="2161"/>
      <c r="AC397" s="2161"/>
      <c r="AD397" s="2161"/>
      <c r="AE397" s="2161"/>
      <c r="AF397" s="2161"/>
      <c r="AG397" s="2161"/>
      <c r="AH397" s="2161"/>
      <c r="AI397" s="2161"/>
      <c r="AJ397" s="2161"/>
      <c r="AK397" s="2161"/>
      <c r="AL397" s="2161"/>
      <c r="AM397" s="2161"/>
      <c r="AN397" s="2161"/>
      <c r="AO397" s="2161"/>
      <c r="AP397" s="2161"/>
      <c r="AQ397" s="2161"/>
      <c r="AR397" s="2161"/>
      <c r="AS397" s="2161"/>
      <c r="AT397" s="2161"/>
      <c r="AU397" s="2161"/>
      <c r="AV397" s="2161"/>
      <c r="AW397" s="2161"/>
      <c r="AX397" s="2161"/>
      <c r="AY397" s="2161"/>
      <c r="AZ397" s="2161"/>
      <c r="BA397" s="2161"/>
      <c r="BB397" s="2161"/>
      <c r="BC397" s="2161"/>
      <c r="BD397" s="2161"/>
      <c r="BE397" s="2161"/>
      <c r="BF397" s="2161"/>
      <c r="BG397" s="2161"/>
      <c r="BH397" s="2161"/>
      <c r="BI397" s="2161"/>
    </row>
    <row r="398" spans="1:61">
      <c r="A398" s="2126"/>
      <c r="B398" s="2156"/>
      <c r="C398" s="2156"/>
      <c r="D398" s="2245"/>
      <c r="E398" s="525" t="str">
        <f>E17</f>
        <v>Durée d'exposition considérée</v>
      </c>
      <c r="F398" s="525" t="str">
        <f>F17</f>
        <v>t</v>
      </c>
      <c r="G398" s="526" t="str">
        <f>G17</f>
        <v>an</v>
      </c>
      <c r="H398" s="2224">
        <f t="shared" ref="H398:AL398" si="386">H399/(365*24*3600)</f>
        <v>40</v>
      </c>
      <c r="I398" s="2224">
        <f t="shared" si="386"/>
        <v>40</v>
      </c>
      <c r="J398" s="2224">
        <f>J399/(365*24*3600)</f>
        <v>40</v>
      </c>
      <c r="K398" s="2224">
        <f t="shared" si="386"/>
        <v>40</v>
      </c>
      <c r="L398" s="2224">
        <f t="shared" si="386"/>
        <v>40</v>
      </c>
      <c r="M398" s="2224">
        <f t="shared" si="386"/>
        <v>40</v>
      </c>
      <c r="N398" s="2224">
        <f>N399/(365*24*3600)</f>
        <v>40</v>
      </c>
      <c r="O398" s="2224">
        <f>O399/(365*24*3600)</f>
        <v>40</v>
      </c>
      <c r="P398" s="2224">
        <f t="shared" si="386"/>
        <v>40</v>
      </c>
      <c r="Q398" s="2224">
        <f t="shared" si="386"/>
        <v>40</v>
      </c>
      <c r="R398" s="2224">
        <f>R399/(365*24*3600)</f>
        <v>40</v>
      </c>
      <c r="S398" s="2224">
        <f>S399/(365*24*3600)</f>
        <v>40</v>
      </c>
      <c r="T398" s="2224">
        <f>T399/(365*24*3600)</f>
        <v>40</v>
      </c>
      <c r="U398" s="2224">
        <f t="shared" si="386"/>
        <v>40</v>
      </c>
      <c r="V398" s="2224">
        <f t="shared" si="386"/>
        <v>40</v>
      </c>
      <c r="W398" s="2224">
        <f t="shared" si="386"/>
        <v>40</v>
      </c>
      <c r="X398" s="2224">
        <f t="shared" si="386"/>
        <v>40</v>
      </c>
      <c r="Y398" s="2224">
        <f t="shared" si="386"/>
        <v>40</v>
      </c>
      <c r="Z398" s="2224">
        <f t="shared" si="386"/>
        <v>40</v>
      </c>
      <c r="AA398" s="2224">
        <f t="shared" si="386"/>
        <v>40</v>
      </c>
      <c r="AB398" s="2224">
        <f t="shared" si="386"/>
        <v>40</v>
      </c>
      <c r="AC398" s="2224">
        <f t="shared" si="386"/>
        <v>40</v>
      </c>
      <c r="AD398" s="2224">
        <f t="shared" si="386"/>
        <v>40</v>
      </c>
      <c r="AE398" s="2224">
        <f t="shared" si="386"/>
        <v>40</v>
      </c>
      <c r="AF398" s="2224">
        <f t="shared" si="386"/>
        <v>40</v>
      </c>
      <c r="AG398" s="2224">
        <f t="shared" si="386"/>
        <v>40</v>
      </c>
      <c r="AH398" s="2224">
        <f t="shared" si="386"/>
        <v>40</v>
      </c>
      <c r="AI398" s="2224">
        <f t="shared" si="386"/>
        <v>40</v>
      </c>
      <c r="AJ398" s="2224">
        <f t="shared" si="386"/>
        <v>40</v>
      </c>
      <c r="AK398" s="2224">
        <f t="shared" si="386"/>
        <v>40</v>
      </c>
      <c r="AL398" s="2224">
        <f t="shared" si="386"/>
        <v>40</v>
      </c>
      <c r="AM398" s="2224">
        <f t="shared" ref="AM398:BI398" si="387">AM399/(365*24*3600)</f>
        <v>40</v>
      </c>
      <c r="AN398" s="2224">
        <f t="shared" si="387"/>
        <v>40</v>
      </c>
      <c r="AO398" s="2224">
        <f t="shared" si="387"/>
        <v>40</v>
      </c>
      <c r="AP398" s="2224">
        <f t="shared" si="387"/>
        <v>40</v>
      </c>
      <c r="AQ398" s="2224">
        <f t="shared" si="387"/>
        <v>40</v>
      </c>
      <c r="AR398" s="2224">
        <f t="shared" si="387"/>
        <v>40</v>
      </c>
      <c r="AS398" s="2224">
        <f t="shared" si="387"/>
        <v>40</v>
      </c>
      <c r="AT398" s="2224">
        <f t="shared" si="387"/>
        <v>40</v>
      </c>
      <c r="AU398" s="2224">
        <f t="shared" si="387"/>
        <v>40</v>
      </c>
      <c r="AV398" s="2224">
        <f t="shared" si="387"/>
        <v>40</v>
      </c>
      <c r="AW398" s="2224">
        <f t="shared" si="387"/>
        <v>40</v>
      </c>
      <c r="AX398" s="2224">
        <f t="shared" si="387"/>
        <v>40</v>
      </c>
      <c r="AY398" s="2224">
        <f t="shared" si="387"/>
        <v>40</v>
      </c>
      <c r="AZ398" s="2224">
        <f t="shared" si="387"/>
        <v>40</v>
      </c>
      <c r="BA398" s="2224">
        <f t="shared" si="387"/>
        <v>40</v>
      </c>
      <c r="BB398" s="2224">
        <f t="shared" si="387"/>
        <v>40</v>
      </c>
      <c r="BC398" s="2224">
        <f t="shared" si="387"/>
        <v>40</v>
      </c>
      <c r="BD398" s="2224">
        <f t="shared" si="387"/>
        <v>40</v>
      </c>
      <c r="BE398" s="2224">
        <f t="shared" si="387"/>
        <v>40</v>
      </c>
      <c r="BF398" s="2224">
        <f t="shared" si="387"/>
        <v>40</v>
      </c>
      <c r="BG398" s="2224">
        <f t="shared" si="387"/>
        <v>40</v>
      </c>
      <c r="BH398" s="2224">
        <f t="shared" si="387"/>
        <v>40</v>
      </c>
      <c r="BI398" s="2224">
        <f t="shared" si="387"/>
        <v>40</v>
      </c>
    </row>
    <row r="399" spans="1:61" s="2216" customFormat="1" ht="13.15" customHeight="1">
      <c r="A399" s="2213"/>
      <c r="B399" s="2214"/>
      <c r="C399" s="2213"/>
      <c r="D399" s="2245"/>
      <c r="E399" s="2208" t="str">
        <f>E38</f>
        <v>Durée d'exposition considérée</v>
      </c>
      <c r="F399" s="2208" t="str">
        <f t="shared" ref="F399:AI399" si="388">F38</f>
        <v>t</v>
      </c>
      <c r="G399" s="2209" t="str">
        <f t="shared" si="388"/>
        <v>s</v>
      </c>
      <c r="H399" s="2161">
        <f t="shared" si="388"/>
        <v>1261440000</v>
      </c>
      <c r="I399" s="2161">
        <f t="shared" si="388"/>
        <v>1261440000</v>
      </c>
      <c r="J399" s="2161">
        <f>J38</f>
        <v>1261440000</v>
      </c>
      <c r="K399" s="2161">
        <f t="shared" si="388"/>
        <v>1261440000</v>
      </c>
      <c r="L399" s="2161">
        <f t="shared" si="388"/>
        <v>1261440000</v>
      </c>
      <c r="M399" s="2161">
        <f t="shared" si="388"/>
        <v>1261440000</v>
      </c>
      <c r="N399" s="2161">
        <f>N38</f>
        <v>1261440000</v>
      </c>
      <c r="O399" s="2161">
        <f>O38</f>
        <v>1261440000</v>
      </c>
      <c r="P399" s="2161">
        <f t="shared" si="388"/>
        <v>1261440000</v>
      </c>
      <c r="Q399" s="2161">
        <f t="shared" si="388"/>
        <v>1261440000</v>
      </c>
      <c r="R399" s="2161">
        <f>R38</f>
        <v>1261440000</v>
      </c>
      <c r="S399" s="2161">
        <f>S38</f>
        <v>1261440000</v>
      </c>
      <c r="T399" s="2161">
        <f>T38</f>
        <v>1261440000</v>
      </c>
      <c r="U399" s="2161">
        <f t="shared" si="388"/>
        <v>1261440000</v>
      </c>
      <c r="V399" s="2161">
        <f t="shared" si="388"/>
        <v>1261440000</v>
      </c>
      <c r="W399" s="2161">
        <f t="shared" si="388"/>
        <v>1261440000</v>
      </c>
      <c r="X399" s="2161">
        <f t="shared" si="388"/>
        <v>1261440000</v>
      </c>
      <c r="Y399" s="2161">
        <f t="shared" si="388"/>
        <v>1261440000</v>
      </c>
      <c r="Z399" s="2161">
        <f t="shared" si="388"/>
        <v>1261440000</v>
      </c>
      <c r="AA399" s="2215">
        <f t="shared" si="388"/>
        <v>1261440000</v>
      </c>
      <c r="AB399" s="2161">
        <f t="shared" si="388"/>
        <v>1261440000</v>
      </c>
      <c r="AC399" s="2161">
        <f t="shared" si="388"/>
        <v>1261440000</v>
      </c>
      <c r="AD399" s="2161">
        <f t="shared" si="388"/>
        <v>1261440000</v>
      </c>
      <c r="AE399" s="2161">
        <f t="shared" si="388"/>
        <v>1261440000</v>
      </c>
      <c r="AF399" s="2161">
        <f t="shared" si="388"/>
        <v>1261440000</v>
      </c>
      <c r="AG399" s="2161">
        <f t="shared" si="388"/>
        <v>1261440000</v>
      </c>
      <c r="AH399" s="2161">
        <f t="shared" si="388"/>
        <v>1261440000</v>
      </c>
      <c r="AI399" s="2161">
        <f t="shared" si="388"/>
        <v>1261440000</v>
      </c>
      <c r="AJ399" s="2161">
        <f t="shared" ref="AJ399:BI399" si="389">AJ38</f>
        <v>1261440000</v>
      </c>
      <c r="AK399" s="2161">
        <f t="shared" si="389"/>
        <v>1261440000</v>
      </c>
      <c r="AL399" s="2161">
        <f t="shared" si="389"/>
        <v>1261440000</v>
      </c>
      <c r="AM399" s="2161">
        <f t="shared" si="389"/>
        <v>1261440000</v>
      </c>
      <c r="AN399" s="2155">
        <f t="shared" si="389"/>
        <v>1261440000</v>
      </c>
      <c r="AO399" s="2161">
        <f t="shared" si="389"/>
        <v>1261440000</v>
      </c>
      <c r="AP399" s="2161">
        <f t="shared" si="389"/>
        <v>1261440000</v>
      </c>
      <c r="AQ399" s="2161">
        <f t="shared" si="389"/>
        <v>1261440000</v>
      </c>
      <c r="AR399" s="2161">
        <f t="shared" si="389"/>
        <v>1261440000</v>
      </c>
      <c r="AS399" s="2161">
        <f t="shared" si="389"/>
        <v>1261440000</v>
      </c>
      <c r="AT399" s="2161">
        <f t="shared" si="389"/>
        <v>1261440000</v>
      </c>
      <c r="AU399" s="2161">
        <f t="shared" si="389"/>
        <v>1261440000</v>
      </c>
      <c r="AV399" s="2161">
        <f t="shared" si="389"/>
        <v>1261440000</v>
      </c>
      <c r="AW399" s="2161">
        <f t="shared" si="389"/>
        <v>1261440000</v>
      </c>
      <c r="AX399" s="2161">
        <f t="shared" si="389"/>
        <v>1261440000</v>
      </c>
      <c r="AY399" s="2161">
        <f t="shared" si="389"/>
        <v>1261440000</v>
      </c>
      <c r="AZ399" s="2161">
        <f t="shared" si="389"/>
        <v>1261440000</v>
      </c>
      <c r="BA399" s="2161">
        <f t="shared" si="389"/>
        <v>1261440000</v>
      </c>
      <c r="BB399" s="2161">
        <f t="shared" si="389"/>
        <v>1261440000</v>
      </c>
      <c r="BC399" s="2161">
        <f t="shared" si="389"/>
        <v>1261440000</v>
      </c>
      <c r="BD399" s="2161">
        <f t="shared" si="389"/>
        <v>1261440000</v>
      </c>
      <c r="BE399" s="2161">
        <f t="shared" si="389"/>
        <v>1261440000</v>
      </c>
      <c r="BF399" s="2161">
        <f t="shared" si="389"/>
        <v>1261440000</v>
      </c>
      <c r="BG399" s="2161">
        <f t="shared" si="389"/>
        <v>1261440000</v>
      </c>
      <c r="BH399" s="2161">
        <f t="shared" si="389"/>
        <v>1261440000</v>
      </c>
      <c r="BI399" s="2161">
        <f t="shared" si="389"/>
        <v>1261440000</v>
      </c>
    </row>
    <row r="400" spans="1:61" ht="13.15" customHeight="1">
      <c r="A400" s="2149"/>
      <c r="B400" s="2150"/>
      <c r="C400" s="2151"/>
      <c r="D400" s="2245"/>
      <c r="E400" s="45" t="s">
        <v>579</v>
      </c>
      <c r="F400" s="2153" t="s">
        <v>1132</v>
      </c>
      <c r="G400" s="2154" t="str">
        <f>Sols!T35</f>
        <v>m3/m/Pa/s</v>
      </c>
      <c r="H400" s="2155">
        <f>Sols!$U15</f>
        <v>3.0472745960090518E-7</v>
      </c>
      <c r="I400" s="2155">
        <f>Sols!$U15</f>
        <v>3.0472745960090518E-7</v>
      </c>
      <c r="J400" s="2155">
        <f>Sols!$U15</f>
        <v>3.0472745960090518E-7</v>
      </c>
      <c r="K400" s="2155">
        <f>Sols!$U15</f>
        <v>3.0472745960090518E-7</v>
      </c>
      <c r="L400" s="2155">
        <f>Sols!$U15</f>
        <v>3.0472745960090518E-7</v>
      </c>
      <c r="M400" s="2155">
        <f>Sols!$U15</f>
        <v>3.0472745960090518E-7</v>
      </c>
      <c r="N400" s="2155">
        <f>Sols!$U15</f>
        <v>3.0472745960090518E-7</v>
      </c>
      <c r="O400" s="2155">
        <f>Sols!$U15</f>
        <v>3.0472745960090518E-7</v>
      </c>
      <c r="P400" s="2155">
        <f>Sols!$U15</f>
        <v>3.0472745960090518E-7</v>
      </c>
      <c r="Q400" s="2155">
        <f>Sols!$U15</f>
        <v>3.0472745960090518E-7</v>
      </c>
      <c r="R400" s="2155">
        <f>Sols!$U15</f>
        <v>3.0472745960090518E-7</v>
      </c>
      <c r="S400" s="2155">
        <f>Sols!$U15</f>
        <v>3.0472745960090518E-7</v>
      </c>
      <c r="T400" s="2155">
        <f>Sols!$U15</f>
        <v>3.0472745960090518E-7</v>
      </c>
      <c r="U400" s="2155">
        <f>Sols!$U15</f>
        <v>3.0472745960090518E-7</v>
      </c>
      <c r="V400" s="2155">
        <f>Sols!$U15</f>
        <v>3.0472745960090518E-7</v>
      </c>
      <c r="W400" s="2155">
        <f>Sols!$U15</f>
        <v>3.0472745960090518E-7</v>
      </c>
      <c r="X400" s="2155">
        <f>Sols!$U15</f>
        <v>3.0472745960090518E-7</v>
      </c>
      <c r="Y400" s="2155">
        <f>Sols!$U15</f>
        <v>3.0472745960090518E-7</v>
      </c>
      <c r="Z400" s="2155">
        <f>Sols!$U15</f>
        <v>3.0472745960090518E-7</v>
      </c>
      <c r="AA400" s="2155">
        <f>Sols!$U15</f>
        <v>3.0472745960090518E-7</v>
      </c>
      <c r="AB400" s="2155">
        <f>Sols!$U15</f>
        <v>3.0472745960090518E-7</v>
      </c>
      <c r="AC400" s="2155">
        <f>Sols!$U15</f>
        <v>3.0472745960090518E-7</v>
      </c>
      <c r="AD400" s="2155">
        <f>Sols!$U15</f>
        <v>3.0472745960090518E-7</v>
      </c>
      <c r="AE400" s="2155">
        <f>Sols!$U15</f>
        <v>3.0472745960090518E-7</v>
      </c>
      <c r="AF400" s="2155">
        <f>Sols!$U15</f>
        <v>3.0472745960090518E-7</v>
      </c>
      <c r="AG400" s="2155">
        <f>Sols!$U15</f>
        <v>3.0472745960090518E-7</v>
      </c>
      <c r="AH400" s="2155">
        <f>Sols!$U15</f>
        <v>3.0472745960090518E-7</v>
      </c>
      <c r="AI400" s="2155">
        <f>Sols!$U15</f>
        <v>3.0472745960090518E-7</v>
      </c>
      <c r="AJ400" s="2155">
        <f>Sols!$U15</f>
        <v>3.0472745960090518E-7</v>
      </c>
      <c r="AK400" s="2155">
        <f>Sols!$U15</f>
        <v>3.0472745960090518E-7</v>
      </c>
      <c r="AL400" s="2155">
        <f>Sols!$U15</f>
        <v>3.0472745960090518E-7</v>
      </c>
      <c r="AM400" s="2155">
        <f>Sols!$U15</f>
        <v>3.0472745960090518E-7</v>
      </c>
      <c r="AN400" s="2155">
        <f>Sols!$U15</f>
        <v>3.0472745960090518E-7</v>
      </c>
      <c r="AO400" s="2155">
        <f>Sols!$U15</f>
        <v>3.0472745960090518E-7</v>
      </c>
      <c r="AP400" s="2155">
        <f>Sols!$U15</f>
        <v>3.0472745960090518E-7</v>
      </c>
      <c r="AQ400" s="2155">
        <f>Sols!$U15</f>
        <v>3.0472745960090518E-7</v>
      </c>
      <c r="AR400" s="2155">
        <f>Sols!$U15</f>
        <v>3.0472745960090518E-7</v>
      </c>
      <c r="AS400" s="2155">
        <f>Sols!$U15</f>
        <v>3.0472745960090518E-7</v>
      </c>
      <c r="AT400" s="2155">
        <f>Sols!$U15</f>
        <v>3.0472745960090518E-7</v>
      </c>
      <c r="AU400" s="2155">
        <f>Sols!$U15</f>
        <v>3.0472745960090518E-7</v>
      </c>
      <c r="AV400" s="2155">
        <f>Sols!$U15</f>
        <v>3.0472745960090518E-7</v>
      </c>
      <c r="AW400" s="2155">
        <f>Sols!$U15</f>
        <v>3.0472745960090518E-7</v>
      </c>
      <c r="AX400" s="2155">
        <f>Sols!$U15</f>
        <v>3.0472745960090518E-7</v>
      </c>
      <c r="AY400" s="2155">
        <f>Sols!$U15</f>
        <v>3.0472745960090518E-7</v>
      </c>
      <c r="AZ400" s="2155">
        <f>Sols!$U15</f>
        <v>3.0472745960090518E-7</v>
      </c>
      <c r="BA400" s="2155">
        <f>Sols!$U15</f>
        <v>3.0472745960090518E-7</v>
      </c>
      <c r="BB400" s="2155">
        <f>Sols!$U15</f>
        <v>3.0472745960090518E-7</v>
      </c>
      <c r="BC400" s="2155">
        <f>Sols!$U15</f>
        <v>3.0472745960090518E-7</v>
      </c>
      <c r="BD400" s="2155">
        <f>Sols!$U15</f>
        <v>3.0472745960090518E-7</v>
      </c>
      <c r="BE400" s="2155">
        <f>Sols!$U15</f>
        <v>3.0472745960090518E-7</v>
      </c>
      <c r="BF400" s="2155">
        <f>Sols!$U15</f>
        <v>3.0472745960090518E-7</v>
      </c>
      <c r="BG400" s="2155">
        <f>Sols!$U15</f>
        <v>3.0472745960090518E-7</v>
      </c>
      <c r="BH400" s="2155">
        <f>Sols!$U15</f>
        <v>3.0472745960090518E-7</v>
      </c>
      <c r="BI400" s="2155">
        <f>Sols!$U15</f>
        <v>3.0472745960090518E-7</v>
      </c>
    </row>
    <row r="401" spans="1:61" ht="13.15" customHeight="1">
      <c r="A401" s="2149"/>
      <c r="B401" s="2150"/>
      <c r="C401" s="2151"/>
      <c r="D401" s="2245"/>
      <c r="E401" s="45"/>
      <c r="F401" s="2153"/>
      <c r="G401" s="2154"/>
      <c r="H401" s="2155"/>
      <c r="I401" s="2155"/>
      <c r="J401" s="2155"/>
      <c r="K401" s="2155"/>
      <c r="L401" s="2155"/>
      <c r="M401" s="2155"/>
      <c r="N401" s="2155"/>
      <c r="O401" s="2155"/>
      <c r="P401" s="2155"/>
      <c r="Q401" s="2155"/>
      <c r="R401" s="2155"/>
      <c r="S401" s="2155"/>
      <c r="T401" s="2155"/>
      <c r="U401" s="2155"/>
      <c r="V401" s="2155"/>
      <c r="W401" s="2155"/>
      <c r="X401" s="2155"/>
      <c r="Y401" s="2155"/>
      <c r="Z401" s="2155"/>
      <c r="AA401" s="2155"/>
      <c r="AB401" s="2155"/>
      <c r="AC401" s="2155"/>
      <c r="AD401" s="2155"/>
      <c r="AE401" s="2155"/>
      <c r="AF401" s="2155"/>
      <c r="AG401" s="2155"/>
      <c r="AH401" s="2155"/>
      <c r="AI401" s="2155"/>
      <c r="AJ401" s="2155"/>
      <c r="AK401" s="2155"/>
      <c r="AL401" s="2155"/>
      <c r="AM401" s="2155"/>
      <c r="AN401" s="2155"/>
      <c r="AO401" s="2155"/>
      <c r="AP401" s="2155"/>
      <c r="AQ401" s="2155"/>
      <c r="AR401" s="2155"/>
      <c r="AS401" s="2155"/>
      <c r="AT401" s="2155"/>
      <c r="AU401" s="2155"/>
      <c r="AV401" s="2155"/>
      <c r="AW401" s="2155"/>
      <c r="AX401" s="2155"/>
      <c r="AY401" s="2155"/>
      <c r="AZ401" s="2155"/>
      <c r="BA401" s="2155"/>
      <c r="BB401" s="2155"/>
      <c r="BC401" s="2155"/>
      <c r="BD401" s="2155"/>
      <c r="BE401" s="2155"/>
      <c r="BF401" s="2155"/>
      <c r="BG401" s="2155"/>
      <c r="BH401" s="2155"/>
      <c r="BI401" s="2155"/>
    </row>
    <row r="402" spans="1:61" ht="13.15" customHeight="1">
      <c r="A402" s="2149"/>
      <c r="B402" s="2150"/>
      <c r="C402" s="2151"/>
      <c r="D402" s="2245"/>
      <c r="E402" s="3662" t="s">
        <v>1143</v>
      </c>
      <c r="F402" s="2153"/>
      <c r="G402" s="2154"/>
      <c r="H402" s="2155"/>
      <c r="I402" s="2155"/>
      <c r="J402" s="2155"/>
      <c r="K402" s="2155"/>
      <c r="L402" s="2155"/>
      <c r="M402" s="2155"/>
      <c r="N402" s="2155"/>
      <c r="O402" s="2155"/>
      <c r="P402" s="2155"/>
      <c r="Q402" s="2155"/>
      <c r="R402" s="2155"/>
      <c r="S402" s="2155"/>
      <c r="T402" s="2155"/>
      <c r="U402" s="2155"/>
      <c r="V402" s="2155"/>
      <c r="W402" s="2155"/>
      <c r="X402" s="2155"/>
      <c r="Y402" s="2155"/>
      <c r="Z402" s="2155"/>
      <c r="AA402" s="2155"/>
      <c r="AB402" s="2155"/>
      <c r="AC402" s="2155"/>
      <c r="AD402" s="2155"/>
      <c r="AE402" s="2155"/>
      <c r="AF402" s="2155"/>
      <c r="AG402" s="2155"/>
      <c r="AH402" s="2155"/>
      <c r="AI402" s="2155"/>
      <c r="AJ402" s="2155"/>
      <c r="AK402" s="2155"/>
      <c r="AL402" s="2155"/>
      <c r="AM402" s="2155"/>
      <c r="AN402" s="2155"/>
      <c r="AO402" s="2155"/>
      <c r="AP402" s="2155"/>
      <c r="AQ402" s="2155"/>
      <c r="AR402" s="2155"/>
      <c r="AS402" s="2155"/>
      <c r="AT402" s="2155"/>
      <c r="AU402" s="2155"/>
      <c r="AV402" s="2155"/>
      <c r="AW402" s="2155"/>
      <c r="AX402" s="2155"/>
      <c r="AY402" s="2155"/>
      <c r="AZ402" s="2155"/>
      <c r="BA402" s="2155"/>
      <c r="BB402" s="2155"/>
      <c r="BC402" s="2155"/>
      <c r="BD402" s="2155"/>
      <c r="BE402" s="2155"/>
      <c r="BF402" s="2155"/>
      <c r="BG402" s="2155"/>
      <c r="BH402" s="2155"/>
      <c r="BI402" s="2155"/>
    </row>
    <row r="403" spans="1:61" s="2274" customFormat="1" ht="13.15" customHeight="1">
      <c r="A403" s="2270"/>
      <c r="B403" s="2271"/>
      <c r="C403" s="2272"/>
      <c r="D403" s="2245"/>
      <c r="E403" s="3655" t="s">
        <v>297</v>
      </c>
      <c r="F403" s="2225" t="s">
        <v>1131</v>
      </c>
      <c r="G403" s="2226" t="s">
        <v>73</v>
      </c>
      <c r="H403" s="2273">
        <f t="shared" ref="H403:AM403" si="390">(2*H400*H13*H211/H14*H399+(H41+H400*H223)^2)^0.5-H400*H223</f>
        <v>2.283554368699976</v>
      </c>
      <c r="I403" s="2273">
        <f t="shared" si="390"/>
        <v>2.283554368699976</v>
      </c>
      <c r="J403" s="2273">
        <f t="shared" si="390"/>
        <v>5.9138215472213309</v>
      </c>
      <c r="K403" s="2273">
        <f t="shared" si="390"/>
        <v>88.839528550289472</v>
      </c>
      <c r="L403" s="2273">
        <f t="shared" si="390"/>
        <v>38.390686419418955</v>
      </c>
      <c r="M403" s="2273">
        <f t="shared" si="390"/>
        <v>38.390686419418955</v>
      </c>
      <c r="N403" s="2273">
        <f t="shared" si="390"/>
        <v>53.931997351270404</v>
      </c>
      <c r="O403" s="2273">
        <f t="shared" si="390"/>
        <v>53.931997351270404</v>
      </c>
      <c r="P403" s="2273">
        <f t="shared" si="390"/>
        <v>56.353439816007494</v>
      </c>
      <c r="Q403" s="2273">
        <f t="shared" si="390"/>
        <v>56.353439816007494</v>
      </c>
      <c r="R403" s="2273">
        <f t="shared" si="390"/>
        <v>35.713895674185551</v>
      </c>
      <c r="S403" s="2273">
        <f t="shared" si="390"/>
        <v>34.591011720005291</v>
      </c>
      <c r="T403" s="2273">
        <f t="shared" si="390"/>
        <v>34.591011720005291</v>
      </c>
      <c r="U403" s="2273">
        <f t="shared" si="390"/>
        <v>75.102668721357091</v>
      </c>
      <c r="V403" s="2273">
        <f t="shared" si="390"/>
        <v>96.095907727687006</v>
      </c>
      <c r="W403" s="2273">
        <f t="shared" si="390"/>
        <v>96.095907727687006</v>
      </c>
      <c r="X403" s="2273">
        <f t="shared" si="390"/>
        <v>42.066814545865029</v>
      </c>
      <c r="Y403" s="2273">
        <f t="shared" si="390"/>
        <v>35.013862692535618</v>
      </c>
      <c r="Z403" s="2273">
        <f t="shared" si="390"/>
        <v>26.935752177877259</v>
      </c>
      <c r="AA403" s="2273">
        <f t="shared" si="390"/>
        <v>22.054632397988087</v>
      </c>
      <c r="AB403" s="2273">
        <f t="shared" si="390"/>
        <v>23.45705046613871</v>
      </c>
      <c r="AC403" s="2273">
        <f t="shared" si="390"/>
        <v>10.339207128363711</v>
      </c>
      <c r="AD403" s="2273">
        <f t="shared" si="390"/>
        <v>4.5516389630771288</v>
      </c>
      <c r="AE403" s="2273">
        <f t="shared" si="390"/>
        <v>1.5813170957934377</v>
      </c>
      <c r="AF403" s="2273">
        <f t="shared" si="390"/>
        <v>7.128322181161148E-2</v>
      </c>
      <c r="AG403" s="2273">
        <f t="shared" si="390"/>
        <v>112.64705502078577</v>
      </c>
      <c r="AH403" s="2273">
        <f t="shared" si="390"/>
        <v>97.46770472398957</v>
      </c>
      <c r="AI403" s="2273">
        <f t="shared" si="390"/>
        <v>62.136798751160761</v>
      </c>
      <c r="AJ403" s="2273">
        <f t="shared" si="390"/>
        <v>30.295459496229274</v>
      </c>
      <c r="AK403" s="2273">
        <f t="shared" si="390"/>
        <v>14.443667512328933</v>
      </c>
      <c r="AL403" s="2273">
        <f t="shared" si="390"/>
        <v>3.9474612811067722</v>
      </c>
      <c r="AM403" s="2273">
        <f t="shared" si="390"/>
        <v>0.29350018240578096</v>
      </c>
      <c r="AN403" s="2273">
        <f t="shared" ref="AN403:BI403" si="391">(2*AN400*AN13*AN211/AN14*AN399+(AN41+AN400*AN223)^2)^0.5-AN400*AN223</f>
        <v>2.9197442695661513</v>
      </c>
      <c r="AO403" s="2273">
        <f t="shared" si="391"/>
        <v>1.5067863445259959</v>
      </c>
      <c r="AP403" s="2273">
        <f t="shared" si="391"/>
        <v>1.9606106042211886</v>
      </c>
      <c r="AQ403" s="2273">
        <f t="shared" si="391"/>
        <v>1.2331403619765715</v>
      </c>
      <c r="AR403" s="2273">
        <f t="shared" si="391"/>
        <v>0.53039506415117943</v>
      </c>
      <c r="AS403" s="2273">
        <f t="shared" si="391"/>
        <v>0.60798699059952799</v>
      </c>
      <c r="AT403" s="2273">
        <f t="shared" si="391"/>
        <v>0.13883086767905181</v>
      </c>
      <c r="AU403" s="2273">
        <f t="shared" si="391"/>
        <v>0.13556514921976734</v>
      </c>
      <c r="AV403" s="2273">
        <f t="shared" si="391"/>
        <v>3.8956370093796565E-2</v>
      </c>
      <c r="AW403" s="2273">
        <f t="shared" si="391"/>
        <v>3.7876815468237131E-2</v>
      </c>
      <c r="AX403" s="2273">
        <f t="shared" si="391"/>
        <v>1.907339656030814E-3</v>
      </c>
      <c r="AY403" s="2273">
        <f t="shared" si="391"/>
        <v>1.3182969923149213E-3</v>
      </c>
      <c r="AZ403" s="2273">
        <f t="shared" si="391"/>
        <v>8.8495944628561723E-4</v>
      </c>
      <c r="BA403" s="2273">
        <f t="shared" si="391"/>
        <v>1.5420743290226607E-4</v>
      </c>
      <c r="BB403" s="2273">
        <f t="shared" si="391"/>
        <v>2.3770125996802269E-3</v>
      </c>
      <c r="BC403" s="2273">
        <f t="shared" si="391"/>
        <v>6.498472454596893E-10</v>
      </c>
      <c r="BD403" s="2273">
        <f t="shared" si="391"/>
        <v>0.39901840604526756</v>
      </c>
      <c r="BE403" s="2273">
        <f t="shared" si="391"/>
        <v>3.6145738344517626E-2</v>
      </c>
      <c r="BF403" s="2273">
        <f t="shared" si="391"/>
        <v>3.6145738344517626E-2</v>
      </c>
      <c r="BG403" s="2273">
        <f t="shared" si="391"/>
        <v>87.878516625746627</v>
      </c>
      <c r="BH403" s="2273">
        <f t="shared" si="391"/>
        <v>0.46584250458637894</v>
      </c>
      <c r="BI403" s="2273">
        <f t="shared" si="391"/>
        <v>1.3645115135892614</v>
      </c>
    </row>
    <row r="404" spans="1:61" s="2244" customFormat="1" ht="27" customHeight="1">
      <c r="A404" s="2241"/>
      <c r="B404" s="276"/>
      <c r="C404" s="2242"/>
      <c r="D404" s="2245"/>
      <c r="E404" s="3655" t="s">
        <v>610</v>
      </c>
      <c r="F404" s="2153" t="s">
        <v>138</v>
      </c>
      <c r="G404" s="2154" t="s">
        <v>139</v>
      </c>
      <c r="H404" s="2155">
        <f t="shared" ref="H404:AM404" si="392">1000*H14/H13*(H403-H41)/H399</f>
        <v>1.0307164493375918E-3</v>
      </c>
      <c r="I404" s="2155">
        <f t="shared" si="392"/>
        <v>1.0307164493375918E-3</v>
      </c>
      <c r="J404" s="2155">
        <f t="shared" si="392"/>
        <v>4.0661249272993958E-4</v>
      </c>
      <c r="K404" s="2155">
        <f t="shared" si="392"/>
        <v>2.7415523021577844E-5</v>
      </c>
      <c r="L404" s="2155">
        <f t="shared" si="392"/>
        <v>6.3365578445928676E-5</v>
      </c>
      <c r="M404" s="2155">
        <f t="shared" si="392"/>
        <v>6.3365578445928676E-5</v>
      </c>
      <c r="N404" s="2155">
        <f t="shared" si="392"/>
        <v>4.5133430998266349E-5</v>
      </c>
      <c r="O404" s="2155">
        <f t="shared" si="392"/>
        <v>4.5133430998266349E-5</v>
      </c>
      <c r="P404" s="2155">
        <f t="shared" si="392"/>
        <v>4.3196904039376221E-5</v>
      </c>
      <c r="Q404" s="2155">
        <f t="shared" si="392"/>
        <v>4.3196904039376221E-5</v>
      </c>
      <c r="R404" s="2155">
        <f t="shared" si="392"/>
        <v>6.8104060661263472E-5</v>
      </c>
      <c r="S404" s="2155">
        <f t="shared" si="392"/>
        <v>7.0309632106549429E-5</v>
      </c>
      <c r="T404" s="2155">
        <f t="shared" si="392"/>
        <v>7.0309632106549429E-5</v>
      </c>
      <c r="U404" s="2155">
        <f t="shared" si="392"/>
        <v>3.2424591071803596E-5</v>
      </c>
      <c r="V404" s="2155">
        <f t="shared" si="392"/>
        <v>2.5347083085318651E-5</v>
      </c>
      <c r="W404" s="2155">
        <f t="shared" si="392"/>
        <v>2.5347083085318651E-5</v>
      </c>
      <c r="X404" s="2155">
        <f t="shared" si="392"/>
        <v>5.7838919827472542E-5</v>
      </c>
      <c r="Y404" s="2155">
        <f t="shared" si="392"/>
        <v>6.9462500290958665E-5</v>
      </c>
      <c r="Z404" s="2155">
        <f t="shared" si="392"/>
        <v>9.0231575830946792E-5</v>
      </c>
      <c r="AA404" s="2155">
        <f t="shared" si="392"/>
        <v>1.1012795248728787E-4</v>
      </c>
      <c r="AB404" s="2155">
        <f t="shared" si="392"/>
        <v>1.0356660234942668E-4</v>
      </c>
      <c r="AC404" s="2155">
        <f t="shared" si="392"/>
        <v>2.3393735035652475E-4</v>
      </c>
      <c r="AD404" s="2155">
        <f t="shared" si="392"/>
        <v>5.2615706744321407E-4</v>
      </c>
      <c r="AE404" s="2155">
        <f t="shared" si="392"/>
        <v>1.4659760810910435E-3</v>
      </c>
      <c r="AF404" s="2155">
        <f t="shared" si="392"/>
        <v>1.5943997078787183E-2</v>
      </c>
      <c r="AG404" s="2155">
        <f t="shared" si="392"/>
        <v>2.1625551526578284E-5</v>
      </c>
      <c r="AH404" s="2155">
        <f t="shared" si="392"/>
        <v>2.4990637214688973E-5</v>
      </c>
      <c r="AI404" s="2155">
        <f t="shared" si="392"/>
        <v>3.9181642589485233E-5</v>
      </c>
      <c r="AJ404" s="2155">
        <f t="shared" si="392"/>
        <v>8.0251955216179688E-5</v>
      </c>
      <c r="AK404" s="2155">
        <f t="shared" si="392"/>
        <v>1.6783285008498908E-4</v>
      </c>
      <c r="AL404" s="2155">
        <f t="shared" si="392"/>
        <v>6.0505661695930675E-4</v>
      </c>
      <c r="AM404" s="2155">
        <f t="shared" si="392"/>
        <v>6.4988445109530821E-3</v>
      </c>
      <c r="AN404" s="2155">
        <f t="shared" ref="AN404:BI404" si="393">1000*AN14/AN13*(AN403-AN41)/AN399</f>
        <v>8.1223835730861668E-4</v>
      </c>
      <c r="AO404" s="2155">
        <f t="shared" si="393"/>
        <v>1.5347623813062969E-3</v>
      </c>
      <c r="AP404" s="2155">
        <f t="shared" si="393"/>
        <v>1.1937069330533354E-3</v>
      </c>
      <c r="AQ404" s="2155">
        <f t="shared" si="393"/>
        <v>1.8541992545686946E-3</v>
      </c>
      <c r="AR404" s="2155">
        <f t="shared" si="393"/>
        <v>3.98329554156872E-3</v>
      </c>
      <c r="AS404" s="2155">
        <f t="shared" si="393"/>
        <v>3.5351076401386773E-3</v>
      </c>
      <c r="AT404" s="2155">
        <f t="shared" si="393"/>
        <v>1.1058552196003157E-2</v>
      </c>
      <c r="AU404" s="2155">
        <f t="shared" si="393"/>
        <v>1.1224838133050644E-2</v>
      </c>
      <c r="AV404" s="2155">
        <f t="shared" si="393"/>
        <v>2.0218779004729074E-2</v>
      </c>
      <c r="AW404" s="2155">
        <f t="shared" si="393"/>
        <v>2.0401445505536697E-2</v>
      </c>
      <c r="AX404" s="2155">
        <f t="shared" si="393"/>
        <v>2.9187397995014071E-2</v>
      </c>
      <c r="AY404" s="2155">
        <f t="shared" si="393"/>
        <v>2.9394702924268785E-2</v>
      </c>
      <c r="AZ404" s="2155">
        <f t="shared" si="393"/>
        <v>2.954909964407168E-2</v>
      </c>
      <c r="BA404" s="2155">
        <f t="shared" si="393"/>
        <v>2.9813170736626208E-2</v>
      </c>
      <c r="BB404" s="2155">
        <f t="shared" si="393"/>
        <v>2.9024187001629297E-2</v>
      </c>
      <c r="BC404" s="2155">
        <f t="shared" si="393"/>
        <v>2.9869500572335769E-2</v>
      </c>
      <c r="BD404" s="2155">
        <f t="shared" si="393"/>
        <v>5.0720906758332839E-3</v>
      </c>
      <c r="BE404" s="2155">
        <f t="shared" si="393"/>
        <v>2.0701344024777666E-2</v>
      </c>
      <c r="BF404" s="2155">
        <f t="shared" si="393"/>
        <v>2.0701344024777666E-2</v>
      </c>
      <c r="BG404" s="2155">
        <f t="shared" si="393"/>
        <v>2.7715052408927053E-5</v>
      </c>
      <c r="BH404" s="2155">
        <f t="shared" si="393"/>
        <v>4.4529787593550378E-3</v>
      </c>
      <c r="BI404" s="2155">
        <f t="shared" si="393"/>
        <v>1.685757438299995E-3</v>
      </c>
    </row>
    <row r="405" spans="1:61" s="2244" customFormat="1" ht="27" customHeight="1">
      <c r="A405" s="2241"/>
      <c r="B405" s="276"/>
      <c r="C405" s="2242"/>
      <c r="D405" s="2245"/>
      <c r="E405" s="3655" t="s">
        <v>611</v>
      </c>
      <c r="F405" s="2153" t="s">
        <v>138</v>
      </c>
      <c r="G405" s="2154" t="s">
        <v>139</v>
      </c>
      <c r="H405" s="2161">
        <f t="shared" ref="H405:AL405" si="394">MIN(H404,H$39)</f>
        <v>1.0307164493375918E-3</v>
      </c>
      <c r="I405" s="2161">
        <f t="shared" si="394"/>
        <v>1.0307164493375918E-3</v>
      </c>
      <c r="J405" s="2161">
        <f>MIN(J404,J$39)</f>
        <v>2.0626890217256754E-4</v>
      </c>
      <c r="K405" s="2161">
        <f t="shared" si="394"/>
        <v>9.2578799557874888E-7</v>
      </c>
      <c r="L405" s="2161">
        <f t="shared" si="394"/>
        <v>4.9516367918243421E-6</v>
      </c>
      <c r="M405" s="2161">
        <f t="shared" si="394"/>
        <v>4.9516367918243421E-6</v>
      </c>
      <c r="N405" s="2161">
        <f>MIN(N404,N$39)</f>
        <v>2.5105744204671032E-6</v>
      </c>
      <c r="O405" s="2161">
        <f>MIN(O404,O$39)</f>
        <v>2.5105744204671032E-6</v>
      </c>
      <c r="P405" s="2161">
        <f t="shared" si="394"/>
        <v>2.2996060673712017E-6</v>
      </c>
      <c r="Q405" s="2161">
        <f t="shared" si="394"/>
        <v>2.2996060673712017E-6</v>
      </c>
      <c r="R405" s="2161">
        <f>MIN(R404,R$39)</f>
        <v>5.720803573144495E-6</v>
      </c>
      <c r="S405" s="2161">
        <f>MIN(S404,S$39)</f>
        <v>6.0977949424260457E-6</v>
      </c>
      <c r="T405" s="2161">
        <f>MIN(T404,T$39)</f>
        <v>6.0977949424260457E-6</v>
      </c>
      <c r="U405" s="2161">
        <f t="shared" si="394"/>
        <v>1.2952106079786864E-6</v>
      </c>
      <c r="V405" s="2161">
        <f t="shared" si="394"/>
        <v>7.9130580119435269E-7</v>
      </c>
      <c r="W405" s="2161">
        <f t="shared" si="394"/>
        <v>7.9130580119435269E-7</v>
      </c>
      <c r="X405" s="2161">
        <f t="shared" si="394"/>
        <v>4.124789608046837E-6</v>
      </c>
      <c r="Y405" s="2161">
        <f t="shared" si="394"/>
        <v>5.9515713162747051E-6</v>
      </c>
      <c r="Z405" s="2161">
        <f t="shared" si="394"/>
        <v>1.004964426852598E-5</v>
      </c>
      <c r="AA405" s="2161">
        <f t="shared" si="394"/>
        <v>1.4980247754752993E-5</v>
      </c>
      <c r="AB405" s="2161">
        <f t="shared" si="394"/>
        <v>1.3245476343958458E-5</v>
      </c>
      <c r="AC405" s="2161">
        <f t="shared" si="394"/>
        <v>6.7878710848560343E-5</v>
      </c>
      <c r="AD405" s="2161">
        <f t="shared" si="394"/>
        <v>3.4679182930241005E-4</v>
      </c>
      <c r="AE405" s="2161">
        <f t="shared" si="394"/>
        <v>1.4659760810910435E-3</v>
      </c>
      <c r="AF405" s="2161">
        <f t="shared" si="394"/>
        <v>1.5943997078787183E-2</v>
      </c>
      <c r="AG405" s="2161">
        <f t="shared" si="394"/>
        <v>5.7592854573751388E-7</v>
      </c>
      <c r="AH405" s="2161">
        <f t="shared" si="394"/>
        <v>7.6919746757526942E-7</v>
      </c>
      <c r="AI405" s="2161">
        <f t="shared" si="394"/>
        <v>1.8917119988621861E-6</v>
      </c>
      <c r="AJ405" s="2161">
        <f t="shared" si="394"/>
        <v>7.9469290003178434E-6</v>
      </c>
      <c r="AK405" s="2161">
        <f t="shared" si="394"/>
        <v>3.4859466948071687E-5</v>
      </c>
      <c r="AL405" s="2161">
        <f t="shared" si="394"/>
        <v>4.59832211544578E-4</v>
      </c>
      <c r="AM405" s="2161">
        <f t="shared" ref="AM405:BI405" si="395">MIN(AM404,AM$39)</f>
        <v>6.4988445109530821E-3</v>
      </c>
      <c r="AN405" s="2161">
        <f t="shared" si="395"/>
        <v>8.1223835730861668E-4</v>
      </c>
      <c r="AO405" s="2161">
        <f t="shared" si="395"/>
        <v>1.5347623813062969E-3</v>
      </c>
      <c r="AP405" s="2161">
        <f t="shared" si="395"/>
        <v>1.1937069330533354E-3</v>
      </c>
      <c r="AQ405" s="2161">
        <f t="shared" si="395"/>
        <v>1.8541992545686946E-3</v>
      </c>
      <c r="AR405" s="2161">
        <f t="shared" si="395"/>
        <v>3.98329554156872E-3</v>
      </c>
      <c r="AS405" s="2161">
        <f t="shared" si="395"/>
        <v>3.5351076401386773E-3</v>
      </c>
      <c r="AT405" s="2161">
        <f t="shared" si="395"/>
        <v>1.1058552196003157E-2</v>
      </c>
      <c r="AU405" s="2161">
        <f t="shared" si="395"/>
        <v>1.1224838133050644E-2</v>
      </c>
      <c r="AV405" s="2161">
        <f t="shared" si="395"/>
        <v>2.0218779004729074E-2</v>
      </c>
      <c r="AW405" s="2161">
        <f t="shared" si="395"/>
        <v>2.0401445505536697E-2</v>
      </c>
      <c r="AX405" s="2161">
        <f t="shared" si="395"/>
        <v>2.9187397995014071E-2</v>
      </c>
      <c r="AY405" s="2161">
        <f t="shared" si="395"/>
        <v>2.9394702924268785E-2</v>
      </c>
      <c r="AZ405" s="2161">
        <f t="shared" si="395"/>
        <v>2.954909964407168E-2</v>
      </c>
      <c r="BA405" s="2161">
        <f t="shared" si="395"/>
        <v>2.9813170736626208E-2</v>
      </c>
      <c r="BB405" s="2161">
        <f t="shared" si="395"/>
        <v>2.9024187001629297E-2</v>
      </c>
      <c r="BC405" s="2161">
        <f t="shared" si="395"/>
        <v>2.9869500572335769E-2</v>
      </c>
      <c r="BD405" s="2161">
        <f t="shared" si="395"/>
        <v>5.0720906758332839E-3</v>
      </c>
      <c r="BE405" s="2161">
        <f t="shared" si="395"/>
        <v>2.0701344024777666E-2</v>
      </c>
      <c r="BF405" s="2161">
        <f t="shared" si="395"/>
        <v>2.0701344024777666E-2</v>
      </c>
      <c r="BG405" s="2161">
        <f t="shared" si="395"/>
        <v>9.4613746816956763E-7</v>
      </c>
      <c r="BH405" s="2161">
        <f t="shared" si="395"/>
        <v>4.4529787593550378E-3</v>
      </c>
      <c r="BI405" s="2161">
        <f t="shared" si="395"/>
        <v>1.685757438299995E-3</v>
      </c>
    </row>
    <row r="406" spans="1:61" s="2368" customFormat="1" ht="13.15" hidden="1" customHeight="1">
      <c r="A406" s="2360"/>
      <c r="B406" s="2361"/>
      <c r="C406" s="2362"/>
      <c r="D406" s="2245"/>
      <c r="E406" s="3678" t="s">
        <v>307</v>
      </c>
      <c r="F406" s="2363" t="s">
        <v>300</v>
      </c>
      <c r="G406" s="2364" t="s">
        <v>35</v>
      </c>
      <c r="H406" s="2365">
        <f t="shared" ref="H406:AL406" si="396">H$234/H405</f>
        <v>7.5070939312106448</v>
      </c>
      <c r="I406" s="2366">
        <f t="shared" si="396"/>
        <v>7.5070939312106448</v>
      </c>
      <c r="J406" s="2365">
        <f>J$234/J405</f>
        <v>5.7142857142857144</v>
      </c>
      <c r="K406" s="2367">
        <f t="shared" si="396"/>
        <v>40</v>
      </c>
      <c r="L406" s="2367">
        <f t="shared" si="396"/>
        <v>40</v>
      </c>
      <c r="M406" s="2365">
        <f t="shared" si="396"/>
        <v>40</v>
      </c>
      <c r="N406" s="2367">
        <f>N$234/N405</f>
        <v>40</v>
      </c>
      <c r="O406" s="2365">
        <f>O$234/O405</f>
        <v>40</v>
      </c>
      <c r="P406" s="2367">
        <f t="shared" si="396"/>
        <v>39.999999999999993</v>
      </c>
      <c r="Q406" s="2365">
        <f t="shared" si="396"/>
        <v>39.999999999999993</v>
      </c>
      <c r="R406" s="2365">
        <f>R$234/R405</f>
        <v>40</v>
      </c>
      <c r="S406" s="2367">
        <f>S$234/S405</f>
        <v>40</v>
      </c>
      <c r="T406" s="2365">
        <f>T$234/T405</f>
        <v>40</v>
      </c>
      <c r="U406" s="2367">
        <f t="shared" si="396"/>
        <v>40</v>
      </c>
      <c r="V406" s="2367">
        <f t="shared" si="396"/>
        <v>40.000000000000007</v>
      </c>
      <c r="W406" s="2365">
        <f t="shared" si="396"/>
        <v>40.000000000000007</v>
      </c>
      <c r="X406" s="2365">
        <f t="shared" si="396"/>
        <v>40</v>
      </c>
      <c r="Y406" s="2365">
        <f t="shared" si="396"/>
        <v>40</v>
      </c>
      <c r="Z406" s="2365">
        <f t="shared" si="396"/>
        <v>40.000000000000007</v>
      </c>
      <c r="AA406" s="2365">
        <f t="shared" si="396"/>
        <v>5.7142857142857144</v>
      </c>
      <c r="AB406" s="2365">
        <f t="shared" si="396"/>
        <v>40</v>
      </c>
      <c r="AC406" s="2365">
        <f t="shared" si="396"/>
        <v>40</v>
      </c>
      <c r="AD406" s="2365">
        <f t="shared" si="396"/>
        <v>39.999999999999993</v>
      </c>
      <c r="AE406" s="2365">
        <f t="shared" si="396"/>
        <v>20.375162416394033</v>
      </c>
      <c r="AF406" s="2365">
        <f t="shared" si="396"/>
        <v>1.8734010426105105</v>
      </c>
      <c r="AG406" s="2365">
        <f t="shared" si="396"/>
        <v>40</v>
      </c>
      <c r="AH406" s="2365">
        <f t="shared" si="396"/>
        <v>40</v>
      </c>
      <c r="AI406" s="2365">
        <f t="shared" si="396"/>
        <v>40</v>
      </c>
      <c r="AJ406" s="2365">
        <f t="shared" si="396"/>
        <v>40</v>
      </c>
      <c r="AK406" s="2365">
        <f t="shared" si="396"/>
        <v>40</v>
      </c>
      <c r="AL406" s="2365">
        <f t="shared" si="396"/>
        <v>40</v>
      </c>
      <c r="AM406" s="2365">
        <f t="shared" ref="AM406:BI406" si="397">AM$234/AM405</f>
        <v>4.596124849646289</v>
      </c>
      <c r="AN406" s="2365">
        <f t="shared" si="397"/>
        <v>5.8713556942452447</v>
      </c>
      <c r="AO406" s="2365">
        <f t="shared" si="397"/>
        <v>19.461970865715205</v>
      </c>
      <c r="AP406" s="2365">
        <f t="shared" si="397"/>
        <v>25.022474045934235</v>
      </c>
      <c r="AQ406" s="2365">
        <f t="shared" si="397"/>
        <v>16.109110537705824</v>
      </c>
      <c r="AR406" s="2365">
        <f t="shared" si="397"/>
        <v>7.4986905789610319</v>
      </c>
      <c r="AS406" s="2365">
        <f t="shared" si="397"/>
        <v>8.4493893231514452</v>
      </c>
      <c r="AT406" s="2365">
        <f t="shared" si="397"/>
        <v>2.7010317644993744</v>
      </c>
      <c r="AU406" s="2365">
        <f t="shared" si="397"/>
        <v>2.6610183948070012</v>
      </c>
      <c r="AV406" s="2365">
        <f t="shared" si="397"/>
        <v>1.4773147648427489</v>
      </c>
      <c r="AW406" s="2365">
        <f t="shared" si="397"/>
        <v>1.4640874707957647</v>
      </c>
      <c r="AX406" s="2365">
        <f t="shared" si="397"/>
        <v>1.0233697692367538</v>
      </c>
      <c r="AY406" s="2365">
        <f t="shared" si="397"/>
        <v>1.0161524961736577</v>
      </c>
      <c r="AZ406" s="2365">
        <f t="shared" si="397"/>
        <v>1.010843007420412</v>
      </c>
      <c r="BA406" s="2365">
        <f t="shared" si="397"/>
        <v>1.0018894338562732</v>
      </c>
      <c r="BB406" s="2365">
        <f t="shared" si="397"/>
        <v>1.0291244591658018</v>
      </c>
      <c r="BC406" s="2365">
        <f t="shared" si="397"/>
        <v>1.0000000059740897</v>
      </c>
      <c r="BD406" s="2365">
        <f t="shared" si="397"/>
        <v>5.8889918693875956</v>
      </c>
      <c r="BE406" s="2365">
        <f t="shared" si="397"/>
        <v>1.4428773665626593</v>
      </c>
      <c r="BF406" s="2365">
        <f t="shared" si="397"/>
        <v>1.4428773665626593</v>
      </c>
      <c r="BG406" s="2365">
        <f t="shared" si="397"/>
        <v>40</v>
      </c>
      <c r="BH406" s="2365">
        <f t="shared" si="397"/>
        <v>6.7077572934808005</v>
      </c>
      <c r="BI406" s="2365">
        <f t="shared" si="397"/>
        <v>12.563365696903457</v>
      </c>
    </row>
    <row r="407" spans="1:61" ht="25.5">
      <c r="A407" s="2248"/>
      <c r="B407" s="2249"/>
      <c r="C407" s="2250"/>
      <c r="D407" s="2245"/>
      <c r="E407" s="3655" t="s">
        <v>506</v>
      </c>
      <c r="F407" s="2153" t="s">
        <v>300</v>
      </c>
      <c r="G407" s="2154" t="s">
        <v>21</v>
      </c>
      <c r="H407" s="2396">
        <f t="shared" ref="H407:AM407" si="398">H213/H404</f>
        <v>0.17203628494311915</v>
      </c>
      <c r="I407" s="2396">
        <f t="shared" si="398"/>
        <v>0.17203628494311915</v>
      </c>
      <c r="J407" s="2396">
        <f t="shared" si="398"/>
        <v>0.44824810267502235</v>
      </c>
      <c r="K407" s="2396">
        <f t="shared" si="398"/>
        <v>13.372740167401519</v>
      </c>
      <c r="L407" s="2396">
        <f t="shared" si="398"/>
        <v>4.0173113079898757</v>
      </c>
      <c r="M407" s="2396">
        <f t="shared" si="398"/>
        <v>4.0173113079898757</v>
      </c>
      <c r="N407" s="2396">
        <f t="shared" si="398"/>
        <v>6.0539637832419313</v>
      </c>
      <c r="O407" s="2396">
        <f t="shared" si="398"/>
        <v>6.0539637832419313</v>
      </c>
      <c r="P407" s="2396">
        <f t="shared" si="398"/>
        <v>5.7648890243860773</v>
      </c>
      <c r="Q407" s="2396">
        <f t="shared" si="398"/>
        <v>5.7648890243860773</v>
      </c>
      <c r="R407" s="2396">
        <f t="shared" si="398"/>
        <v>51.801011626228743</v>
      </c>
      <c r="S407" s="2396">
        <f t="shared" si="398"/>
        <v>5.1159888636702959</v>
      </c>
      <c r="T407" s="2396">
        <f t="shared" si="398"/>
        <v>5.1159888636702959</v>
      </c>
      <c r="U407" s="2396">
        <f t="shared" si="398"/>
        <v>8.3201503004919974</v>
      </c>
      <c r="V407" s="2396">
        <f t="shared" si="398"/>
        <v>3.8863843494031132</v>
      </c>
      <c r="W407" s="2396">
        <f t="shared" si="398"/>
        <v>3.8863843494031132</v>
      </c>
      <c r="X407" s="2396">
        <f t="shared" si="398"/>
        <v>4.9001617753073434</v>
      </c>
      <c r="Y407" s="2396">
        <f t="shared" si="398"/>
        <v>3.6652536778968008</v>
      </c>
      <c r="Z407" s="2396">
        <f t="shared" si="398"/>
        <v>2.5873567092240068</v>
      </c>
      <c r="AA407" s="2396">
        <f t="shared" si="398"/>
        <v>2.1199093221768877</v>
      </c>
      <c r="AB407" s="2396">
        <f t="shared" si="398"/>
        <v>1.0575324402013466</v>
      </c>
      <c r="AC407" s="2396">
        <f t="shared" si="398"/>
        <v>0.43216715220431146</v>
      </c>
      <c r="AD407" s="2396">
        <f t="shared" si="398"/>
        <v>0.16652828363693478</v>
      </c>
      <c r="AE407" s="2396">
        <f t="shared" si="398"/>
        <v>4.7186111317481585E-2</v>
      </c>
      <c r="AF407" s="2396">
        <f t="shared" si="398"/>
        <v>3.4346795588563596E-3</v>
      </c>
      <c r="AG407" s="2396">
        <f t="shared" si="398"/>
        <v>7.5031298437144622</v>
      </c>
      <c r="AH407" s="2396">
        <f t="shared" si="398"/>
        <v>5.2591716216779858</v>
      </c>
      <c r="AI407" s="2396">
        <f t="shared" si="398"/>
        <v>2.5802909683253739</v>
      </c>
      <c r="AJ407" s="2396">
        <f t="shared" si="398"/>
        <v>1.0235735822035483</v>
      </c>
      <c r="AK407" s="2396">
        <f t="shared" si="398"/>
        <v>0.39155043241113707</v>
      </c>
      <c r="AL407" s="2396">
        <f t="shared" si="398"/>
        <v>8.0451638655544444E-2</v>
      </c>
      <c r="AM407" s="2251">
        <f t="shared" si="398"/>
        <v>6.3198758749358859E-3</v>
      </c>
      <c r="AN407" s="2251">
        <f t="shared" ref="AN407:BI407" si="399">AN213/AN404</f>
        <v>0.12622838648731086</v>
      </c>
      <c r="AO407" s="2251">
        <f t="shared" si="399"/>
        <v>5.6265071514959852E-2</v>
      </c>
      <c r="AP407" s="2251">
        <f t="shared" si="399"/>
        <v>7.1397732580315676E-2</v>
      </c>
      <c r="AQ407" s="2251">
        <f t="shared" si="399"/>
        <v>4.2648842782361418E-2</v>
      </c>
      <c r="AR407" s="2251">
        <f t="shared" si="399"/>
        <v>1.8515883661993724E-2</v>
      </c>
      <c r="AS407" s="2251">
        <f t="shared" si="399"/>
        <v>2.0863363819985815E-2</v>
      </c>
      <c r="AT407" s="2251">
        <f t="shared" si="399"/>
        <v>5.8749005374586216E-3</v>
      </c>
      <c r="AU407" s="2251">
        <f t="shared" si="399"/>
        <v>5.7878691407157457E-3</v>
      </c>
      <c r="AV407" s="2251">
        <f t="shared" si="399"/>
        <v>2.8473039881215119E-3</v>
      </c>
      <c r="AW407" s="2251">
        <f t="shared" si="399"/>
        <v>2.8218103506189836E-3</v>
      </c>
      <c r="AX407" s="2251">
        <f t="shared" si="399"/>
        <v>1.784627648963308E-3</v>
      </c>
      <c r="AY407" s="2251">
        <f t="shared" si="399"/>
        <v>1.772041636120535E-3</v>
      </c>
      <c r="AZ407" s="2251">
        <f t="shared" si="399"/>
        <v>1.7629222952279253E-3</v>
      </c>
      <c r="BA407" s="2251">
        <f t="shared" si="399"/>
        <v>1.5834971099817894E-3</v>
      </c>
      <c r="BB407" s="2251">
        <f t="shared" si="399"/>
        <v>1.6873952667067417E-3</v>
      </c>
      <c r="BC407" s="2251">
        <f t="shared" si="399"/>
        <v>1.5925234176168235E-3</v>
      </c>
      <c r="BD407" s="2251">
        <f t="shared" si="399"/>
        <v>5.5916234820275218E-2</v>
      </c>
      <c r="BE407" s="2251">
        <f t="shared" si="399"/>
        <v>2.4655788567989187E-3</v>
      </c>
      <c r="BF407" s="2251">
        <f t="shared" si="399"/>
        <v>2.4655788567989187E-3</v>
      </c>
      <c r="BG407" s="2251">
        <f t="shared" si="399"/>
        <v>3.8311905072125825</v>
      </c>
      <c r="BH407" s="2251">
        <f t="shared" si="399"/>
        <v>4.1942490315200885E-2</v>
      </c>
      <c r="BI407" s="2251">
        <f t="shared" si="399"/>
        <v>0.34468729333648385</v>
      </c>
    </row>
    <row r="408" spans="1:61" ht="25.5">
      <c r="A408" s="2248"/>
      <c r="B408" s="2249"/>
      <c r="C408" s="2250"/>
      <c r="D408" s="2245"/>
      <c r="E408" s="3655" t="s">
        <v>507</v>
      </c>
      <c r="F408" s="2153" t="s">
        <v>300</v>
      </c>
      <c r="G408" s="2154" t="s">
        <v>21</v>
      </c>
      <c r="H408" s="2396">
        <f t="shared" ref="H408:AM408" si="400">H219/H405</f>
        <v>0.17203628494311915</v>
      </c>
      <c r="I408" s="2396">
        <f t="shared" si="400"/>
        <v>0.17203628494311915</v>
      </c>
      <c r="J408" s="2396">
        <f t="shared" si="400"/>
        <v>0.88361976270020892</v>
      </c>
      <c r="K408" s="2396">
        <f t="shared" si="400"/>
        <v>40</v>
      </c>
      <c r="L408" s="2396">
        <f t="shared" si="400"/>
        <v>40</v>
      </c>
      <c r="M408" s="2396">
        <f t="shared" si="400"/>
        <v>40</v>
      </c>
      <c r="N408" s="2396">
        <f t="shared" si="400"/>
        <v>40</v>
      </c>
      <c r="O408" s="2396">
        <f t="shared" si="400"/>
        <v>40</v>
      </c>
      <c r="P408" s="2396">
        <f t="shared" si="400"/>
        <v>39.999999999999993</v>
      </c>
      <c r="Q408" s="2396">
        <f t="shared" si="400"/>
        <v>39.999999999999993</v>
      </c>
      <c r="R408" s="2396">
        <f t="shared" si="400"/>
        <v>40</v>
      </c>
      <c r="S408" s="2396">
        <f t="shared" si="400"/>
        <v>40</v>
      </c>
      <c r="T408" s="2396">
        <f t="shared" si="400"/>
        <v>40</v>
      </c>
      <c r="U408" s="2396">
        <f t="shared" si="400"/>
        <v>40</v>
      </c>
      <c r="V408" s="2396">
        <f t="shared" si="400"/>
        <v>40.000000000000007</v>
      </c>
      <c r="W408" s="2396">
        <f t="shared" si="400"/>
        <v>40.000000000000007</v>
      </c>
      <c r="X408" s="2396">
        <f t="shared" si="400"/>
        <v>40</v>
      </c>
      <c r="Y408" s="2396">
        <f t="shared" si="400"/>
        <v>40</v>
      </c>
      <c r="Z408" s="2396">
        <f t="shared" si="400"/>
        <v>23.230799705141958</v>
      </c>
      <c r="AA408" s="2396">
        <f t="shared" si="400"/>
        <v>5.7142857142857144</v>
      </c>
      <c r="AB408" s="2396">
        <f t="shared" si="400"/>
        <v>8.2688639397939347</v>
      </c>
      <c r="AC408" s="2396">
        <f t="shared" si="400"/>
        <v>1.4894219002384872</v>
      </c>
      <c r="AD408" s="2396">
        <f t="shared" si="400"/>
        <v>0.25265887475207727</v>
      </c>
      <c r="AE408" s="2396">
        <f t="shared" si="400"/>
        <v>4.7186111317481585E-2</v>
      </c>
      <c r="AF408" s="2396">
        <f t="shared" si="400"/>
        <v>3.4346795588563596E-3</v>
      </c>
      <c r="AG408" s="2396">
        <f t="shared" si="400"/>
        <v>40</v>
      </c>
      <c r="AH408" s="2396">
        <f t="shared" si="400"/>
        <v>40</v>
      </c>
      <c r="AI408" s="2396">
        <f t="shared" si="400"/>
        <v>40</v>
      </c>
      <c r="AJ408" s="2396">
        <f t="shared" si="400"/>
        <v>10.336544000352635</v>
      </c>
      <c r="AK408" s="2396">
        <f t="shared" si="400"/>
        <v>1.885141420018362</v>
      </c>
      <c r="AL408" s="2396">
        <f t="shared" si="400"/>
        <v>0.10585990953145154</v>
      </c>
      <c r="AM408" s="2251">
        <f t="shared" si="400"/>
        <v>6.3198758749358859E-3</v>
      </c>
      <c r="AN408" s="2251">
        <f t="shared" ref="AN408:BI408" si="401">AN219/AN405</f>
        <v>0.12622838648731086</v>
      </c>
      <c r="AO408" s="2251">
        <f t="shared" si="401"/>
        <v>5.6265071514959852E-2</v>
      </c>
      <c r="AP408" s="2251">
        <f t="shared" si="401"/>
        <v>7.1397732580315676E-2</v>
      </c>
      <c r="AQ408" s="2251">
        <f t="shared" si="401"/>
        <v>4.2648842782361418E-2</v>
      </c>
      <c r="AR408" s="2251">
        <f t="shared" si="401"/>
        <v>1.8515883661993724E-2</v>
      </c>
      <c r="AS408" s="2251">
        <f t="shared" si="401"/>
        <v>2.0863363819985815E-2</v>
      </c>
      <c r="AT408" s="2251">
        <f t="shared" si="401"/>
        <v>5.8749005374586216E-3</v>
      </c>
      <c r="AU408" s="2251">
        <f t="shared" si="401"/>
        <v>5.7878691407157457E-3</v>
      </c>
      <c r="AV408" s="2251">
        <f t="shared" si="401"/>
        <v>2.8473039881215119E-3</v>
      </c>
      <c r="AW408" s="2251">
        <f t="shared" si="401"/>
        <v>2.8218103506189836E-3</v>
      </c>
      <c r="AX408" s="2251">
        <f t="shared" si="401"/>
        <v>1.784627648963308E-3</v>
      </c>
      <c r="AY408" s="2251">
        <f t="shared" si="401"/>
        <v>1.772041636120535E-3</v>
      </c>
      <c r="AZ408" s="2251">
        <f t="shared" si="401"/>
        <v>1.7629222952279253E-3</v>
      </c>
      <c r="BA408" s="2251">
        <f t="shared" si="401"/>
        <v>1.5834971099817894E-3</v>
      </c>
      <c r="BB408" s="2251">
        <f t="shared" si="401"/>
        <v>1.6873952667067417E-3</v>
      </c>
      <c r="BC408" s="2251">
        <f t="shared" si="401"/>
        <v>1.5925234176168235E-3</v>
      </c>
      <c r="BD408" s="2251">
        <f t="shared" si="401"/>
        <v>5.5916234820275218E-2</v>
      </c>
      <c r="BE408" s="2251">
        <f t="shared" si="401"/>
        <v>2.4655788567989187E-3</v>
      </c>
      <c r="BF408" s="2251">
        <f t="shared" si="401"/>
        <v>2.4655788567989187E-3</v>
      </c>
      <c r="BG408" s="2251">
        <f t="shared" si="401"/>
        <v>40</v>
      </c>
      <c r="BH408" s="2251">
        <f t="shared" si="401"/>
        <v>4.1942490315200885E-2</v>
      </c>
      <c r="BI408" s="2251">
        <f t="shared" si="401"/>
        <v>0.34468729333648385</v>
      </c>
    </row>
    <row r="409" spans="1:61">
      <c r="A409" s="2248"/>
      <c r="B409" s="2249"/>
      <c r="C409" s="2250"/>
      <c r="D409" s="2245"/>
      <c r="E409" s="3655"/>
      <c r="F409" s="2153"/>
      <c r="G409" s="2154"/>
      <c r="H409" s="2396"/>
      <c r="I409" s="2396"/>
      <c r="J409" s="2396"/>
      <c r="K409" s="2396"/>
      <c r="L409" s="2396"/>
      <c r="M409" s="2396"/>
      <c r="N409" s="2396"/>
      <c r="O409" s="2396"/>
      <c r="P409" s="2396"/>
      <c r="Q409" s="2396"/>
      <c r="R409" s="2396"/>
      <c r="S409" s="2396"/>
      <c r="T409" s="2396"/>
      <c r="U409" s="2396"/>
      <c r="V409" s="2396"/>
      <c r="W409" s="2396"/>
      <c r="X409" s="2396"/>
      <c r="Y409" s="2396"/>
      <c r="Z409" s="2396"/>
      <c r="AA409" s="2396"/>
      <c r="AB409" s="2396"/>
      <c r="AC409" s="2396"/>
      <c r="AD409" s="2396"/>
      <c r="AE409" s="2396"/>
      <c r="AF409" s="2396"/>
      <c r="AG409" s="2396"/>
      <c r="AH409" s="2396"/>
      <c r="AI409" s="2396"/>
      <c r="AJ409" s="2396"/>
      <c r="AK409" s="2396"/>
      <c r="AL409" s="2396"/>
      <c r="AM409" s="2251"/>
      <c r="AN409" s="2251"/>
      <c r="AO409" s="2251"/>
      <c r="AP409" s="2251"/>
      <c r="AQ409" s="2251"/>
      <c r="AR409" s="2251"/>
      <c r="AS409" s="2251"/>
      <c r="AT409" s="2251"/>
      <c r="AU409" s="2251"/>
      <c r="AV409" s="2251"/>
      <c r="AW409" s="2251"/>
      <c r="AX409" s="2251"/>
      <c r="AY409" s="2251"/>
      <c r="AZ409" s="2251"/>
      <c r="BA409" s="2251"/>
      <c r="BB409" s="2251"/>
      <c r="BC409" s="2251"/>
      <c r="BD409" s="2251"/>
      <c r="BE409" s="2251"/>
      <c r="BF409" s="2251"/>
      <c r="BG409" s="2251"/>
      <c r="BH409" s="2251"/>
      <c r="BI409" s="2251"/>
    </row>
    <row r="410" spans="1:61" s="2244" customFormat="1" ht="13.15" customHeight="1">
      <c r="A410" s="2241"/>
      <c r="B410" s="276"/>
      <c r="C410" s="2242"/>
      <c r="D410" s="2245"/>
      <c r="E410" s="2275" t="s">
        <v>1036</v>
      </c>
      <c r="F410" s="2275"/>
      <c r="G410" s="3688"/>
      <c r="H410" s="2275"/>
      <c r="I410" s="2155"/>
      <c r="J410" s="2155"/>
      <c r="K410" s="2155"/>
      <c r="L410" s="2155"/>
      <c r="M410" s="2155"/>
      <c r="N410" s="2155"/>
      <c r="O410" s="2155"/>
      <c r="P410" s="2155"/>
      <c r="Q410" s="2155"/>
      <c r="R410" s="2155"/>
      <c r="S410" s="2155"/>
      <c r="T410" s="2155"/>
      <c r="U410" s="2155"/>
      <c r="V410" s="2155"/>
      <c r="W410" s="2155"/>
      <c r="X410" s="2155"/>
      <c r="Y410" s="2155"/>
      <c r="Z410" s="2155"/>
      <c r="AA410" s="2155"/>
      <c r="AB410" s="2155"/>
      <c r="AC410" s="2155"/>
      <c r="AD410" s="2155"/>
      <c r="AE410" s="2155"/>
      <c r="AF410" s="2155"/>
      <c r="AG410" s="2155"/>
      <c r="AH410" s="2155"/>
      <c r="AI410" s="2155"/>
      <c r="AJ410" s="2155"/>
      <c r="AK410" s="2155"/>
      <c r="AL410" s="2155"/>
      <c r="AM410" s="2155"/>
      <c r="AN410" s="2155"/>
      <c r="AO410" s="2155"/>
      <c r="AP410" s="2155"/>
      <c r="AQ410" s="2155"/>
      <c r="AR410" s="2155"/>
      <c r="AS410" s="2155"/>
      <c r="AT410" s="2155"/>
      <c r="AU410" s="2155"/>
      <c r="AV410" s="2155"/>
      <c r="AW410" s="2155"/>
      <c r="AX410" s="2155"/>
      <c r="AY410" s="2155"/>
      <c r="AZ410" s="2155"/>
      <c r="BA410" s="2155"/>
      <c r="BB410" s="2155"/>
      <c r="BC410" s="2155"/>
      <c r="BD410" s="2155"/>
      <c r="BE410" s="2155"/>
      <c r="BF410" s="2155"/>
      <c r="BG410" s="2155"/>
      <c r="BH410" s="2155"/>
      <c r="BI410" s="2155"/>
    </row>
    <row r="411" spans="1:61" ht="25.5">
      <c r="A411" s="2149"/>
      <c r="B411" s="2150"/>
      <c r="C411" s="2151"/>
      <c r="D411" s="2245"/>
      <c r="E411" s="2153" t="s">
        <v>610</v>
      </c>
      <c r="F411" s="2153" t="s">
        <v>138</v>
      </c>
      <c r="G411" s="2154" t="s">
        <v>139</v>
      </c>
      <c r="H411" s="2155">
        <f t="shared" ref="H411:AM411" si="402">MIN(H226,H404+H280)</f>
        <v>1.1839610554348274E-3</v>
      </c>
      <c r="I411" s="2155">
        <f t="shared" si="402"/>
        <v>1.1839610554348274E-3</v>
      </c>
      <c r="J411" s="2155">
        <f t="shared" si="402"/>
        <v>5.0653407870187238E-4</v>
      </c>
      <c r="K411" s="2155">
        <f t="shared" si="402"/>
        <v>4.0988143538220888E-5</v>
      </c>
      <c r="L411" s="2155">
        <f t="shared" si="402"/>
        <v>8.8674109609606288E-5</v>
      </c>
      <c r="M411" s="2155">
        <f t="shared" si="402"/>
        <v>8.8674109609606288E-5</v>
      </c>
      <c r="N411" s="2155">
        <f t="shared" si="402"/>
        <v>6.4103882444869353E-5</v>
      </c>
      <c r="O411" s="2155">
        <f t="shared" si="402"/>
        <v>6.4103882444869353E-5</v>
      </c>
      <c r="P411" s="2155">
        <f t="shared" si="402"/>
        <v>6.0527246526799149E-5</v>
      </c>
      <c r="Q411" s="2155">
        <f t="shared" si="402"/>
        <v>6.0527246526799149E-5</v>
      </c>
      <c r="R411" s="2155">
        <f t="shared" si="402"/>
        <v>1.7316020349695404E-4</v>
      </c>
      <c r="S411" s="2155">
        <f t="shared" si="402"/>
        <v>1.0380557823330626E-4</v>
      </c>
      <c r="T411" s="2155">
        <f t="shared" si="402"/>
        <v>1.0380557823330626E-4</v>
      </c>
      <c r="U411" s="2155">
        <f t="shared" si="402"/>
        <v>4.6098552120465996E-5</v>
      </c>
      <c r="V411" s="2155">
        <f t="shared" si="402"/>
        <v>3.1756179630726322E-5</v>
      </c>
      <c r="W411" s="2155">
        <f t="shared" si="402"/>
        <v>3.1756179630726322E-5</v>
      </c>
      <c r="X411" s="2155">
        <f t="shared" si="402"/>
        <v>8.23778053837718E-5</v>
      </c>
      <c r="Y411" s="2155">
        <f t="shared" si="402"/>
        <v>9.7062852096116973E-5</v>
      </c>
      <c r="Z411" s="2155">
        <f t="shared" si="402"/>
        <v>1.2387948355820826E-4</v>
      </c>
      <c r="AA411" s="2155">
        <f t="shared" si="402"/>
        <v>1.5051338860453222E-4</v>
      </c>
      <c r="AB411" s="2155">
        <f t="shared" si="402"/>
        <v>1.2867313293547325E-4</v>
      </c>
      <c r="AC411" s="2155">
        <f t="shared" si="402"/>
        <v>2.7988720624006716E-4</v>
      </c>
      <c r="AD411" s="2155">
        <f t="shared" si="402"/>
        <v>5.9178361885368869E-4</v>
      </c>
      <c r="AE411" s="2155">
        <f t="shared" si="402"/>
        <v>1.5323598860967763E-3</v>
      </c>
      <c r="AF411" s="2155">
        <f t="shared" si="402"/>
        <v>1.5998752701488868E-2</v>
      </c>
      <c r="AG411" s="2155">
        <f t="shared" si="402"/>
        <v>2.8722425676281208E-5</v>
      </c>
      <c r="AH411" s="2155">
        <f t="shared" si="402"/>
        <v>3.2325396100553554E-5</v>
      </c>
      <c r="AI411" s="2155">
        <f t="shared" si="402"/>
        <v>4.9044495456359194E-5</v>
      </c>
      <c r="AJ411" s="2155">
        <f t="shared" si="402"/>
        <v>9.7323976990948134E-5</v>
      </c>
      <c r="AK411" s="2155">
        <f t="shared" si="402"/>
        <v>1.9525996271875024E-4</v>
      </c>
      <c r="AL411" s="2155">
        <f t="shared" si="402"/>
        <v>6.4695941745176479E-4</v>
      </c>
      <c r="AM411" s="2155">
        <f t="shared" si="402"/>
        <v>6.5398714431366021E-3</v>
      </c>
      <c r="AN411" s="2155">
        <f t="shared" ref="AN411:BI411" si="403">MIN(AN226,AN404+AN280)</f>
        <v>8.9910011167954442E-4</v>
      </c>
      <c r="AO411" s="2155">
        <f t="shared" si="403"/>
        <v>1.617275857357277E-3</v>
      </c>
      <c r="AP411" s="2155">
        <f t="shared" si="403"/>
        <v>1.272955935446859E-3</v>
      </c>
      <c r="AQ411" s="2155">
        <f t="shared" si="403"/>
        <v>1.9310276059545774E-3</v>
      </c>
      <c r="AR411" s="2155">
        <f t="shared" si="403"/>
        <v>4.0566560158067306E-3</v>
      </c>
      <c r="AS411" s="2155">
        <f t="shared" si="403"/>
        <v>3.6083483434584413E-3</v>
      </c>
      <c r="AT411" s="2155">
        <f t="shared" si="403"/>
        <v>1.112349483252046E-2</v>
      </c>
      <c r="AU411" s="2155">
        <f t="shared" si="403"/>
        <v>1.1289782297040588E-2</v>
      </c>
      <c r="AV411" s="2155">
        <f t="shared" si="403"/>
        <v>2.0276345369178817E-2</v>
      </c>
      <c r="AW411" s="2155">
        <f t="shared" si="403"/>
        <v>2.0459012176415988E-2</v>
      </c>
      <c r="AX411" s="2155">
        <f t="shared" si="403"/>
        <v>2.92394866261061E-2</v>
      </c>
      <c r="AY411" s="2155">
        <f t="shared" si="403"/>
        <v>2.9446791557338054E-2</v>
      </c>
      <c r="AZ411" s="2155">
        <f t="shared" si="403"/>
        <v>2.9601192408430597E-2</v>
      </c>
      <c r="BA411" s="2155">
        <f t="shared" si="403"/>
        <v>2.9860379806334804E-2</v>
      </c>
      <c r="BB411" s="2155">
        <f t="shared" si="403"/>
        <v>2.9073162250375793E-2</v>
      </c>
      <c r="BC411" s="2155">
        <f t="shared" si="403"/>
        <v>2.9869500572335769E-2</v>
      </c>
      <c r="BD411" s="2155">
        <f t="shared" si="403"/>
        <v>5.3552829926090117E-3</v>
      </c>
      <c r="BE411" s="2155">
        <f t="shared" si="403"/>
        <v>2.0752382742243277E-2</v>
      </c>
      <c r="BF411" s="2155">
        <f t="shared" si="403"/>
        <v>2.0752382742243277E-2</v>
      </c>
      <c r="BG411" s="2155">
        <f t="shared" si="403"/>
        <v>3.4980276521076918E-5</v>
      </c>
      <c r="BH411" s="2155">
        <f t="shared" si="403"/>
        <v>4.6394396623569839E-3</v>
      </c>
      <c r="BI411" s="2155">
        <f t="shared" si="403"/>
        <v>2.1957447503061518E-3</v>
      </c>
    </row>
    <row r="412" spans="1:61" s="2393" customFormat="1" ht="38.25">
      <c r="D412" s="2394"/>
      <c r="E412" s="2395" t="s">
        <v>650</v>
      </c>
      <c r="F412" s="2393" t="s">
        <v>138</v>
      </c>
      <c r="G412" s="3692" t="s">
        <v>139</v>
      </c>
      <c r="H412" s="2273">
        <f t="shared" ref="H412:BI412" si="404">MIN(H411,H$39)</f>
        <v>1.1839610554348274E-3</v>
      </c>
      <c r="I412" s="2273">
        <f t="shared" si="404"/>
        <v>1.1839610554348274E-3</v>
      </c>
      <c r="J412" s="2273">
        <f>MIN(J411,J$39)</f>
        <v>2.0626890217256754E-4</v>
      </c>
      <c r="K412" s="2273">
        <f t="shared" si="404"/>
        <v>9.2578799557874888E-7</v>
      </c>
      <c r="L412" s="2273">
        <f t="shared" si="404"/>
        <v>4.9516367918243421E-6</v>
      </c>
      <c r="M412" s="2273">
        <f t="shared" si="404"/>
        <v>4.9516367918243421E-6</v>
      </c>
      <c r="N412" s="2273">
        <f>MIN(N411,N$39)</f>
        <v>2.5105744204671032E-6</v>
      </c>
      <c r="O412" s="2273">
        <f>MIN(O411,O$39)</f>
        <v>2.5105744204671032E-6</v>
      </c>
      <c r="P412" s="2273">
        <f t="shared" si="404"/>
        <v>2.2996060673712017E-6</v>
      </c>
      <c r="Q412" s="2273">
        <f t="shared" si="404"/>
        <v>2.2996060673712017E-6</v>
      </c>
      <c r="R412" s="2273">
        <f>MIN(R411,R$39)</f>
        <v>5.720803573144495E-6</v>
      </c>
      <c r="S412" s="2273">
        <f>MIN(S411,S$39)</f>
        <v>6.0977949424260457E-6</v>
      </c>
      <c r="T412" s="2273">
        <f>MIN(T411,T$39)</f>
        <v>6.0977949424260457E-6</v>
      </c>
      <c r="U412" s="2273">
        <f t="shared" si="404"/>
        <v>1.2952106079786864E-6</v>
      </c>
      <c r="V412" s="2273">
        <f t="shared" si="404"/>
        <v>7.9130580119435269E-7</v>
      </c>
      <c r="W412" s="2273">
        <f t="shared" si="404"/>
        <v>7.9130580119435269E-7</v>
      </c>
      <c r="X412" s="2273">
        <f t="shared" si="404"/>
        <v>4.124789608046837E-6</v>
      </c>
      <c r="Y412" s="2273">
        <f t="shared" si="404"/>
        <v>5.9515713162747051E-6</v>
      </c>
      <c r="Z412" s="2273">
        <f t="shared" si="404"/>
        <v>1.004964426852598E-5</v>
      </c>
      <c r="AA412" s="2273">
        <f t="shared" si="404"/>
        <v>1.4980247754752993E-5</v>
      </c>
      <c r="AB412" s="2273">
        <f t="shared" si="404"/>
        <v>1.3245476343958458E-5</v>
      </c>
      <c r="AC412" s="2273">
        <f t="shared" si="404"/>
        <v>6.7878710848560343E-5</v>
      </c>
      <c r="AD412" s="2273">
        <f t="shared" si="404"/>
        <v>3.4679182930241005E-4</v>
      </c>
      <c r="AE412" s="2273">
        <f t="shared" si="404"/>
        <v>1.5323598860967763E-3</v>
      </c>
      <c r="AF412" s="2273">
        <f t="shared" si="404"/>
        <v>1.5998752701488868E-2</v>
      </c>
      <c r="AG412" s="2273">
        <f t="shared" si="404"/>
        <v>5.7592854573751388E-7</v>
      </c>
      <c r="AH412" s="2273">
        <f t="shared" si="404"/>
        <v>7.6919746757526942E-7</v>
      </c>
      <c r="AI412" s="2273">
        <f t="shared" si="404"/>
        <v>1.8917119988621861E-6</v>
      </c>
      <c r="AJ412" s="2273">
        <f t="shared" si="404"/>
        <v>7.9469290003178434E-6</v>
      </c>
      <c r="AK412" s="2273">
        <f t="shared" si="404"/>
        <v>3.4859466948071687E-5</v>
      </c>
      <c r="AL412" s="2273">
        <f t="shared" si="404"/>
        <v>4.59832211544578E-4</v>
      </c>
      <c r="AM412" s="2273">
        <f t="shared" si="404"/>
        <v>6.5398714431366021E-3</v>
      </c>
      <c r="AN412" s="2273">
        <f t="shared" si="404"/>
        <v>8.3456455324696125E-4</v>
      </c>
      <c r="AO412" s="2273">
        <f t="shared" si="404"/>
        <v>1.617275857357277E-3</v>
      </c>
      <c r="AP412" s="2273">
        <f t="shared" si="404"/>
        <v>1.272955935446859E-3</v>
      </c>
      <c r="AQ412" s="2273">
        <f t="shared" si="404"/>
        <v>1.9310276059545774E-3</v>
      </c>
      <c r="AR412" s="2273">
        <f t="shared" si="404"/>
        <v>4.0566560158067306E-3</v>
      </c>
      <c r="AS412" s="2273">
        <f t="shared" si="404"/>
        <v>3.6083483434584413E-3</v>
      </c>
      <c r="AT412" s="2273">
        <f t="shared" si="404"/>
        <v>1.112349483252046E-2</v>
      </c>
      <c r="AU412" s="2273">
        <f t="shared" si="404"/>
        <v>1.1289782297040588E-2</v>
      </c>
      <c r="AV412" s="2273">
        <f t="shared" si="404"/>
        <v>2.0276345369178817E-2</v>
      </c>
      <c r="AW412" s="2273">
        <f t="shared" si="404"/>
        <v>2.0459012176415988E-2</v>
      </c>
      <c r="AX412" s="2273">
        <f t="shared" si="404"/>
        <v>2.92394866261061E-2</v>
      </c>
      <c r="AY412" s="2273">
        <f t="shared" si="404"/>
        <v>2.9446791557338054E-2</v>
      </c>
      <c r="AZ412" s="2273">
        <f t="shared" si="404"/>
        <v>2.9601192408430597E-2</v>
      </c>
      <c r="BA412" s="2273">
        <f t="shared" si="404"/>
        <v>2.9860379806334804E-2</v>
      </c>
      <c r="BB412" s="2273">
        <f t="shared" si="404"/>
        <v>2.9073162250375793E-2</v>
      </c>
      <c r="BC412" s="2273">
        <f t="shared" si="404"/>
        <v>2.9869500572335769E-2</v>
      </c>
      <c r="BD412" s="2273">
        <f t="shared" si="404"/>
        <v>5.3552829926090117E-3</v>
      </c>
      <c r="BE412" s="2273">
        <f t="shared" si="404"/>
        <v>2.0752382742243277E-2</v>
      </c>
      <c r="BF412" s="2273">
        <f t="shared" si="404"/>
        <v>2.0752382742243277E-2</v>
      </c>
      <c r="BG412" s="2273">
        <f t="shared" si="404"/>
        <v>9.4613746816956763E-7</v>
      </c>
      <c r="BH412" s="2273">
        <f t="shared" si="404"/>
        <v>4.6394396623569839E-3</v>
      </c>
      <c r="BI412" s="2273">
        <f t="shared" si="404"/>
        <v>2.1957447503061518E-3</v>
      </c>
    </row>
    <row r="413" spans="1:61" ht="25.5">
      <c r="A413" s="2149"/>
      <c r="B413" s="2150"/>
      <c r="C413" s="2151"/>
      <c r="D413" s="2245"/>
      <c r="E413" s="3655" t="s">
        <v>505</v>
      </c>
      <c r="F413" s="2153" t="s">
        <v>300</v>
      </c>
      <c r="G413" s="2154" t="s">
        <v>35</v>
      </c>
      <c r="H413" s="2155">
        <f t="shared" ref="H413:AM413" si="405">H226/H411</f>
        <v>25.228448700796854</v>
      </c>
      <c r="I413" s="2155">
        <f t="shared" si="405"/>
        <v>25.228448700796854</v>
      </c>
      <c r="J413" s="2155">
        <f t="shared" si="405"/>
        <v>58.968393256634066</v>
      </c>
      <c r="K413" s="2155">
        <f t="shared" si="405"/>
        <v>728.73514563854144</v>
      </c>
      <c r="L413" s="2155">
        <f t="shared" si="405"/>
        <v>336.84579278304932</v>
      </c>
      <c r="M413" s="2155">
        <f t="shared" si="405"/>
        <v>336.84579278304932</v>
      </c>
      <c r="N413" s="2155">
        <f t="shared" si="405"/>
        <v>465.95462882403763</v>
      </c>
      <c r="O413" s="2155">
        <f t="shared" si="405"/>
        <v>465.95462882403763</v>
      </c>
      <c r="P413" s="2155">
        <f t="shared" si="405"/>
        <v>493.48851079081828</v>
      </c>
      <c r="Q413" s="2155">
        <f t="shared" si="405"/>
        <v>493.48851079081828</v>
      </c>
      <c r="R413" s="2155">
        <f t="shared" si="405"/>
        <v>172.5326284239564</v>
      </c>
      <c r="S413" s="2155">
        <f t="shared" si="405"/>
        <v>287.7446593828148</v>
      </c>
      <c r="T413" s="2155">
        <f t="shared" si="405"/>
        <v>287.7446593828148</v>
      </c>
      <c r="U413" s="2155">
        <f t="shared" si="405"/>
        <v>647.94878313581398</v>
      </c>
      <c r="V413" s="2155">
        <f t="shared" si="405"/>
        <v>940.5886066306922</v>
      </c>
      <c r="W413" s="2155">
        <f t="shared" si="405"/>
        <v>940.5886066306922</v>
      </c>
      <c r="X413" s="2155">
        <f t="shared" si="405"/>
        <v>362.59160597476966</v>
      </c>
      <c r="Y413" s="2155">
        <f t="shared" si="405"/>
        <v>307.73359844403109</v>
      </c>
      <c r="Z413" s="2155">
        <f t="shared" si="405"/>
        <v>241.11741422254008</v>
      </c>
      <c r="AA413" s="2155">
        <f t="shared" si="405"/>
        <v>198.4507891803548</v>
      </c>
      <c r="AB413" s="2155">
        <f t="shared" si="405"/>
        <v>232.13471273570173</v>
      </c>
      <c r="AC413" s="2155">
        <f t="shared" si="405"/>
        <v>106.71977884247745</v>
      </c>
      <c r="AD413" s="2155">
        <f t="shared" si="405"/>
        <v>50.473686325818548</v>
      </c>
      <c r="AE413" s="2155">
        <f t="shared" si="405"/>
        <v>19.492484123205788</v>
      </c>
      <c r="AF413" s="2155">
        <f t="shared" si="405"/>
        <v>1.8669893402377011</v>
      </c>
      <c r="AG413" s="2155">
        <f t="shared" si="405"/>
        <v>1039.9365668981391</v>
      </c>
      <c r="AH413" s="2155">
        <f t="shared" si="405"/>
        <v>924.02582346910026</v>
      </c>
      <c r="AI413" s="2155">
        <f t="shared" si="405"/>
        <v>609.02860704026079</v>
      </c>
      <c r="AJ413" s="2155">
        <f t="shared" si="405"/>
        <v>306.90793445028385</v>
      </c>
      <c r="AK413" s="2155">
        <f t="shared" si="405"/>
        <v>152.97299218377123</v>
      </c>
      <c r="AL413" s="2155">
        <f t="shared" si="405"/>
        <v>46.169048544696103</v>
      </c>
      <c r="AM413" s="2155">
        <f t="shared" si="405"/>
        <v>4.5672917289721315</v>
      </c>
      <c r="AN413" s="2155">
        <f t="shared" ref="AN413:BI413" si="406">AN226/AN411</f>
        <v>33.221551596720161</v>
      </c>
      <c r="AO413" s="2155">
        <f t="shared" si="406"/>
        <v>18.469020368354069</v>
      </c>
      <c r="AP413" s="2155">
        <f t="shared" si="406"/>
        <v>23.464677699384339</v>
      </c>
      <c r="AQ413" s="2155">
        <f t="shared" si="406"/>
        <v>15.468189402716103</v>
      </c>
      <c r="AR413" s="2155">
        <f t="shared" si="406"/>
        <v>7.3630844307213996</v>
      </c>
      <c r="AS413" s="2155">
        <f t="shared" si="406"/>
        <v>8.2778872513595108</v>
      </c>
      <c r="AT413" s="2155">
        <f t="shared" si="406"/>
        <v>2.68526224900585</v>
      </c>
      <c r="AU413" s="2155">
        <f t="shared" si="406"/>
        <v>2.6457109592457413</v>
      </c>
      <c r="AV413" s="2155">
        <f t="shared" si="406"/>
        <v>1.4731205356258215</v>
      </c>
      <c r="AW413" s="2155">
        <f t="shared" si="406"/>
        <v>1.4599678857032374</v>
      </c>
      <c r="AX413" s="2155">
        <f t="shared" si="406"/>
        <v>1.0215466889938567</v>
      </c>
      <c r="AY413" s="2155">
        <f t="shared" si="406"/>
        <v>1.0143550170013498</v>
      </c>
      <c r="AZ413" s="2155">
        <f t="shared" si="406"/>
        <v>1.0090641058862153</v>
      </c>
      <c r="BA413" s="2155">
        <f t="shared" si="406"/>
        <v>1.0003054530619904</v>
      </c>
      <c r="BB413" s="2155">
        <f t="shared" si="406"/>
        <v>1.0273908456722061</v>
      </c>
      <c r="BC413" s="2155">
        <f t="shared" si="406"/>
        <v>1.0000000059740897</v>
      </c>
      <c r="BD413" s="2155">
        <f t="shared" si="406"/>
        <v>5.577576533677612</v>
      </c>
      <c r="BE413" s="2155">
        <f t="shared" si="406"/>
        <v>1.4393287325978659</v>
      </c>
      <c r="BF413" s="2155">
        <f t="shared" si="406"/>
        <v>1.4393287325978659</v>
      </c>
      <c r="BG413" s="2155">
        <f t="shared" si="406"/>
        <v>853.89550116281544</v>
      </c>
      <c r="BH413" s="2155">
        <f t="shared" si="406"/>
        <v>6.4381698921813717</v>
      </c>
      <c r="BI413" s="2155">
        <f t="shared" si="406"/>
        <v>13.603357469766989</v>
      </c>
    </row>
    <row r="414" spans="1:61" s="2403" customFormat="1" ht="26.25" thickBot="1">
      <c r="A414" s="2397"/>
      <c r="B414" s="2398"/>
      <c r="C414" s="2399"/>
      <c r="D414" s="2276"/>
      <c r="E414" s="3693" t="s">
        <v>504</v>
      </c>
      <c r="F414" s="2400" t="s">
        <v>300</v>
      </c>
      <c r="G414" s="2401" t="s">
        <v>35</v>
      </c>
      <c r="H414" s="2402">
        <f t="shared" ref="H414:AM414" si="407">H244/H412</f>
        <v>1.1436988607588969</v>
      </c>
      <c r="I414" s="2402">
        <f t="shared" si="407"/>
        <v>1.1436988607588969</v>
      </c>
      <c r="J414" s="2402">
        <f t="shared" si="407"/>
        <v>1</v>
      </c>
      <c r="K414" s="2402">
        <f t="shared" si="407"/>
        <v>1</v>
      </c>
      <c r="L414" s="2402">
        <f t="shared" si="407"/>
        <v>1</v>
      </c>
      <c r="M414" s="2402">
        <f t="shared" si="407"/>
        <v>1</v>
      </c>
      <c r="N414" s="2402">
        <f t="shared" si="407"/>
        <v>1</v>
      </c>
      <c r="O414" s="2402">
        <f t="shared" si="407"/>
        <v>1</v>
      </c>
      <c r="P414" s="2402">
        <f t="shared" si="407"/>
        <v>1</v>
      </c>
      <c r="Q414" s="2402">
        <f t="shared" si="407"/>
        <v>1</v>
      </c>
      <c r="R414" s="2402">
        <f t="shared" si="407"/>
        <v>1</v>
      </c>
      <c r="S414" s="2402">
        <f t="shared" si="407"/>
        <v>1</v>
      </c>
      <c r="T414" s="2402">
        <f t="shared" si="407"/>
        <v>1</v>
      </c>
      <c r="U414" s="2402">
        <f t="shared" si="407"/>
        <v>1</v>
      </c>
      <c r="V414" s="2402">
        <f t="shared" si="407"/>
        <v>1</v>
      </c>
      <c r="W414" s="2402">
        <f t="shared" si="407"/>
        <v>1</v>
      </c>
      <c r="X414" s="2402">
        <f t="shared" si="407"/>
        <v>1</v>
      </c>
      <c r="Y414" s="2402">
        <f t="shared" si="407"/>
        <v>1</v>
      </c>
      <c r="Z414" s="2402">
        <f t="shared" si="407"/>
        <v>1</v>
      </c>
      <c r="AA414" s="2402">
        <f t="shared" si="407"/>
        <v>1</v>
      </c>
      <c r="AB414" s="2402">
        <f t="shared" si="407"/>
        <v>1</v>
      </c>
      <c r="AC414" s="2402">
        <f t="shared" si="407"/>
        <v>1</v>
      </c>
      <c r="AD414" s="2402">
        <f t="shared" si="407"/>
        <v>1</v>
      </c>
      <c r="AE414" s="2402">
        <f t="shared" si="407"/>
        <v>1.8149656014967406</v>
      </c>
      <c r="AF414" s="2402">
        <f t="shared" si="407"/>
        <v>1.8669893402377011</v>
      </c>
      <c r="AG414" s="2402">
        <f t="shared" si="407"/>
        <v>1</v>
      </c>
      <c r="AH414" s="2402">
        <f t="shared" si="407"/>
        <v>1</v>
      </c>
      <c r="AI414" s="2402">
        <f t="shared" si="407"/>
        <v>1</v>
      </c>
      <c r="AJ414" s="2402">
        <f t="shared" si="407"/>
        <v>1</v>
      </c>
      <c r="AK414" s="2402">
        <f t="shared" si="407"/>
        <v>1</v>
      </c>
      <c r="AL414" s="2402">
        <f t="shared" si="407"/>
        <v>1</v>
      </c>
      <c r="AM414" s="2402">
        <f t="shared" si="407"/>
        <v>4.5672917289721315</v>
      </c>
      <c r="AN414" s="2402">
        <f t="shared" ref="AN414:BI414" si="408">AN244/AN412</f>
        <v>1</v>
      </c>
      <c r="AO414" s="2402">
        <f t="shared" si="408"/>
        <v>1.8894117906559602</v>
      </c>
      <c r="AP414" s="2402">
        <f t="shared" si="408"/>
        <v>1.4348756093433579</v>
      </c>
      <c r="AQ414" s="2402">
        <f t="shared" si="408"/>
        <v>2.3360205635509979</v>
      </c>
      <c r="AR414" s="2402">
        <f t="shared" si="408"/>
        <v>5.5538753430942851</v>
      </c>
      <c r="AS414" s="2402">
        <f t="shared" si="408"/>
        <v>4.8341614791908771</v>
      </c>
      <c r="AT414" s="2402">
        <f t="shared" si="408"/>
        <v>2.68526224900585</v>
      </c>
      <c r="AU414" s="2402">
        <f t="shared" si="408"/>
        <v>2.6457109592457413</v>
      </c>
      <c r="AV414" s="2402">
        <f t="shared" si="408"/>
        <v>1.4731205356258215</v>
      </c>
      <c r="AW414" s="2402">
        <f t="shared" si="408"/>
        <v>1.4599678857032374</v>
      </c>
      <c r="AX414" s="2402">
        <f t="shared" si="408"/>
        <v>1.0215466889938567</v>
      </c>
      <c r="AY414" s="2402">
        <f t="shared" si="408"/>
        <v>1.0143550170013498</v>
      </c>
      <c r="AZ414" s="2402">
        <f t="shared" si="408"/>
        <v>1.0090641058862153</v>
      </c>
      <c r="BA414" s="2402">
        <f t="shared" si="408"/>
        <v>1.0003054530619904</v>
      </c>
      <c r="BB414" s="2402">
        <f t="shared" si="408"/>
        <v>1.0273908456722061</v>
      </c>
      <c r="BC414" s="2402">
        <f t="shared" si="408"/>
        <v>1.0000000059740897</v>
      </c>
      <c r="BD414" s="2402">
        <f t="shared" si="408"/>
        <v>5.577576533677612</v>
      </c>
      <c r="BE414" s="2402">
        <f t="shared" si="408"/>
        <v>1.4393287325978659</v>
      </c>
      <c r="BF414" s="2402">
        <f t="shared" si="408"/>
        <v>1.4393287325978659</v>
      </c>
      <c r="BG414" s="2402">
        <f t="shared" si="408"/>
        <v>1</v>
      </c>
      <c r="BH414" s="2402">
        <f t="shared" si="408"/>
        <v>6.1811208570774712</v>
      </c>
      <c r="BI414" s="2402">
        <f t="shared" si="408"/>
        <v>1.6879410755143032</v>
      </c>
    </row>
    <row r="415" spans="1:61" s="2148" customFormat="1" ht="13.15" customHeight="1">
      <c r="A415" s="2146"/>
      <c r="B415" s="2277"/>
      <c r="C415" s="2143"/>
      <c r="D415" s="2407"/>
      <c r="E415" s="3666"/>
      <c r="F415" s="2120"/>
      <c r="G415" s="2121"/>
      <c r="H415" s="2143"/>
      <c r="I415" s="2143"/>
      <c r="J415" s="2143"/>
      <c r="K415" s="2143"/>
      <c r="L415" s="2143"/>
      <c r="M415" s="2143"/>
      <c r="N415" s="2146"/>
      <c r="O415" s="2146"/>
      <c r="P415" s="2143"/>
      <c r="Q415" s="2143"/>
      <c r="R415" s="2147"/>
      <c r="S415" s="2146"/>
      <c r="T415" s="2146"/>
      <c r="U415" s="2143"/>
      <c r="V415" s="2143"/>
      <c r="W415" s="2146"/>
      <c r="X415" s="2146"/>
      <c r="Y415" s="2146"/>
      <c r="Z415" s="2146"/>
      <c r="AA415" s="2146"/>
      <c r="AB415" s="2146"/>
      <c r="AC415" s="2146"/>
      <c r="AD415" s="2146"/>
      <c r="AE415" s="2146"/>
      <c r="AF415" s="2146"/>
      <c r="AG415" s="2146"/>
      <c r="AH415" s="2146"/>
      <c r="AI415" s="2146"/>
      <c r="AJ415" s="2146"/>
      <c r="AK415" s="2146"/>
      <c r="AL415" s="2146"/>
      <c r="AM415" s="2146"/>
      <c r="AN415" s="2146"/>
      <c r="AO415" s="2146"/>
      <c r="AP415" s="2146"/>
      <c r="AQ415" s="2146"/>
      <c r="AR415" s="2146"/>
      <c r="AS415" s="2146"/>
      <c r="AT415" s="2146"/>
      <c r="AU415" s="2146"/>
      <c r="AV415" s="2146"/>
      <c r="AW415" s="2146"/>
      <c r="AX415" s="2146"/>
      <c r="AY415" s="2146"/>
      <c r="AZ415" s="2146"/>
      <c r="BA415" s="2146"/>
      <c r="BB415" s="2146"/>
      <c r="BC415" s="2146"/>
      <c r="BD415" s="2146"/>
      <c r="BE415" s="2146"/>
      <c r="BF415" s="2146"/>
      <c r="BG415" s="2146"/>
      <c r="BH415" s="2146"/>
      <c r="BI415" s="2146"/>
    </row>
    <row r="416" spans="1:61" s="529" customFormat="1" ht="13.15" customHeight="1">
      <c r="A416" s="523"/>
      <c r="B416" s="224"/>
      <c r="C416" s="524"/>
      <c r="D416" s="4040" t="s">
        <v>638</v>
      </c>
      <c r="E416" s="2406" t="s">
        <v>1153</v>
      </c>
      <c r="F416" s="2404"/>
      <c r="G416" s="2405"/>
      <c r="H416" s="2238"/>
      <c r="I416" s="2238"/>
      <c r="J416" s="2238"/>
      <c r="K416" s="2238"/>
      <c r="L416" s="2238"/>
      <c r="M416" s="2238"/>
      <c r="N416" s="2161"/>
      <c r="O416" s="2161"/>
      <c r="P416" s="2238"/>
      <c r="Q416" s="2161"/>
      <c r="R416" s="2238"/>
      <c r="S416" s="2161"/>
      <c r="T416" s="2161"/>
      <c r="U416" s="2161"/>
      <c r="V416" s="2161"/>
      <c r="W416" s="2161"/>
      <c r="X416" s="2161"/>
      <c r="Y416" s="2161"/>
      <c r="Z416" s="2161"/>
      <c r="AA416" s="2161"/>
      <c r="AB416" s="2161"/>
      <c r="AC416" s="2161"/>
      <c r="AD416" s="2161"/>
      <c r="AE416" s="2161"/>
      <c r="AF416" s="2161"/>
      <c r="AG416" s="2161"/>
      <c r="AH416" s="2161"/>
      <c r="AI416" s="2161"/>
      <c r="AJ416" s="2161"/>
      <c r="AK416" s="2161"/>
      <c r="AL416" s="2161"/>
      <c r="AM416" s="2161"/>
      <c r="AN416" s="2161"/>
      <c r="AO416" s="2161"/>
      <c r="AP416" s="2161"/>
      <c r="AQ416" s="2161"/>
      <c r="AR416" s="2161"/>
      <c r="AS416" s="2161"/>
      <c r="AT416" s="2161"/>
      <c r="AU416" s="2161"/>
      <c r="AV416" s="2161"/>
      <c r="AW416" s="2161"/>
      <c r="AX416" s="2161"/>
      <c r="AY416" s="2161"/>
      <c r="AZ416" s="2161"/>
      <c r="BA416" s="2161"/>
      <c r="BB416" s="2161"/>
      <c r="BC416" s="2161"/>
      <c r="BD416" s="2161"/>
      <c r="BE416" s="2161"/>
      <c r="BF416" s="2161"/>
      <c r="BG416" s="2161"/>
      <c r="BH416" s="2161"/>
      <c r="BI416" s="2161"/>
    </row>
    <row r="417" spans="1:61" s="529" customFormat="1" ht="13.15" customHeight="1">
      <c r="B417" s="224"/>
      <c r="C417" s="2269"/>
      <c r="D417" s="4040"/>
      <c r="E417" s="3694"/>
      <c r="F417" s="2275"/>
      <c r="G417" s="2358"/>
      <c r="H417" s="2300"/>
      <c r="I417" s="2300"/>
      <c r="J417" s="2300"/>
      <c r="K417" s="2300"/>
      <c r="L417" s="2300"/>
      <c r="M417" s="2300"/>
      <c r="N417" s="2155"/>
      <c r="O417" s="2155"/>
      <c r="P417" s="2300"/>
      <c r="Q417" s="2155"/>
      <c r="R417" s="2300"/>
      <c r="S417" s="2155"/>
      <c r="T417" s="2155"/>
      <c r="U417" s="2155"/>
      <c r="V417" s="2155"/>
      <c r="W417" s="2155"/>
      <c r="X417" s="2155"/>
      <c r="Y417" s="2155"/>
      <c r="Z417" s="2155"/>
      <c r="AA417" s="2155"/>
      <c r="AB417" s="2155"/>
      <c r="AC417" s="2155"/>
      <c r="AD417" s="2155"/>
      <c r="AE417" s="2155"/>
      <c r="AF417" s="2155"/>
      <c r="AG417" s="2155"/>
      <c r="AH417" s="2155"/>
      <c r="AI417" s="2155"/>
      <c r="AJ417" s="2155"/>
      <c r="AK417" s="2155"/>
      <c r="AL417" s="2155"/>
      <c r="AM417" s="2155"/>
      <c r="AN417" s="2155"/>
      <c r="AO417" s="2155"/>
      <c r="AP417" s="2155"/>
      <c r="AQ417" s="2155"/>
      <c r="AR417" s="2155"/>
      <c r="AS417" s="2155"/>
      <c r="AT417" s="2155"/>
      <c r="AU417" s="2155"/>
      <c r="AV417" s="2155"/>
      <c r="AW417" s="2155"/>
      <c r="AX417" s="2155"/>
      <c r="AY417" s="2155"/>
      <c r="AZ417" s="2155"/>
      <c r="BA417" s="2155"/>
      <c r="BB417" s="2155"/>
      <c r="BC417" s="2155"/>
      <c r="BD417" s="2155"/>
      <c r="BE417" s="2155"/>
      <c r="BF417" s="2155"/>
      <c r="BG417" s="2155"/>
      <c r="BH417" s="2155"/>
      <c r="BI417" s="2155"/>
    </row>
    <row r="418" spans="1:61" s="529" customFormat="1" ht="13.15" customHeight="1">
      <c r="B418" s="224"/>
      <c r="C418" s="2269"/>
      <c r="D418" s="4040"/>
      <c r="E418" s="3652" t="s">
        <v>602</v>
      </c>
      <c r="F418" s="2153" t="s">
        <v>580</v>
      </c>
      <c r="G418" s="2279" t="str">
        <f>'Du K'!G47</f>
        <v>(mg/m2/s)/(mg/l/m)</v>
      </c>
      <c r="H418" s="2238">
        <f>'Du K'!H47</f>
        <v>1.9159627734629636E-4</v>
      </c>
      <c r="I418" s="2238">
        <f>'Du K'!I47</f>
        <v>1.9159627734629636E-4</v>
      </c>
      <c r="J418" s="2238">
        <f>'Du K'!J47</f>
        <v>1.6071467255706864E-4</v>
      </c>
      <c r="K418" s="2238">
        <f>'Du K'!K47</f>
        <v>3.099490129549467E-4</v>
      </c>
      <c r="L418" s="2238">
        <f>'Du K'!L47</f>
        <v>2.154539868716845E-4</v>
      </c>
      <c r="M418" s="2238">
        <f>'Du K'!M47</f>
        <v>2.154539868716845E-4</v>
      </c>
      <c r="N418" s="2238">
        <f>'Du K'!N47</f>
        <v>2.3105952278671638E-4</v>
      </c>
      <c r="O418" s="2238">
        <f>'Du K'!O47</f>
        <v>2.3105952278671638E-4</v>
      </c>
      <c r="P418" s="2238">
        <f>'Du K'!P47</f>
        <v>2.1056150999831108E-4</v>
      </c>
      <c r="Q418" s="2238">
        <f>'Du K'!Q47</f>
        <v>2.1056150999831108E-4</v>
      </c>
      <c r="R418" s="2238">
        <f>'Du K'!R47</f>
        <v>2.9826785993674505E-3</v>
      </c>
      <c r="S418" s="2238">
        <f>'Du K'!S47</f>
        <v>3.0433620271631741E-4</v>
      </c>
      <c r="T418" s="2238">
        <f>'Du K'!T47</f>
        <v>3.0433620271631741E-4</v>
      </c>
      <c r="U418" s="2238">
        <f>'Du K'!U47</f>
        <v>2.2810231436902058E-4</v>
      </c>
      <c r="V418" s="2238">
        <f>'Du K'!V47</f>
        <v>8.3283203817867459E-5</v>
      </c>
      <c r="W418" s="2238">
        <f>'Du K'!W47</f>
        <v>8.3283203817867459E-5</v>
      </c>
      <c r="X418" s="2238">
        <f>'Du K'!X47</f>
        <v>2.3973378529884719E-4</v>
      </c>
      <c r="Y418" s="2238">
        <f>'Du K'!Y47</f>
        <v>2.1533892865267568E-4</v>
      </c>
      <c r="Z418" s="2238">
        <f>'Du K'!Z47</f>
        <v>1.9744539702761256E-4</v>
      </c>
      <c r="AA418" s="2238">
        <f>'Du K'!AA47</f>
        <v>1.9747346219845099E-4</v>
      </c>
      <c r="AB418" s="2238">
        <f>'Du K'!AB47</f>
        <v>9.2613185438208126E-5</v>
      </c>
      <c r="AC418" s="2238">
        <f>'Du K'!AC47</f>
        <v>8.5532338652184915E-5</v>
      </c>
      <c r="AD418" s="2238">
        <f>'Du K'!AD47</f>
        <v>7.4214880404602782E-5</v>
      </c>
      <c r="AE418" s="2238">
        <f>'Du K'!AE47</f>
        <v>5.8930203647059292E-5</v>
      </c>
      <c r="AF418" s="2238">
        <f>'Du K'!AF47</f>
        <v>5.3206939689122174E-5</v>
      </c>
      <c r="AG418" s="2238">
        <f>'Du K'!AG47</f>
        <v>1.3717655649032317E-4</v>
      </c>
      <c r="AH418" s="2238">
        <f>'Du K'!AH47</f>
        <v>1.1111289627743701E-4</v>
      </c>
      <c r="AI418" s="2238">
        <f>'Du K'!AI47</f>
        <v>8.5471394571485736E-5</v>
      </c>
      <c r="AJ418" s="2238">
        <f>'Du K'!AJ47</f>
        <v>6.944547915373997E-5</v>
      </c>
      <c r="AK418" s="2238">
        <f>'Du K'!AK47</f>
        <v>5.5556347709955414E-5</v>
      </c>
      <c r="AL418" s="2238">
        <f>'Du K'!AL47</f>
        <v>4.1152843081368337E-5</v>
      </c>
      <c r="AM418" s="2238">
        <f>'Du K'!AM47</f>
        <v>3.4722710988504891E-5</v>
      </c>
      <c r="AN418" s="2238">
        <f>'Du K'!AN47</f>
        <v>8.8751752863654547E-5</v>
      </c>
      <c r="AO418" s="2238">
        <f>'Du K'!AO47</f>
        <v>7.5157906736941809E-5</v>
      </c>
      <c r="AP418" s="2238">
        <f>'Du K'!AP47</f>
        <v>7.3520304327643436E-5</v>
      </c>
      <c r="AQ418" s="2238">
        <f>'Du K'!AQ47</f>
        <v>6.8950559553842763E-5</v>
      </c>
      <c r="AR418" s="2238">
        <f>'Du K'!AR47</f>
        <v>6.7112546334183802E-5</v>
      </c>
      <c r="AS418" s="2238">
        <f>'Du K'!AS47</f>
        <v>6.6249840729710685E-5</v>
      </c>
      <c r="AT418" s="2238">
        <f>'Du K'!AT47</f>
        <v>6.8096094535064936E-5</v>
      </c>
      <c r="AU418" s="2238">
        <f>'Du K'!AU47</f>
        <v>6.972920508296619E-5</v>
      </c>
      <c r="AV418" s="2238">
        <f>'Du K'!AV47</f>
        <v>6.9468560136792736E-5</v>
      </c>
      <c r="AW418" s="2238">
        <f>'Du K'!AW47</f>
        <v>7.5708251167043585E-5</v>
      </c>
      <c r="AX418" s="2238">
        <f>'Du K'!AX47</f>
        <v>7.2571461172120768E-4</v>
      </c>
      <c r="AY418" s="2238">
        <f>'Du K'!AY47</f>
        <v>7.2571461172120768E-4</v>
      </c>
      <c r="AZ418" s="2238">
        <f>'Du K'!AZ47</f>
        <v>9.8707850032651585E-4</v>
      </c>
      <c r="BA418" s="2238">
        <f>'Du K'!BA47</f>
        <v>1.3399490006351796E-3</v>
      </c>
      <c r="BB418" s="2238">
        <f>'Du K'!BB47</f>
        <v>1.7805230633235368E-4</v>
      </c>
      <c r="BC418" s="2238">
        <f>'Du K'!BC47</f>
        <v>194.27300552401812</v>
      </c>
      <c r="BD418" s="2238">
        <f>'Du K'!BD47</f>
        <v>2.1306962850719362E-3</v>
      </c>
      <c r="BE418" s="2238">
        <f>'Du K'!BE47</f>
        <v>5.584189215638962E-5</v>
      </c>
      <c r="BF418" s="2238">
        <f>'Du K'!BF47</f>
        <v>5.584189215638962E-5</v>
      </c>
      <c r="BG418" s="2238">
        <f>'Du K'!BG47</f>
        <v>8.9828904678261023E-5</v>
      </c>
      <c r="BH418" s="2238">
        <f>'Du K'!BH47</f>
        <v>1.102364880153907E-3</v>
      </c>
      <c r="BI418" s="2238">
        <f>'Du K'!BI47</f>
        <v>8.6058458905717604E-4</v>
      </c>
    </row>
    <row r="419" spans="1:61" s="529" customFormat="1" ht="25.5">
      <c r="B419" s="224"/>
      <c r="C419" s="2269"/>
      <c r="D419" s="2408"/>
      <c r="E419" s="3652" t="s">
        <v>602</v>
      </c>
      <c r="F419" s="2153" t="s">
        <v>580</v>
      </c>
      <c r="G419" s="2280" t="s">
        <v>604</v>
      </c>
      <c r="H419" s="2238">
        <f>0.1*H418</f>
        <v>1.9159627734629638E-5</v>
      </c>
      <c r="I419" s="2238">
        <f t="shared" ref="I419:BI419" si="409">0.1*I418</f>
        <v>1.9159627734629638E-5</v>
      </c>
      <c r="J419" s="2238">
        <f>0.1*J418</f>
        <v>1.6071467255706863E-5</v>
      </c>
      <c r="K419" s="2238">
        <f t="shared" si="409"/>
        <v>3.0994901295494674E-5</v>
      </c>
      <c r="L419" s="2238">
        <f t="shared" si="409"/>
        <v>2.1545398687168452E-5</v>
      </c>
      <c r="M419" s="2238">
        <f t="shared" si="409"/>
        <v>2.1545398687168452E-5</v>
      </c>
      <c r="N419" s="2238">
        <f>0.1*N418</f>
        <v>2.3105952278671638E-5</v>
      </c>
      <c r="O419" s="2238">
        <f>0.1*O418</f>
        <v>2.3105952278671638E-5</v>
      </c>
      <c r="P419" s="2238">
        <f t="shared" si="409"/>
        <v>2.1056150999831111E-5</v>
      </c>
      <c r="Q419" s="2238">
        <f t="shared" si="409"/>
        <v>2.1056150999831111E-5</v>
      </c>
      <c r="R419" s="2238">
        <f>0.1*R418</f>
        <v>2.9826785993674509E-4</v>
      </c>
      <c r="S419" s="2238">
        <f>0.1*S418</f>
        <v>3.0433620271631744E-5</v>
      </c>
      <c r="T419" s="2238">
        <f>0.1*T418</f>
        <v>3.0433620271631744E-5</v>
      </c>
      <c r="U419" s="2238">
        <f t="shared" si="409"/>
        <v>2.2810231436902059E-5</v>
      </c>
      <c r="V419" s="2238">
        <f t="shared" si="409"/>
        <v>8.3283203817867459E-6</v>
      </c>
      <c r="W419" s="2238">
        <f t="shared" si="409"/>
        <v>8.3283203817867459E-6</v>
      </c>
      <c r="X419" s="2238">
        <f t="shared" si="409"/>
        <v>2.3973378529884719E-5</v>
      </c>
      <c r="Y419" s="2238">
        <f t="shared" si="409"/>
        <v>2.153389286526757E-5</v>
      </c>
      <c r="Z419" s="2238">
        <f t="shared" si="409"/>
        <v>1.9744539702761258E-5</v>
      </c>
      <c r="AA419" s="2238">
        <f t="shared" si="409"/>
        <v>1.97473462198451E-5</v>
      </c>
      <c r="AB419" s="2238">
        <f t="shared" si="409"/>
        <v>9.2613185438208137E-6</v>
      </c>
      <c r="AC419" s="2238">
        <f t="shared" si="409"/>
        <v>8.5532338652184922E-6</v>
      </c>
      <c r="AD419" s="2238">
        <f t="shared" si="409"/>
        <v>7.4214880404602784E-6</v>
      </c>
      <c r="AE419" s="2238">
        <f t="shared" si="409"/>
        <v>5.8930203647059299E-6</v>
      </c>
      <c r="AF419" s="2238">
        <f t="shared" si="409"/>
        <v>5.3206939689122179E-6</v>
      </c>
      <c r="AG419" s="2238">
        <f t="shared" si="409"/>
        <v>1.3717655649032317E-5</v>
      </c>
      <c r="AH419" s="2238">
        <f t="shared" si="409"/>
        <v>1.1111289627743701E-5</v>
      </c>
      <c r="AI419" s="2238">
        <f t="shared" si="409"/>
        <v>8.547139457148574E-6</v>
      </c>
      <c r="AJ419" s="2238">
        <f t="shared" si="409"/>
        <v>6.9445479153739977E-6</v>
      </c>
      <c r="AK419" s="2238">
        <f t="shared" si="409"/>
        <v>5.5556347709955419E-6</v>
      </c>
      <c r="AL419" s="2238">
        <f t="shared" si="409"/>
        <v>4.1152843081368336E-6</v>
      </c>
      <c r="AM419" s="2238">
        <f t="shared" si="409"/>
        <v>3.4722710988504894E-6</v>
      </c>
      <c r="AN419" s="2238">
        <f t="shared" si="409"/>
        <v>8.8751752863654554E-6</v>
      </c>
      <c r="AO419" s="2238">
        <f t="shared" si="409"/>
        <v>7.5157906736941812E-6</v>
      </c>
      <c r="AP419" s="2238">
        <f t="shared" si="409"/>
        <v>7.3520304327643443E-6</v>
      </c>
      <c r="AQ419" s="2238">
        <f t="shared" si="409"/>
        <v>6.8950559553842767E-6</v>
      </c>
      <c r="AR419" s="2238">
        <f t="shared" si="409"/>
        <v>6.7112546334183806E-6</v>
      </c>
      <c r="AS419" s="2238">
        <f t="shared" si="409"/>
        <v>6.624984072971069E-6</v>
      </c>
      <c r="AT419" s="2238">
        <f t="shared" si="409"/>
        <v>6.8096094535064938E-6</v>
      </c>
      <c r="AU419" s="2238">
        <f t="shared" si="409"/>
        <v>6.9729205082966191E-6</v>
      </c>
      <c r="AV419" s="2238">
        <f t="shared" si="409"/>
        <v>6.9468560136792738E-6</v>
      </c>
      <c r="AW419" s="2238">
        <f t="shared" si="409"/>
        <v>7.5708251167043592E-6</v>
      </c>
      <c r="AX419" s="2238">
        <f t="shared" si="409"/>
        <v>7.2571461172120776E-5</v>
      </c>
      <c r="AY419" s="2238">
        <f t="shared" si="409"/>
        <v>7.2571461172120776E-5</v>
      </c>
      <c r="AZ419" s="2238">
        <f t="shared" si="409"/>
        <v>9.8707850032651596E-5</v>
      </c>
      <c r="BA419" s="2238">
        <f t="shared" si="409"/>
        <v>1.3399490006351796E-4</v>
      </c>
      <c r="BB419" s="2238">
        <f t="shared" si="409"/>
        <v>1.7805230633235369E-5</v>
      </c>
      <c r="BC419" s="2238">
        <f t="shared" si="409"/>
        <v>19.427300552401814</v>
      </c>
      <c r="BD419" s="2238">
        <f t="shared" si="409"/>
        <v>2.1306962850719364E-4</v>
      </c>
      <c r="BE419" s="2238">
        <f t="shared" si="409"/>
        <v>5.584189215638962E-6</v>
      </c>
      <c r="BF419" s="2238">
        <f t="shared" si="409"/>
        <v>5.584189215638962E-6</v>
      </c>
      <c r="BG419" s="2238">
        <f t="shared" si="409"/>
        <v>8.982890467826103E-6</v>
      </c>
      <c r="BH419" s="2238">
        <f t="shared" si="409"/>
        <v>1.1023648801539071E-4</v>
      </c>
      <c r="BI419" s="2238">
        <f t="shared" si="409"/>
        <v>8.6058458905717607E-5</v>
      </c>
    </row>
    <row r="420" spans="1:61" s="529" customFormat="1">
      <c r="B420" s="224"/>
      <c r="C420" s="2269"/>
      <c r="D420" s="2409" t="s">
        <v>1018</v>
      </c>
      <c r="E420" s="3652" t="str">
        <f>E13</f>
        <v>CT du sol à l'air du sol, zone source</v>
      </c>
      <c r="F420" s="2153" t="str">
        <f t="shared" ref="F420:H421" si="410">F13</f>
        <v xml:space="preserve">CTs--&gt;sa </v>
      </c>
      <c r="G420" s="2280" t="str">
        <f t="shared" si="410"/>
        <v>(mg/l air)/(mg/kg ms)</v>
      </c>
      <c r="H420" s="2238">
        <f t="shared" si="410"/>
        <v>2.6344915493597683E-3</v>
      </c>
      <c r="I420" s="2238">
        <f t="shared" ref="I420:BI420" si="411">I13</f>
        <v>2.6344915493597683E-3</v>
      </c>
      <c r="J420" s="2238">
        <f>J13</f>
        <v>1.7294665170559827E-2</v>
      </c>
      <c r="K420" s="2238">
        <f t="shared" si="411"/>
        <v>3.8533137340406047</v>
      </c>
      <c r="L420" s="2238">
        <f t="shared" si="411"/>
        <v>0.72043886661145617</v>
      </c>
      <c r="M420" s="2238">
        <f t="shared" si="411"/>
        <v>0.72043886661145617</v>
      </c>
      <c r="N420" s="2238">
        <f>N13</f>
        <v>1.4209304329284909</v>
      </c>
      <c r="O420" s="2238">
        <f>O13</f>
        <v>1.4209304329284909</v>
      </c>
      <c r="P420" s="2238">
        <f t="shared" si="411"/>
        <v>1.5512881309499849</v>
      </c>
      <c r="Q420" s="2238">
        <f t="shared" si="411"/>
        <v>1.5512881309499849</v>
      </c>
      <c r="R420" s="2238">
        <f t="shared" ref="R420:T421" si="412">R13</f>
        <v>0.62357526395766227</v>
      </c>
      <c r="S420" s="2238">
        <f t="shared" si="412"/>
        <v>0.58502321443335115</v>
      </c>
      <c r="T420" s="2238">
        <f t="shared" si="412"/>
        <v>0.58502321443335115</v>
      </c>
      <c r="U420" s="2238">
        <f t="shared" si="411"/>
        <v>2.7542637283837155</v>
      </c>
      <c r="V420" s="2238">
        <f t="shared" si="411"/>
        <v>4.5081833000455136</v>
      </c>
      <c r="W420" s="2238">
        <f t="shared" si="411"/>
        <v>4.5081833000455136</v>
      </c>
      <c r="X420" s="2238">
        <f t="shared" si="411"/>
        <v>0.86485661989017704</v>
      </c>
      <c r="Y420" s="2238">
        <f t="shared" si="411"/>
        <v>0.59939659773856913</v>
      </c>
      <c r="Z420" s="2238">
        <f t="shared" si="411"/>
        <v>0.35497292270791519</v>
      </c>
      <c r="AA420" s="2238">
        <f t="shared" si="411"/>
        <v>0.23813702260309097</v>
      </c>
      <c r="AB420" s="2238">
        <f t="shared" si="411"/>
        <v>0.26932603294411983</v>
      </c>
      <c r="AC420" s="2238">
        <f t="shared" si="411"/>
        <v>5.2554793006195942E-2</v>
      </c>
      <c r="AD420" s="2238">
        <f t="shared" si="411"/>
        <v>1.028672332145031E-2</v>
      </c>
      <c r="AE420" s="2238">
        <f t="shared" si="411"/>
        <v>1.2826753318511306E-3</v>
      </c>
      <c r="AF420" s="2238">
        <f t="shared" si="411"/>
        <v>5.316364815255657E-6</v>
      </c>
      <c r="AG420" s="2238">
        <f t="shared" si="411"/>
        <v>6.1940871390656476</v>
      </c>
      <c r="AH420" s="2238">
        <f t="shared" si="411"/>
        <v>4.6377578561443125</v>
      </c>
      <c r="AI420" s="2238">
        <f t="shared" si="411"/>
        <v>1.8857794422825369</v>
      </c>
      <c r="AJ420" s="2238">
        <f t="shared" si="411"/>
        <v>0.44889687551390439</v>
      </c>
      <c r="AK420" s="2238">
        <f t="shared" si="411"/>
        <v>0.10233523087107475</v>
      </c>
      <c r="AL420" s="2238">
        <f t="shared" si="411"/>
        <v>7.7579419375401505E-3</v>
      </c>
      <c r="AM420" s="2238">
        <f t="shared" si="411"/>
        <v>5.3702795063791613E-5</v>
      </c>
      <c r="AN420" s="2238">
        <f t="shared" si="411"/>
        <v>4.2745064887962942E-3</v>
      </c>
      <c r="AO420" s="2238">
        <f t="shared" si="411"/>
        <v>1.1674416703897762E-3</v>
      </c>
      <c r="AP420" s="2238">
        <f t="shared" si="411"/>
        <v>1.9530721705911089E-3</v>
      </c>
      <c r="AQ420" s="2238">
        <f t="shared" si="411"/>
        <v>7.9082569474491784E-4</v>
      </c>
      <c r="AR420" s="2238">
        <f t="shared" si="411"/>
        <v>1.5833670554255824E-4</v>
      </c>
      <c r="AS420" s="2238">
        <f t="shared" si="411"/>
        <v>2.0451082714404039E-4</v>
      </c>
      <c r="AT420" s="2238">
        <f t="shared" si="411"/>
        <v>1.4928371240425742E-5</v>
      </c>
      <c r="AU420" s="2238">
        <f t="shared" si="411"/>
        <v>1.4361262823078675E-5</v>
      </c>
      <c r="AV420" s="2238">
        <f t="shared" si="411"/>
        <v>2.2911220155058073E-6</v>
      </c>
      <c r="AW420" s="2238">
        <f t="shared" si="411"/>
        <v>2.2076853681384034E-6</v>
      </c>
      <c r="AX420" s="2238">
        <f t="shared" si="411"/>
        <v>7.7706494784308E-8</v>
      </c>
      <c r="AY420" s="2238">
        <f t="shared" si="411"/>
        <v>5.3329663902576084E-8</v>
      </c>
      <c r="AZ420" s="2238">
        <f t="shared" si="411"/>
        <v>3.5612607863435813E-8</v>
      </c>
      <c r="BA420" s="2238">
        <f t="shared" si="411"/>
        <v>6.1506611409422915E-9</v>
      </c>
      <c r="BB420" s="2238">
        <f t="shared" si="411"/>
        <v>9.7385899742535777E-8</v>
      </c>
      <c r="BC420" s="2238">
        <f t="shared" si="411"/>
        <v>2.587068821863014E-14</v>
      </c>
      <c r="BD420" s="2238">
        <f t="shared" si="411"/>
        <v>9.3547154384050266E-5</v>
      </c>
      <c r="BE420" s="2238">
        <f t="shared" si="411"/>
        <v>2.0762670819205671E-6</v>
      </c>
      <c r="BF420" s="2238">
        <f t="shared" si="411"/>
        <v>2.0762670819205671E-6</v>
      </c>
      <c r="BG420" s="2238">
        <f t="shared" si="411"/>
        <v>3.7704368743318515</v>
      </c>
      <c r="BH420" s="2238">
        <f t="shared" si="411"/>
        <v>1.2439792874542166E-4</v>
      </c>
      <c r="BI420" s="2238">
        <f t="shared" si="411"/>
        <v>9.6251339173241269E-4</v>
      </c>
    </row>
    <row r="421" spans="1:61" s="529" customFormat="1">
      <c r="B421" s="224"/>
      <c r="C421" s="2269"/>
      <c r="D421" s="4045" t="str">
        <f>D214</f>
        <v>Sable limoneux</v>
      </c>
      <c r="E421" s="3652" t="str">
        <f>E14</f>
        <v>densité du sol sec en place, zone source</v>
      </c>
      <c r="F421" s="2153" t="str">
        <f t="shared" si="410"/>
        <v>SD</v>
      </c>
      <c r="G421" s="2280" t="str">
        <f t="shared" si="410"/>
        <v>kg ms/l de sol sec</v>
      </c>
      <c r="H421" s="2238">
        <f t="shared" si="410"/>
        <v>1.5</v>
      </c>
      <c r="I421" s="2238">
        <f t="shared" ref="I421:BI421" si="413">I14</f>
        <v>1.5</v>
      </c>
      <c r="J421" s="2238">
        <f>J14</f>
        <v>1.5</v>
      </c>
      <c r="K421" s="2238">
        <f t="shared" si="413"/>
        <v>1.5</v>
      </c>
      <c r="L421" s="2238">
        <f t="shared" si="413"/>
        <v>1.5</v>
      </c>
      <c r="M421" s="2238">
        <f t="shared" si="413"/>
        <v>1.5</v>
      </c>
      <c r="N421" s="2238">
        <f>N14</f>
        <v>1.5</v>
      </c>
      <c r="O421" s="2238">
        <f>O14</f>
        <v>1.5</v>
      </c>
      <c r="P421" s="2238">
        <f t="shared" si="413"/>
        <v>1.5</v>
      </c>
      <c r="Q421" s="2238">
        <f t="shared" si="413"/>
        <v>1.5</v>
      </c>
      <c r="R421" s="2238">
        <f t="shared" si="412"/>
        <v>1.5</v>
      </c>
      <c r="S421" s="2238">
        <f t="shared" si="412"/>
        <v>1.5</v>
      </c>
      <c r="T421" s="2238">
        <f t="shared" si="412"/>
        <v>1.5</v>
      </c>
      <c r="U421" s="2238">
        <f t="shared" si="413"/>
        <v>1.5</v>
      </c>
      <c r="V421" s="2238">
        <f t="shared" si="413"/>
        <v>1.5</v>
      </c>
      <c r="W421" s="2238">
        <f t="shared" si="413"/>
        <v>1.5</v>
      </c>
      <c r="X421" s="2238">
        <f t="shared" si="413"/>
        <v>1.5</v>
      </c>
      <c r="Y421" s="2238">
        <f t="shared" si="413"/>
        <v>1.5</v>
      </c>
      <c r="Z421" s="2238">
        <f t="shared" si="413"/>
        <v>1.5</v>
      </c>
      <c r="AA421" s="2238">
        <f t="shared" si="413"/>
        <v>1.5</v>
      </c>
      <c r="AB421" s="2238">
        <f t="shared" si="413"/>
        <v>1.5</v>
      </c>
      <c r="AC421" s="2238">
        <f t="shared" si="413"/>
        <v>1.5</v>
      </c>
      <c r="AD421" s="2238">
        <f t="shared" si="413"/>
        <v>1.5</v>
      </c>
      <c r="AE421" s="2238">
        <f t="shared" si="413"/>
        <v>1.5</v>
      </c>
      <c r="AF421" s="2238">
        <f t="shared" si="413"/>
        <v>1.5</v>
      </c>
      <c r="AG421" s="2238">
        <f t="shared" si="413"/>
        <v>1.5</v>
      </c>
      <c r="AH421" s="2238">
        <f t="shared" si="413"/>
        <v>1.5</v>
      </c>
      <c r="AI421" s="2238">
        <f t="shared" si="413"/>
        <v>1.5</v>
      </c>
      <c r="AJ421" s="2238">
        <f t="shared" si="413"/>
        <v>1.5</v>
      </c>
      <c r="AK421" s="2238">
        <f t="shared" si="413"/>
        <v>1.5</v>
      </c>
      <c r="AL421" s="2238">
        <f t="shared" si="413"/>
        <v>1.5</v>
      </c>
      <c r="AM421" s="2238">
        <f t="shared" si="413"/>
        <v>1.5</v>
      </c>
      <c r="AN421" s="2238">
        <f t="shared" si="413"/>
        <v>1.5</v>
      </c>
      <c r="AO421" s="2238">
        <f t="shared" si="413"/>
        <v>1.5</v>
      </c>
      <c r="AP421" s="2238">
        <f t="shared" si="413"/>
        <v>1.5</v>
      </c>
      <c r="AQ421" s="2238">
        <f t="shared" si="413"/>
        <v>1.5</v>
      </c>
      <c r="AR421" s="2238">
        <f t="shared" si="413"/>
        <v>1.5</v>
      </c>
      <c r="AS421" s="2238">
        <f t="shared" si="413"/>
        <v>1.5</v>
      </c>
      <c r="AT421" s="2238">
        <f t="shared" si="413"/>
        <v>1.5</v>
      </c>
      <c r="AU421" s="2238">
        <f t="shared" si="413"/>
        <v>1.5</v>
      </c>
      <c r="AV421" s="2238">
        <f t="shared" si="413"/>
        <v>1.5</v>
      </c>
      <c r="AW421" s="2238">
        <f t="shared" si="413"/>
        <v>1.5</v>
      </c>
      <c r="AX421" s="2238">
        <f t="shared" si="413"/>
        <v>1.5</v>
      </c>
      <c r="AY421" s="2238">
        <f t="shared" si="413"/>
        <v>1.5</v>
      </c>
      <c r="AZ421" s="2238">
        <f t="shared" si="413"/>
        <v>1.5</v>
      </c>
      <c r="BA421" s="2238">
        <f t="shared" si="413"/>
        <v>1.5</v>
      </c>
      <c r="BB421" s="2238">
        <f t="shared" si="413"/>
        <v>1.5</v>
      </c>
      <c r="BC421" s="2238">
        <f t="shared" si="413"/>
        <v>1.5</v>
      </c>
      <c r="BD421" s="2238">
        <f t="shared" si="413"/>
        <v>1.5</v>
      </c>
      <c r="BE421" s="2238">
        <f t="shared" si="413"/>
        <v>1.5</v>
      </c>
      <c r="BF421" s="2238">
        <f t="shared" si="413"/>
        <v>1.5</v>
      </c>
      <c r="BG421" s="2238">
        <f t="shared" si="413"/>
        <v>1.5</v>
      </c>
      <c r="BH421" s="2238">
        <f t="shared" si="413"/>
        <v>1.5</v>
      </c>
      <c r="BI421" s="2238">
        <f t="shared" si="413"/>
        <v>1.5</v>
      </c>
    </row>
    <row r="422" spans="1:61" s="529" customFormat="1" ht="25.5">
      <c r="B422" s="224"/>
      <c r="C422" s="2269"/>
      <c r="D422" s="4045"/>
      <c r="E422" s="3652" t="s">
        <v>603</v>
      </c>
      <c r="F422" s="2158" t="s">
        <v>1133</v>
      </c>
      <c r="G422" s="2280" t="s">
        <v>605</v>
      </c>
      <c r="H422" s="2238">
        <f>H419*H420/H421</f>
        <v>3.365058490384055E-8</v>
      </c>
      <c r="I422" s="2238">
        <f t="shared" ref="I422:BI422" si="414">I419*I420/I421</f>
        <v>3.365058490384055E-8</v>
      </c>
      <c r="J422" s="2238">
        <f>J419*J420/J421</f>
        <v>1.8530042999137747E-7</v>
      </c>
      <c r="K422" s="2238">
        <f t="shared" si="414"/>
        <v>7.9622052564775033E-5</v>
      </c>
      <c r="L422" s="2238">
        <f t="shared" si="414"/>
        <v>1.0348095073917063E-5</v>
      </c>
      <c r="M422" s="2238">
        <f t="shared" si="414"/>
        <v>1.0348095073917063E-5</v>
      </c>
      <c r="N422" s="2238">
        <f>N419*N420/N421</f>
        <v>2.1887967183038627E-5</v>
      </c>
      <c r="O422" s="2238">
        <f>O419*O420/O421</f>
        <v>2.1887967183038627E-5</v>
      </c>
      <c r="P422" s="2238">
        <f t="shared" si="414"/>
        <v>2.1776104753019104E-5</v>
      </c>
      <c r="Q422" s="2238">
        <f t="shared" si="414"/>
        <v>2.1776104753019104E-5</v>
      </c>
      <c r="R422" s="2238">
        <f>R419*R420/R421</f>
        <v>1.2399497299342858E-4</v>
      </c>
      <c r="S422" s="2238">
        <f>S419*S420/S421</f>
        <v>1.1869582905436001E-5</v>
      </c>
      <c r="T422" s="2238">
        <f>T419*T420/T421</f>
        <v>1.1869582905436001E-5</v>
      </c>
      <c r="U422" s="2238">
        <f t="shared" si="414"/>
        <v>4.1883595388464868E-5</v>
      </c>
      <c r="V422" s="2238">
        <f t="shared" si="414"/>
        <v>2.5030396575066456E-5</v>
      </c>
      <c r="W422" s="2238">
        <f t="shared" si="414"/>
        <v>2.5030396575066456E-5</v>
      </c>
      <c r="X422" s="2238">
        <f t="shared" si="414"/>
        <v>1.3822356748469225E-5</v>
      </c>
      <c r="Y422" s="2238">
        <f t="shared" si="414"/>
        <v>8.6048947463388206E-6</v>
      </c>
      <c r="Z422" s="2238">
        <f t="shared" si="414"/>
        <v>4.672517977207756E-6</v>
      </c>
      <c r="AA422" s="2238">
        <f t="shared" si="414"/>
        <v>3.1350494887375438E-6</v>
      </c>
      <c r="AB422" s="2238">
        <f t="shared" si="414"/>
        <v>1.6628761221593815E-6</v>
      </c>
      <c r="AC422" s="2238">
        <f t="shared" si="414"/>
        <v>2.996756235467621E-7</v>
      </c>
      <c r="AD422" s="2238">
        <f t="shared" si="414"/>
        <v>5.0895196070444875E-8</v>
      </c>
      <c r="AE422" s="2238">
        <f t="shared" si="414"/>
        <v>5.0392212346030998E-9</v>
      </c>
      <c r="AF422" s="2238">
        <f t="shared" si="414"/>
        <v>1.8857833472711929E-11</v>
      </c>
      <c r="AG422" s="2238">
        <f t="shared" si="414"/>
        <v>5.6645569622534868E-5</v>
      </c>
      <c r="AH422" s="2238">
        <f t="shared" si="414"/>
        <v>3.4354313841975442E-5</v>
      </c>
      <c r="AI422" s="2238">
        <f t="shared" si="414"/>
        <v>1.0745346585741802E-5</v>
      </c>
      <c r="AJ422" s="2238">
        <f t="shared" si="414"/>
        <v>2.0782572407119905E-6</v>
      </c>
      <c r="AK422" s="2238">
        <f t="shared" si="414"/>
        <v>3.7902477795013288E-7</v>
      </c>
      <c r="AL422" s="2238">
        <f t="shared" si="414"/>
        <v>2.1284091145997097E-8</v>
      </c>
      <c r="AM422" s="2238">
        <f t="shared" si="414"/>
        <v>1.2431377548499623E-10</v>
      </c>
      <c r="AN422" s="2238">
        <f t="shared" si="414"/>
        <v>2.5291329567182434E-8</v>
      </c>
      <c r="AO422" s="2238">
        <f t="shared" si="414"/>
        <v>5.8494981455982915E-9</v>
      </c>
      <c r="AP422" s="2238">
        <f t="shared" si="414"/>
        <v>9.5726973570472986E-9</v>
      </c>
      <c r="AQ422" s="2238">
        <f t="shared" si="414"/>
        <v>3.6351916108145695E-9</v>
      </c>
      <c r="AR422" s="2238">
        <f t="shared" si="414"/>
        <v>7.0842529914179717E-10</v>
      </c>
      <c r="AS422" s="2238">
        <f t="shared" si="414"/>
        <v>9.0325398171960469E-10</v>
      </c>
      <c r="AT422" s="2238">
        <f t="shared" si="414"/>
        <v>6.7770918616171726E-11</v>
      </c>
      <c r="AU422" s="2238">
        <f t="shared" si="414"/>
        <v>6.6759962709388725E-11</v>
      </c>
      <c r="AV422" s="2238">
        <f t="shared" si="414"/>
        <v>1.061072983432633E-11</v>
      </c>
      <c r="AW422" s="2238">
        <f t="shared" si="414"/>
        <v>1.1142666556588624E-11</v>
      </c>
      <c r="AX422" s="2238">
        <f t="shared" si="414"/>
        <v>3.7595159127073426E-12</v>
      </c>
      <c r="AY422" s="2238">
        <f t="shared" si="414"/>
        <v>2.5801410888187006E-12</v>
      </c>
      <c r="AZ422" s="2238">
        <f t="shared" si="414"/>
        <v>2.3434959708371008E-12</v>
      </c>
      <c r="BA422" s="2238">
        <f t="shared" si="414"/>
        <v>5.4943814993675044E-13</v>
      </c>
      <c r="BB422" s="2238">
        <f t="shared" si="414"/>
        <v>1.1559856035606576E-12</v>
      </c>
      <c r="BC422" s="2238">
        <f t="shared" si="414"/>
        <v>3.350650903472056E-13</v>
      </c>
      <c r="BD422" s="2238">
        <f t="shared" si="414"/>
        <v>1.3288038288343121E-8</v>
      </c>
      <c r="BE422" s="2238">
        <f t="shared" si="414"/>
        <v>7.7295121650980058E-12</v>
      </c>
      <c r="BF422" s="2238">
        <f t="shared" si="414"/>
        <v>7.7295121650980058E-12</v>
      </c>
      <c r="BG422" s="2238">
        <f t="shared" si="414"/>
        <v>2.257961430531709E-5</v>
      </c>
      <c r="BH422" s="2238">
        <f t="shared" si="414"/>
        <v>9.1421271875227341E-9</v>
      </c>
      <c r="BI422" s="2238">
        <f t="shared" si="414"/>
        <v>5.5221612779071138E-8</v>
      </c>
    </row>
    <row r="423" spans="1:61" s="529" customFormat="1" ht="13.15" customHeight="1">
      <c r="B423" s="224"/>
      <c r="C423" s="2269"/>
      <c r="D423" s="2410"/>
      <c r="E423" s="3653"/>
      <c r="F423" s="2158"/>
      <c r="G423" s="2279"/>
      <c r="H423" s="2238"/>
      <c r="I423" s="2238"/>
      <c r="J423" s="2238"/>
      <c r="K423" s="2238"/>
      <c r="L423" s="2238"/>
      <c r="M423" s="2238"/>
      <c r="N423" s="2238"/>
      <c r="O423" s="2238"/>
      <c r="P423" s="2238"/>
      <c r="Q423" s="2238"/>
      <c r="R423" s="2238"/>
      <c r="S423" s="2238"/>
      <c r="T423" s="2238"/>
      <c r="U423" s="2238"/>
      <c r="V423" s="2238"/>
      <c r="W423" s="2238"/>
      <c r="X423" s="2238"/>
      <c r="Y423" s="2238"/>
      <c r="Z423" s="2238"/>
      <c r="AA423" s="2238"/>
      <c r="AB423" s="2238"/>
      <c r="AC423" s="2238"/>
      <c r="AD423" s="2238"/>
      <c r="AE423" s="2238"/>
      <c r="AF423" s="2238"/>
      <c r="AG423" s="2238"/>
      <c r="AH423" s="2238"/>
      <c r="AI423" s="2238"/>
      <c r="AJ423" s="2238"/>
      <c r="AK423" s="2238"/>
      <c r="AL423" s="2238"/>
      <c r="AM423" s="2238"/>
      <c r="AN423" s="2238"/>
      <c r="AO423" s="2238"/>
      <c r="AP423" s="2238"/>
      <c r="AQ423" s="2238"/>
      <c r="AR423" s="2238"/>
      <c r="AS423" s="2238"/>
      <c r="AT423" s="2238"/>
      <c r="AU423" s="2238"/>
      <c r="AV423" s="2238"/>
      <c r="AW423" s="2238"/>
      <c r="AX423" s="2238"/>
      <c r="AY423" s="2238"/>
      <c r="AZ423" s="2238"/>
      <c r="BA423" s="2238"/>
      <c r="BB423" s="2238"/>
      <c r="BC423" s="2238"/>
      <c r="BD423" s="2238"/>
      <c r="BE423" s="2238"/>
      <c r="BF423" s="2238"/>
      <c r="BG423" s="2238"/>
      <c r="BH423" s="2238"/>
      <c r="BI423" s="2238"/>
    </row>
    <row r="424" spans="1:61" s="529" customFormat="1" ht="13.15" customHeight="1">
      <c r="B424" s="224"/>
      <c r="C424" s="2269"/>
      <c r="D424" s="2410"/>
      <c r="E424" s="3654" t="str">
        <f>E70</f>
        <v>Période chronique</v>
      </c>
      <c r="F424" s="2237"/>
      <c r="G424" s="526"/>
      <c r="H424" s="2161"/>
      <c r="I424" s="2161"/>
      <c r="J424" s="2161"/>
      <c r="K424" s="2161"/>
      <c r="L424" s="2161"/>
      <c r="M424" s="2161"/>
      <c r="N424" s="2161"/>
      <c r="O424" s="2161"/>
      <c r="P424" s="2161"/>
      <c r="Q424" s="2161"/>
      <c r="R424" s="2161"/>
      <c r="S424" s="2161"/>
      <c r="T424" s="2161"/>
      <c r="U424" s="2161"/>
      <c r="V424" s="2161"/>
      <c r="W424" s="2161"/>
      <c r="X424" s="2161"/>
      <c r="Y424" s="2161"/>
      <c r="Z424" s="2161"/>
      <c r="AA424" s="2161"/>
      <c r="AB424" s="2161"/>
      <c r="AC424" s="2161"/>
      <c r="AD424" s="2161"/>
      <c r="AE424" s="2161"/>
      <c r="AF424" s="2161"/>
      <c r="AG424" s="2161"/>
      <c r="AH424" s="2161"/>
      <c r="AI424" s="2161"/>
      <c r="AJ424" s="2161"/>
      <c r="AK424" s="2161"/>
      <c r="AL424" s="2161"/>
      <c r="AM424" s="2161"/>
      <c r="AN424" s="2161"/>
      <c r="AO424" s="2161"/>
      <c r="AP424" s="2161"/>
      <c r="AQ424" s="2161"/>
      <c r="AR424" s="2161"/>
      <c r="AS424" s="2161"/>
      <c r="AT424" s="2161"/>
      <c r="AU424" s="2161"/>
      <c r="AV424" s="2161"/>
      <c r="AW424" s="2161"/>
      <c r="AX424" s="2161"/>
      <c r="AY424" s="2161"/>
      <c r="AZ424" s="2161"/>
      <c r="BA424" s="2161"/>
      <c r="BB424" s="2161"/>
      <c r="BC424" s="2161"/>
      <c r="BD424" s="2161"/>
      <c r="BE424" s="2161"/>
      <c r="BF424" s="2161"/>
      <c r="BG424" s="2161"/>
      <c r="BH424" s="2161"/>
      <c r="BI424" s="2161"/>
    </row>
    <row r="425" spans="1:61">
      <c r="A425" s="2126"/>
      <c r="B425" s="2156"/>
      <c r="C425" s="2156"/>
      <c r="D425" s="2410"/>
      <c r="E425" s="3655" t="str">
        <f>E17</f>
        <v>Durée d'exposition considérée</v>
      </c>
      <c r="F425" s="525" t="str">
        <f t="shared" ref="F425:G426" si="415">F17</f>
        <v>t</v>
      </c>
      <c r="G425" s="526" t="str">
        <f t="shared" si="415"/>
        <v>an</v>
      </c>
      <c r="H425" s="2224">
        <f t="shared" ref="H425:AL425" si="416">H426/(365*24*3600)</f>
        <v>7</v>
      </c>
      <c r="I425" s="2224">
        <f t="shared" si="416"/>
        <v>7</v>
      </c>
      <c r="J425" s="2224">
        <f>J426/(365*24*3600)</f>
        <v>7</v>
      </c>
      <c r="K425" s="2224">
        <f t="shared" si="416"/>
        <v>1</v>
      </c>
      <c r="L425" s="2224">
        <f t="shared" si="416"/>
        <v>1</v>
      </c>
      <c r="M425" s="2224">
        <f t="shared" si="416"/>
        <v>1</v>
      </c>
      <c r="N425" s="2224">
        <f>N426/(365*24*3600)</f>
        <v>1</v>
      </c>
      <c r="O425" s="2224">
        <f>O426/(365*24*3600)</f>
        <v>1</v>
      </c>
      <c r="P425" s="2224">
        <f t="shared" si="416"/>
        <v>1</v>
      </c>
      <c r="Q425" s="2224">
        <f t="shared" si="416"/>
        <v>1</v>
      </c>
      <c r="R425" s="2224">
        <f>R426/(365*24*3600)</f>
        <v>1</v>
      </c>
      <c r="S425" s="2224">
        <f>S426/(365*24*3600)</f>
        <v>1</v>
      </c>
      <c r="T425" s="2224">
        <f>T426/(365*24*3600)</f>
        <v>1</v>
      </c>
      <c r="U425" s="2224">
        <f t="shared" si="416"/>
        <v>1</v>
      </c>
      <c r="V425" s="2224">
        <f t="shared" si="416"/>
        <v>1</v>
      </c>
      <c r="W425" s="2224">
        <f t="shared" si="416"/>
        <v>1</v>
      </c>
      <c r="X425" s="2224">
        <f t="shared" si="416"/>
        <v>1</v>
      </c>
      <c r="Y425" s="2224">
        <f t="shared" si="416"/>
        <v>1</v>
      </c>
      <c r="Z425" s="2224">
        <f t="shared" si="416"/>
        <v>1</v>
      </c>
      <c r="AA425" s="2224">
        <f t="shared" si="416"/>
        <v>7</v>
      </c>
      <c r="AB425" s="2224">
        <f t="shared" si="416"/>
        <v>1</v>
      </c>
      <c r="AC425" s="2224">
        <f t="shared" si="416"/>
        <v>1</v>
      </c>
      <c r="AD425" s="2224">
        <f t="shared" si="416"/>
        <v>1</v>
      </c>
      <c r="AE425" s="2224">
        <f t="shared" si="416"/>
        <v>1</v>
      </c>
      <c r="AF425" s="2224">
        <f t="shared" si="416"/>
        <v>1</v>
      </c>
      <c r="AG425" s="2224">
        <f t="shared" si="416"/>
        <v>1</v>
      </c>
      <c r="AH425" s="2224">
        <f t="shared" si="416"/>
        <v>1</v>
      </c>
      <c r="AI425" s="2224">
        <f t="shared" si="416"/>
        <v>1</v>
      </c>
      <c r="AJ425" s="2224">
        <f t="shared" si="416"/>
        <v>1</v>
      </c>
      <c r="AK425" s="2224">
        <f t="shared" si="416"/>
        <v>1</v>
      </c>
      <c r="AL425" s="2224">
        <f t="shared" si="416"/>
        <v>1</v>
      </c>
      <c r="AM425" s="2224">
        <f t="shared" ref="AM425:BI425" si="417">AM426/(365*24*3600)</f>
        <v>1</v>
      </c>
      <c r="AN425" s="2224">
        <f t="shared" si="417"/>
        <v>7</v>
      </c>
      <c r="AO425" s="2224">
        <f t="shared" si="417"/>
        <v>1</v>
      </c>
      <c r="AP425" s="2224">
        <f t="shared" si="417"/>
        <v>1</v>
      </c>
      <c r="AQ425" s="2224">
        <f t="shared" si="417"/>
        <v>1</v>
      </c>
      <c r="AR425" s="2224">
        <f t="shared" si="417"/>
        <v>1</v>
      </c>
      <c r="AS425" s="2224">
        <f t="shared" si="417"/>
        <v>1</v>
      </c>
      <c r="AT425" s="2224">
        <f t="shared" si="417"/>
        <v>1</v>
      </c>
      <c r="AU425" s="2224">
        <f t="shared" si="417"/>
        <v>1</v>
      </c>
      <c r="AV425" s="2224">
        <f t="shared" si="417"/>
        <v>1</v>
      </c>
      <c r="AW425" s="2224">
        <f t="shared" si="417"/>
        <v>1</v>
      </c>
      <c r="AX425" s="2224">
        <f t="shared" si="417"/>
        <v>1</v>
      </c>
      <c r="AY425" s="2224">
        <f t="shared" si="417"/>
        <v>1</v>
      </c>
      <c r="AZ425" s="2224">
        <f t="shared" si="417"/>
        <v>1</v>
      </c>
      <c r="BA425" s="2224">
        <f t="shared" si="417"/>
        <v>1</v>
      </c>
      <c r="BB425" s="2224">
        <f t="shared" si="417"/>
        <v>1</v>
      </c>
      <c r="BC425" s="2224">
        <f t="shared" si="417"/>
        <v>1</v>
      </c>
      <c r="BD425" s="2224">
        <f t="shared" si="417"/>
        <v>1</v>
      </c>
      <c r="BE425" s="2224">
        <f t="shared" si="417"/>
        <v>1</v>
      </c>
      <c r="BF425" s="2224">
        <f t="shared" si="417"/>
        <v>1</v>
      </c>
      <c r="BG425" s="2224">
        <f t="shared" si="417"/>
        <v>1</v>
      </c>
      <c r="BH425" s="2224">
        <f t="shared" si="417"/>
        <v>1</v>
      </c>
      <c r="BI425" s="2224">
        <f t="shared" si="417"/>
        <v>7</v>
      </c>
    </row>
    <row r="426" spans="1:61" s="2216" customFormat="1" ht="13.15" customHeight="1">
      <c r="A426" s="2213"/>
      <c r="B426" s="2214"/>
      <c r="C426" s="2213"/>
      <c r="D426" s="2410"/>
      <c r="E426" s="3656" t="str">
        <f>E18</f>
        <v>Durée d'exposition considérée</v>
      </c>
      <c r="F426" s="2208" t="str">
        <f t="shared" si="415"/>
        <v>t</v>
      </c>
      <c r="G426" s="2209" t="str">
        <f t="shared" si="415"/>
        <v>s</v>
      </c>
      <c r="H426" s="2161">
        <f>H18</f>
        <v>220752000</v>
      </c>
      <c r="I426" s="2161">
        <f t="shared" ref="I426:BI426" si="418">I18</f>
        <v>220752000</v>
      </c>
      <c r="J426" s="2161">
        <f>J18</f>
        <v>220752000</v>
      </c>
      <c r="K426" s="2161">
        <f t="shared" si="418"/>
        <v>31536000</v>
      </c>
      <c r="L426" s="2161">
        <f t="shared" si="418"/>
        <v>31536000</v>
      </c>
      <c r="M426" s="2161">
        <f t="shared" si="418"/>
        <v>31536000</v>
      </c>
      <c r="N426" s="2161">
        <f>N18</f>
        <v>31536000</v>
      </c>
      <c r="O426" s="2161">
        <f>O18</f>
        <v>31536000</v>
      </c>
      <c r="P426" s="2161">
        <f t="shared" si="418"/>
        <v>31536000</v>
      </c>
      <c r="Q426" s="2161">
        <f t="shared" si="418"/>
        <v>31536000</v>
      </c>
      <c r="R426" s="2161">
        <f>R18</f>
        <v>31536000</v>
      </c>
      <c r="S426" s="2161">
        <f>S18</f>
        <v>31536000</v>
      </c>
      <c r="T426" s="2161">
        <f>T18</f>
        <v>31536000</v>
      </c>
      <c r="U426" s="2161">
        <f t="shared" si="418"/>
        <v>31536000</v>
      </c>
      <c r="V426" s="2161">
        <f t="shared" si="418"/>
        <v>31536000</v>
      </c>
      <c r="W426" s="2161">
        <f t="shared" si="418"/>
        <v>31536000</v>
      </c>
      <c r="X426" s="2161">
        <f t="shared" si="418"/>
        <v>31536000</v>
      </c>
      <c r="Y426" s="2161">
        <f t="shared" si="418"/>
        <v>31536000</v>
      </c>
      <c r="Z426" s="2161">
        <f t="shared" si="418"/>
        <v>31536000</v>
      </c>
      <c r="AA426" s="2161">
        <f t="shared" si="418"/>
        <v>220752000</v>
      </c>
      <c r="AB426" s="2161">
        <f t="shared" si="418"/>
        <v>31536000</v>
      </c>
      <c r="AC426" s="2161">
        <f t="shared" si="418"/>
        <v>31536000</v>
      </c>
      <c r="AD426" s="2161">
        <f t="shared" si="418"/>
        <v>31536000</v>
      </c>
      <c r="AE426" s="2161">
        <f t="shared" si="418"/>
        <v>31536000</v>
      </c>
      <c r="AF426" s="2161">
        <f t="shared" si="418"/>
        <v>31536000</v>
      </c>
      <c r="AG426" s="2161">
        <f t="shared" si="418"/>
        <v>31536000</v>
      </c>
      <c r="AH426" s="2161">
        <f t="shared" si="418"/>
        <v>31536000</v>
      </c>
      <c r="AI426" s="2161">
        <f t="shared" si="418"/>
        <v>31536000</v>
      </c>
      <c r="AJ426" s="2161">
        <f t="shared" si="418"/>
        <v>31536000</v>
      </c>
      <c r="AK426" s="2161">
        <f t="shared" si="418"/>
        <v>31536000</v>
      </c>
      <c r="AL426" s="2161">
        <f t="shared" si="418"/>
        <v>31536000</v>
      </c>
      <c r="AM426" s="2161">
        <f t="shared" si="418"/>
        <v>31536000</v>
      </c>
      <c r="AN426" s="2161">
        <f t="shared" si="418"/>
        <v>220752000</v>
      </c>
      <c r="AO426" s="2161">
        <f t="shared" si="418"/>
        <v>31536000</v>
      </c>
      <c r="AP426" s="2161">
        <f t="shared" si="418"/>
        <v>31536000</v>
      </c>
      <c r="AQ426" s="2161">
        <f t="shared" si="418"/>
        <v>31536000</v>
      </c>
      <c r="AR426" s="2161">
        <f t="shared" si="418"/>
        <v>31536000</v>
      </c>
      <c r="AS426" s="2161">
        <f t="shared" si="418"/>
        <v>31536000</v>
      </c>
      <c r="AT426" s="2161">
        <f t="shared" si="418"/>
        <v>31536000</v>
      </c>
      <c r="AU426" s="2161">
        <f t="shared" si="418"/>
        <v>31536000</v>
      </c>
      <c r="AV426" s="2161">
        <f t="shared" si="418"/>
        <v>31536000</v>
      </c>
      <c r="AW426" s="2161">
        <f t="shared" si="418"/>
        <v>31536000</v>
      </c>
      <c r="AX426" s="2161">
        <f t="shared" si="418"/>
        <v>31536000</v>
      </c>
      <c r="AY426" s="2161">
        <f t="shared" si="418"/>
        <v>31536000</v>
      </c>
      <c r="AZ426" s="2161">
        <f t="shared" si="418"/>
        <v>31536000</v>
      </c>
      <c r="BA426" s="2161">
        <f t="shared" si="418"/>
        <v>31536000</v>
      </c>
      <c r="BB426" s="2161">
        <f t="shared" si="418"/>
        <v>31536000</v>
      </c>
      <c r="BC426" s="2161">
        <f t="shared" si="418"/>
        <v>31536000</v>
      </c>
      <c r="BD426" s="2161">
        <f t="shared" si="418"/>
        <v>31536000</v>
      </c>
      <c r="BE426" s="2161">
        <f t="shared" si="418"/>
        <v>31536000</v>
      </c>
      <c r="BF426" s="2161">
        <f t="shared" si="418"/>
        <v>31536000</v>
      </c>
      <c r="BG426" s="2161">
        <f t="shared" si="418"/>
        <v>31536000</v>
      </c>
      <c r="BH426" s="2161">
        <f t="shared" si="418"/>
        <v>31536000</v>
      </c>
      <c r="BI426" s="2161">
        <f t="shared" si="418"/>
        <v>220752000</v>
      </c>
    </row>
    <row r="427" spans="1:61" s="2244" customFormat="1" ht="27" customHeight="1">
      <c r="A427" s="2241"/>
      <c r="B427" s="276"/>
      <c r="C427" s="2242"/>
      <c r="D427" s="2410"/>
      <c r="E427" s="3655" t="s">
        <v>610</v>
      </c>
      <c r="F427" s="2153" t="s">
        <v>138</v>
      </c>
      <c r="G427" s="2154" t="s">
        <v>139</v>
      </c>
      <c r="H427" s="2155">
        <f t="shared" ref="H427:AL427" si="419">200*H$421*H$422/(PI()*H$422*H426)^0.5/H$420</f>
        <v>7.9321970398934171E-4</v>
      </c>
      <c r="I427" s="2155">
        <f t="shared" si="419"/>
        <v>7.9321970398934171E-4</v>
      </c>
      <c r="J427" s="2155">
        <f>200*J$421*J$422/(PI()*J$422*J426)^0.5/J$420</f>
        <v>2.8354373124038273E-4</v>
      </c>
      <c r="K427" s="2155">
        <f t="shared" si="419"/>
        <v>6.9795163508671546E-5</v>
      </c>
      <c r="L427" s="2155">
        <f t="shared" si="419"/>
        <v>1.3457862465882653E-4</v>
      </c>
      <c r="M427" s="2155">
        <f t="shared" si="419"/>
        <v>1.3457862465882653E-4</v>
      </c>
      <c r="N427" s="2155">
        <f>200*N$421*N$422/(PI()*N$422*N426)^0.5/N$420</f>
        <v>9.9236837000511187E-5</v>
      </c>
      <c r="O427" s="2155">
        <f>200*O$421*O$422/(PI()*O$422*O426)^0.5/O$420</f>
        <v>9.9236837000511187E-5</v>
      </c>
      <c r="P427" s="2155">
        <f t="shared" si="419"/>
        <v>9.0665204140183721E-5</v>
      </c>
      <c r="Q427" s="2155">
        <f t="shared" si="419"/>
        <v>9.0665204140183721E-5</v>
      </c>
      <c r="R427" s="2155">
        <f>200*R$421*R$422/(PI()*R$422*R426)^0.5/R$420</f>
        <v>5.3821546784450032E-4</v>
      </c>
      <c r="S427" s="2155">
        <f>200*S$421*S$422/(PI()*S$422*S426)^0.5/S$420</f>
        <v>1.774956214990122E-4</v>
      </c>
      <c r="T427" s="2155">
        <f>200*T$421*T$422/(PI()*T$422*T426)^0.5/T$420</f>
        <v>1.774956214990122E-4</v>
      </c>
      <c r="U427" s="2155">
        <f t="shared" si="419"/>
        <v>7.0820578476094015E-5</v>
      </c>
      <c r="V427" s="2155">
        <f t="shared" si="419"/>
        <v>3.3448397388618264E-5</v>
      </c>
      <c r="W427" s="2155">
        <f t="shared" si="419"/>
        <v>3.3448397388618264E-5</v>
      </c>
      <c r="X427" s="2155">
        <f t="shared" si="419"/>
        <v>1.2956567137072033E-4</v>
      </c>
      <c r="Y427" s="2155">
        <f t="shared" si="419"/>
        <v>1.475032273242622E-4</v>
      </c>
      <c r="Z427" s="2155">
        <f t="shared" si="419"/>
        <v>1.8353685222573433E-4</v>
      </c>
      <c r="AA427" s="2155">
        <f t="shared" si="419"/>
        <v>8.4701143967210062E-5</v>
      </c>
      <c r="AB427" s="2155">
        <f t="shared" si="419"/>
        <v>1.4430940276082587E-4</v>
      </c>
      <c r="AC427" s="2155">
        <f t="shared" si="419"/>
        <v>3.1394704079026485E-4</v>
      </c>
      <c r="AD427" s="2155">
        <f t="shared" si="419"/>
        <v>6.6100440227031122E-4</v>
      </c>
      <c r="AE427" s="2155">
        <f t="shared" si="419"/>
        <v>1.6680458539255862E-3</v>
      </c>
      <c r="AF427" s="2155">
        <f t="shared" si="419"/>
        <v>2.4619211423830119E-2</v>
      </c>
      <c r="AG427" s="2155">
        <f t="shared" si="419"/>
        <v>3.6622558240481777E-5</v>
      </c>
      <c r="AH427" s="2155">
        <f t="shared" si="419"/>
        <v>3.8091281563271476E-5</v>
      </c>
      <c r="AI427" s="2155">
        <f t="shared" si="419"/>
        <v>5.2391680855124166E-5</v>
      </c>
      <c r="AJ427" s="2155">
        <f t="shared" si="419"/>
        <v>9.6793475368633827E-5</v>
      </c>
      <c r="AK427" s="2155">
        <f t="shared" si="419"/>
        <v>1.8132247658424937E-4</v>
      </c>
      <c r="AL427" s="2155">
        <f t="shared" si="419"/>
        <v>5.6679243495050442E-4</v>
      </c>
      <c r="AM427" s="2155">
        <f t="shared" ref="AM427:BI427" si="420">200*AM$421*AM$422/(PI()*AM$422*AM426)^0.5/AM$420</f>
        <v>6.2575705278902737E-3</v>
      </c>
      <c r="AN427" s="2155">
        <f t="shared" si="420"/>
        <v>4.238320986489484E-4</v>
      </c>
      <c r="AO427" s="2155">
        <f t="shared" si="420"/>
        <v>1.9745454186494643E-3</v>
      </c>
      <c r="AP427" s="2155">
        <f t="shared" si="420"/>
        <v>1.5098781055041895E-3</v>
      </c>
      <c r="AQ427" s="2155">
        <f t="shared" si="420"/>
        <v>2.2978723379281727E-3</v>
      </c>
      <c r="AR427" s="2155">
        <f t="shared" si="420"/>
        <v>5.0665046028638581E-3</v>
      </c>
      <c r="AS427" s="2155">
        <f t="shared" si="420"/>
        <v>4.4292648716442685E-3</v>
      </c>
      <c r="AT427" s="2155">
        <f t="shared" si="420"/>
        <v>1.6620813428534494E-2</v>
      </c>
      <c r="AU427" s="2155">
        <f t="shared" si="420"/>
        <v>1.7147800704004849E-2</v>
      </c>
      <c r="AV427" s="2155">
        <f t="shared" si="420"/>
        <v>4.2851637742733283E-2</v>
      </c>
      <c r="AW427" s="2155">
        <f t="shared" si="420"/>
        <v>4.5572242832842225E-2</v>
      </c>
      <c r="AX427" s="2155">
        <f t="shared" si="420"/>
        <v>0.7520585612473325</v>
      </c>
      <c r="AY427" s="2155">
        <f t="shared" si="420"/>
        <v>0.90781195092751776</v>
      </c>
      <c r="AZ427" s="2155">
        <f t="shared" si="420"/>
        <v>1.295601203777061</v>
      </c>
      <c r="BA427" s="2155">
        <f t="shared" si="420"/>
        <v>3.632290872831736</v>
      </c>
      <c r="BB427" s="2155">
        <f t="shared" si="420"/>
        <v>0.33275389413642736</v>
      </c>
      <c r="BC427" s="2155">
        <f t="shared" si="420"/>
        <v>674372.14567771018</v>
      </c>
      <c r="BD427" s="2155">
        <f t="shared" si="420"/>
        <v>3.7140082927357237E-2</v>
      </c>
      <c r="BE427" s="2155">
        <f t="shared" si="420"/>
        <v>4.0358576426514255E-2</v>
      </c>
      <c r="BF427" s="2155">
        <f t="shared" si="420"/>
        <v>4.0358576426514255E-2</v>
      </c>
      <c r="BG427" s="2155">
        <f t="shared" si="420"/>
        <v>3.7984778688672849E-5</v>
      </c>
      <c r="BH427" s="2155">
        <f t="shared" si="420"/>
        <v>2.3166130318924255E-2</v>
      </c>
      <c r="BI427" s="2155">
        <f t="shared" si="420"/>
        <v>2.7812610728924123E-3</v>
      </c>
    </row>
    <row r="428" spans="1:61" s="2287" customFormat="1" ht="27" customHeight="1">
      <c r="A428" s="2281"/>
      <c r="B428" s="2282"/>
      <c r="C428" s="2283"/>
      <c r="D428" s="2410"/>
      <c r="E428" s="3655" t="s">
        <v>611</v>
      </c>
      <c r="F428" s="2284" t="s">
        <v>138</v>
      </c>
      <c r="G428" s="2285" t="s">
        <v>139</v>
      </c>
      <c r="H428" s="2286">
        <f>MIN(H427,H$19)</f>
        <v>7.9321970398934171E-4</v>
      </c>
      <c r="I428" s="2286">
        <f t="shared" ref="I428:BI428" si="421">MIN(I427,I$19)</f>
        <v>7.9321970398934171E-4</v>
      </c>
      <c r="J428" s="2286">
        <f>MIN(J427,J$19)</f>
        <v>2.8354373124038273E-4</v>
      </c>
      <c r="K428" s="2286">
        <f t="shared" si="421"/>
        <v>3.7031519823149957E-5</v>
      </c>
      <c r="L428" s="2286">
        <f t="shared" si="421"/>
        <v>1.3457862465882653E-4</v>
      </c>
      <c r="M428" s="2286">
        <f t="shared" si="421"/>
        <v>1.3457862465882653E-4</v>
      </c>
      <c r="N428" s="2286">
        <f>MIN(N427,N$19)</f>
        <v>9.9236837000511187E-5</v>
      </c>
      <c r="O428" s="2286">
        <f>MIN(O427,O$19)</f>
        <v>9.9236837000511187E-5</v>
      </c>
      <c r="P428" s="2286">
        <f t="shared" si="421"/>
        <v>9.0665204140183721E-5</v>
      </c>
      <c r="Q428" s="2286">
        <f t="shared" si="421"/>
        <v>9.0665204140183721E-5</v>
      </c>
      <c r="R428" s="2286">
        <f>MIN(R427,R$19)</f>
        <v>2.2883214292577979E-4</v>
      </c>
      <c r="S428" s="2286">
        <f>MIN(S427,S$19)</f>
        <v>1.774956214990122E-4</v>
      </c>
      <c r="T428" s="2286">
        <f>MIN(T427,T$19)</f>
        <v>1.774956214990122E-4</v>
      </c>
      <c r="U428" s="2286">
        <f t="shared" si="421"/>
        <v>5.1808424319147455E-5</v>
      </c>
      <c r="V428" s="2286">
        <f t="shared" si="421"/>
        <v>3.1652232047774111E-5</v>
      </c>
      <c r="W428" s="2286">
        <f t="shared" si="421"/>
        <v>3.1652232047774111E-5</v>
      </c>
      <c r="X428" s="2286">
        <f t="shared" si="421"/>
        <v>1.2956567137072033E-4</v>
      </c>
      <c r="Y428" s="2286">
        <f t="shared" si="421"/>
        <v>1.475032273242622E-4</v>
      </c>
      <c r="Z428" s="2286">
        <f t="shared" si="421"/>
        <v>1.8353685222573433E-4</v>
      </c>
      <c r="AA428" s="2286">
        <f t="shared" si="421"/>
        <v>8.4701143967210062E-5</v>
      </c>
      <c r="AB428" s="2286">
        <f t="shared" si="421"/>
        <v>1.4430940276082587E-4</v>
      </c>
      <c r="AC428" s="2286">
        <f t="shared" si="421"/>
        <v>3.1394704079026485E-4</v>
      </c>
      <c r="AD428" s="2286">
        <f t="shared" si="421"/>
        <v>6.6100440227031122E-4</v>
      </c>
      <c r="AE428" s="2286">
        <f t="shared" si="421"/>
        <v>1.6680458539255862E-3</v>
      </c>
      <c r="AF428" s="2286">
        <f t="shared" si="421"/>
        <v>2.4619211423830119E-2</v>
      </c>
      <c r="AG428" s="2286">
        <f t="shared" si="421"/>
        <v>2.3037141829500553E-5</v>
      </c>
      <c r="AH428" s="2286">
        <f t="shared" si="421"/>
        <v>3.0767898703010778E-5</v>
      </c>
      <c r="AI428" s="2286">
        <f t="shared" si="421"/>
        <v>5.2391680855124166E-5</v>
      </c>
      <c r="AJ428" s="2286">
        <f t="shared" si="421"/>
        <v>9.6793475368633827E-5</v>
      </c>
      <c r="AK428" s="2286">
        <f t="shared" si="421"/>
        <v>1.8132247658424937E-4</v>
      </c>
      <c r="AL428" s="2286">
        <f t="shared" si="421"/>
        <v>5.6679243495050442E-4</v>
      </c>
      <c r="AM428" s="2286">
        <f t="shared" si="421"/>
        <v>6.2575705278902737E-3</v>
      </c>
      <c r="AN428" s="2286">
        <f t="shared" si="421"/>
        <v>4.238320986489484E-4</v>
      </c>
      <c r="AO428" s="2286">
        <f t="shared" si="421"/>
        <v>1.9745454186494643E-3</v>
      </c>
      <c r="AP428" s="2286">
        <f t="shared" si="421"/>
        <v>1.5098781055041895E-3</v>
      </c>
      <c r="AQ428" s="2286">
        <f t="shared" si="421"/>
        <v>2.2978723379281727E-3</v>
      </c>
      <c r="AR428" s="2286">
        <f t="shared" si="421"/>
        <v>5.0665046028638581E-3</v>
      </c>
      <c r="AS428" s="2286">
        <f t="shared" si="421"/>
        <v>4.4292648716442685E-3</v>
      </c>
      <c r="AT428" s="2286">
        <f t="shared" si="421"/>
        <v>1.6620813428534494E-2</v>
      </c>
      <c r="AU428" s="2286">
        <f t="shared" si="421"/>
        <v>1.7147800704004849E-2</v>
      </c>
      <c r="AV428" s="2286">
        <f t="shared" si="421"/>
        <v>4.2851637742733283E-2</v>
      </c>
      <c r="AW428" s="2286">
        <f t="shared" si="421"/>
        <v>4.5572242832842225E-2</v>
      </c>
      <c r="AX428" s="2286">
        <f t="shared" si="421"/>
        <v>0.7520585612473325</v>
      </c>
      <c r="AY428" s="2286">
        <f t="shared" si="421"/>
        <v>0.90781195092751776</v>
      </c>
      <c r="AZ428" s="2286">
        <f t="shared" si="421"/>
        <v>1.295601203777061</v>
      </c>
      <c r="BA428" s="2286">
        <f t="shared" si="421"/>
        <v>3.632290872831736</v>
      </c>
      <c r="BB428" s="2286">
        <f t="shared" si="421"/>
        <v>0.33275389413642736</v>
      </c>
      <c r="BC428" s="2286">
        <f t="shared" si="421"/>
        <v>674372.14567771018</v>
      </c>
      <c r="BD428" s="2286">
        <f t="shared" si="421"/>
        <v>3.7140082927357237E-2</v>
      </c>
      <c r="BE428" s="2286">
        <f t="shared" si="421"/>
        <v>4.0358576426514255E-2</v>
      </c>
      <c r="BF428" s="2286">
        <f t="shared" si="421"/>
        <v>4.0358576426514255E-2</v>
      </c>
      <c r="BG428" s="2286">
        <f t="shared" si="421"/>
        <v>3.7845498726782705E-5</v>
      </c>
      <c r="BH428" s="2286">
        <f t="shared" si="421"/>
        <v>2.3166130318924255E-2</v>
      </c>
      <c r="BI428" s="2286">
        <f t="shared" si="421"/>
        <v>2.7812610728924123E-3</v>
      </c>
    </row>
    <row r="429" spans="1:61" ht="25.5">
      <c r="A429" s="2131"/>
      <c r="B429" s="78"/>
      <c r="C429" s="2158"/>
      <c r="D429" s="2410"/>
      <c r="E429" s="3655" t="s">
        <v>608</v>
      </c>
      <c r="F429" s="2225" t="s">
        <v>581</v>
      </c>
      <c r="G429" s="2226" t="s">
        <v>73</v>
      </c>
      <c r="H429" s="2227">
        <f>H427/(1000*H$421/H$420/H426)</f>
        <v>0.30754147396296677</v>
      </c>
      <c r="I429" s="2227">
        <f t="shared" ref="I429:BI429" si="422">I427/(1000*I$421/I$420/I426)</f>
        <v>0.30754147396296677</v>
      </c>
      <c r="J429" s="2227">
        <f>J427/(1000*J$421/J$420/J426)</f>
        <v>0.72168153964702897</v>
      </c>
      <c r="K429" s="2227">
        <f t="shared" si="422"/>
        <v>5.6542505283598699</v>
      </c>
      <c r="L429" s="2227">
        <f t="shared" si="422"/>
        <v>2.0383960443296685</v>
      </c>
      <c r="M429" s="2227">
        <f t="shared" si="422"/>
        <v>2.0383960443296685</v>
      </c>
      <c r="N429" s="2227">
        <f>N427/(1000*N$421/N$420/N426)</f>
        <v>2.9645656843956778</v>
      </c>
      <c r="O429" s="2227">
        <f>O427/(1000*O$421/O$420/O426)</f>
        <v>2.9645656843956778</v>
      </c>
      <c r="P429" s="2227">
        <f t="shared" si="422"/>
        <v>2.9569805050510607</v>
      </c>
      <c r="Q429" s="2227">
        <f t="shared" si="422"/>
        <v>2.9569805050510607</v>
      </c>
      <c r="R429" s="2227">
        <f>R427/(1000*R$421/R$420/R426)</f>
        <v>7.0560297294301044</v>
      </c>
      <c r="S429" s="2227">
        <f>S427/(1000*S$421/S$420/S426)</f>
        <v>2.1831123771980412</v>
      </c>
      <c r="T429" s="2227">
        <f>T427/(1000*T$421/T$420/T426)</f>
        <v>2.1831123771980412</v>
      </c>
      <c r="U429" s="2227">
        <f t="shared" si="422"/>
        <v>4.1009109661294989</v>
      </c>
      <c r="V429" s="2227">
        <f t="shared" si="422"/>
        <v>3.1702406330902466</v>
      </c>
      <c r="W429" s="2227">
        <f t="shared" si="422"/>
        <v>3.1702406330902466</v>
      </c>
      <c r="X429" s="2227">
        <f t="shared" si="422"/>
        <v>2.3558596379914278</v>
      </c>
      <c r="Y429" s="2227">
        <f t="shared" si="422"/>
        <v>1.8587934952687786</v>
      </c>
      <c r="Z429" s="2227">
        <f t="shared" si="422"/>
        <v>1.369726484751393</v>
      </c>
      <c r="AA429" s="2227">
        <f t="shared" si="422"/>
        <v>2.9684489409513453</v>
      </c>
      <c r="AB429" s="2227">
        <f t="shared" si="422"/>
        <v>0.81712464889936798</v>
      </c>
      <c r="AC429" s="2227">
        <f t="shared" si="422"/>
        <v>0.34688384273828998</v>
      </c>
      <c r="AD429" s="2227">
        <f t="shared" si="422"/>
        <v>0.14295414707433193</v>
      </c>
      <c r="AE429" s="2227">
        <f t="shared" si="422"/>
        <v>4.4982136124226427E-2</v>
      </c>
      <c r="AF429" s="2227">
        <f t="shared" si="422"/>
        <v>2.7517201302782331E-3</v>
      </c>
      <c r="AG429" s="2227">
        <f t="shared" si="422"/>
        <v>4.7691538965459968</v>
      </c>
      <c r="AH429" s="2227">
        <f t="shared" si="422"/>
        <v>3.7140607421017089</v>
      </c>
      <c r="AI429" s="2227">
        <f t="shared" si="422"/>
        <v>2.0771534284805124</v>
      </c>
      <c r="AJ429" s="2227">
        <f t="shared" si="422"/>
        <v>0.91349886885326237</v>
      </c>
      <c r="AK429" s="2227">
        <f t="shared" si="422"/>
        <v>0.39011456383072907</v>
      </c>
      <c r="AL429" s="2227">
        <f t="shared" si="422"/>
        <v>9.2445530247866919E-2</v>
      </c>
      <c r="AM429" s="2227">
        <f t="shared" si="422"/>
        <v>7.0650947574505433E-3</v>
      </c>
      <c r="AN429" s="2227">
        <f t="shared" si="422"/>
        <v>0.2666203002811372</v>
      </c>
      <c r="AO429" s="2227">
        <f t="shared" si="422"/>
        <v>4.8463822636424223E-2</v>
      </c>
      <c r="AP429" s="2227">
        <f t="shared" si="422"/>
        <v>6.1997692707558519E-2</v>
      </c>
      <c r="AQ429" s="2227">
        <f t="shared" si="422"/>
        <v>3.8205159445334549E-2</v>
      </c>
      <c r="AR429" s="2227">
        <f t="shared" si="422"/>
        <v>1.6865739723645492E-2</v>
      </c>
      <c r="AS429" s="2227">
        <f t="shared" si="422"/>
        <v>1.9044225056281196E-2</v>
      </c>
      <c r="AT429" s="2227">
        <f t="shared" si="422"/>
        <v>5.2165100569156395E-3</v>
      </c>
      <c r="AU429" s="2227">
        <f t="shared" si="422"/>
        <v>5.1774558654536828E-3</v>
      </c>
      <c r="AV429" s="2227">
        <f t="shared" si="422"/>
        <v>2.0641012232251606E-3</v>
      </c>
      <c r="AW429" s="2227">
        <f t="shared" si="422"/>
        <v>2.1152072677703237E-3</v>
      </c>
      <c r="AX429" s="2227">
        <f t="shared" si="422"/>
        <v>1.2286390840402697E-3</v>
      </c>
      <c r="AY429" s="2227">
        <f t="shared" si="422"/>
        <v>1.0178413501733478E-3</v>
      </c>
      <c r="AZ429" s="2227">
        <f t="shared" si="422"/>
        <v>9.7004184367048541E-4</v>
      </c>
      <c r="BA429" s="2227">
        <f t="shared" si="422"/>
        <v>4.6969698057441488E-4</v>
      </c>
      <c r="BB429" s="2227">
        <f t="shared" si="422"/>
        <v>6.8129401773643747E-4</v>
      </c>
      <c r="BC429" s="2227">
        <f t="shared" si="422"/>
        <v>3.6679461732386974E-4</v>
      </c>
      <c r="BD429" s="2227">
        <f t="shared" si="422"/>
        <v>7.3044714877994868E-2</v>
      </c>
      <c r="BE429" s="2227">
        <f t="shared" si="422"/>
        <v>1.7617099422674669E-3</v>
      </c>
      <c r="BF429" s="2227">
        <f t="shared" si="422"/>
        <v>1.7617099422674669E-3</v>
      </c>
      <c r="BG429" s="2227">
        <f t="shared" si="422"/>
        <v>3.0110406758987889</v>
      </c>
      <c r="BH429" s="2227">
        <f t="shared" si="422"/>
        <v>6.0587354850223818E-2</v>
      </c>
      <c r="BI429" s="2227">
        <f t="shared" si="422"/>
        <v>0.39396888737156033</v>
      </c>
    </row>
    <row r="430" spans="1:61" ht="38.25">
      <c r="A430" s="2131"/>
      <c r="B430" s="78"/>
      <c r="C430" s="2158"/>
      <c r="D430" s="2410"/>
      <c r="E430" s="3655" t="s">
        <v>612</v>
      </c>
      <c r="F430" s="2153" t="s">
        <v>138</v>
      </c>
      <c r="G430" s="2154" t="s">
        <v>139</v>
      </c>
      <c r="H430" s="2156">
        <f>H418/H429</f>
        <v>6.2299329868389659E-4</v>
      </c>
      <c r="I430" s="2156">
        <f t="shared" ref="I430:BI430" si="423">I418/I429</f>
        <v>6.2299329868389659E-4</v>
      </c>
      <c r="J430" s="2156">
        <f>J418/J429</f>
        <v>2.2269472575905632E-4</v>
      </c>
      <c r="K430" s="2156">
        <f t="shared" si="423"/>
        <v>5.4816993233735206E-5</v>
      </c>
      <c r="L430" s="2156">
        <f t="shared" si="423"/>
        <v>1.0569780463959695E-4</v>
      </c>
      <c r="M430" s="2156">
        <f t="shared" si="423"/>
        <v>1.0569780463959695E-4</v>
      </c>
      <c r="N430" s="2156">
        <f>N418/N429</f>
        <v>7.7940429521573408E-5</v>
      </c>
      <c r="O430" s="2156">
        <f>O418/O429</f>
        <v>7.7940429521573408E-5</v>
      </c>
      <c r="P430" s="2156">
        <f t="shared" si="423"/>
        <v>7.1208284815755033E-5</v>
      </c>
      <c r="Q430" s="2156">
        <f t="shared" si="423"/>
        <v>7.1208284815755033E-5</v>
      </c>
      <c r="R430" s="2156">
        <f>R418/R429</f>
        <v>4.227134399571688E-4</v>
      </c>
      <c r="S430" s="2156">
        <f>S418/S429</f>
        <v>1.3940473513641277E-4</v>
      </c>
      <c r="T430" s="2156">
        <f>T418/T429</f>
        <v>1.3940473513641277E-4</v>
      </c>
      <c r="U430" s="2156">
        <f t="shared" si="423"/>
        <v>5.56223522658691E-5</v>
      </c>
      <c r="V430" s="2156">
        <f t="shared" si="423"/>
        <v>2.6270309877608793E-5</v>
      </c>
      <c r="W430" s="2156">
        <f t="shared" si="423"/>
        <v>2.6270309877608793E-5</v>
      </c>
      <c r="X430" s="2156">
        <f t="shared" si="423"/>
        <v>1.0176064033392107E-4</v>
      </c>
      <c r="Y430" s="2156">
        <f t="shared" si="423"/>
        <v>1.1584876383567182E-4</v>
      </c>
      <c r="Z430" s="2156">
        <f t="shared" si="423"/>
        <v>1.4414950665384056E-4</v>
      </c>
      <c r="AA430" s="2156">
        <f t="shared" si="423"/>
        <v>6.6524122909509626E-5</v>
      </c>
      <c r="AB430" s="2156">
        <f t="shared" si="423"/>
        <v>1.1334033988933529E-4</v>
      </c>
      <c r="AC430" s="2156">
        <f t="shared" si="423"/>
        <v>2.4657342924073767E-4</v>
      </c>
      <c r="AD430" s="2156">
        <f t="shared" si="423"/>
        <v>5.1915164354073083E-4</v>
      </c>
      <c r="AE430" s="2156">
        <f t="shared" si="423"/>
        <v>1.3100801501358833E-3</v>
      </c>
      <c r="AF430" s="2156">
        <f t="shared" si="423"/>
        <v>1.9335883436569654E-2</v>
      </c>
      <c r="AG430" s="2156">
        <f t="shared" si="423"/>
        <v>2.8763289980990479E-5</v>
      </c>
      <c r="AH430" s="2156">
        <f t="shared" si="423"/>
        <v>2.9916822581248511E-5</v>
      </c>
      <c r="AI430" s="2156">
        <f t="shared" si="423"/>
        <v>4.114832992091976E-5</v>
      </c>
      <c r="AJ430" s="2156">
        <f t="shared" si="423"/>
        <v>7.6021417783381156E-5</v>
      </c>
      <c r="AK430" s="2156">
        <f t="shared" si="423"/>
        <v>1.4241034009194629E-4</v>
      </c>
      <c r="AL430" s="2156">
        <f t="shared" si="423"/>
        <v>4.4515773743769398E-4</v>
      </c>
      <c r="AM430" s="2156">
        <f t="shared" si="423"/>
        <v>4.9146843999350216E-3</v>
      </c>
      <c r="AN430" s="2156">
        <f t="shared" si="423"/>
        <v>3.3287695186777022E-4</v>
      </c>
      <c r="AO430" s="2156">
        <f t="shared" si="423"/>
        <v>1.5508043453521343E-3</v>
      </c>
      <c r="AP430" s="2156">
        <f t="shared" si="423"/>
        <v>1.1858554910170089E-3</v>
      </c>
      <c r="AQ430" s="2156">
        <f t="shared" si="423"/>
        <v>1.804744713930587E-3</v>
      </c>
      <c r="AR430" s="2156">
        <f t="shared" si="423"/>
        <v>3.9792234099339926E-3</v>
      </c>
      <c r="AS430" s="2156">
        <f t="shared" si="423"/>
        <v>3.4787364953902419E-3</v>
      </c>
      <c r="AT430" s="2156">
        <f t="shared" si="423"/>
        <v>1.3053956340942635E-2</v>
      </c>
      <c r="AU430" s="2156">
        <f t="shared" si="423"/>
        <v>1.3467851179230874E-2</v>
      </c>
      <c r="AV430" s="2156">
        <f t="shared" si="423"/>
        <v>3.3655597581715505E-2</v>
      </c>
      <c r="AW430" s="2156">
        <f t="shared" si="423"/>
        <v>3.5792355822816813E-2</v>
      </c>
      <c r="AX430" s="2156">
        <f t="shared" si="423"/>
        <v>0.5906654127709825</v>
      </c>
      <c r="AY430" s="2156">
        <f t="shared" si="423"/>
        <v>0.71299383896872703</v>
      </c>
      <c r="AZ430" s="2156">
        <f t="shared" si="423"/>
        <v>1.0175628059420265</v>
      </c>
      <c r="BA430" s="2156">
        <f t="shared" si="423"/>
        <v>2.8527945804473598</v>
      </c>
      <c r="BB430" s="2156">
        <f t="shared" si="423"/>
        <v>0.26134429731809894</v>
      </c>
      <c r="BC430" s="2156">
        <f t="shared" si="423"/>
        <v>529650.64466166985</v>
      </c>
      <c r="BD430" s="2156">
        <f t="shared" si="423"/>
        <v>2.9169752919575302E-2</v>
      </c>
      <c r="BE430" s="2156">
        <f t="shared" si="423"/>
        <v>3.1697551802719846E-2</v>
      </c>
      <c r="BF430" s="2156">
        <f t="shared" si="423"/>
        <v>3.1697551802719846E-2</v>
      </c>
      <c r="BG430" s="2156">
        <f t="shared" si="423"/>
        <v>2.9833175419142188E-5</v>
      </c>
      <c r="BH430" s="2156">
        <f t="shared" si="423"/>
        <v>1.8194636205509058E-2</v>
      </c>
      <c r="BI430" s="2156">
        <f t="shared" si="423"/>
        <v>2.1843973385785175E-3</v>
      </c>
    </row>
    <row r="431" spans="1:61">
      <c r="A431" s="2131"/>
      <c r="B431" s="78"/>
      <c r="C431" s="2158"/>
      <c r="D431" s="2410"/>
      <c r="E431" s="3655" t="s">
        <v>613</v>
      </c>
      <c r="F431" s="2153" t="s">
        <v>614</v>
      </c>
      <c r="G431" s="2220" t="s">
        <v>35</v>
      </c>
      <c r="H431" s="2155">
        <f>H427/H430</f>
        <v>1.2732395447351628</v>
      </c>
      <c r="I431" s="2156">
        <f t="shared" ref="I431:BI431" si="424">I427/I430</f>
        <v>1.2732395447351628</v>
      </c>
      <c r="J431" s="2156">
        <f>J427/J430</f>
        <v>1.2732395447351625</v>
      </c>
      <c r="K431" s="2156">
        <f t="shared" si="424"/>
        <v>1.2732395447351634</v>
      </c>
      <c r="L431" s="2156">
        <f t="shared" si="424"/>
        <v>1.2732395447351621</v>
      </c>
      <c r="M431" s="2156">
        <f t="shared" si="424"/>
        <v>1.2732395447351621</v>
      </c>
      <c r="N431" s="2156">
        <f>N427/N430</f>
        <v>1.273239544735163</v>
      </c>
      <c r="O431" s="2156">
        <f>O427/O430</f>
        <v>1.273239544735163</v>
      </c>
      <c r="P431" s="2156">
        <f t="shared" si="424"/>
        <v>1.2732395447351625</v>
      </c>
      <c r="Q431" s="2156">
        <f t="shared" si="424"/>
        <v>1.2732395447351625</v>
      </c>
      <c r="R431" s="2156">
        <f>R427/R430</f>
        <v>1.2732395447351632</v>
      </c>
      <c r="S431" s="2156">
        <f>S427/S430</f>
        <v>1.2732395447351632</v>
      </c>
      <c r="T431" s="2156">
        <f>T427/T430</f>
        <v>1.2732395447351632</v>
      </c>
      <c r="U431" s="2156">
        <f t="shared" si="424"/>
        <v>1.2732395447351625</v>
      </c>
      <c r="V431" s="2156">
        <f t="shared" si="424"/>
        <v>1.2732395447351625</v>
      </c>
      <c r="W431" s="2156">
        <f t="shared" si="424"/>
        <v>1.2732395447351625</v>
      </c>
      <c r="X431" s="2156">
        <f t="shared" si="424"/>
        <v>1.273239544735163</v>
      </c>
      <c r="Y431" s="2156">
        <f t="shared" si="424"/>
        <v>1.273239544735163</v>
      </c>
      <c r="Z431" s="2156">
        <f t="shared" si="424"/>
        <v>1.2732395447351632</v>
      </c>
      <c r="AA431" s="2156">
        <f t="shared" si="424"/>
        <v>1.273239544735163</v>
      </c>
      <c r="AB431" s="2156">
        <f t="shared" si="424"/>
        <v>1.2732395447351628</v>
      </c>
      <c r="AC431" s="2156">
        <f t="shared" si="424"/>
        <v>1.2732395447351634</v>
      </c>
      <c r="AD431" s="2156">
        <f t="shared" si="424"/>
        <v>1.2732395447351621</v>
      </c>
      <c r="AE431" s="2156">
        <f t="shared" si="424"/>
        <v>1.2732395447351632</v>
      </c>
      <c r="AF431" s="2156">
        <f t="shared" si="424"/>
        <v>1.2732395447351628</v>
      </c>
      <c r="AG431" s="2156">
        <f t="shared" si="424"/>
        <v>1.2732395447351625</v>
      </c>
      <c r="AH431" s="2156">
        <f t="shared" si="424"/>
        <v>1.2732395447351623</v>
      </c>
      <c r="AI431" s="2156">
        <f t="shared" si="424"/>
        <v>1.2732395447351632</v>
      </c>
      <c r="AJ431" s="2156">
        <f t="shared" si="424"/>
        <v>1.2732395447351628</v>
      </c>
      <c r="AK431" s="2156">
        <f t="shared" si="424"/>
        <v>1.2732395447351625</v>
      </c>
      <c r="AL431" s="2156">
        <f t="shared" si="424"/>
        <v>1.2732395447351623</v>
      </c>
      <c r="AM431" s="2156">
        <f t="shared" si="424"/>
        <v>1.2732395447351628</v>
      </c>
      <c r="AN431" s="2156">
        <f t="shared" si="424"/>
        <v>1.2732395447351625</v>
      </c>
      <c r="AO431" s="2156">
        <f t="shared" si="424"/>
        <v>1.2732395447351632</v>
      </c>
      <c r="AP431" s="2156">
        <f t="shared" si="424"/>
        <v>1.2732395447351628</v>
      </c>
      <c r="AQ431" s="2156">
        <f t="shared" si="424"/>
        <v>1.273239544735163</v>
      </c>
      <c r="AR431" s="2156">
        <f t="shared" si="424"/>
        <v>1.2732395447351625</v>
      </c>
      <c r="AS431" s="2156">
        <f t="shared" si="424"/>
        <v>1.2732395447351632</v>
      </c>
      <c r="AT431" s="2156">
        <f t="shared" si="424"/>
        <v>1.273239544735163</v>
      </c>
      <c r="AU431" s="2156">
        <f t="shared" si="424"/>
        <v>1.2732395447351632</v>
      </c>
      <c r="AV431" s="2156">
        <f t="shared" si="424"/>
        <v>1.2732395447351623</v>
      </c>
      <c r="AW431" s="2156">
        <f t="shared" si="424"/>
        <v>1.2732395447351625</v>
      </c>
      <c r="AX431" s="2156">
        <f t="shared" si="424"/>
        <v>1.2732395447351623</v>
      </c>
      <c r="AY431" s="2156">
        <f t="shared" si="424"/>
        <v>1.2732395447351625</v>
      </c>
      <c r="AZ431" s="2156">
        <f t="shared" si="424"/>
        <v>1.2732395447351632</v>
      </c>
      <c r="BA431" s="2156">
        <f t="shared" si="424"/>
        <v>1.2732395447351628</v>
      </c>
      <c r="BB431" s="2156">
        <f t="shared" si="424"/>
        <v>1.273239544735163</v>
      </c>
      <c r="BC431" s="2156">
        <f t="shared" si="424"/>
        <v>1.2732395447351632</v>
      </c>
      <c r="BD431" s="2156">
        <f t="shared" si="424"/>
        <v>1.2732395447351625</v>
      </c>
      <c r="BE431" s="2156">
        <f t="shared" si="424"/>
        <v>1.2732395447351628</v>
      </c>
      <c r="BF431" s="2156">
        <f t="shared" si="424"/>
        <v>1.2732395447351628</v>
      </c>
      <c r="BG431" s="2156">
        <f t="shared" si="424"/>
        <v>1.2732395447351628</v>
      </c>
      <c r="BH431" s="2156">
        <f t="shared" si="424"/>
        <v>1.2732395447351623</v>
      </c>
      <c r="BI431" s="2156">
        <f t="shared" si="424"/>
        <v>1.2732395447351625</v>
      </c>
    </row>
    <row r="432" spans="1:61" ht="25.5">
      <c r="A432" s="2131"/>
      <c r="B432" s="78"/>
      <c r="C432" s="2158"/>
      <c r="D432" s="2410"/>
      <c r="E432" s="3655" t="s">
        <v>616</v>
      </c>
      <c r="F432" s="2153" t="s">
        <v>581</v>
      </c>
      <c r="G432" s="2154" t="s">
        <v>73</v>
      </c>
      <c r="H432" s="2155">
        <f>H73</f>
        <v>0.21206047037998846</v>
      </c>
      <c r="I432" s="2156">
        <f t="shared" ref="I432:BI432" si="425">I73</f>
        <v>0.21206047037998846</v>
      </c>
      <c r="J432" s="2156">
        <f>J73</f>
        <v>0.70870934890412951</v>
      </c>
      <c r="K432" s="2156">
        <f t="shared" si="425"/>
        <v>6.8715678522199113</v>
      </c>
      <c r="L432" s="2156">
        <f t="shared" si="425"/>
        <v>2.3456066474980699</v>
      </c>
      <c r="M432" s="2156">
        <f t="shared" si="425"/>
        <v>2.3456066474980699</v>
      </c>
      <c r="N432" s="2156">
        <f>N73</f>
        <v>3.5035690430159927</v>
      </c>
      <c r="O432" s="2156">
        <f>O73</f>
        <v>3.5035690430159927</v>
      </c>
      <c r="P432" s="2156">
        <f t="shared" si="425"/>
        <v>3.4940904558934593</v>
      </c>
      <c r="Q432" s="2156">
        <f t="shared" si="425"/>
        <v>3.4940904558934593</v>
      </c>
      <c r="R432" s="2156">
        <f>R73</f>
        <v>8.6277644268249993</v>
      </c>
      <c r="S432" s="2156">
        <f>S73</f>
        <v>2.5264009279279191</v>
      </c>
      <c r="T432" s="2156">
        <f>T73</f>
        <v>2.5264009279279191</v>
      </c>
      <c r="U432" s="2156">
        <f t="shared" si="425"/>
        <v>4.9260063609027478</v>
      </c>
      <c r="V432" s="2156">
        <f t="shared" si="425"/>
        <v>3.7609526789275964</v>
      </c>
      <c r="W432" s="2156">
        <f t="shared" si="425"/>
        <v>3.7609526789275964</v>
      </c>
      <c r="X432" s="2156">
        <f t="shared" si="425"/>
        <v>2.7422961225425935</v>
      </c>
      <c r="Y432" s="2156">
        <f t="shared" si="425"/>
        <v>2.1214715403027795</v>
      </c>
      <c r="Z432" s="2156">
        <f t="shared" si="425"/>
        <v>1.512146373612274</v>
      </c>
      <c r="AA432" s="2156">
        <f t="shared" si="425"/>
        <v>3.5084026361778968</v>
      </c>
      <c r="AB432" s="2156">
        <f t="shared" si="425"/>
        <v>0.82876770055727345</v>
      </c>
      <c r="AC432" s="2156">
        <f t="shared" si="425"/>
        <v>0.26811623203410911</v>
      </c>
      <c r="AD432" s="2156">
        <f t="shared" si="425"/>
        <v>6.4054162908354473E-2</v>
      </c>
      <c r="AE432" s="2156">
        <f t="shared" si="425"/>
        <v>7.1349674219258474E-3</v>
      </c>
      <c r="AF432" s="2156">
        <f t="shared" si="425"/>
        <v>2.5509990085964551E-5</v>
      </c>
      <c r="AG432" s="2156">
        <f t="shared" si="425"/>
        <v>5.7628882059556457</v>
      </c>
      <c r="AH432" s="2156">
        <f t="shared" si="425"/>
        <v>4.441656589676934</v>
      </c>
      <c r="AI432" s="2156">
        <f t="shared" si="425"/>
        <v>2.3941199577696501</v>
      </c>
      <c r="AJ432" s="2156">
        <f t="shared" si="425"/>
        <v>0.9471894289297107</v>
      </c>
      <c r="AK432" s="2156">
        <f t="shared" si="425"/>
        <v>0.31712887708834447</v>
      </c>
      <c r="AL432" s="2156">
        <f t="shared" si="425"/>
        <v>2.8836657237436142E-2</v>
      </c>
      <c r="AM432" s="2156">
        <f t="shared" si="425"/>
        <v>1.7947409489268984E-4</v>
      </c>
      <c r="AN432" s="2156">
        <f t="shared" si="425"/>
        <v>0.17968996361102896</v>
      </c>
      <c r="AO432" s="2156">
        <f t="shared" si="425"/>
        <v>8.1793702673659541E-3</v>
      </c>
      <c r="AP432" s="2156">
        <f t="shared" si="425"/>
        <v>1.3290793501444798E-2</v>
      </c>
      <c r="AQ432" s="2156">
        <f t="shared" si="425"/>
        <v>5.1135258443422427E-3</v>
      </c>
      <c r="AR432" s="2156">
        <f t="shared" si="425"/>
        <v>9.8564652372593042E-4</v>
      </c>
      <c r="AS432" s="2156">
        <f t="shared" si="425"/>
        <v>1.2636006275708878E-3</v>
      </c>
      <c r="AT432" s="2156">
        <f t="shared" si="425"/>
        <v>8.8631986534776219E-5</v>
      </c>
      <c r="AU432" s="2156">
        <f t="shared" si="425"/>
        <v>8.6422170227029582E-5</v>
      </c>
      <c r="AV432" s="2156">
        <f t="shared" si="425"/>
        <v>1.3086977849019465E-5</v>
      </c>
      <c r="AW432" s="2156">
        <f t="shared" si="425"/>
        <v>1.3289841807262448E-5</v>
      </c>
      <c r="AX432" s="2156">
        <f t="shared" si="425"/>
        <v>2.9422748513696639E-6</v>
      </c>
      <c r="AY432" s="2156">
        <f t="shared" si="425"/>
        <v>2.0192740526892017E-6</v>
      </c>
      <c r="AZ432" s="2156">
        <f t="shared" si="425"/>
        <v>1.8075526094230021E-6</v>
      </c>
      <c r="BA432" s="2156">
        <f t="shared" si="425"/>
        <v>4.1804552958213392E-7</v>
      </c>
      <c r="BB432" s="2156">
        <f t="shared" si="425"/>
        <v>1.0446482940906776E-6</v>
      </c>
      <c r="BC432" s="2156">
        <f t="shared" si="425"/>
        <v>2.4790741964819674E-7</v>
      </c>
      <c r="BD432" s="2156">
        <f t="shared" si="425"/>
        <v>1.0735209907032806E-2</v>
      </c>
      <c r="BE432" s="2156">
        <f t="shared" si="425"/>
        <v>9.92614201344999E-6</v>
      </c>
      <c r="BF432" s="2156">
        <f t="shared" si="425"/>
        <v>9.92614201344999E-6</v>
      </c>
      <c r="BG432" s="2156">
        <f t="shared" si="425"/>
        <v>3.5616762018745569</v>
      </c>
      <c r="BH432" s="2156">
        <f t="shared" si="425"/>
        <v>7.6093121144384379E-3</v>
      </c>
      <c r="BI432" s="2156">
        <f t="shared" si="425"/>
        <v>0.28959138276519308</v>
      </c>
    </row>
    <row r="433" spans="1:61" s="2416" customFormat="1" ht="38.25">
      <c r="B433" s="2417"/>
      <c r="C433" s="2418"/>
      <c r="D433" s="2410"/>
      <c r="E433" s="3657" t="s">
        <v>617</v>
      </c>
      <c r="F433" s="2419" t="s">
        <v>615</v>
      </c>
      <c r="G433" s="2420"/>
      <c r="H433" s="2418">
        <f t="shared" ref="H433:AM433" si="426">H429/H73</f>
        <v>1.4502536630796259</v>
      </c>
      <c r="I433" s="2418">
        <f t="shared" si="426"/>
        <v>1.4502536630796259</v>
      </c>
      <c r="J433" s="2418">
        <f t="shared" si="426"/>
        <v>1.0183039644714131</v>
      </c>
      <c r="K433" s="2418">
        <f t="shared" si="426"/>
        <v>0.8228472235100206</v>
      </c>
      <c r="L433" s="2418">
        <f t="shared" si="426"/>
        <v>0.86902722862928183</v>
      </c>
      <c r="M433" s="2418">
        <f t="shared" si="426"/>
        <v>0.86902722862928183</v>
      </c>
      <c r="N433" s="2418">
        <f t="shared" si="426"/>
        <v>0.84615591929185385</v>
      </c>
      <c r="O433" s="2418">
        <f t="shared" si="426"/>
        <v>0.84615591929185385</v>
      </c>
      <c r="P433" s="2418">
        <f t="shared" si="426"/>
        <v>0.84628046765748188</v>
      </c>
      <c r="Q433" s="2418">
        <f t="shared" si="426"/>
        <v>0.84628046765748188</v>
      </c>
      <c r="R433" s="2418">
        <f t="shared" si="426"/>
        <v>0.81782827860851892</v>
      </c>
      <c r="S433" s="2418">
        <f t="shared" si="426"/>
        <v>0.86411952792804214</v>
      </c>
      <c r="T433" s="2418">
        <f t="shared" si="426"/>
        <v>0.86411952792804214</v>
      </c>
      <c r="U433" s="2418">
        <f t="shared" si="426"/>
        <v>0.83250216619248529</v>
      </c>
      <c r="V433" s="2418">
        <f t="shared" si="426"/>
        <v>0.8429355282380776</v>
      </c>
      <c r="W433" s="2418">
        <f t="shared" si="426"/>
        <v>0.8429355282380776</v>
      </c>
      <c r="X433" s="2418">
        <f t="shared" si="426"/>
        <v>0.85908287534138705</v>
      </c>
      <c r="Y433" s="2418">
        <f t="shared" si="426"/>
        <v>0.87618120722161041</v>
      </c>
      <c r="Z433" s="2418">
        <f t="shared" si="426"/>
        <v>0.90581606956430893</v>
      </c>
      <c r="AA433" s="2418">
        <f t="shared" si="426"/>
        <v>0.8460969987712742</v>
      </c>
      <c r="AB433" s="2418">
        <f t="shared" si="426"/>
        <v>0.98595136894201285</v>
      </c>
      <c r="AC433" s="2418">
        <f t="shared" si="426"/>
        <v>1.2937815816170364</v>
      </c>
      <c r="AD433" s="2418">
        <f t="shared" si="426"/>
        <v>2.2317698114151248</v>
      </c>
      <c r="AE433" s="2418">
        <f t="shared" si="426"/>
        <v>6.3044627205999202</v>
      </c>
      <c r="AF433" s="2418">
        <f t="shared" si="426"/>
        <v>107.86833397446962</v>
      </c>
      <c r="AG433" s="2418">
        <f t="shared" si="426"/>
        <v>0.82756314648223162</v>
      </c>
      <c r="AH433" s="2418">
        <f t="shared" si="426"/>
        <v>0.83618818049412791</v>
      </c>
      <c r="AI433" s="2418">
        <f t="shared" si="426"/>
        <v>0.86760624576872825</v>
      </c>
      <c r="AJ433" s="2418">
        <f t="shared" si="426"/>
        <v>0.9644310218764609</v>
      </c>
      <c r="AK433" s="2418">
        <f t="shared" si="426"/>
        <v>1.2301451933752867</v>
      </c>
      <c r="AL433" s="2418">
        <f t="shared" si="426"/>
        <v>3.2058337929631064</v>
      </c>
      <c r="AM433" s="2418">
        <f t="shared" si="426"/>
        <v>39.365540534832427</v>
      </c>
      <c r="AN433" s="2418">
        <f t="shared" ref="AN433:BI433" si="427">AN429/AN73</f>
        <v>1.4837795885934091</v>
      </c>
      <c r="AO433" s="2418">
        <f t="shared" si="427"/>
        <v>5.9251288366031245</v>
      </c>
      <c r="AP433" s="2418">
        <f t="shared" si="427"/>
        <v>4.664709650392127</v>
      </c>
      <c r="AQ433" s="2418">
        <f t="shared" si="427"/>
        <v>7.4713926571048574</v>
      </c>
      <c r="AR433" s="2418">
        <f t="shared" si="427"/>
        <v>17.111347037363661</v>
      </c>
      <c r="AS433" s="2418">
        <f t="shared" si="427"/>
        <v>15.071395693187734</v>
      </c>
      <c r="AT433" s="2418">
        <f t="shared" si="427"/>
        <v>58.855840434862145</v>
      </c>
      <c r="AU433" s="2418">
        <f t="shared" si="427"/>
        <v>59.908885091089402</v>
      </c>
      <c r="AV433" s="2418">
        <f t="shared" si="427"/>
        <v>157.7217633465936</v>
      </c>
      <c r="AW433" s="2418">
        <f t="shared" si="427"/>
        <v>159.15970245894385</v>
      </c>
      <c r="AX433" s="2418">
        <f t="shared" si="427"/>
        <v>417.58134304425147</v>
      </c>
      <c r="AY433" s="2418">
        <f t="shared" si="427"/>
        <v>504.06300661260946</v>
      </c>
      <c r="AZ433" s="2418">
        <f t="shared" si="427"/>
        <v>536.66036529920825</v>
      </c>
      <c r="BA433" s="2418">
        <f t="shared" si="427"/>
        <v>1123.5546067049449</v>
      </c>
      <c r="BB433" s="2418">
        <f t="shared" si="427"/>
        <v>652.17549446100929</v>
      </c>
      <c r="BC433" s="2418">
        <f t="shared" si="427"/>
        <v>1479.5628861951159</v>
      </c>
      <c r="BD433" s="2418">
        <f t="shared" si="427"/>
        <v>6.8042185956831753</v>
      </c>
      <c r="BE433" s="2418">
        <f t="shared" si="427"/>
        <v>177.4818393571579</v>
      </c>
      <c r="BF433" s="2418">
        <f t="shared" si="427"/>
        <v>177.4818393571579</v>
      </c>
      <c r="BG433" s="2418">
        <f t="shared" si="427"/>
        <v>0.84539989185823194</v>
      </c>
      <c r="BH433" s="2418">
        <f t="shared" si="427"/>
        <v>7.9622643859306494</v>
      </c>
      <c r="BI433" s="2418">
        <f t="shared" si="427"/>
        <v>1.3604302849404837</v>
      </c>
    </row>
    <row r="434" spans="1:61" ht="13.15" customHeight="1">
      <c r="A434" s="2131"/>
      <c r="B434" s="78"/>
      <c r="C434" s="2158"/>
      <c r="D434" s="2410"/>
      <c r="E434" s="3655"/>
      <c r="F434" s="2153"/>
      <c r="G434" s="2154"/>
      <c r="H434" s="2156"/>
      <c r="I434" s="2156"/>
      <c r="J434" s="2156"/>
      <c r="K434" s="2156"/>
      <c r="L434" s="2156"/>
      <c r="M434" s="2156"/>
      <c r="N434" s="2156"/>
      <c r="O434" s="2156"/>
      <c r="P434" s="2156"/>
      <c r="Q434" s="2156"/>
      <c r="S434" s="2156"/>
      <c r="T434" s="2156"/>
      <c r="U434" s="2156"/>
      <c r="V434" s="2156"/>
      <c r="W434" s="2156"/>
      <c r="X434" s="2156"/>
      <c r="Y434" s="2156"/>
      <c r="Z434" s="2156"/>
      <c r="AA434" s="2156"/>
      <c r="AB434" s="2156"/>
      <c r="AC434" s="2156"/>
      <c r="AD434" s="2156"/>
      <c r="AE434" s="2156"/>
      <c r="AF434" s="2156"/>
      <c r="AG434" s="2156"/>
      <c r="AH434" s="2156"/>
      <c r="AI434" s="2156"/>
      <c r="AJ434" s="2156"/>
      <c r="AK434" s="2156"/>
      <c r="AL434" s="2156"/>
      <c r="AM434" s="2156"/>
      <c r="AN434" s="2156"/>
      <c r="AO434" s="2156"/>
      <c r="AP434" s="2156"/>
      <c r="AQ434" s="2156"/>
      <c r="AR434" s="2156"/>
      <c r="AS434" s="2156"/>
      <c r="AT434" s="2156"/>
      <c r="AU434" s="2156"/>
      <c r="AV434" s="2156"/>
      <c r="AW434" s="2156"/>
      <c r="AX434" s="2156"/>
      <c r="AY434" s="2156"/>
      <c r="AZ434" s="2156"/>
      <c r="BA434" s="2156"/>
      <c r="BB434" s="2156"/>
      <c r="BC434" s="2156"/>
      <c r="BD434" s="2156"/>
      <c r="BE434" s="2156"/>
      <c r="BF434" s="2156"/>
      <c r="BG434" s="2156"/>
      <c r="BH434" s="2156"/>
      <c r="BI434" s="2156"/>
    </row>
    <row r="435" spans="1:61" s="529" customFormat="1" ht="13.15" customHeight="1">
      <c r="B435" s="224"/>
      <c r="C435" s="2269"/>
      <c r="D435" s="2410"/>
      <c r="E435" s="3654" t="str">
        <f>E26</f>
        <v>Période enfant 0-6 ans (effets sans seuil)</v>
      </c>
      <c r="F435" s="2237"/>
      <c r="G435" s="526"/>
      <c r="H435" s="2161"/>
      <c r="I435" s="2161"/>
      <c r="J435" s="2161"/>
      <c r="K435" s="2161"/>
      <c r="L435" s="2161"/>
      <c r="M435" s="2161"/>
      <c r="N435" s="2161"/>
      <c r="O435" s="2161"/>
      <c r="P435" s="2161"/>
      <c r="Q435" s="2161"/>
      <c r="R435" s="2161"/>
      <c r="S435" s="2161"/>
      <c r="T435" s="2161"/>
      <c r="U435" s="2161"/>
      <c r="V435" s="2161"/>
      <c r="W435" s="2161"/>
      <c r="X435" s="2161"/>
      <c r="Y435" s="2161"/>
      <c r="Z435" s="2161"/>
      <c r="AA435" s="2161"/>
      <c r="AB435" s="2161"/>
      <c r="AC435" s="2161"/>
      <c r="AD435" s="2161"/>
      <c r="AE435" s="2161"/>
      <c r="AF435" s="2161"/>
      <c r="AG435" s="2161"/>
      <c r="AH435" s="2161"/>
      <c r="AI435" s="2161"/>
      <c r="AJ435" s="2161"/>
      <c r="AK435" s="2161"/>
      <c r="AL435" s="2161"/>
      <c r="AM435" s="2161"/>
      <c r="AN435" s="2161"/>
      <c r="AO435" s="2161"/>
      <c r="AP435" s="2161"/>
      <c r="AQ435" s="2161"/>
      <c r="AR435" s="2161"/>
      <c r="AS435" s="2161"/>
      <c r="AT435" s="2161"/>
      <c r="AU435" s="2161"/>
      <c r="AV435" s="2161"/>
      <c r="AW435" s="2161"/>
      <c r="AX435" s="2161"/>
      <c r="AY435" s="2161"/>
      <c r="AZ435" s="2161"/>
      <c r="BA435" s="2161"/>
      <c r="BB435" s="2161"/>
      <c r="BC435" s="2161"/>
      <c r="BD435" s="2161"/>
      <c r="BE435" s="2161"/>
      <c r="BF435" s="2161"/>
      <c r="BG435" s="2161"/>
      <c r="BH435" s="2161"/>
      <c r="BI435" s="2161"/>
    </row>
    <row r="436" spans="1:61">
      <c r="A436" s="2126"/>
      <c r="B436" s="2156"/>
      <c r="C436" s="2156"/>
      <c r="D436" s="2410"/>
      <c r="E436" s="3655" t="str">
        <f>E17</f>
        <v>Durée d'exposition considérée</v>
      </c>
      <c r="F436" s="525" t="str">
        <f>F17</f>
        <v>t</v>
      </c>
      <c r="G436" s="526" t="str">
        <f>G17</f>
        <v>an</v>
      </c>
      <c r="H436" s="2224">
        <f t="shared" ref="H436:AL436" si="428">H437/(365*24*3600)</f>
        <v>6</v>
      </c>
      <c r="I436" s="2224">
        <f t="shared" si="428"/>
        <v>6</v>
      </c>
      <c r="J436" s="2224">
        <f>J437/(365*24*3600)</f>
        <v>6</v>
      </c>
      <c r="K436" s="2224">
        <f t="shared" si="428"/>
        <v>6</v>
      </c>
      <c r="L436" s="2224">
        <f t="shared" si="428"/>
        <v>6</v>
      </c>
      <c r="M436" s="2224">
        <f t="shared" si="428"/>
        <v>6</v>
      </c>
      <c r="N436" s="2224">
        <f>N437/(365*24*3600)</f>
        <v>6</v>
      </c>
      <c r="O436" s="2224">
        <f>O437/(365*24*3600)</f>
        <v>6</v>
      </c>
      <c r="P436" s="2224">
        <f t="shared" si="428"/>
        <v>6</v>
      </c>
      <c r="Q436" s="2224">
        <f t="shared" si="428"/>
        <v>6</v>
      </c>
      <c r="R436" s="2224">
        <f>R437/(365*24*3600)</f>
        <v>6</v>
      </c>
      <c r="S436" s="2224">
        <f>S437/(365*24*3600)</f>
        <v>6</v>
      </c>
      <c r="T436" s="2224">
        <f>T437/(365*24*3600)</f>
        <v>6</v>
      </c>
      <c r="U436" s="2224">
        <f t="shared" si="428"/>
        <v>6</v>
      </c>
      <c r="V436" s="2224">
        <f t="shared" si="428"/>
        <v>6</v>
      </c>
      <c r="W436" s="2224">
        <f t="shared" si="428"/>
        <v>6</v>
      </c>
      <c r="X436" s="2224">
        <f t="shared" si="428"/>
        <v>6</v>
      </c>
      <c r="Y436" s="2224">
        <f t="shared" si="428"/>
        <v>6</v>
      </c>
      <c r="Z436" s="2224">
        <f t="shared" si="428"/>
        <v>6</v>
      </c>
      <c r="AA436" s="2224">
        <f t="shared" si="428"/>
        <v>6</v>
      </c>
      <c r="AB436" s="2224">
        <f t="shared" si="428"/>
        <v>6</v>
      </c>
      <c r="AC436" s="2224">
        <f t="shared" si="428"/>
        <v>6</v>
      </c>
      <c r="AD436" s="2224">
        <f t="shared" si="428"/>
        <v>6</v>
      </c>
      <c r="AE436" s="2224">
        <f t="shared" si="428"/>
        <v>6</v>
      </c>
      <c r="AF436" s="2224">
        <f t="shared" si="428"/>
        <v>6</v>
      </c>
      <c r="AG436" s="2224">
        <f t="shared" si="428"/>
        <v>6</v>
      </c>
      <c r="AH436" s="2224">
        <f t="shared" si="428"/>
        <v>6</v>
      </c>
      <c r="AI436" s="2224">
        <f t="shared" si="428"/>
        <v>6</v>
      </c>
      <c r="AJ436" s="2224">
        <f t="shared" si="428"/>
        <v>6</v>
      </c>
      <c r="AK436" s="2224">
        <f t="shared" si="428"/>
        <v>6</v>
      </c>
      <c r="AL436" s="2224">
        <f t="shared" si="428"/>
        <v>6</v>
      </c>
      <c r="AM436" s="2224">
        <f t="shared" ref="AM436:BI436" si="429">AM437/(365*24*3600)</f>
        <v>6</v>
      </c>
      <c r="AN436" s="2224">
        <f t="shared" si="429"/>
        <v>6</v>
      </c>
      <c r="AO436" s="2224">
        <f t="shared" si="429"/>
        <v>6</v>
      </c>
      <c r="AP436" s="2224">
        <f t="shared" si="429"/>
        <v>6</v>
      </c>
      <c r="AQ436" s="2224">
        <f t="shared" si="429"/>
        <v>6</v>
      </c>
      <c r="AR436" s="2224">
        <f t="shared" si="429"/>
        <v>6</v>
      </c>
      <c r="AS436" s="2224">
        <f t="shared" si="429"/>
        <v>6</v>
      </c>
      <c r="AT436" s="2224">
        <f t="shared" si="429"/>
        <v>6</v>
      </c>
      <c r="AU436" s="2224">
        <f t="shared" si="429"/>
        <v>6</v>
      </c>
      <c r="AV436" s="2224">
        <f t="shared" si="429"/>
        <v>6</v>
      </c>
      <c r="AW436" s="2224">
        <f t="shared" si="429"/>
        <v>6</v>
      </c>
      <c r="AX436" s="2224">
        <f t="shared" si="429"/>
        <v>6</v>
      </c>
      <c r="AY436" s="2224">
        <f t="shared" si="429"/>
        <v>6</v>
      </c>
      <c r="AZ436" s="2224">
        <f t="shared" si="429"/>
        <v>6</v>
      </c>
      <c r="BA436" s="2224">
        <f t="shared" si="429"/>
        <v>6</v>
      </c>
      <c r="BB436" s="2224">
        <f t="shared" si="429"/>
        <v>6</v>
      </c>
      <c r="BC436" s="2224">
        <f t="shared" si="429"/>
        <v>6</v>
      </c>
      <c r="BD436" s="2224">
        <f t="shared" si="429"/>
        <v>6</v>
      </c>
      <c r="BE436" s="2224">
        <f t="shared" si="429"/>
        <v>6</v>
      </c>
      <c r="BF436" s="2224">
        <f t="shared" si="429"/>
        <v>6</v>
      </c>
      <c r="BG436" s="2224">
        <f t="shared" si="429"/>
        <v>6</v>
      </c>
      <c r="BH436" s="2224">
        <f t="shared" si="429"/>
        <v>6</v>
      </c>
      <c r="BI436" s="2224">
        <f t="shared" si="429"/>
        <v>6</v>
      </c>
    </row>
    <row r="437" spans="1:61" s="2216" customFormat="1" ht="13.15" customHeight="1">
      <c r="A437" s="2213"/>
      <c r="B437" s="2214"/>
      <c r="C437" s="2213"/>
      <c r="D437" s="2410"/>
      <c r="E437" s="3656" t="str">
        <f>E28</f>
        <v>Durée d'exposition considérée</v>
      </c>
      <c r="F437" s="2208" t="str">
        <f>F28</f>
        <v>t</v>
      </c>
      <c r="G437" s="2209" t="str">
        <f>G28</f>
        <v>s</v>
      </c>
      <c r="H437" s="2161">
        <f>H28</f>
        <v>189216000</v>
      </c>
      <c r="I437" s="2161">
        <f t="shared" ref="I437:BI437" si="430">I28</f>
        <v>189216000</v>
      </c>
      <c r="J437" s="2161">
        <f>J28</f>
        <v>189216000</v>
      </c>
      <c r="K437" s="2161">
        <f t="shared" si="430"/>
        <v>189216000</v>
      </c>
      <c r="L437" s="2161">
        <f t="shared" si="430"/>
        <v>189216000</v>
      </c>
      <c r="M437" s="2161">
        <f t="shared" si="430"/>
        <v>189216000</v>
      </c>
      <c r="N437" s="2161">
        <f>N28</f>
        <v>189216000</v>
      </c>
      <c r="O437" s="2161">
        <f>O28</f>
        <v>189216000</v>
      </c>
      <c r="P437" s="2161">
        <f t="shared" si="430"/>
        <v>189216000</v>
      </c>
      <c r="Q437" s="2161">
        <f t="shared" si="430"/>
        <v>189216000</v>
      </c>
      <c r="R437" s="2161">
        <f>R28</f>
        <v>189216000</v>
      </c>
      <c r="S437" s="2161">
        <f>S28</f>
        <v>189216000</v>
      </c>
      <c r="T437" s="2161">
        <f>T28</f>
        <v>189216000</v>
      </c>
      <c r="U437" s="2161">
        <f t="shared" si="430"/>
        <v>189216000</v>
      </c>
      <c r="V437" s="2161">
        <f t="shared" si="430"/>
        <v>189216000</v>
      </c>
      <c r="W437" s="2161">
        <f t="shared" si="430"/>
        <v>189216000</v>
      </c>
      <c r="X437" s="2161">
        <f t="shared" si="430"/>
        <v>189216000</v>
      </c>
      <c r="Y437" s="2161">
        <f t="shared" si="430"/>
        <v>189216000</v>
      </c>
      <c r="Z437" s="2161">
        <f t="shared" si="430"/>
        <v>189216000</v>
      </c>
      <c r="AA437" s="2161">
        <f t="shared" si="430"/>
        <v>189216000</v>
      </c>
      <c r="AB437" s="2161">
        <f t="shared" si="430"/>
        <v>189216000</v>
      </c>
      <c r="AC437" s="2161">
        <f t="shared" si="430"/>
        <v>189216000</v>
      </c>
      <c r="AD437" s="2161">
        <f t="shared" si="430"/>
        <v>189216000</v>
      </c>
      <c r="AE437" s="2161">
        <f t="shared" si="430"/>
        <v>189216000</v>
      </c>
      <c r="AF437" s="2161">
        <f t="shared" si="430"/>
        <v>189216000</v>
      </c>
      <c r="AG437" s="2161">
        <f t="shared" si="430"/>
        <v>189216000</v>
      </c>
      <c r="AH437" s="2161">
        <f t="shared" si="430"/>
        <v>189216000</v>
      </c>
      <c r="AI437" s="2161">
        <f t="shared" si="430"/>
        <v>189216000</v>
      </c>
      <c r="AJ437" s="2161">
        <f t="shared" si="430"/>
        <v>189216000</v>
      </c>
      <c r="AK437" s="2161">
        <f t="shared" si="430"/>
        <v>189216000</v>
      </c>
      <c r="AL437" s="2161">
        <f t="shared" si="430"/>
        <v>189216000</v>
      </c>
      <c r="AM437" s="2161">
        <f t="shared" si="430"/>
        <v>189216000</v>
      </c>
      <c r="AN437" s="2161">
        <f t="shared" si="430"/>
        <v>189216000</v>
      </c>
      <c r="AO437" s="2161">
        <f t="shared" si="430"/>
        <v>189216000</v>
      </c>
      <c r="AP437" s="2161">
        <f t="shared" si="430"/>
        <v>189216000</v>
      </c>
      <c r="AQ437" s="2161">
        <f t="shared" si="430"/>
        <v>189216000</v>
      </c>
      <c r="AR437" s="2161">
        <f t="shared" si="430"/>
        <v>189216000</v>
      </c>
      <c r="AS437" s="2161">
        <f t="shared" si="430"/>
        <v>189216000</v>
      </c>
      <c r="AT437" s="2161">
        <f t="shared" si="430"/>
        <v>189216000</v>
      </c>
      <c r="AU437" s="2161">
        <f t="shared" si="430"/>
        <v>189216000</v>
      </c>
      <c r="AV437" s="2161">
        <f t="shared" si="430"/>
        <v>189216000</v>
      </c>
      <c r="AW437" s="2161">
        <f t="shared" si="430"/>
        <v>189216000</v>
      </c>
      <c r="AX437" s="2161">
        <f t="shared" si="430"/>
        <v>189216000</v>
      </c>
      <c r="AY437" s="2161">
        <f t="shared" si="430"/>
        <v>189216000</v>
      </c>
      <c r="AZ437" s="2161">
        <f t="shared" si="430"/>
        <v>189216000</v>
      </c>
      <c r="BA437" s="2161">
        <f t="shared" si="430"/>
        <v>189216000</v>
      </c>
      <c r="BB437" s="2161">
        <f t="shared" si="430"/>
        <v>189216000</v>
      </c>
      <c r="BC437" s="2161">
        <f t="shared" si="430"/>
        <v>189216000</v>
      </c>
      <c r="BD437" s="2161">
        <f t="shared" si="430"/>
        <v>189216000</v>
      </c>
      <c r="BE437" s="2161">
        <f t="shared" si="430"/>
        <v>189216000</v>
      </c>
      <c r="BF437" s="2161">
        <f t="shared" si="430"/>
        <v>189216000</v>
      </c>
      <c r="BG437" s="2161">
        <f t="shared" si="430"/>
        <v>189216000</v>
      </c>
      <c r="BH437" s="2161">
        <f t="shared" si="430"/>
        <v>189216000</v>
      </c>
      <c r="BI437" s="2161">
        <f t="shared" si="430"/>
        <v>189216000</v>
      </c>
    </row>
    <row r="438" spans="1:61" s="2244" customFormat="1" ht="27" customHeight="1">
      <c r="A438" s="2241"/>
      <c r="B438" s="276"/>
      <c r="C438" s="2242"/>
      <c r="D438" s="2410"/>
      <c r="E438" s="3655" t="s">
        <v>610</v>
      </c>
      <c r="F438" s="2153" t="s">
        <v>138</v>
      </c>
      <c r="G438" s="2154" t="s">
        <v>139</v>
      </c>
      <c r="H438" s="2155">
        <f t="shared" ref="H438:AL438" si="431">200*H$421*H$422/(PI()*H$422*H437)^0.5/H$420</f>
        <v>8.5677520307046045E-4</v>
      </c>
      <c r="I438" s="2155">
        <f t="shared" si="431"/>
        <v>8.5677520307046045E-4</v>
      </c>
      <c r="J438" s="2155">
        <f>200*J$421*J$422/(PI()*J$422*J437)^0.5/J$420</f>
        <v>3.0626223313799477E-4</v>
      </c>
      <c r="K438" s="2155">
        <f t="shared" si="431"/>
        <v>2.8493756185060949E-5</v>
      </c>
      <c r="L438" s="2155">
        <f t="shared" si="431"/>
        <v>5.4941493449943817E-5</v>
      </c>
      <c r="M438" s="2155">
        <f t="shared" si="431"/>
        <v>5.4941493449943817E-5</v>
      </c>
      <c r="N438" s="2155">
        <f>200*N$421*N$422/(PI()*N$422*N437)^0.5/N$420</f>
        <v>4.0513269056499719E-5</v>
      </c>
      <c r="O438" s="2155">
        <f>200*O$421*O$422/(PI()*O$422*O437)^0.5/O$420</f>
        <v>4.0513269056499719E-5</v>
      </c>
      <c r="P438" s="2155">
        <f t="shared" si="431"/>
        <v>3.7013914594787166E-5</v>
      </c>
      <c r="Q438" s="2155">
        <f t="shared" si="431"/>
        <v>3.7013914594787166E-5</v>
      </c>
      <c r="R438" s="2155">
        <f>200*R$421*R$422/(PI()*R$422*R437)^0.5/R$420</f>
        <v>2.1972554464872549E-4</v>
      </c>
      <c r="S438" s="2155">
        <f>200*S$421*S$422/(PI()*S$422*S437)^0.5/S$420</f>
        <v>7.2462284041792621E-5</v>
      </c>
      <c r="T438" s="2155">
        <f>200*T$421*T$422/(PI()*T$422*T437)^0.5/T$420</f>
        <v>7.2462284041792621E-5</v>
      </c>
      <c r="U438" s="2155">
        <f t="shared" si="431"/>
        <v>2.891238009252724E-5</v>
      </c>
      <c r="V438" s="2155">
        <f t="shared" si="431"/>
        <v>1.3655251052659346E-5</v>
      </c>
      <c r="W438" s="2155">
        <f t="shared" si="431"/>
        <v>1.3655251052659346E-5</v>
      </c>
      <c r="X438" s="2155">
        <f t="shared" si="431"/>
        <v>5.2894963839899249E-5</v>
      </c>
      <c r="Y438" s="2155">
        <f t="shared" si="431"/>
        <v>6.0217940393032613E-5</v>
      </c>
      <c r="Z438" s="2155">
        <f t="shared" si="431"/>
        <v>7.4928606158274682E-5</v>
      </c>
      <c r="AA438" s="2155">
        <f t="shared" si="431"/>
        <v>9.1487691818333604E-5</v>
      </c>
      <c r="AB438" s="2155">
        <f t="shared" si="431"/>
        <v>5.8914066974968234E-5</v>
      </c>
      <c r="AC438" s="2155">
        <f t="shared" si="431"/>
        <v>1.2816834269881427E-4</v>
      </c>
      <c r="AD438" s="2155">
        <f t="shared" si="431"/>
        <v>2.6985391721594222E-4</v>
      </c>
      <c r="AE438" s="2155">
        <f t="shared" si="431"/>
        <v>6.8097686828045515E-4</v>
      </c>
      <c r="AF438" s="2155">
        <f t="shared" si="431"/>
        <v>1.0050750976347052E-2</v>
      </c>
      <c r="AG438" s="2155">
        <f t="shared" si="431"/>
        <v>1.4951096794089946E-5</v>
      </c>
      <c r="AH438" s="2155">
        <f t="shared" si="431"/>
        <v>1.5550700579783248E-5</v>
      </c>
      <c r="AI438" s="2155">
        <f t="shared" si="431"/>
        <v>2.1388814143632741E-5</v>
      </c>
      <c r="AJ438" s="2155">
        <f t="shared" si="431"/>
        <v>3.9515770847300796E-5</v>
      </c>
      <c r="AK438" s="2155">
        <f t="shared" si="431"/>
        <v>7.4024591088193644E-5</v>
      </c>
      <c r="AL438" s="2155">
        <f t="shared" si="431"/>
        <v>2.3139204261639375E-4</v>
      </c>
      <c r="AM438" s="2155">
        <f t="shared" ref="AM438:BI438" si="432">200*AM$421*AM$422/(PI()*AM$422*AM437)^0.5/AM$420</f>
        <v>2.5546424704682566E-3</v>
      </c>
      <c r="AN438" s="2155">
        <f t="shared" si="432"/>
        <v>4.5779098850097586E-4</v>
      </c>
      <c r="AO438" s="2155">
        <f t="shared" si="432"/>
        <v>8.0610479160689644E-4</v>
      </c>
      <c r="AP438" s="2155">
        <f t="shared" si="432"/>
        <v>6.164051553809016E-4</v>
      </c>
      <c r="AQ438" s="2155">
        <f t="shared" si="432"/>
        <v>9.3810245366337662E-4</v>
      </c>
      <c r="AR438" s="2155">
        <f t="shared" si="432"/>
        <v>2.0683918427464635E-3</v>
      </c>
      <c r="AS438" s="2155">
        <f t="shared" si="432"/>
        <v>1.8082398118604141E-3</v>
      </c>
      <c r="AT438" s="2155">
        <f t="shared" si="432"/>
        <v>6.7854186683180247E-3</v>
      </c>
      <c r="AU438" s="2155">
        <f t="shared" si="432"/>
        <v>7.000560322625006E-3</v>
      </c>
      <c r="AV438" s="2155">
        <f t="shared" si="432"/>
        <v>1.7494107852047615E-2</v>
      </c>
      <c r="AW438" s="2155">
        <f t="shared" si="432"/>
        <v>1.8604790229111875E-2</v>
      </c>
      <c r="AX438" s="2155">
        <f t="shared" si="432"/>
        <v>0.30702662195793595</v>
      </c>
      <c r="AY438" s="2155">
        <f t="shared" si="432"/>
        <v>0.37061267702882345</v>
      </c>
      <c r="AZ438" s="2155">
        <f t="shared" si="432"/>
        <v>0.52892697656490817</v>
      </c>
      <c r="BA438" s="2155">
        <f t="shared" si="432"/>
        <v>1.4828765393010492</v>
      </c>
      <c r="BB438" s="2155">
        <f t="shared" si="432"/>
        <v>0.13584620842638973</v>
      </c>
      <c r="BC438" s="2155">
        <f t="shared" si="432"/>
        <v>275311.27560937236</v>
      </c>
      <c r="BD438" s="2155">
        <f t="shared" si="432"/>
        <v>1.5162375362779696E-2</v>
      </c>
      <c r="BE438" s="2155">
        <f t="shared" si="432"/>
        <v>1.6476319831679607E-2</v>
      </c>
      <c r="BF438" s="2155">
        <f t="shared" si="432"/>
        <v>1.6476319831679607E-2</v>
      </c>
      <c r="BG438" s="2155">
        <f t="shared" si="432"/>
        <v>1.5507220963298866E-5</v>
      </c>
      <c r="BH438" s="2155">
        <f t="shared" si="432"/>
        <v>9.4575330993638945E-3</v>
      </c>
      <c r="BI438" s="2155">
        <f t="shared" si="432"/>
        <v>3.0041053046652279E-3</v>
      </c>
    </row>
    <row r="439" spans="1:61" s="2244" customFormat="1" ht="27" customHeight="1">
      <c r="A439" s="2241"/>
      <c r="B439" s="276"/>
      <c r="C439" s="2242"/>
      <c r="D439" s="2410"/>
      <c r="E439" s="3655" t="s">
        <v>611</v>
      </c>
      <c r="F439" s="2153" t="s">
        <v>138</v>
      </c>
      <c r="G439" s="2154" t="s">
        <v>139</v>
      </c>
      <c r="H439" s="2161">
        <f t="shared" ref="H439:AL439" si="433">MIN(H438,H$29)</f>
        <v>8.5677520307046045E-4</v>
      </c>
      <c r="I439" s="2161">
        <f t="shared" si="433"/>
        <v>8.5677520307046045E-4</v>
      </c>
      <c r="J439" s="2161">
        <f>MIN(J438,J$29)</f>
        <v>3.0626223313799477E-4</v>
      </c>
      <c r="K439" s="2161">
        <f t="shared" si="433"/>
        <v>6.1719199705249922E-6</v>
      </c>
      <c r="L439" s="2161">
        <f t="shared" si="433"/>
        <v>3.3010911945495617E-5</v>
      </c>
      <c r="M439" s="2161">
        <f t="shared" si="433"/>
        <v>3.3010911945495617E-5</v>
      </c>
      <c r="N439" s="2161">
        <f>MIN(N438,N$29)</f>
        <v>1.673716280311402E-5</v>
      </c>
      <c r="O439" s="2161">
        <f>MIN(O438,O$29)</f>
        <v>1.673716280311402E-5</v>
      </c>
      <c r="P439" s="2161">
        <f t="shared" si="433"/>
        <v>1.5330707115808009E-5</v>
      </c>
      <c r="Q439" s="2161">
        <f t="shared" si="433"/>
        <v>1.5330707115808009E-5</v>
      </c>
      <c r="R439" s="2161">
        <f>MIN(R438,R$29)</f>
        <v>3.8138690487629963E-5</v>
      </c>
      <c r="S439" s="2161">
        <f>MIN(S438,S$29)</f>
        <v>4.0651966282840303E-5</v>
      </c>
      <c r="T439" s="2161">
        <f>MIN(T438,T$29)</f>
        <v>4.0651966282840303E-5</v>
      </c>
      <c r="U439" s="2161">
        <f t="shared" si="433"/>
        <v>8.6347373865245747E-6</v>
      </c>
      <c r="V439" s="2161">
        <f t="shared" si="433"/>
        <v>5.2753720079623515E-6</v>
      </c>
      <c r="W439" s="2161">
        <f t="shared" si="433"/>
        <v>5.2753720079623515E-6</v>
      </c>
      <c r="X439" s="2161">
        <f t="shared" si="433"/>
        <v>2.7498597386978914E-5</v>
      </c>
      <c r="Y439" s="2161">
        <f t="shared" si="433"/>
        <v>3.9677142108498037E-5</v>
      </c>
      <c r="Z439" s="2161">
        <f t="shared" si="433"/>
        <v>6.6997628456839868E-5</v>
      </c>
      <c r="AA439" s="2161">
        <f t="shared" si="433"/>
        <v>9.1487691818333604E-5</v>
      </c>
      <c r="AB439" s="2161">
        <f t="shared" si="433"/>
        <v>5.8914066974968234E-5</v>
      </c>
      <c r="AC439" s="2161">
        <f t="shared" si="433"/>
        <v>1.2816834269881427E-4</v>
      </c>
      <c r="AD439" s="2161">
        <f t="shared" si="433"/>
        <v>2.6985391721594222E-4</v>
      </c>
      <c r="AE439" s="2161">
        <f t="shared" si="433"/>
        <v>6.8097686828045515E-4</v>
      </c>
      <c r="AF439" s="2161">
        <f t="shared" si="433"/>
        <v>1.0050750976347052E-2</v>
      </c>
      <c r="AG439" s="2161">
        <f t="shared" si="433"/>
        <v>3.8395236382500922E-6</v>
      </c>
      <c r="AH439" s="2161">
        <f t="shared" si="433"/>
        <v>5.1279831171684633E-6</v>
      </c>
      <c r="AI439" s="2161">
        <f t="shared" si="433"/>
        <v>1.2611413325747907E-5</v>
      </c>
      <c r="AJ439" s="2161">
        <f t="shared" si="433"/>
        <v>3.9515770847300796E-5</v>
      </c>
      <c r="AK439" s="2161">
        <f t="shared" si="433"/>
        <v>7.4024591088193644E-5</v>
      </c>
      <c r="AL439" s="2161">
        <f t="shared" si="433"/>
        <v>2.3139204261639375E-4</v>
      </c>
      <c r="AM439" s="2161">
        <f t="shared" ref="AM439:BI439" si="434">MIN(AM438,AM$29)</f>
        <v>2.5546424704682566E-3</v>
      </c>
      <c r="AN439" s="2161">
        <f t="shared" si="434"/>
        <v>4.5779098850097586E-4</v>
      </c>
      <c r="AO439" s="2161">
        <f t="shared" si="434"/>
        <v>8.0610479160689644E-4</v>
      </c>
      <c r="AP439" s="2161">
        <f t="shared" si="434"/>
        <v>6.164051553809016E-4</v>
      </c>
      <c r="AQ439" s="2161">
        <f t="shared" si="434"/>
        <v>9.3810245366337662E-4</v>
      </c>
      <c r="AR439" s="2161">
        <f t="shared" si="434"/>
        <v>2.0683918427464635E-3</v>
      </c>
      <c r="AS439" s="2161">
        <f t="shared" si="434"/>
        <v>1.8082398118604141E-3</v>
      </c>
      <c r="AT439" s="2161">
        <f t="shared" si="434"/>
        <v>6.7854186683180247E-3</v>
      </c>
      <c r="AU439" s="2161">
        <f t="shared" si="434"/>
        <v>7.000560322625006E-3</v>
      </c>
      <c r="AV439" s="2161">
        <f t="shared" si="434"/>
        <v>1.7494107852047615E-2</v>
      </c>
      <c r="AW439" s="2161">
        <f t="shared" si="434"/>
        <v>1.8604790229111875E-2</v>
      </c>
      <c r="AX439" s="2161">
        <f t="shared" si="434"/>
        <v>0.30702662195793595</v>
      </c>
      <c r="AY439" s="2161">
        <f t="shared" si="434"/>
        <v>0.37061267702882345</v>
      </c>
      <c r="AZ439" s="2161">
        <f t="shared" si="434"/>
        <v>0.52892697656490817</v>
      </c>
      <c r="BA439" s="2161">
        <f t="shared" si="434"/>
        <v>1.4828765393010492</v>
      </c>
      <c r="BB439" s="2161">
        <f t="shared" si="434"/>
        <v>0.13584620842638973</v>
      </c>
      <c r="BC439" s="2161">
        <f t="shared" si="434"/>
        <v>275311.27560937236</v>
      </c>
      <c r="BD439" s="2161">
        <f t="shared" si="434"/>
        <v>1.5162375362779696E-2</v>
      </c>
      <c r="BE439" s="2161">
        <f t="shared" si="434"/>
        <v>1.6476319831679607E-2</v>
      </c>
      <c r="BF439" s="2161">
        <f t="shared" si="434"/>
        <v>1.6476319831679607E-2</v>
      </c>
      <c r="BG439" s="2161">
        <f t="shared" si="434"/>
        <v>6.3075831211304503E-6</v>
      </c>
      <c r="BH439" s="2161">
        <f t="shared" si="434"/>
        <v>9.4575330993638945E-3</v>
      </c>
      <c r="BI439" s="2161">
        <f t="shared" si="434"/>
        <v>3.0041053046652279E-3</v>
      </c>
    </row>
    <row r="440" spans="1:61" s="2193" customFormat="1" ht="25.5">
      <c r="A440" s="2288"/>
      <c r="B440" s="1685"/>
      <c r="C440" s="2289"/>
      <c r="D440" s="2411"/>
      <c r="E440" s="3658" t="s">
        <v>608</v>
      </c>
      <c r="F440" s="2290" t="s">
        <v>581</v>
      </c>
      <c r="G440" s="2291" t="s">
        <v>73</v>
      </c>
      <c r="H440" s="2292">
        <f>H438/(1000*H$421/H$420/H437)</f>
        <v>0.28472807810859141</v>
      </c>
      <c r="I440" s="2292">
        <f t="shared" ref="I440:BI440" si="435">I438/(1000*I$421/I$420/I437)</f>
        <v>0.28472807810859141</v>
      </c>
      <c r="J440" s="2292">
        <f>J438/(1000*J$421/J$420/J437)</f>
        <v>0.6681472750400208</v>
      </c>
      <c r="K440" s="2292">
        <f t="shared" si="435"/>
        <v>13.850028672343864</v>
      </c>
      <c r="L440" s="2292">
        <f t="shared" si="435"/>
        <v>4.9930302023153281</v>
      </c>
      <c r="M440" s="2292">
        <f t="shared" si="435"/>
        <v>4.9930302023153281</v>
      </c>
      <c r="N440" s="2292">
        <f>N438/(1000*N$421/N$420/N437)</f>
        <v>7.2616732357342046</v>
      </c>
      <c r="O440" s="2292">
        <f>O438/(1000*O$421/O$420/O437)</f>
        <v>7.2616732357342046</v>
      </c>
      <c r="P440" s="2292">
        <f t="shared" si="435"/>
        <v>7.243093416732397</v>
      </c>
      <c r="Q440" s="2292">
        <f t="shared" si="435"/>
        <v>7.243093416732397</v>
      </c>
      <c r="R440" s="2292">
        <f>R438/(1000*R$421/R$420/R437)</f>
        <v>17.283672447012204</v>
      </c>
      <c r="S440" s="2292">
        <f>S438/(1000*S$421/S$420/S437)</f>
        <v>5.347511375289602</v>
      </c>
      <c r="T440" s="2292">
        <f>T438/(1000*T$421/T$420/T437)</f>
        <v>5.347511375289602</v>
      </c>
      <c r="U440" s="2292">
        <f t="shared" si="435"/>
        <v>10.045139347601264</v>
      </c>
      <c r="V440" s="2292">
        <f t="shared" si="435"/>
        <v>7.7654719129090086</v>
      </c>
      <c r="W440" s="2292">
        <f t="shared" si="435"/>
        <v>7.7654719129090086</v>
      </c>
      <c r="X440" s="2292">
        <f t="shared" si="435"/>
        <v>5.7706540186968924</v>
      </c>
      <c r="Y440" s="2292">
        <f t="shared" si="435"/>
        <v>4.5530956006129655</v>
      </c>
      <c r="Z440" s="2292">
        <f t="shared" si="435"/>
        <v>3.3551309748169955</v>
      </c>
      <c r="AA440" s="2292">
        <f t="shared" si="435"/>
        <v>2.7482496946812986</v>
      </c>
      <c r="AB440" s="2292">
        <f t="shared" si="435"/>
        <v>2.0015384460543073</v>
      </c>
      <c r="AC440" s="2292">
        <f t="shared" si="435"/>
        <v>0.84968841472465417</v>
      </c>
      <c r="AD440" s="2292">
        <f t="shared" si="435"/>
        <v>0.35016471694689399</v>
      </c>
      <c r="AE440" s="2292">
        <f t="shared" si="435"/>
        <v>0.11018328104476931</v>
      </c>
      <c r="AF440" s="2292">
        <f t="shared" si="435"/>
        <v>6.7403102341265239E-3</v>
      </c>
      <c r="AG440" s="2292">
        <f t="shared" si="435"/>
        <v>11.681993551343846</v>
      </c>
      <c r="AH440" s="2292">
        <f t="shared" si="435"/>
        <v>9.0975536918518163</v>
      </c>
      <c r="AI440" s="2292">
        <f t="shared" si="435"/>
        <v>5.0879660172499266</v>
      </c>
      <c r="AJ440" s="2292">
        <f t="shared" si="435"/>
        <v>2.2376061093001018</v>
      </c>
      <c r="AK440" s="2292">
        <f t="shared" si="435"/>
        <v>0.95558162261370438</v>
      </c>
      <c r="AL440" s="2292">
        <f t="shared" si="435"/>
        <v>0.22644437810830212</v>
      </c>
      <c r="AM440" s="2292">
        <f t="shared" si="435"/>
        <v>1.7305877140166306E-2</v>
      </c>
      <c r="AN440" s="2292">
        <f t="shared" si="435"/>
        <v>0.24684243300767009</v>
      </c>
      <c r="AO440" s="2292">
        <f t="shared" si="435"/>
        <v>0.11871163644398433</v>
      </c>
      <c r="AP440" s="2292">
        <f t="shared" si="435"/>
        <v>0.15186271236338805</v>
      </c>
      <c r="AQ440" s="2292">
        <f t="shared" si="435"/>
        <v>9.3583146182742827E-2</v>
      </c>
      <c r="AR440" s="2292">
        <f t="shared" si="435"/>
        <v>4.1312456457520436E-2</v>
      </c>
      <c r="AS440" s="2292">
        <f t="shared" si="435"/>
        <v>4.6648633934615172E-2</v>
      </c>
      <c r="AT440" s="2292">
        <f t="shared" si="435"/>
        <v>1.277778787754015E-2</v>
      </c>
      <c r="AU440" s="2292">
        <f t="shared" si="435"/>
        <v>1.2682125036141396E-2</v>
      </c>
      <c r="AV440" s="2292">
        <f t="shared" si="435"/>
        <v>5.0559947743562426E-3</v>
      </c>
      <c r="AW440" s="2292">
        <f t="shared" si="435"/>
        <v>5.1811785062638397E-3</v>
      </c>
      <c r="AX440" s="2292">
        <f t="shared" si="435"/>
        <v>3.0095388339391608E-3</v>
      </c>
      <c r="AY440" s="2292">
        <f t="shared" si="435"/>
        <v>2.4931919470301961E-3</v>
      </c>
      <c r="AZ440" s="2292">
        <f t="shared" si="435"/>
        <v>2.3761075461413371E-3</v>
      </c>
      <c r="BA440" s="2292">
        <f t="shared" si="435"/>
        <v>1.150517936133259E-3</v>
      </c>
      <c r="BB440" s="2292">
        <f t="shared" si="435"/>
        <v>1.668822708264944E-3</v>
      </c>
      <c r="BC440" s="2292">
        <f t="shared" si="435"/>
        <v>8.9845965284289996E-4</v>
      </c>
      <c r="BD440" s="2292">
        <f t="shared" si="435"/>
        <v>0.17892227985817022</v>
      </c>
      <c r="BE440" s="2292">
        <f t="shared" si="435"/>
        <v>4.3152904333433051E-3</v>
      </c>
      <c r="BF440" s="2292">
        <f t="shared" si="435"/>
        <v>4.3152904333433051E-3</v>
      </c>
      <c r="BG440" s="2292">
        <f t="shared" si="435"/>
        <v>7.3755132507170096</v>
      </c>
      <c r="BH440" s="2292">
        <f t="shared" si="435"/>
        <v>0.14840810424798792</v>
      </c>
      <c r="BI440" s="2292">
        <f t="shared" si="435"/>
        <v>0.36474431461361911</v>
      </c>
    </row>
    <row r="441" spans="1:61" ht="13.15" customHeight="1">
      <c r="A441" s="2131"/>
      <c r="B441" s="78"/>
      <c r="C441" s="2158"/>
      <c r="D441" s="2412"/>
      <c r="E441" s="3655"/>
      <c r="H441" s="2140"/>
      <c r="I441" s="2140"/>
      <c r="J441" s="2140"/>
      <c r="K441" s="2140"/>
      <c r="L441" s="2140"/>
      <c r="M441" s="2140"/>
      <c r="N441" s="2140"/>
      <c r="O441" s="2140"/>
      <c r="P441" s="2140"/>
      <c r="Q441" s="2140"/>
      <c r="R441" s="2140"/>
      <c r="S441" s="2140"/>
      <c r="T441" s="2140"/>
      <c r="U441" s="2140"/>
      <c r="V441" s="2140"/>
      <c r="W441" s="2140"/>
      <c r="X441" s="2140"/>
      <c r="Y441" s="2140"/>
      <c r="Z441" s="2140"/>
      <c r="AA441" s="2140"/>
      <c r="AB441" s="2140"/>
      <c r="AC441" s="2140"/>
      <c r="AD441" s="2140"/>
      <c r="AE441" s="2140"/>
      <c r="AF441" s="2140"/>
      <c r="AG441" s="2140"/>
      <c r="AH441" s="2140"/>
      <c r="AI441" s="2140"/>
      <c r="AJ441" s="2140"/>
      <c r="AK441" s="2140"/>
      <c r="AL441" s="2140"/>
      <c r="AM441" s="2140"/>
      <c r="AN441" s="2140"/>
      <c r="AO441" s="2140"/>
      <c r="AP441" s="2140"/>
      <c r="AQ441" s="2140"/>
      <c r="AR441" s="2140"/>
      <c r="AS441" s="2140"/>
      <c r="AT441" s="2140"/>
      <c r="AU441" s="2140"/>
      <c r="AV441" s="2140"/>
      <c r="AW441" s="2140"/>
      <c r="AX441" s="2140"/>
      <c r="AY441" s="2140"/>
      <c r="AZ441" s="2140"/>
      <c r="BA441" s="2140"/>
      <c r="BB441" s="2140"/>
      <c r="BC441" s="2140"/>
      <c r="BD441" s="2140"/>
      <c r="BE441" s="2140"/>
      <c r="BF441" s="2140"/>
      <c r="BG441" s="2140"/>
      <c r="BH441" s="2140"/>
      <c r="BI441" s="2140"/>
    </row>
    <row r="442" spans="1:61" s="529" customFormat="1" ht="13.15" customHeight="1">
      <c r="B442" s="224"/>
      <c r="C442" s="2269"/>
      <c r="D442" s="2410"/>
      <c r="E442" s="3659" t="str">
        <f>E31</f>
        <v>Période vie entière 0-70 ans (effets sans seuil)</v>
      </c>
      <c r="F442" s="2237"/>
      <c r="G442" s="526"/>
      <c r="H442" s="2161"/>
      <c r="I442" s="2161"/>
      <c r="J442" s="2161"/>
      <c r="K442" s="2161"/>
      <c r="L442" s="2161"/>
      <c r="M442" s="2161"/>
      <c r="N442" s="2161"/>
      <c r="O442" s="2161"/>
      <c r="P442" s="2161"/>
      <c r="Q442" s="2161"/>
      <c r="R442" s="2161"/>
      <c r="S442" s="2161"/>
      <c r="T442" s="2161"/>
      <c r="U442" s="2161"/>
      <c r="V442" s="2161"/>
      <c r="W442" s="2161"/>
      <c r="X442" s="2161"/>
      <c r="Y442" s="2161"/>
      <c r="Z442" s="2161"/>
      <c r="AA442" s="2161"/>
      <c r="AB442" s="2161"/>
      <c r="AC442" s="2161"/>
      <c r="AD442" s="2161"/>
      <c r="AE442" s="2161"/>
      <c r="AF442" s="2161"/>
      <c r="AG442" s="2161"/>
      <c r="AH442" s="2161"/>
      <c r="AI442" s="2161"/>
      <c r="AJ442" s="2161"/>
      <c r="AK442" s="2161"/>
      <c r="AL442" s="2161"/>
      <c r="AM442" s="2161"/>
      <c r="AN442" s="2161"/>
      <c r="AO442" s="2161"/>
      <c r="AP442" s="2161"/>
      <c r="AQ442" s="2161"/>
      <c r="AR442" s="2161"/>
      <c r="AS442" s="2161"/>
      <c r="AT442" s="2161"/>
      <c r="AU442" s="2161"/>
      <c r="AV442" s="2161"/>
      <c r="AW442" s="2161"/>
      <c r="AX442" s="2161"/>
      <c r="AY442" s="2161"/>
      <c r="AZ442" s="2161"/>
      <c r="BA442" s="2161"/>
      <c r="BB442" s="2161"/>
      <c r="BC442" s="2161"/>
      <c r="BD442" s="2161"/>
      <c r="BE442" s="2161"/>
      <c r="BF442" s="2161"/>
      <c r="BG442" s="2161"/>
      <c r="BH442" s="2161"/>
      <c r="BI442" s="2161"/>
    </row>
    <row r="443" spans="1:61">
      <c r="A443" s="2126"/>
      <c r="B443" s="2156"/>
      <c r="C443" s="2156"/>
      <c r="D443" s="2410"/>
      <c r="E443" s="3655" t="str">
        <f>E17</f>
        <v>Durée d'exposition considérée</v>
      </c>
      <c r="F443" s="525" t="str">
        <f>F17</f>
        <v>t</v>
      </c>
      <c r="G443" s="526" t="str">
        <f>G17</f>
        <v>an</v>
      </c>
      <c r="H443" s="2224">
        <f t="shared" ref="H443:AL443" si="436">H444/(365*24*3600)</f>
        <v>70</v>
      </c>
      <c r="I443" s="2224">
        <f t="shared" si="436"/>
        <v>70</v>
      </c>
      <c r="J443" s="2224">
        <f>J444/(365*24*3600)</f>
        <v>70</v>
      </c>
      <c r="K443" s="2224">
        <f t="shared" si="436"/>
        <v>70</v>
      </c>
      <c r="L443" s="2224">
        <f t="shared" si="436"/>
        <v>70</v>
      </c>
      <c r="M443" s="2224">
        <f t="shared" si="436"/>
        <v>70</v>
      </c>
      <c r="N443" s="2224">
        <f>N444/(365*24*3600)</f>
        <v>70</v>
      </c>
      <c r="O443" s="2224">
        <f>O444/(365*24*3600)</f>
        <v>70</v>
      </c>
      <c r="P443" s="2224">
        <f t="shared" si="436"/>
        <v>70</v>
      </c>
      <c r="Q443" s="2224">
        <f t="shared" si="436"/>
        <v>70</v>
      </c>
      <c r="R443" s="2224">
        <f>R444/(365*24*3600)</f>
        <v>70</v>
      </c>
      <c r="S443" s="2224">
        <f>S444/(365*24*3600)</f>
        <v>70</v>
      </c>
      <c r="T443" s="2224">
        <f>T444/(365*24*3600)</f>
        <v>70</v>
      </c>
      <c r="U443" s="2224">
        <f t="shared" si="436"/>
        <v>70</v>
      </c>
      <c r="V443" s="2224">
        <f t="shared" si="436"/>
        <v>70</v>
      </c>
      <c r="W443" s="2224">
        <f t="shared" si="436"/>
        <v>70</v>
      </c>
      <c r="X443" s="2224">
        <f t="shared" si="436"/>
        <v>70</v>
      </c>
      <c r="Y443" s="2224">
        <f t="shared" si="436"/>
        <v>70</v>
      </c>
      <c r="Z443" s="2224">
        <f t="shared" si="436"/>
        <v>70</v>
      </c>
      <c r="AA443" s="2224">
        <f t="shared" si="436"/>
        <v>70</v>
      </c>
      <c r="AB443" s="2224">
        <f t="shared" si="436"/>
        <v>70</v>
      </c>
      <c r="AC443" s="2224">
        <f t="shared" si="436"/>
        <v>70</v>
      </c>
      <c r="AD443" s="2224">
        <f t="shared" si="436"/>
        <v>70</v>
      </c>
      <c r="AE443" s="2224">
        <f t="shared" si="436"/>
        <v>70</v>
      </c>
      <c r="AF443" s="2224">
        <f t="shared" si="436"/>
        <v>70</v>
      </c>
      <c r="AG443" s="2224">
        <f t="shared" si="436"/>
        <v>70</v>
      </c>
      <c r="AH443" s="2224">
        <f t="shared" si="436"/>
        <v>70</v>
      </c>
      <c r="AI443" s="2224">
        <f t="shared" si="436"/>
        <v>70</v>
      </c>
      <c r="AJ443" s="2224">
        <f t="shared" si="436"/>
        <v>70</v>
      </c>
      <c r="AK443" s="2224">
        <f t="shared" si="436"/>
        <v>70</v>
      </c>
      <c r="AL443" s="2224">
        <f t="shared" si="436"/>
        <v>70</v>
      </c>
      <c r="AM443" s="2224">
        <f t="shared" ref="AM443:BI443" si="437">AM444/(365*24*3600)</f>
        <v>70</v>
      </c>
      <c r="AN443" s="2224">
        <f t="shared" si="437"/>
        <v>70</v>
      </c>
      <c r="AO443" s="2224">
        <f t="shared" si="437"/>
        <v>70</v>
      </c>
      <c r="AP443" s="2224">
        <f t="shared" si="437"/>
        <v>70</v>
      </c>
      <c r="AQ443" s="2224">
        <f t="shared" si="437"/>
        <v>70</v>
      </c>
      <c r="AR443" s="2224">
        <f t="shared" si="437"/>
        <v>70</v>
      </c>
      <c r="AS443" s="2224">
        <f t="shared" si="437"/>
        <v>70</v>
      </c>
      <c r="AT443" s="2224">
        <f t="shared" si="437"/>
        <v>70</v>
      </c>
      <c r="AU443" s="2224">
        <f t="shared" si="437"/>
        <v>70</v>
      </c>
      <c r="AV443" s="2224">
        <f t="shared" si="437"/>
        <v>70</v>
      </c>
      <c r="AW443" s="2224">
        <f t="shared" si="437"/>
        <v>70</v>
      </c>
      <c r="AX443" s="2224">
        <f t="shared" si="437"/>
        <v>70</v>
      </c>
      <c r="AY443" s="2224">
        <f t="shared" si="437"/>
        <v>70</v>
      </c>
      <c r="AZ443" s="2224">
        <f t="shared" si="437"/>
        <v>70</v>
      </c>
      <c r="BA443" s="2224">
        <f t="shared" si="437"/>
        <v>70</v>
      </c>
      <c r="BB443" s="2224">
        <f t="shared" si="437"/>
        <v>70</v>
      </c>
      <c r="BC443" s="2224">
        <f t="shared" si="437"/>
        <v>70</v>
      </c>
      <c r="BD443" s="2224">
        <f t="shared" si="437"/>
        <v>70</v>
      </c>
      <c r="BE443" s="2224">
        <f t="shared" si="437"/>
        <v>70</v>
      </c>
      <c r="BF443" s="2224">
        <f t="shared" si="437"/>
        <v>70</v>
      </c>
      <c r="BG443" s="2224">
        <f t="shared" si="437"/>
        <v>70</v>
      </c>
      <c r="BH443" s="2224">
        <f t="shared" si="437"/>
        <v>70</v>
      </c>
      <c r="BI443" s="2224">
        <f t="shared" si="437"/>
        <v>70</v>
      </c>
    </row>
    <row r="444" spans="1:61" s="2216" customFormat="1" ht="13.15" customHeight="1">
      <c r="A444" s="2213"/>
      <c r="B444" s="2214"/>
      <c r="C444" s="2213"/>
      <c r="D444" s="2410"/>
      <c r="E444" s="3656" t="str">
        <f>E33</f>
        <v>Durée d'exposition considérée</v>
      </c>
      <c r="F444" s="2208" t="str">
        <f>F33</f>
        <v>t</v>
      </c>
      <c r="G444" s="2209" t="str">
        <f>G33</f>
        <v>s</v>
      </c>
      <c r="H444" s="2161">
        <f>H33</f>
        <v>2207520000</v>
      </c>
      <c r="I444" s="2161">
        <f t="shared" ref="I444:BI444" si="438">I33</f>
        <v>2207520000</v>
      </c>
      <c r="J444" s="2161">
        <f>J33</f>
        <v>2207520000</v>
      </c>
      <c r="K444" s="2161">
        <f t="shared" si="438"/>
        <v>2207520000</v>
      </c>
      <c r="L444" s="2161">
        <f t="shared" si="438"/>
        <v>2207520000</v>
      </c>
      <c r="M444" s="2161">
        <f t="shared" si="438"/>
        <v>2207520000</v>
      </c>
      <c r="N444" s="2161">
        <f>N33</f>
        <v>2207520000</v>
      </c>
      <c r="O444" s="2161">
        <f>O33</f>
        <v>2207520000</v>
      </c>
      <c r="P444" s="2161">
        <f t="shared" si="438"/>
        <v>2207520000</v>
      </c>
      <c r="Q444" s="2161">
        <f t="shared" si="438"/>
        <v>2207520000</v>
      </c>
      <c r="R444" s="2161">
        <f>R33</f>
        <v>2207520000</v>
      </c>
      <c r="S444" s="2161">
        <f>S33</f>
        <v>2207520000</v>
      </c>
      <c r="T444" s="2161">
        <f>T33</f>
        <v>2207520000</v>
      </c>
      <c r="U444" s="2161">
        <f t="shared" si="438"/>
        <v>2207520000</v>
      </c>
      <c r="V444" s="2161">
        <f t="shared" si="438"/>
        <v>2207520000</v>
      </c>
      <c r="W444" s="2161">
        <f t="shared" si="438"/>
        <v>2207520000</v>
      </c>
      <c r="X444" s="2161">
        <f t="shared" si="438"/>
        <v>2207520000</v>
      </c>
      <c r="Y444" s="2161">
        <f t="shared" si="438"/>
        <v>2207520000</v>
      </c>
      <c r="Z444" s="2161">
        <f t="shared" si="438"/>
        <v>2207520000</v>
      </c>
      <c r="AA444" s="2161">
        <f t="shared" si="438"/>
        <v>2207520000</v>
      </c>
      <c r="AB444" s="2161">
        <f t="shared" si="438"/>
        <v>2207520000</v>
      </c>
      <c r="AC444" s="2161">
        <f t="shared" si="438"/>
        <v>2207520000</v>
      </c>
      <c r="AD444" s="2161">
        <f t="shared" si="438"/>
        <v>2207520000</v>
      </c>
      <c r="AE444" s="2161">
        <f t="shared" si="438"/>
        <v>2207520000</v>
      </c>
      <c r="AF444" s="2161">
        <f t="shared" si="438"/>
        <v>2207520000</v>
      </c>
      <c r="AG444" s="2161">
        <f t="shared" si="438"/>
        <v>2207520000</v>
      </c>
      <c r="AH444" s="2161">
        <f t="shared" si="438"/>
        <v>2207520000</v>
      </c>
      <c r="AI444" s="2161">
        <f t="shared" si="438"/>
        <v>2207520000</v>
      </c>
      <c r="AJ444" s="2161">
        <f t="shared" si="438"/>
        <v>2207520000</v>
      </c>
      <c r="AK444" s="2161">
        <f t="shared" si="438"/>
        <v>2207520000</v>
      </c>
      <c r="AL444" s="2161">
        <f t="shared" si="438"/>
        <v>2207520000</v>
      </c>
      <c r="AM444" s="2161">
        <f t="shared" si="438"/>
        <v>2207520000</v>
      </c>
      <c r="AN444" s="2161">
        <f t="shared" si="438"/>
        <v>2207520000</v>
      </c>
      <c r="AO444" s="2161">
        <f t="shared" si="438"/>
        <v>2207520000</v>
      </c>
      <c r="AP444" s="2161">
        <f t="shared" si="438"/>
        <v>2207520000</v>
      </c>
      <c r="AQ444" s="2161">
        <f t="shared" si="438"/>
        <v>2207520000</v>
      </c>
      <c r="AR444" s="2161">
        <f t="shared" si="438"/>
        <v>2207520000</v>
      </c>
      <c r="AS444" s="2161">
        <f t="shared" si="438"/>
        <v>2207520000</v>
      </c>
      <c r="AT444" s="2161">
        <f t="shared" si="438"/>
        <v>2207520000</v>
      </c>
      <c r="AU444" s="2161">
        <f t="shared" si="438"/>
        <v>2207520000</v>
      </c>
      <c r="AV444" s="2161">
        <f t="shared" si="438"/>
        <v>2207520000</v>
      </c>
      <c r="AW444" s="2161">
        <f t="shared" si="438"/>
        <v>2207520000</v>
      </c>
      <c r="AX444" s="2161">
        <f t="shared" si="438"/>
        <v>2207520000</v>
      </c>
      <c r="AY444" s="2161">
        <f t="shared" si="438"/>
        <v>2207520000</v>
      </c>
      <c r="AZ444" s="2161">
        <f t="shared" si="438"/>
        <v>2207520000</v>
      </c>
      <c r="BA444" s="2161">
        <f t="shared" si="438"/>
        <v>2207520000</v>
      </c>
      <c r="BB444" s="2161">
        <f t="shared" si="438"/>
        <v>2207520000</v>
      </c>
      <c r="BC444" s="2161">
        <f t="shared" si="438"/>
        <v>2207520000</v>
      </c>
      <c r="BD444" s="2161">
        <f t="shared" si="438"/>
        <v>2207520000</v>
      </c>
      <c r="BE444" s="2161">
        <f t="shared" si="438"/>
        <v>2207520000</v>
      </c>
      <c r="BF444" s="2161">
        <f t="shared" si="438"/>
        <v>2207520000</v>
      </c>
      <c r="BG444" s="2161">
        <f t="shared" si="438"/>
        <v>2207520000</v>
      </c>
      <c r="BH444" s="2161">
        <f t="shared" si="438"/>
        <v>2207520000</v>
      </c>
      <c r="BI444" s="2161">
        <f t="shared" si="438"/>
        <v>2207520000</v>
      </c>
    </row>
    <row r="445" spans="1:61" s="2244" customFormat="1" ht="27" customHeight="1">
      <c r="A445" s="2241"/>
      <c r="B445" s="276"/>
      <c r="C445" s="2242"/>
      <c r="D445" s="2410"/>
      <c r="E445" s="3655" t="s">
        <v>610</v>
      </c>
      <c r="F445" s="2153" t="s">
        <v>138</v>
      </c>
      <c r="G445" s="2154" t="s">
        <v>139</v>
      </c>
      <c r="H445" s="2155">
        <f t="shared" ref="H445:AL445" si="439">200*H$421*H$422/(PI()*H$422*H444)^0.5/H$420</f>
        <v>2.5083809495308698E-4</v>
      </c>
      <c r="I445" s="2155">
        <f t="shared" si="439"/>
        <v>2.5083809495308698E-4</v>
      </c>
      <c r="J445" s="2155">
        <f>200*J$421*J$422/(PI()*J$422*J444)^0.5/J$420</f>
        <v>8.9664400698224927E-5</v>
      </c>
      <c r="K445" s="2155">
        <f t="shared" si="439"/>
        <v>8.3421176218736082E-6</v>
      </c>
      <c r="L445" s="2155">
        <f t="shared" si="439"/>
        <v>1.608522223971046E-5</v>
      </c>
      <c r="M445" s="2155">
        <f t="shared" si="439"/>
        <v>1.608522223971046E-5</v>
      </c>
      <c r="N445" s="2155">
        <f>200*N$421*N$422/(PI()*N$422*N444)^0.5/N$420</f>
        <v>1.1861070668286488E-5</v>
      </c>
      <c r="O445" s="2155">
        <f>200*O$421*O$422/(PI()*O$422*O444)^0.5/O$420</f>
        <v>1.1861070668286488E-5</v>
      </c>
      <c r="P445" s="2155">
        <f t="shared" si="439"/>
        <v>1.083656458594907E-5</v>
      </c>
      <c r="Q445" s="2155">
        <f t="shared" si="439"/>
        <v>1.083656458594907E-5</v>
      </c>
      <c r="R445" s="2155">
        <f>200*R$421*R$422/(PI()*R$422*R444)^0.5/R$420</f>
        <v>6.4329052515404216E-5</v>
      </c>
      <c r="S445" s="2155">
        <f>200*S$421*S$422/(PI()*S$422*S444)^0.5/S$420</f>
        <v>2.1214784484720827E-5</v>
      </c>
      <c r="T445" s="2155">
        <f>200*T$421*T$422/(PI()*T$422*T444)^0.5/T$420</f>
        <v>2.1214784484720827E-5</v>
      </c>
      <c r="U445" s="2155">
        <f t="shared" si="439"/>
        <v>8.4646781524239146E-6</v>
      </c>
      <c r="V445" s="2155">
        <f t="shared" si="439"/>
        <v>3.9978481495262371E-6</v>
      </c>
      <c r="W445" s="2155">
        <f t="shared" si="439"/>
        <v>3.9978481495262371E-6</v>
      </c>
      <c r="X445" s="2155">
        <f t="shared" si="439"/>
        <v>1.548605972099031E-5</v>
      </c>
      <c r="Y445" s="2155">
        <f t="shared" si="439"/>
        <v>1.7630007726711285E-5</v>
      </c>
      <c r="Z445" s="2155">
        <f t="shared" si="439"/>
        <v>2.1936849664737651E-5</v>
      </c>
      <c r="AA445" s="2155">
        <f t="shared" si="439"/>
        <v>2.6784853535821404E-5</v>
      </c>
      <c r="AB445" s="2155">
        <f t="shared" si="439"/>
        <v>1.7248272677569883E-5</v>
      </c>
      <c r="AC445" s="2155">
        <f t="shared" si="439"/>
        <v>3.7523848496839643E-5</v>
      </c>
      <c r="AD445" s="2155">
        <f t="shared" si="439"/>
        <v>7.9005137248945627E-5</v>
      </c>
      <c r="AE445" s="2155">
        <f t="shared" si="439"/>
        <v>1.9936961262934794E-4</v>
      </c>
      <c r="AF445" s="2155">
        <f t="shared" si="439"/>
        <v>2.942558583301389E-3</v>
      </c>
      <c r="AG445" s="2155">
        <f t="shared" si="439"/>
        <v>4.377232935603887E-6</v>
      </c>
      <c r="AH445" s="2155">
        <f t="shared" si="439"/>
        <v>4.5527789490633797E-6</v>
      </c>
      <c r="AI445" s="2155">
        <f t="shared" si="439"/>
        <v>6.262003584916143E-6</v>
      </c>
      <c r="AJ445" s="2155">
        <f t="shared" si="439"/>
        <v>1.156903309574951E-5</v>
      </c>
      <c r="AK445" s="2155">
        <f t="shared" si="439"/>
        <v>2.1672181152886059E-5</v>
      </c>
      <c r="AL445" s="2155">
        <f t="shared" si="439"/>
        <v>6.7744653380714625E-5</v>
      </c>
      <c r="AM445" s="2155">
        <f t="shared" ref="AM445:BI445" si="440">200*AM$421*AM$422/(PI()*AM$422*AM444)^0.5/AM$420</f>
        <v>7.4792273198621788E-4</v>
      </c>
      <c r="AN445" s="2155">
        <f t="shared" si="440"/>
        <v>1.3402747772198504E-4</v>
      </c>
      <c r="AO445" s="2155">
        <f t="shared" si="440"/>
        <v>2.3600331747999968E-4</v>
      </c>
      <c r="AP445" s="2155">
        <f t="shared" si="440"/>
        <v>1.8046495083062216E-4</v>
      </c>
      <c r="AQ445" s="2155">
        <f t="shared" si="440"/>
        <v>2.7464827588898619E-4</v>
      </c>
      <c r="AR445" s="2155">
        <f t="shared" si="440"/>
        <v>6.0556312506672731E-4</v>
      </c>
      <c r="AS445" s="2155">
        <f t="shared" si="440"/>
        <v>5.2939840929090611E-4</v>
      </c>
      <c r="AT445" s="2155">
        <f t="shared" si="440"/>
        <v>1.9865671720193699E-3</v>
      </c>
      <c r="AU445" s="2155">
        <f t="shared" si="440"/>
        <v>2.0495541988591048E-3</v>
      </c>
      <c r="AV445" s="2155">
        <f t="shared" si="440"/>
        <v>5.1217503386948322E-3</v>
      </c>
      <c r="AW445" s="2155">
        <f t="shared" si="440"/>
        <v>5.4469248425347309E-3</v>
      </c>
      <c r="AX445" s="2155">
        <f t="shared" si="440"/>
        <v>8.9888190829767428E-2</v>
      </c>
      <c r="AY445" s="2155">
        <f t="shared" si="440"/>
        <v>0.108504281564424</v>
      </c>
      <c r="AZ445" s="2155">
        <f t="shared" si="440"/>
        <v>0.15485396250424233</v>
      </c>
      <c r="BA445" s="2155">
        <f t="shared" si="440"/>
        <v>0.43414179686326865</v>
      </c>
      <c r="BB445" s="2155">
        <f t="shared" si="440"/>
        <v>3.9771697413928608E-2</v>
      </c>
      <c r="BC445" s="2155">
        <f t="shared" si="440"/>
        <v>80602.888185222051</v>
      </c>
      <c r="BD445" s="2155">
        <f t="shared" si="440"/>
        <v>4.4390889667829244E-3</v>
      </c>
      <c r="BE445" s="2155">
        <f t="shared" si="440"/>
        <v>4.8237725176978477E-3</v>
      </c>
      <c r="BF445" s="2155">
        <f t="shared" si="440"/>
        <v>4.8237725176978477E-3</v>
      </c>
      <c r="BG445" s="2155">
        <f t="shared" si="440"/>
        <v>4.5400494207937146E-6</v>
      </c>
      <c r="BH445" s="2155">
        <f t="shared" si="440"/>
        <v>2.7688821724747167E-3</v>
      </c>
      <c r="BI445" s="2155">
        <f t="shared" si="440"/>
        <v>8.7951197579036152E-4</v>
      </c>
    </row>
    <row r="446" spans="1:61" s="2244" customFormat="1" ht="27" customHeight="1">
      <c r="A446" s="2241"/>
      <c r="B446" s="276"/>
      <c r="C446" s="2242"/>
      <c r="D446" s="2410"/>
      <c r="E446" s="3655" t="s">
        <v>611</v>
      </c>
      <c r="F446" s="2153" t="s">
        <v>138</v>
      </c>
      <c r="G446" s="2154" t="s">
        <v>139</v>
      </c>
      <c r="H446" s="2161">
        <f t="shared" ref="H446:AL446" si="441">MIN(H445,H$34)</f>
        <v>2.5083809495308698E-4</v>
      </c>
      <c r="I446" s="2161">
        <f t="shared" si="441"/>
        <v>2.5083809495308698E-4</v>
      </c>
      <c r="J446" s="2161">
        <f>MIN(J445,J$34)</f>
        <v>8.9664400698224927E-5</v>
      </c>
      <c r="K446" s="2161">
        <f t="shared" si="441"/>
        <v>5.2902171175928501E-7</v>
      </c>
      <c r="L446" s="2161">
        <f t="shared" si="441"/>
        <v>2.8295067381853387E-6</v>
      </c>
      <c r="M446" s="2161">
        <f t="shared" si="441"/>
        <v>2.8295067381853387E-6</v>
      </c>
      <c r="N446" s="2161">
        <f>MIN(N445,N$34)</f>
        <v>1.4346139545526303E-6</v>
      </c>
      <c r="O446" s="2161">
        <f>MIN(O445,O$34)</f>
        <v>1.4346139545526303E-6</v>
      </c>
      <c r="P446" s="2161">
        <f t="shared" si="441"/>
        <v>1.314060609926401E-6</v>
      </c>
      <c r="Q446" s="2161">
        <f t="shared" si="441"/>
        <v>1.314060609926401E-6</v>
      </c>
      <c r="R446" s="2161">
        <f>MIN(R445,R$34)</f>
        <v>3.2690306132254255E-6</v>
      </c>
      <c r="S446" s="2161">
        <f>MIN(S445,S$34)</f>
        <v>3.4844542528148829E-6</v>
      </c>
      <c r="T446" s="2161">
        <f>MIN(T445,T$34)</f>
        <v>3.4844542528148829E-6</v>
      </c>
      <c r="U446" s="2161">
        <f t="shared" si="441"/>
        <v>7.4012034741639221E-7</v>
      </c>
      <c r="V446" s="2161">
        <f t="shared" si="441"/>
        <v>4.5217474353963014E-7</v>
      </c>
      <c r="W446" s="2161">
        <f t="shared" si="441"/>
        <v>4.5217474353963014E-7</v>
      </c>
      <c r="X446" s="2161">
        <f t="shared" si="441"/>
        <v>2.3570226331696212E-6</v>
      </c>
      <c r="Y446" s="2161">
        <f t="shared" si="441"/>
        <v>3.4008978950141175E-6</v>
      </c>
      <c r="Z446" s="2161">
        <f t="shared" si="441"/>
        <v>5.7426538677291316E-6</v>
      </c>
      <c r="AA446" s="2161">
        <f t="shared" si="441"/>
        <v>8.560141574144568E-6</v>
      </c>
      <c r="AB446" s="2161">
        <f t="shared" si="441"/>
        <v>7.5688436251191195E-6</v>
      </c>
      <c r="AC446" s="2161">
        <f t="shared" si="441"/>
        <v>3.7523848496839643E-5</v>
      </c>
      <c r="AD446" s="2161">
        <f t="shared" si="441"/>
        <v>7.9005137248945627E-5</v>
      </c>
      <c r="AE446" s="2161">
        <f t="shared" si="441"/>
        <v>1.9936961262934794E-4</v>
      </c>
      <c r="AF446" s="2161">
        <f t="shared" si="441"/>
        <v>2.942558583301389E-3</v>
      </c>
      <c r="AG446" s="2161">
        <f t="shared" si="441"/>
        <v>3.291020261357222E-7</v>
      </c>
      <c r="AH446" s="2161">
        <f t="shared" si="441"/>
        <v>4.3954141004301113E-7</v>
      </c>
      <c r="AI446" s="2161">
        <f t="shared" si="441"/>
        <v>1.0809782850641064E-6</v>
      </c>
      <c r="AJ446" s="2161">
        <f t="shared" si="441"/>
        <v>4.5411022858959111E-6</v>
      </c>
      <c r="AK446" s="2161">
        <f t="shared" si="441"/>
        <v>1.991969539889811E-5</v>
      </c>
      <c r="AL446" s="2161">
        <f t="shared" si="441"/>
        <v>6.7744653380714625E-5</v>
      </c>
      <c r="AM446" s="2161">
        <f t="shared" ref="AM446:BI446" si="442">MIN(AM445,AM$34)</f>
        <v>7.4792273198621788E-4</v>
      </c>
      <c r="AN446" s="2161">
        <f t="shared" si="442"/>
        <v>1.3402747772198504E-4</v>
      </c>
      <c r="AO446" s="2161">
        <f t="shared" si="442"/>
        <v>2.3600331747999968E-4</v>
      </c>
      <c r="AP446" s="2161">
        <f t="shared" si="442"/>
        <v>1.8046495083062216E-4</v>
      </c>
      <c r="AQ446" s="2161">
        <f t="shared" si="442"/>
        <v>2.7464827588898619E-4</v>
      </c>
      <c r="AR446" s="2161">
        <f t="shared" si="442"/>
        <v>6.0556312506672731E-4</v>
      </c>
      <c r="AS446" s="2161">
        <f t="shared" si="442"/>
        <v>5.2939840929090611E-4</v>
      </c>
      <c r="AT446" s="2161">
        <f t="shared" si="442"/>
        <v>1.9865671720193699E-3</v>
      </c>
      <c r="AU446" s="2161">
        <f t="shared" si="442"/>
        <v>2.0495541988591048E-3</v>
      </c>
      <c r="AV446" s="2161">
        <f t="shared" si="442"/>
        <v>5.1217503386948322E-3</v>
      </c>
      <c r="AW446" s="2161">
        <f t="shared" si="442"/>
        <v>5.4469248425347309E-3</v>
      </c>
      <c r="AX446" s="2161">
        <f t="shared" si="442"/>
        <v>8.9888190829767428E-2</v>
      </c>
      <c r="AY446" s="2161">
        <f t="shared" si="442"/>
        <v>0.108504281564424</v>
      </c>
      <c r="AZ446" s="2161">
        <f t="shared" si="442"/>
        <v>0.15485396250424233</v>
      </c>
      <c r="BA446" s="2161">
        <f t="shared" si="442"/>
        <v>0.43414179686326865</v>
      </c>
      <c r="BB446" s="2161">
        <f t="shared" si="442"/>
        <v>3.9771697413928608E-2</v>
      </c>
      <c r="BC446" s="2161">
        <f t="shared" si="442"/>
        <v>80602.888185222051</v>
      </c>
      <c r="BD446" s="2161">
        <f t="shared" si="442"/>
        <v>4.4390889667829244E-3</v>
      </c>
      <c r="BE446" s="2161">
        <f t="shared" si="442"/>
        <v>4.8237725176978477E-3</v>
      </c>
      <c r="BF446" s="2161">
        <f t="shared" si="442"/>
        <v>4.8237725176978477E-3</v>
      </c>
      <c r="BG446" s="2161">
        <f t="shared" si="442"/>
        <v>5.4064998181118143E-7</v>
      </c>
      <c r="BH446" s="2161">
        <f t="shared" si="442"/>
        <v>2.7688821724747167E-3</v>
      </c>
      <c r="BI446" s="2161">
        <f t="shared" si="442"/>
        <v>8.7951197579036152E-4</v>
      </c>
    </row>
    <row r="447" spans="1:61" s="2193" customFormat="1" ht="25.5">
      <c r="A447" s="2288"/>
      <c r="B447" s="1685"/>
      <c r="C447" s="2289"/>
      <c r="D447" s="2411"/>
      <c r="E447" s="3658" t="s">
        <v>608</v>
      </c>
      <c r="F447" s="2290" t="s">
        <v>581</v>
      </c>
      <c r="G447" s="2291" t="s">
        <v>73</v>
      </c>
      <c r="H447" s="2292">
        <f>H445/(1000*H$421/H$420/H444)</f>
        <v>0.9725315326883448</v>
      </c>
      <c r="I447" s="2292">
        <f t="shared" ref="I447:BI447" si="443">I445/(1000*I$421/I$420/I444)</f>
        <v>0.9725315326883448</v>
      </c>
      <c r="J447" s="2292">
        <f>J445/(1000*J$421/J$420/J444)</f>
        <v>2.2821574105817199</v>
      </c>
      <c r="K447" s="2292">
        <f t="shared" si="443"/>
        <v>47.306853970878777</v>
      </c>
      <c r="L447" s="2292">
        <f t="shared" si="443"/>
        <v>17.054444885358155</v>
      </c>
      <c r="M447" s="2292">
        <f t="shared" si="443"/>
        <v>17.054444885358155</v>
      </c>
      <c r="N447" s="2292">
        <f>N445/(1000*N$421/N$420/N444)</f>
        <v>24.803336041684975</v>
      </c>
      <c r="O447" s="2292">
        <f>O445/(1000*O$421/O$420/O444)</f>
        <v>24.803336041684975</v>
      </c>
      <c r="P447" s="2292">
        <f t="shared" si="443"/>
        <v>24.73987387816765</v>
      </c>
      <c r="Q447" s="2292">
        <f t="shared" si="443"/>
        <v>24.73987387816765</v>
      </c>
      <c r="R447" s="2292">
        <f>R445/(1000*R$421/R$420/R444)</f>
        <v>59.034980206502162</v>
      </c>
      <c r="S447" s="2292">
        <f>S445/(1000*S$421/S$420/S444)</f>
        <v>18.265228594333816</v>
      </c>
      <c r="T447" s="2292">
        <f>T445/(1000*T$421/T$420/T444)</f>
        <v>18.265228594333816</v>
      </c>
      <c r="U447" s="2292">
        <f t="shared" si="443"/>
        <v>34.310682777357883</v>
      </c>
      <c r="V447" s="2292">
        <f t="shared" si="443"/>
        <v>26.524136122006905</v>
      </c>
      <c r="W447" s="2292">
        <f t="shared" si="443"/>
        <v>26.524136122006905</v>
      </c>
      <c r="X447" s="2292">
        <f t="shared" si="443"/>
        <v>19.710535872324652</v>
      </c>
      <c r="Y447" s="2292">
        <f t="shared" si="443"/>
        <v>15.551782150729434</v>
      </c>
      <c r="Z447" s="2292">
        <f t="shared" si="443"/>
        <v>11.459953970765261</v>
      </c>
      <c r="AA447" s="2292">
        <f t="shared" si="443"/>
        <v>9.3870597713209207</v>
      </c>
      <c r="AB447" s="2292">
        <f t="shared" si="443"/>
        <v>6.8365553042979244</v>
      </c>
      <c r="AC447" s="2292">
        <f t="shared" si="443"/>
        <v>2.9022384506965979</v>
      </c>
      <c r="AD447" s="2292">
        <f t="shared" si="443"/>
        <v>1.1960402048436671</v>
      </c>
      <c r="AE447" s="2292">
        <f t="shared" si="443"/>
        <v>0.37634755203254677</v>
      </c>
      <c r="AF447" s="2292">
        <f t="shared" si="443"/>
        <v>2.3022542372129366E-2</v>
      </c>
      <c r="AG447" s="2292">
        <f t="shared" si="443"/>
        <v>39.901604256292629</v>
      </c>
      <c r="AH447" s="2292">
        <f t="shared" si="443"/>
        <v>31.074061590359847</v>
      </c>
      <c r="AI447" s="2292">
        <f t="shared" si="443"/>
        <v>17.378712425878511</v>
      </c>
      <c r="AJ447" s="2292">
        <f t="shared" si="443"/>
        <v>7.6428798785361849</v>
      </c>
      <c r="AK447" s="2292">
        <f t="shared" si="443"/>
        <v>3.2639326132594717</v>
      </c>
      <c r="AL447" s="2292">
        <f t="shared" si="443"/>
        <v>0.77345479790137039</v>
      </c>
      <c r="AM447" s="2292">
        <f t="shared" si="443"/>
        <v>5.9110823672343292E-2</v>
      </c>
      <c r="AN447" s="2292">
        <f t="shared" si="443"/>
        <v>0.84312741932642521</v>
      </c>
      <c r="AO447" s="2292">
        <f t="shared" si="443"/>
        <v>0.40547743132933411</v>
      </c>
      <c r="AP447" s="2292">
        <f t="shared" si="443"/>
        <v>0.51870991225757379</v>
      </c>
      <c r="AQ447" s="2292">
        <f t="shared" si="443"/>
        <v>0.31964729715272189</v>
      </c>
      <c r="AR447" s="2292">
        <f t="shared" si="443"/>
        <v>0.14110890244702048</v>
      </c>
      <c r="AS447" s="2292">
        <f t="shared" si="443"/>
        <v>0.15933541840909135</v>
      </c>
      <c r="AT447" s="2292">
        <f t="shared" si="443"/>
        <v>4.3644454426343106E-2</v>
      </c>
      <c r="AU447" s="2292">
        <f t="shared" si="443"/>
        <v>4.3317703617694825E-2</v>
      </c>
      <c r="AV447" s="2292">
        <f t="shared" si="443"/>
        <v>1.7269509841925809E-2</v>
      </c>
      <c r="AW447" s="2292">
        <f t="shared" si="443"/>
        <v>1.7697093687777887E-2</v>
      </c>
      <c r="AX447" s="2292">
        <f t="shared" si="443"/>
        <v>1.0279532086539346E-2</v>
      </c>
      <c r="AY447" s="2292">
        <f t="shared" si="443"/>
        <v>8.5158717104351252E-3</v>
      </c>
      <c r="AZ447" s="2292">
        <f t="shared" si="443"/>
        <v>8.1159523466451198E-3</v>
      </c>
      <c r="BA447" s="2292">
        <f t="shared" si="443"/>
        <v>3.9297668823036506E-3</v>
      </c>
      <c r="BB447" s="2292">
        <f t="shared" si="443"/>
        <v>5.7001147095687467E-3</v>
      </c>
      <c r="BC447" s="2292">
        <f t="shared" si="443"/>
        <v>3.0688239426274488E-3</v>
      </c>
      <c r="BD447" s="2292">
        <f t="shared" si="443"/>
        <v>0.61113593087997164</v>
      </c>
      <c r="BE447" s="2292">
        <f t="shared" si="443"/>
        <v>1.4739522870428436E-2</v>
      </c>
      <c r="BF447" s="2292">
        <f t="shared" si="443"/>
        <v>1.4739522870428436E-2</v>
      </c>
      <c r="BG447" s="2292">
        <f t="shared" si="443"/>
        <v>25.192173717926604</v>
      </c>
      <c r="BH447" s="2292">
        <f t="shared" si="443"/>
        <v>0.50691017916617709</v>
      </c>
      <c r="BI447" s="2292">
        <f t="shared" si="443"/>
        <v>1.2458390113364777</v>
      </c>
    </row>
    <row r="448" spans="1:61" ht="13.15" customHeight="1">
      <c r="A448" s="2131"/>
      <c r="B448" s="78"/>
      <c r="C448" s="2158"/>
      <c r="D448" s="2412"/>
      <c r="E448" s="3655"/>
      <c r="H448" s="2140"/>
      <c r="I448" s="2140"/>
      <c r="J448" s="2140"/>
      <c r="K448" s="2140"/>
      <c r="L448" s="2140"/>
      <c r="M448" s="2140"/>
      <c r="N448" s="2140"/>
      <c r="O448" s="2140"/>
      <c r="P448" s="2140"/>
      <c r="Q448" s="2140"/>
      <c r="R448" s="2140"/>
      <c r="S448" s="2140"/>
      <c r="T448" s="2140"/>
      <c r="U448" s="2140"/>
      <c r="V448" s="2140"/>
      <c r="W448" s="2140"/>
      <c r="X448" s="2140"/>
      <c r="Y448" s="2140"/>
      <c r="Z448" s="2140"/>
      <c r="AA448" s="2140"/>
      <c r="AB448" s="2140"/>
      <c r="AC448" s="2140"/>
      <c r="AD448" s="2140"/>
      <c r="AE448" s="2140"/>
      <c r="AF448" s="2140"/>
      <c r="AG448" s="2140"/>
      <c r="AH448" s="2140"/>
      <c r="AI448" s="2140"/>
      <c r="AJ448" s="2140"/>
      <c r="AK448" s="2140"/>
      <c r="AL448" s="2140"/>
      <c r="AM448" s="2140"/>
      <c r="AN448" s="2140"/>
      <c r="AO448" s="2140"/>
      <c r="AP448" s="2140"/>
      <c r="AQ448" s="2140"/>
      <c r="AR448" s="2140"/>
      <c r="AS448" s="2140"/>
      <c r="AT448" s="2140"/>
      <c r="AU448" s="2140"/>
      <c r="AV448" s="2140"/>
      <c r="AW448" s="2140"/>
      <c r="AX448" s="2140"/>
      <c r="AY448" s="2140"/>
      <c r="AZ448" s="2140"/>
      <c r="BA448" s="2140"/>
      <c r="BB448" s="2140"/>
      <c r="BC448" s="2140"/>
      <c r="BD448" s="2140"/>
      <c r="BE448" s="2140"/>
      <c r="BF448" s="2140"/>
      <c r="BG448" s="2140"/>
      <c r="BH448" s="2140"/>
      <c r="BI448" s="2140"/>
    </row>
    <row r="449" spans="1:61">
      <c r="A449" s="2126"/>
      <c r="B449" s="2156"/>
      <c r="C449" s="2156"/>
      <c r="D449" s="2413"/>
      <c r="E449" s="3660" t="str">
        <f>E$61</f>
        <v>Période adulte 6-70 ans (effets sans seuil)</v>
      </c>
      <c r="F449" s="2153"/>
      <c r="G449" s="2154"/>
      <c r="H449" s="2156"/>
      <c r="I449" s="2156"/>
      <c r="J449" s="2156"/>
      <c r="K449" s="2156"/>
      <c r="L449" s="2156"/>
      <c r="M449" s="2156"/>
      <c r="N449" s="2156"/>
      <c r="O449" s="2156"/>
      <c r="P449" s="2156"/>
      <c r="Q449" s="2156"/>
      <c r="S449" s="2156"/>
      <c r="T449" s="2156"/>
      <c r="U449" s="2156"/>
      <c r="V449" s="2156"/>
      <c r="W449" s="2156"/>
      <c r="X449" s="2156"/>
      <c r="Y449" s="2156"/>
      <c r="Z449" s="2156"/>
      <c r="AA449" s="2156"/>
      <c r="AB449" s="2156"/>
      <c r="AC449" s="2156"/>
      <c r="AD449" s="2156"/>
      <c r="AE449" s="2156"/>
      <c r="AF449" s="2156"/>
      <c r="AG449" s="2156"/>
      <c r="AH449" s="2156"/>
      <c r="AI449" s="2156"/>
      <c r="AJ449" s="2156"/>
      <c r="AK449" s="2156"/>
      <c r="AL449" s="2156"/>
      <c r="AM449" s="2156"/>
      <c r="AN449" s="2156"/>
      <c r="AO449" s="2156"/>
      <c r="AP449" s="2156"/>
      <c r="AQ449" s="2156"/>
      <c r="AR449" s="2156"/>
      <c r="AS449" s="2156"/>
      <c r="AT449" s="2156"/>
      <c r="AU449" s="2156"/>
      <c r="AV449" s="2156"/>
      <c r="AW449" s="2156"/>
      <c r="AX449" s="2156"/>
      <c r="AY449" s="2156"/>
      <c r="AZ449" s="2156"/>
      <c r="BA449" s="2156"/>
      <c r="BB449" s="2156"/>
      <c r="BC449" s="2156"/>
      <c r="BD449" s="2156"/>
      <c r="BE449" s="2156"/>
      <c r="BF449" s="2156"/>
      <c r="BG449" s="2156"/>
      <c r="BH449" s="2156"/>
      <c r="BI449" s="2156"/>
    </row>
    <row r="450" spans="1:61" s="2193" customFormat="1" ht="25.5">
      <c r="A450" s="2189"/>
      <c r="B450" s="2236"/>
      <c r="C450" s="2236"/>
      <c r="D450" s="2414"/>
      <c r="E450" s="3658" t="s">
        <v>575</v>
      </c>
      <c r="F450" s="2217" t="s">
        <v>138</v>
      </c>
      <c r="G450" s="2218" t="s">
        <v>139</v>
      </c>
      <c r="H450" s="2236">
        <f>ROUND((H446*H$32-H439*H$27)/(H$32-H$27),20)</f>
        <v>1.9403149106708299E-4</v>
      </c>
      <c r="I450" s="2236">
        <f t="shared" ref="I450:BI450" si="444">ROUND((I446*I$32-I439*I$27)/(I$32-I$27),20)</f>
        <v>1.9403149106708299E-4</v>
      </c>
      <c r="J450" s="2236">
        <f>ROUND((J446*J$32-J439*J$27)/(J$32-J$27),20)</f>
        <v>6.9358353906996505E-5</v>
      </c>
      <c r="K450" s="2236">
        <f t="shared" si="444"/>
        <v>0</v>
      </c>
      <c r="L450" s="2236">
        <f t="shared" si="444"/>
        <v>0</v>
      </c>
      <c r="M450" s="2236">
        <f t="shared" si="444"/>
        <v>0</v>
      </c>
      <c r="N450" s="2236">
        <f>ROUND((N446*N$32-N439*N$27)/(N$32-N$27),20)</f>
        <v>0</v>
      </c>
      <c r="O450" s="2236">
        <f>ROUND((O446*O$32-O439*O$27)/(O$32-O$27),20)</f>
        <v>0</v>
      </c>
      <c r="P450" s="2236">
        <f t="shared" si="444"/>
        <v>0</v>
      </c>
      <c r="Q450" s="2236">
        <f t="shared" si="444"/>
        <v>0</v>
      </c>
      <c r="R450" s="2236">
        <f>ROUND((R446*R$32-R439*R$27)/(R$32-R$27),20)</f>
        <v>0</v>
      </c>
      <c r="S450" s="2236">
        <f>ROUND((S446*S$32-S439*S$27)/(S$32-S$27),20)</f>
        <v>0</v>
      </c>
      <c r="T450" s="2236">
        <f>ROUND((T446*T$32-T439*T$27)/(T$32-T$27),20)</f>
        <v>0</v>
      </c>
      <c r="U450" s="2236">
        <f t="shared" si="444"/>
        <v>0</v>
      </c>
      <c r="V450" s="2236">
        <f t="shared" si="444"/>
        <v>0</v>
      </c>
      <c r="W450" s="2236">
        <f t="shared" si="444"/>
        <v>0</v>
      </c>
      <c r="X450" s="2236">
        <f t="shared" si="444"/>
        <v>0</v>
      </c>
      <c r="Y450" s="2236">
        <f t="shared" si="444"/>
        <v>0</v>
      </c>
      <c r="Z450" s="2236">
        <f t="shared" si="444"/>
        <v>0</v>
      </c>
      <c r="AA450" s="2236">
        <f t="shared" si="444"/>
        <v>7.8568373875184999E-7</v>
      </c>
      <c r="AB450" s="2236">
        <f t="shared" si="444"/>
        <v>2.7552289360707601E-6</v>
      </c>
      <c r="AC450" s="2236">
        <f t="shared" si="444"/>
        <v>2.9025927165404501E-5</v>
      </c>
      <c r="AD450" s="2236">
        <f t="shared" si="444"/>
        <v>6.1113064127039707E-5</v>
      </c>
      <c r="AE450" s="2236">
        <f t="shared" si="444"/>
        <v>1.5421893241205701E-4</v>
      </c>
      <c r="AF450" s="2236">
        <f t="shared" si="444"/>
        <v>2.2761655464533601E-3</v>
      </c>
      <c r="AG450" s="2236">
        <f t="shared" si="444"/>
        <v>0</v>
      </c>
      <c r="AH450" s="2236">
        <f t="shared" si="444"/>
        <v>0</v>
      </c>
      <c r="AI450" s="2236">
        <f t="shared" si="444"/>
        <v>0</v>
      </c>
      <c r="AJ450" s="2236">
        <f t="shared" si="444"/>
        <v>1.2622271082642E-6</v>
      </c>
      <c r="AK450" s="2236">
        <f t="shared" si="444"/>
        <v>1.48473614280267E-5</v>
      </c>
      <c r="AL450" s="2236">
        <f t="shared" si="444"/>
        <v>5.2402710639869701E-5</v>
      </c>
      <c r="AM450" s="2236">
        <f t="shared" si="444"/>
        <v>5.7854275650352695E-4</v>
      </c>
      <c r="AN450" s="2236">
        <f t="shared" si="444"/>
        <v>1.0367464858645499E-4</v>
      </c>
      <c r="AO450" s="2236">
        <f t="shared" si="444"/>
        <v>1.82556304280603E-4</v>
      </c>
      <c r="AP450" s="2236">
        <f t="shared" si="444"/>
        <v>1.3959555665403299E-4</v>
      </c>
      <c r="AQ450" s="2236">
        <f t="shared" si="444"/>
        <v>2.1244944672263699E-4</v>
      </c>
      <c r="AR450" s="2236">
        <f t="shared" si="444"/>
        <v>4.6842293278425199E-4</v>
      </c>
      <c r="AS450" s="2236">
        <f t="shared" si="444"/>
        <v>4.0950702780001498E-4</v>
      </c>
      <c r="AT450" s="2236">
        <f t="shared" si="444"/>
        <v>1.53667484424137E-3</v>
      </c>
      <c r="AU450" s="2236">
        <f t="shared" si="444"/>
        <v>1.5853973747560501E-3</v>
      </c>
      <c r="AV450" s="2236">
        <f t="shared" si="444"/>
        <v>3.9618418218180101E-3</v>
      </c>
      <c r="AW450" s="2236">
        <f t="shared" si="444"/>
        <v>4.2133749625431196E-3</v>
      </c>
      <c r="AX450" s="2236">
        <f t="shared" si="444"/>
        <v>6.9531462911501599E-2</v>
      </c>
      <c r="AY450" s="2236">
        <f t="shared" si="444"/>
        <v>8.3931619489636594E-2</v>
      </c>
      <c r="AZ450" s="2236">
        <f t="shared" si="444"/>
        <v>0.11978461743605499</v>
      </c>
      <c r="BA450" s="2236">
        <f t="shared" si="444"/>
        <v>0.33582291475972698</v>
      </c>
      <c r="BB450" s="2236">
        <f t="shared" si="444"/>
        <v>3.0764712006510399E-2</v>
      </c>
      <c r="BC450" s="2236">
        <f t="shared" si="444"/>
        <v>62348.976864208002</v>
      </c>
      <c r="BD450" s="2236">
        <f t="shared" si="444"/>
        <v>3.4337808671582302E-3</v>
      </c>
      <c r="BE450" s="2236">
        <f t="shared" si="444"/>
        <v>3.7313462070120598E-3</v>
      </c>
      <c r="BF450" s="2236">
        <f t="shared" si="444"/>
        <v>3.7313462070120598E-3</v>
      </c>
      <c r="BG450" s="2236">
        <f t="shared" si="444"/>
        <v>0</v>
      </c>
      <c r="BH450" s="2236">
        <f t="shared" si="444"/>
        <v>2.1418211480788599E-3</v>
      </c>
      <c r="BI450" s="2236">
        <f t="shared" si="444"/>
        <v>6.8033135120834295E-4</v>
      </c>
    </row>
    <row r="451" spans="1:61" ht="13.15" customHeight="1">
      <c r="B451" s="2278"/>
      <c r="D451" s="2414"/>
      <c r="E451" s="3655"/>
      <c r="N451" s="2158"/>
      <c r="O451" s="2158"/>
      <c r="R451" s="2158"/>
      <c r="S451" s="2158"/>
      <c r="T451" s="2158"/>
      <c r="W451" s="2158"/>
      <c r="X451" s="2158"/>
      <c r="Y451" s="2158"/>
      <c r="Z451" s="2158"/>
      <c r="AA451" s="2158"/>
      <c r="AB451" s="2158"/>
      <c r="AC451" s="2158"/>
      <c r="AD451" s="2158"/>
      <c r="AE451" s="2158"/>
      <c r="AF451" s="2158"/>
      <c r="AG451" s="2158"/>
      <c r="AH451" s="2158"/>
      <c r="AI451" s="2158"/>
      <c r="AJ451" s="2158"/>
      <c r="AK451" s="2158"/>
      <c r="AL451" s="2158"/>
      <c r="AM451" s="2158"/>
      <c r="AN451" s="2158"/>
      <c r="AO451" s="2158"/>
      <c r="AP451" s="2158"/>
      <c r="AQ451" s="2158"/>
      <c r="AR451" s="2158"/>
      <c r="AS451" s="2158"/>
      <c r="AT451" s="2158"/>
      <c r="AU451" s="2158"/>
      <c r="AV451" s="2158"/>
      <c r="AW451" s="2158"/>
      <c r="AX451" s="2158"/>
      <c r="AY451" s="2158"/>
      <c r="AZ451" s="2158"/>
      <c r="BA451" s="2158"/>
      <c r="BB451" s="2158"/>
      <c r="BC451" s="2158"/>
      <c r="BD451" s="2158"/>
      <c r="BE451" s="2158"/>
      <c r="BF451" s="2158"/>
      <c r="BG451" s="2158"/>
      <c r="BH451" s="2158"/>
      <c r="BI451" s="2158"/>
    </row>
    <row r="452" spans="1:61" s="529" customFormat="1" ht="13.15" customHeight="1">
      <c r="B452" s="224"/>
      <c r="C452" s="2269"/>
      <c r="D452" s="2410"/>
      <c r="E452" s="3659" t="str">
        <f>E36</f>
        <v>Période employé (40 ans)</v>
      </c>
      <c r="F452" s="2237"/>
      <c r="G452" s="526"/>
      <c r="H452" s="2161"/>
      <c r="I452" s="2161"/>
      <c r="J452" s="2161"/>
      <c r="K452" s="2161"/>
      <c r="L452" s="2161"/>
      <c r="M452" s="2161"/>
      <c r="N452" s="2161"/>
      <c r="O452" s="2161"/>
      <c r="P452" s="2161"/>
      <c r="Q452" s="2161"/>
      <c r="R452" s="2161"/>
      <c r="S452" s="2161"/>
      <c r="T452" s="2161"/>
      <c r="U452" s="2161"/>
      <c r="V452" s="2161"/>
      <c r="W452" s="2161"/>
      <c r="X452" s="2161"/>
      <c r="Y452" s="2161"/>
      <c r="Z452" s="2161"/>
      <c r="AA452" s="2161"/>
      <c r="AB452" s="2161"/>
      <c r="AC452" s="2161"/>
      <c r="AD452" s="2161"/>
      <c r="AE452" s="2161"/>
      <c r="AF452" s="2161"/>
      <c r="AG452" s="2161"/>
      <c r="AH452" s="2161"/>
      <c r="AI452" s="2161"/>
      <c r="AJ452" s="2161"/>
      <c r="AK452" s="2161"/>
      <c r="AL452" s="2161"/>
      <c r="AM452" s="2161"/>
      <c r="AN452" s="2161"/>
      <c r="AO452" s="2161"/>
      <c r="AP452" s="2161"/>
      <c r="AQ452" s="2161"/>
      <c r="AR452" s="2161"/>
      <c r="AS452" s="2161"/>
      <c r="AT452" s="2161"/>
      <c r="AU452" s="2161"/>
      <c r="AV452" s="2161"/>
      <c r="AW452" s="2161"/>
      <c r="AX452" s="2161"/>
      <c r="AY452" s="2161"/>
      <c r="AZ452" s="2161"/>
      <c r="BA452" s="2161"/>
      <c r="BB452" s="2161"/>
      <c r="BC452" s="2161"/>
      <c r="BD452" s="2161"/>
      <c r="BE452" s="2161"/>
      <c r="BF452" s="2161"/>
      <c r="BG452" s="2161"/>
      <c r="BH452" s="2161"/>
      <c r="BI452" s="2161"/>
    </row>
    <row r="453" spans="1:61">
      <c r="A453" s="2126"/>
      <c r="B453" s="2156"/>
      <c r="C453" s="2156"/>
      <c r="D453" s="2410"/>
      <c r="E453" s="3655" t="str">
        <f>E17</f>
        <v>Durée d'exposition considérée</v>
      </c>
      <c r="F453" s="525" t="str">
        <f>F17</f>
        <v>t</v>
      </c>
      <c r="G453" s="526" t="str">
        <f>G17</f>
        <v>an</v>
      </c>
      <c r="H453" s="2224">
        <f t="shared" ref="H453:AL453" si="445">H454/(365*24*3600)</f>
        <v>40</v>
      </c>
      <c r="I453" s="2224">
        <f t="shared" si="445"/>
        <v>40</v>
      </c>
      <c r="J453" s="2224">
        <f>J454/(365*24*3600)</f>
        <v>40</v>
      </c>
      <c r="K453" s="2224">
        <f t="shared" si="445"/>
        <v>40</v>
      </c>
      <c r="L453" s="2224">
        <f t="shared" si="445"/>
        <v>40</v>
      </c>
      <c r="M453" s="2224">
        <f t="shared" si="445"/>
        <v>40</v>
      </c>
      <c r="N453" s="2224">
        <f>N454/(365*24*3600)</f>
        <v>40</v>
      </c>
      <c r="O453" s="2224">
        <f>O454/(365*24*3600)</f>
        <v>40</v>
      </c>
      <c r="P453" s="2224">
        <f t="shared" si="445"/>
        <v>40</v>
      </c>
      <c r="Q453" s="2224">
        <f t="shared" si="445"/>
        <v>40</v>
      </c>
      <c r="R453" s="2224">
        <f>R454/(365*24*3600)</f>
        <v>40</v>
      </c>
      <c r="S453" s="2224">
        <f>S454/(365*24*3600)</f>
        <v>40</v>
      </c>
      <c r="T453" s="2224">
        <f>T454/(365*24*3600)</f>
        <v>40</v>
      </c>
      <c r="U453" s="2224">
        <f t="shared" si="445"/>
        <v>40</v>
      </c>
      <c r="V453" s="2224">
        <f t="shared" si="445"/>
        <v>40</v>
      </c>
      <c r="W453" s="2224">
        <f t="shared" si="445"/>
        <v>40</v>
      </c>
      <c r="X453" s="2224">
        <f t="shared" si="445"/>
        <v>40</v>
      </c>
      <c r="Y453" s="2224">
        <f t="shared" si="445"/>
        <v>40</v>
      </c>
      <c r="Z453" s="2224">
        <f t="shared" si="445"/>
        <v>40</v>
      </c>
      <c r="AA453" s="2224">
        <f t="shared" si="445"/>
        <v>40</v>
      </c>
      <c r="AB453" s="2224">
        <f t="shared" si="445"/>
        <v>40</v>
      </c>
      <c r="AC453" s="2224">
        <f t="shared" si="445"/>
        <v>40</v>
      </c>
      <c r="AD453" s="2224">
        <f t="shared" si="445"/>
        <v>40</v>
      </c>
      <c r="AE453" s="2224">
        <f t="shared" si="445"/>
        <v>40</v>
      </c>
      <c r="AF453" s="2224">
        <f t="shared" si="445"/>
        <v>40</v>
      </c>
      <c r="AG453" s="2224">
        <f t="shared" si="445"/>
        <v>40</v>
      </c>
      <c r="AH453" s="2224">
        <f t="shared" si="445"/>
        <v>40</v>
      </c>
      <c r="AI453" s="2224">
        <f t="shared" si="445"/>
        <v>40</v>
      </c>
      <c r="AJ453" s="2224">
        <f t="shared" si="445"/>
        <v>40</v>
      </c>
      <c r="AK453" s="2224">
        <f t="shared" si="445"/>
        <v>40</v>
      </c>
      <c r="AL453" s="2224">
        <f t="shared" si="445"/>
        <v>40</v>
      </c>
      <c r="AM453" s="2224">
        <f t="shared" ref="AM453:BI453" si="446">AM454/(365*24*3600)</f>
        <v>40</v>
      </c>
      <c r="AN453" s="2224">
        <f t="shared" si="446"/>
        <v>40</v>
      </c>
      <c r="AO453" s="2224">
        <f t="shared" si="446"/>
        <v>40</v>
      </c>
      <c r="AP453" s="2224">
        <f t="shared" si="446"/>
        <v>40</v>
      </c>
      <c r="AQ453" s="2224">
        <f t="shared" si="446"/>
        <v>40</v>
      </c>
      <c r="AR453" s="2224">
        <f t="shared" si="446"/>
        <v>40</v>
      </c>
      <c r="AS453" s="2224">
        <f t="shared" si="446"/>
        <v>40</v>
      </c>
      <c r="AT453" s="2224">
        <f t="shared" si="446"/>
        <v>40</v>
      </c>
      <c r="AU453" s="2224">
        <f t="shared" si="446"/>
        <v>40</v>
      </c>
      <c r="AV453" s="2224">
        <f t="shared" si="446"/>
        <v>40</v>
      </c>
      <c r="AW453" s="2224">
        <f t="shared" si="446"/>
        <v>40</v>
      </c>
      <c r="AX453" s="2224">
        <f t="shared" si="446"/>
        <v>40</v>
      </c>
      <c r="AY453" s="2224">
        <f t="shared" si="446"/>
        <v>40</v>
      </c>
      <c r="AZ453" s="2224">
        <f t="shared" si="446"/>
        <v>40</v>
      </c>
      <c r="BA453" s="2224">
        <f t="shared" si="446"/>
        <v>40</v>
      </c>
      <c r="BB453" s="2224">
        <f t="shared" si="446"/>
        <v>40</v>
      </c>
      <c r="BC453" s="2224">
        <f t="shared" si="446"/>
        <v>40</v>
      </c>
      <c r="BD453" s="2224">
        <f t="shared" si="446"/>
        <v>40</v>
      </c>
      <c r="BE453" s="2224">
        <f t="shared" si="446"/>
        <v>40</v>
      </c>
      <c r="BF453" s="2224">
        <f t="shared" si="446"/>
        <v>40</v>
      </c>
      <c r="BG453" s="2224">
        <f t="shared" si="446"/>
        <v>40</v>
      </c>
      <c r="BH453" s="2224">
        <f t="shared" si="446"/>
        <v>40</v>
      </c>
      <c r="BI453" s="2224">
        <f t="shared" si="446"/>
        <v>40</v>
      </c>
    </row>
    <row r="454" spans="1:61" s="2216" customFormat="1" ht="13.15" customHeight="1">
      <c r="A454" s="2213"/>
      <c r="B454" s="2214"/>
      <c r="C454" s="2213"/>
      <c r="D454" s="2410"/>
      <c r="E454" s="3656" t="str">
        <f>E38</f>
        <v>Durée d'exposition considérée</v>
      </c>
      <c r="F454" s="2208" t="str">
        <f>F38</f>
        <v>t</v>
      </c>
      <c r="G454" s="2209" t="str">
        <f>G38</f>
        <v>s</v>
      </c>
      <c r="H454" s="2161">
        <f>H38</f>
        <v>1261440000</v>
      </c>
      <c r="I454" s="2161">
        <f t="shared" ref="I454:BI454" si="447">I38</f>
        <v>1261440000</v>
      </c>
      <c r="J454" s="2161">
        <f>J38</f>
        <v>1261440000</v>
      </c>
      <c r="K454" s="2161">
        <f t="shared" si="447"/>
        <v>1261440000</v>
      </c>
      <c r="L454" s="2161">
        <f t="shared" si="447"/>
        <v>1261440000</v>
      </c>
      <c r="M454" s="2161">
        <f t="shared" si="447"/>
        <v>1261440000</v>
      </c>
      <c r="N454" s="2161">
        <f>N38</f>
        <v>1261440000</v>
      </c>
      <c r="O454" s="2161">
        <f>O38</f>
        <v>1261440000</v>
      </c>
      <c r="P454" s="2161">
        <f t="shared" si="447"/>
        <v>1261440000</v>
      </c>
      <c r="Q454" s="2161">
        <f t="shared" si="447"/>
        <v>1261440000</v>
      </c>
      <c r="R454" s="2161">
        <f>R38</f>
        <v>1261440000</v>
      </c>
      <c r="S454" s="2161">
        <f>S38</f>
        <v>1261440000</v>
      </c>
      <c r="T454" s="2161">
        <f>T38</f>
        <v>1261440000</v>
      </c>
      <c r="U454" s="2161">
        <f t="shared" si="447"/>
        <v>1261440000</v>
      </c>
      <c r="V454" s="2161">
        <f t="shared" si="447"/>
        <v>1261440000</v>
      </c>
      <c r="W454" s="2161">
        <f t="shared" si="447"/>
        <v>1261440000</v>
      </c>
      <c r="X454" s="2161">
        <f t="shared" si="447"/>
        <v>1261440000</v>
      </c>
      <c r="Y454" s="2161">
        <f t="shared" si="447"/>
        <v>1261440000</v>
      </c>
      <c r="Z454" s="2161">
        <f t="shared" si="447"/>
        <v>1261440000</v>
      </c>
      <c r="AA454" s="2161">
        <f t="shared" si="447"/>
        <v>1261440000</v>
      </c>
      <c r="AB454" s="2161">
        <f t="shared" si="447"/>
        <v>1261440000</v>
      </c>
      <c r="AC454" s="2161">
        <f t="shared" si="447"/>
        <v>1261440000</v>
      </c>
      <c r="AD454" s="2161">
        <f t="shared" si="447"/>
        <v>1261440000</v>
      </c>
      <c r="AE454" s="2161">
        <f t="shared" si="447"/>
        <v>1261440000</v>
      </c>
      <c r="AF454" s="2161">
        <f t="shared" si="447"/>
        <v>1261440000</v>
      </c>
      <c r="AG454" s="2161">
        <f t="shared" si="447"/>
        <v>1261440000</v>
      </c>
      <c r="AH454" s="2161">
        <f t="shared" si="447"/>
        <v>1261440000</v>
      </c>
      <c r="AI454" s="2161">
        <f t="shared" si="447"/>
        <v>1261440000</v>
      </c>
      <c r="AJ454" s="2161">
        <f t="shared" si="447"/>
        <v>1261440000</v>
      </c>
      <c r="AK454" s="2161">
        <f t="shared" si="447"/>
        <v>1261440000</v>
      </c>
      <c r="AL454" s="2161">
        <f t="shared" si="447"/>
        <v>1261440000</v>
      </c>
      <c r="AM454" s="2161">
        <f t="shared" si="447"/>
        <v>1261440000</v>
      </c>
      <c r="AN454" s="2161">
        <f t="shared" si="447"/>
        <v>1261440000</v>
      </c>
      <c r="AO454" s="2161">
        <f t="shared" si="447"/>
        <v>1261440000</v>
      </c>
      <c r="AP454" s="2161">
        <f t="shared" si="447"/>
        <v>1261440000</v>
      </c>
      <c r="AQ454" s="2161">
        <f t="shared" si="447"/>
        <v>1261440000</v>
      </c>
      <c r="AR454" s="2161">
        <f t="shared" si="447"/>
        <v>1261440000</v>
      </c>
      <c r="AS454" s="2161">
        <f t="shared" si="447"/>
        <v>1261440000</v>
      </c>
      <c r="AT454" s="2161">
        <f t="shared" si="447"/>
        <v>1261440000</v>
      </c>
      <c r="AU454" s="2161">
        <f t="shared" si="447"/>
        <v>1261440000</v>
      </c>
      <c r="AV454" s="2161">
        <f t="shared" si="447"/>
        <v>1261440000</v>
      </c>
      <c r="AW454" s="2161">
        <f t="shared" si="447"/>
        <v>1261440000</v>
      </c>
      <c r="AX454" s="2161">
        <f t="shared" si="447"/>
        <v>1261440000</v>
      </c>
      <c r="AY454" s="2161">
        <f t="shared" si="447"/>
        <v>1261440000</v>
      </c>
      <c r="AZ454" s="2161">
        <f t="shared" si="447"/>
        <v>1261440000</v>
      </c>
      <c r="BA454" s="2161">
        <f t="shared" si="447"/>
        <v>1261440000</v>
      </c>
      <c r="BB454" s="2161">
        <f t="shared" si="447"/>
        <v>1261440000</v>
      </c>
      <c r="BC454" s="2161">
        <f t="shared" si="447"/>
        <v>1261440000</v>
      </c>
      <c r="BD454" s="2161">
        <f t="shared" si="447"/>
        <v>1261440000</v>
      </c>
      <c r="BE454" s="2161">
        <f t="shared" si="447"/>
        <v>1261440000</v>
      </c>
      <c r="BF454" s="2161">
        <f t="shared" si="447"/>
        <v>1261440000</v>
      </c>
      <c r="BG454" s="2161">
        <f t="shared" si="447"/>
        <v>1261440000</v>
      </c>
      <c r="BH454" s="2161">
        <f t="shared" si="447"/>
        <v>1261440000</v>
      </c>
      <c r="BI454" s="2161">
        <f t="shared" si="447"/>
        <v>1261440000</v>
      </c>
    </row>
    <row r="455" spans="1:61" s="2244" customFormat="1" ht="27" customHeight="1">
      <c r="A455" s="2241"/>
      <c r="B455" s="276"/>
      <c r="C455" s="2242"/>
      <c r="D455" s="2410"/>
      <c r="E455" s="3655" t="s">
        <v>610</v>
      </c>
      <c r="F455" s="2153" t="s">
        <v>138</v>
      </c>
      <c r="G455" s="2154" t="s">
        <v>139</v>
      </c>
      <c r="H455" s="2155">
        <f t="shared" ref="H455:AL455" si="448">200*H$421*H$422/(PI()*H$422*H454)^0.5/H$420</f>
        <v>3.318276092935371E-4</v>
      </c>
      <c r="I455" s="2155">
        <f t="shared" si="448"/>
        <v>3.318276092935371E-4</v>
      </c>
      <c r="J455" s="2155">
        <f>200*J$421*J$422/(PI()*J$422*J454)^0.5/J$420</f>
        <v>1.1861485285157471E-4</v>
      </c>
      <c r="K455" s="2155">
        <f t="shared" si="448"/>
        <v>1.1035584317563563E-5</v>
      </c>
      <c r="L455" s="2155">
        <f t="shared" si="448"/>
        <v>2.1278748914739626E-5</v>
      </c>
      <c r="M455" s="2155">
        <f t="shared" si="448"/>
        <v>2.1278748914739626E-5</v>
      </c>
      <c r="N455" s="2155">
        <f>200*N$421*N$422/(PI()*N$422*N454)^0.5/N$420</f>
        <v>1.5690721635624369E-5</v>
      </c>
      <c r="O455" s="2155">
        <f>200*O$421*O$422/(PI()*O$422*O454)^0.5/O$420</f>
        <v>1.5690721635624369E-5</v>
      </c>
      <c r="P455" s="2155">
        <f t="shared" si="448"/>
        <v>1.4335427480355433E-5</v>
      </c>
      <c r="Q455" s="2155">
        <f t="shared" si="448"/>
        <v>1.4335427480355433E-5</v>
      </c>
      <c r="R455" s="2155">
        <f>200*R$421*R$422/(PI()*R$422*R454)^0.5/R$420</f>
        <v>8.5099337516086809E-5</v>
      </c>
      <c r="S455" s="2155">
        <f>200*S$421*S$422/(PI()*S$422*S454)^0.5/S$420</f>
        <v>2.8064521932201429E-5</v>
      </c>
      <c r="T455" s="2155">
        <f>200*T$421*T$422/(PI()*T$422*T454)^0.5/T$420</f>
        <v>2.8064521932201429E-5</v>
      </c>
      <c r="U455" s="2155">
        <f t="shared" si="448"/>
        <v>1.1197716659757684E-5</v>
      </c>
      <c r="V455" s="2155">
        <f t="shared" si="448"/>
        <v>5.2886559915230937E-6</v>
      </c>
      <c r="W455" s="2155">
        <f t="shared" si="448"/>
        <v>5.2886559915230937E-6</v>
      </c>
      <c r="X455" s="2155">
        <f t="shared" si="448"/>
        <v>2.0486131405017327E-5</v>
      </c>
      <c r="Y455" s="2155">
        <f t="shared" si="448"/>
        <v>2.3322308028512624E-5</v>
      </c>
      <c r="Z455" s="2155">
        <f t="shared" si="448"/>
        <v>2.901972438055324E-5</v>
      </c>
      <c r="AA455" s="2155">
        <f t="shared" si="448"/>
        <v>3.5433030679536261E-5</v>
      </c>
      <c r="AB455" s="2155">
        <f t="shared" si="448"/>
        <v>2.2817320025140037E-5</v>
      </c>
      <c r="AC455" s="2155">
        <f t="shared" si="448"/>
        <v>4.9639385678351266E-5</v>
      </c>
      <c r="AD455" s="2155">
        <f t="shared" si="448"/>
        <v>1.045139727286179E-4</v>
      </c>
      <c r="AE455" s="2155">
        <f t="shared" si="448"/>
        <v>2.6374120700026839E-4</v>
      </c>
      <c r="AF455" s="2155">
        <f t="shared" si="448"/>
        <v>3.8926391148270071E-3</v>
      </c>
      <c r="AG455" s="2155">
        <f t="shared" si="448"/>
        <v>5.7905348891045456E-6</v>
      </c>
      <c r="AH455" s="2155">
        <f t="shared" si="448"/>
        <v>6.0227604367358533E-6</v>
      </c>
      <c r="AI455" s="2155">
        <f t="shared" si="448"/>
        <v>8.2838520973415251E-6</v>
      </c>
      <c r="AJ455" s="2155">
        <f t="shared" si="448"/>
        <v>1.5304392240414453E-5</v>
      </c>
      <c r="AK455" s="2155">
        <f t="shared" si="448"/>
        <v>2.8669600849438799E-5</v>
      </c>
      <c r="AL455" s="2155">
        <f t="shared" si="448"/>
        <v>8.9617752749820978E-5</v>
      </c>
      <c r="AM455" s="2155">
        <f t="shared" ref="AM455:BI455" si="449">200*AM$421*AM$422/(PI()*AM$422*AM454)^0.5/AM$420</f>
        <v>9.8940877436377319E-4</v>
      </c>
      <c r="AN455" s="2155">
        <f t="shared" si="449"/>
        <v>1.7730168745081105E-4</v>
      </c>
      <c r="AO455" s="2155">
        <f t="shared" si="449"/>
        <v>3.1220304331915099E-4</v>
      </c>
      <c r="AP455" s="2155">
        <f t="shared" si="449"/>
        <v>2.387326901306627E-4</v>
      </c>
      <c r="AQ455" s="2155">
        <f t="shared" si="449"/>
        <v>3.633255180074573E-4</v>
      </c>
      <c r="AR455" s="2155">
        <f t="shared" si="449"/>
        <v>8.0108471603883215E-4</v>
      </c>
      <c r="AS455" s="2155">
        <f t="shared" si="449"/>
        <v>7.0032826772846175E-4</v>
      </c>
      <c r="AT455" s="2155">
        <f t="shared" si="449"/>
        <v>2.6279813499440617E-3</v>
      </c>
      <c r="AU455" s="2155">
        <f t="shared" si="449"/>
        <v>2.7113053543647066E-3</v>
      </c>
      <c r="AV455" s="2155">
        <f t="shared" si="449"/>
        <v>6.7754388367736824E-3</v>
      </c>
      <c r="AW455" s="2155">
        <f t="shared" si="449"/>
        <v>7.2056042717032771E-3</v>
      </c>
      <c r="AX455" s="2155">
        <f t="shared" si="449"/>
        <v>0.11891089936854063</v>
      </c>
      <c r="AY455" s="2155">
        <f t="shared" si="449"/>
        <v>0.14353767260259814</v>
      </c>
      <c r="AZ455" s="2155">
        <f t="shared" si="449"/>
        <v>0.20485253715957302</v>
      </c>
      <c r="BA455" s="2155">
        <f t="shared" si="449"/>
        <v>0.57431561411946508</v>
      </c>
      <c r="BB455" s="2155">
        <f t="shared" si="449"/>
        <v>5.26130102880829E-2</v>
      </c>
      <c r="BC455" s="2155">
        <f t="shared" si="449"/>
        <v>106627.59854582194</v>
      </c>
      <c r="BD455" s="2155">
        <f t="shared" si="449"/>
        <v>5.8723627268991406E-3</v>
      </c>
      <c r="BE455" s="2155">
        <f t="shared" si="449"/>
        <v>6.3812512314882107E-3</v>
      </c>
      <c r="BF455" s="2155">
        <f t="shared" si="449"/>
        <v>6.3812512314882107E-3</v>
      </c>
      <c r="BG455" s="2155">
        <f t="shared" si="449"/>
        <v>6.0059208536815046E-6</v>
      </c>
      <c r="BH455" s="2155">
        <f t="shared" si="449"/>
        <v>3.6628868190041776E-3</v>
      </c>
      <c r="BI455" s="2155">
        <f t="shared" si="449"/>
        <v>1.1634849815221786E-3</v>
      </c>
    </row>
    <row r="456" spans="1:61" s="2244" customFormat="1" ht="27" customHeight="1">
      <c r="A456" s="2241"/>
      <c r="B456" s="276"/>
      <c r="C456" s="2242"/>
      <c r="D456" s="2410"/>
      <c r="E456" s="3655" t="s">
        <v>611</v>
      </c>
      <c r="F456" s="2153" t="s">
        <v>138</v>
      </c>
      <c r="G456" s="2154" t="s">
        <v>139</v>
      </c>
      <c r="H456" s="2161">
        <f t="shared" ref="H456:AL456" si="450">MIN(H455,H$39)</f>
        <v>3.318276092935371E-4</v>
      </c>
      <c r="I456" s="2161">
        <f t="shared" si="450"/>
        <v>3.318276092935371E-4</v>
      </c>
      <c r="J456" s="2161">
        <f>MIN(J455,J$39)</f>
        <v>1.1861485285157471E-4</v>
      </c>
      <c r="K456" s="2161">
        <f t="shared" si="450"/>
        <v>9.2578799557874888E-7</v>
      </c>
      <c r="L456" s="2161">
        <f t="shared" si="450"/>
        <v>4.9516367918243421E-6</v>
      </c>
      <c r="M456" s="2161">
        <f t="shared" si="450"/>
        <v>4.9516367918243421E-6</v>
      </c>
      <c r="N456" s="2161">
        <f>MIN(N455,N$39)</f>
        <v>2.5105744204671032E-6</v>
      </c>
      <c r="O456" s="2161">
        <f>MIN(O455,O$39)</f>
        <v>2.5105744204671032E-6</v>
      </c>
      <c r="P456" s="2161">
        <f t="shared" si="450"/>
        <v>2.2996060673712017E-6</v>
      </c>
      <c r="Q456" s="2161">
        <f t="shared" si="450"/>
        <v>2.2996060673712017E-6</v>
      </c>
      <c r="R456" s="2161">
        <f>MIN(R455,R$39)</f>
        <v>5.720803573144495E-6</v>
      </c>
      <c r="S456" s="2161">
        <f>MIN(S455,S$39)</f>
        <v>6.0977949424260457E-6</v>
      </c>
      <c r="T456" s="2161">
        <f>MIN(T455,T$39)</f>
        <v>6.0977949424260457E-6</v>
      </c>
      <c r="U456" s="2161">
        <f t="shared" si="450"/>
        <v>1.2952106079786864E-6</v>
      </c>
      <c r="V456" s="2161">
        <f t="shared" si="450"/>
        <v>7.9130580119435269E-7</v>
      </c>
      <c r="W456" s="2161">
        <f t="shared" si="450"/>
        <v>7.9130580119435269E-7</v>
      </c>
      <c r="X456" s="2161">
        <f t="shared" si="450"/>
        <v>4.124789608046837E-6</v>
      </c>
      <c r="Y456" s="2161">
        <f t="shared" si="450"/>
        <v>5.9515713162747051E-6</v>
      </c>
      <c r="Z456" s="2161">
        <f t="shared" si="450"/>
        <v>1.004964426852598E-5</v>
      </c>
      <c r="AA456" s="2161">
        <f t="shared" si="450"/>
        <v>1.4980247754752993E-5</v>
      </c>
      <c r="AB456" s="2161">
        <f t="shared" si="450"/>
        <v>1.3245476343958458E-5</v>
      </c>
      <c r="AC456" s="2161">
        <f t="shared" si="450"/>
        <v>4.9639385678351266E-5</v>
      </c>
      <c r="AD456" s="2161">
        <f t="shared" si="450"/>
        <v>1.045139727286179E-4</v>
      </c>
      <c r="AE456" s="2161">
        <f t="shared" si="450"/>
        <v>2.6374120700026839E-4</v>
      </c>
      <c r="AF456" s="2161">
        <f t="shared" si="450"/>
        <v>3.8926391148270071E-3</v>
      </c>
      <c r="AG456" s="2161">
        <f t="shared" si="450"/>
        <v>5.7592854573751388E-7</v>
      </c>
      <c r="AH456" s="2161">
        <f t="shared" si="450"/>
        <v>7.6919746757526942E-7</v>
      </c>
      <c r="AI456" s="2161">
        <f t="shared" si="450"/>
        <v>1.8917119988621861E-6</v>
      </c>
      <c r="AJ456" s="2161">
        <f t="shared" si="450"/>
        <v>7.9469290003178434E-6</v>
      </c>
      <c r="AK456" s="2161">
        <f t="shared" si="450"/>
        <v>2.8669600849438799E-5</v>
      </c>
      <c r="AL456" s="2161">
        <f t="shared" si="450"/>
        <v>8.9617752749820978E-5</v>
      </c>
      <c r="AM456" s="2161">
        <f t="shared" ref="AM456:BI456" si="451">MIN(AM455,AM$39)</f>
        <v>9.8940877436377319E-4</v>
      </c>
      <c r="AN456" s="2161">
        <f t="shared" si="451"/>
        <v>1.7730168745081105E-4</v>
      </c>
      <c r="AO456" s="2161">
        <f t="shared" si="451"/>
        <v>3.1220304331915099E-4</v>
      </c>
      <c r="AP456" s="2161">
        <f t="shared" si="451"/>
        <v>2.387326901306627E-4</v>
      </c>
      <c r="AQ456" s="2161">
        <f t="shared" si="451"/>
        <v>3.633255180074573E-4</v>
      </c>
      <c r="AR456" s="2161">
        <f t="shared" si="451"/>
        <v>8.0108471603883215E-4</v>
      </c>
      <c r="AS456" s="2161">
        <f t="shared" si="451"/>
        <v>7.0032826772846175E-4</v>
      </c>
      <c r="AT456" s="2161">
        <f t="shared" si="451"/>
        <v>2.6279813499440617E-3</v>
      </c>
      <c r="AU456" s="2161">
        <f t="shared" si="451"/>
        <v>2.7113053543647066E-3</v>
      </c>
      <c r="AV456" s="2161">
        <f t="shared" si="451"/>
        <v>6.7754388367736824E-3</v>
      </c>
      <c r="AW456" s="2161">
        <f t="shared" si="451"/>
        <v>7.2056042717032771E-3</v>
      </c>
      <c r="AX456" s="2161">
        <f t="shared" si="451"/>
        <v>0.11891089936854063</v>
      </c>
      <c r="AY456" s="2161">
        <f t="shared" si="451"/>
        <v>0.14353767260259814</v>
      </c>
      <c r="AZ456" s="2161">
        <f t="shared" si="451"/>
        <v>0.20485253715957302</v>
      </c>
      <c r="BA456" s="2161">
        <f t="shared" si="451"/>
        <v>0.57431561411946508</v>
      </c>
      <c r="BB456" s="2161">
        <f t="shared" si="451"/>
        <v>5.26130102880829E-2</v>
      </c>
      <c r="BC456" s="2161">
        <f t="shared" si="451"/>
        <v>106627.59854582194</v>
      </c>
      <c r="BD456" s="2161">
        <f t="shared" si="451"/>
        <v>5.8723627268991406E-3</v>
      </c>
      <c r="BE456" s="2161">
        <f t="shared" si="451"/>
        <v>6.3812512314882107E-3</v>
      </c>
      <c r="BF456" s="2161">
        <f t="shared" si="451"/>
        <v>6.3812512314882107E-3</v>
      </c>
      <c r="BG456" s="2161">
        <f t="shared" si="451"/>
        <v>9.4613746816956763E-7</v>
      </c>
      <c r="BH456" s="2161">
        <f t="shared" si="451"/>
        <v>3.6628868190041776E-3</v>
      </c>
      <c r="BI456" s="2161">
        <f t="shared" si="451"/>
        <v>1.1634849815221786E-3</v>
      </c>
    </row>
    <row r="457" spans="1:61" s="2177" customFormat="1" ht="26.25" thickBot="1">
      <c r="D457" s="2415"/>
      <c r="E457" s="3661" t="s">
        <v>608</v>
      </c>
      <c r="F457" s="2293" t="s">
        <v>581</v>
      </c>
      <c r="G457" s="2294" t="s">
        <v>73</v>
      </c>
      <c r="H457" s="2295">
        <f>H455/(1000*H$421/H$420/H454)</f>
        <v>0.73516473647481273</v>
      </c>
      <c r="I457" s="2295">
        <f t="shared" ref="I457:BI457" si="452">I455/(1000*I$421/I$420/I454)</f>
        <v>0.73516473647481273</v>
      </c>
      <c r="J457" s="2295">
        <f>J455/(1000*J$421/J$420/J454)</f>
        <v>1.725148846029245</v>
      </c>
      <c r="K457" s="2295">
        <f t="shared" si="452"/>
        <v>35.760620261655333</v>
      </c>
      <c r="L457" s="2295">
        <f t="shared" si="452"/>
        <v>12.891948547118609</v>
      </c>
      <c r="M457" s="2295">
        <f t="shared" si="452"/>
        <v>12.891948547118609</v>
      </c>
      <c r="N457" s="2295">
        <f>N455/(1000*N$421/N$420/N454)</f>
        <v>18.749559671732463</v>
      </c>
      <c r="O457" s="2295">
        <f>O455/(1000*O$421/O$420/O454)</f>
        <v>18.749559671732463</v>
      </c>
      <c r="P457" s="2295">
        <f t="shared" si="452"/>
        <v>18.701586785352763</v>
      </c>
      <c r="Q457" s="2295">
        <f t="shared" si="452"/>
        <v>18.701586785352763</v>
      </c>
      <c r="R457" s="2295">
        <f>R455/(1000*R$421/R$420/R454)</f>
        <v>44.626250365721511</v>
      </c>
      <c r="S457" s="2295">
        <f>S455/(1000*S$421/S$420/S454)</f>
        <v>13.807215000100898</v>
      </c>
      <c r="T457" s="2295">
        <f>T455/(1000*T$421/T$420/T454)</f>
        <v>13.807215000100898</v>
      </c>
      <c r="U457" s="2295">
        <f t="shared" si="452"/>
        <v>25.936438269061686</v>
      </c>
      <c r="V457" s="2295">
        <f t="shared" si="452"/>
        <v>20.050362262758693</v>
      </c>
      <c r="W457" s="2295">
        <f t="shared" si="452"/>
        <v>20.050362262758693</v>
      </c>
      <c r="X457" s="2295">
        <f t="shared" si="452"/>
        <v>14.899764607425309</v>
      </c>
      <c r="Y457" s="2295">
        <f t="shared" si="452"/>
        <v>11.756042289909516</v>
      </c>
      <c r="Z457" s="2295">
        <f t="shared" si="452"/>
        <v>8.6629109265405884</v>
      </c>
      <c r="AA457" s="2295">
        <f t="shared" si="452"/>
        <v>7.0959501991468583</v>
      </c>
      <c r="AB457" s="2295">
        <f t="shared" si="452"/>
        <v>5.1679500455748046</v>
      </c>
      <c r="AC457" s="2295">
        <f t="shared" si="452"/>
        <v>2.1938860531293112</v>
      </c>
      <c r="AD457" s="2295">
        <f t="shared" si="452"/>
        <v>0.9041214114431696</v>
      </c>
      <c r="AE457" s="2295">
        <f t="shared" si="452"/>
        <v>0.28449200834458854</v>
      </c>
      <c r="AF457" s="2295">
        <f t="shared" si="452"/>
        <v>1.7403406190028961E-2</v>
      </c>
      <c r="AG457" s="2295">
        <f t="shared" si="452"/>
        <v>30.162777649904765</v>
      </c>
      <c r="AH457" s="2295">
        <f t="shared" si="452"/>
        <v>23.489782626513257</v>
      </c>
      <c r="AI457" s="2295">
        <f t="shared" si="452"/>
        <v>13.137071767252163</v>
      </c>
      <c r="AJ457" s="2295">
        <f t="shared" si="452"/>
        <v>5.7774741311275113</v>
      </c>
      <c r="AK457" s="2295">
        <f t="shared" si="452"/>
        <v>2.4673011402164922</v>
      </c>
      <c r="AL457" s="2295">
        <f t="shared" si="452"/>
        <v>0.58467687017049952</v>
      </c>
      <c r="AM457" s="2295">
        <f t="shared" si="452"/>
        <v>4.4683582636917171E-2</v>
      </c>
      <c r="AN457" s="2295">
        <f t="shared" si="452"/>
        <v>0.63734442145068404</v>
      </c>
      <c r="AO457" s="2295">
        <f t="shared" si="452"/>
        <v>0.3065121272990538</v>
      </c>
      <c r="AP457" s="2295">
        <f t="shared" si="452"/>
        <v>0.39210783726219267</v>
      </c>
      <c r="AQ457" s="2295">
        <f t="shared" si="452"/>
        <v>0.24163064443430476</v>
      </c>
      <c r="AR457" s="2295">
        <f t="shared" si="452"/>
        <v>0.10666830390059709</v>
      </c>
      <c r="AS457" s="2295">
        <f t="shared" si="452"/>
        <v>0.12044625490139385</v>
      </c>
      <c r="AT457" s="2295">
        <f t="shared" si="452"/>
        <v>3.2992106434056014E-2</v>
      </c>
      <c r="AU457" s="2295">
        <f t="shared" si="452"/>
        <v>3.2745106039663838E-2</v>
      </c>
      <c r="AV457" s="2295">
        <f t="shared" si="452"/>
        <v>1.3054522373062302E-2</v>
      </c>
      <c r="AW457" s="2295">
        <f t="shared" si="452"/>
        <v>1.3377745378991784E-2</v>
      </c>
      <c r="AX457" s="2295">
        <f t="shared" si="452"/>
        <v>7.7705958557405712E-3</v>
      </c>
      <c r="AY457" s="2295">
        <f t="shared" si="452"/>
        <v>6.437393926497597E-3</v>
      </c>
      <c r="AZ457" s="2295">
        <f t="shared" si="452"/>
        <v>6.1350833033354474E-3</v>
      </c>
      <c r="BA457" s="2295">
        <f t="shared" si="452"/>
        <v>2.9706245374380266E-3</v>
      </c>
      <c r="BB457" s="2295">
        <f t="shared" si="452"/>
        <v>4.3088817045885911E-3</v>
      </c>
      <c r="BC457" s="2295">
        <f t="shared" si="452"/>
        <v>2.3198128484665658E-3</v>
      </c>
      <c r="BD457" s="2295">
        <f t="shared" si="452"/>
        <v>0.46197534010410402</v>
      </c>
      <c r="BE457" s="2295">
        <f t="shared" si="452"/>
        <v>1.1142031988257873E-2</v>
      </c>
      <c r="BF457" s="2295">
        <f t="shared" si="452"/>
        <v>1.1142031988257873E-2</v>
      </c>
      <c r="BG457" s="2295">
        <f t="shared" si="452"/>
        <v>19.043493326506074</v>
      </c>
      <c r="BH457" s="2295">
        <f t="shared" si="452"/>
        <v>0.38318807746311423</v>
      </c>
      <c r="BI457" s="2295">
        <f t="shared" si="452"/>
        <v>0.94176577074825685</v>
      </c>
    </row>
    <row r="458" spans="1:61">
      <c r="A458" s="2126"/>
      <c r="B458" s="2126"/>
      <c r="C458" s="2126"/>
      <c r="D458" s="2296"/>
      <c r="E458" s="2126"/>
      <c r="F458" s="2126"/>
      <c r="G458" s="3248"/>
      <c r="H458" s="2126"/>
      <c r="I458" s="2126"/>
      <c r="J458" s="2126"/>
      <c r="K458" s="2126"/>
      <c r="L458" s="2126"/>
      <c r="M458" s="2126"/>
      <c r="N458" s="2126"/>
      <c r="O458" s="2126"/>
      <c r="P458" s="2126"/>
      <c r="Q458" s="2126"/>
      <c r="R458" s="2126"/>
      <c r="S458" s="2126"/>
      <c r="T458" s="2126"/>
      <c r="U458" s="2126"/>
      <c r="V458" s="2126"/>
      <c r="W458" s="2126"/>
      <c r="X458" s="2126"/>
      <c r="Y458" s="2126"/>
      <c r="Z458" s="2126"/>
      <c r="AA458" s="2126"/>
      <c r="AB458" s="2126"/>
      <c r="AC458" s="2126"/>
      <c r="AD458" s="2126"/>
      <c r="AE458" s="2126"/>
      <c r="AF458" s="2126"/>
      <c r="AG458" s="2126"/>
      <c r="AH458" s="2126"/>
      <c r="AI458" s="2126"/>
      <c r="AJ458" s="2126"/>
      <c r="AK458" s="2126"/>
      <c r="AL458" s="2126"/>
      <c r="AM458" s="2126"/>
      <c r="AN458" s="2126"/>
      <c r="AO458" s="2126"/>
      <c r="AP458" s="2126"/>
      <c r="AQ458" s="2126"/>
      <c r="AR458" s="2126"/>
      <c r="AS458" s="2126"/>
      <c r="AT458" s="2126"/>
      <c r="AU458" s="2126"/>
      <c r="AV458" s="2126"/>
      <c r="AW458" s="2126"/>
      <c r="AX458" s="2126"/>
      <c r="AY458" s="2126"/>
      <c r="AZ458" s="2126"/>
      <c r="BA458" s="2126"/>
      <c r="BB458" s="2126"/>
      <c r="BC458" s="2126"/>
      <c r="BD458" s="2126"/>
      <c r="BE458" s="2126"/>
      <c r="BF458" s="2126"/>
      <c r="BG458" s="2126"/>
      <c r="BH458" s="2126"/>
      <c r="BI458" s="2126"/>
    </row>
  </sheetData>
  <mergeCells count="12">
    <mergeCell ref="D421:D422"/>
    <mergeCell ref="D52:D53"/>
    <mergeCell ref="D216:D218"/>
    <mergeCell ref="E207:F207"/>
    <mergeCell ref="D43:D45"/>
    <mergeCell ref="D18:D19"/>
    <mergeCell ref="D50:D51"/>
    <mergeCell ref="D48:D49"/>
    <mergeCell ref="D416:D418"/>
    <mergeCell ref="D122:D123"/>
    <mergeCell ref="D117:D118"/>
    <mergeCell ref="D124:D128"/>
  </mergeCells>
  <conditionalFormatting sqref="H381 H405 H362 H446:BI446 H439:BI439 H428:BI428 H456:BI456 H343 H309 H255:BI255 H234 H238:H239 H241:H242 H244 H264:BI264 H272:BI272 H281:BI281 H290:BI290 H219:H220 H190:BI190 H178:BI178 H169:BI169 H152:BI152 H161:BI163 H110:BI110 H92:BI92 H101:BI101 H75:BI75 H84:BI84">
    <cfRule type="cellIs" dxfId="42" priority="127" stopIfTrue="1" operator="equal">
      <formula>$H$19</formula>
    </cfRule>
  </conditionalFormatting>
  <conditionalFormatting sqref="H234:BI234 H309:BI309 H53:BI54 H219:BI220 J75:BI75 J92:BI92 J110:BI110 J264:BI264 J281:BI281 J290:BI290 J238:BI239 J241:BI242 J244:BI244 J428:BI428 J439:BI439 J446:BI446 J456:BI456 J129:BI130 J152:BI152 J169:BI169 J178:BI178 J190:BI190 J101:BI101 J84:BI84 J161:BI163 J350:BI350 H317:BI317 H362:BI362 H381:BI381 H405:BI405 H343:BI343 J272:BI272">
    <cfRule type="expression" dxfId="41" priority="130" stopIfTrue="1">
      <formula xml:space="preserve"> H$19=H53</formula>
    </cfRule>
  </conditionalFormatting>
  <conditionalFormatting sqref="H56:BI56">
    <cfRule type="expression" dxfId="40" priority="110" stopIfTrue="1">
      <formula>H56=H29</formula>
    </cfRule>
  </conditionalFormatting>
  <conditionalFormatting sqref="H59:BI60">
    <cfRule type="expression" dxfId="39" priority="109" stopIfTrue="1">
      <formula>H59=H34</formula>
    </cfRule>
  </conditionalFormatting>
  <conditionalFormatting sqref="H75:I75">
    <cfRule type="expression" dxfId="38" priority="107" stopIfTrue="1">
      <formula xml:space="preserve"> H$19=H75</formula>
    </cfRule>
  </conditionalFormatting>
  <conditionalFormatting sqref="H92:I92">
    <cfRule type="expression" dxfId="37" priority="103" stopIfTrue="1">
      <formula xml:space="preserve"> H$19=H92</formula>
    </cfRule>
  </conditionalFormatting>
  <conditionalFormatting sqref="H110:I110">
    <cfRule type="expression" dxfId="36" priority="99" stopIfTrue="1">
      <formula xml:space="preserve"> H$19=H110</formula>
    </cfRule>
  </conditionalFormatting>
  <conditionalFormatting sqref="H238:I239">
    <cfRule type="expression" dxfId="35" priority="82" stopIfTrue="1">
      <formula xml:space="preserve"> H$19=H238</formula>
    </cfRule>
  </conditionalFormatting>
  <conditionalFormatting sqref="H241:I242">
    <cfRule type="expression" dxfId="34" priority="80" stopIfTrue="1">
      <formula xml:space="preserve"> H$19=H241</formula>
    </cfRule>
  </conditionalFormatting>
  <conditionalFormatting sqref="H244:I244">
    <cfRule type="expression" dxfId="33" priority="78" stopIfTrue="1">
      <formula xml:space="preserve"> H$19=H244</formula>
    </cfRule>
  </conditionalFormatting>
  <conditionalFormatting sqref="H428:I428">
    <cfRule type="expression" dxfId="32" priority="68" stopIfTrue="1">
      <formula xml:space="preserve"> H$19=H428</formula>
    </cfRule>
  </conditionalFormatting>
  <conditionalFormatting sqref="H439:I439">
    <cfRule type="expression" dxfId="31" priority="67" stopIfTrue="1">
      <formula xml:space="preserve"> H$19=H439</formula>
    </cfRule>
  </conditionalFormatting>
  <conditionalFormatting sqref="H446:I446">
    <cfRule type="expression" dxfId="30" priority="66" stopIfTrue="1">
      <formula xml:space="preserve"> H$19=H446</formula>
    </cfRule>
  </conditionalFormatting>
  <conditionalFormatting sqref="H456:I456">
    <cfRule type="expression" dxfId="29" priority="65" stopIfTrue="1">
      <formula xml:space="preserve"> H$19=H456</formula>
    </cfRule>
  </conditionalFormatting>
  <conditionalFormatting sqref="H129:I130">
    <cfRule type="expression" dxfId="28" priority="50" stopIfTrue="1">
      <formula xml:space="preserve"> H$19=H129</formula>
    </cfRule>
  </conditionalFormatting>
  <conditionalFormatting sqref="H132:BI132">
    <cfRule type="expression" dxfId="27" priority="49" stopIfTrue="1">
      <formula>H132=H29</formula>
    </cfRule>
  </conditionalFormatting>
  <conditionalFormatting sqref="H135:BI135">
    <cfRule type="expression" dxfId="26" priority="48" stopIfTrue="1">
      <formula>H135=H34</formula>
    </cfRule>
  </conditionalFormatting>
  <conditionalFormatting sqref="H152:I152">
    <cfRule type="expression" dxfId="25" priority="47" stopIfTrue="1">
      <formula xml:space="preserve"> H$19=H152</formula>
    </cfRule>
  </conditionalFormatting>
  <conditionalFormatting sqref="H169:I169">
    <cfRule type="expression" dxfId="24" priority="46" stopIfTrue="1">
      <formula xml:space="preserve"> H$19=H169</formula>
    </cfRule>
  </conditionalFormatting>
  <conditionalFormatting sqref="H178:I178">
    <cfRule type="expression" dxfId="23" priority="45" stopIfTrue="1">
      <formula xml:space="preserve"> H$19=H178</formula>
    </cfRule>
  </conditionalFormatting>
  <conditionalFormatting sqref="H190:I190">
    <cfRule type="expression" dxfId="22" priority="44" stopIfTrue="1">
      <formula xml:space="preserve"> H$19=H190</formula>
    </cfRule>
  </conditionalFormatting>
  <conditionalFormatting sqref="H101:I101">
    <cfRule type="expression" dxfId="21" priority="37" stopIfTrue="1">
      <formula xml:space="preserve"> H$19=H101</formula>
    </cfRule>
  </conditionalFormatting>
  <conditionalFormatting sqref="H84:I84">
    <cfRule type="expression" dxfId="20" priority="35" stopIfTrue="1">
      <formula xml:space="preserve"> H$19=H84</formula>
    </cfRule>
  </conditionalFormatting>
  <conditionalFormatting sqref="H161:I163">
    <cfRule type="expression" dxfId="19" priority="31" stopIfTrue="1">
      <formula xml:space="preserve"> H$19=H161</formula>
    </cfRule>
  </conditionalFormatting>
  <conditionalFormatting sqref="H161:I161">
    <cfRule type="expression" dxfId="18" priority="29" stopIfTrue="1">
      <formula xml:space="preserve"> H$19=H161</formula>
    </cfRule>
  </conditionalFormatting>
  <conditionalFormatting sqref="H350:I350">
    <cfRule type="expression" dxfId="17" priority="25" stopIfTrue="1">
      <formula xml:space="preserve"> H$19=H350</formula>
    </cfRule>
  </conditionalFormatting>
  <conditionalFormatting sqref="J255:BI255">
    <cfRule type="expression" dxfId="16" priority="16" stopIfTrue="1">
      <formula xml:space="preserve"> J$19=J255</formula>
    </cfRule>
  </conditionalFormatting>
  <conditionalFormatting sqref="H255:I255">
    <cfRule type="expression" dxfId="15" priority="15" stopIfTrue="1">
      <formula xml:space="preserve"> H$19=H255</formula>
    </cfRule>
  </conditionalFormatting>
  <conditionalFormatting sqref="H272:I272">
    <cfRule type="expression" dxfId="14" priority="14" stopIfTrue="1">
      <formula xml:space="preserve"> H$19=H272</formula>
    </cfRule>
  </conditionalFormatting>
  <conditionalFormatting sqref="H290:I290">
    <cfRule type="expression" dxfId="13" priority="13" stopIfTrue="1">
      <formula xml:space="preserve"> H$19=H290</formula>
    </cfRule>
  </conditionalFormatting>
  <conditionalFormatting sqref="H281:I281">
    <cfRule type="expression" dxfId="12" priority="12" stopIfTrue="1">
      <formula xml:space="preserve"> H$19=H281</formula>
    </cfRule>
  </conditionalFormatting>
  <conditionalFormatting sqref="H264:I264">
    <cfRule type="expression" dxfId="11" priority="11" stopIfTrue="1">
      <formula xml:space="preserve"> H$19=H264</formula>
    </cfRule>
  </conditionalFormatting>
  <conditionalFormatting sqref="H325:BI325">
    <cfRule type="expression" dxfId="10" priority="9" stopIfTrue="1">
      <formula xml:space="preserve"> H$19=H325</formula>
    </cfRule>
  </conditionalFormatting>
  <conditionalFormatting sqref="H65:BI65">
    <cfRule type="expression" dxfId="9" priority="160" stopIfTrue="1">
      <formula>H65=H41</formula>
    </cfRule>
  </conditionalFormatting>
  <conditionalFormatting sqref="H141:BI141">
    <cfRule type="expression" dxfId="8" priority="162" stopIfTrue="1">
      <formula>H141=H41</formula>
    </cfRule>
  </conditionalFormatting>
  <conditionalFormatting sqref="J264:BI264">
    <cfRule type="expression" dxfId="7" priority="8" stopIfTrue="1">
      <formula xml:space="preserve"> J$19=J264</formula>
    </cfRule>
  </conditionalFormatting>
  <conditionalFormatting sqref="H264:I264">
    <cfRule type="expression" dxfId="6" priority="7" stopIfTrue="1">
      <formula xml:space="preserve"> H$19=H264</formula>
    </cfRule>
  </conditionalFormatting>
  <conditionalFormatting sqref="J272:BI272">
    <cfRule type="expression" dxfId="5" priority="6" stopIfTrue="1">
      <formula xml:space="preserve"> J$19=J272</formula>
    </cfRule>
  </conditionalFormatting>
  <conditionalFormatting sqref="H272:I272">
    <cfRule type="expression" dxfId="4" priority="5" stopIfTrue="1">
      <formula xml:space="preserve"> H$19=H272</formula>
    </cfRule>
  </conditionalFormatting>
  <conditionalFormatting sqref="J281:BI281">
    <cfRule type="expression" dxfId="3" priority="4" stopIfTrue="1">
      <formula xml:space="preserve"> J$19=J281</formula>
    </cfRule>
  </conditionalFormatting>
  <conditionalFormatting sqref="H281:I281">
    <cfRule type="expression" dxfId="2" priority="3" stopIfTrue="1">
      <formula xml:space="preserve"> H$19=H281</formula>
    </cfRule>
  </conditionalFormatting>
  <conditionalFormatting sqref="J290:BI290">
    <cfRule type="expression" dxfId="1" priority="2" stopIfTrue="1">
      <formula xml:space="preserve"> J$19=J290</formula>
    </cfRule>
  </conditionalFormatting>
  <conditionalFormatting sqref="H290:I290">
    <cfRule type="expression" dxfId="0" priority="1" stopIfTrue="1">
      <formula xml:space="preserve"> H$19=H290</formula>
    </cfRule>
  </conditionalFormatting>
  <printOptions horizontalCentered="1" gridLines="1"/>
  <pageMargins left="0.35433070866141736" right="0.23622047244094491" top="1.1811023622047245" bottom="0.98425196850393704" header="0" footer="0.47244094488188981"/>
  <pageSetup paperSize="9" scale="10" orientation="landscape" r:id="rId1"/>
  <headerFooter alignWithMargins="0">
    <oddFooter>&amp;C&amp;"Times New Roman,Normal"&amp;12&amp;F   -   &amp;A&amp;R&amp;"Times New Roman,Normal"&amp;12&amp;P/&amp;N</oddFooter>
  </headerFooter>
  <legacyDrawing r:id="rId2"/>
</worksheet>
</file>

<file path=xl/worksheets/sheet7.xml><?xml version="1.0" encoding="utf-8"?>
<worksheet xmlns="http://schemas.openxmlformats.org/spreadsheetml/2006/main" xmlns:r="http://schemas.openxmlformats.org/officeDocument/2006/relationships">
  <dimension ref="A1:J237"/>
  <sheetViews>
    <sheetView topLeftCell="D1" zoomScale="75" workbookViewId="0">
      <selection activeCell="E45" sqref="E45"/>
    </sheetView>
  </sheetViews>
  <sheetFormatPr baseColWidth="10" defaultRowHeight="12.75"/>
  <cols>
    <col min="1" max="1" width="11.42578125" style="19"/>
    <col min="2" max="2" width="7.85546875" style="16" customWidth="1"/>
    <col min="3" max="3" width="4.42578125" style="16" customWidth="1"/>
    <col min="4" max="4" width="11.42578125" style="273" customWidth="1"/>
    <col min="5" max="5" width="34.42578125" style="12" customWidth="1"/>
    <col min="6" max="6" width="11.5703125" style="12" customWidth="1"/>
    <col min="7" max="7" width="17.42578125" style="91" customWidth="1"/>
    <col min="8" max="10" width="8.5703125" style="162" customWidth="1"/>
    <col min="11" max="16384" width="11.42578125" style="15"/>
  </cols>
  <sheetData>
    <row r="1" spans="1:10" ht="13.5" thickBot="1">
      <c r="B1" s="20"/>
      <c r="C1" s="20"/>
      <c r="D1" s="577"/>
      <c r="E1" s="6"/>
      <c r="F1" s="6"/>
      <c r="G1" s="90"/>
      <c r="H1" s="216"/>
      <c r="I1" s="217"/>
      <c r="J1" s="217"/>
    </row>
    <row r="2" spans="1:10" ht="14.45" hidden="1" customHeight="1" thickBot="1">
      <c r="A2" s="87"/>
      <c r="B2" s="88"/>
      <c r="C2" s="88"/>
      <c r="D2" s="2027"/>
      <c r="E2" s="576"/>
      <c r="F2" s="93"/>
      <c r="G2" s="2030" t="s">
        <v>141</v>
      </c>
      <c r="H2" s="2033" t="s">
        <v>142</v>
      </c>
      <c r="I2" s="2034"/>
      <c r="J2" s="2034"/>
    </row>
    <row r="3" spans="1:10">
      <c r="A3" s="30"/>
      <c r="B3" s="61"/>
      <c r="C3" s="61"/>
      <c r="D3" s="3010" t="s">
        <v>77</v>
      </c>
      <c r="E3" s="3011"/>
      <c r="F3" s="3012"/>
      <c r="G3" s="2036" t="s">
        <v>1100</v>
      </c>
      <c r="H3" s="3013" t="s">
        <v>113</v>
      </c>
      <c r="I3" s="4052" t="s">
        <v>112</v>
      </c>
      <c r="J3" s="4053"/>
    </row>
    <row r="4" spans="1:10" ht="15.6" customHeight="1" thickBot="1">
      <c r="A4" s="32"/>
      <c r="B4" s="55"/>
      <c r="C4" s="55"/>
      <c r="D4" s="2242" t="s">
        <v>143</v>
      </c>
      <c r="E4" s="4058" t="s">
        <v>1099</v>
      </c>
      <c r="F4" s="4059"/>
      <c r="G4" s="3014" t="s">
        <v>1102</v>
      </c>
      <c r="H4" s="3015" t="s">
        <v>1101</v>
      </c>
      <c r="I4" s="3016" t="s">
        <v>144</v>
      </c>
      <c r="J4" s="3017" t="s">
        <v>145</v>
      </c>
    </row>
    <row r="5" spans="1:10" ht="13.15" customHeight="1">
      <c r="A5" s="15"/>
      <c r="B5" s="34"/>
      <c r="D5" s="3018"/>
      <c r="E5" s="3019"/>
      <c r="F5" s="3020"/>
      <c r="G5" s="3021"/>
      <c r="H5" s="2155"/>
      <c r="I5" s="2155"/>
      <c r="J5" s="3022"/>
    </row>
    <row r="6" spans="1:10" s="41" customFormat="1" ht="18">
      <c r="A6"/>
      <c r="D6" s="2151"/>
      <c r="E6" s="2031" t="s">
        <v>177</v>
      </c>
      <c r="F6" s="198"/>
      <c r="G6" s="2032"/>
      <c r="H6" s="3023"/>
      <c r="I6" s="3023"/>
      <c r="J6" s="3024"/>
    </row>
    <row r="7" spans="1:10" s="34" customFormat="1" hidden="1">
      <c r="A7" s="1"/>
      <c r="D7" s="2151"/>
      <c r="E7" s="3025"/>
      <c r="F7" s="2153"/>
      <c r="G7" s="2358"/>
      <c r="H7" s="1769"/>
      <c r="I7" s="1769"/>
      <c r="J7" s="3026"/>
    </row>
    <row r="8" spans="1:10" s="34" customFormat="1" ht="25.5" hidden="1">
      <c r="A8" s="1"/>
      <c r="D8" s="3027"/>
      <c r="E8" s="3028" t="s">
        <v>146</v>
      </c>
      <c r="F8" s="3029" t="s">
        <v>147</v>
      </c>
      <c r="G8" s="2358" t="s">
        <v>73</v>
      </c>
      <c r="H8" s="3030"/>
      <c r="I8" s="3031">
        <v>100</v>
      </c>
      <c r="J8" s="3031">
        <v>100</v>
      </c>
    </row>
    <row r="9" spans="1:10" ht="13.15" hidden="1" customHeight="1">
      <c r="B9" s="33"/>
      <c r="D9" s="2151"/>
      <c r="E9" s="3032" t="s">
        <v>153</v>
      </c>
      <c r="F9" s="2153" t="s">
        <v>154</v>
      </c>
      <c r="G9" s="2358" t="s">
        <v>73</v>
      </c>
      <c r="H9" s="3030"/>
      <c r="I9" s="3031">
        <v>2000</v>
      </c>
      <c r="J9" s="3031">
        <v>2000</v>
      </c>
    </row>
    <row r="10" spans="1:10" s="34" customFormat="1" hidden="1">
      <c r="A10" s="1"/>
      <c r="D10" s="2151"/>
      <c r="E10" s="3025" t="s">
        <v>155</v>
      </c>
      <c r="F10" s="2153" t="s">
        <v>156</v>
      </c>
      <c r="G10" s="2358" t="s">
        <v>73</v>
      </c>
      <c r="H10" s="1769"/>
      <c r="I10" s="3033">
        <v>10</v>
      </c>
      <c r="J10" s="3033">
        <v>10</v>
      </c>
    </row>
    <row r="11" spans="1:10" s="34" customFormat="1" ht="25.5" hidden="1">
      <c r="A11" s="1"/>
      <c r="D11" s="2151"/>
      <c r="E11" s="3025" t="s">
        <v>157</v>
      </c>
      <c r="F11" s="2153" t="s">
        <v>158</v>
      </c>
      <c r="G11" s="2358" t="s">
        <v>127</v>
      </c>
      <c r="H11" s="1769"/>
      <c r="I11" s="3034">
        <v>6</v>
      </c>
      <c r="J11" s="3034">
        <v>6</v>
      </c>
    </row>
    <row r="12" spans="1:10" s="41" customFormat="1" hidden="1">
      <c r="A12"/>
      <c r="D12" s="2151"/>
      <c r="E12" s="3025" t="s">
        <v>159</v>
      </c>
      <c r="F12" s="2153" t="s">
        <v>160</v>
      </c>
      <c r="G12" s="2358" t="s">
        <v>73</v>
      </c>
      <c r="H12" s="1769"/>
      <c r="I12" s="3034">
        <v>1.5</v>
      </c>
      <c r="J12" s="3034">
        <v>1</v>
      </c>
    </row>
    <row r="13" spans="1:10" s="41" customFormat="1" hidden="1">
      <c r="A13"/>
      <c r="D13" s="2151"/>
      <c r="E13" s="3025" t="s">
        <v>161</v>
      </c>
      <c r="F13" s="2153" t="s">
        <v>162</v>
      </c>
      <c r="G13" s="2358" t="s">
        <v>35</v>
      </c>
      <c r="H13" s="1769"/>
      <c r="I13" s="3033">
        <v>0.4</v>
      </c>
      <c r="J13" s="3033">
        <v>0.4</v>
      </c>
    </row>
    <row r="14" spans="1:10" s="41" customFormat="1" ht="25.5" hidden="1">
      <c r="A14"/>
      <c r="D14" s="2151"/>
      <c r="E14" s="2592" t="s">
        <v>163</v>
      </c>
      <c r="F14" s="2153" t="s">
        <v>164</v>
      </c>
      <c r="G14" s="2358" t="s">
        <v>73</v>
      </c>
      <c r="H14" s="2155"/>
      <c r="I14" s="3035">
        <v>0.5</v>
      </c>
      <c r="J14" s="3035">
        <v>0.5</v>
      </c>
    </row>
    <row r="15" spans="1:10" s="41" customFormat="1" hidden="1">
      <c r="A15"/>
      <c r="D15" s="2151"/>
      <c r="E15" s="2592" t="s">
        <v>165</v>
      </c>
      <c r="F15" s="2153" t="s">
        <v>166</v>
      </c>
      <c r="G15" s="2358" t="s">
        <v>127</v>
      </c>
      <c r="H15" s="2155"/>
      <c r="I15" s="3022">
        <f xml:space="preserve"> I11* (LN(I12) - LN(I14))/(LN(I10) - LN(I14))</f>
        <v>2.2003547480525074</v>
      </c>
      <c r="J15" s="3022">
        <f xml:space="preserve"> J11* (LN(J12) - LN(J14))/(LN(J10) - LN(J14))</f>
        <v>1.3882692789585547</v>
      </c>
    </row>
    <row r="16" spans="1:10" s="41" customFormat="1" hidden="1">
      <c r="A16"/>
      <c r="D16" s="2151"/>
      <c r="E16" s="2592" t="s">
        <v>167</v>
      </c>
      <c r="F16" s="2153" t="s">
        <v>168</v>
      </c>
      <c r="G16" s="2358" t="s">
        <v>127</v>
      </c>
      <c r="H16" s="2155"/>
      <c r="I16" s="3022">
        <f>I13*I11/LN(I10/I14)</f>
        <v>0.8011396816688019</v>
      </c>
      <c r="J16" s="3022">
        <f>J13*J11/LN(J10/J14)</f>
        <v>0.8011396816688019</v>
      </c>
    </row>
    <row r="17" spans="1:10" s="41" customFormat="1" hidden="1">
      <c r="A17"/>
      <c r="D17" s="2191"/>
      <c r="E17" s="3036" t="s">
        <v>169</v>
      </c>
      <c r="F17" s="2217" t="s">
        <v>170</v>
      </c>
      <c r="G17" s="2358" t="s">
        <v>127</v>
      </c>
      <c r="H17" s="2155"/>
      <c r="I17" s="3022">
        <f>(I15+I16)/2</f>
        <v>1.5007472148606547</v>
      </c>
      <c r="J17" s="3022">
        <f>(J15+J16)/2</f>
        <v>1.0947044803136783</v>
      </c>
    </row>
    <row r="18" spans="1:10" s="41" customFormat="1" ht="25.5" hidden="1">
      <c r="A18"/>
      <c r="D18" s="2151"/>
      <c r="E18" s="3025" t="s">
        <v>171</v>
      </c>
      <c r="F18" s="2153" t="s">
        <v>172</v>
      </c>
      <c r="G18" s="2358" t="s">
        <v>35</v>
      </c>
      <c r="H18" s="3030"/>
      <c r="I18" s="3033">
        <f xml:space="preserve"> (10 *I14) ^ (0.53*I9^-0.22)</f>
        <v>1.1737720036839203</v>
      </c>
      <c r="J18" s="3033">
        <f xml:space="preserve"> (10 *J14) ^ (0.53*J9^-0.22)</f>
        <v>1.1737720036839203</v>
      </c>
    </row>
    <row r="19" spans="1:10" s="41" customFormat="1" hidden="1">
      <c r="A19"/>
      <c r="D19" s="2151"/>
      <c r="E19" s="3025" t="s">
        <v>173</v>
      </c>
      <c r="F19" s="2153" t="s">
        <v>174</v>
      </c>
      <c r="G19" s="2358" t="s">
        <v>73</v>
      </c>
      <c r="H19" s="3030"/>
      <c r="I19" s="3033">
        <f xml:space="preserve"> I18* 0.2 *I9^0.76</f>
        <v>75.752424817186011</v>
      </c>
      <c r="J19" s="3033">
        <f xml:space="preserve"> J18* 0.2 *J9^0.76</f>
        <v>75.752424817186011</v>
      </c>
    </row>
    <row r="20" spans="1:10" s="41" customFormat="1" ht="25.5" hidden="1">
      <c r="A20"/>
      <c r="D20" s="2151"/>
      <c r="E20" s="3037" t="s">
        <v>175</v>
      </c>
      <c r="F20" s="2153" t="s">
        <v>151</v>
      </c>
      <c r="G20" s="2358" t="s">
        <v>152</v>
      </c>
      <c r="H20" s="3038"/>
      <c r="I20" s="3039">
        <f>I8/I17/I19</f>
        <v>0.87962165980808105</v>
      </c>
      <c r="J20" s="3039">
        <f>J8/J17/J19</f>
        <v>1.2058868670290117</v>
      </c>
    </row>
    <row r="21" spans="1:10" s="41" customFormat="1" hidden="1">
      <c r="A21"/>
      <c r="D21" s="2151"/>
      <c r="E21" s="3037" t="s">
        <v>176</v>
      </c>
      <c r="F21" s="2153" t="s">
        <v>151</v>
      </c>
      <c r="G21" s="2358" t="s">
        <v>152</v>
      </c>
      <c r="H21" s="3030"/>
      <c r="I21" s="3040">
        <f>I8/I12/I11</f>
        <v>11.111111111111112</v>
      </c>
      <c r="J21" s="3040">
        <f>J8/J12/J11</f>
        <v>16.666666666666668</v>
      </c>
    </row>
    <row r="22" spans="1:10" hidden="1">
      <c r="D22" s="2242"/>
      <c r="E22" s="2592"/>
      <c r="F22" s="2153"/>
      <c r="G22" s="2358"/>
      <c r="H22" s="3023"/>
      <c r="I22" s="3023"/>
      <c r="J22" s="3024"/>
    </row>
    <row r="23" spans="1:10" s="34" customFormat="1" hidden="1">
      <c r="A23" s="1"/>
      <c r="D23" s="2520"/>
      <c r="E23" s="3025"/>
      <c r="F23" s="525"/>
      <c r="G23" s="2279"/>
      <c r="H23" s="3030"/>
      <c r="I23" s="3030"/>
      <c r="J23" s="3041"/>
    </row>
    <row r="24" spans="1:10" ht="13.15" customHeight="1">
      <c r="B24" s="34"/>
      <c r="D24" s="2520"/>
      <c r="E24" s="3042"/>
      <c r="F24" s="2153"/>
      <c r="G24" s="2358"/>
      <c r="H24" s="2029" t="s">
        <v>618</v>
      </c>
      <c r="I24" s="2155"/>
      <c r="J24" s="3022"/>
    </row>
    <row r="25" spans="1:10" ht="25.5">
      <c r="B25" s="4"/>
      <c r="D25" s="4056" t="s">
        <v>1006</v>
      </c>
      <c r="E25" s="2592" t="s">
        <v>249</v>
      </c>
      <c r="F25" s="2153" t="s">
        <v>147</v>
      </c>
      <c r="G25" s="3043" t="s">
        <v>73</v>
      </c>
      <c r="H25" s="1769">
        <f>I25</f>
        <v>150</v>
      </c>
      <c r="I25" s="1769">
        <v>150</v>
      </c>
      <c r="J25" s="3026">
        <f>I25</f>
        <v>150</v>
      </c>
    </row>
    <row r="26" spans="1:10" ht="13.15" customHeight="1">
      <c r="B26" s="33"/>
      <c r="D26" s="4056"/>
      <c r="E26" s="3025" t="s">
        <v>568</v>
      </c>
      <c r="F26" s="525" t="s">
        <v>148</v>
      </c>
      <c r="G26" s="2279" t="s">
        <v>73</v>
      </c>
      <c r="H26" s="1769">
        <f>H55</f>
        <v>2.5</v>
      </c>
      <c r="I26" s="1769">
        <v>1.5</v>
      </c>
      <c r="J26" s="3026">
        <v>1</v>
      </c>
    </row>
    <row r="27" spans="1:10" ht="13.15" customHeight="1">
      <c r="B27" s="33"/>
      <c r="D27" s="4056"/>
      <c r="E27" s="3025" t="s">
        <v>250</v>
      </c>
      <c r="F27" s="525" t="s">
        <v>149</v>
      </c>
      <c r="G27" s="2279" t="s">
        <v>127</v>
      </c>
      <c r="H27" s="1769">
        <f>I27</f>
        <v>3</v>
      </c>
      <c r="I27" s="1769">
        <v>3</v>
      </c>
      <c r="J27" s="3026">
        <f>I27</f>
        <v>3</v>
      </c>
    </row>
    <row r="28" spans="1:10" ht="13.15" customHeight="1">
      <c r="B28" s="33"/>
      <c r="D28" s="4056"/>
      <c r="E28" s="390" t="s">
        <v>150</v>
      </c>
      <c r="F28" s="78" t="s">
        <v>151</v>
      </c>
      <c r="G28" s="3043" t="s">
        <v>152</v>
      </c>
      <c r="H28" s="1769">
        <f>H25/H26/H27</f>
        <v>20</v>
      </c>
      <c r="I28" s="3044">
        <f>I25/I26/I27</f>
        <v>33.333333333333336</v>
      </c>
      <c r="J28" s="3026">
        <f>J25/J26/J27</f>
        <v>50</v>
      </c>
    </row>
    <row r="29" spans="1:10" ht="13.15" customHeight="1">
      <c r="B29" s="33"/>
      <c r="D29" s="3045"/>
      <c r="E29" s="3046"/>
      <c r="F29" s="1685"/>
      <c r="G29" s="3047"/>
      <c r="H29" s="1768"/>
      <c r="I29" s="3048"/>
      <c r="J29" s="3049"/>
    </row>
    <row r="30" spans="1:10" ht="13.15" customHeight="1">
      <c r="A30" s="21"/>
      <c r="B30" s="34"/>
      <c r="D30" s="3050"/>
      <c r="E30" s="3042"/>
      <c r="F30" s="2153"/>
      <c r="G30" s="2358"/>
      <c r="H30" s="1662" t="s">
        <v>619</v>
      </c>
      <c r="I30" s="2155"/>
      <c r="J30" s="3022"/>
    </row>
    <row r="31" spans="1:10" ht="25.5">
      <c r="B31" s="4"/>
      <c r="D31" s="4057" t="s">
        <v>1007</v>
      </c>
      <c r="E31" s="2592" t="s">
        <v>249</v>
      </c>
      <c r="F31" s="2153" t="s">
        <v>147</v>
      </c>
      <c r="G31" s="3043" t="s">
        <v>73</v>
      </c>
      <c r="H31" s="1769">
        <f>I31</f>
        <v>150</v>
      </c>
      <c r="I31" s="1769">
        <v>150</v>
      </c>
      <c r="J31" s="3026">
        <f>I31</f>
        <v>150</v>
      </c>
    </row>
    <row r="32" spans="1:10" ht="13.15" customHeight="1">
      <c r="B32" s="33"/>
      <c r="D32" s="4057"/>
      <c r="E32" s="3025" t="s">
        <v>568</v>
      </c>
      <c r="F32" s="525" t="s">
        <v>148</v>
      </c>
      <c r="G32" s="2279" t="s">
        <v>73</v>
      </c>
      <c r="H32" s="2589">
        <v>2.5</v>
      </c>
      <c r="I32" s="2589">
        <v>1.5</v>
      </c>
      <c r="J32" s="3026">
        <v>1</v>
      </c>
    </row>
    <row r="33" spans="1:10" ht="13.15" customHeight="1">
      <c r="B33" s="33"/>
      <c r="D33" s="4057"/>
      <c r="E33" s="3025" t="s">
        <v>250</v>
      </c>
      <c r="F33" s="525" t="s">
        <v>149</v>
      </c>
      <c r="G33" s="2279" t="s">
        <v>127</v>
      </c>
      <c r="H33" s="2589">
        <f>I33</f>
        <v>3</v>
      </c>
      <c r="I33" s="2589">
        <v>3</v>
      </c>
      <c r="J33" s="3026">
        <f>I33</f>
        <v>3</v>
      </c>
    </row>
    <row r="34" spans="1:10" ht="13.15" customHeight="1">
      <c r="B34" s="33"/>
      <c r="D34" s="4057"/>
      <c r="E34" s="390" t="s">
        <v>150</v>
      </c>
      <c r="F34" s="78" t="s">
        <v>151</v>
      </c>
      <c r="G34" s="3043" t="s">
        <v>152</v>
      </c>
      <c r="H34" s="1769">
        <f>H31/H32/H33</f>
        <v>20</v>
      </c>
      <c r="I34" s="3044">
        <f>I31/I32/I33</f>
        <v>33.333333333333336</v>
      </c>
      <c r="J34" s="3026">
        <f>J31/J32/J33</f>
        <v>50</v>
      </c>
    </row>
    <row r="35" spans="1:10" ht="13.15" customHeight="1" thickBot="1">
      <c r="D35" s="3051"/>
      <c r="E35" s="3052"/>
      <c r="F35" s="2356"/>
      <c r="G35" s="3053"/>
      <c r="H35" s="2322"/>
      <c r="I35" s="2322"/>
      <c r="J35" s="3054"/>
    </row>
    <row r="36" spans="1:10" ht="13.15" hidden="1" customHeight="1">
      <c r="D36" s="3055"/>
      <c r="E36" s="2592"/>
      <c r="F36" s="2153"/>
      <c r="G36" s="2358"/>
      <c r="H36" s="2155"/>
      <c r="I36" s="2155"/>
      <c r="J36" s="3022"/>
    </row>
    <row r="37" spans="1:10" ht="13.15" hidden="1" customHeight="1">
      <c r="D37" s="349"/>
      <c r="E37" s="616" t="s">
        <v>185</v>
      </c>
      <c r="F37" s="387" t="s">
        <v>181</v>
      </c>
      <c r="G37" s="2609" t="s">
        <v>182</v>
      </c>
      <c r="H37" s="2161"/>
      <c r="I37" s="2161" t="e">
        <f>FEM!#REF!</f>
        <v>#REF!</v>
      </c>
      <c r="J37" s="3033"/>
    </row>
    <row r="38" spans="1:10" ht="13.15" hidden="1" customHeight="1">
      <c r="D38" s="349"/>
      <c r="E38" s="616" t="s">
        <v>186</v>
      </c>
      <c r="F38" s="387" t="s">
        <v>184</v>
      </c>
      <c r="G38" s="2609" t="s">
        <v>182</v>
      </c>
      <c r="H38" s="2161"/>
      <c r="I38" s="2161" t="e">
        <f>FEM!#REF!</f>
        <v>#REF!</v>
      </c>
      <c r="J38" s="3033"/>
    </row>
    <row r="39" spans="1:10" ht="13.15" hidden="1" customHeight="1">
      <c r="D39" s="3055"/>
      <c r="E39" s="3056" t="s">
        <v>178</v>
      </c>
      <c r="F39" s="3057" t="s">
        <v>179</v>
      </c>
      <c r="G39" s="3058" t="s">
        <v>180</v>
      </c>
      <c r="H39" s="2198" t="e">
        <f>#REF!*I37/24</f>
        <v>#REF!</v>
      </c>
      <c r="I39" s="2198"/>
      <c r="J39" s="3039"/>
    </row>
    <row r="40" spans="1:10" ht="13.15" hidden="1" customHeight="1">
      <c r="D40" s="3055"/>
      <c r="E40" s="3056" t="s">
        <v>183</v>
      </c>
      <c r="F40" s="3057" t="s">
        <v>179</v>
      </c>
      <c r="G40" s="3058" t="s">
        <v>180</v>
      </c>
      <c r="H40" s="2198" t="e">
        <f>(#REF!*I38)/24</f>
        <v>#REF!</v>
      </c>
      <c r="I40" s="2198"/>
      <c r="J40" s="3039"/>
    </row>
    <row r="41" spans="1:10" ht="13.15" hidden="1" customHeight="1">
      <c r="D41" s="349"/>
      <c r="E41" s="3059"/>
      <c r="F41" s="387"/>
      <c r="G41" s="2609"/>
      <c r="H41" s="1620"/>
      <c r="I41" s="1769"/>
      <c r="J41" s="3026"/>
    </row>
    <row r="42" spans="1:10" ht="13.15" hidden="1" customHeight="1">
      <c r="D42" s="3055"/>
      <c r="E42" s="2592"/>
      <c r="F42" s="2153"/>
      <c r="G42" s="2358"/>
      <c r="H42" s="3023" t="e">
        <f>#REF!</f>
        <v>#REF!</v>
      </c>
      <c r="I42" s="2155"/>
      <c r="J42" s="3022"/>
    </row>
    <row r="43" spans="1:10" ht="13.15" hidden="1" customHeight="1">
      <c r="D43" s="3055"/>
      <c r="E43" s="3056" t="s">
        <v>178</v>
      </c>
      <c r="F43" s="3057" t="s">
        <v>179</v>
      </c>
      <c r="G43" s="3058" t="s">
        <v>180</v>
      </c>
      <c r="H43" s="2198" t="e">
        <f>(#REF!*#REF!+#REF!*#REF!)/24</f>
        <v>#REF!</v>
      </c>
      <c r="I43" s="2198"/>
      <c r="J43" s="3039"/>
    </row>
    <row r="44" spans="1:10" ht="13.15" hidden="1" customHeight="1" thickBot="1">
      <c r="D44" s="3060"/>
      <c r="E44" s="3061" t="s">
        <v>183</v>
      </c>
      <c r="F44" s="3062" t="s">
        <v>179</v>
      </c>
      <c r="G44" s="3063" t="s">
        <v>180</v>
      </c>
      <c r="H44" s="3064" t="e">
        <f>(#REF!*#REF!+#REF!*#REF!+#REF!*#REF!)/24</f>
        <v>#REF!</v>
      </c>
      <c r="I44" s="3064"/>
      <c r="J44" s="3065"/>
    </row>
    <row r="45" spans="1:10" ht="18">
      <c r="A45" s="13"/>
      <c r="B45" s="22"/>
      <c r="C45" s="22"/>
      <c r="D45" s="3066"/>
      <c r="E45" s="2031" t="s">
        <v>187</v>
      </c>
      <c r="F45" s="274"/>
      <c r="G45" s="3067"/>
      <c r="H45" s="3068"/>
      <c r="I45" s="3068"/>
      <c r="J45" s="3069"/>
    </row>
    <row r="46" spans="1:10" ht="15.6" customHeight="1">
      <c r="A46" s="13"/>
      <c r="B46" s="22"/>
      <c r="C46" s="22"/>
      <c r="D46" s="3066"/>
      <c r="E46" s="3070"/>
      <c r="F46" s="3071"/>
      <c r="G46" s="3072"/>
      <c r="H46" s="3073"/>
      <c r="I46" s="3073"/>
      <c r="J46" s="3074"/>
    </row>
    <row r="47" spans="1:10" hidden="1">
      <c r="A47" s="13"/>
      <c r="B47" s="22"/>
      <c r="C47" s="22"/>
      <c r="D47" s="349" t="s">
        <v>257</v>
      </c>
      <c r="E47" s="3025" t="s">
        <v>251</v>
      </c>
      <c r="F47" s="525" t="s">
        <v>188</v>
      </c>
      <c r="G47" s="2279" t="s">
        <v>189</v>
      </c>
      <c r="H47" s="3075">
        <v>2.5</v>
      </c>
      <c r="I47" s="3002"/>
      <c r="J47" s="2898"/>
    </row>
    <row r="48" spans="1:10" hidden="1">
      <c r="A48" s="13"/>
      <c r="B48" s="22"/>
      <c r="C48" s="22"/>
      <c r="D48" s="349"/>
      <c r="E48" s="3025" t="s">
        <v>275</v>
      </c>
      <c r="F48" s="525"/>
      <c r="G48" s="2279" t="s">
        <v>73</v>
      </c>
      <c r="H48" s="3075">
        <v>7.5</v>
      </c>
      <c r="I48" s="3002"/>
      <c r="J48" s="2898"/>
    </row>
    <row r="49" spans="1:10" hidden="1">
      <c r="A49" s="13"/>
      <c r="B49" s="22"/>
      <c r="C49" s="22"/>
      <c r="D49" s="349"/>
      <c r="E49" s="3025" t="s">
        <v>276</v>
      </c>
      <c r="F49" s="525"/>
      <c r="G49" s="2279" t="s">
        <v>73</v>
      </c>
      <c r="H49" s="3075">
        <v>7.5</v>
      </c>
      <c r="I49" s="3002"/>
      <c r="J49" s="2898"/>
    </row>
    <row r="50" spans="1:10" hidden="1">
      <c r="A50" s="13"/>
      <c r="B50" s="22"/>
      <c r="C50" s="22"/>
      <c r="D50" s="349"/>
      <c r="E50" s="3025" t="s">
        <v>252</v>
      </c>
      <c r="F50" s="525"/>
      <c r="G50" s="2279" t="s">
        <v>278</v>
      </c>
      <c r="H50" s="3075">
        <v>75</v>
      </c>
      <c r="I50" s="3002"/>
      <c r="J50" s="2898"/>
    </row>
    <row r="51" spans="1:10" s="43" customFormat="1" ht="13.15" hidden="1" customHeight="1">
      <c r="A51" s="64"/>
      <c r="B51" s="24"/>
      <c r="C51" s="24"/>
      <c r="D51" s="2962"/>
      <c r="E51" s="2149" t="s">
        <v>277</v>
      </c>
      <c r="F51" s="525" t="s">
        <v>190</v>
      </c>
      <c r="G51" s="2279" t="s">
        <v>218</v>
      </c>
      <c r="H51" s="3076">
        <f>H50/(H47*H48*H49)</f>
        <v>0.53333333333333333</v>
      </c>
      <c r="I51" s="3002"/>
      <c r="J51" s="2898"/>
    </row>
    <row r="52" spans="1:10" s="26" customFormat="1" ht="13.15" hidden="1" customHeight="1">
      <c r="A52" s="23"/>
      <c r="B52" s="40"/>
      <c r="C52" s="40"/>
      <c r="D52" s="2962"/>
      <c r="E52" s="3077" t="s">
        <v>191</v>
      </c>
      <c r="F52" s="3078" t="s">
        <v>192</v>
      </c>
      <c r="G52" s="3079" t="s">
        <v>152</v>
      </c>
      <c r="H52" s="3080">
        <f>1/(H47*H51/3600)</f>
        <v>2700</v>
      </c>
      <c r="I52" s="3002"/>
      <c r="J52" s="2898"/>
    </row>
    <row r="53" spans="1:10" s="34" customFormat="1" ht="13.5" hidden="1" thickBot="1">
      <c r="A53" s="81"/>
      <c r="B53" s="25"/>
      <c r="C53" s="25"/>
      <c r="D53" s="3081"/>
      <c r="E53" s="3082"/>
      <c r="F53" s="3083"/>
      <c r="G53" s="3084"/>
      <c r="H53" s="1768"/>
      <c r="I53" s="3085"/>
      <c r="J53" s="3086"/>
    </row>
    <row r="54" spans="1:10" ht="13.15" hidden="1" customHeight="1">
      <c r="D54" s="349"/>
      <c r="E54" s="3059"/>
      <c r="F54" s="387"/>
      <c r="G54" s="2609"/>
      <c r="H54" s="1769"/>
      <c r="I54" s="1769"/>
      <c r="J54" s="3026"/>
    </row>
    <row r="55" spans="1:10" ht="13.15" customHeight="1">
      <c r="D55" s="4054" t="s">
        <v>287</v>
      </c>
      <c r="E55" s="3025" t="s">
        <v>251</v>
      </c>
      <c r="F55" s="525" t="s">
        <v>188</v>
      </c>
      <c r="G55" s="2279" t="s">
        <v>73</v>
      </c>
      <c r="H55" s="3002">
        <v>2.5</v>
      </c>
      <c r="I55" s="3002"/>
      <c r="J55" s="2898"/>
    </row>
    <row r="56" spans="1:10" ht="13.15" customHeight="1">
      <c r="D56" s="4054"/>
      <c r="E56" s="3025" t="s">
        <v>275</v>
      </c>
      <c r="F56" s="525"/>
      <c r="G56" s="2279" t="s">
        <v>73</v>
      </c>
      <c r="H56" s="3002">
        <v>7.5</v>
      </c>
      <c r="I56" s="3002"/>
      <c r="J56" s="2898"/>
    </row>
    <row r="57" spans="1:10" ht="13.15" customHeight="1">
      <c r="D57" s="4054"/>
      <c r="E57" s="3025" t="s">
        <v>276</v>
      </c>
      <c r="F57" s="525"/>
      <c r="G57" s="2279" t="s">
        <v>73</v>
      </c>
      <c r="H57" s="3002">
        <v>7.5</v>
      </c>
      <c r="I57" s="3002"/>
      <c r="J57" s="2898"/>
    </row>
    <row r="58" spans="1:10" ht="13.15" customHeight="1">
      <c r="D58" s="4054"/>
      <c r="E58" s="3025" t="s">
        <v>252</v>
      </c>
      <c r="F58" s="525"/>
      <c r="G58" s="2279" t="s">
        <v>278</v>
      </c>
      <c r="H58" s="3002">
        <v>150</v>
      </c>
      <c r="I58" s="3002"/>
      <c r="J58" s="2898"/>
    </row>
    <row r="59" spans="1:10" ht="13.15" customHeight="1">
      <c r="D59" s="4054"/>
      <c r="E59" s="2149" t="s">
        <v>277</v>
      </c>
      <c r="F59" s="525" t="s">
        <v>190</v>
      </c>
      <c r="G59" s="2279" t="s">
        <v>218</v>
      </c>
      <c r="H59" s="3076">
        <f>H58/(H55*H56*H57)</f>
        <v>1.0666666666666667</v>
      </c>
      <c r="I59" s="3002"/>
      <c r="J59" s="2898"/>
    </row>
    <row r="60" spans="1:10" ht="13.15" customHeight="1">
      <c r="D60" s="4054"/>
      <c r="E60" s="3077" t="s">
        <v>191</v>
      </c>
      <c r="F60" s="3078" t="s">
        <v>192</v>
      </c>
      <c r="G60" s="3079" t="s">
        <v>152</v>
      </c>
      <c r="H60" s="2198">
        <f>1/(H55*H59/3600)</f>
        <v>1350</v>
      </c>
      <c r="I60" s="3002"/>
      <c r="J60" s="2898"/>
    </row>
    <row r="61" spans="1:10" ht="13.15" customHeight="1">
      <c r="D61" s="3087"/>
      <c r="E61" s="3082"/>
      <c r="F61" s="3083"/>
      <c r="G61" s="3084"/>
      <c r="H61" s="1768"/>
      <c r="I61" s="3085"/>
      <c r="J61" s="3086"/>
    </row>
    <row r="62" spans="1:10" ht="13.15" customHeight="1">
      <c r="D62" s="2028"/>
      <c r="E62" s="3070"/>
      <c r="F62" s="3071"/>
      <c r="G62" s="3072"/>
      <c r="H62" s="3073"/>
      <c r="I62" s="3073"/>
      <c r="J62" s="3024"/>
    </row>
    <row r="63" spans="1:10" ht="13.15" customHeight="1">
      <c r="D63" s="4055" t="s">
        <v>495</v>
      </c>
      <c r="E63" s="3025" t="s">
        <v>251</v>
      </c>
      <c r="F63" s="525" t="s">
        <v>188</v>
      </c>
      <c r="G63" s="2279" t="s">
        <v>73</v>
      </c>
      <c r="H63" s="3002">
        <v>3.5</v>
      </c>
      <c r="I63" s="3002"/>
      <c r="J63" s="3024"/>
    </row>
    <row r="64" spans="1:10" ht="13.15" customHeight="1">
      <c r="D64" s="4055"/>
      <c r="E64" s="2149" t="s">
        <v>277</v>
      </c>
      <c r="F64" s="525" t="s">
        <v>190</v>
      </c>
      <c r="G64" s="2279" t="s">
        <v>218</v>
      </c>
      <c r="H64" s="3002">
        <f>H59*2</f>
        <v>2.1333333333333333</v>
      </c>
      <c r="I64" s="3002"/>
      <c r="J64" s="3024"/>
    </row>
    <row r="65" spans="4:10" ht="13.15" customHeight="1">
      <c r="D65" s="4055"/>
      <c r="E65" s="3077" t="s">
        <v>191</v>
      </c>
      <c r="F65" s="3078" t="s">
        <v>192</v>
      </c>
      <c r="G65" s="3079" t="s">
        <v>152</v>
      </c>
      <c r="H65" s="2198">
        <f>1/(H63*H64/3600)</f>
        <v>482.14285714285711</v>
      </c>
      <c r="I65" s="3002"/>
      <c r="J65" s="3024"/>
    </row>
    <row r="66" spans="4:10" ht="13.15" customHeight="1" thickBot="1">
      <c r="D66" s="2320"/>
      <c r="E66" s="3088"/>
      <c r="F66" s="3089"/>
      <c r="G66" s="3090"/>
      <c r="H66" s="3091"/>
      <c r="I66" s="3092"/>
      <c r="J66" s="3093"/>
    </row>
    <row r="67" spans="4:10" ht="13.15" customHeight="1">
      <c r="D67" s="272"/>
    </row>
    <row r="68" spans="4:10" ht="13.15" customHeight="1">
      <c r="D68" s="272"/>
    </row>
    <row r="69" spans="4:10" ht="13.15" customHeight="1">
      <c r="D69" s="272"/>
    </row>
    <row r="70" spans="4:10" ht="13.15" customHeight="1">
      <c r="D70" s="272"/>
    </row>
    <row r="71" spans="4:10" ht="13.15" customHeight="1">
      <c r="D71" s="272"/>
    </row>
    <row r="72" spans="4:10" ht="13.15" customHeight="1">
      <c r="D72" s="272"/>
    </row>
    <row r="73" spans="4:10" ht="13.15" customHeight="1">
      <c r="D73" s="272"/>
    </row>
    <row r="74" spans="4:10" ht="13.15" customHeight="1">
      <c r="D74" s="272"/>
    </row>
    <row r="75" spans="4:10" ht="13.15" customHeight="1">
      <c r="D75" s="272"/>
    </row>
    <row r="76" spans="4:10" ht="13.15" customHeight="1">
      <c r="D76" s="272"/>
    </row>
    <row r="77" spans="4:10" ht="13.15" customHeight="1">
      <c r="D77" s="272"/>
    </row>
    <row r="78" spans="4:10" ht="13.15" customHeight="1">
      <c r="D78" s="272"/>
    </row>
    <row r="79" spans="4:10" ht="13.15" customHeight="1">
      <c r="D79" s="272"/>
    </row>
    <row r="80" spans="4:10" ht="13.15" customHeight="1">
      <c r="D80" s="272"/>
    </row>
    <row r="81" spans="4:4" ht="13.15" customHeight="1">
      <c r="D81" s="272"/>
    </row>
    <row r="82" spans="4:4" ht="13.15" customHeight="1">
      <c r="D82" s="272"/>
    </row>
    <row r="83" spans="4:4" ht="13.15" customHeight="1">
      <c r="D83" s="272"/>
    </row>
    <row r="84" spans="4:4" ht="13.15" customHeight="1">
      <c r="D84" s="272"/>
    </row>
    <row r="85" spans="4:4" ht="13.15" customHeight="1">
      <c r="D85" s="272"/>
    </row>
    <row r="86" spans="4:4" ht="13.15" customHeight="1">
      <c r="D86" s="272"/>
    </row>
    <row r="87" spans="4:4" ht="13.15" customHeight="1">
      <c r="D87" s="272"/>
    </row>
    <row r="88" spans="4:4" ht="13.15" customHeight="1">
      <c r="D88" s="272"/>
    </row>
    <row r="89" spans="4:4" ht="13.15" customHeight="1">
      <c r="D89" s="272"/>
    </row>
    <row r="90" spans="4:4" ht="13.15" customHeight="1">
      <c r="D90" s="272"/>
    </row>
    <row r="91" spans="4:4" ht="13.15" customHeight="1">
      <c r="D91" s="272"/>
    </row>
    <row r="92" spans="4:4" ht="13.15" customHeight="1">
      <c r="D92" s="272"/>
    </row>
    <row r="93" spans="4:4" ht="13.15" customHeight="1">
      <c r="D93" s="272"/>
    </row>
    <row r="94" spans="4:4" ht="13.15" customHeight="1">
      <c r="D94" s="272"/>
    </row>
    <row r="95" spans="4:4" ht="13.15" customHeight="1">
      <c r="D95" s="272"/>
    </row>
    <row r="96" spans="4:4" ht="13.15" customHeight="1">
      <c r="D96" s="272"/>
    </row>
    <row r="97" spans="4:4" ht="13.15" customHeight="1">
      <c r="D97" s="272"/>
    </row>
    <row r="98" spans="4:4" ht="13.15" customHeight="1">
      <c r="D98" s="272"/>
    </row>
    <row r="99" spans="4:4" ht="13.15" customHeight="1">
      <c r="D99" s="272"/>
    </row>
    <row r="100" spans="4:4" ht="13.15" customHeight="1">
      <c r="D100" s="272"/>
    </row>
    <row r="101" spans="4:4" ht="13.15" customHeight="1">
      <c r="D101" s="272"/>
    </row>
    <row r="102" spans="4:4" ht="13.15" customHeight="1">
      <c r="D102" s="272"/>
    </row>
    <row r="103" spans="4:4" ht="13.15" customHeight="1">
      <c r="D103" s="272"/>
    </row>
    <row r="104" spans="4:4" ht="13.15" customHeight="1">
      <c r="D104" s="272"/>
    </row>
    <row r="105" spans="4:4" ht="13.15" customHeight="1">
      <c r="D105" s="272"/>
    </row>
    <row r="106" spans="4:4" ht="13.15" customHeight="1">
      <c r="D106" s="272"/>
    </row>
    <row r="107" spans="4:4" ht="13.15" customHeight="1">
      <c r="D107" s="272"/>
    </row>
    <row r="108" spans="4:4" ht="13.15" customHeight="1">
      <c r="D108" s="272"/>
    </row>
    <row r="109" spans="4:4" ht="13.15" customHeight="1">
      <c r="D109" s="272"/>
    </row>
    <row r="110" spans="4:4" ht="13.15" customHeight="1">
      <c r="D110" s="272"/>
    </row>
    <row r="111" spans="4:4" ht="13.15" customHeight="1">
      <c r="D111" s="272"/>
    </row>
    <row r="112" spans="4:4" ht="13.15" customHeight="1">
      <c r="D112" s="272"/>
    </row>
    <row r="113" spans="4:4" ht="13.15" customHeight="1">
      <c r="D113" s="272"/>
    </row>
    <row r="114" spans="4:4" ht="13.15" customHeight="1">
      <c r="D114" s="272"/>
    </row>
    <row r="115" spans="4:4" ht="13.15" customHeight="1">
      <c r="D115" s="272"/>
    </row>
    <row r="116" spans="4:4" ht="13.15" customHeight="1">
      <c r="D116" s="272"/>
    </row>
    <row r="117" spans="4:4" ht="13.15" customHeight="1">
      <c r="D117" s="272"/>
    </row>
    <row r="118" spans="4:4" ht="13.15" customHeight="1">
      <c r="D118" s="272"/>
    </row>
    <row r="119" spans="4:4" ht="13.15" customHeight="1">
      <c r="D119" s="272"/>
    </row>
    <row r="120" spans="4:4" ht="13.15" customHeight="1">
      <c r="D120" s="272"/>
    </row>
    <row r="121" spans="4:4" ht="13.15" customHeight="1">
      <c r="D121" s="272"/>
    </row>
    <row r="122" spans="4:4" ht="13.15" customHeight="1">
      <c r="D122" s="272"/>
    </row>
    <row r="123" spans="4:4" ht="13.15" customHeight="1">
      <c r="D123" s="272"/>
    </row>
    <row r="124" spans="4:4" ht="13.15" customHeight="1">
      <c r="D124" s="272"/>
    </row>
    <row r="125" spans="4:4" ht="13.15" customHeight="1">
      <c r="D125" s="272"/>
    </row>
    <row r="126" spans="4:4" ht="13.15" customHeight="1">
      <c r="D126" s="272"/>
    </row>
    <row r="127" spans="4:4" ht="13.15" customHeight="1">
      <c r="D127" s="272"/>
    </row>
    <row r="128" spans="4:4" ht="13.15" customHeight="1">
      <c r="D128" s="272"/>
    </row>
    <row r="129" spans="4:4" ht="13.15" customHeight="1">
      <c r="D129" s="272"/>
    </row>
    <row r="130" spans="4:4" ht="13.15" customHeight="1">
      <c r="D130" s="272"/>
    </row>
    <row r="131" spans="4:4" ht="13.15" customHeight="1">
      <c r="D131" s="272"/>
    </row>
    <row r="132" spans="4:4" ht="13.15" customHeight="1">
      <c r="D132" s="272"/>
    </row>
    <row r="133" spans="4:4" ht="13.15" customHeight="1">
      <c r="D133" s="272"/>
    </row>
    <row r="134" spans="4:4">
      <c r="D134" s="272"/>
    </row>
    <row r="135" spans="4:4">
      <c r="D135" s="272"/>
    </row>
    <row r="136" spans="4:4">
      <c r="D136" s="272"/>
    </row>
    <row r="137" spans="4:4">
      <c r="D137" s="272"/>
    </row>
    <row r="138" spans="4:4">
      <c r="D138" s="272"/>
    </row>
    <row r="139" spans="4:4">
      <c r="D139" s="272"/>
    </row>
    <row r="140" spans="4:4">
      <c r="D140" s="272"/>
    </row>
    <row r="141" spans="4:4">
      <c r="D141" s="272"/>
    </row>
    <row r="142" spans="4:4">
      <c r="D142" s="272"/>
    </row>
    <row r="143" spans="4:4">
      <c r="D143" s="272"/>
    </row>
    <row r="144" spans="4:4">
      <c r="D144" s="272"/>
    </row>
    <row r="145" spans="4:4">
      <c r="D145" s="272"/>
    </row>
    <row r="146" spans="4:4">
      <c r="D146" s="272"/>
    </row>
    <row r="147" spans="4:4">
      <c r="D147" s="272"/>
    </row>
    <row r="148" spans="4:4">
      <c r="D148" s="272"/>
    </row>
    <row r="149" spans="4:4">
      <c r="D149" s="272"/>
    </row>
    <row r="150" spans="4:4">
      <c r="D150" s="272"/>
    </row>
    <row r="151" spans="4:4">
      <c r="D151" s="272"/>
    </row>
    <row r="152" spans="4:4">
      <c r="D152" s="272"/>
    </row>
    <row r="153" spans="4:4">
      <c r="D153" s="272"/>
    </row>
    <row r="154" spans="4:4">
      <c r="D154" s="272"/>
    </row>
    <row r="155" spans="4:4">
      <c r="D155" s="272"/>
    </row>
    <row r="156" spans="4:4">
      <c r="D156" s="272"/>
    </row>
    <row r="157" spans="4:4">
      <c r="D157" s="272"/>
    </row>
    <row r="158" spans="4:4">
      <c r="D158" s="272"/>
    </row>
    <row r="159" spans="4:4">
      <c r="D159" s="272"/>
    </row>
    <row r="160" spans="4:4">
      <c r="D160" s="272"/>
    </row>
    <row r="161" spans="4:4">
      <c r="D161" s="272"/>
    </row>
    <row r="162" spans="4:4">
      <c r="D162" s="272"/>
    </row>
    <row r="163" spans="4:4">
      <c r="D163" s="272"/>
    </row>
    <row r="164" spans="4:4">
      <c r="D164" s="272"/>
    </row>
    <row r="165" spans="4:4">
      <c r="D165" s="272"/>
    </row>
    <row r="166" spans="4:4">
      <c r="D166" s="272"/>
    </row>
    <row r="167" spans="4:4">
      <c r="D167" s="272"/>
    </row>
    <row r="168" spans="4:4">
      <c r="D168" s="272"/>
    </row>
    <row r="169" spans="4:4">
      <c r="D169" s="272"/>
    </row>
    <row r="170" spans="4:4">
      <c r="D170" s="272"/>
    </row>
    <row r="171" spans="4:4">
      <c r="D171" s="272"/>
    </row>
    <row r="172" spans="4:4">
      <c r="D172" s="272"/>
    </row>
    <row r="173" spans="4:4">
      <c r="D173" s="272"/>
    </row>
    <row r="174" spans="4:4">
      <c r="D174" s="272"/>
    </row>
    <row r="175" spans="4:4">
      <c r="D175" s="272"/>
    </row>
    <row r="176" spans="4:4">
      <c r="D176" s="272"/>
    </row>
    <row r="177" spans="4:4">
      <c r="D177" s="272"/>
    </row>
    <row r="178" spans="4:4">
      <c r="D178" s="272"/>
    </row>
    <row r="179" spans="4:4">
      <c r="D179" s="272"/>
    </row>
    <row r="180" spans="4:4">
      <c r="D180" s="272"/>
    </row>
    <row r="181" spans="4:4">
      <c r="D181" s="272"/>
    </row>
    <row r="182" spans="4:4">
      <c r="D182" s="272"/>
    </row>
    <row r="183" spans="4:4">
      <c r="D183" s="272"/>
    </row>
    <row r="184" spans="4:4">
      <c r="D184" s="272"/>
    </row>
    <row r="185" spans="4:4">
      <c r="D185" s="272"/>
    </row>
    <row r="186" spans="4:4">
      <c r="D186" s="272"/>
    </row>
    <row r="187" spans="4:4">
      <c r="D187" s="272"/>
    </row>
    <row r="188" spans="4:4">
      <c r="D188" s="272"/>
    </row>
    <row r="189" spans="4:4">
      <c r="D189" s="272"/>
    </row>
    <row r="190" spans="4:4">
      <c r="D190" s="272"/>
    </row>
    <row r="191" spans="4:4">
      <c r="D191" s="272"/>
    </row>
    <row r="192" spans="4:4">
      <c r="D192" s="272"/>
    </row>
    <row r="193" spans="4:4">
      <c r="D193" s="272"/>
    </row>
    <row r="194" spans="4:4">
      <c r="D194" s="272"/>
    </row>
    <row r="195" spans="4:4">
      <c r="D195" s="272"/>
    </row>
    <row r="196" spans="4:4">
      <c r="D196" s="272"/>
    </row>
    <row r="197" spans="4:4">
      <c r="D197" s="272"/>
    </row>
    <row r="198" spans="4:4">
      <c r="D198" s="272"/>
    </row>
    <row r="199" spans="4:4">
      <c r="D199" s="272"/>
    </row>
    <row r="200" spans="4:4">
      <c r="D200" s="272"/>
    </row>
    <row r="201" spans="4:4">
      <c r="D201" s="272"/>
    </row>
    <row r="202" spans="4:4">
      <c r="D202" s="272"/>
    </row>
    <row r="203" spans="4:4">
      <c r="D203" s="272"/>
    </row>
    <row r="204" spans="4:4">
      <c r="D204" s="272"/>
    </row>
    <row r="205" spans="4:4">
      <c r="D205" s="272"/>
    </row>
    <row r="206" spans="4:4">
      <c r="D206" s="272"/>
    </row>
    <row r="207" spans="4:4">
      <c r="D207" s="272"/>
    </row>
    <row r="208" spans="4:4">
      <c r="D208" s="272"/>
    </row>
    <row r="209" spans="4:4">
      <c r="D209" s="272"/>
    </row>
    <row r="210" spans="4:4">
      <c r="D210" s="272"/>
    </row>
    <row r="211" spans="4:4">
      <c r="D211" s="272"/>
    </row>
    <row r="212" spans="4:4">
      <c r="D212" s="272"/>
    </row>
    <row r="213" spans="4:4">
      <c r="D213" s="272"/>
    </row>
    <row r="214" spans="4:4">
      <c r="D214" s="272"/>
    </row>
    <row r="215" spans="4:4">
      <c r="D215" s="272"/>
    </row>
    <row r="216" spans="4:4">
      <c r="D216" s="272"/>
    </row>
    <row r="217" spans="4:4">
      <c r="D217" s="272"/>
    </row>
    <row r="218" spans="4:4">
      <c r="D218" s="272"/>
    </row>
    <row r="219" spans="4:4">
      <c r="D219" s="272"/>
    </row>
    <row r="220" spans="4:4">
      <c r="D220" s="272"/>
    </row>
    <row r="221" spans="4:4">
      <c r="D221" s="272"/>
    </row>
    <row r="222" spans="4:4">
      <c r="D222" s="272"/>
    </row>
    <row r="223" spans="4:4">
      <c r="D223" s="272"/>
    </row>
    <row r="224" spans="4:4">
      <c r="D224" s="272"/>
    </row>
    <row r="225" spans="4:4">
      <c r="D225" s="272"/>
    </row>
    <row r="226" spans="4:4">
      <c r="D226" s="272"/>
    </row>
    <row r="227" spans="4:4">
      <c r="D227" s="272"/>
    </row>
    <row r="228" spans="4:4">
      <c r="D228" s="272"/>
    </row>
    <row r="229" spans="4:4">
      <c r="D229" s="272"/>
    </row>
    <row r="230" spans="4:4">
      <c r="D230" s="272"/>
    </row>
    <row r="231" spans="4:4">
      <c r="D231" s="272"/>
    </row>
    <row r="232" spans="4:4">
      <c r="D232" s="272"/>
    </row>
    <row r="233" spans="4:4">
      <c r="D233" s="272"/>
    </row>
    <row r="234" spans="4:4">
      <c r="D234" s="272"/>
    </row>
    <row r="235" spans="4:4">
      <c r="D235" s="272"/>
    </row>
    <row r="236" spans="4:4">
      <c r="D236" s="272"/>
    </row>
    <row r="237" spans="4:4">
      <c r="D237" s="272"/>
    </row>
  </sheetData>
  <mergeCells count="6">
    <mergeCell ref="I3:J3"/>
    <mergeCell ref="D55:D60"/>
    <mergeCell ref="D63:D65"/>
    <mergeCell ref="D25:D28"/>
    <mergeCell ref="D31:D34"/>
    <mergeCell ref="E4:F4"/>
  </mergeCells>
  <printOptions horizontalCentered="1" gridLines="1"/>
  <pageMargins left="0.59055118110236227" right="0.59055118110236227" top="1.1811023622047245" bottom="0.98425196850393704" header="0" footer="0.47244094488188981"/>
  <pageSetup paperSize="9" scale="78" orientation="landscape" r:id="rId1"/>
  <headerFooter alignWithMargins="0">
    <oddFooter>&amp;C&amp;"Times New Roman,Normal"&amp;12&amp;F   -   &amp;A&amp;R&amp;"Times New Roman,Normal"&amp;12&amp;P/&amp;N</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L33"/>
  <sheetViews>
    <sheetView showGridLines="0" zoomScale="75" workbookViewId="0">
      <selection activeCell="E35" sqref="E35"/>
    </sheetView>
  </sheetViews>
  <sheetFormatPr baseColWidth="10" defaultRowHeight="12.75"/>
  <cols>
    <col min="1" max="1" width="11.42578125" style="47"/>
    <col min="2" max="2" width="26.85546875" style="1" customWidth="1"/>
    <col min="3" max="3" width="11.42578125" style="1" customWidth="1"/>
    <col min="4" max="4" width="15.140625" style="1" customWidth="1"/>
    <col min="5" max="5" width="6.5703125" style="44" customWidth="1"/>
    <col min="6" max="6" width="9.7109375" style="1" customWidth="1"/>
    <col min="7" max="7" width="9.5703125" style="1" customWidth="1"/>
    <col min="8" max="8" width="8.28515625" style="270" customWidth="1"/>
    <col min="9" max="9" width="10.42578125" style="270" customWidth="1"/>
    <col min="10" max="10" width="5.5703125" style="92" customWidth="1"/>
    <col min="11" max="11" width="5.7109375" style="92" customWidth="1"/>
    <col min="12" max="12" width="25.7109375" style="92" customWidth="1"/>
    <col min="13" max="16384" width="11.42578125" style="1"/>
  </cols>
  <sheetData>
    <row r="1" spans="1:12">
      <c r="J1" s="1"/>
      <c r="K1" s="1"/>
      <c r="L1" s="1"/>
    </row>
    <row r="2" spans="1:12" ht="13.5" thickBot="1">
      <c r="J2" s="1"/>
    </row>
    <row r="3" spans="1:12" s="155" customFormat="1" ht="13.5" thickBot="1">
      <c r="B3" s="4080" t="s">
        <v>1100</v>
      </c>
      <c r="C3" s="4067" t="s">
        <v>1124</v>
      </c>
      <c r="D3" s="2088"/>
      <c r="E3" s="2085" t="s">
        <v>193</v>
      </c>
      <c r="F3" s="2086"/>
      <c r="G3" s="2086"/>
      <c r="H3" s="2087"/>
      <c r="I3" s="2087"/>
      <c r="J3" s="4070" t="s">
        <v>496</v>
      </c>
      <c r="K3" s="4071"/>
    </row>
    <row r="4" spans="1:12">
      <c r="A4" s="18"/>
      <c r="B4" s="4081"/>
      <c r="C4" s="4068"/>
      <c r="D4" s="2089"/>
      <c r="E4" s="4098" t="s">
        <v>194</v>
      </c>
      <c r="F4" s="4085" t="s">
        <v>195</v>
      </c>
      <c r="G4" s="4086"/>
      <c r="H4" s="4087"/>
      <c r="I4" s="2037" t="s">
        <v>184</v>
      </c>
      <c r="J4" s="4063" t="str">
        <f>Dispers!F47</f>
        <v>Hvd</v>
      </c>
      <c r="K4" s="4065" t="str">
        <f>Dispers!F51</f>
        <v>Rv</v>
      </c>
    </row>
    <row r="5" spans="1:12">
      <c r="A5" s="18"/>
      <c r="B5" s="4081"/>
      <c r="C5" s="4068"/>
      <c r="D5" s="2089"/>
      <c r="E5" s="4099"/>
      <c r="F5" s="268" t="s">
        <v>290</v>
      </c>
      <c r="G5" s="269" t="s">
        <v>291</v>
      </c>
      <c r="H5" s="2048" t="s">
        <v>196</v>
      </c>
      <c r="I5" s="1659" t="s">
        <v>197</v>
      </c>
      <c r="J5" s="4064"/>
      <c r="K5" s="4066"/>
    </row>
    <row r="6" spans="1:12" ht="13.9" customHeight="1" thickBot="1">
      <c r="A6" s="18"/>
      <c r="B6" s="4082"/>
      <c r="C6" s="4069"/>
      <c r="D6" s="2090" t="s">
        <v>1102</v>
      </c>
      <c r="E6" s="84" t="s">
        <v>198</v>
      </c>
      <c r="F6" s="101" t="s">
        <v>182</v>
      </c>
      <c r="G6" s="153" t="s">
        <v>182</v>
      </c>
      <c r="H6" s="827" t="s">
        <v>182</v>
      </c>
      <c r="I6" s="485" t="str">
        <f>H30</f>
        <v>h/j</v>
      </c>
      <c r="J6" s="84" t="s">
        <v>189</v>
      </c>
      <c r="K6" s="485" t="s">
        <v>218</v>
      </c>
    </row>
    <row r="7" spans="1:12" s="82" customFormat="1">
      <c r="A7" s="157"/>
      <c r="B7" s="4091" t="s">
        <v>1118</v>
      </c>
      <c r="C7" s="4060" t="s">
        <v>1125</v>
      </c>
      <c r="D7" s="1657" t="s">
        <v>145</v>
      </c>
      <c r="E7" s="1666">
        <v>6</v>
      </c>
      <c r="F7" s="3626" t="s">
        <v>259</v>
      </c>
      <c r="G7" s="3627" t="s">
        <v>260</v>
      </c>
      <c r="H7" s="2052">
        <f>0.5*1+0.5*8</f>
        <v>4.5</v>
      </c>
      <c r="I7" s="2038">
        <f>E7*H7/70</f>
        <v>0.38571428571428573</v>
      </c>
      <c r="J7" s="486"/>
      <c r="K7" s="579"/>
    </row>
    <row r="8" spans="1:12" s="18" customFormat="1" ht="25.5">
      <c r="A8" s="67"/>
      <c r="B8" s="4092"/>
      <c r="C8" s="4061"/>
      <c r="D8" s="615" t="s">
        <v>144</v>
      </c>
      <c r="E8" s="1638">
        <v>64</v>
      </c>
      <c r="F8" s="1639" t="s">
        <v>259</v>
      </c>
      <c r="G8" s="2049" t="s">
        <v>261</v>
      </c>
      <c r="H8" s="2053">
        <f>0.5*1+0.5*(3*5+12*2)/7</f>
        <v>3.2857142857142856</v>
      </c>
      <c r="I8" s="2039">
        <f t="shared" ref="I8:I22" si="0">E8*H8/70</f>
        <v>3.0040816326530613</v>
      </c>
      <c r="J8" s="5"/>
      <c r="K8" s="488"/>
    </row>
    <row r="9" spans="1:12" s="18" customFormat="1" ht="12.75" customHeight="1">
      <c r="A9" s="67"/>
      <c r="B9" s="4093" t="s">
        <v>1119</v>
      </c>
      <c r="C9" s="4061"/>
      <c r="D9" s="1658" t="s">
        <v>145</v>
      </c>
      <c r="E9" s="1667">
        <v>6</v>
      </c>
      <c r="F9" s="1668" t="s">
        <v>262</v>
      </c>
      <c r="G9" s="2050" t="s">
        <v>263</v>
      </c>
      <c r="H9" s="2054">
        <f>0.5*23+0.5*16</f>
        <v>19.5</v>
      </c>
      <c r="I9" s="2040">
        <f>E9*H9/70</f>
        <v>1.6714285714285715</v>
      </c>
      <c r="J9" s="5"/>
      <c r="K9" s="488"/>
    </row>
    <row r="10" spans="1:12" s="18" customFormat="1" ht="26.25" thickBot="1">
      <c r="A10" s="67"/>
      <c r="B10" s="4094"/>
      <c r="C10" s="4061"/>
      <c r="D10" s="159" t="s">
        <v>144</v>
      </c>
      <c r="E10" s="1641">
        <v>64</v>
      </c>
      <c r="F10" s="1642" t="s">
        <v>264</v>
      </c>
      <c r="G10" s="2051" t="s">
        <v>265</v>
      </c>
      <c r="H10" s="2055">
        <f>0.5*(5*14+2*23)/7+0.5*12</f>
        <v>14.285714285714286</v>
      </c>
      <c r="I10" s="2041">
        <f t="shared" si="0"/>
        <v>13.061224489795919</v>
      </c>
      <c r="J10" s="84"/>
      <c r="K10" s="575"/>
    </row>
    <row r="11" spans="1:12" s="18" customFormat="1" ht="12.75" customHeight="1">
      <c r="A11" s="67"/>
      <c r="B11" s="4095" t="s">
        <v>1120</v>
      </c>
      <c r="C11" s="4061"/>
      <c r="D11" s="156" t="s">
        <v>144</v>
      </c>
      <c r="E11" s="1643">
        <v>40</v>
      </c>
      <c r="F11" s="4090" t="s">
        <v>620</v>
      </c>
      <c r="G11" s="4089"/>
      <c r="H11" s="2056">
        <f>4*220/365</f>
        <v>2.4109589041095889</v>
      </c>
      <c r="I11" s="2042">
        <f>E11*H11/70</f>
        <v>1.3776908023483365</v>
      </c>
      <c r="J11" s="5"/>
      <c r="K11" s="488"/>
    </row>
    <row r="12" spans="1:12" s="18" customFormat="1">
      <c r="A12" s="67"/>
      <c r="B12" s="4096"/>
      <c r="C12" s="4061"/>
      <c r="D12" s="615" t="s">
        <v>145</v>
      </c>
      <c r="E12" s="1644">
        <v>6</v>
      </c>
      <c r="F12" s="4083">
        <v>0</v>
      </c>
      <c r="G12" s="4084"/>
      <c r="H12" s="2057">
        <v>0</v>
      </c>
      <c r="I12" s="2043">
        <f>E12*H12/70</f>
        <v>0</v>
      </c>
      <c r="J12" s="83"/>
      <c r="K12" s="574"/>
    </row>
    <row r="13" spans="1:12" s="18" customFormat="1" ht="12.75" customHeight="1">
      <c r="A13" s="67"/>
      <c r="B13" s="4095" t="s">
        <v>1121</v>
      </c>
      <c r="C13" s="4061"/>
      <c r="D13" s="156" t="s">
        <v>144</v>
      </c>
      <c r="E13" s="1643">
        <v>40</v>
      </c>
      <c r="F13" s="4090" t="s">
        <v>620</v>
      </c>
      <c r="G13" s="4089"/>
      <c r="H13" s="2056">
        <f>4*220/365</f>
        <v>2.4109589041095889</v>
      </c>
      <c r="I13" s="2042">
        <f>E13*H13/70</f>
        <v>1.3776908023483365</v>
      </c>
      <c r="J13" s="5"/>
      <c r="K13" s="488"/>
    </row>
    <row r="14" spans="1:12" s="18" customFormat="1" ht="13.5" thickBot="1">
      <c r="A14" s="67"/>
      <c r="B14" s="4097"/>
      <c r="C14" s="4062"/>
      <c r="D14" s="156" t="s">
        <v>145</v>
      </c>
      <c r="E14" s="1643">
        <v>6</v>
      </c>
      <c r="F14" s="4088">
        <v>0</v>
      </c>
      <c r="G14" s="4089"/>
      <c r="H14" s="2058">
        <v>0</v>
      </c>
      <c r="I14" s="2044">
        <f>E14*H14/70</f>
        <v>0</v>
      </c>
      <c r="J14" s="5"/>
      <c r="K14" s="488"/>
    </row>
    <row r="15" spans="1:12" s="18" customFormat="1" ht="12.75" hidden="1" customHeight="1">
      <c r="A15" s="67"/>
      <c r="B15" s="2091" t="s">
        <v>257</v>
      </c>
      <c r="C15" s="2095" t="s">
        <v>257</v>
      </c>
      <c r="D15" s="158" t="s">
        <v>145</v>
      </c>
      <c r="E15" s="1636">
        <v>6</v>
      </c>
      <c r="F15" s="1637" t="s">
        <v>262</v>
      </c>
      <c r="G15" s="1645" t="s">
        <v>263</v>
      </c>
      <c r="H15" s="2059">
        <f>0.5*23+0.5*16</f>
        <v>19.5</v>
      </c>
      <c r="I15" s="2045">
        <f t="shared" si="0"/>
        <v>1.6714285714285715</v>
      </c>
      <c r="J15" s="486">
        <f>Dispers!H47</f>
        <v>2.5</v>
      </c>
      <c r="K15" s="487">
        <f>Dispers!H51</f>
        <v>0.53333333333333333</v>
      </c>
    </row>
    <row r="16" spans="1:12" s="18" customFormat="1" ht="26.25" hidden="1" customHeight="1" thickBot="1">
      <c r="A16" s="67"/>
      <c r="B16" s="2092"/>
      <c r="C16" s="2096"/>
      <c r="D16" s="159" t="s">
        <v>144</v>
      </c>
      <c r="E16" s="1646">
        <v>64</v>
      </c>
      <c r="F16" s="1647" t="s">
        <v>264</v>
      </c>
      <c r="G16" s="1648" t="s">
        <v>265</v>
      </c>
      <c r="H16" s="2055">
        <f>0.5*(5*14+2*23)/7+0.5*12</f>
        <v>14.285714285714286</v>
      </c>
      <c r="I16" s="2041">
        <f t="shared" si="0"/>
        <v>13.061224489795919</v>
      </c>
      <c r="J16" s="84"/>
      <c r="K16" s="575"/>
    </row>
    <row r="17" spans="1:12" s="18" customFormat="1" ht="13.5" hidden="1" thickBot="1">
      <c r="A17" s="67"/>
      <c r="B17" s="2092"/>
      <c r="C17" s="2096"/>
      <c r="D17" s="159"/>
      <c r="E17" s="1641"/>
      <c r="F17" s="1649"/>
      <c r="G17" s="1650"/>
      <c r="H17" s="2055"/>
      <c r="I17" s="2046">
        <f t="shared" si="0"/>
        <v>0</v>
      </c>
      <c r="J17" s="5"/>
      <c r="K17" s="488"/>
    </row>
    <row r="18" spans="1:12" s="152" customFormat="1" ht="13.5" hidden="1" thickBot="1">
      <c r="A18" s="1634"/>
      <c r="B18" s="2093"/>
      <c r="C18" s="2097"/>
      <c r="D18" s="160"/>
      <c r="E18" s="1640"/>
      <c r="F18" s="1651"/>
      <c r="G18" s="1651"/>
      <c r="H18" s="2056"/>
      <c r="I18" s="2042">
        <f t="shared" si="0"/>
        <v>0</v>
      </c>
      <c r="J18" s="489"/>
      <c r="K18" s="490"/>
    </row>
    <row r="19" spans="1:12" s="150" customFormat="1" ht="12" hidden="1" customHeight="1">
      <c r="A19" s="1635"/>
      <c r="B19" s="2093"/>
      <c r="C19" s="2097"/>
      <c r="D19" s="160"/>
      <c r="E19" s="1652"/>
      <c r="F19" s="1653"/>
      <c r="G19" s="1651"/>
      <c r="H19" s="2056"/>
      <c r="I19" s="2042">
        <f t="shared" si="0"/>
        <v>0</v>
      </c>
      <c r="J19" s="151"/>
      <c r="K19" s="491"/>
    </row>
    <row r="20" spans="1:12" s="150" customFormat="1" ht="13.5" hidden="1" thickBot="1">
      <c r="A20" s="1635"/>
      <c r="B20" s="2094"/>
      <c r="C20" s="2098"/>
      <c r="D20" s="160"/>
      <c r="E20" s="1654"/>
      <c r="F20" s="1651"/>
      <c r="G20" s="1651"/>
      <c r="H20" s="2056"/>
      <c r="I20" s="2042">
        <f t="shared" si="0"/>
        <v>0</v>
      </c>
      <c r="J20" s="151"/>
      <c r="K20" s="491"/>
    </row>
    <row r="21" spans="1:12" s="150" customFormat="1" ht="13.5" hidden="1" thickBot="1">
      <c r="A21" s="1635"/>
      <c r="B21" s="2093"/>
      <c r="C21" s="2097"/>
      <c r="D21" s="160"/>
      <c r="E21" s="1640"/>
      <c r="F21" s="1651"/>
      <c r="G21" s="1651"/>
      <c r="H21" s="2056"/>
      <c r="I21" s="2042">
        <f t="shared" si="0"/>
        <v>0</v>
      </c>
      <c r="J21" s="151"/>
      <c r="K21" s="491"/>
    </row>
    <row r="22" spans="1:12" s="34" customFormat="1">
      <c r="B22" s="4060" t="s">
        <v>1122</v>
      </c>
      <c r="C22" s="4060" t="s">
        <v>1126</v>
      </c>
      <c r="D22" s="158" t="s">
        <v>273</v>
      </c>
      <c r="E22" s="1655">
        <v>40</v>
      </c>
      <c r="F22" s="4078" t="s">
        <v>510</v>
      </c>
      <c r="G22" s="4079"/>
      <c r="H22" s="2059">
        <f>8*220/365</f>
        <v>4.8219178082191778</v>
      </c>
      <c r="I22" s="2045">
        <f t="shared" si="0"/>
        <v>2.755381604696673</v>
      </c>
      <c r="J22" s="4072">
        <f>Dispers!H55</f>
        <v>2.5</v>
      </c>
      <c r="K22" s="4074">
        <f>Dispers!H59</f>
        <v>1.0666666666666667</v>
      </c>
    </row>
    <row r="23" spans="1:12" s="34" customFormat="1" ht="13.5" thickBot="1">
      <c r="B23" s="4061"/>
      <c r="C23" s="4061"/>
      <c r="D23" s="159" t="s">
        <v>274</v>
      </c>
      <c r="E23" s="1656">
        <v>6</v>
      </c>
      <c r="F23" s="4083">
        <v>0</v>
      </c>
      <c r="G23" s="4084"/>
      <c r="H23" s="2060">
        <v>0</v>
      </c>
      <c r="I23" s="2047">
        <f>E23*H23/70</f>
        <v>0</v>
      </c>
      <c r="J23" s="4073"/>
      <c r="K23" s="4075"/>
    </row>
    <row r="24" spans="1:12" s="34" customFormat="1" ht="12.75" customHeight="1">
      <c r="B24" s="4060" t="s">
        <v>1123</v>
      </c>
      <c r="C24" s="4061"/>
      <c r="D24" s="158" t="s">
        <v>273</v>
      </c>
      <c r="E24" s="1655">
        <v>40</v>
      </c>
      <c r="F24" s="4078" t="s">
        <v>510</v>
      </c>
      <c r="G24" s="4079"/>
      <c r="H24" s="2059">
        <f>8*220/365</f>
        <v>4.8219178082191778</v>
      </c>
      <c r="I24" s="2045">
        <f>E24*H24/70</f>
        <v>2.755381604696673</v>
      </c>
      <c r="J24" s="4072">
        <f>Dispers!H63</f>
        <v>3.5</v>
      </c>
      <c r="K24" s="4074">
        <f>Dispers!H64</f>
        <v>2.1333333333333333</v>
      </c>
    </row>
    <row r="25" spans="1:12" s="34" customFormat="1" ht="13.5" thickBot="1">
      <c r="B25" s="4062"/>
      <c r="C25" s="4062"/>
      <c r="D25" s="159" t="s">
        <v>274</v>
      </c>
      <c r="E25" s="1656">
        <v>6</v>
      </c>
      <c r="F25" s="4076">
        <v>0</v>
      </c>
      <c r="G25" s="4077"/>
      <c r="H25" s="2060">
        <v>0</v>
      </c>
      <c r="I25" s="2047">
        <f>E25*H25/70</f>
        <v>0</v>
      </c>
      <c r="J25" s="4073"/>
      <c r="K25" s="4075"/>
    </row>
    <row r="26" spans="1:12" s="34" customFormat="1" hidden="1">
      <c r="D26" s="18"/>
      <c r="E26" s="199"/>
      <c r="F26" s="199"/>
      <c r="G26" s="199"/>
      <c r="H26" s="483"/>
      <c r="I26" s="484"/>
    </row>
    <row r="27" spans="1:12" s="18" customFormat="1" hidden="1">
      <c r="B27" s="18" t="s">
        <v>199</v>
      </c>
    </row>
    <row r="28" spans="1:12" s="387" customFormat="1">
      <c r="B28" t="s">
        <v>1008</v>
      </c>
      <c r="C28" s="2065"/>
      <c r="D28"/>
      <c r="E28"/>
      <c r="G28" t="s">
        <v>181</v>
      </c>
      <c r="H28" t="s">
        <v>182</v>
      </c>
      <c r="I28"/>
    </row>
    <row r="29" spans="1:12" s="387" customFormat="1">
      <c r="B29" t="s">
        <v>200</v>
      </c>
      <c r="C29" s="2065"/>
      <c r="D29"/>
      <c r="E29"/>
      <c r="G29" t="s">
        <v>194</v>
      </c>
      <c r="H29" t="s">
        <v>201</v>
      </c>
      <c r="I29" s="1660" t="s">
        <v>1004</v>
      </c>
      <c r="J29" s="1661"/>
      <c r="K29" s="1665"/>
    </row>
    <row r="30" spans="1:12" s="387" customFormat="1">
      <c r="B30" t="s">
        <v>1009</v>
      </c>
      <c r="C30" s="2065"/>
      <c r="D30"/>
      <c r="E30"/>
      <c r="G30" t="s">
        <v>184</v>
      </c>
      <c r="H30" t="s">
        <v>182</v>
      </c>
      <c r="I30" s="1662" t="s">
        <v>1005</v>
      </c>
    </row>
    <row r="31" spans="1:12" s="387" customFormat="1">
      <c r="B31" s="525" t="s">
        <v>251</v>
      </c>
      <c r="C31" s="525"/>
      <c r="F31" s="804"/>
      <c r="G31" t="s">
        <v>188</v>
      </c>
      <c r="H31" t="s">
        <v>73</v>
      </c>
      <c r="I31"/>
      <c r="J31"/>
      <c r="K31"/>
      <c r="L31"/>
    </row>
    <row r="32" spans="1:12" s="387" customFormat="1">
      <c r="B32" t="s">
        <v>277</v>
      </c>
      <c r="C32" s="2065"/>
      <c r="D32" s="525"/>
      <c r="E32"/>
      <c r="F32" s="804"/>
      <c r="G32" t="s">
        <v>190</v>
      </c>
      <c r="H32" t="s">
        <v>218</v>
      </c>
      <c r="I32"/>
      <c r="J32"/>
      <c r="K32"/>
      <c r="L32"/>
    </row>
    <row r="33" spans="4:12" s="18" customFormat="1">
      <c r="D33" s="80"/>
      <c r="E33" s="1664"/>
      <c r="F33" s="166"/>
      <c r="G33" s="166"/>
      <c r="H33" s="1662"/>
      <c r="I33" s="1663"/>
      <c r="J33" s="34"/>
      <c r="K33" s="34"/>
      <c r="L33" s="34"/>
    </row>
  </sheetData>
  <mergeCells count="27">
    <mergeCell ref="B24:B25"/>
    <mergeCell ref="F24:G24"/>
    <mergeCell ref="B3:B6"/>
    <mergeCell ref="F22:G22"/>
    <mergeCell ref="F23:G23"/>
    <mergeCell ref="B22:B23"/>
    <mergeCell ref="F4:H4"/>
    <mergeCell ref="F12:G12"/>
    <mergeCell ref="F14:G14"/>
    <mergeCell ref="F11:G11"/>
    <mergeCell ref="F13:G13"/>
    <mergeCell ref="B7:B8"/>
    <mergeCell ref="B9:B10"/>
    <mergeCell ref="B11:B12"/>
    <mergeCell ref="B13:B14"/>
    <mergeCell ref="E4:E5"/>
    <mergeCell ref="C7:C14"/>
    <mergeCell ref="C22:C25"/>
    <mergeCell ref="J4:J5"/>
    <mergeCell ref="K4:K5"/>
    <mergeCell ref="C3:C6"/>
    <mergeCell ref="J3:K3"/>
    <mergeCell ref="J22:J23"/>
    <mergeCell ref="J24:J25"/>
    <mergeCell ref="K24:K25"/>
    <mergeCell ref="K22:K23"/>
    <mergeCell ref="F25:G25"/>
  </mergeCells>
  <printOptions horizontalCentered="1"/>
  <pageMargins left="0.59055118110236227" right="0.59055118110236227" top="1.1811023622047245" bottom="0.98425196850393704" header="0" footer="0.47244094488188981"/>
  <pageSetup paperSize="9" orientation="landscape" r:id="rId1"/>
  <headerFooter alignWithMargins="0">
    <oddFooter>&amp;C&amp;"Times New Roman,Normal"&amp;12&amp;F   -   &amp;A&amp;R&amp;"Times New Roman,Normal"&amp;12&amp;P/&amp;N</oddFooter>
  </headerFooter>
</worksheet>
</file>

<file path=xl/worksheets/sheet9.xml><?xml version="1.0" encoding="utf-8"?>
<worksheet xmlns="http://schemas.openxmlformats.org/spreadsheetml/2006/main" xmlns:r="http://schemas.openxmlformats.org/officeDocument/2006/relationships">
  <dimension ref="A1:BS3495"/>
  <sheetViews>
    <sheetView topLeftCell="C9" zoomScale="75" workbookViewId="0">
      <pane xSplit="5" ySplit="1" topLeftCell="H10" activePane="bottomRight" state="frozen"/>
      <selection activeCell="C9" sqref="C9"/>
      <selection pane="topRight" activeCell="H9" sqref="H9"/>
      <selection pane="bottomLeft" activeCell="C11" sqref="C11"/>
      <selection pane="bottomRight" activeCell="D21" sqref="D21"/>
    </sheetView>
  </sheetViews>
  <sheetFormatPr baseColWidth="10" defaultRowHeight="12.75"/>
  <cols>
    <col min="1" max="1" width="10.5703125" style="94" bestFit="1" customWidth="1"/>
    <col min="2" max="2" width="9.7109375" style="99" customWidth="1"/>
    <col min="3" max="3" width="4.5703125" style="264" customWidth="1"/>
    <col min="4" max="4" width="5.85546875" style="265" customWidth="1"/>
    <col min="5" max="5" width="37.42578125" style="11" customWidth="1"/>
    <col min="6" max="6" width="10.140625" style="6" customWidth="1"/>
    <col min="7" max="7" width="16.7109375" style="7" customWidth="1"/>
    <col min="8" max="61" width="8.42578125" style="74" customWidth="1"/>
    <col min="62" max="16384" width="11.42578125" style="15"/>
  </cols>
  <sheetData>
    <row r="1" spans="1:71">
      <c r="C1" s="578"/>
      <c r="D1" s="2103"/>
      <c r="E1" s="10"/>
      <c r="F1" s="8"/>
      <c r="G1" s="9"/>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45"/>
      <c r="BK1" s="245"/>
      <c r="BL1" s="245"/>
      <c r="BM1" s="245"/>
      <c r="BN1" s="245"/>
      <c r="BO1" s="245"/>
      <c r="BP1" s="245"/>
      <c r="BQ1" s="245"/>
      <c r="BR1" s="245"/>
      <c r="BS1" s="245"/>
    </row>
    <row r="2" spans="1:71">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45"/>
      <c r="BK2" s="245"/>
      <c r="BL2" s="245"/>
      <c r="BM2" s="245"/>
      <c r="BN2" s="245"/>
      <c r="BO2" s="245"/>
      <c r="BP2" s="245"/>
      <c r="BQ2" s="245"/>
      <c r="BR2" s="245"/>
      <c r="BS2" s="245"/>
    </row>
    <row r="3" spans="1:71">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45"/>
      <c r="BK3" s="245"/>
      <c r="BL3" s="245"/>
      <c r="BM3" s="245"/>
      <c r="BN3" s="245"/>
      <c r="BO3" s="245"/>
      <c r="BP3" s="245"/>
      <c r="BQ3" s="245"/>
      <c r="BR3" s="245"/>
      <c r="BS3" s="245"/>
    </row>
    <row r="4" spans="1:71">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45"/>
      <c r="BK4" s="245"/>
      <c r="BL4" s="245"/>
      <c r="BM4" s="245"/>
      <c r="BN4" s="245"/>
      <c r="BO4" s="245"/>
      <c r="BP4" s="245"/>
      <c r="BQ4" s="245"/>
      <c r="BR4" s="245"/>
      <c r="BS4" s="245"/>
    </row>
    <row r="5" spans="1:71" ht="25.5">
      <c r="G5" s="104"/>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row>
    <row r="6" spans="1:71" ht="13.5" thickBot="1">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row>
    <row r="7" spans="1:71">
      <c r="E7" s="10"/>
      <c r="F7" s="8"/>
      <c r="G7" s="9"/>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row>
    <row r="8" spans="1:71" ht="13.5" thickBot="1">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row>
    <row r="9" spans="1:71" s="1578" customFormat="1" ht="39" thickBot="1">
      <c r="A9" s="1573"/>
      <c r="B9" s="1574"/>
      <c r="C9" s="4100" t="s">
        <v>77</v>
      </c>
      <c r="D9" s="4101"/>
      <c r="E9" s="3695" t="s">
        <v>1291</v>
      </c>
      <c r="F9" s="1575" t="str">
        <f>'Du K'!F2</f>
        <v>Symbole</v>
      </c>
      <c r="G9" s="1606" t="str">
        <f>'Du K'!G2</f>
        <v>Unité</v>
      </c>
      <c r="H9" s="350" t="str">
        <f>'Du K'!H2</f>
        <v>butanol</v>
      </c>
      <c r="I9" s="350" t="str">
        <f>'Du K'!I2</f>
        <v>butanol</v>
      </c>
      <c r="J9" s="350" t="str">
        <f>'Du K'!J2</f>
        <v>MEK</v>
      </c>
      <c r="K9" s="350" t="str">
        <f>'Du K'!K2</f>
        <v>CV</v>
      </c>
      <c r="L9" s="350" t="str">
        <f>'Du K'!L2</f>
        <v>cis-DCE</v>
      </c>
      <c r="M9" s="350" t="str">
        <f>'Du K'!M2</f>
        <v>cis-DCE</v>
      </c>
      <c r="N9" s="350" t="str">
        <f>'Du K'!N2</f>
        <v>TCE</v>
      </c>
      <c r="O9" s="350" t="str">
        <f>'Du K'!O2</f>
        <v>TCE</v>
      </c>
      <c r="P9" s="350" t="str">
        <f>'Du K'!P2</f>
        <v>PCE</v>
      </c>
      <c r="Q9" s="350" t="str">
        <f>'Du K'!Q2</f>
        <v>PCE</v>
      </c>
      <c r="R9" s="350" t="str">
        <f>'Du K'!R2</f>
        <v>DCMA</v>
      </c>
      <c r="S9" s="350" t="str">
        <f>'Du K'!S2</f>
        <v>chloroforme</v>
      </c>
      <c r="T9" s="350" t="str">
        <f>'Du K'!T2</f>
        <v>chloroforme</v>
      </c>
      <c r="U9" s="350" t="str">
        <f>'Du K'!U2</f>
        <v>PCMA</v>
      </c>
      <c r="V9" s="350" t="str">
        <f>'Du K'!V2</f>
        <v>1,1,1-TCA</v>
      </c>
      <c r="W9" s="350" t="str">
        <f>'Du K'!W2</f>
        <v>1,1,1-TCA</v>
      </c>
      <c r="X9" s="350" t="str">
        <f>'Du K'!X2</f>
        <v>B</v>
      </c>
      <c r="Y9" s="350" t="str">
        <f>'Du K'!Y2</f>
        <v>T</v>
      </c>
      <c r="Z9" s="350" t="str">
        <f>'Du K'!Z2</f>
        <v>E</v>
      </c>
      <c r="AA9" s="350" t="str">
        <f>'Du K'!AA2</f>
        <v>X</v>
      </c>
      <c r="AB9" s="350" t="str">
        <f>'Du K'!AB2</f>
        <v>Ar 
&gt;EC8-EC10</v>
      </c>
      <c r="AC9" s="350" t="str">
        <f>'Du K'!AC2</f>
        <v>Ar
&gt;EC10-EC12</v>
      </c>
      <c r="AD9" s="350" t="str">
        <f>'Du K'!AD2</f>
        <v>Ar
 &gt;EC12 - EC16</v>
      </c>
      <c r="AE9" s="350" t="str">
        <f>'Du K'!AE2</f>
        <v>Ar
 &gt;EC16 - EC21</v>
      </c>
      <c r="AF9" s="350" t="str">
        <f>'Du K'!AF2</f>
        <v>Ar
 &gt;EC21 - EC35</v>
      </c>
      <c r="AG9" s="350" t="str">
        <f>'Du K'!AG2</f>
        <v>Al 
EC5-EC6</v>
      </c>
      <c r="AH9" s="350" t="str">
        <f>'Du K'!AH2</f>
        <v>Al
&gt;EC6-EC8</v>
      </c>
      <c r="AI9" s="350" t="str">
        <f>'Du K'!AI2</f>
        <v>Al 
&gt;EC8-EC10</v>
      </c>
      <c r="AJ9" s="350" t="str">
        <f>'Du K'!AJ2</f>
        <v>Al &gt;
EC10-EC12</v>
      </c>
      <c r="AK9" s="350" t="str">
        <f>'Du K'!AK2</f>
        <v>Al 
&gt;EC12-EC16</v>
      </c>
      <c r="AL9" s="350" t="str">
        <f>'Du K'!AL2</f>
        <v>Al 
&gt;EC16- EC21</v>
      </c>
      <c r="AM9" s="350" t="str">
        <f>'Du K'!AM2</f>
        <v>Al  &gt;EC21</v>
      </c>
      <c r="AN9" s="350" t="str">
        <f>'Du K'!AN2</f>
        <v>Naphtalène</v>
      </c>
      <c r="AO9" s="350" t="str">
        <f>'Du K'!AO2</f>
        <v>Acénaphthylène</v>
      </c>
      <c r="AP9" s="350" t="str">
        <f>'Du K'!AP2</f>
        <v>Acénaphtène</v>
      </c>
      <c r="AQ9" s="350" t="str">
        <f>'Du K'!AQ2</f>
        <v>Fluorène</v>
      </c>
      <c r="AR9" s="350" t="str">
        <f>'Du K'!AR2</f>
        <v>Phénanthrène</v>
      </c>
      <c r="AS9" s="350" t="str">
        <f>'Du K'!AS2</f>
        <v>Anthracène</v>
      </c>
      <c r="AT9" s="350" t="str">
        <f>'Du K'!AT2</f>
        <v>Fluoranthène</v>
      </c>
      <c r="AU9" s="350" t="str">
        <f>'Du K'!AU2</f>
        <v>Pyrène</v>
      </c>
      <c r="AV9" s="350" t="str">
        <f>'Du K'!AV2</f>
        <v>BaA</v>
      </c>
      <c r="AW9" s="350" t="str">
        <f>'Du K'!AW2</f>
        <v>Chrysène</v>
      </c>
      <c r="AX9" s="350" t="str">
        <f>'Du K'!AX2</f>
        <v>BbF</v>
      </c>
      <c r="AY9" s="350" t="str">
        <f>'Du K'!AY2</f>
        <v>BkF</v>
      </c>
      <c r="AZ9" s="350" t="str">
        <f>'Du K'!AZ2</f>
        <v>BaP</v>
      </c>
      <c r="BA9" s="350" t="str">
        <f>'Du K'!BA2</f>
        <v>DahA</v>
      </c>
      <c r="BB9" s="350" t="str">
        <f>'Du K'!BB2</f>
        <v>BghP</v>
      </c>
      <c r="BC9" s="350" t="str">
        <f>'Du K'!BC2</f>
        <v>IcdP</v>
      </c>
      <c r="BD9" s="350" t="str">
        <f>'Du K'!BD2</f>
        <v>Phénol</v>
      </c>
      <c r="BE9" s="350" t="str">
        <f>'Du K'!BE2</f>
        <v>PCB (7)</v>
      </c>
      <c r="BF9" s="350" t="str">
        <f>'Du K'!BF2</f>
        <v>PCB-A1254</v>
      </c>
      <c r="BG9" s="350" t="str">
        <f>'Du K'!BG2</f>
        <v>Hg0</v>
      </c>
      <c r="BH9" s="350" t="str">
        <f>'Du K'!BH2</f>
        <v>CH3HgCl</v>
      </c>
      <c r="BI9" s="350" t="str">
        <f>'Du K'!BI2</f>
        <v>CN/HCN</v>
      </c>
    </row>
    <row r="10" spans="1:71">
      <c r="A10" s="148"/>
      <c r="C10" s="578"/>
      <c r="D10" s="2103"/>
      <c r="E10" s="201" t="str">
        <f>Substances!E9</f>
        <v>Concentration de référence (effets à seuils)</v>
      </c>
      <c r="F10" s="147" t="str">
        <f>Substances!F9</f>
        <v>RfC</v>
      </c>
      <c r="G10" s="146" t="s">
        <v>202</v>
      </c>
      <c r="H10" s="56">
        <f>IF(ISNUMBER(Substances!H9),Substances!H9,0)</f>
        <v>0.2</v>
      </c>
      <c r="I10" s="56">
        <f>IF(ISNUMBER(Substances!I9),Substances!I9,0)</f>
        <v>0.2</v>
      </c>
      <c r="J10" s="56">
        <f>IF(ISNUMBER(Substances!J9),Substances!J9,0)</f>
        <v>5</v>
      </c>
      <c r="K10" s="56">
        <f>IF(ISNUMBER(Substances!K9),Substances!K9,0)</f>
        <v>5.6000000000000001E-2</v>
      </c>
      <c r="L10" s="56">
        <f>IF(ISNUMBER(Substances!L9),Substances!L9,0)</f>
        <v>0.06</v>
      </c>
      <c r="M10" s="56">
        <f>IF(ISNUMBER(Substances!M9),Substances!M9,0)</f>
        <v>0.06</v>
      </c>
      <c r="N10" s="56">
        <f>IF(ISNUMBER(Substances!N9),Substances!N9,0)</f>
        <v>0.2</v>
      </c>
      <c r="O10" s="56">
        <f>IF(ISNUMBER(Substances!O9),Substances!O9,0)</f>
        <v>0.2</v>
      </c>
      <c r="P10" s="56">
        <f>IF(ISNUMBER(Substances!P9),Substances!P9,0)</f>
        <v>3.5000000000000003E-2</v>
      </c>
      <c r="Q10" s="56">
        <f>IF(ISNUMBER(Substances!Q9),Substances!Q9,0)</f>
        <v>3.5000000000000003E-2</v>
      </c>
      <c r="R10" s="56">
        <f>IF(ISNUMBER(Substances!R9),Substances!R9,0)</f>
        <v>0.4</v>
      </c>
      <c r="S10" s="56">
        <f>IF(ISNUMBER(Substances!S9),Substances!S9,0)</f>
        <v>6.3E-2</v>
      </c>
      <c r="T10" s="56">
        <f>IF(ISNUMBER(Substances!T9),Substances!T9,0)</f>
        <v>6.3E-2</v>
      </c>
      <c r="U10" s="56">
        <f>IF(ISNUMBER(Substances!U9),Substances!U9,0)</f>
        <v>3.7999999999999999E-2</v>
      </c>
      <c r="V10" s="56">
        <f>IF(ISNUMBER(Substances!V9),Substances!V9,0)</f>
        <v>1</v>
      </c>
      <c r="W10" s="56">
        <f>IF(ISNUMBER(Substances!W9),Substances!W9,0)</f>
        <v>1</v>
      </c>
      <c r="X10" s="56">
        <f>IF(ISNUMBER(Substances!X9),Substances!X9,0)</f>
        <v>9.6000000000000009E-3</v>
      </c>
      <c r="Y10" s="56">
        <f>IF(ISNUMBER(Substances!Y9),Substances!Y9,0)</f>
        <v>0.26</v>
      </c>
      <c r="Z10" s="56">
        <f>IF(ISNUMBER(Substances!Z9),Substances!Z9,0)</f>
        <v>0.26500000000000001</v>
      </c>
      <c r="AA10" s="56">
        <f>IF(ISNUMBER(Substances!AA9),Substances!AA9,0)</f>
        <v>0.1</v>
      </c>
      <c r="AB10" s="56">
        <f>IF(ISNUMBER(Substances!AB9),Substances!AB9,0)</f>
        <v>0.2</v>
      </c>
      <c r="AC10" s="56">
        <f>IF(ISNUMBER(Substances!AC9),Substances!AC9,0)</f>
        <v>0.2</v>
      </c>
      <c r="AD10" s="56">
        <f>IF(ISNUMBER(Substances!AD9),Substances!AD9,0)</f>
        <v>0.2</v>
      </c>
      <c r="AE10" s="56">
        <f>IF(ISNUMBER(Substances!AE9),Substances!AE9,0)</f>
        <v>0</v>
      </c>
      <c r="AF10" s="56">
        <f>IF(ISNUMBER(Substances!AF9),Substances!AF9,0)</f>
        <v>0</v>
      </c>
      <c r="AG10" s="56">
        <f>IF(ISNUMBER(Substances!AG9),Substances!AG9,0)</f>
        <v>18.399999999999999</v>
      </c>
      <c r="AH10" s="56">
        <f>IF(ISNUMBER(Substances!AH9),Substances!AH9,0)</f>
        <v>18.399999999999999</v>
      </c>
      <c r="AI10" s="56">
        <f>IF(ISNUMBER(Substances!AI9),Substances!AI9,0)</f>
        <v>1</v>
      </c>
      <c r="AJ10" s="56">
        <f>IF(ISNUMBER(Substances!AJ9),Substances!AJ9,0)</f>
        <v>1</v>
      </c>
      <c r="AK10" s="56">
        <f>IF(ISNUMBER(Substances!AK9),Substances!AK9,0)</f>
        <v>1</v>
      </c>
      <c r="AL10" s="56">
        <f>IF(ISNUMBER(Substances!AL9),Substances!AL9,0)</f>
        <v>0</v>
      </c>
      <c r="AM10" s="56">
        <f>IF(ISNUMBER(Substances!AM9),Substances!AM9,0)</f>
        <v>0</v>
      </c>
      <c r="AN10" s="56">
        <f>IF(ISNUMBER(Substances!AN9),Substances!AN9,0)</f>
        <v>3.0000000000000001E-3</v>
      </c>
      <c r="AO10" s="56">
        <f>IF(ISNUMBER(Substances!AO9),Substances!AO9,0)</f>
        <v>0</v>
      </c>
      <c r="AP10" s="56">
        <f>IF(ISNUMBER(Substances!AP9),Substances!AP9,0)</f>
        <v>0</v>
      </c>
      <c r="AQ10" s="56">
        <f>IF(ISNUMBER(Substances!AQ9),Substances!AQ9,0)</f>
        <v>0</v>
      </c>
      <c r="AR10" s="56">
        <f>IF(ISNUMBER(Substances!AR9),Substances!AR9,0)</f>
        <v>0</v>
      </c>
      <c r="AS10" s="56">
        <f>IF(ISNUMBER(Substances!AS9),Substances!AS9,0)</f>
        <v>0</v>
      </c>
      <c r="AT10" s="56">
        <f>IF(ISNUMBER(Substances!AT9),Substances!AT9,0)</f>
        <v>0</v>
      </c>
      <c r="AU10" s="56">
        <f>IF(ISNUMBER(Substances!AU9),Substances!AU9,0)</f>
        <v>0</v>
      </c>
      <c r="AV10" s="56">
        <f>IF(ISNUMBER(Substances!AV9),Substances!AV9,0)</f>
        <v>0</v>
      </c>
      <c r="AW10" s="56">
        <f>IF(ISNUMBER(Substances!AW9),Substances!AW9,0)</f>
        <v>0</v>
      </c>
      <c r="AX10" s="56">
        <f>IF(ISNUMBER(Substances!AX9),Substances!AX9,0)</f>
        <v>0</v>
      </c>
      <c r="AY10" s="56">
        <f>IF(ISNUMBER(Substances!AY9),Substances!AY9,0)</f>
        <v>0</v>
      </c>
      <c r="AZ10" s="56">
        <f>IF(ISNUMBER(Substances!AZ9),Substances!AZ9,0)</f>
        <v>0</v>
      </c>
      <c r="BA10" s="56">
        <f>IF(ISNUMBER(Substances!BA9),Substances!BA9,0)</f>
        <v>0</v>
      </c>
      <c r="BB10" s="56">
        <f>IF(ISNUMBER(Substances!BB9),Substances!BB9,0)</f>
        <v>0</v>
      </c>
      <c r="BC10" s="56">
        <f>IF(ISNUMBER(Substances!BC9),Substances!BC9,0)</f>
        <v>0</v>
      </c>
      <c r="BD10" s="56">
        <f>IF(ISNUMBER(Substances!BD9),Substances!BD9,0)</f>
        <v>0.02</v>
      </c>
      <c r="BE10" s="56">
        <f>IF(ISNUMBER(Substances!BE9),Substances!BE9,0)</f>
        <v>5.0000000000000001E-4</v>
      </c>
      <c r="BF10" s="56">
        <f>IF(ISNUMBER(Substances!BF9),Substances!BF9,0)</f>
        <v>1E-3</v>
      </c>
      <c r="BG10" s="56">
        <f>IF(ISNUMBER(Substances!BG9),Substances!BG9,0)</f>
        <v>3.0000000000000001E-5</v>
      </c>
      <c r="BH10" s="56">
        <f>IF(ISNUMBER(Substances!BH9),Substances!BH9,0)</f>
        <v>3.1578947368421058E-4</v>
      </c>
      <c r="BI10" s="56">
        <f>IF(ISNUMBER(Substances!BI9),Substances!BI9,0)</f>
        <v>8.0000000000000004E-4</v>
      </c>
    </row>
    <row r="11" spans="1:71">
      <c r="A11" s="148"/>
      <c r="E11" s="201" t="str">
        <f>Substances!E14</f>
        <v>Exposition pendant la  "vie entière"</v>
      </c>
      <c r="F11" s="147" t="str">
        <f>Substances!F14</f>
        <v>ERU,c</v>
      </c>
      <c r="G11" s="146" t="str">
        <f>Substances!G14</f>
        <v>(mg/m3)-1</v>
      </c>
      <c r="H11" s="56">
        <f>IF(ISNUMBER(Substances!H14),Substances!H14,0)</f>
        <v>0</v>
      </c>
      <c r="I11" s="56">
        <f>IF(ISNUMBER(Substances!I14),Substances!I14,0)</f>
        <v>0</v>
      </c>
      <c r="J11" s="56">
        <f>IF(ISNUMBER(Substances!J14),Substances!J14,0)</f>
        <v>0</v>
      </c>
      <c r="K11" s="56">
        <f>IF(ISNUMBER(Substances!K14),Substances!K14,0)</f>
        <v>1E-3</v>
      </c>
      <c r="L11" s="56">
        <f>IF(ISNUMBER(Substances!L14),Substances!L14,0)</f>
        <v>0</v>
      </c>
      <c r="M11" s="56">
        <f>IF(ISNUMBER(Substances!M14),Substances!M14,0)</f>
        <v>0</v>
      </c>
      <c r="N11" s="56">
        <f>IF(ISNUMBER(Substances!N14),Substances!N14,0)</f>
        <v>2E-3</v>
      </c>
      <c r="O11" s="56">
        <f>IF(ISNUMBER(Substances!O14),Substances!O14,0)</f>
        <v>2E-3</v>
      </c>
      <c r="P11" s="56">
        <f>IF(ISNUMBER(Substances!P14),Substances!P14,0)</f>
        <v>5.8999999999999999E-3</v>
      </c>
      <c r="Q11" s="56">
        <f>IF(ISNUMBER(Substances!Q14),Substances!Q14,0)</f>
        <v>5.8999999999999999E-3</v>
      </c>
      <c r="R11" s="56">
        <f>IF(ISNUMBER(Substances!R14),Substances!R14,0)</f>
        <v>1E-3</v>
      </c>
      <c r="S11" s="56">
        <f>IF(ISNUMBER(Substances!S14),Substances!S14,0)</f>
        <v>2.3E-2</v>
      </c>
      <c r="T11" s="56">
        <f>IF(ISNUMBER(Substances!T14),Substances!T14,0)</f>
        <v>2.3E-2</v>
      </c>
      <c r="U11" s="56">
        <f>IF(ISNUMBER(Substances!U14),Substances!U14,0)</f>
        <v>4.2000000000000003E-2</v>
      </c>
      <c r="V11" s="56">
        <f>IF(ISNUMBER(Substances!V14),Substances!V14,0)</f>
        <v>0</v>
      </c>
      <c r="W11" s="56">
        <f>IF(ISNUMBER(Substances!W14),Substances!W14,0)</f>
        <v>0</v>
      </c>
      <c r="X11" s="56">
        <f>IF(ISNUMBER(Substances!X14),Substances!X14,0)</f>
        <v>6.0000000000000001E-3</v>
      </c>
      <c r="Y11" s="56">
        <f>IF(ISNUMBER(Substances!Y14),Substances!Y14,0)</f>
        <v>0</v>
      </c>
      <c r="Z11" s="56">
        <f>IF(ISNUMBER(Substances!Z14),Substances!Z14,0)</f>
        <v>2.5000000000000001E-3</v>
      </c>
      <c r="AA11" s="56">
        <f>IF(ISNUMBER(Substances!AA14),Substances!AA14,0)</f>
        <v>0</v>
      </c>
      <c r="AB11" s="56">
        <f>IF(ISNUMBER(Substances!AB14),Substances!AB14,0)</f>
        <v>0</v>
      </c>
      <c r="AC11" s="56">
        <f>IF(ISNUMBER(Substances!AC14),Substances!AC14,0)</f>
        <v>0</v>
      </c>
      <c r="AD11" s="56">
        <f>IF(ISNUMBER(Substances!AD14),Substances!AD14,0)</f>
        <v>0</v>
      </c>
      <c r="AE11" s="56">
        <f>IF(ISNUMBER(Substances!AE14),Substances!AE14,0)</f>
        <v>0</v>
      </c>
      <c r="AF11" s="56">
        <f>IF(ISNUMBER(Substances!AF14),Substances!AF14,0)</f>
        <v>0</v>
      </c>
      <c r="AG11" s="56">
        <f>IF(ISNUMBER(Substances!AG14),Substances!AG14,0)</f>
        <v>0</v>
      </c>
      <c r="AH11" s="56">
        <f>IF(ISNUMBER(Substances!AH14),Substances!AH14,0)</f>
        <v>0</v>
      </c>
      <c r="AI11" s="56">
        <f>IF(ISNUMBER(Substances!AI14),Substances!AI14,0)</f>
        <v>0</v>
      </c>
      <c r="AJ11" s="56">
        <f>IF(ISNUMBER(Substances!AJ14),Substances!AJ14,0)</f>
        <v>0</v>
      </c>
      <c r="AK11" s="56">
        <f>IF(ISNUMBER(Substances!AK14),Substances!AK14,0)</f>
        <v>0</v>
      </c>
      <c r="AL11" s="56">
        <f>IF(ISNUMBER(Substances!AL14),Substances!AL14,0)</f>
        <v>0</v>
      </c>
      <c r="AM11" s="56">
        <f>IF(ISNUMBER(Substances!AM14),Substances!AM14,0)</f>
        <v>0</v>
      </c>
      <c r="AN11" s="56">
        <f>IF(ISNUMBER(Substances!AN14),Substances!AN14,0)</f>
        <v>3.4000000000000002E-2</v>
      </c>
      <c r="AO11" s="56">
        <f>IF(ISNUMBER(Substances!AO14),Substances!AO14,0)</f>
        <v>1.1000000000000001E-3</v>
      </c>
      <c r="AP11" s="56">
        <f>IF(ISNUMBER(Substances!AP14),Substances!AP14,0)</f>
        <v>1.1000000000000001E-3</v>
      </c>
      <c r="AQ11" s="56">
        <f>IF(ISNUMBER(Substances!AQ14),Substances!AQ14,0)</f>
        <v>1.1000000000000001E-3</v>
      </c>
      <c r="AR11" s="56">
        <f>IF(ISNUMBER(Substances!AR14),Substances!AR14,0)</f>
        <v>1.1000000000000001E-3</v>
      </c>
      <c r="AS11" s="56">
        <f>IF(ISNUMBER(Substances!AS14),Substances!AS14,0)</f>
        <v>1.1000000000000001E-2</v>
      </c>
      <c r="AT11" s="56">
        <f>IF(ISNUMBER(Substances!AT14),Substances!AT14,0)</f>
        <v>1.1000000000000001E-3</v>
      </c>
      <c r="AU11" s="56">
        <f>IF(ISNUMBER(Substances!AU14),Substances!AU14,0)</f>
        <v>1.1000000000000001E-3</v>
      </c>
      <c r="AV11" s="56">
        <f>IF(ISNUMBER(Substances!AV14),Substances!AV14,0)</f>
        <v>0.11000000000000001</v>
      </c>
      <c r="AW11" s="56">
        <f>IF(ISNUMBER(Substances!AW14),Substances!AW14,0)</f>
        <v>1.1000000000000001E-2</v>
      </c>
      <c r="AX11" s="56">
        <f>IF(ISNUMBER(Substances!AX14),Substances!AX14,0)</f>
        <v>0.11000000000000001</v>
      </c>
      <c r="AY11" s="56">
        <f>IF(ISNUMBER(Substances!AY14),Substances!AY14,0)</f>
        <v>0.11000000000000001</v>
      </c>
      <c r="AZ11" s="56">
        <f>IF(ISNUMBER(Substances!AZ14),Substances!AZ14,0)</f>
        <v>1.1000000000000001</v>
      </c>
      <c r="BA11" s="56">
        <f>IF(ISNUMBER(Substances!BA14),Substances!BA14,0)</f>
        <v>1.1000000000000001</v>
      </c>
      <c r="BB11" s="56">
        <f>IF(ISNUMBER(Substances!BB14),Substances!BB14,0)</f>
        <v>1.1000000000000001E-2</v>
      </c>
      <c r="BC11" s="56">
        <f>IF(ISNUMBER(Substances!BC14),Substances!BC14,0)</f>
        <v>0.11000000000000001</v>
      </c>
      <c r="BD11" s="56">
        <f>IF(ISNUMBER(Substances!BD14),Substances!BD14,0)</f>
        <v>0</v>
      </c>
      <c r="BE11" s="56">
        <f>IF(ISNUMBER(Substances!BE14),Substances!BE14,0)</f>
        <v>1.1399999999999999</v>
      </c>
      <c r="BF11" s="56">
        <f>IF(ISNUMBER(Substances!BF14),Substances!BF14,0)</f>
        <v>0.56999999999999995</v>
      </c>
      <c r="BG11" s="56">
        <f>IF(ISNUMBER(Substances!BG14),Substances!BG14,0)</f>
        <v>0</v>
      </c>
      <c r="BH11" s="56">
        <f>IF(ISNUMBER(Substances!BH14),Substances!BH14,0)</f>
        <v>0</v>
      </c>
      <c r="BI11" s="56">
        <f>IF(ISNUMBER(Substances!BI14),Substances!BI14,0)</f>
        <v>0</v>
      </c>
    </row>
    <row r="12" spans="1:71">
      <c r="A12" s="148"/>
      <c r="E12" s="201" t="str">
        <f>Substances!E15</f>
        <v>Exposition pendant "vie adulte" seule</v>
      </c>
      <c r="F12" s="147" t="str">
        <f>Substances!F15</f>
        <v>ERU,c</v>
      </c>
      <c r="G12" s="146" t="str">
        <f>Substances!G15</f>
        <v>(mg/m3)-1</v>
      </c>
      <c r="H12" s="56">
        <f>IF(ISNUMBER(Substances!H15),Substances!H15,0)</f>
        <v>0</v>
      </c>
      <c r="I12" s="56">
        <f>IF(ISNUMBER(Substances!I15),Substances!I15,0)</f>
        <v>0</v>
      </c>
      <c r="J12" s="56">
        <f>IF(ISNUMBER(Substances!J15),Substances!J15,0)</f>
        <v>0</v>
      </c>
      <c r="K12" s="56">
        <f>IF(ISNUMBER(Substances!K15),Substances!K15,0)</f>
        <v>1E-3</v>
      </c>
      <c r="L12" s="56">
        <f>IF(ISNUMBER(Substances!L15),Substances!L15,0)</f>
        <v>0</v>
      </c>
      <c r="M12" s="56">
        <f>IF(ISNUMBER(Substances!M15),Substances!M15,0)</f>
        <v>0</v>
      </c>
      <c r="N12" s="56">
        <f>IF(ISNUMBER(Substances!N15),Substances!N15,0)</f>
        <v>2E-3</v>
      </c>
      <c r="O12" s="56">
        <f>IF(ISNUMBER(Substances!O15),Substances!O15,0)</f>
        <v>2E-3</v>
      </c>
      <c r="P12" s="56">
        <f>IF(ISNUMBER(Substances!P15),Substances!P15,0)</f>
        <v>5.8999999999999999E-3</v>
      </c>
      <c r="Q12" s="56">
        <f>IF(ISNUMBER(Substances!Q15),Substances!Q15,0)</f>
        <v>5.8999999999999999E-3</v>
      </c>
      <c r="R12" s="56">
        <f>IF(ISNUMBER(Substances!R15),Substances!R15,0)</f>
        <v>1E-3</v>
      </c>
      <c r="S12" s="56">
        <f>IF(ISNUMBER(Substances!S15),Substances!S15,0)</f>
        <v>2.3E-2</v>
      </c>
      <c r="T12" s="56">
        <f>IF(ISNUMBER(Substances!T15),Substances!T15,0)</f>
        <v>2.3E-2</v>
      </c>
      <c r="U12" s="56">
        <f>IF(ISNUMBER(Substances!U15),Substances!U15,0)</f>
        <v>4.2000000000000003E-2</v>
      </c>
      <c r="V12" s="56">
        <f>IF(ISNUMBER(Substances!V15),Substances!V15,0)</f>
        <v>0</v>
      </c>
      <c r="W12" s="56">
        <f>IF(ISNUMBER(Substances!W15),Substances!W15,0)</f>
        <v>0</v>
      </c>
      <c r="X12" s="56">
        <f>IF(ISNUMBER(Substances!X15),Substances!X15,0)</f>
        <v>6.0000000000000001E-3</v>
      </c>
      <c r="Y12" s="56">
        <f>IF(ISNUMBER(Substances!Y15),Substances!Y15,0)</f>
        <v>0</v>
      </c>
      <c r="Z12" s="56">
        <f>IF(ISNUMBER(Substances!Z15),Substances!Z15,0)</f>
        <v>2.5000000000000001E-3</v>
      </c>
      <c r="AA12" s="56">
        <f>IF(ISNUMBER(Substances!AA15),Substances!AA15,0)</f>
        <v>0</v>
      </c>
      <c r="AB12" s="56">
        <f>IF(ISNUMBER(Substances!AB15),Substances!AB15,0)</f>
        <v>0</v>
      </c>
      <c r="AC12" s="56">
        <f>IF(ISNUMBER(Substances!AC15),Substances!AC15,0)</f>
        <v>0</v>
      </c>
      <c r="AD12" s="56">
        <f>IF(ISNUMBER(Substances!AD15),Substances!AD15,0)</f>
        <v>0</v>
      </c>
      <c r="AE12" s="56">
        <f>IF(ISNUMBER(Substances!AE15),Substances!AE15,0)</f>
        <v>0</v>
      </c>
      <c r="AF12" s="56">
        <f>IF(ISNUMBER(Substances!AF15),Substances!AF15,0)</f>
        <v>0</v>
      </c>
      <c r="AG12" s="56">
        <f>IF(ISNUMBER(Substances!AG15),Substances!AG15,0)</f>
        <v>0</v>
      </c>
      <c r="AH12" s="56">
        <f>IF(ISNUMBER(Substances!AH15),Substances!AH15,0)</f>
        <v>0</v>
      </c>
      <c r="AI12" s="56">
        <f>IF(ISNUMBER(Substances!AI15),Substances!AI15,0)</f>
        <v>0</v>
      </c>
      <c r="AJ12" s="56">
        <f>IF(ISNUMBER(Substances!AJ15),Substances!AJ15,0)</f>
        <v>0</v>
      </c>
      <c r="AK12" s="56">
        <f>IF(ISNUMBER(Substances!AK15),Substances!AK15,0)</f>
        <v>0</v>
      </c>
      <c r="AL12" s="56">
        <f>IF(ISNUMBER(Substances!AL15),Substances!AL15,0)</f>
        <v>0</v>
      </c>
      <c r="AM12" s="56">
        <f>IF(ISNUMBER(Substances!AM15),Substances!AM15,0)</f>
        <v>0</v>
      </c>
      <c r="AN12" s="56">
        <f>IF(ISNUMBER(Substances!AN15),Substances!AN15,0)</f>
        <v>3.4000000000000002E-2</v>
      </c>
      <c r="AO12" s="56">
        <f>IF(ISNUMBER(Substances!AO15),Substances!AO15,0)</f>
        <v>1.1000000000000001E-3</v>
      </c>
      <c r="AP12" s="56">
        <f>IF(ISNUMBER(Substances!AP15),Substances!AP15,0)</f>
        <v>1.1000000000000001E-3</v>
      </c>
      <c r="AQ12" s="56">
        <f>IF(ISNUMBER(Substances!AQ15),Substances!AQ15,0)</f>
        <v>1.1000000000000001E-3</v>
      </c>
      <c r="AR12" s="56">
        <f>IF(ISNUMBER(Substances!AR15),Substances!AR15,0)</f>
        <v>1.1000000000000001E-3</v>
      </c>
      <c r="AS12" s="56">
        <f>IF(ISNUMBER(Substances!AS15),Substances!AS15,0)</f>
        <v>1.1000000000000001E-2</v>
      </c>
      <c r="AT12" s="56">
        <f>IF(ISNUMBER(Substances!AT15),Substances!AT15,0)</f>
        <v>1.1000000000000001E-3</v>
      </c>
      <c r="AU12" s="56">
        <f>IF(ISNUMBER(Substances!AU15),Substances!AU15,0)</f>
        <v>1.1000000000000001E-3</v>
      </c>
      <c r="AV12" s="56">
        <f>IF(ISNUMBER(Substances!AV15),Substances!AV15,0)</f>
        <v>0.11000000000000001</v>
      </c>
      <c r="AW12" s="56">
        <f>IF(ISNUMBER(Substances!AW15),Substances!AW15,0)</f>
        <v>1.1000000000000001E-2</v>
      </c>
      <c r="AX12" s="56">
        <f>IF(ISNUMBER(Substances!AX15),Substances!AX15,0)</f>
        <v>0.11000000000000001</v>
      </c>
      <c r="AY12" s="56">
        <f>IF(ISNUMBER(Substances!AY15),Substances!AY15,0)</f>
        <v>0.11000000000000001</v>
      </c>
      <c r="AZ12" s="56">
        <f>IF(ISNUMBER(Substances!AZ15),Substances!AZ15,0)</f>
        <v>1.1000000000000001</v>
      </c>
      <c r="BA12" s="56">
        <f>IF(ISNUMBER(Substances!BA15),Substances!BA15,0)</f>
        <v>1.1000000000000001</v>
      </c>
      <c r="BB12" s="56">
        <f>IF(ISNUMBER(Substances!BB15),Substances!BB15,0)</f>
        <v>1.1000000000000001E-2</v>
      </c>
      <c r="BC12" s="56">
        <f>IF(ISNUMBER(Substances!BC15),Substances!BC15,0)</f>
        <v>0.11000000000000001</v>
      </c>
      <c r="BD12" s="56">
        <f>IF(ISNUMBER(Substances!BD15),Substances!BD15,0)</f>
        <v>0</v>
      </c>
      <c r="BE12" s="56">
        <f>IF(ISNUMBER(Substances!BE15),Substances!BE15,0)</f>
        <v>0.22</v>
      </c>
      <c r="BF12" s="56">
        <f>IF(ISNUMBER(Substances!BF15),Substances!BF15,0)</f>
        <v>0.11</v>
      </c>
      <c r="BG12" s="56">
        <f>IF(ISNUMBER(Substances!BG15),Substances!BG15,0)</f>
        <v>0</v>
      </c>
      <c r="BH12" s="56">
        <f>IF(ISNUMBER(Substances!BH15),Substances!BH15,0)</f>
        <v>0</v>
      </c>
      <c r="BI12" s="56">
        <f>IF(ISNUMBER(Substances!BI15),Substances!BI15,0)</f>
        <v>0</v>
      </c>
    </row>
    <row r="13" spans="1:71">
      <c r="A13" s="148"/>
      <c r="B13" s="16"/>
      <c r="E13" s="201" t="str">
        <f>'3phas'!E31</f>
        <v>Seuil de détection olfactive retenu</v>
      </c>
      <c r="F13" s="147"/>
      <c r="G13" s="146" t="str">
        <f>'3phas'!G31</f>
        <v>mg/l</v>
      </c>
      <c r="H13" s="56">
        <f>Substances!H71/1000</f>
        <v>0</v>
      </c>
      <c r="I13" s="56">
        <f>Substances!I71/1000</f>
        <v>0</v>
      </c>
      <c r="J13" s="56">
        <f>Substances!J71/1000</f>
        <v>0</v>
      </c>
      <c r="K13" s="56">
        <f>Substances!K71/1000</f>
        <v>2.5999999999999999E-2</v>
      </c>
      <c r="L13" s="56">
        <f>Substances!L71/1000</f>
        <v>6.8492113758392897E-2</v>
      </c>
      <c r="M13" s="56">
        <f>Substances!M71/1000</f>
        <v>6.8492113758392897E-2</v>
      </c>
      <c r="N13" s="56">
        <f>Substances!N71/1000</f>
        <v>0.15290052497483389</v>
      </c>
      <c r="O13" s="56">
        <f>Substances!O71/1000</f>
        <v>0.15290052497483389</v>
      </c>
      <c r="P13" s="56">
        <f>Substances!P71/1000</f>
        <v>0.18608676990191991</v>
      </c>
      <c r="Q13" s="56">
        <f>Substances!Q71/1000</f>
        <v>0.18608676990191991</v>
      </c>
      <c r="R13" s="56">
        <f>Substances!R71/1000</f>
        <v>8.8244930483080949E-2</v>
      </c>
      <c r="S13" s="56">
        <f>Substances!S71/1000</f>
        <v>1.1907797726395141E-2</v>
      </c>
      <c r="T13" s="56">
        <f>Substances!T71/1000</f>
        <v>1.1907797726395141E-2</v>
      </c>
      <c r="U13" s="56">
        <f>Substances!U71/1000</f>
        <v>0.61372338625367762</v>
      </c>
      <c r="V13" s="56">
        <f>Substances!V71/1000</f>
        <v>0.55451023784540954</v>
      </c>
      <c r="W13" s="56">
        <f>Substances!W71/1000</f>
        <v>0.55451023784540954</v>
      </c>
      <c r="X13" s="56">
        <f>Substances!X71/1000</f>
        <v>1.5171519803859114E-2</v>
      </c>
      <c r="Y13" s="56">
        <f>Substances!Y71/1000</f>
        <v>9.3512819303865364E-3</v>
      </c>
      <c r="Z13" s="56">
        <f>Substances!Z71/1000</f>
        <v>9.7502699594163612E-3</v>
      </c>
      <c r="AA13" s="56">
        <f>Substances!AA71/1000</f>
        <v>2.9674734659093275E-4</v>
      </c>
      <c r="AB13" s="56">
        <f>Substances!AB71/1000</f>
        <v>1.700989929130119E-3</v>
      </c>
      <c r="AC13" s="56">
        <f>Substances!AC71/1000</f>
        <v>4.4752991011166664E-4</v>
      </c>
      <c r="AD13" s="56">
        <f>Substances!AD71/1000</f>
        <v>4.4752991011166664E-4</v>
      </c>
      <c r="AE13" s="56">
        <f>Substances!AE71/1000</f>
        <v>4.4752991011166664E-4</v>
      </c>
      <c r="AF13" s="56">
        <f>Substances!AF71/1000</f>
        <v>4.4752991011166664E-4</v>
      </c>
      <c r="AG13" s="56">
        <f>Substances!AG71/1000</f>
        <v>3.8961519477556314E-2</v>
      </c>
      <c r="AH13" s="56">
        <f>Substances!AH71/1000</f>
        <v>0.22177300066000147</v>
      </c>
      <c r="AI13" s="56">
        <f>Substances!AI71/1000</f>
        <v>1.7934328596324246E-2</v>
      </c>
      <c r="AJ13" s="56">
        <f>Substances!AJ71/1000</f>
        <v>6.8826702272583723E-3</v>
      </c>
      <c r="AK13" s="56">
        <f>Substances!AK71/1000</f>
        <v>3.7999999999999999E-2</v>
      </c>
      <c r="AL13" s="56">
        <f>Substances!AL71/1000</f>
        <v>3.7999999999999999E-2</v>
      </c>
      <c r="AM13" s="56">
        <f>Substances!AM71/1000</f>
        <v>3.7999999999999999E-2</v>
      </c>
      <c r="AN13" s="56">
        <f>Substances!AN71/1000</f>
        <v>4.4752991011166664E-4</v>
      </c>
      <c r="AO13" s="56">
        <f>Substances!AO71/1000</f>
        <v>4.4752991011166664E-4</v>
      </c>
      <c r="AP13" s="56">
        <f>Substances!AP71/1000</f>
        <v>4.4752991011166664E-4</v>
      </c>
      <c r="AQ13" s="56">
        <f>Substances!AQ71/1000</f>
        <v>4.4752991011166664E-4</v>
      </c>
      <c r="AR13" s="56">
        <f>Substances!AR71/1000</f>
        <v>4.4752991011166664E-4</v>
      </c>
      <c r="AS13" s="56">
        <f>Substances!AS71/1000</f>
        <v>4.4752991011166664E-4</v>
      </c>
      <c r="AT13" s="56">
        <f>Substances!AT71/1000</f>
        <v>4.4752991011166664E-4</v>
      </c>
      <c r="AU13" s="56">
        <f>Substances!AU71/1000</f>
        <v>4.4752991011166664E-4</v>
      </c>
      <c r="AV13" s="56">
        <f>Substances!AV71/1000</f>
        <v>4.4752991011166664E-4</v>
      </c>
      <c r="AW13" s="56">
        <f>Substances!AW71/1000</f>
        <v>4.4752991011166664E-4</v>
      </c>
      <c r="AX13" s="56">
        <f>Substances!AX71/1000</f>
        <v>4.4752991011166664E-4</v>
      </c>
      <c r="AY13" s="56">
        <f>Substances!AY71/1000</f>
        <v>4.4752991011166664E-4</v>
      </c>
      <c r="AZ13" s="56">
        <f>Substances!AZ71/1000</f>
        <v>4.4752991011166664E-4</v>
      </c>
      <c r="BA13" s="56">
        <f>Substances!BA71/1000</f>
        <v>4.4752991011166664E-4</v>
      </c>
      <c r="BB13" s="56">
        <f>Substances!BB71/1000</f>
        <v>4.4752991011166664E-4</v>
      </c>
      <c r="BC13" s="56">
        <f>Substances!BC71/1000</f>
        <v>4.4752991011166664E-4</v>
      </c>
      <c r="BD13" s="56">
        <f>Substances!BD71/1000</f>
        <v>1.5645318088332034E-4</v>
      </c>
      <c r="BE13" s="56">
        <f>Substances!BE71/1000</f>
        <v>0</v>
      </c>
      <c r="BF13" s="56">
        <f>Substances!BF71/1000</f>
        <v>0</v>
      </c>
      <c r="BG13" s="56">
        <f>Substances!BG71/1000</f>
        <v>0</v>
      </c>
      <c r="BH13" s="56">
        <f>Substances!BH71/1000</f>
        <v>0</v>
      </c>
      <c r="BI13" s="56">
        <f>Substances!BI71/1000</f>
        <v>0</v>
      </c>
    </row>
    <row r="14" spans="1:71">
      <c r="A14" s="148"/>
      <c r="B14" s="16"/>
      <c r="E14" s="201"/>
      <c r="F14" s="147"/>
      <c r="G14" s="14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row>
    <row r="15" spans="1:71" s="26" customFormat="1">
      <c r="A15" s="398"/>
      <c r="B15" s="27"/>
      <c r="C15" s="3958" t="s">
        <v>1269</v>
      </c>
      <c r="D15" s="195"/>
      <c r="E15" s="103" t="s">
        <v>987</v>
      </c>
      <c r="F15" s="62" t="s">
        <v>492</v>
      </c>
      <c r="G15" s="105"/>
      <c r="H15" s="113">
        <v>0.2</v>
      </c>
      <c r="I15" s="113">
        <v>0.2</v>
      </c>
      <c r="J15" s="113">
        <v>0.2</v>
      </c>
      <c r="K15" s="113">
        <v>0.2</v>
      </c>
      <c r="L15" s="113">
        <v>0.2</v>
      </c>
      <c r="M15" s="113">
        <v>0.2</v>
      </c>
      <c r="N15" s="113">
        <v>0.2</v>
      </c>
      <c r="O15" s="113">
        <v>0.2</v>
      </c>
      <c r="P15" s="113">
        <v>0.2</v>
      </c>
      <c r="Q15" s="113">
        <v>0.2</v>
      </c>
      <c r="R15" s="113">
        <v>0.2</v>
      </c>
      <c r="S15" s="113">
        <v>0.2</v>
      </c>
      <c r="T15" s="113">
        <v>0.2</v>
      </c>
      <c r="U15" s="113">
        <v>0.2</v>
      </c>
      <c r="V15" s="113">
        <v>0.2</v>
      </c>
      <c r="W15" s="113">
        <v>0.2</v>
      </c>
      <c r="X15" s="113">
        <v>0.2</v>
      </c>
      <c r="Y15" s="113">
        <v>0.2</v>
      </c>
      <c r="Z15" s="113">
        <v>0.2</v>
      </c>
      <c r="AA15" s="113">
        <v>0.2</v>
      </c>
      <c r="AB15" s="113">
        <v>0.2</v>
      </c>
      <c r="AC15" s="113">
        <v>0.2</v>
      </c>
      <c r="AD15" s="113">
        <v>0.2</v>
      </c>
      <c r="AE15" s="113">
        <v>0.2</v>
      </c>
      <c r="AF15" s="113">
        <v>0.2</v>
      </c>
      <c r="AG15" s="113">
        <v>0.2</v>
      </c>
      <c r="AH15" s="113">
        <v>0.2</v>
      </c>
      <c r="AI15" s="113">
        <v>0.2</v>
      </c>
      <c r="AJ15" s="113">
        <v>0.2</v>
      </c>
      <c r="AK15" s="113">
        <v>0.2</v>
      </c>
      <c r="AL15" s="113">
        <v>0.2</v>
      </c>
      <c r="AM15" s="113">
        <v>0.2</v>
      </c>
      <c r="AN15" s="113">
        <v>0.2</v>
      </c>
      <c r="AO15" s="113">
        <v>0.2</v>
      </c>
      <c r="AP15" s="113">
        <v>0.2</v>
      </c>
      <c r="AQ15" s="113">
        <v>0.2</v>
      </c>
      <c r="AR15" s="113">
        <v>0.2</v>
      </c>
      <c r="AS15" s="113">
        <v>0.2</v>
      </c>
      <c r="AT15" s="113">
        <v>0.2</v>
      </c>
      <c r="AU15" s="113">
        <v>0.2</v>
      </c>
      <c r="AV15" s="113">
        <v>0.2</v>
      </c>
      <c r="AW15" s="113">
        <v>0.2</v>
      </c>
      <c r="AX15" s="113">
        <v>0.2</v>
      </c>
      <c r="AY15" s="113">
        <v>0.2</v>
      </c>
      <c r="AZ15" s="113">
        <v>0.2</v>
      </c>
      <c r="BA15" s="113">
        <v>0.2</v>
      </c>
      <c r="BB15" s="113">
        <v>0.2</v>
      </c>
      <c r="BC15" s="113">
        <v>0.2</v>
      </c>
      <c r="BD15" s="113">
        <v>0.2</v>
      </c>
      <c r="BE15" s="113">
        <v>0.2</v>
      </c>
      <c r="BF15" s="113">
        <v>0.2</v>
      </c>
      <c r="BG15" s="113">
        <v>0.2</v>
      </c>
      <c r="BH15" s="113">
        <v>0.2</v>
      </c>
      <c r="BI15" s="113">
        <v>0.2</v>
      </c>
    </row>
    <row r="16" spans="1:71" s="26" customFormat="1">
      <c r="A16" s="398"/>
      <c r="B16" s="27"/>
      <c r="C16" s="138"/>
      <c r="D16" s="195"/>
      <c r="E16" s="103" t="s">
        <v>990</v>
      </c>
      <c r="F16" s="62" t="s">
        <v>213</v>
      </c>
      <c r="G16" s="105"/>
      <c r="H16" s="113">
        <v>9.9999999999999995E-7</v>
      </c>
      <c r="I16" s="113">
        <v>9.9999999999999995E-7</v>
      </c>
      <c r="J16" s="113">
        <v>9.9999999999999995E-7</v>
      </c>
      <c r="K16" s="113">
        <v>9.9999999999999995E-7</v>
      </c>
      <c r="L16" s="113">
        <v>9.9999999999999995E-7</v>
      </c>
      <c r="M16" s="113">
        <v>9.9999999999999995E-7</v>
      </c>
      <c r="N16" s="113">
        <v>9.9999999999999995E-7</v>
      </c>
      <c r="O16" s="113">
        <v>9.9999999999999995E-7</v>
      </c>
      <c r="P16" s="113">
        <v>9.9999999999999995E-7</v>
      </c>
      <c r="Q16" s="113">
        <v>9.9999999999999995E-7</v>
      </c>
      <c r="R16" s="113">
        <v>9.9999999999999995E-7</v>
      </c>
      <c r="S16" s="113">
        <v>9.9999999999999995E-7</v>
      </c>
      <c r="T16" s="113">
        <v>9.9999999999999995E-7</v>
      </c>
      <c r="U16" s="113">
        <v>9.9999999999999995E-7</v>
      </c>
      <c r="V16" s="113">
        <v>9.9999999999999995E-7</v>
      </c>
      <c r="W16" s="113">
        <v>9.9999999999999995E-7</v>
      </c>
      <c r="X16" s="113">
        <v>9.9999999999999995E-7</v>
      </c>
      <c r="Y16" s="113">
        <v>9.9999999999999995E-7</v>
      </c>
      <c r="Z16" s="113">
        <v>9.9999999999999995E-7</v>
      </c>
      <c r="AA16" s="113">
        <v>9.9999999999999995E-7</v>
      </c>
      <c r="AB16" s="113">
        <v>9.9999999999999995E-7</v>
      </c>
      <c r="AC16" s="113">
        <v>9.9999999999999995E-7</v>
      </c>
      <c r="AD16" s="113">
        <v>9.9999999999999995E-7</v>
      </c>
      <c r="AE16" s="113">
        <v>9.9999999999999995E-7</v>
      </c>
      <c r="AF16" s="113">
        <v>9.9999999999999995E-7</v>
      </c>
      <c r="AG16" s="113">
        <v>9.9999999999999995E-7</v>
      </c>
      <c r="AH16" s="113">
        <v>9.9999999999999995E-7</v>
      </c>
      <c r="AI16" s="113">
        <v>9.9999999999999995E-7</v>
      </c>
      <c r="AJ16" s="113">
        <v>9.9999999999999995E-7</v>
      </c>
      <c r="AK16" s="113">
        <v>9.9999999999999995E-7</v>
      </c>
      <c r="AL16" s="113">
        <v>9.9999999999999995E-7</v>
      </c>
      <c r="AM16" s="113">
        <v>9.9999999999999995E-7</v>
      </c>
      <c r="AN16" s="113">
        <v>9.9999999999999995E-7</v>
      </c>
      <c r="AO16" s="113">
        <v>9.9999999999999995E-7</v>
      </c>
      <c r="AP16" s="113">
        <v>9.9999999999999995E-7</v>
      </c>
      <c r="AQ16" s="113">
        <v>9.9999999999999995E-7</v>
      </c>
      <c r="AR16" s="113">
        <v>9.9999999999999995E-7</v>
      </c>
      <c r="AS16" s="113">
        <v>9.9999999999999995E-7</v>
      </c>
      <c r="AT16" s="113">
        <v>9.9999999999999995E-7</v>
      </c>
      <c r="AU16" s="113">
        <v>9.9999999999999995E-7</v>
      </c>
      <c r="AV16" s="113">
        <v>9.9999999999999995E-7</v>
      </c>
      <c r="AW16" s="113">
        <v>9.9999999999999995E-7</v>
      </c>
      <c r="AX16" s="113">
        <v>9.9999999999999995E-7</v>
      </c>
      <c r="AY16" s="113">
        <v>9.9999999999999995E-7</v>
      </c>
      <c r="AZ16" s="113">
        <v>9.9999999999999995E-7</v>
      </c>
      <c r="BA16" s="113">
        <v>9.9999999999999995E-7</v>
      </c>
      <c r="BB16" s="113">
        <v>9.9999999999999995E-7</v>
      </c>
      <c r="BC16" s="113">
        <v>9.9999999999999995E-7</v>
      </c>
      <c r="BD16" s="113">
        <v>9.9999999999999995E-7</v>
      </c>
      <c r="BE16" s="113">
        <v>9.9999999999999995E-7</v>
      </c>
      <c r="BF16" s="113">
        <v>9.9999999999999995E-7</v>
      </c>
      <c r="BG16" s="113">
        <v>9.9999999999999995E-7</v>
      </c>
      <c r="BH16" s="113">
        <v>9.9999999999999995E-7</v>
      </c>
      <c r="BI16" s="113">
        <v>9.9999999999999995E-7</v>
      </c>
    </row>
    <row r="17" spans="1:61" s="26" customFormat="1">
      <c r="A17" s="398"/>
      <c r="B17" s="27"/>
      <c r="C17" s="138"/>
      <c r="D17" s="195"/>
      <c r="E17" s="103"/>
      <c r="F17" s="62"/>
      <c r="G17" s="105"/>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row>
    <row r="18" spans="1:61" s="26" customFormat="1">
      <c r="A18" s="398"/>
      <c r="B18" s="27"/>
      <c r="C18" s="138"/>
      <c r="D18" s="195"/>
      <c r="E18" s="103" t="s">
        <v>304</v>
      </c>
      <c r="F18" s="14" t="str">
        <f>'3phas'!F14</f>
        <v>Cs</v>
      </c>
      <c r="G18" s="105" t="str">
        <f>'3phas'!G14</f>
        <v>mg/kg ms</v>
      </c>
      <c r="H18" s="113">
        <f>'3phas'!H14</f>
        <v>0.01</v>
      </c>
      <c r="I18" s="113">
        <f>'3phas'!I14</f>
        <v>0.01</v>
      </c>
      <c r="J18" s="113">
        <f>'3phas'!J14</f>
        <v>0.01</v>
      </c>
      <c r="K18" s="113">
        <f>'3phas'!K14</f>
        <v>0.01</v>
      </c>
      <c r="L18" s="113">
        <f>'3phas'!L14</f>
        <v>0.01</v>
      </c>
      <c r="M18" s="113">
        <f>'3phas'!M14</f>
        <v>0.01</v>
      </c>
      <c r="N18" s="113">
        <f>'3phas'!N14</f>
        <v>0.01</v>
      </c>
      <c r="O18" s="113">
        <f>'3phas'!O14</f>
        <v>0.01</v>
      </c>
      <c r="P18" s="113">
        <f>'3phas'!P14</f>
        <v>0.01</v>
      </c>
      <c r="Q18" s="113">
        <f>'3phas'!Q14</f>
        <v>0.01</v>
      </c>
      <c r="R18" s="113">
        <f>'3phas'!R14</f>
        <v>0.01</v>
      </c>
      <c r="S18" s="113">
        <f>'3phas'!S14</f>
        <v>0.01</v>
      </c>
      <c r="T18" s="113">
        <f>'3phas'!T14</f>
        <v>0.01</v>
      </c>
      <c r="U18" s="113">
        <f>'3phas'!U14</f>
        <v>0.01</v>
      </c>
      <c r="V18" s="113">
        <f>'3phas'!V14</f>
        <v>0.01</v>
      </c>
      <c r="W18" s="113">
        <f>'3phas'!W14</f>
        <v>0.01</v>
      </c>
      <c r="X18" s="113">
        <f>'3phas'!X14</f>
        <v>0.01</v>
      </c>
      <c r="Y18" s="113">
        <f>'3phas'!Y14</f>
        <v>0.01</v>
      </c>
      <c r="Z18" s="113">
        <f>'3phas'!Z14</f>
        <v>0.01</v>
      </c>
      <c r="AA18" s="113">
        <f>'3phas'!AA14</f>
        <v>0.01</v>
      </c>
      <c r="AB18" s="113">
        <f>'3phas'!AB14</f>
        <v>0.01</v>
      </c>
      <c r="AC18" s="113">
        <f>'3phas'!AC14</f>
        <v>0.01</v>
      </c>
      <c r="AD18" s="113">
        <f>'3phas'!AD14</f>
        <v>0.01</v>
      </c>
      <c r="AE18" s="113">
        <f>'3phas'!AE14</f>
        <v>0.01</v>
      </c>
      <c r="AF18" s="113">
        <f>'3phas'!AF14</f>
        <v>0.01</v>
      </c>
      <c r="AG18" s="113">
        <f>'3phas'!AG14</f>
        <v>0.01</v>
      </c>
      <c r="AH18" s="113">
        <f>'3phas'!AH14</f>
        <v>0.01</v>
      </c>
      <c r="AI18" s="113">
        <f>'3phas'!AI14</f>
        <v>0.01</v>
      </c>
      <c r="AJ18" s="113">
        <f>'3phas'!AJ14</f>
        <v>0.01</v>
      </c>
      <c r="AK18" s="113">
        <f>'3phas'!AK14</f>
        <v>0.01</v>
      </c>
      <c r="AL18" s="113">
        <f>'3phas'!AL14</f>
        <v>0.01</v>
      </c>
      <c r="AM18" s="113">
        <f>'3phas'!AM14</f>
        <v>0.01</v>
      </c>
      <c r="AN18" s="113">
        <f>'3phas'!AN14</f>
        <v>0.01</v>
      </c>
      <c r="AO18" s="113">
        <f>'3phas'!AO14</f>
        <v>0.01</v>
      </c>
      <c r="AP18" s="113">
        <f>'3phas'!AP14</f>
        <v>0.01</v>
      </c>
      <c r="AQ18" s="113">
        <f>'3phas'!AQ14</f>
        <v>0.01</v>
      </c>
      <c r="AR18" s="113">
        <f>'3phas'!AR14</f>
        <v>0.01</v>
      </c>
      <c r="AS18" s="113">
        <f>'3phas'!AS14</f>
        <v>0.01</v>
      </c>
      <c r="AT18" s="113">
        <f>'3phas'!AT14</f>
        <v>0.01</v>
      </c>
      <c r="AU18" s="113">
        <f>'3phas'!AU14</f>
        <v>0.01</v>
      </c>
      <c r="AV18" s="113">
        <f>'3phas'!AV14</f>
        <v>0.01</v>
      </c>
      <c r="AW18" s="113">
        <f>'3phas'!AW14</f>
        <v>0.01</v>
      </c>
      <c r="AX18" s="113">
        <f>'3phas'!AX14</f>
        <v>0.01</v>
      </c>
      <c r="AY18" s="113">
        <f>'3phas'!AY14</f>
        <v>0.01</v>
      </c>
      <c r="AZ18" s="113">
        <f>'3phas'!AZ14</f>
        <v>0.01</v>
      </c>
      <c r="BA18" s="113">
        <f>'3phas'!BA14</f>
        <v>0.01</v>
      </c>
      <c r="BB18" s="113">
        <f>'3phas'!BB14</f>
        <v>0.01</v>
      </c>
      <c r="BC18" s="113">
        <f>'3phas'!BC14</f>
        <v>0.01</v>
      </c>
      <c r="BD18" s="113">
        <f>'3phas'!BD14</f>
        <v>0.01</v>
      </c>
      <c r="BE18" s="113">
        <f>'3phas'!BE14</f>
        <v>0.01</v>
      </c>
      <c r="BF18" s="113">
        <f>'3phas'!BF14</f>
        <v>0.01</v>
      </c>
      <c r="BG18" s="113">
        <f>'3phas'!BG14</f>
        <v>4.4999999999999997E-3</v>
      </c>
      <c r="BH18" s="113">
        <f>'3phas'!BH14</f>
        <v>0.01</v>
      </c>
      <c r="BI18" s="113">
        <f>'3phas'!BI14</f>
        <v>0.01</v>
      </c>
    </row>
    <row r="19" spans="1:61">
      <c r="A19" s="148"/>
      <c r="B19" s="16"/>
      <c r="E19" s="201"/>
      <c r="F19" s="147"/>
      <c r="G19" s="14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row>
    <row r="20" spans="1:61">
      <c r="A20" s="148"/>
      <c r="B20" s="16"/>
      <c r="E20" s="201" t="str">
        <f>'3phas'!E26</f>
        <v>CT du sol à l'air du sol</v>
      </c>
      <c r="F20" s="147" t="str">
        <f>'3phas'!F26</f>
        <v xml:space="preserve">CTs--&gt;sa </v>
      </c>
      <c r="G20" s="146" t="str">
        <f>'3phas'!G26</f>
        <v>(mg/l air)/(mg/kg ms)</v>
      </c>
      <c r="H20" s="56">
        <f>'3phas'!H26</f>
        <v>2.6344915493597683E-3</v>
      </c>
      <c r="I20" s="56">
        <f>'3phas'!I26</f>
        <v>2.6344915493597683E-3</v>
      </c>
      <c r="J20" s="56">
        <f>'3phas'!J26</f>
        <v>1.7294665170559827E-2</v>
      </c>
      <c r="K20" s="56">
        <f>'3phas'!K26</f>
        <v>3.8533137340406047</v>
      </c>
      <c r="L20" s="56">
        <f>'3phas'!L26</f>
        <v>0.72043886661145617</v>
      </c>
      <c r="M20" s="56">
        <f>'3phas'!M26</f>
        <v>0.72043886661145617</v>
      </c>
      <c r="N20" s="56">
        <f>'3phas'!N26</f>
        <v>1.4209304329284909</v>
      </c>
      <c r="O20" s="56">
        <f>'3phas'!O26</f>
        <v>1.4209304329284909</v>
      </c>
      <c r="P20" s="56">
        <f>'3phas'!P26</f>
        <v>1.5512881309499849</v>
      </c>
      <c r="Q20" s="56">
        <f>'3phas'!Q26</f>
        <v>1.5512881309499849</v>
      </c>
      <c r="R20" s="56">
        <f>'3phas'!R26</f>
        <v>0.62357526395766227</v>
      </c>
      <c r="S20" s="56">
        <f>'3phas'!S26</f>
        <v>0.58502321443335115</v>
      </c>
      <c r="T20" s="56">
        <f>'3phas'!T26</f>
        <v>0.58502321443335115</v>
      </c>
      <c r="U20" s="56">
        <f>'3phas'!U26</f>
        <v>2.7542637283837155</v>
      </c>
      <c r="V20" s="56">
        <f>'3phas'!V26</f>
        <v>4.5081833000455136</v>
      </c>
      <c r="W20" s="56">
        <f>'3phas'!W26</f>
        <v>4.5081833000455136</v>
      </c>
      <c r="X20" s="56">
        <f>'3phas'!X26</f>
        <v>0.86485661989017704</v>
      </c>
      <c r="Y20" s="56">
        <f>'3phas'!Y26</f>
        <v>0.59939659773856913</v>
      </c>
      <c r="Z20" s="56">
        <f>'3phas'!Z26</f>
        <v>0.35497292270791519</v>
      </c>
      <c r="AA20" s="56">
        <f>'3phas'!AA26</f>
        <v>0.23813702260309097</v>
      </c>
      <c r="AB20" s="56">
        <f>'3phas'!AB26</f>
        <v>0.26932603294411983</v>
      </c>
      <c r="AC20" s="56">
        <f>'3phas'!AC26</f>
        <v>5.2554793006195942E-2</v>
      </c>
      <c r="AD20" s="56">
        <f>'3phas'!AD26</f>
        <v>1.028672332145031E-2</v>
      </c>
      <c r="AE20" s="56">
        <f>'3phas'!AE26</f>
        <v>1.2826753318511306E-3</v>
      </c>
      <c r="AF20" s="56">
        <f>'3phas'!AF26</f>
        <v>5.316364815255657E-6</v>
      </c>
      <c r="AG20" s="56">
        <f>'3phas'!AG26</f>
        <v>6.1940871390656476</v>
      </c>
      <c r="AH20" s="56">
        <f>'3phas'!AH26</f>
        <v>4.6377578561443125</v>
      </c>
      <c r="AI20" s="56">
        <f>'3phas'!AI26</f>
        <v>1.8857794422825369</v>
      </c>
      <c r="AJ20" s="56">
        <f>'3phas'!AJ26</f>
        <v>0.44889687551390439</v>
      </c>
      <c r="AK20" s="56">
        <f>'3phas'!AK26</f>
        <v>0.10233523087107475</v>
      </c>
      <c r="AL20" s="56">
        <f>'3phas'!AL26</f>
        <v>7.7579419375401505E-3</v>
      </c>
      <c r="AM20" s="56">
        <f>'3phas'!AM26</f>
        <v>5.3702795063791613E-5</v>
      </c>
      <c r="AN20" s="56">
        <f>'3phas'!AN26</f>
        <v>4.2745064887962942E-3</v>
      </c>
      <c r="AO20" s="56">
        <f>'3phas'!AO26</f>
        <v>1.1674416703897762E-3</v>
      </c>
      <c r="AP20" s="56">
        <f>'3phas'!AP26</f>
        <v>1.9530721705911089E-3</v>
      </c>
      <c r="AQ20" s="56">
        <f>'3phas'!AQ26</f>
        <v>7.9082569474491784E-4</v>
      </c>
      <c r="AR20" s="56">
        <f>'3phas'!AR26</f>
        <v>1.5833670554255824E-4</v>
      </c>
      <c r="AS20" s="56">
        <f>'3phas'!AS26</f>
        <v>2.0451082714404039E-4</v>
      </c>
      <c r="AT20" s="56">
        <f>'3phas'!AT26</f>
        <v>1.4928371240425742E-5</v>
      </c>
      <c r="AU20" s="56">
        <f>'3phas'!AU26</f>
        <v>1.4361262823078675E-5</v>
      </c>
      <c r="AV20" s="56">
        <f>'3phas'!AV26</f>
        <v>2.2911220155058073E-6</v>
      </c>
      <c r="AW20" s="56">
        <f>'3phas'!AW26</f>
        <v>2.2076853681384034E-6</v>
      </c>
      <c r="AX20" s="56">
        <f>'3phas'!AX26</f>
        <v>7.7706494784308E-8</v>
      </c>
      <c r="AY20" s="56">
        <f>'3phas'!AY26</f>
        <v>5.3329663902576084E-8</v>
      </c>
      <c r="AZ20" s="56">
        <f>'3phas'!AZ26</f>
        <v>3.5612607863435813E-8</v>
      </c>
      <c r="BA20" s="56">
        <f>'3phas'!BA26</f>
        <v>6.1506611409422915E-9</v>
      </c>
      <c r="BB20" s="56">
        <f>'3phas'!BB26</f>
        <v>9.7385899742535777E-8</v>
      </c>
      <c r="BC20" s="56">
        <f>'3phas'!BC26</f>
        <v>2.587068821863014E-14</v>
      </c>
      <c r="BD20" s="56">
        <f>'3phas'!BD26</f>
        <v>9.3547154384050266E-5</v>
      </c>
      <c r="BE20" s="56">
        <f>'3phas'!BE26</f>
        <v>2.0762670819205671E-6</v>
      </c>
      <c r="BF20" s="56">
        <f>'3phas'!BF26</f>
        <v>2.0762670819205671E-6</v>
      </c>
      <c r="BG20" s="56">
        <f>'3phas'!BG26</f>
        <v>3.7704368743318515</v>
      </c>
      <c r="BH20" s="56">
        <f>'3phas'!BH26</f>
        <v>1.2439792874542166E-4</v>
      </c>
      <c r="BI20" s="56">
        <f>'3phas'!BI26</f>
        <v>9.6251339173241269E-4</v>
      </c>
    </row>
    <row r="21" spans="1:61" ht="13.5" thickBot="1">
      <c r="A21" s="249"/>
      <c r="B21" s="250"/>
      <c r="C21" s="2104"/>
      <c r="D21" s="251"/>
      <c r="E21" s="246"/>
      <c r="F21" s="247"/>
      <c r="G21" s="248"/>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c r="BH21" s="242"/>
      <c r="BI21" s="242"/>
    </row>
    <row r="22" spans="1:61">
      <c r="A22" s="17"/>
      <c r="B22" s="16"/>
      <c r="C22" s="2423"/>
      <c r="D22" s="2424"/>
      <c r="E22" s="3930"/>
      <c r="F22" s="244"/>
      <c r="G22" s="9"/>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row>
    <row r="23" spans="1:61" ht="15.75">
      <c r="A23" s="97"/>
      <c r="B23" s="41"/>
      <c r="C23" s="4118" t="str">
        <f>'EmVap-Vol'!D43</f>
        <v>Ext. Sous TV</v>
      </c>
      <c r="D23" s="4119"/>
      <c r="E23" s="3931" t="s">
        <v>1154</v>
      </c>
      <c r="F23" s="2421"/>
      <c r="G23" s="2473"/>
      <c r="H23" s="2474"/>
      <c r="I23" s="2474"/>
      <c r="J23" s="2474"/>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row>
    <row r="24" spans="1:61">
      <c r="A24" s="97"/>
      <c r="B24" s="41"/>
      <c r="C24" s="4118"/>
      <c r="D24" s="4119"/>
      <c r="E24" s="3498"/>
      <c r="F24" s="147"/>
      <c r="G24" s="105"/>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row>
    <row r="25" spans="1:61">
      <c r="A25" s="4" t="s">
        <v>266</v>
      </c>
      <c r="B25" s="4" t="s">
        <v>222</v>
      </c>
      <c r="C25" s="2425"/>
      <c r="D25" s="2426"/>
      <c r="E25" s="3932" t="str">
        <f>'3phas'!E29</f>
        <v>Concentration dans l'air du sol</v>
      </c>
      <c r="F25" s="41" t="str">
        <f>'3phas'!F29</f>
        <v>Csao</v>
      </c>
      <c r="G25" s="2422" t="str">
        <f>'3phas'!G29</f>
        <v>mg/lsa</v>
      </c>
      <c r="H25" s="221">
        <f>'3phas'!H29</f>
        <v>2.6344915493597683E-5</v>
      </c>
      <c r="I25" s="221">
        <f>'3phas'!I29</f>
        <v>2.6344915493597683E-5</v>
      </c>
      <c r="J25" s="221">
        <f>'3phas'!J29</f>
        <v>1.7294665170559828E-4</v>
      </c>
      <c r="K25" s="221">
        <f>'3phas'!K29</f>
        <v>3.8533137340406046E-2</v>
      </c>
      <c r="L25" s="221">
        <f>'3phas'!L29</f>
        <v>7.2043886661145619E-3</v>
      </c>
      <c r="M25" s="221">
        <f>'3phas'!M29</f>
        <v>7.2043886661145619E-3</v>
      </c>
      <c r="N25" s="221">
        <f>'3phas'!N29</f>
        <v>1.4209304329284909E-2</v>
      </c>
      <c r="O25" s="221">
        <f>'3phas'!O29</f>
        <v>1.4209304329284909E-2</v>
      </c>
      <c r="P25" s="221">
        <f>'3phas'!P29</f>
        <v>1.5512881309499849E-2</v>
      </c>
      <c r="Q25" s="221">
        <f>'3phas'!Q29</f>
        <v>1.5512881309499849E-2</v>
      </c>
      <c r="R25" s="221">
        <f>'3phas'!R29</f>
        <v>6.2357526395766232E-3</v>
      </c>
      <c r="S25" s="221">
        <f>'3phas'!S29</f>
        <v>5.8502321443335116E-3</v>
      </c>
      <c r="T25" s="221">
        <f>'3phas'!T29</f>
        <v>5.8502321443335116E-3</v>
      </c>
      <c r="U25" s="221">
        <f>'3phas'!U29</f>
        <v>2.7542637283837157E-2</v>
      </c>
      <c r="V25" s="221">
        <f>'3phas'!V29</f>
        <v>4.5081833000455138E-2</v>
      </c>
      <c r="W25" s="221">
        <f>'3phas'!W29</f>
        <v>4.5081833000455138E-2</v>
      </c>
      <c r="X25" s="221">
        <f>'3phas'!X29</f>
        <v>8.6485661989017699E-3</v>
      </c>
      <c r="Y25" s="221">
        <f>'3phas'!Y29</f>
        <v>5.993965977385691E-3</v>
      </c>
      <c r="Z25" s="221">
        <f>'3phas'!Z29</f>
        <v>3.5497292270791521E-3</v>
      </c>
      <c r="AA25" s="221">
        <f>'3phas'!AA29</f>
        <v>2.3813702260309095E-3</v>
      </c>
      <c r="AB25" s="221">
        <f>'3phas'!AB29</f>
        <v>2.6932603294411986E-3</v>
      </c>
      <c r="AC25" s="221">
        <f>'3phas'!AC29</f>
        <v>5.2554793006195943E-4</v>
      </c>
      <c r="AD25" s="221">
        <f>'3phas'!AD29</f>
        <v>1.028672332145031E-4</v>
      </c>
      <c r="AE25" s="221">
        <f>'3phas'!AE29</f>
        <v>1.2826753318511306E-5</v>
      </c>
      <c r="AF25" s="221">
        <f>'3phas'!AF29</f>
        <v>5.3163648152556569E-8</v>
      </c>
      <c r="AG25" s="221">
        <f>'3phas'!AG29</f>
        <v>6.1940871390656474E-2</v>
      </c>
      <c r="AH25" s="221">
        <f>'3phas'!AH29</f>
        <v>4.6377578561443124E-2</v>
      </c>
      <c r="AI25" s="221">
        <f>'3phas'!AI29</f>
        <v>1.8857794422825369E-2</v>
      </c>
      <c r="AJ25" s="221">
        <f>'3phas'!AJ29</f>
        <v>4.4889687551390436E-3</v>
      </c>
      <c r="AK25" s="221">
        <f>'3phas'!AK29</f>
        <v>1.0233523087107474E-3</v>
      </c>
      <c r="AL25" s="221">
        <f>'3phas'!AL29</f>
        <v>7.7579419375401509E-5</v>
      </c>
      <c r="AM25" s="221">
        <f>'3phas'!AM29</f>
        <v>5.3702795063791614E-7</v>
      </c>
      <c r="AN25" s="221">
        <f>'3phas'!AN29</f>
        <v>4.2745064887962941E-5</v>
      </c>
      <c r="AO25" s="221">
        <f>'3phas'!AO29</f>
        <v>1.1674416703897762E-5</v>
      </c>
      <c r="AP25" s="221">
        <f>'3phas'!AP29</f>
        <v>1.9530721705911088E-5</v>
      </c>
      <c r="AQ25" s="221">
        <f>'3phas'!AQ29</f>
        <v>7.908256947449179E-6</v>
      </c>
      <c r="AR25" s="221">
        <f>'3phas'!AR29</f>
        <v>1.5833670554255824E-6</v>
      </c>
      <c r="AS25" s="221">
        <f>'3phas'!AS29</f>
        <v>2.0451082714404039E-6</v>
      </c>
      <c r="AT25" s="221">
        <f>'3phas'!AT29</f>
        <v>1.4928371240425742E-7</v>
      </c>
      <c r="AU25" s="221">
        <f>'3phas'!AU29</f>
        <v>1.4361262823078676E-7</v>
      </c>
      <c r="AV25" s="221">
        <f>'3phas'!AV29</f>
        <v>2.2911220155058073E-8</v>
      </c>
      <c r="AW25" s="221">
        <f>'3phas'!AW29</f>
        <v>2.2076853681384033E-8</v>
      </c>
      <c r="AX25" s="221">
        <f>'3phas'!AX29</f>
        <v>7.7706494784308005E-10</v>
      </c>
      <c r="AY25" s="221">
        <f>'3phas'!AY29</f>
        <v>5.3329663902576087E-10</v>
      </c>
      <c r="AZ25" s="221">
        <f>'3phas'!AZ29</f>
        <v>3.5612607863435816E-10</v>
      </c>
      <c r="BA25" s="221">
        <f>'3phas'!BA29</f>
        <v>6.150661140942291E-11</v>
      </c>
      <c r="BB25" s="221">
        <f>'3phas'!BB29</f>
        <v>9.7385899742535782E-10</v>
      </c>
      <c r="BC25" s="221">
        <f>'3phas'!BC29</f>
        <v>2.5870688218630141E-16</v>
      </c>
      <c r="BD25" s="221">
        <f>'3phas'!BD29</f>
        <v>9.3547154384050273E-7</v>
      </c>
      <c r="BE25" s="221">
        <f>'3phas'!BE29</f>
        <v>2.0762670819205671E-8</v>
      </c>
      <c r="BF25" s="221">
        <f>'3phas'!BF29</f>
        <v>2.0762670819205671E-8</v>
      </c>
      <c r="BG25" s="221">
        <f>'3phas'!BG29</f>
        <v>1.696696593449333E-2</v>
      </c>
      <c r="BH25" s="221">
        <f>'3phas'!BH29</f>
        <v>1.2439792874542166E-6</v>
      </c>
      <c r="BI25" s="221">
        <f>'3phas'!BI29</f>
        <v>9.6251339173241278E-6</v>
      </c>
    </row>
    <row r="26" spans="1:61">
      <c r="A26" s="4"/>
      <c r="B26" s="4"/>
      <c r="C26" s="2425"/>
      <c r="D26" s="2426"/>
      <c r="E26" s="3932"/>
      <c r="F26" s="41"/>
      <c r="G26" s="2422"/>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row>
    <row r="27" spans="1:61">
      <c r="A27" s="33"/>
      <c r="B27" s="33"/>
      <c r="C27" s="2425"/>
      <c r="D27" s="2426"/>
      <c r="E27" s="3933" t="s">
        <v>203</v>
      </c>
      <c r="F27" s="2477"/>
      <c r="G27" s="89"/>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row>
    <row r="28" spans="1:61">
      <c r="A28" s="33"/>
      <c r="B28" s="33"/>
      <c r="C28" s="2425"/>
      <c r="D28" s="2426"/>
      <c r="E28" s="3934" t="s">
        <v>658</v>
      </c>
      <c r="F28" s="12"/>
      <c r="G28" s="89"/>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row>
    <row r="29" spans="1:61">
      <c r="A29" s="33"/>
      <c r="B29" s="33"/>
      <c r="C29" s="2425"/>
      <c r="D29" s="2426"/>
      <c r="E29" s="3935" t="str">
        <f>'EmVap-Vol'!E49</f>
        <v>CT de l'air du sol de la source à l'émission, avant contrôle masse</v>
      </c>
      <c r="F29" s="14" t="s">
        <v>204</v>
      </c>
      <c r="G29" s="89" t="str">
        <f>'EmVap-Vol'!G49</f>
        <v>(mg/m2/s)/(mg/l)</v>
      </c>
      <c r="H29" s="113">
        <f>'EmVap-Vol'!H49</f>
        <v>7.8437017466117772E-4</v>
      </c>
      <c r="I29" s="113">
        <f>'EmVap-Vol'!I49</f>
        <v>7.8437017466117772E-4</v>
      </c>
      <c r="J29" s="113">
        <f>'EmVap-Vol'!J49</f>
        <v>7.2125150782231589E-4</v>
      </c>
      <c r="K29" s="113">
        <f>'EmVap-Vol'!K49</f>
        <v>1.4195231491136331E-3</v>
      </c>
      <c r="L29" s="113">
        <f>'EmVap-Vol'!L49</f>
        <v>9.8620387476176471E-4</v>
      </c>
      <c r="M29" s="113">
        <f>'EmVap-Vol'!M49</f>
        <v>9.8620387476176471E-4</v>
      </c>
      <c r="N29" s="113">
        <f>'EmVap-Vol'!N49</f>
        <v>1.0580867658838535E-3</v>
      </c>
      <c r="O29" s="113">
        <f>'EmVap-Vol'!O49</f>
        <v>1.0580867658838535E-3</v>
      </c>
      <c r="P29" s="113">
        <f>'EmVap-Vol'!P49</f>
        <v>9.6427503362731296E-4</v>
      </c>
      <c r="Q29" s="113">
        <f>'EmVap-Vol'!Q49</f>
        <v>9.6427503362731296E-4</v>
      </c>
      <c r="R29" s="113">
        <f>'EmVap-Vol'!R49</f>
        <v>1.365991514727115E-2</v>
      </c>
      <c r="S29" s="113">
        <f>'EmVap-Vol'!S49</f>
        <v>1.3932917032970108E-3</v>
      </c>
      <c r="T29" s="113">
        <f>'EmVap-Vol'!T49</f>
        <v>1.3932917032970108E-3</v>
      </c>
      <c r="U29" s="113">
        <f>'EmVap-Vol'!U49</f>
        <v>1.0446172374450286E-3</v>
      </c>
      <c r="V29" s="113">
        <f>'EmVap-Vol'!V49</f>
        <v>3.8142098827865682E-4</v>
      </c>
      <c r="W29" s="113">
        <f>'EmVap-Vol'!W49</f>
        <v>3.8142098827865682E-4</v>
      </c>
      <c r="X29" s="113">
        <f>'EmVap-Vol'!X49</f>
        <v>1.0976694493010262E-3</v>
      </c>
      <c r="Y29" s="113">
        <f>'EmVap-Vol'!Y49</f>
        <v>9.860065044503812E-4</v>
      </c>
      <c r="Z29" s="113">
        <f>'EmVap-Vol'!Z49</f>
        <v>9.0411103052226286E-4</v>
      </c>
      <c r="AA29" s="113">
        <f>'EmVap-Vol'!AA49</f>
        <v>9.0417687531985048E-4</v>
      </c>
      <c r="AB29" s="113">
        <f>'EmVap-Vol'!AB49</f>
        <v>4.241144432928381E-4</v>
      </c>
      <c r="AC29" s="113">
        <f>'EmVap-Vol'!AC49</f>
        <v>3.9159171273304679E-4</v>
      </c>
      <c r="AD29" s="113">
        <f>'EmVap-Vol'!AD49</f>
        <v>3.3958325494063242E-4</v>
      </c>
      <c r="AE29" s="113">
        <f>'EmVap-Vol'!AE49</f>
        <v>2.6888857778934085E-4</v>
      </c>
      <c r="AF29" s="113">
        <f>'EmVap-Vol'!AF49</f>
        <v>2.2824639619806395E-4</v>
      </c>
      <c r="AG29" s="113">
        <f>'EmVap-Vol'!AG49</f>
        <v>6.2825162020563069E-4</v>
      </c>
      <c r="AH29" s="113">
        <f>'EmVap-Vol'!AH49</f>
        <v>5.0888354378119034E-4</v>
      </c>
      <c r="AI29" s="113">
        <f>'EmVap-Vol'!AI49</f>
        <v>3.9144872943603064E-4</v>
      </c>
      <c r="AJ29" s="113">
        <f>'EmVap-Vol'!AJ49</f>
        <v>3.1805202477984764E-4</v>
      </c>
      <c r="AK29" s="113">
        <f>'EmVap-Vol'!AK49</f>
        <v>2.5444153627073685E-4</v>
      </c>
      <c r="AL29" s="113">
        <f>'EmVap-Vol'!AL49</f>
        <v>1.8847519545544717E-4</v>
      </c>
      <c r="AM29" s="113">
        <f>'EmVap-Vol'!AM49</f>
        <v>1.5902594531763968E-4</v>
      </c>
      <c r="AN29" s="113">
        <f>'EmVap-Vol'!AN49</f>
        <v>4.0184064655524867E-4</v>
      </c>
      <c r="AO29" s="113">
        <f>'EmVap-Vol'!AO49</f>
        <v>3.3940398754173182E-4</v>
      </c>
      <c r="AP29" s="113">
        <f>'EmVap-Vol'!AP49</f>
        <v>3.3343642145126034E-4</v>
      </c>
      <c r="AQ29" s="113">
        <f>'EmVap-Vol'!AQ49</f>
        <v>3.1110408609158637E-4</v>
      </c>
      <c r="AR29" s="113">
        <f>'EmVap-Vol'!AR49</f>
        <v>2.9673552292587611E-4</v>
      </c>
      <c r="AS29" s="113">
        <f>'EmVap-Vol'!AS49</f>
        <v>2.9471149548520079E-4</v>
      </c>
      <c r="AT29" s="113">
        <f>'EmVap-Vol'!AT49</f>
        <v>2.8245061933669375E-4</v>
      </c>
      <c r="AU29" s="113">
        <f>'EmVap-Vol'!AU49</f>
        <v>2.862821240185571E-4</v>
      </c>
      <c r="AV29" s="113">
        <f>'EmVap-Vol'!AV49</f>
        <v>2.7169829643089585E-4</v>
      </c>
      <c r="AW29" s="113">
        <f>'EmVap-Vol'!AW49</f>
        <v>2.8633748018150643E-4</v>
      </c>
      <c r="AX29" s="113">
        <f>'EmVap-Vol'!AX49</f>
        <v>1.8009935536198193E-3</v>
      </c>
      <c r="AY29" s="113">
        <f>'EmVap-Vol'!AY49</f>
        <v>1.8009935536198193E-3</v>
      </c>
      <c r="AZ29" s="113">
        <f>'EmVap-Vol'!AZ49</f>
        <v>2.4141974168879728E-3</v>
      </c>
      <c r="BA29" s="113">
        <f>'EmVap-Vol'!BA49</f>
        <v>3.2328581834376625E-3</v>
      </c>
      <c r="BB29" s="113">
        <f>'EmVap-Vol'!BB49</f>
        <v>5.1022216414718007E-4</v>
      </c>
      <c r="BC29" s="113">
        <f>'EmVap-Vol'!BC49</f>
        <v>455.79160448264452</v>
      </c>
      <c r="BD29" s="113">
        <f>'EmVap-Vol'!BD49</f>
        <v>5.5344935658665729E-3</v>
      </c>
      <c r="BE29" s="113">
        <f>'EmVap-Vol'!BE49</f>
        <v>2.2740012300550826E-4</v>
      </c>
      <c r="BF29" s="113">
        <f>'EmVap-Vol'!BF49</f>
        <v>2.2740012300550826E-4</v>
      </c>
      <c r="BG29" s="113">
        <f>'EmVap-Vol'!BG49</f>
        <v>4.1126834407254634E-4</v>
      </c>
      <c r="BH29" s="113">
        <f>'EmVap-Vol'!BH49</f>
        <v>2.9390027781257791E-3</v>
      </c>
      <c r="BI29" s="113">
        <f>'EmVap-Vol'!BI49</f>
        <v>3.1163442233530492E-3</v>
      </c>
    </row>
    <row r="30" spans="1:61">
      <c r="A30" s="33"/>
      <c r="B30" s="33"/>
      <c r="C30" s="2425"/>
      <c r="D30" s="2426"/>
      <c r="E30" s="3934" t="str">
        <f>'EmVap-Vol'!E70</f>
        <v>Période chronique</v>
      </c>
      <c r="F30" s="12"/>
      <c r="G30" s="89"/>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row>
    <row r="31" spans="1:61" ht="25.5">
      <c r="A31" s="97"/>
      <c r="B31" s="100"/>
      <c r="C31" s="2425"/>
      <c r="D31" s="2426"/>
      <c r="E31" s="3498" t="str">
        <f>'EmVap-Vol'!E75</f>
        <v>CT de l'air du sol de la source à l'émission (après contrôle de masse)</v>
      </c>
      <c r="F31" s="14" t="s">
        <v>204</v>
      </c>
      <c r="G31" s="105" t="str">
        <f>'EmVap-Vol'!G75</f>
        <v>(mg/m2/s)/(mg/l)</v>
      </c>
      <c r="H31" s="113">
        <f>'EmVap-Vol'!H75</f>
        <v>5.4695238783602389E-4</v>
      </c>
      <c r="I31" s="113">
        <f>'EmVap-Vol'!I75</f>
        <v>5.4695238783602389E-4</v>
      </c>
      <c r="J31" s="113">
        <f>'EmVap-Vol'!J75</f>
        <v>2.7844704639598083E-4</v>
      </c>
      <c r="K31" s="113">
        <f>'EmVap-Vol'!K75</f>
        <v>3.7031519823149957E-5</v>
      </c>
      <c r="L31" s="113">
        <f>'EmVap-Vol'!L75</f>
        <v>1.548612289986559E-4</v>
      </c>
      <c r="M31" s="113">
        <f>'EmVap-Vol'!M75</f>
        <v>1.548612289986559E-4</v>
      </c>
      <c r="N31" s="113">
        <f>'EmVap-Vol'!N75</f>
        <v>1.0042297681868412E-4</v>
      </c>
      <c r="O31" s="113">
        <f>'EmVap-Vol'!O75</f>
        <v>1.0042297681868412E-4</v>
      </c>
      <c r="P31" s="113">
        <f>'EmVap-Vol'!P75</f>
        <v>9.1984242694848056E-5</v>
      </c>
      <c r="Q31" s="113">
        <f>'EmVap-Vol'!Q75</f>
        <v>9.1984242694848056E-5</v>
      </c>
      <c r="R31" s="113">
        <f>'EmVap-Vol'!R75</f>
        <v>2.2883214292577979E-4</v>
      </c>
      <c r="S31" s="113">
        <f>'EmVap-Vol'!S75</f>
        <v>2.0540633067812444E-4</v>
      </c>
      <c r="T31" s="113">
        <f>'EmVap-Vol'!T75</f>
        <v>2.0540633067812444E-4</v>
      </c>
      <c r="U31" s="113">
        <f>'EmVap-Vol'!U75</f>
        <v>5.1808424319147455E-5</v>
      </c>
      <c r="V31" s="113">
        <f>'EmVap-Vol'!V75</f>
        <v>3.1652232047774111E-5</v>
      </c>
      <c r="W31" s="113">
        <f>'EmVap-Vol'!W75</f>
        <v>3.1652232047774111E-5</v>
      </c>
      <c r="X31" s="113">
        <f>'EmVap-Vol'!X75</f>
        <v>1.5081859397934435E-4</v>
      </c>
      <c r="Y31" s="113">
        <f>'EmVap-Vol'!Y75</f>
        <v>1.6834785556745521E-4</v>
      </c>
      <c r="Z31" s="113">
        <f>'EmVap-Vol'!Z75</f>
        <v>2.0262044182326581E-4</v>
      </c>
      <c r="AA31" s="113">
        <f>'EmVap-Vol'!AA75</f>
        <v>8.5601415741445673E-5</v>
      </c>
      <c r="AB31" s="113">
        <f>'EmVap-Vol'!AB75</f>
        <v>1.4636563963157616E-4</v>
      </c>
      <c r="AC31" s="113">
        <f>'EmVap-Vol'!AC75</f>
        <v>2.4265845584065074E-4</v>
      </c>
      <c r="AD31" s="113">
        <f>'EmVap-Vol'!AD75</f>
        <v>2.9617947105897106E-4</v>
      </c>
      <c r="AE31" s="113">
        <f>'EmVap-Vol'!AE75</f>
        <v>2.6458176181694639E-4</v>
      </c>
      <c r="AF31" s="113">
        <f>'EmVap-Vol'!AF75</f>
        <v>2.2823390810557077E-4</v>
      </c>
      <c r="AG31" s="113">
        <f>'EmVap-Vol'!AG75</f>
        <v>2.3037141829500553E-5</v>
      </c>
      <c r="AH31" s="113">
        <f>'EmVap-Vol'!AH75</f>
        <v>3.0767898703010778E-5</v>
      </c>
      <c r="AI31" s="113">
        <f>'EmVap-Vol'!AI75</f>
        <v>6.0386472677710355E-5</v>
      </c>
      <c r="AJ31" s="113">
        <f>'EmVap-Vol'!AJ75</f>
        <v>1.0036329522074687E-4</v>
      </c>
      <c r="AK31" s="113">
        <f>'EmVap-Vol'!AK75</f>
        <v>1.4739924812186977E-4</v>
      </c>
      <c r="AL31" s="113">
        <f>'EmVap-Vol'!AL75</f>
        <v>1.7680031828057631E-4</v>
      </c>
      <c r="AM31" s="113">
        <f>'EmVap-Vol'!AM75</f>
        <v>1.5896061486449779E-4</v>
      </c>
      <c r="AN31" s="113">
        <f>'EmVap-Vol'!AN75</f>
        <v>2.8564356991238305E-4</v>
      </c>
      <c r="AO31" s="113">
        <f>'EmVap-Vol'!AO75</f>
        <v>3.3324936437693914E-4</v>
      </c>
      <c r="AP31" s="113">
        <f>'EmVap-Vol'!AP75</f>
        <v>3.2368104741037107E-4</v>
      </c>
      <c r="AQ31" s="113">
        <f>'EmVap-Vol'!AQ75</f>
        <v>3.075560934069006E-4</v>
      </c>
      <c r="AR31" s="113">
        <f>'EmVap-Vol'!AR75</f>
        <v>2.9609034237929011E-4</v>
      </c>
      <c r="AS31" s="113">
        <f>'EmVap-Vol'!AS75</f>
        <v>2.9388551410977116E-4</v>
      </c>
      <c r="AT31" s="113">
        <f>'EmVap-Vol'!AT75</f>
        <v>2.8239871023385253E-4</v>
      </c>
      <c r="AU31" s="113">
        <f>'EmVap-Vol'!AU75</f>
        <v>2.8623134411418622E-4</v>
      </c>
      <c r="AV31" s="113">
        <f>'EmVap-Vol'!AV75</f>
        <v>2.716913432458069E-4</v>
      </c>
      <c r="AW31" s="113">
        <f>'EmVap-Vol'!AW75</f>
        <v>2.8633028416598009E-4</v>
      </c>
      <c r="AX31" s="113">
        <f>'EmVap-Vol'!AX75</f>
        <v>1.800986978404435E-3</v>
      </c>
      <c r="AY31" s="113">
        <f>'EmVap-Vol'!AY75</f>
        <v>1.8009890410886748E-3</v>
      </c>
      <c r="AZ31" s="113">
        <f>'EmVap-Vol'!AZ75</f>
        <v>2.4141920804133074E-3</v>
      </c>
      <c r="BA31" s="113">
        <f>'EmVap-Vol'!BA75</f>
        <v>3.2328565529041588E-3</v>
      </c>
      <c r="BB31" s="113">
        <f>'EmVap-Vol'!BB75</f>
        <v>5.1022140047048538E-4</v>
      </c>
      <c r="BC31" s="113">
        <f>'EmVap-Vol'!BC75</f>
        <v>455.79147190691157</v>
      </c>
      <c r="BD31" s="113">
        <f>'EmVap-Vol'!BD75</f>
        <v>5.4583906153338685E-3</v>
      </c>
      <c r="BE31" s="113">
        <f>'EmVap-Vol'!BE75</f>
        <v>2.2739552718573165E-4</v>
      </c>
      <c r="BF31" s="113">
        <f>'EmVap-Vol'!BF75</f>
        <v>2.2739552718573165E-4</v>
      </c>
      <c r="BG31" s="113">
        <f>'EmVap-Vol'!BG75</f>
        <v>3.7845498726782705E-5</v>
      </c>
      <c r="BH31" s="113">
        <f>'EmVap-Vol'!BH75</f>
        <v>2.9094902148513045E-3</v>
      </c>
      <c r="BI31" s="113">
        <f>'EmVap-Vol'!BI75</f>
        <v>2.0443980876345218E-3</v>
      </c>
    </row>
    <row r="32" spans="1:61">
      <c r="A32" s="97"/>
      <c r="B32" s="100"/>
      <c r="C32" s="2425"/>
      <c r="D32" s="2426"/>
      <c r="E32" s="3927" t="s">
        <v>950</v>
      </c>
      <c r="F32" s="14"/>
      <c r="G32" s="105"/>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row>
    <row r="33" spans="1:61" ht="25.5">
      <c r="A33" s="97"/>
      <c r="B33" s="100"/>
      <c r="C33" s="2425"/>
      <c r="D33" s="2426"/>
      <c r="E33" s="3498" t="str">
        <f>'EmVap-Vol'!E84</f>
        <v>CT de l'air du sol de la source à l'émission (après contrôle de masse)</v>
      </c>
      <c r="F33" s="14" t="s">
        <v>204</v>
      </c>
      <c r="G33" s="105" t="str">
        <f>'EmVap-Vol'!G84</f>
        <v>(mg/m2/s)/(mg/l)</v>
      </c>
      <c r="H33" s="113">
        <f>'EmVap-Vol'!H84</f>
        <v>7.7304708284933906E-4</v>
      </c>
      <c r="I33" s="113">
        <f>'EmVap-Vol'!I84</f>
        <v>7.7304708284933906E-4</v>
      </c>
      <c r="J33" s="113">
        <f>'EmVap-Vol'!J84</f>
        <v>6.615726185296236E-4</v>
      </c>
      <c r="K33" s="113">
        <f>'EmVap-Vol'!K84</f>
        <v>1.9845645755930995E-4</v>
      </c>
      <c r="L33" s="113">
        <f>'EmVap-Vol'!L84</f>
        <v>3.352134814200984E-4</v>
      </c>
      <c r="M33" s="113">
        <f>'EmVap-Vol'!M84</f>
        <v>3.352134814200984E-4</v>
      </c>
      <c r="N33" s="113">
        <f>'EmVap-Vol'!N84</f>
        <v>2.6362689166664665E-4</v>
      </c>
      <c r="O33" s="113">
        <f>'EmVap-Vol'!O84</f>
        <v>2.6362689166664665E-4</v>
      </c>
      <c r="P33" s="113">
        <f>'EmVap-Vol'!P84</f>
        <v>2.407700197168636E-4</v>
      </c>
      <c r="Q33" s="113">
        <f>'EmVap-Vol'!Q84</f>
        <v>2.407700197168636E-4</v>
      </c>
      <c r="R33" s="113">
        <f>'EmVap-Vol'!R84</f>
        <v>1.3692415109493382E-3</v>
      </c>
      <c r="S33" s="113">
        <f>'EmVap-Vol'!S84</f>
        <v>4.4817763946797333E-4</v>
      </c>
      <c r="T33" s="113">
        <f>'EmVap-Vol'!T84</f>
        <v>4.4817763946797333E-4</v>
      </c>
      <c r="U33" s="113">
        <f>'EmVap-Vol'!U84</f>
        <v>1.9572593284143433E-4</v>
      </c>
      <c r="V33" s="113">
        <f>'EmVap-Vol'!V84</f>
        <v>8.9683150070965964E-5</v>
      </c>
      <c r="W33" s="113">
        <f>'EmVap-Vol'!W84</f>
        <v>8.9683150070965964E-5</v>
      </c>
      <c r="X33" s="113">
        <f>'EmVap-Vol'!X84</f>
        <v>3.3179786850597774E-4</v>
      </c>
      <c r="Y33" s="113">
        <f>'EmVap-Vol'!Y84</f>
        <v>3.6025114827202949E-4</v>
      </c>
      <c r="Z33" s="113">
        <f>'EmVap-Vol'!Z84</f>
        <v>4.1420158383926155E-4</v>
      </c>
      <c r="AA33" s="113">
        <f>'EmVap-Vol'!AA84</f>
        <v>4.7392839080408899E-4</v>
      </c>
      <c r="AB33" s="113">
        <f>'EmVap-Vol'!AB84</f>
        <v>2.682262118809661E-4</v>
      </c>
      <c r="AC33" s="113">
        <f>'EmVap-Vol'!AC84</f>
        <v>3.4211666183171265E-4</v>
      </c>
      <c r="AD33" s="113">
        <f>'EmVap-Vol'!AD84</f>
        <v>3.3054832916541271E-4</v>
      </c>
      <c r="AE33" s="113">
        <f>'EmVap-Vol'!AE84</f>
        <v>2.6814926757304897E-4</v>
      </c>
      <c r="AF33" s="113">
        <f>'EmVap-Vol'!AF84</f>
        <v>2.2824430895609373E-4</v>
      </c>
      <c r="AG33" s="113">
        <f>'EmVap-Vol'!AG84</f>
        <v>1.0269150581571205E-4</v>
      </c>
      <c r="AH33" s="113">
        <f>'EmVap-Vol'!AH84</f>
        <v>1.0414642192347542E-4</v>
      </c>
      <c r="AI33" s="113">
        <f>'EmVap-Vol'!AI84</f>
        <v>1.3101353811471812E-4</v>
      </c>
      <c r="AJ33" s="113">
        <f>'EmVap-Vol'!AJ84</f>
        <v>1.8901483775742505E-4</v>
      </c>
      <c r="AK33" s="113">
        <f>'EmVap-Vol'!AK84</f>
        <v>2.1601902012845356E-4</v>
      </c>
      <c r="AL33" s="113">
        <f>'EmVap-Vol'!AL84</f>
        <v>1.8630854547928695E-4</v>
      </c>
      <c r="AM33" s="113">
        <f>'EmVap-Vol'!AM84</f>
        <v>1.590150196026722E-4</v>
      </c>
      <c r="AN33" s="113">
        <f>'EmVap-Vol'!AN84</f>
        <v>3.9649547439878915E-4</v>
      </c>
      <c r="AO33" s="113">
        <f>'EmVap-Vol'!AO84</f>
        <v>3.383437186615933E-4</v>
      </c>
      <c r="AP33" s="113">
        <f>'EmVap-Vol'!AP84</f>
        <v>3.3172404104673799E-4</v>
      </c>
      <c r="AQ33" s="113">
        <f>'EmVap-Vol'!AQ84</f>
        <v>3.1049972921761619E-4</v>
      </c>
      <c r="AR33" s="113">
        <f>'EmVap-Vol'!AR84</f>
        <v>2.9662730679366056E-4</v>
      </c>
      <c r="AS33" s="113">
        <f>'EmVap-Vol'!AS84</f>
        <v>2.9457280835039953E-4</v>
      </c>
      <c r="AT33" s="113">
        <f>'EmVap-Vol'!AT84</f>
        <v>2.8244194146025213E-4</v>
      </c>
      <c r="AU33" s="113">
        <f>'EmVap-Vol'!AU84</f>
        <v>2.8627363500566868E-4</v>
      </c>
      <c r="AV33" s="113">
        <f>'EmVap-Vol'!AV84</f>
        <v>2.7169713434294069E-4</v>
      </c>
      <c r="AW33" s="113">
        <f>'EmVap-Vol'!AW84</f>
        <v>2.8633627750896252E-4</v>
      </c>
      <c r="AX33" s="113">
        <f>'EmVap-Vol'!AX84</f>
        <v>1.800992454654755E-3</v>
      </c>
      <c r="AY33" s="113">
        <f>'EmVap-Vol'!AY84</f>
        <v>1.8009927995455215E-3</v>
      </c>
      <c r="AZ33" s="113">
        <f>'EmVap-Vol'!AZ84</f>
        <v>2.4141965250258452E-3</v>
      </c>
      <c r="BA33" s="113">
        <f>'EmVap-Vol'!BA84</f>
        <v>3.2328579108792193E-3</v>
      </c>
      <c r="BB33" s="113">
        <f>'EmVap-Vol'!BB84</f>
        <v>5.1022203653662297E-4</v>
      </c>
      <c r="BC33" s="113">
        <f>'EmVap-Vol'!BC84</f>
        <v>455.79158225586264</v>
      </c>
      <c r="BD33" s="113">
        <f>'EmVap-Vol'!BD84</f>
        <v>5.5214792861534518E-3</v>
      </c>
      <c r="BE33" s="113">
        <f>'EmVap-Vol'!BE84</f>
        <v>2.2739935491284115E-4</v>
      </c>
      <c r="BF33" s="113">
        <f>'EmVap-Vol'!BF84</f>
        <v>2.2739935491284115E-4</v>
      </c>
      <c r="BG33" s="113">
        <f>'EmVap-Vol'!BG84</f>
        <v>1.0112722442491638E-4</v>
      </c>
      <c r="BH33" s="113">
        <f>'EmVap-Vol'!BH84</f>
        <v>2.9339871363529288E-3</v>
      </c>
      <c r="BI33" s="113">
        <f>'EmVap-Vol'!BI84</f>
        <v>3.0590444967237627E-3</v>
      </c>
    </row>
    <row r="34" spans="1:61">
      <c r="A34" s="97"/>
      <c r="B34" s="100"/>
      <c r="C34" s="2425"/>
      <c r="D34" s="2426"/>
      <c r="E34" s="3934" t="str">
        <f>'EmVap-Vol'!E87</f>
        <v>Période enfant 0-6 ans (effets sans seuil)</v>
      </c>
      <c r="F34" s="14"/>
      <c r="G34" s="105"/>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row>
    <row r="35" spans="1:61" ht="25.5">
      <c r="A35" s="97"/>
      <c r="B35" s="100"/>
      <c r="C35" s="2427"/>
      <c r="D35" s="2426"/>
      <c r="E35" s="3498" t="str">
        <f>'EmVap-Vol'!E92</f>
        <v>CT de l'air du sol de la source à l'émission (après contrôle de masse)</v>
      </c>
      <c r="F35" s="14" t="s">
        <v>204</v>
      </c>
      <c r="G35" s="105" t="str">
        <f>'EmVap-Vol'!G92</f>
        <v>(mg/m2/s)/(mg/l)</v>
      </c>
      <c r="H35" s="113">
        <f>'EmVap-Vol'!H92</f>
        <v>5.6625340125127999E-4</v>
      </c>
      <c r="I35" s="113">
        <f>'EmVap-Vol'!I92</f>
        <v>5.6625340125127999E-4</v>
      </c>
      <c r="J35" s="113">
        <f>'EmVap-Vol'!J92</f>
        <v>2.9506104684245163E-4</v>
      </c>
      <c r="K35" s="113">
        <f>'EmVap-Vol'!K92</f>
        <v>6.1719199705249922E-6</v>
      </c>
      <c r="L35" s="113">
        <f>'EmVap-Vol'!L92</f>
        <v>3.3010911945495617E-5</v>
      </c>
      <c r="M35" s="113">
        <f>'EmVap-Vol'!M92</f>
        <v>3.3010911945495617E-5</v>
      </c>
      <c r="N35" s="113">
        <f>'EmVap-Vol'!N92</f>
        <v>1.673716280311402E-5</v>
      </c>
      <c r="O35" s="113">
        <f>'EmVap-Vol'!O92</f>
        <v>1.673716280311402E-5</v>
      </c>
      <c r="P35" s="113">
        <f>'EmVap-Vol'!P92</f>
        <v>1.5330707115808009E-5</v>
      </c>
      <c r="Q35" s="113">
        <f>'EmVap-Vol'!Q92</f>
        <v>1.5330707115808009E-5</v>
      </c>
      <c r="R35" s="113">
        <f>'EmVap-Vol'!R92</f>
        <v>3.8138690487629963E-5</v>
      </c>
      <c r="S35" s="113">
        <f>'EmVap-Vol'!S92</f>
        <v>4.0651966282840303E-5</v>
      </c>
      <c r="T35" s="113">
        <f>'EmVap-Vol'!T92</f>
        <v>4.0651966282840303E-5</v>
      </c>
      <c r="U35" s="113">
        <f>'EmVap-Vol'!U92</f>
        <v>8.6347373865245747E-6</v>
      </c>
      <c r="V35" s="113">
        <f>'EmVap-Vol'!V92</f>
        <v>5.2753720079623515E-6</v>
      </c>
      <c r="W35" s="113">
        <f>'EmVap-Vol'!W92</f>
        <v>5.2753720079623515E-6</v>
      </c>
      <c r="X35" s="113">
        <f>'EmVap-Vol'!X92</f>
        <v>2.7498597386978914E-5</v>
      </c>
      <c r="Y35" s="113">
        <f>'EmVap-Vol'!Y92</f>
        <v>3.9677142108498037E-5</v>
      </c>
      <c r="Z35" s="113">
        <f>'EmVap-Vol'!Z92</f>
        <v>6.6997628456839868E-5</v>
      </c>
      <c r="AA35" s="113">
        <f>'EmVap-Vol'!AA92</f>
        <v>9.9868318365019948E-5</v>
      </c>
      <c r="AB35" s="113">
        <f>'EmVap-Vol'!AB92</f>
        <v>6.7689521318932896E-5</v>
      </c>
      <c r="AC35" s="113">
        <f>'EmVap-Vol'!AC92</f>
        <v>1.3103205412602568E-4</v>
      </c>
      <c r="AD35" s="113">
        <f>'EmVap-Vol'!AD92</f>
        <v>2.0940438732554658E-4</v>
      </c>
      <c r="AE35" s="113">
        <f>'EmVap-Vol'!AE92</f>
        <v>2.4646529009274179E-4</v>
      </c>
      <c r="AF35" s="113">
        <f>'EmVap-Vol'!AF92</f>
        <v>2.2817150860812341E-4</v>
      </c>
      <c r="AG35" s="113">
        <f>'EmVap-Vol'!AG92</f>
        <v>3.8395236382500922E-6</v>
      </c>
      <c r="AH35" s="113">
        <f>'EmVap-Vol'!AH92</f>
        <v>5.1279831171684633E-6</v>
      </c>
      <c r="AI35" s="113">
        <f>'EmVap-Vol'!AI92</f>
        <v>1.2611413325747907E-5</v>
      </c>
      <c r="AJ35" s="113">
        <f>'EmVap-Vol'!AJ92</f>
        <v>4.5819594806889035E-5</v>
      </c>
      <c r="AK35" s="113">
        <f>'EmVap-Vol'!AK92</f>
        <v>7.7391016944546818E-5</v>
      </c>
      <c r="AL35" s="113">
        <f>'EmVap-Vol'!AL92</f>
        <v>1.4278630599433753E-4</v>
      </c>
      <c r="AM35" s="113">
        <f>'EmVap-Vol'!AM92</f>
        <v>1.5863556405249825E-4</v>
      </c>
      <c r="AN35" s="113">
        <f>'EmVap-Vol'!AN92</f>
        <v>2.9535541450236951E-4</v>
      </c>
      <c r="AO35" s="113">
        <f>'EmVap-Vol'!AO92</f>
        <v>3.0788386377142191E-4</v>
      </c>
      <c r="AP35" s="113">
        <f>'EmVap-Vol'!AP92</f>
        <v>2.8731704579976333E-4</v>
      </c>
      <c r="AQ35" s="113">
        <f>'EmVap-Vol'!AQ92</f>
        <v>2.9192500142213846E-4</v>
      </c>
      <c r="AR35" s="113">
        <f>'EmVap-Vol'!AR92</f>
        <v>2.9294621573070623E-4</v>
      </c>
      <c r="AS35" s="113">
        <f>'EmVap-Vol'!AS92</f>
        <v>2.8988946436231741E-4</v>
      </c>
      <c r="AT35" s="113">
        <f>'EmVap-Vol'!AT92</f>
        <v>2.8213973569824792E-4</v>
      </c>
      <c r="AU35" s="113">
        <f>'EmVap-Vol'!AU92</f>
        <v>2.8597798373322544E-4</v>
      </c>
      <c r="AV35" s="113">
        <f>'EmVap-Vol'!AV92</f>
        <v>2.7165658799331908E-4</v>
      </c>
      <c r="AW35" s="113">
        <f>'EmVap-Vol'!AW92</f>
        <v>2.8629431493598558E-4</v>
      </c>
      <c r="AX35" s="113">
        <f>'EmVap-Vol'!AX92</f>
        <v>1.8009541037528035E-3</v>
      </c>
      <c r="AY35" s="113">
        <f>'EmVap-Vol'!AY92</f>
        <v>1.800966478964135E-3</v>
      </c>
      <c r="AZ35" s="113">
        <f>'EmVap-Vol'!AZ92</f>
        <v>2.4141653987940158E-3</v>
      </c>
      <c r="BA35" s="113">
        <f>'EmVap-Vol'!BA92</f>
        <v>3.2328484014037245E-3</v>
      </c>
      <c r="BB35" s="113">
        <f>'EmVap-Vol'!BB92</f>
        <v>5.1021758214697167E-4</v>
      </c>
      <c r="BC35" s="113">
        <f>'EmVap-Vol'!BC92</f>
        <v>455.7908091782565</v>
      </c>
      <c r="BD35" s="113">
        <f>'EmVap-Vol'!BD92</f>
        <v>5.1310072754380699E-3</v>
      </c>
      <c r="BE35" s="113">
        <f>'EmVap-Vol'!BE92</f>
        <v>2.2737255365915503E-4</v>
      </c>
      <c r="BF35" s="113">
        <f>'EmVap-Vol'!BF92</f>
        <v>2.2737255365915503E-4</v>
      </c>
      <c r="BG35" s="113">
        <f>'EmVap-Vol'!BG92</f>
        <v>6.3075831211304503E-6</v>
      </c>
      <c r="BH35" s="113">
        <f>'EmVap-Vol'!BH92</f>
        <v>2.7776157208261737E-3</v>
      </c>
      <c r="BI35" s="113">
        <f>'EmVap-Vol'!BI92</f>
        <v>2.1243048343372426E-3</v>
      </c>
    </row>
    <row r="36" spans="1:61">
      <c r="A36" s="97"/>
      <c r="B36" s="100"/>
      <c r="C36" s="2425"/>
      <c r="D36" s="2426"/>
      <c r="E36" s="3934" t="str">
        <f>'EmVap-Vol'!E114</f>
        <v>Période adulte 6-70 ans (effets sans seuil)</v>
      </c>
      <c r="F36" s="14"/>
      <c r="G36" s="105"/>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row>
    <row r="37" spans="1:61" s="2446" customFormat="1" ht="25.5">
      <c r="A37" s="2444"/>
      <c r="B37" s="2445"/>
      <c r="C37" s="4110"/>
      <c r="D37" s="4111"/>
      <c r="E37" s="3936" t="str">
        <f>'EmVap-Vol'!E115</f>
        <v>CT de l'air du sol de la source à l'émission, après contrôle masse</v>
      </c>
      <c r="F37" s="63" t="s">
        <v>204</v>
      </c>
      <c r="G37" s="515" t="str">
        <f>'EmVap-Vol'!G115</f>
        <v>(mg/m2/s)/(mg/l)</v>
      </c>
      <c r="H37" s="237">
        <f>'EmVap-Vol'!H115</f>
        <v>2.28693785113299E-4</v>
      </c>
      <c r="I37" s="237">
        <f>'EmVap-Vol'!I115</f>
        <v>2.28693785113299E-4</v>
      </c>
      <c r="J37" s="237">
        <f>'EmVap-Vol'!J115</f>
        <v>8.6048020371327604E-5</v>
      </c>
      <c r="K37" s="237">
        <f>'EmVap-Vol'!K115</f>
        <v>0</v>
      </c>
      <c r="L37" s="237">
        <f>'EmVap-Vol'!L115</f>
        <v>0</v>
      </c>
      <c r="M37" s="237">
        <f>'EmVap-Vol'!M115</f>
        <v>0</v>
      </c>
      <c r="N37" s="237">
        <f>'EmVap-Vol'!N115</f>
        <v>0</v>
      </c>
      <c r="O37" s="237">
        <f>'EmVap-Vol'!O115</f>
        <v>0</v>
      </c>
      <c r="P37" s="237">
        <f>'EmVap-Vol'!P115</f>
        <v>0</v>
      </c>
      <c r="Q37" s="237">
        <f>'EmVap-Vol'!Q115</f>
        <v>0</v>
      </c>
      <c r="R37" s="237">
        <f>'EmVap-Vol'!R115</f>
        <v>0</v>
      </c>
      <c r="S37" s="237">
        <f>'EmVap-Vol'!S115</f>
        <v>0</v>
      </c>
      <c r="T37" s="237">
        <f>'EmVap-Vol'!T115</f>
        <v>0</v>
      </c>
      <c r="U37" s="237">
        <f>'EmVap-Vol'!U115</f>
        <v>0</v>
      </c>
      <c r="V37" s="237">
        <f>'EmVap-Vol'!V115</f>
        <v>0</v>
      </c>
      <c r="W37" s="237">
        <f>'EmVap-Vol'!W115</f>
        <v>0</v>
      </c>
      <c r="X37" s="237">
        <f>'EmVap-Vol'!X115</f>
        <v>0</v>
      </c>
      <c r="Y37" s="237">
        <f>'EmVap-Vol'!Y115</f>
        <v>0</v>
      </c>
      <c r="Z37" s="237">
        <f>'EmVap-Vol'!Z115</f>
        <v>0</v>
      </c>
      <c r="AA37" s="237">
        <f>'EmVap-Vol'!AA115</f>
        <v>0</v>
      </c>
      <c r="AB37" s="237">
        <f>'EmVap-Vol'!AB115</f>
        <v>1.93253009132408E-6</v>
      </c>
      <c r="AC37" s="237">
        <f>'EmVap-Vol'!AC115</f>
        <v>3.0139939206035299E-5</v>
      </c>
      <c r="AD37" s="237">
        <f>'EmVap-Vol'!AD115</f>
        <v>7.4024875044195206E-5</v>
      </c>
      <c r="AE37" s="237">
        <f>'EmVap-Vol'!AE115</f>
        <v>1.5126755630966401E-4</v>
      </c>
      <c r="AF37" s="237">
        <f>'EmVap-Vol'!AF115</f>
        <v>2.2730444861993499E-4</v>
      </c>
      <c r="AG37" s="237">
        <f>'EmVap-Vol'!AG115</f>
        <v>0</v>
      </c>
      <c r="AH37" s="237">
        <f>'EmVap-Vol'!AH115</f>
        <v>0</v>
      </c>
      <c r="AI37" s="237">
        <f>'EmVap-Vol'!AI115</f>
        <v>0</v>
      </c>
      <c r="AJ37" s="237">
        <f>'EmVap-Vol'!AJ115</f>
        <v>6.7124361205281001E-7</v>
      </c>
      <c r="AK37" s="237">
        <f>'EmVap-Vol'!AK115</f>
        <v>1.4531759003993499E-5</v>
      </c>
      <c r="AL37" s="237">
        <f>'EmVap-Vol'!AL115</f>
        <v>6.0888359214098602E-5</v>
      </c>
      <c r="AM37" s="237">
        <f>'EmVap-Vol'!AM115</f>
        <v>1.54325525683205E-4</v>
      </c>
      <c r="AN37" s="237">
        <f>'EmVap-Vol'!AN115</f>
        <v>1.21606236120739E-4</v>
      </c>
      <c r="AO37" s="237">
        <f>'EmVap-Vol'!AO115</f>
        <v>1.830613949746E-4</v>
      </c>
      <c r="AP37" s="237">
        <f>'EmVap-Vol'!AP115</f>
        <v>1.5038532395804101E-4</v>
      </c>
      <c r="AQ37" s="237">
        <f>'EmVap-Vol'!AQ115</f>
        <v>1.9461290994546101E-4</v>
      </c>
      <c r="AR37" s="237">
        <f>'EmVap-Vol'!AR115</f>
        <v>2.58559362278968E-4</v>
      </c>
      <c r="AS37" s="237">
        <f>'EmVap-Vol'!AS115</f>
        <v>2.4861088337786898E-4</v>
      </c>
      <c r="AT37" s="237">
        <f>'EmVap-Vol'!AT115</f>
        <v>2.7860316583956901E-4</v>
      </c>
      <c r="AU37" s="237">
        <f>'EmVap-Vol'!AU115</f>
        <v>2.8251513606368799E-4</v>
      </c>
      <c r="AV37" s="237">
        <f>'EmVap-Vol'!AV115</f>
        <v>2.71171725134533E-4</v>
      </c>
      <c r="AW37" s="237">
        <f>'EmVap-Vol'!AW115</f>
        <v>2.8579248444086702E-4</v>
      </c>
      <c r="AX37" s="237">
        <f>'EmVap-Vol'!AX115</f>
        <v>1.8004940904437E-3</v>
      </c>
      <c r="AY37" s="237">
        <f>'EmVap-Vol'!AY115</f>
        <v>1.80065071868952E-3</v>
      </c>
      <c r="AZ37" s="237">
        <f>'EmVap-Vol'!AZ115</f>
        <v>2.41379196988473E-3</v>
      </c>
      <c r="BA37" s="237">
        <f>'EmVap-Vol'!BA115</f>
        <v>3.2327342862197902E-3</v>
      </c>
      <c r="BB37" s="237">
        <f>'EmVap-Vol'!BB115</f>
        <v>5.1016413665805598E-4</v>
      </c>
      <c r="BC37" s="237">
        <f>'EmVap-Vol'!BC115</f>
        <v>455.78153109349802</v>
      </c>
      <c r="BD37" s="237">
        <f>'EmVap-Vol'!BD115</f>
        <v>3.2709804647788202E-3</v>
      </c>
      <c r="BE37" s="237">
        <f>'EmVap-Vol'!BE115</f>
        <v>2.2705181812791199E-4</v>
      </c>
      <c r="BF37" s="237">
        <f>'EmVap-Vol'!BF115</f>
        <v>2.2705181812791199E-4</v>
      </c>
      <c r="BG37" s="237">
        <f>'EmVap-Vol'!BG115</f>
        <v>0</v>
      </c>
      <c r="BH37" s="237">
        <f>'EmVap-Vol'!BH115</f>
        <v>1.90647260201796E-3</v>
      </c>
      <c r="BI37" s="237">
        <f>'EmVap-Vol'!BI115</f>
        <v>8.1197390316256005E-4</v>
      </c>
    </row>
    <row r="38" spans="1:61">
      <c r="A38" s="97"/>
      <c r="B38" s="100"/>
      <c r="C38" s="2425"/>
      <c r="D38" s="2426"/>
      <c r="E38" s="3498"/>
      <c r="F38" s="14"/>
      <c r="G38" s="105"/>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row>
    <row r="39" spans="1:61">
      <c r="A39" s="4" t="s">
        <v>266</v>
      </c>
      <c r="B39" s="4" t="s">
        <v>266</v>
      </c>
      <c r="C39" s="2425"/>
      <c r="D39" s="2426"/>
      <c r="E39" s="3933" t="s">
        <v>594</v>
      </c>
      <c r="F39" s="147"/>
      <c r="G39" s="146"/>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row>
    <row r="40" spans="1:61">
      <c r="A40" s="4"/>
      <c r="B40" s="4"/>
      <c r="C40" s="2425"/>
      <c r="D40" s="2426"/>
      <c r="E40" s="3933" t="s">
        <v>268</v>
      </c>
      <c r="F40" s="147"/>
      <c r="G40" s="146"/>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row>
    <row r="41" spans="1:61" s="41" customFormat="1" ht="25.5">
      <c r="A41" s="31"/>
      <c r="B41" s="31"/>
      <c r="C41" s="2430" t="s">
        <v>593</v>
      </c>
      <c r="D41" s="2431"/>
      <c r="E41" s="3937" t="s">
        <v>205</v>
      </c>
      <c r="F41" s="14" t="s">
        <v>151</v>
      </c>
      <c r="G41" s="105" t="s">
        <v>270</v>
      </c>
      <c r="H41" s="113">
        <f>Dispers!$I28</f>
        <v>33.333333333333336</v>
      </c>
      <c r="I41" s="113">
        <f>Dispers!$I28</f>
        <v>33.333333333333336</v>
      </c>
      <c r="J41" s="113">
        <f>Dispers!$I28</f>
        <v>33.333333333333336</v>
      </c>
      <c r="K41" s="113">
        <f>Dispers!$I28</f>
        <v>33.333333333333336</v>
      </c>
      <c r="L41" s="113">
        <f>Dispers!$I28</f>
        <v>33.333333333333336</v>
      </c>
      <c r="M41" s="113">
        <f>Dispers!$I28</f>
        <v>33.333333333333336</v>
      </c>
      <c r="N41" s="113">
        <f>Dispers!$I28</f>
        <v>33.333333333333336</v>
      </c>
      <c r="O41" s="113">
        <f>Dispers!$I28</f>
        <v>33.333333333333336</v>
      </c>
      <c r="P41" s="113">
        <f>Dispers!$I28</f>
        <v>33.333333333333336</v>
      </c>
      <c r="Q41" s="113">
        <f>Dispers!$I28</f>
        <v>33.333333333333336</v>
      </c>
      <c r="R41" s="113">
        <f>Dispers!$I28</f>
        <v>33.333333333333336</v>
      </c>
      <c r="S41" s="113">
        <f>Dispers!$I28</f>
        <v>33.333333333333336</v>
      </c>
      <c r="T41" s="113">
        <f>Dispers!$I28</f>
        <v>33.333333333333336</v>
      </c>
      <c r="U41" s="113">
        <f>Dispers!$I28</f>
        <v>33.333333333333336</v>
      </c>
      <c r="V41" s="113">
        <f>Dispers!$I28</f>
        <v>33.333333333333336</v>
      </c>
      <c r="W41" s="113">
        <f>Dispers!$I28</f>
        <v>33.333333333333336</v>
      </c>
      <c r="X41" s="113">
        <f>Dispers!$I28</f>
        <v>33.333333333333336</v>
      </c>
      <c r="Y41" s="113">
        <f>Dispers!$I28</f>
        <v>33.333333333333336</v>
      </c>
      <c r="Z41" s="113">
        <f>Dispers!$I28</f>
        <v>33.333333333333336</v>
      </c>
      <c r="AA41" s="113">
        <f>Dispers!$I28</f>
        <v>33.333333333333336</v>
      </c>
      <c r="AB41" s="113">
        <f>Dispers!$I28</f>
        <v>33.333333333333336</v>
      </c>
      <c r="AC41" s="113">
        <f>Dispers!$I28</f>
        <v>33.333333333333336</v>
      </c>
      <c r="AD41" s="113">
        <f>Dispers!$I28</f>
        <v>33.333333333333336</v>
      </c>
      <c r="AE41" s="113">
        <f>Dispers!$I28</f>
        <v>33.333333333333336</v>
      </c>
      <c r="AF41" s="113">
        <f>Dispers!$I28</f>
        <v>33.333333333333336</v>
      </c>
      <c r="AG41" s="113">
        <f>Dispers!$I28</f>
        <v>33.333333333333336</v>
      </c>
      <c r="AH41" s="113">
        <f>Dispers!$I28</f>
        <v>33.333333333333336</v>
      </c>
      <c r="AI41" s="113">
        <f>Dispers!$I28</f>
        <v>33.333333333333336</v>
      </c>
      <c r="AJ41" s="113">
        <f>Dispers!$I28</f>
        <v>33.333333333333336</v>
      </c>
      <c r="AK41" s="113">
        <f>Dispers!$I28</f>
        <v>33.333333333333336</v>
      </c>
      <c r="AL41" s="113">
        <f>Dispers!$I28</f>
        <v>33.333333333333336</v>
      </c>
      <c r="AM41" s="113">
        <f>Dispers!$I28</f>
        <v>33.333333333333336</v>
      </c>
      <c r="AN41" s="113">
        <f>Dispers!$I28</f>
        <v>33.333333333333336</v>
      </c>
      <c r="AO41" s="113">
        <f>Dispers!$I28</f>
        <v>33.333333333333336</v>
      </c>
      <c r="AP41" s="113">
        <f>Dispers!$I28</f>
        <v>33.333333333333336</v>
      </c>
      <c r="AQ41" s="113">
        <f>Dispers!$I28</f>
        <v>33.333333333333336</v>
      </c>
      <c r="AR41" s="113">
        <f>Dispers!$I28</f>
        <v>33.333333333333336</v>
      </c>
      <c r="AS41" s="113">
        <f>Dispers!$I28</f>
        <v>33.333333333333336</v>
      </c>
      <c r="AT41" s="113">
        <f>Dispers!$I28</f>
        <v>33.333333333333336</v>
      </c>
      <c r="AU41" s="113">
        <f>Dispers!$I28</f>
        <v>33.333333333333336</v>
      </c>
      <c r="AV41" s="113">
        <f>Dispers!$I28</f>
        <v>33.333333333333336</v>
      </c>
      <c r="AW41" s="113">
        <f>Dispers!$I28</f>
        <v>33.333333333333336</v>
      </c>
      <c r="AX41" s="113">
        <f>Dispers!$I28</f>
        <v>33.333333333333336</v>
      </c>
      <c r="AY41" s="113">
        <f>Dispers!$I28</f>
        <v>33.333333333333336</v>
      </c>
      <c r="AZ41" s="113">
        <f>Dispers!$I28</f>
        <v>33.333333333333336</v>
      </c>
      <c r="BA41" s="113">
        <f>Dispers!$I28</f>
        <v>33.333333333333336</v>
      </c>
      <c r="BB41" s="113">
        <f>Dispers!$I28</f>
        <v>33.333333333333336</v>
      </c>
      <c r="BC41" s="113">
        <f>Dispers!$I28</f>
        <v>33.333333333333336</v>
      </c>
      <c r="BD41" s="113">
        <f>Dispers!$I28</f>
        <v>33.333333333333336</v>
      </c>
      <c r="BE41" s="113">
        <f>Dispers!$I28</f>
        <v>33.333333333333336</v>
      </c>
      <c r="BF41" s="113">
        <f>Dispers!$I28</f>
        <v>33.333333333333336</v>
      </c>
      <c r="BG41" s="113">
        <f>Dispers!$I28</f>
        <v>33.333333333333336</v>
      </c>
      <c r="BH41" s="113">
        <f>Dispers!$I28</f>
        <v>33.333333333333336</v>
      </c>
      <c r="BI41" s="113">
        <f>Dispers!$I28</f>
        <v>33.333333333333336</v>
      </c>
    </row>
    <row r="42" spans="1:61" s="41" customFormat="1">
      <c r="A42" s="31"/>
      <c r="B42" s="31"/>
      <c r="C42" s="2432"/>
      <c r="D42" s="2431"/>
      <c r="E42" s="3928" t="str">
        <f>E30</f>
        <v>Période chronique</v>
      </c>
      <c r="F42" s="14"/>
      <c r="G42" s="105"/>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row>
    <row r="43" spans="1:61">
      <c r="A43" s="97"/>
      <c r="B43" s="97"/>
      <c r="C43" s="2433"/>
      <c r="D43" s="2434"/>
      <c r="E43" s="3929" t="s">
        <v>1112</v>
      </c>
      <c r="F43" s="96" t="s">
        <v>1115</v>
      </c>
      <c r="G43" s="144" t="s">
        <v>206</v>
      </c>
      <c r="H43" s="135">
        <f>H41*H$31</f>
        <v>1.8231746261200797E-2</v>
      </c>
      <c r="I43" s="135">
        <f t="shared" ref="I43:BI43" si="0">I41*I$31</f>
        <v>1.8231746261200797E-2</v>
      </c>
      <c r="J43" s="135">
        <f>J41*J$31</f>
        <v>9.2815682131993614E-3</v>
      </c>
      <c r="K43" s="135">
        <f t="shared" si="0"/>
        <v>1.2343839941049985E-3</v>
      </c>
      <c r="L43" s="135">
        <f t="shared" si="0"/>
        <v>5.1620409666218638E-3</v>
      </c>
      <c r="M43" s="135">
        <f t="shared" si="0"/>
        <v>5.1620409666218638E-3</v>
      </c>
      <c r="N43" s="135">
        <f>N41*N$31</f>
        <v>3.3474325606228043E-3</v>
      </c>
      <c r="O43" s="135">
        <f>O41*O$31</f>
        <v>3.3474325606228043E-3</v>
      </c>
      <c r="P43" s="135">
        <f t="shared" si="0"/>
        <v>3.0661414231616022E-3</v>
      </c>
      <c r="Q43" s="135">
        <f t="shared" si="0"/>
        <v>3.0661414231616022E-3</v>
      </c>
      <c r="R43" s="135">
        <f>R41*R$31</f>
        <v>7.6277380975259936E-3</v>
      </c>
      <c r="S43" s="135">
        <f>S41*S$31</f>
        <v>6.8468776892708152E-3</v>
      </c>
      <c r="T43" s="135">
        <f>T41*T$31</f>
        <v>6.8468776892708152E-3</v>
      </c>
      <c r="U43" s="135">
        <f t="shared" si="0"/>
        <v>1.7269474773049154E-3</v>
      </c>
      <c r="V43" s="135">
        <f t="shared" si="0"/>
        <v>1.0550744015924705E-3</v>
      </c>
      <c r="W43" s="135">
        <f t="shared" si="0"/>
        <v>1.0550744015924705E-3</v>
      </c>
      <c r="X43" s="135">
        <f t="shared" si="0"/>
        <v>5.0272864659781456E-3</v>
      </c>
      <c r="Y43" s="135">
        <f t="shared" si="0"/>
        <v>5.6115951855818412E-3</v>
      </c>
      <c r="Z43" s="135">
        <f t="shared" si="0"/>
        <v>6.7540147274421942E-3</v>
      </c>
      <c r="AA43" s="135">
        <f t="shared" si="0"/>
        <v>2.8533805247148562E-3</v>
      </c>
      <c r="AB43" s="135">
        <f t="shared" si="0"/>
        <v>4.8788546543858729E-3</v>
      </c>
      <c r="AC43" s="135">
        <f t="shared" si="0"/>
        <v>8.0886151946883578E-3</v>
      </c>
      <c r="AD43" s="135">
        <f t="shared" si="0"/>
        <v>9.8726490352990352E-3</v>
      </c>
      <c r="AE43" s="135">
        <f t="shared" si="0"/>
        <v>8.8193920605648801E-3</v>
      </c>
      <c r="AF43" s="135">
        <f t="shared" si="0"/>
        <v>7.6077969368523596E-3</v>
      </c>
      <c r="AG43" s="135">
        <f t="shared" si="0"/>
        <v>7.679047276500185E-4</v>
      </c>
      <c r="AH43" s="135">
        <f t="shared" si="0"/>
        <v>1.0255966234336926E-3</v>
      </c>
      <c r="AI43" s="135">
        <f t="shared" si="0"/>
        <v>2.0128824225903452E-3</v>
      </c>
      <c r="AJ43" s="135">
        <f t="shared" si="0"/>
        <v>3.3454431740248961E-3</v>
      </c>
      <c r="AK43" s="135">
        <f t="shared" si="0"/>
        <v>4.913308270728993E-3</v>
      </c>
      <c r="AL43" s="135">
        <f t="shared" si="0"/>
        <v>5.8933439426858769E-3</v>
      </c>
      <c r="AM43" s="135">
        <f t="shared" si="0"/>
        <v>5.298687162149927E-3</v>
      </c>
      <c r="AN43" s="135">
        <f t="shared" si="0"/>
        <v>9.5214523304127698E-3</v>
      </c>
      <c r="AO43" s="135">
        <f t="shared" si="0"/>
        <v>1.1108312145897971E-2</v>
      </c>
      <c r="AP43" s="135">
        <f t="shared" si="0"/>
        <v>1.0789368247012369E-2</v>
      </c>
      <c r="AQ43" s="135">
        <f t="shared" si="0"/>
        <v>1.0251869780230021E-2</v>
      </c>
      <c r="AR43" s="135">
        <f t="shared" si="0"/>
        <v>9.8696780793096715E-3</v>
      </c>
      <c r="AS43" s="135">
        <f t="shared" si="0"/>
        <v>9.7961838036590386E-3</v>
      </c>
      <c r="AT43" s="135">
        <f t="shared" si="0"/>
        <v>9.4132903411284184E-3</v>
      </c>
      <c r="AU43" s="135">
        <f t="shared" si="0"/>
        <v>9.5410448038062076E-3</v>
      </c>
      <c r="AV43" s="135">
        <f t="shared" si="0"/>
        <v>9.0563781081935638E-3</v>
      </c>
      <c r="AW43" s="135">
        <f t="shared" si="0"/>
        <v>9.5443428055326709E-3</v>
      </c>
      <c r="AX43" s="135">
        <f t="shared" si="0"/>
        <v>6.0032899280147836E-2</v>
      </c>
      <c r="AY43" s="135">
        <f t="shared" si="0"/>
        <v>6.0032968036289165E-2</v>
      </c>
      <c r="AZ43" s="135">
        <f t="shared" si="0"/>
        <v>8.0473069347110252E-2</v>
      </c>
      <c r="BA43" s="135">
        <f t="shared" si="0"/>
        <v>0.1077618850968053</v>
      </c>
      <c r="BB43" s="135">
        <f t="shared" si="0"/>
        <v>1.7007380015682846E-2</v>
      </c>
      <c r="BC43" s="135">
        <f t="shared" si="0"/>
        <v>15193.04906356372</v>
      </c>
      <c r="BD43" s="135">
        <f t="shared" si="0"/>
        <v>0.18194635384446231</v>
      </c>
      <c r="BE43" s="135">
        <f t="shared" si="0"/>
        <v>7.5798509061910553E-3</v>
      </c>
      <c r="BF43" s="135">
        <f t="shared" si="0"/>
        <v>7.5798509061910553E-3</v>
      </c>
      <c r="BG43" s="135">
        <f t="shared" si="0"/>
        <v>1.2615166242260902E-3</v>
      </c>
      <c r="BH43" s="135">
        <f t="shared" si="0"/>
        <v>9.6983007161710155E-2</v>
      </c>
      <c r="BI43" s="135">
        <f t="shared" si="0"/>
        <v>6.8146602921150726E-2</v>
      </c>
    </row>
    <row r="44" spans="1:61">
      <c r="A44" s="97"/>
      <c r="B44" s="97"/>
      <c r="C44" s="2433"/>
      <c r="D44" s="2434"/>
      <c r="E44" s="3929" t="s">
        <v>679</v>
      </c>
      <c r="F44" s="62" t="s">
        <v>1116</v>
      </c>
      <c r="G44" s="107" t="s">
        <v>24</v>
      </c>
      <c r="H44" s="113">
        <f>H$25*H43</f>
        <v>4.8031381455205056E-7</v>
      </c>
      <c r="I44" s="113">
        <f t="shared" ref="I44:BI44" si="1">I$25*I43</f>
        <v>4.8031381455205056E-7</v>
      </c>
      <c r="J44" s="113">
        <f>J$25*J43</f>
        <v>1.605216145049942E-6</v>
      </c>
      <c r="K44" s="113">
        <f t="shared" si="1"/>
        <v>4.7564687975646877E-5</v>
      </c>
      <c r="L44" s="113">
        <f t="shared" si="1"/>
        <v>3.7189349433949616E-5</v>
      </c>
      <c r="M44" s="113">
        <f t="shared" si="1"/>
        <v>3.7189349433949616E-5</v>
      </c>
      <c r="N44" s="113">
        <f>N$25*N43</f>
        <v>4.7564687975646884E-5</v>
      </c>
      <c r="O44" s="113">
        <f>O$25*O43</f>
        <v>4.7564687975646884E-5</v>
      </c>
      <c r="P44" s="113">
        <f t="shared" si="1"/>
        <v>4.7564687975646884E-5</v>
      </c>
      <c r="Q44" s="113">
        <f t="shared" si="1"/>
        <v>4.7564687975646884E-5</v>
      </c>
      <c r="R44" s="113">
        <f>R$25*R43</f>
        <v>4.7564687975646884E-5</v>
      </c>
      <c r="S44" s="113">
        <f>S$25*S43</f>
        <v>4.0055823946092081E-5</v>
      </c>
      <c r="T44" s="113">
        <f>T$25*T43</f>
        <v>4.0055823946092081E-5</v>
      </c>
      <c r="U44" s="113">
        <f t="shared" si="1"/>
        <v>4.7564687975646884E-5</v>
      </c>
      <c r="V44" s="113">
        <f t="shared" si="1"/>
        <v>4.7564687975646891E-5</v>
      </c>
      <c r="W44" s="113">
        <f t="shared" si="1"/>
        <v>4.7564687975646891E-5</v>
      </c>
      <c r="X44" s="113">
        <f t="shared" si="1"/>
        <v>4.347881980185492E-5</v>
      </c>
      <c r="Y44" s="113">
        <f t="shared" si="1"/>
        <v>3.3635710621238901E-5</v>
      </c>
      <c r="Z44" s="113">
        <f t="shared" si="1"/>
        <v>2.3974923478124589E-5</v>
      </c>
      <c r="AA44" s="113">
        <f t="shared" si="1"/>
        <v>6.7949554250924127E-6</v>
      </c>
      <c r="AB44" s="113">
        <f t="shared" si="1"/>
        <v>1.3140025693767021E-5</v>
      </c>
      <c r="AC44" s="113">
        <f t="shared" si="1"/>
        <v>4.2509549726361795E-6</v>
      </c>
      <c r="AD44" s="113">
        <f t="shared" si="1"/>
        <v>1.0155720907590449E-6</v>
      </c>
      <c r="AE44" s="113">
        <f t="shared" si="1"/>
        <v>1.1312416638010284E-7</v>
      </c>
      <c r="AF44" s="113">
        <f t="shared" si="1"/>
        <v>4.0445823956691649E-10</v>
      </c>
      <c r="AG44" s="113">
        <f t="shared" si="1"/>
        <v>4.7564687975646884E-5</v>
      </c>
      <c r="AH44" s="113">
        <f t="shared" si="1"/>
        <v>4.7564687975646877E-5</v>
      </c>
      <c r="AI44" s="113">
        <f t="shared" si="1"/>
        <v>3.7958522922527428E-5</v>
      </c>
      <c r="AJ44" s="113">
        <f t="shared" si="1"/>
        <v>1.5017589880290949E-5</v>
      </c>
      <c r="AK44" s="113">
        <f t="shared" si="1"/>
        <v>5.0280453622581248E-6</v>
      </c>
      <c r="AL44" s="113">
        <f t="shared" si="1"/>
        <v>4.5720220125310984E-7</v>
      </c>
      <c r="AM44" s="113">
        <f t="shared" si="1"/>
        <v>2.845543107760811E-9</v>
      </c>
      <c r="AN44" s="113">
        <f t="shared" si="1"/>
        <v>4.069950976911398E-7</v>
      </c>
      <c r="AO44" s="113">
        <f t="shared" si="1"/>
        <v>1.2968306486818167E-7</v>
      </c>
      <c r="AP44" s="113">
        <f t="shared" si="1"/>
        <v>2.1072414861499236E-7</v>
      </c>
      <c r="AQ44" s="113">
        <f t="shared" si="1"/>
        <v>8.107442041384835E-8</v>
      </c>
      <c r="AR44" s="113">
        <f t="shared" si="1"/>
        <v>1.5627323118434971E-8</v>
      </c>
      <c r="AS44" s="113">
        <f t="shared" si="1"/>
        <v>2.0034256525413619E-8</v>
      </c>
      <c r="AT44" s="113">
        <f t="shared" si="1"/>
        <v>1.405250928062789E-9</v>
      </c>
      <c r="AU44" s="113">
        <f t="shared" si="1"/>
        <v>1.3702145203423006E-9</v>
      </c>
      <c r="AV44" s="113">
        <f t="shared" si="1"/>
        <v>2.0749267264427109E-10</v>
      </c>
      <c r="AW44" s="113">
        <f t="shared" si="1"/>
        <v>2.1070905960271517E-10</v>
      </c>
      <c r="AX44" s="113">
        <f t="shared" si="1"/>
        <v>4.6649461747996959E-11</v>
      </c>
      <c r="AY44" s="113">
        <f t="shared" si="1"/>
        <v>3.2015380084493945E-11</v>
      </c>
      <c r="AZ44" s="113">
        <f t="shared" si="1"/>
        <v>2.8658558622257142E-11</v>
      </c>
      <c r="BA44" s="113">
        <f t="shared" si="1"/>
        <v>6.6280683913960852E-12</v>
      </c>
      <c r="BB44" s="113">
        <f t="shared" si="1"/>
        <v>1.6562790050904963E-11</v>
      </c>
      <c r="BC44" s="113">
        <f t="shared" si="1"/>
        <v>3.930546354138076E-12</v>
      </c>
      <c r="BD44" s="113">
        <f t="shared" si="1"/>
        <v>1.7020563652702955E-7</v>
      </c>
      <c r="BE44" s="113">
        <f t="shared" si="1"/>
        <v>1.573779492239027E-10</v>
      </c>
      <c r="BF44" s="113">
        <f t="shared" si="1"/>
        <v>1.573779492239027E-10</v>
      </c>
      <c r="BG44" s="113">
        <f t="shared" si="1"/>
        <v>2.1404109589041096E-5</v>
      </c>
      <c r="BH44" s="113">
        <f t="shared" si="1"/>
        <v>1.2064485214419137E-7</v>
      </c>
      <c r="BI44" s="113">
        <f t="shared" si="1"/>
        <v>6.5592017912678736E-7</v>
      </c>
    </row>
    <row r="45" spans="1:61">
      <c r="A45" s="97"/>
      <c r="B45" s="97"/>
      <c r="C45" s="2433"/>
      <c r="D45" s="2434"/>
      <c r="E45" s="3938" t="str">
        <f>E36</f>
        <v>Période adulte 6-70 ans (effets sans seuil)</v>
      </c>
      <c r="F45" s="62"/>
      <c r="G45" s="107"/>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row>
    <row r="46" spans="1:61">
      <c r="A46" s="97"/>
      <c r="B46" s="97"/>
      <c r="C46" s="2433"/>
      <c r="D46" s="2434"/>
      <c r="E46" s="3929" t="s">
        <v>1112</v>
      </c>
      <c r="F46" s="96" t="s">
        <v>1115</v>
      </c>
      <c r="G46" s="144" t="s">
        <v>206</v>
      </c>
      <c r="H46" s="135">
        <f>H41*H$37</f>
        <v>7.6231261704433001E-3</v>
      </c>
      <c r="I46" s="135">
        <f t="shared" ref="I46:BI46" si="2">I41*I$37</f>
        <v>7.6231261704433001E-3</v>
      </c>
      <c r="J46" s="135">
        <f>J41*J$37</f>
        <v>2.8682673457109203E-3</v>
      </c>
      <c r="K46" s="135">
        <f t="shared" si="2"/>
        <v>0</v>
      </c>
      <c r="L46" s="135">
        <f t="shared" si="2"/>
        <v>0</v>
      </c>
      <c r="M46" s="135">
        <f t="shared" si="2"/>
        <v>0</v>
      </c>
      <c r="N46" s="135">
        <f>N41*N$37</f>
        <v>0</v>
      </c>
      <c r="O46" s="135">
        <f>O41*O$37</f>
        <v>0</v>
      </c>
      <c r="P46" s="135">
        <f t="shared" si="2"/>
        <v>0</v>
      </c>
      <c r="Q46" s="135">
        <f t="shared" si="2"/>
        <v>0</v>
      </c>
      <c r="R46" s="135">
        <f>R41*R$37</f>
        <v>0</v>
      </c>
      <c r="S46" s="135">
        <f>S41*S$37</f>
        <v>0</v>
      </c>
      <c r="T46" s="135">
        <f>T41*T$37</f>
        <v>0</v>
      </c>
      <c r="U46" s="135">
        <f t="shared" si="2"/>
        <v>0</v>
      </c>
      <c r="V46" s="135">
        <f t="shared" si="2"/>
        <v>0</v>
      </c>
      <c r="W46" s="135">
        <f t="shared" si="2"/>
        <v>0</v>
      </c>
      <c r="X46" s="135">
        <f t="shared" si="2"/>
        <v>0</v>
      </c>
      <c r="Y46" s="135">
        <f t="shared" si="2"/>
        <v>0</v>
      </c>
      <c r="Z46" s="135">
        <f t="shared" si="2"/>
        <v>0</v>
      </c>
      <c r="AA46" s="135">
        <f t="shared" si="2"/>
        <v>0</v>
      </c>
      <c r="AB46" s="135">
        <f t="shared" si="2"/>
        <v>6.4417669710802673E-5</v>
      </c>
      <c r="AC46" s="135">
        <f t="shared" si="2"/>
        <v>1.0046646402011767E-3</v>
      </c>
      <c r="AD46" s="135">
        <f t="shared" si="2"/>
        <v>2.467495834806507E-3</v>
      </c>
      <c r="AE46" s="135">
        <f t="shared" si="2"/>
        <v>5.0422518769888004E-3</v>
      </c>
      <c r="AF46" s="135">
        <f t="shared" si="2"/>
        <v>7.5768149539978333E-3</v>
      </c>
      <c r="AG46" s="135">
        <f t="shared" si="2"/>
        <v>0</v>
      </c>
      <c r="AH46" s="135">
        <f t="shared" si="2"/>
        <v>0</v>
      </c>
      <c r="AI46" s="135">
        <f t="shared" si="2"/>
        <v>0</v>
      </c>
      <c r="AJ46" s="135">
        <f t="shared" si="2"/>
        <v>2.2374787068427003E-5</v>
      </c>
      <c r="AK46" s="135">
        <f t="shared" si="2"/>
        <v>4.8439196679978333E-4</v>
      </c>
      <c r="AL46" s="135">
        <f t="shared" si="2"/>
        <v>2.0296119738032869E-3</v>
      </c>
      <c r="AM46" s="135">
        <f t="shared" si="2"/>
        <v>5.1441841894401671E-3</v>
      </c>
      <c r="AN46" s="135">
        <f t="shared" si="2"/>
        <v>4.0535412040246339E-3</v>
      </c>
      <c r="AO46" s="135">
        <f t="shared" si="2"/>
        <v>6.102046499153334E-3</v>
      </c>
      <c r="AP46" s="135">
        <f t="shared" si="2"/>
        <v>5.0128441319347008E-3</v>
      </c>
      <c r="AQ46" s="135">
        <f t="shared" si="2"/>
        <v>6.4870969981820339E-3</v>
      </c>
      <c r="AR46" s="135">
        <f t="shared" si="2"/>
        <v>8.6186454092989345E-3</v>
      </c>
      <c r="AS46" s="135">
        <f t="shared" si="2"/>
        <v>8.2870294459289669E-3</v>
      </c>
      <c r="AT46" s="135">
        <f t="shared" si="2"/>
        <v>9.2867721946523017E-3</v>
      </c>
      <c r="AU46" s="135">
        <f t="shared" si="2"/>
        <v>9.4171712021229332E-3</v>
      </c>
      <c r="AV46" s="135">
        <f t="shared" si="2"/>
        <v>9.039057504484433E-3</v>
      </c>
      <c r="AW46" s="135">
        <f t="shared" si="2"/>
        <v>9.526416148028901E-3</v>
      </c>
      <c r="AX46" s="135">
        <f t="shared" si="2"/>
        <v>6.0016469681456672E-2</v>
      </c>
      <c r="AY46" s="135">
        <f t="shared" si="2"/>
        <v>6.0021690622984007E-2</v>
      </c>
      <c r="AZ46" s="135">
        <f t="shared" si="2"/>
        <v>8.045973232949101E-2</v>
      </c>
      <c r="BA46" s="135">
        <f t="shared" si="2"/>
        <v>0.10775780954065968</v>
      </c>
      <c r="BB46" s="135">
        <f t="shared" si="2"/>
        <v>1.7005471221935201E-2</v>
      </c>
      <c r="BC46" s="135">
        <f t="shared" si="2"/>
        <v>15192.717703116601</v>
      </c>
      <c r="BD46" s="135">
        <f t="shared" si="2"/>
        <v>0.10903268215929401</v>
      </c>
      <c r="BE46" s="135">
        <f t="shared" si="2"/>
        <v>7.5683939375970673E-3</v>
      </c>
      <c r="BF46" s="135">
        <f t="shared" si="2"/>
        <v>7.5683939375970673E-3</v>
      </c>
      <c r="BG46" s="135">
        <f t="shared" si="2"/>
        <v>0</v>
      </c>
      <c r="BH46" s="135">
        <f t="shared" si="2"/>
        <v>6.3549086733932003E-2</v>
      </c>
      <c r="BI46" s="135">
        <f t="shared" si="2"/>
        <v>2.7065796772085336E-2</v>
      </c>
    </row>
    <row r="47" spans="1:61">
      <c r="A47" s="97"/>
      <c r="B47" s="97"/>
      <c r="C47" s="2433"/>
      <c r="D47" s="2434"/>
      <c r="E47" s="3939" t="s">
        <v>267</v>
      </c>
      <c r="F47" s="62"/>
      <c r="G47" s="107"/>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row>
    <row r="48" spans="1:61" ht="25.5">
      <c r="A48" s="97"/>
      <c r="B48" s="97"/>
      <c r="C48" s="2433" t="s">
        <v>208</v>
      </c>
      <c r="D48" s="2434"/>
      <c r="E48" s="3937" t="s">
        <v>207</v>
      </c>
      <c r="F48" s="14" t="s">
        <v>151</v>
      </c>
      <c r="G48" s="105" t="s">
        <v>152</v>
      </c>
      <c r="H48" s="113">
        <f>Dispers!$J28</f>
        <v>50</v>
      </c>
      <c r="I48" s="113">
        <f>Dispers!$J28</f>
        <v>50</v>
      </c>
      <c r="J48" s="113">
        <f>Dispers!$J28</f>
        <v>50</v>
      </c>
      <c r="K48" s="113">
        <f>Dispers!$J28</f>
        <v>50</v>
      </c>
      <c r="L48" s="113">
        <f>Dispers!$J28</f>
        <v>50</v>
      </c>
      <c r="M48" s="113">
        <f>Dispers!$J28</f>
        <v>50</v>
      </c>
      <c r="N48" s="113">
        <f>Dispers!$J28</f>
        <v>50</v>
      </c>
      <c r="O48" s="113">
        <f>Dispers!$J28</f>
        <v>50</v>
      </c>
      <c r="P48" s="113">
        <f>Dispers!$J28</f>
        <v>50</v>
      </c>
      <c r="Q48" s="113">
        <f>Dispers!$J28</f>
        <v>50</v>
      </c>
      <c r="R48" s="113">
        <f>Dispers!$J28</f>
        <v>50</v>
      </c>
      <c r="S48" s="113">
        <f>Dispers!$J28</f>
        <v>50</v>
      </c>
      <c r="T48" s="113">
        <f>Dispers!$J28</f>
        <v>50</v>
      </c>
      <c r="U48" s="113">
        <f>Dispers!$J28</f>
        <v>50</v>
      </c>
      <c r="V48" s="113">
        <f>Dispers!$J28</f>
        <v>50</v>
      </c>
      <c r="W48" s="113">
        <f>Dispers!$J28</f>
        <v>50</v>
      </c>
      <c r="X48" s="113">
        <f>Dispers!$J28</f>
        <v>50</v>
      </c>
      <c r="Y48" s="113">
        <f>Dispers!$J28</f>
        <v>50</v>
      </c>
      <c r="Z48" s="113">
        <f>Dispers!$J28</f>
        <v>50</v>
      </c>
      <c r="AA48" s="113">
        <f>Dispers!$J28</f>
        <v>50</v>
      </c>
      <c r="AB48" s="113">
        <f>Dispers!$J28</f>
        <v>50</v>
      </c>
      <c r="AC48" s="113">
        <f>Dispers!$J28</f>
        <v>50</v>
      </c>
      <c r="AD48" s="113">
        <f>Dispers!$J28</f>
        <v>50</v>
      </c>
      <c r="AE48" s="113">
        <f>Dispers!$J28</f>
        <v>50</v>
      </c>
      <c r="AF48" s="113">
        <f>Dispers!$J28</f>
        <v>50</v>
      </c>
      <c r="AG48" s="113">
        <f>Dispers!$J28</f>
        <v>50</v>
      </c>
      <c r="AH48" s="113">
        <f>Dispers!$J28</f>
        <v>50</v>
      </c>
      <c r="AI48" s="113">
        <f>Dispers!$J28</f>
        <v>50</v>
      </c>
      <c r="AJ48" s="113">
        <f>Dispers!$J28</f>
        <v>50</v>
      </c>
      <c r="AK48" s="113">
        <f>Dispers!$J28</f>
        <v>50</v>
      </c>
      <c r="AL48" s="113">
        <f>Dispers!$J28</f>
        <v>50</v>
      </c>
      <c r="AM48" s="113">
        <f>Dispers!$J28</f>
        <v>50</v>
      </c>
      <c r="AN48" s="113">
        <f>Dispers!$J28</f>
        <v>50</v>
      </c>
      <c r="AO48" s="113">
        <f>Dispers!$J28</f>
        <v>50</v>
      </c>
      <c r="AP48" s="113">
        <f>Dispers!$J28</f>
        <v>50</v>
      </c>
      <c r="AQ48" s="113">
        <f>Dispers!$J28</f>
        <v>50</v>
      </c>
      <c r="AR48" s="113">
        <f>Dispers!$J28</f>
        <v>50</v>
      </c>
      <c r="AS48" s="113">
        <f>Dispers!$J28</f>
        <v>50</v>
      </c>
      <c r="AT48" s="113">
        <f>Dispers!$J28</f>
        <v>50</v>
      </c>
      <c r="AU48" s="113">
        <f>Dispers!$J28</f>
        <v>50</v>
      </c>
      <c r="AV48" s="113">
        <f>Dispers!$J28</f>
        <v>50</v>
      </c>
      <c r="AW48" s="113">
        <f>Dispers!$J28</f>
        <v>50</v>
      </c>
      <c r="AX48" s="113">
        <f>Dispers!$J28</f>
        <v>50</v>
      </c>
      <c r="AY48" s="113">
        <f>Dispers!$J28</f>
        <v>50</v>
      </c>
      <c r="AZ48" s="113">
        <f>Dispers!$J28</f>
        <v>50</v>
      </c>
      <c r="BA48" s="113">
        <f>Dispers!$J28</f>
        <v>50</v>
      </c>
      <c r="BB48" s="113">
        <f>Dispers!$J28</f>
        <v>50</v>
      </c>
      <c r="BC48" s="113">
        <f>Dispers!$J28</f>
        <v>50</v>
      </c>
      <c r="BD48" s="113">
        <f>Dispers!$J28</f>
        <v>50</v>
      </c>
      <c r="BE48" s="113">
        <f>Dispers!$J28</f>
        <v>50</v>
      </c>
      <c r="BF48" s="113">
        <f>Dispers!$J28</f>
        <v>50</v>
      </c>
      <c r="BG48" s="113">
        <f>Dispers!$J28</f>
        <v>50</v>
      </c>
      <c r="BH48" s="113">
        <f>Dispers!$J28</f>
        <v>50</v>
      </c>
      <c r="BI48" s="113">
        <f>Dispers!$J28</f>
        <v>50</v>
      </c>
    </row>
    <row r="49" spans="1:61">
      <c r="A49" s="97"/>
      <c r="B49" s="97"/>
      <c r="C49" s="2433"/>
      <c r="D49" s="2434"/>
      <c r="E49" s="3934" t="s">
        <v>658</v>
      </c>
      <c r="F49" s="14"/>
      <c r="G49" s="105"/>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row>
    <row r="50" spans="1:61">
      <c r="A50" s="97"/>
      <c r="B50" s="97"/>
      <c r="C50" s="2110"/>
      <c r="D50" s="2434"/>
      <c r="E50" s="3929" t="s">
        <v>1113</v>
      </c>
      <c r="F50" s="96" t="s">
        <v>1115</v>
      </c>
      <c r="G50" s="144" t="s">
        <v>206</v>
      </c>
      <c r="H50" s="135">
        <f>H48*H$29</f>
        <v>3.9218508733058884E-2</v>
      </c>
      <c r="I50" s="135">
        <f t="shared" ref="I50:BI50" si="3">I48*I$29</f>
        <v>3.9218508733058884E-2</v>
      </c>
      <c r="J50" s="135">
        <f>J48*J$29</f>
        <v>3.6062575391115792E-2</v>
      </c>
      <c r="K50" s="135">
        <f t="shared" si="3"/>
        <v>7.0976157455681657E-2</v>
      </c>
      <c r="L50" s="135">
        <f t="shared" si="3"/>
        <v>4.9310193738088239E-2</v>
      </c>
      <c r="M50" s="135">
        <f t="shared" si="3"/>
        <v>4.9310193738088239E-2</v>
      </c>
      <c r="N50" s="135">
        <f>N48*N$29</f>
        <v>5.2904338294192672E-2</v>
      </c>
      <c r="O50" s="135">
        <f>O48*O$29</f>
        <v>5.2904338294192672E-2</v>
      </c>
      <c r="P50" s="135">
        <f t="shared" si="3"/>
        <v>4.8213751681365651E-2</v>
      </c>
      <c r="Q50" s="135">
        <f t="shared" si="3"/>
        <v>4.8213751681365651E-2</v>
      </c>
      <c r="R50" s="135">
        <f>R48*R$29</f>
        <v>0.68299575736355755</v>
      </c>
      <c r="S50" s="135">
        <f>S48*S$29</f>
        <v>6.9664585164850537E-2</v>
      </c>
      <c r="T50" s="135">
        <f>T48*T$29</f>
        <v>6.9664585164850537E-2</v>
      </c>
      <c r="U50" s="135">
        <f t="shared" si="3"/>
        <v>5.2230861872251427E-2</v>
      </c>
      <c r="V50" s="135">
        <f t="shared" si="3"/>
        <v>1.9071049413932843E-2</v>
      </c>
      <c r="W50" s="135">
        <f t="shared" si="3"/>
        <v>1.9071049413932843E-2</v>
      </c>
      <c r="X50" s="135">
        <f t="shared" si="3"/>
        <v>5.4883472465051313E-2</v>
      </c>
      <c r="Y50" s="135">
        <f t="shared" si="3"/>
        <v>4.9300325222519058E-2</v>
      </c>
      <c r="Z50" s="135">
        <f t="shared" si="3"/>
        <v>4.5205551526113143E-2</v>
      </c>
      <c r="AA50" s="135">
        <f t="shared" si="3"/>
        <v>4.5208843765992525E-2</v>
      </c>
      <c r="AB50" s="135">
        <f t="shared" si="3"/>
        <v>2.1205722164641904E-2</v>
      </c>
      <c r="AC50" s="135">
        <f t="shared" si="3"/>
        <v>1.9579585636652339E-2</v>
      </c>
      <c r="AD50" s="135">
        <f t="shared" si="3"/>
        <v>1.697916274703162E-2</v>
      </c>
      <c r="AE50" s="135">
        <f t="shared" si="3"/>
        <v>1.3444428889467043E-2</v>
      </c>
      <c r="AF50" s="135">
        <f t="shared" si="3"/>
        <v>1.1412319809903197E-2</v>
      </c>
      <c r="AG50" s="135">
        <f t="shared" si="3"/>
        <v>3.1412581010281534E-2</v>
      </c>
      <c r="AH50" s="135">
        <f t="shared" si="3"/>
        <v>2.5444177189059516E-2</v>
      </c>
      <c r="AI50" s="135">
        <f t="shared" si="3"/>
        <v>1.9572436471801534E-2</v>
      </c>
      <c r="AJ50" s="135">
        <f t="shared" si="3"/>
        <v>1.5902601238992384E-2</v>
      </c>
      <c r="AK50" s="135">
        <f t="shared" si="3"/>
        <v>1.2722076813536843E-2</v>
      </c>
      <c r="AL50" s="135">
        <f t="shared" si="3"/>
        <v>9.4237597727723586E-3</v>
      </c>
      <c r="AM50" s="135">
        <f t="shared" si="3"/>
        <v>7.9512972658819844E-3</v>
      </c>
      <c r="AN50" s="135">
        <f t="shared" si="3"/>
        <v>2.0092032327762435E-2</v>
      </c>
      <c r="AO50" s="135">
        <f t="shared" si="3"/>
        <v>1.6970199377086589E-2</v>
      </c>
      <c r="AP50" s="135">
        <f t="shared" si="3"/>
        <v>1.6671821072563018E-2</v>
      </c>
      <c r="AQ50" s="135">
        <f t="shared" si="3"/>
        <v>1.5555204304579318E-2</v>
      </c>
      <c r="AR50" s="135">
        <f t="shared" si="3"/>
        <v>1.4836776146293806E-2</v>
      </c>
      <c r="AS50" s="135">
        <f t="shared" si="3"/>
        <v>1.4735574774260039E-2</v>
      </c>
      <c r="AT50" s="135">
        <f t="shared" si="3"/>
        <v>1.4122530966834688E-2</v>
      </c>
      <c r="AU50" s="135">
        <f t="shared" si="3"/>
        <v>1.4314106200927854E-2</v>
      </c>
      <c r="AV50" s="135">
        <f t="shared" si="3"/>
        <v>1.3584914821544792E-2</v>
      </c>
      <c r="AW50" s="135">
        <f t="shared" si="3"/>
        <v>1.4316874009075322E-2</v>
      </c>
      <c r="AX50" s="135">
        <f t="shared" si="3"/>
        <v>9.0049677680990967E-2</v>
      </c>
      <c r="AY50" s="135">
        <f t="shared" si="3"/>
        <v>9.0049677680990967E-2</v>
      </c>
      <c r="AZ50" s="135">
        <f t="shared" si="3"/>
        <v>0.12070987084439865</v>
      </c>
      <c r="BA50" s="135">
        <f t="shared" si="3"/>
        <v>0.16164290917188312</v>
      </c>
      <c r="BB50" s="135">
        <f t="shared" si="3"/>
        <v>2.5511108207359003E-2</v>
      </c>
      <c r="BC50" s="135">
        <f t="shared" si="3"/>
        <v>22789.580224132227</v>
      </c>
      <c r="BD50" s="135">
        <f t="shared" si="3"/>
        <v>0.27672467829332864</v>
      </c>
      <c r="BE50" s="135">
        <f t="shared" si="3"/>
        <v>1.1370006150275412E-2</v>
      </c>
      <c r="BF50" s="135">
        <f t="shared" si="3"/>
        <v>1.1370006150275412E-2</v>
      </c>
      <c r="BG50" s="135">
        <f t="shared" si="3"/>
        <v>2.0563417203627317E-2</v>
      </c>
      <c r="BH50" s="135">
        <f t="shared" si="3"/>
        <v>0.14695013890628897</v>
      </c>
      <c r="BI50" s="135">
        <f t="shared" si="3"/>
        <v>0.15581721116765246</v>
      </c>
    </row>
    <row r="51" spans="1:61">
      <c r="A51" s="97"/>
      <c r="B51" s="97"/>
      <c r="C51" s="2433"/>
      <c r="D51" s="2434"/>
      <c r="E51" s="3929" t="s">
        <v>680</v>
      </c>
      <c r="F51" s="62" t="s">
        <v>1116</v>
      </c>
      <c r="G51" s="107" t="s">
        <v>24</v>
      </c>
      <c r="H51" s="113">
        <f t="shared" ref="H51:BI51" si="4">H$25*H50</f>
        <v>1.0332082983573589E-6</v>
      </c>
      <c r="I51" s="113">
        <f t="shared" si="4"/>
        <v>1.0332082983573589E-6</v>
      </c>
      <c r="J51" s="113">
        <f>J$25*J50</f>
        <v>6.236901665774183E-6</v>
      </c>
      <c r="K51" s="113">
        <f t="shared" si="4"/>
        <v>2.7349340231340659E-3</v>
      </c>
      <c r="L51" s="113">
        <f t="shared" si="4"/>
        <v>3.5524980089059617E-4</v>
      </c>
      <c r="M51" s="113">
        <f t="shared" si="4"/>
        <v>3.5524980089059617E-4</v>
      </c>
      <c r="N51" s="113">
        <f>N$25*N50</f>
        <v>7.5173384316162535E-4</v>
      </c>
      <c r="O51" s="113">
        <f>O$25*O50</f>
        <v>7.5173384316162535E-4</v>
      </c>
      <c r="P51" s="113">
        <f t="shared" si="4"/>
        <v>7.4793420731872405E-4</v>
      </c>
      <c r="Q51" s="113">
        <f t="shared" si="4"/>
        <v>7.4793420731872405E-4</v>
      </c>
      <c r="R51" s="113">
        <f>R$25*R50</f>
        <v>4.2589925967994385E-3</v>
      </c>
      <c r="S51" s="113">
        <f>S$25*S50</f>
        <v>4.0755399545306813E-4</v>
      </c>
      <c r="T51" s="113">
        <f>T$25*T50</f>
        <v>4.0755399545306813E-4</v>
      </c>
      <c r="U51" s="113">
        <f t="shared" si="4"/>
        <v>1.4385756835696207E-3</v>
      </c>
      <c r="V51" s="113">
        <f t="shared" si="4"/>
        <v>8.5975786482234823E-4</v>
      </c>
      <c r="W51" s="113">
        <f t="shared" si="4"/>
        <v>8.5975786482234823E-4</v>
      </c>
      <c r="X51" s="113">
        <f t="shared" si="4"/>
        <v>4.7466334483959878E-4</v>
      </c>
      <c r="Y51" s="113">
        <f t="shared" si="4"/>
        <v>2.955044720578289E-4</v>
      </c>
      <c r="Z51" s="113">
        <f t="shared" si="4"/>
        <v>1.6046746747847639E-4</v>
      </c>
      <c r="AA51" s="113">
        <f t="shared" si="4"/>
        <v>1.076589944976177E-4</v>
      </c>
      <c r="AB51" s="113">
        <f t="shared" si="4"/>
        <v>5.7112530263181981E-5</v>
      </c>
      <c r="AC51" s="113">
        <f t="shared" si="4"/>
        <v>1.0290010702813508E-5</v>
      </c>
      <c r="AD51" s="113">
        <f t="shared" si="4"/>
        <v>1.7465994940859048E-6</v>
      </c>
      <c r="AE51" s="113">
        <f t="shared" si="4"/>
        <v>1.7244837287346065E-7</v>
      </c>
      <c r="AF51" s="113">
        <f t="shared" si="4"/>
        <v>6.0672055497814479E-10</v>
      </c>
      <c r="AG51" s="113">
        <f t="shared" si="4"/>
        <v>1.9457226404064262E-3</v>
      </c>
      <c r="AH51" s="113">
        <f t="shared" si="4"/>
        <v>1.1800393265168868E-3</v>
      </c>
      <c r="AI51" s="113">
        <f t="shared" si="4"/>
        <v>3.690929833390428E-4</v>
      </c>
      <c r="AJ51" s="113">
        <f t="shared" si="4"/>
        <v>7.1386280087272247E-5</v>
      </c>
      <c r="AK51" s="113">
        <f t="shared" si="4"/>
        <v>1.3019166678728398E-5</v>
      </c>
      <c r="AL51" s="113">
        <f t="shared" si="4"/>
        <v>7.3108981150494521E-7</v>
      </c>
      <c r="AM51" s="113">
        <f t="shared" si="4"/>
        <v>4.2700688756094679E-9</v>
      </c>
      <c r="AN51" s="113">
        <f t="shared" si="4"/>
        <v>8.5883522558125436E-7</v>
      </c>
      <c r="AO51" s="113">
        <f t="shared" si="4"/>
        <v>1.9811717907633507E-7</v>
      </c>
      <c r="AP51" s="113">
        <f t="shared" si="4"/>
        <v>3.2561269769897244E-7</v>
      </c>
      <c r="AQ51" s="113">
        <f t="shared" si="4"/>
        <v>1.2301455251068075E-7</v>
      </c>
      <c r="AR51" s="113">
        <f t="shared" si="4"/>
        <v>2.3492062558765744E-8</v>
      </c>
      <c r="AS51" s="113">
        <f t="shared" si="4"/>
        <v>3.0135845855267768E-8</v>
      </c>
      <c r="AT51" s="113">
        <f t="shared" si="4"/>
        <v>2.108263851273169E-9</v>
      </c>
      <c r="AU51" s="113">
        <f t="shared" si="4"/>
        <v>2.0556864122898513E-9</v>
      </c>
      <c r="AV51" s="113">
        <f t="shared" si="4"/>
        <v>3.1124697426412421E-10</v>
      </c>
      <c r="AW51" s="113">
        <f t="shared" si="4"/>
        <v>3.160715326731659E-10</v>
      </c>
      <c r="AX51" s="113">
        <f t="shared" si="4"/>
        <v>6.997444809046541E-11</v>
      </c>
      <c r="AY51" s="113">
        <f t="shared" si="4"/>
        <v>4.8023190452625553E-11</v>
      </c>
      <c r="AZ51" s="113">
        <f t="shared" si="4"/>
        <v>4.2987932956275531E-11</v>
      </c>
      <c r="BA51" s="113">
        <f t="shared" si="4"/>
        <v>9.9421076015236572E-12</v>
      </c>
      <c r="BB51" s="113">
        <f t="shared" si="4"/>
        <v>2.4844222262028454E-11</v>
      </c>
      <c r="BC51" s="113">
        <f t="shared" si="4"/>
        <v>5.8958212461198405E-12</v>
      </c>
      <c r="BD51" s="113">
        <f t="shared" si="4"/>
        <v>2.5886806202182661E-7</v>
      </c>
      <c r="BE51" s="113">
        <f t="shared" si="4"/>
        <v>2.3607169491051229E-10</v>
      </c>
      <c r="BF51" s="113">
        <f t="shared" si="4"/>
        <v>2.3607169491051229E-10</v>
      </c>
      <c r="BG51" s="113">
        <f t="shared" si="4"/>
        <v>3.488987991907188E-4</v>
      </c>
      <c r="BH51" s="113">
        <f t="shared" si="4"/>
        <v>1.8280292908794349E-7</v>
      </c>
      <c r="BI51" s="113">
        <f t="shared" si="4"/>
        <v>1.4997615241126276E-6</v>
      </c>
    </row>
    <row r="52" spans="1:61" ht="25.5">
      <c r="A52" s="97"/>
      <c r="B52" s="97"/>
      <c r="C52" s="2433"/>
      <c r="D52" s="2434"/>
      <c r="E52" s="3498" t="s">
        <v>1015</v>
      </c>
      <c r="F52" s="14" t="s">
        <v>19</v>
      </c>
      <c r="G52" s="341" t="s">
        <v>18</v>
      </c>
      <c r="H52" s="113" t="str">
        <f t="shared" ref="H52:AM52" si="5">IF(H$13=0,"nd",IF(H51=0,"PVL",H$13*1000/H50/H$20))</f>
        <v>nd</v>
      </c>
      <c r="I52" s="113" t="str">
        <f t="shared" si="5"/>
        <v>nd</v>
      </c>
      <c r="J52" s="113" t="str">
        <f t="shared" si="5"/>
        <v>nd</v>
      </c>
      <c r="K52" s="113">
        <f t="shared" si="5"/>
        <v>95.066278674633637</v>
      </c>
      <c r="L52" s="113">
        <f t="shared" si="5"/>
        <v>1927.9986529671824</v>
      </c>
      <c r="M52" s="113">
        <f t="shared" si="5"/>
        <v>1927.9986529671824</v>
      </c>
      <c r="N52" s="113">
        <f t="shared" si="5"/>
        <v>2033.9715494485163</v>
      </c>
      <c r="O52" s="113">
        <f t="shared" si="5"/>
        <v>2033.9715494485163</v>
      </c>
      <c r="P52" s="113">
        <f t="shared" si="5"/>
        <v>2488.0098821662941</v>
      </c>
      <c r="Q52" s="113">
        <f t="shared" si="5"/>
        <v>2488.0098821662941</v>
      </c>
      <c r="R52" s="113">
        <f t="shared" si="5"/>
        <v>207.19672194169937</v>
      </c>
      <c r="S52" s="113">
        <f t="shared" si="5"/>
        <v>292.17718042875583</v>
      </c>
      <c r="T52" s="113">
        <f t="shared" si="5"/>
        <v>292.17718042875583</v>
      </c>
      <c r="U52" s="113">
        <f t="shared" si="5"/>
        <v>4266.1876831590153</v>
      </c>
      <c r="V52" s="113">
        <f t="shared" si="5"/>
        <v>6449.6093671674407</v>
      </c>
      <c r="W52" s="113">
        <f t="shared" si="5"/>
        <v>6449.6093671674407</v>
      </c>
      <c r="X52" s="113">
        <f t="shared" si="5"/>
        <v>319.62695179224272</v>
      </c>
      <c r="Y52" s="113">
        <f t="shared" si="5"/>
        <v>316.45145216470809</v>
      </c>
      <c r="Z52" s="113">
        <f t="shared" si="5"/>
        <v>607.61661616702293</v>
      </c>
      <c r="AA52" s="113">
        <f t="shared" si="5"/>
        <v>27.563637202416864</v>
      </c>
      <c r="AB52" s="113">
        <f t="shared" si="5"/>
        <v>297.83130274420267</v>
      </c>
      <c r="AC52" s="113">
        <f t="shared" si="5"/>
        <v>434.91685580978304</v>
      </c>
      <c r="AD52" s="113">
        <f t="shared" si="5"/>
        <v>2562.2926814477555</v>
      </c>
      <c r="AE52" s="113">
        <f t="shared" si="5"/>
        <v>25951.5298784556</v>
      </c>
      <c r="AF52" s="113">
        <f t="shared" si="5"/>
        <v>7376211.4442914734</v>
      </c>
      <c r="AG52" s="113">
        <f t="shared" si="5"/>
        <v>200.24189814339601</v>
      </c>
      <c r="AH52" s="113">
        <f t="shared" si="5"/>
        <v>1879.3695741870497</v>
      </c>
      <c r="AI52" s="113">
        <f t="shared" si="5"/>
        <v>485.90272386321863</v>
      </c>
      <c r="AJ52" s="113">
        <f t="shared" si="5"/>
        <v>964.14468142114481</v>
      </c>
      <c r="AK52" s="113">
        <f t="shared" si="5"/>
        <v>29187.736003170608</v>
      </c>
      <c r="AL52" s="113">
        <f t="shared" si="5"/>
        <v>519771.98152682721</v>
      </c>
      <c r="AM52" s="113">
        <f t="shared" si="5"/>
        <v>88991538.79473725</v>
      </c>
      <c r="AN52" s="113">
        <f t="shared" ref="AN52:BI52" si="6">IF(AN$13=0,"nd",IF(AN51=0,"PVL",AN$13*1000/AN50/AN$20))</f>
        <v>5210.8937405167699</v>
      </c>
      <c r="AO52" s="113">
        <f t="shared" si="6"/>
        <v>22589.152147135723</v>
      </c>
      <c r="AP52" s="113">
        <f t="shared" si="6"/>
        <v>13744.240113308057</v>
      </c>
      <c r="AQ52" s="113">
        <f t="shared" si="6"/>
        <v>36380.241278592614</v>
      </c>
      <c r="AR52" s="113">
        <f t="shared" si="6"/>
        <v>190502.60444018652</v>
      </c>
      <c r="AS52" s="113">
        <f t="shared" si="6"/>
        <v>148504.18078888537</v>
      </c>
      <c r="AT52" s="113">
        <f t="shared" si="6"/>
        <v>2122741.467304511</v>
      </c>
      <c r="AU52" s="113">
        <f t="shared" si="6"/>
        <v>2177033.9456257741</v>
      </c>
      <c r="AV52" s="113">
        <f t="shared" si="6"/>
        <v>14378610.785526631</v>
      </c>
      <c r="AW52" s="113">
        <f t="shared" si="6"/>
        <v>14159133.735540662</v>
      </c>
      <c r="AX52" s="113">
        <f t="shared" si="6"/>
        <v>63956190.055702098</v>
      </c>
      <c r="AY52" s="113">
        <f t="shared" si="6"/>
        <v>93190374.461511657</v>
      </c>
      <c r="AZ52" s="113">
        <f t="shared" si="6"/>
        <v>104105938.41924533</v>
      </c>
      <c r="BA52" s="113">
        <f t="shared" si="6"/>
        <v>450135854.53760463</v>
      </c>
      <c r="BB52" s="113">
        <f t="shared" si="6"/>
        <v>180134401.22682559</v>
      </c>
      <c r="BC52" s="113">
        <f t="shared" si="6"/>
        <v>759062887.81430614</v>
      </c>
      <c r="BD52" s="113">
        <f t="shared" si="6"/>
        <v>6043.7421156314331</v>
      </c>
      <c r="BE52" s="113" t="str">
        <f t="shared" si="6"/>
        <v>nd</v>
      </c>
      <c r="BF52" s="113" t="str">
        <f t="shared" si="6"/>
        <v>nd</v>
      </c>
      <c r="BG52" s="113" t="str">
        <f t="shared" si="6"/>
        <v>nd</v>
      </c>
      <c r="BH52" s="113" t="str">
        <f t="shared" si="6"/>
        <v>nd</v>
      </c>
      <c r="BI52" s="113" t="str">
        <f t="shared" si="6"/>
        <v>nd</v>
      </c>
    </row>
    <row r="53" spans="1:61" s="26" customFormat="1" ht="25.5">
      <c r="A53" s="148"/>
      <c r="B53" s="27"/>
      <c r="C53" s="2433"/>
      <c r="D53" s="2434"/>
      <c r="E53" s="3498" t="s">
        <v>1016</v>
      </c>
      <c r="F53" s="14" t="s">
        <v>19</v>
      </c>
      <c r="G53" s="2422" t="s">
        <v>20</v>
      </c>
      <c r="H53" s="113" t="str">
        <f>IF(H52&lt;'3phas'!H$23,H52,"PVL")</f>
        <v>PVL</v>
      </c>
      <c r="I53" s="113" t="str">
        <f>IF(I52&lt;'3phas'!I$23,I52,"PVL")</f>
        <v>PVL</v>
      </c>
      <c r="J53" s="113" t="str">
        <f>IF(J52&lt;'3phas'!J$23,J52,"PVL")</f>
        <v>PVL</v>
      </c>
      <c r="K53" s="113">
        <f>IF(K52&lt;'3phas'!K$23,K52,"PVL")</f>
        <v>95.066278674633637</v>
      </c>
      <c r="L53" s="113" t="str">
        <f>IF(L52&lt;'3phas'!L$23,L52,"PVL")</f>
        <v>PVL</v>
      </c>
      <c r="M53" s="113" t="str">
        <f>IF(M52&lt;'3phas'!M$23,M52,"PVL")</f>
        <v>PVL</v>
      </c>
      <c r="N53" s="113" t="str">
        <f>IF(N52&lt;'3phas'!N$23,N52,"PVL")</f>
        <v>PVL</v>
      </c>
      <c r="O53" s="113" t="str">
        <f>IF(O52&lt;'3phas'!O$23,O52,"PVL")</f>
        <v>PVL</v>
      </c>
      <c r="P53" s="113" t="str">
        <f>IF(P52&lt;'3phas'!P$23,P52,"PVL")</f>
        <v>PVL</v>
      </c>
      <c r="Q53" s="113" t="str">
        <f>IF(Q52&lt;'3phas'!Q$23,Q52,"PVL")</f>
        <v>PVL</v>
      </c>
      <c r="R53" s="113">
        <f>IF(R52&lt;'3phas'!R$23,R52,"PVL")</f>
        <v>207.19672194169937</v>
      </c>
      <c r="S53" s="113">
        <f>IF(S52&lt;'3phas'!S$23,S52,"PVL")</f>
        <v>292.17718042875583</v>
      </c>
      <c r="T53" s="113">
        <f>IF(T52&lt;'3phas'!T$23,T52,"PVL")</f>
        <v>292.17718042875583</v>
      </c>
      <c r="U53" s="113" t="str">
        <f>IF(U52&lt;'3phas'!U$23,U52,"PVL")</f>
        <v>PVL</v>
      </c>
      <c r="V53" s="113" t="str">
        <f>IF(V52&lt;'3phas'!V$23,V52,"PVL")</f>
        <v>PVL</v>
      </c>
      <c r="W53" s="113" t="str">
        <f>IF(W52&lt;'3phas'!W$23,W52,"PVL")</f>
        <v>PVL</v>
      </c>
      <c r="X53" s="113">
        <f>IF(X52&lt;'3phas'!X$23,X52,"PVL")</f>
        <v>319.62695179224272</v>
      </c>
      <c r="Y53" s="113" t="str">
        <f>IF(Y52&lt;'3phas'!Y$23,Y52,"PVL")</f>
        <v>PVL</v>
      </c>
      <c r="Z53" s="113" t="str">
        <f>IF(Z52&lt;'3phas'!Z$23,Z52,"PVL")</f>
        <v>PVL</v>
      </c>
      <c r="AA53" s="113">
        <f>IF(AA52&lt;'3phas'!AA$23,AA52,"PVL")</f>
        <v>27.563637202416864</v>
      </c>
      <c r="AB53" s="113" t="str">
        <f>IF(AB52&lt;'3phas'!AB$23,AB52,"PVL")</f>
        <v>PVL</v>
      </c>
      <c r="AC53" s="113" t="str">
        <f>IF(AC52&lt;'3phas'!AC$23,AC52,"PVL")</f>
        <v>PVL</v>
      </c>
      <c r="AD53" s="113" t="str">
        <f>IF(AD52&lt;'3phas'!AD$23,AD52,"PVL")</f>
        <v>PVL</v>
      </c>
      <c r="AE53" s="113" t="str">
        <f>IF(AE52&lt;'3phas'!AE$23,AE52,"PVL")</f>
        <v>PVL</v>
      </c>
      <c r="AF53" s="113" t="str">
        <f>IF(AF52&lt;'3phas'!AF$23,AF52,"PVL")</f>
        <v>PVL</v>
      </c>
      <c r="AG53" s="113" t="str">
        <f>IF(AG52&lt;'3phas'!AG$23,AG52,"PVL")</f>
        <v>PVL</v>
      </c>
      <c r="AH53" s="113" t="str">
        <f>IF(AH52&lt;'3phas'!AH$23,AH52,"PVL")</f>
        <v>PVL</v>
      </c>
      <c r="AI53" s="113" t="str">
        <f>IF(AI52&lt;'3phas'!AI$23,AI52,"PVL")</f>
        <v>PVL</v>
      </c>
      <c r="AJ53" s="113" t="str">
        <f>IF(AJ52&lt;'3phas'!AJ$23,AJ52,"PVL")</f>
        <v>PVL</v>
      </c>
      <c r="AK53" s="113" t="str">
        <f>IF(AK52&lt;'3phas'!AK$23,AK52,"PVL")</f>
        <v>PVL</v>
      </c>
      <c r="AL53" s="113" t="str">
        <f>IF(AL52&lt;'3phas'!AL$23,AL52,"PVL")</f>
        <v>PVL</v>
      </c>
      <c r="AM53" s="113" t="str">
        <f>IF(AM52&lt;'3phas'!AM$23,AM52,"PVL")</f>
        <v>PVL</v>
      </c>
      <c r="AN53" s="113" t="str">
        <f>IF(AN52&lt;'3phas'!AN$23,AN52,"PVL")</f>
        <v>PVL</v>
      </c>
      <c r="AO53" s="113" t="str">
        <f>IF(AO52&lt;'3phas'!AO$23,AO52,"PVL")</f>
        <v>PVL</v>
      </c>
      <c r="AP53" s="113" t="str">
        <f>IF(AP52&lt;'3phas'!AP$23,AP52,"PVL")</f>
        <v>PVL</v>
      </c>
      <c r="AQ53" s="113" t="str">
        <f>IF(AQ52&lt;'3phas'!AQ$23,AQ52,"PVL")</f>
        <v>PVL</v>
      </c>
      <c r="AR53" s="113" t="str">
        <f>IF(AR52&lt;'3phas'!AR$23,AR52,"PVL")</f>
        <v>PVL</v>
      </c>
      <c r="AS53" s="113" t="str">
        <f>IF(AS52&lt;'3phas'!AS$23,AS52,"PVL")</f>
        <v>PVL</v>
      </c>
      <c r="AT53" s="113" t="str">
        <f>IF(AT52&lt;'3phas'!AT$23,AT52,"PVL")</f>
        <v>PVL</v>
      </c>
      <c r="AU53" s="113" t="str">
        <f>IF(AU52&lt;'3phas'!AU$23,AU52,"PVL")</f>
        <v>PVL</v>
      </c>
      <c r="AV53" s="113" t="str">
        <f>IF(AV52&lt;'3phas'!AV$23,AV52,"PVL")</f>
        <v>PVL</v>
      </c>
      <c r="AW53" s="113" t="str">
        <f>IF(AW52&lt;'3phas'!AW$23,AW52,"PVL")</f>
        <v>PVL</v>
      </c>
      <c r="AX53" s="113" t="str">
        <f>IF(AX52&lt;'3phas'!AX$23,AX52,"PVL")</f>
        <v>PVL</v>
      </c>
      <c r="AY53" s="113" t="str">
        <f>IF(AY52&lt;'3phas'!AY$23,AY52,"PVL")</f>
        <v>PVL</v>
      </c>
      <c r="AZ53" s="113" t="str">
        <f>IF(AZ52&lt;'3phas'!AZ$23,AZ52,"PVL")</f>
        <v>PVL</v>
      </c>
      <c r="BA53" s="113" t="str">
        <f>IF(BA52&lt;'3phas'!BA$23,BA52,"PVL")</f>
        <v>PVL</v>
      </c>
      <c r="BB53" s="113" t="str">
        <f>IF(BB52&lt;'3phas'!BB$23,BB52,"PVL")</f>
        <v>PVL</v>
      </c>
      <c r="BC53" s="113" t="str">
        <f>IF(BC52&lt;'3phas'!BC$23,BC52,"PVL")</f>
        <v>PVL</v>
      </c>
      <c r="BD53" s="113">
        <f>IF(BD52&lt;'3phas'!BD$23,BD52,"PVL")</f>
        <v>6043.7421156314331</v>
      </c>
      <c r="BE53" s="113" t="str">
        <f>IF(BE52&lt;'3phas'!BE$23,BE52,"PVL")</f>
        <v>PVL</v>
      </c>
      <c r="BF53" s="113" t="str">
        <f>IF(BF52&lt;'3phas'!BF$23,BF52,"PVL")</f>
        <v>PVL</v>
      </c>
      <c r="BG53" s="113" t="str">
        <f>BG52</f>
        <v>nd</v>
      </c>
      <c r="BH53" s="113" t="str">
        <f>IF(BH52&lt;'3phas'!BH$23,BH52,"PVL")</f>
        <v>PVL</v>
      </c>
      <c r="BI53" s="113" t="str">
        <f>IF(BI52&lt;'3phas'!BI$23,BI52,"PVL")</f>
        <v>PVL</v>
      </c>
    </row>
    <row r="54" spans="1:61">
      <c r="A54" s="97"/>
      <c r="B54" s="97"/>
      <c r="C54" s="2433"/>
      <c r="D54" s="2434"/>
      <c r="E54" s="3928" t="str">
        <f>E42</f>
        <v>Période chronique</v>
      </c>
      <c r="F54" s="14"/>
      <c r="G54" s="105"/>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row>
    <row r="55" spans="1:61">
      <c r="A55" s="97"/>
      <c r="B55" s="97"/>
      <c r="C55" s="2110"/>
      <c r="D55" s="2434"/>
      <c r="E55" s="3929" t="s">
        <v>1113</v>
      </c>
      <c r="F55" s="96" t="s">
        <v>1115</v>
      </c>
      <c r="G55" s="144" t="s">
        <v>206</v>
      </c>
      <c r="H55" s="135">
        <f t="shared" ref="H55:AL55" si="7">H48*H$31</f>
        <v>2.7347619391801196E-2</v>
      </c>
      <c r="I55" s="135">
        <f t="shared" si="7"/>
        <v>2.7347619391801196E-2</v>
      </c>
      <c r="J55" s="135">
        <f>J48*J$31</f>
        <v>1.3922352319799042E-2</v>
      </c>
      <c r="K55" s="135">
        <f t="shared" si="7"/>
        <v>1.8515759911574979E-3</v>
      </c>
      <c r="L55" s="135">
        <f t="shared" si="7"/>
        <v>7.7430614499327949E-3</v>
      </c>
      <c r="M55" s="135">
        <f t="shared" si="7"/>
        <v>7.7430614499327949E-3</v>
      </c>
      <c r="N55" s="135">
        <f>N48*N$31</f>
        <v>5.0211488409342064E-3</v>
      </c>
      <c r="O55" s="135">
        <f>O48*O$31</f>
        <v>5.0211488409342064E-3</v>
      </c>
      <c r="P55" s="135">
        <f t="shared" si="7"/>
        <v>4.5992121347424031E-3</v>
      </c>
      <c r="Q55" s="135">
        <f t="shared" si="7"/>
        <v>4.5992121347424031E-3</v>
      </c>
      <c r="R55" s="135">
        <f>R48*R$31</f>
        <v>1.1441607146288989E-2</v>
      </c>
      <c r="S55" s="135">
        <f>S48*S$31</f>
        <v>1.0270316533906223E-2</v>
      </c>
      <c r="T55" s="135">
        <f>T48*T$31</f>
        <v>1.0270316533906223E-2</v>
      </c>
      <c r="U55" s="135">
        <f t="shared" si="7"/>
        <v>2.5904212159573729E-3</v>
      </c>
      <c r="V55" s="135">
        <f t="shared" si="7"/>
        <v>1.5826116023887056E-3</v>
      </c>
      <c r="W55" s="135">
        <f t="shared" si="7"/>
        <v>1.5826116023887056E-3</v>
      </c>
      <c r="X55" s="135">
        <f t="shared" si="7"/>
        <v>7.5409296989672175E-3</v>
      </c>
      <c r="Y55" s="135">
        <f t="shared" si="7"/>
        <v>8.4173927783727613E-3</v>
      </c>
      <c r="Z55" s="135">
        <f t="shared" si="7"/>
        <v>1.013102209116329E-2</v>
      </c>
      <c r="AA55" s="135">
        <f t="shared" si="7"/>
        <v>4.2800707870722836E-3</v>
      </c>
      <c r="AB55" s="135">
        <f t="shared" si="7"/>
        <v>7.3182819815788081E-3</v>
      </c>
      <c r="AC55" s="135">
        <f t="shared" si="7"/>
        <v>1.2132922792032538E-2</v>
      </c>
      <c r="AD55" s="135">
        <f t="shared" si="7"/>
        <v>1.4808973552948553E-2</v>
      </c>
      <c r="AE55" s="135">
        <f t="shared" si="7"/>
        <v>1.3229088090847319E-2</v>
      </c>
      <c r="AF55" s="135">
        <f t="shared" si="7"/>
        <v>1.1411695405278539E-2</v>
      </c>
      <c r="AG55" s="135">
        <f t="shared" si="7"/>
        <v>1.1518570914750277E-3</v>
      </c>
      <c r="AH55" s="135">
        <f t="shared" si="7"/>
        <v>1.5383949351505388E-3</v>
      </c>
      <c r="AI55" s="135">
        <f t="shared" si="7"/>
        <v>3.0193236338855178E-3</v>
      </c>
      <c r="AJ55" s="135">
        <f t="shared" si="7"/>
        <v>5.0181647610373437E-3</v>
      </c>
      <c r="AK55" s="135">
        <f t="shared" si="7"/>
        <v>7.3699624060934886E-3</v>
      </c>
      <c r="AL55" s="135">
        <f t="shared" si="7"/>
        <v>8.8400159140288159E-3</v>
      </c>
      <c r="AM55" s="135">
        <f t="shared" ref="AM55:BI55" si="8">AM48*AM$31</f>
        <v>7.9480307432248896E-3</v>
      </c>
      <c r="AN55" s="135">
        <f t="shared" si="8"/>
        <v>1.4282178495619153E-2</v>
      </c>
      <c r="AO55" s="135">
        <f t="shared" si="8"/>
        <v>1.6662468218846958E-2</v>
      </c>
      <c r="AP55" s="135">
        <f t="shared" si="8"/>
        <v>1.6184052370518554E-2</v>
      </c>
      <c r="AQ55" s="135">
        <f t="shared" si="8"/>
        <v>1.537780467034503E-2</v>
      </c>
      <c r="AR55" s="135">
        <f t="shared" si="8"/>
        <v>1.4804517118964506E-2</v>
      </c>
      <c r="AS55" s="135">
        <f t="shared" si="8"/>
        <v>1.4694275705488558E-2</v>
      </c>
      <c r="AT55" s="135">
        <f t="shared" si="8"/>
        <v>1.4119935511692626E-2</v>
      </c>
      <c r="AU55" s="135">
        <f t="shared" si="8"/>
        <v>1.4311567205709311E-2</v>
      </c>
      <c r="AV55" s="135">
        <f t="shared" si="8"/>
        <v>1.3584567162290345E-2</v>
      </c>
      <c r="AW55" s="135">
        <f t="shared" si="8"/>
        <v>1.4316514208299004E-2</v>
      </c>
      <c r="AX55" s="135">
        <f t="shared" si="8"/>
        <v>9.0049348920221747E-2</v>
      </c>
      <c r="AY55" s="135">
        <f t="shared" si="8"/>
        <v>9.0049452054433737E-2</v>
      </c>
      <c r="AZ55" s="135">
        <f t="shared" si="8"/>
        <v>0.12070960402066537</v>
      </c>
      <c r="BA55" s="135">
        <f t="shared" si="8"/>
        <v>0.16164282764520793</v>
      </c>
      <c r="BB55" s="135">
        <f t="shared" si="8"/>
        <v>2.551107002352427E-2</v>
      </c>
      <c r="BC55" s="135">
        <f t="shared" si="8"/>
        <v>22789.573595345577</v>
      </c>
      <c r="BD55" s="135">
        <f t="shared" si="8"/>
        <v>0.27291953076669345</v>
      </c>
      <c r="BE55" s="135">
        <f t="shared" si="8"/>
        <v>1.1369776359286583E-2</v>
      </c>
      <c r="BF55" s="135">
        <f t="shared" si="8"/>
        <v>1.1369776359286583E-2</v>
      </c>
      <c r="BG55" s="135">
        <f t="shared" si="8"/>
        <v>1.8922749363391353E-3</v>
      </c>
      <c r="BH55" s="135">
        <f t="shared" si="8"/>
        <v>0.14547451074256523</v>
      </c>
      <c r="BI55" s="135">
        <f t="shared" si="8"/>
        <v>0.1022199043817261</v>
      </c>
    </row>
    <row r="56" spans="1:61">
      <c r="A56" s="97"/>
      <c r="B56" s="97"/>
      <c r="C56" s="2433"/>
      <c r="D56" s="2434"/>
      <c r="E56" s="3929" t="s">
        <v>680</v>
      </c>
      <c r="F56" s="62" t="s">
        <v>1116</v>
      </c>
      <c r="G56" s="107" t="s">
        <v>24</v>
      </c>
      <c r="H56" s="113">
        <f t="shared" ref="H56:BI56" si="9">H$25*H55</f>
        <v>7.2047072182807573E-7</v>
      </c>
      <c r="I56" s="113">
        <f t="shared" si="9"/>
        <v>7.2047072182807573E-7</v>
      </c>
      <c r="J56" s="113">
        <f>J$25*J55</f>
        <v>2.4078242175749132E-6</v>
      </c>
      <c r="K56" s="113">
        <f t="shared" si="9"/>
        <v>7.1347031963470316E-5</v>
      </c>
      <c r="L56" s="113">
        <f t="shared" si="9"/>
        <v>5.5784024150924411E-5</v>
      </c>
      <c r="M56" s="113">
        <f t="shared" si="9"/>
        <v>5.5784024150924411E-5</v>
      </c>
      <c r="N56" s="113">
        <f>N$25*N55</f>
        <v>7.1347031963470316E-5</v>
      </c>
      <c r="O56" s="113">
        <f>O$25*O55</f>
        <v>7.1347031963470316E-5</v>
      </c>
      <c r="P56" s="113">
        <f t="shared" si="9"/>
        <v>7.1347031963470329E-5</v>
      </c>
      <c r="Q56" s="113">
        <f t="shared" si="9"/>
        <v>7.1347031963470329E-5</v>
      </c>
      <c r="R56" s="113">
        <f>R$25*R55</f>
        <v>7.1347031963470316E-5</v>
      </c>
      <c r="S56" s="113">
        <f>S$25*S55</f>
        <v>6.0083735919138122E-5</v>
      </c>
      <c r="T56" s="113">
        <f>T$25*T55</f>
        <v>6.0083735919138122E-5</v>
      </c>
      <c r="U56" s="113">
        <f t="shared" si="9"/>
        <v>7.1347031963470329E-5</v>
      </c>
      <c r="V56" s="113">
        <f t="shared" si="9"/>
        <v>7.1347031963470329E-5</v>
      </c>
      <c r="W56" s="113">
        <f t="shared" si="9"/>
        <v>7.1347031963470329E-5</v>
      </c>
      <c r="X56" s="113">
        <f t="shared" si="9"/>
        <v>6.5218229702782373E-5</v>
      </c>
      <c r="Y56" s="113">
        <f t="shared" si="9"/>
        <v>5.0453565931858349E-5</v>
      </c>
      <c r="Z56" s="113">
        <f t="shared" si="9"/>
        <v>3.5962385217186883E-5</v>
      </c>
      <c r="AA56" s="113">
        <f t="shared" si="9"/>
        <v>1.0192433137638617E-5</v>
      </c>
      <c r="AB56" s="113">
        <f t="shared" si="9"/>
        <v>1.9710038540650529E-5</v>
      </c>
      <c r="AC56" s="113">
        <f t="shared" si="9"/>
        <v>6.3764324589542693E-6</v>
      </c>
      <c r="AD56" s="113">
        <f t="shared" si="9"/>
        <v>1.5233581361385675E-6</v>
      </c>
      <c r="AE56" s="113">
        <f t="shared" si="9"/>
        <v>1.6968624957015424E-7</v>
      </c>
      <c r="AF56" s="113">
        <f t="shared" si="9"/>
        <v>6.0668735935037466E-10</v>
      </c>
      <c r="AG56" s="113">
        <f t="shared" si="9"/>
        <v>7.1347031963470316E-5</v>
      </c>
      <c r="AH56" s="113">
        <f t="shared" si="9"/>
        <v>7.1347031963470316E-5</v>
      </c>
      <c r="AI56" s="113">
        <f t="shared" si="9"/>
        <v>5.6937784383791142E-5</v>
      </c>
      <c r="AJ56" s="113">
        <f t="shared" si="9"/>
        <v>2.2526384820436422E-5</v>
      </c>
      <c r="AK56" s="113">
        <f t="shared" si="9"/>
        <v>7.5420680433871868E-6</v>
      </c>
      <c r="AL56" s="113">
        <f t="shared" si="9"/>
        <v>6.8580330187966476E-7</v>
      </c>
      <c r="AM56" s="113">
        <f t="shared" si="9"/>
        <v>4.2683146616412163E-9</v>
      </c>
      <c r="AN56" s="113">
        <f t="shared" si="9"/>
        <v>6.1049264653670964E-7</v>
      </c>
      <c r="AO56" s="113">
        <f t="shared" si="9"/>
        <v>1.9452459730227252E-7</v>
      </c>
      <c r="AP56" s="113">
        <f t="shared" si="9"/>
        <v>3.1608622292248852E-7</v>
      </c>
      <c r="AQ56" s="113">
        <f t="shared" si="9"/>
        <v>1.216116306207725E-7</v>
      </c>
      <c r="AR56" s="113">
        <f t="shared" si="9"/>
        <v>2.3440984677652456E-8</v>
      </c>
      <c r="AS56" s="113">
        <f t="shared" si="9"/>
        <v>3.0051384788120428E-8</v>
      </c>
      <c r="AT56" s="113">
        <f t="shared" si="9"/>
        <v>2.1078763920941833E-9</v>
      </c>
      <c r="AU56" s="113">
        <f t="shared" si="9"/>
        <v>2.0553217805134508E-9</v>
      </c>
      <c r="AV56" s="113">
        <f t="shared" si="9"/>
        <v>3.1123900896640659E-10</v>
      </c>
      <c r="AW56" s="113">
        <f t="shared" si="9"/>
        <v>3.1606358940407268E-10</v>
      </c>
      <c r="AX56" s="113">
        <f t="shared" si="9"/>
        <v>6.9974192621995432E-11</v>
      </c>
      <c r="AY56" s="113">
        <f t="shared" si="9"/>
        <v>4.8023070126740912E-11</v>
      </c>
      <c r="AZ56" s="113">
        <f t="shared" si="9"/>
        <v>4.2987837933385708E-11</v>
      </c>
      <c r="BA56" s="113">
        <f t="shared" si="9"/>
        <v>9.9421025870941266E-12</v>
      </c>
      <c r="BB56" s="113">
        <f t="shared" si="9"/>
        <v>2.4844185076357444E-11</v>
      </c>
      <c r="BC56" s="113">
        <f t="shared" si="9"/>
        <v>5.895819531207114E-12</v>
      </c>
      <c r="BD56" s="113">
        <f t="shared" si="9"/>
        <v>2.553084547905443E-7</v>
      </c>
      <c r="BE56" s="113">
        <f t="shared" si="9"/>
        <v>2.3606692383585402E-10</v>
      </c>
      <c r="BF56" s="113">
        <f t="shared" si="9"/>
        <v>2.3606692383585402E-10</v>
      </c>
      <c r="BG56" s="113">
        <f t="shared" si="9"/>
        <v>3.2106164383561647E-5</v>
      </c>
      <c r="BH56" s="113">
        <f t="shared" si="9"/>
        <v>1.8096727821628707E-7</v>
      </c>
      <c r="BI56" s="113">
        <f t="shared" si="9"/>
        <v>9.8388026869018109E-7</v>
      </c>
    </row>
    <row r="57" spans="1:61">
      <c r="A57" s="97"/>
      <c r="B57" s="97"/>
      <c r="C57" s="2433"/>
      <c r="D57" s="2434"/>
      <c r="E57" s="3927" t="s">
        <v>950</v>
      </c>
      <c r="F57" s="62"/>
      <c r="G57" s="107"/>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row>
    <row r="58" spans="1:61">
      <c r="A58" s="97"/>
      <c r="B58" s="97"/>
      <c r="C58" s="2110"/>
      <c r="D58" s="2434"/>
      <c r="E58" s="3929" t="s">
        <v>1113</v>
      </c>
      <c r="F58" s="96" t="s">
        <v>1115</v>
      </c>
      <c r="G58" s="144" t="s">
        <v>206</v>
      </c>
      <c r="H58" s="135">
        <f t="shared" ref="H58:AL58" si="10">H48*H$33</f>
        <v>3.8652354142466955E-2</v>
      </c>
      <c r="I58" s="135">
        <f t="shared" si="10"/>
        <v>3.8652354142466955E-2</v>
      </c>
      <c r="J58" s="135">
        <f>J48*J$33</f>
        <v>3.3078630926481181E-2</v>
      </c>
      <c r="K58" s="135">
        <f t="shared" si="10"/>
        <v>9.9228228779654967E-3</v>
      </c>
      <c r="L58" s="135">
        <f t="shared" si="10"/>
        <v>1.676067407100492E-2</v>
      </c>
      <c r="M58" s="135">
        <f t="shared" si="10"/>
        <v>1.676067407100492E-2</v>
      </c>
      <c r="N58" s="135">
        <f>N48*N$33</f>
        <v>1.3181344583332331E-2</v>
      </c>
      <c r="O58" s="135">
        <f>O48*O$33</f>
        <v>1.3181344583332331E-2</v>
      </c>
      <c r="P58" s="135">
        <f t="shared" si="10"/>
        <v>1.203850098584318E-2</v>
      </c>
      <c r="Q58" s="135">
        <f t="shared" si="10"/>
        <v>1.203850098584318E-2</v>
      </c>
      <c r="R58" s="135">
        <f>R48*R$33</f>
        <v>6.8462075547466902E-2</v>
      </c>
      <c r="S58" s="135">
        <f>S48*S$33</f>
        <v>2.2408881973398666E-2</v>
      </c>
      <c r="T58" s="135">
        <f>T48*T$33</f>
        <v>2.2408881973398666E-2</v>
      </c>
      <c r="U58" s="135">
        <f t="shared" si="10"/>
        <v>9.7862966420717169E-3</v>
      </c>
      <c r="V58" s="135">
        <f t="shared" si="10"/>
        <v>4.4841575035482984E-3</v>
      </c>
      <c r="W58" s="135">
        <f t="shared" si="10"/>
        <v>4.4841575035482984E-3</v>
      </c>
      <c r="X58" s="135">
        <f t="shared" si="10"/>
        <v>1.6589893425298888E-2</v>
      </c>
      <c r="Y58" s="135">
        <f t="shared" si="10"/>
        <v>1.8012557413601474E-2</v>
      </c>
      <c r="Z58" s="135">
        <f t="shared" si="10"/>
        <v>2.0710079191963077E-2</v>
      </c>
      <c r="AA58" s="135">
        <f t="shared" si="10"/>
        <v>2.369641954020445E-2</v>
      </c>
      <c r="AB58" s="135">
        <f t="shared" si="10"/>
        <v>1.3411310594048305E-2</v>
      </c>
      <c r="AC58" s="135">
        <f t="shared" si="10"/>
        <v>1.7105833091585632E-2</v>
      </c>
      <c r="AD58" s="135">
        <f t="shared" si="10"/>
        <v>1.6527416458270636E-2</v>
      </c>
      <c r="AE58" s="135">
        <f t="shared" si="10"/>
        <v>1.3407463378652449E-2</v>
      </c>
      <c r="AF58" s="135">
        <f t="shared" si="10"/>
        <v>1.1412215447804687E-2</v>
      </c>
      <c r="AG58" s="135">
        <f t="shared" si="10"/>
        <v>5.1345752907856028E-3</v>
      </c>
      <c r="AH58" s="135">
        <f t="shared" si="10"/>
        <v>5.2073210961737712E-3</v>
      </c>
      <c r="AI58" s="135">
        <f t="shared" si="10"/>
        <v>6.5506769057359065E-3</v>
      </c>
      <c r="AJ58" s="135">
        <f t="shared" si="10"/>
        <v>9.4507418878712526E-3</v>
      </c>
      <c r="AK58" s="135">
        <f t="shared" si="10"/>
        <v>1.0800951006422678E-2</v>
      </c>
      <c r="AL58" s="135">
        <f t="shared" si="10"/>
        <v>9.3154272739643471E-3</v>
      </c>
      <c r="AM58" s="135">
        <f t="shared" ref="AM58:BI58" si="11">AM48*AM$33</f>
        <v>7.9507509801336092E-3</v>
      </c>
      <c r="AN58" s="135">
        <f t="shared" si="11"/>
        <v>1.9824773719939459E-2</v>
      </c>
      <c r="AO58" s="135">
        <f t="shared" si="11"/>
        <v>1.6917185933079663E-2</v>
      </c>
      <c r="AP58" s="135">
        <f t="shared" si="11"/>
        <v>1.65862020523369E-2</v>
      </c>
      <c r="AQ58" s="135">
        <f t="shared" si="11"/>
        <v>1.552498646088081E-2</v>
      </c>
      <c r="AR58" s="135">
        <f t="shared" si="11"/>
        <v>1.4831365339683027E-2</v>
      </c>
      <c r="AS58" s="135">
        <f t="shared" si="11"/>
        <v>1.4728640417519976E-2</v>
      </c>
      <c r="AT58" s="135">
        <f t="shared" si="11"/>
        <v>1.4122097073012606E-2</v>
      </c>
      <c r="AU58" s="135">
        <f t="shared" si="11"/>
        <v>1.4313681750283434E-2</v>
      </c>
      <c r="AV58" s="135">
        <f t="shared" si="11"/>
        <v>1.3584856717147034E-2</v>
      </c>
      <c r="AW58" s="135">
        <f t="shared" si="11"/>
        <v>1.4316813875448127E-2</v>
      </c>
      <c r="AX58" s="135">
        <f t="shared" si="11"/>
        <v>9.0049622732737755E-2</v>
      </c>
      <c r="AY58" s="135">
        <f t="shared" si="11"/>
        <v>9.004963997727608E-2</v>
      </c>
      <c r="AZ58" s="135">
        <f t="shared" si="11"/>
        <v>0.12070982625129226</v>
      </c>
      <c r="BA58" s="135">
        <f t="shared" si="11"/>
        <v>0.16164289554396097</v>
      </c>
      <c r="BB58" s="135">
        <f t="shared" si="11"/>
        <v>2.5511101826831147E-2</v>
      </c>
      <c r="BC58" s="135">
        <f t="shared" si="11"/>
        <v>22789.579112793133</v>
      </c>
      <c r="BD58" s="135">
        <f t="shared" si="11"/>
        <v>0.27607396430767261</v>
      </c>
      <c r="BE58" s="135">
        <f t="shared" si="11"/>
        <v>1.1369967745642057E-2</v>
      </c>
      <c r="BF58" s="135">
        <f t="shared" si="11"/>
        <v>1.1369967745642057E-2</v>
      </c>
      <c r="BG58" s="135">
        <f t="shared" si="11"/>
        <v>5.0563612212458191E-3</v>
      </c>
      <c r="BH58" s="135">
        <f t="shared" si="11"/>
        <v>0.14669935681764645</v>
      </c>
      <c r="BI58" s="135">
        <f t="shared" si="11"/>
        <v>0.15295222483618814</v>
      </c>
    </row>
    <row r="59" spans="1:61">
      <c r="A59" s="97"/>
      <c r="B59" s="97"/>
      <c r="C59" s="2433"/>
      <c r="D59" s="2434"/>
      <c r="E59" s="3929" t="s">
        <v>680</v>
      </c>
      <c r="F59" s="62" t="s">
        <v>1116</v>
      </c>
      <c r="G59" s="107" t="s">
        <v>24</v>
      </c>
      <c r="H59" s="113">
        <f t="shared" ref="H59:BI59" si="12">H$25*H58</f>
        <v>1.0182930035119022E-6</v>
      </c>
      <c r="I59" s="113">
        <f t="shared" si="12"/>
        <v>1.0182930035119022E-6</v>
      </c>
      <c r="J59" s="113">
        <f>J$25*J58</f>
        <v>5.720838461740173E-6</v>
      </c>
      <c r="K59" s="113">
        <f t="shared" si="12"/>
        <v>3.8235749676116768E-4</v>
      </c>
      <c r="L59" s="113">
        <f t="shared" si="12"/>
        <v>1.2075041031358806E-4</v>
      </c>
      <c r="M59" s="113">
        <f t="shared" si="12"/>
        <v>1.2075041031358806E-4</v>
      </c>
      <c r="N59" s="113">
        <f>N$25*N58</f>
        <v>1.8729773665374029E-4</v>
      </c>
      <c r="O59" s="113">
        <f>O$25*O58</f>
        <v>1.8729773665374029E-4</v>
      </c>
      <c r="P59" s="113">
        <f t="shared" si="12"/>
        <v>1.8675183693768216E-4</v>
      </c>
      <c r="Q59" s="113">
        <f t="shared" si="12"/>
        <v>1.8675183693768216E-4</v>
      </c>
      <c r="R59" s="113">
        <f>R$25*R58</f>
        <v>4.2691256830601092E-4</v>
      </c>
      <c r="S59" s="113">
        <f>S$25*S58</f>
        <v>1.3109716163935264E-4</v>
      </c>
      <c r="T59" s="113">
        <f>T$25*T58</f>
        <v>1.3109716163935264E-4</v>
      </c>
      <c r="U59" s="113">
        <f t="shared" si="12"/>
        <v>2.6954041876461486E-4</v>
      </c>
      <c r="V59" s="113">
        <f t="shared" si="12"/>
        <v>2.0215403972270219E-4</v>
      </c>
      <c r="W59" s="113">
        <f t="shared" si="12"/>
        <v>2.0215403972270219E-4</v>
      </c>
      <c r="X59" s="113">
        <f t="shared" si="12"/>
        <v>1.4347879152142268E-4</v>
      </c>
      <c r="Y59" s="113">
        <f t="shared" si="12"/>
        <v>1.0796665630283364E-4</v>
      </c>
      <c r="Z59" s="113">
        <f t="shared" si="12"/>
        <v>7.3515173402835117E-5</v>
      </c>
      <c r="AA59" s="113">
        <f t="shared" si="12"/>
        <v>5.6429947956579937E-5</v>
      </c>
      <c r="AB59" s="113">
        <f t="shared" si="12"/>
        <v>3.6120150788764775E-5</v>
      </c>
      <c r="AC59" s="113">
        <f t="shared" si="12"/>
        <v>8.9899351732681966E-6</v>
      </c>
      <c r="AD59" s="113">
        <f t="shared" si="12"/>
        <v>1.7001296032461424E-6</v>
      </c>
      <c r="AE59" s="113">
        <f t="shared" si="12"/>
        <v>1.719742253849491E-7</v>
      </c>
      <c r="AF59" s="113">
        <f t="shared" si="12"/>
        <v>6.0671500670825921E-10</v>
      </c>
      <c r="AG59" s="113">
        <f t="shared" si="12"/>
        <v>3.1804006773219356E-4</v>
      </c>
      <c r="AH59" s="113">
        <f t="shared" si="12"/>
        <v>2.415029432324592E-4</v>
      </c>
      <c r="AI59" s="113">
        <f t="shared" si="12"/>
        <v>1.2353131841871752E-4</v>
      </c>
      <c r="AJ59" s="113">
        <f t="shared" si="12"/>
        <v>4.2424085047537832E-5</v>
      </c>
      <c r="AK59" s="113">
        <f t="shared" si="12"/>
        <v>1.1053178148694319E-5</v>
      </c>
      <c r="AL59" s="113">
        <f t="shared" si="12"/>
        <v>7.2268543914793334E-7</v>
      </c>
      <c r="AM59" s="113">
        <f t="shared" si="12"/>
        <v>4.2697755048935549E-9</v>
      </c>
      <c r="AN59" s="113">
        <f t="shared" si="12"/>
        <v>8.4741123904799462E-7</v>
      </c>
      <c r="AO59" s="113">
        <f t="shared" si="12"/>
        <v>1.9749827804008948E-7</v>
      </c>
      <c r="AP59" s="113">
        <f t="shared" si="12"/>
        <v>3.2394049644220332E-7</v>
      </c>
      <c r="AQ59" s="113">
        <f t="shared" si="12"/>
        <v>1.2277558203831512E-7</v>
      </c>
      <c r="AR59" s="113">
        <f t="shared" si="12"/>
        <v>2.3483495265834956E-8</v>
      </c>
      <c r="AS59" s="113">
        <f t="shared" si="12"/>
        <v>3.012166434494155E-8</v>
      </c>
      <c r="AT59" s="113">
        <f t="shared" si="12"/>
        <v>2.1081990779926194E-9</v>
      </c>
      <c r="AU59" s="113">
        <f t="shared" si="12"/>
        <v>2.0556254558172519E-9</v>
      </c>
      <c r="AV59" s="113">
        <f t="shared" si="12"/>
        <v>3.1124564302147514E-10</v>
      </c>
      <c r="AW59" s="113">
        <f t="shared" si="12"/>
        <v>3.1607020511187696E-10</v>
      </c>
      <c r="AX59" s="113">
        <f t="shared" si="12"/>
        <v>6.9974405392103897E-11</v>
      </c>
      <c r="AY59" s="113">
        <f t="shared" si="12"/>
        <v>4.8023170345361128E-11</v>
      </c>
      <c r="AZ59" s="113">
        <f t="shared" si="12"/>
        <v>4.2987917075507416E-11</v>
      </c>
      <c r="BA59" s="113">
        <f t="shared" si="12"/>
        <v>9.9421067633163458E-12</v>
      </c>
      <c r="BB59" s="113">
        <f t="shared" si="12"/>
        <v>2.4844216048293996E-11</v>
      </c>
      <c r="BC59" s="113">
        <f t="shared" si="12"/>
        <v>5.8958209586087683E-12</v>
      </c>
      <c r="BD59" s="113">
        <f t="shared" si="12"/>
        <v>2.5825933760506635E-7</v>
      </c>
      <c r="BE59" s="113">
        <f t="shared" si="12"/>
        <v>2.3607089752775202E-10</v>
      </c>
      <c r="BF59" s="113">
        <f t="shared" si="12"/>
        <v>2.3607089752775202E-10</v>
      </c>
      <c r="BG59" s="113">
        <f t="shared" si="12"/>
        <v>8.5791108593370901E-5</v>
      </c>
      <c r="BH59" s="113">
        <f t="shared" si="12"/>
        <v>1.824909613640077E-7</v>
      </c>
      <c r="BI59" s="113">
        <f t="shared" si="12"/>
        <v>1.4721856470009804E-6</v>
      </c>
    </row>
    <row r="60" spans="1:61" ht="25.5">
      <c r="A60" s="97"/>
      <c r="B60" s="97"/>
      <c r="C60" s="2110"/>
      <c r="D60" s="2111"/>
      <c r="E60" s="3498" t="s">
        <v>1015</v>
      </c>
      <c r="F60" s="14" t="s">
        <v>19</v>
      </c>
      <c r="G60" s="341" t="s">
        <v>18</v>
      </c>
      <c r="H60" s="113" t="str">
        <f t="shared" ref="H60:AM60" si="13">IF(H$13=0,"nd",IF(H59=0,"PVL",H$13*1000/H58/H$20))</f>
        <v>nd</v>
      </c>
      <c r="I60" s="113" t="str">
        <f t="shared" si="13"/>
        <v>nd</v>
      </c>
      <c r="J60" s="113" t="str">
        <f t="shared" si="13"/>
        <v>nd</v>
      </c>
      <c r="K60" s="113">
        <f t="shared" si="13"/>
        <v>679.99189816436126</v>
      </c>
      <c r="L60" s="113">
        <f t="shared" si="13"/>
        <v>5672.2054675027039</v>
      </c>
      <c r="M60" s="113">
        <f t="shared" si="13"/>
        <v>5672.2054675027039</v>
      </c>
      <c r="N60" s="113">
        <f t="shared" si="13"/>
        <v>8163.500942753145</v>
      </c>
      <c r="O60" s="113">
        <f t="shared" si="13"/>
        <v>8163.500942753145</v>
      </c>
      <c r="P60" s="113">
        <f t="shared" si="13"/>
        <v>9964.3876576173025</v>
      </c>
      <c r="Q60" s="113">
        <f t="shared" si="13"/>
        <v>9964.3876576173025</v>
      </c>
      <c r="R60" s="113">
        <f t="shared" si="13"/>
        <v>2067.0492516356881</v>
      </c>
      <c r="S60" s="113">
        <f t="shared" si="13"/>
        <v>908.31850037710251</v>
      </c>
      <c r="T60" s="113">
        <f t="shared" si="13"/>
        <v>908.31850037710251</v>
      </c>
      <c r="U60" s="113">
        <f t="shared" si="13"/>
        <v>22769.252532386694</v>
      </c>
      <c r="V60" s="113">
        <f t="shared" si="13"/>
        <v>27430.084434921002</v>
      </c>
      <c r="W60" s="113">
        <f t="shared" si="13"/>
        <v>27430.084434921002</v>
      </c>
      <c r="X60" s="113">
        <f t="shared" si="13"/>
        <v>1057.4050452323381</v>
      </c>
      <c r="Y60" s="113">
        <f t="shared" si="13"/>
        <v>866.12684421357847</v>
      </c>
      <c r="Z60" s="113">
        <f t="shared" si="13"/>
        <v>1326.2935402448961</v>
      </c>
      <c r="AA60" s="113">
        <f t="shared" si="13"/>
        <v>52.586854558020363</v>
      </c>
      <c r="AB60" s="113">
        <f t="shared" si="13"/>
        <v>470.92547843383164</v>
      </c>
      <c r="AC60" s="113">
        <f t="shared" si="13"/>
        <v>497.8121660347544</v>
      </c>
      <c r="AD60" s="113">
        <f t="shared" si="13"/>
        <v>2632.3282016687167</v>
      </c>
      <c r="AE60" s="113">
        <f t="shared" si="13"/>
        <v>26023.08044184589</v>
      </c>
      <c r="AF60" s="113">
        <f t="shared" si="13"/>
        <v>7376278.898057037</v>
      </c>
      <c r="AG60" s="113">
        <f t="shared" si="13"/>
        <v>1225.050659666063</v>
      </c>
      <c r="AH60" s="113">
        <f t="shared" si="13"/>
        <v>9183.0351088737389</v>
      </c>
      <c r="AI60" s="113">
        <f t="shared" si="13"/>
        <v>1451.8041923210646</v>
      </c>
      <c r="AJ60" s="113">
        <f t="shared" si="13"/>
        <v>1622.3497146835514</v>
      </c>
      <c r="AK60" s="113">
        <f t="shared" si="13"/>
        <v>34379.252273690014</v>
      </c>
      <c r="AL60" s="113">
        <f t="shared" si="13"/>
        <v>525816.59933266509</v>
      </c>
      <c r="AM60" s="113">
        <f t="shared" si="13"/>
        <v>88997653.287505403</v>
      </c>
      <c r="AN60" s="113">
        <f t="shared" ref="AN60:BI60" si="14">IF(AN$13=0,"nd",IF(AN59=0,"PVL",AN$13*1000/AN58/AN$20))</f>
        <v>5281.1420180647383</v>
      </c>
      <c r="AO60" s="113">
        <f t="shared" si="14"/>
        <v>22659.939851264127</v>
      </c>
      <c r="AP60" s="113">
        <f t="shared" si="14"/>
        <v>13815.188746909691</v>
      </c>
      <c r="AQ60" s="113">
        <f t="shared" si="14"/>
        <v>36451.051803770235</v>
      </c>
      <c r="AR60" s="113">
        <f t="shared" si="14"/>
        <v>190572.10395879913</v>
      </c>
      <c r="AS60" s="113">
        <f t="shared" si="14"/>
        <v>148574.09769484474</v>
      </c>
      <c r="AT60" s="113">
        <f t="shared" si="14"/>
        <v>2122806.6873921352</v>
      </c>
      <c r="AU60" s="113">
        <f t="shared" si="14"/>
        <v>2177098.5022840304</v>
      </c>
      <c r="AV60" s="113">
        <f t="shared" si="14"/>
        <v>14378672.28492539</v>
      </c>
      <c r="AW60" s="113">
        <f t="shared" si="14"/>
        <v>14159193.206878133</v>
      </c>
      <c r="AX60" s="113">
        <f t="shared" si="14"/>
        <v>63956229.0817504</v>
      </c>
      <c r="AY60" s="113">
        <f t="shared" si="14"/>
        <v>93190413.480249658</v>
      </c>
      <c r="AZ60" s="113">
        <f t="shared" si="14"/>
        <v>104105976.87847711</v>
      </c>
      <c r="BA60" s="113">
        <f t="shared" si="14"/>
        <v>450135892.48802835</v>
      </c>
      <c r="BB60" s="113">
        <f t="shared" si="14"/>
        <v>180134446.27986068</v>
      </c>
      <c r="BC60" s="113">
        <f t="shared" si="14"/>
        <v>759062924.83018327</v>
      </c>
      <c r="BD60" s="113">
        <f t="shared" si="14"/>
        <v>6057.9873833088914</v>
      </c>
      <c r="BE60" s="113" t="str">
        <f t="shared" si="14"/>
        <v>nd</v>
      </c>
      <c r="BF60" s="113" t="str">
        <f t="shared" si="14"/>
        <v>nd</v>
      </c>
      <c r="BG60" s="113" t="str">
        <f t="shared" si="14"/>
        <v>nd</v>
      </c>
      <c r="BH60" s="113" t="str">
        <f t="shared" si="14"/>
        <v>nd</v>
      </c>
      <c r="BI60" s="113" t="str">
        <f t="shared" si="14"/>
        <v>nd</v>
      </c>
    </row>
    <row r="61" spans="1:61" s="2443" customFormat="1" ht="25.5">
      <c r="A61" s="2438"/>
      <c r="B61" s="2439"/>
      <c r="C61" s="2110"/>
      <c r="D61" s="2111"/>
      <c r="E61" s="3498" t="s">
        <v>1016</v>
      </c>
      <c r="F61" s="2440" t="s">
        <v>19</v>
      </c>
      <c r="G61" s="2431" t="s">
        <v>20</v>
      </c>
      <c r="H61" s="2442" t="str">
        <f>IF(H60&lt;'3phas'!H$23,H60,"PVL")</f>
        <v>PVL</v>
      </c>
      <c r="I61" s="2442" t="str">
        <f>IF(I60&lt;'3phas'!I$23,I60,"PVL")</f>
        <v>PVL</v>
      </c>
      <c r="J61" s="2442" t="str">
        <f>IF(J60&lt;'3phas'!J$23,J60,"PVL")</f>
        <v>PVL</v>
      </c>
      <c r="K61" s="2442" t="str">
        <f>IF(K60&lt;'3phas'!K$23,K60,"PVL")</f>
        <v>PVL</v>
      </c>
      <c r="L61" s="2442" t="str">
        <f>IF(L60&lt;'3phas'!L$23,L60,"PVL")</f>
        <v>PVL</v>
      </c>
      <c r="M61" s="2442" t="str">
        <f>IF(M60&lt;'3phas'!M$23,M60,"PVL")</f>
        <v>PVL</v>
      </c>
      <c r="N61" s="2442" t="str">
        <f>IF(N60&lt;'3phas'!N$23,N60,"PVL")</f>
        <v>PVL</v>
      </c>
      <c r="O61" s="2442" t="str">
        <f>IF(O60&lt;'3phas'!O$23,O60,"PVL")</f>
        <v>PVL</v>
      </c>
      <c r="P61" s="2442" t="str">
        <f>IF(P60&lt;'3phas'!P$23,P60,"PVL")</f>
        <v>PVL</v>
      </c>
      <c r="Q61" s="2442" t="str">
        <f>IF(Q60&lt;'3phas'!Q$23,Q60,"PVL")</f>
        <v>PVL</v>
      </c>
      <c r="R61" s="2442">
        <f>IF(R60&lt;'3phas'!R$23,R60,"PVL")</f>
        <v>2067.0492516356881</v>
      </c>
      <c r="S61" s="2442">
        <f>IF(S60&lt;'3phas'!S$23,S60,"PVL")</f>
        <v>908.31850037710251</v>
      </c>
      <c r="T61" s="2442">
        <f>IF(T60&lt;'3phas'!T$23,T60,"PVL")</f>
        <v>908.31850037710251</v>
      </c>
      <c r="U61" s="2442" t="str">
        <f>IF(U60&lt;'3phas'!U$23,U60,"PVL")</f>
        <v>PVL</v>
      </c>
      <c r="V61" s="2442" t="str">
        <f>IF(V60&lt;'3phas'!V$23,V60,"PVL")</f>
        <v>PVL</v>
      </c>
      <c r="W61" s="2442" t="str">
        <f>IF(W60&lt;'3phas'!W$23,W60,"PVL")</f>
        <v>PVL</v>
      </c>
      <c r="X61" s="2442" t="str">
        <f>IF(X60&lt;'3phas'!X$23,X60,"PVL")</f>
        <v>PVL</v>
      </c>
      <c r="Y61" s="2442" t="str">
        <f>IF(Y60&lt;'3phas'!Y$23,Y60,"PVL")</f>
        <v>PVL</v>
      </c>
      <c r="Z61" s="2442" t="str">
        <f>IF(Z60&lt;'3phas'!Z$23,Z60,"PVL")</f>
        <v>PVL</v>
      </c>
      <c r="AA61" s="2442">
        <f>IF(AA60&lt;'3phas'!AA$23,AA60,"PVL")</f>
        <v>52.586854558020363</v>
      </c>
      <c r="AB61" s="2442" t="str">
        <f>IF(AB60&lt;'3phas'!AB$23,AB60,"PVL")</f>
        <v>PVL</v>
      </c>
      <c r="AC61" s="2442" t="str">
        <f>IF(AC60&lt;'3phas'!AC$23,AC60,"PVL")</f>
        <v>PVL</v>
      </c>
      <c r="AD61" s="2442" t="str">
        <f>IF(AD60&lt;'3phas'!AD$23,AD60,"PVL")</f>
        <v>PVL</v>
      </c>
      <c r="AE61" s="2442" t="str">
        <f>IF(AE60&lt;'3phas'!AE$23,AE60,"PVL")</f>
        <v>PVL</v>
      </c>
      <c r="AF61" s="2442" t="str">
        <f>IF(AF60&lt;'3phas'!AF$23,AF60,"PVL")</f>
        <v>PVL</v>
      </c>
      <c r="AG61" s="2442" t="str">
        <f>IF(AG60&lt;'3phas'!AG$23,AG60,"PVL")</f>
        <v>PVL</v>
      </c>
      <c r="AH61" s="2442" t="str">
        <f>IF(AH60&lt;'3phas'!AH$23,AH60,"PVL")</f>
        <v>PVL</v>
      </c>
      <c r="AI61" s="2442" t="str">
        <f>IF(AI60&lt;'3phas'!AI$23,AI60,"PVL")</f>
        <v>PVL</v>
      </c>
      <c r="AJ61" s="2442" t="str">
        <f>IF(AJ60&lt;'3phas'!AJ$23,AJ60,"PVL")</f>
        <v>PVL</v>
      </c>
      <c r="AK61" s="2442" t="str">
        <f>IF(AK60&lt;'3phas'!AK$23,AK60,"PVL")</f>
        <v>PVL</v>
      </c>
      <c r="AL61" s="2442" t="str">
        <f>IF(AL60&lt;'3phas'!AL$23,AL60,"PVL")</f>
        <v>PVL</v>
      </c>
      <c r="AM61" s="2442" t="str">
        <f>IF(AM60&lt;'3phas'!AM$23,AM60,"PVL")</f>
        <v>PVL</v>
      </c>
      <c r="AN61" s="2442" t="str">
        <f>IF(AN60&lt;'3phas'!AN$23,AN60,"PVL")</f>
        <v>PVL</v>
      </c>
      <c r="AO61" s="2442" t="str">
        <f>IF(AO60&lt;'3phas'!AO$23,AO60,"PVL")</f>
        <v>PVL</v>
      </c>
      <c r="AP61" s="2442" t="str">
        <f>IF(AP60&lt;'3phas'!AP$23,AP60,"PVL")</f>
        <v>PVL</v>
      </c>
      <c r="AQ61" s="2442" t="str">
        <f>IF(AQ60&lt;'3phas'!AQ$23,AQ60,"PVL")</f>
        <v>PVL</v>
      </c>
      <c r="AR61" s="2442" t="str">
        <f>IF(AR60&lt;'3phas'!AR$23,AR60,"PVL")</f>
        <v>PVL</v>
      </c>
      <c r="AS61" s="2442" t="str">
        <f>IF(AS60&lt;'3phas'!AS$23,AS60,"PVL")</f>
        <v>PVL</v>
      </c>
      <c r="AT61" s="2442" t="str">
        <f>IF(AT60&lt;'3phas'!AT$23,AT60,"PVL")</f>
        <v>PVL</v>
      </c>
      <c r="AU61" s="2442" t="str">
        <f>IF(AU60&lt;'3phas'!AU$23,AU60,"PVL")</f>
        <v>PVL</v>
      </c>
      <c r="AV61" s="2442" t="str">
        <f>IF(AV60&lt;'3phas'!AV$23,AV60,"PVL")</f>
        <v>PVL</v>
      </c>
      <c r="AW61" s="2442" t="str">
        <f>IF(AW60&lt;'3phas'!AW$23,AW60,"PVL")</f>
        <v>PVL</v>
      </c>
      <c r="AX61" s="2442" t="str">
        <f>IF(AX60&lt;'3phas'!AX$23,AX60,"PVL")</f>
        <v>PVL</v>
      </c>
      <c r="AY61" s="2442" t="str">
        <f>IF(AY60&lt;'3phas'!AY$23,AY60,"PVL")</f>
        <v>PVL</v>
      </c>
      <c r="AZ61" s="2442" t="str">
        <f>IF(AZ60&lt;'3phas'!AZ$23,AZ60,"PVL")</f>
        <v>PVL</v>
      </c>
      <c r="BA61" s="2442" t="str">
        <f>IF(BA60&lt;'3phas'!BA$23,BA60,"PVL")</f>
        <v>PVL</v>
      </c>
      <c r="BB61" s="2442" t="str">
        <f>IF(BB60&lt;'3phas'!BB$23,BB60,"PVL")</f>
        <v>PVL</v>
      </c>
      <c r="BC61" s="2442" t="str">
        <f>IF(BC60&lt;'3phas'!BC$23,BC60,"PVL")</f>
        <v>PVL</v>
      </c>
      <c r="BD61" s="2442">
        <f>IF(BD60&lt;'3phas'!BD$23,BD60,"PVL")</f>
        <v>6057.9873833088914</v>
      </c>
      <c r="BE61" s="2442" t="str">
        <f>IF(BE60&lt;'3phas'!BE$23,BE60,"PVL")</f>
        <v>PVL</v>
      </c>
      <c r="BF61" s="2442" t="str">
        <f>IF(BF60&lt;'3phas'!BF$23,BF60,"PVL")</f>
        <v>PVL</v>
      </c>
      <c r="BG61" s="2442" t="str">
        <f>BG60</f>
        <v>nd</v>
      </c>
      <c r="BH61" s="2442" t="str">
        <f>IF(BH60&lt;'3phas'!BH$23,BH60,"PVL")</f>
        <v>PVL</v>
      </c>
      <c r="BI61" s="2442" t="str">
        <f>IF(BI60&lt;'3phas'!BI$23,BI60,"PVL")</f>
        <v>PVL</v>
      </c>
    </row>
    <row r="62" spans="1:61">
      <c r="A62" s="97"/>
      <c r="B62" s="97"/>
      <c r="C62" s="2433"/>
      <c r="D62" s="2434"/>
      <c r="E62" s="3928" t="str">
        <f>E34</f>
        <v>Période enfant 0-6 ans (effets sans seuil)</v>
      </c>
      <c r="F62" s="62"/>
      <c r="G62" s="107"/>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row>
    <row r="63" spans="1:61" s="2446" customFormat="1">
      <c r="A63" s="2444"/>
      <c r="B63" s="2444"/>
      <c r="C63" s="2447"/>
      <c r="D63" s="2448"/>
      <c r="E63" s="3940" t="s">
        <v>1113</v>
      </c>
      <c r="F63" s="2449" t="s">
        <v>1115</v>
      </c>
      <c r="G63" s="2450" t="s">
        <v>206</v>
      </c>
      <c r="H63" s="236">
        <f>H48*H$35</f>
        <v>2.8312670062564001E-2</v>
      </c>
      <c r="I63" s="236">
        <f t="shared" ref="I63:BI63" si="15">I48*I$35</f>
        <v>2.8312670062564001E-2</v>
      </c>
      <c r="J63" s="236">
        <f>J48*J$35</f>
        <v>1.4753052342122581E-2</v>
      </c>
      <c r="K63" s="236">
        <f t="shared" si="15"/>
        <v>3.0859599852624964E-4</v>
      </c>
      <c r="L63" s="236">
        <f t="shared" si="15"/>
        <v>1.6505455972747809E-3</v>
      </c>
      <c r="M63" s="236">
        <f t="shared" si="15"/>
        <v>1.6505455972747809E-3</v>
      </c>
      <c r="N63" s="236">
        <f>N48*N$35</f>
        <v>8.3685814015570107E-4</v>
      </c>
      <c r="O63" s="236">
        <f>O48*O$35</f>
        <v>8.3685814015570107E-4</v>
      </c>
      <c r="P63" s="236">
        <f t="shared" si="15"/>
        <v>7.6653535579040044E-4</v>
      </c>
      <c r="Q63" s="236">
        <f t="shared" si="15"/>
        <v>7.6653535579040044E-4</v>
      </c>
      <c r="R63" s="236">
        <f>R48*R$35</f>
        <v>1.9069345243814982E-3</v>
      </c>
      <c r="S63" s="236">
        <f>S48*S$35</f>
        <v>2.032598314142015E-3</v>
      </c>
      <c r="T63" s="236">
        <f>T48*T$35</f>
        <v>2.032598314142015E-3</v>
      </c>
      <c r="U63" s="236">
        <f t="shared" si="15"/>
        <v>4.3173686932622873E-4</v>
      </c>
      <c r="V63" s="236">
        <f t="shared" si="15"/>
        <v>2.6376860039811756E-4</v>
      </c>
      <c r="W63" s="236">
        <f t="shared" si="15"/>
        <v>2.6376860039811756E-4</v>
      </c>
      <c r="X63" s="236">
        <f t="shared" si="15"/>
        <v>1.3749298693489457E-3</v>
      </c>
      <c r="Y63" s="236">
        <f t="shared" si="15"/>
        <v>1.9838571054249018E-3</v>
      </c>
      <c r="Z63" s="236">
        <f t="shared" si="15"/>
        <v>3.3498814228419935E-3</v>
      </c>
      <c r="AA63" s="236">
        <f t="shared" si="15"/>
        <v>4.9934159182509971E-3</v>
      </c>
      <c r="AB63" s="236">
        <f t="shared" si="15"/>
        <v>3.3844760659466448E-3</v>
      </c>
      <c r="AC63" s="236">
        <f t="shared" si="15"/>
        <v>6.5516027063012841E-3</v>
      </c>
      <c r="AD63" s="236">
        <f t="shared" si="15"/>
        <v>1.0470219366277329E-2</v>
      </c>
      <c r="AE63" s="236">
        <f t="shared" si="15"/>
        <v>1.232326450463709E-2</v>
      </c>
      <c r="AF63" s="236">
        <f t="shared" si="15"/>
        <v>1.1408575430406171E-2</v>
      </c>
      <c r="AG63" s="236">
        <f t="shared" si="15"/>
        <v>1.919761819125046E-4</v>
      </c>
      <c r="AH63" s="236">
        <f t="shared" si="15"/>
        <v>2.5639915585842316E-4</v>
      </c>
      <c r="AI63" s="236">
        <f t="shared" si="15"/>
        <v>6.3057066628739538E-4</v>
      </c>
      <c r="AJ63" s="236">
        <f t="shared" si="15"/>
        <v>2.2909797403444518E-3</v>
      </c>
      <c r="AK63" s="236">
        <f t="shared" si="15"/>
        <v>3.869550847227341E-3</v>
      </c>
      <c r="AL63" s="236">
        <f t="shared" si="15"/>
        <v>7.1393152997168766E-3</v>
      </c>
      <c r="AM63" s="236">
        <f t="shared" si="15"/>
        <v>7.9317782026249121E-3</v>
      </c>
      <c r="AN63" s="236">
        <f t="shared" si="15"/>
        <v>1.4767770725118475E-2</v>
      </c>
      <c r="AO63" s="236">
        <f t="shared" si="15"/>
        <v>1.5394193188571095E-2</v>
      </c>
      <c r="AP63" s="236">
        <f t="shared" si="15"/>
        <v>1.4365852289988167E-2</v>
      </c>
      <c r="AQ63" s="236">
        <f t="shared" si="15"/>
        <v>1.4596250071106922E-2</v>
      </c>
      <c r="AR63" s="236">
        <f t="shared" si="15"/>
        <v>1.4647310786535311E-2</v>
      </c>
      <c r="AS63" s="236">
        <f t="shared" si="15"/>
        <v>1.449447321811587E-2</v>
      </c>
      <c r="AT63" s="236">
        <f t="shared" si="15"/>
        <v>1.4106986784912396E-2</v>
      </c>
      <c r="AU63" s="236">
        <f t="shared" si="15"/>
        <v>1.4298899186661272E-2</v>
      </c>
      <c r="AV63" s="236">
        <f t="shared" si="15"/>
        <v>1.3582829399665954E-2</v>
      </c>
      <c r="AW63" s="236">
        <f t="shared" si="15"/>
        <v>1.4314715746799279E-2</v>
      </c>
      <c r="AX63" s="236">
        <f t="shared" si="15"/>
        <v>9.0047705187640173E-2</v>
      </c>
      <c r="AY63" s="236">
        <f t="shared" si="15"/>
        <v>9.0048323948206749E-2</v>
      </c>
      <c r="AZ63" s="236">
        <f t="shared" si="15"/>
        <v>0.1207082699397008</v>
      </c>
      <c r="BA63" s="236">
        <f t="shared" si="15"/>
        <v>0.16164242007018623</v>
      </c>
      <c r="BB63" s="236">
        <f t="shared" si="15"/>
        <v>2.5510879107348585E-2</v>
      </c>
      <c r="BC63" s="236">
        <f t="shared" si="15"/>
        <v>22789.540458912823</v>
      </c>
      <c r="BD63" s="236">
        <f t="shared" si="15"/>
        <v>0.25655036377190349</v>
      </c>
      <c r="BE63" s="236">
        <f t="shared" si="15"/>
        <v>1.1368627682957752E-2</v>
      </c>
      <c r="BF63" s="236">
        <f t="shared" si="15"/>
        <v>1.1368627682957752E-2</v>
      </c>
      <c r="BG63" s="236">
        <f t="shared" si="15"/>
        <v>3.1537915605652254E-4</v>
      </c>
      <c r="BH63" s="236">
        <f t="shared" si="15"/>
        <v>0.13888078604130868</v>
      </c>
      <c r="BI63" s="236">
        <f t="shared" si="15"/>
        <v>0.10621524171686213</v>
      </c>
    </row>
    <row r="64" spans="1:61">
      <c r="A64" s="97"/>
      <c r="B64" s="97"/>
      <c r="C64" s="2433"/>
      <c r="D64" s="2434"/>
      <c r="E64" s="3929"/>
      <c r="F64" s="62"/>
      <c r="G64" s="107"/>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row>
    <row r="65" spans="1:61">
      <c r="A65" s="97"/>
      <c r="B65" s="97"/>
      <c r="C65" s="2433"/>
      <c r="D65" s="2434"/>
      <c r="E65" s="3933" t="s">
        <v>209</v>
      </c>
      <c r="F65" s="2465"/>
      <c r="G65" s="107"/>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row>
    <row r="66" spans="1:61">
      <c r="A66" s="97"/>
      <c r="B66" s="97"/>
      <c r="C66" s="2433"/>
      <c r="D66" s="2434"/>
      <c r="E66" s="3933"/>
      <c r="F66" s="62"/>
      <c r="G66" s="107"/>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row>
    <row r="67" spans="1:61">
      <c r="A67" s="97"/>
      <c r="B67" s="97"/>
      <c r="C67" s="2433"/>
      <c r="D67" s="2434"/>
      <c r="E67" s="3939" t="s">
        <v>267</v>
      </c>
      <c r="F67" s="62"/>
      <c r="G67" s="107"/>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row>
    <row r="68" spans="1:61">
      <c r="A68" s="97"/>
      <c r="B68" s="97"/>
      <c r="C68" s="2433" t="s">
        <v>208</v>
      </c>
      <c r="D68" s="2434"/>
      <c r="E68" s="3941" t="s">
        <v>1178</v>
      </c>
      <c r="F68" s="18" t="s">
        <v>181</v>
      </c>
      <c r="G68" s="117" t="s">
        <v>182</v>
      </c>
      <c r="H68" s="163">
        <f>FEM!$H7</f>
        <v>4.5</v>
      </c>
      <c r="I68" s="163">
        <f>FEM!$H7</f>
        <v>4.5</v>
      </c>
      <c r="J68" s="163">
        <f>FEM!$H7</f>
        <v>4.5</v>
      </c>
      <c r="K68" s="163">
        <f>FEM!$H7</f>
        <v>4.5</v>
      </c>
      <c r="L68" s="163">
        <f>FEM!$H7</f>
        <v>4.5</v>
      </c>
      <c r="M68" s="163">
        <f>FEM!$H7</f>
        <v>4.5</v>
      </c>
      <c r="N68" s="163">
        <f>FEM!$H7</f>
        <v>4.5</v>
      </c>
      <c r="O68" s="163">
        <f>FEM!$H7</f>
        <v>4.5</v>
      </c>
      <c r="P68" s="163">
        <f>FEM!$H7</f>
        <v>4.5</v>
      </c>
      <c r="Q68" s="163">
        <f>FEM!$H7</f>
        <v>4.5</v>
      </c>
      <c r="R68" s="163">
        <f>FEM!$H7</f>
        <v>4.5</v>
      </c>
      <c r="S68" s="163">
        <f>FEM!$H7</f>
        <v>4.5</v>
      </c>
      <c r="T68" s="163">
        <f>FEM!$H7</f>
        <v>4.5</v>
      </c>
      <c r="U68" s="163">
        <f>FEM!$H7</f>
        <v>4.5</v>
      </c>
      <c r="V68" s="163">
        <f>FEM!$H7</f>
        <v>4.5</v>
      </c>
      <c r="W68" s="163">
        <f>FEM!$H7</f>
        <v>4.5</v>
      </c>
      <c r="X68" s="163">
        <f>FEM!$H7</f>
        <v>4.5</v>
      </c>
      <c r="Y68" s="163">
        <f>FEM!$H7</f>
        <v>4.5</v>
      </c>
      <c r="Z68" s="163">
        <f>FEM!$H7</f>
        <v>4.5</v>
      </c>
      <c r="AA68" s="163">
        <f>FEM!$H7</f>
        <v>4.5</v>
      </c>
      <c r="AB68" s="163">
        <f>FEM!$H7</f>
        <v>4.5</v>
      </c>
      <c r="AC68" s="163">
        <f>FEM!$H7</f>
        <v>4.5</v>
      </c>
      <c r="AD68" s="163">
        <f>FEM!$H7</f>
        <v>4.5</v>
      </c>
      <c r="AE68" s="163">
        <f>FEM!$H7</f>
        <v>4.5</v>
      </c>
      <c r="AF68" s="163">
        <f>FEM!$H7</f>
        <v>4.5</v>
      </c>
      <c r="AG68" s="163">
        <f>FEM!$H7</f>
        <v>4.5</v>
      </c>
      <c r="AH68" s="163">
        <f>FEM!$H7</f>
        <v>4.5</v>
      </c>
      <c r="AI68" s="163">
        <f>FEM!$H7</f>
        <v>4.5</v>
      </c>
      <c r="AJ68" s="163">
        <f>FEM!$H7</f>
        <v>4.5</v>
      </c>
      <c r="AK68" s="163">
        <f>FEM!$H7</f>
        <v>4.5</v>
      </c>
      <c r="AL68" s="163">
        <f>FEM!$H7</f>
        <v>4.5</v>
      </c>
      <c r="AM68" s="163">
        <f>FEM!$H7</f>
        <v>4.5</v>
      </c>
      <c r="AN68" s="163">
        <f>FEM!$H7</f>
        <v>4.5</v>
      </c>
      <c r="AO68" s="163">
        <f>FEM!$H7</f>
        <v>4.5</v>
      </c>
      <c r="AP68" s="163">
        <f>FEM!$H7</f>
        <v>4.5</v>
      </c>
      <c r="AQ68" s="163">
        <f>FEM!$H7</f>
        <v>4.5</v>
      </c>
      <c r="AR68" s="163">
        <f>FEM!$H7</f>
        <v>4.5</v>
      </c>
      <c r="AS68" s="163">
        <f>FEM!$H7</f>
        <v>4.5</v>
      </c>
      <c r="AT68" s="163">
        <f>FEM!$H7</f>
        <v>4.5</v>
      </c>
      <c r="AU68" s="163">
        <f>FEM!$H7</f>
        <v>4.5</v>
      </c>
      <c r="AV68" s="163">
        <f>FEM!$H7</f>
        <v>4.5</v>
      </c>
      <c r="AW68" s="163">
        <f>FEM!$H7</f>
        <v>4.5</v>
      </c>
      <c r="AX68" s="163">
        <f>FEM!$H7</f>
        <v>4.5</v>
      </c>
      <c r="AY68" s="163">
        <f>FEM!$H7</f>
        <v>4.5</v>
      </c>
      <c r="AZ68" s="163">
        <f>FEM!$H7</f>
        <v>4.5</v>
      </c>
      <c r="BA68" s="163">
        <f>FEM!$H7</f>
        <v>4.5</v>
      </c>
      <c r="BB68" s="163">
        <f>FEM!$H7</f>
        <v>4.5</v>
      </c>
      <c r="BC68" s="163">
        <f>FEM!$H7</f>
        <v>4.5</v>
      </c>
      <c r="BD68" s="163">
        <f>FEM!$H7</f>
        <v>4.5</v>
      </c>
      <c r="BE68" s="163">
        <f>FEM!$H7</f>
        <v>4.5</v>
      </c>
      <c r="BF68" s="163">
        <f>FEM!$H7</f>
        <v>4.5</v>
      </c>
      <c r="BG68" s="163">
        <f>FEM!$H7</f>
        <v>4.5</v>
      </c>
      <c r="BH68" s="163">
        <f>FEM!$H7</f>
        <v>4.5</v>
      </c>
      <c r="BI68" s="163">
        <f>FEM!$H7</f>
        <v>4.5</v>
      </c>
    </row>
    <row r="69" spans="1:61" s="41" customFormat="1" ht="25.5">
      <c r="A69" s="100"/>
      <c r="B69" s="154"/>
      <c r="C69" s="2433"/>
      <c r="D69" s="2434"/>
      <c r="E69" s="3942" t="s">
        <v>1160</v>
      </c>
      <c r="F69" s="18" t="s">
        <v>210</v>
      </c>
      <c r="G69" s="117" t="s">
        <v>182</v>
      </c>
      <c r="H69" s="163">
        <f>FEM!$I7</f>
        <v>0.38571428571428573</v>
      </c>
      <c r="I69" s="163">
        <f>FEM!$I7</f>
        <v>0.38571428571428573</v>
      </c>
      <c r="J69" s="163">
        <f>FEM!$I7</f>
        <v>0.38571428571428573</v>
      </c>
      <c r="K69" s="163">
        <f>FEM!$I7</f>
        <v>0.38571428571428573</v>
      </c>
      <c r="L69" s="163">
        <f>FEM!$I7</f>
        <v>0.38571428571428573</v>
      </c>
      <c r="M69" s="163">
        <f>FEM!$I7</f>
        <v>0.38571428571428573</v>
      </c>
      <c r="N69" s="163">
        <f>FEM!$I7</f>
        <v>0.38571428571428573</v>
      </c>
      <c r="O69" s="163">
        <f>FEM!$I7</f>
        <v>0.38571428571428573</v>
      </c>
      <c r="P69" s="163">
        <f>FEM!$I7</f>
        <v>0.38571428571428573</v>
      </c>
      <c r="Q69" s="163">
        <f>FEM!$I7</f>
        <v>0.38571428571428573</v>
      </c>
      <c r="R69" s="163">
        <f>FEM!$I7</f>
        <v>0.38571428571428573</v>
      </c>
      <c r="S69" s="163">
        <f>FEM!$I7</f>
        <v>0.38571428571428573</v>
      </c>
      <c r="T69" s="163">
        <f>FEM!$I7</f>
        <v>0.38571428571428573</v>
      </c>
      <c r="U69" s="163">
        <f>FEM!$I7</f>
        <v>0.38571428571428573</v>
      </c>
      <c r="V69" s="163">
        <f>FEM!$I7</f>
        <v>0.38571428571428573</v>
      </c>
      <c r="W69" s="163">
        <f>FEM!$I7</f>
        <v>0.38571428571428573</v>
      </c>
      <c r="X69" s="163">
        <f>FEM!$I7</f>
        <v>0.38571428571428573</v>
      </c>
      <c r="Y69" s="163">
        <f>FEM!$I7</f>
        <v>0.38571428571428573</v>
      </c>
      <c r="Z69" s="163">
        <f>FEM!$I7</f>
        <v>0.38571428571428573</v>
      </c>
      <c r="AA69" s="163">
        <f>FEM!$I7</f>
        <v>0.38571428571428573</v>
      </c>
      <c r="AB69" s="163">
        <f>FEM!$I7</f>
        <v>0.38571428571428573</v>
      </c>
      <c r="AC69" s="163">
        <f>FEM!$I7</f>
        <v>0.38571428571428573</v>
      </c>
      <c r="AD69" s="163">
        <f>FEM!$I7</f>
        <v>0.38571428571428573</v>
      </c>
      <c r="AE69" s="163">
        <f>FEM!$I7</f>
        <v>0.38571428571428573</v>
      </c>
      <c r="AF69" s="163">
        <f>FEM!$I7</f>
        <v>0.38571428571428573</v>
      </c>
      <c r="AG69" s="163">
        <f>FEM!$I7</f>
        <v>0.38571428571428573</v>
      </c>
      <c r="AH69" s="163">
        <f>FEM!$I7</f>
        <v>0.38571428571428573</v>
      </c>
      <c r="AI69" s="163">
        <f>FEM!$I7</f>
        <v>0.38571428571428573</v>
      </c>
      <c r="AJ69" s="163">
        <f>FEM!$I7</f>
        <v>0.38571428571428573</v>
      </c>
      <c r="AK69" s="163">
        <f>FEM!$I7</f>
        <v>0.38571428571428573</v>
      </c>
      <c r="AL69" s="163">
        <f>FEM!$I7</f>
        <v>0.38571428571428573</v>
      </c>
      <c r="AM69" s="163">
        <f>FEM!$I7</f>
        <v>0.38571428571428573</v>
      </c>
      <c r="AN69" s="163">
        <f>FEM!$I7</f>
        <v>0.38571428571428573</v>
      </c>
      <c r="AO69" s="163">
        <f>FEM!$I7</f>
        <v>0.38571428571428573</v>
      </c>
      <c r="AP69" s="163">
        <f>FEM!$I7</f>
        <v>0.38571428571428573</v>
      </c>
      <c r="AQ69" s="163">
        <f>FEM!$I7</f>
        <v>0.38571428571428573</v>
      </c>
      <c r="AR69" s="163">
        <f>FEM!$I7</f>
        <v>0.38571428571428573</v>
      </c>
      <c r="AS69" s="163">
        <f>FEM!$I7</f>
        <v>0.38571428571428573</v>
      </c>
      <c r="AT69" s="163">
        <f>FEM!$I7</f>
        <v>0.38571428571428573</v>
      </c>
      <c r="AU69" s="163">
        <f>FEM!$I7</f>
        <v>0.38571428571428573</v>
      </c>
      <c r="AV69" s="163">
        <f>FEM!$I7</f>
        <v>0.38571428571428573</v>
      </c>
      <c r="AW69" s="163">
        <f>FEM!$I7</f>
        <v>0.38571428571428573</v>
      </c>
      <c r="AX69" s="163">
        <f>FEM!$I7</f>
        <v>0.38571428571428573</v>
      </c>
      <c r="AY69" s="163">
        <f>FEM!$I7</f>
        <v>0.38571428571428573</v>
      </c>
      <c r="AZ69" s="163">
        <f>FEM!$I7</f>
        <v>0.38571428571428573</v>
      </c>
      <c r="BA69" s="163">
        <f>FEM!$I7</f>
        <v>0.38571428571428573</v>
      </c>
      <c r="BB69" s="163">
        <f>FEM!$I7</f>
        <v>0.38571428571428573</v>
      </c>
      <c r="BC69" s="163">
        <f>FEM!$I7</f>
        <v>0.38571428571428573</v>
      </c>
      <c r="BD69" s="163">
        <f>FEM!$I7</f>
        <v>0.38571428571428573</v>
      </c>
      <c r="BE69" s="163">
        <f>FEM!$I7</f>
        <v>0.38571428571428573</v>
      </c>
      <c r="BF69" s="163">
        <f>FEM!$I7</f>
        <v>0.38571428571428573</v>
      </c>
      <c r="BG69" s="163">
        <f>FEM!$I7</f>
        <v>0.38571428571428573</v>
      </c>
      <c r="BH69" s="163">
        <f>FEM!$I7</f>
        <v>0.38571428571428573</v>
      </c>
      <c r="BI69" s="163">
        <f>FEM!$I7</f>
        <v>0.38571428571428573</v>
      </c>
    </row>
    <row r="70" spans="1:61" s="2464" customFormat="1">
      <c r="A70" s="2461"/>
      <c r="B70" s="2462"/>
      <c r="C70" s="2433"/>
      <c r="D70" s="2434"/>
      <c r="E70" s="3932" t="s">
        <v>1183</v>
      </c>
      <c r="F70" s="2441" t="s">
        <v>1155</v>
      </c>
      <c r="G70" s="2431" t="s">
        <v>1156</v>
      </c>
      <c r="H70" s="2463">
        <f>IF(H$10&gt;0,H68/24/H$10,0)</f>
        <v>0.9375</v>
      </c>
      <c r="I70" s="2463">
        <f t="shared" ref="I70:BI70" si="16">IF(I$10&gt;0,I68/24/I$10,0)</f>
        <v>0.9375</v>
      </c>
      <c r="J70" s="2463">
        <f>IF(J$10&gt;0,J68/24/J$10,0)</f>
        <v>3.7499999999999999E-2</v>
      </c>
      <c r="K70" s="2463">
        <f t="shared" si="16"/>
        <v>3.3482142857142856</v>
      </c>
      <c r="L70" s="2463">
        <f t="shared" si="16"/>
        <v>3.125</v>
      </c>
      <c r="M70" s="2463">
        <f t="shared" si="16"/>
        <v>3.125</v>
      </c>
      <c r="N70" s="2463">
        <f>IF(N$10&gt;0,N68/24/N$10,0)</f>
        <v>0.9375</v>
      </c>
      <c r="O70" s="2463">
        <f>IF(O$10&gt;0,O68/24/O$10,0)</f>
        <v>0.9375</v>
      </c>
      <c r="P70" s="2463">
        <f t="shared" si="16"/>
        <v>5.3571428571428568</v>
      </c>
      <c r="Q70" s="2463">
        <f t="shared" si="16"/>
        <v>5.3571428571428568</v>
      </c>
      <c r="R70" s="2463">
        <f>IF(R$10&gt;0,R68/24/R$10,0)</f>
        <v>0.46875</v>
      </c>
      <c r="S70" s="2463">
        <f>IF(S$10&gt;0,S68/24/S$10,0)</f>
        <v>2.9761904761904763</v>
      </c>
      <c r="T70" s="2463">
        <f>IF(T$10&gt;0,T68/24/T$10,0)</f>
        <v>2.9761904761904763</v>
      </c>
      <c r="U70" s="2463">
        <f t="shared" si="16"/>
        <v>4.9342105263157894</v>
      </c>
      <c r="V70" s="2463">
        <f t="shared" si="16"/>
        <v>0.1875</v>
      </c>
      <c r="W70" s="2463">
        <f t="shared" si="16"/>
        <v>0.1875</v>
      </c>
      <c r="X70" s="2463">
        <f t="shared" si="16"/>
        <v>19.531249999999996</v>
      </c>
      <c r="Y70" s="2463">
        <f t="shared" si="16"/>
        <v>0.72115384615384615</v>
      </c>
      <c r="Z70" s="2463">
        <f t="shared" si="16"/>
        <v>0.70754716981132071</v>
      </c>
      <c r="AA70" s="2463">
        <f t="shared" si="16"/>
        <v>1.875</v>
      </c>
      <c r="AB70" s="2463">
        <f t="shared" si="16"/>
        <v>0.9375</v>
      </c>
      <c r="AC70" s="2463">
        <f t="shared" si="16"/>
        <v>0.9375</v>
      </c>
      <c r="AD70" s="2463">
        <f t="shared" si="16"/>
        <v>0.9375</v>
      </c>
      <c r="AE70" s="2463">
        <f t="shared" si="16"/>
        <v>0</v>
      </c>
      <c r="AF70" s="2463">
        <f t="shared" si="16"/>
        <v>0</v>
      </c>
      <c r="AG70" s="2463">
        <f t="shared" si="16"/>
        <v>1.0190217391304348E-2</v>
      </c>
      <c r="AH70" s="2463">
        <f t="shared" si="16"/>
        <v>1.0190217391304348E-2</v>
      </c>
      <c r="AI70" s="2463">
        <f t="shared" si="16"/>
        <v>0.1875</v>
      </c>
      <c r="AJ70" s="2463">
        <f t="shared" si="16"/>
        <v>0.1875</v>
      </c>
      <c r="AK70" s="2463">
        <f t="shared" si="16"/>
        <v>0.1875</v>
      </c>
      <c r="AL70" s="2463">
        <f t="shared" si="16"/>
        <v>0</v>
      </c>
      <c r="AM70" s="2463">
        <f t="shared" si="16"/>
        <v>0</v>
      </c>
      <c r="AN70" s="2463">
        <f t="shared" si="16"/>
        <v>62.5</v>
      </c>
      <c r="AO70" s="2463">
        <f t="shared" si="16"/>
        <v>0</v>
      </c>
      <c r="AP70" s="2463">
        <f t="shared" si="16"/>
        <v>0</v>
      </c>
      <c r="AQ70" s="2463">
        <f t="shared" si="16"/>
        <v>0</v>
      </c>
      <c r="AR70" s="2463">
        <f t="shared" si="16"/>
        <v>0</v>
      </c>
      <c r="AS70" s="2463">
        <f t="shared" si="16"/>
        <v>0</v>
      </c>
      <c r="AT70" s="2463">
        <f t="shared" si="16"/>
        <v>0</v>
      </c>
      <c r="AU70" s="2463">
        <f t="shared" si="16"/>
        <v>0</v>
      </c>
      <c r="AV70" s="2463">
        <f t="shared" si="16"/>
        <v>0</v>
      </c>
      <c r="AW70" s="2463">
        <f t="shared" si="16"/>
        <v>0</v>
      </c>
      <c r="AX70" s="2463">
        <f t="shared" si="16"/>
        <v>0</v>
      </c>
      <c r="AY70" s="2463">
        <f t="shared" si="16"/>
        <v>0</v>
      </c>
      <c r="AZ70" s="2463">
        <f t="shared" si="16"/>
        <v>0</v>
      </c>
      <c r="BA70" s="2463">
        <f t="shared" si="16"/>
        <v>0</v>
      </c>
      <c r="BB70" s="2463">
        <f t="shared" si="16"/>
        <v>0</v>
      </c>
      <c r="BC70" s="2463">
        <f t="shared" si="16"/>
        <v>0</v>
      </c>
      <c r="BD70" s="2463">
        <f t="shared" si="16"/>
        <v>9.375</v>
      </c>
      <c r="BE70" s="2463">
        <f t="shared" si="16"/>
        <v>375</v>
      </c>
      <c r="BF70" s="2463">
        <f t="shared" si="16"/>
        <v>187.5</v>
      </c>
      <c r="BG70" s="2463">
        <f t="shared" si="16"/>
        <v>6250</v>
      </c>
      <c r="BH70" s="2463">
        <f t="shared" si="16"/>
        <v>593.74999999999989</v>
      </c>
      <c r="BI70" s="2463">
        <f t="shared" si="16"/>
        <v>234.375</v>
      </c>
    </row>
    <row r="71" spans="1:61" s="2464" customFormat="1">
      <c r="A71" s="2462"/>
      <c r="B71" s="2462"/>
      <c r="C71" s="2433"/>
      <c r="D71" s="2434"/>
      <c r="E71" s="3932" t="s">
        <v>1181</v>
      </c>
      <c r="F71" s="2441" t="s">
        <v>211</v>
      </c>
      <c r="G71" s="2431" t="s">
        <v>212</v>
      </c>
      <c r="H71" s="2442">
        <f t="shared" ref="H71:AM71" si="17">H69/24*H$11</f>
        <v>0</v>
      </c>
      <c r="I71" s="2442">
        <f t="shared" si="17"/>
        <v>0</v>
      </c>
      <c r="J71" s="2442">
        <f t="shared" si="17"/>
        <v>0</v>
      </c>
      <c r="K71" s="2442">
        <f t="shared" si="17"/>
        <v>1.6071428571428572E-5</v>
      </c>
      <c r="L71" s="2442">
        <f t="shared" si="17"/>
        <v>0</v>
      </c>
      <c r="M71" s="2442">
        <f t="shared" si="17"/>
        <v>0</v>
      </c>
      <c r="N71" s="2442">
        <f t="shared" si="17"/>
        <v>3.2142857142857144E-5</v>
      </c>
      <c r="O71" s="2442">
        <f t="shared" si="17"/>
        <v>3.2142857142857144E-5</v>
      </c>
      <c r="P71" s="2442">
        <f t="shared" si="17"/>
        <v>9.4821428571428582E-5</v>
      </c>
      <c r="Q71" s="2442">
        <f t="shared" si="17"/>
        <v>9.4821428571428582E-5</v>
      </c>
      <c r="R71" s="2442">
        <f t="shared" si="17"/>
        <v>1.6071428571428572E-5</v>
      </c>
      <c r="S71" s="2442">
        <f t="shared" si="17"/>
        <v>3.6964285714285718E-4</v>
      </c>
      <c r="T71" s="2442">
        <f t="shared" si="17"/>
        <v>3.6964285714285718E-4</v>
      </c>
      <c r="U71" s="2442">
        <f t="shared" si="17"/>
        <v>6.7500000000000014E-4</v>
      </c>
      <c r="V71" s="2442">
        <f t="shared" si="17"/>
        <v>0</v>
      </c>
      <c r="W71" s="2442">
        <f t="shared" si="17"/>
        <v>0</v>
      </c>
      <c r="X71" s="2442">
        <f t="shared" si="17"/>
        <v>9.6428571428571445E-5</v>
      </c>
      <c r="Y71" s="2442">
        <f t="shared" si="17"/>
        <v>0</v>
      </c>
      <c r="Z71" s="2442">
        <f t="shared" si="17"/>
        <v>4.0178571428571433E-5</v>
      </c>
      <c r="AA71" s="2442">
        <f t="shared" si="17"/>
        <v>0</v>
      </c>
      <c r="AB71" s="2442">
        <f t="shared" si="17"/>
        <v>0</v>
      </c>
      <c r="AC71" s="2442">
        <f t="shared" si="17"/>
        <v>0</v>
      </c>
      <c r="AD71" s="2442">
        <f t="shared" si="17"/>
        <v>0</v>
      </c>
      <c r="AE71" s="2442">
        <f t="shared" si="17"/>
        <v>0</v>
      </c>
      <c r="AF71" s="2442">
        <f t="shared" si="17"/>
        <v>0</v>
      </c>
      <c r="AG71" s="2442">
        <f t="shared" si="17"/>
        <v>0</v>
      </c>
      <c r="AH71" s="2442">
        <f t="shared" si="17"/>
        <v>0</v>
      </c>
      <c r="AI71" s="2442">
        <f t="shared" si="17"/>
        <v>0</v>
      </c>
      <c r="AJ71" s="2442">
        <f t="shared" si="17"/>
        <v>0</v>
      </c>
      <c r="AK71" s="2442">
        <f t="shared" si="17"/>
        <v>0</v>
      </c>
      <c r="AL71" s="2442">
        <f t="shared" si="17"/>
        <v>0</v>
      </c>
      <c r="AM71" s="2442">
        <f t="shared" si="17"/>
        <v>0</v>
      </c>
      <c r="AN71" s="2442">
        <f t="shared" ref="AN71:BI71" si="18">AN69/24*AN$11</f>
        <v>5.4642857142857151E-4</v>
      </c>
      <c r="AO71" s="2442">
        <f t="shared" si="18"/>
        <v>1.7678571428571432E-5</v>
      </c>
      <c r="AP71" s="2442">
        <f t="shared" si="18"/>
        <v>1.7678571428571432E-5</v>
      </c>
      <c r="AQ71" s="2442">
        <f t="shared" si="18"/>
        <v>1.7678571428571432E-5</v>
      </c>
      <c r="AR71" s="2442">
        <f t="shared" si="18"/>
        <v>1.7678571428571432E-5</v>
      </c>
      <c r="AS71" s="2442">
        <f t="shared" si="18"/>
        <v>1.7678571428571431E-4</v>
      </c>
      <c r="AT71" s="2442">
        <f t="shared" si="18"/>
        <v>1.7678571428571432E-5</v>
      </c>
      <c r="AU71" s="2442">
        <f t="shared" si="18"/>
        <v>1.7678571428571432E-5</v>
      </c>
      <c r="AV71" s="2442">
        <f t="shared" si="18"/>
        <v>1.7678571428571433E-3</v>
      </c>
      <c r="AW71" s="2442">
        <f t="shared" si="18"/>
        <v>1.7678571428571431E-4</v>
      </c>
      <c r="AX71" s="2442">
        <f t="shared" si="18"/>
        <v>1.7678571428571433E-3</v>
      </c>
      <c r="AY71" s="2442">
        <f t="shared" si="18"/>
        <v>1.7678571428571433E-3</v>
      </c>
      <c r="AZ71" s="2442">
        <f t="shared" si="18"/>
        <v>1.7678571428571432E-2</v>
      </c>
      <c r="BA71" s="2442">
        <f t="shared" si="18"/>
        <v>1.7678571428571432E-2</v>
      </c>
      <c r="BB71" s="2442">
        <f t="shared" si="18"/>
        <v>1.7678571428571431E-4</v>
      </c>
      <c r="BC71" s="2442">
        <f t="shared" si="18"/>
        <v>1.7678571428571433E-3</v>
      </c>
      <c r="BD71" s="2442">
        <f t="shared" si="18"/>
        <v>0</v>
      </c>
      <c r="BE71" s="2442">
        <f t="shared" si="18"/>
        <v>1.8321428571428572E-2</v>
      </c>
      <c r="BF71" s="2442">
        <f t="shared" si="18"/>
        <v>9.1607142857142859E-3</v>
      </c>
      <c r="BG71" s="2442">
        <f t="shared" si="18"/>
        <v>0</v>
      </c>
      <c r="BH71" s="2442">
        <f t="shared" si="18"/>
        <v>0</v>
      </c>
      <c r="BI71" s="2442">
        <f t="shared" si="18"/>
        <v>0</v>
      </c>
    </row>
    <row r="72" spans="1:61" s="2476" customFormat="1">
      <c r="A72" s="2462"/>
      <c r="B72" s="2462"/>
      <c r="C72" s="2433"/>
      <c r="D72" s="2434"/>
      <c r="E72" s="3932" t="s">
        <v>1184</v>
      </c>
      <c r="F72" s="2465" t="s">
        <v>1158</v>
      </c>
      <c r="G72" s="2431" t="s">
        <v>1157</v>
      </c>
      <c r="H72" s="2442">
        <f t="shared" ref="H72:BI72" si="19">H$55*H70</f>
        <v>2.5638393179813621E-2</v>
      </c>
      <c r="I72" s="2442">
        <f t="shared" si="19"/>
        <v>2.5638393179813621E-2</v>
      </c>
      <c r="J72" s="2442">
        <f>J$55*J70</f>
        <v>5.2208821199246404E-4</v>
      </c>
      <c r="K72" s="2442">
        <f t="shared" si="19"/>
        <v>6.1994731846791223E-3</v>
      </c>
      <c r="L72" s="2442">
        <f t="shared" si="19"/>
        <v>2.4197067031039986E-2</v>
      </c>
      <c r="M72" s="2442">
        <f t="shared" si="19"/>
        <v>2.4197067031039986E-2</v>
      </c>
      <c r="N72" s="2442">
        <f>N$55*N70</f>
        <v>4.7073270383758189E-3</v>
      </c>
      <c r="O72" s="2442">
        <f>O$55*O70</f>
        <v>4.7073270383758189E-3</v>
      </c>
      <c r="P72" s="2442">
        <f t="shared" si="19"/>
        <v>2.4638636436120014E-2</v>
      </c>
      <c r="Q72" s="2442">
        <f t="shared" si="19"/>
        <v>2.4638636436120014E-2</v>
      </c>
      <c r="R72" s="2442">
        <f>R$55*R70</f>
        <v>5.3632533498229632E-3</v>
      </c>
      <c r="S72" s="2442">
        <f>S$55*S70</f>
        <v>3.0566418255673283E-2</v>
      </c>
      <c r="T72" s="2442">
        <f>T$55*T70</f>
        <v>3.0566418255673283E-2</v>
      </c>
      <c r="U72" s="2442">
        <f t="shared" si="19"/>
        <v>1.2781683631368616E-2</v>
      </c>
      <c r="V72" s="2442">
        <f t="shared" si="19"/>
        <v>2.9673967544788227E-4</v>
      </c>
      <c r="W72" s="2442">
        <f t="shared" si="19"/>
        <v>2.9673967544788227E-4</v>
      </c>
      <c r="X72" s="2442">
        <f t="shared" si="19"/>
        <v>0.14728378318295343</v>
      </c>
      <c r="Y72" s="2442">
        <f t="shared" si="19"/>
        <v>6.070235176711126E-3</v>
      </c>
      <c r="Z72" s="2442">
        <f t="shared" si="19"/>
        <v>7.1681760078985543E-3</v>
      </c>
      <c r="AA72" s="2442">
        <f t="shared" si="19"/>
        <v>8.0251327257605323E-3</v>
      </c>
      <c r="AB72" s="2442">
        <f t="shared" si="19"/>
        <v>6.8608893577301322E-3</v>
      </c>
      <c r="AC72" s="2442">
        <f t="shared" si="19"/>
        <v>1.1374615117530504E-2</v>
      </c>
      <c r="AD72" s="2442">
        <f t="shared" si="19"/>
        <v>1.3883412705889268E-2</v>
      </c>
      <c r="AE72" s="2442">
        <f t="shared" si="19"/>
        <v>0</v>
      </c>
      <c r="AF72" s="2442">
        <f t="shared" si="19"/>
        <v>0</v>
      </c>
      <c r="AG72" s="2442">
        <f t="shared" si="19"/>
        <v>1.1737674165846071E-5</v>
      </c>
      <c r="AH72" s="2442">
        <f t="shared" si="19"/>
        <v>1.5676578822865547E-5</v>
      </c>
      <c r="AI72" s="2442">
        <f t="shared" si="19"/>
        <v>5.6612318135353459E-4</v>
      </c>
      <c r="AJ72" s="2442">
        <f t="shared" si="19"/>
        <v>9.40905892694502E-4</v>
      </c>
      <c r="AK72" s="2442">
        <f t="shared" si="19"/>
        <v>1.3818679511425291E-3</v>
      </c>
      <c r="AL72" s="2442">
        <f t="shared" si="19"/>
        <v>0</v>
      </c>
      <c r="AM72" s="2442">
        <f t="shared" si="19"/>
        <v>0</v>
      </c>
      <c r="AN72" s="2442">
        <f t="shared" si="19"/>
        <v>0.89263615597619705</v>
      </c>
      <c r="AO72" s="2442">
        <f t="shared" si="19"/>
        <v>0</v>
      </c>
      <c r="AP72" s="2442">
        <f t="shared" si="19"/>
        <v>0</v>
      </c>
      <c r="AQ72" s="2442">
        <f t="shared" si="19"/>
        <v>0</v>
      </c>
      <c r="AR72" s="2442">
        <f t="shared" si="19"/>
        <v>0</v>
      </c>
      <c r="AS72" s="2442">
        <f t="shared" si="19"/>
        <v>0</v>
      </c>
      <c r="AT72" s="2442">
        <f t="shared" si="19"/>
        <v>0</v>
      </c>
      <c r="AU72" s="2442">
        <f t="shared" si="19"/>
        <v>0</v>
      </c>
      <c r="AV72" s="2442">
        <f t="shared" si="19"/>
        <v>0</v>
      </c>
      <c r="AW72" s="2442">
        <f t="shared" si="19"/>
        <v>0</v>
      </c>
      <c r="AX72" s="2442">
        <f t="shared" si="19"/>
        <v>0</v>
      </c>
      <c r="AY72" s="2442">
        <f t="shared" si="19"/>
        <v>0</v>
      </c>
      <c r="AZ72" s="2442">
        <f t="shared" si="19"/>
        <v>0</v>
      </c>
      <c r="BA72" s="2442">
        <f t="shared" si="19"/>
        <v>0</v>
      </c>
      <c r="BB72" s="2442">
        <f t="shared" si="19"/>
        <v>0</v>
      </c>
      <c r="BC72" s="2442">
        <f t="shared" si="19"/>
        <v>0</v>
      </c>
      <c r="BD72" s="2442">
        <f t="shared" si="19"/>
        <v>2.558620600937751</v>
      </c>
      <c r="BE72" s="2442">
        <f t="shared" si="19"/>
        <v>4.2636661347324685</v>
      </c>
      <c r="BF72" s="2442">
        <f t="shared" si="19"/>
        <v>2.1318330673662342</v>
      </c>
      <c r="BG72" s="2442">
        <f t="shared" si="19"/>
        <v>11.826718352119595</v>
      </c>
      <c r="BH72" s="2442">
        <f t="shared" si="19"/>
        <v>86.375490753398097</v>
      </c>
      <c r="BI72" s="2442">
        <f t="shared" si="19"/>
        <v>23.957790089467053</v>
      </c>
    </row>
    <row r="73" spans="1:61" s="2476" customFormat="1">
      <c r="A73" s="2462"/>
      <c r="B73" s="2462"/>
      <c r="C73" s="2433"/>
      <c r="D73" s="2434"/>
      <c r="E73" s="3932" t="s">
        <v>1182</v>
      </c>
      <c r="F73" s="2465" t="s">
        <v>233</v>
      </c>
      <c r="G73" s="2431" t="s">
        <v>234</v>
      </c>
      <c r="H73" s="2442">
        <f>H$63*H71</f>
        <v>0</v>
      </c>
      <c r="I73" s="2442">
        <f t="shared" ref="I73:BI73" si="20">I$63*I71</f>
        <v>0</v>
      </c>
      <c r="J73" s="2442">
        <f>J$63*J71</f>
        <v>0</v>
      </c>
      <c r="K73" s="2442">
        <f t="shared" si="20"/>
        <v>4.9595785477432982E-9</v>
      </c>
      <c r="L73" s="2442">
        <f t="shared" si="20"/>
        <v>0</v>
      </c>
      <c r="M73" s="2442">
        <f t="shared" si="20"/>
        <v>0</v>
      </c>
      <c r="N73" s="2442">
        <f>N$63*N71</f>
        <v>2.689901164786182E-8</v>
      </c>
      <c r="O73" s="2442">
        <f>O$63*O71</f>
        <v>2.689901164786182E-8</v>
      </c>
      <c r="P73" s="2442">
        <f t="shared" si="20"/>
        <v>7.2683977486554055E-8</v>
      </c>
      <c r="Q73" s="2442">
        <f t="shared" si="20"/>
        <v>7.2683977486554055E-8</v>
      </c>
      <c r="R73" s="2442">
        <f>R$63*R71</f>
        <v>3.0647161998988366E-8</v>
      </c>
      <c r="S73" s="2442">
        <f>S$63*S71</f>
        <v>7.513354482632092E-7</v>
      </c>
      <c r="T73" s="2442">
        <f>T$63*T71</f>
        <v>7.513354482632092E-7</v>
      </c>
      <c r="U73" s="2442">
        <f t="shared" si="20"/>
        <v>2.9142238679520445E-7</v>
      </c>
      <c r="V73" s="2442">
        <f t="shared" si="20"/>
        <v>0</v>
      </c>
      <c r="W73" s="2442">
        <f t="shared" si="20"/>
        <v>0</v>
      </c>
      <c r="X73" s="2442">
        <f t="shared" si="20"/>
        <v>1.3258252311579121E-7</v>
      </c>
      <c r="Y73" s="2442">
        <f t="shared" si="20"/>
        <v>0</v>
      </c>
      <c r="Z73" s="2442">
        <f t="shared" si="20"/>
        <v>1.3459345002490154E-7</v>
      </c>
      <c r="AA73" s="2442">
        <f t="shared" si="20"/>
        <v>0</v>
      </c>
      <c r="AB73" s="2442">
        <f t="shared" si="20"/>
        <v>0</v>
      </c>
      <c r="AC73" s="2442">
        <f t="shared" si="20"/>
        <v>0</v>
      </c>
      <c r="AD73" s="2442">
        <f t="shared" si="20"/>
        <v>0</v>
      </c>
      <c r="AE73" s="2442">
        <f t="shared" si="20"/>
        <v>0</v>
      </c>
      <c r="AF73" s="2442">
        <f t="shared" si="20"/>
        <v>0</v>
      </c>
      <c r="AG73" s="2442">
        <f t="shared" si="20"/>
        <v>0</v>
      </c>
      <c r="AH73" s="2442">
        <f t="shared" si="20"/>
        <v>0</v>
      </c>
      <c r="AI73" s="2442">
        <f t="shared" si="20"/>
        <v>0</v>
      </c>
      <c r="AJ73" s="2442">
        <f t="shared" si="20"/>
        <v>0</v>
      </c>
      <c r="AK73" s="2442">
        <f t="shared" si="20"/>
        <v>0</v>
      </c>
      <c r="AL73" s="2442">
        <f t="shared" si="20"/>
        <v>0</v>
      </c>
      <c r="AM73" s="2442">
        <f t="shared" si="20"/>
        <v>0</v>
      </c>
      <c r="AN73" s="2442">
        <f t="shared" si="20"/>
        <v>8.0695318605111687E-6</v>
      </c>
      <c r="AO73" s="2442">
        <f t="shared" si="20"/>
        <v>2.7214734386938192E-7</v>
      </c>
      <c r="AP73" s="2442">
        <f t="shared" si="20"/>
        <v>2.5396774584086228E-7</v>
      </c>
      <c r="AQ73" s="2442">
        <f t="shared" si="20"/>
        <v>2.5804084947135457E-7</v>
      </c>
      <c r="AR73" s="2442">
        <f t="shared" si="20"/>
        <v>2.5894352997624931E-7</v>
      </c>
      <c r="AS73" s="2442">
        <f t="shared" si="20"/>
        <v>2.5624158010597703E-6</v>
      </c>
      <c r="AT73" s="2442">
        <f t="shared" si="20"/>
        <v>2.4939137351898703E-7</v>
      </c>
      <c r="AU73" s="2442">
        <f t="shared" si="20"/>
        <v>2.5278411062133323E-7</v>
      </c>
      <c r="AV73" s="2442">
        <f t="shared" si="20"/>
        <v>2.4012501974409461E-5</v>
      </c>
      <c r="AW73" s="2442">
        <f t="shared" si="20"/>
        <v>2.5306372480948727E-6</v>
      </c>
      <c r="AX73" s="2442">
        <f t="shared" si="20"/>
        <v>1.5919147881386393E-4</v>
      </c>
      <c r="AY73" s="2442">
        <f t="shared" si="20"/>
        <v>1.5919257269415125E-4</v>
      </c>
      <c r="AZ73" s="2442">
        <f t="shared" si="20"/>
        <v>2.1339497721482824E-3</v>
      </c>
      <c r="BA73" s="2442">
        <f t="shared" si="20"/>
        <v>2.8576070690979356E-3</v>
      </c>
      <c r="BB73" s="2442">
        <f t="shared" si="20"/>
        <v>4.5099589850491252E-6</v>
      </c>
      <c r="BC73" s="2442">
        <f t="shared" si="20"/>
        <v>40.288651882720892</v>
      </c>
      <c r="BD73" s="2442">
        <f t="shared" si="20"/>
        <v>0</v>
      </c>
      <c r="BE73" s="2442">
        <f t="shared" si="20"/>
        <v>2.0828950004847597E-4</v>
      </c>
      <c r="BF73" s="2442">
        <f t="shared" si="20"/>
        <v>1.0414475002423799E-4</v>
      </c>
      <c r="BG73" s="2442">
        <f t="shared" si="20"/>
        <v>0</v>
      </c>
      <c r="BH73" s="2442">
        <f t="shared" si="20"/>
        <v>0</v>
      </c>
      <c r="BI73" s="2442">
        <f t="shared" si="20"/>
        <v>0</v>
      </c>
    </row>
    <row r="74" spans="1:61" s="2476" customFormat="1">
      <c r="A74" s="2462"/>
      <c r="B74" s="2462"/>
      <c r="C74" s="2433"/>
      <c r="D74" s="2434"/>
      <c r="E74" s="3939" t="s">
        <v>988</v>
      </c>
      <c r="F74" s="2466" t="s">
        <v>492</v>
      </c>
      <c r="G74" s="2467" t="s">
        <v>492</v>
      </c>
      <c r="H74" s="2442">
        <f t="shared" ref="H74:W74" si="21">H$25*H72</f>
        <v>6.7544130171382105E-7</v>
      </c>
      <c r="I74" s="2442">
        <f t="shared" si="21"/>
        <v>6.7544130171382105E-7</v>
      </c>
      <c r="J74" s="2442">
        <f t="shared" si="21"/>
        <v>9.0293408159059233E-8</v>
      </c>
      <c r="K74" s="2442">
        <f t="shared" si="21"/>
        <v>2.3888515166340507E-4</v>
      </c>
      <c r="L74" s="2442">
        <f t="shared" si="21"/>
        <v>1.7432507547163881E-4</v>
      </c>
      <c r="M74" s="2442">
        <f t="shared" si="21"/>
        <v>1.7432507547163881E-4</v>
      </c>
      <c r="N74" s="2442">
        <f t="shared" si="21"/>
        <v>6.6887842465753434E-5</v>
      </c>
      <c r="O74" s="2442">
        <f t="shared" si="21"/>
        <v>6.6887842465753434E-5</v>
      </c>
      <c r="P74" s="2442">
        <f t="shared" si="21"/>
        <v>3.8221624266144812E-4</v>
      </c>
      <c r="Q74" s="2442">
        <f t="shared" si="21"/>
        <v>3.8221624266144812E-4</v>
      </c>
      <c r="R74" s="2442">
        <f t="shared" si="21"/>
        <v>3.344392123287671E-5</v>
      </c>
      <c r="S74" s="2442">
        <f t="shared" si="21"/>
        <v>1.7882064261648251E-4</v>
      </c>
      <c r="T74" s="2442">
        <f t="shared" si="21"/>
        <v>1.7882064261648251E-4</v>
      </c>
      <c r="U74" s="2442">
        <f t="shared" si="21"/>
        <v>3.5204127613554432E-4</v>
      </c>
      <c r="V74" s="2442">
        <f t="shared" si="21"/>
        <v>1.3377568493150686E-5</v>
      </c>
      <c r="W74" s="2442">
        <f t="shared" si="21"/>
        <v>1.3377568493150686E-5</v>
      </c>
      <c r="X74" s="2442">
        <f t="shared" ref="I74:BI75" si="22">X$25*X72</f>
        <v>1.273793548882468E-3</v>
      </c>
      <c r="Y74" s="2442">
        <f t="shared" si="22"/>
        <v>3.6384783123936307E-5</v>
      </c>
      <c r="Z74" s="2442">
        <f t="shared" si="22"/>
        <v>2.5445083880085059E-5</v>
      </c>
      <c r="AA74" s="2442">
        <f t="shared" si="22"/>
        <v>1.9110812133072409E-5</v>
      </c>
      <c r="AB74" s="2442">
        <f t="shared" si="22"/>
        <v>1.8478161131859871E-5</v>
      </c>
      <c r="AC74" s="2442">
        <f t="shared" si="22"/>
        <v>5.9779054302696279E-6</v>
      </c>
      <c r="AD74" s="2442">
        <f t="shared" si="22"/>
        <v>1.4281482526299069E-6</v>
      </c>
      <c r="AE74" s="2442">
        <f t="shared" si="22"/>
        <v>0</v>
      </c>
      <c r="AF74" s="2442">
        <f t="shared" si="22"/>
        <v>0</v>
      </c>
      <c r="AG74" s="2442">
        <f t="shared" si="22"/>
        <v>7.2704176593210245E-7</v>
      </c>
      <c r="AH74" s="2442">
        <f t="shared" si="22"/>
        <v>7.2704176593210245E-7</v>
      </c>
      <c r="AI74" s="2442">
        <f t="shared" si="22"/>
        <v>1.0675834571960839E-5</v>
      </c>
      <c r="AJ74" s="2442">
        <f t="shared" si="22"/>
        <v>4.2236971538318288E-6</v>
      </c>
      <c r="AK74" s="2442">
        <f t="shared" si="22"/>
        <v>1.4141377581350974E-6</v>
      </c>
      <c r="AL74" s="2442">
        <f t="shared" si="22"/>
        <v>0</v>
      </c>
      <c r="AM74" s="2442">
        <f t="shared" si="22"/>
        <v>0</v>
      </c>
      <c r="AN74" s="2442">
        <f t="shared" si="22"/>
        <v>3.8155790408544351E-5</v>
      </c>
      <c r="AO74" s="2442">
        <f t="shared" si="22"/>
        <v>0</v>
      </c>
      <c r="AP74" s="2442">
        <f t="shared" si="22"/>
        <v>0</v>
      </c>
      <c r="AQ74" s="2442">
        <f t="shared" si="22"/>
        <v>0</v>
      </c>
      <c r="AR74" s="2442">
        <f t="shared" si="22"/>
        <v>0</v>
      </c>
      <c r="AS74" s="2442">
        <f t="shared" si="22"/>
        <v>0</v>
      </c>
      <c r="AT74" s="2442">
        <f t="shared" si="22"/>
        <v>0</v>
      </c>
      <c r="AU74" s="2442">
        <f t="shared" si="22"/>
        <v>0</v>
      </c>
      <c r="AV74" s="2442">
        <f t="shared" si="22"/>
        <v>0</v>
      </c>
      <c r="AW74" s="2442">
        <f t="shared" si="22"/>
        <v>0</v>
      </c>
      <c r="AX74" s="2442">
        <f t="shared" si="22"/>
        <v>0</v>
      </c>
      <c r="AY74" s="2442">
        <f t="shared" si="22"/>
        <v>0</v>
      </c>
      <c r="AZ74" s="2442">
        <f t="shared" si="22"/>
        <v>0</v>
      </c>
      <c r="BA74" s="2442">
        <f t="shared" si="22"/>
        <v>0</v>
      </c>
      <c r="BB74" s="2442">
        <f t="shared" si="22"/>
        <v>0</v>
      </c>
      <c r="BC74" s="2442">
        <f t="shared" si="22"/>
        <v>0</v>
      </c>
      <c r="BD74" s="2442">
        <f t="shared" si="22"/>
        <v>2.3935167636613527E-6</v>
      </c>
      <c r="BE74" s="2442">
        <f t="shared" si="22"/>
        <v>8.8525096438445255E-8</v>
      </c>
      <c r="BF74" s="2442">
        <f t="shared" si="22"/>
        <v>4.4262548219222628E-8</v>
      </c>
      <c r="BG74" s="2442">
        <f t="shared" si="22"/>
        <v>0.20066352739726026</v>
      </c>
      <c r="BH74" s="2442">
        <f t="shared" si="22"/>
        <v>1.0744932144092044E-4</v>
      </c>
      <c r="BI74" s="2442">
        <f t="shared" si="22"/>
        <v>2.3059693797426118E-4</v>
      </c>
    </row>
    <row r="75" spans="1:61" s="2476" customFormat="1">
      <c r="A75" s="2462"/>
      <c r="B75" s="2462"/>
      <c r="C75" s="2433"/>
      <c r="D75" s="2434"/>
      <c r="E75" s="3943" t="s">
        <v>991</v>
      </c>
      <c r="F75" s="2468" t="s">
        <v>213</v>
      </c>
      <c r="G75" s="2469" t="s">
        <v>213</v>
      </c>
      <c r="H75" s="2470">
        <f>H$25*H73</f>
        <v>0</v>
      </c>
      <c r="I75" s="2470">
        <f t="shared" si="22"/>
        <v>0</v>
      </c>
      <c r="J75" s="2470">
        <f>J$25*J73</f>
        <v>0</v>
      </c>
      <c r="K75" s="2470">
        <f t="shared" si="22"/>
        <v>1.9110812133072407E-10</v>
      </c>
      <c r="L75" s="2470">
        <f t="shared" si="22"/>
        <v>0</v>
      </c>
      <c r="M75" s="2470">
        <f t="shared" si="22"/>
        <v>0</v>
      </c>
      <c r="N75" s="2470">
        <f>N$25*N73</f>
        <v>3.8221624266144814E-10</v>
      </c>
      <c r="O75" s="2470">
        <f>O$25*O73</f>
        <v>3.8221624266144814E-10</v>
      </c>
      <c r="P75" s="2470">
        <f t="shared" si="22"/>
        <v>1.1275379158512722E-9</v>
      </c>
      <c r="Q75" s="2470">
        <f t="shared" si="22"/>
        <v>1.1275379158512722E-9</v>
      </c>
      <c r="R75" s="2470">
        <f>R$25*R73</f>
        <v>1.911081213307241E-10</v>
      </c>
      <c r="S75" s="2470">
        <f>S$25*S73</f>
        <v>4.3954867906066547E-9</v>
      </c>
      <c r="T75" s="2470">
        <f>T$25*T73</f>
        <v>4.3954867906066547E-9</v>
      </c>
      <c r="U75" s="2470">
        <f t="shared" si="22"/>
        <v>8.0265410958904118E-9</v>
      </c>
      <c r="V75" s="2470">
        <f t="shared" si="22"/>
        <v>0</v>
      </c>
      <c r="W75" s="2470">
        <f t="shared" si="22"/>
        <v>0</v>
      </c>
      <c r="X75" s="2470">
        <f t="shared" si="22"/>
        <v>1.1466487279843444E-9</v>
      </c>
      <c r="Y75" s="2470">
        <f t="shared" si="22"/>
        <v>0</v>
      </c>
      <c r="Z75" s="2470">
        <f t="shared" si="22"/>
        <v>4.7777030332681019E-10</v>
      </c>
      <c r="AA75" s="2470">
        <f t="shared" si="22"/>
        <v>0</v>
      </c>
      <c r="AB75" s="2470">
        <f t="shared" si="22"/>
        <v>0</v>
      </c>
      <c r="AC75" s="2470">
        <f t="shared" si="22"/>
        <v>0</v>
      </c>
      <c r="AD75" s="2470">
        <f t="shared" si="22"/>
        <v>0</v>
      </c>
      <c r="AE75" s="2470">
        <f t="shared" si="22"/>
        <v>0</v>
      </c>
      <c r="AF75" s="2470">
        <f t="shared" si="22"/>
        <v>0</v>
      </c>
      <c r="AG75" s="2470">
        <f t="shared" si="22"/>
        <v>0</v>
      </c>
      <c r="AH75" s="2470">
        <f t="shared" si="22"/>
        <v>0</v>
      </c>
      <c r="AI75" s="2470">
        <f t="shared" si="22"/>
        <v>0</v>
      </c>
      <c r="AJ75" s="2470">
        <f t="shared" si="22"/>
        <v>0</v>
      </c>
      <c r="AK75" s="2470">
        <f t="shared" si="22"/>
        <v>0</v>
      </c>
      <c r="AL75" s="2470">
        <f t="shared" si="22"/>
        <v>0</v>
      </c>
      <c r="AM75" s="2470">
        <f t="shared" si="22"/>
        <v>0</v>
      </c>
      <c r="AN75" s="2470">
        <f t="shared" si="22"/>
        <v>3.4493266299303422E-10</v>
      </c>
      <c r="AO75" s="2470">
        <f t="shared" si="22"/>
        <v>3.1771614971901206E-12</v>
      </c>
      <c r="AP75" s="2470">
        <f t="shared" si="22"/>
        <v>4.9601733662954393E-12</v>
      </c>
      <c r="AQ75" s="2470">
        <f t="shared" si="22"/>
        <v>2.0406533405575274E-12</v>
      </c>
      <c r="AR75" s="2470">
        <f t="shared" si="22"/>
        <v>4.1000265457999988E-13</v>
      </c>
      <c r="AS75" s="2470">
        <f t="shared" si="22"/>
        <v>5.2404177496169248E-12</v>
      </c>
      <c r="AT75" s="2470">
        <f t="shared" si="22"/>
        <v>3.7230070080511197E-14</v>
      </c>
      <c r="AU75" s="2470">
        <f t="shared" si="22"/>
        <v>3.6302990501311606E-14</v>
      </c>
      <c r="AV75" s="2470">
        <f t="shared" si="22"/>
        <v>5.5015571920946178E-13</v>
      </c>
      <c r="AW75" s="2470">
        <f t="shared" si="22"/>
        <v>5.586850824685085E-14</v>
      </c>
      <c r="AX75" s="2470">
        <f t="shared" si="22"/>
        <v>1.2370211818155794E-13</v>
      </c>
      <c r="AY75" s="2470">
        <f t="shared" si="22"/>
        <v>8.4896863975654976E-14</v>
      </c>
      <c r="AZ75" s="2470">
        <f t="shared" si="22"/>
        <v>7.5995516435784984E-13</v>
      </c>
      <c r="BA75" s="2470">
        <f t="shared" si="22"/>
        <v>1.7576172755982664E-13</v>
      </c>
      <c r="BB75" s="2470">
        <f t="shared" si="22"/>
        <v>4.3920641356094257E-15</v>
      </c>
      <c r="BC75" s="2470">
        <f t="shared" si="22"/>
        <v>1.0422951516067984E-14</v>
      </c>
      <c r="BD75" s="2470">
        <f t="shared" si="22"/>
        <v>0</v>
      </c>
      <c r="BE75" s="2470">
        <f t="shared" si="22"/>
        <v>4.3246463246034304E-12</v>
      </c>
      <c r="BF75" s="2470">
        <f t="shared" si="22"/>
        <v>2.1623231623017152E-12</v>
      </c>
      <c r="BG75" s="2470">
        <f t="shared" si="22"/>
        <v>0</v>
      </c>
      <c r="BH75" s="2470">
        <f t="shared" si="22"/>
        <v>0</v>
      </c>
      <c r="BI75" s="2470">
        <f t="shared" si="22"/>
        <v>0</v>
      </c>
    </row>
    <row r="76" spans="1:61" s="43" customFormat="1">
      <c r="A76" s="97"/>
      <c r="B76" s="97"/>
      <c r="C76" s="2433"/>
      <c r="D76" s="2434"/>
      <c r="E76" s="3939" t="s">
        <v>1179</v>
      </c>
      <c r="F76" s="225"/>
      <c r="G76" s="59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row>
    <row r="77" spans="1:61">
      <c r="A77" s="97"/>
      <c r="B77" s="97"/>
      <c r="C77" s="2430" t="s">
        <v>593</v>
      </c>
      <c r="D77" s="2434"/>
      <c r="E77" s="3944" t="s">
        <v>1178</v>
      </c>
      <c r="F77" s="34" t="s">
        <v>181</v>
      </c>
      <c r="G77" s="2460" t="s">
        <v>182</v>
      </c>
      <c r="H77" s="163">
        <f>FEM!$H8</f>
        <v>3.2857142857142856</v>
      </c>
      <c r="I77" s="163">
        <f>FEM!$H8</f>
        <v>3.2857142857142856</v>
      </c>
      <c r="J77" s="163">
        <f>FEM!$H8</f>
        <v>3.2857142857142856</v>
      </c>
      <c r="K77" s="163">
        <f>FEM!$H8</f>
        <v>3.2857142857142856</v>
      </c>
      <c r="L77" s="163">
        <f>FEM!$H8</f>
        <v>3.2857142857142856</v>
      </c>
      <c r="M77" s="163">
        <f>FEM!$H8</f>
        <v>3.2857142857142856</v>
      </c>
      <c r="N77" s="163">
        <f>FEM!$H8</f>
        <v>3.2857142857142856</v>
      </c>
      <c r="O77" s="163">
        <f>FEM!$H8</f>
        <v>3.2857142857142856</v>
      </c>
      <c r="P77" s="163">
        <f>FEM!$H8</f>
        <v>3.2857142857142856</v>
      </c>
      <c r="Q77" s="163">
        <f>FEM!$H8</f>
        <v>3.2857142857142856</v>
      </c>
      <c r="R77" s="163">
        <f>FEM!$H8</f>
        <v>3.2857142857142856</v>
      </c>
      <c r="S77" s="163">
        <f>FEM!$H8</f>
        <v>3.2857142857142856</v>
      </c>
      <c r="T77" s="163">
        <f>FEM!$H8</f>
        <v>3.2857142857142856</v>
      </c>
      <c r="U77" s="163">
        <f>FEM!$H8</f>
        <v>3.2857142857142856</v>
      </c>
      <c r="V77" s="163">
        <f>FEM!$H8</f>
        <v>3.2857142857142856</v>
      </c>
      <c r="W77" s="163">
        <f>FEM!$H8</f>
        <v>3.2857142857142856</v>
      </c>
      <c r="X77" s="163">
        <f>FEM!$H8</f>
        <v>3.2857142857142856</v>
      </c>
      <c r="Y77" s="163">
        <f>FEM!$H8</f>
        <v>3.2857142857142856</v>
      </c>
      <c r="Z77" s="163">
        <f>FEM!$H8</f>
        <v>3.2857142857142856</v>
      </c>
      <c r="AA77" s="163">
        <f>FEM!$H8</f>
        <v>3.2857142857142856</v>
      </c>
      <c r="AB77" s="163">
        <f>FEM!$H8</f>
        <v>3.2857142857142856</v>
      </c>
      <c r="AC77" s="163">
        <f>FEM!$H8</f>
        <v>3.2857142857142856</v>
      </c>
      <c r="AD77" s="163">
        <f>FEM!$H8</f>
        <v>3.2857142857142856</v>
      </c>
      <c r="AE77" s="163">
        <f>FEM!$H8</f>
        <v>3.2857142857142856</v>
      </c>
      <c r="AF77" s="163">
        <f>FEM!$H8</f>
        <v>3.2857142857142856</v>
      </c>
      <c r="AG77" s="163">
        <f>FEM!$H8</f>
        <v>3.2857142857142856</v>
      </c>
      <c r="AH77" s="163">
        <f>FEM!$H8</f>
        <v>3.2857142857142856</v>
      </c>
      <c r="AI77" s="163">
        <f>FEM!$H8</f>
        <v>3.2857142857142856</v>
      </c>
      <c r="AJ77" s="163">
        <f>FEM!$H8</f>
        <v>3.2857142857142856</v>
      </c>
      <c r="AK77" s="163">
        <f>FEM!$H8</f>
        <v>3.2857142857142856</v>
      </c>
      <c r="AL77" s="163">
        <f>FEM!$H8</f>
        <v>3.2857142857142856</v>
      </c>
      <c r="AM77" s="163">
        <f>FEM!$H8</f>
        <v>3.2857142857142856</v>
      </c>
      <c r="AN77" s="163">
        <f>FEM!$H8</f>
        <v>3.2857142857142856</v>
      </c>
      <c r="AO77" s="163">
        <f>FEM!$H8</f>
        <v>3.2857142857142856</v>
      </c>
      <c r="AP77" s="163">
        <f>FEM!$H8</f>
        <v>3.2857142857142856</v>
      </c>
      <c r="AQ77" s="163">
        <f>FEM!$H8</f>
        <v>3.2857142857142856</v>
      </c>
      <c r="AR77" s="163">
        <f>FEM!$H8</f>
        <v>3.2857142857142856</v>
      </c>
      <c r="AS77" s="163">
        <f>FEM!$H8</f>
        <v>3.2857142857142856</v>
      </c>
      <c r="AT77" s="163">
        <f>FEM!$H8</f>
        <v>3.2857142857142856</v>
      </c>
      <c r="AU77" s="163">
        <f>FEM!$H8</f>
        <v>3.2857142857142856</v>
      </c>
      <c r="AV77" s="163">
        <f>FEM!$H8</f>
        <v>3.2857142857142856</v>
      </c>
      <c r="AW77" s="163">
        <f>FEM!$H8</f>
        <v>3.2857142857142856</v>
      </c>
      <c r="AX77" s="163">
        <f>FEM!$H8</f>
        <v>3.2857142857142856</v>
      </c>
      <c r="AY77" s="163">
        <f>FEM!$H8</f>
        <v>3.2857142857142856</v>
      </c>
      <c r="AZ77" s="163">
        <f>FEM!$H8</f>
        <v>3.2857142857142856</v>
      </c>
      <c r="BA77" s="163">
        <f>FEM!$H8</f>
        <v>3.2857142857142856</v>
      </c>
      <c r="BB77" s="163">
        <f>FEM!$H8</f>
        <v>3.2857142857142856</v>
      </c>
      <c r="BC77" s="163">
        <f>FEM!$H8</f>
        <v>3.2857142857142856</v>
      </c>
      <c r="BD77" s="163">
        <f>FEM!$H8</f>
        <v>3.2857142857142856</v>
      </c>
      <c r="BE77" s="163">
        <f>FEM!$H8</f>
        <v>3.2857142857142856</v>
      </c>
      <c r="BF77" s="163">
        <f>FEM!$H8</f>
        <v>3.2857142857142856</v>
      </c>
      <c r="BG77" s="163">
        <f>FEM!$H8</f>
        <v>3.2857142857142856</v>
      </c>
      <c r="BH77" s="163">
        <f>FEM!$H8</f>
        <v>3.2857142857142856</v>
      </c>
      <c r="BI77" s="163">
        <f>FEM!$H8</f>
        <v>3.2857142857142856</v>
      </c>
    </row>
    <row r="78" spans="1:61" ht="25.5">
      <c r="A78" s="97"/>
      <c r="B78" s="97"/>
      <c r="C78" s="2427" t="s">
        <v>1180</v>
      </c>
      <c r="D78" s="2434"/>
      <c r="E78" s="3942" t="s">
        <v>1160</v>
      </c>
      <c r="F78" s="18" t="s">
        <v>210</v>
      </c>
      <c r="G78" s="117" t="s">
        <v>182</v>
      </c>
      <c r="H78" s="227">
        <f>FEM!$I$8</f>
        <v>3.0040816326530613</v>
      </c>
      <c r="I78" s="227">
        <f>FEM!$I$8</f>
        <v>3.0040816326530613</v>
      </c>
      <c r="J78" s="227">
        <f>FEM!$I$8</f>
        <v>3.0040816326530613</v>
      </c>
      <c r="K78" s="227">
        <f>FEM!$I$8</f>
        <v>3.0040816326530613</v>
      </c>
      <c r="L78" s="227">
        <f>FEM!$I$8</f>
        <v>3.0040816326530613</v>
      </c>
      <c r="M78" s="227">
        <f>FEM!$I$8</f>
        <v>3.0040816326530613</v>
      </c>
      <c r="N78" s="227">
        <f>FEM!$I$8</f>
        <v>3.0040816326530613</v>
      </c>
      <c r="O78" s="227">
        <f>FEM!$I$8</f>
        <v>3.0040816326530613</v>
      </c>
      <c r="P78" s="227">
        <f>FEM!$I$8</f>
        <v>3.0040816326530613</v>
      </c>
      <c r="Q78" s="227">
        <f>FEM!$I$8</f>
        <v>3.0040816326530613</v>
      </c>
      <c r="R78" s="227">
        <f>FEM!$I$8</f>
        <v>3.0040816326530613</v>
      </c>
      <c r="S78" s="227">
        <f>FEM!$I$8</f>
        <v>3.0040816326530613</v>
      </c>
      <c r="T78" s="227">
        <f>FEM!$I$8</f>
        <v>3.0040816326530613</v>
      </c>
      <c r="U78" s="227">
        <f>FEM!$I$8</f>
        <v>3.0040816326530613</v>
      </c>
      <c r="V78" s="227">
        <f>FEM!$I$8</f>
        <v>3.0040816326530613</v>
      </c>
      <c r="W78" s="227">
        <f>FEM!$I$8</f>
        <v>3.0040816326530613</v>
      </c>
      <c r="X78" s="227">
        <f>FEM!$I$8</f>
        <v>3.0040816326530613</v>
      </c>
      <c r="Y78" s="227">
        <f>FEM!$I$8</f>
        <v>3.0040816326530613</v>
      </c>
      <c r="Z78" s="227">
        <f>FEM!$I$8</f>
        <v>3.0040816326530613</v>
      </c>
      <c r="AA78" s="227">
        <f>FEM!$I$8</f>
        <v>3.0040816326530613</v>
      </c>
      <c r="AB78" s="227">
        <f>FEM!$I$8</f>
        <v>3.0040816326530613</v>
      </c>
      <c r="AC78" s="227">
        <f>FEM!$I$8</f>
        <v>3.0040816326530613</v>
      </c>
      <c r="AD78" s="227">
        <f>FEM!$I$8</f>
        <v>3.0040816326530613</v>
      </c>
      <c r="AE78" s="227">
        <f>FEM!$I$8</f>
        <v>3.0040816326530613</v>
      </c>
      <c r="AF78" s="227">
        <f>FEM!$I$8</f>
        <v>3.0040816326530613</v>
      </c>
      <c r="AG78" s="227">
        <f>FEM!$I$8</f>
        <v>3.0040816326530613</v>
      </c>
      <c r="AH78" s="227">
        <f>FEM!$I$8</f>
        <v>3.0040816326530613</v>
      </c>
      <c r="AI78" s="227">
        <f>FEM!$I$8</f>
        <v>3.0040816326530613</v>
      </c>
      <c r="AJ78" s="227">
        <f>FEM!$I$8</f>
        <v>3.0040816326530613</v>
      </c>
      <c r="AK78" s="227">
        <f>FEM!$I$8</f>
        <v>3.0040816326530613</v>
      </c>
      <c r="AL78" s="227">
        <f>FEM!$I$8</f>
        <v>3.0040816326530613</v>
      </c>
      <c r="AM78" s="227">
        <f>FEM!$I$8</f>
        <v>3.0040816326530613</v>
      </c>
      <c r="AN78" s="227">
        <f>FEM!$I$8</f>
        <v>3.0040816326530613</v>
      </c>
      <c r="AO78" s="227">
        <f>FEM!$I$8</f>
        <v>3.0040816326530613</v>
      </c>
      <c r="AP78" s="227">
        <f>FEM!$I$8</f>
        <v>3.0040816326530613</v>
      </c>
      <c r="AQ78" s="227">
        <f>FEM!$I$8</f>
        <v>3.0040816326530613</v>
      </c>
      <c r="AR78" s="227">
        <f>FEM!$I$8</f>
        <v>3.0040816326530613</v>
      </c>
      <c r="AS78" s="227">
        <f>FEM!$I$8</f>
        <v>3.0040816326530613</v>
      </c>
      <c r="AT78" s="227">
        <f>FEM!$I$8</f>
        <v>3.0040816326530613</v>
      </c>
      <c r="AU78" s="227">
        <f>FEM!$I$8</f>
        <v>3.0040816326530613</v>
      </c>
      <c r="AV78" s="227">
        <f>FEM!$I$8</f>
        <v>3.0040816326530613</v>
      </c>
      <c r="AW78" s="227">
        <f>FEM!$I$8</f>
        <v>3.0040816326530613</v>
      </c>
      <c r="AX78" s="227">
        <f>FEM!$I$8</f>
        <v>3.0040816326530613</v>
      </c>
      <c r="AY78" s="227">
        <f>FEM!$I$8</f>
        <v>3.0040816326530613</v>
      </c>
      <c r="AZ78" s="227">
        <f>FEM!$I$8</f>
        <v>3.0040816326530613</v>
      </c>
      <c r="BA78" s="227">
        <f>FEM!$I$8</f>
        <v>3.0040816326530613</v>
      </c>
      <c r="BB78" s="227">
        <f>FEM!$I$8</f>
        <v>3.0040816326530613</v>
      </c>
      <c r="BC78" s="227">
        <f>FEM!$I$8</f>
        <v>3.0040816326530613</v>
      </c>
      <c r="BD78" s="227">
        <f>FEM!$I$8</f>
        <v>3.0040816326530613</v>
      </c>
      <c r="BE78" s="227">
        <f>FEM!$I$8</f>
        <v>3.0040816326530613</v>
      </c>
      <c r="BF78" s="227">
        <f>FEM!$I$8</f>
        <v>3.0040816326530613</v>
      </c>
      <c r="BG78" s="227">
        <f>FEM!$I$8</f>
        <v>3.0040816326530613</v>
      </c>
      <c r="BH78" s="227">
        <f>FEM!$I$8</f>
        <v>3.0040816326530613</v>
      </c>
      <c r="BI78" s="227">
        <f>FEM!$I$8</f>
        <v>3.0040816326530613</v>
      </c>
    </row>
    <row r="79" spans="1:61" s="2464" customFormat="1">
      <c r="A79" s="2461"/>
      <c r="B79" s="2462"/>
      <c r="C79" s="2433"/>
      <c r="D79" s="2434"/>
      <c r="E79" s="3932" t="s">
        <v>1183</v>
      </c>
      <c r="F79" s="2441" t="s">
        <v>1155</v>
      </c>
      <c r="G79" s="2431" t="s">
        <v>1156</v>
      </c>
      <c r="H79" s="2463">
        <f>IF(H$10&gt;0,H77/24/H$10,0)</f>
        <v>0.68452380952380942</v>
      </c>
      <c r="I79" s="2463">
        <f t="shared" ref="I79:BI79" si="23">IF(I$10&gt;0,I77/24/I$10,0)</f>
        <v>0.68452380952380942</v>
      </c>
      <c r="J79" s="2463">
        <f>IF(J$10&gt;0,J77/24/J$10,0)</f>
        <v>2.7380952380952377E-2</v>
      </c>
      <c r="K79" s="2463">
        <f t="shared" si="23"/>
        <v>2.4447278911564623</v>
      </c>
      <c r="L79" s="2463">
        <f t="shared" si="23"/>
        <v>2.2817460317460316</v>
      </c>
      <c r="M79" s="2463">
        <f t="shared" si="23"/>
        <v>2.2817460317460316</v>
      </c>
      <c r="N79" s="2463">
        <f>IF(N$10&gt;0,N77/24/N$10,0)</f>
        <v>0.68452380952380942</v>
      </c>
      <c r="O79" s="2463">
        <f>IF(O$10&gt;0,O77/24/O$10,0)</f>
        <v>0.68452380952380942</v>
      </c>
      <c r="P79" s="2463">
        <f t="shared" si="23"/>
        <v>3.9115646258503394</v>
      </c>
      <c r="Q79" s="2463">
        <f t="shared" si="23"/>
        <v>3.9115646258503394</v>
      </c>
      <c r="R79" s="2463">
        <f>IF(R$10&gt;0,R77/24/R$10,0)</f>
        <v>0.34226190476190471</v>
      </c>
      <c r="S79" s="2463">
        <f>IF(S$10&gt;0,S77/24/S$10,0)</f>
        <v>2.1730914588057444</v>
      </c>
      <c r="T79" s="2463">
        <f>IF(T$10&gt;0,T77/24/T$10,0)</f>
        <v>2.1730914588057444</v>
      </c>
      <c r="U79" s="2463">
        <f t="shared" si="23"/>
        <v>3.6027568922305759</v>
      </c>
      <c r="V79" s="2463">
        <f t="shared" si="23"/>
        <v>0.13690476190476189</v>
      </c>
      <c r="W79" s="2463">
        <f t="shared" si="23"/>
        <v>0.13690476190476189</v>
      </c>
      <c r="X79" s="2463">
        <f t="shared" si="23"/>
        <v>14.260912698412696</v>
      </c>
      <c r="Y79" s="2463">
        <f t="shared" si="23"/>
        <v>0.52655677655677646</v>
      </c>
      <c r="Z79" s="2463">
        <f t="shared" si="23"/>
        <v>0.51662174303683728</v>
      </c>
      <c r="AA79" s="2463">
        <f t="shared" si="23"/>
        <v>1.3690476190476188</v>
      </c>
      <c r="AB79" s="2463">
        <f t="shared" si="23"/>
        <v>0.68452380952380942</v>
      </c>
      <c r="AC79" s="2463">
        <f t="shared" si="23"/>
        <v>0.68452380952380942</v>
      </c>
      <c r="AD79" s="2463">
        <f t="shared" si="23"/>
        <v>0.68452380952380942</v>
      </c>
      <c r="AE79" s="2463">
        <f t="shared" si="23"/>
        <v>0</v>
      </c>
      <c r="AF79" s="2463">
        <f t="shared" si="23"/>
        <v>0</v>
      </c>
      <c r="AG79" s="2463">
        <f t="shared" si="23"/>
        <v>7.4404761904761901E-3</v>
      </c>
      <c r="AH79" s="2463">
        <f t="shared" si="23"/>
        <v>7.4404761904761901E-3</v>
      </c>
      <c r="AI79" s="2463">
        <f t="shared" si="23"/>
        <v>0.13690476190476189</v>
      </c>
      <c r="AJ79" s="2463">
        <f t="shared" si="23"/>
        <v>0.13690476190476189</v>
      </c>
      <c r="AK79" s="2463">
        <f t="shared" si="23"/>
        <v>0.13690476190476189</v>
      </c>
      <c r="AL79" s="2463">
        <f t="shared" si="23"/>
        <v>0</v>
      </c>
      <c r="AM79" s="2463">
        <f t="shared" si="23"/>
        <v>0</v>
      </c>
      <c r="AN79" s="2463">
        <f t="shared" si="23"/>
        <v>45.634920634920633</v>
      </c>
      <c r="AO79" s="2463">
        <f t="shared" si="23"/>
        <v>0</v>
      </c>
      <c r="AP79" s="2463">
        <f t="shared" si="23"/>
        <v>0</v>
      </c>
      <c r="AQ79" s="2463">
        <f t="shared" si="23"/>
        <v>0</v>
      </c>
      <c r="AR79" s="2463">
        <f t="shared" si="23"/>
        <v>0</v>
      </c>
      <c r="AS79" s="2463">
        <f t="shared" si="23"/>
        <v>0</v>
      </c>
      <c r="AT79" s="2463">
        <f t="shared" si="23"/>
        <v>0</v>
      </c>
      <c r="AU79" s="2463">
        <f t="shared" si="23"/>
        <v>0</v>
      </c>
      <c r="AV79" s="2463">
        <f t="shared" si="23"/>
        <v>0</v>
      </c>
      <c r="AW79" s="2463">
        <f t="shared" si="23"/>
        <v>0</v>
      </c>
      <c r="AX79" s="2463">
        <f t="shared" si="23"/>
        <v>0</v>
      </c>
      <c r="AY79" s="2463">
        <f t="shared" si="23"/>
        <v>0</v>
      </c>
      <c r="AZ79" s="2463">
        <f t="shared" si="23"/>
        <v>0</v>
      </c>
      <c r="BA79" s="2463">
        <f t="shared" si="23"/>
        <v>0</v>
      </c>
      <c r="BB79" s="2463">
        <f t="shared" si="23"/>
        <v>0</v>
      </c>
      <c r="BC79" s="2463">
        <f t="shared" si="23"/>
        <v>0</v>
      </c>
      <c r="BD79" s="2463">
        <f t="shared" si="23"/>
        <v>6.845238095238094</v>
      </c>
      <c r="BE79" s="2463">
        <f t="shared" si="23"/>
        <v>273.8095238095238</v>
      </c>
      <c r="BF79" s="2463">
        <f t="shared" si="23"/>
        <v>136.9047619047619</v>
      </c>
      <c r="BG79" s="2463">
        <f t="shared" si="23"/>
        <v>4563.4920634920627</v>
      </c>
      <c r="BH79" s="2463">
        <f t="shared" si="23"/>
        <v>433.53174603174591</v>
      </c>
      <c r="BI79" s="2463">
        <f t="shared" si="23"/>
        <v>171.13095238095235</v>
      </c>
    </row>
    <row r="80" spans="1:61" s="2464" customFormat="1">
      <c r="A80" s="2462"/>
      <c r="B80" s="2462"/>
      <c r="C80" s="2433"/>
      <c r="D80" s="2434"/>
      <c r="E80" s="3932" t="s">
        <v>1181</v>
      </c>
      <c r="F80" s="2441" t="s">
        <v>211</v>
      </c>
      <c r="G80" s="2431" t="s">
        <v>212</v>
      </c>
      <c r="H80" s="2442">
        <f>H78/24*H$11</f>
        <v>0</v>
      </c>
      <c r="I80" s="2442">
        <f t="shared" ref="I80:BI80" si="24">I78/24*I$11</f>
        <v>0</v>
      </c>
      <c r="J80" s="2442">
        <f>J78/24*J$11</f>
        <v>0</v>
      </c>
      <c r="K80" s="2442">
        <f t="shared" si="24"/>
        <v>1.2517006802721089E-4</v>
      </c>
      <c r="L80" s="2442">
        <f t="shared" si="24"/>
        <v>0</v>
      </c>
      <c r="M80" s="2442">
        <f t="shared" si="24"/>
        <v>0</v>
      </c>
      <c r="N80" s="2442">
        <f>N78/24*N$11</f>
        <v>2.5034013605442179E-4</v>
      </c>
      <c r="O80" s="2442">
        <f>O78/24*O$11</f>
        <v>2.5034013605442179E-4</v>
      </c>
      <c r="P80" s="2442">
        <f t="shared" si="24"/>
        <v>7.3850340136054425E-4</v>
      </c>
      <c r="Q80" s="2442">
        <f t="shared" si="24"/>
        <v>7.3850340136054425E-4</v>
      </c>
      <c r="R80" s="2442">
        <f>R78/24*R$11</f>
        <v>1.2517006802721089E-4</v>
      </c>
      <c r="S80" s="2442">
        <f>S78/24*S$11</f>
        <v>2.8789115646258505E-3</v>
      </c>
      <c r="T80" s="2442">
        <f>T78/24*T$11</f>
        <v>2.8789115646258505E-3</v>
      </c>
      <c r="U80" s="2442">
        <f t="shared" si="24"/>
        <v>5.2571428571428578E-3</v>
      </c>
      <c r="V80" s="2442">
        <f t="shared" si="24"/>
        <v>0</v>
      </c>
      <c r="W80" s="2442">
        <f t="shared" si="24"/>
        <v>0</v>
      </c>
      <c r="X80" s="2442">
        <f t="shared" si="24"/>
        <v>7.5102040816326537E-4</v>
      </c>
      <c r="Y80" s="2442">
        <f t="shared" si="24"/>
        <v>0</v>
      </c>
      <c r="Z80" s="2442">
        <f t="shared" si="24"/>
        <v>3.1292517006802724E-4</v>
      </c>
      <c r="AA80" s="2442">
        <f t="shared" si="24"/>
        <v>0</v>
      </c>
      <c r="AB80" s="2442">
        <f t="shared" si="24"/>
        <v>0</v>
      </c>
      <c r="AC80" s="2442">
        <f t="shared" si="24"/>
        <v>0</v>
      </c>
      <c r="AD80" s="2442">
        <f t="shared" si="24"/>
        <v>0</v>
      </c>
      <c r="AE80" s="2442">
        <f t="shared" si="24"/>
        <v>0</v>
      </c>
      <c r="AF80" s="2442">
        <f t="shared" si="24"/>
        <v>0</v>
      </c>
      <c r="AG80" s="2442">
        <f t="shared" si="24"/>
        <v>0</v>
      </c>
      <c r="AH80" s="2442">
        <f t="shared" si="24"/>
        <v>0</v>
      </c>
      <c r="AI80" s="2442">
        <f t="shared" si="24"/>
        <v>0</v>
      </c>
      <c r="AJ80" s="2442">
        <f t="shared" si="24"/>
        <v>0</v>
      </c>
      <c r="AK80" s="2442">
        <f t="shared" si="24"/>
        <v>0</v>
      </c>
      <c r="AL80" s="2442">
        <f t="shared" si="24"/>
        <v>0</v>
      </c>
      <c r="AM80" s="2442">
        <f t="shared" si="24"/>
        <v>0</v>
      </c>
      <c r="AN80" s="2442">
        <f t="shared" si="24"/>
        <v>4.2557823129251706E-3</v>
      </c>
      <c r="AO80" s="2442">
        <f t="shared" si="24"/>
        <v>1.3768707482993199E-4</v>
      </c>
      <c r="AP80" s="2442">
        <f t="shared" si="24"/>
        <v>1.3768707482993199E-4</v>
      </c>
      <c r="AQ80" s="2442">
        <f t="shared" si="24"/>
        <v>1.3768707482993199E-4</v>
      </c>
      <c r="AR80" s="2442">
        <f t="shared" si="24"/>
        <v>1.3768707482993199E-4</v>
      </c>
      <c r="AS80" s="2442">
        <f t="shared" si="24"/>
        <v>1.37687074829932E-3</v>
      </c>
      <c r="AT80" s="2442">
        <f t="shared" si="24"/>
        <v>1.3768707482993199E-4</v>
      </c>
      <c r="AU80" s="2442">
        <f t="shared" si="24"/>
        <v>1.3768707482993199E-4</v>
      </c>
      <c r="AV80" s="2442">
        <f t="shared" si="24"/>
        <v>1.3768707482993201E-2</v>
      </c>
      <c r="AW80" s="2442">
        <f t="shared" si="24"/>
        <v>1.37687074829932E-3</v>
      </c>
      <c r="AX80" s="2442">
        <f t="shared" si="24"/>
        <v>1.3768707482993201E-2</v>
      </c>
      <c r="AY80" s="2442">
        <f t="shared" si="24"/>
        <v>1.3768707482993201E-2</v>
      </c>
      <c r="AZ80" s="2442">
        <f t="shared" si="24"/>
        <v>0.137687074829932</v>
      </c>
      <c r="BA80" s="2442">
        <f t="shared" si="24"/>
        <v>0.137687074829932</v>
      </c>
      <c r="BB80" s="2442">
        <f t="shared" si="24"/>
        <v>1.37687074829932E-3</v>
      </c>
      <c r="BC80" s="2442">
        <f t="shared" si="24"/>
        <v>1.3768707482993201E-2</v>
      </c>
      <c r="BD80" s="2442">
        <f t="shared" si="24"/>
        <v>0</v>
      </c>
      <c r="BE80" s="2442">
        <f t="shared" si="24"/>
        <v>0.14269387755102042</v>
      </c>
      <c r="BF80" s="2442">
        <f t="shared" si="24"/>
        <v>7.134693877551021E-2</v>
      </c>
      <c r="BG80" s="2442">
        <f t="shared" si="24"/>
        <v>0</v>
      </c>
      <c r="BH80" s="2442">
        <f t="shared" si="24"/>
        <v>0</v>
      </c>
      <c r="BI80" s="2442">
        <f t="shared" si="24"/>
        <v>0</v>
      </c>
    </row>
    <row r="81" spans="1:61" s="2464" customFormat="1">
      <c r="A81" s="2462"/>
      <c r="B81" s="2462"/>
      <c r="C81" s="2433"/>
      <c r="D81" s="2434"/>
      <c r="E81" s="3932" t="s">
        <v>1184</v>
      </c>
      <c r="F81" s="2465" t="s">
        <v>1158</v>
      </c>
      <c r="G81" s="2431" t="s">
        <v>1157</v>
      </c>
      <c r="H81" s="2442">
        <f t="shared" ref="H81:BI81" si="25">H$43*H79</f>
        <v>1.2480064404988639E-2</v>
      </c>
      <c r="I81" s="2442">
        <f t="shared" si="25"/>
        <v>1.2480064404988639E-2</v>
      </c>
      <c r="J81" s="2442">
        <f>J$43*J79</f>
        <v>2.5413817726617293E-4</v>
      </c>
      <c r="K81" s="2442">
        <f t="shared" si="25"/>
        <v>3.0177329787856042E-3</v>
      </c>
      <c r="L81" s="2442">
        <f t="shared" si="25"/>
        <v>1.1778466491299888E-2</v>
      </c>
      <c r="M81" s="2442">
        <f t="shared" si="25"/>
        <v>1.1778466491299888E-2</v>
      </c>
      <c r="N81" s="2442">
        <f>N$43*N79</f>
        <v>2.2913972885215622E-3</v>
      </c>
      <c r="O81" s="2442">
        <f>O$43*O79</f>
        <v>2.2913972885215622E-3</v>
      </c>
      <c r="P81" s="2442">
        <f t="shared" si="25"/>
        <v>1.1993410328693339E-2</v>
      </c>
      <c r="Q81" s="2442">
        <f t="shared" si="25"/>
        <v>1.1993410328693339E-2</v>
      </c>
      <c r="R81" s="2442">
        <f>R$43*R79</f>
        <v>2.6106841702841937E-3</v>
      </c>
      <c r="S81" s="2442">
        <f>S$43*S79</f>
        <v>1.4878891426042019E-2</v>
      </c>
      <c r="T81" s="2442">
        <f>T$43*T79</f>
        <v>1.4878891426042019E-2</v>
      </c>
      <c r="U81" s="2442">
        <f t="shared" si="25"/>
        <v>6.2217719263804898E-3</v>
      </c>
      <c r="V81" s="2442">
        <f t="shared" si="25"/>
        <v>1.4444470974182629E-4</v>
      </c>
      <c r="W81" s="2442">
        <f t="shared" si="25"/>
        <v>1.4444470974182629E-4</v>
      </c>
      <c r="X81" s="2442">
        <f t="shared" si="25"/>
        <v>7.1693693401226027E-2</v>
      </c>
      <c r="Y81" s="2442">
        <f t="shared" si="25"/>
        <v>2.9548234722615E-3</v>
      </c>
      <c r="Z81" s="2442">
        <f t="shared" si="25"/>
        <v>3.4892708609876558E-3</v>
      </c>
      <c r="AA81" s="2442">
        <f t="shared" si="25"/>
        <v>3.9064138135977188E-3</v>
      </c>
      <c r="AB81" s="2442">
        <f t="shared" si="25"/>
        <v>3.3396921741331862E-3</v>
      </c>
      <c r="AC81" s="2442">
        <f t="shared" si="25"/>
        <v>5.5368496868402443E-3</v>
      </c>
      <c r="AD81" s="2442">
        <f t="shared" si="25"/>
        <v>6.7580633277344575E-3</v>
      </c>
      <c r="AE81" s="2442">
        <f t="shared" si="25"/>
        <v>0</v>
      </c>
      <c r="AF81" s="2442">
        <f t="shared" si="25"/>
        <v>0</v>
      </c>
      <c r="AG81" s="2442">
        <f t="shared" si="25"/>
        <v>5.7135768426340663E-6</v>
      </c>
      <c r="AH81" s="2442">
        <f t="shared" si="25"/>
        <v>7.6309272576911655E-6</v>
      </c>
      <c r="AI81" s="2442">
        <f t="shared" si="25"/>
        <v>2.7557318880701151E-4</v>
      </c>
      <c r="AJ81" s="2442">
        <f t="shared" si="25"/>
        <v>4.5800710120578932E-4</v>
      </c>
      <c r="AK81" s="2442">
        <f t="shared" si="25"/>
        <v>6.7265529896885019E-4</v>
      </c>
      <c r="AL81" s="2442">
        <f t="shared" si="25"/>
        <v>0</v>
      </c>
      <c r="AM81" s="2442">
        <f t="shared" si="25"/>
        <v>0</v>
      </c>
      <c r="AN81" s="2442">
        <f t="shared" si="25"/>
        <v>0.43451072142756686</v>
      </c>
      <c r="AO81" s="2442">
        <f t="shared" si="25"/>
        <v>0</v>
      </c>
      <c r="AP81" s="2442">
        <f t="shared" si="25"/>
        <v>0</v>
      </c>
      <c r="AQ81" s="2442">
        <f t="shared" si="25"/>
        <v>0</v>
      </c>
      <c r="AR81" s="2442">
        <f t="shared" si="25"/>
        <v>0</v>
      </c>
      <c r="AS81" s="2442">
        <f t="shared" si="25"/>
        <v>0</v>
      </c>
      <c r="AT81" s="2442">
        <f t="shared" si="25"/>
        <v>0</v>
      </c>
      <c r="AU81" s="2442">
        <f t="shared" si="25"/>
        <v>0</v>
      </c>
      <c r="AV81" s="2442">
        <f t="shared" si="25"/>
        <v>0</v>
      </c>
      <c r="AW81" s="2442">
        <f t="shared" si="25"/>
        <v>0</v>
      </c>
      <c r="AX81" s="2442">
        <f t="shared" si="25"/>
        <v>0</v>
      </c>
      <c r="AY81" s="2442">
        <f t="shared" si="25"/>
        <v>0</v>
      </c>
      <c r="AZ81" s="2442">
        <f t="shared" si="25"/>
        <v>0</v>
      </c>
      <c r="BA81" s="2442">
        <f t="shared" si="25"/>
        <v>0</v>
      </c>
      <c r="BB81" s="2442">
        <f t="shared" si="25"/>
        <v>0</v>
      </c>
      <c r="BC81" s="2442">
        <f t="shared" si="25"/>
        <v>0</v>
      </c>
      <c r="BD81" s="2442">
        <f t="shared" si="25"/>
        <v>1.2454661126257836</v>
      </c>
      <c r="BE81" s="2442">
        <f t="shared" si="25"/>
        <v>2.0754353671713601</v>
      </c>
      <c r="BF81" s="2442">
        <f t="shared" si="25"/>
        <v>1.0377176835856801</v>
      </c>
      <c r="BG81" s="2442">
        <f t="shared" si="25"/>
        <v>5.756921102619061</v>
      </c>
      <c r="BH81" s="2442">
        <f t="shared" si="25"/>
        <v>42.045212430225519</v>
      </c>
      <c r="BI81" s="2442">
        <f t="shared" si="25"/>
        <v>11.661993059423112</v>
      </c>
    </row>
    <row r="82" spans="1:61" s="2464" customFormat="1">
      <c r="A82" s="2462"/>
      <c r="B82" s="2462"/>
      <c r="C82" s="2433"/>
      <c r="D82" s="2434"/>
      <c r="E82" s="3932" t="s">
        <v>1182</v>
      </c>
      <c r="F82" s="2465" t="s">
        <v>1158</v>
      </c>
      <c r="G82" s="2431" t="s">
        <v>1157</v>
      </c>
      <c r="H82" s="2442">
        <f>H$46*H80</f>
        <v>0</v>
      </c>
      <c r="I82" s="2442">
        <f t="shared" ref="I82:BI82" si="26">I$46*I80</f>
        <v>0</v>
      </c>
      <c r="J82" s="2442">
        <f>J$46*J80</f>
        <v>0</v>
      </c>
      <c r="K82" s="2442">
        <f t="shared" si="26"/>
        <v>0</v>
      </c>
      <c r="L82" s="2442">
        <f t="shared" si="26"/>
        <v>0</v>
      </c>
      <c r="M82" s="2442">
        <f t="shared" si="26"/>
        <v>0</v>
      </c>
      <c r="N82" s="2442">
        <f>N$46*N80</f>
        <v>0</v>
      </c>
      <c r="O82" s="2442">
        <f>O$46*O80</f>
        <v>0</v>
      </c>
      <c r="P82" s="2442">
        <f t="shared" si="26"/>
        <v>0</v>
      </c>
      <c r="Q82" s="2442">
        <f t="shared" si="26"/>
        <v>0</v>
      </c>
      <c r="R82" s="2442">
        <f>R$46*R80</f>
        <v>0</v>
      </c>
      <c r="S82" s="2442">
        <f>S$46*S80</f>
        <v>0</v>
      </c>
      <c r="T82" s="2442">
        <f>T$46*T80</f>
        <v>0</v>
      </c>
      <c r="U82" s="2442">
        <f t="shared" si="26"/>
        <v>0</v>
      </c>
      <c r="V82" s="2442">
        <f t="shared" si="26"/>
        <v>0</v>
      </c>
      <c r="W82" s="2442">
        <f t="shared" si="26"/>
        <v>0</v>
      </c>
      <c r="X82" s="2442">
        <f t="shared" si="26"/>
        <v>0</v>
      </c>
      <c r="Y82" s="2442">
        <f t="shared" si="26"/>
        <v>0</v>
      </c>
      <c r="Z82" s="2442">
        <f t="shared" si="26"/>
        <v>0</v>
      </c>
      <c r="AA82" s="2442">
        <f t="shared" si="26"/>
        <v>0</v>
      </c>
      <c r="AB82" s="2442">
        <f t="shared" si="26"/>
        <v>0</v>
      </c>
      <c r="AC82" s="2442">
        <f t="shared" si="26"/>
        <v>0</v>
      </c>
      <c r="AD82" s="2442">
        <f t="shared" si="26"/>
        <v>0</v>
      </c>
      <c r="AE82" s="2442">
        <f t="shared" si="26"/>
        <v>0</v>
      </c>
      <c r="AF82" s="2442">
        <f t="shared" si="26"/>
        <v>0</v>
      </c>
      <c r="AG82" s="2442">
        <f t="shared" si="26"/>
        <v>0</v>
      </c>
      <c r="AH82" s="2442">
        <f t="shared" si="26"/>
        <v>0</v>
      </c>
      <c r="AI82" s="2442">
        <f t="shared" si="26"/>
        <v>0</v>
      </c>
      <c r="AJ82" s="2442">
        <f t="shared" si="26"/>
        <v>0</v>
      </c>
      <c r="AK82" s="2442">
        <f t="shared" si="26"/>
        <v>0</v>
      </c>
      <c r="AL82" s="2442">
        <f t="shared" si="26"/>
        <v>0</v>
      </c>
      <c r="AM82" s="2442">
        <f t="shared" si="26"/>
        <v>0</v>
      </c>
      <c r="AN82" s="2442">
        <f t="shared" si="26"/>
        <v>1.7250988960801437E-5</v>
      </c>
      <c r="AO82" s="2442">
        <f t="shared" si="26"/>
        <v>8.4017293294464966E-7</v>
      </c>
      <c r="AP82" s="2442">
        <f t="shared" si="26"/>
        <v>6.902038451044786E-7</v>
      </c>
      <c r="AQ82" s="2442">
        <f t="shared" si="26"/>
        <v>8.9318940981771692E-7</v>
      </c>
      <c r="AR82" s="2442">
        <f t="shared" si="26"/>
        <v>1.1866760754027923E-6</v>
      </c>
      <c r="AS82" s="2442">
        <f t="shared" si="26"/>
        <v>1.1410168434394715E-5</v>
      </c>
      <c r="AT82" s="2442">
        <f t="shared" si="26"/>
        <v>1.2786684980936232E-6</v>
      </c>
      <c r="AU82" s="2442">
        <f t="shared" si="26"/>
        <v>1.2966227559929808E-6</v>
      </c>
      <c r="AV82" s="2442">
        <f t="shared" si="26"/>
        <v>1.2445613870120067E-4</v>
      </c>
      <c r="AW82" s="2442">
        <f t="shared" si="26"/>
        <v>1.3116643730347278E-5</v>
      </c>
      <c r="AX82" s="2442">
        <f t="shared" si="26"/>
        <v>8.2634921520590701E-4</v>
      </c>
      <c r="AY82" s="2442">
        <f t="shared" si="26"/>
        <v>8.2642110082258274E-4</v>
      </c>
      <c r="AZ82" s="2442">
        <f t="shared" si="26"/>
        <v>1.1078265186046928E-2</v>
      </c>
      <c r="BA82" s="2442">
        <f t="shared" si="26"/>
        <v>1.4836857585734371E-2</v>
      </c>
      <c r="BB82" s="2442">
        <f t="shared" si="26"/>
        <v>2.341433588652847E-5</v>
      </c>
      <c r="BC82" s="2442">
        <f t="shared" si="26"/>
        <v>209.18408592590481</v>
      </c>
      <c r="BD82" s="2442">
        <f t="shared" si="26"/>
        <v>0</v>
      </c>
      <c r="BE82" s="2442">
        <f t="shared" si="26"/>
        <v>1.0799634777893612E-3</v>
      </c>
      <c r="BF82" s="2442">
        <f t="shared" si="26"/>
        <v>5.3998173889468061E-4</v>
      </c>
      <c r="BG82" s="2442">
        <f t="shared" si="26"/>
        <v>0</v>
      </c>
      <c r="BH82" s="2442">
        <f t="shared" si="26"/>
        <v>0</v>
      </c>
      <c r="BI82" s="2442">
        <f t="shared" si="26"/>
        <v>0</v>
      </c>
    </row>
    <row r="83" spans="1:61" s="2464" customFormat="1">
      <c r="A83" s="2462"/>
      <c r="B83" s="2462"/>
      <c r="C83" s="2433"/>
      <c r="D83" s="2434"/>
      <c r="E83" s="3939" t="s">
        <v>988</v>
      </c>
      <c r="F83" s="2466" t="s">
        <v>492</v>
      </c>
      <c r="G83" s="2467" t="s">
        <v>492</v>
      </c>
      <c r="H83" s="2442">
        <f t="shared" ref="H83:W83" si="27">H$25*H81</f>
        <v>3.2878624210408213E-7</v>
      </c>
      <c r="I83" s="2442">
        <f t="shared" si="27"/>
        <v>3.2878624210408213E-7</v>
      </c>
      <c r="J83" s="2442">
        <f t="shared" si="27"/>
        <v>4.3952346828748404E-8</v>
      </c>
      <c r="K83" s="2442">
        <f t="shared" si="27"/>
        <v>1.1628271932821832E-4</v>
      </c>
      <c r="L83" s="2442">
        <f t="shared" si="27"/>
        <v>8.4856650494131056E-5</v>
      </c>
      <c r="M83" s="2442">
        <f t="shared" si="27"/>
        <v>8.4856650494131056E-5</v>
      </c>
      <c r="N83" s="2442">
        <f t="shared" si="27"/>
        <v>3.2559161411901136E-5</v>
      </c>
      <c r="O83" s="2442">
        <f t="shared" si="27"/>
        <v>3.2559161411901136E-5</v>
      </c>
      <c r="P83" s="2442">
        <f t="shared" si="27"/>
        <v>1.8605235092514935E-4</v>
      </c>
      <c r="Q83" s="2442">
        <f t="shared" si="27"/>
        <v>1.8605235092514935E-4</v>
      </c>
      <c r="R83" s="2442">
        <f t="shared" si="27"/>
        <v>1.6279580705950568E-5</v>
      </c>
      <c r="S83" s="2442">
        <f t="shared" si="27"/>
        <v>8.7044968892679305E-5</v>
      </c>
      <c r="T83" s="2442">
        <f t="shared" si="27"/>
        <v>8.7044968892679305E-5</v>
      </c>
      <c r="U83" s="2442">
        <f t="shared" si="27"/>
        <v>1.7136400743105861E-4</v>
      </c>
      <c r="V83" s="2442">
        <f t="shared" si="27"/>
        <v>6.5118322823802281E-6</v>
      </c>
      <c r="W83" s="2442">
        <f t="shared" si="27"/>
        <v>6.5118322823802281E-6</v>
      </c>
      <c r="X83" s="2442">
        <f t="shared" ref="I83:BI84" si="28">X$25*X81</f>
        <v>6.2004765342427029E-4</v>
      </c>
      <c r="Y83" s="2442">
        <f t="shared" si="28"/>
        <v>1.7711111361916085E-5</v>
      </c>
      <c r="Z83" s="2442">
        <f t="shared" si="28"/>
        <v>1.2385966756443519E-5</v>
      </c>
      <c r="AA83" s="2442">
        <f t="shared" si="28"/>
        <v>9.3026175462574663E-6</v>
      </c>
      <c r="AB83" s="2442">
        <f t="shared" si="28"/>
        <v>8.9946604451381375E-6</v>
      </c>
      <c r="AC83" s="2442">
        <f t="shared" si="28"/>
        <v>2.9098798919830985E-6</v>
      </c>
      <c r="AD83" s="2442">
        <f t="shared" si="28"/>
        <v>6.9518327641244134E-7</v>
      </c>
      <c r="AE83" s="2442">
        <f t="shared" si="28"/>
        <v>0</v>
      </c>
      <c r="AF83" s="2442">
        <f t="shared" si="28"/>
        <v>0</v>
      </c>
      <c r="AG83" s="2442">
        <f t="shared" si="28"/>
        <v>3.5390392839022979E-7</v>
      </c>
      <c r="AH83" s="2442">
        <f t="shared" si="28"/>
        <v>3.5390392839022974E-7</v>
      </c>
      <c r="AI83" s="2442">
        <f t="shared" si="28"/>
        <v>5.1967025429650643E-6</v>
      </c>
      <c r="AJ83" s="2442">
        <f t="shared" si="28"/>
        <v>2.0559795669445939E-6</v>
      </c>
      <c r="AK83" s="2442">
        <f t="shared" si="28"/>
        <v>6.8836335316629088E-7</v>
      </c>
      <c r="AL83" s="2442">
        <f t="shared" si="28"/>
        <v>0</v>
      </c>
      <c r="AM83" s="2442">
        <f t="shared" si="28"/>
        <v>0</v>
      </c>
      <c r="AN83" s="2442">
        <f t="shared" si="28"/>
        <v>1.8573188981936935E-5</v>
      </c>
      <c r="AO83" s="2442">
        <f t="shared" si="28"/>
        <v>0</v>
      </c>
      <c r="AP83" s="2442">
        <f t="shared" si="28"/>
        <v>0</v>
      </c>
      <c r="AQ83" s="2442">
        <f t="shared" si="28"/>
        <v>0</v>
      </c>
      <c r="AR83" s="2442">
        <f t="shared" si="28"/>
        <v>0</v>
      </c>
      <c r="AS83" s="2442">
        <f t="shared" si="28"/>
        <v>0</v>
      </c>
      <c r="AT83" s="2442">
        <f t="shared" si="28"/>
        <v>0</v>
      </c>
      <c r="AU83" s="2442">
        <f t="shared" si="28"/>
        <v>0</v>
      </c>
      <c r="AV83" s="2442">
        <f t="shared" si="28"/>
        <v>0</v>
      </c>
      <c r="AW83" s="2442">
        <f t="shared" si="28"/>
        <v>0</v>
      </c>
      <c r="AX83" s="2442">
        <f t="shared" si="28"/>
        <v>0</v>
      </c>
      <c r="AY83" s="2442">
        <f t="shared" si="28"/>
        <v>0</v>
      </c>
      <c r="AZ83" s="2442">
        <f t="shared" si="28"/>
        <v>0</v>
      </c>
      <c r="BA83" s="2442">
        <f t="shared" si="28"/>
        <v>0</v>
      </c>
      <c r="BB83" s="2442">
        <f t="shared" si="28"/>
        <v>0</v>
      </c>
      <c r="BC83" s="2442">
        <f t="shared" si="28"/>
        <v>0</v>
      </c>
      <c r="BD83" s="2442">
        <f t="shared" si="28"/>
        <v>1.1650981071790711E-6</v>
      </c>
      <c r="BE83" s="2442">
        <f t="shared" si="28"/>
        <v>4.3091581335116206E-8</v>
      </c>
      <c r="BF83" s="2442">
        <f t="shared" si="28"/>
        <v>2.1545790667558103E-8</v>
      </c>
      <c r="BG83" s="2442">
        <f t="shared" si="28"/>
        <v>9.7677484235703396E-2</v>
      </c>
      <c r="BH83" s="2442">
        <f t="shared" si="28"/>
        <v>5.2303373399813108E-5</v>
      </c>
      <c r="BI83" s="2442">
        <f t="shared" si="28"/>
        <v>1.1224824493985197E-4</v>
      </c>
    </row>
    <row r="84" spans="1:61" s="2464" customFormat="1">
      <c r="A84" s="2462"/>
      <c r="B84" s="2462"/>
      <c r="C84" s="2433"/>
      <c r="D84" s="2434"/>
      <c r="E84" s="3943" t="s">
        <v>991</v>
      </c>
      <c r="F84" s="2468" t="s">
        <v>213</v>
      </c>
      <c r="G84" s="2469" t="s">
        <v>213</v>
      </c>
      <c r="H84" s="2470">
        <f>H$25*H82</f>
        <v>0</v>
      </c>
      <c r="I84" s="2470">
        <f t="shared" si="28"/>
        <v>0</v>
      </c>
      <c r="J84" s="2470">
        <f>J$25*J82</f>
        <v>0</v>
      </c>
      <c r="K84" s="2470">
        <f t="shared" si="28"/>
        <v>0</v>
      </c>
      <c r="L84" s="2470">
        <f t="shared" si="28"/>
        <v>0</v>
      </c>
      <c r="M84" s="2470">
        <f t="shared" si="28"/>
        <v>0</v>
      </c>
      <c r="N84" s="2470">
        <f>N$25*N82</f>
        <v>0</v>
      </c>
      <c r="O84" s="2470">
        <f>O$25*O82</f>
        <v>0</v>
      </c>
      <c r="P84" s="2470">
        <f t="shared" si="28"/>
        <v>0</v>
      </c>
      <c r="Q84" s="2470">
        <f t="shared" si="28"/>
        <v>0</v>
      </c>
      <c r="R84" s="2470">
        <f>R$25*R82</f>
        <v>0</v>
      </c>
      <c r="S84" s="2470">
        <f>S$25*S82</f>
        <v>0</v>
      </c>
      <c r="T84" s="2470">
        <f>T$25*T82</f>
        <v>0</v>
      </c>
      <c r="U84" s="2470">
        <f t="shared" si="28"/>
        <v>0</v>
      </c>
      <c r="V84" s="2470">
        <f t="shared" si="28"/>
        <v>0</v>
      </c>
      <c r="W84" s="2470">
        <f t="shared" si="28"/>
        <v>0</v>
      </c>
      <c r="X84" s="2470">
        <f t="shared" si="28"/>
        <v>0</v>
      </c>
      <c r="Y84" s="2470">
        <f t="shared" si="28"/>
        <v>0</v>
      </c>
      <c r="Z84" s="2470">
        <f t="shared" si="28"/>
        <v>0</v>
      </c>
      <c r="AA84" s="2470">
        <f t="shared" si="28"/>
        <v>0</v>
      </c>
      <c r="AB84" s="2470">
        <f t="shared" si="28"/>
        <v>0</v>
      </c>
      <c r="AC84" s="2470">
        <f t="shared" si="28"/>
        <v>0</v>
      </c>
      <c r="AD84" s="2470">
        <f t="shared" si="28"/>
        <v>0</v>
      </c>
      <c r="AE84" s="2470">
        <f t="shared" si="28"/>
        <v>0</v>
      </c>
      <c r="AF84" s="2470">
        <f t="shared" si="28"/>
        <v>0</v>
      </c>
      <c r="AG84" s="2470">
        <f t="shared" si="28"/>
        <v>0</v>
      </c>
      <c r="AH84" s="2470">
        <f t="shared" si="28"/>
        <v>0</v>
      </c>
      <c r="AI84" s="2470">
        <f t="shared" si="28"/>
        <v>0</v>
      </c>
      <c r="AJ84" s="2470">
        <f t="shared" si="28"/>
        <v>0</v>
      </c>
      <c r="AK84" s="2470">
        <f t="shared" si="28"/>
        <v>0</v>
      </c>
      <c r="AL84" s="2470">
        <f t="shared" si="28"/>
        <v>0</v>
      </c>
      <c r="AM84" s="2470">
        <f t="shared" si="28"/>
        <v>0</v>
      </c>
      <c r="AN84" s="2470">
        <f t="shared" si="28"/>
        <v>7.3739464251098984E-10</v>
      </c>
      <c r="AO84" s="2470">
        <f t="shared" si="28"/>
        <v>9.8085289225317926E-12</v>
      </c>
      <c r="AP84" s="2470">
        <f t="shared" si="28"/>
        <v>1.3480179219085335E-11</v>
      </c>
      <c r="AQ84" s="2470">
        <f t="shared" si="28"/>
        <v>7.0635713555789919E-12</v>
      </c>
      <c r="AR84" s="2470">
        <f t="shared" si="28"/>
        <v>1.8789438032545056E-12</v>
      </c>
      <c r="AS84" s="2470">
        <f t="shared" si="28"/>
        <v>2.3335029843708835E-11</v>
      </c>
      <c r="AT84" s="2470">
        <f t="shared" si="28"/>
        <v>1.9088438032979223E-13</v>
      </c>
      <c r="AU84" s="2470">
        <f t="shared" si="28"/>
        <v>1.862114018119981E-13</v>
      </c>
      <c r="AV84" s="2470">
        <f t="shared" si="28"/>
        <v>2.8514419934316517E-12</v>
      </c>
      <c r="AW84" s="2470">
        <f t="shared" si="28"/>
        <v>2.8957422442572008E-13</v>
      </c>
      <c r="AX84" s="2470">
        <f t="shared" si="28"/>
        <v>6.4212700981414829E-13</v>
      </c>
      <c r="AY84" s="2470">
        <f t="shared" si="28"/>
        <v>4.4072759548865282E-13</v>
      </c>
      <c r="AZ84" s="2470">
        <f t="shared" si="28"/>
        <v>3.945259138778421E-12</v>
      </c>
      <c r="BA84" s="2470">
        <f t="shared" si="28"/>
        <v>9.1256483406271242E-13</v>
      </c>
      <c r="BB84" s="2470">
        <f t="shared" si="28"/>
        <v>2.2802261671835193E-14</v>
      </c>
      <c r="BC84" s="2470">
        <f t="shared" si="28"/>
        <v>5.4117362672882205E-14</v>
      </c>
      <c r="BD84" s="2470">
        <f t="shared" si="28"/>
        <v>0</v>
      </c>
      <c r="BE84" s="2470">
        <f t="shared" si="28"/>
        <v>2.2422926186105041E-11</v>
      </c>
      <c r="BF84" s="2470">
        <f t="shared" si="28"/>
        <v>1.121146309305252E-11</v>
      </c>
      <c r="BG84" s="2470">
        <f t="shared" si="28"/>
        <v>0</v>
      </c>
      <c r="BH84" s="2470">
        <f t="shared" si="28"/>
        <v>0</v>
      </c>
      <c r="BI84" s="2470">
        <f t="shared" si="28"/>
        <v>0</v>
      </c>
    </row>
    <row r="85" spans="1:61">
      <c r="A85" s="97"/>
      <c r="B85" s="97"/>
      <c r="C85" s="2433"/>
      <c r="D85" s="2434"/>
      <c r="E85" s="3939" t="s">
        <v>586</v>
      </c>
      <c r="F85" s="225"/>
      <c r="G85" s="59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row>
    <row r="86" spans="1:61" s="2443" customFormat="1">
      <c r="A86" s="2438"/>
      <c r="B86" s="2439"/>
      <c r="C86" s="4112" t="s">
        <v>586</v>
      </c>
      <c r="D86" s="4113"/>
      <c r="E86" s="3939" t="s">
        <v>988</v>
      </c>
      <c r="F86" s="2466" t="s">
        <v>492</v>
      </c>
      <c r="G86" s="2467" t="s">
        <v>492</v>
      </c>
      <c r="H86" s="2442">
        <f>MAX(H74,H83)</f>
        <v>6.7544130171382105E-7</v>
      </c>
      <c r="I86" s="2442">
        <f t="shared" ref="I86:BI86" si="29">MAX(I74,I83)</f>
        <v>6.7544130171382105E-7</v>
      </c>
      <c r="J86" s="2442">
        <f>MAX(J74,J83)</f>
        <v>9.0293408159059233E-8</v>
      </c>
      <c r="K86" s="2442">
        <f t="shared" si="29"/>
        <v>2.3888515166340507E-4</v>
      </c>
      <c r="L86" s="2442">
        <f t="shared" si="29"/>
        <v>1.7432507547163881E-4</v>
      </c>
      <c r="M86" s="2442">
        <f t="shared" si="29"/>
        <v>1.7432507547163881E-4</v>
      </c>
      <c r="N86" s="2442">
        <f>MAX(N74,N83)</f>
        <v>6.6887842465753434E-5</v>
      </c>
      <c r="O86" s="2442">
        <f>MAX(O74,O83)</f>
        <v>6.6887842465753434E-5</v>
      </c>
      <c r="P86" s="2442">
        <f t="shared" si="29"/>
        <v>3.8221624266144812E-4</v>
      </c>
      <c r="Q86" s="2442">
        <f t="shared" si="29"/>
        <v>3.8221624266144812E-4</v>
      </c>
      <c r="R86" s="2442">
        <f>MAX(R74,R83)</f>
        <v>3.344392123287671E-5</v>
      </c>
      <c r="S86" s="2442">
        <f>MAX(S74,S83)</f>
        <v>1.7882064261648251E-4</v>
      </c>
      <c r="T86" s="2442">
        <f>MAX(T74,T83)</f>
        <v>1.7882064261648251E-4</v>
      </c>
      <c r="U86" s="2442">
        <f t="shared" si="29"/>
        <v>3.5204127613554432E-4</v>
      </c>
      <c r="V86" s="2442">
        <f t="shared" si="29"/>
        <v>1.3377568493150686E-5</v>
      </c>
      <c r="W86" s="2442">
        <f t="shared" si="29"/>
        <v>1.3377568493150686E-5</v>
      </c>
      <c r="X86" s="2442">
        <f t="shared" si="29"/>
        <v>1.273793548882468E-3</v>
      </c>
      <c r="Y86" s="2442">
        <f t="shared" si="29"/>
        <v>3.6384783123936307E-5</v>
      </c>
      <c r="Z86" s="2442">
        <f t="shared" si="29"/>
        <v>2.5445083880085059E-5</v>
      </c>
      <c r="AA86" s="2442">
        <f t="shared" si="29"/>
        <v>1.9110812133072409E-5</v>
      </c>
      <c r="AB86" s="2442">
        <f t="shared" si="29"/>
        <v>1.8478161131859871E-5</v>
      </c>
      <c r="AC86" s="2442">
        <f t="shared" si="29"/>
        <v>5.9779054302696279E-6</v>
      </c>
      <c r="AD86" s="2442">
        <f t="shared" si="29"/>
        <v>1.4281482526299069E-6</v>
      </c>
      <c r="AE86" s="2442">
        <f t="shared" si="29"/>
        <v>0</v>
      </c>
      <c r="AF86" s="2442">
        <f t="shared" si="29"/>
        <v>0</v>
      </c>
      <c r="AG86" s="2442">
        <f t="shared" si="29"/>
        <v>7.2704176593210245E-7</v>
      </c>
      <c r="AH86" s="2442">
        <f t="shared" si="29"/>
        <v>7.2704176593210245E-7</v>
      </c>
      <c r="AI86" s="2442">
        <f t="shared" si="29"/>
        <v>1.0675834571960839E-5</v>
      </c>
      <c r="AJ86" s="2442">
        <f t="shared" si="29"/>
        <v>4.2236971538318288E-6</v>
      </c>
      <c r="AK86" s="2442">
        <f t="shared" si="29"/>
        <v>1.4141377581350974E-6</v>
      </c>
      <c r="AL86" s="2442">
        <f t="shared" si="29"/>
        <v>0</v>
      </c>
      <c r="AM86" s="2442">
        <f t="shared" si="29"/>
        <v>0</v>
      </c>
      <c r="AN86" s="2442">
        <f t="shared" si="29"/>
        <v>3.8155790408544351E-5</v>
      </c>
      <c r="AO86" s="2442">
        <f t="shared" si="29"/>
        <v>0</v>
      </c>
      <c r="AP86" s="2442">
        <f t="shared" si="29"/>
        <v>0</v>
      </c>
      <c r="AQ86" s="2442">
        <f t="shared" si="29"/>
        <v>0</v>
      </c>
      <c r="AR86" s="2442">
        <f t="shared" si="29"/>
        <v>0</v>
      </c>
      <c r="AS86" s="2442">
        <f t="shared" si="29"/>
        <v>0</v>
      </c>
      <c r="AT86" s="2442">
        <f t="shared" si="29"/>
        <v>0</v>
      </c>
      <c r="AU86" s="2442">
        <f t="shared" si="29"/>
        <v>0</v>
      </c>
      <c r="AV86" s="2442">
        <f t="shared" si="29"/>
        <v>0</v>
      </c>
      <c r="AW86" s="2442">
        <f t="shared" si="29"/>
        <v>0</v>
      </c>
      <c r="AX86" s="2442">
        <f t="shared" si="29"/>
        <v>0</v>
      </c>
      <c r="AY86" s="2442">
        <f t="shared" si="29"/>
        <v>0</v>
      </c>
      <c r="AZ86" s="2442">
        <f t="shared" si="29"/>
        <v>0</v>
      </c>
      <c r="BA86" s="2442">
        <f t="shared" si="29"/>
        <v>0</v>
      </c>
      <c r="BB86" s="2442">
        <f t="shared" si="29"/>
        <v>0</v>
      </c>
      <c r="BC86" s="2442">
        <f t="shared" si="29"/>
        <v>0</v>
      </c>
      <c r="BD86" s="2442">
        <f t="shared" si="29"/>
        <v>2.3935167636613527E-6</v>
      </c>
      <c r="BE86" s="2442">
        <f t="shared" si="29"/>
        <v>8.8525096438445255E-8</v>
      </c>
      <c r="BF86" s="2442">
        <f t="shared" si="29"/>
        <v>4.4262548219222628E-8</v>
      </c>
      <c r="BG86" s="2442">
        <f t="shared" si="29"/>
        <v>0.20066352739726026</v>
      </c>
      <c r="BH86" s="2442">
        <f t="shared" si="29"/>
        <v>1.0744932144092044E-4</v>
      </c>
      <c r="BI86" s="2442">
        <f t="shared" si="29"/>
        <v>2.3059693797426118E-4</v>
      </c>
    </row>
    <row r="87" spans="1:61" s="2443" customFormat="1">
      <c r="A87" s="2438"/>
      <c r="B87" s="2439"/>
      <c r="C87" s="4112"/>
      <c r="D87" s="4113"/>
      <c r="E87" s="3939" t="s">
        <v>991</v>
      </c>
      <c r="F87" s="2466" t="s">
        <v>213</v>
      </c>
      <c r="G87" s="2467" t="s">
        <v>213</v>
      </c>
      <c r="H87" s="2442">
        <f>H75+H84</f>
        <v>0</v>
      </c>
      <c r="I87" s="2442">
        <f t="shared" ref="I87:BI87" si="30">I75+I84</f>
        <v>0</v>
      </c>
      <c r="J87" s="2442">
        <f>J75+J84</f>
        <v>0</v>
      </c>
      <c r="K87" s="2442">
        <f t="shared" si="30"/>
        <v>1.9110812133072407E-10</v>
      </c>
      <c r="L87" s="2442">
        <f t="shared" si="30"/>
        <v>0</v>
      </c>
      <c r="M87" s="2442">
        <f t="shared" si="30"/>
        <v>0</v>
      </c>
      <c r="N87" s="2442">
        <f>N75+N84</f>
        <v>3.8221624266144814E-10</v>
      </c>
      <c r="O87" s="2442">
        <f>O75+O84</f>
        <v>3.8221624266144814E-10</v>
      </c>
      <c r="P87" s="2442">
        <f t="shared" si="30"/>
        <v>1.1275379158512722E-9</v>
      </c>
      <c r="Q87" s="2442">
        <f t="shared" si="30"/>
        <v>1.1275379158512722E-9</v>
      </c>
      <c r="R87" s="2442">
        <f>R75+R84</f>
        <v>1.911081213307241E-10</v>
      </c>
      <c r="S87" s="2442">
        <f>S75+S84</f>
        <v>4.3954867906066547E-9</v>
      </c>
      <c r="T87" s="2442">
        <f>T75+T84</f>
        <v>4.3954867906066547E-9</v>
      </c>
      <c r="U87" s="2442">
        <f t="shared" si="30"/>
        <v>8.0265410958904118E-9</v>
      </c>
      <c r="V87" s="2442">
        <f t="shared" si="30"/>
        <v>0</v>
      </c>
      <c r="W87" s="2442">
        <f t="shared" si="30"/>
        <v>0</v>
      </c>
      <c r="X87" s="2442">
        <f t="shared" si="30"/>
        <v>1.1466487279843444E-9</v>
      </c>
      <c r="Y87" s="2442">
        <f t="shared" si="30"/>
        <v>0</v>
      </c>
      <c r="Z87" s="2442">
        <f t="shared" si="30"/>
        <v>4.7777030332681019E-10</v>
      </c>
      <c r="AA87" s="2442">
        <f t="shared" si="30"/>
        <v>0</v>
      </c>
      <c r="AB87" s="2442">
        <f t="shared" si="30"/>
        <v>0</v>
      </c>
      <c r="AC87" s="2442">
        <f t="shared" si="30"/>
        <v>0</v>
      </c>
      <c r="AD87" s="2442">
        <f t="shared" si="30"/>
        <v>0</v>
      </c>
      <c r="AE87" s="2442">
        <f t="shared" si="30"/>
        <v>0</v>
      </c>
      <c r="AF87" s="2442">
        <f t="shared" si="30"/>
        <v>0</v>
      </c>
      <c r="AG87" s="2442">
        <f t="shared" si="30"/>
        <v>0</v>
      </c>
      <c r="AH87" s="2442">
        <f t="shared" si="30"/>
        <v>0</v>
      </c>
      <c r="AI87" s="2442">
        <f t="shared" si="30"/>
        <v>0</v>
      </c>
      <c r="AJ87" s="2442">
        <f t="shared" si="30"/>
        <v>0</v>
      </c>
      <c r="AK87" s="2442">
        <f t="shared" si="30"/>
        <v>0</v>
      </c>
      <c r="AL87" s="2442">
        <f t="shared" si="30"/>
        <v>0</v>
      </c>
      <c r="AM87" s="2442">
        <f t="shared" si="30"/>
        <v>0</v>
      </c>
      <c r="AN87" s="2442">
        <f t="shared" si="30"/>
        <v>1.0823273055040241E-9</v>
      </c>
      <c r="AO87" s="2442">
        <f t="shared" si="30"/>
        <v>1.2985690419721914E-11</v>
      </c>
      <c r="AP87" s="2442">
        <f t="shared" si="30"/>
        <v>1.8440352585380775E-11</v>
      </c>
      <c r="AQ87" s="2442">
        <f t="shared" si="30"/>
        <v>9.1042246961365193E-12</v>
      </c>
      <c r="AR87" s="2442">
        <f t="shared" si="30"/>
        <v>2.2889464578345057E-12</v>
      </c>
      <c r="AS87" s="2442">
        <f t="shared" si="30"/>
        <v>2.857544759332576E-11</v>
      </c>
      <c r="AT87" s="2442">
        <f t="shared" si="30"/>
        <v>2.2811445041030341E-13</v>
      </c>
      <c r="AU87" s="2442">
        <f t="shared" si="30"/>
        <v>2.225143923133097E-13</v>
      </c>
      <c r="AV87" s="2442">
        <f t="shared" si="30"/>
        <v>3.4015977126411137E-12</v>
      </c>
      <c r="AW87" s="2442">
        <f t="shared" si="30"/>
        <v>3.4544273267257092E-13</v>
      </c>
      <c r="AX87" s="2442">
        <f t="shared" si="30"/>
        <v>7.6582912799570626E-13</v>
      </c>
      <c r="AY87" s="2442">
        <f t="shared" si="30"/>
        <v>5.2562445946430782E-13</v>
      </c>
      <c r="AZ87" s="2442">
        <f t="shared" si="30"/>
        <v>4.7052143031362706E-12</v>
      </c>
      <c r="BA87" s="2442">
        <f t="shared" si="30"/>
        <v>1.088326561622539E-12</v>
      </c>
      <c r="BB87" s="2442">
        <f t="shared" si="30"/>
        <v>2.7194325807444619E-14</v>
      </c>
      <c r="BC87" s="2442">
        <f t="shared" si="30"/>
        <v>6.4540314188950188E-14</v>
      </c>
      <c r="BD87" s="2442">
        <f t="shared" si="30"/>
        <v>0</v>
      </c>
      <c r="BE87" s="2442">
        <f t="shared" si="30"/>
        <v>2.6747572510708469E-11</v>
      </c>
      <c r="BF87" s="2442">
        <f t="shared" si="30"/>
        <v>1.3373786255354235E-11</v>
      </c>
      <c r="BG87" s="2442">
        <f t="shared" si="30"/>
        <v>0</v>
      </c>
      <c r="BH87" s="2442">
        <f t="shared" si="30"/>
        <v>0</v>
      </c>
      <c r="BI87" s="2442">
        <f t="shared" si="30"/>
        <v>0</v>
      </c>
    </row>
    <row r="88" spans="1:61" s="1057" customFormat="1">
      <c r="A88" s="1594"/>
      <c r="B88" s="1050"/>
      <c r="C88" s="2433"/>
      <c r="D88" s="2434"/>
      <c r="E88" s="3945"/>
      <c r="F88" s="514"/>
      <c r="G88" s="1611"/>
      <c r="H88" s="1053"/>
      <c r="I88" s="1053"/>
      <c r="J88" s="1053"/>
      <c r="K88" s="1053"/>
      <c r="L88" s="1053"/>
      <c r="M88" s="1053"/>
      <c r="N88" s="1053"/>
      <c r="O88" s="1053"/>
      <c r="P88" s="1053"/>
      <c r="Q88" s="1053"/>
      <c r="R88" s="1053"/>
      <c r="S88" s="1053"/>
      <c r="T88" s="1053"/>
      <c r="U88" s="1053"/>
      <c r="V88" s="1053"/>
      <c r="W88" s="1053"/>
      <c r="X88" s="1053"/>
      <c r="Y88" s="1053"/>
      <c r="Z88" s="1053"/>
      <c r="AA88" s="1053"/>
      <c r="AB88" s="1053"/>
      <c r="AC88" s="1053"/>
      <c r="AD88" s="1053"/>
      <c r="AE88" s="1053"/>
      <c r="AF88" s="1053"/>
      <c r="AG88" s="1053"/>
      <c r="AH88" s="1053"/>
      <c r="AI88" s="1053"/>
      <c r="AJ88" s="1053"/>
      <c r="AK88" s="1053"/>
      <c r="AL88" s="1053"/>
      <c r="AM88" s="1053"/>
      <c r="AN88" s="1053"/>
      <c r="AO88" s="1053"/>
      <c r="AP88" s="1053"/>
      <c r="AQ88" s="1053"/>
      <c r="AR88" s="1053"/>
      <c r="AS88" s="1053"/>
      <c r="AT88" s="1053"/>
      <c r="AU88" s="1053"/>
      <c r="AV88" s="1053"/>
      <c r="AW88" s="1053"/>
      <c r="AX88" s="1053"/>
      <c r="AY88" s="1053"/>
      <c r="AZ88" s="1053"/>
      <c r="BA88" s="1053"/>
      <c r="BB88" s="1053"/>
      <c r="BC88" s="1053"/>
      <c r="BD88" s="1053"/>
      <c r="BE88" s="1053"/>
      <c r="BF88" s="1053"/>
      <c r="BG88" s="1053"/>
      <c r="BH88" s="1053"/>
      <c r="BI88" s="1053"/>
    </row>
    <row r="89" spans="1:61" s="26" customFormat="1">
      <c r="A89" s="398"/>
      <c r="B89" s="27"/>
      <c r="C89" s="2425"/>
      <c r="D89" s="2426"/>
      <c r="E89" s="3498" t="s">
        <v>989</v>
      </c>
      <c r="F89" s="14" t="str">
        <f>F18</f>
        <v>Cs</v>
      </c>
      <c r="G89" s="105" t="str">
        <f>G18</f>
        <v>mg/kg ms</v>
      </c>
      <c r="H89" s="56">
        <f t="shared" ref="H89:AM89" si="31">IF(H86=0,"PVL",H$15/MAX(H72,H81)/H$20)</f>
        <v>2961.0271017264263</v>
      </c>
      <c r="I89" s="56">
        <f t="shared" si="31"/>
        <v>2961.0271017264263</v>
      </c>
      <c r="J89" s="56">
        <f t="shared" si="31"/>
        <v>22150.011177746623</v>
      </c>
      <c r="K89" s="56">
        <f t="shared" si="31"/>
        <v>8.372224000000001</v>
      </c>
      <c r="L89" s="56">
        <f t="shared" si="31"/>
        <v>11.472818781744243</v>
      </c>
      <c r="M89" s="56">
        <f t="shared" si="31"/>
        <v>11.472818781744243</v>
      </c>
      <c r="N89" s="56">
        <f t="shared" si="31"/>
        <v>29.900799999999997</v>
      </c>
      <c r="O89" s="56">
        <f t="shared" si="31"/>
        <v>29.900799999999997</v>
      </c>
      <c r="P89" s="56">
        <f t="shared" si="31"/>
        <v>5.2326400000000008</v>
      </c>
      <c r="Q89" s="56">
        <f t="shared" si="31"/>
        <v>5.2326400000000008</v>
      </c>
      <c r="R89" s="56">
        <f t="shared" si="31"/>
        <v>59.801600000000008</v>
      </c>
      <c r="S89" s="56">
        <f t="shared" si="31"/>
        <v>11.184391078883491</v>
      </c>
      <c r="T89" s="56">
        <f t="shared" si="31"/>
        <v>11.184391078883491</v>
      </c>
      <c r="U89" s="56">
        <f t="shared" si="31"/>
        <v>5.6811520000000009</v>
      </c>
      <c r="V89" s="56">
        <f t="shared" si="31"/>
        <v>149.50399999999999</v>
      </c>
      <c r="W89" s="56">
        <f t="shared" si="31"/>
        <v>149.50399999999999</v>
      </c>
      <c r="X89" s="56">
        <f t="shared" si="31"/>
        <v>1.5701131488337743</v>
      </c>
      <c r="Y89" s="56">
        <f t="shared" si="31"/>
        <v>54.968034114356676</v>
      </c>
      <c r="Z89" s="56">
        <f t="shared" si="31"/>
        <v>78.600644801384504</v>
      </c>
      <c r="AA89" s="56">
        <f t="shared" si="31"/>
        <v>104.65279999999998</v>
      </c>
      <c r="AB89" s="56">
        <f t="shared" si="31"/>
        <v>108.23587832836999</v>
      </c>
      <c r="AC89" s="56">
        <f t="shared" si="31"/>
        <v>334.56534622860232</v>
      </c>
      <c r="AD89" s="56">
        <f t="shared" si="31"/>
        <v>1400.4148353065164</v>
      </c>
      <c r="AE89" s="56" t="str">
        <f t="shared" si="31"/>
        <v>PVL</v>
      </c>
      <c r="AF89" s="56" t="str">
        <f t="shared" si="31"/>
        <v>PVL</v>
      </c>
      <c r="AG89" s="56">
        <f t="shared" si="31"/>
        <v>2750.8735999999999</v>
      </c>
      <c r="AH89" s="56">
        <f t="shared" si="31"/>
        <v>2750.8735999999999</v>
      </c>
      <c r="AI89" s="56">
        <f t="shared" si="31"/>
        <v>187.33898380673938</v>
      </c>
      <c r="AJ89" s="56">
        <f t="shared" si="31"/>
        <v>473.51879814241812</v>
      </c>
      <c r="AK89" s="56">
        <f t="shared" si="31"/>
        <v>1414.2893706745458</v>
      </c>
      <c r="AL89" s="56" t="str">
        <f t="shared" si="31"/>
        <v>PVL</v>
      </c>
      <c r="AM89" s="56" t="str">
        <f t="shared" si="31"/>
        <v>PVL</v>
      </c>
      <c r="AN89" s="56">
        <f t="shared" ref="AN89:BI89" si="32">IF(AN86=0,"PVL",AN$15/MAX(AN72,AN81)/AN$20)</f>
        <v>52.416683774217752</v>
      </c>
      <c r="AO89" s="56" t="str">
        <f t="shared" si="32"/>
        <v>PVL</v>
      </c>
      <c r="AP89" s="56" t="str">
        <f t="shared" si="32"/>
        <v>PVL</v>
      </c>
      <c r="AQ89" s="56" t="str">
        <f t="shared" si="32"/>
        <v>PVL</v>
      </c>
      <c r="AR89" s="56" t="str">
        <f t="shared" si="32"/>
        <v>PVL</v>
      </c>
      <c r="AS89" s="56" t="str">
        <f t="shared" si="32"/>
        <v>PVL</v>
      </c>
      <c r="AT89" s="56" t="str">
        <f t="shared" si="32"/>
        <v>PVL</v>
      </c>
      <c r="AU89" s="56" t="str">
        <f t="shared" si="32"/>
        <v>PVL</v>
      </c>
      <c r="AV89" s="56" t="str">
        <f t="shared" si="32"/>
        <v>PVL</v>
      </c>
      <c r="AW89" s="56" t="str">
        <f t="shared" si="32"/>
        <v>PVL</v>
      </c>
      <c r="AX89" s="56" t="str">
        <f t="shared" si="32"/>
        <v>PVL</v>
      </c>
      <c r="AY89" s="56" t="str">
        <f t="shared" si="32"/>
        <v>PVL</v>
      </c>
      <c r="AZ89" s="56" t="str">
        <f t="shared" si="32"/>
        <v>PVL</v>
      </c>
      <c r="BA89" s="56" t="str">
        <f t="shared" si="32"/>
        <v>PVL</v>
      </c>
      <c r="BB89" s="56" t="str">
        <f t="shared" si="32"/>
        <v>PVL</v>
      </c>
      <c r="BC89" s="56" t="str">
        <f t="shared" si="32"/>
        <v>PVL</v>
      </c>
      <c r="BD89" s="56">
        <f t="shared" si="32"/>
        <v>835.59055460326442</v>
      </c>
      <c r="BE89" s="56">
        <f t="shared" si="32"/>
        <v>22592.46338568717</v>
      </c>
      <c r="BF89" s="56">
        <f t="shared" si="32"/>
        <v>45184.926771374339</v>
      </c>
      <c r="BG89" s="56">
        <f t="shared" si="32"/>
        <v>4.4851199999999996E-3</v>
      </c>
      <c r="BH89" s="56">
        <f t="shared" si="32"/>
        <v>18.613426061510062</v>
      </c>
      <c r="BI89" s="56">
        <f t="shared" si="32"/>
        <v>8.6731420528369565</v>
      </c>
    </row>
    <row r="90" spans="1:61" s="26" customFormat="1">
      <c r="A90" s="398"/>
      <c r="B90" s="27"/>
      <c r="C90" s="2425"/>
      <c r="D90" s="2426"/>
      <c r="E90" s="3498" t="s">
        <v>992</v>
      </c>
      <c r="F90" s="14" t="str">
        <f>F89</f>
        <v>Cs</v>
      </c>
      <c r="G90" s="105" t="str">
        <f>G89</f>
        <v>mg/kg ms</v>
      </c>
      <c r="H90" s="56" t="str">
        <f t="shared" ref="H90:AM90" si="33">IF(H87=0,"PVL",H$16/(H73+H82)/H$20)</f>
        <v>PVL</v>
      </c>
      <c r="I90" s="56" t="str">
        <f t="shared" si="33"/>
        <v>PVL</v>
      </c>
      <c r="J90" s="56" t="str">
        <f t="shared" si="33"/>
        <v>PVL</v>
      </c>
      <c r="K90" s="56">
        <f t="shared" si="33"/>
        <v>52.3264</v>
      </c>
      <c r="L90" s="56" t="str">
        <f t="shared" si="33"/>
        <v>PVL</v>
      </c>
      <c r="M90" s="56" t="str">
        <f t="shared" si="33"/>
        <v>PVL</v>
      </c>
      <c r="N90" s="56">
        <f t="shared" si="33"/>
        <v>26.163199999999996</v>
      </c>
      <c r="O90" s="56">
        <f t="shared" si="33"/>
        <v>26.163199999999996</v>
      </c>
      <c r="P90" s="56">
        <f t="shared" si="33"/>
        <v>8.8688813559322028</v>
      </c>
      <c r="Q90" s="56">
        <f t="shared" si="33"/>
        <v>8.8688813559322028</v>
      </c>
      <c r="R90" s="56">
        <f t="shared" si="33"/>
        <v>52.326399999999992</v>
      </c>
      <c r="S90" s="56">
        <f t="shared" si="33"/>
        <v>2.2750608695652166</v>
      </c>
      <c r="T90" s="56">
        <f t="shared" si="33"/>
        <v>2.2750608695652166</v>
      </c>
      <c r="U90" s="56">
        <f t="shared" si="33"/>
        <v>1.2458666666666667</v>
      </c>
      <c r="V90" s="56" t="str">
        <f t="shared" si="33"/>
        <v>PVL</v>
      </c>
      <c r="W90" s="56" t="str">
        <f t="shared" si="33"/>
        <v>PVL</v>
      </c>
      <c r="X90" s="56">
        <f t="shared" si="33"/>
        <v>8.7210666666666654</v>
      </c>
      <c r="Y90" s="56" t="str">
        <f t="shared" si="33"/>
        <v>PVL</v>
      </c>
      <c r="Z90" s="56">
        <f t="shared" si="33"/>
        <v>20.93056</v>
      </c>
      <c r="AA90" s="56" t="str">
        <f t="shared" si="33"/>
        <v>PVL</v>
      </c>
      <c r="AB90" s="56" t="str">
        <f t="shared" si="33"/>
        <v>PVL</v>
      </c>
      <c r="AC90" s="56" t="str">
        <f t="shared" si="33"/>
        <v>PVL</v>
      </c>
      <c r="AD90" s="56" t="str">
        <f t="shared" si="33"/>
        <v>PVL</v>
      </c>
      <c r="AE90" s="56" t="str">
        <f t="shared" si="33"/>
        <v>PVL</v>
      </c>
      <c r="AF90" s="56" t="str">
        <f t="shared" si="33"/>
        <v>PVL</v>
      </c>
      <c r="AG90" s="56" t="str">
        <f t="shared" si="33"/>
        <v>PVL</v>
      </c>
      <c r="AH90" s="56" t="str">
        <f t="shared" si="33"/>
        <v>PVL</v>
      </c>
      <c r="AI90" s="56" t="str">
        <f t="shared" si="33"/>
        <v>PVL</v>
      </c>
      <c r="AJ90" s="56" t="str">
        <f t="shared" si="33"/>
        <v>PVL</v>
      </c>
      <c r="AK90" s="56" t="str">
        <f t="shared" si="33"/>
        <v>PVL</v>
      </c>
      <c r="AL90" s="56" t="str">
        <f t="shared" si="33"/>
        <v>PVL</v>
      </c>
      <c r="AM90" s="56" t="str">
        <f t="shared" si="33"/>
        <v>PVL</v>
      </c>
      <c r="AN90" s="56">
        <f t="shared" ref="AN90:BI90" si="34">IF(AN87=0,"PVL",AN$16/(AN73+AN82)/AN$20)</f>
        <v>9.2393492699910631</v>
      </c>
      <c r="AO90" s="56">
        <f t="shared" si="34"/>
        <v>770.0784230011044</v>
      </c>
      <c r="AP90" s="56">
        <f t="shared" si="34"/>
        <v>542.28898030549828</v>
      </c>
      <c r="AQ90" s="56">
        <f t="shared" si="34"/>
        <v>1098.3911682500118</v>
      </c>
      <c r="AR90" s="56">
        <f t="shared" si="34"/>
        <v>4368.8221564870764</v>
      </c>
      <c r="AS90" s="56">
        <f t="shared" si="34"/>
        <v>349.95077390618565</v>
      </c>
      <c r="AT90" s="56">
        <f t="shared" si="34"/>
        <v>43837.643700402426</v>
      </c>
      <c r="AU90" s="56">
        <f t="shared" si="34"/>
        <v>44940.913241780683</v>
      </c>
      <c r="AV90" s="56">
        <f t="shared" si="34"/>
        <v>2939.7950153945944</v>
      </c>
      <c r="AW90" s="56">
        <f t="shared" si="34"/>
        <v>28948.358307130846</v>
      </c>
      <c r="AX90" s="56">
        <f t="shared" si="34"/>
        <v>13057.743084507054</v>
      </c>
      <c r="AY90" s="56">
        <f t="shared" si="34"/>
        <v>19024.98983816609</v>
      </c>
      <c r="AZ90" s="56">
        <f t="shared" si="34"/>
        <v>2125.3017090708236</v>
      </c>
      <c r="BA90" s="56">
        <f t="shared" si="34"/>
        <v>9188.4185800734576</v>
      </c>
      <c r="BB90" s="56">
        <f t="shared" si="34"/>
        <v>367723.76968663209</v>
      </c>
      <c r="BC90" s="56">
        <f t="shared" si="34"/>
        <v>154941.91693464172</v>
      </c>
      <c r="BD90" s="56" t="str">
        <f t="shared" si="34"/>
        <v>PVL</v>
      </c>
      <c r="BE90" s="56">
        <f t="shared" si="34"/>
        <v>373.8657029902983</v>
      </c>
      <c r="BF90" s="56">
        <f t="shared" si="34"/>
        <v>747.73140598059661</v>
      </c>
      <c r="BG90" s="56" t="str">
        <f t="shared" si="34"/>
        <v>PVL</v>
      </c>
      <c r="BH90" s="56" t="str">
        <f t="shared" si="34"/>
        <v>PVL</v>
      </c>
      <c r="BI90" s="56" t="str">
        <f t="shared" si="34"/>
        <v>PVL</v>
      </c>
    </row>
    <row r="91" spans="1:61" s="513" customFormat="1">
      <c r="A91" s="2437"/>
      <c r="B91" s="510"/>
      <c r="C91" s="2425"/>
      <c r="D91" s="2426"/>
      <c r="E91" s="3936" t="s">
        <v>493</v>
      </c>
      <c r="F91" s="63" t="str">
        <f>F90</f>
        <v>Cs</v>
      </c>
      <c r="G91" s="515" t="str">
        <f>G90</f>
        <v>mg/kg ms</v>
      </c>
      <c r="H91" s="237">
        <f t="shared" ref="H91:AL91" si="35">IF(MIN(H89:H90)&gt;0,MIN(H89:H90),H89)</f>
        <v>2961.0271017264263</v>
      </c>
      <c r="I91" s="237">
        <f t="shared" si="35"/>
        <v>2961.0271017264263</v>
      </c>
      <c r="J91" s="237">
        <f>IF(MIN(J89:J90)&gt;0,MIN(J89:J90),J89)</f>
        <v>22150.011177746623</v>
      </c>
      <c r="K91" s="237">
        <f t="shared" si="35"/>
        <v>8.372224000000001</v>
      </c>
      <c r="L91" s="237">
        <f t="shared" si="35"/>
        <v>11.472818781744243</v>
      </c>
      <c r="M91" s="237">
        <f t="shared" si="35"/>
        <v>11.472818781744243</v>
      </c>
      <c r="N91" s="237">
        <f>IF(MIN(N89:N90)&gt;0,MIN(N89:N90),N89)</f>
        <v>26.163199999999996</v>
      </c>
      <c r="O91" s="237">
        <f>IF(MIN(O89:O90)&gt;0,MIN(O89:O90),O89)</f>
        <v>26.163199999999996</v>
      </c>
      <c r="P91" s="237">
        <f t="shared" si="35"/>
        <v>5.2326400000000008</v>
      </c>
      <c r="Q91" s="237">
        <f t="shared" si="35"/>
        <v>5.2326400000000008</v>
      </c>
      <c r="R91" s="237">
        <f>IF(MIN(R89:R90)&gt;0,MIN(R89:R90),R89)</f>
        <v>52.326399999999992</v>
      </c>
      <c r="S91" s="237">
        <f>IF(MIN(S89:S90)&gt;0,MIN(S89:S90),S89)</f>
        <v>2.2750608695652166</v>
      </c>
      <c r="T91" s="237">
        <f>IF(MIN(T89:T90)&gt;0,MIN(T89:T90),T89)</f>
        <v>2.2750608695652166</v>
      </c>
      <c r="U91" s="237">
        <f t="shared" si="35"/>
        <v>1.2458666666666667</v>
      </c>
      <c r="V91" s="237">
        <f t="shared" si="35"/>
        <v>149.50399999999999</v>
      </c>
      <c r="W91" s="237">
        <f t="shared" si="35"/>
        <v>149.50399999999999</v>
      </c>
      <c r="X91" s="237">
        <f t="shared" si="35"/>
        <v>1.5701131488337743</v>
      </c>
      <c r="Y91" s="237">
        <f t="shared" si="35"/>
        <v>54.968034114356676</v>
      </c>
      <c r="Z91" s="237">
        <f t="shared" si="35"/>
        <v>20.93056</v>
      </c>
      <c r="AA91" s="237">
        <f t="shared" si="35"/>
        <v>104.65279999999998</v>
      </c>
      <c r="AB91" s="237">
        <f t="shared" si="35"/>
        <v>108.23587832836999</v>
      </c>
      <c r="AC91" s="237">
        <f t="shared" si="35"/>
        <v>334.56534622860232</v>
      </c>
      <c r="AD91" s="237">
        <f t="shared" si="35"/>
        <v>1400.4148353065164</v>
      </c>
      <c r="AE91" s="237" t="str">
        <f t="shared" si="35"/>
        <v>PVL</v>
      </c>
      <c r="AF91" s="237" t="str">
        <f t="shared" si="35"/>
        <v>PVL</v>
      </c>
      <c r="AG91" s="237">
        <f t="shared" si="35"/>
        <v>2750.8735999999999</v>
      </c>
      <c r="AH91" s="237">
        <f t="shared" si="35"/>
        <v>2750.8735999999999</v>
      </c>
      <c r="AI91" s="237">
        <f t="shared" si="35"/>
        <v>187.33898380673938</v>
      </c>
      <c r="AJ91" s="237">
        <f t="shared" si="35"/>
        <v>473.51879814241812</v>
      </c>
      <c r="AK91" s="237">
        <f t="shared" si="35"/>
        <v>1414.2893706745458</v>
      </c>
      <c r="AL91" s="237" t="str">
        <f t="shared" si="35"/>
        <v>PVL</v>
      </c>
      <c r="AM91" s="237" t="str">
        <f t="shared" ref="AM91:BI91" si="36">IF(MIN(AM89:AM90)&gt;0,MIN(AM89:AM90),AM89)</f>
        <v>PVL</v>
      </c>
      <c r="AN91" s="237">
        <f t="shared" si="36"/>
        <v>9.2393492699910631</v>
      </c>
      <c r="AO91" s="237">
        <f t="shared" si="36"/>
        <v>770.0784230011044</v>
      </c>
      <c r="AP91" s="237">
        <f t="shared" si="36"/>
        <v>542.28898030549828</v>
      </c>
      <c r="AQ91" s="237">
        <f t="shared" si="36"/>
        <v>1098.3911682500118</v>
      </c>
      <c r="AR91" s="237">
        <f t="shared" si="36"/>
        <v>4368.8221564870764</v>
      </c>
      <c r="AS91" s="237">
        <f t="shared" si="36"/>
        <v>349.95077390618565</v>
      </c>
      <c r="AT91" s="237">
        <f t="shared" si="36"/>
        <v>43837.643700402426</v>
      </c>
      <c r="AU91" s="237">
        <f t="shared" si="36"/>
        <v>44940.913241780683</v>
      </c>
      <c r="AV91" s="237">
        <f t="shared" si="36"/>
        <v>2939.7950153945944</v>
      </c>
      <c r="AW91" s="237">
        <f t="shared" si="36"/>
        <v>28948.358307130846</v>
      </c>
      <c r="AX91" s="237">
        <f t="shared" si="36"/>
        <v>13057.743084507054</v>
      </c>
      <c r="AY91" s="237">
        <f t="shared" si="36"/>
        <v>19024.98983816609</v>
      </c>
      <c r="AZ91" s="237">
        <f t="shared" si="36"/>
        <v>2125.3017090708236</v>
      </c>
      <c r="BA91" s="237">
        <f t="shared" si="36"/>
        <v>9188.4185800734576</v>
      </c>
      <c r="BB91" s="237">
        <f t="shared" si="36"/>
        <v>367723.76968663209</v>
      </c>
      <c r="BC91" s="237">
        <f t="shared" si="36"/>
        <v>154941.91693464172</v>
      </c>
      <c r="BD91" s="237">
        <f t="shared" si="36"/>
        <v>835.59055460326442</v>
      </c>
      <c r="BE91" s="237">
        <f t="shared" si="36"/>
        <v>373.8657029902983</v>
      </c>
      <c r="BF91" s="237">
        <f t="shared" si="36"/>
        <v>747.73140598059661</v>
      </c>
      <c r="BG91" s="237">
        <f t="shared" si="36"/>
        <v>4.4851199999999996E-3</v>
      </c>
      <c r="BH91" s="237">
        <f t="shared" si="36"/>
        <v>18.613426061510062</v>
      </c>
      <c r="BI91" s="237">
        <f t="shared" si="36"/>
        <v>8.6731420528369565</v>
      </c>
    </row>
    <row r="92" spans="1:61" s="2457" customFormat="1">
      <c r="A92" s="2451"/>
      <c r="B92" s="2452"/>
      <c r="C92" s="2425"/>
      <c r="D92" s="2426"/>
      <c r="E92" s="3498" t="s">
        <v>499</v>
      </c>
      <c r="F92" s="2455" t="s">
        <v>19</v>
      </c>
      <c r="G92" s="2490" t="s">
        <v>20</v>
      </c>
      <c r="H92" s="2456">
        <f>IF(H91&lt;'3phas'!H$23,H91,"PVL")</f>
        <v>2961.0271017264263</v>
      </c>
      <c r="I92" s="2456">
        <f>IF(I91&lt;'3phas'!I$23,I91,"PVL")</f>
        <v>2961.0271017264263</v>
      </c>
      <c r="J92" s="2456">
        <f>IF(J91&lt;'3phas'!J$23,J91,"PVL")</f>
        <v>22150.011177746623</v>
      </c>
      <c r="K92" s="2456">
        <f>IF(K91&lt;'3phas'!K$23,K91,"PVL")</f>
        <v>8.372224000000001</v>
      </c>
      <c r="L92" s="2456">
        <f>IF(L91&lt;'3phas'!L$23,L91,"PVL")</f>
        <v>11.472818781744243</v>
      </c>
      <c r="M92" s="2456">
        <f>IF(M91&lt;'3phas'!M$23,M91,"PVL")</f>
        <v>11.472818781744243</v>
      </c>
      <c r="N92" s="2456">
        <f>IF(N91&lt;'3phas'!N$23,N91,"PVL")</f>
        <v>26.163199999999996</v>
      </c>
      <c r="O92" s="2456">
        <f>IF(O91&lt;'3phas'!O$23,O91,"PVL")</f>
        <v>26.163199999999996</v>
      </c>
      <c r="P92" s="2456">
        <f>IF(P91&lt;'3phas'!P$23,P91,"PVL")</f>
        <v>5.2326400000000008</v>
      </c>
      <c r="Q92" s="2456">
        <f>IF(Q91&lt;'3phas'!Q$23,Q91,"PVL")</f>
        <v>5.2326400000000008</v>
      </c>
      <c r="R92" s="2456">
        <f>IF(R91&lt;'3phas'!R$23,R91,"PVL")</f>
        <v>52.326399999999992</v>
      </c>
      <c r="S92" s="2456">
        <f>IF(S91&lt;'3phas'!S$23,S91,"PVL")</f>
        <v>2.2750608695652166</v>
      </c>
      <c r="T92" s="2456">
        <f>IF(T91&lt;'3phas'!T$23,T91,"PVL")</f>
        <v>2.2750608695652166</v>
      </c>
      <c r="U92" s="2456">
        <f>IF(U91&lt;'3phas'!U$23,U91,"PVL")</f>
        <v>1.2458666666666667</v>
      </c>
      <c r="V92" s="2456">
        <f>IF(V91&lt;'3phas'!V$23,V91,"PVL")</f>
        <v>149.50399999999999</v>
      </c>
      <c r="W92" s="2456">
        <f>IF(W91&lt;'3phas'!W$23,W91,"PVL")</f>
        <v>149.50399999999999</v>
      </c>
      <c r="X92" s="2456">
        <f>IF(X91&lt;'3phas'!X$23,X91,"PVL")</f>
        <v>1.5701131488337743</v>
      </c>
      <c r="Y92" s="2456">
        <f>IF(Y91&lt;'3phas'!Y$23,Y91,"PVL")</f>
        <v>54.968034114356676</v>
      </c>
      <c r="Z92" s="2456">
        <f>IF(Z91&lt;'3phas'!Z$23,Z91,"PVL")</f>
        <v>20.93056</v>
      </c>
      <c r="AA92" s="2456">
        <f>IF(AA91&lt;'3phas'!AA$23,AA91,"PVL")</f>
        <v>104.65279999999998</v>
      </c>
      <c r="AB92" s="2456">
        <f>IF(AB91&lt;'3phas'!AB$23,AB91,"PVL")</f>
        <v>108.23587832836999</v>
      </c>
      <c r="AC92" s="2456" t="str">
        <f>IF(AC91&lt;'3phas'!AC$23,AC91,"PVL")</f>
        <v>PVL</v>
      </c>
      <c r="AD92" s="2456" t="str">
        <f>IF(AD91&lt;'3phas'!AD$23,AD91,"PVL")</f>
        <v>PVL</v>
      </c>
      <c r="AE92" s="2456" t="str">
        <f>IF(AE91&lt;'3phas'!AE$23,AE91,"PVL")</f>
        <v>PVL</v>
      </c>
      <c r="AF92" s="2456" t="str">
        <f>IF(AF91&lt;'3phas'!AF$23,AF91,"PVL")</f>
        <v>PVL</v>
      </c>
      <c r="AG92" s="2456" t="str">
        <f>IF(AG91&lt;'3phas'!AG$23,AG91,"PVL")</f>
        <v>PVL</v>
      </c>
      <c r="AH92" s="2456" t="str">
        <f>IF(AH91&lt;'3phas'!AH$23,AH91,"PVL")</f>
        <v>PVL</v>
      </c>
      <c r="AI92" s="2456" t="str">
        <f>IF(AI91&lt;'3phas'!AI$23,AI91,"PVL")</f>
        <v>PVL</v>
      </c>
      <c r="AJ92" s="2456" t="str">
        <f>IF(AJ91&lt;'3phas'!AJ$23,AJ91,"PVL")</f>
        <v>PVL</v>
      </c>
      <c r="AK92" s="2456" t="str">
        <f>IF(AK91&lt;'3phas'!AK$23,AK91,"PVL")</f>
        <v>PVL</v>
      </c>
      <c r="AL92" s="2456" t="str">
        <f>IF(AL91&lt;'3phas'!AL$23,AL91,"PVL")</f>
        <v>PVL</v>
      </c>
      <c r="AM92" s="2456" t="str">
        <f>IF(AM91&lt;'3phas'!AM$23,AM91,"PVL")</f>
        <v>PVL</v>
      </c>
      <c r="AN92" s="2456">
        <f>IF(AN91&lt;'3phas'!AN$23,AN91,"PVL")</f>
        <v>9.2393492699910631</v>
      </c>
      <c r="AO92" s="2456" t="str">
        <f>IF(AO91&lt;'3phas'!AO$23,AO91,"PVL")</f>
        <v>PVL</v>
      </c>
      <c r="AP92" s="2456" t="str">
        <f>IF(AP91&lt;'3phas'!AP$23,AP91,"PVL")</f>
        <v>PVL</v>
      </c>
      <c r="AQ92" s="2456" t="str">
        <f>IF(AQ91&lt;'3phas'!AQ$23,AQ91,"PVL")</f>
        <v>PVL</v>
      </c>
      <c r="AR92" s="2456" t="str">
        <f>IF(AR91&lt;'3phas'!AR$23,AR91,"PVL")</f>
        <v>PVL</v>
      </c>
      <c r="AS92" s="2456" t="str">
        <f>IF(AS91&lt;'3phas'!AS$23,AS91,"PVL")</f>
        <v>PVL</v>
      </c>
      <c r="AT92" s="2456" t="str">
        <f>IF(AT91&lt;'3phas'!AT$23,AT91,"PVL")</f>
        <v>PVL</v>
      </c>
      <c r="AU92" s="2456" t="str">
        <f>IF(AU91&lt;'3phas'!AU$23,AU91,"PVL")</f>
        <v>PVL</v>
      </c>
      <c r="AV92" s="2456" t="str">
        <f>IF(AV91&lt;'3phas'!AV$23,AV91,"PVL")</f>
        <v>PVL</v>
      </c>
      <c r="AW92" s="2456" t="str">
        <f>IF(AW91&lt;'3phas'!AW$23,AW91,"PVL")</f>
        <v>PVL</v>
      </c>
      <c r="AX92" s="2456" t="str">
        <f>IF(AX91&lt;'3phas'!AX$23,AX91,"PVL")</f>
        <v>PVL</v>
      </c>
      <c r="AY92" s="2456" t="str">
        <f>IF(AY91&lt;'3phas'!AY$23,AY91,"PVL")</f>
        <v>PVL</v>
      </c>
      <c r="AZ92" s="2456" t="str">
        <f>IF(AZ91&lt;'3phas'!AZ$23,AZ91,"PVL")</f>
        <v>PVL</v>
      </c>
      <c r="BA92" s="2456" t="str">
        <f>IF(BA91&lt;'3phas'!BA$23,BA91,"PVL")</f>
        <v>PVL</v>
      </c>
      <c r="BB92" s="2456" t="str">
        <f>IF(BB91&lt;'3phas'!BB$23,BB91,"PVL")</f>
        <v>PVL</v>
      </c>
      <c r="BC92" s="2456" t="str">
        <f>IF(BC91&lt;'3phas'!BC$23,BC91,"PVL")</f>
        <v>PVL</v>
      </c>
      <c r="BD92" s="2456">
        <f>IF(BD91&lt;'3phas'!BD$23,BD91,"PVL")</f>
        <v>835.59055460326442</v>
      </c>
      <c r="BE92" s="2456" t="str">
        <f>IF(BE91&lt;'3phas'!BE$23,BE91,"PVL")</f>
        <v>PVL</v>
      </c>
      <c r="BF92" s="2456" t="str">
        <f>IF(BF91&lt;'3phas'!BF$23,BF91,"PVL")</f>
        <v>PVL</v>
      </c>
      <c r="BG92" s="2456">
        <f>BG91</f>
        <v>4.4851199999999996E-3</v>
      </c>
      <c r="BH92" s="2456">
        <f>IF(BH91&lt;'3phas'!BH$23,BH91,"PVL")</f>
        <v>18.613426061510062</v>
      </c>
      <c r="BI92" s="2456">
        <f>IF(BI91&lt;'3phas'!BI$23,BI91,"PVL")</f>
        <v>8.6731420528369565</v>
      </c>
    </row>
    <row r="93" spans="1:61" s="403" customFormat="1" ht="13.5" thickBot="1">
      <c r="A93" s="402"/>
      <c r="B93" s="257"/>
      <c r="C93" s="2435"/>
      <c r="D93" s="2436"/>
      <c r="E93" s="3946" t="s">
        <v>476</v>
      </c>
      <c r="F93" s="66" t="str">
        <f>'3phas'!F29</f>
        <v>Csao</v>
      </c>
      <c r="G93" s="620" t="s">
        <v>24</v>
      </c>
      <c r="H93" s="164">
        <f>IF(H92="PVL",H92,H92*'3phas'!H$26*1000)</f>
        <v>7800.8008769235166</v>
      </c>
      <c r="I93" s="164">
        <f>IF(I92="PVL",I92,I92*'3phas'!I$26*1000)</f>
        <v>7800.8008769235166</v>
      </c>
      <c r="J93" s="164">
        <f>IF(J92="PVL",J92,J92*'3phas'!J$26*1000)</f>
        <v>383077.02684328536</v>
      </c>
      <c r="K93" s="164">
        <f>IF(K92="PVL",K92,K92*'3phas'!K$26*1000)</f>
        <v>32260.805723664369</v>
      </c>
      <c r="L93" s="164">
        <f>IF(L92="PVL",L92,L92*'3phas'!L$26*1000)</f>
        <v>8265.4645599584492</v>
      </c>
      <c r="M93" s="164">
        <f>IF(M92="PVL",M92,M92*'3phas'!M$26*1000)</f>
        <v>8265.4645599584492</v>
      </c>
      <c r="N93" s="164">
        <f>IF(N92="PVL",N92,N92*'3phas'!N$26*1000)</f>
        <v>37176.087102794692</v>
      </c>
      <c r="O93" s="164">
        <f>IF(O92="PVL",O92,O92*'3phas'!O$26*1000)</f>
        <v>37176.087102794692</v>
      </c>
      <c r="P93" s="164">
        <f>IF(P92="PVL",P92,P92*'3phas'!P$26*1000)</f>
        <v>8117.3323255341302</v>
      </c>
      <c r="Q93" s="164">
        <f>IF(Q92="PVL",Q92,Q92*'3phas'!Q$26*1000)</f>
        <v>8117.3323255341302</v>
      </c>
      <c r="R93" s="164">
        <f>IF(R92="PVL",R92,R92*'3phas'!R$26*1000)</f>
        <v>32629.448691954218</v>
      </c>
      <c r="S93" s="164">
        <f>IF(S92="PVL",S92,S92*'3phas'!S$26*1000)</f>
        <v>1330.9634229445778</v>
      </c>
      <c r="T93" s="164">
        <f>IF(T92="PVL",T92,T92*'3phas'!T$26*1000)</f>
        <v>1330.9634229445778</v>
      </c>
      <c r="U93" s="164">
        <f>IF(U92="PVL",U92,U92*'3phas'!U$26*1000)</f>
        <v>3431.4453704023249</v>
      </c>
      <c r="V93" s="164">
        <f>IF(V92="PVL",V92,V92*'3phas'!V$26*1000)</f>
        <v>673991.4360900044</v>
      </c>
      <c r="W93" s="164">
        <f>IF(W92="PVL",W92,W92*'3phas'!W$26*1000)</f>
        <v>673991.4360900044</v>
      </c>
      <c r="X93" s="164">
        <f>IF(X92="PVL",X92,X92*'3phas'!X$26*1000)</f>
        <v>1357.9227507455005</v>
      </c>
      <c r="Y93" s="164">
        <f>IF(Y92="PVL",Y92,Y92*'3phas'!Y$26*1000)</f>
        <v>32947.652632522993</v>
      </c>
      <c r="Z93" s="164">
        <f>IF(Z92="PVL",Z92,Z92*'3phas'!Z$26*1000)</f>
        <v>7429.7820571133807</v>
      </c>
      <c r="AA93" s="164">
        <f>IF(AA92="PVL",AA92,AA92*'3phas'!AA$26*1000)</f>
        <v>24921.706199076754</v>
      </c>
      <c r="AB93" s="164">
        <f>IF(AB92="PVL",AB92,AB92*'3phas'!AB$26*1000)</f>
        <v>29150.739732402322</v>
      </c>
      <c r="AC93" s="164" t="str">
        <f>IF(AC92="PVL",AC92,AC92*'3phas'!AC$26*1000)</f>
        <v>PVL</v>
      </c>
      <c r="AD93" s="164" t="str">
        <f>IF(AD92="PVL",AD92,AD92*'3phas'!AD$26*1000)</f>
        <v>PVL</v>
      </c>
      <c r="AE93" s="164" t="str">
        <f>IF(AE92="PVL",AE92,AE92*'3phas'!AE$26*1000)</f>
        <v>PVL</v>
      </c>
      <c r="AF93" s="164" t="str">
        <f>IF(AF92="PVL",AF92,AF92*'3phas'!AF$26*1000)</f>
        <v>PVL</v>
      </c>
      <c r="AG93" s="164" t="str">
        <f>IF(AG92="PVL",AG92,AG92*'3phas'!AG$26*1000)</f>
        <v>PVL</v>
      </c>
      <c r="AH93" s="164" t="str">
        <f>IF(AH92="PVL",AH92,AH92*'3phas'!AH$26*1000)</f>
        <v>PVL</v>
      </c>
      <c r="AI93" s="164" t="str">
        <f>IF(AI92="PVL",AI92,AI92*'3phas'!AI$26*1000)</f>
        <v>PVL</v>
      </c>
      <c r="AJ93" s="164" t="str">
        <f>IF(AJ92="PVL",AJ92,AJ92*'3phas'!AJ$26*1000)</f>
        <v>PVL</v>
      </c>
      <c r="AK93" s="164" t="str">
        <f>IF(AK92="PVL",AK92,AK92*'3phas'!AK$26*1000)</f>
        <v>PVL</v>
      </c>
      <c r="AL93" s="164" t="str">
        <f>IF(AL92="PVL",AL92,AL92*'3phas'!AL$26*1000)</f>
        <v>PVL</v>
      </c>
      <c r="AM93" s="164" t="str">
        <f>IF(AM92="PVL",AM92,AM92*'3phas'!AM$26*1000)</f>
        <v>PVL</v>
      </c>
      <c r="AN93" s="164">
        <f>IF(AN92="PVL",AN92,AN92*'3phas'!AN$26*1000)</f>
        <v>39.493658406832104</v>
      </c>
      <c r="AO93" s="164" t="str">
        <f>IF(AO92="PVL",AO92,AO92*'3phas'!AO$26*1000)</f>
        <v>PVL</v>
      </c>
      <c r="AP93" s="164" t="str">
        <f>IF(AP92="PVL",AP92,AP92*'3phas'!AP$26*1000)</f>
        <v>PVL</v>
      </c>
      <c r="AQ93" s="164" t="str">
        <f>IF(AQ92="PVL",AQ92,AQ92*'3phas'!AQ$26*1000)</f>
        <v>PVL</v>
      </c>
      <c r="AR93" s="164" t="str">
        <f>IF(AR92="PVL",AR92,AR92*'3phas'!AR$26*1000)</f>
        <v>PVL</v>
      </c>
      <c r="AS93" s="164" t="str">
        <f>IF(AS92="PVL",AS92,AS92*'3phas'!AS$26*1000)</f>
        <v>PVL</v>
      </c>
      <c r="AT93" s="164" t="str">
        <f>IF(AT92="PVL",AT92,AT92*'3phas'!AT$26*1000)</f>
        <v>PVL</v>
      </c>
      <c r="AU93" s="164" t="str">
        <f>IF(AU92="PVL",AU92,AU92*'3phas'!AU$26*1000)</f>
        <v>PVL</v>
      </c>
      <c r="AV93" s="164" t="str">
        <f>IF(AV92="PVL",AV92,AV92*'3phas'!AV$26*1000)</f>
        <v>PVL</v>
      </c>
      <c r="AW93" s="164" t="str">
        <f>IF(AW92="PVL",AW92,AW92*'3phas'!AW$26*1000)</f>
        <v>PVL</v>
      </c>
      <c r="AX93" s="164" t="str">
        <f>IF(AX92="PVL",AX92,AX92*'3phas'!AX$26*1000)</f>
        <v>PVL</v>
      </c>
      <c r="AY93" s="164" t="str">
        <f>IF(AY92="PVL",AY92,AY92*'3phas'!AY$26*1000)</f>
        <v>PVL</v>
      </c>
      <c r="AZ93" s="164" t="str">
        <f>IF(AZ92="PVL",AZ92,AZ92*'3phas'!AZ$26*1000)</f>
        <v>PVL</v>
      </c>
      <c r="BA93" s="164" t="str">
        <f>IF(BA92="PVL",BA92,BA92*'3phas'!BA$26*1000)</f>
        <v>PVL</v>
      </c>
      <c r="BB93" s="164" t="str">
        <f>IF(BB92="PVL",BB92,BB92*'3phas'!BB$26*1000)</f>
        <v>PVL</v>
      </c>
      <c r="BC93" s="164" t="str">
        <f>IF(BC92="PVL",BC92,BC92*'3phas'!BC$26*1000)</f>
        <v>PVL</v>
      </c>
      <c r="BD93" s="164">
        <f>IF(BD92="PVL",BD92,BD92*'3phas'!BD$26*1000)</f>
        <v>78.167118613325755</v>
      </c>
      <c r="BE93" s="164" t="str">
        <f>IF(BE92="PVL",BE92,BE92*'3phas'!BE$26*1000)</f>
        <v>PVL</v>
      </c>
      <c r="BF93" s="164" t="str">
        <f>IF(BF92="PVL",BF92,BF92*'3phas'!BF$26*1000)</f>
        <v>PVL</v>
      </c>
      <c r="BG93" s="595" t="s">
        <v>595</v>
      </c>
      <c r="BH93" s="164">
        <f>IF(BH92="PVL",BH92,BH92*'3phas'!BH$26*1000)</f>
        <v>2.315471648907903</v>
      </c>
      <c r="BI93" s="164">
        <f>IF(BI92="PVL",BI92,BI92*'3phas'!BI$26*1000)</f>
        <v>8.3480153742531193</v>
      </c>
    </row>
    <row r="94" spans="1:61" s="43" customFormat="1">
      <c r="A94" s="239"/>
      <c r="B94" s="252"/>
      <c r="C94" s="2105"/>
      <c r="D94" s="2106"/>
      <c r="E94" s="253"/>
      <c r="F94" s="254"/>
      <c r="G94" s="255"/>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row>
    <row r="95" spans="1:61" ht="15.75">
      <c r="A95" s="97"/>
      <c r="B95" s="41"/>
      <c r="C95" s="4118" t="str">
        <f>C23</f>
        <v>Ext. Sous TV</v>
      </c>
      <c r="D95" s="4119"/>
      <c r="E95" s="2471" t="s">
        <v>640</v>
      </c>
      <c r="F95" s="2472"/>
      <c r="G95" s="2473"/>
      <c r="H95" s="2474"/>
      <c r="I95" s="2474"/>
      <c r="J95" s="2474"/>
      <c r="K95" s="2474"/>
      <c r="L95" s="2474"/>
      <c r="M95" s="2474"/>
      <c r="N95" s="2474"/>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c r="BC95" s="219"/>
      <c r="BD95" s="219"/>
      <c r="BE95" s="219"/>
      <c r="BF95" s="219"/>
      <c r="BG95" s="219"/>
      <c r="BH95" s="219"/>
      <c r="BI95" s="219"/>
    </row>
    <row r="96" spans="1:61">
      <c r="A96" s="97"/>
      <c r="B96" s="41"/>
      <c r="C96" s="4118"/>
      <c r="D96" s="4119"/>
      <c r="E96" s="103"/>
      <c r="F96" s="147"/>
      <c r="G96" s="105"/>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row>
    <row r="97" spans="1:61">
      <c r="A97" s="4" t="s">
        <v>266</v>
      </c>
      <c r="B97" s="4" t="s">
        <v>222</v>
      </c>
      <c r="C97" s="2425"/>
      <c r="D97" s="2426"/>
      <c r="E97" s="2459" t="str">
        <f>'3phas'!E29</f>
        <v>Concentration dans l'air du sol</v>
      </c>
      <c r="F97" s="41" t="str">
        <f>'3phas'!F29</f>
        <v>Csao</v>
      </c>
      <c r="G97" s="2422" t="str">
        <f>'3phas'!G29</f>
        <v>mg/lsa</v>
      </c>
      <c r="H97" s="221">
        <f>'3phas'!H29</f>
        <v>2.6344915493597683E-5</v>
      </c>
      <c r="I97" s="221">
        <f>'3phas'!I29</f>
        <v>2.6344915493597683E-5</v>
      </c>
      <c r="J97" s="221">
        <f>'3phas'!J29</f>
        <v>1.7294665170559828E-4</v>
      </c>
      <c r="K97" s="221">
        <f>'3phas'!K29</f>
        <v>3.8533137340406046E-2</v>
      </c>
      <c r="L97" s="221">
        <f>'3phas'!L29</f>
        <v>7.2043886661145619E-3</v>
      </c>
      <c r="M97" s="221">
        <f>'3phas'!M29</f>
        <v>7.2043886661145619E-3</v>
      </c>
      <c r="N97" s="221">
        <f>'3phas'!N29</f>
        <v>1.4209304329284909E-2</v>
      </c>
      <c r="O97" s="221">
        <f>'3phas'!O29</f>
        <v>1.4209304329284909E-2</v>
      </c>
      <c r="P97" s="221">
        <f>'3phas'!P29</f>
        <v>1.5512881309499849E-2</v>
      </c>
      <c r="Q97" s="221">
        <f>'3phas'!Q29</f>
        <v>1.5512881309499849E-2</v>
      </c>
      <c r="R97" s="221">
        <f>'3phas'!R29</f>
        <v>6.2357526395766232E-3</v>
      </c>
      <c r="S97" s="221">
        <f>'3phas'!S29</f>
        <v>5.8502321443335116E-3</v>
      </c>
      <c r="T97" s="221">
        <f>'3phas'!T29</f>
        <v>5.8502321443335116E-3</v>
      </c>
      <c r="U97" s="221">
        <f>'3phas'!U29</f>
        <v>2.7542637283837157E-2</v>
      </c>
      <c r="V97" s="221">
        <f>'3phas'!V29</f>
        <v>4.5081833000455138E-2</v>
      </c>
      <c r="W97" s="221">
        <f>'3phas'!W29</f>
        <v>4.5081833000455138E-2</v>
      </c>
      <c r="X97" s="221">
        <f>'3phas'!X29</f>
        <v>8.6485661989017699E-3</v>
      </c>
      <c r="Y97" s="221">
        <f>'3phas'!Y29</f>
        <v>5.993965977385691E-3</v>
      </c>
      <c r="Z97" s="221">
        <f>'3phas'!Z29</f>
        <v>3.5497292270791521E-3</v>
      </c>
      <c r="AA97" s="221">
        <f>'3phas'!AA29</f>
        <v>2.3813702260309095E-3</v>
      </c>
      <c r="AB97" s="221">
        <f>'3phas'!AB29</f>
        <v>2.6932603294411986E-3</v>
      </c>
      <c r="AC97" s="221">
        <f>'3phas'!AC29</f>
        <v>5.2554793006195943E-4</v>
      </c>
      <c r="AD97" s="221">
        <f>'3phas'!AD29</f>
        <v>1.028672332145031E-4</v>
      </c>
      <c r="AE97" s="221">
        <f>'3phas'!AE29</f>
        <v>1.2826753318511306E-5</v>
      </c>
      <c r="AF97" s="221">
        <f>'3phas'!AF29</f>
        <v>5.3163648152556569E-8</v>
      </c>
      <c r="AG97" s="221">
        <f>'3phas'!AG29</f>
        <v>6.1940871390656474E-2</v>
      </c>
      <c r="AH97" s="221">
        <f>'3phas'!AH29</f>
        <v>4.6377578561443124E-2</v>
      </c>
      <c r="AI97" s="221">
        <f>'3phas'!AI29</f>
        <v>1.8857794422825369E-2</v>
      </c>
      <c r="AJ97" s="221">
        <f>'3phas'!AJ29</f>
        <v>4.4889687551390436E-3</v>
      </c>
      <c r="AK97" s="221">
        <f>'3phas'!AK29</f>
        <v>1.0233523087107474E-3</v>
      </c>
      <c r="AL97" s="221">
        <f>'3phas'!AL29</f>
        <v>7.7579419375401509E-5</v>
      </c>
      <c r="AM97" s="221">
        <f>'3phas'!AM29</f>
        <v>5.3702795063791614E-7</v>
      </c>
      <c r="AN97" s="221">
        <f>'3phas'!AN29</f>
        <v>4.2745064887962941E-5</v>
      </c>
      <c r="AO97" s="221">
        <f>'3phas'!AO29</f>
        <v>1.1674416703897762E-5</v>
      </c>
      <c r="AP97" s="221">
        <f>'3phas'!AP29</f>
        <v>1.9530721705911088E-5</v>
      </c>
      <c r="AQ97" s="221">
        <f>'3phas'!AQ29</f>
        <v>7.908256947449179E-6</v>
      </c>
      <c r="AR97" s="221">
        <f>'3phas'!AR29</f>
        <v>1.5833670554255824E-6</v>
      </c>
      <c r="AS97" s="221">
        <f>'3phas'!AS29</f>
        <v>2.0451082714404039E-6</v>
      </c>
      <c r="AT97" s="221">
        <f>'3phas'!AT29</f>
        <v>1.4928371240425742E-7</v>
      </c>
      <c r="AU97" s="221">
        <f>'3phas'!AU29</f>
        <v>1.4361262823078676E-7</v>
      </c>
      <c r="AV97" s="221">
        <f>'3phas'!AV29</f>
        <v>2.2911220155058073E-8</v>
      </c>
      <c r="AW97" s="221">
        <f>'3phas'!AW29</f>
        <v>2.2076853681384033E-8</v>
      </c>
      <c r="AX97" s="221">
        <f>'3phas'!AX29</f>
        <v>7.7706494784308005E-10</v>
      </c>
      <c r="AY97" s="221">
        <f>'3phas'!AY29</f>
        <v>5.3329663902576087E-10</v>
      </c>
      <c r="AZ97" s="221">
        <f>'3phas'!AZ29</f>
        <v>3.5612607863435816E-10</v>
      </c>
      <c r="BA97" s="221">
        <f>'3phas'!BA29</f>
        <v>6.150661140942291E-11</v>
      </c>
      <c r="BB97" s="221">
        <f>'3phas'!BB29</f>
        <v>9.7385899742535782E-10</v>
      </c>
      <c r="BC97" s="221">
        <f>'3phas'!BC29</f>
        <v>2.5870688218630141E-16</v>
      </c>
      <c r="BD97" s="221">
        <f>'3phas'!BD29</f>
        <v>9.3547154384050273E-7</v>
      </c>
      <c r="BE97" s="221">
        <f>'3phas'!BE29</f>
        <v>2.0762670819205671E-8</v>
      </c>
      <c r="BF97" s="221">
        <f>'3phas'!BF29</f>
        <v>2.0762670819205671E-8</v>
      </c>
      <c r="BG97" s="221">
        <f>'3phas'!BG29</f>
        <v>1.696696593449333E-2</v>
      </c>
      <c r="BH97" s="221">
        <f>'3phas'!BH29</f>
        <v>1.2439792874542166E-6</v>
      </c>
      <c r="BI97" s="221">
        <f>'3phas'!BI29</f>
        <v>9.6251339173241278E-6</v>
      </c>
    </row>
    <row r="98" spans="1:61">
      <c r="A98" s="4"/>
      <c r="B98" s="4"/>
      <c r="C98" s="2425"/>
      <c r="D98" s="2426"/>
      <c r="E98" s="2459"/>
      <c r="F98" s="41"/>
      <c r="G98" s="2422"/>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row>
    <row r="99" spans="1:61">
      <c r="A99" s="33"/>
      <c r="B99" s="33"/>
      <c r="C99" s="2425"/>
      <c r="D99" s="2426"/>
      <c r="E99" s="145" t="s">
        <v>203</v>
      </c>
      <c r="F99" s="12"/>
      <c r="G99" s="89"/>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row>
    <row r="100" spans="1:61">
      <c r="A100" s="33"/>
      <c r="B100" s="33"/>
      <c r="C100" s="2425"/>
      <c r="D100" s="2426"/>
      <c r="E100" s="588" t="str">
        <f>'EmVap-Vol'!E70</f>
        <v>Période chronique</v>
      </c>
      <c r="F100" s="12"/>
      <c r="G100" s="89"/>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row>
    <row r="101" spans="1:61" ht="25.5">
      <c r="A101" s="97"/>
      <c r="B101" s="100"/>
      <c r="C101" s="2425"/>
      <c r="D101" s="2426"/>
      <c r="E101" s="103" t="str">
        <f>'EmVap-Vol'!E75</f>
        <v>CT de l'air du sol de la source à l'émission (après contrôle de masse)</v>
      </c>
      <c r="F101" s="14" t="s">
        <v>204</v>
      </c>
      <c r="G101" s="105" t="str">
        <f>'EmVap-Vol'!G75</f>
        <v>(mg/m2/s)/(mg/l)</v>
      </c>
      <c r="H101" s="113">
        <f>'EmVap-Vol'!H75</f>
        <v>5.4695238783602389E-4</v>
      </c>
      <c r="I101" s="113">
        <f>'EmVap-Vol'!I75</f>
        <v>5.4695238783602389E-4</v>
      </c>
      <c r="J101" s="113">
        <f>'EmVap-Vol'!J75</f>
        <v>2.7844704639598083E-4</v>
      </c>
      <c r="K101" s="113">
        <f>'EmVap-Vol'!K75</f>
        <v>3.7031519823149957E-5</v>
      </c>
      <c r="L101" s="113">
        <f>'EmVap-Vol'!L75</f>
        <v>1.548612289986559E-4</v>
      </c>
      <c r="M101" s="113">
        <f>'EmVap-Vol'!M75</f>
        <v>1.548612289986559E-4</v>
      </c>
      <c r="N101" s="113">
        <f>'EmVap-Vol'!N75</f>
        <v>1.0042297681868412E-4</v>
      </c>
      <c r="O101" s="113">
        <f>'EmVap-Vol'!O75</f>
        <v>1.0042297681868412E-4</v>
      </c>
      <c r="P101" s="113">
        <f>'EmVap-Vol'!P75</f>
        <v>9.1984242694848056E-5</v>
      </c>
      <c r="Q101" s="113">
        <f>'EmVap-Vol'!Q75</f>
        <v>9.1984242694848056E-5</v>
      </c>
      <c r="R101" s="113">
        <f>'EmVap-Vol'!R75</f>
        <v>2.2883214292577979E-4</v>
      </c>
      <c r="S101" s="113">
        <f>'EmVap-Vol'!S75</f>
        <v>2.0540633067812444E-4</v>
      </c>
      <c r="T101" s="113">
        <f>'EmVap-Vol'!T75</f>
        <v>2.0540633067812444E-4</v>
      </c>
      <c r="U101" s="113">
        <f>'EmVap-Vol'!U75</f>
        <v>5.1808424319147455E-5</v>
      </c>
      <c r="V101" s="113">
        <f>'EmVap-Vol'!V75</f>
        <v>3.1652232047774111E-5</v>
      </c>
      <c r="W101" s="113">
        <f>'EmVap-Vol'!W75</f>
        <v>3.1652232047774111E-5</v>
      </c>
      <c r="X101" s="113">
        <f>'EmVap-Vol'!X75</f>
        <v>1.5081859397934435E-4</v>
      </c>
      <c r="Y101" s="113">
        <f>'EmVap-Vol'!Y75</f>
        <v>1.6834785556745521E-4</v>
      </c>
      <c r="Z101" s="113">
        <f>'EmVap-Vol'!Z75</f>
        <v>2.0262044182326581E-4</v>
      </c>
      <c r="AA101" s="113">
        <f>'EmVap-Vol'!AA75</f>
        <v>8.5601415741445673E-5</v>
      </c>
      <c r="AB101" s="113">
        <f>'EmVap-Vol'!AB75</f>
        <v>1.4636563963157616E-4</v>
      </c>
      <c r="AC101" s="113">
        <f>'EmVap-Vol'!AC75</f>
        <v>2.4265845584065074E-4</v>
      </c>
      <c r="AD101" s="113">
        <f>'EmVap-Vol'!AD75</f>
        <v>2.9617947105897106E-4</v>
      </c>
      <c r="AE101" s="113">
        <f>'EmVap-Vol'!AE75</f>
        <v>2.6458176181694639E-4</v>
      </c>
      <c r="AF101" s="113">
        <f>'EmVap-Vol'!AF75</f>
        <v>2.2823390810557077E-4</v>
      </c>
      <c r="AG101" s="113">
        <f>'EmVap-Vol'!AG75</f>
        <v>2.3037141829500553E-5</v>
      </c>
      <c r="AH101" s="113">
        <f>'EmVap-Vol'!AH75</f>
        <v>3.0767898703010778E-5</v>
      </c>
      <c r="AI101" s="113">
        <f>'EmVap-Vol'!AI75</f>
        <v>6.0386472677710355E-5</v>
      </c>
      <c r="AJ101" s="113">
        <f>'EmVap-Vol'!AJ75</f>
        <v>1.0036329522074687E-4</v>
      </c>
      <c r="AK101" s="113">
        <f>'EmVap-Vol'!AK75</f>
        <v>1.4739924812186977E-4</v>
      </c>
      <c r="AL101" s="113">
        <f>'EmVap-Vol'!AL75</f>
        <v>1.7680031828057631E-4</v>
      </c>
      <c r="AM101" s="113">
        <f>'EmVap-Vol'!AM75</f>
        <v>1.5896061486449779E-4</v>
      </c>
      <c r="AN101" s="113">
        <f>'EmVap-Vol'!AN75</f>
        <v>2.8564356991238305E-4</v>
      </c>
      <c r="AO101" s="113">
        <f>'EmVap-Vol'!AO75</f>
        <v>3.3324936437693914E-4</v>
      </c>
      <c r="AP101" s="113">
        <f>'EmVap-Vol'!AP75</f>
        <v>3.2368104741037107E-4</v>
      </c>
      <c r="AQ101" s="113">
        <f>'EmVap-Vol'!AQ75</f>
        <v>3.075560934069006E-4</v>
      </c>
      <c r="AR101" s="113">
        <f>'EmVap-Vol'!AR75</f>
        <v>2.9609034237929011E-4</v>
      </c>
      <c r="AS101" s="113">
        <f>'EmVap-Vol'!AS75</f>
        <v>2.9388551410977116E-4</v>
      </c>
      <c r="AT101" s="113">
        <f>'EmVap-Vol'!AT75</f>
        <v>2.8239871023385253E-4</v>
      </c>
      <c r="AU101" s="113">
        <f>'EmVap-Vol'!AU75</f>
        <v>2.8623134411418622E-4</v>
      </c>
      <c r="AV101" s="113">
        <f>'EmVap-Vol'!AV75</f>
        <v>2.716913432458069E-4</v>
      </c>
      <c r="AW101" s="113">
        <f>'EmVap-Vol'!AW75</f>
        <v>2.8633028416598009E-4</v>
      </c>
      <c r="AX101" s="113">
        <f>'EmVap-Vol'!AX75</f>
        <v>1.800986978404435E-3</v>
      </c>
      <c r="AY101" s="113">
        <f>'EmVap-Vol'!AY75</f>
        <v>1.8009890410886748E-3</v>
      </c>
      <c r="AZ101" s="113">
        <f>'EmVap-Vol'!AZ75</f>
        <v>2.4141920804133074E-3</v>
      </c>
      <c r="BA101" s="113">
        <f>'EmVap-Vol'!BA75</f>
        <v>3.2328565529041588E-3</v>
      </c>
      <c r="BB101" s="113">
        <f>'EmVap-Vol'!BB75</f>
        <v>5.1022140047048538E-4</v>
      </c>
      <c r="BC101" s="113">
        <f>'EmVap-Vol'!BC75</f>
        <v>455.79147190691157</v>
      </c>
      <c r="BD101" s="113">
        <f>'EmVap-Vol'!BD75</f>
        <v>5.4583906153338685E-3</v>
      </c>
      <c r="BE101" s="113">
        <f>'EmVap-Vol'!BE75</f>
        <v>2.2739552718573165E-4</v>
      </c>
      <c r="BF101" s="113">
        <f>'EmVap-Vol'!BF75</f>
        <v>2.2739552718573165E-4</v>
      </c>
      <c r="BG101" s="113">
        <f>'EmVap-Vol'!BG75</f>
        <v>3.7845498726782705E-5</v>
      </c>
      <c r="BH101" s="113">
        <f>'EmVap-Vol'!BH75</f>
        <v>2.9094902148513045E-3</v>
      </c>
      <c r="BI101" s="113">
        <f>'EmVap-Vol'!BI75</f>
        <v>2.0443980876345218E-3</v>
      </c>
    </row>
    <row r="102" spans="1:61">
      <c r="A102" s="97"/>
      <c r="B102" s="100"/>
      <c r="C102" s="2425"/>
      <c r="D102" s="2426"/>
      <c r="E102" s="588" t="str">
        <f>'EmVap-Vol'!E87</f>
        <v>Période enfant 0-6 ans (effets sans seuil)</v>
      </c>
      <c r="F102" s="14"/>
      <c r="G102" s="105"/>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row>
    <row r="103" spans="1:61" ht="25.5">
      <c r="A103" s="97"/>
      <c r="B103" s="100"/>
      <c r="C103" s="2427"/>
      <c r="D103" s="2426"/>
      <c r="E103" s="103" t="str">
        <f>'EmVap-Vol'!E92</f>
        <v>CT de l'air du sol de la source à l'émission (après contrôle de masse)</v>
      </c>
      <c r="F103" s="14" t="s">
        <v>204</v>
      </c>
      <c r="G103" s="105" t="str">
        <f>'EmVap-Vol'!G92</f>
        <v>(mg/m2/s)/(mg/l)</v>
      </c>
      <c r="H103" s="113">
        <f>'EmVap-Vol'!H92</f>
        <v>5.6625340125127999E-4</v>
      </c>
      <c r="I103" s="113">
        <f>'EmVap-Vol'!I92</f>
        <v>5.6625340125127999E-4</v>
      </c>
      <c r="J103" s="113">
        <f>'EmVap-Vol'!J92</f>
        <v>2.9506104684245163E-4</v>
      </c>
      <c r="K103" s="113">
        <f>'EmVap-Vol'!K92</f>
        <v>6.1719199705249922E-6</v>
      </c>
      <c r="L103" s="113">
        <f>'EmVap-Vol'!L92</f>
        <v>3.3010911945495617E-5</v>
      </c>
      <c r="M103" s="113">
        <f>'EmVap-Vol'!M92</f>
        <v>3.3010911945495617E-5</v>
      </c>
      <c r="N103" s="113">
        <f>'EmVap-Vol'!N92</f>
        <v>1.673716280311402E-5</v>
      </c>
      <c r="O103" s="113">
        <f>'EmVap-Vol'!O92</f>
        <v>1.673716280311402E-5</v>
      </c>
      <c r="P103" s="113">
        <f>'EmVap-Vol'!P92</f>
        <v>1.5330707115808009E-5</v>
      </c>
      <c r="Q103" s="113">
        <f>'EmVap-Vol'!Q92</f>
        <v>1.5330707115808009E-5</v>
      </c>
      <c r="R103" s="113">
        <f>'EmVap-Vol'!R92</f>
        <v>3.8138690487629963E-5</v>
      </c>
      <c r="S103" s="113">
        <f>'EmVap-Vol'!S92</f>
        <v>4.0651966282840303E-5</v>
      </c>
      <c r="T103" s="113">
        <f>'EmVap-Vol'!T92</f>
        <v>4.0651966282840303E-5</v>
      </c>
      <c r="U103" s="113">
        <f>'EmVap-Vol'!U92</f>
        <v>8.6347373865245747E-6</v>
      </c>
      <c r="V103" s="113">
        <f>'EmVap-Vol'!V92</f>
        <v>5.2753720079623515E-6</v>
      </c>
      <c r="W103" s="113">
        <f>'EmVap-Vol'!W92</f>
        <v>5.2753720079623515E-6</v>
      </c>
      <c r="X103" s="113">
        <f>'EmVap-Vol'!X92</f>
        <v>2.7498597386978914E-5</v>
      </c>
      <c r="Y103" s="113">
        <f>'EmVap-Vol'!Y92</f>
        <v>3.9677142108498037E-5</v>
      </c>
      <c r="Z103" s="113">
        <f>'EmVap-Vol'!Z92</f>
        <v>6.6997628456839868E-5</v>
      </c>
      <c r="AA103" s="113">
        <f>'EmVap-Vol'!AA92</f>
        <v>9.9868318365019948E-5</v>
      </c>
      <c r="AB103" s="113">
        <f>'EmVap-Vol'!AB92</f>
        <v>6.7689521318932896E-5</v>
      </c>
      <c r="AC103" s="113">
        <f>'EmVap-Vol'!AC92</f>
        <v>1.3103205412602568E-4</v>
      </c>
      <c r="AD103" s="113">
        <f>'EmVap-Vol'!AD92</f>
        <v>2.0940438732554658E-4</v>
      </c>
      <c r="AE103" s="113">
        <f>'EmVap-Vol'!AE92</f>
        <v>2.4646529009274179E-4</v>
      </c>
      <c r="AF103" s="113">
        <f>'EmVap-Vol'!AF92</f>
        <v>2.2817150860812341E-4</v>
      </c>
      <c r="AG103" s="113">
        <f>'EmVap-Vol'!AG92</f>
        <v>3.8395236382500922E-6</v>
      </c>
      <c r="AH103" s="113">
        <f>'EmVap-Vol'!AH92</f>
        <v>5.1279831171684633E-6</v>
      </c>
      <c r="AI103" s="113">
        <f>'EmVap-Vol'!AI92</f>
        <v>1.2611413325747907E-5</v>
      </c>
      <c r="AJ103" s="113">
        <f>'EmVap-Vol'!AJ92</f>
        <v>4.5819594806889035E-5</v>
      </c>
      <c r="AK103" s="113">
        <f>'EmVap-Vol'!AK92</f>
        <v>7.7391016944546818E-5</v>
      </c>
      <c r="AL103" s="113">
        <f>'EmVap-Vol'!AL92</f>
        <v>1.4278630599433753E-4</v>
      </c>
      <c r="AM103" s="113">
        <f>'EmVap-Vol'!AM92</f>
        <v>1.5863556405249825E-4</v>
      </c>
      <c r="AN103" s="113">
        <f>'EmVap-Vol'!AN92</f>
        <v>2.9535541450236951E-4</v>
      </c>
      <c r="AO103" s="113">
        <f>'EmVap-Vol'!AO92</f>
        <v>3.0788386377142191E-4</v>
      </c>
      <c r="AP103" s="113">
        <f>'EmVap-Vol'!AP92</f>
        <v>2.8731704579976333E-4</v>
      </c>
      <c r="AQ103" s="113">
        <f>'EmVap-Vol'!AQ92</f>
        <v>2.9192500142213846E-4</v>
      </c>
      <c r="AR103" s="113">
        <f>'EmVap-Vol'!AR92</f>
        <v>2.9294621573070623E-4</v>
      </c>
      <c r="AS103" s="113">
        <f>'EmVap-Vol'!AS92</f>
        <v>2.8988946436231741E-4</v>
      </c>
      <c r="AT103" s="113">
        <f>'EmVap-Vol'!AT92</f>
        <v>2.8213973569824792E-4</v>
      </c>
      <c r="AU103" s="113">
        <f>'EmVap-Vol'!AU92</f>
        <v>2.8597798373322544E-4</v>
      </c>
      <c r="AV103" s="113">
        <f>'EmVap-Vol'!AV92</f>
        <v>2.7165658799331908E-4</v>
      </c>
      <c r="AW103" s="113">
        <f>'EmVap-Vol'!AW92</f>
        <v>2.8629431493598558E-4</v>
      </c>
      <c r="AX103" s="113">
        <f>'EmVap-Vol'!AX92</f>
        <v>1.8009541037528035E-3</v>
      </c>
      <c r="AY103" s="113">
        <f>'EmVap-Vol'!AY92</f>
        <v>1.800966478964135E-3</v>
      </c>
      <c r="AZ103" s="113">
        <f>'EmVap-Vol'!AZ92</f>
        <v>2.4141653987940158E-3</v>
      </c>
      <c r="BA103" s="113">
        <f>'EmVap-Vol'!BA92</f>
        <v>3.2328484014037245E-3</v>
      </c>
      <c r="BB103" s="113">
        <f>'EmVap-Vol'!BB92</f>
        <v>5.1021758214697167E-4</v>
      </c>
      <c r="BC103" s="113">
        <f>'EmVap-Vol'!BC92</f>
        <v>455.7908091782565</v>
      </c>
      <c r="BD103" s="113">
        <f>'EmVap-Vol'!BD92</f>
        <v>5.1310072754380699E-3</v>
      </c>
      <c r="BE103" s="113">
        <f>'EmVap-Vol'!BE92</f>
        <v>2.2737255365915503E-4</v>
      </c>
      <c r="BF103" s="113">
        <f>'EmVap-Vol'!BF92</f>
        <v>2.2737255365915503E-4</v>
      </c>
      <c r="BG103" s="113">
        <f>'EmVap-Vol'!BG92</f>
        <v>6.3075831211304503E-6</v>
      </c>
      <c r="BH103" s="113">
        <f>'EmVap-Vol'!BH92</f>
        <v>2.7776157208261737E-3</v>
      </c>
      <c r="BI103" s="113">
        <f>'EmVap-Vol'!BI92</f>
        <v>2.1243048343372426E-3</v>
      </c>
    </row>
    <row r="104" spans="1:61">
      <c r="A104" s="97"/>
      <c r="B104" s="100"/>
      <c r="C104" s="2425"/>
      <c r="D104" s="2426"/>
      <c r="E104" s="588" t="str">
        <f>'EmVap-Vol'!E114</f>
        <v>Période adulte 6-70 ans (effets sans seuil)</v>
      </c>
      <c r="F104" s="14"/>
      <c r="G104" s="105"/>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row>
    <row r="105" spans="1:61" s="2446" customFormat="1" ht="25.5">
      <c r="A105" s="2444"/>
      <c r="B105" s="2445"/>
      <c r="C105" s="4110"/>
      <c r="D105" s="4111"/>
      <c r="E105" s="352" t="str">
        <f>'EmVap-Vol'!E115</f>
        <v>CT de l'air du sol de la source à l'émission, après contrôle masse</v>
      </c>
      <c r="F105" s="63" t="s">
        <v>204</v>
      </c>
      <c r="G105" s="515" t="str">
        <f>'EmVap-Vol'!G115</f>
        <v>(mg/m2/s)/(mg/l)</v>
      </c>
      <c r="H105" s="237">
        <f>'EmVap-Vol'!H115</f>
        <v>2.28693785113299E-4</v>
      </c>
      <c r="I105" s="237">
        <f>'EmVap-Vol'!I115</f>
        <v>2.28693785113299E-4</v>
      </c>
      <c r="J105" s="237">
        <f>'EmVap-Vol'!J115</f>
        <v>8.6048020371327604E-5</v>
      </c>
      <c r="K105" s="237">
        <f>'EmVap-Vol'!K115</f>
        <v>0</v>
      </c>
      <c r="L105" s="237">
        <f>'EmVap-Vol'!L115</f>
        <v>0</v>
      </c>
      <c r="M105" s="237">
        <f>'EmVap-Vol'!M115</f>
        <v>0</v>
      </c>
      <c r="N105" s="237">
        <f>'EmVap-Vol'!N115</f>
        <v>0</v>
      </c>
      <c r="O105" s="237">
        <f>'EmVap-Vol'!O115</f>
        <v>0</v>
      </c>
      <c r="P105" s="237">
        <f>'EmVap-Vol'!P115</f>
        <v>0</v>
      </c>
      <c r="Q105" s="237">
        <f>'EmVap-Vol'!Q115</f>
        <v>0</v>
      </c>
      <c r="R105" s="237">
        <f>'EmVap-Vol'!R115</f>
        <v>0</v>
      </c>
      <c r="S105" s="237">
        <f>'EmVap-Vol'!S115</f>
        <v>0</v>
      </c>
      <c r="T105" s="237">
        <f>'EmVap-Vol'!T115</f>
        <v>0</v>
      </c>
      <c r="U105" s="237">
        <f>'EmVap-Vol'!U115</f>
        <v>0</v>
      </c>
      <c r="V105" s="237">
        <f>'EmVap-Vol'!V115</f>
        <v>0</v>
      </c>
      <c r="W105" s="237">
        <f>'EmVap-Vol'!W115</f>
        <v>0</v>
      </c>
      <c r="X105" s="237">
        <f>'EmVap-Vol'!X115</f>
        <v>0</v>
      </c>
      <c r="Y105" s="237">
        <f>'EmVap-Vol'!Y115</f>
        <v>0</v>
      </c>
      <c r="Z105" s="237">
        <f>'EmVap-Vol'!Z115</f>
        <v>0</v>
      </c>
      <c r="AA105" s="237">
        <f>'EmVap-Vol'!AA115</f>
        <v>0</v>
      </c>
      <c r="AB105" s="237">
        <f>'EmVap-Vol'!AB115</f>
        <v>1.93253009132408E-6</v>
      </c>
      <c r="AC105" s="237">
        <f>'EmVap-Vol'!AC115</f>
        <v>3.0139939206035299E-5</v>
      </c>
      <c r="AD105" s="237">
        <f>'EmVap-Vol'!AD115</f>
        <v>7.4024875044195206E-5</v>
      </c>
      <c r="AE105" s="237">
        <f>'EmVap-Vol'!AE115</f>
        <v>1.5126755630966401E-4</v>
      </c>
      <c r="AF105" s="237">
        <f>'EmVap-Vol'!AF115</f>
        <v>2.2730444861993499E-4</v>
      </c>
      <c r="AG105" s="237">
        <f>'EmVap-Vol'!AG115</f>
        <v>0</v>
      </c>
      <c r="AH105" s="237">
        <f>'EmVap-Vol'!AH115</f>
        <v>0</v>
      </c>
      <c r="AI105" s="237">
        <f>'EmVap-Vol'!AI115</f>
        <v>0</v>
      </c>
      <c r="AJ105" s="237">
        <f>'EmVap-Vol'!AJ115</f>
        <v>6.7124361205281001E-7</v>
      </c>
      <c r="AK105" s="237">
        <f>'EmVap-Vol'!AK115</f>
        <v>1.4531759003993499E-5</v>
      </c>
      <c r="AL105" s="237">
        <f>'EmVap-Vol'!AL115</f>
        <v>6.0888359214098602E-5</v>
      </c>
      <c r="AM105" s="237">
        <f>'EmVap-Vol'!AM115</f>
        <v>1.54325525683205E-4</v>
      </c>
      <c r="AN105" s="237">
        <f>'EmVap-Vol'!AN115</f>
        <v>1.21606236120739E-4</v>
      </c>
      <c r="AO105" s="237">
        <f>'EmVap-Vol'!AO115</f>
        <v>1.830613949746E-4</v>
      </c>
      <c r="AP105" s="237">
        <f>'EmVap-Vol'!AP115</f>
        <v>1.5038532395804101E-4</v>
      </c>
      <c r="AQ105" s="237">
        <f>'EmVap-Vol'!AQ115</f>
        <v>1.9461290994546101E-4</v>
      </c>
      <c r="AR105" s="237">
        <f>'EmVap-Vol'!AR115</f>
        <v>2.58559362278968E-4</v>
      </c>
      <c r="AS105" s="237">
        <f>'EmVap-Vol'!AS115</f>
        <v>2.4861088337786898E-4</v>
      </c>
      <c r="AT105" s="237">
        <f>'EmVap-Vol'!AT115</f>
        <v>2.7860316583956901E-4</v>
      </c>
      <c r="AU105" s="237">
        <f>'EmVap-Vol'!AU115</f>
        <v>2.8251513606368799E-4</v>
      </c>
      <c r="AV105" s="237">
        <f>'EmVap-Vol'!AV115</f>
        <v>2.71171725134533E-4</v>
      </c>
      <c r="AW105" s="237">
        <f>'EmVap-Vol'!AW115</f>
        <v>2.8579248444086702E-4</v>
      </c>
      <c r="AX105" s="237">
        <f>'EmVap-Vol'!AX115</f>
        <v>1.8004940904437E-3</v>
      </c>
      <c r="AY105" s="237">
        <f>'EmVap-Vol'!AY115</f>
        <v>1.80065071868952E-3</v>
      </c>
      <c r="AZ105" s="237">
        <f>'EmVap-Vol'!AZ115</f>
        <v>2.41379196988473E-3</v>
      </c>
      <c r="BA105" s="237">
        <f>'EmVap-Vol'!BA115</f>
        <v>3.2327342862197902E-3</v>
      </c>
      <c r="BB105" s="237">
        <f>'EmVap-Vol'!BB115</f>
        <v>5.1016413665805598E-4</v>
      </c>
      <c r="BC105" s="237">
        <f>'EmVap-Vol'!BC115</f>
        <v>455.78153109349802</v>
      </c>
      <c r="BD105" s="237">
        <f>'EmVap-Vol'!BD115</f>
        <v>3.2709804647788202E-3</v>
      </c>
      <c r="BE105" s="237">
        <f>'EmVap-Vol'!BE115</f>
        <v>2.2705181812791199E-4</v>
      </c>
      <c r="BF105" s="237">
        <f>'EmVap-Vol'!BF115</f>
        <v>2.2705181812791199E-4</v>
      </c>
      <c r="BG105" s="237">
        <f>'EmVap-Vol'!BG115</f>
        <v>0</v>
      </c>
      <c r="BH105" s="237">
        <f>'EmVap-Vol'!BH115</f>
        <v>1.90647260201796E-3</v>
      </c>
      <c r="BI105" s="237">
        <f>'EmVap-Vol'!BI115</f>
        <v>8.1197390316256005E-4</v>
      </c>
    </row>
    <row r="106" spans="1:61">
      <c r="A106" s="97"/>
      <c r="B106" s="100"/>
      <c r="C106" s="2425"/>
      <c r="D106" s="2426"/>
      <c r="E106" s="103"/>
      <c r="F106" s="14"/>
      <c r="G106" s="105"/>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row>
    <row r="107" spans="1:61">
      <c r="A107" s="30" t="s">
        <v>266</v>
      </c>
      <c r="B107" s="30" t="s">
        <v>266</v>
      </c>
      <c r="C107" s="2428"/>
      <c r="D107" s="2429"/>
      <c r="E107" s="145" t="s">
        <v>625</v>
      </c>
      <c r="F107" s="60"/>
      <c r="G107" s="143"/>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35"/>
      <c r="BD107" s="135"/>
      <c r="BE107" s="135"/>
      <c r="BF107" s="135"/>
      <c r="BG107" s="135"/>
      <c r="BH107" s="135"/>
      <c r="BI107" s="135"/>
    </row>
    <row r="108" spans="1:61" s="41" customFormat="1" ht="25.5">
      <c r="A108" s="31"/>
      <c r="B108" s="31"/>
      <c r="C108" s="2430" t="s">
        <v>593</v>
      </c>
      <c r="D108" s="2431"/>
      <c r="E108" s="141" t="s">
        <v>621</v>
      </c>
      <c r="F108" s="14" t="s">
        <v>151</v>
      </c>
      <c r="G108" s="105" t="s">
        <v>270</v>
      </c>
      <c r="H108" s="113">
        <f>(Dispers!$I28*FEM!$H8+Dispers!$H28*FEM!$H10)/(FEM!$H8+FEM!$H10)</f>
        <v>22.493224932249319</v>
      </c>
      <c r="I108" s="113">
        <f>(Dispers!$I28*FEM!$H8+Dispers!$H28*FEM!$H10)/(FEM!$H8+FEM!$H10)</f>
        <v>22.493224932249319</v>
      </c>
      <c r="J108" s="113">
        <f>(Dispers!$I28*FEM!$H8+Dispers!$H28*FEM!$H10)/(FEM!$H8+FEM!$H10)</f>
        <v>22.493224932249319</v>
      </c>
      <c r="K108" s="113">
        <f>(Dispers!$I28*FEM!$H8+Dispers!$H28*FEM!$H10)/(FEM!$H8+FEM!$H10)</f>
        <v>22.493224932249319</v>
      </c>
      <c r="L108" s="113">
        <f>(Dispers!$I28*FEM!$H8+Dispers!$H28*FEM!$H10)/(FEM!$H8+FEM!$H10)</f>
        <v>22.493224932249319</v>
      </c>
      <c r="M108" s="113">
        <f>(Dispers!$I28*FEM!$H8+Dispers!$H28*FEM!$H10)/(FEM!$H8+FEM!$H10)</f>
        <v>22.493224932249319</v>
      </c>
      <c r="N108" s="113">
        <f>(Dispers!$I28*FEM!$H8+Dispers!$H28*FEM!$H10)/(FEM!$H8+FEM!$H10)</f>
        <v>22.493224932249319</v>
      </c>
      <c r="O108" s="113">
        <f>(Dispers!$I28*FEM!$H8+Dispers!$H28*FEM!$H10)/(FEM!$H8+FEM!$H10)</f>
        <v>22.493224932249319</v>
      </c>
      <c r="P108" s="113">
        <f>(Dispers!$I28*FEM!$H8+Dispers!$H28*FEM!$H10)/(FEM!$H8+FEM!$H10)</f>
        <v>22.493224932249319</v>
      </c>
      <c r="Q108" s="113">
        <f>(Dispers!$I28*FEM!$H8+Dispers!$H28*FEM!$H10)/(FEM!$H8+FEM!$H10)</f>
        <v>22.493224932249319</v>
      </c>
      <c r="R108" s="113">
        <f>(Dispers!$I28*FEM!$H8+Dispers!$H28*FEM!$H10)/(FEM!$H8+FEM!$H10)</f>
        <v>22.493224932249319</v>
      </c>
      <c r="S108" s="113">
        <f>(Dispers!$I28*FEM!$H8+Dispers!$H28*FEM!$H10)/(FEM!$H8+FEM!$H10)</f>
        <v>22.493224932249319</v>
      </c>
      <c r="T108" s="113">
        <f>(Dispers!$I28*FEM!$H8+Dispers!$H28*FEM!$H10)/(FEM!$H8+FEM!$H10)</f>
        <v>22.493224932249319</v>
      </c>
      <c r="U108" s="113">
        <f>(Dispers!$I28*FEM!$H8+Dispers!$H28*FEM!$H10)/(FEM!$H8+FEM!$H10)</f>
        <v>22.493224932249319</v>
      </c>
      <c r="V108" s="113">
        <f>(Dispers!$I28*FEM!$H8+Dispers!$H28*FEM!$H10)/(FEM!$H8+FEM!$H10)</f>
        <v>22.493224932249319</v>
      </c>
      <c r="W108" s="113">
        <f>(Dispers!$I28*FEM!$H8+Dispers!$H28*FEM!$H10)/(FEM!$H8+FEM!$H10)</f>
        <v>22.493224932249319</v>
      </c>
      <c r="X108" s="113">
        <f>(Dispers!$I28*FEM!$H8+Dispers!$H28*FEM!$H10)/(FEM!$H8+FEM!$H10)</f>
        <v>22.493224932249319</v>
      </c>
      <c r="Y108" s="113">
        <f>(Dispers!$I28*FEM!$H8+Dispers!$H28*FEM!$H10)/(FEM!$H8+FEM!$H10)</f>
        <v>22.493224932249319</v>
      </c>
      <c r="Z108" s="113">
        <f>(Dispers!$I28*FEM!$H8+Dispers!$H28*FEM!$H10)/(FEM!$H8+FEM!$H10)</f>
        <v>22.493224932249319</v>
      </c>
      <c r="AA108" s="113">
        <f>(Dispers!$I28*FEM!$H8+Dispers!$H28*FEM!$H10)/(FEM!$H8+FEM!$H10)</f>
        <v>22.493224932249319</v>
      </c>
      <c r="AB108" s="113">
        <f>(Dispers!$I28*FEM!$H8+Dispers!$H28*FEM!$H10)/(FEM!$H8+FEM!$H10)</f>
        <v>22.493224932249319</v>
      </c>
      <c r="AC108" s="113">
        <f>(Dispers!$I28*FEM!$H8+Dispers!$H28*FEM!$H10)/(FEM!$H8+FEM!$H10)</f>
        <v>22.493224932249319</v>
      </c>
      <c r="AD108" s="113">
        <f>(Dispers!$I28*FEM!$H8+Dispers!$H28*FEM!$H10)/(FEM!$H8+FEM!$H10)</f>
        <v>22.493224932249319</v>
      </c>
      <c r="AE108" s="113">
        <f>(Dispers!$I28*FEM!$H8+Dispers!$H28*FEM!$H10)/(FEM!$H8+FEM!$H10)</f>
        <v>22.493224932249319</v>
      </c>
      <c r="AF108" s="113">
        <f>(Dispers!$I28*FEM!$H8+Dispers!$H28*FEM!$H10)/(FEM!$H8+FEM!$H10)</f>
        <v>22.493224932249319</v>
      </c>
      <c r="AG108" s="113">
        <f>(Dispers!$I28*FEM!$H8+Dispers!$H28*FEM!$H10)/(FEM!$H8+FEM!$H10)</f>
        <v>22.493224932249319</v>
      </c>
      <c r="AH108" s="113">
        <f>(Dispers!$I28*FEM!$H8+Dispers!$H28*FEM!$H10)/(FEM!$H8+FEM!$H10)</f>
        <v>22.493224932249319</v>
      </c>
      <c r="AI108" s="113">
        <f>(Dispers!$I28*FEM!$H8+Dispers!$H28*FEM!$H10)/(FEM!$H8+FEM!$H10)</f>
        <v>22.493224932249319</v>
      </c>
      <c r="AJ108" s="113">
        <f>(Dispers!$I28*FEM!$H8+Dispers!$H28*FEM!$H10)/(FEM!$H8+FEM!$H10)</f>
        <v>22.493224932249319</v>
      </c>
      <c r="AK108" s="113">
        <f>(Dispers!$I28*FEM!$H8+Dispers!$H28*FEM!$H10)/(FEM!$H8+FEM!$H10)</f>
        <v>22.493224932249319</v>
      </c>
      <c r="AL108" s="113">
        <f>(Dispers!$I28*FEM!$H8+Dispers!$H28*FEM!$H10)/(FEM!$H8+FEM!$H10)</f>
        <v>22.493224932249319</v>
      </c>
      <c r="AM108" s="113">
        <f>(Dispers!$I28*FEM!$H8+Dispers!$H28*FEM!$H10)/(FEM!$H8+FEM!$H10)</f>
        <v>22.493224932249319</v>
      </c>
      <c r="AN108" s="113">
        <f>(Dispers!$I28*FEM!$H8+Dispers!$H28*FEM!$H10)/(FEM!$H8+FEM!$H10)</f>
        <v>22.493224932249319</v>
      </c>
      <c r="AO108" s="113">
        <f>(Dispers!$I28*FEM!$H8+Dispers!$H28*FEM!$H10)/(FEM!$H8+FEM!$H10)</f>
        <v>22.493224932249319</v>
      </c>
      <c r="AP108" s="113">
        <f>(Dispers!$I28*FEM!$H8+Dispers!$H28*FEM!$H10)/(FEM!$H8+FEM!$H10)</f>
        <v>22.493224932249319</v>
      </c>
      <c r="AQ108" s="113">
        <f>(Dispers!$I28*FEM!$H8+Dispers!$H28*FEM!$H10)/(FEM!$H8+FEM!$H10)</f>
        <v>22.493224932249319</v>
      </c>
      <c r="AR108" s="113">
        <f>(Dispers!$I28*FEM!$H8+Dispers!$H28*FEM!$H10)/(FEM!$H8+FEM!$H10)</f>
        <v>22.493224932249319</v>
      </c>
      <c r="AS108" s="113">
        <f>(Dispers!$I28*FEM!$H8+Dispers!$H28*FEM!$H10)/(FEM!$H8+FEM!$H10)</f>
        <v>22.493224932249319</v>
      </c>
      <c r="AT108" s="113">
        <f>(Dispers!$I28*FEM!$H8+Dispers!$H28*FEM!$H10)/(FEM!$H8+FEM!$H10)</f>
        <v>22.493224932249319</v>
      </c>
      <c r="AU108" s="113">
        <f>(Dispers!$I28*FEM!$H8+Dispers!$H28*FEM!$H10)/(FEM!$H8+FEM!$H10)</f>
        <v>22.493224932249319</v>
      </c>
      <c r="AV108" s="113">
        <f>(Dispers!$I28*FEM!$H8+Dispers!$H28*FEM!$H10)/(FEM!$H8+FEM!$H10)</f>
        <v>22.493224932249319</v>
      </c>
      <c r="AW108" s="113">
        <f>(Dispers!$I28*FEM!$H8+Dispers!$H28*FEM!$H10)/(FEM!$H8+FEM!$H10)</f>
        <v>22.493224932249319</v>
      </c>
      <c r="AX108" s="113">
        <f>(Dispers!$I28*FEM!$H8+Dispers!$H28*FEM!$H10)/(FEM!$H8+FEM!$H10)</f>
        <v>22.493224932249319</v>
      </c>
      <c r="AY108" s="113">
        <f>(Dispers!$I28*FEM!$H8+Dispers!$H28*FEM!$H10)/(FEM!$H8+FEM!$H10)</f>
        <v>22.493224932249319</v>
      </c>
      <c r="AZ108" s="113">
        <f>(Dispers!$I28*FEM!$H8+Dispers!$H28*FEM!$H10)/(FEM!$H8+FEM!$H10)</f>
        <v>22.493224932249319</v>
      </c>
      <c r="BA108" s="113">
        <f>(Dispers!$I28*FEM!$H8+Dispers!$H28*FEM!$H10)/(FEM!$H8+FEM!$H10)</f>
        <v>22.493224932249319</v>
      </c>
      <c r="BB108" s="113">
        <f>(Dispers!$I28*FEM!$H8+Dispers!$H28*FEM!$H10)/(FEM!$H8+FEM!$H10)</f>
        <v>22.493224932249319</v>
      </c>
      <c r="BC108" s="113">
        <f>(Dispers!$I28*FEM!$H8+Dispers!$H28*FEM!$H10)/(FEM!$H8+FEM!$H10)</f>
        <v>22.493224932249319</v>
      </c>
      <c r="BD108" s="113">
        <f>(Dispers!$I28*FEM!$H8+Dispers!$H28*FEM!$H10)/(FEM!$H8+FEM!$H10)</f>
        <v>22.493224932249319</v>
      </c>
      <c r="BE108" s="113">
        <f>(Dispers!$I28*FEM!$H8+Dispers!$H28*FEM!$H10)/(FEM!$H8+FEM!$H10)</f>
        <v>22.493224932249319</v>
      </c>
      <c r="BF108" s="113">
        <f>(Dispers!$I28*FEM!$H8+Dispers!$H28*FEM!$H10)/(FEM!$H8+FEM!$H10)</f>
        <v>22.493224932249319</v>
      </c>
      <c r="BG108" s="113">
        <f>(Dispers!$I28*FEM!$H8+Dispers!$H28*FEM!$H10)/(FEM!$H8+FEM!$H10)</f>
        <v>22.493224932249319</v>
      </c>
      <c r="BH108" s="113">
        <f>(Dispers!$I28*FEM!$H8+Dispers!$H28*FEM!$H10)/(FEM!$H8+FEM!$H10)</f>
        <v>22.493224932249319</v>
      </c>
      <c r="BI108" s="113">
        <f>(Dispers!$I28*FEM!$H8+Dispers!$H28*FEM!$H10)/(FEM!$H8+FEM!$H10)</f>
        <v>22.493224932249319</v>
      </c>
    </row>
    <row r="109" spans="1:61" s="41" customFormat="1">
      <c r="A109" s="31"/>
      <c r="B109" s="31"/>
      <c r="C109" s="2432"/>
      <c r="D109" s="2431"/>
      <c r="E109" s="590" t="str">
        <f>E100</f>
        <v>Période chronique</v>
      </c>
      <c r="F109" s="14"/>
      <c r="G109" s="105"/>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row>
    <row r="110" spans="1:61">
      <c r="A110" s="97"/>
      <c r="B110" s="97"/>
      <c r="C110" s="2433"/>
      <c r="D110" s="2434"/>
      <c r="E110" s="586" t="s">
        <v>1112</v>
      </c>
      <c r="F110" s="96" t="s">
        <v>1115</v>
      </c>
      <c r="G110" s="144" t="s">
        <v>206</v>
      </c>
      <c r="H110" s="135">
        <f>H108*H$31</f>
        <v>1.2302723086826553E-2</v>
      </c>
      <c r="I110" s="135">
        <f t="shared" ref="I110:BI110" si="37">I108*I$31</f>
        <v>1.2302723086826553E-2</v>
      </c>
      <c r="J110" s="135">
        <f>J108*J$31</f>
        <v>6.2631720463052591E-3</v>
      </c>
      <c r="K110" s="135">
        <f t="shared" si="37"/>
        <v>8.3295830496516148E-4</v>
      </c>
      <c r="L110" s="135">
        <f t="shared" si="37"/>
        <v>3.483328457151338E-3</v>
      </c>
      <c r="M110" s="135">
        <f t="shared" si="37"/>
        <v>3.483328457151338E-3</v>
      </c>
      <c r="N110" s="135">
        <f>N108*N$31</f>
        <v>2.2588366059487211E-3</v>
      </c>
      <c r="O110" s="135">
        <f>O108*O$31</f>
        <v>2.2588366059487211E-3</v>
      </c>
      <c r="P110" s="135">
        <f t="shared" si="37"/>
        <v>2.0690222611578287E-3</v>
      </c>
      <c r="Q110" s="135">
        <f t="shared" si="37"/>
        <v>2.0690222611578287E-3</v>
      </c>
      <c r="R110" s="135">
        <f>R108*R$31</f>
        <v>5.14717286255819E-3</v>
      </c>
      <c r="S110" s="135">
        <f>S108*S$31</f>
        <v>4.6202507984510373E-3</v>
      </c>
      <c r="T110" s="135">
        <f>T108*T$31</f>
        <v>4.6202507984510373E-3</v>
      </c>
      <c r="U110" s="135">
        <f t="shared" si="37"/>
        <v>1.1653385415959995E-3</v>
      </c>
      <c r="V110" s="135">
        <f t="shared" si="37"/>
        <v>7.1196077505833357E-4</v>
      </c>
      <c r="W110" s="135">
        <f t="shared" si="37"/>
        <v>7.1196077505833357E-4</v>
      </c>
      <c r="X110" s="135">
        <f t="shared" si="37"/>
        <v>3.3923965583429754E-3</v>
      </c>
      <c r="Y110" s="135">
        <f t="shared" si="37"/>
        <v>3.7866861821405908E-3</v>
      </c>
      <c r="Z110" s="135">
        <f t="shared" si="37"/>
        <v>4.5575871738024552E-3</v>
      </c>
      <c r="AA110" s="135">
        <f t="shared" si="37"/>
        <v>1.9254518987913251E-3</v>
      </c>
      <c r="AB110" s="135">
        <f t="shared" si="37"/>
        <v>3.292235254585588E-3</v>
      </c>
      <c r="AC110" s="135">
        <f t="shared" si="37"/>
        <v>5.4581712289360458E-3</v>
      </c>
      <c r="AD110" s="135">
        <f t="shared" si="37"/>
        <v>6.6620314628440631E-3</v>
      </c>
      <c r="AE110" s="135">
        <f t="shared" si="37"/>
        <v>5.9512970815193897E-3</v>
      </c>
      <c r="AF110" s="135">
        <f t="shared" si="37"/>
        <v>5.1337166321849242E-3</v>
      </c>
      <c r="AG110" s="135">
        <f t="shared" si="37"/>
        <v>5.1817961296708552E-4</v>
      </c>
      <c r="AH110" s="135">
        <f t="shared" si="37"/>
        <v>6.9206926621948354E-4</v>
      </c>
      <c r="AI110" s="135">
        <f t="shared" si="37"/>
        <v>1.3582865128048669E-3</v>
      </c>
      <c r="AJ110" s="135">
        <f t="shared" si="37"/>
        <v>2.2574941743420023E-3</v>
      </c>
      <c r="AK110" s="135">
        <f t="shared" si="37"/>
        <v>3.315484442849645E-3</v>
      </c>
      <c r="AL110" s="135">
        <f t="shared" si="37"/>
        <v>3.9768093271782745E-3</v>
      </c>
      <c r="AM110" s="135">
        <f t="shared" si="37"/>
        <v>3.5755368655158034E-3</v>
      </c>
      <c r="AN110" s="135">
        <f t="shared" si="37"/>
        <v>6.4250450684899159E-3</v>
      </c>
      <c r="AO110" s="135">
        <f t="shared" si="37"/>
        <v>7.4958529114596056E-3</v>
      </c>
      <c r="AP110" s="135">
        <f t="shared" si="37"/>
        <v>7.2806306057075325E-3</v>
      </c>
      <c r="AQ110" s="135">
        <f t="shared" si="37"/>
        <v>6.9179283882852974E-3</v>
      </c>
      <c r="AR110" s="135">
        <f t="shared" si="37"/>
        <v>6.6600266714040854E-3</v>
      </c>
      <c r="AS110" s="135">
        <f t="shared" si="37"/>
        <v>6.6104329732008136E-3</v>
      </c>
      <c r="AT110" s="135">
        <f t="shared" si="37"/>
        <v>6.3520577098671429E-3</v>
      </c>
      <c r="AU110" s="135">
        <f t="shared" si="37"/>
        <v>6.4382660058204481E-3</v>
      </c>
      <c r="AV110" s="135">
        <f t="shared" si="37"/>
        <v>6.1112144957728917E-3</v>
      </c>
      <c r="AW110" s="135">
        <f t="shared" si="37"/>
        <v>6.4404914866602559E-3</v>
      </c>
      <c r="AX110" s="135">
        <f t="shared" si="37"/>
        <v>4.0510005205303005E-2</v>
      </c>
      <c r="AY110" s="135">
        <f t="shared" si="37"/>
        <v>4.0510051601723572E-2</v>
      </c>
      <c r="AZ110" s="135">
        <f t="shared" si="37"/>
        <v>5.430296549439146E-2</v>
      </c>
      <c r="BA110" s="135">
        <f t="shared" si="37"/>
        <v>7.2717369618169408E-2</v>
      </c>
      <c r="BB110" s="135">
        <f t="shared" si="37"/>
        <v>1.1476524726029886E-2</v>
      </c>
      <c r="BC110" s="135">
        <f t="shared" si="37"/>
        <v>10252.220099803159</v>
      </c>
      <c r="BD110" s="135">
        <f t="shared" si="37"/>
        <v>0.12277680787878348</v>
      </c>
      <c r="BE110" s="135">
        <f t="shared" si="37"/>
        <v>5.1148587415760774E-3</v>
      </c>
      <c r="BF110" s="135">
        <f t="shared" si="37"/>
        <v>5.1148587415760774E-3</v>
      </c>
      <c r="BG110" s="135">
        <f t="shared" si="37"/>
        <v>8.5126731553467863E-4</v>
      </c>
      <c r="BH110" s="135">
        <f t="shared" si="37"/>
        <v>6.5443817840828797E-2</v>
      </c>
      <c r="BI110" s="135">
        <f t="shared" si="37"/>
        <v>4.5985106036223654E-2</v>
      </c>
    </row>
    <row r="111" spans="1:61">
      <c r="A111" s="97"/>
      <c r="B111" s="97"/>
      <c r="C111" s="2433"/>
      <c r="D111" s="2434"/>
      <c r="E111" s="589" t="str">
        <f>E104</f>
        <v>Période adulte 6-70 ans (effets sans seuil)</v>
      </c>
      <c r="F111" s="62"/>
      <c r="G111" s="107"/>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row>
    <row r="112" spans="1:61">
      <c r="A112" s="97"/>
      <c r="B112" s="97"/>
      <c r="C112" s="2433"/>
      <c r="D112" s="2434"/>
      <c r="E112" s="586" t="s">
        <v>1112</v>
      </c>
      <c r="F112" s="96" t="s">
        <v>1115</v>
      </c>
      <c r="G112" s="144" t="s">
        <v>206</v>
      </c>
      <c r="H112" s="135">
        <f>H108*H$37</f>
        <v>5.1440607491609249E-3</v>
      </c>
      <c r="I112" s="135">
        <f t="shared" ref="I112:BI112" si="38">I108*I$37</f>
        <v>5.1440607491609249E-3</v>
      </c>
      <c r="J112" s="135">
        <f>J108*J$37</f>
        <v>1.9354974771870434E-3</v>
      </c>
      <c r="K112" s="135">
        <f t="shared" si="38"/>
        <v>0</v>
      </c>
      <c r="L112" s="135">
        <f t="shared" si="38"/>
        <v>0</v>
      </c>
      <c r="M112" s="135">
        <f t="shared" si="38"/>
        <v>0</v>
      </c>
      <c r="N112" s="135">
        <f>N108*N$37</f>
        <v>0</v>
      </c>
      <c r="O112" s="135">
        <f>O108*O$37</f>
        <v>0</v>
      </c>
      <c r="P112" s="135">
        <f t="shared" si="38"/>
        <v>0</v>
      </c>
      <c r="Q112" s="135">
        <f t="shared" si="38"/>
        <v>0</v>
      </c>
      <c r="R112" s="135">
        <f>R108*R$37</f>
        <v>0</v>
      </c>
      <c r="S112" s="135">
        <f>S108*S$37</f>
        <v>0</v>
      </c>
      <c r="T112" s="135">
        <f>T108*T$37</f>
        <v>0</v>
      </c>
      <c r="U112" s="135">
        <f t="shared" si="38"/>
        <v>0</v>
      </c>
      <c r="V112" s="135">
        <f t="shared" si="38"/>
        <v>0</v>
      </c>
      <c r="W112" s="135">
        <f t="shared" si="38"/>
        <v>0</v>
      </c>
      <c r="X112" s="135">
        <f t="shared" si="38"/>
        <v>0</v>
      </c>
      <c r="Y112" s="135">
        <f t="shared" si="38"/>
        <v>0</v>
      </c>
      <c r="Z112" s="135">
        <f t="shared" si="38"/>
        <v>0</v>
      </c>
      <c r="AA112" s="135">
        <f t="shared" si="38"/>
        <v>0</v>
      </c>
      <c r="AB112" s="135">
        <f t="shared" si="38"/>
        <v>4.3468834032492847E-5</v>
      </c>
      <c r="AC112" s="135">
        <f t="shared" si="38"/>
        <v>6.7794443200567189E-4</v>
      </c>
      <c r="AD112" s="135">
        <f t="shared" si="38"/>
        <v>1.665058164950732E-3</v>
      </c>
      <c r="AE112" s="135">
        <f t="shared" si="38"/>
        <v>3.4024951690249622E-3</v>
      </c>
      <c r="AF112" s="135">
        <f t="shared" si="38"/>
        <v>5.1128100909091064E-3</v>
      </c>
      <c r="AG112" s="135">
        <f t="shared" si="38"/>
        <v>0</v>
      </c>
      <c r="AH112" s="135">
        <f t="shared" si="38"/>
        <v>0</v>
      </c>
      <c r="AI112" s="135">
        <f t="shared" si="38"/>
        <v>0</v>
      </c>
      <c r="AJ112" s="135">
        <f t="shared" si="38"/>
        <v>1.5098433550239356E-5</v>
      </c>
      <c r="AK112" s="135">
        <f t="shared" si="38"/>
        <v>3.2686612393806509E-4</v>
      </c>
      <c r="AL112" s="135">
        <f t="shared" si="38"/>
        <v>1.3695755595583153E-3</v>
      </c>
      <c r="AM112" s="135">
        <f t="shared" si="38"/>
        <v>3.4712787619799491E-3</v>
      </c>
      <c r="AN112" s="135">
        <f t="shared" si="38"/>
        <v>2.7353164222280041E-3</v>
      </c>
      <c r="AO112" s="135">
        <f t="shared" si="38"/>
        <v>4.117641133575013E-3</v>
      </c>
      <c r="AP112" s="135">
        <f t="shared" si="38"/>
        <v>3.3826509182973987E-3</v>
      </c>
      <c r="AQ112" s="135">
        <f t="shared" si="38"/>
        <v>4.3774719581228354E-3</v>
      </c>
      <c r="AR112" s="135">
        <f t="shared" si="38"/>
        <v>5.8158338940797671E-3</v>
      </c>
      <c r="AS112" s="135">
        <f t="shared" si="38"/>
        <v>5.5920605204236098E-3</v>
      </c>
      <c r="AT112" s="135">
        <f t="shared" si="38"/>
        <v>6.2666836760661851E-3</v>
      </c>
      <c r="AU112" s="135">
        <f t="shared" si="38"/>
        <v>6.3546765022455551E-3</v>
      </c>
      <c r="AV112" s="135">
        <f t="shared" si="38"/>
        <v>6.0995266087171367E-3</v>
      </c>
      <c r="AW112" s="135">
        <f t="shared" si="38"/>
        <v>6.4283946364747857E-3</v>
      </c>
      <c r="AX112" s="135">
        <f t="shared" si="38"/>
        <v>4.0498918565535794E-2</v>
      </c>
      <c r="AY112" s="135">
        <f t="shared" si="38"/>
        <v>4.0502441639899765E-2</v>
      </c>
      <c r="AZ112" s="135">
        <f t="shared" si="38"/>
        <v>5.4293965718274405E-2</v>
      </c>
      <c r="BA112" s="135">
        <f t="shared" si="38"/>
        <v>7.2714619446136192E-2</v>
      </c>
      <c r="BB112" s="135">
        <f t="shared" si="38"/>
        <v>1.1475236678216434E-2</v>
      </c>
      <c r="BC112" s="135">
        <f t="shared" si="38"/>
        <v>10251.996498851038</v>
      </c>
      <c r="BD112" s="135">
        <f t="shared" si="38"/>
        <v>7.3574899343263431E-2</v>
      </c>
      <c r="BE112" s="135">
        <f t="shared" si="38"/>
        <v>5.1071276164272881E-3</v>
      </c>
      <c r="BF112" s="135">
        <f t="shared" si="38"/>
        <v>5.1071276164272881E-3</v>
      </c>
      <c r="BG112" s="135">
        <f t="shared" si="38"/>
        <v>0</v>
      </c>
      <c r="BH112" s="135">
        <f t="shared" si="38"/>
        <v>4.2882717064360615E-2</v>
      </c>
      <c r="BI112" s="135">
        <f t="shared" si="38"/>
        <v>1.826391164295189E-2</v>
      </c>
    </row>
    <row r="113" spans="1:61">
      <c r="A113" s="97"/>
      <c r="B113" s="97"/>
      <c r="C113" s="2433"/>
      <c r="D113" s="2434"/>
      <c r="E113" s="587"/>
      <c r="F113" s="62"/>
      <c r="G113" s="107"/>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row>
    <row r="114" spans="1:61" ht="25.5">
      <c r="A114" s="97"/>
      <c r="B114" s="97"/>
      <c r="C114" s="2433" t="s">
        <v>208</v>
      </c>
      <c r="D114" s="2434"/>
      <c r="E114" s="141" t="s">
        <v>622</v>
      </c>
      <c r="F114" s="14" t="s">
        <v>151</v>
      </c>
      <c r="G114" s="105" t="s">
        <v>152</v>
      </c>
      <c r="H114" s="113">
        <f>(Dispers!$J28*FEM!$H7+Dispers!$H28*FEM!$H9)/(FEM!$H7+FEM!$H9)</f>
        <v>25.625</v>
      </c>
      <c r="I114" s="113">
        <f>(Dispers!$J28*FEM!$H7+Dispers!$H28*FEM!$H9)/(FEM!$H7+FEM!$H9)</f>
        <v>25.625</v>
      </c>
      <c r="J114" s="113">
        <f>(Dispers!$J28*FEM!$H7+Dispers!$H28*FEM!$H9)/(FEM!$H7+FEM!$H9)</f>
        <v>25.625</v>
      </c>
      <c r="K114" s="113">
        <f>(Dispers!$J28*FEM!$H7+Dispers!$H28*FEM!$H9)/(FEM!$H7+FEM!$H9)</f>
        <v>25.625</v>
      </c>
      <c r="L114" s="113">
        <f>(Dispers!$J28*FEM!$H7+Dispers!$H28*FEM!$H9)/(FEM!$H7+FEM!$H9)</f>
        <v>25.625</v>
      </c>
      <c r="M114" s="113">
        <f>(Dispers!$J28*FEM!$H7+Dispers!$H28*FEM!$H9)/(FEM!$H7+FEM!$H9)</f>
        <v>25.625</v>
      </c>
      <c r="N114" s="113">
        <f>(Dispers!$J28*FEM!$H7+Dispers!$H28*FEM!$H9)/(FEM!$H7+FEM!$H9)</f>
        <v>25.625</v>
      </c>
      <c r="O114" s="113">
        <f>(Dispers!$J28*FEM!$H7+Dispers!$H28*FEM!$H9)/(FEM!$H7+FEM!$H9)</f>
        <v>25.625</v>
      </c>
      <c r="P114" s="113">
        <f>(Dispers!$J28*FEM!$H7+Dispers!$H28*FEM!$H9)/(FEM!$H7+FEM!$H9)</f>
        <v>25.625</v>
      </c>
      <c r="Q114" s="113">
        <f>(Dispers!$J28*FEM!$H7+Dispers!$H28*FEM!$H9)/(FEM!$H7+FEM!$H9)</f>
        <v>25.625</v>
      </c>
      <c r="R114" s="113">
        <f>(Dispers!$J28*FEM!$H7+Dispers!$H28*FEM!$H9)/(FEM!$H7+FEM!$H9)</f>
        <v>25.625</v>
      </c>
      <c r="S114" s="113">
        <f>(Dispers!$J28*FEM!$H7+Dispers!$H28*FEM!$H9)/(FEM!$H7+FEM!$H9)</f>
        <v>25.625</v>
      </c>
      <c r="T114" s="113">
        <f>(Dispers!$J28*FEM!$H7+Dispers!$H28*FEM!$H9)/(FEM!$H7+FEM!$H9)</f>
        <v>25.625</v>
      </c>
      <c r="U114" s="113">
        <f>(Dispers!$J28*FEM!$H7+Dispers!$H28*FEM!$H9)/(FEM!$H7+FEM!$H9)</f>
        <v>25.625</v>
      </c>
      <c r="V114" s="113">
        <f>(Dispers!$J28*FEM!$H7+Dispers!$H28*FEM!$H9)/(FEM!$H7+FEM!$H9)</f>
        <v>25.625</v>
      </c>
      <c r="W114" s="113">
        <f>(Dispers!$J28*FEM!$H7+Dispers!$H28*FEM!$H9)/(FEM!$H7+FEM!$H9)</f>
        <v>25.625</v>
      </c>
      <c r="X114" s="113">
        <f>(Dispers!$J28*FEM!$H7+Dispers!$H28*FEM!$H9)/(FEM!$H7+FEM!$H9)</f>
        <v>25.625</v>
      </c>
      <c r="Y114" s="113">
        <f>(Dispers!$J28*FEM!$H7+Dispers!$H28*FEM!$H9)/(FEM!$H7+FEM!$H9)</f>
        <v>25.625</v>
      </c>
      <c r="Z114" s="113">
        <f>(Dispers!$J28*FEM!$H7+Dispers!$H28*FEM!$H9)/(FEM!$H7+FEM!$H9)</f>
        <v>25.625</v>
      </c>
      <c r="AA114" s="113">
        <f>(Dispers!$J28*FEM!$H7+Dispers!$H28*FEM!$H9)/(FEM!$H7+FEM!$H9)</f>
        <v>25.625</v>
      </c>
      <c r="AB114" s="113">
        <f>(Dispers!$J28*FEM!$H7+Dispers!$H28*FEM!$H9)/(FEM!$H7+FEM!$H9)</f>
        <v>25.625</v>
      </c>
      <c r="AC114" s="113">
        <f>(Dispers!$J28*FEM!$H7+Dispers!$H28*FEM!$H9)/(FEM!$H7+FEM!$H9)</f>
        <v>25.625</v>
      </c>
      <c r="AD114" s="113">
        <f>(Dispers!$J28*FEM!$H7+Dispers!$H28*FEM!$H9)/(FEM!$H7+FEM!$H9)</f>
        <v>25.625</v>
      </c>
      <c r="AE114" s="113">
        <f>(Dispers!$J28*FEM!$H7+Dispers!$H28*FEM!$H9)/(FEM!$H7+FEM!$H9)</f>
        <v>25.625</v>
      </c>
      <c r="AF114" s="113">
        <f>(Dispers!$J28*FEM!$H7+Dispers!$H28*FEM!$H9)/(FEM!$H7+FEM!$H9)</f>
        <v>25.625</v>
      </c>
      <c r="AG114" s="113">
        <f>(Dispers!$J28*FEM!$H7+Dispers!$H28*FEM!$H9)/(FEM!$H7+FEM!$H9)</f>
        <v>25.625</v>
      </c>
      <c r="AH114" s="113">
        <f>(Dispers!$J28*FEM!$H7+Dispers!$H28*FEM!$H9)/(FEM!$H7+FEM!$H9)</f>
        <v>25.625</v>
      </c>
      <c r="AI114" s="113">
        <f>(Dispers!$J28*FEM!$H7+Dispers!$H28*FEM!$H9)/(FEM!$H7+FEM!$H9)</f>
        <v>25.625</v>
      </c>
      <c r="AJ114" s="113">
        <f>(Dispers!$J28*FEM!$H7+Dispers!$H28*FEM!$H9)/(FEM!$H7+FEM!$H9)</f>
        <v>25.625</v>
      </c>
      <c r="AK114" s="113">
        <f>(Dispers!$J28*FEM!$H7+Dispers!$H28*FEM!$H9)/(FEM!$H7+FEM!$H9)</f>
        <v>25.625</v>
      </c>
      <c r="AL114" s="113">
        <f>(Dispers!$J28*FEM!$H7+Dispers!$H28*FEM!$H9)/(FEM!$H7+FEM!$H9)</f>
        <v>25.625</v>
      </c>
      <c r="AM114" s="113">
        <f>(Dispers!$J28*FEM!$H7+Dispers!$H28*FEM!$H9)/(FEM!$H7+FEM!$H9)</f>
        <v>25.625</v>
      </c>
      <c r="AN114" s="113">
        <f>(Dispers!$J28*FEM!$H7+Dispers!$H28*FEM!$H9)/(FEM!$H7+FEM!$H9)</f>
        <v>25.625</v>
      </c>
      <c r="AO114" s="113">
        <f>(Dispers!$J28*FEM!$H7+Dispers!$H28*FEM!$H9)/(FEM!$H7+FEM!$H9)</f>
        <v>25.625</v>
      </c>
      <c r="AP114" s="113">
        <f>(Dispers!$J28*FEM!$H7+Dispers!$H28*FEM!$H9)/(FEM!$H7+FEM!$H9)</f>
        <v>25.625</v>
      </c>
      <c r="AQ114" s="113">
        <f>(Dispers!$J28*FEM!$H7+Dispers!$H28*FEM!$H9)/(FEM!$H7+FEM!$H9)</f>
        <v>25.625</v>
      </c>
      <c r="AR114" s="113">
        <f>(Dispers!$J28*FEM!$H7+Dispers!$H28*FEM!$H9)/(FEM!$H7+FEM!$H9)</f>
        <v>25.625</v>
      </c>
      <c r="AS114" s="113">
        <f>(Dispers!$J28*FEM!$H7+Dispers!$H28*FEM!$H9)/(FEM!$H7+FEM!$H9)</f>
        <v>25.625</v>
      </c>
      <c r="AT114" s="113">
        <f>(Dispers!$J28*FEM!$H7+Dispers!$H28*FEM!$H9)/(FEM!$H7+FEM!$H9)</f>
        <v>25.625</v>
      </c>
      <c r="AU114" s="113">
        <f>(Dispers!$J28*FEM!$H7+Dispers!$H28*FEM!$H9)/(FEM!$H7+FEM!$H9)</f>
        <v>25.625</v>
      </c>
      <c r="AV114" s="113">
        <f>(Dispers!$J28*FEM!$H7+Dispers!$H28*FEM!$H9)/(FEM!$H7+FEM!$H9)</f>
        <v>25.625</v>
      </c>
      <c r="AW114" s="113">
        <f>(Dispers!$J28*FEM!$H7+Dispers!$H28*FEM!$H9)/(FEM!$H7+FEM!$H9)</f>
        <v>25.625</v>
      </c>
      <c r="AX114" s="113">
        <f>(Dispers!$J28*FEM!$H7+Dispers!$H28*FEM!$H9)/(FEM!$H7+FEM!$H9)</f>
        <v>25.625</v>
      </c>
      <c r="AY114" s="113">
        <f>(Dispers!$J28*FEM!$H7+Dispers!$H28*FEM!$H9)/(FEM!$H7+FEM!$H9)</f>
        <v>25.625</v>
      </c>
      <c r="AZ114" s="113">
        <f>(Dispers!$J28*FEM!$H7+Dispers!$H28*FEM!$H9)/(FEM!$H7+FEM!$H9)</f>
        <v>25.625</v>
      </c>
      <c r="BA114" s="113">
        <f>(Dispers!$J28*FEM!$H7+Dispers!$H28*FEM!$H9)/(FEM!$H7+FEM!$H9)</f>
        <v>25.625</v>
      </c>
      <c r="BB114" s="113">
        <f>(Dispers!$J28*FEM!$H7+Dispers!$H28*FEM!$H9)/(FEM!$H7+FEM!$H9)</f>
        <v>25.625</v>
      </c>
      <c r="BC114" s="113">
        <f>(Dispers!$J28*FEM!$H7+Dispers!$H28*FEM!$H9)/(FEM!$H7+FEM!$H9)</f>
        <v>25.625</v>
      </c>
      <c r="BD114" s="113">
        <f>(Dispers!$J28*FEM!$H7+Dispers!$H28*FEM!$H9)/(FEM!$H7+FEM!$H9)</f>
        <v>25.625</v>
      </c>
      <c r="BE114" s="113">
        <f>(Dispers!$J28*FEM!$H7+Dispers!$H28*FEM!$H9)/(FEM!$H7+FEM!$H9)</f>
        <v>25.625</v>
      </c>
      <c r="BF114" s="113">
        <f>(Dispers!$J28*FEM!$H7+Dispers!$H28*FEM!$H9)/(FEM!$H7+FEM!$H9)</f>
        <v>25.625</v>
      </c>
      <c r="BG114" s="113">
        <f>(Dispers!$J28*FEM!$H7+Dispers!$H28*FEM!$H9)/(FEM!$H7+FEM!$H9)</f>
        <v>25.625</v>
      </c>
      <c r="BH114" s="113">
        <f>(Dispers!$J28*FEM!$H7+Dispers!$H28*FEM!$H9)/(FEM!$H7+FEM!$H9)</f>
        <v>25.625</v>
      </c>
      <c r="BI114" s="113">
        <f>(Dispers!$J28*FEM!$H7+Dispers!$H28*FEM!$H9)/(FEM!$H7+FEM!$H9)</f>
        <v>25.625</v>
      </c>
    </row>
    <row r="115" spans="1:61">
      <c r="A115" s="97"/>
      <c r="B115" s="97"/>
      <c r="C115" s="2433"/>
      <c r="D115" s="2434"/>
      <c r="E115" s="590" t="str">
        <f>E109</f>
        <v>Période chronique</v>
      </c>
      <c r="F115" s="14"/>
      <c r="G115" s="105"/>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row>
    <row r="116" spans="1:61">
      <c r="A116" s="97"/>
      <c r="B116" s="97"/>
      <c r="C116" s="2110"/>
      <c r="D116" s="2434"/>
      <c r="E116" s="586" t="s">
        <v>1113</v>
      </c>
      <c r="F116" s="96" t="s">
        <v>1115</v>
      </c>
      <c r="G116" s="144" t="s">
        <v>206</v>
      </c>
      <c r="H116" s="135">
        <f t="shared" ref="H116:BI116" si="39">H114*H$31</f>
        <v>1.4015654938298112E-2</v>
      </c>
      <c r="I116" s="135">
        <f t="shared" si="39"/>
        <v>1.4015654938298112E-2</v>
      </c>
      <c r="J116" s="135">
        <f>J114*J$31</f>
        <v>7.1352055638970084E-3</v>
      </c>
      <c r="K116" s="135">
        <f t="shared" si="39"/>
        <v>9.4893269546821762E-4</v>
      </c>
      <c r="L116" s="135">
        <f t="shared" si="39"/>
        <v>3.968318993090557E-3</v>
      </c>
      <c r="M116" s="135">
        <f t="shared" si="39"/>
        <v>3.968318993090557E-3</v>
      </c>
      <c r="N116" s="135">
        <f>N114*N$31</f>
        <v>2.5733387809787804E-3</v>
      </c>
      <c r="O116" s="135">
        <f>O114*O$31</f>
        <v>2.5733387809787804E-3</v>
      </c>
      <c r="P116" s="135">
        <f t="shared" si="39"/>
        <v>2.3570962190554816E-3</v>
      </c>
      <c r="Q116" s="135">
        <f t="shared" si="39"/>
        <v>2.3570962190554816E-3</v>
      </c>
      <c r="R116" s="135">
        <f>R114*R$31</f>
        <v>5.8638236624731074E-3</v>
      </c>
      <c r="S116" s="135">
        <f>S114*S$31</f>
        <v>5.2635372236269386E-3</v>
      </c>
      <c r="T116" s="135">
        <f>T114*T$31</f>
        <v>5.2635372236269386E-3</v>
      </c>
      <c r="U116" s="135">
        <f t="shared" si="39"/>
        <v>1.3275908731781535E-3</v>
      </c>
      <c r="V116" s="135">
        <f t="shared" si="39"/>
        <v>8.1108844622421162E-4</v>
      </c>
      <c r="W116" s="135">
        <f t="shared" si="39"/>
        <v>8.1108844622421162E-4</v>
      </c>
      <c r="X116" s="135">
        <f t="shared" si="39"/>
        <v>3.8647264707206992E-3</v>
      </c>
      <c r="Y116" s="135">
        <f t="shared" si="39"/>
        <v>4.31391379891604E-3</v>
      </c>
      <c r="Z116" s="135">
        <f t="shared" si="39"/>
        <v>5.1921488217211865E-3</v>
      </c>
      <c r="AA116" s="135">
        <f t="shared" si="39"/>
        <v>2.1935362783745455E-3</v>
      </c>
      <c r="AB116" s="135">
        <f t="shared" si="39"/>
        <v>3.7506195155591394E-3</v>
      </c>
      <c r="AC116" s="135">
        <f t="shared" si="39"/>
        <v>6.2181229309166749E-3</v>
      </c>
      <c r="AD116" s="135">
        <f t="shared" si="39"/>
        <v>7.5895989458861337E-3</v>
      </c>
      <c r="AE116" s="135">
        <f t="shared" si="39"/>
        <v>6.7799076465592514E-3</v>
      </c>
      <c r="AF116" s="135">
        <f t="shared" si="39"/>
        <v>5.8484938952052508E-3</v>
      </c>
      <c r="AG116" s="135">
        <f t="shared" si="39"/>
        <v>5.9032675938095163E-4</v>
      </c>
      <c r="AH116" s="135">
        <f t="shared" si="39"/>
        <v>7.8842740426465123E-4</v>
      </c>
      <c r="AI116" s="135">
        <f t="shared" si="39"/>
        <v>1.5474033623663278E-3</v>
      </c>
      <c r="AJ116" s="135">
        <f t="shared" si="39"/>
        <v>2.5718094400316387E-3</v>
      </c>
      <c r="AK116" s="135">
        <f t="shared" si="39"/>
        <v>3.7771057331229129E-3</v>
      </c>
      <c r="AL116" s="135">
        <f t="shared" si="39"/>
        <v>4.530508155939768E-3</v>
      </c>
      <c r="AM116" s="135">
        <f t="shared" si="39"/>
        <v>4.073365755902756E-3</v>
      </c>
      <c r="AN116" s="135">
        <f t="shared" si="39"/>
        <v>7.319616479004816E-3</v>
      </c>
      <c r="AO116" s="135">
        <f t="shared" si="39"/>
        <v>8.5395149621590657E-3</v>
      </c>
      <c r="AP116" s="135">
        <f t="shared" si="39"/>
        <v>8.2943268398907588E-3</v>
      </c>
      <c r="AQ116" s="135">
        <f t="shared" si="39"/>
        <v>7.8811248935518278E-3</v>
      </c>
      <c r="AR116" s="135">
        <f t="shared" si="39"/>
        <v>7.5873150234693088E-3</v>
      </c>
      <c r="AS116" s="135">
        <f t="shared" si="39"/>
        <v>7.5308162990628856E-3</v>
      </c>
      <c r="AT116" s="135">
        <f t="shared" si="39"/>
        <v>7.2364669497424709E-3</v>
      </c>
      <c r="AU116" s="135">
        <f t="shared" si="39"/>
        <v>7.3346781929260222E-3</v>
      </c>
      <c r="AV116" s="135">
        <f t="shared" si="39"/>
        <v>6.9620906706738019E-3</v>
      </c>
      <c r="AW116" s="135">
        <f t="shared" si="39"/>
        <v>7.3372135317532399E-3</v>
      </c>
      <c r="AX116" s="135">
        <f t="shared" si="39"/>
        <v>4.6150291321613648E-2</v>
      </c>
      <c r="AY116" s="135">
        <f t="shared" si="39"/>
        <v>4.615034417789729E-2</v>
      </c>
      <c r="AZ116" s="135">
        <f t="shared" si="39"/>
        <v>6.1863672060591006E-2</v>
      </c>
      <c r="BA116" s="135">
        <f t="shared" si="39"/>
        <v>8.2841949168169074E-2</v>
      </c>
      <c r="BB116" s="135">
        <f t="shared" si="39"/>
        <v>1.3074423387056187E-2</v>
      </c>
      <c r="BC116" s="135">
        <f t="shared" si="39"/>
        <v>11679.656467614608</v>
      </c>
      <c r="BD116" s="135">
        <f t="shared" si="39"/>
        <v>0.13987125951793039</v>
      </c>
      <c r="BE116" s="135">
        <f t="shared" si="39"/>
        <v>5.8270103841343733E-3</v>
      </c>
      <c r="BF116" s="135">
        <f t="shared" si="39"/>
        <v>5.8270103841343733E-3</v>
      </c>
      <c r="BG116" s="135">
        <f t="shared" si="39"/>
        <v>9.6979090487380685E-4</v>
      </c>
      <c r="BH116" s="135">
        <f t="shared" si="39"/>
        <v>7.4555686755564676E-2</v>
      </c>
      <c r="BI116" s="135">
        <f t="shared" si="39"/>
        <v>5.2387700995634619E-2</v>
      </c>
    </row>
    <row r="117" spans="1:61">
      <c r="A117" s="97"/>
      <c r="B117" s="97"/>
      <c r="C117" s="2433"/>
      <c r="D117" s="2434"/>
      <c r="E117" s="587" t="s">
        <v>680</v>
      </c>
      <c r="F117" s="62" t="s">
        <v>1116</v>
      </c>
      <c r="G117" s="107" t="s">
        <v>24</v>
      </c>
      <c r="H117" s="113">
        <f t="shared" ref="H117:BI117" si="40">H$25*H116</f>
        <v>3.692412449368888E-7</v>
      </c>
      <c r="I117" s="113">
        <f t="shared" si="40"/>
        <v>3.692412449368888E-7</v>
      </c>
      <c r="J117" s="113">
        <f>J$25*J116</f>
        <v>1.234009911507143E-6</v>
      </c>
      <c r="K117" s="113">
        <f t="shared" si="40"/>
        <v>3.6565353881278535E-5</v>
      </c>
      <c r="L117" s="113">
        <f t="shared" si="40"/>
        <v>2.858931237734876E-5</v>
      </c>
      <c r="M117" s="113">
        <f t="shared" si="40"/>
        <v>2.858931237734876E-5</v>
      </c>
      <c r="N117" s="113">
        <f>N$25*N116</f>
        <v>3.6565353881278535E-5</v>
      </c>
      <c r="O117" s="113">
        <f>O$25*O116</f>
        <v>3.6565353881278535E-5</v>
      </c>
      <c r="P117" s="113">
        <f t="shared" si="40"/>
        <v>3.6565353881278542E-5</v>
      </c>
      <c r="Q117" s="113">
        <f t="shared" si="40"/>
        <v>3.6565353881278542E-5</v>
      </c>
      <c r="R117" s="113">
        <f>R$25*R116</f>
        <v>3.6565353881278542E-5</v>
      </c>
      <c r="S117" s="113">
        <f>S$25*S116</f>
        <v>3.0792914658558284E-5</v>
      </c>
      <c r="T117" s="113">
        <f>T$25*T116</f>
        <v>3.0792914658558284E-5</v>
      </c>
      <c r="U117" s="113">
        <f t="shared" si="40"/>
        <v>3.6565353881278535E-5</v>
      </c>
      <c r="V117" s="113">
        <f t="shared" si="40"/>
        <v>3.6565353881278542E-5</v>
      </c>
      <c r="W117" s="113">
        <f t="shared" si="40"/>
        <v>3.6565353881278542E-5</v>
      </c>
      <c r="X117" s="113">
        <f t="shared" si="40"/>
        <v>3.3424342722675967E-5</v>
      </c>
      <c r="Y117" s="113">
        <f t="shared" si="40"/>
        <v>2.5857452540077402E-5</v>
      </c>
      <c r="Z117" s="113">
        <f t="shared" si="40"/>
        <v>1.8430722423808276E-5</v>
      </c>
      <c r="AA117" s="113">
        <f t="shared" si="40"/>
        <v>5.2236219830397911E-6</v>
      </c>
      <c r="AB117" s="113">
        <f t="shared" si="40"/>
        <v>1.0101394752083396E-5</v>
      </c>
      <c r="AC117" s="113">
        <f t="shared" si="40"/>
        <v>3.2679216352140629E-6</v>
      </c>
      <c r="AD117" s="113">
        <f t="shared" si="40"/>
        <v>7.8072104477101586E-7</v>
      </c>
      <c r="AE117" s="113">
        <f t="shared" si="40"/>
        <v>8.6964202904704048E-8</v>
      </c>
      <c r="AF117" s="113">
        <f t="shared" si="40"/>
        <v>3.10927271667067E-10</v>
      </c>
      <c r="AG117" s="113">
        <f t="shared" si="40"/>
        <v>3.6565353881278535E-5</v>
      </c>
      <c r="AH117" s="113">
        <f t="shared" si="40"/>
        <v>3.6565353881278542E-5</v>
      </c>
      <c r="AI117" s="113">
        <f t="shared" si="40"/>
        <v>2.9180614496692963E-5</v>
      </c>
      <c r="AJ117" s="113">
        <f t="shared" si="40"/>
        <v>1.1544772220473665E-5</v>
      </c>
      <c r="AK117" s="113">
        <f t="shared" si="40"/>
        <v>3.8653098722359329E-6</v>
      </c>
      <c r="AL117" s="113">
        <f t="shared" si="40"/>
        <v>3.5147419221332818E-7</v>
      </c>
      <c r="AM117" s="113">
        <f t="shared" si="40"/>
        <v>2.1875112640911231E-9</v>
      </c>
      <c r="AN117" s="113">
        <f t="shared" si="40"/>
        <v>3.1287748135006368E-7</v>
      </c>
      <c r="AO117" s="113">
        <f t="shared" si="40"/>
        <v>9.9693856117414661E-8</v>
      </c>
      <c r="AP117" s="113">
        <f t="shared" si="40"/>
        <v>1.6199418924777536E-7</v>
      </c>
      <c r="AQ117" s="113">
        <f t="shared" si="40"/>
        <v>6.2325960693145919E-8</v>
      </c>
      <c r="AR117" s="113">
        <f t="shared" si="40"/>
        <v>1.2013504647296882E-8</v>
      </c>
      <c r="AS117" s="113">
        <f t="shared" si="40"/>
        <v>1.5401334703911716E-8</v>
      </c>
      <c r="AT117" s="113">
        <f t="shared" si="40"/>
        <v>1.0802866509482691E-9</v>
      </c>
      <c r="AU117" s="113">
        <f t="shared" si="40"/>
        <v>1.0533524125131437E-9</v>
      </c>
      <c r="AV117" s="113">
        <f t="shared" si="40"/>
        <v>1.595099920952834E-10</v>
      </c>
      <c r="AW117" s="113">
        <f t="shared" si="40"/>
        <v>1.6198258956958727E-10</v>
      </c>
      <c r="AX117" s="113">
        <f t="shared" si="40"/>
        <v>3.5861773718772663E-11</v>
      </c>
      <c r="AY117" s="113">
        <f t="shared" si="40"/>
        <v>2.4611823439954716E-11</v>
      </c>
      <c r="AZ117" s="113">
        <f t="shared" si="40"/>
        <v>2.2031266940860178E-11</v>
      </c>
      <c r="BA117" s="113">
        <f t="shared" si="40"/>
        <v>5.0953275758857405E-12</v>
      </c>
      <c r="BB117" s="113">
        <f t="shared" si="40"/>
        <v>1.273264485163319E-11</v>
      </c>
      <c r="BC117" s="113">
        <f t="shared" si="40"/>
        <v>3.0216075097436458E-12</v>
      </c>
      <c r="BD117" s="113">
        <f t="shared" si="40"/>
        <v>1.3084558308015396E-7</v>
      </c>
      <c r="BE117" s="113">
        <f t="shared" si="40"/>
        <v>1.2098429846587517E-10</v>
      </c>
      <c r="BF117" s="113">
        <f t="shared" si="40"/>
        <v>1.2098429846587517E-10</v>
      </c>
      <c r="BG117" s="113">
        <f t="shared" si="40"/>
        <v>1.6454409246575344E-5</v>
      </c>
      <c r="BH117" s="113">
        <f t="shared" si="40"/>
        <v>9.2745730085847122E-8</v>
      </c>
      <c r="BI117" s="113">
        <f t="shared" si="40"/>
        <v>5.0423863770371778E-7</v>
      </c>
    </row>
    <row r="118" spans="1:61">
      <c r="A118" s="97"/>
      <c r="B118" s="97"/>
      <c r="C118" s="2433"/>
      <c r="D118" s="2434"/>
      <c r="E118" s="590" t="str">
        <f>E102</f>
        <v>Période enfant 0-6 ans (effets sans seuil)</v>
      </c>
      <c r="F118" s="62"/>
      <c r="G118" s="107"/>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row>
    <row r="119" spans="1:61" s="2446" customFormat="1">
      <c r="A119" s="2444"/>
      <c r="B119" s="2444"/>
      <c r="C119" s="2433"/>
      <c r="D119" s="2434"/>
      <c r="E119" s="2515" t="s">
        <v>1113</v>
      </c>
      <c r="F119" s="2449" t="s">
        <v>1115</v>
      </c>
      <c r="G119" s="2450" t="s">
        <v>206</v>
      </c>
      <c r="H119" s="236">
        <f>H114*H$35</f>
        <v>1.451024340706405E-2</v>
      </c>
      <c r="I119" s="236">
        <f t="shared" ref="I119:BI119" si="41">I114*I$35</f>
        <v>1.451024340706405E-2</v>
      </c>
      <c r="J119" s="236">
        <f>J114*J$35</f>
        <v>7.5609393253378227E-3</v>
      </c>
      <c r="K119" s="236">
        <f t="shared" si="41"/>
        <v>1.5815544924470293E-4</v>
      </c>
      <c r="L119" s="236">
        <f t="shared" si="41"/>
        <v>8.4590461860332522E-4</v>
      </c>
      <c r="M119" s="236">
        <f t="shared" si="41"/>
        <v>8.4590461860332522E-4</v>
      </c>
      <c r="N119" s="236">
        <f>N114*N$35</f>
        <v>4.2888979682979676E-4</v>
      </c>
      <c r="O119" s="236">
        <f>O114*O$35</f>
        <v>4.2888979682979676E-4</v>
      </c>
      <c r="P119" s="236">
        <f t="shared" si="41"/>
        <v>3.9284936984258025E-4</v>
      </c>
      <c r="Q119" s="236">
        <f t="shared" si="41"/>
        <v>3.9284936984258025E-4</v>
      </c>
      <c r="R119" s="236">
        <f>R114*R$35</f>
        <v>9.7730394374551783E-4</v>
      </c>
      <c r="S119" s="236">
        <f>S114*S$35</f>
        <v>1.0417066359977827E-3</v>
      </c>
      <c r="T119" s="236">
        <f>T114*T$35</f>
        <v>1.0417066359977827E-3</v>
      </c>
      <c r="U119" s="236">
        <f t="shared" si="41"/>
        <v>2.2126514552969222E-4</v>
      </c>
      <c r="V119" s="236">
        <f t="shared" si="41"/>
        <v>1.3518140770403525E-4</v>
      </c>
      <c r="W119" s="236">
        <f t="shared" si="41"/>
        <v>1.3518140770403525E-4</v>
      </c>
      <c r="X119" s="236">
        <f t="shared" si="41"/>
        <v>7.0465155804133464E-4</v>
      </c>
      <c r="Y119" s="236">
        <f t="shared" si="41"/>
        <v>1.0167267665302621E-3</v>
      </c>
      <c r="Z119" s="236">
        <f t="shared" si="41"/>
        <v>1.7168142292065217E-3</v>
      </c>
      <c r="AA119" s="236">
        <f t="shared" si="41"/>
        <v>2.559125658103636E-3</v>
      </c>
      <c r="AB119" s="236">
        <f t="shared" si="41"/>
        <v>1.7345439837976554E-3</v>
      </c>
      <c r="AC119" s="236">
        <f t="shared" si="41"/>
        <v>3.357696386979408E-3</v>
      </c>
      <c r="AD119" s="236">
        <f t="shared" si="41"/>
        <v>5.3659874252171315E-3</v>
      </c>
      <c r="AE119" s="236">
        <f t="shared" si="41"/>
        <v>6.3156730586265081E-3</v>
      </c>
      <c r="AF119" s="236">
        <f t="shared" si="41"/>
        <v>5.8468949080831625E-3</v>
      </c>
      <c r="AG119" s="236">
        <f t="shared" si="41"/>
        <v>9.8387793230158619E-5</v>
      </c>
      <c r="AH119" s="236">
        <f t="shared" si="41"/>
        <v>1.3140456737744188E-4</v>
      </c>
      <c r="AI119" s="236">
        <f t="shared" si="41"/>
        <v>3.2316746647229012E-4</v>
      </c>
      <c r="AJ119" s="236">
        <f t="shared" si="41"/>
        <v>1.1741271169265315E-3</v>
      </c>
      <c r="AK119" s="236">
        <f t="shared" si="41"/>
        <v>1.983144809204012E-3</v>
      </c>
      <c r="AL119" s="236">
        <f t="shared" si="41"/>
        <v>3.6588990911048994E-3</v>
      </c>
      <c r="AM119" s="236">
        <f t="shared" si="41"/>
        <v>4.0650363288452672E-3</v>
      </c>
      <c r="AN119" s="236">
        <f t="shared" si="41"/>
        <v>7.5684824966232188E-3</v>
      </c>
      <c r="AO119" s="236">
        <f t="shared" si="41"/>
        <v>7.8895240091426868E-3</v>
      </c>
      <c r="AP119" s="236">
        <f t="shared" si="41"/>
        <v>7.3624992986189349E-3</v>
      </c>
      <c r="AQ119" s="236">
        <f t="shared" si="41"/>
        <v>7.4805781614422978E-3</v>
      </c>
      <c r="AR119" s="236">
        <f t="shared" si="41"/>
        <v>7.506746778099347E-3</v>
      </c>
      <c r="AS119" s="236">
        <f t="shared" si="41"/>
        <v>7.4284175242843838E-3</v>
      </c>
      <c r="AT119" s="236">
        <f t="shared" si="41"/>
        <v>7.2298307272676025E-3</v>
      </c>
      <c r="AU119" s="236">
        <f t="shared" si="41"/>
        <v>7.3281858331639017E-3</v>
      </c>
      <c r="AV119" s="236">
        <f t="shared" si="41"/>
        <v>6.9612000673288012E-3</v>
      </c>
      <c r="AW119" s="236">
        <f t="shared" si="41"/>
        <v>7.3362918202346302E-3</v>
      </c>
      <c r="AX119" s="236">
        <f t="shared" si="41"/>
        <v>4.614944890866559E-2</v>
      </c>
      <c r="AY119" s="236">
        <f t="shared" si="41"/>
        <v>4.6149766023455961E-2</v>
      </c>
      <c r="AZ119" s="236">
        <f t="shared" si="41"/>
        <v>6.1862988344096655E-2</v>
      </c>
      <c r="BA119" s="236">
        <f t="shared" si="41"/>
        <v>8.2841740285970439E-2</v>
      </c>
      <c r="BB119" s="236">
        <f t="shared" si="41"/>
        <v>1.307432554251615E-2</v>
      </c>
      <c r="BC119" s="236">
        <f t="shared" si="41"/>
        <v>11679.639485192823</v>
      </c>
      <c r="BD119" s="236">
        <f t="shared" si="41"/>
        <v>0.13148206143310054</v>
      </c>
      <c r="BE119" s="236">
        <f t="shared" si="41"/>
        <v>5.8264216875158472E-3</v>
      </c>
      <c r="BF119" s="236">
        <f t="shared" si="41"/>
        <v>5.8264216875158472E-3</v>
      </c>
      <c r="BG119" s="236">
        <f t="shared" si="41"/>
        <v>1.6163181747896779E-4</v>
      </c>
      <c r="BH119" s="236">
        <f t="shared" si="41"/>
        <v>7.1176402846170703E-2</v>
      </c>
      <c r="BI119" s="236">
        <f t="shared" si="41"/>
        <v>5.443531137989184E-2</v>
      </c>
    </row>
    <row r="120" spans="1:61">
      <c r="A120" s="97"/>
      <c r="B120" s="97"/>
      <c r="C120" s="2433"/>
      <c r="D120" s="2434"/>
      <c r="E120" s="587"/>
      <c r="F120" s="62"/>
      <c r="G120" s="107"/>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row>
    <row r="121" spans="1:61">
      <c r="A121" s="97"/>
      <c r="B121" s="97"/>
      <c r="C121" s="2433"/>
      <c r="D121" s="2434"/>
      <c r="E121" s="145" t="s">
        <v>209</v>
      </c>
      <c r="F121" s="2465"/>
      <c r="G121" s="107"/>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row>
    <row r="122" spans="1:61">
      <c r="A122" s="97"/>
      <c r="B122" s="97"/>
      <c r="C122" s="2433" t="s">
        <v>267</v>
      </c>
      <c r="D122" s="2434"/>
      <c r="E122" s="616" t="s">
        <v>1159</v>
      </c>
      <c r="F122" s="18" t="s">
        <v>181</v>
      </c>
      <c r="G122" s="117" t="s">
        <v>182</v>
      </c>
      <c r="H122" s="163">
        <f>FEM!$H7+FEM!$H9</f>
        <v>24</v>
      </c>
      <c r="I122" s="163">
        <f>FEM!$H7+FEM!$H9</f>
        <v>24</v>
      </c>
      <c r="J122" s="163">
        <f>FEM!$H7+FEM!$H9</f>
        <v>24</v>
      </c>
      <c r="K122" s="163">
        <f>FEM!$H7+FEM!$H9</f>
        <v>24</v>
      </c>
      <c r="L122" s="163">
        <f>FEM!$H7+FEM!$H9</f>
        <v>24</v>
      </c>
      <c r="M122" s="163">
        <f>FEM!$H7+FEM!$H9</f>
        <v>24</v>
      </c>
      <c r="N122" s="163">
        <f>FEM!$H7+FEM!$H9</f>
        <v>24</v>
      </c>
      <c r="O122" s="163">
        <f>FEM!$H7+FEM!$H9</f>
        <v>24</v>
      </c>
      <c r="P122" s="163">
        <f>FEM!$H7+FEM!$H9</f>
        <v>24</v>
      </c>
      <c r="Q122" s="163">
        <f>FEM!$H7+FEM!$H9</f>
        <v>24</v>
      </c>
      <c r="R122" s="163">
        <f>FEM!$H7+FEM!$H9</f>
        <v>24</v>
      </c>
      <c r="S122" s="163">
        <f>FEM!$H7+FEM!$H9</f>
        <v>24</v>
      </c>
      <c r="T122" s="163">
        <f>FEM!$H7+FEM!$H9</f>
        <v>24</v>
      </c>
      <c r="U122" s="163">
        <f>FEM!$H7+FEM!$H9</f>
        <v>24</v>
      </c>
      <c r="V122" s="163">
        <f>FEM!$H7+FEM!$H9</f>
        <v>24</v>
      </c>
      <c r="W122" s="163">
        <f>FEM!$H7+FEM!$H9</f>
        <v>24</v>
      </c>
      <c r="X122" s="163">
        <f>FEM!$H7+FEM!$H9</f>
        <v>24</v>
      </c>
      <c r="Y122" s="163">
        <f>FEM!$H7+FEM!$H9</f>
        <v>24</v>
      </c>
      <c r="Z122" s="163">
        <f>FEM!$H7+FEM!$H9</f>
        <v>24</v>
      </c>
      <c r="AA122" s="163">
        <f>FEM!$H7+FEM!$H9</f>
        <v>24</v>
      </c>
      <c r="AB122" s="163">
        <f>FEM!$H7+FEM!$H9</f>
        <v>24</v>
      </c>
      <c r="AC122" s="163">
        <f>FEM!$H7+FEM!$H9</f>
        <v>24</v>
      </c>
      <c r="AD122" s="163">
        <f>FEM!$H7+FEM!$H9</f>
        <v>24</v>
      </c>
      <c r="AE122" s="163">
        <f>FEM!$H7+FEM!$H9</f>
        <v>24</v>
      </c>
      <c r="AF122" s="163">
        <f>FEM!$H7+FEM!$H9</f>
        <v>24</v>
      </c>
      <c r="AG122" s="163">
        <f>FEM!$H7+FEM!$H9</f>
        <v>24</v>
      </c>
      <c r="AH122" s="163">
        <f>FEM!$H7+FEM!$H9</f>
        <v>24</v>
      </c>
      <c r="AI122" s="163">
        <f>FEM!$H7+FEM!$H9</f>
        <v>24</v>
      </c>
      <c r="AJ122" s="163">
        <f>FEM!$H7+FEM!$H9</f>
        <v>24</v>
      </c>
      <c r="AK122" s="163">
        <f>FEM!$H7+FEM!$H9</f>
        <v>24</v>
      </c>
      <c r="AL122" s="163">
        <f>FEM!$H7+FEM!$H9</f>
        <v>24</v>
      </c>
      <c r="AM122" s="163">
        <f>FEM!$H7+FEM!$H9</f>
        <v>24</v>
      </c>
      <c r="AN122" s="163">
        <f>FEM!$H7+FEM!$H9</f>
        <v>24</v>
      </c>
      <c r="AO122" s="163">
        <f>FEM!$H7+FEM!$H9</f>
        <v>24</v>
      </c>
      <c r="AP122" s="163">
        <f>FEM!$H7+FEM!$H9</f>
        <v>24</v>
      </c>
      <c r="AQ122" s="163">
        <f>FEM!$H7+FEM!$H9</f>
        <v>24</v>
      </c>
      <c r="AR122" s="163">
        <f>FEM!$H7+FEM!$H9</f>
        <v>24</v>
      </c>
      <c r="AS122" s="163">
        <f>FEM!$H7+FEM!$H9</f>
        <v>24</v>
      </c>
      <c r="AT122" s="163">
        <f>FEM!$H7+FEM!$H9</f>
        <v>24</v>
      </c>
      <c r="AU122" s="163">
        <f>FEM!$H7+FEM!$H9</f>
        <v>24</v>
      </c>
      <c r="AV122" s="163">
        <f>FEM!$H7+FEM!$H9</f>
        <v>24</v>
      </c>
      <c r="AW122" s="163">
        <f>FEM!$H7+FEM!$H9</f>
        <v>24</v>
      </c>
      <c r="AX122" s="163">
        <f>FEM!$H7+FEM!$H9</f>
        <v>24</v>
      </c>
      <c r="AY122" s="163">
        <f>FEM!$H7+FEM!$H9</f>
        <v>24</v>
      </c>
      <c r="AZ122" s="163">
        <f>FEM!$H7+FEM!$H9</f>
        <v>24</v>
      </c>
      <c r="BA122" s="163">
        <f>FEM!$H7+FEM!$H9</f>
        <v>24</v>
      </c>
      <c r="BB122" s="163">
        <f>FEM!$H7+FEM!$H9</f>
        <v>24</v>
      </c>
      <c r="BC122" s="163">
        <f>FEM!$H7+FEM!$H9</f>
        <v>24</v>
      </c>
      <c r="BD122" s="163">
        <f>FEM!$H7+FEM!$H9</f>
        <v>24</v>
      </c>
      <c r="BE122" s="163">
        <f>FEM!$H7+FEM!$H9</f>
        <v>24</v>
      </c>
      <c r="BF122" s="163">
        <f>FEM!$H7+FEM!$H9</f>
        <v>24</v>
      </c>
      <c r="BG122" s="163">
        <f>FEM!$H7+FEM!$H9</f>
        <v>24</v>
      </c>
      <c r="BH122" s="163">
        <f>FEM!$H7+FEM!$H9</f>
        <v>24</v>
      </c>
      <c r="BI122" s="163">
        <f>FEM!$H7+FEM!$H9</f>
        <v>24</v>
      </c>
    </row>
    <row r="123" spans="1:61" s="41" customFormat="1">
      <c r="A123" s="100"/>
      <c r="B123" s="154"/>
      <c r="C123" s="2433"/>
      <c r="D123" s="2434"/>
      <c r="E123" s="616" t="s">
        <v>1159</v>
      </c>
      <c r="F123" s="18" t="s">
        <v>210</v>
      </c>
      <c r="G123" s="117" t="s">
        <v>182</v>
      </c>
      <c r="H123" s="163">
        <f>FEM!$I7+FEM!$I9</f>
        <v>2.0571428571428574</v>
      </c>
      <c r="I123" s="163">
        <f>FEM!$I7+FEM!$I9</f>
        <v>2.0571428571428574</v>
      </c>
      <c r="J123" s="163">
        <f>FEM!$I7+FEM!$I9</f>
        <v>2.0571428571428574</v>
      </c>
      <c r="K123" s="163">
        <f>FEM!$I7+FEM!$I9</f>
        <v>2.0571428571428574</v>
      </c>
      <c r="L123" s="163">
        <f>FEM!$I7+FEM!$I9</f>
        <v>2.0571428571428574</v>
      </c>
      <c r="M123" s="163">
        <f>FEM!$I7+FEM!$I9</f>
        <v>2.0571428571428574</v>
      </c>
      <c r="N123" s="163">
        <f>FEM!$I7+FEM!$I9</f>
        <v>2.0571428571428574</v>
      </c>
      <c r="O123" s="163">
        <f>FEM!$I7+FEM!$I9</f>
        <v>2.0571428571428574</v>
      </c>
      <c r="P123" s="163">
        <f>FEM!$I7+FEM!$I9</f>
        <v>2.0571428571428574</v>
      </c>
      <c r="Q123" s="163">
        <f>FEM!$I7+FEM!$I9</f>
        <v>2.0571428571428574</v>
      </c>
      <c r="R123" s="163">
        <f>FEM!$I7+FEM!$I9</f>
        <v>2.0571428571428574</v>
      </c>
      <c r="S123" s="163">
        <f>FEM!$I7+FEM!$I9</f>
        <v>2.0571428571428574</v>
      </c>
      <c r="T123" s="163">
        <f>FEM!$I7+FEM!$I9</f>
        <v>2.0571428571428574</v>
      </c>
      <c r="U123" s="163">
        <f>FEM!$I7+FEM!$I9</f>
        <v>2.0571428571428574</v>
      </c>
      <c r="V123" s="163">
        <f>FEM!$I7+FEM!$I9</f>
        <v>2.0571428571428574</v>
      </c>
      <c r="W123" s="163">
        <f>FEM!$I7+FEM!$I9</f>
        <v>2.0571428571428574</v>
      </c>
      <c r="X123" s="163">
        <f>FEM!$I7+FEM!$I9</f>
        <v>2.0571428571428574</v>
      </c>
      <c r="Y123" s="163">
        <f>FEM!$I7+FEM!$I9</f>
        <v>2.0571428571428574</v>
      </c>
      <c r="Z123" s="163">
        <f>FEM!$I7+FEM!$I9</f>
        <v>2.0571428571428574</v>
      </c>
      <c r="AA123" s="163">
        <f>FEM!$I7+FEM!$I9</f>
        <v>2.0571428571428574</v>
      </c>
      <c r="AB123" s="163">
        <f>FEM!$I7+FEM!$I9</f>
        <v>2.0571428571428574</v>
      </c>
      <c r="AC123" s="163">
        <f>FEM!$I7+FEM!$I9</f>
        <v>2.0571428571428574</v>
      </c>
      <c r="AD123" s="163">
        <f>FEM!$I7+FEM!$I9</f>
        <v>2.0571428571428574</v>
      </c>
      <c r="AE123" s="163">
        <f>FEM!$I7+FEM!$I9</f>
        <v>2.0571428571428574</v>
      </c>
      <c r="AF123" s="163">
        <f>FEM!$I7+FEM!$I9</f>
        <v>2.0571428571428574</v>
      </c>
      <c r="AG123" s="163">
        <f>FEM!$I7+FEM!$I9</f>
        <v>2.0571428571428574</v>
      </c>
      <c r="AH123" s="163">
        <f>FEM!$I7+FEM!$I9</f>
        <v>2.0571428571428574</v>
      </c>
      <c r="AI123" s="163">
        <f>FEM!$I7+FEM!$I9</f>
        <v>2.0571428571428574</v>
      </c>
      <c r="AJ123" s="163">
        <f>FEM!$I7+FEM!$I9</f>
        <v>2.0571428571428574</v>
      </c>
      <c r="AK123" s="163">
        <f>FEM!$I7+FEM!$I9</f>
        <v>2.0571428571428574</v>
      </c>
      <c r="AL123" s="163">
        <f>FEM!$I7+FEM!$I9</f>
        <v>2.0571428571428574</v>
      </c>
      <c r="AM123" s="163">
        <f>FEM!$I7+FEM!$I9</f>
        <v>2.0571428571428574</v>
      </c>
      <c r="AN123" s="163">
        <f>FEM!$I7+FEM!$I9</f>
        <v>2.0571428571428574</v>
      </c>
      <c r="AO123" s="163">
        <f>FEM!$I7+FEM!$I9</f>
        <v>2.0571428571428574</v>
      </c>
      <c r="AP123" s="163">
        <f>FEM!$I7+FEM!$I9</f>
        <v>2.0571428571428574</v>
      </c>
      <c r="AQ123" s="163">
        <f>FEM!$I7+FEM!$I9</f>
        <v>2.0571428571428574</v>
      </c>
      <c r="AR123" s="163">
        <f>FEM!$I7+FEM!$I9</f>
        <v>2.0571428571428574</v>
      </c>
      <c r="AS123" s="163">
        <f>FEM!$I7+FEM!$I9</f>
        <v>2.0571428571428574</v>
      </c>
      <c r="AT123" s="163">
        <f>FEM!$I7+FEM!$I9</f>
        <v>2.0571428571428574</v>
      </c>
      <c r="AU123" s="163">
        <f>FEM!$I7+FEM!$I9</f>
        <v>2.0571428571428574</v>
      </c>
      <c r="AV123" s="163">
        <f>FEM!$I7+FEM!$I9</f>
        <v>2.0571428571428574</v>
      </c>
      <c r="AW123" s="163">
        <f>FEM!$I7+FEM!$I9</f>
        <v>2.0571428571428574</v>
      </c>
      <c r="AX123" s="163">
        <f>FEM!$I7+FEM!$I9</f>
        <v>2.0571428571428574</v>
      </c>
      <c r="AY123" s="163">
        <f>FEM!$I7+FEM!$I9</f>
        <v>2.0571428571428574</v>
      </c>
      <c r="AZ123" s="163">
        <f>FEM!$I7+FEM!$I9</f>
        <v>2.0571428571428574</v>
      </c>
      <c r="BA123" s="163">
        <f>FEM!$I7+FEM!$I9</f>
        <v>2.0571428571428574</v>
      </c>
      <c r="BB123" s="163">
        <f>FEM!$I7+FEM!$I9</f>
        <v>2.0571428571428574</v>
      </c>
      <c r="BC123" s="163">
        <f>FEM!$I7+FEM!$I9</f>
        <v>2.0571428571428574</v>
      </c>
      <c r="BD123" s="163">
        <f>FEM!$I7+FEM!$I9</f>
        <v>2.0571428571428574</v>
      </c>
      <c r="BE123" s="163">
        <f>FEM!$I7+FEM!$I9</f>
        <v>2.0571428571428574</v>
      </c>
      <c r="BF123" s="163">
        <f>FEM!$I7+FEM!$I9</f>
        <v>2.0571428571428574</v>
      </c>
      <c r="BG123" s="163">
        <f>FEM!$I7+FEM!$I9</f>
        <v>2.0571428571428574</v>
      </c>
      <c r="BH123" s="163">
        <f>FEM!$I7+FEM!$I9</f>
        <v>2.0571428571428574</v>
      </c>
      <c r="BI123" s="163">
        <f>FEM!$I7+FEM!$I9</f>
        <v>2.0571428571428574</v>
      </c>
    </row>
    <row r="124" spans="1:61" s="2464" customFormat="1">
      <c r="A124" s="2461"/>
      <c r="B124" s="2462"/>
      <c r="C124" s="2433"/>
      <c r="D124" s="2434"/>
      <c r="E124" s="2516" t="s">
        <v>1183</v>
      </c>
      <c r="F124" s="2441" t="s">
        <v>1155</v>
      </c>
      <c r="G124" s="2431" t="s">
        <v>1156</v>
      </c>
      <c r="H124" s="2463">
        <f>IF(H$10&gt;0,H122/24/H$10,0)</f>
        <v>5</v>
      </c>
      <c r="I124" s="2463">
        <f t="shared" ref="I124:BI124" si="42">IF(I$10&gt;0,I122/24/I$10,0)</f>
        <v>5</v>
      </c>
      <c r="J124" s="2463">
        <f>IF(J$10&gt;0,J122/24/J$10,0)</f>
        <v>0.2</v>
      </c>
      <c r="K124" s="2463">
        <f t="shared" si="42"/>
        <v>17.857142857142858</v>
      </c>
      <c r="L124" s="2463">
        <f t="shared" si="42"/>
        <v>16.666666666666668</v>
      </c>
      <c r="M124" s="2463">
        <f t="shared" si="42"/>
        <v>16.666666666666668</v>
      </c>
      <c r="N124" s="2463">
        <f>IF(N$10&gt;0,N122/24/N$10,0)</f>
        <v>5</v>
      </c>
      <c r="O124" s="2463">
        <f>IF(O$10&gt;0,O122/24/O$10,0)</f>
        <v>5</v>
      </c>
      <c r="P124" s="2463">
        <f t="shared" si="42"/>
        <v>28.571428571428569</v>
      </c>
      <c r="Q124" s="2463">
        <f t="shared" si="42"/>
        <v>28.571428571428569</v>
      </c>
      <c r="R124" s="2463">
        <f>IF(R$10&gt;0,R122/24/R$10,0)</f>
        <v>2.5</v>
      </c>
      <c r="S124" s="2463">
        <f>IF(S$10&gt;0,S122/24/S$10,0)</f>
        <v>15.873015873015873</v>
      </c>
      <c r="T124" s="2463">
        <f>IF(T$10&gt;0,T122/24/T$10,0)</f>
        <v>15.873015873015873</v>
      </c>
      <c r="U124" s="2463">
        <f t="shared" si="42"/>
        <v>26.315789473684212</v>
      </c>
      <c r="V124" s="2463">
        <f t="shared" si="42"/>
        <v>1</v>
      </c>
      <c r="W124" s="2463">
        <f t="shared" si="42"/>
        <v>1</v>
      </c>
      <c r="X124" s="2463">
        <f t="shared" si="42"/>
        <v>104.16666666666666</v>
      </c>
      <c r="Y124" s="2463">
        <f t="shared" si="42"/>
        <v>3.8461538461538458</v>
      </c>
      <c r="Z124" s="2463">
        <f t="shared" si="42"/>
        <v>3.773584905660377</v>
      </c>
      <c r="AA124" s="2463">
        <f t="shared" si="42"/>
        <v>10</v>
      </c>
      <c r="AB124" s="2463">
        <f t="shared" si="42"/>
        <v>5</v>
      </c>
      <c r="AC124" s="2463">
        <f t="shared" si="42"/>
        <v>5</v>
      </c>
      <c r="AD124" s="2463">
        <f t="shared" si="42"/>
        <v>5</v>
      </c>
      <c r="AE124" s="2463">
        <f t="shared" si="42"/>
        <v>0</v>
      </c>
      <c r="AF124" s="2463">
        <f t="shared" si="42"/>
        <v>0</v>
      </c>
      <c r="AG124" s="2463">
        <f t="shared" si="42"/>
        <v>5.4347826086956527E-2</v>
      </c>
      <c r="AH124" s="2463">
        <f t="shared" si="42"/>
        <v>5.4347826086956527E-2</v>
      </c>
      <c r="AI124" s="2463">
        <f t="shared" si="42"/>
        <v>1</v>
      </c>
      <c r="AJ124" s="2463">
        <f t="shared" si="42"/>
        <v>1</v>
      </c>
      <c r="AK124" s="2463">
        <f t="shared" si="42"/>
        <v>1</v>
      </c>
      <c r="AL124" s="2463">
        <f t="shared" si="42"/>
        <v>0</v>
      </c>
      <c r="AM124" s="2463">
        <f t="shared" si="42"/>
        <v>0</v>
      </c>
      <c r="AN124" s="2463">
        <f t="shared" si="42"/>
        <v>333.33333333333331</v>
      </c>
      <c r="AO124" s="2463">
        <f t="shared" si="42"/>
        <v>0</v>
      </c>
      <c r="AP124" s="2463">
        <f t="shared" si="42"/>
        <v>0</v>
      </c>
      <c r="AQ124" s="2463">
        <f t="shared" si="42"/>
        <v>0</v>
      </c>
      <c r="AR124" s="2463">
        <f t="shared" si="42"/>
        <v>0</v>
      </c>
      <c r="AS124" s="2463">
        <f t="shared" si="42"/>
        <v>0</v>
      </c>
      <c r="AT124" s="2463">
        <f t="shared" si="42"/>
        <v>0</v>
      </c>
      <c r="AU124" s="2463">
        <f t="shared" si="42"/>
        <v>0</v>
      </c>
      <c r="AV124" s="2463">
        <f t="shared" si="42"/>
        <v>0</v>
      </c>
      <c r="AW124" s="2463">
        <f t="shared" si="42"/>
        <v>0</v>
      </c>
      <c r="AX124" s="2463">
        <f t="shared" si="42"/>
        <v>0</v>
      </c>
      <c r="AY124" s="2463">
        <f t="shared" si="42"/>
        <v>0</v>
      </c>
      <c r="AZ124" s="2463">
        <f t="shared" si="42"/>
        <v>0</v>
      </c>
      <c r="BA124" s="2463">
        <f t="shared" si="42"/>
        <v>0</v>
      </c>
      <c r="BB124" s="2463">
        <f t="shared" si="42"/>
        <v>0</v>
      </c>
      <c r="BC124" s="2463">
        <f t="shared" si="42"/>
        <v>0</v>
      </c>
      <c r="BD124" s="2463">
        <f t="shared" si="42"/>
        <v>50</v>
      </c>
      <c r="BE124" s="2463">
        <f t="shared" si="42"/>
        <v>2000</v>
      </c>
      <c r="BF124" s="2463">
        <f t="shared" si="42"/>
        <v>1000</v>
      </c>
      <c r="BG124" s="2463">
        <f t="shared" si="42"/>
        <v>33333.333333333336</v>
      </c>
      <c r="BH124" s="2463">
        <f t="shared" si="42"/>
        <v>3166.6666666666661</v>
      </c>
      <c r="BI124" s="2463">
        <f t="shared" si="42"/>
        <v>1250</v>
      </c>
    </row>
    <row r="125" spans="1:61" s="2464" customFormat="1">
      <c r="A125" s="2462"/>
      <c r="B125" s="2462"/>
      <c r="C125" s="2433"/>
      <c r="D125" s="2434"/>
      <c r="E125" s="2516" t="s">
        <v>1181</v>
      </c>
      <c r="F125" s="2441" t="s">
        <v>211</v>
      </c>
      <c r="G125" s="2431" t="s">
        <v>212</v>
      </c>
      <c r="H125" s="2442">
        <f t="shared" ref="H125:AM125" si="43">H123/24*H$11</f>
        <v>0</v>
      </c>
      <c r="I125" s="2442">
        <f t="shared" si="43"/>
        <v>0</v>
      </c>
      <c r="J125" s="2442">
        <f t="shared" si="43"/>
        <v>0</v>
      </c>
      <c r="K125" s="2442">
        <f t="shared" si="43"/>
        <v>8.5714285714285726E-5</v>
      </c>
      <c r="L125" s="2442">
        <f t="shared" si="43"/>
        <v>0</v>
      </c>
      <c r="M125" s="2442">
        <f t="shared" si="43"/>
        <v>0</v>
      </c>
      <c r="N125" s="2442">
        <f t="shared" si="43"/>
        <v>1.7142857142857145E-4</v>
      </c>
      <c r="O125" s="2442">
        <f t="shared" si="43"/>
        <v>1.7142857142857145E-4</v>
      </c>
      <c r="P125" s="2442">
        <f t="shared" si="43"/>
        <v>5.0571428571428577E-4</v>
      </c>
      <c r="Q125" s="2442">
        <f t="shared" si="43"/>
        <v>5.0571428571428577E-4</v>
      </c>
      <c r="R125" s="2442">
        <f t="shared" si="43"/>
        <v>8.5714285714285726E-5</v>
      </c>
      <c r="S125" s="2442">
        <f t="shared" si="43"/>
        <v>1.9714285714285719E-3</v>
      </c>
      <c r="T125" s="2442">
        <f t="shared" si="43"/>
        <v>1.9714285714285719E-3</v>
      </c>
      <c r="U125" s="2442">
        <f t="shared" si="43"/>
        <v>3.6000000000000008E-3</v>
      </c>
      <c r="V125" s="2442">
        <f t="shared" si="43"/>
        <v>0</v>
      </c>
      <c r="W125" s="2442">
        <f t="shared" si="43"/>
        <v>0</v>
      </c>
      <c r="X125" s="2442">
        <f t="shared" si="43"/>
        <v>5.1428571428571441E-4</v>
      </c>
      <c r="Y125" s="2442">
        <f t="shared" si="43"/>
        <v>0</v>
      </c>
      <c r="Z125" s="2442">
        <f t="shared" si="43"/>
        <v>2.1428571428571433E-4</v>
      </c>
      <c r="AA125" s="2442">
        <f t="shared" si="43"/>
        <v>0</v>
      </c>
      <c r="AB125" s="2442">
        <f t="shared" si="43"/>
        <v>0</v>
      </c>
      <c r="AC125" s="2442">
        <f t="shared" si="43"/>
        <v>0</v>
      </c>
      <c r="AD125" s="2442">
        <f t="shared" si="43"/>
        <v>0</v>
      </c>
      <c r="AE125" s="2442">
        <f t="shared" si="43"/>
        <v>0</v>
      </c>
      <c r="AF125" s="2442">
        <f t="shared" si="43"/>
        <v>0</v>
      </c>
      <c r="AG125" s="2442">
        <f t="shared" si="43"/>
        <v>0</v>
      </c>
      <c r="AH125" s="2442">
        <f t="shared" si="43"/>
        <v>0</v>
      </c>
      <c r="AI125" s="2442">
        <f t="shared" si="43"/>
        <v>0</v>
      </c>
      <c r="AJ125" s="2442">
        <f t="shared" si="43"/>
        <v>0</v>
      </c>
      <c r="AK125" s="2442">
        <f t="shared" si="43"/>
        <v>0</v>
      </c>
      <c r="AL125" s="2442">
        <f t="shared" si="43"/>
        <v>0</v>
      </c>
      <c r="AM125" s="2442">
        <f t="shared" si="43"/>
        <v>0</v>
      </c>
      <c r="AN125" s="2442">
        <f t="shared" ref="AN125:BI125" si="44">AN123/24*AN$11</f>
        <v>2.9142857142857152E-3</v>
      </c>
      <c r="AO125" s="2442">
        <f t="shared" si="44"/>
        <v>9.4285714285714312E-5</v>
      </c>
      <c r="AP125" s="2442">
        <f t="shared" si="44"/>
        <v>9.4285714285714312E-5</v>
      </c>
      <c r="AQ125" s="2442">
        <f t="shared" si="44"/>
        <v>9.4285714285714312E-5</v>
      </c>
      <c r="AR125" s="2442">
        <f t="shared" si="44"/>
        <v>9.4285714285714312E-5</v>
      </c>
      <c r="AS125" s="2442">
        <f t="shared" si="44"/>
        <v>9.4285714285714307E-4</v>
      </c>
      <c r="AT125" s="2442">
        <f t="shared" si="44"/>
        <v>9.4285714285714312E-5</v>
      </c>
      <c r="AU125" s="2442">
        <f t="shared" si="44"/>
        <v>9.4285714285714312E-5</v>
      </c>
      <c r="AV125" s="2442">
        <f t="shared" si="44"/>
        <v>9.428571428571432E-3</v>
      </c>
      <c r="AW125" s="2442">
        <f t="shared" si="44"/>
        <v>9.4285714285714307E-4</v>
      </c>
      <c r="AX125" s="2442">
        <f t="shared" si="44"/>
        <v>9.428571428571432E-3</v>
      </c>
      <c r="AY125" s="2442">
        <f t="shared" si="44"/>
        <v>9.428571428571432E-3</v>
      </c>
      <c r="AZ125" s="2442">
        <f t="shared" si="44"/>
        <v>9.4285714285714306E-2</v>
      </c>
      <c r="BA125" s="2442">
        <f t="shared" si="44"/>
        <v>9.4285714285714306E-2</v>
      </c>
      <c r="BB125" s="2442">
        <f t="shared" si="44"/>
        <v>9.4285714285714307E-4</v>
      </c>
      <c r="BC125" s="2442">
        <f t="shared" si="44"/>
        <v>9.428571428571432E-3</v>
      </c>
      <c r="BD125" s="2442">
        <f t="shared" si="44"/>
        <v>0</v>
      </c>
      <c r="BE125" s="2442">
        <f t="shared" si="44"/>
        <v>9.7714285714285726E-2</v>
      </c>
      <c r="BF125" s="2442">
        <f t="shared" si="44"/>
        <v>4.8857142857142863E-2</v>
      </c>
      <c r="BG125" s="2442">
        <f t="shared" si="44"/>
        <v>0</v>
      </c>
      <c r="BH125" s="2442">
        <f t="shared" si="44"/>
        <v>0</v>
      </c>
      <c r="BI125" s="2442">
        <f t="shared" si="44"/>
        <v>0</v>
      </c>
    </row>
    <row r="126" spans="1:61" s="2476" customFormat="1">
      <c r="A126" s="2462"/>
      <c r="B126" s="2462"/>
      <c r="C126" s="2433"/>
      <c r="D126" s="2434"/>
      <c r="E126" s="2516" t="s">
        <v>1184</v>
      </c>
      <c r="F126" s="2465" t="s">
        <v>1158</v>
      </c>
      <c r="G126" s="2431" t="s">
        <v>1157</v>
      </c>
      <c r="H126" s="2442">
        <f>H$55*H124</f>
        <v>0.13673809695900599</v>
      </c>
      <c r="I126" s="2442">
        <f t="shared" ref="I126:BI126" si="45">I$55*I124</f>
        <v>0.13673809695900599</v>
      </c>
      <c r="J126" s="2442">
        <f>J$55*J124</f>
        <v>2.7844704639598088E-3</v>
      </c>
      <c r="K126" s="2442">
        <f t="shared" si="45"/>
        <v>3.3063856984955321E-2</v>
      </c>
      <c r="L126" s="2442">
        <f t="shared" si="45"/>
        <v>0.12905102416554659</v>
      </c>
      <c r="M126" s="2442">
        <f t="shared" si="45"/>
        <v>0.12905102416554659</v>
      </c>
      <c r="N126" s="2442">
        <f>N$55*N124</f>
        <v>2.5105744204671033E-2</v>
      </c>
      <c r="O126" s="2442">
        <f>O$55*O124</f>
        <v>2.5105744204671033E-2</v>
      </c>
      <c r="P126" s="2442">
        <f t="shared" si="45"/>
        <v>0.13140606099264007</v>
      </c>
      <c r="Q126" s="2442">
        <f t="shared" si="45"/>
        <v>0.13140606099264007</v>
      </c>
      <c r="R126" s="2442">
        <f>R$55*R124</f>
        <v>2.8604017865722472E-2</v>
      </c>
      <c r="S126" s="2442">
        <f>S$55*S124</f>
        <v>0.16302089736359085</v>
      </c>
      <c r="T126" s="2442">
        <f>T$55*T124</f>
        <v>0.16302089736359085</v>
      </c>
      <c r="U126" s="2442">
        <f t="shared" si="45"/>
        <v>6.8168979367299293E-2</v>
      </c>
      <c r="V126" s="2442">
        <f t="shared" si="45"/>
        <v>1.5826116023887056E-3</v>
      </c>
      <c r="W126" s="2442">
        <f t="shared" si="45"/>
        <v>1.5826116023887056E-3</v>
      </c>
      <c r="X126" s="2442">
        <f t="shared" si="45"/>
        <v>0.78551351030908512</v>
      </c>
      <c r="Y126" s="2442">
        <f t="shared" si="45"/>
        <v>3.2374587609126003E-2</v>
      </c>
      <c r="Z126" s="2442">
        <f t="shared" si="45"/>
        <v>3.8230272042125618E-2</v>
      </c>
      <c r="AA126" s="2442">
        <f t="shared" si="45"/>
        <v>4.2800707870722834E-2</v>
      </c>
      <c r="AB126" s="2442">
        <f t="shared" si="45"/>
        <v>3.6591409907894043E-2</v>
      </c>
      <c r="AC126" s="2442">
        <f t="shared" si="45"/>
        <v>6.0664613960162692E-2</v>
      </c>
      <c r="AD126" s="2442">
        <f t="shared" si="45"/>
        <v>7.4044867764742769E-2</v>
      </c>
      <c r="AE126" s="2442">
        <f t="shared" si="45"/>
        <v>0</v>
      </c>
      <c r="AF126" s="2442">
        <f t="shared" si="45"/>
        <v>0</v>
      </c>
      <c r="AG126" s="2442">
        <f t="shared" si="45"/>
        <v>6.2600928884512375E-5</v>
      </c>
      <c r="AH126" s="2442">
        <f t="shared" si="45"/>
        <v>8.3608420388616255E-5</v>
      </c>
      <c r="AI126" s="2442">
        <f t="shared" si="45"/>
        <v>3.0193236338855178E-3</v>
      </c>
      <c r="AJ126" s="2442">
        <f t="shared" si="45"/>
        <v>5.0181647610373437E-3</v>
      </c>
      <c r="AK126" s="2442">
        <f t="shared" si="45"/>
        <v>7.3699624060934886E-3</v>
      </c>
      <c r="AL126" s="2442">
        <f t="shared" si="45"/>
        <v>0</v>
      </c>
      <c r="AM126" s="2442">
        <f t="shared" si="45"/>
        <v>0</v>
      </c>
      <c r="AN126" s="2442">
        <f t="shared" si="45"/>
        <v>4.7607261652063837</v>
      </c>
      <c r="AO126" s="2442">
        <f t="shared" si="45"/>
        <v>0</v>
      </c>
      <c r="AP126" s="2442">
        <f t="shared" si="45"/>
        <v>0</v>
      </c>
      <c r="AQ126" s="2442">
        <f t="shared" si="45"/>
        <v>0</v>
      </c>
      <c r="AR126" s="2442">
        <f t="shared" si="45"/>
        <v>0</v>
      </c>
      <c r="AS126" s="2442">
        <f t="shared" si="45"/>
        <v>0</v>
      </c>
      <c r="AT126" s="2442">
        <f t="shared" si="45"/>
        <v>0</v>
      </c>
      <c r="AU126" s="2442">
        <f t="shared" si="45"/>
        <v>0</v>
      </c>
      <c r="AV126" s="2442">
        <f t="shared" si="45"/>
        <v>0</v>
      </c>
      <c r="AW126" s="2442">
        <f t="shared" si="45"/>
        <v>0</v>
      </c>
      <c r="AX126" s="2442">
        <f t="shared" si="45"/>
        <v>0</v>
      </c>
      <c r="AY126" s="2442">
        <f t="shared" si="45"/>
        <v>0</v>
      </c>
      <c r="AZ126" s="2442">
        <f t="shared" si="45"/>
        <v>0</v>
      </c>
      <c r="BA126" s="2442">
        <f t="shared" si="45"/>
        <v>0</v>
      </c>
      <c r="BB126" s="2442">
        <f t="shared" si="45"/>
        <v>0</v>
      </c>
      <c r="BC126" s="2442">
        <f t="shared" si="45"/>
        <v>0</v>
      </c>
      <c r="BD126" s="2442">
        <f t="shared" si="45"/>
        <v>13.645976538334672</v>
      </c>
      <c r="BE126" s="2442">
        <f t="shared" si="45"/>
        <v>22.739552718573165</v>
      </c>
      <c r="BF126" s="2442">
        <f t="shared" si="45"/>
        <v>11.369776359286583</v>
      </c>
      <c r="BG126" s="2442">
        <f t="shared" si="45"/>
        <v>63.075831211304518</v>
      </c>
      <c r="BH126" s="2442">
        <f t="shared" si="45"/>
        <v>460.66928401812316</v>
      </c>
      <c r="BI126" s="2442">
        <f t="shared" si="45"/>
        <v>127.77488047715762</v>
      </c>
    </row>
    <row r="127" spans="1:61" s="2476" customFormat="1">
      <c r="A127" s="2462"/>
      <c r="B127" s="2462"/>
      <c r="C127" s="2433"/>
      <c r="D127" s="2434"/>
      <c r="E127" s="2516" t="s">
        <v>1182</v>
      </c>
      <c r="F127" s="2465" t="s">
        <v>233</v>
      </c>
      <c r="G127" s="2431" t="s">
        <v>234</v>
      </c>
      <c r="H127" s="2442">
        <f>H$63*H125</f>
        <v>0</v>
      </c>
      <c r="I127" s="2442">
        <f t="shared" ref="I127:BI127" si="46">I$63*I125</f>
        <v>0</v>
      </c>
      <c r="J127" s="2442">
        <f>J$63*J125</f>
        <v>0</v>
      </c>
      <c r="K127" s="2442">
        <f t="shared" si="46"/>
        <v>2.6451085587964258E-8</v>
      </c>
      <c r="L127" s="2442">
        <f t="shared" si="46"/>
        <v>0</v>
      </c>
      <c r="M127" s="2442">
        <f t="shared" si="46"/>
        <v>0</v>
      </c>
      <c r="N127" s="2442">
        <f>N$63*N125</f>
        <v>1.4346139545526305E-7</v>
      </c>
      <c r="O127" s="2442">
        <f>O$63*O125</f>
        <v>1.4346139545526305E-7</v>
      </c>
      <c r="P127" s="2442">
        <f t="shared" si="46"/>
        <v>3.8764787992828828E-7</v>
      </c>
      <c r="Q127" s="2442">
        <f t="shared" si="46"/>
        <v>3.8764787992828828E-7</v>
      </c>
      <c r="R127" s="2442">
        <f>R$63*R125</f>
        <v>1.6345153066127131E-7</v>
      </c>
      <c r="S127" s="2442">
        <f>S$63*S125</f>
        <v>4.0071223907371163E-6</v>
      </c>
      <c r="T127" s="2442">
        <f>T$63*T125</f>
        <v>4.0071223907371163E-6</v>
      </c>
      <c r="U127" s="2442">
        <f t="shared" si="46"/>
        <v>1.5542527295744237E-6</v>
      </c>
      <c r="V127" s="2442">
        <f t="shared" si="46"/>
        <v>0</v>
      </c>
      <c r="W127" s="2442">
        <f t="shared" si="46"/>
        <v>0</v>
      </c>
      <c r="X127" s="2442">
        <f t="shared" si="46"/>
        <v>7.0710678995088653E-7</v>
      </c>
      <c r="Y127" s="2442">
        <f t="shared" si="46"/>
        <v>0</v>
      </c>
      <c r="Z127" s="2442">
        <f t="shared" si="46"/>
        <v>7.1783173346614156E-7</v>
      </c>
      <c r="AA127" s="2442">
        <f t="shared" si="46"/>
        <v>0</v>
      </c>
      <c r="AB127" s="2442">
        <f t="shared" si="46"/>
        <v>0</v>
      </c>
      <c r="AC127" s="2442">
        <f t="shared" si="46"/>
        <v>0</v>
      </c>
      <c r="AD127" s="2442">
        <f t="shared" si="46"/>
        <v>0</v>
      </c>
      <c r="AE127" s="2442">
        <f t="shared" si="46"/>
        <v>0</v>
      </c>
      <c r="AF127" s="2442">
        <f t="shared" si="46"/>
        <v>0</v>
      </c>
      <c r="AG127" s="2442">
        <f t="shared" si="46"/>
        <v>0</v>
      </c>
      <c r="AH127" s="2442">
        <f t="shared" si="46"/>
        <v>0</v>
      </c>
      <c r="AI127" s="2442">
        <f t="shared" si="46"/>
        <v>0</v>
      </c>
      <c r="AJ127" s="2442">
        <f t="shared" si="46"/>
        <v>0</v>
      </c>
      <c r="AK127" s="2442">
        <f t="shared" si="46"/>
        <v>0</v>
      </c>
      <c r="AL127" s="2442">
        <f t="shared" si="46"/>
        <v>0</v>
      </c>
      <c r="AM127" s="2442">
        <f t="shared" si="46"/>
        <v>0</v>
      </c>
      <c r="AN127" s="2442">
        <f t="shared" si="46"/>
        <v>4.3037503256059568E-5</v>
      </c>
      <c r="AO127" s="2442">
        <f t="shared" si="46"/>
        <v>1.4514525006367037E-6</v>
      </c>
      <c r="AP127" s="2442">
        <f t="shared" si="46"/>
        <v>1.3544946444845989E-6</v>
      </c>
      <c r="AQ127" s="2442">
        <f t="shared" si="46"/>
        <v>1.3762178638472245E-6</v>
      </c>
      <c r="AR127" s="2442">
        <f t="shared" si="46"/>
        <v>1.3810321598733298E-6</v>
      </c>
      <c r="AS127" s="2442">
        <f t="shared" si="46"/>
        <v>1.3666217605652109E-5</v>
      </c>
      <c r="AT127" s="2442">
        <f t="shared" si="46"/>
        <v>1.3300873254345976E-6</v>
      </c>
      <c r="AU127" s="2442">
        <f t="shared" si="46"/>
        <v>1.3481819233137775E-6</v>
      </c>
      <c r="AV127" s="2442">
        <f t="shared" si="46"/>
        <v>1.2806667719685047E-4</v>
      </c>
      <c r="AW127" s="2442">
        <f t="shared" si="46"/>
        <v>1.3496731989839323E-5</v>
      </c>
      <c r="AX127" s="2442">
        <f t="shared" si="46"/>
        <v>8.4902122034060767E-4</v>
      </c>
      <c r="AY127" s="2442">
        <f t="shared" si="46"/>
        <v>8.4902705436880679E-4</v>
      </c>
      <c r="AZ127" s="2442">
        <f t="shared" si="46"/>
        <v>1.1381065451457506E-2</v>
      </c>
      <c r="BA127" s="2442">
        <f t="shared" si="46"/>
        <v>1.524057103518899E-2</v>
      </c>
      <c r="BB127" s="2442">
        <f t="shared" si="46"/>
        <v>2.4053114586928672E-5</v>
      </c>
      <c r="BC127" s="2442">
        <f t="shared" si="46"/>
        <v>214.87281004117813</v>
      </c>
      <c r="BD127" s="2442">
        <f t="shared" si="46"/>
        <v>0</v>
      </c>
      <c r="BE127" s="2442">
        <f t="shared" si="46"/>
        <v>1.1108773335918719E-3</v>
      </c>
      <c r="BF127" s="2442">
        <f t="shared" si="46"/>
        <v>5.5543866679593596E-4</v>
      </c>
      <c r="BG127" s="2442">
        <f t="shared" si="46"/>
        <v>0</v>
      </c>
      <c r="BH127" s="2442">
        <f t="shared" si="46"/>
        <v>0</v>
      </c>
      <c r="BI127" s="2442">
        <f t="shared" si="46"/>
        <v>0</v>
      </c>
    </row>
    <row r="128" spans="1:61" s="2476" customFormat="1">
      <c r="A128" s="2462"/>
      <c r="B128" s="2462"/>
      <c r="C128" s="2433"/>
      <c r="D128" s="2434"/>
      <c r="E128" s="2517" t="s">
        <v>988</v>
      </c>
      <c r="F128" s="2466" t="s">
        <v>492</v>
      </c>
      <c r="G128" s="2467" t="s">
        <v>492</v>
      </c>
      <c r="H128" s="2442">
        <f>H$25*H126</f>
        <v>3.602353609140379E-6</v>
      </c>
      <c r="I128" s="2442">
        <f t="shared" ref="I128:BI128" si="47">I$25*I126</f>
        <v>3.602353609140379E-6</v>
      </c>
      <c r="J128" s="2442">
        <f>J$25*J126</f>
        <v>4.8156484351498272E-7</v>
      </c>
      <c r="K128" s="2442">
        <f t="shared" si="47"/>
        <v>1.2740541422048271E-3</v>
      </c>
      <c r="L128" s="2442">
        <f t="shared" si="47"/>
        <v>9.2973373584874031E-4</v>
      </c>
      <c r="M128" s="2442">
        <f t="shared" si="47"/>
        <v>9.2973373584874031E-4</v>
      </c>
      <c r="N128" s="2442">
        <f>N$25*N126</f>
        <v>3.5673515981735163E-4</v>
      </c>
      <c r="O128" s="2442">
        <f>O$25*O126</f>
        <v>3.5673515981735163E-4</v>
      </c>
      <c r="P128" s="2442">
        <f t="shared" si="47"/>
        <v>2.0384866275277233E-3</v>
      </c>
      <c r="Q128" s="2442">
        <f t="shared" si="47"/>
        <v>2.0384866275277233E-3</v>
      </c>
      <c r="R128" s="2442">
        <f t="shared" ref="R128:T129" si="48">R$25*R126</f>
        <v>1.7836757990867579E-4</v>
      </c>
      <c r="S128" s="2442">
        <f t="shared" si="48"/>
        <v>9.5371009395457337E-4</v>
      </c>
      <c r="T128" s="2442">
        <f t="shared" si="48"/>
        <v>9.5371009395457337E-4</v>
      </c>
      <c r="U128" s="2442">
        <f t="shared" si="47"/>
        <v>1.8775534727229035E-3</v>
      </c>
      <c r="V128" s="2442">
        <f t="shared" si="47"/>
        <v>7.1347031963470329E-5</v>
      </c>
      <c r="W128" s="2442">
        <f t="shared" si="47"/>
        <v>7.1347031963470329E-5</v>
      </c>
      <c r="X128" s="2442">
        <f t="shared" si="47"/>
        <v>6.7935655940398309E-3</v>
      </c>
      <c r="Y128" s="2442">
        <f t="shared" si="47"/>
        <v>1.9405217666099362E-4</v>
      </c>
      <c r="Z128" s="2442">
        <f t="shared" si="47"/>
        <v>1.3570711402712029E-4</v>
      </c>
      <c r="AA128" s="2442">
        <f t="shared" si="47"/>
        <v>1.0192433137638617E-4</v>
      </c>
      <c r="AB128" s="2442">
        <f t="shared" si="47"/>
        <v>9.8550192703252644E-5</v>
      </c>
      <c r="AC128" s="2442">
        <f t="shared" si="47"/>
        <v>3.1882162294771349E-5</v>
      </c>
      <c r="AD128" s="2442">
        <f t="shared" si="47"/>
        <v>7.6167906806928379E-6</v>
      </c>
      <c r="AE128" s="2442">
        <f t="shared" si="47"/>
        <v>0</v>
      </c>
      <c r="AF128" s="2442">
        <f t="shared" si="47"/>
        <v>0</v>
      </c>
      <c r="AG128" s="2442">
        <f t="shared" si="47"/>
        <v>3.8775560849712134E-6</v>
      </c>
      <c r="AH128" s="2442">
        <f t="shared" si="47"/>
        <v>3.8775560849712134E-6</v>
      </c>
      <c r="AI128" s="2442">
        <f t="shared" si="47"/>
        <v>5.6937784383791142E-5</v>
      </c>
      <c r="AJ128" s="2442">
        <f t="shared" si="47"/>
        <v>2.2526384820436422E-5</v>
      </c>
      <c r="AK128" s="2442">
        <f t="shared" si="47"/>
        <v>7.5420680433871868E-6</v>
      </c>
      <c r="AL128" s="2442">
        <f t="shared" si="47"/>
        <v>0</v>
      </c>
      <c r="AM128" s="2442">
        <f t="shared" si="47"/>
        <v>0</v>
      </c>
      <c r="AN128" s="2442">
        <f t="shared" si="47"/>
        <v>2.0349754884556984E-4</v>
      </c>
      <c r="AO128" s="2442">
        <f t="shared" si="47"/>
        <v>0</v>
      </c>
      <c r="AP128" s="2442">
        <f t="shared" si="47"/>
        <v>0</v>
      </c>
      <c r="AQ128" s="2442">
        <f t="shared" si="47"/>
        <v>0</v>
      </c>
      <c r="AR128" s="2442">
        <f t="shared" si="47"/>
        <v>0</v>
      </c>
      <c r="AS128" s="2442">
        <f t="shared" si="47"/>
        <v>0</v>
      </c>
      <c r="AT128" s="2442">
        <f t="shared" si="47"/>
        <v>0</v>
      </c>
      <c r="AU128" s="2442">
        <f t="shared" si="47"/>
        <v>0</v>
      </c>
      <c r="AV128" s="2442">
        <f t="shared" si="47"/>
        <v>0</v>
      </c>
      <c r="AW128" s="2442">
        <f t="shared" si="47"/>
        <v>0</v>
      </c>
      <c r="AX128" s="2442">
        <f t="shared" si="47"/>
        <v>0</v>
      </c>
      <c r="AY128" s="2442">
        <f t="shared" si="47"/>
        <v>0</v>
      </c>
      <c r="AZ128" s="2442">
        <f t="shared" si="47"/>
        <v>0</v>
      </c>
      <c r="BA128" s="2442">
        <f t="shared" si="47"/>
        <v>0</v>
      </c>
      <c r="BB128" s="2442">
        <f t="shared" si="47"/>
        <v>0</v>
      </c>
      <c r="BC128" s="2442">
        <f t="shared" si="47"/>
        <v>0</v>
      </c>
      <c r="BD128" s="2442">
        <f t="shared" si="47"/>
        <v>1.2765422739527216E-5</v>
      </c>
      <c r="BE128" s="2442">
        <f t="shared" si="47"/>
        <v>4.7213384767170804E-7</v>
      </c>
      <c r="BF128" s="2442">
        <f t="shared" si="47"/>
        <v>2.3606692383585402E-7</v>
      </c>
      <c r="BG128" s="2442">
        <f t="shared" si="47"/>
        <v>1.070205479452055</v>
      </c>
      <c r="BH128" s="2442">
        <f t="shared" si="47"/>
        <v>5.7306304768490893E-4</v>
      </c>
      <c r="BI128" s="2442">
        <f t="shared" si="47"/>
        <v>1.2298503358627263E-3</v>
      </c>
    </row>
    <row r="129" spans="1:61" s="2476" customFormat="1">
      <c r="A129" s="2462"/>
      <c r="B129" s="2462"/>
      <c r="C129" s="2433"/>
      <c r="D129" s="2434"/>
      <c r="E129" s="2518" t="s">
        <v>991</v>
      </c>
      <c r="F129" s="2468" t="s">
        <v>213</v>
      </c>
      <c r="G129" s="2469" t="s">
        <v>213</v>
      </c>
      <c r="H129" s="2470">
        <f>H$25*H127</f>
        <v>0</v>
      </c>
      <c r="I129" s="2470">
        <f t="shared" ref="I129:BI129" si="49">I$25*I127</f>
        <v>0</v>
      </c>
      <c r="J129" s="2470">
        <f>J$25*J127</f>
        <v>0</v>
      </c>
      <c r="K129" s="2470">
        <f t="shared" si="49"/>
        <v>1.0192433137638618E-9</v>
      </c>
      <c r="L129" s="2470">
        <f t="shared" si="49"/>
        <v>0</v>
      </c>
      <c r="M129" s="2470">
        <f t="shared" si="49"/>
        <v>0</v>
      </c>
      <c r="N129" s="2470">
        <f>N$25*N127</f>
        <v>2.0384866275277236E-9</v>
      </c>
      <c r="O129" s="2470">
        <f>O$25*O127</f>
        <v>2.0384866275277236E-9</v>
      </c>
      <c r="P129" s="2470">
        <f t="shared" si="49"/>
        <v>6.0135355512067847E-9</v>
      </c>
      <c r="Q129" s="2470">
        <f t="shared" si="49"/>
        <v>6.0135355512067847E-9</v>
      </c>
      <c r="R129" s="2470">
        <f t="shared" si="48"/>
        <v>1.019243313763862E-9</v>
      </c>
      <c r="S129" s="2470">
        <f t="shared" si="48"/>
        <v>2.3442596216568829E-8</v>
      </c>
      <c r="T129" s="2470">
        <f t="shared" si="48"/>
        <v>2.3442596216568829E-8</v>
      </c>
      <c r="U129" s="2470">
        <f t="shared" si="49"/>
        <v>4.2808219178082194E-8</v>
      </c>
      <c r="V129" s="2470">
        <f t="shared" si="49"/>
        <v>0</v>
      </c>
      <c r="W129" s="2470">
        <f t="shared" si="49"/>
        <v>0</v>
      </c>
      <c r="X129" s="2470">
        <f t="shared" si="49"/>
        <v>6.1154598825831711E-9</v>
      </c>
      <c r="Y129" s="2470">
        <f t="shared" si="49"/>
        <v>0</v>
      </c>
      <c r="Z129" s="2470">
        <f t="shared" si="49"/>
        <v>2.5481082844096548E-9</v>
      </c>
      <c r="AA129" s="2470">
        <f t="shared" si="49"/>
        <v>0</v>
      </c>
      <c r="AB129" s="2470">
        <f t="shared" si="49"/>
        <v>0</v>
      </c>
      <c r="AC129" s="2470">
        <f t="shared" si="49"/>
        <v>0</v>
      </c>
      <c r="AD129" s="2470">
        <f t="shared" si="49"/>
        <v>0</v>
      </c>
      <c r="AE129" s="2470">
        <f t="shared" si="49"/>
        <v>0</v>
      </c>
      <c r="AF129" s="2470">
        <f t="shared" si="49"/>
        <v>0</v>
      </c>
      <c r="AG129" s="2470">
        <f t="shared" si="49"/>
        <v>0</v>
      </c>
      <c r="AH129" s="2470">
        <f t="shared" si="49"/>
        <v>0</v>
      </c>
      <c r="AI129" s="2470">
        <f t="shared" si="49"/>
        <v>0</v>
      </c>
      <c r="AJ129" s="2470">
        <f t="shared" si="49"/>
        <v>0</v>
      </c>
      <c r="AK129" s="2470">
        <f t="shared" si="49"/>
        <v>0</v>
      </c>
      <c r="AL129" s="2470">
        <f t="shared" si="49"/>
        <v>0</v>
      </c>
      <c r="AM129" s="2470">
        <f t="shared" si="49"/>
        <v>0</v>
      </c>
      <c r="AN129" s="2470">
        <f t="shared" si="49"/>
        <v>1.8396408692961826E-9</v>
      </c>
      <c r="AO129" s="2470">
        <f t="shared" si="49"/>
        <v>1.6944861318347312E-11</v>
      </c>
      <c r="AP129" s="2470">
        <f t="shared" si="49"/>
        <v>2.6454257953575679E-11</v>
      </c>
      <c r="AQ129" s="2470">
        <f t="shared" si="49"/>
        <v>1.0883484482973481E-11</v>
      </c>
      <c r="AR129" s="2470">
        <f t="shared" si="49"/>
        <v>2.1866808244266663E-12</v>
      </c>
      <c r="AS129" s="2470">
        <f t="shared" si="49"/>
        <v>2.7948894664623601E-11</v>
      </c>
      <c r="AT129" s="2470">
        <f t="shared" si="49"/>
        <v>1.9856037376272643E-13</v>
      </c>
      <c r="AU129" s="2470">
        <f t="shared" si="49"/>
        <v>1.9361594934032858E-13</v>
      </c>
      <c r="AV129" s="2470">
        <f t="shared" si="49"/>
        <v>2.9341638357837964E-12</v>
      </c>
      <c r="AW129" s="2470">
        <f t="shared" si="49"/>
        <v>2.9796537731653793E-13</v>
      </c>
      <c r="AX129" s="2470">
        <f t="shared" si="49"/>
        <v>6.597446303016425E-13</v>
      </c>
      <c r="AY129" s="2470">
        <f t="shared" si="49"/>
        <v>4.5278327453682661E-13</v>
      </c>
      <c r="AZ129" s="2470">
        <f t="shared" si="49"/>
        <v>4.0530942099085325E-12</v>
      </c>
      <c r="BA129" s="2470">
        <f t="shared" si="49"/>
        <v>9.3739588031907554E-13</v>
      </c>
      <c r="BB129" s="2470">
        <f t="shared" si="49"/>
        <v>2.3424342056583608E-14</v>
      </c>
      <c r="BC129" s="2470">
        <f t="shared" si="49"/>
        <v>5.5589074752362592E-14</v>
      </c>
      <c r="BD129" s="2470">
        <f t="shared" si="49"/>
        <v>0</v>
      </c>
      <c r="BE129" s="2470">
        <f t="shared" si="49"/>
        <v>2.3064780397884963E-11</v>
      </c>
      <c r="BF129" s="2470">
        <f t="shared" si="49"/>
        <v>1.1532390198942482E-11</v>
      </c>
      <c r="BG129" s="2470">
        <f t="shared" si="49"/>
        <v>0</v>
      </c>
      <c r="BH129" s="2470">
        <f t="shared" si="49"/>
        <v>0</v>
      </c>
      <c r="BI129" s="2470">
        <f t="shared" si="49"/>
        <v>0</v>
      </c>
    </row>
    <row r="130" spans="1:61">
      <c r="A130" s="97"/>
      <c r="B130" s="97"/>
      <c r="C130" s="2433" t="s">
        <v>268</v>
      </c>
      <c r="D130" s="2434"/>
      <c r="E130" s="2520" t="s">
        <v>1159</v>
      </c>
      <c r="F130" s="18" t="s">
        <v>181</v>
      </c>
      <c r="G130" s="117" t="s">
        <v>182</v>
      </c>
      <c r="H130" s="163">
        <f>FEM!$H8+FEM!$H10</f>
        <v>17.571428571428573</v>
      </c>
      <c r="I130" s="163">
        <f>FEM!$H8+FEM!$H10</f>
        <v>17.571428571428573</v>
      </c>
      <c r="J130" s="163">
        <f>FEM!$H8+FEM!$H10</f>
        <v>17.571428571428573</v>
      </c>
      <c r="K130" s="163">
        <f>FEM!$H8+FEM!$H10</f>
        <v>17.571428571428573</v>
      </c>
      <c r="L130" s="163">
        <f>FEM!$H8+FEM!$H10</f>
        <v>17.571428571428573</v>
      </c>
      <c r="M130" s="163">
        <f>FEM!$H8+FEM!$H10</f>
        <v>17.571428571428573</v>
      </c>
      <c r="N130" s="163">
        <f>FEM!$H8+FEM!$H10</f>
        <v>17.571428571428573</v>
      </c>
      <c r="O130" s="163">
        <f>FEM!$H8+FEM!$H10</f>
        <v>17.571428571428573</v>
      </c>
      <c r="P130" s="163">
        <f>FEM!$H8+FEM!$H10</f>
        <v>17.571428571428573</v>
      </c>
      <c r="Q130" s="163">
        <f>FEM!$H8+FEM!$H10</f>
        <v>17.571428571428573</v>
      </c>
      <c r="R130" s="163">
        <f>FEM!$H8+FEM!$H10</f>
        <v>17.571428571428573</v>
      </c>
      <c r="S130" s="163">
        <f>FEM!$H8+FEM!$H10</f>
        <v>17.571428571428573</v>
      </c>
      <c r="T130" s="163">
        <f>FEM!$H8+FEM!$H10</f>
        <v>17.571428571428573</v>
      </c>
      <c r="U130" s="163">
        <f>FEM!$H8+FEM!$H10</f>
        <v>17.571428571428573</v>
      </c>
      <c r="V130" s="163">
        <f>FEM!$H8+FEM!$H10</f>
        <v>17.571428571428573</v>
      </c>
      <c r="W130" s="163">
        <f>FEM!$H8+FEM!$H10</f>
        <v>17.571428571428573</v>
      </c>
      <c r="X130" s="163">
        <f>FEM!$H8+FEM!$H10</f>
        <v>17.571428571428573</v>
      </c>
      <c r="Y130" s="163">
        <f>FEM!$H8+FEM!$H10</f>
        <v>17.571428571428573</v>
      </c>
      <c r="Z130" s="163">
        <f>FEM!$H8+FEM!$H10</f>
        <v>17.571428571428573</v>
      </c>
      <c r="AA130" s="163">
        <f>FEM!$H8+FEM!$H10</f>
        <v>17.571428571428573</v>
      </c>
      <c r="AB130" s="163">
        <f>FEM!$H8+FEM!$H10</f>
        <v>17.571428571428573</v>
      </c>
      <c r="AC130" s="163">
        <f>FEM!$H8+FEM!$H10</f>
        <v>17.571428571428573</v>
      </c>
      <c r="AD130" s="163">
        <f>FEM!$H8+FEM!$H10</f>
        <v>17.571428571428573</v>
      </c>
      <c r="AE130" s="163">
        <f>FEM!$H8+FEM!$H10</f>
        <v>17.571428571428573</v>
      </c>
      <c r="AF130" s="163">
        <f>FEM!$H8+FEM!$H10</f>
        <v>17.571428571428573</v>
      </c>
      <c r="AG130" s="163">
        <f>FEM!$H8+FEM!$H10</f>
        <v>17.571428571428573</v>
      </c>
      <c r="AH130" s="163">
        <f>FEM!$H8+FEM!$H10</f>
        <v>17.571428571428573</v>
      </c>
      <c r="AI130" s="163">
        <f>FEM!$H8+FEM!$H10</f>
        <v>17.571428571428573</v>
      </c>
      <c r="AJ130" s="163">
        <f>FEM!$H8+FEM!$H10</f>
        <v>17.571428571428573</v>
      </c>
      <c r="AK130" s="163">
        <f>FEM!$H8+FEM!$H10</f>
        <v>17.571428571428573</v>
      </c>
      <c r="AL130" s="163">
        <f>FEM!$H8+FEM!$H10</f>
        <v>17.571428571428573</v>
      </c>
      <c r="AM130" s="163">
        <f>FEM!$H8+FEM!$H10</f>
        <v>17.571428571428573</v>
      </c>
      <c r="AN130" s="163">
        <f>FEM!$H8+FEM!$H10</f>
        <v>17.571428571428573</v>
      </c>
      <c r="AO130" s="163">
        <f>FEM!$H8+FEM!$H10</f>
        <v>17.571428571428573</v>
      </c>
      <c r="AP130" s="163">
        <f>FEM!$H8+FEM!$H10</f>
        <v>17.571428571428573</v>
      </c>
      <c r="AQ130" s="163">
        <f>FEM!$H8+FEM!$H10</f>
        <v>17.571428571428573</v>
      </c>
      <c r="AR130" s="163">
        <f>FEM!$H8+FEM!$H10</f>
        <v>17.571428571428573</v>
      </c>
      <c r="AS130" s="163">
        <f>FEM!$H8+FEM!$H10</f>
        <v>17.571428571428573</v>
      </c>
      <c r="AT130" s="163">
        <f>FEM!$H8+FEM!$H10</f>
        <v>17.571428571428573</v>
      </c>
      <c r="AU130" s="163">
        <f>FEM!$H8+FEM!$H10</f>
        <v>17.571428571428573</v>
      </c>
      <c r="AV130" s="163">
        <f>FEM!$H8+FEM!$H10</f>
        <v>17.571428571428573</v>
      </c>
      <c r="AW130" s="163">
        <f>FEM!$H8+FEM!$H10</f>
        <v>17.571428571428573</v>
      </c>
      <c r="AX130" s="163">
        <f>FEM!$H8+FEM!$H10</f>
        <v>17.571428571428573</v>
      </c>
      <c r="AY130" s="163">
        <f>FEM!$H8+FEM!$H10</f>
        <v>17.571428571428573</v>
      </c>
      <c r="AZ130" s="163">
        <f>FEM!$H8+FEM!$H10</f>
        <v>17.571428571428573</v>
      </c>
      <c r="BA130" s="163">
        <f>FEM!$H8+FEM!$H10</f>
        <v>17.571428571428573</v>
      </c>
      <c r="BB130" s="163">
        <f>FEM!$H8+FEM!$H10</f>
        <v>17.571428571428573</v>
      </c>
      <c r="BC130" s="163">
        <f>FEM!$H8+FEM!$H10</f>
        <v>17.571428571428573</v>
      </c>
      <c r="BD130" s="163">
        <f>FEM!$H8+FEM!$H10</f>
        <v>17.571428571428573</v>
      </c>
      <c r="BE130" s="163">
        <f>FEM!$H8+FEM!$H10</f>
        <v>17.571428571428573</v>
      </c>
      <c r="BF130" s="163">
        <f>FEM!$H8+FEM!$H10</f>
        <v>17.571428571428573</v>
      </c>
      <c r="BG130" s="163">
        <f>FEM!$H8+FEM!$H10</f>
        <v>17.571428571428573</v>
      </c>
      <c r="BH130" s="163">
        <f>FEM!$H8+FEM!$H10</f>
        <v>17.571428571428573</v>
      </c>
      <c r="BI130" s="163">
        <f>FEM!$H8+FEM!$H10</f>
        <v>17.571428571428573</v>
      </c>
    </row>
    <row r="131" spans="1:61" ht="25.5">
      <c r="A131" s="97"/>
      <c r="B131" s="97"/>
      <c r="C131" s="2427" t="s">
        <v>1180</v>
      </c>
      <c r="D131" s="2434"/>
      <c r="E131" s="2520" t="s">
        <v>1160</v>
      </c>
      <c r="F131" s="18" t="s">
        <v>210</v>
      </c>
      <c r="G131" s="117" t="s">
        <v>182</v>
      </c>
      <c r="H131" s="227">
        <f>FEM!$I$8+FEM!$I$10</f>
        <v>16.06530612244898</v>
      </c>
      <c r="I131" s="227">
        <f>FEM!$I$8+FEM!$I$10</f>
        <v>16.06530612244898</v>
      </c>
      <c r="J131" s="227">
        <f>FEM!$I$8+FEM!$I$10</f>
        <v>16.06530612244898</v>
      </c>
      <c r="K131" s="227">
        <f>FEM!$I$8+FEM!$I$10</f>
        <v>16.06530612244898</v>
      </c>
      <c r="L131" s="227">
        <f>FEM!$I$8+FEM!$I$10</f>
        <v>16.06530612244898</v>
      </c>
      <c r="M131" s="227">
        <f>FEM!$I$8+FEM!$I$10</f>
        <v>16.06530612244898</v>
      </c>
      <c r="N131" s="227">
        <f>FEM!$I$8+FEM!$I$10</f>
        <v>16.06530612244898</v>
      </c>
      <c r="O131" s="227">
        <f>FEM!$I$8+FEM!$I$10</f>
        <v>16.06530612244898</v>
      </c>
      <c r="P131" s="227">
        <f>FEM!$I$8+FEM!$I$10</f>
        <v>16.06530612244898</v>
      </c>
      <c r="Q131" s="227">
        <f>FEM!$I$8+FEM!$I$10</f>
        <v>16.06530612244898</v>
      </c>
      <c r="R131" s="227">
        <f>FEM!$I$8+FEM!$I$10</f>
        <v>16.06530612244898</v>
      </c>
      <c r="S131" s="227">
        <f>FEM!$I$8+FEM!$I$10</f>
        <v>16.06530612244898</v>
      </c>
      <c r="T131" s="227">
        <f>FEM!$I$8+FEM!$I$10</f>
        <v>16.06530612244898</v>
      </c>
      <c r="U131" s="227">
        <f>FEM!$I$8+FEM!$I$10</f>
        <v>16.06530612244898</v>
      </c>
      <c r="V131" s="227">
        <f>FEM!$I$8+FEM!$I$10</f>
        <v>16.06530612244898</v>
      </c>
      <c r="W131" s="227">
        <f>FEM!$I$8+FEM!$I$10</f>
        <v>16.06530612244898</v>
      </c>
      <c r="X131" s="227">
        <f>FEM!$I$8+FEM!$I$10</f>
        <v>16.06530612244898</v>
      </c>
      <c r="Y131" s="227">
        <f>FEM!$I$8+FEM!$I$10</f>
        <v>16.06530612244898</v>
      </c>
      <c r="Z131" s="227">
        <f>FEM!$I$8+FEM!$I$10</f>
        <v>16.06530612244898</v>
      </c>
      <c r="AA131" s="227">
        <f>FEM!$I$8+FEM!$I$10</f>
        <v>16.06530612244898</v>
      </c>
      <c r="AB131" s="227">
        <f>FEM!$I$8+FEM!$I$10</f>
        <v>16.06530612244898</v>
      </c>
      <c r="AC131" s="227">
        <f>FEM!$I$8+FEM!$I$10</f>
        <v>16.06530612244898</v>
      </c>
      <c r="AD131" s="227">
        <f>FEM!$I$8+FEM!$I$10</f>
        <v>16.06530612244898</v>
      </c>
      <c r="AE131" s="227">
        <f>FEM!$I$8+FEM!$I$10</f>
        <v>16.06530612244898</v>
      </c>
      <c r="AF131" s="227">
        <f>FEM!$I$8+FEM!$I$10</f>
        <v>16.06530612244898</v>
      </c>
      <c r="AG131" s="227">
        <f>FEM!$I$8+FEM!$I$10</f>
        <v>16.06530612244898</v>
      </c>
      <c r="AH131" s="227">
        <f>FEM!$I$8+FEM!$I$10</f>
        <v>16.06530612244898</v>
      </c>
      <c r="AI131" s="227">
        <f>FEM!$I$8+FEM!$I$10</f>
        <v>16.06530612244898</v>
      </c>
      <c r="AJ131" s="227">
        <f>FEM!$I$8+FEM!$I$10</f>
        <v>16.06530612244898</v>
      </c>
      <c r="AK131" s="227">
        <f>FEM!$I$8+FEM!$I$10</f>
        <v>16.06530612244898</v>
      </c>
      <c r="AL131" s="227">
        <f>FEM!$I$8+FEM!$I$10</f>
        <v>16.06530612244898</v>
      </c>
      <c r="AM131" s="227">
        <f>FEM!$I$8+FEM!$I$10</f>
        <v>16.06530612244898</v>
      </c>
      <c r="AN131" s="227">
        <f>FEM!$I$8+FEM!$I$10</f>
        <v>16.06530612244898</v>
      </c>
      <c r="AO131" s="227">
        <f>FEM!$I$8+FEM!$I$10</f>
        <v>16.06530612244898</v>
      </c>
      <c r="AP131" s="227">
        <f>FEM!$I$8+FEM!$I$10</f>
        <v>16.06530612244898</v>
      </c>
      <c r="AQ131" s="227">
        <f>FEM!$I$8+FEM!$I$10</f>
        <v>16.06530612244898</v>
      </c>
      <c r="AR131" s="227">
        <f>FEM!$I$8+FEM!$I$10</f>
        <v>16.06530612244898</v>
      </c>
      <c r="AS131" s="227">
        <f>FEM!$I$8+FEM!$I$10</f>
        <v>16.06530612244898</v>
      </c>
      <c r="AT131" s="227">
        <f>FEM!$I$8+FEM!$I$10</f>
        <v>16.06530612244898</v>
      </c>
      <c r="AU131" s="227">
        <f>FEM!$I$8+FEM!$I$10</f>
        <v>16.06530612244898</v>
      </c>
      <c r="AV131" s="227">
        <f>FEM!$I$8+FEM!$I$10</f>
        <v>16.06530612244898</v>
      </c>
      <c r="AW131" s="227">
        <f>FEM!$I$8+FEM!$I$10</f>
        <v>16.06530612244898</v>
      </c>
      <c r="AX131" s="227">
        <f>FEM!$I$8+FEM!$I$10</f>
        <v>16.06530612244898</v>
      </c>
      <c r="AY131" s="227">
        <f>FEM!$I$8+FEM!$I$10</f>
        <v>16.06530612244898</v>
      </c>
      <c r="AZ131" s="227">
        <f>FEM!$I$8+FEM!$I$10</f>
        <v>16.06530612244898</v>
      </c>
      <c r="BA131" s="227">
        <f>FEM!$I$8+FEM!$I$10</f>
        <v>16.06530612244898</v>
      </c>
      <c r="BB131" s="227">
        <f>FEM!$I$8+FEM!$I$10</f>
        <v>16.06530612244898</v>
      </c>
      <c r="BC131" s="227">
        <f>FEM!$I$8+FEM!$I$10</f>
        <v>16.06530612244898</v>
      </c>
      <c r="BD131" s="227">
        <f>FEM!$I$8+FEM!$I$10</f>
        <v>16.06530612244898</v>
      </c>
      <c r="BE131" s="227">
        <f>FEM!$I$8+FEM!$I$10</f>
        <v>16.06530612244898</v>
      </c>
      <c r="BF131" s="227">
        <f>FEM!$I$8+FEM!$I$10</f>
        <v>16.06530612244898</v>
      </c>
      <c r="BG131" s="227">
        <f>FEM!$I$8+FEM!$I$10</f>
        <v>16.06530612244898</v>
      </c>
      <c r="BH131" s="227">
        <f>FEM!$I$8+FEM!$I$10</f>
        <v>16.06530612244898</v>
      </c>
      <c r="BI131" s="227">
        <f>FEM!$I$8+FEM!$I$10</f>
        <v>16.06530612244898</v>
      </c>
    </row>
    <row r="132" spans="1:61" s="2464" customFormat="1">
      <c r="A132" s="2461"/>
      <c r="B132" s="2462"/>
      <c r="C132" s="2433"/>
      <c r="D132" s="2434"/>
      <c r="E132" s="2516" t="s">
        <v>1183</v>
      </c>
      <c r="F132" s="2441" t="s">
        <v>1155</v>
      </c>
      <c r="G132" s="2431" t="s">
        <v>1156</v>
      </c>
      <c r="H132" s="2463">
        <f>IF(H$10&gt;0,H130/24/H$10,0)</f>
        <v>3.660714285714286</v>
      </c>
      <c r="I132" s="2463">
        <f t="shared" ref="I132:BI132" si="50">IF(I$10&gt;0,I130/24/I$10,0)</f>
        <v>3.660714285714286</v>
      </c>
      <c r="J132" s="2463">
        <f>IF(J$10&gt;0,J130/24/J$10,0)</f>
        <v>0.14642857142857144</v>
      </c>
      <c r="K132" s="2463">
        <f t="shared" si="50"/>
        <v>13.073979591836736</v>
      </c>
      <c r="L132" s="2463">
        <f t="shared" si="50"/>
        <v>12.202380952380954</v>
      </c>
      <c r="M132" s="2463">
        <f t="shared" si="50"/>
        <v>12.202380952380954</v>
      </c>
      <c r="N132" s="2463">
        <f>IF(N$10&gt;0,N130/24/N$10,0)</f>
        <v>3.660714285714286</v>
      </c>
      <c r="O132" s="2463">
        <f>IF(O$10&gt;0,O130/24/O$10,0)</f>
        <v>3.660714285714286</v>
      </c>
      <c r="P132" s="2463">
        <f t="shared" si="50"/>
        <v>20.918367346938776</v>
      </c>
      <c r="Q132" s="2463">
        <f t="shared" si="50"/>
        <v>20.918367346938776</v>
      </c>
      <c r="R132" s="2463">
        <f>IF(R$10&gt;0,R130/24/R$10,0)</f>
        <v>1.830357142857143</v>
      </c>
      <c r="S132" s="2463">
        <f>IF(S$10&gt;0,S130/24/S$10,0)</f>
        <v>11.621315192743765</v>
      </c>
      <c r="T132" s="2463">
        <f>IF(T$10&gt;0,T130/24/T$10,0)</f>
        <v>11.621315192743765</v>
      </c>
      <c r="U132" s="2463">
        <f t="shared" si="50"/>
        <v>19.266917293233085</v>
      </c>
      <c r="V132" s="2463">
        <f t="shared" si="50"/>
        <v>0.73214285714285721</v>
      </c>
      <c r="W132" s="2463">
        <f t="shared" si="50"/>
        <v>0.73214285714285721</v>
      </c>
      <c r="X132" s="2463">
        <f t="shared" si="50"/>
        <v>76.264880952380949</v>
      </c>
      <c r="Y132" s="2463">
        <f t="shared" si="50"/>
        <v>2.8159340659340661</v>
      </c>
      <c r="Z132" s="2463">
        <f t="shared" si="50"/>
        <v>2.762803234501348</v>
      </c>
      <c r="AA132" s="2463">
        <f t="shared" si="50"/>
        <v>7.3214285714285721</v>
      </c>
      <c r="AB132" s="2463">
        <f t="shared" si="50"/>
        <v>3.660714285714286</v>
      </c>
      <c r="AC132" s="2463">
        <f t="shared" si="50"/>
        <v>3.660714285714286</v>
      </c>
      <c r="AD132" s="2463">
        <f t="shared" si="50"/>
        <v>3.660714285714286</v>
      </c>
      <c r="AE132" s="2463">
        <f t="shared" si="50"/>
        <v>0</v>
      </c>
      <c r="AF132" s="2463">
        <f t="shared" si="50"/>
        <v>0</v>
      </c>
      <c r="AG132" s="2463">
        <f t="shared" si="50"/>
        <v>3.9790372670807463E-2</v>
      </c>
      <c r="AH132" s="2463">
        <f t="shared" si="50"/>
        <v>3.9790372670807463E-2</v>
      </c>
      <c r="AI132" s="2463">
        <f t="shared" si="50"/>
        <v>0.73214285714285721</v>
      </c>
      <c r="AJ132" s="2463">
        <f t="shared" si="50"/>
        <v>0.73214285714285721</v>
      </c>
      <c r="AK132" s="2463">
        <f t="shared" si="50"/>
        <v>0.73214285714285721</v>
      </c>
      <c r="AL132" s="2463">
        <f t="shared" si="50"/>
        <v>0</v>
      </c>
      <c r="AM132" s="2463">
        <f t="shared" si="50"/>
        <v>0</v>
      </c>
      <c r="AN132" s="2463">
        <f t="shared" si="50"/>
        <v>244.04761904761907</v>
      </c>
      <c r="AO132" s="2463">
        <f t="shared" si="50"/>
        <v>0</v>
      </c>
      <c r="AP132" s="2463">
        <f t="shared" si="50"/>
        <v>0</v>
      </c>
      <c r="AQ132" s="2463">
        <f t="shared" si="50"/>
        <v>0</v>
      </c>
      <c r="AR132" s="2463">
        <f t="shared" si="50"/>
        <v>0</v>
      </c>
      <c r="AS132" s="2463">
        <f t="shared" si="50"/>
        <v>0</v>
      </c>
      <c r="AT132" s="2463">
        <f t="shared" si="50"/>
        <v>0</v>
      </c>
      <c r="AU132" s="2463">
        <f t="shared" si="50"/>
        <v>0</v>
      </c>
      <c r="AV132" s="2463">
        <f t="shared" si="50"/>
        <v>0</v>
      </c>
      <c r="AW132" s="2463">
        <f t="shared" si="50"/>
        <v>0</v>
      </c>
      <c r="AX132" s="2463">
        <f t="shared" si="50"/>
        <v>0</v>
      </c>
      <c r="AY132" s="2463">
        <f t="shared" si="50"/>
        <v>0</v>
      </c>
      <c r="AZ132" s="2463">
        <f t="shared" si="50"/>
        <v>0</v>
      </c>
      <c r="BA132" s="2463">
        <f t="shared" si="50"/>
        <v>0</v>
      </c>
      <c r="BB132" s="2463">
        <f t="shared" si="50"/>
        <v>0</v>
      </c>
      <c r="BC132" s="2463">
        <f t="shared" si="50"/>
        <v>0</v>
      </c>
      <c r="BD132" s="2463">
        <f t="shared" si="50"/>
        <v>36.607142857142861</v>
      </c>
      <c r="BE132" s="2463">
        <f t="shared" si="50"/>
        <v>1464.2857142857144</v>
      </c>
      <c r="BF132" s="2463">
        <f t="shared" si="50"/>
        <v>732.14285714285722</v>
      </c>
      <c r="BG132" s="2463">
        <f t="shared" si="50"/>
        <v>24404.761904761905</v>
      </c>
      <c r="BH132" s="2463">
        <f t="shared" si="50"/>
        <v>2318.4523809523807</v>
      </c>
      <c r="BI132" s="2463">
        <f t="shared" si="50"/>
        <v>915.17857142857144</v>
      </c>
    </row>
    <row r="133" spans="1:61" s="2464" customFormat="1">
      <c r="A133" s="2462"/>
      <c r="B133" s="2462"/>
      <c r="C133" s="2433"/>
      <c r="D133" s="2434"/>
      <c r="E133" s="2516" t="s">
        <v>1181</v>
      </c>
      <c r="F133" s="2441" t="s">
        <v>211</v>
      </c>
      <c r="G133" s="2431" t="s">
        <v>212</v>
      </c>
      <c r="H133" s="2442">
        <f>H131/24*H$11</f>
        <v>0</v>
      </c>
      <c r="I133" s="2442">
        <f t="shared" ref="I133:BI133" si="51">I131/24*I$11</f>
        <v>0</v>
      </c>
      <c r="J133" s="2442">
        <f>J131/24*J$11</f>
        <v>0</v>
      </c>
      <c r="K133" s="2442">
        <f t="shared" si="51"/>
        <v>6.6938775510204081E-4</v>
      </c>
      <c r="L133" s="2442">
        <f t="shared" si="51"/>
        <v>0</v>
      </c>
      <c r="M133" s="2442">
        <f t="shared" si="51"/>
        <v>0</v>
      </c>
      <c r="N133" s="2442">
        <f>N131/24*N$11</f>
        <v>1.3387755102040816E-3</v>
      </c>
      <c r="O133" s="2442">
        <f>O131/24*O$11</f>
        <v>1.3387755102040816E-3</v>
      </c>
      <c r="P133" s="2442">
        <f t="shared" si="51"/>
        <v>3.9493877551020412E-3</v>
      </c>
      <c r="Q133" s="2442">
        <f t="shared" si="51"/>
        <v>3.9493877551020412E-3</v>
      </c>
      <c r="R133" s="2442">
        <f>R131/24*R$11</f>
        <v>6.6938775510204081E-4</v>
      </c>
      <c r="S133" s="2442">
        <f>S131/24*S$11</f>
        <v>1.5395918367346939E-2</v>
      </c>
      <c r="T133" s="2442">
        <f>T131/24*T$11</f>
        <v>1.5395918367346939E-2</v>
      </c>
      <c r="U133" s="2442">
        <f t="shared" si="51"/>
        <v>2.8114285714285717E-2</v>
      </c>
      <c r="V133" s="2442">
        <f t="shared" si="51"/>
        <v>0</v>
      </c>
      <c r="W133" s="2442">
        <f t="shared" si="51"/>
        <v>0</v>
      </c>
      <c r="X133" s="2442">
        <f t="shared" si="51"/>
        <v>4.0163265306122449E-3</v>
      </c>
      <c r="Y133" s="2442">
        <f t="shared" si="51"/>
        <v>0</v>
      </c>
      <c r="Z133" s="2442">
        <f t="shared" si="51"/>
        <v>1.6734693877551022E-3</v>
      </c>
      <c r="AA133" s="2442">
        <f t="shared" si="51"/>
        <v>0</v>
      </c>
      <c r="AB133" s="2442">
        <f t="shared" si="51"/>
        <v>0</v>
      </c>
      <c r="AC133" s="2442">
        <f t="shared" si="51"/>
        <v>0</v>
      </c>
      <c r="AD133" s="2442">
        <f t="shared" si="51"/>
        <v>0</v>
      </c>
      <c r="AE133" s="2442">
        <f t="shared" si="51"/>
        <v>0</v>
      </c>
      <c r="AF133" s="2442">
        <f t="shared" si="51"/>
        <v>0</v>
      </c>
      <c r="AG133" s="2442">
        <f t="shared" si="51"/>
        <v>0</v>
      </c>
      <c r="AH133" s="2442">
        <f t="shared" si="51"/>
        <v>0</v>
      </c>
      <c r="AI133" s="2442">
        <f t="shared" si="51"/>
        <v>0</v>
      </c>
      <c r="AJ133" s="2442">
        <f t="shared" si="51"/>
        <v>0</v>
      </c>
      <c r="AK133" s="2442">
        <f t="shared" si="51"/>
        <v>0</v>
      </c>
      <c r="AL133" s="2442">
        <f t="shared" si="51"/>
        <v>0</v>
      </c>
      <c r="AM133" s="2442">
        <f t="shared" si="51"/>
        <v>0</v>
      </c>
      <c r="AN133" s="2442">
        <f t="shared" si="51"/>
        <v>2.275918367346939E-2</v>
      </c>
      <c r="AO133" s="2442">
        <f t="shared" si="51"/>
        <v>7.3632653061224494E-4</v>
      </c>
      <c r="AP133" s="2442">
        <f t="shared" si="51"/>
        <v>7.3632653061224494E-4</v>
      </c>
      <c r="AQ133" s="2442">
        <f t="shared" si="51"/>
        <v>7.3632653061224494E-4</v>
      </c>
      <c r="AR133" s="2442">
        <f t="shared" si="51"/>
        <v>7.3632653061224494E-4</v>
      </c>
      <c r="AS133" s="2442">
        <f t="shared" si="51"/>
        <v>7.3632653061224502E-3</v>
      </c>
      <c r="AT133" s="2442">
        <f t="shared" si="51"/>
        <v>7.3632653061224494E-4</v>
      </c>
      <c r="AU133" s="2442">
        <f t="shared" si="51"/>
        <v>7.3632653061224494E-4</v>
      </c>
      <c r="AV133" s="2442">
        <f t="shared" si="51"/>
        <v>7.3632653061224504E-2</v>
      </c>
      <c r="AW133" s="2442">
        <f t="shared" si="51"/>
        <v>7.3632653061224502E-3</v>
      </c>
      <c r="AX133" s="2442">
        <f t="shared" si="51"/>
        <v>7.3632653061224504E-2</v>
      </c>
      <c r="AY133" s="2442">
        <f t="shared" si="51"/>
        <v>7.3632653061224504E-2</v>
      </c>
      <c r="AZ133" s="2442">
        <f t="shared" si="51"/>
        <v>0.73632653061224496</v>
      </c>
      <c r="BA133" s="2442">
        <f t="shared" si="51"/>
        <v>0.73632653061224496</v>
      </c>
      <c r="BB133" s="2442">
        <f t="shared" si="51"/>
        <v>7.3632653061224502E-3</v>
      </c>
      <c r="BC133" s="2442">
        <f t="shared" si="51"/>
        <v>7.3632653061224504E-2</v>
      </c>
      <c r="BD133" s="2442">
        <f t="shared" si="51"/>
        <v>0</v>
      </c>
      <c r="BE133" s="2442">
        <f t="shared" si="51"/>
        <v>0.76310204081632649</v>
      </c>
      <c r="BF133" s="2442">
        <f t="shared" si="51"/>
        <v>0.38155102040816324</v>
      </c>
      <c r="BG133" s="2442">
        <f t="shared" si="51"/>
        <v>0</v>
      </c>
      <c r="BH133" s="2442">
        <f t="shared" si="51"/>
        <v>0</v>
      </c>
      <c r="BI133" s="2442">
        <f t="shared" si="51"/>
        <v>0</v>
      </c>
    </row>
    <row r="134" spans="1:61" s="2464" customFormat="1">
      <c r="A134" s="2462"/>
      <c r="B134" s="2462"/>
      <c r="C134" s="2433"/>
      <c r="D134" s="2434"/>
      <c r="E134" s="2516" t="s">
        <v>1184</v>
      </c>
      <c r="F134" s="2465" t="s">
        <v>1158</v>
      </c>
      <c r="G134" s="2431" t="s">
        <v>1157</v>
      </c>
      <c r="H134" s="2442">
        <f t="shared" ref="H134:BI134" si="52">H$43*H132</f>
        <v>6.6741213991895781E-2</v>
      </c>
      <c r="I134" s="2442">
        <f t="shared" si="52"/>
        <v>6.6741213991895781E-2</v>
      </c>
      <c r="J134" s="2442">
        <f>J$43*J132</f>
        <v>1.3590867740756209E-3</v>
      </c>
      <c r="K134" s="2442">
        <f t="shared" si="52"/>
        <v>1.613831114741867E-2</v>
      </c>
      <c r="L134" s="2442">
        <f t="shared" si="52"/>
        <v>6.2989190366516803E-2</v>
      </c>
      <c r="M134" s="2442">
        <f t="shared" si="52"/>
        <v>6.2989190366516803E-2</v>
      </c>
      <c r="N134" s="2442">
        <f>N$43*N132</f>
        <v>1.2253994195137053E-2</v>
      </c>
      <c r="O134" s="2442">
        <f>O$43*O132</f>
        <v>1.2253994195137053E-2</v>
      </c>
      <c r="P134" s="2442">
        <f t="shared" si="52"/>
        <v>6.4138672627360047E-2</v>
      </c>
      <c r="Q134" s="2442">
        <f t="shared" si="52"/>
        <v>6.4138672627360047E-2</v>
      </c>
      <c r="R134" s="2442">
        <f>R$43*R132</f>
        <v>1.3961484910650258E-2</v>
      </c>
      <c r="S134" s="2442">
        <f>S$43*S132</f>
        <v>7.9569723713181245E-2</v>
      </c>
      <c r="T134" s="2442">
        <f>T$43*T132</f>
        <v>7.9569723713181245E-2</v>
      </c>
      <c r="U134" s="2442">
        <f t="shared" si="52"/>
        <v>3.3272954214991324E-2</v>
      </c>
      <c r="V134" s="2442">
        <f t="shared" si="52"/>
        <v>7.724651868802017E-4</v>
      </c>
      <c r="W134" s="2442">
        <f t="shared" si="52"/>
        <v>7.724651868802017E-4</v>
      </c>
      <c r="X134" s="2442">
        <f t="shared" si="52"/>
        <v>0.3834054038413392</v>
      </c>
      <c r="Y134" s="2442">
        <f t="shared" si="52"/>
        <v>1.5801882047311505E-2</v>
      </c>
      <c r="Z134" s="2442">
        <f t="shared" si="52"/>
        <v>1.8660013734847034E-2</v>
      </c>
      <c r="AA134" s="2442">
        <f t="shared" si="52"/>
        <v>2.0890821698805198E-2</v>
      </c>
      <c r="AB134" s="2442">
        <f t="shared" si="52"/>
        <v>1.7860092931234001E-2</v>
      </c>
      <c r="AC134" s="2442">
        <f t="shared" si="52"/>
        <v>2.9610109194841312E-2</v>
      </c>
      <c r="AD134" s="2442">
        <f t="shared" si="52"/>
        <v>3.6140947361362544E-2</v>
      </c>
      <c r="AE134" s="2442">
        <f t="shared" si="52"/>
        <v>0</v>
      </c>
      <c r="AF134" s="2442">
        <f t="shared" si="52"/>
        <v>0</v>
      </c>
      <c r="AG134" s="2442">
        <f t="shared" si="52"/>
        <v>3.0555215288869144E-5</v>
      </c>
      <c r="AH134" s="2442">
        <f t="shared" si="52"/>
        <v>4.0808871856348415E-5</v>
      </c>
      <c r="AI134" s="2442">
        <f t="shared" si="52"/>
        <v>1.4737174879679315E-3</v>
      </c>
      <c r="AJ134" s="2442">
        <f t="shared" si="52"/>
        <v>2.4493423238396562E-3</v>
      </c>
      <c r="AK134" s="2442">
        <f t="shared" si="52"/>
        <v>3.5972435553551559E-3</v>
      </c>
      <c r="AL134" s="2442">
        <f t="shared" si="52"/>
        <v>0</v>
      </c>
      <c r="AM134" s="2442">
        <f t="shared" si="52"/>
        <v>0</v>
      </c>
      <c r="AN134" s="2442">
        <f t="shared" si="52"/>
        <v>2.3236877711126405</v>
      </c>
      <c r="AO134" s="2442">
        <f t="shared" si="52"/>
        <v>0</v>
      </c>
      <c r="AP134" s="2442">
        <f t="shared" si="52"/>
        <v>0</v>
      </c>
      <c r="AQ134" s="2442">
        <f t="shared" si="52"/>
        <v>0</v>
      </c>
      <c r="AR134" s="2442">
        <f t="shared" si="52"/>
        <v>0</v>
      </c>
      <c r="AS134" s="2442">
        <f t="shared" si="52"/>
        <v>0</v>
      </c>
      <c r="AT134" s="2442">
        <f t="shared" si="52"/>
        <v>0</v>
      </c>
      <c r="AU134" s="2442">
        <f t="shared" si="52"/>
        <v>0</v>
      </c>
      <c r="AV134" s="2442">
        <f t="shared" si="52"/>
        <v>0</v>
      </c>
      <c r="AW134" s="2442">
        <f t="shared" si="52"/>
        <v>0</v>
      </c>
      <c r="AX134" s="2442">
        <f t="shared" si="52"/>
        <v>0</v>
      </c>
      <c r="AY134" s="2442">
        <f t="shared" si="52"/>
        <v>0</v>
      </c>
      <c r="AZ134" s="2442">
        <f t="shared" si="52"/>
        <v>0</v>
      </c>
      <c r="BA134" s="2442">
        <f t="shared" si="52"/>
        <v>0</v>
      </c>
      <c r="BB134" s="2442">
        <f t="shared" si="52"/>
        <v>0</v>
      </c>
      <c r="BC134" s="2442">
        <f t="shared" si="52"/>
        <v>0</v>
      </c>
      <c r="BD134" s="2442">
        <f t="shared" si="52"/>
        <v>6.6605361675204957</v>
      </c>
      <c r="BE134" s="2442">
        <f t="shared" si="52"/>
        <v>11.09906739835119</v>
      </c>
      <c r="BF134" s="2442">
        <f t="shared" si="52"/>
        <v>5.549533699175595</v>
      </c>
      <c r="BG134" s="2442">
        <f t="shared" si="52"/>
        <v>30.787012853136723</v>
      </c>
      <c r="BH134" s="2442">
        <f t="shared" si="52"/>
        <v>224.85048386598871</v>
      </c>
      <c r="BI134" s="2442">
        <f t="shared" si="52"/>
        <v>62.366310709088836</v>
      </c>
    </row>
    <row r="135" spans="1:61" s="2464" customFormat="1">
      <c r="A135" s="2462"/>
      <c r="B135" s="2462"/>
      <c r="C135" s="2433"/>
      <c r="D135" s="2434"/>
      <c r="E135" s="2516" t="s">
        <v>1182</v>
      </c>
      <c r="F135" s="2465" t="s">
        <v>233</v>
      </c>
      <c r="G135" s="2431" t="s">
        <v>234</v>
      </c>
      <c r="H135" s="2442">
        <f>H$46*H133</f>
        <v>0</v>
      </c>
      <c r="I135" s="2442">
        <f t="shared" ref="I135:BI135" si="53">I$46*I133</f>
        <v>0</v>
      </c>
      <c r="J135" s="2442">
        <f>J$46*J133</f>
        <v>0</v>
      </c>
      <c r="K135" s="2442">
        <f t="shared" si="53"/>
        <v>0</v>
      </c>
      <c r="L135" s="2442">
        <f t="shared" si="53"/>
        <v>0</v>
      </c>
      <c r="M135" s="2442">
        <f t="shared" si="53"/>
        <v>0</v>
      </c>
      <c r="N135" s="2442">
        <f>N$46*N133</f>
        <v>0</v>
      </c>
      <c r="O135" s="2442">
        <f>O$46*O133</f>
        <v>0</v>
      </c>
      <c r="P135" s="2442">
        <f t="shared" si="53"/>
        <v>0</v>
      </c>
      <c r="Q135" s="2442">
        <f t="shared" si="53"/>
        <v>0</v>
      </c>
      <c r="R135" s="2442">
        <f>R$46*R133</f>
        <v>0</v>
      </c>
      <c r="S135" s="2442">
        <f>S$46*S133</f>
        <v>0</v>
      </c>
      <c r="T135" s="2442">
        <f>T$46*T133</f>
        <v>0</v>
      </c>
      <c r="U135" s="2442">
        <f t="shared" si="53"/>
        <v>0</v>
      </c>
      <c r="V135" s="2442">
        <f t="shared" si="53"/>
        <v>0</v>
      </c>
      <c r="W135" s="2442">
        <f t="shared" si="53"/>
        <v>0</v>
      </c>
      <c r="X135" s="2442">
        <f t="shared" si="53"/>
        <v>0</v>
      </c>
      <c r="Y135" s="2442">
        <f t="shared" si="53"/>
        <v>0</v>
      </c>
      <c r="Z135" s="2442">
        <f t="shared" si="53"/>
        <v>0</v>
      </c>
      <c r="AA135" s="2442">
        <f t="shared" si="53"/>
        <v>0</v>
      </c>
      <c r="AB135" s="2442">
        <f t="shared" si="53"/>
        <v>0</v>
      </c>
      <c r="AC135" s="2442">
        <f t="shared" si="53"/>
        <v>0</v>
      </c>
      <c r="AD135" s="2442">
        <f t="shared" si="53"/>
        <v>0</v>
      </c>
      <c r="AE135" s="2442">
        <f t="shared" si="53"/>
        <v>0</v>
      </c>
      <c r="AF135" s="2442">
        <f t="shared" si="53"/>
        <v>0</v>
      </c>
      <c r="AG135" s="2442">
        <f t="shared" si="53"/>
        <v>0</v>
      </c>
      <c r="AH135" s="2442">
        <f t="shared" si="53"/>
        <v>0</v>
      </c>
      <c r="AI135" s="2442">
        <f t="shared" si="53"/>
        <v>0</v>
      </c>
      <c r="AJ135" s="2442">
        <f t="shared" si="53"/>
        <v>0</v>
      </c>
      <c r="AK135" s="2442">
        <f t="shared" si="53"/>
        <v>0</v>
      </c>
      <c r="AL135" s="2442">
        <f t="shared" si="53"/>
        <v>0</v>
      </c>
      <c r="AM135" s="2442">
        <f t="shared" si="53"/>
        <v>0</v>
      </c>
      <c r="AN135" s="2442">
        <f t="shared" si="53"/>
        <v>9.2255288790372899E-5</v>
      </c>
      <c r="AO135" s="2442">
        <f t="shared" si="53"/>
        <v>4.4930987283561696E-6</v>
      </c>
      <c r="AP135" s="2442">
        <f t="shared" si="53"/>
        <v>3.6910901281674291E-6</v>
      </c>
      <c r="AQ135" s="2442">
        <f t="shared" si="53"/>
        <v>4.7766216264164857E-6</v>
      </c>
      <c r="AR135" s="2442">
        <f t="shared" si="53"/>
        <v>6.3461372728062362E-6</v>
      </c>
      <c r="AS135" s="2442">
        <f t="shared" si="53"/>
        <v>6.1019596410023913E-5</v>
      </c>
      <c r="AT135" s="2442">
        <f t="shared" si="53"/>
        <v>6.8380967506745932E-6</v>
      </c>
      <c r="AU135" s="2442">
        <f t="shared" si="53"/>
        <v>6.9341129994407236E-6</v>
      </c>
      <c r="AV135" s="2442">
        <f t="shared" si="53"/>
        <v>6.6556978522816002E-4</v>
      </c>
      <c r="AW135" s="2442">
        <f t="shared" si="53"/>
        <v>7.0145529514465885E-5</v>
      </c>
      <c r="AX135" s="2442">
        <f t="shared" si="53"/>
        <v>4.4191718900141981E-3</v>
      </c>
      <c r="AY135" s="2442">
        <f t="shared" si="53"/>
        <v>4.4195563217903338E-3</v>
      </c>
      <c r="AZ135" s="2442">
        <f t="shared" si="53"/>
        <v>5.9244635560163995E-2</v>
      </c>
      <c r="BA135" s="2442">
        <f t="shared" si="53"/>
        <v>7.9344934045449012E-2</v>
      </c>
      <c r="BB135" s="2442">
        <f t="shared" si="53"/>
        <v>1.252157962627392E-4</v>
      </c>
      <c r="BC135" s="2442">
        <f t="shared" si="53"/>
        <v>1118.6801116907084</v>
      </c>
      <c r="BD135" s="2442">
        <f t="shared" si="53"/>
        <v>0</v>
      </c>
      <c r="BE135" s="2442">
        <f t="shared" si="53"/>
        <v>5.7754568594822354E-3</v>
      </c>
      <c r="BF135" s="2442">
        <f t="shared" si="53"/>
        <v>2.8877284297411177E-3</v>
      </c>
      <c r="BG135" s="2442">
        <f t="shared" si="53"/>
        <v>0</v>
      </c>
      <c r="BH135" s="2442">
        <f t="shared" si="53"/>
        <v>0</v>
      </c>
      <c r="BI135" s="2442">
        <f t="shared" si="53"/>
        <v>0</v>
      </c>
    </row>
    <row r="136" spans="1:61" s="2464" customFormat="1">
      <c r="A136" s="2462"/>
      <c r="B136" s="2462"/>
      <c r="C136" s="2433"/>
      <c r="D136" s="2434"/>
      <c r="E136" s="2517" t="s">
        <v>988</v>
      </c>
      <c r="F136" s="2466" t="s">
        <v>492</v>
      </c>
      <c r="G136" s="2467" t="s">
        <v>492</v>
      </c>
      <c r="H136" s="2442">
        <f t="shared" ref="H136:BI136" si="54">H$25*H134</f>
        <v>1.7582916425566137E-6</v>
      </c>
      <c r="I136" s="2442">
        <f t="shared" si="54"/>
        <v>1.7582916425566137E-6</v>
      </c>
      <c r="J136" s="2442">
        <f>J$25*J134</f>
        <v>2.3504950695374153E-7</v>
      </c>
      <c r="K136" s="2442">
        <f t="shared" si="54"/>
        <v>6.2185975988568952E-4</v>
      </c>
      <c r="L136" s="2442">
        <f t="shared" si="54"/>
        <v>4.5379860916426622E-4</v>
      </c>
      <c r="M136" s="2442">
        <f t="shared" si="54"/>
        <v>4.5379860916426622E-4</v>
      </c>
      <c r="N136" s="2442">
        <f>N$25*N134</f>
        <v>1.7412073276799306E-4</v>
      </c>
      <c r="O136" s="2442">
        <f>O$25*O134</f>
        <v>1.7412073276799306E-4</v>
      </c>
      <c r="P136" s="2442">
        <f t="shared" si="54"/>
        <v>9.949756158171032E-4</v>
      </c>
      <c r="Q136" s="2442">
        <f t="shared" si="54"/>
        <v>9.949756158171032E-4</v>
      </c>
      <c r="R136" s="2442">
        <f t="shared" ref="R136:T137" si="55">R$25*R134</f>
        <v>8.7060366383996543E-5</v>
      </c>
      <c r="S136" s="2442">
        <f t="shared" si="55"/>
        <v>4.6550135538258941E-4</v>
      </c>
      <c r="T136" s="2442">
        <f t="shared" si="55"/>
        <v>4.6550135538258941E-4</v>
      </c>
      <c r="U136" s="2442">
        <f t="shared" si="54"/>
        <v>9.164249093052267E-4</v>
      </c>
      <c r="V136" s="2442">
        <f t="shared" si="54"/>
        <v>3.482414655359862E-5</v>
      </c>
      <c r="W136" s="2442">
        <f t="shared" si="54"/>
        <v>3.482414655359862E-5</v>
      </c>
      <c r="X136" s="2442">
        <f t="shared" si="54"/>
        <v>3.3159070161384889E-3</v>
      </c>
      <c r="Y136" s="2442">
        <f t="shared" si="54"/>
        <v>9.4715943370246914E-5</v>
      </c>
      <c r="Z136" s="2442">
        <f t="shared" si="54"/>
        <v>6.6237996132284917E-5</v>
      </c>
      <c r="AA136" s="2442">
        <f t="shared" si="54"/>
        <v>4.9748780790855167E-5</v>
      </c>
      <c r="AB136" s="2442">
        <f t="shared" si="54"/>
        <v>4.8101879771825709E-5</v>
      </c>
      <c r="AC136" s="2442">
        <f t="shared" si="54"/>
        <v>1.5561531596257444E-5</v>
      </c>
      <c r="AD136" s="2442">
        <f t="shared" si="54"/>
        <v>3.7177192608143616E-6</v>
      </c>
      <c r="AE136" s="2442">
        <f t="shared" si="54"/>
        <v>0</v>
      </c>
      <c r="AF136" s="2442">
        <f t="shared" si="54"/>
        <v>0</v>
      </c>
      <c r="AG136" s="2442">
        <f t="shared" si="54"/>
        <v>1.8926166605216641E-6</v>
      </c>
      <c r="AH136" s="2442">
        <f t="shared" si="54"/>
        <v>1.8926166605216638E-6</v>
      </c>
      <c r="AI136" s="2442">
        <f t="shared" si="54"/>
        <v>2.7791061425421873E-5</v>
      </c>
      <c r="AJ136" s="2442">
        <f t="shared" si="54"/>
        <v>1.0995021162355873E-5</v>
      </c>
      <c r="AK136" s="2442">
        <f t="shared" si="54"/>
        <v>3.6812474973675562E-6</v>
      </c>
      <c r="AL136" s="2442">
        <f t="shared" si="54"/>
        <v>0</v>
      </c>
      <c r="AM136" s="2442">
        <f t="shared" si="54"/>
        <v>0</v>
      </c>
      <c r="AN136" s="2442">
        <f t="shared" si="54"/>
        <v>9.9326184555575796E-5</v>
      </c>
      <c r="AO136" s="2442">
        <f t="shared" si="54"/>
        <v>0</v>
      </c>
      <c r="AP136" s="2442">
        <f t="shared" si="54"/>
        <v>0</v>
      </c>
      <c r="AQ136" s="2442">
        <f t="shared" si="54"/>
        <v>0</v>
      </c>
      <c r="AR136" s="2442">
        <f t="shared" si="54"/>
        <v>0</v>
      </c>
      <c r="AS136" s="2442">
        <f t="shared" si="54"/>
        <v>0</v>
      </c>
      <c r="AT136" s="2442">
        <f t="shared" si="54"/>
        <v>0</v>
      </c>
      <c r="AU136" s="2442">
        <f t="shared" si="54"/>
        <v>0</v>
      </c>
      <c r="AV136" s="2442">
        <f t="shared" si="54"/>
        <v>0</v>
      </c>
      <c r="AW136" s="2442">
        <f t="shared" si="54"/>
        <v>0</v>
      </c>
      <c r="AX136" s="2442">
        <f t="shared" si="54"/>
        <v>0</v>
      </c>
      <c r="AY136" s="2442">
        <f t="shared" si="54"/>
        <v>0</v>
      </c>
      <c r="AZ136" s="2442">
        <f t="shared" si="54"/>
        <v>0</v>
      </c>
      <c r="BA136" s="2442">
        <f t="shared" si="54"/>
        <v>0</v>
      </c>
      <c r="BB136" s="2442">
        <f t="shared" si="54"/>
        <v>0</v>
      </c>
      <c r="BC136" s="2442">
        <f t="shared" si="54"/>
        <v>0</v>
      </c>
      <c r="BD136" s="2442">
        <f t="shared" si="54"/>
        <v>6.2307420514359031E-6</v>
      </c>
      <c r="BE136" s="2442">
        <f t="shared" si="54"/>
        <v>2.3044628279214327E-7</v>
      </c>
      <c r="BF136" s="2442">
        <f t="shared" si="54"/>
        <v>1.1522314139607163E-7</v>
      </c>
      <c r="BG136" s="2442">
        <f t="shared" si="54"/>
        <v>0.52236219830397912</v>
      </c>
      <c r="BH136" s="2442">
        <f t="shared" si="54"/>
        <v>2.7970934470334844E-4</v>
      </c>
      <c r="BI136" s="2442">
        <f t="shared" si="54"/>
        <v>6.0028409250442597E-4</v>
      </c>
    </row>
    <row r="137" spans="1:61" s="2464" customFormat="1">
      <c r="A137" s="2462"/>
      <c r="B137" s="2462"/>
      <c r="C137" s="2433"/>
      <c r="D137" s="2434"/>
      <c r="E137" s="2518" t="s">
        <v>991</v>
      </c>
      <c r="F137" s="2468" t="s">
        <v>213</v>
      </c>
      <c r="G137" s="2469" t="s">
        <v>213</v>
      </c>
      <c r="H137" s="2470">
        <f t="shared" ref="H137:BI137" si="56">H$25*H135</f>
        <v>0</v>
      </c>
      <c r="I137" s="2470">
        <f t="shared" si="56"/>
        <v>0</v>
      </c>
      <c r="J137" s="2470">
        <f>J$25*J135</f>
        <v>0</v>
      </c>
      <c r="K137" s="2470">
        <f t="shared" si="56"/>
        <v>0</v>
      </c>
      <c r="L137" s="2470">
        <f t="shared" si="56"/>
        <v>0</v>
      </c>
      <c r="M137" s="2470">
        <f t="shared" si="56"/>
        <v>0</v>
      </c>
      <c r="N137" s="2470">
        <f>N$25*N135</f>
        <v>0</v>
      </c>
      <c r="O137" s="2470">
        <f>O$25*O135</f>
        <v>0</v>
      </c>
      <c r="P137" s="2470">
        <f t="shared" si="56"/>
        <v>0</v>
      </c>
      <c r="Q137" s="2470">
        <f t="shared" si="56"/>
        <v>0</v>
      </c>
      <c r="R137" s="2470">
        <f t="shared" si="55"/>
        <v>0</v>
      </c>
      <c r="S137" s="2470">
        <f t="shared" si="55"/>
        <v>0</v>
      </c>
      <c r="T137" s="2470">
        <f t="shared" si="55"/>
        <v>0</v>
      </c>
      <c r="U137" s="2470">
        <f t="shared" si="56"/>
        <v>0</v>
      </c>
      <c r="V137" s="2470">
        <f t="shared" si="56"/>
        <v>0</v>
      </c>
      <c r="W137" s="2470">
        <f t="shared" si="56"/>
        <v>0</v>
      </c>
      <c r="X137" s="2470">
        <f t="shared" si="56"/>
        <v>0</v>
      </c>
      <c r="Y137" s="2470">
        <f t="shared" si="56"/>
        <v>0</v>
      </c>
      <c r="Z137" s="2470">
        <f t="shared" si="56"/>
        <v>0</v>
      </c>
      <c r="AA137" s="2470">
        <f t="shared" si="56"/>
        <v>0</v>
      </c>
      <c r="AB137" s="2470">
        <f t="shared" si="56"/>
        <v>0</v>
      </c>
      <c r="AC137" s="2470">
        <f t="shared" si="56"/>
        <v>0</v>
      </c>
      <c r="AD137" s="2470">
        <f t="shared" si="56"/>
        <v>0</v>
      </c>
      <c r="AE137" s="2470">
        <f t="shared" si="56"/>
        <v>0</v>
      </c>
      <c r="AF137" s="2470">
        <f t="shared" si="56"/>
        <v>0</v>
      </c>
      <c r="AG137" s="2470">
        <f t="shared" si="56"/>
        <v>0</v>
      </c>
      <c r="AH137" s="2470">
        <f t="shared" si="56"/>
        <v>0</v>
      </c>
      <c r="AI137" s="2470">
        <f t="shared" si="56"/>
        <v>0</v>
      </c>
      <c r="AJ137" s="2470">
        <f t="shared" si="56"/>
        <v>0</v>
      </c>
      <c r="AK137" s="2470">
        <f t="shared" si="56"/>
        <v>0</v>
      </c>
      <c r="AL137" s="2470">
        <f t="shared" si="56"/>
        <v>0</v>
      </c>
      <c r="AM137" s="2470">
        <f t="shared" si="56"/>
        <v>0</v>
      </c>
      <c r="AN137" s="2470">
        <f t="shared" si="56"/>
        <v>3.9434583056022501E-9</v>
      </c>
      <c r="AO137" s="2470">
        <f t="shared" si="56"/>
        <v>5.2454306846583059E-11</v>
      </c>
      <c r="AP137" s="2470">
        <f t="shared" si="56"/>
        <v>7.2089654084673749E-11</v>
      </c>
      <c r="AQ137" s="2470">
        <f t="shared" si="56"/>
        <v>3.777475116244417E-11</v>
      </c>
      <c r="AR137" s="2470">
        <f t="shared" si="56"/>
        <v>1.0048264686969745E-11</v>
      </c>
      <c r="AS137" s="2470">
        <f t="shared" si="56"/>
        <v>1.2479168133809508E-10</v>
      </c>
      <c r="AT137" s="2470">
        <f t="shared" si="56"/>
        <v>1.0208164687201931E-12</v>
      </c>
      <c r="AU137" s="2470">
        <f t="shared" si="56"/>
        <v>9.9582619229894631E-13</v>
      </c>
      <c r="AV137" s="2470">
        <f t="shared" si="56"/>
        <v>1.5249015877917092E-11</v>
      </c>
      <c r="AW137" s="2470">
        <f t="shared" si="56"/>
        <v>1.5485925914940685E-12</v>
      </c>
      <c r="AX137" s="2470">
        <f t="shared" si="56"/>
        <v>3.4339835742234886E-12</v>
      </c>
      <c r="AY137" s="2470">
        <f t="shared" si="56"/>
        <v>2.3569345323958391E-12</v>
      </c>
      <c r="AZ137" s="2470">
        <f t="shared" si="56"/>
        <v>2.1098559742162855E-11</v>
      </c>
      <c r="BA137" s="2470">
        <f t="shared" si="56"/>
        <v>4.8802380256397227E-12</v>
      </c>
      <c r="BB137" s="2470">
        <f t="shared" si="56"/>
        <v>1.2194252981024906E-13</v>
      </c>
      <c r="BC137" s="2470">
        <f t="shared" si="56"/>
        <v>2.8941024385932659E-13</v>
      </c>
      <c r="BD137" s="2470">
        <f t="shared" si="56"/>
        <v>0</v>
      </c>
      <c r="BE137" s="2470">
        <f t="shared" si="56"/>
        <v>1.1991390960395303E-10</v>
      </c>
      <c r="BF137" s="2470">
        <f t="shared" si="56"/>
        <v>5.9956954801976515E-11</v>
      </c>
      <c r="BG137" s="2470">
        <f t="shared" si="56"/>
        <v>0</v>
      </c>
      <c r="BH137" s="2470">
        <f t="shared" si="56"/>
        <v>0</v>
      </c>
      <c r="BI137" s="2470">
        <f t="shared" si="56"/>
        <v>0</v>
      </c>
    </row>
    <row r="138" spans="1:61">
      <c r="A138" s="97"/>
      <c r="B138" s="97"/>
      <c r="C138" s="2433"/>
      <c r="D138" s="2434"/>
      <c r="E138" s="592"/>
      <c r="F138" s="225"/>
      <c r="G138" s="59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row>
    <row r="139" spans="1:61" s="2443" customFormat="1">
      <c r="A139" s="2438"/>
      <c r="B139" s="2439"/>
      <c r="C139" s="4112" t="s">
        <v>586</v>
      </c>
      <c r="D139" s="4113"/>
      <c r="E139" s="2517" t="s">
        <v>988</v>
      </c>
      <c r="F139" s="2466" t="s">
        <v>492</v>
      </c>
      <c r="G139" s="2467" t="s">
        <v>492</v>
      </c>
      <c r="H139" s="2442">
        <f t="shared" ref="H139:AM139" si="57">MAX(H128,H136)</f>
        <v>3.602353609140379E-6</v>
      </c>
      <c r="I139" s="2442">
        <f t="shared" si="57"/>
        <v>3.602353609140379E-6</v>
      </c>
      <c r="J139" s="2442">
        <f t="shared" si="57"/>
        <v>4.8156484351498272E-7</v>
      </c>
      <c r="K139" s="2442">
        <f t="shared" si="57"/>
        <v>1.2740541422048271E-3</v>
      </c>
      <c r="L139" s="2442">
        <f t="shared" si="57"/>
        <v>9.2973373584874031E-4</v>
      </c>
      <c r="M139" s="2442">
        <f t="shared" si="57"/>
        <v>9.2973373584874031E-4</v>
      </c>
      <c r="N139" s="2442">
        <f t="shared" si="57"/>
        <v>3.5673515981735163E-4</v>
      </c>
      <c r="O139" s="2442">
        <f t="shared" si="57"/>
        <v>3.5673515981735163E-4</v>
      </c>
      <c r="P139" s="2442">
        <f t="shared" si="57"/>
        <v>2.0384866275277233E-3</v>
      </c>
      <c r="Q139" s="2442">
        <f t="shared" si="57"/>
        <v>2.0384866275277233E-3</v>
      </c>
      <c r="R139" s="2442">
        <f t="shared" si="57"/>
        <v>1.7836757990867579E-4</v>
      </c>
      <c r="S139" s="2442">
        <f t="shared" si="57"/>
        <v>9.5371009395457337E-4</v>
      </c>
      <c r="T139" s="2442">
        <f t="shared" si="57"/>
        <v>9.5371009395457337E-4</v>
      </c>
      <c r="U139" s="2442">
        <f t="shared" si="57"/>
        <v>1.8775534727229035E-3</v>
      </c>
      <c r="V139" s="2442">
        <f t="shared" si="57"/>
        <v>7.1347031963470329E-5</v>
      </c>
      <c r="W139" s="2442">
        <f t="shared" si="57"/>
        <v>7.1347031963470329E-5</v>
      </c>
      <c r="X139" s="2442">
        <f t="shared" si="57"/>
        <v>6.7935655940398309E-3</v>
      </c>
      <c r="Y139" s="2442">
        <f t="shared" si="57"/>
        <v>1.9405217666099362E-4</v>
      </c>
      <c r="Z139" s="2442">
        <f t="shared" si="57"/>
        <v>1.3570711402712029E-4</v>
      </c>
      <c r="AA139" s="2442">
        <f t="shared" si="57"/>
        <v>1.0192433137638617E-4</v>
      </c>
      <c r="AB139" s="2442">
        <f t="shared" si="57"/>
        <v>9.8550192703252644E-5</v>
      </c>
      <c r="AC139" s="2442">
        <f t="shared" si="57"/>
        <v>3.1882162294771349E-5</v>
      </c>
      <c r="AD139" s="2442">
        <f t="shared" si="57"/>
        <v>7.6167906806928379E-6</v>
      </c>
      <c r="AE139" s="2442">
        <f t="shared" si="57"/>
        <v>0</v>
      </c>
      <c r="AF139" s="2442">
        <f t="shared" si="57"/>
        <v>0</v>
      </c>
      <c r="AG139" s="2442">
        <f t="shared" si="57"/>
        <v>3.8775560849712134E-6</v>
      </c>
      <c r="AH139" s="2442">
        <f t="shared" si="57"/>
        <v>3.8775560849712134E-6</v>
      </c>
      <c r="AI139" s="2442">
        <f t="shared" si="57"/>
        <v>5.6937784383791142E-5</v>
      </c>
      <c r="AJ139" s="2442">
        <f t="shared" si="57"/>
        <v>2.2526384820436422E-5</v>
      </c>
      <c r="AK139" s="2442">
        <f t="shared" si="57"/>
        <v>7.5420680433871868E-6</v>
      </c>
      <c r="AL139" s="2442">
        <f t="shared" si="57"/>
        <v>0</v>
      </c>
      <c r="AM139" s="2442">
        <f t="shared" si="57"/>
        <v>0</v>
      </c>
      <c r="AN139" s="2442">
        <f t="shared" ref="AN139:BI139" si="58">MAX(AN128,AN136)</f>
        <v>2.0349754884556984E-4</v>
      </c>
      <c r="AO139" s="2442">
        <f t="shared" si="58"/>
        <v>0</v>
      </c>
      <c r="AP139" s="2442">
        <f t="shared" si="58"/>
        <v>0</v>
      </c>
      <c r="AQ139" s="2442">
        <f t="shared" si="58"/>
        <v>0</v>
      </c>
      <c r="AR139" s="2442">
        <f t="shared" si="58"/>
        <v>0</v>
      </c>
      <c r="AS139" s="2442">
        <f t="shared" si="58"/>
        <v>0</v>
      </c>
      <c r="AT139" s="2442">
        <f t="shared" si="58"/>
        <v>0</v>
      </c>
      <c r="AU139" s="2442">
        <f t="shared" si="58"/>
        <v>0</v>
      </c>
      <c r="AV139" s="2442">
        <f t="shared" si="58"/>
        <v>0</v>
      </c>
      <c r="AW139" s="2442">
        <f t="shared" si="58"/>
        <v>0</v>
      </c>
      <c r="AX139" s="2442">
        <f t="shared" si="58"/>
        <v>0</v>
      </c>
      <c r="AY139" s="2442">
        <f t="shared" si="58"/>
        <v>0</v>
      </c>
      <c r="AZ139" s="2442">
        <f t="shared" si="58"/>
        <v>0</v>
      </c>
      <c r="BA139" s="2442">
        <f t="shared" si="58"/>
        <v>0</v>
      </c>
      <c r="BB139" s="2442">
        <f t="shared" si="58"/>
        <v>0</v>
      </c>
      <c r="BC139" s="2442">
        <f t="shared" si="58"/>
        <v>0</v>
      </c>
      <c r="BD139" s="2442">
        <f t="shared" si="58"/>
        <v>1.2765422739527216E-5</v>
      </c>
      <c r="BE139" s="2442">
        <f t="shared" si="58"/>
        <v>4.7213384767170804E-7</v>
      </c>
      <c r="BF139" s="2442">
        <f t="shared" si="58"/>
        <v>2.3606692383585402E-7</v>
      </c>
      <c r="BG139" s="2442">
        <f t="shared" si="58"/>
        <v>1.070205479452055</v>
      </c>
      <c r="BH139" s="2442">
        <f t="shared" si="58"/>
        <v>5.7306304768490893E-4</v>
      </c>
      <c r="BI139" s="2442">
        <f t="shared" si="58"/>
        <v>1.2298503358627263E-3</v>
      </c>
    </row>
    <row r="140" spans="1:61" s="2483" customFormat="1">
      <c r="A140" s="2478"/>
      <c r="B140" s="2479"/>
      <c r="C140" s="4112"/>
      <c r="D140" s="4113"/>
      <c r="E140" s="2521" t="s">
        <v>991</v>
      </c>
      <c r="F140" s="2480" t="s">
        <v>213</v>
      </c>
      <c r="G140" s="2481" t="s">
        <v>213</v>
      </c>
      <c r="H140" s="2482">
        <f t="shared" ref="H140:AM140" si="59">H129+H137</f>
        <v>0</v>
      </c>
      <c r="I140" s="2482">
        <f t="shared" si="59"/>
        <v>0</v>
      </c>
      <c r="J140" s="2482">
        <f t="shared" si="59"/>
        <v>0</v>
      </c>
      <c r="K140" s="2482">
        <f t="shared" si="59"/>
        <v>1.0192433137638618E-9</v>
      </c>
      <c r="L140" s="2482">
        <f t="shared" si="59"/>
        <v>0</v>
      </c>
      <c r="M140" s="2482">
        <f t="shared" si="59"/>
        <v>0</v>
      </c>
      <c r="N140" s="2482">
        <f t="shared" si="59"/>
        <v>2.0384866275277236E-9</v>
      </c>
      <c r="O140" s="2482">
        <f t="shared" si="59"/>
        <v>2.0384866275277236E-9</v>
      </c>
      <c r="P140" s="2482">
        <f t="shared" si="59"/>
        <v>6.0135355512067847E-9</v>
      </c>
      <c r="Q140" s="2482">
        <f t="shared" si="59"/>
        <v>6.0135355512067847E-9</v>
      </c>
      <c r="R140" s="2482">
        <f t="shared" si="59"/>
        <v>1.019243313763862E-9</v>
      </c>
      <c r="S140" s="2482">
        <f t="shared" si="59"/>
        <v>2.3442596216568829E-8</v>
      </c>
      <c r="T140" s="2482">
        <f t="shared" si="59"/>
        <v>2.3442596216568829E-8</v>
      </c>
      <c r="U140" s="2482">
        <f t="shared" si="59"/>
        <v>4.2808219178082194E-8</v>
      </c>
      <c r="V140" s="2482">
        <f t="shared" si="59"/>
        <v>0</v>
      </c>
      <c r="W140" s="2482">
        <f t="shared" si="59"/>
        <v>0</v>
      </c>
      <c r="X140" s="2482">
        <f t="shared" si="59"/>
        <v>6.1154598825831711E-9</v>
      </c>
      <c r="Y140" s="2482">
        <f t="shared" si="59"/>
        <v>0</v>
      </c>
      <c r="Z140" s="2482">
        <f t="shared" si="59"/>
        <v>2.5481082844096548E-9</v>
      </c>
      <c r="AA140" s="2482">
        <f t="shared" si="59"/>
        <v>0</v>
      </c>
      <c r="AB140" s="2482">
        <f t="shared" si="59"/>
        <v>0</v>
      </c>
      <c r="AC140" s="2482">
        <f t="shared" si="59"/>
        <v>0</v>
      </c>
      <c r="AD140" s="2482">
        <f t="shared" si="59"/>
        <v>0</v>
      </c>
      <c r="AE140" s="2482">
        <f t="shared" si="59"/>
        <v>0</v>
      </c>
      <c r="AF140" s="2482">
        <f t="shared" si="59"/>
        <v>0</v>
      </c>
      <c r="AG140" s="2482">
        <f t="shared" si="59"/>
        <v>0</v>
      </c>
      <c r="AH140" s="2482">
        <f t="shared" si="59"/>
        <v>0</v>
      </c>
      <c r="AI140" s="2482">
        <f t="shared" si="59"/>
        <v>0</v>
      </c>
      <c r="AJ140" s="2482">
        <f t="shared" si="59"/>
        <v>0</v>
      </c>
      <c r="AK140" s="2482">
        <f t="shared" si="59"/>
        <v>0</v>
      </c>
      <c r="AL140" s="2482">
        <f t="shared" si="59"/>
        <v>0</v>
      </c>
      <c r="AM140" s="2482">
        <f t="shared" si="59"/>
        <v>0</v>
      </c>
      <c r="AN140" s="2482">
        <f t="shared" ref="AN140:BI140" si="60">AN129+AN137</f>
        <v>5.7830991748984331E-9</v>
      </c>
      <c r="AO140" s="2482">
        <f t="shared" si="60"/>
        <v>6.9399168164930378E-11</v>
      </c>
      <c r="AP140" s="2482">
        <f t="shared" si="60"/>
        <v>9.8543912038249425E-11</v>
      </c>
      <c r="AQ140" s="2482">
        <f t="shared" si="60"/>
        <v>4.865823564541765E-11</v>
      </c>
      <c r="AR140" s="2482">
        <f t="shared" si="60"/>
        <v>1.2234945511396411E-11</v>
      </c>
      <c r="AS140" s="2482">
        <f t="shared" si="60"/>
        <v>1.5274057600271869E-10</v>
      </c>
      <c r="AT140" s="2482">
        <f t="shared" si="60"/>
        <v>1.2193768424829194E-12</v>
      </c>
      <c r="AU140" s="2482">
        <f t="shared" si="60"/>
        <v>1.1894421416392748E-12</v>
      </c>
      <c r="AV140" s="2482">
        <f t="shared" si="60"/>
        <v>1.8183179713700889E-11</v>
      </c>
      <c r="AW140" s="2482">
        <f t="shared" si="60"/>
        <v>1.8465579688106063E-12</v>
      </c>
      <c r="AX140" s="2482">
        <f t="shared" si="60"/>
        <v>4.0937282045251311E-12</v>
      </c>
      <c r="AY140" s="2482">
        <f t="shared" si="60"/>
        <v>2.809717806932666E-12</v>
      </c>
      <c r="AZ140" s="2482">
        <f t="shared" si="60"/>
        <v>2.5151653952071388E-11</v>
      </c>
      <c r="BA140" s="2482">
        <f t="shared" si="60"/>
        <v>5.8176339059587982E-12</v>
      </c>
      <c r="BB140" s="2482">
        <f t="shared" si="60"/>
        <v>1.4536687186683268E-13</v>
      </c>
      <c r="BC140" s="2482">
        <f t="shared" si="60"/>
        <v>3.4499931861168919E-13</v>
      </c>
      <c r="BD140" s="2482">
        <f t="shared" si="60"/>
        <v>0</v>
      </c>
      <c r="BE140" s="2482">
        <f t="shared" si="60"/>
        <v>1.4297869000183798E-10</v>
      </c>
      <c r="BF140" s="2482">
        <f t="shared" si="60"/>
        <v>7.1489345000918991E-11</v>
      </c>
      <c r="BG140" s="2482">
        <f t="shared" si="60"/>
        <v>0</v>
      </c>
      <c r="BH140" s="2482">
        <f t="shared" si="60"/>
        <v>0</v>
      </c>
      <c r="BI140" s="2482">
        <f t="shared" si="60"/>
        <v>0</v>
      </c>
    </row>
    <row r="141" spans="1:61" s="26" customFormat="1">
      <c r="A141" s="398"/>
      <c r="B141" s="27"/>
      <c r="C141" s="2425"/>
      <c r="D141" s="2426"/>
      <c r="E141" s="103"/>
      <c r="F141" s="14"/>
      <c r="G141" s="105"/>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row>
    <row r="142" spans="1:61" s="26" customFormat="1">
      <c r="A142" s="398"/>
      <c r="B142" s="27"/>
      <c r="C142" s="2425"/>
      <c r="D142" s="2426"/>
      <c r="E142" s="103" t="s">
        <v>989</v>
      </c>
      <c r="F142" s="14" t="str">
        <f>F$18</f>
        <v>Cs</v>
      </c>
      <c r="G142" s="105" t="str">
        <f>G$18</f>
        <v>mg/kg ms</v>
      </c>
      <c r="H142" s="56">
        <f t="shared" ref="H142:AM142" si="61">IF(H139=0,"PVL",H$15/MAX(H126,H134)/H$20)</f>
        <v>555.19258157370484</v>
      </c>
      <c r="I142" s="56">
        <f t="shared" si="61"/>
        <v>555.19258157370484</v>
      </c>
      <c r="J142" s="56">
        <f t="shared" si="61"/>
        <v>4153.1270958274908</v>
      </c>
      <c r="K142" s="56">
        <f t="shared" si="61"/>
        <v>1.5697919999999999</v>
      </c>
      <c r="L142" s="56">
        <f t="shared" si="61"/>
        <v>2.1511535215770454</v>
      </c>
      <c r="M142" s="56">
        <f t="shared" si="61"/>
        <v>2.1511535215770454</v>
      </c>
      <c r="N142" s="56">
        <f t="shared" si="61"/>
        <v>5.6064000000000007</v>
      </c>
      <c r="O142" s="56">
        <f t="shared" si="61"/>
        <v>5.6064000000000007</v>
      </c>
      <c r="P142" s="56">
        <f t="shared" si="61"/>
        <v>0.9811200000000001</v>
      </c>
      <c r="Q142" s="56">
        <f t="shared" si="61"/>
        <v>0.9811200000000001</v>
      </c>
      <c r="R142" s="56">
        <f t="shared" si="61"/>
        <v>11.212800000000003</v>
      </c>
      <c r="S142" s="56">
        <f t="shared" si="61"/>
        <v>2.0970733272906545</v>
      </c>
      <c r="T142" s="56">
        <f t="shared" si="61"/>
        <v>2.0970733272906545</v>
      </c>
      <c r="U142" s="56">
        <f t="shared" si="61"/>
        <v>1.0652159999999999</v>
      </c>
      <c r="V142" s="56">
        <f t="shared" si="61"/>
        <v>28.031999999999996</v>
      </c>
      <c r="W142" s="56">
        <f t="shared" si="61"/>
        <v>28.031999999999996</v>
      </c>
      <c r="X142" s="56">
        <f t="shared" si="61"/>
        <v>0.2943962154063326</v>
      </c>
      <c r="Y142" s="56">
        <f t="shared" si="61"/>
        <v>10.306506396441879</v>
      </c>
      <c r="Z142" s="56">
        <f t="shared" si="61"/>
        <v>14.737620900259596</v>
      </c>
      <c r="AA142" s="56">
        <f t="shared" si="61"/>
        <v>19.622400000000003</v>
      </c>
      <c r="AB142" s="56">
        <f t="shared" si="61"/>
        <v>20.294227186569373</v>
      </c>
      <c r="AC142" s="56">
        <f t="shared" si="61"/>
        <v>62.731002417862939</v>
      </c>
      <c r="AD142" s="56">
        <f t="shared" si="61"/>
        <v>262.57778161997174</v>
      </c>
      <c r="AE142" s="56" t="str">
        <f t="shared" si="61"/>
        <v>PVL</v>
      </c>
      <c r="AF142" s="56" t="str">
        <f t="shared" si="61"/>
        <v>PVL</v>
      </c>
      <c r="AG142" s="56">
        <f t="shared" si="61"/>
        <v>515.78880000000004</v>
      </c>
      <c r="AH142" s="56">
        <f t="shared" si="61"/>
        <v>515.78879999999992</v>
      </c>
      <c r="AI142" s="56">
        <f t="shared" si="61"/>
        <v>35.126059463763632</v>
      </c>
      <c r="AJ142" s="56">
        <f t="shared" si="61"/>
        <v>88.784774651703415</v>
      </c>
      <c r="AK142" s="56">
        <f t="shared" si="61"/>
        <v>265.17925700147731</v>
      </c>
      <c r="AL142" s="56" t="str">
        <f t="shared" si="61"/>
        <v>PVL</v>
      </c>
      <c r="AM142" s="56" t="str">
        <f t="shared" si="61"/>
        <v>PVL</v>
      </c>
      <c r="AN142" s="56">
        <f t="shared" ref="AN142:BI142" si="62">IF(AN139=0,"PVL",AN$15/MAX(AN126,AN134)/AN$20)</f>
        <v>9.828128207665829</v>
      </c>
      <c r="AO142" s="56" t="str">
        <f t="shared" si="62"/>
        <v>PVL</v>
      </c>
      <c r="AP142" s="56" t="str">
        <f t="shared" si="62"/>
        <v>PVL</v>
      </c>
      <c r="AQ142" s="56" t="str">
        <f t="shared" si="62"/>
        <v>PVL</v>
      </c>
      <c r="AR142" s="56" t="str">
        <f t="shared" si="62"/>
        <v>PVL</v>
      </c>
      <c r="AS142" s="56" t="str">
        <f t="shared" si="62"/>
        <v>PVL</v>
      </c>
      <c r="AT142" s="56" t="str">
        <f t="shared" si="62"/>
        <v>PVL</v>
      </c>
      <c r="AU142" s="56" t="str">
        <f t="shared" si="62"/>
        <v>PVL</v>
      </c>
      <c r="AV142" s="56" t="str">
        <f t="shared" si="62"/>
        <v>PVL</v>
      </c>
      <c r="AW142" s="56" t="str">
        <f t="shared" si="62"/>
        <v>PVL</v>
      </c>
      <c r="AX142" s="56" t="str">
        <f t="shared" si="62"/>
        <v>PVL</v>
      </c>
      <c r="AY142" s="56" t="str">
        <f t="shared" si="62"/>
        <v>PVL</v>
      </c>
      <c r="AZ142" s="56" t="str">
        <f t="shared" si="62"/>
        <v>PVL</v>
      </c>
      <c r="BA142" s="56" t="str">
        <f t="shared" si="62"/>
        <v>PVL</v>
      </c>
      <c r="BB142" s="56" t="str">
        <f t="shared" si="62"/>
        <v>PVL</v>
      </c>
      <c r="BC142" s="56" t="str">
        <f t="shared" si="62"/>
        <v>PVL</v>
      </c>
      <c r="BD142" s="56">
        <f t="shared" si="62"/>
        <v>156.67322898811207</v>
      </c>
      <c r="BE142" s="56">
        <f t="shared" si="62"/>
        <v>4236.0868848163436</v>
      </c>
      <c r="BF142" s="56">
        <f t="shared" si="62"/>
        <v>8472.1737696326873</v>
      </c>
      <c r="BG142" s="56">
        <f t="shared" si="62"/>
        <v>8.4095999999999986E-4</v>
      </c>
      <c r="BH142" s="56">
        <f t="shared" si="62"/>
        <v>3.4900173865331361</v>
      </c>
      <c r="BI142" s="56">
        <f t="shared" si="62"/>
        <v>1.6262141349069297</v>
      </c>
    </row>
    <row r="143" spans="1:61" s="26" customFormat="1">
      <c r="A143" s="398"/>
      <c r="B143" s="27"/>
      <c r="C143" s="2425"/>
      <c r="D143" s="2426"/>
      <c r="E143" s="103" t="s">
        <v>992</v>
      </c>
      <c r="F143" s="14" t="str">
        <f>F142</f>
        <v>Cs</v>
      </c>
      <c r="G143" s="105" t="str">
        <f>G142</f>
        <v>mg/kg ms</v>
      </c>
      <c r="H143" s="56" t="str">
        <f t="shared" ref="H143:AM143" si="63">IF(H140=0,"PVL",H$16/(H127+H135)/H$20)</f>
        <v>PVL</v>
      </c>
      <c r="I143" s="56" t="str">
        <f t="shared" si="63"/>
        <v>PVL</v>
      </c>
      <c r="J143" s="56" t="str">
        <f t="shared" si="63"/>
        <v>PVL</v>
      </c>
      <c r="K143" s="56">
        <f t="shared" si="63"/>
        <v>9.8111999999999977</v>
      </c>
      <c r="L143" s="56" t="str">
        <f t="shared" si="63"/>
        <v>PVL</v>
      </c>
      <c r="M143" s="56" t="str">
        <f t="shared" si="63"/>
        <v>PVL</v>
      </c>
      <c r="N143" s="56">
        <f t="shared" si="63"/>
        <v>4.9055999999999989</v>
      </c>
      <c r="O143" s="56">
        <f t="shared" si="63"/>
        <v>4.9055999999999989</v>
      </c>
      <c r="P143" s="56">
        <f t="shared" si="63"/>
        <v>1.6629152542372878</v>
      </c>
      <c r="Q143" s="56">
        <f t="shared" si="63"/>
        <v>1.6629152542372878</v>
      </c>
      <c r="R143" s="56">
        <f t="shared" si="63"/>
        <v>9.8111999999999977</v>
      </c>
      <c r="S143" s="56">
        <f t="shared" si="63"/>
        <v>0.42657391304347808</v>
      </c>
      <c r="T143" s="56">
        <f t="shared" si="63"/>
        <v>0.42657391304347808</v>
      </c>
      <c r="U143" s="56">
        <f t="shared" si="63"/>
        <v>0.2336</v>
      </c>
      <c r="V143" s="56" t="str">
        <f t="shared" si="63"/>
        <v>PVL</v>
      </c>
      <c r="W143" s="56" t="str">
        <f t="shared" si="63"/>
        <v>PVL</v>
      </c>
      <c r="X143" s="56">
        <f t="shared" si="63"/>
        <v>1.6351999999999998</v>
      </c>
      <c r="Y143" s="56" t="str">
        <f t="shared" si="63"/>
        <v>PVL</v>
      </c>
      <c r="Z143" s="56">
        <f t="shared" si="63"/>
        <v>3.9244799999999995</v>
      </c>
      <c r="AA143" s="56" t="str">
        <f t="shared" si="63"/>
        <v>PVL</v>
      </c>
      <c r="AB143" s="56" t="str">
        <f t="shared" si="63"/>
        <v>PVL</v>
      </c>
      <c r="AC143" s="56" t="str">
        <f t="shared" si="63"/>
        <v>PVL</v>
      </c>
      <c r="AD143" s="56" t="str">
        <f t="shared" si="63"/>
        <v>PVL</v>
      </c>
      <c r="AE143" s="56" t="str">
        <f t="shared" si="63"/>
        <v>PVL</v>
      </c>
      <c r="AF143" s="56" t="str">
        <f t="shared" si="63"/>
        <v>PVL</v>
      </c>
      <c r="AG143" s="56" t="str">
        <f t="shared" si="63"/>
        <v>PVL</v>
      </c>
      <c r="AH143" s="56" t="str">
        <f t="shared" si="63"/>
        <v>PVL</v>
      </c>
      <c r="AI143" s="56" t="str">
        <f t="shared" si="63"/>
        <v>PVL</v>
      </c>
      <c r="AJ143" s="56" t="str">
        <f t="shared" si="63"/>
        <v>PVL</v>
      </c>
      <c r="AK143" s="56" t="str">
        <f t="shared" si="63"/>
        <v>PVL</v>
      </c>
      <c r="AL143" s="56" t="str">
        <f t="shared" si="63"/>
        <v>PVL</v>
      </c>
      <c r="AM143" s="56" t="str">
        <f t="shared" si="63"/>
        <v>PVL</v>
      </c>
      <c r="AN143" s="56">
        <f t="shared" ref="AN143:BI143" si="64">IF(AN140=0,"PVL",AN$16/(AN127+AN135)/AN$20)</f>
        <v>1.7291766399934905</v>
      </c>
      <c r="AO143" s="56">
        <f t="shared" si="64"/>
        <v>144.0939461440594</v>
      </c>
      <c r="AP143" s="56">
        <f t="shared" si="64"/>
        <v>101.47760316353728</v>
      </c>
      <c r="AQ143" s="56">
        <f t="shared" si="64"/>
        <v>205.51505551643945</v>
      </c>
      <c r="AR143" s="56">
        <f t="shared" si="64"/>
        <v>817.33097958510382</v>
      </c>
      <c r="AS143" s="56">
        <f t="shared" si="64"/>
        <v>65.47048768378356</v>
      </c>
      <c r="AT143" s="56">
        <f t="shared" si="64"/>
        <v>8200.9102121685373</v>
      </c>
      <c r="AU143" s="56">
        <f t="shared" si="64"/>
        <v>8407.3025916318384</v>
      </c>
      <c r="AV143" s="56">
        <f t="shared" si="64"/>
        <v>549.95881674452539</v>
      </c>
      <c r="AW143" s="56">
        <f t="shared" si="64"/>
        <v>5415.4812190603134</v>
      </c>
      <c r="AX143" s="56">
        <f t="shared" si="64"/>
        <v>2442.7610970719029</v>
      </c>
      <c r="AY143" s="56">
        <f t="shared" si="64"/>
        <v>3559.0762799474433</v>
      </c>
      <c r="AZ143" s="56">
        <f t="shared" si="64"/>
        <v>397.58816732513299</v>
      </c>
      <c r="BA143" s="56">
        <f t="shared" si="64"/>
        <v>1718.9118740794863</v>
      </c>
      <c r="BB143" s="56">
        <f t="shared" si="64"/>
        <v>68791.464462142219</v>
      </c>
      <c r="BC143" s="56">
        <f t="shared" si="64"/>
        <v>28985.56449398501</v>
      </c>
      <c r="BD143" s="56" t="str">
        <f t="shared" si="64"/>
        <v>PVL</v>
      </c>
      <c r="BE143" s="56">
        <f t="shared" si="64"/>
        <v>69.940492529840981</v>
      </c>
      <c r="BF143" s="56">
        <f t="shared" si="64"/>
        <v>139.88098505968196</v>
      </c>
      <c r="BG143" s="56" t="str">
        <f t="shared" si="64"/>
        <v>PVL</v>
      </c>
      <c r="BH143" s="56" t="str">
        <f t="shared" si="64"/>
        <v>PVL</v>
      </c>
      <c r="BI143" s="56" t="str">
        <f t="shared" si="64"/>
        <v>PVL</v>
      </c>
    </row>
    <row r="144" spans="1:61" s="513" customFormat="1">
      <c r="A144" s="2437"/>
      <c r="B144" s="510"/>
      <c r="C144" s="2425"/>
      <c r="D144" s="2426"/>
      <c r="E144" s="352" t="s">
        <v>493</v>
      </c>
      <c r="F144" s="63" t="str">
        <f>F143</f>
        <v>Cs</v>
      </c>
      <c r="G144" s="515" t="str">
        <f>G143</f>
        <v>mg/kg ms</v>
      </c>
      <c r="H144" s="237">
        <f t="shared" ref="H144:AL144" si="65">IF(MIN(H142:H143)&gt;0,MIN(H142:H143),H142)</f>
        <v>555.19258157370484</v>
      </c>
      <c r="I144" s="237">
        <f t="shared" si="65"/>
        <v>555.19258157370484</v>
      </c>
      <c r="J144" s="237">
        <f>IF(MIN(J142:J143)&gt;0,MIN(J142:J143),J142)</f>
        <v>4153.1270958274908</v>
      </c>
      <c r="K144" s="237">
        <f t="shared" si="65"/>
        <v>1.5697919999999999</v>
      </c>
      <c r="L144" s="237">
        <f t="shared" si="65"/>
        <v>2.1511535215770454</v>
      </c>
      <c r="M144" s="237">
        <f t="shared" si="65"/>
        <v>2.1511535215770454</v>
      </c>
      <c r="N144" s="237">
        <f>IF(MIN(N142:N143)&gt;0,MIN(N142:N143),N142)</f>
        <v>4.9055999999999989</v>
      </c>
      <c r="O144" s="237">
        <f>IF(MIN(O142:O143)&gt;0,MIN(O142:O143),O142)</f>
        <v>4.9055999999999989</v>
      </c>
      <c r="P144" s="237">
        <f t="shared" si="65"/>
        <v>0.9811200000000001</v>
      </c>
      <c r="Q144" s="237">
        <f t="shared" si="65"/>
        <v>0.9811200000000001</v>
      </c>
      <c r="R144" s="237">
        <f>IF(MIN(R142:R143)&gt;0,MIN(R142:R143),R142)</f>
        <v>9.8111999999999977</v>
      </c>
      <c r="S144" s="237">
        <f>IF(MIN(S142:S143)&gt;0,MIN(S142:S143),S142)</f>
        <v>0.42657391304347808</v>
      </c>
      <c r="T144" s="237">
        <f>IF(MIN(T142:T143)&gt;0,MIN(T142:T143),T142)</f>
        <v>0.42657391304347808</v>
      </c>
      <c r="U144" s="237">
        <f t="shared" si="65"/>
        <v>0.2336</v>
      </c>
      <c r="V144" s="237">
        <f t="shared" si="65"/>
        <v>28.031999999999996</v>
      </c>
      <c r="W144" s="237">
        <f t="shared" si="65"/>
        <v>28.031999999999996</v>
      </c>
      <c r="X144" s="237">
        <f t="shared" si="65"/>
        <v>0.2943962154063326</v>
      </c>
      <c r="Y144" s="237">
        <f t="shared" si="65"/>
        <v>10.306506396441879</v>
      </c>
      <c r="Z144" s="237">
        <f t="shared" si="65"/>
        <v>3.9244799999999995</v>
      </c>
      <c r="AA144" s="237">
        <f t="shared" si="65"/>
        <v>19.622400000000003</v>
      </c>
      <c r="AB144" s="237">
        <f t="shared" si="65"/>
        <v>20.294227186569373</v>
      </c>
      <c r="AC144" s="237">
        <f t="shared" si="65"/>
        <v>62.731002417862939</v>
      </c>
      <c r="AD144" s="237">
        <f t="shared" si="65"/>
        <v>262.57778161997174</v>
      </c>
      <c r="AE144" s="237" t="str">
        <f t="shared" si="65"/>
        <v>PVL</v>
      </c>
      <c r="AF144" s="237" t="str">
        <f t="shared" si="65"/>
        <v>PVL</v>
      </c>
      <c r="AG144" s="237">
        <f t="shared" si="65"/>
        <v>515.78880000000004</v>
      </c>
      <c r="AH144" s="237">
        <f t="shared" si="65"/>
        <v>515.78879999999992</v>
      </c>
      <c r="AI144" s="237">
        <f t="shared" si="65"/>
        <v>35.126059463763632</v>
      </c>
      <c r="AJ144" s="237">
        <f t="shared" si="65"/>
        <v>88.784774651703415</v>
      </c>
      <c r="AK144" s="237">
        <f t="shared" si="65"/>
        <v>265.17925700147731</v>
      </c>
      <c r="AL144" s="237" t="str">
        <f t="shared" si="65"/>
        <v>PVL</v>
      </c>
      <c r="AM144" s="237" t="str">
        <f t="shared" ref="AM144:BI144" si="66">IF(MIN(AM142:AM143)&gt;0,MIN(AM142:AM143),AM142)</f>
        <v>PVL</v>
      </c>
      <c r="AN144" s="237">
        <f t="shared" si="66"/>
        <v>1.7291766399934905</v>
      </c>
      <c r="AO144" s="237">
        <f t="shared" si="66"/>
        <v>144.0939461440594</v>
      </c>
      <c r="AP144" s="237">
        <f t="shared" si="66"/>
        <v>101.47760316353728</v>
      </c>
      <c r="AQ144" s="237">
        <f t="shared" si="66"/>
        <v>205.51505551643945</v>
      </c>
      <c r="AR144" s="237">
        <f t="shared" si="66"/>
        <v>817.33097958510382</v>
      </c>
      <c r="AS144" s="237">
        <f t="shared" si="66"/>
        <v>65.47048768378356</v>
      </c>
      <c r="AT144" s="237">
        <f t="shared" si="66"/>
        <v>8200.9102121685373</v>
      </c>
      <c r="AU144" s="237">
        <f t="shared" si="66"/>
        <v>8407.3025916318384</v>
      </c>
      <c r="AV144" s="237">
        <f t="shared" si="66"/>
        <v>549.95881674452539</v>
      </c>
      <c r="AW144" s="237">
        <f t="shared" si="66"/>
        <v>5415.4812190603134</v>
      </c>
      <c r="AX144" s="237">
        <f t="shared" si="66"/>
        <v>2442.7610970719029</v>
      </c>
      <c r="AY144" s="237">
        <f t="shared" si="66"/>
        <v>3559.0762799474433</v>
      </c>
      <c r="AZ144" s="237">
        <f t="shared" si="66"/>
        <v>397.58816732513299</v>
      </c>
      <c r="BA144" s="237">
        <f t="shared" si="66"/>
        <v>1718.9118740794863</v>
      </c>
      <c r="BB144" s="237">
        <f t="shared" si="66"/>
        <v>68791.464462142219</v>
      </c>
      <c r="BC144" s="237">
        <f t="shared" si="66"/>
        <v>28985.56449398501</v>
      </c>
      <c r="BD144" s="237">
        <f t="shared" si="66"/>
        <v>156.67322898811207</v>
      </c>
      <c r="BE144" s="237">
        <f t="shared" si="66"/>
        <v>69.940492529840981</v>
      </c>
      <c r="BF144" s="237">
        <f t="shared" si="66"/>
        <v>139.88098505968196</v>
      </c>
      <c r="BG144" s="237">
        <f t="shared" si="66"/>
        <v>8.4095999999999986E-4</v>
      </c>
      <c r="BH144" s="237">
        <f t="shared" si="66"/>
        <v>3.4900173865331361</v>
      </c>
      <c r="BI144" s="237">
        <f t="shared" si="66"/>
        <v>1.6262141349069297</v>
      </c>
    </row>
    <row r="145" spans="1:61" s="2457" customFormat="1">
      <c r="A145" s="2451"/>
      <c r="B145" s="2452"/>
      <c r="C145" s="2425"/>
      <c r="D145" s="2426"/>
      <c r="E145" s="2519" t="s">
        <v>499</v>
      </c>
      <c r="F145" s="2455" t="s">
        <v>19</v>
      </c>
      <c r="G145" s="2490" t="s">
        <v>20</v>
      </c>
      <c r="H145" s="2456">
        <f>IF(H144&lt;'3phas'!H23,H144,"PVL")</f>
        <v>555.19258157370484</v>
      </c>
      <c r="I145" s="2456">
        <f>IF(I144&lt;'3phas'!I23,I144,"PVL")</f>
        <v>555.19258157370484</v>
      </c>
      <c r="J145" s="2456">
        <f>IF(J144&lt;'3phas'!J23,J144,"PVL")</f>
        <v>4153.1270958274908</v>
      </c>
      <c r="K145" s="2456">
        <f>IF(K144&lt;'3phas'!K23,K144,"PVL")</f>
        <v>1.5697919999999999</v>
      </c>
      <c r="L145" s="2456">
        <f>IF(L144&lt;'3phas'!L23,L144,"PVL")</f>
        <v>2.1511535215770454</v>
      </c>
      <c r="M145" s="2456">
        <f>IF(M144&lt;'3phas'!M23,M144,"PVL")</f>
        <v>2.1511535215770454</v>
      </c>
      <c r="N145" s="2456">
        <f>IF(N144&lt;'3phas'!N23,N144,"PVL")</f>
        <v>4.9055999999999989</v>
      </c>
      <c r="O145" s="2456">
        <f>IF(O144&lt;'3phas'!O23,O144,"PVL")</f>
        <v>4.9055999999999989</v>
      </c>
      <c r="P145" s="2456">
        <f>IF(P144&lt;'3phas'!P23,P144,"PVL")</f>
        <v>0.9811200000000001</v>
      </c>
      <c r="Q145" s="2456">
        <f>IF(Q144&lt;'3phas'!Q23,Q144,"PVL")</f>
        <v>0.9811200000000001</v>
      </c>
      <c r="R145" s="2456">
        <f>IF(R144&lt;'3phas'!R23,R144,"PVL")</f>
        <v>9.8111999999999977</v>
      </c>
      <c r="S145" s="2456">
        <f>IF(S144&lt;'3phas'!S23,S144,"PVL")</f>
        <v>0.42657391304347808</v>
      </c>
      <c r="T145" s="2456">
        <f>IF(T144&lt;'3phas'!T23,T144,"PVL")</f>
        <v>0.42657391304347808</v>
      </c>
      <c r="U145" s="2456">
        <f>IF(U144&lt;'3phas'!U23,U144,"PVL")</f>
        <v>0.2336</v>
      </c>
      <c r="V145" s="2456">
        <f>IF(V144&lt;'3phas'!V23,V144,"PVL")</f>
        <v>28.031999999999996</v>
      </c>
      <c r="W145" s="2456">
        <f>IF(W144&lt;'3phas'!W23,W144,"PVL")</f>
        <v>28.031999999999996</v>
      </c>
      <c r="X145" s="2456">
        <f>IF(X144&lt;'3phas'!X23,X144,"PVL")</f>
        <v>0.2943962154063326</v>
      </c>
      <c r="Y145" s="2456">
        <f>IF(Y144&lt;'3phas'!Y23,Y144,"PVL")</f>
        <v>10.306506396441879</v>
      </c>
      <c r="Z145" s="2456">
        <f>IF(Z144&lt;'3phas'!Z23,Z144,"PVL")</f>
        <v>3.9244799999999995</v>
      </c>
      <c r="AA145" s="2456">
        <f>IF(AA144&lt;'3phas'!AA23,AA144,"PVL")</f>
        <v>19.622400000000003</v>
      </c>
      <c r="AB145" s="2456">
        <f>IF(AB144&lt;'3phas'!AB23,AB144,"PVL")</f>
        <v>20.294227186569373</v>
      </c>
      <c r="AC145" s="2456">
        <f>IF(AC144&lt;'3phas'!AC23,AC144,"PVL")</f>
        <v>62.731002417862939</v>
      </c>
      <c r="AD145" s="2456" t="str">
        <f>IF(AD144&lt;'3phas'!AD23,AD144,"PVL")</f>
        <v>PVL</v>
      </c>
      <c r="AE145" s="2456" t="str">
        <f>IF(AE144&lt;'3phas'!AE23,AE144,"PVL")</f>
        <v>PVL</v>
      </c>
      <c r="AF145" s="2456" t="str">
        <f>IF(AF144&lt;'3phas'!AF23,AF144,"PVL")</f>
        <v>PVL</v>
      </c>
      <c r="AG145" s="2456" t="str">
        <f>IF(AG144&lt;'3phas'!AG23,AG144,"PVL")</f>
        <v>PVL</v>
      </c>
      <c r="AH145" s="2456" t="str">
        <f>IF(AH144&lt;'3phas'!AH23,AH144,"PVL")</f>
        <v>PVL</v>
      </c>
      <c r="AI145" s="2456" t="str">
        <f>IF(AI144&lt;'3phas'!AI23,AI144,"PVL")</f>
        <v>PVL</v>
      </c>
      <c r="AJ145" s="2456" t="str">
        <f>IF(AJ144&lt;'3phas'!AJ23,AJ144,"PVL")</f>
        <v>PVL</v>
      </c>
      <c r="AK145" s="2456" t="str">
        <f>IF(AK144&lt;'3phas'!AK23,AK144,"PVL")</f>
        <v>PVL</v>
      </c>
      <c r="AL145" s="2456" t="str">
        <f>IF(AL144&lt;'3phas'!AL23,AL144,"PVL")</f>
        <v>PVL</v>
      </c>
      <c r="AM145" s="2456" t="str">
        <f>IF(AM144&lt;'3phas'!AM23,AM144,"PVL")</f>
        <v>PVL</v>
      </c>
      <c r="AN145" s="2456">
        <f>IF(AN144&lt;'3phas'!AN23,AN144,"PVL")</f>
        <v>1.7291766399934905</v>
      </c>
      <c r="AO145" s="2456" t="str">
        <f>IF(AO144&lt;'3phas'!AO23,AO144,"PVL")</f>
        <v>PVL</v>
      </c>
      <c r="AP145" s="2456" t="str">
        <f>IF(AP144&lt;'3phas'!AP23,AP144,"PVL")</f>
        <v>PVL</v>
      </c>
      <c r="AQ145" s="2456" t="str">
        <f>IF(AQ144&lt;'3phas'!AQ23,AQ144,"PVL")</f>
        <v>PVL</v>
      </c>
      <c r="AR145" s="2456" t="str">
        <f>IF(AR144&lt;'3phas'!AR23,AR144,"PVL")</f>
        <v>PVL</v>
      </c>
      <c r="AS145" s="2456" t="str">
        <f>IF(AS144&lt;'3phas'!AS23,AS144,"PVL")</f>
        <v>PVL</v>
      </c>
      <c r="AT145" s="2456" t="str">
        <f>IF(AT144&lt;'3phas'!AT23,AT144,"PVL")</f>
        <v>PVL</v>
      </c>
      <c r="AU145" s="2456" t="str">
        <f>IF(AU144&lt;'3phas'!AU23,AU144,"PVL")</f>
        <v>PVL</v>
      </c>
      <c r="AV145" s="2456" t="str">
        <f>IF(AV144&lt;'3phas'!AV23,AV144,"PVL")</f>
        <v>PVL</v>
      </c>
      <c r="AW145" s="2456" t="str">
        <f>IF(AW144&lt;'3phas'!AW23,AW144,"PVL")</f>
        <v>PVL</v>
      </c>
      <c r="AX145" s="2456" t="str">
        <f>IF(AX144&lt;'3phas'!AX23,AX144,"PVL")</f>
        <v>PVL</v>
      </c>
      <c r="AY145" s="2456" t="str">
        <f>IF(AY144&lt;'3phas'!AY23,AY144,"PVL")</f>
        <v>PVL</v>
      </c>
      <c r="AZ145" s="2456" t="str">
        <f>IF(AZ144&lt;'3phas'!AZ23,AZ144,"PVL")</f>
        <v>PVL</v>
      </c>
      <c r="BA145" s="2456" t="str">
        <f>IF(BA144&lt;'3phas'!BA23,BA144,"PVL")</f>
        <v>PVL</v>
      </c>
      <c r="BB145" s="2456" t="str">
        <f>IF(BB144&lt;'3phas'!BB23,BB144,"PVL")</f>
        <v>PVL</v>
      </c>
      <c r="BC145" s="2456" t="str">
        <f>IF(BC144&lt;'3phas'!BC23,BC144,"PVL")</f>
        <v>PVL</v>
      </c>
      <c r="BD145" s="2456">
        <f>IF(BD144&lt;'3phas'!BD23,BD144,"PVL")</f>
        <v>156.67322898811207</v>
      </c>
      <c r="BE145" s="2456" t="str">
        <f>IF(BE144&lt;'3phas'!BE23,BE144,"PVL")</f>
        <v>PVL</v>
      </c>
      <c r="BF145" s="2456" t="str">
        <f>IF(BF144&lt;'3phas'!BF23,BF144,"PVL")</f>
        <v>PVL</v>
      </c>
      <c r="BG145" s="2456">
        <f>BG144</f>
        <v>8.4095999999999986E-4</v>
      </c>
      <c r="BH145" s="2456">
        <f>IF(BH144&lt;'3phas'!BH23,BH144,"PVL")</f>
        <v>3.4900173865331361</v>
      </c>
      <c r="BI145" s="2456">
        <f>IF(BI144&lt;'3phas'!BI23,BI144,"PVL")</f>
        <v>1.6262141349069297</v>
      </c>
    </row>
    <row r="146" spans="1:61" s="513" customFormat="1">
      <c r="A146" s="508"/>
      <c r="B146" s="510"/>
      <c r="C146" s="2425"/>
      <c r="D146" s="2426"/>
      <c r="E146" s="352" t="s">
        <v>476</v>
      </c>
      <c r="F146" s="63" t="str">
        <f>'3phas'!F29</f>
        <v>Csao</v>
      </c>
      <c r="G146" s="515" t="s">
        <v>24</v>
      </c>
      <c r="H146" s="237">
        <f>IF(H145="PVL",H145,H145*'3phas'!H$26*1000)</f>
        <v>1462.6501644231591</v>
      </c>
      <c r="I146" s="237">
        <f>IF(I145="PVL",I145,I145*'3phas'!I$26*1000)</f>
        <v>1462.6501644231591</v>
      </c>
      <c r="J146" s="237">
        <f>IF(J145="PVL",J145,J145*'3phas'!J$26*1000)</f>
        <v>71826.942533116002</v>
      </c>
      <c r="K146" s="237">
        <f>IF(K145="PVL",K145,K145*'3phas'!K$26*1000)</f>
        <v>6048.9010731870685</v>
      </c>
      <c r="L146" s="237">
        <f>IF(L145="PVL",L145,L145*'3phas'!L$26*1000)</f>
        <v>1549.7746049922091</v>
      </c>
      <c r="M146" s="237">
        <f>IF(M145="PVL",M145,M145*'3phas'!M$26*1000)</f>
        <v>1549.7746049922091</v>
      </c>
      <c r="N146" s="237">
        <f>IF(N145="PVL",N145,N145*'3phas'!N$26*1000)</f>
        <v>6970.5163317740025</v>
      </c>
      <c r="O146" s="237">
        <f>IF(O145="PVL",O145,O145*'3phas'!O$26*1000)</f>
        <v>6970.5163317740025</v>
      </c>
      <c r="P146" s="237">
        <f>IF(P145="PVL",P145,P145*'3phas'!P$26*1000)</f>
        <v>1521.9998110376494</v>
      </c>
      <c r="Q146" s="237">
        <f>IF(Q145="PVL",Q145,Q145*'3phas'!Q$26*1000)</f>
        <v>1521.9998110376494</v>
      </c>
      <c r="R146" s="237">
        <f>IF(R145="PVL",R145,R145*'3phas'!R$26*1000)</f>
        <v>6118.0216297414145</v>
      </c>
      <c r="S146" s="237">
        <f>IF(S145="PVL",S145,S145*'3phas'!S$26*1000)</f>
        <v>249.55564180210837</v>
      </c>
      <c r="T146" s="237">
        <f>IF(T145="PVL",T145,T145*'3phas'!T$26*1000)</f>
        <v>249.55564180210837</v>
      </c>
      <c r="U146" s="237">
        <f>IF(U145="PVL",U145,U145*'3phas'!U$26*1000)</f>
        <v>643.396006950436</v>
      </c>
      <c r="V146" s="237">
        <f>IF(V145="PVL",V145,V145*'3phas'!V$26*1000)</f>
        <v>126373.39426687582</v>
      </c>
      <c r="W146" s="237">
        <f>IF(W145="PVL",W145,W145*'3phas'!W$26*1000)</f>
        <v>126373.39426687582</v>
      </c>
      <c r="X146" s="237">
        <f>IF(X145="PVL",X145,X145*'3phas'!X$26*1000)</f>
        <v>254.61051576478127</v>
      </c>
      <c r="Y146" s="237">
        <f>IF(Y145="PVL",Y145,Y145*'3phas'!Y$26*1000)</f>
        <v>6177.6848685980631</v>
      </c>
      <c r="Z146" s="237">
        <f>IF(Z145="PVL",Z145,Z145*'3phas'!Z$26*1000)</f>
        <v>1393.0841357087588</v>
      </c>
      <c r="AA146" s="237">
        <f>IF(AA145="PVL",AA145,AA145*'3phas'!AA$26*1000)</f>
        <v>4672.8199123268923</v>
      </c>
      <c r="AB146" s="237">
        <f>IF(AB145="PVL",AB145,AB145*'3phas'!AB$26*1000)</f>
        <v>5465.7636998254347</v>
      </c>
      <c r="AC146" s="237">
        <f>IF(AC145="PVL",AC145,AC145*'3phas'!AC$26*1000)</f>
        <v>3296.814847141964</v>
      </c>
      <c r="AD146" s="237" t="str">
        <f>IF(AD145="PVL",AD145,AD145*'3phas'!AD$26*1000)</f>
        <v>PVL</v>
      </c>
      <c r="AE146" s="237" t="str">
        <f>IF(AE145="PVL",AE145,AE145*'3phas'!AE$26*1000)</f>
        <v>PVL</v>
      </c>
      <c r="AF146" s="237" t="str">
        <f>IF(AF145="PVL",AF145,AF145*'3phas'!AF$26*1000)</f>
        <v>PVL</v>
      </c>
      <c r="AG146" s="237" t="str">
        <f>IF(AG145="PVL",AG145,AG145*'3phas'!AG$26*1000)</f>
        <v>PVL</v>
      </c>
      <c r="AH146" s="237" t="str">
        <f>IF(AH145="PVL",AH145,AH145*'3phas'!AH$26*1000)</f>
        <v>PVL</v>
      </c>
      <c r="AI146" s="237" t="str">
        <f>IF(AI145="PVL",AI145,AI145*'3phas'!AI$26*1000)</f>
        <v>PVL</v>
      </c>
      <c r="AJ146" s="237" t="str">
        <f>IF(AJ145="PVL",AJ145,AJ145*'3phas'!AJ$26*1000)</f>
        <v>PVL</v>
      </c>
      <c r="AK146" s="237" t="str">
        <f>IF(AK145="PVL",AK145,AK145*'3phas'!AK$26*1000)</f>
        <v>PVL</v>
      </c>
      <c r="AL146" s="237" t="str">
        <f>IF(AL145="PVL",AL145,AL145*'3phas'!AL$26*1000)</f>
        <v>PVL</v>
      </c>
      <c r="AM146" s="237" t="str">
        <f>IF(AM145="PVL",AM145,AM145*'3phas'!AM$26*1000)</f>
        <v>PVL</v>
      </c>
      <c r="AN146" s="237">
        <f>IF(AN145="PVL",AN145,AN145*'3phas'!AN$26*1000)</f>
        <v>7.3913767679271487</v>
      </c>
      <c r="AO146" s="237" t="str">
        <f>IF(AO145="PVL",AO145,AO145*'3phas'!AO$26*1000)</f>
        <v>PVL</v>
      </c>
      <c r="AP146" s="237" t="str">
        <f>IF(AP145="PVL",AP145,AP145*'3phas'!AP$26*1000)</f>
        <v>PVL</v>
      </c>
      <c r="AQ146" s="237" t="str">
        <f>IF(AQ145="PVL",AQ145,AQ145*'3phas'!AQ$26*1000)</f>
        <v>PVL</v>
      </c>
      <c r="AR146" s="237" t="str">
        <f>IF(AR145="PVL",AR145,AR145*'3phas'!AR$26*1000)</f>
        <v>PVL</v>
      </c>
      <c r="AS146" s="237" t="str">
        <f>IF(AS145="PVL",AS145,AS145*'3phas'!AS$26*1000)</f>
        <v>PVL</v>
      </c>
      <c r="AT146" s="237" t="str">
        <f>IF(AT145="PVL",AT145,AT145*'3phas'!AT$26*1000)</f>
        <v>PVL</v>
      </c>
      <c r="AU146" s="237" t="str">
        <f>IF(AU145="PVL",AU145,AU145*'3phas'!AU$26*1000)</f>
        <v>PVL</v>
      </c>
      <c r="AV146" s="237" t="str">
        <f>IF(AV145="PVL",AV145,AV145*'3phas'!AV$26*1000)</f>
        <v>PVL</v>
      </c>
      <c r="AW146" s="237" t="str">
        <f>IF(AW145="PVL",AW145,AW145*'3phas'!AW$26*1000)</f>
        <v>PVL</v>
      </c>
      <c r="AX146" s="237" t="str">
        <f>IF(AX145="PVL",AX145,AX145*'3phas'!AX$26*1000)</f>
        <v>PVL</v>
      </c>
      <c r="AY146" s="237" t="str">
        <f>IF(AY145="PVL",AY145,AY145*'3phas'!AY$26*1000)</f>
        <v>PVL</v>
      </c>
      <c r="AZ146" s="237" t="str">
        <f>IF(AZ145="PVL",AZ145,AZ145*'3phas'!AZ$26*1000)</f>
        <v>PVL</v>
      </c>
      <c r="BA146" s="237" t="str">
        <f>IF(BA145="PVL",BA145,BA145*'3phas'!BA$26*1000)</f>
        <v>PVL</v>
      </c>
      <c r="BB146" s="237" t="str">
        <f>IF(BB145="PVL",BB145,BB145*'3phas'!BB$26*1000)</f>
        <v>PVL</v>
      </c>
      <c r="BC146" s="237" t="str">
        <f>IF(BC145="PVL",BC145,BC145*'3phas'!BC$26*1000)</f>
        <v>PVL</v>
      </c>
      <c r="BD146" s="237">
        <f>IF(BD145="PVL",BD145,BD145*'3phas'!BD$26*1000)</f>
        <v>14.656334739998579</v>
      </c>
      <c r="BE146" s="237" t="str">
        <f>IF(BE145="PVL",BE145,BE145*'3phas'!BE$26*1000)</f>
        <v>PVL</v>
      </c>
      <c r="BF146" s="237" t="str">
        <f>IF(BF145="PVL",BF145,BF145*'3phas'!BF$26*1000)</f>
        <v>PVL</v>
      </c>
      <c r="BG146" s="2484" t="s">
        <v>595</v>
      </c>
      <c r="BH146" s="237">
        <f>IF(BH145="PVL",BH145,BH145*'3phas'!BH$26*1000)</f>
        <v>0.43415093417023182</v>
      </c>
      <c r="BI146" s="237">
        <f>IF(BI145="PVL",BI145,BI145*'3phas'!BI$26*1000)</f>
        <v>1.5652528826724601</v>
      </c>
    </row>
    <row r="147" spans="1:61" s="26" customFormat="1">
      <c r="A147" s="148"/>
      <c r="B147" s="27"/>
      <c r="C147" s="2425"/>
      <c r="D147" s="2426"/>
      <c r="E147" s="103"/>
      <c r="F147" s="14"/>
      <c r="G147" s="105"/>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56"/>
      <c r="BH147" s="113"/>
      <c r="BI147" s="113"/>
    </row>
    <row r="148" spans="1:61" customFormat="1">
      <c r="C148" s="2425"/>
      <c r="D148" s="2426"/>
      <c r="E148" s="3947" t="s">
        <v>1022</v>
      </c>
      <c r="F148" s="3949"/>
      <c r="G148" s="3950"/>
      <c r="H148" s="3951"/>
      <c r="I148" s="3951"/>
      <c r="J148" s="3951"/>
      <c r="K148" s="3951"/>
      <c r="L148" s="3951"/>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row>
    <row r="149" spans="1:61" customFormat="1">
      <c r="C149" s="2425"/>
      <c r="D149" s="2426"/>
      <c r="E149" s="3947" t="s">
        <v>1020</v>
      </c>
      <c r="F149" s="3"/>
      <c r="G149" s="2101"/>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row>
    <row r="150" spans="1:61" customFormat="1">
      <c r="C150" s="2425" t="s">
        <v>1019</v>
      </c>
      <c r="D150" s="2426"/>
      <c r="E150" s="3500" t="s">
        <v>501</v>
      </c>
      <c r="F150" s="3" t="str">
        <f>'EmVap-Vol'!F$53</f>
        <v>CTsao-&gt;ém</v>
      </c>
      <c r="G150" s="2101" t="str">
        <f>'EmVap-Vol'!G$53</f>
        <v>(mg/m2/s)/(mg/l)</v>
      </c>
      <c r="H150" s="1707">
        <f>'EmVap-Vol'!H$53</f>
        <v>7.8437017466117772E-4</v>
      </c>
      <c r="I150" s="1707">
        <f>'EmVap-Vol'!I$53</f>
        <v>7.8437017466117772E-4</v>
      </c>
      <c r="J150" s="1707">
        <f>'EmVap-Vol'!J$53</f>
        <v>7.2125150782231589E-4</v>
      </c>
      <c r="K150" s="1707">
        <f>'EmVap-Vol'!K$53</f>
        <v>3.7031519823149957E-5</v>
      </c>
      <c r="L150" s="1707">
        <f>'EmVap-Vol'!L$53</f>
        <v>1.9806547167297369E-4</v>
      </c>
      <c r="M150" s="1707">
        <f>'EmVap-Vol'!M$53</f>
        <v>1.9806547167297369E-4</v>
      </c>
      <c r="N150" s="1707">
        <f>'EmVap-Vol'!N$53</f>
        <v>1.0042297681868412E-4</v>
      </c>
      <c r="O150" s="1707">
        <f>'EmVap-Vol'!O$53</f>
        <v>1.0042297681868412E-4</v>
      </c>
      <c r="P150" s="1707">
        <f>'EmVap-Vol'!P$53</f>
        <v>9.1984242694848056E-5</v>
      </c>
      <c r="Q150" s="1707">
        <f>'EmVap-Vol'!Q$53</f>
        <v>9.1984242694848056E-5</v>
      </c>
      <c r="R150" s="1707">
        <f>'EmVap-Vol'!R$53</f>
        <v>2.2883214292577979E-4</v>
      </c>
      <c r="S150" s="1707">
        <f>'EmVap-Vol'!S$53</f>
        <v>2.4391179769704181E-4</v>
      </c>
      <c r="T150" s="1707">
        <f>'EmVap-Vol'!T$53</f>
        <v>2.4391179769704181E-4</v>
      </c>
      <c r="U150" s="1707">
        <f>'EmVap-Vol'!U$53</f>
        <v>5.1808424319147455E-5</v>
      </c>
      <c r="V150" s="1707">
        <f>'EmVap-Vol'!V$53</f>
        <v>3.1652232047774111E-5</v>
      </c>
      <c r="W150" s="1707">
        <f>'EmVap-Vol'!W$53</f>
        <v>3.1652232047774111E-5</v>
      </c>
      <c r="X150" s="1707">
        <f>'EmVap-Vol'!X$53</f>
        <v>1.6499158432187349E-4</v>
      </c>
      <c r="Y150" s="1707">
        <f>'EmVap-Vol'!Y$53</f>
        <v>2.3806285265098821E-4</v>
      </c>
      <c r="Z150" s="1707">
        <f>'EmVap-Vol'!Z$53</f>
        <v>4.0198577074103924E-4</v>
      </c>
      <c r="AA150" s="1707">
        <f>'EmVap-Vol'!AA$53</f>
        <v>8.5601415741445673E-5</v>
      </c>
      <c r="AB150" s="1707">
        <f>'EmVap-Vol'!AB$53</f>
        <v>4.241144432928381E-4</v>
      </c>
      <c r="AC150" s="1707">
        <f>'EmVap-Vol'!AC$53</f>
        <v>3.9159171273304679E-4</v>
      </c>
      <c r="AD150" s="1707">
        <f>'EmVap-Vol'!AD$53</f>
        <v>3.3958325494063242E-4</v>
      </c>
      <c r="AE150" s="1707">
        <f>'EmVap-Vol'!AE$53</f>
        <v>2.6888857778934085E-4</v>
      </c>
      <c r="AF150" s="1707">
        <f>'EmVap-Vol'!AF$53</f>
        <v>2.2824639619806395E-4</v>
      </c>
      <c r="AG150" s="1707">
        <f>'EmVap-Vol'!AG$53</f>
        <v>2.3037141829500553E-5</v>
      </c>
      <c r="AH150" s="1707">
        <f>'EmVap-Vol'!AH$53</f>
        <v>3.0767898703010778E-5</v>
      </c>
      <c r="AI150" s="1707">
        <f>'EmVap-Vol'!AI$53</f>
        <v>7.5668479954487443E-5</v>
      </c>
      <c r="AJ150" s="1707">
        <f>'EmVap-Vol'!AJ$53</f>
        <v>3.1787716001271374E-4</v>
      </c>
      <c r="AK150" s="1707">
        <f>'EmVap-Vol'!AK$53</f>
        <v>2.5444153627073685E-4</v>
      </c>
      <c r="AL150" s="1707">
        <f>'EmVap-Vol'!AL$53</f>
        <v>1.8847519545544717E-4</v>
      </c>
      <c r="AM150" s="1707">
        <f>'EmVap-Vol'!AM$53</f>
        <v>1.5902594531763968E-4</v>
      </c>
      <c r="AN150" s="1707">
        <f>'EmVap-Vol'!AN$53</f>
        <v>4.0184064655524867E-4</v>
      </c>
      <c r="AO150" s="1707">
        <f>'EmVap-Vol'!AO$53</f>
        <v>3.3940398754173182E-4</v>
      </c>
      <c r="AP150" s="1707">
        <f>'EmVap-Vol'!AP$53</f>
        <v>3.3343642145126034E-4</v>
      </c>
      <c r="AQ150" s="1707">
        <f>'EmVap-Vol'!AQ$53</f>
        <v>3.1110408609158637E-4</v>
      </c>
      <c r="AR150" s="1707">
        <f>'EmVap-Vol'!AR$53</f>
        <v>2.9673552292587611E-4</v>
      </c>
      <c r="AS150" s="1707">
        <f>'EmVap-Vol'!AS$53</f>
        <v>2.9471149548520079E-4</v>
      </c>
      <c r="AT150" s="1707">
        <f>'EmVap-Vol'!AT$53</f>
        <v>2.8245061933669375E-4</v>
      </c>
      <c r="AU150" s="1707">
        <f>'EmVap-Vol'!AU$53</f>
        <v>2.862821240185571E-4</v>
      </c>
      <c r="AV150" s="1707">
        <f>'EmVap-Vol'!AV$53</f>
        <v>2.7169829643089585E-4</v>
      </c>
      <c r="AW150" s="1707">
        <f>'EmVap-Vol'!AW$53</f>
        <v>2.8633748018150643E-4</v>
      </c>
      <c r="AX150" s="1707">
        <f>'EmVap-Vol'!AX$53</f>
        <v>1.8009935536198193E-3</v>
      </c>
      <c r="AY150" s="1707">
        <f>'EmVap-Vol'!AY$53</f>
        <v>1.8009935536198193E-3</v>
      </c>
      <c r="AZ150" s="1707">
        <f>'EmVap-Vol'!AZ$53</f>
        <v>2.4141974168879728E-3</v>
      </c>
      <c r="BA150" s="1707">
        <f>'EmVap-Vol'!BA$53</f>
        <v>3.2328581834376625E-3</v>
      </c>
      <c r="BB150" s="1707">
        <f>'EmVap-Vol'!BB$53</f>
        <v>5.1022216414718007E-4</v>
      </c>
      <c r="BC150" s="1707">
        <f>'EmVap-Vol'!BC$53</f>
        <v>455.79160448264452</v>
      </c>
      <c r="BD150" s="1707">
        <f>'EmVap-Vol'!BD$53</f>
        <v>5.5344935658665729E-3</v>
      </c>
      <c r="BE150" s="1707">
        <f>'EmVap-Vol'!BE$53</f>
        <v>2.2740012300550826E-4</v>
      </c>
      <c r="BF150" s="1707">
        <f>'EmVap-Vol'!BF$53</f>
        <v>2.2740012300550826E-4</v>
      </c>
      <c r="BG150" s="1707">
        <f>'EmVap-Vol'!BG$53</f>
        <v>3.7845498726782705E-5</v>
      </c>
      <c r="BH150" s="1707">
        <f>'EmVap-Vol'!BH$53</f>
        <v>2.9390027781257791E-3</v>
      </c>
      <c r="BI150" s="1707">
        <f>'EmVap-Vol'!BI$53</f>
        <v>3.1163442233530492E-3</v>
      </c>
    </row>
    <row r="151" spans="1:61" customFormat="1">
      <c r="C151" s="2425"/>
      <c r="D151" s="2426"/>
      <c r="E151" s="3947" t="s">
        <v>1021</v>
      </c>
      <c r="F151" s="3"/>
      <c r="G151" s="2101"/>
      <c r="H151" s="1707"/>
      <c r="I151" s="1707"/>
      <c r="J151" s="1707"/>
      <c r="K151" s="1707"/>
      <c r="L151" s="1707"/>
      <c r="M151" s="1707"/>
      <c r="N151" s="1707"/>
      <c r="O151" s="1707"/>
      <c r="P151" s="1707"/>
      <c r="Q151" s="1707"/>
      <c r="R151" s="1707"/>
      <c r="S151" s="1707"/>
      <c r="T151" s="1707"/>
      <c r="U151" s="1707"/>
      <c r="V151" s="1707"/>
      <c r="W151" s="1707"/>
      <c r="X151" s="1707"/>
      <c r="Y151" s="1707"/>
      <c r="Z151" s="1707"/>
      <c r="AA151" s="1707"/>
      <c r="AB151" s="1707"/>
      <c r="AC151" s="1707"/>
      <c r="AD151" s="1707"/>
      <c r="AE151" s="1707"/>
      <c r="AF151" s="1707"/>
      <c r="AG151" s="1707"/>
      <c r="AH151" s="1707"/>
      <c r="AI151" s="1707"/>
      <c r="AJ151" s="1707"/>
      <c r="AK151" s="1707"/>
      <c r="AL151" s="1707"/>
      <c r="AM151" s="1707"/>
      <c r="AN151" s="1707"/>
      <c r="AO151" s="1707"/>
      <c r="AP151" s="1707"/>
      <c r="AQ151" s="1707"/>
      <c r="AR151" s="1707"/>
      <c r="AS151" s="1707"/>
      <c r="AT151" s="1707"/>
      <c r="AU151" s="1707"/>
      <c r="AV151" s="1707"/>
      <c r="AW151" s="1707"/>
      <c r="AX151" s="1707"/>
      <c r="AY151" s="1707"/>
      <c r="AZ151" s="1707"/>
      <c r="BA151" s="1707"/>
      <c r="BB151" s="1707"/>
      <c r="BC151" s="1707"/>
      <c r="BD151" s="1707"/>
      <c r="BE151" s="1707"/>
      <c r="BF151" s="1707"/>
      <c r="BG151" s="1707"/>
      <c r="BH151" s="1707"/>
      <c r="BI151" s="1707"/>
    </row>
    <row r="152" spans="1:61" customFormat="1">
      <c r="C152" s="2425" t="s">
        <v>267</v>
      </c>
      <c r="D152" s="2426"/>
      <c r="E152" s="3927" t="str">
        <f>'EmVap-Vol'!E$55</f>
        <v>Période enfant 0-6 ans (effets sans seuil)</v>
      </c>
      <c r="F152" s="3"/>
      <c r="G152" s="2101"/>
      <c r="H152" s="1707"/>
      <c r="I152" s="1707"/>
      <c r="J152" s="1707"/>
      <c r="K152" s="1707"/>
      <c r="L152" s="1707"/>
      <c r="M152" s="1707"/>
      <c r="N152" s="1707"/>
      <c r="O152" s="1707"/>
      <c r="P152" s="1707"/>
      <c r="Q152" s="1707"/>
      <c r="R152" s="1707"/>
      <c r="S152" s="1707"/>
      <c r="T152" s="1707"/>
      <c r="U152" s="1707"/>
      <c r="V152" s="1707"/>
      <c r="W152" s="1707"/>
      <c r="X152" s="1707"/>
      <c r="Y152" s="1707"/>
      <c r="Z152" s="1707"/>
      <c r="AA152" s="1707"/>
      <c r="AB152" s="1707"/>
      <c r="AC152" s="1707"/>
      <c r="AD152" s="1707"/>
      <c r="AE152" s="1707"/>
      <c r="AF152" s="1707"/>
      <c r="AG152" s="1707"/>
      <c r="AH152" s="1707"/>
      <c r="AI152" s="1707"/>
      <c r="AJ152" s="1707"/>
      <c r="AK152" s="1707"/>
      <c r="AL152" s="1707"/>
      <c r="AM152" s="1707"/>
      <c r="AN152" s="1707"/>
      <c r="AO152" s="1707"/>
      <c r="AP152" s="1707"/>
      <c r="AQ152" s="1707"/>
      <c r="AR152" s="1707"/>
      <c r="AS152" s="1707"/>
      <c r="AT152" s="1707"/>
      <c r="AU152" s="1707"/>
      <c r="AV152" s="1707"/>
      <c r="AW152" s="1707"/>
      <c r="AX152" s="1707"/>
      <c r="AY152" s="1707"/>
      <c r="AZ152" s="1707"/>
      <c r="BA152" s="1707"/>
      <c r="BB152" s="1707"/>
      <c r="BC152" s="1707"/>
      <c r="BD152" s="1707"/>
      <c r="BE152" s="1707"/>
      <c r="BF152" s="1707"/>
      <c r="BG152" s="1707"/>
      <c r="BH152" s="1707"/>
      <c r="BI152" s="1707"/>
    </row>
    <row r="153" spans="1:61" customFormat="1" ht="25.5">
      <c r="C153" s="2425"/>
      <c r="D153" s="2426"/>
      <c r="E153" s="3501" t="s">
        <v>501</v>
      </c>
      <c r="F153" s="3" t="str">
        <f>'EmVap-Vol'!F$56</f>
        <v>CTsao-&gt;ém</v>
      </c>
      <c r="G153" s="2101" t="str">
        <f>'EmVap-Vol'!G$56</f>
        <v>(mg/m2/s)/(mg/l)</v>
      </c>
      <c r="H153" s="1707">
        <f>'EmVap-Vol'!H$56</f>
        <v>7.8437017466117772E-4</v>
      </c>
      <c r="I153" s="1707">
        <f>'EmVap-Vol'!I$56</f>
        <v>7.8437017466117772E-4</v>
      </c>
      <c r="J153" s="1707">
        <f>'EmVap-Vol'!J$56</f>
        <v>7.2125150782231589E-4</v>
      </c>
      <c r="K153" s="1707">
        <f>'EmVap-Vol'!K$56</f>
        <v>6.1719199705249922E-6</v>
      </c>
      <c r="L153" s="1707">
        <f>'EmVap-Vol'!L$56</f>
        <v>3.3010911945495617E-5</v>
      </c>
      <c r="M153" s="1707">
        <f>'EmVap-Vol'!M$56</f>
        <v>3.3010911945495617E-5</v>
      </c>
      <c r="N153" s="1707">
        <f>'EmVap-Vol'!N$56</f>
        <v>1.673716280311402E-5</v>
      </c>
      <c r="O153" s="1707">
        <f>'EmVap-Vol'!O$56</f>
        <v>1.673716280311402E-5</v>
      </c>
      <c r="P153" s="1707">
        <f>'EmVap-Vol'!P$56</f>
        <v>1.5330707115808009E-5</v>
      </c>
      <c r="Q153" s="1707">
        <f>'EmVap-Vol'!Q$56</f>
        <v>1.5330707115808009E-5</v>
      </c>
      <c r="R153" s="1707">
        <f>'EmVap-Vol'!R$56</f>
        <v>3.8138690487629963E-5</v>
      </c>
      <c r="S153" s="1707">
        <f>'EmVap-Vol'!S$56</f>
        <v>4.0651966282840303E-5</v>
      </c>
      <c r="T153" s="1707">
        <f>'EmVap-Vol'!T$56</f>
        <v>4.0651966282840303E-5</v>
      </c>
      <c r="U153" s="1707">
        <f>'EmVap-Vol'!U$56</f>
        <v>8.6347373865245747E-6</v>
      </c>
      <c r="V153" s="1707">
        <f>'EmVap-Vol'!V$56</f>
        <v>5.2753720079623515E-6</v>
      </c>
      <c r="W153" s="1707">
        <f>'EmVap-Vol'!W$56</f>
        <v>5.2753720079623515E-6</v>
      </c>
      <c r="X153" s="1707">
        <f>'EmVap-Vol'!X$56</f>
        <v>2.7498597386978914E-5</v>
      </c>
      <c r="Y153" s="1707">
        <f>'EmVap-Vol'!Y$56</f>
        <v>3.9677142108498037E-5</v>
      </c>
      <c r="Z153" s="1707">
        <f>'EmVap-Vol'!Z$56</f>
        <v>6.6997628456839868E-5</v>
      </c>
      <c r="AA153" s="1707">
        <f>'EmVap-Vol'!AA$56</f>
        <v>9.9868318365019948E-5</v>
      </c>
      <c r="AB153" s="1707">
        <f>'EmVap-Vol'!AB$56</f>
        <v>8.8303175626389731E-5</v>
      </c>
      <c r="AC153" s="1707">
        <f>'EmVap-Vol'!AC$56</f>
        <v>3.9159171273304679E-4</v>
      </c>
      <c r="AD153" s="1707">
        <f>'EmVap-Vol'!AD$56</f>
        <v>3.3958325494063242E-4</v>
      </c>
      <c r="AE153" s="1707">
        <f>'EmVap-Vol'!AE$56</f>
        <v>2.6888857778934085E-4</v>
      </c>
      <c r="AF153" s="1707">
        <f>'EmVap-Vol'!AF$56</f>
        <v>2.2824639619806395E-4</v>
      </c>
      <c r="AG153" s="1707">
        <f>'EmVap-Vol'!AG$56</f>
        <v>3.8395236382500922E-6</v>
      </c>
      <c r="AH153" s="1707">
        <f>'EmVap-Vol'!AH$56</f>
        <v>5.1279831171684633E-6</v>
      </c>
      <c r="AI153" s="1707">
        <f>'EmVap-Vol'!AI$56</f>
        <v>1.2611413325747907E-5</v>
      </c>
      <c r="AJ153" s="1707">
        <f>'EmVap-Vol'!AJ$56</f>
        <v>5.2979526668785625E-5</v>
      </c>
      <c r="AK153" s="1707">
        <f>'EmVap-Vol'!AK$56</f>
        <v>2.3239644632047792E-4</v>
      </c>
      <c r="AL153" s="1707">
        <f>'EmVap-Vol'!AL$56</f>
        <v>1.8847519545544717E-4</v>
      </c>
      <c r="AM153" s="1707">
        <f>'EmVap-Vol'!AM$56</f>
        <v>1.5902594531763968E-4</v>
      </c>
      <c r="AN153" s="1707">
        <f>'EmVap-Vol'!AN$56</f>
        <v>4.0184064655524867E-4</v>
      </c>
      <c r="AO153" s="1707">
        <f>'EmVap-Vol'!AO$56</f>
        <v>3.3940398754173182E-4</v>
      </c>
      <c r="AP153" s="1707">
        <f>'EmVap-Vol'!AP$56</f>
        <v>3.3343642145126034E-4</v>
      </c>
      <c r="AQ153" s="1707">
        <f>'EmVap-Vol'!AQ$56</f>
        <v>3.1110408609158637E-4</v>
      </c>
      <c r="AR153" s="1707">
        <f>'EmVap-Vol'!AR$56</f>
        <v>2.9673552292587611E-4</v>
      </c>
      <c r="AS153" s="1707">
        <f>'EmVap-Vol'!AS$56</f>
        <v>2.9471149548520079E-4</v>
      </c>
      <c r="AT153" s="1707">
        <f>'EmVap-Vol'!AT$56</f>
        <v>2.8245061933669375E-4</v>
      </c>
      <c r="AU153" s="1707">
        <f>'EmVap-Vol'!AU$56</f>
        <v>2.862821240185571E-4</v>
      </c>
      <c r="AV153" s="1707">
        <f>'EmVap-Vol'!AV$56</f>
        <v>2.7169829643089585E-4</v>
      </c>
      <c r="AW153" s="1707">
        <f>'EmVap-Vol'!AW$56</f>
        <v>2.8633748018150643E-4</v>
      </c>
      <c r="AX153" s="1707">
        <f>'EmVap-Vol'!AX$56</f>
        <v>1.8009935536198193E-3</v>
      </c>
      <c r="AY153" s="1707">
        <f>'EmVap-Vol'!AY$56</f>
        <v>1.8009935536198193E-3</v>
      </c>
      <c r="AZ153" s="1707">
        <f>'EmVap-Vol'!AZ$56</f>
        <v>2.4141974168879728E-3</v>
      </c>
      <c r="BA153" s="1707">
        <f>'EmVap-Vol'!BA$56</f>
        <v>3.2328581834376625E-3</v>
      </c>
      <c r="BB153" s="1707">
        <f>'EmVap-Vol'!BB$56</f>
        <v>5.1022216414718007E-4</v>
      </c>
      <c r="BC153" s="1707">
        <f>'EmVap-Vol'!BC$56</f>
        <v>455.79160448264452</v>
      </c>
      <c r="BD153" s="1707">
        <f>'EmVap-Vol'!BD$56</f>
        <v>5.5344935658665729E-3</v>
      </c>
      <c r="BE153" s="1707">
        <f>'EmVap-Vol'!BE$56</f>
        <v>2.2740012300550826E-4</v>
      </c>
      <c r="BF153" s="1707">
        <f>'EmVap-Vol'!BF$56</f>
        <v>2.2740012300550826E-4</v>
      </c>
      <c r="BG153" s="1707">
        <f>'EmVap-Vol'!BG$56</f>
        <v>6.3075831211304503E-6</v>
      </c>
      <c r="BH153" s="1707">
        <f>'EmVap-Vol'!BH$56</f>
        <v>2.9390027781257791E-3</v>
      </c>
      <c r="BI153" s="1707">
        <f>'EmVap-Vol'!BI$56</f>
        <v>3.1163442233530492E-3</v>
      </c>
    </row>
    <row r="154" spans="1:61" customFormat="1">
      <c r="C154" s="2425"/>
      <c r="D154" s="2426"/>
      <c r="E154" s="3500" t="s">
        <v>1182</v>
      </c>
      <c r="F154" s="3" t="s">
        <v>233</v>
      </c>
      <c r="G154" s="2101" t="s">
        <v>234</v>
      </c>
      <c r="H154" s="1707">
        <f t="shared" ref="H154:AM154" si="67">H127*H153/H103</f>
        <v>0</v>
      </c>
      <c r="I154" s="1707">
        <f t="shared" si="67"/>
        <v>0</v>
      </c>
      <c r="J154" s="1707">
        <f t="shared" si="67"/>
        <v>0</v>
      </c>
      <c r="K154" s="1707">
        <f t="shared" si="67"/>
        <v>2.6451085587964258E-8</v>
      </c>
      <c r="L154" s="1707">
        <f t="shared" si="67"/>
        <v>0</v>
      </c>
      <c r="M154" s="1707">
        <f t="shared" si="67"/>
        <v>0</v>
      </c>
      <c r="N154" s="1707">
        <f t="shared" si="67"/>
        <v>1.4346139545526305E-7</v>
      </c>
      <c r="O154" s="1707">
        <f t="shared" si="67"/>
        <v>1.4346139545526305E-7</v>
      </c>
      <c r="P154" s="1707">
        <f t="shared" si="67"/>
        <v>3.8764787992828828E-7</v>
      </c>
      <c r="Q154" s="1707">
        <f t="shared" si="67"/>
        <v>3.8764787992828828E-7</v>
      </c>
      <c r="R154" s="1707">
        <f t="shared" si="67"/>
        <v>1.6345153066127131E-7</v>
      </c>
      <c r="S154" s="1707">
        <f t="shared" si="67"/>
        <v>4.0071223907371163E-6</v>
      </c>
      <c r="T154" s="1707">
        <f t="shared" si="67"/>
        <v>4.0071223907371163E-6</v>
      </c>
      <c r="U154" s="1707">
        <f t="shared" si="67"/>
        <v>1.5542527295744237E-6</v>
      </c>
      <c r="V154" s="1707">
        <f t="shared" si="67"/>
        <v>0</v>
      </c>
      <c r="W154" s="1707">
        <f t="shared" si="67"/>
        <v>0</v>
      </c>
      <c r="X154" s="1707">
        <f t="shared" si="67"/>
        <v>7.0710678995088653E-7</v>
      </c>
      <c r="Y154" s="1707">
        <f t="shared" si="67"/>
        <v>0</v>
      </c>
      <c r="Z154" s="1707">
        <f t="shared" si="67"/>
        <v>7.1783173346614156E-7</v>
      </c>
      <c r="AA154" s="1707">
        <f t="shared" si="67"/>
        <v>0</v>
      </c>
      <c r="AB154" s="1707">
        <f t="shared" si="67"/>
        <v>0</v>
      </c>
      <c r="AC154" s="1707">
        <f t="shared" si="67"/>
        <v>0</v>
      </c>
      <c r="AD154" s="1707">
        <f t="shared" si="67"/>
        <v>0</v>
      </c>
      <c r="AE154" s="1707">
        <f t="shared" si="67"/>
        <v>0</v>
      </c>
      <c r="AF154" s="1707">
        <f t="shared" si="67"/>
        <v>0</v>
      </c>
      <c r="AG154" s="1707">
        <f t="shared" si="67"/>
        <v>0</v>
      </c>
      <c r="AH154" s="1707">
        <f t="shared" si="67"/>
        <v>0</v>
      </c>
      <c r="AI154" s="1707">
        <f t="shared" si="67"/>
        <v>0</v>
      </c>
      <c r="AJ154" s="1707">
        <f t="shared" si="67"/>
        <v>0</v>
      </c>
      <c r="AK154" s="1707">
        <f t="shared" si="67"/>
        <v>0</v>
      </c>
      <c r="AL154" s="1707">
        <f t="shared" si="67"/>
        <v>0</v>
      </c>
      <c r="AM154" s="1707">
        <f t="shared" si="67"/>
        <v>0</v>
      </c>
      <c r="AN154" s="1707">
        <f t="shared" ref="AN154:BI154" si="68">AN127*AN153/AN103</f>
        <v>5.8553922783764819E-5</v>
      </c>
      <c r="AO154" s="1707">
        <f t="shared" si="68"/>
        <v>1.6000473698395936E-6</v>
      </c>
      <c r="AP154" s="1707">
        <f t="shared" si="68"/>
        <v>1.5719145582702279E-6</v>
      </c>
      <c r="AQ154" s="1707">
        <f t="shared" si="68"/>
        <v>1.4666335487174791E-6</v>
      </c>
      <c r="AR154" s="1707">
        <f t="shared" si="68"/>
        <v>1.3988960366505593E-6</v>
      </c>
      <c r="AS154" s="1707">
        <f t="shared" si="68"/>
        <v>1.3893541930016611E-5</v>
      </c>
      <c r="AT154" s="1707">
        <f t="shared" si="68"/>
        <v>1.3315529197301281E-6</v>
      </c>
      <c r="AU154" s="1707">
        <f t="shared" si="68"/>
        <v>1.3496157275160554E-6</v>
      </c>
      <c r="AV154" s="1707">
        <f t="shared" si="68"/>
        <v>1.2808633974599378E-4</v>
      </c>
      <c r="AW154" s="1707">
        <f t="shared" si="68"/>
        <v>1.3498766922842449E-5</v>
      </c>
      <c r="AX154" s="1707">
        <f t="shared" si="68"/>
        <v>8.4903981813505796E-4</v>
      </c>
      <c r="AY154" s="1707">
        <f t="shared" si="68"/>
        <v>8.4903981813505796E-4</v>
      </c>
      <c r="AZ154" s="1707">
        <f t="shared" si="68"/>
        <v>1.1381216393900445E-2</v>
      </c>
      <c r="BA154" s="1707">
        <f t="shared" si="68"/>
        <v>1.5240617150491841E-2</v>
      </c>
      <c r="BB154" s="1707">
        <f t="shared" si="68"/>
        <v>2.4053330595509926E-5</v>
      </c>
      <c r="BC154" s="1707">
        <f t="shared" si="68"/>
        <v>214.87318497038964</v>
      </c>
      <c r="BD154" s="1707">
        <f t="shared" si="68"/>
        <v>0</v>
      </c>
      <c r="BE154" s="1707">
        <f t="shared" si="68"/>
        <v>1.1110120295411978E-3</v>
      </c>
      <c r="BF154" s="1707">
        <f t="shared" si="68"/>
        <v>5.5550601477059891E-4</v>
      </c>
      <c r="BG154" s="1707">
        <f t="shared" si="68"/>
        <v>0</v>
      </c>
      <c r="BH154" s="1707">
        <f t="shared" si="68"/>
        <v>0</v>
      </c>
      <c r="BI154" s="1707">
        <f t="shared" si="68"/>
        <v>0</v>
      </c>
    </row>
    <row r="155" spans="1:61" customFormat="1">
      <c r="C155" s="2425" t="s">
        <v>591</v>
      </c>
      <c r="D155" s="2426"/>
      <c r="E155" s="3927" t="str">
        <f>'EmVap-Vol'!E$61</f>
        <v>Période adulte 6-70 ans (effets sans seuil)</v>
      </c>
      <c r="F155" s="3"/>
      <c r="G155" s="2101"/>
      <c r="H155" s="1707"/>
      <c r="I155" s="1707"/>
      <c r="J155" s="1707"/>
      <c r="K155" s="1707"/>
      <c r="L155" s="1707"/>
      <c r="M155" s="1707"/>
      <c r="N155" s="1707"/>
      <c r="O155" s="1707"/>
      <c r="P155" s="1707"/>
      <c r="Q155" s="1707"/>
      <c r="R155" s="1707"/>
      <c r="S155" s="1707"/>
      <c r="T155" s="1707"/>
      <c r="U155" s="1707"/>
      <c r="V155" s="1707"/>
      <c r="W155" s="1707"/>
      <c r="X155" s="1707"/>
      <c r="Y155" s="1707"/>
      <c r="Z155" s="1707"/>
      <c r="AA155" s="1707"/>
      <c r="AB155" s="1707"/>
      <c r="AC155" s="1707"/>
      <c r="AD155" s="1707"/>
      <c r="AE155" s="1707"/>
      <c r="AF155" s="1707"/>
      <c r="AG155" s="1707"/>
      <c r="AH155" s="1707"/>
      <c r="AI155" s="1707"/>
      <c r="AJ155" s="1707"/>
      <c r="AK155" s="1707"/>
      <c r="AL155" s="1707"/>
      <c r="AM155" s="1707"/>
      <c r="AN155" s="1707"/>
      <c r="AO155" s="1707"/>
      <c r="AP155" s="1707"/>
      <c r="AQ155" s="1707"/>
      <c r="AR155" s="1707"/>
      <c r="AS155" s="1707"/>
      <c r="AT155" s="1707"/>
      <c r="AU155" s="1707"/>
      <c r="AV155" s="1707"/>
      <c r="AW155" s="1707"/>
      <c r="AX155" s="1707"/>
      <c r="AY155" s="1707"/>
      <c r="AZ155" s="1707"/>
      <c r="BA155" s="1707"/>
      <c r="BB155" s="1707"/>
      <c r="BC155" s="1707"/>
      <c r="BD155" s="1707"/>
      <c r="BE155" s="1707"/>
      <c r="BF155" s="1707"/>
      <c r="BG155" s="1707"/>
      <c r="BH155" s="1707"/>
      <c r="BI155" s="1707"/>
    </row>
    <row r="156" spans="1:61" customFormat="1" ht="25.5">
      <c r="C156" s="2425"/>
      <c r="D156" s="2426"/>
      <c r="E156" s="3501" t="s">
        <v>501</v>
      </c>
      <c r="F156" s="3" t="str">
        <f>'EmVap-Vol'!F62</f>
        <v>CTsao-&gt;ém</v>
      </c>
      <c r="G156" s="2101" t="str">
        <f>'EmVap-Vol'!G62</f>
        <v>(mg/m2/s)/(mg/l)</v>
      </c>
      <c r="H156" s="1707">
        <f>'EmVap-Vol'!H62</f>
        <v>7.7277461505283499E-4</v>
      </c>
      <c r="I156" s="1707">
        <f>'EmVap-Vol'!I62</f>
        <v>7.7277461505283499E-4</v>
      </c>
      <c r="J156" s="1707">
        <f>'EmVap-Vol'!J62</f>
        <v>6.13007349995126E-5</v>
      </c>
      <c r="K156" s="1707">
        <f>'EmVap-Vol'!K62</f>
        <v>0</v>
      </c>
      <c r="L156" s="1707">
        <f>'EmVap-Vol'!L62</f>
        <v>0</v>
      </c>
      <c r="M156" s="1707">
        <f>'EmVap-Vol'!M62</f>
        <v>0</v>
      </c>
      <c r="N156" s="1707">
        <f>'EmVap-Vol'!N62</f>
        <v>0</v>
      </c>
      <c r="O156" s="1707">
        <f>'EmVap-Vol'!O62</f>
        <v>0</v>
      </c>
      <c r="P156" s="1707">
        <f>'EmVap-Vol'!P62</f>
        <v>0</v>
      </c>
      <c r="Q156" s="1707">
        <f>'EmVap-Vol'!Q62</f>
        <v>0</v>
      </c>
      <c r="R156" s="1707">
        <f>'EmVap-Vol'!R62</f>
        <v>0</v>
      </c>
      <c r="S156" s="1707">
        <f>'EmVap-Vol'!S62</f>
        <v>0</v>
      </c>
      <c r="T156" s="1707">
        <f>'EmVap-Vol'!T62</f>
        <v>0</v>
      </c>
      <c r="U156" s="1707">
        <f>'EmVap-Vol'!U62</f>
        <v>0</v>
      </c>
      <c r="V156" s="1707">
        <f>'EmVap-Vol'!V62</f>
        <v>0</v>
      </c>
      <c r="W156" s="1707">
        <f>'EmVap-Vol'!W62</f>
        <v>0</v>
      </c>
      <c r="X156" s="1707">
        <f>'EmVap-Vol'!X62</f>
        <v>0</v>
      </c>
      <c r="Y156" s="1707">
        <f>'EmVap-Vol'!Y62</f>
        <v>0</v>
      </c>
      <c r="Z156" s="1707">
        <f>'EmVap-Vol'!Z62</f>
        <v>0</v>
      </c>
      <c r="AA156" s="1707">
        <f>'EmVap-Vol'!AA62</f>
        <v>0</v>
      </c>
      <c r="AB156" s="1707">
        <f>'EmVap-Vol'!AB62</f>
        <v>0</v>
      </c>
      <c r="AC156" s="1707">
        <f>'EmVap-Vol'!AC62</f>
        <v>5.7124712116270803E-6</v>
      </c>
      <c r="AD156" s="1707">
        <f>'EmVap-Vol'!AD62</f>
        <v>1.8490896316332201E-4</v>
      </c>
      <c r="AE156" s="1707">
        <f>'EmVap-Vol'!AE62</f>
        <v>2.6888857778934101E-4</v>
      </c>
      <c r="AF156" s="1707">
        <f>'EmVap-Vol'!AF62</f>
        <v>2.28246396198064E-4</v>
      </c>
      <c r="AG156" s="1707">
        <f>'EmVap-Vol'!AG62</f>
        <v>0</v>
      </c>
      <c r="AH156" s="1707">
        <f>'EmVap-Vol'!AH62</f>
        <v>0</v>
      </c>
      <c r="AI156" s="1707">
        <f>'EmVap-Vol'!AI62</f>
        <v>0</v>
      </c>
      <c r="AJ156" s="1707">
        <f>'EmVap-Vol'!AJ62</f>
        <v>0</v>
      </c>
      <c r="AK156" s="1707">
        <f>'EmVap-Vol'!AK62</f>
        <v>0</v>
      </c>
      <c r="AL156" s="1707">
        <f>'EmVap-Vol'!AL62</f>
        <v>1.8847519545544701E-4</v>
      </c>
      <c r="AM156" s="1707">
        <f>'EmVap-Vol'!AM62</f>
        <v>1.5902594531764001E-4</v>
      </c>
      <c r="AN156" s="1707">
        <f>'EmVap-Vol'!AN62</f>
        <v>4.01840646555249E-4</v>
      </c>
      <c r="AO156" s="1707">
        <f>'EmVap-Vol'!AO62</f>
        <v>3.3940398754173199E-4</v>
      </c>
      <c r="AP156" s="1707">
        <f>'EmVap-Vol'!AP62</f>
        <v>3.3343642145126001E-4</v>
      </c>
      <c r="AQ156" s="1707">
        <f>'EmVap-Vol'!AQ62</f>
        <v>3.1110408609158599E-4</v>
      </c>
      <c r="AR156" s="1707">
        <f>'EmVap-Vol'!AR62</f>
        <v>2.9673552292587601E-4</v>
      </c>
      <c r="AS156" s="1707">
        <f>'EmVap-Vol'!AS62</f>
        <v>2.9471149548520101E-4</v>
      </c>
      <c r="AT156" s="1707">
        <f>'EmVap-Vol'!AT62</f>
        <v>2.8245061933669403E-4</v>
      </c>
      <c r="AU156" s="1707">
        <f>'EmVap-Vol'!AU62</f>
        <v>2.8628212401855699E-4</v>
      </c>
      <c r="AV156" s="1707">
        <f>'EmVap-Vol'!AV62</f>
        <v>2.7169829643089601E-4</v>
      </c>
      <c r="AW156" s="1707">
        <f>'EmVap-Vol'!AW62</f>
        <v>2.86337480181506E-4</v>
      </c>
      <c r="AX156" s="1707">
        <f>'EmVap-Vol'!AX62</f>
        <v>1.80099355361982E-3</v>
      </c>
      <c r="AY156" s="1707">
        <f>'EmVap-Vol'!AY62</f>
        <v>1.80099355361982E-3</v>
      </c>
      <c r="AZ156" s="1707">
        <f>'EmVap-Vol'!AZ62</f>
        <v>2.4141974168879702E-3</v>
      </c>
      <c r="BA156" s="1707">
        <f>'EmVap-Vol'!BA62</f>
        <v>3.2328581834376599E-3</v>
      </c>
      <c r="BB156" s="1707">
        <f>'EmVap-Vol'!BB62</f>
        <v>5.1022216414717996E-4</v>
      </c>
      <c r="BC156" s="1707">
        <f>'EmVap-Vol'!BC62</f>
        <v>455.79160448264503</v>
      </c>
      <c r="BD156" s="1707">
        <f>'EmVap-Vol'!BD62</f>
        <v>5.5344935658665703E-3</v>
      </c>
      <c r="BE156" s="1707">
        <f>'EmVap-Vol'!BE62</f>
        <v>2.2740012300550801E-4</v>
      </c>
      <c r="BF156" s="1707">
        <f>'EmVap-Vol'!BF62</f>
        <v>2.2740012300550801E-4</v>
      </c>
      <c r="BG156" s="1707">
        <f>'EmVap-Vol'!BG62</f>
        <v>0</v>
      </c>
      <c r="BH156" s="1707">
        <f>'EmVap-Vol'!BH62</f>
        <v>2.93900277812578E-3</v>
      </c>
      <c r="BI156" s="1707">
        <f>'EmVap-Vol'!BI62</f>
        <v>2.02427257617731E-3</v>
      </c>
    </row>
    <row r="157" spans="1:61" customFormat="1">
      <c r="C157" s="2425"/>
      <c r="D157" s="2426"/>
      <c r="E157" s="3500" t="s">
        <v>1182</v>
      </c>
      <c r="F157" s="3" t="s">
        <v>233</v>
      </c>
      <c r="G157" s="2101" t="s">
        <v>234</v>
      </c>
      <c r="H157" s="1707">
        <f t="shared" ref="H157:AM157" si="69">IF(H105=0,0,H135*H156/H105)</f>
        <v>0</v>
      </c>
      <c r="I157" s="1707">
        <f t="shared" si="69"/>
        <v>0</v>
      </c>
      <c r="J157" s="1707">
        <f t="shared" si="69"/>
        <v>0</v>
      </c>
      <c r="K157" s="1707">
        <f t="shared" si="69"/>
        <v>0</v>
      </c>
      <c r="L157" s="1707">
        <f t="shared" si="69"/>
        <v>0</v>
      </c>
      <c r="M157" s="1707">
        <f t="shared" si="69"/>
        <v>0</v>
      </c>
      <c r="N157" s="1707">
        <f t="shared" si="69"/>
        <v>0</v>
      </c>
      <c r="O157" s="1707">
        <f t="shared" si="69"/>
        <v>0</v>
      </c>
      <c r="P157" s="1707">
        <f t="shared" si="69"/>
        <v>0</v>
      </c>
      <c r="Q157" s="1707">
        <f t="shared" si="69"/>
        <v>0</v>
      </c>
      <c r="R157" s="1707">
        <f t="shared" si="69"/>
        <v>0</v>
      </c>
      <c r="S157" s="1707">
        <f t="shared" si="69"/>
        <v>0</v>
      </c>
      <c r="T157" s="1707">
        <f t="shared" si="69"/>
        <v>0</v>
      </c>
      <c r="U157" s="1707">
        <f t="shared" si="69"/>
        <v>0</v>
      </c>
      <c r="V157" s="1707">
        <f t="shared" si="69"/>
        <v>0</v>
      </c>
      <c r="W157" s="1707">
        <f t="shared" si="69"/>
        <v>0</v>
      </c>
      <c r="X157" s="1707">
        <f t="shared" si="69"/>
        <v>0</v>
      </c>
      <c r="Y157" s="1707">
        <f t="shared" si="69"/>
        <v>0</v>
      </c>
      <c r="Z157" s="1707">
        <f t="shared" si="69"/>
        <v>0</v>
      </c>
      <c r="AA157" s="1707">
        <f t="shared" si="69"/>
        <v>0</v>
      </c>
      <c r="AB157" s="1707">
        <f t="shared" si="69"/>
        <v>0</v>
      </c>
      <c r="AC157" s="1707">
        <f t="shared" si="69"/>
        <v>0</v>
      </c>
      <c r="AD157" s="1707">
        <f t="shared" si="69"/>
        <v>0</v>
      </c>
      <c r="AE157" s="1707">
        <f t="shared" si="69"/>
        <v>0</v>
      </c>
      <c r="AF157" s="1707">
        <f t="shared" si="69"/>
        <v>0</v>
      </c>
      <c r="AG157" s="1707">
        <f t="shared" si="69"/>
        <v>0</v>
      </c>
      <c r="AH157" s="1707">
        <f t="shared" si="69"/>
        <v>0</v>
      </c>
      <c r="AI157" s="1707">
        <f t="shared" si="69"/>
        <v>0</v>
      </c>
      <c r="AJ157" s="1707">
        <f t="shared" si="69"/>
        <v>0</v>
      </c>
      <c r="AK157" s="1707">
        <f t="shared" si="69"/>
        <v>0</v>
      </c>
      <c r="AL157" s="1707">
        <f t="shared" si="69"/>
        <v>0</v>
      </c>
      <c r="AM157" s="1707">
        <f t="shared" si="69"/>
        <v>0</v>
      </c>
      <c r="AN157" s="1707">
        <f t="shared" ref="AN157:BI157" si="70">IF(AN105=0,0,AN135*AN156/AN105)</f>
        <v>3.0485216941388693E-4</v>
      </c>
      <c r="AO157" s="1707">
        <f t="shared" si="70"/>
        <v>8.3304053540855059E-6</v>
      </c>
      <c r="AP157" s="1707">
        <f t="shared" si="70"/>
        <v>8.1839361128989546E-6</v>
      </c>
      <c r="AQ157" s="1707">
        <f t="shared" si="70"/>
        <v>7.6358064123703556E-6</v>
      </c>
      <c r="AR157" s="1707">
        <f t="shared" si="70"/>
        <v>7.2831412701806855E-6</v>
      </c>
      <c r="AS157" s="1707">
        <f t="shared" si="70"/>
        <v>7.2334631000721457E-5</v>
      </c>
      <c r="AT157" s="1707">
        <f t="shared" si="70"/>
        <v>6.9325294868489266E-6</v>
      </c>
      <c r="AU157" s="1707">
        <f t="shared" si="70"/>
        <v>7.0265707718296177E-6</v>
      </c>
      <c r="AV157" s="1707">
        <f t="shared" si="70"/>
        <v>6.6686221328072994E-4</v>
      </c>
      <c r="AW157" s="1707">
        <f t="shared" si="70"/>
        <v>7.027929445543361E-5</v>
      </c>
      <c r="AX157" s="1707">
        <f t="shared" si="70"/>
        <v>4.4203977833063342E-3</v>
      </c>
      <c r="AY157" s="1707">
        <f t="shared" si="70"/>
        <v>4.4203977833063351E-3</v>
      </c>
      <c r="AZ157" s="1707">
        <f t="shared" si="70"/>
        <v>5.9254586939672088E-2</v>
      </c>
      <c r="BA157" s="1707">
        <f t="shared" si="70"/>
        <v>7.9347975005735233E-2</v>
      </c>
      <c r="BB157" s="1707">
        <f t="shared" si="70"/>
        <v>1.2523003865598812E-4</v>
      </c>
      <c r="BC157" s="1707">
        <f t="shared" si="70"/>
        <v>1118.7048360363156</v>
      </c>
      <c r="BD157" s="1707">
        <f t="shared" si="70"/>
        <v>0</v>
      </c>
      <c r="BE157" s="1707">
        <f t="shared" si="70"/>
        <v>5.7843165982462289E-3</v>
      </c>
      <c r="BF157" s="1707">
        <f t="shared" si="70"/>
        <v>2.8921582991231144E-3</v>
      </c>
      <c r="BG157" s="1707">
        <f t="shared" si="70"/>
        <v>0</v>
      </c>
      <c r="BH157" s="1707">
        <f t="shared" si="70"/>
        <v>0</v>
      </c>
      <c r="BI157" s="1707">
        <f t="shared" si="70"/>
        <v>0</v>
      </c>
    </row>
    <row r="158" spans="1:61" s="2099" customFormat="1">
      <c r="C158" s="2425"/>
      <c r="D158" s="2426"/>
      <c r="E158" s="3947" t="s">
        <v>1161</v>
      </c>
      <c r="F158" s="3"/>
      <c r="G158" s="2101"/>
      <c r="H158" s="1707"/>
      <c r="I158" s="1707"/>
      <c r="J158" s="1707"/>
      <c r="K158" s="1707"/>
      <c r="L158" s="1707"/>
      <c r="M158" s="1707"/>
      <c r="N158" s="1707"/>
      <c r="O158" s="1707"/>
      <c r="P158" s="1707"/>
      <c r="Q158" s="1707"/>
      <c r="R158" s="1707"/>
      <c r="S158" s="1707"/>
      <c r="T158" s="1707"/>
      <c r="U158" s="1707"/>
      <c r="V158" s="1707"/>
      <c r="W158" s="1707"/>
      <c r="X158" s="1707"/>
      <c r="Y158" s="1707"/>
      <c r="Z158" s="1707"/>
      <c r="AA158" s="1707"/>
      <c r="AB158" s="1707"/>
      <c r="AC158" s="1707"/>
      <c r="AD158" s="1707"/>
      <c r="AE158" s="1707"/>
      <c r="AF158" s="1707"/>
      <c r="AG158" s="1707"/>
      <c r="AH158" s="1707"/>
      <c r="AI158" s="1707"/>
      <c r="AJ158" s="1707"/>
      <c r="AK158" s="1707"/>
      <c r="AL158" s="1707"/>
      <c r="AM158" s="1707"/>
      <c r="AN158" s="1707"/>
      <c r="AO158" s="1707"/>
      <c r="AP158" s="1707"/>
      <c r="AQ158" s="1707"/>
      <c r="AR158" s="1707"/>
      <c r="AS158" s="1707"/>
      <c r="AT158" s="1707"/>
      <c r="AU158" s="1707"/>
      <c r="AV158" s="1707"/>
      <c r="AW158" s="1707"/>
      <c r="AX158" s="1707"/>
      <c r="AY158" s="1707"/>
      <c r="AZ158" s="1707"/>
      <c r="BA158" s="1707"/>
      <c r="BB158" s="1707"/>
      <c r="BC158" s="1707"/>
      <c r="BD158" s="1707"/>
      <c r="BE158" s="1707"/>
      <c r="BF158" s="1707"/>
      <c r="BG158" s="1707"/>
      <c r="BH158" s="1707"/>
      <c r="BI158" s="1707"/>
    </row>
    <row r="159" spans="1:61" customFormat="1">
      <c r="C159" s="2425"/>
      <c r="D159" s="2426"/>
      <c r="E159" s="3500" t="s">
        <v>989</v>
      </c>
      <c r="F159" s="3" t="str">
        <f>F$18</f>
        <v>Cs</v>
      </c>
      <c r="G159" s="2101" t="str">
        <f>G$18</f>
        <v>mg/kg ms</v>
      </c>
      <c r="H159" s="1707">
        <f t="shared" ref="H159:AM159" si="71">IF(H142="PVL","PVL",H142/H150*H101)</f>
        <v>387.14361918689377</v>
      </c>
      <c r="I159" s="1707">
        <f t="shared" si="71"/>
        <v>387.14361918689377</v>
      </c>
      <c r="J159" s="1707">
        <f t="shared" si="71"/>
        <v>1603.3602156782929</v>
      </c>
      <c r="K159" s="1707">
        <f t="shared" si="71"/>
        <v>1.5697919999999999</v>
      </c>
      <c r="L159" s="1707">
        <f t="shared" si="71"/>
        <v>1.6819199999999999</v>
      </c>
      <c r="M159" s="1707">
        <f t="shared" si="71"/>
        <v>1.6819199999999999</v>
      </c>
      <c r="N159" s="1707">
        <f t="shared" si="71"/>
        <v>5.6064000000000007</v>
      </c>
      <c r="O159" s="1707">
        <f t="shared" si="71"/>
        <v>5.6064000000000007</v>
      </c>
      <c r="P159" s="1707">
        <f t="shared" si="71"/>
        <v>0.9811200000000001</v>
      </c>
      <c r="Q159" s="1707">
        <f t="shared" si="71"/>
        <v>0.9811200000000001</v>
      </c>
      <c r="R159" s="1707">
        <f t="shared" si="71"/>
        <v>11.212800000000003</v>
      </c>
      <c r="S159" s="1707">
        <f t="shared" si="71"/>
        <v>1.7660159999999996</v>
      </c>
      <c r="T159" s="1707">
        <f t="shared" si="71"/>
        <v>1.7660159999999996</v>
      </c>
      <c r="U159" s="1707">
        <f t="shared" si="71"/>
        <v>1.0652159999999999</v>
      </c>
      <c r="V159" s="1707">
        <f t="shared" si="71"/>
        <v>28.031999999999996</v>
      </c>
      <c r="W159" s="1707">
        <f t="shared" si="71"/>
        <v>28.031999999999996</v>
      </c>
      <c r="X159" s="1707">
        <f t="shared" si="71"/>
        <v>0.26910720000000005</v>
      </c>
      <c r="Y159" s="1707">
        <f t="shared" si="71"/>
        <v>7.2883200000000024</v>
      </c>
      <c r="Z159" s="1707">
        <f t="shared" si="71"/>
        <v>7.4284800000000013</v>
      </c>
      <c r="AA159" s="1707">
        <f t="shared" si="71"/>
        <v>19.622400000000003</v>
      </c>
      <c r="AB159" s="1707">
        <f t="shared" si="71"/>
        <v>7.0037170154561172</v>
      </c>
      <c r="AC159" s="1707">
        <f t="shared" si="71"/>
        <v>38.872651501774577</v>
      </c>
      <c r="AD159" s="1707">
        <f t="shared" si="71"/>
        <v>229.01644100689651</v>
      </c>
      <c r="AE159" s="1707" t="str">
        <f t="shared" si="71"/>
        <v>PVL</v>
      </c>
      <c r="AF159" s="1707" t="str">
        <f t="shared" si="71"/>
        <v>PVL</v>
      </c>
      <c r="AG159" s="1707">
        <f t="shared" si="71"/>
        <v>515.78880000000004</v>
      </c>
      <c r="AH159" s="1707">
        <f t="shared" si="71"/>
        <v>515.78879999999992</v>
      </c>
      <c r="AI159" s="1707">
        <f t="shared" si="71"/>
        <v>28.031999999999996</v>
      </c>
      <c r="AJ159" s="1707">
        <f t="shared" si="71"/>
        <v>28.032000000000004</v>
      </c>
      <c r="AK159" s="1707">
        <f t="shared" si="71"/>
        <v>153.61966317458217</v>
      </c>
      <c r="AL159" s="1707" t="str">
        <f t="shared" si="71"/>
        <v>PVL</v>
      </c>
      <c r="AM159" s="1707" t="str">
        <f t="shared" si="71"/>
        <v>PVL</v>
      </c>
      <c r="AN159" s="1707">
        <f t="shared" ref="AN159:BI159" si="72">IF(AN142="PVL","PVL",AN142/AN150*AN101)</f>
        <v>6.9862062259256277</v>
      </c>
      <c r="AO159" s="1707" t="str">
        <f t="shared" si="72"/>
        <v>PVL</v>
      </c>
      <c r="AP159" s="1707" t="str">
        <f t="shared" si="72"/>
        <v>PVL</v>
      </c>
      <c r="AQ159" s="1707" t="str">
        <f t="shared" si="72"/>
        <v>PVL</v>
      </c>
      <c r="AR159" s="1707" t="str">
        <f t="shared" si="72"/>
        <v>PVL</v>
      </c>
      <c r="AS159" s="1707" t="str">
        <f t="shared" si="72"/>
        <v>PVL</v>
      </c>
      <c r="AT159" s="1707" t="str">
        <f t="shared" si="72"/>
        <v>PVL</v>
      </c>
      <c r="AU159" s="1707" t="str">
        <f t="shared" si="72"/>
        <v>PVL</v>
      </c>
      <c r="AV159" s="1707" t="str">
        <f t="shared" si="72"/>
        <v>PVL</v>
      </c>
      <c r="AW159" s="1707" t="str">
        <f t="shared" si="72"/>
        <v>PVL</v>
      </c>
      <c r="AX159" s="1707" t="str">
        <f t="shared" si="72"/>
        <v>PVL</v>
      </c>
      <c r="AY159" s="1707" t="str">
        <f t="shared" si="72"/>
        <v>PVL</v>
      </c>
      <c r="AZ159" s="1707" t="str">
        <f t="shared" si="72"/>
        <v>PVL</v>
      </c>
      <c r="BA159" s="1707" t="str">
        <f t="shared" si="72"/>
        <v>PVL</v>
      </c>
      <c r="BB159" s="1707" t="str">
        <f t="shared" si="72"/>
        <v>PVL</v>
      </c>
      <c r="BC159" s="1707" t="str">
        <f t="shared" si="72"/>
        <v>PVL</v>
      </c>
      <c r="BD159" s="1707">
        <f t="shared" si="72"/>
        <v>154.51886836711196</v>
      </c>
      <c r="BE159" s="1707">
        <f t="shared" si="72"/>
        <v>4236.0012723214013</v>
      </c>
      <c r="BF159" s="1707">
        <f t="shared" si="72"/>
        <v>8472.0025446428026</v>
      </c>
      <c r="BG159" s="1707">
        <f t="shared" si="72"/>
        <v>8.4095999999999975E-4</v>
      </c>
      <c r="BH159" s="1707">
        <f t="shared" si="72"/>
        <v>3.4549717037880656</v>
      </c>
      <c r="BI159" s="1707">
        <f t="shared" si="72"/>
        <v>1.0668362764851442</v>
      </c>
    </row>
    <row r="160" spans="1:61" customFormat="1">
      <c r="C160" s="2425"/>
      <c r="D160" s="2426"/>
      <c r="E160" s="3948" t="s">
        <v>992</v>
      </c>
      <c r="F160" s="3" t="str">
        <f>F157</f>
        <v>CTsa-&gt;ERI</v>
      </c>
      <c r="G160" s="2101" t="str">
        <f>G157</f>
        <v>(ERI)/(mg/lsa)</v>
      </c>
      <c r="H160" s="1707" t="str">
        <f t="shared" ref="H160:AM160" si="73">IF(H140=0,"PVL",H$16/(H154+H157)/H$20)</f>
        <v>PVL</v>
      </c>
      <c r="I160" s="1707" t="str">
        <f t="shared" si="73"/>
        <v>PVL</v>
      </c>
      <c r="J160" s="1707" t="str">
        <f t="shared" si="73"/>
        <v>PVL</v>
      </c>
      <c r="K160" s="1707">
        <f t="shared" si="73"/>
        <v>9.8111999999999977</v>
      </c>
      <c r="L160" s="1707" t="str">
        <f t="shared" si="73"/>
        <v>PVL</v>
      </c>
      <c r="M160" s="1707" t="str">
        <f t="shared" si="73"/>
        <v>PVL</v>
      </c>
      <c r="N160" s="1707">
        <f t="shared" si="73"/>
        <v>4.9055999999999989</v>
      </c>
      <c r="O160" s="1707">
        <f t="shared" si="73"/>
        <v>4.9055999999999989</v>
      </c>
      <c r="P160" s="1707">
        <f t="shared" si="73"/>
        <v>1.6629152542372878</v>
      </c>
      <c r="Q160" s="1707">
        <f t="shared" si="73"/>
        <v>1.6629152542372878</v>
      </c>
      <c r="R160" s="1707">
        <f t="shared" si="73"/>
        <v>9.8111999999999977</v>
      </c>
      <c r="S160" s="1707">
        <f t="shared" si="73"/>
        <v>0.42657391304347808</v>
      </c>
      <c r="T160" s="1707">
        <f t="shared" si="73"/>
        <v>0.42657391304347808</v>
      </c>
      <c r="U160" s="1707">
        <f t="shared" si="73"/>
        <v>0.2336</v>
      </c>
      <c r="V160" s="1707" t="str">
        <f t="shared" si="73"/>
        <v>PVL</v>
      </c>
      <c r="W160" s="1707" t="str">
        <f t="shared" si="73"/>
        <v>PVL</v>
      </c>
      <c r="X160" s="1707">
        <f t="shared" si="73"/>
        <v>1.6351999999999998</v>
      </c>
      <c r="Y160" s="1707" t="str">
        <f t="shared" si="73"/>
        <v>PVL</v>
      </c>
      <c r="Z160" s="1707">
        <f t="shared" si="73"/>
        <v>3.9244799999999995</v>
      </c>
      <c r="AA160" s="1707" t="str">
        <f t="shared" si="73"/>
        <v>PVL</v>
      </c>
      <c r="AB160" s="1707" t="str">
        <f t="shared" si="73"/>
        <v>PVL</v>
      </c>
      <c r="AC160" s="1707" t="str">
        <f t="shared" si="73"/>
        <v>PVL</v>
      </c>
      <c r="AD160" s="1707" t="str">
        <f t="shared" si="73"/>
        <v>PVL</v>
      </c>
      <c r="AE160" s="1707" t="str">
        <f t="shared" si="73"/>
        <v>PVL</v>
      </c>
      <c r="AF160" s="1707" t="str">
        <f t="shared" si="73"/>
        <v>PVL</v>
      </c>
      <c r="AG160" s="1707" t="str">
        <f t="shared" si="73"/>
        <v>PVL</v>
      </c>
      <c r="AH160" s="1707" t="str">
        <f t="shared" si="73"/>
        <v>PVL</v>
      </c>
      <c r="AI160" s="1707" t="str">
        <f t="shared" si="73"/>
        <v>PVL</v>
      </c>
      <c r="AJ160" s="1707" t="str">
        <f t="shared" si="73"/>
        <v>PVL</v>
      </c>
      <c r="AK160" s="1707" t="str">
        <f t="shared" si="73"/>
        <v>PVL</v>
      </c>
      <c r="AL160" s="1707" t="str">
        <f t="shared" si="73"/>
        <v>PVL</v>
      </c>
      <c r="AM160" s="1707" t="str">
        <f t="shared" si="73"/>
        <v>PVL</v>
      </c>
      <c r="AN160" s="1707">
        <f t="shared" ref="AN160:BI160" si="74">IF(AN140=0,"PVL",AN$16/(AN154+AN157)/AN$20)</f>
        <v>0.6437567795064606</v>
      </c>
      <c r="AO160" s="1707">
        <f t="shared" si="74"/>
        <v>86.257280353129062</v>
      </c>
      <c r="AP160" s="1707">
        <f t="shared" si="74"/>
        <v>52.482747691115186</v>
      </c>
      <c r="AQ160" s="1707">
        <f t="shared" si="74"/>
        <v>138.91892227039381</v>
      </c>
      <c r="AR160" s="1707">
        <f t="shared" si="74"/>
        <v>727.43927935701743</v>
      </c>
      <c r="AS160" s="1707">
        <f t="shared" si="74"/>
        <v>56.706717775341048</v>
      </c>
      <c r="AT160" s="1707">
        <f t="shared" si="74"/>
        <v>8105.7449465058744</v>
      </c>
      <c r="AU160" s="1707">
        <f t="shared" si="74"/>
        <v>8313.0622239813547</v>
      </c>
      <c r="AV160" s="1707">
        <f t="shared" si="74"/>
        <v>549.05109033627878</v>
      </c>
      <c r="AW160" s="1707">
        <f t="shared" si="74"/>
        <v>5406.7030060658717</v>
      </c>
      <c r="AX160" s="1707">
        <f t="shared" si="74"/>
        <v>2442.1841864712092</v>
      </c>
      <c r="AY160" s="1707">
        <f t="shared" si="74"/>
        <v>3558.4993202849992</v>
      </c>
      <c r="AZ160" s="1707">
        <f t="shared" si="74"/>
        <v>397.53130432534135</v>
      </c>
      <c r="BA160" s="1707">
        <f t="shared" si="74"/>
        <v>1718.8557741760487</v>
      </c>
      <c r="BB160" s="1707">
        <f t="shared" si="74"/>
        <v>68784.801867101196</v>
      </c>
      <c r="BC160" s="1707">
        <f t="shared" si="74"/>
        <v>28985.018956612952</v>
      </c>
      <c r="BD160" s="1707" t="str">
        <f t="shared" si="74"/>
        <v>PVL</v>
      </c>
      <c r="BE160" s="1707">
        <f t="shared" si="74"/>
        <v>69.849260446812764</v>
      </c>
      <c r="BF160" s="1707">
        <f t="shared" si="74"/>
        <v>139.69852089362553</v>
      </c>
      <c r="BG160" s="1707" t="str">
        <f t="shared" si="74"/>
        <v>PVL</v>
      </c>
      <c r="BH160" s="1707" t="str">
        <f t="shared" si="74"/>
        <v>PVL</v>
      </c>
      <c r="BI160" s="1707" t="str">
        <f t="shared" si="74"/>
        <v>PVL</v>
      </c>
    </row>
    <row r="161" spans="1:61" customFormat="1">
      <c r="C161" s="2425"/>
      <c r="D161" s="2426"/>
      <c r="E161" s="3500" t="s">
        <v>493</v>
      </c>
      <c r="F161" s="3" t="str">
        <f>F160</f>
        <v>CTsa-&gt;ERI</v>
      </c>
      <c r="G161" s="2101" t="str">
        <f>G160</f>
        <v>(ERI)/(mg/lsa)</v>
      </c>
      <c r="H161" s="1707">
        <f t="shared" ref="H161:BI161" si="75">IF(MIN(H159:H160)&gt;0,MIN(H159:H160),H159)</f>
        <v>387.14361918689377</v>
      </c>
      <c r="I161" s="1707">
        <f t="shared" si="75"/>
        <v>387.14361918689377</v>
      </c>
      <c r="J161" s="1707">
        <f t="shared" si="75"/>
        <v>1603.3602156782929</v>
      </c>
      <c r="K161" s="1707">
        <f t="shared" si="75"/>
        <v>1.5697919999999999</v>
      </c>
      <c r="L161" s="1707">
        <f t="shared" si="75"/>
        <v>1.6819199999999999</v>
      </c>
      <c r="M161" s="1707">
        <f t="shared" si="75"/>
        <v>1.6819199999999999</v>
      </c>
      <c r="N161" s="1707">
        <f t="shared" si="75"/>
        <v>4.9055999999999989</v>
      </c>
      <c r="O161" s="1707">
        <f t="shared" si="75"/>
        <v>4.9055999999999989</v>
      </c>
      <c r="P161" s="1707">
        <f t="shared" si="75"/>
        <v>0.9811200000000001</v>
      </c>
      <c r="Q161" s="1707">
        <f t="shared" si="75"/>
        <v>0.9811200000000001</v>
      </c>
      <c r="R161" s="1707">
        <f t="shared" si="75"/>
        <v>9.8111999999999977</v>
      </c>
      <c r="S161" s="1707">
        <f t="shared" si="75"/>
        <v>0.42657391304347808</v>
      </c>
      <c r="T161" s="1707">
        <f t="shared" si="75"/>
        <v>0.42657391304347808</v>
      </c>
      <c r="U161" s="1707">
        <f t="shared" si="75"/>
        <v>0.2336</v>
      </c>
      <c r="V161" s="1707">
        <f t="shared" si="75"/>
        <v>28.031999999999996</v>
      </c>
      <c r="W161" s="1707">
        <f t="shared" si="75"/>
        <v>28.031999999999996</v>
      </c>
      <c r="X161" s="1707">
        <f t="shared" si="75"/>
        <v>0.26910720000000005</v>
      </c>
      <c r="Y161" s="1707">
        <f t="shared" si="75"/>
        <v>7.2883200000000024</v>
      </c>
      <c r="Z161" s="1707">
        <f t="shared" si="75"/>
        <v>3.9244799999999995</v>
      </c>
      <c r="AA161" s="1707">
        <f t="shared" si="75"/>
        <v>19.622400000000003</v>
      </c>
      <c r="AB161" s="1707">
        <f t="shared" si="75"/>
        <v>7.0037170154561172</v>
      </c>
      <c r="AC161" s="1707">
        <f t="shared" si="75"/>
        <v>38.872651501774577</v>
      </c>
      <c r="AD161" s="1707">
        <f t="shared" si="75"/>
        <v>229.01644100689651</v>
      </c>
      <c r="AE161" s="1707" t="str">
        <f t="shared" si="75"/>
        <v>PVL</v>
      </c>
      <c r="AF161" s="1707" t="str">
        <f t="shared" si="75"/>
        <v>PVL</v>
      </c>
      <c r="AG161" s="1707">
        <f t="shared" si="75"/>
        <v>515.78880000000004</v>
      </c>
      <c r="AH161" s="1707">
        <f t="shared" si="75"/>
        <v>515.78879999999992</v>
      </c>
      <c r="AI161" s="1707">
        <f t="shared" si="75"/>
        <v>28.031999999999996</v>
      </c>
      <c r="AJ161" s="1707">
        <f t="shared" si="75"/>
        <v>28.032000000000004</v>
      </c>
      <c r="AK161" s="1707">
        <f t="shared" si="75"/>
        <v>153.61966317458217</v>
      </c>
      <c r="AL161" s="1707" t="str">
        <f t="shared" si="75"/>
        <v>PVL</v>
      </c>
      <c r="AM161" s="1707" t="str">
        <f t="shared" si="75"/>
        <v>PVL</v>
      </c>
      <c r="AN161" s="1707">
        <f t="shared" si="75"/>
        <v>0.6437567795064606</v>
      </c>
      <c r="AO161" s="1707">
        <f t="shared" si="75"/>
        <v>86.257280353129062</v>
      </c>
      <c r="AP161" s="1707">
        <f t="shared" si="75"/>
        <v>52.482747691115186</v>
      </c>
      <c r="AQ161" s="1707">
        <f t="shared" si="75"/>
        <v>138.91892227039381</v>
      </c>
      <c r="AR161" s="1707">
        <f t="shared" si="75"/>
        <v>727.43927935701743</v>
      </c>
      <c r="AS161" s="1707">
        <f t="shared" si="75"/>
        <v>56.706717775341048</v>
      </c>
      <c r="AT161" s="1707">
        <f t="shared" si="75"/>
        <v>8105.7449465058744</v>
      </c>
      <c r="AU161" s="1707">
        <f t="shared" si="75"/>
        <v>8313.0622239813547</v>
      </c>
      <c r="AV161" s="1707">
        <f t="shared" si="75"/>
        <v>549.05109033627878</v>
      </c>
      <c r="AW161" s="1707">
        <f t="shared" si="75"/>
        <v>5406.7030060658717</v>
      </c>
      <c r="AX161" s="1707">
        <f t="shared" si="75"/>
        <v>2442.1841864712092</v>
      </c>
      <c r="AY161" s="1707">
        <f t="shared" si="75"/>
        <v>3558.4993202849992</v>
      </c>
      <c r="AZ161" s="1707">
        <f t="shared" si="75"/>
        <v>397.53130432534135</v>
      </c>
      <c r="BA161" s="1707">
        <f t="shared" si="75"/>
        <v>1718.8557741760487</v>
      </c>
      <c r="BB161" s="1707">
        <f t="shared" si="75"/>
        <v>68784.801867101196</v>
      </c>
      <c r="BC161" s="1707">
        <f t="shared" si="75"/>
        <v>28985.018956612952</v>
      </c>
      <c r="BD161" s="1707">
        <f t="shared" si="75"/>
        <v>154.51886836711196</v>
      </c>
      <c r="BE161" s="1707">
        <f t="shared" si="75"/>
        <v>69.849260446812764</v>
      </c>
      <c r="BF161" s="1707">
        <f t="shared" si="75"/>
        <v>139.69852089362553</v>
      </c>
      <c r="BG161" s="1707">
        <f t="shared" si="75"/>
        <v>8.4095999999999975E-4</v>
      </c>
      <c r="BH161" s="1707">
        <f t="shared" si="75"/>
        <v>3.4549717037880656</v>
      </c>
      <c r="BI161" s="1707">
        <f t="shared" si="75"/>
        <v>1.0668362764851442</v>
      </c>
    </row>
    <row r="162" spans="1:61" customFormat="1">
      <c r="C162" s="2425"/>
      <c r="D162" s="2426"/>
      <c r="E162" s="3500" t="s">
        <v>499</v>
      </c>
      <c r="F162" s="3" t="s">
        <v>19</v>
      </c>
      <c r="G162" s="2101" t="s">
        <v>20</v>
      </c>
      <c r="H162" s="1707">
        <f>IF(H161&lt;'3phas'!H$23,H161,"PVL")</f>
        <v>387.14361918689377</v>
      </c>
      <c r="I162" s="1707">
        <f>IF(I161&lt;'3phas'!I$23,I161,"PVL")</f>
        <v>387.14361918689377</v>
      </c>
      <c r="J162" s="1707">
        <f>IF(J161&lt;'3phas'!J$23,J161,"PVL")</f>
        <v>1603.3602156782929</v>
      </c>
      <c r="K162" s="1707">
        <f>IF(K161&lt;'3phas'!K$23,K161,"PVL")</f>
        <v>1.5697919999999999</v>
      </c>
      <c r="L162" s="1707">
        <f>IF(L161&lt;'3phas'!L$23,L161,"PVL")</f>
        <v>1.6819199999999999</v>
      </c>
      <c r="M162" s="1707">
        <f>IF(M161&lt;'3phas'!M$23,M161,"PVL")</f>
        <v>1.6819199999999999</v>
      </c>
      <c r="N162" s="1707">
        <f>IF(N161&lt;'3phas'!N$23,N161,"PVL")</f>
        <v>4.9055999999999989</v>
      </c>
      <c r="O162" s="1707">
        <f>IF(O161&lt;'3phas'!O$23,O161,"PVL")</f>
        <v>4.9055999999999989</v>
      </c>
      <c r="P162" s="1707">
        <f>IF(P161&lt;'3phas'!P$23,P161,"PVL")</f>
        <v>0.9811200000000001</v>
      </c>
      <c r="Q162" s="1707">
        <f>IF(Q161&lt;'3phas'!Q$23,Q161,"PVL")</f>
        <v>0.9811200000000001</v>
      </c>
      <c r="R162" s="1707">
        <f>IF(R161&lt;'3phas'!R$23,R161,"PVL")</f>
        <v>9.8111999999999977</v>
      </c>
      <c r="S162" s="1707">
        <f>IF(S161&lt;'3phas'!S$23,S161,"PVL")</f>
        <v>0.42657391304347808</v>
      </c>
      <c r="T162" s="1707">
        <f>IF(T161&lt;'3phas'!T$23,T161,"PVL")</f>
        <v>0.42657391304347808</v>
      </c>
      <c r="U162" s="1707">
        <f>IF(U161&lt;'3phas'!U$23,U161,"PVL")</f>
        <v>0.2336</v>
      </c>
      <c r="V162" s="1707">
        <f>IF(V161&lt;'3phas'!V$23,V161,"PVL")</f>
        <v>28.031999999999996</v>
      </c>
      <c r="W162" s="1707">
        <f>IF(W161&lt;'3phas'!W$23,W161,"PVL")</f>
        <v>28.031999999999996</v>
      </c>
      <c r="X162" s="1707">
        <f>IF(X161&lt;'3phas'!X$23,X161,"PVL")</f>
        <v>0.26910720000000005</v>
      </c>
      <c r="Y162" s="1707">
        <f>IF(Y161&lt;'3phas'!Y$23,Y161,"PVL")</f>
        <v>7.2883200000000024</v>
      </c>
      <c r="Z162" s="1707">
        <f>IF(Z161&lt;'3phas'!Z$23,Z161,"PVL")</f>
        <v>3.9244799999999995</v>
      </c>
      <c r="AA162" s="1707">
        <f>IF(AA161&lt;'3phas'!AA$23,AA161,"PVL")</f>
        <v>19.622400000000003</v>
      </c>
      <c r="AB162" s="1707">
        <f>IF(AB161&lt;'3phas'!AB$23,AB161,"PVL")</f>
        <v>7.0037170154561172</v>
      </c>
      <c r="AC162" s="1707">
        <f>IF(AC161&lt;'3phas'!AC$23,AC161,"PVL")</f>
        <v>38.872651501774577</v>
      </c>
      <c r="AD162" s="1707" t="str">
        <f>IF(AD161&lt;'3phas'!AD$23,AD161,"PVL")</f>
        <v>PVL</v>
      </c>
      <c r="AE162" s="1707" t="str">
        <f>IF(AE161&lt;'3phas'!AE$23,AE161,"PVL")</f>
        <v>PVL</v>
      </c>
      <c r="AF162" s="1707" t="str">
        <f>IF(AF161&lt;'3phas'!AF$23,AF161,"PVL")</f>
        <v>PVL</v>
      </c>
      <c r="AG162" s="1707" t="str">
        <f>IF(AG161&lt;'3phas'!AG$23,AG161,"PVL")</f>
        <v>PVL</v>
      </c>
      <c r="AH162" s="1707" t="str">
        <f>IF(AH161&lt;'3phas'!AH$23,AH161,"PVL")</f>
        <v>PVL</v>
      </c>
      <c r="AI162" s="1707" t="str">
        <f>IF(AI161&lt;'3phas'!AI$23,AI161,"PVL")</f>
        <v>PVL</v>
      </c>
      <c r="AJ162" s="1707" t="str">
        <f>IF(AJ161&lt;'3phas'!AJ$23,AJ161,"PVL")</f>
        <v>PVL</v>
      </c>
      <c r="AK162" s="1707" t="str">
        <f>IF(AK161&lt;'3phas'!AK$23,AK161,"PVL")</f>
        <v>PVL</v>
      </c>
      <c r="AL162" s="1707" t="str">
        <f>IF(AL161&lt;'3phas'!AL$23,AL161,"PVL")</f>
        <v>PVL</v>
      </c>
      <c r="AM162" s="1707" t="str">
        <f>IF(AM161&lt;'3phas'!AM$23,AM161,"PVL")</f>
        <v>PVL</v>
      </c>
      <c r="AN162" s="1707">
        <f>IF(AN161&lt;'3phas'!AN$23,AN161,"PVL")</f>
        <v>0.6437567795064606</v>
      </c>
      <c r="AO162" s="1707" t="str">
        <f>IF(AO161&lt;'3phas'!AO$23,AO161,"PVL")</f>
        <v>PVL</v>
      </c>
      <c r="AP162" s="1707" t="str">
        <f>IF(AP161&lt;'3phas'!AP$23,AP161,"PVL")</f>
        <v>PVL</v>
      </c>
      <c r="AQ162" s="1707" t="str">
        <f>IF(AQ161&lt;'3phas'!AQ$23,AQ161,"PVL")</f>
        <v>PVL</v>
      </c>
      <c r="AR162" s="1707" t="str">
        <f>IF(AR161&lt;'3phas'!AR$23,AR161,"PVL")</f>
        <v>PVL</v>
      </c>
      <c r="AS162" s="1707" t="str">
        <f>IF(AS161&lt;'3phas'!AS$23,AS161,"PVL")</f>
        <v>PVL</v>
      </c>
      <c r="AT162" s="1707" t="str">
        <f>IF(AT161&lt;'3phas'!AT$23,AT161,"PVL")</f>
        <v>PVL</v>
      </c>
      <c r="AU162" s="1707" t="str">
        <f>IF(AU161&lt;'3phas'!AU$23,AU161,"PVL")</f>
        <v>PVL</v>
      </c>
      <c r="AV162" s="1707" t="str">
        <f>IF(AV161&lt;'3phas'!AV$23,AV161,"PVL")</f>
        <v>PVL</v>
      </c>
      <c r="AW162" s="1707" t="str">
        <f>IF(AW161&lt;'3phas'!AW$23,AW161,"PVL")</f>
        <v>PVL</v>
      </c>
      <c r="AX162" s="1707" t="str">
        <f>IF(AX161&lt;'3phas'!AX$23,AX161,"PVL")</f>
        <v>PVL</v>
      </c>
      <c r="AY162" s="1707" t="str">
        <f>IF(AY161&lt;'3phas'!AY$23,AY161,"PVL")</f>
        <v>PVL</v>
      </c>
      <c r="AZ162" s="1707" t="str">
        <f>IF(AZ161&lt;'3phas'!AZ$23,AZ161,"PVL")</f>
        <v>PVL</v>
      </c>
      <c r="BA162" s="1707" t="str">
        <f>IF(BA161&lt;'3phas'!BA$23,BA161,"PVL")</f>
        <v>PVL</v>
      </c>
      <c r="BB162" s="1707" t="str">
        <f>IF(BB161&lt;'3phas'!BB$23,BB161,"PVL")</f>
        <v>PVL</v>
      </c>
      <c r="BC162" s="1707" t="str">
        <f>IF(BC161&lt;'3phas'!BC$23,BC161,"PVL")</f>
        <v>PVL</v>
      </c>
      <c r="BD162" s="1707">
        <f>IF(BD161&lt;'3phas'!BD$23,BD161,"PVL")</f>
        <v>154.51886836711196</v>
      </c>
      <c r="BE162" s="1707" t="str">
        <f>IF(BE161&lt;'3phas'!BE$23,BE161,"PVL")</f>
        <v>PVL</v>
      </c>
      <c r="BF162" s="1707" t="str">
        <f>IF(BF161&lt;'3phas'!BF$23,BF161,"PVL")</f>
        <v>PVL</v>
      </c>
      <c r="BG162" s="1707" t="str">
        <f>IF(BG161&lt;'3phas'!BG$23,BG161,"PVL")</f>
        <v>PVL</v>
      </c>
      <c r="BH162" s="1707">
        <f>IF(BH161&lt;'3phas'!BH$23,BH161,"PVL")</f>
        <v>3.4549717037880656</v>
      </c>
      <c r="BI162" s="1707">
        <f>IF(BI161&lt;'3phas'!BI$23,BI161,"PVL")</f>
        <v>1.0668362764851442</v>
      </c>
    </row>
    <row r="163" spans="1:61" customFormat="1">
      <c r="C163" s="2425"/>
      <c r="D163" s="2426"/>
      <c r="E163" s="3500" t="s">
        <v>476</v>
      </c>
      <c r="F163" s="3" t="str">
        <f>F146</f>
        <v>Csao</v>
      </c>
      <c r="G163" s="2101" t="s">
        <v>24</v>
      </c>
      <c r="H163" s="1707">
        <f>IF(H162="PVL",H162,H162*'3phas'!H$26*1000)</f>
        <v>1019.9265931364279</v>
      </c>
      <c r="I163" s="1707">
        <f>IF(I162="PVL",I162,I162*'3phas'!I$26*1000)</f>
        <v>1019.9265931364279</v>
      </c>
      <c r="J163" s="1707">
        <f>IF(J162="PVL",J162,J162*'3phas'!J$26*1000)</f>
        <v>27729.578077952665</v>
      </c>
      <c r="K163" s="1707">
        <f>IF(K162="PVL",K162,K162*'3phas'!K$26*1000)</f>
        <v>6048.9010731870685</v>
      </c>
      <c r="L163" s="1707">
        <f>IF(L162="PVL",L162,L162*'3phas'!L$26*1000)</f>
        <v>1211.7205385311402</v>
      </c>
      <c r="M163" s="1707">
        <f>IF(M162="PVL",M162,M162*'3phas'!M$26*1000)</f>
        <v>1211.7205385311402</v>
      </c>
      <c r="N163" s="1707">
        <f>IF(N162="PVL",N162,N162*'3phas'!N$26*1000)</f>
        <v>6970.5163317740025</v>
      </c>
      <c r="O163" s="1707">
        <f>IF(O162="PVL",O162,O162*'3phas'!O$26*1000)</f>
        <v>6970.5163317740025</v>
      </c>
      <c r="P163" s="1707">
        <f>IF(P162="PVL",P162,P162*'3phas'!P$26*1000)</f>
        <v>1521.9998110376494</v>
      </c>
      <c r="Q163" s="1707">
        <f>IF(Q162="PVL",Q162,Q162*'3phas'!Q$26*1000)</f>
        <v>1521.9998110376494</v>
      </c>
      <c r="R163" s="1707">
        <f>IF(R162="PVL",R162,R162*'3phas'!R$26*1000)</f>
        <v>6118.0216297414145</v>
      </c>
      <c r="S163" s="1707">
        <f>IF(S162="PVL",S162,S162*'3phas'!S$26*1000)</f>
        <v>249.55564180210837</v>
      </c>
      <c r="T163" s="1707">
        <f>IF(T162="PVL",T162,T162*'3phas'!T$26*1000)</f>
        <v>249.55564180210837</v>
      </c>
      <c r="U163" s="1707">
        <f>IF(U162="PVL",U162,U162*'3phas'!U$26*1000)</f>
        <v>643.396006950436</v>
      </c>
      <c r="V163" s="1707">
        <f>IF(V162="PVL",V162,V162*'3phas'!V$26*1000)</f>
        <v>126373.39426687582</v>
      </c>
      <c r="W163" s="1707">
        <f>IF(W162="PVL",W162,W162*'3phas'!W$26*1000)</f>
        <v>126373.39426687582</v>
      </c>
      <c r="X163" s="1707">
        <f>IF(X162="PVL",X162,X162*'3phas'!X$26*1000)</f>
        <v>232.73914338010991</v>
      </c>
      <c r="Y163" s="1707">
        <f>IF(Y162="PVL",Y162,Y162*'3phas'!Y$26*1000)</f>
        <v>4368.594211229969</v>
      </c>
      <c r="Z163" s="1707">
        <f>IF(Z162="PVL",Z162,Z162*'3phas'!Z$26*1000)</f>
        <v>1393.0841357087588</v>
      </c>
      <c r="AA163" s="1707">
        <f>IF(AA162="PVL",AA162,AA162*'3phas'!AA$26*1000)</f>
        <v>4672.8199123268923</v>
      </c>
      <c r="AB163" s="1707">
        <f>IF(AB162="PVL",AB162,AB162*'3phas'!AB$26*1000)</f>
        <v>1886.2833196360268</v>
      </c>
      <c r="AC163" s="1707">
        <f>IF(AC162="PVL",AC162,AC162*'3phas'!AC$26*1000)</f>
        <v>2042.9441532777548</v>
      </c>
      <c r="AD163" s="1707" t="str">
        <f>IF(AD162="PVL",AD162,AD162*'3phas'!AD$26*1000)</f>
        <v>PVL</v>
      </c>
      <c r="AE163" s="1707" t="str">
        <f>IF(AE162="PVL",AE162,AE162*'3phas'!AE$26*1000)</f>
        <v>PVL</v>
      </c>
      <c r="AF163" s="1707" t="str">
        <f>IF(AF162="PVL",AF162,AF162*'3phas'!AF$26*1000)</f>
        <v>PVL</v>
      </c>
      <c r="AG163" s="1707" t="str">
        <f>IF(AG162="PVL",AG162,AG162*'3phas'!AG$26*1000)</f>
        <v>PVL</v>
      </c>
      <c r="AH163" s="1707" t="str">
        <f>IF(AH162="PVL",AH162,AH162*'3phas'!AH$26*1000)</f>
        <v>PVL</v>
      </c>
      <c r="AI163" s="1707" t="str">
        <f>IF(AI162="PVL",AI162,AI162*'3phas'!AI$26*1000)</f>
        <v>PVL</v>
      </c>
      <c r="AJ163" s="1707" t="str">
        <f>IF(AJ162="PVL",AJ162,AJ162*'3phas'!AJ$26*1000)</f>
        <v>PVL</v>
      </c>
      <c r="AK163" s="1707" t="str">
        <f>IF(AK162="PVL",AK162,AK162*'3phas'!AK$26*1000)</f>
        <v>PVL</v>
      </c>
      <c r="AL163" s="1707" t="str">
        <f>IF(AL162="PVL",AL162,AL162*'3phas'!AL$26*1000)</f>
        <v>PVL</v>
      </c>
      <c r="AM163" s="1707" t="str">
        <f>IF(AM162="PVL",AM162,AM162*'3phas'!AM$26*1000)</f>
        <v>PVL</v>
      </c>
      <c r="AN163" s="1707">
        <f>IF(AN162="PVL",AN162,AN162*'3phas'!AN$26*1000)</f>
        <v>2.751742531206971</v>
      </c>
      <c r="AO163" s="1707" t="str">
        <f>IF(AO162="PVL",AO162,AO162*'3phas'!AO$26*1000)</f>
        <v>PVL</v>
      </c>
      <c r="AP163" s="1707" t="str">
        <f>IF(AP162="PVL",AP162,AP162*'3phas'!AP$26*1000)</f>
        <v>PVL</v>
      </c>
      <c r="AQ163" s="1707" t="str">
        <f>IF(AQ162="PVL",AQ162,AQ162*'3phas'!AQ$26*1000)</f>
        <v>PVL</v>
      </c>
      <c r="AR163" s="1707" t="str">
        <f>IF(AR162="PVL",AR162,AR162*'3phas'!AR$26*1000)</f>
        <v>PVL</v>
      </c>
      <c r="AS163" s="1707" t="str">
        <f>IF(AS162="PVL",AS162,AS162*'3phas'!AS$26*1000)</f>
        <v>PVL</v>
      </c>
      <c r="AT163" s="1707" t="str">
        <f>IF(AT162="PVL",AT162,AT162*'3phas'!AT$26*1000)</f>
        <v>PVL</v>
      </c>
      <c r="AU163" s="1707" t="str">
        <f>IF(AU162="PVL",AU162,AU162*'3phas'!AU$26*1000)</f>
        <v>PVL</v>
      </c>
      <c r="AV163" s="1707" t="str">
        <f>IF(AV162="PVL",AV162,AV162*'3phas'!AV$26*1000)</f>
        <v>PVL</v>
      </c>
      <c r="AW163" s="1707" t="str">
        <f>IF(AW162="PVL",AW162,AW162*'3phas'!AW$26*1000)</f>
        <v>PVL</v>
      </c>
      <c r="AX163" s="1707" t="str">
        <f>IF(AX162="PVL",AX162,AX162*'3phas'!AX$26*1000)</f>
        <v>PVL</v>
      </c>
      <c r="AY163" s="1707" t="str">
        <f>IF(AY162="PVL",AY162,AY162*'3phas'!AY$26*1000)</f>
        <v>PVL</v>
      </c>
      <c r="AZ163" s="1707" t="str">
        <f>IF(AZ162="PVL",AZ162,AZ162*'3phas'!AZ$26*1000)</f>
        <v>PVL</v>
      </c>
      <c r="BA163" s="1707" t="str">
        <f>IF(BA162="PVL",BA162,BA162*'3phas'!BA$26*1000)</f>
        <v>PVL</v>
      </c>
      <c r="BB163" s="1707" t="str">
        <f>IF(BB162="PVL",BB162,BB162*'3phas'!BB$26*1000)</f>
        <v>PVL</v>
      </c>
      <c r="BC163" s="1707" t="str">
        <f>IF(BC162="PVL",BC162,BC162*'3phas'!BC$26*1000)</f>
        <v>PVL</v>
      </c>
      <c r="BD163" s="1707">
        <f>IF(BD162="PVL",BD162,BD162*'3phas'!BD$26*1000)</f>
        <v>14.454800434386964</v>
      </c>
      <c r="BE163" s="1707" t="str">
        <f>IF(BE162="PVL",BE162,BE162*'3phas'!BE$26*1000)</f>
        <v>PVL</v>
      </c>
      <c r="BF163" s="1707" t="str">
        <f>IF(BF162="PVL",BF162,BF162*'3phas'!BF$26*1000)</f>
        <v>PVL</v>
      </c>
      <c r="BG163" s="1707" t="str">
        <f>IF(BG162="PVL",BG162,BG162*'3phas'!BG$26*1000)</f>
        <v>PVL</v>
      </c>
      <c r="BH163" s="1707">
        <f>IF(BH162="PVL",BH162,BH162*'3phas'!BH$26*1000)</f>
        <v>0.42979132382527585</v>
      </c>
      <c r="BI163" s="1707">
        <f>IF(BI162="PVL",BI162,BI162*'3phas'!BI$26*1000)</f>
        <v>1.0268442029028941</v>
      </c>
    </row>
    <row r="164" spans="1:61" s="403" customFormat="1" ht="13.5" thickBot="1">
      <c r="A164" s="256"/>
      <c r="B164" s="257"/>
      <c r="C164" s="2435"/>
      <c r="D164" s="2436"/>
      <c r="E164" s="3946"/>
      <c r="F164" s="66"/>
      <c r="G164" s="620"/>
      <c r="H164" s="164"/>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c r="AQ164" s="164"/>
      <c r="AR164" s="164"/>
      <c r="AS164" s="164"/>
      <c r="AT164" s="164"/>
      <c r="AU164" s="164"/>
      <c r="AV164" s="164"/>
      <c r="AW164" s="164"/>
      <c r="AX164" s="164"/>
      <c r="AY164" s="164"/>
      <c r="AZ164" s="164"/>
      <c r="BA164" s="164"/>
      <c r="BB164" s="164"/>
      <c r="BC164" s="164"/>
      <c r="BD164" s="164"/>
      <c r="BE164" s="164"/>
      <c r="BF164" s="164"/>
      <c r="BG164" s="2485"/>
      <c r="BH164" s="164"/>
      <c r="BI164" s="164"/>
    </row>
    <row r="165" spans="1:61" s="43" customFormat="1">
      <c r="A165" s="240"/>
      <c r="B165" s="98"/>
      <c r="C165" s="2496"/>
      <c r="D165" s="2497"/>
      <c r="E165" s="3952"/>
      <c r="F165" s="12"/>
      <c r="G165" s="89"/>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row>
    <row r="166" spans="1:61" ht="15.75">
      <c r="A166" s="397"/>
      <c r="B166" s="41"/>
      <c r="C166" s="4116" t="s">
        <v>663</v>
      </c>
      <c r="D166" s="4117"/>
      <c r="E166" s="3953" t="s">
        <v>1162</v>
      </c>
      <c r="F166" s="2509"/>
      <c r="G166" s="2510"/>
      <c r="H166" s="2442"/>
      <c r="I166" s="2442"/>
      <c r="J166" s="2442"/>
      <c r="K166" s="2442"/>
      <c r="L166" s="2442"/>
      <c r="M166" s="2442"/>
      <c r="N166" s="2442"/>
      <c r="O166" s="2442"/>
      <c r="P166" s="2442"/>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row>
    <row r="167" spans="1:61">
      <c r="A167" s="397"/>
      <c r="B167" s="41"/>
      <c r="C167" s="4116"/>
      <c r="D167" s="4117"/>
      <c r="E167" s="3498"/>
      <c r="F167" s="147"/>
      <c r="G167" s="161"/>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row>
    <row r="168" spans="1:61" s="43" customFormat="1">
      <c r="A168" s="398"/>
      <c r="B168" s="100"/>
      <c r="C168" s="2498"/>
      <c r="D168" s="2499"/>
      <c r="E168" s="3952" t="str">
        <f>'3phas'!E29</f>
        <v>Concentration dans l'air du sol</v>
      </c>
      <c r="F168" s="12" t="str">
        <f>'3phas'!F29</f>
        <v>Csao</v>
      </c>
      <c r="G168" s="89" t="str">
        <f>'3phas'!G29</f>
        <v>mg/lsa</v>
      </c>
      <c r="H168" s="113">
        <f>'3phas'!H29</f>
        <v>2.6344915493597683E-5</v>
      </c>
      <c r="I168" s="113">
        <f>'3phas'!I29</f>
        <v>2.6344915493597683E-5</v>
      </c>
      <c r="J168" s="113">
        <f>'3phas'!J29</f>
        <v>1.7294665170559828E-4</v>
      </c>
      <c r="K168" s="113">
        <f>'3phas'!K29</f>
        <v>3.8533137340406046E-2</v>
      </c>
      <c r="L168" s="113">
        <f>'3phas'!L29</f>
        <v>7.2043886661145619E-3</v>
      </c>
      <c r="M168" s="113">
        <f>'3phas'!M29</f>
        <v>7.2043886661145619E-3</v>
      </c>
      <c r="N168" s="113">
        <f>'3phas'!N29</f>
        <v>1.4209304329284909E-2</v>
      </c>
      <c r="O168" s="113">
        <f>'3phas'!O29</f>
        <v>1.4209304329284909E-2</v>
      </c>
      <c r="P168" s="113">
        <f>'3phas'!P29</f>
        <v>1.5512881309499849E-2</v>
      </c>
      <c r="Q168" s="113">
        <f>'3phas'!Q29</f>
        <v>1.5512881309499849E-2</v>
      </c>
      <c r="R168" s="113">
        <f>'3phas'!R29</f>
        <v>6.2357526395766232E-3</v>
      </c>
      <c r="S168" s="113">
        <f>'3phas'!S29</f>
        <v>5.8502321443335116E-3</v>
      </c>
      <c r="T168" s="113">
        <f>'3phas'!T29</f>
        <v>5.8502321443335116E-3</v>
      </c>
      <c r="U168" s="113">
        <f>'3phas'!U29</f>
        <v>2.7542637283837157E-2</v>
      </c>
      <c r="V168" s="113">
        <f>'3phas'!V29</f>
        <v>4.5081833000455138E-2</v>
      </c>
      <c r="W168" s="113">
        <f>'3phas'!W29</f>
        <v>4.5081833000455138E-2</v>
      </c>
      <c r="X168" s="113">
        <f>'3phas'!X29</f>
        <v>8.6485661989017699E-3</v>
      </c>
      <c r="Y168" s="113">
        <f>'3phas'!Y29</f>
        <v>5.993965977385691E-3</v>
      </c>
      <c r="Z168" s="113">
        <f>'3phas'!Z29</f>
        <v>3.5497292270791521E-3</v>
      </c>
      <c r="AA168" s="113">
        <f>'3phas'!AA29</f>
        <v>2.3813702260309095E-3</v>
      </c>
      <c r="AB168" s="113">
        <f>'3phas'!AB29</f>
        <v>2.6932603294411986E-3</v>
      </c>
      <c r="AC168" s="113">
        <f>'3phas'!AC29</f>
        <v>5.2554793006195943E-4</v>
      </c>
      <c r="AD168" s="113">
        <f>'3phas'!AD29</f>
        <v>1.028672332145031E-4</v>
      </c>
      <c r="AE168" s="113">
        <f>'3phas'!AE29</f>
        <v>1.2826753318511306E-5</v>
      </c>
      <c r="AF168" s="113">
        <f>'3phas'!AF29</f>
        <v>5.3163648152556569E-8</v>
      </c>
      <c r="AG168" s="113">
        <f>'3phas'!AG29</f>
        <v>6.1940871390656474E-2</v>
      </c>
      <c r="AH168" s="113">
        <f>'3phas'!AH29</f>
        <v>4.6377578561443124E-2</v>
      </c>
      <c r="AI168" s="113">
        <f>'3phas'!AI29</f>
        <v>1.8857794422825369E-2</v>
      </c>
      <c r="AJ168" s="113">
        <f>'3phas'!AJ29</f>
        <v>4.4889687551390436E-3</v>
      </c>
      <c r="AK168" s="113">
        <f>'3phas'!AK29</f>
        <v>1.0233523087107474E-3</v>
      </c>
      <c r="AL168" s="113">
        <f>'3phas'!AL29</f>
        <v>7.7579419375401509E-5</v>
      </c>
      <c r="AM168" s="113">
        <f>'3phas'!AM29</f>
        <v>5.3702795063791614E-7</v>
      </c>
      <c r="AN168" s="113">
        <f>'3phas'!AN29</f>
        <v>4.2745064887962941E-5</v>
      </c>
      <c r="AO168" s="113">
        <f>'3phas'!AO29</f>
        <v>1.1674416703897762E-5</v>
      </c>
      <c r="AP168" s="113">
        <f>'3phas'!AP29</f>
        <v>1.9530721705911088E-5</v>
      </c>
      <c r="AQ168" s="113">
        <f>'3phas'!AQ29</f>
        <v>7.908256947449179E-6</v>
      </c>
      <c r="AR168" s="113">
        <f>'3phas'!AR29</f>
        <v>1.5833670554255824E-6</v>
      </c>
      <c r="AS168" s="113">
        <f>'3phas'!AS29</f>
        <v>2.0451082714404039E-6</v>
      </c>
      <c r="AT168" s="113">
        <f>'3phas'!AT29</f>
        <v>1.4928371240425742E-7</v>
      </c>
      <c r="AU168" s="113">
        <f>'3phas'!AU29</f>
        <v>1.4361262823078676E-7</v>
      </c>
      <c r="AV168" s="113">
        <f>'3phas'!AV29</f>
        <v>2.2911220155058073E-8</v>
      </c>
      <c r="AW168" s="113">
        <f>'3phas'!AW29</f>
        <v>2.2076853681384033E-8</v>
      </c>
      <c r="AX168" s="113">
        <f>'3phas'!AX29</f>
        <v>7.7706494784308005E-10</v>
      </c>
      <c r="AY168" s="113">
        <f>'3phas'!AY29</f>
        <v>5.3329663902576087E-10</v>
      </c>
      <c r="AZ168" s="113">
        <f>'3phas'!AZ29</f>
        <v>3.5612607863435816E-10</v>
      </c>
      <c r="BA168" s="113">
        <f>'3phas'!BA29</f>
        <v>6.150661140942291E-11</v>
      </c>
      <c r="BB168" s="113">
        <f>'3phas'!BB29</f>
        <v>9.7385899742535782E-10</v>
      </c>
      <c r="BC168" s="113">
        <f>'3phas'!BC29</f>
        <v>2.5870688218630141E-16</v>
      </c>
      <c r="BD168" s="113">
        <f>'3phas'!BD29</f>
        <v>9.3547154384050273E-7</v>
      </c>
      <c r="BE168" s="113">
        <f>'3phas'!BE29</f>
        <v>2.0762670819205671E-8</v>
      </c>
      <c r="BF168" s="113">
        <f>'3phas'!BF29</f>
        <v>2.0762670819205671E-8</v>
      </c>
      <c r="BG168" s="113">
        <f>'3phas'!BG29</f>
        <v>1.696696593449333E-2</v>
      </c>
      <c r="BH168" s="113">
        <f>'3phas'!BH29</f>
        <v>1.2439792874542166E-6</v>
      </c>
      <c r="BI168" s="113">
        <f>'3phas'!BI29</f>
        <v>9.6251339173241278E-6</v>
      </c>
    </row>
    <row r="169" spans="1:61" s="43" customFormat="1">
      <c r="A169" s="398"/>
      <c r="B169" s="100"/>
      <c r="C169" s="2498"/>
      <c r="D169" s="2499"/>
      <c r="E169" s="3952"/>
      <c r="F169" s="12"/>
      <c r="G169" s="89"/>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row>
    <row r="170" spans="1:61">
      <c r="A170" s="33"/>
      <c r="B170" s="33"/>
      <c r="C170" s="2498"/>
      <c r="D170" s="2499"/>
      <c r="E170" s="3933" t="s">
        <v>203</v>
      </c>
      <c r="F170" s="12"/>
      <c r="G170" s="89"/>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row>
    <row r="171" spans="1:61">
      <c r="A171" s="33"/>
      <c r="B171" s="33"/>
      <c r="C171" s="2498"/>
      <c r="D171" s="2499"/>
      <c r="E171" s="3934" t="str">
        <f>'EmVap-Vol'!E70</f>
        <v>Période chronique</v>
      </c>
      <c r="F171" s="12"/>
      <c r="G171" s="89"/>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row>
    <row r="172" spans="1:61" ht="25.5">
      <c r="A172" s="97"/>
      <c r="B172" s="100"/>
      <c r="C172" s="2498"/>
      <c r="D172" s="2499"/>
      <c r="E172" s="3498" t="str">
        <f>'EmVap-Vol'!E428</f>
        <v>CT de l'air du sol de la source à l'émission (après contrôle de masse)</v>
      </c>
      <c r="F172" s="14" t="str">
        <f>'EmVap-Vol'!F428</f>
        <v>CTsao-&gt;ém</v>
      </c>
      <c r="G172" s="105" t="str">
        <f>'EmVap-Vol'!G428</f>
        <v>(mg/m2/s)/(mg/l)</v>
      </c>
      <c r="H172" s="113">
        <f>'EmVap-Vol'!H428</f>
        <v>7.9321970398934171E-4</v>
      </c>
      <c r="I172" s="113">
        <f>'EmVap-Vol'!I428</f>
        <v>7.9321970398934171E-4</v>
      </c>
      <c r="J172" s="113">
        <f>'EmVap-Vol'!J428</f>
        <v>2.8354373124038273E-4</v>
      </c>
      <c r="K172" s="113">
        <f>'EmVap-Vol'!K428</f>
        <v>3.7031519823149957E-5</v>
      </c>
      <c r="L172" s="113">
        <f>'EmVap-Vol'!L428</f>
        <v>1.3457862465882653E-4</v>
      </c>
      <c r="M172" s="113">
        <f>'EmVap-Vol'!M428</f>
        <v>1.3457862465882653E-4</v>
      </c>
      <c r="N172" s="113">
        <f>'EmVap-Vol'!N428</f>
        <v>9.9236837000511187E-5</v>
      </c>
      <c r="O172" s="113">
        <f>'EmVap-Vol'!O428</f>
        <v>9.9236837000511187E-5</v>
      </c>
      <c r="P172" s="113">
        <f>'EmVap-Vol'!P428</f>
        <v>9.0665204140183721E-5</v>
      </c>
      <c r="Q172" s="113">
        <f>'EmVap-Vol'!Q428</f>
        <v>9.0665204140183721E-5</v>
      </c>
      <c r="R172" s="113">
        <f>'EmVap-Vol'!R428</f>
        <v>2.2883214292577979E-4</v>
      </c>
      <c r="S172" s="113">
        <f>'EmVap-Vol'!S428</f>
        <v>1.774956214990122E-4</v>
      </c>
      <c r="T172" s="113">
        <f>'EmVap-Vol'!T428</f>
        <v>1.774956214990122E-4</v>
      </c>
      <c r="U172" s="113">
        <f>'EmVap-Vol'!U428</f>
        <v>5.1808424319147455E-5</v>
      </c>
      <c r="V172" s="113">
        <f>'EmVap-Vol'!V428</f>
        <v>3.1652232047774111E-5</v>
      </c>
      <c r="W172" s="113">
        <f>'EmVap-Vol'!W428</f>
        <v>3.1652232047774111E-5</v>
      </c>
      <c r="X172" s="113">
        <f>'EmVap-Vol'!X428</f>
        <v>1.2956567137072033E-4</v>
      </c>
      <c r="Y172" s="113">
        <f>'EmVap-Vol'!Y428</f>
        <v>1.475032273242622E-4</v>
      </c>
      <c r="Z172" s="113">
        <f>'EmVap-Vol'!Z428</f>
        <v>1.8353685222573433E-4</v>
      </c>
      <c r="AA172" s="113">
        <f>'EmVap-Vol'!AA428</f>
        <v>8.4701143967210062E-5</v>
      </c>
      <c r="AB172" s="113">
        <f>'EmVap-Vol'!AB428</f>
        <v>1.4430940276082587E-4</v>
      </c>
      <c r="AC172" s="113">
        <f>'EmVap-Vol'!AC428</f>
        <v>3.1394704079026485E-4</v>
      </c>
      <c r="AD172" s="113">
        <f>'EmVap-Vol'!AD428</f>
        <v>6.6100440227031122E-4</v>
      </c>
      <c r="AE172" s="113">
        <f>'EmVap-Vol'!AE428</f>
        <v>1.6680458539255862E-3</v>
      </c>
      <c r="AF172" s="113">
        <f>'EmVap-Vol'!AF428</f>
        <v>2.4619211423830119E-2</v>
      </c>
      <c r="AG172" s="113">
        <f>'EmVap-Vol'!AG428</f>
        <v>2.3037141829500553E-5</v>
      </c>
      <c r="AH172" s="113">
        <f>'EmVap-Vol'!AH428</f>
        <v>3.0767898703010778E-5</v>
      </c>
      <c r="AI172" s="113">
        <f>'EmVap-Vol'!AI428</f>
        <v>5.2391680855124166E-5</v>
      </c>
      <c r="AJ172" s="113">
        <f>'EmVap-Vol'!AJ428</f>
        <v>9.6793475368633827E-5</v>
      </c>
      <c r="AK172" s="113">
        <f>'EmVap-Vol'!AK428</f>
        <v>1.8132247658424937E-4</v>
      </c>
      <c r="AL172" s="113">
        <f>'EmVap-Vol'!AL428</f>
        <v>5.6679243495050442E-4</v>
      </c>
      <c r="AM172" s="113">
        <f>'EmVap-Vol'!AM428</f>
        <v>6.2575705278902737E-3</v>
      </c>
      <c r="AN172" s="113">
        <f>'EmVap-Vol'!AN428</f>
        <v>4.238320986489484E-4</v>
      </c>
      <c r="AO172" s="113">
        <f>'EmVap-Vol'!AO428</f>
        <v>1.9745454186494643E-3</v>
      </c>
      <c r="AP172" s="113">
        <f>'EmVap-Vol'!AP428</f>
        <v>1.5098781055041895E-3</v>
      </c>
      <c r="AQ172" s="113">
        <f>'EmVap-Vol'!AQ428</f>
        <v>2.2978723379281727E-3</v>
      </c>
      <c r="AR172" s="113">
        <f>'EmVap-Vol'!AR428</f>
        <v>5.0665046028638581E-3</v>
      </c>
      <c r="AS172" s="113">
        <f>'EmVap-Vol'!AS428</f>
        <v>4.4292648716442685E-3</v>
      </c>
      <c r="AT172" s="113">
        <f>'EmVap-Vol'!AT428</f>
        <v>1.6620813428534494E-2</v>
      </c>
      <c r="AU172" s="113">
        <f>'EmVap-Vol'!AU428</f>
        <v>1.7147800704004849E-2</v>
      </c>
      <c r="AV172" s="113">
        <f>'EmVap-Vol'!AV428</f>
        <v>4.2851637742733283E-2</v>
      </c>
      <c r="AW172" s="113">
        <f>'EmVap-Vol'!AW428</f>
        <v>4.5572242832842225E-2</v>
      </c>
      <c r="AX172" s="113">
        <f>'EmVap-Vol'!AX428</f>
        <v>0.7520585612473325</v>
      </c>
      <c r="AY172" s="113">
        <f>'EmVap-Vol'!AY428</f>
        <v>0.90781195092751776</v>
      </c>
      <c r="AZ172" s="113">
        <f>'EmVap-Vol'!AZ428</f>
        <v>1.295601203777061</v>
      </c>
      <c r="BA172" s="113">
        <f>'EmVap-Vol'!BA428</f>
        <v>3.632290872831736</v>
      </c>
      <c r="BB172" s="113">
        <f>'EmVap-Vol'!BB428</f>
        <v>0.33275389413642736</v>
      </c>
      <c r="BC172" s="113">
        <f>'EmVap-Vol'!BC428</f>
        <v>674372.14567771018</v>
      </c>
      <c r="BD172" s="113">
        <f>'EmVap-Vol'!BD428</f>
        <v>3.7140082927357237E-2</v>
      </c>
      <c r="BE172" s="113">
        <f>'EmVap-Vol'!BE428</f>
        <v>4.0358576426514255E-2</v>
      </c>
      <c r="BF172" s="113">
        <f>'EmVap-Vol'!BF428</f>
        <v>4.0358576426514255E-2</v>
      </c>
      <c r="BG172" s="113">
        <f>'EmVap-Vol'!BG428</f>
        <v>3.7845498726782705E-5</v>
      </c>
      <c r="BH172" s="113">
        <f>'EmVap-Vol'!BH428</f>
        <v>2.3166130318924255E-2</v>
      </c>
      <c r="BI172" s="113">
        <f>'EmVap-Vol'!BI428</f>
        <v>2.7812610728924123E-3</v>
      </c>
    </row>
    <row r="173" spans="1:61">
      <c r="A173" s="97"/>
      <c r="B173" s="100"/>
      <c r="C173" s="2498"/>
      <c r="D173" s="2499"/>
      <c r="E173" s="3934" t="str">
        <f>'EmVap-Vol'!E87</f>
        <v>Période enfant 0-6 ans (effets sans seuil)</v>
      </c>
      <c r="F173" s="14"/>
      <c r="G173" s="105"/>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row>
    <row r="174" spans="1:61" ht="25.5">
      <c r="A174" s="97"/>
      <c r="B174" s="100"/>
      <c r="C174" s="2500"/>
      <c r="D174" s="2499"/>
      <c r="E174" s="3498" t="str">
        <f>'EmVap-Vol'!E439</f>
        <v>CT de l'air du sol de la source à l'émission (après contrôle de masse)</v>
      </c>
      <c r="F174" s="14" t="str">
        <f>'EmVap-Vol'!F439</f>
        <v>CTsao-&gt;ém</v>
      </c>
      <c r="G174" s="105" t="str">
        <f>'EmVap-Vol'!G439</f>
        <v>(mg/m2/s)/(mg/l)</v>
      </c>
      <c r="H174" s="113">
        <f>'EmVap-Vol'!H439</f>
        <v>8.5677520307046045E-4</v>
      </c>
      <c r="I174" s="113">
        <f>'EmVap-Vol'!I439</f>
        <v>8.5677520307046045E-4</v>
      </c>
      <c r="J174" s="113">
        <f>'EmVap-Vol'!J439</f>
        <v>3.0626223313799477E-4</v>
      </c>
      <c r="K174" s="113">
        <f>'EmVap-Vol'!K439</f>
        <v>6.1719199705249922E-6</v>
      </c>
      <c r="L174" s="113">
        <f>'EmVap-Vol'!L439</f>
        <v>3.3010911945495617E-5</v>
      </c>
      <c r="M174" s="113">
        <f>'EmVap-Vol'!M439</f>
        <v>3.3010911945495617E-5</v>
      </c>
      <c r="N174" s="113">
        <f>'EmVap-Vol'!N439</f>
        <v>1.673716280311402E-5</v>
      </c>
      <c r="O174" s="113">
        <f>'EmVap-Vol'!O439</f>
        <v>1.673716280311402E-5</v>
      </c>
      <c r="P174" s="113">
        <f>'EmVap-Vol'!P439</f>
        <v>1.5330707115808009E-5</v>
      </c>
      <c r="Q174" s="113">
        <f>'EmVap-Vol'!Q439</f>
        <v>1.5330707115808009E-5</v>
      </c>
      <c r="R174" s="113">
        <f>'EmVap-Vol'!R439</f>
        <v>3.8138690487629963E-5</v>
      </c>
      <c r="S174" s="113">
        <f>'EmVap-Vol'!S439</f>
        <v>4.0651966282840303E-5</v>
      </c>
      <c r="T174" s="113">
        <f>'EmVap-Vol'!T439</f>
        <v>4.0651966282840303E-5</v>
      </c>
      <c r="U174" s="113">
        <f>'EmVap-Vol'!U439</f>
        <v>8.6347373865245747E-6</v>
      </c>
      <c r="V174" s="113">
        <f>'EmVap-Vol'!V439</f>
        <v>5.2753720079623515E-6</v>
      </c>
      <c r="W174" s="113">
        <f>'EmVap-Vol'!W439</f>
        <v>5.2753720079623515E-6</v>
      </c>
      <c r="X174" s="113">
        <f>'EmVap-Vol'!X439</f>
        <v>2.7498597386978914E-5</v>
      </c>
      <c r="Y174" s="113">
        <f>'EmVap-Vol'!Y439</f>
        <v>3.9677142108498037E-5</v>
      </c>
      <c r="Z174" s="113">
        <f>'EmVap-Vol'!Z439</f>
        <v>6.6997628456839868E-5</v>
      </c>
      <c r="AA174" s="113">
        <f>'EmVap-Vol'!AA439</f>
        <v>9.1487691818333604E-5</v>
      </c>
      <c r="AB174" s="113">
        <f>'EmVap-Vol'!AB439</f>
        <v>5.8914066974968234E-5</v>
      </c>
      <c r="AC174" s="113">
        <f>'EmVap-Vol'!AC439</f>
        <v>1.2816834269881427E-4</v>
      </c>
      <c r="AD174" s="113">
        <f>'EmVap-Vol'!AD439</f>
        <v>2.6985391721594222E-4</v>
      </c>
      <c r="AE174" s="113">
        <f>'EmVap-Vol'!AE439</f>
        <v>6.8097686828045515E-4</v>
      </c>
      <c r="AF174" s="113">
        <f>'EmVap-Vol'!AF439</f>
        <v>1.0050750976347052E-2</v>
      </c>
      <c r="AG174" s="113">
        <f>'EmVap-Vol'!AG439</f>
        <v>3.8395236382500922E-6</v>
      </c>
      <c r="AH174" s="113">
        <f>'EmVap-Vol'!AH439</f>
        <v>5.1279831171684633E-6</v>
      </c>
      <c r="AI174" s="113">
        <f>'EmVap-Vol'!AI439</f>
        <v>1.2611413325747907E-5</v>
      </c>
      <c r="AJ174" s="113">
        <f>'EmVap-Vol'!AJ439</f>
        <v>3.9515770847300796E-5</v>
      </c>
      <c r="AK174" s="113">
        <f>'EmVap-Vol'!AK439</f>
        <v>7.4024591088193644E-5</v>
      </c>
      <c r="AL174" s="113">
        <f>'EmVap-Vol'!AL439</f>
        <v>2.3139204261639375E-4</v>
      </c>
      <c r="AM174" s="113">
        <f>'EmVap-Vol'!AM439</f>
        <v>2.5546424704682566E-3</v>
      </c>
      <c r="AN174" s="113">
        <f>'EmVap-Vol'!AN439</f>
        <v>4.5779098850097586E-4</v>
      </c>
      <c r="AO174" s="113">
        <f>'EmVap-Vol'!AO439</f>
        <v>8.0610479160689644E-4</v>
      </c>
      <c r="AP174" s="113">
        <f>'EmVap-Vol'!AP439</f>
        <v>6.164051553809016E-4</v>
      </c>
      <c r="AQ174" s="113">
        <f>'EmVap-Vol'!AQ439</f>
        <v>9.3810245366337662E-4</v>
      </c>
      <c r="AR174" s="113">
        <f>'EmVap-Vol'!AR439</f>
        <v>2.0683918427464635E-3</v>
      </c>
      <c r="AS174" s="113">
        <f>'EmVap-Vol'!AS439</f>
        <v>1.8082398118604141E-3</v>
      </c>
      <c r="AT174" s="113">
        <f>'EmVap-Vol'!AT439</f>
        <v>6.7854186683180247E-3</v>
      </c>
      <c r="AU174" s="113">
        <f>'EmVap-Vol'!AU439</f>
        <v>7.000560322625006E-3</v>
      </c>
      <c r="AV174" s="113">
        <f>'EmVap-Vol'!AV439</f>
        <v>1.7494107852047615E-2</v>
      </c>
      <c r="AW174" s="113">
        <f>'EmVap-Vol'!AW439</f>
        <v>1.8604790229111875E-2</v>
      </c>
      <c r="AX174" s="113">
        <f>'EmVap-Vol'!AX439</f>
        <v>0.30702662195793595</v>
      </c>
      <c r="AY174" s="113">
        <f>'EmVap-Vol'!AY439</f>
        <v>0.37061267702882345</v>
      </c>
      <c r="AZ174" s="113">
        <f>'EmVap-Vol'!AZ439</f>
        <v>0.52892697656490817</v>
      </c>
      <c r="BA174" s="113">
        <f>'EmVap-Vol'!BA439</f>
        <v>1.4828765393010492</v>
      </c>
      <c r="BB174" s="113">
        <f>'EmVap-Vol'!BB439</f>
        <v>0.13584620842638973</v>
      </c>
      <c r="BC174" s="113">
        <f>'EmVap-Vol'!BC439</f>
        <v>275311.27560937236</v>
      </c>
      <c r="BD174" s="113">
        <f>'EmVap-Vol'!BD439</f>
        <v>1.5162375362779696E-2</v>
      </c>
      <c r="BE174" s="113">
        <f>'EmVap-Vol'!BE439</f>
        <v>1.6476319831679607E-2</v>
      </c>
      <c r="BF174" s="113">
        <f>'EmVap-Vol'!BF439</f>
        <v>1.6476319831679607E-2</v>
      </c>
      <c r="BG174" s="113">
        <f>'EmVap-Vol'!BG439</f>
        <v>6.3075831211304503E-6</v>
      </c>
      <c r="BH174" s="113">
        <f>'EmVap-Vol'!BH439</f>
        <v>9.4575330993638945E-3</v>
      </c>
      <c r="BI174" s="113">
        <f>'EmVap-Vol'!BI439</f>
        <v>3.0041053046652279E-3</v>
      </c>
    </row>
    <row r="175" spans="1:61">
      <c r="A175" s="97"/>
      <c r="B175" s="100"/>
      <c r="C175" s="2498"/>
      <c r="D175" s="2499"/>
      <c r="E175" s="3934" t="str">
        <f>'EmVap-Vol'!E452</f>
        <v>Période employé (40 ans)</v>
      </c>
      <c r="F175" s="14"/>
      <c r="G175" s="105"/>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row>
    <row r="176" spans="1:61" s="2446" customFormat="1" ht="25.5">
      <c r="A176" s="2444"/>
      <c r="B176" s="2445"/>
      <c r="C176" s="4108"/>
      <c r="D176" s="4109"/>
      <c r="E176" s="3936" t="str">
        <f>'EmVap-Vol'!E456</f>
        <v>CT de l'air du sol de la source à l'émission (après contrôle de masse)</v>
      </c>
      <c r="F176" s="63" t="str">
        <f>'EmVap-Vol'!F456</f>
        <v>CTsao-&gt;ém</v>
      </c>
      <c r="G176" s="515" t="str">
        <f>'EmVap-Vol'!G456</f>
        <v>(mg/m2/s)/(mg/l)</v>
      </c>
      <c r="H176" s="237">
        <f>'EmVap-Vol'!H456</f>
        <v>3.318276092935371E-4</v>
      </c>
      <c r="I176" s="237">
        <f>'EmVap-Vol'!I456</f>
        <v>3.318276092935371E-4</v>
      </c>
      <c r="J176" s="237">
        <f>'EmVap-Vol'!J456</f>
        <v>1.1861485285157471E-4</v>
      </c>
      <c r="K176" s="237">
        <f>'EmVap-Vol'!K456</f>
        <v>9.2578799557874888E-7</v>
      </c>
      <c r="L176" s="237">
        <f>'EmVap-Vol'!L456</f>
        <v>4.9516367918243421E-6</v>
      </c>
      <c r="M176" s="237">
        <f>'EmVap-Vol'!M456</f>
        <v>4.9516367918243421E-6</v>
      </c>
      <c r="N176" s="237">
        <f>'EmVap-Vol'!N456</f>
        <v>2.5105744204671032E-6</v>
      </c>
      <c r="O176" s="237">
        <f>'EmVap-Vol'!O456</f>
        <v>2.5105744204671032E-6</v>
      </c>
      <c r="P176" s="237">
        <f>'EmVap-Vol'!P456</f>
        <v>2.2996060673712017E-6</v>
      </c>
      <c r="Q176" s="237">
        <f>'EmVap-Vol'!Q456</f>
        <v>2.2996060673712017E-6</v>
      </c>
      <c r="R176" s="237">
        <f>'EmVap-Vol'!R456</f>
        <v>5.720803573144495E-6</v>
      </c>
      <c r="S176" s="237">
        <f>'EmVap-Vol'!S456</f>
        <v>6.0977949424260457E-6</v>
      </c>
      <c r="T176" s="237">
        <f>'EmVap-Vol'!T456</f>
        <v>6.0977949424260457E-6</v>
      </c>
      <c r="U176" s="237">
        <f>'EmVap-Vol'!U456</f>
        <v>1.2952106079786864E-6</v>
      </c>
      <c r="V176" s="237">
        <f>'EmVap-Vol'!V456</f>
        <v>7.9130580119435269E-7</v>
      </c>
      <c r="W176" s="237">
        <f>'EmVap-Vol'!W456</f>
        <v>7.9130580119435269E-7</v>
      </c>
      <c r="X176" s="237">
        <f>'EmVap-Vol'!X456</f>
        <v>4.124789608046837E-6</v>
      </c>
      <c r="Y176" s="237">
        <f>'EmVap-Vol'!Y456</f>
        <v>5.9515713162747051E-6</v>
      </c>
      <c r="Z176" s="237">
        <f>'EmVap-Vol'!Z456</f>
        <v>1.004964426852598E-5</v>
      </c>
      <c r="AA176" s="237">
        <f>'EmVap-Vol'!AA456</f>
        <v>1.4980247754752993E-5</v>
      </c>
      <c r="AB176" s="237">
        <f>'EmVap-Vol'!AB456</f>
        <v>1.3245476343958458E-5</v>
      </c>
      <c r="AC176" s="237">
        <f>'EmVap-Vol'!AC456</f>
        <v>4.9639385678351266E-5</v>
      </c>
      <c r="AD176" s="237">
        <f>'EmVap-Vol'!AD456</f>
        <v>1.045139727286179E-4</v>
      </c>
      <c r="AE176" s="237">
        <f>'EmVap-Vol'!AE456</f>
        <v>2.6374120700026839E-4</v>
      </c>
      <c r="AF176" s="237">
        <f>'EmVap-Vol'!AF456</f>
        <v>3.8926391148270071E-3</v>
      </c>
      <c r="AG176" s="237">
        <f>'EmVap-Vol'!AG456</f>
        <v>5.7592854573751388E-7</v>
      </c>
      <c r="AH176" s="237">
        <f>'EmVap-Vol'!AH456</f>
        <v>7.6919746757526942E-7</v>
      </c>
      <c r="AI176" s="237">
        <f>'EmVap-Vol'!AI456</f>
        <v>1.8917119988621861E-6</v>
      </c>
      <c r="AJ176" s="237">
        <f>'EmVap-Vol'!AJ456</f>
        <v>7.9469290003178434E-6</v>
      </c>
      <c r="AK176" s="237">
        <f>'EmVap-Vol'!AK456</f>
        <v>2.8669600849438799E-5</v>
      </c>
      <c r="AL176" s="237">
        <f>'EmVap-Vol'!AL456</f>
        <v>8.9617752749820978E-5</v>
      </c>
      <c r="AM176" s="237">
        <f>'EmVap-Vol'!AM456</f>
        <v>9.8940877436377319E-4</v>
      </c>
      <c r="AN176" s="237">
        <f>'EmVap-Vol'!AN456</f>
        <v>1.7730168745081105E-4</v>
      </c>
      <c r="AO176" s="237">
        <f>'EmVap-Vol'!AO456</f>
        <v>3.1220304331915099E-4</v>
      </c>
      <c r="AP176" s="237">
        <f>'EmVap-Vol'!AP456</f>
        <v>2.387326901306627E-4</v>
      </c>
      <c r="AQ176" s="237">
        <f>'EmVap-Vol'!AQ456</f>
        <v>3.633255180074573E-4</v>
      </c>
      <c r="AR176" s="237">
        <f>'EmVap-Vol'!AR456</f>
        <v>8.0108471603883215E-4</v>
      </c>
      <c r="AS176" s="237">
        <f>'EmVap-Vol'!AS456</f>
        <v>7.0032826772846175E-4</v>
      </c>
      <c r="AT176" s="237">
        <f>'EmVap-Vol'!AT456</f>
        <v>2.6279813499440617E-3</v>
      </c>
      <c r="AU176" s="237">
        <f>'EmVap-Vol'!AU456</f>
        <v>2.7113053543647066E-3</v>
      </c>
      <c r="AV176" s="237">
        <f>'EmVap-Vol'!AV456</f>
        <v>6.7754388367736824E-3</v>
      </c>
      <c r="AW176" s="237">
        <f>'EmVap-Vol'!AW456</f>
        <v>7.2056042717032771E-3</v>
      </c>
      <c r="AX176" s="237">
        <f>'EmVap-Vol'!AX456</f>
        <v>0.11891089936854063</v>
      </c>
      <c r="AY176" s="237">
        <f>'EmVap-Vol'!AY456</f>
        <v>0.14353767260259814</v>
      </c>
      <c r="AZ176" s="237">
        <f>'EmVap-Vol'!AZ456</f>
        <v>0.20485253715957302</v>
      </c>
      <c r="BA176" s="237">
        <f>'EmVap-Vol'!BA456</f>
        <v>0.57431561411946508</v>
      </c>
      <c r="BB176" s="237">
        <f>'EmVap-Vol'!BB456</f>
        <v>5.26130102880829E-2</v>
      </c>
      <c r="BC176" s="237">
        <f>'EmVap-Vol'!BC456</f>
        <v>106627.59854582194</v>
      </c>
      <c r="BD176" s="237">
        <f>'EmVap-Vol'!BD456</f>
        <v>5.8723627268991406E-3</v>
      </c>
      <c r="BE176" s="237">
        <f>'EmVap-Vol'!BE456</f>
        <v>6.3812512314882107E-3</v>
      </c>
      <c r="BF176" s="237">
        <f>'EmVap-Vol'!BF456</f>
        <v>6.3812512314882107E-3</v>
      </c>
      <c r="BG176" s="237">
        <f>'EmVap-Vol'!BG456</f>
        <v>9.4613746816956763E-7</v>
      </c>
      <c r="BH176" s="237">
        <f>'EmVap-Vol'!BH456</f>
        <v>3.6628868190041776E-3</v>
      </c>
      <c r="BI176" s="237">
        <f>'EmVap-Vol'!BI456</f>
        <v>1.1634849815221786E-3</v>
      </c>
    </row>
    <row r="177" spans="1:61">
      <c r="A177" s="97"/>
      <c r="B177" s="100"/>
      <c r="C177" s="2496"/>
      <c r="D177" s="2497"/>
      <c r="E177" s="3498"/>
      <c r="F177" s="14"/>
      <c r="G177" s="105"/>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row>
    <row r="178" spans="1:61">
      <c r="A178" s="30" t="s">
        <v>266</v>
      </c>
      <c r="B178" s="30" t="s">
        <v>266</v>
      </c>
      <c r="C178" s="2496"/>
      <c r="D178" s="2497"/>
      <c r="E178" s="3933" t="s">
        <v>625</v>
      </c>
      <c r="F178" s="60"/>
      <c r="G178" s="143"/>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135"/>
      <c r="BB178" s="135"/>
      <c r="BC178" s="135"/>
      <c r="BD178" s="135"/>
      <c r="BE178" s="135"/>
      <c r="BF178" s="135"/>
      <c r="BG178" s="135"/>
      <c r="BH178" s="135"/>
      <c r="BI178" s="135"/>
    </row>
    <row r="179" spans="1:61" s="41" customFormat="1" ht="25.5">
      <c r="A179" s="31"/>
      <c r="B179" s="31"/>
      <c r="C179" s="2501" t="s">
        <v>591</v>
      </c>
      <c r="D179" s="2502"/>
      <c r="E179" s="3937" t="s">
        <v>621</v>
      </c>
      <c r="F179" s="14" t="s">
        <v>151</v>
      </c>
      <c r="G179" s="105" t="s">
        <v>270</v>
      </c>
      <c r="H179" s="113">
        <f>(Dispers!$I34*FEM!$H11+Dispers!$H34*FEM!$H13)/(FEM!$H11+FEM!$H13)</f>
        <v>26.666666666666668</v>
      </c>
      <c r="I179" s="113">
        <f>(Dispers!$I34*FEM!$H11+Dispers!$H34*FEM!$H13)/(FEM!$H11+FEM!$H13)</f>
        <v>26.666666666666668</v>
      </c>
      <c r="J179" s="113">
        <f>(Dispers!$I34*FEM!$H11+Dispers!$H34*FEM!$H13)/(FEM!$H11+FEM!$H13)</f>
        <v>26.666666666666668</v>
      </c>
      <c r="K179" s="113">
        <f>(Dispers!$I34*FEM!$H11+Dispers!$H34*FEM!$H13)/(FEM!$H11+FEM!$H13)</f>
        <v>26.666666666666668</v>
      </c>
      <c r="L179" s="113">
        <f>(Dispers!$I34*FEM!$H11+Dispers!$H34*FEM!$H13)/(FEM!$H11+FEM!$H13)</f>
        <v>26.666666666666668</v>
      </c>
      <c r="M179" s="113">
        <f>(Dispers!$I34*FEM!$H11+Dispers!$H34*FEM!$H13)/(FEM!$H11+FEM!$H13)</f>
        <v>26.666666666666668</v>
      </c>
      <c r="N179" s="113">
        <f>(Dispers!$I34*FEM!$H11+Dispers!$H34*FEM!$H13)/(FEM!$H11+FEM!$H13)</f>
        <v>26.666666666666668</v>
      </c>
      <c r="O179" s="113">
        <f>(Dispers!$I34*FEM!$H11+Dispers!$H34*FEM!$H13)/(FEM!$H11+FEM!$H13)</f>
        <v>26.666666666666668</v>
      </c>
      <c r="P179" s="113">
        <f>(Dispers!$I34*FEM!$H11+Dispers!$H34*FEM!$H13)/(FEM!$H11+FEM!$H13)</f>
        <v>26.666666666666668</v>
      </c>
      <c r="Q179" s="113">
        <f>(Dispers!$I34*FEM!$H11+Dispers!$H34*FEM!$H13)/(FEM!$H11+FEM!$H13)</f>
        <v>26.666666666666668</v>
      </c>
      <c r="R179" s="113">
        <f>(Dispers!$I34*FEM!$H11+Dispers!$H34*FEM!$H13)/(FEM!$H11+FEM!$H13)</f>
        <v>26.666666666666668</v>
      </c>
      <c r="S179" s="113">
        <f>(Dispers!$I34*FEM!$H11+Dispers!$H34*FEM!$H13)/(FEM!$H11+FEM!$H13)</f>
        <v>26.666666666666668</v>
      </c>
      <c r="T179" s="113">
        <f>(Dispers!$I34*FEM!$H11+Dispers!$H34*FEM!$H13)/(FEM!$H11+FEM!$H13)</f>
        <v>26.666666666666668</v>
      </c>
      <c r="U179" s="113">
        <f>(Dispers!$I34*FEM!$H11+Dispers!$H34*FEM!$H13)/(FEM!$H11+FEM!$H13)</f>
        <v>26.666666666666668</v>
      </c>
      <c r="V179" s="113">
        <f>(Dispers!$I34*FEM!$H11+Dispers!$H34*FEM!$H13)/(FEM!$H11+FEM!$H13)</f>
        <v>26.666666666666668</v>
      </c>
      <c r="W179" s="113">
        <f>(Dispers!$I34*FEM!$H11+Dispers!$H34*FEM!$H13)/(FEM!$H11+FEM!$H13)</f>
        <v>26.666666666666668</v>
      </c>
      <c r="X179" s="113">
        <f>(Dispers!$I34*FEM!$H11+Dispers!$H34*FEM!$H13)/(FEM!$H11+FEM!$H13)</f>
        <v>26.666666666666668</v>
      </c>
      <c r="Y179" s="113">
        <f>(Dispers!$I34*FEM!$H11+Dispers!$H34*FEM!$H13)/(FEM!$H11+FEM!$H13)</f>
        <v>26.666666666666668</v>
      </c>
      <c r="Z179" s="113">
        <f>(Dispers!$I34*FEM!$H11+Dispers!$H34*FEM!$H13)/(FEM!$H11+FEM!$H13)</f>
        <v>26.666666666666668</v>
      </c>
      <c r="AA179" s="113">
        <f>(Dispers!$I34*FEM!$H11+Dispers!$H34*FEM!$H13)/(FEM!$H11+FEM!$H13)</f>
        <v>26.666666666666668</v>
      </c>
      <c r="AB179" s="113">
        <f>(Dispers!$I34*FEM!$H11+Dispers!$H34*FEM!$H13)/(FEM!$H11+FEM!$H13)</f>
        <v>26.666666666666668</v>
      </c>
      <c r="AC179" s="113">
        <f>(Dispers!$I34*FEM!$H11+Dispers!$H34*FEM!$H13)/(FEM!$H11+FEM!$H13)</f>
        <v>26.666666666666668</v>
      </c>
      <c r="AD179" s="113">
        <f>(Dispers!$I34*FEM!$H11+Dispers!$H34*FEM!$H13)/(FEM!$H11+FEM!$H13)</f>
        <v>26.666666666666668</v>
      </c>
      <c r="AE179" s="113">
        <f>(Dispers!$I34*FEM!$H11+Dispers!$H34*FEM!$H13)/(FEM!$H11+FEM!$H13)</f>
        <v>26.666666666666668</v>
      </c>
      <c r="AF179" s="113">
        <f>(Dispers!$I34*FEM!$H11+Dispers!$H34*FEM!$H13)/(FEM!$H11+FEM!$H13)</f>
        <v>26.666666666666668</v>
      </c>
      <c r="AG179" s="113">
        <f>(Dispers!$I34*FEM!$H11+Dispers!$H34*FEM!$H13)/(FEM!$H11+FEM!$H13)</f>
        <v>26.666666666666668</v>
      </c>
      <c r="AH179" s="113">
        <f>(Dispers!$I34*FEM!$H11+Dispers!$H34*FEM!$H13)/(FEM!$H11+FEM!$H13)</f>
        <v>26.666666666666668</v>
      </c>
      <c r="AI179" s="113">
        <f>(Dispers!$I34*FEM!$H11+Dispers!$H34*FEM!$H13)/(FEM!$H11+FEM!$H13)</f>
        <v>26.666666666666668</v>
      </c>
      <c r="AJ179" s="113">
        <f>(Dispers!$I34*FEM!$H11+Dispers!$H34*FEM!$H13)/(FEM!$H11+FEM!$H13)</f>
        <v>26.666666666666668</v>
      </c>
      <c r="AK179" s="113">
        <f>(Dispers!$I34*FEM!$H11+Dispers!$H34*FEM!$H13)/(FEM!$H11+FEM!$H13)</f>
        <v>26.666666666666668</v>
      </c>
      <c r="AL179" s="113">
        <f>(Dispers!$I34*FEM!$H11+Dispers!$H34*FEM!$H13)/(FEM!$H11+FEM!$H13)</f>
        <v>26.666666666666668</v>
      </c>
      <c r="AM179" s="113">
        <f>(Dispers!$I34*FEM!$H11+Dispers!$H34*FEM!$H13)/(FEM!$H11+FEM!$H13)</f>
        <v>26.666666666666668</v>
      </c>
      <c r="AN179" s="113">
        <f>(Dispers!$I34*FEM!$H11+Dispers!$H34*FEM!$H13)/(FEM!$H11+FEM!$H13)</f>
        <v>26.666666666666668</v>
      </c>
      <c r="AO179" s="113">
        <f>(Dispers!$I34*FEM!$H11+Dispers!$H34*FEM!$H13)/(FEM!$H11+FEM!$H13)</f>
        <v>26.666666666666668</v>
      </c>
      <c r="AP179" s="113">
        <f>(Dispers!$I34*FEM!$H11+Dispers!$H34*FEM!$H13)/(FEM!$H11+FEM!$H13)</f>
        <v>26.666666666666668</v>
      </c>
      <c r="AQ179" s="113">
        <f>(Dispers!$I34*FEM!$H11+Dispers!$H34*FEM!$H13)/(FEM!$H11+FEM!$H13)</f>
        <v>26.666666666666668</v>
      </c>
      <c r="AR179" s="113">
        <f>(Dispers!$I34*FEM!$H11+Dispers!$H34*FEM!$H13)/(FEM!$H11+FEM!$H13)</f>
        <v>26.666666666666668</v>
      </c>
      <c r="AS179" s="113">
        <f>(Dispers!$I34*FEM!$H11+Dispers!$H34*FEM!$H13)/(FEM!$H11+FEM!$H13)</f>
        <v>26.666666666666668</v>
      </c>
      <c r="AT179" s="113">
        <f>(Dispers!$I34*FEM!$H11+Dispers!$H34*FEM!$H13)/(FEM!$H11+FEM!$H13)</f>
        <v>26.666666666666668</v>
      </c>
      <c r="AU179" s="113">
        <f>(Dispers!$I34*FEM!$H11+Dispers!$H34*FEM!$H13)/(FEM!$H11+FEM!$H13)</f>
        <v>26.666666666666668</v>
      </c>
      <c r="AV179" s="113">
        <f>(Dispers!$I34*FEM!$H11+Dispers!$H34*FEM!$H13)/(FEM!$H11+FEM!$H13)</f>
        <v>26.666666666666668</v>
      </c>
      <c r="AW179" s="113">
        <f>(Dispers!$I34*FEM!$H11+Dispers!$H34*FEM!$H13)/(FEM!$H11+FEM!$H13)</f>
        <v>26.666666666666668</v>
      </c>
      <c r="AX179" s="113">
        <f>(Dispers!$I34*FEM!$H11+Dispers!$H34*FEM!$H13)/(FEM!$H11+FEM!$H13)</f>
        <v>26.666666666666668</v>
      </c>
      <c r="AY179" s="113">
        <f>(Dispers!$I34*FEM!$H11+Dispers!$H34*FEM!$H13)/(FEM!$H11+FEM!$H13)</f>
        <v>26.666666666666668</v>
      </c>
      <c r="AZ179" s="113">
        <f>(Dispers!$I34*FEM!$H11+Dispers!$H34*FEM!$H13)/(FEM!$H11+FEM!$H13)</f>
        <v>26.666666666666668</v>
      </c>
      <c r="BA179" s="113">
        <f>(Dispers!$I34*FEM!$H11+Dispers!$H34*FEM!$H13)/(FEM!$H11+FEM!$H13)</f>
        <v>26.666666666666668</v>
      </c>
      <c r="BB179" s="113">
        <f>(Dispers!$I34*FEM!$H11+Dispers!$H34*FEM!$H13)/(FEM!$H11+FEM!$H13)</f>
        <v>26.666666666666668</v>
      </c>
      <c r="BC179" s="113">
        <f>(Dispers!$I34*FEM!$H11+Dispers!$H34*FEM!$H13)/(FEM!$H11+FEM!$H13)</f>
        <v>26.666666666666668</v>
      </c>
      <c r="BD179" s="113">
        <f>(Dispers!$I34*FEM!$H11+Dispers!$H34*FEM!$H13)/(FEM!$H11+FEM!$H13)</f>
        <v>26.666666666666668</v>
      </c>
      <c r="BE179" s="113">
        <f>(Dispers!$I34*FEM!$H11+Dispers!$H34*FEM!$H13)/(FEM!$H11+FEM!$H13)</f>
        <v>26.666666666666668</v>
      </c>
      <c r="BF179" s="113">
        <f>(Dispers!$I34*FEM!$H11+Dispers!$H34*FEM!$H13)/(FEM!$H11+FEM!$H13)</f>
        <v>26.666666666666668</v>
      </c>
      <c r="BG179" s="113">
        <f>(Dispers!$I34*FEM!$H11+Dispers!$H34*FEM!$H13)/(FEM!$H11+FEM!$H13)</f>
        <v>26.666666666666668</v>
      </c>
      <c r="BH179" s="113">
        <f>(Dispers!$I34*FEM!$H11+Dispers!$H34*FEM!$H13)/(FEM!$H11+FEM!$H13)</f>
        <v>26.666666666666668</v>
      </c>
      <c r="BI179" s="113">
        <f>(Dispers!$I34*FEM!$H11+Dispers!$H34*FEM!$H13)/(FEM!$H11+FEM!$H13)</f>
        <v>26.666666666666668</v>
      </c>
    </row>
    <row r="180" spans="1:61" s="41" customFormat="1">
      <c r="A180" s="31"/>
      <c r="B180" s="31"/>
      <c r="C180" s="2503"/>
      <c r="D180" s="2502"/>
      <c r="E180" s="3928" t="str">
        <f>E171</f>
        <v>Période chronique</v>
      </c>
      <c r="F180" s="14"/>
      <c r="G180" s="105"/>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row>
    <row r="181" spans="1:61">
      <c r="A181" s="97"/>
      <c r="B181" s="97"/>
      <c r="C181" s="2504"/>
      <c r="D181" s="2505"/>
      <c r="E181" s="3929" t="s">
        <v>1112</v>
      </c>
      <c r="F181" s="96" t="s">
        <v>1115</v>
      </c>
      <c r="G181" s="144" t="s">
        <v>206</v>
      </c>
      <c r="H181" s="135">
        <f>H179*H$172</f>
        <v>2.115252543971578E-2</v>
      </c>
      <c r="I181" s="135">
        <f t="shared" ref="I181:BI181" si="76">I179*I$172</f>
        <v>2.115252543971578E-2</v>
      </c>
      <c r="J181" s="135">
        <f>J179*J$172</f>
        <v>7.5611661664102062E-3</v>
      </c>
      <c r="K181" s="135">
        <f t="shared" si="76"/>
        <v>9.8750719528399892E-4</v>
      </c>
      <c r="L181" s="135">
        <f t="shared" si="76"/>
        <v>3.5887633242353742E-3</v>
      </c>
      <c r="M181" s="135">
        <f t="shared" si="76"/>
        <v>3.5887633242353742E-3</v>
      </c>
      <c r="N181" s="135">
        <f>N179*N$172</f>
        <v>2.6463156533469653E-3</v>
      </c>
      <c r="O181" s="135">
        <f>O179*O$172</f>
        <v>2.6463156533469653E-3</v>
      </c>
      <c r="P181" s="135">
        <f t="shared" si="76"/>
        <v>2.417738777071566E-3</v>
      </c>
      <c r="Q181" s="135">
        <f t="shared" si="76"/>
        <v>2.417738777071566E-3</v>
      </c>
      <c r="R181" s="135">
        <f>R179*R$172</f>
        <v>6.1021904780207943E-3</v>
      </c>
      <c r="S181" s="135">
        <f>S179*S$172</f>
        <v>4.7332165733069923E-3</v>
      </c>
      <c r="T181" s="135">
        <f>T179*T$172</f>
        <v>4.7332165733069923E-3</v>
      </c>
      <c r="U181" s="135">
        <f t="shared" si="76"/>
        <v>1.3815579818439322E-3</v>
      </c>
      <c r="V181" s="135">
        <f t="shared" si="76"/>
        <v>8.4405952127397633E-4</v>
      </c>
      <c r="W181" s="135">
        <f t="shared" si="76"/>
        <v>8.4405952127397633E-4</v>
      </c>
      <c r="X181" s="135">
        <f t="shared" si="76"/>
        <v>3.4550845698858757E-3</v>
      </c>
      <c r="Y181" s="135">
        <f t="shared" si="76"/>
        <v>3.933419395313659E-3</v>
      </c>
      <c r="Z181" s="135">
        <f t="shared" si="76"/>
        <v>4.8943160593529159E-3</v>
      </c>
      <c r="AA181" s="135">
        <f t="shared" si="76"/>
        <v>2.2586971724589352E-3</v>
      </c>
      <c r="AB181" s="135">
        <f t="shared" si="76"/>
        <v>3.8482507402886903E-3</v>
      </c>
      <c r="AC181" s="135">
        <f t="shared" si="76"/>
        <v>8.3719210877403957E-3</v>
      </c>
      <c r="AD181" s="135">
        <f t="shared" si="76"/>
        <v>1.7626784060541634E-2</v>
      </c>
      <c r="AE181" s="135">
        <f t="shared" si="76"/>
        <v>4.4481222771348965E-2</v>
      </c>
      <c r="AF181" s="135">
        <f t="shared" si="76"/>
        <v>0.65651230463546983</v>
      </c>
      <c r="AG181" s="135">
        <f t="shared" si="76"/>
        <v>6.1432378212001476E-4</v>
      </c>
      <c r="AH181" s="135">
        <f t="shared" si="76"/>
        <v>8.2047729874695416E-4</v>
      </c>
      <c r="AI181" s="135">
        <f t="shared" si="76"/>
        <v>1.3971114894699777E-3</v>
      </c>
      <c r="AJ181" s="135">
        <f t="shared" si="76"/>
        <v>2.5811593431635687E-3</v>
      </c>
      <c r="AK181" s="135">
        <f t="shared" si="76"/>
        <v>4.8352660422466501E-3</v>
      </c>
      <c r="AL181" s="135">
        <f t="shared" si="76"/>
        <v>1.5114464932013452E-2</v>
      </c>
      <c r="AM181" s="135">
        <f t="shared" si="76"/>
        <v>0.1668685474104073</v>
      </c>
      <c r="AN181" s="135">
        <f t="shared" si="76"/>
        <v>1.130218929730529E-2</v>
      </c>
      <c r="AO181" s="135">
        <f t="shared" si="76"/>
        <v>5.2654544497319052E-2</v>
      </c>
      <c r="AP181" s="135">
        <f t="shared" si="76"/>
        <v>4.0263416146778384E-2</v>
      </c>
      <c r="AQ181" s="135">
        <f t="shared" si="76"/>
        <v>6.1276595678084606E-2</v>
      </c>
      <c r="AR181" s="135">
        <f t="shared" si="76"/>
        <v>0.13510678940970289</v>
      </c>
      <c r="AS181" s="135">
        <f t="shared" si="76"/>
        <v>0.11811372991051383</v>
      </c>
      <c r="AT181" s="135">
        <f t="shared" si="76"/>
        <v>0.44322169142758655</v>
      </c>
      <c r="AU181" s="135">
        <f t="shared" si="76"/>
        <v>0.45727468544012934</v>
      </c>
      <c r="AV181" s="135">
        <f t="shared" si="76"/>
        <v>1.1427103398062208</v>
      </c>
      <c r="AW181" s="135">
        <f t="shared" si="76"/>
        <v>1.2152598088757927</v>
      </c>
      <c r="AX181" s="135">
        <f t="shared" si="76"/>
        <v>20.054894966595533</v>
      </c>
      <c r="AY181" s="135">
        <f t="shared" si="76"/>
        <v>24.208318691400475</v>
      </c>
      <c r="AZ181" s="135">
        <f t="shared" si="76"/>
        <v>34.549365434054963</v>
      </c>
      <c r="BA181" s="135">
        <f t="shared" si="76"/>
        <v>96.861089942179632</v>
      </c>
      <c r="BB181" s="135">
        <f t="shared" si="76"/>
        <v>8.8734371769713967</v>
      </c>
      <c r="BC181" s="135">
        <f t="shared" si="76"/>
        <v>17983257.218072273</v>
      </c>
      <c r="BD181" s="135">
        <f t="shared" si="76"/>
        <v>0.990402211396193</v>
      </c>
      <c r="BE181" s="135">
        <f t="shared" si="76"/>
        <v>1.0762287047070469</v>
      </c>
      <c r="BF181" s="135">
        <f t="shared" si="76"/>
        <v>1.0762287047070469</v>
      </c>
      <c r="BG181" s="135">
        <f t="shared" si="76"/>
        <v>1.0092132993808722E-3</v>
      </c>
      <c r="BH181" s="135">
        <f t="shared" si="76"/>
        <v>0.61776347517131347</v>
      </c>
      <c r="BI181" s="135">
        <f t="shared" si="76"/>
        <v>7.4166961943797668E-2</v>
      </c>
    </row>
    <row r="182" spans="1:61">
      <c r="A182" s="97"/>
      <c r="B182" s="97"/>
      <c r="C182" s="2504"/>
      <c r="D182" s="2505"/>
      <c r="E182" s="3938" t="str">
        <f>E175</f>
        <v>Période employé (40 ans)</v>
      </c>
      <c r="F182" s="62"/>
      <c r="G182" s="107"/>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row>
    <row r="183" spans="1:61">
      <c r="A183" s="97"/>
      <c r="B183" s="97"/>
      <c r="C183" s="2504"/>
      <c r="D183" s="2505"/>
      <c r="E183" s="3929" t="s">
        <v>1112</v>
      </c>
      <c r="F183" s="96" t="s">
        <v>1115</v>
      </c>
      <c r="G183" s="144" t="s">
        <v>206</v>
      </c>
      <c r="H183" s="135">
        <f>H179*H176</f>
        <v>8.8487362478276571E-3</v>
      </c>
      <c r="I183" s="135">
        <f t="shared" ref="I183:BI183" si="77">I179*I176</f>
        <v>8.8487362478276571E-3</v>
      </c>
      <c r="J183" s="135">
        <f>J179*J176</f>
        <v>3.1630627427086588E-3</v>
      </c>
      <c r="K183" s="135">
        <f t="shared" si="77"/>
        <v>2.4687679882099972E-5</v>
      </c>
      <c r="L183" s="135">
        <f t="shared" si="77"/>
        <v>1.3204364778198247E-4</v>
      </c>
      <c r="M183" s="135">
        <f t="shared" si="77"/>
        <v>1.3204364778198247E-4</v>
      </c>
      <c r="N183" s="135">
        <f>N179*N176</f>
        <v>6.6948651212456095E-5</v>
      </c>
      <c r="O183" s="135">
        <f>O179*O176</f>
        <v>6.6948651212456095E-5</v>
      </c>
      <c r="P183" s="135">
        <f t="shared" si="77"/>
        <v>6.1322828463232051E-5</v>
      </c>
      <c r="Q183" s="135">
        <f t="shared" si="77"/>
        <v>6.1322828463232051E-5</v>
      </c>
      <c r="R183" s="135">
        <f>R179*R176</f>
        <v>1.5255476195051988E-4</v>
      </c>
      <c r="S183" s="135">
        <f>S179*S176</f>
        <v>1.6260786513136121E-4</v>
      </c>
      <c r="T183" s="135">
        <f>T179*T176</f>
        <v>1.6260786513136121E-4</v>
      </c>
      <c r="U183" s="135">
        <f t="shared" si="77"/>
        <v>3.4538949546098306E-5</v>
      </c>
      <c r="V183" s="135">
        <f t="shared" si="77"/>
        <v>2.1101488031849406E-5</v>
      </c>
      <c r="W183" s="135">
        <f t="shared" si="77"/>
        <v>2.1101488031849406E-5</v>
      </c>
      <c r="X183" s="135">
        <f t="shared" si="77"/>
        <v>1.0999438954791566E-4</v>
      </c>
      <c r="Y183" s="135">
        <f t="shared" si="77"/>
        <v>1.5870856843399215E-4</v>
      </c>
      <c r="Z183" s="135">
        <f t="shared" si="77"/>
        <v>2.6799051382735947E-4</v>
      </c>
      <c r="AA183" s="135">
        <f t="shared" si="77"/>
        <v>3.9947327346007985E-4</v>
      </c>
      <c r="AB183" s="135">
        <f t="shared" si="77"/>
        <v>3.5321270250555893E-4</v>
      </c>
      <c r="AC183" s="135">
        <f t="shared" si="77"/>
        <v>1.3237169514227006E-3</v>
      </c>
      <c r="AD183" s="135">
        <f t="shared" si="77"/>
        <v>2.7870392727631444E-3</v>
      </c>
      <c r="AE183" s="135">
        <f t="shared" si="77"/>
        <v>7.0330988533404909E-3</v>
      </c>
      <c r="AF183" s="135">
        <f t="shared" si="77"/>
        <v>0.10380370972872019</v>
      </c>
      <c r="AG183" s="135">
        <f t="shared" si="77"/>
        <v>1.5358094553000372E-5</v>
      </c>
      <c r="AH183" s="135">
        <f t="shared" si="77"/>
        <v>2.0511932468673853E-5</v>
      </c>
      <c r="AI183" s="135">
        <f t="shared" si="77"/>
        <v>5.0445653302991629E-5</v>
      </c>
      <c r="AJ183" s="135">
        <f t="shared" si="77"/>
        <v>2.119181066751425E-4</v>
      </c>
      <c r="AK183" s="135">
        <f t="shared" si="77"/>
        <v>7.6452268931836802E-4</v>
      </c>
      <c r="AL183" s="135">
        <f t="shared" si="77"/>
        <v>2.3898067399952261E-3</v>
      </c>
      <c r="AM183" s="135">
        <f t="shared" si="77"/>
        <v>2.6384233983033953E-2</v>
      </c>
      <c r="AN183" s="135">
        <f t="shared" si="77"/>
        <v>4.7280449986882951E-3</v>
      </c>
      <c r="AO183" s="135">
        <f t="shared" si="77"/>
        <v>8.3254144885106934E-3</v>
      </c>
      <c r="AP183" s="135">
        <f t="shared" si="77"/>
        <v>6.3662050701510054E-3</v>
      </c>
      <c r="AQ183" s="135">
        <f t="shared" si="77"/>
        <v>9.6886804801988614E-3</v>
      </c>
      <c r="AR183" s="135">
        <f t="shared" si="77"/>
        <v>2.1362259094368858E-2</v>
      </c>
      <c r="AS183" s="135">
        <f t="shared" si="77"/>
        <v>1.8675420472758979E-2</v>
      </c>
      <c r="AT183" s="135">
        <f t="shared" si="77"/>
        <v>7.0079502665174986E-2</v>
      </c>
      <c r="AU183" s="135">
        <f t="shared" si="77"/>
        <v>7.2301476116392177E-2</v>
      </c>
      <c r="AV183" s="135">
        <f t="shared" si="77"/>
        <v>0.18067836898063153</v>
      </c>
      <c r="AW183" s="135">
        <f t="shared" si="77"/>
        <v>0.19214944724542074</v>
      </c>
      <c r="AX183" s="135">
        <f t="shared" si="77"/>
        <v>3.1709573164944169</v>
      </c>
      <c r="AY183" s="135">
        <f t="shared" si="77"/>
        <v>3.8276712694026171</v>
      </c>
      <c r="AZ183" s="135">
        <f t="shared" si="77"/>
        <v>5.4627343242552806</v>
      </c>
      <c r="BA183" s="135">
        <f t="shared" si="77"/>
        <v>15.315083043185735</v>
      </c>
      <c r="BB183" s="135">
        <f t="shared" si="77"/>
        <v>1.4030136076822106</v>
      </c>
      <c r="BC183" s="135">
        <f t="shared" si="77"/>
        <v>2843402.627888585</v>
      </c>
      <c r="BD183" s="135">
        <f t="shared" si="77"/>
        <v>0.1565963393839771</v>
      </c>
      <c r="BE183" s="135">
        <f t="shared" si="77"/>
        <v>0.1701666995063523</v>
      </c>
      <c r="BF183" s="135">
        <f t="shared" si="77"/>
        <v>0.1701666995063523</v>
      </c>
      <c r="BG183" s="135">
        <f t="shared" si="77"/>
        <v>2.5230332484521805E-5</v>
      </c>
      <c r="BH183" s="135">
        <f t="shared" si="77"/>
        <v>9.7676981840111407E-2</v>
      </c>
      <c r="BI183" s="135">
        <f t="shared" si="77"/>
        <v>3.1026266173924764E-2</v>
      </c>
    </row>
    <row r="184" spans="1:61">
      <c r="A184" s="97"/>
      <c r="B184" s="97"/>
      <c r="C184" s="2504"/>
      <c r="D184" s="2505"/>
      <c r="E184" s="3929"/>
      <c r="F184" s="62"/>
      <c r="G184" s="107"/>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row>
    <row r="185" spans="1:61" ht="25.5">
      <c r="A185" s="97"/>
      <c r="B185" s="97"/>
      <c r="C185" s="2504" t="s">
        <v>208</v>
      </c>
      <c r="D185" s="2505"/>
      <c r="E185" s="3937" t="s">
        <v>622</v>
      </c>
      <c r="F185" s="14" t="s">
        <v>151</v>
      </c>
      <c r="G185" s="105" t="s">
        <v>152</v>
      </c>
      <c r="H185" s="113">
        <f>IF(FEM!$H12+FEM!$H14&gt;0,(Dispers!$J34*FEM!$H12+Dispers!$H34*FEM!$H14)/(FEM!$H12+FEM!$H14),0)</f>
        <v>0</v>
      </c>
      <c r="I185" s="113">
        <f>IF(FEM!$H12+FEM!$H14&gt;0,(Dispers!$J34*FEM!$H12+Dispers!$H34*FEM!$H14)/(FEM!$H12+FEM!$H14),0)</f>
        <v>0</v>
      </c>
      <c r="J185" s="113">
        <f>IF(FEM!$H12+FEM!$H14&gt;0,(Dispers!$J34*FEM!$H12+Dispers!$H34*FEM!$H14)/(FEM!$H12+FEM!$H14),0)</f>
        <v>0</v>
      </c>
      <c r="K185" s="113">
        <f>IF(FEM!$H12+FEM!$H14&gt;0,(Dispers!$J34*FEM!$H12+Dispers!$H34*FEM!$H14)/(FEM!$H12+FEM!$H14),0)</f>
        <v>0</v>
      </c>
      <c r="L185" s="113">
        <f>IF(FEM!$H12+FEM!$H14&gt;0,(Dispers!$J34*FEM!$H12+Dispers!$H34*FEM!$H14)/(FEM!$H12+FEM!$H14),0)</f>
        <v>0</v>
      </c>
      <c r="M185" s="113">
        <f>IF(FEM!$H12+FEM!$H14&gt;0,(Dispers!$J34*FEM!$H12+Dispers!$H34*FEM!$H14)/(FEM!$H12+FEM!$H14),0)</f>
        <v>0</v>
      </c>
      <c r="N185" s="113">
        <f>IF(FEM!$H12+FEM!$H14&gt;0,(Dispers!$J34*FEM!$H12+Dispers!$H34*FEM!$H14)/(FEM!$H12+FEM!$H14),0)</f>
        <v>0</v>
      </c>
      <c r="O185" s="113">
        <f>IF(FEM!$H12+FEM!$H14&gt;0,(Dispers!$J34*FEM!$H12+Dispers!$H34*FEM!$H14)/(FEM!$H12+FEM!$H14),0)</f>
        <v>0</v>
      </c>
      <c r="P185" s="113">
        <f>IF(FEM!$H12+FEM!$H14&gt;0,(Dispers!$J34*FEM!$H12+Dispers!$H34*FEM!$H14)/(FEM!$H12+FEM!$H14),0)</f>
        <v>0</v>
      </c>
      <c r="Q185" s="113">
        <f>IF(FEM!$H12+FEM!$H14&gt;0,(Dispers!$J34*FEM!$H12+Dispers!$H34*FEM!$H14)/(FEM!$H12+FEM!$H14),0)</f>
        <v>0</v>
      </c>
      <c r="R185" s="113">
        <f>IF(FEM!$H12+FEM!$H14&gt;0,(Dispers!$J34*FEM!$H12+Dispers!$H34*FEM!$H14)/(FEM!$H12+FEM!$H14),0)</f>
        <v>0</v>
      </c>
      <c r="S185" s="113">
        <f>IF(FEM!$H12+FEM!$H14&gt;0,(Dispers!$J34*FEM!$H12+Dispers!$H34*FEM!$H14)/(FEM!$H12+FEM!$H14),0)</f>
        <v>0</v>
      </c>
      <c r="T185" s="113">
        <f>IF(FEM!$H12+FEM!$H14&gt;0,(Dispers!$J34*FEM!$H12+Dispers!$H34*FEM!$H14)/(FEM!$H12+FEM!$H14),0)</f>
        <v>0</v>
      </c>
      <c r="U185" s="113">
        <f>IF(FEM!$H12+FEM!$H14&gt;0,(Dispers!$J34*FEM!$H12+Dispers!$H34*FEM!$H14)/(FEM!$H12+FEM!$H14),0)</f>
        <v>0</v>
      </c>
      <c r="V185" s="113">
        <f>IF(FEM!$H12+FEM!$H14&gt;0,(Dispers!$J34*FEM!$H12+Dispers!$H34*FEM!$H14)/(FEM!$H12+FEM!$H14),0)</f>
        <v>0</v>
      </c>
      <c r="W185" s="113">
        <f>IF(FEM!$H12+FEM!$H14&gt;0,(Dispers!$J34*FEM!$H12+Dispers!$H34*FEM!$H14)/(FEM!$H12+FEM!$H14),0)</f>
        <v>0</v>
      </c>
      <c r="X185" s="113">
        <f>IF(FEM!$H12+FEM!$H14&gt;0,(Dispers!$J34*FEM!$H12+Dispers!$H34*FEM!$H14)/(FEM!$H12+FEM!$H14),0)</f>
        <v>0</v>
      </c>
      <c r="Y185" s="113">
        <f>IF(FEM!$H12+FEM!$H14&gt;0,(Dispers!$J34*FEM!$H12+Dispers!$H34*FEM!$H14)/(FEM!$H12+FEM!$H14),0)</f>
        <v>0</v>
      </c>
      <c r="Z185" s="113">
        <f>IF(FEM!$H12+FEM!$H14&gt;0,(Dispers!$J34*FEM!$H12+Dispers!$H34*FEM!$H14)/(FEM!$H12+FEM!$H14),0)</f>
        <v>0</v>
      </c>
      <c r="AA185" s="113">
        <f>IF(FEM!$H12+FEM!$H14&gt;0,(Dispers!$J34*FEM!$H12+Dispers!$H34*FEM!$H14)/(FEM!$H12+FEM!$H14),0)</f>
        <v>0</v>
      </c>
      <c r="AB185" s="113">
        <f>IF(FEM!$H12+FEM!$H14&gt;0,(Dispers!$J34*FEM!$H12+Dispers!$H34*FEM!$H14)/(FEM!$H12+FEM!$H14),0)</f>
        <v>0</v>
      </c>
      <c r="AC185" s="113">
        <f>IF(FEM!$H12+FEM!$H14&gt;0,(Dispers!$J34*FEM!$H12+Dispers!$H34*FEM!$H14)/(FEM!$H12+FEM!$H14),0)</f>
        <v>0</v>
      </c>
      <c r="AD185" s="113">
        <f>IF(FEM!$H12+FEM!$H14&gt;0,(Dispers!$J34*FEM!$H12+Dispers!$H34*FEM!$H14)/(FEM!$H12+FEM!$H14),0)</f>
        <v>0</v>
      </c>
      <c r="AE185" s="113">
        <f>IF(FEM!$H12+FEM!$H14&gt;0,(Dispers!$J34*FEM!$H12+Dispers!$H34*FEM!$H14)/(FEM!$H12+FEM!$H14),0)</f>
        <v>0</v>
      </c>
      <c r="AF185" s="113">
        <f>IF(FEM!$H12+FEM!$H14&gt;0,(Dispers!$J34*FEM!$H12+Dispers!$H34*FEM!$H14)/(FEM!$H12+FEM!$H14),0)</f>
        <v>0</v>
      </c>
      <c r="AG185" s="113">
        <f>IF(FEM!$H12+FEM!$H14&gt;0,(Dispers!$J34*FEM!$H12+Dispers!$H34*FEM!$H14)/(FEM!$H12+FEM!$H14),0)</f>
        <v>0</v>
      </c>
      <c r="AH185" s="113">
        <f>IF(FEM!$H12+FEM!$H14&gt;0,(Dispers!$J34*FEM!$H12+Dispers!$H34*FEM!$H14)/(FEM!$H12+FEM!$H14),0)</f>
        <v>0</v>
      </c>
      <c r="AI185" s="113">
        <f>IF(FEM!$H12+FEM!$H14&gt;0,(Dispers!$J34*FEM!$H12+Dispers!$H34*FEM!$H14)/(FEM!$H12+FEM!$H14),0)</f>
        <v>0</v>
      </c>
      <c r="AJ185" s="113">
        <f>IF(FEM!$H12+FEM!$H14&gt;0,(Dispers!$J34*FEM!$H12+Dispers!$H34*FEM!$H14)/(FEM!$H12+FEM!$H14),0)</f>
        <v>0</v>
      </c>
      <c r="AK185" s="113">
        <f>IF(FEM!$H12+FEM!$H14&gt;0,(Dispers!$J34*FEM!$H12+Dispers!$H34*FEM!$H14)/(FEM!$H12+FEM!$H14),0)</f>
        <v>0</v>
      </c>
      <c r="AL185" s="113">
        <f>IF(FEM!$H12+FEM!$H14&gt;0,(Dispers!$J34*FEM!$H12+Dispers!$H34*FEM!$H14)/(FEM!$H12+FEM!$H14),0)</f>
        <v>0</v>
      </c>
      <c r="AM185" s="113">
        <f>IF(FEM!$H12+FEM!$H14&gt;0,(Dispers!$J34*FEM!$H12+Dispers!$H34*FEM!$H14)/(FEM!$H12+FEM!$H14),0)</f>
        <v>0</v>
      </c>
      <c r="AN185" s="113">
        <f>IF(FEM!$H12+FEM!$H14&gt;0,(Dispers!$J34*FEM!$H12+Dispers!$H34*FEM!$H14)/(FEM!$H12+FEM!$H14),0)</f>
        <v>0</v>
      </c>
      <c r="AO185" s="113">
        <f>IF(FEM!$H12+FEM!$H14&gt;0,(Dispers!$J34*FEM!$H12+Dispers!$H34*FEM!$H14)/(FEM!$H12+FEM!$H14),0)</f>
        <v>0</v>
      </c>
      <c r="AP185" s="113">
        <f>IF(FEM!$H12+FEM!$H14&gt;0,(Dispers!$J34*FEM!$H12+Dispers!$H34*FEM!$H14)/(FEM!$H12+FEM!$H14),0)</f>
        <v>0</v>
      </c>
      <c r="AQ185" s="113">
        <f>IF(FEM!$H12+FEM!$H14&gt;0,(Dispers!$J34*FEM!$H12+Dispers!$H34*FEM!$H14)/(FEM!$H12+FEM!$H14),0)</f>
        <v>0</v>
      </c>
      <c r="AR185" s="113">
        <f>IF(FEM!$H12+FEM!$H14&gt;0,(Dispers!$J34*FEM!$H12+Dispers!$H34*FEM!$H14)/(FEM!$H12+FEM!$H14),0)</f>
        <v>0</v>
      </c>
      <c r="AS185" s="113">
        <f>IF(FEM!$H12+FEM!$H14&gt;0,(Dispers!$J34*FEM!$H12+Dispers!$H34*FEM!$H14)/(FEM!$H12+FEM!$H14),0)</f>
        <v>0</v>
      </c>
      <c r="AT185" s="113">
        <f>IF(FEM!$H12+FEM!$H14&gt;0,(Dispers!$J34*FEM!$H12+Dispers!$H34*FEM!$H14)/(FEM!$H12+FEM!$H14),0)</f>
        <v>0</v>
      </c>
      <c r="AU185" s="113">
        <f>IF(FEM!$H12+FEM!$H14&gt;0,(Dispers!$J34*FEM!$H12+Dispers!$H34*FEM!$H14)/(FEM!$H12+FEM!$H14),0)</f>
        <v>0</v>
      </c>
      <c r="AV185" s="113">
        <f>IF(FEM!$H12+FEM!$H14&gt;0,(Dispers!$J34*FEM!$H12+Dispers!$H34*FEM!$H14)/(FEM!$H12+FEM!$H14),0)</f>
        <v>0</v>
      </c>
      <c r="AW185" s="113">
        <f>IF(FEM!$H12+FEM!$H14&gt;0,(Dispers!$J34*FEM!$H12+Dispers!$H34*FEM!$H14)/(FEM!$H12+FEM!$H14),0)</f>
        <v>0</v>
      </c>
      <c r="AX185" s="113">
        <f>IF(FEM!$H12+FEM!$H14&gt;0,(Dispers!$J34*FEM!$H12+Dispers!$H34*FEM!$H14)/(FEM!$H12+FEM!$H14),0)</f>
        <v>0</v>
      </c>
      <c r="AY185" s="113">
        <f>IF(FEM!$H12+FEM!$H14&gt;0,(Dispers!$J34*FEM!$H12+Dispers!$H34*FEM!$H14)/(FEM!$H12+FEM!$H14),0)</f>
        <v>0</v>
      </c>
      <c r="AZ185" s="113">
        <f>IF(FEM!$H12+FEM!$H14&gt;0,(Dispers!$J34*FEM!$H12+Dispers!$H34*FEM!$H14)/(FEM!$H12+FEM!$H14),0)</f>
        <v>0</v>
      </c>
      <c r="BA185" s="113">
        <f>IF(FEM!$H12+FEM!$H14&gt;0,(Dispers!$J34*FEM!$H12+Dispers!$H34*FEM!$H14)/(FEM!$H12+FEM!$H14),0)</f>
        <v>0</v>
      </c>
      <c r="BB185" s="113">
        <f>IF(FEM!$H12+FEM!$H14&gt;0,(Dispers!$J34*FEM!$H12+Dispers!$H34*FEM!$H14)/(FEM!$H12+FEM!$H14),0)</f>
        <v>0</v>
      </c>
      <c r="BC185" s="113">
        <f>IF(FEM!$H12+FEM!$H14&gt;0,(Dispers!$J34*FEM!$H12+Dispers!$H34*FEM!$H14)/(FEM!$H12+FEM!$H14),0)</f>
        <v>0</v>
      </c>
      <c r="BD185" s="113">
        <f>IF(FEM!$H12+FEM!$H14&gt;0,(Dispers!$J34*FEM!$H12+Dispers!$H34*FEM!$H14)/(FEM!$H12+FEM!$H14),0)</f>
        <v>0</v>
      </c>
      <c r="BE185" s="113">
        <f>IF(FEM!$H12+FEM!$H14&gt;0,(Dispers!$J34*FEM!$H12+Dispers!$H34*FEM!$H14)/(FEM!$H12+FEM!$H14),0)</f>
        <v>0</v>
      </c>
      <c r="BF185" s="113">
        <f>IF(FEM!$H12+FEM!$H14&gt;0,(Dispers!$J34*FEM!$H12+Dispers!$H34*FEM!$H14)/(FEM!$H12+FEM!$H14),0)</f>
        <v>0</v>
      </c>
      <c r="BG185" s="113">
        <f>IF(FEM!$H12+FEM!$H14&gt;0,(Dispers!$J34*FEM!$H12+Dispers!$H34*FEM!$H14)/(FEM!$H12+FEM!$H14),0)</f>
        <v>0</v>
      </c>
      <c r="BH185" s="113">
        <f>IF(FEM!$H12+FEM!$H14&gt;0,(Dispers!$J34*FEM!$H12+Dispers!$H34*FEM!$H14)/(FEM!$H12+FEM!$H14),0)</f>
        <v>0</v>
      </c>
      <c r="BI185" s="113">
        <f>IF(FEM!$H12+FEM!$H14&gt;0,(Dispers!$J34*FEM!$H12+Dispers!$H34*FEM!$H14)/(FEM!$H12+FEM!$H14),0)</f>
        <v>0</v>
      </c>
    </row>
    <row r="186" spans="1:61">
      <c r="A186" s="97"/>
      <c r="B186" s="97"/>
      <c r="C186" s="2504"/>
      <c r="D186" s="2505"/>
      <c r="E186" s="3928" t="str">
        <f>E180</f>
        <v>Période chronique</v>
      </c>
      <c r="F186" s="14"/>
      <c r="G186" s="105"/>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row>
    <row r="187" spans="1:61">
      <c r="A187" s="97"/>
      <c r="B187" s="97"/>
      <c r="C187" s="2506"/>
      <c r="D187" s="2505"/>
      <c r="E187" s="3929" t="s">
        <v>1113</v>
      </c>
      <c r="F187" s="96" t="s">
        <v>1115</v>
      </c>
      <c r="G187" s="144" t="s">
        <v>206</v>
      </c>
      <c r="H187" s="135">
        <f>H185*H$172</f>
        <v>0</v>
      </c>
      <c r="I187" s="135">
        <f t="shared" ref="I187:BI187" si="78">I185*I$172</f>
        <v>0</v>
      </c>
      <c r="J187" s="135">
        <f>J185*J$172</f>
        <v>0</v>
      </c>
      <c r="K187" s="135">
        <f t="shared" si="78"/>
        <v>0</v>
      </c>
      <c r="L187" s="135">
        <f t="shared" si="78"/>
        <v>0</v>
      </c>
      <c r="M187" s="135">
        <f t="shared" si="78"/>
        <v>0</v>
      </c>
      <c r="N187" s="135">
        <f>N185*N$172</f>
        <v>0</v>
      </c>
      <c r="O187" s="135">
        <f>O185*O$172</f>
        <v>0</v>
      </c>
      <c r="P187" s="135">
        <f t="shared" si="78"/>
        <v>0</v>
      </c>
      <c r="Q187" s="135">
        <f t="shared" si="78"/>
        <v>0</v>
      </c>
      <c r="R187" s="135">
        <f>R185*R$172</f>
        <v>0</v>
      </c>
      <c r="S187" s="135">
        <f>S185*S$172</f>
        <v>0</v>
      </c>
      <c r="T187" s="135">
        <f>T185*T$172</f>
        <v>0</v>
      </c>
      <c r="U187" s="135">
        <f t="shared" si="78"/>
        <v>0</v>
      </c>
      <c r="V187" s="135">
        <f t="shared" si="78"/>
        <v>0</v>
      </c>
      <c r="W187" s="135">
        <f t="shared" si="78"/>
        <v>0</v>
      </c>
      <c r="X187" s="135">
        <f t="shared" si="78"/>
        <v>0</v>
      </c>
      <c r="Y187" s="135">
        <f t="shared" si="78"/>
        <v>0</v>
      </c>
      <c r="Z187" s="135">
        <f t="shared" si="78"/>
        <v>0</v>
      </c>
      <c r="AA187" s="135">
        <f t="shared" si="78"/>
        <v>0</v>
      </c>
      <c r="AB187" s="135">
        <f t="shared" si="78"/>
        <v>0</v>
      </c>
      <c r="AC187" s="135">
        <f t="shared" si="78"/>
        <v>0</v>
      </c>
      <c r="AD187" s="135">
        <f t="shared" si="78"/>
        <v>0</v>
      </c>
      <c r="AE187" s="135">
        <f t="shared" si="78"/>
        <v>0</v>
      </c>
      <c r="AF187" s="135">
        <f t="shared" si="78"/>
        <v>0</v>
      </c>
      <c r="AG187" s="135">
        <f t="shared" si="78"/>
        <v>0</v>
      </c>
      <c r="AH187" s="135">
        <f t="shared" si="78"/>
        <v>0</v>
      </c>
      <c r="AI187" s="135">
        <f t="shared" si="78"/>
        <v>0</v>
      </c>
      <c r="AJ187" s="135">
        <f t="shared" si="78"/>
        <v>0</v>
      </c>
      <c r="AK187" s="135">
        <f t="shared" si="78"/>
        <v>0</v>
      </c>
      <c r="AL187" s="135">
        <f t="shared" si="78"/>
        <v>0</v>
      </c>
      <c r="AM187" s="135">
        <f t="shared" si="78"/>
        <v>0</v>
      </c>
      <c r="AN187" s="135">
        <f t="shared" si="78"/>
        <v>0</v>
      </c>
      <c r="AO187" s="135">
        <f t="shared" si="78"/>
        <v>0</v>
      </c>
      <c r="AP187" s="135">
        <f t="shared" si="78"/>
        <v>0</v>
      </c>
      <c r="AQ187" s="135">
        <f t="shared" si="78"/>
        <v>0</v>
      </c>
      <c r="AR187" s="135">
        <f t="shared" si="78"/>
        <v>0</v>
      </c>
      <c r="AS187" s="135">
        <f t="shared" si="78"/>
        <v>0</v>
      </c>
      <c r="AT187" s="135">
        <f t="shared" si="78"/>
        <v>0</v>
      </c>
      <c r="AU187" s="135">
        <f t="shared" si="78"/>
        <v>0</v>
      </c>
      <c r="AV187" s="135">
        <f t="shared" si="78"/>
        <v>0</v>
      </c>
      <c r="AW187" s="135">
        <f t="shared" si="78"/>
        <v>0</v>
      </c>
      <c r="AX187" s="135">
        <f t="shared" si="78"/>
        <v>0</v>
      </c>
      <c r="AY187" s="135">
        <f t="shared" si="78"/>
        <v>0</v>
      </c>
      <c r="AZ187" s="135">
        <f t="shared" si="78"/>
        <v>0</v>
      </c>
      <c r="BA187" s="135">
        <f t="shared" si="78"/>
        <v>0</v>
      </c>
      <c r="BB187" s="135">
        <f t="shared" si="78"/>
        <v>0</v>
      </c>
      <c r="BC187" s="135">
        <f t="shared" si="78"/>
        <v>0</v>
      </c>
      <c r="BD187" s="135">
        <f t="shared" si="78"/>
        <v>0</v>
      </c>
      <c r="BE187" s="135">
        <f t="shared" si="78"/>
        <v>0</v>
      </c>
      <c r="BF187" s="135">
        <f t="shared" si="78"/>
        <v>0</v>
      </c>
      <c r="BG187" s="135">
        <f t="shared" si="78"/>
        <v>0</v>
      </c>
      <c r="BH187" s="135">
        <f t="shared" si="78"/>
        <v>0</v>
      </c>
      <c r="BI187" s="135">
        <f t="shared" si="78"/>
        <v>0</v>
      </c>
    </row>
    <row r="188" spans="1:61">
      <c r="A188" s="97"/>
      <c r="B188" s="97"/>
      <c r="C188" s="2504"/>
      <c r="D188" s="2505"/>
      <c r="E188" s="3929" t="s">
        <v>680</v>
      </c>
      <c r="F188" s="62" t="s">
        <v>1116</v>
      </c>
      <c r="G188" s="107" t="s">
        <v>24</v>
      </c>
      <c r="H188" s="113">
        <f>H$25*H187</f>
        <v>0</v>
      </c>
      <c r="I188" s="113">
        <f t="shared" ref="I188:BI188" si="79">I$25*I187</f>
        <v>0</v>
      </c>
      <c r="J188" s="113">
        <f>J$25*J187</f>
        <v>0</v>
      </c>
      <c r="K188" s="113">
        <f t="shared" si="79"/>
        <v>0</v>
      </c>
      <c r="L188" s="113">
        <f t="shared" si="79"/>
        <v>0</v>
      </c>
      <c r="M188" s="113">
        <f t="shared" si="79"/>
        <v>0</v>
      </c>
      <c r="N188" s="113">
        <f>N$25*N187</f>
        <v>0</v>
      </c>
      <c r="O188" s="113">
        <f>O$25*O187</f>
        <v>0</v>
      </c>
      <c r="P188" s="113">
        <f t="shared" si="79"/>
        <v>0</v>
      </c>
      <c r="Q188" s="113">
        <f t="shared" si="79"/>
        <v>0</v>
      </c>
      <c r="R188" s="113">
        <f>R$25*R187</f>
        <v>0</v>
      </c>
      <c r="S188" s="113">
        <f>S$25*S187</f>
        <v>0</v>
      </c>
      <c r="T188" s="113">
        <f>T$25*T187</f>
        <v>0</v>
      </c>
      <c r="U188" s="113">
        <f t="shared" si="79"/>
        <v>0</v>
      </c>
      <c r="V188" s="113">
        <f t="shared" si="79"/>
        <v>0</v>
      </c>
      <c r="W188" s="113">
        <f t="shared" si="79"/>
        <v>0</v>
      </c>
      <c r="X188" s="113">
        <f t="shared" si="79"/>
        <v>0</v>
      </c>
      <c r="Y188" s="113">
        <f t="shared" si="79"/>
        <v>0</v>
      </c>
      <c r="Z188" s="113">
        <f t="shared" si="79"/>
        <v>0</v>
      </c>
      <c r="AA188" s="113">
        <f t="shared" si="79"/>
        <v>0</v>
      </c>
      <c r="AB188" s="113">
        <f t="shared" si="79"/>
        <v>0</v>
      </c>
      <c r="AC188" s="113">
        <f t="shared" si="79"/>
        <v>0</v>
      </c>
      <c r="AD188" s="113">
        <f t="shared" si="79"/>
        <v>0</v>
      </c>
      <c r="AE188" s="113">
        <f t="shared" si="79"/>
        <v>0</v>
      </c>
      <c r="AF188" s="113">
        <f t="shared" si="79"/>
        <v>0</v>
      </c>
      <c r="AG188" s="113">
        <f t="shared" si="79"/>
        <v>0</v>
      </c>
      <c r="AH188" s="113">
        <f t="shared" si="79"/>
        <v>0</v>
      </c>
      <c r="AI188" s="113">
        <f t="shared" si="79"/>
        <v>0</v>
      </c>
      <c r="AJ188" s="113">
        <f t="shared" si="79"/>
        <v>0</v>
      </c>
      <c r="AK188" s="113">
        <f t="shared" si="79"/>
        <v>0</v>
      </c>
      <c r="AL188" s="113">
        <f t="shared" si="79"/>
        <v>0</v>
      </c>
      <c r="AM188" s="113">
        <f t="shared" si="79"/>
        <v>0</v>
      </c>
      <c r="AN188" s="113">
        <f t="shared" si="79"/>
        <v>0</v>
      </c>
      <c r="AO188" s="113">
        <f t="shared" si="79"/>
        <v>0</v>
      </c>
      <c r="AP188" s="113">
        <f t="shared" si="79"/>
        <v>0</v>
      </c>
      <c r="AQ188" s="113">
        <f t="shared" si="79"/>
        <v>0</v>
      </c>
      <c r="AR188" s="113">
        <f t="shared" si="79"/>
        <v>0</v>
      </c>
      <c r="AS188" s="113">
        <f t="shared" si="79"/>
        <v>0</v>
      </c>
      <c r="AT188" s="113">
        <f t="shared" si="79"/>
        <v>0</v>
      </c>
      <c r="AU188" s="113">
        <f t="shared" si="79"/>
        <v>0</v>
      </c>
      <c r="AV188" s="113">
        <f t="shared" si="79"/>
        <v>0</v>
      </c>
      <c r="AW188" s="113">
        <f t="shared" si="79"/>
        <v>0</v>
      </c>
      <c r="AX188" s="113">
        <f t="shared" si="79"/>
        <v>0</v>
      </c>
      <c r="AY188" s="113">
        <f t="shared" si="79"/>
        <v>0</v>
      </c>
      <c r="AZ188" s="113">
        <f t="shared" si="79"/>
        <v>0</v>
      </c>
      <c r="BA188" s="113">
        <f t="shared" si="79"/>
        <v>0</v>
      </c>
      <c r="BB188" s="113">
        <f t="shared" si="79"/>
        <v>0</v>
      </c>
      <c r="BC188" s="113">
        <f t="shared" si="79"/>
        <v>0</v>
      </c>
      <c r="BD188" s="113">
        <f t="shared" si="79"/>
        <v>0</v>
      </c>
      <c r="BE188" s="113">
        <f t="shared" si="79"/>
        <v>0</v>
      </c>
      <c r="BF188" s="113">
        <f t="shared" si="79"/>
        <v>0</v>
      </c>
      <c r="BG188" s="113">
        <f t="shared" si="79"/>
        <v>0</v>
      </c>
      <c r="BH188" s="113">
        <f t="shared" si="79"/>
        <v>0</v>
      </c>
      <c r="BI188" s="113">
        <f t="shared" si="79"/>
        <v>0</v>
      </c>
    </row>
    <row r="189" spans="1:61">
      <c r="A189" s="97"/>
      <c r="B189" s="97"/>
      <c r="C189" s="2504"/>
      <c r="D189" s="2505"/>
      <c r="E189" s="3928" t="str">
        <f>E173</f>
        <v>Période enfant 0-6 ans (effets sans seuil)</v>
      </c>
      <c r="F189" s="62"/>
      <c r="G189" s="107"/>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13"/>
      <c r="AY189" s="113"/>
      <c r="AZ189" s="113"/>
      <c r="BA189" s="113"/>
      <c r="BB189" s="113"/>
      <c r="BC189" s="113"/>
      <c r="BD189" s="113"/>
      <c r="BE189" s="113"/>
      <c r="BF189" s="113"/>
      <c r="BG189" s="113"/>
      <c r="BH189" s="113"/>
      <c r="BI189" s="113"/>
    </row>
    <row r="190" spans="1:61" s="2446" customFormat="1">
      <c r="A190" s="2444"/>
      <c r="B190" s="2444"/>
      <c r="C190" s="2504"/>
      <c r="D190" s="2505"/>
      <c r="E190" s="3940" t="s">
        <v>1113</v>
      </c>
      <c r="F190" s="2449" t="s">
        <v>1115</v>
      </c>
      <c r="G190" s="2450" t="s">
        <v>206</v>
      </c>
      <c r="H190" s="236">
        <f>H185*H$174</f>
        <v>0</v>
      </c>
      <c r="I190" s="236">
        <f t="shared" ref="I190:BI190" si="80">I185*I$174</f>
        <v>0</v>
      </c>
      <c r="J190" s="236">
        <f>J185*J$174</f>
        <v>0</v>
      </c>
      <c r="K190" s="236">
        <f t="shared" si="80"/>
        <v>0</v>
      </c>
      <c r="L190" s="236">
        <f t="shared" si="80"/>
        <v>0</v>
      </c>
      <c r="M190" s="236">
        <f t="shared" si="80"/>
        <v>0</v>
      </c>
      <c r="N190" s="236">
        <f>N185*N$174</f>
        <v>0</v>
      </c>
      <c r="O190" s="236">
        <f>O185*O$174</f>
        <v>0</v>
      </c>
      <c r="P190" s="236">
        <f t="shared" si="80"/>
        <v>0</v>
      </c>
      <c r="Q190" s="236">
        <f t="shared" si="80"/>
        <v>0</v>
      </c>
      <c r="R190" s="236">
        <f>R185*R$174</f>
        <v>0</v>
      </c>
      <c r="S190" s="236">
        <f>S185*S$174</f>
        <v>0</v>
      </c>
      <c r="T190" s="236">
        <f>T185*T$174</f>
        <v>0</v>
      </c>
      <c r="U190" s="236">
        <f t="shared" si="80"/>
        <v>0</v>
      </c>
      <c r="V190" s="236">
        <f t="shared" si="80"/>
        <v>0</v>
      </c>
      <c r="W190" s="236">
        <f t="shared" si="80"/>
        <v>0</v>
      </c>
      <c r="X190" s="236">
        <f t="shared" si="80"/>
        <v>0</v>
      </c>
      <c r="Y190" s="236">
        <f t="shared" si="80"/>
        <v>0</v>
      </c>
      <c r="Z190" s="236">
        <f t="shared" si="80"/>
        <v>0</v>
      </c>
      <c r="AA190" s="236">
        <f t="shared" si="80"/>
        <v>0</v>
      </c>
      <c r="AB190" s="236">
        <f t="shared" si="80"/>
        <v>0</v>
      </c>
      <c r="AC190" s="236">
        <f t="shared" si="80"/>
        <v>0</v>
      </c>
      <c r="AD190" s="236">
        <f t="shared" si="80"/>
        <v>0</v>
      </c>
      <c r="AE190" s="236">
        <f t="shared" si="80"/>
        <v>0</v>
      </c>
      <c r="AF190" s="236">
        <f t="shared" si="80"/>
        <v>0</v>
      </c>
      <c r="AG190" s="236">
        <f t="shared" si="80"/>
        <v>0</v>
      </c>
      <c r="AH190" s="236">
        <f t="shared" si="80"/>
        <v>0</v>
      </c>
      <c r="AI190" s="236">
        <f t="shared" si="80"/>
        <v>0</v>
      </c>
      <c r="AJ190" s="236">
        <f t="shared" si="80"/>
        <v>0</v>
      </c>
      <c r="AK190" s="236">
        <f t="shared" si="80"/>
        <v>0</v>
      </c>
      <c r="AL190" s="236">
        <f t="shared" si="80"/>
        <v>0</v>
      </c>
      <c r="AM190" s="236">
        <f t="shared" si="80"/>
        <v>0</v>
      </c>
      <c r="AN190" s="236">
        <f t="shared" si="80"/>
        <v>0</v>
      </c>
      <c r="AO190" s="236">
        <f t="shared" si="80"/>
        <v>0</v>
      </c>
      <c r="AP190" s="236">
        <f t="shared" si="80"/>
        <v>0</v>
      </c>
      <c r="AQ190" s="236">
        <f t="shared" si="80"/>
        <v>0</v>
      </c>
      <c r="AR190" s="236">
        <f t="shared" si="80"/>
        <v>0</v>
      </c>
      <c r="AS190" s="236">
        <f t="shared" si="80"/>
        <v>0</v>
      </c>
      <c r="AT190" s="236">
        <f t="shared" si="80"/>
        <v>0</v>
      </c>
      <c r="AU190" s="236">
        <f t="shared" si="80"/>
        <v>0</v>
      </c>
      <c r="AV190" s="236">
        <f t="shared" si="80"/>
        <v>0</v>
      </c>
      <c r="AW190" s="236">
        <f t="shared" si="80"/>
        <v>0</v>
      </c>
      <c r="AX190" s="236">
        <f t="shared" si="80"/>
        <v>0</v>
      </c>
      <c r="AY190" s="236">
        <f t="shared" si="80"/>
        <v>0</v>
      </c>
      <c r="AZ190" s="236">
        <f t="shared" si="80"/>
        <v>0</v>
      </c>
      <c r="BA190" s="236">
        <f t="shared" si="80"/>
        <v>0</v>
      </c>
      <c r="BB190" s="236">
        <f t="shared" si="80"/>
        <v>0</v>
      </c>
      <c r="BC190" s="236">
        <f t="shared" si="80"/>
        <v>0</v>
      </c>
      <c r="BD190" s="236">
        <f t="shared" si="80"/>
        <v>0</v>
      </c>
      <c r="BE190" s="236">
        <f t="shared" si="80"/>
        <v>0</v>
      </c>
      <c r="BF190" s="236">
        <f t="shared" si="80"/>
        <v>0</v>
      </c>
      <c r="BG190" s="236">
        <f t="shared" si="80"/>
        <v>0</v>
      </c>
      <c r="BH190" s="236">
        <f t="shared" si="80"/>
        <v>0</v>
      </c>
      <c r="BI190" s="236">
        <f t="shared" si="80"/>
        <v>0</v>
      </c>
    </row>
    <row r="191" spans="1:61" s="26" customFormat="1">
      <c r="A191" s="398"/>
      <c r="B191" s="27"/>
      <c r="C191" s="2504"/>
      <c r="D191" s="2505"/>
      <c r="E191" s="3498"/>
      <c r="F191" s="14"/>
      <c r="G191" s="105"/>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row>
    <row r="192" spans="1:61">
      <c r="A192" s="397"/>
      <c r="B192" s="97"/>
      <c r="C192" s="2504"/>
      <c r="D192" s="2505"/>
      <c r="E192" s="3933" t="s">
        <v>209</v>
      </c>
      <c r="F192" s="62"/>
      <c r="G192" s="107"/>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row>
    <row r="193" spans="1:61">
      <c r="A193" s="397"/>
      <c r="B193" s="97"/>
      <c r="C193" s="2501" t="s">
        <v>589</v>
      </c>
      <c r="D193" s="2505"/>
      <c r="E193" s="3941" t="s">
        <v>1178</v>
      </c>
      <c r="F193" s="18" t="s">
        <v>181</v>
      </c>
      <c r="G193" s="117" t="s">
        <v>182</v>
      </c>
      <c r="H193" s="163">
        <f>FEM!$H$25</f>
        <v>0</v>
      </c>
      <c r="I193" s="163">
        <f>FEM!$H$25</f>
        <v>0</v>
      </c>
      <c r="J193" s="163">
        <f>FEM!$H$25</f>
        <v>0</v>
      </c>
      <c r="K193" s="163">
        <f>FEM!$H$25</f>
        <v>0</v>
      </c>
      <c r="L193" s="163">
        <f>FEM!$H$25</f>
        <v>0</v>
      </c>
      <c r="M193" s="163">
        <f>FEM!$H$25</f>
        <v>0</v>
      </c>
      <c r="N193" s="163">
        <f>FEM!$H$25</f>
        <v>0</v>
      </c>
      <c r="O193" s="163">
        <f>FEM!$H$25</f>
        <v>0</v>
      </c>
      <c r="P193" s="163">
        <f>FEM!$H$25</f>
        <v>0</v>
      </c>
      <c r="Q193" s="163">
        <f>FEM!$H$25</f>
        <v>0</v>
      </c>
      <c r="R193" s="163">
        <f>FEM!$H$25</f>
        <v>0</v>
      </c>
      <c r="S193" s="163">
        <f>FEM!$H$25</f>
        <v>0</v>
      </c>
      <c r="T193" s="163">
        <f>FEM!$H$25</f>
        <v>0</v>
      </c>
      <c r="U193" s="163">
        <f>FEM!$H$25</f>
        <v>0</v>
      </c>
      <c r="V193" s="163">
        <f>FEM!$H$25</f>
        <v>0</v>
      </c>
      <c r="W193" s="163">
        <f>FEM!$H$25</f>
        <v>0</v>
      </c>
      <c r="X193" s="163">
        <f>FEM!$H$25</f>
        <v>0</v>
      </c>
      <c r="Y193" s="163">
        <f>FEM!$H$25</f>
        <v>0</v>
      </c>
      <c r="Z193" s="163">
        <f>FEM!$H$25</f>
        <v>0</v>
      </c>
      <c r="AA193" s="163">
        <f>FEM!$H$25</f>
        <v>0</v>
      </c>
      <c r="AB193" s="163">
        <f>FEM!$H$25</f>
        <v>0</v>
      </c>
      <c r="AC193" s="163">
        <f>FEM!$H$25</f>
        <v>0</v>
      </c>
      <c r="AD193" s="163">
        <f>FEM!$H$25</f>
        <v>0</v>
      </c>
      <c r="AE193" s="163">
        <f>FEM!$H$25</f>
        <v>0</v>
      </c>
      <c r="AF193" s="163">
        <f>FEM!$H$25</f>
        <v>0</v>
      </c>
      <c r="AG193" s="163">
        <f>FEM!$H$25</f>
        <v>0</v>
      </c>
      <c r="AH193" s="163">
        <f>FEM!$H$25</f>
        <v>0</v>
      </c>
      <c r="AI193" s="163">
        <f>FEM!$H$25</f>
        <v>0</v>
      </c>
      <c r="AJ193" s="163">
        <f>FEM!$H$25</f>
        <v>0</v>
      </c>
      <c r="AK193" s="163">
        <f>FEM!$H$25</f>
        <v>0</v>
      </c>
      <c r="AL193" s="163">
        <f>FEM!$H$25</f>
        <v>0</v>
      </c>
      <c r="AM193" s="163">
        <f>FEM!$H$25</f>
        <v>0</v>
      </c>
      <c r="AN193" s="163">
        <f>FEM!$H$25</f>
        <v>0</v>
      </c>
      <c r="AO193" s="163">
        <f>FEM!$H$25</f>
        <v>0</v>
      </c>
      <c r="AP193" s="163">
        <f>FEM!$H$25</f>
        <v>0</v>
      </c>
      <c r="AQ193" s="163">
        <f>FEM!$H$25</f>
        <v>0</v>
      </c>
      <c r="AR193" s="163">
        <f>FEM!$H$25</f>
        <v>0</v>
      </c>
      <c r="AS193" s="163">
        <f>FEM!$H$25</f>
        <v>0</v>
      </c>
      <c r="AT193" s="163">
        <f>FEM!$H$25</f>
        <v>0</v>
      </c>
      <c r="AU193" s="163">
        <f>FEM!$H$25</f>
        <v>0</v>
      </c>
      <c r="AV193" s="163">
        <f>FEM!$H$25</f>
        <v>0</v>
      </c>
      <c r="AW193" s="163">
        <f>FEM!$H$25</f>
        <v>0</v>
      </c>
      <c r="AX193" s="163">
        <f>FEM!$H$25</f>
        <v>0</v>
      </c>
      <c r="AY193" s="163">
        <f>FEM!$H$25</f>
        <v>0</v>
      </c>
      <c r="AZ193" s="163">
        <f>FEM!$H$25</f>
        <v>0</v>
      </c>
      <c r="BA193" s="163">
        <f>FEM!$H$25</f>
        <v>0</v>
      </c>
      <c r="BB193" s="163">
        <f>FEM!$H$25</f>
        <v>0</v>
      </c>
      <c r="BC193" s="163">
        <f>FEM!$H$25</f>
        <v>0</v>
      </c>
      <c r="BD193" s="163">
        <f>FEM!$H$25</f>
        <v>0</v>
      </c>
      <c r="BE193" s="163">
        <f>FEM!$H$25</f>
        <v>0</v>
      </c>
      <c r="BF193" s="163">
        <f>FEM!$H$25</f>
        <v>0</v>
      </c>
      <c r="BG193" s="163">
        <f>FEM!$H$25</f>
        <v>0</v>
      </c>
      <c r="BH193" s="163">
        <f>FEM!$H$25</f>
        <v>0</v>
      </c>
      <c r="BI193" s="163">
        <f>FEM!$H$25</f>
        <v>0</v>
      </c>
    </row>
    <row r="194" spans="1:61" s="41" customFormat="1">
      <c r="A194" s="401"/>
      <c r="B194" s="154"/>
      <c r="C194" s="4114" t="s">
        <v>590</v>
      </c>
      <c r="D194" s="4115"/>
      <c r="E194" s="3941" t="s">
        <v>1160</v>
      </c>
      <c r="F194" s="18" t="s">
        <v>210</v>
      </c>
      <c r="G194" s="117" t="s">
        <v>182</v>
      </c>
      <c r="H194" s="227">
        <f>FEM!$I$25</f>
        <v>0</v>
      </c>
      <c r="I194" s="227">
        <f>FEM!$I$25</f>
        <v>0</v>
      </c>
      <c r="J194" s="227">
        <f>FEM!$I$25</f>
        <v>0</v>
      </c>
      <c r="K194" s="227">
        <f>FEM!$I$25</f>
        <v>0</v>
      </c>
      <c r="L194" s="227">
        <f>FEM!$I$25</f>
        <v>0</v>
      </c>
      <c r="M194" s="227">
        <f>FEM!$I$25</f>
        <v>0</v>
      </c>
      <c r="N194" s="227">
        <f>FEM!$I$25</f>
        <v>0</v>
      </c>
      <c r="O194" s="227">
        <f>FEM!$I$25</f>
        <v>0</v>
      </c>
      <c r="P194" s="227">
        <f>FEM!$I$25</f>
        <v>0</v>
      </c>
      <c r="Q194" s="227">
        <f>FEM!$I$25</f>
        <v>0</v>
      </c>
      <c r="R194" s="227">
        <f>FEM!$I$25</f>
        <v>0</v>
      </c>
      <c r="S194" s="227">
        <f>FEM!$I$25</f>
        <v>0</v>
      </c>
      <c r="T194" s="227">
        <f>FEM!$I$25</f>
        <v>0</v>
      </c>
      <c r="U194" s="227">
        <f>FEM!$I$25</f>
        <v>0</v>
      </c>
      <c r="V194" s="227">
        <f>FEM!$I$25</f>
        <v>0</v>
      </c>
      <c r="W194" s="227">
        <f>FEM!$I$25</f>
        <v>0</v>
      </c>
      <c r="X194" s="227">
        <f>FEM!$I$25</f>
        <v>0</v>
      </c>
      <c r="Y194" s="227">
        <f>FEM!$I$25</f>
        <v>0</v>
      </c>
      <c r="Z194" s="227">
        <f>FEM!$I$25</f>
        <v>0</v>
      </c>
      <c r="AA194" s="227">
        <f>FEM!$I$25</f>
        <v>0</v>
      </c>
      <c r="AB194" s="227">
        <f>FEM!$I$25</f>
        <v>0</v>
      </c>
      <c r="AC194" s="227">
        <f>FEM!$I$25</f>
        <v>0</v>
      </c>
      <c r="AD194" s="227">
        <f>FEM!$I$25</f>
        <v>0</v>
      </c>
      <c r="AE194" s="227">
        <f>FEM!$I$25</f>
        <v>0</v>
      </c>
      <c r="AF194" s="227">
        <f>FEM!$I$25</f>
        <v>0</v>
      </c>
      <c r="AG194" s="227">
        <f>FEM!$I$25</f>
        <v>0</v>
      </c>
      <c r="AH194" s="227">
        <f>FEM!$I$25</f>
        <v>0</v>
      </c>
      <c r="AI194" s="227">
        <f>FEM!$I$25</f>
        <v>0</v>
      </c>
      <c r="AJ194" s="227">
        <f>FEM!$I$25</f>
        <v>0</v>
      </c>
      <c r="AK194" s="227">
        <f>FEM!$I$25</f>
        <v>0</v>
      </c>
      <c r="AL194" s="227">
        <f>FEM!$I$25</f>
        <v>0</v>
      </c>
      <c r="AM194" s="227">
        <f>FEM!$I$25</f>
        <v>0</v>
      </c>
      <c r="AN194" s="227">
        <f>FEM!$I$25</f>
        <v>0</v>
      </c>
      <c r="AO194" s="227">
        <f>FEM!$I$25</f>
        <v>0</v>
      </c>
      <c r="AP194" s="227">
        <f>FEM!$I$25</f>
        <v>0</v>
      </c>
      <c r="AQ194" s="227">
        <f>FEM!$I$25</f>
        <v>0</v>
      </c>
      <c r="AR194" s="227">
        <f>FEM!$I$25</f>
        <v>0</v>
      </c>
      <c r="AS194" s="227">
        <f>FEM!$I$25</f>
        <v>0</v>
      </c>
      <c r="AT194" s="227">
        <f>FEM!$I$25</f>
        <v>0</v>
      </c>
      <c r="AU194" s="227">
        <f>FEM!$I$25</f>
        <v>0</v>
      </c>
      <c r="AV194" s="227">
        <f>FEM!$I$25</f>
        <v>0</v>
      </c>
      <c r="AW194" s="227">
        <f>FEM!$I$25</f>
        <v>0</v>
      </c>
      <c r="AX194" s="227">
        <f>FEM!$I$25</f>
        <v>0</v>
      </c>
      <c r="AY194" s="227">
        <f>FEM!$I$25</f>
        <v>0</v>
      </c>
      <c r="AZ194" s="227">
        <f>FEM!$I$25</f>
        <v>0</v>
      </c>
      <c r="BA194" s="227">
        <f>FEM!$I$25</f>
        <v>0</v>
      </c>
      <c r="BB194" s="227">
        <f>FEM!$I$25</f>
        <v>0</v>
      </c>
      <c r="BC194" s="227">
        <f>FEM!$I$25</f>
        <v>0</v>
      </c>
      <c r="BD194" s="227">
        <f>FEM!$I$25</f>
        <v>0</v>
      </c>
      <c r="BE194" s="227">
        <f>FEM!$I$25</f>
        <v>0</v>
      </c>
      <c r="BF194" s="227">
        <f>FEM!$I$25</f>
        <v>0</v>
      </c>
      <c r="BG194" s="227">
        <f>FEM!$I$25</f>
        <v>0</v>
      </c>
      <c r="BH194" s="227">
        <f>FEM!$I$25</f>
        <v>0</v>
      </c>
      <c r="BI194" s="227">
        <f>FEM!$I$25</f>
        <v>0</v>
      </c>
    </row>
    <row r="195" spans="1:61" s="2464" customFormat="1">
      <c r="A195" s="2461"/>
      <c r="B195" s="2462"/>
      <c r="C195" s="4114"/>
      <c r="D195" s="4115"/>
      <c r="E195" s="3932" t="s">
        <v>1183</v>
      </c>
      <c r="F195" s="2441" t="s">
        <v>1155</v>
      </c>
      <c r="G195" s="2431" t="s">
        <v>1156</v>
      </c>
      <c r="H195" s="2463">
        <f>IF(H$10&gt;0,H193/24/H$10,0)</f>
        <v>0</v>
      </c>
      <c r="I195" s="2463">
        <f t="shared" ref="I195:BI195" si="81">IF(I$10&gt;0,I193/24/I$10,0)</f>
        <v>0</v>
      </c>
      <c r="J195" s="2463">
        <f>IF(J$10&gt;0,J193/24/J$10,0)</f>
        <v>0</v>
      </c>
      <c r="K195" s="2463">
        <f t="shared" si="81"/>
        <v>0</v>
      </c>
      <c r="L195" s="2463">
        <f t="shared" si="81"/>
        <v>0</v>
      </c>
      <c r="M195" s="2463">
        <f t="shared" si="81"/>
        <v>0</v>
      </c>
      <c r="N195" s="2463">
        <f>IF(N$10&gt;0,N193/24/N$10,0)</f>
        <v>0</v>
      </c>
      <c r="O195" s="2463">
        <f>IF(O$10&gt;0,O193/24/O$10,0)</f>
        <v>0</v>
      </c>
      <c r="P195" s="2463">
        <f t="shared" si="81"/>
        <v>0</v>
      </c>
      <c r="Q195" s="2463">
        <f t="shared" si="81"/>
        <v>0</v>
      </c>
      <c r="R195" s="2463">
        <f>IF(R$10&gt;0,R193/24/R$10,0)</f>
        <v>0</v>
      </c>
      <c r="S195" s="2463">
        <f>IF(S$10&gt;0,S193/24/S$10,0)</f>
        <v>0</v>
      </c>
      <c r="T195" s="2463">
        <f>IF(T$10&gt;0,T193/24/T$10,0)</f>
        <v>0</v>
      </c>
      <c r="U195" s="2463">
        <f t="shared" si="81"/>
        <v>0</v>
      </c>
      <c r="V195" s="2463">
        <f t="shared" si="81"/>
        <v>0</v>
      </c>
      <c r="W195" s="2463">
        <f t="shared" si="81"/>
        <v>0</v>
      </c>
      <c r="X195" s="2463">
        <f t="shared" si="81"/>
        <v>0</v>
      </c>
      <c r="Y195" s="2463">
        <f t="shared" si="81"/>
        <v>0</v>
      </c>
      <c r="Z195" s="2463">
        <f t="shared" si="81"/>
        <v>0</v>
      </c>
      <c r="AA195" s="2463">
        <f t="shared" si="81"/>
        <v>0</v>
      </c>
      <c r="AB195" s="2463">
        <f t="shared" si="81"/>
        <v>0</v>
      </c>
      <c r="AC195" s="2463">
        <f t="shared" si="81"/>
        <v>0</v>
      </c>
      <c r="AD195" s="2463">
        <f t="shared" si="81"/>
        <v>0</v>
      </c>
      <c r="AE195" s="2463">
        <f t="shared" si="81"/>
        <v>0</v>
      </c>
      <c r="AF195" s="2463">
        <f t="shared" si="81"/>
        <v>0</v>
      </c>
      <c r="AG195" s="2463">
        <f t="shared" si="81"/>
        <v>0</v>
      </c>
      <c r="AH195" s="2463">
        <f t="shared" si="81"/>
        <v>0</v>
      </c>
      <c r="AI195" s="2463">
        <f t="shared" si="81"/>
        <v>0</v>
      </c>
      <c r="AJ195" s="2463">
        <f t="shared" si="81"/>
        <v>0</v>
      </c>
      <c r="AK195" s="2463">
        <f t="shared" si="81"/>
        <v>0</v>
      </c>
      <c r="AL195" s="2463">
        <f t="shared" si="81"/>
        <v>0</v>
      </c>
      <c r="AM195" s="2463">
        <f t="shared" si="81"/>
        <v>0</v>
      </c>
      <c r="AN195" s="2463">
        <f t="shared" si="81"/>
        <v>0</v>
      </c>
      <c r="AO195" s="2463">
        <f t="shared" si="81"/>
        <v>0</v>
      </c>
      <c r="AP195" s="2463">
        <f t="shared" si="81"/>
        <v>0</v>
      </c>
      <c r="AQ195" s="2463">
        <f t="shared" si="81"/>
        <v>0</v>
      </c>
      <c r="AR195" s="2463">
        <f t="shared" si="81"/>
        <v>0</v>
      </c>
      <c r="AS195" s="2463">
        <f t="shared" si="81"/>
        <v>0</v>
      </c>
      <c r="AT195" s="2463">
        <f t="shared" si="81"/>
        <v>0</v>
      </c>
      <c r="AU195" s="2463">
        <f t="shared" si="81"/>
        <v>0</v>
      </c>
      <c r="AV195" s="2463">
        <f t="shared" si="81"/>
        <v>0</v>
      </c>
      <c r="AW195" s="2463">
        <f t="shared" si="81"/>
        <v>0</v>
      </c>
      <c r="AX195" s="2463">
        <f t="shared" si="81"/>
        <v>0</v>
      </c>
      <c r="AY195" s="2463">
        <f t="shared" si="81"/>
        <v>0</v>
      </c>
      <c r="AZ195" s="2463">
        <f t="shared" si="81"/>
        <v>0</v>
      </c>
      <c r="BA195" s="2463">
        <f t="shared" si="81"/>
        <v>0</v>
      </c>
      <c r="BB195" s="2463">
        <f t="shared" si="81"/>
        <v>0</v>
      </c>
      <c r="BC195" s="2463">
        <f t="shared" si="81"/>
        <v>0</v>
      </c>
      <c r="BD195" s="2463">
        <f t="shared" si="81"/>
        <v>0</v>
      </c>
      <c r="BE195" s="2463">
        <f t="shared" si="81"/>
        <v>0</v>
      </c>
      <c r="BF195" s="2463">
        <f t="shared" si="81"/>
        <v>0</v>
      </c>
      <c r="BG195" s="2463">
        <f t="shared" si="81"/>
        <v>0</v>
      </c>
      <c r="BH195" s="2463">
        <f t="shared" si="81"/>
        <v>0</v>
      </c>
      <c r="BI195" s="2463">
        <f t="shared" si="81"/>
        <v>0</v>
      </c>
    </row>
    <row r="196" spans="1:61" s="2464" customFormat="1">
      <c r="A196" s="2461"/>
      <c r="B196" s="2462"/>
      <c r="C196" s="4114"/>
      <c r="D196" s="4115"/>
      <c r="E196" s="3932" t="s">
        <v>1181</v>
      </c>
      <c r="F196" s="2441" t="s">
        <v>211</v>
      </c>
      <c r="G196" s="2431" t="s">
        <v>212</v>
      </c>
      <c r="H196" s="2442">
        <f t="shared" ref="H196:AM196" si="82">H194/24*H$11</f>
        <v>0</v>
      </c>
      <c r="I196" s="2442">
        <f t="shared" si="82"/>
        <v>0</v>
      </c>
      <c r="J196" s="2442">
        <f t="shared" si="82"/>
        <v>0</v>
      </c>
      <c r="K196" s="2442">
        <f t="shared" si="82"/>
        <v>0</v>
      </c>
      <c r="L196" s="2442">
        <f t="shared" si="82"/>
        <v>0</v>
      </c>
      <c r="M196" s="2442">
        <f t="shared" si="82"/>
        <v>0</v>
      </c>
      <c r="N196" s="2442">
        <f t="shared" si="82"/>
        <v>0</v>
      </c>
      <c r="O196" s="2442">
        <f t="shared" si="82"/>
        <v>0</v>
      </c>
      <c r="P196" s="2442">
        <f t="shared" si="82"/>
        <v>0</v>
      </c>
      <c r="Q196" s="2442">
        <f t="shared" si="82"/>
        <v>0</v>
      </c>
      <c r="R196" s="2442">
        <f t="shared" si="82"/>
        <v>0</v>
      </c>
      <c r="S196" s="2442">
        <f t="shared" si="82"/>
        <v>0</v>
      </c>
      <c r="T196" s="2442">
        <f t="shared" si="82"/>
        <v>0</v>
      </c>
      <c r="U196" s="2442">
        <f t="shared" si="82"/>
        <v>0</v>
      </c>
      <c r="V196" s="2442">
        <f t="shared" si="82"/>
        <v>0</v>
      </c>
      <c r="W196" s="2442">
        <f t="shared" si="82"/>
        <v>0</v>
      </c>
      <c r="X196" s="2442">
        <f t="shared" si="82"/>
        <v>0</v>
      </c>
      <c r="Y196" s="2442">
        <f t="shared" si="82"/>
        <v>0</v>
      </c>
      <c r="Z196" s="2442">
        <f t="shared" si="82"/>
        <v>0</v>
      </c>
      <c r="AA196" s="2442">
        <f t="shared" si="82"/>
        <v>0</v>
      </c>
      <c r="AB196" s="2442">
        <f t="shared" si="82"/>
        <v>0</v>
      </c>
      <c r="AC196" s="2442">
        <f t="shared" si="82"/>
        <v>0</v>
      </c>
      <c r="AD196" s="2442">
        <f t="shared" si="82"/>
        <v>0</v>
      </c>
      <c r="AE196" s="2442">
        <f t="shared" si="82"/>
        <v>0</v>
      </c>
      <c r="AF196" s="2442">
        <f t="shared" si="82"/>
        <v>0</v>
      </c>
      <c r="AG196" s="2442">
        <f t="shared" si="82"/>
        <v>0</v>
      </c>
      <c r="AH196" s="2442">
        <f t="shared" si="82"/>
        <v>0</v>
      </c>
      <c r="AI196" s="2442">
        <f t="shared" si="82"/>
        <v>0</v>
      </c>
      <c r="AJ196" s="2442">
        <f t="shared" si="82"/>
        <v>0</v>
      </c>
      <c r="AK196" s="2442">
        <f t="shared" si="82"/>
        <v>0</v>
      </c>
      <c r="AL196" s="2442">
        <f t="shared" si="82"/>
        <v>0</v>
      </c>
      <c r="AM196" s="2442">
        <f t="shared" si="82"/>
        <v>0</v>
      </c>
      <c r="AN196" s="2442">
        <f t="shared" ref="AN196:BI196" si="83">AN194/24*AN$11</f>
        <v>0</v>
      </c>
      <c r="AO196" s="2442">
        <f t="shared" si="83"/>
        <v>0</v>
      </c>
      <c r="AP196" s="2442">
        <f t="shared" si="83"/>
        <v>0</v>
      </c>
      <c r="AQ196" s="2442">
        <f t="shared" si="83"/>
        <v>0</v>
      </c>
      <c r="AR196" s="2442">
        <f t="shared" si="83"/>
        <v>0</v>
      </c>
      <c r="AS196" s="2442">
        <f t="shared" si="83"/>
        <v>0</v>
      </c>
      <c r="AT196" s="2442">
        <f t="shared" si="83"/>
        <v>0</v>
      </c>
      <c r="AU196" s="2442">
        <f t="shared" si="83"/>
        <v>0</v>
      </c>
      <c r="AV196" s="2442">
        <f t="shared" si="83"/>
        <v>0</v>
      </c>
      <c r="AW196" s="2442">
        <f t="shared" si="83"/>
        <v>0</v>
      </c>
      <c r="AX196" s="2442">
        <f t="shared" si="83"/>
        <v>0</v>
      </c>
      <c r="AY196" s="2442">
        <f t="shared" si="83"/>
        <v>0</v>
      </c>
      <c r="AZ196" s="2442">
        <f t="shared" si="83"/>
        <v>0</v>
      </c>
      <c r="BA196" s="2442">
        <f t="shared" si="83"/>
        <v>0</v>
      </c>
      <c r="BB196" s="2442">
        <f t="shared" si="83"/>
        <v>0</v>
      </c>
      <c r="BC196" s="2442">
        <f t="shared" si="83"/>
        <v>0</v>
      </c>
      <c r="BD196" s="2442">
        <f t="shared" si="83"/>
        <v>0</v>
      </c>
      <c r="BE196" s="2442">
        <f t="shared" si="83"/>
        <v>0</v>
      </c>
      <c r="BF196" s="2442">
        <f t="shared" si="83"/>
        <v>0</v>
      </c>
      <c r="BG196" s="2442">
        <f t="shared" si="83"/>
        <v>0</v>
      </c>
      <c r="BH196" s="2442">
        <f t="shared" si="83"/>
        <v>0</v>
      </c>
      <c r="BI196" s="2442">
        <f t="shared" si="83"/>
        <v>0</v>
      </c>
    </row>
    <row r="197" spans="1:61" s="2476" customFormat="1">
      <c r="A197" s="2461"/>
      <c r="B197" s="2462"/>
      <c r="C197" s="4114"/>
      <c r="D197" s="4115"/>
      <c r="E197" s="3932" t="s">
        <v>1184</v>
      </c>
      <c r="F197" s="2465" t="s">
        <v>1158</v>
      </c>
      <c r="G197" s="2431" t="s">
        <v>1157</v>
      </c>
      <c r="H197" s="2442">
        <f>H187*H195</f>
        <v>0</v>
      </c>
      <c r="I197" s="2442">
        <f t="shared" ref="I197:BI197" si="84">I187*I195</f>
        <v>0</v>
      </c>
      <c r="J197" s="2442">
        <f>J187*J195</f>
        <v>0</v>
      </c>
      <c r="K197" s="2442">
        <f t="shared" si="84"/>
        <v>0</v>
      </c>
      <c r="L197" s="2442">
        <f t="shared" si="84"/>
        <v>0</v>
      </c>
      <c r="M197" s="2442">
        <f t="shared" si="84"/>
        <v>0</v>
      </c>
      <c r="N197" s="2442">
        <f>N187*N195</f>
        <v>0</v>
      </c>
      <c r="O197" s="2442">
        <f>O187*O195</f>
        <v>0</v>
      </c>
      <c r="P197" s="2442">
        <f t="shared" si="84"/>
        <v>0</v>
      </c>
      <c r="Q197" s="2442">
        <f t="shared" si="84"/>
        <v>0</v>
      </c>
      <c r="R197" s="2442">
        <f>R187*R195</f>
        <v>0</v>
      </c>
      <c r="S197" s="2442">
        <f>S187*S195</f>
        <v>0</v>
      </c>
      <c r="T197" s="2442">
        <f>T187*T195</f>
        <v>0</v>
      </c>
      <c r="U197" s="2442">
        <f t="shared" si="84"/>
        <v>0</v>
      </c>
      <c r="V197" s="2442">
        <f t="shared" si="84"/>
        <v>0</v>
      </c>
      <c r="W197" s="2442">
        <f t="shared" si="84"/>
        <v>0</v>
      </c>
      <c r="X197" s="2442">
        <f t="shared" si="84"/>
        <v>0</v>
      </c>
      <c r="Y197" s="2442">
        <f t="shared" si="84"/>
        <v>0</v>
      </c>
      <c r="Z197" s="2442">
        <f t="shared" si="84"/>
        <v>0</v>
      </c>
      <c r="AA197" s="2442">
        <f t="shared" si="84"/>
        <v>0</v>
      </c>
      <c r="AB197" s="2442">
        <f t="shared" si="84"/>
        <v>0</v>
      </c>
      <c r="AC197" s="2442">
        <f t="shared" si="84"/>
        <v>0</v>
      </c>
      <c r="AD197" s="2442">
        <f t="shared" si="84"/>
        <v>0</v>
      </c>
      <c r="AE197" s="2442">
        <f t="shared" si="84"/>
        <v>0</v>
      </c>
      <c r="AF197" s="2442">
        <f t="shared" si="84"/>
        <v>0</v>
      </c>
      <c r="AG197" s="2442">
        <f t="shared" si="84"/>
        <v>0</v>
      </c>
      <c r="AH197" s="2442">
        <f t="shared" si="84"/>
        <v>0</v>
      </c>
      <c r="AI197" s="2442">
        <f t="shared" si="84"/>
        <v>0</v>
      </c>
      <c r="AJ197" s="2442">
        <f t="shared" si="84"/>
        <v>0</v>
      </c>
      <c r="AK197" s="2442">
        <f t="shared" si="84"/>
        <v>0</v>
      </c>
      <c r="AL197" s="2442">
        <f t="shared" si="84"/>
        <v>0</v>
      </c>
      <c r="AM197" s="2442">
        <f t="shared" si="84"/>
        <v>0</v>
      </c>
      <c r="AN197" s="2442">
        <f t="shared" si="84"/>
        <v>0</v>
      </c>
      <c r="AO197" s="2442">
        <f t="shared" si="84"/>
        <v>0</v>
      </c>
      <c r="AP197" s="2442">
        <f t="shared" si="84"/>
        <v>0</v>
      </c>
      <c r="AQ197" s="2442">
        <f t="shared" si="84"/>
        <v>0</v>
      </c>
      <c r="AR197" s="2442">
        <f t="shared" si="84"/>
        <v>0</v>
      </c>
      <c r="AS197" s="2442">
        <f t="shared" si="84"/>
        <v>0</v>
      </c>
      <c r="AT197" s="2442">
        <f t="shared" si="84"/>
        <v>0</v>
      </c>
      <c r="AU197" s="2442">
        <f t="shared" si="84"/>
        <v>0</v>
      </c>
      <c r="AV197" s="2442">
        <f t="shared" si="84"/>
        <v>0</v>
      </c>
      <c r="AW197" s="2442">
        <f t="shared" si="84"/>
        <v>0</v>
      </c>
      <c r="AX197" s="2442">
        <f t="shared" si="84"/>
        <v>0</v>
      </c>
      <c r="AY197" s="2442">
        <f t="shared" si="84"/>
        <v>0</v>
      </c>
      <c r="AZ197" s="2442">
        <f t="shared" si="84"/>
        <v>0</v>
      </c>
      <c r="BA197" s="2442">
        <f t="shared" si="84"/>
        <v>0</v>
      </c>
      <c r="BB197" s="2442">
        <f t="shared" si="84"/>
        <v>0</v>
      </c>
      <c r="BC197" s="2442">
        <f t="shared" si="84"/>
        <v>0</v>
      </c>
      <c r="BD197" s="2442">
        <f t="shared" si="84"/>
        <v>0</v>
      </c>
      <c r="BE197" s="2442">
        <f t="shared" si="84"/>
        <v>0</v>
      </c>
      <c r="BF197" s="2442">
        <f t="shared" si="84"/>
        <v>0</v>
      </c>
      <c r="BG197" s="2442">
        <f t="shared" si="84"/>
        <v>0</v>
      </c>
      <c r="BH197" s="2442">
        <f t="shared" si="84"/>
        <v>0</v>
      </c>
      <c r="BI197" s="2442">
        <f t="shared" si="84"/>
        <v>0</v>
      </c>
    </row>
    <row r="198" spans="1:61" s="2476" customFormat="1">
      <c r="A198" s="2461"/>
      <c r="B198" s="2462"/>
      <c r="C198" s="4114"/>
      <c r="D198" s="4115"/>
      <c r="E198" s="3932" t="s">
        <v>1182</v>
      </c>
      <c r="F198" s="2465" t="s">
        <v>233</v>
      </c>
      <c r="G198" s="2431" t="s">
        <v>234</v>
      </c>
      <c r="H198" s="2442">
        <f>H190*H196</f>
        <v>0</v>
      </c>
      <c r="I198" s="2442">
        <f t="shared" ref="I198:BI198" si="85">I190*I196</f>
        <v>0</v>
      </c>
      <c r="J198" s="2442">
        <f>J190*J196</f>
        <v>0</v>
      </c>
      <c r="K198" s="2442">
        <f t="shared" si="85"/>
        <v>0</v>
      </c>
      <c r="L198" s="2442">
        <f t="shared" si="85"/>
        <v>0</v>
      </c>
      <c r="M198" s="2442">
        <f t="shared" si="85"/>
        <v>0</v>
      </c>
      <c r="N198" s="2442">
        <f>N190*N196</f>
        <v>0</v>
      </c>
      <c r="O198" s="2442">
        <f>O190*O196</f>
        <v>0</v>
      </c>
      <c r="P198" s="2442">
        <f t="shared" si="85"/>
        <v>0</v>
      </c>
      <c r="Q198" s="2442">
        <f t="shared" si="85"/>
        <v>0</v>
      </c>
      <c r="R198" s="2442">
        <f>R190*R196</f>
        <v>0</v>
      </c>
      <c r="S198" s="2442">
        <f>S190*S196</f>
        <v>0</v>
      </c>
      <c r="T198" s="2442">
        <f>T190*T196</f>
        <v>0</v>
      </c>
      <c r="U198" s="2442">
        <f t="shared" si="85"/>
        <v>0</v>
      </c>
      <c r="V198" s="2442">
        <f t="shared" si="85"/>
        <v>0</v>
      </c>
      <c r="W198" s="2442">
        <f t="shared" si="85"/>
        <v>0</v>
      </c>
      <c r="X198" s="2442">
        <f t="shared" si="85"/>
        <v>0</v>
      </c>
      <c r="Y198" s="2442">
        <f t="shared" si="85"/>
        <v>0</v>
      </c>
      <c r="Z198" s="2442">
        <f t="shared" si="85"/>
        <v>0</v>
      </c>
      <c r="AA198" s="2442">
        <f t="shared" si="85"/>
        <v>0</v>
      </c>
      <c r="AB198" s="2442">
        <f t="shared" si="85"/>
        <v>0</v>
      </c>
      <c r="AC198" s="2442">
        <f t="shared" si="85"/>
        <v>0</v>
      </c>
      <c r="AD198" s="2442">
        <f t="shared" si="85"/>
        <v>0</v>
      </c>
      <c r="AE198" s="2442">
        <f t="shared" si="85"/>
        <v>0</v>
      </c>
      <c r="AF198" s="2442">
        <f t="shared" si="85"/>
        <v>0</v>
      </c>
      <c r="AG198" s="2442">
        <f t="shared" si="85"/>
        <v>0</v>
      </c>
      <c r="AH198" s="2442">
        <f t="shared" si="85"/>
        <v>0</v>
      </c>
      <c r="AI198" s="2442">
        <f t="shared" si="85"/>
        <v>0</v>
      </c>
      <c r="AJ198" s="2442">
        <f t="shared" si="85"/>
        <v>0</v>
      </c>
      <c r="AK198" s="2442">
        <f t="shared" si="85"/>
        <v>0</v>
      </c>
      <c r="AL198" s="2442">
        <f t="shared" si="85"/>
        <v>0</v>
      </c>
      <c r="AM198" s="2442">
        <f t="shared" si="85"/>
        <v>0</v>
      </c>
      <c r="AN198" s="2442">
        <f t="shared" si="85"/>
        <v>0</v>
      </c>
      <c r="AO198" s="2442">
        <f t="shared" si="85"/>
        <v>0</v>
      </c>
      <c r="AP198" s="2442">
        <f t="shared" si="85"/>
        <v>0</v>
      </c>
      <c r="AQ198" s="2442">
        <f t="shared" si="85"/>
        <v>0</v>
      </c>
      <c r="AR198" s="2442">
        <f t="shared" si="85"/>
        <v>0</v>
      </c>
      <c r="AS198" s="2442">
        <f t="shared" si="85"/>
        <v>0</v>
      </c>
      <c r="AT198" s="2442">
        <f t="shared" si="85"/>
        <v>0</v>
      </c>
      <c r="AU198" s="2442">
        <f t="shared" si="85"/>
        <v>0</v>
      </c>
      <c r="AV198" s="2442">
        <f t="shared" si="85"/>
        <v>0</v>
      </c>
      <c r="AW198" s="2442">
        <f t="shared" si="85"/>
        <v>0</v>
      </c>
      <c r="AX198" s="2442">
        <f t="shared" si="85"/>
        <v>0</v>
      </c>
      <c r="AY198" s="2442">
        <f t="shared" si="85"/>
        <v>0</v>
      </c>
      <c r="AZ198" s="2442">
        <f t="shared" si="85"/>
        <v>0</v>
      </c>
      <c r="BA198" s="2442">
        <f t="shared" si="85"/>
        <v>0</v>
      </c>
      <c r="BB198" s="2442">
        <f t="shared" si="85"/>
        <v>0</v>
      </c>
      <c r="BC198" s="2442">
        <f t="shared" si="85"/>
        <v>0</v>
      </c>
      <c r="BD198" s="2442">
        <f t="shared" si="85"/>
        <v>0</v>
      </c>
      <c r="BE198" s="2442">
        <f t="shared" si="85"/>
        <v>0</v>
      </c>
      <c r="BF198" s="2442">
        <f t="shared" si="85"/>
        <v>0</v>
      </c>
      <c r="BG198" s="2442">
        <f t="shared" si="85"/>
        <v>0</v>
      </c>
      <c r="BH198" s="2442">
        <f t="shared" si="85"/>
        <v>0</v>
      </c>
      <c r="BI198" s="2442">
        <f t="shared" si="85"/>
        <v>0</v>
      </c>
    </row>
    <row r="199" spans="1:61" s="2476" customFormat="1">
      <c r="A199" s="2461"/>
      <c r="B199" s="2462"/>
      <c r="C199" s="4114"/>
      <c r="D199" s="4115"/>
      <c r="E199" s="3939" t="s">
        <v>988</v>
      </c>
      <c r="F199" s="2466" t="s">
        <v>492</v>
      </c>
      <c r="G199" s="2467" t="s">
        <v>492</v>
      </c>
      <c r="H199" s="2442">
        <f>H168*H197</f>
        <v>0</v>
      </c>
      <c r="I199" s="2442">
        <f t="shared" ref="I199:BI199" si="86">I168*I197</f>
        <v>0</v>
      </c>
      <c r="J199" s="2442">
        <f>J168*J197</f>
        <v>0</v>
      </c>
      <c r="K199" s="2442">
        <f t="shared" si="86"/>
        <v>0</v>
      </c>
      <c r="L199" s="2442">
        <f t="shared" si="86"/>
        <v>0</v>
      </c>
      <c r="M199" s="2442">
        <f t="shared" si="86"/>
        <v>0</v>
      </c>
      <c r="N199" s="2442">
        <f>N168*N197</f>
        <v>0</v>
      </c>
      <c r="O199" s="2442">
        <f>O168*O197</f>
        <v>0</v>
      </c>
      <c r="P199" s="2442">
        <f t="shared" si="86"/>
        <v>0</v>
      </c>
      <c r="Q199" s="2442">
        <f t="shared" si="86"/>
        <v>0</v>
      </c>
      <c r="R199" s="2442">
        <f>R168*R197</f>
        <v>0</v>
      </c>
      <c r="S199" s="2442">
        <f>S168*S197</f>
        <v>0</v>
      </c>
      <c r="T199" s="2442">
        <f>T168*T197</f>
        <v>0</v>
      </c>
      <c r="U199" s="2442">
        <f t="shared" si="86"/>
        <v>0</v>
      </c>
      <c r="V199" s="2442">
        <f t="shared" si="86"/>
        <v>0</v>
      </c>
      <c r="W199" s="2442">
        <f t="shared" si="86"/>
        <v>0</v>
      </c>
      <c r="X199" s="2442">
        <f t="shared" si="86"/>
        <v>0</v>
      </c>
      <c r="Y199" s="2442">
        <f t="shared" si="86"/>
        <v>0</v>
      </c>
      <c r="Z199" s="2442">
        <f t="shared" si="86"/>
        <v>0</v>
      </c>
      <c r="AA199" s="2442">
        <f t="shared" si="86"/>
        <v>0</v>
      </c>
      <c r="AB199" s="2442">
        <f t="shared" si="86"/>
        <v>0</v>
      </c>
      <c r="AC199" s="2442">
        <f t="shared" si="86"/>
        <v>0</v>
      </c>
      <c r="AD199" s="2442">
        <f t="shared" si="86"/>
        <v>0</v>
      </c>
      <c r="AE199" s="2442">
        <f t="shared" si="86"/>
        <v>0</v>
      </c>
      <c r="AF199" s="2442">
        <f t="shared" si="86"/>
        <v>0</v>
      </c>
      <c r="AG199" s="2442">
        <f t="shared" si="86"/>
        <v>0</v>
      </c>
      <c r="AH199" s="2442">
        <f t="shared" si="86"/>
        <v>0</v>
      </c>
      <c r="AI199" s="2442">
        <f t="shared" si="86"/>
        <v>0</v>
      </c>
      <c r="AJ199" s="2442">
        <f t="shared" si="86"/>
        <v>0</v>
      </c>
      <c r="AK199" s="2442">
        <f t="shared" si="86"/>
        <v>0</v>
      </c>
      <c r="AL199" s="2442">
        <f t="shared" si="86"/>
        <v>0</v>
      </c>
      <c r="AM199" s="2442">
        <f t="shared" si="86"/>
        <v>0</v>
      </c>
      <c r="AN199" s="2442">
        <f t="shared" si="86"/>
        <v>0</v>
      </c>
      <c r="AO199" s="2442">
        <f t="shared" si="86"/>
        <v>0</v>
      </c>
      <c r="AP199" s="2442">
        <f t="shared" si="86"/>
        <v>0</v>
      </c>
      <c r="AQ199" s="2442">
        <f t="shared" si="86"/>
        <v>0</v>
      </c>
      <c r="AR199" s="2442">
        <f t="shared" si="86"/>
        <v>0</v>
      </c>
      <c r="AS199" s="2442">
        <f t="shared" si="86"/>
        <v>0</v>
      </c>
      <c r="AT199" s="2442">
        <f t="shared" si="86"/>
        <v>0</v>
      </c>
      <c r="AU199" s="2442">
        <f t="shared" si="86"/>
        <v>0</v>
      </c>
      <c r="AV199" s="2442">
        <f t="shared" si="86"/>
        <v>0</v>
      </c>
      <c r="AW199" s="2442">
        <f t="shared" si="86"/>
        <v>0</v>
      </c>
      <c r="AX199" s="2442">
        <f t="shared" si="86"/>
        <v>0</v>
      </c>
      <c r="AY199" s="2442">
        <f t="shared" si="86"/>
        <v>0</v>
      </c>
      <c r="AZ199" s="2442">
        <f t="shared" si="86"/>
        <v>0</v>
      </c>
      <c r="BA199" s="2442">
        <f t="shared" si="86"/>
        <v>0</v>
      </c>
      <c r="BB199" s="2442">
        <f t="shared" si="86"/>
        <v>0</v>
      </c>
      <c r="BC199" s="2442">
        <f t="shared" si="86"/>
        <v>0</v>
      </c>
      <c r="BD199" s="2442">
        <f t="shared" si="86"/>
        <v>0</v>
      </c>
      <c r="BE199" s="2442">
        <f t="shared" si="86"/>
        <v>0</v>
      </c>
      <c r="BF199" s="2442">
        <f t="shared" si="86"/>
        <v>0</v>
      </c>
      <c r="BG199" s="2442">
        <f t="shared" si="86"/>
        <v>0</v>
      </c>
      <c r="BH199" s="2442">
        <f t="shared" si="86"/>
        <v>0</v>
      </c>
      <c r="BI199" s="2442">
        <f t="shared" si="86"/>
        <v>0</v>
      </c>
    </row>
    <row r="200" spans="1:61" s="2530" customFormat="1">
      <c r="A200" s="2527"/>
      <c r="B200" s="2528"/>
      <c r="C200" s="2504"/>
      <c r="D200" s="2505"/>
      <c r="E200" s="3943" t="s">
        <v>991</v>
      </c>
      <c r="F200" s="2468" t="s">
        <v>213</v>
      </c>
      <c r="G200" s="2469" t="s">
        <v>213</v>
      </c>
      <c r="H200" s="2470">
        <f>H168*H198</f>
        <v>0</v>
      </c>
      <c r="I200" s="2470">
        <f t="shared" ref="I200:BI200" si="87">I168*I198</f>
        <v>0</v>
      </c>
      <c r="J200" s="2470">
        <f>J168*J198</f>
        <v>0</v>
      </c>
      <c r="K200" s="2470">
        <f t="shared" si="87"/>
        <v>0</v>
      </c>
      <c r="L200" s="2470">
        <f t="shared" si="87"/>
        <v>0</v>
      </c>
      <c r="M200" s="2470">
        <f t="shared" si="87"/>
        <v>0</v>
      </c>
      <c r="N200" s="2470">
        <f>N168*N198</f>
        <v>0</v>
      </c>
      <c r="O200" s="2470">
        <f>O168*O198</f>
        <v>0</v>
      </c>
      <c r="P200" s="2470">
        <f t="shared" si="87"/>
        <v>0</v>
      </c>
      <c r="Q200" s="2470">
        <f t="shared" si="87"/>
        <v>0</v>
      </c>
      <c r="R200" s="2470">
        <f>R168*R198</f>
        <v>0</v>
      </c>
      <c r="S200" s="2470">
        <f>S168*S198</f>
        <v>0</v>
      </c>
      <c r="T200" s="2470">
        <f>T168*T198</f>
        <v>0</v>
      </c>
      <c r="U200" s="2470">
        <f t="shared" si="87"/>
        <v>0</v>
      </c>
      <c r="V200" s="2470">
        <f t="shared" si="87"/>
        <v>0</v>
      </c>
      <c r="W200" s="2470">
        <f t="shared" si="87"/>
        <v>0</v>
      </c>
      <c r="X200" s="2470">
        <f t="shared" si="87"/>
        <v>0</v>
      </c>
      <c r="Y200" s="2470">
        <f t="shared" si="87"/>
        <v>0</v>
      </c>
      <c r="Z200" s="2470">
        <f t="shared" si="87"/>
        <v>0</v>
      </c>
      <c r="AA200" s="2470">
        <f t="shared" si="87"/>
        <v>0</v>
      </c>
      <c r="AB200" s="2470">
        <f t="shared" si="87"/>
        <v>0</v>
      </c>
      <c r="AC200" s="2470">
        <f t="shared" si="87"/>
        <v>0</v>
      </c>
      <c r="AD200" s="2470">
        <f t="shared" si="87"/>
        <v>0</v>
      </c>
      <c r="AE200" s="2470">
        <f t="shared" si="87"/>
        <v>0</v>
      </c>
      <c r="AF200" s="2470">
        <f t="shared" si="87"/>
        <v>0</v>
      </c>
      <c r="AG200" s="2470">
        <f t="shared" si="87"/>
        <v>0</v>
      </c>
      <c r="AH200" s="2470">
        <f t="shared" si="87"/>
        <v>0</v>
      </c>
      <c r="AI200" s="2470">
        <f t="shared" si="87"/>
        <v>0</v>
      </c>
      <c r="AJ200" s="2470">
        <f t="shared" si="87"/>
        <v>0</v>
      </c>
      <c r="AK200" s="2470">
        <f t="shared" si="87"/>
        <v>0</v>
      </c>
      <c r="AL200" s="2470">
        <f t="shared" si="87"/>
        <v>0</v>
      </c>
      <c r="AM200" s="2470">
        <f t="shared" si="87"/>
        <v>0</v>
      </c>
      <c r="AN200" s="2470">
        <f t="shared" si="87"/>
        <v>0</v>
      </c>
      <c r="AO200" s="2470">
        <f t="shared" si="87"/>
        <v>0</v>
      </c>
      <c r="AP200" s="2470">
        <f t="shared" si="87"/>
        <v>0</v>
      </c>
      <c r="AQ200" s="2470">
        <f t="shared" si="87"/>
        <v>0</v>
      </c>
      <c r="AR200" s="2470">
        <f t="shared" si="87"/>
        <v>0</v>
      </c>
      <c r="AS200" s="2470">
        <f t="shared" si="87"/>
        <v>0</v>
      </c>
      <c r="AT200" s="2470">
        <f t="shared" si="87"/>
        <v>0</v>
      </c>
      <c r="AU200" s="2470">
        <f t="shared" si="87"/>
        <v>0</v>
      </c>
      <c r="AV200" s="2470">
        <f t="shared" si="87"/>
        <v>0</v>
      </c>
      <c r="AW200" s="2470">
        <f t="shared" si="87"/>
        <v>0</v>
      </c>
      <c r="AX200" s="2470">
        <f t="shared" si="87"/>
        <v>0</v>
      </c>
      <c r="AY200" s="2470">
        <f t="shared" si="87"/>
        <v>0</v>
      </c>
      <c r="AZ200" s="2470">
        <f t="shared" si="87"/>
        <v>0</v>
      </c>
      <c r="BA200" s="2470">
        <f t="shared" si="87"/>
        <v>0</v>
      </c>
      <c r="BB200" s="2470">
        <f t="shared" si="87"/>
        <v>0</v>
      </c>
      <c r="BC200" s="2470">
        <f t="shared" si="87"/>
        <v>0</v>
      </c>
      <c r="BD200" s="2470">
        <f t="shared" si="87"/>
        <v>0</v>
      </c>
      <c r="BE200" s="2470">
        <f t="shared" si="87"/>
        <v>0</v>
      </c>
      <c r="BF200" s="2470">
        <f t="shared" si="87"/>
        <v>0</v>
      </c>
      <c r="BG200" s="2470">
        <f t="shared" si="87"/>
        <v>0</v>
      </c>
      <c r="BH200" s="2470">
        <f t="shared" si="87"/>
        <v>0</v>
      </c>
      <c r="BI200" s="2470">
        <f t="shared" si="87"/>
        <v>0</v>
      </c>
    </row>
    <row r="201" spans="1:61">
      <c r="A201" s="397"/>
      <c r="B201" s="97"/>
      <c r="C201" s="2501" t="s">
        <v>591</v>
      </c>
      <c r="D201" s="2505"/>
      <c r="E201" s="3941" t="s">
        <v>1178</v>
      </c>
      <c r="F201" s="18" t="s">
        <v>181</v>
      </c>
      <c r="G201" s="117" t="s">
        <v>182</v>
      </c>
      <c r="H201" s="163">
        <f>FEM!$H$24</f>
        <v>4.8219178082191778</v>
      </c>
      <c r="I201" s="163">
        <f>FEM!$H$24</f>
        <v>4.8219178082191778</v>
      </c>
      <c r="J201" s="163">
        <f>FEM!$H$24</f>
        <v>4.8219178082191778</v>
      </c>
      <c r="K201" s="163">
        <f>FEM!$H$24</f>
        <v>4.8219178082191778</v>
      </c>
      <c r="L201" s="163">
        <f>FEM!$H$24</f>
        <v>4.8219178082191778</v>
      </c>
      <c r="M201" s="163">
        <f>FEM!$H$24</f>
        <v>4.8219178082191778</v>
      </c>
      <c r="N201" s="163">
        <f>FEM!$H$24</f>
        <v>4.8219178082191778</v>
      </c>
      <c r="O201" s="163">
        <f>FEM!$H$24</f>
        <v>4.8219178082191778</v>
      </c>
      <c r="P201" s="163">
        <f>FEM!$H$24</f>
        <v>4.8219178082191778</v>
      </c>
      <c r="Q201" s="163">
        <f>FEM!$H$24</f>
        <v>4.8219178082191778</v>
      </c>
      <c r="R201" s="163">
        <f>FEM!$H$24</f>
        <v>4.8219178082191778</v>
      </c>
      <c r="S201" s="163">
        <f>FEM!$H$24</f>
        <v>4.8219178082191778</v>
      </c>
      <c r="T201" s="163">
        <f>FEM!$H$24</f>
        <v>4.8219178082191778</v>
      </c>
      <c r="U201" s="163">
        <f>FEM!$H$24</f>
        <v>4.8219178082191778</v>
      </c>
      <c r="V201" s="163">
        <f>FEM!$H$24</f>
        <v>4.8219178082191778</v>
      </c>
      <c r="W201" s="163">
        <f>FEM!$H$24</f>
        <v>4.8219178082191778</v>
      </c>
      <c r="X201" s="163">
        <f>FEM!$H$24</f>
        <v>4.8219178082191778</v>
      </c>
      <c r="Y201" s="163">
        <f>FEM!$H$24</f>
        <v>4.8219178082191778</v>
      </c>
      <c r="Z201" s="163">
        <f>FEM!$H$24</f>
        <v>4.8219178082191778</v>
      </c>
      <c r="AA201" s="163">
        <f>FEM!$H$24</f>
        <v>4.8219178082191778</v>
      </c>
      <c r="AB201" s="163">
        <f>FEM!$H$24</f>
        <v>4.8219178082191778</v>
      </c>
      <c r="AC201" s="163">
        <f>FEM!$H$24</f>
        <v>4.8219178082191778</v>
      </c>
      <c r="AD201" s="163">
        <f>FEM!$H$24</f>
        <v>4.8219178082191778</v>
      </c>
      <c r="AE201" s="163">
        <f>FEM!$H$24</f>
        <v>4.8219178082191778</v>
      </c>
      <c r="AF201" s="163">
        <f>FEM!$H$24</f>
        <v>4.8219178082191778</v>
      </c>
      <c r="AG201" s="163">
        <f>FEM!$H$24</f>
        <v>4.8219178082191778</v>
      </c>
      <c r="AH201" s="163">
        <f>FEM!$H$24</f>
        <v>4.8219178082191778</v>
      </c>
      <c r="AI201" s="163">
        <f>FEM!$H$24</f>
        <v>4.8219178082191778</v>
      </c>
      <c r="AJ201" s="163">
        <f>FEM!$H$24</f>
        <v>4.8219178082191778</v>
      </c>
      <c r="AK201" s="163">
        <f>FEM!$H$24</f>
        <v>4.8219178082191778</v>
      </c>
      <c r="AL201" s="163">
        <f>FEM!$H$24</f>
        <v>4.8219178082191778</v>
      </c>
      <c r="AM201" s="163">
        <f>FEM!$H$24</f>
        <v>4.8219178082191778</v>
      </c>
      <c r="AN201" s="163">
        <f>FEM!$H$24</f>
        <v>4.8219178082191778</v>
      </c>
      <c r="AO201" s="163">
        <f>FEM!$H$24</f>
        <v>4.8219178082191778</v>
      </c>
      <c r="AP201" s="163">
        <f>FEM!$H$24</f>
        <v>4.8219178082191778</v>
      </c>
      <c r="AQ201" s="163">
        <f>FEM!$H$24</f>
        <v>4.8219178082191778</v>
      </c>
      <c r="AR201" s="163">
        <f>FEM!$H$24</f>
        <v>4.8219178082191778</v>
      </c>
      <c r="AS201" s="163">
        <f>FEM!$H$24</f>
        <v>4.8219178082191778</v>
      </c>
      <c r="AT201" s="163">
        <f>FEM!$H$24</f>
        <v>4.8219178082191778</v>
      </c>
      <c r="AU201" s="163">
        <f>FEM!$H$24</f>
        <v>4.8219178082191778</v>
      </c>
      <c r="AV201" s="163">
        <f>FEM!$H$24</f>
        <v>4.8219178082191778</v>
      </c>
      <c r="AW201" s="163">
        <f>FEM!$H$24</f>
        <v>4.8219178082191778</v>
      </c>
      <c r="AX201" s="163">
        <f>FEM!$H$24</f>
        <v>4.8219178082191778</v>
      </c>
      <c r="AY201" s="163">
        <f>FEM!$H$24</f>
        <v>4.8219178082191778</v>
      </c>
      <c r="AZ201" s="163">
        <f>FEM!$H$24</f>
        <v>4.8219178082191778</v>
      </c>
      <c r="BA201" s="163">
        <f>FEM!$H$24</f>
        <v>4.8219178082191778</v>
      </c>
      <c r="BB201" s="163">
        <f>FEM!$H$24</f>
        <v>4.8219178082191778</v>
      </c>
      <c r="BC201" s="163">
        <f>FEM!$H$24</f>
        <v>4.8219178082191778</v>
      </c>
      <c r="BD201" s="163">
        <f>FEM!$H$24</f>
        <v>4.8219178082191778</v>
      </c>
      <c r="BE201" s="163">
        <f>FEM!$H$24</f>
        <v>4.8219178082191778</v>
      </c>
      <c r="BF201" s="163">
        <f>FEM!$H$24</f>
        <v>4.8219178082191778</v>
      </c>
      <c r="BG201" s="163">
        <f>FEM!$H$24</f>
        <v>4.8219178082191778</v>
      </c>
      <c r="BH201" s="163">
        <f>FEM!$H$24</f>
        <v>4.8219178082191778</v>
      </c>
      <c r="BI201" s="163">
        <f>FEM!$H$24</f>
        <v>4.8219178082191778</v>
      </c>
    </row>
    <row r="202" spans="1:61">
      <c r="A202" s="397"/>
      <c r="B202" s="97"/>
      <c r="C202" s="4104" t="s">
        <v>588</v>
      </c>
      <c r="D202" s="4105"/>
      <c r="E202" s="3941" t="s">
        <v>1160</v>
      </c>
      <c r="F202" s="18" t="s">
        <v>210</v>
      </c>
      <c r="G202" s="117" t="s">
        <v>182</v>
      </c>
      <c r="H202" s="227">
        <f>FEM!$I$24</f>
        <v>2.755381604696673</v>
      </c>
      <c r="I202" s="227">
        <f>FEM!$I$24</f>
        <v>2.755381604696673</v>
      </c>
      <c r="J202" s="227">
        <f>FEM!$I$24</f>
        <v>2.755381604696673</v>
      </c>
      <c r="K202" s="227">
        <f>FEM!$I$24</f>
        <v>2.755381604696673</v>
      </c>
      <c r="L202" s="227">
        <f>FEM!$I$24</f>
        <v>2.755381604696673</v>
      </c>
      <c r="M202" s="227">
        <f>FEM!$I$24</f>
        <v>2.755381604696673</v>
      </c>
      <c r="N202" s="227">
        <f>FEM!$I$24</f>
        <v>2.755381604696673</v>
      </c>
      <c r="O202" s="227">
        <f>FEM!$I$24</f>
        <v>2.755381604696673</v>
      </c>
      <c r="P202" s="227">
        <f>FEM!$I$24</f>
        <v>2.755381604696673</v>
      </c>
      <c r="Q202" s="227">
        <f>FEM!$I$24</f>
        <v>2.755381604696673</v>
      </c>
      <c r="R202" s="227">
        <f>FEM!$I$24</f>
        <v>2.755381604696673</v>
      </c>
      <c r="S202" s="227">
        <f>FEM!$I$24</f>
        <v>2.755381604696673</v>
      </c>
      <c r="T202" s="227">
        <f>FEM!$I$24</f>
        <v>2.755381604696673</v>
      </c>
      <c r="U202" s="227">
        <f>FEM!$I$24</f>
        <v>2.755381604696673</v>
      </c>
      <c r="V202" s="227">
        <f>FEM!$I$24</f>
        <v>2.755381604696673</v>
      </c>
      <c r="W202" s="227">
        <f>FEM!$I$24</f>
        <v>2.755381604696673</v>
      </c>
      <c r="X202" s="227">
        <f>FEM!$I$24</f>
        <v>2.755381604696673</v>
      </c>
      <c r="Y202" s="227">
        <f>FEM!$I$24</f>
        <v>2.755381604696673</v>
      </c>
      <c r="Z202" s="227">
        <f>FEM!$I$24</f>
        <v>2.755381604696673</v>
      </c>
      <c r="AA202" s="227">
        <f>FEM!$I$24</f>
        <v>2.755381604696673</v>
      </c>
      <c r="AB202" s="227">
        <f>FEM!$I$24</f>
        <v>2.755381604696673</v>
      </c>
      <c r="AC202" s="227">
        <f>FEM!$I$24</f>
        <v>2.755381604696673</v>
      </c>
      <c r="AD202" s="227">
        <f>FEM!$I$24</f>
        <v>2.755381604696673</v>
      </c>
      <c r="AE202" s="227">
        <f>FEM!$I$24</f>
        <v>2.755381604696673</v>
      </c>
      <c r="AF202" s="227">
        <f>FEM!$I$24</f>
        <v>2.755381604696673</v>
      </c>
      <c r="AG202" s="227">
        <f>FEM!$I$24</f>
        <v>2.755381604696673</v>
      </c>
      <c r="AH202" s="227">
        <f>FEM!$I$24</f>
        <v>2.755381604696673</v>
      </c>
      <c r="AI202" s="227">
        <f>FEM!$I$24</f>
        <v>2.755381604696673</v>
      </c>
      <c r="AJ202" s="227">
        <f>FEM!$I$24</f>
        <v>2.755381604696673</v>
      </c>
      <c r="AK202" s="227">
        <f>FEM!$I$24</f>
        <v>2.755381604696673</v>
      </c>
      <c r="AL202" s="227">
        <f>FEM!$I$24</f>
        <v>2.755381604696673</v>
      </c>
      <c r="AM202" s="227">
        <f>FEM!$I$24</f>
        <v>2.755381604696673</v>
      </c>
      <c r="AN202" s="227">
        <f>FEM!$I$24</f>
        <v>2.755381604696673</v>
      </c>
      <c r="AO202" s="227">
        <f>FEM!$I$24</f>
        <v>2.755381604696673</v>
      </c>
      <c r="AP202" s="227">
        <f>FEM!$I$24</f>
        <v>2.755381604696673</v>
      </c>
      <c r="AQ202" s="227">
        <f>FEM!$I$24</f>
        <v>2.755381604696673</v>
      </c>
      <c r="AR202" s="227">
        <f>FEM!$I$24</f>
        <v>2.755381604696673</v>
      </c>
      <c r="AS202" s="227">
        <f>FEM!$I$24</f>
        <v>2.755381604696673</v>
      </c>
      <c r="AT202" s="227">
        <f>FEM!$I$24</f>
        <v>2.755381604696673</v>
      </c>
      <c r="AU202" s="227">
        <f>FEM!$I$24</f>
        <v>2.755381604696673</v>
      </c>
      <c r="AV202" s="227">
        <f>FEM!$I$24</f>
        <v>2.755381604696673</v>
      </c>
      <c r="AW202" s="227">
        <f>FEM!$I$24</f>
        <v>2.755381604696673</v>
      </c>
      <c r="AX202" s="227">
        <f>FEM!$I$24</f>
        <v>2.755381604696673</v>
      </c>
      <c r="AY202" s="227">
        <f>FEM!$I$24</f>
        <v>2.755381604696673</v>
      </c>
      <c r="AZ202" s="227">
        <f>FEM!$I$24</f>
        <v>2.755381604696673</v>
      </c>
      <c r="BA202" s="227">
        <f>FEM!$I$24</f>
        <v>2.755381604696673</v>
      </c>
      <c r="BB202" s="227">
        <f>FEM!$I$24</f>
        <v>2.755381604696673</v>
      </c>
      <c r="BC202" s="227">
        <f>FEM!$I$24</f>
        <v>2.755381604696673</v>
      </c>
      <c r="BD202" s="227">
        <f>FEM!$I$24</f>
        <v>2.755381604696673</v>
      </c>
      <c r="BE202" s="227">
        <f>FEM!$I$24</f>
        <v>2.755381604696673</v>
      </c>
      <c r="BF202" s="227">
        <f>FEM!$I$24</f>
        <v>2.755381604696673</v>
      </c>
      <c r="BG202" s="227">
        <f>FEM!$I$24</f>
        <v>2.755381604696673</v>
      </c>
      <c r="BH202" s="227">
        <f>FEM!$I$24</f>
        <v>2.755381604696673</v>
      </c>
      <c r="BI202" s="227">
        <f>FEM!$I$24</f>
        <v>2.755381604696673</v>
      </c>
    </row>
    <row r="203" spans="1:61" s="2464" customFormat="1">
      <c r="A203" s="2461"/>
      <c r="B203" s="2462"/>
      <c r="C203" s="4104"/>
      <c r="D203" s="4105"/>
      <c r="E203" s="3932" t="s">
        <v>1183</v>
      </c>
      <c r="F203" s="2441" t="s">
        <v>1155</v>
      </c>
      <c r="G203" s="2431" t="s">
        <v>1156</v>
      </c>
      <c r="H203" s="2463">
        <f>IF(H$10&gt;0,H201/24/H$10,0)</f>
        <v>1.004566210045662</v>
      </c>
      <c r="I203" s="2463">
        <f t="shared" ref="I203:BI203" si="88">IF(I$10&gt;0,I201/24/I$10,0)</f>
        <v>1.004566210045662</v>
      </c>
      <c r="J203" s="2463">
        <f>IF(J$10&gt;0,J201/24/J$10,0)</f>
        <v>4.0182648401826483E-2</v>
      </c>
      <c r="K203" s="2463">
        <f t="shared" si="88"/>
        <v>3.5877364644487928</v>
      </c>
      <c r="L203" s="2463">
        <f t="shared" si="88"/>
        <v>3.3485540334855401</v>
      </c>
      <c r="M203" s="2463">
        <f t="shared" si="88"/>
        <v>3.3485540334855401</v>
      </c>
      <c r="N203" s="2463">
        <f>IF(N$10&gt;0,N201/24/N$10,0)</f>
        <v>1.004566210045662</v>
      </c>
      <c r="O203" s="2463">
        <f>IF(O$10&gt;0,O201/24/O$10,0)</f>
        <v>1.004566210045662</v>
      </c>
      <c r="P203" s="2463">
        <f t="shared" si="88"/>
        <v>5.7403783431180679</v>
      </c>
      <c r="Q203" s="2463">
        <f t="shared" si="88"/>
        <v>5.7403783431180679</v>
      </c>
      <c r="R203" s="2463">
        <f>IF(R$10&gt;0,R201/24/R$10,0)</f>
        <v>0.50228310502283102</v>
      </c>
      <c r="S203" s="2463">
        <f>IF(S$10&gt;0,S201/24/S$10,0)</f>
        <v>3.1890990795100382</v>
      </c>
      <c r="T203" s="2463">
        <f>IF(T$10&gt;0,T201/24/T$10,0)</f>
        <v>3.1890990795100382</v>
      </c>
      <c r="U203" s="2463">
        <f t="shared" si="88"/>
        <v>5.287190579187695</v>
      </c>
      <c r="V203" s="2463">
        <f t="shared" si="88"/>
        <v>0.20091324200913241</v>
      </c>
      <c r="W203" s="2463">
        <f t="shared" si="88"/>
        <v>0.20091324200913241</v>
      </c>
      <c r="X203" s="2463">
        <f t="shared" si="88"/>
        <v>20.928462709284624</v>
      </c>
      <c r="Y203" s="2463">
        <f t="shared" si="88"/>
        <v>0.77274323849666304</v>
      </c>
      <c r="Z203" s="2463">
        <f t="shared" si="88"/>
        <v>0.75816317739295247</v>
      </c>
      <c r="AA203" s="2463">
        <f t="shared" si="88"/>
        <v>2.0091324200913241</v>
      </c>
      <c r="AB203" s="2463">
        <f t="shared" si="88"/>
        <v>1.004566210045662</v>
      </c>
      <c r="AC203" s="2463">
        <f t="shared" si="88"/>
        <v>1.004566210045662</v>
      </c>
      <c r="AD203" s="2463">
        <f t="shared" si="88"/>
        <v>1.004566210045662</v>
      </c>
      <c r="AE203" s="2463">
        <f t="shared" si="88"/>
        <v>0</v>
      </c>
      <c r="AF203" s="2463">
        <f t="shared" si="88"/>
        <v>0</v>
      </c>
      <c r="AG203" s="2463">
        <f t="shared" si="88"/>
        <v>1.0919197935278936E-2</v>
      </c>
      <c r="AH203" s="2463">
        <f t="shared" si="88"/>
        <v>1.0919197935278936E-2</v>
      </c>
      <c r="AI203" s="2463">
        <f t="shared" si="88"/>
        <v>0.20091324200913241</v>
      </c>
      <c r="AJ203" s="2463">
        <f t="shared" si="88"/>
        <v>0.20091324200913241</v>
      </c>
      <c r="AK203" s="2463">
        <f t="shared" si="88"/>
        <v>0.20091324200913241</v>
      </c>
      <c r="AL203" s="2463">
        <f t="shared" si="88"/>
        <v>0</v>
      </c>
      <c r="AM203" s="2463">
        <f t="shared" si="88"/>
        <v>0</v>
      </c>
      <c r="AN203" s="2463">
        <f t="shared" si="88"/>
        <v>66.971080669710801</v>
      </c>
      <c r="AO203" s="2463">
        <f t="shared" si="88"/>
        <v>0</v>
      </c>
      <c r="AP203" s="2463">
        <f t="shared" si="88"/>
        <v>0</v>
      </c>
      <c r="AQ203" s="2463">
        <f t="shared" si="88"/>
        <v>0</v>
      </c>
      <c r="AR203" s="2463">
        <f t="shared" si="88"/>
        <v>0</v>
      </c>
      <c r="AS203" s="2463">
        <f t="shared" si="88"/>
        <v>0</v>
      </c>
      <c r="AT203" s="2463">
        <f t="shared" si="88"/>
        <v>0</v>
      </c>
      <c r="AU203" s="2463">
        <f t="shared" si="88"/>
        <v>0</v>
      </c>
      <c r="AV203" s="2463">
        <f t="shared" si="88"/>
        <v>0</v>
      </c>
      <c r="AW203" s="2463">
        <f t="shared" si="88"/>
        <v>0</v>
      </c>
      <c r="AX203" s="2463">
        <f t="shared" si="88"/>
        <v>0</v>
      </c>
      <c r="AY203" s="2463">
        <f t="shared" si="88"/>
        <v>0</v>
      </c>
      <c r="AZ203" s="2463">
        <f t="shared" si="88"/>
        <v>0</v>
      </c>
      <c r="BA203" s="2463">
        <f t="shared" si="88"/>
        <v>0</v>
      </c>
      <c r="BB203" s="2463">
        <f t="shared" si="88"/>
        <v>0</v>
      </c>
      <c r="BC203" s="2463">
        <f t="shared" si="88"/>
        <v>0</v>
      </c>
      <c r="BD203" s="2463">
        <f t="shared" si="88"/>
        <v>10.045662100456621</v>
      </c>
      <c r="BE203" s="2463">
        <f t="shared" si="88"/>
        <v>401.82648401826481</v>
      </c>
      <c r="BF203" s="2463">
        <f t="shared" si="88"/>
        <v>200.9132420091324</v>
      </c>
      <c r="BG203" s="2463">
        <f t="shared" si="88"/>
        <v>6697.10806697108</v>
      </c>
      <c r="BH203" s="2463">
        <f t="shared" si="88"/>
        <v>636.22526636225246</v>
      </c>
      <c r="BI203" s="2463">
        <f t="shared" si="88"/>
        <v>251.14155251141551</v>
      </c>
    </row>
    <row r="204" spans="1:61" s="2464" customFormat="1">
      <c r="A204" s="2461"/>
      <c r="B204" s="2462"/>
      <c r="C204" s="2504"/>
      <c r="D204" s="2505"/>
      <c r="E204" s="3932" t="s">
        <v>1181</v>
      </c>
      <c r="F204" s="2441" t="s">
        <v>211</v>
      </c>
      <c r="G204" s="2431" t="s">
        <v>212</v>
      </c>
      <c r="H204" s="2442">
        <f>H202/24*H$12</f>
        <v>0</v>
      </c>
      <c r="I204" s="2442">
        <f t="shared" ref="I204:BI204" si="89">I202/24*I$12</f>
        <v>0</v>
      </c>
      <c r="J204" s="2442">
        <f>J202/24*J$12</f>
        <v>0</v>
      </c>
      <c r="K204" s="2442">
        <f t="shared" si="89"/>
        <v>1.1480756686236137E-4</v>
      </c>
      <c r="L204" s="2442">
        <f t="shared" si="89"/>
        <v>0</v>
      </c>
      <c r="M204" s="2442">
        <f t="shared" si="89"/>
        <v>0</v>
      </c>
      <c r="N204" s="2442">
        <f>N202/24*N$12</f>
        <v>2.2961513372472275E-4</v>
      </c>
      <c r="O204" s="2442">
        <f>O202/24*O$12</f>
        <v>2.2961513372472275E-4</v>
      </c>
      <c r="P204" s="2442">
        <f t="shared" si="89"/>
        <v>6.7736464448793206E-4</v>
      </c>
      <c r="Q204" s="2442">
        <f t="shared" si="89"/>
        <v>6.7736464448793206E-4</v>
      </c>
      <c r="R204" s="2442">
        <f>R202/24*R$12</f>
        <v>1.1480756686236137E-4</v>
      </c>
      <c r="S204" s="2442">
        <f>S202/24*S$12</f>
        <v>2.6405740378343118E-3</v>
      </c>
      <c r="T204" s="2442">
        <f>T202/24*T$12</f>
        <v>2.6405740378343118E-3</v>
      </c>
      <c r="U204" s="2442">
        <f t="shared" si="89"/>
        <v>4.8219178082191784E-3</v>
      </c>
      <c r="V204" s="2442">
        <f t="shared" si="89"/>
        <v>0</v>
      </c>
      <c r="W204" s="2442">
        <f t="shared" si="89"/>
        <v>0</v>
      </c>
      <c r="X204" s="2442">
        <f t="shared" si="89"/>
        <v>6.8884540117416832E-4</v>
      </c>
      <c r="Y204" s="2442">
        <f t="shared" si="89"/>
        <v>0</v>
      </c>
      <c r="Z204" s="2442">
        <f t="shared" si="89"/>
        <v>2.8701891715590347E-4</v>
      </c>
      <c r="AA204" s="2442">
        <f t="shared" si="89"/>
        <v>0</v>
      </c>
      <c r="AB204" s="2442">
        <f t="shared" si="89"/>
        <v>0</v>
      </c>
      <c r="AC204" s="2442">
        <f t="shared" si="89"/>
        <v>0</v>
      </c>
      <c r="AD204" s="2442">
        <f t="shared" si="89"/>
        <v>0</v>
      </c>
      <c r="AE204" s="2442">
        <f t="shared" si="89"/>
        <v>0</v>
      </c>
      <c r="AF204" s="2442">
        <f t="shared" si="89"/>
        <v>0</v>
      </c>
      <c r="AG204" s="2442">
        <f t="shared" si="89"/>
        <v>0</v>
      </c>
      <c r="AH204" s="2442">
        <f t="shared" si="89"/>
        <v>0</v>
      </c>
      <c r="AI204" s="2442">
        <f t="shared" si="89"/>
        <v>0</v>
      </c>
      <c r="AJ204" s="2442">
        <f t="shared" si="89"/>
        <v>0</v>
      </c>
      <c r="AK204" s="2442">
        <f t="shared" si="89"/>
        <v>0</v>
      </c>
      <c r="AL204" s="2442">
        <f t="shared" si="89"/>
        <v>0</v>
      </c>
      <c r="AM204" s="2442">
        <f t="shared" si="89"/>
        <v>0</v>
      </c>
      <c r="AN204" s="2442">
        <f t="shared" si="89"/>
        <v>3.9034572733202869E-3</v>
      </c>
      <c r="AO204" s="2442">
        <f t="shared" si="89"/>
        <v>1.2628832354859751E-4</v>
      </c>
      <c r="AP204" s="2442">
        <f t="shared" si="89"/>
        <v>1.2628832354859751E-4</v>
      </c>
      <c r="AQ204" s="2442">
        <f t="shared" si="89"/>
        <v>1.2628832354859751E-4</v>
      </c>
      <c r="AR204" s="2442">
        <f t="shared" si="89"/>
        <v>1.2628832354859751E-4</v>
      </c>
      <c r="AS204" s="2442">
        <f t="shared" si="89"/>
        <v>1.2628832354859754E-3</v>
      </c>
      <c r="AT204" s="2442">
        <f t="shared" si="89"/>
        <v>1.2628832354859751E-4</v>
      </c>
      <c r="AU204" s="2442">
        <f t="shared" si="89"/>
        <v>1.2628832354859751E-4</v>
      </c>
      <c r="AV204" s="2442">
        <f t="shared" si="89"/>
        <v>1.2628832354859752E-2</v>
      </c>
      <c r="AW204" s="2442">
        <f t="shared" si="89"/>
        <v>1.2628832354859754E-3</v>
      </c>
      <c r="AX204" s="2442">
        <f t="shared" si="89"/>
        <v>1.2628832354859752E-2</v>
      </c>
      <c r="AY204" s="2442">
        <f t="shared" si="89"/>
        <v>1.2628832354859752E-2</v>
      </c>
      <c r="AZ204" s="2442">
        <f t="shared" si="89"/>
        <v>0.12628832354859754</v>
      </c>
      <c r="BA204" s="2442">
        <f t="shared" si="89"/>
        <v>0.12628832354859754</v>
      </c>
      <c r="BB204" s="2442">
        <f t="shared" si="89"/>
        <v>1.2628832354859754E-3</v>
      </c>
      <c r="BC204" s="2442">
        <f t="shared" si="89"/>
        <v>1.2628832354859752E-2</v>
      </c>
      <c r="BD204" s="2442">
        <f t="shared" si="89"/>
        <v>0</v>
      </c>
      <c r="BE204" s="2442">
        <f t="shared" si="89"/>
        <v>2.5257664709719505E-2</v>
      </c>
      <c r="BF204" s="2442">
        <f t="shared" si="89"/>
        <v>1.2628832354859752E-2</v>
      </c>
      <c r="BG204" s="2442">
        <f t="shared" si="89"/>
        <v>0</v>
      </c>
      <c r="BH204" s="2442">
        <f t="shared" si="89"/>
        <v>0</v>
      </c>
      <c r="BI204" s="2442">
        <f t="shared" si="89"/>
        <v>0</v>
      </c>
    </row>
    <row r="205" spans="1:61" s="2464" customFormat="1">
      <c r="A205" s="2461"/>
      <c r="B205" s="2462"/>
      <c r="C205" s="2504"/>
      <c r="D205" s="2505"/>
      <c r="E205" s="3932" t="s">
        <v>1184</v>
      </c>
      <c r="F205" s="2465" t="s">
        <v>1158</v>
      </c>
      <c r="G205" s="2431" t="s">
        <v>1157</v>
      </c>
      <c r="H205" s="2442">
        <f>H181*H203</f>
        <v>2.1249112313869733E-2</v>
      </c>
      <c r="I205" s="2442">
        <f t="shared" ref="I205:BI205" si="90">I181*I203</f>
        <v>2.1249112313869733E-2</v>
      </c>
      <c r="J205" s="2442">
        <f>J181*J203</f>
        <v>3.0382768157264755E-4</v>
      </c>
      <c r="K205" s="2442">
        <f t="shared" si="90"/>
        <v>3.542915573425958E-3</v>
      </c>
      <c r="L205" s="2442">
        <f t="shared" si="90"/>
        <v>1.2017167904593338E-2</v>
      </c>
      <c r="M205" s="2442">
        <f t="shared" si="90"/>
        <v>1.2017167904593338E-2</v>
      </c>
      <c r="N205" s="2442">
        <f>N181*N203</f>
        <v>2.658399286467271E-3</v>
      </c>
      <c r="O205" s="2442">
        <f>O181*O203</f>
        <v>2.658399286467271E-3</v>
      </c>
      <c r="P205" s="2442">
        <f t="shared" si="90"/>
        <v>1.3878735315218379E-2</v>
      </c>
      <c r="Q205" s="2442">
        <f t="shared" si="90"/>
        <v>1.3878735315218379E-2</v>
      </c>
      <c r="R205" s="2442">
        <f>R181*R203</f>
        <v>3.0650271807410381E-3</v>
      </c>
      <c r="S205" s="2442">
        <f>S181*S203</f>
        <v>1.5094696617054986E-2</v>
      </c>
      <c r="T205" s="2442">
        <f>T181*T203</f>
        <v>1.5094696617054986E-2</v>
      </c>
      <c r="U205" s="2442">
        <f t="shared" si="90"/>
        <v>7.3045603462068027E-3</v>
      </c>
      <c r="V205" s="2442">
        <f t="shared" si="90"/>
        <v>1.6958273486783086E-4</v>
      </c>
      <c r="W205" s="2442">
        <f t="shared" si="90"/>
        <v>1.6958273486783086E-4</v>
      </c>
      <c r="X205" s="2442">
        <f t="shared" si="90"/>
        <v>7.2309608578281254E-2</v>
      </c>
      <c r="Y205" s="2442">
        <f t="shared" si="90"/>
        <v>3.039523241900263E-3</v>
      </c>
      <c r="Z205" s="2442">
        <f t="shared" si="90"/>
        <v>3.7106902147243607E-3</v>
      </c>
      <c r="AA205" s="2442">
        <f t="shared" si="90"/>
        <v>4.5380217163558511E-3</v>
      </c>
      <c r="AB205" s="2442">
        <f t="shared" si="90"/>
        <v>3.8658226614772229E-3</v>
      </c>
      <c r="AC205" s="2442">
        <f t="shared" si="90"/>
        <v>8.4101490379127255E-3</v>
      </c>
      <c r="AD205" s="2442">
        <f t="shared" si="90"/>
        <v>1.7707271658991594E-2</v>
      </c>
      <c r="AE205" s="2442">
        <f t="shared" si="90"/>
        <v>0</v>
      </c>
      <c r="AF205" s="2442">
        <f t="shared" si="90"/>
        <v>0</v>
      </c>
      <c r="AG205" s="2442">
        <f t="shared" si="90"/>
        <v>6.7079229733176119E-6</v>
      </c>
      <c r="AH205" s="2442">
        <f t="shared" si="90"/>
        <v>8.9589540264209813E-6</v>
      </c>
      <c r="AI205" s="2442">
        <f t="shared" si="90"/>
        <v>2.8069819879762107E-4</v>
      </c>
      <c r="AJ205" s="2442">
        <f t="shared" si="90"/>
        <v>5.1858909177715528E-4</v>
      </c>
      <c r="AK205" s="2442">
        <f t="shared" si="90"/>
        <v>9.7146897652444103E-4</v>
      </c>
      <c r="AL205" s="2442">
        <f t="shared" si="90"/>
        <v>0</v>
      </c>
      <c r="AM205" s="2442">
        <f t="shared" si="90"/>
        <v>0</v>
      </c>
      <c r="AN205" s="2442">
        <f t="shared" si="90"/>
        <v>0.75691983117417461</v>
      </c>
      <c r="AO205" s="2442">
        <f t="shared" si="90"/>
        <v>0</v>
      </c>
      <c r="AP205" s="2442">
        <f t="shared" si="90"/>
        <v>0</v>
      </c>
      <c r="AQ205" s="2442">
        <f t="shared" si="90"/>
        <v>0</v>
      </c>
      <c r="AR205" s="2442">
        <f t="shared" si="90"/>
        <v>0</v>
      </c>
      <c r="AS205" s="2442">
        <f t="shared" si="90"/>
        <v>0</v>
      </c>
      <c r="AT205" s="2442">
        <f t="shared" si="90"/>
        <v>0</v>
      </c>
      <c r="AU205" s="2442">
        <f t="shared" si="90"/>
        <v>0</v>
      </c>
      <c r="AV205" s="2442">
        <f t="shared" si="90"/>
        <v>0</v>
      </c>
      <c r="AW205" s="2442">
        <f t="shared" si="90"/>
        <v>0</v>
      </c>
      <c r="AX205" s="2442">
        <f t="shared" si="90"/>
        <v>0</v>
      </c>
      <c r="AY205" s="2442">
        <f t="shared" si="90"/>
        <v>0</v>
      </c>
      <c r="AZ205" s="2442">
        <f t="shared" si="90"/>
        <v>0</v>
      </c>
      <c r="BA205" s="2442">
        <f t="shared" si="90"/>
        <v>0</v>
      </c>
      <c r="BB205" s="2442">
        <f t="shared" si="90"/>
        <v>0</v>
      </c>
      <c r="BC205" s="2442">
        <f t="shared" si="90"/>
        <v>0</v>
      </c>
      <c r="BD205" s="2442">
        <f t="shared" si="90"/>
        <v>9.9492459592311633</v>
      </c>
      <c r="BE205" s="2442">
        <f t="shared" si="90"/>
        <v>432.45719641196399</v>
      </c>
      <c r="BF205" s="2442">
        <f t="shared" si="90"/>
        <v>216.228598205982</v>
      </c>
      <c r="BG205" s="2442">
        <f t="shared" si="90"/>
        <v>6.758810528578139</v>
      </c>
      <c r="BH205" s="2442">
        <f t="shared" si="90"/>
        <v>393.03673153973966</v>
      </c>
      <c r="BI205" s="2442">
        <f t="shared" si="90"/>
        <v>18.626405967620418</v>
      </c>
    </row>
    <row r="206" spans="1:61" s="2464" customFormat="1">
      <c r="A206" s="2461"/>
      <c r="B206" s="2462"/>
      <c r="C206" s="2504"/>
      <c r="D206" s="2505"/>
      <c r="E206" s="3932" t="s">
        <v>1182</v>
      </c>
      <c r="F206" s="2465" t="s">
        <v>233</v>
      </c>
      <c r="G206" s="2431" t="s">
        <v>234</v>
      </c>
      <c r="H206" s="2442">
        <f>H183*H204</f>
        <v>0</v>
      </c>
      <c r="I206" s="2442">
        <f t="shared" ref="I206:BI206" si="91">I183*I204</f>
        <v>0</v>
      </c>
      <c r="J206" s="2442">
        <f>J183*J204</f>
        <v>0</v>
      </c>
      <c r="K206" s="2442">
        <f t="shared" si="91"/>
        <v>2.8343324587407663E-9</v>
      </c>
      <c r="L206" s="2442">
        <f t="shared" si="91"/>
        <v>0</v>
      </c>
      <c r="M206" s="2442">
        <f t="shared" si="91"/>
        <v>0</v>
      </c>
      <c r="N206" s="2442">
        <f>N183*N204</f>
        <v>1.5372423500837929E-8</v>
      </c>
      <c r="O206" s="2442">
        <f>O183*O204</f>
        <v>1.5372423500837929E-8</v>
      </c>
      <c r="P206" s="2442">
        <f t="shared" si="91"/>
        <v>4.153791590099162E-8</v>
      </c>
      <c r="Q206" s="2442">
        <f t="shared" si="91"/>
        <v>4.153791590099162E-8</v>
      </c>
      <c r="R206" s="2442">
        <f>R183*R204</f>
        <v>1.7514441032805932E-8</v>
      </c>
      <c r="S206" s="2442">
        <f>S183*S204</f>
        <v>4.2937810701353565E-7</v>
      </c>
      <c r="T206" s="2442">
        <f>T183*T204</f>
        <v>4.2937810701353565E-7</v>
      </c>
      <c r="U206" s="2442">
        <f t="shared" si="91"/>
        <v>1.6654397589351513E-7</v>
      </c>
      <c r="V206" s="2442">
        <f t="shared" si="91"/>
        <v>0</v>
      </c>
      <c r="W206" s="2442">
        <f t="shared" si="91"/>
        <v>0</v>
      </c>
      <c r="X206" s="2442">
        <f t="shared" si="91"/>
        <v>7.5769129395041714E-8</v>
      </c>
      <c r="Y206" s="2442">
        <f t="shared" si="91"/>
        <v>0</v>
      </c>
      <c r="Z206" s="2442">
        <f t="shared" si="91"/>
        <v>7.6918347086782895E-8</v>
      </c>
      <c r="AA206" s="2442">
        <f t="shared" si="91"/>
        <v>0</v>
      </c>
      <c r="AB206" s="2442">
        <f t="shared" si="91"/>
        <v>0</v>
      </c>
      <c r="AC206" s="2442">
        <f t="shared" si="91"/>
        <v>0</v>
      </c>
      <c r="AD206" s="2442">
        <f t="shared" si="91"/>
        <v>0</v>
      </c>
      <c r="AE206" s="2442">
        <f t="shared" si="91"/>
        <v>0</v>
      </c>
      <c r="AF206" s="2442">
        <f t="shared" si="91"/>
        <v>0</v>
      </c>
      <c r="AG206" s="2442">
        <f t="shared" si="91"/>
        <v>0</v>
      </c>
      <c r="AH206" s="2442">
        <f t="shared" si="91"/>
        <v>0</v>
      </c>
      <c r="AI206" s="2442">
        <f t="shared" si="91"/>
        <v>0</v>
      </c>
      <c r="AJ206" s="2442">
        <f t="shared" si="91"/>
        <v>0</v>
      </c>
      <c r="AK206" s="2442">
        <f t="shared" si="91"/>
        <v>0</v>
      </c>
      <c r="AL206" s="2442">
        <f t="shared" si="91"/>
        <v>0</v>
      </c>
      <c r="AM206" s="2442">
        <f t="shared" si="91"/>
        <v>0</v>
      </c>
      <c r="AN206" s="2442">
        <f t="shared" si="91"/>
        <v>1.845572163871543E-5</v>
      </c>
      <c r="AO206" s="2442">
        <f t="shared" si="91"/>
        <v>1.0514026386012198E-6</v>
      </c>
      <c r="AP206" s="2442">
        <f t="shared" si="91"/>
        <v>8.0397736567595209E-7</v>
      </c>
      <c r="AQ206" s="2442">
        <f t="shared" si="91"/>
        <v>1.2235672152423349E-6</v>
      </c>
      <c r="AR206" s="2442">
        <f t="shared" si="91"/>
        <v>2.697803888238624E-6</v>
      </c>
      <c r="AS206" s="2442">
        <f t="shared" si="91"/>
        <v>2.3584875430698883E-5</v>
      </c>
      <c r="AT206" s="2442">
        <f t="shared" si="91"/>
        <v>8.85022290670442E-6</v>
      </c>
      <c r="AU206" s="2442">
        <f t="shared" si="91"/>
        <v>9.1308322088281312E-6</v>
      </c>
      <c r="AV206" s="2442">
        <f t="shared" si="91"/>
        <v>2.281756832005888E-3</v>
      </c>
      <c r="AW206" s="2442">
        <f t="shared" si="91"/>
        <v>2.4266231563413869E-4</v>
      </c>
      <c r="AX206" s="2442">
        <f t="shared" si="91"/>
        <v>4.0045488354423946E-2</v>
      </c>
      <c r="AY206" s="2442">
        <f t="shared" si="91"/>
        <v>4.8339018770798874E-2</v>
      </c>
      <c r="AZ206" s="2442">
        <f t="shared" si="91"/>
        <v>0.68987955980158022</v>
      </c>
      <c r="BA206" s="2442">
        <f t="shared" si="91"/>
        <v>1.93411616253148</v>
      </c>
      <c r="BB206" s="2442">
        <f t="shared" si="91"/>
        <v>1.7718423643005611E-3</v>
      </c>
      <c r="BC206" s="2442">
        <f t="shared" si="91"/>
        <v>35908.855104972608</v>
      </c>
      <c r="BD206" s="2442">
        <f t="shared" si="91"/>
        <v>0</v>
      </c>
      <c r="BE206" s="2442">
        <f t="shared" si="91"/>
        <v>4.2980134408910379E-3</v>
      </c>
      <c r="BF206" s="2442">
        <f t="shared" si="91"/>
        <v>2.149006720445519E-3</v>
      </c>
      <c r="BG206" s="2442">
        <f t="shared" si="91"/>
        <v>0</v>
      </c>
      <c r="BH206" s="2442">
        <f t="shared" si="91"/>
        <v>0</v>
      </c>
      <c r="BI206" s="2442">
        <f t="shared" si="91"/>
        <v>0</v>
      </c>
    </row>
    <row r="207" spans="1:61" s="2464" customFormat="1">
      <c r="A207" s="2461"/>
      <c r="B207" s="2462"/>
      <c r="C207" s="2504"/>
      <c r="D207" s="2505"/>
      <c r="E207" s="3939" t="s">
        <v>988</v>
      </c>
      <c r="F207" s="2466" t="s">
        <v>492</v>
      </c>
      <c r="G207" s="2467" t="s">
        <v>492</v>
      </c>
      <c r="H207" s="2442">
        <f>H168*H205</f>
        <v>5.5980606822286402E-7</v>
      </c>
      <c r="I207" s="2442">
        <f t="shared" ref="I207:BI207" si="92">I168*I205</f>
        <v>5.5980606822286402E-7</v>
      </c>
      <c r="J207" s="2442">
        <f>J168*J205</f>
        <v>5.25459802234641E-8</v>
      </c>
      <c r="K207" s="2442">
        <f t="shared" si="92"/>
        <v>1.3651965237628587E-4</v>
      </c>
      <c r="L207" s="2442">
        <f t="shared" si="92"/>
        <v>8.657634825064793E-5</v>
      </c>
      <c r="M207" s="2442">
        <f t="shared" si="92"/>
        <v>8.657634825064793E-5</v>
      </c>
      <c r="N207" s="2442">
        <f>N168*N205</f>
        <v>3.7774004490167306E-5</v>
      </c>
      <c r="O207" s="2442">
        <f>O168*O205</f>
        <v>3.7774004490167306E-5</v>
      </c>
      <c r="P207" s="2442">
        <f t="shared" si="92"/>
        <v>2.1529917367094667E-4</v>
      </c>
      <c r="Q207" s="2442">
        <f t="shared" si="92"/>
        <v>2.1529917367094667E-4</v>
      </c>
      <c r="R207" s="2442">
        <f>R168*R205</f>
        <v>1.9112751332680024E-5</v>
      </c>
      <c r="S207" s="2442">
        <f>S168*S205</f>
        <v>8.8307479358057392E-5</v>
      </c>
      <c r="T207" s="2442">
        <f>T168*T205</f>
        <v>8.8307479358057392E-5</v>
      </c>
      <c r="U207" s="2442">
        <f t="shared" si="92"/>
        <v>2.0118685613347394E-4</v>
      </c>
      <c r="V207" s="2442">
        <f t="shared" si="92"/>
        <v>7.6451005330720105E-6</v>
      </c>
      <c r="W207" s="2442">
        <f t="shared" si="92"/>
        <v>7.6451005330720105E-6</v>
      </c>
      <c r="X207" s="2442">
        <f t="shared" si="92"/>
        <v>6.2537443660594068E-4</v>
      </c>
      <c r="Y207" s="2442">
        <f t="shared" si="92"/>
        <v>1.8218798899423233E-5</v>
      </c>
      <c r="Z207" s="2442">
        <f t="shared" si="92"/>
        <v>1.3171945507843677E-5</v>
      </c>
      <c r="AA207" s="2442">
        <f t="shared" si="92"/>
        <v>1.0806709800411509E-5</v>
      </c>
      <c r="AB207" s="2442">
        <f t="shared" si="92"/>
        <v>1.0411666814811396E-5</v>
      </c>
      <c r="AC207" s="2442">
        <f t="shared" si="92"/>
        <v>4.419936418387612E-6</v>
      </c>
      <c r="AD207" s="2442">
        <f t="shared" si="92"/>
        <v>1.8214980433380496E-6</v>
      </c>
      <c r="AE207" s="2442">
        <f t="shared" si="92"/>
        <v>0</v>
      </c>
      <c r="AF207" s="2442">
        <f t="shared" si="92"/>
        <v>0</v>
      </c>
      <c r="AG207" s="2442">
        <f t="shared" si="92"/>
        <v>4.1549459418869619E-7</v>
      </c>
      <c r="AH207" s="2442">
        <f t="shared" si="92"/>
        <v>4.1549459418869624E-7</v>
      </c>
      <c r="AI207" s="2442">
        <f t="shared" si="92"/>
        <v>5.2933489277829057E-6</v>
      </c>
      <c r="AJ207" s="2442">
        <f t="shared" si="92"/>
        <v>2.327930229743584E-6</v>
      </c>
      <c r="AK207" s="2442">
        <f t="shared" si="92"/>
        <v>9.9415501996715359E-7</v>
      </c>
      <c r="AL207" s="2442">
        <f t="shared" si="92"/>
        <v>0</v>
      </c>
      <c r="AM207" s="2442">
        <f t="shared" si="92"/>
        <v>0</v>
      </c>
      <c r="AN207" s="2442">
        <f t="shared" si="92"/>
        <v>3.235458729852605E-5</v>
      </c>
      <c r="AO207" s="2442">
        <f t="shared" si="92"/>
        <v>0</v>
      </c>
      <c r="AP207" s="2442">
        <f t="shared" si="92"/>
        <v>0</v>
      </c>
      <c r="AQ207" s="2442">
        <f t="shared" si="92"/>
        <v>0</v>
      </c>
      <c r="AR207" s="2442">
        <f t="shared" si="92"/>
        <v>0</v>
      </c>
      <c r="AS207" s="2442">
        <f t="shared" si="92"/>
        <v>0</v>
      </c>
      <c r="AT207" s="2442">
        <f t="shared" si="92"/>
        <v>0</v>
      </c>
      <c r="AU207" s="2442">
        <f t="shared" si="92"/>
        <v>0</v>
      </c>
      <c r="AV207" s="2442">
        <f t="shared" si="92"/>
        <v>0</v>
      </c>
      <c r="AW207" s="2442">
        <f t="shared" si="92"/>
        <v>0</v>
      </c>
      <c r="AX207" s="2442">
        <f t="shared" si="92"/>
        <v>0</v>
      </c>
      <c r="AY207" s="2442">
        <f t="shared" si="92"/>
        <v>0</v>
      </c>
      <c r="AZ207" s="2442">
        <f t="shared" si="92"/>
        <v>0</v>
      </c>
      <c r="BA207" s="2442">
        <f t="shared" si="92"/>
        <v>0</v>
      </c>
      <c r="BB207" s="2442">
        <f t="shared" si="92"/>
        <v>0</v>
      </c>
      <c r="BC207" s="2442">
        <f t="shared" si="92"/>
        <v>0</v>
      </c>
      <c r="BD207" s="2442">
        <f t="shared" si="92"/>
        <v>9.3072364775308598E-6</v>
      </c>
      <c r="BE207" s="2442">
        <f t="shared" si="92"/>
        <v>8.9789664124981795E-6</v>
      </c>
      <c r="BF207" s="2442">
        <f t="shared" si="92"/>
        <v>4.4894832062490898E-6</v>
      </c>
      <c r="BG207" s="2442">
        <f t="shared" si="92"/>
        <v>0.11467650799608015</v>
      </c>
      <c r="BH207" s="2442">
        <f t="shared" si="92"/>
        <v>4.8892955324413955E-4</v>
      </c>
      <c r="BI207" s="2442">
        <f t="shared" si="92"/>
        <v>1.7928165183679181E-4</v>
      </c>
    </row>
    <row r="208" spans="1:61" s="2529" customFormat="1">
      <c r="A208" s="2527"/>
      <c r="B208" s="2528"/>
      <c r="C208" s="2504"/>
      <c r="D208" s="2505"/>
      <c r="E208" s="3943" t="s">
        <v>991</v>
      </c>
      <c r="F208" s="2468" t="s">
        <v>213</v>
      </c>
      <c r="G208" s="2469" t="s">
        <v>213</v>
      </c>
      <c r="H208" s="2470">
        <f>H168*H206</f>
        <v>0</v>
      </c>
      <c r="I208" s="2470">
        <f t="shared" ref="I208:BI208" si="93">I168*I206</f>
        <v>0</v>
      </c>
      <c r="J208" s="2470">
        <f>J168*J206</f>
        <v>0</v>
      </c>
      <c r="K208" s="2470">
        <f t="shared" si="93"/>
        <v>1.092157219010287E-10</v>
      </c>
      <c r="L208" s="2470">
        <f t="shared" si="93"/>
        <v>0</v>
      </c>
      <c r="M208" s="2470">
        <f t="shared" si="93"/>
        <v>0</v>
      </c>
      <c r="N208" s="2470">
        <f>N168*N206</f>
        <v>2.1843144380205746E-10</v>
      </c>
      <c r="O208" s="2470">
        <f>O168*O206</f>
        <v>2.1843144380205746E-10</v>
      </c>
      <c r="P208" s="2470">
        <f t="shared" si="93"/>
        <v>6.4437275921606947E-10</v>
      </c>
      <c r="Q208" s="2470">
        <f t="shared" si="93"/>
        <v>6.4437275921606947E-10</v>
      </c>
      <c r="R208" s="2470">
        <f>R168*R206</f>
        <v>1.0921572190102872E-10</v>
      </c>
      <c r="S208" s="2470">
        <f>S168*S206</f>
        <v>2.5119616037236608E-9</v>
      </c>
      <c r="T208" s="2470">
        <f>T168*T206</f>
        <v>2.5119616037236608E-9</v>
      </c>
      <c r="U208" s="2470">
        <f t="shared" si="93"/>
        <v>4.5870603198432061E-9</v>
      </c>
      <c r="V208" s="2470">
        <f t="shared" si="93"/>
        <v>0</v>
      </c>
      <c r="W208" s="2470">
        <f t="shared" si="93"/>
        <v>0</v>
      </c>
      <c r="X208" s="2470">
        <f t="shared" si="93"/>
        <v>6.5529433140617227E-10</v>
      </c>
      <c r="Y208" s="2470">
        <f t="shared" si="93"/>
        <v>0</v>
      </c>
      <c r="Z208" s="2470">
        <f t="shared" si="93"/>
        <v>2.730393047525718E-10</v>
      </c>
      <c r="AA208" s="2470">
        <f t="shared" si="93"/>
        <v>0</v>
      </c>
      <c r="AB208" s="2470">
        <f t="shared" si="93"/>
        <v>0</v>
      </c>
      <c r="AC208" s="2470">
        <f t="shared" si="93"/>
        <v>0</v>
      </c>
      <c r="AD208" s="2470">
        <f t="shared" si="93"/>
        <v>0</v>
      </c>
      <c r="AE208" s="2470">
        <f t="shared" si="93"/>
        <v>0</v>
      </c>
      <c r="AF208" s="2470">
        <f t="shared" si="93"/>
        <v>0</v>
      </c>
      <c r="AG208" s="2470">
        <f t="shared" si="93"/>
        <v>0</v>
      </c>
      <c r="AH208" s="2470">
        <f t="shared" si="93"/>
        <v>0</v>
      </c>
      <c r="AI208" s="2470">
        <f t="shared" si="93"/>
        <v>0</v>
      </c>
      <c r="AJ208" s="2470">
        <f t="shared" si="93"/>
        <v>0</v>
      </c>
      <c r="AK208" s="2470">
        <f t="shared" si="93"/>
        <v>0</v>
      </c>
      <c r="AL208" s="2470">
        <f t="shared" si="93"/>
        <v>0</v>
      </c>
      <c r="AM208" s="2470">
        <f t="shared" si="93"/>
        <v>0</v>
      </c>
      <c r="AN208" s="2470">
        <f t="shared" si="93"/>
        <v>7.8889101900107286E-10</v>
      </c>
      <c r="AO208" s="2470">
        <f t="shared" si="93"/>
        <v>1.2274512526608262E-11</v>
      </c>
      <c r="AP208" s="2470">
        <f t="shared" si="93"/>
        <v>1.5702258186868533E-11</v>
      </c>
      <c r="AQ208" s="2470">
        <f t="shared" si="93"/>
        <v>9.6762839306112398E-12</v>
      </c>
      <c r="AR208" s="2470">
        <f t="shared" si="93"/>
        <v>4.2716137986360773E-12</v>
      </c>
      <c r="AS208" s="2470">
        <f t="shared" si="93"/>
        <v>4.8233623824213847E-11</v>
      </c>
      <c r="AT208" s="2470">
        <f t="shared" si="93"/>
        <v>1.3211941311180337E-12</v>
      </c>
      <c r="AU208" s="2470">
        <f t="shared" si="93"/>
        <v>1.3113028114441279E-12</v>
      </c>
      <c r="AV208" s="2470">
        <f t="shared" si="93"/>
        <v>5.2277833118394757E-11</v>
      </c>
      <c r="AW208" s="2470">
        <f t="shared" si="93"/>
        <v>5.3572204362407087E-12</v>
      </c>
      <c r="AX208" s="2470">
        <f t="shared" si="93"/>
        <v>3.1117945319481116E-11</v>
      </c>
      <c r="AY208" s="2470">
        <f t="shared" si="93"/>
        <v>2.5779036244270205E-11</v>
      </c>
      <c r="AZ208" s="2470">
        <f t="shared" si="93"/>
        <v>2.4568410236213396E-10</v>
      </c>
      <c r="BA208" s="2470">
        <f t="shared" si="93"/>
        <v>1.1896093122950798E-10</v>
      </c>
      <c r="BB208" s="2470">
        <f t="shared" si="93"/>
        <v>1.7255246284935201E-12</v>
      </c>
      <c r="BC208" s="2470">
        <f t="shared" si="93"/>
        <v>9.2898679470871165E-12</v>
      </c>
      <c r="BD208" s="2470">
        <f t="shared" si="93"/>
        <v>0</v>
      </c>
      <c r="BE208" s="2470">
        <f t="shared" si="93"/>
        <v>8.923823824974211E-11</v>
      </c>
      <c r="BF208" s="2470">
        <f t="shared" si="93"/>
        <v>4.4619119124871055E-11</v>
      </c>
      <c r="BG208" s="2470">
        <f t="shared" si="93"/>
        <v>0</v>
      </c>
      <c r="BH208" s="2470">
        <f t="shared" si="93"/>
        <v>0</v>
      </c>
      <c r="BI208" s="2470">
        <f t="shared" si="93"/>
        <v>0</v>
      </c>
    </row>
    <row r="209" spans="1:61" s="26" customFormat="1">
      <c r="A209" s="398"/>
      <c r="B209" s="27"/>
      <c r="C209" s="2498"/>
      <c r="D209" s="2499"/>
      <c r="E209" s="3498"/>
      <c r="F209" s="14"/>
      <c r="G209" s="105"/>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row>
    <row r="210" spans="1:61" s="2443" customFormat="1">
      <c r="A210" s="2438"/>
      <c r="B210" s="2439"/>
      <c r="C210" s="4116" t="s">
        <v>586</v>
      </c>
      <c r="D210" s="4117"/>
      <c r="E210" s="3939" t="s">
        <v>988</v>
      </c>
      <c r="F210" s="2466" t="s">
        <v>492</v>
      </c>
      <c r="G210" s="2467" t="s">
        <v>492</v>
      </c>
      <c r="H210" s="2442">
        <f>MAX(H199,H207)</f>
        <v>5.5980606822286402E-7</v>
      </c>
      <c r="I210" s="2442">
        <f t="shared" ref="I210:BI210" si="94">MAX(I199,I207)</f>
        <v>5.5980606822286402E-7</v>
      </c>
      <c r="J210" s="2442">
        <f>MAX(J199,J207)</f>
        <v>5.25459802234641E-8</v>
      </c>
      <c r="K210" s="2442">
        <f t="shared" si="94"/>
        <v>1.3651965237628587E-4</v>
      </c>
      <c r="L210" s="2442">
        <f t="shared" si="94"/>
        <v>8.657634825064793E-5</v>
      </c>
      <c r="M210" s="2442">
        <f t="shared" si="94"/>
        <v>8.657634825064793E-5</v>
      </c>
      <c r="N210" s="2442">
        <f>MAX(N199,N207)</f>
        <v>3.7774004490167306E-5</v>
      </c>
      <c r="O210" s="2442">
        <f>MAX(O199,O207)</f>
        <v>3.7774004490167306E-5</v>
      </c>
      <c r="P210" s="2442">
        <f t="shared" si="94"/>
        <v>2.1529917367094667E-4</v>
      </c>
      <c r="Q210" s="2442">
        <f t="shared" si="94"/>
        <v>2.1529917367094667E-4</v>
      </c>
      <c r="R210" s="2442">
        <f>MAX(R199,R207)</f>
        <v>1.9112751332680024E-5</v>
      </c>
      <c r="S210" s="2442">
        <f>MAX(S199,S207)</f>
        <v>8.8307479358057392E-5</v>
      </c>
      <c r="T210" s="2442">
        <f>MAX(T199,T207)</f>
        <v>8.8307479358057392E-5</v>
      </c>
      <c r="U210" s="2442">
        <f t="shared" si="94"/>
        <v>2.0118685613347394E-4</v>
      </c>
      <c r="V210" s="2442">
        <f t="shared" si="94"/>
        <v>7.6451005330720105E-6</v>
      </c>
      <c r="W210" s="2442">
        <f t="shared" si="94"/>
        <v>7.6451005330720105E-6</v>
      </c>
      <c r="X210" s="2442">
        <f t="shared" si="94"/>
        <v>6.2537443660594068E-4</v>
      </c>
      <c r="Y210" s="2442">
        <f t="shared" si="94"/>
        <v>1.8218798899423233E-5</v>
      </c>
      <c r="Z210" s="2442">
        <f t="shared" si="94"/>
        <v>1.3171945507843677E-5</v>
      </c>
      <c r="AA210" s="2442">
        <f t="shared" si="94"/>
        <v>1.0806709800411509E-5</v>
      </c>
      <c r="AB210" s="2442">
        <f t="shared" si="94"/>
        <v>1.0411666814811396E-5</v>
      </c>
      <c r="AC210" s="2442">
        <f t="shared" si="94"/>
        <v>4.419936418387612E-6</v>
      </c>
      <c r="AD210" s="2442">
        <f t="shared" si="94"/>
        <v>1.8214980433380496E-6</v>
      </c>
      <c r="AE210" s="2442">
        <f t="shared" si="94"/>
        <v>0</v>
      </c>
      <c r="AF210" s="2442">
        <f t="shared" si="94"/>
        <v>0</v>
      </c>
      <c r="AG210" s="2442">
        <f t="shared" si="94"/>
        <v>4.1549459418869619E-7</v>
      </c>
      <c r="AH210" s="2442">
        <f t="shared" si="94"/>
        <v>4.1549459418869624E-7</v>
      </c>
      <c r="AI210" s="2442">
        <f t="shared" si="94"/>
        <v>5.2933489277829057E-6</v>
      </c>
      <c r="AJ210" s="2442">
        <f t="shared" si="94"/>
        <v>2.327930229743584E-6</v>
      </c>
      <c r="AK210" s="2442">
        <f t="shared" si="94"/>
        <v>9.9415501996715359E-7</v>
      </c>
      <c r="AL210" s="2442">
        <f t="shared" si="94"/>
        <v>0</v>
      </c>
      <c r="AM210" s="2442">
        <f t="shared" si="94"/>
        <v>0</v>
      </c>
      <c r="AN210" s="2442">
        <f t="shared" si="94"/>
        <v>3.235458729852605E-5</v>
      </c>
      <c r="AO210" s="2442">
        <f t="shared" si="94"/>
        <v>0</v>
      </c>
      <c r="AP210" s="2442">
        <f t="shared" si="94"/>
        <v>0</v>
      </c>
      <c r="AQ210" s="2442">
        <f t="shared" si="94"/>
        <v>0</v>
      </c>
      <c r="AR210" s="2442">
        <f t="shared" si="94"/>
        <v>0</v>
      </c>
      <c r="AS210" s="2442">
        <f t="shared" si="94"/>
        <v>0</v>
      </c>
      <c r="AT210" s="2442">
        <f t="shared" si="94"/>
        <v>0</v>
      </c>
      <c r="AU210" s="2442">
        <f t="shared" si="94"/>
        <v>0</v>
      </c>
      <c r="AV210" s="2442">
        <f t="shared" si="94"/>
        <v>0</v>
      </c>
      <c r="AW210" s="2442">
        <f t="shared" si="94"/>
        <v>0</v>
      </c>
      <c r="AX210" s="2442">
        <f t="shared" si="94"/>
        <v>0</v>
      </c>
      <c r="AY210" s="2442">
        <f t="shared" si="94"/>
        <v>0</v>
      </c>
      <c r="AZ210" s="2442">
        <f t="shared" si="94"/>
        <v>0</v>
      </c>
      <c r="BA210" s="2442">
        <f t="shared" si="94"/>
        <v>0</v>
      </c>
      <c r="BB210" s="2442">
        <f t="shared" si="94"/>
        <v>0</v>
      </c>
      <c r="BC210" s="2442">
        <f t="shared" si="94"/>
        <v>0</v>
      </c>
      <c r="BD210" s="2442">
        <f t="shared" si="94"/>
        <v>9.3072364775308598E-6</v>
      </c>
      <c r="BE210" s="2442">
        <f t="shared" si="94"/>
        <v>8.9789664124981795E-6</v>
      </c>
      <c r="BF210" s="2442">
        <f t="shared" si="94"/>
        <v>4.4894832062490898E-6</v>
      </c>
      <c r="BG210" s="2442">
        <f t="shared" si="94"/>
        <v>0.11467650799608015</v>
      </c>
      <c r="BH210" s="2442">
        <f t="shared" si="94"/>
        <v>4.8892955324413955E-4</v>
      </c>
      <c r="BI210" s="2442">
        <f t="shared" si="94"/>
        <v>1.7928165183679181E-4</v>
      </c>
    </row>
    <row r="211" spans="1:61" s="2483" customFormat="1">
      <c r="A211" s="2574"/>
      <c r="B211" s="2479"/>
      <c r="C211" s="4116"/>
      <c r="D211" s="4117"/>
      <c r="E211" s="3954" t="s">
        <v>991</v>
      </c>
      <c r="F211" s="2480" t="s">
        <v>213</v>
      </c>
      <c r="G211" s="2481" t="s">
        <v>213</v>
      </c>
      <c r="H211" s="2482">
        <f>H200+H208</f>
        <v>0</v>
      </c>
      <c r="I211" s="2482">
        <f t="shared" ref="I211:BI211" si="95">I200+I208</f>
        <v>0</v>
      </c>
      <c r="J211" s="2482">
        <f>J200+J208</f>
        <v>0</v>
      </c>
      <c r="K211" s="2482">
        <f t="shared" si="95"/>
        <v>1.092157219010287E-10</v>
      </c>
      <c r="L211" s="2482">
        <f t="shared" si="95"/>
        <v>0</v>
      </c>
      <c r="M211" s="2482">
        <f t="shared" si="95"/>
        <v>0</v>
      </c>
      <c r="N211" s="2482">
        <f>N200+N208</f>
        <v>2.1843144380205746E-10</v>
      </c>
      <c r="O211" s="2482">
        <f>O200+O208</f>
        <v>2.1843144380205746E-10</v>
      </c>
      <c r="P211" s="2482">
        <f t="shared" si="95"/>
        <v>6.4437275921606947E-10</v>
      </c>
      <c r="Q211" s="2482">
        <f t="shared" si="95"/>
        <v>6.4437275921606947E-10</v>
      </c>
      <c r="R211" s="2482">
        <f>R200+R208</f>
        <v>1.0921572190102872E-10</v>
      </c>
      <c r="S211" s="2482">
        <f>S200+S208</f>
        <v>2.5119616037236608E-9</v>
      </c>
      <c r="T211" s="2482">
        <f>T200+T208</f>
        <v>2.5119616037236608E-9</v>
      </c>
      <c r="U211" s="2482">
        <f t="shared" si="95"/>
        <v>4.5870603198432061E-9</v>
      </c>
      <c r="V211" s="2482">
        <f t="shared" si="95"/>
        <v>0</v>
      </c>
      <c r="W211" s="2482">
        <f t="shared" si="95"/>
        <v>0</v>
      </c>
      <c r="X211" s="2482">
        <f t="shared" si="95"/>
        <v>6.5529433140617227E-10</v>
      </c>
      <c r="Y211" s="2482">
        <f t="shared" si="95"/>
        <v>0</v>
      </c>
      <c r="Z211" s="2482">
        <f t="shared" si="95"/>
        <v>2.730393047525718E-10</v>
      </c>
      <c r="AA211" s="2482">
        <f t="shared" si="95"/>
        <v>0</v>
      </c>
      <c r="AB211" s="2482">
        <f t="shared" si="95"/>
        <v>0</v>
      </c>
      <c r="AC211" s="2482">
        <f t="shared" si="95"/>
        <v>0</v>
      </c>
      <c r="AD211" s="2482">
        <f t="shared" si="95"/>
        <v>0</v>
      </c>
      <c r="AE211" s="2482">
        <f t="shared" si="95"/>
        <v>0</v>
      </c>
      <c r="AF211" s="2482">
        <f t="shared" si="95"/>
        <v>0</v>
      </c>
      <c r="AG211" s="2482">
        <f t="shared" si="95"/>
        <v>0</v>
      </c>
      <c r="AH211" s="2482">
        <f t="shared" si="95"/>
        <v>0</v>
      </c>
      <c r="AI211" s="2482">
        <f t="shared" si="95"/>
        <v>0</v>
      </c>
      <c r="AJ211" s="2482">
        <f t="shared" si="95"/>
        <v>0</v>
      </c>
      <c r="AK211" s="2482">
        <f t="shared" si="95"/>
        <v>0</v>
      </c>
      <c r="AL211" s="2482">
        <f t="shared" si="95"/>
        <v>0</v>
      </c>
      <c r="AM211" s="2482">
        <f t="shared" si="95"/>
        <v>0</v>
      </c>
      <c r="AN211" s="2482">
        <f t="shared" si="95"/>
        <v>7.8889101900107286E-10</v>
      </c>
      <c r="AO211" s="2482">
        <f t="shared" si="95"/>
        <v>1.2274512526608262E-11</v>
      </c>
      <c r="AP211" s="2482">
        <f t="shared" si="95"/>
        <v>1.5702258186868533E-11</v>
      </c>
      <c r="AQ211" s="2482">
        <f t="shared" si="95"/>
        <v>9.6762839306112398E-12</v>
      </c>
      <c r="AR211" s="2482">
        <f t="shared" si="95"/>
        <v>4.2716137986360773E-12</v>
      </c>
      <c r="AS211" s="2482">
        <f t="shared" si="95"/>
        <v>4.8233623824213847E-11</v>
      </c>
      <c r="AT211" s="2482">
        <f t="shared" si="95"/>
        <v>1.3211941311180337E-12</v>
      </c>
      <c r="AU211" s="2482">
        <f t="shared" si="95"/>
        <v>1.3113028114441279E-12</v>
      </c>
      <c r="AV211" s="2482">
        <f t="shared" si="95"/>
        <v>5.2277833118394757E-11</v>
      </c>
      <c r="AW211" s="2482">
        <f t="shared" si="95"/>
        <v>5.3572204362407087E-12</v>
      </c>
      <c r="AX211" s="2482">
        <f t="shared" si="95"/>
        <v>3.1117945319481116E-11</v>
      </c>
      <c r="AY211" s="2482">
        <f t="shared" si="95"/>
        <v>2.5779036244270205E-11</v>
      </c>
      <c r="AZ211" s="2482">
        <f t="shared" si="95"/>
        <v>2.4568410236213396E-10</v>
      </c>
      <c r="BA211" s="2482">
        <f t="shared" si="95"/>
        <v>1.1896093122950798E-10</v>
      </c>
      <c r="BB211" s="2482">
        <f t="shared" si="95"/>
        <v>1.7255246284935201E-12</v>
      </c>
      <c r="BC211" s="2482">
        <f t="shared" si="95"/>
        <v>9.2898679470871165E-12</v>
      </c>
      <c r="BD211" s="2482">
        <f t="shared" si="95"/>
        <v>0</v>
      </c>
      <c r="BE211" s="2482">
        <f t="shared" si="95"/>
        <v>8.923823824974211E-11</v>
      </c>
      <c r="BF211" s="2482">
        <f t="shared" si="95"/>
        <v>4.4619119124871055E-11</v>
      </c>
      <c r="BG211" s="2482">
        <f t="shared" si="95"/>
        <v>0</v>
      </c>
      <c r="BH211" s="2482">
        <f t="shared" si="95"/>
        <v>0</v>
      </c>
      <c r="BI211" s="2482">
        <f t="shared" si="95"/>
        <v>0</v>
      </c>
    </row>
    <row r="212" spans="1:61" s="26" customFormat="1">
      <c r="A212" s="398"/>
      <c r="B212" s="27"/>
      <c r="C212" s="2498"/>
      <c r="D212" s="2499"/>
      <c r="E212" s="3498"/>
      <c r="F212" s="14"/>
      <c r="G212" s="105"/>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row>
    <row r="213" spans="1:61" s="26" customFormat="1">
      <c r="A213" s="398"/>
      <c r="B213" s="27"/>
      <c r="C213" s="2498"/>
      <c r="D213" s="2499"/>
      <c r="E213" s="3498" t="s">
        <v>989</v>
      </c>
      <c r="F213" s="14" t="str">
        <f>F$18</f>
        <v>Cs</v>
      </c>
      <c r="G213" s="105" t="str">
        <f>G$18</f>
        <v>mg/kg ms</v>
      </c>
      <c r="H213" s="56">
        <f t="shared" ref="H213:AM213" si="96">IF(H210=0,"PVL",H$15/MAX(H197,H205)/H$20)</f>
        <v>3572.6658096956917</v>
      </c>
      <c r="I213" s="56">
        <f t="shared" si="96"/>
        <v>3572.6658096956917</v>
      </c>
      <c r="J213" s="56">
        <f t="shared" si="96"/>
        <v>38061.902956125879</v>
      </c>
      <c r="K213" s="56">
        <f t="shared" si="96"/>
        <v>14.649905454545456</v>
      </c>
      <c r="L213" s="56">
        <f t="shared" si="96"/>
        <v>23.100997448053402</v>
      </c>
      <c r="M213" s="56">
        <f t="shared" si="96"/>
        <v>23.100997448053402</v>
      </c>
      <c r="N213" s="56">
        <f t="shared" si="96"/>
        <v>52.946464823993082</v>
      </c>
      <c r="O213" s="56">
        <f t="shared" si="96"/>
        <v>52.946464823993082</v>
      </c>
      <c r="P213" s="56">
        <f t="shared" si="96"/>
        <v>9.2893993316328647</v>
      </c>
      <c r="Q213" s="56">
        <f t="shared" si="96"/>
        <v>9.2893993316328647</v>
      </c>
      <c r="R213" s="56">
        <f t="shared" si="96"/>
        <v>104.64218181818184</v>
      </c>
      <c r="S213" s="56">
        <f t="shared" si="96"/>
        <v>22.648138238559238</v>
      </c>
      <c r="T213" s="56">
        <f t="shared" si="96"/>
        <v>22.648138238559238</v>
      </c>
      <c r="U213" s="56">
        <f t="shared" si="96"/>
        <v>9.9410072727272745</v>
      </c>
      <c r="V213" s="56">
        <f t="shared" si="96"/>
        <v>261.60545454545451</v>
      </c>
      <c r="W213" s="56">
        <f t="shared" si="96"/>
        <v>261.60545454545451</v>
      </c>
      <c r="X213" s="56">
        <f t="shared" si="96"/>
        <v>3.1980840324310131</v>
      </c>
      <c r="Y213" s="56">
        <f t="shared" si="96"/>
        <v>109.77672079487719</v>
      </c>
      <c r="Z213" s="56">
        <f t="shared" si="96"/>
        <v>151.83785863743765</v>
      </c>
      <c r="AA213" s="56">
        <f t="shared" si="96"/>
        <v>185.07020517233119</v>
      </c>
      <c r="AB213" s="56">
        <f t="shared" si="96"/>
        <v>192.092201524817</v>
      </c>
      <c r="AC213" s="56">
        <f t="shared" si="96"/>
        <v>452.49519691724385</v>
      </c>
      <c r="AD213" s="56">
        <f t="shared" si="96"/>
        <v>1097.9973364861983</v>
      </c>
      <c r="AE213" s="56" t="str">
        <f t="shared" si="96"/>
        <v>PVL</v>
      </c>
      <c r="AF213" s="56" t="str">
        <f t="shared" si="96"/>
        <v>PVL</v>
      </c>
      <c r="AG213" s="56">
        <f t="shared" si="96"/>
        <v>4813.5403636363644</v>
      </c>
      <c r="AH213" s="56">
        <f t="shared" si="96"/>
        <v>4813.5403636363626</v>
      </c>
      <c r="AI213" s="56">
        <f t="shared" si="96"/>
        <v>377.83264003298774</v>
      </c>
      <c r="AJ213" s="56">
        <f t="shared" si="96"/>
        <v>859.13227743955849</v>
      </c>
      <c r="AK213" s="56">
        <f t="shared" si="96"/>
        <v>2011.7586893702742</v>
      </c>
      <c r="AL213" s="56" t="str">
        <f t="shared" si="96"/>
        <v>PVL</v>
      </c>
      <c r="AM213" s="56" t="str">
        <f t="shared" si="96"/>
        <v>PVL</v>
      </c>
      <c r="AN213" s="56">
        <f t="shared" ref="AN213:BI213" si="97">IF(AN210=0,"PVL",AN$15/MAX(AN197,AN205)/AN$20)</f>
        <v>61.815036660693629</v>
      </c>
      <c r="AO213" s="56" t="str">
        <f t="shared" si="97"/>
        <v>PVL</v>
      </c>
      <c r="AP213" s="56" t="str">
        <f t="shared" si="97"/>
        <v>PVL</v>
      </c>
      <c r="AQ213" s="56" t="str">
        <f t="shared" si="97"/>
        <v>PVL</v>
      </c>
      <c r="AR213" s="56" t="str">
        <f t="shared" si="97"/>
        <v>PVL</v>
      </c>
      <c r="AS213" s="56" t="str">
        <f t="shared" si="97"/>
        <v>PVL</v>
      </c>
      <c r="AT213" s="56" t="str">
        <f t="shared" si="97"/>
        <v>PVL</v>
      </c>
      <c r="AU213" s="56" t="str">
        <f t="shared" si="97"/>
        <v>PVL</v>
      </c>
      <c r="AV213" s="56" t="str">
        <f t="shared" si="97"/>
        <v>PVL</v>
      </c>
      <c r="AW213" s="56" t="str">
        <f t="shared" si="97"/>
        <v>PVL</v>
      </c>
      <c r="AX213" s="56" t="str">
        <f t="shared" si="97"/>
        <v>PVL</v>
      </c>
      <c r="AY213" s="56" t="str">
        <f t="shared" si="97"/>
        <v>PVL</v>
      </c>
      <c r="AZ213" s="56" t="str">
        <f t="shared" si="97"/>
        <v>PVL</v>
      </c>
      <c r="BA213" s="56" t="str">
        <f t="shared" si="97"/>
        <v>PVL</v>
      </c>
      <c r="BB213" s="56" t="str">
        <f t="shared" si="97"/>
        <v>PVL</v>
      </c>
      <c r="BC213" s="56" t="str">
        <f t="shared" si="97"/>
        <v>PVL</v>
      </c>
      <c r="BD213" s="56">
        <f t="shared" si="97"/>
        <v>214.88655680215246</v>
      </c>
      <c r="BE213" s="56">
        <f t="shared" si="97"/>
        <v>222.74278665483376</v>
      </c>
      <c r="BF213" s="56">
        <f t="shared" si="97"/>
        <v>445.48557330966753</v>
      </c>
      <c r="BG213" s="56">
        <f t="shared" si="97"/>
        <v>7.8481636363636371E-3</v>
      </c>
      <c r="BH213" s="56">
        <f t="shared" si="97"/>
        <v>4.0905688492945949</v>
      </c>
      <c r="BI213" s="56">
        <f t="shared" si="97"/>
        <v>11.155631262370846</v>
      </c>
    </row>
    <row r="214" spans="1:61" s="26" customFormat="1">
      <c r="A214" s="398"/>
      <c r="B214" s="27"/>
      <c r="C214" s="2498"/>
      <c r="D214" s="2499"/>
      <c r="E214" s="3498" t="s">
        <v>992</v>
      </c>
      <c r="F214" s="14" t="str">
        <f>F213</f>
        <v>Cs</v>
      </c>
      <c r="G214" s="105" t="str">
        <f>G213</f>
        <v>mg/kg ms</v>
      </c>
      <c r="H214" s="56" t="str">
        <f t="shared" ref="H214:AM214" si="98">IF(H211=0,"PVL",H$16/(H198+H206)/H$20)</f>
        <v>PVL</v>
      </c>
      <c r="I214" s="56" t="str">
        <f t="shared" si="98"/>
        <v>PVL</v>
      </c>
      <c r="J214" s="56" t="str">
        <f t="shared" si="98"/>
        <v>PVL</v>
      </c>
      <c r="K214" s="56">
        <f t="shared" si="98"/>
        <v>91.561909090909097</v>
      </c>
      <c r="L214" s="56" t="str">
        <f t="shared" si="98"/>
        <v>PVL</v>
      </c>
      <c r="M214" s="56" t="str">
        <f t="shared" si="98"/>
        <v>PVL</v>
      </c>
      <c r="N214" s="56">
        <f t="shared" si="98"/>
        <v>45.780954545454541</v>
      </c>
      <c r="O214" s="56">
        <f t="shared" si="98"/>
        <v>45.780954545454541</v>
      </c>
      <c r="P214" s="56">
        <f t="shared" si="98"/>
        <v>15.518967642526961</v>
      </c>
      <c r="Q214" s="56">
        <f t="shared" si="98"/>
        <v>15.518967642526961</v>
      </c>
      <c r="R214" s="56">
        <f t="shared" si="98"/>
        <v>91.561909090909097</v>
      </c>
      <c r="S214" s="56">
        <f t="shared" si="98"/>
        <v>3.9809525691699599</v>
      </c>
      <c r="T214" s="56">
        <f t="shared" si="98"/>
        <v>3.9809525691699599</v>
      </c>
      <c r="U214" s="56">
        <f t="shared" si="98"/>
        <v>2.1800454545454544</v>
      </c>
      <c r="V214" s="56" t="str">
        <f t="shared" si="98"/>
        <v>PVL</v>
      </c>
      <c r="W214" s="56" t="str">
        <f t="shared" si="98"/>
        <v>PVL</v>
      </c>
      <c r="X214" s="56">
        <f t="shared" si="98"/>
        <v>15.260318181818182</v>
      </c>
      <c r="Y214" s="56" t="str">
        <f t="shared" si="98"/>
        <v>PVL</v>
      </c>
      <c r="Z214" s="56">
        <f t="shared" si="98"/>
        <v>36.624763636363639</v>
      </c>
      <c r="AA214" s="56" t="str">
        <f t="shared" si="98"/>
        <v>PVL</v>
      </c>
      <c r="AB214" s="56" t="str">
        <f t="shared" si="98"/>
        <v>PVL</v>
      </c>
      <c r="AC214" s="56" t="str">
        <f t="shared" si="98"/>
        <v>PVL</v>
      </c>
      <c r="AD214" s="56" t="str">
        <f t="shared" si="98"/>
        <v>PVL</v>
      </c>
      <c r="AE214" s="56" t="str">
        <f t="shared" si="98"/>
        <v>PVL</v>
      </c>
      <c r="AF214" s="56" t="str">
        <f t="shared" si="98"/>
        <v>PVL</v>
      </c>
      <c r="AG214" s="56" t="str">
        <f t="shared" si="98"/>
        <v>PVL</v>
      </c>
      <c r="AH214" s="56" t="str">
        <f t="shared" si="98"/>
        <v>PVL</v>
      </c>
      <c r="AI214" s="56" t="str">
        <f t="shared" si="98"/>
        <v>PVL</v>
      </c>
      <c r="AJ214" s="56" t="str">
        <f t="shared" si="98"/>
        <v>PVL</v>
      </c>
      <c r="AK214" s="56" t="str">
        <f t="shared" si="98"/>
        <v>PVL</v>
      </c>
      <c r="AL214" s="56" t="str">
        <f t="shared" si="98"/>
        <v>PVL</v>
      </c>
      <c r="AM214" s="56" t="str">
        <f t="shared" si="98"/>
        <v>PVL</v>
      </c>
      <c r="AN214" s="56">
        <f t="shared" ref="AN214:BI214" si="99">IF(AN211=0,"PVL",AN$16/(AN198+AN206)/AN$20)</f>
        <v>12.676022110965874</v>
      </c>
      <c r="AO214" s="56">
        <f t="shared" si="99"/>
        <v>814.69630491006035</v>
      </c>
      <c r="AP214" s="56">
        <f t="shared" si="99"/>
        <v>636.8510746029375</v>
      </c>
      <c r="AQ214" s="56">
        <f t="shared" si="99"/>
        <v>1033.454585635367</v>
      </c>
      <c r="AR214" s="56">
        <f t="shared" si="99"/>
        <v>2341.0356065412543</v>
      </c>
      <c r="AS214" s="56">
        <f t="shared" si="99"/>
        <v>207.32425240211546</v>
      </c>
      <c r="AT214" s="56">
        <f t="shared" si="99"/>
        <v>7568.910400425184</v>
      </c>
      <c r="AU214" s="56">
        <f t="shared" si="99"/>
        <v>7626.0036299221192</v>
      </c>
      <c r="AV214" s="56">
        <f t="shared" si="99"/>
        <v>191.28566360722678</v>
      </c>
      <c r="AW214" s="56">
        <f t="shared" si="99"/>
        <v>1866.6396350524715</v>
      </c>
      <c r="AX214" s="56">
        <f t="shared" si="99"/>
        <v>321.35797840545695</v>
      </c>
      <c r="AY214" s="56">
        <f t="shared" si="99"/>
        <v>387.91209668370192</v>
      </c>
      <c r="AZ214" s="56">
        <f t="shared" si="99"/>
        <v>40.702674303525676</v>
      </c>
      <c r="BA214" s="56">
        <f t="shared" si="99"/>
        <v>84.061211497304782</v>
      </c>
      <c r="BB214" s="56">
        <f t="shared" si="99"/>
        <v>5795.3388985995298</v>
      </c>
      <c r="BC214" s="56">
        <f t="shared" si="99"/>
        <v>1076.4415659035874</v>
      </c>
      <c r="BD214" s="56" t="str">
        <f t="shared" si="99"/>
        <v>PVL</v>
      </c>
      <c r="BE214" s="56">
        <f t="shared" si="99"/>
        <v>112.05958562308237</v>
      </c>
      <c r="BF214" s="56">
        <f t="shared" si="99"/>
        <v>224.11917124616474</v>
      </c>
      <c r="BG214" s="56" t="str">
        <f t="shared" si="99"/>
        <v>PVL</v>
      </c>
      <c r="BH214" s="56" t="str">
        <f t="shared" si="99"/>
        <v>PVL</v>
      </c>
      <c r="BI214" s="56" t="str">
        <f t="shared" si="99"/>
        <v>PVL</v>
      </c>
    </row>
    <row r="215" spans="1:61" s="403" customFormat="1" ht="13.5" thickBot="1">
      <c r="A215" s="2475"/>
      <c r="B215" s="257"/>
      <c r="C215" s="2498"/>
      <c r="D215" s="2499"/>
      <c r="E215" s="3946" t="s">
        <v>493</v>
      </c>
      <c r="F215" s="66" t="str">
        <f>F214</f>
        <v>Cs</v>
      </c>
      <c r="G215" s="620" t="str">
        <f>G214</f>
        <v>mg/kg ms</v>
      </c>
      <c r="H215" s="164">
        <f t="shared" ref="H215:AL215" si="100">IF(MIN(H213:H214)&gt;0,MIN(H213:H214),H213)</f>
        <v>3572.6658096956917</v>
      </c>
      <c r="I215" s="164">
        <f t="shared" si="100"/>
        <v>3572.6658096956917</v>
      </c>
      <c r="J215" s="164">
        <f>IF(MIN(J213:J214)&gt;0,MIN(J213:J214),J213)</f>
        <v>38061.902956125879</v>
      </c>
      <c r="K215" s="164">
        <f t="shared" si="100"/>
        <v>14.649905454545456</v>
      </c>
      <c r="L215" s="164">
        <f t="shared" si="100"/>
        <v>23.100997448053402</v>
      </c>
      <c r="M215" s="164">
        <f t="shared" si="100"/>
        <v>23.100997448053402</v>
      </c>
      <c r="N215" s="164">
        <f>IF(MIN(N213:N214)&gt;0,MIN(N213:N214),N213)</f>
        <v>45.780954545454541</v>
      </c>
      <c r="O215" s="164">
        <f>IF(MIN(O213:O214)&gt;0,MIN(O213:O214),O213)</f>
        <v>45.780954545454541</v>
      </c>
      <c r="P215" s="164">
        <f t="shared" si="100"/>
        <v>9.2893993316328647</v>
      </c>
      <c r="Q215" s="164">
        <f t="shared" si="100"/>
        <v>9.2893993316328647</v>
      </c>
      <c r="R215" s="164">
        <f>IF(MIN(R213:R214)&gt;0,MIN(R213:R214),R213)</f>
        <v>91.561909090909097</v>
      </c>
      <c r="S215" s="164">
        <f>IF(MIN(S213:S214)&gt;0,MIN(S213:S214),S213)</f>
        <v>3.9809525691699599</v>
      </c>
      <c r="T215" s="164">
        <f>IF(MIN(T213:T214)&gt;0,MIN(T213:T214),T213)</f>
        <v>3.9809525691699599</v>
      </c>
      <c r="U215" s="164">
        <f t="shared" si="100"/>
        <v>2.1800454545454544</v>
      </c>
      <c r="V215" s="164">
        <f t="shared" si="100"/>
        <v>261.60545454545451</v>
      </c>
      <c r="W215" s="164">
        <f t="shared" si="100"/>
        <v>261.60545454545451</v>
      </c>
      <c r="X215" s="164">
        <f t="shared" si="100"/>
        <v>3.1980840324310131</v>
      </c>
      <c r="Y215" s="164">
        <f t="shared" si="100"/>
        <v>109.77672079487719</v>
      </c>
      <c r="Z215" s="164">
        <f t="shared" si="100"/>
        <v>36.624763636363639</v>
      </c>
      <c r="AA215" s="164">
        <f t="shared" si="100"/>
        <v>185.07020517233119</v>
      </c>
      <c r="AB215" s="164">
        <f t="shared" si="100"/>
        <v>192.092201524817</v>
      </c>
      <c r="AC215" s="164">
        <f t="shared" si="100"/>
        <v>452.49519691724385</v>
      </c>
      <c r="AD215" s="164">
        <f t="shared" si="100"/>
        <v>1097.9973364861983</v>
      </c>
      <c r="AE215" s="164" t="str">
        <f t="shared" si="100"/>
        <v>PVL</v>
      </c>
      <c r="AF215" s="164" t="str">
        <f t="shared" si="100"/>
        <v>PVL</v>
      </c>
      <c r="AG215" s="164">
        <f t="shared" si="100"/>
        <v>4813.5403636363644</v>
      </c>
      <c r="AH215" s="164">
        <f t="shared" si="100"/>
        <v>4813.5403636363626</v>
      </c>
      <c r="AI215" s="164">
        <f t="shared" si="100"/>
        <v>377.83264003298774</v>
      </c>
      <c r="AJ215" s="164">
        <f t="shared" si="100"/>
        <v>859.13227743955849</v>
      </c>
      <c r="AK215" s="164">
        <f t="shared" si="100"/>
        <v>2011.7586893702742</v>
      </c>
      <c r="AL215" s="164" t="str">
        <f t="shared" si="100"/>
        <v>PVL</v>
      </c>
      <c r="AM215" s="164" t="str">
        <f t="shared" ref="AM215:BI215" si="101">IF(MIN(AM213:AM214)&gt;0,MIN(AM213:AM214),AM213)</f>
        <v>PVL</v>
      </c>
      <c r="AN215" s="164">
        <f t="shared" si="101"/>
        <v>12.676022110965874</v>
      </c>
      <c r="AO215" s="164">
        <f t="shared" si="101"/>
        <v>814.69630491006035</v>
      </c>
      <c r="AP215" s="164">
        <f t="shared" si="101"/>
        <v>636.8510746029375</v>
      </c>
      <c r="AQ215" s="164">
        <f t="shared" si="101"/>
        <v>1033.454585635367</v>
      </c>
      <c r="AR215" s="164">
        <f t="shared" si="101"/>
        <v>2341.0356065412543</v>
      </c>
      <c r="AS215" s="164">
        <f t="shared" si="101"/>
        <v>207.32425240211546</v>
      </c>
      <c r="AT215" s="164">
        <f t="shared" si="101"/>
        <v>7568.910400425184</v>
      </c>
      <c r="AU215" s="164">
        <f t="shared" si="101"/>
        <v>7626.0036299221192</v>
      </c>
      <c r="AV215" s="164">
        <f t="shared" si="101"/>
        <v>191.28566360722678</v>
      </c>
      <c r="AW215" s="164">
        <f t="shared" si="101"/>
        <v>1866.6396350524715</v>
      </c>
      <c r="AX215" s="164">
        <f t="shared" si="101"/>
        <v>321.35797840545695</v>
      </c>
      <c r="AY215" s="164">
        <f t="shared" si="101"/>
        <v>387.91209668370192</v>
      </c>
      <c r="AZ215" s="164">
        <f t="shared" si="101"/>
        <v>40.702674303525676</v>
      </c>
      <c r="BA215" s="164">
        <f t="shared" si="101"/>
        <v>84.061211497304782</v>
      </c>
      <c r="BB215" s="164">
        <f t="shared" si="101"/>
        <v>5795.3388985995298</v>
      </c>
      <c r="BC215" s="164">
        <f t="shared" si="101"/>
        <v>1076.4415659035874</v>
      </c>
      <c r="BD215" s="164">
        <f t="shared" si="101"/>
        <v>214.88655680215246</v>
      </c>
      <c r="BE215" s="164">
        <f t="shared" si="101"/>
        <v>112.05958562308237</v>
      </c>
      <c r="BF215" s="164">
        <f t="shared" si="101"/>
        <v>224.11917124616474</v>
      </c>
      <c r="BG215" s="164">
        <f t="shared" si="101"/>
        <v>7.8481636363636371E-3</v>
      </c>
      <c r="BH215" s="164">
        <f t="shared" si="101"/>
        <v>4.0905688492945949</v>
      </c>
      <c r="BI215" s="164">
        <f t="shared" si="101"/>
        <v>11.155631262370846</v>
      </c>
    </row>
    <row r="216" spans="1:61" s="2457" customFormat="1">
      <c r="A216" s="2451"/>
      <c r="B216" s="2452"/>
      <c r="C216" s="2498"/>
      <c r="D216" s="2499"/>
      <c r="E216" s="3498" t="s">
        <v>499</v>
      </c>
      <c r="F216" s="2455" t="s">
        <v>19</v>
      </c>
      <c r="G216" s="2490" t="s">
        <v>20</v>
      </c>
      <c r="H216" s="2456">
        <f>IF(H215&lt;'3phas'!H23,H215,"PVL")</f>
        <v>3572.6658096956917</v>
      </c>
      <c r="I216" s="2456">
        <f>IF(I215&lt;'3phas'!I23,I215,"PVL")</f>
        <v>3572.6658096956917</v>
      </c>
      <c r="J216" s="2456">
        <f>IF(J215&lt;'3phas'!J23,J215,"PVL")</f>
        <v>38061.902956125879</v>
      </c>
      <c r="K216" s="2456">
        <f>IF(K215&lt;'3phas'!K23,K215,"PVL")</f>
        <v>14.649905454545456</v>
      </c>
      <c r="L216" s="2456">
        <f>IF(L215&lt;'3phas'!L23,L215,"PVL")</f>
        <v>23.100997448053402</v>
      </c>
      <c r="M216" s="2456">
        <f>IF(M215&lt;'3phas'!M23,M215,"PVL")</f>
        <v>23.100997448053402</v>
      </c>
      <c r="N216" s="2456">
        <f>IF(N215&lt;'3phas'!N23,N215,"PVL")</f>
        <v>45.780954545454541</v>
      </c>
      <c r="O216" s="2456">
        <f>IF(O215&lt;'3phas'!O23,O215,"PVL")</f>
        <v>45.780954545454541</v>
      </c>
      <c r="P216" s="2456">
        <f>IF(P215&lt;'3phas'!P23,P215,"PVL")</f>
        <v>9.2893993316328647</v>
      </c>
      <c r="Q216" s="2456">
        <f>IF(Q215&lt;'3phas'!Q23,Q215,"PVL")</f>
        <v>9.2893993316328647</v>
      </c>
      <c r="R216" s="2456">
        <f>IF(R215&lt;'3phas'!R23,R215,"PVL")</f>
        <v>91.561909090909097</v>
      </c>
      <c r="S216" s="2456">
        <f>IF(S215&lt;'3phas'!S23,S215,"PVL")</f>
        <v>3.9809525691699599</v>
      </c>
      <c r="T216" s="2456">
        <f>IF(T215&lt;'3phas'!T23,T215,"PVL")</f>
        <v>3.9809525691699599</v>
      </c>
      <c r="U216" s="2456">
        <f>IF(U215&lt;'3phas'!U23,U215,"PVL")</f>
        <v>2.1800454545454544</v>
      </c>
      <c r="V216" s="2456">
        <f>IF(V215&lt;'3phas'!V23,V215,"PVL")</f>
        <v>261.60545454545451</v>
      </c>
      <c r="W216" s="2456">
        <f>IF(W215&lt;'3phas'!W23,W215,"PVL")</f>
        <v>261.60545454545451</v>
      </c>
      <c r="X216" s="2456">
        <f>IF(X215&lt;'3phas'!X23,X215,"PVL")</f>
        <v>3.1980840324310131</v>
      </c>
      <c r="Y216" s="2456">
        <f>IF(Y215&lt;'3phas'!Y23,Y215,"PVL")</f>
        <v>109.77672079487719</v>
      </c>
      <c r="Z216" s="2456">
        <f>IF(Z215&lt;'3phas'!Z23,Z215,"PVL")</f>
        <v>36.624763636363639</v>
      </c>
      <c r="AA216" s="2456" t="str">
        <f>IF(AA215&lt;'3phas'!AA23,AA215,"PVL")</f>
        <v>PVL</v>
      </c>
      <c r="AB216" s="2456" t="str">
        <f>IF(AB215&lt;'3phas'!AB23,AB215,"PVL")</f>
        <v>PVL</v>
      </c>
      <c r="AC216" s="2456" t="str">
        <f>IF(AC215&lt;'3phas'!AC23,AC215,"PVL")</f>
        <v>PVL</v>
      </c>
      <c r="AD216" s="2456" t="str">
        <f>IF(AD215&lt;'3phas'!AD23,AD215,"PVL")</f>
        <v>PVL</v>
      </c>
      <c r="AE216" s="2456" t="str">
        <f>IF(AE215&lt;'3phas'!AE23,AE215,"PVL")</f>
        <v>PVL</v>
      </c>
      <c r="AF216" s="2456" t="str">
        <f>IF(AF215&lt;'3phas'!AF23,AF215,"PVL")</f>
        <v>PVL</v>
      </c>
      <c r="AG216" s="2456" t="str">
        <f>IF(AG215&lt;'3phas'!AG23,AG215,"PVL")</f>
        <v>PVL</v>
      </c>
      <c r="AH216" s="2456" t="str">
        <f>IF(AH215&lt;'3phas'!AH23,AH215,"PVL")</f>
        <v>PVL</v>
      </c>
      <c r="AI216" s="2456" t="str">
        <f>IF(AI215&lt;'3phas'!AI23,AI215,"PVL")</f>
        <v>PVL</v>
      </c>
      <c r="AJ216" s="2456" t="str">
        <f>IF(AJ215&lt;'3phas'!AJ23,AJ215,"PVL")</f>
        <v>PVL</v>
      </c>
      <c r="AK216" s="2456" t="str">
        <f>IF(AK215&lt;'3phas'!AK23,AK215,"PVL")</f>
        <v>PVL</v>
      </c>
      <c r="AL216" s="2456" t="str">
        <f>IF(AL215&lt;'3phas'!AL23,AL215,"PVL")</f>
        <v>PVL</v>
      </c>
      <c r="AM216" s="2456" t="str">
        <f>IF(AM215&lt;'3phas'!AM23,AM215,"PVL")</f>
        <v>PVL</v>
      </c>
      <c r="AN216" s="2456">
        <f>IF(AN215&lt;'3phas'!AN23,AN215,"PVL")</f>
        <v>12.676022110965874</v>
      </c>
      <c r="AO216" s="2456" t="str">
        <f>IF(AO215&lt;'3phas'!AO23,AO215,"PVL")</f>
        <v>PVL</v>
      </c>
      <c r="AP216" s="2456" t="str">
        <f>IF(AP215&lt;'3phas'!AP23,AP215,"PVL")</f>
        <v>PVL</v>
      </c>
      <c r="AQ216" s="2456" t="str">
        <f>IF(AQ215&lt;'3phas'!AQ23,AQ215,"PVL")</f>
        <v>PVL</v>
      </c>
      <c r="AR216" s="2456" t="str">
        <f>IF(AR215&lt;'3phas'!AR23,AR215,"PVL")</f>
        <v>PVL</v>
      </c>
      <c r="AS216" s="2456" t="str">
        <f>IF(AS215&lt;'3phas'!AS23,AS215,"PVL")</f>
        <v>PVL</v>
      </c>
      <c r="AT216" s="2456" t="str">
        <f>IF(AT215&lt;'3phas'!AT23,AT215,"PVL")</f>
        <v>PVL</v>
      </c>
      <c r="AU216" s="2456" t="str">
        <f>IF(AU215&lt;'3phas'!AU23,AU215,"PVL")</f>
        <v>PVL</v>
      </c>
      <c r="AV216" s="2456" t="str">
        <f>IF(AV215&lt;'3phas'!AV23,AV215,"PVL")</f>
        <v>PVL</v>
      </c>
      <c r="AW216" s="2456" t="str">
        <f>IF(AW215&lt;'3phas'!AW23,AW215,"PVL")</f>
        <v>PVL</v>
      </c>
      <c r="AX216" s="2456" t="str">
        <f>IF(AX215&lt;'3phas'!AX23,AX215,"PVL")</f>
        <v>PVL</v>
      </c>
      <c r="AY216" s="2456" t="str">
        <f>IF(AY215&lt;'3phas'!AY23,AY215,"PVL")</f>
        <v>PVL</v>
      </c>
      <c r="AZ216" s="2456" t="str">
        <f>IF(AZ215&lt;'3phas'!AZ23,AZ215,"PVL")</f>
        <v>PVL</v>
      </c>
      <c r="BA216" s="2456" t="str">
        <f>IF(BA215&lt;'3phas'!BA23,BA215,"PVL")</f>
        <v>PVL</v>
      </c>
      <c r="BB216" s="2456" t="str">
        <f>IF(BB215&lt;'3phas'!BB23,BB215,"PVL")</f>
        <v>PVL</v>
      </c>
      <c r="BC216" s="2456" t="str">
        <f>IF(BC215&lt;'3phas'!BC23,BC215,"PVL")</f>
        <v>PVL</v>
      </c>
      <c r="BD216" s="2456">
        <f>IF(BD215&lt;'3phas'!BD23,BD215,"PVL")</f>
        <v>214.88655680215246</v>
      </c>
      <c r="BE216" s="2456" t="str">
        <f>IF(BE215&lt;'3phas'!BE23,BE215,"PVL")</f>
        <v>PVL</v>
      </c>
      <c r="BF216" s="2456" t="str">
        <f>IF(BF215&lt;'3phas'!BF23,BF215,"PVL")</f>
        <v>PVL</v>
      </c>
      <c r="BG216" s="2456">
        <f>BG215</f>
        <v>7.8481636363636371E-3</v>
      </c>
      <c r="BH216" s="2456">
        <f>IF(BH215&lt;'3phas'!BH23,BH215,"PVL")</f>
        <v>4.0905688492945949</v>
      </c>
      <c r="BI216" s="2456">
        <f>IF(BI215&lt;'3phas'!BI23,BI215,"PVL")</f>
        <v>11.155631262370846</v>
      </c>
    </row>
    <row r="217" spans="1:61" s="403" customFormat="1" ht="13.5" thickBot="1">
      <c r="A217" s="402"/>
      <c r="B217" s="257"/>
      <c r="C217" s="2507"/>
      <c r="D217" s="2508"/>
      <c r="E217" s="3946" t="s">
        <v>476</v>
      </c>
      <c r="F217" s="66" t="str">
        <f>'3phas'!F29</f>
        <v>Csao</v>
      </c>
      <c r="G217" s="620" t="s">
        <v>24</v>
      </c>
      <c r="H217" s="164">
        <f>IF(H216="PVL",H216,H216*'3phas'!H$26*1000)</f>
        <v>9412.1578843298739</v>
      </c>
      <c r="I217" s="164">
        <f>IF(I216="PVL",I216,I216*'3phas'!I$26*1000)</f>
        <v>9412.1578843298739</v>
      </c>
      <c r="J217" s="164">
        <f>IF(J216="PVL",J216,J216*'3phas'!J$26*1000)</f>
        <v>658267.86738053837</v>
      </c>
      <c r="K217" s="164">
        <f>IF(K216="PVL",K216,K216*'3phas'!K$26*1000)</f>
        <v>56450.681890396372</v>
      </c>
      <c r="L217" s="164">
        <f>IF(L216="PVL",L216,L216*'3phas'!L$26*1000)</f>
        <v>16642.856419069733</v>
      </c>
      <c r="M217" s="164">
        <f>IF(M216="PVL",M216,M216*'3phas'!M$26*1000)</f>
        <v>16642.856419069733</v>
      </c>
      <c r="N217" s="164">
        <f>IF(N216="PVL",N216,N216*'3phas'!N$26*1000)</f>
        <v>65051.551562152286</v>
      </c>
      <c r="O217" s="164">
        <f>IF(O216="PVL",O216,O216*'3phas'!O$26*1000)</f>
        <v>65051.551562152286</v>
      </c>
      <c r="P217" s="164">
        <f>IF(P216="PVL",P216,P216*'3phas'!P$26*1000)</f>
        <v>14410.534926816785</v>
      </c>
      <c r="Q217" s="164">
        <f>IF(Q216="PVL",Q216,Q216*'3phas'!Q$26*1000)</f>
        <v>14410.534926816785</v>
      </c>
      <c r="R217" s="164">
        <f>IF(R216="PVL",R216,R216*'3phas'!R$26*1000)</f>
        <v>57095.741629831115</v>
      </c>
      <c r="S217" s="164">
        <f>IF(S216="PVL",S216,S216*'3phas'!S$26*1000)</f>
        <v>2328.9496685225176</v>
      </c>
      <c r="T217" s="164">
        <f>IF(T216="PVL",T216,T216*'3phas'!T$26*1000)</f>
        <v>2328.9496685225176</v>
      </c>
      <c r="U217" s="164">
        <f>IF(U216="PVL",U216,U216*'3phas'!U$26*1000)</f>
        <v>6004.4201216823349</v>
      </c>
      <c r="V217" s="164">
        <f>IF(V216="PVL",V216,V216*'3phas'!V$26*1000)</f>
        <v>1179365.3413826337</v>
      </c>
      <c r="W217" s="164">
        <f>IF(W216="PVL",W216,W216*'3phas'!W$26*1000)</f>
        <v>1179365.3413826337</v>
      </c>
      <c r="X217" s="164">
        <f>IF(X216="PVL",X216,X216*'3phas'!X$26*1000)</f>
        <v>2765.8841464130337</v>
      </c>
      <c r="Y217" s="164">
        <f>IF(Y216="PVL",Y216,Y216*'3phas'!Y$26*1000)</f>
        <v>65799.792955346216</v>
      </c>
      <c r="Z217" s="164">
        <f>IF(Z216="PVL",Z216,Z216*'3phas'!Z$26*1000)</f>
        <v>13000.799391486573</v>
      </c>
      <c r="AA217" s="164" t="str">
        <f>IF(AA216="PVL",AA216,AA216*'3phas'!AA$26*1000)</f>
        <v>PVL</v>
      </c>
      <c r="AB217" s="164" t="str">
        <f>IF(AB216="PVL",AB216,AB216*'3phas'!AB$26*1000)</f>
        <v>PVL</v>
      </c>
      <c r="AC217" s="164" t="str">
        <f>IF(AC216="PVL",AC216,AC216*'3phas'!AC$26*1000)</f>
        <v>PVL</v>
      </c>
      <c r="AD217" s="164" t="str">
        <f>IF(AD216="PVL",AD216,AD216*'3phas'!AD$26*1000)</f>
        <v>PVL</v>
      </c>
      <c r="AE217" s="164" t="str">
        <f>IF(AE216="PVL",AE216,AE216*'3phas'!AE$26*1000)</f>
        <v>PVL</v>
      </c>
      <c r="AF217" s="164" t="str">
        <f>IF(AF216="PVL",AF216,AF216*'3phas'!AF$26*1000)</f>
        <v>PVL</v>
      </c>
      <c r="AG217" s="164" t="str">
        <f>IF(AG216="PVL",AG216,AG216*'3phas'!AG$26*1000)</f>
        <v>PVL</v>
      </c>
      <c r="AH217" s="164" t="str">
        <f>IF(AH216="PVL",AH216,AH216*'3phas'!AH$26*1000)</f>
        <v>PVL</v>
      </c>
      <c r="AI217" s="164" t="str">
        <f>IF(AI216="PVL",AI216,AI216*'3phas'!AI$26*1000)</f>
        <v>PVL</v>
      </c>
      <c r="AJ217" s="164" t="str">
        <f>IF(AJ216="PVL",AJ216,AJ216*'3phas'!AJ$26*1000)</f>
        <v>PVL</v>
      </c>
      <c r="AK217" s="164" t="str">
        <f>IF(AK216="PVL",AK216,AK216*'3phas'!AK$26*1000)</f>
        <v>PVL</v>
      </c>
      <c r="AL217" s="164" t="str">
        <f>IF(AL216="PVL",AL216,AL216*'3phas'!AL$26*1000)</f>
        <v>PVL</v>
      </c>
      <c r="AM217" s="164" t="str">
        <f>IF(AM216="PVL",AM216,AM216*'3phas'!AM$26*1000)</f>
        <v>PVL</v>
      </c>
      <c r="AN217" s="164">
        <f>IF(AN216="PVL",AN216,AN216*'3phas'!AN$26*1000)</f>
        <v>54.183738765448929</v>
      </c>
      <c r="AO217" s="164" t="str">
        <f>IF(AO216="PVL",AO216,AO216*'3phas'!AO$26*1000)</f>
        <v>PVL</v>
      </c>
      <c r="AP217" s="164" t="str">
        <f>IF(AP216="PVL",AP216,AP216*'3phas'!AP$26*1000)</f>
        <v>PVL</v>
      </c>
      <c r="AQ217" s="164" t="str">
        <f>IF(AQ216="PVL",AQ216,AQ216*'3phas'!AQ$26*1000)</f>
        <v>PVL</v>
      </c>
      <c r="AR217" s="164" t="str">
        <f>IF(AR216="PVL",AR216,AR216*'3phas'!AR$26*1000)</f>
        <v>PVL</v>
      </c>
      <c r="AS217" s="164" t="str">
        <f>IF(AS216="PVL",AS216,AS216*'3phas'!AS$26*1000)</f>
        <v>PVL</v>
      </c>
      <c r="AT217" s="164" t="str">
        <f>IF(AT216="PVL",AT216,AT216*'3phas'!AT$26*1000)</f>
        <v>PVL</v>
      </c>
      <c r="AU217" s="164" t="str">
        <f>IF(AU216="PVL",AU216,AU216*'3phas'!AU$26*1000)</f>
        <v>PVL</v>
      </c>
      <c r="AV217" s="164" t="str">
        <f>IF(AV216="PVL",AV216,AV216*'3phas'!AV$26*1000)</f>
        <v>PVL</v>
      </c>
      <c r="AW217" s="164" t="str">
        <f>IF(AW216="PVL",AW216,AW216*'3phas'!AW$26*1000)</f>
        <v>PVL</v>
      </c>
      <c r="AX217" s="164" t="str">
        <f>IF(AX216="PVL",AX216,AX216*'3phas'!AX$26*1000)</f>
        <v>PVL</v>
      </c>
      <c r="AY217" s="164" t="str">
        <f>IF(AY216="PVL",AY216,AY216*'3phas'!AY$26*1000)</f>
        <v>PVL</v>
      </c>
      <c r="AZ217" s="164" t="str">
        <f>IF(AZ216="PVL",AZ216,AZ216*'3phas'!AZ$26*1000)</f>
        <v>PVL</v>
      </c>
      <c r="BA217" s="164" t="str">
        <f>IF(BA216="PVL",BA216,BA216*'3phas'!BA$26*1000)</f>
        <v>PVL</v>
      </c>
      <c r="BB217" s="164" t="str">
        <f>IF(BB216="PVL",BB216,BB216*'3phas'!BB$26*1000)</f>
        <v>PVL</v>
      </c>
      <c r="BC217" s="164" t="str">
        <f>IF(BC216="PVL",BC216,BC216*'3phas'!BC$26*1000)</f>
        <v>PVL</v>
      </c>
      <c r="BD217" s="164">
        <f>IF(BD216="PVL",BD216,BD216*'3phas'!BD$26*1000)</f>
        <v>20.10202590422794</v>
      </c>
      <c r="BE217" s="164" t="str">
        <f>IF(BE216="PVL",BE216,BE216*'3phas'!BE$26*1000)</f>
        <v>PVL</v>
      </c>
      <c r="BF217" s="164" t="str">
        <f>IF(BF216="PVL",BF216,BF216*'3phas'!BF$26*1000)</f>
        <v>PVL</v>
      </c>
      <c r="BG217" s="595" t="s">
        <v>595</v>
      </c>
      <c r="BH217" s="164">
        <f>IF(BH216="PVL",BH216,BH216*'3phas'!BH$26*1000)</f>
        <v>0.50885829224279044</v>
      </c>
      <c r="BI217" s="164">
        <f>IF(BI216="PVL",BI216,BI216*'3phas'!BI$26*1000)</f>
        <v>10.737444483260699</v>
      </c>
    </row>
    <row r="218" spans="1:61" s="43" customFormat="1">
      <c r="A218" s="240"/>
      <c r="B218" s="98"/>
      <c r="C218" s="2107"/>
      <c r="D218" s="263"/>
      <c r="E218" s="102"/>
      <c r="F218" s="12"/>
      <c r="G218" s="89"/>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row>
    <row r="219" spans="1:61" ht="15.75">
      <c r="A219" s="397"/>
      <c r="B219" s="41"/>
      <c r="C219" s="2428"/>
      <c r="D219" s="2429"/>
      <c r="E219" s="2458" t="s">
        <v>666</v>
      </c>
      <c r="F219" s="2509"/>
      <c r="G219" s="2510"/>
      <c r="H219" s="2442"/>
      <c r="I219" s="2442"/>
      <c r="J219" s="2442"/>
      <c r="K219" s="2442"/>
      <c r="L219" s="2442"/>
      <c r="M219" s="2442"/>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row>
    <row r="220" spans="1:61">
      <c r="A220" s="397"/>
      <c r="B220" s="41"/>
      <c r="C220" s="4118" t="str">
        <f>C95</f>
        <v>Ext. Sous TV</v>
      </c>
      <c r="D220" s="4119"/>
      <c r="E220" s="103"/>
      <c r="F220" s="147"/>
      <c r="G220" s="161"/>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c r="AV220" s="113"/>
      <c r="AW220" s="113"/>
      <c r="AX220" s="113"/>
      <c r="AY220" s="113"/>
      <c r="AZ220" s="113"/>
      <c r="BA220" s="113"/>
      <c r="BB220" s="113"/>
      <c r="BC220" s="113"/>
      <c r="BD220" s="113"/>
      <c r="BE220" s="113"/>
      <c r="BF220" s="113"/>
      <c r="BG220" s="113"/>
      <c r="BH220" s="113"/>
      <c r="BI220" s="113"/>
    </row>
    <row r="221" spans="1:61" s="43" customFormat="1">
      <c r="A221" s="398"/>
      <c r="B221" s="100"/>
      <c r="C221" s="4118"/>
      <c r="D221" s="4119"/>
      <c r="E221" s="102" t="str">
        <f>'3phas'!E29</f>
        <v>Concentration dans l'air du sol</v>
      </c>
      <c r="F221" s="12" t="str">
        <f>'3phas'!F29</f>
        <v>Csao</v>
      </c>
      <c r="G221" s="89" t="str">
        <f>'3phas'!G29</f>
        <v>mg/lsa</v>
      </c>
      <c r="H221" s="113">
        <f>'3phas'!H29</f>
        <v>2.6344915493597683E-5</v>
      </c>
      <c r="I221" s="113">
        <f>'3phas'!I29</f>
        <v>2.6344915493597683E-5</v>
      </c>
      <c r="J221" s="113">
        <f>'3phas'!J29</f>
        <v>1.7294665170559828E-4</v>
      </c>
      <c r="K221" s="113">
        <f>'3phas'!K29</f>
        <v>3.8533137340406046E-2</v>
      </c>
      <c r="L221" s="113">
        <f>'3phas'!L29</f>
        <v>7.2043886661145619E-3</v>
      </c>
      <c r="M221" s="113">
        <f>'3phas'!M29</f>
        <v>7.2043886661145619E-3</v>
      </c>
      <c r="N221" s="113">
        <f>'3phas'!N29</f>
        <v>1.4209304329284909E-2</v>
      </c>
      <c r="O221" s="113">
        <f>'3phas'!O29</f>
        <v>1.4209304329284909E-2</v>
      </c>
      <c r="P221" s="113">
        <f>'3phas'!P29</f>
        <v>1.5512881309499849E-2</v>
      </c>
      <c r="Q221" s="113">
        <f>'3phas'!Q29</f>
        <v>1.5512881309499849E-2</v>
      </c>
      <c r="R221" s="113">
        <f>'3phas'!R29</f>
        <v>6.2357526395766232E-3</v>
      </c>
      <c r="S221" s="113">
        <f>'3phas'!S29</f>
        <v>5.8502321443335116E-3</v>
      </c>
      <c r="T221" s="113">
        <f>'3phas'!T29</f>
        <v>5.8502321443335116E-3</v>
      </c>
      <c r="U221" s="113">
        <f>'3phas'!U29</f>
        <v>2.7542637283837157E-2</v>
      </c>
      <c r="V221" s="113">
        <f>'3phas'!V29</f>
        <v>4.5081833000455138E-2</v>
      </c>
      <c r="W221" s="113">
        <f>'3phas'!W29</f>
        <v>4.5081833000455138E-2</v>
      </c>
      <c r="X221" s="113">
        <f>'3phas'!X29</f>
        <v>8.6485661989017699E-3</v>
      </c>
      <c r="Y221" s="113">
        <f>'3phas'!Y29</f>
        <v>5.993965977385691E-3</v>
      </c>
      <c r="Z221" s="113">
        <f>'3phas'!Z29</f>
        <v>3.5497292270791521E-3</v>
      </c>
      <c r="AA221" s="113">
        <f>'3phas'!AA29</f>
        <v>2.3813702260309095E-3</v>
      </c>
      <c r="AB221" s="113">
        <f>'3phas'!AB29</f>
        <v>2.6932603294411986E-3</v>
      </c>
      <c r="AC221" s="113">
        <f>'3phas'!AC29</f>
        <v>5.2554793006195943E-4</v>
      </c>
      <c r="AD221" s="113">
        <f>'3phas'!AD29</f>
        <v>1.028672332145031E-4</v>
      </c>
      <c r="AE221" s="113">
        <f>'3phas'!AE29</f>
        <v>1.2826753318511306E-5</v>
      </c>
      <c r="AF221" s="113">
        <f>'3phas'!AF29</f>
        <v>5.3163648152556569E-8</v>
      </c>
      <c r="AG221" s="113">
        <f>'3phas'!AG29</f>
        <v>6.1940871390656474E-2</v>
      </c>
      <c r="AH221" s="113">
        <f>'3phas'!AH29</f>
        <v>4.6377578561443124E-2</v>
      </c>
      <c r="AI221" s="113">
        <f>'3phas'!AI29</f>
        <v>1.8857794422825369E-2</v>
      </c>
      <c r="AJ221" s="113">
        <f>'3phas'!AJ29</f>
        <v>4.4889687551390436E-3</v>
      </c>
      <c r="AK221" s="113">
        <f>'3phas'!AK29</f>
        <v>1.0233523087107474E-3</v>
      </c>
      <c r="AL221" s="113">
        <f>'3phas'!AL29</f>
        <v>7.7579419375401509E-5</v>
      </c>
      <c r="AM221" s="113">
        <f>'3phas'!AM29</f>
        <v>5.3702795063791614E-7</v>
      </c>
      <c r="AN221" s="113">
        <f>'3phas'!AN29</f>
        <v>4.2745064887962941E-5</v>
      </c>
      <c r="AO221" s="113">
        <f>'3phas'!AO29</f>
        <v>1.1674416703897762E-5</v>
      </c>
      <c r="AP221" s="113">
        <f>'3phas'!AP29</f>
        <v>1.9530721705911088E-5</v>
      </c>
      <c r="AQ221" s="113">
        <f>'3phas'!AQ29</f>
        <v>7.908256947449179E-6</v>
      </c>
      <c r="AR221" s="113">
        <f>'3phas'!AR29</f>
        <v>1.5833670554255824E-6</v>
      </c>
      <c r="AS221" s="113">
        <f>'3phas'!AS29</f>
        <v>2.0451082714404039E-6</v>
      </c>
      <c r="AT221" s="113">
        <f>'3phas'!AT29</f>
        <v>1.4928371240425742E-7</v>
      </c>
      <c r="AU221" s="113">
        <f>'3phas'!AU29</f>
        <v>1.4361262823078676E-7</v>
      </c>
      <c r="AV221" s="113">
        <f>'3phas'!AV29</f>
        <v>2.2911220155058073E-8</v>
      </c>
      <c r="AW221" s="113">
        <f>'3phas'!AW29</f>
        <v>2.2076853681384033E-8</v>
      </c>
      <c r="AX221" s="113">
        <f>'3phas'!AX29</f>
        <v>7.7706494784308005E-10</v>
      </c>
      <c r="AY221" s="113">
        <f>'3phas'!AY29</f>
        <v>5.3329663902576087E-10</v>
      </c>
      <c r="AZ221" s="113">
        <f>'3phas'!AZ29</f>
        <v>3.5612607863435816E-10</v>
      </c>
      <c r="BA221" s="113">
        <f>'3phas'!BA29</f>
        <v>6.150661140942291E-11</v>
      </c>
      <c r="BB221" s="113">
        <f>'3phas'!BB29</f>
        <v>9.7385899742535782E-10</v>
      </c>
      <c r="BC221" s="113">
        <f>'3phas'!BC29</f>
        <v>2.5870688218630141E-16</v>
      </c>
      <c r="BD221" s="113">
        <f>'3phas'!BD29</f>
        <v>9.3547154384050273E-7</v>
      </c>
      <c r="BE221" s="113">
        <f>'3phas'!BE29</f>
        <v>2.0762670819205671E-8</v>
      </c>
      <c r="BF221" s="113">
        <f>'3phas'!BF29</f>
        <v>2.0762670819205671E-8</v>
      </c>
      <c r="BG221" s="113">
        <f>'3phas'!BG29</f>
        <v>1.696696593449333E-2</v>
      </c>
      <c r="BH221" s="113">
        <f>'3phas'!BH29</f>
        <v>1.2439792874542166E-6</v>
      </c>
      <c r="BI221" s="113">
        <f>'3phas'!BI29</f>
        <v>9.6251339173241278E-6</v>
      </c>
    </row>
    <row r="222" spans="1:61" s="43" customFormat="1">
      <c r="A222" s="398"/>
      <c r="B222" s="100"/>
      <c r="C222" s="2425"/>
      <c r="D222" s="2426"/>
      <c r="E222" s="102"/>
      <c r="F222" s="12"/>
      <c r="G222" s="89"/>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row>
    <row r="223" spans="1:61">
      <c r="A223" s="33"/>
      <c r="B223" s="33"/>
      <c r="C223" s="2425"/>
      <c r="D223" s="2426"/>
      <c r="E223" s="145" t="s">
        <v>203</v>
      </c>
      <c r="F223" s="12"/>
      <c r="G223" s="89"/>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row>
    <row r="224" spans="1:61">
      <c r="A224" s="33"/>
      <c r="B224" s="33"/>
      <c r="C224" s="2425"/>
      <c r="D224" s="2426"/>
      <c r="E224" s="588" t="s">
        <v>658</v>
      </c>
      <c r="F224" s="12"/>
      <c r="G224" s="89"/>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row>
    <row r="225" spans="1:61">
      <c r="A225" s="33"/>
      <c r="B225" s="33"/>
      <c r="C225" s="2425"/>
      <c r="D225" s="2426"/>
      <c r="E225" s="200" t="str">
        <f>'EmVap-Vol'!E49</f>
        <v>CT de l'air du sol de la source à l'émission, avant contrôle masse</v>
      </c>
      <c r="F225" s="14" t="s">
        <v>204</v>
      </c>
      <c r="G225" s="89" t="str">
        <f>'EmVap-Vol'!G49</f>
        <v>(mg/m2/s)/(mg/l)</v>
      </c>
      <c r="H225" s="113">
        <f>'EmVap-Vol'!H49</f>
        <v>7.8437017466117772E-4</v>
      </c>
      <c r="I225" s="113">
        <f>'EmVap-Vol'!I49</f>
        <v>7.8437017466117772E-4</v>
      </c>
      <c r="J225" s="113">
        <f>'EmVap-Vol'!J49</f>
        <v>7.2125150782231589E-4</v>
      </c>
      <c r="K225" s="113">
        <f>'EmVap-Vol'!K49</f>
        <v>1.4195231491136331E-3</v>
      </c>
      <c r="L225" s="113">
        <f>'EmVap-Vol'!L49</f>
        <v>9.8620387476176471E-4</v>
      </c>
      <c r="M225" s="113">
        <f>'EmVap-Vol'!M49</f>
        <v>9.8620387476176471E-4</v>
      </c>
      <c r="N225" s="113">
        <f>'EmVap-Vol'!N49</f>
        <v>1.0580867658838535E-3</v>
      </c>
      <c r="O225" s="113">
        <f>'EmVap-Vol'!O49</f>
        <v>1.0580867658838535E-3</v>
      </c>
      <c r="P225" s="113">
        <f>'EmVap-Vol'!P49</f>
        <v>9.6427503362731296E-4</v>
      </c>
      <c r="Q225" s="113">
        <f>'EmVap-Vol'!Q49</f>
        <v>9.6427503362731296E-4</v>
      </c>
      <c r="R225" s="113">
        <f>'EmVap-Vol'!R49</f>
        <v>1.365991514727115E-2</v>
      </c>
      <c r="S225" s="113">
        <f>'EmVap-Vol'!S49</f>
        <v>1.3932917032970108E-3</v>
      </c>
      <c r="T225" s="113">
        <f>'EmVap-Vol'!T49</f>
        <v>1.3932917032970108E-3</v>
      </c>
      <c r="U225" s="113">
        <f>'EmVap-Vol'!U49</f>
        <v>1.0446172374450286E-3</v>
      </c>
      <c r="V225" s="113">
        <f>'EmVap-Vol'!V49</f>
        <v>3.8142098827865682E-4</v>
      </c>
      <c r="W225" s="113">
        <f>'EmVap-Vol'!W49</f>
        <v>3.8142098827865682E-4</v>
      </c>
      <c r="X225" s="113">
        <f>'EmVap-Vol'!X49</f>
        <v>1.0976694493010262E-3</v>
      </c>
      <c r="Y225" s="113">
        <f>'EmVap-Vol'!Y49</f>
        <v>9.860065044503812E-4</v>
      </c>
      <c r="Z225" s="113">
        <f>'EmVap-Vol'!Z49</f>
        <v>9.0411103052226286E-4</v>
      </c>
      <c r="AA225" s="113">
        <f>'EmVap-Vol'!AA49</f>
        <v>9.0417687531985048E-4</v>
      </c>
      <c r="AB225" s="113">
        <f>'EmVap-Vol'!AB49</f>
        <v>4.241144432928381E-4</v>
      </c>
      <c r="AC225" s="113">
        <f>'EmVap-Vol'!AC49</f>
        <v>3.9159171273304679E-4</v>
      </c>
      <c r="AD225" s="113">
        <f>'EmVap-Vol'!AD49</f>
        <v>3.3958325494063242E-4</v>
      </c>
      <c r="AE225" s="113">
        <f>'EmVap-Vol'!AE49</f>
        <v>2.6888857778934085E-4</v>
      </c>
      <c r="AF225" s="113">
        <f>'EmVap-Vol'!AF49</f>
        <v>2.2824639619806395E-4</v>
      </c>
      <c r="AG225" s="113">
        <f>'EmVap-Vol'!AG49</f>
        <v>6.2825162020563069E-4</v>
      </c>
      <c r="AH225" s="113">
        <f>'EmVap-Vol'!AH49</f>
        <v>5.0888354378119034E-4</v>
      </c>
      <c r="AI225" s="113">
        <f>'EmVap-Vol'!AI49</f>
        <v>3.9144872943603064E-4</v>
      </c>
      <c r="AJ225" s="113">
        <f>'EmVap-Vol'!AJ49</f>
        <v>3.1805202477984764E-4</v>
      </c>
      <c r="AK225" s="113">
        <f>'EmVap-Vol'!AK49</f>
        <v>2.5444153627073685E-4</v>
      </c>
      <c r="AL225" s="113">
        <f>'EmVap-Vol'!AL49</f>
        <v>1.8847519545544717E-4</v>
      </c>
      <c r="AM225" s="113">
        <f>'EmVap-Vol'!AM49</f>
        <v>1.5902594531763968E-4</v>
      </c>
      <c r="AN225" s="113">
        <f>'EmVap-Vol'!AN49</f>
        <v>4.0184064655524867E-4</v>
      </c>
      <c r="AO225" s="113">
        <f>'EmVap-Vol'!AO49</f>
        <v>3.3940398754173182E-4</v>
      </c>
      <c r="AP225" s="113">
        <f>'EmVap-Vol'!AP49</f>
        <v>3.3343642145126034E-4</v>
      </c>
      <c r="AQ225" s="113">
        <f>'EmVap-Vol'!AQ49</f>
        <v>3.1110408609158637E-4</v>
      </c>
      <c r="AR225" s="113">
        <f>'EmVap-Vol'!AR49</f>
        <v>2.9673552292587611E-4</v>
      </c>
      <c r="AS225" s="113">
        <f>'EmVap-Vol'!AS49</f>
        <v>2.9471149548520079E-4</v>
      </c>
      <c r="AT225" s="113">
        <f>'EmVap-Vol'!AT49</f>
        <v>2.8245061933669375E-4</v>
      </c>
      <c r="AU225" s="113">
        <f>'EmVap-Vol'!AU49</f>
        <v>2.862821240185571E-4</v>
      </c>
      <c r="AV225" s="113">
        <f>'EmVap-Vol'!AV49</f>
        <v>2.7169829643089585E-4</v>
      </c>
      <c r="AW225" s="113">
        <f>'EmVap-Vol'!AW49</f>
        <v>2.8633748018150643E-4</v>
      </c>
      <c r="AX225" s="113">
        <f>'EmVap-Vol'!AX49</f>
        <v>1.8009935536198193E-3</v>
      </c>
      <c r="AY225" s="113">
        <f>'EmVap-Vol'!AY49</f>
        <v>1.8009935536198193E-3</v>
      </c>
      <c r="AZ225" s="113">
        <f>'EmVap-Vol'!AZ49</f>
        <v>2.4141974168879728E-3</v>
      </c>
      <c r="BA225" s="113">
        <f>'EmVap-Vol'!BA49</f>
        <v>3.2328581834376625E-3</v>
      </c>
      <c r="BB225" s="113">
        <f>'EmVap-Vol'!BB49</f>
        <v>5.1022216414718007E-4</v>
      </c>
      <c r="BC225" s="113">
        <f>'EmVap-Vol'!BC49</f>
        <v>455.79160448264452</v>
      </c>
      <c r="BD225" s="113">
        <f>'EmVap-Vol'!BD49</f>
        <v>5.5344935658665729E-3</v>
      </c>
      <c r="BE225" s="113">
        <f>'EmVap-Vol'!BE49</f>
        <v>2.2740012300550826E-4</v>
      </c>
      <c r="BF225" s="113">
        <f>'EmVap-Vol'!BF49</f>
        <v>2.2740012300550826E-4</v>
      </c>
      <c r="BG225" s="113">
        <f>'EmVap-Vol'!BG49</f>
        <v>4.1126834407254634E-4</v>
      </c>
      <c r="BH225" s="113">
        <f>'EmVap-Vol'!BH49</f>
        <v>2.9390027781257791E-3</v>
      </c>
      <c r="BI225" s="113">
        <f>'EmVap-Vol'!BI49</f>
        <v>3.1163442233530492E-3</v>
      </c>
    </row>
    <row r="226" spans="1:61">
      <c r="A226" s="33"/>
      <c r="B226" s="33"/>
      <c r="C226" s="2425"/>
      <c r="D226" s="2426"/>
      <c r="E226" s="588" t="str">
        <f>'EmVap-Vol'!E70</f>
        <v>Période chronique</v>
      </c>
      <c r="F226" s="12"/>
      <c r="G226" s="89"/>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row>
    <row r="227" spans="1:61" ht="25.5">
      <c r="A227" s="97"/>
      <c r="B227" s="100"/>
      <c r="C227" s="2425"/>
      <c r="D227" s="2426"/>
      <c r="E227" s="103" t="str">
        <f>'EmVap-Vol'!E75</f>
        <v>CT de l'air du sol de la source à l'émission (après contrôle de masse)</v>
      </c>
      <c r="F227" s="14" t="str">
        <f>'EmVap-Vol'!F75</f>
        <v>CTsao-&gt;ém</v>
      </c>
      <c r="G227" s="105" t="str">
        <f>'EmVap-Vol'!G75</f>
        <v>(mg/m2/s)/(mg/l)</v>
      </c>
      <c r="H227" s="113">
        <f>'EmVap-Vol'!H75</f>
        <v>5.4695238783602389E-4</v>
      </c>
      <c r="I227" s="113">
        <f>'EmVap-Vol'!I75</f>
        <v>5.4695238783602389E-4</v>
      </c>
      <c r="J227" s="113">
        <f>'EmVap-Vol'!J75</f>
        <v>2.7844704639598083E-4</v>
      </c>
      <c r="K227" s="113">
        <f>'EmVap-Vol'!K75</f>
        <v>3.7031519823149957E-5</v>
      </c>
      <c r="L227" s="113">
        <f>'EmVap-Vol'!L75</f>
        <v>1.548612289986559E-4</v>
      </c>
      <c r="M227" s="113">
        <f>'EmVap-Vol'!M75</f>
        <v>1.548612289986559E-4</v>
      </c>
      <c r="N227" s="113">
        <f>'EmVap-Vol'!N75</f>
        <v>1.0042297681868412E-4</v>
      </c>
      <c r="O227" s="113">
        <f>'EmVap-Vol'!O75</f>
        <v>1.0042297681868412E-4</v>
      </c>
      <c r="P227" s="113">
        <f>'EmVap-Vol'!P75</f>
        <v>9.1984242694848056E-5</v>
      </c>
      <c r="Q227" s="113">
        <f>'EmVap-Vol'!Q75</f>
        <v>9.1984242694848056E-5</v>
      </c>
      <c r="R227" s="113">
        <f>'EmVap-Vol'!R75</f>
        <v>2.2883214292577979E-4</v>
      </c>
      <c r="S227" s="113">
        <f>'EmVap-Vol'!S75</f>
        <v>2.0540633067812444E-4</v>
      </c>
      <c r="T227" s="113">
        <f>'EmVap-Vol'!T75</f>
        <v>2.0540633067812444E-4</v>
      </c>
      <c r="U227" s="113">
        <f>'EmVap-Vol'!U75</f>
        <v>5.1808424319147455E-5</v>
      </c>
      <c r="V227" s="113">
        <f>'EmVap-Vol'!V75</f>
        <v>3.1652232047774111E-5</v>
      </c>
      <c r="W227" s="113">
        <f>'EmVap-Vol'!W75</f>
        <v>3.1652232047774111E-5</v>
      </c>
      <c r="X227" s="113">
        <f>'EmVap-Vol'!X75</f>
        <v>1.5081859397934435E-4</v>
      </c>
      <c r="Y227" s="113">
        <f>'EmVap-Vol'!Y75</f>
        <v>1.6834785556745521E-4</v>
      </c>
      <c r="Z227" s="113">
        <f>'EmVap-Vol'!Z75</f>
        <v>2.0262044182326581E-4</v>
      </c>
      <c r="AA227" s="113">
        <f>'EmVap-Vol'!AA75</f>
        <v>8.5601415741445673E-5</v>
      </c>
      <c r="AB227" s="113">
        <f>'EmVap-Vol'!AB75</f>
        <v>1.4636563963157616E-4</v>
      </c>
      <c r="AC227" s="113">
        <f>'EmVap-Vol'!AC75</f>
        <v>2.4265845584065074E-4</v>
      </c>
      <c r="AD227" s="113">
        <f>'EmVap-Vol'!AD75</f>
        <v>2.9617947105897106E-4</v>
      </c>
      <c r="AE227" s="113">
        <f>'EmVap-Vol'!AE75</f>
        <v>2.6458176181694639E-4</v>
      </c>
      <c r="AF227" s="113">
        <f>'EmVap-Vol'!AF75</f>
        <v>2.2823390810557077E-4</v>
      </c>
      <c r="AG227" s="113">
        <f>'EmVap-Vol'!AG75</f>
        <v>2.3037141829500553E-5</v>
      </c>
      <c r="AH227" s="113">
        <f>'EmVap-Vol'!AH75</f>
        <v>3.0767898703010778E-5</v>
      </c>
      <c r="AI227" s="113">
        <f>'EmVap-Vol'!AI75</f>
        <v>6.0386472677710355E-5</v>
      </c>
      <c r="AJ227" s="113">
        <f>'EmVap-Vol'!AJ75</f>
        <v>1.0036329522074687E-4</v>
      </c>
      <c r="AK227" s="113">
        <f>'EmVap-Vol'!AK75</f>
        <v>1.4739924812186977E-4</v>
      </c>
      <c r="AL227" s="113">
        <f>'EmVap-Vol'!AL75</f>
        <v>1.7680031828057631E-4</v>
      </c>
      <c r="AM227" s="113">
        <f>'EmVap-Vol'!AM75</f>
        <v>1.5896061486449779E-4</v>
      </c>
      <c r="AN227" s="113">
        <f>'EmVap-Vol'!AN75</f>
        <v>2.8564356991238305E-4</v>
      </c>
      <c r="AO227" s="113">
        <f>'EmVap-Vol'!AO75</f>
        <v>3.3324936437693914E-4</v>
      </c>
      <c r="AP227" s="113">
        <f>'EmVap-Vol'!AP75</f>
        <v>3.2368104741037107E-4</v>
      </c>
      <c r="AQ227" s="113">
        <f>'EmVap-Vol'!AQ75</f>
        <v>3.075560934069006E-4</v>
      </c>
      <c r="AR227" s="113">
        <f>'EmVap-Vol'!AR75</f>
        <v>2.9609034237929011E-4</v>
      </c>
      <c r="AS227" s="113">
        <f>'EmVap-Vol'!AS75</f>
        <v>2.9388551410977116E-4</v>
      </c>
      <c r="AT227" s="113">
        <f>'EmVap-Vol'!AT75</f>
        <v>2.8239871023385253E-4</v>
      </c>
      <c r="AU227" s="113">
        <f>'EmVap-Vol'!AU75</f>
        <v>2.8623134411418622E-4</v>
      </c>
      <c r="AV227" s="113">
        <f>'EmVap-Vol'!AV75</f>
        <v>2.716913432458069E-4</v>
      </c>
      <c r="AW227" s="113">
        <f>'EmVap-Vol'!AW75</f>
        <v>2.8633028416598009E-4</v>
      </c>
      <c r="AX227" s="113">
        <f>'EmVap-Vol'!AX75</f>
        <v>1.800986978404435E-3</v>
      </c>
      <c r="AY227" s="113">
        <f>'EmVap-Vol'!AY75</f>
        <v>1.8009890410886748E-3</v>
      </c>
      <c r="AZ227" s="113">
        <f>'EmVap-Vol'!AZ75</f>
        <v>2.4141920804133074E-3</v>
      </c>
      <c r="BA227" s="113">
        <f>'EmVap-Vol'!BA75</f>
        <v>3.2328565529041588E-3</v>
      </c>
      <c r="BB227" s="113">
        <f>'EmVap-Vol'!BB75</f>
        <v>5.1022140047048538E-4</v>
      </c>
      <c r="BC227" s="113">
        <f>'EmVap-Vol'!BC75</f>
        <v>455.79147190691157</v>
      </c>
      <c r="BD227" s="113">
        <f>'EmVap-Vol'!BD75</f>
        <v>5.4583906153338685E-3</v>
      </c>
      <c r="BE227" s="113">
        <f>'EmVap-Vol'!BE75</f>
        <v>2.2739552718573165E-4</v>
      </c>
      <c r="BF227" s="113">
        <f>'EmVap-Vol'!BF75</f>
        <v>2.2739552718573165E-4</v>
      </c>
      <c r="BG227" s="113">
        <f>'EmVap-Vol'!BG75</f>
        <v>3.7845498726782705E-5</v>
      </c>
      <c r="BH227" s="113">
        <f>'EmVap-Vol'!BH75</f>
        <v>2.9094902148513045E-3</v>
      </c>
      <c r="BI227" s="113">
        <f>'EmVap-Vol'!BI75</f>
        <v>2.0443980876345218E-3</v>
      </c>
    </row>
    <row r="228" spans="1:61">
      <c r="A228" s="97"/>
      <c r="B228" s="100"/>
      <c r="C228" s="2425"/>
      <c r="D228" s="2426"/>
      <c r="E228" s="3927" t="s">
        <v>950</v>
      </c>
      <c r="F228" s="14"/>
      <c r="G228" s="105"/>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row>
    <row r="229" spans="1:61" ht="25.5">
      <c r="A229" s="97"/>
      <c r="B229" s="100"/>
      <c r="C229" s="2425"/>
      <c r="D229" s="2426"/>
      <c r="E229" s="3498" t="str">
        <f>'EmVap-Vol'!E84</f>
        <v>CT de l'air du sol de la source à l'émission (après contrôle de masse)</v>
      </c>
      <c r="F229" s="14" t="str">
        <f>'EmVap-Vol'!F84</f>
        <v>CTsao-&gt;ém</v>
      </c>
      <c r="G229" s="105" t="str">
        <f>'EmVap-Vol'!G84</f>
        <v>(mg/m2/s)/(mg/l)</v>
      </c>
      <c r="H229" s="113">
        <f>'EmVap-Vol'!H84</f>
        <v>7.7304708284933906E-4</v>
      </c>
      <c r="I229" s="113">
        <f>'EmVap-Vol'!I84</f>
        <v>7.7304708284933906E-4</v>
      </c>
      <c r="J229" s="113">
        <f>'EmVap-Vol'!J84</f>
        <v>6.615726185296236E-4</v>
      </c>
      <c r="K229" s="113">
        <f>'EmVap-Vol'!K84</f>
        <v>1.9845645755930995E-4</v>
      </c>
      <c r="L229" s="113">
        <f>'EmVap-Vol'!L84</f>
        <v>3.352134814200984E-4</v>
      </c>
      <c r="M229" s="113">
        <f>'EmVap-Vol'!M84</f>
        <v>3.352134814200984E-4</v>
      </c>
      <c r="N229" s="113">
        <f>'EmVap-Vol'!N84</f>
        <v>2.6362689166664665E-4</v>
      </c>
      <c r="O229" s="113">
        <f>'EmVap-Vol'!O84</f>
        <v>2.6362689166664665E-4</v>
      </c>
      <c r="P229" s="113">
        <f>'EmVap-Vol'!P84</f>
        <v>2.407700197168636E-4</v>
      </c>
      <c r="Q229" s="113">
        <f>'EmVap-Vol'!Q84</f>
        <v>2.407700197168636E-4</v>
      </c>
      <c r="R229" s="113">
        <f>'EmVap-Vol'!R84</f>
        <v>1.3692415109493382E-3</v>
      </c>
      <c r="S229" s="113">
        <f>'EmVap-Vol'!S84</f>
        <v>4.4817763946797333E-4</v>
      </c>
      <c r="T229" s="113">
        <f>'EmVap-Vol'!T84</f>
        <v>4.4817763946797333E-4</v>
      </c>
      <c r="U229" s="113">
        <f>'EmVap-Vol'!U84</f>
        <v>1.9572593284143433E-4</v>
      </c>
      <c r="V229" s="113">
        <f>'EmVap-Vol'!V84</f>
        <v>8.9683150070965964E-5</v>
      </c>
      <c r="W229" s="113">
        <f>'EmVap-Vol'!W84</f>
        <v>8.9683150070965964E-5</v>
      </c>
      <c r="X229" s="113">
        <f>'EmVap-Vol'!X84</f>
        <v>3.3179786850597774E-4</v>
      </c>
      <c r="Y229" s="113">
        <f>'EmVap-Vol'!Y84</f>
        <v>3.6025114827202949E-4</v>
      </c>
      <c r="Z229" s="113">
        <f>'EmVap-Vol'!Z84</f>
        <v>4.1420158383926155E-4</v>
      </c>
      <c r="AA229" s="113">
        <f>'EmVap-Vol'!AA84</f>
        <v>4.7392839080408899E-4</v>
      </c>
      <c r="AB229" s="113">
        <f>'EmVap-Vol'!AB84</f>
        <v>2.682262118809661E-4</v>
      </c>
      <c r="AC229" s="113">
        <f>'EmVap-Vol'!AC84</f>
        <v>3.4211666183171265E-4</v>
      </c>
      <c r="AD229" s="113">
        <f>'EmVap-Vol'!AD84</f>
        <v>3.3054832916541271E-4</v>
      </c>
      <c r="AE229" s="113">
        <f>'EmVap-Vol'!AE84</f>
        <v>2.6814926757304897E-4</v>
      </c>
      <c r="AF229" s="113">
        <f>'EmVap-Vol'!AF84</f>
        <v>2.2824430895609373E-4</v>
      </c>
      <c r="AG229" s="113">
        <f>'EmVap-Vol'!AG84</f>
        <v>1.0269150581571205E-4</v>
      </c>
      <c r="AH229" s="113">
        <f>'EmVap-Vol'!AH84</f>
        <v>1.0414642192347542E-4</v>
      </c>
      <c r="AI229" s="113">
        <f>'EmVap-Vol'!AI84</f>
        <v>1.3101353811471812E-4</v>
      </c>
      <c r="AJ229" s="113">
        <f>'EmVap-Vol'!AJ84</f>
        <v>1.8901483775742505E-4</v>
      </c>
      <c r="AK229" s="113">
        <f>'EmVap-Vol'!AK84</f>
        <v>2.1601902012845356E-4</v>
      </c>
      <c r="AL229" s="113">
        <f>'EmVap-Vol'!AL84</f>
        <v>1.8630854547928695E-4</v>
      </c>
      <c r="AM229" s="113">
        <f>'EmVap-Vol'!AM84</f>
        <v>1.590150196026722E-4</v>
      </c>
      <c r="AN229" s="113">
        <f>'EmVap-Vol'!AN84</f>
        <v>3.9649547439878915E-4</v>
      </c>
      <c r="AO229" s="113">
        <f>'EmVap-Vol'!AO84</f>
        <v>3.383437186615933E-4</v>
      </c>
      <c r="AP229" s="113">
        <f>'EmVap-Vol'!AP84</f>
        <v>3.3172404104673799E-4</v>
      </c>
      <c r="AQ229" s="113">
        <f>'EmVap-Vol'!AQ84</f>
        <v>3.1049972921761619E-4</v>
      </c>
      <c r="AR229" s="113">
        <f>'EmVap-Vol'!AR84</f>
        <v>2.9662730679366056E-4</v>
      </c>
      <c r="AS229" s="113">
        <f>'EmVap-Vol'!AS84</f>
        <v>2.9457280835039953E-4</v>
      </c>
      <c r="AT229" s="113">
        <f>'EmVap-Vol'!AT84</f>
        <v>2.8244194146025213E-4</v>
      </c>
      <c r="AU229" s="113">
        <f>'EmVap-Vol'!AU84</f>
        <v>2.8627363500566868E-4</v>
      </c>
      <c r="AV229" s="113">
        <f>'EmVap-Vol'!AV84</f>
        <v>2.7169713434294069E-4</v>
      </c>
      <c r="AW229" s="113">
        <f>'EmVap-Vol'!AW84</f>
        <v>2.8633627750896252E-4</v>
      </c>
      <c r="AX229" s="113">
        <f>'EmVap-Vol'!AX84</f>
        <v>1.800992454654755E-3</v>
      </c>
      <c r="AY229" s="113">
        <f>'EmVap-Vol'!AY84</f>
        <v>1.8009927995455215E-3</v>
      </c>
      <c r="AZ229" s="113">
        <f>'EmVap-Vol'!AZ84</f>
        <v>2.4141965250258452E-3</v>
      </c>
      <c r="BA229" s="113">
        <f>'EmVap-Vol'!BA84</f>
        <v>3.2328579108792193E-3</v>
      </c>
      <c r="BB229" s="113">
        <f>'EmVap-Vol'!BB84</f>
        <v>5.1022203653662297E-4</v>
      </c>
      <c r="BC229" s="113">
        <f>'EmVap-Vol'!BC84</f>
        <v>455.79158225586264</v>
      </c>
      <c r="BD229" s="113">
        <f>'EmVap-Vol'!BD84</f>
        <v>5.5214792861534518E-3</v>
      </c>
      <c r="BE229" s="113">
        <f>'EmVap-Vol'!BE84</f>
        <v>2.2739935491284115E-4</v>
      </c>
      <c r="BF229" s="113">
        <f>'EmVap-Vol'!BF84</f>
        <v>2.2739935491284115E-4</v>
      </c>
      <c r="BG229" s="113">
        <f>'EmVap-Vol'!BG84</f>
        <v>1.0112722442491638E-4</v>
      </c>
      <c r="BH229" s="113">
        <f>'EmVap-Vol'!BH84</f>
        <v>2.9339871363529288E-3</v>
      </c>
      <c r="BI229" s="113">
        <f>'EmVap-Vol'!BI84</f>
        <v>3.0590444967237627E-3</v>
      </c>
    </row>
    <row r="230" spans="1:61">
      <c r="A230" s="97"/>
      <c r="B230" s="100"/>
      <c r="C230" s="2425"/>
      <c r="D230" s="2426"/>
      <c r="E230" s="588" t="str">
        <f>'EmVap-Vol'!E87</f>
        <v>Période enfant 0-6 ans (effets sans seuil)</v>
      </c>
      <c r="F230" s="14"/>
      <c r="G230" s="105"/>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row>
    <row r="231" spans="1:61" ht="25.5">
      <c r="A231" s="97"/>
      <c r="B231" s="100"/>
      <c r="C231" s="2427"/>
      <c r="D231" s="2426"/>
      <c r="E231" s="103" t="str">
        <f>'EmVap-Vol'!E92</f>
        <v>CT de l'air du sol de la source à l'émission (après contrôle de masse)</v>
      </c>
      <c r="F231" s="14" t="str">
        <f>'EmVap-Vol'!F92</f>
        <v>CTsao-&gt;ém</v>
      </c>
      <c r="G231" s="105" t="str">
        <f>'EmVap-Vol'!G92</f>
        <v>(mg/m2/s)/(mg/l)</v>
      </c>
      <c r="H231" s="113">
        <f>'EmVap-Vol'!H92</f>
        <v>5.6625340125127999E-4</v>
      </c>
      <c r="I231" s="113">
        <f>'EmVap-Vol'!I92</f>
        <v>5.6625340125127999E-4</v>
      </c>
      <c r="J231" s="113">
        <f>'EmVap-Vol'!J92</f>
        <v>2.9506104684245163E-4</v>
      </c>
      <c r="K231" s="113">
        <f>'EmVap-Vol'!K92</f>
        <v>6.1719199705249922E-6</v>
      </c>
      <c r="L231" s="113">
        <f>'EmVap-Vol'!L92</f>
        <v>3.3010911945495617E-5</v>
      </c>
      <c r="M231" s="113">
        <f>'EmVap-Vol'!M92</f>
        <v>3.3010911945495617E-5</v>
      </c>
      <c r="N231" s="113">
        <f>'EmVap-Vol'!N92</f>
        <v>1.673716280311402E-5</v>
      </c>
      <c r="O231" s="113">
        <f>'EmVap-Vol'!O92</f>
        <v>1.673716280311402E-5</v>
      </c>
      <c r="P231" s="113">
        <f>'EmVap-Vol'!P92</f>
        <v>1.5330707115808009E-5</v>
      </c>
      <c r="Q231" s="113">
        <f>'EmVap-Vol'!Q92</f>
        <v>1.5330707115808009E-5</v>
      </c>
      <c r="R231" s="113">
        <f>'EmVap-Vol'!R92</f>
        <v>3.8138690487629963E-5</v>
      </c>
      <c r="S231" s="113">
        <f>'EmVap-Vol'!S92</f>
        <v>4.0651966282840303E-5</v>
      </c>
      <c r="T231" s="113">
        <f>'EmVap-Vol'!T92</f>
        <v>4.0651966282840303E-5</v>
      </c>
      <c r="U231" s="113">
        <f>'EmVap-Vol'!U92</f>
        <v>8.6347373865245747E-6</v>
      </c>
      <c r="V231" s="113">
        <f>'EmVap-Vol'!V92</f>
        <v>5.2753720079623515E-6</v>
      </c>
      <c r="W231" s="113">
        <f>'EmVap-Vol'!W92</f>
        <v>5.2753720079623515E-6</v>
      </c>
      <c r="X231" s="113">
        <f>'EmVap-Vol'!X92</f>
        <v>2.7498597386978914E-5</v>
      </c>
      <c r="Y231" s="113">
        <f>'EmVap-Vol'!Y92</f>
        <v>3.9677142108498037E-5</v>
      </c>
      <c r="Z231" s="113">
        <f>'EmVap-Vol'!Z92</f>
        <v>6.6997628456839868E-5</v>
      </c>
      <c r="AA231" s="113">
        <f>'EmVap-Vol'!AA92</f>
        <v>9.9868318365019948E-5</v>
      </c>
      <c r="AB231" s="113">
        <f>'EmVap-Vol'!AB92</f>
        <v>6.7689521318932896E-5</v>
      </c>
      <c r="AC231" s="113">
        <f>'EmVap-Vol'!AC92</f>
        <v>1.3103205412602568E-4</v>
      </c>
      <c r="AD231" s="113">
        <f>'EmVap-Vol'!AD92</f>
        <v>2.0940438732554658E-4</v>
      </c>
      <c r="AE231" s="113">
        <f>'EmVap-Vol'!AE92</f>
        <v>2.4646529009274179E-4</v>
      </c>
      <c r="AF231" s="113">
        <f>'EmVap-Vol'!AF92</f>
        <v>2.2817150860812341E-4</v>
      </c>
      <c r="AG231" s="113">
        <f>'EmVap-Vol'!AG92</f>
        <v>3.8395236382500922E-6</v>
      </c>
      <c r="AH231" s="113">
        <f>'EmVap-Vol'!AH92</f>
        <v>5.1279831171684633E-6</v>
      </c>
      <c r="AI231" s="113">
        <f>'EmVap-Vol'!AI92</f>
        <v>1.2611413325747907E-5</v>
      </c>
      <c r="AJ231" s="113">
        <f>'EmVap-Vol'!AJ92</f>
        <v>4.5819594806889035E-5</v>
      </c>
      <c r="AK231" s="113">
        <f>'EmVap-Vol'!AK92</f>
        <v>7.7391016944546818E-5</v>
      </c>
      <c r="AL231" s="113">
        <f>'EmVap-Vol'!AL92</f>
        <v>1.4278630599433753E-4</v>
      </c>
      <c r="AM231" s="113">
        <f>'EmVap-Vol'!AM92</f>
        <v>1.5863556405249825E-4</v>
      </c>
      <c r="AN231" s="113">
        <f>'EmVap-Vol'!AN92</f>
        <v>2.9535541450236951E-4</v>
      </c>
      <c r="AO231" s="113">
        <f>'EmVap-Vol'!AO92</f>
        <v>3.0788386377142191E-4</v>
      </c>
      <c r="AP231" s="113">
        <f>'EmVap-Vol'!AP92</f>
        <v>2.8731704579976333E-4</v>
      </c>
      <c r="AQ231" s="113">
        <f>'EmVap-Vol'!AQ92</f>
        <v>2.9192500142213846E-4</v>
      </c>
      <c r="AR231" s="113">
        <f>'EmVap-Vol'!AR92</f>
        <v>2.9294621573070623E-4</v>
      </c>
      <c r="AS231" s="113">
        <f>'EmVap-Vol'!AS92</f>
        <v>2.8988946436231741E-4</v>
      </c>
      <c r="AT231" s="113">
        <f>'EmVap-Vol'!AT92</f>
        <v>2.8213973569824792E-4</v>
      </c>
      <c r="AU231" s="113">
        <f>'EmVap-Vol'!AU92</f>
        <v>2.8597798373322544E-4</v>
      </c>
      <c r="AV231" s="113">
        <f>'EmVap-Vol'!AV92</f>
        <v>2.7165658799331908E-4</v>
      </c>
      <c r="AW231" s="113">
        <f>'EmVap-Vol'!AW92</f>
        <v>2.8629431493598558E-4</v>
      </c>
      <c r="AX231" s="113">
        <f>'EmVap-Vol'!AX92</f>
        <v>1.8009541037528035E-3</v>
      </c>
      <c r="AY231" s="113">
        <f>'EmVap-Vol'!AY92</f>
        <v>1.800966478964135E-3</v>
      </c>
      <c r="AZ231" s="113">
        <f>'EmVap-Vol'!AZ92</f>
        <v>2.4141653987940158E-3</v>
      </c>
      <c r="BA231" s="113">
        <f>'EmVap-Vol'!BA92</f>
        <v>3.2328484014037245E-3</v>
      </c>
      <c r="BB231" s="113">
        <f>'EmVap-Vol'!BB92</f>
        <v>5.1021758214697167E-4</v>
      </c>
      <c r="BC231" s="113">
        <f>'EmVap-Vol'!BC92</f>
        <v>455.7908091782565</v>
      </c>
      <c r="BD231" s="113">
        <f>'EmVap-Vol'!BD92</f>
        <v>5.1310072754380699E-3</v>
      </c>
      <c r="BE231" s="113">
        <f>'EmVap-Vol'!BE92</f>
        <v>2.2737255365915503E-4</v>
      </c>
      <c r="BF231" s="113">
        <f>'EmVap-Vol'!BF92</f>
        <v>2.2737255365915503E-4</v>
      </c>
      <c r="BG231" s="113">
        <f>'EmVap-Vol'!BG92</f>
        <v>6.3075831211304503E-6</v>
      </c>
      <c r="BH231" s="113">
        <f>'EmVap-Vol'!BH92</f>
        <v>2.7776157208261737E-3</v>
      </c>
      <c r="BI231" s="113">
        <f>'EmVap-Vol'!BI92</f>
        <v>2.1243048343372426E-3</v>
      </c>
    </row>
    <row r="232" spans="1:61">
      <c r="A232" s="97"/>
      <c r="B232" s="100"/>
      <c r="C232" s="2425"/>
      <c r="D232" s="2426"/>
      <c r="E232" s="588" t="str">
        <f>'EmVap-Vol'!E452</f>
        <v>Période employé (40 ans)</v>
      </c>
      <c r="F232" s="14"/>
      <c r="G232" s="105"/>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row>
    <row r="233" spans="1:61" s="2446" customFormat="1" ht="25.5" customHeight="1">
      <c r="A233" s="2444"/>
      <c r="B233" s="2445"/>
      <c r="C233" s="4110"/>
      <c r="D233" s="4111"/>
      <c r="E233" s="352" t="str">
        <f>'EmVap-Vol'!E101</f>
        <v>CT de l'air du sol de la source à l'émission (après contrôle de masse)</v>
      </c>
      <c r="F233" s="63" t="str">
        <f>'EmVap-Vol'!F101</f>
        <v>CTsao-&gt;ém</v>
      </c>
      <c r="G233" s="515" t="str">
        <f>'EmVap-Vol'!G101</f>
        <v>(mg/m2/s)/(mg/l)</v>
      </c>
      <c r="H233" s="237">
        <f>'EmVap-Vol'!H101</f>
        <v>3.1999676770686278E-4</v>
      </c>
      <c r="I233" s="237">
        <f>'EmVap-Vol'!I101</f>
        <v>3.1999676770686278E-4</v>
      </c>
      <c r="J233" s="237">
        <f>'EmVap-Vol'!J101</f>
        <v>1.3412825827528905E-4</v>
      </c>
      <c r="K233" s="237">
        <f>'EmVap-Vol'!K101</f>
        <v>9.2578799557874888E-7</v>
      </c>
      <c r="L233" s="237">
        <f>'EmVap-Vol'!L101</f>
        <v>4.9516367918243421E-6</v>
      </c>
      <c r="M233" s="237">
        <f>'EmVap-Vol'!M101</f>
        <v>4.9516367918243421E-6</v>
      </c>
      <c r="N233" s="237">
        <f>'EmVap-Vol'!N101</f>
        <v>2.5105744204671032E-6</v>
      </c>
      <c r="O233" s="237">
        <f>'EmVap-Vol'!O101</f>
        <v>2.5105744204671032E-6</v>
      </c>
      <c r="P233" s="237">
        <f>'EmVap-Vol'!P101</f>
        <v>2.2996060673712017E-6</v>
      </c>
      <c r="Q233" s="237">
        <f>'EmVap-Vol'!Q101</f>
        <v>2.2996060673712017E-6</v>
      </c>
      <c r="R233" s="237">
        <f>'EmVap-Vol'!R101</f>
        <v>5.720803573144495E-6</v>
      </c>
      <c r="S233" s="237">
        <f>'EmVap-Vol'!S101</f>
        <v>6.0977949424260457E-6</v>
      </c>
      <c r="T233" s="237">
        <f>'EmVap-Vol'!T101</f>
        <v>6.0977949424260457E-6</v>
      </c>
      <c r="U233" s="237">
        <f>'EmVap-Vol'!U101</f>
        <v>1.2952106079786864E-6</v>
      </c>
      <c r="V233" s="237">
        <f>'EmVap-Vol'!V101</f>
        <v>7.9130580119435269E-7</v>
      </c>
      <c r="W233" s="237">
        <f>'EmVap-Vol'!W101</f>
        <v>7.9130580119435269E-7</v>
      </c>
      <c r="X233" s="237">
        <f>'EmVap-Vol'!X101</f>
        <v>4.124789608046837E-6</v>
      </c>
      <c r="Y233" s="237">
        <f>'EmVap-Vol'!Y101</f>
        <v>5.9515713162747051E-6</v>
      </c>
      <c r="Z233" s="237">
        <f>'EmVap-Vol'!Z101</f>
        <v>1.004964426852598E-5</v>
      </c>
      <c r="AA233" s="237">
        <f>'EmVap-Vol'!AA101</f>
        <v>1.4980247754752993E-5</v>
      </c>
      <c r="AB233" s="237">
        <f>'EmVap-Vol'!AB101</f>
        <v>1.3245476343958458E-5</v>
      </c>
      <c r="AC233" s="237">
        <f>'EmVap-Vol'!AC101</f>
        <v>5.7467653562185339E-5</v>
      </c>
      <c r="AD233" s="237">
        <f>'EmVap-Vol'!AD101</f>
        <v>1.0813940664182331E-4</v>
      </c>
      <c r="AE233" s="237">
        <f>'EmVap-Vol'!AE101</f>
        <v>1.8482398050019935E-4</v>
      </c>
      <c r="AF233" s="237">
        <f>'EmVap-Vol'!AF101</f>
        <v>2.2774899285737615E-4</v>
      </c>
      <c r="AG233" s="237">
        <f>'EmVap-Vol'!AG101</f>
        <v>5.7592854573751388E-7</v>
      </c>
      <c r="AH233" s="237">
        <f>'EmVap-Vol'!AH101</f>
        <v>7.6919746757526942E-7</v>
      </c>
      <c r="AI233" s="237">
        <f>'EmVap-Vol'!AI101</f>
        <v>1.8917119988621861E-6</v>
      </c>
      <c r="AJ233" s="237">
        <f>'EmVap-Vol'!AJ101</f>
        <v>7.9469290003178434E-6</v>
      </c>
      <c r="AK233" s="237">
        <f>'EmVap-Vol'!AK101</f>
        <v>3.3484333740488201E-5</v>
      </c>
      <c r="AL233" s="237">
        <f>'EmVap-Vol'!AL101</f>
        <v>8.3731770165945167E-5</v>
      </c>
      <c r="AM233" s="237">
        <f>'EmVap-Vol'!AM101</f>
        <v>1.5649322251080864E-4</v>
      </c>
      <c r="AN233" s="237">
        <f>'EmVap-Vol'!AN101</f>
        <v>1.691109636841373E-4</v>
      </c>
      <c r="AO233" s="237">
        <f>'EmVap-Vol'!AO101</f>
        <v>2.2608974148822402E-4</v>
      </c>
      <c r="AP233" s="237">
        <f>'EmVap-Vol'!AP101</f>
        <v>1.9369749742887272E-4</v>
      </c>
      <c r="AQ233" s="237">
        <f>'EmVap-Vol'!AQ101</f>
        <v>2.3102577478218558E-4</v>
      </c>
      <c r="AR233" s="237">
        <f>'EmVap-Vol'!AR101</f>
        <v>2.7454709748293653E-4</v>
      </c>
      <c r="AS233" s="237">
        <f>'EmVap-Vol'!AS101</f>
        <v>2.6736597663623839E-4</v>
      </c>
      <c r="AT233" s="237">
        <f>'EmVap-Vol'!AT101</f>
        <v>2.8040349165376949E-4</v>
      </c>
      <c r="AU233" s="237">
        <f>'EmVap-Vol'!AU101</f>
        <v>2.8427854871654492E-4</v>
      </c>
      <c r="AV233" s="237">
        <f>'EmVap-Vol'!AV101</f>
        <v>2.7142072281338187E-4</v>
      </c>
      <c r="AW233" s="237">
        <f>'EmVap-Vol'!AW101</f>
        <v>2.8605020240802463E-4</v>
      </c>
      <c r="AX233" s="237">
        <f>'EmVap-Vol'!AX101</f>
        <v>1.8007306197996094E-3</v>
      </c>
      <c r="AY233" s="237">
        <f>'EmVap-Vol'!AY101</f>
        <v>1.8008130866368896E-3</v>
      </c>
      <c r="AZ233" s="237">
        <f>'EmVap-Vol'!AZ101</f>
        <v>2.4139839949889733E-3</v>
      </c>
      <c r="BA233" s="237">
        <f>'EmVap-Vol'!BA101</f>
        <v>3.2327929723705655E-3</v>
      </c>
      <c r="BB233" s="237">
        <f>'EmVap-Vol'!BB101</f>
        <v>5.1019162057825101E-4</v>
      </c>
      <c r="BC233" s="237">
        <f>'EmVap-Vol'!BC101</f>
        <v>455.78630260298974</v>
      </c>
      <c r="BD233" s="237">
        <f>'EmVap-Vol'!BD101</f>
        <v>3.9446604995624791E-3</v>
      </c>
      <c r="BE233" s="237">
        <f>'EmVap-Vol'!BE101</f>
        <v>2.2721657943876791E-4</v>
      </c>
      <c r="BF233" s="237">
        <f>'EmVap-Vol'!BF101</f>
        <v>2.2721657943876791E-4</v>
      </c>
      <c r="BG233" s="237">
        <f>'EmVap-Vol'!BG101</f>
        <v>9.4613746816956763E-7</v>
      </c>
      <c r="BH233" s="237">
        <f>'EmVap-Vol'!BH101</f>
        <v>2.2395537204052403E-3</v>
      </c>
      <c r="BI233" s="237">
        <f>'EmVap-Vol'!BI101</f>
        <v>1.1564242255225827E-3</v>
      </c>
    </row>
    <row r="234" spans="1:61">
      <c r="A234" s="97"/>
      <c r="B234" s="100"/>
      <c r="C234" s="2425"/>
      <c r="D234" s="2426"/>
      <c r="E234" s="103"/>
      <c r="F234" s="14"/>
      <c r="G234" s="105"/>
      <c r="H234" s="113"/>
      <c r="I234" s="113"/>
      <c r="J234" s="113"/>
      <c r="K234" s="113"/>
      <c r="L234" s="113"/>
      <c r="M234" s="113"/>
      <c r="N234" s="113"/>
      <c r="O234" s="113"/>
      <c r="P234" s="113"/>
      <c r="Q234" s="113"/>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row>
    <row r="235" spans="1:61" ht="13.5" customHeight="1">
      <c r="A235" s="30" t="s">
        <v>266</v>
      </c>
      <c r="B235" s="30" t="s">
        <v>266</v>
      </c>
      <c r="C235" s="2428"/>
      <c r="D235" s="2429"/>
      <c r="E235" s="145" t="s">
        <v>625</v>
      </c>
      <c r="F235" s="60"/>
      <c r="G235" s="143"/>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135"/>
      <c r="BB235" s="135"/>
      <c r="BC235" s="135"/>
      <c r="BD235" s="135"/>
      <c r="BE235" s="135"/>
      <c r="BF235" s="135"/>
      <c r="BG235" s="135"/>
      <c r="BH235" s="135"/>
      <c r="BI235" s="135"/>
    </row>
    <row r="236" spans="1:61" s="41" customFormat="1" ht="25.5">
      <c r="A236" s="31"/>
      <c r="B236" s="31"/>
      <c r="C236" s="2430" t="s">
        <v>591</v>
      </c>
      <c r="D236" s="2431"/>
      <c r="E236" s="141" t="s">
        <v>621</v>
      </c>
      <c r="F236" s="14" t="s">
        <v>151</v>
      </c>
      <c r="G236" s="105" t="s">
        <v>270</v>
      </c>
      <c r="H236" s="113">
        <f>(Dispers!$I34*FEM!$H11+Dispers!$H34*FEM!$H13)/(FEM!$H11+FEM!$H13)</f>
        <v>26.666666666666668</v>
      </c>
      <c r="I236" s="113">
        <f>(Dispers!$I34*FEM!$H11+Dispers!$H34*FEM!$H13)/(FEM!$H11+FEM!$H13)</f>
        <v>26.666666666666668</v>
      </c>
      <c r="J236" s="113">
        <f>(Dispers!$I34*FEM!$H11+Dispers!$H34*FEM!$H13)/(FEM!$H11+FEM!$H13)</f>
        <v>26.666666666666668</v>
      </c>
      <c r="K236" s="113">
        <f>(Dispers!$I34*FEM!$H11+Dispers!$H34*FEM!$H13)/(FEM!$H11+FEM!$H13)</f>
        <v>26.666666666666668</v>
      </c>
      <c r="L236" s="113">
        <f>(Dispers!$I34*FEM!$H11+Dispers!$H34*FEM!$H13)/(FEM!$H11+FEM!$H13)</f>
        <v>26.666666666666668</v>
      </c>
      <c r="M236" s="113">
        <f>(Dispers!$I34*FEM!$H11+Dispers!$H34*FEM!$H13)/(FEM!$H11+FEM!$H13)</f>
        <v>26.666666666666668</v>
      </c>
      <c r="N236" s="113">
        <f>(Dispers!$I34*FEM!$H11+Dispers!$H34*FEM!$H13)/(FEM!$H11+FEM!$H13)</f>
        <v>26.666666666666668</v>
      </c>
      <c r="O236" s="113">
        <f>(Dispers!$I34*FEM!$H11+Dispers!$H34*FEM!$H13)/(FEM!$H11+FEM!$H13)</f>
        <v>26.666666666666668</v>
      </c>
      <c r="P236" s="113">
        <f>(Dispers!$I34*FEM!$H11+Dispers!$H34*FEM!$H13)/(FEM!$H11+FEM!$H13)</f>
        <v>26.666666666666668</v>
      </c>
      <c r="Q236" s="113">
        <f>(Dispers!$I34*FEM!$H11+Dispers!$H34*FEM!$H13)/(FEM!$H11+FEM!$H13)</f>
        <v>26.666666666666668</v>
      </c>
      <c r="R236" s="113">
        <f>(Dispers!$I34*FEM!$H11+Dispers!$H34*FEM!$H13)/(FEM!$H11+FEM!$H13)</f>
        <v>26.666666666666668</v>
      </c>
      <c r="S236" s="113">
        <f>(Dispers!$I34*FEM!$H11+Dispers!$H34*FEM!$H13)/(FEM!$H11+FEM!$H13)</f>
        <v>26.666666666666668</v>
      </c>
      <c r="T236" s="113">
        <f>(Dispers!$I34*FEM!$H11+Dispers!$H34*FEM!$H13)/(FEM!$H11+FEM!$H13)</f>
        <v>26.666666666666668</v>
      </c>
      <c r="U236" s="113">
        <f>(Dispers!$I34*FEM!$H11+Dispers!$H34*FEM!$H13)/(FEM!$H11+FEM!$H13)</f>
        <v>26.666666666666668</v>
      </c>
      <c r="V236" s="113">
        <f>(Dispers!$I34*FEM!$H11+Dispers!$H34*FEM!$H13)/(FEM!$H11+FEM!$H13)</f>
        <v>26.666666666666668</v>
      </c>
      <c r="W236" s="113">
        <f>(Dispers!$I34*FEM!$H11+Dispers!$H34*FEM!$H13)/(FEM!$H11+FEM!$H13)</f>
        <v>26.666666666666668</v>
      </c>
      <c r="X236" s="113">
        <f>(Dispers!$I34*FEM!$H11+Dispers!$H34*FEM!$H13)/(FEM!$H11+FEM!$H13)</f>
        <v>26.666666666666668</v>
      </c>
      <c r="Y236" s="113">
        <f>(Dispers!$I34*FEM!$H11+Dispers!$H34*FEM!$H13)/(FEM!$H11+FEM!$H13)</f>
        <v>26.666666666666668</v>
      </c>
      <c r="Z236" s="113">
        <f>(Dispers!$I34*FEM!$H11+Dispers!$H34*FEM!$H13)/(FEM!$H11+FEM!$H13)</f>
        <v>26.666666666666668</v>
      </c>
      <c r="AA236" s="113">
        <f>(Dispers!$I34*FEM!$H11+Dispers!$H34*FEM!$H13)/(FEM!$H11+FEM!$H13)</f>
        <v>26.666666666666668</v>
      </c>
      <c r="AB236" s="113">
        <f>(Dispers!$I34*FEM!$H11+Dispers!$H34*FEM!$H13)/(FEM!$H11+FEM!$H13)</f>
        <v>26.666666666666668</v>
      </c>
      <c r="AC236" s="113">
        <f>(Dispers!$I34*FEM!$H11+Dispers!$H34*FEM!$H13)/(FEM!$H11+FEM!$H13)</f>
        <v>26.666666666666668</v>
      </c>
      <c r="AD236" s="113">
        <f>(Dispers!$I34*FEM!$H11+Dispers!$H34*FEM!$H13)/(FEM!$H11+FEM!$H13)</f>
        <v>26.666666666666668</v>
      </c>
      <c r="AE236" s="113">
        <f>(Dispers!$I34*FEM!$H11+Dispers!$H34*FEM!$H13)/(FEM!$H11+FEM!$H13)</f>
        <v>26.666666666666668</v>
      </c>
      <c r="AF236" s="113">
        <f>(Dispers!$I34*FEM!$H11+Dispers!$H34*FEM!$H13)/(FEM!$H11+FEM!$H13)</f>
        <v>26.666666666666668</v>
      </c>
      <c r="AG236" s="113">
        <f>(Dispers!$I34*FEM!$H11+Dispers!$H34*FEM!$H13)/(FEM!$H11+FEM!$H13)</f>
        <v>26.666666666666668</v>
      </c>
      <c r="AH236" s="113">
        <f>(Dispers!$I34*FEM!$H11+Dispers!$H34*FEM!$H13)/(FEM!$H11+FEM!$H13)</f>
        <v>26.666666666666668</v>
      </c>
      <c r="AI236" s="113">
        <f>(Dispers!$I34*FEM!$H11+Dispers!$H34*FEM!$H13)/(FEM!$H11+FEM!$H13)</f>
        <v>26.666666666666668</v>
      </c>
      <c r="AJ236" s="113">
        <f>(Dispers!$I34*FEM!$H11+Dispers!$H34*FEM!$H13)/(FEM!$H11+FEM!$H13)</f>
        <v>26.666666666666668</v>
      </c>
      <c r="AK236" s="113">
        <f>(Dispers!$I34*FEM!$H11+Dispers!$H34*FEM!$H13)/(FEM!$H11+FEM!$H13)</f>
        <v>26.666666666666668</v>
      </c>
      <c r="AL236" s="113">
        <f>(Dispers!$I34*FEM!$H11+Dispers!$H34*FEM!$H13)/(FEM!$H11+FEM!$H13)</f>
        <v>26.666666666666668</v>
      </c>
      <c r="AM236" s="113">
        <f>(Dispers!$I34*FEM!$H11+Dispers!$H34*FEM!$H13)/(FEM!$H11+FEM!$H13)</f>
        <v>26.666666666666668</v>
      </c>
      <c r="AN236" s="113">
        <f>(Dispers!$I34*FEM!$H11+Dispers!$H34*FEM!$H13)/(FEM!$H11+FEM!$H13)</f>
        <v>26.666666666666668</v>
      </c>
      <c r="AO236" s="113">
        <f>(Dispers!$I34*FEM!$H11+Dispers!$H34*FEM!$H13)/(FEM!$H11+FEM!$H13)</f>
        <v>26.666666666666668</v>
      </c>
      <c r="AP236" s="113">
        <f>(Dispers!$I34*FEM!$H11+Dispers!$H34*FEM!$H13)/(FEM!$H11+FEM!$H13)</f>
        <v>26.666666666666668</v>
      </c>
      <c r="AQ236" s="113">
        <f>(Dispers!$I34*FEM!$H11+Dispers!$H34*FEM!$H13)/(FEM!$H11+FEM!$H13)</f>
        <v>26.666666666666668</v>
      </c>
      <c r="AR236" s="113">
        <f>(Dispers!$I34*FEM!$H11+Dispers!$H34*FEM!$H13)/(FEM!$H11+FEM!$H13)</f>
        <v>26.666666666666668</v>
      </c>
      <c r="AS236" s="113">
        <f>(Dispers!$I34*FEM!$H11+Dispers!$H34*FEM!$H13)/(FEM!$H11+FEM!$H13)</f>
        <v>26.666666666666668</v>
      </c>
      <c r="AT236" s="113">
        <f>(Dispers!$I34*FEM!$H11+Dispers!$H34*FEM!$H13)/(FEM!$H11+FEM!$H13)</f>
        <v>26.666666666666668</v>
      </c>
      <c r="AU236" s="113">
        <f>(Dispers!$I34*FEM!$H11+Dispers!$H34*FEM!$H13)/(FEM!$H11+FEM!$H13)</f>
        <v>26.666666666666668</v>
      </c>
      <c r="AV236" s="113">
        <f>(Dispers!$I34*FEM!$H11+Dispers!$H34*FEM!$H13)/(FEM!$H11+FEM!$H13)</f>
        <v>26.666666666666668</v>
      </c>
      <c r="AW236" s="113">
        <f>(Dispers!$I34*FEM!$H11+Dispers!$H34*FEM!$H13)/(FEM!$H11+FEM!$H13)</f>
        <v>26.666666666666668</v>
      </c>
      <c r="AX236" s="113">
        <f>(Dispers!$I34*FEM!$H11+Dispers!$H34*FEM!$H13)/(FEM!$H11+FEM!$H13)</f>
        <v>26.666666666666668</v>
      </c>
      <c r="AY236" s="113">
        <f>(Dispers!$I34*FEM!$H11+Dispers!$H34*FEM!$H13)/(FEM!$H11+FEM!$H13)</f>
        <v>26.666666666666668</v>
      </c>
      <c r="AZ236" s="113">
        <f>(Dispers!$I34*FEM!$H11+Dispers!$H34*FEM!$H13)/(FEM!$H11+FEM!$H13)</f>
        <v>26.666666666666668</v>
      </c>
      <c r="BA236" s="113">
        <f>(Dispers!$I34*FEM!$H11+Dispers!$H34*FEM!$H13)/(FEM!$H11+FEM!$H13)</f>
        <v>26.666666666666668</v>
      </c>
      <c r="BB236" s="113">
        <f>(Dispers!$I34*FEM!$H11+Dispers!$H34*FEM!$H13)/(FEM!$H11+FEM!$H13)</f>
        <v>26.666666666666668</v>
      </c>
      <c r="BC236" s="113">
        <f>(Dispers!$I34*FEM!$H11+Dispers!$H34*FEM!$H13)/(FEM!$H11+FEM!$H13)</f>
        <v>26.666666666666668</v>
      </c>
      <c r="BD236" s="113">
        <f>(Dispers!$I34*FEM!$H11+Dispers!$H34*FEM!$H13)/(FEM!$H11+FEM!$H13)</f>
        <v>26.666666666666668</v>
      </c>
      <c r="BE236" s="113">
        <f>(Dispers!$I34*FEM!$H11+Dispers!$H34*FEM!$H13)/(FEM!$H11+FEM!$H13)</f>
        <v>26.666666666666668</v>
      </c>
      <c r="BF236" s="113">
        <f>(Dispers!$I34*FEM!$H11+Dispers!$H34*FEM!$H13)/(FEM!$H11+FEM!$H13)</f>
        <v>26.666666666666668</v>
      </c>
      <c r="BG236" s="113">
        <f>(Dispers!$I34*FEM!$H11+Dispers!$H34*FEM!$H13)/(FEM!$H11+FEM!$H13)</f>
        <v>26.666666666666668</v>
      </c>
      <c r="BH236" s="113">
        <f>(Dispers!$I34*FEM!$H11+Dispers!$H34*FEM!$H13)/(FEM!$H11+FEM!$H13)</f>
        <v>26.666666666666668</v>
      </c>
      <c r="BI236" s="113">
        <f>(Dispers!$I34*FEM!$H11+Dispers!$H34*FEM!$H13)/(FEM!$H11+FEM!$H13)</f>
        <v>26.666666666666668</v>
      </c>
    </row>
    <row r="237" spans="1:61">
      <c r="A237" s="97"/>
      <c r="B237" s="97"/>
      <c r="C237" s="2433"/>
      <c r="D237" s="2434"/>
      <c r="E237" s="588" t="s">
        <v>658</v>
      </c>
      <c r="F237" s="14"/>
      <c r="G237" s="105"/>
      <c r="H237" s="113"/>
      <c r="I237" s="113"/>
      <c r="J237" s="113"/>
      <c r="K237" s="113"/>
      <c r="L237" s="113"/>
      <c r="M237" s="113"/>
      <c r="N237" s="113"/>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row>
    <row r="238" spans="1:61">
      <c r="A238" s="97"/>
      <c r="B238" s="97"/>
      <c r="C238" s="2110"/>
      <c r="D238" s="2434"/>
      <c r="E238" s="722" t="s">
        <v>1112</v>
      </c>
      <c r="F238" s="96" t="s">
        <v>1115</v>
      </c>
      <c r="G238" s="144" t="s">
        <v>206</v>
      </c>
      <c r="H238" s="135">
        <f t="shared" ref="H238:AL238" si="102">H236*H225</f>
        <v>2.091653799096474E-2</v>
      </c>
      <c r="I238" s="135">
        <f t="shared" si="102"/>
        <v>2.091653799096474E-2</v>
      </c>
      <c r="J238" s="135">
        <f>J236*J225</f>
        <v>1.9233373541928424E-2</v>
      </c>
      <c r="K238" s="135">
        <f t="shared" si="102"/>
        <v>3.7853950643030217E-2</v>
      </c>
      <c r="L238" s="135">
        <f t="shared" si="102"/>
        <v>2.629876999364706E-2</v>
      </c>
      <c r="M238" s="135">
        <f t="shared" si="102"/>
        <v>2.629876999364706E-2</v>
      </c>
      <c r="N238" s="135">
        <f>N236*N225</f>
        <v>2.8215647090236093E-2</v>
      </c>
      <c r="O238" s="135">
        <f>O236*O225</f>
        <v>2.8215647090236093E-2</v>
      </c>
      <c r="P238" s="135">
        <f t="shared" si="102"/>
        <v>2.5714000896728345E-2</v>
      </c>
      <c r="Q238" s="135">
        <f t="shared" si="102"/>
        <v>2.5714000896728345E-2</v>
      </c>
      <c r="R238" s="135">
        <f>R236*R225</f>
        <v>0.3642644039272307</v>
      </c>
      <c r="S238" s="135">
        <f>S236*S225</f>
        <v>3.7154445421253623E-2</v>
      </c>
      <c r="T238" s="135">
        <f>T236*T225</f>
        <v>3.7154445421253623E-2</v>
      </c>
      <c r="U238" s="135">
        <f t="shared" si="102"/>
        <v>2.7856459665200763E-2</v>
      </c>
      <c r="V238" s="135">
        <f t="shared" si="102"/>
        <v>1.0171226354097515E-2</v>
      </c>
      <c r="W238" s="135">
        <f t="shared" si="102"/>
        <v>1.0171226354097515E-2</v>
      </c>
      <c r="X238" s="135">
        <f t="shared" si="102"/>
        <v>2.9271185314694033E-2</v>
      </c>
      <c r="Y238" s="135">
        <f t="shared" si="102"/>
        <v>2.62935067853435E-2</v>
      </c>
      <c r="Z238" s="135">
        <f t="shared" si="102"/>
        <v>2.4109627480593677E-2</v>
      </c>
      <c r="AA238" s="135">
        <f t="shared" si="102"/>
        <v>2.4111383341862681E-2</v>
      </c>
      <c r="AB238" s="135">
        <f t="shared" si="102"/>
        <v>1.1309718487809017E-2</v>
      </c>
      <c r="AC238" s="135">
        <f t="shared" si="102"/>
        <v>1.0442445672881249E-2</v>
      </c>
      <c r="AD238" s="135">
        <f t="shared" si="102"/>
        <v>9.0555534650835316E-3</v>
      </c>
      <c r="AE238" s="135">
        <f t="shared" si="102"/>
        <v>7.1703620743824225E-3</v>
      </c>
      <c r="AF238" s="135">
        <f t="shared" si="102"/>
        <v>6.0865705652817055E-3</v>
      </c>
      <c r="AG238" s="135">
        <f t="shared" si="102"/>
        <v>1.6753376538816818E-2</v>
      </c>
      <c r="AH238" s="135">
        <f t="shared" si="102"/>
        <v>1.3570227834165076E-2</v>
      </c>
      <c r="AI238" s="135">
        <f t="shared" si="102"/>
        <v>1.0438632784960818E-2</v>
      </c>
      <c r="AJ238" s="135">
        <f t="shared" si="102"/>
        <v>8.4813873274626039E-3</v>
      </c>
      <c r="AK238" s="135">
        <f t="shared" si="102"/>
        <v>6.7851076338863161E-3</v>
      </c>
      <c r="AL238" s="135">
        <f t="shared" si="102"/>
        <v>5.026005212145258E-3</v>
      </c>
      <c r="AM238" s="135">
        <f t="shared" ref="AM238:BI238" si="103">AM236*AM225</f>
        <v>4.2406918751370587E-3</v>
      </c>
      <c r="AN238" s="135">
        <f t="shared" si="103"/>
        <v>1.0715750574806632E-2</v>
      </c>
      <c r="AO238" s="135">
        <f t="shared" si="103"/>
        <v>9.0507730011128492E-3</v>
      </c>
      <c r="AP238" s="135">
        <f t="shared" si="103"/>
        <v>8.891637905366942E-3</v>
      </c>
      <c r="AQ238" s="135">
        <f t="shared" si="103"/>
        <v>8.2961089624423029E-3</v>
      </c>
      <c r="AR238" s="135">
        <f t="shared" si="103"/>
        <v>7.912947278023363E-3</v>
      </c>
      <c r="AS238" s="135">
        <f t="shared" si="103"/>
        <v>7.8589732129386875E-3</v>
      </c>
      <c r="AT238" s="135">
        <f t="shared" si="103"/>
        <v>7.5320165156451671E-3</v>
      </c>
      <c r="AU238" s="135">
        <f t="shared" si="103"/>
        <v>7.6341899738281895E-3</v>
      </c>
      <c r="AV238" s="135">
        <f t="shared" si="103"/>
        <v>7.2452879048238899E-3</v>
      </c>
      <c r="AW238" s="135">
        <f t="shared" si="103"/>
        <v>7.6356661381735049E-3</v>
      </c>
      <c r="AX238" s="135">
        <f t="shared" si="103"/>
        <v>4.8026494763195184E-2</v>
      </c>
      <c r="AY238" s="135">
        <f t="shared" si="103"/>
        <v>4.8026494763195184E-2</v>
      </c>
      <c r="AZ238" s="135">
        <f t="shared" si="103"/>
        <v>6.4378597783679284E-2</v>
      </c>
      <c r="BA238" s="135">
        <f t="shared" si="103"/>
        <v>8.6209551558337677E-2</v>
      </c>
      <c r="BB238" s="135">
        <f t="shared" si="103"/>
        <v>1.3605924377258136E-2</v>
      </c>
      <c r="BC238" s="135">
        <f t="shared" si="103"/>
        <v>12154.442786203854</v>
      </c>
      <c r="BD238" s="135">
        <f t="shared" si="103"/>
        <v>0.14758649508977528</v>
      </c>
      <c r="BE238" s="135">
        <f t="shared" si="103"/>
        <v>6.0640032801468867E-3</v>
      </c>
      <c r="BF238" s="135">
        <f t="shared" si="103"/>
        <v>6.0640032801468867E-3</v>
      </c>
      <c r="BG238" s="135">
        <f t="shared" si="103"/>
        <v>1.096715584193457E-2</v>
      </c>
      <c r="BH238" s="135">
        <f t="shared" si="103"/>
        <v>7.8373407416687441E-2</v>
      </c>
      <c r="BI238" s="135">
        <f t="shared" si="103"/>
        <v>8.3102512622747982E-2</v>
      </c>
    </row>
    <row r="239" spans="1:61">
      <c r="A239" s="97"/>
      <c r="B239" s="97"/>
      <c r="C239" s="2433"/>
      <c r="D239" s="2434"/>
      <c r="E239" s="723" t="s">
        <v>679</v>
      </c>
      <c r="F239" s="62" t="s">
        <v>1116</v>
      </c>
      <c r="G239" s="107" t="s">
        <v>24</v>
      </c>
      <c r="H239" s="113">
        <f t="shared" ref="H239:AL239" si="104">H$25*H238</f>
        <v>5.5104442579059154E-7</v>
      </c>
      <c r="I239" s="113">
        <f t="shared" si="104"/>
        <v>5.5104442579059154E-7</v>
      </c>
      <c r="J239" s="113">
        <f>J$25*J238</f>
        <v>3.3263475550795644E-6</v>
      </c>
      <c r="K239" s="113">
        <f t="shared" si="104"/>
        <v>1.4586314790048351E-3</v>
      </c>
      <c r="L239" s="113">
        <f t="shared" si="104"/>
        <v>1.894665604749846E-4</v>
      </c>
      <c r="M239" s="113">
        <f t="shared" si="104"/>
        <v>1.894665604749846E-4</v>
      </c>
      <c r="N239" s="113">
        <f>N$25*N238</f>
        <v>4.0092471635286688E-4</v>
      </c>
      <c r="O239" s="113">
        <f>O$25*O238</f>
        <v>4.0092471635286688E-4</v>
      </c>
      <c r="P239" s="113">
        <f t="shared" si="104"/>
        <v>3.9889824390331949E-4</v>
      </c>
      <c r="Q239" s="113">
        <f t="shared" si="104"/>
        <v>3.9889824390331949E-4</v>
      </c>
      <c r="R239" s="113">
        <f>R$25*R238</f>
        <v>2.2714627182930341E-3</v>
      </c>
      <c r="S239" s="113">
        <f>S$25*S238</f>
        <v>2.1736213090830302E-4</v>
      </c>
      <c r="T239" s="113">
        <f>T$25*T238</f>
        <v>2.1736213090830302E-4</v>
      </c>
      <c r="U239" s="113">
        <f t="shared" si="104"/>
        <v>7.672403645704644E-4</v>
      </c>
      <c r="V239" s="113">
        <f t="shared" si="104"/>
        <v>4.5853752790525235E-4</v>
      </c>
      <c r="W239" s="113">
        <f t="shared" si="104"/>
        <v>4.5853752790525235E-4</v>
      </c>
      <c r="X239" s="113">
        <f t="shared" si="104"/>
        <v>2.5315378391445266E-4</v>
      </c>
      <c r="Y239" s="113">
        <f t="shared" si="104"/>
        <v>1.5760238509750875E-4</v>
      </c>
      <c r="Z239" s="113">
        <f t="shared" si="104"/>
        <v>8.5582649321854079E-5</v>
      </c>
      <c r="AA239" s="113">
        <f t="shared" si="104"/>
        <v>5.7418130398729437E-5</v>
      </c>
      <c r="AB239" s="113">
        <f t="shared" si="104"/>
        <v>3.0460016140363727E-5</v>
      </c>
      <c r="AC239" s="113">
        <f t="shared" si="104"/>
        <v>5.4880057081672058E-6</v>
      </c>
      <c r="AD239" s="113">
        <f t="shared" si="104"/>
        <v>9.3151973017914937E-7</v>
      </c>
      <c r="AE239" s="113">
        <f t="shared" si="104"/>
        <v>9.1972465532512346E-8</v>
      </c>
      <c r="AF239" s="113">
        <f t="shared" si="104"/>
        <v>3.2358429598834392E-10</v>
      </c>
      <c r="AG239" s="113">
        <f t="shared" si="104"/>
        <v>1.0377187415500941E-3</v>
      </c>
      <c r="AH239" s="113">
        <f t="shared" si="104"/>
        <v>6.2935430747567301E-4</v>
      </c>
      <c r="AI239" s="113">
        <f t="shared" si="104"/>
        <v>1.9684959111415618E-4</v>
      </c>
      <c r="AJ239" s="113">
        <f t="shared" si="104"/>
        <v>3.8072682713211862E-5</v>
      </c>
      <c r="AK239" s="113">
        <f t="shared" si="104"/>
        <v>6.9435555619884789E-6</v>
      </c>
      <c r="AL239" s="113">
        <f t="shared" si="104"/>
        <v>3.8991456613597078E-7</v>
      </c>
      <c r="AM239" s="113">
        <f t="shared" ref="AM239:BI239" si="105">AM$25*AM238</f>
        <v>2.2773700669917162E-9</v>
      </c>
      <c r="AN239" s="113">
        <f t="shared" si="105"/>
        <v>4.5804545364333568E-7</v>
      </c>
      <c r="AO239" s="113">
        <f t="shared" si="105"/>
        <v>1.0566249550737872E-7</v>
      </c>
      <c r="AP239" s="113">
        <f t="shared" si="105"/>
        <v>1.7366010543945193E-7</v>
      </c>
      <c r="AQ239" s="113">
        <f t="shared" si="105"/>
        <v>6.5607761339029736E-8</v>
      </c>
      <c r="AR239" s="113">
        <f t="shared" si="105"/>
        <v>1.2529100031341729E-8</v>
      </c>
      <c r="AS239" s="113">
        <f t="shared" si="105"/>
        <v>1.6072451122809475E-8</v>
      </c>
      <c r="AT239" s="113">
        <f t="shared" si="105"/>
        <v>1.1244073873456901E-9</v>
      </c>
      <c r="AU239" s="113">
        <f t="shared" si="105"/>
        <v>1.0963660865545874E-9</v>
      </c>
      <c r="AV239" s="113">
        <f t="shared" si="105"/>
        <v>1.6599838627419958E-10</v>
      </c>
      <c r="AW239" s="113">
        <f t="shared" si="105"/>
        <v>1.6857148409235515E-10</v>
      </c>
      <c r="AX239" s="113">
        <f t="shared" si="105"/>
        <v>3.7319705648248222E-11</v>
      </c>
      <c r="AY239" s="113">
        <f t="shared" si="105"/>
        <v>2.5612368241400296E-11</v>
      </c>
      <c r="AZ239" s="113">
        <f t="shared" si="105"/>
        <v>2.2926897576680284E-11</v>
      </c>
      <c r="BA239" s="113">
        <f t="shared" si="105"/>
        <v>5.3024573874792851E-12</v>
      </c>
      <c r="BB239" s="113">
        <f t="shared" si="105"/>
        <v>1.3250251873081844E-11</v>
      </c>
      <c r="BC239" s="113">
        <f t="shared" si="105"/>
        <v>3.1444379979305815E-12</v>
      </c>
      <c r="BD239" s="113">
        <f t="shared" si="105"/>
        <v>1.3806296641164085E-7</v>
      </c>
      <c r="BE239" s="113">
        <f t="shared" si="105"/>
        <v>1.2590490395227324E-10</v>
      </c>
      <c r="BF239" s="113">
        <f t="shared" si="105"/>
        <v>1.2590490395227324E-10</v>
      </c>
      <c r="BG239" s="113">
        <f t="shared" si="105"/>
        <v>1.8607935956838336E-4</v>
      </c>
      <c r="BH239" s="113">
        <f t="shared" si="105"/>
        <v>9.7494895513569857E-8</v>
      </c>
      <c r="BI239" s="113">
        <f t="shared" si="105"/>
        <v>7.9987281286006805E-7</v>
      </c>
    </row>
    <row r="240" spans="1:61" ht="25.5">
      <c r="A240" s="97"/>
      <c r="B240" s="97"/>
      <c r="C240" s="2110"/>
      <c r="D240" s="2111"/>
      <c r="E240" s="103" t="s">
        <v>1015</v>
      </c>
      <c r="F240" s="14" t="s">
        <v>19</v>
      </c>
      <c r="G240" s="341" t="s">
        <v>18</v>
      </c>
      <c r="H240" s="113" t="str">
        <f t="shared" ref="H240:AM240" si="106">IF(H$13=0,"nd",IF(H239=0,"PVL",H$13*1000/H238/H$20))</f>
        <v>nd</v>
      </c>
      <c r="I240" s="113" t="str">
        <f t="shared" si="106"/>
        <v>nd</v>
      </c>
      <c r="J240" s="113" t="str">
        <f t="shared" si="106"/>
        <v>nd</v>
      </c>
      <c r="K240" s="113">
        <f t="shared" si="106"/>
        <v>178.24927251493804</v>
      </c>
      <c r="L240" s="113">
        <f t="shared" si="106"/>
        <v>3614.9974743134667</v>
      </c>
      <c r="M240" s="113">
        <f t="shared" si="106"/>
        <v>3614.9974743134667</v>
      </c>
      <c r="N240" s="113">
        <f t="shared" si="106"/>
        <v>3813.6966552159679</v>
      </c>
      <c r="O240" s="113">
        <f t="shared" si="106"/>
        <v>3813.6966552159679</v>
      </c>
      <c r="P240" s="113">
        <f t="shared" si="106"/>
        <v>4665.0185290618019</v>
      </c>
      <c r="Q240" s="113">
        <f t="shared" si="106"/>
        <v>4665.0185290618019</v>
      </c>
      <c r="R240" s="113">
        <f t="shared" si="106"/>
        <v>388.49385364068638</v>
      </c>
      <c r="S240" s="113">
        <f t="shared" si="106"/>
        <v>547.83221330391711</v>
      </c>
      <c r="T240" s="113">
        <f t="shared" si="106"/>
        <v>547.83221330391711</v>
      </c>
      <c r="U240" s="113">
        <f t="shared" si="106"/>
        <v>7999.101905923153</v>
      </c>
      <c r="V240" s="113">
        <f t="shared" si="106"/>
        <v>12093.017563438951</v>
      </c>
      <c r="W240" s="113">
        <f t="shared" si="106"/>
        <v>12093.017563438951</v>
      </c>
      <c r="X240" s="113">
        <f t="shared" si="106"/>
        <v>599.30053461045509</v>
      </c>
      <c r="Y240" s="113">
        <f t="shared" si="106"/>
        <v>593.34647280882768</v>
      </c>
      <c r="Z240" s="113">
        <f t="shared" si="106"/>
        <v>1139.2811553131678</v>
      </c>
      <c r="AA240" s="113">
        <f t="shared" si="106"/>
        <v>51.681819754531617</v>
      </c>
      <c r="AB240" s="113">
        <f t="shared" si="106"/>
        <v>558.43369264538001</v>
      </c>
      <c r="AC240" s="113">
        <f t="shared" si="106"/>
        <v>815.46910464334292</v>
      </c>
      <c r="AD240" s="113">
        <f t="shared" si="106"/>
        <v>4804.2987777145418</v>
      </c>
      <c r="AE240" s="113">
        <f t="shared" si="106"/>
        <v>48659.118522104254</v>
      </c>
      <c r="AF240" s="113">
        <f t="shared" si="106"/>
        <v>13830396.458046513</v>
      </c>
      <c r="AG240" s="113">
        <f t="shared" si="106"/>
        <v>375.45355901886751</v>
      </c>
      <c r="AH240" s="113">
        <f t="shared" si="106"/>
        <v>3523.8179516007181</v>
      </c>
      <c r="AI240" s="113">
        <f t="shared" si="106"/>
        <v>911.06760724353489</v>
      </c>
      <c r="AJ240" s="113">
        <f t="shared" si="106"/>
        <v>1807.7712776646467</v>
      </c>
      <c r="AK240" s="113">
        <f t="shared" si="106"/>
        <v>54727.005005944891</v>
      </c>
      <c r="AL240" s="113">
        <f t="shared" si="106"/>
        <v>974572.4653628011</v>
      </c>
      <c r="AM240" s="113">
        <f t="shared" si="106"/>
        <v>166859135.2401323</v>
      </c>
      <c r="AN240" s="113">
        <f t="shared" ref="AN240:BI240" si="107">IF(AN$13=0,"nd",IF(AN239=0,"PVL",AN$13*1000/AN238/AN$20))</f>
        <v>9770.4257634689438</v>
      </c>
      <c r="AO240" s="113">
        <f t="shared" si="107"/>
        <v>42354.660275879469</v>
      </c>
      <c r="AP240" s="113">
        <f t="shared" si="107"/>
        <v>25770.450212452608</v>
      </c>
      <c r="AQ240" s="113">
        <f t="shared" si="107"/>
        <v>68212.95239736115</v>
      </c>
      <c r="AR240" s="113">
        <f t="shared" si="107"/>
        <v>357192.38332534977</v>
      </c>
      <c r="AS240" s="113">
        <f t="shared" si="107"/>
        <v>278445.33897916006</v>
      </c>
      <c r="AT240" s="113">
        <f t="shared" si="107"/>
        <v>3980140.2511959583</v>
      </c>
      <c r="AU240" s="113">
        <f t="shared" si="107"/>
        <v>4081938.6480483264</v>
      </c>
      <c r="AV240" s="113">
        <f t="shared" si="107"/>
        <v>26959895.222862434</v>
      </c>
      <c r="AW240" s="113">
        <f t="shared" si="107"/>
        <v>26548375.754138742</v>
      </c>
      <c r="AX240" s="113">
        <f t="shared" si="107"/>
        <v>119917856.35444142</v>
      </c>
      <c r="AY240" s="113">
        <f t="shared" si="107"/>
        <v>174731952.11533433</v>
      </c>
      <c r="AZ240" s="113">
        <f t="shared" si="107"/>
        <v>195198634.53608495</v>
      </c>
      <c r="BA240" s="113">
        <f t="shared" si="107"/>
        <v>844004727.25800848</v>
      </c>
      <c r="BB240" s="113">
        <f t="shared" si="107"/>
        <v>337752002.30029798</v>
      </c>
      <c r="BC240" s="113">
        <f t="shared" si="107"/>
        <v>1423242914.651824</v>
      </c>
      <c r="BD240" s="113">
        <f t="shared" si="107"/>
        <v>11332.016466808936</v>
      </c>
      <c r="BE240" s="113" t="str">
        <f t="shared" si="107"/>
        <v>nd</v>
      </c>
      <c r="BF240" s="113" t="str">
        <f t="shared" si="107"/>
        <v>nd</v>
      </c>
      <c r="BG240" s="113" t="str">
        <f t="shared" si="107"/>
        <v>nd</v>
      </c>
      <c r="BH240" s="113" t="str">
        <f t="shared" si="107"/>
        <v>nd</v>
      </c>
      <c r="BI240" s="113" t="str">
        <f t="shared" si="107"/>
        <v>nd</v>
      </c>
    </row>
    <row r="241" spans="1:61" s="2443" customFormat="1" ht="25.5">
      <c r="A241" s="2438"/>
      <c r="B241" s="2439"/>
      <c r="C241" s="2110"/>
      <c r="D241" s="2111"/>
      <c r="E241" s="2514" t="s">
        <v>1016</v>
      </c>
      <c r="F241" s="2440" t="s">
        <v>19</v>
      </c>
      <c r="G241" s="2431" t="s">
        <v>20</v>
      </c>
      <c r="H241" s="2442" t="str">
        <f>IF(H240&lt;'3phas'!H$23,H240,"PVL")</f>
        <v>PVL</v>
      </c>
      <c r="I241" s="2442" t="str">
        <f>IF(I240&lt;'3phas'!I$23,I240,"PVL")</f>
        <v>PVL</v>
      </c>
      <c r="J241" s="2442" t="str">
        <f>IF(J240&lt;'3phas'!J$23,J240,"PVL")</f>
        <v>PVL</v>
      </c>
      <c r="K241" s="2442">
        <f>IF(K240&lt;'3phas'!K$23,K240,"PVL")</f>
        <v>178.24927251493804</v>
      </c>
      <c r="L241" s="2442" t="str">
        <f>IF(L240&lt;'3phas'!L$23,L240,"PVL")</f>
        <v>PVL</v>
      </c>
      <c r="M241" s="2442" t="str">
        <f>IF(M240&lt;'3phas'!M$23,M240,"PVL")</f>
        <v>PVL</v>
      </c>
      <c r="N241" s="2442" t="str">
        <f>IF(N240&lt;'3phas'!N$23,N240,"PVL")</f>
        <v>PVL</v>
      </c>
      <c r="O241" s="2442" t="str">
        <f>IF(O240&lt;'3phas'!O$23,O240,"PVL")</f>
        <v>PVL</v>
      </c>
      <c r="P241" s="2442" t="str">
        <f>IF(P240&lt;'3phas'!P$23,P240,"PVL")</f>
        <v>PVL</v>
      </c>
      <c r="Q241" s="2442" t="str">
        <f>IF(Q240&lt;'3phas'!Q$23,Q240,"PVL")</f>
        <v>PVL</v>
      </c>
      <c r="R241" s="2442">
        <f>IF(R240&lt;'3phas'!R$23,R240,"PVL")</f>
        <v>388.49385364068638</v>
      </c>
      <c r="S241" s="2442">
        <f>IF(S240&lt;'3phas'!S$23,S240,"PVL")</f>
        <v>547.83221330391711</v>
      </c>
      <c r="T241" s="2442">
        <f>IF(T240&lt;'3phas'!T$23,T240,"PVL")</f>
        <v>547.83221330391711</v>
      </c>
      <c r="U241" s="2442" t="str">
        <f>IF(U240&lt;'3phas'!U$23,U240,"PVL")</f>
        <v>PVL</v>
      </c>
      <c r="V241" s="2442" t="str">
        <f>IF(V240&lt;'3phas'!V$23,V240,"PVL")</f>
        <v>PVL</v>
      </c>
      <c r="W241" s="2442" t="str">
        <f>IF(W240&lt;'3phas'!W$23,W240,"PVL")</f>
        <v>PVL</v>
      </c>
      <c r="X241" s="2442" t="str">
        <f>IF(X240&lt;'3phas'!X$23,X240,"PVL")</f>
        <v>PVL</v>
      </c>
      <c r="Y241" s="2442" t="str">
        <f>IF(Y240&lt;'3phas'!Y$23,Y240,"PVL")</f>
        <v>PVL</v>
      </c>
      <c r="Z241" s="2442" t="str">
        <f>IF(Z240&lt;'3phas'!Z$23,Z240,"PVL")</f>
        <v>PVL</v>
      </c>
      <c r="AA241" s="2442">
        <f>IF(AA240&lt;'3phas'!AA$23,AA240,"PVL")</f>
        <v>51.681819754531617</v>
      </c>
      <c r="AB241" s="2442" t="str">
        <f>IF(AB240&lt;'3phas'!AB$23,AB240,"PVL")</f>
        <v>PVL</v>
      </c>
      <c r="AC241" s="2442" t="str">
        <f>IF(AC240&lt;'3phas'!AC$23,AC240,"PVL")</f>
        <v>PVL</v>
      </c>
      <c r="AD241" s="2442" t="str">
        <f>IF(AD240&lt;'3phas'!AD$23,AD240,"PVL")</f>
        <v>PVL</v>
      </c>
      <c r="AE241" s="2442" t="str">
        <f>IF(AE240&lt;'3phas'!AE$23,AE240,"PVL")</f>
        <v>PVL</v>
      </c>
      <c r="AF241" s="2442" t="str">
        <f>IF(AF240&lt;'3phas'!AF$23,AF240,"PVL")</f>
        <v>PVL</v>
      </c>
      <c r="AG241" s="2442" t="str">
        <f>IF(AG240&lt;'3phas'!AG$23,AG240,"PVL")</f>
        <v>PVL</v>
      </c>
      <c r="AH241" s="2442" t="str">
        <f>IF(AH240&lt;'3phas'!AH$23,AH240,"PVL")</f>
        <v>PVL</v>
      </c>
      <c r="AI241" s="2442" t="str">
        <f>IF(AI240&lt;'3phas'!AI$23,AI240,"PVL")</f>
        <v>PVL</v>
      </c>
      <c r="AJ241" s="2442" t="str">
        <f>IF(AJ240&lt;'3phas'!AJ$23,AJ240,"PVL")</f>
        <v>PVL</v>
      </c>
      <c r="AK241" s="2442" t="str">
        <f>IF(AK240&lt;'3phas'!AK$23,AK240,"PVL")</f>
        <v>PVL</v>
      </c>
      <c r="AL241" s="2442" t="str">
        <f>IF(AL240&lt;'3phas'!AL$23,AL240,"PVL")</f>
        <v>PVL</v>
      </c>
      <c r="AM241" s="2442" t="str">
        <f>IF(AM240&lt;'3phas'!AM$23,AM240,"PVL")</f>
        <v>PVL</v>
      </c>
      <c r="AN241" s="2442" t="str">
        <f>IF(AN240&lt;'3phas'!AN$23,AN240,"PVL")</f>
        <v>PVL</v>
      </c>
      <c r="AO241" s="2442" t="str">
        <f>IF(AO240&lt;'3phas'!AO$23,AO240,"PVL")</f>
        <v>PVL</v>
      </c>
      <c r="AP241" s="2442" t="str">
        <f>IF(AP240&lt;'3phas'!AP$23,AP240,"PVL")</f>
        <v>PVL</v>
      </c>
      <c r="AQ241" s="2442" t="str">
        <f>IF(AQ240&lt;'3phas'!AQ$23,AQ240,"PVL")</f>
        <v>PVL</v>
      </c>
      <c r="AR241" s="2442" t="str">
        <f>IF(AR240&lt;'3phas'!AR$23,AR240,"PVL")</f>
        <v>PVL</v>
      </c>
      <c r="AS241" s="2442" t="str">
        <f>IF(AS240&lt;'3phas'!AS$23,AS240,"PVL")</f>
        <v>PVL</v>
      </c>
      <c r="AT241" s="2442" t="str">
        <f>IF(AT240&lt;'3phas'!AT$23,AT240,"PVL")</f>
        <v>PVL</v>
      </c>
      <c r="AU241" s="2442" t="str">
        <f>IF(AU240&lt;'3phas'!AU$23,AU240,"PVL")</f>
        <v>PVL</v>
      </c>
      <c r="AV241" s="2442" t="str">
        <f>IF(AV240&lt;'3phas'!AV$23,AV240,"PVL")</f>
        <v>PVL</v>
      </c>
      <c r="AW241" s="2442" t="str">
        <f>IF(AW240&lt;'3phas'!AW$23,AW240,"PVL")</f>
        <v>PVL</v>
      </c>
      <c r="AX241" s="2442" t="str">
        <f>IF(AX240&lt;'3phas'!AX$23,AX240,"PVL")</f>
        <v>PVL</v>
      </c>
      <c r="AY241" s="2442" t="str">
        <f>IF(AY240&lt;'3phas'!AY$23,AY240,"PVL")</f>
        <v>PVL</v>
      </c>
      <c r="AZ241" s="2442" t="str">
        <f>IF(AZ240&lt;'3phas'!AZ$23,AZ240,"PVL")</f>
        <v>PVL</v>
      </c>
      <c r="BA241" s="2442" t="str">
        <f>IF(BA240&lt;'3phas'!BA$23,BA240,"PVL")</f>
        <v>PVL</v>
      </c>
      <c r="BB241" s="2442" t="str">
        <f>IF(BB240&lt;'3phas'!BB$23,BB240,"PVL")</f>
        <v>PVL</v>
      </c>
      <c r="BC241" s="2442" t="str">
        <f>IF(BC240&lt;'3phas'!BC$23,BC240,"PVL")</f>
        <v>PVL</v>
      </c>
      <c r="BD241" s="2442">
        <f>IF(BD240&lt;'3phas'!BD$23,BD240,"PVL")</f>
        <v>11332.016466808936</v>
      </c>
      <c r="BE241" s="2442" t="str">
        <f>IF(BE240&lt;'3phas'!BE$23,BE240,"PVL")</f>
        <v>PVL</v>
      </c>
      <c r="BF241" s="2442" t="str">
        <f>IF(BF240&lt;'3phas'!BF$23,BF240,"PVL")</f>
        <v>PVL</v>
      </c>
      <c r="BG241" s="2442" t="str">
        <f>BG240</f>
        <v>nd</v>
      </c>
      <c r="BH241" s="2442" t="str">
        <f>IF(BH240&lt;'3phas'!BH$23,BH240,"PVL")</f>
        <v>PVL</v>
      </c>
      <c r="BI241" s="2442" t="str">
        <f>IF(BI240&lt;'3phas'!BI$23,BI240,"PVL")</f>
        <v>PVL</v>
      </c>
    </row>
    <row r="242" spans="1:61" s="41" customFormat="1">
      <c r="A242" s="31"/>
      <c r="B242" s="31"/>
      <c r="C242" s="2432"/>
      <c r="D242" s="2431"/>
      <c r="E242" s="590" t="str">
        <f>E226</f>
        <v>Période chronique</v>
      </c>
      <c r="F242" s="14"/>
      <c r="G242" s="105"/>
      <c r="H242" s="113"/>
      <c r="I242" s="113"/>
      <c r="J242" s="113"/>
      <c r="K242" s="113"/>
      <c r="L242" s="113"/>
      <c r="M242" s="113"/>
      <c r="N242" s="113"/>
      <c r="O242" s="113"/>
      <c r="P242" s="113"/>
      <c r="Q242" s="113"/>
      <c r="R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row>
    <row r="243" spans="1:61">
      <c r="A243" s="97"/>
      <c r="B243" s="97"/>
      <c r="C243" s="2433"/>
      <c r="D243" s="2434"/>
      <c r="E243" s="586" t="s">
        <v>1112</v>
      </c>
      <c r="F243" s="96" t="s">
        <v>1115</v>
      </c>
      <c r="G243" s="144" t="s">
        <v>206</v>
      </c>
      <c r="H243" s="135">
        <f t="shared" ref="H243:AL243" si="108">H236*H227</f>
        <v>1.4585397008960638E-2</v>
      </c>
      <c r="I243" s="135">
        <f t="shared" si="108"/>
        <v>1.4585397008960638E-2</v>
      </c>
      <c r="J243" s="135">
        <f>J236*J227</f>
        <v>7.4252545705594895E-3</v>
      </c>
      <c r="K243" s="135">
        <f t="shared" si="108"/>
        <v>9.8750719528399892E-4</v>
      </c>
      <c r="L243" s="135">
        <f t="shared" si="108"/>
        <v>4.1296327732974905E-3</v>
      </c>
      <c r="M243" s="135">
        <f t="shared" si="108"/>
        <v>4.1296327732974905E-3</v>
      </c>
      <c r="N243" s="135">
        <f>N236*N227</f>
        <v>2.6779460484982432E-3</v>
      </c>
      <c r="O243" s="135">
        <f>O236*O227</f>
        <v>2.6779460484982432E-3</v>
      </c>
      <c r="P243" s="135">
        <f t="shared" si="108"/>
        <v>2.4529131385292815E-3</v>
      </c>
      <c r="Q243" s="135">
        <f t="shared" si="108"/>
        <v>2.4529131385292815E-3</v>
      </c>
      <c r="R243" s="135">
        <f>R236*R227</f>
        <v>6.1021904780207943E-3</v>
      </c>
      <c r="S243" s="135">
        <f>S236*S227</f>
        <v>5.4775021514166522E-3</v>
      </c>
      <c r="T243" s="135">
        <f>T236*T227</f>
        <v>5.4775021514166522E-3</v>
      </c>
      <c r="U243" s="135">
        <f t="shared" si="108"/>
        <v>1.3815579818439322E-3</v>
      </c>
      <c r="V243" s="135">
        <f t="shared" si="108"/>
        <v>8.4405952127397633E-4</v>
      </c>
      <c r="W243" s="135">
        <f t="shared" si="108"/>
        <v>8.4405952127397633E-4</v>
      </c>
      <c r="X243" s="135">
        <f t="shared" si="108"/>
        <v>4.0218291727825159E-3</v>
      </c>
      <c r="Y243" s="135">
        <f t="shared" si="108"/>
        <v>4.4892761484654729E-3</v>
      </c>
      <c r="Z243" s="135">
        <f t="shared" si="108"/>
        <v>5.403211781953755E-3</v>
      </c>
      <c r="AA243" s="135">
        <f t="shared" si="108"/>
        <v>2.2827044197718848E-3</v>
      </c>
      <c r="AB243" s="135">
        <f t="shared" si="108"/>
        <v>3.9030837235086977E-3</v>
      </c>
      <c r="AC243" s="135">
        <f t="shared" si="108"/>
        <v>6.4708921557506864E-3</v>
      </c>
      <c r="AD243" s="135">
        <f t="shared" si="108"/>
        <v>7.8981192282392282E-3</v>
      </c>
      <c r="AE243" s="135">
        <f t="shared" si="108"/>
        <v>7.0555136484519044E-3</v>
      </c>
      <c r="AF243" s="135">
        <f t="shared" si="108"/>
        <v>6.0862375494818875E-3</v>
      </c>
      <c r="AG243" s="135">
        <f t="shared" si="108"/>
        <v>6.1432378212001476E-4</v>
      </c>
      <c r="AH243" s="135">
        <f t="shared" si="108"/>
        <v>8.2047729874695416E-4</v>
      </c>
      <c r="AI243" s="135">
        <f t="shared" si="108"/>
        <v>1.6103059380722761E-3</v>
      </c>
      <c r="AJ243" s="135">
        <f t="shared" si="108"/>
        <v>2.6763545392199167E-3</v>
      </c>
      <c r="AK243" s="135">
        <f t="shared" si="108"/>
        <v>3.9306466165831945E-3</v>
      </c>
      <c r="AL243" s="135">
        <f t="shared" si="108"/>
        <v>4.7146751541487014E-3</v>
      </c>
      <c r="AM243" s="135">
        <f t="shared" ref="AM243:BI243" si="109">AM236*AM227</f>
        <v>4.2389497297199413E-3</v>
      </c>
      <c r="AN243" s="135">
        <f t="shared" si="109"/>
        <v>7.6171618643302149E-3</v>
      </c>
      <c r="AO243" s="135">
        <f t="shared" si="109"/>
        <v>8.8866497167183773E-3</v>
      </c>
      <c r="AP243" s="135">
        <f t="shared" si="109"/>
        <v>8.6314945976098956E-3</v>
      </c>
      <c r="AQ243" s="135">
        <f t="shared" si="109"/>
        <v>8.2014958241840158E-3</v>
      </c>
      <c r="AR243" s="135">
        <f t="shared" si="109"/>
        <v>7.8957424634477375E-3</v>
      </c>
      <c r="AS243" s="135">
        <f t="shared" si="109"/>
        <v>7.8369470429272316E-3</v>
      </c>
      <c r="AT243" s="135">
        <f t="shared" si="109"/>
        <v>7.530632272902734E-3</v>
      </c>
      <c r="AU243" s="135">
        <f t="shared" si="109"/>
        <v>7.6328358430449664E-3</v>
      </c>
      <c r="AV243" s="135">
        <f t="shared" si="109"/>
        <v>7.2451024865548509E-3</v>
      </c>
      <c r="AW243" s="135">
        <f t="shared" si="109"/>
        <v>7.6354742444261362E-3</v>
      </c>
      <c r="AX243" s="135">
        <f t="shared" si="109"/>
        <v>4.8026319424118266E-2</v>
      </c>
      <c r="AY243" s="135">
        <f t="shared" si="109"/>
        <v>4.8026374429031328E-2</v>
      </c>
      <c r="AZ243" s="135">
        <f t="shared" si="109"/>
        <v>6.4378455477688196E-2</v>
      </c>
      <c r="BA243" s="135">
        <f t="shared" si="109"/>
        <v>8.6209508077444236E-2</v>
      </c>
      <c r="BB243" s="135">
        <f t="shared" si="109"/>
        <v>1.3605904012546277E-2</v>
      </c>
      <c r="BC243" s="135">
        <f t="shared" si="109"/>
        <v>12154.439250850975</v>
      </c>
      <c r="BD243" s="135">
        <f t="shared" si="109"/>
        <v>0.14555708307556983</v>
      </c>
      <c r="BE243" s="135">
        <f t="shared" si="109"/>
        <v>6.0638807249528441E-3</v>
      </c>
      <c r="BF243" s="135">
        <f t="shared" si="109"/>
        <v>6.0638807249528441E-3</v>
      </c>
      <c r="BG243" s="135">
        <f t="shared" si="109"/>
        <v>1.0092132993808722E-3</v>
      </c>
      <c r="BH243" s="135">
        <f t="shared" si="109"/>
        <v>7.7586405729368119E-2</v>
      </c>
      <c r="BI243" s="135">
        <f t="shared" si="109"/>
        <v>5.4517282336920582E-2</v>
      </c>
    </row>
    <row r="244" spans="1:61">
      <c r="A244" s="97"/>
      <c r="B244" s="97"/>
      <c r="C244" s="2433"/>
      <c r="D244" s="2434"/>
      <c r="E244" s="3927" t="s">
        <v>950</v>
      </c>
      <c r="F244" s="62"/>
      <c r="G244" s="107"/>
      <c r="H244" s="113"/>
      <c r="I244" s="113"/>
      <c r="J244" s="113"/>
      <c r="K244" s="113"/>
      <c r="L244" s="113"/>
      <c r="M244" s="113"/>
      <c r="N244" s="113"/>
      <c r="O244" s="113"/>
      <c r="P244" s="113"/>
      <c r="Q244" s="113"/>
      <c r="R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c r="AO244" s="113"/>
      <c r="AP244" s="113"/>
      <c r="AQ244" s="113"/>
      <c r="AR244" s="113"/>
      <c r="AS244" s="113"/>
      <c r="AT244" s="113"/>
      <c r="AU244" s="113"/>
      <c r="AV244" s="113"/>
      <c r="AW244" s="113"/>
      <c r="AX244" s="113"/>
      <c r="AY244" s="113"/>
      <c r="AZ244" s="113"/>
      <c r="BA244" s="113"/>
      <c r="BB244" s="113"/>
      <c r="BC244" s="113"/>
      <c r="BD244" s="113"/>
      <c r="BE244" s="113"/>
      <c r="BF244" s="113"/>
      <c r="BG244" s="113"/>
      <c r="BH244" s="113"/>
      <c r="BI244" s="113"/>
    </row>
    <row r="245" spans="1:61">
      <c r="A245" s="97"/>
      <c r="B245" s="97"/>
      <c r="C245" s="2110"/>
      <c r="D245" s="2434"/>
      <c r="E245" s="3955" t="s">
        <v>1112</v>
      </c>
      <c r="F245" s="96" t="s">
        <v>1115</v>
      </c>
      <c r="G245" s="144" t="s">
        <v>206</v>
      </c>
      <c r="H245" s="135">
        <f>H229*H236</f>
        <v>2.0614588875982377E-2</v>
      </c>
      <c r="I245" s="135">
        <f t="shared" ref="I245:BI245" si="110">I229*I236</f>
        <v>2.0614588875982377E-2</v>
      </c>
      <c r="J245" s="135">
        <f>J229*J236</f>
        <v>1.7641936494123298E-2</v>
      </c>
      <c r="K245" s="135">
        <f t="shared" si="110"/>
        <v>5.292172201581599E-3</v>
      </c>
      <c r="L245" s="135">
        <f t="shared" si="110"/>
        <v>8.9390261712026242E-3</v>
      </c>
      <c r="M245" s="135">
        <f t="shared" si="110"/>
        <v>8.9390261712026242E-3</v>
      </c>
      <c r="N245" s="135">
        <f>N229*N236</f>
        <v>7.0300504444439109E-3</v>
      </c>
      <c r="O245" s="135">
        <f>O229*O236</f>
        <v>7.0300504444439109E-3</v>
      </c>
      <c r="P245" s="135">
        <f t="shared" si="110"/>
        <v>6.4205338591163631E-3</v>
      </c>
      <c r="Q245" s="135">
        <f t="shared" si="110"/>
        <v>6.4205338591163631E-3</v>
      </c>
      <c r="R245" s="135">
        <f>R229*R236</f>
        <v>3.6513106958649018E-2</v>
      </c>
      <c r="S245" s="135">
        <f>S229*S236</f>
        <v>1.1951403719145956E-2</v>
      </c>
      <c r="T245" s="135">
        <f>T229*T236</f>
        <v>1.1951403719145956E-2</v>
      </c>
      <c r="U245" s="135">
        <f t="shared" si="110"/>
        <v>5.219358209104916E-3</v>
      </c>
      <c r="V245" s="135">
        <f t="shared" si="110"/>
        <v>2.3915506685590923E-3</v>
      </c>
      <c r="W245" s="135">
        <f t="shared" si="110"/>
        <v>2.3915506685590923E-3</v>
      </c>
      <c r="X245" s="135">
        <f t="shared" si="110"/>
        <v>8.847943160159407E-3</v>
      </c>
      <c r="Y245" s="135">
        <f t="shared" si="110"/>
        <v>9.6066972872541206E-3</v>
      </c>
      <c r="Z245" s="135">
        <f t="shared" si="110"/>
        <v>1.1045375569046976E-2</v>
      </c>
      <c r="AA245" s="135">
        <f t="shared" si="110"/>
        <v>1.2638090421442373E-2</v>
      </c>
      <c r="AB245" s="135">
        <f t="shared" si="110"/>
        <v>7.1526989834924297E-3</v>
      </c>
      <c r="AC245" s="135">
        <f t="shared" si="110"/>
        <v>9.123110982179005E-3</v>
      </c>
      <c r="AD245" s="135">
        <f t="shared" si="110"/>
        <v>8.8146221110776725E-3</v>
      </c>
      <c r="AE245" s="135">
        <f t="shared" si="110"/>
        <v>7.1506471352813065E-3</v>
      </c>
      <c r="AF245" s="135">
        <f t="shared" si="110"/>
        <v>6.0865149054958332E-3</v>
      </c>
      <c r="AG245" s="135">
        <f t="shared" si="110"/>
        <v>2.7384401550856548E-3</v>
      </c>
      <c r="AH245" s="135">
        <f t="shared" si="110"/>
        <v>2.7772379179593445E-3</v>
      </c>
      <c r="AI245" s="135">
        <f t="shared" si="110"/>
        <v>3.4936943497258168E-3</v>
      </c>
      <c r="AJ245" s="135">
        <f t="shared" si="110"/>
        <v>5.0403956735313353E-3</v>
      </c>
      <c r="AK245" s="135">
        <f t="shared" si="110"/>
        <v>5.7605072034254282E-3</v>
      </c>
      <c r="AL245" s="135">
        <f t="shared" si="110"/>
        <v>4.9682278794476523E-3</v>
      </c>
      <c r="AM245" s="135">
        <f t="shared" si="110"/>
        <v>4.2404005227379251E-3</v>
      </c>
      <c r="AN245" s="135">
        <f t="shared" si="110"/>
        <v>1.0573212650634378E-2</v>
      </c>
      <c r="AO245" s="135">
        <f t="shared" si="110"/>
        <v>9.0224991643091546E-3</v>
      </c>
      <c r="AP245" s="135">
        <f t="shared" si="110"/>
        <v>8.8459744279130136E-3</v>
      </c>
      <c r="AQ245" s="135">
        <f t="shared" si="110"/>
        <v>8.2799927791364324E-3</v>
      </c>
      <c r="AR245" s="135">
        <f t="shared" si="110"/>
        <v>7.9100615144976159E-3</v>
      </c>
      <c r="AS245" s="135">
        <f t="shared" si="110"/>
        <v>7.855274889343988E-3</v>
      </c>
      <c r="AT245" s="135">
        <f t="shared" si="110"/>
        <v>7.5317851056067239E-3</v>
      </c>
      <c r="AU245" s="135">
        <f t="shared" si="110"/>
        <v>7.6339636001511654E-3</v>
      </c>
      <c r="AV245" s="135">
        <f t="shared" si="110"/>
        <v>7.2452569158117522E-3</v>
      </c>
      <c r="AW245" s="135">
        <f t="shared" si="110"/>
        <v>7.6356340669056673E-3</v>
      </c>
      <c r="AX245" s="135">
        <f t="shared" si="110"/>
        <v>4.8026465457460137E-2</v>
      </c>
      <c r="AY245" s="135">
        <f t="shared" si="110"/>
        <v>4.8026474654547242E-2</v>
      </c>
      <c r="AZ245" s="135">
        <f t="shared" si="110"/>
        <v>6.4378574000689207E-2</v>
      </c>
      <c r="BA245" s="135">
        <f t="shared" si="110"/>
        <v>8.6209544290112516E-2</v>
      </c>
      <c r="BB245" s="135">
        <f t="shared" si="110"/>
        <v>1.3605920974309946E-2</v>
      </c>
      <c r="BC245" s="135">
        <f t="shared" si="110"/>
        <v>12154.442193489671</v>
      </c>
      <c r="BD245" s="135">
        <f t="shared" si="110"/>
        <v>0.14723944763075872</v>
      </c>
      <c r="BE245" s="135">
        <f t="shared" si="110"/>
        <v>6.0639827976757639E-3</v>
      </c>
      <c r="BF245" s="135">
        <f t="shared" si="110"/>
        <v>6.0639827976757639E-3</v>
      </c>
      <c r="BG245" s="135">
        <f t="shared" si="110"/>
        <v>2.6967259846644369E-3</v>
      </c>
      <c r="BH245" s="135">
        <f t="shared" si="110"/>
        <v>7.8239656969411445E-2</v>
      </c>
      <c r="BI245" s="135">
        <f t="shared" si="110"/>
        <v>8.1574519912633675E-2</v>
      </c>
    </row>
    <row r="246" spans="1:61">
      <c r="A246" s="97"/>
      <c r="B246" s="97"/>
      <c r="C246" s="2433"/>
      <c r="D246" s="2434"/>
      <c r="E246" s="3955" t="s">
        <v>679</v>
      </c>
      <c r="F246" s="62" t="s">
        <v>1116</v>
      </c>
      <c r="G246" s="107" t="s">
        <v>24</v>
      </c>
      <c r="H246" s="113">
        <f t="shared" ref="H246:AL246" si="111">H$25*H245</f>
        <v>5.4308960187301453E-7</v>
      </c>
      <c r="I246" s="113">
        <f t="shared" si="111"/>
        <v>5.4308960187301453E-7</v>
      </c>
      <c r="J246" s="113">
        <f>J$25*J245</f>
        <v>3.0511138462614256E-6</v>
      </c>
      <c r="K246" s="113">
        <f t="shared" si="111"/>
        <v>2.0392399827262277E-4</v>
      </c>
      <c r="L246" s="113">
        <f t="shared" si="111"/>
        <v>6.440021883391363E-5</v>
      </c>
      <c r="M246" s="113">
        <f t="shared" si="111"/>
        <v>6.440021883391363E-5</v>
      </c>
      <c r="N246" s="113">
        <f>N$25*N245</f>
        <v>9.9892126215328159E-5</v>
      </c>
      <c r="O246" s="113">
        <f>O$25*O245</f>
        <v>9.9892126215328159E-5</v>
      </c>
      <c r="P246" s="113">
        <f t="shared" si="111"/>
        <v>9.9600979700097166E-5</v>
      </c>
      <c r="Q246" s="113">
        <f t="shared" si="111"/>
        <v>9.9600979700097166E-5</v>
      </c>
      <c r="R246" s="113">
        <f>R$25*R245</f>
        <v>2.2768670309653919E-4</v>
      </c>
      <c r="S246" s="113">
        <f>S$25*S245</f>
        <v>6.9918486207654748E-5</v>
      </c>
      <c r="T246" s="113">
        <f>T$25*T245</f>
        <v>6.9918486207654748E-5</v>
      </c>
      <c r="U246" s="113">
        <f t="shared" si="111"/>
        <v>1.437548900077946E-4</v>
      </c>
      <c r="V246" s="113">
        <f t="shared" si="111"/>
        <v>1.0781548785210783E-4</v>
      </c>
      <c r="W246" s="113">
        <f t="shared" si="111"/>
        <v>1.0781548785210783E-4</v>
      </c>
      <c r="X246" s="113">
        <f t="shared" si="111"/>
        <v>7.6522022144758761E-5</v>
      </c>
      <c r="Y246" s="113">
        <f t="shared" si="111"/>
        <v>5.7582216694844609E-5</v>
      </c>
      <c r="Z246" s="113">
        <f t="shared" si="111"/>
        <v>3.9208092481512074E-5</v>
      </c>
      <c r="AA246" s="113">
        <f t="shared" si="111"/>
        <v>3.0095972243509299E-5</v>
      </c>
      <c r="AB246" s="113">
        <f t="shared" si="111"/>
        <v>1.9264080420674549E-5</v>
      </c>
      <c r="AC246" s="113">
        <f t="shared" si="111"/>
        <v>4.7946320924097053E-6</v>
      </c>
      <c r="AD246" s="113">
        <f t="shared" si="111"/>
        <v>9.0673578839794259E-7</v>
      </c>
      <c r="AE246" s="113">
        <f t="shared" si="111"/>
        <v>9.1719586871972863E-8</v>
      </c>
      <c r="AF246" s="113">
        <f t="shared" si="111"/>
        <v>3.2358133691107159E-10</v>
      </c>
      <c r="AG246" s="113">
        <f t="shared" si="111"/>
        <v>1.6962136945716992E-4</v>
      </c>
      <c r="AH246" s="113">
        <f t="shared" si="111"/>
        <v>1.2880156972397823E-4</v>
      </c>
      <c r="AI246" s="113">
        <f t="shared" si="111"/>
        <v>6.5883369823316006E-5</v>
      </c>
      <c r="AJ246" s="113">
        <f t="shared" si="111"/>
        <v>2.2626178692020179E-5</v>
      </c>
      <c r="AK246" s="113">
        <f t="shared" si="111"/>
        <v>5.8950283459703035E-6</v>
      </c>
      <c r="AL246" s="113">
        <f t="shared" si="111"/>
        <v>3.8543223421223113E-7</v>
      </c>
      <c r="AM246" s="113">
        <f t="shared" ref="AM246:BI246" si="112">AM$25*AM245</f>
        <v>2.2772136026098964E-9</v>
      </c>
      <c r="AN246" s="113">
        <f t="shared" si="112"/>
        <v>4.5195266082559712E-7</v>
      </c>
      <c r="AO246" s="113">
        <f t="shared" si="112"/>
        <v>1.0533241495471439E-7</v>
      </c>
      <c r="AP246" s="113">
        <f t="shared" si="112"/>
        <v>1.7276826476917512E-7</v>
      </c>
      <c r="AQ246" s="113">
        <f t="shared" si="112"/>
        <v>6.548031042043473E-8</v>
      </c>
      <c r="AR246" s="113">
        <f t="shared" si="112"/>
        <v>1.2524530808445313E-8</v>
      </c>
      <c r="AS246" s="113">
        <f t="shared" si="112"/>
        <v>1.6064887650635493E-8</v>
      </c>
      <c r="AT246" s="113">
        <f t="shared" si="112"/>
        <v>1.1243728415960638E-9</v>
      </c>
      <c r="AU246" s="113">
        <f t="shared" si="112"/>
        <v>1.0963335764358679E-9</v>
      </c>
      <c r="AV246" s="113">
        <f t="shared" si="112"/>
        <v>1.6599767627812012E-10</v>
      </c>
      <c r="AW246" s="113">
        <f t="shared" si="112"/>
        <v>1.6857077605966772E-10</v>
      </c>
      <c r="AX246" s="113">
        <f t="shared" si="112"/>
        <v>3.7319682875788748E-11</v>
      </c>
      <c r="AY246" s="113">
        <f t="shared" si="112"/>
        <v>2.5612357517525934E-11</v>
      </c>
      <c r="AZ246" s="113">
        <f t="shared" si="112"/>
        <v>2.2926889106937288E-11</v>
      </c>
      <c r="BA246" s="113">
        <f t="shared" si="112"/>
        <v>5.3024569404353844E-12</v>
      </c>
      <c r="BB246" s="113">
        <f t="shared" si="112"/>
        <v>1.3250248559090131E-11</v>
      </c>
      <c r="BC246" s="113">
        <f t="shared" si="112"/>
        <v>3.1444378445913433E-12</v>
      </c>
      <c r="BD246" s="113">
        <f t="shared" si="112"/>
        <v>1.3773831338936872E-7</v>
      </c>
      <c r="BE246" s="113">
        <f t="shared" si="112"/>
        <v>1.2590447868146775E-10</v>
      </c>
      <c r="BF246" s="113">
        <f t="shared" si="112"/>
        <v>1.2590447868146775E-10</v>
      </c>
      <c r="BG246" s="113">
        <f t="shared" si="112"/>
        <v>4.5755257916464483E-5</v>
      </c>
      <c r="BH246" s="113">
        <f t="shared" si="112"/>
        <v>9.732851272747078E-8</v>
      </c>
      <c r="BI246" s="113">
        <f t="shared" si="112"/>
        <v>7.8516567840052284E-7</v>
      </c>
    </row>
    <row r="247" spans="1:61" ht="25.5">
      <c r="A247" s="97"/>
      <c r="B247" s="97"/>
      <c r="C247" s="2110"/>
      <c r="D247" s="2111"/>
      <c r="E247" s="3498" t="s">
        <v>1015</v>
      </c>
      <c r="F247" s="14" t="s">
        <v>19</v>
      </c>
      <c r="G247" s="341" t="s">
        <v>18</v>
      </c>
      <c r="H247" s="113" t="str">
        <f t="shared" ref="H247:AM247" si="113">IF(H$13=0,"nd",IF(H246=0,"PVL",H$13*1000/H245/H$20))</f>
        <v>nd</v>
      </c>
      <c r="I247" s="113" t="str">
        <f t="shared" si="113"/>
        <v>nd</v>
      </c>
      <c r="J247" s="113" t="str">
        <f t="shared" si="113"/>
        <v>nd</v>
      </c>
      <c r="K247" s="113">
        <f t="shared" si="113"/>
        <v>1274.984809058177</v>
      </c>
      <c r="L247" s="113">
        <f t="shared" si="113"/>
        <v>10635.385251567568</v>
      </c>
      <c r="M247" s="113">
        <f t="shared" si="113"/>
        <v>10635.385251567568</v>
      </c>
      <c r="N247" s="113">
        <f t="shared" si="113"/>
        <v>15306.564267662145</v>
      </c>
      <c r="O247" s="113">
        <f t="shared" si="113"/>
        <v>15306.564267662145</v>
      </c>
      <c r="P247" s="113">
        <f t="shared" si="113"/>
        <v>18683.226858032442</v>
      </c>
      <c r="Q247" s="113">
        <f t="shared" si="113"/>
        <v>18683.226858032442</v>
      </c>
      <c r="R247" s="113">
        <f t="shared" si="113"/>
        <v>3875.7173468169158</v>
      </c>
      <c r="S247" s="113">
        <f t="shared" si="113"/>
        <v>1703.0971882070673</v>
      </c>
      <c r="T247" s="113">
        <f t="shared" si="113"/>
        <v>1703.0971882070673</v>
      </c>
      <c r="U247" s="113">
        <f t="shared" si="113"/>
        <v>42692.348498225052</v>
      </c>
      <c r="V247" s="113">
        <f t="shared" si="113"/>
        <v>51431.408315476881</v>
      </c>
      <c r="W247" s="113">
        <f t="shared" si="113"/>
        <v>51431.408315476881</v>
      </c>
      <c r="X247" s="113">
        <f t="shared" si="113"/>
        <v>1982.6344598106336</v>
      </c>
      <c r="Y247" s="113">
        <f t="shared" si="113"/>
        <v>1623.9878329004594</v>
      </c>
      <c r="Z247" s="113">
        <f t="shared" si="113"/>
        <v>2486.8003879591797</v>
      </c>
      <c r="AA247" s="113">
        <f t="shared" si="113"/>
        <v>98.600352296288179</v>
      </c>
      <c r="AB247" s="113">
        <f t="shared" si="113"/>
        <v>882.98527206343419</v>
      </c>
      <c r="AC247" s="113">
        <f t="shared" si="113"/>
        <v>933.3978113151644</v>
      </c>
      <c r="AD247" s="113">
        <f t="shared" si="113"/>
        <v>4935.615378128844</v>
      </c>
      <c r="AE247" s="113">
        <f t="shared" si="113"/>
        <v>48793.275828461046</v>
      </c>
      <c r="AF247" s="113">
        <f t="shared" si="113"/>
        <v>13830522.933856945</v>
      </c>
      <c r="AG247" s="113">
        <f t="shared" si="113"/>
        <v>2296.9699868738685</v>
      </c>
      <c r="AH247" s="113">
        <f t="shared" si="113"/>
        <v>17218.190829138264</v>
      </c>
      <c r="AI247" s="113">
        <f t="shared" si="113"/>
        <v>2722.1328606019965</v>
      </c>
      <c r="AJ247" s="113">
        <f t="shared" si="113"/>
        <v>3041.9057150316585</v>
      </c>
      <c r="AK247" s="113">
        <f t="shared" si="113"/>
        <v>64461.098013168783</v>
      </c>
      <c r="AL247" s="113">
        <f t="shared" si="113"/>
        <v>985906.12374874705</v>
      </c>
      <c r="AM247" s="113">
        <f t="shared" si="113"/>
        <v>166870599.91407263</v>
      </c>
      <c r="AN247" s="113">
        <f t="shared" ref="AN247:BI247" si="114">IF(AN$13=0,"nd",IF(AN246=0,"PVL",AN$13*1000/AN245/AN$20))</f>
        <v>9902.1412838713823</v>
      </c>
      <c r="AO247" s="113">
        <f t="shared" si="114"/>
        <v>42487.38722112024</v>
      </c>
      <c r="AP247" s="113">
        <f t="shared" si="114"/>
        <v>25903.47890045567</v>
      </c>
      <c r="AQ247" s="113">
        <f t="shared" si="114"/>
        <v>68345.722132069204</v>
      </c>
      <c r="AR247" s="113">
        <f t="shared" si="114"/>
        <v>357322.69492274825</v>
      </c>
      <c r="AS247" s="113">
        <f t="shared" si="114"/>
        <v>278576.43317783385</v>
      </c>
      <c r="AT247" s="113">
        <f t="shared" si="114"/>
        <v>3980262.538860254</v>
      </c>
      <c r="AU247" s="113">
        <f t="shared" si="114"/>
        <v>4082059.6917825569</v>
      </c>
      <c r="AV247" s="113">
        <f t="shared" si="114"/>
        <v>26960010.534235101</v>
      </c>
      <c r="AW247" s="113">
        <f t="shared" si="114"/>
        <v>26548487.262896497</v>
      </c>
      <c r="AX247" s="113">
        <f t="shared" si="114"/>
        <v>119917929.52828197</v>
      </c>
      <c r="AY247" s="113">
        <f t="shared" si="114"/>
        <v>174732025.27546811</v>
      </c>
      <c r="AZ247" s="113">
        <f t="shared" si="114"/>
        <v>195198706.64714459</v>
      </c>
      <c r="BA247" s="113">
        <f t="shared" si="114"/>
        <v>844004798.41505313</v>
      </c>
      <c r="BB247" s="113">
        <f t="shared" si="114"/>
        <v>337752086.77473873</v>
      </c>
      <c r="BC247" s="113">
        <f t="shared" si="114"/>
        <v>1423242984.0565937</v>
      </c>
      <c r="BD247" s="113">
        <f t="shared" si="114"/>
        <v>11358.726343704173</v>
      </c>
      <c r="BE247" s="113" t="str">
        <f t="shared" si="114"/>
        <v>nd</v>
      </c>
      <c r="BF247" s="113" t="str">
        <f t="shared" si="114"/>
        <v>nd</v>
      </c>
      <c r="BG247" s="113" t="str">
        <f t="shared" si="114"/>
        <v>nd</v>
      </c>
      <c r="BH247" s="113" t="str">
        <f t="shared" si="114"/>
        <v>nd</v>
      </c>
      <c r="BI247" s="113" t="str">
        <f t="shared" si="114"/>
        <v>nd</v>
      </c>
    </row>
    <row r="248" spans="1:61" s="2443" customFormat="1" ht="25.5">
      <c r="A248" s="2438"/>
      <c r="B248" s="2439"/>
      <c r="C248" s="2110"/>
      <c r="D248" s="2111"/>
      <c r="E248" s="3498" t="s">
        <v>1016</v>
      </c>
      <c r="F248" s="2440" t="s">
        <v>19</v>
      </c>
      <c r="G248" s="2431" t="s">
        <v>20</v>
      </c>
      <c r="H248" s="2442" t="str">
        <f>IF(H247&lt;'3phas'!H$23,H247,"PVL")</f>
        <v>PVL</v>
      </c>
      <c r="I248" s="2442" t="str">
        <f>IF(I247&lt;'3phas'!I$23,I247,"PVL")</f>
        <v>PVL</v>
      </c>
      <c r="J248" s="2442" t="str">
        <f>IF(J247&lt;'3phas'!J$23,J247,"PVL")</f>
        <v>PVL</v>
      </c>
      <c r="K248" s="2442" t="str">
        <f>IF(K247&lt;'3phas'!K$23,K247,"PVL")</f>
        <v>PVL</v>
      </c>
      <c r="L248" s="2442" t="str">
        <f>IF(L247&lt;'3phas'!L$23,L247,"PVL")</f>
        <v>PVL</v>
      </c>
      <c r="M248" s="2442" t="str">
        <f>IF(M247&lt;'3phas'!M$23,M247,"PVL")</f>
        <v>PVL</v>
      </c>
      <c r="N248" s="2442" t="str">
        <f>IF(N247&lt;'3phas'!N$23,N247,"PVL")</f>
        <v>PVL</v>
      </c>
      <c r="O248" s="2442" t="str">
        <f>IF(O247&lt;'3phas'!O$23,O247,"PVL")</f>
        <v>PVL</v>
      </c>
      <c r="P248" s="2442" t="str">
        <f>IF(P247&lt;'3phas'!P$23,P247,"PVL")</f>
        <v>PVL</v>
      </c>
      <c r="Q248" s="2442" t="str">
        <f>IF(Q247&lt;'3phas'!Q$23,Q247,"PVL")</f>
        <v>PVL</v>
      </c>
      <c r="R248" s="2442" t="str">
        <f>IF(R247&lt;'3phas'!R$23,R247,"PVL")</f>
        <v>PVL</v>
      </c>
      <c r="S248" s="2442">
        <f>IF(S247&lt;'3phas'!S$23,S247,"PVL")</f>
        <v>1703.0971882070673</v>
      </c>
      <c r="T248" s="2442">
        <f>IF(T247&lt;'3phas'!T$23,T247,"PVL")</f>
        <v>1703.0971882070673</v>
      </c>
      <c r="U248" s="2442" t="str">
        <f>IF(U247&lt;'3phas'!U$23,U247,"PVL")</f>
        <v>PVL</v>
      </c>
      <c r="V248" s="2442" t="str">
        <f>IF(V247&lt;'3phas'!V$23,V247,"PVL")</f>
        <v>PVL</v>
      </c>
      <c r="W248" s="2442" t="str">
        <f>IF(W247&lt;'3phas'!W$23,W247,"PVL")</f>
        <v>PVL</v>
      </c>
      <c r="X248" s="2442" t="str">
        <f>IF(X247&lt;'3phas'!X$23,X247,"PVL")</f>
        <v>PVL</v>
      </c>
      <c r="Y248" s="2442" t="str">
        <f>IF(Y247&lt;'3phas'!Y$23,Y247,"PVL")</f>
        <v>PVL</v>
      </c>
      <c r="Z248" s="2442" t="str">
        <f>IF(Z247&lt;'3phas'!Z$23,Z247,"PVL")</f>
        <v>PVL</v>
      </c>
      <c r="AA248" s="2442">
        <f>IF(AA247&lt;'3phas'!AA$23,AA247,"PVL")</f>
        <v>98.600352296288179</v>
      </c>
      <c r="AB248" s="2442" t="str">
        <f>IF(AB247&lt;'3phas'!AB$23,AB247,"PVL")</f>
        <v>PVL</v>
      </c>
      <c r="AC248" s="2442" t="str">
        <f>IF(AC247&lt;'3phas'!AC$23,AC247,"PVL")</f>
        <v>PVL</v>
      </c>
      <c r="AD248" s="2442" t="str">
        <f>IF(AD247&lt;'3phas'!AD$23,AD247,"PVL")</f>
        <v>PVL</v>
      </c>
      <c r="AE248" s="2442" t="str">
        <f>IF(AE247&lt;'3phas'!AE$23,AE247,"PVL")</f>
        <v>PVL</v>
      </c>
      <c r="AF248" s="2442" t="str">
        <f>IF(AF247&lt;'3phas'!AF$23,AF247,"PVL")</f>
        <v>PVL</v>
      </c>
      <c r="AG248" s="2442" t="str">
        <f>IF(AG247&lt;'3phas'!AG$23,AG247,"PVL")</f>
        <v>PVL</v>
      </c>
      <c r="AH248" s="2442" t="str">
        <f>IF(AH247&lt;'3phas'!AH$23,AH247,"PVL")</f>
        <v>PVL</v>
      </c>
      <c r="AI248" s="2442" t="str">
        <f>IF(AI247&lt;'3phas'!AI$23,AI247,"PVL")</f>
        <v>PVL</v>
      </c>
      <c r="AJ248" s="2442" t="str">
        <f>IF(AJ247&lt;'3phas'!AJ$23,AJ247,"PVL")</f>
        <v>PVL</v>
      </c>
      <c r="AK248" s="2442" t="str">
        <f>IF(AK247&lt;'3phas'!AK$23,AK247,"PVL")</f>
        <v>PVL</v>
      </c>
      <c r="AL248" s="2442" t="str">
        <f>IF(AL247&lt;'3phas'!AL$23,AL247,"PVL")</f>
        <v>PVL</v>
      </c>
      <c r="AM248" s="2442" t="str">
        <f>IF(AM247&lt;'3phas'!AM$23,AM247,"PVL")</f>
        <v>PVL</v>
      </c>
      <c r="AN248" s="2442" t="str">
        <f>IF(AN247&lt;'3phas'!AN$23,AN247,"PVL")</f>
        <v>PVL</v>
      </c>
      <c r="AO248" s="2442" t="str">
        <f>IF(AO247&lt;'3phas'!AO$23,AO247,"PVL")</f>
        <v>PVL</v>
      </c>
      <c r="AP248" s="2442" t="str">
        <f>IF(AP247&lt;'3phas'!AP$23,AP247,"PVL")</f>
        <v>PVL</v>
      </c>
      <c r="AQ248" s="2442" t="str">
        <f>IF(AQ247&lt;'3phas'!AQ$23,AQ247,"PVL")</f>
        <v>PVL</v>
      </c>
      <c r="AR248" s="2442" t="str">
        <f>IF(AR247&lt;'3phas'!AR$23,AR247,"PVL")</f>
        <v>PVL</v>
      </c>
      <c r="AS248" s="2442" t="str">
        <f>IF(AS247&lt;'3phas'!AS$23,AS247,"PVL")</f>
        <v>PVL</v>
      </c>
      <c r="AT248" s="2442" t="str">
        <f>IF(AT247&lt;'3phas'!AT$23,AT247,"PVL")</f>
        <v>PVL</v>
      </c>
      <c r="AU248" s="2442" t="str">
        <f>IF(AU247&lt;'3phas'!AU$23,AU247,"PVL")</f>
        <v>PVL</v>
      </c>
      <c r="AV248" s="2442" t="str">
        <f>IF(AV247&lt;'3phas'!AV$23,AV247,"PVL")</f>
        <v>PVL</v>
      </c>
      <c r="AW248" s="2442" t="str">
        <f>IF(AW247&lt;'3phas'!AW$23,AW247,"PVL")</f>
        <v>PVL</v>
      </c>
      <c r="AX248" s="2442" t="str">
        <f>IF(AX247&lt;'3phas'!AX$23,AX247,"PVL")</f>
        <v>PVL</v>
      </c>
      <c r="AY248" s="2442" t="str">
        <f>IF(AY247&lt;'3phas'!AY$23,AY247,"PVL")</f>
        <v>PVL</v>
      </c>
      <c r="AZ248" s="2442" t="str">
        <f>IF(AZ247&lt;'3phas'!AZ$23,AZ247,"PVL")</f>
        <v>PVL</v>
      </c>
      <c r="BA248" s="2442" t="str">
        <f>IF(BA247&lt;'3phas'!BA$23,BA247,"PVL")</f>
        <v>PVL</v>
      </c>
      <c r="BB248" s="2442" t="str">
        <f>IF(BB247&lt;'3phas'!BB$23,BB247,"PVL")</f>
        <v>PVL</v>
      </c>
      <c r="BC248" s="2442" t="str">
        <f>IF(BC247&lt;'3phas'!BC$23,BC247,"PVL")</f>
        <v>PVL</v>
      </c>
      <c r="BD248" s="2442">
        <f>IF(BD247&lt;'3phas'!BD$23,BD247,"PVL")</f>
        <v>11358.726343704173</v>
      </c>
      <c r="BE248" s="2442" t="str">
        <f>IF(BE247&lt;'3phas'!BE$23,BE247,"PVL")</f>
        <v>PVL</v>
      </c>
      <c r="BF248" s="2442" t="str">
        <f>IF(BF247&lt;'3phas'!BF$23,BF247,"PVL")</f>
        <v>PVL</v>
      </c>
      <c r="BG248" s="2442" t="str">
        <f>BG247</f>
        <v>nd</v>
      </c>
      <c r="BH248" s="2442" t="str">
        <f>IF(BH247&lt;'3phas'!BH$23,BH247,"PVL")</f>
        <v>PVL</v>
      </c>
      <c r="BI248" s="2442" t="str">
        <f>IF(BI247&lt;'3phas'!BI$23,BI247,"PVL")</f>
        <v>PVL</v>
      </c>
    </row>
    <row r="249" spans="1:61">
      <c r="A249" s="97"/>
      <c r="B249" s="97"/>
      <c r="C249" s="2433"/>
      <c r="D249" s="2434"/>
      <c r="E249" s="589" t="str">
        <f>E232</f>
        <v>Période employé (40 ans)</v>
      </c>
      <c r="F249" s="62"/>
      <c r="G249" s="107"/>
      <c r="H249" s="113"/>
      <c r="I249" s="113"/>
      <c r="J249" s="113"/>
      <c r="K249" s="113"/>
      <c r="L249" s="113"/>
      <c r="M249" s="113"/>
      <c r="N249" s="113"/>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row>
    <row r="250" spans="1:61">
      <c r="A250" s="97"/>
      <c r="B250" s="97"/>
      <c r="C250" s="2433"/>
      <c r="D250" s="2434"/>
      <c r="E250" s="586" t="s">
        <v>1112</v>
      </c>
      <c r="F250" s="96" t="s">
        <v>1115</v>
      </c>
      <c r="G250" s="144" t="s">
        <v>206</v>
      </c>
      <c r="H250" s="135">
        <f>H236*H233</f>
        <v>8.5332471388496738E-3</v>
      </c>
      <c r="I250" s="135">
        <f t="shared" ref="I250:BI250" si="115">I236*I233</f>
        <v>8.5332471388496738E-3</v>
      </c>
      <c r="J250" s="135">
        <f>J236*J233</f>
        <v>3.5767535540077084E-3</v>
      </c>
      <c r="K250" s="135">
        <f t="shared" si="115"/>
        <v>2.4687679882099972E-5</v>
      </c>
      <c r="L250" s="135">
        <f t="shared" si="115"/>
        <v>1.3204364778198247E-4</v>
      </c>
      <c r="M250" s="135">
        <f t="shared" si="115"/>
        <v>1.3204364778198247E-4</v>
      </c>
      <c r="N250" s="135">
        <f>N236*N233</f>
        <v>6.6948651212456095E-5</v>
      </c>
      <c r="O250" s="135">
        <f>O236*O233</f>
        <v>6.6948651212456095E-5</v>
      </c>
      <c r="P250" s="135">
        <f t="shared" si="115"/>
        <v>6.1322828463232051E-5</v>
      </c>
      <c r="Q250" s="135">
        <f t="shared" si="115"/>
        <v>6.1322828463232051E-5</v>
      </c>
      <c r="R250" s="135">
        <f>R236*R233</f>
        <v>1.5255476195051988E-4</v>
      </c>
      <c r="S250" s="135">
        <f>S236*S233</f>
        <v>1.6260786513136121E-4</v>
      </c>
      <c r="T250" s="135">
        <f>T236*T233</f>
        <v>1.6260786513136121E-4</v>
      </c>
      <c r="U250" s="135">
        <f t="shared" si="115"/>
        <v>3.4538949546098306E-5</v>
      </c>
      <c r="V250" s="135">
        <f t="shared" si="115"/>
        <v>2.1101488031849406E-5</v>
      </c>
      <c r="W250" s="135">
        <f t="shared" si="115"/>
        <v>2.1101488031849406E-5</v>
      </c>
      <c r="X250" s="135">
        <f t="shared" si="115"/>
        <v>1.0999438954791566E-4</v>
      </c>
      <c r="Y250" s="135">
        <f t="shared" si="115"/>
        <v>1.5870856843399215E-4</v>
      </c>
      <c r="Z250" s="135">
        <f t="shared" si="115"/>
        <v>2.6799051382735947E-4</v>
      </c>
      <c r="AA250" s="135">
        <f t="shared" si="115"/>
        <v>3.9947327346007985E-4</v>
      </c>
      <c r="AB250" s="135">
        <f t="shared" si="115"/>
        <v>3.5321270250555893E-4</v>
      </c>
      <c r="AC250" s="135">
        <f t="shared" si="115"/>
        <v>1.5324707616582757E-3</v>
      </c>
      <c r="AD250" s="135">
        <f t="shared" si="115"/>
        <v>2.8837175104486218E-3</v>
      </c>
      <c r="AE250" s="135">
        <f t="shared" si="115"/>
        <v>4.9286394800053162E-3</v>
      </c>
      <c r="AF250" s="135">
        <f t="shared" si="115"/>
        <v>6.0733064761966972E-3</v>
      </c>
      <c r="AG250" s="135">
        <f t="shared" si="115"/>
        <v>1.5358094553000372E-5</v>
      </c>
      <c r="AH250" s="135">
        <f t="shared" si="115"/>
        <v>2.0511932468673853E-5</v>
      </c>
      <c r="AI250" s="135">
        <f t="shared" si="115"/>
        <v>5.0445653302991629E-5</v>
      </c>
      <c r="AJ250" s="135">
        <f t="shared" si="115"/>
        <v>2.119181066751425E-4</v>
      </c>
      <c r="AK250" s="135">
        <f t="shared" si="115"/>
        <v>8.9291556641301869E-4</v>
      </c>
      <c r="AL250" s="135">
        <f t="shared" si="115"/>
        <v>2.2328472044252047E-3</v>
      </c>
      <c r="AM250" s="135">
        <f t="shared" si="115"/>
        <v>4.1731526002882309E-3</v>
      </c>
      <c r="AN250" s="135">
        <f t="shared" si="115"/>
        <v>4.5096256982436614E-3</v>
      </c>
      <c r="AO250" s="135">
        <f t="shared" si="115"/>
        <v>6.0290597730193072E-3</v>
      </c>
      <c r="AP250" s="135">
        <f t="shared" si="115"/>
        <v>5.1652665981032726E-3</v>
      </c>
      <c r="AQ250" s="135">
        <f t="shared" si="115"/>
        <v>6.1606873275249488E-3</v>
      </c>
      <c r="AR250" s="135">
        <f t="shared" si="115"/>
        <v>7.3212559328783081E-3</v>
      </c>
      <c r="AS250" s="135">
        <f t="shared" si="115"/>
        <v>7.1297593769663577E-3</v>
      </c>
      <c r="AT250" s="135">
        <f t="shared" si="115"/>
        <v>7.4774264441005199E-3</v>
      </c>
      <c r="AU250" s="135">
        <f t="shared" si="115"/>
        <v>7.5807612991078644E-3</v>
      </c>
      <c r="AV250" s="135">
        <f t="shared" si="115"/>
        <v>7.2378859416901836E-3</v>
      </c>
      <c r="AW250" s="135">
        <f t="shared" si="115"/>
        <v>7.6280053975473234E-3</v>
      </c>
      <c r="AX250" s="135">
        <f t="shared" si="115"/>
        <v>4.8019483194656251E-2</v>
      </c>
      <c r="AY250" s="135">
        <f t="shared" si="115"/>
        <v>4.802168231031706E-2</v>
      </c>
      <c r="AZ250" s="135">
        <f t="shared" si="115"/>
        <v>6.4372906533039287E-2</v>
      </c>
      <c r="BA250" s="135">
        <f t="shared" si="115"/>
        <v>8.6207812596548417E-2</v>
      </c>
      <c r="BB250" s="135">
        <f t="shared" si="115"/>
        <v>1.3605109882086694E-2</v>
      </c>
      <c r="BC250" s="135">
        <f t="shared" si="115"/>
        <v>12154.301402746394</v>
      </c>
      <c r="BD250" s="135">
        <f t="shared" si="115"/>
        <v>0.10519094665499945</v>
      </c>
      <c r="BE250" s="135">
        <f t="shared" si="115"/>
        <v>6.0591087850338111E-3</v>
      </c>
      <c r="BF250" s="135">
        <f t="shared" si="115"/>
        <v>6.0591087850338111E-3</v>
      </c>
      <c r="BG250" s="135">
        <f t="shared" si="115"/>
        <v>2.5230332484521805E-5</v>
      </c>
      <c r="BH250" s="135">
        <f t="shared" si="115"/>
        <v>5.9721432544139745E-2</v>
      </c>
      <c r="BI250" s="135">
        <f t="shared" si="115"/>
        <v>3.0837979347268871E-2</v>
      </c>
    </row>
    <row r="251" spans="1:61">
      <c r="A251" s="97"/>
      <c r="B251" s="97"/>
      <c r="C251" s="2433"/>
      <c r="D251" s="2434"/>
      <c r="E251" s="587"/>
      <c r="F251" s="62"/>
      <c r="G251" s="107"/>
      <c r="H251" s="113"/>
      <c r="I251" s="113"/>
      <c r="J251" s="113"/>
      <c r="K251" s="113"/>
      <c r="L251" s="113"/>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row>
    <row r="252" spans="1:61" ht="25.5">
      <c r="A252" s="97"/>
      <c r="B252" s="97"/>
      <c r="C252" s="2433" t="s">
        <v>208</v>
      </c>
      <c r="D252" s="2434"/>
      <c r="E252" s="141" t="s">
        <v>622</v>
      </c>
      <c r="F252" s="14" t="s">
        <v>151</v>
      </c>
      <c r="G252" s="105" t="s">
        <v>152</v>
      </c>
      <c r="H252" s="113">
        <f>IF(FEM!$H12+FEM!$H14&gt;0,(Dispers!$J34*FEM!$H12+Dispers!$H34*FEM!$H14)/(FEM!$H12+FEM!$H14),0)</f>
        <v>0</v>
      </c>
      <c r="I252" s="113">
        <f>IF(FEM!$H12+FEM!$H14&gt;0,(Dispers!$J34*FEM!$H12+Dispers!$H34*FEM!$H14)/(FEM!$H12+FEM!$H14),0)</f>
        <v>0</v>
      </c>
      <c r="J252" s="113">
        <f>IF(FEM!$H12+FEM!$H14&gt;0,(Dispers!$J34*FEM!$H12+Dispers!$H34*FEM!$H14)/(FEM!$H12+FEM!$H14),0)</f>
        <v>0</v>
      </c>
      <c r="K252" s="113">
        <f>IF(FEM!$H12+FEM!$H14&gt;0,(Dispers!$J34*FEM!$H12+Dispers!$H34*FEM!$H14)/(FEM!$H12+FEM!$H14),0)</f>
        <v>0</v>
      </c>
      <c r="L252" s="113">
        <f>IF(FEM!$H12+FEM!$H14&gt;0,(Dispers!$J34*FEM!$H12+Dispers!$H34*FEM!$H14)/(FEM!$H12+FEM!$H14),0)</f>
        <v>0</v>
      </c>
      <c r="M252" s="113">
        <f>IF(FEM!$H12+FEM!$H14&gt;0,(Dispers!$J34*FEM!$H12+Dispers!$H34*FEM!$H14)/(FEM!$H12+FEM!$H14),0)</f>
        <v>0</v>
      </c>
      <c r="N252" s="113">
        <f>IF(FEM!$H12+FEM!$H14&gt;0,(Dispers!$J34*FEM!$H12+Dispers!$H34*FEM!$H14)/(FEM!$H12+FEM!$H14),0)</f>
        <v>0</v>
      </c>
      <c r="O252" s="113">
        <f>IF(FEM!$H12+FEM!$H14&gt;0,(Dispers!$J34*FEM!$H12+Dispers!$H34*FEM!$H14)/(FEM!$H12+FEM!$H14),0)</f>
        <v>0</v>
      </c>
      <c r="P252" s="113">
        <f>IF(FEM!$H12+FEM!$H14&gt;0,(Dispers!$J34*FEM!$H12+Dispers!$H34*FEM!$H14)/(FEM!$H12+FEM!$H14),0)</f>
        <v>0</v>
      </c>
      <c r="Q252" s="113">
        <f>IF(FEM!$H12+FEM!$H14&gt;0,(Dispers!$J34*FEM!$H12+Dispers!$H34*FEM!$H14)/(FEM!$H12+FEM!$H14),0)</f>
        <v>0</v>
      </c>
      <c r="R252" s="113">
        <f>IF(FEM!$H12+FEM!$H14&gt;0,(Dispers!$J34*FEM!$H12+Dispers!$H34*FEM!$H14)/(FEM!$H12+FEM!$H14),0)</f>
        <v>0</v>
      </c>
      <c r="S252" s="113">
        <f>IF(FEM!$H12+FEM!$H14&gt;0,(Dispers!$J34*FEM!$H12+Dispers!$H34*FEM!$H14)/(FEM!$H12+FEM!$H14),0)</f>
        <v>0</v>
      </c>
      <c r="T252" s="113">
        <f>IF(FEM!$H12+FEM!$H14&gt;0,(Dispers!$J34*FEM!$H12+Dispers!$H34*FEM!$H14)/(FEM!$H12+FEM!$H14),0)</f>
        <v>0</v>
      </c>
      <c r="U252" s="113">
        <f>IF(FEM!$H12+FEM!$H14&gt;0,(Dispers!$J34*FEM!$H12+Dispers!$H34*FEM!$H14)/(FEM!$H12+FEM!$H14),0)</f>
        <v>0</v>
      </c>
      <c r="V252" s="113">
        <f>IF(FEM!$H12+FEM!$H14&gt;0,(Dispers!$J34*FEM!$H12+Dispers!$H34*FEM!$H14)/(FEM!$H12+FEM!$H14),0)</f>
        <v>0</v>
      </c>
      <c r="W252" s="113">
        <f>IF(FEM!$H12+FEM!$H14&gt;0,(Dispers!$J34*FEM!$H12+Dispers!$H34*FEM!$H14)/(FEM!$H12+FEM!$H14),0)</f>
        <v>0</v>
      </c>
      <c r="X252" s="113">
        <f>IF(FEM!$H12+FEM!$H14&gt;0,(Dispers!$J34*FEM!$H12+Dispers!$H34*FEM!$H14)/(FEM!$H12+FEM!$H14),0)</f>
        <v>0</v>
      </c>
      <c r="Y252" s="113">
        <f>IF(FEM!$H12+FEM!$H14&gt;0,(Dispers!$J34*FEM!$H12+Dispers!$H34*FEM!$H14)/(FEM!$H12+FEM!$H14),0)</f>
        <v>0</v>
      </c>
      <c r="Z252" s="113">
        <f>IF(FEM!$H12+FEM!$H14&gt;0,(Dispers!$J34*FEM!$H12+Dispers!$H34*FEM!$H14)/(FEM!$H12+FEM!$H14),0)</f>
        <v>0</v>
      </c>
      <c r="AA252" s="113">
        <f>IF(FEM!$H12+FEM!$H14&gt;0,(Dispers!$J34*FEM!$H12+Dispers!$H34*FEM!$H14)/(FEM!$H12+FEM!$H14),0)</f>
        <v>0</v>
      </c>
      <c r="AB252" s="113">
        <f>IF(FEM!$H12+FEM!$H14&gt;0,(Dispers!$J34*FEM!$H12+Dispers!$H34*FEM!$H14)/(FEM!$H12+FEM!$H14),0)</f>
        <v>0</v>
      </c>
      <c r="AC252" s="113">
        <f>IF(FEM!$H12+FEM!$H14&gt;0,(Dispers!$J34*FEM!$H12+Dispers!$H34*FEM!$H14)/(FEM!$H12+FEM!$H14),0)</f>
        <v>0</v>
      </c>
      <c r="AD252" s="113">
        <f>IF(FEM!$H12+FEM!$H14&gt;0,(Dispers!$J34*FEM!$H12+Dispers!$H34*FEM!$H14)/(FEM!$H12+FEM!$H14),0)</f>
        <v>0</v>
      </c>
      <c r="AE252" s="113">
        <f>IF(FEM!$H12+FEM!$H14&gt;0,(Dispers!$J34*FEM!$H12+Dispers!$H34*FEM!$H14)/(FEM!$H12+FEM!$H14),0)</f>
        <v>0</v>
      </c>
      <c r="AF252" s="113">
        <f>IF(FEM!$H12+FEM!$H14&gt;0,(Dispers!$J34*FEM!$H12+Dispers!$H34*FEM!$H14)/(FEM!$H12+FEM!$H14),0)</f>
        <v>0</v>
      </c>
      <c r="AG252" s="113">
        <f>IF(FEM!$H12+FEM!$H14&gt;0,(Dispers!$J34*FEM!$H12+Dispers!$H34*FEM!$H14)/(FEM!$H12+FEM!$H14),0)</f>
        <v>0</v>
      </c>
      <c r="AH252" s="113">
        <f>IF(FEM!$H12+FEM!$H14&gt;0,(Dispers!$J34*FEM!$H12+Dispers!$H34*FEM!$H14)/(FEM!$H12+FEM!$H14),0)</f>
        <v>0</v>
      </c>
      <c r="AI252" s="113">
        <f>IF(FEM!$H12+FEM!$H14&gt;0,(Dispers!$J34*FEM!$H12+Dispers!$H34*FEM!$H14)/(FEM!$H12+FEM!$H14),0)</f>
        <v>0</v>
      </c>
      <c r="AJ252" s="113">
        <f>IF(FEM!$H12+FEM!$H14&gt;0,(Dispers!$J34*FEM!$H12+Dispers!$H34*FEM!$H14)/(FEM!$H12+FEM!$H14),0)</f>
        <v>0</v>
      </c>
      <c r="AK252" s="113">
        <f>IF(FEM!$H12+FEM!$H14&gt;0,(Dispers!$J34*FEM!$H12+Dispers!$H34*FEM!$H14)/(FEM!$H12+FEM!$H14),0)</f>
        <v>0</v>
      </c>
      <c r="AL252" s="113">
        <f>IF(FEM!$H12+FEM!$H14&gt;0,(Dispers!$J34*FEM!$H12+Dispers!$H34*FEM!$H14)/(FEM!$H12+FEM!$H14),0)</f>
        <v>0</v>
      </c>
      <c r="AM252" s="113">
        <f>IF(FEM!$H12+FEM!$H14&gt;0,(Dispers!$J34*FEM!$H12+Dispers!$H34*FEM!$H14)/(FEM!$H12+FEM!$H14),0)</f>
        <v>0</v>
      </c>
      <c r="AN252" s="113">
        <f>IF(FEM!$H12+FEM!$H14&gt;0,(Dispers!$J34*FEM!$H12+Dispers!$H34*FEM!$H14)/(FEM!$H12+FEM!$H14),0)</f>
        <v>0</v>
      </c>
      <c r="AO252" s="113">
        <f>IF(FEM!$H12+FEM!$H14&gt;0,(Dispers!$J34*FEM!$H12+Dispers!$H34*FEM!$H14)/(FEM!$H12+FEM!$H14),0)</f>
        <v>0</v>
      </c>
      <c r="AP252" s="113">
        <f>IF(FEM!$H12+FEM!$H14&gt;0,(Dispers!$J34*FEM!$H12+Dispers!$H34*FEM!$H14)/(FEM!$H12+FEM!$H14),0)</f>
        <v>0</v>
      </c>
      <c r="AQ252" s="113">
        <f>IF(FEM!$H12+FEM!$H14&gt;0,(Dispers!$J34*FEM!$H12+Dispers!$H34*FEM!$H14)/(FEM!$H12+FEM!$H14),0)</f>
        <v>0</v>
      </c>
      <c r="AR252" s="113">
        <f>IF(FEM!$H12+FEM!$H14&gt;0,(Dispers!$J34*FEM!$H12+Dispers!$H34*FEM!$H14)/(FEM!$H12+FEM!$H14),0)</f>
        <v>0</v>
      </c>
      <c r="AS252" s="113">
        <f>IF(FEM!$H12+FEM!$H14&gt;0,(Dispers!$J34*FEM!$H12+Dispers!$H34*FEM!$H14)/(FEM!$H12+FEM!$H14),0)</f>
        <v>0</v>
      </c>
      <c r="AT252" s="113">
        <f>IF(FEM!$H12+FEM!$H14&gt;0,(Dispers!$J34*FEM!$H12+Dispers!$H34*FEM!$H14)/(FEM!$H12+FEM!$H14),0)</f>
        <v>0</v>
      </c>
      <c r="AU252" s="113">
        <f>IF(FEM!$H12+FEM!$H14&gt;0,(Dispers!$J34*FEM!$H12+Dispers!$H34*FEM!$H14)/(FEM!$H12+FEM!$H14),0)</f>
        <v>0</v>
      </c>
      <c r="AV252" s="113">
        <f>IF(FEM!$H12+FEM!$H14&gt;0,(Dispers!$J34*FEM!$H12+Dispers!$H34*FEM!$H14)/(FEM!$H12+FEM!$H14),0)</f>
        <v>0</v>
      </c>
      <c r="AW252" s="113">
        <f>IF(FEM!$H12+FEM!$H14&gt;0,(Dispers!$J34*FEM!$H12+Dispers!$H34*FEM!$H14)/(FEM!$H12+FEM!$H14),0)</f>
        <v>0</v>
      </c>
      <c r="AX252" s="113">
        <f>IF(FEM!$H12+FEM!$H14&gt;0,(Dispers!$J34*FEM!$H12+Dispers!$H34*FEM!$H14)/(FEM!$H12+FEM!$H14),0)</f>
        <v>0</v>
      </c>
      <c r="AY252" s="113">
        <f>IF(FEM!$H12+FEM!$H14&gt;0,(Dispers!$J34*FEM!$H12+Dispers!$H34*FEM!$H14)/(FEM!$H12+FEM!$H14),0)</f>
        <v>0</v>
      </c>
      <c r="AZ252" s="113">
        <f>IF(FEM!$H12+FEM!$H14&gt;0,(Dispers!$J34*FEM!$H12+Dispers!$H34*FEM!$H14)/(FEM!$H12+FEM!$H14),0)</f>
        <v>0</v>
      </c>
      <c r="BA252" s="113">
        <f>IF(FEM!$H12+FEM!$H14&gt;0,(Dispers!$J34*FEM!$H12+Dispers!$H34*FEM!$H14)/(FEM!$H12+FEM!$H14),0)</f>
        <v>0</v>
      </c>
      <c r="BB252" s="113">
        <f>IF(FEM!$H12+FEM!$H14&gt;0,(Dispers!$J34*FEM!$H12+Dispers!$H34*FEM!$H14)/(FEM!$H12+FEM!$H14),0)</f>
        <v>0</v>
      </c>
      <c r="BC252" s="113">
        <f>IF(FEM!$H12+FEM!$H14&gt;0,(Dispers!$J34*FEM!$H12+Dispers!$H34*FEM!$H14)/(FEM!$H12+FEM!$H14),0)</f>
        <v>0</v>
      </c>
      <c r="BD252" s="113">
        <f>IF(FEM!$H12+FEM!$H14&gt;0,(Dispers!$J34*FEM!$H12+Dispers!$H34*FEM!$H14)/(FEM!$H12+FEM!$H14),0)</f>
        <v>0</v>
      </c>
      <c r="BE252" s="113">
        <f>IF(FEM!$H12+FEM!$H14&gt;0,(Dispers!$J34*FEM!$H12+Dispers!$H34*FEM!$H14)/(FEM!$H12+FEM!$H14),0)</f>
        <v>0</v>
      </c>
      <c r="BF252" s="113">
        <f>IF(FEM!$H12+FEM!$H14&gt;0,(Dispers!$J34*FEM!$H12+Dispers!$H34*FEM!$H14)/(FEM!$H12+FEM!$H14),0)</f>
        <v>0</v>
      </c>
      <c r="BG252" s="113">
        <f>IF(FEM!$H12+FEM!$H14&gt;0,(Dispers!$J34*FEM!$H12+Dispers!$H34*FEM!$H14)/(FEM!$H12+FEM!$H14),0)</f>
        <v>0</v>
      </c>
      <c r="BH252" s="113">
        <f>IF(FEM!$H12+FEM!$H14&gt;0,(Dispers!$J34*FEM!$H12+Dispers!$H34*FEM!$H14)/(FEM!$H12+FEM!$H14),0)</f>
        <v>0</v>
      </c>
      <c r="BI252" s="113">
        <f>IF(FEM!$H12+FEM!$H14&gt;0,(Dispers!$J34*FEM!$H12+Dispers!$H34*FEM!$H14)/(FEM!$H12+FEM!$H14),0)</f>
        <v>0</v>
      </c>
    </row>
    <row r="253" spans="1:61">
      <c r="A253" s="97"/>
      <c r="B253" s="97"/>
      <c r="C253" s="2433"/>
      <c r="D253" s="2434"/>
      <c r="E253" s="590" t="str">
        <f>E242</f>
        <v>Période chronique</v>
      </c>
      <c r="F253" s="14"/>
      <c r="G253" s="105"/>
      <c r="H253" s="113"/>
      <c r="I253" s="113"/>
      <c r="J253" s="113"/>
      <c r="K253" s="113"/>
      <c r="L253" s="113"/>
      <c r="M253" s="113"/>
      <c r="N253" s="113"/>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row>
    <row r="254" spans="1:61">
      <c r="A254" s="97"/>
      <c r="B254" s="97"/>
      <c r="C254" s="2110"/>
      <c r="D254" s="2434"/>
      <c r="E254" s="586" t="s">
        <v>1113</v>
      </c>
      <c r="F254" s="96" t="s">
        <v>1115</v>
      </c>
      <c r="G254" s="144" t="s">
        <v>206</v>
      </c>
      <c r="H254" s="135">
        <f t="shared" ref="H254:AL254" si="116">H252*H227</f>
        <v>0</v>
      </c>
      <c r="I254" s="135">
        <f t="shared" si="116"/>
        <v>0</v>
      </c>
      <c r="J254" s="135">
        <f>J252*J227</f>
        <v>0</v>
      </c>
      <c r="K254" s="135">
        <f t="shared" si="116"/>
        <v>0</v>
      </c>
      <c r="L254" s="135">
        <f t="shared" si="116"/>
        <v>0</v>
      </c>
      <c r="M254" s="135">
        <f t="shared" si="116"/>
        <v>0</v>
      </c>
      <c r="N254" s="135">
        <f>N252*N227</f>
        <v>0</v>
      </c>
      <c r="O254" s="135">
        <f>O252*O227</f>
        <v>0</v>
      </c>
      <c r="P254" s="135">
        <f t="shared" si="116"/>
        <v>0</v>
      </c>
      <c r="Q254" s="135">
        <f t="shared" si="116"/>
        <v>0</v>
      </c>
      <c r="R254" s="135">
        <f>R252*R227</f>
        <v>0</v>
      </c>
      <c r="S254" s="135">
        <f>S252*S227</f>
        <v>0</v>
      </c>
      <c r="T254" s="135">
        <f>T252*T227</f>
        <v>0</v>
      </c>
      <c r="U254" s="135">
        <f t="shared" si="116"/>
        <v>0</v>
      </c>
      <c r="V254" s="135">
        <f t="shared" si="116"/>
        <v>0</v>
      </c>
      <c r="W254" s="135">
        <f t="shared" si="116"/>
        <v>0</v>
      </c>
      <c r="X254" s="135">
        <f t="shared" si="116"/>
        <v>0</v>
      </c>
      <c r="Y254" s="135">
        <f t="shared" si="116"/>
        <v>0</v>
      </c>
      <c r="Z254" s="135">
        <f t="shared" si="116"/>
        <v>0</v>
      </c>
      <c r="AA254" s="135">
        <f t="shared" si="116"/>
        <v>0</v>
      </c>
      <c r="AB254" s="135">
        <f t="shared" si="116"/>
        <v>0</v>
      </c>
      <c r="AC254" s="135">
        <f t="shared" si="116"/>
        <v>0</v>
      </c>
      <c r="AD254" s="135">
        <f t="shared" si="116"/>
        <v>0</v>
      </c>
      <c r="AE254" s="135">
        <f t="shared" si="116"/>
        <v>0</v>
      </c>
      <c r="AF254" s="135">
        <f t="shared" si="116"/>
        <v>0</v>
      </c>
      <c r="AG254" s="135">
        <f t="shared" si="116"/>
        <v>0</v>
      </c>
      <c r="AH254" s="135">
        <f t="shared" si="116"/>
        <v>0</v>
      </c>
      <c r="AI254" s="135">
        <f t="shared" si="116"/>
        <v>0</v>
      </c>
      <c r="AJ254" s="135">
        <f t="shared" si="116"/>
        <v>0</v>
      </c>
      <c r="AK254" s="135">
        <f t="shared" si="116"/>
        <v>0</v>
      </c>
      <c r="AL254" s="135">
        <f t="shared" si="116"/>
        <v>0</v>
      </c>
      <c r="AM254" s="135">
        <f t="shared" ref="AM254:BI254" si="117">AM252*AM227</f>
        <v>0</v>
      </c>
      <c r="AN254" s="135">
        <f t="shared" si="117"/>
        <v>0</v>
      </c>
      <c r="AO254" s="135">
        <f t="shared" si="117"/>
        <v>0</v>
      </c>
      <c r="AP254" s="135">
        <f t="shared" si="117"/>
        <v>0</v>
      </c>
      <c r="AQ254" s="135">
        <f t="shared" si="117"/>
        <v>0</v>
      </c>
      <c r="AR254" s="135">
        <f t="shared" si="117"/>
        <v>0</v>
      </c>
      <c r="AS254" s="135">
        <f t="shared" si="117"/>
        <v>0</v>
      </c>
      <c r="AT254" s="135">
        <f t="shared" si="117"/>
        <v>0</v>
      </c>
      <c r="AU254" s="135">
        <f t="shared" si="117"/>
        <v>0</v>
      </c>
      <c r="AV254" s="135">
        <f t="shared" si="117"/>
        <v>0</v>
      </c>
      <c r="AW254" s="135">
        <f t="shared" si="117"/>
        <v>0</v>
      </c>
      <c r="AX254" s="135">
        <f t="shared" si="117"/>
        <v>0</v>
      </c>
      <c r="AY254" s="135">
        <f t="shared" si="117"/>
        <v>0</v>
      </c>
      <c r="AZ254" s="135">
        <f t="shared" si="117"/>
        <v>0</v>
      </c>
      <c r="BA254" s="135">
        <f t="shared" si="117"/>
        <v>0</v>
      </c>
      <c r="BB254" s="135">
        <f t="shared" si="117"/>
        <v>0</v>
      </c>
      <c r="BC254" s="135">
        <f t="shared" si="117"/>
        <v>0</v>
      </c>
      <c r="BD254" s="135">
        <f t="shared" si="117"/>
        <v>0</v>
      </c>
      <c r="BE254" s="135">
        <f t="shared" si="117"/>
        <v>0</v>
      </c>
      <c r="BF254" s="135">
        <f t="shared" si="117"/>
        <v>0</v>
      </c>
      <c r="BG254" s="135">
        <f t="shared" si="117"/>
        <v>0</v>
      </c>
      <c r="BH254" s="135">
        <f t="shared" si="117"/>
        <v>0</v>
      </c>
      <c r="BI254" s="135">
        <f t="shared" si="117"/>
        <v>0</v>
      </c>
    </row>
    <row r="255" spans="1:61">
      <c r="A255" s="97"/>
      <c r="B255" s="97"/>
      <c r="C255" s="2433"/>
      <c r="D255" s="2434"/>
      <c r="E255" s="587" t="s">
        <v>680</v>
      </c>
      <c r="F255" s="62" t="s">
        <v>1116</v>
      </c>
      <c r="G255" s="107" t="s">
        <v>24</v>
      </c>
      <c r="H255" s="113">
        <f t="shared" ref="H255:AL255" si="118">H$25*H254</f>
        <v>0</v>
      </c>
      <c r="I255" s="113">
        <f t="shared" si="118"/>
        <v>0</v>
      </c>
      <c r="J255" s="113">
        <f>J$25*J254</f>
        <v>0</v>
      </c>
      <c r="K255" s="113">
        <f t="shared" si="118"/>
        <v>0</v>
      </c>
      <c r="L255" s="113">
        <f t="shared" si="118"/>
        <v>0</v>
      </c>
      <c r="M255" s="113">
        <f t="shared" si="118"/>
        <v>0</v>
      </c>
      <c r="N255" s="113">
        <f>N$25*N254</f>
        <v>0</v>
      </c>
      <c r="O255" s="113">
        <f>O$25*O254</f>
        <v>0</v>
      </c>
      <c r="P255" s="113">
        <f t="shared" si="118"/>
        <v>0</v>
      </c>
      <c r="Q255" s="113">
        <f t="shared" si="118"/>
        <v>0</v>
      </c>
      <c r="R255" s="113">
        <f>R$25*R254</f>
        <v>0</v>
      </c>
      <c r="S255" s="113">
        <f>S$25*S254</f>
        <v>0</v>
      </c>
      <c r="T255" s="113">
        <f>T$25*T254</f>
        <v>0</v>
      </c>
      <c r="U255" s="113">
        <f t="shared" si="118"/>
        <v>0</v>
      </c>
      <c r="V255" s="113">
        <f t="shared" si="118"/>
        <v>0</v>
      </c>
      <c r="W255" s="113">
        <f t="shared" si="118"/>
        <v>0</v>
      </c>
      <c r="X255" s="113">
        <f t="shared" si="118"/>
        <v>0</v>
      </c>
      <c r="Y255" s="113">
        <f t="shared" si="118"/>
        <v>0</v>
      </c>
      <c r="Z255" s="113">
        <f t="shared" si="118"/>
        <v>0</v>
      </c>
      <c r="AA255" s="113">
        <f t="shared" si="118"/>
        <v>0</v>
      </c>
      <c r="AB255" s="113">
        <f t="shared" si="118"/>
        <v>0</v>
      </c>
      <c r="AC255" s="113">
        <f t="shared" si="118"/>
        <v>0</v>
      </c>
      <c r="AD255" s="113">
        <f t="shared" si="118"/>
        <v>0</v>
      </c>
      <c r="AE255" s="113">
        <f t="shared" si="118"/>
        <v>0</v>
      </c>
      <c r="AF255" s="113">
        <f t="shared" si="118"/>
        <v>0</v>
      </c>
      <c r="AG255" s="113">
        <f t="shared" si="118"/>
        <v>0</v>
      </c>
      <c r="AH255" s="113">
        <f t="shared" si="118"/>
        <v>0</v>
      </c>
      <c r="AI255" s="113">
        <f t="shared" si="118"/>
        <v>0</v>
      </c>
      <c r="AJ255" s="113">
        <f t="shared" si="118"/>
        <v>0</v>
      </c>
      <c r="AK255" s="113">
        <f t="shared" si="118"/>
        <v>0</v>
      </c>
      <c r="AL255" s="113">
        <f t="shared" si="118"/>
        <v>0</v>
      </c>
      <c r="AM255" s="113">
        <f t="shared" ref="AM255:BI255" si="119">AM$25*AM254</f>
        <v>0</v>
      </c>
      <c r="AN255" s="113">
        <f t="shared" si="119"/>
        <v>0</v>
      </c>
      <c r="AO255" s="113">
        <f t="shared" si="119"/>
        <v>0</v>
      </c>
      <c r="AP255" s="113">
        <f t="shared" si="119"/>
        <v>0</v>
      </c>
      <c r="AQ255" s="113">
        <f t="shared" si="119"/>
        <v>0</v>
      </c>
      <c r="AR255" s="113">
        <f t="shared" si="119"/>
        <v>0</v>
      </c>
      <c r="AS255" s="113">
        <f t="shared" si="119"/>
        <v>0</v>
      </c>
      <c r="AT255" s="113">
        <f t="shared" si="119"/>
        <v>0</v>
      </c>
      <c r="AU255" s="113">
        <f t="shared" si="119"/>
        <v>0</v>
      </c>
      <c r="AV255" s="113">
        <f t="shared" si="119"/>
        <v>0</v>
      </c>
      <c r="AW255" s="113">
        <f t="shared" si="119"/>
        <v>0</v>
      </c>
      <c r="AX255" s="113">
        <f t="shared" si="119"/>
        <v>0</v>
      </c>
      <c r="AY255" s="113">
        <f t="shared" si="119"/>
        <v>0</v>
      </c>
      <c r="AZ255" s="113">
        <f t="shared" si="119"/>
        <v>0</v>
      </c>
      <c r="BA255" s="113">
        <f t="shared" si="119"/>
        <v>0</v>
      </c>
      <c r="BB255" s="113">
        <f t="shared" si="119"/>
        <v>0</v>
      </c>
      <c r="BC255" s="113">
        <f t="shared" si="119"/>
        <v>0</v>
      </c>
      <c r="BD255" s="113">
        <f t="shared" si="119"/>
        <v>0</v>
      </c>
      <c r="BE255" s="113">
        <f t="shared" si="119"/>
        <v>0</v>
      </c>
      <c r="BF255" s="113">
        <f t="shared" si="119"/>
        <v>0</v>
      </c>
      <c r="BG255" s="113">
        <f t="shared" si="119"/>
        <v>0</v>
      </c>
      <c r="BH255" s="113">
        <f t="shared" si="119"/>
        <v>0</v>
      </c>
      <c r="BI255" s="113">
        <f t="shared" si="119"/>
        <v>0</v>
      </c>
    </row>
    <row r="256" spans="1:61">
      <c r="A256" s="97"/>
      <c r="B256" s="97"/>
      <c r="C256" s="2433"/>
      <c r="D256" s="2434"/>
      <c r="E256" s="590" t="str">
        <f>E230</f>
        <v>Période enfant 0-6 ans (effets sans seuil)</v>
      </c>
      <c r="F256" s="62"/>
      <c r="G256" s="107"/>
      <c r="H256" s="113"/>
      <c r="I256" s="113"/>
      <c r="J256" s="113"/>
      <c r="K256" s="113"/>
      <c r="L256" s="113"/>
      <c r="M256" s="113"/>
      <c r="N256" s="113"/>
      <c r="O256" s="113"/>
      <c r="P256" s="113"/>
      <c r="Q256" s="113"/>
      <c r="R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row>
    <row r="257" spans="1:61" s="2446" customFormat="1">
      <c r="A257" s="2444"/>
      <c r="B257" s="2444"/>
      <c r="C257" s="2433"/>
      <c r="D257" s="2434"/>
      <c r="E257" s="2515" t="s">
        <v>1113</v>
      </c>
      <c r="F257" s="2449" t="s">
        <v>1115</v>
      </c>
      <c r="G257" s="2450" t="s">
        <v>206</v>
      </c>
      <c r="H257" s="236">
        <f t="shared" ref="H257:AL257" si="120">H252*H$174</f>
        <v>0</v>
      </c>
      <c r="I257" s="236">
        <f t="shared" si="120"/>
        <v>0</v>
      </c>
      <c r="J257" s="236">
        <f>J252*J$174</f>
        <v>0</v>
      </c>
      <c r="K257" s="236">
        <f t="shared" si="120"/>
        <v>0</v>
      </c>
      <c r="L257" s="236">
        <f t="shared" si="120"/>
        <v>0</v>
      </c>
      <c r="M257" s="236">
        <f t="shared" si="120"/>
        <v>0</v>
      </c>
      <c r="N257" s="236">
        <f>N252*N$174</f>
        <v>0</v>
      </c>
      <c r="O257" s="236">
        <f>O252*O$174</f>
        <v>0</v>
      </c>
      <c r="P257" s="236">
        <f t="shared" si="120"/>
        <v>0</v>
      </c>
      <c r="Q257" s="236">
        <f t="shared" si="120"/>
        <v>0</v>
      </c>
      <c r="R257" s="236">
        <f>R252*R$174</f>
        <v>0</v>
      </c>
      <c r="S257" s="236">
        <f>S252*S$174</f>
        <v>0</v>
      </c>
      <c r="T257" s="236">
        <f>T252*T$174</f>
        <v>0</v>
      </c>
      <c r="U257" s="236">
        <f t="shared" si="120"/>
        <v>0</v>
      </c>
      <c r="V257" s="236">
        <f t="shared" si="120"/>
        <v>0</v>
      </c>
      <c r="W257" s="236">
        <f t="shared" si="120"/>
        <v>0</v>
      </c>
      <c r="X257" s="236">
        <f t="shared" si="120"/>
        <v>0</v>
      </c>
      <c r="Y257" s="236">
        <f t="shared" si="120"/>
        <v>0</v>
      </c>
      <c r="Z257" s="236">
        <f t="shared" si="120"/>
        <v>0</v>
      </c>
      <c r="AA257" s="236">
        <f t="shared" si="120"/>
        <v>0</v>
      </c>
      <c r="AB257" s="236">
        <f t="shared" si="120"/>
        <v>0</v>
      </c>
      <c r="AC257" s="236">
        <f t="shared" si="120"/>
        <v>0</v>
      </c>
      <c r="AD257" s="236">
        <f t="shared" si="120"/>
        <v>0</v>
      </c>
      <c r="AE257" s="236">
        <f t="shared" si="120"/>
        <v>0</v>
      </c>
      <c r="AF257" s="236">
        <f t="shared" si="120"/>
        <v>0</v>
      </c>
      <c r="AG257" s="236">
        <f t="shared" si="120"/>
        <v>0</v>
      </c>
      <c r="AH257" s="236">
        <f t="shared" si="120"/>
        <v>0</v>
      </c>
      <c r="AI257" s="236">
        <f t="shared" si="120"/>
        <v>0</v>
      </c>
      <c r="AJ257" s="236">
        <f t="shared" si="120"/>
        <v>0</v>
      </c>
      <c r="AK257" s="236">
        <f t="shared" si="120"/>
        <v>0</v>
      </c>
      <c r="AL257" s="236">
        <f t="shared" si="120"/>
        <v>0</v>
      </c>
      <c r="AM257" s="236">
        <f t="shared" ref="AM257:BI257" si="121">AM252*AM$174</f>
        <v>0</v>
      </c>
      <c r="AN257" s="236">
        <f t="shared" si="121"/>
        <v>0</v>
      </c>
      <c r="AO257" s="236">
        <f t="shared" si="121"/>
        <v>0</v>
      </c>
      <c r="AP257" s="236">
        <f t="shared" si="121"/>
        <v>0</v>
      </c>
      <c r="AQ257" s="236">
        <f t="shared" si="121"/>
        <v>0</v>
      </c>
      <c r="AR257" s="236">
        <f t="shared" si="121"/>
        <v>0</v>
      </c>
      <c r="AS257" s="236">
        <f t="shared" si="121"/>
        <v>0</v>
      </c>
      <c r="AT257" s="236">
        <f t="shared" si="121"/>
        <v>0</v>
      </c>
      <c r="AU257" s="236">
        <f t="shared" si="121"/>
        <v>0</v>
      </c>
      <c r="AV257" s="236">
        <f t="shared" si="121"/>
        <v>0</v>
      </c>
      <c r="AW257" s="236">
        <f t="shared" si="121"/>
        <v>0</v>
      </c>
      <c r="AX257" s="236">
        <f t="shared" si="121"/>
        <v>0</v>
      </c>
      <c r="AY257" s="236">
        <f t="shared" si="121"/>
        <v>0</v>
      </c>
      <c r="AZ257" s="236">
        <f t="shared" si="121"/>
        <v>0</v>
      </c>
      <c r="BA257" s="236">
        <f t="shared" si="121"/>
        <v>0</v>
      </c>
      <c r="BB257" s="236">
        <f t="shared" si="121"/>
        <v>0</v>
      </c>
      <c r="BC257" s="236">
        <f t="shared" si="121"/>
        <v>0</v>
      </c>
      <c r="BD257" s="236">
        <f t="shared" si="121"/>
        <v>0</v>
      </c>
      <c r="BE257" s="236">
        <f t="shared" si="121"/>
        <v>0</v>
      </c>
      <c r="BF257" s="236">
        <f t="shared" si="121"/>
        <v>0</v>
      </c>
      <c r="BG257" s="236">
        <f t="shared" si="121"/>
        <v>0</v>
      </c>
      <c r="BH257" s="236">
        <f t="shared" si="121"/>
        <v>0</v>
      </c>
      <c r="BI257" s="236">
        <f t="shared" si="121"/>
        <v>0</v>
      </c>
    </row>
    <row r="258" spans="1:61" s="26" customFormat="1">
      <c r="A258" s="398"/>
      <c r="B258" s="27"/>
      <c r="C258" s="2433"/>
      <c r="D258" s="2434"/>
      <c r="E258" s="103"/>
      <c r="F258" s="14"/>
      <c r="G258" s="105"/>
      <c r="H258" s="113"/>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row>
    <row r="259" spans="1:61">
      <c r="A259" s="397"/>
      <c r="B259" s="97"/>
      <c r="C259" s="2433"/>
      <c r="D259" s="2434"/>
      <c r="E259" s="145" t="s">
        <v>209</v>
      </c>
      <c r="F259" s="62"/>
      <c r="G259" s="107"/>
      <c r="H259" s="113"/>
      <c r="I259" s="113"/>
      <c r="J259" s="113"/>
      <c r="K259" s="113"/>
      <c r="L259" s="113"/>
      <c r="M259" s="113"/>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row>
    <row r="260" spans="1:61">
      <c r="A260" s="397"/>
      <c r="B260" s="97"/>
      <c r="C260" s="2427" t="s">
        <v>589</v>
      </c>
      <c r="D260" s="2434"/>
      <c r="E260" s="37" t="s">
        <v>1178</v>
      </c>
      <c r="F260" s="18" t="s">
        <v>181</v>
      </c>
      <c r="G260" s="117" t="s">
        <v>182</v>
      </c>
      <c r="H260" s="163">
        <f>FEM!$H$25</f>
        <v>0</v>
      </c>
      <c r="I260" s="163">
        <f>FEM!$H$25</f>
        <v>0</v>
      </c>
      <c r="J260" s="163">
        <f>FEM!$H$25</f>
        <v>0</v>
      </c>
      <c r="K260" s="163">
        <f>FEM!$H$25</f>
        <v>0</v>
      </c>
      <c r="L260" s="163">
        <f>FEM!$H$25</f>
        <v>0</v>
      </c>
      <c r="M260" s="163">
        <f>FEM!$H$25</f>
        <v>0</v>
      </c>
      <c r="N260" s="163">
        <f>FEM!$H$25</f>
        <v>0</v>
      </c>
      <c r="O260" s="163">
        <f>FEM!$H$25</f>
        <v>0</v>
      </c>
      <c r="P260" s="163">
        <f>FEM!$H$25</f>
        <v>0</v>
      </c>
      <c r="Q260" s="163">
        <f>FEM!$H$25</f>
        <v>0</v>
      </c>
      <c r="R260" s="163">
        <f>FEM!$H$25</f>
        <v>0</v>
      </c>
      <c r="S260" s="163">
        <f>FEM!$H$25</f>
        <v>0</v>
      </c>
      <c r="T260" s="163">
        <f>FEM!$H$25</f>
        <v>0</v>
      </c>
      <c r="U260" s="163">
        <f>FEM!$H$25</f>
        <v>0</v>
      </c>
      <c r="V260" s="163">
        <f>FEM!$H$25</f>
        <v>0</v>
      </c>
      <c r="W260" s="163">
        <f>FEM!$H$25</f>
        <v>0</v>
      </c>
      <c r="X260" s="163">
        <f>FEM!$H$25</f>
        <v>0</v>
      </c>
      <c r="Y260" s="163">
        <f>FEM!$H$25</f>
        <v>0</v>
      </c>
      <c r="Z260" s="163">
        <f>FEM!$H$25</f>
        <v>0</v>
      </c>
      <c r="AA260" s="163">
        <f>FEM!$H$25</f>
        <v>0</v>
      </c>
      <c r="AB260" s="163">
        <f>FEM!$H$25</f>
        <v>0</v>
      </c>
      <c r="AC260" s="163">
        <f>FEM!$H$25</f>
        <v>0</v>
      </c>
      <c r="AD260" s="163">
        <f>FEM!$H$25</f>
        <v>0</v>
      </c>
      <c r="AE260" s="163">
        <f>FEM!$H$25</f>
        <v>0</v>
      </c>
      <c r="AF260" s="163">
        <f>FEM!$H$25</f>
        <v>0</v>
      </c>
      <c r="AG260" s="163">
        <f>FEM!$H$25</f>
        <v>0</v>
      </c>
      <c r="AH260" s="163">
        <f>FEM!$H$25</f>
        <v>0</v>
      </c>
      <c r="AI260" s="163">
        <f>FEM!$H$25</f>
        <v>0</v>
      </c>
      <c r="AJ260" s="163">
        <f>FEM!$H$25</f>
        <v>0</v>
      </c>
      <c r="AK260" s="163">
        <f>FEM!$H$25</f>
        <v>0</v>
      </c>
      <c r="AL260" s="163">
        <f>FEM!$H$25</f>
        <v>0</v>
      </c>
      <c r="AM260" s="163">
        <f>FEM!$H$25</f>
        <v>0</v>
      </c>
      <c r="AN260" s="163">
        <f>FEM!$H$25</f>
        <v>0</v>
      </c>
      <c r="AO260" s="163">
        <f>FEM!$H$25</f>
        <v>0</v>
      </c>
      <c r="AP260" s="163">
        <f>FEM!$H$25</f>
        <v>0</v>
      </c>
      <c r="AQ260" s="163">
        <f>FEM!$H$25</f>
        <v>0</v>
      </c>
      <c r="AR260" s="163">
        <f>FEM!$H$25</f>
        <v>0</v>
      </c>
      <c r="AS260" s="163">
        <f>FEM!$H$25</f>
        <v>0</v>
      </c>
      <c r="AT260" s="163">
        <f>FEM!$H$25</f>
        <v>0</v>
      </c>
      <c r="AU260" s="163">
        <f>FEM!$H$25</f>
        <v>0</v>
      </c>
      <c r="AV260" s="163">
        <f>FEM!$H$25</f>
        <v>0</v>
      </c>
      <c r="AW260" s="163">
        <f>FEM!$H$25</f>
        <v>0</v>
      </c>
      <c r="AX260" s="163">
        <f>FEM!$H$25</f>
        <v>0</v>
      </c>
      <c r="AY260" s="163">
        <f>FEM!$H$25</f>
        <v>0</v>
      </c>
      <c r="AZ260" s="163">
        <f>FEM!$H$25</f>
        <v>0</v>
      </c>
      <c r="BA260" s="163">
        <f>FEM!$H$25</f>
        <v>0</v>
      </c>
      <c r="BB260" s="163">
        <f>FEM!$H$25</f>
        <v>0</v>
      </c>
      <c r="BC260" s="163">
        <f>FEM!$H$25</f>
        <v>0</v>
      </c>
      <c r="BD260" s="163">
        <f>FEM!$H$25</f>
        <v>0</v>
      </c>
      <c r="BE260" s="163">
        <f>FEM!$H$25</f>
        <v>0</v>
      </c>
      <c r="BF260" s="163">
        <f>FEM!$H$25</f>
        <v>0</v>
      </c>
      <c r="BG260" s="163">
        <f>FEM!$H$25</f>
        <v>0</v>
      </c>
      <c r="BH260" s="163">
        <f>FEM!$H$25</f>
        <v>0</v>
      </c>
      <c r="BI260" s="163">
        <f>FEM!$H$25</f>
        <v>0</v>
      </c>
    </row>
    <row r="261" spans="1:61" s="41" customFormat="1" ht="12.75" customHeight="1">
      <c r="A261" s="401"/>
      <c r="B261" s="154"/>
      <c r="C261" s="4126" t="s">
        <v>590</v>
      </c>
      <c r="D261" s="4127"/>
      <c r="E261" s="37" t="s">
        <v>1160</v>
      </c>
      <c r="F261" s="18" t="s">
        <v>210</v>
      </c>
      <c r="G261" s="117" t="s">
        <v>182</v>
      </c>
      <c r="H261" s="227">
        <f>FEM!$I$25</f>
        <v>0</v>
      </c>
      <c r="I261" s="227">
        <f>FEM!$I$25</f>
        <v>0</v>
      </c>
      <c r="J261" s="227">
        <f>FEM!$I$25</f>
        <v>0</v>
      </c>
      <c r="K261" s="227">
        <f>FEM!$I$25</f>
        <v>0</v>
      </c>
      <c r="L261" s="227">
        <f>FEM!$I$25</f>
        <v>0</v>
      </c>
      <c r="M261" s="227">
        <f>FEM!$I$25</f>
        <v>0</v>
      </c>
      <c r="N261" s="227">
        <f>FEM!$I$25</f>
        <v>0</v>
      </c>
      <c r="O261" s="227">
        <f>FEM!$I$25</f>
        <v>0</v>
      </c>
      <c r="P261" s="227">
        <f>FEM!$I$25</f>
        <v>0</v>
      </c>
      <c r="Q261" s="227">
        <f>FEM!$I$25</f>
        <v>0</v>
      </c>
      <c r="R261" s="227">
        <f>FEM!$I$25</f>
        <v>0</v>
      </c>
      <c r="S261" s="227">
        <f>FEM!$I$25</f>
        <v>0</v>
      </c>
      <c r="T261" s="227">
        <f>FEM!$I$25</f>
        <v>0</v>
      </c>
      <c r="U261" s="227">
        <f>FEM!$I$25</f>
        <v>0</v>
      </c>
      <c r="V261" s="227">
        <f>FEM!$I$25</f>
        <v>0</v>
      </c>
      <c r="W261" s="227">
        <f>FEM!$I$25</f>
        <v>0</v>
      </c>
      <c r="X261" s="227">
        <f>FEM!$I$25</f>
        <v>0</v>
      </c>
      <c r="Y261" s="227">
        <f>FEM!$I$25</f>
        <v>0</v>
      </c>
      <c r="Z261" s="227">
        <f>FEM!$I$25</f>
        <v>0</v>
      </c>
      <c r="AA261" s="227">
        <f>FEM!$I$25</f>
        <v>0</v>
      </c>
      <c r="AB261" s="227">
        <f>FEM!$I$25</f>
        <v>0</v>
      </c>
      <c r="AC261" s="227">
        <f>FEM!$I$25</f>
        <v>0</v>
      </c>
      <c r="AD261" s="227">
        <f>FEM!$I$25</f>
        <v>0</v>
      </c>
      <c r="AE261" s="227">
        <f>FEM!$I$25</f>
        <v>0</v>
      </c>
      <c r="AF261" s="227">
        <f>FEM!$I$25</f>
        <v>0</v>
      </c>
      <c r="AG261" s="227">
        <f>FEM!$I$25</f>
        <v>0</v>
      </c>
      <c r="AH261" s="227">
        <f>FEM!$I$25</f>
        <v>0</v>
      </c>
      <c r="AI261" s="227">
        <f>FEM!$I$25</f>
        <v>0</v>
      </c>
      <c r="AJ261" s="227">
        <f>FEM!$I$25</f>
        <v>0</v>
      </c>
      <c r="AK261" s="227">
        <f>FEM!$I$25</f>
        <v>0</v>
      </c>
      <c r="AL261" s="227">
        <f>FEM!$I$25</f>
        <v>0</v>
      </c>
      <c r="AM261" s="227">
        <f>FEM!$I$25</f>
        <v>0</v>
      </c>
      <c r="AN261" s="227">
        <f>FEM!$I$25</f>
        <v>0</v>
      </c>
      <c r="AO261" s="227">
        <f>FEM!$I$25</f>
        <v>0</v>
      </c>
      <c r="AP261" s="227">
        <f>FEM!$I$25</f>
        <v>0</v>
      </c>
      <c r="AQ261" s="227">
        <f>FEM!$I$25</f>
        <v>0</v>
      </c>
      <c r="AR261" s="227">
        <f>FEM!$I$25</f>
        <v>0</v>
      </c>
      <c r="AS261" s="227">
        <f>FEM!$I$25</f>
        <v>0</v>
      </c>
      <c r="AT261" s="227">
        <f>FEM!$I$25</f>
        <v>0</v>
      </c>
      <c r="AU261" s="227">
        <f>FEM!$I$25</f>
        <v>0</v>
      </c>
      <c r="AV261" s="227">
        <f>FEM!$I$25</f>
        <v>0</v>
      </c>
      <c r="AW261" s="227">
        <f>FEM!$I$25</f>
        <v>0</v>
      </c>
      <c r="AX261" s="227">
        <f>FEM!$I$25</f>
        <v>0</v>
      </c>
      <c r="AY261" s="227">
        <f>FEM!$I$25</f>
        <v>0</v>
      </c>
      <c r="AZ261" s="227">
        <f>FEM!$I$25</f>
        <v>0</v>
      </c>
      <c r="BA261" s="227">
        <f>FEM!$I$25</f>
        <v>0</v>
      </c>
      <c r="BB261" s="227">
        <f>FEM!$I$25</f>
        <v>0</v>
      </c>
      <c r="BC261" s="227">
        <f>FEM!$I$25</f>
        <v>0</v>
      </c>
      <c r="BD261" s="227">
        <f>FEM!$I$25</f>
        <v>0</v>
      </c>
      <c r="BE261" s="227">
        <f>FEM!$I$25</f>
        <v>0</v>
      </c>
      <c r="BF261" s="227">
        <f>FEM!$I$25</f>
        <v>0</v>
      </c>
      <c r="BG261" s="227">
        <f>FEM!$I$25</f>
        <v>0</v>
      </c>
      <c r="BH261" s="227">
        <f>FEM!$I$25</f>
        <v>0</v>
      </c>
      <c r="BI261" s="227">
        <f>FEM!$I$25</f>
        <v>0</v>
      </c>
    </row>
    <row r="262" spans="1:61" s="2464" customFormat="1">
      <c r="A262" s="2461"/>
      <c r="B262" s="2462"/>
      <c r="C262" s="4126"/>
      <c r="D262" s="4127"/>
      <c r="E262" s="2516" t="s">
        <v>1183</v>
      </c>
      <c r="F262" s="2441" t="s">
        <v>1155</v>
      </c>
      <c r="G262" s="2431" t="s">
        <v>1156</v>
      </c>
      <c r="H262" s="2463">
        <f t="shared" ref="H262:AL262" si="122">IF(H$10&gt;0,H260/24/H$10,0)</f>
        <v>0</v>
      </c>
      <c r="I262" s="2463">
        <f t="shared" si="122"/>
        <v>0</v>
      </c>
      <c r="J262" s="2463">
        <f>IF(J$10&gt;0,J260/24/J$10,0)</f>
        <v>0</v>
      </c>
      <c r="K262" s="2463">
        <f t="shared" si="122"/>
        <v>0</v>
      </c>
      <c r="L262" s="2463">
        <f t="shared" si="122"/>
        <v>0</v>
      </c>
      <c r="M262" s="2463">
        <f t="shared" si="122"/>
        <v>0</v>
      </c>
      <c r="N262" s="2463">
        <f>IF(N$10&gt;0,N260/24/N$10,0)</f>
        <v>0</v>
      </c>
      <c r="O262" s="2463">
        <f>IF(O$10&gt;0,O260/24/O$10,0)</f>
        <v>0</v>
      </c>
      <c r="P262" s="2463">
        <f t="shared" si="122"/>
        <v>0</v>
      </c>
      <c r="Q262" s="2463">
        <f t="shared" si="122"/>
        <v>0</v>
      </c>
      <c r="R262" s="2463">
        <f>IF(R$10&gt;0,R260/24/R$10,0)</f>
        <v>0</v>
      </c>
      <c r="S262" s="2463">
        <f>IF(S$10&gt;0,S260/24/S$10,0)</f>
        <v>0</v>
      </c>
      <c r="T262" s="2463">
        <f>IF(T$10&gt;0,T260/24/T$10,0)</f>
        <v>0</v>
      </c>
      <c r="U262" s="2463">
        <f t="shared" si="122"/>
        <v>0</v>
      </c>
      <c r="V262" s="2463">
        <f t="shared" si="122"/>
        <v>0</v>
      </c>
      <c r="W262" s="2463">
        <f t="shared" si="122"/>
        <v>0</v>
      </c>
      <c r="X262" s="2463">
        <f t="shared" si="122"/>
        <v>0</v>
      </c>
      <c r="Y262" s="2463">
        <f t="shared" si="122"/>
        <v>0</v>
      </c>
      <c r="Z262" s="2463">
        <f t="shared" si="122"/>
        <v>0</v>
      </c>
      <c r="AA262" s="2463">
        <f t="shared" si="122"/>
        <v>0</v>
      </c>
      <c r="AB262" s="2463">
        <f t="shared" si="122"/>
        <v>0</v>
      </c>
      <c r="AC262" s="2463">
        <f t="shared" si="122"/>
        <v>0</v>
      </c>
      <c r="AD262" s="2463">
        <f t="shared" si="122"/>
        <v>0</v>
      </c>
      <c r="AE262" s="2463">
        <f t="shared" si="122"/>
        <v>0</v>
      </c>
      <c r="AF262" s="2463">
        <f t="shared" si="122"/>
        <v>0</v>
      </c>
      <c r="AG262" s="2463">
        <f t="shared" si="122"/>
        <v>0</v>
      </c>
      <c r="AH262" s="2463">
        <f t="shared" si="122"/>
        <v>0</v>
      </c>
      <c r="AI262" s="2463">
        <f t="shared" si="122"/>
        <v>0</v>
      </c>
      <c r="AJ262" s="2463">
        <f t="shared" si="122"/>
        <v>0</v>
      </c>
      <c r="AK262" s="2463">
        <f t="shared" si="122"/>
        <v>0</v>
      </c>
      <c r="AL262" s="2463">
        <f t="shared" si="122"/>
        <v>0</v>
      </c>
      <c r="AM262" s="2463">
        <f t="shared" ref="AM262:BI262" si="123">IF(AM$10&gt;0,AM260/24/AM$10,0)</f>
        <v>0</v>
      </c>
      <c r="AN262" s="2463">
        <f t="shared" si="123"/>
        <v>0</v>
      </c>
      <c r="AO262" s="2463">
        <f t="shared" si="123"/>
        <v>0</v>
      </c>
      <c r="AP262" s="2463">
        <f t="shared" si="123"/>
        <v>0</v>
      </c>
      <c r="AQ262" s="2463">
        <f t="shared" si="123"/>
        <v>0</v>
      </c>
      <c r="AR262" s="2463">
        <f t="shared" si="123"/>
        <v>0</v>
      </c>
      <c r="AS262" s="2463">
        <f t="shared" si="123"/>
        <v>0</v>
      </c>
      <c r="AT262" s="2463">
        <f t="shared" si="123"/>
        <v>0</v>
      </c>
      <c r="AU262" s="2463">
        <f t="shared" si="123"/>
        <v>0</v>
      </c>
      <c r="AV262" s="2463">
        <f t="shared" si="123"/>
        <v>0</v>
      </c>
      <c r="AW262" s="2463">
        <f t="shared" si="123"/>
        <v>0</v>
      </c>
      <c r="AX262" s="2463">
        <f t="shared" si="123"/>
        <v>0</v>
      </c>
      <c r="AY262" s="2463">
        <f t="shared" si="123"/>
        <v>0</v>
      </c>
      <c r="AZ262" s="2463">
        <f t="shared" si="123"/>
        <v>0</v>
      </c>
      <c r="BA262" s="2463">
        <f t="shared" si="123"/>
        <v>0</v>
      </c>
      <c r="BB262" s="2463">
        <f t="shared" si="123"/>
        <v>0</v>
      </c>
      <c r="BC262" s="2463">
        <f t="shared" si="123"/>
        <v>0</v>
      </c>
      <c r="BD262" s="2463">
        <f t="shared" si="123"/>
        <v>0</v>
      </c>
      <c r="BE262" s="2463">
        <f t="shared" si="123"/>
        <v>0</v>
      </c>
      <c r="BF262" s="2463">
        <f t="shared" si="123"/>
        <v>0</v>
      </c>
      <c r="BG262" s="2463">
        <f t="shared" si="123"/>
        <v>0</v>
      </c>
      <c r="BH262" s="2463">
        <f t="shared" si="123"/>
        <v>0</v>
      </c>
      <c r="BI262" s="2463">
        <f t="shared" si="123"/>
        <v>0</v>
      </c>
    </row>
    <row r="263" spans="1:61" s="2464" customFormat="1">
      <c r="A263" s="2461"/>
      <c r="B263" s="2462"/>
      <c r="C263" s="4126"/>
      <c r="D263" s="4127"/>
      <c r="E263" s="2516" t="s">
        <v>1181</v>
      </c>
      <c r="F263" s="2441" t="s">
        <v>211</v>
      </c>
      <c r="G263" s="2431" t="s">
        <v>212</v>
      </c>
      <c r="H263" s="2442">
        <f t="shared" ref="H263:AM263" si="124">H261/24*H$11</f>
        <v>0</v>
      </c>
      <c r="I263" s="2442">
        <f t="shared" si="124"/>
        <v>0</v>
      </c>
      <c r="J263" s="2442">
        <f t="shared" si="124"/>
        <v>0</v>
      </c>
      <c r="K263" s="2442">
        <f t="shared" si="124"/>
        <v>0</v>
      </c>
      <c r="L263" s="2442">
        <f t="shared" si="124"/>
        <v>0</v>
      </c>
      <c r="M263" s="2442">
        <f t="shared" si="124"/>
        <v>0</v>
      </c>
      <c r="N263" s="2442">
        <f t="shared" si="124"/>
        <v>0</v>
      </c>
      <c r="O263" s="2442">
        <f t="shared" si="124"/>
        <v>0</v>
      </c>
      <c r="P263" s="2442">
        <f t="shared" si="124"/>
        <v>0</v>
      </c>
      <c r="Q263" s="2442">
        <f t="shared" si="124"/>
        <v>0</v>
      </c>
      <c r="R263" s="2442">
        <f t="shared" si="124"/>
        <v>0</v>
      </c>
      <c r="S263" s="2442">
        <f t="shared" si="124"/>
        <v>0</v>
      </c>
      <c r="T263" s="2442">
        <f t="shared" si="124"/>
        <v>0</v>
      </c>
      <c r="U263" s="2442">
        <f t="shared" si="124"/>
        <v>0</v>
      </c>
      <c r="V263" s="2442">
        <f t="shared" si="124"/>
        <v>0</v>
      </c>
      <c r="W263" s="2442">
        <f t="shared" si="124"/>
        <v>0</v>
      </c>
      <c r="X263" s="2442">
        <f t="shared" si="124"/>
        <v>0</v>
      </c>
      <c r="Y263" s="2442">
        <f t="shared" si="124"/>
        <v>0</v>
      </c>
      <c r="Z263" s="2442">
        <f t="shared" si="124"/>
        <v>0</v>
      </c>
      <c r="AA263" s="2442">
        <f t="shared" si="124"/>
        <v>0</v>
      </c>
      <c r="AB263" s="2442">
        <f t="shared" si="124"/>
        <v>0</v>
      </c>
      <c r="AC263" s="2442">
        <f t="shared" si="124"/>
        <v>0</v>
      </c>
      <c r="AD263" s="2442">
        <f t="shared" si="124"/>
        <v>0</v>
      </c>
      <c r="AE263" s="2442">
        <f t="shared" si="124"/>
        <v>0</v>
      </c>
      <c r="AF263" s="2442">
        <f t="shared" si="124"/>
        <v>0</v>
      </c>
      <c r="AG263" s="2442">
        <f t="shared" si="124"/>
        <v>0</v>
      </c>
      <c r="AH263" s="2442">
        <f t="shared" si="124"/>
        <v>0</v>
      </c>
      <c r="AI263" s="2442">
        <f t="shared" si="124"/>
        <v>0</v>
      </c>
      <c r="AJ263" s="2442">
        <f t="shared" si="124"/>
        <v>0</v>
      </c>
      <c r="AK263" s="2442">
        <f t="shared" si="124"/>
        <v>0</v>
      </c>
      <c r="AL263" s="2442">
        <f t="shared" si="124"/>
        <v>0</v>
      </c>
      <c r="AM263" s="2442">
        <f t="shared" si="124"/>
        <v>0</v>
      </c>
      <c r="AN263" s="2442">
        <f t="shared" ref="AN263:BI263" si="125">AN261/24*AN$11</f>
        <v>0</v>
      </c>
      <c r="AO263" s="2442">
        <f t="shared" si="125"/>
        <v>0</v>
      </c>
      <c r="AP263" s="2442">
        <f t="shared" si="125"/>
        <v>0</v>
      </c>
      <c r="AQ263" s="2442">
        <f t="shared" si="125"/>
        <v>0</v>
      </c>
      <c r="AR263" s="2442">
        <f t="shared" si="125"/>
        <v>0</v>
      </c>
      <c r="AS263" s="2442">
        <f t="shared" si="125"/>
        <v>0</v>
      </c>
      <c r="AT263" s="2442">
        <f t="shared" si="125"/>
        <v>0</v>
      </c>
      <c r="AU263" s="2442">
        <f t="shared" si="125"/>
        <v>0</v>
      </c>
      <c r="AV263" s="2442">
        <f t="shared" si="125"/>
        <v>0</v>
      </c>
      <c r="AW263" s="2442">
        <f t="shared" si="125"/>
        <v>0</v>
      </c>
      <c r="AX263" s="2442">
        <f t="shared" si="125"/>
        <v>0</v>
      </c>
      <c r="AY263" s="2442">
        <f t="shared" si="125"/>
        <v>0</v>
      </c>
      <c r="AZ263" s="2442">
        <f t="shared" si="125"/>
        <v>0</v>
      </c>
      <c r="BA263" s="2442">
        <f t="shared" si="125"/>
        <v>0</v>
      </c>
      <c r="BB263" s="2442">
        <f t="shared" si="125"/>
        <v>0</v>
      </c>
      <c r="BC263" s="2442">
        <f t="shared" si="125"/>
        <v>0</v>
      </c>
      <c r="BD263" s="2442">
        <f t="shared" si="125"/>
        <v>0</v>
      </c>
      <c r="BE263" s="2442">
        <f t="shared" si="125"/>
        <v>0</v>
      </c>
      <c r="BF263" s="2442">
        <f t="shared" si="125"/>
        <v>0</v>
      </c>
      <c r="BG263" s="2442">
        <f t="shared" si="125"/>
        <v>0</v>
      </c>
      <c r="BH263" s="2442">
        <f t="shared" si="125"/>
        <v>0</v>
      </c>
      <c r="BI263" s="2442">
        <f t="shared" si="125"/>
        <v>0</v>
      </c>
    </row>
    <row r="264" spans="1:61" s="2476" customFormat="1">
      <c r="A264" s="2461"/>
      <c r="B264" s="2462"/>
      <c r="C264" s="4126"/>
      <c r="D264" s="4127"/>
      <c r="E264" s="2516" t="s">
        <v>1184</v>
      </c>
      <c r="F264" s="2465" t="s">
        <v>1158</v>
      </c>
      <c r="G264" s="2431" t="s">
        <v>1157</v>
      </c>
      <c r="H264" s="2442">
        <f>H254*H262</f>
        <v>0</v>
      </c>
      <c r="I264" s="2442">
        <f t="shared" ref="I264:BI264" si="126">I254*I262</f>
        <v>0</v>
      </c>
      <c r="J264" s="2442">
        <f>J254*J262</f>
        <v>0</v>
      </c>
      <c r="K264" s="2442">
        <f t="shared" si="126"/>
        <v>0</v>
      </c>
      <c r="L264" s="2442">
        <f t="shared" si="126"/>
        <v>0</v>
      </c>
      <c r="M264" s="2442">
        <f t="shared" si="126"/>
        <v>0</v>
      </c>
      <c r="N264" s="2442">
        <f>N254*N262</f>
        <v>0</v>
      </c>
      <c r="O264" s="2442">
        <f>O254*O262</f>
        <v>0</v>
      </c>
      <c r="P264" s="2442">
        <f t="shared" si="126"/>
        <v>0</v>
      </c>
      <c r="Q264" s="2442">
        <f t="shared" si="126"/>
        <v>0</v>
      </c>
      <c r="R264" s="2442">
        <f>R254*R262</f>
        <v>0</v>
      </c>
      <c r="S264" s="2442">
        <f>S254*S262</f>
        <v>0</v>
      </c>
      <c r="T264" s="2442">
        <f>T254*T262</f>
        <v>0</v>
      </c>
      <c r="U264" s="2442">
        <f t="shared" si="126"/>
        <v>0</v>
      </c>
      <c r="V264" s="2442">
        <f t="shared" si="126"/>
        <v>0</v>
      </c>
      <c r="W264" s="2442">
        <f t="shared" si="126"/>
        <v>0</v>
      </c>
      <c r="X264" s="2442">
        <f t="shared" si="126"/>
        <v>0</v>
      </c>
      <c r="Y264" s="2442">
        <f t="shared" si="126"/>
        <v>0</v>
      </c>
      <c r="Z264" s="2442">
        <f t="shared" si="126"/>
        <v>0</v>
      </c>
      <c r="AA264" s="2442">
        <f t="shared" si="126"/>
        <v>0</v>
      </c>
      <c r="AB264" s="2442">
        <f t="shared" si="126"/>
        <v>0</v>
      </c>
      <c r="AC264" s="2442">
        <f t="shared" si="126"/>
        <v>0</v>
      </c>
      <c r="AD264" s="2442">
        <f t="shared" si="126"/>
        <v>0</v>
      </c>
      <c r="AE264" s="2442">
        <f t="shared" si="126"/>
        <v>0</v>
      </c>
      <c r="AF264" s="2442">
        <f t="shared" si="126"/>
        <v>0</v>
      </c>
      <c r="AG264" s="2442">
        <f t="shared" si="126"/>
        <v>0</v>
      </c>
      <c r="AH264" s="2442">
        <f t="shared" si="126"/>
        <v>0</v>
      </c>
      <c r="AI264" s="2442">
        <f t="shared" si="126"/>
        <v>0</v>
      </c>
      <c r="AJ264" s="2442">
        <f t="shared" si="126"/>
        <v>0</v>
      </c>
      <c r="AK264" s="2442">
        <f t="shared" si="126"/>
        <v>0</v>
      </c>
      <c r="AL264" s="2442">
        <f t="shared" si="126"/>
        <v>0</v>
      </c>
      <c r="AM264" s="2442">
        <f t="shared" si="126"/>
        <v>0</v>
      </c>
      <c r="AN264" s="2442">
        <f t="shared" si="126"/>
        <v>0</v>
      </c>
      <c r="AO264" s="2442">
        <f t="shared" si="126"/>
        <v>0</v>
      </c>
      <c r="AP264" s="2442">
        <f t="shared" si="126"/>
        <v>0</v>
      </c>
      <c r="AQ264" s="2442">
        <f t="shared" si="126"/>
        <v>0</v>
      </c>
      <c r="AR264" s="2442">
        <f t="shared" si="126"/>
        <v>0</v>
      </c>
      <c r="AS264" s="2442">
        <f t="shared" si="126"/>
        <v>0</v>
      </c>
      <c r="AT264" s="2442">
        <f t="shared" si="126"/>
        <v>0</v>
      </c>
      <c r="AU264" s="2442">
        <f t="shared" si="126"/>
        <v>0</v>
      </c>
      <c r="AV264" s="2442">
        <f t="shared" si="126"/>
        <v>0</v>
      </c>
      <c r="AW264" s="2442">
        <f t="shared" si="126"/>
        <v>0</v>
      </c>
      <c r="AX264" s="2442">
        <f t="shared" si="126"/>
        <v>0</v>
      </c>
      <c r="AY264" s="2442">
        <f t="shared" si="126"/>
        <v>0</v>
      </c>
      <c r="AZ264" s="2442">
        <f t="shared" si="126"/>
        <v>0</v>
      </c>
      <c r="BA264" s="2442">
        <f t="shared" si="126"/>
        <v>0</v>
      </c>
      <c r="BB264" s="2442">
        <f t="shared" si="126"/>
        <v>0</v>
      </c>
      <c r="BC264" s="2442">
        <f t="shared" si="126"/>
        <v>0</v>
      </c>
      <c r="BD264" s="2442">
        <f t="shared" si="126"/>
        <v>0</v>
      </c>
      <c r="BE264" s="2442">
        <f t="shared" si="126"/>
        <v>0</v>
      </c>
      <c r="BF264" s="2442">
        <f t="shared" si="126"/>
        <v>0</v>
      </c>
      <c r="BG264" s="2442">
        <f t="shared" si="126"/>
        <v>0</v>
      </c>
      <c r="BH264" s="2442">
        <f t="shared" si="126"/>
        <v>0</v>
      </c>
      <c r="BI264" s="2442">
        <f t="shared" si="126"/>
        <v>0</v>
      </c>
    </row>
    <row r="265" spans="1:61" s="2476" customFormat="1">
      <c r="A265" s="2461"/>
      <c r="B265" s="2462"/>
      <c r="C265" s="4126"/>
      <c r="D265" s="4127"/>
      <c r="E265" s="2516" t="s">
        <v>1182</v>
      </c>
      <c r="F265" s="2465" t="s">
        <v>233</v>
      </c>
      <c r="G265" s="2431" t="s">
        <v>234</v>
      </c>
      <c r="H265" s="2442">
        <f>H257*H263</f>
        <v>0</v>
      </c>
      <c r="I265" s="2442">
        <f t="shared" ref="I265:BI265" si="127">I257*I263</f>
        <v>0</v>
      </c>
      <c r="J265" s="2442">
        <f>J257*J263</f>
        <v>0</v>
      </c>
      <c r="K265" s="2442">
        <f t="shared" si="127"/>
        <v>0</v>
      </c>
      <c r="L265" s="2442">
        <f t="shared" si="127"/>
        <v>0</v>
      </c>
      <c r="M265" s="2442">
        <f t="shared" si="127"/>
        <v>0</v>
      </c>
      <c r="N265" s="2442">
        <f>N257*N263</f>
        <v>0</v>
      </c>
      <c r="O265" s="2442">
        <f>O257*O263</f>
        <v>0</v>
      </c>
      <c r="P265" s="2442">
        <f t="shared" si="127"/>
        <v>0</v>
      </c>
      <c r="Q265" s="2442">
        <f t="shared" si="127"/>
        <v>0</v>
      </c>
      <c r="R265" s="2442">
        <f>R257*R263</f>
        <v>0</v>
      </c>
      <c r="S265" s="2442">
        <f>S257*S263</f>
        <v>0</v>
      </c>
      <c r="T265" s="2442">
        <f>T257*T263</f>
        <v>0</v>
      </c>
      <c r="U265" s="2442">
        <f t="shared" si="127"/>
        <v>0</v>
      </c>
      <c r="V265" s="2442">
        <f t="shared" si="127"/>
        <v>0</v>
      </c>
      <c r="W265" s="2442">
        <f t="shared" si="127"/>
        <v>0</v>
      </c>
      <c r="X265" s="2442">
        <f t="shared" si="127"/>
        <v>0</v>
      </c>
      <c r="Y265" s="2442">
        <f t="shared" si="127"/>
        <v>0</v>
      </c>
      <c r="Z265" s="2442">
        <f t="shared" si="127"/>
        <v>0</v>
      </c>
      <c r="AA265" s="2442">
        <f t="shared" si="127"/>
        <v>0</v>
      </c>
      <c r="AB265" s="2442">
        <f t="shared" si="127"/>
        <v>0</v>
      </c>
      <c r="AC265" s="2442">
        <f t="shared" si="127"/>
        <v>0</v>
      </c>
      <c r="AD265" s="2442">
        <f t="shared" si="127"/>
        <v>0</v>
      </c>
      <c r="AE265" s="2442">
        <f t="shared" si="127"/>
        <v>0</v>
      </c>
      <c r="AF265" s="2442">
        <f t="shared" si="127"/>
        <v>0</v>
      </c>
      <c r="AG265" s="2442">
        <f t="shared" si="127"/>
        <v>0</v>
      </c>
      <c r="AH265" s="2442">
        <f t="shared" si="127"/>
        <v>0</v>
      </c>
      <c r="AI265" s="2442">
        <f t="shared" si="127"/>
        <v>0</v>
      </c>
      <c r="AJ265" s="2442">
        <f t="shared" si="127"/>
        <v>0</v>
      </c>
      <c r="AK265" s="2442">
        <f t="shared" si="127"/>
        <v>0</v>
      </c>
      <c r="AL265" s="2442">
        <f t="shared" si="127"/>
        <v>0</v>
      </c>
      <c r="AM265" s="2442">
        <f t="shared" si="127"/>
        <v>0</v>
      </c>
      <c r="AN265" s="2442">
        <f t="shared" si="127"/>
        <v>0</v>
      </c>
      <c r="AO265" s="2442">
        <f t="shared" si="127"/>
        <v>0</v>
      </c>
      <c r="AP265" s="2442">
        <f t="shared" si="127"/>
        <v>0</v>
      </c>
      <c r="AQ265" s="2442">
        <f t="shared" si="127"/>
        <v>0</v>
      </c>
      <c r="AR265" s="2442">
        <f t="shared" si="127"/>
        <v>0</v>
      </c>
      <c r="AS265" s="2442">
        <f t="shared" si="127"/>
        <v>0</v>
      </c>
      <c r="AT265" s="2442">
        <f t="shared" si="127"/>
        <v>0</v>
      </c>
      <c r="AU265" s="2442">
        <f t="shared" si="127"/>
        <v>0</v>
      </c>
      <c r="AV265" s="2442">
        <f t="shared" si="127"/>
        <v>0</v>
      </c>
      <c r="AW265" s="2442">
        <f t="shared" si="127"/>
        <v>0</v>
      </c>
      <c r="AX265" s="2442">
        <f t="shared" si="127"/>
        <v>0</v>
      </c>
      <c r="AY265" s="2442">
        <f t="shared" si="127"/>
        <v>0</v>
      </c>
      <c r="AZ265" s="2442">
        <f t="shared" si="127"/>
        <v>0</v>
      </c>
      <c r="BA265" s="2442">
        <f t="shared" si="127"/>
        <v>0</v>
      </c>
      <c r="BB265" s="2442">
        <f t="shared" si="127"/>
        <v>0</v>
      </c>
      <c r="BC265" s="2442">
        <f t="shared" si="127"/>
        <v>0</v>
      </c>
      <c r="BD265" s="2442">
        <f t="shared" si="127"/>
        <v>0</v>
      </c>
      <c r="BE265" s="2442">
        <f t="shared" si="127"/>
        <v>0</v>
      </c>
      <c r="BF265" s="2442">
        <f t="shared" si="127"/>
        <v>0</v>
      </c>
      <c r="BG265" s="2442">
        <f t="shared" si="127"/>
        <v>0</v>
      </c>
      <c r="BH265" s="2442">
        <f t="shared" si="127"/>
        <v>0</v>
      </c>
      <c r="BI265" s="2442">
        <f t="shared" si="127"/>
        <v>0</v>
      </c>
    </row>
    <row r="266" spans="1:61" s="2476" customFormat="1">
      <c r="A266" s="2461"/>
      <c r="B266" s="2462"/>
      <c r="C266" s="4126"/>
      <c r="D266" s="4127"/>
      <c r="E266" s="2517" t="s">
        <v>988</v>
      </c>
      <c r="F266" s="2466" t="s">
        <v>492</v>
      </c>
      <c r="G266" s="2467" t="s">
        <v>492</v>
      </c>
      <c r="H266" s="2442">
        <f t="shared" ref="H266:AL266" si="128">H221*H264</f>
        <v>0</v>
      </c>
      <c r="I266" s="2442">
        <f t="shared" si="128"/>
        <v>0</v>
      </c>
      <c r="J266" s="2442">
        <f>J221*J264</f>
        <v>0</v>
      </c>
      <c r="K266" s="2442">
        <f t="shared" si="128"/>
        <v>0</v>
      </c>
      <c r="L266" s="2442">
        <f t="shared" si="128"/>
        <v>0</v>
      </c>
      <c r="M266" s="2442">
        <f t="shared" si="128"/>
        <v>0</v>
      </c>
      <c r="N266" s="2442">
        <f>N221*N264</f>
        <v>0</v>
      </c>
      <c r="O266" s="2442">
        <f>O221*O264</f>
        <v>0</v>
      </c>
      <c r="P266" s="2442">
        <f t="shared" si="128"/>
        <v>0</v>
      </c>
      <c r="Q266" s="2442">
        <f t="shared" si="128"/>
        <v>0</v>
      </c>
      <c r="R266" s="2442">
        <f>R221*R264</f>
        <v>0</v>
      </c>
      <c r="S266" s="2442">
        <f>S221*S264</f>
        <v>0</v>
      </c>
      <c r="T266" s="2442">
        <f>T221*T264</f>
        <v>0</v>
      </c>
      <c r="U266" s="2442">
        <f t="shared" si="128"/>
        <v>0</v>
      </c>
      <c r="V266" s="2442">
        <f t="shared" si="128"/>
        <v>0</v>
      </c>
      <c r="W266" s="2442">
        <f t="shared" si="128"/>
        <v>0</v>
      </c>
      <c r="X266" s="2442">
        <f t="shared" si="128"/>
        <v>0</v>
      </c>
      <c r="Y266" s="2442">
        <f t="shared" si="128"/>
        <v>0</v>
      </c>
      <c r="Z266" s="2442">
        <f t="shared" si="128"/>
        <v>0</v>
      </c>
      <c r="AA266" s="2442">
        <f t="shared" si="128"/>
        <v>0</v>
      </c>
      <c r="AB266" s="2442">
        <f t="shared" si="128"/>
        <v>0</v>
      </c>
      <c r="AC266" s="2442">
        <f t="shared" si="128"/>
        <v>0</v>
      </c>
      <c r="AD266" s="2442">
        <f t="shared" si="128"/>
        <v>0</v>
      </c>
      <c r="AE266" s="2442">
        <f t="shared" si="128"/>
        <v>0</v>
      </c>
      <c r="AF266" s="2442">
        <f t="shared" si="128"/>
        <v>0</v>
      </c>
      <c r="AG266" s="2442">
        <f t="shared" si="128"/>
        <v>0</v>
      </c>
      <c r="AH266" s="2442">
        <f t="shared" si="128"/>
        <v>0</v>
      </c>
      <c r="AI266" s="2442">
        <f t="shared" si="128"/>
        <v>0</v>
      </c>
      <c r="AJ266" s="2442">
        <f t="shared" si="128"/>
        <v>0</v>
      </c>
      <c r="AK266" s="2442">
        <f t="shared" si="128"/>
        <v>0</v>
      </c>
      <c r="AL266" s="2442">
        <f t="shared" si="128"/>
        <v>0</v>
      </c>
      <c r="AM266" s="2442">
        <f t="shared" ref="AM266:BI266" si="129">AM221*AM264</f>
        <v>0</v>
      </c>
      <c r="AN266" s="2442">
        <f t="shared" si="129"/>
        <v>0</v>
      </c>
      <c r="AO266" s="2442">
        <f t="shared" si="129"/>
        <v>0</v>
      </c>
      <c r="AP266" s="2442">
        <f t="shared" si="129"/>
        <v>0</v>
      </c>
      <c r="AQ266" s="2442">
        <f t="shared" si="129"/>
        <v>0</v>
      </c>
      <c r="AR266" s="2442">
        <f t="shared" si="129"/>
        <v>0</v>
      </c>
      <c r="AS266" s="2442">
        <f t="shared" si="129"/>
        <v>0</v>
      </c>
      <c r="AT266" s="2442">
        <f t="shared" si="129"/>
        <v>0</v>
      </c>
      <c r="AU266" s="2442">
        <f t="shared" si="129"/>
        <v>0</v>
      </c>
      <c r="AV266" s="2442">
        <f t="shared" si="129"/>
        <v>0</v>
      </c>
      <c r="AW266" s="2442">
        <f t="shared" si="129"/>
        <v>0</v>
      </c>
      <c r="AX266" s="2442">
        <f t="shared" si="129"/>
        <v>0</v>
      </c>
      <c r="AY266" s="2442">
        <f t="shared" si="129"/>
        <v>0</v>
      </c>
      <c r="AZ266" s="2442">
        <f t="shared" si="129"/>
        <v>0</v>
      </c>
      <c r="BA266" s="2442">
        <f t="shared" si="129"/>
        <v>0</v>
      </c>
      <c r="BB266" s="2442">
        <f t="shared" si="129"/>
        <v>0</v>
      </c>
      <c r="BC266" s="2442">
        <f t="shared" si="129"/>
        <v>0</v>
      </c>
      <c r="BD266" s="2442">
        <f t="shared" si="129"/>
        <v>0</v>
      </c>
      <c r="BE266" s="2442">
        <f t="shared" si="129"/>
        <v>0</v>
      </c>
      <c r="BF266" s="2442">
        <f t="shared" si="129"/>
        <v>0</v>
      </c>
      <c r="BG266" s="2442">
        <f t="shared" si="129"/>
        <v>0</v>
      </c>
      <c r="BH266" s="2442">
        <f t="shared" si="129"/>
        <v>0</v>
      </c>
      <c r="BI266" s="2442">
        <f t="shared" si="129"/>
        <v>0</v>
      </c>
    </row>
    <row r="267" spans="1:61" s="2530" customFormat="1">
      <c r="A267" s="2527"/>
      <c r="B267" s="2528"/>
      <c r="C267" s="2433"/>
      <c r="D267" s="2434"/>
      <c r="E267" s="2518" t="s">
        <v>991</v>
      </c>
      <c r="F267" s="2468" t="s">
        <v>213</v>
      </c>
      <c r="G267" s="2469" t="s">
        <v>213</v>
      </c>
      <c r="H267" s="2470">
        <f t="shared" ref="H267:AL267" si="130">H221*H265</f>
        <v>0</v>
      </c>
      <c r="I267" s="2470">
        <f t="shared" si="130"/>
        <v>0</v>
      </c>
      <c r="J267" s="2470">
        <f>J221*J265</f>
        <v>0</v>
      </c>
      <c r="K267" s="2470">
        <f t="shared" si="130"/>
        <v>0</v>
      </c>
      <c r="L267" s="2470">
        <f t="shared" si="130"/>
        <v>0</v>
      </c>
      <c r="M267" s="2470">
        <f t="shared" si="130"/>
        <v>0</v>
      </c>
      <c r="N267" s="2470">
        <f>N221*N265</f>
        <v>0</v>
      </c>
      <c r="O267" s="2470">
        <f>O221*O265</f>
        <v>0</v>
      </c>
      <c r="P267" s="2470">
        <f t="shared" si="130"/>
        <v>0</v>
      </c>
      <c r="Q267" s="2470">
        <f t="shared" si="130"/>
        <v>0</v>
      </c>
      <c r="R267" s="2470">
        <f>R221*R265</f>
        <v>0</v>
      </c>
      <c r="S267" s="2470">
        <f>S221*S265</f>
        <v>0</v>
      </c>
      <c r="T267" s="2470">
        <f>T221*T265</f>
        <v>0</v>
      </c>
      <c r="U267" s="2470">
        <f t="shared" si="130"/>
        <v>0</v>
      </c>
      <c r="V267" s="2470">
        <f t="shared" si="130"/>
        <v>0</v>
      </c>
      <c r="W267" s="2470">
        <f t="shared" si="130"/>
        <v>0</v>
      </c>
      <c r="X267" s="2470">
        <f t="shared" si="130"/>
        <v>0</v>
      </c>
      <c r="Y267" s="2470">
        <f t="shared" si="130"/>
        <v>0</v>
      </c>
      <c r="Z267" s="2470">
        <f t="shared" si="130"/>
        <v>0</v>
      </c>
      <c r="AA267" s="2470">
        <f t="shared" si="130"/>
        <v>0</v>
      </c>
      <c r="AB267" s="2470">
        <f t="shared" si="130"/>
        <v>0</v>
      </c>
      <c r="AC267" s="2470">
        <f t="shared" si="130"/>
        <v>0</v>
      </c>
      <c r="AD267" s="2470">
        <f t="shared" si="130"/>
        <v>0</v>
      </c>
      <c r="AE267" s="2470">
        <f t="shared" si="130"/>
        <v>0</v>
      </c>
      <c r="AF267" s="2470">
        <f t="shared" si="130"/>
        <v>0</v>
      </c>
      <c r="AG267" s="2470">
        <f t="shared" si="130"/>
        <v>0</v>
      </c>
      <c r="AH267" s="2470">
        <f t="shared" si="130"/>
        <v>0</v>
      </c>
      <c r="AI267" s="2470">
        <f t="shared" si="130"/>
        <v>0</v>
      </c>
      <c r="AJ267" s="2470">
        <f t="shared" si="130"/>
        <v>0</v>
      </c>
      <c r="AK267" s="2470">
        <f t="shared" si="130"/>
        <v>0</v>
      </c>
      <c r="AL267" s="2470">
        <f t="shared" si="130"/>
        <v>0</v>
      </c>
      <c r="AM267" s="2470">
        <f t="shared" ref="AM267:BI267" si="131">AM221*AM265</f>
        <v>0</v>
      </c>
      <c r="AN267" s="2470">
        <f t="shared" si="131"/>
        <v>0</v>
      </c>
      <c r="AO267" s="2470">
        <f t="shared" si="131"/>
        <v>0</v>
      </c>
      <c r="AP267" s="2470">
        <f t="shared" si="131"/>
        <v>0</v>
      </c>
      <c r="AQ267" s="2470">
        <f t="shared" si="131"/>
        <v>0</v>
      </c>
      <c r="AR267" s="2470">
        <f t="shared" si="131"/>
        <v>0</v>
      </c>
      <c r="AS267" s="2470">
        <f t="shared" si="131"/>
        <v>0</v>
      </c>
      <c r="AT267" s="2470">
        <f t="shared" si="131"/>
        <v>0</v>
      </c>
      <c r="AU267" s="2470">
        <f t="shared" si="131"/>
        <v>0</v>
      </c>
      <c r="AV267" s="2470">
        <f t="shared" si="131"/>
        <v>0</v>
      </c>
      <c r="AW267" s="2470">
        <f t="shared" si="131"/>
        <v>0</v>
      </c>
      <c r="AX267" s="2470">
        <f t="shared" si="131"/>
        <v>0</v>
      </c>
      <c r="AY267" s="2470">
        <f t="shared" si="131"/>
        <v>0</v>
      </c>
      <c r="AZ267" s="2470">
        <f t="shared" si="131"/>
        <v>0</v>
      </c>
      <c r="BA267" s="2470">
        <f t="shared" si="131"/>
        <v>0</v>
      </c>
      <c r="BB267" s="2470">
        <f t="shared" si="131"/>
        <v>0</v>
      </c>
      <c r="BC267" s="2470">
        <f t="shared" si="131"/>
        <v>0</v>
      </c>
      <c r="BD267" s="2470">
        <f t="shared" si="131"/>
        <v>0</v>
      </c>
      <c r="BE267" s="2470">
        <f t="shared" si="131"/>
        <v>0</v>
      </c>
      <c r="BF267" s="2470">
        <f t="shared" si="131"/>
        <v>0</v>
      </c>
      <c r="BG267" s="2470">
        <f t="shared" si="131"/>
        <v>0</v>
      </c>
      <c r="BH267" s="2470">
        <f t="shared" si="131"/>
        <v>0</v>
      </c>
      <c r="BI267" s="2470">
        <f t="shared" si="131"/>
        <v>0</v>
      </c>
    </row>
    <row r="268" spans="1:61">
      <c r="A268" s="397"/>
      <c r="B268" s="97"/>
      <c r="C268" s="2430" t="s">
        <v>591</v>
      </c>
      <c r="D268" s="2434"/>
      <c r="E268" s="37" t="s">
        <v>1178</v>
      </c>
      <c r="F268" s="18" t="s">
        <v>181</v>
      </c>
      <c r="G268" s="117" t="s">
        <v>182</v>
      </c>
      <c r="H268" s="163">
        <f>FEM!$H$24</f>
        <v>4.8219178082191778</v>
      </c>
      <c r="I268" s="163">
        <f>FEM!$H$24</f>
        <v>4.8219178082191778</v>
      </c>
      <c r="J268" s="163">
        <f>FEM!$H$24</f>
        <v>4.8219178082191778</v>
      </c>
      <c r="K268" s="163">
        <f>FEM!$H$24</f>
        <v>4.8219178082191778</v>
      </c>
      <c r="L268" s="163">
        <f>FEM!$H$24</f>
        <v>4.8219178082191778</v>
      </c>
      <c r="M268" s="163">
        <f>FEM!$H$24</f>
        <v>4.8219178082191778</v>
      </c>
      <c r="N268" s="163">
        <f>FEM!$H$24</f>
        <v>4.8219178082191778</v>
      </c>
      <c r="O268" s="163">
        <f>FEM!$H$24</f>
        <v>4.8219178082191778</v>
      </c>
      <c r="P268" s="163">
        <f>FEM!$H$24</f>
        <v>4.8219178082191778</v>
      </c>
      <c r="Q268" s="163">
        <f>FEM!$H$24</f>
        <v>4.8219178082191778</v>
      </c>
      <c r="R268" s="163">
        <f>FEM!$H$24</f>
        <v>4.8219178082191778</v>
      </c>
      <c r="S268" s="163">
        <f>FEM!$H$24</f>
        <v>4.8219178082191778</v>
      </c>
      <c r="T268" s="163">
        <f>FEM!$H$24</f>
        <v>4.8219178082191778</v>
      </c>
      <c r="U268" s="163">
        <f>FEM!$H$24</f>
        <v>4.8219178082191778</v>
      </c>
      <c r="V268" s="163">
        <f>FEM!$H$24</f>
        <v>4.8219178082191778</v>
      </c>
      <c r="W268" s="163">
        <f>FEM!$H$24</f>
        <v>4.8219178082191778</v>
      </c>
      <c r="X268" s="163">
        <f>FEM!$H$24</f>
        <v>4.8219178082191778</v>
      </c>
      <c r="Y268" s="163">
        <f>FEM!$H$24</f>
        <v>4.8219178082191778</v>
      </c>
      <c r="Z268" s="163">
        <f>FEM!$H$24</f>
        <v>4.8219178082191778</v>
      </c>
      <c r="AA268" s="163">
        <f>FEM!$H$24</f>
        <v>4.8219178082191778</v>
      </c>
      <c r="AB268" s="163">
        <f>FEM!$H$24</f>
        <v>4.8219178082191778</v>
      </c>
      <c r="AC268" s="163">
        <f>FEM!$H$24</f>
        <v>4.8219178082191778</v>
      </c>
      <c r="AD268" s="163">
        <f>FEM!$H$24</f>
        <v>4.8219178082191778</v>
      </c>
      <c r="AE268" s="163">
        <f>FEM!$H$24</f>
        <v>4.8219178082191778</v>
      </c>
      <c r="AF268" s="163">
        <f>FEM!$H$24</f>
        <v>4.8219178082191778</v>
      </c>
      <c r="AG268" s="163">
        <f>FEM!$H$24</f>
        <v>4.8219178082191778</v>
      </c>
      <c r="AH268" s="163">
        <f>FEM!$H$24</f>
        <v>4.8219178082191778</v>
      </c>
      <c r="AI268" s="163">
        <f>FEM!$H$24</f>
        <v>4.8219178082191778</v>
      </c>
      <c r="AJ268" s="163">
        <f>FEM!$H$24</f>
        <v>4.8219178082191778</v>
      </c>
      <c r="AK268" s="163">
        <f>FEM!$H$24</f>
        <v>4.8219178082191778</v>
      </c>
      <c r="AL268" s="163">
        <f>FEM!$H$24</f>
        <v>4.8219178082191778</v>
      </c>
      <c r="AM268" s="163">
        <f>FEM!$H$24</f>
        <v>4.8219178082191778</v>
      </c>
      <c r="AN268" s="163">
        <f>FEM!$H$24</f>
        <v>4.8219178082191778</v>
      </c>
      <c r="AO268" s="163">
        <f>FEM!$H$24</f>
        <v>4.8219178082191778</v>
      </c>
      <c r="AP268" s="163">
        <f>FEM!$H$24</f>
        <v>4.8219178082191778</v>
      </c>
      <c r="AQ268" s="163">
        <f>FEM!$H$24</f>
        <v>4.8219178082191778</v>
      </c>
      <c r="AR268" s="163">
        <f>FEM!$H$24</f>
        <v>4.8219178082191778</v>
      </c>
      <c r="AS268" s="163">
        <f>FEM!$H$24</f>
        <v>4.8219178082191778</v>
      </c>
      <c r="AT268" s="163">
        <f>FEM!$H$24</f>
        <v>4.8219178082191778</v>
      </c>
      <c r="AU268" s="163">
        <f>FEM!$H$24</f>
        <v>4.8219178082191778</v>
      </c>
      <c r="AV268" s="163">
        <f>FEM!$H$24</f>
        <v>4.8219178082191778</v>
      </c>
      <c r="AW268" s="163">
        <f>FEM!$H$24</f>
        <v>4.8219178082191778</v>
      </c>
      <c r="AX268" s="163">
        <f>FEM!$H$24</f>
        <v>4.8219178082191778</v>
      </c>
      <c r="AY268" s="163">
        <f>FEM!$H$24</f>
        <v>4.8219178082191778</v>
      </c>
      <c r="AZ268" s="163">
        <f>FEM!$H$24</f>
        <v>4.8219178082191778</v>
      </c>
      <c r="BA268" s="163">
        <f>FEM!$H$24</f>
        <v>4.8219178082191778</v>
      </c>
      <c r="BB268" s="163">
        <f>FEM!$H$24</f>
        <v>4.8219178082191778</v>
      </c>
      <c r="BC268" s="163">
        <f>FEM!$H$24</f>
        <v>4.8219178082191778</v>
      </c>
      <c r="BD268" s="163">
        <f>FEM!$H$24</f>
        <v>4.8219178082191778</v>
      </c>
      <c r="BE268" s="163">
        <f>FEM!$H$24</f>
        <v>4.8219178082191778</v>
      </c>
      <c r="BF268" s="163">
        <f>FEM!$H$24</f>
        <v>4.8219178082191778</v>
      </c>
      <c r="BG268" s="163">
        <f>FEM!$H$24</f>
        <v>4.8219178082191778</v>
      </c>
      <c r="BH268" s="163">
        <f>FEM!$H$24</f>
        <v>4.8219178082191778</v>
      </c>
      <c r="BI268" s="163">
        <f>FEM!$H$24</f>
        <v>4.8219178082191778</v>
      </c>
    </row>
    <row r="269" spans="1:61">
      <c r="A269" s="397"/>
      <c r="B269" s="97"/>
      <c r="C269" s="4102" t="s">
        <v>588</v>
      </c>
      <c r="D269" s="4103"/>
      <c r="E269" s="37" t="s">
        <v>1160</v>
      </c>
      <c r="F269" s="18" t="s">
        <v>210</v>
      </c>
      <c r="G269" s="117" t="s">
        <v>182</v>
      </c>
      <c r="H269" s="227">
        <f>FEM!$I$24</f>
        <v>2.755381604696673</v>
      </c>
      <c r="I269" s="227">
        <f>FEM!$I$24</f>
        <v>2.755381604696673</v>
      </c>
      <c r="J269" s="227">
        <f>FEM!$I$24</f>
        <v>2.755381604696673</v>
      </c>
      <c r="K269" s="227">
        <f>FEM!$I$24</f>
        <v>2.755381604696673</v>
      </c>
      <c r="L269" s="227">
        <f>FEM!$I$24</f>
        <v>2.755381604696673</v>
      </c>
      <c r="M269" s="227">
        <f>FEM!$I$24</f>
        <v>2.755381604696673</v>
      </c>
      <c r="N269" s="227">
        <f>FEM!$I$24</f>
        <v>2.755381604696673</v>
      </c>
      <c r="O269" s="227">
        <f>FEM!$I$24</f>
        <v>2.755381604696673</v>
      </c>
      <c r="P269" s="227">
        <f>FEM!$I$24</f>
        <v>2.755381604696673</v>
      </c>
      <c r="Q269" s="227">
        <f>FEM!$I$24</f>
        <v>2.755381604696673</v>
      </c>
      <c r="R269" s="227">
        <f>FEM!$I$24</f>
        <v>2.755381604696673</v>
      </c>
      <c r="S269" s="227">
        <f>FEM!$I$24</f>
        <v>2.755381604696673</v>
      </c>
      <c r="T269" s="227">
        <f>FEM!$I$24</f>
        <v>2.755381604696673</v>
      </c>
      <c r="U269" s="227">
        <f>FEM!$I$24</f>
        <v>2.755381604696673</v>
      </c>
      <c r="V269" s="227">
        <f>FEM!$I$24</f>
        <v>2.755381604696673</v>
      </c>
      <c r="W269" s="227">
        <f>FEM!$I$24</f>
        <v>2.755381604696673</v>
      </c>
      <c r="X269" s="227">
        <f>FEM!$I$24</f>
        <v>2.755381604696673</v>
      </c>
      <c r="Y269" s="227">
        <f>FEM!$I$24</f>
        <v>2.755381604696673</v>
      </c>
      <c r="Z269" s="227">
        <f>FEM!$I$24</f>
        <v>2.755381604696673</v>
      </c>
      <c r="AA269" s="227">
        <f>FEM!$I$24</f>
        <v>2.755381604696673</v>
      </c>
      <c r="AB269" s="227">
        <f>FEM!$I$24</f>
        <v>2.755381604696673</v>
      </c>
      <c r="AC269" s="227">
        <f>FEM!$I$24</f>
        <v>2.755381604696673</v>
      </c>
      <c r="AD269" s="227">
        <f>FEM!$I$24</f>
        <v>2.755381604696673</v>
      </c>
      <c r="AE269" s="227">
        <f>FEM!$I$24</f>
        <v>2.755381604696673</v>
      </c>
      <c r="AF269" s="227">
        <f>FEM!$I$24</f>
        <v>2.755381604696673</v>
      </c>
      <c r="AG269" s="227">
        <f>FEM!$I$24</f>
        <v>2.755381604696673</v>
      </c>
      <c r="AH269" s="227">
        <f>FEM!$I$24</f>
        <v>2.755381604696673</v>
      </c>
      <c r="AI269" s="227">
        <f>FEM!$I$24</f>
        <v>2.755381604696673</v>
      </c>
      <c r="AJ269" s="227">
        <f>FEM!$I$24</f>
        <v>2.755381604696673</v>
      </c>
      <c r="AK269" s="227">
        <f>FEM!$I$24</f>
        <v>2.755381604696673</v>
      </c>
      <c r="AL269" s="227">
        <f>FEM!$I$24</f>
        <v>2.755381604696673</v>
      </c>
      <c r="AM269" s="227">
        <f>FEM!$I$24</f>
        <v>2.755381604696673</v>
      </c>
      <c r="AN269" s="227">
        <f>FEM!$I$24</f>
        <v>2.755381604696673</v>
      </c>
      <c r="AO269" s="227">
        <f>FEM!$I$24</f>
        <v>2.755381604696673</v>
      </c>
      <c r="AP269" s="227">
        <f>FEM!$I$24</f>
        <v>2.755381604696673</v>
      </c>
      <c r="AQ269" s="227">
        <f>FEM!$I$24</f>
        <v>2.755381604696673</v>
      </c>
      <c r="AR269" s="227">
        <f>FEM!$I$24</f>
        <v>2.755381604696673</v>
      </c>
      <c r="AS269" s="227">
        <f>FEM!$I$24</f>
        <v>2.755381604696673</v>
      </c>
      <c r="AT269" s="227">
        <f>FEM!$I$24</f>
        <v>2.755381604696673</v>
      </c>
      <c r="AU269" s="227">
        <f>FEM!$I$24</f>
        <v>2.755381604696673</v>
      </c>
      <c r="AV269" s="227">
        <f>FEM!$I$24</f>
        <v>2.755381604696673</v>
      </c>
      <c r="AW269" s="227">
        <f>FEM!$I$24</f>
        <v>2.755381604696673</v>
      </c>
      <c r="AX269" s="227">
        <f>FEM!$I$24</f>
        <v>2.755381604696673</v>
      </c>
      <c r="AY269" s="227">
        <f>FEM!$I$24</f>
        <v>2.755381604696673</v>
      </c>
      <c r="AZ269" s="227">
        <f>FEM!$I$24</f>
        <v>2.755381604696673</v>
      </c>
      <c r="BA269" s="227">
        <f>FEM!$I$24</f>
        <v>2.755381604696673</v>
      </c>
      <c r="BB269" s="227">
        <f>FEM!$I$24</f>
        <v>2.755381604696673</v>
      </c>
      <c r="BC269" s="227">
        <f>FEM!$I$24</f>
        <v>2.755381604696673</v>
      </c>
      <c r="BD269" s="227">
        <f>FEM!$I$24</f>
        <v>2.755381604696673</v>
      </c>
      <c r="BE269" s="227">
        <f>FEM!$I$24</f>
        <v>2.755381604696673</v>
      </c>
      <c r="BF269" s="227">
        <f>FEM!$I$24</f>
        <v>2.755381604696673</v>
      </c>
      <c r="BG269" s="227">
        <f>FEM!$I$24</f>
        <v>2.755381604696673</v>
      </c>
      <c r="BH269" s="227">
        <f>FEM!$I$24</f>
        <v>2.755381604696673</v>
      </c>
      <c r="BI269" s="227">
        <f>FEM!$I$24</f>
        <v>2.755381604696673</v>
      </c>
    </row>
    <row r="270" spans="1:61" s="2464" customFormat="1">
      <c r="A270" s="2461"/>
      <c r="B270" s="2462"/>
      <c r="C270" s="4102"/>
      <c r="D270" s="4103"/>
      <c r="E270" s="2516" t="s">
        <v>1183</v>
      </c>
      <c r="F270" s="2441" t="s">
        <v>1155</v>
      </c>
      <c r="G270" s="2431" t="s">
        <v>1156</v>
      </c>
      <c r="H270" s="2463">
        <f t="shared" ref="H270:AL270" si="132">IF(H$10&gt;0,H268/24/H$10,0)</f>
        <v>1.004566210045662</v>
      </c>
      <c r="I270" s="2463">
        <f t="shared" si="132"/>
        <v>1.004566210045662</v>
      </c>
      <c r="J270" s="2463">
        <f>IF(J$10&gt;0,J268/24/J$10,0)</f>
        <v>4.0182648401826483E-2</v>
      </c>
      <c r="K270" s="2463">
        <f t="shared" si="132"/>
        <v>3.5877364644487928</v>
      </c>
      <c r="L270" s="2463">
        <f t="shared" si="132"/>
        <v>3.3485540334855401</v>
      </c>
      <c r="M270" s="2463">
        <f t="shared" si="132"/>
        <v>3.3485540334855401</v>
      </c>
      <c r="N270" s="2463">
        <f>IF(N$10&gt;0,N268/24/N$10,0)</f>
        <v>1.004566210045662</v>
      </c>
      <c r="O270" s="2463">
        <f>IF(O$10&gt;0,O268/24/O$10,0)</f>
        <v>1.004566210045662</v>
      </c>
      <c r="P270" s="2463">
        <f t="shared" si="132"/>
        <v>5.7403783431180679</v>
      </c>
      <c r="Q270" s="2463">
        <f t="shared" si="132"/>
        <v>5.7403783431180679</v>
      </c>
      <c r="R270" s="2463">
        <f>IF(R$10&gt;0,R268/24/R$10,0)</f>
        <v>0.50228310502283102</v>
      </c>
      <c r="S270" s="2463">
        <f>IF(S$10&gt;0,S268/24/S$10,0)</f>
        <v>3.1890990795100382</v>
      </c>
      <c r="T270" s="2463">
        <f>IF(T$10&gt;0,T268/24/T$10,0)</f>
        <v>3.1890990795100382</v>
      </c>
      <c r="U270" s="2463">
        <f t="shared" si="132"/>
        <v>5.287190579187695</v>
      </c>
      <c r="V270" s="2463">
        <f t="shared" si="132"/>
        <v>0.20091324200913241</v>
      </c>
      <c r="W270" s="2463">
        <f t="shared" si="132"/>
        <v>0.20091324200913241</v>
      </c>
      <c r="X270" s="2463">
        <f t="shared" si="132"/>
        <v>20.928462709284624</v>
      </c>
      <c r="Y270" s="2463">
        <f t="shared" si="132"/>
        <v>0.77274323849666304</v>
      </c>
      <c r="Z270" s="2463">
        <f t="shared" si="132"/>
        <v>0.75816317739295247</v>
      </c>
      <c r="AA270" s="2463">
        <f t="shared" si="132"/>
        <v>2.0091324200913241</v>
      </c>
      <c r="AB270" s="2463">
        <f t="shared" si="132"/>
        <v>1.004566210045662</v>
      </c>
      <c r="AC270" s="2463">
        <f t="shared" si="132"/>
        <v>1.004566210045662</v>
      </c>
      <c r="AD270" s="2463">
        <f t="shared" si="132"/>
        <v>1.004566210045662</v>
      </c>
      <c r="AE270" s="2463">
        <f t="shared" si="132"/>
        <v>0</v>
      </c>
      <c r="AF270" s="2463">
        <f t="shared" si="132"/>
        <v>0</v>
      </c>
      <c r="AG270" s="2463">
        <f t="shared" si="132"/>
        <v>1.0919197935278936E-2</v>
      </c>
      <c r="AH270" s="2463">
        <f t="shared" si="132"/>
        <v>1.0919197935278936E-2</v>
      </c>
      <c r="AI270" s="2463">
        <f t="shared" si="132"/>
        <v>0.20091324200913241</v>
      </c>
      <c r="AJ270" s="2463">
        <f t="shared" si="132"/>
        <v>0.20091324200913241</v>
      </c>
      <c r="AK270" s="2463">
        <f t="shared" si="132"/>
        <v>0.20091324200913241</v>
      </c>
      <c r="AL270" s="2463">
        <f t="shared" si="132"/>
        <v>0</v>
      </c>
      <c r="AM270" s="2463">
        <f t="shared" ref="AM270:BI270" si="133">IF(AM$10&gt;0,AM268/24/AM$10,0)</f>
        <v>0</v>
      </c>
      <c r="AN270" s="2463">
        <f t="shared" si="133"/>
        <v>66.971080669710801</v>
      </c>
      <c r="AO270" s="2463">
        <f t="shared" si="133"/>
        <v>0</v>
      </c>
      <c r="AP270" s="2463">
        <f t="shared" si="133"/>
        <v>0</v>
      </c>
      <c r="AQ270" s="2463">
        <f t="shared" si="133"/>
        <v>0</v>
      </c>
      <c r="AR270" s="2463">
        <f t="shared" si="133"/>
        <v>0</v>
      </c>
      <c r="AS270" s="2463">
        <f t="shared" si="133"/>
        <v>0</v>
      </c>
      <c r="AT270" s="2463">
        <f t="shared" si="133"/>
        <v>0</v>
      </c>
      <c r="AU270" s="2463">
        <f t="shared" si="133"/>
        <v>0</v>
      </c>
      <c r="AV270" s="2463">
        <f t="shared" si="133"/>
        <v>0</v>
      </c>
      <c r="AW270" s="2463">
        <f t="shared" si="133"/>
        <v>0</v>
      </c>
      <c r="AX270" s="2463">
        <f t="shared" si="133"/>
        <v>0</v>
      </c>
      <c r="AY270" s="2463">
        <f t="shared" si="133"/>
        <v>0</v>
      </c>
      <c r="AZ270" s="2463">
        <f t="shared" si="133"/>
        <v>0</v>
      </c>
      <c r="BA270" s="2463">
        <f t="shared" si="133"/>
        <v>0</v>
      </c>
      <c r="BB270" s="2463">
        <f t="shared" si="133"/>
        <v>0</v>
      </c>
      <c r="BC270" s="2463">
        <f t="shared" si="133"/>
        <v>0</v>
      </c>
      <c r="BD270" s="2463">
        <f t="shared" si="133"/>
        <v>10.045662100456621</v>
      </c>
      <c r="BE270" s="2463">
        <f t="shared" si="133"/>
        <v>401.82648401826481</v>
      </c>
      <c r="BF270" s="2463">
        <f t="shared" si="133"/>
        <v>200.9132420091324</v>
      </c>
      <c r="BG270" s="2463">
        <f t="shared" si="133"/>
        <v>6697.10806697108</v>
      </c>
      <c r="BH270" s="2463">
        <f t="shared" si="133"/>
        <v>636.22526636225246</v>
      </c>
      <c r="BI270" s="2463">
        <f t="shared" si="133"/>
        <v>251.14155251141551</v>
      </c>
    </row>
    <row r="271" spans="1:61" s="2464" customFormat="1">
      <c r="A271" s="2461"/>
      <c r="B271" s="2462"/>
      <c r="C271" s="2433"/>
      <c r="D271" s="2434"/>
      <c r="E271" s="2516" t="s">
        <v>1181</v>
      </c>
      <c r="F271" s="2441" t="s">
        <v>211</v>
      </c>
      <c r="G271" s="2431" t="s">
        <v>212</v>
      </c>
      <c r="H271" s="2442">
        <f t="shared" ref="H271:AL271" si="134">H269/24*H$12</f>
        <v>0</v>
      </c>
      <c r="I271" s="2442">
        <f t="shared" si="134"/>
        <v>0</v>
      </c>
      <c r="J271" s="2442">
        <f>J269/24*J$12</f>
        <v>0</v>
      </c>
      <c r="K271" s="2442">
        <f t="shared" si="134"/>
        <v>1.1480756686236137E-4</v>
      </c>
      <c r="L271" s="2442">
        <f t="shared" si="134"/>
        <v>0</v>
      </c>
      <c r="M271" s="2442">
        <f t="shared" si="134"/>
        <v>0</v>
      </c>
      <c r="N271" s="2442">
        <f>N269/24*N$12</f>
        <v>2.2961513372472275E-4</v>
      </c>
      <c r="O271" s="2442">
        <f>O269/24*O$12</f>
        <v>2.2961513372472275E-4</v>
      </c>
      <c r="P271" s="2442">
        <f t="shared" si="134"/>
        <v>6.7736464448793206E-4</v>
      </c>
      <c r="Q271" s="2442">
        <f t="shared" si="134"/>
        <v>6.7736464448793206E-4</v>
      </c>
      <c r="R271" s="2442">
        <f>R269/24*R$12</f>
        <v>1.1480756686236137E-4</v>
      </c>
      <c r="S271" s="2442">
        <f>S269/24*S$12</f>
        <v>2.6405740378343118E-3</v>
      </c>
      <c r="T271" s="2442">
        <f>T269/24*T$12</f>
        <v>2.6405740378343118E-3</v>
      </c>
      <c r="U271" s="2442">
        <f t="shared" si="134"/>
        <v>4.8219178082191784E-3</v>
      </c>
      <c r="V271" s="2442">
        <f t="shared" si="134"/>
        <v>0</v>
      </c>
      <c r="W271" s="2442">
        <f t="shared" si="134"/>
        <v>0</v>
      </c>
      <c r="X271" s="2442">
        <f t="shared" si="134"/>
        <v>6.8884540117416832E-4</v>
      </c>
      <c r="Y271" s="2442">
        <f t="shared" si="134"/>
        <v>0</v>
      </c>
      <c r="Z271" s="2442">
        <f t="shared" si="134"/>
        <v>2.8701891715590347E-4</v>
      </c>
      <c r="AA271" s="2442">
        <f t="shared" si="134"/>
        <v>0</v>
      </c>
      <c r="AB271" s="2442">
        <f t="shared" si="134"/>
        <v>0</v>
      </c>
      <c r="AC271" s="2442">
        <f t="shared" si="134"/>
        <v>0</v>
      </c>
      <c r="AD271" s="2442">
        <f t="shared" si="134"/>
        <v>0</v>
      </c>
      <c r="AE271" s="2442">
        <f t="shared" si="134"/>
        <v>0</v>
      </c>
      <c r="AF271" s="2442">
        <f t="shared" si="134"/>
        <v>0</v>
      </c>
      <c r="AG271" s="2442">
        <f t="shared" si="134"/>
        <v>0</v>
      </c>
      <c r="AH271" s="2442">
        <f t="shared" si="134"/>
        <v>0</v>
      </c>
      <c r="AI271" s="2442">
        <f t="shared" si="134"/>
        <v>0</v>
      </c>
      <c r="AJ271" s="2442">
        <f t="shared" si="134"/>
        <v>0</v>
      </c>
      <c r="AK271" s="2442">
        <f t="shared" si="134"/>
        <v>0</v>
      </c>
      <c r="AL271" s="2442">
        <f t="shared" si="134"/>
        <v>0</v>
      </c>
      <c r="AM271" s="2442">
        <f t="shared" ref="AM271:BI271" si="135">AM269/24*AM$12</f>
        <v>0</v>
      </c>
      <c r="AN271" s="2442">
        <f t="shared" si="135"/>
        <v>3.9034572733202869E-3</v>
      </c>
      <c r="AO271" s="2442">
        <f t="shared" si="135"/>
        <v>1.2628832354859751E-4</v>
      </c>
      <c r="AP271" s="2442">
        <f t="shared" si="135"/>
        <v>1.2628832354859751E-4</v>
      </c>
      <c r="AQ271" s="2442">
        <f t="shared" si="135"/>
        <v>1.2628832354859751E-4</v>
      </c>
      <c r="AR271" s="2442">
        <f t="shared" si="135"/>
        <v>1.2628832354859751E-4</v>
      </c>
      <c r="AS271" s="2442">
        <f t="shared" si="135"/>
        <v>1.2628832354859754E-3</v>
      </c>
      <c r="AT271" s="2442">
        <f t="shared" si="135"/>
        <v>1.2628832354859751E-4</v>
      </c>
      <c r="AU271" s="2442">
        <f t="shared" si="135"/>
        <v>1.2628832354859751E-4</v>
      </c>
      <c r="AV271" s="2442">
        <f t="shared" si="135"/>
        <v>1.2628832354859752E-2</v>
      </c>
      <c r="AW271" s="2442">
        <f t="shared" si="135"/>
        <v>1.2628832354859754E-3</v>
      </c>
      <c r="AX271" s="2442">
        <f t="shared" si="135"/>
        <v>1.2628832354859752E-2</v>
      </c>
      <c r="AY271" s="2442">
        <f t="shared" si="135"/>
        <v>1.2628832354859752E-2</v>
      </c>
      <c r="AZ271" s="2442">
        <f t="shared" si="135"/>
        <v>0.12628832354859754</v>
      </c>
      <c r="BA271" s="2442">
        <f t="shared" si="135"/>
        <v>0.12628832354859754</v>
      </c>
      <c r="BB271" s="2442">
        <f t="shared" si="135"/>
        <v>1.2628832354859754E-3</v>
      </c>
      <c r="BC271" s="2442">
        <f t="shared" si="135"/>
        <v>1.2628832354859752E-2</v>
      </c>
      <c r="BD271" s="2442">
        <f t="shared" si="135"/>
        <v>0</v>
      </c>
      <c r="BE271" s="2442">
        <f t="shared" si="135"/>
        <v>2.5257664709719505E-2</v>
      </c>
      <c r="BF271" s="2442">
        <f t="shared" si="135"/>
        <v>1.2628832354859752E-2</v>
      </c>
      <c r="BG271" s="2442">
        <f t="shared" si="135"/>
        <v>0</v>
      </c>
      <c r="BH271" s="2442">
        <f t="shared" si="135"/>
        <v>0</v>
      </c>
      <c r="BI271" s="2442">
        <f t="shared" si="135"/>
        <v>0</v>
      </c>
    </row>
    <row r="272" spans="1:61" s="2464" customFormat="1">
      <c r="A272" s="2461"/>
      <c r="B272" s="2462"/>
      <c r="C272" s="2433"/>
      <c r="D272" s="2434"/>
      <c r="E272" s="2516" t="s">
        <v>1184</v>
      </c>
      <c r="F272" s="2465" t="s">
        <v>1158</v>
      </c>
      <c r="G272" s="2431" t="s">
        <v>1157</v>
      </c>
      <c r="H272" s="2442">
        <f t="shared" ref="H272:AL272" si="136">H243*H270</f>
        <v>1.4651996995302922E-2</v>
      </c>
      <c r="I272" s="2442">
        <f t="shared" si="136"/>
        <v>1.4651996995302922E-2</v>
      </c>
      <c r="J272" s="2442">
        <f>J243*J270</f>
        <v>2.9836639370284707E-4</v>
      </c>
      <c r="K272" s="2442">
        <f t="shared" si="136"/>
        <v>3.542915573425958E-3</v>
      </c>
      <c r="L272" s="2442">
        <f t="shared" si="136"/>
        <v>1.382829847983939E-2</v>
      </c>
      <c r="M272" s="2442">
        <f t="shared" si="136"/>
        <v>1.382829847983939E-2</v>
      </c>
      <c r="N272" s="2442">
        <f>N243*N270</f>
        <v>2.6901741126466368E-3</v>
      </c>
      <c r="O272" s="2442">
        <f>O243*O270</f>
        <v>2.6901741126466368E-3</v>
      </c>
      <c r="P272" s="2442">
        <f t="shared" si="136"/>
        <v>1.4080649457963256E-2</v>
      </c>
      <c r="Q272" s="2442">
        <f t="shared" si="136"/>
        <v>1.4080649457963256E-2</v>
      </c>
      <c r="R272" s="2442">
        <f>R243*R270</f>
        <v>3.0650271807410381E-3</v>
      </c>
      <c r="S272" s="2442">
        <f>S243*S270</f>
        <v>1.74682970690971E-2</v>
      </c>
      <c r="T272" s="2442">
        <f>T243*T270</f>
        <v>1.74682970690971E-2</v>
      </c>
      <c r="U272" s="2442">
        <f t="shared" si="136"/>
        <v>7.3045603462068027E-3</v>
      </c>
      <c r="V272" s="2442">
        <f t="shared" si="136"/>
        <v>1.6958273486783086E-4</v>
      </c>
      <c r="W272" s="2442">
        <f t="shared" si="136"/>
        <v>1.6958273486783086E-4</v>
      </c>
      <c r="X272" s="2442">
        <f t="shared" si="136"/>
        <v>8.4170701865691908E-2</v>
      </c>
      <c r="Y272" s="2442">
        <f t="shared" si="136"/>
        <v>3.4690577894710356E-3</v>
      </c>
      <c r="Z272" s="2442">
        <f t="shared" si="136"/>
        <v>4.0965162127330956E-3</v>
      </c>
      <c r="AA272" s="2442">
        <f t="shared" si="136"/>
        <v>4.5862554552494484E-3</v>
      </c>
      <c r="AB272" s="2442">
        <f t="shared" si="136"/>
        <v>3.9209060236160432E-3</v>
      </c>
      <c r="AC272" s="2442">
        <f t="shared" si="136"/>
        <v>6.5004396085166713E-3</v>
      </c>
      <c r="AD272" s="2442">
        <f t="shared" si="136"/>
        <v>7.9341836996010499E-3</v>
      </c>
      <c r="AE272" s="2442">
        <f t="shared" si="136"/>
        <v>0</v>
      </c>
      <c r="AF272" s="2442">
        <f t="shared" si="136"/>
        <v>0</v>
      </c>
      <c r="AG272" s="2442">
        <f t="shared" si="136"/>
        <v>6.7079229733176119E-6</v>
      </c>
      <c r="AH272" s="2442">
        <f t="shared" si="136"/>
        <v>8.9589540264209813E-6</v>
      </c>
      <c r="AI272" s="2442">
        <f t="shared" si="136"/>
        <v>3.2353178664465822E-4</v>
      </c>
      <c r="AJ272" s="2442">
        <f t="shared" si="136"/>
        <v>5.377150672405312E-4</v>
      </c>
      <c r="AK272" s="2442">
        <f t="shared" si="136"/>
        <v>7.8971895492995685E-4</v>
      </c>
      <c r="AL272" s="2442">
        <f t="shared" si="136"/>
        <v>0</v>
      </c>
      <c r="AM272" s="2442">
        <f t="shared" ref="AM272:BI272" si="137">AM243*AM270</f>
        <v>0</v>
      </c>
      <c r="AN272" s="2442">
        <f t="shared" si="137"/>
        <v>0.51012956169030355</v>
      </c>
      <c r="AO272" s="2442">
        <f t="shared" si="137"/>
        <v>0</v>
      </c>
      <c r="AP272" s="2442">
        <f t="shared" si="137"/>
        <v>0</v>
      </c>
      <c r="AQ272" s="2442">
        <f t="shared" si="137"/>
        <v>0</v>
      </c>
      <c r="AR272" s="2442">
        <f t="shared" si="137"/>
        <v>0</v>
      </c>
      <c r="AS272" s="2442">
        <f t="shared" si="137"/>
        <v>0</v>
      </c>
      <c r="AT272" s="2442">
        <f t="shared" si="137"/>
        <v>0</v>
      </c>
      <c r="AU272" s="2442">
        <f t="shared" si="137"/>
        <v>0</v>
      </c>
      <c r="AV272" s="2442">
        <f t="shared" si="137"/>
        <v>0</v>
      </c>
      <c r="AW272" s="2442">
        <f t="shared" si="137"/>
        <v>0</v>
      </c>
      <c r="AX272" s="2442">
        <f t="shared" si="137"/>
        <v>0</v>
      </c>
      <c r="AY272" s="2442">
        <f t="shared" si="137"/>
        <v>0</v>
      </c>
      <c r="AZ272" s="2442">
        <f t="shared" si="137"/>
        <v>0</v>
      </c>
      <c r="BA272" s="2442">
        <f t="shared" si="137"/>
        <v>0</v>
      </c>
      <c r="BB272" s="2442">
        <f t="shared" si="137"/>
        <v>0</v>
      </c>
      <c r="BC272" s="2442">
        <f t="shared" si="137"/>
        <v>0</v>
      </c>
      <c r="BD272" s="2442">
        <f t="shared" si="137"/>
        <v>1.4622172729052676</v>
      </c>
      <c r="BE272" s="2442">
        <f t="shared" si="137"/>
        <v>2.4366278712139282</v>
      </c>
      <c r="BF272" s="2442">
        <f t="shared" si="137"/>
        <v>1.2183139356069641</v>
      </c>
      <c r="BG272" s="2442">
        <f t="shared" si="137"/>
        <v>6.758810528578139</v>
      </c>
      <c r="BH272" s="2442">
        <f t="shared" si="137"/>
        <v>49.362431651257019</v>
      </c>
      <c r="BI272" s="2442">
        <f t="shared" si="137"/>
        <v>13.691554924797405</v>
      </c>
    </row>
    <row r="273" spans="1:61" s="2464" customFormat="1">
      <c r="A273" s="2461"/>
      <c r="B273" s="2462"/>
      <c r="C273" s="2433"/>
      <c r="D273" s="2434"/>
      <c r="E273" s="2516" t="s">
        <v>1182</v>
      </c>
      <c r="F273" s="2465" t="s">
        <v>233</v>
      </c>
      <c r="G273" s="2431" t="s">
        <v>234</v>
      </c>
      <c r="H273" s="2442">
        <f t="shared" ref="H273:BI273" si="138">H250*H271</f>
        <v>0</v>
      </c>
      <c r="I273" s="2442">
        <f t="shared" si="138"/>
        <v>0</v>
      </c>
      <c r="J273" s="2442">
        <f>J250*J271</f>
        <v>0</v>
      </c>
      <c r="K273" s="2442">
        <f t="shared" si="138"/>
        <v>2.8343324587407663E-9</v>
      </c>
      <c r="L273" s="2442">
        <f t="shared" si="138"/>
        <v>0</v>
      </c>
      <c r="M273" s="2442">
        <f t="shared" si="138"/>
        <v>0</v>
      </c>
      <c r="N273" s="2442">
        <f>N250*N271</f>
        <v>1.5372423500837929E-8</v>
      </c>
      <c r="O273" s="2442">
        <f>O250*O271</f>
        <v>1.5372423500837929E-8</v>
      </c>
      <c r="P273" s="2442">
        <f t="shared" si="138"/>
        <v>4.153791590099162E-8</v>
      </c>
      <c r="Q273" s="2442">
        <f t="shared" si="138"/>
        <v>4.153791590099162E-8</v>
      </c>
      <c r="R273" s="2442">
        <f>R250*R271</f>
        <v>1.7514441032805932E-8</v>
      </c>
      <c r="S273" s="2442">
        <f>S250*S271</f>
        <v>4.2937810701353565E-7</v>
      </c>
      <c r="T273" s="2442">
        <f>T250*T271</f>
        <v>4.2937810701353565E-7</v>
      </c>
      <c r="U273" s="2442">
        <f t="shared" si="138"/>
        <v>1.6654397589351513E-7</v>
      </c>
      <c r="V273" s="2442">
        <f t="shared" si="138"/>
        <v>0</v>
      </c>
      <c r="W273" s="2442">
        <f t="shared" si="138"/>
        <v>0</v>
      </c>
      <c r="X273" s="2442">
        <f t="shared" si="138"/>
        <v>7.5769129395041714E-8</v>
      </c>
      <c r="Y273" s="2442">
        <f t="shared" si="138"/>
        <v>0</v>
      </c>
      <c r="Z273" s="2442">
        <f t="shared" si="138"/>
        <v>7.6918347086782895E-8</v>
      </c>
      <c r="AA273" s="2442">
        <f t="shared" si="138"/>
        <v>0</v>
      </c>
      <c r="AB273" s="2442">
        <f t="shared" si="138"/>
        <v>0</v>
      </c>
      <c r="AC273" s="2442">
        <f t="shared" si="138"/>
        <v>0</v>
      </c>
      <c r="AD273" s="2442">
        <f t="shared" si="138"/>
        <v>0</v>
      </c>
      <c r="AE273" s="2442">
        <f t="shared" si="138"/>
        <v>0</v>
      </c>
      <c r="AF273" s="2442">
        <f t="shared" si="138"/>
        <v>0</v>
      </c>
      <c r="AG273" s="2442">
        <f t="shared" si="138"/>
        <v>0</v>
      </c>
      <c r="AH273" s="2442">
        <f t="shared" si="138"/>
        <v>0</v>
      </c>
      <c r="AI273" s="2442">
        <f t="shared" si="138"/>
        <v>0</v>
      </c>
      <c r="AJ273" s="2442">
        <f t="shared" si="138"/>
        <v>0</v>
      </c>
      <c r="AK273" s="2442">
        <f t="shared" si="138"/>
        <v>0</v>
      </c>
      <c r="AL273" s="2442">
        <f t="shared" si="138"/>
        <v>0</v>
      </c>
      <c r="AM273" s="2442">
        <f t="shared" si="138"/>
        <v>0</v>
      </c>
      <c r="AN273" s="2442">
        <f t="shared" si="138"/>
        <v>1.7603131231761298E-5</v>
      </c>
      <c r="AO273" s="2442">
        <f t="shared" si="138"/>
        <v>7.613998513088961E-7</v>
      </c>
      <c r="AP273" s="2442">
        <f t="shared" si="138"/>
        <v>6.523128593560297E-7</v>
      </c>
      <c r="AQ273" s="2442">
        <f t="shared" si="138"/>
        <v>7.7802287450021528E-7</v>
      </c>
      <c r="AR273" s="2442">
        <f t="shared" si="138"/>
        <v>9.2458913803342487E-7</v>
      </c>
      <c r="AS273" s="2442">
        <f t="shared" si="138"/>
        <v>9.0040535902197461E-6</v>
      </c>
      <c r="AT273" s="2442">
        <f t="shared" si="138"/>
        <v>9.4431165008340545E-7</v>
      </c>
      <c r="AU273" s="2442">
        <f t="shared" si="138"/>
        <v>9.5736163568642046E-7</v>
      </c>
      <c r="AV273" s="2442">
        <f t="shared" si="138"/>
        <v>9.1406048161201534E-5</v>
      </c>
      <c r="AW273" s="2442">
        <f t="shared" si="138"/>
        <v>9.6332801367590479E-6</v>
      </c>
      <c r="AX273" s="2442">
        <f t="shared" si="138"/>
        <v>6.06430003032319E-4</v>
      </c>
      <c r="AY273" s="2442">
        <f t="shared" si="138"/>
        <v>6.0645777529532829E-4</v>
      </c>
      <c r="AZ273" s="2442">
        <f t="shared" si="138"/>
        <v>8.1295464480080938E-3</v>
      </c>
      <c r="BA273" s="2442">
        <f t="shared" si="138"/>
        <v>1.0887040129609768E-2</v>
      </c>
      <c r="BB273" s="2442">
        <f t="shared" si="138"/>
        <v>1.7181665187031861E-5</v>
      </c>
      <c r="BC273" s="2442">
        <f t="shared" si="138"/>
        <v>153.49463480572095</v>
      </c>
      <c r="BD273" s="2442">
        <f t="shared" si="138"/>
        <v>0</v>
      </c>
      <c r="BE273" s="2442">
        <f t="shared" si="138"/>
        <v>1.5303893813209992E-4</v>
      </c>
      <c r="BF273" s="2442">
        <f t="shared" si="138"/>
        <v>7.6519469066049962E-5</v>
      </c>
      <c r="BG273" s="2442">
        <f t="shared" si="138"/>
        <v>0</v>
      </c>
      <c r="BH273" s="2442">
        <f t="shared" si="138"/>
        <v>0</v>
      </c>
      <c r="BI273" s="2442">
        <f t="shared" si="138"/>
        <v>0</v>
      </c>
    </row>
    <row r="274" spans="1:61" s="2464" customFormat="1">
      <c r="A274" s="2461"/>
      <c r="B274" s="2462"/>
      <c r="C274" s="2433"/>
      <c r="D274" s="2434"/>
      <c r="E274" s="2517" t="s">
        <v>988</v>
      </c>
      <c r="F274" s="2466" t="s">
        <v>492</v>
      </c>
      <c r="G274" s="2467" t="s">
        <v>492</v>
      </c>
      <c r="H274" s="2442">
        <f t="shared" ref="H274:AL274" si="139">H221*H272</f>
        <v>3.8600562265370265E-7</v>
      </c>
      <c r="I274" s="2442">
        <f t="shared" si="139"/>
        <v>3.8600562265370265E-7</v>
      </c>
      <c r="J274" s="2442">
        <f>J221*J272</f>
        <v>5.16014687723817E-8</v>
      </c>
      <c r="K274" s="2442">
        <f t="shared" si="139"/>
        <v>1.3651965237628587E-4</v>
      </c>
      <c r="L274" s="2442">
        <f t="shared" si="139"/>
        <v>9.9624436839804124E-5</v>
      </c>
      <c r="M274" s="2442">
        <f t="shared" si="139"/>
        <v>9.9624436839804124E-5</v>
      </c>
      <c r="N274" s="2442">
        <f>N221*N272</f>
        <v>3.8225502665360047E-5</v>
      </c>
      <c r="O274" s="2442">
        <f>O221*O272</f>
        <v>3.8225502665360047E-5</v>
      </c>
      <c r="P274" s="2442">
        <f t="shared" si="139"/>
        <v>2.1843144380205738E-4</v>
      </c>
      <c r="Q274" s="2442">
        <f t="shared" si="139"/>
        <v>2.1843144380205738E-4</v>
      </c>
      <c r="R274" s="2442">
        <f>R221*R272</f>
        <v>1.9112751332680024E-5</v>
      </c>
      <c r="S274" s="2442">
        <f>S221*S272</f>
        <v>1.0219359302039873E-4</v>
      </c>
      <c r="T274" s="2442">
        <f>T221*T272</f>
        <v>1.0219359302039873E-4</v>
      </c>
      <c r="U274" s="2442">
        <f t="shared" si="139"/>
        <v>2.0118685613347394E-4</v>
      </c>
      <c r="V274" s="2442">
        <f t="shared" si="139"/>
        <v>7.6451005330720105E-6</v>
      </c>
      <c r="W274" s="2442">
        <f t="shared" si="139"/>
        <v>7.6451005330720105E-6</v>
      </c>
      <c r="X274" s="2442">
        <f t="shared" si="139"/>
        <v>7.2795588709346115E-4</v>
      </c>
      <c r="Y274" s="2442">
        <f t="shared" si="139"/>
        <v>2.07934143636742E-5</v>
      </c>
      <c r="Z274" s="2442">
        <f t="shared" si="139"/>
        <v>1.4541523329542267E-5</v>
      </c>
      <c r="AA274" s="2442">
        <f t="shared" si="139"/>
        <v>1.0921572190102871E-5</v>
      </c>
      <c r="AB274" s="2442">
        <f t="shared" si="139"/>
        <v>1.0560020648872124E-5</v>
      </c>
      <c r="AC274" s="2442">
        <f t="shared" si="139"/>
        <v>3.4162925807487106E-6</v>
      </c>
      <c r="AD274" s="2442">
        <f t="shared" si="139"/>
        <v>8.1616752499357023E-7</v>
      </c>
      <c r="AE274" s="2442">
        <f t="shared" si="139"/>
        <v>0</v>
      </c>
      <c r="AF274" s="2442">
        <f t="shared" si="139"/>
        <v>0</v>
      </c>
      <c r="AG274" s="2442">
        <f t="shared" si="139"/>
        <v>4.1549459418869619E-7</v>
      </c>
      <c r="AH274" s="2442">
        <f t="shared" si="139"/>
        <v>4.1549459418869624E-7</v>
      </c>
      <c r="AI274" s="2442">
        <f t="shared" si="139"/>
        <v>6.1010959217943626E-6</v>
      </c>
      <c r="AJ274" s="2442">
        <f t="shared" si="139"/>
        <v>2.4137861360102345E-6</v>
      </c>
      <c r="AK274" s="2442">
        <f t="shared" si="139"/>
        <v>8.0816071576021001E-7</v>
      </c>
      <c r="AL274" s="2442">
        <f t="shared" si="139"/>
        <v>0</v>
      </c>
      <c r="AM274" s="2442">
        <f t="shared" ref="AM274:BI274" si="140">AM221*AM272</f>
        <v>0</v>
      </c>
      <c r="AN274" s="2442">
        <f t="shared" si="140"/>
        <v>2.1805521215720119E-5</v>
      </c>
      <c r="AO274" s="2442">
        <f t="shared" si="140"/>
        <v>0</v>
      </c>
      <c r="AP274" s="2442">
        <f t="shared" si="140"/>
        <v>0</v>
      </c>
      <c r="AQ274" s="2442">
        <f t="shared" si="140"/>
        <v>0</v>
      </c>
      <c r="AR274" s="2442">
        <f t="shared" si="140"/>
        <v>0</v>
      </c>
      <c r="AS274" s="2442">
        <f t="shared" si="140"/>
        <v>0</v>
      </c>
      <c r="AT274" s="2442">
        <f t="shared" si="140"/>
        <v>0</v>
      </c>
      <c r="AU274" s="2442">
        <f t="shared" si="140"/>
        <v>0</v>
      </c>
      <c r="AV274" s="2442">
        <f t="shared" si="140"/>
        <v>0</v>
      </c>
      <c r="AW274" s="2442">
        <f t="shared" si="140"/>
        <v>0</v>
      </c>
      <c r="AX274" s="2442">
        <f t="shared" si="140"/>
        <v>0</v>
      </c>
      <c r="AY274" s="2442">
        <f t="shared" si="140"/>
        <v>0</v>
      </c>
      <c r="AZ274" s="2442">
        <f t="shared" si="140"/>
        <v>0</v>
      </c>
      <c r="BA274" s="2442">
        <f t="shared" si="140"/>
        <v>0</v>
      </c>
      <c r="BB274" s="2442">
        <f t="shared" si="140"/>
        <v>0</v>
      </c>
      <c r="BC274" s="2442">
        <f t="shared" si="140"/>
        <v>0</v>
      </c>
      <c r="BD274" s="2442">
        <f t="shared" si="140"/>
        <v>1.3678626497149405E-6</v>
      </c>
      <c r="BE274" s="2442">
        <f t="shared" si="140"/>
        <v>5.059090239891666E-8</v>
      </c>
      <c r="BF274" s="2442">
        <f t="shared" si="140"/>
        <v>2.529545119945833E-8</v>
      </c>
      <c r="BG274" s="2442">
        <f t="shared" si="140"/>
        <v>0.11467650799608015</v>
      </c>
      <c r="BH274" s="2442">
        <f t="shared" si="140"/>
        <v>6.1405842552538168E-5</v>
      </c>
      <c r="BI274" s="2442">
        <f t="shared" si="140"/>
        <v>1.317830496875737E-4</v>
      </c>
    </row>
    <row r="275" spans="1:61" s="2529" customFormat="1">
      <c r="A275" s="2527"/>
      <c r="B275" s="2528"/>
      <c r="C275" s="2433"/>
      <c r="D275" s="2434"/>
      <c r="E275" s="2518" t="s">
        <v>991</v>
      </c>
      <c r="F275" s="2468" t="s">
        <v>213</v>
      </c>
      <c r="G275" s="2469" t="s">
        <v>213</v>
      </c>
      <c r="H275" s="2470">
        <f t="shared" ref="H275:AL275" si="141">H221*H273</f>
        <v>0</v>
      </c>
      <c r="I275" s="2470">
        <f t="shared" si="141"/>
        <v>0</v>
      </c>
      <c r="J275" s="2470">
        <f>J221*J273</f>
        <v>0</v>
      </c>
      <c r="K275" s="2470">
        <f t="shared" si="141"/>
        <v>1.092157219010287E-10</v>
      </c>
      <c r="L275" s="2470">
        <f t="shared" si="141"/>
        <v>0</v>
      </c>
      <c r="M275" s="2470">
        <f t="shared" si="141"/>
        <v>0</v>
      </c>
      <c r="N275" s="2470">
        <f>N221*N273</f>
        <v>2.1843144380205746E-10</v>
      </c>
      <c r="O275" s="2470">
        <f>O221*O273</f>
        <v>2.1843144380205746E-10</v>
      </c>
      <c r="P275" s="2470">
        <f t="shared" si="141"/>
        <v>6.4437275921606947E-10</v>
      </c>
      <c r="Q275" s="2470">
        <f t="shared" si="141"/>
        <v>6.4437275921606947E-10</v>
      </c>
      <c r="R275" s="2470">
        <f>R221*R273</f>
        <v>1.0921572190102872E-10</v>
      </c>
      <c r="S275" s="2470">
        <f>S221*S273</f>
        <v>2.5119616037236608E-9</v>
      </c>
      <c r="T275" s="2470">
        <f>T221*T273</f>
        <v>2.5119616037236608E-9</v>
      </c>
      <c r="U275" s="2470">
        <f t="shared" si="141"/>
        <v>4.5870603198432061E-9</v>
      </c>
      <c r="V275" s="2470">
        <f t="shared" si="141"/>
        <v>0</v>
      </c>
      <c r="W275" s="2470">
        <f t="shared" si="141"/>
        <v>0</v>
      </c>
      <c r="X275" s="2470">
        <f t="shared" si="141"/>
        <v>6.5529433140617227E-10</v>
      </c>
      <c r="Y275" s="2470">
        <f t="shared" si="141"/>
        <v>0</v>
      </c>
      <c r="Z275" s="2470">
        <f t="shared" si="141"/>
        <v>2.730393047525718E-10</v>
      </c>
      <c r="AA275" s="2470">
        <f t="shared" si="141"/>
        <v>0</v>
      </c>
      <c r="AB275" s="2470">
        <f t="shared" si="141"/>
        <v>0</v>
      </c>
      <c r="AC275" s="2470">
        <f t="shared" si="141"/>
        <v>0</v>
      </c>
      <c r="AD275" s="2470">
        <f t="shared" si="141"/>
        <v>0</v>
      </c>
      <c r="AE275" s="2470">
        <f t="shared" si="141"/>
        <v>0</v>
      </c>
      <c r="AF275" s="2470">
        <f t="shared" si="141"/>
        <v>0</v>
      </c>
      <c r="AG275" s="2470">
        <f t="shared" si="141"/>
        <v>0</v>
      </c>
      <c r="AH275" s="2470">
        <f t="shared" si="141"/>
        <v>0</v>
      </c>
      <c r="AI275" s="2470">
        <f t="shared" si="141"/>
        <v>0</v>
      </c>
      <c r="AJ275" s="2470">
        <f t="shared" si="141"/>
        <v>0</v>
      </c>
      <c r="AK275" s="2470">
        <f t="shared" si="141"/>
        <v>0</v>
      </c>
      <c r="AL275" s="2470">
        <f t="shared" si="141"/>
        <v>0</v>
      </c>
      <c r="AM275" s="2470">
        <f t="shared" ref="AM275:BI275" si="142">AM221*AM273</f>
        <v>0</v>
      </c>
      <c r="AN275" s="2470">
        <f t="shared" si="142"/>
        <v>7.5244698673296368E-10</v>
      </c>
      <c r="AO275" s="2470">
        <f t="shared" si="142"/>
        <v>8.8888991424658489E-12</v>
      </c>
      <c r="AP275" s="2470">
        <f t="shared" si="142"/>
        <v>1.2740140921269736E-11</v>
      </c>
      <c r="AQ275" s="2470">
        <f t="shared" si="142"/>
        <v>6.1528048025407084E-12</v>
      </c>
      <c r="AR275" s="2470">
        <f t="shared" si="142"/>
        <v>1.4639639809664613E-12</v>
      </c>
      <c r="AS275" s="2470">
        <f t="shared" si="142"/>
        <v>1.8414264473851067E-11</v>
      </c>
      <c r="AT275" s="2470">
        <f t="shared" si="142"/>
        <v>1.4097034879104088E-13</v>
      </c>
      <c r="AU275" s="2470">
        <f t="shared" si="142"/>
        <v>1.3748922066825181E-13</v>
      </c>
      <c r="AV275" s="2470">
        <f t="shared" si="142"/>
        <v>2.0942240929251294E-12</v>
      </c>
      <c r="AW275" s="2470">
        <f t="shared" si="142"/>
        <v>2.1267251605101266E-13</v>
      </c>
      <c r="AX275" s="2470">
        <f t="shared" si="142"/>
        <v>4.7123549867678784E-13</v>
      </c>
      <c r="AY275" s="2470">
        <f t="shared" si="142"/>
        <v>3.2342189327603867E-13</v>
      </c>
      <c r="AZ275" s="2470">
        <f t="shared" si="142"/>
        <v>2.8951434976049976E-12</v>
      </c>
      <c r="BA275" s="2470">
        <f t="shared" si="142"/>
        <v>6.6962494665070123E-13</v>
      </c>
      <c r="BB275" s="2470">
        <f t="shared" si="142"/>
        <v>1.6732519233141021E-14</v>
      </c>
      <c r="BC275" s="2470">
        <f t="shared" si="142"/>
        <v>3.971011840291301E-14</v>
      </c>
      <c r="BD275" s="2470">
        <f t="shared" si="142"/>
        <v>0</v>
      </c>
      <c r="BE275" s="2470">
        <f t="shared" si="142"/>
        <v>3.1774970949575733E-12</v>
      </c>
      <c r="BF275" s="2470">
        <f t="shared" si="142"/>
        <v>1.5887485474787867E-12</v>
      </c>
      <c r="BG275" s="2470">
        <f t="shared" si="142"/>
        <v>0</v>
      </c>
      <c r="BH275" s="2470">
        <f t="shared" si="142"/>
        <v>0</v>
      </c>
      <c r="BI275" s="2470">
        <f t="shared" si="142"/>
        <v>0</v>
      </c>
    </row>
    <row r="276" spans="1:61" s="26" customFormat="1">
      <c r="A276" s="398"/>
      <c r="B276" s="27"/>
      <c r="C276" s="2425"/>
      <c r="D276" s="2426"/>
      <c r="E276" s="103"/>
      <c r="F276" s="14"/>
      <c r="G276" s="105"/>
      <c r="H276" s="113"/>
      <c r="I276" s="113"/>
      <c r="J276" s="113"/>
      <c r="K276" s="113"/>
      <c r="L276" s="113"/>
      <c r="M276" s="113"/>
      <c r="N276" s="113"/>
      <c r="O276" s="113"/>
      <c r="P276" s="113"/>
      <c r="Q276" s="113"/>
      <c r="R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row>
    <row r="277" spans="1:61" s="2443" customFormat="1" ht="12.75" customHeight="1">
      <c r="A277" s="2438"/>
      <c r="B277" s="2439"/>
      <c r="C277" s="4110" t="s">
        <v>586</v>
      </c>
      <c r="D277" s="4111"/>
      <c r="E277" s="2517" t="s">
        <v>988</v>
      </c>
      <c r="F277" s="2466" t="s">
        <v>492</v>
      </c>
      <c r="G277" s="2467" t="s">
        <v>492</v>
      </c>
      <c r="H277" s="2442">
        <f>MAX(H266,H274)</f>
        <v>3.8600562265370265E-7</v>
      </c>
      <c r="I277" s="2442">
        <f t="shared" ref="I277:BI277" si="143">MAX(I266,I274)</f>
        <v>3.8600562265370265E-7</v>
      </c>
      <c r="J277" s="2442">
        <f>MAX(J266,J274)</f>
        <v>5.16014687723817E-8</v>
      </c>
      <c r="K277" s="2442">
        <f t="shared" si="143"/>
        <v>1.3651965237628587E-4</v>
      </c>
      <c r="L277" s="2442">
        <f t="shared" si="143"/>
        <v>9.9624436839804124E-5</v>
      </c>
      <c r="M277" s="2442">
        <f t="shared" si="143"/>
        <v>9.9624436839804124E-5</v>
      </c>
      <c r="N277" s="2442">
        <f>MAX(N266,N274)</f>
        <v>3.8225502665360047E-5</v>
      </c>
      <c r="O277" s="2442">
        <f>MAX(O266,O274)</f>
        <v>3.8225502665360047E-5</v>
      </c>
      <c r="P277" s="2442">
        <f t="shared" si="143"/>
        <v>2.1843144380205738E-4</v>
      </c>
      <c r="Q277" s="2442">
        <f t="shared" si="143"/>
        <v>2.1843144380205738E-4</v>
      </c>
      <c r="R277" s="2442">
        <f>MAX(R266,R274)</f>
        <v>1.9112751332680024E-5</v>
      </c>
      <c r="S277" s="2442">
        <f>MAX(S266,S274)</f>
        <v>1.0219359302039873E-4</v>
      </c>
      <c r="T277" s="2442">
        <f>MAX(T266,T274)</f>
        <v>1.0219359302039873E-4</v>
      </c>
      <c r="U277" s="2442">
        <f t="shared" si="143"/>
        <v>2.0118685613347394E-4</v>
      </c>
      <c r="V277" s="2442">
        <f t="shared" si="143"/>
        <v>7.6451005330720105E-6</v>
      </c>
      <c r="W277" s="2442">
        <f t="shared" si="143"/>
        <v>7.6451005330720105E-6</v>
      </c>
      <c r="X277" s="2442">
        <f t="shared" si="143"/>
        <v>7.2795588709346115E-4</v>
      </c>
      <c r="Y277" s="2442">
        <f t="shared" si="143"/>
        <v>2.07934143636742E-5</v>
      </c>
      <c r="Z277" s="2442">
        <f t="shared" si="143"/>
        <v>1.4541523329542267E-5</v>
      </c>
      <c r="AA277" s="2442">
        <f t="shared" si="143"/>
        <v>1.0921572190102871E-5</v>
      </c>
      <c r="AB277" s="2442">
        <f t="shared" si="143"/>
        <v>1.0560020648872124E-5</v>
      </c>
      <c r="AC277" s="2442">
        <f t="shared" si="143"/>
        <v>3.4162925807487106E-6</v>
      </c>
      <c r="AD277" s="2442">
        <f t="shared" si="143"/>
        <v>8.1616752499357023E-7</v>
      </c>
      <c r="AE277" s="2442">
        <f t="shared" si="143"/>
        <v>0</v>
      </c>
      <c r="AF277" s="2442">
        <f t="shared" si="143"/>
        <v>0</v>
      </c>
      <c r="AG277" s="2442">
        <f t="shared" si="143"/>
        <v>4.1549459418869619E-7</v>
      </c>
      <c r="AH277" s="2442">
        <f t="shared" si="143"/>
        <v>4.1549459418869624E-7</v>
      </c>
      <c r="AI277" s="2442">
        <f t="shared" si="143"/>
        <v>6.1010959217943626E-6</v>
      </c>
      <c r="AJ277" s="2442">
        <f t="shared" si="143"/>
        <v>2.4137861360102345E-6</v>
      </c>
      <c r="AK277" s="2442">
        <f t="shared" si="143"/>
        <v>8.0816071576021001E-7</v>
      </c>
      <c r="AL277" s="2442">
        <f t="shared" si="143"/>
        <v>0</v>
      </c>
      <c r="AM277" s="2442">
        <f t="shared" si="143"/>
        <v>0</v>
      </c>
      <c r="AN277" s="2442">
        <f t="shared" si="143"/>
        <v>2.1805521215720119E-5</v>
      </c>
      <c r="AO277" s="2442">
        <f t="shared" si="143"/>
        <v>0</v>
      </c>
      <c r="AP277" s="2442">
        <f t="shared" si="143"/>
        <v>0</v>
      </c>
      <c r="AQ277" s="2442">
        <f t="shared" si="143"/>
        <v>0</v>
      </c>
      <c r="AR277" s="2442">
        <f t="shared" si="143"/>
        <v>0</v>
      </c>
      <c r="AS277" s="2442">
        <f t="shared" si="143"/>
        <v>0</v>
      </c>
      <c r="AT277" s="2442">
        <f t="shared" si="143"/>
        <v>0</v>
      </c>
      <c r="AU277" s="2442">
        <f t="shared" si="143"/>
        <v>0</v>
      </c>
      <c r="AV277" s="2442">
        <f t="shared" si="143"/>
        <v>0</v>
      </c>
      <c r="AW277" s="2442">
        <f t="shared" si="143"/>
        <v>0</v>
      </c>
      <c r="AX277" s="2442">
        <f t="shared" si="143"/>
        <v>0</v>
      </c>
      <c r="AY277" s="2442">
        <f t="shared" si="143"/>
        <v>0</v>
      </c>
      <c r="AZ277" s="2442">
        <f t="shared" si="143"/>
        <v>0</v>
      </c>
      <c r="BA277" s="2442">
        <f t="shared" si="143"/>
        <v>0</v>
      </c>
      <c r="BB277" s="2442">
        <f t="shared" si="143"/>
        <v>0</v>
      </c>
      <c r="BC277" s="2442">
        <f t="shared" si="143"/>
        <v>0</v>
      </c>
      <c r="BD277" s="2442">
        <f t="shared" si="143"/>
        <v>1.3678626497149405E-6</v>
      </c>
      <c r="BE277" s="2442">
        <f t="shared" si="143"/>
        <v>5.059090239891666E-8</v>
      </c>
      <c r="BF277" s="2442">
        <f t="shared" si="143"/>
        <v>2.529545119945833E-8</v>
      </c>
      <c r="BG277" s="2442">
        <f t="shared" si="143"/>
        <v>0.11467650799608015</v>
      </c>
      <c r="BH277" s="2442">
        <f t="shared" si="143"/>
        <v>6.1405842552538168E-5</v>
      </c>
      <c r="BI277" s="2442">
        <f t="shared" si="143"/>
        <v>1.317830496875737E-4</v>
      </c>
    </row>
    <row r="278" spans="1:61" s="2483" customFormat="1">
      <c r="A278" s="2478"/>
      <c r="B278" s="2479"/>
      <c r="C278" s="4110"/>
      <c r="D278" s="4111"/>
      <c r="E278" s="2521" t="s">
        <v>991</v>
      </c>
      <c r="F278" s="2480" t="s">
        <v>213</v>
      </c>
      <c r="G278" s="2481" t="s">
        <v>213</v>
      </c>
      <c r="H278" s="2482">
        <f>H267+H275</f>
        <v>0</v>
      </c>
      <c r="I278" s="2482">
        <f t="shared" ref="I278:BI278" si="144">I267+I275</f>
        <v>0</v>
      </c>
      <c r="J278" s="2482">
        <f>J267+J275</f>
        <v>0</v>
      </c>
      <c r="K278" s="2482">
        <f t="shared" si="144"/>
        <v>1.092157219010287E-10</v>
      </c>
      <c r="L278" s="2482">
        <f t="shared" si="144"/>
        <v>0</v>
      </c>
      <c r="M278" s="2482">
        <f t="shared" si="144"/>
        <v>0</v>
      </c>
      <c r="N278" s="2482">
        <f>N267+N275</f>
        <v>2.1843144380205746E-10</v>
      </c>
      <c r="O278" s="2482">
        <f>O267+O275</f>
        <v>2.1843144380205746E-10</v>
      </c>
      <c r="P278" s="2482">
        <f t="shared" si="144"/>
        <v>6.4437275921606947E-10</v>
      </c>
      <c r="Q278" s="2482">
        <f t="shared" si="144"/>
        <v>6.4437275921606947E-10</v>
      </c>
      <c r="R278" s="2482">
        <f>R267+R275</f>
        <v>1.0921572190102872E-10</v>
      </c>
      <c r="S278" s="2482">
        <f>S267+S275</f>
        <v>2.5119616037236608E-9</v>
      </c>
      <c r="T278" s="2482">
        <f>T267+T275</f>
        <v>2.5119616037236608E-9</v>
      </c>
      <c r="U278" s="2482">
        <f t="shared" si="144"/>
        <v>4.5870603198432061E-9</v>
      </c>
      <c r="V278" s="2482">
        <f t="shared" si="144"/>
        <v>0</v>
      </c>
      <c r="W278" s="2482">
        <f t="shared" si="144"/>
        <v>0</v>
      </c>
      <c r="X278" s="2482">
        <f t="shared" si="144"/>
        <v>6.5529433140617227E-10</v>
      </c>
      <c r="Y278" s="2482">
        <f t="shared" si="144"/>
        <v>0</v>
      </c>
      <c r="Z278" s="2482">
        <f t="shared" si="144"/>
        <v>2.730393047525718E-10</v>
      </c>
      <c r="AA278" s="2482">
        <f t="shared" si="144"/>
        <v>0</v>
      </c>
      <c r="AB278" s="2482">
        <f t="shared" si="144"/>
        <v>0</v>
      </c>
      <c r="AC278" s="2482">
        <f t="shared" si="144"/>
        <v>0</v>
      </c>
      <c r="AD278" s="2482">
        <f t="shared" si="144"/>
        <v>0</v>
      </c>
      <c r="AE278" s="2482">
        <f t="shared" si="144"/>
        <v>0</v>
      </c>
      <c r="AF278" s="2482">
        <f t="shared" si="144"/>
        <v>0</v>
      </c>
      <c r="AG278" s="2482">
        <f t="shared" si="144"/>
        <v>0</v>
      </c>
      <c r="AH278" s="2482">
        <f t="shared" si="144"/>
        <v>0</v>
      </c>
      <c r="AI278" s="2482">
        <f t="shared" si="144"/>
        <v>0</v>
      </c>
      <c r="AJ278" s="2482">
        <f t="shared" si="144"/>
        <v>0</v>
      </c>
      <c r="AK278" s="2482">
        <f t="shared" si="144"/>
        <v>0</v>
      </c>
      <c r="AL278" s="2482">
        <f t="shared" si="144"/>
        <v>0</v>
      </c>
      <c r="AM278" s="2482">
        <f t="shared" si="144"/>
        <v>0</v>
      </c>
      <c r="AN278" s="2482">
        <f t="shared" si="144"/>
        <v>7.5244698673296368E-10</v>
      </c>
      <c r="AO278" s="2482">
        <f t="shared" si="144"/>
        <v>8.8888991424658489E-12</v>
      </c>
      <c r="AP278" s="2482">
        <f t="shared" si="144"/>
        <v>1.2740140921269736E-11</v>
      </c>
      <c r="AQ278" s="2482">
        <f t="shared" si="144"/>
        <v>6.1528048025407084E-12</v>
      </c>
      <c r="AR278" s="2482">
        <f t="shared" si="144"/>
        <v>1.4639639809664613E-12</v>
      </c>
      <c r="AS278" s="2482">
        <f t="shared" si="144"/>
        <v>1.8414264473851067E-11</v>
      </c>
      <c r="AT278" s="2482">
        <f t="shared" si="144"/>
        <v>1.4097034879104088E-13</v>
      </c>
      <c r="AU278" s="2482">
        <f t="shared" si="144"/>
        <v>1.3748922066825181E-13</v>
      </c>
      <c r="AV278" s="2482">
        <f t="shared" si="144"/>
        <v>2.0942240929251294E-12</v>
      </c>
      <c r="AW278" s="2482">
        <f t="shared" si="144"/>
        <v>2.1267251605101266E-13</v>
      </c>
      <c r="AX278" s="2482">
        <f t="shared" si="144"/>
        <v>4.7123549867678784E-13</v>
      </c>
      <c r="AY278" s="2482">
        <f t="shared" si="144"/>
        <v>3.2342189327603867E-13</v>
      </c>
      <c r="AZ278" s="2482">
        <f t="shared" si="144"/>
        <v>2.8951434976049976E-12</v>
      </c>
      <c r="BA278" s="2482">
        <f t="shared" si="144"/>
        <v>6.6962494665070123E-13</v>
      </c>
      <c r="BB278" s="2482">
        <f t="shared" si="144"/>
        <v>1.6732519233141021E-14</v>
      </c>
      <c r="BC278" s="2482">
        <f t="shared" si="144"/>
        <v>3.971011840291301E-14</v>
      </c>
      <c r="BD278" s="2482">
        <f t="shared" si="144"/>
        <v>0</v>
      </c>
      <c r="BE278" s="2482">
        <f t="shared" si="144"/>
        <v>3.1774970949575733E-12</v>
      </c>
      <c r="BF278" s="2482">
        <f t="shared" si="144"/>
        <v>1.5887485474787867E-12</v>
      </c>
      <c r="BG278" s="2482">
        <f t="shared" si="144"/>
        <v>0</v>
      </c>
      <c r="BH278" s="2482">
        <f t="shared" si="144"/>
        <v>0</v>
      </c>
      <c r="BI278" s="2482">
        <f t="shared" si="144"/>
        <v>0</v>
      </c>
    </row>
    <row r="279" spans="1:61" s="26" customFormat="1">
      <c r="A279" s="398"/>
      <c r="B279" s="27"/>
      <c r="C279" s="2425"/>
      <c r="D279" s="2426"/>
      <c r="E279" s="103"/>
      <c r="F279" s="14"/>
      <c r="G279" s="105"/>
      <c r="H279" s="113"/>
      <c r="I279" s="113"/>
      <c r="J279" s="113"/>
      <c r="K279" s="113"/>
      <c r="L279" s="113"/>
      <c r="M279" s="113"/>
      <c r="N279" s="113"/>
      <c r="O279" s="113"/>
      <c r="P279" s="113"/>
      <c r="Q279" s="113"/>
      <c r="R279" s="113"/>
      <c r="S279" s="113"/>
      <c r="T279" s="113"/>
      <c r="U279" s="113"/>
      <c r="V279" s="113"/>
      <c r="W279" s="113"/>
      <c r="X279" s="113"/>
      <c r="Y279" s="113"/>
      <c r="Z279" s="113"/>
      <c r="AA279" s="113"/>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row>
    <row r="280" spans="1:61" s="26" customFormat="1">
      <c r="A280" s="398"/>
      <c r="B280" s="27"/>
      <c r="C280" s="2425"/>
      <c r="D280" s="2426"/>
      <c r="E280" s="103" t="s">
        <v>989</v>
      </c>
      <c r="F280" s="14" t="str">
        <f>F$18</f>
        <v>Cs</v>
      </c>
      <c r="G280" s="105" t="str">
        <f>G$18</f>
        <v>mg/kg ms</v>
      </c>
      <c r="H280" s="56">
        <f t="shared" ref="H280:AM280" si="145">IF(H277=0,"PVL",H$15/MAX(H264,H272)/H$20)</f>
        <v>5181.2716774705141</v>
      </c>
      <c r="I280" s="56">
        <f t="shared" si="145"/>
        <v>5181.2716774705141</v>
      </c>
      <c r="J280" s="56">
        <f t="shared" si="145"/>
        <v>38758.586675549173</v>
      </c>
      <c r="K280" s="56">
        <f t="shared" si="145"/>
        <v>14.649905454545456</v>
      </c>
      <c r="L280" s="56">
        <f t="shared" si="145"/>
        <v>20.075395790853964</v>
      </c>
      <c r="M280" s="56">
        <f t="shared" si="145"/>
        <v>20.075395790853964</v>
      </c>
      <c r="N280" s="56">
        <f t="shared" si="145"/>
        <v>52.32109090909092</v>
      </c>
      <c r="O280" s="56">
        <f t="shared" si="145"/>
        <v>52.32109090909092</v>
      </c>
      <c r="P280" s="56">
        <f t="shared" si="145"/>
        <v>9.1561909090909115</v>
      </c>
      <c r="Q280" s="56">
        <f t="shared" si="145"/>
        <v>9.1561909090909115</v>
      </c>
      <c r="R280" s="56">
        <f t="shared" si="145"/>
        <v>104.64218181818184</v>
      </c>
      <c r="S280" s="56">
        <f t="shared" si="145"/>
        <v>19.570698523152846</v>
      </c>
      <c r="T280" s="56">
        <f t="shared" si="145"/>
        <v>19.570698523152846</v>
      </c>
      <c r="U280" s="56">
        <f t="shared" si="145"/>
        <v>9.9410072727272745</v>
      </c>
      <c r="V280" s="56">
        <f t="shared" si="145"/>
        <v>261.60545454545451</v>
      </c>
      <c r="W280" s="56">
        <f t="shared" si="145"/>
        <v>261.60545454545451</v>
      </c>
      <c r="X280" s="56">
        <f t="shared" si="145"/>
        <v>2.7474192261642125</v>
      </c>
      <c r="Y280" s="56">
        <f t="shared" si="145"/>
        <v>96.184299750885145</v>
      </c>
      <c r="Z280" s="56">
        <f t="shared" si="145"/>
        <v>137.53717232202493</v>
      </c>
      <c r="AA280" s="56">
        <f t="shared" si="145"/>
        <v>183.12381818181819</v>
      </c>
      <c r="AB280" s="56">
        <f t="shared" si="145"/>
        <v>189.39356905647836</v>
      </c>
      <c r="AC280" s="56">
        <f t="shared" si="145"/>
        <v>585.42995154170387</v>
      </c>
      <c r="AD280" s="56">
        <f t="shared" si="145"/>
        <v>2450.4773085841125</v>
      </c>
      <c r="AE280" s="56" t="str">
        <f t="shared" si="145"/>
        <v>PVL</v>
      </c>
      <c r="AF280" s="56" t="str">
        <f t="shared" si="145"/>
        <v>PVL</v>
      </c>
      <c r="AG280" s="56">
        <f t="shared" si="145"/>
        <v>4813.5403636363644</v>
      </c>
      <c r="AH280" s="56">
        <f t="shared" si="145"/>
        <v>4813.5403636363626</v>
      </c>
      <c r="AI280" s="56">
        <f t="shared" si="145"/>
        <v>327.80995834790781</v>
      </c>
      <c r="AJ280" s="56">
        <f t="shared" si="145"/>
        <v>828.57382025808442</v>
      </c>
      <c r="AK280" s="56">
        <f t="shared" si="145"/>
        <v>2474.7552819598091</v>
      </c>
      <c r="AL280" s="56" t="str">
        <f t="shared" si="145"/>
        <v>PVL</v>
      </c>
      <c r="AM280" s="56" t="str">
        <f t="shared" si="145"/>
        <v>PVL</v>
      </c>
      <c r="AN280" s="56">
        <f t="shared" ref="AN280:BI280" si="146">IF(AN277=0,"PVL",AN$15/MAX(AN264,AN272)/AN$20)</f>
        <v>91.719889665290481</v>
      </c>
      <c r="AO280" s="56" t="str">
        <f t="shared" si="146"/>
        <v>PVL</v>
      </c>
      <c r="AP280" s="56" t="str">
        <f t="shared" si="146"/>
        <v>PVL</v>
      </c>
      <c r="AQ280" s="56" t="str">
        <f t="shared" si="146"/>
        <v>PVL</v>
      </c>
      <c r="AR280" s="56" t="str">
        <f t="shared" si="146"/>
        <v>PVL</v>
      </c>
      <c r="AS280" s="56" t="str">
        <f t="shared" si="146"/>
        <v>PVL</v>
      </c>
      <c r="AT280" s="56" t="str">
        <f t="shared" si="146"/>
        <v>PVL</v>
      </c>
      <c r="AU280" s="56" t="str">
        <f t="shared" si="146"/>
        <v>PVL</v>
      </c>
      <c r="AV280" s="56" t="str">
        <f t="shared" si="146"/>
        <v>PVL</v>
      </c>
      <c r="AW280" s="56" t="str">
        <f t="shared" si="146"/>
        <v>PVL</v>
      </c>
      <c r="AX280" s="56" t="str">
        <f t="shared" si="146"/>
        <v>PVL</v>
      </c>
      <c r="AY280" s="56" t="str">
        <f t="shared" si="146"/>
        <v>PVL</v>
      </c>
      <c r="AZ280" s="56" t="str">
        <f t="shared" si="146"/>
        <v>PVL</v>
      </c>
      <c r="BA280" s="56" t="str">
        <f t="shared" si="146"/>
        <v>PVL</v>
      </c>
      <c r="BB280" s="56" t="str">
        <f t="shared" si="146"/>
        <v>PVL</v>
      </c>
      <c r="BC280" s="56" t="str">
        <f t="shared" si="146"/>
        <v>PVL</v>
      </c>
      <c r="BD280" s="56">
        <f t="shared" si="146"/>
        <v>1462.1351057555348</v>
      </c>
      <c r="BE280" s="56">
        <f t="shared" si="146"/>
        <v>39532.799479038891</v>
      </c>
      <c r="BF280" s="56">
        <f t="shared" si="146"/>
        <v>79065.598958077782</v>
      </c>
      <c r="BG280" s="56">
        <f t="shared" si="146"/>
        <v>7.8481636363636371E-3</v>
      </c>
      <c r="BH280" s="56">
        <f t="shared" si="146"/>
        <v>32.570190666935673</v>
      </c>
      <c r="BI280" s="56">
        <f t="shared" si="146"/>
        <v>15.176458616958138</v>
      </c>
    </row>
    <row r="281" spans="1:61" s="26" customFormat="1">
      <c r="A281" s="398"/>
      <c r="B281" s="27"/>
      <c r="C281" s="2425"/>
      <c r="D281" s="2426"/>
      <c r="E281" s="103" t="s">
        <v>992</v>
      </c>
      <c r="F281" s="14" t="str">
        <f>F280</f>
        <v>Cs</v>
      </c>
      <c r="G281" s="105" t="str">
        <f>G280</f>
        <v>mg/kg ms</v>
      </c>
      <c r="H281" s="56" t="str">
        <f t="shared" ref="H281:AM281" si="147">IF(H278=0,"PVL",H$16/(H265+H273)/H$20)</f>
        <v>PVL</v>
      </c>
      <c r="I281" s="56" t="str">
        <f t="shared" si="147"/>
        <v>PVL</v>
      </c>
      <c r="J281" s="56" t="str">
        <f t="shared" si="147"/>
        <v>PVL</v>
      </c>
      <c r="K281" s="56">
        <f t="shared" si="147"/>
        <v>91.561909090909097</v>
      </c>
      <c r="L281" s="56" t="str">
        <f t="shared" si="147"/>
        <v>PVL</v>
      </c>
      <c r="M281" s="56" t="str">
        <f t="shared" si="147"/>
        <v>PVL</v>
      </c>
      <c r="N281" s="56">
        <f t="shared" si="147"/>
        <v>45.780954545454541</v>
      </c>
      <c r="O281" s="56">
        <f t="shared" si="147"/>
        <v>45.780954545454541</v>
      </c>
      <c r="P281" s="56">
        <f t="shared" si="147"/>
        <v>15.518967642526961</v>
      </c>
      <c r="Q281" s="56">
        <f t="shared" si="147"/>
        <v>15.518967642526961</v>
      </c>
      <c r="R281" s="56">
        <f t="shared" si="147"/>
        <v>91.561909090909097</v>
      </c>
      <c r="S281" s="56">
        <f t="shared" si="147"/>
        <v>3.9809525691699599</v>
      </c>
      <c r="T281" s="56">
        <f t="shared" si="147"/>
        <v>3.9809525691699599</v>
      </c>
      <c r="U281" s="56">
        <f t="shared" si="147"/>
        <v>2.1800454545454544</v>
      </c>
      <c r="V281" s="56" t="str">
        <f t="shared" si="147"/>
        <v>PVL</v>
      </c>
      <c r="W281" s="56" t="str">
        <f t="shared" si="147"/>
        <v>PVL</v>
      </c>
      <c r="X281" s="56">
        <f t="shared" si="147"/>
        <v>15.260318181818182</v>
      </c>
      <c r="Y281" s="56" t="str">
        <f t="shared" si="147"/>
        <v>PVL</v>
      </c>
      <c r="Z281" s="56">
        <f t="shared" si="147"/>
        <v>36.624763636363639</v>
      </c>
      <c r="AA281" s="56" t="str">
        <f t="shared" si="147"/>
        <v>PVL</v>
      </c>
      <c r="AB281" s="56" t="str">
        <f t="shared" si="147"/>
        <v>PVL</v>
      </c>
      <c r="AC281" s="56" t="str">
        <f t="shared" si="147"/>
        <v>PVL</v>
      </c>
      <c r="AD281" s="56" t="str">
        <f t="shared" si="147"/>
        <v>PVL</v>
      </c>
      <c r="AE281" s="56" t="str">
        <f t="shared" si="147"/>
        <v>PVL</v>
      </c>
      <c r="AF281" s="56" t="str">
        <f t="shared" si="147"/>
        <v>PVL</v>
      </c>
      <c r="AG281" s="56" t="str">
        <f t="shared" si="147"/>
        <v>PVL</v>
      </c>
      <c r="AH281" s="56" t="str">
        <f t="shared" si="147"/>
        <v>PVL</v>
      </c>
      <c r="AI281" s="56" t="str">
        <f t="shared" si="147"/>
        <v>PVL</v>
      </c>
      <c r="AJ281" s="56" t="str">
        <f t="shared" si="147"/>
        <v>PVL</v>
      </c>
      <c r="AK281" s="56" t="str">
        <f t="shared" si="147"/>
        <v>PVL</v>
      </c>
      <c r="AL281" s="56" t="str">
        <f t="shared" si="147"/>
        <v>PVL</v>
      </c>
      <c r="AM281" s="56" t="str">
        <f t="shared" si="147"/>
        <v>PVL</v>
      </c>
      <c r="AN281" s="56">
        <f t="shared" ref="AN281:BI281" si="148">IF(AN278=0,"PVL",AN$16/(AN265+AN273)/AN$20)</f>
        <v>13.289972817113433</v>
      </c>
      <c r="AO281" s="56">
        <f t="shared" si="148"/>
        <v>1124.9987022831629</v>
      </c>
      <c r="AP281" s="56">
        <f t="shared" si="148"/>
        <v>784.9206740959155</v>
      </c>
      <c r="AQ281" s="56">
        <f t="shared" si="148"/>
        <v>1625.2750283692815</v>
      </c>
      <c r="AR281" s="56">
        <f t="shared" si="148"/>
        <v>6830.7691514365852</v>
      </c>
      <c r="AS281" s="56">
        <f t="shared" si="148"/>
        <v>543.057259452332</v>
      </c>
      <c r="AT281" s="56">
        <f t="shared" si="148"/>
        <v>70936.903297465164</v>
      </c>
      <c r="AU281" s="56">
        <f t="shared" si="148"/>
        <v>72732.974639001215</v>
      </c>
      <c r="AV281" s="56">
        <f t="shared" si="148"/>
        <v>4775.0381794301657</v>
      </c>
      <c r="AW281" s="56">
        <f t="shared" si="148"/>
        <v>47020.650273406041</v>
      </c>
      <c r="AX281" s="56">
        <f t="shared" si="148"/>
        <v>21220.812158845496</v>
      </c>
      <c r="AY281" s="56">
        <f t="shared" si="148"/>
        <v>30919.36633821217</v>
      </c>
      <c r="AZ281" s="56">
        <f t="shared" si="148"/>
        <v>3454.06022474274</v>
      </c>
      <c r="BA281" s="56">
        <f t="shared" si="148"/>
        <v>14933.732755951718</v>
      </c>
      <c r="BB281" s="56">
        <f t="shared" si="148"/>
        <v>597638.63771294197</v>
      </c>
      <c r="BC281" s="56">
        <f t="shared" si="148"/>
        <v>251824.98572621812</v>
      </c>
      <c r="BD281" s="56" t="str">
        <f t="shared" si="148"/>
        <v>PVL</v>
      </c>
      <c r="BE281" s="56">
        <f t="shared" si="148"/>
        <v>3147.1311227535593</v>
      </c>
      <c r="BF281" s="56">
        <f t="shared" si="148"/>
        <v>6294.2622455071187</v>
      </c>
      <c r="BG281" s="56" t="str">
        <f t="shared" si="148"/>
        <v>PVL</v>
      </c>
      <c r="BH281" s="56" t="str">
        <f t="shared" si="148"/>
        <v>PVL</v>
      </c>
      <c r="BI281" s="56" t="str">
        <f t="shared" si="148"/>
        <v>PVL</v>
      </c>
    </row>
    <row r="282" spans="1:61" s="26" customFormat="1" ht="13.5" thickBot="1">
      <c r="A282" s="17"/>
      <c r="B282" s="27"/>
      <c r="C282" s="2425"/>
      <c r="D282" s="2426"/>
      <c r="E282" s="103" t="s">
        <v>493</v>
      </c>
      <c r="F282" s="14" t="str">
        <f>F281</f>
        <v>Cs</v>
      </c>
      <c r="G282" s="620" t="str">
        <f>G281</f>
        <v>mg/kg ms</v>
      </c>
      <c r="H282" s="113">
        <f t="shared" ref="H282:BI282" si="149">IF(MIN(H280:H281)&gt;0,MIN(H280:H281),H280)</f>
        <v>5181.2716774705141</v>
      </c>
      <c r="I282" s="113">
        <f t="shared" si="149"/>
        <v>5181.2716774705141</v>
      </c>
      <c r="J282" s="113">
        <f>IF(MIN(J280:J281)&gt;0,MIN(J280:J281),J280)</f>
        <v>38758.586675549173</v>
      </c>
      <c r="K282" s="113">
        <f t="shared" si="149"/>
        <v>14.649905454545456</v>
      </c>
      <c r="L282" s="113">
        <f t="shared" si="149"/>
        <v>20.075395790853964</v>
      </c>
      <c r="M282" s="113">
        <f t="shared" si="149"/>
        <v>20.075395790853964</v>
      </c>
      <c r="N282" s="113">
        <f>IF(MIN(N280:N281)&gt;0,MIN(N280:N281),N280)</f>
        <v>45.780954545454541</v>
      </c>
      <c r="O282" s="113">
        <f>IF(MIN(O280:O281)&gt;0,MIN(O280:O281),O280)</f>
        <v>45.780954545454541</v>
      </c>
      <c r="P282" s="113">
        <f t="shared" si="149"/>
        <v>9.1561909090909115</v>
      </c>
      <c r="Q282" s="113">
        <f t="shared" si="149"/>
        <v>9.1561909090909115</v>
      </c>
      <c r="R282" s="113">
        <f>IF(MIN(R280:R281)&gt;0,MIN(R280:R281),R280)</f>
        <v>91.561909090909097</v>
      </c>
      <c r="S282" s="113">
        <f>IF(MIN(S280:S281)&gt;0,MIN(S280:S281),S280)</f>
        <v>3.9809525691699599</v>
      </c>
      <c r="T282" s="113">
        <f>IF(MIN(T280:T281)&gt;0,MIN(T280:T281),T280)</f>
        <v>3.9809525691699599</v>
      </c>
      <c r="U282" s="113">
        <f t="shared" si="149"/>
        <v>2.1800454545454544</v>
      </c>
      <c r="V282" s="113">
        <f t="shared" si="149"/>
        <v>261.60545454545451</v>
      </c>
      <c r="W282" s="113">
        <f t="shared" si="149"/>
        <v>261.60545454545451</v>
      </c>
      <c r="X282" s="113">
        <f t="shared" si="149"/>
        <v>2.7474192261642125</v>
      </c>
      <c r="Y282" s="113">
        <f t="shared" si="149"/>
        <v>96.184299750885145</v>
      </c>
      <c r="Z282" s="113">
        <f t="shared" si="149"/>
        <v>36.624763636363639</v>
      </c>
      <c r="AA282" s="113">
        <f t="shared" si="149"/>
        <v>183.12381818181819</v>
      </c>
      <c r="AB282" s="113">
        <f t="shared" si="149"/>
        <v>189.39356905647836</v>
      </c>
      <c r="AC282" s="113">
        <f t="shared" si="149"/>
        <v>585.42995154170387</v>
      </c>
      <c r="AD282" s="113">
        <f t="shared" si="149"/>
        <v>2450.4773085841125</v>
      </c>
      <c r="AE282" s="113" t="str">
        <f t="shared" si="149"/>
        <v>PVL</v>
      </c>
      <c r="AF282" s="113" t="str">
        <f t="shared" si="149"/>
        <v>PVL</v>
      </c>
      <c r="AG282" s="113">
        <f t="shared" si="149"/>
        <v>4813.5403636363644</v>
      </c>
      <c r="AH282" s="113">
        <f t="shared" si="149"/>
        <v>4813.5403636363626</v>
      </c>
      <c r="AI282" s="113">
        <f t="shared" si="149"/>
        <v>327.80995834790781</v>
      </c>
      <c r="AJ282" s="113">
        <f t="shared" si="149"/>
        <v>828.57382025808442</v>
      </c>
      <c r="AK282" s="113">
        <f t="shared" si="149"/>
        <v>2474.7552819598091</v>
      </c>
      <c r="AL282" s="113" t="str">
        <f t="shared" si="149"/>
        <v>PVL</v>
      </c>
      <c r="AM282" s="113" t="str">
        <f t="shared" si="149"/>
        <v>PVL</v>
      </c>
      <c r="AN282" s="113">
        <f t="shared" si="149"/>
        <v>13.289972817113433</v>
      </c>
      <c r="AO282" s="113">
        <f t="shared" si="149"/>
        <v>1124.9987022831629</v>
      </c>
      <c r="AP282" s="113">
        <f t="shared" si="149"/>
        <v>784.9206740959155</v>
      </c>
      <c r="AQ282" s="113">
        <f t="shared" si="149"/>
        <v>1625.2750283692815</v>
      </c>
      <c r="AR282" s="113">
        <f t="shared" si="149"/>
        <v>6830.7691514365852</v>
      </c>
      <c r="AS282" s="113">
        <f t="shared" si="149"/>
        <v>543.057259452332</v>
      </c>
      <c r="AT282" s="113">
        <f t="shared" si="149"/>
        <v>70936.903297465164</v>
      </c>
      <c r="AU282" s="113">
        <f t="shared" si="149"/>
        <v>72732.974639001215</v>
      </c>
      <c r="AV282" s="113">
        <f t="shared" si="149"/>
        <v>4775.0381794301657</v>
      </c>
      <c r="AW282" s="113">
        <f t="shared" si="149"/>
        <v>47020.650273406041</v>
      </c>
      <c r="AX282" s="113">
        <f t="shared" si="149"/>
        <v>21220.812158845496</v>
      </c>
      <c r="AY282" s="113">
        <f t="shared" si="149"/>
        <v>30919.36633821217</v>
      </c>
      <c r="AZ282" s="113">
        <f t="shared" si="149"/>
        <v>3454.06022474274</v>
      </c>
      <c r="BA282" s="113">
        <f t="shared" si="149"/>
        <v>14933.732755951718</v>
      </c>
      <c r="BB282" s="113">
        <f t="shared" si="149"/>
        <v>597638.63771294197</v>
      </c>
      <c r="BC282" s="113">
        <f t="shared" si="149"/>
        <v>251824.98572621812</v>
      </c>
      <c r="BD282" s="113">
        <f t="shared" si="149"/>
        <v>1462.1351057555348</v>
      </c>
      <c r="BE282" s="113">
        <f t="shared" si="149"/>
        <v>3147.1311227535593</v>
      </c>
      <c r="BF282" s="113">
        <f t="shared" si="149"/>
        <v>6294.2622455071187</v>
      </c>
      <c r="BG282" s="113">
        <f t="shared" si="149"/>
        <v>7.8481636363636371E-3</v>
      </c>
      <c r="BH282" s="113">
        <f t="shared" si="149"/>
        <v>32.570190666935673</v>
      </c>
      <c r="BI282" s="113">
        <f t="shared" si="149"/>
        <v>15.176458616958138</v>
      </c>
    </row>
    <row r="283" spans="1:61" s="481" customFormat="1">
      <c r="A283" s="476"/>
      <c r="B283" s="477"/>
      <c r="C283" s="2425"/>
      <c r="D283" s="2426"/>
      <c r="E283" s="478" t="s">
        <v>499</v>
      </c>
      <c r="F283" s="479" t="s">
        <v>19</v>
      </c>
      <c r="G283" s="2490" t="s">
        <v>20</v>
      </c>
      <c r="H283" s="480">
        <f>IF(H282&lt;'3phas'!H23,H282,"PVL")</f>
        <v>5181.2716774705141</v>
      </c>
      <c r="I283" s="480">
        <f>IF(I282&lt;'3phas'!I23,I282,"PVL")</f>
        <v>5181.2716774705141</v>
      </c>
      <c r="J283" s="480">
        <f>IF(J282&lt;'3phas'!J23,J282,"PVL")</f>
        <v>38758.586675549173</v>
      </c>
      <c r="K283" s="480">
        <f>IF(K282&lt;'3phas'!K23,K282,"PVL")</f>
        <v>14.649905454545456</v>
      </c>
      <c r="L283" s="480">
        <f>IF(L282&lt;'3phas'!L23,L282,"PVL")</f>
        <v>20.075395790853964</v>
      </c>
      <c r="M283" s="480">
        <f>IF(M282&lt;'3phas'!M23,M282,"PVL")</f>
        <v>20.075395790853964</v>
      </c>
      <c r="N283" s="480">
        <f>IF(N282&lt;'3phas'!N23,N282,"PVL")</f>
        <v>45.780954545454541</v>
      </c>
      <c r="O283" s="480">
        <f>IF(O282&lt;'3phas'!O23,O282,"PVL")</f>
        <v>45.780954545454541</v>
      </c>
      <c r="P283" s="480">
        <f>IF(P282&lt;'3phas'!P23,P282,"PVL")</f>
        <v>9.1561909090909115</v>
      </c>
      <c r="Q283" s="480">
        <f>IF(Q282&lt;'3phas'!Q23,Q282,"PVL")</f>
        <v>9.1561909090909115</v>
      </c>
      <c r="R283" s="480">
        <f>IF(R282&lt;'3phas'!R23,R282,"PVL")</f>
        <v>91.561909090909097</v>
      </c>
      <c r="S283" s="480">
        <f>IF(S282&lt;'3phas'!S23,S282,"PVL")</f>
        <v>3.9809525691699599</v>
      </c>
      <c r="T283" s="480">
        <f>IF(T282&lt;'3phas'!T23,T282,"PVL")</f>
        <v>3.9809525691699599</v>
      </c>
      <c r="U283" s="480">
        <f>IF(U282&lt;'3phas'!U23,U282,"PVL")</f>
        <v>2.1800454545454544</v>
      </c>
      <c r="V283" s="480">
        <f>IF(V282&lt;'3phas'!V23,V282,"PVL")</f>
        <v>261.60545454545451</v>
      </c>
      <c r="W283" s="480">
        <f>IF(W282&lt;'3phas'!W23,W282,"PVL")</f>
        <v>261.60545454545451</v>
      </c>
      <c r="X283" s="480">
        <f>IF(X282&lt;'3phas'!X23,X282,"PVL")</f>
        <v>2.7474192261642125</v>
      </c>
      <c r="Y283" s="480">
        <f>IF(Y282&lt;'3phas'!Y23,Y282,"PVL")</f>
        <v>96.184299750885145</v>
      </c>
      <c r="Z283" s="480">
        <f>IF(Z282&lt;'3phas'!Z23,Z282,"PVL")</f>
        <v>36.624763636363639</v>
      </c>
      <c r="AA283" s="480" t="str">
        <f>IF(AA282&lt;'3phas'!AA23,AA282,"PVL")</f>
        <v>PVL</v>
      </c>
      <c r="AB283" s="480" t="str">
        <f>IF(AB282&lt;'3phas'!AB23,AB282,"PVL")</f>
        <v>PVL</v>
      </c>
      <c r="AC283" s="480" t="str">
        <f>IF(AC282&lt;'3phas'!AC23,AC282,"PVL")</f>
        <v>PVL</v>
      </c>
      <c r="AD283" s="480" t="str">
        <f>IF(AD282&lt;'3phas'!AD23,AD282,"PVL")</f>
        <v>PVL</v>
      </c>
      <c r="AE283" s="480" t="str">
        <f>IF(AE282&lt;'3phas'!AE23,AE282,"PVL")</f>
        <v>PVL</v>
      </c>
      <c r="AF283" s="480" t="str">
        <f>IF(AF282&lt;'3phas'!AF23,AF282,"PVL")</f>
        <v>PVL</v>
      </c>
      <c r="AG283" s="480" t="str">
        <f>IF(AG282&lt;'3phas'!AG23,AG282,"PVL")</f>
        <v>PVL</v>
      </c>
      <c r="AH283" s="480" t="str">
        <f>IF(AH282&lt;'3phas'!AH23,AH282,"PVL")</f>
        <v>PVL</v>
      </c>
      <c r="AI283" s="480" t="str">
        <f>IF(AI282&lt;'3phas'!AI23,AI282,"PVL")</f>
        <v>PVL</v>
      </c>
      <c r="AJ283" s="480" t="str">
        <f>IF(AJ282&lt;'3phas'!AJ23,AJ282,"PVL")</f>
        <v>PVL</v>
      </c>
      <c r="AK283" s="480" t="str">
        <f>IF(AK282&lt;'3phas'!AK23,AK282,"PVL")</f>
        <v>PVL</v>
      </c>
      <c r="AL283" s="480" t="str">
        <f>IF(AL282&lt;'3phas'!AL23,AL282,"PVL")</f>
        <v>PVL</v>
      </c>
      <c r="AM283" s="480" t="str">
        <f>IF(AM282&lt;'3phas'!AM23,AM282,"PVL")</f>
        <v>PVL</v>
      </c>
      <c r="AN283" s="480">
        <f>IF(AN282&lt;'3phas'!AN23,AN282,"PVL")</f>
        <v>13.289972817113433</v>
      </c>
      <c r="AO283" s="480" t="str">
        <f>IF(AO282&lt;'3phas'!AO23,AO282,"PVL")</f>
        <v>PVL</v>
      </c>
      <c r="AP283" s="480" t="str">
        <f>IF(AP282&lt;'3phas'!AP23,AP282,"PVL")</f>
        <v>PVL</v>
      </c>
      <c r="AQ283" s="480" t="str">
        <f>IF(AQ282&lt;'3phas'!AQ23,AQ282,"PVL")</f>
        <v>PVL</v>
      </c>
      <c r="AR283" s="480" t="str">
        <f>IF(AR282&lt;'3phas'!AR23,AR282,"PVL")</f>
        <v>PVL</v>
      </c>
      <c r="AS283" s="480" t="str">
        <f>IF(AS282&lt;'3phas'!AS23,AS282,"PVL")</f>
        <v>PVL</v>
      </c>
      <c r="AT283" s="480" t="str">
        <f>IF(AT282&lt;'3phas'!AT23,AT282,"PVL")</f>
        <v>PVL</v>
      </c>
      <c r="AU283" s="480" t="str">
        <f>IF(AU282&lt;'3phas'!AU23,AU282,"PVL")</f>
        <v>PVL</v>
      </c>
      <c r="AV283" s="480" t="str">
        <f>IF(AV282&lt;'3phas'!AV23,AV282,"PVL")</f>
        <v>PVL</v>
      </c>
      <c r="AW283" s="480" t="str">
        <f>IF(AW282&lt;'3phas'!AW23,AW282,"PVL")</f>
        <v>PVL</v>
      </c>
      <c r="AX283" s="480" t="str">
        <f>IF(AX282&lt;'3phas'!AX23,AX282,"PVL")</f>
        <v>PVL</v>
      </c>
      <c r="AY283" s="480" t="str">
        <f>IF(AY282&lt;'3phas'!AY23,AY282,"PVL")</f>
        <v>PVL</v>
      </c>
      <c r="AZ283" s="480" t="str">
        <f>IF(AZ282&lt;'3phas'!AZ23,AZ282,"PVL")</f>
        <v>PVL</v>
      </c>
      <c r="BA283" s="480" t="str">
        <f>IF(BA282&lt;'3phas'!BA23,BA282,"PVL")</f>
        <v>PVL</v>
      </c>
      <c r="BB283" s="480" t="str">
        <f>IF(BB282&lt;'3phas'!BB23,BB282,"PVL")</f>
        <v>PVL</v>
      </c>
      <c r="BC283" s="480" t="str">
        <f>IF(BC282&lt;'3phas'!BC23,BC282,"PVL")</f>
        <v>PVL</v>
      </c>
      <c r="BD283" s="480">
        <f>IF(BD282&lt;'3phas'!BD23,BD282,"PVL")</f>
        <v>1462.1351057555348</v>
      </c>
      <c r="BE283" s="480" t="str">
        <f>IF(BE282&lt;'3phas'!BE23,BE282,"PVL")</f>
        <v>PVL</v>
      </c>
      <c r="BF283" s="480" t="str">
        <f>IF(BF282&lt;'3phas'!BF23,BF282,"PVL")</f>
        <v>PVL</v>
      </c>
      <c r="BG283" s="594">
        <f>BG282</f>
        <v>7.8481636363636371E-3</v>
      </c>
      <c r="BH283" s="480">
        <f>IF(BH282&lt;'3phas'!BH23,BH282,"PVL")</f>
        <v>32.570190666935673</v>
      </c>
      <c r="BI283" s="480">
        <f>IF(BI282&lt;'3phas'!BI23,BI282,"PVL")</f>
        <v>15.176458616958138</v>
      </c>
    </row>
    <row r="284" spans="1:61" s="403" customFormat="1" ht="13.5" thickBot="1">
      <c r="A284" s="402"/>
      <c r="B284" s="257"/>
      <c r="C284" s="2425"/>
      <c r="D284" s="2426"/>
      <c r="E284" s="258" t="s">
        <v>476</v>
      </c>
      <c r="F284" s="66" t="str">
        <f>'3phas'!F29</f>
        <v>Csao</v>
      </c>
      <c r="G284" s="620" t="s">
        <v>24</v>
      </c>
      <c r="H284" s="164">
        <f>IF(H283="PVL",H283,H283*'3phas'!H$26*1000)</f>
        <v>13650.016449233179</v>
      </c>
      <c r="I284" s="164">
        <f>IF(I283="PVL",I283,I283*'3phas'!I$26*1000)</f>
        <v>13650.016449233179</v>
      </c>
      <c r="J284" s="164">
        <f>IF(J283="PVL",J283,J283*'3phas'!J$26*1000)</f>
        <v>670316.77903774451</v>
      </c>
      <c r="K284" s="164">
        <f>IF(K283="PVL",K283,K283*'3phas'!K$26*1000)</f>
        <v>56450.681890396372</v>
      </c>
      <c r="L284" s="164">
        <f>IF(L283="PVL",L283,L283*'3phas'!L$26*1000)</f>
        <v>14463.095390339229</v>
      </c>
      <c r="M284" s="164">
        <f>IF(M283="PVL",M283,M283*'3phas'!M$26*1000)</f>
        <v>14463.095390339229</v>
      </c>
      <c r="N284" s="164">
        <f>IF(N283="PVL",N283,N283*'3phas'!N$26*1000)</f>
        <v>65051.551562152286</v>
      </c>
      <c r="O284" s="164">
        <f>IF(O283="PVL",O283,O283*'3phas'!O$26*1000)</f>
        <v>65051.551562152286</v>
      </c>
      <c r="P284" s="164">
        <f>IF(P283="PVL",P283,P283*'3phas'!P$26*1000)</f>
        <v>14203.890281984883</v>
      </c>
      <c r="Q284" s="164">
        <f>IF(Q283="PVL",Q283,Q283*'3phas'!Q$26*1000)</f>
        <v>14203.890281984883</v>
      </c>
      <c r="R284" s="164">
        <f>IF(R283="PVL",R283,R283*'3phas'!R$26*1000)</f>
        <v>57095.741629831115</v>
      </c>
      <c r="S284" s="164">
        <f>IF(S283="PVL",S283,S283*'3phas'!S$26*1000)</f>
        <v>2328.9496685225176</v>
      </c>
      <c r="T284" s="164">
        <f>IF(T283="PVL",T283,T283*'3phas'!T$26*1000)</f>
        <v>2328.9496685225176</v>
      </c>
      <c r="U284" s="164">
        <f>IF(U283="PVL",U283,U283*'3phas'!U$26*1000)</f>
        <v>6004.4201216823349</v>
      </c>
      <c r="V284" s="164">
        <f>IF(V283="PVL",V283,V283*'3phas'!V$26*1000)</f>
        <v>1179365.3413826337</v>
      </c>
      <c r="W284" s="164">
        <f>IF(W283="PVL",W283,W283*'3phas'!W$26*1000)</f>
        <v>1179365.3413826337</v>
      </c>
      <c r="X284" s="164">
        <f>IF(X283="PVL",X283,X283*'3phas'!X$26*1000)</f>
        <v>2376.1237053616665</v>
      </c>
      <c r="Y284" s="164">
        <f>IF(Y283="PVL",Y283,Y283*'3phas'!Y$26*1000)</f>
        <v>57652.542026547257</v>
      </c>
      <c r="Z284" s="164">
        <f>IF(Z283="PVL",Z283,Z283*'3phas'!Z$26*1000)</f>
        <v>13000.799391486573</v>
      </c>
      <c r="AA284" s="164" t="str">
        <f>IF(AA283="PVL",AA283,AA283*'3phas'!AA$26*1000)</f>
        <v>PVL</v>
      </c>
      <c r="AB284" s="164" t="str">
        <f>IF(AB283="PVL",AB283,AB283*'3phas'!AB$26*1000)</f>
        <v>PVL</v>
      </c>
      <c r="AC284" s="164" t="str">
        <f>IF(AC283="PVL",AC283,AC283*'3phas'!AC$26*1000)</f>
        <v>PVL</v>
      </c>
      <c r="AD284" s="164" t="str">
        <f>IF(AD283="PVL",AD283,AD283*'3phas'!AD$26*1000)</f>
        <v>PVL</v>
      </c>
      <c r="AE284" s="164" t="str">
        <f>IF(AE283="PVL",AE283,AE283*'3phas'!AE$26*1000)</f>
        <v>PVL</v>
      </c>
      <c r="AF284" s="164" t="str">
        <f>IF(AF283="PVL",AF283,AF283*'3phas'!AF$26*1000)</f>
        <v>PVL</v>
      </c>
      <c r="AG284" s="164" t="str">
        <f>IF(AG283="PVL",AG283,AG283*'3phas'!AG$26*1000)</f>
        <v>PVL</v>
      </c>
      <c r="AH284" s="164" t="str">
        <f>IF(AH283="PVL",AH283,AH283*'3phas'!AH$26*1000)</f>
        <v>PVL</v>
      </c>
      <c r="AI284" s="164" t="str">
        <f>IF(AI283="PVL",AI283,AI283*'3phas'!AI$26*1000)</f>
        <v>PVL</v>
      </c>
      <c r="AJ284" s="164" t="str">
        <f>IF(AJ283="PVL",AJ283,AJ283*'3phas'!AJ$26*1000)</f>
        <v>PVL</v>
      </c>
      <c r="AK284" s="164" t="str">
        <f>IF(AK283="PVL",AK283,AK283*'3phas'!AK$26*1000)</f>
        <v>PVL</v>
      </c>
      <c r="AL284" s="164" t="str">
        <f>IF(AL283="PVL",AL283,AL283*'3phas'!AL$26*1000)</f>
        <v>PVL</v>
      </c>
      <c r="AM284" s="164" t="str">
        <f>IF(AM283="PVL",AM283,AM283*'3phas'!AM$26*1000)</f>
        <v>PVL</v>
      </c>
      <c r="AN284" s="164">
        <f>IF(AN283="PVL",AN283,AN283*'3phas'!AN$26*1000)</f>
        <v>56.808075042677736</v>
      </c>
      <c r="AO284" s="164" t="str">
        <f>IF(AO283="PVL",AO283,AO283*'3phas'!AO$26*1000)</f>
        <v>PVL</v>
      </c>
      <c r="AP284" s="164" t="str">
        <f>IF(AP283="PVL",AP283,AP283*'3phas'!AP$26*1000)</f>
        <v>PVL</v>
      </c>
      <c r="AQ284" s="164" t="str">
        <f>IF(AQ283="PVL",AQ283,AQ283*'3phas'!AQ$26*1000)</f>
        <v>PVL</v>
      </c>
      <c r="AR284" s="164" t="str">
        <f>IF(AR283="PVL",AR283,AR283*'3phas'!AR$26*1000)</f>
        <v>PVL</v>
      </c>
      <c r="AS284" s="164" t="str">
        <f>IF(AS283="PVL",AS283,AS283*'3phas'!AS$26*1000)</f>
        <v>PVL</v>
      </c>
      <c r="AT284" s="164" t="str">
        <f>IF(AT283="PVL",AT283,AT283*'3phas'!AT$26*1000)</f>
        <v>PVL</v>
      </c>
      <c r="AU284" s="164" t="str">
        <f>IF(AU283="PVL",AU283,AU283*'3phas'!AU$26*1000)</f>
        <v>PVL</v>
      </c>
      <c r="AV284" s="164" t="str">
        <f>IF(AV283="PVL",AV283,AV283*'3phas'!AV$26*1000)</f>
        <v>PVL</v>
      </c>
      <c r="AW284" s="164" t="str">
        <f>IF(AW283="PVL",AW283,AW283*'3phas'!AW$26*1000)</f>
        <v>PVL</v>
      </c>
      <c r="AX284" s="164" t="str">
        <f>IF(AX283="PVL",AX283,AX283*'3phas'!AX$26*1000)</f>
        <v>PVL</v>
      </c>
      <c r="AY284" s="164" t="str">
        <f>IF(AY283="PVL",AY283,AY283*'3phas'!AY$26*1000)</f>
        <v>PVL</v>
      </c>
      <c r="AZ284" s="164" t="str">
        <f>IF(AZ283="PVL",AZ283,AZ283*'3phas'!AZ$26*1000)</f>
        <v>PVL</v>
      </c>
      <c r="BA284" s="164" t="str">
        <f>IF(BA283="PVL",BA283,BA283*'3phas'!BA$26*1000)</f>
        <v>PVL</v>
      </c>
      <c r="BB284" s="164" t="str">
        <f>IF(BB283="PVL",BB283,BB283*'3phas'!BB$26*1000)</f>
        <v>PVL</v>
      </c>
      <c r="BC284" s="164" t="str">
        <f>IF(BC283="PVL",BC283,BC283*'3phas'!BC$26*1000)</f>
        <v>PVL</v>
      </c>
      <c r="BD284" s="164">
        <f>IF(BD283="PVL",BD283,BD283*'3phas'!BD$26*1000)</f>
        <v>136.77857846845268</v>
      </c>
      <c r="BE284" s="164" t="str">
        <f>IF(BE283="PVL",BE283,BE283*'3phas'!BE$26*1000)</f>
        <v>PVL</v>
      </c>
      <c r="BF284" s="164" t="str">
        <f>IF(BF283="PVL",BF283,BF283*'3phas'!BF$26*1000)</f>
        <v>PVL</v>
      </c>
      <c r="BG284" s="595" t="s">
        <v>595</v>
      </c>
      <c r="BH284" s="164">
        <f>IF(BH283="PVL",BH283,BH283*'3phas'!BH$26*1000)</f>
        <v>4.0516642578102608</v>
      </c>
      <c r="BI284" s="164">
        <f>IF(BI283="PVL",BI283,BI283*'3phas'!BI$26*1000)</f>
        <v>14.607544657894978</v>
      </c>
    </row>
    <row r="285" spans="1:61" s="43" customFormat="1">
      <c r="A285" s="240"/>
      <c r="B285" s="98"/>
      <c r="C285" s="2425"/>
      <c r="D285" s="2426"/>
      <c r="E285" s="102"/>
      <c r="F285" s="12"/>
      <c r="G285" s="89"/>
      <c r="H285" s="113"/>
      <c r="I285" s="113"/>
      <c r="J285" s="113"/>
      <c r="K285" s="113"/>
      <c r="L285" s="113"/>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row>
    <row r="286" spans="1:61" s="2099" customFormat="1">
      <c r="C286" s="2425"/>
      <c r="D286" s="2426"/>
      <c r="E286" s="3947" t="s">
        <v>1022</v>
      </c>
      <c r="F286" s="3949"/>
      <c r="G286" s="3950"/>
      <c r="H286" s="3951"/>
      <c r="I286" s="3951"/>
      <c r="J286" s="3951"/>
      <c r="K286" s="3951"/>
      <c r="L286" s="3951"/>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row>
    <row r="287" spans="1:61" s="2099" customFormat="1">
      <c r="C287" s="2425"/>
      <c r="D287" s="2426"/>
      <c r="E287" s="3947" t="s">
        <v>1020</v>
      </c>
      <c r="F287" s="3"/>
      <c r="G287" s="2101"/>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row>
    <row r="288" spans="1:61" s="2099" customFormat="1">
      <c r="C288" s="2425" t="s">
        <v>1019</v>
      </c>
      <c r="D288" s="2426"/>
      <c r="E288" s="3500" t="s">
        <v>501</v>
      </c>
      <c r="F288" s="3" t="str">
        <f>'EmVap-Vol'!F$53</f>
        <v>CTsao-&gt;ém</v>
      </c>
      <c r="G288" s="2101" t="str">
        <f>'EmVap-Vol'!G$53</f>
        <v>(mg/m2/s)/(mg/l)</v>
      </c>
      <c r="H288" s="1707">
        <f>'EmVap-Vol'!H$53</f>
        <v>7.8437017466117772E-4</v>
      </c>
      <c r="I288" s="1707">
        <f>'EmVap-Vol'!I$53</f>
        <v>7.8437017466117772E-4</v>
      </c>
      <c r="J288" s="1707">
        <f>'EmVap-Vol'!J$53</f>
        <v>7.2125150782231589E-4</v>
      </c>
      <c r="K288" s="1707">
        <f>'EmVap-Vol'!K$53</f>
        <v>3.7031519823149957E-5</v>
      </c>
      <c r="L288" s="1707">
        <f>'EmVap-Vol'!L$53</f>
        <v>1.9806547167297369E-4</v>
      </c>
      <c r="M288" s="1707">
        <f>'EmVap-Vol'!M$53</f>
        <v>1.9806547167297369E-4</v>
      </c>
      <c r="N288" s="1707">
        <f>'EmVap-Vol'!N$53</f>
        <v>1.0042297681868412E-4</v>
      </c>
      <c r="O288" s="1707">
        <f>'EmVap-Vol'!O$53</f>
        <v>1.0042297681868412E-4</v>
      </c>
      <c r="P288" s="1707">
        <f>'EmVap-Vol'!P$53</f>
        <v>9.1984242694848056E-5</v>
      </c>
      <c r="Q288" s="1707">
        <f>'EmVap-Vol'!Q$53</f>
        <v>9.1984242694848056E-5</v>
      </c>
      <c r="R288" s="1707">
        <f>'EmVap-Vol'!R$53</f>
        <v>2.2883214292577979E-4</v>
      </c>
      <c r="S288" s="1707">
        <f>'EmVap-Vol'!S$53</f>
        <v>2.4391179769704181E-4</v>
      </c>
      <c r="T288" s="1707">
        <f>'EmVap-Vol'!T$53</f>
        <v>2.4391179769704181E-4</v>
      </c>
      <c r="U288" s="1707">
        <f>'EmVap-Vol'!U$53</f>
        <v>5.1808424319147455E-5</v>
      </c>
      <c r="V288" s="1707">
        <f>'EmVap-Vol'!V$53</f>
        <v>3.1652232047774111E-5</v>
      </c>
      <c r="W288" s="1707">
        <f>'EmVap-Vol'!W$53</f>
        <v>3.1652232047774111E-5</v>
      </c>
      <c r="X288" s="1707">
        <f>'EmVap-Vol'!X$53</f>
        <v>1.6499158432187349E-4</v>
      </c>
      <c r="Y288" s="1707">
        <f>'EmVap-Vol'!Y$53</f>
        <v>2.3806285265098821E-4</v>
      </c>
      <c r="Z288" s="1707">
        <f>'EmVap-Vol'!Z$53</f>
        <v>4.0198577074103924E-4</v>
      </c>
      <c r="AA288" s="1707">
        <f>'EmVap-Vol'!AA$53</f>
        <v>8.5601415741445673E-5</v>
      </c>
      <c r="AB288" s="1707">
        <f>'EmVap-Vol'!AB$53</f>
        <v>4.241144432928381E-4</v>
      </c>
      <c r="AC288" s="1707">
        <f>'EmVap-Vol'!AC$53</f>
        <v>3.9159171273304679E-4</v>
      </c>
      <c r="AD288" s="1707">
        <f>'EmVap-Vol'!AD$53</f>
        <v>3.3958325494063242E-4</v>
      </c>
      <c r="AE288" s="1707">
        <f>'EmVap-Vol'!AE$53</f>
        <v>2.6888857778934085E-4</v>
      </c>
      <c r="AF288" s="1707">
        <f>'EmVap-Vol'!AF$53</f>
        <v>2.2824639619806395E-4</v>
      </c>
      <c r="AG288" s="1707">
        <f>'EmVap-Vol'!AG$53</f>
        <v>2.3037141829500553E-5</v>
      </c>
      <c r="AH288" s="1707">
        <f>'EmVap-Vol'!AH$53</f>
        <v>3.0767898703010778E-5</v>
      </c>
      <c r="AI288" s="1707">
        <f>'EmVap-Vol'!AI$53</f>
        <v>7.5668479954487443E-5</v>
      </c>
      <c r="AJ288" s="1707">
        <f>'EmVap-Vol'!AJ$53</f>
        <v>3.1787716001271374E-4</v>
      </c>
      <c r="AK288" s="1707">
        <f>'EmVap-Vol'!AK$53</f>
        <v>2.5444153627073685E-4</v>
      </c>
      <c r="AL288" s="1707">
        <f>'EmVap-Vol'!AL$53</f>
        <v>1.8847519545544717E-4</v>
      </c>
      <c r="AM288" s="1707">
        <f>'EmVap-Vol'!AM$53</f>
        <v>1.5902594531763968E-4</v>
      </c>
      <c r="AN288" s="1707">
        <f>'EmVap-Vol'!AN$53</f>
        <v>4.0184064655524867E-4</v>
      </c>
      <c r="AO288" s="1707">
        <f>'EmVap-Vol'!AO$53</f>
        <v>3.3940398754173182E-4</v>
      </c>
      <c r="AP288" s="1707">
        <f>'EmVap-Vol'!AP$53</f>
        <v>3.3343642145126034E-4</v>
      </c>
      <c r="AQ288" s="1707">
        <f>'EmVap-Vol'!AQ$53</f>
        <v>3.1110408609158637E-4</v>
      </c>
      <c r="AR288" s="1707">
        <f>'EmVap-Vol'!AR$53</f>
        <v>2.9673552292587611E-4</v>
      </c>
      <c r="AS288" s="1707">
        <f>'EmVap-Vol'!AS$53</f>
        <v>2.9471149548520079E-4</v>
      </c>
      <c r="AT288" s="1707">
        <f>'EmVap-Vol'!AT$53</f>
        <v>2.8245061933669375E-4</v>
      </c>
      <c r="AU288" s="1707">
        <f>'EmVap-Vol'!AU$53</f>
        <v>2.862821240185571E-4</v>
      </c>
      <c r="AV288" s="1707">
        <f>'EmVap-Vol'!AV$53</f>
        <v>2.7169829643089585E-4</v>
      </c>
      <c r="AW288" s="1707">
        <f>'EmVap-Vol'!AW$53</f>
        <v>2.8633748018150643E-4</v>
      </c>
      <c r="AX288" s="1707">
        <f>'EmVap-Vol'!AX$53</f>
        <v>1.8009935536198193E-3</v>
      </c>
      <c r="AY288" s="1707">
        <f>'EmVap-Vol'!AY$53</f>
        <v>1.8009935536198193E-3</v>
      </c>
      <c r="AZ288" s="1707">
        <f>'EmVap-Vol'!AZ$53</f>
        <v>2.4141974168879728E-3</v>
      </c>
      <c r="BA288" s="1707">
        <f>'EmVap-Vol'!BA$53</f>
        <v>3.2328581834376625E-3</v>
      </c>
      <c r="BB288" s="1707">
        <f>'EmVap-Vol'!BB$53</f>
        <v>5.1022216414718007E-4</v>
      </c>
      <c r="BC288" s="1707">
        <f>'EmVap-Vol'!BC$53</f>
        <v>455.79160448264452</v>
      </c>
      <c r="BD288" s="1707">
        <f>'EmVap-Vol'!BD$53</f>
        <v>5.5344935658665729E-3</v>
      </c>
      <c r="BE288" s="1707">
        <f>'EmVap-Vol'!BE$53</f>
        <v>2.2740012300550826E-4</v>
      </c>
      <c r="BF288" s="1707">
        <f>'EmVap-Vol'!BF$53</f>
        <v>2.2740012300550826E-4</v>
      </c>
      <c r="BG288" s="1707">
        <f>'EmVap-Vol'!BG$53</f>
        <v>3.7845498726782705E-5</v>
      </c>
      <c r="BH288" s="1707">
        <f>'EmVap-Vol'!BH$53</f>
        <v>2.9390027781257791E-3</v>
      </c>
      <c r="BI288" s="1707">
        <f>'EmVap-Vol'!BI$53</f>
        <v>3.1163442233530492E-3</v>
      </c>
    </row>
    <row r="289" spans="1:61" s="2099" customFormat="1">
      <c r="C289" s="2425"/>
      <c r="D289" s="2426"/>
      <c r="E289" s="3947" t="s">
        <v>1021</v>
      </c>
      <c r="F289" s="3"/>
      <c r="G289" s="2101"/>
      <c r="H289" s="1707"/>
      <c r="I289" s="1707"/>
      <c r="J289" s="1707"/>
      <c r="K289" s="1707"/>
      <c r="L289" s="1707"/>
      <c r="M289" s="1707"/>
      <c r="N289" s="1707"/>
      <c r="O289" s="1707"/>
      <c r="P289" s="1707"/>
      <c r="Q289" s="1707"/>
      <c r="R289" s="1707"/>
      <c r="S289" s="1707"/>
      <c r="T289" s="1707"/>
      <c r="U289" s="1707"/>
      <c r="V289" s="1707"/>
      <c r="W289" s="1707"/>
      <c r="X289" s="1707"/>
      <c r="Y289" s="1707"/>
      <c r="Z289" s="1707"/>
      <c r="AA289" s="1707"/>
      <c r="AB289" s="1707"/>
      <c r="AC289" s="1707"/>
      <c r="AD289" s="1707"/>
      <c r="AE289" s="1707"/>
      <c r="AF289" s="1707"/>
      <c r="AG289" s="1707"/>
      <c r="AH289" s="1707"/>
      <c r="AI289" s="1707"/>
      <c r="AJ289" s="1707"/>
      <c r="AK289" s="1707"/>
      <c r="AL289" s="1707"/>
      <c r="AM289" s="1707"/>
      <c r="AN289" s="1707"/>
      <c r="AO289" s="1707"/>
      <c r="AP289" s="1707"/>
      <c r="AQ289" s="1707"/>
      <c r="AR289" s="1707"/>
      <c r="AS289" s="1707"/>
      <c r="AT289" s="1707"/>
      <c r="AU289" s="1707"/>
      <c r="AV289" s="1707"/>
      <c r="AW289" s="1707"/>
      <c r="AX289" s="1707"/>
      <c r="AY289" s="1707"/>
      <c r="AZ289" s="1707"/>
      <c r="BA289" s="1707"/>
      <c r="BB289" s="1707"/>
      <c r="BC289" s="1707"/>
      <c r="BD289" s="1707"/>
      <c r="BE289" s="1707"/>
      <c r="BF289" s="1707"/>
      <c r="BG289" s="1707"/>
      <c r="BH289" s="1707"/>
      <c r="BI289" s="1707"/>
    </row>
    <row r="290" spans="1:61" s="2099" customFormat="1">
      <c r="C290" s="2425" t="s">
        <v>267</v>
      </c>
      <c r="D290" s="2426"/>
      <c r="E290" s="3927" t="str">
        <f>'EmVap-Vol'!E$55</f>
        <v>Période enfant 0-6 ans (effets sans seuil)</v>
      </c>
      <c r="F290" s="3"/>
      <c r="G290" s="2101"/>
      <c r="H290" s="1707"/>
      <c r="I290" s="1707"/>
      <c r="J290" s="1707"/>
      <c r="K290" s="1707"/>
      <c r="L290" s="1707"/>
      <c r="M290" s="1707"/>
      <c r="N290" s="1707"/>
      <c r="O290" s="1707"/>
      <c r="P290" s="1707"/>
      <c r="Q290" s="1707"/>
      <c r="R290" s="1707"/>
      <c r="S290" s="1707"/>
      <c r="T290" s="1707"/>
      <c r="U290" s="1707"/>
      <c r="V290" s="1707"/>
      <c r="W290" s="1707"/>
      <c r="X290" s="1707"/>
      <c r="Y290" s="1707"/>
      <c r="Z290" s="1707"/>
      <c r="AA290" s="1707"/>
      <c r="AB290" s="1707"/>
      <c r="AC290" s="1707"/>
      <c r="AD290" s="1707"/>
      <c r="AE290" s="1707"/>
      <c r="AF290" s="1707"/>
      <c r="AG290" s="1707"/>
      <c r="AH290" s="1707"/>
      <c r="AI290" s="1707"/>
      <c r="AJ290" s="1707"/>
      <c r="AK290" s="1707"/>
      <c r="AL290" s="1707"/>
      <c r="AM290" s="1707"/>
      <c r="AN290" s="1707"/>
      <c r="AO290" s="1707"/>
      <c r="AP290" s="1707"/>
      <c r="AQ290" s="1707"/>
      <c r="AR290" s="1707"/>
      <c r="AS290" s="1707"/>
      <c r="AT290" s="1707"/>
      <c r="AU290" s="1707"/>
      <c r="AV290" s="1707"/>
      <c r="AW290" s="1707"/>
      <c r="AX290" s="1707"/>
      <c r="AY290" s="1707"/>
      <c r="AZ290" s="1707"/>
      <c r="BA290" s="1707"/>
      <c r="BB290" s="1707"/>
      <c r="BC290" s="1707"/>
      <c r="BD290" s="1707"/>
      <c r="BE290" s="1707"/>
      <c r="BF290" s="1707"/>
      <c r="BG290" s="1707"/>
      <c r="BH290" s="1707"/>
      <c r="BI290" s="1707"/>
    </row>
    <row r="291" spans="1:61" s="2099" customFormat="1" ht="25.5">
      <c r="C291" s="2425"/>
      <c r="D291" s="2426"/>
      <c r="E291" s="3501" t="s">
        <v>501</v>
      </c>
      <c r="F291" s="3" t="str">
        <f>'EmVap-Vol'!F$56</f>
        <v>CTsao-&gt;ém</v>
      </c>
      <c r="G291" s="2101" t="str">
        <f>'EmVap-Vol'!G$56</f>
        <v>(mg/m2/s)/(mg/l)</v>
      </c>
      <c r="H291" s="1707">
        <f>'EmVap-Vol'!H$56</f>
        <v>7.8437017466117772E-4</v>
      </c>
      <c r="I291" s="1707">
        <f>'EmVap-Vol'!I$56</f>
        <v>7.8437017466117772E-4</v>
      </c>
      <c r="J291" s="1707">
        <f>'EmVap-Vol'!J$56</f>
        <v>7.2125150782231589E-4</v>
      </c>
      <c r="K291" s="1707">
        <f>'EmVap-Vol'!K$56</f>
        <v>6.1719199705249922E-6</v>
      </c>
      <c r="L291" s="1707">
        <f>'EmVap-Vol'!L$56</f>
        <v>3.3010911945495617E-5</v>
      </c>
      <c r="M291" s="1707">
        <f>'EmVap-Vol'!M$56</f>
        <v>3.3010911945495617E-5</v>
      </c>
      <c r="N291" s="1707">
        <f>'EmVap-Vol'!N$56</f>
        <v>1.673716280311402E-5</v>
      </c>
      <c r="O291" s="1707">
        <f>'EmVap-Vol'!O$56</f>
        <v>1.673716280311402E-5</v>
      </c>
      <c r="P291" s="1707">
        <f>'EmVap-Vol'!P$56</f>
        <v>1.5330707115808009E-5</v>
      </c>
      <c r="Q291" s="1707">
        <f>'EmVap-Vol'!Q$56</f>
        <v>1.5330707115808009E-5</v>
      </c>
      <c r="R291" s="1707">
        <f>'EmVap-Vol'!R$56</f>
        <v>3.8138690487629963E-5</v>
      </c>
      <c r="S291" s="1707">
        <f>'EmVap-Vol'!S$56</f>
        <v>4.0651966282840303E-5</v>
      </c>
      <c r="T291" s="1707">
        <f>'EmVap-Vol'!T$56</f>
        <v>4.0651966282840303E-5</v>
      </c>
      <c r="U291" s="1707">
        <f>'EmVap-Vol'!U$56</f>
        <v>8.6347373865245747E-6</v>
      </c>
      <c r="V291" s="1707">
        <f>'EmVap-Vol'!V$56</f>
        <v>5.2753720079623515E-6</v>
      </c>
      <c r="W291" s="1707">
        <f>'EmVap-Vol'!W$56</f>
        <v>5.2753720079623515E-6</v>
      </c>
      <c r="X291" s="1707">
        <f>'EmVap-Vol'!X$56</f>
        <v>2.7498597386978914E-5</v>
      </c>
      <c r="Y291" s="1707">
        <f>'EmVap-Vol'!Y$56</f>
        <v>3.9677142108498037E-5</v>
      </c>
      <c r="Z291" s="1707">
        <f>'EmVap-Vol'!Z$56</f>
        <v>6.6997628456839868E-5</v>
      </c>
      <c r="AA291" s="1707">
        <f>'EmVap-Vol'!AA$56</f>
        <v>9.9868318365019948E-5</v>
      </c>
      <c r="AB291" s="1707">
        <f>'EmVap-Vol'!AB$56</f>
        <v>8.8303175626389731E-5</v>
      </c>
      <c r="AC291" s="1707">
        <f>'EmVap-Vol'!AC$56</f>
        <v>3.9159171273304679E-4</v>
      </c>
      <c r="AD291" s="1707">
        <f>'EmVap-Vol'!AD$56</f>
        <v>3.3958325494063242E-4</v>
      </c>
      <c r="AE291" s="1707">
        <f>'EmVap-Vol'!AE$56</f>
        <v>2.6888857778934085E-4</v>
      </c>
      <c r="AF291" s="1707">
        <f>'EmVap-Vol'!AF$56</f>
        <v>2.2824639619806395E-4</v>
      </c>
      <c r="AG291" s="1707">
        <f>'EmVap-Vol'!AG$56</f>
        <v>3.8395236382500922E-6</v>
      </c>
      <c r="AH291" s="1707">
        <f>'EmVap-Vol'!AH$56</f>
        <v>5.1279831171684633E-6</v>
      </c>
      <c r="AI291" s="1707">
        <f>'EmVap-Vol'!AI$56</f>
        <v>1.2611413325747907E-5</v>
      </c>
      <c r="AJ291" s="1707">
        <f>'EmVap-Vol'!AJ$56</f>
        <v>5.2979526668785625E-5</v>
      </c>
      <c r="AK291" s="1707">
        <f>'EmVap-Vol'!AK$56</f>
        <v>2.3239644632047792E-4</v>
      </c>
      <c r="AL291" s="1707">
        <f>'EmVap-Vol'!AL$56</f>
        <v>1.8847519545544717E-4</v>
      </c>
      <c r="AM291" s="1707">
        <f>'EmVap-Vol'!AM$56</f>
        <v>1.5902594531763968E-4</v>
      </c>
      <c r="AN291" s="1707">
        <f>'EmVap-Vol'!AN$56</f>
        <v>4.0184064655524867E-4</v>
      </c>
      <c r="AO291" s="1707">
        <f>'EmVap-Vol'!AO$56</f>
        <v>3.3940398754173182E-4</v>
      </c>
      <c r="AP291" s="1707">
        <f>'EmVap-Vol'!AP$56</f>
        <v>3.3343642145126034E-4</v>
      </c>
      <c r="AQ291" s="1707">
        <f>'EmVap-Vol'!AQ$56</f>
        <v>3.1110408609158637E-4</v>
      </c>
      <c r="AR291" s="1707">
        <f>'EmVap-Vol'!AR$56</f>
        <v>2.9673552292587611E-4</v>
      </c>
      <c r="AS291" s="1707">
        <f>'EmVap-Vol'!AS$56</f>
        <v>2.9471149548520079E-4</v>
      </c>
      <c r="AT291" s="1707">
        <f>'EmVap-Vol'!AT$56</f>
        <v>2.8245061933669375E-4</v>
      </c>
      <c r="AU291" s="1707">
        <f>'EmVap-Vol'!AU$56</f>
        <v>2.862821240185571E-4</v>
      </c>
      <c r="AV291" s="1707">
        <f>'EmVap-Vol'!AV$56</f>
        <v>2.7169829643089585E-4</v>
      </c>
      <c r="AW291" s="1707">
        <f>'EmVap-Vol'!AW$56</f>
        <v>2.8633748018150643E-4</v>
      </c>
      <c r="AX291" s="1707">
        <f>'EmVap-Vol'!AX$56</f>
        <v>1.8009935536198193E-3</v>
      </c>
      <c r="AY291" s="1707">
        <f>'EmVap-Vol'!AY$56</f>
        <v>1.8009935536198193E-3</v>
      </c>
      <c r="AZ291" s="1707">
        <f>'EmVap-Vol'!AZ$56</f>
        <v>2.4141974168879728E-3</v>
      </c>
      <c r="BA291" s="1707">
        <f>'EmVap-Vol'!BA$56</f>
        <v>3.2328581834376625E-3</v>
      </c>
      <c r="BB291" s="1707">
        <f>'EmVap-Vol'!BB$56</f>
        <v>5.1022216414718007E-4</v>
      </c>
      <c r="BC291" s="1707">
        <f>'EmVap-Vol'!BC$56</f>
        <v>455.79160448264452</v>
      </c>
      <c r="BD291" s="1707">
        <f>'EmVap-Vol'!BD$56</f>
        <v>5.5344935658665729E-3</v>
      </c>
      <c r="BE291" s="1707">
        <f>'EmVap-Vol'!BE$56</f>
        <v>2.2740012300550826E-4</v>
      </c>
      <c r="BF291" s="1707">
        <f>'EmVap-Vol'!BF$56</f>
        <v>2.2740012300550826E-4</v>
      </c>
      <c r="BG291" s="1707">
        <f>'EmVap-Vol'!BG$56</f>
        <v>6.3075831211304503E-6</v>
      </c>
      <c r="BH291" s="1707">
        <f>'EmVap-Vol'!BH$56</f>
        <v>2.9390027781257791E-3</v>
      </c>
      <c r="BI291" s="1707">
        <f>'EmVap-Vol'!BI$56</f>
        <v>3.1163442233530492E-3</v>
      </c>
    </row>
    <row r="292" spans="1:61" s="2099" customFormat="1">
      <c r="C292" s="2425"/>
      <c r="D292" s="2426"/>
      <c r="E292" s="3500" t="s">
        <v>1182</v>
      </c>
      <c r="F292" s="3" t="s">
        <v>233</v>
      </c>
      <c r="G292" s="2101" t="s">
        <v>234</v>
      </c>
      <c r="H292" s="1707">
        <f>H265*H291/H231</f>
        <v>0</v>
      </c>
      <c r="I292" s="1707">
        <f t="shared" ref="I292:BI292" si="150">I265*I291/I231</f>
        <v>0</v>
      </c>
      <c r="J292" s="1707">
        <f t="shared" si="150"/>
        <v>0</v>
      </c>
      <c r="K292" s="1707">
        <f t="shared" si="150"/>
        <v>0</v>
      </c>
      <c r="L292" s="1707">
        <f t="shared" si="150"/>
        <v>0</v>
      </c>
      <c r="M292" s="1707">
        <f t="shared" si="150"/>
        <v>0</v>
      </c>
      <c r="N292" s="1707">
        <f t="shared" si="150"/>
        <v>0</v>
      </c>
      <c r="O292" s="1707">
        <f t="shared" si="150"/>
        <v>0</v>
      </c>
      <c r="P292" s="1707">
        <f t="shared" si="150"/>
        <v>0</v>
      </c>
      <c r="Q292" s="1707">
        <f t="shared" si="150"/>
        <v>0</v>
      </c>
      <c r="R292" s="1707">
        <f t="shared" si="150"/>
        <v>0</v>
      </c>
      <c r="S292" s="1707">
        <f t="shared" si="150"/>
        <v>0</v>
      </c>
      <c r="T292" s="1707">
        <f t="shared" si="150"/>
        <v>0</v>
      </c>
      <c r="U292" s="1707">
        <f t="shared" si="150"/>
        <v>0</v>
      </c>
      <c r="V292" s="1707">
        <f t="shared" si="150"/>
        <v>0</v>
      </c>
      <c r="W292" s="1707">
        <f t="shared" si="150"/>
        <v>0</v>
      </c>
      <c r="X292" s="1707">
        <f t="shared" si="150"/>
        <v>0</v>
      </c>
      <c r="Y292" s="1707">
        <f t="shared" si="150"/>
        <v>0</v>
      </c>
      <c r="Z292" s="1707">
        <f t="shared" si="150"/>
        <v>0</v>
      </c>
      <c r="AA292" s="1707">
        <f t="shared" si="150"/>
        <v>0</v>
      </c>
      <c r="AB292" s="1707">
        <f t="shared" si="150"/>
        <v>0</v>
      </c>
      <c r="AC292" s="1707">
        <f t="shared" si="150"/>
        <v>0</v>
      </c>
      <c r="AD292" s="1707">
        <f t="shared" si="150"/>
        <v>0</v>
      </c>
      <c r="AE292" s="1707">
        <f t="shared" si="150"/>
        <v>0</v>
      </c>
      <c r="AF292" s="1707">
        <f t="shared" si="150"/>
        <v>0</v>
      </c>
      <c r="AG292" s="1707">
        <f t="shared" si="150"/>
        <v>0</v>
      </c>
      <c r="AH292" s="1707">
        <f t="shared" si="150"/>
        <v>0</v>
      </c>
      <c r="AI292" s="1707">
        <f t="shared" si="150"/>
        <v>0</v>
      </c>
      <c r="AJ292" s="1707">
        <f t="shared" si="150"/>
        <v>0</v>
      </c>
      <c r="AK292" s="1707">
        <f t="shared" si="150"/>
        <v>0</v>
      </c>
      <c r="AL292" s="1707">
        <f t="shared" si="150"/>
        <v>0</v>
      </c>
      <c r="AM292" s="1707">
        <f t="shared" si="150"/>
        <v>0</v>
      </c>
      <c r="AN292" s="1707">
        <f t="shared" si="150"/>
        <v>0</v>
      </c>
      <c r="AO292" s="1707">
        <f t="shared" si="150"/>
        <v>0</v>
      </c>
      <c r="AP292" s="1707">
        <f t="shared" si="150"/>
        <v>0</v>
      </c>
      <c r="AQ292" s="1707">
        <f t="shared" si="150"/>
        <v>0</v>
      </c>
      <c r="AR292" s="1707">
        <f t="shared" si="150"/>
        <v>0</v>
      </c>
      <c r="AS292" s="1707">
        <f t="shared" si="150"/>
        <v>0</v>
      </c>
      <c r="AT292" s="1707">
        <f t="shared" si="150"/>
        <v>0</v>
      </c>
      <c r="AU292" s="1707">
        <f t="shared" si="150"/>
        <v>0</v>
      </c>
      <c r="AV292" s="1707">
        <f t="shared" si="150"/>
        <v>0</v>
      </c>
      <c r="AW292" s="1707">
        <f t="shared" si="150"/>
        <v>0</v>
      </c>
      <c r="AX292" s="1707">
        <f t="shared" si="150"/>
        <v>0</v>
      </c>
      <c r="AY292" s="1707">
        <f t="shared" si="150"/>
        <v>0</v>
      </c>
      <c r="AZ292" s="1707">
        <f t="shared" si="150"/>
        <v>0</v>
      </c>
      <c r="BA292" s="1707">
        <f t="shared" si="150"/>
        <v>0</v>
      </c>
      <c r="BB292" s="1707">
        <f t="shared" si="150"/>
        <v>0</v>
      </c>
      <c r="BC292" s="1707">
        <f t="shared" si="150"/>
        <v>0</v>
      </c>
      <c r="BD292" s="1707">
        <f t="shared" si="150"/>
        <v>0</v>
      </c>
      <c r="BE292" s="1707">
        <f t="shared" si="150"/>
        <v>0</v>
      </c>
      <c r="BF292" s="1707">
        <f t="shared" si="150"/>
        <v>0</v>
      </c>
      <c r="BG292" s="1707">
        <f t="shared" si="150"/>
        <v>0</v>
      </c>
      <c r="BH292" s="1707">
        <f t="shared" si="150"/>
        <v>0</v>
      </c>
      <c r="BI292" s="1707">
        <f t="shared" si="150"/>
        <v>0</v>
      </c>
    </row>
    <row r="293" spans="1:61" s="2099" customFormat="1">
      <c r="C293" s="2425" t="s">
        <v>591</v>
      </c>
      <c r="D293" s="2426"/>
      <c r="E293" s="3927" t="str">
        <f>'EmVap-Vol'!E$243</f>
        <v>Période employé (40 ans)</v>
      </c>
      <c r="F293" s="3"/>
      <c r="G293" s="2101"/>
      <c r="H293" s="1707"/>
      <c r="I293" s="1707"/>
      <c r="J293" s="1707"/>
      <c r="K293" s="1707"/>
      <c r="L293" s="1707"/>
      <c r="M293" s="1707"/>
      <c r="N293" s="1707"/>
      <c r="O293" s="1707"/>
      <c r="P293" s="1707"/>
      <c r="Q293" s="1707"/>
      <c r="R293" s="1707"/>
      <c r="S293" s="1707"/>
      <c r="T293" s="1707"/>
      <c r="U293" s="1707"/>
      <c r="V293" s="1707"/>
      <c r="W293" s="1707"/>
      <c r="X293" s="1707"/>
      <c r="Y293" s="1707"/>
      <c r="Z293" s="1707"/>
      <c r="AA293" s="1707"/>
      <c r="AB293" s="1707"/>
      <c r="AC293" s="1707"/>
      <c r="AD293" s="1707"/>
      <c r="AE293" s="1707"/>
      <c r="AF293" s="1707"/>
      <c r="AG293" s="1707"/>
      <c r="AH293" s="1707"/>
      <c r="AI293" s="1707"/>
      <c r="AJ293" s="1707"/>
      <c r="AK293" s="1707"/>
      <c r="AL293" s="1707"/>
      <c r="AM293" s="1707"/>
      <c r="AN293" s="1707"/>
      <c r="AO293" s="1707"/>
      <c r="AP293" s="1707"/>
      <c r="AQ293" s="1707"/>
      <c r="AR293" s="1707"/>
      <c r="AS293" s="1707"/>
      <c r="AT293" s="1707"/>
      <c r="AU293" s="1707"/>
      <c r="AV293" s="1707"/>
      <c r="AW293" s="1707"/>
      <c r="AX293" s="1707"/>
      <c r="AY293" s="1707"/>
      <c r="AZ293" s="1707"/>
      <c r="BA293" s="1707"/>
      <c r="BB293" s="1707"/>
      <c r="BC293" s="1707"/>
      <c r="BD293" s="1707"/>
      <c r="BE293" s="1707"/>
      <c r="BF293" s="1707"/>
      <c r="BG293" s="1707"/>
      <c r="BH293" s="1707"/>
      <c r="BI293" s="1707"/>
    </row>
    <row r="294" spans="1:61" s="2099" customFormat="1" ht="25.5">
      <c r="C294" s="2425"/>
      <c r="D294" s="2426"/>
      <c r="E294" s="3501" t="s">
        <v>501</v>
      </c>
      <c r="F294" s="3" t="str">
        <f>'EmVap-Vol'!F65</f>
        <v>CTsao-&gt;ém</v>
      </c>
      <c r="G294" s="2101" t="str">
        <f>'EmVap-Vol'!G65</f>
        <v>(mg/m2/s)/(mg/l)</v>
      </c>
      <c r="H294" s="1707">
        <f>'EmVap-Vol'!H65</f>
        <v>7.8437017466117772E-4</v>
      </c>
      <c r="I294" s="1707">
        <f>'EmVap-Vol'!I65</f>
        <v>7.8437017466117772E-4</v>
      </c>
      <c r="J294" s="1707">
        <f>'EmVap-Vol'!J65</f>
        <v>2.0626890217256754E-4</v>
      </c>
      <c r="K294" s="1707">
        <f>'EmVap-Vol'!K65</f>
        <v>9.2578799557874888E-7</v>
      </c>
      <c r="L294" s="1707">
        <f>'EmVap-Vol'!L65</f>
        <v>4.9516367918243421E-6</v>
      </c>
      <c r="M294" s="1707">
        <f>'EmVap-Vol'!M65</f>
        <v>4.9516367918243421E-6</v>
      </c>
      <c r="N294" s="1707">
        <f>'EmVap-Vol'!N65</f>
        <v>2.5105744204671032E-6</v>
      </c>
      <c r="O294" s="1707">
        <f>'EmVap-Vol'!O65</f>
        <v>2.5105744204671032E-6</v>
      </c>
      <c r="P294" s="1707">
        <f>'EmVap-Vol'!P65</f>
        <v>2.2996060673712017E-6</v>
      </c>
      <c r="Q294" s="1707">
        <f>'EmVap-Vol'!Q65</f>
        <v>2.2996060673712017E-6</v>
      </c>
      <c r="R294" s="1707">
        <f>'EmVap-Vol'!R65</f>
        <v>5.720803573144495E-6</v>
      </c>
      <c r="S294" s="1707">
        <f>'EmVap-Vol'!S65</f>
        <v>6.0977949424260457E-6</v>
      </c>
      <c r="T294" s="1707">
        <f>'EmVap-Vol'!T65</f>
        <v>6.0977949424260457E-6</v>
      </c>
      <c r="U294" s="1707">
        <f>'EmVap-Vol'!U65</f>
        <v>1.2952106079786864E-6</v>
      </c>
      <c r="V294" s="1707">
        <f>'EmVap-Vol'!V65</f>
        <v>7.9130580119435269E-7</v>
      </c>
      <c r="W294" s="1707">
        <f>'EmVap-Vol'!W65</f>
        <v>7.9130580119435269E-7</v>
      </c>
      <c r="X294" s="1707">
        <f>'EmVap-Vol'!X65</f>
        <v>4.124789608046837E-6</v>
      </c>
      <c r="Y294" s="1707">
        <f>'EmVap-Vol'!Y65</f>
        <v>5.9515713162747051E-6</v>
      </c>
      <c r="Z294" s="1707">
        <f>'EmVap-Vol'!Z65</f>
        <v>1.004964426852598E-5</v>
      </c>
      <c r="AA294" s="1707">
        <f>'EmVap-Vol'!AA65</f>
        <v>1.4980247754752993E-5</v>
      </c>
      <c r="AB294" s="1707">
        <f>'EmVap-Vol'!AB65</f>
        <v>1.3245476343958458E-5</v>
      </c>
      <c r="AC294" s="1707">
        <f>'EmVap-Vol'!AC65</f>
        <v>6.7878710848560343E-5</v>
      </c>
      <c r="AD294" s="1707">
        <f>'EmVap-Vol'!AD65</f>
        <v>3.3958325494063242E-4</v>
      </c>
      <c r="AE294" s="1707">
        <f>'EmVap-Vol'!AE65</f>
        <v>2.6888857778934085E-4</v>
      </c>
      <c r="AF294" s="1707">
        <f>'EmVap-Vol'!AF65</f>
        <v>2.2824639619806395E-4</v>
      </c>
      <c r="AG294" s="1707">
        <f>'EmVap-Vol'!AG65</f>
        <v>5.7592854573751388E-7</v>
      </c>
      <c r="AH294" s="1707">
        <f>'EmVap-Vol'!AH65</f>
        <v>7.6919746757526942E-7</v>
      </c>
      <c r="AI294" s="1707">
        <f>'EmVap-Vol'!AI65</f>
        <v>1.8917119988621861E-6</v>
      </c>
      <c r="AJ294" s="1707">
        <f>'EmVap-Vol'!AJ65</f>
        <v>7.9469290003178434E-6</v>
      </c>
      <c r="AK294" s="1707">
        <f>'EmVap-Vol'!AK65</f>
        <v>3.4859466948071687E-5</v>
      </c>
      <c r="AL294" s="1707">
        <f>'EmVap-Vol'!AL65</f>
        <v>1.8847519545544717E-4</v>
      </c>
      <c r="AM294" s="1707">
        <f>'EmVap-Vol'!AM65</f>
        <v>1.5902594531763968E-4</v>
      </c>
      <c r="AN294" s="1707">
        <f>'EmVap-Vol'!AN65</f>
        <v>4.0184064655524867E-4</v>
      </c>
      <c r="AO294" s="1707">
        <f>'EmVap-Vol'!AO65</f>
        <v>3.3940398754173182E-4</v>
      </c>
      <c r="AP294" s="1707">
        <f>'EmVap-Vol'!AP65</f>
        <v>3.3343642145126034E-4</v>
      </c>
      <c r="AQ294" s="1707">
        <f>'EmVap-Vol'!AQ65</f>
        <v>3.1110408609158637E-4</v>
      </c>
      <c r="AR294" s="1707">
        <f>'EmVap-Vol'!AR65</f>
        <v>2.9673552292587611E-4</v>
      </c>
      <c r="AS294" s="1707">
        <f>'EmVap-Vol'!AS65</f>
        <v>2.9471149548520079E-4</v>
      </c>
      <c r="AT294" s="1707">
        <f>'EmVap-Vol'!AT65</f>
        <v>2.8245061933669375E-4</v>
      </c>
      <c r="AU294" s="1707">
        <f>'EmVap-Vol'!AU65</f>
        <v>2.862821240185571E-4</v>
      </c>
      <c r="AV294" s="1707">
        <f>'EmVap-Vol'!AV65</f>
        <v>2.7169829643089585E-4</v>
      </c>
      <c r="AW294" s="1707">
        <f>'EmVap-Vol'!AW65</f>
        <v>2.8633748018150643E-4</v>
      </c>
      <c r="AX294" s="1707">
        <f>'EmVap-Vol'!AX65</f>
        <v>1.8009935536198193E-3</v>
      </c>
      <c r="AY294" s="1707">
        <f>'EmVap-Vol'!AY65</f>
        <v>1.8009935536198193E-3</v>
      </c>
      <c r="AZ294" s="1707">
        <f>'EmVap-Vol'!AZ65</f>
        <v>2.4141974168879728E-3</v>
      </c>
      <c r="BA294" s="1707">
        <f>'EmVap-Vol'!BA65</f>
        <v>3.2328581834376625E-3</v>
      </c>
      <c r="BB294" s="1707">
        <f>'EmVap-Vol'!BB65</f>
        <v>5.1022216414718007E-4</v>
      </c>
      <c r="BC294" s="1707">
        <f>'EmVap-Vol'!BC65</f>
        <v>455.79160448264452</v>
      </c>
      <c r="BD294" s="1707">
        <f>'EmVap-Vol'!BD65</f>
        <v>5.5344935658665729E-3</v>
      </c>
      <c r="BE294" s="1707">
        <f>'EmVap-Vol'!BE65</f>
        <v>2.2740012300550826E-4</v>
      </c>
      <c r="BF294" s="1707">
        <f>'EmVap-Vol'!BF65</f>
        <v>2.2740012300550826E-4</v>
      </c>
      <c r="BG294" s="1707">
        <f>'EmVap-Vol'!BG65</f>
        <v>9.4613746816956763E-7</v>
      </c>
      <c r="BH294" s="1707">
        <f>'EmVap-Vol'!BH65</f>
        <v>2.9390027781257791E-3</v>
      </c>
      <c r="BI294" s="1707">
        <f>'EmVap-Vol'!BI65</f>
        <v>3.1163442233530492E-3</v>
      </c>
    </row>
    <row r="295" spans="1:61" s="2099" customFormat="1">
      <c r="C295" s="2425"/>
      <c r="D295" s="2426"/>
      <c r="E295" s="3500" t="s">
        <v>1182</v>
      </c>
      <c r="F295" s="3" t="s">
        <v>233</v>
      </c>
      <c r="G295" s="2101" t="s">
        <v>234</v>
      </c>
      <c r="H295" s="1707">
        <f>H273*H294/H233</f>
        <v>0</v>
      </c>
      <c r="I295" s="1707">
        <f t="shared" ref="I295:BI295" si="151">I273*I294/I233</f>
        <v>0</v>
      </c>
      <c r="J295" s="1707">
        <f t="shared" si="151"/>
        <v>0</v>
      </c>
      <c r="K295" s="1707">
        <f t="shared" si="151"/>
        <v>2.8343324587407663E-9</v>
      </c>
      <c r="L295" s="1707">
        <f t="shared" si="151"/>
        <v>0</v>
      </c>
      <c r="M295" s="1707">
        <f t="shared" si="151"/>
        <v>0</v>
      </c>
      <c r="N295" s="1707">
        <f t="shared" si="151"/>
        <v>1.5372423500837929E-8</v>
      </c>
      <c r="O295" s="1707">
        <f t="shared" si="151"/>
        <v>1.5372423500837929E-8</v>
      </c>
      <c r="P295" s="1707">
        <f t="shared" si="151"/>
        <v>4.153791590099162E-8</v>
      </c>
      <c r="Q295" s="1707">
        <f t="shared" si="151"/>
        <v>4.153791590099162E-8</v>
      </c>
      <c r="R295" s="1707">
        <f t="shared" si="151"/>
        <v>1.7514441032805932E-8</v>
      </c>
      <c r="S295" s="1707">
        <f t="shared" si="151"/>
        <v>4.2937810701353565E-7</v>
      </c>
      <c r="T295" s="1707">
        <f t="shared" si="151"/>
        <v>4.2937810701353565E-7</v>
      </c>
      <c r="U295" s="1707">
        <f t="shared" si="151"/>
        <v>1.6654397589351513E-7</v>
      </c>
      <c r="V295" s="1707">
        <f t="shared" si="151"/>
        <v>0</v>
      </c>
      <c r="W295" s="1707">
        <f t="shared" si="151"/>
        <v>0</v>
      </c>
      <c r="X295" s="1707">
        <f t="shared" si="151"/>
        <v>7.5769129395041714E-8</v>
      </c>
      <c r="Y295" s="1707">
        <f t="shared" si="151"/>
        <v>0</v>
      </c>
      <c r="Z295" s="1707">
        <f t="shared" si="151"/>
        <v>7.6918347086782895E-8</v>
      </c>
      <c r="AA295" s="1707">
        <f t="shared" si="151"/>
        <v>0</v>
      </c>
      <c r="AB295" s="1707">
        <f t="shared" si="151"/>
        <v>0</v>
      </c>
      <c r="AC295" s="1707">
        <f t="shared" si="151"/>
        <v>0</v>
      </c>
      <c r="AD295" s="1707">
        <f t="shared" si="151"/>
        <v>0</v>
      </c>
      <c r="AE295" s="1707">
        <f t="shared" si="151"/>
        <v>0</v>
      </c>
      <c r="AF295" s="1707">
        <f t="shared" si="151"/>
        <v>0</v>
      </c>
      <c r="AG295" s="1707">
        <f t="shared" si="151"/>
        <v>0</v>
      </c>
      <c r="AH295" s="1707">
        <f t="shared" si="151"/>
        <v>0</v>
      </c>
      <c r="AI295" s="1707">
        <f t="shared" si="151"/>
        <v>0</v>
      </c>
      <c r="AJ295" s="1707">
        <f t="shared" si="151"/>
        <v>0</v>
      </c>
      <c r="AK295" s="1707">
        <f t="shared" si="151"/>
        <v>0</v>
      </c>
      <c r="AL295" s="1707">
        <f t="shared" si="151"/>
        <v>0</v>
      </c>
      <c r="AM295" s="1707">
        <f t="shared" si="151"/>
        <v>0</v>
      </c>
      <c r="AN295" s="1707">
        <f t="shared" si="151"/>
        <v>4.1828474520314996E-5</v>
      </c>
      <c r="AO295" s="1707">
        <f t="shared" si="151"/>
        <v>1.1430069491294502E-6</v>
      </c>
      <c r="AP295" s="1707">
        <f t="shared" si="151"/>
        <v>1.1229100446699542E-6</v>
      </c>
      <c r="AQ295" s="1707">
        <f t="shared" si="151"/>
        <v>1.0477016928433333E-6</v>
      </c>
      <c r="AR295" s="1707">
        <f t="shared" si="151"/>
        <v>9.9931284607000846E-7</v>
      </c>
      <c r="AS295" s="1707">
        <f t="shared" si="151"/>
        <v>9.9249655187536225E-6</v>
      </c>
      <c r="AT295" s="1707">
        <f t="shared" si="151"/>
        <v>9.51205738701177E-7</v>
      </c>
      <c r="AU295" s="1707">
        <f t="shared" si="151"/>
        <v>9.6410905344627363E-7</v>
      </c>
      <c r="AV295" s="1707">
        <f t="shared" si="151"/>
        <v>9.1499526312713951E-5</v>
      </c>
      <c r="AW295" s="1707">
        <f t="shared" si="151"/>
        <v>9.6429547576672578E-6</v>
      </c>
      <c r="AX295" s="1707">
        <f t="shared" si="151"/>
        <v>6.0651855095594179E-4</v>
      </c>
      <c r="AY295" s="1707">
        <f t="shared" si="151"/>
        <v>6.065185509559419E-4</v>
      </c>
      <c r="AZ295" s="1707">
        <f t="shared" si="151"/>
        <v>8.1302651865103118E-3</v>
      </c>
      <c r="BA295" s="1707">
        <f t="shared" si="151"/>
        <v>1.0887259740178849E-2</v>
      </c>
      <c r="BB295" s="1707">
        <f t="shared" si="151"/>
        <v>1.7182693799329256E-5</v>
      </c>
      <c r="BC295" s="1707">
        <f t="shared" si="151"/>
        <v>153.496420313703</v>
      </c>
      <c r="BD295" s="1707">
        <f t="shared" si="151"/>
        <v>0</v>
      </c>
      <c r="BE295" s="1707">
        <f t="shared" si="151"/>
        <v>1.5316256164858935E-4</v>
      </c>
      <c r="BF295" s="1707">
        <f t="shared" si="151"/>
        <v>7.6581280824294677E-5</v>
      </c>
      <c r="BG295" s="1707">
        <f t="shared" si="151"/>
        <v>0</v>
      </c>
      <c r="BH295" s="1707">
        <f t="shared" si="151"/>
        <v>0</v>
      </c>
      <c r="BI295" s="1707">
        <f t="shared" si="151"/>
        <v>0</v>
      </c>
    </row>
    <row r="296" spans="1:61" s="2099" customFormat="1">
      <c r="C296" s="2425"/>
      <c r="D296" s="2426"/>
      <c r="E296" s="3947" t="s">
        <v>1161</v>
      </c>
      <c r="F296" s="3"/>
      <c r="G296" s="2101"/>
      <c r="H296" s="1707"/>
      <c r="I296" s="1707"/>
      <c r="J296" s="1707"/>
      <c r="K296" s="1707"/>
      <c r="L296" s="1707"/>
      <c r="M296" s="1707"/>
      <c r="N296" s="1707"/>
      <c r="O296" s="1707"/>
      <c r="P296" s="1707"/>
      <c r="Q296" s="1707"/>
      <c r="R296" s="1707"/>
      <c r="S296" s="1707"/>
      <c r="T296" s="1707"/>
      <c r="U296" s="1707"/>
      <c r="V296" s="1707"/>
      <c r="W296" s="1707"/>
      <c r="X296" s="1707"/>
      <c r="Y296" s="1707"/>
      <c r="Z296" s="1707"/>
      <c r="AA296" s="1707"/>
      <c r="AB296" s="1707"/>
      <c r="AC296" s="1707"/>
      <c r="AD296" s="1707"/>
      <c r="AE296" s="1707"/>
      <c r="AF296" s="1707"/>
      <c r="AG296" s="1707"/>
      <c r="AH296" s="1707"/>
      <c r="AI296" s="1707"/>
      <c r="AJ296" s="1707"/>
      <c r="AK296" s="1707"/>
      <c r="AL296" s="1707"/>
      <c r="AM296" s="1707"/>
      <c r="AN296" s="1707"/>
      <c r="AO296" s="1707"/>
      <c r="AP296" s="1707"/>
      <c r="AQ296" s="1707"/>
      <c r="AR296" s="1707"/>
      <c r="AS296" s="1707"/>
      <c r="AT296" s="1707"/>
      <c r="AU296" s="1707"/>
      <c r="AV296" s="1707"/>
      <c r="AW296" s="1707"/>
      <c r="AX296" s="1707"/>
      <c r="AY296" s="1707"/>
      <c r="AZ296" s="1707"/>
      <c r="BA296" s="1707"/>
      <c r="BB296" s="1707"/>
      <c r="BC296" s="1707"/>
      <c r="BD296" s="1707"/>
      <c r="BE296" s="1707"/>
      <c r="BF296" s="1707"/>
      <c r="BG296" s="1707"/>
      <c r="BH296" s="1707"/>
      <c r="BI296" s="1707"/>
    </row>
    <row r="297" spans="1:61" s="2099" customFormat="1">
      <c r="C297" s="2425"/>
      <c r="D297" s="2426"/>
      <c r="E297" s="3500" t="s">
        <v>989</v>
      </c>
      <c r="F297" s="3" t="str">
        <f>F$18</f>
        <v>Cs</v>
      </c>
      <c r="G297" s="2101" t="str">
        <f>G$18</f>
        <v>mg/kg ms</v>
      </c>
      <c r="H297" s="1707">
        <f>IF(H280="PVL","PVL",H280/H288*H227)</f>
        <v>3612.9738324685982</v>
      </c>
      <c r="I297" s="1707">
        <f t="shared" ref="I297:BI297" si="152">IF(I280="PVL","PVL",I280/I288*I227)</f>
        <v>3612.9738324685982</v>
      </c>
      <c r="J297" s="1707">
        <f t="shared" si="152"/>
        <v>14963.177012793161</v>
      </c>
      <c r="K297" s="1707">
        <f t="shared" si="152"/>
        <v>14.649905454545456</v>
      </c>
      <c r="L297" s="1707">
        <f t="shared" si="152"/>
        <v>15.696327272727274</v>
      </c>
      <c r="M297" s="1707">
        <f t="shared" si="152"/>
        <v>15.696327272727274</v>
      </c>
      <c r="N297" s="1707">
        <f t="shared" si="152"/>
        <v>52.32109090909092</v>
      </c>
      <c r="O297" s="1707">
        <f t="shared" si="152"/>
        <v>52.32109090909092</v>
      </c>
      <c r="P297" s="1707">
        <f t="shared" si="152"/>
        <v>9.1561909090909115</v>
      </c>
      <c r="Q297" s="1707">
        <f t="shared" si="152"/>
        <v>9.1561909090909115</v>
      </c>
      <c r="R297" s="1707">
        <f t="shared" si="152"/>
        <v>104.64218181818184</v>
      </c>
      <c r="S297" s="1707">
        <f t="shared" si="152"/>
        <v>16.481143636363637</v>
      </c>
      <c r="T297" s="1707">
        <f t="shared" si="152"/>
        <v>16.481143636363637</v>
      </c>
      <c r="U297" s="1707">
        <f t="shared" si="152"/>
        <v>9.9410072727272745</v>
      </c>
      <c r="V297" s="1707">
        <f t="shared" si="152"/>
        <v>261.60545454545451</v>
      </c>
      <c r="W297" s="1707">
        <f t="shared" si="152"/>
        <v>261.60545454545451</v>
      </c>
      <c r="X297" s="1707">
        <f t="shared" si="152"/>
        <v>2.5114123636363646</v>
      </c>
      <c r="Y297" s="1707">
        <f t="shared" si="152"/>
        <v>68.017418181818186</v>
      </c>
      <c r="Z297" s="1707">
        <f t="shared" si="152"/>
        <v>69.325445454545459</v>
      </c>
      <c r="AA297" s="1707">
        <f t="shared" si="152"/>
        <v>183.12381818181819</v>
      </c>
      <c r="AB297" s="1707">
        <f t="shared" si="152"/>
        <v>65.361393169810626</v>
      </c>
      <c r="AC297" s="1707">
        <f t="shared" si="152"/>
        <v>362.77460279354966</v>
      </c>
      <c r="AD297" s="1707">
        <f t="shared" si="152"/>
        <v>2137.2699111012939</v>
      </c>
      <c r="AE297" s="1707" t="str">
        <f t="shared" si="152"/>
        <v>PVL</v>
      </c>
      <c r="AF297" s="1707" t="str">
        <f t="shared" si="152"/>
        <v>PVL</v>
      </c>
      <c r="AG297" s="1707">
        <f t="shared" si="152"/>
        <v>4813.5403636363644</v>
      </c>
      <c r="AH297" s="1707">
        <f t="shared" si="152"/>
        <v>4813.5403636363626</v>
      </c>
      <c r="AI297" s="1707">
        <f t="shared" si="152"/>
        <v>261.60545454545456</v>
      </c>
      <c r="AJ297" s="1707">
        <f t="shared" si="152"/>
        <v>261.60545454545462</v>
      </c>
      <c r="AK297" s="1707">
        <f t="shared" si="152"/>
        <v>1433.6380497968817</v>
      </c>
      <c r="AL297" s="1707" t="str">
        <f t="shared" si="152"/>
        <v>PVL</v>
      </c>
      <c r="AM297" s="1707" t="str">
        <f t="shared" si="152"/>
        <v>PVL</v>
      </c>
      <c r="AN297" s="1707">
        <f t="shared" si="152"/>
        <v>65.197975716379801</v>
      </c>
      <c r="AO297" s="1707" t="str">
        <f t="shared" si="152"/>
        <v>PVL</v>
      </c>
      <c r="AP297" s="1707" t="str">
        <f t="shared" si="152"/>
        <v>PVL</v>
      </c>
      <c r="AQ297" s="1707" t="str">
        <f t="shared" si="152"/>
        <v>PVL</v>
      </c>
      <c r="AR297" s="1707" t="str">
        <f t="shared" si="152"/>
        <v>PVL</v>
      </c>
      <c r="AS297" s="1707" t="str">
        <f t="shared" si="152"/>
        <v>PVL</v>
      </c>
      <c r="AT297" s="1707" t="str">
        <f t="shared" si="152"/>
        <v>PVL</v>
      </c>
      <c r="AU297" s="1707" t="str">
        <f t="shared" si="152"/>
        <v>PVL</v>
      </c>
      <c r="AV297" s="1707" t="str">
        <f t="shared" si="152"/>
        <v>PVL</v>
      </c>
      <c r="AW297" s="1707" t="str">
        <f t="shared" si="152"/>
        <v>PVL</v>
      </c>
      <c r="AX297" s="1707" t="str">
        <f t="shared" si="152"/>
        <v>PVL</v>
      </c>
      <c r="AY297" s="1707" t="str">
        <f t="shared" si="152"/>
        <v>PVL</v>
      </c>
      <c r="AZ297" s="1707" t="str">
        <f t="shared" si="152"/>
        <v>PVL</v>
      </c>
      <c r="BA297" s="1707" t="str">
        <f t="shared" si="152"/>
        <v>PVL</v>
      </c>
      <c r="BB297" s="1707" t="str">
        <f t="shared" si="152"/>
        <v>PVL</v>
      </c>
      <c r="BC297" s="1707" t="str">
        <f t="shared" si="152"/>
        <v>PVL</v>
      </c>
      <c r="BD297" s="1707">
        <f t="shared" si="152"/>
        <v>1442.0297800737583</v>
      </c>
      <c r="BE297" s="1707">
        <f t="shared" si="152"/>
        <v>39532.000510158534</v>
      </c>
      <c r="BF297" s="1707">
        <f t="shared" si="152"/>
        <v>79064.001020317068</v>
      </c>
      <c r="BG297" s="1707">
        <f t="shared" si="152"/>
        <v>7.8481636363636371E-3</v>
      </c>
      <c r="BH297" s="1707">
        <f t="shared" si="152"/>
        <v>32.243130815181253</v>
      </c>
      <c r="BI297" s="1707">
        <f t="shared" si="152"/>
        <v>9.9561283189025538</v>
      </c>
    </row>
    <row r="298" spans="1:61" s="2099" customFormat="1">
      <c r="C298" s="2425"/>
      <c r="D298" s="2426"/>
      <c r="E298" s="3948" t="s">
        <v>992</v>
      </c>
      <c r="F298" s="3" t="str">
        <f>F295</f>
        <v>CTsa-&gt;ERI</v>
      </c>
      <c r="G298" s="2101" t="str">
        <f>G295</f>
        <v>(ERI)/(mg/lsa)</v>
      </c>
      <c r="H298" s="1707" t="str">
        <f t="shared" ref="H298:AM298" si="153">IF(H278=0,"PVL",H$16/(H292+H295)/H$20)</f>
        <v>PVL</v>
      </c>
      <c r="I298" s="1707" t="str">
        <f t="shared" si="153"/>
        <v>PVL</v>
      </c>
      <c r="J298" s="1707" t="str">
        <f t="shared" si="153"/>
        <v>PVL</v>
      </c>
      <c r="K298" s="1707">
        <f t="shared" si="153"/>
        <v>91.561909090909097</v>
      </c>
      <c r="L298" s="1707" t="str">
        <f t="shared" si="153"/>
        <v>PVL</v>
      </c>
      <c r="M298" s="1707" t="str">
        <f t="shared" si="153"/>
        <v>PVL</v>
      </c>
      <c r="N298" s="1707">
        <f t="shared" si="153"/>
        <v>45.780954545454541</v>
      </c>
      <c r="O298" s="1707">
        <f t="shared" si="153"/>
        <v>45.780954545454541</v>
      </c>
      <c r="P298" s="1707">
        <f t="shared" si="153"/>
        <v>15.518967642526961</v>
      </c>
      <c r="Q298" s="1707">
        <f t="shared" si="153"/>
        <v>15.518967642526961</v>
      </c>
      <c r="R298" s="1707">
        <f t="shared" si="153"/>
        <v>91.561909090909097</v>
      </c>
      <c r="S298" s="1707">
        <f t="shared" si="153"/>
        <v>3.9809525691699599</v>
      </c>
      <c r="T298" s="1707">
        <f t="shared" si="153"/>
        <v>3.9809525691699599</v>
      </c>
      <c r="U298" s="1707">
        <f t="shared" si="153"/>
        <v>2.1800454545454544</v>
      </c>
      <c r="V298" s="1707" t="str">
        <f t="shared" si="153"/>
        <v>PVL</v>
      </c>
      <c r="W298" s="1707" t="str">
        <f t="shared" si="153"/>
        <v>PVL</v>
      </c>
      <c r="X298" s="1707">
        <f t="shared" si="153"/>
        <v>15.260318181818182</v>
      </c>
      <c r="Y298" s="1707" t="str">
        <f t="shared" si="153"/>
        <v>PVL</v>
      </c>
      <c r="Z298" s="1707">
        <f t="shared" si="153"/>
        <v>36.624763636363639</v>
      </c>
      <c r="AA298" s="1707" t="str">
        <f t="shared" si="153"/>
        <v>PVL</v>
      </c>
      <c r="AB298" s="1707" t="str">
        <f t="shared" si="153"/>
        <v>PVL</v>
      </c>
      <c r="AC298" s="1707" t="str">
        <f t="shared" si="153"/>
        <v>PVL</v>
      </c>
      <c r="AD298" s="1707" t="str">
        <f t="shared" si="153"/>
        <v>PVL</v>
      </c>
      <c r="AE298" s="1707" t="str">
        <f t="shared" si="153"/>
        <v>PVL</v>
      </c>
      <c r="AF298" s="1707" t="str">
        <f t="shared" si="153"/>
        <v>PVL</v>
      </c>
      <c r="AG298" s="1707" t="str">
        <f t="shared" si="153"/>
        <v>PVL</v>
      </c>
      <c r="AH298" s="1707" t="str">
        <f t="shared" si="153"/>
        <v>PVL</v>
      </c>
      <c r="AI298" s="1707" t="str">
        <f t="shared" si="153"/>
        <v>PVL</v>
      </c>
      <c r="AJ298" s="1707" t="str">
        <f t="shared" si="153"/>
        <v>PVL</v>
      </c>
      <c r="AK298" s="1707" t="str">
        <f t="shared" si="153"/>
        <v>PVL</v>
      </c>
      <c r="AL298" s="1707" t="str">
        <f t="shared" si="153"/>
        <v>PVL</v>
      </c>
      <c r="AM298" s="1707" t="str">
        <f t="shared" si="153"/>
        <v>PVL</v>
      </c>
      <c r="AN298" s="1707">
        <f t="shared" ref="AN298:BI298" si="154">IF(AN278=0,"PVL",AN$16/(AN292+AN295)/AN$20)</f>
        <v>5.5929636031208148</v>
      </c>
      <c r="AO298" s="1707">
        <f t="shared" si="154"/>
        <v>749.40388183422215</v>
      </c>
      <c r="AP298" s="1707">
        <f t="shared" si="154"/>
        <v>455.9704953371043</v>
      </c>
      <c r="AQ298" s="1707">
        <f t="shared" si="154"/>
        <v>1206.9286115149696</v>
      </c>
      <c r="AR298" s="1707">
        <f t="shared" si="154"/>
        <v>6319.997773139411</v>
      </c>
      <c r="AS298" s="1707">
        <f t="shared" si="154"/>
        <v>492.66837828578338</v>
      </c>
      <c r="AT298" s="1707">
        <f t="shared" si="154"/>
        <v>70422.77130928899</v>
      </c>
      <c r="AU298" s="1707">
        <f t="shared" si="154"/>
        <v>72223.945330488961</v>
      </c>
      <c r="AV298" s="1707">
        <f t="shared" si="154"/>
        <v>4770.1598837667661</v>
      </c>
      <c r="AW298" s="1707">
        <f t="shared" si="154"/>
        <v>46973.475213718964</v>
      </c>
      <c r="AX298" s="1707">
        <f t="shared" si="154"/>
        <v>21217.714052693107</v>
      </c>
      <c r="AY298" s="1707">
        <f t="shared" si="154"/>
        <v>30916.268090166835</v>
      </c>
      <c r="AZ298" s="1707">
        <f t="shared" si="154"/>
        <v>3453.7548760221816</v>
      </c>
      <c r="BA298" s="1707">
        <f t="shared" si="154"/>
        <v>14933.431522617775</v>
      </c>
      <c r="BB298" s="1707">
        <f t="shared" si="154"/>
        <v>597602.86110775243</v>
      </c>
      <c r="BC298" s="1707">
        <f t="shared" si="154"/>
        <v>251822.05643626349</v>
      </c>
      <c r="BD298" s="1707" t="str">
        <f t="shared" si="154"/>
        <v>PVL</v>
      </c>
      <c r="BE298" s="1707">
        <f t="shared" si="154"/>
        <v>3144.5909496717013</v>
      </c>
      <c r="BF298" s="1707">
        <f t="shared" si="154"/>
        <v>6289.1818993434026</v>
      </c>
      <c r="BG298" s="1707" t="str">
        <f t="shared" si="154"/>
        <v>PVL</v>
      </c>
      <c r="BH298" s="1707" t="str">
        <f t="shared" si="154"/>
        <v>PVL</v>
      </c>
      <c r="BI298" s="1707" t="str">
        <f t="shared" si="154"/>
        <v>PVL</v>
      </c>
    </row>
    <row r="299" spans="1:61" s="2099" customFormat="1">
      <c r="C299" s="2425"/>
      <c r="D299" s="2426"/>
      <c r="E299" s="3500" t="s">
        <v>493</v>
      </c>
      <c r="F299" s="3" t="str">
        <f>F298</f>
        <v>CTsa-&gt;ERI</v>
      </c>
      <c r="G299" s="2101" t="str">
        <f>G298</f>
        <v>(ERI)/(mg/lsa)</v>
      </c>
      <c r="H299" s="1707">
        <f>IF(MIN(H297:H298)&gt;0,MIN(H297:H298),H297)</f>
        <v>3612.9738324685982</v>
      </c>
      <c r="I299" s="1707">
        <f t="shared" ref="I299:BI299" si="155">IF(MIN(I297:I298)&gt;0,MIN(I297:I298),I297)</f>
        <v>3612.9738324685982</v>
      </c>
      <c r="J299" s="1707">
        <f t="shared" si="155"/>
        <v>14963.177012793161</v>
      </c>
      <c r="K299" s="1707">
        <f t="shared" si="155"/>
        <v>14.649905454545456</v>
      </c>
      <c r="L299" s="1707">
        <f t="shared" si="155"/>
        <v>15.696327272727274</v>
      </c>
      <c r="M299" s="1707">
        <f t="shared" si="155"/>
        <v>15.696327272727274</v>
      </c>
      <c r="N299" s="1707">
        <f t="shared" si="155"/>
        <v>45.780954545454541</v>
      </c>
      <c r="O299" s="1707">
        <f t="shared" si="155"/>
        <v>45.780954545454541</v>
      </c>
      <c r="P299" s="1707">
        <f t="shared" si="155"/>
        <v>9.1561909090909115</v>
      </c>
      <c r="Q299" s="1707">
        <f t="shared" si="155"/>
        <v>9.1561909090909115</v>
      </c>
      <c r="R299" s="1707">
        <f t="shared" si="155"/>
        <v>91.561909090909097</v>
      </c>
      <c r="S299" s="1707">
        <f t="shared" si="155"/>
        <v>3.9809525691699599</v>
      </c>
      <c r="T299" s="1707">
        <f t="shared" si="155"/>
        <v>3.9809525691699599</v>
      </c>
      <c r="U299" s="1707">
        <f t="shared" si="155"/>
        <v>2.1800454545454544</v>
      </c>
      <c r="V299" s="1707">
        <f t="shared" si="155"/>
        <v>261.60545454545451</v>
      </c>
      <c r="W299" s="1707">
        <f t="shared" si="155"/>
        <v>261.60545454545451</v>
      </c>
      <c r="X299" s="1707">
        <f t="shared" si="155"/>
        <v>2.5114123636363646</v>
      </c>
      <c r="Y299" s="1707">
        <f t="shared" si="155"/>
        <v>68.017418181818186</v>
      </c>
      <c r="Z299" s="1707">
        <f t="shared" si="155"/>
        <v>36.624763636363639</v>
      </c>
      <c r="AA299" s="1707">
        <f t="shared" si="155"/>
        <v>183.12381818181819</v>
      </c>
      <c r="AB299" s="1707">
        <f t="shared" si="155"/>
        <v>65.361393169810626</v>
      </c>
      <c r="AC299" s="1707">
        <f t="shared" si="155"/>
        <v>362.77460279354966</v>
      </c>
      <c r="AD299" s="1707">
        <f t="shared" si="155"/>
        <v>2137.2699111012939</v>
      </c>
      <c r="AE299" s="1707" t="str">
        <f t="shared" si="155"/>
        <v>PVL</v>
      </c>
      <c r="AF299" s="1707" t="str">
        <f t="shared" si="155"/>
        <v>PVL</v>
      </c>
      <c r="AG299" s="1707">
        <f t="shared" si="155"/>
        <v>4813.5403636363644</v>
      </c>
      <c r="AH299" s="1707">
        <f t="shared" si="155"/>
        <v>4813.5403636363626</v>
      </c>
      <c r="AI299" s="1707">
        <f t="shared" si="155"/>
        <v>261.60545454545456</v>
      </c>
      <c r="AJ299" s="1707">
        <f t="shared" si="155"/>
        <v>261.60545454545462</v>
      </c>
      <c r="AK299" s="1707">
        <f t="shared" si="155"/>
        <v>1433.6380497968817</v>
      </c>
      <c r="AL299" s="1707" t="str">
        <f t="shared" si="155"/>
        <v>PVL</v>
      </c>
      <c r="AM299" s="1707" t="str">
        <f t="shared" si="155"/>
        <v>PVL</v>
      </c>
      <c r="AN299" s="1707">
        <f t="shared" si="155"/>
        <v>5.5929636031208148</v>
      </c>
      <c r="AO299" s="1707">
        <f t="shared" si="155"/>
        <v>749.40388183422215</v>
      </c>
      <c r="AP299" s="1707">
        <f t="shared" si="155"/>
        <v>455.9704953371043</v>
      </c>
      <c r="AQ299" s="1707">
        <f t="shared" si="155"/>
        <v>1206.9286115149696</v>
      </c>
      <c r="AR299" s="1707">
        <f t="shared" si="155"/>
        <v>6319.997773139411</v>
      </c>
      <c r="AS299" s="1707">
        <f t="shared" si="155"/>
        <v>492.66837828578338</v>
      </c>
      <c r="AT299" s="1707">
        <f t="shared" si="155"/>
        <v>70422.77130928899</v>
      </c>
      <c r="AU299" s="1707">
        <f t="shared" si="155"/>
        <v>72223.945330488961</v>
      </c>
      <c r="AV299" s="1707">
        <f t="shared" si="155"/>
        <v>4770.1598837667661</v>
      </c>
      <c r="AW299" s="1707">
        <f t="shared" si="155"/>
        <v>46973.475213718964</v>
      </c>
      <c r="AX299" s="1707">
        <f t="shared" si="155"/>
        <v>21217.714052693107</v>
      </c>
      <c r="AY299" s="1707">
        <f t="shared" si="155"/>
        <v>30916.268090166835</v>
      </c>
      <c r="AZ299" s="1707">
        <f t="shared" si="155"/>
        <v>3453.7548760221816</v>
      </c>
      <c r="BA299" s="1707">
        <f t="shared" si="155"/>
        <v>14933.431522617775</v>
      </c>
      <c r="BB299" s="1707">
        <f t="shared" si="155"/>
        <v>597602.86110775243</v>
      </c>
      <c r="BC299" s="1707">
        <f t="shared" si="155"/>
        <v>251822.05643626349</v>
      </c>
      <c r="BD299" s="1707">
        <f t="shared" si="155"/>
        <v>1442.0297800737583</v>
      </c>
      <c r="BE299" s="1707">
        <f t="shared" si="155"/>
        <v>3144.5909496717013</v>
      </c>
      <c r="BF299" s="1707">
        <f t="shared" si="155"/>
        <v>6289.1818993434026</v>
      </c>
      <c r="BG299" s="1707">
        <f t="shared" si="155"/>
        <v>7.8481636363636371E-3</v>
      </c>
      <c r="BH299" s="1707">
        <f t="shared" si="155"/>
        <v>32.243130815181253</v>
      </c>
      <c r="BI299" s="1707">
        <f t="shared" si="155"/>
        <v>9.9561283189025538</v>
      </c>
    </row>
    <row r="300" spans="1:61" s="2099" customFormat="1">
      <c r="C300" s="2425"/>
      <c r="D300" s="2426"/>
      <c r="E300" s="3500" t="s">
        <v>499</v>
      </c>
      <c r="F300" s="3" t="s">
        <v>19</v>
      </c>
      <c r="G300" s="2101" t="s">
        <v>20</v>
      </c>
      <c r="H300" s="1707">
        <f>IF(H299&lt;'3phas'!H$23,H299,"PVL")</f>
        <v>3612.9738324685982</v>
      </c>
      <c r="I300" s="1707">
        <f>IF(I299&lt;'3phas'!I$23,I299,"PVL")</f>
        <v>3612.9738324685982</v>
      </c>
      <c r="J300" s="1707">
        <f>IF(J299&lt;'3phas'!J$23,J299,"PVL")</f>
        <v>14963.177012793161</v>
      </c>
      <c r="K300" s="1707">
        <f>IF(K299&lt;'3phas'!K$23,K299,"PVL")</f>
        <v>14.649905454545456</v>
      </c>
      <c r="L300" s="1707">
        <f>IF(L299&lt;'3phas'!L$23,L299,"PVL")</f>
        <v>15.696327272727274</v>
      </c>
      <c r="M300" s="1707">
        <f>IF(M299&lt;'3phas'!M$23,M299,"PVL")</f>
        <v>15.696327272727274</v>
      </c>
      <c r="N300" s="1707">
        <f>IF(N299&lt;'3phas'!N$23,N299,"PVL")</f>
        <v>45.780954545454541</v>
      </c>
      <c r="O300" s="1707">
        <f>IF(O299&lt;'3phas'!O$23,O299,"PVL")</f>
        <v>45.780954545454541</v>
      </c>
      <c r="P300" s="1707">
        <f>IF(P299&lt;'3phas'!P$23,P299,"PVL")</f>
        <v>9.1561909090909115</v>
      </c>
      <c r="Q300" s="1707">
        <f>IF(Q299&lt;'3phas'!Q$23,Q299,"PVL")</f>
        <v>9.1561909090909115</v>
      </c>
      <c r="R300" s="1707">
        <f>IF(R299&lt;'3phas'!R$23,R299,"PVL")</f>
        <v>91.561909090909097</v>
      </c>
      <c r="S300" s="1707">
        <f>IF(S299&lt;'3phas'!S$23,S299,"PVL")</f>
        <v>3.9809525691699599</v>
      </c>
      <c r="T300" s="1707">
        <f>IF(T299&lt;'3phas'!T$23,T299,"PVL")</f>
        <v>3.9809525691699599</v>
      </c>
      <c r="U300" s="1707">
        <f>IF(U299&lt;'3phas'!U$23,U299,"PVL")</f>
        <v>2.1800454545454544</v>
      </c>
      <c r="V300" s="1707">
        <f>IF(V299&lt;'3phas'!V$23,V299,"PVL")</f>
        <v>261.60545454545451</v>
      </c>
      <c r="W300" s="1707">
        <f>IF(W299&lt;'3phas'!W$23,W299,"PVL")</f>
        <v>261.60545454545451</v>
      </c>
      <c r="X300" s="1707">
        <f>IF(X299&lt;'3phas'!X$23,X299,"PVL")</f>
        <v>2.5114123636363646</v>
      </c>
      <c r="Y300" s="1707">
        <f>IF(Y299&lt;'3phas'!Y$23,Y299,"PVL")</f>
        <v>68.017418181818186</v>
      </c>
      <c r="Z300" s="1707">
        <f>IF(Z299&lt;'3phas'!Z$23,Z299,"PVL")</f>
        <v>36.624763636363639</v>
      </c>
      <c r="AA300" s="1707" t="str">
        <f>IF(AA299&lt;'3phas'!AA$23,AA299,"PVL")</f>
        <v>PVL</v>
      </c>
      <c r="AB300" s="1707">
        <f>IF(AB299&lt;'3phas'!AB$23,AB299,"PVL")</f>
        <v>65.361393169810626</v>
      </c>
      <c r="AC300" s="1707" t="str">
        <f>IF(AC299&lt;'3phas'!AC$23,AC299,"PVL")</f>
        <v>PVL</v>
      </c>
      <c r="AD300" s="1707" t="str">
        <f>IF(AD299&lt;'3phas'!AD$23,AD299,"PVL")</f>
        <v>PVL</v>
      </c>
      <c r="AE300" s="1707" t="str">
        <f>IF(AE299&lt;'3phas'!AE$23,AE299,"PVL")</f>
        <v>PVL</v>
      </c>
      <c r="AF300" s="1707" t="str">
        <f>IF(AF299&lt;'3phas'!AF$23,AF299,"PVL")</f>
        <v>PVL</v>
      </c>
      <c r="AG300" s="1707" t="str">
        <f>IF(AG299&lt;'3phas'!AG$23,AG299,"PVL")</f>
        <v>PVL</v>
      </c>
      <c r="AH300" s="1707" t="str">
        <f>IF(AH299&lt;'3phas'!AH$23,AH299,"PVL")</f>
        <v>PVL</v>
      </c>
      <c r="AI300" s="1707" t="str">
        <f>IF(AI299&lt;'3phas'!AI$23,AI299,"PVL")</f>
        <v>PVL</v>
      </c>
      <c r="AJ300" s="1707" t="str">
        <f>IF(AJ299&lt;'3phas'!AJ$23,AJ299,"PVL")</f>
        <v>PVL</v>
      </c>
      <c r="AK300" s="1707" t="str">
        <f>IF(AK299&lt;'3phas'!AK$23,AK299,"PVL")</f>
        <v>PVL</v>
      </c>
      <c r="AL300" s="1707" t="str">
        <f>IF(AL299&lt;'3phas'!AL$23,AL299,"PVL")</f>
        <v>PVL</v>
      </c>
      <c r="AM300" s="1707" t="str">
        <f>IF(AM299&lt;'3phas'!AM$23,AM299,"PVL")</f>
        <v>PVL</v>
      </c>
      <c r="AN300" s="1707">
        <f>IF(AN299&lt;'3phas'!AN$23,AN299,"PVL")</f>
        <v>5.5929636031208148</v>
      </c>
      <c r="AO300" s="1707" t="str">
        <f>IF(AO299&lt;'3phas'!AO$23,AO299,"PVL")</f>
        <v>PVL</v>
      </c>
      <c r="AP300" s="1707" t="str">
        <f>IF(AP299&lt;'3phas'!AP$23,AP299,"PVL")</f>
        <v>PVL</v>
      </c>
      <c r="AQ300" s="1707" t="str">
        <f>IF(AQ299&lt;'3phas'!AQ$23,AQ299,"PVL")</f>
        <v>PVL</v>
      </c>
      <c r="AR300" s="1707" t="str">
        <f>IF(AR299&lt;'3phas'!AR$23,AR299,"PVL")</f>
        <v>PVL</v>
      </c>
      <c r="AS300" s="1707" t="str">
        <f>IF(AS299&lt;'3phas'!AS$23,AS299,"PVL")</f>
        <v>PVL</v>
      </c>
      <c r="AT300" s="1707" t="str">
        <f>IF(AT299&lt;'3phas'!AT$23,AT299,"PVL")</f>
        <v>PVL</v>
      </c>
      <c r="AU300" s="1707" t="str">
        <f>IF(AU299&lt;'3phas'!AU$23,AU299,"PVL")</f>
        <v>PVL</v>
      </c>
      <c r="AV300" s="1707" t="str">
        <f>IF(AV299&lt;'3phas'!AV$23,AV299,"PVL")</f>
        <v>PVL</v>
      </c>
      <c r="AW300" s="1707" t="str">
        <f>IF(AW299&lt;'3phas'!AW$23,AW299,"PVL")</f>
        <v>PVL</v>
      </c>
      <c r="AX300" s="1707" t="str">
        <f>IF(AX299&lt;'3phas'!AX$23,AX299,"PVL")</f>
        <v>PVL</v>
      </c>
      <c r="AY300" s="1707" t="str">
        <f>IF(AY299&lt;'3phas'!AY$23,AY299,"PVL")</f>
        <v>PVL</v>
      </c>
      <c r="AZ300" s="1707" t="str">
        <f>IF(AZ299&lt;'3phas'!AZ$23,AZ299,"PVL")</f>
        <v>PVL</v>
      </c>
      <c r="BA300" s="1707" t="str">
        <f>IF(BA299&lt;'3phas'!BA$23,BA299,"PVL")</f>
        <v>PVL</v>
      </c>
      <c r="BB300" s="1707" t="str">
        <f>IF(BB299&lt;'3phas'!BB$23,BB299,"PVL")</f>
        <v>PVL</v>
      </c>
      <c r="BC300" s="1707" t="str">
        <f>IF(BC299&lt;'3phas'!BC$23,BC299,"PVL")</f>
        <v>PVL</v>
      </c>
      <c r="BD300" s="1707">
        <f>IF(BD299&lt;'3phas'!BD$23,BD299,"PVL")</f>
        <v>1442.0297800737583</v>
      </c>
      <c r="BE300" s="1707" t="str">
        <f>IF(BE299&lt;'3phas'!BE$23,BE299,"PVL")</f>
        <v>PVL</v>
      </c>
      <c r="BF300" s="1707" t="str">
        <f>IF(BF299&lt;'3phas'!BF$23,BF299,"PVL")</f>
        <v>PVL</v>
      </c>
      <c r="BG300" s="1707" t="str">
        <f>IF(BG299&lt;'3phas'!BG$23,BG299,"PVL")</f>
        <v>PVL</v>
      </c>
      <c r="BH300" s="1707">
        <f>IF(BH299&lt;'3phas'!BH$23,BH299,"PVL")</f>
        <v>32.243130815181253</v>
      </c>
      <c r="BI300" s="1707">
        <f>IF(BI299&lt;'3phas'!BI$23,BI299,"PVL")</f>
        <v>9.9561283189025538</v>
      </c>
    </row>
    <row r="301" spans="1:61" s="2511" customFormat="1" ht="13.5" thickBot="1">
      <c r="C301" s="2435"/>
      <c r="D301" s="2436"/>
      <c r="E301" s="3956" t="s">
        <v>476</v>
      </c>
      <c r="F301" s="2511" t="str">
        <f>F284</f>
        <v>Csao</v>
      </c>
      <c r="G301" s="2522" t="s">
        <v>24</v>
      </c>
      <c r="H301" s="2512">
        <f>IF(H300="PVL",H300,H300*'3phas'!H$26*1000)</f>
        <v>9518.3490296964974</v>
      </c>
      <c r="I301" s="2512">
        <f>IF(I300="PVL",I300,I300*'3phas'!I$26*1000)</f>
        <v>9518.3490296964974</v>
      </c>
      <c r="J301" s="2512">
        <f>IF(J300="PVL",J300,J300*'3phas'!J$26*1000)</f>
        <v>258783.13632407531</v>
      </c>
      <c r="K301" s="2512">
        <f>IF(K300="PVL",K300,K300*'3phas'!K$26*1000)</f>
        <v>56450.681890396372</v>
      </c>
      <c r="L301" s="2512">
        <f>IF(L300="PVL",L300,L300*'3phas'!L$26*1000)</f>
        <v>11308.244230326127</v>
      </c>
      <c r="M301" s="2512">
        <f>IF(M300="PVL",M300,M300*'3phas'!M$26*1000)</f>
        <v>11308.244230326127</v>
      </c>
      <c r="N301" s="2512">
        <f>IF(N300="PVL",N300,N300*'3phas'!N$26*1000)</f>
        <v>65051.551562152286</v>
      </c>
      <c r="O301" s="2512">
        <f>IF(O300="PVL",O300,O300*'3phas'!O$26*1000)</f>
        <v>65051.551562152286</v>
      </c>
      <c r="P301" s="2512">
        <f>IF(P300="PVL",P300,P300*'3phas'!P$26*1000)</f>
        <v>14203.890281984883</v>
      </c>
      <c r="Q301" s="2512">
        <f>IF(Q300="PVL",Q300,Q300*'3phas'!Q$26*1000)</f>
        <v>14203.890281984883</v>
      </c>
      <c r="R301" s="2512">
        <f>IF(R300="PVL",R300,R300*'3phas'!R$26*1000)</f>
        <v>57095.741629831115</v>
      </c>
      <c r="S301" s="2512">
        <f>IF(S300="PVL",S300,S300*'3phas'!S$26*1000)</f>
        <v>2328.9496685225176</v>
      </c>
      <c r="T301" s="2512">
        <f>IF(T300="PVL",T300,T300*'3phas'!T$26*1000)</f>
        <v>2328.9496685225176</v>
      </c>
      <c r="U301" s="2512">
        <f>IF(U300="PVL",U300,U300*'3phas'!U$26*1000)</f>
        <v>6004.4201216823349</v>
      </c>
      <c r="V301" s="2512">
        <f>IF(V300="PVL",V300,V300*'3phas'!V$26*1000)</f>
        <v>1179365.3413826337</v>
      </c>
      <c r="W301" s="2512">
        <f>IF(W300="PVL",W300,W300*'3phas'!W$26*1000)</f>
        <v>1179365.3413826337</v>
      </c>
      <c r="X301" s="2512">
        <f>IF(X300="PVL",X300,X300*'3phas'!X$26*1000)</f>
        <v>2172.0116079649465</v>
      </c>
      <c r="Y301" s="2512">
        <f>IF(Y300="PVL",Y300,Y300*'3phas'!Y$26*1000)</f>
        <v>40769.409045143315</v>
      </c>
      <c r="Z301" s="2512">
        <f>IF(Z300="PVL",Z300,Z300*'3phas'!Z$26*1000)</f>
        <v>13000.799391486573</v>
      </c>
      <c r="AA301" s="2512" t="str">
        <f>IF(AA300="PVL",AA300,AA300*'3phas'!AA$26*1000)</f>
        <v>PVL</v>
      </c>
      <c r="AB301" s="2512">
        <f>IF(AB300="PVL",AB300,AB300*'3phas'!AB$26*1000)</f>
        <v>17603.524730125988</v>
      </c>
      <c r="AC301" s="2512" t="str">
        <f>IF(AC300="PVL",AC300,AC300*'3phas'!AC$26*1000)</f>
        <v>PVL</v>
      </c>
      <c r="AD301" s="2512" t="str">
        <f>IF(AD300="PVL",AD300,AD300*'3phas'!AD$26*1000)</f>
        <v>PVL</v>
      </c>
      <c r="AE301" s="2512" t="str">
        <f>IF(AE300="PVL",AE300,AE300*'3phas'!AE$26*1000)</f>
        <v>PVL</v>
      </c>
      <c r="AF301" s="2512" t="str">
        <f>IF(AF300="PVL",AF300,AF300*'3phas'!AF$26*1000)</f>
        <v>PVL</v>
      </c>
      <c r="AG301" s="2512" t="str">
        <f>IF(AG300="PVL",AG300,AG300*'3phas'!AG$26*1000)</f>
        <v>PVL</v>
      </c>
      <c r="AH301" s="2512" t="str">
        <f>IF(AH300="PVL",AH300,AH300*'3phas'!AH$26*1000)</f>
        <v>PVL</v>
      </c>
      <c r="AI301" s="2512" t="str">
        <f>IF(AI300="PVL",AI300,AI300*'3phas'!AI$26*1000)</f>
        <v>PVL</v>
      </c>
      <c r="AJ301" s="2512" t="str">
        <f>IF(AJ300="PVL",AJ300,AJ300*'3phas'!AJ$26*1000)</f>
        <v>PVL</v>
      </c>
      <c r="AK301" s="2512" t="str">
        <f>IF(AK300="PVL",AK300,AK300*'3phas'!AK$26*1000)</f>
        <v>PVL</v>
      </c>
      <c r="AL301" s="2512" t="str">
        <f>IF(AL300="PVL",AL300,AL300*'3phas'!AL$26*1000)</f>
        <v>PVL</v>
      </c>
      <c r="AM301" s="2512" t="str">
        <f>IF(AM300="PVL",AM300,AM300*'3phas'!AM$26*1000)</f>
        <v>PVL</v>
      </c>
      <c r="AN301" s="2512">
        <f>IF(AN300="PVL",AN300,AN300*'3phas'!AN$26*1000)</f>
        <v>23.907159213141426</v>
      </c>
      <c r="AO301" s="2512" t="str">
        <f>IF(AO300="PVL",AO300,AO300*'3phas'!AO$26*1000)</f>
        <v>PVL</v>
      </c>
      <c r="AP301" s="2512" t="str">
        <f>IF(AP300="PVL",AP300,AP300*'3phas'!AP$26*1000)</f>
        <v>PVL</v>
      </c>
      <c r="AQ301" s="2512" t="str">
        <f>IF(AQ300="PVL",AQ300,AQ300*'3phas'!AQ$26*1000)</f>
        <v>PVL</v>
      </c>
      <c r="AR301" s="2512" t="str">
        <f>IF(AR300="PVL",AR300,AR300*'3phas'!AR$26*1000)</f>
        <v>PVL</v>
      </c>
      <c r="AS301" s="2512" t="str">
        <f>IF(AS300="PVL",AS300,AS300*'3phas'!AS$26*1000)</f>
        <v>PVL</v>
      </c>
      <c r="AT301" s="2512" t="str">
        <f>IF(AT300="PVL",AT300,AT300*'3phas'!AT$26*1000)</f>
        <v>PVL</v>
      </c>
      <c r="AU301" s="2512" t="str">
        <f>IF(AU300="PVL",AU300,AU300*'3phas'!AU$26*1000)</f>
        <v>PVL</v>
      </c>
      <c r="AV301" s="2512" t="str">
        <f>IF(AV300="PVL",AV300,AV300*'3phas'!AV$26*1000)</f>
        <v>PVL</v>
      </c>
      <c r="AW301" s="2512" t="str">
        <f>IF(AW300="PVL",AW300,AW300*'3phas'!AW$26*1000)</f>
        <v>PVL</v>
      </c>
      <c r="AX301" s="2512" t="str">
        <f>IF(AX300="PVL",AX300,AX300*'3phas'!AX$26*1000)</f>
        <v>PVL</v>
      </c>
      <c r="AY301" s="2512" t="str">
        <f>IF(AY300="PVL",AY300,AY300*'3phas'!AY$26*1000)</f>
        <v>PVL</v>
      </c>
      <c r="AZ301" s="2512" t="str">
        <f>IF(AZ300="PVL",AZ300,AZ300*'3phas'!AZ$26*1000)</f>
        <v>PVL</v>
      </c>
      <c r="BA301" s="2512" t="str">
        <f>IF(BA300="PVL",BA300,BA300*'3phas'!BA$26*1000)</f>
        <v>PVL</v>
      </c>
      <c r="BB301" s="2512" t="str">
        <f>IF(BB300="PVL",BB300,BB300*'3phas'!BB$26*1000)</f>
        <v>PVL</v>
      </c>
      <c r="BC301" s="2512" t="str">
        <f>IF(BC300="PVL",BC300,BC300*'3phas'!BC$26*1000)</f>
        <v>PVL</v>
      </c>
      <c r="BD301" s="2512">
        <f>IF(BD300="PVL",BD300,BD300*'3phas'!BD$26*1000)</f>
        <v>134.89778246295791</v>
      </c>
      <c r="BE301" s="2512" t="str">
        <f>IF(BE300="PVL",BE300,BE300*'3phas'!BE$26*1000)</f>
        <v>PVL</v>
      </c>
      <c r="BF301" s="2512" t="str">
        <f>IF(BF300="PVL",BF300,BF300*'3phas'!BF$26*1000)</f>
        <v>PVL</v>
      </c>
      <c r="BG301" s="2512" t="str">
        <f>IF(BG300="PVL",BG300,BG300*'3phas'!BG$26*1000)</f>
        <v>PVL</v>
      </c>
      <c r="BH301" s="2512">
        <f>IF(BH300="PVL",BH300,BH300*'3phas'!BH$26*1000)</f>
        <v>4.0109786896762269</v>
      </c>
      <c r="BI301" s="2512">
        <f>IF(BI300="PVL",BI300,BI300*'3phas'!BI$26*1000)</f>
        <v>9.5829068367500199</v>
      </c>
    </row>
    <row r="302" spans="1:61" s="43" customFormat="1">
      <c r="A302" s="240"/>
      <c r="B302" s="98"/>
      <c r="C302" s="2107"/>
      <c r="D302" s="263"/>
      <c r="E302" s="102"/>
      <c r="F302" s="12"/>
      <c r="G302" s="89"/>
      <c r="H302" s="113"/>
      <c r="I302" s="113"/>
      <c r="J302" s="113"/>
      <c r="K302" s="113"/>
      <c r="L302" s="113"/>
      <c r="M302" s="113"/>
      <c r="N302" s="113"/>
      <c r="O302" s="113"/>
      <c r="P302" s="113"/>
      <c r="Q302" s="113"/>
      <c r="R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3"/>
      <c r="AW302" s="113"/>
      <c r="AX302" s="113"/>
      <c r="AY302" s="113"/>
      <c r="AZ302" s="113"/>
      <c r="BA302" s="113"/>
      <c r="BB302" s="113"/>
      <c r="BC302" s="113"/>
      <c r="BD302" s="113"/>
      <c r="BE302" s="113"/>
      <c r="BF302" s="113"/>
      <c r="BG302" s="113"/>
      <c r="BH302" s="113"/>
      <c r="BI302" s="113"/>
    </row>
    <row r="303" spans="1:61" ht="15.75">
      <c r="A303" s="397"/>
      <c r="B303" s="41"/>
      <c r="C303" s="2496"/>
      <c r="D303" s="2497"/>
      <c r="E303" s="2524" t="s">
        <v>1127</v>
      </c>
      <c r="F303" s="2525"/>
      <c r="G303" s="2502"/>
      <c r="H303" s="2526"/>
      <c r="I303" s="2526"/>
      <c r="J303" s="2526"/>
      <c r="K303" s="2526"/>
      <c r="L303" s="2526"/>
      <c r="M303" s="113"/>
      <c r="N303" s="113"/>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113"/>
      <c r="AW303" s="113"/>
      <c r="AX303" s="113"/>
      <c r="AY303" s="113"/>
      <c r="AZ303" s="113"/>
      <c r="BA303" s="113"/>
      <c r="BB303" s="113"/>
      <c r="BC303" s="113"/>
      <c r="BD303" s="113"/>
      <c r="BE303" s="113"/>
      <c r="BF303" s="113"/>
      <c r="BG303" s="113"/>
      <c r="BH303" s="113"/>
      <c r="BI303" s="113"/>
    </row>
    <row r="304" spans="1:61">
      <c r="A304" s="397"/>
      <c r="B304" s="41"/>
      <c r="C304" s="4128" t="str">
        <f>'EmVap-Vol'!D117</f>
        <v>Ext. parking</v>
      </c>
      <c r="D304" s="4129"/>
      <c r="E304" s="103"/>
      <c r="F304" s="147"/>
      <c r="G304" s="161"/>
      <c r="H304" s="113"/>
      <c r="I304" s="113"/>
      <c r="J304" s="113"/>
      <c r="K304" s="113"/>
      <c r="L304" s="113"/>
      <c r="M304" s="113"/>
      <c r="N304" s="113"/>
      <c r="O304" s="113"/>
      <c r="P304" s="113"/>
      <c r="Q304" s="113"/>
      <c r="R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113"/>
      <c r="AW304" s="113"/>
      <c r="AX304" s="113"/>
      <c r="AY304" s="113"/>
      <c r="AZ304" s="113"/>
      <c r="BA304" s="113"/>
      <c r="BB304" s="113"/>
      <c r="BC304" s="113"/>
      <c r="BD304" s="113"/>
      <c r="BE304" s="113"/>
      <c r="BF304" s="113"/>
      <c r="BG304" s="113"/>
      <c r="BH304" s="113"/>
      <c r="BI304" s="113"/>
    </row>
    <row r="305" spans="1:61" s="43" customFormat="1">
      <c r="A305" s="398"/>
      <c r="B305" s="100"/>
      <c r="C305" s="4128"/>
      <c r="D305" s="4129"/>
      <c r="E305" s="102" t="str">
        <f>'3phas'!E29</f>
        <v>Concentration dans l'air du sol</v>
      </c>
      <c r="F305" s="12" t="str">
        <f>'3phas'!F29</f>
        <v>Csao</v>
      </c>
      <c r="G305" s="89" t="str">
        <f>'3phas'!G29</f>
        <v>mg/lsa</v>
      </c>
      <c r="H305" s="113">
        <f>'3phas'!H29</f>
        <v>2.6344915493597683E-5</v>
      </c>
      <c r="I305" s="113">
        <f>'3phas'!I29</f>
        <v>2.6344915493597683E-5</v>
      </c>
      <c r="J305" s="113">
        <f>'3phas'!J29</f>
        <v>1.7294665170559828E-4</v>
      </c>
      <c r="K305" s="113">
        <f>'3phas'!K29</f>
        <v>3.8533137340406046E-2</v>
      </c>
      <c r="L305" s="113">
        <f>'3phas'!L29</f>
        <v>7.2043886661145619E-3</v>
      </c>
      <c r="M305" s="113">
        <f>'3phas'!M29</f>
        <v>7.2043886661145619E-3</v>
      </c>
      <c r="N305" s="113">
        <f>'3phas'!N29</f>
        <v>1.4209304329284909E-2</v>
      </c>
      <c r="O305" s="113">
        <f>'3phas'!O29</f>
        <v>1.4209304329284909E-2</v>
      </c>
      <c r="P305" s="113">
        <f>'3phas'!P29</f>
        <v>1.5512881309499849E-2</v>
      </c>
      <c r="Q305" s="113">
        <f>'3phas'!Q29</f>
        <v>1.5512881309499849E-2</v>
      </c>
      <c r="R305" s="113">
        <f>'3phas'!R29</f>
        <v>6.2357526395766232E-3</v>
      </c>
      <c r="S305" s="113">
        <f>'3phas'!S29</f>
        <v>5.8502321443335116E-3</v>
      </c>
      <c r="T305" s="113">
        <f>'3phas'!T29</f>
        <v>5.8502321443335116E-3</v>
      </c>
      <c r="U305" s="113">
        <f>'3phas'!U29</f>
        <v>2.7542637283837157E-2</v>
      </c>
      <c r="V305" s="113">
        <f>'3phas'!V29</f>
        <v>4.5081833000455138E-2</v>
      </c>
      <c r="W305" s="113">
        <f>'3phas'!W29</f>
        <v>4.5081833000455138E-2</v>
      </c>
      <c r="X305" s="113">
        <f>'3phas'!X29</f>
        <v>8.6485661989017699E-3</v>
      </c>
      <c r="Y305" s="113">
        <f>'3phas'!Y29</f>
        <v>5.993965977385691E-3</v>
      </c>
      <c r="Z305" s="113">
        <f>'3phas'!Z29</f>
        <v>3.5497292270791521E-3</v>
      </c>
      <c r="AA305" s="113">
        <f>'3phas'!AA29</f>
        <v>2.3813702260309095E-3</v>
      </c>
      <c r="AB305" s="113">
        <f>'3phas'!AB29</f>
        <v>2.6932603294411986E-3</v>
      </c>
      <c r="AC305" s="113">
        <f>'3phas'!AC29</f>
        <v>5.2554793006195943E-4</v>
      </c>
      <c r="AD305" s="113">
        <f>'3phas'!AD29</f>
        <v>1.028672332145031E-4</v>
      </c>
      <c r="AE305" s="113">
        <f>'3phas'!AE29</f>
        <v>1.2826753318511306E-5</v>
      </c>
      <c r="AF305" s="113">
        <f>'3phas'!AF29</f>
        <v>5.3163648152556569E-8</v>
      </c>
      <c r="AG305" s="113">
        <f>'3phas'!AG29</f>
        <v>6.1940871390656474E-2</v>
      </c>
      <c r="AH305" s="113">
        <f>'3phas'!AH29</f>
        <v>4.6377578561443124E-2</v>
      </c>
      <c r="AI305" s="113">
        <f>'3phas'!AI29</f>
        <v>1.8857794422825369E-2</v>
      </c>
      <c r="AJ305" s="113">
        <f>'3phas'!AJ29</f>
        <v>4.4889687551390436E-3</v>
      </c>
      <c r="AK305" s="113">
        <f>'3phas'!AK29</f>
        <v>1.0233523087107474E-3</v>
      </c>
      <c r="AL305" s="113">
        <f>'3phas'!AL29</f>
        <v>7.7579419375401509E-5</v>
      </c>
      <c r="AM305" s="113">
        <f>'3phas'!AM29</f>
        <v>5.3702795063791614E-7</v>
      </c>
      <c r="AN305" s="113">
        <f>'3phas'!AN29</f>
        <v>4.2745064887962941E-5</v>
      </c>
      <c r="AO305" s="113">
        <f>'3phas'!AO29</f>
        <v>1.1674416703897762E-5</v>
      </c>
      <c r="AP305" s="113">
        <f>'3phas'!AP29</f>
        <v>1.9530721705911088E-5</v>
      </c>
      <c r="AQ305" s="113">
        <f>'3phas'!AQ29</f>
        <v>7.908256947449179E-6</v>
      </c>
      <c r="AR305" s="113">
        <f>'3phas'!AR29</f>
        <v>1.5833670554255824E-6</v>
      </c>
      <c r="AS305" s="113">
        <f>'3phas'!AS29</f>
        <v>2.0451082714404039E-6</v>
      </c>
      <c r="AT305" s="113">
        <f>'3phas'!AT29</f>
        <v>1.4928371240425742E-7</v>
      </c>
      <c r="AU305" s="113">
        <f>'3phas'!AU29</f>
        <v>1.4361262823078676E-7</v>
      </c>
      <c r="AV305" s="113">
        <f>'3phas'!AV29</f>
        <v>2.2911220155058073E-8</v>
      </c>
      <c r="AW305" s="113">
        <f>'3phas'!AW29</f>
        <v>2.2076853681384033E-8</v>
      </c>
      <c r="AX305" s="113">
        <f>'3phas'!AX29</f>
        <v>7.7706494784308005E-10</v>
      </c>
      <c r="AY305" s="113">
        <f>'3phas'!AY29</f>
        <v>5.3329663902576087E-10</v>
      </c>
      <c r="AZ305" s="113">
        <f>'3phas'!AZ29</f>
        <v>3.5612607863435816E-10</v>
      </c>
      <c r="BA305" s="113">
        <f>'3phas'!BA29</f>
        <v>6.150661140942291E-11</v>
      </c>
      <c r="BB305" s="113">
        <f>'3phas'!BB29</f>
        <v>9.7385899742535782E-10</v>
      </c>
      <c r="BC305" s="113">
        <f>'3phas'!BC29</f>
        <v>2.5870688218630141E-16</v>
      </c>
      <c r="BD305" s="113">
        <f>'3phas'!BD29</f>
        <v>9.3547154384050273E-7</v>
      </c>
      <c r="BE305" s="113">
        <f>'3phas'!BE29</f>
        <v>2.0762670819205671E-8</v>
      </c>
      <c r="BF305" s="113">
        <f>'3phas'!BF29</f>
        <v>2.0762670819205671E-8</v>
      </c>
      <c r="BG305" s="113">
        <f>'3phas'!BG29</f>
        <v>1.696696593449333E-2</v>
      </c>
      <c r="BH305" s="113">
        <f>'3phas'!BH29</f>
        <v>1.2439792874542166E-6</v>
      </c>
      <c r="BI305" s="113">
        <f>'3phas'!BI29</f>
        <v>9.6251339173241278E-6</v>
      </c>
    </row>
    <row r="306" spans="1:61" s="43" customFormat="1">
      <c r="A306" s="398"/>
      <c r="B306" s="100"/>
      <c r="C306" s="2498"/>
      <c r="D306" s="2499"/>
      <c r="E306" s="102"/>
      <c r="F306" s="12"/>
      <c r="G306" s="89"/>
      <c r="H306" s="113"/>
      <c r="I306" s="113"/>
      <c r="J306" s="113"/>
      <c r="K306" s="113"/>
      <c r="L306" s="113"/>
      <c r="M306" s="113"/>
      <c r="N306" s="113"/>
      <c r="O306" s="113"/>
      <c r="P306" s="113"/>
      <c r="Q306" s="113"/>
      <c r="R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row>
    <row r="307" spans="1:61">
      <c r="A307" s="33"/>
      <c r="B307" s="33"/>
      <c r="C307" s="2498"/>
      <c r="D307" s="2499"/>
      <c r="E307" s="145" t="s">
        <v>203</v>
      </c>
      <c r="F307" s="12"/>
      <c r="G307" s="89"/>
      <c r="H307" s="113"/>
      <c r="I307" s="113"/>
      <c r="J307" s="113"/>
      <c r="K307" s="113"/>
      <c r="L307" s="113"/>
      <c r="M307" s="113"/>
      <c r="N307" s="113"/>
      <c r="O307" s="113"/>
      <c r="P307" s="113"/>
      <c r="Q307" s="113"/>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row>
    <row r="308" spans="1:61">
      <c r="A308" s="33"/>
      <c r="B308" s="33"/>
      <c r="C308" s="2498"/>
      <c r="D308" s="2499"/>
      <c r="E308" s="588" t="s">
        <v>658</v>
      </c>
      <c r="F308" s="12"/>
      <c r="G308" s="89"/>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row>
    <row r="309" spans="1:61">
      <c r="A309" s="33"/>
      <c r="B309" s="33"/>
      <c r="C309" s="2498"/>
      <c r="D309" s="2499"/>
      <c r="E309" s="200" t="str">
        <f>'EmVap-Vol'!E123</f>
        <v>CT de l'air du sol de la source à l'émission, avant contrôle masse</v>
      </c>
      <c r="F309" s="14" t="s">
        <v>204</v>
      </c>
      <c r="G309" s="89" t="str">
        <f>'EmVap-Vol'!G123</f>
        <v>(mg/m2/s)/(mg/l)</v>
      </c>
      <c r="H309" s="113">
        <f>'EmVap-Vol'!H123</f>
        <v>6.6486977684214964E-4</v>
      </c>
      <c r="I309" s="113">
        <f>'EmVap-Vol'!I123</f>
        <v>6.6486977684214964E-4</v>
      </c>
      <c r="J309" s="113">
        <f>'EmVap-Vol'!J123</f>
        <v>6.834024110323136E-4</v>
      </c>
      <c r="K309" s="113">
        <f>'EmVap-Vol'!K123</f>
        <v>1.374656756081909E-3</v>
      </c>
      <c r="L309" s="113">
        <f>'EmVap-Vol'!L123</f>
        <v>9.5447865327951407E-4</v>
      </c>
      <c r="M309" s="113">
        <f>'EmVap-Vol'!M123</f>
        <v>9.5447865327951407E-4</v>
      </c>
      <c r="N309" s="113">
        <f>'EmVap-Vol'!N123</f>
        <v>1.0245083370799134E-3</v>
      </c>
      <c r="O309" s="113">
        <f>'EmVap-Vol'!O123</f>
        <v>1.0245083370799134E-3</v>
      </c>
      <c r="P309" s="113">
        <f>'EmVap-Vol'!P123</f>
        <v>9.3372911733865507E-4</v>
      </c>
      <c r="Q309" s="113">
        <f>'EmVap-Vol'!Q123</f>
        <v>9.3372911733865507E-4</v>
      </c>
      <c r="R309" s="113">
        <f>'EmVap-Vol'!R123</f>
        <v>1.3227829162297616E-2</v>
      </c>
      <c r="S309" s="113">
        <f>'EmVap-Vol'!S123</f>
        <v>1.3487198361558351E-3</v>
      </c>
      <c r="T309" s="113">
        <f>'EmVap-Vol'!T123</f>
        <v>1.3487198361558351E-3</v>
      </c>
      <c r="U309" s="113">
        <f>'EmVap-Vol'!U123</f>
        <v>1.0115398771168762E-3</v>
      </c>
      <c r="V309" s="113">
        <f>'EmVap-Vol'!V123</f>
        <v>3.6936102428076855E-4</v>
      </c>
      <c r="W309" s="113">
        <f>'EmVap-Vol'!W123</f>
        <v>3.6936102428076855E-4</v>
      </c>
      <c r="X309" s="113">
        <f>'EmVap-Vol'!X123</f>
        <v>1.0626932469710775E-3</v>
      </c>
      <c r="Y309" s="113">
        <f>'EmVap-Vol'!Y123</f>
        <v>9.5462274727910331E-4</v>
      </c>
      <c r="Z309" s="113">
        <f>'EmVap-Vol'!Z123</f>
        <v>8.7537104750498921E-4</v>
      </c>
      <c r="AA309" s="113">
        <f>'EmVap-Vol'!AA123</f>
        <v>8.7537104750498921E-4</v>
      </c>
      <c r="AB309" s="113">
        <f>'EmVap-Vol'!AB123</f>
        <v>4.1066789882950115E-4</v>
      </c>
      <c r="AC309" s="113">
        <f>'EmVap-Vol'!AC123</f>
        <v>3.79078060458001E-4</v>
      </c>
      <c r="AD309" s="113">
        <f>'EmVap-Vol'!AD123</f>
        <v>3.2853431906360096E-4</v>
      </c>
      <c r="AE309" s="113">
        <f>'EmVap-Vol'!AE123</f>
        <v>2.5936919926073754E-4</v>
      </c>
      <c r="AF309" s="113">
        <f>'EmVap-Vol'!AF123</f>
        <v>2.0533394941475057E-4</v>
      </c>
      <c r="AG309" s="113">
        <f>'EmVap-Vol'!AG123</f>
        <v>6.0839688715481639E-4</v>
      </c>
      <c r="AH309" s="113">
        <f>'EmVap-Vol'!AH123</f>
        <v>4.9280147859540133E-4</v>
      </c>
      <c r="AI309" s="113">
        <f>'EmVap-Vol'!AI123</f>
        <v>3.79078060458001E-4</v>
      </c>
      <c r="AJ309" s="113">
        <f>'EmVap-Vol'!AJ123</f>
        <v>3.0800092412212578E-4</v>
      </c>
      <c r="AK309" s="113">
        <f>'EmVap-Vol'!AK123</f>
        <v>2.4640073929770067E-4</v>
      </c>
      <c r="AL309" s="113">
        <f>'EmVap-Vol'!AL123</f>
        <v>1.8251906614644495E-4</v>
      </c>
      <c r="AM309" s="113">
        <f>'EmVap-Vol'!AM123</f>
        <v>1.5400046206106289E-4</v>
      </c>
      <c r="AN309" s="113">
        <f>'EmVap-Vol'!AN123</f>
        <v>3.8443051610531344E-4</v>
      </c>
      <c r="AO309" s="113">
        <f>'EmVap-Vol'!AO123</f>
        <v>3.2378546556859479E-4</v>
      </c>
      <c r="AP309" s="113">
        <f>'EmVap-Vol'!AP123</f>
        <v>3.1956518941404663E-4</v>
      </c>
      <c r="AQ309" s="113">
        <f>'EmVap-Vol'!AQ123</f>
        <v>2.9651111828844843E-4</v>
      </c>
      <c r="AR309" s="113">
        <f>'EmVap-Vol'!AR123</f>
        <v>2.7654403961582569E-4</v>
      </c>
      <c r="AS309" s="113">
        <f>'EmVap-Vol'!AS123</f>
        <v>2.7654403961582569E-4</v>
      </c>
      <c r="AT309" s="113">
        <f>'EmVap-Vol'!AT123</f>
        <v>2.4359934680939262E-4</v>
      </c>
      <c r="AU309" s="113">
        <f>'EmVap-Vol'!AU123</f>
        <v>2.4359934680939262E-4</v>
      </c>
      <c r="AV309" s="113">
        <f>'EmVap-Vol'!AV123</f>
        <v>2.1585697704572989E-4</v>
      </c>
      <c r="AW309" s="113">
        <f>'EmVap-Vol'!AW123</f>
        <v>2.1585697704572989E-4</v>
      </c>
      <c r="AX309" s="113">
        <f>'EmVap-Vol'!AX123</f>
        <v>1.9530813197344695E-4</v>
      </c>
      <c r="AY309" s="113">
        <f>'EmVap-Vol'!AY123</f>
        <v>1.9530813197344695E-4</v>
      </c>
      <c r="AZ309" s="113">
        <f>'EmVap-Vol'!AZ123</f>
        <v>1.953236141876343E-4</v>
      </c>
      <c r="BA309" s="113">
        <f>'EmVap-Vol'!BA123</f>
        <v>1.7701202535754361E-4</v>
      </c>
      <c r="BB309" s="113">
        <f>'EmVap-Vol'!BB123</f>
        <v>1.836344755535107E-4</v>
      </c>
      <c r="BC309" s="113">
        <f>'EmVap-Vol'!BC123</f>
        <v>1.7835739362844784E-4</v>
      </c>
      <c r="BD309" s="113">
        <f>'EmVap-Vol'!BD123</f>
        <v>1.0634137169690239E-3</v>
      </c>
      <c r="BE309" s="113">
        <f>'EmVap-Vol'!BE123</f>
        <v>1.9137921498850536E-4</v>
      </c>
      <c r="BF309" s="113">
        <f>'EmVap-Vol'!BF123</f>
        <v>1.9137921498850536E-4</v>
      </c>
      <c r="BG309" s="113">
        <f>'EmVap-Vol'!BG123</f>
        <v>3.9813172086523212E-4</v>
      </c>
      <c r="BH309" s="113">
        <f>'EmVap-Vol'!BH123</f>
        <v>7.0029683800399139E-4</v>
      </c>
      <c r="BI309" s="113">
        <f>'EmVap-Vol'!BI123</f>
        <v>2.1787012737901953E-3</v>
      </c>
    </row>
    <row r="310" spans="1:61">
      <c r="A310" s="33"/>
      <c r="B310" s="33"/>
      <c r="C310" s="2498"/>
      <c r="D310" s="2499"/>
      <c r="E310" s="588" t="str">
        <f>'EmVap-Vol'!E70</f>
        <v>Période chronique</v>
      </c>
      <c r="F310" s="12"/>
      <c r="G310" s="89"/>
      <c r="H310" s="113"/>
      <c r="I310" s="113"/>
      <c r="J310" s="113"/>
      <c r="K310" s="113"/>
      <c r="L310" s="113"/>
      <c r="M310" s="113"/>
      <c r="N310" s="113"/>
      <c r="O310" s="113"/>
      <c r="P310" s="113"/>
      <c r="Q310" s="113"/>
      <c r="R310" s="113"/>
      <c r="S310" s="113"/>
      <c r="T310" s="113"/>
      <c r="U310" s="113"/>
      <c r="V310" s="113"/>
      <c r="W310" s="113"/>
      <c r="X310" s="113"/>
      <c r="Y310" s="113"/>
      <c r="Z310" s="113"/>
      <c r="AA310" s="113"/>
      <c r="AB310" s="113"/>
      <c r="AC310" s="113"/>
      <c r="AD310" s="113"/>
      <c r="AE310" s="113"/>
      <c r="AF310" s="113"/>
      <c r="AG310" s="113"/>
      <c r="AH310" s="113"/>
      <c r="AI310" s="113"/>
      <c r="AJ310" s="113"/>
      <c r="AK310" s="113"/>
      <c r="AL310" s="113"/>
      <c r="AM310" s="113"/>
      <c r="AN310" s="113"/>
      <c r="AO310" s="113"/>
      <c r="AP310" s="113"/>
      <c r="AQ310" s="113"/>
      <c r="AR310" s="113"/>
      <c r="AS310" s="113"/>
      <c r="AT310" s="113"/>
      <c r="AU310" s="113"/>
      <c r="AV310" s="113"/>
      <c r="AW310" s="113"/>
      <c r="AX310" s="113"/>
      <c r="AY310" s="113"/>
      <c r="AZ310" s="113"/>
      <c r="BA310" s="113"/>
      <c r="BB310" s="113"/>
      <c r="BC310" s="113"/>
      <c r="BD310" s="113"/>
      <c r="BE310" s="113"/>
      <c r="BF310" s="113"/>
      <c r="BG310" s="113"/>
      <c r="BH310" s="113"/>
      <c r="BI310" s="113"/>
    </row>
    <row r="311" spans="1:61" ht="25.5">
      <c r="A311" s="97"/>
      <c r="B311" s="100"/>
      <c r="C311" s="2498"/>
      <c r="D311" s="2499"/>
      <c r="E311" s="103" t="str">
        <f>'EmVap-Vol'!E152</f>
        <v>CT de l'air du sol de la source à l'émission (après contrôle de masse)</v>
      </c>
      <c r="F311" s="14" t="str">
        <f>'EmVap-Vol'!F152</f>
        <v>CTsao-&gt;ém</v>
      </c>
      <c r="G311" s="105" t="str">
        <f>'EmVap-Vol'!G152</f>
        <v>(mg/m2/s)/(mg/l)</v>
      </c>
      <c r="H311" s="113">
        <f>'EmVap-Vol'!H152</f>
        <v>4.9802053720432611E-4</v>
      </c>
      <c r="I311" s="113">
        <f>'EmVap-Vol'!I152</f>
        <v>4.9802053720432611E-4</v>
      </c>
      <c r="J311" s="113">
        <f>'EmVap-Vol'!J152</f>
        <v>2.7478838437639029E-4</v>
      </c>
      <c r="K311" s="113">
        <f>'EmVap-Vol'!K152</f>
        <v>3.7031519823149957E-5</v>
      </c>
      <c r="L311" s="113">
        <f>'EmVap-Vol'!L152</f>
        <v>1.5442333338168323E-4</v>
      </c>
      <c r="M311" s="113">
        <f>'EmVap-Vol'!M152</f>
        <v>1.5442333338168323E-4</v>
      </c>
      <c r="N311" s="113">
        <f>'EmVap-Vol'!N152</f>
        <v>1.0042297681868412E-4</v>
      </c>
      <c r="O311" s="113">
        <f>'EmVap-Vol'!O152</f>
        <v>1.0042297681868412E-4</v>
      </c>
      <c r="P311" s="113">
        <f>'EmVap-Vol'!P152</f>
        <v>9.1984242694848056E-5</v>
      </c>
      <c r="Q311" s="113">
        <f>'EmVap-Vol'!Q152</f>
        <v>9.1984242694848056E-5</v>
      </c>
      <c r="R311" s="113">
        <f>'EmVap-Vol'!R152</f>
        <v>2.2883214292577979E-4</v>
      </c>
      <c r="S311" s="113">
        <f>'EmVap-Vol'!S152</f>
        <v>2.0486690438750512E-4</v>
      </c>
      <c r="T311" s="113">
        <f>'EmVap-Vol'!T152</f>
        <v>2.0486690438750512E-4</v>
      </c>
      <c r="U311" s="113">
        <f>'EmVap-Vol'!U152</f>
        <v>5.1808424319147455E-5</v>
      </c>
      <c r="V311" s="113">
        <f>'EmVap-Vol'!V152</f>
        <v>3.1652232047774111E-5</v>
      </c>
      <c r="W311" s="113">
        <f>'EmVap-Vol'!W152</f>
        <v>3.1652232047774111E-5</v>
      </c>
      <c r="X311" s="113">
        <f>'EmVap-Vol'!X152</f>
        <v>1.5045290092405015E-4</v>
      </c>
      <c r="Y311" s="113">
        <f>'EmVap-Vol'!Y152</f>
        <v>1.6783214799113056E-4</v>
      </c>
      <c r="Z311" s="113">
        <f>'EmVap-Vol'!Z152</f>
        <v>2.0178289485970859E-4</v>
      </c>
      <c r="AA311" s="113">
        <f>'EmVap-Vol'!AA152</f>
        <v>8.5601415741445673E-5</v>
      </c>
      <c r="AB311" s="113">
        <f>'EmVap-Vol'!AB152</f>
        <v>1.4537034274688068E-4</v>
      </c>
      <c r="AC311" s="113">
        <f>'EmVap-Vol'!AC152</f>
        <v>2.3910071773285076E-4</v>
      </c>
      <c r="AD311" s="113">
        <f>'EmVap-Vol'!AD152</f>
        <v>2.8865049617058779E-4</v>
      </c>
      <c r="AE311" s="113">
        <f>'EmVap-Vol'!AE152</f>
        <v>2.5549529946242237E-4</v>
      </c>
      <c r="AF311" s="113">
        <f>'EmVap-Vol'!AF152</f>
        <v>2.0532485707479642E-4</v>
      </c>
      <c r="AG311" s="113">
        <f>'EmVap-Vol'!AG152</f>
        <v>2.3037141829500553E-5</v>
      </c>
      <c r="AH311" s="113">
        <f>'EmVap-Vol'!AH152</f>
        <v>3.0767898703010778E-5</v>
      </c>
      <c r="AI311" s="113">
        <f>'EmVap-Vol'!AI152</f>
        <v>6.022201380257751E-5</v>
      </c>
      <c r="AJ311" s="113">
        <f>'EmVap-Vol'!AJ152</f>
        <v>9.9751959877029424E-5</v>
      </c>
      <c r="AK311" s="113">
        <f>'EmVap-Vol'!AK152</f>
        <v>1.454561523128974E-4</v>
      </c>
      <c r="AL311" s="113">
        <f>'EmVap-Vol'!AL152</f>
        <v>1.7183878560301572E-4</v>
      </c>
      <c r="AM311" s="113">
        <f>'EmVap-Vol'!AM152</f>
        <v>1.5394112856035788E-4</v>
      </c>
      <c r="AN311" s="113">
        <f>'EmVap-Vol'!AN152</f>
        <v>2.7864685692046055E-4</v>
      </c>
      <c r="AO311" s="113">
        <f>'EmVap-Vol'!AO152</f>
        <v>3.1842482063063776E-4</v>
      </c>
      <c r="AP311" s="113">
        <f>'EmVap-Vol'!AP152</f>
        <v>3.1093735855252156E-4</v>
      </c>
      <c r="AQ311" s="113">
        <f>'EmVap-Vol'!AQ152</f>
        <v>2.9343298671363787E-4</v>
      </c>
      <c r="AR311" s="113">
        <f>'EmVap-Vol'!AR152</f>
        <v>2.7602150701917598E-4</v>
      </c>
      <c r="AS311" s="113">
        <f>'EmVap-Vol'!AS152</f>
        <v>2.7586113169736354E-4</v>
      </c>
      <c r="AT311" s="113">
        <f>'EmVap-Vol'!AT152</f>
        <v>2.4356604366984608E-4</v>
      </c>
      <c r="AU311" s="113">
        <f>'EmVap-Vol'!AU152</f>
        <v>2.4356805864693656E-4</v>
      </c>
      <c r="AV311" s="113">
        <f>'EmVap-Vol'!AV152</f>
        <v>2.1585349022626627E-4</v>
      </c>
      <c r="AW311" s="113">
        <f>'EmVap-Vol'!AW152</f>
        <v>2.1585389410496759E-4</v>
      </c>
      <c r="AX311" s="113">
        <f>'EmVap-Vol'!AX152</f>
        <v>1.9530812363098554E-4</v>
      </c>
      <c r="AY311" s="113">
        <f>'EmVap-Vol'!AY152</f>
        <v>1.9530812646196576E-4</v>
      </c>
      <c r="AZ311" s="113">
        <f>'EmVap-Vol'!AZ152</f>
        <v>1.9532361156184607E-4</v>
      </c>
      <c r="BA311" s="113">
        <f>'EmVap-Vol'!BA152</f>
        <v>1.7701202957256745E-4</v>
      </c>
      <c r="BB311" s="113">
        <f>'EmVap-Vol'!BB152</f>
        <v>1.8363443993198275E-4</v>
      </c>
      <c r="BC311" s="113">
        <f>'EmVap-Vol'!BC152</f>
        <v>0</v>
      </c>
      <c r="BD311" s="113">
        <f>'EmVap-Vol'!BD152</f>
        <v>1.0628592851016114E-3</v>
      </c>
      <c r="BE311" s="113">
        <f>'EmVap-Vol'!BE152</f>
        <v>1.9137647543194503E-4</v>
      </c>
      <c r="BF311" s="113">
        <f>'EmVap-Vol'!BF152</f>
        <v>1.9137647543194503E-4</v>
      </c>
      <c r="BG311" s="113">
        <f>'EmVap-Vol'!BG152</f>
        <v>3.7845498726782705E-5</v>
      </c>
      <c r="BH311" s="113">
        <f>'EmVap-Vol'!BH152</f>
        <v>6.9988991263443448E-4</v>
      </c>
      <c r="BI311" s="113">
        <f>'EmVap-Vol'!BI152</f>
        <v>1.6753976195100356E-3</v>
      </c>
    </row>
    <row r="312" spans="1:61">
      <c r="A312" s="97"/>
      <c r="B312" s="100"/>
      <c r="C312" s="2498"/>
      <c r="D312" s="2499"/>
      <c r="E312" s="3927" t="s">
        <v>950</v>
      </c>
      <c r="F312" s="14"/>
      <c r="G312" s="105"/>
      <c r="H312" s="113"/>
      <c r="I312" s="113"/>
      <c r="J312" s="113"/>
      <c r="K312" s="113"/>
      <c r="L312" s="113"/>
      <c r="M312" s="113"/>
      <c r="N312" s="113"/>
      <c r="O312" s="113"/>
      <c r="P312" s="113"/>
      <c r="Q312" s="113"/>
      <c r="R312" s="113"/>
      <c r="S312" s="113"/>
      <c r="T312" s="113"/>
      <c r="U312" s="113"/>
      <c r="V312" s="113"/>
      <c r="W312" s="113"/>
      <c r="X312" s="113"/>
      <c r="Y312" s="113"/>
      <c r="Z312" s="113"/>
      <c r="AA312" s="113"/>
      <c r="AB312" s="113"/>
      <c r="AC312" s="113"/>
      <c r="AD312" s="113"/>
      <c r="AE312" s="113"/>
      <c r="AF312" s="113"/>
      <c r="AG312" s="113"/>
      <c r="AH312" s="113"/>
      <c r="AI312" s="113"/>
      <c r="AJ312" s="113"/>
      <c r="AK312" s="113"/>
      <c r="AL312" s="113"/>
      <c r="AM312" s="113"/>
      <c r="AN312" s="113"/>
      <c r="AO312" s="113"/>
      <c r="AP312" s="113"/>
      <c r="AQ312" s="113"/>
      <c r="AR312" s="113"/>
      <c r="AS312" s="113"/>
      <c r="AT312" s="113"/>
      <c r="AU312" s="113"/>
      <c r="AV312" s="113"/>
      <c r="AW312" s="113"/>
      <c r="AX312" s="113"/>
      <c r="AY312" s="113"/>
      <c r="AZ312" s="113"/>
      <c r="BA312" s="113"/>
      <c r="BB312" s="113"/>
      <c r="BC312" s="113"/>
      <c r="BD312" s="113"/>
      <c r="BE312" s="113"/>
      <c r="BF312" s="113"/>
      <c r="BG312" s="113"/>
      <c r="BH312" s="113"/>
      <c r="BI312" s="113"/>
    </row>
    <row r="313" spans="1:61" ht="25.5">
      <c r="A313" s="97"/>
      <c r="B313" s="100"/>
      <c r="C313" s="2498"/>
      <c r="D313" s="2499"/>
      <c r="E313" s="3498" t="str">
        <f>'EmVap-Vol'!E161</f>
        <v>CT de l'air du sol de la source à l'émission (après contrôle de masse)</v>
      </c>
      <c r="F313" s="14" t="str">
        <f>'EmVap-Vol'!F161</f>
        <v>CTsao-&gt;ém</v>
      </c>
      <c r="G313" s="105" t="str">
        <f>'EmVap-Vol'!G161</f>
        <v>(mg/m2/s)/(mg/l)</v>
      </c>
      <c r="H313" s="113">
        <f>'EmVap-Vol'!H161</f>
        <v>6.5791774335197096E-4</v>
      </c>
      <c r="I313" s="113">
        <f>'EmVap-Vol'!I161</f>
        <v>6.5791774335197096E-4</v>
      </c>
      <c r="J313" s="113">
        <f>'EmVap-Vol'!J161</f>
        <v>6.318260685512692E-4</v>
      </c>
      <c r="K313" s="113">
        <f>'EmVap-Vol'!K161</f>
        <v>1.9797029282843322E-4</v>
      </c>
      <c r="L313" s="113">
        <f>'EmVap-Vol'!L161</f>
        <v>3.3294152677494003E-4</v>
      </c>
      <c r="M313" s="113">
        <f>'EmVap-Vol'!M161</f>
        <v>3.3294152677494003E-4</v>
      </c>
      <c r="N313" s="113">
        <f>'EmVap-Vol'!N161</f>
        <v>2.6240058960849992E-4</v>
      </c>
      <c r="O313" s="113">
        <f>'EmVap-Vol'!O161</f>
        <v>2.6240058960849992E-4</v>
      </c>
      <c r="P313" s="113">
        <f>'EmVap-Vol'!P161</f>
        <v>2.3964938903253411E-4</v>
      </c>
      <c r="Q313" s="113">
        <f>'EmVap-Vol'!Q161</f>
        <v>2.3964938903253411E-4</v>
      </c>
      <c r="R313" s="113">
        <f>'EmVap-Vol'!R161</f>
        <v>1.3692415109493382E-3</v>
      </c>
      <c r="S313" s="113">
        <f>'EmVap-Vol'!S161</f>
        <v>4.45349638847559E-4</v>
      </c>
      <c r="T313" s="113">
        <f>'EmVap-Vol'!T161</f>
        <v>4.45349638847559E-4</v>
      </c>
      <c r="U313" s="113">
        <f>'EmVap-Vol'!U161</f>
        <v>1.9506559377280175E-4</v>
      </c>
      <c r="V313" s="113">
        <f>'EmVap-Vol'!V161</f>
        <v>8.9293990262429132E-5</v>
      </c>
      <c r="W313" s="113">
        <f>'EmVap-Vol'!W161</f>
        <v>8.9293990262429132E-5</v>
      </c>
      <c r="X313" s="113">
        <f>'EmVap-Vol'!X161</f>
        <v>3.2986022939213372E-4</v>
      </c>
      <c r="Y313" s="113">
        <f>'EmVap-Vol'!Y161</f>
        <v>3.5761585111316642E-4</v>
      </c>
      <c r="Z313" s="113">
        <f>'EmVap-Vol'!Z161</f>
        <v>4.1018644766192559E-4</v>
      </c>
      <c r="AA313" s="113">
        <f>'EmVap-Vol'!AA161</f>
        <v>4.6843322314305604E-4</v>
      </c>
      <c r="AB313" s="113">
        <f>'EmVap-Vol'!AB161</f>
        <v>2.642093132739381E-4</v>
      </c>
      <c r="AC313" s="113">
        <f>'EmVap-Vol'!AC161</f>
        <v>3.3355200139288953E-4</v>
      </c>
      <c r="AD313" s="113">
        <f>'EmVap-Vol'!AD161</f>
        <v>3.2032565327505384E-4</v>
      </c>
      <c r="AE313" s="113">
        <f>'EmVap-Vol'!AE161</f>
        <v>2.5870540950689565E-4</v>
      </c>
      <c r="AF313" s="113">
        <f>'EmVap-Vol'!AF161</f>
        <v>2.0533242976238797E-4</v>
      </c>
      <c r="AG313" s="113">
        <f>'EmVap-Vol'!AG161</f>
        <v>1.0239370632485031E-4</v>
      </c>
      <c r="AH313" s="113">
        <f>'EmVap-Vol'!AH161</f>
        <v>1.0375979492330098E-4</v>
      </c>
      <c r="AI313" s="113">
        <f>'EmVap-Vol'!AI161</f>
        <v>1.3015765371197582E-4</v>
      </c>
      <c r="AJ313" s="113">
        <f>'EmVap-Vol'!AJ161</f>
        <v>1.8643257218338568E-4</v>
      </c>
      <c r="AK313" s="113">
        <f>'EmVap-Vol'!AK161</f>
        <v>2.1092619335422828E-4</v>
      </c>
      <c r="AL313" s="113">
        <f>'EmVap-Vol'!AL161</f>
        <v>1.805486154785422E-4</v>
      </c>
      <c r="AM313" s="113">
        <f>'EmVap-Vol'!AM161</f>
        <v>1.5399053968472918E-4</v>
      </c>
      <c r="AN313" s="113">
        <f>'EmVap-Vol'!AN161</f>
        <v>3.7973998651364386E-4</v>
      </c>
      <c r="AO313" s="113">
        <f>'EmVap-Vol'!AO161</f>
        <v>3.2286442116808784E-4</v>
      </c>
      <c r="AP313" s="113">
        <f>'EmVap-Vol'!AP161</f>
        <v>3.1805649486743733E-4</v>
      </c>
      <c r="AQ313" s="113">
        <f>'EmVap-Vol'!AQ161</f>
        <v>2.9598769433487366E-4</v>
      </c>
      <c r="AR313" s="113">
        <f>'EmVap-Vol'!AR161</f>
        <v>2.7645643682835941E-4</v>
      </c>
      <c r="AS313" s="113">
        <f>'EmVap-Vol'!AS161</f>
        <v>2.7642943907243175E-4</v>
      </c>
      <c r="AT313" s="113">
        <f>'EmVap-Vol'!AT161</f>
        <v>2.4359377981133474E-4</v>
      </c>
      <c r="AU313" s="113">
        <f>'EmVap-Vol'!AU161</f>
        <v>2.4359411670997166E-4</v>
      </c>
      <c r="AV313" s="113">
        <f>'EmVap-Vol'!AV161</f>
        <v>2.1585639429964499E-4</v>
      </c>
      <c r="AW313" s="113">
        <f>'EmVap-Vol'!AW161</f>
        <v>2.1585646179910894E-4</v>
      </c>
      <c r="AX313" s="113">
        <f>'EmVap-Vol'!AX161</f>
        <v>1.9530813015490809E-4</v>
      </c>
      <c r="AY313" s="113">
        <f>'EmVap-Vol'!AY161</f>
        <v>1.9530813014358823E-4</v>
      </c>
      <c r="AZ313" s="113">
        <f>'EmVap-Vol'!AZ161</f>
        <v>1.9532361479003796E-4</v>
      </c>
      <c r="BA313" s="113">
        <f>'EmVap-Vol'!BA161</f>
        <v>1.7701203058595542E-4</v>
      </c>
      <c r="BB313" s="113">
        <f>'EmVap-Vol'!BB161</f>
        <v>1.8363446967034305E-4</v>
      </c>
      <c r="BC313" s="113">
        <f>'EmVap-Vol'!BC161</f>
        <v>0</v>
      </c>
      <c r="BD313" s="113">
        <f>'EmVap-Vol'!BD161</f>
        <v>1.0633209779744987E-3</v>
      </c>
      <c r="BE313" s="113">
        <f>'EmVap-Vol'!BE161</f>
        <v>1.9137875713218084E-4</v>
      </c>
      <c r="BF313" s="113">
        <f>'EmVap-Vol'!BF161</f>
        <v>1.9137875713218084E-4</v>
      </c>
      <c r="BG313" s="113">
        <f>'EmVap-Vol'!BG161</f>
        <v>1.006607096883207E-4</v>
      </c>
      <c r="BH313" s="113">
        <f>'EmVap-Vol'!BH161</f>
        <v>7.0022876543140262E-4</v>
      </c>
      <c r="BI313" s="113">
        <f>'EmVap-Vol'!BI161</f>
        <v>2.1587514749595764E-3</v>
      </c>
    </row>
    <row r="314" spans="1:61">
      <c r="A314" s="97"/>
      <c r="B314" s="100"/>
      <c r="C314" s="2498"/>
      <c r="D314" s="2499"/>
      <c r="E314" s="588" t="str">
        <f>'EmVap-Vol'!E87</f>
        <v>Période enfant 0-6 ans (effets sans seuil)</v>
      </c>
      <c r="F314" s="14"/>
      <c r="G314" s="105"/>
      <c r="H314" s="113"/>
      <c r="I314" s="113"/>
      <c r="J314" s="113"/>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row>
    <row r="315" spans="1:61" ht="25.5">
      <c r="A315" s="97"/>
      <c r="B315" s="100"/>
      <c r="C315" s="2500"/>
      <c r="D315" s="2499"/>
      <c r="E315" s="103" t="str">
        <f>'EmVap-Vol'!E169</f>
        <v>CT de l'air du sol de la source à l'émission (après contrôle de masse)</v>
      </c>
      <c r="F315" s="14" t="str">
        <f>'EmVap-Vol'!F169</f>
        <v>CTsao-&gt;ém</v>
      </c>
      <c r="G315" s="105" t="str">
        <f>'EmVap-Vol'!G169</f>
        <v>(mg/m2/s)/(mg/l)</v>
      </c>
      <c r="H315" s="113">
        <f>'EmVap-Vol'!H169</f>
        <v>5.1307767524177918E-4</v>
      </c>
      <c r="I315" s="113">
        <f>'EmVap-Vol'!I169</f>
        <v>5.1307767524177918E-4</v>
      </c>
      <c r="J315" s="113">
        <f>'EmVap-Vol'!J169</f>
        <v>2.9089637043237365E-4</v>
      </c>
      <c r="K315" s="113">
        <f>'EmVap-Vol'!K169</f>
        <v>6.1719199705249922E-6</v>
      </c>
      <c r="L315" s="113">
        <f>'EmVap-Vol'!L169</f>
        <v>3.3010911945495617E-5</v>
      </c>
      <c r="M315" s="113">
        <f>'EmVap-Vol'!M169</f>
        <v>3.3010911945495617E-5</v>
      </c>
      <c r="N315" s="113">
        <f>'EmVap-Vol'!N169</f>
        <v>1.673716280311402E-5</v>
      </c>
      <c r="O315" s="113">
        <f>'EmVap-Vol'!O169</f>
        <v>1.673716280311402E-5</v>
      </c>
      <c r="P315" s="113">
        <f>'EmVap-Vol'!P169</f>
        <v>1.5330707115808009E-5</v>
      </c>
      <c r="Q315" s="113">
        <f>'EmVap-Vol'!Q169</f>
        <v>1.5330707115808009E-5</v>
      </c>
      <c r="R315" s="113">
        <f>'EmVap-Vol'!R169</f>
        <v>3.8138690487629963E-5</v>
      </c>
      <c r="S315" s="113">
        <f>'EmVap-Vol'!S169</f>
        <v>4.0651966282840303E-5</v>
      </c>
      <c r="T315" s="113">
        <f>'EmVap-Vol'!T169</f>
        <v>4.0651966282840303E-5</v>
      </c>
      <c r="U315" s="113">
        <f>'EmVap-Vol'!U169</f>
        <v>8.6347373865245747E-6</v>
      </c>
      <c r="V315" s="113">
        <f>'EmVap-Vol'!V169</f>
        <v>5.2753720079623515E-6</v>
      </c>
      <c r="W315" s="113">
        <f>'EmVap-Vol'!W169</f>
        <v>5.2753720079623515E-6</v>
      </c>
      <c r="X315" s="113">
        <f>'EmVap-Vol'!X169</f>
        <v>2.7498597386978914E-5</v>
      </c>
      <c r="Y315" s="113">
        <f>'EmVap-Vol'!Y169</f>
        <v>3.9677142108498037E-5</v>
      </c>
      <c r="Z315" s="113">
        <f>'EmVap-Vol'!Z169</f>
        <v>6.6997628456839868E-5</v>
      </c>
      <c r="AA315" s="113">
        <f>'EmVap-Vol'!AA169</f>
        <v>9.9868318365019948E-5</v>
      </c>
      <c r="AB315" s="113">
        <f>'EmVap-Vol'!AB169</f>
        <v>6.7497611324994418E-5</v>
      </c>
      <c r="AC315" s="113">
        <f>'EmVap-Vol'!AC169</f>
        <v>1.3016642599305894E-4</v>
      </c>
      <c r="AD315" s="113">
        <f>'EmVap-Vol'!AD169</f>
        <v>2.0629887790184548E-4</v>
      </c>
      <c r="AE315" s="113">
        <f>'EmVap-Vol'!AE169</f>
        <v>2.3902580629759751E-4</v>
      </c>
      <c r="AF315" s="113">
        <f>'EmVap-Vol'!AF169</f>
        <v>2.0527941951749566E-4</v>
      </c>
      <c r="AG315" s="113">
        <f>'EmVap-Vol'!AG169</f>
        <v>3.8395236382500922E-6</v>
      </c>
      <c r="AH315" s="113">
        <f>'EmVap-Vol'!AH169</f>
        <v>5.1279831171684633E-6</v>
      </c>
      <c r="AI315" s="113">
        <f>'EmVap-Vol'!AI169</f>
        <v>1.2611413325747907E-5</v>
      </c>
      <c r="AJ315" s="113">
        <f>'EmVap-Vol'!AJ169</f>
        <v>4.5703687795869994E-5</v>
      </c>
      <c r="AK315" s="113">
        <f>'EmVap-Vol'!AK169</f>
        <v>7.6939612860468798E-5</v>
      </c>
      <c r="AL315" s="113">
        <f>'EmVap-Vol'!AL169</f>
        <v>1.399900181625884E-4</v>
      </c>
      <c r="AM315" s="113">
        <f>'EmVap-Vol'!AM169</f>
        <v>1.5364582556968875E-4</v>
      </c>
      <c r="AN315" s="113">
        <f>'EmVap-Vol'!AN169</f>
        <v>2.8774264983894742E-4</v>
      </c>
      <c r="AO315" s="113">
        <f>'EmVap-Vol'!AO169</f>
        <v>2.9599352410902461E-4</v>
      </c>
      <c r="AP315" s="113">
        <f>'EmVap-Vol'!AP169</f>
        <v>2.7814224436153122E-4</v>
      </c>
      <c r="AQ315" s="113">
        <f>'EmVap-Vol'!AQ169</f>
        <v>2.7972731725704134E-4</v>
      </c>
      <c r="AR315" s="113">
        <f>'EmVap-Vol'!AR169</f>
        <v>2.7346661500472888E-4</v>
      </c>
      <c r="AS315" s="113">
        <f>'EmVap-Vol'!AS169</f>
        <v>2.7254452492950535E-4</v>
      </c>
      <c r="AT315" s="113">
        <f>'EmVap-Vol'!AT169</f>
        <v>2.433998006469308E-4</v>
      </c>
      <c r="AU315" s="113">
        <f>'EmVap-Vol'!AU169</f>
        <v>2.4341185853894988E-4</v>
      </c>
      <c r="AV315" s="113">
        <f>'EmVap-Vol'!AV169</f>
        <v>2.1583605950500911E-4</v>
      </c>
      <c r="AW315" s="113">
        <f>'EmVap-Vol'!AW169</f>
        <v>2.1583848204237682E-4</v>
      </c>
      <c r="AX315" s="113">
        <f>'EmVap-Vol'!AX169</f>
        <v>1.9530808163323418E-4</v>
      </c>
      <c r="AY315" s="113">
        <f>'EmVap-Vol'!AY169</f>
        <v>1.9530809748190468E-4</v>
      </c>
      <c r="AZ315" s="113">
        <f>'EmVap-Vol'!AZ169</f>
        <v>1.9532359712897603E-4</v>
      </c>
      <c r="BA315" s="113">
        <f>'EmVap-Vol'!BA169</f>
        <v>1.7701202384880208E-4</v>
      </c>
      <c r="BB315" s="113">
        <f>'EmVap-Vol'!BB169</f>
        <v>1.8363426192969417E-4</v>
      </c>
      <c r="BC315" s="113">
        <f>'EmVap-Vol'!BC169</f>
        <v>0</v>
      </c>
      <c r="BD315" s="113">
        <f>'EmVap-Vol'!BD169</f>
        <v>1.0601043484974649E-3</v>
      </c>
      <c r="BE315" s="113">
        <f>'EmVap-Vol'!BE169</f>
        <v>1.9136277999992859E-4</v>
      </c>
      <c r="BF315" s="113">
        <f>'EmVap-Vol'!BF169</f>
        <v>1.9136277999992859E-4</v>
      </c>
      <c r="BG315" s="113">
        <f>'EmVap-Vol'!BG169</f>
        <v>6.3075831211304503E-6</v>
      </c>
      <c r="BH315" s="113">
        <f>'EmVap-Vol'!BH169</f>
        <v>6.9786936273509212E-4</v>
      </c>
      <c r="BI315" s="113">
        <f>'EmVap-Vol'!BI169</f>
        <v>1.7226308239265509E-3</v>
      </c>
    </row>
    <row r="316" spans="1:61">
      <c r="A316" s="97"/>
      <c r="B316" s="100"/>
      <c r="C316" s="2498"/>
      <c r="D316" s="2499"/>
      <c r="E316" s="588" t="str">
        <f>'EmVap-Vol'!E452</f>
        <v>Période employé (40 ans)</v>
      </c>
      <c r="F316" s="14"/>
      <c r="G316" s="105"/>
      <c r="H316" s="113"/>
      <c r="I316" s="113"/>
      <c r="J316" s="113"/>
      <c r="K316" s="113"/>
      <c r="L316" s="113"/>
      <c r="M316" s="113"/>
      <c r="N316" s="113"/>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row>
    <row r="317" spans="1:61" s="2446" customFormat="1" ht="25.5" customHeight="1">
      <c r="A317" s="2444"/>
      <c r="B317" s="2445"/>
      <c r="C317" s="4108"/>
      <c r="D317" s="4109"/>
      <c r="E317" s="352" t="str">
        <f>'EmVap-Vol'!E190</f>
        <v>CT de l'air du sol de la source à l'émission (après contrôle de masse)</v>
      </c>
      <c r="F317" s="63" t="str">
        <f>'EmVap-Vol'!F190</f>
        <v>CTsao-&gt;ém</v>
      </c>
      <c r="G317" s="515" t="str">
        <f>'EmVap-Vol'!G190</f>
        <v>(mg/m2/s)/(mg/l)</v>
      </c>
      <c r="H317" s="237">
        <f>'EmVap-Vol'!H190</f>
        <v>3.0567956542971498E-4</v>
      </c>
      <c r="I317" s="237">
        <f>'EmVap-Vol'!I190</f>
        <v>3.0567956542971498E-4</v>
      </c>
      <c r="J317" s="237">
        <f>'EmVap-Vol'!J190</f>
        <v>1.3336910961738504E-4</v>
      </c>
      <c r="K317" s="237">
        <f>'EmVap-Vol'!K190</f>
        <v>9.2578799557874888E-7</v>
      </c>
      <c r="L317" s="237">
        <f>'EmVap-Vol'!L190</f>
        <v>4.9516367918243421E-6</v>
      </c>
      <c r="M317" s="237">
        <f>'EmVap-Vol'!M190</f>
        <v>4.9516367918243421E-6</v>
      </c>
      <c r="N317" s="237">
        <f>'EmVap-Vol'!N190</f>
        <v>2.5105744204671032E-6</v>
      </c>
      <c r="O317" s="237">
        <f>'EmVap-Vol'!O190</f>
        <v>2.5105744204671032E-6</v>
      </c>
      <c r="P317" s="237">
        <f>'EmVap-Vol'!P190</f>
        <v>2.2996060673712017E-6</v>
      </c>
      <c r="Q317" s="237">
        <f>'EmVap-Vol'!Q190</f>
        <v>2.2996060673712017E-6</v>
      </c>
      <c r="R317" s="237">
        <f>'EmVap-Vol'!R190</f>
        <v>5.720803573144495E-6</v>
      </c>
      <c r="S317" s="237">
        <f>'EmVap-Vol'!S190</f>
        <v>6.0977949424260457E-6</v>
      </c>
      <c r="T317" s="237">
        <f>'EmVap-Vol'!T190</f>
        <v>6.0977949424260457E-6</v>
      </c>
      <c r="U317" s="237">
        <f>'EmVap-Vol'!U190</f>
        <v>1.2952106079786864E-6</v>
      </c>
      <c r="V317" s="237">
        <f>'EmVap-Vol'!V190</f>
        <v>7.9130580119435269E-7</v>
      </c>
      <c r="W317" s="237">
        <f>'EmVap-Vol'!W190</f>
        <v>7.9130580119435269E-7</v>
      </c>
      <c r="X317" s="237">
        <f>'EmVap-Vol'!X190</f>
        <v>4.124789608046837E-6</v>
      </c>
      <c r="Y317" s="237">
        <f>'EmVap-Vol'!Y190</f>
        <v>5.9515713162747051E-6</v>
      </c>
      <c r="Z317" s="237">
        <f>'EmVap-Vol'!Z190</f>
        <v>1.004964426852598E-5</v>
      </c>
      <c r="AA317" s="237">
        <f>'EmVap-Vol'!AA190</f>
        <v>1.4980247754752993E-5</v>
      </c>
      <c r="AB317" s="237">
        <f>'EmVap-Vol'!AB190</f>
        <v>1.3245476343958458E-5</v>
      </c>
      <c r="AC317" s="237">
        <f>'EmVap-Vol'!AC190</f>
        <v>5.7317642627967564E-5</v>
      </c>
      <c r="AD317" s="237">
        <f>'EmVap-Vol'!AD190</f>
        <v>1.0745327897835912E-4</v>
      </c>
      <c r="AE317" s="237">
        <f>'EmVap-Vol'!AE190</f>
        <v>1.8132333039363592E-4</v>
      </c>
      <c r="AF317" s="237">
        <f>'EmVap-Vol'!AF190</f>
        <v>2.049715065243223E-4</v>
      </c>
      <c r="AG317" s="237">
        <f>'EmVap-Vol'!AG190</f>
        <v>5.7592854573751388E-7</v>
      </c>
      <c r="AH317" s="237">
        <f>'EmVap-Vol'!AH190</f>
        <v>7.6919746757526942E-7</v>
      </c>
      <c r="AI317" s="237">
        <f>'EmVap-Vol'!AI190</f>
        <v>1.8917119988621861E-6</v>
      </c>
      <c r="AJ317" s="237">
        <f>'EmVap-Vol'!AJ190</f>
        <v>7.9469290003178434E-6</v>
      </c>
      <c r="AK317" s="237">
        <f>'EmVap-Vol'!AK190</f>
        <v>3.3407465332944846E-5</v>
      </c>
      <c r="AL317" s="237">
        <f>'EmVap-Vol'!AL190</f>
        <v>8.2956161438931366E-5</v>
      </c>
      <c r="AM317" s="237">
        <f>'EmVap-Vol'!AM190</f>
        <v>1.5169584896460001E-4</v>
      </c>
      <c r="AN317" s="237">
        <f>'EmVap-Vol'!AN190</f>
        <v>1.6708548902064841E-4</v>
      </c>
      <c r="AO317" s="237">
        <f>'EmVap-Vol'!AO190</f>
        <v>2.2074044186634053E-4</v>
      </c>
      <c r="AP317" s="237">
        <f>'EmVap-Vol'!AP190</f>
        <v>1.9029851162114705E-4</v>
      </c>
      <c r="AQ317" s="237">
        <f>'EmVap-Vol'!AQ190</f>
        <v>2.2446338531087728E-4</v>
      </c>
      <c r="AR317" s="237">
        <f>'EmVap-Vol'!AR190</f>
        <v>2.5824783854857332E-4</v>
      </c>
      <c r="AS317" s="237">
        <f>'EmVap-Vol'!AS190</f>
        <v>2.5348030847709016E-4</v>
      </c>
      <c r="AT317" s="237">
        <f>'EmVap-Vol'!AT190</f>
        <v>2.4228123802870268E-4</v>
      </c>
      <c r="AU317" s="237">
        <f>'EmVap-Vol'!AU190</f>
        <v>2.4236020220185856E-4</v>
      </c>
      <c r="AV317" s="237">
        <f>'EmVap-Vol'!AV190</f>
        <v>2.1571767970168614E-4</v>
      </c>
      <c r="AW317" s="237">
        <f>'EmVap-Vol'!AW190</f>
        <v>2.1573379659972462E-4</v>
      </c>
      <c r="AX317" s="237">
        <f>'EmVap-Vol'!AX190</f>
        <v>1.9530779654461497E-4</v>
      </c>
      <c r="AY317" s="237">
        <f>'EmVap-Vol'!AY190</f>
        <v>1.9530790177407306E-4</v>
      </c>
      <c r="AZ317" s="237">
        <f>'EmVap-Vol'!AZ190</f>
        <v>1.9532350115039027E-4</v>
      </c>
      <c r="BA317" s="237">
        <f>'EmVap-Vol'!BA190</f>
        <v>1.7701201463353987E-4</v>
      </c>
      <c r="BB317" s="237">
        <f>'EmVap-Vol'!BB190</f>
        <v>1.8363305142330506E-4</v>
      </c>
      <c r="BC317" s="237">
        <f>'EmVap-Vol'!BC190</f>
        <v>0</v>
      </c>
      <c r="BD317" s="237">
        <f>'EmVap-Vol'!BD190</f>
        <v>1.0420945192365317E-3</v>
      </c>
      <c r="BE317" s="237">
        <f>'EmVap-Vol'!BE190</f>
        <v>1.9126975489672579E-4</v>
      </c>
      <c r="BF317" s="237">
        <f>'EmVap-Vol'!BF190</f>
        <v>1.9126975489672579E-4</v>
      </c>
      <c r="BG317" s="237">
        <f>'EmVap-Vol'!BG190</f>
        <v>9.4613746816956763E-7</v>
      </c>
      <c r="BH317" s="237">
        <f>'EmVap-Vol'!BH190</f>
        <v>6.8471787243896574E-4</v>
      </c>
      <c r="BI317" s="237">
        <f>'EmVap-Vol'!BI190</f>
        <v>1.0497064272053324E-3</v>
      </c>
    </row>
    <row r="318" spans="1:61">
      <c r="A318" s="97"/>
      <c r="B318" s="100"/>
      <c r="C318" s="2498"/>
      <c r="D318" s="2499"/>
      <c r="E318" s="103"/>
      <c r="F318" s="14"/>
      <c r="G318" s="105"/>
      <c r="H318" s="113"/>
      <c r="I318" s="113"/>
      <c r="J318" s="113"/>
      <c r="K318" s="113"/>
      <c r="L318" s="113"/>
      <c r="M318" s="113"/>
      <c r="N318" s="113"/>
      <c r="O318" s="113"/>
      <c r="P318" s="113"/>
      <c r="Q318" s="113"/>
      <c r="R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c r="AM318" s="113"/>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row>
    <row r="319" spans="1:61">
      <c r="A319" s="30" t="s">
        <v>266</v>
      </c>
      <c r="B319" s="30" t="s">
        <v>266</v>
      </c>
      <c r="C319" s="2496"/>
      <c r="D319" s="2497"/>
      <c r="E319" s="145" t="s">
        <v>625</v>
      </c>
      <c r="F319" s="60"/>
      <c r="G319" s="143"/>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135"/>
      <c r="BB319" s="135"/>
      <c r="BC319" s="135"/>
      <c r="BD319" s="135"/>
      <c r="BE319" s="135"/>
      <c r="BF319" s="135"/>
      <c r="BG319" s="135"/>
      <c r="BH319" s="135"/>
      <c r="BI319" s="135"/>
    </row>
    <row r="320" spans="1:61" s="41" customFormat="1" ht="25.5">
      <c r="A320" s="31"/>
      <c r="B320" s="31"/>
      <c r="C320" s="2501" t="s">
        <v>591</v>
      </c>
      <c r="D320" s="2502"/>
      <c r="E320" s="141" t="s">
        <v>621</v>
      </c>
      <c r="F320" s="14" t="s">
        <v>151</v>
      </c>
      <c r="G320" s="105" t="s">
        <v>270</v>
      </c>
      <c r="H320" s="113">
        <f>(Dispers!$I34*FEM!$H11+Dispers!$H34*FEM!$H13)/(FEM!$H11+FEM!$H13)</f>
        <v>26.666666666666668</v>
      </c>
      <c r="I320" s="113">
        <f>(Dispers!$I34*FEM!$H11+Dispers!$H34*FEM!$H13)/(FEM!$H11+FEM!$H13)</f>
        <v>26.666666666666668</v>
      </c>
      <c r="J320" s="113">
        <f>(Dispers!$I34*FEM!$H11+Dispers!$H34*FEM!$H13)/(FEM!$H11+FEM!$H13)</f>
        <v>26.666666666666668</v>
      </c>
      <c r="K320" s="113">
        <f>(Dispers!$I34*FEM!$H11+Dispers!$H34*FEM!$H13)/(FEM!$H11+FEM!$H13)</f>
        <v>26.666666666666668</v>
      </c>
      <c r="L320" s="113">
        <f>(Dispers!$I34*FEM!$H11+Dispers!$H34*FEM!$H13)/(FEM!$H11+FEM!$H13)</f>
        <v>26.666666666666668</v>
      </c>
      <c r="M320" s="113">
        <f>(Dispers!$I34*FEM!$H11+Dispers!$H34*FEM!$H13)/(FEM!$H11+FEM!$H13)</f>
        <v>26.666666666666668</v>
      </c>
      <c r="N320" s="113">
        <f>(Dispers!$I34*FEM!$H11+Dispers!$H34*FEM!$H13)/(FEM!$H11+FEM!$H13)</f>
        <v>26.666666666666668</v>
      </c>
      <c r="O320" s="113">
        <f>(Dispers!$I34*FEM!$H11+Dispers!$H34*FEM!$H13)/(FEM!$H11+FEM!$H13)</f>
        <v>26.666666666666668</v>
      </c>
      <c r="P320" s="113">
        <f>(Dispers!$I34*FEM!$H11+Dispers!$H34*FEM!$H13)/(FEM!$H11+FEM!$H13)</f>
        <v>26.666666666666668</v>
      </c>
      <c r="Q320" s="113">
        <f>(Dispers!$I34*FEM!$H11+Dispers!$H34*FEM!$H13)/(FEM!$H11+FEM!$H13)</f>
        <v>26.666666666666668</v>
      </c>
      <c r="R320" s="113">
        <f>(Dispers!$I34*FEM!$H11+Dispers!$H34*FEM!$H13)/(FEM!$H11+FEM!$H13)</f>
        <v>26.666666666666668</v>
      </c>
      <c r="S320" s="113">
        <f>(Dispers!$I34*FEM!$H11+Dispers!$H34*FEM!$H13)/(FEM!$H11+FEM!$H13)</f>
        <v>26.666666666666668</v>
      </c>
      <c r="T320" s="113">
        <f>(Dispers!$I34*FEM!$H11+Dispers!$H34*FEM!$H13)/(FEM!$H11+FEM!$H13)</f>
        <v>26.666666666666668</v>
      </c>
      <c r="U320" s="113">
        <f>(Dispers!$I34*FEM!$H11+Dispers!$H34*FEM!$H13)/(FEM!$H11+FEM!$H13)</f>
        <v>26.666666666666668</v>
      </c>
      <c r="V320" s="113">
        <f>(Dispers!$I34*FEM!$H11+Dispers!$H34*FEM!$H13)/(FEM!$H11+FEM!$H13)</f>
        <v>26.666666666666668</v>
      </c>
      <c r="W320" s="113">
        <f>(Dispers!$I34*FEM!$H11+Dispers!$H34*FEM!$H13)/(FEM!$H11+FEM!$H13)</f>
        <v>26.666666666666668</v>
      </c>
      <c r="X320" s="113">
        <f>(Dispers!$I34*FEM!$H11+Dispers!$H34*FEM!$H13)/(FEM!$H11+FEM!$H13)</f>
        <v>26.666666666666668</v>
      </c>
      <c r="Y320" s="113">
        <f>(Dispers!$I34*FEM!$H11+Dispers!$H34*FEM!$H13)/(FEM!$H11+FEM!$H13)</f>
        <v>26.666666666666668</v>
      </c>
      <c r="Z320" s="113">
        <f>(Dispers!$I34*FEM!$H11+Dispers!$H34*FEM!$H13)/(FEM!$H11+FEM!$H13)</f>
        <v>26.666666666666668</v>
      </c>
      <c r="AA320" s="113">
        <f>(Dispers!$I34*FEM!$H11+Dispers!$H34*FEM!$H13)/(FEM!$H11+FEM!$H13)</f>
        <v>26.666666666666668</v>
      </c>
      <c r="AB320" s="113">
        <f>(Dispers!$I34*FEM!$H11+Dispers!$H34*FEM!$H13)/(FEM!$H11+FEM!$H13)</f>
        <v>26.666666666666668</v>
      </c>
      <c r="AC320" s="113">
        <f>(Dispers!$I34*FEM!$H11+Dispers!$H34*FEM!$H13)/(FEM!$H11+FEM!$H13)</f>
        <v>26.666666666666668</v>
      </c>
      <c r="AD320" s="113">
        <f>(Dispers!$I34*FEM!$H11+Dispers!$H34*FEM!$H13)/(FEM!$H11+FEM!$H13)</f>
        <v>26.666666666666668</v>
      </c>
      <c r="AE320" s="113">
        <f>(Dispers!$I34*FEM!$H11+Dispers!$H34*FEM!$H13)/(FEM!$H11+FEM!$H13)</f>
        <v>26.666666666666668</v>
      </c>
      <c r="AF320" s="113">
        <f>(Dispers!$I34*FEM!$H11+Dispers!$H34*FEM!$H13)/(FEM!$H11+FEM!$H13)</f>
        <v>26.666666666666668</v>
      </c>
      <c r="AG320" s="113">
        <f>(Dispers!$I34*FEM!$H11+Dispers!$H34*FEM!$H13)/(FEM!$H11+FEM!$H13)</f>
        <v>26.666666666666668</v>
      </c>
      <c r="AH320" s="113">
        <f>(Dispers!$I34*FEM!$H11+Dispers!$H34*FEM!$H13)/(FEM!$H11+FEM!$H13)</f>
        <v>26.666666666666668</v>
      </c>
      <c r="AI320" s="113">
        <f>(Dispers!$I34*FEM!$H11+Dispers!$H34*FEM!$H13)/(FEM!$H11+FEM!$H13)</f>
        <v>26.666666666666668</v>
      </c>
      <c r="AJ320" s="113">
        <f>(Dispers!$I34*FEM!$H11+Dispers!$H34*FEM!$H13)/(FEM!$H11+FEM!$H13)</f>
        <v>26.666666666666668</v>
      </c>
      <c r="AK320" s="113">
        <f>(Dispers!$I34*FEM!$H11+Dispers!$H34*FEM!$H13)/(FEM!$H11+FEM!$H13)</f>
        <v>26.666666666666668</v>
      </c>
      <c r="AL320" s="113">
        <f>(Dispers!$I34*FEM!$H11+Dispers!$H34*FEM!$H13)/(FEM!$H11+FEM!$H13)</f>
        <v>26.666666666666668</v>
      </c>
      <c r="AM320" s="113">
        <f>(Dispers!$I34*FEM!$H11+Dispers!$H34*FEM!$H13)/(FEM!$H11+FEM!$H13)</f>
        <v>26.666666666666668</v>
      </c>
      <c r="AN320" s="113">
        <f>(Dispers!$I34*FEM!$H11+Dispers!$H34*FEM!$H13)/(FEM!$H11+FEM!$H13)</f>
        <v>26.666666666666668</v>
      </c>
      <c r="AO320" s="113">
        <f>(Dispers!$I34*FEM!$H11+Dispers!$H34*FEM!$H13)/(FEM!$H11+FEM!$H13)</f>
        <v>26.666666666666668</v>
      </c>
      <c r="AP320" s="113">
        <f>(Dispers!$I34*FEM!$H11+Dispers!$H34*FEM!$H13)/(FEM!$H11+FEM!$H13)</f>
        <v>26.666666666666668</v>
      </c>
      <c r="AQ320" s="113">
        <f>(Dispers!$I34*FEM!$H11+Dispers!$H34*FEM!$H13)/(FEM!$H11+FEM!$H13)</f>
        <v>26.666666666666668</v>
      </c>
      <c r="AR320" s="113">
        <f>(Dispers!$I34*FEM!$H11+Dispers!$H34*FEM!$H13)/(FEM!$H11+FEM!$H13)</f>
        <v>26.666666666666668</v>
      </c>
      <c r="AS320" s="113">
        <f>(Dispers!$I34*FEM!$H11+Dispers!$H34*FEM!$H13)/(FEM!$H11+FEM!$H13)</f>
        <v>26.666666666666668</v>
      </c>
      <c r="AT320" s="113">
        <f>(Dispers!$I34*FEM!$H11+Dispers!$H34*FEM!$H13)/(FEM!$H11+FEM!$H13)</f>
        <v>26.666666666666668</v>
      </c>
      <c r="AU320" s="113">
        <f>(Dispers!$I34*FEM!$H11+Dispers!$H34*FEM!$H13)/(FEM!$H11+FEM!$H13)</f>
        <v>26.666666666666668</v>
      </c>
      <c r="AV320" s="113">
        <f>(Dispers!$I34*FEM!$H11+Dispers!$H34*FEM!$H13)/(FEM!$H11+FEM!$H13)</f>
        <v>26.666666666666668</v>
      </c>
      <c r="AW320" s="113">
        <f>(Dispers!$I34*FEM!$H11+Dispers!$H34*FEM!$H13)/(FEM!$H11+FEM!$H13)</f>
        <v>26.666666666666668</v>
      </c>
      <c r="AX320" s="113">
        <f>(Dispers!$I34*FEM!$H11+Dispers!$H34*FEM!$H13)/(FEM!$H11+FEM!$H13)</f>
        <v>26.666666666666668</v>
      </c>
      <c r="AY320" s="113">
        <f>(Dispers!$I34*FEM!$H11+Dispers!$H34*FEM!$H13)/(FEM!$H11+FEM!$H13)</f>
        <v>26.666666666666668</v>
      </c>
      <c r="AZ320" s="113">
        <f>(Dispers!$I34*FEM!$H11+Dispers!$H34*FEM!$H13)/(FEM!$H11+FEM!$H13)</f>
        <v>26.666666666666668</v>
      </c>
      <c r="BA320" s="113">
        <f>(Dispers!$I34*FEM!$H11+Dispers!$H34*FEM!$H13)/(FEM!$H11+FEM!$H13)</f>
        <v>26.666666666666668</v>
      </c>
      <c r="BB320" s="113">
        <f>(Dispers!$I34*FEM!$H11+Dispers!$H34*FEM!$H13)/(FEM!$H11+FEM!$H13)</f>
        <v>26.666666666666668</v>
      </c>
      <c r="BC320" s="113">
        <f>(Dispers!$I34*FEM!$H11+Dispers!$H34*FEM!$H13)/(FEM!$H11+FEM!$H13)</f>
        <v>26.666666666666668</v>
      </c>
      <c r="BD320" s="113">
        <f>(Dispers!$I34*FEM!$H11+Dispers!$H34*FEM!$H13)/(FEM!$H11+FEM!$H13)</f>
        <v>26.666666666666668</v>
      </c>
      <c r="BE320" s="113">
        <f>(Dispers!$I34*FEM!$H11+Dispers!$H34*FEM!$H13)/(FEM!$H11+FEM!$H13)</f>
        <v>26.666666666666668</v>
      </c>
      <c r="BF320" s="113">
        <f>(Dispers!$I34*FEM!$H11+Dispers!$H34*FEM!$H13)/(FEM!$H11+FEM!$H13)</f>
        <v>26.666666666666668</v>
      </c>
      <c r="BG320" s="113">
        <f>(Dispers!$I34*FEM!$H11+Dispers!$H34*FEM!$H13)/(FEM!$H11+FEM!$H13)</f>
        <v>26.666666666666668</v>
      </c>
      <c r="BH320" s="113">
        <f>(Dispers!$I34*FEM!$H11+Dispers!$H34*FEM!$H13)/(FEM!$H11+FEM!$H13)</f>
        <v>26.666666666666668</v>
      </c>
      <c r="BI320" s="113">
        <f>(Dispers!$I34*FEM!$H11+Dispers!$H34*FEM!$H13)/(FEM!$H11+FEM!$H13)</f>
        <v>26.666666666666668</v>
      </c>
    </row>
    <row r="321" spans="1:61">
      <c r="A321" s="97"/>
      <c r="B321" s="97"/>
      <c r="C321" s="2504"/>
      <c r="D321" s="2505"/>
      <c r="E321" s="588" t="s">
        <v>658</v>
      </c>
      <c r="F321" s="14"/>
      <c r="G321" s="105"/>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row>
    <row r="322" spans="1:61">
      <c r="A322" s="97"/>
      <c r="B322" s="97"/>
      <c r="C322" s="2506"/>
      <c r="D322" s="2505"/>
      <c r="E322" s="722" t="s">
        <v>1112</v>
      </c>
      <c r="F322" s="96" t="s">
        <v>1115</v>
      </c>
      <c r="G322" s="144" t="s">
        <v>206</v>
      </c>
      <c r="H322" s="135">
        <f t="shared" ref="H322:AL322" si="156">H320*H309</f>
        <v>1.7729860715790659E-2</v>
      </c>
      <c r="I322" s="135">
        <f t="shared" si="156"/>
        <v>1.7729860715790659E-2</v>
      </c>
      <c r="J322" s="135">
        <f>J320*J309</f>
        <v>1.8224064294195031E-2</v>
      </c>
      <c r="K322" s="135">
        <f t="shared" si="156"/>
        <v>3.6657513495517574E-2</v>
      </c>
      <c r="L322" s="135">
        <f t="shared" si="156"/>
        <v>2.545276408745371E-2</v>
      </c>
      <c r="M322" s="135">
        <f t="shared" si="156"/>
        <v>2.545276408745371E-2</v>
      </c>
      <c r="N322" s="135">
        <f>N320*N309</f>
        <v>2.7320222322131025E-2</v>
      </c>
      <c r="O322" s="135">
        <f>O320*O309</f>
        <v>2.7320222322131025E-2</v>
      </c>
      <c r="P322" s="135">
        <f t="shared" si="156"/>
        <v>2.4899443129030804E-2</v>
      </c>
      <c r="Q322" s="135">
        <f t="shared" si="156"/>
        <v>2.4899443129030804E-2</v>
      </c>
      <c r="R322" s="135">
        <f>R320*R309</f>
        <v>0.35274211099460312</v>
      </c>
      <c r="S322" s="135">
        <f>S320*S309</f>
        <v>3.5965862297488937E-2</v>
      </c>
      <c r="T322" s="135">
        <f>T320*T309</f>
        <v>3.5965862297488937E-2</v>
      </c>
      <c r="U322" s="135">
        <f t="shared" si="156"/>
        <v>2.69743967231167E-2</v>
      </c>
      <c r="V322" s="135">
        <f t="shared" si="156"/>
        <v>9.8496273141538276E-3</v>
      </c>
      <c r="W322" s="135">
        <f t="shared" si="156"/>
        <v>9.8496273141538276E-3</v>
      </c>
      <c r="X322" s="135">
        <f t="shared" si="156"/>
        <v>2.8338486585895401E-2</v>
      </c>
      <c r="Y322" s="135">
        <f t="shared" si="156"/>
        <v>2.5456606594109421E-2</v>
      </c>
      <c r="Z322" s="135">
        <f t="shared" si="156"/>
        <v>2.3343227933466378E-2</v>
      </c>
      <c r="AA322" s="135">
        <f t="shared" si="156"/>
        <v>2.3343227933466378E-2</v>
      </c>
      <c r="AB322" s="135">
        <f t="shared" si="156"/>
        <v>1.0951143968786698E-2</v>
      </c>
      <c r="AC322" s="135">
        <f t="shared" si="156"/>
        <v>1.0108748278880027E-2</v>
      </c>
      <c r="AD322" s="135">
        <f t="shared" si="156"/>
        <v>8.7609151750293601E-3</v>
      </c>
      <c r="AE322" s="135">
        <f t="shared" si="156"/>
        <v>6.9165119802863349E-3</v>
      </c>
      <c r="AF322" s="135">
        <f t="shared" si="156"/>
        <v>5.4755719843933492E-3</v>
      </c>
      <c r="AG322" s="135">
        <f t="shared" si="156"/>
        <v>1.6223916990795104E-2</v>
      </c>
      <c r="AH322" s="135">
        <f t="shared" si="156"/>
        <v>1.3141372762544037E-2</v>
      </c>
      <c r="AI322" s="135">
        <f t="shared" si="156"/>
        <v>1.0108748278880027E-2</v>
      </c>
      <c r="AJ322" s="135">
        <f t="shared" si="156"/>
        <v>8.2133579765900216E-3</v>
      </c>
      <c r="AK322" s="135">
        <f t="shared" si="156"/>
        <v>6.5706863812720184E-3</v>
      </c>
      <c r="AL322" s="135">
        <f t="shared" si="156"/>
        <v>4.867175097238532E-3</v>
      </c>
      <c r="AM322" s="135">
        <f t="shared" ref="AM322:BI322" si="157">AM320*AM309</f>
        <v>4.1066789882950108E-3</v>
      </c>
      <c r="AN322" s="135">
        <f t="shared" si="157"/>
        <v>1.0251480429475025E-2</v>
      </c>
      <c r="AO322" s="135">
        <f t="shared" si="157"/>
        <v>8.6342790818291944E-3</v>
      </c>
      <c r="AP322" s="135">
        <f t="shared" si="157"/>
        <v>8.5217383843745765E-3</v>
      </c>
      <c r="AQ322" s="135">
        <f t="shared" si="157"/>
        <v>7.9069631543586261E-3</v>
      </c>
      <c r="AR322" s="135">
        <f t="shared" si="157"/>
        <v>7.374507723088685E-3</v>
      </c>
      <c r="AS322" s="135">
        <f t="shared" si="157"/>
        <v>7.374507723088685E-3</v>
      </c>
      <c r="AT322" s="135">
        <f t="shared" si="157"/>
        <v>6.4959825815838037E-3</v>
      </c>
      <c r="AU322" s="135">
        <f t="shared" si="157"/>
        <v>6.4959825815838037E-3</v>
      </c>
      <c r="AV322" s="135">
        <f t="shared" si="157"/>
        <v>5.7561860545527971E-3</v>
      </c>
      <c r="AW322" s="135">
        <f t="shared" si="157"/>
        <v>5.7561860545527971E-3</v>
      </c>
      <c r="AX322" s="135">
        <f t="shared" si="157"/>
        <v>5.2082168526252524E-3</v>
      </c>
      <c r="AY322" s="135">
        <f t="shared" si="157"/>
        <v>5.2082168526252524E-3</v>
      </c>
      <c r="AZ322" s="135">
        <f t="shared" si="157"/>
        <v>5.2086297116702481E-3</v>
      </c>
      <c r="BA322" s="135">
        <f t="shared" si="157"/>
        <v>4.7203206762011628E-3</v>
      </c>
      <c r="BB322" s="135">
        <f t="shared" si="157"/>
        <v>4.8969193480936186E-3</v>
      </c>
      <c r="BC322" s="135">
        <f t="shared" si="157"/>
        <v>4.7561971634252761E-3</v>
      </c>
      <c r="BD322" s="135">
        <f t="shared" si="157"/>
        <v>2.8357699119173973E-2</v>
      </c>
      <c r="BE322" s="135">
        <f t="shared" si="157"/>
        <v>5.1034457330268101E-3</v>
      </c>
      <c r="BF322" s="135">
        <f t="shared" si="157"/>
        <v>5.1034457330268101E-3</v>
      </c>
      <c r="BG322" s="135">
        <f t="shared" si="157"/>
        <v>1.0616845889739523E-2</v>
      </c>
      <c r="BH322" s="135">
        <f t="shared" si="157"/>
        <v>1.8674582346773105E-2</v>
      </c>
      <c r="BI322" s="135">
        <f t="shared" si="157"/>
        <v>5.8098700634405212E-2</v>
      </c>
    </row>
    <row r="323" spans="1:61">
      <c r="A323" s="97"/>
      <c r="B323" s="97"/>
      <c r="C323" s="2504"/>
      <c r="D323" s="2505"/>
      <c r="E323" s="723" t="s">
        <v>679</v>
      </c>
      <c r="F323" s="62" t="s">
        <v>1116</v>
      </c>
      <c r="G323" s="107" t="s">
        <v>24</v>
      </c>
      <c r="H323" s="113">
        <f t="shared" ref="H323:BI323" si="158">H$25*H322</f>
        <v>4.6709168227076223E-7</v>
      </c>
      <c r="I323" s="113">
        <f t="shared" si="158"/>
        <v>4.6709168227076223E-7</v>
      </c>
      <c r="J323" s="113">
        <f>J$25*J322</f>
        <v>3.1517909001485777E-6</v>
      </c>
      <c r="K323" s="113">
        <f t="shared" si="158"/>
        <v>1.4125290020805669E-3</v>
      </c>
      <c r="L323" s="113">
        <f t="shared" si="158"/>
        <v>1.8337160511293926E-4</v>
      </c>
      <c r="M323" s="113">
        <f t="shared" si="158"/>
        <v>1.8337160511293926E-4</v>
      </c>
      <c r="N323" s="113">
        <f>N$25*N322</f>
        <v>3.8820135331888258E-4</v>
      </c>
      <c r="O323" s="113">
        <f>O$25*O322</f>
        <v>3.8820135331888258E-4</v>
      </c>
      <c r="P323" s="113">
        <f t="shared" si="158"/>
        <v>3.8626210593329638E-4</v>
      </c>
      <c r="Q323" s="113">
        <f t="shared" si="158"/>
        <v>3.8626210593329638E-4</v>
      </c>
      <c r="R323" s="113">
        <f>R$25*R322</f>
        <v>2.1996125497244267E-3</v>
      </c>
      <c r="S323" s="113">
        <f>S$25*S322</f>
        <v>2.104086437114425E-4</v>
      </c>
      <c r="T323" s="113">
        <f>T$25*T322</f>
        <v>2.104086437114425E-4</v>
      </c>
      <c r="U323" s="113">
        <f t="shared" si="158"/>
        <v>7.4294602489512879E-4</v>
      </c>
      <c r="V323" s="113">
        <f t="shared" si="158"/>
        <v>4.4403925369340431E-4</v>
      </c>
      <c r="W323" s="113">
        <f t="shared" si="158"/>
        <v>4.4403925369340431E-4</v>
      </c>
      <c r="X323" s="113">
        <f t="shared" si="158"/>
        <v>2.4508727721480618E-4</v>
      </c>
      <c r="Y323" s="113">
        <f t="shared" si="158"/>
        <v>1.5258603382478411E-4</v>
      </c>
      <c r="Z323" s="113">
        <f t="shared" si="158"/>
        <v>8.2862138449796082E-5</v>
      </c>
      <c r="AA323" s="113">
        <f t="shared" si="158"/>
        <v>5.5588867980209873E-5</v>
      </c>
      <c r="AB323" s="113">
        <f t="shared" si="158"/>
        <v>2.9494281613132457E-5</v>
      </c>
      <c r="AC323" s="113">
        <f t="shared" si="158"/>
        <v>5.3126317334827931E-6</v>
      </c>
      <c r="AD323" s="113">
        <f t="shared" si="158"/>
        <v>9.0121110448222453E-7</v>
      </c>
      <c r="AE323" s="113">
        <f t="shared" si="158"/>
        <v>8.8716392995660949E-8</v>
      </c>
      <c r="AF323" s="113">
        <f t="shared" si="158"/>
        <v>2.9110138241228397E-10</v>
      </c>
      <c r="AG323" s="113">
        <f t="shared" si="158"/>
        <v>1.0049235557795259E-3</v>
      </c>
      <c r="AH323" s="113">
        <f t="shared" si="158"/>
        <v>6.0946504770009497E-4</v>
      </c>
      <c r="AI323" s="113">
        <f t="shared" si="158"/>
        <v>1.9062869691520933E-4</v>
      </c>
      <c r="AJ323" s="113">
        <f t="shared" si="158"/>
        <v>3.686950733168464E-5</v>
      </c>
      <c r="AK323" s="113">
        <f t="shared" si="158"/>
        <v>6.7241270780889866E-6</v>
      </c>
      <c r="AL323" s="113">
        <f t="shared" si="158"/>
        <v>3.775926180421787E-7</v>
      </c>
      <c r="AM323" s="113">
        <f t="shared" si="158"/>
        <v>2.2054014010118606E-9</v>
      </c>
      <c r="AN323" s="113">
        <f t="shared" si="158"/>
        <v>4.3820019615559213E-7</v>
      </c>
      <c r="AO323" s="113">
        <f t="shared" si="158"/>
        <v>1.0080017193902179E-7</v>
      </c>
      <c r="AP323" s="113">
        <f t="shared" si="158"/>
        <v>1.6643570083580022E-7</v>
      </c>
      <c r="AQ323" s="113">
        <f t="shared" si="158"/>
        <v>6.253029629868128E-8</v>
      </c>
      <c r="AR323" s="113">
        <f t="shared" si="158"/>
        <v>1.1676552578720147E-8</v>
      </c>
      <c r="AS323" s="113">
        <f t="shared" si="158"/>
        <v>1.5081666742289811E-8</v>
      </c>
      <c r="AT323" s="113">
        <f t="shared" si="158"/>
        <v>9.6974439549222213E-10</v>
      </c>
      <c r="AU323" s="113">
        <f t="shared" si="158"/>
        <v>9.3290513148266113E-10</v>
      </c>
      <c r="AV323" s="113">
        <f t="shared" si="158"/>
        <v>1.3188124594933425E-10</v>
      </c>
      <c r="AW323" s="113">
        <f t="shared" si="158"/>
        <v>1.2707847728918535E-10</v>
      </c>
      <c r="AX323" s="113">
        <f t="shared" si="158"/>
        <v>4.0471227569406922E-12</v>
      </c>
      <c r="AY323" s="113">
        <f t="shared" si="158"/>
        <v>2.7775245428223735E-12</v>
      </c>
      <c r="AZ323" s="113">
        <f t="shared" si="158"/>
        <v>1.854928874275533E-12</v>
      </c>
      <c r="BA323" s="113">
        <f t="shared" si="158"/>
        <v>2.9033092955896931E-13</v>
      </c>
      <c r="BB323" s="113">
        <f t="shared" si="158"/>
        <v>4.7689089668072885E-12</v>
      </c>
      <c r="BC323" s="113">
        <f t="shared" si="158"/>
        <v>1.2304609392130839E-18</v>
      </c>
      <c r="BD323" s="113">
        <f t="shared" si="158"/>
        <v>2.6527820574778142E-8</v>
      </c>
      <c r="BE323" s="113">
        <f t="shared" si="158"/>
        <v>1.0596116379851545E-10</v>
      </c>
      <c r="BF323" s="113">
        <f t="shared" si="158"/>
        <v>1.0596116379851545E-10</v>
      </c>
      <c r="BG323" s="113">
        <f t="shared" si="158"/>
        <v>1.8013566254297602E-4</v>
      </c>
      <c r="BH323" s="113">
        <f t="shared" si="158"/>
        <v>2.3230793641243899E-8</v>
      </c>
      <c r="BI323" s="113">
        <f t="shared" si="158"/>
        <v>5.5920777402867441E-7</v>
      </c>
    </row>
    <row r="324" spans="1:61" ht="25.5">
      <c r="A324" s="97"/>
      <c r="B324" s="97"/>
      <c r="C324" s="2506"/>
      <c r="D324" s="2523"/>
      <c r="E324" s="103" t="s">
        <v>1015</v>
      </c>
      <c r="F324" s="14" t="s">
        <v>19</v>
      </c>
      <c r="G324" s="341" t="s">
        <v>18</v>
      </c>
      <c r="H324" s="113" t="str">
        <f t="shared" ref="H324:AM324" si="159">IF(H$13=0,"nd",IF(H323=0,"PVL",H$13*1000/H322/H$20))</f>
        <v>nd</v>
      </c>
      <c r="I324" s="113" t="str">
        <f t="shared" si="159"/>
        <v>nd</v>
      </c>
      <c r="J324" s="113" t="str">
        <f t="shared" si="159"/>
        <v>nd</v>
      </c>
      <c r="K324" s="113">
        <f t="shared" si="159"/>
        <v>184.06701711401058</v>
      </c>
      <c r="L324" s="113">
        <f t="shared" si="159"/>
        <v>3735.1537451072841</v>
      </c>
      <c r="M324" s="113">
        <f t="shared" si="159"/>
        <v>3735.1537451072841</v>
      </c>
      <c r="N324" s="113">
        <f t="shared" si="159"/>
        <v>3938.6911886738303</v>
      </c>
      <c r="O324" s="113">
        <f t="shared" si="159"/>
        <v>3938.6911886738303</v>
      </c>
      <c r="P324" s="113">
        <f t="shared" si="159"/>
        <v>4817.6294553226317</v>
      </c>
      <c r="Q324" s="113">
        <f t="shared" si="159"/>
        <v>4817.6294553226317</v>
      </c>
      <c r="R324" s="113">
        <f t="shared" si="159"/>
        <v>401.18397439647504</v>
      </c>
      <c r="S324" s="113">
        <f t="shared" si="159"/>
        <v>565.9367180145731</v>
      </c>
      <c r="T324" s="113">
        <f t="shared" si="159"/>
        <v>565.9367180145731</v>
      </c>
      <c r="U324" s="113">
        <f t="shared" si="159"/>
        <v>8260.6725884334373</v>
      </c>
      <c r="V324" s="113">
        <f t="shared" si="159"/>
        <v>12487.865278421579</v>
      </c>
      <c r="W324" s="113">
        <f t="shared" si="159"/>
        <v>12487.865278421579</v>
      </c>
      <c r="X324" s="113">
        <f t="shared" si="159"/>
        <v>619.02518875192652</v>
      </c>
      <c r="Y324" s="113">
        <f t="shared" si="159"/>
        <v>612.85307023083749</v>
      </c>
      <c r="Z324" s="113">
        <f t="shared" si="159"/>
        <v>1176.6857749301009</v>
      </c>
      <c r="AA324" s="113">
        <f t="shared" si="159"/>
        <v>53.382512969427161</v>
      </c>
      <c r="AB324" s="113">
        <f t="shared" si="159"/>
        <v>576.71854885007463</v>
      </c>
      <c r="AC324" s="113">
        <f t="shared" si="159"/>
        <v>842.38835395104672</v>
      </c>
      <c r="AD324" s="113">
        <f t="shared" si="159"/>
        <v>4965.8721234775221</v>
      </c>
      <c r="AE324" s="113">
        <f t="shared" si="159"/>
        <v>50445.007399427857</v>
      </c>
      <c r="AF324" s="113">
        <f t="shared" si="159"/>
        <v>15373678.627119487</v>
      </c>
      <c r="AG324" s="113">
        <f t="shared" si="159"/>
        <v>387.70630117565116</v>
      </c>
      <c r="AH324" s="113">
        <f t="shared" si="159"/>
        <v>3638.8140960157461</v>
      </c>
      <c r="AI324" s="113">
        <f t="shared" si="159"/>
        <v>940.7989923102366</v>
      </c>
      <c r="AJ324" s="113">
        <f t="shared" si="159"/>
        <v>1866.7649028615019</v>
      </c>
      <c r="AK324" s="113">
        <f t="shared" si="159"/>
        <v>56512.911726230624</v>
      </c>
      <c r="AL324" s="113">
        <f t="shared" si="159"/>
        <v>1006375.606520868</v>
      </c>
      <c r="AM324" s="113">
        <f t="shared" si="159"/>
        <v>172304234.42446902</v>
      </c>
      <c r="AN324" s="113">
        <f t="shared" ref="AN324:BI324" si="160">IF(AN$13=0,"nd",IF(AN323=0,"PVL",AN$13*1000/AN322/AN$20))</f>
        <v>10212.909853485364</v>
      </c>
      <c r="AO324" s="113">
        <f t="shared" si="160"/>
        <v>44397.732811646005</v>
      </c>
      <c r="AP324" s="113">
        <f t="shared" si="160"/>
        <v>26889.057327501167</v>
      </c>
      <c r="AQ324" s="113">
        <f t="shared" si="160"/>
        <v>71570.092675397216</v>
      </c>
      <c r="AR324" s="113">
        <f t="shared" si="160"/>
        <v>383272.29470731324</v>
      </c>
      <c r="AS324" s="113">
        <f t="shared" si="160"/>
        <v>296737.69998959638</v>
      </c>
      <c r="AT324" s="113">
        <f t="shared" si="160"/>
        <v>4614926.4918876868</v>
      </c>
      <c r="AU324" s="113">
        <f t="shared" si="160"/>
        <v>4797164.2025423283</v>
      </c>
      <c r="AV324" s="113">
        <f t="shared" si="160"/>
        <v>33934310.135619842</v>
      </c>
      <c r="AW324" s="113">
        <f t="shared" si="160"/>
        <v>35216814.023766428</v>
      </c>
      <c r="AX324" s="113">
        <f t="shared" si="160"/>
        <v>1105797716.0296571</v>
      </c>
      <c r="AY324" s="113">
        <f t="shared" si="160"/>
        <v>1611254565.7541175</v>
      </c>
      <c r="AZ324" s="113">
        <f t="shared" si="160"/>
        <v>2412652669.9653397</v>
      </c>
      <c r="BA324" s="113">
        <f t="shared" si="160"/>
        <v>15414475846.286591</v>
      </c>
      <c r="BB324" s="113">
        <f t="shared" si="160"/>
        <v>938432486.8152833</v>
      </c>
      <c r="BC324" s="113">
        <f t="shared" si="160"/>
        <v>3637091563409361.5</v>
      </c>
      <c r="BD324" s="113">
        <f t="shared" si="160"/>
        <v>58977.020159760636</v>
      </c>
      <c r="BE324" s="113" t="str">
        <f t="shared" si="160"/>
        <v>nd</v>
      </c>
      <c r="BF324" s="113" t="str">
        <f t="shared" si="160"/>
        <v>nd</v>
      </c>
      <c r="BG324" s="113" t="str">
        <f t="shared" si="160"/>
        <v>nd</v>
      </c>
      <c r="BH324" s="113" t="str">
        <f t="shared" si="160"/>
        <v>nd</v>
      </c>
      <c r="BI324" s="113" t="str">
        <f t="shared" si="160"/>
        <v>nd</v>
      </c>
    </row>
    <row r="325" spans="1:61" s="2443" customFormat="1" ht="25.5">
      <c r="A325" s="2438"/>
      <c r="B325" s="2439"/>
      <c r="C325" s="2506"/>
      <c r="D325" s="2523"/>
      <c r="E325" s="2514" t="s">
        <v>1016</v>
      </c>
      <c r="F325" s="2440" t="s">
        <v>19</v>
      </c>
      <c r="G325" s="2431" t="s">
        <v>20</v>
      </c>
      <c r="H325" s="2442" t="str">
        <f>IF(H324&lt;'3phas'!H$23,H324,"PVL")</f>
        <v>PVL</v>
      </c>
      <c r="I325" s="2442" t="str">
        <f>IF(I324&lt;'3phas'!I$23,I324,"PVL")</f>
        <v>PVL</v>
      </c>
      <c r="J325" s="2442" t="str">
        <f>IF(J324&lt;'3phas'!J$23,J324,"PVL")</f>
        <v>PVL</v>
      </c>
      <c r="K325" s="2442">
        <f>IF(K324&lt;'3phas'!K$23,K324,"PVL")</f>
        <v>184.06701711401058</v>
      </c>
      <c r="L325" s="2442" t="str">
        <f>IF(L324&lt;'3phas'!L$23,L324,"PVL")</f>
        <v>PVL</v>
      </c>
      <c r="M325" s="2442" t="str">
        <f>IF(M324&lt;'3phas'!M$23,M324,"PVL")</f>
        <v>PVL</v>
      </c>
      <c r="N325" s="2442" t="str">
        <f>IF(N324&lt;'3phas'!N$23,N324,"PVL")</f>
        <v>PVL</v>
      </c>
      <c r="O325" s="2442" t="str">
        <f>IF(O324&lt;'3phas'!O$23,O324,"PVL")</f>
        <v>PVL</v>
      </c>
      <c r="P325" s="2442" t="str">
        <f>IF(P324&lt;'3phas'!P$23,P324,"PVL")</f>
        <v>PVL</v>
      </c>
      <c r="Q325" s="2442" t="str">
        <f>IF(Q324&lt;'3phas'!Q$23,Q324,"PVL")</f>
        <v>PVL</v>
      </c>
      <c r="R325" s="2442">
        <f>IF(R324&lt;'3phas'!R$23,R324,"PVL")</f>
        <v>401.18397439647504</v>
      </c>
      <c r="S325" s="2442">
        <f>IF(S324&lt;'3phas'!S$23,S324,"PVL")</f>
        <v>565.9367180145731</v>
      </c>
      <c r="T325" s="2442">
        <f>IF(T324&lt;'3phas'!T$23,T324,"PVL")</f>
        <v>565.9367180145731</v>
      </c>
      <c r="U325" s="2442" t="str">
        <f>IF(U324&lt;'3phas'!U$23,U324,"PVL")</f>
        <v>PVL</v>
      </c>
      <c r="V325" s="2442" t="str">
        <f>IF(V324&lt;'3phas'!V$23,V324,"PVL")</f>
        <v>PVL</v>
      </c>
      <c r="W325" s="2442" t="str">
        <f>IF(W324&lt;'3phas'!W$23,W324,"PVL")</f>
        <v>PVL</v>
      </c>
      <c r="X325" s="2442" t="str">
        <f>IF(X324&lt;'3phas'!X$23,X324,"PVL")</f>
        <v>PVL</v>
      </c>
      <c r="Y325" s="2442" t="str">
        <f>IF(Y324&lt;'3phas'!Y$23,Y324,"PVL")</f>
        <v>PVL</v>
      </c>
      <c r="Z325" s="2442" t="str">
        <f>IF(Z324&lt;'3phas'!Z$23,Z324,"PVL")</f>
        <v>PVL</v>
      </c>
      <c r="AA325" s="2442">
        <f>IF(AA324&lt;'3phas'!AA$23,AA324,"PVL")</f>
        <v>53.382512969427161</v>
      </c>
      <c r="AB325" s="2442" t="str">
        <f>IF(AB324&lt;'3phas'!AB$23,AB324,"PVL")</f>
        <v>PVL</v>
      </c>
      <c r="AC325" s="2442" t="str">
        <f>IF(AC324&lt;'3phas'!AC$23,AC324,"PVL")</f>
        <v>PVL</v>
      </c>
      <c r="AD325" s="2442" t="str">
        <f>IF(AD324&lt;'3phas'!AD$23,AD324,"PVL")</f>
        <v>PVL</v>
      </c>
      <c r="AE325" s="2442" t="str">
        <f>IF(AE324&lt;'3phas'!AE$23,AE324,"PVL")</f>
        <v>PVL</v>
      </c>
      <c r="AF325" s="2442" t="str">
        <f>IF(AF324&lt;'3phas'!AF$23,AF324,"PVL")</f>
        <v>PVL</v>
      </c>
      <c r="AG325" s="2442" t="str">
        <f>IF(AG324&lt;'3phas'!AG$23,AG324,"PVL")</f>
        <v>PVL</v>
      </c>
      <c r="AH325" s="2442" t="str">
        <f>IF(AH324&lt;'3phas'!AH$23,AH324,"PVL")</f>
        <v>PVL</v>
      </c>
      <c r="AI325" s="2442" t="str">
        <f>IF(AI324&lt;'3phas'!AI$23,AI324,"PVL")</f>
        <v>PVL</v>
      </c>
      <c r="AJ325" s="2442" t="str">
        <f>IF(AJ324&lt;'3phas'!AJ$23,AJ324,"PVL")</f>
        <v>PVL</v>
      </c>
      <c r="AK325" s="2442" t="str">
        <f>IF(AK324&lt;'3phas'!AK$23,AK324,"PVL")</f>
        <v>PVL</v>
      </c>
      <c r="AL325" s="2442" t="str">
        <f>IF(AL324&lt;'3phas'!AL$23,AL324,"PVL")</f>
        <v>PVL</v>
      </c>
      <c r="AM325" s="2442" t="str">
        <f>IF(AM324&lt;'3phas'!AM$23,AM324,"PVL")</f>
        <v>PVL</v>
      </c>
      <c r="AN325" s="2442" t="str">
        <f>IF(AN324&lt;'3phas'!AN$23,AN324,"PVL")</f>
        <v>PVL</v>
      </c>
      <c r="AO325" s="2442" t="str">
        <f>IF(AO324&lt;'3phas'!AO$23,AO324,"PVL")</f>
        <v>PVL</v>
      </c>
      <c r="AP325" s="2442" t="str">
        <f>IF(AP324&lt;'3phas'!AP$23,AP324,"PVL")</f>
        <v>PVL</v>
      </c>
      <c r="AQ325" s="2442" t="str">
        <f>IF(AQ324&lt;'3phas'!AQ$23,AQ324,"PVL")</f>
        <v>PVL</v>
      </c>
      <c r="AR325" s="2442" t="str">
        <f>IF(AR324&lt;'3phas'!AR$23,AR324,"PVL")</f>
        <v>PVL</v>
      </c>
      <c r="AS325" s="2442" t="str">
        <f>IF(AS324&lt;'3phas'!AS$23,AS324,"PVL")</f>
        <v>PVL</v>
      </c>
      <c r="AT325" s="2442" t="str">
        <f>IF(AT324&lt;'3phas'!AT$23,AT324,"PVL")</f>
        <v>PVL</v>
      </c>
      <c r="AU325" s="2442" t="str">
        <f>IF(AU324&lt;'3phas'!AU$23,AU324,"PVL")</f>
        <v>PVL</v>
      </c>
      <c r="AV325" s="2442" t="str">
        <f>IF(AV324&lt;'3phas'!AV$23,AV324,"PVL")</f>
        <v>PVL</v>
      </c>
      <c r="AW325" s="2442" t="str">
        <f>IF(AW324&lt;'3phas'!AW$23,AW324,"PVL")</f>
        <v>PVL</v>
      </c>
      <c r="AX325" s="2442" t="str">
        <f>IF(AX324&lt;'3phas'!AX$23,AX324,"PVL")</f>
        <v>PVL</v>
      </c>
      <c r="AY325" s="2442" t="str">
        <f>IF(AY324&lt;'3phas'!AY$23,AY324,"PVL")</f>
        <v>PVL</v>
      </c>
      <c r="AZ325" s="2442" t="str">
        <f>IF(AZ324&lt;'3phas'!AZ$23,AZ324,"PVL")</f>
        <v>PVL</v>
      </c>
      <c r="BA325" s="2442" t="str">
        <f>IF(BA324&lt;'3phas'!BA$23,BA324,"PVL")</f>
        <v>PVL</v>
      </c>
      <c r="BB325" s="2442" t="str">
        <f>IF(BB324&lt;'3phas'!BB$23,BB324,"PVL")</f>
        <v>PVL</v>
      </c>
      <c r="BC325" s="2442" t="str">
        <f>IF(BC324&lt;'3phas'!BC$23,BC324,"PVL")</f>
        <v>PVL</v>
      </c>
      <c r="BD325" s="2442" t="str">
        <f>IF(BD324&lt;'3phas'!BD$23,BD324,"PVL")</f>
        <v>PVL</v>
      </c>
      <c r="BE325" s="2442" t="str">
        <f>IF(BE324&lt;'3phas'!BE$23,BE324,"PVL")</f>
        <v>PVL</v>
      </c>
      <c r="BF325" s="2442" t="str">
        <f>IF(BF324&lt;'3phas'!BF$23,BF324,"PVL")</f>
        <v>PVL</v>
      </c>
      <c r="BG325" s="2442" t="str">
        <f>BG324</f>
        <v>nd</v>
      </c>
      <c r="BH325" s="2442" t="str">
        <f>IF(BH324&lt;'3phas'!BH$23,BH324,"PVL")</f>
        <v>PVL</v>
      </c>
      <c r="BI325" s="2442" t="str">
        <f>IF(BI324&lt;'3phas'!BI$23,BI324,"PVL")</f>
        <v>PVL</v>
      </c>
    </row>
    <row r="326" spans="1:61" s="41" customFormat="1">
      <c r="A326" s="31"/>
      <c r="B326" s="31"/>
      <c r="C326" s="2503"/>
      <c r="D326" s="2502"/>
      <c r="E326" s="590" t="str">
        <f>E310</f>
        <v>Période chronique</v>
      </c>
      <c r="F326" s="14"/>
      <c r="G326" s="105"/>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row>
    <row r="327" spans="1:61">
      <c r="A327" s="97"/>
      <c r="B327" s="97"/>
      <c r="C327" s="2504"/>
      <c r="D327" s="2505"/>
      <c r="E327" s="586" t="s">
        <v>1112</v>
      </c>
      <c r="F327" s="96" t="s">
        <v>1115</v>
      </c>
      <c r="G327" s="144" t="s">
        <v>206</v>
      </c>
      <c r="H327" s="135">
        <f t="shared" ref="H327:AL327" si="161">H320*H311</f>
        <v>1.3280547658782031E-2</v>
      </c>
      <c r="I327" s="135">
        <f t="shared" si="161"/>
        <v>1.3280547658782031E-2</v>
      </c>
      <c r="J327" s="135">
        <f>J320*J311</f>
        <v>7.3276902500370748E-3</v>
      </c>
      <c r="K327" s="135">
        <f t="shared" si="161"/>
        <v>9.8750719528399892E-4</v>
      </c>
      <c r="L327" s="135">
        <f t="shared" si="161"/>
        <v>4.1179555568448866E-3</v>
      </c>
      <c r="M327" s="135">
        <f t="shared" si="161"/>
        <v>4.1179555568448866E-3</v>
      </c>
      <c r="N327" s="135">
        <f>N320*N311</f>
        <v>2.6779460484982432E-3</v>
      </c>
      <c r="O327" s="135">
        <f>O320*O311</f>
        <v>2.6779460484982432E-3</v>
      </c>
      <c r="P327" s="135">
        <f t="shared" si="161"/>
        <v>2.4529131385292815E-3</v>
      </c>
      <c r="Q327" s="135">
        <f t="shared" si="161"/>
        <v>2.4529131385292815E-3</v>
      </c>
      <c r="R327" s="135">
        <f>R320*R311</f>
        <v>6.1021904780207943E-3</v>
      </c>
      <c r="S327" s="135">
        <f>S320*S311</f>
        <v>5.4631174503334701E-3</v>
      </c>
      <c r="T327" s="135">
        <f>T320*T311</f>
        <v>5.4631174503334701E-3</v>
      </c>
      <c r="U327" s="135">
        <f t="shared" si="161"/>
        <v>1.3815579818439322E-3</v>
      </c>
      <c r="V327" s="135">
        <f t="shared" si="161"/>
        <v>8.4405952127397633E-4</v>
      </c>
      <c r="W327" s="135">
        <f t="shared" si="161"/>
        <v>8.4405952127397633E-4</v>
      </c>
      <c r="X327" s="135">
        <f t="shared" si="161"/>
        <v>4.0120773579746709E-3</v>
      </c>
      <c r="Y327" s="135">
        <f t="shared" si="161"/>
        <v>4.4755239464301481E-3</v>
      </c>
      <c r="Z327" s="135">
        <f t="shared" si="161"/>
        <v>5.3808771962588963E-3</v>
      </c>
      <c r="AA327" s="135">
        <f t="shared" si="161"/>
        <v>2.2827044197718848E-3</v>
      </c>
      <c r="AB327" s="135">
        <f t="shared" si="161"/>
        <v>3.8765424732501515E-3</v>
      </c>
      <c r="AC327" s="135">
        <f t="shared" si="161"/>
        <v>6.3760191395426874E-3</v>
      </c>
      <c r="AD327" s="135">
        <f t="shared" si="161"/>
        <v>7.6973465645490081E-3</v>
      </c>
      <c r="AE327" s="135">
        <f t="shared" si="161"/>
        <v>6.8132079856645968E-3</v>
      </c>
      <c r="AF327" s="135">
        <f t="shared" si="161"/>
        <v>5.475329521994571E-3</v>
      </c>
      <c r="AG327" s="135">
        <f t="shared" si="161"/>
        <v>6.1432378212001476E-4</v>
      </c>
      <c r="AH327" s="135">
        <f t="shared" si="161"/>
        <v>8.2047729874695416E-4</v>
      </c>
      <c r="AI327" s="135">
        <f t="shared" si="161"/>
        <v>1.6059203680687337E-3</v>
      </c>
      <c r="AJ327" s="135">
        <f t="shared" si="161"/>
        <v>2.6600522633874516E-3</v>
      </c>
      <c r="AK327" s="135">
        <f t="shared" si="161"/>
        <v>3.878830728343931E-3</v>
      </c>
      <c r="AL327" s="135">
        <f t="shared" si="161"/>
        <v>4.5823676160804197E-3</v>
      </c>
      <c r="AM327" s="135">
        <f t="shared" ref="AM327:BI327" si="162">AM320*AM311</f>
        <v>4.1050967616095436E-3</v>
      </c>
      <c r="AN327" s="135">
        <f t="shared" si="162"/>
        <v>7.4305828512122819E-3</v>
      </c>
      <c r="AO327" s="135">
        <f t="shared" si="162"/>
        <v>8.4913285501503413E-3</v>
      </c>
      <c r="AP327" s="135">
        <f t="shared" si="162"/>
        <v>8.2916628947339085E-3</v>
      </c>
      <c r="AQ327" s="135">
        <f t="shared" si="162"/>
        <v>7.8248796456970096E-3</v>
      </c>
      <c r="AR327" s="135">
        <f t="shared" si="162"/>
        <v>7.3605735205113602E-3</v>
      </c>
      <c r="AS327" s="135">
        <f t="shared" si="162"/>
        <v>7.356296845263028E-3</v>
      </c>
      <c r="AT327" s="135">
        <f t="shared" si="162"/>
        <v>6.4950944978625627E-3</v>
      </c>
      <c r="AU327" s="135">
        <f t="shared" si="162"/>
        <v>6.4951482305849748E-3</v>
      </c>
      <c r="AV327" s="135">
        <f t="shared" si="162"/>
        <v>5.7560930727004345E-3</v>
      </c>
      <c r="AW327" s="135">
        <f t="shared" si="162"/>
        <v>5.7561038427991363E-3</v>
      </c>
      <c r="AX327" s="135">
        <f t="shared" si="162"/>
        <v>5.2082166301596145E-3</v>
      </c>
      <c r="AY327" s="135">
        <f t="shared" si="162"/>
        <v>5.2082167056524201E-3</v>
      </c>
      <c r="AZ327" s="135">
        <f t="shared" si="162"/>
        <v>5.2086296416492288E-3</v>
      </c>
      <c r="BA327" s="135">
        <f t="shared" si="162"/>
        <v>4.7203207886017985E-3</v>
      </c>
      <c r="BB327" s="135">
        <f t="shared" si="162"/>
        <v>4.8969183981862072E-3</v>
      </c>
      <c r="BC327" s="135">
        <f t="shared" si="162"/>
        <v>0</v>
      </c>
      <c r="BD327" s="135">
        <f t="shared" si="162"/>
        <v>2.8342914269376303E-2</v>
      </c>
      <c r="BE327" s="135">
        <f t="shared" si="162"/>
        <v>5.1033726781852008E-3</v>
      </c>
      <c r="BF327" s="135">
        <f t="shared" si="162"/>
        <v>5.1033726781852008E-3</v>
      </c>
      <c r="BG327" s="135">
        <f t="shared" si="162"/>
        <v>1.0092132993808722E-3</v>
      </c>
      <c r="BH327" s="135">
        <f t="shared" si="162"/>
        <v>1.866373100358492E-2</v>
      </c>
      <c r="BI327" s="135">
        <f t="shared" si="162"/>
        <v>4.4677269853600952E-2</v>
      </c>
    </row>
    <row r="328" spans="1:61">
      <c r="A328" s="97"/>
      <c r="B328" s="97"/>
      <c r="C328" s="2504"/>
      <c r="D328" s="2505"/>
      <c r="E328" s="2066" t="s">
        <v>950</v>
      </c>
      <c r="F328" s="62"/>
      <c r="G328" s="107"/>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c r="AM328" s="113"/>
      <c r="AN328" s="113"/>
      <c r="AO328" s="113"/>
      <c r="AP328" s="113"/>
      <c r="AQ328" s="113"/>
      <c r="AR328" s="113"/>
      <c r="AS328" s="113"/>
      <c r="AT328" s="113"/>
      <c r="AU328" s="113"/>
      <c r="AV328" s="113"/>
      <c r="AW328" s="113"/>
      <c r="AX328" s="113"/>
      <c r="AY328" s="113"/>
      <c r="AZ328" s="113"/>
      <c r="BA328" s="113"/>
      <c r="BB328" s="113"/>
      <c r="BC328" s="113"/>
      <c r="BD328" s="113"/>
      <c r="BE328" s="113"/>
      <c r="BF328" s="113"/>
      <c r="BG328" s="113"/>
      <c r="BH328" s="113"/>
      <c r="BI328" s="113"/>
    </row>
    <row r="329" spans="1:61">
      <c r="A329" s="97"/>
      <c r="B329" s="97"/>
      <c r="C329" s="2506"/>
      <c r="D329" s="2505"/>
      <c r="E329" s="722" t="s">
        <v>1112</v>
      </c>
      <c r="F329" s="96" t="s">
        <v>1115</v>
      </c>
      <c r="G329" s="144" t="s">
        <v>206</v>
      </c>
      <c r="H329" s="135">
        <f t="shared" ref="H329:AL329" si="163">H320*H313</f>
        <v>1.7544473156052561E-2</v>
      </c>
      <c r="I329" s="135">
        <f t="shared" si="163"/>
        <v>1.7544473156052561E-2</v>
      </c>
      <c r="J329" s="135">
        <f>J320*J313</f>
        <v>1.684869516136718E-2</v>
      </c>
      <c r="K329" s="135">
        <f t="shared" si="163"/>
        <v>5.2792078087582194E-3</v>
      </c>
      <c r="L329" s="135">
        <f t="shared" si="163"/>
        <v>8.8784407139984017E-3</v>
      </c>
      <c r="M329" s="135">
        <f t="shared" si="163"/>
        <v>8.8784407139984017E-3</v>
      </c>
      <c r="N329" s="135">
        <f>N320*N313</f>
        <v>6.9973490562266647E-3</v>
      </c>
      <c r="O329" s="135">
        <f>O320*O313</f>
        <v>6.9973490562266647E-3</v>
      </c>
      <c r="P329" s="135">
        <f t="shared" si="163"/>
        <v>6.3906503742009102E-3</v>
      </c>
      <c r="Q329" s="135">
        <f t="shared" si="163"/>
        <v>6.3906503742009102E-3</v>
      </c>
      <c r="R329" s="135">
        <f>R320*R313</f>
        <v>3.6513106958649018E-2</v>
      </c>
      <c r="S329" s="135">
        <f>S320*S313</f>
        <v>1.187599036926824E-2</v>
      </c>
      <c r="T329" s="135">
        <f>T320*T313</f>
        <v>1.187599036926824E-2</v>
      </c>
      <c r="U329" s="135">
        <f t="shared" si="163"/>
        <v>5.2017491672747135E-3</v>
      </c>
      <c r="V329" s="135">
        <f t="shared" si="163"/>
        <v>2.3811730736647769E-3</v>
      </c>
      <c r="W329" s="135">
        <f t="shared" si="163"/>
        <v>2.3811730736647769E-3</v>
      </c>
      <c r="X329" s="135">
        <f t="shared" si="163"/>
        <v>8.7962727837902332E-3</v>
      </c>
      <c r="Y329" s="135">
        <f t="shared" si="163"/>
        <v>9.5364226963511045E-3</v>
      </c>
      <c r="Z329" s="135">
        <f t="shared" si="163"/>
        <v>1.0938305270984683E-2</v>
      </c>
      <c r="AA329" s="135">
        <f t="shared" si="163"/>
        <v>1.2491552617148162E-2</v>
      </c>
      <c r="AB329" s="135">
        <f t="shared" si="163"/>
        <v>7.0455816873050163E-3</v>
      </c>
      <c r="AC329" s="135">
        <f t="shared" si="163"/>
        <v>8.8947200371437204E-3</v>
      </c>
      <c r="AD329" s="135">
        <f t="shared" si="163"/>
        <v>8.5420174206681035E-3</v>
      </c>
      <c r="AE329" s="135">
        <f t="shared" si="163"/>
        <v>6.898810920183884E-3</v>
      </c>
      <c r="AF329" s="135">
        <f t="shared" si="163"/>
        <v>5.4755314603303464E-3</v>
      </c>
      <c r="AG329" s="135">
        <f t="shared" si="163"/>
        <v>2.7304988353293418E-3</v>
      </c>
      <c r="AH329" s="135">
        <f t="shared" si="163"/>
        <v>2.7669278646213595E-3</v>
      </c>
      <c r="AI329" s="135">
        <f t="shared" si="163"/>
        <v>3.4708707656526889E-3</v>
      </c>
      <c r="AJ329" s="135">
        <f t="shared" si="163"/>
        <v>4.9715352582236187E-3</v>
      </c>
      <c r="AK329" s="135">
        <f t="shared" si="163"/>
        <v>5.6246984894460878E-3</v>
      </c>
      <c r="AL329" s="135">
        <f t="shared" si="163"/>
        <v>4.8146297460944587E-3</v>
      </c>
      <c r="AM329" s="135">
        <f t="shared" ref="AM329:BI329" si="164">AM320*AM313</f>
        <v>4.1064143915927782E-3</v>
      </c>
      <c r="AN329" s="135">
        <f t="shared" si="164"/>
        <v>1.0126399640363836E-2</v>
      </c>
      <c r="AO329" s="135">
        <f t="shared" si="164"/>
        <v>8.6097178978156753E-3</v>
      </c>
      <c r="AP329" s="135">
        <f t="shared" si="164"/>
        <v>8.48150652979833E-3</v>
      </c>
      <c r="AQ329" s="135">
        <f t="shared" si="164"/>
        <v>7.893005182263298E-3</v>
      </c>
      <c r="AR329" s="135">
        <f t="shared" si="164"/>
        <v>7.3721716487562513E-3</v>
      </c>
      <c r="AS329" s="135">
        <f t="shared" si="164"/>
        <v>7.3714517085981804E-3</v>
      </c>
      <c r="AT329" s="135">
        <f t="shared" si="164"/>
        <v>6.4958341283022601E-3</v>
      </c>
      <c r="AU329" s="135">
        <f t="shared" si="164"/>
        <v>6.4958431122659113E-3</v>
      </c>
      <c r="AV329" s="135">
        <f t="shared" si="164"/>
        <v>5.7561705146572002E-3</v>
      </c>
      <c r="AW329" s="135">
        <f t="shared" si="164"/>
        <v>5.756172314642905E-3</v>
      </c>
      <c r="AX329" s="135">
        <f t="shared" si="164"/>
        <v>5.2082168041308824E-3</v>
      </c>
      <c r="AY329" s="135">
        <f t="shared" si="164"/>
        <v>5.2082168038290197E-3</v>
      </c>
      <c r="AZ329" s="135">
        <f t="shared" si="164"/>
        <v>5.2086297277343461E-3</v>
      </c>
      <c r="BA329" s="135">
        <f t="shared" si="164"/>
        <v>4.7203208156254778E-3</v>
      </c>
      <c r="BB329" s="135">
        <f t="shared" si="164"/>
        <v>4.8969191912091479E-3</v>
      </c>
      <c r="BC329" s="135">
        <f t="shared" si="164"/>
        <v>0</v>
      </c>
      <c r="BD329" s="135">
        <f t="shared" si="164"/>
        <v>2.8355226079319965E-2</v>
      </c>
      <c r="BE329" s="135">
        <f t="shared" si="164"/>
        <v>5.1034335235248226E-3</v>
      </c>
      <c r="BF329" s="135">
        <f t="shared" si="164"/>
        <v>5.1034335235248226E-3</v>
      </c>
      <c r="BG329" s="135">
        <f t="shared" si="164"/>
        <v>2.6842855916885521E-3</v>
      </c>
      <c r="BH329" s="135">
        <f t="shared" si="164"/>
        <v>1.8672767078170737E-2</v>
      </c>
      <c r="BI329" s="135">
        <f t="shared" si="164"/>
        <v>5.7566705998922038E-2</v>
      </c>
    </row>
    <row r="330" spans="1:61">
      <c r="A330" s="97"/>
      <c r="B330" s="97"/>
      <c r="C330" s="2504"/>
      <c r="D330" s="2505"/>
      <c r="E330" s="723" t="s">
        <v>679</v>
      </c>
      <c r="F330" s="62" t="s">
        <v>1116</v>
      </c>
      <c r="G330" s="107" t="s">
        <v>24</v>
      </c>
      <c r="H330" s="113">
        <f t="shared" ref="H330:BI330" si="165">H$25*H329</f>
        <v>4.6220766267589777E-7</v>
      </c>
      <c r="I330" s="113">
        <f t="shared" si="165"/>
        <v>4.6220766267589777E-7</v>
      </c>
      <c r="J330" s="113">
        <f>J$25*J329</f>
        <v>2.9139254137667689E-6</v>
      </c>
      <c r="K330" s="113">
        <f t="shared" si="165"/>
        <v>2.0342443954342453E-4</v>
      </c>
      <c r="L330" s="113">
        <f t="shared" si="165"/>
        <v>6.3963737652700164E-5</v>
      </c>
      <c r="M330" s="113">
        <f t="shared" si="165"/>
        <v>6.3963737652700164E-5</v>
      </c>
      <c r="N330" s="113">
        <f>N$25*N329</f>
        <v>9.9427462238159216E-5</v>
      </c>
      <c r="O330" s="113">
        <f>O$25*O329</f>
        <v>9.9427462238159216E-5</v>
      </c>
      <c r="P330" s="113">
        <f t="shared" si="165"/>
        <v>9.913740074548951E-5</v>
      </c>
      <c r="Q330" s="113">
        <f t="shared" si="165"/>
        <v>9.913740074548951E-5</v>
      </c>
      <c r="R330" s="113">
        <f>R$25*R329</f>
        <v>2.2768670309653919E-4</v>
      </c>
      <c r="S330" s="113">
        <f>S$25*S329</f>
        <v>6.9477300604088265E-5</v>
      </c>
      <c r="T330" s="113">
        <f>T$25*T329</f>
        <v>6.9477300604088265E-5</v>
      </c>
      <c r="U330" s="113">
        <f t="shared" si="165"/>
        <v>1.4326989055574941E-4</v>
      </c>
      <c r="V330" s="113">
        <f t="shared" si="165"/>
        <v>1.0734764685213593E-4</v>
      </c>
      <c r="W330" s="113">
        <f t="shared" si="165"/>
        <v>1.0734764685213593E-4</v>
      </c>
      <c r="X330" s="113">
        <f t="shared" si="165"/>
        <v>7.6075147474207792E-5</v>
      </c>
      <c r="Y330" s="113">
        <f t="shared" si="165"/>
        <v>5.7160993187897235E-5</v>
      </c>
      <c r="Z330" s="113">
        <f t="shared" si="165"/>
        <v>3.8828021915128276E-5</v>
      </c>
      <c r="AA330" s="113">
        <f t="shared" si="165"/>
        <v>2.9747011479375117E-5</v>
      </c>
      <c r="AB330" s="113">
        <f t="shared" si="165"/>
        <v>1.8975585656255985E-5</v>
      </c>
      <c r="AC330" s="113">
        <f t="shared" si="165"/>
        <v>4.6746017040015174E-6</v>
      </c>
      <c r="AD330" s="113">
        <f t="shared" si="165"/>
        <v>8.7869369813421413E-7</v>
      </c>
      <c r="AE330" s="113">
        <f t="shared" si="165"/>
        <v>8.8489345864250665E-8</v>
      </c>
      <c r="AF330" s="113">
        <f t="shared" si="165"/>
        <v>2.9109922800525679E-10</v>
      </c>
      <c r="AG330" s="113">
        <f t="shared" si="165"/>
        <v>1.6912947719147206E-4</v>
      </c>
      <c r="AH330" s="113">
        <f t="shared" si="165"/>
        <v>1.2832341441532317E-4</v>
      </c>
      <c r="AI330" s="113">
        <f t="shared" si="165"/>
        <v>6.5452967366872895E-5</v>
      </c>
      <c r="AJ330" s="113">
        <f t="shared" si="165"/>
        <v>2.2317066439237941E-5</v>
      </c>
      <c r="AK330" s="113">
        <f t="shared" si="165"/>
        <v>5.7560481849765078E-6</v>
      </c>
      <c r="AL330" s="113">
        <f t="shared" si="165"/>
        <v>3.7351618020954493E-7</v>
      </c>
      <c r="AM330" s="113">
        <f t="shared" si="165"/>
        <v>2.2052593051871149E-9</v>
      </c>
      <c r="AN330" s="113">
        <f t="shared" si="165"/>
        <v>4.3285360970879678E-7</v>
      </c>
      <c r="AO330" s="113">
        <f t="shared" si="165"/>
        <v>1.0051343444210684E-7</v>
      </c>
      <c r="AP330" s="113">
        <f t="shared" si="165"/>
        <v>1.6564994368035887E-7</v>
      </c>
      <c r="AQ330" s="113">
        <f t="shared" si="165"/>
        <v>6.2419913068886094E-8</v>
      </c>
      <c r="AR330" s="113">
        <f t="shared" si="165"/>
        <v>1.1672853715583146E-8</v>
      </c>
      <c r="AS330" s="113">
        <f t="shared" si="165"/>
        <v>1.5075416861777638E-8</v>
      </c>
      <c r="AT330" s="113">
        <f t="shared" si="165"/>
        <v>9.6972223383523474E-10</v>
      </c>
      <c r="AU330" s="113">
        <f t="shared" si="165"/>
        <v>9.3288510192736119E-10</v>
      </c>
      <c r="AV330" s="113">
        <f t="shared" si="165"/>
        <v>1.3188088991136504E-10</v>
      </c>
      <c r="AW330" s="113">
        <f t="shared" si="165"/>
        <v>1.2707817395520508E-10</v>
      </c>
      <c r="AX330" s="113">
        <f t="shared" si="165"/>
        <v>4.0471227192574171E-12</v>
      </c>
      <c r="AY330" s="113">
        <f t="shared" si="165"/>
        <v>2.777524516799507E-12</v>
      </c>
      <c r="AZ330" s="113">
        <f t="shared" si="165"/>
        <v>1.8549288799963771E-12</v>
      </c>
      <c r="BA330" s="113">
        <f t="shared" si="165"/>
        <v>2.9033093813448648E-13</v>
      </c>
      <c r="BB330" s="113">
        <f t="shared" si="165"/>
        <v>4.7689088140239347E-12</v>
      </c>
      <c r="BC330" s="113">
        <f t="shared" si="165"/>
        <v>0</v>
      </c>
      <c r="BD330" s="113">
        <f t="shared" si="165"/>
        <v>2.6525507116367931E-8</v>
      </c>
      <c r="BE330" s="113">
        <f t="shared" si="165"/>
        <v>1.0596091029664481E-10</v>
      </c>
      <c r="BF330" s="113">
        <f t="shared" si="165"/>
        <v>1.0596091029664481E-10</v>
      </c>
      <c r="BG330" s="113">
        <f t="shared" si="165"/>
        <v>4.5544182192630939E-5</v>
      </c>
      <c r="BH330" s="113">
        <f t="shared" si="165"/>
        <v>2.3228535484701385E-8</v>
      </c>
      <c r="BI330" s="113">
        <f t="shared" si="165"/>
        <v>5.5408725441885086E-7</v>
      </c>
    </row>
    <row r="331" spans="1:61" ht="25.5">
      <c r="A331" s="97"/>
      <c r="B331" s="97"/>
      <c r="C331" s="2506"/>
      <c r="D331" s="2523"/>
      <c r="E331" s="103" t="s">
        <v>1015</v>
      </c>
      <c r="F331" s="14" t="s">
        <v>19</v>
      </c>
      <c r="G331" s="341" t="s">
        <v>18</v>
      </c>
      <c r="H331" s="113" t="str">
        <f t="shared" ref="H331:AM331" si="166">IF(H$13=0,"nd",IF(H330=0,"PVL",H$13*1000/H329/H$20))</f>
        <v>nd</v>
      </c>
      <c r="I331" s="113" t="str">
        <f t="shared" si="166"/>
        <v>nd</v>
      </c>
      <c r="J331" s="113" t="str">
        <f t="shared" si="166"/>
        <v>nd</v>
      </c>
      <c r="K331" s="113">
        <f t="shared" si="166"/>
        <v>1278.1158477494462</v>
      </c>
      <c r="L331" s="113">
        <f t="shared" si="166"/>
        <v>10707.959896008606</v>
      </c>
      <c r="M331" s="113">
        <f t="shared" si="166"/>
        <v>10707.959896008606</v>
      </c>
      <c r="N331" s="113">
        <f t="shared" si="166"/>
        <v>15378.09791510019</v>
      </c>
      <c r="O331" s="113">
        <f t="shared" si="166"/>
        <v>15378.09791510019</v>
      </c>
      <c r="P331" s="113">
        <f t="shared" si="166"/>
        <v>18770.591976649779</v>
      </c>
      <c r="Q331" s="113">
        <f t="shared" si="166"/>
        <v>18770.591976649779</v>
      </c>
      <c r="R331" s="113">
        <f t="shared" si="166"/>
        <v>3875.7173468169158</v>
      </c>
      <c r="S331" s="113">
        <f t="shared" si="166"/>
        <v>1713.9119716597693</v>
      </c>
      <c r="T331" s="113">
        <f t="shared" si="166"/>
        <v>1713.9119716597693</v>
      </c>
      <c r="U331" s="113">
        <f t="shared" si="166"/>
        <v>42836.871297452737</v>
      </c>
      <c r="V331" s="113">
        <f t="shared" si="166"/>
        <v>51655.555953565483</v>
      </c>
      <c r="W331" s="113">
        <f t="shared" si="166"/>
        <v>51655.555953565483</v>
      </c>
      <c r="X331" s="113">
        <f t="shared" si="166"/>
        <v>1994.2806958084182</v>
      </c>
      <c r="Y331" s="113">
        <f t="shared" si="166"/>
        <v>1635.9551170931184</v>
      </c>
      <c r="Z331" s="113">
        <f t="shared" si="166"/>
        <v>2511.1425919993712</v>
      </c>
      <c r="AA331" s="113">
        <f t="shared" si="166"/>
        <v>99.757028297340199</v>
      </c>
      <c r="AB331" s="113">
        <f t="shared" si="166"/>
        <v>896.40971295625161</v>
      </c>
      <c r="AC331" s="113">
        <f t="shared" si="166"/>
        <v>957.36479479861464</v>
      </c>
      <c r="AD331" s="113">
        <f t="shared" si="166"/>
        <v>5093.1275717799645</v>
      </c>
      <c r="AE331" s="113">
        <f t="shared" si="166"/>
        <v>50574.439865134875</v>
      </c>
      <c r="AF331" s="113">
        <f t="shared" si="166"/>
        <v>15373792.406745406</v>
      </c>
      <c r="AG331" s="113">
        <f t="shared" si="166"/>
        <v>2303.6504413389657</v>
      </c>
      <c r="AH331" s="113">
        <f t="shared" si="166"/>
        <v>17282.34879584995</v>
      </c>
      <c r="AI331" s="113">
        <f t="shared" si="166"/>
        <v>2740.0329301802112</v>
      </c>
      <c r="AJ331" s="113">
        <f t="shared" si="166"/>
        <v>3084.0389555668648</v>
      </c>
      <c r="AK331" s="113">
        <f t="shared" si="166"/>
        <v>66017.515453017506</v>
      </c>
      <c r="AL331" s="113">
        <f t="shared" si="166"/>
        <v>1017358.8726111347</v>
      </c>
      <c r="AM331" s="113">
        <f t="shared" si="166"/>
        <v>172315336.84323677</v>
      </c>
      <c r="AN331" s="113">
        <f t="shared" ref="AN331:BI331" si="167">IF(AN$13=0,"nd",IF(AN330=0,"PVL",AN$13*1000/AN329/AN$20))</f>
        <v>10339.059212483948</v>
      </c>
      <c r="AO331" s="113">
        <f t="shared" si="167"/>
        <v>44524.387470754707</v>
      </c>
      <c r="AP331" s="113">
        <f t="shared" si="167"/>
        <v>27016.60502675621</v>
      </c>
      <c r="AQ331" s="113">
        <f t="shared" si="167"/>
        <v>71696.657061629739</v>
      </c>
      <c r="AR331" s="113">
        <f t="shared" si="167"/>
        <v>383393.74502245203</v>
      </c>
      <c r="AS331" s="113">
        <f t="shared" si="167"/>
        <v>296860.71981620521</v>
      </c>
      <c r="AT331" s="113">
        <f t="shared" si="167"/>
        <v>4615031.9596333634</v>
      </c>
      <c r="AU331" s="113">
        <f t="shared" si="167"/>
        <v>4797267.2002914399</v>
      </c>
      <c r="AV331" s="113">
        <f t="shared" si="167"/>
        <v>33934401.747853234</v>
      </c>
      <c r="AW331" s="113">
        <f t="shared" si="167"/>
        <v>35216898.085852295</v>
      </c>
      <c r="AX331" s="113">
        <f t="shared" si="167"/>
        <v>1105797726.3258805</v>
      </c>
      <c r="AY331" s="113">
        <f t="shared" si="167"/>
        <v>1611254580.8501003</v>
      </c>
      <c r="AZ331" s="113">
        <f t="shared" si="167"/>
        <v>2412652662.5244021</v>
      </c>
      <c r="BA331" s="113">
        <f t="shared" si="167"/>
        <v>15414475390.988569</v>
      </c>
      <c r="BB331" s="113">
        <f t="shared" si="167"/>
        <v>938432516.88020337</v>
      </c>
      <c r="BC331" s="113" t="str">
        <f t="shared" si="167"/>
        <v>PVL</v>
      </c>
      <c r="BD331" s="113">
        <f t="shared" si="167"/>
        <v>58982.16392129926</v>
      </c>
      <c r="BE331" s="113" t="str">
        <f t="shared" si="167"/>
        <v>nd</v>
      </c>
      <c r="BF331" s="113" t="str">
        <f t="shared" si="167"/>
        <v>nd</v>
      </c>
      <c r="BG331" s="113" t="str">
        <f t="shared" si="167"/>
        <v>nd</v>
      </c>
      <c r="BH331" s="113" t="str">
        <f t="shared" si="167"/>
        <v>nd</v>
      </c>
      <c r="BI331" s="113" t="str">
        <f t="shared" si="167"/>
        <v>nd</v>
      </c>
    </row>
    <row r="332" spans="1:61" s="2443" customFormat="1" ht="25.5">
      <c r="A332" s="2438"/>
      <c r="B332" s="2439"/>
      <c r="C332" s="2506"/>
      <c r="D332" s="2523"/>
      <c r="E332" s="2514" t="s">
        <v>1016</v>
      </c>
      <c r="F332" s="2440" t="s">
        <v>19</v>
      </c>
      <c r="G332" s="2431" t="s">
        <v>20</v>
      </c>
      <c r="H332" s="2442" t="str">
        <f>IF(H331&lt;'3phas'!H$23,H331,"PVL")</f>
        <v>PVL</v>
      </c>
      <c r="I332" s="2442" t="str">
        <f>IF(I331&lt;'3phas'!I$23,I331,"PVL")</f>
        <v>PVL</v>
      </c>
      <c r="J332" s="2442" t="str">
        <f>IF(J331&lt;'3phas'!J$23,J331,"PVL")</f>
        <v>PVL</v>
      </c>
      <c r="K332" s="2442" t="str">
        <f>IF(K331&lt;'3phas'!K$23,K331,"PVL")</f>
        <v>PVL</v>
      </c>
      <c r="L332" s="2442" t="str">
        <f>IF(L331&lt;'3phas'!L$23,L331,"PVL")</f>
        <v>PVL</v>
      </c>
      <c r="M332" s="2442" t="str">
        <f>IF(M331&lt;'3phas'!M$23,M331,"PVL")</f>
        <v>PVL</v>
      </c>
      <c r="N332" s="2442" t="str">
        <f>IF(N331&lt;'3phas'!N$23,N331,"PVL")</f>
        <v>PVL</v>
      </c>
      <c r="O332" s="2442" t="str">
        <f>IF(O331&lt;'3phas'!O$23,O331,"PVL")</f>
        <v>PVL</v>
      </c>
      <c r="P332" s="2442" t="str">
        <f>IF(P331&lt;'3phas'!P$23,P331,"PVL")</f>
        <v>PVL</v>
      </c>
      <c r="Q332" s="2442" t="str">
        <f>IF(Q331&lt;'3phas'!Q$23,Q331,"PVL")</f>
        <v>PVL</v>
      </c>
      <c r="R332" s="2442" t="str">
        <f>IF(R331&lt;'3phas'!R$23,R331,"PVL")</f>
        <v>PVL</v>
      </c>
      <c r="S332" s="2442">
        <f>IF(S331&lt;'3phas'!S$23,S331,"PVL")</f>
        <v>1713.9119716597693</v>
      </c>
      <c r="T332" s="2442">
        <f>IF(T331&lt;'3phas'!T$23,T331,"PVL")</f>
        <v>1713.9119716597693</v>
      </c>
      <c r="U332" s="2442" t="str">
        <f>IF(U331&lt;'3phas'!U$23,U331,"PVL")</f>
        <v>PVL</v>
      </c>
      <c r="V332" s="2442" t="str">
        <f>IF(V331&lt;'3phas'!V$23,V331,"PVL")</f>
        <v>PVL</v>
      </c>
      <c r="W332" s="2442" t="str">
        <f>IF(W331&lt;'3phas'!W$23,W331,"PVL")</f>
        <v>PVL</v>
      </c>
      <c r="X332" s="2442" t="str">
        <f>IF(X331&lt;'3phas'!X$23,X331,"PVL")</f>
        <v>PVL</v>
      </c>
      <c r="Y332" s="2442" t="str">
        <f>IF(Y331&lt;'3phas'!Y$23,Y331,"PVL")</f>
        <v>PVL</v>
      </c>
      <c r="Z332" s="2442" t="str">
        <f>IF(Z331&lt;'3phas'!Z$23,Z331,"PVL")</f>
        <v>PVL</v>
      </c>
      <c r="AA332" s="2442">
        <f>IF(AA331&lt;'3phas'!AA$23,AA331,"PVL")</f>
        <v>99.757028297340199</v>
      </c>
      <c r="AB332" s="2442" t="str">
        <f>IF(AB331&lt;'3phas'!AB$23,AB331,"PVL")</f>
        <v>PVL</v>
      </c>
      <c r="AC332" s="2442" t="str">
        <f>IF(AC331&lt;'3phas'!AC$23,AC331,"PVL")</f>
        <v>PVL</v>
      </c>
      <c r="AD332" s="2442" t="str">
        <f>IF(AD331&lt;'3phas'!AD$23,AD331,"PVL")</f>
        <v>PVL</v>
      </c>
      <c r="AE332" s="2442" t="str">
        <f>IF(AE331&lt;'3phas'!AE$23,AE331,"PVL")</f>
        <v>PVL</v>
      </c>
      <c r="AF332" s="2442" t="str">
        <f>IF(AF331&lt;'3phas'!AF$23,AF331,"PVL")</f>
        <v>PVL</v>
      </c>
      <c r="AG332" s="2442" t="str">
        <f>IF(AG331&lt;'3phas'!AG$23,AG331,"PVL")</f>
        <v>PVL</v>
      </c>
      <c r="AH332" s="2442" t="str">
        <f>IF(AH331&lt;'3phas'!AH$23,AH331,"PVL")</f>
        <v>PVL</v>
      </c>
      <c r="AI332" s="2442" t="str">
        <f>IF(AI331&lt;'3phas'!AI$23,AI331,"PVL")</f>
        <v>PVL</v>
      </c>
      <c r="AJ332" s="2442" t="str">
        <f>IF(AJ331&lt;'3phas'!AJ$23,AJ331,"PVL")</f>
        <v>PVL</v>
      </c>
      <c r="AK332" s="2442" t="str">
        <f>IF(AK331&lt;'3phas'!AK$23,AK331,"PVL")</f>
        <v>PVL</v>
      </c>
      <c r="AL332" s="2442" t="str">
        <f>IF(AL331&lt;'3phas'!AL$23,AL331,"PVL")</f>
        <v>PVL</v>
      </c>
      <c r="AM332" s="2442" t="str">
        <f>IF(AM331&lt;'3phas'!AM$23,AM331,"PVL")</f>
        <v>PVL</v>
      </c>
      <c r="AN332" s="2442" t="str">
        <f>IF(AN331&lt;'3phas'!AN$23,AN331,"PVL")</f>
        <v>PVL</v>
      </c>
      <c r="AO332" s="2442" t="str">
        <f>IF(AO331&lt;'3phas'!AO$23,AO331,"PVL")</f>
        <v>PVL</v>
      </c>
      <c r="AP332" s="2442" t="str">
        <f>IF(AP331&lt;'3phas'!AP$23,AP331,"PVL")</f>
        <v>PVL</v>
      </c>
      <c r="AQ332" s="2442" t="str">
        <f>IF(AQ331&lt;'3phas'!AQ$23,AQ331,"PVL")</f>
        <v>PVL</v>
      </c>
      <c r="AR332" s="2442" t="str">
        <f>IF(AR331&lt;'3phas'!AR$23,AR331,"PVL")</f>
        <v>PVL</v>
      </c>
      <c r="AS332" s="2442" t="str">
        <f>IF(AS331&lt;'3phas'!AS$23,AS331,"PVL")</f>
        <v>PVL</v>
      </c>
      <c r="AT332" s="2442" t="str">
        <f>IF(AT331&lt;'3phas'!AT$23,AT331,"PVL")</f>
        <v>PVL</v>
      </c>
      <c r="AU332" s="2442" t="str">
        <f>IF(AU331&lt;'3phas'!AU$23,AU331,"PVL")</f>
        <v>PVL</v>
      </c>
      <c r="AV332" s="2442" t="str">
        <f>IF(AV331&lt;'3phas'!AV$23,AV331,"PVL")</f>
        <v>PVL</v>
      </c>
      <c r="AW332" s="2442" t="str">
        <f>IF(AW331&lt;'3phas'!AW$23,AW331,"PVL")</f>
        <v>PVL</v>
      </c>
      <c r="AX332" s="2442" t="str">
        <f>IF(AX331&lt;'3phas'!AX$23,AX331,"PVL")</f>
        <v>PVL</v>
      </c>
      <c r="AY332" s="2442" t="str">
        <f>IF(AY331&lt;'3phas'!AY$23,AY331,"PVL")</f>
        <v>PVL</v>
      </c>
      <c r="AZ332" s="2442" t="str">
        <f>IF(AZ331&lt;'3phas'!AZ$23,AZ331,"PVL")</f>
        <v>PVL</v>
      </c>
      <c r="BA332" s="2442" t="str">
        <f>IF(BA331&lt;'3phas'!BA$23,BA331,"PVL")</f>
        <v>PVL</v>
      </c>
      <c r="BB332" s="2442" t="str">
        <f>IF(BB331&lt;'3phas'!BB$23,BB331,"PVL")</f>
        <v>PVL</v>
      </c>
      <c r="BC332" s="2442" t="str">
        <f>IF(BC331&lt;'3phas'!BC$23,BC331,"PVL")</f>
        <v>PVL</v>
      </c>
      <c r="BD332" s="2442" t="str">
        <f>IF(BD331&lt;'3phas'!BD$23,BD331,"PVL")</f>
        <v>PVL</v>
      </c>
      <c r="BE332" s="2442" t="str">
        <f>IF(BE331&lt;'3phas'!BE$23,BE331,"PVL")</f>
        <v>PVL</v>
      </c>
      <c r="BF332" s="2442" t="str">
        <f>IF(BF331&lt;'3phas'!BF$23,BF331,"PVL")</f>
        <v>PVL</v>
      </c>
      <c r="BG332" s="2442" t="str">
        <f>BG331</f>
        <v>nd</v>
      </c>
      <c r="BH332" s="2442" t="str">
        <f>IF(BH331&lt;'3phas'!BH$23,BH331,"PVL")</f>
        <v>PVL</v>
      </c>
      <c r="BI332" s="2442" t="str">
        <f>IF(BI331&lt;'3phas'!BI$23,BI331,"PVL")</f>
        <v>PVL</v>
      </c>
    </row>
    <row r="333" spans="1:61">
      <c r="A333" s="97"/>
      <c r="B333" s="97"/>
      <c r="C333" s="2504"/>
      <c r="D333" s="2505"/>
      <c r="E333" s="589" t="str">
        <f>E316</f>
        <v>Période employé (40 ans)</v>
      </c>
      <c r="F333" s="62"/>
      <c r="G333" s="107"/>
      <c r="H333" s="113"/>
      <c r="I333" s="113"/>
      <c r="J333" s="113"/>
      <c r="K333" s="113"/>
      <c r="L333" s="113"/>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3"/>
      <c r="AN333" s="113"/>
      <c r="AO333" s="113"/>
      <c r="AP333" s="113"/>
      <c r="AQ333" s="113"/>
      <c r="AR333" s="113"/>
      <c r="AS333" s="113"/>
      <c r="AT333" s="113"/>
      <c r="AU333" s="113"/>
      <c r="AV333" s="113"/>
      <c r="AW333" s="113"/>
      <c r="AX333" s="113"/>
      <c r="AY333" s="113"/>
      <c r="AZ333" s="113"/>
      <c r="BA333" s="113"/>
      <c r="BB333" s="113"/>
      <c r="BC333" s="113"/>
      <c r="BD333" s="113"/>
      <c r="BE333" s="113"/>
      <c r="BF333" s="113"/>
      <c r="BG333" s="113"/>
      <c r="BH333" s="113"/>
      <c r="BI333" s="113"/>
    </row>
    <row r="334" spans="1:61">
      <c r="A334" s="97"/>
      <c r="B334" s="97"/>
      <c r="C334" s="2504"/>
      <c r="D334" s="2505"/>
      <c r="E334" s="586" t="s">
        <v>1112</v>
      </c>
      <c r="F334" s="96" t="s">
        <v>1115</v>
      </c>
      <c r="G334" s="144" t="s">
        <v>206</v>
      </c>
      <c r="H334" s="135">
        <f>H320*H317</f>
        <v>8.1514550781257335E-3</v>
      </c>
      <c r="I334" s="135">
        <f t="shared" ref="I334:BI334" si="168">I320*I317</f>
        <v>8.1514550781257335E-3</v>
      </c>
      <c r="J334" s="135">
        <f>J320*J317</f>
        <v>3.5565095897969346E-3</v>
      </c>
      <c r="K334" s="135">
        <f t="shared" si="168"/>
        <v>2.4687679882099972E-5</v>
      </c>
      <c r="L334" s="135">
        <f t="shared" si="168"/>
        <v>1.3204364778198247E-4</v>
      </c>
      <c r="M334" s="135">
        <f t="shared" si="168"/>
        <v>1.3204364778198247E-4</v>
      </c>
      <c r="N334" s="135">
        <f>N320*N317</f>
        <v>6.6948651212456095E-5</v>
      </c>
      <c r="O334" s="135">
        <f>O320*O317</f>
        <v>6.6948651212456095E-5</v>
      </c>
      <c r="P334" s="135">
        <f t="shared" si="168"/>
        <v>6.1322828463232051E-5</v>
      </c>
      <c r="Q334" s="135">
        <f t="shared" si="168"/>
        <v>6.1322828463232051E-5</v>
      </c>
      <c r="R334" s="135">
        <f>R320*R317</f>
        <v>1.5255476195051988E-4</v>
      </c>
      <c r="S334" s="135">
        <f>S320*S317</f>
        <v>1.6260786513136121E-4</v>
      </c>
      <c r="T334" s="135">
        <f>T320*T317</f>
        <v>1.6260786513136121E-4</v>
      </c>
      <c r="U334" s="135">
        <f t="shared" si="168"/>
        <v>3.4538949546098306E-5</v>
      </c>
      <c r="V334" s="135">
        <f t="shared" si="168"/>
        <v>2.1101488031849406E-5</v>
      </c>
      <c r="W334" s="135">
        <f t="shared" si="168"/>
        <v>2.1101488031849406E-5</v>
      </c>
      <c r="X334" s="135">
        <f t="shared" si="168"/>
        <v>1.0999438954791566E-4</v>
      </c>
      <c r="Y334" s="135">
        <f t="shared" si="168"/>
        <v>1.5870856843399215E-4</v>
      </c>
      <c r="Z334" s="135">
        <f t="shared" si="168"/>
        <v>2.6799051382735947E-4</v>
      </c>
      <c r="AA334" s="135">
        <f t="shared" si="168"/>
        <v>3.9947327346007985E-4</v>
      </c>
      <c r="AB334" s="135">
        <f t="shared" si="168"/>
        <v>3.5321270250555893E-4</v>
      </c>
      <c r="AC334" s="135">
        <f t="shared" si="168"/>
        <v>1.528470470079135E-3</v>
      </c>
      <c r="AD334" s="135">
        <f t="shared" si="168"/>
        <v>2.8654207727562431E-3</v>
      </c>
      <c r="AE334" s="135">
        <f t="shared" si="168"/>
        <v>4.8352888104969578E-3</v>
      </c>
      <c r="AF334" s="135">
        <f t="shared" si="168"/>
        <v>5.4659068406485945E-3</v>
      </c>
      <c r="AG334" s="135">
        <f t="shared" si="168"/>
        <v>1.5358094553000372E-5</v>
      </c>
      <c r="AH334" s="135">
        <f t="shared" si="168"/>
        <v>2.0511932468673853E-5</v>
      </c>
      <c r="AI334" s="135">
        <f t="shared" si="168"/>
        <v>5.0445653302991629E-5</v>
      </c>
      <c r="AJ334" s="135">
        <f t="shared" si="168"/>
        <v>2.119181066751425E-4</v>
      </c>
      <c r="AK334" s="135">
        <f t="shared" si="168"/>
        <v>8.9086574221186262E-4</v>
      </c>
      <c r="AL334" s="135">
        <f t="shared" si="168"/>
        <v>2.21216430503817E-3</v>
      </c>
      <c r="AM334" s="135">
        <f t="shared" si="168"/>
        <v>4.0452226390560002E-3</v>
      </c>
      <c r="AN334" s="135">
        <f t="shared" si="168"/>
        <v>4.4556130405506243E-3</v>
      </c>
      <c r="AO334" s="135">
        <f t="shared" si="168"/>
        <v>5.8864117831024148E-3</v>
      </c>
      <c r="AP334" s="135">
        <f t="shared" si="168"/>
        <v>5.0746269765639214E-3</v>
      </c>
      <c r="AQ334" s="135">
        <f t="shared" si="168"/>
        <v>5.9856902749567276E-3</v>
      </c>
      <c r="AR334" s="135">
        <f t="shared" si="168"/>
        <v>6.8866090279619558E-3</v>
      </c>
      <c r="AS334" s="135">
        <f t="shared" si="168"/>
        <v>6.7594748927224044E-3</v>
      </c>
      <c r="AT334" s="135">
        <f t="shared" si="168"/>
        <v>6.4608330140987387E-3</v>
      </c>
      <c r="AU334" s="135">
        <f t="shared" si="168"/>
        <v>6.4629387253828949E-3</v>
      </c>
      <c r="AV334" s="135">
        <f t="shared" si="168"/>
        <v>5.7524714587116306E-3</v>
      </c>
      <c r="AW334" s="135">
        <f t="shared" si="168"/>
        <v>5.7529012426593236E-3</v>
      </c>
      <c r="AX334" s="135">
        <f t="shared" si="168"/>
        <v>5.2082079078563997E-3</v>
      </c>
      <c r="AY334" s="135">
        <f t="shared" si="168"/>
        <v>5.2082107139752821E-3</v>
      </c>
      <c r="AZ334" s="135">
        <f t="shared" si="168"/>
        <v>5.208626697343741E-3</v>
      </c>
      <c r="BA334" s="135">
        <f t="shared" si="168"/>
        <v>4.7203203902277304E-3</v>
      </c>
      <c r="BB334" s="135">
        <f t="shared" si="168"/>
        <v>4.8968813712881353E-3</v>
      </c>
      <c r="BC334" s="135">
        <f t="shared" si="168"/>
        <v>0</v>
      </c>
      <c r="BD334" s="135">
        <f t="shared" si="168"/>
        <v>2.7789187179640847E-2</v>
      </c>
      <c r="BE334" s="135">
        <f t="shared" si="168"/>
        <v>5.1005267972460211E-3</v>
      </c>
      <c r="BF334" s="135">
        <f t="shared" si="168"/>
        <v>5.1005267972460211E-3</v>
      </c>
      <c r="BG334" s="135">
        <f t="shared" si="168"/>
        <v>2.5230332484521805E-5</v>
      </c>
      <c r="BH334" s="135">
        <f t="shared" si="168"/>
        <v>1.8259143265039086E-2</v>
      </c>
      <c r="BI334" s="135">
        <f t="shared" si="168"/>
        <v>2.7992171392142197E-2</v>
      </c>
    </row>
    <row r="335" spans="1:61">
      <c r="A335" s="97"/>
      <c r="B335" s="97"/>
      <c r="C335" s="2504"/>
      <c r="D335" s="2505"/>
      <c r="E335" s="587"/>
      <c r="F335" s="62"/>
      <c r="G335" s="107"/>
      <c r="H335" s="113"/>
      <c r="I335" s="113"/>
      <c r="J335" s="113"/>
      <c r="K335" s="113"/>
      <c r="L335" s="113"/>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3"/>
      <c r="AN335" s="113"/>
      <c r="AO335" s="113"/>
      <c r="AP335" s="113"/>
      <c r="AQ335" s="113"/>
      <c r="AR335" s="113"/>
      <c r="AS335" s="113"/>
      <c r="AT335" s="113"/>
      <c r="AU335" s="113"/>
      <c r="AV335" s="113"/>
      <c r="AW335" s="113"/>
      <c r="AX335" s="113"/>
      <c r="AY335" s="113"/>
      <c r="AZ335" s="113"/>
      <c r="BA335" s="113"/>
      <c r="BB335" s="113"/>
      <c r="BC335" s="113"/>
      <c r="BD335" s="113"/>
      <c r="BE335" s="113"/>
      <c r="BF335" s="113"/>
      <c r="BG335" s="113"/>
      <c r="BH335" s="113"/>
      <c r="BI335" s="113"/>
    </row>
    <row r="336" spans="1:61" ht="25.5">
      <c r="A336" s="97"/>
      <c r="B336" s="97"/>
      <c r="C336" s="2504" t="s">
        <v>208</v>
      </c>
      <c r="D336" s="2505"/>
      <c r="E336" s="141" t="s">
        <v>622</v>
      </c>
      <c r="F336" s="14" t="s">
        <v>151</v>
      </c>
      <c r="G336" s="105" t="s">
        <v>152</v>
      </c>
      <c r="H336" s="113">
        <f>IF(FEM!$H12+FEM!$H14&gt;0,(Dispers!$J34*FEM!$H12+Dispers!$H34*FEM!$H14)/(FEM!$H12+FEM!$H14),0)</f>
        <v>0</v>
      </c>
      <c r="I336" s="113">
        <f>IF(FEM!$H12+FEM!$H14&gt;0,(Dispers!$J34*FEM!$H12+Dispers!$H34*FEM!$H14)/(FEM!$H12+FEM!$H14),0)</f>
        <v>0</v>
      </c>
      <c r="J336" s="113">
        <f>IF(FEM!$H12+FEM!$H14&gt;0,(Dispers!$J34*FEM!$H12+Dispers!$H34*FEM!$H14)/(FEM!$H12+FEM!$H14),0)</f>
        <v>0</v>
      </c>
      <c r="K336" s="113">
        <f>IF(FEM!$H12+FEM!$H14&gt;0,(Dispers!$J34*FEM!$H12+Dispers!$H34*FEM!$H14)/(FEM!$H12+FEM!$H14),0)</f>
        <v>0</v>
      </c>
      <c r="L336" s="113">
        <f>IF(FEM!$H12+FEM!$H14&gt;0,(Dispers!$J34*FEM!$H12+Dispers!$H34*FEM!$H14)/(FEM!$H12+FEM!$H14),0)</f>
        <v>0</v>
      </c>
      <c r="M336" s="113">
        <f>IF(FEM!$H12+FEM!$H14&gt;0,(Dispers!$J34*FEM!$H12+Dispers!$H34*FEM!$H14)/(FEM!$H12+FEM!$H14),0)</f>
        <v>0</v>
      </c>
      <c r="N336" s="113">
        <f>IF(FEM!$H12+FEM!$H14&gt;0,(Dispers!$J34*FEM!$H12+Dispers!$H34*FEM!$H14)/(FEM!$H12+FEM!$H14),0)</f>
        <v>0</v>
      </c>
      <c r="O336" s="113">
        <f>IF(FEM!$H12+FEM!$H14&gt;0,(Dispers!$J34*FEM!$H12+Dispers!$H34*FEM!$H14)/(FEM!$H12+FEM!$H14),0)</f>
        <v>0</v>
      </c>
      <c r="P336" s="113">
        <f>IF(FEM!$H12+FEM!$H14&gt;0,(Dispers!$J34*FEM!$H12+Dispers!$H34*FEM!$H14)/(FEM!$H12+FEM!$H14),0)</f>
        <v>0</v>
      </c>
      <c r="Q336" s="113">
        <f>IF(FEM!$H12+FEM!$H14&gt;0,(Dispers!$J34*FEM!$H12+Dispers!$H34*FEM!$H14)/(FEM!$H12+FEM!$H14),0)</f>
        <v>0</v>
      </c>
      <c r="R336" s="113">
        <f>IF(FEM!$H12+FEM!$H14&gt;0,(Dispers!$J34*FEM!$H12+Dispers!$H34*FEM!$H14)/(FEM!$H12+FEM!$H14),0)</f>
        <v>0</v>
      </c>
      <c r="S336" s="113">
        <f>IF(FEM!$H12+FEM!$H14&gt;0,(Dispers!$J34*FEM!$H12+Dispers!$H34*FEM!$H14)/(FEM!$H12+FEM!$H14),0)</f>
        <v>0</v>
      </c>
      <c r="T336" s="113">
        <f>IF(FEM!$H12+FEM!$H14&gt;0,(Dispers!$J34*FEM!$H12+Dispers!$H34*FEM!$H14)/(FEM!$H12+FEM!$H14),0)</f>
        <v>0</v>
      </c>
      <c r="U336" s="113">
        <f>IF(FEM!$H12+FEM!$H14&gt;0,(Dispers!$J34*FEM!$H12+Dispers!$H34*FEM!$H14)/(FEM!$H12+FEM!$H14),0)</f>
        <v>0</v>
      </c>
      <c r="V336" s="113">
        <f>IF(FEM!$H12+FEM!$H14&gt;0,(Dispers!$J34*FEM!$H12+Dispers!$H34*FEM!$H14)/(FEM!$H12+FEM!$H14),0)</f>
        <v>0</v>
      </c>
      <c r="W336" s="113">
        <f>IF(FEM!$H12+FEM!$H14&gt;0,(Dispers!$J34*FEM!$H12+Dispers!$H34*FEM!$H14)/(FEM!$H12+FEM!$H14),0)</f>
        <v>0</v>
      </c>
      <c r="X336" s="113">
        <f>IF(FEM!$H12+FEM!$H14&gt;0,(Dispers!$J34*FEM!$H12+Dispers!$H34*FEM!$H14)/(FEM!$H12+FEM!$H14),0)</f>
        <v>0</v>
      </c>
      <c r="Y336" s="113">
        <f>IF(FEM!$H12+FEM!$H14&gt;0,(Dispers!$J34*FEM!$H12+Dispers!$H34*FEM!$H14)/(FEM!$H12+FEM!$H14),0)</f>
        <v>0</v>
      </c>
      <c r="Z336" s="113">
        <f>IF(FEM!$H12+FEM!$H14&gt;0,(Dispers!$J34*FEM!$H12+Dispers!$H34*FEM!$H14)/(FEM!$H12+FEM!$H14),0)</f>
        <v>0</v>
      </c>
      <c r="AA336" s="113">
        <f>IF(FEM!$H12+FEM!$H14&gt;0,(Dispers!$J34*FEM!$H12+Dispers!$H34*FEM!$H14)/(FEM!$H12+FEM!$H14),0)</f>
        <v>0</v>
      </c>
      <c r="AB336" s="113">
        <f>IF(FEM!$H12+FEM!$H14&gt;0,(Dispers!$J34*FEM!$H12+Dispers!$H34*FEM!$H14)/(FEM!$H12+FEM!$H14),0)</f>
        <v>0</v>
      </c>
      <c r="AC336" s="113">
        <f>IF(FEM!$H12+FEM!$H14&gt;0,(Dispers!$J34*FEM!$H12+Dispers!$H34*FEM!$H14)/(FEM!$H12+FEM!$H14),0)</f>
        <v>0</v>
      </c>
      <c r="AD336" s="113">
        <f>IF(FEM!$H12+FEM!$H14&gt;0,(Dispers!$J34*FEM!$H12+Dispers!$H34*FEM!$H14)/(FEM!$H12+FEM!$H14),0)</f>
        <v>0</v>
      </c>
      <c r="AE336" s="113">
        <f>IF(FEM!$H12+FEM!$H14&gt;0,(Dispers!$J34*FEM!$H12+Dispers!$H34*FEM!$H14)/(FEM!$H12+FEM!$H14),0)</f>
        <v>0</v>
      </c>
      <c r="AF336" s="113">
        <f>IF(FEM!$H12+FEM!$H14&gt;0,(Dispers!$J34*FEM!$H12+Dispers!$H34*FEM!$H14)/(FEM!$H12+FEM!$H14),0)</f>
        <v>0</v>
      </c>
      <c r="AG336" s="113">
        <f>IF(FEM!$H12+FEM!$H14&gt;0,(Dispers!$J34*FEM!$H12+Dispers!$H34*FEM!$H14)/(FEM!$H12+FEM!$H14),0)</f>
        <v>0</v>
      </c>
      <c r="AH336" s="113">
        <f>IF(FEM!$H12+FEM!$H14&gt;0,(Dispers!$J34*FEM!$H12+Dispers!$H34*FEM!$H14)/(FEM!$H12+FEM!$H14),0)</f>
        <v>0</v>
      </c>
      <c r="AI336" s="113">
        <f>IF(FEM!$H12+FEM!$H14&gt;0,(Dispers!$J34*FEM!$H12+Dispers!$H34*FEM!$H14)/(FEM!$H12+FEM!$H14),0)</f>
        <v>0</v>
      </c>
      <c r="AJ336" s="113">
        <f>IF(FEM!$H12+FEM!$H14&gt;0,(Dispers!$J34*FEM!$H12+Dispers!$H34*FEM!$H14)/(FEM!$H12+FEM!$H14),0)</f>
        <v>0</v>
      </c>
      <c r="AK336" s="113">
        <f>IF(FEM!$H12+FEM!$H14&gt;0,(Dispers!$J34*FEM!$H12+Dispers!$H34*FEM!$H14)/(FEM!$H12+FEM!$H14),0)</f>
        <v>0</v>
      </c>
      <c r="AL336" s="113">
        <f>IF(FEM!$H12+FEM!$H14&gt;0,(Dispers!$J34*FEM!$H12+Dispers!$H34*FEM!$H14)/(FEM!$H12+FEM!$H14),0)</f>
        <v>0</v>
      </c>
      <c r="AM336" s="113">
        <f>IF(FEM!$H12+FEM!$H14&gt;0,(Dispers!$J34*FEM!$H12+Dispers!$H34*FEM!$H14)/(FEM!$H12+FEM!$H14),0)</f>
        <v>0</v>
      </c>
      <c r="AN336" s="113">
        <f>IF(FEM!$H12+FEM!$H14&gt;0,(Dispers!$J34*FEM!$H12+Dispers!$H34*FEM!$H14)/(FEM!$H12+FEM!$H14),0)</f>
        <v>0</v>
      </c>
      <c r="AO336" s="113">
        <f>IF(FEM!$H12+FEM!$H14&gt;0,(Dispers!$J34*FEM!$H12+Dispers!$H34*FEM!$H14)/(FEM!$H12+FEM!$H14),0)</f>
        <v>0</v>
      </c>
      <c r="AP336" s="113">
        <f>IF(FEM!$H12+FEM!$H14&gt;0,(Dispers!$J34*FEM!$H12+Dispers!$H34*FEM!$H14)/(FEM!$H12+FEM!$H14),0)</f>
        <v>0</v>
      </c>
      <c r="AQ336" s="113">
        <f>IF(FEM!$H12+FEM!$H14&gt;0,(Dispers!$J34*FEM!$H12+Dispers!$H34*FEM!$H14)/(FEM!$H12+FEM!$H14),0)</f>
        <v>0</v>
      </c>
      <c r="AR336" s="113">
        <f>IF(FEM!$H12+FEM!$H14&gt;0,(Dispers!$J34*FEM!$H12+Dispers!$H34*FEM!$H14)/(FEM!$H12+FEM!$H14),0)</f>
        <v>0</v>
      </c>
      <c r="AS336" s="113">
        <f>IF(FEM!$H12+FEM!$H14&gt;0,(Dispers!$J34*FEM!$H12+Dispers!$H34*FEM!$H14)/(FEM!$H12+FEM!$H14),0)</f>
        <v>0</v>
      </c>
      <c r="AT336" s="113">
        <f>IF(FEM!$H12+FEM!$H14&gt;0,(Dispers!$J34*FEM!$H12+Dispers!$H34*FEM!$H14)/(FEM!$H12+FEM!$H14),0)</f>
        <v>0</v>
      </c>
      <c r="AU336" s="113">
        <f>IF(FEM!$H12+FEM!$H14&gt;0,(Dispers!$J34*FEM!$H12+Dispers!$H34*FEM!$H14)/(FEM!$H12+FEM!$H14),0)</f>
        <v>0</v>
      </c>
      <c r="AV336" s="113">
        <f>IF(FEM!$H12+FEM!$H14&gt;0,(Dispers!$J34*FEM!$H12+Dispers!$H34*FEM!$H14)/(FEM!$H12+FEM!$H14),0)</f>
        <v>0</v>
      </c>
      <c r="AW336" s="113">
        <f>IF(FEM!$H12+FEM!$H14&gt;0,(Dispers!$J34*FEM!$H12+Dispers!$H34*FEM!$H14)/(FEM!$H12+FEM!$H14),0)</f>
        <v>0</v>
      </c>
      <c r="AX336" s="113">
        <f>IF(FEM!$H12+FEM!$H14&gt;0,(Dispers!$J34*FEM!$H12+Dispers!$H34*FEM!$H14)/(FEM!$H12+FEM!$H14),0)</f>
        <v>0</v>
      </c>
      <c r="AY336" s="113">
        <f>IF(FEM!$H12+FEM!$H14&gt;0,(Dispers!$J34*FEM!$H12+Dispers!$H34*FEM!$H14)/(FEM!$H12+FEM!$H14),0)</f>
        <v>0</v>
      </c>
      <c r="AZ336" s="113">
        <f>IF(FEM!$H12+FEM!$H14&gt;0,(Dispers!$J34*FEM!$H12+Dispers!$H34*FEM!$H14)/(FEM!$H12+FEM!$H14),0)</f>
        <v>0</v>
      </c>
      <c r="BA336" s="113">
        <f>IF(FEM!$H12+FEM!$H14&gt;0,(Dispers!$J34*FEM!$H12+Dispers!$H34*FEM!$H14)/(FEM!$H12+FEM!$H14),0)</f>
        <v>0</v>
      </c>
      <c r="BB336" s="113">
        <f>IF(FEM!$H12+FEM!$H14&gt;0,(Dispers!$J34*FEM!$H12+Dispers!$H34*FEM!$H14)/(FEM!$H12+FEM!$H14),0)</f>
        <v>0</v>
      </c>
      <c r="BC336" s="113">
        <f>IF(FEM!$H12+FEM!$H14&gt;0,(Dispers!$J34*FEM!$H12+Dispers!$H34*FEM!$H14)/(FEM!$H12+FEM!$H14),0)</f>
        <v>0</v>
      </c>
      <c r="BD336" s="113">
        <f>IF(FEM!$H12+FEM!$H14&gt;0,(Dispers!$J34*FEM!$H12+Dispers!$H34*FEM!$H14)/(FEM!$H12+FEM!$H14),0)</f>
        <v>0</v>
      </c>
      <c r="BE336" s="113">
        <f>IF(FEM!$H12+FEM!$H14&gt;0,(Dispers!$J34*FEM!$H12+Dispers!$H34*FEM!$H14)/(FEM!$H12+FEM!$H14),0)</f>
        <v>0</v>
      </c>
      <c r="BF336" s="113">
        <f>IF(FEM!$H12+FEM!$H14&gt;0,(Dispers!$J34*FEM!$H12+Dispers!$H34*FEM!$H14)/(FEM!$H12+FEM!$H14),0)</f>
        <v>0</v>
      </c>
      <c r="BG336" s="113">
        <f>IF(FEM!$H12+FEM!$H14&gt;0,(Dispers!$J34*FEM!$H12+Dispers!$H34*FEM!$H14)/(FEM!$H12+FEM!$H14),0)</f>
        <v>0</v>
      </c>
      <c r="BH336" s="113">
        <f>IF(FEM!$H12+FEM!$H14&gt;0,(Dispers!$J34*FEM!$H12+Dispers!$H34*FEM!$H14)/(FEM!$H12+FEM!$H14),0)</f>
        <v>0</v>
      </c>
      <c r="BI336" s="113">
        <f>IF(FEM!$H12+FEM!$H14&gt;0,(Dispers!$J34*FEM!$H12+Dispers!$H34*FEM!$H14)/(FEM!$H12+FEM!$H14),0)</f>
        <v>0</v>
      </c>
    </row>
    <row r="337" spans="1:61">
      <c r="A337" s="97"/>
      <c r="B337" s="97"/>
      <c r="C337" s="2504"/>
      <c r="D337" s="2505"/>
      <c r="E337" s="590" t="str">
        <f>E326</f>
        <v>Période chronique</v>
      </c>
      <c r="F337" s="14"/>
      <c r="G337" s="105"/>
      <c r="H337" s="113"/>
      <c r="I337" s="113"/>
      <c r="J337" s="113"/>
      <c r="K337" s="113"/>
      <c r="L337" s="113"/>
      <c r="M337" s="113"/>
      <c r="N337" s="113"/>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c r="AM337" s="113"/>
      <c r="AN337" s="113"/>
      <c r="AO337" s="113"/>
      <c r="AP337" s="113"/>
      <c r="AQ337" s="113"/>
      <c r="AR337" s="113"/>
      <c r="AS337" s="113"/>
      <c r="AT337" s="113"/>
      <c r="AU337" s="113"/>
      <c r="AV337" s="113"/>
      <c r="AW337" s="113"/>
      <c r="AX337" s="113"/>
      <c r="AY337" s="113"/>
      <c r="AZ337" s="113"/>
      <c r="BA337" s="113"/>
      <c r="BB337" s="113"/>
      <c r="BC337" s="113"/>
      <c r="BD337" s="113"/>
      <c r="BE337" s="113"/>
      <c r="BF337" s="113"/>
      <c r="BG337" s="113"/>
      <c r="BH337" s="113"/>
      <c r="BI337" s="113"/>
    </row>
    <row r="338" spans="1:61">
      <c r="A338" s="97"/>
      <c r="B338" s="97"/>
      <c r="C338" s="2506"/>
      <c r="D338" s="2505"/>
      <c r="E338" s="586" t="s">
        <v>1113</v>
      </c>
      <c r="F338" s="96" t="s">
        <v>1115</v>
      </c>
      <c r="G338" s="144" t="s">
        <v>206</v>
      </c>
      <c r="H338" s="135">
        <f t="shared" ref="H338:AL338" si="169">H336*H311</f>
        <v>0</v>
      </c>
      <c r="I338" s="135">
        <f t="shared" si="169"/>
        <v>0</v>
      </c>
      <c r="J338" s="135">
        <f>J336*J311</f>
        <v>0</v>
      </c>
      <c r="K338" s="135">
        <f t="shared" si="169"/>
        <v>0</v>
      </c>
      <c r="L338" s="135">
        <f t="shared" si="169"/>
        <v>0</v>
      </c>
      <c r="M338" s="135">
        <f t="shared" si="169"/>
        <v>0</v>
      </c>
      <c r="N338" s="135">
        <f>N336*N311</f>
        <v>0</v>
      </c>
      <c r="O338" s="135">
        <f>O336*O311</f>
        <v>0</v>
      </c>
      <c r="P338" s="135">
        <f t="shared" si="169"/>
        <v>0</v>
      </c>
      <c r="Q338" s="135">
        <f t="shared" si="169"/>
        <v>0</v>
      </c>
      <c r="R338" s="135">
        <f>R336*R311</f>
        <v>0</v>
      </c>
      <c r="S338" s="135">
        <f>S336*S311</f>
        <v>0</v>
      </c>
      <c r="T338" s="135">
        <f>T336*T311</f>
        <v>0</v>
      </c>
      <c r="U338" s="135">
        <f t="shared" si="169"/>
        <v>0</v>
      </c>
      <c r="V338" s="135">
        <f t="shared" si="169"/>
        <v>0</v>
      </c>
      <c r="W338" s="135">
        <f t="shared" si="169"/>
        <v>0</v>
      </c>
      <c r="X338" s="135">
        <f t="shared" si="169"/>
        <v>0</v>
      </c>
      <c r="Y338" s="135">
        <f t="shared" si="169"/>
        <v>0</v>
      </c>
      <c r="Z338" s="135">
        <f t="shared" si="169"/>
        <v>0</v>
      </c>
      <c r="AA338" s="135">
        <f t="shared" si="169"/>
        <v>0</v>
      </c>
      <c r="AB338" s="135">
        <f t="shared" si="169"/>
        <v>0</v>
      </c>
      <c r="AC338" s="135">
        <f t="shared" si="169"/>
        <v>0</v>
      </c>
      <c r="AD338" s="135">
        <f t="shared" si="169"/>
        <v>0</v>
      </c>
      <c r="AE338" s="135">
        <f t="shared" si="169"/>
        <v>0</v>
      </c>
      <c r="AF338" s="135">
        <f t="shared" si="169"/>
        <v>0</v>
      </c>
      <c r="AG338" s="135">
        <f t="shared" si="169"/>
        <v>0</v>
      </c>
      <c r="AH338" s="135">
        <f t="shared" si="169"/>
        <v>0</v>
      </c>
      <c r="AI338" s="135">
        <f t="shared" si="169"/>
        <v>0</v>
      </c>
      <c r="AJ338" s="135">
        <f t="shared" si="169"/>
        <v>0</v>
      </c>
      <c r="AK338" s="135">
        <f t="shared" si="169"/>
        <v>0</v>
      </c>
      <c r="AL338" s="135">
        <f t="shared" si="169"/>
        <v>0</v>
      </c>
      <c r="AM338" s="135">
        <f t="shared" ref="AM338:BI338" si="170">AM336*AM311</f>
        <v>0</v>
      </c>
      <c r="AN338" s="135">
        <f t="shared" si="170"/>
        <v>0</v>
      </c>
      <c r="AO338" s="135">
        <f t="shared" si="170"/>
        <v>0</v>
      </c>
      <c r="AP338" s="135">
        <f t="shared" si="170"/>
        <v>0</v>
      </c>
      <c r="AQ338" s="135">
        <f t="shared" si="170"/>
        <v>0</v>
      </c>
      <c r="AR338" s="135">
        <f t="shared" si="170"/>
        <v>0</v>
      </c>
      <c r="AS338" s="135">
        <f t="shared" si="170"/>
        <v>0</v>
      </c>
      <c r="AT338" s="135">
        <f t="shared" si="170"/>
        <v>0</v>
      </c>
      <c r="AU338" s="135">
        <f t="shared" si="170"/>
        <v>0</v>
      </c>
      <c r="AV338" s="135">
        <f t="shared" si="170"/>
        <v>0</v>
      </c>
      <c r="AW338" s="135">
        <f t="shared" si="170"/>
        <v>0</v>
      </c>
      <c r="AX338" s="135">
        <f t="shared" si="170"/>
        <v>0</v>
      </c>
      <c r="AY338" s="135">
        <f t="shared" si="170"/>
        <v>0</v>
      </c>
      <c r="AZ338" s="135">
        <f t="shared" si="170"/>
        <v>0</v>
      </c>
      <c r="BA338" s="135">
        <f t="shared" si="170"/>
        <v>0</v>
      </c>
      <c r="BB338" s="135">
        <f t="shared" si="170"/>
        <v>0</v>
      </c>
      <c r="BC338" s="135">
        <f t="shared" si="170"/>
        <v>0</v>
      </c>
      <c r="BD338" s="135">
        <f t="shared" si="170"/>
        <v>0</v>
      </c>
      <c r="BE338" s="135">
        <f t="shared" si="170"/>
        <v>0</v>
      </c>
      <c r="BF338" s="135">
        <f t="shared" si="170"/>
        <v>0</v>
      </c>
      <c r="BG338" s="135">
        <f t="shared" si="170"/>
        <v>0</v>
      </c>
      <c r="BH338" s="135">
        <f t="shared" si="170"/>
        <v>0</v>
      </c>
      <c r="BI338" s="135">
        <f t="shared" si="170"/>
        <v>0</v>
      </c>
    </row>
    <row r="339" spans="1:61">
      <c r="A339" s="97"/>
      <c r="B339" s="97"/>
      <c r="C339" s="2504"/>
      <c r="D339" s="2505"/>
      <c r="E339" s="587" t="s">
        <v>680</v>
      </c>
      <c r="F339" s="62" t="s">
        <v>1116</v>
      </c>
      <c r="G339" s="107" t="s">
        <v>24</v>
      </c>
      <c r="H339" s="113">
        <f>H$25*H338</f>
        <v>0</v>
      </c>
      <c r="I339" s="113">
        <f t="shared" ref="I339:BI339" si="171">I$25*I338</f>
        <v>0</v>
      </c>
      <c r="J339" s="113">
        <f>J$25*J338</f>
        <v>0</v>
      </c>
      <c r="K339" s="113">
        <f t="shared" si="171"/>
        <v>0</v>
      </c>
      <c r="L339" s="113">
        <f t="shared" si="171"/>
        <v>0</v>
      </c>
      <c r="M339" s="113">
        <f t="shared" si="171"/>
        <v>0</v>
      </c>
      <c r="N339" s="113">
        <f>N$25*N338</f>
        <v>0</v>
      </c>
      <c r="O339" s="113">
        <f>O$25*O338</f>
        <v>0</v>
      </c>
      <c r="P339" s="113">
        <f t="shared" si="171"/>
        <v>0</v>
      </c>
      <c r="Q339" s="113">
        <f t="shared" si="171"/>
        <v>0</v>
      </c>
      <c r="R339" s="113">
        <f>R$25*R338</f>
        <v>0</v>
      </c>
      <c r="S339" s="113">
        <f>S$25*S338</f>
        <v>0</v>
      </c>
      <c r="T339" s="113">
        <f>T$25*T338</f>
        <v>0</v>
      </c>
      <c r="U339" s="113">
        <f t="shared" si="171"/>
        <v>0</v>
      </c>
      <c r="V339" s="113">
        <f t="shared" si="171"/>
        <v>0</v>
      </c>
      <c r="W339" s="113">
        <f t="shared" si="171"/>
        <v>0</v>
      </c>
      <c r="X339" s="113">
        <f t="shared" si="171"/>
        <v>0</v>
      </c>
      <c r="Y339" s="113">
        <f t="shared" si="171"/>
        <v>0</v>
      </c>
      <c r="Z339" s="113">
        <f t="shared" si="171"/>
        <v>0</v>
      </c>
      <c r="AA339" s="113">
        <f t="shared" si="171"/>
        <v>0</v>
      </c>
      <c r="AB339" s="113">
        <f t="shared" si="171"/>
        <v>0</v>
      </c>
      <c r="AC339" s="113">
        <f t="shared" si="171"/>
        <v>0</v>
      </c>
      <c r="AD339" s="113">
        <f t="shared" si="171"/>
        <v>0</v>
      </c>
      <c r="AE339" s="113">
        <f t="shared" si="171"/>
        <v>0</v>
      </c>
      <c r="AF339" s="113">
        <f t="shared" si="171"/>
        <v>0</v>
      </c>
      <c r="AG339" s="113">
        <f t="shared" si="171"/>
        <v>0</v>
      </c>
      <c r="AH339" s="113">
        <f t="shared" si="171"/>
        <v>0</v>
      </c>
      <c r="AI339" s="113">
        <f t="shared" si="171"/>
        <v>0</v>
      </c>
      <c r="AJ339" s="113">
        <f t="shared" si="171"/>
        <v>0</v>
      </c>
      <c r="AK339" s="113">
        <f t="shared" si="171"/>
        <v>0</v>
      </c>
      <c r="AL339" s="113">
        <f t="shared" si="171"/>
        <v>0</v>
      </c>
      <c r="AM339" s="113">
        <f t="shared" si="171"/>
        <v>0</v>
      </c>
      <c r="AN339" s="113">
        <f t="shared" si="171"/>
        <v>0</v>
      </c>
      <c r="AO339" s="113">
        <f t="shared" si="171"/>
        <v>0</v>
      </c>
      <c r="AP339" s="113">
        <f t="shared" si="171"/>
        <v>0</v>
      </c>
      <c r="AQ339" s="113">
        <f t="shared" si="171"/>
        <v>0</v>
      </c>
      <c r="AR339" s="113">
        <f t="shared" si="171"/>
        <v>0</v>
      </c>
      <c r="AS339" s="113">
        <f t="shared" si="171"/>
        <v>0</v>
      </c>
      <c r="AT339" s="113">
        <f t="shared" si="171"/>
        <v>0</v>
      </c>
      <c r="AU339" s="113">
        <f t="shared" si="171"/>
        <v>0</v>
      </c>
      <c r="AV339" s="113">
        <f t="shared" si="171"/>
        <v>0</v>
      </c>
      <c r="AW339" s="113">
        <f t="shared" si="171"/>
        <v>0</v>
      </c>
      <c r="AX339" s="113">
        <f t="shared" si="171"/>
        <v>0</v>
      </c>
      <c r="AY339" s="113">
        <f t="shared" si="171"/>
        <v>0</v>
      </c>
      <c r="AZ339" s="113">
        <f t="shared" si="171"/>
        <v>0</v>
      </c>
      <c r="BA339" s="113">
        <f t="shared" si="171"/>
        <v>0</v>
      </c>
      <c r="BB339" s="113">
        <f t="shared" si="171"/>
        <v>0</v>
      </c>
      <c r="BC339" s="113">
        <f t="shared" si="171"/>
        <v>0</v>
      </c>
      <c r="BD339" s="113">
        <f t="shared" si="171"/>
        <v>0</v>
      </c>
      <c r="BE339" s="113">
        <f t="shared" si="171"/>
        <v>0</v>
      </c>
      <c r="BF339" s="113">
        <f t="shared" si="171"/>
        <v>0</v>
      </c>
      <c r="BG339" s="113">
        <f t="shared" si="171"/>
        <v>0</v>
      </c>
      <c r="BH339" s="113">
        <f t="shared" si="171"/>
        <v>0</v>
      </c>
      <c r="BI339" s="113">
        <f t="shared" si="171"/>
        <v>0</v>
      </c>
    </row>
    <row r="340" spans="1:61">
      <c r="A340" s="97"/>
      <c r="B340" s="97"/>
      <c r="C340" s="2504"/>
      <c r="D340" s="2505"/>
      <c r="E340" s="590" t="str">
        <f>E314</f>
        <v>Période enfant 0-6 ans (effets sans seuil)</v>
      </c>
      <c r="F340" s="62"/>
      <c r="G340" s="107"/>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row>
    <row r="341" spans="1:61">
      <c r="A341" s="97"/>
      <c r="B341" s="97"/>
      <c r="C341" s="2506"/>
      <c r="D341" s="2505"/>
      <c r="E341" s="586" t="s">
        <v>1113</v>
      </c>
      <c r="F341" s="96" t="s">
        <v>1115</v>
      </c>
      <c r="G341" s="144" t="s">
        <v>206</v>
      </c>
      <c r="H341" s="135">
        <f>H336*H$174</f>
        <v>0</v>
      </c>
      <c r="I341" s="135">
        <f t="shared" ref="I341:BI341" si="172">I336*I$174</f>
        <v>0</v>
      </c>
      <c r="J341" s="135">
        <f>J336*J$174</f>
        <v>0</v>
      </c>
      <c r="K341" s="135">
        <f t="shared" si="172"/>
        <v>0</v>
      </c>
      <c r="L341" s="135">
        <f t="shared" si="172"/>
        <v>0</v>
      </c>
      <c r="M341" s="135">
        <f t="shared" si="172"/>
        <v>0</v>
      </c>
      <c r="N341" s="135">
        <f>N336*N$174</f>
        <v>0</v>
      </c>
      <c r="O341" s="135">
        <f>O336*O$174</f>
        <v>0</v>
      </c>
      <c r="P341" s="135">
        <f t="shared" si="172"/>
        <v>0</v>
      </c>
      <c r="Q341" s="135">
        <f t="shared" si="172"/>
        <v>0</v>
      </c>
      <c r="R341" s="135">
        <f>R336*R$174</f>
        <v>0</v>
      </c>
      <c r="S341" s="135">
        <f>S336*S$174</f>
        <v>0</v>
      </c>
      <c r="T341" s="135">
        <f>T336*T$174</f>
        <v>0</v>
      </c>
      <c r="U341" s="135">
        <f t="shared" si="172"/>
        <v>0</v>
      </c>
      <c r="V341" s="135">
        <f t="shared" si="172"/>
        <v>0</v>
      </c>
      <c r="W341" s="135">
        <f t="shared" si="172"/>
        <v>0</v>
      </c>
      <c r="X341" s="135">
        <f t="shared" si="172"/>
        <v>0</v>
      </c>
      <c r="Y341" s="135">
        <f t="shared" si="172"/>
        <v>0</v>
      </c>
      <c r="Z341" s="135">
        <f t="shared" si="172"/>
        <v>0</v>
      </c>
      <c r="AA341" s="135">
        <f t="shared" si="172"/>
        <v>0</v>
      </c>
      <c r="AB341" s="135">
        <f t="shared" si="172"/>
        <v>0</v>
      </c>
      <c r="AC341" s="135">
        <f t="shared" si="172"/>
        <v>0</v>
      </c>
      <c r="AD341" s="135">
        <f t="shared" si="172"/>
        <v>0</v>
      </c>
      <c r="AE341" s="135">
        <f t="shared" si="172"/>
        <v>0</v>
      </c>
      <c r="AF341" s="135">
        <f t="shared" si="172"/>
        <v>0</v>
      </c>
      <c r="AG341" s="135">
        <f t="shared" si="172"/>
        <v>0</v>
      </c>
      <c r="AH341" s="135">
        <f t="shared" si="172"/>
        <v>0</v>
      </c>
      <c r="AI341" s="135">
        <f t="shared" si="172"/>
        <v>0</v>
      </c>
      <c r="AJ341" s="135">
        <f t="shared" si="172"/>
        <v>0</v>
      </c>
      <c r="AK341" s="135">
        <f t="shared" si="172"/>
        <v>0</v>
      </c>
      <c r="AL341" s="135">
        <f t="shared" si="172"/>
        <v>0</v>
      </c>
      <c r="AM341" s="135">
        <f t="shared" si="172"/>
        <v>0</v>
      </c>
      <c r="AN341" s="135">
        <f t="shared" si="172"/>
        <v>0</v>
      </c>
      <c r="AO341" s="135">
        <f t="shared" si="172"/>
        <v>0</v>
      </c>
      <c r="AP341" s="135">
        <f t="shared" si="172"/>
        <v>0</v>
      </c>
      <c r="AQ341" s="135">
        <f t="shared" si="172"/>
        <v>0</v>
      </c>
      <c r="AR341" s="135">
        <f t="shared" si="172"/>
        <v>0</v>
      </c>
      <c r="AS341" s="135">
        <f t="shared" si="172"/>
        <v>0</v>
      </c>
      <c r="AT341" s="135">
        <f t="shared" si="172"/>
        <v>0</v>
      </c>
      <c r="AU341" s="135">
        <f t="shared" si="172"/>
        <v>0</v>
      </c>
      <c r="AV341" s="135">
        <f t="shared" si="172"/>
        <v>0</v>
      </c>
      <c r="AW341" s="135">
        <f t="shared" si="172"/>
        <v>0</v>
      </c>
      <c r="AX341" s="135">
        <f t="shared" si="172"/>
        <v>0</v>
      </c>
      <c r="AY341" s="135">
        <f t="shared" si="172"/>
        <v>0</v>
      </c>
      <c r="AZ341" s="135">
        <f t="shared" si="172"/>
        <v>0</v>
      </c>
      <c r="BA341" s="135">
        <f t="shared" si="172"/>
        <v>0</v>
      </c>
      <c r="BB341" s="135">
        <f t="shared" si="172"/>
        <v>0</v>
      </c>
      <c r="BC341" s="135">
        <f t="shared" si="172"/>
        <v>0</v>
      </c>
      <c r="BD341" s="135">
        <f t="shared" si="172"/>
        <v>0</v>
      </c>
      <c r="BE341" s="135">
        <f t="shared" si="172"/>
        <v>0</v>
      </c>
      <c r="BF341" s="135">
        <f t="shared" si="172"/>
        <v>0</v>
      </c>
      <c r="BG341" s="135">
        <f t="shared" si="172"/>
        <v>0</v>
      </c>
      <c r="BH341" s="135">
        <f t="shared" si="172"/>
        <v>0</v>
      </c>
      <c r="BI341" s="135">
        <f t="shared" si="172"/>
        <v>0</v>
      </c>
    </row>
    <row r="342" spans="1:61" s="26" customFormat="1">
      <c r="A342" s="398"/>
      <c r="B342" s="27"/>
      <c r="C342" s="2498"/>
      <c r="D342" s="2499"/>
      <c r="E342" s="103"/>
      <c r="F342" s="14"/>
      <c r="G342" s="105"/>
      <c r="H342" s="113"/>
      <c r="I342" s="113"/>
      <c r="J342" s="113"/>
      <c r="K342" s="113"/>
      <c r="L342" s="113"/>
      <c r="M342" s="113"/>
      <c r="N342" s="113"/>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row>
    <row r="343" spans="1:61">
      <c r="A343" s="397"/>
      <c r="B343" s="97"/>
      <c r="C343" s="2504"/>
      <c r="D343" s="2505"/>
      <c r="E343" s="145" t="s">
        <v>209</v>
      </c>
      <c r="F343" s="62"/>
      <c r="G343" s="107"/>
      <c r="H343" s="113"/>
      <c r="I343" s="113"/>
      <c r="J343" s="113"/>
      <c r="K343" s="113"/>
      <c r="L343" s="113"/>
      <c r="M343" s="113"/>
      <c r="N343" s="113"/>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row>
    <row r="344" spans="1:61">
      <c r="A344" s="397"/>
      <c r="B344" s="97"/>
      <c r="C344" s="2500" t="s">
        <v>589</v>
      </c>
      <c r="D344" s="2505"/>
      <c r="E344" s="37" t="s">
        <v>1178</v>
      </c>
      <c r="F344" s="18" t="s">
        <v>181</v>
      </c>
      <c r="G344" s="117" t="s">
        <v>182</v>
      </c>
      <c r="H344" s="163">
        <f>FEM!$H$25</f>
        <v>0</v>
      </c>
      <c r="I344" s="163">
        <f>FEM!$H$25</f>
        <v>0</v>
      </c>
      <c r="J344" s="163">
        <f>FEM!$H$25</f>
        <v>0</v>
      </c>
      <c r="K344" s="163">
        <f>FEM!$H$25</f>
        <v>0</v>
      </c>
      <c r="L344" s="163">
        <f>FEM!$H$25</f>
        <v>0</v>
      </c>
      <c r="M344" s="163">
        <f>FEM!$H$25</f>
        <v>0</v>
      </c>
      <c r="N344" s="163">
        <f>FEM!$H$25</f>
        <v>0</v>
      </c>
      <c r="O344" s="163">
        <f>FEM!$H$25</f>
        <v>0</v>
      </c>
      <c r="P344" s="163">
        <f>FEM!$H$25</f>
        <v>0</v>
      </c>
      <c r="Q344" s="163">
        <f>FEM!$H$25</f>
        <v>0</v>
      </c>
      <c r="R344" s="163">
        <f>FEM!$H$25</f>
        <v>0</v>
      </c>
      <c r="S344" s="163">
        <f>FEM!$H$25</f>
        <v>0</v>
      </c>
      <c r="T344" s="163">
        <f>FEM!$H$25</f>
        <v>0</v>
      </c>
      <c r="U344" s="163">
        <f>FEM!$H$25</f>
        <v>0</v>
      </c>
      <c r="V344" s="163">
        <f>FEM!$H$25</f>
        <v>0</v>
      </c>
      <c r="W344" s="163">
        <f>FEM!$H$25</f>
        <v>0</v>
      </c>
      <c r="X344" s="163">
        <f>FEM!$H$25</f>
        <v>0</v>
      </c>
      <c r="Y344" s="163">
        <f>FEM!$H$25</f>
        <v>0</v>
      </c>
      <c r="Z344" s="163">
        <f>FEM!$H$25</f>
        <v>0</v>
      </c>
      <c r="AA344" s="163">
        <f>FEM!$H$25</f>
        <v>0</v>
      </c>
      <c r="AB344" s="163">
        <f>FEM!$H$25</f>
        <v>0</v>
      </c>
      <c r="AC344" s="163">
        <f>FEM!$H$25</f>
        <v>0</v>
      </c>
      <c r="AD344" s="163">
        <f>FEM!$H$25</f>
        <v>0</v>
      </c>
      <c r="AE344" s="163">
        <f>FEM!$H$25</f>
        <v>0</v>
      </c>
      <c r="AF344" s="163">
        <f>FEM!$H$25</f>
        <v>0</v>
      </c>
      <c r="AG344" s="163">
        <f>FEM!$H$25</f>
        <v>0</v>
      </c>
      <c r="AH344" s="163">
        <f>FEM!$H$25</f>
        <v>0</v>
      </c>
      <c r="AI344" s="163">
        <f>FEM!$H$25</f>
        <v>0</v>
      </c>
      <c r="AJ344" s="163">
        <f>FEM!$H$25</f>
        <v>0</v>
      </c>
      <c r="AK344" s="163">
        <f>FEM!$H$25</f>
        <v>0</v>
      </c>
      <c r="AL344" s="163">
        <f>FEM!$H$25</f>
        <v>0</v>
      </c>
      <c r="AM344" s="163">
        <f>FEM!$H$25</f>
        <v>0</v>
      </c>
      <c r="AN344" s="163">
        <f>FEM!$H$25</f>
        <v>0</v>
      </c>
      <c r="AO344" s="163">
        <f>FEM!$H$25</f>
        <v>0</v>
      </c>
      <c r="AP344" s="163">
        <f>FEM!$H$25</f>
        <v>0</v>
      </c>
      <c r="AQ344" s="163">
        <f>FEM!$H$25</f>
        <v>0</v>
      </c>
      <c r="AR344" s="163">
        <f>FEM!$H$25</f>
        <v>0</v>
      </c>
      <c r="AS344" s="163">
        <f>FEM!$H$25</f>
        <v>0</v>
      </c>
      <c r="AT344" s="163">
        <f>FEM!$H$25</f>
        <v>0</v>
      </c>
      <c r="AU344" s="163">
        <f>FEM!$H$25</f>
        <v>0</v>
      </c>
      <c r="AV344" s="163">
        <f>FEM!$H$25</f>
        <v>0</v>
      </c>
      <c r="AW344" s="163">
        <f>FEM!$H$25</f>
        <v>0</v>
      </c>
      <c r="AX344" s="163">
        <f>FEM!$H$25</f>
        <v>0</v>
      </c>
      <c r="AY344" s="163">
        <f>FEM!$H$25</f>
        <v>0</v>
      </c>
      <c r="AZ344" s="163">
        <f>FEM!$H$25</f>
        <v>0</v>
      </c>
      <c r="BA344" s="163">
        <f>FEM!$H$25</f>
        <v>0</v>
      </c>
      <c r="BB344" s="163">
        <f>FEM!$H$25</f>
        <v>0</v>
      </c>
      <c r="BC344" s="163">
        <f>FEM!$H$25</f>
        <v>0</v>
      </c>
      <c r="BD344" s="163">
        <f>FEM!$H$25</f>
        <v>0</v>
      </c>
      <c r="BE344" s="163">
        <f>FEM!$H$25</f>
        <v>0</v>
      </c>
      <c r="BF344" s="163">
        <f>FEM!$H$25</f>
        <v>0</v>
      </c>
      <c r="BG344" s="163">
        <f>FEM!$H$25</f>
        <v>0</v>
      </c>
      <c r="BH344" s="163">
        <f>FEM!$H$25</f>
        <v>0</v>
      </c>
      <c r="BI344" s="163">
        <f>FEM!$H$25</f>
        <v>0</v>
      </c>
    </row>
    <row r="345" spans="1:61" s="41" customFormat="1" ht="12.75" customHeight="1">
      <c r="A345" s="401"/>
      <c r="B345" s="154"/>
      <c r="C345" s="4114" t="s">
        <v>590</v>
      </c>
      <c r="D345" s="4115"/>
      <c r="E345" s="37" t="s">
        <v>1160</v>
      </c>
      <c r="F345" s="18" t="s">
        <v>210</v>
      </c>
      <c r="G345" s="117" t="s">
        <v>182</v>
      </c>
      <c r="H345" s="227">
        <f>FEM!$I$25</f>
        <v>0</v>
      </c>
      <c r="I345" s="227">
        <f>FEM!$I$25</f>
        <v>0</v>
      </c>
      <c r="J345" s="227">
        <f>FEM!$I$25</f>
        <v>0</v>
      </c>
      <c r="K345" s="227">
        <f>FEM!$I$25</f>
        <v>0</v>
      </c>
      <c r="L345" s="227">
        <f>FEM!$I$25</f>
        <v>0</v>
      </c>
      <c r="M345" s="227">
        <f>FEM!$I$25</f>
        <v>0</v>
      </c>
      <c r="N345" s="227">
        <f>FEM!$I$25</f>
        <v>0</v>
      </c>
      <c r="O345" s="227">
        <f>FEM!$I$25</f>
        <v>0</v>
      </c>
      <c r="P345" s="227">
        <f>FEM!$I$25</f>
        <v>0</v>
      </c>
      <c r="Q345" s="227">
        <f>FEM!$I$25</f>
        <v>0</v>
      </c>
      <c r="R345" s="227">
        <f>FEM!$I$25</f>
        <v>0</v>
      </c>
      <c r="S345" s="227">
        <f>FEM!$I$25</f>
        <v>0</v>
      </c>
      <c r="T345" s="227">
        <f>FEM!$I$25</f>
        <v>0</v>
      </c>
      <c r="U345" s="227">
        <f>FEM!$I$25</f>
        <v>0</v>
      </c>
      <c r="V345" s="227">
        <f>FEM!$I$25</f>
        <v>0</v>
      </c>
      <c r="W345" s="227">
        <f>FEM!$I$25</f>
        <v>0</v>
      </c>
      <c r="X345" s="227">
        <f>FEM!$I$25</f>
        <v>0</v>
      </c>
      <c r="Y345" s="227">
        <f>FEM!$I$25</f>
        <v>0</v>
      </c>
      <c r="Z345" s="227">
        <f>FEM!$I$25</f>
        <v>0</v>
      </c>
      <c r="AA345" s="227">
        <f>FEM!$I$25</f>
        <v>0</v>
      </c>
      <c r="AB345" s="227">
        <f>FEM!$I$25</f>
        <v>0</v>
      </c>
      <c r="AC345" s="227">
        <f>FEM!$I$25</f>
        <v>0</v>
      </c>
      <c r="AD345" s="227">
        <f>FEM!$I$25</f>
        <v>0</v>
      </c>
      <c r="AE345" s="227">
        <f>FEM!$I$25</f>
        <v>0</v>
      </c>
      <c r="AF345" s="227">
        <f>FEM!$I$25</f>
        <v>0</v>
      </c>
      <c r="AG345" s="227">
        <f>FEM!$I$25</f>
        <v>0</v>
      </c>
      <c r="AH345" s="227">
        <f>FEM!$I$25</f>
        <v>0</v>
      </c>
      <c r="AI345" s="227">
        <f>FEM!$I$25</f>
        <v>0</v>
      </c>
      <c r="AJ345" s="227">
        <f>FEM!$I$25</f>
        <v>0</v>
      </c>
      <c r="AK345" s="227">
        <f>FEM!$I$25</f>
        <v>0</v>
      </c>
      <c r="AL345" s="227">
        <f>FEM!$I$25</f>
        <v>0</v>
      </c>
      <c r="AM345" s="227">
        <f>FEM!$I$25</f>
        <v>0</v>
      </c>
      <c r="AN345" s="227">
        <f>FEM!$I$25</f>
        <v>0</v>
      </c>
      <c r="AO345" s="227">
        <f>FEM!$I$25</f>
        <v>0</v>
      </c>
      <c r="AP345" s="227">
        <f>FEM!$I$25</f>
        <v>0</v>
      </c>
      <c r="AQ345" s="227">
        <f>FEM!$I$25</f>
        <v>0</v>
      </c>
      <c r="AR345" s="227">
        <f>FEM!$I$25</f>
        <v>0</v>
      </c>
      <c r="AS345" s="227">
        <f>FEM!$I$25</f>
        <v>0</v>
      </c>
      <c r="AT345" s="227">
        <f>FEM!$I$25</f>
        <v>0</v>
      </c>
      <c r="AU345" s="227">
        <f>FEM!$I$25</f>
        <v>0</v>
      </c>
      <c r="AV345" s="227">
        <f>FEM!$I$25</f>
        <v>0</v>
      </c>
      <c r="AW345" s="227">
        <f>FEM!$I$25</f>
        <v>0</v>
      </c>
      <c r="AX345" s="227">
        <f>FEM!$I$25</f>
        <v>0</v>
      </c>
      <c r="AY345" s="227">
        <f>FEM!$I$25</f>
        <v>0</v>
      </c>
      <c r="AZ345" s="227">
        <f>FEM!$I$25</f>
        <v>0</v>
      </c>
      <c r="BA345" s="227">
        <f>FEM!$I$25</f>
        <v>0</v>
      </c>
      <c r="BB345" s="227">
        <f>FEM!$I$25</f>
        <v>0</v>
      </c>
      <c r="BC345" s="227">
        <f>FEM!$I$25</f>
        <v>0</v>
      </c>
      <c r="BD345" s="227">
        <f>FEM!$I$25</f>
        <v>0</v>
      </c>
      <c r="BE345" s="227">
        <f>FEM!$I$25</f>
        <v>0</v>
      </c>
      <c r="BF345" s="227">
        <f>FEM!$I$25</f>
        <v>0</v>
      </c>
      <c r="BG345" s="227">
        <f>FEM!$I$25</f>
        <v>0</v>
      </c>
      <c r="BH345" s="227">
        <f>FEM!$I$25</f>
        <v>0</v>
      </c>
      <c r="BI345" s="227">
        <f>FEM!$I$25</f>
        <v>0</v>
      </c>
    </row>
    <row r="346" spans="1:61" s="2464" customFormat="1">
      <c r="A346" s="2461"/>
      <c r="B346" s="2462"/>
      <c r="C346" s="4114"/>
      <c r="D346" s="4115"/>
      <c r="E346" s="2516" t="s">
        <v>1183</v>
      </c>
      <c r="F346" s="2441" t="s">
        <v>1155</v>
      </c>
      <c r="G346" s="2431" t="s">
        <v>1156</v>
      </c>
      <c r="H346" s="2463">
        <f>IF(H$10&gt;0,H344/24/H$10,0)</f>
        <v>0</v>
      </c>
      <c r="I346" s="2463">
        <f t="shared" ref="I346:BI346" si="173">IF(I$10&gt;0,I344/24/I$10,0)</f>
        <v>0</v>
      </c>
      <c r="J346" s="2463">
        <f>IF(J$10&gt;0,J344/24/J$10,0)</f>
        <v>0</v>
      </c>
      <c r="K346" s="2463">
        <f t="shared" si="173"/>
        <v>0</v>
      </c>
      <c r="L346" s="2463">
        <f t="shared" si="173"/>
        <v>0</v>
      </c>
      <c r="M346" s="2463">
        <f t="shared" si="173"/>
        <v>0</v>
      </c>
      <c r="N346" s="2463">
        <f>IF(N$10&gt;0,N344/24/N$10,0)</f>
        <v>0</v>
      </c>
      <c r="O346" s="2463">
        <f>IF(O$10&gt;0,O344/24/O$10,0)</f>
        <v>0</v>
      </c>
      <c r="P346" s="2463">
        <f t="shared" si="173"/>
        <v>0</v>
      </c>
      <c r="Q346" s="2463">
        <f t="shared" si="173"/>
        <v>0</v>
      </c>
      <c r="R346" s="2463">
        <f>IF(R$10&gt;0,R344/24/R$10,0)</f>
        <v>0</v>
      </c>
      <c r="S346" s="2463">
        <f>IF(S$10&gt;0,S344/24/S$10,0)</f>
        <v>0</v>
      </c>
      <c r="T346" s="2463">
        <f>IF(T$10&gt;0,T344/24/T$10,0)</f>
        <v>0</v>
      </c>
      <c r="U346" s="2463">
        <f t="shared" si="173"/>
        <v>0</v>
      </c>
      <c r="V346" s="2463">
        <f t="shared" si="173"/>
        <v>0</v>
      </c>
      <c r="W346" s="2463">
        <f t="shared" si="173"/>
        <v>0</v>
      </c>
      <c r="X346" s="2463">
        <f t="shared" si="173"/>
        <v>0</v>
      </c>
      <c r="Y346" s="2463">
        <f t="shared" si="173"/>
        <v>0</v>
      </c>
      <c r="Z346" s="2463">
        <f t="shared" si="173"/>
        <v>0</v>
      </c>
      <c r="AA346" s="2463">
        <f t="shared" si="173"/>
        <v>0</v>
      </c>
      <c r="AB346" s="2463">
        <f t="shared" si="173"/>
        <v>0</v>
      </c>
      <c r="AC346" s="2463">
        <f t="shared" si="173"/>
        <v>0</v>
      </c>
      <c r="AD346" s="2463">
        <f t="shared" si="173"/>
        <v>0</v>
      </c>
      <c r="AE346" s="2463">
        <f t="shared" si="173"/>
        <v>0</v>
      </c>
      <c r="AF346" s="2463">
        <f t="shared" si="173"/>
        <v>0</v>
      </c>
      <c r="AG346" s="2463">
        <f t="shared" si="173"/>
        <v>0</v>
      </c>
      <c r="AH346" s="2463">
        <f t="shared" si="173"/>
        <v>0</v>
      </c>
      <c r="AI346" s="2463">
        <f t="shared" si="173"/>
        <v>0</v>
      </c>
      <c r="AJ346" s="2463">
        <f t="shared" si="173"/>
        <v>0</v>
      </c>
      <c r="AK346" s="2463">
        <f t="shared" si="173"/>
        <v>0</v>
      </c>
      <c r="AL346" s="2463">
        <f t="shared" si="173"/>
        <v>0</v>
      </c>
      <c r="AM346" s="2463">
        <f t="shared" si="173"/>
        <v>0</v>
      </c>
      <c r="AN346" s="2463">
        <f t="shared" si="173"/>
        <v>0</v>
      </c>
      <c r="AO346" s="2463">
        <f t="shared" si="173"/>
        <v>0</v>
      </c>
      <c r="AP346" s="2463">
        <f t="shared" si="173"/>
        <v>0</v>
      </c>
      <c r="AQ346" s="2463">
        <f t="shared" si="173"/>
        <v>0</v>
      </c>
      <c r="AR346" s="2463">
        <f t="shared" si="173"/>
        <v>0</v>
      </c>
      <c r="AS346" s="2463">
        <f t="shared" si="173"/>
        <v>0</v>
      </c>
      <c r="AT346" s="2463">
        <f t="shared" si="173"/>
        <v>0</v>
      </c>
      <c r="AU346" s="2463">
        <f t="shared" si="173"/>
        <v>0</v>
      </c>
      <c r="AV346" s="2463">
        <f t="shared" si="173"/>
        <v>0</v>
      </c>
      <c r="AW346" s="2463">
        <f t="shared" si="173"/>
        <v>0</v>
      </c>
      <c r="AX346" s="2463">
        <f t="shared" si="173"/>
        <v>0</v>
      </c>
      <c r="AY346" s="2463">
        <f t="shared" si="173"/>
        <v>0</v>
      </c>
      <c r="AZ346" s="2463">
        <f t="shared" si="173"/>
        <v>0</v>
      </c>
      <c r="BA346" s="2463">
        <f t="shared" si="173"/>
        <v>0</v>
      </c>
      <c r="BB346" s="2463">
        <f t="shared" si="173"/>
        <v>0</v>
      </c>
      <c r="BC346" s="2463">
        <f t="shared" si="173"/>
        <v>0</v>
      </c>
      <c r="BD346" s="2463">
        <f t="shared" si="173"/>
        <v>0</v>
      </c>
      <c r="BE346" s="2463">
        <f t="shared" si="173"/>
        <v>0</v>
      </c>
      <c r="BF346" s="2463">
        <f t="shared" si="173"/>
        <v>0</v>
      </c>
      <c r="BG346" s="2463">
        <f t="shared" si="173"/>
        <v>0</v>
      </c>
      <c r="BH346" s="2463">
        <f t="shared" si="173"/>
        <v>0</v>
      </c>
      <c r="BI346" s="2463">
        <f t="shared" si="173"/>
        <v>0</v>
      </c>
    </row>
    <row r="347" spans="1:61" s="2464" customFormat="1">
      <c r="A347" s="2461"/>
      <c r="B347" s="2462"/>
      <c r="C347" s="4114"/>
      <c r="D347" s="4115"/>
      <c r="E347" s="2516" t="s">
        <v>1181</v>
      </c>
      <c r="F347" s="2441" t="s">
        <v>211</v>
      </c>
      <c r="G347" s="2431" t="s">
        <v>212</v>
      </c>
      <c r="H347" s="2442">
        <f t="shared" ref="H347:AM347" si="174">H345/24*H$11</f>
        <v>0</v>
      </c>
      <c r="I347" s="2442">
        <f t="shared" si="174"/>
        <v>0</v>
      </c>
      <c r="J347" s="2442">
        <f t="shared" si="174"/>
        <v>0</v>
      </c>
      <c r="K347" s="2442">
        <f t="shared" si="174"/>
        <v>0</v>
      </c>
      <c r="L347" s="2442">
        <f t="shared" si="174"/>
        <v>0</v>
      </c>
      <c r="M347" s="2442">
        <f t="shared" si="174"/>
        <v>0</v>
      </c>
      <c r="N347" s="2442">
        <f t="shared" si="174"/>
        <v>0</v>
      </c>
      <c r="O347" s="2442">
        <f t="shared" si="174"/>
        <v>0</v>
      </c>
      <c r="P347" s="2442">
        <f t="shared" si="174"/>
        <v>0</v>
      </c>
      <c r="Q347" s="2442">
        <f t="shared" si="174"/>
        <v>0</v>
      </c>
      <c r="R347" s="2442">
        <f t="shared" si="174"/>
        <v>0</v>
      </c>
      <c r="S347" s="2442">
        <f t="shared" si="174"/>
        <v>0</v>
      </c>
      <c r="T347" s="2442">
        <f t="shared" si="174"/>
        <v>0</v>
      </c>
      <c r="U347" s="2442">
        <f t="shared" si="174"/>
        <v>0</v>
      </c>
      <c r="V347" s="2442">
        <f t="shared" si="174"/>
        <v>0</v>
      </c>
      <c r="W347" s="2442">
        <f t="shared" si="174"/>
        <v>0</v>
      </c>
      <c r="X347" s="2442">
        <f t="shared" si="174"/>
        <v>0</v>
      </c>
      <c r="Y347" s="2442">
        <f t="shared" si="174"/>
        <v>0</v>
      </c>
      <c r="Z347" s="2442">
        <f t="shared" si="174"/>
        <v>0</v>
      </c>
      <c r="AA347" s="2442">
        <f t="shared" si="174"/>
        <v>0</v>
      </c>
      <c r="AB347" s="2442">
        <f t="shared" si="174"/>
        <v>0</v>
      </c>
      <c r="AC347" s="2442">
        <f t="shared" si="174"/>
        <v>0</v>
      </c>
      <c r="AD347" s="2442">
        <f t="shared" si="174"/>
        <v>0</v>
      </c>
      <c r="AE347" s="2442">
        <f t="shared" si="174"/>
        <v>0</v>
      </c>
      <c r="AF347" s="2442">
        <f t="shared" si="174"/>
        <v>0</v>
      </c>
      <c r="AG347" s="2442">
        <f t="shared" si="174"/>
        <v>0</v>
      </c>
      <c r="AH347" s="2442">
        <f t="shared" si="174"/>
        <v>0</v>
      </c>
      <c r="AI347" s="2442">
        <f t="shared" si="174"/>
        <v>0</v>
      </c>
      <c r="AJ347" s="2442">
        <f t="shared" si="174"/>
        <v>0</v>
      </c>
      <c r="AK347" s="2442">
        <f t="shared" si="174"/>
        <v>0</v>
      </c>
      <c r="AL347" s="2442">
        <f t="shared" si="174"/>
        <v>0</v>
      </c>
      <c r="AM347" s="2442">
        <f t="shared" si="174"/>
        <v>0</v>
      </c>
      <c r="AN347" s="2442">
        <f t="shared" ref="AN347:BI347" si="175">AN345/24*AN$11</f>
        <v>0</v>
      </c>
      <c r="AO347" s="2442">
        <f t="shared" si="175"/>
        <v>0</v>
      </c>
      <c r="AP347" s="2442">
        <f t="shared" si="175"/>
        <v>0</v>
      </c>
      <c r="AQ347" s="2442">
        <f t="shared" si="175"/>
        <v>0</v>
      </c>
      <c r="AR347" s="2442">
        <f t="shared" si="175"/>
        <v>0</v>
      </c>
      <c r="AS347" s="2442">
        <f t="shared" si="175"/>
        <v>0</v>
      </c>
      <c r="AT347" s="2442">
        <f t="shared" si="175"/>
        <v>0</v>
      </c>
      <c r="AU347" s="2442">
        <f t="shared" si="175"/>
        <v>0</v>
      </c>
      <c r="AV347" s="2442">
        <f t="shared" si="175"/>
        <v>0</v>
      </c>
      <c r="AW347" s="2442">
        <f t="shared" si="175"/>
        <v>0</v>
      </c>
      <c r="AX347" s="2442">
        <f t="shared" si="175"/>
        <v>0</v>
      </c>
      <c r="AY347" s="2442">
        <f t="shared" si="175"/>
        <v>0</v>
      </c>
      <c r="AZ347" s="2442">
        <f t="shared" si="175"/>
        <v>0</v>
      </c>
      <c r="BA347" s="2442">
        <f t="shared" si="175"/>
        <v>0</v>
      </c>
      <c r="BB347" s="2442">
        <f t="shared" si="175"/>
        <v>0</v>
      </c>
      <c r="BC347" s="2442">
        <f t="shared" si="175"/>
        <v>0</v>
      </c>
      <c r="BD347" s="2442">
        <f t="shared" si="175"/>
        <v>0</v>
      </c>
      <c r="BE347" s="2442">
        <f t="shared" si="175"/>
        <v>0</v>
      </c>
      <c r="BF347" s="2442">
        <f t="shared" si="175"/>
        <v>0</v>
      </c>
      <c r="BG347" s="2442">
        <f t="shared" si="175"/>
        <v>0</v>
      </c>
      <c r="BH347" s="2442">
        <f t="shared" si="175"/>
        <v>0</v>
      </c>
      <c r="BI347" s="2442">
        <f t="shared" si="175"/>
        <v>0</v>
      </c>
    </row>
    <row r="348" spans="1:61" s="2476" customFormat="1">
      <c r="A348" s="2461"/>
      <c r="B348" s="2462"/>
      <c r="C348" s="4114"/>
      <c r="D348" s="4115"/>
      <c r="E348" s="2516" t="s">
        <v>1184</v>
      </c>
      <c r="F348" s="2465" t="s">
        <v>1158</v>
      </c>
      <c r="G348" s="2431" t="s">
        <v>1157</v>
      </c>
      <c r="H348" s="2442">
        <f>H338*H346</f>
        <v>0</v>
      </c>
      <c r="I348" s="2442">
        <f t="shared" ref="I348:BI348" si="176">I338*I346</f>
        <v>0</v>
      </c>
      <c r="J348" s="2442">
        <f>J338*J346</f>
        <v>0</v>
      </c>
      <c r="K348" s="2442">
        <f t="shared" si="176"/>
        <v>0</v>
      </c>
      <c r="L348" s="2442">
        <f t="shared" si="176"/>
        <v>0</v>
      </c>
      <c r="M348" s="2442">
        <f t="shared" si="176"/>
        <v>0</v>
      </c>
      <c r="N348" s="2442">
        <f>N338*N346</f>
        <v>0</v>
      </c>
      <c r="O348" s="2442">
        <f>O338*O346</f>
        <v>0</v>
      </c>
      <c r="P348" s="2442">
        <f t="shared" si="176"/>
        <v>0</v>
      </c>
      <c r="Q348" s="2442">
        <f t="shared" si="176"/>
        <v>0</v>
      </c>
      <c r="R348" s="2442">
        <f>R338*R346</f>
        <v>0</v>
      </c>
      <c r="S348" s="2442">
        <f>S338*S346</f>
        <v>0</v>
      </c>
      <c r="T348" s="2442">
        <f>T338*T346</f>
        <v>0</v>
      </c>
      <c r="U348" s="2442">
        <f t="shared" si="176"/>
        <v>0</v>
      </c>
      <c r="V348" s="2442">
        <f t="shared" si="176"/>
        <v>0</v>
      </c>
      <c r="W348" s="2442">
        <f t="shared" si="176"/>
        <v>0</v>
      </c>
      <c r="X348" s="2442">
        <f t="shared" si="176"/>
        <v>0</v>
      </c>
      <c r="Y348" s="2442">
        <f t="shared" si="176"/>
        <v>0</v>
      </c>
      <c r="Z348" s="2442">
        <f t="shared" si="176"/>
        <v>0</v>
      </c>
      <c r="AA348" s="2442">
        <f t="shared" si="176"/>
        <v>0</v>
      </c>
      <c r="AB348" s="2442">
        <f t="shared" si="176"/>
        <v>0</v>
      </c>
      <c r="AC348" s="2442">
        <f t="shared" si="176"/>
        <v>0</v>
      </c>
      <c r="AD348" s="2442">
        <f t="shared" si="176"/>
        <v>0</v>
      </c>
      <c r="AE348" s="2442">
        <f t="shared" si="176"/>
        <v>0</v>
      </c>
      <c r="AF348" s="2442">
        <f t="shared" si="176"/>
        <v>0</v>
      </c>
      <c r="AG348" s="2442">
        <f t="shared" si="176"/>
        <v>0</v>
      </c>
      <c r="AH348" s="2442">
        <f t="shared" si="176"/>
        <v>0</v>
      </c>
      <c r="AI348" s="2442">
        <f t="shared" si="176"/>
        <v>0</v>
      </c>
      <c r="AJ348" s="2442">
        <f t="shared" si="176"/>
        <v>0</v>
      </c>
      <c r="AK348" s="2442">
        <f t="shared" si="176"/>
        <v>0</v>
      </c>
      <c r="AL348" s="2442">
        <f t="shared" si="176"/>
        <v>0</v>
      </c>
      <c r="AM348" s="2442">
        <f t="shared" si="176"/>
        <v>0</v>
      </c>
      <c r="AN348" s="2442">
        <f t="shared" si="176"/>
        <v>0</v>
      </c>
      <c r="AO348" s="2442">
        <f t="shared" si="176"/>
        <v>0</v>
      </c>
      <c r="AP348" s="2442">
        <f t="shared" si="176"/>
        <v>0</v>
      </c>
      <c r="AQ348" s="2442">
        <f t="shared" si="176"/>
        <v>0</v>
      </c>
      <c r="AR348" s="2442">
        <f t="shared" si="176"/>
        <v>0</v>
      </c>
      <c r="AS348" s="2442">
        <f t="shared" si="176"/>
        <v>0</v>
      </c>
      <c r="AT348" s="2442">
        <f t="shared" si="176"/>
        <v>0</v>
      </c>
      <c r="AU348" s="2442">
        <f t="shared" si="176"/>
        <v>0</v>
      </c>
      <c r="AV348" s="2442">
        <f t="shared" si="176"/>
        <v>0</v>
      </c>
      <c r="AW348" s="2442">
        <f t="shared" si="176"/>
        <v>0</v>
      </c>
      <c r="AX348" s="2442">
        <f t="shared" si="176"/>
        <v>0</v>
      </c>
      <c r="AY348" s="2442">
        <f t="shared" si="176"/>
        <v>0</v>
      </c>
      <c r="AZ348" s="2442">
        <f t="shared" si="176"/>
        <v>0</v>
      </c>
      <c r="BA348" s="2442">
        <f t="shared" si="176"/>
        <v>0</v>
      </c>
      <c r="BB348" s="2442">
        <f t="shared" si="176"/>
        <v>0</v>
      </c>
      <c r="BC348" s="2442">
        <f t="shared" si="176"/>
        <v>0</v>
      </c>
      <c r="BD348" s="2442">
        <f t="shared" si="176"/>
        <v>0</v>
      </c>
      <c r="BE348" s="2442">
        <f t="shared" si="176"/>
        <v>0</v>
      </c>
      <c r="BF348" s="2442">
        <f t="shared" si="176"/>
        <v>0</v>
      </c>
      <c r="BG348" s="2442">
        <f t="shared" si="176"/>
        <v>0</v>
      </c>
      <c r="BH348" s="2442">
        <f t="shared" si="176"/>
        <v>0</v>
      </c>
      <c r="BI348" s="2442">
        <f t="shared" si="176"/>
        <v>0</v>
      </c>
    </row>
    <row r="349" spans="1:61" s="2476" customFormat="1">
      <c r="A349" s="2461"/>
      <c r="B349" s="2462"/>
      <c r="C349" s="4114"/>
      <c r="D349" s="4115"/>
      <c r="E349" s="2516" t="s">
        <v>1182</v>
      </c>
      <c r="F349" s="2465" t="s">
        <v>233</v>
      </c>
      <c r="G349" s="2431" t="s">
        <v>234</v>
      </c>
      <c r="H349" s="2442">
        <f>H341*H347</f>
        <v>0</v>
      </c>
      <c r="I349" s="2442">
        <f t="shared" ref="I349:BI349" si="177">I341*I347</f>
        <v>0</v>
      </c>
      <c r="J349" s="2442">
        <f>J341*J347</f>
        <v>0</v>
      </c>
      <c r="K349" s="2442">
        <f t="shared" si="177"/>
        <v>0</v>
      </c>
      <c r="L349" s="2442">
        <f t="shared" si="177"/>
        <v>0</v>
      </c>
      <c r="M349" s="2442">
        <f t="shared" si="177"/>
        <v>0</v>
      </c>
      <c r="N349" s="2442">
        <f>N341*N347</f>
        <v>0</v>
      </c>
      <c r="O349" s="2442">
        <f>O341*O347</f>
        <v>0</v>
      </c>
      <c r="P349" s="2442">
        <f t="shared" si="177"/>
        <v>0</v>
      </c>
      <c r="Q349" s="2442">
        <f t="shared" si="177"/>
        <v>0</v>
      </c>
      <c r="R349" s="2442">
        <f>R341*R347</f>
        <v>0</v>
      </c>
      <c r="S349" s="2442">
        <f>S341*S347</f>
        <v>0</v>
      </c>
      <c r="T349" s="2442">
        <f>T341*T347</f>
        <v>0</v>
      </c>
      <c r="U349" s="2442">
        <f t="shared" si="177"/>
        <v>0</v>
      </c>
      <c r="V349" s="2442">
        <f t="shared" si="177"/>
        <v>0</v>
      </c>
      <c r="W349" s="2442">
        <f t="shared" si="177"/>
        <v>0</v>
      </c>
      <c r="X349" s="2442">
        <f t="shared" si="177"/>
        <v>0</v>
      </c>
      <c r="Y349" s="2442">
        <f t="shared" si="177"/>
        <v>0</v>
      </c>
      <c r="Z349" s="2442">
        <f t="shared" si="177"/>
        <v>0</v>
      </c>
      <c r="AA349" s="2442">
        <f t="shared" si="177"/>
        <v>0</v>
      </c>
      <c r="AB349" s="2442">
        <f t="shared" si="177"/>
        <v>0</v>
      </c>
      <c r="AC349" s="2442">
        <f t="shared" si="177"/>
        <v>0</v>
      </c>
      <c r="AD349" s="2442">
        <f t="shared" si="177"/>
        <v>0</v>
      </c>
      <c r="AE349" s="2442">
        <f t="shared" si="177"/>
        <v>0</v>
      </c>
      <c r="AF349" s="2442">
        <f t="shared" si="177"/>
        <v>0</v>
      </c>
      <c r="AG349" s="2442">
        <f t="shared" si="177"/>
        <v>0</v>
      </c>
      <c r="AH349" s="2442">
        <f t="shared" si="177"/>
        <v>0</v>
      </c>
      <c r="AI349" s="2442">
        <f t="shared" si="177"/>
        <v>0</v>
      </c>
      <c r="AJ349" s="2442">
        <f t="shared" si="177"/>
        <v>0</v>
      </c>
      <c r="AK349" s="2442">
        <f t="shared" si="177"/>
        <v>0</v>
      </c>
      <c r="AL349" s="2442">
        <f t="shared" si="177"/>
        <v>0</v>
      </c>
      <c r="AM349" s="2442">
        <f t="shared" si="177"/>
        <v>0</v>
      </c>
      <c r="AN349" s="2442">
        <f t="shared" si="177"/>
        <v>0</v>
      </c>
      <c r="AO349" s="2442">
        <f t="shared" si="177"/>
        <v>0</v>
      </c>
      <c r="AP349" s="2442">
        <f t="shared" si="177"/>
        <v>0</v>
      </c>
      <c r="AQ349" s="2442">
        <f t="shared" si="177"/>
        <v>0</v>
      </c>
      <c r="AR349" s="2442">
        <f t="shared" si="177"/>
        <v>0</v>
      </c>
      <c r="AS349" s="2442">
        <f t="shared" si="177"/>
        <v>0</v>
      </c>
      <c r="AT349" s="2442">
        <f t="shared" si="177"/>
        <v>0</v>
      </c>
      <c r="AU349" s="2442">
        <f t="shared" si="177"/>
        <v>0</v>
      </c>
      <c r="AV349" s="2442">
        <f t="shared" si="177"/>
        <v>0</v>
      </c>
      <c r="AW349" s="2442">
        <f t="shared" si="177"/>
        <v>0</v>
      </c>
      <c r="AX349" s="2442">
        <f t="shared" si="177"/>
        <v>0</v>
      </c>
      <c r="AY349" s="2442">
        <f t="shared" si="177"/>
        <v>0</v>
      </c>
      <c r="AZ349" s="2442">
        <f t="shared" si="177"/>
        <v>0</v>
      </c>
      <c r="BA349" s="2442">
        <f t="shared" si="177"/>
        <v>0</v>
      </c>
      <c r="BB349" s="2442">
        <f t="shared" si="177"/>
        <v>0</v>
      </c>
      <c r="BC349" s="2442">
        <f t="shared" si="177"/>
        <v>0</v>
      </c>
      <c r="BD349" s="2442">
        <f t="shared" si="177"/>
        <v>0</v>
      </c>
      <c r="BE349" s="2442">
        <f t="shared" si="177"/>
        <v>0</v>
      </c>
      <c r="BF349" s="2442">
        <f t="shared" si="177"/>
        <v>0</v>
      </c>
      <c r="BG349" s="2442">
        <f t="shared" si="177"/>
        <v>0</v>
      </c>
      <c r="BH349" s="2442">
        <f t="shared" si="177"/>
        <v>0</v>
      </c>
      <c r="BI349" s="2442">
        <f t="shared" si="177"/>
        <v>0</v>
      </c>
    </row>
    <row r="350" spans="1:61" s="2476" customFormat="1">
      <c r="A350" s="2461"/>
      <c r="B350" s="2462"/>
      <c r="C350" s="4114"/>
      <c r="D350" s="4115"/>
      <c r="E350" s="2517" t="s">
        <v>988</v>
      </c>
      <c r="F350" s="2466" t="s">
        <v>492</v>
      </c>
      <c r="G350" s="2467" t="s">
        <v>492</v>
      </c>
      <c r="H350" s="2442">
        <f t="shared" ref="H350:AL350" si="178">H305*H348</f>
        <v>0</v>
      </c>
      <c r="I350" s="2442">
        <f t="shared" si="178"/>
        <v>0</v>
      </c>
      <c r="J350" s="2442">
        <f>J305*J348</f>
        <v>0</v>
      </c>
      <c r="K350" s="2442">
        <f t="shared" si="178"/>
        <v>0</v>
      </c>
      <c r="L350" s="2442">
        <f t="shared" si="178"/>
        <v>0</v>
      </c>
      <c r="M350" s="2442">
        <f t="shared" si="178"/>
        <v>0</v>
      </c>
      <c r="N350" s="2442">
        <f>N305*N348</f>
        <v>0</v>
      </c>
      <c r="O350" s="2442">
        <f>O305*O348</f>
        <v>0</v>
      </c>
      <c r="P350" s="2442">
        <f t="shared" si="178"/>
        <v>0</v>
      </c>
      <c r="Q350" s="2442">
        <f t="shared" si="178"/>
        <v>0</v>
      </c>
      <c r="R350" s="2442">
        <f>R305*R348</f>
        <v>0</v>
      </c>
      <c r="S350" s="2442">
        <f>S305*S348</f>
        <v>0</v>
      </c>
      <c r="T350" s="2442">
        <f>T305*T348</f>
        <v>0</v>
      </c>
      <c r="U350" s="2442">
        <f t="shared" si="178"/>
        <v>0</v>
      </c>
      <c r="V350" s="2442">
        <f t="shared" si="178"/>
        <v>0</v>
      </c>
      <c r="W350" s="2442">
        <f t="shared" si="178"/>
        <v>0</v>
      </c>
      <c r="X350" s="2442">
        <f t="shared" si="178"/>
        <v>0</v>
      </c>
      <c r="Y350" s="2442">
        <f t="shared" si="178"/>
        <v>0</v>
      </c>
      <c r="Z350" s="2442">
        <f t="shared" si="178"/>
        <v>0</v>
      </c>
      <c r="AA350" s="2442">
        <f t="shared" si="178"/>
        <v>0</v>
      </c>
      <c r="AB350" s="2442">
        <f t="shared" si="178"/>
        <v>0</v>
      </c>
      <c r="AC350" s="2442">
        <f t="shared" si="178"/>
        <v>0</v>
      </c>
      <c r="AD350" s="2442">
        <f t="shared" si="178"/>
        <v>0</v>
      </c>
      <c r="AE350" s="2442">
        <f t="shared" si="178"/>
        <v>0</v>
      </c>
      <c r="AF350" s="2442">
        <f t="shared" si="178"/>
        <v>0</v>
      </c>
      <c r="AG350" s="2442">
        <f t="shared" si="178"/>
        <v>0</v>
      </c>
      <c r="AH350" s="2442">
        <f t="shared" si="178"/>
        <v>0</v>
      </c>
      <c r="AI350" s="2442">
        <f t="shared" si="178"/>
        <v>0</v>
      </c>
      <c r="AJ350" s="2442">
        <f t="shared" si="178"/>
        <v>0</v>
      </c>
      <c r="AK350" s="2442">
        <f t="shared" si="178"/>
        <v>0</v>
      </c>
      <c r="AL350" s="2442">
        <f t="shared" si="178"/>
        <v>0</v>
      </c>
      <c r="AM350" s="2442">
        <f t="shared" ref="AM350:BI350" si="179">AM305*AM348</f>
        <v>0</v>
      </c>
      <c r="AN350" s="2442">
        <f t="shared" si="179"/>
        <v>0</v>
      </c>
      <c r="AO350" s="2442">
        <f t="shared" si="179"/>
        <v>0</v>
      </c>
      <c r="AP350" s="2442">
        <f t="shared" si="179"/>
        <v>0</v>
      </c>
      <c r="AQ350" s="2442">
        <f t="shared" si="179"/>
        <v>0</v>
      </c>
      <c r="AR350" s="2442">
        <f t="shared" si="179"/>
        <v>0</v>
      </c>
      <c r="AS350" s="2442">
        <f t="shared" si="179"/>
        <v>0</v>
      </c>
      <c r="AT350" s="2442">
        <f t="shared" si="179"/>
        <v>0</v>
      </c>
      <c r="AU350" s="2442">
        <f t="shared" si="179"/>
        <v>0</v>
      </c>
      <c r="AV350" s="2442">
        <f t="shared" si="179"/>
        <v>0</v>
      </c>
      <c r="AW350" s="2442">
        <f t="shared" si="179"/>
        <v>0</v>
      </c>
      <c r="AX350" s="2442">
        <f t="shared" si="179"/>
        <v>0</v>
      </c>
      <c r="AY350" s="2442">
        <f t="shared" si="179"/>
        <v>0</v>
      </c>
      <c r="AZ350" s="2442">
        <f t="shared" si="179"/>
        <v>0</v>
      </c>
      <c r="BA350" s="2442">
        <f t="shared" si="179"/>
        <v>0</v>
      </c>
      <c r="BB350" s="2442">
        <f t="shared" si="179"/>
        <v>0</v>
      </c>
      <c r="BC350" s="2442">
        <f t="shared" si="179"/>
        <v>0</v>
      </c>
      <c r="BD350" s="2442">
        <f t="shared" si="179"/>
        <v>0</v>
      </c>
      <c r="BE350" s="2442">
        <f t="shared" si="179"/>
        <v>0</v>
      </c>
      <c r="BF350" s="2442">
        <f t="shared" si="179"/>
        <v>0</v>
      </c>
      <c r="BG350" s="2442">
        <f t="shared" si="179"/>
        <v>0</v>
      </c>
      <c r="BH350" s="2442">
        <f t="shared" si="179"/>
        <v>0</v>
      </c>
      <c r="BI350" s="2442">
        <f t="shared" si="179"/>
        <v>0</v>
      </c>
    </row>
    <row r="351" spans="1:61" s="2530" customFormat="1">
      <c r="A351" s="2527"/>
      <c r="B351" s="2528"/>
      <c r="C351" s="2504"/>
      <c r="D351" s="2505"/>
      <c r="E351" s="2518" t="s">
        <v>991</v>
      </c>
      <c r="F351" s="2468" t="s">
        <v>213</v>
      </c>
      <c r="G351" s="2469" t="s">
        <v>213</v>
      </c>
      <c r="H351" s="2470">
        <f t="shared" ref="H351:AL351" si="180">H305*H349</f>
        <v>0</v>
      </c>
      <c r="I351" s="2470">
        <f t="shared" si="180"/>
        <v>0</v>
      </c>
      <c r="J351" s="2470">
        <f>J305*J349</f>
        <v>0</v>
      </c>
      <c r="K351" s="2470">
        <f t="shared" si="180"/>
        <v>0</v>
      </c>
      <c r="L351" s="2470">
        <f t="shared" si="180"/>
        <v>0</v>
      </c>
      <c r="M351" s="2470">
        <f t="shared" si="180"/>
        <v>0</v>
      </c>
      <c r="N351" s="2470">
        <f>N305*N349</f>
        <v>0</v>
      </c>
      <c r="O351" s="2470">
        <f>O305*O349</f>
        <v>0</v>
      </c>
      <c r="P351" s="2470">
        <f t="shared" si="180"/>
        <v>0</v>
      </c>
      <c r="Q351" s="2470">
        <f t="shared" si="180"/>
        <v>0</v>
      </c>
      <c r="R351" s="2470">
        <f>R305*R349</f>
        <v>0</v>
      </c>
      <c r="S351" s="2470">
        <f>S305*S349</f>
        <v>0</v>
      </c>
      <c r="T351" s="2470">
        <f>T305*T349</f>
        <v>0</v>
      </c>
      <c r="U351" s="2470">
        <f t="shared" si="180"/>
        <v>0</v>
      </c>
      <c r="V351" s="2470">
        <f t="shared" si="180"/>
        <v>0</v>
      </c>
      <c r="W351" s="2470">
        <f t="shared" si="180"/>
        <v>0</v>
      </c>
      <c r="X351" s="2470">
        <f t="shared" si="180"/>
        <v>0</v>
      </c>
      <c r="Y351" s="2470">
        <f t="shared" si="180"/>
        <v>0</v>
      </c>
      <c r="Z351" s="2470">
        <f t="shared" si="180"/>
        <v>0</v>
      </c>
      <c r="AA351" s="2470">
        <f t="shared" si="180"/>
        <v>0</v>
      </c>
      <c r="AB351" s="2470">
        <f t="shared" si="180"/>
        <v>0</v>
      </c>
      <c r="AC351" s="2470">
        <f t="shared" si="180"/>
        <v>0</v>
      </c>
      <c r="AD351" s="2470">
        <f t="shared" si="180"/>
        <v>0</v>
      </c>
      <c r="AE351" s="2470">
        <f t="shared" si="180"/>
        <v>0</v>
      </c>
      <c r="AF351" s="2470">
        <f t="shared" si="180"/>
        <v>0</v>
      </c>
      <c r="AG351" s="2470">
        <f t="shared" si="180"/>
        <v>0</v>
      </c>
      <c r="AH351" s="2470">
        <f t="shared" si="180"/>
        <v>0</v>
      </c>
      <c r="AI351" s="2470">
        <f t="shared" si="180"/>
        <v>0</v>
      </c>
      <c r="AJ351" s="2470">
        <f t="shared" si="180"/>
        <v>0</v>
      </c>
      <c r="AK351" s="2470">
        <f t="shared" si="180"/>
        <v>0</v>
      </c>
      <c r="AL351" s="2470">
        <f t="shared" si="180"/>
        <v>0</v>
      </c>
      <c r="AM351" s="2470">
        <f t="shared" ref="AM351:BI351" si="181">AM305*AM349</f>
        <v>0</v>
      </c>
      <c r="AN351" s="2470">
        <f t="shared" si="181"/>
        <v>0</v>
      </c>
      <c r="AO351" s="2470">
        <f t="shared" si="181"/>
        <v>0</v>
      </c>
      <c r="AP351" s="2470">
        <f t="shared" si="181"/>
        <v>0</v>
      </c>
      <c r="AQ351" s="2470">
        <f t="shared" si="181"/>
        <v>0</v>
      </c>
      <c r="AR351" s="2470">
        <f t="shared" si="181"/>
        <v>0</v>
      </c>
      <c r="AS351" s="2470">
        <f t="shared" si="181"/>
        <v>0</v>
      </c>
      <c r="AT351" s="2470">
        <f t="shared" si="181"/>
        <v>0</v>
      </c>
      <c r="AU351" s="2470">
        <f t="shared" si="181"/>
        <v>0</v>
      </c>
      <c r="AV351" s="2470">
        <f t="shared" si="181"/>
        <v>0</v>
      </c>
      <c r="AW351" s="2470">
        <f t="shared" si="181"/>
        <v>0</v>
      </c>
      <c r="AX351" s="2470">
        <f t="shared" si="181"/>
        <v>0</v>
      </c>
      <c r="AY351" s="2470">
        <f t="shared" si="181"/>
        <v>0</v>
      </c>
      <c r="AZ351" s="2470">
        <f t="shared" si="181"/>
        <v>0</v>
      </c>
      <c r="BA351" s="2470">
        <f t="shared" si="181"/>
        <v>0</v>
      </c>
      <c r="BB351" s="2470">
        <f t="shared" si="181"/>
        <v>0</v>
      </c>
      <c r="BC351" s="2470">
        <f t="shared" si="181"/>
        <v>0</v>
      </c>
      <c r="BD351" s="2470">
        <f t="shared" si="181"/>
        <v>0</v>
      </c>
      <c r="BE351" s="2470">
        <f t="shared" si="181"/>
        <v>0</v>
      </c>
      <c r="BF351" s="2470">
        <f t="shared" si="181"/>
        <v>0</v>
      </c>
      <c r="BG351" s="2470">
        <f t="shared" si="181"/>
        <v>0</v>
      </c>
      <c r="BH351" s="2470">
        <f t="shared" si="181"/>
        <v>0</v>
      </c>
      <c r="BI351" s="2470">
        <f t="shared" si="181"/>
        <v>0</v>
      </c>
    </row>
    <row r="352" spans="1:61">
      <c r="A352" s="397"/>
      <c r="B352" s="97"/>
      <c r="C352" s="2501" t="s">
        <v>591</v>
      </c>
      <c r="D352" s="2505"/>
      <c r="E352" s="37" t="s">
        <v>1178</v>
      </c>
      <c r="F352" s="18" t="s">
        <v>181</v>
      </c>
      <c r="G352" s="117" t="s">
        <v>182</v>
      </c>
      <c r="H352" s="163">
        <f>FEM!$H$24</f>
        <v>4.8219178082191778</v>
      </c>
      <c r="I352" s="163">
        <f>FEM!$H$24</f>
        <v>4.8219178082191778</v>
      </c>
      <c r="J352" s="163">
        <f>FEM!$H$24</f>
        <v>4.8219178082191778</v>
      </c>
      <c r="K352" s="163">
        <f>FEM!$H$24</f>
        <v>4.8219178082191778</v>
      </c>
      <c r="L352" s="163">
        <f>FEM!$H$24</f>
        <v>4.8219178082191778</v>
      </c>
      <c r="M352" s="163">
        <f>FEM!$H$24</f>
        <v>4.8219178082191778</v>
      </c>
      <c r="N352" s="163">
        <f>FEM!$H$24</f>
        <v>4.8219178082191778</v>
      </c>
      <c r="O352" s="163">
        <f>FEM!$H$24</f>
        <v>4.8219178082191778</v>
      </c>
      <c r="P352" s="163">
        <f>FEM!$H$24</f>
        <v>4.8219178082191778</v>
      </c>
      <c r="Q352" s="163">
        <f>FEM!$H$24</f>
        <v>4.8219178082191778</v>
      </c>
      <c r="R352" s="163">
        <f>FEM!$H$24</f>
        <v>4.8219178082191778</v>
      </c>
      <c r="S352" s="163">
        <f>FEM!$H$24</f>
        <v>4.8219178082191778</v>
      </c>
      <c r="T352" s="163">
        <f>FEM!$H$24</f>
        <v>4.8219178082191778</v>
      </c>
      <c r="U352" s="163">
        <f>FEM!$H$24</f>
        <v>4.8219178082191778</v>
      </c>
      <c r="V352" s="163">
        <f>FEM!$H$24</f>
        <v>4.8219178082191778</v>
      </c>
      <c r="W352" s="163">
        <f>FEM!$H$24</f>
        <v>4.8219178082191778</v>
      </c>
      <c r="X352" s="163">
        <f>FEM!$H$24</f>
        <v>4.8219178082191778</v>
      </c>
      <c r="Y352" s="163">
        <f>FEM!$H$24</f>
        <v>4.8219178082191778</v>
      </c>
      <c r="Z352" s="163">
        <f>FEM!$H$24</f>
        <v>4.8219178082191778</v>
      </c>
      <c r="AA352" s="163">
        <f>FEM!$H$24</f>
        <v>4.8219178082191778</v>
      </c>
      <c r="AB352" s="163">
        <f>FEM!$H$24</f>
        <v>4.8219178082191778</v>
      </c>
      <c r="AC352" s="163">
        <f>FEM!$H$24</f>
        <v>4.8219178082191778</v>
      </c>
      <c r="AD352" s="163">
        <f>FEM!$H$24</f>
        <v>4.8219178082191778</v>
      </c>
      <c r="AE352" s="163">
        <f>FEM!$H$24</f>
        <v>4.8219178082191778</v>
      </c>
      <c r="AF352" s="163">
        <f>FEM!$H$24</f>
        <v>4.8219178082191778</v>
      </c>
      <c r="AG352" s="163">
        <f>FEM!$H$24</f>
        <v>4.8219178082191778</v>
      </c>
      <c r="AH352" s="163">
        <f>FEM!$H$24</f>
        <v>4.8219178082191778</v>
      </c>
      <c r="AI352" s="163">
        <f>FEM!$H$24</f>
        <v>4.8219178082191778</v>
      </c>
      <c r="AJ352" s="163">
        <f>FEM!$H$24</f>
        <v>4.8219178082191778</v>
      </c>
      <c r="AK352" s="163">
        <f>FEM!$H$24</f>
        <v>4.8219178082191778</v>
      </c>
      <c r="AL352" s="163">
        <f>FEM!$H$24</f>
        <v>4.8219178082191778</v>
      </c>
      <c r="AM352" s="163">
        <f>FEM!$H$24</f>
        <v>4.8219178082191778</v>
      </c>
      <c r="AN352" s="163">
        <f>FEM!$H$24</f>
        <v>4.8219178082191778</v>
      </c>
      <c r="AO352" s="163">
        <f>FEM!$H$24</f>
        <v>4.8219178082191778</v>
      </c>
      <c r="AP352" s="163">
        <f>FEM!$H$24</f>
        <v>4.8219178082191778</v>
      </c>
      <c r="AQ352" s="163">
        <f>FEM!$H$24</f>
        <v>4.8219178082191778</v>
      </c>
      <c r="AR352" s="163">
        <f>FEM!$H$24</f>
        <v>4.8219178082191778</v>
      </c>
      <c r="AS352" s="163">
        <f>FEM!$H$24</f>
        <v>4.8219178082191778</v>
      </c>
      <c r="AT352" s="163">
        <f>FEM!$H$24</f>
        <v>4.8219178082191778</v>
      </c>
      <c r="AU352" s="163">
        <f>FEM!$H$24</f>
        <v>4.8219178082191778</v>
      </c>
      <c r="AV352" s="163">
        <f>FEM!$H$24</f>
        <v>4.8219178082191778</v>
      </c>
      <c r="AW352" s="163">
        <f>FEM!$H$24</f>
        <v>4.8219178082191778</v>
      </c>
      <c r="AX352" s="163">
        <f>FEM!$H$24</f>
        <v>4.8219178082191778</v>
      </c>
      <c r="AY352" s="163">
        <f>FEM!$H$24</f>
        <v>4.8219178082191778</v>
      </c>
      <c r="AZ352" s="163">
        <f>FEM!$H$24</f>
        <v>4.8219178082191778</v>
      </c>
      <c r="BA352" s="163">
        <f>FEM!$H$24</f>
        <v>4.8219178082191778</v>
      </c>
      <c r="BB352" s="163">
        <f>FEM!$H$24</f>
        <v>4.8219178082191778</v>
      </c>
      <c r="BC352" s="163">
        <f>FEM!$H$24</f>
        <v>4.8219178082191778</v>
      </c>
      <c r="BD352" s="163">
        <f>FEM!$H$24</f>
        <v>4.8219178082191778</v>
      </c>
      <c r="BE352" s="163">
        <f>FEM!$H$24</f>
        <v>4.8219178082191778</v>
      </c>
      <c r="BF352" s="163">
        <f>FEM!$H$24</f>
        <v>4.8219178082191778</v>
      </c>
      <c r="BG352" s="163">
        <f>FEM!$H$24</f>
        <v>4.8219178082191778</v>
      </c>
      <c r="BH352" s="163">
        <f>FEM!$H$24</f>
        <v>4.8219178082191778</v>
      </c>
      <c r="BI352" s="163">
        <f>FEM!$H$24</f>
        <v>4.8219178082191778</v>
      </c>
    </row>
    <row r="353" spans="1:61">
      <c r="A353" s="397"/>
      <c r="B353" s="97"/>
      <c r="C353" s="4104" t="s">
        <v>588</v>
      </c>
      <c r="D353" s="4105"/>
      <c r="E353" s="37" t="s">
        <v>1160</v>
      </c>
      <c r="F353" s="18" t="s">
        <v>210</v>
      </c>
      <c r="G353" s="117" t="s">
        <v>182</v>
      </c>
      <c r="H353" s="227">
        <f>FEM!$I$24</f>
        <v>2.755381604696673</v>
      </c>
      <c r="I353" s="227">
        <f>FEM!$I$24</f>
        <v>2.755381604696673</v>
      </c>
      <c r="J353" s="227">
        <f>FEM!$I$24</f>
        <v>2.755381604696673</v>
      </c>
      <c r="K353" s="227">
        <f>FEM!$I$24</f>
        <v>2.755381604696673</v>
      </c>
      <c r="L353" s="227">
        <f>FEM!$I$24</f>
        <v>2.755381604696673</v>
      </c>
      <c r="M353" s="227">
        <f>FEM!$I$24</f>
        <v>2.755381604696673</v>
      </c>
      <c r="N353" s="227">
        <f>FEM!$I$24</f>
        <v>2.755381604696673</v>
      </c>
      <c r="O353" s="227">
        <f>FEM!$I$24</f>
        <v>2.755381604696673</v>
      </c>
      <c r="P353" s="227">
        <f>FEM!$I$24</f>
        <v>2.755381604696673</v>
      </c>
      <c r="Q353" s="227">
        <f>FEM!$I$24</f>
        <v>2.755381604696673</v>
      </c>
      <c r="R353" s="227">
        <f>FEM!$I$24</f>
        <v>2.755381604696673</v>
      </c>
      <c r="S353" s="227">
        <f>FEM!$I$24</f>
        <v>2.755381604696673</v>
      </c>
      <c r="T353" s="227">
        <f>FEM!$I$24</f>
        <v>2.755381604696673</v>
      </c>
      <c r="U353" s="227">
        <f>FEM!$I$24</f>
        <v>2.755381604696673</v>
      </c>
      <c r="V353" s="227">
        <f>FEM!$I$24</f>
        <v>2.755381604696673</v>
      </c>
      <c r="W353" s="227">
        <f>FEM!$I$24</f>
        <v>2.755381604696673</v>
      </c>
      <c r="X353" s="227">
        <f>FEM!$I$24</f>
        <v>2.755381604696673</v>
      </c>
      <c r="Y353" s="227">
        <f>FEM!$I$24</f>
        <v>2.755381604696673</v>
      </c>
      <c r="Z353" s="227">
        <f>FEM!$I$24</f>
        <v>2.755381604696673</v>
      </c>
      <c r="AA353" s="227">
        <f>FEM!$I$24</f>
        <v>2.755381604696673</v>
      </c>
      <c r="AB353" s="227">
        <f>FEM!$I$24</f>
        <v>2.755381604696673</v>
      </c>
      <c r="AC353" s="227">
        <f>FEM!$I$24</f>
        <v>2.755381604696673</v>
      </c>
      <c r="AD353" s="227">
        <f>FEM!$I$24</f>
        <v>2.755381604696673</v>
      </c>
      <c r="AE353" s="227">
        <f>FEM!$I$24</f>
        <v>2.755381604696673</v>
      </c>
      <c r="AF353" s="227">
        <f>FEM!$I$24</f>
        <v>2.755381604696673</v>
      </c>
      <c r="AG353" s="227">
        <f>FEM!$I$24</f>
        <v>2.755381604696673</v>
      </c>
      <c r="AH353" s="227">
        <f>FEM!$I$24</f>
        <v>2.755381604696673</v>
      </c>
      <c r="AI353" s="227">
        <f>FEM!$I$24</f>
        <v>2.755381604696673</v>
      </c>
      <c r="AJ353" s="227">
        <f>FEM!$I$24</f>
        <v>2.755381604696673</v>
      </c>
      <c r="AK353" s="227">
        <f>FEM!$I$24</f>
        <v>2.755381604696673</v>
      </c>
      <c r="AL353" s="227">
        <f>FEM!$I$24</f>
        <v>2.755381604696673</v>
      </c>
      <c r="AM353" s="227">
        <f>FEM!$I$24</f>
        <v>2.755381604696673</v>
      </c>
      <c r="AN353" s="227">
        <f>FEM!$I$24</f>
        <v>2.755381604696673</v>
      </c>
      <c r="AO353" s="227">
        <f>FEM!$I$24</f>
        <v>2.755381604696673</v>
      </c>
      <c r="AP353" s="227">
        <f>FEM!$I$24</f>
        <v>2.755381604696673</v>
      </c>
      <c r="AQ353" s="227">
        <f>FEM!$I$24</f>
        <v>2.755381604696673</v>
      </c>
      <c r="AR353" s="227">
        <f>FEM!$I$24</f>
        <v>2.755381604696673</v>
      </c>
      <c r="AS353" s="227">
        <f>FEM!$I$24</f>
        <v>2.755381604696673</v>
      </c>
      <c r="AT353" s="227">
        <f>FEM!$I$24</f>
        <v>2.755381604696673</v>
      </c>
      <c r="AU353" s="227">
        <f>FEM!$I$24</f>
        <v>2.755381604696673</v>
      </c>
      <c r="AV353" s="227">
        <f>FEM!$I$24</f>
        <v>2.755381604696673</v>
      </c>
      <c r="AW353" s="227">
        <f>FEM!$I$24</f>
        <v>2.755381604696673</v>
      </c>
      <c r="AX353" s="227">
        <f>FEM!$I$24</f>
        <v>2.755381604696673</v>
      </c>
      <c r="AY353" s="227">
        <f>FEM!$I$24</f>
        <v>2.755381604696673</v>
      </c>
      <c r="AZ353" s="227">
        <f>FEM!$I$24</f>
        <v>2.755381604696673</v>
      </c>
      <c r="BA353" s="227">
        <f>FEM!$I$24</f>
        <v>2.755381604696673</v>
      </c>
      <c r="BB353" s="227">
        <f>FEM!$I$24</f>
        <v>2.755381604696673</v>
      </c>
      <c r="BC353" s="227">
        <f>FEM!$I$24</f>
        <v>2.755381604696673</v>
      </c>
      <c r="BD353" s="227">
        <f>FEM!$I$24</f>
        <v>2.755381604696673</v>
      </c>
      <c r="BE353" s="227">
        <f>FEM!$I$24</f>
        <v>2.755381604696673</v>
      </c>
      <c r="BF353" s="227">
        <f>FEM!$I$24</f>
        <v>2.755381604696673</v>
      </c>
      <c r="BG353" s="227">
        <f>FEM!$I$24</f>
        <v>2.755381604696673</v>
      </c>
      <c r="BH353" s="227">
        <f>FEM!$I$24</f>
        <v>2.755381604696673</v>
      </c>
      <c r="BI353" s="227">
        <f>FEM!$I$24</f>
        <v>2.755381604696673</v>
      </c>
    </row>
    <row r="354" spans="1:61" s="2464" customFormat="1">
      <c r="A354" s="2461"/>
      <c r="B354" s="2462"/>
      <c r="C354" s="4104"/>
      <c r="D354" s="4105"/>
      <c r="E354" s="2516" t="s">
        <v>1183</v>
      </c>
      <c r="F354" s="2441" t="s">
        <v>1155</v>
      </c>
      <c r="G354" s="2431" t="s">
        <v>1156</v>
      </c>
      <c r="H354" s="2463">
        <f>IF(H$10&gt;0,H352/24/H$10,0)</f>
        <v>1.004566210045662</v>
      </c>
      <c r="I354" s="2463">
        <f t="shared" ref="I354:BI354" si="182">IF(I$10&gt;0,I352/24/I$10,0)</f>
        <v>1.004566210045662</v>
      </c>
      <c r="J354" s="2463">
        <f>IF(J$10&gt;0,J352/24/J$10,0)</f>
        <v>4.0182648401826483E-2</v>
      </c>
      <c r="K354" s="2463">
        <f t="shared" si="182"/>
        <v>3.5877364644487928</v>
      </c>
      <c r="L354" s="2463">
        <f t="shared" si="182"/>
        <v>3.3485540334855401</v>
      </c>
      <c r="M354" s="2463">
        <f t="shared" si="182"/>
        <v>3.3485540334855401</v>
      </c>
      <c r="N354" s="2463">
        <f>IF(N$10&gt;0,N352/24/N$10,0)</f>
        <v>1.004566210045662</v>
      </c>
      <c r="O354" s="2463">
        <f>IF(O$10&gt;0,O352/24/O$10,0)</f>
        <v>1.004566210045662</v>
      </c>
      <c r="P354" s="2463">
        <f t="shared" si="182"/>
        <v>5.7403783431180679</v>
      </c>
      <c r="Q354" s="2463">
        <f t="shared" si="182"/>
        <v>5.7403783431180679</v>
      </c>
      <c r="R354" s="2463">
        <f>IF(R$10&gt;0,R352/24/R$10,0)</f>
        <v>0.50228310502283102</v>
      </c>
      <c r="S354" s="2463">
        <f>IF(S$10&gt;0,S352/24/S$10,0)</f>
        <v>3.1890990795100382</v>
      </c>
      <c r="T354" s="2463">
        <f>IF(T$10&gt;0,T352/24/T$10,0)</f>
        <v>3.1890990795100382</v>
      </c>
      <c r="U354" s="2463">
        <f t="shared" si="182"/>
        <v>5.287190579187695</v>
      </c>
      <c r="V354" s="2463">
        <f t="shared" si="182"/>
        <v>0.20091324200913241</v>
      </c>
      <c r="W354" s="2463">
        <f t="shared" si="182"/>
        <v>0.20091324200913241</v>
      </c>
      <c r="X354" s="2463">
        <f t="shared" si="182"/>
        <v>20.928462709284624</v>
      </c>
      <c r="Y354" s="2463">
        <f t="shared" si="182"/>
        <v>0.77274323849666304</v>
      </c>
      <c r="Z354" s="2463">
        <f t="shared" si="182"/>
        <v>0.75816317739295247</v>
      </c>
      <c r="AA354" s="2463">
        <f t="shared" si="182"/>
        <v>2.0091324200913241</v>
      </c>
      <c r="AB354" s="2463">
        <f t="shared" si="182"/>
        <v>1.004566210045662</v>
      </c>
      <c r="AC354" s="2463">
        <f t="shared" si="182"/>
        <v>1.004566210045662</v>
      </c>
      <c r="AD354" s="2463">
        <f t="shared" si="182"/>
        <v>1.004566210045662</v>
      </c>
      <c r="AE354" s="2463">
        <f t="shared" si="182"/>
        <v>0</v>
      </c>
      <c r="AF354" s="2463">
        <f t="shared" si="182"/>
        <v>0</v>
      </c>
      <c r="AG354" s="2463">
        <f t="shared" si="182"/>
        <v>1.0919197935278936E-2</v>
      </c>
      <c r="AH354" s="2463">
        <f t="shared" si="182"/>
        <v>1.0919197935278936E-2</v>
      </c>
      <c r="AI354" s="2463">
        <f t="shared" si="182"/>
        <v>0.20091324200913241</v>
      </c>
      <c r="AJ354" s="2463">
        <f t="shared" si="182"/>
        <v>0.20091324200913241</v>
      </c>
      <c r="AK354" s="2463">
        <f t="shared" si="182"/>
        <v>0.20091324200913241</v>
      </c>
      <c r="AL354" s="2463">
        <f t="shared" si="182"/>
        <v>0</v>
      </c>
      <c r="AM354" s="2463">
        <f t="shared" si="182"/>
        <v>0</v>
      </c>
      <c r="AN354" s="2463">
        <f t="shared" si="182"/>
        <v>66.971080669710801</v>
      </c>
      <c r="AO354" s="2463">
        <f t="shared" si="182"/>
        <v>0</v>
      </c>
      <c r="AP354" s="2463">
        <f t="shared" si="182"/>
        <v>0</v>
      </c>
      <c r="AQ354" s="2463">
        <f t="shared" si="182"/>
        <v>0</v>
      </c>
      <c r="AR354" s="2463">
        <f t="shared" si="182"/>
        <v>0</v>
      </c>
      <c r="AS354" s="2463">
        <f t="shared" si="182"/>
        <v>0</v>
      </c>
      <c r="AT354" s="2463">
        <f t="shared" si="182"/>
        <v>0</v>
      </c>
      <c r="AU354" s="2463">
        <f t="shared" si="182"/>
        <v>0</v>
      </c>
      <c r="AV354" s="2463">
        <f t="shared" si="182"/>
        <v>0</v>
      </c>
      <c r="AW354" s="2463">
        <f t="shared" si="182"/>
        <v>0</v>
      </c>
      <c r="AX354" s="2463">
        <f t="shared" si="182"/>
        <v>0</v>
      </c>
      <c r="AY354" s="2463">
        <f t="shared" si="182"/>
        <v>0</v>
      </c>
      <c r="AZ354" s="2463">
        <f t="shared" si="182"/>
        <v>0</v>
      </c>
      <c r="BA354" s="2463">
        <f t="shared" si="182"/>
        <v>0</v>
      </c>
      <c r="BB354" s="2463">
        <f t="shared" si="182"/>
        <v>0</v>
      </c>
      <c r="BC354" s="2463">
        <f t="shared" si="182"/>
        <v>0</v>
      </c>
      <c r="BD354" s="2463">
        <f t="shared" si="182"/>
        <v>10.045662100456621</v>
      </c>
      <c r="BE354" s="2463">
        <f t="shared" si="182"/>
        <v>401.82648401826481</v>
      </c>
      <c r="BF354" s="2463">
        <f t="shared" si="182"/>
        <v>200.9132420091324</v>
      </c>
      <c r="BG354" s="2463">
        <f t="shared" si="182"/>
        <v>6697.10806697108</v>
      </c>
      <c r="BH354" s="2463">
        <f t="shared" si="182"/>
        <v>636.22526636225246</v>
      </c>
      <c r="BI354" s="2463">
        <f t="shared" si="182"/>
        <v>251.14155251141551</v>
      </c>
    </row>
    <row r="355" spans="1:61" s="2464" customFormat="1">
      <c r="A355" s="2461"/>
      <c r="B355" s="2462"/>
      <c r="C355" s="2504"/>
      <c r="D355" s="2505"/>
      <c r="E355" s="2516" t="s">
        <v>1181</v>
      </c>
      <c r="F355" s="2441" t="s">
        <v>211</v>
      </c>
      <c r="G355" s="2431" t="s">
        <v>212</v>
      </c>
      <c r="H355" s="2442">
        <f>H353/24*H$12</f>
        <v>0</v>
      </c>
      <c r="I355" s="2442">
        <f t="shared" ref="I355:BI355" si="183">I353/24*I$12</f>
        <v>0</v>
      </c>
      <c r="J355" s="2442">
        <f>J353/24*J$12</f>
        <v>0</v>
      </c>
      <c r="K355" s="2442">
        <f t="shared" si="183"/>
        <v>1.1480756686236137E-4</v>
      </c>
      <c r="L355" s="2442">
        <f t="shared" si="183"/>
        <v>0</v>
      </c>
      <c r="M355" s="2442">
        <f t="shared" si="183"/>
        <v>0</v>
      </c>
      <c r="N355" s="2442">
        <f>N353/24*N$12</f>
        <v>2.2961513372472275E-4</v>
      </c>
      <c r="O355" s="2442">
        <f>O353/24*O$12</f>
        <v>2.2961513372472275E-4</v>
      </c>
      <c r="P355" s="2442">
        <f t="shared" si="183"/>
        <v>6.7736464448793206E-4</v>
      </c>
      <c r="Q355" s="2442">
        <f t="shared" si="183"/>
        <v>6.7736464448793206E-4</v>
      </c>
      <c r="R355" s="2442">
        <f>R353/24*R$12</f>
        <v>1.1480756686236137E-4</v>
      </c>
      <c r="S355" s="2442">
        <f>S353/24*S$12</f>
        <v>2.6405740378343118E-3</v>
      </c>
      <c r="T355" s="2442">
        <f>T353/24*T$12</f>
        <v>2.6405740378343118E-3</v>
      </c>
      <c r="U355" s="2442">
        <f t="shared" si="183"/>
        <v>4.8219178082191784E-3</v>
      </c>
      <c r="V355" s="2442">
        <f t="shared" si="183"/>
        <v>0</v>
      </c>
      <c r="W355" s="2442">
        <f t="shared" si="183"/>
        <v>0</v>
      </c>
      <c r="X355" s="2442">
        <f t="shared" si="183"/>
        <v>6.8884540117416832E-4</v>
      </c>
      <c r="Y355" s="2442">
        <f t="shared" si="183"/>
        <v>0</v>
      </c>
      <c r="Z355" s="2442">
        <f t="shared" si="183"/>
        <v>2.8701891715590347E-4</v>
      </c>
      <c r="AA355" s="2442">
        <f t="shared" si="183"/>
        <v>0</v>
      </c>
      <c r="AB355" s="2442">
        <f t="shared" si="183"/>
        <v>0</v>
      </c>
      <c r="AC355" s="2442">
        <f t="shared" si="183"/>
        <v>0</v>
      </c>
      <c r="AD355" s="2442">
        <f t="shared" si="183"/>
        <v>0</v>
      </c>
      <c r="AE355" s="2442">
        <f t="shared" si="183"/>
        <v>0</v>
      </c>
      <c r="AF355" s="2442">
        <f t="shared" si="183"/>
        <v>0</v>
      </c>
      <c r="AG355" s="2442">
        <f t="shared" si="183"/>
        <v>0</v>
      </c>
      <c r="AH355" s="2442">
        <f t="shared" si="183"/>
        <v>0</v>
      </c>
      <c r="AI355" s="2442">
        <f t="shared" si="183"/>
        <v>0</v>
      </c>
      <c r="AJ355" s="2442">
        <f t="shared" si="183"/>
        <v>0</v>
      </c>
      <c r="AK355" s="2442">
        <f t="shared" si="183"/>
        <v>0</v>
      </c>
      <c r="AL355" s="2442">
        <f t="shared" si="183"/>
        <v>0</v>
      </c>
      <c r="AM355" s="2442">
        <f t="shared" si="183"/>
        <v>0</v>
      </c>
      <c r="AN355" s="2442">
        <f t="shared" si="183"/>
        <v>3.9034572733202869E-3</v>
      </c>
      <c r="AO355" s="2442">
        <f t="shared" si="183"/>
        <v>1.2628832354859751E-4</v>
      </c>
      <c r="AP355" s="2442">
        <f t="shared" si="183"/>
        <v>1.2628832354859751E-4</v>
      </c>
      <c r="AQ355" s="2442">
        <f t="shared" si="183"/>
        <v>1.2628832354859751E-4</v>
      </c>
      <c r="AR355" s="2442">
        <f t="shared" si="183"/>
        <v>1.2628832354859751E-4</v>
      </c>
      <c r="AS355" s="2442">
        <f t="shared" si="183"/>
        <v>1.2628832354859754E-3</v>
      </c>
      <c r="AT355" s="2442">
        <f t="shared" si="183"/>
        <v>1.2628832354859751E-4</v>
      </c>
      <c r="AU355" s="2442">
        <f t="shared" si="183"/>
        <v>1.2628832354859751E-4</v>
      </c>
      <c r="AV355" s="2442">
        <f t="shared" si="183"/>
        <v>1.2628832354859752E-2</v>
      </c>
      <c r="AW355" s="2442">
        <f t="shared" si="183"/>
        <v>1.2628832354859754E-3</v>
      </c>
      <c r="AX355" s="2442">
        <f t="shared" si="183"/>
        <v>1.2628832354859752E-2</v>
      </c>
      <c r="AY355" s="2442">
        <f t="shared" si="183"/>
        <v>1.2628832354859752E-2</v>
      </c>
      <c r="AZ355" s="2442">
        <f t="shared" si="183"/>
        <v>0.12628832354859754</v>
      </c>
      <c r="BA355" s="2442">
        <f t="shared" si="183"/>
        <v>0.12628832354859754</v>
      </c>
      <c r="BB355" s="2442">
        <f t="shared" si="183"/>
        <v>1.2628832354859754E-3</v>
      </c>
      <c r="BC355" s="2442">
        <f t="shared" si="183"/>
        <v>1.2628832354859752E-2</v>
      </c>
      <c r="BD355" s="2442">
        <f t="shared" si="183"/>
        <v>0</v>
      </c>
      <c r="BE355" s="2442">
        <f t="shared" si="183"/>
        <v>2.5257664709719505E-2</v>
      </c>
      <c r="BF355" s="2442">
        <f t="shared" si="183"/>
        <v>1.2628832354859752E-2</v>
      </c>
      <c r="BG355" s="2442">
        <f t="shared" si="183"/>
        <v>0</v>
      </c>
      <c r="BH355" s="2442">
        <f t="shared" si="183"/>
        <v>0</v>
      </c>
      <c r="BI355" s="2442">
        <f t="shared" si="183"/>
        <v>0</v>
      </c>
    </row>
    <row r="356" spans="1:61" s="2464" customFormat="1">
      <c r="A356" s="2461"/>
      <c r="B356" s="2462"/>
      <c r="C356" s="2504"/>
      <c r="D356" s="2505"/>
      <c r="E356" s="2516" t="s">
        <v>1184</v>
      </c>
      <c r="F356" s="2465" t="s">
        <v>1158</v>
      </c>
      <c r="G356" s="2431" t="s">
        <v>1157</v>
      </c>
      <c r="H356" s="2442">
        <f t="shared" ref="H356:AL356" si="184">H327*H354</f>
        <v>1.3341189428913455E-2</v>
      </c>
      <c r="I356" s="2442">
        <f t="shared" si="184"/>
        <v>1.3341189428913455E-2</v>
      </c>
      <c r="J356" s="2442">
        <f>J327*J354</f>
        <v>2.9444600091473174E-4</v>
      </c>
      <c r="K356" s="2442">
        <f t="shared" si="184"/>
        <v>3.542915573425958E-3</v>
      </c>
      <c r="L356" s="2442">
        <f t="shared" si="184"/>
        <v>1.3789196689587139E-2</v>
      </c>
      <c r="M356" s="2442">
        <f t="shared" si="184"/>
        <v>1.3789196689587139E-2</v>
      </c>
      <c r="N356" s="2442">
        <f>N327*N354</f>
        <v>2.6901741126466368E-3</v>
      </c>
      <c r="O356" s="2442">
        <f>O327*O354</f>
        <v>2.6901741126466368E-3</v>
      </c>
      <c r="P356" s="2442">
        <f t="shared" si="184"/>
        <v>1.4080649457963256E-2</v>
      </c>
      <c r="Q356" s="2442">
        <f t="shared" si="184"/>
        <v>1.4080649457963256E-2</v>
      </c>
      <c r="R356" s="2442">
        <f>R327*R354</f>
        <v>3.0650271807410381E-3</v>
      </c>
      <c r="S356" s="2442">
        <f>S327*S354</f>
        <v>1.7422422832113697E-2</v>
      </c>
      <c r="T356" s="2442">
        <f>T327*T354</f>
        <v>1.7422422832113697E-2</v>
      </c>
      <c r="U356" s="2442">
        <f t="shared" si="184"/>
        <v>7.3045603462068027E-3</v>
      </c>
      <c r="V356" s="2442">
        <f t="shared" si="184"/>
        <v>1.6958273486783086E-4</v>
      </c>
      <c r="W356" s="2442">
        <f t="shared" si="184"/>
        <v>1.6958273486783086E-4</v>
      </c>
      <c r="X356" s="2442">
        <f t="shared" si="184"/>
        <v>8.3966611373138073E-2</v>
      </c>
      <c r="Y356" s="2442">
        <f t="shared" si="184"/>
        <v>3.4584308683337987E-3</v>
      </c>
      <c r="Z356" s="2442">
        <f t="shared" si="184"/>
        <v>4.0795829522769266E-3</v>
      </c>
      <c r="AA356" s="2442">
        <f t="shared" si="184"/>
        <v>4.5862554552494484E-3</v>
      </c>
      <c r="AB356" s="2442">
        <f t="shared" si="184"/>
        <v>3.8942435804339417E-3</v>
      </c>
      <c r="AC356" s="2442">
        <f t="shared" si="184"/>
        <v>6.4051333821890004E-3</v>
      </c>
      <c r="AD356" s="2442">
        <f t="shared" si="184"/>
        <v>7.732494265756994E-3</v>
      </c>
      <c r="AE356" s="2442">
        <f t="shared" si="184"/>
        <v>0</v>
      </c>
      <c r="AF356" s="2442">
        <f t="shared" si="184"/>
        <v>0</v>
      </c>
      <c r="AG356" s="2442">
        <f t="shared" si="184"/>
        <v>6.7079229733176119E-6</v>
      </c>
      <c r="AH356" s="2442">
        <f t="shared" si="184"/>
        <v>8.9589540264209813E-6</v>
      </c>
      <c r="AI356" s="2442">
        <f t="shared" si="184"/>
        <v>3.2265066755718852E-4</v>
      </c>
      <c r="AJ356" s="2442">
        <f t="shared" si="184"/>
        <v>5.3443972415090346E-4</v>
      </c>
      <c r="AK356" s="2442">
        <f t="shared" si="184"/>
        <v>7.7930845683622351E-4</v>
      </c>
      <c r="AL356" s="2442">
        <f t="shared" si="184"/>
        <v>0</v>
      </c>
      <c r="AM356" s="2442">
        <f t="shared" ref="AM356:BI356" si="185">AM327*AM354</f>
        <v>0</v>
      </c>
      <c r="AN356" s="2442">
        <f t="shared" si="185"/>
        <v>0.49763416355150741</v>
      </c>
      <c r="AO356" s="2442">
        <f t="shared" si="185"/>
        <v>0</v>
      </c>
      <c r="AP356" s="2442">
        <f t="shared" si="185"/>
        <v>0</v>
      </c>
      <c r="AQ356" s="2442">
        <f t="shared" si="185"/>
        <v>0</v>
      </c>
      <c r="AR356" s="2442">
        <f t="shared" si="185"/>
        <v>0</v>
      </c>
      <c r="AS356" s="2442">
        <f t="shared" si="185"/>
        <v>0</v>
      </c>
      <c r="AT356" s="2442">
        <f t="shared" si="185"/>
        <v>0</v>
      </c>
      <c r="AU356" s="2442">
        <f t="shared" si="185"/>
        <v>0</v>
      </c>
      <c r="AV356" s="2442">
        <f t="shared" si="185"/>
        <v>0</v>
      </c>
      <c r="AW356" s="2442">
        <f t="shared" si="185"/>
        <v>0</v>
      </c>
      <c r="AX356" s="2442">
        <f t="shared" si="185"/>
        <v>0</v>
      </c>
      <c r="AY356" s="2442">
        <f t="shared" si="185"/>
        <v>0</v>
      </c>
      <c r="AZ356" s="2442">
        <f t="shared" si="185"/>
        <v>0</v>
      </c>
      <c r="BA356" s="2442">
        <f t="shared" si="185"/>
        <v>0</v>
      </c>
      <c r="BB356" s="2442">
        <f t="shared" si="185"/>
        <v>0</v>
      </c>
      <c r="BC356" s="2442">
        <f t="shared" si="185"/>
        <v>0</v>
      </c>
      <c r="BD356" s="2442">
        <f t="shared" si="185"/>
        <v>0.28472333969236469</v>
      </c>
      <c r="BE356" s="2442">
        <f t="shared" si="185"/>
        <v>2.0506702999100348</v>
      </c>
      <c r="BF356" s="2442">
        <f t="shared" si="185"/>
        <v>1.0253351499550174</v>
      </c>
      <c r="BG356" s="2442">
        <f t="shared" si="185"/>
        <v>6.758810528578139</v>
      </c>
      <c r="BH356" s="2442">
        <f t="shared" si="185"/>
        <v>11.874337229069244</v>
      </c>
      <c r="BI356" s="2442">
        <f t="shared" si="185"/>
        <v>11.220318913004805</v>
      </c>
    </row>
    <row r="357" spans="1:61" s="2464" customFormat="1">
      <c r="A357" s="2461"/>
      <c r="B357" s="2462"/>
      <c r="C357" s="2504"/>
      <c r="D357" s="2505"/>
      <c r="E357" s="2516" t="s">
        <v>1182</v>
      </c>
      <c r="F357" s="2465" t="s">
        <v>233</v>
      </c>
      <c r="G357" s="2431" t="s">
        <v>234</v>
      </c>
      <c r="H357" s="2442">
        <f t="shared" ref="H357:AL357" si="186">H334*H355</f>
        <v>0</v>
      </c>
      <c r="I357" s="2442">
        <f t="shared" si="186"/>
        <v>0</v>
      </c>
      <c r="J357" s="2442">
        <f>J334*J355</f>
        <v>0</v>
      </c>
      <c r="K357" s="2442">
        <f t="shared" si="186"/>
        <v>2.8343324587407663E-9</v>
      </c>
      <c r="L357" s="2442">
        <f t="shared" si="186"/>
        <v>0</v>
      </c>
      <c r="M357" s="2442">
        <f t="shared" si="186"/>
        <v>0</v>
      </c>
      <c r="N357" s="2442">
        <f>N334*N355</f>
        <v>1.5372423500837929E-8</v>
      </c>
      <c r="O357" s="2442">
        <f>O334*O355</f>
        <v>1.5372423500837929E-8</v>
      </c>
      <c r="P357" s="2442">
        <f t="shared" si="186"/>
        <v>4.153791590099162E-8</v>
      </c>
      <c r="Q357" s="2442">
        <f t="shared" si="186"/>
        <v>4.153791590099162E-8</v>
      </c>
      <c r="R357" s="2442">
        <f>R334*R355</f>
        <v>1.7514441032805932E-8</v>
      </c>
      <c r="S357" s="2442">
        <f>S334*S355</f>
        <v>4.2937810701353565E-7</v>
      </c>
      <c r="T357" s="2442">
        <f>T334*T355</f>
        <v>4.2937810701353565E-7</v>
      </c>
      <c r="U357" s="2442">
        <f t="shared" si="186"/>
        <v>1.6654397589351513E-7</v>
      </c>
      <c r="V357" s="2442">
        <f t="shared" si="186"/>
        <v>0</v>
      </c>
      <c r="W357" s="2442">
        <f t="shared" si="186"/>
        <v>0</v>
      </c>
      <c r="X357" s="2442">
        <f t="shared" si="186"/>
        <v>7.5769129395041714E-8</v>
      </c>
      <c r="Y357" s="2442">
        <f t="shared" si="186"/>
        <v>0</v>
      </c>
      <c r="Z357" s="2442">
        <f t="shared" si="186"/>
        <v>7.6918347086782895E-8</v>
      </c>
      <c r="AA357" s="2442">
        <f t="shared" si="186"/>
        <v>0</v>
      </c>
      <c r="AB357" s="2442">
        <f t="shared" si="186"/>
        <v>0</v>
      </c>
      <c r="AC357" s="2442">
        <f t="shared" si="186"/>
        <v>0</v>
      </c>
      <c r="AD357" s="2442">
        <f t="shared" si="186"/>
        <v>0</v>
      </c>
      <c r="AE357" s="2442">
        <f t="shared" si="186"/>
        <v>0</v>
      </c>
      <c r="AF357" s="2442">
        <f t="shared" si="186"/>
        <v>0</v>
      </c>
      <c r="AG357" s="2442">
        <f t="shared" si="186"/>
        <v>0</v>
      </c>
      <c r="AH357" s="2442">
        <f t="shared" si="186"/>
        <v>0</v>
      </c>
      <c r="AI357" s="2442">
        <f t="shared" si="186"/>
        <v>0</v>
      </c>
      <c r="AJ357" s="2442">
        <f t="shared" si="186"/>
        <v>0</v>
      </c>
      <c r="AK357" s="2442">
        <f t="shared" si="186"/>
        <v>0</v>
      </c>
      <c r="AL357" s="2442">
        <f t="shared" si="186"/>
        <v>0</v>
      </c>
      <c r="AM357" s="2442">
        <f t="shared" ref="AM357:BI357" si="187">AM334*AM355</f>
        <v>0</v>
      </c>
      <c r="AN357" s="2442">
        <f t="shared" si="187"/>
        <v>1.7392295130238054E-5</v>
      </c>
      <c r="AO357" s="2442">
        <f t="shared" si="187"/>
        <v>7.4338507580471456E-7</v>
      </c>
      <c r="AP357" s="2442">
        <f t="shared" si="187"/>
        <v>6.4086613350474561E-7</v>
      </c>
      <c r="AQ357" s="2442">
        <f t="shared" si="187"/>
        <v>7.5592279010542883E-7</v>
      </c>
      <c r="AR357" s="2442">
        <f t="shared" si="187"/>
        <v>8.6969830907595209E-7</v>
      </c>
      <c r="AS357" s="2442">
        <f t="shared" si="187"/>
        <v>8.5364275227074866E-6</v>
      </c>
      <c r="AT357" s="2442">
        <f t="shared" si="187"/>
        <v>8.1592777007796201E-7</v>
      </c>
      <c r="AU357" s="2442">
        <f t="shared" si="187"/>
        <v>8.1619369682591538E-7</v>
      </c>
      <c r="AV357" s="2442">
        <f t="shared" si="187"/>
        <v>7.2646997678184718E-5</v>
      </c>
      <c r="AW357" s="2442">
        <f t="shared" si="187"/>
        <v>7.2652425347608946E-6</v>
      </c>
      <c r="AX357" s="2442">
        <f t="shared" si="187"/>
        <v>6.5773584537573315E-5</v>
      </c>
      <c r="AY357" s="2442">
        <f t="shared" si="187"/>
        <v>6.5773619975578249E-5</v>
      </c>
      <c r="AZ357" s="2442">
        <f t="shared" si="187"/>
        <v>6.5778873359800935E-4</v>
      </c>
      <c r="BA357" s="2442">
        <f t="shared" si="187"/>
        <v>5.9612134869412177E-4</v>
      </c>
      <c r="BB357" s="2442">
        <f t="shared" si="187"/>
        <v>6.1841893899633598E-6</v>
      </c>
      <c r="BC357" s="2442">
        <f t="shared" si="187"/>
        <v>0</v>
      </c>
      <c r="BD357" s="2442">
        <f t="shared" si="187"/>
        <v>0</v>
      </c>
      <c r="BE357" s="2442">
        <f t="shared" si="187"/>
        <v>1.2882739568777948E-4</v>
      </c>
      <c r="BF357" s="2442">
        <f t="shared" si="187"/>
        <v>6.4413697843889738E-5</v>
      </c>
      <c r="BG357" s="2442">
        <f t="shared" si="187"/>
        <v>0</v>
      </c>
      <c r="BH357" s="2442">
        <f t="shared" si="187"/>
        <v>0</v>
      </c>
      <c r="BI357" s="2442">
        <f t="shared" si="187"/>
        <v>0</v>
      </c>
    </row>
    <row r="358" spans="1:61" s="2464" customFormat="1">
      <c r="A358" s="2461"/>
      <c r="B358" s="2462"/>
      <c r="C358" s="2504"/>
      <c r="D358" s="2505"/>
      <c r="E358" s="2517" t="s">
        <v>988</v>
      </c>
      <c r="F358" s="2466" t="s">
        <v>492</v>
      </c>
      <c r="G358" s="2467" t="s">
        <v>492</v>
      </c>
      <c r="H358" s="2442">
        <f t="shared" ref="H358:AL358" si="188">H305*H356</f>
        <v>3.5147250808880368E-7</v>
      </c>
      <c r="I358" s="2442">
        <f t="shared" si="188"/>
        <v>3.5147250808880368E-7</v>
      </c>
      <c r="J358" s="2442">
        <f>J305*J356</f>
        <v>5.0923449966306383E-8</v>
      </c>
      <c r="K358" s="2442">
        <f t="shared" si="188"/>
        <v>1.3651965237628587E-4</v>
      </c>
      <c r="L358" s="2442">
        <f t="shared" si="188"/>
        <v>9.9342732345286016E-5</v>
      </c>
      <c r="M358" s="2442">
        <f t="shared" si="188"/>
        <v>9.9342732345286016E-5</v>
      </c>
      <c r="N358" s="2442">
        <f>N305*N356</f>
        <v>3.8225502665360047E-5</v>
      </c>
      <c r="O358" s="2442">
        <f>O305*O356</f>
        <v>3.8225502665360047E-5</v>
      </c>
      <c r="P358" s="2442">
        <f t="shared" si="188"/>
        <v>2.1843144380205738E-4</v>
      </c>
      <c r="Q358" s="2442">
        <f t="shared" si="188"/>
        <v>2.1843144380205738E-4</v>
      </c>
      <c r="R358" s="2442">
        <f>R305*R356</f>
        <v>1.9112751332680024E-5</v>
      </c>
      <c r="S358" s="2442">
        <f>S305*S356</f>
        <v>1.0192521808460164E-4</v>
      </c>
      <c r="T358" s="2442">
        <f>T305*T356</f>
        <v>1.0192521808460164E-4</v>
      </c>
      <c r="U358" s="2442">
        <f t="shared" si="188"/>
        <v>2.0118685613347394E-4</v>
      </c>
      <c r="V358" s="2442">
        <f t="shared" si="188"/>
        <v>7.6451005330720105E-6</v>
      </c>
      <c r="W358" s="2442">
        <f t="shared" si="188"/>
        <v>7.6451005330720105E-6</v>
      </c>
      <c r="X358" s="2442">
        <f t="shared" si="188"/>
        <v>7.2619079695804289E-4</v>
      </c>
      <c r="Y358" s="2442">
        <f t="shared" si="188"/>
        <v>2.0729716959933243E-5</v>
      </c>
      <c r="Z358" s="2442">
        <f t="shared" si="188"/>
        <v>1.4481414839991261E-5</v>
      </c>
      <c r="AA358" s="2442">
        <f t="shared" si="188"/>
        <v>1.0921572190102871E-5</v>
      </c>
      <c r="AB358" s="2442">
        <f t="shared" si="188"/>
        <v>1.0488211748363791E-5</v>
      </c>
      <c r="AC358" s="2442">
        <f t="shared" si="188"/>
        <v>3.3662045907801864E-6</v>
      </c>
      <c r="AD358" s="2442">
        <f t="shared" si="188"/>
        <v>7.9542029096543265E-7</v>
      </c>
      <c r="AE358" s="2442">
        <f t="shared" si="188"/>
        <v>0</v>
      </c>
      <c r="AF358" s="2442">
        <f t="shared" si="188"/>
        <v>0</v>
      </c>
      <c r="AG358" s="2442">
        <f t="shared" si="188"/>
        <v>4.1549459418869619E-7</v>
      </c>
      <c r="AH358" s="2442">
        <f t="shared" si="188"/>
        <v>4.1549459418869624E-7</v>
      </c>
      <c r="AI358" s="2442">
        <f t="shared" si="188"/>
        <v>6.084479959180832E-6</v>
      </c>
      <c r="AJ358" s="2442">
        <f t="shared" si="188"/>
        <v>2.3990832232185352E-6</v>
      </c>
      <c r="AK358" s="2442">
        <f t="shared" si="188"/>
        <v>7.9750710850115916E-7</v>
      </c>
      <c r="AL358" s="2442">
        <f t="shared" si="188"/>
        <v>0</v>
      </c>
      <c r="AM358" s="2442">
        <f t="shared" ref="AM358:BI358" si="189">AM305*AM356</f>
        <v>0</v>
      </c>
      <c r="AN358" s="2442">
        <f t="shared" si="189"/>
        <v>2.1271404611476346E-5</v>
      </c>
      <c r="AO358" s="2442">
        <f t="shared" si="189"/>
        <v>0</v>
      </c>
      <c r="AP358" s="2442">
        <f t="shared" si="189"/>
        <v>0</v>
      </c>
      <c r="AQ358" s="2442">
        <f t="shared" si="189"/>
        <v>0</v>
      </c>
      <c r="AR358" s="2442">
        <f t="shared" si="189"/>
        <v>0</v>
      </c>
      <c r="AS358" s="2442">
        <f t="shared" si="189"/>
        <v>0</v>
      </c>
      <c r="AT358" s="2442">
        <f t="shared" si="189"/>
        <v>0</v>
      </c>
      <c r="AU358" s="2442">
        <f t="shared" si="189"/>
        <v>0</v>
      </c>
      <c r="AV358" s="2442">
        <f t="shared" si="189"/>
        <v>0</v>
      </c>
      <c r="AW358" s="2442">
        <f t="shared" si="189"/>
        <v>0</v>
      </c>
      <c r="AX358" s="2442">
        <f t="shared" si="189"/>
        <v>0</v>
      </c>
      <c r="AY358" s="2442">
        <f t="shared" si="189"/>
        <v>0</v>
      </c>
      <c r="AZ358" s="2442">
        <f t="shared" si="189"/>
        <v>0</v>
      </c>
      <c r="BA358" s="2442">
        <f t="shared" si="189"/>
        <v>0</v>
      </c>
      <c r="BB358" s="2442">
        <f t="shared" si="189"/>
        <v>0</v>
      </c>
      <c r="BC358" s="2442">
        <f t="shared" si="189"/>
        <v>0</v>
      </c>
      <c r="BD358" s="2442">
        <f t="shared" si="189"/>
        <v>2.6635058214944027E-7</v>
      </c>
      <c r="BE358" s="2442">
        <f t="shared" si="189"/>
        <v>4.2577392395753821E-8</v>
      </c>
      <c r="BF358" s="2442">
        <f t="shared" si="189"/>
        <v>2.1288696197876911E-8</v>
      </c>
      <c r="BG358" s="2442">
        <f t="shared" si="189"/>
        <v>0.11467650799608015</v>
      </c>
      <c r="BH358" s="2442">
        <f t="shared" si="189"/>
        <v>1.4771429565208635E-5</v>
      </c>
      <c r="BI358" s="2442">
        <f t="shared" si="189"/>
        <v>1.0799707213275593E-4</v>
      </c>
    </row>
    <row r="359" spans="1:61" s="2529" customFormat="1">
      <c r="A359" s="2527"/>
      <c r="B359" s="2528"/>
      <c r="C359" s="2504"/>
      <c r="D359" s="2505"/>
      <c r="E359" s="2518" t="s">
        <v>991</v>
      </c>
      <c r="F359" s="2468" t="s">
        <v>213</v>
      </c>
      <c r="G359" s="2469" t="s">
        <v>213</v>
      </c>
      <c r="H359" s="2470">
        <f t="shared" ref="H359:AL359" si="190">H305*H357</f>
        <v>0</v>
      </c>
      <c r="I359" s="2470">
        <f t="shared" si="190"/>
        <v>0</v>
      </c>
      <c r="J359" s="2470">
        <f>J305*J357</f>
        <v>0</v>
      </c>
      <c r="K359" s="2470">
        <f t="shared" si="190"/>
        <v>1.092157219010287E-10</v>
      </c>
      <c r="L359" s="2470">
        <f t="shared" si="190"/>
        <v>0</v>
      </c>
      <c r="M359" s="2470">
        <f t="shared" si="190"/>
        <v>0</v>
      </c>
      <c r="N359" s="2470">
        <f>N305*N357</f>
        <v>2.1843144380205746E-10</v>
      </c>
      <c r="O359" s="2470">
        <f>O305*O357</f>
        <v>2.1843144380205746E-10</v>
      </c>
      <c r="P359" s="2470">
        <f t="shared" si="190"/>
        <v>6.4437275921606947E-10</v>
      </c>
      <c r="Q359" s="2470">
        <f t="shared" si="190"/>
        <v>6.4437275921606947E-10</v>
      </c>
      <c r="R359" s="2470">
        <f>R305*R357</f>
        <v>1.0921572190102872E-10</v>
      </c>
      <c r="S359" s="2470">
        <f>S305*S357</f>
        <v>2.5119616037236608E-9</v>
      </c>
      <c r="T359" s="2470">
        <f>T305*T357</f>
        <v>2.5119616037236608E-9</v>
      </c>
      <c r="U359" s="2470">
        <f t="shared" si="190"/>
        <v>4.5870603198432061E-9</v>
      </c>
      <c r="V359" s="2470">
        <f t="shared" si="190"/>
        <v>0</v>
      </c>
      <c r="W359" s="2470">
        <f t="shared" si="190"/>
        <v>0</v>
      </c>
      <c r="X359" s="2470">
        <f t="shared" si="190"/>
        <v>6.5529433140617227E-10</v>
      </c>
      <c r="Y359" s="2470">
        <f t="shared" si="190"/>
        <v>0</v>
      </c>
      <c r="Z359" s="2470">
        <f t="shared" si="190"/>
        <v>2.730393047525718E-10</v>
      </c>
      <c r="AA359" s="2470">
        <f t="shared" si="190"/>
        <v>0</v>
      </c>
      <c r="AB359" s="2470">
        <f t="shared" si="190"/>
        <v>0</v>
      </c>
      <c r="AC359" s="2470">
        <f t="shared" si="190"/>
        <v>0</v>
      </c>
      <c r="AD359" s="2470">
        <f t="shared" si="190"/>
        <v>0</v>
      </c>
      <c r="AE359" s="2470">
        <f t="shared" si="190"/>
        <v>0</v>
      </c>
      <c r="AF359" s="2470">
        <f t="shared" si="190"/>
        <v>0</v>
      </c>
      <c r="AG359" s="2470">
        <f t="shared" si="190"/>
        <v>0</v>
      </c>
      <c r="AH359" s="2470">
        <f t="shared" si="190"/>
        <v>0</v>
      </c>
      <c r="AI359" s="2470">
        <f t="shared" si="190"/>
        <v>0</v>
      </c>
      <c r="AJ359" s="2470">
        <f t="shared" si="190"/>
        <v>0</v>
      </c>
      <c r="AK359" s="2470">
        <f t="shared" si="190"/>
        <v>0</v>
      </c>
      <c r="AL359" s="2470">
        <f t="shared" si="190"/>
        <v>0</v>
      </c>
      <c r="AM359" s="2470">
        <f t="shared" ref="AM359:BI359" si="191">AM305*AM357</f>
        <v>0</v>
      </c>
      <c r="AN359" s="2470">
        <f t="shared" si="191"/>
        <v>7.4343478389262747E-10</v>
      </c>
      <c r="AO359" s="2470">
        <f t="shared" si="191"/>
        <v>8.6785871464028642E-12</v>
      </c>
      <c r="AP359" s="2470">
        <f t="shared" si="191"/>
        <v>1.2516578104224448E-11</v>
      </c>
      <c r="AQ359" s="2470">
        <f t="shared" si="191"/>
        <v>5.9780316565864251E-12</v>
      </c>
      <c r="AR359" s="2470">
        <f t="shared" si="191"/>
        <v>1.3770516507501983E-12</v>
      </c>
      <c r="AS359" s="2470">
        <f t="shared" si="191"/>
        <v>1.7457918535240596E-11</v>
      </c>
      <c r="AT359" s="2470">
        <f t="shared" si="191"/>
        <v>1.2180472657096555E-13</v>
      </c>
      <c r="AU359" s="2470">
        <f t="shared" si="191"/>
        <v>1.1721572194657165E-13</v>
      </c>
      <c r="AV359" s="2470">
        <f t="shared" si="191"/>
        <v>1.6644313574088826E-12</v>
      </c>
      <c r="AW359" s="2470">
        <f t="shared" si="191"/>
        <v>1.6039369639968392E-13</v>
      </c>
      <c r="AX359" s="2470">
        <f t="shared" si="191"/>
        <v>5.1110347038141826E-14</v>
      </c>
      <c r="AY359" s="2470">
        <f t="shared" si="191"/>
        <v>3.5076850469533526E-14</v>
      </c>
      <c r="AZ359" s="2470">
        <f t="shared" si="191"/>
        <v>2.3425572226611957E-13</v>
      </c>
      <c r="BA359" s="2470">
        <f t="shared" si="191"/>
        <v>3.6665404146990444E-14</v>
      </c>
      <c r="BB359" s="2470">
        <f t="shared" si="191"/>
        <v>6.022528479198253E-15</v>
      </c>
      <c r="BC359" s="2470">
        <f t="shared" si="191"/>
        <v>0</v>
      </c>
      <c r="BD359" s="2470">
        <f t="shared" si="191"/>
        <v>0</v>
      </c>
      <c r="BE359" s="2470">
        <f t="shared" si="191"/>
        <v>2.6748008091609214E-12</v>
      </c>
      <c r="BF359" s="2470">
        <f t="shared" si="191"/>
        <v>1.3374004045804607E-12</v>
      </c>
      <c r="BG359" s="2470">
        <f t="shared" si="191"/>
        <v>0</v>
      </c>
      <c r="BH359" s="2470">
        <f t="shared" si="191"/>
        <v>0</v>
      </c>
      <c r="BI359" s="2470">
        <f t="shared" si="191"/>
        <v>0</v>
      </c>
    </row>
    <row r="360" spans="1:61" s="26" customFormat="1">
      <c r="A360" s="398"/>
      <c r="B360" s="27"/>
      <c r="C360" s="2504"/>
      <c r="D360" s="2505"/>
      <c r="E360" s="103"/>
      <c r="F360" s="14"/>
      <c r="G360" s="105"/>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row>
    <row r="361" spans="1:61" s="2443" customFormat="1" ht="12.75" customHeight="1">
      <c r="A361" s="2438"/>
      <c r="B361" s="2439"/>
      <c r="C361" s="4108" t="s">
        <v>586</v>
      </c>
      <c r="D361" s="4109"/>
      <c r="E361" s="2517" t="s">
        <v>988</v>
      </c>
      <c r="F361" s="2466" t="s">
        <v>492</v>
      </c>
      <c r="G361" s="2467" t="s">
        <v>492</v>
      </c>
      <c r="H361" s="2442">
        <f>MAX(H350,H358)</f>
        <v>3.5147250808880368E-7</v>
      </c>
      <c r="I361" s="2442">
        <f t="shared" ref="I361:BI361" si="192">MAX(I350,I358)</f>
        <v>3.5147250808880368E-7</v>
      </c>
      <c r="J361" s="2442">
        <f>MAX(J350,J358)</f>
        <v>5.0923449966306383E-8</v>
      </c>
      <c r="K361" s="2442">
        <f t="shared" si="192"/>
        <v>1.3651965237628587E-4</v>
      </c>
      <c r="L361" s="2442">
        <f t="shared" si="192"/>
        <v>9.9342732345286016E-5</v>
      </c>
      <c r="M361" s="2442">
        <f t="shared" si="192"/>
        <v>9.9342732345286016E-5</v>
      </c>
      <c r="N361" s="2442">
        <f>MAX(N350,N358)</f>
        <v>3.8225502665360047E-5</v>
      </c>
      <c r="O361" s="2442">
        <f>MAX(O350,O358)</f>
        <v>3.8225502665360047E-5</v>
      </c>
      <c r="P361" s="2442">
        <f t="shared" si="192"/>
        <v>2.1843144380205738E-4</v>
      </c>
      <c r="Q361" s="2442">
        <f t="shared" si="192"/>
        <v>2.1843144380205738E-4</v>
      </c>
      <c r="R361" s="2442">
        <f>MAX(R350,R358)</f>
        <v>1.9112751332680024E-5</v>
      </c>
      <c r="S361" s="2442">
        <f>MAX(S350,S358)</f>
        <v>1.0192521808460164E-4</v>
      </c>
      <c r="T361" s="2442">
        <f>MAX(T350,T358)</f>
        <v>1.0192521808460164E-4</v>
      </c>
      <c r="U361" s="2442">
        <f t="shared" si="192"/>
        <v>2.0118685613347394E-4</v>
      </c>
      <c r="V361" s="2442">
        <f t="shared" si="192"/>
        <v>7.6451005330720105E-6</v>
      </c>
      <c r="W361" s="2442">
        <f t="shared" si="192"/>
        <v>7.6451005330720105E-6</v>
      </c>
      <c r="X361" s="2442">
        <f t="shared" si="192"/>
        <v>7.2619079695804289E-4</v>
      </c>
      <c r="Y361" s="2442">
        <f t="shared" si="192"/>
        <v>2.0729716959933243E-5</v>
      </c>
      <c r="Z361" s="2442">
        <f t="shared" si="192"/>
        <v>1.4481414839991261E-5</v>
      </c>
      <c r="AA361" s="2442">
        <f t="shared" si="192"/>
        <v>1.0921572190102871E-5</v>
      </c>
      <c r="AB361" s="2442">
        <f t="shared" si="192"/>
        <v>1.0488211748363791E-5</v>
      </c>
      <c r="AC361" s="2442">
        <f t="shared" si="192"/>
        <v>3.3662045907801864E-6</v>
      </c>
      <c r="AD361" s="2442">
        <f t="shared" si="192"/>
        <v>7.9542029096543265E-7</v>
      </c>
      <c r="AE361" s="2442">
        <f t="shared" si="192"/>
        <v>0</v>
      </c>
      <c r="AF361" s="2442">
        <f t="shared" si="192"/>
        <v>0</v>
      </c>
      <c r="AG361" s="2442">
        <f t="shared" si="192"/>
        <v>4.1549459418869619E-7</v>
      </c>
      <c r="AH361" s="2442">
        <f t="shared" si="192"/>
        <v>4.1549459418869624E-7</v>
      </c>
      <c r="AI361" s="2442">
        <f t="shared" si="192"/>
        <v>6.084479959180832E-6</v>
      </c>
      <c r="AJ361" s="2442">
        <f t="shared" si="192"/>
        <v>2.3990832232185352E-6</v>
      </c>
      <c r="AK361" s="2442">
        <f t="shared" si="192"/>
        <v>7.9750710850115916E-7</v>
      </c>
      <c r="AL361" s="2442">
        <f t="shared" si="192"/>
        <v>0</v>
      </c>
      <c r="AM361" s="2442">
        <f t="shared" si="192"/>
        <v>0</v>
      </c>
      <c r="AN361" s="2442">
        <f t="shared" si="192"/>
        <v>2.1271404611476346E-5</v>
      </c>
      <c r="AO361" s="2442">
        <f t="shared" si="192"/>
        <v>0</v>
      </c>
      <c r="AP361" s="2442">
        <f t="shared" si="192"/>
        <v>0</v>
      </c>
      <c r="AQ361" s="2442">
        <f t="shared" si="192"/>
        <v>0</v>
      </c>
      <c r="AR361" s="2442">
        <f t="shared" si="192"/>
        <v>0</v>
      </c>
      <c r="AS361" s="2442">
        <f t="shared" si="192"/>
        <v>0</v>
      </c>
      <c r="AT361" s="2442">
        <f t="shared" si="192"/>
        <v>0</v>
      </c>
      <c r="AU361" s="2442">
        <f t="shared" si="192"/>
        <v>0</v>
      </c>
      <c r="AV361" s="2442">
        <f t="shared" si="192"/>
        <v>0</v>
      </c>
      <c r="AW361" s="2442">
        <f t="shared" si="192"/>
        <v>0</v>
      </c>
      <c r="AX361" s="2442">
        <f t="shared" si="192"/>
        <v>0</v>
      </c>
      <c r="AY361" s="2442">
        <f t="shared" si="192"/>
        <v>0</v>
      </c>
      <c r="AZ361" s="2442">
        <f t="shared" si="192"/>
        <v>0</v>
      </c>
      <c r="BA361" s="2442">
        <f t="shared" si="192"/>
        <v>0</v>
      </c>
      <c r="BB361" s="2442">
        <f t="shared" si="192"/>
        <v>0</v>
      </c>
      <c r="BC361" s="2442">
        <f t="shared" si="192"/>
        <v>0</v>
      </c>
      <c r="BD361" s="2442">
        <f t="shared" si="192"/>
        <v>2.6635058214944027E-7</v>
      </c>
      <c r="BE361" s="2442">
        <f t="shared" si="192"/>
        <v>4.2577392395753821E-8</v>
      </c>
      <c r="BF361" s="2442">
        <f t="shared" si="192"/>
        <v>2.1288696197876911E-8</v>
      </c>
      <c r="BG361" s="2442">
        <f t="shared" si="192"/>
        <v>0.11467650799608015</v>
      </c>
      <c r="BH361" s="2442">
        <f t="shared" si="192"/>
        <v>1.4771429565208635E-5</v>
      </c>
      <c r="BI361" s="2442">
        <f t="shared" si="192"/>
        <v>1.0799707213275593E-4</v>
      </c>
    </row>
    <row r="362" spans="1:61" s="2483" customFormat="1">
      <c r="A362" s="2478"/>
      <c r="B362" s="2479"/>
      <c r="C362" s="4108"/>
      <c r="D362" s="4109"/>
      <c r="E362" s="2521" t="s">
        <v>991</v>
      </c>
      <c r="F362" s="2480" t="s">
        <v>213</v>
      </c>
      <c r="G362" s="2481" t="s">
        <v>213</v>
      </c>
      <c r="H362" s="2482">
        <f>H351+H359</f>
        <v>0</v>
      </c>
      <c r="I362" s="2482">
        <f t="shared" ref="I362:BI362" si="193">I351+I359</f>
        <v>0</v>
      </c>
      <c r="J362" s="2482">
        <f>J351+J359</f>
        <v>0</v>
      </c>
      <c r="K362" s="2482">
        <f t="shared" si="193"/>
        <v>1.092157219010287E-10</v>
      </c>
      <c r="L362" s="2482">
        <f t="shared" si="193"/>
        <v>0</v>
      </c>
      <c r="M362" s="2482">
        <f t="shared" si="193"/>
        <v>0</v>
      </c>
      <c r="N362" s="2482">
        <f>N351+N359</f>
        <v>2.1843144380205746E-10</v>
      </c>
      <c r="O362" s="2482">
        <f>O351+O359</f>
        <v>2.1843144380205746E-10</v>
      </c>
      <c r="P362" s="2482">
        <f t="shared" si="193"/>
        <v>6.4437275921606947E-10</v>
      </c>
      <c r="Q362" s="2482">
        <f t="shared" si="193"/>
        <v>6.4437275921606947E-10</v>
      </c>
      <c r="R362" s="2482">
        <f>R351+R359</f>
        <v>1.0921572190102872E-10</v>
      </c>
      <c r="S362" s="2482">
        <f>S351+S359</f>
        <v>2.5119616037236608E-9</v>
      </c>
      <c r="T362" s="2482">
        <f>T351+T359</f>
        <v>2.5119616037236608E-9</v>
      </c>
      <c r="U362" s="2482">
        <f t="shared" si="193"/>
        <v>4.5870603198432061E-9</v>
      </c>
      <c r="V362" s="2482">
        <f t="shared" si="193"/>
        <v>0</v>
      </c>
      <c r="W362" s="2482">
        <f t="shared" si="193"/>
        <v>0</v>
      </c>
      <c r="X362" s="2482">
        <f t="shared" si="193"/>
        <v>6.5529433140617227E-10</v>
      </c>
      <c r="Y362" s="2482">
        <f t="shared" si="193"/>
        <v>0</v>
      </c>
      <c r="Z362" s="2482">
        <f t="shared" si="193"/>
        <v>2.730393047525718E-10</v>
      </c>
      <c r="AA362" s="2482">
        <f t="shared" si="193"/>
        <v>0</v>
      </c>
      <c r="AB362" s="2482">
        <f t="shared" si="193"/>
        <v>0</v>
      </c>
      <c r="AC362" s="2482">
        <f t="shared" si="193"/>
        <v>0</v>
      </c>
      <c r="AD362" s="2482">
        <f t="shared" si="193"/>
        <v>0</v>
      </c>
      <c r="AE362" s="2482">
        <f t="shared" si="193"/>
        <v>0</v>
      </c>
      <c r="AF362" s="2482">
        <f t="shared" si="193"/>
        <v>0</v>
      </c>
      <c r="AG362" s="2482">
        <f t="shared" si="193"/>
        <v>0</v>
      </c>
      <c r="AH362" s="2482">
        <f t="shared" si="193"/>
        <v>0</v>
      </c>
      <c r="AI362" s="2482">
        <f t="shared" si="193"/>
        <v>0</v>
      </c>
      <c r="AJ362" s="2482">
        <f t="shared" si="193"/>
        <v>0</v>
      </c>
      <c r="AK362" s="2482">
        <f t="shared" si="193"/>
        <v>0</v>
      </c>
      <c r="AL362" s="2482">
        <f t="shared" si="193"/>
        <v>0</v>
      </c>
      <c r="AM362" s="2482">
        <f t="shared" si="193"/>
        <v>0</v>
      </c>
      <c r="AN362" s="2482">
        <f t="shared" si="193"/>
        <v>7.4343478389262747E-10</v>
      </c>
      <c r="AO362" s="2482">
        <f t="shared" si="193"/>
        <v>8.6785871464028642E-12</v>
      </c>
      <c r="AP362" s="2482">
        <f t="shared" si="193"/>
        <v>1.2516578104224448E-11</v>
      </c>
      <c r="AQ362" s="2482">
        <f t="shared" si="193"/>
        <v>5.9780316565864251E-12</v>
      </c>
      <c r="AR362" s="2482">
        <f t="shared" si="193"/>
        <v>1.3770516507501983E-12</v>
      </c>
      <c r="AS362" s="2482">
        <f t="shared" si="193"/>
        <v>1.7457918535240596E-11</v>
      </c>
      <c r="AT362" s="2482">
        <f t="shared" si="193"/>
        <v>1.2180472657096555E-13</v>
      </c>
      <c r="AU362" s="2482">
        <f t="shared" si="193"/>
        <v>1.1721572194657165E-13</v>
      </c>
      <c r="AV362" s="2482">
        <f t="shared" si="193"/>
        <v>1.6644313574088826E-12</v>
      </c>
      <c r="AW362" s="2482">
        <f t="shared" si="193"/>
        <v>1.6039369639968392E-13</v>
      </c>
      <c r="AX362" s="2482">
        <f t="shared" si="193"/>
        <v>5.1110347038141826E-14</v>
      </c>
      <c r="AY362" s="2482">
        <f t="shared" si="193"/>
        <v>3.5076850469533526E-14</v>
      </c>
      <c r="AZ362" s="2482">
        <f t="shared" si="193"/>
        <v>2.3425572226611957E-13</v>
      </c>
      <c r="BA362" s="2482">
        <f t="shared" si="193"/>
        <v>3.6665404146990444E-14</v>
      </c>
      <c r="BB362" s="2482">
        <f t="shared" si="193"/>
        <v>6.022528479198253E-15</v>
      </c>
      <c r="BC362" s="2482">
        <f t="shared" si="193"/>
        <v>0</v>
      </c>
      <c r="BD362" s="2482">
        <f t="shared" si="193"/>
        <v>0</v>
      </c>
      <c r="BE362" s="2482">
        <f t="shared" si="193"/>
        <v>2.6748008091609214E-12</v>
      </c>
      <c r="BF362" s="2482">
        <f t="shared" si="193"/>
        <v>1.3374004045804607E-12</v>
      </c>
      <c r="BG362" s="2482">
        <f t="shared" si="193"/>
        <v>0</v>
      </c>
      <c r="BH362" s="2482">
        <f t="shared" si="193"/>
        <v>0</v>
      </c>
      <c r="BI362" s="2482">
        <f t="shared" si="193"/>
        <v>0</v>
      </c>
    </row>
    <row r="363" spans="1:61" s="26" customFormat="1">
      <c r="A363" s="398"/>
      <c r="B363" s="27"/>
      <c r="C363" s="2498"/>
      <c r="D363" s="2499"/>
      <c r="E363" s="103"/>
      <c r="F363" s="14"/>
      <c r="G363" s="105"/>
      <c r="H363" s="113"/>
      <c r="I363" s="113"/>
      <c r="J363" s="113"/>
      <c r="K363" s="113"/>
      <c r="L363" s="113"/>
      <c r="M363" s="113"/>
      <c r="N363" s="113"/>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row>
    <row r="364" spans="1:61" s="26" customFormat="1">
      <c r="A364" s="398"/>
      <c r="B364" s="27"/>
      <c r="C364" s="2498"/>
      <c r="D364" s="2499"/>
      <c r="E364" s="103" t="s">
        <v>989</v>
      </c>
      <c r="F364" s="14" t="str">
        <f>F$18</f>
        <v>Cs</v>
      </c>
      <c r="G364" s="105" t="str">
        <f>G$18</f>
        <v>mg/kg ms</v>
      </c>
      <c r="H364" s="56">
        <f t="shared" ref="H364:AM364" si="194">IF(H361=0,"PVL",H$15/MAX(H348,H356)/H$20)</f>
        <v>5690.3454864090718</v>
      </c>
      <c r="I364" s="56">
        <f t="shared" si="194"/>
        <v>5690.3454864090718</v>
      </c>
      <c r="J364" s="56">
        <f t="shared" si="194"/>
        <v>39274.636760143017</v>
      </c>
      <c r="K364" s="56">
        <f t="shared" si="194"/>
        <v>14.649905454545456</v>
      </c>
      <c r="L364" s="56">
        <f t="shared" si="194"/>
        <v>20.132323248857201</v>
      </c>
      <c r="M364" s="56">
        <f t="shared" si="194"/>
        <v>20.132323248857201</v>
      </c>
      <c r="N364" s="56">
        <f t="shared" si="194"/>
        <v>52.32109090909092</v>
      </c>
      <c r="O364" s="56">
        <f t="shared" si="194"/>
        <v>52.32109090909092</v>
      </c>
      <c r="P364" s="56">
        <f t="shared" si="194"/>
        <v>9.1561909090909115</v>
      </c>
      <c r="Q364" s="56">
        <f t="shared" si="194"/>
        <v>9.1561909090909115</v>
      </c>
      <c r="R364" s="56">
        <f t="shared" si="194"/>
        <v>104.64218181818184</v>
      </c>
      <c r="S364" s="56">
        <f t="shared" si="194"/>
        <v>19.622229293048235</v>
      </c>
      <c r="T364" s="56">
        <f t="shared" si="194"/>
        <v>19.622229293048235</v>
      </c>
      <c r="U364" s="56">
        <f t="shared" si="194"/>
        <v>9.9410072727272745</v>
      </c>
      <c r="V364" s="56">
        <f t="shared" si="194"/>
        <v>261.60545454545451</v>
      </c>
      <c r="W364" s="56">
        <f t="shared" si="194"/>
        <v>261.60545454545451</v>
      </c>
      <c r="X364" s="56">
        <f t="shared" si="194"/>
        <v>2.7540971441360114</v>
      </c>
      <c r="Y364" s="56">
        <f t="shared" si="194"/>
        <v>96.479850827950756</v>
      </c>
      <c r="Z364" s="56">
        <f t="shared" si="194"/>
        <v>138.10805243123656</v>
      </c>
      <c r="AA364" s="56">
        <f t="shared" si="194"/>
        <v>183.12381818181819</v>
      </c>
      <c r="AB364" s="56">
        <f t="shared" si="194"/>
        <v>190.69027666341782</v>
      </c>
      <c r="AC364" s="56">
        <f t="shared" si="194"/>
        <v>594.14095194269214</v>
      </c>
      <c r="AD364" s="56">
        <f t="shared" si="194"/>
        <v>2514.3939910968602</v>
      </c>
      <c r="AE364" s="56" t="str">
        <f t="shared" si="194"/>
        <v>PVL</v>
      </c>
      <c r="AF364" s="56" t="str">
        <f t="shared" si="194"/>
        <v>PVL</v>
      </c>
      <c r="AG364" s="56">
        <f t="shared" si="194"/>
        <v>4813.5403636363644</v>
      </c>
      <c r="AH364" s="56">
        <f t="shared" si="194"/>
        <v>4813.5403636363626</v>
      </c>
      <c r="AI364" s="56">
        <f t="shared" si="194"/>
        <v>328.70516682074253</v>
      </c>
      <c r="AJ364" s="56">
        <f t="shared" si="194"/>
        <v>833.65178024831619</v>
      </c>
      <c r="AK364" s="56">
        <f t="shared" si="194"/>
        <v>2507.8146372372967</v>
      </c>
      <c r="AL364" s="56" t="str">
        <f t="shared" si="194"/>
        <v>PVL</v>
      </c>
      <c r="AM364" s="56" t="str">
        <f t="shared" si="194"/>
        <v>PVL</v>
      </c>
      <c r="AN364" s="56">
        <f t="shared" ref="AN364:BI364" si="195">IF(AN361=0,"PVL",AN$15/MAX(AN348,AN356)/AN$20)</f>
        <v>94.022940023479222</v>
      </c>
      <c r="AO364" s="56" t="str">
        <f t="shared" si="195"/>
        <v>PVL</v>
      </c>
      <c r="AP364" s="56" t="str">
        <f t="shared" si="195"/>
        <v>PVL</v>
      </c>
      <c r="AQ364" s="56" t="str">
        <f t="shared" si="195"/>
        <v>PVL</v>
      </c>
      <c r="AR364" s="56" t="str">
        <f t="shared" si="195"/>
        <v>PVL</v>
      </c>
      <c r="AS364" s="56" t="str">
        <f t="shared" si="195"/>
        <v>PVL</v>
      </c>
      <c r="AT364" s="56" t="str">
        <f t="shared" si="195"/>
        <v>PVL</v>
      </c>
      <c r="AU364" s="56" t="str">
        <f t="shared" si="195"/>
        <v>PVL</v>
      </c>
      <c r="AV364" s="56" t="str">
        <f t="shared" si="195"/>
        <v>PVL</v>
      </c>
      <c r="AW364" s="56" t="str">
        <f t="shared" si="195"/>
        <v>PVL</v>
      </c>
      <c r="AX364" s="56" t="str">
        <f t="shared" si="195"/>
        <v>PVL</v>
      </c>
      <c r="AY364" s="56" t="str">
        <f t="shared" si="195"/>
        <v>PVL</v>
      </c>
      <c r="AZ364" s="56" t="str">
        <f t="shared" si="195"/>
        <v>PVL</v>
      </c>
      <c r="BA364" s="56" t="str">
        <f t="shared" si="195"/>
        <v>PVL</v>
      </c>
      <c r="BB364" s="56" t="str">
        <f t="shared" si="195"/>
        <v>PVL</v>
      </c>
      <c r="BC364" s="56" t="str">
        <f t="shared" si="195"/>
        <v>PVL</v>
      </c>
      <c r="BD364" s="56">
        <f t="shared" si="195"/>
        <v>7508.9004268737363</v>
      </c>
      <c r="BE364" s="56">
        <f t="shared" si="195"/>
        <v>46973.285292113309</v>
      </c>
      <c r="BF364" s="56">
        <f t="shared" si="195"/>
        <v>93946.570584226618</v>
      </c>
      <c r="BG364" s="56">
        <f t="shared" si="195"/>
        <v>7.8481636363636371E-3</v>
      </c>
      <c r="BH364" s="56">
        <f t="shared" si="195"/>
        <v>135.39650926614644</v>
      </c>
      <c r="BI364" s="56">
        <f t="shared" si="195"/>
        <v>18.519020566978799</v>
      </c>
    </row>
    <row r="365" spans="1:61" s="26" customFormat="1">
      <c r="A365" s="398"/>
      <c r="B365" s="27"/>
      <c r="C365" s="2498"/>
      <c r="D365" s="2499"/>
      <c r="E365" s="103" t="s">
        <v>992</v>
      </c>
      <c r="F365" s="14" t="str">
        <f>F364</f>
        <v>Cs</v>
      </c>
      <c r="G365" s="105" t="str">
        <f>G364</f>
        <v>mg/kg ms</v>
      </c>
      <c r="H365" s="56" t="str">
        <f t="shared" ref="H365:AM365" si="196">IF(H362=0,"PVL",H$16/(H349+H357)/H$20)</f>
        <v>PVL</v>
      </c>
      <c r="I365" s="56" t="str">
        <f t="shared" si="196"/>
        <v>PVL</v>
      </c>
      <c r="J365" s="56" t="str">
        <f t="shared" si="196"/>
        <v>PVL</v>
      </c>
      <c r="K365" s="56">
        <f t="shared" si="196"/>
        <v>91.561909090909097</v>
      </c>
      <c r="L365" s="56" t="str">
        <f t="shared" si="196"/>
        <v>PVL</v>
      </c>
      <c r="M365" s="56" t="str">
        <f t="shared" si="196"/>
        <v>PVL</v>
      </c>
      <c r="N365" s="56">
        <f t="shared" si="196"/>
        <v>45.780954545454541</v>
      </c>
      <c r="O365" s="56">
        <f t="shared" si="196"/>
        <v>45.780954545454541</v>
      </c>
      <c r="P365" s="56">
        <f t="shared" si="196"/>
        <v>15.518967642526961</v>
      </c>
      <c r="Q365" s="56">
        <f t="shared" si="196"/>
        <v>15.518967642526961</v>
      </c>
      <c r="R365" s="56">
        <f t="shared" si="196"/>
        <v>91.561909090909097</v>
      </c>
      <c r="S365" s="56">
        <f t="shared" si="196"/>
        <v>3.9809525691699599</v>
      </c>
      <c r="T365" s="56">
        <f t="shared" si="196"/>
        <v>3.9809525691699599</v>
      </c>
      <c r="U365" s="56">
        <f t="shared" si="196"/>
        <v>2.1800454545454544</v>
      </c>
      <c r="V365" s="56" t="str">
        <f t="shared" si="196"/>
        <v>PVL</v>
      </c>
      <c r="W365" s="56" t="str">
        <f t="shared" si="196"/>
        <v>PVL</v>
      </c>
      <c r="X365" s="56">
        <f t="shared" si="196"/>
        <v>15.260318181818182</v>
      </c>
      <c r="Y365" s="56" t="str">
        <f t="shared" si="196"/>
        <v>PVL</v>
      </c>
      <c r="Z365" s="56">
        <f t="shared" si="196"/>
        <v>36.624763636363639</v>
      </c>
      <c r="AA365" s="56" t="str">
        <f t="shared" si="196"/>
        <v>PVL</v>
      </c>
      <c r="AB365" s="56" t="str">
        <f t="shared" si="196"/>
        <v>PVL</v>
      </c>
      <c r="AC365" s="56" t="str">
        <f t="shared" si="196"/>
        <v>PVL</v>
      </c>
      <c r="AD365" s="56" t="str">
        <f t="shared" si="196"/>
        <v>PVL</v>
      </c>
      <c r="AE365" s="56" t="str">
        <f t="shared" si="196"/>
        <v>PVL</v>
      </c>
      <c r="AF365" s="56" t="str">
        <f t="shared" si="196"/>
        <v>PVL</v>
      </c>
      <c r="AG365" s="56" t="str">
        <f t="shared" si="196"/>
        <v>PVL</v>
      </c>
      <c r="AH365" s="56" t="str">
        <f t="shared" si="196"/>
        <v>PVL</v>
      </c>
      <c r="AI365" s="56" t="str">
        <f t="shared" si="196"/>
        <v>PVL</v>
      </c>
      <c r="AJ365" s="56" t="str">
        <f t="shared" si="196"/>
        <v>PVL</v>
      </c>
      <c r="AK365" s="56" t="str">
        <f t="shared" si="196"/>
        <v>PVL</v>
      </c>
      <c r="AL365" s="56" t="str">
        <f t="shared" si="196"/>
        <v>PVL</v>
      </c>
      <c r="AM365" s="56" t="str">
        <f t="shared" si="196"/>
        <v>PVL</v>
      </c>
      <c r="AN365" s="56">
        <f t="shared" ref="AN365:BI365" si="197">IF(AN362=0,"PVL",AN$16/(AN349+AN357)/AN$20)</f>
        <v>13.451078987238073</v>
      </c>
      <c r="AO365" s="56">
        <f t="shared" si="197"/>
        <v>1152.2612876157891</v>
      </c>
      <c r="AP365" s="56">
        <f t="shared" si="197"/>
        <v>798.94040661360282</v>
      </c>
      <c r="AQ365" s="56">
        <f t="shared" si="197"/>
        <v>1672.7914093566708</v>
      </c>
      <c r="AR365" s="56">
        <f t="shared" si="197"/>
        <v>7261.8917340915577</v>
      </c>
      <c r="AS365" s="56">
        <f t="shared" si="197"/>
        <v>572.805972247721</v>
      </c>
      <c r="AT365" s="56">
        <f t="shared" si="197"/>
        <v>82098.620320565518</v>
      </c>
      <c r="AU365" s="56">
        <f t="shared" si="197"/>
        <v>85312.787686946293</v>
      </c>
      <c r="AV365" s="56">
        <f t="shared" si="197"/>
        <v>6008.0579204945898</v>
      </c>
      <c r="AW365" s="56">
        <f t="shared" si="197"/>
        <v>62346.589825332478</v>
      </c>
      <c r="AX365" s="56">
        <f t="shared" si="197"/>
        <v>195655.09881076249</v>
      </c>
      <c r="AY365" s="56">
        <f t="shared" si="197"/>
        <v>285088.30941608158</v>
      </c>
      <c r="AZ365" s="56">
        <f t="shared" si="197"/>
        <v>42688.391571667926</v>
      </c>
      <c r="BA365" s="56">
        <f t="shared" si="197"/>
        <v>272736.66369284561</v>
      </c>
      <c r="BB365" s="56">
        <f t="shared" si="197"/>
        <v>1660432.1647527099</v>
      </c>
      <c r="BC365" s="56" t="str">
        <f t="shared" si="197"/>
        <v>PVL</v>
      </c>
      <c r="BD365" s="56" t="str">
        <f t="shared" si="197"/>
        <v>PVL</v>
      </c>
      <c r="BE365" s="56">
        <f t="shared" si="197"/>
        <v>3738.5961473284342</v>
      </c>
      <c r="BF365" s="56">
        <f t="shared" si="197"/>
        <v>7477.1922946568684</v>
      </c>
      <c r="BG365" s="56" t="str">
        <f t="shared" si="197"/>
        <v>PVL</v>
      </c>
      <c r="BH365" s="56" t="str">
        <f t="shared" si="197"/>
        <v>PVL</v>
      </c>
      <c r="BI365" s="56" t="str">
        <f t="shared" si="197"/>
        <v>PVL</v>
      </c>
    </row>
    <row r="366" spans="1:61" s="513" customFormat="1">
      <c r="A366" s="2437"/>
      <c r="B366" s="510"/>
      <c r="C366" s="2498"/>
      <c r="D366" s="2499"/>
      <c r="E366" s="352" t="s">
        <v>493</v>
      </c>
      <c r="F366" s="63" t="str">
        <f>F365</f>
        <v>Cs</v>
      </c>
      <c r="G366" s="515" t="str">
        <f>G365</f>
        <v>mg/kg ms</v>
      </c>
      <c r="H366" s="237">
        <f t="shared" ref="H366:BI366" si="198">IF(MIN(H364:H365)&gt;0,MIN(H364:H365),H364)</f>
        <v>5690.3454864090718</v>
      </c>
      <c r="I366" s="237">
        <f t="shared" si="198"/>
        <v>5690.3454864090718</v>
      </c>
      <c r="J366" s="237">
        <f>IF(MIN(J364:J365)&gt;0,MIN(J364:J365),J364)</f>
        <v>39274.636760143017</v>
      </c>
      <c r="K366" s="237">
        <f t="shared" si="198"/>
        <v>14.649905454545456</v>
      </c>
      <c r="L366" s="237">
        <f t="shared" si="198"/>
        <v>20.132323248857201</v>
      </c>
      <c r="M366" s="237">
        <f t="shared" si="198"/>
        <v>20.132323248857201</v>
      </c>
      <c r="N366" s="237">
        <f>IF(MIN(N364:N365)&gt;0,MIN(N364:N365),N364)</f>
        <v>45.780954545454541</v>
      </c>
      <c r="O366" s="237">
        <f>IF(MIN(O364:O365)&gt;0,MIN(O364:O365),O364)</f>
        <v>45.780954545454541</v>
      </c>
      <c r="P366" s="237">
        <f t="shared" si="198"/>
        <v>9.1561909090909115</v>
      </c>
      <c r="Q366" s="237">
        <f t="shared" si="198"/>
        <v>9.1561909090909115</v>
      </c>
      <c r="R366" s="237">
        <f>IF(MIN(R364:R365)&gt;0,MIN(R364:R365),R364)</f>
        <v>91.561909090909097</v>
      </c>
      <c r="S366" s="237">
        <f>IF(MIN(S364:S365)&gt;0,MIN(S364:S365),S364)</f>
        <v>3.9809525691699599</v>
      </c>
      <c r="T366" s="237">
        <f>IF(MIN(T364:T365)&gt;0,MIN(T364:T365),T364)</f>
        <v>3.9809525691699599</v>
      </c>
      <c r="U366" s="237">
        <f t="shared" si="198"/>
        <v>2.1800454545454544</v>
      </c>
      <c r="V366" s="237">
        <f t="shared" si="198"/>
        <v>261.60545454545451</v>
      </c>
      <c r="W366" s="237">
        <f t="shared" si="198"/>
        <v>261.60545454545451</v>
      </c>
      <c r="X366" s="237">
        <f t="shared" si="198"/>
        <v>2.7540971441360114</v>
      </c>
      <c r="Y366" s="237">
        <f t="shared" si="198"/>
        <v>96.479850827950756</v>
      </c>
      <c r="Z366" s="237">
        <f t="shared" si="198"/>
        <v>36.624763636363639</v>
      </c>
      <c r="AA366" s="237">
        <f t="shared" si="198"/>
        <v>183.12381818181819</v>
      </c>
      <c r="AB366" s="237">
        <f t="shared" si="198"/>
        <v>190.69027666341782</v>
      </c>
      <c r="AC366" s="237">
        <f t="shared" si="198"/>
        <v>594.14095194269214</v>
      </c>
      <c r="AD366" s="237">
        <f t="shared" si="198"/>
        <v>2514.3939910968602</v>
      </c>
      <c r="AE366" s="237" t="str">
        <f t="shared" si="198"/>
        <v>PVL</v>
      </c>
      <c r="AF366" s="237" t="str">
        <f t="shared" si="198"/>
        <v>PVL</v>
      </c>
      <c r="AG366" s="237">
        <f t="shared" si="198"/>
        <v>4813.5403636363644</v>
      </c>
      <c r="AH366" s="237">
        <f t="shared" si="198"/>
        <v>4813.5403636363626</v>
      </c>
      <c r="AI366" s="237">
        <f t="shared" si="198"/>
        <v>328.70516682074253</v>
      </c>
      <c r="AJ366" s="237">
        <f t="shared" si="198"/>
        <v>833.65178024831619</v>
      </c>
      <c r="AK366" s="237">
        <f t="shared" si="198"/>
        <v>2507.8146372372967</v>
      </c>
      <c r="AL366" s="237" t="str">
        <f t="shared" si="198"/>
        <v>PVL</v>
      </c>
      <c r="AM366" s="237" t="str">
        <f t="shared" si="198"/>
        <v>PVL</v>
      </c>
      <c r="AN366" s="237">
        <f t="shared" si="198"/>
        <v>13.451078987238073</v>
      </c>
      <c r="AO366" s="237">
        <f t="shared" si="198"/>
        <v>1152.2612876157891</v>
      </c>
      <c r="AP366" s="237">
        <f t="shared" si="198"/>
        <v>798.94040661360282</v>
      </c>
      <c r="AQ366" s="237">
        <f t="shared" si="198"/>
        <v>1672.7914093566708</v>
      </c>
      <c r="AR366" s="237">
        <f t="shared" si="198"/>
        <v>7261.8917340915577</v>
      </c>
      <c r="AS366" s="237">
        <f t="shared" si="198"/>
        <v>572.805972247721</v>
      </c>
      <c r="AT366" s="237">
        <f t="shared" si="198"/>
        <v>82098.620320565518</v>
      </c>
      <c r="AU366" s="237">
        <f t="shared" si="198"/>
        <v>85312.787686946293</v>
      </c>
      <c r="AV366" s="237">
        <f t="shared" si="198"/>
        <v>6008.0579204945898</v>
      </c>
      <c r="AW366" s="237">
        <f t="shared" si="198"/>
        <v>62346.589825332478</v>
      </c>
      <c r="AX366" s="237">
        <f t="shared" si="198"/>
        <v>195655.09881076249</v>
      </c>
      <c r="AY366" s="237">
        <f t="shared" si="198"/>
        <v>285088.30941608158</v>
      </c>
      <c r="AZ366" s="237">
        <f t="shared" si="198"/>
        <v>42688.391571667926</v>
      </c>
      <c r="BA366" s="237">
        <f t="shared" si="198"/>
        <v>272736.66369284561</v>
      </c>
      <c r="BB366" s="237">
        <f t="shared" si="198"/>
        <v>1660432.1647527099</v>
      </c>
      <c r="BC366" s="237" t="str">
        <f t="shared" si="198"/>
        <v>PVL</v>
      </c>
      <c r="BD366" s="237">
        <f t="shared" si="198"/>
        <v>7508.9004268737363</v>
      </c>
      <c r="BE366" s="237">
        <f t="shared" si="198"/>
        <v>3738.5961473284342</v>
      </c>
      <c r="BF366" s="237">
        <f t="shared" si="198"/>
        <v>7477.1922946568684</v>
      </c>
      <c r="BG366" s="237">
        <f t="shared" si="198"/>
        <v>7.8481636363636371E-3</v>
      </c>
      <c r="BH366" s="237">
        <f t="shared" si="198"/>
        <v>135.39650926614644</v>
      </c>
      <c r="BI366" s="237">
        <f t="shared" si="198"/>
        <v>18.519020566978799</v>
      </c>
    </row>
    <row r="367" spans="1:61" s="495" customFormat="1">
      <c r="A367" s="398"/>
      <c r="B367" s="492"/>
      <c r="C367" s="2498"/>
      <c r="D367" s="2499"/>
      <c r="E367" s="619" t="s">
        <v>499</v>
      </c>
      <c r="F367" s="493" t="s">
        <v>19</v>
      </c>
      <c r="G367" s="2490" t="s">
        <v>20</v>
      </c>
      <c r="H367" s="343">
        <f>IF(H366&lt;'3phas'!H23,H366,"PVL")</f>
        <v>5690.3454864090718</v>
      </c>
      <c r="I367" s="343">
        <f>IF(I366&lt;'3phas'!I23,I366,"PVL")</f>
        <v>5690.3454864090718</v>
      </c>
      <c r="J367" s="343">
        <f>IF(J366&lt;'3phas'!J23,J366,"PVL")</f>
        <v>39274.636760143017</v>
      </c>
      <c r="K367" s="343">
        <f>IF(K366&lt;'3phas'!K23,K366,"PVL")</f>
        <v>14.649905454545456</v>
      </c>
      <c r="L367" s="343">
        <f>IF(L366&lt;'3phas'!L23,L366,"PVL")</f>
        <v>20.132323248857201</v>
      </c>
      <c r="M367" s="343">
        <f>IF(M366&lt;'3phas'!M23,M366,"PVL")</f>
        <v>20.132323248857201</v>
      </c>
      <c r="N367" s="343">
        <f>IF(N366&lt;'3phas'!N23,N366,"PVL")</f>
        <v>45.780954545454541</v>
      </c>
      <c r="O367" s="343">
        <f>IF(O366&lt;'3phas'!O23,O366,"PVL")</f>
        <v>45.780954545454541</v>
      </c>
      <c r="P367" s="343">
        <f>IF(P366&lt;'3phas'!P23,P366,"PVL")</f>
        <v>9.1561909090909115</v>
      </c>
      <c r="Q367" s="343">
        <f>IF(Q366&lt;'3phas'!Q23,Q366,"PVL")</f>
        <v>9.1561909090909115</v>
      </c>
      <c r="R367" s="343">
        <f>IF(R366&lt;'3phas'!R23,R366,"PVL")</f>
        <v>91.561909090909097</v>
      </c>
      <c r="S367" s="343">
        <f>IF(S366&lt;'3phas'!S23,S366,"PVL")</f>
        <v>3.9809525691699599</v>
      </c>
      <c r="T367" s="343">
        <f>IF(T366&lt;'3phas'!T23,T366,"PVL")</f>
        <v>3.9809525691699599</v>
      </c>
      <c r="U367" s="343">
        <f>IF(U366&lt;'3phas'!U23,U366,"PVL")</f>
        <v>2.1800454545454544</v>
      </c>
      <c r="V367" s="343">
        <f>IF(V366&lt;'3phas'!V23,V366,"PVL")</f>
        <v>261.60545454545451</v>
      </c>
      <c r="W367" s="343">
        <f>IF(W366&lt;'3phas'!W23,W366,"PVL")</f>
        <v>261.60545454545451</v>
      </c>
      <c r="X367" s="343">
        <f>IF(X366&lt;'3phas'!X23,X366,"PVL")</f>
        <v>2.7540971441360114</v>
      </c>
      <c r="Y367" s="343">
        <f>IF(Y366&lt;'3phas'!Y23,Y366,"PVL")</f>
        <v>96.479850827950756</v>
      </c>
      <c r="Z367" s="343">
        <f>IF(Z366&lt;'3phas'!Z23,Z366,"PVL")</f>
        <v>36.624763636363639</v>
      </c>
      <c r="AA367" s="343" t="str">
        <f>IF(AA366&lt;'3phas'!AA23,AA366,"PVL")</f>
        <v>PVL</v>
      </c>
      <c r="AB367" s="343" t="str">
        <f>IF(AB366&lt;'3phas'!AB23,AB366,"PVL")</f>
        <v>PVL</v>
      </c>
      <c r="AC367" s="343" t="str">
        <f>IF(AC366&lt;'3phas'!AC23,AC366,"PVL")</f>
        <v>PVL</v>
      </c>
      <c r="AD367" s="343" t="str">
        <f>IF(AD366&lt;'3phas'!AD23,AD366,"PVL")</f>
        <v>PVL</v>
      </c>
      <c r="AE367" s="343" t="str">
        <f>IF(AE366&lt;'3phas'!AE23,AE366,"PVL")</f>
        <v>PVL</v>
      </c>
      <c r="AF367" s="343" t="str">
        <f>IF(AF366&lt;'3phas'!AF23,AF366,"PVL")</f>
        <v>PVL</v>
      </c>
      <c r="AG367" s="343" t="str">
        <f>IF(AG366&lt;'3phas'!AG23,AG366,"PVL")</f>
        <v>PVL</v>
      </c>
      <c r="AH367" s="343" t="str">
        <f>IF(AH366&lt;'3phas'!AH23,AH366,"PVL")</f>
        <v>PVL</v>
      </c>
      <c r="AI367" s="343" t="str">
        <f>IF(AI366&lt;'3phas'!AI23,AI366,"PVL")</f>
        <v>PVL</v>
      </c>
      <c r="AJ367" s="343" t="str">
        <f>IF(AJ366&lt;'3phas'!AJ23,AJ366,"PVL")</f>
        <v>PVL</v>
      </c>
      <c r="AK367" s="343" t="str">
        <f>IF(AK366&lt;'3phas'!AK23,AK366,"PVL")</f>
        <v>PVL</v>
      </c>
      <c r="AL367" s="343" t="str">
        <f>IF(AL366&lt;'3phas'!AL23,AL366,"PVL")</f>
        <v>PVL</v>
      </c>
      <c r="AM367" s="343" t="str">
        <f>IF(AM366&lt;'3phas'!AM23,AM366,"PVL")</f>
        <v>PVL</v>
      </c>
      <c r="AN367" s="343">
        <f>IF(AN366&lt;'3phas'!AN23,AN366,"PVL")</f>
        <v>13.451078987238073</v>
      </c>
      <c r="AO367" s="343" t="str">
        <f>IF(AO366&lt;'3phas'!AO23,AO366,"PVL")</f>
        <v>PVL</v>
      </c>
      <c r="AP367" s="343" t="str">
        <f>IF(AP366&lt;'3phas'!AP23,AP366,"PVL")</f>
        <v>PVL</v>
      </c>
      <c r="AQ367" s="343" t="str">
        <f>IF(AQ366&lt;'3phas'!AQ23,AQ366,"PVL")</f>
        <v>PVL</v>
      </c>
      <c r="AR367" s="343" t="str">
        <f>IF(AR366&lt;'3phas'!AR23,AR366,"PVL")</f>
        <v>PVL</v>
      </c>
      <c r="AS367" s="343" t="str">
        <f>IF(AS366&lt;'3phas'!AS23,AS366,"PVL")</f>
        <v>PVL</v>
      </c>
      <c r="AT367" s="343" t="str">
        <f>IF(AT366&lt;'3phas'!AT23,AT366,"PVL")</f>
        <v>PVL</v>
      </c>
      <c r="AU367" s="343" t="str">
        <f>IF(AU366&lt;'3phas'!AU23,AU366,"PVL")</f>
        <v>PVL</v>
      </c>
      <c r="AV367" s="343" t="str">
        <f>IF(AV366&lt;'3phas'!AV23,AV366,"PVL")</f>
        <v>PVL</v>
      </c>
      <c r="AW367" s="343" t="str">
        <f>IF(AW366&lt;'3phas'!AW23,AW366,"PVL")</f>
        <v>PVL</v>
      </c>
      <c r="AX367" s="343" t="str">
        <f>IF(AX366&lt;'3phas'!AX23,AX366,"PVL")</f>
        <v>PVL</v>
      </c>
      <c r="AY367" s="343" t="str">
        <f>IF(AY366&lt;'3phas'!AY23,AY366,"PVL")</f>
        <v>PVL</v>
      </c>
      <c r="AZ367" s="343" t="str">
        <f>IF(AZ366&lt;'3phas'!AZ23,AZ366,"PVL")</f>
        <v>PVL</v>
      </c>
      <c r="BA367" s="343" t="str">
        <f>IF(BA366&lt;'3phas'!BA23,BA366,"PVL")</f>
        <v>PVL</v>
      </c>
      <c r="BB367" s="343" t="str">
        <f>IF(BB366&lt;'3phas'!BB23,BB366,"PVL")</f>
        <v>PVL</v>
      </c>
      <c r="BC367" s="343" t="str">
        <f>IF(BC366&lt;'3phas'!BC23,BC366,"PVL")</f>
        <v>PVL</v>
      </c>
      <c r="BD367" s="343">
        <f>IF(BD366&lt;'3phas'!BD23,BD366,"PVL")</f>
        <v>7508.9004268737363</v>
      </c>
      <c r="BE367" s="343" t="str">
        <f>IF(BE366&lt;'3phas'!BE23,BE366,"PVL")</f>
        <v>PVL</v>
      </c>
      <c r="BF367" s="343" t="str">
        <f>IF(BF366&lt;'3phas'!BF23,BF366,"PVL")</f>
        <v>PVL</v>
      </c>
      <c r="BG367" s="552">
        <f>BG366</f>
        <v>7.8481636363636371E-3</v>
      </c>
      <c r="BH367" s="343">
        <f>IF(BH366&lt;'3phas'!BH23,BH366,"PVL")</f>
        <v>135.39650926614644</v>
      </c>
      <c r="BI367" s="343">
        <f>IF(BI366&lt;'3phas'!BI23,BI366,"PVL")</f>
        <v>18.519020566978799</v>
      </c>
    </row>
    <row r="368" spans="1:61" s="403" customFormat="1" ht="13.5" thickBot="1">
      <c r="A368" s="402"/>
      <c r="B368" s="257"/>
      <c r="C368" s="2507"/>
      <c r="D368" s="2508"/>
      <c r="E368" s="258" t="s">
        <v>476</v>
      </c>
      <c r="F368" s="66" t="str">
        <f>'3phas'!F29</f>
        <v>Csao</v>
      </c>
      <c r="G368" s="620" t="s">
        <v>24</v>
      </c>
      <c r="H368" s="164">
        <f>IF(H367="PVL",H367,H367*'3phas'!H$26*1000)</f>
        <v>14991.167096882198</v>
      </c>
      <c r="I368" s="164">
        <f>IF(I367="PVL",I367,I367*'3phas'!I$26*1000)</f>
        <v>14991.167096882198</v>
      </c>
      <c r="J368" s="164">
        <f>IF(J367="PVL",J367,J367*'3phas'!J$26*1000)</f>
        <v>679241.69246203406</v>
      </c>
      <c r="K368" s="164">
        <f>IF(K367="PVL",K367,K367*'3phas'!K$26*1000)</f>
        <v>56450.681890396372</v>
      </c>
      <c r="L368" s="164">
        <f>IF(L367="PVL",L367,L367*'3phas'!L$26*1000)</f>
        <v>14504.108143662152</v>
      </c>
      <c r="M368" s="164">
        <f>IF(M367="PVL",M367,M367*'3phas'!M$26*1000)</f>
        <v>14504.108143662152</v>
      </c>
      <c r="N368" s="164">
        <f>IF(N367="PVL",N367,N367*'3phas'!N$26*1000)</f>
        <v>65051.551562152286</v>
      </c>
      <c r="O368" s="164">
        <f>IF(O367="PVL",O367,O367*'3phas'!O$26*1000)</f>
        <v>65051.551562152286</v>
      </c>
      <c r="P368" s="164">
        <f>IF(P367="PVL",P367,P367*'3phas'!P$26*1000)</f>
        <v>14203.890281984883</v>
      </c>
      <c r="Q368" s="164">
        <f>IF(Q367="PVL",Q367,Q367*'3phas'!Q$26*1000)</f>
        <v>14203.890281984883</v>
      </c>
      <c r="R368" s="164">
        <f>IF(R367="PVL",R367,R367*'3phas'!R$26*1000)</f>
        <v>57095.741629831115</v>
      </c>
      <c r="S368" s="164">
        <f>IF(S367="PVL",S367,S367*'3phas'!S$26*1000)</f>
        <v>2328.9496685225176</v>
      </c>
      <c r="T368" s="164">
        <f>IF(T367="PVL",T367,T367*'3phas'!T$26*1000)</f>
        <v>2328.9496685225176</v>
      </c>
      <c r="U368" s="164">
        <f>IF(U367="PVL",U367,U367*'3phas'!U$26*1000)</f>
        <v>6004.4201216823349</v>
      </c>
      <c r="V368" s="164">
        <f>IF(V367="PVL",V367,V367*'3phas'!V$26*1000)</f>
        <v>1179365.3413826337</v>
      </c>
      <c r="W368" s="164">
        <f>IF(W367="PVL",W367,W367*'3phas'!W$26*1000)</f>
        <v>1179365.3413826337</v>
      </c>
      <c r="X368" s="164">
        <f>IF(X367="PVL",X367,X367*'3phas'!X$26*1000)</f>
        <v>2381.8991469266603</v>
      </c>
      <c r="Y368" s="164">
        <f>IF(Y367="PVL",Y367,Y367*'3phas'!Y$26*1000)</f>
        <v>57829.694336598361</v>
      </c>
      <c r="Z368" s="164">
        <f>IF(Z367="PVL",Z367,Z367*'3phas'!Z$26*1000)</f>
        <v>13000.799391486573</v>
      </c>
      <c r="AA368" s="164" t="str">
        <f>IF(AA367="PVL",AA367,AA367*'3phas'!AA$26*1000)</f>
        <v>PVL</v>
      </c>
      <c r="AB368" s="164" t="str">
        <f>IF(AB367="PVL",AB367,AB367*'3phas'!AB$26*1000)</f>
        <v>PVL</v>
      </c>
      <c r="AC368" s="164" t="str">
        <f>IF(AC367="PVL",AC367,AC367*'3phas'!AC$26*1000)</f>
        <v>PVL</v>
      </c>
      <c r="AD368" s="164" t="str">
        <f>IF(AD367="PVL",AD367,AD367*'3phas'!AD$26*1000)</f>
        <v>PVL</v>
      </c>
      <c r="AE368" s="164" t="str">
        <f>IF(AE367="PVL",AE367,AE367*'3phas'!AE$26*1000)</f>
        <v>PVL</v>
      </c>
      <c r="AF368" s="164" t="str">
        <f>IF(AF367="PVL",AF367,AF367*'3phas'!AF$26*1000)</f>
        <v>PVL</v>
      </c>
      <c r="AG368" s="164" t="str">
        <f>IF(AG367="PVL",AG367,AG367*'3phas'!AG$26*1000)</f>
        <v>PVL</v>
      </c>
      <c r="AH368" s="164" t="str">
        <f>IF(AH367="PVL",AH367,AH367*'3phas'!AH$26*1000)</f>
        <v>PVL</v>
      </c>
      <c r="AI368" s="164" t="str">
        <f>IF(AI367="PVL",AI367,AI367*'3phas'!AI$26*1000)</f>
        <v>PVL</v>
      </c>
      <c r="AJ368" s="164" t="str">
        <f>IF(AJ367="PVL",AJ367,AJ367*'3phas'!AJ$26*1000)</f>
        <v>PVL</v>
      </c>
      <c r="AK368" s="164" t="str">
        <f>IF(AK367="PVL",AK367,AK367*'3phas'!AK$26*1000)</f>
        <v>PVL</v>
      </c>
      <c r="AL368" s="164" t="str">
        <f>IF(AL367="PVL",AL367,AL367*'3phas'!AL$26*1000)</f>
        <v>PVL</v>
      </c>
      <c r="AM368" s="164" t="str">
        <f>IF(AM367="PVL",AM367,AM367*'3phas'!AM$26*1000)</f>
        <v>PVL</v>
      </c>
      <c r="AN368" s="164">
        <f>IF(AN367="PVL",AN367,AN367*'3phas'!AN$26*1000)</f>
        <v>57.496724412260626</v>
      </c>
      <c r="AO368" s="164" t="str">
        <f>IF(AO367="PVL",AO367,AO367*'3phas'!AO$26*1000)</f>
        <v>PVL</v>
      </c>
      <c r="AP368" s="164" t="str">
        <f>IF(AP367="PVL",AP367,AP367*'3phas'!AP$26*1000)</f>
        <v>PVL</v>
      </c>
      <c r="AQ368" s="164" t="str">
        <f>IF(AQ367="PVL",AQ367,AQ367*'3phas'!AQ$26*1000)</f>
        <v>PVL</v>
      </c>
      <c r="AR368" s="164" t="str">
        <f>IF(AR367="PVL",AR367,AR367*'3phas'!AR$26*1000)</f>
        <v>PVL</v>
      </c>
      <c r="AS368" s="164" t="str">
        <f>IF(AS367="PVL",AS367,AS367*'3phas'!AS$26*1000)</f>
        <v>PVL</v>
      </c>
      <c r="AT368" s="164" t="str">
        <f>IF(AT367="PVL",AT367,AT367*'3phas'!AT$26*1000)</f>
        <v>PVL</v>
      </c>
      <c r="AU368" s="164" t="str">
        <f>IF(AU367="PVL",AU367,AU367*'3phas'!AU$26*1000)</f>
        <v>PVL</v>
      </c>
      <c r="AV368" s="164" t="str">
        <f>IF(AV367="PVL",AV367,AV367*'3phas'!AV$26*1000)</f>
        <v>PVL</v>
      </c>
      <c r="AW368" s="164" t="str">
        <f>IF(AW367="PVL",AW367,AW367*'3phas'!AW$26*1000)</f>
        <v>PVL</v>
      </c>
      <c r="AX368" s="164" t="str">
        <f>IF(AX367="PVL",AX367,AX367*'3phas'!AX$26*1000)</f>
        <v>PVL</v>
      </c>
      <c r="AY368" s="164" t="str">
        <f>IF(AY367="PVL",AY367,AY367*'3phas'!AY$26*1000)</f>
        <v>PVL</v>
      </c>
      <c r="AZ368" s="164" t="str">
        <f>IF(AZ367="PVL",AZ367,AZ367*'3phas'!AZ$26*1000)</f>
        <v>PVL</v>
      </c>
      <c r="BA368" s="164" t="str">
        <f>IF(BA367="PVL",BA367,BA367*'3phas'!BA$26*1000)</f>
        <v>PVL</v>
      </c>
      <c r="BB368" s="164" t="str">
        <f>IF(BB367="PVL",BB367,BB367*'3phas'!BB$26*1000)</f>
        <v>PVL</v>
      </c>
      <c r="BC368" s="164" t="str">
        <f>IF(BC367="PVL",BC367,BC367*'3phas'!BC$26*1000)</f>
        <v>PVL</v>
      </c>
      <c r="BD368" s="164">
        <f>IF(BD367="PVL",BD367,BD367*'3phas'!BD$26*1000)</f>
        <v>702.43626748721829</v>
      </c>
      <c r="BE368" s="164" t="str">
        <f>IF(BE367="PVL",BE367,BE367*'3phas'!BE$26*1000)</f>
        <v>PVL</v>
      </c>
      <c r="BF368" s="164" t="str">
        <f>IF(BF367="PVL",BF367,BF367*'3phas'!BF$26*1000)</f>
        <v>PVL</v>
      </c>
      <c r="BG368" s="595" t="s">
        <v>595</v>
      </c>
      <c r="BH368" s="164">
        <f>IF(BH367="PVL",BH367,BH367*'3phas'!BH$26*1000)</f>
        <v>16.843045312068906</v>
      </c>
      <c r="BI368" s="164">
        <f>IF(BI367="PVL",BI367,BI367*'3phas'!BI$26*1000)</f>
        <v>17.824805297485074</v>
      </c>
    </row>
    <row r="369" spans="1:61" s="43" customFormat="1">
      <c r="A369" s="240"/>
      <c r="B369" s="98"/>
      <c r="C369" s="2486"/>
      <c r="D369" s="2487"/>
      <c r="E369" s="3952"/>
      <c r="F369" s="12"/>
      <c r="G369" s="89"/>
      <c r="H369" s="113"/>
      <c r="I369" s="113"/>
      <c r="J369" s="113"/>
      <c r="K369" s="113"/>
      <c r="L369" s="113"/>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row>
    <row r="370" spans="1:61" ht="15.75">
      <c r="A370" s="397"/>
      <c r="B370" s="41"/>
      <c r="C370" s="2486"/>
      <c r="D370" s="2487"/>
      <c r="E370" s="3953" t="s">
        <v>1290</v>
      </c>
      <c r="F370" s="2509"/>
      <c r="G370" s="2510"/>
      <c r="H370" s="113"/>
      <c r="I370" s="113"/>
      <c r="J370" s="113"/>
      <c r="K370" s="113"/>
      <c r="L370" s="113"/>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row>
    <row r="371" spans="1:61">
      <c r="A371" s="397"/>
      <c r="B371" s="41"/>
      <c r="C371" s="2486"/>
      <c r="D371" s="2487"/>
      <c r="E371" s="3498"/>
      <c r="F371" s="147"/>
      <c r="G371" s="161"/>
      <c r="H371" s="113"/>
      <c r="I371" s="113"/>
      <c r="J371" s="113"/>
      <c r="K371" s="113"/>
      <c r="L371" s="113"/>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c r="BF371" s="113"/>
      <c r="BG371" s="113"/>
      <c r="BH371" s="113"/>
      <c r="BI371" s="113"/>
    </row>
    <row r="372" spans="1:61" s="43" customFormat="1">
      <c r="A372" s="398"/>
      <c r="B372" s="100"/>
      <c r="C372" s="2453"/>
      <c r="D372" s="2454"/>
      <c r="E372" s="3952" t="str">
        <f>'3phas'!E29</f>
        <v>Concentration dans l'air du sol</v>
      </c>
      <c r="F372" s="12" t="str">
        <f>'3phas'!F29</f>
        <v>Csao</v>
      </c>
      <c r="G372" s="89" t="str">
        <f>'3phas'!G29</f>
        <v>mg/lsa</v>
      </c>
      <c r="H372" s="113">
        <f>'3phas'!H29</f>
        <v>2.6344915493597683E-5</v>
      </c>
      <c r="I372" s="113">
        <f>'3phas'!I29</f>
        <v>2.6344915493597683E-5</v>
      </c>
      <c r="J372" s="113">
        <f>'3phas'!J29</f>
        <v>1.7294665170559828E-4</v>
      </c>
      <c r="K372" s="113">
        <f>'3phas'!K29</f>
        <v>3.8533137340406046E-2</v>
      </c>
      <c r="L372" s="113">
        <f>'3phas'!L29</f>
        <v>7.2043886661145619E-3</v>
      </c>
      <c r="M372" s="113">
        <f>'3phas'!M29</f>
        <v>7.2043886661145619E-3</v>
      </c>
      <c r="N372" s="113">
        <f>'3phas'!N29</f>
        <v>1.4209304329284909E-2</v>
      </c>
      <c r="O372" s="113">
        <f>'3phas'!O29</f>
        <v>1.4209304329284909E-2</v>
      </c>
      <c r="P372" s="113">
        <f>'3phas'!P29</f>
        <v>1.5512881309499849E-2</v>
      </c>
      <c r="Q372" s="113">
        <f>'3phas'!Q29</f>
        <v>1.5512881309499849E-2</v>
      </c>
      <c r="R372" s="113">
        <f>'3phas'!R29</f>
        <v>6.2357526395766232E-3</v>
      </c>
      <c r="S372" s="113">
        <f>'3phas'!S29</f>
        <v>5.8502321443335116E-3</v>
      </c>
      <c r="T372" s="113">
        <f>'3phas'!T29</f>
        <v>5.8502321443335116E-3</v>
      </c>
      <c r="U372" s="113">
        <f>'3phas'!U29</f>
        <v>2.7542637283837157E-2</v>
      </c>
      <c r="V372" s="113">
        <f>'3phas'!V29</f>
        <v>4.5081833000455138E-2</v>
      </c>
      <c r="W372" s="113">
        <f>'3phas'!W29</f>
        <v>4.5081833000455138E-2</v>
      </c>
      <c r="X372" s="113">
        <f>'3phas'!X29</f>
        <v>8.6485661989017699E-3</v>
      </c>
      <c r="Y372" s="113">
        <f>'3phas'!Y29</f>
        <v>5.993965977385691E-3</v>
      </c>
      <c r="Z372" s="113">
        <f>'3phas'!Z29</f>
        <v>3.5497292270791521E-3</v>
      </c>
      <c r="AA372" s="113">
        <f>'3phas'!AA29</f>
        <v>2.3813702260309095E-3</v>
      </c>
      <c r="AB372" s="113">
        <f>'3phas'!AB29</f>
        <v>2.6932603294411986E-3</v>
      </c>
      <c r="AC372" s="113">
        <f>'3phas'!AC29</f>
        <v>5.2554793006195943E-4</v>
      </c>
      <c r="AD372" s="113">
        <f>'3phas'!AD29</f>
        <v>1.028672332145031E-4</v>
      </c>
      <c r="AE372" s="113">
        <f>'3phas'!AE29</f>
        <v>1.2826753318511306E-5</v>
      </c>
      <c r="AF372" s="113">
        <f>'3phas'!AF29</f>
        <v>5.3163648152556569E-8</v>
      </c>
      <c r="AG372" s="113">
        <f>'3phas'!AG29</f>
        <v>6.1940871390656474E-2</v>
      </c>
      <c r="AH372" s="113">
        <f>'3phas'!AH29</f>
        <v>4.6377578561443124E-2</v>
      </c>
      <c r="AI372" s="113">
        <f>'3phas'!AI29</f>
        <v>1.8857794422825369E-2</v>
      </c>
      <c r="AJ372" s="113">
        <f>'3phas'!AJ29</f>
        <v>4.4889687551390436E-3</v>
      </c>
      <c r="AK372" s="113">
        <f>'3phas'!AK29</f>
        <v>1.0233523087107474E-3</v>
      </c>
      <c r="AL372" s="113">
        <f>'3phas'!AL29</f>
        <v>7.7579419375401509E-5</v>
      </c>
      <c r="AM372" s="113">
        <f>'3phas'!AM29</f>
        <v>5.3702795063791614E-7</v>
      </c>
      <c r="AN372" s="113">
        <f>'3phas'!AN29</f>
        <v>4.2745064887962941E-5</v>
      </c>
      <c r="AO372" s="113">
        <f>'3phas'!AO29</f>
        <v>1.1674416703897762E-5</v>
      </c>
      <c r="AP372" s="113">
        <f>'3phas'!AP29</f>
        <v>1.9530721705911088E-5</v>
      </c>
      <c r="AQ372" s="113">
        <f>'3phas'!AQ29</f>
        <v>7.908256947449179E-6</v>
      </c>
      <c r="AR372" s="113">
        <f>'3phas'!AR29</f>
        <v>1.5833670554255824E-6</v>
      </c>
      <c r="AS372" s="113">
        <f>'3phas'!AS29</f>
        <v>2.0451082714404039E-6</v>
      </c>
      <c r="AT372" s="113">
        <f>'3phas'!AT29</f>
        <v>1.4928371240425742E-7</v>
      </c>
      <c r="AU372" s="113">
        <f>'3phas'!AU29</f>
        <v>1.4361262823078676E-7</v>
      </c>
      <c r="AV372" s="113">
        <f>'3phas'!AV29</f>
        <v>2.2911220155058073E-8</v>
      </c>
      <c r="AW372" s="113">
        <f>'3phas'!AW29</f>
        <v>2.2076853681384033E-8</v>
      </c>
      <c r="AX372" s="113">
        <f>'3phas'!AX29</f>
        <v>7.7706494784308005E-10</v>
      </c>
      <c r="AY372" s="113">
        <f>'3phas'!AY29</f>
        <v>5.3329663902576087E-10</v>
      </c>
      <c r="AZ372" s="113">
        <f>'3phas'!AZ29</f>
        <v>3.5612607863435816E-10</v>
      </c>
      <c r="BA372" s="113">
        <f>'3phas'!BA29</f>
        <v>6.150661140942291E-11</v>
      </c>
      <c r="BB372" s="113">
        <f>'3phas'!BB29</f>
        <v>9.7385899742535782E-10</v>
      </c>
      <c r="BC372" s="113">
        <f>'3phas'!BC29</f>
        <v>2.5870688218630141E-16</v>
      </c>
      <c r="BD372" s="113">
        <f>'3phas'!BD29</f>
        <v>9.3547154384050273E-7</v>
      </c>
      <c r="BE372" s="113">
        <f>'3phas'!BE29</f>
        <v>2.0762670819205671E-8</v>
      </c>
      <c r="BF372" s="113">
        <f>'3phas'!BF29</f>
        <v>2.0762670819205671E-8</v>
      </c>
      <c r="BG372" s="113">
        <f>'3phas'!BG29</f>
        <v>1.696696593449333E-2</v>
      </c>
      <c r="BH372" s="113">
        <f>'3phas'!BH29</f>
        <v>1.2439792874542166E-6</v>
      </c>
      <c r="BI372" s="113">
        <f>'3phas'!BI29</f>
        <v>9.6251339173241278E-6</v>
      </c>
    </row>
    <row r="373" spans="1:61" s="43" customFormat="1">
      <c r="A373" s="398"/>
      <c r="B373" s="100"/>
      <c r="C373" s="2453"/>
      <c r="D373" s="2454"/>
      <c r="E373" s="3952"/>
      <c r="F373" s="12"/>
      <c r="G373" s="89"/>
      <c r="H373" s="113"/>
      <c r="I373" s="113"/>
      <c r="J373" s="113"/>
      <c r="K373" s="113"/>
      <c r="L373" s="113"/>
      <c r="M373" s="113"/>
      <c r="N373" s="113"/>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c r="BF373" s="113"/>
      <c r="BG373" s="113"/>
      <c r="BH373" s="113"/>
      <c r="BI373" s="113"/>
    </row>
    <row r="374" spans="1:61" s="43" customFormat="1">
      <c r="A374" s="397"/>
      <c r="B374" s="100"/>
      <c r="C374" s="2453"/>
      <c r="D374" s="2454"/>
      <c r="E374" s="3933" t="s">
        <v>255</v>
      </c>
      <c r="F374" s="147"/>
      <c r="G374" s="146"/>
      <c r="H374" s="113"/>
      <c r="I374" s="113"/>
      <c r="J374" s="113"/>
      <c r="K374" s="113"/>
      <c r="L374" s="113"/>
      <c r="M374" s="113"/>
      <c r="N374" s="113"/>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row>
    <row r="375" spans="1:61" ht="25.5">
      <c r="A375" s="400"/>
      <c r="B375" s="39"/>
      <c r="C375" s="2492"/>
      <c r="D375" s="2493"/>
      <c r="E375" s="3937" t="str">
        <f>Dispers!E52</f>
        <v>CT dispersion: émission int. -&gt; air atmosphq int.</v>
      </c>
      <c r="F375" s="95" t="str">
        <f>Dispers!F52</f>
        <v>CTémi-&gt;ia</v>
      </c>
      <c r="G375" s="142" t="str">
        <f>Dispers!G52</f>
        <v>(mg/m3)/ (mg/m2/s)</v>
      </c>
      <c r="H375" s="186">
        <f>Dispers!$H$52</f>
        <v>2700</v>
      </c>
      <c r="I375" s="186">
        <f>Dispers!$H$52</f>
        <v>2700</v>
      </c>
      <c r="J375" s="186">
        <f>Dispers!$H$52</f>
        <v>2700</v>
      </c>
      <c r="K375" s="186">
        <f>Dispers!$H$52</f>
        <v>2700</v>
      </c>
      <c r="L375" s="186">
        <f>Dispers!$H$52</f>
        <v>2700</v>
      </c>
      <c r="M375" s="186">
        <f>Dispers!$H$52</f>
        <v>2700</v>
      </c>
      <c r="N375" s="186">
        <f>Dispers!$H$52</f>
        <v>2700</v>
      </c>
      <c r="O375" s="186">
        <f>Dispers!$H$52</f>
        <v>2700</v>
      </c>
      <c r="P375" s="186">
        <f>Dispers!$H$52</f>
        <v>2700</v>
      </c>
      <c r="Q375" s="186">
        <f>Dispers!$H$52</f>
        <v>2700</v>
      </c>
      <c r="R375" s="186">
        <f>Dispers!$H$52</f>
        <v>2700</v>
      </c>
      <c r="S375" s="186">
        <f>Dispers!$H$52</f>
        <v>2700</v>
      </c>
      <c r="T375" s="186">
        <f>Dispers!$H$52</f>
        <v>2700</v>
      </c>
      <c r="U375" s="186">
        <f>Dispers!$H$52</f>
        <v>2700</v>
      </c>
      <c r="V375" s="186">
        <f>Dispers!$H$52</f>
        <v>2700</v>
      </c>
      <c r="W375" s="186">
        <f>Dispers!$H$52</f>
        <v>2700</v>
      </c>
      <c r="X375" s="186">
        <f>Dispers!$H$52</f>
        <v>2700</v>
      </c>
      <c r="Y375" s="186">
        <f>Dispers!$H$52</f>
        <v>2700</v>
      </c>
      <c r="Z375" s="186">
        <f>Dispers!$H$52</f>
        <v>2700</v>
      </c>
      <c r="AA375" s="186">
        <f>Dispers!$H$52</f>
        <v>2700</v>
      </c>
      <c r="AB375" s="186">
        <f>Dispers!$H$52</f>
        <v>2700</v>
      </c>
      <c r="AC375" s="186">
        <f>Dispers!$H$52</f>
        <v>2700</v>
      </c>
      <c r="AD375" s="186">
        <f>Dispers!$H$52</f>
        <v>2700</v>
      </c>
      <c r="AE375" s="186">
        <f>Dispers!$H$52</f>
        <v>2700</v>
      </c>
      <c r="AF375" s="186">
        <f>Dispers!$H$52</f>
        <v>2700</v>
      </c>
      <c r="AG375" s="186">
        <f>Dispers!$H$52</f>
        <v>2700</v>
      </c>
      <c r="AH375" s="186">
        <f>Dispers!$H$52</f>
        <v>2700</v>
      </c>
      <c r="AI375" s="186">
        <f>Dispers!$H$52</f>
        <v>2700</v>
      </c>
      <c r="AJ375" s="186">
        <f>Dispers!$H$52</f>
        <v>2700</v>
      </c>
      <c r="AK375" s="186">
        <f>Dispers!$H$52</f>
        <v>2700</v>
      </c>
      <c r="AL375" s="186">
        <f>Dispers!$H$52</f>
        <v>2700</v>
      </c>
      <c r="AM375" s="186">
        <f>Dispers!$H$52</f>
        <v>2700</v>
      </c>
      <c r="AN375" s="186">
        <f>Dispers!$H$52</f>
        <v>2700</v>
      </c>
      <c r="AO375" s="186">
        <f>Dispers!$H$52</f>
        <v>2700</v>
      </c>
      <c r="AP375" s="186">
        <f>Dispers!$H$52</f>
        <v>2700</v>
      </c>
      <c r="AQ375" s="186">
        <f>Dispers!$H$52</f>
        <v>2700</v>
      </c>
      <c r="AR375" s="186">
        <f>Dispers!$H$52</f>
        <v>2700</v>
      </c>
      <c r="AS375" s="186">
        <f>Dispers!$H$52</f>
        <v>2700</v>
      </c>
      <c r="AT375" s="186">
        <f>Dispers!$H$52</f>
        <v>2700</v>
      </c>
      <c r="AU375" s="186">
        <f>Dispers!$H$52</f>
        <v>2700</v>
      </c>
      <c r="AV375" s="186">
        <f>Dispers!$H$52</f>
        <v>2700</v>
      </c>
      <c r="AW375" s="186">
        <f>Dispers!$H$52</f>
        <v>2700</v>
      </c>
      <c r="AX375" s="186">
        <f>Dispers!$H$52</f>
        <v>2700</v>
      </c>
      <c r="AY375" s="186">
        <f>Dispers!$H$52</f>
        <v>2700</v>
      </c>
      <c r="AZ375" s="186">
        <f>Dispers!$H$52</f>
        <v>2700</v>
      </c>
      <c r="BA375" s="186">
        <f>Dispers!$H$52</f>
        <v>2700</v>
      </c>
      <c r="BB375" s="186">
        <f>Dispers!$H$52</f>
        <v>2700</v>
      </c>
      <c r="BC375" s="186">
        <f>Dispers!$H$52</f>
        <v>2700</v>
      </c>
      <c r="BD375" s="186">
        <f>Dispers!$H$52</f>
        <v>2700</v>
      </c>
      <c r="BE375" s="186">
        <f>Dispers!$H$52</f>
        <v>2700</v>
      </c>
      <c r="BF375" s="186">
        <f>Dispers!$H$52</f>
        <v>2700</v>
      </c>
      <c r="BG375" s="186">
        <f>Dispers!$H$52</f>
        <v>2700</v>
      </c>
      <c r="BH375" s="186">
        <f>Dispers!$H$52</f>
        <v>2700</v>
      </c>
      <c r="BI375" s="186">
        <f>Dispers!$H$52</f>
        <v>2700</v>
      </c>
    </row>
    <row r="376" spans="1:61" s="43" customFormat="1">
      <c r="A376" s="397"/>
      <c r="B376" s="100"/>
      <c r="C376" s="2453"/>
      <c r="D376" s="2454"/>
      <c r="E376" s="3934" t="str">
        <f>'EmVap-Vol'!E300</f>
        <v>Période chronique</v>
      </c>
      <c r="F376" s="147"/>
      <c r="G376" s="146"/>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c r="BF376" s="113"/>
      <c r="BG376" s="113"/>
      <c r="BH376" s="113"/>
      <c r="BI376" s="113"/>
    </row>
    <row r="377" spans="1:61" s="26" customFormat="1" ht="30" customHeight="1">
      <c r="A377" s="399" t="s">
        <v>258</v>
      </c>
      <c r="B377" s="30" t="s">
        <v>258</v>
      </c>
      <c r="C377" s="2486"/>
      <c r="D377" s="2487"/>
      <c r="E377" s="3498" t="s">
        <v>501</v>
      </c>
      <c r="F377" s="14" t="s">
        <v>204</v>
      </c>
      <c r="G377" s="105" t="str">
        <f>'EmVap-Vol'!G317</f>
        <v>(mg/m2/s)/(mg/l)</v>
      </c>
      <c r="H377" s="113">
        <f>'EmVap-Vol'!H317</f>
        <v>2.5764948224191279E-3</v>
      </c>
      <c r="I377" s="113">
        <f>'EmVap-Vol'!I317</f>
        <v>2.5764948224191279E-3</v>
      </c>
      <c r="J377" s="113">
        <f>'EmVap-Vol'!J317</f>
        <v>1.112625783278918E-3</v>
      </c>
      <c r="K377" s="113">
        <f>'EmVap-Vol'!K317</f>
        <v>3.7031519823149957E-5</v>
      </c>
      <c r="L377" s="113">
        <f>'EmVap-Vol'!L317</f>
        <v>1.9806547167297369E-4</v>
      </c>
      <c r="M377" s="113">
        <f>'EmVap-Vol'!M317</f>
        <v>1.9806547167297369E-4</v>
      </c>
      <c r="N377" s="113">
        <f>'EmVap-Vol'!N317</f>
        <v>1.0042297681868412E-4</v>
      </c>
      <c r="O377" s="113">
        <f>'EmVap-Vol'!O317</f>
        <v>1.0042297681868412E-4</v>
      </c>
      <c r="P377" s="113">
        <f>'EmVap-Vol'!P317</f>
        <v>9.1984242694848056E-5</v>
      </c>
      <c r="Q377" s="113">
        <f>'EmVap-Vol'!Q317</f>
        <v>9.1984242694848056E-5</v>
      </c>
      <c r="R377" s="113">
        <f>'EmVap-Vol'!R317</f>
        <v>2.2883214292577979E-4</v>
      </c>
      <c r="S377" s="113">
        <f>'EmVap-Vol'!S317</f>
        <v>2.4391179769704181E-4</v>
      </c>
      <c r="T377" s="113">
        <f>'EmVap-Vol'!T317</f>
        <v>2.4391179769704181E-4</v>
      </c>
      <c r="U377" s="113">
        <f>'EmVap-Vol'!U317</f>
        <v>5.1808424319147455E-5</v>
      </c>
      <c r="V377" s="113">
        <f>'EmVap-Vol'!V317</f>
        <v>3.1652232047774111E-5</v>
      </c>
      <c r="W377" s="113">
        <f>'EmVap-Vol'!W317</f>
        <v>3.1652232047774111E-5</v>
      </c>
      <c r="X377" s="113">
        <f>'EmVap-Vol'!X317</f>
        <v>1.6499158432187349E-4</v>
      </c>
      <c r="Y377" s="113">
        <f>'EmVap-Vol'!Y317</f>
        <v>2.3806285265098821E-4</v>
      </c>
      <c r="Z377" s="113">
        <f>'EmVap-Vol'!Z317</f>
        <v>4.0198577074103924E-4</v>
      </c>
      <c r="AA377" s="113">
        <f>'EmVap-Vol'!AA317</f>
        <v>8.5601415741445673E-5</v>
      </c>
      <c r="AB377" s="113">
        <f>'EmVap-Vol'!AB317</f>
        <v>5.2981905375833833E-4</v>
      </c>
      <c r="AC377" s="113">
        <f>'EmVap-Vol'!AC317</f>
        <v>1.5440876592463897E-3</v>
      </c>
      <c r="AD377" s="113">
        <f>'EmVap-Vol'!AD317</f>
        <v>3.260679985266805E-3</v>
      </c>
      <c r="AE377" s="113">
        <f>'EmVap-Vol'!AE317</f>
        <v>8.1834178152156573E-3</v>
      </c>
      <c r="AF377" s="113">
        <f>'EmVap-Vol'!AF317</f>
        <v>2.8793209697515285E-2</v>
      </c>
      <c r="AG377" s="113">
        <f>'EmVap-Vol'!AG317</f>
        <v>2.3037141829500553E-5</v>
      </c>
      <c r="AH377" s="113">
        <f>'EmVap-Vol'!AH317</f>
        <v>3.0767898703010778E-5</v>
      </c>
      <c r="AI377" s="113">
        <f>'EmVap-Vol'!AI317</f>
        <v>7.5668479954487443E-5</v>
      </c>
      <c r="AJ377" s="113">
        <f>'EmVap-Vol'!AJ317</f>
        <v>3.1787716001271374E-4</v>
      </c>
      <c r="AK377" s="113">
        <f>'EmVap-Vol'!AK317</f>
        <v>1.106647559556946E-3</v>
      </c>
      <c r="AL377" s="113">
        <f>'EmVap-Vol'!AL317</f>
        <v>3.6724132026026172E-3</v>
      </c>
      <c r="AM377" s="113">
        <f>'EmVap-Vol'!AM317</f>
        <v>2.2766328102056917E-2</v>
      </c>
      <c r="AN377" s="113">
        <f>'EmVap-Vol'!AN317</f>
        <v>2.0037381258241342E-3</v>
      </c>
      <c r="AO377" s="113">
        <f>'EmVap-Vol'!AO317</f>
        <v>8.527468341706217E-3</v>
      </c>
      <c r="AP377" s="113">
        <f>'EmVap-Vol'!AP317</f>
        <v>6.8602595435671709E-3</v>
      </c>
      <c r="AQ377" s="113">
        <f>'EmVap-Vol'!AQ317</f>
        <v>9.9796986922249097E-3</v>
      </c>
      <c r="AR377" s="113">
        <f>'EmVap-Vol'!AR317</f>
        <v>1.7523625550676381E-2</v>
      </c>
      <c r="AS377" s="113">
        <f>'EmVap-Vol'!AS317</f>
        <v>1.6215960676793671E-2</v>
      </c>
      <c r="AT377" s="113">
        <f>'EmVap-Vol'!AT317</f>
        <v>2.7119710466022458E-2</v>
      </c>
      <c r="AU377" s="113">
        <f>'EmVap-Vol'!AU317</f>
        <v>2.7208780454095621E-2</v>
      </c>
      <c r="AV377" s="113">
        <f>'EmVap-Vol'!AV317</f>
        <v>2.9418297228811383E-2</v>
      </c>
      <c r="AW377" s="113">
        <f>'EmVap-Vol'!AW317</f>
        <v>2.9436226471907363E-2</v>
      </c>
      <c r="AX377" s="113">
        <f>'EmVap-Vol'!AX317</f>
        <v>2.9869500750778842E-2</v>
      </c>
      <c r="AY377" s="113">
        <f>'EmVap-Vol'!AY317</f>
        <v>2.9869500750778842E-2</v>
      </c>
      <c r="AZ377" s="113">
        <f>'EmVap-Vol'!AZ317</f>
        <v>2.9869500750778842E-2</v>
      </c>
      <c r="BA377" s="113">
        <f>'EmVap-Vol'!BA317</f>
        <v>2.9869500750778842E-2</v>
      </c>
      <c r="BB377" s="113">
        <f>'EmVap-Vol'!BB317</f>
        <v>2.9869500750778842E-2</v>
      </c>
      <c r="BC377" s="113">
        <f>'EmVap-Vol'!BC317</f>
        <v>2.9869500750778842E-2</v>
      </c>
      <c r="BD377" s="113">
        <f>'EmVap-Vol'!BD317</f>
        <v>2.0400798312485563E-2</v>
      </c>
      <c r="BE377" s="113">
        <f>'EmVap-Vol'!BE317</f>
        <v>2.9458026337854451E-2</v>
      </c>
      <c r="BF377" s="113">
        <f>'EmVap-Vol'!BF317</f>
        <v>2.9458026337854451E-2</v>
      </c>
      <c r="BG377" s="113">
        <f>'EmVap-Vol'!BG317</f>
        <v>3.7845498726782705E-5</v>
      </c>
      <c r="BH377" s="113">
        <f>'EmVap-Vol'!BH317</f>
        <v>1.8870302182173525E-2</v>
      </c>
      <c r="BI377" s="113">
        <f>'EmVap-Vol'!BI317</f>
        <v>4.4361531529352105E-3</v>
      </c>
    </row>
    <row r="378" spans="1:61" s="43" customFormat="1">
      <c r="A378" s="400"/>
      <c r="B378" s="35"/>
      <c r="C378" s="2492"/>
      <c r="D378" s="2493"/>
      <c r="E378" s="3929" t="s">
        <v>1285</v>
      </c>
      <c r="F378" s="96" t="s">
        <v>215</v>
      </c>
      <c r="G378" s="144" t="s">
        <v>206</v>
      </c>
      <c r="H378" s="135">
        <f>H377*H$375</f>
        <v>6.9565360205316455</v>
      </c>
      <c r="I378" s="135">
        <f t="shared" ref="I378:BI378" si="199">I377*I$375</f>
        <v>6.9565360205316455</v>
      </c>
      <c r="J378" s="135">
        <f>J377*J$375</f>
        <v>3.0040896148530787</v>
      </c>
      <c r="K378" s="135">
        <f t="shared" si="199"/>
        <v>9.9985103522504878E-2</v>
      </c>
      <c r="L378" s="135">
        <f t="shared" si="199"/>
        <v>0.53477677351702901</v>
      </c>
      <c r="M378" s="135">
        <f t="shared" si="199"/>
        <v>0.53477677351702901</v>
      </c>
      <c r="N378" s="135">
        <f>N377*N$375</f>
        <v>0.27114203741044712</v>
      </c>
      <c r="O378" s="135">
        <f>O377*O$375</f>
        <v>0.27114203741044712</v>
      </c>
      <c r="P378" s="135">
        <f t="shared" si="199"/>
        <v>0.24835745527608974</v>
      </c>
      <c r="Q378" s="135">
        <f t="shared" si="199"/>
        <v>0.24835745527608974</v>
      </c>
      <c r="R378" s="135">
        <f>R377*R$375</f>
        <v>0.6178467858996054</v>
      </c>
      <c r="S378" s="135">
        <f>S377*S$375</f>
        <v>0.65856185378201293</v>
      </c>
      <c r="T378" s="135">
        <f>T377*T$375</f>
        <v>0.65856185378201293</v>
      </c>
      <c r="U378" s="135">
        <f t="shared" si="199"/>
        <v>0.13988274566169812</v>
      </c>
      <c r="V378" s="135">
        <f t="shared" si="199"/>
        <v>8.5461026528990097E-2</v>
      </c>
      <c r="W378" s="135">
        <f t="shared" si="199"/>
        <v>8.5461026528990097E-2</v>
      </c>
      <c r="X378" s="135">
        <f t="shared" si="199"/>
        <v>0.44547727766905842</v>
      </c>
      <c r="Y378" s="135">
        <f t="shared" si="199"/>
        <v>0.64276970215766815</v>
      </c>
      <c r="Z378" s="135">
        <f t="shared" si="199"/>
        <v>1.0853615810008059</v>
      </c>
      <c r="AA378" s="135">
        <f t="shared" si="199"/>
        <v>0.23112382250190333</v>
      </c>
      <c r="AB378" s="135">
        <f t="shared" si="199"/>
        <v>1.4305114451475136</v>
      </c>
      <c r="AC378" s="135">
        <f t="shared" si="199"/>
        <v>4.1690366799652523</v>
      </c>
      <c r="AD378" s="135">
        <f t="shared" si="199"/>
        <v>8.8038359602203737</v>
      </c>
      <c r="AE378" s="135">
        <f t="shared" si="199"/>
        <v>22.095228101082274</v>
      </c>
      <c r="AF378" s="135">
        <f t="shared" si="199"/>
        <v>77.741666183291272</v>
      </c>
      <c r="AG378" s="135">
        <f t="shared" si="199"/>
        <v>6.2200282939651491E-2</v>
      </c>
      <c r="AH378" s="135">
        <f t="shared" si="199"/>
        <v>8.3073326498129096E-2</v>
      </c>
      <c r="AI378" s="135">
        <f t="shared" si="199"/>
        <v>0.20430489587711609</v>
      </c>
      <c r="AJ378" s="135">
        <f t="shared" si="199"/>
        <v>0.85826833203432706</v>
      </c>
      <c r="AK378" s="135">
        <f t="shared" si="199"/>
        <v>2.9879484108037544</v>
      </c>
      <c r="AL378" s="135">
        <f t="shared" si="199"/>
        <v>9.9155156470270658</v>
      </c>
      <c r="AM378" s="135">
        <f t="shared" si="199"/>
        <v>61.469085875553674</v>
      </c>
      <c r="AN378" s="135">
        <f t="shared" si="199"/>
        <v>5.4100929397251623</v>
      </c>
      <c r="AO378" s="135">
        <f t="shared" si="199"/>
        <v>23.024164522606785</v>
      </c>
      <c r="AP378" s="135">
        <f t="shared" si="199"/>
        <v>18.522700767631363</v>
      </c>
      <c r="AQ378" s="135">
        <f t="shared" si="199"/>
        <v>26.945186469007258</v>
      </c>
      <c r="AR378" s="135">
        <f t="shared" si="199"/>
        <v>47.313788986826225</v>
      </c>
      <c r="AS378" s="135">
        <f t="shared" si="199"/>
        <v>43.78309382734291</v>
      </c>
      <c r="AT378" s="135">
        <f t="shared" si="199"/>
        <v>73.223218258260644</v>
      </c>
      <c r="AU378" s="135">
        <f t="shared" si="199"/>
        <v>73.463707226058176</v>
      </c>
      <c r="AV378" s="135">
        <f t="shared" si="199"/>
        <v>79.429402517790734</v>
      </c>
      <c r="AW378" s="135">
        <f t="shared" si="199"/>
        <v>79.477811474149874</v>
      </c>
      <c r="AX378" s="135">
        <f t="shared" si="199"/>
        <v>80.647652027102879</v>
      </c>
      <c r="AY378" s="135">
        <f t="shared" si="199"/>
        <v>80.647652027102879</v>
      </c>
      <c r="AZ378" s="135">
        <f t="shared" si="199"/>
        <v>80.647652027102879</v>
      </c>
      <c r="BA378" s="135">
        <f t="shared" si="199"/>
        <v>80.647652027102879</v>
      </c>
      <c r="BB378" s="135">
        <f t="shared" si="199"/>
        <v>80.647652027102879</v>
      </c>
      <c r="BC378" s="135">
        <f t="shared" si="199"/>
        <v>80.647652027102879</v>
      </c>
      <c r="BD378" s="135">
        <f t="shared" si="199"/>
        <v>55.082155443711017</v>
      </c>
      <c r="BE378" s="135">
        <f t="shared" si="199"/>
        <v>79.536671112207017</v>
      </c>
      <c r="BF378" s="135">
        <f t="shared" si="199"/>
        <v>79.536671112207017</v>
      </c>
      <c r="BG378" s="135">
        <f t="shared" si="199"/>
        <v>0.1021828465623133</v>
      </c>
      <c r="BH378" s="135">
        <f t="shared" si="199"/>
        <v>50.949815891868518</v>
      </c>
      <c r="BI378" s="135">
        <f t="shared" si="199"/>
        <v>11.977613512925068</v>
      </c>
    </row>
    <row r="379" spans="1:61" s="43" customFormat="1">
      <c r="A379" s="398"/>
      <c r="B379" s="27"/>
      <c r="C379" s="2492"/>
      <c r="D379" s="2493"/>
      <c r="E379" s="3929" t="s">
        <v>1286</v>
      </c>
      <c r="F379" s="62" t="s">
        <v>216</v>
      </c>
      <c r="G379" s="107" t="s">
        <v>24</v>
      </c>
      <c r="H379" s="113">
        <f>H372*H378</f>
        <v>1.8326935358907451E-4</v>
      </c>
      <c r="I379" s="113">
        <f t="shared" ref="I379:BI379" si="200">I372*I378</f>
        <v>1.8326935358907451E-4</v>
      </c>
      <c r="J379" s="113">
        <f>J372*J378</f>
        <v>5.1954724031240027E-4</v>
      </c>
      <c r="K379" s="113">
        <f t="shared" si="200"/>
        <v>3.8527397260273966E-3</v>
      </c>
      <c r="L379" s="113">
        <f t="shared" si="200"/>
        <v>3.8527397260273979E-3</v>
      </c>
      <c r="M379" s="113">
        <f t="shared" si="200"/>
        <v>3.8527397260273979E-3</v>
      </c>
      <c r="N379" s="113">
        <f>N372*N378</f>
        <v>3.852739726027397E-3</v>
      </c>
      <c r="O379" s="113">
        <f>O372*O378</f>
        <v>3.852739726027397E-3</v>
      </c>
      <c r="P379" s="113">
        <f t="shared" si="200"/>
        <v>3.852739726027397E-3</v>
      </c>
      <c r="Q379" s="113">
        <f t="shared" si="200"/>
        <v>3.852739726027397E-3</v>
      </c>
      <c r="R379" s="113">
        <f>R372*R378</f>
        <v>3.852739726027397E-3</v>
      </c>
      <c r="S379" s="113">
        <f>S372*S378</f>
        <v>3.8527397260273979E-3</v>
      </c>
      <c r="T379" s="113">
        <f>T372*T378</f>
        <v>3.8527397260273979E-3</v>
      </c>
      <c r="U379" s="113">
        <f t="shared" si="200"/>
        <v>3.852739726027397E-3</v>
      </c>
      <c r="V379" s="113">
        <f t="shared" si="200"/>
        <v>3.8527397260273979E-3</v>
      </c>
      <c r="W379" s="113">
        <f t="shared" si="200"/>
        <v>3.8527397260273979E-3</v>
      </c>
      <c r="X379" s="113">
        <f t="shared" si="200"/>
        <v>3.852739726027397E-3</v>
      </c>
      <c r="Y379" s="113">
        <f t="shared" si="200"/>
        <v>3.852739726027397E-3</v>
      </c>
      <c r="Z379" s="113">
        <f t="shared" si="200"/>
        <v>3.8527397260273975E-3</v>
      </c>
      <c r="AA379" s="113">
        <f t="shared" si="200"/>
        <v>5.503913894324854E-4</v>
      </c>
      <c r="AB379" s="113">
        <f t="shared" si="200"/>
        <v>3.8527397260273975E-3</v>
      </c>
      <c r="AC379" s="113">
        <f t="shared" si="200"/>
        <v>2.1910285975081218E-3</v>
      </c>
      <c r="AD379" s="113">
        <f t="shared" si="200"/>
        <v>9.0562624690221805E-4</v>
      </c>
      <c r="AE379" s="113">
        <f t="shared" si="200"/>
        <v>2.8341004036882129E-4</v>
      </c>
      <c r="AF379" s="113">
        <f t="shared" si="200"/>
        <v>4.1330305877620029E-6</v>
      </c>
      <c r="AG379" s="113">
        <f t="shared" si="200"/>
        <v>3.852739726027397E-3</v>
      </c>
      <c r="AH379" s="113">
        <f t="shared" si="200"/>
        <v>3.852739726027397E-3</v>
      </c>
      <c r="AI379" s="113">
        <f t="shared" si="200"/>
        <v>3.8527397260273975E-3</v>
      </c>
      <c r="AJ379" s="113">
        <f t="shared" si="200"/>
        <v>3.8527397260273966E-3</v>
      </c>
      <c r="AK379" s="113">
        <f t="shared" si="200"/>
        <v>3.057723904504631E-3</v>
      </c>
      <c r="AL379" s="113">
        <f t="shared" si="200"/>
        <v>7.6923994670406834E-4</v>
      </c>
      <c r="AM379" s="113">
        <f t="shared" si="200"/>
        <v>3.3010617215334666E-5</v>
      </c>
      <c r="AN379" s="113">
        <f t="shared" si="200"/>
        <v>2.3125477375846224E-4</v>
      </c>
      <c r="AO379" s="113">
        <f t="shared" si="200"/>
        <v>2.6879369089601089E-4</v>
      </c>
      <c r="AP379" s="113">
        <f t="shared" si="200"/>
        <v>3.6176171393447387E-4</v>
      </c>
      <c r="AQ379" s="113">
        <f t="shared" si="200"/>
        <v>2.1308945809384025E-4</v>
      </c>
      <c r="AR379" s="113">
        <f t="shared" si="200"/>
        <v>7.4915094749098389E-5</v>
      </c>
      <c r="AS379" s="113">
        <f t="shared" si="200"/>
        <v>8.9541167335550271E-5</v>
      </c>
      <c r="AT379" s="113">
        <f t="shared" si="200"/>
        <v>1.0931033855780353E-5</v>
      </c>
      <c r="AU379" s="113">
        <f t="shared" si="200"/>
        <v>1.0550316074311256E-5</v>
      </c>
      <c r="AV379" s="113">
        <f t="shared" si="200"/>
        <v>1.8198245278698275E-6</v>
      </c>
      <c r="AW379" s="113">
        <f t="shared" si="200"/>
        <v>1.7546200148314317E-6</v>
      </c>
      <c r="AX379" s="113">
        <f t="shared" si="200"/>
        <v>6.2668463516107565E-8</v>
      </c>
      <c r="AY379" s="113">
        <f t="shared" si="200"/>
        <v>4.3009121771373053E-8</v>
      </c>
      <c r="AZ379" s="113">
        <f t="shared" si="200"/>
        <v>2.8720732067480395E-8</v>
      </c>
      <c r="BA379" s="113">
        <f t="shared" si="200"/>
        <v>4.9603637943133744E-9</v>
      </c>
      <c r="BB379" s="113">
        <f t="shared" si="200"/>
        <v>7.8539441547823533E-8</v>
      </c>
      <c r="BC379" s="113">
        <f t="shared" si="200"/>
        <v>2.0864102611577536E-14</v>
      </c>
      <c r="BD379" s="113">
        <f t="shared" si="200"/>
        <v>5.1527788990990898E-5</v>
      </c>
      <c r="BE379" s="113">
        <f t="shared" si="200"/>
        <v>1.6513937203581794E-6</v>
      </c>
      <c r="BF379" s="113">
        <f t="shared" si="200"/>
        <v>1.6513937203581794E-6</v>
      </c>
      <c r="BG379" s="113">
        <f t="shared" si="200"/>
        <v>1.7337328767123288E-3</v>
      </c>
      <c r="BH379" s="113">
        <f t="shared" si="200"/>
        <v>6.3380515669090117E-5</v>
      </c>
      <c r="BI379" s="113">
        <f t="shared" si="200"/>
        <v>1.1528613407185486E-4</v>
      </c>
    </row>
    <row r="380" spans="1:61" s="43" customFormat="1">
      <c r="A380" s="398"/>
      <c r="B380" s="27"/>
      <c r="C380" s="2492"/>
      <c r="D380" s="2493"/>
      <c r="E380" s="3938" t="str">
        <f>'EmVap-Vol'!E353</f>
        <v>Période enfant 0-6 ans (effets sans seuil)</v>
      </c>
      <c r="F380" s="62"/>
      <c r="G380" s="107"/>
      <c r="H380" s="113"/>
      <c r="I380" s="113"/>
      <c r="J380" s="113"/>
      <c r="K380" s="113"/>
      <c r="L380" s="113"/>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row>
    <row r="381" spans="1:61" s="26" customFormat="1" ht="30" customHeight="1">
      <c r="A381" s="399" t="s">
        <v>258</v>
      </c>
      <c r="B381" s="30" t="s">
        <v>258</v>
      </c>
      <c r="C381" s="2486"/>
      <c r="D381" s="2487"/>
      <c r="E381" s="3498" t="s">
        <v>501</v>
      </c>
      <c r="F381" s="14" t="s">
        <v>204</v>
      </c>
      <c r="G381" s="105" t="str">
        <f>'EmVap-Vol'!G368</f>
        <v>(mg/m2/s)/(mg/l)</v>
      </c>
      <c r="H381" s="113">
        <f>'EmVap-Vol'!H368</f>
        <v>2.7611588154692938E-3</v>
      </c>
      <c r="I381" s="113">
        <f>'EmVap-Vol'!I368</f>
        <v>2.7611588154692938E-3</v>
      </c>
      <c r="J381" s="113">
        <f>'EmVap-Vol'!J368</f>
        <v>1.1917699095500703E-3</v>
      </c>
      <c r="K381" s="113">
        <f>'EmVap-Vol'!K368</f>
        <v>6.1719199705249922E-6</v>
      </c>
      <c r="L381" s="113">
        <f>'EmVap-Vol'!L368</f>
        <v>3.3010911945495617E-5</v>
      </c>
      <c r="M381" s="113">
        <f>'EmVap-Vol'!M368</f>
        <v>3.3010911945495617E-5</v>
      </c>
      <c r="N381" s="113">
        <f>'EmVap-Vol'!N368</f>
        <v>1.673716280311402E-5</v>
      </c>
      <c r="O381" s="113">
        <f>'EmVap-Vol'!O368</f>
        <v>1.673716280311402E-5</v>
      </c>
      <c r="P381" s="113">
        <f>'EmVap-Vol'!P368</f>
        <v>1.5330707115808009E-5</v>
      </c>
      <c r="Q381" s="113">
        <f>'EmVap-Vol'!Q368</f>
        <v>1.5330707115808009E-5</v>
      </c>
      <c r="R381" s="113">
        <f>'EmVap-Vol'!R368</f>
        <v>3.8138690487629963E-5</v>
      </c>
      <c r="S381" s="113">
        <f>'EmVap-Vol'!S368</f>
        <v>4.0651966282840303E-5</v>
      </c>
      <c r="T381" s="113">
        <f>'EmVap-Vol'!T368</f>
        <v>4.0651966282840303E-5</v>
      </c>
      <c r="U381" s="113">
        <f>'EmVap-Vol'!U368</f>
        <v>8.6347373865245747E-6</v>
      </c>
      <c r="V381" s="113">
        <f>'EmVap-Vol'!V368</f>
        <v>5.2753720079623515E-6</v>
      </c>
      <c r="W381" s="113">
        <f>'EmVap-Vol'!W368</f>
        <v>5.2753720079623515E-6</v>
      </c>
      <c r="X381" s="113">
        <f>'EmVap-Vol'!X368</f>
        <v>2.7498597386978914E-5</v>
      </c>
      <c r="Y381" s="113">
        <f>'EmVap-Vol'!Y368</f>
        <v>3.9677142108498037E-5</v>
      </c>
      <c r="Z381" s="113">
        <f>'EmVap-Vol'!Z368</f>
        <v>6.6997628456839868E-5</v>
      </c>
      <c r="AA381" s="113">
        <f>'EmVap-Vol'!AA368</f>
        <v>9.9868318365019948E-5</v>
      </c>
      <c r="AB381" s="113">
        <f>'EmVap-Vol'!AB368</f>
        <v>8.8303175626389731E-5</v>
      </c>
      <c r="AC381" s="113">
        <f>'EmVap-Vol'!AC368</f>
        <v>4.5252473899040228E-4</v>
      </c>
      <c r="AD381" s="113">
        <f>'EmVap-Vol'!AD368</f>
        <v>1.4219867398119455E-3</v>
      </c>
      <c r="AE381" s="113">
        <f>'EmVap-Vol'!AE368</f>
        <v>3.7062866141572173E-3</v>
      </c>
      <c r="AF381" s="113">
        <f>'EmVap-Vol'!AF368</f>
        <v>2.4865972651449554E-2</v>
      </c>
      <c r="AG381" s="113">
        <f>'EmVap-Vol'!AG368</f>
        <v>3.8395236382500922E-6</v>
      </c>
      <c r="AH381" s="113">
        <f>'EmVap-Vol'!AH368</f>
        <v>5.1279831171684633E-6</v>
      </c>
      <c r="AI381" s="113">
        <f>'EmVap-Vol'!AI368</f>
        <v>1.2611413325747907E-5</v>
      </c>
      <c r="AJ381" s="113">
        <f>'EmVap-Vol'!AJ368</f>
        <v>5.2979526668785625E-5</v>
      </c>
      <c r="AK381" s="113">
        <f>'EmVap-Vol'!AK368</f>
        <v>2.3239644632047792E-4</v>
      </c>
      <c r="AL381" s="113">
        <f>'EmVap-Vol'!AL368</f>
        <v>1.5845468562462146E-3</v>
      </c>
      <c r="AM381" s="113">
        <f>'EmVap-Vol'!AM368</f>
        <v>1.3920687351322597E-2</v>
      </c>
      <c r="AN381" s="113">
        <f>'EmVap-Vol'!AN368</f>
        <v>2.1514119078826373E-3</v>
      </c>
      <c r="AO381" s="113">
        <f>'EmVap-Vol'!AO368</f>
        <v>3.8866996468078716E-3</v>
      </c>
      <c r="AP381" s="113">
        <f>'EmVap-Vol'!AP368</f>
        <v>3.0685706999959836E-3</v>
      </c>
      <c r="AQ381" s="113">
        <f>'EmVap-Vol'!AQ368</f>
        <v>4.629967975449849E-3</v>
      </c>
      <c r="AR381" s="113">
        <f>'EmVap-Vol'!AR368</f>
        <v>9.2657242924778851E-3</v>
      </c>
      <c r="AS381" s="113">
        <f>'EmVap-Vol'!AS368</f>
        <v>8.3406672167548861E-3</v>
      </c>
      <c r="AT381" s="113">
        <f>'EmVap-Vol'!AT368</f>
        <v>2.0396612538969988E-2</v>
      </c>
      <c r="AU381" s="113">
        <f>'EmVap-Vol'!AU368</f>
        <v>2.0586632386588734E-2</v>
      </c>
      <c r="AV381" s="113">
        <f>'EmVap-Vol'!AV368</f>
        <v>2.7299181462466758E-2</v>
      </c>
      <c r="AW381" s="113">
        <f>'EmVap-Vol'!AW368</f>
        <v>2.7379861242709164E-2</v>
      </c>
      <c r="AX381" s="113">
        <f>'EmVap-Vol'!AX368</f>
        <v>2.9815197895083852E-2</v>
      </c>
      <c r="AY381" s="113">
        <f>'EmVap-Vol'!AY368</f>
        <v>2.9848410274958301E-2</v>
      </c>
      <c r="AZ381" s="113">
        <f>'EmVap-Vol'!AZ368</f>
        <v>2.9869500750778842E-2</v>
      </c>
      <c r="BA381" s="113">
        <f>'EmVap-Vol'!BA368</f>
        <v>2.9869500750778842E-2</v>
      </c>
      <c r="BB381" s="113">
        <f>'EmVap-Vol'!BB368</f>
        <v>2.9785379724785215E-2</v>
      </c>
      <c r="BC381" s="113">
        <f>'EmVap-Vol'!BC368</f>
        <v>2.9869500750778842E-2</v>
      </c>
      <c r="BD381" s="113">
        <f>'EmVap-Vol'!BD368</f>
        <v>1.1608700489988294E-2</v>
      </c>
      <c r="BE381" s="113">
        <f>'EmVap-Vol'!BE368</f>
        <v>2.7502294645643657E-2</v>
      </c>
      <c r="BF381" s="113">
        <f>'EmVap-Vol'!BF368</f>
        <v>2.7502294645643657E-2</v>
      </c>
      <c r="BG381" s="113">
        <f>'EmVap-Vol'!BG368</f>
        <v>6.3075831211304503E-6</v>
      </c>
      <c r="BH381" s="113">
        <f>'EmVap-Vol'!BH368</f>
        <v>1.0318682424122184E-2</v>
      </c>
      <c r="BI381" s="113">
        <f>'EmVap-Vol'!BI368</f>
        <v>4.7252165815362583E-3</v>
      </c>
    </row>
    <row r="382" spans="1:61" s="43" customFormat="1">
      <c r="A382" s="400"/>
      <c r="B382" s="35"/>
      <c r="C382" s="2492"/>
      <c r="D382" s="2493"/>
      <c r="E382" s="3929" t="s">
        <v>1285</v>
      </c>
      <c r="F382" s="96" t="s">
        <v>215</v>
      </c>
      <c r="G382" s="144" t="s">
        <v>206</v>
      </c>
      <c r="H382" s="135">
        <f>H381*H$375</f>
        <v>7.4551288017670929</v>
      </c>
      <c r="I382" s="135">
        <f t="shared" ref="I382:BI382" si="201">I381*I$375</f>
        <v>7.4551288017670929</v>
      </c>
      <c r="J382" s="135">
        <f>J381*J$375</f>
        <v>3.21777875578519</v>
      </c>
      <c r="K382" s="135">
        <f t="shared" si="201"/>
        <v>1.6664183920417477E-2</v>
      </c>
      <c r="L382" s="135">
        <f t="shared" si="201"/>
        <v>8.9129462252838174E-2</v>
      </c>
      <c r="M382" s="135">
        <f t="shared" si="201"/>
        <v>8.9129462252838174E-2</v>
      </c>
      <c r="N382" s="135">
        <f>N381*N$375</f>
        <v>4.5190339568407852E-2</v>
      </c>
      <c r="O382" s="135">
        <f>O381*O$375</f>
        <v>4.5190339568407852E-2</v>
      </c>
      <c r="P382" s="135">
        <f t="shared" si="201"/>
        <v>4.1392909212681628E-2</v>
      </c>
      <c r="Q382" s="135">
        <f t="shared" si="201"/>
        <v>4.1392909212681628E-2</v>
      </c>
      <c r="R382" s="135">
        <f>R381*R$375</f>
        <v>0.1029744643166009</v>
      </c>
      <c r="S382" s="135">
        <f>S381*S$375</f>
        <v>0.10976030896366881</v>
      </c>
      <c r="T382" s="135">
        <f>T381*T$375</f>
        <v>0.10976030896366881</v>
      </c>
      <c r="U382" s="135">
        <f t="shared" si="201"/>
        <v>2.3313790943616353E-2</v>
      </c>
      <c r="V382" s="135">
        <f t="shared" si="201"/>
        <v>1.4243504421498349E-2</v>
      </c>
      <c r="W382" s="135">
        <f t="shared" si="201"/>
        <v>1.4243504421498349E-2</v>
      </c>
      <c r="X382" s="135">
        <f t="shared" si="201"/>
        <v>7.4246212944843071E-2</v>
      </c>
      <c r="Y382" s="135">
        <f t="shared" si="201"/>
        <v>0.10712828369294471</v>
      </c>
      <c r="Z382" s="135">
        <f t="shared" si="201"/>
        <v>0.18089359683346765</v>
      </c>
      <c r="AA382" s="135">
        <f t="shared" si="201"/>
        <v>0.26964445958555389</v>
      </c>
      <c r="AB382" s="135">
        <f t="shared" si="201"/>
        <v>0.23841857419125229</v>
      </c>
      <c r="AC382" s="135">
        <f t="shared" si="201"/>
        <v>1.2218167952740862</v>
      </c>
      <c r="AD382" s="135">
        <f t="shared" si="201"/>
        <v>3.839364197492253</v>
      </c>
      <c r="AE382" s="135">
        <f t="shared" si="201"/>
        <v>10.006973858224487</v>
      </c>
      <c r="AF382" s="135">
        <f t="shared" si="201"/>
        <v>67.138126158913792</v>
      </c>
      <c r="AG382" s="135">
        <f t="shared" si="201"/>
        <v>1.036671382327525E-2</v>
      </c>
      <c r="AH382" s="135">
        <f t="shared" si="201"/>
        <v>1.3845554416354851E-2</v>
      </c>
      <c r="AI382" s="135">
        <f t="shared" si="201"/>
        <v>3.4050815979519353E-2</v>
      </c>
      <c r="AJ382" s="135">
        <f t="shared" si="201"/>
        <v>0.14304472200572119</v>
      </c>
      <c r="AK382" s="135">
        <f t="shared" si="201"/>
        <v>0.62747040506529039</v>
      </c>
      <c r="AL382" s="135">
        <f t="shared" si="201"/>
        <v>4.2782765118647799</v>
      </c>
      <c r="AM382" s="135">
        <f t="shared" si="201"/>
        <v>37.585855848571015</v>
      </c>
      <c r="AN382" s="135">
        <f t="shared" si="201"/>
        <v>5.8088121512831208</v>
      </c>
      <c r="AO382" s="135">
        <f t="shared" si="201"/>
        <v>10.494089046381253</v>
      </c>
      <c r="AP382" s="135">
        <f t="shared" si="201"/>
        <v>8.2851408899891563</v>
      </c>
      <c r="AQ382" s="135">
        <f t="shared" si="201"/>
        <v>12.500913533714591</v>
      </c>
      <c r="AR382" s="135">
        <f t="shared" si="201"/>
        <v>25.017455589690289</v>
      </c>
      <c r="AS382" s="135">
        <f t="shared" si="201"/>
        <v>22.519801485238194</v>
      </c>
      <c r="AT382" s="135">
        <f t="shared" si="201"/>
        <v>55.070853855218971</v>
      </c>
      <c r="AU382" s="135">
        <f t="shared" si="201"/>
        <v>55.583907443789585</v>
      </c>
      <c r="AV382" s="135">
        <f t="shared" si="201"/>
        <v>73.707789948660249</v>
      </c>
      <c r="AW382" s="135">
        <f t="shared" si="201"/>
        <v>73.925625355314736</v>
      </c>
      <c r="AX382" s="135">
        <f t="shared" si="201"/>
        <v>80.501034316726404</v>
      </c>
      <c r="AY382" s="135">
        <f t="shared" si="201"/>
        <v>80.590707742387409</v>
      </c>
      <c r="AZ382" s="135">
        <f t="shared" si="201"/>
        <v>80.647652027102879</v>
      </c>
      <c r="BA382" s="135">
        <f t="shared" si="201"/>
        <v>80.647652027102879</v>
      </c>
      <c r="BB382" s="135">
        <f t="shared" si="201"/>
        <v>80.420525256920087</v>
      </c>
      <c r="BC382" s="135">
        <f t="shared" si="201"/>
        <v>80.647652027102879</v>
      </c>
      <c r="BD382" s="135">
        <f t="shared" si="201"/>
        <v>31.343491322968394</v>
      </c>
      <c r="BE382" s="135">
        <f t="shared" si="201"/>
        <v>74.25619554323788</v>
      </c>
      <c r="BF382" s="135">
        <f t="shared" si="201"/>
        <v>74.25619554323788</v>
      </c>
      <c r="BG382" s="135">
        <f t="shared" si="201"/>
        <v>1.7030474427052217E-2</v>
      </c>
      <c r="BH382" s="135">
        <f t="shared" si="201"/>
        <v>27.860442545129899</v>
      </c>
      <c r="BI382" s="135">
        <f t="shared" si="201"/>
        <v>12.758084770147898</v>
      </c>
    </row>
    <row r="383" spans="1:61" s="43" customFormat="1">
      <c r="A383" s="398"/>
      <c r="B383" s="27"/>
      <c r="C383" s="2492"/>
      <c r="D383" s="2493"/>
      <c r="E383" s="3938" t="str">
        <f>'EmVap-Vol'!E392</f>
        <v>Période adulte 6-70 ans (effets sans seuil)</v>
      </c>
      <c r="F383" s="62"/>
      <c r="G383" s="107"/>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c r="BF383" s="113"/>
      <c r="BG383" s="113"/>
      <c r="BH383" s="113"/>
      <c r="BI383" s="113"/>
    </row>
    <row r="384" spans="1:61" s="26" customFormat="1" ht="30" customHeight="1">
      <c r="A384" s="399" t="s">
        <v>258</v>
      </c>
      <c r="B384" s="30" t="s">
        <v>258</v>
      </c>
      <c r="C384" s="2486"/>
      <c r="D384" s="2487"/>
      <c r="E384" s="3498" t="s">
        <v>501</v>
      </c>
      <c r="F384" s="14" t="s">
        <v>204</v>
      </c>
      <c r="G384" s="105" t="str">
        <f>'EmVap-Vol'!G394</f>
        <v>(mg/m2/s)/(mg/l)</v>
      </c>
      <c r="H384" s="113">
        <f>'EmVap-Vol'!H394</f>
        <v>5.8745067997707497E-4</v>
      </c>
      <c r="I384" s="113">
        <f>'EmVap-Vol'!I394</f>
        <v>5.8745067997707497E-4</v>
      </c>
      <c r="J384" s="113">
        <f>'EmVap-Vol'!J394</f>
        <v>1.7189634837535599E-5</v>
      </c>
      <c r="K384" s="113">
        <f>'EmVap-Vol'!K394</f>
        <v>0</v>
      </c>
      <c r="L384" s="113">
        <f>'EmVap-Vol'!L394</f>
        <v>0</v>
      </c>
      <c r="M384" s="113">
        <f>'EmVap-Vol'!M394</f>
        <v>0</v>
      </c>
      <c r="N384" s="113">
        <f>'EmVap-Vol'!N394</f>
        <v>0</v>
      </c>
      <c r="O384" s="113">
        <f>'EmVap-Vol'!O394</f>
        <v>0</v>
      </c>
      <c r="P384" s="113">
        <f>'EmVap-Vol'!P394</f>
        <v>0</v>
      </c>
      <c r="Q384" s="113">
        <f>'EmVap-Vol'!Q394</f>
        <v>0</v>
      </c>
      <c r="R384" s="113">
        <f>'EmVap-Vol'!R394</f>
        <v>0</v>
      </c>
      <c r="S384" s="113">
        <f>'EmVap-Vol'!S394</f>
        <v>0</v>
      </c>
      <c r="T384" s="113">
        <f>'EmVap-Vol'!T394</f>
        <v>0</v>
      </c>
      <c r="U384" s="113">
        <f>'EmVap-Vol'!U394</f>
        <v>0</v>
      </c>
      <c r="V384" s="113">
        <f>'EmVap-Vol'!V394</f>
        <v>0</v>
      </c>
      <c r="W384" s="113">
        <f>'EmVap-Vol'!W394</f>
        <v>0</v>
      </c>
      <c r="X384" s="113">
        <f>'EmVap-Vol'!X394</f>
        <v>0</v>
      </c>
      <c r="Y384" s="113">
        <f>'EmVap-Vol'!Y394</f>
        <v>0</v>
      </c>
      <c r="Z384" s="113">
        <f>'EmVap-Vol'!Z394</f>
        <v>0</v>
      </c>
      <c r="AA384" s="113">
        <f>'EmVap-Vol'!AA394</f>
        <v>0</v>
      </c>
      <c r="AB384" s="113">
        <f>'EmVap-Vol'!AB394</f>
        <v>0</v>
      </c>
      <c r="AC384" s="113">
        <f>'EmVap-Vol'!AC394</f>
        <v>0</v>
      </c>
      <c r="AD384" s="113">
        <f>'EmVap-Vol'!AD394</f>
        <v>8.3433636456636402E-5</v>
      </c>
      <c r="AE384" s="113">
        <f>'EmVap-Vol'!AE394</f>
        <v>9.4267493836383998E-4</v>
      </c>
      <c r="AF384" s="113">
        <f>'EmVap-Vol'!AF394</f>
        <v>1.21557239849064E-2</v>
      </c>
      <c r="AG384" s="113">
        <f>'EmVap-Vol'!AG394</f>
        <v>0</v>
      </c>
      <c r="AH384" s="113">
        <f>'EmVap-Vol'!AH394</f>
        <v>0</v>
      </c>
      <c r="AI384" s="113">
        <f>'EmVap-Vol'!AI394</f>
        <v>0</v>
      </c>
      <c r="AJ384" s="113">
        <f>'EmVap-Vol'!AJ394</f>
        <v>0</v>
      </c>
      <c r="AK384" s="113">
        <f>'EmVap-Vol'!AK394</f>
        <v>0</v>
      </c>
      <c r="AL384" s="113">
        <f>'EmVap-Vol'!AL394</f>
        <v>1.38843864442279E-4</v>
      </c>
      <c r="AM384" s="113">
        <f>'EmVap-Vol'!AM394</f>
        <v>4.2757681084895204E-3</v>
      </c>
      <c r="AN384" s="113">
        <f>'EmVap-Vol'!AN394</f>
        <v>3.1990797941535402E-4</v>
      </c>
      <c r="AO384" s="113">
        <f>'EmVap-Vol'!AO394</f>
        <v>1.0002874728102201E-3</v>
      </c>
      <c r="AP384" s="113">
        <f>'EmVap-Vol'!AP394</f>
        <v>7.8697939702156996E-4</v>
      </c>
      <c r="AQ384" s="113">
        <f>'EmVap-Vol'!AQ394</f>
        <v>1.19337608713751E-3</v>
      </c>
      <c r="AR384" s="113">
        <f>'EmVap-Vol'!AR394</f>
        <v>2.5626006361169598E-3</v>
      </c>
      <c r="AS384" s="113">
        <f>'EmVap-Vol'!AS394</f>
        <v>2.2658118850879499E-3</v>
      </c>
      <c r="AT384" s="113">
        <f>'EmVap-Vol'!AT394</f>
        <v>7.8264027056438902E-3</v>
      </c>
      <c r="AU384" s="113">
        <f>'EmVap-Vol'!AU394</f>
        <v>7.9642223147865406E-3</v>
      </c>
      <c r="AV384" s="113">
        <f>'EmVap-Vol'!AV394</f>
        <v>1.65176521363463E-2</v>
      </c>
      <c r="AW384" s="113">
        <f>'EmVap-Vol'!AW394</f>
        <v>1.6718023816415899E-2</v>
      </c>
      <c r="AX384" s="113">
        <f>'EmVap-Vol'!AX394</f>
        <v>2.8667965556826699E-2</v>
      </c>
      <c r="AY384" s="113">
        <f>'EmVap-Vol'!AY394</f>
        <v>2.90403847529337E-2</v>
      </c>
      <c r="AZ384" s="113">
        <f>'EmVap-Vol'!AZ394</f>
        <v>2.9322782989817098E-2</v>
      </c>
      <c r="BA384" s="113">
        <f>'EmVap-Vol'!BA394</f>
        <v>2.9813619858737601E-2</v>
      </c>
      <c r="BB384" s="113">
        <f>'EmVap-Vol'!BB394</f>
        <v>2.83765380003769E-2</v>
      </c>
      <c r="BC384" s="113">
        <f>'EmVap-Vol'!BC394</f>
        <v>2.98695002566019E-2</v>
      </c>
      <c r="BD384" s="113">
        <f>'EmVap-Vol'!BD394</f>
        <v>3.5108166726236299E-3</v>
      </c>
      <c r="BE384" s="113">
        <f>'EmVap-Vol'!BE394</f>
        <v>1.7043315645652899E-2</v>
      </c>
      <c r="BF384" s="113">
        <f>'EmVap-Vol'!BF394</f>
        <v>1.7043315645652899E-2</v>
      </c>
      <c r="BG384" s="113">
        <f>'EmVap-Vol'!BG394</f>
        <v>0</v>
      </c>
      <c r="BH384" s="113">
        <f>'EmVap-Vol'!BH394</f>
        <v>2.99117155061747E-3</v>
      </c>
      <c r="BI384" s="113">
        <f>'EmVap-Vol'!BI394</f>
        <v>1.4788543198106701E-3</v>
      </c>
    </row>
    <row r="385" spans="1:61" s="2542" customFormat="1">
      <c r="A385" s="2538"/>
      <c r="B385" s="2539"/>
      <c r="C385" s="2540"/>
      <c r="D385" s="2541"/>
      <c r="E385" s="3940" t="s">
        <v>1285</v>
      </c>
      <c r="F385" s="2449" t="s">
        <v>215</v>
      </c>
      <c r="G385" s="2450" t="s">
        <v>206</v>
      </c>
      <c r="H385" s="236">
        <f>H384*H$375</f>
        <v>1.5861168359381024</v>
      </c>
      <c r="I385" s="236">
        <f t="shared" ref="I385:BI385" si="202">I384*I$375</f>
        <v>1.5861168359381024</v>
      </c>
      <c r="J385" s="236">
        <f>J384*J$375</f>
        <v>4.6412014061346117E-2</v>
      </c>
      <c r="K385" s="236">
        <f t="shared" si="202"/>
        <v>0</v>
      </c>
      <c r="L385" s="236">
        <f t="shared" si="202"/>
        <v>0</v>
      </c>
      <c r="M385" s="236">
        <f t="shared" si="202"/>
        <v>0</v>
      </c>
      <c r="N385" s="236">
        <f>N384*N$375</f>
        <v>0</v>
      </c>
      <c r="O385" s="236">
        <f>O384*O$375</f>
        <v>0</v>
      </c>
      <c r="P385" s="236">
        <f t="shared" si="202"/>
        <v>0</v>
      </c>
      <c r="Q385" s="236">
        <f t="shared" si="202"/>
        <v>0</v>
      </c>
      <c r="R385" s="236">
        <f>R384*R$375</f>
        <v>0</v>
      </c>
      <c r="S385" s="236">
        <f>S384*S$375</f>
        <v>0</v>
      </c>
      <c r="T385" s="236">
        <f>T384*T$375</f>
        <v>0</v>
      </c>
      <c r="U385" s="236">
        <f t="shared" si="202"/>
        <v>0</v>
      </c>
      <c r="V385" s="236">
        <f t="shared" si="202"/>
        <v>0</v>
      </c>
      <c r="W385" s="236">
        <f t="shared" si="202"/>
        <v>0</v>
      </c>
      <c r="X385" s="236">
        <f t="shared" si="202"/>
        <v>0</v>
      </c>
      <c r="Y385" s="236">
        <f t="shared" si="202"/>
        <v>0</v>
      </c>
      <c r="Z385" s="236">
        <f t="shared" si="202"/>
        <v>0</v>
      </c>
      <c r="AA385" s="236">
        <f t="shared" si="202"/>
        <v>0</v>
      </c>
      <c r="AB385" s="236">
        <f t="shared" si="202"/>
        <v>0</v>
      </c>
      <c r="AC385" s="236">
        <f t="shared" si="202"/>
        <v>0</v>
      </c>
      <c r="AD385" s="236">
        <f t="shared" si="202"/>
        <v>0.2252708184329183</v>
      </c>
      <c r="AE385" s="236">
        <f t="shared" si="202"/>
        <v>2.5452223335823678</v>
      </c>
      <c r="AF385" s="236">
        <f t="shared" si="202"/>
        <v>32.820454759247276</v>
      </c>
      <c r="AG385" s="236">
        <f t="shared" si="202"/>
        <v>0</v>
      </c>
      <c r="AH385" s="236">
        <f t="shared" si="202"/>
        <v>0</v>
      </c>
      <c r="AI385" s="236">
        <f t="shared" si="202"/>
        <v>0</v>
      </c>
      <c r="AJ385" s="236">
        <f t="shared" si="202"/>
        <v>0</v>
      </c>
      <c r="AK385" s="236">
        <f t="shared" si="202"/>
        <v>0</v>
      </c>
      <c r="AL385" s="236">
        <f t="shared" si="202"/>
        <v>0.37487843399415333</v>
      </c>
      <c r="AM385" s="236">
        <f t="shared" si="202"/>
        <v>11.544573892921704</v>
      </c>
      <c r="AN385" s="236">
        <f t="shared" si="202"/>
        <v>0.86375154442145585</v>
      </c>
      <c r="AO385" s="236">
        <f t="shared" si="202"/>
        <v>2.7007761765875942</v>
      </c>
      <c r="AP385" s="236">
        <f t="shared" si="202"/>
        <v>2.1248443719582388</v>
      </c>
      <c r="AQ385" s="236">
        <f t="shared" si="202"/>
        <v>3.2221154352712769</v>
      </c>
      <c r="AR385" s="236">
        <f t="shared" si="202"/>
        <v>6.9190217175157915</v>
      </c>
      <c r="AS385" s="236">
        <f t="shared" si="202"/>
        <v>6.1176920897374645</v>
      </c>
      <c r="AT385" s="236">
        <f t="shared" si="202"/>
        <v>21.131287305238505</v>
      </c>
      <c r="AU385" s="236">
        <f t="shared" si="202"/>
        <v>21.503400249923658</v>
      </c>
      <c r="AV385" s="236">
        <f t="shared" si="202"/>
        <v>44.597660768135007</v>
      </c>
      <c r="AW385" s="236">
        <f t="shared" si="202"/>
        <v>45.13866430432293</v>
      </c>
      <c r="AX385" s="236">
        <f t="shared" si="202"/>
        <v>77.403507003432082</v>
      </c>
      <c r="AY385" s="236">
        <f t="shared" si="202"/>
        <v>78.409038832920984</v>
      </c>
      <c r="AZ385" s="236">
        <f t="shared" si="202"/>
        <v>79.17151407250617</v>
      </c>
      <c r="BA385" s="236">
        <f t="shared" si="202"/>
        <v>80.496773618591519</v>
      </c>
      <c r="BB385" s="236">
        <f t="shared" si="202"/>
        <v>76.616652601017634</v>
      </c>
      <c r="BC385" s="236">
        <f t="shared" si="202"/>
        <v>80.647650692825124</v>
      </c>
      <c r="BD385" s="236">
        <f t="shared" si="202"/>
        <v>9.4792050160838013</v>
      </c>
      <c r="BE385" s="236">
        <f t="shared" si="202"/>
        <v>46.016952243262828</v>
      </c>
      <c r="BF385" s="236">
        <f t="shared" si="202"/>
        <v>46.016952243262828</v>
      </c>
      <c r="BG385" s="236">
        <f t="shared" si="202"/>
        <v>0</v>
      </c>
      <c r="BH385" s="236">
        <f t="shared" si="202"/>
        <v>8.0761631866671681</v>
      </c>
      <c r="BI385" s="236">
        <f t="shared" si="202"/>
        <v>3.9929066634888093</v>
      </c>
    </row>
    <row r="386" spans="1:61" s="43" customFormat="1">
      <c r="A386" s="398"/>
      <c r="B386" s="27"/>
      <c r="C386" s="2492"/>
      <c r="D386" s="2493"/>
      <c r="E386" s="3929"/>
      <c r="F386" s="62"/>
      <c r="G386" s="107"/>
      <c r="H386" s="113"/>
      <c r="I386" s="113"/>
      <c r="J386" s="113"/>
      <c r="K386" s="113"/>
      <c r="L386" s="113"/>
      <c r="M386" s="113"/>
      <c r="N386" s="113"/>
      <c r="O386" s="113"/>
      <c r="P386" s="113"/>
      <c r="Q386" s="113"/>
      <c r="R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row>
    <row r="387" spans="1:61">
      <c r="A387" s="397"/>
      <c r="B387" s="97"/>
      <c r="C387" s="2492"/>
      <c r="D387" s="2493"/>
      <c r="E387" s="3933" t="s">
        <v>209</v>
      </c>
      <c r="F387" s="62"/>
      <c r="G387" s="107"/>
      <c r="H387" s="113"/>
      <c r="I387" s="113"/>
      <c r="J387" s="113"/>
      <c r="K387" s="113"/>
      <c r="L387" s="113"/>
      <c r="M387" s="113"/>
      <c r="N387" s="113"/>
      <c r="O387" s="113"/>
      <c r="P387" s="113"/>
      <c r="Q387" s="113"/>
      <c r="R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row>
    <row r="388" spans="1:61">
      <c r="A388" s="397"/>
      <c r="B388" s="97"/>
      <c r="C388" s="2492" t="s">
        <v>145</v>
      </c>
      <c r="D388" s="2493"/>
      <c r="E388" s="3941" t="s">
        <v>1178</v>
      </c>
      <c r="F388" s="18" t="s">
        <v>181</v>
      </c>
      <c r="G388" s="117" t="s">
        <v>182</v>
      </c>
      <c r="H388" s="163">
        <f>FEM!$H$15</f>
        <v>19.5</v>
      </c>
      <c r="I388" s="163">
        <f>FEM!$H$15</f>
        <v>19.5</v>
      </c>
      <c r="J388" s="163">
        <f>FEM!$H$15</f>
        <v>19.5</v>
      </c>
      <c r="K388" s="163">
        <f>FEM!$H$15</f>
        <v>19.5</v>
      </c>
      <c r="L388" s="163">
        <f>FEM!$H$15</f>
        <v>19.5</v>
      </c>
      <c r="M388" s="163">
        <f>FEM!$H$15</f>
        <v>19.5</v>
      </c>
      <c r="N388" s="163">
        <f>FEM!$H$15</f>
        <v>19.5</v>
      </c>
      <c r="O388" s="163">
        <f>FEM!$H$15</f>
        <v>19.5</v>
      </c>
      <c r="P388" s="163">
        <f>FEM!$H$15</f>
        <v>19.5</v>
      </c>
      <c r="Q388" s="163">
        <f>FEM!$H$15</f>
        <v>19.5</v>
      </c>
      <c r="R388" s="163">
        <f>FEM!$H$15</f>
        <v>19.5</v>
      </c>
      <c r="S388" s="163">
        <f>FEM!$H$15</f>
        <v>19.5</v>
      </c>
      <c r="T388" s="163">
        <f>FEM!$H$15</f>
        <v>19.5</v>
      </c>
      <c r="U388" s="163">
        <f>FEM!$H$15</f>
        <v>19.5</v>
      </c>
      <c r="V388" s="163">
        <f>FEM!$H$15</f>
        <v>19.5</v>
      </c>
      <c r="W388" s="163">
        <f>FEM!$H$15</f>
        <v>19.5</v>
      </c>
      <c r="X388" s="163">
        <f>FEM!$H$15</f>
        <v>19.5</v>
      </c>
      <c r="Y388" s="163">
        <f>FEM!$H$15</f>
        <v>19.5</v>
      </c>
      <c r="Z388" s="163">
        <f>FEM!$H$15</f>
        <v>19.5</v>
      </c>
      <c r="AA388" s="163">
        <f>FEM!$H$15</f>
        <v>19.5</v>
      </c>
      <c r="AB388" s="163">
        <f>FEM!$H$15</f>
        <v>19.5</v>
      </c>
      <c r="AC388" s="163">
        <f>FEM!$H$15</f>
        <v>19.5</v>
      </c>
      <c r="AD388" s="163">
        <f>FEM!$H$15</f>
        <v>19.5</v>
      </c>
      <c r="AE388" s="163">
        <f>FEM!$H$15</f>
        <v>19.5</v>
      </c>
      <c r="AF388" s="163">
        <f>FEM!$H$15</f>
        <v>19.5</v>
      </c>
      <c r="AG388" s="163">
        <f>FEM!$H$15</f>
        <v>19.5</v>
      </c>
      <c r="AH388" s="163">
        <f>FEM!$H$15</f>
        <v>19.5</v>
      </c>
      <c r="AI388" s="163">
        <f>FEM!$H$15</f>
        <v>19.5</v>
      </c>
      <c r="AJ388" s="163">
        <f>FEM!$H$15</f>
        <v>19.5</v>
      </c>
      <c r="AK388" s="163">
        <f>FEM!$H$15</f>
        <v>19.5</v>
      </c>
      <c r="AL388" s="163">
        <f>FEM!$H$15</f>
        <v>19.5</v>
      </c>
      <c r="AM388" s="163">
        <f>FEM!$H$15</f>
        <v>19.5</v>
      </c>
      <c r="AN388" s="163">
        <f>FEM!$H$15</f>
        <v>19.5</v>
      </c>
      <c r="AO388" s="163">
        <f>FEM!$H$15</f>
        <v>19.5</v>
      </c>
      <c r="AP388" s="163">
        <f>FEM!$H$15</f>
        <v>19.5</v>
      </c>
      <c r="AQ388" s="163">
        <f>FEM!$H$15</f>
        <v>19.5</v>
      </c>
      <c r="AR388" s="163">
        <f>FEM!$H$15</f>
        <v>19.5</v>
      </c>
      <c r="AS388" s="163">
        <f>FEM!$H$15</f>
        <v>19.5</v>
      </c>
      <c r="AT388" s="163">
        <f>FEM!$H$15</f>
        <v>19.5</v>
      </c>
      <c r="AU388" s="163">
        <f>FEM!$H$15</f>
        <v>19.5</v>
      </c>
      <c r="AV388" s="163">
        <f>FEM!$H$15</f>
        <v>19.5</v>
      </c>
      <c r="AW388" s="163">
        <f>FEM!$H$15</f>
        <v>19.5</v>
      </c>
      <c r="AX388" s="163">
        <f>FEM!$H$15</f>
        <v>19.5</v>
      </c>
      <c r="AY388" s="163">
        <f>FEM!$H$15</f>
        <v>19.5</v>
      </c>
      <c r="AZ388" s="163">
        <f>FEM!$H$15</f>
        <v>19.5</v>
      </c>
      <c r="BA388" s="163">
        <f>FEM!$H$15</f>
        <v>19.5</v>
      </c>
      <c r="BB388" s="163">
        <f>FEM!$H$15</f>
        <v>19.5</v>
      </c>
      <c r="BC388" s="163">
        <f>FEM!$H$15</f>
        <v>19.5</v>
      </c>
      <c r="BD388" s="163">
        <f>FEM!$H$15</f>
        <v>19.5</v>
      </c>
      <c r="BE388" s="163">
        <f>FEM!$H$15</f>
        <v>19.5</v>
      </c>
      <c r="BF388" s="163">
        <f>FEM!$H$15</f>
        <v>19.5</v>
      </c>
      <c r="BG388" s="163">
        <f>FEM!$H$15</f>
        <v>19.5</v>
      </c>
      <c r="BH388" s="163">
        <f>FEM!$H$15</f>
        <v>19.5</v>
      </c>
      <c r="BI388" s="163">
        <f>FEM!$H$15</f>
        <v>19.5</v>
      </c>
    </row>
    <row r="389" spans="1:61" s="41" customFormat="1">
      <c r="A389" s="401"/>
      <c r="B389" s="154"/>
      <c r="C389" s="2492"/>
      <c r="D389" s="2493"/>
      <c r="E389" s="3941" t="s">
        <v>1160</v>
      </c>
      <c r="F389" s="18" t="s">
        <v>210</v>
      </c>
      <c r="G389" s="117" t="s">
        <v>182</v>
      </c>
      <c r="H389" s="227">
        <f>FEM!$I$15</f>
        <v>1.6714285714285715</v>
      </c>
      <c r="I389" s="227">
        <f>FEM!$I$15</f>
        <v>1.6714285714285715</v>
      </c>
      <c r="J389" s="227">
        <f>FEM!$I$15</f>
        <v>1.6714285714285715</v>
      </c>
      <c r="K389" s="227">
        <f>FEM!$I$15</f>
        <v>1.6714285714285715</v>
      </c>
      <c r="L389" s="227">
        <f>FEM!$I$15</f>
        <v>1.6714285714285715</v>
      </c>
      <c r="M389" s="227">
        <f>FEM!$I$15</f>
        <v>1.6714285714285715</v>
      </c>
      <c r="N389" s="227">
        <f>FEM!$I$15</f>
        <v>1.6714285714285715</v>
      </c>
      <c r="O389" s="227">
        <f>FEM!$I$15</f>
        <v>1.6714285714285715</v>
      </c>
      <c r="P389" s="227">
        <f>FEM!$I$15</f>
        <v>1.6714285714285715</v>
      </c>
      <c r="Q389" s="227">
        <f>FEM!$I$15</f>
        <v>1.6714285714285715</v>
      </c>
      <c r="R389" s="227">
        <f>FEM!$I$15</f>
        <v>1.6714285714285715</v>
      </c>
      <c r="S389" s="227">
        <f>FEM!$I$15</f>
        <v>1.6714285714285715</v>
      </c>
      <c r="T389" s="227">
        <f>FEM!$I$15</f>
        <v>1.6714285714285715</v>
      </c>
      <c r="U389" s="227">
        <f>FEM!$I$15</f>
        <v>1.6714285714285715</v>
      </c>
      <c r="V389" s="227">
        <f>FEM!$I$15</f>
        <v>1.6714285714285715</v>
      </c>
      <c r="W389" s="227">
        <f>FEM!$I$15</f>
        <v>1.6714285714285715</v>
      </c>
      <c r="X389" s="227">
        <f>FEM!$I$15</f>
        <v>1.6714285714285715</v>
      </c>
      <c r="Y389" s="227">
        <f>FEM!$I$15</f>
        <v>1.6714285714285715</v>
      </c>
      <c r="Z389" s="227">
        <f>FEM!$I$15</f>
        <v>1.6714285714285715</v>
      </c>
      <c r="AA389" s="227">
        <f>FEM!$I$15</f>
        <v>1.6714285714285715</v>
      </c>
      <c r="AB389" s="227">
        <f>FEM!$I$15</f>
        <v>1.6714285714285715</v>
      </c>
      <c r="AC389" s="227">
        <f>FEM!$I$15</f>
        <v>1.6714285714285715</v>
      </c>
      <c r="AD389" s="227">
        <f>FEM!$I$15</f>
        <v>1.6714285714285715</v>
      </c>
      <c r="AE389" s="227">
        <f>FEM!$I$15</f>
        <v>1.6714285714285715</v>
      </c>
      <c r="AF389" s="227">
        <f>FEM!$I$15</f>
        <v>1.6714285714285715</v>
      </c>
      <c r="AG389" s="227">
        <f>FEM!$I$15</f>
        <v>1.6714285714285715</v>
      </c>
      <c r="AH389" s="227">
        <f>FEM!$I$15</f>
        <v>1.6714285714285715</v>
      </c>
      <c r="AI389" s="227">
        <f>FEM!$I$15</f>
        <v>1.6714285714285715</v>
      </c>
      <c r="AJ389" s="227">
        <f>FEM!$I$15</f>
        <v>1.6714285714285715</v>
      </c>
      <c r="AK389" s="227">
        <f>FEM!$I$15</f>
        <v>1.6714285714285715</v>
      </c>
      <c r="AL389" s="227">
        <f>FEM!$I$15</f>
        <v>1.6714285714285715</v>
      </c>
      <c r="AM389" s="227">
        <f>FEM!$I$15</f>
        <v>1.6714285714285715</v>
      </c>
      <c r="AN389" s="227">
        <f>FEM!$I$15</f>
        <v>1.6714285714285715</v>
      </c>
      <c r="AO389" s="227">
        <f>FEM!$I$15</f>
        <v>1.6714285714285715</v>
      </c>
      <c r="AP389" s="227">
        <f>FEM!$I$15</f>
        <v>1.6714285714285715</v>
      </c>
      <c r="AQ389" s="227">
        <f>FEM!$I$15</f>
        <v>1.6714285714285715</v>
      </c>
      <c r="AR389" s="227">
        <f>FEM!$I$15</f>
        <v>1.6714285714285715</v>
      </c>
      <c r="AS389" s="227">
        <f>FEM!$I$15</f>
        <v>1.6714285714285715</v>
      </c>
      <c r="AT389" s="227">
        <f>FEM!$I$15</f>
        <v>1.6714285714285715</v>
      </c>
      <c r="AU389" s="227">
        <f>FEM!$I$15</f>
        <v>1.6714285714285715</v>
      </c>
      <c r="AV389" s="227">
        <f>FEM!$I$15</f>
        <v>1.6714285714285715</v>
      </c>
      <c r="AW389" s="227">
        <f>FEM!$I$15</f>
        <v>1.6714285714285715</v>
      </c>
      <c r="AX389" s="227">
        <f>FEM!$I$15</f>
        <v>1.6714285714285715</v>
      </c>
      <c r="AY389" s="227">
        <f>FEM!$I$15</f>
        <v>1.6714285714285715</v>
      </c>
      <c r="AZ389" s="227">
        <f>FEM!$I$15</f>
        <v>1.6714285714285715</v>
      </c>
      <c r="BA389" s="227">
        <f>FEM!$I$15</f>
        <v>1.6714285714285715</v>
      </c>
      <c r="BB389" s="227">
        <f>FEM!$I$15</f>
        <v>1.6714285714285715</v>
      </c>
      <c r="BC389" s="227">
        <f>FEM!$I$15</f>
        <v>1.6714285714285715</v>
      </c>
      <c r="BD389" s="227">
        <f>FEM!$I$15</f>
        <v>1.6714285714285715</v>
      </c>
      <c r="BE389" s="227">
        <f>FEM!$I$15</f>
        <v>1.6714285714285715</v>
      </c>
      <c r="BF389" s="227">
        <f>FEM!$I$15</f>
        <v>1.6714285714285715</v>
      </c>
      <c r="BG389" s="227">
        <f>FEM!$I$15</f>
        <v>1.6714285714285715</v>
      </c>
      <c r="BH389" s="227">
        <f>FEM!$I$15</f>
        <v>1.6714285714285715</v>
      </c>
      <c r="BI389" s="227">
        <f>FEM!$I$15</f>
        <v>1.6714285714285715</v>
      </c>
    </row>
    <row r="390" spans="1:61" s="2464" customFormat="1">
      <c r="A390" s="2461"/>
      <c r="B390" s="2462"/>
      <c r="C390" s="2492"/>
      <c r="D390" s="2493"/>
      <c r="E390" s="3932" t="s">
        <v>1183</v>
      </c>
      <c r="F390" s="2441" t="s">
        <v>1155</v>
      </c>
      <c r="G390" s="2431" t="s">
        <v>1156</v>
      </c>
      <c r="H390" s="2463">
        <f>IF(H$10&gt;0,H388/24/H$10,0)</f>
        <v>4.0625</v>
      </c>
      <c r="I390" s="2463">
        <f t="shared" ref="I390:BI390" si="203">IF(I$10&gt;0,I388/24/I$10,0)</f>
        <v>4.0625</v>
      </c>
      <c r="J390" s="2463">
        <f>IF(J$10&gt;0,J388/24/J$10,0)</f>
        <v>0.16250000000000001</v>
      </c>
      <c r="K390" s="2463">
        <f t="shared" si="203"/>
        <v>14.508928571428571</v>
      </c>
      <c r="L390" s="2463">
        <f t="shared" si="203"/>
        <v>13.541666666666668</v>
      </c>
      <c r="M390" s="2463">
        <f t="shared" si="203"/>
        <v>13.541666666666668</v>
      </c>
      <c r="N390" s="2463">
        <f>IF(N$10&gt;0,N388/24/N$10,0)</f>
        <v>4.0625</v>
      </c>
      <c r="O390" s="2463">
        <f>IF(O$10&gt;0,O388/24/O$10,0)</f>
        <v>4.0625</v>
      </c>
      <c r="P390" s="2463">
        <f t="shared" si="203"/>
        <v>23.214285714285712</v>
      </c>
      <c r="Q390" s="2463">
        <f t="shared" si="203"/>
        <v>23.214285714285712</v>
      </c>
      <c r="R390" s="2463">
        <f>IF(R$10&gt;0,R388/24/R$10,0)</f>
        <v>2.03125</v>
      </c>
      <c r="S390" s="2463">
        <f>IF(S$10&gt;0,S388/24/S$10,0)</f>
        <v>12.896825396825397</v>
      </c>
      <c r="T390" s="2463">
        <f>IF(T$10&gt;0,T388/24/T$10,0)</f>
        <v>12.896825396825397</v>
      </c>
      <c r="U390" s="2463">
        <f t="shared" si="203"/>
        <v>21.381578947368421</v>
      </c>
      <c r="V390" s="2463">
        <f t="shared" si="203"/>
        <v>0.8125</v>
      </c>
      <c r="W390" s="2463">
        <f t="shared" si="203"/>
        <v>0.8125</v>
      </c>
      <c r="X390" s="2463">
        <f t="shared" si="203"/>
        <v>84.635416666666657</v>
      </c>
      <c r="Y390" s="2463">
        <f t="shared" si="203"/>
        <v>3.125</v>
      </c>
      <c r="Z390" s="2463">
        <f t="shared" si="203"/>
        <v>3.0660377358490565</v>
      </c>
      <c r="AA390" s="2463">
        <f t="shared" si="203"/>
        <v>8.125</v>
      </c>
      <c r="AB390" s="2463">
        <f t="shared" si="203"/>
        <v>4.0625</v>
      </c>
      <c r="AC390" s="2463">
        <f t="shared" si="203"/>
        <v>4.0625</v>
      </c>
      <c r="AD390" s="2463">
        <f t="shared" si="203"/>
        <v>4.0625</v>
      </c>
      <c r="AE390" s="2463">
        <f t="shared" si="203"/>
        <v>0</v>
      </c>
      <c r="AF390" s="2463">
        <f t="shared" si="203"/>
        <v>0</v>
      </c>
      <c r="AG390" s="2463">
        <f t="shared" si="203"/>
        <v>4.4157608695652176E-2</v>
      </c>
      <c r="AH390" s="2463">
        <f t="shared" si="203"/>
        <v>4.4157608695652176E-2</v>
      </c>
      <c r="AI390" s="2463">
        <f t="shared" si="203"/>
        <v>0.8125</v>
      </c>
      <c r="AJ390" s="2463">
        <f t="shared" si="203"/>
        <v>0.8125</v>
      </c>
      <c r="AK390" s="2463">
        <f t="shared" si="203"/>
        <v>0.8125</v>
      </c>
      <c r="AL390" s="2463">
        <f t="shared" si="203"/>
        <v>0</v>
      </c>
      <c r="AM390" s="2463">
        <f t="shared" si="203"/>
        <v>0</v>
      </c>
      <c r="AN390" s="2463">
        <f t="shared" si="203"/>
        <v>270.83333333333331</v>
      </c>
      <c r="AO390" s="2463">
        <f t="shared" si="203"/>
        <v>0</v>
      </c>
      <c r="AP390" s="2463">
        <f t="shared" si="203"/>
        <v>0</v>
      </c>
      <c r="AQ390" s="2463">
        <f t="shared" si="203"/>
        <v>0</v>
      </c>
      <c r="AR390" s="2463">
        <f t="shared" si="203"/>
        <v>0</v>
      </c>
      <c r="AS390" s="2463">
        <f t="shared" si="203"/>
        <v>0</v>
      </c>
      <c r="AT390" s="2463">
        <f t="shared" si="203"/>
        <v>0</v>
      </c>
      <c r="AU390" s="2463">
        <f t="shared" si="203"/>
        <v>0</v>
      </c>
      <c r="AV390" s="2463">
        <f t="shared" si="203"/>
        <v>0</v>
      </c>
      <c r="AW390" s="2463">
        <f t="shared" si="203"/>
        <v>0</v>
      </c>
      <c r="AX390" s="2463">
        <f t="shared" si="203"/>
        <v>0</v>
      </c>
      <c r="AY390" s="2463">
        <f t="shared" si="203"/>
        <v>0</v>
      </c>
      <c r="AZ390" s="2463">
        <f t="shared" si="203"/>
        <v>0</v>
      </c>
      <c r="BA390" s="2463">
        <f t="shared" si="203"/>
        <v>0</v>
      </c>
      <c r="BB390" s="2463">
        <f t="shared" si="203"/>
        <v>0</v>
      </c>
      <c r="BC390" s="2463">
        <f t="shared" si="203"/>
        <v>0</v>
      </c>
      <c r="BD390" s="2463">
        <f t="shared" si="203"/>
        <v>40.625</v>
      </c>
      <c r="BE390" s="2463">
        <f t="shared" si="203"/>
        <v>1625</v>
      </c>
      <c r="BF390" s="2463">
        <f t="shared" si="203"/>
        <v>812.5</v>
      </c>
      <c r="BG390" s="2463">
        <f t="shared" si="203"/>
        <v>27083.333333333332</v>
      </c>
      <c r="BH390" s="2463">
        <f t="shared" si="203"/>
        <v>2572.9166666666661</v>
      </c>
      <c r="BI390" s="2463">
        <f t="shared" si="203"/>
        <v>1015.625</v>
      </c>
    </row>
    <row r="391" spans="1:61" s="2464" customFormat="1">
      <c r="A391" s="2461"/>
      <c r="B391" s="2462"/>
      <c r="C391" s="2492"/>
      <c r="D391" s="2493"/>
      <c r="E391" s="3932" t="s">
        <v>1181</v>
      </c>
      <c r="F391" s="2441" t="s">
        <v>211</v>
      </c>
      <c r="G391" s="2431" t="s">
        <v>212</v>
      </c>
      <c r="H391" s="2442">
        <f t="shared" ref="H391:AM391" si="204">H389/24*H$11</f>
        <v>0</v>
      </c>
      <c r="I391" s="2442">
        <f t="shared" si="204"/>
        <v>0</v>
      </c>
      <c r="J391" s="2442">
        <f t="shared" si="204"/>
        <v>0</v>
      </c>
      <c r="K391" s="2442">
        <f t="shared" si="204"/>
        <v>6.9642857142857147E-5</v>
      </c>
      <c r="L391" s="2442">
        <f t="shared" si="204"/>
        <v>0</v>
      </c>
      <c r="M391" s="2442">
        <f t="shared" si="204"/>
        <v>0</v>
      </c>
      <c r="N391" s="2442">
        <f t="shared" si="204"/>
        <v>1.3928571428571429E-4</v>
      </c>
      <c r="O391" s="2442">
        <f t="shared" si="204"/>
        <v>1.3928571428571429E-4</v>
      </c>
      <c r="P391" s="2442">
        <f t="shared" si="204"/>
        <v>4.1089285714285712E-4</v>
      </c>
      <c r="Q391" s="2442">
        <f t="shared" si="204"/>
        <v>4.1089285714285712E-4</v>
      </c>
      <c r="R391" s="2442">
        <f t="shared" si="204"/>
        <v>6.9642857142857147E-5</v>
      </c>
      <c r="S391" s="2442">
        <f t="shared" si="204"/>
        <v>1.6017857142857142E-3</v>
      </c>
      <c r="T391" s="2442">
        <f t="shared" si="204"/>
        <v>1.6017857142857142E-3</v>
      </c>
      <c r="U391" s="2442">
        <f t="shared" si="204"/>
        <v>2.9250000000000001E-3</v>
      </c>
      <c r="V391" s="2442">
        <f t="shared" si="204"/>
        <v>0</v>
      </c>
      <c r="W391" s="2442">
        <f t="shared" si="204"/>
        <v>0</v>
      </c>
      <c r="X391" s="2442">
        <f t="shared" si="204"/>
        <v>4.1785714285714288E-4</v>
      </c>
      <c r="Y391" s="2442">
        <f t="shared" si="204"/>
        <v>0</v>
      </c>
      <c r="Z391" s="2442">
        <f t="shared" si="204"/>
        <v>1.7410714285714287E-4</v>
      </c>
      <c r="AA391" s="2442">
        <f t="shared" si="204"/>
        <v>0</v>
      </c>
      <c r="AB391" s="2442">
        <f t="shared" si="204"/>
        <v>0</v>
      </c>
      <c r="AC391" s="2442">
        <f t="shared" si="204"/>
        <v>0</v>
      </c>
      <c r="AD391" s="2442">
        <f t="shared" si="204"/>
        <v>0</v>
      </c>
      <c r="AE391" s="2442">
        <f t="shared" si="204"/>
        <v>0</v>
      </c>
      <c r="AF391" s="2442">
        <f t="shared" si="204"/>
        <v>0</v>
      </c>
      <c r="AG391" s="2442">
        <f t="shared" si="204"/>
        <v>0</v>
      </c>
      <c r="AH391" s="2442">
        <f t="shared" si="204"/>
        <v>0</v>
      </c>
      <c r="AI391" s="2442">
        <f t="shared" si="204"/>
        <v>0</v>
      </c>
      <c r="AJ391" s="2442">
        <f t="shared" si="204"/>
        <v>0</v>
      </c>
      <c r="AK391" s="2442">
        <f t="shared" si="204"/>
        <v>0</v>
      </c>
      <c r="AL391" s="2442">
        <f t="shared" si="204"/>
        <v>0</v>
      </c>
      <c r="AM391" s="2442">
        <f t="shared" si="204"/>
        <v>0</v>
      </c>
      <c r="AN391" s="2442">
        <f t="shared" ref="AN391:BI391" si="205">AN389/24*AN$11</f>
        <v>2.3678571428571429E-3</v>
      </c>
      <c r="AO391" s="2442">
        <f t="shared" si="205"/>
        <v>7.660714285714287E-5</v>
      </c>
      <c r="AP391" s="2442">
        <f t="shared" si="205"/>
        <v>7.660714285714287E-5</v>
      </c>
      <c r="AQ391" s="2442">
        <f t="shared" si="205"/>
        <v>7.660714285714287E-5</v>
      </c>
      <c r="AR391" s="2442">
        <f t="shared" si="205"/>
        <v>7.660714285714287E-5</v>
      </c>
      <c r="AS391" s="2442">
        <f t="shared" si="205"/>
        <v>7.6607142857142868E-4</v>
      </c>
      <c r="AT391" s="2442">
        <f t="shared" si="205"/>
        <v>7.660714285714287E-5</v>
      </c>
      <c r="AU391" s="2442">
        <f t="shared" si="205"/>
        <v>7.660714285714287E-5</v>
      </c>
      <c r="AV391" s="2442">
        <f t="shared" si="205"/>
        <v>7.6607142857142872E-3</v>
      </c>
      <c r="AW391" s="2442">
        <f t="shared" si="205"/>
        <v>7.6607142857142868E-4</v>
      </c>
      <c r="AX391" s="2442">
        <f t="shared" si="205"/>
        <v>7.6607142857142872E-3</v>
      </c>
      <c r="AY391" s="2442">
        <f t="shared" si="205"/>
        <v>7.6607142857142872E-3</v>
      </c>
      <c r="AZ391" s="2442">
        <f t="shared" si="205"/>
        <v>7.660714285714286E-2</v>
      </c>
      <c r="BA391" s="2442">
        <f t="shared" si="205"/>
        <v>7.660714285714286E-2</v>
      </c>
      <c r="BB391" s="2442">
        <f t="shared" si="205"/>
        <v>7.6607142857142868E-4</v>
      </c>
      <c r="BC391" s="2442">
        <f t="shared" si="205"/>
        <v>7.6607142857142872E-3</v>
      </c>
      <c r="BD391" s="2442">
        <f t="shared" si="205"/>
        <v>0</v>
      </c>
      <c r="BE391" s="2442">
        <f t="shared" si="205"/>
        <v>7.939285714285714E-2</v>
      </c>
      <c r="BF391" s="2442">
        <f t="shared" si="205"/>
        <v>3.969642857142857E-2</v>
      </c>
      <c r="BG391" s="2442">
        <f t="shared" si="205"/>
        <v>0</v>
      </c>
      <c r="BH391" s="2442">
        <f t="shared" si="205"/>
        <v>0</v>
      </c>
      <c r="BI391" s="2442">
        <f t="shared" si="205"/>
        <v>0</v>
      </c>
    </row>
    <row r="392" spans="1:61" s="2476" customFormat="1">
      <c r="A392" s="2461"/>
      <c r="B392" s="2462"/>
      <c r="C392" s="2492"/>
      <c r="D392" s="2493"/>
      <c r="E392" s="3932" t="s">
        <v>1184</v>
      </c>
      <c r="F392" s="2465" t="s">
        <v>1158</v>
      </c>
      <c r="G392" s="2431" t="s">
        <v>1157</v>
      </c>
      <c r="H392" s="2442">
        <f t="shared" ref="H392:AM392" si="206">H378*H390</f>
        <v>28.26092758340981</v>
      </c>
      <c r="I392" s="2442">
        <f t="shared" si="206"/>
        <v>28.26092758340981</v>
      </c>
      <c r="J392" s="2442">
        <f t="shared" si="206"/>
        <v>0.48816456241362532</v>
      </c>
      <c r="K392" s="2442">
        <f t="shared" si="206"/>
        <v>1.4506767252149144</v>
      </c>
      <c r="L392" s="2442">
        <f t="shared" si="206"/>
        <v>7.2417688080431022</v>
      </c>
      <c r="M392" s="2442">
        <f t="shared" si="206"/>
        <v>7.2417688080431022</v>
      </c>
      <c r="N392" s="2442">
        <f t="shared" si="206"/>
        <v>1.1015145269799413</v>
      </c>
      <c r="O392" s="2442">
        <f t="shared" si="206"/>
        <v>1.1015145269799413</v>
      </c>
      <c r="P392" s="2442">
        <f t="shared" si="206"/>
        <v>5.7654409260520829</v>
      </c>
      <c r="Q392" s="2442">
        <f t="shared" si="206"/>
        <v>5.7654409260520829</v>
      </c>
      <c r="R392" s="2442">
        <f t="shared" si="206"/>
        <v>1.2550012838585736</v>
      </c>
      <c r="S392" s="2442">
        <f t="shared" si="206"/>
        <v>8.4933572412362786</v>
      </c>
      <c r="T392" s="2442">
        <f t="shared" si="206"/>
        <v>8.4933572412362786</v>
      </c>
      <c r="U392" s="2442">
        <f t="shared" si="206"/>
        <v>2.9909139697402556</v>
      </c>
      <c r="V392" s="2442">
        <f t="shared" si="206"/>
        <v>6.9437084054804449E-2</v>
      </c>
      <c r="W392" s="2442">
        <f t="shared" si="206"/>
        <v>6.9437084054804449E-2</v>
      </c>
      <c r="X392" s="2442">
        <f t="shared" si="206"/>
        <v>37.70315501105312</v>
      </c>
      <c r="Y392" s="2442">
        <f t="shared" si="206"/>
        <v>2.0086553192427128</v>
      </c>
      <c r="Z392" s="2442">
        <f t="shared" si="206"/>
        <v>3.3277595643892632</v>
      </c>
      <c r="AA392" s="2442">
        <f t="shared" si="206"/>
        <v>1.8778810578279646</v>
      </c>
      <c r="AB392" s="2442">
        <f t="shared" si="206"/>
        <v>5.8114527459117742</v>
      </c>
      <c r="AC392" s="2442">
        <f t="shared" si="206"/>
        <v>16.936711512358837</v>
      </c>
      <c r="AD392" s="2442">
        <f t="shared" si="206"/>
        <v>35.765583588395266</v>
      </c>
      <c r="AE392" s="2442">
        <f t="shared" si="206"/>
        <v>0</v>
      </c>
      <c r="AF392" s="2442">
        <f t="shared" si="206"/>
        <v>0</v>
      </c>
      <c r="AG392" s="2442">
        <f t="shared" si="206"/>
        <v>2.7466157548079804E-3</v>
      </c>
      <c r="AH392" s="2442">
        <f t="shared" si="206"/>
        <v>3.6683194445505376E-3</v>
      </c>
      <c r="AI392" s="2442">
        <f t="shared" si="206"/>
        <v>0.16599772790015682</v>
      </c>
      <c r="AJ392" s="2442">
        <f t="shared" si="206"/>
        <v>0.6973430197778907</v>
      </c>
      <c r="AK392" s="2442">
        <f t="shared" si="206"/>
        <v>2.4277080837780503</v>
      </c>
      <c r="AL392" s="2442">
        <f t="shared" si="206"/>
        <v>0</v>
      </c>
      <c r="AM392" s="2442">
        <f t="shared" si="206"/>
        <v>0</v>
      </c>
      <c r="AN392" s="2442">
        <f t="shared" ref="AN392:BI392" si="207">AN378*AN390</f>
        <v>1465.233504508898</v>
      </c>
      <c r="AO392" s="2442">
        <f t="shared" si="207"/>
        <v>0</v>
      </c>
      <c r="AP392" s="2442">
        <f t="shared" si="207"/>
        <v>0</v>
      </c>
      <c r="AQ392" s="2442">
        <f t="shared" si="207"/>
        <v>0</v>
      </c>
      <c r="AR392" s="2442">
        <f t="shared" si="207"/>
        <v>0</v>
      </c>
      <c r="AS392" s="2442">
        <f t="shared" si="207"/>
        <v>0</v>
      </c>
      <c r="AT392" s="2442">
        <f t="shared" si="207"/>
        <v>0</v>
      </c>
      <c r="AU392" s="2442">
        <f t="shared" si="207"/>
        <v>0</v>
      </c>
      <c r="AV392" s="2442">
        <f t="shared" si="207"/>
        <v>0</v>
      </c>
      <c r="AW392" s="2442">
        <f t="shared" si="207"/>
        <v>0</v>
      </c>
      <c r="AX392" s="2442">
        <f t="shared" si="207"/>
        <v>0</v>
      </c>
      <c r="AY392" s="2442">
        <f t="shared" si="207"/>
        <v>0</v>
      </c>
      <c r="AZ392" s="2442">
        <f t="shared" si="207"/>
        <v>0</v>
      </c>
      <c r="BA392" s="2442">
        <f t="shared" si="207"/>
        <v>0</v>
      </c>
      <c r="BB392" s="2442">
        <f t="shared" si="207"/>
        <v>0</v>
      </c>
      <c r="BC392" s="2442">
        <f t="shared" si="207"/>
        <v>0</v>
      </c>
      <c r="BD392" s="2442">
        <f t="shared" si="207"/>
        <v>2237.7125649007598</v>
      </c>
      <c r="BE392" s="2442">
        <f t="shared" si="207"/>
        <v>129247.0905573364</v>
      </c>
      <c r="BF392" s="2442">
        <f t="shared" si="207"/>
        <v>64623.5452786682</v>
      </c>
      <c r="BG392" s="2442">
        <f t="shared" si="207"/>
        <v>2767.4520943959851</v>
      </c>
      <c r="BH392" s="2442">
        <f t="shared" si="207"/>
        <v>131089.63047178669</v>
      </c>
      <c r="BI392" s="2442">
        <f t="shared" si="207"/>
        <v>12164.763724064522</v>
      </c>
    </row>
    <row r="393" spans="1:61" s="2476" customFormat="1">
      <c r="A393" s="2461"/>
      <c r="B393" s="2462"/>
      <c r="C393" s="2492"/>
      <c r="D393" s="2493"/>
      <c r="E393" s="3932" t="s">
        <v>1182</v>
      </c>
      <c r="F393" s="2465" t="s">
        <v>233</v>
      </c>
      <c r="G393" s="2431" t="s">
        <v>234</v>
      </c>
      <c r="H393" s="2442">
        <f t="shared" ref="H393:AM393" si="208">H382*H391</f>
        <v>0</v>
      </c>
      <c r="I393" s="2442">
        <f t="shared" si="208"/>
        <v>0</v>
      </c>
      <c r="J393" s="2442">
        <f t="shared" si="208"/>
        <v>0</v>
      </c>
      <c r="K393" s="2442">
        <f t="shared" si="208"/>
        <v>1.1605413801719315E-6</v>
      </c>
      <c r="L393" s="2442">
        <f t="shared" si="208"/>
        <v>0</v>
      </c>
      <c r="M393" s="2442">
        <f t="shared" si="208"/>
        <v>0</v>
      </c>
      <c r="N393" s="2442">
        <f t="shared" si="208"/>
        <v>6.2943687255996656E-6</v>
      </c>
      <c r="O393" s="2442">
        <f t="shared" si="208"/>
        <v>6.2943687255996656E-6</v>
      </c>
      <c r="P393" s="2442">
        <f t="shared" si="208"/>
        <v>1.7008050731853645E-5</v>
      </c>
      <c r="Q393" s="2442">
        <f t="shared" si="208"/>
        <v>1.7008050731853645E-5</v>
      </c>
      <c r="R393" s="2442">
        <f t="shared" si="208"/>
        <v>7.171435907763277E-6</v>
      </c>
      <c r="S393" s="2442">
        <f t="shared" si="208"/>
        <v>1.7581249489359094E-4</v>
      </c>
      <c r="T393" s="2442">
        <f t="shared" si="208"/>
        <v>1.7581249489359094E-4</v>
      </c>
      <c r="U393" s="2442">
        <f t="shared" si="208"/>
        <v>6.8192838510077833E-5</v>
      </c>
      <c r="V393" s="2442">
        <f t="shared" si="208"/>
        <v>0</v>
      </c>
      <c r="W393" s="2442">
        <f t="shared" si="208"/>
        <v>0</v>
      </c>
      <c r="X393" s="2442">
        <f t="shared" si="208"/>
        <v>3.1024310409095143E-5</v>
      </c>
      <c r="Y393" s="2442">
        <f t="shared" si="208"/>
        <v>0</v>
      </c>
      <c r="Z393" s="2442">
        <f t="shared" si="208"/>
        <v>3.1494867305826957E-5</v>
      </c>
      <c r="AA393" s="2442">
        <f t="shared" si="208"/>
        <v>0</v>
      </c>
      <c r="AB393" s="2442">
        <f t="shared" si="208"/>
        <v>0</v>
      </c>
      <c r="AC393" s="2442">
        <f t="shared" si="208"/>
        <v>0</v>
      </c>
      <c r="AD393" s="2442">
        <f t="shared" si="208"/>
        <v>0</v>
      </c>
      <c r="AE393" s="2442">
        <f t="shared" si="208"/>
        <v>0</v>
      </c>
      <c r="AF393" s="2442">
        <f t="shared" si="208"/>
        <v>0</v>
      </c>
      <c r="AG393" s="2442">
        <f t="shared" si="208"/>
        <v>0</v>
      </c>
      <c r="AH393" s="2442">
        <f t="shared" si="208"/>
        <v>0</v>
      </c>
      <c r="AI393" s="2442">
        <f t="shared" si="208"/>
        <v>0</v>
      </c>
      <c r="AJ393" s="2442">
        <f t="shared" si="208"/>
        <v>0</v>
      </c>
      <c r="AK393" s="2442">
        <f t="shared" si="208"/>
        <v>0</v>
      </c>
      <c r="AL393" s="2442">
        <f t="shared" si="208"/>
        <v>0</v>
      </c>
      <c r="AM393" s="2442">
        <f t="shared" si="208"/>
        <v>0</v>
      </c>
      <c r="AN393" s="2442">
        <f t="shared" ref="AN393:BI393" si="209">AN382*AN391</f>
        <v>1.3754437343931104E-2</v>
      </c>
      <c r="AO393" s="2442">
        <f t="shared" si="209"/>
        <v>8.0392217873170684E-4</v>
      </c>
      <c r="AP393" s="2442">
        <f t="shared" si="209"/>
        <v>6.3470097175095507E-4</v>
      </c>
      <c r="AQ393" s="2442">
        <f t="shared" si="209"/>
        <v>9.5765926892206444E-4</v>
      </c>
      <c r="AR393" s="2442">
        <f t="shared" si="209"/>
        <v>1.9165157942816315E-3</v>
      </c>
      <c r="AS393" s="2442">
        <f t="shared" si="209"/>
        <v>1.7251776494941404E-2</v>
      </c>
      <c r="AT393" s="2442">
        <f t="shared" si="209"/>
        <v>4.2188207685515972E-3</v>
      </c>
      <c r="AU393" s="2442">
        <f t="shared" si="209"/>
        <v>4.2581243381045958E-3</v>
      </c>
      <c r="AV393" s="2442">
        <f t="shared" si="209"/>
        <v>0.56465431942812949</v>
      </c>
      <c r="AW393" s="2442">
        <f t="shared" si="209"/>
        <v>5.6632309423982188E-2</v>
      </c>
      <c r="AX393" s="2442">
        <f t="shared" si="209"/>
        <v>0.61669542360492202</v>
      </c>
      <c r="AY393" s="2442">
        <f t="shared" si="209"/>
        <v>0.61738238609793228</v>
      </c>
      <c r="AZ393" s="2442">
        <f t="shared" si="209"/>
        <v>6.1781861999334176</v>
      </c>
      <c r="BA393" s="2442">
        <f t="shared" si="209"/>
        <v>6.1781861999334176</v>
      </c>
      <c r="BB393" s="2442">
        <f t="shared" si="209"/>
        <v>6.1607866670033429E-2</v>
      </c>
      <c r="BC393" s="2442">
        <f t="shared" si="209"/>
        <v>0.61781861999334187</v>
      </c>
      <c r="BD393" s="2442">
        <f t="shared" si="209"/>
        <v>0</v>
      </c>
      <c r="BE393" s="2442">
        <f t="shared" si="209"/>
        <v>5.8954115247363497</v>
      </c>
      <c r="BF393" s="2442">
        <f t="shared" si="209"/>
        <v>2.9477057623681748</v>
      </c>
      <c r="BG393" s="2442">
        <f t="shared" si="209"/>
        <v>0</v>
      </c>
      <c r="BH393" s="2442">
        <f t="shared" si="209"/>
        <v>0</v>
      </c>
      <c r="BI393" s="2442">
        <f t="shared" si="209"/>
        <v>0</v>
      </c>
    </row>
    <row r="394" spans="1:61" s="2476" customFormat="1">
      <c r="A394" s="2461"/>
      <c r="B394" s="2462"/>
      <c r="C394" s="2492"/>
      <c r="D394" s="2493"/>
      <c r="E394" s="3939" t="s">
        <v>988</v>
      </c>
      <c r="F394" s="2466" t="s">
        <v>492</v>
      </c>
      <c r="G394" s="2467" t="s">
        <v>492</v>
      </c>
      <c r="H394" s="2442">
        <f t="shared" ref="H394:AM394" si="210">H372*H392</f>
        <v>7.4453174895561518E-4</v>
      </c>
      <c r="I394" s="2442">
        <f t="shared" si="210"/>
        <v>7.4453174895561518E-4</v>
      </c>
      <c r="J394" s="2442">
        <f t="shared" si="210"/>
        <v>8.4426426550765054E-5</v>
      </c>
      <c r="K394" s="2442">
        <f t="shared" si="210"/>
        <v>5.5899125489236777E-2</v>
      </c>
      <c r="L394" s="2442">
        <f t="shared" si="210"/>
        <v>5.2172517123287687E-2</v>
      </c>
      <c r="M394" s="2442">
        <f t="shared" si="210"/>
        <v>5.2172517123287687E-2</v>
      </c>
      <c r="N394" s="2442">
        <f t="shared" si="210"/>
        <v>1.5651755136986301E-2</v>
      </c>
      <c r="O394" s="2442">
        <f t="shared" si="210"/>
        <v>1.5651755136986301E-2</v>
      </c>
      <c r="P394" s="2442">
        <f t="shared" si="210"/>
        <v>8.9438600782778849E-2</v>
      </c>
      <c r="Q394" s="2442">
        <f t="shared" si="210"/>
        <v>8.9438600782778849E-2</v>
      </c>
      <c r="R394" s="2442">
        <f t="shared" si="210"/>
        <v>7.8258775684931503E-3</v>
      </c>
      <c r="S394" s="2442">
        <f t="shared" si="210"/>
        <v>4.9688111545988276E-2</v>
      </c>
      <c r="T394" s="2442">
        <f t="shared" si="210"/>
        <v>4.9688111545988276E-2</v>
      </c>
      <c r="U394" s="2442">
        <f t="shared" si="210"/>
        <v>8.2377658615717358E-2</v>
      </c>
      <c r="V394" s="2442">
        <f t="shared" si="210"/>
        <v>3.1303510273972606E-3</v>
      </c>
      <c r="W394" s="2442">
        <f t="shared" si="210"/>
        <v>3.1303510273972606E-3</v>
      </c>
      <c r="X394" s="2442">
        <f t="shared" si="210"/>
        <v>0.32607823202054792</v>
      </c>
      <c r="Y394" s="2442">
        <f t="shared" si="210"/>
        <v>1.2039811643835614E-2</v>
      </c>
      <c r="Z394" s="2442">
        <f t="shared" si="210"/>
        <v>1.1812645386404756E-2</v>
      </c>
      <c r="AA394" s="2442">
        <f t="shared" si="210"/>
        <v>4.4719300391389437E-3</v>
      </c>
      <c r="AB394" s="2442">
        <f t="shared" si="210"/>
        <v>1.5651755136986304E-2</v>
      </c>
      <c r="AC394" s="2442">
        <f t="shared" si="210"/>
        <v>8.9010536773767458E-3</v>
      </c>
      <c r="AD394" s="2442">
        <f t="shared" si="210"/>
        <v>3.6791066280402606E-3</v>
      </c>
      <c r="AE394" s="2442">
        <f t="shared" si="210"/>
        <v>0</v>
      </c>
      <c r="AF394" s="2442">
        <f t="shared" si="210"/>
        <v>0</v>
      </c>
      <c r="AG394" s="2442">
        <f t="shared" si="210"/>
        <v>1.7012777322811197E-4</v>
      </c>
      <c r="AH394" s="2442">
        <f t="shared" si="210"/>
        <v>1.7012777322811197E-4</v>
      </c>
      <c r="AI394" s="2442">
        <f t="shared" si="210"/>
        <v>3.1303510273972606E-3</v>
      </c>
      <c r="AJ394" s="2442">
        <f t="shared" si="210"/>
        <v>3.1303510273972593E-3</v>
      </c>
      <c r="AK394" s="2442">
        <f t="shared" si="210"/>
        <v>2.4844006724100125E-3</v>
      </c>
      <c r="AL394" s="2442">
        <f t="shared" si="210"/>
        <v>0</v>
      </c>
      <c r="AM394" s="2442">
        <f t="shared" si="210"/>
        <v>0</v>
      </c>
      <c r="AN394" s="2442">
        <f t="shared" ref="AN394:BI394" si="211">AN372*AN392</f>
        <v>6.2631501226250191E-2</v>
      </c>
      <c r="AO394" s="2442">
        <f t="shared" si="211"/>
        <v>0</v>
      </c>
      <c r="AP394" s="2442">
        <f t="shared" si="211"/>
        <v>0</v>
      </c>
      <c r="AQ394" s="2442">
        <f t="shared" si="211"/>
        <v>0</v>
      </c>
      <c r="AR394" s="2442">
        <f t="shared" si="211"/>
        <v>0</v>
      </c>
      <c r="AS394" s="2442">
        <f t="shared" si="211"/>
        <v>0</v>
      </c>
      <c r="AT394" s="2442">
        <f t="shared" si="211"/>
        <v>0</v>
      </c>
      <c r="AU394" s="2442">
        <f t="shared" si="211"/>
        <v>0</v>
      </c>
      <c r="AV394" s="2442">
        <f t="shared" si="211"/>
        <v>0</v>
      </c>
      <c r="AW394" s="2442">
        <f t="shared" si="211"/>
        <v>0</v>
      </c>
      <c r="AX394" s="2442">
        <f t="shared" si="211"/>
        <v>0</v>
      </c>
      <c r="AY394" s="2442">
        <f t="shared" si="211"/>
        <v>0</v>
      </c>
      <c r="AZ394" s="2442">
        <f t="shared" si="211"/>
        <v>0</v>
      </c>
      <c r="BA394" s="2442">
        <f t="shared" si="211"/>
        <v>0</v>
      </c>
      <c r="BB394" s="2442">
        <f t="shared" si="211"/>
        <v>0</v>
      </c>
      <c r="BC394" s="2442">
        <f t="shared" si="211"/>
        <v>0</v>
      </c>
      <c r="BD394" s="2442">
        <f t="shared" si="211"/>
        <v>2.0933164277590049E-3</v>
      </c>
      <c r="BE394" s="2442">
        <f t="shared" si="211"/>
        <v>2.6835147955820413E-3</v>
      </c>
      <c r="BF394" s="2442">
        <f t="shared" si="211"/>
        <v>1.3417573977910207E-3</v>
      </c>
      <c r="BG394" s="2442">
        <f t="shared" si="211"/>
        <v>46.955265410958901</v>
      </c>
      <c r="BH394" s="2442">
        <f t="shared" si="211"/>
        <v>0.16307278510692977</v>
      </c>
      <c r="BI394" s="2442">
        <f t="shared" si="211"/>
        <v>0.11708747991672759</v>
      </c>
    </row>
    <row r="395" spans="1:61" s="2530" customFormat="1">
      <c r="A395" s="2527"/>
      <c r="B395" s="2528"/>
      <c r="C395" s="2492"/>
      <c r="D395" s="2493"/>
      <c r="E395" s="3943" t="s">
        <v>991</v>
      </c>
      <c r="F395" s="2468" t="s">
        <v>213</v>
      </c>
      <c r="G395" s="2469" t="s">
        <v>213</v>
      </c>
      <c r="H395" s="2470">
        <f t="shared" ref="H395:AM395" si="212">H372*H393</f>
        <v>0</v>
      </c>
      <c r="I395" s="2470">
        <f t="shared" si="212"/>
        <v>0</v>
      </c>
      <c r="J395" s="2470">
        <f t="shared" si="212"/>
        <v>0</v>
      </c>
      <c r="K395" s="2470">
        <f t="shared" si="212"/>
        <v>4.4719300391389422E-8</v>
      </c>
      <c r="L395" s="2470">
        <f t="shared" si="212"/>
        <v>0</v>
      </c>
      <c r="M395" s="2470">
        <f t="shared" si="212"/>
        <v>0</v>
      </c>
      <c r="N395" s="2470">
        <f t="shared" si="212"/>
        <v>8.943860078277887E-8</v>
      </c>
      <c r="O395" s="2470">
        <f t="shared" si="212"/>
        <v>8.943860078277887E-8</v>
      </c>
      <c r="P395" s="2470">
        <f t="shared" si="212"/>
        <v>2.6384387230919765E-7</v>
      </c>
      <c r="Q395" s="2470">
        <f t="shared" si="212"/>
        <v>2.6384387230919765E-7</v>
      </c>
      <c r="R395" s="2470">
        <f t="shared" si="212"/>
        <v>4.4719300391389435E-8</v>
      </c>
      <c r="S395" s="2470">
        <f t="shared" si="212"/>
        <v>1.0285439090019572E-6</v>
      </c>
      <c r="T395" s="2470">
        <f t="shared" si="212"/>
        <v>1.0285439090019572E-6</v>
      </c>
      <c r="U395" s="2470">
        <f t="shared" si="212"/>
        <v>1.8782106164383559E-6</v>
      </c>
      <c r="V395" s="2470">
        <f t="shared" si="212"/>
        <v>0</v>
      </c>
      <c r="W395" s="2470">
        <f t="shared" si="212"/>
        <v>0</v>
      </c>
      <c r="X395" s="2470">
        <f t="shared" si="212"/>
        <v>2.6831580234833661E-7</v>
      </c>
      <c r="Y395" s="2470">
        <f t="shared" si="212"/>
        <v>0</v>
      </c>
      <c r="Z395" s="2470">
        <f t="shared" si="212"/>
        <v>1.1179825097847357E-7</v>
      </c>
      <c r="AA395" s="2470">
        <f t="shared" si="212"/>
        <v>0</v>
      </c>
      <c r="AB395" s="2470">
        <f t="shared" si="212"/>
        <v>0</v>
      </c>
      <c r="AC395" s="2470">
        <f t="shared" si="212"/>
        <v>0</v>
      </c>
      <c r="AD395" s="2470">
        <f t="shared" si="212"/>
        <v>0</v>
      </c>
      <c r="AE395" s="2470">
        <f t="shared" si="212"/>
        <v>0</v>
      </c>
      <c r="AF395" s="2470">
        <f t="shared" si="212"/>
        <v>0</v>
      </c>
      <c r="AG395" s="2470">
        <f t="shared" si="212"/>
        <v>0</v>
      </c>
      <c r="AH395" s="2470">
        <f t="shared" si="212"/>
        <v>0</v>
      </c>
      <c r="AI395" s="2470">
        <f t="shared" si="212"/>
        <v>0</v>
      </c>
      <c r="AJ395" s="2470">
        <f t="shared" si="212"/>
        <v>0</v>
      </c>
      <c r="AK395" s="2470">
        <f t="shared" si="212"/>
        <v>0</v>
      </c>
      <c r="AL395" s="2470">
        <f t="shared" si="212"/>
        <v>0</v>
      </c>
      <c r="AM395" s="2470">
        <f t="shared" si="212"/>
        <v>0</v>
      </c>
      <c r="AN395" s="2470">
        <f t="shared" ref="AN395:BI395" si="213">AN372*AN393</f>
        <v>5.8793431676375572E-7</v>
      </c>
      <c r="AO395" s="2470">
        <f t="shared" si="213"/>
        <v>9.385322512019321E-9</v>
      </c>
      <c r="AP395" s="2470">
        <f t="shared" si="213"/>
        <v>1.2396168045739239E-8</v>
      </c>
      <c r="AQ395" s="2470">
        <f t="shared" si="213"/>
        <v>7.5734155667420185E-9</v>
      </c>
      <c r="AR395" s="2470">
        <f t="shared" si="213"/>
        <v>3.034547969868328E-9</v>
      </c>
      <c r="AS395" s="2470">
        <f t="shared" si="213"/>
        <v>3.5281750806845804E-8</v>
      </c>
      <c r="AT395" s="2470">
        <f t="shared" si="213"/>
        <v>6.2980122629756495E-10</v>
      </c>
      <c r="AU395" s="2470">
        <f t="shared" si="213"/>
        <v>6.1152042752868028E-10</v>
      </c>
      <c r="AV395" s="2470">
        <f t="shared" si="213"/>
        <v>1.2936919423922359E-8</v>
      </c>
      <c r="AW395" s="2470">
        <f t="shared" si="213"/>
        <v>1.2502632087921209E-9</v>
      </c>
      <c r="AX395" s="2470">
        <f t="shared" si="213"/>
        <v>4.7921239717862484E-10</v>
      </c>
      <c r="AY395" s="2470">
        <f t="shared" si="213"/>
        <v>3.292479514997319E-10</v>
      </c>
      <c r="AZ395" s="2470">
        <f t="shared" si="213"/>
        <v>2.2002132244551948E-9</v>
      </c>
      <c r="BA395" s="2470">
        <f t="shared" si="213"/>
        <v>3.799992978143639E-10</v>
      </c>
      <c r="BB395" s="2470">
        <f t="shared" si="213"/>
        <v>5.9997375268793868E-11</v>
      </c>
      <c r="BC395" s="2470">
        <f t="shared" si="213"/>
        <v>1.5983392893512081E-16</v>
      </c>
      <c r="BD395" s="2470">
        <f t="shared" si="213"/>
        <v>0</v>
      </c>
      <c r="BE395" s="2470">
        <f t="shared" si="213"/>
        <v>1.2240448883185222E-7</v>
      </c>
      <c r="BF395" s="2470">
        <f t="shared" si="213"/>
        <v>6.1202244415926112E-8</v>
      </c>
      <c r="BG395" s="2470">
        <f t="shared" si="213"/>
        <v>0</v>
      </c>
      <c r="BH395" s="2470">
        <f t="shared" si="213"/>
        <v>0</v>
      </c>
      <c r="BI395" s="2470">
        <f t="shared" si="213"/>
        <v>0</v>
      </c>
    </row>
    <row r="396" spans="1:61">
      <c r="A396" s="397"/>
      <c r="B396" s="97"/>
      <c r="C396" s="2492" t="s">
        <v>144</v>
      </c>
      <c r="D396" s="2493"/>
      <c r="E396" s="3941" t="s">
        <v>1178</v>
      </c>
      <c r="F396" s="18" t="s">
        <v>181</v>
      </c>
      <c r="G396" s="117" t="s">
        <v>182</v>
      </c>
      <c r="H396" s="163">
        <f>FEM!$H$16</f>
        <v>14.285714285714286</v>
      </c>
      <c r="I396" s="163">
        <f>FEM!$H$16</f>
        <v>14.285714285714286</v>
      </c>
      <c r="J396" s="163">
        <f>FEM!$H$16</f>
        <v>14.285714285714286</v>
      </c>
      <c r="K396" s="163">
        <f>FEM!$H$16</f>
        <v>14.285714285714286</v>
      </c>
      <c r="L396" s="163">
        <f>FEM!$H$16</f>
        <v>14.285714285714286</v>
      </c>
      <c r="M396" s="163">
        <f>FEM!$H$16</f>
        <v>14.285714285714286</v>
      </c>
      <c r="N396" s="163">
        <f>FEM!$H$16</f>
        <v>14.285714285714286</v>
      </c>
      <c r="O396" s="163">
        <f>FEM!$H$16</f>
        <v>14.285714285714286</v>
      </c>
      <c r="P396" s="163">
        <f>FEM!$H$16</f>
        <v>14.285714285714286</v>
      </c>
      <c r="Q396" s="163">
        <f>FEM!$H$16</f>
        <v>14.285714285714286</v>
      </c>
      <c r="R396" s="163">
        <f>FEM!$H$16</f>
        <v>14.285714285714286</v>
      </c>
      <c r="S396" s="163">
        <f>FEM!$H$16</f>
        <v>14.285714285714286</v>
      </c>
      <c r="T396" s="163">
        <f>FEM!$H$16</f>
        <v>14.285714285714286</v>
      </c>
      <c r="U396" s="163">
        <f>FEM!$H$16</f>
        <v>14.285714285714286</v>
      </c>
      <c r="V396" s="163">
        <f>FEM!$H$16</f>
        <v>14.285714285714286</v>
      </c>
      <c r="W396" s="163">
        <f>FEM!$H$16</f>
        <v>14.285714285714286</v>
      </c>
      <c r="X396" s="163">
        <f>FEM!$H$16</f>
        <v>14.285714285714286</v>
      </c>
      <c r="Y396" s="163">
        <f>FEM!$H$16</f>
        <v>14.285714285714286</v>
      </c>
      <c r="Z396" s="163">
        <f>FEM!$H$16</f>
        <v>14.285714285714286</v>
      </c>
      <c r="AA396" s="163">
        <f>FEM!$H$16</f>
        <v>14.285714285714286</v>
      </c>
      <c r="AB396" s="163">
        <f>FEM!$H$16</f>
        <v>14.285714285714286</v>
      </c>
      <c r="AC396" s="163">
        <f>FEM!$H$16</f>
        <v>14.285714285714286</v>
      </c>
      <c r="AD396" s="163">
        <f>FEM!$H$16</f>
        <v>14.285714285714286</v>
      </c>
      <c r="AE396" s="163">
        <f>FEM!$H$16</f>
        <v>14.285714285714286</v>
      </c>
      <c r="AF396" s="163">
        <f>FEM!$H$16</f>
        <v>14.285714285714286</v>
      </c>
      <c r="AG396" s="163">
        <f>FEM!$H$16</f>
        <v>14.285714285714286</v>
      </c>
      <c r="AH396" s="163">
        <f>FEM!$H$16</f>
        <v>14.285714285714286</v>
      </c>
      <c r="AI396" s="163">
        <f>FEM!$H$16</f>
        <v>14.285714285714286</v>
      </c>
      <c r="AJ396" s="163">
        <f>FEM!$H$16</f>
        <v>14.285714285714286</v>
      </c>
      <c r="AK396" s="163">
        <f>FEM!$H$16</f>
        <v>14.285714285714286</v>
      </c>
      <c r="AL396" s="163">
        <f>FEM!$H$16</f>
        <v>14.285714285714286</v>
      </c>
      <c r="AM396" s="163">
        <f>FEM!$H$16</f>
        <v>14.285714285714286</v>
      </c>
      <c r="AN396" s="163">
        <f>FEM!$H$16</f>
        <v>14.285714285714286</v>
      </c>
      <c r="AO396" s="163">
        <f>FEM!$H$16</f>
        <v>14.285714285714286</v>
      </c>
      <c r="AP396" s="163">
        <f>FEM!$H$16</f>
        <v>14.285714285714286</v>
      </c>
      <c r="AQ396" s="163">
        <f>FEM!$H$16</f>
        <v>14.285714285714286</v>
      </c>
      <c r="AR396" s="163">
        <f>FEM!$H$16</f>
        <v>14.285714285714286</v>
      </c>
      <c r="AS396" s="163">
        <f>FEM!$H$16</f>
        <v>14.285714285714286</v>
      </c>
      <c r="AT396" s="163">
        <f>FEM!$H$16</f>
        <v>14.285714285714286</v>
      </c>
      <c r="AU396" s="163">
        <f>FEM!$H$16</f>
        <v>14.285714285714286</v>
      </c>
      <c r="AV396" s="163">
        <f>FEM!$H$16</f>
        <v>14.285714285714286</v>
      </c>
      <c r="AW396" s="163">
        <f>FEM!$H$16</f>
        <v>14.285714285714286</v>
      </c>
      <c r="AX396" s="163">
        <f>FEM!$H$16</f>
        <v>14.285714285714286</v>
      </c>
      <c r="AY396" s="163">
        <f>FEM!$H$16</f>
        <v>14.285714285714286</v>
      </c>
      <c r="AZ396" s="163">
        <f>FEM!$H$16</f>
        <v>14.285714285714286</v>
      </c>
      <c r="BA396" s="163">
        <f>FEM!$H$16</f>
        <v>14.285714285714286</v>
      </c>
      <c r="BB396" s="163">
        <f>FEM!$H$16</f>
        <v>14.285714285714286</v>
      </c>
      <c r="BC396" s="163">
        <f>FEM!$H$16</f>
        <v>14.285714285714286</v>
      </c>
      <c r="BD396" s="163">
        <f>FEM!$H$16</f>
        <v>14.285714285714286</v>
      </c>
      <c r="BE396" s="163">
        <f>FEM!$H$16</f>
        <v>14.285714285714286</v>
      </c>
      <c r="BF396" s="163">
        <f>FEM!$H$16</f>
        <v>14.285714285714286</v>
      </c>
      <c r="BG396" s="163">
        <f>FEM!$H$16</f>
        <v>14.285714285714286</v>
      </c>
      <c r="BH396" s="163">
        <f>FEM!$H$16</f>
        <v>14.285714285714286</v>
      </c>
      <c r="BI396" s="163">
        <f>FEM!$H$16</f>
        <v>14.285714285714286</v>
      </c>
    </row>
    <row r="397" spans="1:61">
      <c r="A397" s="397"/>
      <c r="B397" s="97"/>
      <c r="C397" s="2488" t="s">
        <v>585</v>
      </c>
      <c r="D397" s="2493"/>
      <c r="E397" s="3941" t="s">
        <v>1160</v>
      </c>
      <c r="F397" s="18" t="s">
        <v>210</v>
      </c>
      <c r="G397" s="117" t="s">
        <v>182</v>
      </c>
      <c r="H397" s="227">
        <f>FEM!$I$16</f>
        <v>13.061224489795919</v>
      </c>
      <c r="I397" s="227">
        <f>FEM!$I$16</f>
        <v>13.061224489795919</v>
      </c>
      <c r="J397" s="227">
        <f>FEM!$I$16</f>
        <v>13.061224489795919</v>
      </c>
      <c r="K397" s="227">
        <f>FEM!$I$16</f>
        <v>13.061224489795919</v>
      </c>
      <c r="L397" s="227">
        <f>FEM!$I$16</f>
        <v>13.061224489795919</v>
      </c>
      <c r="M397" s="227">
        <f>FEM!$I$16</f>
        <v>13.061224489795919</v>
      </c>
      <c r="N397" s="227">
        <f>FEM!$I$16</f>
        <v>13.061224489795919</v>
      </c>
      <c r="O397" s="227">
        <f>FEM!$I$16</f>
        <v>13.061224489795919</v>
      </c>
      <c r="P397" s="227">
        <f>FEM!$I$16</f>
        <v>13.061224489795919</v>
      </c>
      <c r="Q397" s="227">
        <f>FEM!$I$16</f>
        <v>13.061224489795919</v>
      </c>
      <c r="R397" s="227">
        <f>FEM!$I$16</f>
        <v>13.061224489795919</v>
      </c>
      <c r="S397" s="227">
        <f>FEM!$I$16</f>
        <v>13.061224489795919</v>
      </c>
      <c r="T397" s="227">
        <f>FEM!$I$16</f>
        <v>13.061224489795919</v>
      </c>
      <c r="U397" s="227">
        <f>FEM!$I$16</f>
        <v>13.061224489795919</v>
      </c>
      <c r="V397" s="227">
        <f>FEM!$I$16</f>
        <v>13.061224489795919</v>
      </c>
      <c r="W397" s="227">
        <f>FEM!$I$16</f>
        <v>13.061224489795919</v>
      </c>
      <c r="X397" s="227">
        <f>FEM!$I$16</f>
        <v>13.061224489795919</v>
      </c>
      <c r="Y397" s="227">
        <f>FEM!$I$16</f>
        <v>13.061224489795919</v>
      </c>
      <c r="Z397" s="227">
        <f>FEM!$I$16</f>
        <v>13.061224489795919</v>
      </c>
      <c r="AA397" s="227">
        <f>FEM!$I$16</f>
        <v>13.061224489795919</v>
      </c>
      <c r="AB397" s="227">
        <f>FEM!$I$16</f>
        <v>13.061224489795919</v>
      </c>
      <c r="AC397" s="227">
        <f>FEM!$I$16</f>
        <v>13.061224489795919</v>
      </c>
      <c r="AD397" s="227">
        <f>FEM!$I$16</f>
        <v>13.061224489795919</v>
      </c>
      <c r="AE397" s="227">
        <f>FEM!$I$16</f>
        <v>13.061224489795919</v>
      </c>
      <c r="AF397" s="227">
        <f>FEM!$I$16</f>
        <v>13.061224489795919</v>
      </c>
      <c r="AG397" s="227">
        <f>FEM!$I$16</f>
        <v>13.061224489795919</v>
      </c>
      <c r="AH397" s="227">
        <f>FEM!$I$16</f>
        <v>13.061224489795919</v>
      </c>
      <c r="AI397" s="227">
        <f>FEM!$I$16</f>
        <v>13.061224489795919</v>
      </c>
      <c r="AJ397" s="227">
        <f>FEM!$I$16</f>
        <v>13.061224489795919</v>
      </c>
      <c r="AK397" s="227">
        <f>FEM!$I$16</f>
        <v>13.061224489795919</v>
      </c>
      <c r="AL397" s="227">
        <f>FEM!$I$16</f>
        <v>13.061224489795919</v>
      </c>
      <c r="AM397" s="227">
        <f>FEM!$I$16</f>
        <v>13.061224489795919</v>
      </c>
      <c r="AN397" s="227">
        <f>FEM!$I$16</f>
        <v>13.061224489795919</v>
      </c>
      <c r="AO397" s="227">
        <f>FEM!$I$16</f>
        <v>13.061224489795919</v>
      </c>
      <c r="AP397" s="227">
        <f>FEM!$I$16</f>
        <v>13.061224489795919</v>
      </c>
      <c r="AQ397" s="227">
        <f>FEM!$I$16</f>
        <v>13.061224489795919</v>
      </c>
      <c r="AR397" s="227">
        <f>FEM!$I$16</f>
        <v>13.061224489795919</v>
      </c>
      <c r="AS397" s="227">
        <f>FEM!$I$16</f>
        <v>13.061224489795919</v>
      </c>
      <c r="AT397" s="227">
        <f>FEM!$I$16</f>
        <v>13.061224489795919</v>
      </c>
      <c r="AU397" s="227">
        <f>FEM!$I$16</f>
        <v>13.061224489795919</v>
      </c>
      <c r="AV397" s="227">
        <f>FEM!$I$16</f>
        <v>13.061224489795919</v>
      </c>
      <c r="AW397" s="227">
        <f>FEM!$I$16</f>
        <v>13.061224489795919</v>
      </c>
      <c r="AX397" s="227">
        <f>FEM!$I$16</f>
        <v>13.061224489795919</v>
      </c>
      <c r="AY397" s="227">
        <f>FEM!$I$16</f>
        <v>13.061224489795919</v>
      </c>
      <c r="AZ397" s="227">
        <f>FEM!$I$16</f>
        <v>13.061224489795919</v>
      </c>
      <c r="BA397" s="227">
        <f>FEM!$I$16</f>
        <v>13.061224489795919</v>
      </c>
      <c r="BB397" s="227">
        <f>FEM!$I$16</f>
        <v>13.061224489795919</v>
      </c>
      <c r="BC397" s="227">
        <f>FEM!$I$16</f>
        <v>13.061224489795919</v>
      </c>
      <c r="BD397" s="227">
        <f>FEM!$I$16</f>
        <v>13.061224489795919</v>
      </c>
      <c r="BE397" s="227">
        <f>FEM!$I$16</f>
        <v>13.061224489795919</v>
      </c>
      <c r="BF397" s="227">
        <f>FEM!$I$16</f>
        <v>13.061224489795919</v>
      </c>
      <c r="BG397" s="227">
        <f>FEM!$I$16</f>
        <v>13.061224489795919</v>
      </c>
      <c r="BH397" s="227">
        <f>FEM!$I$16</f>
        <v>13.061224489795919</v>
      </c>
      <c r="BI397" s="227">
        <f>FEM!$I$16</f>
        <v>13.061224489795919</v>
      </c>
    </row>
    <row r="398" spans="1:61" s="2464" customFormat="1">
      <c r="A398" s="2461"/>
      <c r="B398" s="2462"/>
      <c r="C398" s="2492"/>
      <c r="D398" s="2493"/>
      <c r="E398" s="3932" t="s">
        <v>1183</v>
      </c>
      <c r="F398" s="2441" t="s">
        <v>1155</v>
      </c>
      <c r="G398" s="2431" t="s">
        <v>1156</v>
      </c>
      <c r="H398" s="2463">
        <f>IF(H$10&gt;0,H396/24/H$10,0)</f>
        <v>2.9761904761904758</v>
      </c>
      <c r="I398" s="2463">
        <f t="shared" ref="I398:BI398" si="214">IF(I$10&gt;0,I396/24/I$10,0)</f>
        <v>2.9761904761904758</v>
      </c>
      <c r="J398" s="2463">
        <f>IF(J$10&gt;0,J396/24/J$10,0)</f>
        <v>0.11904761904761904</v>
      </c>
      <c r="K398" s="2463">
        <f t="shared" si="214"/>
        <v>10.629251700680271</v>
      </c>
      <c r="L398" s="2463">
        <f t="shared" si="214"/>
        <v>9.9206349206349209</v>
      </c>
      <c r="M398" s="2463">
        <f t="shared" si="214"/>
        <v>9.9206349206349209</v>
      </c>
      <c r="N398" s="2463">
        <f>IF(N$10&gt;0,N396/24/N$10,0)</f>
        <v>2.9761904761904758</v>
      </c>
      <c r="O398" s="2463">
        <f>IF(O$10&gt;0,O396/24/O$10,0)</f>
        <v>2.9761904761904758</v>
      </c>
      <c r="P398" s="2463">
        <f t="shared" si="214"/>
        <v>17.006802721088434</v>
      </c>
      <c r="Q398" s="2463">
        <f t="shared" si="214"/>
        <v>17.006802721088434</v>
      </c>
      <c r="R398" s="2463">
        <f>IF(R$10&gt;0,R396/24/R$10,0)</f>
        <v>1.4880952380952379</v>
      </c>
      <c r="S398" s="2463">
        <f>IF(S$10&gt;0,S396/24/S$10,0)</f>
        <v>9.4482237339380202</v>
      </c>
      <c r="T398" s="2463">
        <f>IF(T$10&gt;0,T396/24/T$10,0)</f>
        <v>9.4482237339380202</v>
      </c>
      <c r="U398" s="2463">
        <f t="shared" si="214"/>
        <v>15.664160401002507</v>
      </c>
      <c r="V398" s="2463">
        <f t="shared" si="214"/>
        <v>0.59523809523809523</v>
      </c>
      <c r="W398" s="2463">
        <f t="shared" si="214"/>
        <v>0.59523809523809523</v>
      </c>
      <c r="X398" s="2463">
        <f t="shared" si="214"/>
        <v>62.003968253968246</v>
      </c>
      <c r="Y398" s="2463">
        <f t="shared" si="214"/>
        <v>2.2893772893772892</v>
      </c>
      <c r="Z398" s="2463">
        <f t="shared" si="214"/>
        <v>2.2461814914645104</v>
      </c>
      <c r="AA398" s="2463">
        <f t="shared" si="214"/>
        <v>5.9523809523809517</v>
      </c>
      <c r="AB398" s="2463">
        <f t="shared" si="214"/>
        <v>2.9761904761904758</v>
      </c>
      <c r="AC398" s="2463">
        <f t="shared" si="214"/>
        <v>2.9761904761904758</v>
      </c>
      <c r="AD398" s="2463">
        <f t="shared" si="214"/>
        <v>2.9761904761904758</v>
      </c>
      <c r="AE398" s="2463">
        <f t="shared" si="214"/>
        <v>0</v>
      </c>
      <c r="AF398" s="2463">
        <f t="shared" si="214"/>
        <v>0</v>
      </c>
      <c r="AG398" s="2463">
        <f t="shared" si="214"/>
        <v>3.2349896480331264E-2</v>
      </c>
      <c r="AH398" s="2463">
        <f t="shared" si="214"/>
        <v>3.2349896480331264E-2</v>
      </c>
      <c r="AI398" s="2463">
        <f t="shared" si="214"/>
        <v>0.59523809523809523</v>
      </c>
      <c r="AJ398" s="2463">
        <f t="shared" si="214"/>
        <v>0.59523809523809523</v>
      </c>
      <c r="AK398" s="2463">
        <f t="shared" si="214"/>
        <v>0.59523809523809523</v>
      </c>
      <c r="AL398" s="2463">
        <f t="shared" si="214"/>
        <v>0</v>
      </c>
      <c r="AM398" s="2463">
        <f t="shared" si="214"/>
        <v>0</v>
      </c>
      <c r="AN398" s="2463">
        <f t="shared" si="214"/>
        <v>198.4126984126984</v>
      </c>
      <c r="AO398" s="2463">
        <f t="shared" si="214"/>
        <v>0</v>
      </c>
      <c r="AP398" s="2463">
        <f t="shared" si="214"/>
        <v>0</v>
      </c>
      <c r="AQ398" s="2463">
        <f t="shared" si="214"/>
        <v>0</v>
      </c>
      <c r="AR398" s="2463">
        <f t="shared" si="214"/>
        <v>0</v>
      </c>
      <c r="AS398" s="2463">
        <f t="shared" si="214"/>
        <v>0</v>
      </c>
      <c r="AT398" s="2463">
        <f t="shared" si="214"/>
        <v>0</v>
      </c>
      <c r="AU398" s="2463">
        <f t="shared" si="214"/>
        <v>0</v>
      </c>
      <c r="AV398" s="2463">
        <f t="shared" si="214"/>
        <v>0</v>
      </c>
      <c r="AW398" s="2463">
        <f t="shared" si="214"/>
        <v>0</v>
      </c>
      <c r="AX398" s="2463">
        <f t="shared" si="214"/>
        <v>0</v>
      </c>
      <c r="AY398" s="2463">
        <f t="shared" si="214"/>
        <v>0</v>
      </c>
      <c r="AZ398" s="2463">
        <f t="shared" si="214"/>
        <v>0</v>
      </c>
      <c r="BA398" s="2463">
        <f t="shared" si="214"/>
        <v>0</v>
      </c>
      <c r="BB398" s="2463">
        <f t="shared" si="214"/>
        <v>0</v>
      </c>
      <c r="BC398" s="2463">
        <f t="shared" si="214"/>
        <v>0</v>
      </c>
      <c r="BD398" s="2463">
        <f t="shared" si="214"/>
        <v>29.761904761904763</v>
      </c>
      <c r="BE398" s="2463">
        <f t="shared" si="214"/>
        <v>1190.4761904761904</v>
      </c>
      <c r="BF398" s="2463">
        <f t="shared" si="214"/>
        <v>595.23809523809518</v>
      </c>
      <c r="BG398" s="2463">
        <f t="shared" si="214"/>
        <v>19841.269841269841</v>
      </c>
      <c r="BH398" s="2463">
        <f t="shared" si="214"/>
        <v>1884.9206349206345</v>
      </c>
      <c r="BI398" s="2463">
        <f t="shared" si="214"/>
        <v>744.04761904761904</v>
      </c>
    </row>
    <row r="399" spans="1:61" s="2464" customFormat="1">
      <c r="A399" s="2461"/>
      <c r="B399" s="2462"/>
      <c r="C399" s="2492"/>
      <c r="D399" s="2493"/>
      <c r="E399" s="3932" t="s">
        <v>1181</v>
      </c>
      <c r="F399" s="2441" t="s">
        <v>211</v>
      </c>
      <c r="G399" s="2431" t="s">
        <v>212</v>
      </c>
      <c r="H399" s="2442">
        <f>H397/24*H$11</f>
        <v>0</v>
      </c>
      <c r="I399" s="2442">
        <f t="shared" ref="I399:BI399" si="215">I397/24*I$11</f>
        <v>0</v>
      </c>
      <c r="J399" s="2442">
        <f>J397/24*J$11</f>
        <v>0</v>
      </c>
      <c r="K399" s="2442">
        <f t="shared" si="215"/>
        <v>5.4421768707483002E-4</v>
      </c>
      <c r="L399" s="2442">
        <f t="shared" si="215"/>
        <v>0</v>
      </c>
      <c r="M399" s="2442">
        <f t="shared" si="215"/>
        <v>0</v>
      </c>
      <c r="N399" s="2442">
        <f>N397/24*N$11</f>
        <v>1.08843537414966E-3</v>
      </c>
      <c r="O399" s="2442">
        <f>O397/24*O$11</f>
        <v>1.08843537414966E-3</v>
      </c>
      <c r="P399" s="2442">
        <f t="shared" si="215"/>
        <v>3.2108843537414968E-3</v>
      </c>
      <c r="Q399" s="2442">
        <f t="shared" si="215"/>
        <v>3.2108843537414968E-3</v>
      </c>
      <c r="R399" s="2442">
        <f>R397/24*R$11</f>
        <v>5.4421768707483002E-4</v>
      </c>
      <c r="S399" s="2442">
        <f>S397/24*S$11</f>
        <v>1.251700680272109E-2</v>
      </c>
      <c r="T399" s="2442">
        <f>T397/24*T$11</f>
        <v>1.251700680272109E-2</v>
      </c>
      <c r="U399" s="2442">
        <f t="shared" si="215"/>
        <v>2.2857142857142861E-2</v>
      </c>
      <c r="V399" s="2442">
        <f t="shared" si="215"/>
        <v>0</v>
      </c>
      <c r="W399" s="2442">
        <f t="shared" si="215"/>
        <v>0</v>
      </c>
      <c r="X399" s="2442">
        <f t="shared" si="215"/>
        <v>3.2653061224489801E-3</v>
      </c>
      <c r="Y399" s="2442">
        <f t="shared" si="215"/>
        <v>0</v>
      </c>
      <c r="Z399" s="2442">
        <f t="shared" si="215"/>
        <v>1.360544217687075E-3</v>
      </c>
      <c r="AA399" s="2442">
        <f t="shared" si="215"/>
        <v>0</v>
      </c>
      <c r="AB399" s="2442">
        <f t="shared" si="215"/>
        <v>0</v>
      </c>
      <c r="AC399" s="2442">
        <f t="shared" si="215"/>
        <v>0</v>
      </c>
      <c r="AD399" s="2442">
        <f t="shared" si="215"/>
        <v>0</v>
      </c>
      <c r="AE399" s="2442">
        <f t="shared" si="215"/>
        <v>0</v>
      </c>
      <c r="AF399" s="2442">
        <f t="shared" si="215"/>
        <v>0</v>
      </c>
      <c r="AG399" s="2442">
        <f t="shared" si="215"/>
        <v>0</v>
      </c>
      <c r="AH399" s="2442">
        <f t="shared" si="215"/>
        <v>0</v>
      </c>
      <c r="AI399" s="2442">
        <f t="shared" si="215"/>
        <v>0</v>
      </c>
      <c r="AJ399" s="2442">
        <f t="shared" si="215"/>
        <v>0</v>
      </c>
      <c r="AK399" s="2442">
        <f t="shared" si="215"/>
        <v>0</v>
      </c>
      <c r="AL399" s="2442">
        <f t="shared" si="215"/>
        <v>0</v>
      </c>
      <c r="AM399" s="2442">
        <f t="shared" si="215"/>
        <v>0</v>
      </c>
      <c r="AN399" s="2442">
        <f t="shared" si="215"/>
        <v>1.8503401360544222E-2</v>
      </c>
      <c r="AO399" s="2442">
        <f t="shared" si="215"/>
        <v>5.9863945578231303E-4</v>
      </c>
      <c r="AP399" s="2442">
        <f t="shared" si="215"/>
        <v>5.9863945578231303E-4</v>
      </c>
      <c r="AQ399" s="2442">
        <f t="shared" si="215"/>
        <v>5.9863945578231303E-4</v>
      </c>
      <c r="AR399" s="2442">
        <f t="shared" si="215"/>
        <v>5.9863945578231303E-4</v>
      </c>
      <c r="AS399" s="2442">
        <f t="shared" si="215"/>
        <v>5.9863945578231305E-3</v>
      </c>
      <c r="AT399" s="2442">
        <f t="shared" si="215"/>
        <v>5.9863945578231303E-4</v>
      </c>
      <c r="AU399" s="2442">
        <f t="shared" si="215"/>
        <v>5.9863945578231303E-4</v>
      </c>
      <c r="AV399" s="2442">
        <f t="shared" si="215"/>
        <v>5.9863945578231305E-2</v>
      </c>
      <c r="AW399" s="2442">
        <f t="shared" si="215"/>
        <v>5.9863945578231305E-3</v>
      </c>
      <c r="AX399" s="2442">
        <f t="shared" si="215"/>
        <v>5.9863945578231305E-2</v>
      </c>
      <c r="AY399" s="2442">
        <f t="shared" si="215"/>
        <v>5.9863945578231305E-2</v>
      </c>
      <c r="AZ399" s="2442">
        <f t="shared" si="215"/>
        <v>0.59863945578231303</v>
      </c>
      <c r="BA399" s="2442">
        <f t="shared" si="215"/>
        <v>0.59863945578231303</v>
      </c>
      <c r="BB399" s="2442">
        <f t="shared" si="215"/>
        <v>5.9863945578231305E-3</v>
      </c>
      <c r="BC399" s="2442">
        <f t="shared" si="215"/>
        <v>5.9863945578231305E-2</v>
      </c>
      <c r="BD399" s="2442">
        <f t="shared" si="215"/>
        <v>0</v>
      </c>
      <c r="BE399" s="2442">
        <f t="shared" si="215"/>
        <v>0.62040816326530612</v>
      </c>
      <c r="BF399" s="2442">
        <f t="shared" si="215"/>
        <v>0.31020408163265306</v>
      </c>
      <c r="BG399" s="2442">
        <f t="shared" si="215"/>
        <v>0</v>
      </c>
      <c r="BH399" s="2442">
        <f t="shared" si="215"/>
        <v>0</v>
      </c>
      <c r="BI399" s="2442">
        <f t="shared" si="215"/>
        <v>0</v>
      </c>
    </row>
    <row r="400" spans="1:61" s="2464" customFormat="1">
      <c r="A400" s="2461"/>
      <c r="B400" s="2462"/>
      <c r="C400" s="2492"/>
      <c r="D400" s="2493"/>
      <c r="E400" s="3932" t="s">
        <v>1184</v>
      </c>
      <c r="F400" s="2465" t="s">
        <v>1158</v>
      </c>
      <c r="G400" s="2431" t="s">
        <v>1157</v>
      </c>
      <c r="H400" s="2442">
        <f t="shared" ref="H400:AM400" si="216">H378*H398</f>
        <v>20.703976251582276</v>
      </c>
      <c r="I400" s="2442">
        <f t="shared" si="216"/>
        <v>20.703976251582276</v>
      </c>
      <c r="J400" s="2442">
        <f t="shared" si="216"/>
        <v>0.3576297160539379</v>
      </c>
      <c r="K400" s="2442">
        <f t="shared" si="216"/>
        <v>1.062766831659278</v>
      </c>
      <c r="L400" s="2442">
        <f t="shared" si="216"/>
        <v>5.3053251340975098</v>
      </c>
      <c r="M400" s="2442">
        <f t="shared" si="216"/>
        <v>5.3053251340975098</v>
      </c>
      <c r="N400" s="2442">
        <f t="shared" si="216"/>
        <v>0.80697034943585444</v>
      </c>
      <c r="O400" s="2442">
        <f t="shared" si="216"/>
        <v>0.80697034943585444</v>
      </c>
      <c r="P400" s="2442">
        <f t="shared" si="216"/>
        <v>4.2237662461920022</v>
      </c>
      <c r="Q400" s="2442">
        <f t="shared" si="216"/>
        <v>4.2237662461920022</v>
      </c>
      <c r="R400" s="2442">
        <f t="shared" si="216"/>
        <v>0.91941485996965078</v>
      </c>
      <c r="S400" s="2442">
        <f t="shared" si="216"/>
        <v>6.2222397371694349</v>
      </c>
      <c r="T400" s="2442">
        <f t="shared" si="216"/>
        <v>6.2222397371694349</v>
      </c>
      <c r="U400" s="2442">
        <f t="shared" si="216"/>
        <v>2.1911457653774766</v>
      </c>
      <c r="V400" s="2442">
        <f t="shared" si="216"/>
        <v>5.0869658648208388E-2</v>
      </c>
      <c r="W400" s="2442">
        <f t="shared" si="216"/>
        <v>5.0869658648208388E-2</v>
      </c>
      <c r="X400" s="2442">
        <f t="shared" si="216"/>
        <v>27.621358982456496</v>
      </c>
      <c r="Y400" s="2442">
        <f t="shared" si="216"/>
        <v>1.4715423584195699</v>
      </c>
      <c r="Z400" s="2442">
        <f t="shared" si="216"/>
        <v>2.4379190947906695</v>
      </c>
      <c r="AA400" s="2442">
        <f t="shared" si="216"/>
        <v>1.3757370387018053</v>
      </c>
      <c r="AB400" s="2442">
        <f t="shared" si="216"/>
        <v>4.2574745391295039</v>
      </c>
      <c r="AC400" s="2442">
        <f t="shared" si="216"/>
        <v>12.407847261801345</v>
      </c>
      <c r="AD400" s="2442">
        <f t="shared" si="216"/>
        <v>26.201892738751109</v>
      </c>
      <c r="AE400" s="2442">
        <f t="shared" si="216"/>
        <v>0</v>
      </c>
      <c r="AF400" s="2442">
        <f t="shared" si="216"/>
        <v>0</v>
      </c>
      <c r="AG400" s="2442">
        <f t="shared" si="216"/>
        <v>2.0121727141450404E-3</v>
      </c>
      <c r="AH400" s="2442">
        <f t="shared" si="216"/>
        <v>2.6874135124912366E-3</v>
      </c>
      <c r="AI400" s="2442">
        <f t="shared" si="216"/>
        <v>0.12161005706971195</v>
      </c>
      <c r="AJ400" s="2442">
        <f t="shared" si="216"/>
        <v>0.5108740071632899</v>
      </c>
      <c r="AK400" s="2442">
        <f t="shared" si="216"/>
        <v>1.7785407207165205</v>
      </c>
      <c r="AL400" s="2442">
        <f t="shared" si="216"/>
        <v>0</v>
      </c>
      <c r="AM400" s="2442">
        <f t="shared" si="216"/>
        <v>0</v>
      </c>
      <c r="AN400" s="2442">
        <f t="shared" ref="AN400:BI400" si="217">AN378*AN398</f>
        <v>1073.4311388343576</v>
      </c>
      <c r="AO400" s="2442">
        <f t="shared" si="217"/>
        <v>0</v>
      </c>
      <c r="AP400" s="2442">
        <f t="shared" si="217"/>
        <v>0</v>
      </c>
      <c r="AQ400" s="2442">
        <f t="shared" si="217"/>
        <v>0</v>
      </c>
      <c r="AR400" s="2442">
        <f t="shared" si="217"/>
        <v>0</v>
      </c>
      <c r="AS400" s="2442">
        <f t="shared" si="217"/>
        <v>0</v>
      </c>
      <c r="AT400" s="2442">
        <f t="shared" si="217"/>
        <v>0</v>
      </c>
      <c r="AU400" s="2442">
        <f t="shared" si="217"/>
        <v>0</v>
      </c>
      <c r="AV400" s="2442">
        <f t="shared" si="217"/>
        <v>0</v>
      </c>
      <c r="AW400" s="2442">
        <f t="shared" si="217"/>
        <v>0</v>
      </c>
      <c r="AX400" s="2442">
        <f t="shared" si="217"/>
        <v>0</v>
      </c>
      <c r="AY400" s="2442">
        <f t="shared" si="217"/>
        <v>0</v>
      </c>
      <c r="AZ400" s="2442">
        <f t="shared" si="217"/>
        <v>0</v>
      </c>
      <c r="BA400" s="2442">
        <f t="shared" si="217"/>
        <v>0</v>
      </c>
      <c r="BB400" s="2442">
        <f t="shared" si="217"/>
        <v>0</v>
      </c>
      <c r="BC400" s="2442">
        <f t="shared" si="217"/>
        <v>0</v>
      </c>
      <c r="BD400" s="2442">
        <f t="shared" si="217"/>
        <v>1639.3498643961614</v>
      </c>
      <c r="BE400" s="2442">
        <f t="shared" si="217"/>
        <v>94686.513228817872</v>
      </c>
      <c r="BF400" s="2442">
        <f t="shared" si="217"/>
        <v>47343.256614408936</v>
      </c>
      <c r="BG400" s="2442">
        <f t="shared" si="217"/>
        <v>2027.4374317919305</v>
      </c>
      <c r="BH400" s="2442">
        <f t="shared" si="217"/>
        <v>96036.359319990239</v>
      </c>
      <c r="BI400" s="2442">
        <f t="shared" si="217"/>
        <v>8911.9148161644844</v>
      </c>
    </row>
    <row r="401" spans="1:61" s="2464" customFormat="1">
      <c r="A401" s="2461"/>
      <c r="B401" s="2462"/>
      <c r="C401" s="2492"/>
      <c r="D401" s="2493"/>
      <c r="E401" s="3932" t="s">
        <v>1182</v>
      </c>
      <c r="F401" s="2465" t="s">
        <v>233</v>
      </c>
      <c r="G401" s="2431" t="s">
        <v>234</v>
      </c>
      <c r="H401" s="2442">
        <f t="shared" ref="H401:AM401" si="218">H385*H399</f>
        <v>0</v>
      </c>
      <c r="I401" s="2442">
        <f t="shared" si="218"/>
        <v>0</v>
      </c>
      <c r="J401" s="2442">
        <f t="shared" si="218"/>
        <v>0</v>
      </c>
      <c r="K401" s="2442">
        <f t="shared" si="218"/>
        <v>0</v>
      </c>
      <c r="L401" s="2442">
        <f t="shared" si="218"/>
        <v>0</v>
      </c>
      <c r="M401" s="2442">
        <f t="shared" si="218"/>
        <v>0</v>
      </c>
      <c r="N401" s="2442">
        <f t="shared" si="218"/>
        <v>0</v>
      </c>
      <c r="O401" s="2442">
        <f t="shared" si="218"/>
        <v>0</v>
      </c>
      <c r="P401" s="2442">
        <f t="shared" si="218"/>
        <v>0</v>
      </c>
      <c r="Q401" s="2442">
        <f t="shared" si="218"/>
        <v>0</v>
      </c>
      <c r="R401" s="2442">
        <f t="shared" si="218"/>
        <v>0</v>
      </c>
      <c r="S401" s="2442">
        <f t="shared" si="218"/>
        <v>0</v>
      </c>
      <c r="T401" s="2442">
        <f t="shared" si="218"/>
        <v>0</v>
      </c>
      <c r="U401" s="2442">
        <f t="shared" si="218"/>
        <v>0</v>
      </c>
      <c r="V401" s="2442">
        <f t="shared" si="218"/>
        <v>0</v>
      </c>
      <c r="W401" s="2442">
        <f t="shared" si="218"/>
        <v>0</v>
      </c>
      <c r="X401" s="2442">
        <f t="shared" si="218"/>
        <v>0</v>
      </c>
      <c r="Y401" s="2442">
        <f t="shared" si="218"/>
        <v>0</v>
      </c>
      <c r="Z401" s="2442">
        <f t="shared" si="218"/>
        <v>0</v>
      </c>
      <c r="AA401" s="2442">
        <f t="shared" si="218"/>
        <v>0</v>
      </c>
      <c r="AB401" s="2442">
        <f t="shared" si="218"/>
        <v>0</v>
      </c>
      <c r="AC401" s="2442">
        <f t="shared" si="218"/>
        <v>0</v>
      </c>
      <c r="AD401" s="2442">
        <f t="shared" si="218"/>
        <v>0</v>
      </c>
      <c r="AE401" s="2442">
        <f t="shared" si="218"/>
        <v>0</v>
      </c>
      <c r="AF401" s="2442">
        <f t="shared" si="218"/>
        <v>0</v>
      </c>
      <c r="AG401" s="2442">
        <f t="shared" si="218"/>
        <v>0</v>
      </c>
      <c r="AH401" s="2442">
        <f t="shared" si="218"/>
        <v>0</v>
      </c>
      <c r="AI401" s="2442">
        <f t="shared" si="218"/>
        <v>0</v>
      </c>
      <c r="AJ401" s="2442">
        <f t="shared" si="218"/>
        <v>0</v>
      </c>
      <c r="AK401" s="2442">
        <f t="shared" si="218"/>
        <v>0</v>
      </c>
      <c r="AL401" s="2442">
        <f t="shared" si="218"/>
        <v>0</v>
      </c>
      <c r="AM401" s="2442">
        <f t="shared" si="218"/>
        <v>0</v>
      </c>
      <c r="AN401" s="2442">
        <f t="shared" ref="AN401:BI401" si="219">AN385*AN399</f>
        <v>1.5982341502220138E-2</v>
      </c>
      <c r="AO401" s="2442">
        <f t="shared" si="219"/>
        <v>1.6167911805422335E-3</v>
      </c>
      <c r="AP401" s="2442">
        <f t="shared" si="219"/>
        <v>1.2720156784511909E-3</v>
      </c>
      <c r="AQ401" s="2442">
        <f t="shared" si="219"/>
        <v>1.9288854306385879E-3</v>
      </c>
      <c r="AR401" s="2442">
        <f t="shared" si="219"/>
        <v>4.1419993955196582E-3</v>
      </c>
      <c r="AS401" s="2442">
        <f t="shared" si="219"/>
        <v>3.6622918632441971E-2</v>
      </c>
      <c r="AT401" s="2442">
        <f t="shared" si="219"/>
        <v>1.2650022332387678E-2</v>
      </c>
      <c r="AU401" s="2442">
        <f t="shared" si="219"/>
        <v>1.2872783823083553E-2</v>
      </c>
      <c r="AV401" s="2442">
        <f t="shared" si="219"/>
        <v>2.6697919371400554</v>
      </c>
      <c r="AW401" s="2442">
        <f t="shared" si="219"/>
        <v>0.27021785433880396</v>
      </c>
      <c r="AX401" s="2442">
        <f t="shared" si="219"/>
        <v>4.6336793308177038</v>
      </c>
      <c r="AY401" s="2442">
        <f t="shared" si="219"/>
        <v>4.6938744335354068</v>
      </c>
      <c r="AZ401" s="2442">
        <f t="shared" si="219"/>
        <v>47.395192097826829</v>
      </c>
      <c r="BA401" s="2442">
        <f t="shared" si="219"/>
        <v>48.188544751265681</v>
      </c>
      <c r="BB401" s="2442">
        <f t="shared" si="219"/>
        <v>0.45865751216935735</v>
      </c>
      <c r="BC401" s="2442">
        <f t="shared" si="219"/>
        <v>4.8278865720874915</v>
      </c>
      <c r="BD401" s="2442">
        <f t="shared" si="219"/>
        <v>0</v>
      </c>
      <c r="BE401" s="2442">
        <f t="shared" si="219"/>
        <v>28.549292820310001</v>
      </c>
      <c r="BF401" s="2442">
        <f t="shared" si="219"/>
        <v>14.274646410155</v>
      </c>
      <c r="BG401" s="2442">
        <f t="shared" si="219"/>
        <v>0</v>
      </c>
      <c r="BH401" s="2442">
        <f t="shared" si="219"/>
        <v>0</v>
      </c>
      <c r="BI401" s="2442">
        <f t="shared" si="219"/>
        <v>0</v>
      </c>
    </row>
    <row r="402" spans="1:61" s="2464" customFormat="1">
      <c r="A402" s="2461"/>
      <c r="B402" s="2462"/>
      <c r="C402" s="2492"/>
      <c r="D402" s="2493"/>
      <c r="E402" s="3939" t="s">
        <v>988</v>
      </c>
      <c r="F402" s="2466" t="s">
        <v>492</v>
      </c>
      <c r="G402" s="2467" t="s">
        <v>492</v>
      </c>
      <c r="H402" s="2442">
        <f t="shared" ref="H402:AM402" si="220">H372*H400</f>
        <v>5.4544450472938835E-4</v>
      </c>
      <c r="I402" s="2442">
        <f t="shared" si="220"/>
        <v>5.4544450472938835E-4</v>
      </c>
      <c r="J402" s="2442">
        <f t="shared" si="220"/>
        <v>6.1850861941952409E-5</v>
      </c>
      <c r="K402" s="2442">
        <f t="shared" si="220"/>
        <v>4.095174028515515E-2</v>
      </c>
      <c r="L402" s="2442">
        <f t="shared" si="220"/>
        <v>3.8221624266144817E-2</v>
      </c>
      <c r="M402" s="2442">
        <f t="shared" si="220"/>
        <v>3.8221624266144817E-2</v>
      </c>
      <c r="N402" s="2442">
        <f t="shared" si="220"/>
        <v>1.1466487279843443E-2</v>
      </c>
      <c r="O402" s="2442">
        <f t="shared" si="220"/>
        <v>1.1466487279843443E-2</v>
      </c>
      <c r="P402" s="2442">
        <f t="shared" si="220"/>
        <v>6.5522784456248248E-2</v>
      </c>
      <c r="Q402" s="2442">
        <f t="shared" si="220"/>
        <v>6.5522784456248248E-2</v>
      </c>
      <c r="R402" s="2442">
        <f t="shared" si="220"/>
        <v>5.7332436399217214E-3</v>
      </c>
      <c r="S402" s="2442">
        <f t="shared" si="220"/>
        <v>3.6401546920137931E-2</v>
      </c>
      <c r="T402" s="2442">
        <f t="shared" si="220"/>
        <v>3.6401546920137931E-2</v>
      </c>
      <c r="U402" s="2442">
        <f t="shared" si="220"/>
        <v>6.0349933051807594E-2</v>
      </c>
      <c r="V402" s="2442">
        <f t="shared" si="220"/>
        <v>2.2932974559686892E-3</v>
      </c>
      <c r="W402" s="2442">
        <f t="shared" si="220"/>
        <v>2.2932974559686892E-3</v>
      </c>
      <c r="X402" s="2442">
        <f t="shared" si="220"/>
        <v>0.23888515166340504</v>
      </c>
      <c r="Y402" s="2442">
        <f t="shared" si="220"/>
        <v>8.8203748306488021E-3</v>
      </c>
      <c r="Z402" s="2442">
        <f t="shared" si="220"/>
        <v>8.65395266403279E-3</v>
      </c>
      <c r="AA402" s="2442">
        <f t="shared" si="220"/>
        <v>3.2761392228124121E-3</v>
      </c>
      <c r="AB402" s="2442">
        <f t="shared" si="220"/>
        <v>1.1466487279843443E-2</v>
      </c>
      <c r="AC402" s="2442">
        <f t="shared" si="220"/>
        <v>6.5209184449646481E-3</v>
      </c>
      <c r="AD402" s="2442">
        <f t="shared" si="220"/>
        <v>2.6953162110185057E-3</v>
      </c>
      <c r="AE402" s="2442">
        <f t="shared" si="220"/>
        <v>0</v>
      </c>
      <c r="AF402" s="2442">
        <f t="shared" si="220"/>
        <v>0</v>
      </c>
      <c r="AG402" s="2442">
        <f t="shared" si="220"/>
        <v>1.2463573130264613E-4</v>
      </c>
      <c r="AH402" s="2442">
        <f t="shared" si="220"/>
        <v>1.2463573130264613E-4</v>
      </c>
      <c r="AI402" s="2442">
        <f t="shared" si="220"/>
        <v>2.2932974559686887E-3</v>
      </c>
      <c r="AJ402" s="2442">
        <f t="shared" si="220"/>
        <v>2.2932974559686883E-3</v>
      </c>
      <c r="AK402" s="2442">
        <f t="shared" si="220"/>
        <v>1.8200737526813278E-3</v>
      </c>
      <c r="AL402" s="2442">
        <f t="shared" si="220"/>
        <v>0</v>
      </c>
      <c r="AM402" s="2442">
        <f t="shared" si="220"/>
        <v>0</v>
      </c>
      <c r="AN402" s="2442">
        <f t="shared" ref="AN402:BI402" si="221">AN372*AN400</f>
        <v>4.5883883682234575E-2</v>
      </c>
      <c r="AO402" s="2442">
        <f t="shared" si="221"/>
        <v>0</v>
      </c>
      <c r="AP402" s="2442">
        <f t="shared" si="221"/>
        <v>0</v>
      </c>
      <c r="AQ402" s="2442">
        <f t="shared" si="221"/>
        <v>0</v>
      </c>
      <c r="AR402" s="2442">
        <f t="shared" si="221"/>
        <v>0</v>
      </c>
      <c r="AS402" s="2442">
        <f t="shared" si="221"/>
        <v>0</v>
      </c>
      <c r="AT402" s="2442">
        <f t="shared" si="221"/>
        <v>0</v>
      </c>
      <c r="AU402" s="2442">
        <f t="shared" si="221"/>
        <v>0</v>
      </c>
      <c r="AV402" s="2442">
        <f t="shared" si="221"/>
        <v>0</v>
      </c>
      <c r="AW402" s="2442">
        <f t="shared" si="221"/>
        <v>0</v>
      </c>
      <c r="AX402" s="2442">
        <f t="shared" si="221"/>
        <v>0</v>
      </c>
      <c r="AY402" s="2442">
        <f t="shared" si="221"/>
        <v>0</v>
      </c>
      <c r="AZ402" s="2442">
        <f t="shared" si="221"/>
        <v>0</v>
      </c>
      <c r="BA402" s="2442">
        <f t="shared" si="221"/>
        <v>0</v>
      </c>
      <c r="BB402" s="2442">
        <f t="shared" si="221"/>
        <v>0</v>
      </c>
      <c r="BC402" s="2442">
        <f t="shared" si="221"/>
        <v>0</v>
      </c>
      <c r="BD402" s="2442">
        <f t="shared" si="221"/>
        <v>1.533565148541396E-3</v>
      </c>
      <c r="BE402" s="2442">
        <f t="shared" si="221"/>
        <v>1.9659449051883087E-3</v>
      </c>
      <c r="BF402" s="2442">
        <f t="shared" si="221"/>
        <v>9.8297245259415435E-4</v>
      </c>
      <c r="BG402" s="2442">
        <f t="shared" si="221"/>
        <v>34.399461839530332</v>
      </c>
      <c r="BH402" s="2442">
        <f t="shared" si="221"/>
        <v>0.11946724183657857</v>
      </c>
      <c r="BI402" s="2442">
        <f t="shared" si="221"/>
        <v>8.5778373565368202E-2</v>
      </c>
    </row>
    <row r="403" spans="1:61" s="2529" customFormat="1">
      <c r="A403" s="2527"/>
      <c r="B403" s="2528"/>
      <c r="C403" s="2492"/>
      <c r="D403" s="2493"/>
      <c r="E403" s="3943" t="s">
        <v>991</v>
      </c>
      <c r="F403" s="2468" t="s">
        <v>213</v>
      </c>
      <c r="G403" s="2469" t="s">
        <v>213</v>
      </c>
      <c r="H403" s="2470">
        <f t="shared" ref="H403:AM403" si="222">H372*H401</f>
        <v>0</v>
      </c>
      <c r="I403" s="2470">
        <f t="shared" si="222"/>
        <v>0</v>
      </c>
      <c r="J403" s="2470">
        <f t="shared" si="222"/>
        <v>0</v>
      </c>
      <c r="K403" s="2470">
        <f t="shared" si="222"/>
        <v>0</v>
      </c>
      <c r="L403" s="2470">
        <f t="shared" si="222"/>
        <v>0</v>
      </c>
      <c r="M403" s="2470">
        <f t="shared" si="222"/>
        <v>0</v>
      </c>
      <c r="N403" s="2470">
        <f t="shared" si="222"/>
        <v>0</v>
      </c>
      <c r="O403" s="2470">
        <f t="shared" si="222"/>
        <v>0</v>
      </c>
      <c r="P403" s="2470">
        <f t="shared" si="222"/>
        <v>0</v>
      </c>
      <c r="Q403" s="2470">
        <f t="shared" si="222"/>
        <v>0</v>
      </c>
      <c r="R403" s="2470">
        <f t="shared" si="222"/>
        <v>0</v>
      </c>
      <c r="S403" s="2470">
        <f t="shared" si="222"/>
        <v>0</v>
      </c>
      <c r="T403" s="2470">
        <f t="shared" si="222"/>
        <v>0</v>
      </c>
      <c r="U403" s="2470">
        <f t="shared" si="222"/>
        <v>0</v>
      </c>
      <c r="V403" s="2470">
        <f t="shared" si="222"/>
        <v>0</v>
      </c>
      <c r="W403" s="2470">
        <f t="shared" si="222"/>
        <v>0</v>
      </c>
      <c r="X403" s="2470">
        <f t="shared" si="222"/>
        <v>0</v>
      </c>
      <c r="Y403" s="2470">
        <f t="shared" si="222"/>
        <v>0</v>
      </c>
      <c r="Z403" s="2470">
        <f t="shared" si="222"/>
        <v>0</v>
      </c>
      <c r="AA403" s="2470">
        <f t="shared" si="222"/>
        <v>0</v>
      </c>
      <c r="AB403" s="2470">
        <f t="shared" si="222"/>
        <v>0</v>
      </c>
      <c r="AC403" s="2470">
        <f t="shared" si="222"/>
        <v>0</v>
      </c>
      <c r="AD403" s="2470">
        <f t="shared" si="222"/>
        <v>0</v>
      </c>
      <c r="AE403" s="2470">
        <f t="shared" si="222"/>
        <v>0</v>
      </c>
      <c r="AF403" s="2470">
        <f t="shared" si="222"/>
        <v>0</v>
      </c>
      <c r="AG403" s="2470">
        <f t="shared" si="222"/>
        <v>0</v>
      </c>
      <c r="AH403" s="2470">
        <f t="shared" si="222"/>
        <v>0</v>
      </c>
      <c r="AI403" s="2470">
        <f t="shared" si="222"/>
        <v>0</v>
      </c>
      <c r="AJ403" s="2470">
        <f t="shared" si="222"/>
        <v>0</v>
      </c>
      <c r="AK403" s="2470">
        <f t="shared" si="222"/>
        <v>0</v>
      </c>
      <c r="AL403" s="2470">
        <f t="shared" si="222"/>
        <v>0</v>
      </c>
      <c r="AM403" s="2470">
        <f t="shared" si="222"/>
        <v>0</v>
      </c>
      <c r="AN403" s="2470">
        <f t="shared" ref="AN403:BI403" si="223">AN372*AN401</f>
        <v>6.8316622457398294E-7</v>
      </c>
      <c r="AO403" s="2470">
        <f t="shared" si="223"/>
        <v>1.8875093964836832E-8</v>
      </c>
      <c r="AP403" s="2470">
        <f t="shared" si="223"/>
        <v>2.4843384221385894E-8</v>
      </c>
      <c r="AQ403" s="2470">
        <f t="shared" si="223"/>
        <v>1.5254121607681114E-8</v>
      </c>
      <c r="AR403" s="2470">
        <f t="shared" si="223"/>
        <v>6.5583053864585029E-9</v>
      </c>
      <c r="AS403" s="2470">
        <f t="shared" si="223"/>
        <v>7.4897833819495962E-8</v>
      </c>
      <c r="AT403" s="2470">
        <f t="shared" si="223"/>
        <v>1.8884422957755957E-9</v>
      </c>
      <c r="AU403" s="2470">
        <f t="shared" si="223"/>
        <v>1.8486943174797841E-9</v>
      </c>
      <c r="AV403" s="2470">
        <f t="shared" si="223"/>
        <v>6.1168190840014773E-8</v>
      </c>
      <c r="AW403" s="2470">
        <f t="shared" si="223"/>
        <v>5.9655600323353188E-9</v>
      </c>
      <c r="AX403" s="2470">
        <f t="shared" si="223"/>
        <v>3.6006697875234169E-9</v>
      </c>
      <c r="AY403" s="2470">
        <f t="shared" si="223"/>
        <v>2.5032274594133797E-9</v>
      </c>
      <c r="AZ403" s="2470">
        <f t="shared" si="223"/>
        <v>1.6878663907921186E-8</v>
      </c>
      <c r="BA403" s="2470">
        <f t="shared" si="223"/>
        <v>2.9639140964016841E-9</v>
      </c>
      <c r="BB403" s="2470">
        <f t="shared" si="223"/>
        <v>4.4666774496285918E-10</v>
      </c>
      <c r="BC403" s="2470">
        <f t="shared" si="223"/>
        <v>1.2490074826138652E-15</v>
      </c>
      <c r="BD403" s="2470">
        <f t="shared" si="223"/>
        <v>0</v>
      </c>
      <c r="BE403" s="2470">
        <f t="shared" si="223"/>
        <v>5.9275956894920846E-7</v>
      </c>
      <c r="BF403" s="2470">
        <f t="shared" si="223"/>
        <v>2.9637978447460423E-7</v>
      </c>
      <c r="BG403" s="2470">
        <f t="shared" si="223"/>
        <v>0</v>
      </c>
      <c r="BH403" s="2470">
        <f t="shared" si="223"/>
        <v>0</v>
      </c>
      <c r="BI403" s="2470">
        <f t="shared" si="223"/>
        <v>0</v>
      </c>
    </row>
    <row r="404" spans="1:61" s="26" customFormat="1">
      <c r="A404" s="398"/>
      <c r="B404" s="27"/>
      <c r="C404" s="2453"/>
      <c r="D404" s="2454"/>
      <c r="E404" s="3498"/>
      <c r="F404" s="14"/>
      <c r="G404" s="105"/>
      <c r="H404" s="113"/>
      <c r="I404" s="113"/>
      <c r="J404" s="113"/>
      <c r="K404" s="113"/>
      <c r="L404" s="113"/>
      <c r="M404" s="113"/>
      <c r="N404" s="113"/>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row>
    <row r="405" spans="1:61" s="2443" customFormat="1">
      <c r="A405" s="2438"/>
      <c r="B405" s="2439"/>
      <c r="C405" s="4106" t="s">
        <v>586</v>
      </c>
      <c r="D405" s="4107"/>
      <c r="E405" s="3939" t="s">
        <v>988</v>
      </c>
      <c r="F405" s="2466" t="s">
        <v>492</v>
      </c>
      <c r="G405" s="2467" t="s">
        <v>492</v>
      </c>
      <c r="H405" s="2442">
        <f>MAX(H394,H402)</f>
        <v>7.4453174895561518E-4</v>
      </c>
      <c r="I405" s="2442">
        <f t="shared" ref="I405:BI405" si="224">MAX(I394,I402)</f>
        <v>7.4453174895561518E-4</v>
      </c>
      <c r="J405" s="2442">
        <f>MAX(J394,J402)</f>
        <v>8.4426426550765054E-5</v>
      </c>
      <c r="K405" s="2442">
        <f t="shared" si="224"/>
        <v>5.5899125489236777E-2</v>
      </c>
      <c r="L405" s="2442">
        <f t="shared" si="224"/>
        <v>5.2172517123287687E-2</v>
      </c>
      <c r="M405" s="2442">
        <f t="shared" si="224"/>
        <v>5.2172517123287687E-2</v>
      </c>
      <c r="N405" s="2442">
        <f>MAX(N394,N402)</f>
        <v>1.5651755136986301E-2</v>
      </c>
      <c r="O405" s="2442">
        <f>MAX(O394,O402)</f>
        <v>1.5651755136986301E-2</v>
      </c>
      <c r="P405" s="2442">
        <f t="shared" si="224"/>
        <v>8.9438600782778849E-2</v>
      </c>
      <c r="Q405" s="2442">
        <f t="shared" si="224"/>
        <v>8.9438600782778849E-2</v>
      </c>
      <c r="R405" s="2442">
        <f>MAX(R394,R402)</f>
        <v>7.8258775684931503E-3</v>
      </c>
      <c r="S405" s="2442">
        <f>MAX(S394,S402)</f>
        <v>4.9688111545988276E-2</v>
      </c>
      <c r="T405" s="2442">
        <f>MAX(T394,T402)</f>
        <v>4.9688111545988276E-2</v>
      </c>
      <c r="U405" s="2442">
        <f t="shared" si="224"/>
        <v>8.2377658615717358E-2</v>
      </c>
      <c r="V405" s="2442">
        <f t="shared" si="224"/>
        <v>3.1303510273972606E-3</v>
      </c>
      <c r="W405" s="2442">
        <f t="shared" si="224"/>
        <v>3.1303510273972606E-3</v>
      </c>
      <c r="X405" s="2442">
        <f t="shared" si="224"/>
        <v>0.32607823202054792</v>
      </c>
      <c r="Y405" s="2442">
        <f t="shared" si="224"/>
        <v>1.2039811643835614E-2</v>
      </c>
      <c r="Z405" s="2442">
        <f t="shared" si="224"/>
        <v>1.1812645386404756E-2</v>
      </c>
      <c r="AA405" s="2442">
        <f t="shared" si="224"/>
        <v>4.4719300391389437E-3</v>
      </c>
      <c r="AB405" s="2442">
        <f t="shared" si="224"/>
        <v>1.5651755136986304E-2</v>
      </c>
      <c r="AC405" s="2442">
        <f t="shared" si="224"/>
        <v>8.9010536773767458E-3</v>
      </c>
      <c r="AD405" s="2442">
        <f t="shared" si="224"/>
        <v>3.6791066280402606E-3</v>
      </c>
      <c r="AE405" s="2442">
        <f t="shared" si="224"/>
        <v>0</v>
      </c>
      <c r="AF405" s="2442">
        <f t="shared" si="224"/>
        <v>0</v>
      </c>
      <c r="AG405" s="2442">
        <f t="shared" si="224"/>
        <v>1.7012777322811197E-4</v>
      </c>
      <c r="AH405" s="2442">
        <f t="shared" si="224"/>
        <v>1.7012777322811197E-4</v>
      </c>
      <c r="AI405" s="2442">
        <f t="shared" si="224"/>
        <v>3.1303510273972606E-3</v>
      </c>
      <c r="AJ405" s="2442">
        <f t="shared" si="224"/>
        <v>3.1303510273972593E-3</v>
      </c>
      <c r="AK405" s="2442">
        <f t="shared" si="224"/>
        <v>2.4844006724100125E-3</v>
      </c>
      <c r="AL405" s="2442">
        <f t="shared" si="224"/>
        <v>0</v>
      </c>
      <c r="AM405" s="2442">
        <f t="shared" si="224"/>
        <v>0</v>
      </c>
      <c r="AN405" s="2442">
        <f t="shared" si="224"/>
        <v>6.2631501226250191E-2</v>
      </c>
      <c r="AO405" s="2442">
        <f t="shared" si="224"/>
        <v>0</v>
      </c>
      <c r="AP405" s="2442">
        <f t="shared" si="224"/>
        <v>0</v>
      </c>
      <c r="AQ405" s="2442">
        <f t="shared" si="224"/>
        <v>0</v>
      </c>
      <c r="AR405" s="2442">
        <f t="shared" si="224"/>
        <v>0</v>
      </c>
      <c r="AS405" s="2442">
        <f t="shared" si="224"/>
        <v>0</v>
      </c>
      <c r="AT405" s="2442">
        <f t="shared" si="224"/>
        <v>0</v>
      </c>
      <c r="AU405" s="2442">
        <f t="shared" si="224"/>
        <v>0</v>
      </c>
      <c r="AV405" s="2442">
        <f t="shared" si="224"/>
        <v>0</v>
      </c>
      <c r="AW405" s="2442">
        <f t="shared" si="224"/>
        <v>0</v>
      </c>
      <c r="AX405" s="2442">
        <f t="shared" si="224"/>
        <v>0</v>
      </c>
      <c r="AY405" s="2442">
        <f t="shared" si="224"/>
        <v>0</v>
      </c>
      <c r="AZ405" s="2442">
        <f t="shared" si="224"/>
        <v>0</v>
      </c>
      <c r="BA405" s="2442">
        <f t="shared" si="224"/>
        <v>0</v>
      </c>
      <c r="BB405" s="2442">
        <f t="shared" si="224"/>
        <v>0</v>
      </c>
      <c r="BC405" s="2442">
        <f t="shared" si="224"/>
        <v>0</v>
      </c>
      <c r="BD405" s="2442">
        <f t="shared" si="224"/>
        <v>2.0933164277590049E-3</v>
      </c>
      <c r="BE405" s="2442">
        <f t="shared" si="224"/>
        <v>2.6835147955820413E-3</v>
      </c>
      <c r="BF405" s="2442">
        <f t="shared" si="224"/>
        <v>1.3417573977910207E-3</v>
      </c>
      <c r="BG405" s="2442">
        <f t="shared" si="224"/>
        <v>46.955265410958901</v>
      </c>
      <c r="BH405" s="2442">
        <f t="shared" si="224"/>
        <v>0.16307278510692977</v>
      </c>
      <c r="BI405" s="2442">
        <f t="shared" si="224"/>
        <v>0.11708747991672759</v>
      </c>
    </row>
    <row r="406" spans="1:61" s="2483" customFormat="1">
      <c r="A406" s="2478"/>
      <c r="B406" s="2479"/>
      <c r="C406" s="4106"/>
      <c r="D406" s="4107"/>
      <c r="E406" s="3954" t="s">
        <v>991</v>
      </c>
      <c r="F406" s="2480" t="s">
        <v>213</v>
      </c>
      <c r="G406" s="2481" t="s">
        <v>213</v>
      </c>
      <c r="H406" s="2482">
        <f>H395+H403</f>
        <v>0</v>
      </c>
      <c r="I406" s="2482">
        <f t="shared" ref="I406:BI406" si="225">I395+I403</f>
        <v>0</v>
      </c>
      <c r="J406" s="2482">
        <f>J395+J403</f>
        <v>0</v>
      </c>
      <c r="K406" s="2482">
        <f t="shared" si="225"/>
        <v>4.4719300391389422E-8</v>
      </c>
      <c r="L406" s="2482">
        <f t="shared" si="225"/>
        <v>0</v>
      </c>
      <c r="M406" s="2482">
        <f t="shared" si="225"/>
        <v>0</v>
      </c>
      <c r="N406" s="2482">
        <f>N395+N403</f>
        <v>8.943860078277887E-8</v>
      </c>
      <c r="O406" s="2482">
        <f>O395+O403</f>
        <v>8.943860078277887E-8</v>
      </c>
      <c r="P406" s="2482">
        <f t="shared" si="225"/>
        <v>2.6384387230919765E-7</v>
      </c>
      <c r="Q406" s="2482">
        <f t="shared" si="225"/>
        <v>2.6384387230919765E-7</v>
      </c>
      <c r="R406" s="2482">
        <f>R395+R403</f>
        <v>4.4719300391389435E-8</v>
      </c>
      <c r="S406" s="2482">
        <f>S395+S403</f>
        <v>1.0285439090019572E-6</v>
      </c>
      <c r="T406" s="2482">
        <f>T395+T403</f>
        <v>1.0285439090019572E-6</v>
      </c>
      <c r="U406" s="2482">
        <f t="shared" si="225"/>
        <v>1.8782106164383559E-6</v>
      </c>
      <c r="V406" s="2482">
        <f t="shared" si="225"/>
        <v>0</v>
      </c>
      <c r="W406" s="2482">
        <f t="shared" si="225"/>
        <v>0</v>
      </c>
      <c r="X406" s="2482">
        <f t="shared" si="225"/>
        <v>2.6831580234833661E-7</v>
      </c>
      <c r="Y406" s="2482">
        <f t="shared" si="225"/>
        <v>0</v>
      </c>
      <c r="Z406" s="2482">
        <f t="shared" si="225"/>
        <v>1.1179825097847357E-7</v>
      </c>
      <c r="AA406" s="2482">
        <f t="shared" si="225"/>
        <v>0</v>
      </c>
      <c r="AB406" s="2482">
        <f t="shared" si="225"/>
        <v>0</v>
      </c>
      <c r="AC406" s="2482">
        <f t="shared" si="225"/>
        <v>0</v>
      </c>
      <c r="AD406" s="2482">
        <f t="shared" si="225"/>
        <v>0</v>
      </c>
      <c r="AE406" s="2482">
        <f t="shared" si="225"/>
        <v>0</v>
      </c>
      <c r="AF406" s="2482">
        <f t="shared" si="225"/>
        <v>0</v>
      </c>
      <c r="AG406" s="2482">
        <f t="shared" si="225"/>
        <v>0</v>
      </c>
      <c r="AH406" s="2482">
        <f t="shared" si="225"/>
        <v>0</v>
      </c>
      <c r="AI406" s="2482">
        <f t="shared" si="225"/>
        <v>0</v>
      </c>
      <c r="AJ406" s="2482">
        <f t="shared" si="225"/>
        <v>0</v>
      </c>
      <c r="AK406" s="2482">
        <f t="shared" si="225"/>
        <v>0</v>
      </c>
      <c r="AL406" s="2482">
        <f t="shared" si="225"/>
        <v>0</v>
      </c>
      <c r="AM406" s="2482">
        <f t="shared" si="225"/>
        <v>0</v>
      </c>
      <c r="AN406" s="2482">
        <f t="shared" si="225"/>
        <v>1.2711005413377387E-6</v>
      </c>
      <c r="AO406" s="2482">
        <f t="shared" si="225"/>
        <v>2.8260416476856153E-8</v>
      </c>
      <c r="AP406" s="2482">
        <f t="shared" si="225"/>
        <v>3.7239552267125132E-8</v>
      </c>
      <c r="AQ406" s="2482">
        <f t="shared" si="225"/>
        <v>2.2827537174423134E-8</v>
      </c>
      <c r="AR406" s="2482">
        <f t="shared" si="225"/>
        <v>9.5928533563268306E-9</v>
      </c>
      <c r="AS406" s="2482">
        <f t="shared" si="225"/>
        <v>1.1017958462634177E-7</v>
      </c>
      <c r="AT406" s="2482">
        <f t="shared" si="225"/>
        <v>2.5182435220731604E-9</v>
      </c>
      <c r="AU406" s="2482">
        <f t="shared" si="225"/>
        <v>2.4602147450084646E-9</v>
      </c>
      <c r="AV406" s="2482">
        <f t="shared" si="225"/>
        <v>7.4105110263937137E-8</v>
      </c>
      <c r="AW406" s="2482">
        <f t="shared" si="225"/>
        <v>7.2158232411274397E-9</v>
      </c>
      <c r="AX406" s="2482">
        <f t="shared" si="225"/>
        <v>4.079882184702042E-9</v>
      </c>
      <c r="AY406" s="2482">
        <f t="shared" si="225"/>
        <v>2.8324754109131116E-9</v>
      </c>
      <c r="AZ406" s="2482">
        <f t="shared" si="225"/>
        <v>1.9078877132376382E-8</v>
      </c>
      <c r="BA406" s="2482">
        <f t="shared" si="225"/>
        <v>3.3439133942160481E-9</v>
      </c>
      <c r="BB406" s="2482">
        <f t="shared" si="225"/>
        <v>5.0666512023165301E-10</v>
      </c>
      <c r="BC406" s="2482">
        <f t="shared" si="225"/>
        <v>1.4088414115489859E-15</v>
      </c>
      <c r="BD406" s="2482">
        <f t="shared" si="225"/>
        <v>0</v>
      </c>
      <c r="BE406" s="2482">
        <f t="shared" si="225"/>
        <v>7.1516405778106063E-7</v>
      </c>
      <c r="BF406" s="2482">
        <f t="shared" si="225"/>
        <v>3.5758202889053031E-7</v>
      </c>
      <c r="BG406" s="2482">
        <f t="shared" si="225"/>
        <v>0</v>
      </c>
      <c r="BH406" s="2482">
        <f t="shared" si="225"/>
        <v>0</v>
      </c>
      <c r="BI406" s="2482">
        <f t="shared" si="225"/>
        <v>0</v>
      </c>
    </row>
    <row r="407" spans="1:61" s="293" customFormat="1">
      <c r="B407" s="294"/>
      <c r="C407" s="2453"/>
      <c r="D407" s="2454"/>
      <c r="E407" s="3957"/>
      <c r="F407" s="745"/>
      <c r="G407" s="1608"/>
      <c r="H407" s="530"/>
      <c r="I407" s="530"/>
      <c r="J407" s="530"/>
      <c r="K407" s="530"/>
      <c r="L407" s="530"/>
      <c r="M407" s="530"/>
      <c r="N407" s="530"/>
      <c r="O407" s="530"/>
      <c r="P407" s="530"/>
      <c r="Q407" s="530"/>
      <c r="R407" s="530"/>
      <c r="S407" s="530"/>
      <c r="T407" s="530"/>
      <c r="U407" s="530"/>
      <c r="V407" s="530"/>
      <c r="W407" s="530"/>
      <c r="X407" s="530"/>
      <c r="Y407" s="530"/>
      <c r="Z407" s="530"/>
      <c r="AA407" s="530"/>
      <c r="AB407" s="530"/>
      <c r="AC407" s="530"/>
      <c r="AD407" s="530"/>
      <c r="AE407" s="530"/>
      <c r="AF407" s="530"/>
      <c r="AG407" s="530"/>
      <c r="AH407" s="530"/>
      <c r="AI407" s="530"/>
      <c r="AJ407" s="530"/>
      <c r="AK407" s="530"/>
      <c r="AL407" s="530"/>
      <c r="AM407" s="530"/>
      <c r="AN407" s="530"/>
      <c r="AO407" s="530"/>
      <c r="AP407" s="530"/>
      <c r="AQ407" s="530"/>
      <c r="AR407" s="530"/>
      <c r="AS407" s="530"/>
      <c r="AT407" s="530"/>
      <c r="AU407" s="530"/>
      <c r="AV407" s="530"/>
      <c r="AW407" s="530"/>
      <c r="AX407" s="530"/>
      <c r="AY407" s="530"/>
      <c r="AZ407" s="530"/>
      <c r="BA407" s="530"/>
      <c r="BB407" s="530"/>
      <c r="BC407" s="530"/>
      <c r="BD407" s="530"/>
      <c r="BE407" s="530"/>
      <c r="BF407" s="530"/>
      <c r="BG407" s="530"/>
      <c r="BH407" s="530"/>
      <c r="BI407" s="530"/>
    </row>
    <row r="408" spans="1:61" s="26" customFormat="1">
      <c r="A408" s="482"/>
      <c r="B408" s="27"/>
      <c r="C408" s="2453"/>
      <c r="D408" s="2454"/>
      <c r="E408" s="3498" t="s">
        <v>989</v>
      </c>
      <c r="F408" s="14" t="str">
        <f>F$18</f>
        <v>Cs</v>
      </c>
      <c r="G408" s="105" t="str">
        <f>G$18</f>
        <v>mg/kg ms</v>
      </c>
      <c r="H408" s="56">
        <f t="shared" ref="H408:AM408" si="226">IF(H405=0,"PVL",H$15/MAX(H392,H400)/H$20)</f>
        <v>2.6862521347215629</v>
      </c>
      <c r="I408" s="56">
        <f t="shared" si="226"/>
        <v>2.6862521347215629</v>
      </c>
      <c r="J408" s="56">
        <f t="shared" si="226"/>
        <v>23.689265099920028</v>
      </c>
      <c r="K408" s="56">
        <f t="shared" si="226"/>
        <v>3.5778735042735051E-2</v>
      </c>
      <c r="L408" s="56">
        <f t="shared" si="226"/>
        <v>3.8334358974358967E-2</v>
      </c>
      <c r="M408" s="56">
        <f t="shared" si="226"/>
        <v>3.8334358974358967E-2</v>
      </c>
      <c r="N408" s="56">
        <f t="shared" si="226"/>
        <v>0.1277811965811966</v>
      </c>
      <c r="O408" s="56">
        <f t="shared" si="226"/>
        <v>0.1277811965811966</v>
      </c>
      <c r="P408" s="56">
        <f t="shared" si="226"/>
        <v>2.2361709401709406E-2</v>
      </c>
      <c r="Q408" s="56">
        <f t="shared" si="226"/>
        <v>2.2361709401709406E-2</v>
      </c>
      <c r="R408" s="56">
        <f t="shared" si="226"/>
        <v>0.25556239316239321</v>
      </c>
      <c r="S408" s="56">
        <f t="shared" si="226"/>
        <v>4.025107692307691E-2</v>
      </c>
      <c r="T408" s="56">
        <f t="shared" si="226"/>
        <v>4.025107692307691E-2</v>
      </c>
      <c r="U408" s="56">
        <f t="shared" si="226"/>
        <v>2.4278427350427356E-2</v>
      </c>
      <c r="V408" s="56">
        <f t="shared" si="226"/>
        <v>0.63890598290598299</v>
      </c>
      <c r="W408" s="56">
        <f t="shared" si="226"/>
        <v>0.63890598290598299</v>
      </c>
      <c r="X408" s="56">
        <f t="shared" si="226"/>
        <v>6.133497435897437E-3</v>
      </c>
      <c r="Y408" s="56">
        <f t="shared" si="226"/>
        <v>0.1661155555555556</v>
      </c>
      <c r="Z408" s="56">
        <f t="shared" si="226"/>
        <v>0.1693100854700855</v>
      </c>
      <c r="AA408" s="56">
        <f t="shared" si="226"/>
        <v>0.44723418803418796</v>
      </c>
      <c r="AB408" s="56">
        <f t="shared" si="226"/>
        <v>0.1277811965811966</v>
      </c>
      <c r="AC408" s="56">
        <f t="shared" si="226"/>
        <v>0.22469249961757626</v>
      </c>
      <c r="AD408" s="56">
        <f t="shared" si="226"/>
        <v>0.54361022992838193</v>
      </c>
      <c r="AE408" s="56" t="str">
        <f t="shared" si="226"/>
        <v>PVL</v>
      </c>
      <c r="AF408" s="56" t="str">
        <f t="shared" si="226"/>
        <v>PVL</v>
      </c>
      <c r="AG408" s="56">
        <f t="shared" si="226"/>
        <v>11.755870085470084</v>
      </c>
      <c r="AH408" s="56">
        <f t="shared" si="226"/>
        <v>11.755870085470086</v>
      </c>
      <c r="AI408" s="56">
        <f t="shared" si="226"/>
        <v>0.63890598290598288</v>
      </c>
      <c r="AJ408" s="56">
        <f t="shared" si="226"/>
        <v>0.63890598290598299</v>
      </c>
      <c r="AK408" s="56">
        <f t="shared" si="226"/>
        <v>0.80502312779519747</v>
      </c>
      <c r="AL408" s="56" t="str">
        <f t="shared" si="226"/>
        <v>PVL</v>
      </c>
      <c r="AM408" s="56" t="str">
        <f t="shared" si="226"/>
        <v>PVL</v>
      </c>
      <c r="AN408" s="56">
        <f t="shared" ref="AN408:BI408" si="227">IF(AN405=0,"PVL",AN$15/MAX(AN392,AN400)/AN$20)</f>
        <v>3.1932812735482666E-2</v>
      </c>
      <c r="AO408" s="56" t="str">
        <f t="shared" si="227"/>
        <v>PVL</v>
      </c>
      <c r="AP408" s="56" t="str">
        <f t="shared" si="227"/>
        <v>PVL</v>
      </c>
      <c r="AQ408" s="56" t="str">
        <f t="shared" si="227"/>
        <v>PVL</v>
      </c>
      <c r="AR408" s="56" t="str">
        <f t="shared" si="227"/>
        <v>PVL</v>
      </c>
      <c r="AS408" s="56" t="str">
        <f t="shared" si="227"/>
        <v>PVL</v>
      </c>
      <c r="AT408" s="56" t="str">
        <f t="shared" si="227"/>
        <v>PVL</v>
      </c>
      <c r="AU408" s="56" t="str">
        <f t="shared" si="227"/>
        <v>PVL</v>
      </c>
      <c r="AV408" s="56" t="str">
        <f t="shared" si="227"/>
        <v>PVL</v>
      </c>
      <c r="AW408" s="56" t="str">
        <f t="shared" si="227"/>
        <v>PVL</v>
      </c>
      <c r="AX408" s="56" t="str">
        <f t="shared" si="227"/>
        <v>PVL</v>
      </c>
      <c r="AY408" s="56" t="str">
        <f t="shared" si="227"/>
        <v>PVL</v>
      </c>
      <c r="AZ408" s="56" t="str">
        <f t="shared" si="227"/>
        <v>PVL</v>
      </c>
      <c r="BA408" s="56" t="str">
        <f t="shared" si="227"/>
        <v>PVL</v>
      </c>
      <c r="BB408" s="56" t="str">
        <f t="shared" si="227"/>
        <v>PVL</v>
      </c>
      <c r="BC408" s="56" t="str">
        <f t="shared" si="227"/>
        <v>PVL</v>
      </c>
      <c r="BD408" s="56">
        <f t="shared" si="227"/>
        <v>0.95542172863999142</v>
      </c>
      <c r="BE408" s="56">
        <f t="shared" si="227"/>
        <v>0.74529121407963383</v>
      </c>
      <c r="BF408" s="56">
        <f t="shared" si="227"/>
        <v>1.4905824281592677</v>
      </c>
      <c r="BG408" s="56">
        <f t="shared" si="227"/>
        <v>1.9167179487179488E-5</v>
      </c>
      <c r="BH408" s="56">
        <f t="shared" si="227"/>
        <v>1.2264462146081359E-2</v>
      </c>
      <c r="BI408" s="56">
        <f t="shared" si="227"/>
        <v>1.7081245590240702E-2</v>
      </c>
    </row>
    <row r="409" spans="1:61" s="26" customFormat="1">
      <c r="A409" s="482"/>
      <c r="B409" s="27"/>
      <c r="C409" s="2453"/>
      <c r="D409" s="2454"/>
      <c r="E409" s="3498" t="s">
        <v>992</v>
      </c>
      <c r="F409" s="14" t="str">
        <f>F408</f>
        <v>Cs</v>
      </c>
      <c r="G409" s="105" t="str">
        <f>G408</f>
        <v>mg/kg ms</v>
      </c>
      <c r="H409" s="56" t="str">
        <f t="shared" ref="H409:AM409" si="228">IF(H406=0,"PVL",H$16/(H393+H401)/H$20)</f>
        <v>PVL</v>
      </c>
      <c r="I409" s="56" t="str">
        <f t="shared" si="228"/>
        <v>PVL</v>
      </c>
      <c r="J409" s="56" t="str">
        <f t="shared" si="228"/>
        <v>PVL</v>
      </c>
      <c r="K409" s="56">
        <f t="shared" si="228"/>
        <v>0.22361709401709404</v>
      </c>
      <c r="L409" s="56" t="str">
        <f t="shared" si="228"/>
        <v>PVL</v>
      </c>
      <c r="M409" s="56" t="str">
        <f t="shared" si="228"/>
        <v>PVL</v>
      </c>
      <c r="N409" s="56">
        <f t="shared" si="228"/>
        <v>0.111808547008547</v>
      </c>
      <c r="O409" s="56">
        <f t="shared" si="228"/>
        <v>0.111808547008547</v>
      </c>
      <c r="P409" s="56">
        <f t="shared" si="228"/>
        <v>3.7901202375778646E-2</v>
      </c>
      <c r="Q409" s="56">
        <f t="shared" si="228"/>
        <v>3.7901202375778646E-2</v>
      </c>
      <c r="R409" s="56">
        <f t="shared" si="228"/>
        <v>0.22361709401709401</v>
      </c>
      <c r="S409" s="56">
        <f t="shared" si="228"/>
        <v>9.7224823485693047E-3</v>
      </c>
      <c r="T409" s="56">
        <f t="shared" si="228"/>
        <v>9.7224823485693047E-3</v>
      </c>
      <c r="U409" s="56">
        <f t="shared" si="228"/>
        <v>5.3242165242165249E-3</v>
      </c>
      <c r="V409" s="56" t="str">
        <f t="shared" si="228"/>
        <v>PVL</v>
      </c>
      <c r="W409" s="56" t="str">
        <f t="shared" si="228"/>
        <v>PVL</v>
      </c>
      <c r="X409" s="56">
        <f t="shared" si="228"/>
        <v>3.7269515669515668E-2</v>
      </c>
      <c r="Y409" s="56" t="str">
        <f t="shared" si="228"/>
        <v>PVL</v>
      </c>
      <c r="Z409" s="56">
        <f t="shared" si="228"/>
        <v>8.9446837606837595E-2</v>
      </c>
      <c r="AA409" s="56" t="str">
        <f t="shared" si="228"/>
        <v>PVL</v>
      </c>
      <c r="AB409" s="56" t="str">
        <f t="shared" si="228"/>
        <v>PVL</v>
      </c>
      <c r="AC409" s="56" t="str">
        <f t="shared" si="228"/>
        <v>PVL</v>
      </c>
      <c r="AD409" s="56" t="str">
        <f t="shared" si="228"/>
        <v>PVL</v>
      </c>
      <c r="AE409" s="56" t="str">
        <f t="shared" si="228"/>
        <v>PVL</v>
      </c>
      <c r="AF409" s="56" t="str">
        <f t="shared" si="228"/>
        <v>PVL</v>
      </c>
      <c r="AG409" s="56" t="str">
        <f t="shared" si="228"/>
        <v>PVL</v>
      </c>
      <c r="AH409" s="56" t="str">
        <f t="shared" si="228"/>
        <v>PVL</v>
      </c>
      <c r="AI409" s="56" t="str">
        <f t="shared" si="228"/>
        <v>PVL</v>
      </c>
      <c r="AJ409" s="56" t="str">
        <f t="shared" si="228"/>
        <v>PVL</v>
      </c>
      <c r="AK409" s="56" t="str">
        <f t="shared" si="228"/>
        <v>PVL</v>
      </c>
      <c r="AL409" s="56" t="str">
        <f t="shared" si="228"/>
        <v>PVL</v>
      </c>
      <c r="AM409" s="56" t="str">
        <f t="shared" si="228"/>
        <v>PVL</v>
      </c>
      <c r="AN409" s="56">
        <f t="shared" ref="AN409:BI409" si="229">IF(AN406=0,"PVL",AN$16/(AN393+AN401)/AN$20)</f>
        <v>7.8671982858851946E-3</v>
      </c>
      <c r="AO409" s="56">
        <f t="shared" si="229"/>
        <v>0.35385182692510897</v>
      </c>
      <c r="AP409" s="56">
        <f t="shared" si="229"/>
        <v>0.26853169254744086</v>
      </c>
      <c r="AQ409" s="56">
        <f t="shared" si="229"/>
        <v>0.43806740620290796</v>
      </c>
      <c r="AR409" s="56">
        <f t="shared" si="229"/>
        <v>1.042442704850131</v>
      </c>
      <c r="AS409" s="56">
        <f t="shared" si="229"/>
        <v>9.0760915771406867E-2</v>
      </c>
      <c r="AT409" s="56">
        <f t="shared" si="229"/>
        <v>3.971021830234843</v>
      </c>
      <c r="AU409" s="56">
        <f t="shared" si="229"/>
        <v>4.0646858248000601</v>
      </c>
      <c r="AV409" s="56">
        <f t="shared" si="229"/>
        <v>0.1349434602334901</v>
      </c>
      <c r="AW409" s="56">
        <f t="shared" si="229"/>
        <v>1.3858432594362644</v>
      </c>
      <c r="AX409" s="56">
        <f t="shared" si="229"/>
        <v>2.4510511694421173</v>
      </c>
      <c r="AY409" s="56">
        <f t="shared" si="229"/>
        <v>3.5304807806879701</v>
      </c>
      <c r="AZ409" s="56">
        <f t="shared" si="229"/>
        <v>0.524139860570214</v>
      </c>
      <c r="BA409" s="56">
        <f t="shared" si="229"/>
        <v>2.9905080727559969</v>
      </c>
      <c r="BB409" s="56">
        <f t="shared" si="229"/>
        <v>19.73690234573062</v>
      </c>
      <c r="BC409" s="56">
        <f t="shared" si="229"/>
        <v>7098030.9905891037</v>
      </c>
      <c r="BD409" s="56" t="str">
        <f t="shared" si="229"/>
        <v>PVL</v>
      </c>
      <c r="BE409" s="56">
        <f t="shared" si="229"/>
        <v>1.3982805611102714E-2</v>
      </c>
      <c r="BF409" s="56">
        <f t="shared" si="229"/>
        <v>2.7965611222205429E-2</v>
      </c>
      <c r="BG409" s="56" t="str">
        <f t="shared" si="229"/>
        <v>PVL</v>
      </c>
      <c r="BH409" s="56" t="str">
        <f t="shared" si="229"/>
        <v>PVL</v>
      </c>
      <c r="BI409" s="56" t="str">
        <f t="shared" si="229"/>
        <v>PVL</v>
      </c>
    </row>
    <row r="410" spans="1:61" s="513" customFormat="1">
      <c r="A410" s="2437"/>
      <c r="B410" s="510"/>
      <c r="C410" s="2453"/>
      <c r="D410" s="2454"/>
      <c r="E410" s="3936" t="s">
        <v>493</v>
      </c>
      <c r="F410" s="63" t="str">
        <f>F409</f>
        <v>Cs</v>
      </c>
      <c r="G410" s="515" t="str">
        <f>G409</f>
        <v>mg/kg ms</v>
      </c>
      <c r="H410" s="237">
        <f>IF(MIN(H408:H409)&gt;0,MIN(H408:H409),H408)</f>
        <v>2.6862521347215629</v>
      </c>
      <c r="I410" s="237">
        <f t="shared" ref="I410:BI410" si="230">IF(MIN(I408:I409)&gt;0,MIN(I408:I409),I408)</f>
        <v>2.6862521347215629</v>
      </c>
      <c r="J410" s="237">
        <f>IF(MIN(J408:J409)&gt;0,MIN(J408:J409),J408)</f>
        <v>23.689265099920028</v>
      </c>
      <c r="K410" s="237">
        <f t="shared" si="230"/>
        <v>3.5778735042735051E-2</v>
      </c>
      <c r="L410" s="237">
        <f t="shared" si="230"/>
        <v>3.8334358974358967E-2</v>
      </c>
      <c r="M410" s="237">
        <f t="shared" si="230"/>
        <v>3.8334358974358967E-2</v>
      </c>
      <c r="N410" s="237">
        <f>IF(MIN(N408:N409)&gt;0,MIN(N408:N409),N408)</f>
        <v>0.111808547008547</v>
      </c>
      <c r="O410" s="237">
        <f>IF(MIN(O408:O409)&gt;0,MIN(O408:O409),O408)</f>
        <v>0.111808547008547</v>
      </c>
      <c r="P410" s="237">
        <f t="shared" si="230"/>
        <v>2.2361709401709406E-2</v>
      </c>
      <c r="Q410" s="237">
        <f t="shared" si="230"/>
        <v>2.2361709401709406E-2</v>
      </c>
      <c r="R410" s="237">
        <f>IF(MIN(R408:R409)&gt;0,MIN(R408:R409),R408)</f>
        <v>0.22361709401709401</v>
      </c>
      <c r="S410" s="237">
        <f>IF(MIN(S408:S409)&gt;0,MIN(S408:S409),S408)</f>
        <v>9.7224823485693047E-3</v>
      </c>
      <c r="T410" s="237">
        <f>IF(MIN(T408:T409)&gt;0,MIN(T408:T409),T408)</f>
        <v>9.7224823485693047E-3</v>
      </c>
      <c r="U410" s="237">
        <f t="shared" si="230"/>
        <v>5.3242165242165249E-3</v>
      </c>
      <c r="V410" s="237">
        <f t="shared" si="230"/>
        <v>0.63890598290598299</v>
      </c>
      <c r="W410" s="237">
        <f t="shared" si="230"/>
        <v>0.63890598290598299</v>
      </c>
      <c r="X410" s="237">
        <f t="shared" si="230"/>
        <v>6.133497435897437E-3</v>
      </c>
      <c r="Y410" s="237">
        <f t="shared" si="230"/>
        <v>0.1661155555555556</v>
      </c>
      <c r="Z410" s="237">
        <f t="shared" si="230"/>
        <v>8.9446837606837595E-2</v>
      </c>
      <c r="AA410" s="237">
        <f t="shared" si="230"/>
        <v>0.44723418803418796</v>
      </c>
      <c r="AB410" s="237">
        <f t="shared" si="230"/>
        <v>0.1277811965811966</v>
      </c>
      <c r="AC410" s="237">
        <f t="shared" si="230"/>
        <v>0.22469249961757626</v>
      </c>
      <c r="AD410" s="237">
        <f t="shared" si="230"/>
        <v>0.54361022992838193</v>
      </c>
      <c r="AE410" s="237" t="str">
        <f t="shared" si="230"/>
        <v>PVL</v>
      </c>
      <c r="AF410" s="237" t="str">
        <f t="shared" si="230"/>
        <v>PVL</v>
      </c>
      <c r="AG410" s="237">
        <f t="shared" si="230"/>
        <v>11.755870085470084</v>
      </c>
      <c r="AH410" s="237">
        <f t="shared" si="230"/>
        <v>11.755870085470086</v>
      </c>
      <c r="AI410" s="237">
        <f t="shared" si="230"/>
        <v>0.63890598290598288</v>
      </c>
      <c r="AJ410" s="237">
        <f t="shared" si="230"/>
        <v>0.63890598290598299</v>
      </c>
      <c r="AK410" s="237">
        <f t="shared" si="230"/>
        <v>0.80502312779519747</v>
      </c>
      <c r="AL410" s="237" t="str">
        <f t="shared" si="230"/>
        <v>PVL</v>
      </c>
      <c r="AM410" s="237" t="str">
        <f t="shared" si="230"/>
        <v>PVL</v>
      </c>
      <c r="AN410" s="237">
        <f t="shared" si="230"/>
        <v>7.8671982858851946E-3</v>
      </c>
      <c r="AO410" s="237">
        <f t="shared" si="230"/>
        <v>0.35385182692510897</v>
      </c>
      <c r="AP410" s="237">
        <f t="shared" si="230"/>
        <v>0.26853169254744086</v>
      </c>
      <c r="AQ410" s="237">
        <f t="shared" si="230"/>
        <v>0.43806740620290796</v>
      </c>
      <c r="AR410" s="237">
        <f t="shared" si="230"/>
        <v>1.042442704850131</v>
      </c>
      <c r="AS410" s="237">
        <f t="shared" si="230"/>
        <v>9.0760915771406867E-2</v>
      </c>
      <c r="AT410" s="237">
        <f t="shared" si="230"/>
        <v>3.971021830234843</v>
      </c>
      <c r="AU410" s="237">
        <f t="shared" si="230"/>
        <v>4.0646858248000601</v>
      </c>
      <c r="AV410" s="237">
        <f t="shared" si="230"/>
        <v>0.1349434602334901</v>
      </c>
      <c r="AW410" s="237">
        <f t="shared" si="230"/>
        <v>1.3858432594362644</v>
      </c>
      <c r="AX410" s="237">
        <f t="shared" si="230"/>
        <v>2.4510511694421173</v>
      </c>
      <c r="AY410" s="237">
        <f t="shared" si="230"/>
        <v>3.5304807806879701</v>
      </c>
      <c r="AZ410" s="237">
        <f t="shared" si="230"/>
        <v>0.524139860570214</v>
      </c>
      <c r="BA410" s="237">
        <f t="shared" si="230"/>
        <v>2.9905080727559969</v>
      </c>
      <c r="BB410" s="237">
        <f t="shared" si="230"/>
        <v>19.73690234573062</v>
      </c>
      <c r="BC410" s="237">
        <f t="shared" si="230"/>
        <v>7098030.9905891037</v>
      </c>
      <c r="BD410" s="237">
        <f t="shared" si="230"/>
        <v>0.95542172863999142</v>
      </c>
      <c r="BE410" s="237">
        <f t="shared" si="230"/>
        <v>1.3982805611102714E-2</v>
      </c>
      <c r="BF410" s="237">
        <f t="shared" si="230"/>
        <v>2.7965611222205429E-2</v>
      </c>
      <c r="BG410" s="237">
        <f t="shared" si="230"/>
        <v>1.9167179487179488E-5</v>
      </c>
      <c r="BH410" s="237">
        <f t="shared" si="230"/>
        <v>1.2264462146081359E-2</v>
      </c>
      <c r="BI410" s="237">
        <f t="shared" si="230"/>
        <v>1.7081245590240702E-2</v>
      </c>
    </row>
    <row r="411" spans="1:61" s="495" customFormat="1">
      <c r="A411" s="398"/>
      <c r="B411" s="492"/>
      <c r="C411" s="2453"/>
      <c r="D411" s="2454"/>
      <c r="E411" s="3498" t="s">
        <v>499</v>
      </c>
      <c r="F411" s="493" t="s">
        <v>19</v>
      </c>
      <c r="G411" s="584" t="s">
        <v>20</v>
      </c>
      <c r="H411" s="343">
        <f>IF(H410&lt;'3phas'!H23,H410,"PVL")</f>
        <v>2.6862521347215629</v>
      </c>
      <c r="I411" s="343">
        <f>IF(I410&lt;'3phas'!I23,I410,"PVL")</f>
        <v>2.6862521347215629</v>
      </c>
      <c r="J411" s="343">
        <f>IF(J410&lt;'3phas'!J23,J410,"PVL")</f>
        <v>23.689265099920028</v>
      </c>
      <c r="K411" s="343">
        <f>IF(K410&lt;'3phas'!K23,K410,"PVL")</f>
        <v>3.5778735042735051E-2</v>
      </c>
      <c r="L411" s="343">
        <f>IF(L410&lt;'3phas'!L23,L410,"PVL")</f>
        <v>3.8334358974358967E-2</v>
      </c>
      <c r="M411" s="343">
        <f>IF(M410&lt;'3phas'!M23,M410,"PVL")</f>
        <v>3.8334358974358967E-2</v>
      </c>
      <c r="N411" s="343">
        <f>IF(N410&lt;'3phas'!N23,N410,"PVL")</f>
        <v>0.111808547008547</v>
      </c>
      <c r="O411" s="343">
        <f>IF(O410&lt;'3phas'!O23,O410,"PVL")</f>
        <v>0.111808547008547</v>
      </c>
      <c r="P411" s="343">
        <f>IF(P410&lt;'3phas'!P23,P410,"PVL")</f>
        <v>2.2361709401709406E-2</v>
      </c>
      <c r="Q411" s="343">
        <f>IF(Q410&lt;'3phas'!Q23,Q410,"PVL")</f>
        <v>2.2361709401709406E-2</v>
      </c>
      <c r="R411" s="343">
        <f>IF(R410&lt;'3phas'!R23,R410,"PVL")</f>
        <v>0.22361709401709401</v>
      </c>
      <c r="S411" s="343">
        <f>IF(S410&lt;'3phas'!S23,S410,"PVL")</f>
        <v>9.7224823485693047E-3</v>
      </c>
      <c r="T411" s="343">
        <f>IF(T410&lt;'3phas'!T23,T410,"PVL")</f>
        <v>9.7224823485693047E-3</v>
      </c>
      <c r="U411" s="343">
        <f>IF(U410&lt;'3phas'!U23,U410,"PVL")</f>
        <v>5.3242165242165249E-3</v>
      </c>
      <c r="V411" s="343">
        <f>IF(V410&lt;'3phas'!V23,V410,"PVL")</f>
        <v>0.63890598290598299</v>
      </c>
      <c r="W411" s="343">
        <f>IF(W410&lt;'3phas'!W23,W410,"PVL")</f>
        <v>0.63890598290598299</v>
      </c>
      <c r="X411" s="343">
        <f>IF(X410&lt;'3phas'!X23,X410,"PVL")</f>
        <v>6.133497435897437E-3</v>
      </c>
      <c r="Y411" s="343">
        <f>IF(Y410&lt;'3phas'!Y23,Y410,"PVL")</f>
        <v>0.1661155555555556</v>
      </c>
      <c r="Z411" s="343">
        <f>IF(Z410&lt;'3phas'!Z23,Z410,"PVL")</f>
        <v>8.9446837606837595E-2</v>
      </c>
      <c r="AA411" s="343">
        <f>IF(AA410&lt;'3phas'!AA23,AA410,"PVL")</f>
        <v>0.44723418803418796</v>
      </c>
      <c r="AB411" s="343">
        <f>IF(AB410&lt;'3phas'!AB23,AB410,"PVL")</f>
        <v>0.1277811965811966</v>
      </c>
      <c r="AC411" s="343">
        <f>IF(AC410&lt;'3phas'!AC23,AC410,"PVL")</f>
        <v>0.22469249961757626</v>
      </c>
      <c r="AD411" s="343">
        <f>IF(AD410&lt;'3phas'!AD23,AD410,"PVL")</f>
        <v>0.54361022992838193</v>
      </c>
      <c r="AE411" s="343" t="str">
        <f>IF(AE410&lt;'3phas'!AE23,AE410,"PVL")</f>
        <v>PVL</v>
      </c>
      <c r="AF411" s="343" t="str">
        <f>IF(AF410&lt;'3phas'!AF23,AF410,"PVL")</f>
        <v>PVL</v>
      </c>
      <c r="AG411" s="343">
        <f>IF(AG410&lt;'3phas'!AG23,AG410,"PVL")</f>
        <v>11.755870085470084</v>
      </c>
      <c r="AH411" s="343">
        <f>IF(AH410&lt;'3phas'!AH23,AH410,"PVL")</f>
        <v>11.755870085470086</v>
      </c>
      <c r="AI411" s="343">
        <f>IF(AI410&lt;'3phas'!AI23,AI410,"PVL")</f>
        <v>0.63890598290598288</v>
      </c>
      <c r="AJ411" s="343">
        <f>IF(AJ410&lt;'3phas'!AJ23,AJ410,"PVL")</f>
        <v>0.63890598290598299</v>
      </c>
      <c r="AK411" s="343">
        <f>IF(AK410&lt;'3phas'!AK23,AK410,"PVL")</f>
        <v>0.80502312779519747</v>
      </c>
      <c r="AL411" s="343" t="str">
        <f>IF(AL410&lt;'3phas'!AL23,AL410,"PVL")</f>
        <v>PVL</v>
      </c>
      <c r="AM411" s="343" t="str">
        <f>IF(AM410&lt;'3phas'!AM23,AM410,"PVL")</f>
        <v>PVL</v>
      </c>
      <c r="AN411" s="343">
        <f>IF(AN410&lt;'3phas'!AN23,AN410,"PVL")</f>
        <v>7.8671982858851946E-3</v>
      </c>
      <c r="AO411" s="343">
        <f>IF(AO410&lt;'3phas'!AO23,AO410,"PVL")</f>
        <v>0.35385182692510897</v>
      </c>
      <c r="AP411" s="343">
        <f>IF(AP410&lt;'3phas'!AP23,AP410,"PVL")</f>
        <v>0.26853169254744086</v>
      </c>
      <c r="AQ411" s="343">
        <f>IF(AQ410&lt;'3phas'!AQ23,AQ410,"PVL")</f>
        <v>0.43806740620290796</v>
      </c>
      <c r="AR411" s="343">
        <f>IF(AR410&lt;'3phas'!AR23,AR410,"PVL")</f>
        <v>1.042442704850131</v>
      </c>
      <c r="AS411" s="343">
        <f>IF(AS410&lt;'3phas'!AS23,AS410,"PVL")</f>
        <v>9.0760915771406867E-2</v>
      </c>
      <c r="AT411" s="343">
        <f>IF(AT410&lt;'3phas'!AT23,AT410,"PVL")</f>
        <v>3.971021830234843</v>
      </c>
      <c r="AU411" s="343" t="str">
        <f>IF(AU410&lt;'3phas'!AU23,AU410,"PVL")</f>
        <v>PVL</v>
      </c>
      <c r="AV411" s="343">
        <f>IF(AV410&lt;'3phas'!AV23,AV410,"PVL")</f>
        <v>0.1349434602334901</v>
      </c>
      <c r="AW411" s="343" t="str">
        <f>IF(AW410&lt;'3phas'!AW23,AW410,"PVL")</f>
        <v>PVL</v>
      </c>
      <c r="AX411" s="343" t="str">
        <f>IF(AX410&lt;'3phas'!AX23,AX410,"PVL")</f>
        <v>PVL</v>
      </c>
      <c r="AY411" s="343" t="str">
        <f>IF(AY410&lt;'3phas'!AY23,AY410,"PVL")</f>
        <v>PVL</v>
      </c>
      <c r="AZ411" s="343" t="str">
        <f>IF(AZ410&lt;'3phas'!AZ23,AZ410,"PVL")</f>
        <v>PVL</v>
      </c>
      <c r="BA411" s="343" t="str">
        <f>IF(BA410&lt;'3phas'!BA23,BA410,"PVL")</f>
        <v>PVL</v>
      </c>
      <c r="BB411" s="343" t="str">
        <f>IF(BB410&lt;'3phas'!BB23,BB410,"PVL")</f>
        <v>PVL</v>
      </c>
      <c r="BC411" s="343" t="str">
        <f>IF(BC410&lt;'3phas'!BC23,BC410,"PVL")</f>
        <v>PVL</v>
      </c>
      <c r="BD411" s="343">
        <f>IF(BD410&lt;'3phas'!BD23,BD410,"PVL")</f>
        <v>0.95542172863999142</v>
      </c>
      <c r="BE411" s="343">
        <f>IF(BE410&lt;'3phas'!BE23,BE410,"PVL")</f>
        <v>1.3982805611102714E-2</v>
      </c>
      <c r="BF411" s="343">
        <f>IF(BF410&lt;'3phas'!BF23,BF410,"PVL")</f>
        <v>2.7965611222205429E-2</v>
      </c>
      <c r="BG411" s="552">
        <f>BG410</f>
        <v>1.9167179487179488E-5</v>
      </c>
      <c r="BH411" s="343">
        <f>IF(BH410&lt;'3phas'!BH23,BH410,"PVL")</f>
        <v>1.2264462146081359E-2</v>
      </c>
      <c r="BI411" s="343">
        <f>IF(BI410&lt;'3phas'!BI23,BI410,"PVL")</f>
        <v>1.7081245590240702E-2</v>
      </c>
    </row>
    <row r="412" spans="1:61" s="403" customFormat="1" ht="13.5" thickBot="1">
      <c r="A412" s="402"/>
      <c r="B412" s="257"/>
      <c r="C412" s="2494"/>
      <c r="D412" s="2495"/>
      <c r="E412" s="3946" t="s">
        <v>476</v>
      </c>
      <c r="F412" s="66" t="str">
        <f>'3phas'!F29</f>
        <v>Csao</v>
      </c>
      <c r="G412" s="620" t="s">
        <v>24</v>
      </c>
      <c r="H412" s="164">
        <f>IF(H411="PVL",H411,H411*'3phas'!H$26*1000)</f>
        <v>7.0769085483735958</v>
      </c>
      <c r="I412" s="164">
        <f>IF(I411="PVL",I411,I411*'3phas'!I$26*1000)</f>
        <v>7.0769085483735958</v>
      </c>
      <c r="J412" s="164">
        <f>IF(J411="PVL",J411,J411*'3phas'!J$26*1000)</f>
        <v>409.69790803974536</v>
      </c>
      <c r="K412" s="164">
        <f>IF(K411="PVL",K411,K411*'3phas'!K$26*1000)</f>
        <v>137.86669112677083</v>
      </c>
      <c r="L412" s="164">
        <f>IF(L411="PVL",L411,L411*'3phas'!L$26*1000)</f>
        <v>27.617562131763879</v>
      </c>
      <c r="M412" s="164">
        <f>IF(M411="PVL",M411,M411*'3phas'!M$26*1000)</f>
        <v>27.617562131763879</v>
      </c>
      <c r="N412" s="164">
        <f>IF(N411="PVL",N411,N411*'3phas'!N$26*1000)</f>
        <v>158.87216710596022</v>
      </c>
      <c r="O412" s="164">
        <f>IF(O411="PVL",O411,O411*'3phas'!O$26*1000)</f>
        <v>158.87216710596022</v>
      </c>
      <c r="P412" s="164">
        <f>IF(P411="PVL",P411,P411*'3phas'!P$26*1000)</f>
        <v>34.68945438262449</v>
      </c>
      <c r="Q412" s="164">
        <f>IF(Q411="PVL",Q411,Q411*'3phas'!Q$26*1000)</f>
        <v>34.68945438262449</v>
      </c>
      <c r="R412" s="164">
        <f>IF(R411="PVL",R411,R411*'3phas'!R$26*1000)</f>
        <v>139.44208842715477</v>
      </c>
      <c r="S412" s="164">
        <f>IF(S411="PVL",S411,S411*'3phas'!S$26*1000)</f>
        <v>5.6878778758315311</v>
      </c>
      <c r="T412" s="164">
        <f>IF(T411="PVL",T411,T411*'3phas'!T$26*1000)</f>
        <v>5.6878778758315311</v>
      </c>
      <c r="U412" s="164">
        <f>IF(U411="PVL",U411,U411*'3phas'!U$26*1000)</f>
        <v>14.664296454710792</v>
      </c>
      <c r="V412" s="164">
        <f>IF(V411="PVL",V411,V411*'3phas'!V$26*1000)</f>
        <v>2880.305282435917</v>
      </c>
      <c r="W412" s="164">
        <f>IF(W411="PVL",W411,W411*'3phas'!W$26*1000)</f>
        <v>2880.305282435917</v>
      </c>
      <c r="X412" s="164">
        <f>IF(X411="PVL",X411,X411*'3phas'!X$26*1000)</f>
        <v>5.3045958605153256</v>
      </c>
      <c r="Y412" s="164">
        <f>IF(Y411="PVL",Y411,Y411*'3phas'!Y$26*1000)</f>
        <v>99.569098831452294</v>
      </c>
      <c r="Z412" s="164">
        <f>IF(Z411="PVL",Z411,Z411*'3phas'!Z$26*1000)</f>
        <v>31.751205372279408</v>
      </c>
      <c r="AA412" s="164">
        <f>IF(AA411="PVL",AA411,AA411*'3phas'!AA$26*1000)</f>
        <v>106.50301794477247</v>
      </c>
      <c r="AB412" s="164">
        <f>IF(AB411="PVL",AB411,AB411*'3phas'!AB$26*1000)</f>
        <v>34.414802760066408</v>
      </c>
      <c r="AC412" s="164">
        <f>IF(AC411="PVL",AC411,AC411*'3phas'!AC$26*1000)</f>
        <v>11.808667807446481</v>
      </c>
      <c r="AD412" s="164">
        <f>IF(AD411="PVL",AD411,AD411*'3phas'!AD$26*1000)</f>
        <v>5.5919680299832519</v>
      </c>
      <c r="AE412" s="164" t="str">
        <f>IF(AE411="PVL",AE411,AE411*'3phas'!AE$26*1000)</f>
        <v>PVL</v>
      </c>
      <c r="AF412" s="164" t="str">
        <f>IF(AF411="PVL",AF411,AF411*'3phas'!AF$26*1000)</f>
        <v>PVL</v>
      </c>
      <c r="AG412" s="164">
        <f>IF(AG411="PVL",AG411,AG411*'3phas'!AG$26*1000)</f>
        <v>72816.88370493683</v>
      </c>
      <c r="AH412" s="164">
        <f>IF(AH411="PVL",AH411,AH411*'3phas'!AH$26*1000)</f>
        <v>54520.878844700805</v>
      </c>
      <c r="AI412" s="164">
        <f>IF(AI411="PVL",AI411,AI411*'3phas'!AI$26*1000)</f>
        <v>1204.8357681154205</v>
      </c>
      <c r="AJ412" s="164">
        <f>IF(AJ411="PVL",AJ411,AJ411*'3phas'!AJ$26*1000)</f>
        <v>286.80289947363582</v>
      </c>
      <c r="AK412" s="164">
        <f>IF(AK411="PVL",AK411,AK411*'3phas'!AK$26*1000)</f>
        <v>82.382227639476255</v>
      </c>
      <c r="AL412" s="164" t="str">
        <f>IF(AL411="PVL",AL411,AL411*'3phas'!AL$26*1000)</f>
        <v>PVL</v>
      </c>
      <c r="AM412" s="164" t="str">
        <f>IF(AM411="PVL",AM411,AM411*'3phas'!AM$26*1000)</f>
        <v>PVL</v>
      </c>
      <c r="AN412" s="164">
        <f>IF(AN411="PVL",AN411,AN411*'3phas'!AN$26*1000)</f>
        <v>3.3628390121663347E-2</v>
      </c>
      <c r="AO412" s="164">
        <f>IF(AO411="PVL",AO411,AO411*'3phas'!AO$26*1000)</f>
        <v>0.41310136789592322</v>
      </c>
      <c r="AP412" s="164">
        <f>IF(AP411="PVL",AP411,AP411*'3phas'!AP$26*1000)</f>
        <v>0.52446177563613461</v>
      </c>
      <c r="AQ412" s="164">
        <f>IF(AQ411="PVL",AQ411,AQ411*'3phas'!AQ$26*1000)</f>
        <v>0.34643496085551878</v>
      </c>
      <c r="AR412" s="164">
        <f>IF(AR411="PVL",AR411,AR411*'3phas'!AR$26*1000)</f>
        <v>0.16505694360284315</v>
      </c>
      <c r="AS412" s="164">
        <f>IF(AS411="PVL",AS411,AS411*'3phas'!AS$26*1000)</f>
        <v>1.8561589956761E-2</v>
      </c>
      <c r="AT412" s="164">
        <f>IF(AT411="PVL",AT411,AT411*'3phas'!AT$26*1000)</f>
        <v>5.9280888085580623E-2</v>
      </c>
      <c r="AU412" s="164" t="str">
        <f>IF(AU411="PVL",AU411,AU411*'3phas'!AU$26*1000)</f>
        <v>PVL</v>
      </c>
      <c r="AV412" s="164">
        <f>IF(AV411="PVL",AV411,AV411*'3phas'!AV$26*1000)</f>
        <v>3.0917193258948162E-4</v>
      </c>
      <c r="AW412" s="164" t="str">
        <f>IF(AW411="PVL",AW411,AW411*'3phas'!AW$26*1000)</f>
        <v>PVL</v>
      </c>
      <c r="AX412" s="164" t="str">
        <f>IF(AX411="PVL",AX411,AX411*'3phas'!AX$26*1000)</f>
        <v>PVL</v>
      </c>
      <c r="AY412" s="164" t="str">
        <f>IF(AY411="PVL",AY411,AY411*'3phas'!AY$26*1000)</f>
        <v>PVL</v>
      </c>
      <c r="AZ412" s="164" t="str">
        <f>IF(AZ411="PVL",AZ411,AZ411*'3phas'!AZ$26*1000)</f>
        <v>PVL</v>
      </c>
      <c r="BA412" s="164" t="str">
        <f>IF(BA411="PVL",BA411,BA411*'3phas'!BA$26*1000)</f>
        <v>PVL</v>
      </c>
      <c r="BB412" s="164" t="str">
        <f>IF(BB411="PVL",BB411,BB411*'3phas'!BB$26*1000)</f>
        <v>PVL</v>
      </c>
      <c r="BC412" s="164" t="str">
        <f>IF(BC411="PVL",BC411,BC411*'3phas'!BC$26*1000)</f>
        <v>PVL</v>
      </c>
      <c r="BD412" s="164">
        <f>IF(BD411="PVL",BD411,BD411*'3phas'!BD$26*1000)</f>
        <v>8.9376983950961456E-2</v>
      </c>
      <c r="BE412" s="164">
        <f>IF(BE411="PVL",BE411,BE411*'3phas'!BE$26*1000)</f>
        <v>2.9032039003226764E-5</v>
      </c>
      <c r="BF412" s="164">
        <f>IF(BF411="PVL",BF411,BF411*'3phas'!BF$26*1000)</f>
        <v>5.8064078006453529E-5</v>
      </c>
      <c r="BG412" s="595" t="s">
        <v>595</v>
      </c>
      <c r="BH412" s="164">
        <f>IF(BH411="PVL",BH411,BH411*'3phas'!BH$26*1000)</f>
        <v>1.52567368814915E-3</v>
      </c>
      <c r="BI412" s="164">
        <f>IF(BI411="PVL",BI411,BI411*'3phas'!BI$26*1000)</f>
        <v>1.6440927628076897E-2</v>
      </c>
    </row>
    <row r="413" spans="1:61" s="26" customFormat="1" hidden="1">
      <c r="A413" s="482"/>
      <c r="B413" s="27"/>
      <c r="C413" s="2489"/>
      <c r="D413" s="2531"/>
      <c r="E413" s="77"/>
      <c r="G413" s="50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c r="AL413" s="282"/>
      <c r="AM413" s="282"/>
      <c r="AN413" s="282"/>
      <c r="AO413" s="282"/>
      <c r="AP413" s="282"/>
      <c r="AQ413" s="282"/>
      <c r="AR413" s="282"/>
      <c r="AS413" s="282"/>
      <c r="AT413" s="282"/>
      <c r="AU413" s="282"/>
      <c r="AV413" s="282"/>
      <c r="AW413" s="282"/>
      <c r="AX413" s="282"/>
      <c r="AY413" s="282"/>
      <c r="AZ413" s="282"/>
      <c r="BA413" s="282"/>
      <c r="BB413" s="282"/>
      <c r="BC413" s="282"/>
      <c r="BD413" s="282"/>
      <c r="BE413" s="282"/>
      <c r="BF413" s="282"/>
      <c r="BG413" s="282"/>
      <c r="BH413" s="282"/>
      <c r="BI413" s="282"/>
    </row>
    <row r="414" spans="1:61" s="495" customFormat="1" hidden="1">
      <c r="A414" s="398"/>
      <c r="B414" s="492"/>
      <c r="C414" s="2489"/>
      <c r="D414" s="2109"/>
      <c r="E414" s="919"/>
      <c r="G414" s="920"/>
      <c r="H414" s="1104"/>
      <c r="I414" s="1104"/>
      <c r="J414" s="1104"/>
      <c r="K414" s="1104"/>
      <c r="L414" s="1104"/>
      <c r="M414" s="1104"/>
      <c r="N414" s="1104"/>
      <c r="O414" s="1104"/>
      <c r="P414" s="1104"/>
      <c r="Q414" s="1104"/>
      <c r="R414" s="1104"/>
      <c r="S414" s="1104"/>
      <c r="T414" s="1104"/>
      <c r="U414" s="1104"/>
      <c r="V414" s="1104"/>
      <c r="W414" s="1104"/>
      <c r="X414" s="1104"/>
      <c r="Y414" s="1104"/>
      <c r="Z414" s="1104"/>
      <c r="AA414" s="1104"/>
      <c r="AB414" s="1104"/>
      <c r="AC414" s="1104"/>
      <c r="AD414" s="1104"/>
      <c r="AE414" s="1104"/>
      <c r="AF414" s="1104"/>
      <c r="AG414" s="1104"/>
      <c r="AH414" s="1104"/>
      <c r="AI414" s="1104"/>
      <c r="AJ414" s="1104"/>
      <c r="AK414" s="1104"/>
      <c r="AL414" s="1104"/>
      <c r="AM414" s="1104"/>
      <c r="AN414" s="1104"/>
      <c r="AO414" s="1104"/>
      <c r="AP414" s="1104"/>
      <c r="AQ414" s="1104"/>
      <c r="AR414" s="1104"/>
      <c r="AS414" s="1104"/>
      <c r="AT414" s="1104"/>
      <c r="AU414" s="1104"/>
      <c r="AV414" s="1104"/>
      <c r="AW414" s="1104"/>
      <c r="AX414" s="1104"/>
      <c r="AY414" s="1104"/>
      <c r="AZ414" s="1104"/>
      <c r="BA414" s="1104"/>
      <c r="BB414" s="1104"/>
      <c r="BC414" s="1104"/>
      <c r="BD414" s="1104"/>
      <c r="BE414" s="1104"/>
      <c r="BF414" s="1104"/>
      <c r="BG414" s="1104"/>
      <c r="BH414" s="1104"/>
      <c r="BI414" s="1104"/>
    </row>
    <row r="415" spans="1:61" s="513" customFormat="1" hidden="1">
      <c r="A415" s="508"/>
      <c r="B415" s="510"/>
      <c r="C415" s="2489"/>
      <c r="D415" s="2109"/>
      <c r="E415" s="585"/>
      <c r="G415" s="922"/>
      <c r="H415" s="1949"/>
      <c r="I415" s="1949"/>
      <c r="J415" s="1949"/>
      <c r="K415" s="1949"/>
      <c r="L415" s="1949"/>
      <c r="M415" s="1949"/>
      <c r="N415" s="1949"/>
      <c r="O415" s="1949"/>
      <c r="P415" s="1949"/>
      <c r="Q415" s="1949"/>
      <c r="R415" s="1949"/>
      <c r="S415" s="1949"/>
      <c r="T415" s="1949"/>
      <c r="U415" s="1949"/>
      <c r="V415" s="1949"/>
      <c r="W415" s="1949"/>
      <c r="X415" s="1949"/>
      <c r="Y415" s="1949"/>
      <c r="Z415" s="1949"/>
      <c r="AA415" s="1949"/>
      <c r="AB415" s="1949"/>
      <c r="AC415" s="1949"/>
      <c r="AD415" s="1949"/>
      <c r="AE415" s="1949"/>
      <c r="AF415" s="1949"/>
      <c r="AG415" s="1949"/>
      <c r="AH415" s="1949"/>
      <c r="AI415" s="1949"/>
      <c r="AJ415" s="1949"/>
      <c r="AK415" s="1949"/>
      <c r="AL415" s="1949"/>
      <c r="AM415" s="1949"/>
      <c r="AN415" s="1949"/>
      <c r="AO415" s="1949"/>
      <c r="AP415" s="1949"/>
      <c r="AQ415" s="1949"/>
      <c r="AR415" s="1949"/>
      <c r="AS415" s="1949"/>
      <c r="AT415" s="1949"/>
      <c r="AU415" s="1949"/>
      <c r="AV415" s="1949"/>
      <c r="AW415" s="1949"/>
      <c r="AX415" s="1949"/>
      <c r="AY415" s="1949"/>
      <c r="AZ415" s="1949"/>
      <c r="BA415" s="1949"/>
      <c r="BB415" s="1949"/>
      <c r="BC415" s="1949"/>
      <c r="BD415" s="1949"/>
      <c r="BE415" s="1949"/>
      <c r="BF415" s="1949"/>
      <c r="BG415" s="1949"/>
      <c r="BH415" s="1949"/>
      <c r="BI415" s="1949"/>
    </row>
    <row r="416" spans="1:61" s="26" customFormat="1" hidden="1">
      <c r="A416" s="482"/>
      <c r="B416" s="27"/>
      <c r="C416" s="2489"/>
      <c r="D416" s="2109"/>
      <c r="E416" s="77"/>
      <c r="G416" s="50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c r="AL416" s="282"/>
      <c r="AM416" s="282"/>
      <c r="AN416" s="282"/>
      <c r="AO416" s="282"/>
      <c r="AP416" s="282"/>
      <c r="AQ416" s="282"/>
      <c r="AR416" s="282"/>
      <c r="AS416" s="282"/>
      <c r="AT416" s="282"/>
      <c r="AU416" s="282"/>
      <c r="AV416" s="282"/>
      <c r="AW416" s="282"/>
      <c r="AX416" s="282"/>
      <c r="AY416" s="282"/>
      <c r="AZ416" s="282"/>
      <c r="BA416" s="282"/>
      <c r="BB416" s="282"/>
      <c r="BC416" s="282"/>
      <c r="BD416" s="282"/>
      <c r="BE416" s="282"/>
      <c r="BF416" s="282"/>
      <c r="BG416" s="282"/>
      <c r="BH416" s="282"/>
      <c r="BI416" s="282"/>
    </row>
    <row r="417" spans="1:61" s="495" customFormat="1" hidden="1">
      <c r="A417" s="398"/>
      <c r="B417" s="492"/>
      <c r="C417" s="2489"/>
      <c r="D417" s="2109"/>
      <c r="E417" s="919"/>
      <c r="G417" s="920"/>
      <c r="H417" s="1104"/>
      <c r="I417" s="1104"/>
      <c r="J417" s="1104"/>
      <c r="K417" s="1104"/>
      <c r="L417" s="1104"/>
      <c r="M417" s="1104"/>
      <c r="N417" s="1104"/>
      <c r="O417" s="1104"/>
      <c r="P417" s="1104"/>
      <c r="Q417" s="1104"/>
      <c r="R417" s="1104"/>
      <c r="S417" s="1104"/>
      <c r="T417" s="1104"/>
      <c r="U417" s="1104"/>
      <c r="V417" s="1104"/>
      <c r="W417" s="1104"/>
      <c r="X417" s="1104"/>
      <c r="Y417" s="1104"/>
      <c r="Z417" s="1104"/>
      <c r="AA417" s="1104"/>
      <c r="AB417" s="1104"/>
      <c r="AC417" s="1104"/>
      <c r="AD417" s="1104"/>
      <c r="AE417" s="1104"/>
      <c r="AF417" s="1104"/>
      <c r="AG417" s="1104"/>
      <c r="AH417" s="1104"/>
      <c r="AI417" s="1104"/>
      <c r="AJ417" s="1104"/>
      <c r="AK417" s="1104"/>
      <c r="AL417" s="1104"/>
      <c r="AM417" s="1104"/>
      <c r="AN417" s="1104"/>
      <c r="AO417" s="1104"/>
      <c r="AP417" s="1104"/>
      <c r="AQ417" s="1104"/>
      <c r="AR417" s="1104"/>
      <c r="AS417" s="1104"/>
      <c r="AT417" s="1104"/>
      <c r="AU417" s="1104"/>
      <c r="AV417" s="1104"/>
      <c r="AW417" s="1104"/>
      <c r="AX417" s="1104"/>
      <c r="AY417" s="1104"/>
      <c r="AZ417" s="1104"/>
      <c r="BA417" s="1104"/>
      <c r="BB417" s="1104"/>
      <c r="BC417" s="1104"/>
      <c r="BD417" s="1104"/>
      <c r="BE417" s="1104"/>
      <c r="BF417" s="1104"/>
      <c r="BG417" s="1104"/>
      <c r="BH417" s="1104"/>
      <c r="BI417" s="1104"/>
    </row>
    <row r="418" spans="1:61" s="26" customFormat="1" hidden="1">
      <c r="A418" s="482"/>
      <c r="B418" s="27"/>
      <c r="C418" s="2489"/>
      <c r="D418" s="2109"/>
      <c r="E418" s="77"/>
      <c r="G418" s="50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c r="AL418" s="282"/>
      <c r="AM418" s="282"/>
      <c r="AN418" s="282"/>
      <c r="AO418" s="282"/>
      <c r="AP418" s="282"/>
      <c r="AQ418" s="282"/>
      <c r="AR418" s="282"/>
      <c r="AS418" s="282"/>
      <c r="AT418" s="282"/>
      <c r="AU418" s="282"/>
      <c r="AV418" s="282"/>
      <c r="AW418" s="282"/>
      <c r="AX418" s="282"/>
      <c r="AY418" s="282"/>
      <c r="AZ418" s="282"/>
      <c r="BA418" s="282"/>
      <c r="BB418" s="282"/>
      <c r="BC418" s="282"/>
      <c r="BD418" s="282"/>
      <c r="BE418" s="282"/>
      <c r="BF418" s="282"/>
      <c r="BG418" s="282"/>
      <c r="BH418" s="282"/>
      <c r="BI418" s="282"/>
    </row>
    <row r="419" spans="1:61" s="416" customFormat="1" hidden="1">
      <c r="B419" s="496"/>
      <c r="C419" s="2489"/>
      <c r="D419" s="2109"/>
      <c r="E419" s="747"/>
      <c r="G419" s="923"/>
      <c r="H419" s="409"/>
      <c r="I419" s="409"/>
      <c r="J419" s="409"/>
      <c r="K419" s="409"/>
      <c r="L419" s="409"/>
      <c r="M419" s="409"/>
      <c r="N419" s="409"/>
      <c r="O419" s="409"/>
      <c r="P419" s="409"/>
      <c r="Q419" s="409"/>
      <c r="R419" s="409"/>
      <c r="S419" s="409"/>
      <c r="T419" s="409"/>
      <c r="U419" s="409"/>
      <c r="V419" s="409"/>
      <c r="W419" s="409"/>
      <c r="X419" s="409"/>
      <c r="Y419" s="409"/>
      <c r="Z419" s="409"/>
      <c r="AA419" s="409"/>
      <c r="AB419" s="409"/>
      <c r="AC419" s="409"/>
      <c r="AD419" s="409"/>
      <c r="AE419" s="409"/>
      <c r="AF419" s="409"/>
      <c r="AG419" s="409"/>
      <c r="AH419" s="409"/>
      <c r="AI419" s="409"/>
      <c r="AJ419" s="409"/>
      <c r="AK419" s="409"/>
      <c r="AL419" s="409"/>
      <c r="AM419" s="409"/>
      <c r="AN419" s="409"/>
      <c r="AO419" s="409"/>
      <c r="AP419" s="409"/>
      <c r="AQ419" s="409"/>
      <c r="AR419" s="409"/>
      <c r="AS419" s="409"/>
      <c r="AT419" s="409"/>
      <c r="AU419" s="409"/>
      <c r="AV419" s="409"/>
      <c r="AW419" s="409"/>
      <c r="AX419" s="409"/>
      <c r="AY419" s="409"/>
      <c r="AZ419" s="409"/>
      <c r="BA419" s="409"/>
      <c r="BB419" s="409"/>
      <c r="BC419" s="409"/>
      <c r="BD419" s="409"/>
      <c r="BE419" s="409"/>
      <c r="BF419" s="409"/>
      <c r="BG419" s="409"/>
      <c r="BH419" s="409"/>
      <c r="BI419" s="409"/>
    </row>
    <row r="420" spans="1:61" s="26" customFormat="1" hidden="1">
      <c r="A420" s="482"/>
      <c r="B420" s="27"/>
      <c r="C420" s="2453"/>
      <c r="D420" s="2454"/>
      <c r="E420" s="77"/>
      <c r="G420" s="50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c r="AL420" s="282"/>
      <c r="AM420" s="282"/>
      <c r="AN420" s="282"/>
      <c r="AO420" s="282"/>
      <c r="AP420" s="282"/>
      <c r="AQ420" s="282"/>
      <c r="AR420" s="282"/>
      <c r="AS420" s="282"/>
      <c r="AT420" s="282"/>
      <c r="AU420" s="282"/>
      <c r="AV420" s="282"/>
      <c r="AW420" s="282"/>
      <c r="AX420" s="282"/>
      <c r="AY420" s="282"/>
      <c r="AZ420" s="282"/>
      <c r="BA420" s="282"/>
      <c r="BB420" s="282"/>
      <c r="BC420" s="282"/>
      <c r="BD420" s="282"/>
      <c r="BE420" s="282"/>
      <c r="BF420" s="282"/>
      <c r="BG420" s="282"/>
      <c r="BH420" s="282"/>
      <c r="BI420" s="282"/>
    </row>
    <row r="421" spans="1:61" s="26" customFormat="1" hidden="1">
      <c r="A421" s="482"/>
      <c r="B421" s="27"/>
      <c r="C421" s="2532"/>
      <c r="D421" s="2533"/>
      <c r="E421" s="77"/>
      <c r="G421" s="50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c r="AL421" s="282"/>
      <c r="AM421" s="282"/>
      <c r="AN421" s="282"/>
      <c r="AO421" s="282"/>
      <c r="AP421" s="282"/>
      <c r="AQ421" s="282"/>
      <c r="AR421" s="282"/>
      <c r="AS421" s="282"/>
      <c r="AT421" s="282"/>
      <c r="AU421" s="282"/>
      <c r="AV421" s="282"/>
      <c r="AW421" s="282"/>
      <c r="AX421" s="282"/>
      <c r="AY421" s="282"/>
      <c r="AZ421" s="282"/>
      <c r="BA421" s="282"/>
      <c r="BB421" s="282"/>
      <c r="BC421" s="282"/>
      <c r="BD421" s="282"/>
      <c r="BE421" s="282"/>
      <c r="BF421" s="282"/>
      <c r="BG421" s="282"/>
      <c r="BH421" s="282"/>
      <c r="BI421" s="282"/>
    </row>
    <row r="422" spans="1:61" s="26" customFormat="1" hidden="1">
      <c r="A422" s="17"/>
      <c r="B422" s="27"/>
      <c r="C422" s="2532"/>
      <c r="D422" s="2533"/>
      <c r="E422" s="77"/>
      <c r="G422" s="50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c r="AL422" s="282"/>
      <c r="AM422" s="282"/>
      <c r="AN422" s="282"/>
      <c r="AO422" s="282"/>
      <c r="AP422" s="282"/>
      <c r="AQ422" s="282"/>
      <c r="AR422" s="282"/>
      <c r="AS422" s="282"/>
      <c r="AT422" s="282"/>
      <c r="AU422" s="282"/>
      <c r="AV422" s="282"/>
      <c r="AW422" s="282"/>
      <c r="AX422" s="282"/>
      <c r="AY422" s="282"/>
      <c r="AZ422" s="282"/>
      <c r="BA422" s="282"/>
      <c r="BB422" s="282"/>
      <c r="BC422" s="282"/>
      <c r="BD422" s="282"/>
      <c r="BE422" s="282"/>
      <c r="BF422" s="282"/>
      <c r="BG422" s="282"/>
      <c r="BH422" s="282"/>
      <c r="BI422" s="282"/>
    </row>
    <row r="423" spans="1:61" s="495" customFormat="1" hidden="1">
      <c r="A423" s="398"/>
      <c r="B423" s="492"/>
      <c r="C423" s="2489"/>
      <c r="D423" s="2534"/>
      <c r="E423" s="919"/>
      <c r="G423" s="920"/>
      <c r="H423" s="1104"/>
      <c r="I423" s="1104"/>
      <c r="J423" s="1104"/>
      <c r="K423" s="1104"/>
      <c r="L423" s="1104"/>
      <c r="M423" s="1104"/>
      <c r="N423" s="1104"/>
      <c r="O423" s="1104"/>
      <c r="P423" s="1104"/>
      <c r="Q423" s="1104"/>
      <c r="R423" s="1104"/>
      <c r="S423" s="1104"/>
      <c r="T423" s="1104"/>
      <c r="U423" s="1104"/>
      <c r="V423" s="1104"/>
      <c r="W423" s="1104"/>
      <c r="X423" s="1104"/>
      <c r="Y423" s="1104"/>
      <c r="Z423" s="1104"/>
      <c r="AA423" s="1104"/>
      <c r="AB423" s="1104"/>
      <c r="AC423" s="1104"/>
      <c r="AD423" s="1104"/>
      <c r="AE423" s="1104"/>
      <c r="AF423" s="1104"/>
      <c r="AG423" s="1104"/>
      <c r="AH423" s="1104"/>
      <c r="AI423" s="1104"/>
      <c r="AJ423" s="1104"/>
      <c r="AK423" s="1104"/>
      <c r="AL423" s="1104"/>
      <c r="AM423" s="1104"/>
      <c r="AN423" s="1104"/>
      <c r="AO423" s="1104"/>
      <c r="AP423" s="1104"/>
      <c r="AQ423" s="1104"/>
      <c r="AR423" s="1104"/>
      <c r="AS423" s="1104"/>
      <c r="AT423" s="1104"/>
      <c r="AU423" s="1104"/>
      <c r="AV423" s="1104"/>
      <c r="AW423" s="1104"/>
      <c r="AX423" s="1104"/>
      <c r="AY423" s="1104"/>
      <c r="AZ423" s="1104"/>
      <c r="BA423" s="1104"/>
      <c r="BB423" s="1104"/>
      <c r="BC423" s="1104"/>
      <c r="BD423" s="1104"/>
      <c r="BE423" s="1104"/>
      <c r="BF423" s="1104"/>
      <c r="BG423" s="1104"/>
      <c r="BH423" s="1104"/>
      <c r="BI423" s="1104"/>
    </row>
    <row r="424" spans="1:61" s="513" customFormat="1" hidden="1">
      <c r="A424" s="508"/>
      <c r="B424" s="510"/>
      <c r="C424" s="2535"/>
      <c r="D424" s="2536"/>
      <c r="E424" s="585"/>
      <c r="G424" s="922"/>
      <c r="H424" s="1949"/>
      <c r="I424" s="1949"/>
      <c r="J424" s="1949"/>
      <c r="K424" s="1949"/>
      <c r="L424" s="1949"/>
      <c r="M424" s="1949"/>
      <c r="N424" s="1949"/>
      <c r="O424" s="1949"/>
      <c r="P424" s="1949"/>
      <c r="Q424" s="1949"/>
      <c r="R424" s="1949"/>
      <c r="S424" s="1949"/>
      <c r="T424" s="1949"/>
      <c r="U424" s="1949"/>
      <c r="V424" s="1949"/>
      <c r="W424" s="1949"/>
      <c r="X424" s="1949"/>
      <c r="Y424" s="1949"/>
      <c r="Z424" s="1949"/>
      <c r="AA424" s="1949"/>
      <c r="AB424" s="1949"/>
      <c r="AC424" s="1949"/>
      <c r="AD424" s="1949"/>
      <c r="AE424" s="1949"/>
      <c r="AF424" s="1949"/>
      <c r="AG424" s="1949"/>
      <c r="AH424" s="1949"/>
      <c r="AI424" s="1949"/>
      <c r="AJ424" s="1949"/>
      <c r="AK424" s="1949"/>
      <c r="AL424" s="1949"/>
      <c r="AM424" s="1949"/>
      <c r="AN424" s="1949"/>
      <c r="AO424" s="1949"/>
      <c r="AP424" s="1949"/>
      <c r="AQ424" s="1949"/>
      <c r="AR424" s="1949"/>
      <c r="AS424" s="1949"/>
      <c r="AT424" s="1949"/>
      <c r="AU424" s="1949"/>
      <c r="AV424" s="1949"/>
      <c r="AW424" s="1949"/>
      <c r="AX424" s="1949"/>
      <c r="AY424" s="1949"/>
      <c r="AZ424" s="1949"/>
      <c r="BA424" s="1949"/>
      <c r="BB424" s="1949"/>
      <c r="BC424" s="1949"/>
      <c r="BD424" s="1949"/>
      <c r="BE424" s="1949"/>
      <c r="BF424" s="1949"/>
      <c r="BG424" s="1949"/>
      <c r="BH424" s="1949"/>
      <c r="BI424" s="1949"/>
    </row>
    <row r="425" spans="1:61" s="416" customFormat="1" hidden="1">
      <c r="B425" s="496"/>
      <c r="C425" s="2537"/>
      <c r="D425" s="2490"/>
      <c r="E425" s="623" t="s">
        <v>596</v>
      </c>
      <c r="F425" s="497"/>
      <c r="G425" s="624"/>
      <c r="H425" s="499"/>
      <c r="I425" s="499"/>
      <c r="J425" s="499"/>
      <c r="K425" s="499"/>
      <c r="L425" s="499"/>
      <c r="M425" s="499"/>
      <c r="N425" s="499"/>
      <c r="O425" s="499"/>
      <c r="P425" s="499"/>
      <c r="Q425" s="499"/>
      <c r="R425" s="499"/>
      <c r="S425" s="499"/>
      <c r="T425" s="499"/>
      <c r="U425" s="499"/>
      <c r="V425" s="499"/>
      <c r="W425" s="499"/>
      <c r="X425" s="499"/>
      <c r="Y425" s="499"/>
      <c r="Z425" s="499"/>
      <c r="AA425" s="499"/>
      <c r="AB425" s="499"/>
      <c r="AC425" s="499"/>
      <c r="AD425" s="499"/>
      <c r="AE425" s="499"/>
      <c r="AF425" s="499"/>
      <c r="AG425" s="499"/>
      <c r="AH425" s="499"/>
      <c r="AI425" s="499"/>
      <c r="AJ425" s="499"/>
      <c r="AK425" s="499"/>
      <c r="AL425" s="499"/>
      <c r="AM425" s="499"/>
      <c r="AN425" s="499"/>
      <c r="AO425" s="499"/>
      <c r="AP425" s="499"/>
      <c r="AQ425" s="499"/>
      <c r="AR425" s="499"/>
      <c r="AS425" s="499"/>
      <c r="AT425" s="499"/>
      <c r="AU425" s="499"/>
      <c r="AV425" s="499"/>
      <c r="AW425" s="499"/>
      <c r="AX425" s="499"/>
      <c r="AY425" s="499"/>
      <c r="AZ425" s="499"/>
      <c r="BA425" s="499"/>
      <c r="BB425" s="499"/>
      <c r="BC425" s="499"/>
      <c r="BD425" s="499"/>
      <c r="BE425" s="499"/>
      <c r="BF425" s="499"/>
      <c r="BG425" s="499"/>
      <c r="BH425" s="499"/>
      <c r="BI425" s="499"/>
    </row>
    <row r="426" spans="1:61" s="26" customFormat="1" hidden="1">
      <c r="A426" s="482"/>
      <c r="B426" s="27"/>
      <c r="C426" s="2453"/>
      <c r="D426" s="2454"/>
      <c r="E426" s="103" t="s">
        <v>989</v>
      </c>
      <c r="F426" s="14" t="s">
        <v>19</v>
      </c>
      <c r="G426" s="105" t="s">
        <v>20</v>
      </c>
      <c r="H426" s="56">
        <v>2.1114253045733191</v>
      </c>
      <c r="I426" s="56">
        <v>2.1114253045733191</v>
      </c>
      <c r="J426" s="56">
        <v>4.0834383047740177</v>
      </c>
      <c r="K426" s="56">
        <v>3.5778735042735044E-2</v>
      </c>
      <c r="L426" s="56">
        <v>3.8334358974358974E-2</v>
      </c>
      <c r="M426" s="56">
        <v>3.8334358974358974E-2</v>
      </c>
      <c r="N426" s="56">
        <v>0.12778119658119658</v>
      </c>
      <c r="O426" s="56">
        <v>0.12778119658119658</v>
      </c>
      <c r="P426" s="56">
        <v>2.2361709401709402E-2</v>
      </c>
      <c r="Q426" s="56">
        <v>2.2361709401709402E-2</v>
      </c>
      <c r="R426" s="56">
        <v>6.3890598290598294E-3</v>
      </c>
      <c r="S426" s="56">
        <v>4.0251076923076924E-2</v>
      </c>
      <c r="T426" s="56">
        <v>4.0251076923076924E-2</v>
      </c>
      <c r="U426" s="56">
        <v>2.4278427350427352E-2</v>
      </c>
      <c r="V426" s="56">
        <v>0.63890598290598311</v>
      </c>
      <c r="W426" s="56">
        <v>0.63890598290598311</v>
      </c>
      <c r="X426" s="56">
        <v>6.133497435897437E-3</v>
      </c>
      <c r="Y426" s="56">
        <v>0.1661155555555556</v>
      </c>
      <c r="Z426" s="56">
        <v>0.1693100854700855</v>
      </c>
      <c r="AA426" s="56">
        <v>0.44723418803418802</v>
      </c>
      <c r="AB426" s="56">
        <v>0.15512171368912359</v>
      </c>
      <c r="AC426" s="56">
        <v>0.41835722067082637</v>
      </c>
      <c r="AD426" s="56">
        <v>1.0416685051817909</v>
      </c>
      <c r="AE426" s="56" t="e">
        <v>#VALUE!</v>
      </c>
      <c r="AF426" s="56" t="e">
        <v>#VALUE!</v>
      </c>
      <c r="AG426" s="56">
        <v>11.755870085470086</v>
      </c>
      <c r="AH426" s="56">
        <v>11.755870085470086</v>
      </c>
      <c r="AI426" s="56">
        <v>0.63890598290598288</v>
      </c>
      <c r="AJ426" s="56">
        <v>0.63890598290598311</v>
      </c>
      <c r="AK426" s="56">
        <v>1.5123143220732171</v>
      </c>
      <c r="AL426" s="56">
        <v>1000000</v>
      </c>
      <c r="AM426" s="56">
        <v>1000000</v>
      </c>
      <c r="AN426" s="56">
        <v>6.0233276992038884E-2</v>
      </c>
      <c r="AO426" s="56">
        <v>1000000</v>
      </c>
      <c r="AP426" s="56">
        <v>1000000</v>
      </c>
      <c r="AQ426" s="56">
        <v>1000000</v>
      </c>
      <c r="AR426" s="56">
        <v>1000000</v>
      </c>
      <c r="AS426" s="56">
        <v>1000000</v>
      </c>
      <c r="AT426" s="56">
        <v>1000000</v>
      </c>
      <c r="AU426" s="56">
        <v>1000000</v>
      </c>
      <c r="AV426" s="56">
        <v>1000000</v>
      </c>
      <c r="AW426" s="56">
        <v>1000000</v>
      </c>
      <c r="AX426" s="56">
        <v>1000000</v>
      </c>
      <c r="AY426" s="56">
        <v>1000000</v>
      </c>
      <c r="AZ426" s="56">
        <v>1000000</v>
      </c>
      <c r="BA426" s="56">
        <v>1000000</v>
      </c>
      <c r="BB426" s="56">
        <v>1000000</v>
      </c>
      <c r="BC426" s="56">
        <v>1000000</v>
      </c>
      <c r="BD426" s="56">
        <v>1.5097888410399709</v>
      </c>
      <c r="BE426" s="56">
        <v>0.78832158107218098</v>
      </c>
      <c r="BF426" s="56">
        <v>1.576643162144362</v>
      </c>
      <c r="BG426" s="56">
        <v>1.1675236698399931E-4</v>
      </c>
      <c r="BH426" s="56">
        <v>1.9332888011935157E-2</v>
      </c>
      <c r="BI426" s="56">
        <v>2.9322409610324871E-2</v>
      </c>
    </row>
    <row r="427" spans="1:61" s="26" customFormat="1" hidden="1">
      <c r="A427" s="482"/>
      <c r="B427" s="27"/>
      <c r="C427" s="2532"/>
      <c r="D427" s="2533"/>
      <c r="E427" s="103" t="s">
        <v>992</v>
      </c>
      <c r="F427" s="14" t="s">
        <v>19</v>
      </c>
      <c r="G427" s="105" t="s">
        <v>20</v>
      </c>
      <c r="H427" s="56" t="s">
        <v>498</v>
      </c>
      <c r="I427" s="56" t="s">
        <v>498</v>
      </c>
      <c r="J427" s="56" t="s">
        <v>498</v>
      </c>
      <c r="K427" s="56">
        <v>0.22361709401709398</v>
      </c>
      <c r="L427" s="56" t="s">
        <v>498</v>
      </c>
      <c r="M427" s="56" t="s">
        <v>498</v>
      </c>
      <c r="N427" s="56">
        <v>0.11180854700854699</v>
      </c>
      <c r="O427" s="56">
        <v>0.11180854700854699</v>
      </c>
      <c r="P427" s="56">
        <v>3.7901202375778639E-2</v>
      </c>
      <c r="Q427" s="56">
        <v>3.7901202375778639E-2</v>
      </c>
      <c r="R427" s="56">
        <v>0.22361709401709398</v>
      </c>
      <c r="S427" s="56">
        <v>9.7224823485693047E-3</v>
      </c>
      <c r="T427" s="56">
        <v>9.7224823485693047E-3</v>
      </c>
      <c r="U427" s="56">
        <v>5.3242165242165232E-3</v>
      </c>
      <c r="V427" s="56" t="s">
        <v>498</v>
      </c>
      <c r="W427" s="56" t="s">
        <v>498</v>
      </c>
      <c r="X427" s="56">
        <v>3.7269515669515668E-2</v>
      </c>
      <c r="Y427" s="56" t="s">
        <v>498</v>
      </c>
      <c r="Z427" s="56">
        <v>8.9446837606837609E-2</v>
      </c>
      <c r="AA427" s="56" t="s">
        <v>498</v>
      </c>
      <c r="AB427" s="56" t="s">
        <v>498</v>
      </c>
      <c r="AC427" s="56" t="s">
        <v>498</v>
      </c>
      <c r="AD427" s="56" t="s">
        <v>498</v>
      </c>
      <c r="AE427" s="56" t="s">
        <v>498</v>
      </c>
      <c r="AF427" s="56" t="s">
        <v>498</v>
      </c>
      <c r="AG427" s="56" t="s">
        <v>498</v>
      </c>
      <c r="AH427" s="56" t="s">
        <v>498</v>
      </c>
      <c r="AI427" s="56" t="s">
        <v>498</v>
      </c>
      <c r="AJ427" s="56" t="s">
        <v>498</v>
      </c>
      <c r="AK427" s="56" t="s">
        <v>498</v>
      </c>
      <c r="AL427" s="56" t="s">
        <v>498</v>
      </c>
      <c r="AM427" s="56" t="s">
        <v>498</v>
      </c>
      <c r="AN427" s="56">
        <v>1.2225463164554107E-2</v>
      </c>
      <c r="AO427" s="56">
        <v>0.74236133184529385</v>
      </c>
      <c r="AP427" s="56">
        <v>0.56964394755573566</v>
      </c>
      <c r="AQ427" s="56">
        <v>0.90764039523473683</v>
      </c>
      <c r="AR427" s="56">
        <v>2.0805828613445669</v>
      </c>
      <c r="AS427" s="56">
        <v>0.51758172578011064</v>
      </c>
      <c r="AT427" s="56">
        <v>7.3177972477119058</v>
      </c>
      <c r="AU427" s="56">
        <v>7.4762305233528421</v>
      </c>
      <c r="AV427" s="56">
        <v>0.2182093334069159</v>
      </c>
      <c r="AW427" s="56">
        <v>18.259286007246516</v>
      </c>
      <c r="AX427" s="56">
        <v>21.920856700189741</v>
      </c>
      <c r="AY427" s="56">
        <v>39.638522391421738</v>
      </c>
      <c r="AZ427" s="56">
        <v>14.204068524138547</v>
      </c>
      <c r="BA427" s="56">
        <v>12.276458233095207</v>
      </c>
      <c r="BB427" s="56">
        <v>24.001307279326699</v>
      </c>
      <c r="BC427" s="56">
        <v>7193487.6119091064</v>
      </c>
      <c r="BD427" s="56" t="s">
        <v>498</v>
      </c>
      <c r="BE427" s="56" t="s">
        <v>498</v>
      </c>
      <c r="BF427" s="56">
        <v>4.4785096619094612E-2</v>
      </c>
      <c r="BG427" s="56" t="s">
        <v>498</v>
      </c>
      <c r="BH427" s="56" t="s">
        <v>498</v>
      </c>
      <c r="BI427" s="56" t="s">
        <v>498</v>
      </c>
    </row>
    <row r="428" spans="1:61" s="26" customFormat="1" hidden="1">
      <c r="A428" s="17"/>
      <c r="B428" s="27"/>
      <c r="C428" s="2532"/>
      <c r="D428" s="2533"/>
      <c r="E428" s="103" t="s">
        <v>493</v>
      </c>
      <c r="F428" s="14" t="s">
        <v>19</v>
      </c>
      <c r="G428" s="105" t="s">
        <v>20</v>
      </c>
      <c r="H428" s="113">
        <v>2.1114253045733191</v>
      </c>
      <c r="I428" s="113">
        <v>2.1114253045733191</v>
      </c>
      <c r="J428" s="113">
        <v>4.0834383047740177</v>
      </c>
      <c r="K428" s="113">
        <v>3.5778735042735044E-2</v>
      </c>
      <c r="L428" s="113">
        <v>3.8334358974358974E-2</v>
      </c>
      <c r="M428" s="113">
        <v>3.8334358974358974E-2</v>
      </c>
      <c r="N428" s="113">
        <v>0.11180854700854699</v>
      </c>
      <c r="O428" s="113">
        <v>0.11180854700854699</v>
      </c>
      <c r="P428" s="113">
        <v>2.2361709401709402E-2</v>
      </c>
      <c r="Q428" s="113">
        <v>2.2361709401709402E-2</v>
      </c>
      <c r="R428" s="113">
        <v>6.3890598290598294E-3</v>
      </c>
      <c r="S428" s="113">
        <v>9.7224823485693047E-3</v>
      </c>
      <c r="T428" s="113">
        <v>9.7224823485693047E-3</v>
      </c>
      <c r="U428" s="113">
        <v>5.3242165242165232E-3</v>
      </c>
      <c r="V428" s="113">
        <v>0.63890598290598311</v>
      </c>
      <c r="W428" s="113">
        <v>0.63890598290598311</v>
      </c>
      <c r="X428" s="113">
        <v>6.133497435897437E-3</v>
      </c>
      <c r="Y428" s="113">
        <v>0.1661155555555556</v>
      </c>
      <c r="Z428" s="113">
        <v>8.9446837606837609E-2</v>
      </c>
      <c r="AA428" s="113">
        <v>0.44723418803418802</v>
      </c>
      <c r="AB428" s="113">
        <v>0.15512171368912359</v>
      </c>
      <c r="AC428" s="113">
        <v>0.41835722067082637</v>
      </c>
      <c r="AD428" s="113">
        <v>1.0416685051817909</v>
      </c>
      <c r="AE428" s="113" t="e">
        <v>#VALUE!</v>
      </c>
      <c r="AF428" s="113" t="e">
        <v>#VALUE!</v>
      </c>
      <c r="AG428" s="113">
        <v>11.755870085470086</v>
      </c>
      <c r="AH428" s="113">
        <v>11.755870085470086</v>
      </c>
      <c r="AI428" s="113">
        <v>0.63890598290598288</v>
      </c>
      <c r="AJ428" s="113">
        <v>0.63890598290598311</v>
      </c>
      <c r="AK428" s="113">
        <v>1.5123143220732171</v>
      </c>
      <c r="AL428" s="113">
        <v>1000000</v>
      </c>
      <c r="AM428" s="113">
        <v>1000000</v>
      </c>
      <c r="AN428" s="113">
        <v>1.2225463164554107E-2</v>
      </c>
      <c r="AO428" s="113">
        <v>0.74236133184529385</v>
      </c>
      <c r="AP428" s="113">
        <v>0.56964394755573566</v>
      </c>
      <c r="AQ428" s="113">
        <v>0.90764039523473683</v>
      </c>
      <c r="AR428" s="113">
        <v>2.0805828613445669</v>
      </c>
      <c r="AS428" s="113">
        <v>0.51758172578011064</v>
      </c>
      <c r="AT428" s="113">
        <v>7.3177972477119058</v>
      </c>
      <c r="AU428" s="113">
        <v>7.4762305233528421</v>
      </c>
      <c r="AV428" s="113">
        <v>0.2182093334069159</v>
      </c>
      <c r="AW428" s="113">
        <v>18.259286007246516</v>
      </c>
      <c r="AX428" s="113">
        <v>21.920856700189741</v>
      </c>
      <c r="AY428" s="113">
        <v>39.638522391421738</v>
      </c>
      <c r="AZ428" s="113">
        <v>14.204068524138547</v>
      </c>
      <c r="BA428" s="113">
        <v>12.276458233095207</v>
      </c>
      <c r="BB428" s="113">
        <v>24.001307279326699</v>
      </c>
      <c r="BC428" s="113">
        <v>1000000</v>
      </c>
      <c r="BD428" s="113">
        <v>1.5097888410399709</v>
      </c>
      <c r="BE428" s="113">
        <v>0.78832158107218098</v>
      </c>
      <c r="BF428" s="113">
        <v>4.4785096619094612E-2</v>
      </c>
      <c r="BG428" s="113">
        <v>1.1675236698399931E-4</v>
      </c>
      <c r="BH428" s="113">
        <v>1.9332888011935157E-2</v>
      </c>
      <c r="BI428" s="113">
        <v>2.9322409610324871E-2</v>
      </c>
    </row>
    <row r="429" spans="1:61" s="495" customFormat="1" hidden="1">
      <c r="A429" s="398"/>
      <c r="B429" s="492"/>
      <c r="C429" s="2489" t="s">
        <v>162</v>
      </c>
      <c r="D429" s="2534">
        <v>1.0000000000000001E-5</v>
      </c>
      <c r="E429" s="619" t="s">
        <v>499</v>
      </c>
      <c r="F429" s="493" t="s">
        <v>19</v>
      </c>
      <c r="G429" s="584" t="s">
        <v>20</v>
      </c>
      <c r="H429" s="343">
        <v>2.1114253045733191</v>
      </c>
      <c r="I429" s="343">
        <v>2.1114253045733191</v>
      </c>
      <c r="J429" s="343">
        <v>4.0834383047740177</v>
      </c>
      <c r="K429" s="343">
        <v>3.5778735042735044E-2</v>
      </c>
      <c r="L429" s="343">
        <v>3.8334358974358974E-2</v>
      </c>
      <c r="M429" s="343">
        <v>3.8334358974358974E-2</v>
      </c>
      <c r="N429" s="343">
        <v>0.11180854700854699</v>
      </c>
      <c r="O429" s="343">
        <v>0.11180854700854699</v>
      </c>
      <c r="P429" s="343">
        <v>2.2361709401709402E-2</v>
      </c>
      <c r="Q429" s="343">
        <v>2.2361709401709402E-2</v>
      </c>
      <c r="R429" s="343">
        <v>6.3890598290598294E-3</v>
      </c>
      <c r="S429" s="343">
        <v>9.7224823485693047E-3</v>
      </c>
      <c r="T429" s="343">
        <v>9.7224823485693047E-3</v>
      </c>
      <c r="U429" s="343">
        <v>5.3242165242165232E-3</v>
      </c>
      <c r="V429" s="343">
        <v>0.63890598290598311</v>
      </c>
      <c r="W429" s="343">
        <v>0.63890598290598311</v>
      </c>
      <c r="X429" s="343">
        <v>6.133497435897437E-3</v>
      </c>
      <c r="Y429" s="343">
        <v>0.1661155555555556</v>
      </c>
      <c r="Z429" s="343">
        <v>8.9446837606837609E-2</v>
      </c>
      <c r="AA429" s="343">
        <v>0.44723418803418802</v>
      </c>
      <c r="AB429" s="343">
        <v>0.15512171368912359</v>
      </c>
      <c r="AC429" s="343">
        <v>0.41835722067082637</v>
      </c>
      <c r="AD429" s="343">
        <v>1.0416685051817909</v>
      </c>
      <c r="AE429" s="343" t="e">
        <v>#VALUE!</v>
      </c>
      <c r="AF429" s="343" t="e">
        <v>#VALUE!</v>
      </c>
      <c r="AG429" s="343">
        <v>11.755870085470086</v>
      </c>
      <c r="AH429" s="343">
        <v>11.755870085470086</v>
      </c>
      <c r="AI429" s="343">
        <v>0.63890598290598288</v>
      </c>
      <c r="AJ429" s="343">
        <v>0.63890598290598311</v>
      </c>
      <c r="AK429" s="343">
        <v>1.5123143220732171</v>
      </c>
      <c r="AL429" s="343" t="s">
        <v>498</v>
      </c>
      <c r="AM429" s="343" t="s">
        <v>498</v>
      </c>
      <c r="AN429" s="343">
        <v>1.2225463164554107E-2</v>
      </c>
      <c r="AO429" s="343">
        <v>0.74236133184529385</v>
      </c>
      <c r="AP429" s="343">
        <v>0.56964394755573566</v>
      </c>
      <c r="AQ429" s="343">
        <v>0.90764039523473683</v>
      </c>
      <c r="AR429" s="343">
        <v>2.0805828613445669</v>
      </c>
      <c r="AS429" s="343" t="s">
        <v>498</v>
      </c>
      <c r="AT429" s="343" t="s">
        <v>498</v>
      </c>
      <c r="AU429" s="343" t="s">
        <v>498</v>
      </c>
      <c r="AV429" s="343">
        <v>0.2182093334069159</v>
      </c>
      <c r="AW429" s="343" t="s">
        <v>498</v>
      </c>
      <c r="AX429" s="343" t="s">
        <v>498</v>
      </c>
      <c r="AY429" s="343" t="s">
        <v>498</v>
      </c>
      <c r="AZ429" s="343" t="s">
        <v>498</v>
      </c>
      <c r="BA429" s="343" t="s">
        <v>498</v>
      </c>
      <c r="BB429" s="343" t="s">
        <v>498</v>
      </c>
      <c r="BC429" s="343" t="s">
        <v>498</v>
      </c>
      <c r="BD429" s="343">
        <v>1.5097888410399709</v>
      </c>
      <c r="BE429" s="343">
        <v>0.78832158107218098</v>
      </c>
      <c r="BF429" s="343">
        <v>4.4785096619094612E-2</v>
      </c>
      <c r="BG429" s="343">
        <v>1.1675236698399931E-4</v>
      </c>
      <c r="BH429" s="343">
        <v>1.9332888011935157E-2</v>
      </c>
      <c r="BI429" s="343">
        <v>2.9322409610324871E-2</v>
      </c>
    </row>
    <row r="430" spans="1:61" s="513" customFormat="1" hidden="1">
      <c r="A430" s="508"/>
      <c r="B430" s="510"/>
      <c r="C430" s="2489"/>
      <c r="D430" s="2531"/>
      <c r="E430" s="352" t="s">
        <v>476</v>
      </c>
      <c r="F430" s="63">
        <v>0</v>
      </c>
      <c r="G430" s="515" t="s">
        <v>24</v>
      </c>
      <c r="H430" s="237">
        <v>5.5535505658166899</v>
      </c>
      <c r="I430" s="237">
        <v>5.5535505658166899</v>
      </c>
      <c r="J430" s="237">
        <v>58.344232464000768</v>
      </c>
      <c r="K430" s="237">
        <v>137.89360738385591</v>
      </c>
      <c r="L430" s="237">
        <v>27.546364921716798</v>
      </c>
      <c r="M430" s="237">
        <v>27.546364921716798</v>
      </c>
      <c r="N430" s="237">
        <v>158.24128466287829</v>
      </c>
      <c r="O430" s="237">
        <v>158.24128466287829</v>
      </c>
      <c r="P430" s="237">
        <v>34.801927718197348</v>
      </c>
      <c r="Q430" s="237">
        <v>34.801927718197348</v>
      </c>
      <c r="R430" s="237">
        <v>4.6454116469453783</v>
      </c>
      <c r="S430" s="237">
        <v>5.6948871907779823</v>
      </c>
      <c r="T430" s="237">
        <v>5.6948871907779823</v>
      </c>
      <c r="U430" s="237">
        <v>14.67977786205841</v>
      </c>
      <c r="V430" s="237">
        <v>612.71450080383738</v>
      </c>
      <c r="W430" s="237">
        <v>612.71450080383738</v>
      </c>
      <c r="X430" s="237">
        <v>5.3045958605153256</v>
      </c>
      <c r="Y430" s="237">
        <v>99.569098831452294</v>
      </c>
      <c r="Z430" s="237">
        <v>31.751205372279408</v>
      </c>
      <c r="AA430" s="237">
        <v>106.50301794477248</v>
      </c>
      <c r="AB430" s="237">
        <v>41.778315771385223</v>
      </c>
      <c r="AC430" s="237">
        <v>21.986677135002719</v>
      </c>
      <c r="AD430" s="237">
        <v>10.715355705473812</v>
      </c>
      <c r="AE430" s="237" t="e">
        <v>#VALUE!</v>
      </c>
      <c r="AF430" s="237" t="e">
        <v>#VALUE!</v>
      </c>
      <c r="AG430" s="237">
        <v>72816.88370493683</v>
      </c>
      <c r="AH430" s="237">
        <v>54520.878844700805</v>
      </c>
      <c r="AI430" s="237">
        <v>1204.8357681154205</v>
      </c>
      <c r="AJ430" s="237">
        <v>286.80289947363588</v>
      </c>
      <c r="AK430" s="237">
        <v>154.76303529899556</v>
      </c>
      <c r="AL430" s="237" t="s">
        <v>498</v>
      </c>
      <c r="AM430" s="237" t="s">
        <v>498</v>
      </c>
      <c r="AN430" s="237">
        <v>5.2257821625426609E-2</v>
      </c>
      <c r="AO430" s="237">
        <v>0.86666355328224887</v>
      </c>
      <c r="AP430" s="237">
        <v>1.1125557411167686</v>
      </c>
      <c r="AQ430" s="237">
        <v>0.71778534614006251</v>
      </c>
      <c r="AR430" s="237">
        <v>0.32943263587360794</v>
      </c>
      <c r="AS430" s="237" t="s">
        <v>498</v>
      </c>
      <c r="AT430" s="237" t="s">
        <v>498</v>
      </c>
      <c r="AU430" s="237" t="s">
        <v>498</v>
      </c>
      <c r="AV430" s="237">
        <v>4.9994420775743181E-4</v>
      </c>
      <c r="AW430" s="237" t="s">
        <v>498</v>
      </c>
      <c r="AX430" s="237" t="s">
        <v>498</v>
      </c>
      <c r="AY430" s="237" t="s">
        <v>498</v>
      </c>
      <c r="AZ430" s="237" t="s">
        <v>498</v>
      </c>
      <c r="BA430" s="237" t="s">
        <v>498</v>
      </c>
      <c r="BB430" s="237" t="s">
        <v>498</v>
      </c>
      <c r="BC430" s="237" t="s">
        <v>498</v>
      </c>
      <c r="BD430" s="237">
        <v>0.13518469827709373</v>
      </c>
      <c r="BE430" s="237">
        <v>1.636766148747745E-3</v>
      </c>
      <c r="BF430" s="237">
        <v>9.2985821870858226E-5</v>
      </c>
      <c r="BG430" s="237" t="s">
        <v>595</v>
      </c>
      <c r="BH430" s="237">
        <v>2.4310937506698133E-3</v>
      </c>
      <c r="BI430" s="237">
        <v>2.8223211927800883E-2</v>
      </c>
    </row>
    <row r="431" spans="1:61" s="26" customFormat="1" hidden="1">
      <c r="A431" s="482"/>
      <c r="B431" s="27"/>
      <c r="C431" s="2489" t="s">
        <v>42</v>
      </c>
      <c r="D431" s="2531">
        <v>0.1</v>
      </c>
      <c r="E431" s="625" t="s">
        <v>597</v>
      </c>
      <c r="F431" s="14"/>
      <c r="G431" s="105"/>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row>
    <row r="432" spans="1:61" s="495" customFormat="1" hidden="1">
      <c r="A432" s="398"/>
      <c r="B432" s="492"/>
      <c r="C432" s="2489"/>
      <c r="D432" s="2109"/>
      <c r="E432" s="619" t="s">
        <v>499</v>
      </c>
      <c r="F432" s="493" t="s">
        <v>19</v>
      </c>
      <c r="G432" s="584" t="s">
        <v>20</v>
      </c>
      <c r="H432" s="343">
        <v>17.077351824205223</v>
      </c>
      <c r="I432" s="343">
        <v>17.077351824205223</v>
      </c>
      <c r="J432" s="343">
        <v>33.027127425260311</v>
      </c>
      <c r="K432" s="343">
        <v>0.28938084848484852</v>
      </c>
      <c r="L432" s="343">
        <v>0.31005090909090915</v>
      </c>
      <c r="M432" s="343">
        <v>0.31005090909090915</v>
      </c>
      <c r="N432" s="343">
        <v>0.90431515151515174</v>
      </c>
      <c r="O432" s="343">
        <v>0.90431515151515174</v>
      </c>
      <c r="P432" s="343">
        <v>0.18086303030303036</v>
      </c>
      <c r="Q432" s="343">
        <v>0.18086303030303036</v>
      </c>
      <c r="R432" s="343">
        <v>5.1675151515151521E-2</v>
      </c>
      <c r="S432" s="343">
        <v>7.8636100131752304E-2</v>
      </c>
      <c r="T432" s="343">
        <v>7.8636100131752304E-2</v>
      </c>
      <c r="U432" s="343">
        <v>4.3062626262626261E-2</v>
      </c>
      <c r="V432" s="343">
        <v>5.1675151515151532</v>
      </c>
      <c r="W432" s="343">
        <v>5.1675151515151532</v>
      </c>
      <c r="X432" s="343">
        <v>4.9608145454545463E-2</v>
      </c>
      <c r="Y432" s="343">
        <v>1.3435539393939397</v>
      </c>
      <c r="Z432" s="343">
        <v>0.72345212121212121</v>
      </c>
      <c r="AA432" s="343">
        <v>3.6172606060606061</v>
      </c>
      <c r="AB432" s="343">
        <v>1.2546349967981107</v>
      </c>
      <c r="AC432" s="343">
        <v>3.3837017251415986</v>
      </c>
      <c r="AD432" s="343">
        <v>8.4250858927629491</v>
      </c>
      <c r="AE432" s="343" t="e">
        <v>#VALUE!</v>
      </c>
      <c r="AF432" s="343" t="e">
        <v>#VALUE!</v>
      </c>
      <c r="AG432" s="343">
        <v>95.082278787878806</v>
      </c>
      <c r="AH432" s="343" t="s">
        <v>498</v>
      </c>
      <c r="AI432" s="343">
        <v>5.1675151515151514</v>
      </c>
      <c r="AJ432" s="343">
        <v>5.1675151515151523</v>
      </c>
      <c r="AK432" s="343" t="s">
        <v>498</v>
      </c>
      <c r="AL432" s="343" t="s">
        <v>498</v>
      </c>
      <c r="AM432" s="343" t="s">
        <v>498</v>
      </c>
      <c r="AN432" s="343">
        <v>0.11006470525779531</v>
      </c>
      <c r="AO432" s="343">
        <v>6.5507793505674741</v>
      </c>
      <c r="AP432" s="343">
        <v>5.0495488928098702</v>
      </c>
      <c r="AQ432" s="343" t="s">
        <v>498</v>
      </c>
      <c r="AR432" s="343" t="s">
        <v>498</v>
      </c>
      <c r="AS432" s="343" t="s">
        <v>498</v>
      </c>
      <c r="AT432" s="343" t="s">
        <v>498</v>
      </c>
      <c r="AU432" s="343" t="s">
        <v>498</v>
      </c>
      <c r="AV432" s="343" t="s">
        <v>498</v>
      </c>
      <c r="AW432" s="343" t="s">
        <v>498</v>
      </c>
      <c r="AX432" s="343" t="s">
        <v>498</v>
      </c>
      <c r="AY432" s="343" t="s">
        <v>498</v>
      </c>
      <c r="AZ432" s="343" t="s">
        <v>498</v>
      </c>
      <c r="BA432" s="343" t="s">
        <v>498</v>
      </c>
      <c r="BB432" s="343" t="s">
        <v>498</v>
      </c>
      <c r="BC432" s="343" t="s">
        <v>498</v>
      </c>
      <c r="BD432" s="343">
        <v>12.211275086479537</v>
      </c>
      <c r="BE432" s="343">
        <v>6.3759986969105098</v>
      </c>
      <c r="BF432" s="343">
        <v>0.4024499158103898</v>
      </c>
      <c r="BG432" s="343">
        <v>9.4430110455524438E-4</v>
      </c>
      <c r="BH432" s="343">
        <v>0.1563657163919869</v>
      </c>
      <c r="BI432" s="343">
        <v>0.23716164818350827</v>
      </c>
    </row>
    <row r="433" spans="1:61" s="513" customFormat="1" hidden="1">
      <c r="A433" s="508"/>
      <c r="B433" s="510"/>
      <c r="C433" s="2489"/>
      <c r="D433" s="2109"/>
      <c r="E433" s="352" t="s">
        <v>476</v>
      </c>
      <c r="F433" s="63">
        <v>0</v>
      </c>
      <c r="G433" s="515" t="s">
        <v>24</v>
      </c>
      <c r="H433" s="237">
        <v>44.91749562750033</v>
      </c>
      <c r="I433" s="237">
        <v>44.91749562750033</v>
      </c>
      <c r="J433" s="237">
        <v>471.89213018468809</v>
      </c>
      <c r="K433" s="237">
        <v>1115.2928983574939</v>
      </c>
      <c r="L433" s="237">
        <v>222.79687764809017</v>
      </c>
      <c r="M433" s="237">
        <v>222.79687764809017</v>
      </c>
      <c r="N433" s="237">
        <v>1279.86629953186</v>
      </c>
      <c r="O433" s="237">
        <v>1279.86629953186</v>
      </c>
      <c r="P433" s="237">
        <v>281.48036424348828</v>
      </c>
      <c r="Q433" s="237">
        <v>281.48036424348828</v>
      </c>
      <c r="R433" s="237">
        <v>37.572406133106512</v>
      </c>
      <c r="S433" s="237">
        <v>46.06063588677533</v>
      </c>
      <c r="T433" s="237">
        <v>46.06063588677533</v>
      </c>
      <c r="U433" s="237">
        <v>118.73104424227358</v>
      </c>
      <c r="V433" s="237">
        <v>4955.6766584901279</v>
      </c>
      <c r="W433" s="237">
        <v>4955.6766584901279</v>
      </c>
      <c r="X433" s="237">
        <v>42.903932996838435</v>
      </c>
      <c r="Y433" s="237">
        <v>805.32166015097914</v>
      </c>
      <c r="Z433" s="237">
        <v>256.80591390590763</v>
      </c>
      <c r="AA433" s="237">
        <v>861.40367070672505</v>
      </c>
      <c r="AB433" s="237">
        <v>337.90586648049367</v>
      </c>
      <c r="AC433" s="237">
        <v>177.82974375952483</v>
      </c>
      <c r="AD433" s="237">
        <v>86.666527538306624</v>
      </c>
      <c r="AE433" s="237" t="e">
        <v>#VALUE!</v>
      </c>
      <c r="AF433" s="237" t="e">
        <v>#VALUE!</v>
      </c>
      <c r="AG433" s="237">
        <v>588947.92019305448</v>
      </c>
      <c r="AH433" s="237" t="s">
        <v>498</v>
      </c>
      <c r="AI433" s="237">
        <v>9744.7938404108027</v>
      </c>
      <c r="AJ433" s="237">
        <v>2319.6814056859121</v>
      </c>
      <c r="AK433" s="237" t="s">
        <v>498</v>
      </c>
      <c r="AL433" s="237" t="s">
        <v>498</v>
      </c>
      <c r="AM433" s="237" t="s">
        <v>498</v>
      </c>
      <c r="AN433" s="237">
        <v>0.47047229681189762</v>
      </c>
      <c r="AO433" s="237">
        <v>7.6476527873813458</v>
      </c>
      <c r="AP433" s="237">
        <v>9.8621334165861043</v>
      </c>
      <c r="AQ433" s="237" t="s">
        <v>498</v>
      </c>
      <c r="AR433" s="237" t="s">
        <v>498</v>
      </c>
      <c r="AS433" s="237" t="s">
        <v>498</v>
      </c>
      <c r="AT433" s="237" t="s">
        <v>498</v>
      </c>
      <c r="AU433" s="237" t="s">
        <v>498</v>
      </c>
      <c r="AV433" s="237" t="s">
        <v>498</v>
      </c>
      <c r="AW433" s="237" t="s">
        <v>498</v>
      </c>
      <c r="AX433" s="237" t="s">
        <v>498</v>
      </c>
      <c r="AY433" s="237" t="s">
        <v>498</v>
      </c>
      <c r="AZ433" s="237" t="s">
        <v>498</v>
      </c>
      <c r="BA433" s="237" t="s">
        <v>498</v>
      </c>
      <c r="BB433" s="237" t="s">
        <v>498</v>
      </c>
      <c r="BC433" s="237" t="s">
        <v>498</v>
      </c>
      <c r="BD433" s="237">
        <v>1.0933830568036531</v>
      </c>
      <c r="BE433" s="237">
        <v>1.3238276208763722E-2</v>
      </c>
      <c r="BF433" s="237">
        <v>8.3559351231881599E-4</v>
      </c>
      <c r="BG433" s="237" t="s">
        <v>595</v>
      </c>
      <c r="BH433" s="237">
        <v>1.9662852011809541E-2</v>
      </c>
      <c r="BI433" s="237">
        <v>0.22827126238195775</v>
      </c>
    </row>
    <row r="434" spans="1:61" s="26" customFormat="1" hidden="1">
      <c r="A434" s="482"/>
      <c r="B434" s="27"/>
      <c r="C434" s="2489"/>
      <c r="D434" s="2109"/>
      <c r="E434" s="596" t="s">
        <v>598</v>
      </c>
      <c r="F434" s="597"/>
      <c r="G434" s="105"/>
      <c r="H434" s="113"/>
      <c r="I434" s="113"/>
      <c r="J434" s="113"/>
      <c r="K434" s="113"/>
      <c r="L434" s="113"/>
      <c r="M434" s="113"/>
      <c r="N434" s="113"/>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row>
    <row r="435" spans="1:61" s="495" customFormat="1" hidden="1">
      <c r="A435" s="398"/>
      <c r="B435" s="492"/>
      <c r="C435" s="2489"/>
      <c r="D435" s="2109"/>
      <c r="E435" s="619" t="s">
        <v>499</v>
      </c>
      <c r="F435" s="493" t="s">
        <v>19</v>
      </c>
      <c r="G435" s="584" t="s">
        <v>20</v>
      </c>
      <c r="H435" s="343">
        <v>47.816585107774628</v>
      </c>
      <c r="I435" s="343">
        <v>47.816585107774628</v>
      </c>
      <c r="J435" s="343">
        <v>92.475956790728887</v>
      </c>
      <c r="K435" s="343">
        <v>0.81026637575757587</v>
      </c>
      <c r="L435" s="343">
        <v>0.86814254545454572</v>
      </c>
      <c r="M435" s="343">
        <v>0.86814254545454572</v>
      </c>
      <c r="N435" s="343">
        <v>2.5320824242424247</v>
      </c>
      <c r="O435" s="343">
        <v>2.5320824242424247</v>
      </c>
      <c r="P435" s="343">
        <v>0.506416484848485</v>
      </c>
      <c r="Q435" s="343">
        <v>0.506416484848485</v>
      </c>
      <c r="R435" s="343">
        <v>0.14469042424242429</v>
      </c>
      <c r="S435" s="343">
        <v>0.22018108036890649</v>
      </c>
      <c r="T435" s="343">
        <v>0.22018108036890649</v>
      </c>
      <c r="U435" s="343">
        <v>0.12057535353535355</v>
      </c>
      <c r="V435" s="343">
        <v>14.469042424242428</v>
      </c>
      <c r="W435" s="343">
        <v>14.469042424242428</v>
      </c>
      <c r="X435" s="343">
        <v>0.1389028072727273</v>
      </c>
      <c r="Y435" s="343">
        <v>3.7619510303030319</v>
      </c>
      <c r="Z435" s="343">
        <v>2.0256659393939396</v>
      </c>
      <c r="AA435" s="343">
        <v>10.128329696969697</v>
      </c>
      <c r="AB435" s="343">
        <v>3.5129779910347096</v>
      </c>
      <c r="AC435" s="343">
        <v>9.4743648303964783</v>
      </c>
      <c r="AD435" s="343">
        <v>23.590240499736264</v>
      </c>
      <c r="AE435" s="343" t="e">
        <v>#VALUE!</v>
      </c>
      <c r="AF435" s="343" t="e">
        <v>#VALUE!</v>
      </c>
      <c r="AG435" s="343" t="s">
        <v>498</v>
      </c>
      <c r="AH435" s="343" t="s">
        <v>498</v>
      </c>
      <c r="AI435" s="343">
        <v>14.469042424242426</v>
      </c>
      <c r="AJ435" s="343" t="s">
        <v>498</v>
      </c>
      <c r="AK435" s="343" t="s">
        <v>498</v>
      </c>
      <c r="AL435" s="343" t="s">
        <v>498</v>
      </c>
      <c r="AM435" s="343" t="s">
        <v>498</v>
      </c>
      <c r="AN435" s="343">
        <v>0.30818117472182688</v>
      </c>
      <c r="AO435" s="343">
        <v>18.342182181588921</v>
      </c>
      <c r="AP435" s="343" t="s">
        <v>498</v>
      </c>
      <c r="AQ435" s="343" t="s">
        <v>498</v>
      </c>
      <c r="AR435" s="343" t="s">
        <v>498</v>
      </c>
      <c r="AS435" s="343" t="s">
        <v>498</v>
      </c>
      <c r="AT435" s="343" t="s">
        <v>498</v>
      </c>
      <c r="AU435" s="343" t="s">
        <v>498</v>
      </c>
      <c r="AV435" s="343" t="s">
        <v>498</v>
      </c>
      <c r="AW435" s="343" t="s">
        <v>498</v>
      </c>
      <c r="AX435" s="343" t="s">
        <v>498</v>
      </c>
      <c r="AY435" s="343" t="s">
        <v>498</v>
      </c>
      <c r="AZ435" s="343" t="s">
        <v>498</v>
      </c>
      <c r="BA435" s="343" t="s">
        <v>498</v>
      </c>
      <c r="BB435" s="343" t="s">
        <v>498</v>
      </c>
      <c r="BC435" s="343" t="s">
        <v>498</v>
      </c>
      <c r="BD435" s="343">
        <v>34.19157024214271</v>
      </c>
      <c r="BE435" s="343">
        <v>17.852796351349429</v>
      </c>
      <c r="BF435" s="343">
        <v>1.1268597642690916</v>
      </c>
      <c r="BG435" s="343">
        <v>2.6440430927546841E-3</v>
      </c>
      <c r="BH435" s="343">
        <v>0.43782400589756337</v>
      </c>
      <c r="BI435" s="343">
        <v>0.66405261491382317</v>
      </c>
    </row>
    <row r="436" spans="1:61" s="26" customFormat="1" ht="13.5" hidden="1" thickBot="1">
      <c r="A436" s="482"/>
      <c r="B436" s="27"/>
      <c r="C436" s="2489"/>
      <c r="D436" s="2109"/>
      <c r="E436" s="258" t="s">
        <v>476</v>
      </c>
      <c r="F436" s="66">
        <v>0</v>
      </c>
      <c r="G436" s="620" t="s">
        <v>24</v>
      </c>
      <c r="H436" s="164">
        <v>125.76898775700093</v>
      </c>
      <c r="I436" s="164">
        <v>125.76898775700093</v>
      </c>
      <c r="J436" s="164">
        <v>1321.2979645171267</v>
      </c>
      <c r="K436" s="164">
        <v>3122.820115400983</v>
      </c>
      <c r="L436" s="164">
        <v>623.83125741465255</v>
      </c>
      <c r="M436" s="164">
        <v>623.83125741465255</v>
      </c>
      <c r="N436" s="164">
        <v>3583.6256386892078</v>
      </c>
      <c r="O436" s="164">
        <v>3583.6256386892078</v>
      </c>
      <c r="P436" s="164">
        <v>788.14501988176721</v>
      </c>
      <c r="Q436" s="164">
        <v>788.14501988176721</v>
      </c>
      <c r="R436" s="164">
        <v>105.20273717269826</v>
      </c>
      <c r="S436" s="164">
        <v>128.96978048297095</v>
      </c>
      <c r="T436" s="164">
        <v>128.96978048297095</v>
      </c>
      <c r="U436" s="164">
        <v>332.44692387836608</v>
      </c>
      <c r="V436" s="164">
        <v>13875.894643772357</v>
      </c>
      <c r="W436" s="164">
        <v>13875.894643772357</v>
      </c>
      <c r="X436" s="164">
        <v>120.13101239114764</v>
      </c>
      <c r="Y436" s="164">
        <v>2254.9006484227425</v>
      </c>
      <c r="Z436" s="164">
        <v>719.05655893654125</v>
      </c>
      <c r="AA436" s="164">
        <v>2411.93027797883</v>
      </c>
      <c r="AB436" s="164">
        <v>946.13642614538207</v>
      </c>
      <c r="AC436" s="164">
        <v>497.9232825266696</v>
      </c>
      <c r="AD436" s="164">
        <v>242.66627710725865</v>
      </c>
      <c r="AE436" s="164" t="e">
        <v>#VALUE!</v>
      </c>
      <c r="AF436" s="164" t="e">
        <v>#VALUE!</v>
      </c>
      <c r="AG436" s="164" t="s">
        <v>498</v>
      </c>
      <c r="AH436" s="164" t="s">
        <v>498</v>
      </c>
      <c r="AI436" s="164">
        <v>27285.422753150247</v>
      </c>
      <c r="AJ436" s="164" t="s">
        <v>498</v>
      </c>
      <c r="AK436" s="164" t="s">
        <v>498</v>
      </c>
      <c r="AL436" s="164" t="s">
        <v>498</v>
      </c>
      <c r="AM436" s="164" t="s">
        <v>498</v>
      </c>
      <c r="AN436" s="164">
        <v>1.3173224310733134</v>
      </c>
      <c r="AO436" s="164">
        <v>21.413427804667759</v>
      </c>
      <c r="AP436" s="164" t="s">
        <v>498</v>
      </c>
      <c r="AQ436" s="164" t="s">
        <v>498</v>
      </c>
      <c r="AR436" s="164" t="s">
        <v>498</v>
      </c>
      <c r="AS436" s="164" t="s">
        <v>498</v>
      </c>
      <c r="AT436" s="164" t="s">
        <v>498</v>
      </c>
      <c r="AU436" s="164" t="s">
        <v>498</v>
      </c>
      <c r="AV436" s="164" t="s">
        <v>498</v>
      </c>
      <c r="AW436" s="164" t="s">
        <v>498</v>
      </c>
      <c r="AX436" s="164" t="s">
        <v>498</v>
      </c>
      <c r="AY436" s="164" t="s">
        <v>498</v>
      </c>
      <c r="AZ436" s="164" t="s">
        <v>498</v>
      </c>
      <c r="BA436" s="164" t="s">
        <v>498</v>
      </c>
      <c r="BB436" s="164" t="s">
        <v>498</v>
      </c>
      <c r="BC436" s="164" t="s">
        <v>498</v>
      </c>
      <c r="BD436" s="164">
        <v>3.061472559050229</v>
      </c>
      <c r="BE436" s="164">
        <v>3.7067173384538424E-2</v>
      </c>
      <c r="BF436" s="164">
        <v>2.3396618344926848E-3</v>
      </c>
      <c r="BG436" s="164" t="s">
        <v>595</v>
      </c>
      <c r="BH436" s="164">
        <v>5.5055985633066712E-2</v>
      </c>
      <c r="BI436" s="164">
        <v>0.63915953466948172</v>
      </c>
    </row>
    <row r="437" spans="1:61" s="26" customFormat="1" hidden="1">
      <c r="A437" s="482"/>
      <c r="B437" s="27"/>
      <c r="C437" s="2489"/>
      <c r="D437" s="2109"/>
      <c r="E437" s="598" t="s">
        <v>599</v>
      </c>
      <c r="F437" s="599"/>
      <c r="G437" s="105"/>
      <c r="H437" s="113"/>
      <c r="I437" s="113"/>
      <c r="J437" s="113"/>
      <c r="K437" s="113"/>
      <c r="L437" s="113"/>
      <c r="M437" s="113"/>
      <c r="N437" s="113"/>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c r="BF437" s="113"/>
      <c r="BG437" s="113"/>
      <c r="BH437" s="113"/>
      <c r="BI437" s="113"/>
    </row>
    <row r="438" spans="1:61" s="26" customFormat="1" hidden="1">
      <c r="A438" s="482"/>
      <c r="B438" s="27"/>
      <c r="C438" s="2489"/>
      <c r="D438" s="2109"/>
      <c r="E438" s="103" t="s">
        <v>989</v>
      </c>
      <c r="F438" s="14" t="s">
        <v>19</v>
      </c>
      <c r="G438" s="105" t="s">
        <v>20</v>
      </c>
      <c r="H438" s="113">
        <v>2191.0042258112398</v>
      </c>
      <c r="I438" s="113">
        <v>2191.0042258112398</v>
      </c>
      <c r="J438" s="113">
        <v>2748.1893273665305</v>
      </c>
      <c r="K438" s="113">
        <v>8.3722240000000028</v>
      </c>
      <c r="L438" s="113">
        <v>11.45668921494269</v>
      </c>
      <c r="M438" s="113">
        <v>11.45668921494269</v>
      </c>
      <c r="N438" s="113">
        <v>29.900800000000004</v>
      </c>
      <c r="O438" s="113">
        <v>29.900800000000004</v>
      </c>
      <c r="P438" s="113">
        <v>5.2326400000000008</v>
      </c>
      <c r="Q438" s="113">
        <v>5.2326400000000008</v>
      </c>
      <c r="R438" s="113">
        <v>2.4907697736790411</v>
      </c>
      <c r="S438" s="113">
        <v>11.147744279592089</v>
      </c>
      <c r="T438" s="113">
        <v>11.147744279592089</v>
      </c>
      <c r="U438" s="113">
        <v>5.681152</v>
      </c>
      <c r="V438" s="113">
        <v>274.51616191583679</v>
      </c>
      <c r="W438" s="113">
        <v>274.51616191583679</v>
      </c>
      <c r="X438" s="113">
        <v>1.5663037092258811</v>
      </c>
      <c r="Y438" s="113">
        <v>54.799322524727273</v>
      </c>
      <c r="Z438" s="113">
        <v>78.274575708136624</v>
      </c>
      <c r="AA438" s="113">
        <v>104.65279999999998</v>
      </c>
      <c r="AB438" s="113">
        <v>107.49443012002149</v>
      </c>
      <c r="AC438" s="113">
        <v>329.64104048117611</v>
      </c>
      <c r="AD438" s="113">
        <v>1364.9118543979573</v>
      </c>
      <c r="AE438" s="113" t="e">
        <v>#VALUE!</v>
      </c>
      <c r="AF438" s="113" t="e">
        <v>#VALUE!</v>
      </c>
      <c r="AG438" s="113">
        <v>2750.8735999999999</v>
      </c>
      <c r="AH438" s="113">
        <v>2750.8736000000004</v>
      </c>
      <c r="AI438" s="113">
        <v>186.82377971933545</v>
      </c>
      <c r="AJ438" s="113">
        <v>470.60358553181504</v>
      </c>
      <c r="AK438" s="113">
        <v>1395.3655453243891</v>
      </c>
      <c r="AL438" s="113">
        <v>1000000</v>
      </c>
      <c r="AM438" s="113">
        <v>1000000</v>
      </c>
      <c r="AN438" s="113">
        <v>51.492626484514297</v>
      </c>
      <c r="AO438" s="113">
        <v>1000000</v>
      </c>
      <c r="AP438" s="113">
        <v>1000000</v>
      </c>
      <c r="AQ438" s="113">
        <v>1000000</v>
      </c>
      <c r="AR438" s="113">
        <v>1000000</v>
      </c>
      <c r="AS438" s="113">
        <v>1000000</v>
      </c>
      <c r="AT438" s="113">
        <v>1000000</v>
      </c>
      <c r="AU438" s="113">
        <v>1000000</v>
      </c>
      <c r="AV438" s="113">
        <v>1000000</v>
      </c>
      <c r="AW438" s="113">
        <v>1000000</v>
      </c>
      <c r="AX438" s="113">
        <v>1000000</v>
      </c>
      <c r="AY438" s="113">
        <v>1000000</v>
      </c>
      <c r="AZ438" s="113">
        <v>1000000</v>
      </c>
      <c r="BA438" s="113">
        <v>1000000</v>
      </c>
      <c r="BB438" s="113">
        <v>1000000</v>
      </c>
      <c r="BC438" s="113">
        <v>1000000</v>
      </c>
      <c r="BD438" s="113">
        <v>863.45157966215129</v>
      </c>
      <c r="BE438" s="113">
        <v>22056.589925835764</v>
      </c>
      <c r="BF438" s="113">
        <v>44113.179851671528</v>
      </c>
      <c r="BG438" s="113">
        <v>0.11257104284942092</v>
      </c>
      <c r="BH438" s="113">
        <v>18.974818145732929</v>
      </c>
      <c r="BI438" s="113">
        <v>8.6175994834419818</v>
      </c>
    </row>
    <row r="439" spans="1:61" s="26" customFormat="1" hidden="1">
      <c r="A439" s="482"/>
      <c r="B439" s="27"/>
      <c r="C439" s="2489"/>
      <c r="D439" s="2109"/>
      <c r="E439" s="103" t="s">
        <v>992</v>
      </c>
      <c r="F439" s="14" t="s">
        <v>19</v>
      </c>
      <c r="G439" s="105" t="s">
        <v>20</v>
      </c>
      <c r="H439" s="113" t="s">
        <v>498</v>
      </c>
      <c r="I439" s="113" t="s">
        <v>498</v>
      </c>
      <c r="J439" s="113" t="s">
        <v>498</v>
      </c>
      <c r="K439" s="113">
        <v>52.3264</v>
      </c>
      <c r="L439" s="113" t="s">
        <v>498</v>
      </c>
      <c r="M439" s="113" t="s">
        <v>498</v>
      </c>
      <c r="N439" s="113">
        <v>26.163199999999993</v>
      </c>
      <c r="O439" s="113">
        <v>26.163199999999993</v>
      </c>
      <c r="P439" s="113">
        <v>8.8688813559322011</v>
      </c>
      <c r="Q439" s="113">
        <v>8.8688813559322011</v>
      </c>
      <c r="R439" s="113">
        <v>52.3264</v>
      </c>
      <c r="S439" s="113">
        <v>2.2750608695652175</v>
      </c>
      <c r="T439" s="113">
        <v>2.2750608695652175</v>
      </c>
      <c r="U439" s="113">
        <v>1.2458666666666662</v>
      </c>
      <c r="V439" s="113" t="s">
        <v>498</v>
      </c>
      <c r="W439" s="113" t="s">
        <v>498</v>
      </c>
      <c r="X439" s="113">
        <v>8.7210666666666654</v>
      </c>
      <c r="Y439" s="113" t="s">
        <v>498</v>
      </c>
      <c r="Z439" s="113">
        <v>20.93056</v>
      </c>
      <c r="AA439" s="113" t="s">
        <v>498</v>
      </c>
      <c r="AB439" s="113" t="s">
        <v>498</v>
      </c>
      <c r="AC439" s="113" t="s">
        <v>498</v>
      </c>
      <c r="AD439" s="113" t="s">
        <v>498</v>
      </c>
      <c r="AE439" s="113" t="s">
        <v>498</v>
      </c>
      <c r="AF439" s="113" t="s">
        <v>498</v>
      </c>
      <c r="AG439" s="113" t="s">
        <v>498</v>
      </c>
      <c r="AH439" s="113" t="s">
        <v>498</v>
      </c>
      <c r="AI439" s="113" t="s">
        <v>498</v>
      </c>
      <c r="AJ439" s="113" t="s">
        <v>498</v>
      </c>
      <c r="AK439" s="113" t="s">
        <v>498</v>
      </c>
      <c r="AL439" s="113" t="s">
        <v>498</v>
      </c>
      <c r="AM439" s="113" t="s">
        <v>498</v>
      </c>
      <c r="AN439" s="113">
        <v>9.1604669046782199</v>
      </c>
      <c r="AO439" s="113">
        <v>769.73793241904821</v>
      </c>
      <c r="AP439" s="113">
        <v>535.13368276392089</v>
      </c>
      <c r="AQ439" s="113">
        <v>1078.9120575431421</v>
      </c>
      <c r="AR439" s="113">
        <v>4258.1628635722282</v>
      </c>
      <c r="AS439" s="113">
        <v>969.60594800601586</v>
      </c>
      <c r="AT439" s="113">
        <v>42693.777814207438</v>
      </c>
      <c r="AU439" s="113">
        <v>43804.451613587378</v>
      </c>
      <c r="AV439" s="113">
        <v>2876.6943239505963</v>
      </c>
      <c r="AW439" s="113">
        <v>232328.76088926633</v>
      </c>
      <c r="AX439" s="113">
        <v>108058.99206876886</v>
      </c>
      <c r="AY439" s="113">
        <v>202596.54017547672</v>
      </c>
      <c r="AZ439" s="113">
        <v>55943.83380231879</v>
      </c>
      <c r="BA439" s="113">
        <v>38151.034092031761</v>
      </c>
      <c r="BB439" s="113">
        <v>410439.46274852112</v>
      </c>
      <c r="BC439" s="113">
        <v>161316.91448327704</v>
      </c>
      <c r="BD439" s="113" t="s">
        <v>498</v>
      </c>
      <c r="BE439" s="113" t="s">
        <v>498</v>
      </c>
      <c r="BF439" s="113">
        <v>730.04188708141419</v>
      </c>
      <c r="BG439" s="113" t="s">
        <v>498</v>
      </c>
      <c r="BH439" s="113" t="s">
        <v>498</v>
      </c>
      <c r="BI439" s="113" t="s">
        <v>498</v>
      </c>
    </row>
    <row r="440" spans="1:61" s="26" customFormat="1" hidden="1">
      <c r="A440" s="482"/>
      <c r="B440" s="27"/>
      <c r="C440" s="2489"/>
      <c r="D440" s="2109"/>
      <c r="E440" s="103" t="s">
        <v>493</v>
      </c>
      <c r="F440" s="14" t="s">
        <v>19</v>
      </c>
      <c r="G440" s="105" t="s">
        <v>20</v>
      </c>
      <c r="H440" s="113">
        <v>2191.0042258112398</v>
      </c>
      <c r="I440" s="113">
        <v>2191.0042258112398</v>
      </c>
      <c r="J440" s="113">
        <v>2748.1893273665305</v>
      </c>
      <c r="K440" s="113">
        <v>8.3722240000000028</v>
      </c>
      <c r="L440" s="113">
        <v>11.45668921494269</v>
      </c>
      <c r="M440" s="113">
        <v>11.45668921494269</v>
      </c>
      <c r="N440" s="113">
        <v>26.163199999999993</v>
      </c>
      <c r="O440" s="113">
        <v>26.163199999999993</v>
      </c>
      <c r="P440" s="113">
        <v>5.2326400000000008</v>
      </c>
      <c r="Q440" s="113">
        <v>5.2326400000000008</v>
      </c>
      <c r="R440" s="113">
        <v>2.4907697736790411</v>
      </c>
      <c r="S440" s="113">
        <v>2.2750608695652175</v>
      </c>
      <c r="T440" s="113">
        <v>2.2750608695652175</v>
      </c>
      <c r="U440" s="113">
        <v>1.2458666666666662</v>
      </c>
      <c r="V440" s="113">
        <v>274.51616191583679</v>
      </c>
      <c r="W440" s="113">
        <v>274.51616191583679</v>
      </c>
      <c r="X440" s="113">
        <v>1.5663037092258811</v>
      </c>
      <c r="Y440" s="113">
        <v>54.799322524727273</v>
      </c>
      <c r="Z440" s="113">
        <v>20.93056</v>
      </c>
      <c r="AA440" s="113">
        <v>104.65279999999998</v>
      </c>
      <c r="AB440" s="113">
        <v>107.49443012002149</v>
      </c>
      <c r="AC440" s="113">
        <v>329.64104048117611</v>
      </c>
      <c r="AD440" s="113">
        <v>1364.9118543979573</v>
      </c>
      <c r="AE440" s="113" t="e">
        <v>#VALUE!</v>
      </c>
      <c r="AF440" s="113" t="e">
        <v>#VALUE!</v>
      </c>
      <c r="AG440" s="113">
        <v>2750.8735999999999</v>
      </c>
      <c r="AH440" s="113">
        <v>2750.8736000000004</v>
      </c>
      <c r="AI440" s="113">
        <v>186.82377971933545</v>
      </c>
      <c r="AJ440" s="113">
        <v>470.60358553181504</v>
      </c>
      <c r="AK440" s="113">
        <v>1395.3655453243891</v>
      </c>
      <c r="AL440" s="113">
        <v>1000000</v>
      </c>
      <c r="AM440" s="113">
        <v>1000000</v>
      </c>
      <c r="AN440" s="113">
        <v>9.1604669046782199</v>
      </c>
      <c r="AO440" s="113">
        <v>769.73793241904821</v>
      </c>
      <c r="AP440" s="113">
        <v>535.13368276392089</v>
      </c>
      <c r="AQ440" s="113">
        <v>1078.9120575431421</v>
      </c>
      <c r="AR440" s="113">
        <v>4258.1628635722282</v>
      </c>
      <c r="AS440" s="113">
        <v>969.60594800601586</v>
      </c>
      <c r="AT440" s="113">
        <v>42693.777814207438</v>
      </c>
      <c r="AU440" s="113">
        <v>43804.451613587378</v>
      </c>
      <c r="AV440" s="113">
        <v>2876.6943239505963</v>
      </c>
      <c r="AW440" s="113">
        <v>232328.76088926633</v>
      </c>
      <c r="AX440" s="113">
        <v>108058.99206876886</v>
      </c>
      <c r="AY440" s="113">
        <v>202596.54017547672</v>
      </c>
      <c r="AZ440" s="113">
        <v>55943.83380231879</v>
      </c>
      <c r="BA440" s="113">
        <v>38151.034092031761</v>
      </c>
      <c r="BB440" s="113">
        <v>410439.46274852112</v>
      </c>
      <c r="BC440" s="113">
        <v>161316.91448327704</v>
      </c>
      <c r="BD440" s="113">
        <v>863.45157966215129</v>
      </c>
      <c r="BE440" s="113">
        <v>22056.589925835764</v>
      </c>
      <c r="BF440" s="113">
        <v>730.04188708141419</v>
      </c>
      <c r="BG440" s="113">
        <v>0.11257104284942092</v>
      </c>
      <c r="BH440" s="113">
        <v>18.974818145732929</v>
      </c>
      <c r="BI440" s="113">
        <v>8.6175994834419818</v>
      </c>
    </row>
    <row r="441" spans="1:61" s="495" customFormat="1" hidden="1">
      <c r="A441" s="398"/>
      <c r="B441" s="492"/>
      <c r="C441" s="2489"/>
      <c r="D441" s="2109"/>
      <c r="E441" s="619" t="s">
        <v>499</v>
      </c>
      <c r="F441" s="493" t="s">
        <v>19</v>
      </c>
      <c r="G441" s="584" t="s">
        <v>20</v>
      </c>
      <c r="H441" s="343">
        <v>2191.0042258112398</v>
      </c>
      <c r="I441" s="343">
        <v>2191.0042258112398</v>
      </c>
      <c r="J441" s="343">
        <v>2748.1893273665305</v>
      </c>
      <c r="K441" s="343">
        <v>8.3722240000000028</v>
      </c>
      <c r="L441" s="343">
        <v>11.45668921494269</v>
      </c>
      <c r="M441" s="343">
        <v>11.45668921494269</v>
      </c>
      <c r="N441" s="343">
        <v>26.163199999999993</v>
      </c>
      <c r="O441" s="343">
        <v>26.163199999999993</v>
      </c>
      <c r="P441" s="343">
        <v>5.2326400000000008</v>
      </c>
      <c r="Q441" s="343">
        <v>5.2326400000000008</v>
      </c>
      <c r="R441" s="343">
        <v>2.4907697736790411</v>
      </c>
      <c r="S441" s="343">
        <v>2.2750608695652175</v>
      </c>
      <c r="T441" s="343">
        <v>2.2750608695652175</v>
      </c>
      <c r="U441" s="343">
        <v>1.2458666666666662</v>
      </c>
      <c r="V441" s="343" t="s">
        <v>498</v>
      </c>
      <c r="W441" s="343" t="s">
        <v>498</v>
      </c>
      <c r="X441" s="343">
        <v>1.5663037092258811</v>
      </c>
      <c r="Y441" s="343">
        <v>54.799322524727273</v>
      </c>
      <c r="Z441" s="343">
        <v>20.93056</v>
      </c>
      <c r="AA441" s="343">
        <v>104.65279999999998</v>
      </c>
      <c r="AB441" s="343">
        <v>107.49443012002149</v>
      </c>
      <c r="AC441" s="343" t="s">
        <v>498</v>
      </c>
      <c r="AD441" s="343" t="s">
        <v>498</v>
      </c>
      <c r="AE441" s="343" t="e">
        <v>#VALUE!</v>
      </c>
      <c r="AF441" s="343" t="e">
        <v>#VALUE!</v>
      </c>
      <c r="AG441" s="343" t="s">
        <v>498</v>
      </c>
      <c r="AH441" s="343" t="s">
        <v>498</v>
      </c>
      <c r="AI441" s="343" t="s">
        <v>498</v>
      </c>
      <c r="AJ441" s="343" t="s">
        <v>498</v>
      </c>
      <c r="AK441" s="343" t="s">
        <v>498</v>
      </c>
      <c r="AL441" s="343" t="s">
        <v>498</v>
      </c>
      <c r="AM441" s="343" t="s">
        <v>498</v>
      </c>
      <c r="AN441" s="343">
        <v>9.1604669046782199</v>
      </c>
      <c r="AO441" s="343" t="s">
        <v>498</v>
      </c>
      <c r="AP441" s="343" t="s">
        <v>498</v>
      </c>
      <c r="AQ441" s="343" t="s">
        <v>498</v>
      </c>
      <c r="AR441" s="343" t="s">
        <v>498</v>
      </c>
      <c r="AS441" s="343" t="s">
        <v>498</v>
      </c>
      <c r="AT441" s="343" t="s">
        <v>498</v>
      </c>
      <c r="AU441" s="343" t="s">
        <v>498</v>
      </c>
      <c r="AV441" s="343" t="s">
        <v>498</v>
      </c>
      <c r="AW441" s="343" t="s">
        <v>498</v>
      </c>
      <c r="AX441" s="343" t="s">
        <v>498</v>
      </c>
      <c r="AY441" s="343" t="s">
        <v>498</v>
      </c>
      <c r="AZ441" s="343" t="s">
        <v>498</v>
      </c>
      <c r="BA441" s="343" t="s">
        <v>498</v>
      </c>
      <c r="BB441" s="343" t="s">
        <v>498</v>
      </c>
      <c r="BC441" s="343" t="s">
        <v>498</v>
      </c>
      <c r="BD441" s="343">
        <v>863.45157966215129</v>
      </c>
      <c r="BE441" s="343" t="s">
        <v>498</v>
      </c>
      <c r="BF441" s="343" t="s">
        <v>498</v>
      </c>
      <c r="BG441" s="343">
        <v>0.11257104284942092</v>
      </c>
      <c r="BH441" s="343">
        <v>18.974818145732929</v>
      </c>
      <c r="BI441" s="343">
        <v>8.6175994834419818</v>
      </c>
    </row>
    <row r="442" spans="1:61" s="26" customFormat="1" hidden="1">
      <c r="A442" s="482"/>
      <c r="B442" s="27"/>
      <c r="C442" s="2489"/>
      <c r="D442" s="2109"/>
      <c r="E442" s="103" t="s">
        <v>476</v>
      </c>
      <c r="F442" s="14">
        <v>0</v>
      </c>
      <c r="G442" s="105" t="s">
        <v>24</v>
      </c>
      <c r="H442" s="113">
        <v>5762.86204944374</v>
      </c>
      <c r="I442" s="113">
        <v>5762.86204944374</v>
      </c>
      <c r="J442" s="113">
        <v>39266.173504691214</v>
      </c>
      <c r="K442" s="113">
        <v>32267.104127822295</v>
      </c>
      <c r="L442" s="113">
        <v>8232.5660413573096</v>
      </c>
      <c r="M442" s="113">
        <v>8232.5660413573096</v>
      </c>
      <c r="N442" s="113">
        <v>37028.460611113514</v>
      </c>
      <c r="O442" s="113">
        <v>37028.460611113514</v>
      </c>
      <c r="P442" s="113">
        <v>8143.6510860581811</v>
      </c>
      <c r="Q442" s="113">
        <v>8143.6510860581811</v>
      </c>
      <c r="R442" s="113">
        <v>1811.0099492073127</v>
      </c>
      <c r="S442" s="113">
        <v>1332.6036026420479</v>
      </c>
      <c r="T442" s="113">
        <v>1332.6036026420479</v>
      </c>
      <c r="U442" s="113">
        <v>3435.0680197216675</v>
      </c>
      <c r="V442" s="113" t="s">
        <v>498</v>
      </c>
      <c r="W442" s="113" t="s">
        <v>498</v>
      </c>
      <c r="X442" s="113">
        <v>1354.6281316825423</v>
      </c>
      <c r="Y442" s="113">
        <v>32846.527479700067</v>
      </c>
      <c r="Z442" s="113">
        <v>7429.7820571133807</v>
      </c>
      <c r="AA442" s="113">
        <v>24921.706199076754</v>
      </c>
      <c r="AB442" s="113">
        <v>28951.048427814298</v>
      </c>
      <c r="AC442" s="113" t="s">
        <v>498</v>
      </c>
      <c r="AD442" s="113" t="s">
        <v>498</v>
      </c>
      <c r="AE442" s="113" t="e">
        <v>#VALUE!</v>
      </c>
      <c r="AF442" s="113" t="e">
        <v>#VALUE!</v>
      </c>
      <c r="AG442" s="113" t="s">
        <v>498</v>
      </c>
      <c r="AH442" s="113" t="s">
        <v>498</v>
      </c>
      <c r="AI442" s="113" t="s">
        <v>498</v>
      </c>
      <c r="AJ442" s="113" t="s">
        <v>498</v>
      </c>
      <c r="AK442" s="113" t="s">
        <v>498</v>
      </c>
      <c r="AL442" s="113" t="s">
        <v>498</v>
      </c>
      <c r="AM442" s="113" t="s">
        <v>498</v>
      </c>
      <c r="AN442" s="113">
        <v>39.156475224450752</v>
      </c>
      <c r="AO442" s="113" t="s">
        <v>498</v>
      </c>
      <c r="AP442" s="113" t="s">
        <v>498</v>
      </c>
      <c r="AQ442" s="113" t="s">
        <v>498</v>
      </c>
      <c r="AR442" s="113" t="s">
        <v>498</v>
      </c>
      <c r="AS442" s="113" t="s">
        <v>498</v>
      </c>
      <c r="AT442" s="113" t="s">
        <v>498</v>
      </c>
      <c r="AU442" s="113" t="s">
        <v>498</v>
      </c>
      <c r="AV442" s="113" t="s">
        <v>498</v>
      </c>
      <c r="AW442" s="113" t="s">
        <v>498</v>
      </c>
      <c r="AX442" s="113" t="s">
        <v>498</v>
      </c>
      <c r="AY442" s="113" t="s">
        <v>498</v>
      </c>
      <c r="AZ442" s="113" t="s">
        <v>498</v>
      </c>
      <c r="BA442" s="113" t="s">
        <v>498</v>
      </c>
      <c r="BB442" s="113" t="s">
        <v>498</v>
      </c>
      <c r="BC442" s="113" t="s">
        <v>498</v>
      </c>
      <c r="BD442" s="113">
        <v>77.312428136046634</v>
      </c>
      <c r="BE442" s="113" t="s">
        <v>498</v>
      </c>
      <c r="BF442" s="113" t="s">
        <v>498</v>
      </c>
      <c r="BG442" s="113" t="s">
        <v>595</v>
      </c>
      <c r="BH442" s="113">
        <v>2.3860667783162768</v>
      </c>
      <c r="BI442" s="113">
        <v>8.2945549073992293</v>
      </c>
    </row>
    <row r="443" spans="1:61" s="416" customFormat="1" hidden="1">
      <c r="B443" s="496"/>
      <c r="C443" s="2537"/>
      <c r="D443" s="2490"/>
      <c r="E443" s="623" t="s">
        <v>596</v>
      </c>
      <c r="F443" s="497"/>
      <c r="G443" s="624"/>
      <c r="H443" s="499"/>
      <c r="I443" s="499"/>
      <c r="J443" s="499"/>
      <c r="K443" s="499"/>
      <c r="L443" s="499"/>
      <c r="M443" s="499"/>
      <c r="N443" s="499"/>
      <c r="O443" s="499"/>
      <c r="P443" s="499"/>
      <c r="Q443" s="499"/>
      <c r="R443" s="499"/>
      <c r="S443" s="499"/>
      <c r="T443" s="499"/>
      <c r="U443" s="499"/>
      <c r="V443" s="499"/>
      <c r="W443" s="499"/>
      <c r="X443" s="499"/>
      <c r="Y443" s="499"/>
      <c r="Z443" s="499"/>
      <c r="AA443" s="499"/>
      <c r="AB443" s="499"/>
      <c r="AC443" s="499"/>
      <c r="AD443" s="499"/>
      <c r="AE443" s="499"/>
      <c r="AF443" s="499"/>
      <c r="AG443" s="499"/>
      <c r="AH443" s="499"/>
      <c r="AI443" s="499"/>
      <c r="AJ443" s="499"/>
      <c r="AK443" s="499"/>
      <c r="AL443" s="499"/>
      <c r="AM443" s="499"/>
      <c r="AN443" s="499"/>
      <c r="AO443" s="499"/>
      <c r="AP443" s="499"/>
      <c r="AQ443" s="499"/>
      <c r="AR443" s="499"/>
      <c r="AS443" s="499"/>
      <c r="AT443" s="499"/>
      <c r="AU443" s="499"/>
      <c r="AV443" s="499"/>
      <c r="AW443" s="499"/>
      <c r="AX443" s="499"/>
      <c r="AY443" s="499"/>
      <c r="AZ443" s="499"/>
      <c r="BA443" s="499"/>
      <c r="BB443" s="499"/>
      <c r="BC443" s="499"/>
      <c r="BD443" s="499"/>
      <c r="BE443" s="499"/>
      <c r="BF443" s="499"/>
      <c r="BG443" s="499"/>
      <c r="BH443" s="499"/>
      <c r="BI443" s="499"/>
    </row>
    <row r="444" spans="1:61" s="26" customFormat="1" hidden="1">
      <c r="A444" s="482"/>
      <c r="B444" s="27"/>
      <c r="C444" s="2453"/>
      <c r="D444" s="2454"/>
      <c r="E444" s="103" t="s">
        <v>989</v>
      </c>
      <c r="F444" s="14" t="s">
        <v>19</v>
      </c>
      <c r="G444" s="105" t="s">
        <v>20</v>
      </c>
      <c r="H444" s="56">
        <v>1.2192300358675985</v>
      </c>
      <c r="I444" s="56">
        <v>1.2192300358675985</v>
      </c>
      <c r="J444" s="56">
        <v>2.2599276328754572</v>
      </c>
      <c r="K444" s="56">
        <v>3.5778735042735044E-2</v>
      </c>
      <c r="L444" s="56">
        <v>3.8334358974358974E-2</v>
      </c>
      <c r="M444" s="56">
        <v>3.8334358974358974E-2</v>
      </c>
      <c r="N444" s="56">
        <v>0.12778119658119658</v>
      </c>
      <c r="O444" s="56">
        <v>0.12778119658119658</v>
      </c>
      <c r="P444" s="56">
        <v>2.2361709401709402E-2</v>
      </c>
      <c r="Q444" s="56">
        <v>2.2361709401709402E-2</v>
      </c>
      <c r="R444" s="56">
        <v>6.3890598290598285E-3</v>
      </c>
      <c r="S444" s="56">
        <v>4.0251076923076924E-2</v>
      </c>
      <c r="T444" s="56">
        <v>4.0251076923076924E-2</v>
      </c>
      <c r="U444" s="56">
        <v>2.4278427350427352E-2</v>
      </c>
      <c r="V444" s="56">
        <v>0.63890598290598288</v>
      </c>
      <c r="W444" s="56">
        <v>0.63890598290598288</v>
      </c>
      <c r="X444" s="56">
        <v>6.133497435897437E-3</v>
      </c>
      <c r="Y444" s="56">
        <v>0.16611555555555557</v>
      </c>
      <c r="Z444" s="56">
        <v>0.22675392645753184</v>
      </c>
      <c r="AA444" s="56">
        <v>0.44723418803418813</v>
      </c>
      <c r="AB444" s="56">
        <v>0.23236940460364613</v>
      </c>
      <c r="AC444" s="56">
        <v>0.58206660919567743</v>
      </c>
      <c r="AD444" s="56">
        <v>1.465194988902752</v>
      </c>
      <c r="AE444" s="56" t="e">
        <v>#VALUE!</v>
      </c>
      <c r="AF444" s="56" t="e">
        <v>#VALUE!</v>
      </c>
      <c r="AG444" s="56">
        <v>11.755870085470086</v>
      </c>
      <c r="AH444" s="56">
        <v>11.755870085470088</v>
      </c>
      <c r="AI444" s="56">
        <v>0.63890598290598299</v>
      </c>
      <c r="AJ444" s="56">
        <v>0.91950866070364479</v>
      </c>
      <c r="AK444" s="56">
        <v>2.0991603383338449</v>
      </c>
      <c r="AL444" s="56">
        <v>1000000</v>
      </c>
      <c r="AM444" s="56">
        <v>1000000</v>
      </c>
      <c r="AN444" s="56">
        <v>7.9896078657184191E-2</v>
      </c>
      <c r="AO444" s="56">
        <v>1000000</v>
      </c>
      <c r="AP444" s="56">
        <v>1000000</v>
      </c>
      <c r="AQ444" s="56">
        <v>1000000</v>
      </c>
      <c r="AR444" s="56">
        <v>1000000</v>
      </c>
      <c r="AS444" s="56">
        <v>1000000</v>
      </c>
      <c r="AT444" s="56">
        <v>1000000</v>
      </c>
      <c r="AU444" s="56">
        <v>1000000</v>
      </c>
      <c r="AV444" s="56">
        <v>1000000</v>
      </c>
      <c r="AW444" s="56">
        <v>1000000</v>
      </c>
      <c r="AX444" s="56">
        <v>1000000</v>
      </c>
      <c r="AY444" s="56">
        <v>1000000</v>
      </c>
      <c r="AZ444" s="56">
        <v>1000000</v>
      </c>
      <c r="BA444" s="56">
        <v>1000000</v>
      </c>
      <c r="BB444" s="56">
        <v>1000000</v>
      </c>
      <c r="BC444" s="56">
        <v>1000000</v>
      </c>
      <c r="BD444" s="56">
        <v>1.3053693930572228</v>
      </c>
      <c r="BE444" s="56">
        <v>4.470176356880617</v>
      </c>
      <c r="BF444" s="56">
        <v>8.940352713761234</v>
      </c>
      <c r="BG444" s="56">
        <v>6.2130901545400105E-5</v>
      </c>
      <c r="BH444" s="56">
        <v>1.2679265954742043E-2</v>
      </c>
      <c r="BI444" s="56">
        <v>1.8851589480955847E-2</v>
      </c>
    </row>
    <row r="445" spans="1:61" s="26" customFormat="1" hidden="1">
      <c r="A445" s="482"/>
      <c r="B445" s="27"/>
      <c r="C445" s="2532"/>
      <c r="D445" s="2533"/>
      <c r="E445" s="103" t="s">
        <v>992</v>
      </c>
      <c r="F445" s="14" t="s">
        <v>19</v>
      </c>
      <c r="G445" s="105" t="s">
        <v>20</v>
      </c>
      <c r="H445" s="56" t="s">
        <v>498</v>
      </c>
      <c r="I445" s="56" t="s">
        <v>498</v>
      </c>
      <c r="J445" s="56" t="s">
        <v>498</v>
      </c>
      <c r="K445" s="56">
        <v>0.22361709401709404</v>
      </c>
      <c r="L445" s="56" t="s">
        <v>498</v>
      </c>
      <c r="M445" s="56" t="s">
        <v>498</v>
      </c>
      <c r="N445" s="56">
        <v>0.11180854700854702</v>
      </c>
      <c r="O445" s="56">
        <v>0.11180854700854702</v>
      </c>
      <c r="P445" s="56">
        <v>3.7901202375778646E-2</v>
      </c>
      <c r="Q445" s="56">
        <v>3.7901202375778646E-2</v>
      </c>
      <c r="R445" s="56">
        <v>0.22361709401709395</v>
      </c>
      <c r="S445" s="56">
        <v>9.7224823485693047E-3</v>
      </c>
      <c r="T445" s="56">
        <v>9.7224823485693047E-3</v>
      </c>
      <c r="U445" s="56">
        <v>5.324216524216524E-3</v>
      </c>
      <c r="V445" s="56" t="s">
        <v>498</v>
      </c>
      <c r="W445" s="56" t="s">
        <v>498</v>
      </c>
      <c r="X445" s="56">
        <v>3.7269515669515675E-2</v>
      </c>
      <c r="Y445" s="56" t="s">
        <v>498</v>
      </c>
      <c r="Z445" s="56">
        <v>8.9446837606837609E-2</v>
      </c>
      <c r="AA445" s="56" t="s">
        <v>498</v>
      </c>
      <c r="AB445" s="56" t="s">
        <v>498</v>
      </c>
      <c r="AC445" s="56" t="s">
        <v>498</v>
      </c>
      <c r="AD445" s="56" t="s">
        <v>498</v>
      </c>
      <c r="AE445" s="56" t="s">
        <v>498</v>
      </c>
      <c r="AF445" s="56" t="s">
        <v>498</v>
      </c>
      <c r="AG445" s="56" t="s">
        <v>498</v>
      </c>
      <c r="AH445" s="56" t="s">
        <v>498</v>
      </c>
      <c r="AI445" s="56" t="s">
        <v>498</v>
      </c>
      <c r="AJ445" s="56" t="s">
        <v>498</v>
      </c>
      <c r="AK445" s="56" t="s">
        <v>498</v>
      </c>
      <c r="AL445" s="56" t="s">
        <v>498</v>
      </c>
      <c r="AM445" s="56" t="s">
        <v>498</v>
      </c>
      <c r="AN445" s="56">
        <v>1.4835309123575436E-2</v>
      </c>
      <c r="AO445" s="56">
        <v>0.94541819994158782</v>
      </c>
      <c r="AP445" s="56">
        <v>0.71831413316253323</v>
      </c>
      <c r="AQ445" s="56">
        <v>1.1708513927907456</v>
      </c>
      <c r="AR445" s="56">
        <v>2.8761711253748099</v>
      </c>
      <c r="AS445" s="56">
        <v>0.24835744172302024</v>
      </c>
      <c r="AT445" s="56">
        <v>12.898616332886739</v>
      </c>
      <c r="AU445" s="56">
        <v>13.255064607135896</v>
      </c>
      <c r="AV445" s="56">
        <v>0.56934057956256034</v>
      </c>
      <c r="AW445" s="56">
        <v>8.0239786111059352</v>
      </c>
      <c r="AX445" s="56">
        <v>19.333696271822664</v>
      </c>
      <c r="AY445" s="56">
        <v>36.175531107511048</v>
      </c>
      <c r="AZ445" s="56">
        <v>13.324204896411668</v>
      </c>
      <c r="BA445" s="56">
        <v>18.159799629723686</v>
      </c>
      <c r="BB445" s="56">
        <v>115.57338380046849</v>
      </c>
      <c r="BC445" s="56">
        <v>43154931.581582196</v>
      </c>
      <c r="BD445" s="56" t="s">
        <v>498</v>
      </c>
      <c r="BE445" s="56" t="s">
        <v>498</v>
      </c>
      <c r="BF445" s="56">
        <v>0.11984302450221292</v>
      </c>
      <c r="BG445" s="56" t="s">
        <v>498</v>
      </c>
      <c r="BH445" s="56" t="s">
        <v>498</v>
      </c>
      <c r="BI445" s="56" t="s">
        <v>498</v>
      </c>
    </row>
    <row r="446" spans="1:61" s="26" customFormat="1" hidden="1">
      <c r="A446" s="17"/>
      <c r="B446" s="27"/>
      <c r="C446" s="2532"/>
      <c r="D446" s="2533"/>
      <c r="E446" s="103" t="s">
        <v>493</v>
      </c>
      <c r="F446" s="14" t="s">
        <v>19</v>
      </c>
      <c r="G446" s="105" t="s">
        <v>20</v>
      </c>
      <c r="H446" s="113">
        <v>1.2192300358675985</v>
      </c>
      <c r="I446" s="113">
        <v>1.2192300358675985</v>
      </c>
      <c r="J446" s="113">
        <v>2.2599276328754572</v>
      </c>
      <c r="K446" s="113">
        <v>3.5778735042735044E-2</v>
      </c>
      <c r="L446" s="113">
        <v>3.8334358974358974E-2</v>
      </c>
      <c r="M446" s="113">
        <v>3.8334358974358974E-2</v>
      </c>
      <c r="N446" s="113">
        <v>0.11180854700854702</v>
      </c>
      <c r="O446" s="113">
        <v>0.11180854700854702</v>
      </c>
      <c r="P446" s="113">
        <v>2.2361709401709402E-2</v>
      </c>
      <c r="Q446" s="113">
        <v>2.2361709401709402E-2</v>
      </c>
      <c r="R446" s="113">
        <v>6.3890598290598285E-3</v>
      </c>
      <c r="S446" s="113">
        <v>9.7224823485693047E-3</v>
      </c>
      <c r="T446" s="113">
        <v>9.7224823485693047E-3</v>
      </c>
      <c r="U446" s="113">
        <v>5.324216524216524E-3</v>
      </c>
      <c r="V446" s="113">
        <v>0.63890598290598288</v>
      </c>
      <c r="W446" s="113">
        <v>0.63890598290598288</v>
      </c>
      <c r="X446" s="113">
        <v>6.133497435897437E-3</v>
      </c>
      <c r="Y446" s="113">
        <v>0.16611555555555557</v>
      </c>
      <c r="Z446" s="113">
        <v>8.9446837606837609E-2</v>
      </c>
      <c r="AA446" s="113">
        <v>0.44723418803418813</v>
      </c>
      <c r="AB446" s="113">
        <v>0.23236940460364613</v>
      </c>
      <c r="AC446" s="113">
        <v>0.58206660919567743</v>
      </c>
      <c r="AD446" s="113">
        <v>1.465194988902752</v>
      </c>
      <c r="AE446" s="113" t="e">
        <v>#VALUE!</v>
      </c>
      <c r="AF446" s="113" t="e">
        <v>#VALUE!</v>
      </c>
      <c r="AG446" s="113">
        <v>11.755870085470086</v>
      </c>
      <c r="AH446" s="113">
        <v>11.755870085470088</v>
      </c>
      <c r="AI446" s="113">
        <v>0.63890598290598299</v>
      </c>
      <c r="AJ446" s="113">
        <v>0.91950866070364479</v>
      </c>
      <c r="AK446" s="113">
        <v>2.0991603383338449</v>
      </c>
      <c r="AL446" s="113">
        <v>1000000</v>
      </c>
      <c r="AM446" s="113">
        <v>1000000</v>
      </c>
      <c r="AN446" s="113">
        <v>1.4835309123575436E-2</v>
      </c>
      <c r="AO446" s="113">
        <v>0.94541819994158782</v>
      </c>
      <c r="AP446" s="113">
        <v>0.71831413316253323</v>
      </c>
      <c r="AQ446" s="113">
        <v>1.1708513927907456</v>
      </c>
      <c r="AR446" s="113">
        <v>2.8761711253748099</v>
      </c>
      <c r="AS446" s="113">
        <v>0.24835744172302024</v>
      </c>
      <c r="AT446" s="113">
        <v>12.898616332886739</v>
      </c>
      <c r="AU446" s="113">
        <v>13.255064607135896</v>
      </c>
      <c r="AV446" s="113">
        <v>0.56934057956256034</v>
      </c>
      <c r="AW446" s="113">
        <v>8.0239786111059352</v>
      </c>
      <c r="AX446" s="113">
        <v>19.333696271822664</v>
      </c>
      <c r="AY446" s="113">
        <v>36.175531107511048</v>
      </c>
      <c r="AZ446" s="113">
        <v>13.324204896411668</v>
      </c>
      <c r="BA446" s="113">
        <v>18.159799629723686</v>
      </c>
      <c r="BB446" s="113">
        <v>115.57338380046849</v>
      </c>
      <c r="BC446" s="113">
        <v>1000000</v>
      </c>
      <c r="BD446" s="113">
        <v>1.3053693930572228</v>
      </c>
      <c r="BE446" s="113">
        <v>4.470176356880617</v>
      </c>
      <c r="BF446" s="113">
        <v>0.11984302450221292</v>
      </c>
      <c r="BG446" s="113">
        <v>6.2130901545400105E-5</v>
      </c>
      <c r="BH446" s="113">
        <v>1.2679265954742043E-2</v>
      </c>
      <c r="BI446" s="113">
        <v>1.8851589480955847E-2</v>
      </c>
    </row>
    <row r="447" spans="1:61" s="495" customFormat="1" hidden="1">
      <c r="A447" s="398"/>
      <c r="B447" s="492"/>
      <c r="C447" s="2489" t="s">
        <v>162</v>
      </c>
      <c r="D447" s="2534">
        <v>4.0000000000000003E-5</v>
      </c>
      <c r="E447" s="619" t="s">
        <v>499</v>
      </c>
      <c r="F447" s="493" t="s">
        <v>19</v>
      </c>
      <c r="G447" s="584" t="s">
        <v>20</v>
      </c>
      <c r="H447" s="343">
        <v>1.2192300358675985</v>
      </c>
      <c r="I447" s="343">
        <v>1.2192300358675985</v>
      </c>
      <c r="J447" s="343">
        <v>2.2599276328754572</v>
      </c>
      <c r="K447" s="343">
        <v>3.5778735042735044E-2</v>
      </c>
      <c r="L447" s="343">
        <v>3.8334358974358974E-2</v>
      </c>
      <c r="M447" s="343">
        <v>3.8334358974358974E-2</v>
      </c>
      <c r="N447" s="343">
        <v>0.11180854700854702</v>
      </c>
      <c r="O447" s="343">
        <v>0.11180854700854702</v>
      </c>
      <c r="P447" s="343">
        <v>2.2361709401709402E-2</v>
      </c>
      <c r="Q447" s="343">
        <v>2.2361709401709402E-2</v>
      </c>
      <c r="R447" s="343">
        <v>6.3890598290598285E-3</v>
      </c>
      <c r="S447" s="343">
        <v>9.7224823485693047E-3</v>
      </c>
      <c r="T447" s="343">
        <v>9.7224823485693047E-3</v>
      </c>
      <c r="U447" s="343">
        <v>5.324216524216524E-3</v>
      </c>
      <c r="V447" s="343">
        <v>0.63890598290598288</v>
      </c>
      <c r="W447" s="343">
        <v>0.63890598290598288</v>
      </c>
      <c r="X447" s="343">
        <v>6.133497435897437E-3</v>
      </c>
      <c r="Y447" s="343">
        <v>0.16611555555555557</v>
      </c>
      <c r="Z447" s="343">
        <v>8.9446837606837609E-2</v>
      </c>
      <c r="AA447" s="343">
        <v>0.44723418803418813</v>
      </c>
      <c r="AB447" s="343">
        <v>0.23236940460364613</v>
      </c>
      <c r="AC447" s="343">
        <v>0.58206660919567743</v>
      </c>
      <c r="AD447" s="343">
        <v>1.465194988902752</v>
      </c>
      <c r="AE447" s="343" t="e">
        <v>#VALUE!</v>
      </c>
      <c r="AF447" s="343" t="e">
        <v>#VALUE!</v>
      </c>
      <c r="AG447" s="343">
        <v>11.755870085470086</v>
      </c>
      <c r="AH447" s="343">
        <v>11.755870085470088</v>
      </c>
      <c r="AI447" s="343">
        <v>0.63890598290598299</v>
      </c>
      <c r="AJ447" s="343">
        <v>0.91950866070364479</v>
      </c>
      <c r="AK447" s="343">
        <v>2.0991603383338449</v>
      </c>
      <c r="AL447" s="343" t="s">
        <v>498</v>
      </c>
      <c r="AM447" s="343" t="s">
        <v>498</v>
      </c>
      <c r="AN447" s="343">
        <v>1.4835309123575436E-2</v>
      </c>
      <c r="AO447" s="343">
        <v>0.94541819994158782</v>
      </c>
      <c r="AP447" s="343">
        <v>0.71831413316253323</v>
      </c>
      <c r="AQ447" s="343">
        <v>1.1708513927907456</v>
      </c>
      <c r="AR447" s="343">
        <v>2.8761711253748099</v>
      </c>
      <c r="AS447" s="343">
        <v>0.24835744172302024</v>
      </c>
      <c r="AT447" s="343">
        <v>12.898616332886739</v>
      </c>
      <c r="AU447" s="343">
        <v>13.255064607135896</v>
      </c>
      <c r="AV447" s="343">
        <v>0.56934057956256034</v>
      </c>
      <c r="AW447" s="343" t="s">
        <v>498</v>
      </c>
      <c r="AX447" s="343" t="s">
        <v>498</v>
      </c>
      <c r="AY447" s="343" t="s">
        <v>498</v>
      </c>
      <c r="AZ447" s="343" t="s">
        <v>498</v>
      </c>
      <c r="BA447" s="343" t="s">
        <v>498</v>
      </c>
      <c r="BB447" s="343" t="s">
        <v>498</v>
      </c>
      <c r="BC447" s="343" t="s">
        <v>498</v>
      </c>
      <c r="BD447" s="343">
        <v>1.3053693930572228</v>
      </c>
      <c r="BE447" s="343">
        <v>4.470176356880617</v>
      </c>
      <c r="BF447" s="343">
        <v>0.11984302450221292</v>
      </c>
      <c r="BG447" s="343">
        <v>6.2130901545400105E-5</v>
      </c>
      <c r="BH447" s="343">
        <v>1.2679265954742043E-2</v>
      </c>
      <c r="BI447" s="343">
        <v>1.8851589480955847E-2</v>
      </c>
    </row>
    <row r="448" spans="1:61" s="513" customFormat="1" hidden="1">
      <c r="A448" s="508"/>
      <c r="B448" s="510"/>
      <c r="C448" s="2489"/>
      <c r="D448" s="2531"/>
      <c r="E448" s="352" t="s">
        <v>476</v>
      </c>
      <c r="F448" s="63">
        <v>0</v>
      </c>
      <c r="G448" s="515" t="s">
        <v>24</v>
      </c>
      <c r="H448" s="237">
        <v>2.878165927040671</v>
      </c>
      <c r="I448" s="237">
        <v>2.878165927040671</v>
      </c>
      <c r="J448" s="237">
        <v>31.355016234255075</v>
      </c>
      <c r="K448" s="237">
        <v>121.31453945600127</v>
      </c>
      <c r="L448" s="237">
        <v>14.124827856174186</v>
      </c>
      <c r="M448" s="237">
        <v>14.124827856174186</v>
      </c>
      <c r="N448" s="237">
        <v>55.451633282161161</v>
      </c>
      <c r="O448" s="237">
        <v>55.451633282161161</v>
      </c>
      <c r="P448" s="237">
        <v>9.7546392835526579</v>
      </c>
      <c r="Q448" s="237">
        <v>9.7546392835526579</v>
      </c>
      <c r="R448" s="237">
        <v>3.7625493884037282</v>
      </c>
      <c r="S448" s="237">
        <v>2.3390135723258214</v>
      </c>
      <c r="T448" s="237">
        <v>2.3390135723258214</v>
      </c>
      <c r="U448" s="237">
        <v>7.0017441916028025</v>
      </c>
      <c r="V448" s="237">
        <v>209.96399151965178</v>
      </c>
      <c r="W448" s="237">
        <v>209.96399151965178</v>
      </c>
      <c r="X448" s="237">
        <v>2.2355959412148669</v>
      </c>
      <c r="Y448" s="237">
        <v>26.429232710432363</v>
      </c>
      <c r="Z448" s="237">
        <v>6.5148118179114123</v>
      </c>
      <c r="AA448" s="237">
        <v>21.221398555783672</v>
      </c>
      <c r="AB448" s="237">
        <v>11.49076416570216</v>
      </c>
      <c r="AC448" s="237">
        <v>5.3529278002477936</v>
      </c>
      <c r="AD448" s="237">
        <v>2.5703784961287974</v>
      </c>
      <c r="AE448" s="237" t="e">
        <v>#VALUE!</v>
      </c>
      <c r="AF448" s="237" t="e">
        <v>#VALUE!</v>
      </c>
      <c r="AG448" s="237">
        <v>41717.50545143216</v>
      </c>
      <c r="AH448" s="237">
        <v>19154.834883249958</v>
      </c>
      <c r="AI448" s="237">
        <v>254.8784782386173</v>
      </c>
      <c r="AJ448" s="237">
        <v>72.437182866526626</v>
      </c>
      <c r="AK448" s="237">
        <v>36.215593902967008</v>
      </c>
      <c r="AL448" s="237" t="s">
        <v>498</v>
      </c>
      <c r="AM448" s="237" t="s">
        <v>498</v>
      </c>
      <c r="AN448" s="237">
        <v>1.1930145536576372E-2</v>
      </c>
      <c r="AO448" s="237">
        <v>0.19129812362018139</v>
      </c>
      <c r="AP448" s="237">
        <v>0.24468747953918363</v>
      </c>
      <c r="AQ448" s="237">
        <v>0.15870885717430144</v>
      </c>
      <c r="AR448" s="237">
        <v>7.6935149800602398E-2</v>
      </c>
      <c r="AS448" s="237">
        <v>8.5874529916480525E-3</v>
      </c>
      <c r="AT448" s="237">
        <v>3.2220774077508375E-2</v>
      </c>
      <c r="AU448" s="237">
        <v>3.1863676412899937E-2</v>
      </c>
      <c r="AV448" s="237">
        <v>2.1764161755699304E-4</v>
      </c>
      <c r="AW448" s="237" t="s">
        <v>498</v>
      </c>
      <c r="AX448" s="237" t="s">
        <v>498</v>
      </c>
      <c r="AY448" s="237" t="s">
        <v>498</v>
      </c>
      <c r="AZ448" s="237" t="s">
        <v>498</v>
      </c>
      <c r="BA448" s="237" t="s">
        <v>498</v>
      </c>
      <c r="BB448" s="237" t="s">
        <v>498</v>
      </c>
      <c r="BC448" s="237" t="s">
        <v>498</v>
      </c>
      <c r="BD448" s="237">
        <v>8.300006640298481E-2</v>
      </c>
      <c r="BE448" s="237">
        <v>1.5479306602921978E-3</v>
      </c>
      <c r="BF448" s="237">
        <v>4.14991886759869E-5</v>
      </c>
      <c r="BG448" s="237" t="s">
        <v>595</v>
      </c>
      <c r="BH448" s="237">
        <v>1.5341097287692213E-3</v>
      </c>
      <c r="BI448" s="237">
        <v>1.5446026326287271E-2</v>
      </c>
    </row>
    <row r="449" spans="1:61" s="26" customFormat="1" hidden="1">
      <c r="A449" s="482"/>
      <c r="B449" s="27"/>
      <c r="C449" s="2489" t="s">
        <v>42</v>
      </c>
      <c r="D449" s="2531">
        <v>0.6</v>
      </c>
      <c r="E449" s="625" t="s">
        <v>597</v>
      </c>
      <c r="F449" s="14"/>
      <c r="G449" s="105"/>
      <c r="H449" s="113"/>
      <c r="I449" s="113"/>
      <c r="J449" s="113"/>
      <c r="K449" s="113"/>
      <c r="L449" s="113"/>
      <c r="M449" s="113"/>
      <c r="N449" s="113"/>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row>
    <row r="450" spans="1:61" s="495" customFormat="1" hidden="1">
      <c r="A450" s="398"/>
      <c r="B450" s="492"/>
      <c r="C450" s="2489"/>
      <c r="D450" s="2109"/>
      <c r="E450" s="619" t="s">
        <v>499</v>
      </c>
      <c r="F450" s="493" t="s">
        <v>19</v>
      </c>
      <c r="G450" s="584" t="s">
        <v>20</v>
      </c>
      <c r="H450" s="343">
        <v>9.8612156594177662</v>
      </c>
      <c r="I450" s="343">
        <v>9.8612156594177662</v>
      </c>
      <c r="J450" s="343">
        <v>18.278448780671667</v>
      </c>
      <c r="K450" s="343">
        <v>0.28938084848484852</v>
      </c>
      <c r="L450" s="343">
        <v>0.31005090909090915</v>
      </c>
      <c r="M450" s="343">
        <v>0.31005090909090915</v>
      </c>
      <c r="N450" s="343">
        <v>0.90431515151515152</v>
      </c>
      <c r="O450" s="343">
        <v>0.90431515151515152</v>
      </c>
      <c r="P450" s="343">
        <v>0.18086303030303033</v>
      </c>
      <c r="Q450" s="343">
        <v>0.18086303030303033</v>
      </c>
      <c r="R450" s="343">
        <v>5.1675151515151514E-2</v>
      </c>
      <c r="S450" s="343">
        <v>7.863610013175229E-2</v>
      </c>
      <c r="T450" s="343">
        <v>7.863610013175229E-2</v>
      </c>
      <c r="U450" s="343">
        <v>4.3062626262626254E-2</v>
      </c>
      <c r="V450" s="343">
        <v>5.1675151515151514</v>
      </c>
      <c r="W450" s="343">
        <v>5.1675151515151514</v>
      </c>
      <c r="X450" s="343">
        <v>4.9608145454545463E-2</v>
      </c>
      <c r="Y450" s="343">
        <v>1.3435539393939397</v>
      </c>
      <c r="Z450" s="343">
        <v>0.7234521212121211</v>
      </c>
      <c r="AA450" s="343">
        <v>3.617260606060607</v>
      </c>
      <c r="AB450" s="343">
        <v>1.8794195878027862</v>
      </c>
      <c r="AC450" s="343">
        <v>4.7077944215343566</v>
      </c>
      <c r="AD450" s="343">
        <v>11.850596969903792</v>
      </c>
      <c r="AE450" s="343" t="e">
        <v>#VALUE!</v>
      </c>
      <c r="AF450" s="343" t="e">
        <v>#VALUE!</v>
      </c>
      <c r="AG450" s="343">
        <v>95.082278787878778</v>
      </c>
      <c r="AH450" s="343">
        <v>95.082278787878806</v>
      </c>
      <c r="AI450" s="343">
        <v>5.1675151515151532</v>
      </c>
      <c r="AJ450" s="343">
        <v>7.437048741543399</v>
      </c>
      <c r="AK450" s="343">
        <v>16.978151941012662</v>
      </c>
      <c r="AL450" s="343" t="s">
        <v>498</v>
      </c>
      <c r="AM450" s="343" t="s">
        <v>498</v>
      </c>
      <c r="AN450" s="343">
        <v>0.13007368623860172</v>
      </c>
      <c r="AO450" s="343">
        <v>8.2717925108955086</v>
      </c>
      <c r="AP450" s="343">
        <v>6.2834410185289196</v>
      </c>
      <c r="AQ450" s="343">
        <v>10.248932332866461</v>
      </c>
      <c r="AR450" s="343">
        <v>25.396543758477808</v>
      </c>
      <c r="AS450" s="343" t="s">
        <v>498</v>
      </c>
      <c r="AT450" s="343" t="s">
        <v>498</v>
      </c>
      <c r="AU450" s="343" t="s">
        <v>498</v>
      </c>
      <c r="AV450" s="343">
        <v>5.7600387775965123</v>
      </c>
      <c r="AW450" s="343" t="s">
        <v>498</v>
      </c>
      <c r="AX450" s="343" t="s">
        <v>498</v>
      </c>
      <c r="AY450" s="343" t="s">
        <v>498</v>
      </c>
      <c r="AZ450" s="343" t="s">
        <v>498</v>
      </c>
      <c r="BA450" s="343" t="s">
        <v>498</v>
      </c>
      <c r="BB450" s="343" t="s">
        <v>498</v>
      </c>
      <c r="BC450" s="343" t="s">
        <v>498</v>
      </c>
      <c r="BD450" s="343">
        <v>10.557916653505437</v>
      </c>
      <c r="BE450" s="343">
        <v>36.155091159202037</v>
      </c>
      <c r="BF450" s="343">
        <v>1.2169031389755807</v>
      </c>
      <c r="BG450" s="343">
        <v>5.0251896789702878E-4</v>
      </c>
      <c r="BH450" s="343">
        <v>0.10255076753735967</v>
      </c>
      <c r="BI450" s="343">
        <v>0.15247294105761736</v>
      </c>
    </row>
    <row r="451" spans="1:61" s="513" customFormat="1" hidden="1">
      <c r="A451" s="508"/>
      <c r="B451" s="510"/>
      <c r="C451" s="2489"/>
      <c r="D451" s="2109"/>
      <c r="E451" s="352" t="s">
        <v>476</v>
      </c>
      <c r="F451" s="63">
        <v>0</v>
      </c>
      <c r="G451" s="515" t="s">
        <v>24</v>
      </c>
      <c r="H451" s="237">
        <v>23.278802256490888</v>
      </c>
      <c r="I451" s="237">
        <v>23.278802256490888</v>
      </c>
      <c r="J451" s="237">
        <v>253.60150914467107</v>
      </c>
      <c r="K451" s="237">
        <v>981.20026656601033</v>
      </c>
      <c r="L451" s="237">
        <v>114.24257075718157</v>
      </c>
      <c r="M451" s="237">
        <v>114.24257075718157</v>
      </c>
      <c r="N451" s="237">
        <v>448.49659077929783</v>
      </c>
      <c r="O451" s="237">
        <v>448.49659077929783</v>
      </c>
      <c r="P451" s="237">
        <v>78.896187614415965</v>
      </c>
      <c r="Q451" s="237">
        <v>78.896187614415965</v>
      </c>
      <c r="R451" s="237">
        <v>30.431755990867654</v>
      </c>
      <c r="S451" s="237">
        <v>18.918101251169354</v>
      </c>
      <c r="T451" s="237">
        <v>18.918101251169354</v>
      </c>
      <c r="U451" s="237">
        <v>56.630584413332876</v>
      </c>
      <c r="V451" s="237">
        <v>1698.203079137638</v>
      </c>
      <c r="W451" s="237">
        <v>1698.203079137638</v>
      </c>
      <c r="X451" s="237">
        <v>18.081652399541834</v>
      </c>
      <c r="Y451" s="237">
        <v>213.76143615511634</v>
      </c>
      <c r="Z451" s="237">
        <v>52.692242174982347</v>
      </c>
      <c r="AA451" s="237">
        <v>171.64011843271624</v>
      </c>
      <c r="AB451" s="237">
        <v>92.938084033392229</v>
      </c>
      <c r="AC451" s="237">
        <v>43.294845020754167</v>
      </c>
      <c r="AD451" s="237">
        <v>20.789396529768993</v>
      </c>
      <c r="AE451" s="237" t="e">
        <v>#VALUE!</v>
      </c>
      <c r="AF451" s="237" t="e">
        <v>#VALUE!</v>
      </c>
      <c r="AG451" s="237">
        <v>337414.02846655494</v>
      </c>
      <c r="AH451" s="237">
        <v>154925.61054719498</v>
      </c>
      <c r="AI451" s="237">
        <v>2061.4745100719988</v>
      </c>
      <c r="AJ451" s="237">
        <v>585.87687392329917</v>
      </c>
      <c r="AK451" s="237">
        <v>292.91419273223602</v>
      </c>
      <c r="AL451" s="237" t="s">
        <v>498</v>
      </c>
      <c r="AM451" s="237" t="s">
        <v>498</v>
      </c>
      <c r="AN451" s="237">
        <v>0.10460166312540531</v>
      </c>
      <c r="AO451" s="237">
        <v>1.673733789351153</v>
      </c>
      <c r="AP451" s="237">
        <v>2.1403996868165147</v>
      </c>
      <c r="AQ451" s="237">
        <v>1.3892423477662366</v>
      </c>
      <c r="AR451" s="237">
        <v>0.67933610807716538</v>
      </c>
      <c r="AS451" s="237" t="s">
        <v>498</v>
      </c>
      <c r="AT451" s="237" t="s">
        <v>498</v>
      </c>
      <c r="AU451" s="237" t="s">
        <v>498</v>
      </c>
      <c r="AV451" s="237">
        <v>2.2018879415029624E-3</v>
      </c>
      <c r="AW451" s="237" t="s">
        <v>498</v>
      </c>
      <c r="AX451" s="237" t="s">
        <v>498</v>
      </c>
      <c r="AY451" s="237" t="s">
        <v>498</v>
      </c>
      <c r="AZ451" s="237" t="s">
        <v>498</v>
      </c>
      <c r="BA451" s="237" t="s">
        <v>498</v>
      </c>
      <c r="BB451" s="237" t="s">
        <v>498</v>
      </c>
      <c r="BC451" s="237" t="s">
        <v>498</v>
      </c>
      <c r="BD451" s="237">
        <v>0.67131019616277776</v>
      </c>
      <c r="BE451" s="237">
        <v>1.2519768721170133E-2</v>
      </c>
      <c r="BF451" s="237">
        <v>4.2138867217771054E-4</v>
      </c>
      <c r="BG451" s="237" t="s">
        <v>595</v>
      </c>
      <c r="BH451" s="237">
        <v>1.2407984084676063E-2</v>
      </c>
      <c r="BI451" s="237">
        <v>0.12492851406517011</v>
      </c>
    </row>
    <row r="452" spans="1:61" s="26" customFormat="1" hidden="1">
      <c r="A452" s="482"/>
      <c r="B452" s="27"/>
      <c r="C452" s="2489"/>
      <c r="D452" s="2109"/>
      <c r="E452" s="596" t="s">
        <v>598</v>
      </c>
      <c r="F452" s="597"/>
      <c r="G452" s="105"/>
      <c r="H452" s="113"/>
      <c r="I452" s="113"/>
      <c r="J452" s="113"/>
      <c r="K452" s="113"/>
      <c r="L452" s="113"/>
      <c r="M452" s="113"/>
      <c r="N452" s="113"/>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row>
    <row r="453" spans="1:61" s="495" customFormat="1" hidden="1">
      <c r="A453" s="398"/>
      <c r="B453" s="492"/>
      <c r="C453" s="2489"/>
      <c r="D453" s="2109"/>
      <c r="E453" s="619" t="s">
        <v>499</v>
      </c>
      <c r="F453" s="493" t="s">
        <v>19</v>
      </c>
      <c r="G453" s="584" t="s">
        <v>20</v>
      </c>
      <c r="H453" s="343">
        <v>27.611403846369747</v>
      </c>
      <c r="I453" s="343">
        <v>27.611403846369747</v>
      </c>
      <c r="J453" s="343">
        <v>51.179656585880679</v>
      </c>
      <c r="K453" s="343">
        <v>0.81026637575757599</v>
      </c>
      <c r="L453" s="343">
        <v>0.86814254545454572</v>
      </c>
      <c r="M453" s="343">
        <v>0.86814254545454572</v>
      </c>
      <c r="N453" s="343">
        <v>2.5320824242424242</v>
      </c>
      <c r="O453" s="343">
        <v>2.5320824242424242</v>
      </c>
      <c r="P453" s="343">
        <v>0.506416484848485</v>
      </c>
      <c r="Q453" s="343">
        <v>0.506416484848485</v>
      </c>
      <c r="R453" s="343">
        <v>0.14469042424242423</v>
      </c>
      <c r="S453" s="343">
        <v>0.22018108036890649</v>
      </c>
      <c r="T453" s="343">
        <v>0.22018108036890649</v>
      </c>
      <c r="U453" s="343">
        <v>0.12057535353535352</v>
      </c>
      <c r="V453" s="343">
        <v>14.469042424242428</v>
      </c>
      <c r="W453" s="343">
        <v>14.469042424242428</v>
      </c>
      <c r="X453" s="343">
        <v>0.13890280727272733</v>
      </c>
      <c r="Y453" s="343">
        <v>3.761951030303031</v>
      </c>
      <c r="Z453" s="343">
        <v>2.0256659393939391</v>
      </c>
      <c r="AA453" s="343">
        <v>10.128329696969699</v>
      </c>
      <c r="AB453" s="343">
        <v>5.2623748458478001</v>
      </c>
      <c r="AC453" s="343">
        <v>13.181824380296201</v>
      </c>
      <c r="AD453" s="343">
        <v>33.181671515730621</v>
      </c>
      <c r="AE453" s="343" t="e">
        <v>#VALUE!</v>
      </c>
      <c r="AF453" s="343" t="e">
        <v>#VALUE!</v>
      </c>
      <c r="AG453" s="343">
        <v>266.23038060606063</v>
      </c>
      <c r="AH453" s="343" t="s">
        <v>498</v>
      </c>
      <c r="AI453" s="343">
        <v>14.469042424242428</v>
      </c>
      <c r="AJ453" s="343">
        <v>20.823736476321521</v>
      </c>
      <c r="AK453" s="343" t="s">
        <v>498</v>
      </c>
      <c r="AL453" s="343" t="s">
        <v>498</v>
      </c>
      <c r="AM453" s="343" t="s">
        <v>498</v>
      </c>
      <c r="AN453" s="343">
        <v>0.36420632146808479</v>
      </c>
      <c r="AO453" s="343">
        <v>23.161019030507425</v>
      </c>
      <c r="AP453" s="343">
        <v>17.593634851880982</v>
      </c>
      <c r="AQ453" s="343">
        <v>28.697010532026095</v>
      </c>
      <c r="AR453" s="343" t="s">
        <v>498</v>
      </c>
      <c r="AS453" s="343" t="s">
        <v>498</v>
      </c>
      <c r="AT453" s="343" t="s">
        <v>498</v>
      </c>
      <c r="AU453" s="343" t="s">
        <v>498</v>
      </c>
      <c r="AV453" s="343" t="s">
        <v>498</v>
      </c>
      <c r="AW453" s="343" t="s">
        <v>498</v>
      </c>
      <c r="AX453" s="343" t="s">
        <v>498</v>
      </c>
      <c r="AY453" s="343" t="s">
        <v>498</v>
      </c>
      <c r="AZ453" s="343" t="s">
        <v>498</v>
      </c>
      <c r="BA453" s="343" t="s">
        <v>498</v>
      </c>
      <c r="BB453" s="343" t="s">
        <v>498</v>
      </c>
      <c r="BC453" s="343" t="s">
        <v>498</v>
      </c>
      <c r="BD453" s="343">
        <v>29.56216662981522</v>
      </c>
      <c r="BE453" s="343">
        <v>101.23425524576572</v>
      </c>
      <c r="BF453" s="343">
        <v>3.4073287891316268</v>
      </c>
      <c r="BG453" s="343">
        <v>1.4070531101116807E-3</v>
      </c>
      <c r="BH453" s="343">
        <v>0.28714214910460706</v>
      </c>
      <c r="BI453" s="343">
        <v>0.42692423496132853</v>
      </c>
    </row>
    <row r="454" spans="1:61" s="26" customFormat="1" ht="13.5" hidden="1" thickBot="1">
      <c r="A454" s="482"/>
      <c r="B454" s="27"/>
      <c r="C454" s="2489"/>
      <c r="D454" s="2109"/>
      <c r="E454" s="258" t="s">
        <v>476</v>
      </c>
      <c r="F454" s="66">
        <v>0</v>
      </c>
      <c r="G454" s="620" t="s">
        <v>24</v>
      </c>
      <c r="H454" s="164">
        <v>65.180646318174496</v>
      </c>
      <c r="I454" s="164">
        <v>65.180646318174496</v>
      </c>
      <c r="J454" s="164">
        <v>710.08422560507904</v>
      </c>
      <c r="K454" s="164">
        <v>2747.3607463848293</v>
      </c>
      <c r="L454" s="164">
        <v>319.87919812010847</v>
      </c>
      <c r="M454" s="164">
        <v>319.87919812010847</v>
      </c>
      <c r="N454" s="164">
        <v>1255.790454182034</v>
      </c>
      <c r="O454" s="164">
        <v>1255.790454182034</v>
      </c>
      <c r="P454" s="164">
        <v>220.90932532036473</v>
      </c>
      <c r="Q454" s="164">
        <v>220.90932532036473</v>
      </c>
      <c r="R454" s="164">
        <v>85.208916774429426</v>
      </c>
      <c r="S454" s="164">
        <v>52.970683503274202</v>
      </c>
      <c r="T454" s="164">
        <v>52.970683503274202</v>
      </c>
      <c r="U454" s="164">
        <v>158.5656363573321</v>
      </c>
      <c r="V454" s="164">
        <v>4754.9686215853881</v>
      </c>
      <c r="W454" s="164">
        <v>4754.9686215853881</v>
      </c>
      <c r="X454" s="164">
        <v>50.62862671871715</v>
      </c>
      <c r="Y454" s="164">
        <v>598.53202123432573</v>
      </c>
      <c r="Z454" s="164">
        <v>147.53827808995058</v>
      </c>
      <c r="AA454" s="164">
        <v>480.5923316116054</v>
      </c>
      <c r="AB454" s="164">
        <v>260.22663529349813</v>
      </c>
      <c r="AC454" s="164">
        <v>121.22556605811171</v>
      </c>
      <c r="AD454" s="164">
        <v>58.210310283353188</v>
      </c>
      <c r="AE454" s="164" t="e">
        <v>#VALUE!</v>
      </c>
      <c r="AF454" s="164" t="e">
        <v>#VALUE!</v>
      </c>
      <c r="AG454" s="164">
        <v>944759.27970635402</v>
      </c>
      <c r="AH454" s="164" t="s">
        <v>498</v>
      </c>
      <c r="AI454" s="164">
        <v>5772.1286282015963</v>
      </c>
      <c r="AJ454" s="164">
        <v>1640.4552469852379</v>
      </c>
      <c r="AK454" s="164" t="s">
        <v>498</v>
      </c>
      <c r="AL454" s="164" t="s">
        <v>498</v>
      </c>
      <c r="AM454" s="164" t="s">
        <v>498</v>
      </c>
      <c r="AN454" s="164">
        <v>0.29288465675113484</v>
      </c>
      <c r="AO454" s="164">
        <v>4.6864546101832287</v>
      </c>
      <c r="AP454" s="164">
        <v>5.9931191230862426</v>
      </c>
      <c r="AQ454" s="164">
        <v>3.8898785737454626</v>
      </c>
      <c r="AR454" s="164" t="s">
        <v>498</v>
      </c>
      <c r="AS454" s="164" t="s">
        <v>498</v>
      </c>
      <c r="AT454" s="164" t="s">
        <v>498</v>
      </c>
      <c r="AU454" s="164" t="s">
        <v>498</v>
      </c>
      <c r="AV454" s="164" t="s">
        <v>498</v>
      </c>
      <c r="AW454" s="164" t="s">
        <v>498</v>
      </c>
      <c r="AX454" s="164" t="s">
        <v>498</v>
      </c>
      <c r="AY454" s="164" t="s">
        <v>498</v>
      </c>
      <c r="AZ454" s="164" t="s">
        <v>498</v>
      </c>
      <c r="BA454" s="164" t="s">
        <v>498</v>
      </c>
      <c r="BB454" s="164" t="s">
        <v>498</v>
      </c>
      <c r="BC454" s="164" t="s">
        <v>498</v>
      </c>
      <c r="BD454" s="164">
        <v>1.8796685492557776</v>
      </c>
      <c r="BE454" s="164">
        <v>3.5055352419276382E-2</v>
      </c>
      <c r="BF454" s="164">
        <v>1.1798882820975899E-3</v>
      </c>
      <c r="BG454" s="164" t="s">
        <v>595</v>
      </c>
      <c r="BH454" s="164">
        <v>3.4742355437092975E-2</v>
      </c>
      <c r="BI454" s="164">
        <v>0.34979983938247622</v>
      </c>
    </row>
    <row r="455" spans="1:61" s="26" customFormat="1" hidden="1">
      <c r="A455" s="482"/>
      <c r="B455" s="27"/>
      <c r="C455" s="2489"/>
      <c r="D455" s="2109"/>
      <c r="E455" s="598" t="s">
        <v>599</v>
      </c>
      <c r="F455" s="599"/>
      <c r="G455" s="105"/>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row>
    <row r="456" spans="1:61" s="26" customFormat="1" hidden="1">
      <c r="A456" s="482"/>
      <c r="B456" s="27"/>
      <c r="C456" s="2453"/>
      <c r="D456" s="2454"/>
      <c r="E456" s="103" t="s">
        <v>989</v>
      </c>
      <c r="F456" s="14" t="s">
        <v>19</v>
      </c>
      <c r="G456" s="105" t="s">
        <v>20</v>
      </c>
      <c r="H456" s="113">
        <v>2422.7604535445289</v>
      </c>
      <c r="I456" s="113">
        <v>2422.7604535445289</v>
      </c>
      <c r="J456" s="113">
        <v>2812.4450652391674</v>
      </c>
      <c r="K456" s="113">
        <v>8.372224000000001</v>
      </c>
      <c r="L456" s="113">
        <v>16.530599453463537</v>
      </c>
      <c r="M456" s="113">
        <v>16.530599453463537</v>
      </c>
      <c r="N456" s="113">
        <v>44.98497074424256</v>
      </c>
      <c r="O456" s="113">
        <v>44.98497074424256</v>
      </c>
      <c r="P456" s="113">
        <v>8.8920821011085653</v>
      </c>
      <c r="Q456" s="113">
        <v>8.8920821011085653</v>
      </c>
      <c r="R456" s="113">
        <v>2.8000746861394226</v>
      </c>
      <c r="S456" s="113">
        <v>18.159248631962093</v>
      </c>
      <c r="T456" s="113">
        <v>18.159248631962093</v>
      </c>
      <c r="U456" s="113">
        <v>5.681152</v>
      </c>
      <c r="V456" s="113">
        <v>508.31739619968505</v>
      </c>
      <c r="W456" s="113">
        <v>508.31739619968505</v>
      </c>
      <c r="X456" s="113">
        <v>2.5073990971275348</v>
      </c>
      <c r="Y456" s="113">
        <v>115.74669050592814</v>
      </c>
      <c r="Z456" s="113">
        <v>199.89520683079709</v>
      </c>
      <c r="AA456" s="113">
        <v>214.61609064296312</v>
      </c>
      <c r="AB456" s="113">
        <v>325.22056106327517</v>
      </c>
      <c r="AC456" s="113">
        <v>1328.8516004428675</v>
      </c>
      <c r="AD456" s="113">
        <v>7132.696310475756</v>
      </c>
      <c r="AE456" s="113" t="e">
        <v>#VALUE!</v>
      </c>
      <c r="AF456" s="113" t="e">
        <v>#VALUE!</v>
      </c>
      <c r="AG456" s="113">
        <v>2750.8736000000004</v>
      </c>
      <c r="AH456" s="113">
        <v>3228.7114666041011</v>
      </c>
      <c r="AI456" s="113">
        <v>446.41364651862739</v>
      </c>
      <c r="AJ456" s="113">
        <v>1433.4478820485942</v>
      </c>
      <c r="AK456" s="113">
        <v>5592.2613935759246</v>
      </c>
      <c r="AL456" s="113">
        <v>1000000</v>
      </c>
      <c r="AM456" s="113">
        <v>1000000</v>
      </c>
      <c r="AN456" s="113">
        <v>211.64636486493401</v>
      </c>
      <c r="AO456" s="113">
        <v>1000000</v>
      </c>
      <c r="AP456" s="113">
        <v>1000000</v>
      </c>
      <c r="AQ456" s="113">
        <v>1000000</v>
      </c>
      <c r="AR456" s="113">
        <v>1000000</v>
      </c>
      <c r="AS456" s="113">
        <v>1000000</v>
      </c>
      <c r="AT456" s="113">
        <v>1000000</v>
      </c>
      <c r="AU456" s="113">
        <v>1000000</v>
      </c>
      <c r="AV456" s="113">
        <v>1000000</v>
      </c>
      <c r="AW456" s="113">
        <v>1000000</v>
      </c>
      <c r="AX456" s="113">
        <v>1000000</v>
      </c>
      <c r="AY456" s="113">
        <v>1000000</v>
      </c>
      <c r="AZ456" s="113">
        <v>1000000</v>
      </c>
      <c r="BA456" s="113">
        <v>1000000</v>
      </c>
      <c r="BB456" s="113">
        <v>1000000</v>
      </c>
      <c r="BC456" s="113">
        <v>1000000</v>
      </c>
      <c r="BD456" s="113">
        <v>1211.4063861186385</v>
      </c>
      <c r="BE456" s="113">
        <v>132247.37762403511</v>
      </c>
      <c r="BF456" s="113">
        <v>264494.75524807023</v>
      </c>
      <c r="BG456" s="113">
        <v>0.11257104284942092</v>
      </c>
      <c r="BH456" s="113">
        <v>19.713478101960245</v>
      </c>
      <c r="BI456" s="113">
        <v>9.7225038187280042</v>
      </c>
    </row>
    <row r="457" spans="1:61" s="26" customFormat="1" hidden="1">
      <c r="A457" s="482"/>
      <c r="B457" s="27"/>
      <c r="C457" s="2453"/>
      <c r="D457" s="2454"/>
      <c r="E457" s="103" t="s">
        <v>992</v>
      </c>
      <c r="F457" s="14" t="s">
        <v>19</v>
      </c>
      <c r="G457" s="105" t="s">
        <v>20</v>
      </c>
      <c r="H457" s="113" t="s">
        <v>498</v>
      </c>
      <c r="I457" s="113" t="s">
        <v>498</v>
      </c>
      <c r="J457" s="113" t="s">
        <v>498</v>
      </c>
      <c r="K457" s="113">
        <v>52.326400000000007</v>
      </c>
      <c r="L457" s="113" t="s">
        <v>498</v>
      </c>
      <c r="M457" s="113" t="s">
        <v>498</v>
      </c>
      <c r="N457" s="113">
        <v>26.163200000000003</v>
      </c>
      <c r="O457" s="113">
        <v>26.163200000000003</v>
      </c>
      <c r="P457" s="113">
        <v>8.8688813559322028</v>
      </c>
      <c r="Q457" s="113">
        <v>8.8688813559322028</v>
      </c>
      <c r="R457" s="113">
        <v>52.326399999999985</v>
      </c>
      <c r="S457" s="113">
        <v>2.2750608695652175</v>
      </c>
      <c r="T457" s="113">
        <v>2.2750608695652175</v>
      </c>
      <c r="U457" s="113">
        <v>1.2458666666666665</v>
      </c>
      <c r="V457" s="113" t="s">
        <v>498</v>
      </c>
      <c r="W457" s="113" t="s">
        <v>498</v>
      </c>
      <c r="X457" s="113">
        <v>8.7210666666666654</v>
      </c>
      <c r="Y457" s="113" t="s">
        <v>498</v>
      </c>
      <c r="Z457" s="113">
        <v>26.885839091415537</v>
      </c>
      <c r="AA457" s="113" t="s">
        <v>498</v>
      </c>
      <c r="AB457" s="113" t="s">
        <v>498</v>
      </c>
      <c r="AC457" s="113" t="s">
        <v>498</v>
      </c>
      <c r="AD457" s="113" t="s">
        <v>498</v>
      </c>
      <c r="AE457" s="113" t="s">
        <v>498</v>
      </c>
      <c r="AF457" s="113" t="s">
        <v>498</v>
      </c>
      <c r="AG457" s="113" t="s">
        <v>498</v>
      </c>
      <c r="AH457" s="113" t="s">
        <v>498</v>
      </c>
      <c r="AI457" s="113" t="s">
        <v>498</v>
      </c>
      <c r="AJ457" s="113" t="s">
        <v>498</v>
      </c>
      <c r="AK457" s="113" t="s">
        <v>498</v>
      </c>
      <c r="AL457" s="113" t="s">
        <v>498</v>
      </c>
      <c r="AM457" s="113" t="s">
        <v>498</v>
      </c>
      <c r="AN457" s="113">
        <v>28.50998276623169</v>
      </c>
      <c r="AO457" s="113">
        <v>3103.9938275952459</v>
      </c>
      <c r="AP457" s="113">
        <v>1991.6156298729998</v>
      </c>
      <c r="AQ457" s="113">
        <v>4696.9189278701097</v>
      </c>
      <c r="AR457" s="113">
        <v>22845.452995364049</v>
      </c>
      <c r="AS457" s="113">
        <v>1790.7672522508465</v>
      </c>
      <c r="AT457" s="113">
        <v>252555.38029904594</v>
      </c>
      <c r="AU457" s="113">
        <v>259135.97050587085</v>
      </c>
      <c r="AV457" s="113">
        <v>17216.673981423388</v>
      </c>
      <c r="AW457" s="113">
        <v>232003.76819676632</v>
      </c>
      <c r="AX457" s="113">
        <v>108039.06096607701</v>
      </c>
      <c r="AY457" s="113">
        <v>202570.88818492193</v>
      </c>
      <c r="AZ457" s="113">
        <v>55937.61969581186</v>
      </c>
      <c r="BA457" s="113">
        <v>57113.197496308843</v>
      </c>
      <c r="BB457" s="113">
        <v>2297628.6502791243</v>
      </c>
      <c r="BC457" s="113">
        <v>967753.09707788401</v>
      </c>
      <c r="BD457" s="113" t="s">
        <v>498</v>
      </c>
      <c r="BE457" s="113" t="s">
        <v>498</v>
      </c>
      <c r="BF457" s="113">
        <v>4372.2906715820882</v>
      </c>
      <c r="BG457" s="113" t="s">
        <v>498</v>
      </c>
      <c r="BH457" s="113" t="s">
        <v>498</v>
      </c>
      <c r="BI457" s="113" t="s">
        <v>498</v>
      </c>
    </row>
    <row r="458" spans="1:61" s="26" customFormat="1" hidden="1">
      <c r="A458" s="482"/>
      <c r="B458" s="27"/>
      <c r="C458" s="2453"/>
      <c r="D458" s="2454"/>
      <c r="E458" s="103" t="s">
        <v>493</v>
      </c>
      <c r="F458" s="14" t="s">
        <v>19</v>
      </c>
      <c r="G458" s="105" t="s">
        <v>20</v>
      </c>
      <c r="H458" s="113">
        <v>2422.7604535445289</v>
      </c>
      <c r="I458" s="113">
        <v>2422.7604535445289</v>
      </c>
      <c r="J458" s="113">
        <v>2812.4450652391674</v>
      </c>
      <c r="K458" s="113">
        <v>8.372224000000001</v>
      </c>
      <c r="L458" s="113">
        <v>16.530599453463537</v>
      </c>
      <c r="M458" s="113">
        <v>16.530599453463537</v>
      </c>
      <c r="N458" s="113">
        <v>26.163200000000003</v>
      </c>
      <c r="O458" s="113">
        <v>26.163200000000003</v>
      </c>
      <c r="P458" s="113">
        <v>8.8688813559322028</v>
      </c>
      <c r="Q458" s="113">
        <v>8.8688813559322028</v>
      </c>
      <c r="R458" s="113">
        <v>2.8000746861394226</v>
      </c>
      <c r="S458" s="113">
        <v>2.2750608695652175</v>
      </c>
      <c r="T458" s="113">
        <v>2.2750608695652175</v>
      </c>
      <c r="U458" s="113">
        <v>1.2458666666666665</v>
      </c>
      <c r="V458" s="113">
        <v>508.31739619968505</v>
      </c>
      <c r="W458" s="113">
        <v>508.31739619968505</v>
      </c>
      <c r="X458" s="113">
        <v>2.5073990971275348</v>
      </c>
      <c r="Y458" s="113">
        <v>115.74669050592814</v>
      </c>
      <c r="Z458" s="113">
        <v>26.885839091415537</v>
      </c>
      <c r="AA458" s="113">
        <v>214.61609064296312</v>
      </c>
      <c r="AB458" s="113">
        <v>325.22056106327517</v>
      </c>
      <c r="AC458" s="113">
        <v>1328.8516004428675</v>
      </c>
      <c r="AD458" s="113">
        <v>7132.696310475756</v>
      </c>
      <c r="AE458" s="113" t="e">
        <v>#VALUE!</v>
      </c>
      <c r="AF458" s="113" t="e">
        <v>#VALUE!</v>
      </c>
      <c r="AG458" s="113">
        <v>2750.8736000000004</v>
      </c>
      <c r="AH458" s="113">
        <v>3228.7114666041011</v>
      </c>
      <c r="AI458" s="113">
        <v>446.41364651862739</v>
      </c>
      <c r="AJ458" s="113">
        <v>1433.4478820485942</v>
      </c>
      <c r="AK458" s="113">
        <v>5592.2613935759246</v>
      </c>
      <c r="AL458" s="113">
        <v>1000000</v>
      </c>
      <c r="AM458" s="113">
        <v>1000000</v>
      </c>
      <c r="AN458" s="113">
        <v>28.50998276623169</v>
      </c>
      <c r="AO458" s="113">
        <v>3103.9938275952459</v>
      </c>
      <c r="AP458" s="113">
        <v>1991.6156298729998</v>
      </c>
      <c r="AQ458" s="113">
        <v>4696.9189278701097</v>
      </c>
      <c r="AR458" s="113">
        <v>22845.452995364049</v>
      </c>
      <c r="AS458" s="113">
        <v>1790.7672522508465</v>
      </c>
      <c r="AT458" s="113">
        <v>252555.38029904594</v>
      </c>
      <c r="AU458" s="113">
        <v>259135.97050587085</v>
      </c>
      <c r="AV458" s="113">
        <v>17216.673981423388</v>
      </c>
      <c r="AW458" s="113">
        <v>232003.76819676632</v>
      </c>
      <c r="AX458" s="113">
        <v>108039.06096607701</v>
      </c>
      <c r="AY458" s="113">
        <v>202570.88818492193</v>
      </c>
      <c r="AZ458" s="113">
        <v>55937.61969581186</v>
      </c>
      <c r="BA458" s="113">
        <v>57113.197496308843</v>
      </c>
      <c r="BB458" s="113">
        <v>1000000</v>
      </c>
      <c r="BC458" s="113">
        <v>967753.09707788401</v>
      </c>
      <c r="BD458" s="113">
        <v>1211.4063861186385</v>
      </c>
      <c r="BE458" s="113">
        <v>132247.37762403511</v>
      </c>
      <c r="BF458" s="113">
        <v>4372.2906715820882</v>
      </c>
      <c r="BG458" s="113">
        <v>0.11257104284942092</v>
      </c>
      <c r="BH458" s="113">
        <v>19.713478101960245</v>
      </c>
      <c r="BI458" s="113">
        <v>9.7225038187280042</v>
      </c>
    </row>
    <row r="459" spans="1:61" s="495" customFormat="1" hidden="1">
      <c r="A459" s="398"/>
      <c r="B459" s="492"/>
      <c r="C459" s="2489"/>
      <c r="D459" s="2109"/>
      <c r="E459" s="619" t="s">
        <v>499</v>
      </c>
      <c r="F459" s="493" t="s">
        <v>19</v>
      </c>
      <c r="G459" s="584" t="s">
        <v>20</v>
      </c>
      <c r="H459" s="343">
        <v>2422.7604535445289</v>
      </c>
      <c r="I459" s="343">
        <v>2422.7604535445289</v>
      </c>
      <c r="J459" s="343">
        <v>2812.4450652391674</v>
      </c>
      <c r="K459" s="343">
        <v>8.372224000000001</v>
      </c>
      <c r="L459" s="343">
        <v>16.530599453463537</v>
      </c>
      <c r="M459" s="343">
        <v>16.530599453463537</v>
      </c>
      <c r="N459" s="343">
        <v>26.163200000000003</v>
      </c>
      <c r="O459" s="343">
        <v>26.163200000000003</v>
      </c>
      <c r="P459" s="343">
        <v>8.8688813559322028</v>
      </c>
      <c r="Q459" s="343">
        <v>8.8688813559322028</v>
      </c>
      <c r="R459" s="343">
        <v>2.8000746861394226</v>
      </c>
      <c r="S459" s="343">
        <v>2.2750608695652175</v>
      </c>
      <c r="T459" s="343">
        <v>2.2750608695652175</v>
      </c>
      <c r="U459" s="343">
        <v>1.2458666666666665</v>
      </c>
      <c r="V459" s="343" t="s">
        <v>498</v>
      </c>
      <c r="W459" s="343" t="s">
        <v>498</v>
      </c>
      <c r="X459" s="343">
        <v>2.5073990971275348</v>
      </c>
      <c r="Y459" s="343">
        <v>115.74669050592814</v>
      </c>
      <c r="Z459" s="343">
        <v>26.885839091415537</v>
      </c>
      <c r="AA459" s="343">
        <v>214.61609064296312</v>
      </c>
      <c r="AB459" s="343">
        <v>325.22056106327517</v>
      </c>
      <c r="AC459" s="343" t="s">
        <v>498</v>
      </c>
      <c r="AD459" s="343" t="s">
        <v>498</v>
      </c>
      <c r="AE459" s="343" t="e">
        <v>#VALUE!</v>
      </c>
      <c r="AF459" s="343" t="e">
        <v>#VALUE!</v>
      </c>
      <c r="AG459" s="343" t="s">
        <v>498</v>
      </c>
      <c r="AH459" s="343" t="s">
        <v>498</v>
      </c>
      <c r="AI459" s="343" t="s">
        <v>498</v>
      </c>
      <c r="AJ459" s="343" t="s">
        <v>498</v>
      </c>
      <c r="AK459" s="343" t="s">
        <v>498</v>
      </c>
      <c r="AL459" s="343" t="s">
        <v>498</v>
      </c>
      <c r="AM459" s="343" t="s">
        <v>498</v>
      </c>
      <c r="AN459" s="343">
        <v>28.50998276623169</v>
      </c>
      <c r="AO459" s="343" t="s">
        <v>498</v>
      </c>
      <c r="AP459" s="343" t="s">
        <v>498</v>
      </c>
      <c r="AQ459" s="343" t="s">
        <v>498</v>
      </c>
      <c r="AR459" s="343" t="s">
        <v>498</v>
      </c>
      <c r="AS459" s="343" t="s">
        <v>498</v>
      </c>
      <c r="AT459" s="343" t="s">
        <v>498</v>
      </c>
      <c r="AU459" s="343" t="s">
        <v>498</v>
      </c>
      <c r="AV459" s="343" t="s">
        <v>498</v>
      </c>
      <c r="AW459" s="343" t="s">
        <v>498</v>
      </c>
      <c r="AX459" s="343" t="s">
        <v>498</v>
      </c>
      <c r="AY459" s="343" t="s">
        <v>498</v>
      </c>
      <c r="AZ459" s="343" t="s">
        <v>498</v>
      </c>
      <c r="BA459" s="343" t="s">
        <v>498</v>
      </c>
      <c r="BB459" s="343" t="s">
        <v>498</v>
      </c>
      <c r="BC459" s="343" t="s">
        <v>498</v>
      </c>
      <c r="BD459" s="343">
        <v>1211.4063861186385</v>
      </c>
      <c r="BE459" s="343" t="s">
        <v>498</v>
      </c>
      <c r="BF459" s="343" t="s">
        <v>498</v>
      </c>
      <c r="BG459" s="343">
        <v>0.11257104284942092</v>
      </c>
      <c r="BH459" s="343">
        <v>19.713478101960245</v>
      </c>
      <c r="BI459" s="343">
        <v>9.7225038187280042</v>
      </c>
    </row>
    <row r="460" spans="1:61" s="403" customFormat="1" ht="13.5" hidden="1" thickBot="1">
      <c r="A460" s="600"/>
      <c r="B460" s="257"/>
      <c r="C460" s="2494"/>
      <c r="D460" s="2495"/>
      <c r="E460" s="258" t="s">
        <v>476</v>
      </c>
      <c r="F460" s="66">
        <v>0</v>
      </c>
      <c r="G460" s="620" t="s">
        <v>24</v>
      </c>
      <c r="H460" s="164">
        <v>5719.2706721758495</v>
      </c>
      <c r="I460" s="164">
        <v>5719.2706721758495</v>
      </c>
      <c r="J460" s="164">
        <v>39020.833851357413</v>
      </c>
      <c r="K460" s="164">
        <v>28387.602232704299</v>
      </c>
      <c r="L460" s="164">
        <v>6090.9293356311819</v>
      </c>
      <c r="M460" s="164">
        <v>6090.9293356311819</v>
      </c>
      <c r="N460" s="164">
        <v>12975.682188025714</v>
      </c>
      <c r="O460" s="164">
        <v>12975.682188025714</v>
      </c>
      <c r="P460" s="164">
        <v>3868.7891395785109</v>
      </c>
      <c r="Q460" s="164">
        <v>3868.7891395785109</v>
      </c>
      <c r="R460" s="164">
        <v>1648.978031149376</v>
      </c>
      <c r="S460" s="164">
        <v>547.32917592424224</v>
      </c>
      <c r="T460" s="164">
        <v>547.32917592424224</v>
      </c>
      <c r="U460" s="164">
        <v>1638.4081408350555</v>
      </c>
      <c r="V460" s="164" t="s">
        <v>498</v>
      </c>
      <c r="W460" s="164" t="s">
        <v>498</v>
      </c>
      <c r="X460" s="164">
        <v>913.92085887844712</v>
      </c>
      <c r="Y460" s="164">
        <v>18415.471137623139</v>
      </c>
      <c r="Z460" s="164">
        <v>1958.2154823305798</v>
      </c>
      <c r="AA460" s="164">
        <v>10183.598923949787</v>
      </c>
      <c r="AB460" s="164">
        <v>16082.292655479809</v>
      </c>
      <c r="AC460" s="164" t="s">
        <v>498</v>
      </c>
      <c r="AD460" s="164" t="s">
        <v>498</v>
      </c>
      <c r="AE460" s="164" t="e">
        <v>#VALUE!</v>
      </c>
      <c r="AF460" s="164" t="e">
        <v>#VALUE!</v>
      </c>
      <c r="AG460" s="164" t="s">
        <v>498</v>
      </c>
      <c r="AH460" s="164" t="s">
        <v>498</v>
      </c>
      <c r="AI460" s="164" t="s">
        <v>498</v>
      </c>
      <c r="AJ460" s="164" t="s">
        <v>498</v>
      </c>
      <c r="AK460" s="164" t="s">
        <v>498</v>
      </c>
      <c r="AL460" s="164" t="s">
        <v>498</v>
      </c>
      <c r="AM460" s="164" t="s">
        <v>498</v>
      </c>
      <c r="AN460" s="164">
        <v>22.926940100352589</v>
      </c>
      <c r="AO460" s="164" t="s">
        <v>498</v>
      </c>
      <c r="AP460" s="164" t="s">
        <v>498</v>
      </c>
      <c r="AQ460" s="164" t="s">
        <v>498</v>
      </c>
      <c r="AR460" s="164" t="s">
        <v>498</v>
      </c>
      <c r="AS460" s="164" t="s">
        <v>498</v>
      </c>
      <c r="AT460" s="164" t="s">
        <v>498</v>
      </c>
      <c r="AU460" s="164" t="s">
        <v>498</v>
      </c>
      <c r="AV460" s="164" t="s">
        <v>498</v>
      </c>
      <c r="AW460" s="164" t="s">
        <v>498</v>
      </c>
      <c r="AX460" s="164" t="s">
        <v>498</v>
      </c>
      <c r="AY460" s="164" t="s">
        <v>498</v>
      </c>
      <c r="AZ460" s="164" t="s">
        <v>498</v>
      </c>
      <c r="BA460" s="164" t="s">
        <v>498</v>
      </c>
      <c r="BB460" s="164" t="s">
        <v>498</v>
      </c>
      <c r="BC460" s="164" t="s">
        <v>498</v>
      </c>
      <c r="BD460" s="164">
        <v>77.025561518155826</v>
      </c>
      <c r="BE460" s="164" t="s">
        <v>498</v>
      </c>
      <c r="BF460" s="164" t="s">
        <v>498</v>
      </c>
      <c r="BG460" s="164" t="s">
        <v>595</v>
      </c>
      <c r="BH460" s="164">
        <v>2.3852042107205325</v>
      </c>
      <c r="BI460" s="164">
        <v>7.9661213763014169</v>
      </c>
    </row>
    <row r="461" spans="1:61" s="26" customFormat="1" hidden="1">
      <c r="A461" s="482"/>
      <c r="B461" s="27"/>
      <c r="C461" s="2453"/>
      <c r="D461" s="2454"/>
      <c r="E461" s="103"/>
      <c r="F461" s="14"/>
      <c r="G461" s="105"/>
      <c r="H461" s="113"/>
      <c r="I461" s="113"/>
      <c r="J461" s="113"/>
      <c r="K461" s="113"/>
      <c r="L461" s="113"/>
      <c r="M461" s="113"/>
      <c r="N461" s="113"/>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row>
    <row r="462" spans="1:61" s="26" customFormat="1">
      <c r="A462" s="482"/>
      <c r="B462" s="27"/>
      <c r="C462" s="138"/>
      <c r="D462" s="195"/>
      <c r="E462" s="103"/>
      <c r="F462" s="14"/>
      <c r="G462" s="105"/>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row>
    <row r="463" spans="1:61" ht="15.75">
      <c r="A463" s="397"/>
      <c r="B463" s="41"/>
      <c r="C463" s="2486"/>
      <c r="D463" s="2487"/>
      <c r="E463" s="2458" t="s">
        <v>494</v>
      </c>
      <c r="F463" s="2543"/>
      <c r="G463" s="161"/>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row>
    <row r="464" spans="1:61">
      <c r="A464" s="397"/>
      <c r="B464" s="41"/>
      <c r="C464" s="2486"/>
      <c r="D464" s="2487"/>
      <c r="E464" s="103"/>
      <c r="F464" s="147"/>
      <c r="G464" s="161"/>
      <c r="H464" s="113"/>
      <c r="I464" s="113"/>
      <c r="J464" s="113"/>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row>
    <row r="465" spans="1:61" s="43" customFormat="1">
      <c r="A465" s="398"/>
      <c r="B465" s="100"/>
      <c r="C465" s="2453"/>
      <c r="D465" s="2454"/>
      <c r="E465" s="102" t="str">
        <f>'3phas'!E29</f>
        <v>Concentration dans l'air du sol</v>
      </c>
      <c r="F465" s="12" t="str">
        <f>'3phas'!F29</f>
        <v>Csao</v>
      </c>
      <c r="G465" s="89" t="str">
        <f>'3phas'!G29</f>
        <v>mg/lsa</v>
      </c>
      <c r="H465" s="113">
        <f>'3phas'!H29</f>
        <v>2.6344915493597683E-5</v>
      </c>
      <c r="I465" s="113">
        <f>'3phas'!I29</f>
        <v>2.6344915493597683E-5</v>
      </c>
      <c r="J465" s="113">
        <f>'3phas'!J29</f>
        <v>1.7294665170559828E-4</v>
      </c>
      <c r="K465" s="113">
        <f>'3phas'!K29</f>
        <v>3.8533137340406046E-2</v>
      </c>
      <c r="L465" s="113">
        <f>'3phas'!L29</f>
        <v>7.2043886661145619E-3</v>
      </c>
      <c r="M465" s="113">
        <f>'3phas'!M29</f>
        <v>7.2043886661145619E-3</v>
      </c>
      <c r="N465" s="113">
        <f>'3phas'!N29</f>
        <v>1.4209304329284909E-2</v>
      </c>
      <c r="O465" s="113">
        <f>'3phas'!O29</f>
        <v>1.4209304329284909E-2</v>
      </c>
      <c r="P465" s="113">
        <f>'3phas'!P29</f>
        <v>1.5512881309499849E-2</v>
      </c>
      <c r="Q465" s="113">
        <f>'3phas'!Q29</f>
        <v>1.5512881309499849E-2</v>
      </c>
      <c r="R465" s="113">
        <f>'3phas'!R29</f>
        <v>6.2357526395766232E-3</v>
      </c>
      <c r="S465" s="113">
        <f>'3phas'!S29</f>
        <v>5.8502321443335116E-3</v>
      </c>
      <c r="T465" s="113">
        <f>'3phas'!T29</f>
        <v>5.8502321443335116E-3</v>
      </c>
      <c r="U465" s="113">
        <f>'3phas'!U29</f>
        <v>2.7542637283837157E-2</v>
      </c>
      <c r="V465" s="113">
        <f>'3phas'!V29</f>
        <v>4.5081833000455138E-2</v>
      </c>
      <c r="W465" s="113">
        <f>'3phas'!W29</f>
        <v>4.5081833000455138E-2</v>
      </c>
      <c r="X465" s="113">
        <f>'3phas'!X29</f>
        <v>8.6485661989017699E-3</v>
      </c>
      <c r="Y465" s="113">
        <f>'3phas'!Y29</f>
        <v>5.993965977385691E-3</v>
      </c>
      <c r="Z465" s="113">
        <f>'3phas'!Z29</f>
        <v>3.5497292270791521E-3</v>
      </c>
      <c r="AA465" s="113">
        <f>'3phas'!AA29</f>
        <v>2.3813702260309095E-3</v>
      </c>
      <c r="AB465" s="113">
        <f>'3phas'!AB29</f>
        <v>2.6932603294411986E-3</v>
      </c>
      <c r="AC465" s="113">
        <f>'3phas'!AC29</f>
        <v>5.2554793006195943E-4</v>
      </c>
      <c r="AD465" s="113">
        <f>'3phas'!AD29</f>
        <v>1.028672332145031E-4</v>
      </c>
      <c r="AE465" s="113">
        <f>'3phas'!AE29</f>
        <v>1.2826753318511306E-5</v>
      </c>
      <c r="AF465" s="113">
        <f>'3phas'!AF29</f>
        <v>5.3163648152556569E-8</v>
      </c>
      <c r="AG465" s="113">
        <f>'3phas'!AG29</f>
        <v>6.1940871390656474E-2</v>
      </c>
      <c r="AH465" s="113">
        <f>'3phas'!AH29</f>
        <v>4.6377578561443124E-2</v>
      </c>
      <c r="AI465" s="113">
        <f>'3phas'!AI29</f>
        <v>1.8857794422825369E-2</v>
      </c>
      <c r="AJ465" s="113">
        <f>'3phas'!AJ29</f>
        <v>4.4889687551390436E-3</v>
      </c>
      <c r="AK465" s="113">
        <f>'3phas'!AK29</f>
        <v>1.0233523087107474E-3</v>
      </c>
      <c r="AL465" s="113">
        <f>'3phas'!AL29</f>
        <v>7.7579419375401509E-5</v>
      </c>
      <c r="AM465" s="113">
        <f>'3phas'!AM29</f>
        <v>5.3702795063791614E-7</v>
      </c>
      <c r="AN465" s="113">
        <f>'3phas'!AN29</f>
        <v>4.2745064887962941E-5</v>
      </c>
      <c r="AO465" s="113">
        <f>'3phas'!AO29</f>
        <v>1.1674416703897762E-5</v>
      </c>
      <c r="AP465" s="113">
        <f>'3phas'!AP29</f>
        <v>1.9530721705911088E-5</v>
      </c>
      <c r="AQ465" s="113">
        <f>'3phas'!AQ29</f>
        <v>7.908256947449179E-6</v>
      </c>
      <c r="AR465" s="113">
        <f>'3phas'!AR29</f>
        <v>1.5833670554255824E-6</v>
      </c>
      <c r="AS465" s="113">
        <f>'3phas'!AS29</f>
        <v>2.0451082714404039E-6</v>
      </c>
      <c r="AT465" s="113">
        <f>'3phas'!AT29</f>
        <v>1.4928371240425742E-7</v>
      </c>
      <c r="AU465" s="113">
        <f>'3phas'!AU29</f>
        <v>1.4361262823078676E-7</v>
      </c>
      <c r="AV465" s="113">
        <f>'3phas'!AV29</f>
        <v>2.2911220155058073E-8</v>
      </c>
      <c r="AW465" s="113">
        <f>'3phas'!AW29</f>
        <v>2.2076853681384033E-8</v>
      </c>
      <c r="AX465" s="113">
        <f>'3phas'!AX29</f>
        <v>7.7706494784308005E-10</v>
      </c>
      <c r="AY465" s="113">
        <f>'3phas'!AY29</f>
        <v>5.3329663902576087E-10</v>
      </c>
      <c r="AZ465" s="113">
        <f>'3phas'!AZ29</f>
        <v>3.5612607863435816E-10</v>
      </c>
      <c r="BA465" s="113">
        <f>'3phas'!BA29</f>
        <v>6.150661140942291E-11</v>
      </c>
      <c r="BB465" s="113">
        <f>'3phas'!BB29</f>
        <v>9.7385899742535782E-10</v>
      </c>
      <c r="BC465" s="113">
        <f>'3phas'!BC29</f>
        <v>2.5870688218630141E-16</v>
      </c>
      <c r="BD465" s="113">
        <f>'3phas'!BD29</f>
        <v>9.3547154384050273E-7</v>
      </c>
      <c r="BE465" s="113">
        <f>'3phas'!BE29</f>
        <v>2.0762670819205671E-8</v>
      </c>
      <c r="BF465" s="113">
        <f>'3phas'!BF29</f>
        <v>2.0762670819205671E-8</v>
      </c>
      <c r="BG465" s="113">
        <f>'3phas'!BG29</f>
        <v>1.696696593449333E-2</v>
      </c>
      <c r="BH465" s="113">
        <f>'3phas'!BH29</f>
        <v>1.2439792874542166E-6</v>
      </c>
      <c r="BI465" s="113">
        <f>'3phas'!BI29</f>
        <v>9.6251339173241278E-6</v>
      </c>
    </row>
    <row r="466" spans="1:61" s="43" customFormat="1">
      <c r="A466" s="398"/>
      <c r="B466" s="100"/>
      <c r="C466" s="2453"/>
      <c r="D466" s="2454"/>
      <c r="E466" s="102"/>
      <c r="F466" s="12"/>
      <c r="G466" s="89"/>
      <c r="H466" s="113"/>
      <c r="I466" s="113"/>
      <c r="J466" s="113"/>
      <c r="K466" s="113"/>
      <c r="L466" s="113"/>
      <c r="M466" s="113"/>
      <c r="N466" s="113"/>
      <c r="O466" s="113"/>
      <c r="P466" s="113"/>
      <c r="Q466" s="113"/>
      <c r="R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row>
    <row r="467" spans="1:61" s="43" customFormat="1">
      <c r="A467" s="397"/>
      <c r="B467" s="100"/>
      <c r="C467" s="2453"/>
      <c r="D467" s="2454"/>
      <c r="E467" s="145" t="s">
        <v>255</v>
      </c>
      <c r="F467" s="60"/>
      <c r="G467" s="143"/>
      <c r="H467" s="113"/>
      <c r="I467" s="113"/>
      <c r="J467" s="113"/>
      <c r="K467" s="113"/>
      <c r="L467" s="113"/>
      <c r="M467" s="113"/>
      <c r="N467" s="113"/>
      <c r="O467" s="113"/>
      <c r="P467" s="113"/>
      <c r="Q467" s="113"/>
      <c r="R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row>
    <row r="468" spans="1:61" ht="25.5">
      <c r="A468" s="400"/>
      <c r="B468" s="39"/>
      <c r="C468" s="2492"/>
      <c r="D468" s="2493"/>
      <c r="E468" s="141" t="str">
        <f>Dispers!E60</f>
        <v>CT dispersion: émission int. -&gt; air atmosphq int.</v>
      </c>
      <c r="F468" s="95" t="str">
        <f>Dispers!F60</f>
        <v>CTémi-&gt;ia</v>
      </c>
      <c r="G468" s="142" t="str">
        <f>Dispers!G60</f>
        <v>(mg/m3)/ (mg/m2/s)</v>
      </c>
      <c r="H468" s="186">
        <f>Dispers!$H$60</f>
        <v>1350</v>
      </c>
      <c r="I468" s="186">
        <f>Dispers!$H$60</f>
        <v>1350</v>
      </c>
      <c r="J468" s="186">
        <f>Dispers!$H$60</f>
        <v>1350</v>
      </c>
      <c r="K468" s="186">
        <f>Dispers!$H$60</f>
        <v>1350</v>
      </c>
      <c r="L468" s="186">
        <f>Dispers!$H$60</f>
        <v>1350</v>
      </c>
      <c r="M468" s="186">
        <f>Dispers!$H$60</f>
        <v>1350</v>
      </c>
      <c r="N468" s="186">
        <f>Dispers!$H$60</f>
        <v>1350</v>
      </c>
      <c r="O468" s="186">
        <f>Dispers!$H$60</f>
        <v>1350</v>
      </c>
      <c r="P468" s="186">
        <f>Dispers!$H$60</f>
        <v>1350</v>
      </c>
      <c r="Q468" s="186">
        <f>Dispers!$H$60</f>
        <v>1350</v>
      </c>
      <c r="R468" s="186">
        <f>Dispers!$H$60</f>
        <v>1350</v>
      </c>
      <c r="S468" s="186">
        <f>Dispers!$H$60</f>
        <v>1350</v>
      </c>
      <c r="T468" s="186">
        <f>Dispers!$H$60</f>
        <v>1350</v>
      </c>
      <c r="U468" s="186">
        <f>Dispers!$H$60</f>
        <v>1350</v>
      </c>
      <c r="V468" s="186">
        <f>Dispers!$H$60</f>
        <v>1350</v>
      </c>
      <c r="W468" s="186">
        <f>Dispers!$H$60</f>
        <v>1350</v>
      </c>
      <c r="X468" s="186">
        <f>Dispers!$H$60</f>
        <v>1350</v>
      </c>
      <c r="Y468" s="186">
        <f>Dispers!$H$60</f>
        <v>1350</v>
      </c>
      <c r="Z468" s="186">
        <f>Dispers!$H$60</f>
        <v>1350</v>
      </c>
      <c r="AA468" s="186">
        <f>Dispers!$H$60</f>
        <v>1350</v>
      </c>
      <c r="AB468" s="186">
        <f>Dispers!$H$60</f>
        <v>1350</v>
      </c>
      <c r="AC468" s="186">
        <f>Dispers!$H$60</f>
        <v>1350</v>
      </c>
      <c r="AD468" s="186">
        <f>Dispers!$H$60</f>
        <v>1350</v>
      </c>
      <c r="AE468" s="186">
        <f>Dispers!$H$60</f>
        <v>1350</v>
      </c>
      <c r="AF468" s="186">
        <f>Dispers!$H$60</f>
        <v>1350</v>
      </c>
      <c r="AG468" s="186">
        <f>Dispers!$H$60</f>
        <v>1350</v>
      </c>
      <c r="AH468" s="186">
        <f>Dispers!$H$60</f>
        <v>1350</v>
      </c>
      <c r="AI468" s="186">
        <f>Dispers!$H$60</f>
        <v>1350</v>
      </c>
      <c r="AJ468" s="186">
        <f>Dispers!$H$60</f>
        <v>1350</v>
      </c>
      <c r="AK468" s="186">
        <f>Dispers!$H$60</f>
        <v>1350</v>
      </c>
      <c r="AL468" s="186">
        <f>Dispers!$H$60</f>
        <v>1350</v>
      </c>
      <c r="AM468" s="186">
        <f>Dispers!$H$60</f>
        <v>1350</v>
      </c>
      <c r="AN468" s="186">
        <f>Dispers!$H$60</f>
        <v>1350</v>
      </c>
      <c r="AO468" s="186">
        <f>Dispers!$H$60</f>
        <v>1350</v>
      </c>
      <c r="AP468" s="186">
        <f>Dispers!$H$60</f>
        <v>1350</v>
      </c>
      <c r="AQ468" s="186">
        <f>Dispers!$H$60</f>
        <v>1350</v>
      </c>
      <c r="AR468" s="186">
        <f>Dispers!$H$60</f>
        <v>1350</v>
      </c>
      <c r="AS468" s="186">
        <f>Dispers!$H$60</f>
        <v>1350</v>
      </c>
      <c r="AT468" s="186">
        <f>Dispers!$H$60</f>
        <v>1350</v>
      </c>
      <c r="AU468" s="186">
        <f>Dispers!$H$60</f>
        <v>1350</v>
      </c>
      <c r="AV468" s="186">
        <f>Dispers!$H$60</f>
        <v>1350</v>
      </c>
      <c r="AW468" s="186">
        <f>Dispers!$H$60</f>
        <v>1350</v>
      </c>
      <c r="AX468" s="186">
        <f>Dispers!$H$60</f>
        <v>1350</v>
      </c>
      <c r="AY468" s="186">
        <f>Dispers!$H$60</f>
        <v>1350</v>
      </c>
      <c r="AZ468" s="186">
        <f>Dispers!$H$60</f>
        <v>1350</v>
      </c>
      <c r="BA468" s="186">
        <f>Dispers!$H$60</f>
        <v>1350</v>
      </c>
      <c r="BB468" s="186">
        <f>Dispers!$H$60</f>
        <v>1350</v>
      </c>
      <c r="BC468" s="186">
        <f>Dispers!$H$60</f>
        <v>1350</v>
      </c>
      <c r="BD468" s="186">
        <f>Dispers!$H$60</f>
        <v>1350</v>
      </c>
      <c r="BE468" s="186">
        <f>Dispers!$H$60</f>
        <v>1350</v>
      </c>
      <c r="BF468" s="186">
        <f>Dispers!$H$60</f>
        <v>1350</v>
      </c>
      <c r="BG468" s="186">
        <f>Dispers!$H$60</f>
        <v>1350</v>
      </c>
      <c r="BH468" s="186">
        <f>Dispers!$H$60</f>
        <v>1350</v>
      </c>
      <c r="BI468" s="186">
        <f>Dispers!$H$60</f>
        <v>1350</v>
      </c>
    </row>
    <row r="469" spans="1:61">
      <c r="A469" s="400"/>
      <c r="B469" s="39"/>
      <c r="C469" s="2492"/>
      <c r="D469" s="2493"/>
      <c r="E469" s="141"/>
      <c r="F469" s="95"/>
      <c r="G469" s="142"/>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c r="AK469" s="186"/>
      <c r="AL469" s="186"/>
      <c r="AM469" s="18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86"/>
      <c r="BI469" s="186"/>
    </row>
    <row r="470" spans="1:61">
      <c r="A470" s="33"/>
      <c r="B470" s="33"/>
      <c r="C470" s="2453"/>
      <c r="D470" s="2454"/>
      <c r="E470" s="588" t="s">
        <v>658</v>
      </c>
      <c r="F470" s="12"/>
      <c r="G470" s="89"/>
      <c r="H470" s="113"/>
      <c r="I470" s="113"/>
      <c r="J470" s="113"/>
      <c r="K470" s="113"/>
      <c r="L470" s="113"/>
      <c r="M470" s="113"/>
      <c r="N470" s="113"/>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row>
    <row r="471" spans="1:61">
      <c r="A471" s="33"/>
      <c r="B471" s="33"/>
      <c r="C471" s="2453"/>
      <c r="D471" s="2454"/>
      <c r="E471" s="200" t="str">
        <f>'EmVap-Vol'!E$226</f>
        <v>CT de l'air du sol de la source à l'émission (diffusion + convection), avant contrôle de masse</v>
      </c>
      <c r="F471" s="14" t="s">
        <v>204</v>
      </c>
      <c r="G471" s="89" t="str">
        <f>'EmVap-Vol'!G$226</f>
        <v>(mg/m2/s)/(mg/l)</v>
      </c>
      <c r="H471" s="113">
        <f>'EmVap-Vol'!H$226</f>
        <v>2.9869500750778842E-2</v>
      </c>
      <c r="I471" s="113">
        <f>'EmVap-Vol'!I$226</f>
        <v>2.9869500750778842E-2</v>
      </c>
      <c r="J471" s="113">
        <f>'EmVap-Vol'!J$226</f>
        <v>2.9869500750778842E-2</v>
      </c>
      <c r="K471" s="113">
        <f>'EmVap-Vol'!K$226</f>
        <v>2.9869500750778842E-2</v>
      </c>
      <c r="L471" s="113">
        <f>'EmVap-Vol'!L$226</f>
        <v>2.9869500750778842E-2</v>
      </c>
      <c r="M471" s="113">
        <f>'EmVap-Vol'!M$226</f>
        <v>2.9869500750778842E-2</v>
      </c>
      <c r="N471" s="113">
        <f>'EmVap-Vol'!N$226</f>
        <v>2.9869500750778842E-2</v>
      </c>
      <c r="O471" s="113">
        <f>'EmVap-Vol'!O$226</f>
        <v>2.9869500750778842E-2</v>
      </c>
      <c r="P471" s="113">
        <f>'EmVap-Vol'!P$226</f>
        <v>2.9869500750778842E-2</v>
      </c>
      <c r="Q471" s="113">
        <f>'EmVap-Vol'!Q$226</f>
        <v>2.9869500750778842E-2</v>
      </c>
      <c r="R471" s="113">
        <f>'EmVap-Vol'!R$226</f>
        <v>2.9875785047756648E-2</v>
      </c>
      <c r="S471" s="113">
        <f>'EmVap-Vol'!S$226</f>
        <v>2.9869500750778842E-2</v>
      </c>
      <c r="T471" s="113">
        <f>'EmVap-Vol'!T$226</f>
        <v>2.9869500750778842E-2</v>
      </c>
      <c r="U471" s="113">
        <f>'EmVap-Vol'!U$226</f>
        <v>2.9869500750778842E-2</v>
      </c>
      <c r="V471" s="113">
        <f>'EmVap-Vol'!V$226</f>
        <v>2.9869500750778842E-2</v>
      </c>
      <c r="W471" s="113">
        <f>'EmVap-Vol'!W$226</f>
        <v>2.9869500750778842E-2</v>
      </c>
      <c r="X471" s="113">
        <f>'EmVap-Vol'!X$226</f>
        <v>2.9869500750778842E-2</v>
      </c>
      <c r="Y471" s="113">
        <f>'EmVap-Vol'!Y$226</f>
        <v>2.9869500750778842E-2</v>
      </c>
      <c r="Z471" s="113">
        <f>'EmVap-Vol'!Z$226</f>
        <v>2.9869500750778842E-2</v>
      </c>
      <c r="AA471" s="113">
        <f>'EmVap-Vol'!AA$226</f>
        <v>2.9869500750778842E-2</v>
      </c>
      <c r="AB471" s="113">
        <f>'EmVap-Vol'!AB$226</f>
        <v>2.9869500750778842E-2</v>
      </c>
      <c r="AC471" s="113">
        <f>'EmVap-Vol'!AC$226</f>
        <v>2.9869500750778842E-2</v>
      </c>
      <c r="AD471" s="113">
        <f>'EmVap-Vol'!AD$226</f>
        <v>2.9869500750778842E-2</v>
      </c>
      <c r="AE471" s="113">
        <f>'EmVap-Vol'!AE$226</f>
        <v>2.9869500750778842E-2</v>
      </c>
      <c r="AF471" s="113">
        <f>'EmVap-Vol'!AF$226</f>
        <v>2.9869500750778842E-2</v>
      </c>
      <c r="AG471" s="113">
        <f>'EmVap-Vol'!AG$226</f>
        <v>2.9869500750778842E-2</v>
      </c>
      <c r="AH471" s="113">
        <f>'EmVap-Vol'!AH$226</f>
        <v>2.9869500750778842E-2</v>
      </c>
      <c r="AI471" s="113">
        <f>'EmVap-Vol'!AI$226</f>
        <v>2.9869500750778842E-2</v>
      </c>
      <c r="AJ471" s="113">
        <f>'EmVap-Vol'!AJ$226</f>
        <v>2.9869500750778842E-2</v>
      </c>
      <c r="AK471" s="113">
        <f>'EmVap-Vol'!AK$226</f>
        <v>2.9869500750778842E-2</v>
      </c>
      <c r="AL471" s="113">
        <f>'EmVap-Vol'!AL$226</f>
        <v>2.9869500750778842E-2</v>
      </c>
      <c r="AM471" s="113">
        <f>'EmVap-Vol'!AM$226</f>
        <v>2.9869500750778842E-2</v>
      </c>
      <c r="AN471" s="113">
        <f>'EmVap-Vol'!AN$226</f>
        <v>2.9869500750778842E-2</v>
      </c>
      <c r="AO471" s="113">
        <f>'EmVap-Vol'!AO$226</f>
        <v>2.9869500750778842E-2</v>
      </c>
      <c r="AP471" s="113">
        <f>'EmVap-Vol'!AP$226</f>
        <v>2.9869500750778842E-2</v>
      </c>
      <c r="AQ471" s="113">
        <f>'EmVap-Vol'!AQ$226</f>
        <v>2.9869500750778842E-2</v>
      </c>
      <c r="AR471" s="113">
        <f>'EmVap-Vol'!AR$226</f>
        <v>2.9869500750778842E-2</v>
      </c>
      <c r="AS471" s="113">
        <f>'EmVap-Vol'!AS$226</f>
        <v>2.9869500750778842E-2</v>
      </c>
      <c r="AT471" s="113">
        <f>'EmVap-Vol'!AT$226</f>
        <v>2.9869500750778842E-2</v>
      </c>
      <c r="AU471" s="113">
        <f>'EmVap-Vol'!AU$226</f>
        <v>2.9869500750778842E-2</v>
      </c>
      <c r="AV471" s="113">
        <f>'EmVap-Vol'!AV$226</f>
        <v>2.9869500750778842E-2</v>
      </c>
      <c r="AW471" s="113">
        <f>'EmVap-Vol'!AW$226</f>
        <v>2.9869500750778842E-2</v>
      </c>
      <c r="AX471" s="113">
        <f>'EmVap-Vol'!AX$226</f>
        <v>2.9869500750778842E-2</v>
      </c>
      <c r="AY471" s="113">
        <f>'EmVap-Vol'!AY$226</f>
        <v>2.9869500750778842E-2</v>
      </c>
      <c r="AZ471" s="113">
        <f>'EmVap-Vol'!AZ$226</f>
        <v>2.9869500750778842E-2</v>
      </c>
      <c r="BA471" s="113">
        <f>'EmVap-Vol'!BA$226</f>
        <v>2.9869500750778842E-2</v>
      </c>
      <c r="BB471" s="113">
        <f>'EmVap-Vol'!BB$226</f>
        <v>2.9869500750778842E-2</v>
      </c>
      <c r="BC471" s="113">
        <f>'EmVap-Vol'!BC$226</f>
        <v>2.9869500750778842E-2</v>
      </c>
      <c r="BD471" s="113">
        <f>'EmVap-Vol'!BD$226</f>
        <v>2.9869500750778842E-2</v>
      </c>
      <c r="BE471" s="113">
        <f>'EmVap-Vol'!BE$226</f>
        <v>2.9869500750778842E-2</v>
      </c>
      <c r="BF471" s="113">
        <f>'EmVap-Vol'!BF$226</f>
        <v>2.9869500750778842E-2</v>
      </c>
      <c r="BG471" s="113">
        <f>'EmVap-Vol'!BG$226</f>
        <v>2.9869500750778842E-2</v>
      </c>
      <c r="BH471" s="113">
        <f>'EmVap-Vol'!BH$226</f>
        <v>2.9869500750778842E-2</v>
      </c>
      <c r="BI471" s="113">
        <f>'EmVap-Vol'!BI$226</f>
        <v>2.9869500750778842E-2</v>
      </c>
    </row>
    <row r="472" spans="1:61">
      <c r="A472" s="97"/>
      <c r="B472" s="97"/>
      <c r="C472" s="2108"/>
      <c r="D472" s="2493"/>
      <c r="E472" s="722" t="s">
        <v>1114</v>
      </c>
      <c r="F472" s="96" t="s">
        <v>1115</v>
      </c>
      <c r="G472" s="144" t="s">
        <v>206</v>
      </c>
      <c r="H472" s="135">
        <f>H471*H468</f>
        <v>40.323826013551439</v>
      </c>
      <c r="I472" s="135">
        <f t="shared" ref="I472:BI472" si="231">I471*I468</f>
        <v>40.323826013551439</v>
      </c>
      <c r="J472" s="135">
        <f>J471*J468</f>
        <v>40.323826013551439</v>
      </c>
      <c r="K472" s="135">
        <f t="shared" si="231"/>
        <v>40.323826013551439</v>
      </c>
      <c r="L472" s="135">
        <f t="shared" si="231"/>
        <v>40.323826013551439</v>
      </c>
      <c r="M472" s="135">
        <f t="shared" si="231"/>
        <v>40.323826013551439</v>
      </c>
      <c r="N472" s="135">
        <f>N471*N468</f>
        <v>40.323826013551439</v>
      </c>
      <c r="O472" s="135">
        <f>O471*O468</f>
        <v>40.323826013551439</v>
      </c>
      <c r="P472" s="135">
        <f t="shared" si="231"/>
        <v>40.323826013551439</v>
      </c>
      <c r="Q472" s="135">
        <f t="shared" si="231"/>
        <v>40.323826013551439</v>
      </c>
      <c r="R472" s="135">
        <f>R471*R468</f>
        <v>40.332309814471472</v>
      </c>
      <c r="S472" s="135">
        <f>S471*S468</f>
        <v>40.323826013551439</v>
      </c>
      <c r="T472" s="135">
        <f>T471*T468</f>
        <v>40.323826013551439</v>
      </c>
      <c r="U472" s="135">
        <f t="shared" si="231"/>
        <v>40.323826013551439</v>
      </c>
      <c r="V472" s="135">
        <f t="shared" si="231"/>
        <v>40.323826013551439</v>
      </c>
      <c r="W472" s="135">
        <f t="shared" si="231"/>
        <v>40.323826013551439</v>
      </c>
      <c r="X472" s="135">
        <f t="shared" si="231"/>
        <v>40.323826013551439</v>
      </c>
      <c r="Y472" s="135">
        <f t="shared" si="231"/>
        <v>40.323826013551439</v>
      </c>
      <c r="Z472" s="135">
        <f t="shared" si="231"/>
        <v>40.323826013551439</v>
      </c>
      <c r="AA472" s="135">
        <f t="shared" si="231"/>
        <v>40.323826013551439</v>
      </c>
      <c r="AB472" s="135">
        <f t="shared" si="231"/>
        <v>40.323826013551439</v>
      </c>
      <c r="AC472" s="135">
        <f t="shared" si="231"/>
        <v>40.323826013551439</v>
      </c>
      <c r="AD472" s="135">
        <f t="shared" si="231"/>
        <v>40.323826013551439</v>
      </c>
      <c r="AE472" s="135">
        <f t="shared" si="231"/>
        <v>40.323826013551439</v>
      </c>
      <c r="AF472" s="135">
        <f t="shared" si="231"/>
        <v>40.323826013551439</v>
      </c>
      <c r="AG472" s="135">
        <f t="shared" si="231"/>
        <v>40.323826013551439</v>
      </c>
      <c r="AH472" s="135">
        <f t="shared" si="231"/>
        <v>40.323826013551439</v>
      </c>
      <c r="AI472" s="135">
        <f t="shared" si="231"/>
        <v>40.323826013551439</v>
      </c>
      <c r="AJ472" s="135">
        <f t="shared" si="231"/>
        <v>40.323826013551439</v>
      </c>
      <c r="AK472" s="135">
        <f t="shared" si="231"/>
        <v>40.323826013551439</v>
      </c>
      <c r="AL472" s="135">
        <f t="shared" si="231"/>
        <v>40.323826013551439</v>
      </c>
      <c r="AM472" s="135">
        <f t="shared" si="231"/>
        <v>40.323826013551439</v>
      </c>
      <c r="AN472" s="135">
        <f t="shared" si="231"/>
        <v>40.323826013551439</v>
      </c>
      <c r="AO472" s="135">
        <f t="shared" si="231"/>
        <v>40.323826013551439</v>
      </c>
      <c r="AP472" s="135">
        <f t="shared" si="231"/>
        <v>40.323826013551439</v>
      </c>
      <c r="AQ472" s="135">
        <f t="shared" si="231"/>
        <v>40.323826013551439</v>
      </c>
      <c r="AR472" s="135">
        <f t="shared" si="231"/>
        <v>40.323826013551439</v>
      </c>
      <c r="AS472" s="135">
        <f t="shared" si="231"/>
        <v>40.323826013551439</v>
      </c>
      <c r="AT472" s="135">
        <f t="shared" si="231"/>
        <v>40.323826013551439</v>
      </c>
      <c r="AU472" s="135">
        <f t="shared" si="231"/>
        <v>40.323826013551439</v>
      </c>
      <c r="AV472" s="135">
        <f t="shared" si="231"/>
        <v>40.323826013551439</v>
      </c>
      <c r="AW472" s="135">
        <f t="shared" si="231"/>
        <v>40.323826013551439</v>
      </c>
      <c r="AX472" s="135">
        <f t="shared" si="231"/>
        <v>40.323826013551439</v>
      </c>
      <c r="AY472" s="135">
        <f t="shared" si="231"/>
        <v>40.323826013551439</v>
      </c>
      <c r="AZ472" s="135">
        <f t="shared" si="231"/>
        <v>40.323826013551439</v>
      </c>
      <c r="BA472" s="135">
        <f t="shared" si="231"/>
        <v>40.323826013551439</v>
      </c>
      <c r="BB472" s="135">
        <f t="shared" si="231"/>
        <v>40.323826013551439</v>
      </c>
      <c r="BC472" s="135">
        <f t="shared" si="231"/>
        <v>40.323826013551439</v>
      </c>
      <c r="BD472" s="135">
        <f t="shared" si="231"/>
        <v>40.323826013551439</v>
      </c>
      <c r="BE472" s="135">
        <f t="shared" si="231"/>
        <v>40.323826013551439</v>
      </c>
      <c r="BF472" s="135">
        <f t="shared" si="231"/>
        <v>40.323826013551439</v>
      </c>
      <c r="BG472" s="135">
        <f t="shared" si="231"/>
        <v>40.323826013551439</v>
      </c>
      <c r="BH472" s="135">
        <f t="shared" si="231"/>
        <v>40.323826013551439</v>
      </c>
      <c r="BI472" s="135">
        <f t="shared" si="231"/>
        <v>40.323826013551439</v>
      </c>
    </row>
    <row r="473" spans="1:61">
      <c r="A473" s="97"/>
      <c r="B473" s="97"/>
      <c r="C473" s="2492"/>
      <c r="D473" s="2493"/>
      <c r="E473" s="723" t="s">
        <v>681</v>
      </c>
      <c r="F473" s="62" t="s">
        <v>1116</v>
      </c>
      <c r="G473" s="107" t="s">
        <v>24</v>
      </c>
      <c r="H473" s="113">
        <f t="shared" ref="H473:BI473" si="232">H$25*H472</f>
        <v>1.0623277887055486E-3</v>
      </c>
      <c r="I473" s="113">
        <f t="shared" si="232"/>
        <v>1.0623277887055486E-3</v>
      </c>
      <c r="J473" s="113">
        <f>J$25*J472</f>
        <v>6.9738706930028245E-3</v>
      </c>
      <c r="K473" s="113">
        <f t="shared" si="232"/>
        <v>1.5538035258708156</v>
      </c>
      <c r="L473" s="113">
        <f t="shared" si="232"/>
        <v>0.29050851510640552</v>
      </c>
      <c r="M473" s="113">
        <f t="shared" si="232"/>
        <v>0.29050851510640552</v>
      </c>
      <c r="N473" s="113">
        <f>N$25*N472</f>
        <v>0.57297351554768794</v>
      </c>
      <c r="O473" s="113">
        <f>O$25*O472</f>
        <v>0.57297351554768794</v>
      </c>
      <c r="P473" s="113">
        <f t="shared" si="232"/>
        <v>0.62553872689314594</v>
      </c>
      <c r="Q473" s="113">
        <f t="shared" si="232"/>
        <v>0.62553872689314594</v>
      </c>
      <c r="R473" s="113">
        <f>R$25*R472</f>
        <v>0.25150230738581264</v>
      </c>
      <c r="S473" s="113">
        <f>S$25*S472</f>
        <v>0.23590374312699047</v>
      </c>
      <c r="T473" s="113">
        <f>T$25*T472</f>
        <v>0.23590374312699047</v>
      </c>
      <c r="U473" s="113">
        <f t="shared" si="232"/>
        <v>1.1106245137878046</v>
      </c>
      <c r="V473" s="113">
        <f t="shared" si="232"/>
        <v>1.8178719902823346</v>
      </c>
      <c r="W473" s="113">
        <f t="shared" si="232"/>
        <v>1.8178719902823346</v>
      </c>
      <c r="X473" s="113">
        <f t="shared" si="232"/>
        <v>0.34874327867119687</v>
      </c>
      <c r="Y473" s="113">
        <f t="shared" si="232"/>
        <v>0.24169964120324741</v>
      </c>
      <c r="Z473" s="113">
        <f t="shared" si="232"/>
        <v>0.14313866374795817</v>
      </c>
      <c r="AA473" s="113">
        <f t="shared" si="232"/>
        <v>9.6025958668322059E-2</v>
      </c>
      <c r="AB473" s="113">
        <f t="shared" si="232"/>
        <v>0.10860256093358713</v>
      </c>
      <c r="AC473" s="113">
        <f t="shared" si="232"/>
        <v>2.1192103293600554E-2</v>
      </c>
      <c r="AD473" s="113">
        <f t="shared" si="232"/>
        <v>4.1480004146370432E-3</v>
      </c>
      <c r="AE473" s="113">
        <f t="shared" si="232"/>
        <v>5.1722376913439347E-4</v>
      </c>
      <c r="AF473" s="113">
        <f t="shared" si="232"/>
        <v>2.1437616983493565E-6</v>
      </c>
      <c r="AG473" s="113">
        <f t="shared" si="232"/>
        <v>2.4976929210845977</v>
      </c>
      <c r="AH473" s="113">
        <f t="shared" si="232"/>
        <v>1.8701214088414457</v>
      </c>
      <c r="AI473" s="113">
        <f t="shared" si="232"/>
        <v>0.76041842130533088</v>
      </c>
      <c r="AJ473" s="113">
        <f t="shared" si="232"/>
        <v>0.18101239506249539</v>
      </c>
      <c r="AK473" s="113">
        <f t="shared" si="232"/>
        <v>4.126548044701836E-2</v>
      </c>
      <c r="AL473" s="113">
        <f t="shared" si="232"/>
        <v>3.1282990091260321E-3</v>
      </c>
      <c r="AM473" s="113">
        <f t="shared" si="232"/>
        <v>2.1655021645937421E-5</v>
      </c>
      <c r="AN473" s="113">
        <f t="shared" si="232"/>
        <v>1.7236445594801843E-3</v>
      </c>
      <c r="AO473" s="113">
        <f t="shared" si="232"/>
        <v>4.7075714797767203E-4</v>
      </c>
      <c r="AP473" s="113">
        <f t="shared" si="232"/>
        <v>7.8755342398825127E-4</v>
      </c>
      <c r="AQ473" s="113">
        <f t="shared" si="232"/>
        <v>3.1889117721940009E-4</v>
      </c>
      <c r="AR473" s="113">
        <f t="shared" si="232"/>
        <v>6.3847417658570449E-5</v>
      </c>
      <c r="AS473" s="113">
        <f t="shared" si="232"/>
        <v>8.2466590116437777E-5</v>
      </c>
      <c r="AT473" s="113">
        <f t="shared" si="232"/>
        <v>6.0196904456463269E-6</v>
      </c>
      <c r="AU473" s="113">
        <f t="shared" si="232"/>
        <v>5.7910106341270909E-6</v>
      </c>
      <c r="AV473" s="113">
        <f t="shared" si="232"/>
        <v>9.2386805529073475E-7</v>
      </c>
      <c r="AW473" s="113">
        <f t="shared" si="232"/>
        <v>8.9022320677476237E-7</v>
      </c>
      <c r="AX473" s="113">
        <f t="shared" si="232"/>
        <v>3.1334231758053783E-8</v>
      </c>
      <c r="AY473" s="113">
        <f t="shared" si="232"/>
        <v>2.1504560885686527E-8</v>
      </c>
      <c r="AZ473" s="113">
        <f t="shared" si="232"/>
        <v>1.4360366033740198E-8</v>
      </c>
      <c r="BA473" s="113">
        <f t="shared" si="232"/>
        <v>2.4801818971566872E-9</v>
      </c>
      <c r="BB473" s="113">
        <f t="shared" si="232"/>
        <v>3.9269720773911766E-8</v>
      </c>
      <c r="BC473" s="113">
        <f t="shared" si="232"/>
        <v>1.0432051305788768E-14</v>
      </c>
      <c r="BD473" s="113">
        <f t="shared" si="232"/>
        <v>3.7721791774452792E-5</v>
      </c>
      <c r="BE473" s="113">
        <f t="shared" si="232"/>
        <v>8.3723032569029098E-7</v>
      </c>
      <c r="BF473" s="113">
        <f t="shared" si="232"/>
        <v>8.3723032569029098E-7</v>
      </c>
      <c r="BG473" s="113">
        <f t="shared" si="232"/>
        <v>0.68417298232036328</v>
      </c>
      <c r="BH473" s="113">
        <f t="shared" si="232"/>
        <v>5.0162004351765522E-5</v>
      </c>
      <c r="BI473" s="113">
        <f t="shared" si="232"/>
        <v>3.8812222543931096E-4</v>
      </c>
    </row>
    <row r="474" spans="1:61" ht="25.5">
      <c r="A474" s="97"/>
      <c r="B474" s="97"/>
      <c r="C474" s="2108"/>
      <c r="D474" s="2109"/>
      <c r="E474" s="103" t="s">
        <v>1015</v>
      </c>
      <c r="F474" s="14" t="s">
        <v>19</v>
      </c>
      <c r="G474" s="341" t="s">
        <v>18</v>
      </c>
      <c r="H474" s="113" t="str">
        <f t="shared" ref="H474:AM474" si="233">IF(H$13=0,"nd",IF(H473=0,"PVL",H$18*H$13*1000/H473))</f>
        <v>nd</v>
      </c>
      <c r="I474" s="113" t="str">
        <f t="shared" si="233"/>
        <v>nd</v>
      </c>
      <c r="J474" s="113" t="str">
        <f t="shared" si="233"/>
        <v>nd</v>
      </c>
      <c r="K474" s="113">
        <f t="shared" si="233"/>
        <v>0.16733132321493815</v>
      </c>
      <c r="L474" s="113">
        <f t="shared" si="233"/>
        <v>2.3576628634553467</v>
      </c>
      <c r="M474" s="113">
        <f t="shared" si="233"/>
        <v>2.3576628634553467</v>
      </c>
      <c r="N474" s="113">
        <f t="shared" si="233"/>
        <v>2.6685443711771026</v>
      </c>
      <c r="O474" s="113">
        <f t="shared" si="233"/>
        <v>2.6685443711771026</v>
      </c>
      <c r="P474" s="113">
        <f t="shared" si="233"/>
        <v>2.9748241300127707</v>
      </c>
      <c r="Q474" s="113">
        <f t="shared" si="233"/>
        <v>2.9748241300127707</v>
      </c>
      <c r="R474" s="113">
        <f t="shared" si="233"/>
        <v>3.5087125601480218</v>
      </c>
      <c r="S474" s="113">
        <f t="shared" si="233"/>
        <v>0.50477358131553673</v>
      </c>
      <c r="T474" s="113">
        <f t="shared" si="233"/>
        <v>0.50477358131553673</v>
      </c>
      <c r="U474" s="113">
        <f t="shared" si="233"/>
        <v>5.5259304889693377</v>
      </c>
      <c r="V474" s="113">
        <f t="shared" si="233"/>
        <v>3.0503261000203228</v>
      </c>
      <c r="W474" s="113">
        <f t="shared" si="233"/>
        <v>3.0503261000203228</v>
      </c>
      <c r="X474" s="113">
        <f t="shared" si="233"/>
        <v>0.43503404170731469</v>
      </c>
      <c r="Y474" s="113">
        <f t="shared" si="233"/>
        <v>0.38689680645917712</v>
      </c>
      <c r="Z474" s="113">
        <f t="shared" si="233"/>
        <v>0.68117653917636534</v>
      </c>
      <c r="AA474" s="113">
        <f t="shared" si="233"/>
        <v>3.0902825726105098E-2</v>
      </c>
      <c r="AB474" s="113">
        <f t="shared" si="233"/>
        <v>0.15662521348555603</v>
      </c>
      <c r="AC474" s="113">
        <f t="shared" si="233"/>
        <v>0.21117767496292295</v>
      </c>
      <c r="AD474" s="113">
        <f t="shared" si="233"/>
        <v>1.0789051720739191</v>
      </c>
      <c r="AE474" s="113">
        <f t="shared" si="233"/>
        <v>8.6525395161292789</v>
      </c>
      <c r="AF474" s="113">
        <f t="shared" si="233"/>
        <v>2087.5916873421779</v>
      </c>
      <c r="AG474" s="113">
        <f t="shared" si="233"/>
        <v>0.15599003043431645</v>
      </c>
      <c r="AH474" s="113">
        <f t="shared" si="233"/>
        <v>1.1858748828365722</v>
      </c>
      <c r="AI474" s="113">
        <f t="shared" si="233"/>
        <v>0.23584816061581279</v>
      </c>
      <c r="AJ474" s="113">
        <f t="shared" si="233"/>
        <v>0.38023198493573312</v>
      </c>
      <c r="AK474" s="113">
        <f t="shared" si="233"/>
        <v>9.208665351367717</v>
      </c>
      <c r="AL474" s="113">
        <f t="shared" si="233"/>
        <v>121.47176433309117</v>
      </c>
      <c r="AM474" s="113">
        <f t="shared" si="233"/>
        <v>17547.892872750359</v>
      </c>
      <c r="AN474" s="113">
        <f t="shared" ref="AN474:BI474" si="234">IF(AN$13=0,"nd",IF(AN473=0,"PVL",AN$18*AN$13*1000/AN473))</f>
        <v>2.5964164575011477</v>
      </c>
      <c r="AO474" s="113">
        <f t="shared" si="234"/>
        <v>9.5065982966846629</v>
      </c>
      <c r="AP474" s="113">
        <f t="shared" si="234"/>
        <v>5.682533990460346</v>
      </c>
      <c r="AQ474" s="113">
        <f t="shared" si="234"/>
        <v>14.033938286218621</v>
      </c>
      <c r="AR474" s="113">
        <f t="shared" si="234"/>
        <v>70.093658682465644</v>
      </c>
      <c r="AS474" s="113">
        <f t="shared" si="234"/>
        <v>54.268026540176066</v>
      </c>
      <c r="AT474" s="113">
        <f t="shared" si="234"/>
        <v>743.44339489306731</v>
      </c>
      <c r="AU474" s="113">
        <f t="shared" si="234"/>
        <v>772.80105043206356</v>
      </c>
      <c r="AV474" s="113">
        <f t="shared" si="234"/>
        <v>4844.0890184349118</v>
      </c>
      <c r="AW474" s="113">
        <f t="shared" si="234"/>
        <v>5027.1651728002789</v>
      </c>
      <c r="AX474" s="113">
        <f t="shared" si="234"/>
        <v>142824.59948827015</v>
      </c>
      <c r="AY474" s="113">
        <f t="shared" si="234"/>
        <v>208109.29946007096</v>
      </c>
      <c r="AZ474" s="113">
        <f t="shared" si="234"/>
        <v>311642.41152361926</v>
      </c>
      <c r="BA474" s="113">
        <f t="shared" si="234"/>
        <v>1804423.7425679171</v>
      </c>
      <c r="BB474" s="113">
        <f t="shared" si="234"/>
        <v>113963.09963298141</v>
      </c>
      <c r="BC474" s="113">
        <f t="shared" si="234"/>
        <v>428995119937.08405</v>
      </c>
      <c r="BD474" s="113">
        <f t="shared" si="234"/>
        <v>41.475543319572317</v>
      </c>
      <c r="BE474" s="113" t="str">
        <f t="shared" si="234"/>
        <v>nd</v>
      </c>
      <c r="BF474" s="113" t="str">
        <f t="shared" si="234"/>
        <v>nd</v>
      </c>
      <c r="BG474" s="113" t="str">
        <f t="shared" si="234"/>
        <v>nd</v>
      </c>
      <c r="BH474" s="113" t="str">
        <f t="shared" si="234"/>
        <v>nd</v>
      </c>
      <c r="BI474" s="113" t="str">
        <f t="shared" si="234"/>
        <v>nd</v>
      </c>
    </row>
    <row r="475" spans="1:61" s="2443" customFormat="1" ht="25.5">
      <c r="A475" s="2438"/>
      <c r="B475" s="2439"/>
      <c r="C475" s="2108"/>
      <c r="D475" s="2109"/>
      <c r="E475" s="2514" t="s">
        <v>1016</v>
      </c>
      <c r="F475" s="2440" t="s">
        <v>19</v>
      </c>
      <c r="G475" s="2431" t="s">
        <v>20</v>
      </c>
      <c r="H475" s="2442" t="str">
        <f>IF(H474&lt;'3phas'!H$23,H474,"PVL")</f>
        <v>PVL</v>
      </c>
      <c r="I475" s="2442" t="str">
        <f>IF(I474&lt;'3phas'!I$23,I474,"PVL")</f>
        <v>PVL</v>
      </c>
      <c r="J475" s="2442" t="str">
        <f>IF(J474&lt;'3phas'!J$23,J474,"PVL")</f>
        <v>PVL</v>
      </c>
      <c r="K475" s="2442">
        <f>IF(K474&lt;'3phas'!K$23,K474,"PVL")</f>
        <v>0.16733132321493815</v>
      </c>
      <c r="L475" s="2442">
        <f>IF(L474&lt;'3phas'!L$23,L474,"PVL")</f>
        <v>2.3576628634553467</v>
      </c>
      <c r="M475" s="2442">
        <f>IF(M474&lt;'3phas'!M$23,M474,"PVL")</f>
        <v>2.3576628634553467</v>
      </c>
      <c r="N475" s="2442">
        <f>IF(N474&lt;'3phas'!N$23,N474,"PVL")</f>
        <v>2.6685443711771026</v>
      </c>
      <c r="O475" s="2442">
        <f>IF(O474&lt;'3phas'!O$23,O474,"PVL")</f>
        <v>2.6685443711771026</v>
      </c>
      <c r="P475" s="2442">
        <f>IF(P474&lt;'3phas'!P$23,P474,"PVL")</f>
        <v>2.9748241300127707</v>
      </c>
      <c r="Q475" s="2442">
        <f>IF(Q474&lt;'3phas'!Q$23,Q474,"PVL")</f>
        <v>2.9748241300127707</v>
      </c>
      <c r="R475" s="2442">
        <f>IF(R474&lt;'3phas'!R$23,R474,"PVL")</f>
        <v>3.5087125601480218</v>
      </c>
      <c r="S475" s="2442">
        <f>IF(S474&lt;'3phas'!S$23,S474,"PVL")</f>
        <v>0.50477358131553673</v>
      </c>
      <c r="T475" s="2442">
        <f>IF(T474&lt;'3phas'!T$23,T474,"PVL")</f>
        <v>0.50477358131553673</v>
      </c>
      <c r="U475" s="2442">
        <f>IF(U474&lt;'3phas'!U$23,U474,"PVL")</f>
        <v>5.5259304889693377</v>
      </c>
      <c r="V475" s="2442">
        <f>IF(V474&lt;'3phas'!V$23,V474,"PVL")</f>
        <v>3.0503261000203228</v>
      </c>
      <c r="W475" s="2442">
        <f>IF(W474&lt;'3phas'!W$23,W474,"PVL")</f>
        <v>3.0503261000203228</v>
      </c>
      <c r="X475" s="2442">
        <f>IF(X474&lt;'3phas'!X$23,X474,"PVL")</f>
        <v>0.43503404170731469</v>
      </c>
      <c r="Y475" s="2442">
        <f>IF(Y474&lt;'3phas'!Y$23,Y474,"PVL")</f>
        <v>0.38689680645917712</v>
      </c>
      <c r="Z475" s="2442">
        <f>IF(Z474&lt;'3phas'!Z$23,Z474,"PVL")</f>
        <v>0.68117653917636534</v>
      </c>
      <c r="AA475" s="2442">
        <f>IF(AA474&lt;'3phas'!AA$23,AA474,"PVL")</f>
        <v>3.0902825726105098E-2</v>
      </c>
      <c r="AB475" s="2442">
        <f>IF(AB474&lt;'3phas'!AB$23,AB474,"PVL")</f>
        <v>0.15662521348555603</v>
      </c>
      <c r="AC475" s="2442">
        <f>IF(AC474&lt;'3phas'!AC$23,AC474,"PVL")</f>
        <v>0.21117767496292295</v>
      </c>
      <c r="AD475" s="2442">
        <f>IF(AD474&lt;'3phas'!AD$23,AD474,"PVL")</f>
        <v>1.0789051720739191</v>
      </c>
      <c r="AE475" s="2442" t="str">
        <f>IF(AE474&lt;'3phas'!AE$23,AE474,"PVL")</f>
        <v>PVL</v>
      </c>
      <c r="AF475" s="2442" t="str">
        <f>IF(AF474&lt;'3phas'!AF$23,AF474,"PVL")</f>
        <v>PVL</v>
      </c>
      <c r="AG475" s="2442">
        <f>IF(AG474&lt;'3phas'!AG$23,AG474,"PVL")</f>
        <v>0.15599003043431645</v>
      </c>
      <c r="AH475" s="2442">
        <f>IF(AH474&lt;'3phas'!AH$23,AH474,"PVL")</f>
        <v>1.1858748828365722</v>
      </c>
      <c r="AI475" s="2442">
        <f>IF(AI474&lt;'3phas'!AI$23,AI474,"PVL")</f>
        <v>0.23584816061581279</v>
      </c>
      <c r="AJ475" s="2442">
        <f>IF(AJ474&lt;'3phas'!AJ$23,AJ474,"PVL")</f>
        <v>0.38023198493573312</v>
      </c>
      <c r="AK475" s="2442" t="str">
        <f>IF(AK474&lt;'3phas'!AK$23,AK474,"PVL")</f>
        <v>PVL</v>
      </c>
      <c r="AL475" s="2442" t="str">
        <f>IF(AL474&lt;'3phas'!AL$23,AL474,"PVL")</f>
        <v>PVL</v>
      </c>
      <c r="AM475" s="2442" t="str">
        <f>IF(AM474&lt;'3phas'!AM$23,AM474,"PVL")</f>
        <v>PVL</v>
      </c>
      <c r="AN475" s="2442">
        <f>IF(AN474&lt;'3phas'!AN$23,AN474,"PVL")</f>
        <v>2.5964164575011477</v>
      </c>
      <c r="AO475" s="2442">
        <f>IF(AO474&lt;'3phas'!AO$23,AO474,"PVL")</f>
        <v>9.5065982966846629</v>
      </c>
      <c r="AP475" s="2442">
        <f>IF(AP474&lt;'3phas'!AP$23,AP474,"PVL")</f>
        <v>5.682533990460346</v>
      </c>
      <c r="AQ475" s="2442" t="str">
        <f>IF(AQ474&lt;'3phas'!AQ$23,AQ474,"PVL")</f>
        <v>PVL</v>
      </c>
      <c r="AR475" s="2442" t="str">
        <f>IF(AR474&lt;'3phas'!AR$23,AR474,"PVL")</f>
        <v>PVL</v>
      </c>
      <c r="AS475" s="2442" t="str">
        <f>IF(AS474&lt;'3phas'!AS$23,AS474,"PVL")</f>
        <v>PVL</v>
      </c>
      <c r="AT475" s="2442" t="str">
        <f>IF(AT474&lt;'3phas'!AT$23,AT474,"PVL")</f>
        <v>PVL</v>
      </c>
      <c r="AU475" s="2442" t="str">
        <f>IF(AU474&lt;'3phas'!AU$23,AU474,"PVL")</f>
        <v>PVL</v>
      </c>
      <c r="AV475" s="2442" t="str">
        <f>IF(AV474&lt;'3phas'!AV$23,AV474,"PVL")</f>
        <v>PVL</v>
      </c>
      <c r="AW475" s="2442" t="str">
        <f>IF(AW474&lt;'3phas'!AW$23,AW474,"PVL")</f>
        <v>PVL</v>
      </c>
      <c r="AX475" s="2442" t="str">
        <f>IF(AX474&lt;'3phas'!AX$23,AX474,"PVL")</f>
        <v>PVL</v>
      </c>
      <c r="AY475" s="2442" t="str">
        <f>IF(AY474&lt;'3phas'!AY$23,AY474,"PVL")</f>
        <v>PVL</v>
      </c>
      <c r="AZ475" s="2442" t="str">
        <f>IF(AZ474&lt;'3phas'!AZ$23,AZ474,"PVL")</f>
        <v>PVL</v>
      </c>
      <c r="BA475" s="2442" t="str">
        <f>IF(BA474&lt;'3phas'!BA$23,BA474,"PVL")</f>
        <v>PVL</v>
      </c>
      <c r="BB475" s="2442" t="str">
        <f>IF(BB474&lt;'3phas'!BB$23,BB474,"PVL")</f>
        <v>PVL</v>
      </c>
      <c r="BC475" s="2442" t="str">
        <f>IF(BC474&lt;'3phas'!BC$23,BC474,"PVL")</f>
        <v>PVL</v>
      </c>
      <c r="BD475" s="2442">
        <f>IF(BD474&lt;'3phas'!BD$23,BD474,"PVL")</f>
        <v>41.475543319572317</v>
      </c>
      <c r="BE475" s="2442" t="str">
        <f>IF(BE474&lt;'3phas'!BE$23,BE474,"PVL")</f>
        <v>PVL</v>
      </c>
      <c r="BF475" s="2442" t="str">
        <f>IF(BF474&lt;'3phas'!BF$23,BF474,"PVL")</f>
        <v>PVL</v>
      </c>
      <c r="BG475" s="2442" t="str">
        <f>BG474</f>
        <v>nd</v>
      </c>
      <c r="BH475" s="2442" t="str">
        <f>IF(BH474&lt;'3phas'!BH$23,BH474,"PVL")</f>
        <v>PVL</v>
      </c>
      <c r="BI475" s="2442" t="str">
        <f>IF(BI474&lt;'3phas'!BI$23,BI474,"PVL")</f>
        <v>PVL</v>
      </c>
    </row>
    <row r="476" spans="1:61">
      <c r="A476" s="400"/>
      <c r="B476" s="39"/>
      <c r="C476" s="2492" t="s">
        <v>214</v>
      </c>
      <c r="D476" s="2493"/>
      <c r="E476" s="590" t="str">
        <f>'EmVap-Vol'!E300</f>
        <v>Période chronique</v>
      </c>
      <c r="F476" s="95"/>
      <c r="G476" s="142"/>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row>
    <row r="477" spans="1:61" s="26" customFormat="1" ht="25.5">
      <c r="A477" s="399" t="s">
        <v>258</v>
      </c>
      <c r="B477" s="30" t="s">
        <v>258</v>
      </c>
      <c r="C477" s="2486"/>
      <c r="D477" s="2487"/>
      <c r="E477" s="103" t="s">
        <v>501</v>
      </c>
      <c r="F477" s="14" t="s">
        <v>204</v>
      </c>
      <c r="G477" s="105" t="str">
        <f>'EmVap-Vol'!G317</f>
        <v>(mg/m2/s)/(mg/l)</v>
      </c>
      <c r="H477" s="113">
        <f>'EmVap-Vol'!H317</f>
        <v>2.5764948224191279E-3</v>
      </c>
      <c r="I477" s="113">
        <f>'EmVap-Vol'!I317</f>
        <v>2.5764948224191279E-3</v>
      </c>
      <c r="J477" s="113">
        <f>'EmVap-Vol'!J317</f>
        <v>1.112625783278918E-3</v>
      </c>
      <c r="K477" s="113">
        <f>'EmVap-Vol'!K317</f>
        <v>3.7031519823149957E-5</v>
      </c>
      <c r="L477" s="113">
        <f>'EmVap-Vol'!L317</f>
        <v>1.9806547167297369E-4</v>
      </c>
      <c r="M477" s="113">
        <f>'EmVap-Vol'!M317</f>
        <v>1.9806547167297369E-4</v>
      </c>
      <c r="N477" s="113">
        <f>'EmVap-Vol'!N317</f>
        <v>1.0042297681868412E-4</v>
      </c>
      <c r="O477" s="113">
        <f>'EmVap-Vol'!O317</f>
        <v>1.0042297681868412E-4</v>
      </c>
      <c r="P477" s="113">
        <f>'EmVap-Vol'!P317</f>
        <v>9.1984242694848056E-5</v>
      </c>
      <c r="Q477" s="113">
        <f>'EmVap-Vol'!Q317</f>
        <v>9.1984242694848056E-5</v>
      </c>
      <c r="R477" s="113">
        <f>'EmVap-Vol'!R317</f>
        <v>2.2883214292577979E-4</v>
      </c>
      <c r="S477" s="113">
        <f>'EmVap-Vol'!S317</f>
        <v>2.4391179769704181E-4</v>
      </c>
      <c r="T477" s="113">
        <f>'EmVap-Vol'!T317</f>
        <v>2.4391179769704181E-4</v>
      </c>
      <c r="U477" s="113">
        <f>'EmVap-Vol'!U317</f>
        <v>5.1808424319147455E-5</v>
      </c>
      <c r="V477" s="113">
        <f>'EmVap-Vol'!V317</f>
        <v>3.1652232047774111E-5</v>
      </c>
      <c r="W477" s="113">
        <f>'EmVap-Vol'!W317</f>
        <v>3.1652232047774111E-5</v>
      </c>
      <c r="X477" s="113">
        <f>'EmVap-Vol'!X317</f>
        <v>1.6499158432187349E-4</v>
      </c>
      <c r="Y477" s="113">
        <f>'EmVap-Vol'!Y317</f>
        <v>2.3806285265098821E-4</v>
      </c>
      <c r="Z477" s="113">
        <f>'EmVap-Vol'!Z317</f>
        <v>4.0198577074103924E-4</v>
      </c>
      <c r="AA477" s="113">
        <f>'EmVap-Vol'!AA317</f>
        <v>8.5601415741445673E-5</v>
      </c>
      <c r="AB477" s="113">
        <f>'EmVap-Vol'!AB317</f>
        <v>5.2981905375833833E-4</v>
      </c>
      <c r="AC477" s="113">
        <f>'EmVap-Vol'!AC317</f>
        <v>1.5440876592463897E-3</v>
      </c>
      <c r="AD477" s="113">
        <f>'EmVap-Vol'!AD317</f>
        <v>3.260679985266805E-3</v>
      </c>
      <c r="AE477" s="113">
        <f>'EmVap-Vol'!AE317</f>
        <v>8.1834178152156573E-3</v>
      </c>
      <c r="AF477" s="113">
        <f>'EmVap-Vol'!AF317</f>
        <v>2.8793209697515285E-2</v>
      </c>
      <c r="AG477" s="113">
        <f>'EmVap-Vol'!AG317</f>
        <v>2.3037141829500553E-5</v>
      </c>
      <c r="AH477" s="113">
        <f>'EmVap-Vol'!AH317</f>
        <v>3.0767898703010778E-5</v>
      </c>
      <c r="AI477" s="113">
        <f>'EmVap-Vol'!AI317</f>
        <v>7.5668479954487443E-5</v>
      </c>
      <c r="AJ477" s="113">
        <f>'EmVap-Vol'!AJ317</f>
        <v>3.1787716001271374E-4</v>
      </c>
      <c r="AK477" s="113">
        <f>'EmVap-Vol'!AK317</f>
        <v>1.106647559556946E-3</v>
      </c>
      <c r="AL477" s="113">
        <f>'EmVap-Vol'!AL317</f>
        <v>3.6724132026026172E-3</v>
      </c>
      <c r="AM477" s="113">
        <f>'EmVap-Vol'!AM317</f>
        <v>2.2766328102056917E-2</v>
      </c>
      <c r="AN477" s="113">
        <f>'EmVap-Vol'!AN317</f>
        <v>2.0037381258241342E-3</v>
      </c>
      <c r="AO477" s="113">
        <f>'EmVap-Vol'!AO317</f>
        <v>8.527468341706217E-3</v>
      </c>
      <c r="AP477" s="113">
        <f>'EmVap-Vol'!AP317</f>
        <v>6.8602595435671709E-3</v>
      </c>
      <c r="AQ477" s="113">
        <f>'EmVap-Vol'!AQ317</f>
        <v>9.9796986922249097E-3</v>
      </c>
      <c r="AR477" s="113">
        <f>'EmVap-Vol'!AR317</f>
        <v>1.7523625550676381E-2</v>
      </c>
      <c r="AS477" s="113">
        <f>'EmVap-Vol'!AS317</f>
        <v>1.6215960676793671E-2</v>
      </c>
      <c r="AT477" s="113">
        <f>'EmVap-Vol'!AT317</f>
        <v>2.7119710466022458E-2</v>
      </c>
      <c r="AU477" s="113">
        <f>'EmVap-Vol'!AU317</f>
        <v>2.7208780454095621E-2</v>
      </c>
      <c r="AV477" s="113">
        <f>'EmVap-Vol'!AV317</f>
        <v>2.9418297228811383E-2</v>
      </c>
      <c r="AW477" s="113">
        <f>'EmVap-Vol'!AW317</f>
        <v>2.9436226471907363E-2</v>
      </c>
      <c r="AX477" s="113">
        <f>'EmVap-Vol'!AX317</f>
        <v>2.9869500750778842E-2</v>
      </c>
      <c r="AY477" s="113">
        <f>'EmVap-Vol'!AY317</f>
        <v>2.9869500750778842E-2</v>
      </c>
      <c r="AZ477" s="113">
        <f>'EmVap-Vol'!AZ317</f>
        <v>2.9869500750778842E-2</v>
      </c>
      <c r="BA477" s="113">
        <f>'EmVap-Vol'!BA317</f>
        <v>2.9869500750778842E-2</v>
      </c>
      <c r="BB477" s="113">
        <f>'EmVap-Vol'!BB317</f>
        <v>2.9869500750778842E-2</v>
      </c>
      <c r="BC477" s="113">
        <f>'EmVap-Vol'!BC317</f>
        <v>2.9869500750778842E-2</v>
      </c>
      <c r="BD477" s="113">
        <f>'EmVap-Vol'!BD317</f>
        <v>2.0400798312485563E-2</v>
      </c>
      <c r="BE477" s="113">
        <f>'EmVap-Vol'!BE317</f>
        <v>2.9458026337854451E-2</v>
      </c>
      <c r="BF477" s="113">
        <f>'EmVap-Vol'!BF317</f>
        <v>2.9458026337854451E-2</v>
      </c>
      <c r="BG477" s="113">
        <f>'EmVap-Vol'!BG317</f>
        <v>3.7845498726782705E-5</v>
      </c>
      <c r="BH477" s="113">
        <f>'EmVap-Vol'!BH317</f>
        <v>1.8870302182173525E-2</v>
      </c>
      <c r="BI477" s="113">
        <f>'EmVap-Vol'!BI317</f>
        <v>4.4361531529352105E-3</v>
      </c>
    </row>
    <row r="478" spans="1:61" s="43" customFormat="1">
      <c r="A478" s="400"/>
      <c r="B478" s="35"/>
      <c r="C478" s="2492"/>
      <c r="D478" s="2493"/>
      <c r="E478" s="586" t="s">
        <v>1285</v>
      </c>
      <c r="F478" s="96" t="s">
        <v>215</v>
      </c>
      <c r="G478" s="144" t="s">
        <v>206</v>
      </c>
      <c r="H478" s="135">
        <f>H477*H$468</f>
        <v>3.4782680102658228</v>
      </c>
      <c r="I478" s="135">
        <f t="shared" ref="I478:BI478" si="235">I477*I$468</f>
        <v>3.4782680102658228</v>
      </c>
      <c r="J478" s="135">
        <f>J477*J$468</f>
        <v>1.5020448074265393</v>
      </c>
      <c r="K478" s="135">
        <f t="shared" si="235"/>
        <v>4.9992551761252439E-2</v>
      </c>
      <c r="L478" s="135">
        <f t="shared" si="235"/>
        <v>0.26738838675851451</v>
      </c>
      <c r="M478" s="135">
        <f t="shared" si="235"/>
        <v>0.26738838675851451</v>
      </c>
      <c r="N478" s="135">
        <f>N477*N$468</f>
        <v>0.13557101870522356</v>
      </c>
      <c r="O478" s="135">
        <f>O477*O$468</f>
        <v>0.13557101870522356</v>
      </c>
      <c r="P478" s="135">
        <f t="shared" si="235"/>
        <v>0.12417872763804487</v>
      </c>
      <c r="Q478" s="135">
        <f t="shared" si="235"/>
        <v>0.12417872763804487</v>
      </c>
      <c r="R478" s="135">
        <f>R477*R$468</f>
        <v>0.3089233929498027</v>
      </c>
      <c r="S478" s="135">
        <f>S477*S$468</f>
        <v>0.32928092689100646</v>
      </c>
      <c r="T478" s="135">
        <f>T477*T$468</f>
        <v>0.32928092689100646</v>
      </c>
      <c r="U478" s="135">
        <f t="shared" si="235"/>
        <v>6.9941372830849058E-2</v>
      </c>
      <c r="V478" s="135">
        <f t="shared" si="235"/>
        <v>4.2730513264495049E-2</v>
      </c>
      <c r="W478" s="135">
        <f t="shared" si="235"/>
        <v>4.2730513264495049E-2</v>
      </c>
      <c r="X478" s="135">
        <f t="shared" si="235"/>
        <v>0.22273863883452921</v>
      </c>
      <c r="Y478" s="135">
        <f t="shared" si="235"/>
        <v>0.32138485107883408</v>
      </c>
      <c r="Z478" s="135">
        <f t="shared" si="235"/>
        <v>0.54268079050040297</v>
      </c>
      <c r="AA478" s="135">
        <f t="shared" si="235"/>
        <v>0.11556191125095167</v>
      </c>
      <c r="AB478" s="135">
        <f t="shared" si="235"/>
        <v>0.7152557225737568</v>
      </c>
      <c r="AC478" s="135">
        <f t="shared" si="235"/>
        <v>2.0845183399826261</v>
      </c>
      <c r="AD478" s="135">
        <f t="shared" si="235"/>
        <v>4.4019179801101869</v>
      </c>
      <c r="AE478" s="135">
        <f t="shared" si="235"/>
        <v>11.047614050541137</v>
      </c>
      <c r="AF478" s="135">
        <f t="shared" si="235"/>
        <v>38.870833091645636</v>
      </c>
      <c r="AG478" s="135">
        <f t="shared" si="235"/>
        <v>3.1100141469825746E-2</v>
      </c>
      <c r="AH478" s="135">
        <f t="shared" si="235"/>
        <v>4.1536663249064548E-2</v>
      </c>
      <c r="AI478" s="135">
        <f t="shared" si="235"/>
        <v>0.10215244793855804</v>
      </c>
      <c r="AJ478" s="135">
        <f t="shared" si="235"/>
        <v>0.42913416601716353</v>
      </c>
      <c r="AK478" s="135">
        <f t="shared" si="235"/>
        <v>1.4939742054018772</v>
      </c>
      <c r="AL478" s="135">
        <f t="shared" si="235"/>
        <v>4.9577578235135329</v>
      </c>
      <c r="AM478" s="135">
        <f t="shared" si="235"/>
        <v>30.734542937776837</v>
      </c>
      <c r="AN478" s="135">
        <f t="shared" si="235"/>
        <v>2.7050464698625811</v>
      </c>
      <c r="AO478" s="135">
        <f t="shared" si="235"/>
        <v>11.512082261303393</v>
      </c>
      <c r="AP478" s="135">
        <f t="shared" si="235"/>
        <v>9.2613503838156817</v>
      </c>
      <c r="AQ478" s="135">
        <f t="shared" si="235"/>
        <v>13.472593234503629</v>
      </c>
      <c r="AR478" s="135">
        <f t="shared" si="235"/>
        <v>23.656894493413112</v>
      </c>
      <c r="AS478" s="135">
        <f t="shared" si="235"/>
        <v>21.891546913671455</v>
      </c>
      <c r="AT478" s="135">
        <f t="shared" si="235"/>
        <v>36.611609129130322</v>
      </c>
      <c r="AU478" s="135">
        <f t="shared" si="235"/>
        <v>36.731853613029088</v>
      </c>
      <c r="AV478" s="135">
        <f t="shared" si="235"/>
        <v>39.714701258895367</v>
      </c>
      <c r="AW478" s="135">
        <f t="shared" si="235"/>
        <v>39.738905737074937</v>
      </c>
      <c r="AX478" s="135">
        <f t="shared" si="235"/>
        <v>40.323826013551439</v>
      </c>
      <c r="AY478" s="135">
        <f t="shared" si="235"/>
        <v>40.323826013551439</v>
      </c>
      <c r="AZ478" s="135">
        <f t="shared" si="235"/>
        <v>40.323826013551439</v>
      </c>
      <c r="BA478" s="135">
        <f t="shared" si="235"/>
        <v>40.323826013551439</v>
      </c>
      <c r="BB478" s="135">
        <f t="shared" si="235"/>
        <v>40.323826013551439</v>
      </c>
      <c r="BC478" s="135">
        <f t="shared" si="235"/>
        <v>40.323826013551439</v>
      </c>
      <c r="BD478" s="135">
        <f t="shared" si="235"/>
        <v>27.541077721855508</v>
      </c>
      <c r="BE478" s="135">
        <f t="shared" si="235"/>
        <v>39.768335556103509</v>
      </c>
      <c r="BF478" s="135">
        <f t="shared" si="235"/>
        <v>39.768335556103509</v>
      </c>
      <c r="BG478" s="135">
        <f t="shared" si="235"/>
        <v>5.109142328115665E-2</v>
      </c>
      <c r="BH478" s="135">
        <f t="shared" si="235"/>
        <v>25.474907945934259</v>
      </c>
      <c r="BI478" s="135">
        <f t="shared" si="235"/>
        <v>5.9888067564625338</v>
      </c>
    </row>
    <row r="479" spans="1:61" s="43" customFormat="1">
      <c r="A479" s="398"/>
      <c r="B479" s="27"/>
      <c r="C479" s="2492"/>
      <c r="D479" s="2493"/>
      <c r="E479" s="587" t="s">
        <v>1286</v>
      </c>
      <c r="F479" s="62" t="s">
        <v>216</v>
      </c>
      <c r="G479" s="107" t="s">
        <v>24</v>
      </c>
      <c r="H479" s="113">
        <f t="shared" ref="H479:AL479" si="236">H465*H478</f>
        <v>9.1634676794537253E-5</v>
      </c>
      <c r="I479" s="113">
        <f t="shared" si="236"/>
        <v>9.1634676794537253E-5</v>
      </c>
      <c r="J479" s="113">
        <f>J465*J478</f>
        <v>2.5977362015620014E-4</v>
      </c>
      <c r="K479" s="113">
        <f t="shared" si="236"/>
        <v>1.9263698630136983E-3</v>
      </c>
      <c r="L479" s="113">
        <f t="shared" si="236"/>
        <v>1.926369863013699E-3</v>
      </c>
      <c r="M479" s="113">
        <f t="shared" si="236"/>
        <v>1.926369863013699E-3</v>
      </c>
      <c r="N479" s="113">
        <f>N465*N478</f>
        <v>1.9263698630136985E-3</v>
      </c>
      <c r="O479" s="113">
        <f>O465*O478</f>
        <v>1.9263698630136985E-3</v>
      </c>
      <c r="P479" s="113">
        <f t="shared" si="236"/>
        <v>1.9263698630136985E-3</v>
      </c>
      <c r="Q479" s="113">
        <f t="shared" si="236"/>
        <v>1.9263698630136985E-3</v>
      </c>
      <c r="R479" s="113">
        <f>R465*R478</f>
        <v>1.9263698630136985E-3</v>
      </c>
      <c r="S479" s="113">
        <f>S465*S478</f>
        <v>1.926369863013699E-3</v>
      </c>
      <c r="T479" s="113">
        <f>T465*T478</f>
        <v>1.926369863013699E-3</v>
      </c>
      <c r="U479" s="113">
        <f t="shared" si="236"/>
        <v>1.9263698630136985E-3</v>
      </c>
      <c r="V479" s="113">
        <f t="shared" si="236"/>
        <v>1.926369863013699E-3</v>
      </c>
      <c r="W479" s="113">
        <f t="shared" si="236"/>
        <v>1.926369863013699E-3</v>
      </c>
      <c r="X479" s="113">
        <f t="shared" si="236"/>
        <v>1.9263698630136985E-3</v>
      </c>
      <c r="Y479" s="113">
        <f t="shared" si="236"/>
        <v>1.9263698630136985E-3</v>
      </c>
      <c r="Z479" s="113">
        <f t="shared" si="236"/>
        <v>1.9263698630136987E-3</v>
      </c>
      <c r="AA479" s="113">
        <f t="shared" si="236"/>
        <v>2.751956947162427E-4</v>
      </c>
      <c r="AB479" s="113">
        <f t="shared" si="236"/>
        <v>1.9263698630136987E-3</v>
      </c>
      <c r="AC479" s="113">
        <f t="shared" si="236"/>
        <v>1.0955142987540609E-3</v>
      </c>
      <c r="AD479" s="113">
        <f t="shared" si="236"/>
        <v>4.5281312345110903E-4</v>
      </c>
      <c r="AE479" s="113">
        <f t="shared" si="236"/>
        <v>1.4170502018441065E-4</v>
      </c>
      <c r="AF479" s="113">
        <f t="shared" si="236"/>
        <v>2.0665152938810014E-6</v>
      </c>
      <c r="AG479" s="113">
        <f t="shared" si="236"/>
        <v>1.9263698630136985E-3</v>
      </c>
      <c r="AH479" s="113">
        <f t="shared" si="236"/>
        <v>1.9263698630136985E-3</v>
      </c>
      <c r="AI479" s="113">
        <f t="shared" si="236"/>
        <v>1.9263698630136987E-3</v>
      </c>
      <c r="AJ479" s="113">
        <f t="shared" si="236"/>
        <v>1.9263698630136983E-3</v>
      </c>
      <c r="AK479" s="113">
        <f t="shared" si="236"/>
        <v>1.5288619522523155E-3</v>
      </c>
      <c r="AL479" s="113">
        <f t="shared" si="236"/>
        <v>3.8461997335203417E-4</v>
      </c>
      <c r="AM479" s="113">
        <f t="shared" ref="AM479:BI479" si="237">AM465*AM478</f>
        <v>1.6505308607667333E-5</v>
      </c>
      <c r="AN479" s="113">
        <f t="shared" si="237"/>
        <v>1.1562738687923112E-4</v>
      </c>
      <c r="AO479" s="113">
        <f t="shared" si="237"/>
        <v>1.3439684544800545E-4</v>
      </c>
      <c r="AP479" s="113">
        <f t="shared" si="237"/>
        <v>1.8088085696723694E-4</v>
      </c>
      <c r="AQ479" s="113">
        <f t="shared" si="237"/>
        <v>1.0654472904692013E-4</v>
      </c>
      <c r="AR479" s="113">
        <f t="shared" si="237"/>
        <v>3.7457547374549194E-5</v>
      </c>
      <c r="AS479" s="113">
        <f t="shared" si="237"/>
        <v>4.4770583667775136E-5</v>
      </c>
      <c r="AT479" s="113">
        <f t="shared" si="237"/>
        <v>5.4655169278901763E-6</v>
      </c>
      <c r="AU479" s="113">
        <f t="shared" si="237"/>
        <v>5.275158037155628E-6</v>
      </c>
      <c r="AV479" s="113">
        <f t="shared" si="237"/>
        <v>9.0991226393491376E-7</v>
      </c>
      <c r="AW479" s="113">
        <f t="shared" si="237"/>
        <v>8.7731000741571587E-7</v>
      </c>
      <c r="AX479" s="113">
        <f t="shared" si="237"/>
        <v>3.1334231758053783E-8</v>
      </c>
      <c r="AY479" s="113">
        <f t="shared" si="237"/>
        <v>2.1504560885686527E-8</v>
      </c>
      <c r="AZ479" s="113">
        <f t="shared" si="237"/>
        <v>1.4360366033740198E-8</v>
      </c>
      <c r="BA479" s="113">
        <f t="shared" si="237"/>
        <v>2.4801818971566872E-9</v>
      </c>
      <c r="BB479" s="113">
        <f t="shared" si="237"/>
        <v>3.9269720773911766E-8</v>
      </c>
      <c r="BC479" s="113">
        <f t="shared" si="237"/>
        <v>1.0432051305788768E-14</v>
      </c>
      <c r="BD479" s="113">
        <f t="shared" si="237"/>
        <v>2.5763894495495449E-5</v>
      </c>
      <c r="BE479" s="113">
        <f t="shared" si="237"/>
        <v>8.2569686017908969E-7</v>
      </c>
      <c r="BF479" s="113">
        <f t="shared" si="237"/>
        <v>8.2569686017908969E-7</v>
      </c>
      <c r="BG479" s="113">
        <f t="shared" si="237"/>
        <v>8.668664383561644E-4</v>
      </c>
      <c r="BH479" s="113">
        <f t="shared" si="237"/>
        <v>3.1690257834545059E-5</v>
      </c>
      <c r="BI479" s="113">
        <f t="shared" si="237"/>
        <v>5.7643067035927431E-5</v>
      </c>
    </row>
    <row r="480" spans="1:61" s="43" customFormat="1">
      <c r="A480" s="398"/>
      <c r="B480" s="27"/>
      <c r="C480" s="2492"/>
      <c r="D480" s="2493"/>
      <c r="E480" s="3927" t="s">
        <v>950</v>
      </c>
      <c r="F480" s="62"/>
      <c r="G480" s="107"/>
      <c r="H480" s="113"/>
      <c r="I480" s="113"/>
      <c r="J480" s="113"/>
      <c r="K480" s="113"/>
      <c r="L480" s="113"/>
      <c r="M480" s="113"/>
      <c r="N480" s="113"/>
      <c r="O480" s="113"/>
      <c r="P480" s="113"/>
      <c r="Q480" s="113"/>
      <c r="R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row>
    <row r="481" spans="1:61">
      <c r="A481" s="33"/>
      <c r="B481" s="33"/>
      <c r="C481" s="2453"/>
      <c r="D481" s="2454"/>
      <c r="E481" s="3935" t="str">
        <f>'EmVap-Vol'!E$350</f>
        <v>CT de l'air du sol de la source à l'émission (après contrôle de masse)</v>
      </c>
      <c r="F481" s="14" t="s">
        <v>204</v>
      </c>
      <c r="G481" s="89" t="str">
        <f>'EmVap-Vol'!G$350</f>
        <v>(mg/m2/s)/(mg/l)</v>
      </c>
      <c r="H481" s="113">
        <f>'EmVap-Vol'!H$350</f>
        <v>2.9869500750778842E-2</v>
      </c>
      <c r="I481" s="113">
        <f>'EmVap-Vol'!I$350</f>
        <v>2.9869500750778842E-2</v>
      </c>
      <c r="J481" s="113">
        <f>'EmVap-Vol'!J$350</f>
        <v>2.9869500750778842E-2</v>
      </c>
      <c r="K481" s="113">
        <f>'EmVap-Vol'!K$350</f>
        <v>2.2158204484343824E-4</v>
      </c>
      <c r="L481" s="113">
        <f>'EmVap-Vol'!L$350</f>
        <v>1.1851458550923837E-3</v>
      </c>
      <c r="M481" s="113">
        <f>'EmVap-Vol'!M$350</f>
        <v>1.1851458550923837E-3</v>
      </c>
      <c r="N481" s="113">
        <f>'EmVap-Vol'!N$350</f>
        <v>6.0089158260360175E-4</v>
      </c>
      <c r="O481" s="113">
        <f>'EmVap-Vol'!O$350</f>
        <v>6.0089158260360175E-4</v>
      </c>
      <c r="P481" s="113">
        <f>'EmVap-Vol'!P$350</f>
        <v>5.5039751776425475E-4</v>
      </c>
      <c r="Q481" s="113">
        <f>'EmVap-Vol'!Q$350</f>
        <v>5.5039751776425475E-4</v>
      </c>
      <c r="R481" s="113">
        <f>'EmVap-Vol'!R$350</f>
        <v>1.3692415109493382E-3</v>
      </c>
      <c r="S481" s="113">
        <f>'EmVap-Vol'!S$350</f>
        <v>1.4594722321216436E-3</v>
      </c>
      <c r="T481" s="113">
        <f>'EmVap-Vol'!T$350</f>
        <v>1.4594722321216436E-3</v>
      </c>
      <c r="U481" s="113">
        <f>'EmVap-Vol'!U$350</f>
        <v>3.1000122748342328E-4</v>
      </c>
      <c r="V481" s="113">
        <f>'EmVap-Vol'!V$350</f>
        <v>1.8939450323668115E-4</v>
      </c>
      <c r="W481" s="113">
        <f>'EmVap-Vol'!W$350</f>
        <v>1.8939450323668115E-4</v>
      </c>
      <c r="X481" s="113">
        <f>'EmVap-Vol'!X$350</f>
        <v>9.8724472586039064E-4</v>
      </c>
      <c r="Y481" s="113">
        <f>'EmVap-Vol'!Y$350</f>
        <v>1.4244744461903392E-3</v>
      </c>
      <c r="Z481" s="113">
        <f>'EmVap-Vol'!Z$350</f>
        <v>2.4053246937783494E-3</v>
      </c>
      <c r="AA481" s="113">
        <f>'EmVap-Vol'!AA$350</f>
        <v>3.5854363478589131E-3</v>
      </c>
      <c r="AB481" s="113">
        <f>'EmVap-Vol'!AB$350</f>
        <v>3.1702287642916965E-3</v>
      </c>
      <c r="AC481" s="113">
        <f>'EmVap-Vol'!AC$350</f>
        <v>1.6246379973589853E-2</v>
      </c>
      <c r="AD481" s="113">
        <f>'EmVap-Vol'!AD$350</f>
        <v>2.9869500750778842E-2</v>
      </c>
      <c r="AE481" s="113">
        <f>'EmVap-Vol'!AE$350</f>
        <v>2.9869500750778842E-2</v>
      </c>
      <c r="AF481" s="113">
        <f>'EmVap-Vol'!AF$350</f>
        <v>2.9869500750778842E-2</v>
      </c>
      <c r="AG481" s="113">
        <f>'EmVap-Vol'!AG$350</f>
        <v>1.3784519291422463E-4</v>
      </c>
      <c r="AH481" s="113">
        <f>'EmVap-Vol'!AH$350</f>
        <v>1.8410300043604811E-4</v>
      </c>
      <c r="AI481" s="113">
        <f>'EmVap-Vol'!AI$350</f>
        <v>4.5277041284242487E-4</v>
      </c>
      <c r="AJ481" s="113">
        <f>'EmVap-Vol'!AJ$350</f>
        <v>1.9020518590924676E-3</v>
      </c>
      <c r="AK481" s="113">
        <f>'EmVap-Vol'!AK$350</f>
        <v>8.3434134006860113E-3</v>
      </c>
      <c r="AL481" s="113">
        <f>'EmVap-Vol'!AL$350</f>
        <v>2.9869500750778842E-2</v>
      </c>
      <c r="AM481" s="113">
        <f>'EmVap-Vol'!AM$350</f>
        <v>2.9869500750778842E-2</v>
      </c>
      <c r="AN481" s="113">
        <f>'EmVap-Vol'!AN$350</f>
        <v>2.9869500750778842E-2</v>
      </c>
      <c r="AO481" s="113">
        <f>'EmVap-Vol'!AO$350</f>
        <v>2.9869500750778842E-2</v>
      </c>
      <c r="AP481" s="113">
        <f>'EmVap-Vol'!AP$350</f>
        <v>2.9869500750778842E-2</v>
      </c>
      <c r="AQ481" s="113">
        <f>'EmVap-Vol'!AQ$350</f>
        <v>2.9869500750778842E-2</v>
      </c>
      <c r="AR481" s="113">
        <f>'EmVap-Vol'!AR$350</f>
        <v>2.9869500750778842E-2</v>
      </c>
      <c r="AS481" s="113">
        <f>'EmVap-Vol'!AS$350</f>
        <v>2.9869500750778842E-2</v>
      </c>
      <c r="AT481" s="113">
        <f>'EmVap-Vol'!AT$350</f>
        <v>2.9869500750778842E-2</v>
      </c>
      <c r="AU481" s="113">
        <f>'EmVap-Vol'!AU$350</f>
        <v>2.9869500750778842E-2</v>
      </c>
      <c r="AV481" s="113">
        <f>'EmVap-Vol'!AV$350</f>
        <v>2.9869500750778842E-2</v>
      </c>
      <c r="AW481" s="113">
        <f>'EmVap-Vol'!AW$350</f>
        <v>2.9869500750778842E-2</v>
      </c>
      <c r="AX481" s="113">
        <f>'EmVap-Vol'!AX$350</f>
        <v>2.9869500750778842E-2</v>
      </c>
      <c r="AY481" s="113">
        <f>'EmVap-Vol'!AY$350</f>
        <v>2.9869500750778842E-2</v>
      </c>
      <c r="AZ481" s="113">
        <f>'EmVap-Vol'!AZ$350</f>
        <v>2.9869500750778842E-2</v>
      </c>
      <c r="BA481" s="113">
        <f>'EmVap-Vol'!BA$350</f>
        <v>2.9869500750778842E-2</v>
      </c>
      <c r="BB481" s="113">
        <f>'EmVap-Vol'!BB$350</f>
        <v>2.9869500750778842E-2</v>
      </c>
      <c r="BC481" s="113">
        <f>'EmVap-Vol'!BC$350</f>
        <v>2.9869500750778842E-2</v>
      </c>
      <c r="BD481" s="113">
        <f>'EmVap-Vol'!BD$350</f>
        <v>2.9869500750778842E-2</v>
      </c>
      <c r="BE481" s="113">
        <f>'EmVap-Vol'!BE$350</f>
        <v>2.9869500750778842E-2</v>
      </c>
      <c r="BF481" s="113">
        <f>'EmVap-Vol'!BF$350</f>
        <v>2.9869500750778842E-2</v>
      </c>
      <c r="BG481" s="113">
        <f>'EmVap-Vol'!BG$350</f>
        <v>2.2645257434878176E-4</v>
      </c>
      <c r="BH481" s="113">
        <f>'EmVap-Vol'!BH$350</f>
        <v>2.9869500750778842E-2</v>
      </c>
      <c r="BI481" s="113">
        <f>'EmVap-Vol'!BI$350</f>
        <v>2.9869500750778842E-2</v>
      </c>
    </row>
    <row r="482" spans="1:61">
      <c r="A482" s="97"/>
      <c r="B482" s="97"/>
      <c r="C482" s="2108"/>
      <c r="D482" s="2493"/>
      <c r="E482" s="3955" t="s">
        <v>1114</v>
      </c>
      <c r="F482" s="96" t="s">
        <v>1115</v>
      </c>
      <c r="G482" s="144" t="s">
        <v>206</v>
      </c>
      <c r="H482" s="135">
        <f t="shared" ref="H482:AL482" si="238">H481*H468</f>
        <v>40.323826013551439</v>
      </c>
      <c r="I482" s="135">
        <f t="shared" si="238"/>
        <v>40.323826013551439</v>
      </c>
      <c r="J482" s="135">
        <f>J481*J468</f>
        <v>40.323826013551439</v>
      </c>
      <c r="K482" s="135">
        <f t="shared" si="238"/>
        <v>0.2991357605386416</v>
      </c>
      <c r="L482" s="135">
        <f t="shared" si="238"/>
        <v>1.5999469043747181</v>
      </c>
      <c r="M482" s="135">
        <f t="shared" si="238"/>
        <v>1.5999469043747181</v>
      </c>
      <c r="N482" s="135">
        <f>N481*N468</f>
        <v>0.81120363651486238</v>
      </c>
      <c r="O482" s="135">
        <f>O481*O468</f>
        <v>0.81120363651486238</v>
      </c>
      <c r="P482" s="135">
        <f t="shared" si="238"/>
        <v>0.74303664898174393</v>
      </c>
      <c r="Q482" s="135">
        <f t="shared" si="238"/>
        <v>0.74303664898174393</v>
      </c>
      <c r="R482" s="135">
        <f>R481*R468</f>
        <v>1.8484760397816065</v>
      </c>
      <c r="S482" s="135">
        <f>S481*S468</f>
        <v>1.9702875133642188</v>
      </c>
      <c r="T482" s="135">
        <f>T481*T468</f>
        <v>1.9702875133642188</v>
      </c>
      <c r="U482" s="135">
        <f t="shared" si="238"/>
        <v>0.41850165710262144</v>
      </c>
      <c r="V482" s="135">
        <f t="shared" si="238"/>
        <v>0.25568257936951955</v>
      </c>
      <c r="W482" s="135">
        <f t="shared" si="238"/>
        <v>0.25568257936951955</v>
      </c>
      <c r="X482" s="135">
        <f t="shared" si="238"/>
        <v>1.3327803799115274</v>
      </c>
      <c r="Y482" s="135">
        <f t="shared" si="238"/>
        <v>1.9230405023569579</v>
      </c>
      <c r="Z482" s="135">
        <f t="shared" si="238"/>
        <v>3.2471883366007717</v>
      </c>
      <c r="AA482" s="135">
        <f t="shared" si="238"/>
        <v>4.8403390696095325</v>
      </c>
      <c r="AB482" s="135">
        <f t="shared" si="238"/>
        <v>4.2798088317937903</v>
      </c>
      <c r="AC482" s="135">
        <f t="shared" si="238"/>
        <v>21.932612964346301</v>
      </c>
      <c r="AD482" s="135">
        <f t="shared" si="238"/>
        <v>40.323826013551439</v>
      </c>
      <c r="AE482" s="135">
        <f t="shared" si="238"/>
        <v>40.323826013551439</v>
      </c>
      <c r="AF482" s="135">
        <f t="shared" si="238"/>
        <v>40.323826013551439</v>
      </c>
      <c r="AG482" s="135">
        <f t="shared" si="238"/>
        <v>0.18609101043420326</v>
      </c>
      <c r="AH482" s="135">
        <f t="shared" si="238"/>
        <v>0.24853905058866496</v>
      </c>
      <c r="AI482" s="135">
        <f t="shared" si="238"/>
        <v>0.6112400573372736</v>
      </c>
      <c r="AJ482" s="135">
        <f t="shared" si="238"/>
        <v>2.5677700097748311</v>
      </c>
      <c r="AK482" s="135">
        <f t="shared" si="238"/>
        <v>11.263608090926116</v>
      </c>
      <c r="AL482" s="135">
        <f t="shared" si="238"/>
        <v>40.323826013551439</v>
      </c>
      <c r="AM482" s="135">
        <f t="shared" ref="AM482:BI482" si="239">AM481*AM468</f>
        <v>40.323826013551439</v>
      </c>
      <c r="AN482" s="135">
        <f t="shared" si="239"/>
        <v>40.323826013551439</v>
      </c>
      <c r="AO482" s="135">
        <f t="shared" si="239"/>
        <v>40.323826013551439</v>
      </c>
      <c r="AP482" s="135">
        <f t="shared" si="239"/>
        <v>40.323826013551439</v>
      </c>
      <c r="AQ482" s="135">
        <f t="shared" si="239"/>
        <v>40.323826013551439</v>
      </c>
      <c r="AR482" s="135">
        <f t="shared" si="239"/>
        <v>40.323826013551439</v>
      </c>
      <c r="AS482" s="135">
        <f t="shared" si="239"/>
        <v>40.323826013551439</v>
      </c>
      <c r="AT482" s="135">
        <f t="shared" si="239"/>
        <v>40.323826013551439</v>
      </c>
      <c r="AU482" s="135">
        <f t="shared" si="239"/>
        <v>40.323826013551439</v>
      </c>
      <c r="AV482" s="135">
        <f t="shared" si="239"/>
        <v>40.323826013551439</v>
      </c>
      <c r="AW482" s="135">
        <f t="shared" si="239"/>
        <v>40.323826013551439</v>
      </c>
      <c r="AX482" s="135">
        <f t="shared" si="239"/>
        <v>40.323826013551439</v>
      </c>
      <c r="AY482" s="135">
        <f t="shared" si="239"/>
        <v>40.323826013551439</v>
      </c>
      <c r="AZ482" s="135">
        <f t="shared" si="239"/>
        <v>40.323826013551439</v>
      </c>
      <c r="BA482" s="135">
        <f t="shared" si="239"/>
        <v>40.323826013551439</v>
      </c>
      <c r="BB482" s="135">
        <f t="shared" si="239"/>
        <v>40.323826013551439</v>
      </c>
      <c r="BC482" s="135">
        <f t="shared" si="239"/>
        <v>40.323826013551439</v>
      </c>
      <c r="BD482" s="135">
        <f t="shared" si="239"/>
        <v>40.323826013551439</v>
      </c>
      <c r="BE482" s="135">
        <f t="shared" si="239"/>
        <v>40.323826013551439</v>
      </c>
      <c r="BF482" s="135">
        <f t="shared" si="239"/>
        <v>40.323826013551439</v>
      </c>
      <c r="BG482" s="135">
        <f t="shared" si="239"/>
        <v>0.3057109753708554</v>
      </c>
      <c r="BH482" s="135">
        <f t="shared" si="239"/>
        <v>40.323826013551439</v>
      </c>
      <c r="BI482" s="135">
        <f t="shared" si="239"/>
        <v>40.323826013551439</v>
      </c>
    </row>
    <row r="483" spans="1:61">
      <c r="A483" s="97"/>
      <c r="B483" s="97"/>
      <c r="C483" s="2492"/>
      <c r="D483" s="2493"/>
      <c r="E483" s="3955" t="s">
        <v>681</v>
      </c>
      <c r="F483" s="62" t="s">
        <v>1116</v>
      </c>
      <c r="G483" s="107" t="s">
        <v>24</v>
      </c>
      <c r="H483" s="113">
        <f t="shared" ref="H483:BI483" si="240">H$25*H482</f>
        <v>1.0623277887055486E-3</v>
      </c>
      <c r="I483" s="113">
        <f t="shared" si="240"/>
        <v>1.0623277887055486E-3</v>
      </c>
      <c r="J483" s="113">
        <f>J$25*J482</f>
        <v>6.9738706930028245E-3</v>
      </c>
      <c r="K483" s="113">
        <f t="shared" si="240"/>
        <v>1.1526639344262292E-2</v>
      </c>
      <c r="L483" s="113">
        <f t="shared" si="240"/>
        <v>1.1526639344262297E-2</v>
      </c>
      <c r="M483" s="113">
        <f t="shared" si="240"/>
        <v>1.1526639344262297E-2</v>
      </c>
      <c r="N483" s="113">
        <f>N$25*N482</f>
        <v>1.1526639344262296E-2</v>
      </c>
      <c r="O483" s="113">
        <f>O$25*O482</f>
        <v>1.1526639344262296E-2</v>
      </c>
      <c r="P483" s="113">
        <f t="shared" si="240"/>
        <v>1.1526639344262296E-2</v>
      </c>
      <c r="Q483" s="113">
        <f t="shared" si="240"/>
        <v>1.1526639344262296E-2</v>
      </c>
      <c r="R483" s="113">
        <f>R$25*R482</f>
        <v>1.1526639344262296E-2</v>
      </c>
      <c r="S483" s="113">
        <f>S$25*S482</f>
        <v>1.1526639344262296E-2</v>
      </c>
      <c r="T483" s="113">
        <f>T$25*T482</f>
        <v>1.1526639344262296E-2</v>
      </c>
      <c r="U483" s="113">
        <f t="shared" si="240"/>
        <v>1.1526639344262294E-2</v>
      </c>
      <c r="V483" s="113">
        <f t="shared" si="240"/>
        <v>1.1526639344262296E-2</v>
      </c>
      <c r="W483" s="113">
        <f t="shared" si="240"/>
        <v>1.1526639344262296E-2</v>
      </c>
      <c r="X483" s="113">
        <f t="shared" si="240"/>
        <v>1.1526639344262296E-2</v>
      </c>
      <c r="Y483" s="113">
        <f t="shared" si="240"/>
        <v>1.1526639344262294E-2</v>
      </c>
      <c r="Z483" s="113">
        <f t="shared" si="240"/>
        <v>1.1526639344262294E-2</v>
      </c>
      <c r="AA483" s="113">
        <f t="shared" si="240"/>
        <v>1.1526639344262296E-2</v>
      </c>
      <c r="AB483" s="113">
        <f t="shared" si="240"/>
        <v>1.1526639344262296E-2</v>
      </c>
      <c r="AC483" s="113">
        <f t="shared" si="240"/>
        <v>1.1526639344262294E-2</v>
      </c>
      <c r="AD483" s="113">
        <f t="shared" si="240"/>
        <v>4.1480004146370432E-3</v>
      </c>
      <c r="AE483" s="113">
        <f t="shared" si="240"/>
        <v>5.1722376913439347E-4</v>
      </c>
      <c r="AF483" s="113">
        <f t="shared" si="240"/>
        <v>2.1437616983493565E-6</v>
      </c>
      <c r="AG483" s="113">
        <f t="shared" si="240"/>
        <v>1.1526639344262296E-2</v>
      </c>
      <c r="AH483" s="113">
        <f t="shared" si="240"/>
        <v>1.1526639344262296E-2</v>
      </c>
      <c r="AI483" s="113">
        <f t="shared" si="240"/>
        <v>1.1526639344262297E-2</v>
      </c>
      <c r="AJ483" s="113">
        <f t="shared" si="240"/>
        <v>1.1526639344262294E-2</v>
      </c>
      <c r="AK483" s="113">
        <f t="shared" si="240"/>
        <v>1.1526639344262296E-2</v>
      </c>
      <c r="AL483" s="113">
        <f t="shared" si="240"/>
        <v>3.1282990091260321E-3</v>
      </c>
      <c r="AM483" s="113">
        <f t="shared" si="240"/>
        <v>2.1655021645937421E-5</v>
      </c>
      <c r="AN483" s="113">
        <f t="shared" si="240"/>
        <v>1.7236445594801843E-3</v>
      </c>
      <c r="AO483" s="113">
        <f t="shared" si="240"/>
        <v>4.7075714797767203E-4</v>
      </c>
      <c r="AP483" s="113">
        <f t="shared" si="240"/>
        <v>7.8755342398825127E-4</v>
      </c>
      <c r="AQ483" s="113">
        <f t="shared" si="240"/>
        <v>3.1889117721940009E-4</v>
      </c>
      <c r="AR483" s="113">
        <f t="shared" si="240"/>
        <v>6.3847417658570449E-5</v>
      </c>
      <c r="AS483" s="113">
        <f t="shared" si="240"/>
        <v>8.2466590116437777E-5</v>
      </c>
      <c r="AT483" s="113">
        <f t="shared" si="240"/>
        <v>6.0196904456463269E-6</v>
      </c>
      <c r="AU483" s="113">
        <f t="shared" si="240"/>
        <v>5.7910106341270909E-6</v>
      </c>
      <c r="AV483" s="113">
        <f t="shared" si="240"/>
        <v>9.2386805529073475E-7</v>
      </c>
      <c r="AW483" s="113">
        <f t="shared" si="240"/>
        <v>8.9022320677476237E-7</v>
      </c>
      <c r="AX483" s="113">
        <f t="shared" si="240"/>
        <v>3.1334231758053783E-8</v>
      </c>
      <c r="AY483" s="113">
        <f t="shared" si="240"/>
        <v>2.1504560885686527E-8</v>
      </c>
      <c r="AZ483" s="113">
        <f t="shared" si="240"/>
        <v>1.4360366033740198E-8</v>
      </c>
      <c r="BA483" s="113">
        <f t="shared" si="240"/>
        <v>2.4801818971566872E-9</v>
      </c>
      <c r="BB483" s="113">
        <f t="shared" si="240"/>
        <v>3.9269720773911766E-8</v>
      </c>
      <c r="BC483" s="113">
        <f t="shared" si="240"/>
        <v>1.0432051305788768E-14</v>
      </c>
      <c r="BD483" s="113">
        <f t="shared" si="240"/>
        <v>3.7721791774452792E-5</v>
      </c>
      <c r="BE483" s="113">
        <f t="shared" si="240"/>
        <v>8.3723032569029098E-7</v>
      </c>
      <c r="BF483" s="113">
        <f t="shared" si="240"/>
        <v>8.3723032569029098E-7</v>
      </c>
      <c r="BG483" s="113">
        <f t="shared" si="240"/>
        <v>5.1869877049180333E-3</v>
      </c>
      <c r="BH483" s="113">
        <f t="shared" si="240"/>
        <v>5.0162004351765522E-5</v>
      </c>
      <c r="BI483" s="113">
        <f t="shared" si="240"/>
        <v>3.8812222543931096E-4</v>
      </c>
    </row>
    <row r="484" spans="1:61" ht="25.5">
      <c r="A484" s="97"/>
      <c r="B484" s="97"/>
      <c r="C484" s="2108"/>
      <c r="D484" s="2109"/>
      <c r="E484" s="3498" t="s">
        <v>1015</v>
      </c>
      <c r="F484" s="14" t="s">
        <v>19</v>
      </c>
      <c r="G484" s="341" t="s">
        <v>18</v>
      </c>
      <c r="H484" s="113" t="str">
        <f t="shared" ref="H484:AM484" si="241">IF(H$13=0,"nd",IF(H483=0,"PVL",H$13*1000/H482/H$20))</f>
        <v>nd</v>
      </c>
      <c r="I484" s="113" t="str">
        <f t="shared" si="241"/>
        <v>nd</v>
      </c>
      <c r="J484" s="113" t="str">
        <f t="shared" si="241"/>
        <v>nd</v>
      </c>
      <c r="K484" s="113">
        <f t="shared" si="241"/>
        <v>22.556444444444448</v>
      </c>
      <c r="L484" s="113">
        <f t="shared" si="241"/>
        <v>59.420713802836858</v>
      </c>
      <c r="M484" s="113">
        <f t="shared" si="241"/>
        <v>59.420713802836858</v>
      </c>
      <c r="N484" s="113">
        <f t="shared" si="241"/>
        <v>132.64969988927811</v>
      </c>
      <c r="O484" s="113">
        <f t="shared" si="241"/>
        <v>132.64969988927811</v>
      </c>
      <c r="P484" s="113">
        <f t="shared" si="241"/>
        <v>161.44061104379898</v>
      </c>
      <c r="Q484" s="113">
        <f t="shared" si="241"/>
        <v>161.44061104379898</v>
      </c>
      <c r="R484" s="113">
        <f t="shared" si="241"/>
        <v>76.557379690210681</v>
      </c>
      <c r="S484" s="113">
        <f t="shared" si="241"/>
        <v>10.330676071965918</v>
      </c>
      <c r="T484" s="113">
        <f t="shared" si="241"/>
        <v>10.330676071965918</v>
      </c>
      <c r="U484" s="113">
        <f t="shared" si="241"/>
        <v>532.43913331874614</v>
      </c>
      <c r="V484" s="113">
        <f t="shared" si="241"/>
        <v>481.06843745521746</v>
      </c>
      <c r="W484" s="113">
        <f t="shared" si="241"/>
        <v>481.06843745521746</v>
      </c>
      <c r="X484" s="113">
        <f t="shared" si="241"/>
        <v>13.162136292059106</v>
      </c>
      <c r="Y484" s="113">
        <f t="shared" si="241"/>
        <v>8.1127565902731202</v>
      </c>
      <c r="Z484" s="113">
        <f t="shared" si="241"/>
        <v>8.4589008714581055</v>
      </c>
      <c r="AA484" s="113">
        <f t="shared" si="241"/>
        <v>0.25744480913133366</v>
      </c>
      <c r="AB484" s="113">
        <f t="shared" si="241"/>
        <v>1.4757032629608855</v>
      </c>
      <c r="AC484" s="113">
        <f t="shared" si="241"/>
        <v>0.38825705979465486</v>
      </c>
      <c r="AD484" s="113">
        <f t="shared" si="241"/>
        <v>1.0789051720739191</v>
      </c>
      <c r="AE484" s="113">
        <f t="shared" si="241"/>
        <v>8.6525395161292789</v>
      </c>
      <c r="AF484" s="113">
        <f t="shared" si="241"/>
        <v>2087.5916873421779</v>
      </c>
      <c r="AG484" s="113">
        <f t="shared" si="241"/>
        <v>33.80128267563996</v>
      </c>
      <c r="AH484" s="113">
        <f t="shared" si="241"/>
        <v>192.40039879481012</v>
      </c>
      <c r="AI484" s="113">
        <f t="shared" si="241"/>
        <v>15.559026408899966</v>
      </c>
      <c r="AJ484" s="113">
        <f t="shared" si="241"/>
        <v>5.9710987927148196</v>
      </c>
      <c r="AK484" s="113">
        <f t="shared" si="241"/>
        <v>32.967111111111109</v>
      </c>
      <c r="AL484" s="113">
        <f t="shared" si="241"/>
        <v>121.47176433309119</v>
      </c>
      <c r="AM484" s="113">
        <f t="shared" si="241"/>
        <v>17547.892872750359</v>
      </c>
      <c r="AN484" s="113">
        <f t="shared" ref="AN484:BI484" si="242">IF(AN$13=0,"nd",IF(AN483=0,"PVL",AN$13*1000/AN482/AN$20))</f>
        <v>2.5964164575011477</v>
      </c>
      <c r="AO484" s="113">
        <f t="shared" si="242"/>
        <v>9.5065982966846629</v>
      </c>
      <c r="AP484" s="113">
        <f t="shared" si="242"/>
        <v>5.682533990460346</v>
      </c>
      <c r="AQ484" s="113">
        <f t="shared" si="242"/>
        <v>14.033938286218623</v>
      </c>
      <c r="AR484" s="113">
        <f t="shared" si="242"/>
        <v>70.093658682465644</v>
      </c>
      <c r="AS484" s="113">
        <f t="shared" si="242"/>
        <v>54.268026540176066</v>
      </c>
      <c r="AT484" s="113">
        <f t="shared" si="242"/>
        <v>743.44339489306731</v>
      </c>
      <c r="AU484" s="113">
        <f t="shared" si="242"/>
        <v>772.80105043206368</v>
      </c>
      <c r="AV484" s="113">
        <f t="shared" si="242"/>
        <v>4844.0890184349118</v>
      </c>
      <c r="AW484" s="113">
        <f t="shared" si="242"/>
        <v>5027.1651728002789</v>
      </c>
      <c r="AX484" s="113">
        <f t="shared" si="242"/>
        <v>142824.59948827015</v>
      </c>
      <c r="AY484" s="113">
        <f t="shared" si="242"/>
        <v>208109.29946007096</v>
      </c>
      <c r="AZ484" s="113">
        <f t="shared" si="242"/>
        <v>311642.41152361926</v>
      </c>
      <c r="BA484" s="113">
        <f t="shared" si="242"/>
        <v>1804423.7425679169</v>
      </c>
      <c r="BB484" s="113">
        <f t="shared" si="242"/>
        <v>113963.09963298141</v>
      </c>
      <c r="BC484" s="113">
        <f t="shared" si="242"/>
        <v>428995119937.08405</v>
      </c>
      <c r="BD484" s="113">
        <f t="shared" si="242"/>
        <v>41.475543319572317</v>
      </c>
      <c r="BE484" s="113" t="str">
        <f t="shared" si="242"/>
        <v>nd</v>
      </c>
      <c r="BF484" s="113" t="str">
        <f t="shared" si="242"/>
        <v>nd</v>
      </c>
      <c r="BG484" s="113" t="str">
        <f t="shared" si="242"/>
        <v>nd</v>
      </c>
      <c r="BH484" s="113" t="str">
        <f t="shared" si="242"/>
        <v>nd</v>
      </c>
      <c r="BI484" s="113" t="str">
        <f t="shared" si="242"/>
        <v>nd</v>
      </c>
    </row>
    <row r="485" spans="1:61" s="2443" customFormat="1" ht="25.5">
      <c r="A485" s="2438"/>
      <c r="B485" s="2439"/>
      <c r="C485" s="2108"/>
      <c r="D485" s="2109"/>
      <c r="E485" s="3498" t="s">
        <v>1016</v>
      </c>
      <c r="F485" s="2440" t="s">
        <v>19</v>
      </c>
      <c r="G485" s="2431" t="s">
        <v>20</v>
      </c>
      <c r="H485" s="2442" t="str">
        <f>IF(H484&lt;'3phas'!H$23,H484,"PVL")</f>
        <v>PVL</v>
      </c>
      <c r="I485" s="2442" t="str">
        <f>IF(I484&lt;'3phas'!I$23,I484,"PVL")</f>
        <v>PVL</v>
      </c>
      <c r="J485" s="2442" t="str">
        <f>IF(J484&lt;'3phas'!J$23,J484,"PVL")</f>
        <v>PVL</v>
      </c>
      <c r="K485" s="2442">
        <f>IF(K484&lt;'3phas'!K$23,K484,"PVL")</f>
        <v>22.556444444444448</v>
      </c>
      <c r="L485" s="2442">
        <f>IF(L484&lt;'3phas'!L$23,L484,"PVL")</f>
        <v>59.420713802836858</v>
      </c>
      <c r="M485" s="2442">
        <f>IF(M484&lt;'3phas'!M$23,M484,"PVL")</f>
        <v>59.420713802836858</v>
      </c>
      <c r="N485" s="2442">
        <f>IF(N484&lt;'3phas'!N$23,N484,"PVL")</f>
        <v>132.64969988927811</v>
      </c>
      <c r="O485" s="2442">
        <f>IF(O484&lt;'3phas'!O$23,O484,"PVL")</f>
        <v>132.64969988927811</v>
      </c>
      <c r="P485" s="2442" t="str">
        <f>IF(P484&lt;'3phas'!P$23,P484,"PVL")</f>
        <v>PVL</v>
      </c>
      <c r="Q485" s="2442" t="str">
        <f>IF(Q484&lt;'3phas'!Q$23,Q484,"PVL")</f>
        <v>PVL</v>
      </c>
      <c r="R485" s="2442">
        <f>IF(R484&lt;'3phas'!R$23,R484,"PVL")</f>
        <v>76.557379690210681</v>
      </c>
      <c r="S485" s="2442">
        <f>IF(S484&lt;'3phas'!S$23,S484,"PVL")</f>
        <v>10.330676071965918</v>
      </c>
      <c r="T485" s="2442">
        <f>IF(T484&lt;'3phas'!T$23,T484,"PVL")</f>
        <v>10.330676071965918</v>
      </c>
      <c r="U485" s="2442" t="str">
        <f>IF(U484&lt;'3phas'!U$23,U484,"PVL")</f>
        <v>PVL</v>
      </c>
      <c r="V485" s="2442">
        <f>IF(V484&lt;'3phas'!V$23,V484,"PVL")</f>
        <v>481.06843745521746</v>
      </c>
      <c r="W485" s="2442">
        <f>IF(W484&lt;'3phas'!W$23,W484,"PVL")</f>
        <v>481.06843745521746</v>
      </c>
      <c r="X485" s="2442">
        <f>IF(X484&lt;'3phas'!X$23,X484,"PVL")</f>
        <v>13.162136292059106</v>
      </c>
      <c r="Y485" s="2442">
        <f>IF(Y484&lt;'3phas'!Y$23,Y484,"PVL")</f>
        <v>8.1127565902731202</v>
      </c>
      <c r="Z485" s="2442">
        <f>IF(Z484&lt;'3phas'!Z$23,Z484,"PVL")</f>
        <v>8.4589008714581055</v>
      </c>
      <c r="AA485" s="2442">
        <f>IF(AA484&lt;'3phas'!AA$23,AA484,"PVL")</f>
        <v>0.25744480913133366</v>
      </c>
      <c r="AB485" s="2442">
        <f>IF(AB484&lt;'3phas'!AB$23,AB484,"PVL")</f>
        <v>1.4757032629608855</v>
      </c>
      <c r="AC485" s="2442">
        <f>IF(AC484&lt;'3phas'!AC$23,AC484,"PVL")</f>
        <v>0.38825705979465486</v>
      </c>
      <c r="AD485" s="2442">
        <f>IF(AD484&lt;'3phas'!AD$23,AD484,"PVL")</f>
        <v>1.0789051720739191</v>
      </c>
      <c r="AE485" s="2442" t="str">
        <f>IF(AE484&lt;'3phas'!AE$23,AE484,"PVL")</f>
        <v>PVL</v>
      </c>
      <c r="AF485" s="2442" t="str">
        <f>IF(AF484&lt;'3phas'!AF$23,AF484,"PVL")</f>
        <v>PVL</v>
      </c>
      <c r="AG485" s="2442">
        <f>IF(AG484&lt;'3phas'!AG$23,AG484,"PVL")</f>
        <v>33.80128267563996</v>
      </c>
      <c r="AH485" s="2442" t="str">
        <f>IF(AH484&lt;'3phas'!AH$23,AH484,"PVL")</f>
        <v>PVL</v>
      </c>
      <c r="AI485" s="2442">
        <f>IF(AI484&lt;'3phas'!AI$23,AI484,"PVL")</f>
        <v>15.559026408899966</v>
      </c>
      <c r="AJ485" s="2442">
        <f>IF(AJ484&lt;'3phas'!AJ$23,AJ484,"PVL")</f>
        <v>5.9710987927148196</v>
      </c>
      <c r="AK485" s="2442" t="str">
        <f>IF(AK484&lt;'3phas'!AK$23,AK484,"PVL")</f>
        <v>PVL</v>
      </c>
      <c r="AL485" s="2442" t="str">
        <f>IF(AL484&lt;'3phas'!AL$23,AL484,"PVL")</f>
        <v>PVL</v>
      </c>
      <c r="AM485" s="2442" t="str">
        <f>IF(AM484&lt;'3phas'!AM$23,AM484,"PVL")</f>
        <v>PVL</v>
      </c>
      <c r="AN485" s="2442">
        <f>IF(AN484&lt;'3phas'!AN$23,AN484,"PVL")</f>
        <v>2.5964164575011477</v>
      </c>
      <c r="AO485" s="2442">
        <f>IF(AO484&lt;'3phas'!AO$23,AO484,"PVL")</f>
        <v>9.5065982966846629</v>
      </c>
      <c r="AP485" s="2442">
        <f>IF(AP484&lt;'3phas'!AP$23,AP484,"PVL")</f>
        <v>5.682533990460346</v>
      </c>
      <c r="AQ485" s="2442" t="str">
        <f>IF(AQ484&lt;'3phas'!AQ$23,AQ484,"PVL")</f>
        <v>PVL</v>
      </c>
      <c r="AR485" s="2442" t="str">
        <f>IF(AR484&lt;'3phas'!AR$23,AR484,"PVL")</f>
        <v>PVL</v>
      </c>
      <c r="AS485" s="2442" t="str">
        <f>IF(AS484&lt;'3phas'!AS$23,AS484,"PVL")</f>
        <v>PVL</v>
      </c>
      <c r="AT485" s="2442" t="str">
        <f>IF(AT484&lt;'3phas'!AT$23,AT484,"PVL")</f>
        <v>PVL</v>
      </c>
      <c r="AU485" s="2442" t="str">
        <f>IF(AU484&lt;'3phas'!AU$23,AU484,"PVL")</f>
        <v>PVL</v>
      </c>
      <c r="AV485" s="2442" t="str">
        <f>IF(AV484&lt;'3phas'!AV$23,AV484,"PVL")</f>
        <v>PVL</v>
      </c>
      <c r="AW485" s="2442" t="str">
        <f>IF(AW484&lt;'3phas'!AW$23,AW484,"PVL")</f>
        <v>PVL</v>
      </c>
      <c r="AX485" s="2442" t="str">
        <f>IF(AX484&lt;'3phas'!AX$23,AX484,"PVL")</f>
        <v>PVL</v>
      </c>
      <c r="AY485" s="2442" t="str">
        <f>IF(AY484&lt;'3phas'!AY$23,AY484,"PVL")</f>
        <v>PVL</v>
      </c>
      <c r="AZ485" s="2442" t="str">
        <f>IF(AZ484&lt;'3phas'!AZ$23,AZ484,"PVL")</f>
        <v>PVL</v>
      </c>
      <c r="BA485" s="2442" t="str">
        <f>IF(BA484&lt;'3phas'!BA$23,BA484,"PVL")</f>
        <v>PVL</v>
      </c>
      <c r="BB485" s="2442" t="str">
        <f>IF(BB484&lt;'3phas'!BB$23,BB484,"PVL")</f>
        <v>PVL</v>
      </c>
      <c r="BC485" s="2442" t="str">
        <f>IF(BC484&lt;'3phas'!BC$23,BC484,"PVL")</f>
        <v>PVL</v>
      </c>
      <c r="BD485" s="2442">
        <f>IF(BD484&lt;'3phas'!BD$23,BD484,"PVL")</f>
        <v>41.475543319572317</v>
      </c>
      <c r="BE485" s="2442" t="str">
        <f>IF(BE484&lt;'3phas'!BE$23,BE484,"PVL")</f>
        <v>PVL</v>
      </c>
      <c r="BF485" s="2442" t="str">
        <f>IF(BF484&lt;'3phas'!BF$23,BF484,"PVL")</f>
        <v>PVL</v>
      </c>
      <c r="BG485" s="2442" t="str">
        <f>BG484</f>
        <v>nd</v>
      </c>
      <c r="BH485" s="2442" t="str">
        <f>IF(BH484&lt;'3phas'!BH$23,BH484,"PVL")</f>
        <v>PVL</v>
      </c>
      <c r="BI485" s="2442" t="str">
        <f>IF(BI484&lt;'3phas'!BI$23,BI484,"PVL")</f>
        <v>PVL</v>
      </c>
    </row>
    <row r="486" spans="1:61">
      <c r="A486" s="400"/>
      <c r="B486" s="39"/>
      <c r="C486" s="2489" t="s">
        <v>145</v>
      </c>
      <c r="D486" s="2493"/>
      <c r="E486" s="590" t="str">
        <f>'EmVap-Vol'!E353</f>
        <v>Période enfant 0-6 ans (effets sans seuil)</v>
      </c>
      <c r="F486" s="95"/>
      <c r="G486" s="142"/>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6"/>
      <c r="AL486" s="186"/>
      <c r="AM486" s="186"/>
      <c r="AN486" s="186"/>
      <c r="AO486" s="186"/>
      <c r="AP486" s="186"/>
      <c r="AQ486" s="186"/>
      <c r="AR486" s="186"/>
      <c r="AS486" s="186"/>
      <c r="AT486" s="186"/>
      <c r="AU486" s="186"/>
      <c r="AV486" s="186"/>
      <c r="AW486" s="186"/>
      <c r="AX486" s="186"/>
      <c r="AY486" s="186"/>
      <c r="AZ486" s="186"/>
      <c r="BA486" s="186"/>
      <c r="BB486" s="186"/>
      <c r="BC486" s="186"/>
      <c r="BD486" s="186"/>
      <c r="BE486" s="186"/>
      <c r="BF486" s="186"/>
      <c r="BG486" s="186"/>
      <c r="BH486" s="186"/>
      <c r="BI486" s="186"/>
    </row>
    <row r="487" spans="1:61" s="26" customFormat="1" ht="25.5">
      <c r="A487" s="399" t="s">
        <v>258</v>
      </c>
      <c r="B487" s="30" t="s">
        <v>258</v>
      </c>
      <c r="C487" s="2486"/>
      <c r="D487" s="2487"/>
      <c r="E487" s="103" t="s">
        <v>501</v>
      </c>
      <c r="F487" s="14" t="s">
        <v>204</v>
      </c>
      <c r="G487" s="105" t="str">
        <f>'EmVap-Vol'!G368</f>
        <v>(mg/m2/s)/(mg/l)</v>
      </c>
      <c r="H487" s="113">
        <f>'EmVap-Vol'!H368</f>
        <v>2.7611588154692938E-3</v>
      </c>
      <c r="I487" s="113">
        <f>'EmVap-Vol'!I368</f>
        <v>2.7611588154692938E-3</v>
      </c>
      <c r="J487" s="113">
        <f>'EmVap-Vol'!J368</f>
        <v>1.1917699095500703E-3</v>
      </c>
      <c r="K487" s="113">
        <f>'EmVap-Vol'!K368</f>
        <v>6.1719199705249922E-6</v>
      </c>
      <c r="L487" s="113">
        <f>'EmVap-Vol'!L368</f>
        <v>3.3010911945495617E-5</v>
      </c>
      <c r="M487" s="113">
        <f>'EmVap-Vol'!M368</f>
        <v>3.3010911945495617E-5</v>
      </c>
      <c r="N487" s="113">
        <f>'EmVap-Vol'!N368</f>
        <v>1.673716280311402E-5</v>
      </c>
      <c r="O487" s="113">
        <f>'EmVap-Vol'!O368</f>
        <v>1.673716280311402E-5</v>
      </c>
      <c r="P487" s="113">
        <f>'EmVap-Vol'!P368</f>
        <v>1.5330707115808009E-5</v>
      </c>
      <c r="Q487" s="113">
        <f>'EmVap-Vol'!Q368</f>
        <v>1.5330707115808009E-5</v>
      </c>
      <c r="R487" s="113">
        <f>'EmVap-Vol'!R368</f>
        <v>3.8138690487629963E-5</v>
      </c>
      <c r="S487" s="113">
        <f>'EmVap-Vol'!S368</f>
        <v>4.0651966282840303E-5</v>
      </c>
      <c r="T487" s="113">
        <f>'EmVap-Vol'!T368</f>
        <v>4.0651966282840303E-5</v>
      </c>
      <c r="U487" s="113">
        <f>'EmVap-Vol'!U368</f>
        <v>8.6347373865245747E-6</v>
      </c>
      <c r="V487" s="113">
        <f>'EmVap-Vol'!V368</f>
        <v>5.2753720079623515E-6</v>
      </c>
      <c r="W487" s="113">
        <f>'EmVap-Vol'!W368</f>
        <v>5.2753720079623515E-6</v>
      </c>
      <c r="X487" s="113">
        <f>'EmVap-Vol'!X368</f>
        <v>2.7498597386978914E-5</v>
      </c>
      <c r="Y487" s="113">
        <f>'EmVap-Vol'!Y368</f>
        <v>3.9677142108498037E-5</v>
      </c>
      <c r="Z487" s="113">
        <f>'EmVap-Vol'!Z368</f>
        <v>6.6997628456839868E-5</v>
      </c>
      <c r="AA487" s="113">
        <f>'EmVap-Vol'!AA368</f>
        <v>9.9868318365019948E-5</v>
      </c>
      <c r="AB487" s="113">
        <f>'EmVap-Vol'!AB368</f>
        <v>8.8303175626389731E-5</v>
      </c>
      <c r="AC487" s="113">
        <f>'EmVap-Vol'!AC368</f>
        <v>4.5252473899040228E-4</v>
      </c>
      <c r="AD487" s="113">
        <f>'EmVap-Vol'!AD368</f>
        <v>1.4219867398119455E-3</v>
      </c>
      <c r="AE487" s="113">
        <f>'EmVap-Vol'!AE368</f>
        <v>3.7062866141572173E-3</v>
      </c>
      <c r="AF487" s="113">
        <f>'EmVap-Vol'!AF368</f>
        <v>2.4865972651449554E-2</v>
      </c>
      <c r="AG487" s="113">
        <f>'EmVap-Vol'!AG368</f>
        <v>3.8395236382500922E-6</v>
      </c>
      <c r="AH487" s="113">
        <f>'EmVap-Vol'!AH368</f>
        <v>5.1279831171684633E-6</v>
      </c>
      <c r="AI487" s="113">
        <f>'EmVap-Vol'!AI368</f>
        <v>1.2611413325747907E-5</v>
      </c>
      <c r="AJ487" s="113">
        <f>'EmVap-Vol'!AJ368</f>
        <v>5.2979526668785625E-5</v>
      </c>
      <c r="AK487" s="113">
        <f>'EmVap-Vol'!AK368</f>
        <v>2.3239644632047792E-4</v>
      </c>
      <c r="AL487" s="113">
        <f>'EmVap-Vol'!AL368</f>
        <v>1.5845468562462146E-3</v>
      </c>
      <c r="AM487" s="113">
        <f>'EmVap-Vol'!AM368</f>
        <v>1.3920687351322597E-2</v>
      </c>
      <c r="AN487" s="113">
        <f>'EmVap-Vol'!AN368</f>
        <v>2.1514119078826373E-3</v>
      </c>
      <c r="AO487" s="113">
        <f>'EmVap-Vol'!AO368</f>
        <v>3.8866996468078716E-3</v>
      </c>
      <c r="AP487" s="113">
        <f>'EmVap-Vol'!AP368</f>
        <v>3.0685706999959836E-3</v>
      </c>
      <c r="AQ487" s="113">
        <f>'EmVap-Vol'!AQ368</f>
        <v>4.629967975449849E-3</v>
      </c>
      <c r="AR487" s="113">
        <f>'EmVap-Vol'!AR368</f>
        <v>9.2657242924778851E-3</v>
      </c>
      <c r="AS487" s="113">
        <f>'EmVap-Vol'!AS368</f>
        <v>8.3406672167548861E-3</v>
      </c>
      <c r="AT487" s="113">
        <f>'EmVap-Vol'!AT368</f>
        <v>2.0396612538969988E-2</v>
      </c>
      <c r="AU487" s="113">
        <f>'EmVap-Vol'!AU368</f>
        <v>2.0586632386588734E-2</v>
      </c>
      <c r="AV487" s="113">
        <f>'EmVap-Vol'!AV368</f>
        <v>2.7299181462466758E-2</v>
      </c>
      <c r="AW487" s="113">
        <f>'EmVap-Vol'!AW368</f>
        <v>2.7379861242709164E-2</v>
      </c>
      <c r="AX487" s="113">
        <f>'EmVap-Vol'!AX368</f>
        <v>2.9815197895083852E-2</v>
      </c>
      <c r="AY487" s="113">
        <f>'EmVap-Vol'!AY368</f>
        <v>2.9848410274958301E-2</v>
      </c>
      <c r="AZ487" s="113">
        <f>'EmVap-Vol'!AZ368</f>
        <v>2.9869500750778842E-2</v>
      </c>
      <c r="BA487" s="113">
        <f>'EmVap-Vol'!BA368</f>
        <v>2.9869500750778842E-2</v>
      </c>
      <c r="BB487" s="113">
        <f>'EmVap-Vol'!BB368</f>
        <v>2.9785379724785215E-2</v>
      </c>
      <c r="BC487" s="113">
        <f>'EmVap-Vol'!BC368</f>
        <v>2.9869500750778842E-2</v>
      </c>
      <c r="BD487" s="113">
        <f>'EmVap-Vol'!BD368</f>
        <v>1.1608700489988294E-2</v>
      </c>
      <c r="BE487" s="113">
        <f>'EmVap-Vol'!BE368</f>
        <v>2.7502294645643657E-2</v>
      </c>
      <c r="BF487" s="113">
        <f>'EmVap-Vol'!BF368</f>
        <v>2.7502294645643657E-2</v>
      </c>
      <c r="BG487" s="113">
        <f>'EmVap-Vol'!BG368</f>
        <v>6.3075831211304503E-6</v>
      </c>
      <c r="BH487" s="113">
        <f>'EmVap-Vol'!BH368</f>
        <v>1.0318682424122184E-2</v>
      </c>
      <c r="BI487" s="113">
        <f>'EmVap-Vol'!BI368</f>
        <v>4.7252165815362583E-3</v>
      </c>
    </row>
    <row r="488" spans="1:61" s="43" customFormat="1">
      <c r="A488" s="400"/>
      <c r="B488" s="35"/>
      <c r="C488" s="2492"/>
      <c r="D488" s="2493"/>
      <c r="E488" s="586" t="s">
        <v>1285</v>
      </c>
      <c r="F488" s="96" t="s">
        <v>215</v>
      </c>
      <c r="G488" s="144" t="s">
        <v>206</v>
      </c>
      <c r="H488" s="135">
        <f>H487*H$468</f>
        <v>3.7275644008835465</v>
      </c>
      <c r="I488" s="135">
        <f t="shared" ref="I488:BI488" si="243">I487*I$468</f>
        <v>3.7275644008835465</v>
      </c>
      <c r="J488" s="135">
        <f>J487*J$468</f>
        <v>1.608889377892595</v>
      </c>
      <c r="K488" s="135">
        <f t="shared" si="243"/>
        <v>8.3320919602087387E-3</v>
      </c>
      <c r="L488" s="135">
        <f t="shared" si="243"/>
        <v>4.4564731126419087E-2</v>
      </c>
      <c r="M488" s="135">
        <f t="shared" si="243"/>
        <v>4.4564731126419087E-2</v>
      </c>
      <c r="N488" s="135">
        <f>N487*N$468</f>
        <v>2.2595169784203926E-2</v>
      </c>
      <c r="O488" s="135">
        <f>O487*O$468</f>
        <v>2.2595169784203926E-2</v>
      </c>
      <c r="P488" s="135">
        <f t="shared" si="243"/>
        <v>2.0696454606340814E-2</v>
      </c>
      <c r="Q488" s="135">
        <f t="shared" si="243"/>
        <v>2.0696454606340814E-2</v>
      </c>
      <c r="R488" s="135">
        <f>R487*R$468</f>
        <v>5.148723215830045E-2</v>
      </c>
      <c r="S488" s="135">
        <f>S487*S$468</f>
        <v>5.4880154481834406E-2</v>
      </c>
      <c r="T488" s="135">
        <f>T487*T$468</f>
        <v>5.4880154481834406E-2</v>
      </c>
      <c r="U488" s="135">
        <f t="shared" si="243"/>
        <v>1.1656895471808176E-2</v>
      </c>
      <c r="V488" s="135">
        <f t="shared" si="243"/>
        <v>7.1217522107491745E-3</v>
      </c>
      <c r="W488" s="135">
        <f t="shared" si="243"/>
        <v>7.1217522107491745E-3</v>
      </c>
      <c r="X488" s="135">
        <f t="shared" si="243"/>
        <v>3.7123106472421535E-2</v>
      </c>
      <c r="Y488" s="135">
        <f t="shared" si="243"/>
        <v>5.3564141846472353E-2</v>
      </c>
      <c r="Z488" s="135">
        <f t="shared" si="243"/>
        <v>9.0446798416733823E-2</v>
      </c>
      <c r="AA488" s="135">
        <f t="shared" si="243"/>
        <v>0.13482222979277694</v>
      </c>
      <c r="AB488" s="135">
        <f t="shared" si="243"/>
        <v>0.11920928709562614</v>
      </c>
      <c r="AC488" s="135">
        <f t="shared" si="243"/>
        <v>0.61090839763704308</v>
      </c>
      <c r="AD488" s="135">
        <f t="shared" si="243"/>
        <v>1.9196820987461265</v>
      </c>
      <c r="AE488" s="135">
        <f t="shared" si="243"/>
        <v>5.0034869291122437</v>
      </c>
      <c r="AF488" s="135">
        <f t="shared" si="243"/>
        <v>33.569063079456896</v>
      </c>
      <c r="AG488" s="135">
        <f t="shared" si="243"/>
        <v>5.1833569116376248E-3</v>
      </c>
      <c r="AH488" s="135">
        <f t="shared" si="243"/>
        <v>6.9227772081774256E-3</v>
      </c>
      <c r="AI488" s="135">
        <f t="shared" si="243"/>
        <v>1.7025407989759676E-2</v>
      </c>
      <c r="AJ488" s="135">
        <f t="shared" si="243"/>
        <v>7.1522361002860593E-2</v>
      </c>
      <c r="AK488" s="135">
        <f t="shared" si="243"/>
        <v>0.3137352025326452</v>
      </c>
      <c r="AL488" s="135">
        <f t="shared" si="243"/>
        <v>2.1391382559323899</v>
      </c>
      <c r="AM488" s="135">
        <f t="shared" si="243"/>
        <v>18.792927924285507</v>
      </c>
      <c r="AN488" s="135">
        <f t="shared" si="243"/>
        <v>2.9044060756415604</v>
      </c>
      <c r="AO488" s="135">
        <f t="shared" si="243"/>
        <v>5.2470445231906266</v>
      </c>
      <c r="AP488" s="135">
        <f t="shared" si="243"/>
        <v>4.1425704449945782</v>
      </c>
      <c r="AQ488" s="135">
        <f t="shared" si="243"/>
        <v>6.2504567668572957</v>
      </c>
      <c r="AR488" s="135">
        <f t="shared" si="243"/>
        <v>12.508727794845145</v>
      </c>
      <c r="AS488" s="135">
        <f t="shared" si="243"/>
        <v>11.259900742619097</v>
      </c>
      <c r="AT488" s="135">
        <f t="shared" si="243"/>
        <v>27.535426927609485</v>
      </c>
      <c r="AU488" s="135">
        <f t="shared" si="243"/>
        <v>27.791953721894792</v>
      </c>
      <c r="AV488" s="135">
        <f t="shared" si="243"/>
        <v>36.853894974330125</v>
      </c>
      <c r="AW488" s="135">
        <f t="shared" si="243"/>
        <v>36.962812677657368</v>
      </c>
      <c r="AX488" s="135">
        <f t="shared" si="243"/>
        <v>40.250517158363202</v>
      </c>
      <c r="AY488" s="135">
        <f t="shared" si="243"/>
        <v>40.295353871193704</v>
      </c>
      <c r="AZ488" s="135">
        <f t="shared" si="243"/>
        <v>40.323826013551439</v>
      </c>
      <c r="BA488" s="135">
        <f t="shared" si="243"/>
        <v>40.323826013551439</v>
      </c>
      <c r="BB488" s="135">
        <f t="shared" si="243"/>
        <v>40.210262628460043</v>
      </c>
      <c r="BC488" s="135">
        <f t="shared" si="243"/>
        <v>40.323826013551439</v>
      </c>
      <c r="BD488" s="135">
        <f t="shared" si="243"/>
        <v>15.671745661484197</v>
      </c>
      <c r="BE488" s="135">
        <f t="shared" si="243"/>
        <v>37.12809777161894</v>
      </c>
      <c r="BF488" s="135">
        <f t="shared" si="243"/>
        <v>37.12809777161894</v>
      </c>
      <c r="BG488" s="135">
        <f t="shared" si="243"/>
        <v>8.5152372135261084E-3</v>
      </c>
      <c r="BH488" s="135">
        <f t="shared" si="243"/>
        <v>13.93022127256495</v>
      </c>
      <c r="BI488" s="135">
        <f t="shared" si="243"/>
        <v>6.3790423850739488</v>
      </c>
    </row>
    <row r="489" spans="1:61">
      <c r="A489" s="400"/>
      <c r="B489" s="39"/>
      <c r="C489" s="2489" t="s">
        <v>587</v>
      </c>
      <c r="D489" s="2493"/>
      <c r="E489" s="590" t="str">
        <f>'EmVap-Vol'!E396</f>
        <v>Période employé (40 ans)</v>
      </c>
      <c r="F489" s="95"/>
      <c r="G489" s="142"/>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186"/>
      <c r="BH489" s="186"/>
      <c r="BI489" s="186"/>
    </row>
    <row r="490" spans="1:61" s="26" customFormat="1" ht="25.5">
      <c r="A490" s="399" t="s">
        <v>258</v>
      </c>
      <c r="B490" s="30" t="s">
        <v>258</v>
      </c>
      <c r="C490" s="2486"/>
      <c r="D490" s="2487"/>
      <c r="E490" s="103" t="s">
        <v>501</v>
      </c>
      <c r="F490" s="14" t="s">
        <v>204</v>
      </c>
      <c r="G490" s="105" t="str">
        <f>'EmVap-Vol'!G405</f>
        <v>(mg/m2/s)/(mg/l)</v>
      </c>
      <c r="H490" s="113">
        <f>'EmVap-Vol'!H405</f>
        <v>1.0307164493375918E-3</v>
      </c>
      <c r="I490" s="113">
        <f>'EmVap-Vol'!I405</f>
        <v>1.0307164493375918E-3</v>
      </c>
      <c r="J490" s="113">
        <f>'EmVap-Vol'!J405</f>
        <v>2.0626890217256754E-4</v>
      </c>
      <c r="K490" s="113">
        <f>'EmVap-Vol'!K405</f>
        <v>9.2578799557874888E-7</v>
      </c>
      <c r="L490" s="113">
        <f>'EmVap-Vol'!L405</f>
        <v>4.9516367918243421E-6</v>
      </c>
      <c r="M490" s="113">
        <f>'EmVap-Vol'!M405</f>
        <v>4.9516367918243421E-6</v>
      </c>
      <c r="N490" s="113">
        <f>'EmVap-Vol'!N405</f>
        <v>2.5105744204671032E-6</v>
      </c>
      <c r="O490" s="113">
        <f>'EmVap-Vol'!O405</f>
        <v>2.5105744204671032E-6</v>
      </c>
      <c r="P490" s="113">
        <f>'EmVap-Vol'!P405</f>
        <v>2.2996060673712017E-6</v>
      </c>
      <c r="Q490" s="113">
        <f>'EmVap-Vol'!Q405</f>
        <v>2.2996060673712017E-6</v>
      </c>
      <c r="R490" s="113">
        <f>'EmVap-Vol'!R405</f>
        <v>5.720803573144495E-6</v>
      </c>
      <c r="S490" s="113">
        <f>'EmVap-Vol'!S405</f>
        <v>6.0977949424260457E-6</v>
      </c>
      <c r="T490" s="113">
        <f>'EmVap-Vol'!T405</f>
        <v>6.0977949424260457E-6</v>
      </c>
      <c r="U490" s="113">
        <f>'EmVap-Vol'!U405</f>
        <v>1.2952106079786864E-6</v>
      </c>
      <c r="V490" s="113">
        <f>'EmVap-Vol'!V405</f>
        <v>7.9130580119435269E-7</v>
      </c>
      <c r="W490" s="113">
        <f>'EmVap-Vol'!W405</f>
        <v>7.9130580119435269E-7</v>
      </c>
      <c r="X490" s="113">
        <f>'EmVap-Vol'!X405</f>
        <v>4.124789608046837E-6</v>
      </c>
      <c r="Y490" s="113">
        <f>'EmVap-Vol'!Y405</f>
        <v>5.9515713162747051E-6</v>
      </c>
      <c r="Z490" s="113">
        <f>'EmVap-Vol'!Z405</f>
        <v>1.004964426852598E-5</v>
      </c>
      <c r="AA490" s="113">
        <f>'EmVap-Vol'!AA405</f>
        <v>1.4980247754752993E-5</v>
      </c>
      <c r="AB490" s="113">
        <f>'EmVap-Vol'!AB405</f>
        <v>1.3245476343958458E-5</v>
      </c>
      <c r="AC490" s="113">
        <f>'EmVap-Vol'!AC405</f>
        <v>6.7878710848560343E-5</v>
      </c>
      <c r="AD490" s="113">
        <f>'EmVap-Vol'!AD405</f>
        <v>3.4679182930241005E-4</v>
      </c>
      <c r="AE490" s="113">
        <f>'EmVap-Vol'!AE405</f>
        <v>1.4659760810910435E-3</v>
      </c>
      <c r="AF490" s="113">
        <f>'EmVap-Vol'!AF405</f>
        <v>1.5943997078787183E-2</v>
      </c>
      <c r="AG490" s="113">
        <f>'EmVap-Vol'!AG405</f>
        <v>5.7592854573751388E-7</v>
      </c>
      <c r="AH490" s="113">
        <f>'EmVap-Vol'!AH405</f>
        <v>7.6919746757526942E-7</v>
      </c>
      <c r="AI490" s="113">
        <f>'EmVap-Vol'!AI405</f>
        <v>1.8917119988621861E-6</v>
      </c>
      <c r="AJ490" s="113">
        <f>'EmVap-Vol'!AJ405</f>
        <v>7.9469290003178434E-6</v>
      </c>
      <c r="AK490" s="113">
        <f>'EmVap-Vol'!AK405</f>
        <v>3.4859466948071687E-5</v>
      </c>
      <c r="AL490" s="113">
        <f>'EmVap-Vol'!AL405</f>
        <v>4.59832211544578E-4</v>
      </c>
      <c r="AM490" s="113">
        <f>'EmVap-Vol'!AM405</f>
        <v>6.4988445109530821E-3</v>
      </c>
      <c r="AN490" s="113">
        <f>'EmVap-Vol'!AN405</f>
        <v>8.1223835730861668E-4</v>
      </c>
      <c r="AO490" s="113">
        <f>'EmVap-Vol'!AO405</f>
        <v>1.5347623813062969E-3</v>
      </c>
      <c r="AP490" s="113">
        <f>'EmVap-Vol'!AP405</f>
        <v>1.1937069330533354E-3</v>
      </c>
      <c r="AQ490" s="113">
        <f>'EmVap-Vol'!AQ405</f>
        <v>1.8541992545686946E-3</v>
      </c>
      <c r="AR490" s="113">
        <f>'EmVap-Vol'!AR405</f>
        <v>3.98329554156872E-3</v>
      </c>
      <c r="AS490" s="113">
        <f>'EmVap-Vol'!AS405</f>
        <v>3.5351076401386773E-3</v>
      </c>
      <c r="AT490" s="113">
        <f>'EmVap-Vol'!AT405</f>
        <v>1.1058552196003157E-2</v>
      </c>
      <c r="AU490" s="113">
        <f>'EmVap-Vol'!AU405</f>
        <v>1.1224838133050644E-2</v>
      </c>
      <c r="AV490" s="113">
        <f>'EmVap-Vol'!AV405</f>
        <v>2.0218779004729074E-2</v>
      </c>
      <c r="AW490" s="113">
        <f>'EmVap-Vol'!AW405</f>
        <v>2.0401445505536697E-2</v>
      </c>
      <c r="AX490" s="113">
        <f>'EmVap-Vol'!AX405</f>
        <v>2.9187397995014071E-2</v>
      </c>
      <c r="AY490" s="113">
        <f>'EmVap-Vol'!AY405</f>
        <v>2.9394702924268785E-2</v>
      </c>
      <c r="AZ490" s="113">
        <f>'EmVap-Vol'!AZ405</f>
        <v>2.954909964407168E-2</v>
      </c>
      <c r="BA490" s="113">
        <f>'EmVap-Vol'!BA405</f>
        <v>2.9813170736626208E-2</v>
      </c>
      <c r="BB490" s="113">
        <f>'EmVap-Vol'!BB405</f>
        <v>2.9024187001629297E-2</v>
      </c>
      <c r="BC490" s="113">
        <f>'EmVap-Vol'!BC405</f>
        <v>2.9869500572335769E-2</v>
      </c>
      <c r="BD490" s="113">
        <f>'EmVap-Vol'!BD405</f>
        <v>5.0720906758332839E-3</v>
      </c>
      <c r="BE490" s="113">
        <f>'EmVap-Vol'!BE405</f>
        <v>2.0701344024777666E-2</v>
      </c>
      <c r="BF490" s="113">
        <f>'EmVap-Vol'!BF405</f>
        <v>2.0701344024777666E-2</v>
      </c>
      <c r="BG490" s="113">
        <f>'EmVap-Vol'!BG405</f>
        <v>9.4613746816956763E-7</v>
      </c>
      <c r="BH490" s="113">
        <f>'EmVap-Vol'!BH405</f>
        <v>4.4529787593550378E-3</v>
      </c>
      <c r="BI490" s="113">
        <f>'EmVap-Vol'!BI405</f>
        <v>1.685757438299995E-3</v>
      </c>
    </row>
    <row r="491" spans="1:61" s="2542" customFormat="1">
      <c r="A491" s="2538"/>
      <c r="B491" s="2539"/>
      <c r="C491" s="2492"/>
      <c r="D491" s="2493"/>
      <c r="E491" s="2515" t="s">
        <v>1285</v>
      </c>
      <c r="F491" s="2449" t="s">
        <v>215</v>
      </c>
      <c r="G491" s="2450" t="s">
        <v>206</v>
      </c>
      <c r="H491" s="236">
        <f>H490*H$468</f>
        <v>1.391467206605749</v>
      </c>
      <c r="I491" s="236">
        <f t="shared" ref="I491:BI491" si="244">I490*I$468</f>
        <v>1.391467206605749</v>
      </c>
      <c r="J491" s="236">
        <f>J490*J$468</f>
        <v>0.27846301793296618</v>
      </c>
      <c r="K491" s="236">
        <f t="shared" si="244"/>
        <v>1.249813794031311E-3</v>
      </c>
      <c r="L491" s="236">
        <f t="shared" si="244"/>
        <v>6.6847096689628622E-3</v>
      </c>
      <c r="M491" s="236">
        <f t="shared" si="244"/>
        <v>6.6847096689628622E-3</v>
      </c>
      <c r="N491" s="236">
        <f>N490*N$468</f>
        <v>3.3892754676305894E-3</v>
      </c>
      <c r="O491" s="236">
        <f>O490*O$468</f>
        <v>3.3892754676305894E-3</v>
      </c>
      <c r="P491" s="236">
        <f t="shared" si="244"/>
        <v>3.1044681909511221E-3</v>
      </c>
      <c r="Q491" s="236">
        <f t="shared" si="244"/>
        <v>3.1044681909511221E-3</v>
      </c>
      <c r="R491" s="236">
        <f>R490*R$468</f>
        <v>7.7230848237450685E-3</v>
      </c>
      <c r="S491" s="236">
        <f>S490*S$468</f>
        <v>8.2320231722751609E-3</v>
      </c>
      <c r="T491" s="236">
        <f>T490*T$468</f>
        <v>8.2320231722751609E-3</v>
      </c>
      <c r="U491" s="236">
        <f t="shared" si="244"/>
        <v>1.7485343207712266E-3</v>
      </c>
      <c r="V491" s="236">
        <f t="shared" si="244"/>
        <v>1.0682628316123761E-3</v>
      </c>
      <c r="W491" s="236">
        <f t="shared" si="244"/>
        <v>1.0682628316123761E-3</v>
      </c>
      <c r="X491" s="236">
        <f t="shared" si="244"/>
        <v>5.56846597086323E-3</v>
      </c>
      <c r="Y491" s="236">
        <f t="shared" si="244"/>
        <v>8.0346212769708512E-3</v>
      </c>
      <c r="Z491" s="236">
        <f t="shared" si="244"/>
        <v>1.3567019762510072E-2</v>
      </c>
      <c r="AA491" s="236">
        <f t="shared" si="244"/>
        <v>2.022333446891654E-2</v>
      </c>
      <c r="AB491" s="236">
        <f t="shared" si="244"/>
        <v>1.7881393064343918E-2</v>
      </c>
      <c r="AC491" s="236">
        <f t="shared" si="244"/>
        <v>9.1636259645556467E-2</v>
      </c>
      <c r="AD491" s="236">
        <f t="shared" si="244"/>
        <v>0.46816896955825354</v>
      </c>
      <c r="AE491" s="236">
        <f t="shared" si="244"/>
        <v>1.9790677094729088</v>
      </c>
      <c r="AF491" s="236">
        <f t="shared" si="244"/>
        <v>21.524396056362697</v>
      </c>
      <c r="AG491" s="236">
        <f t="shared" si="244"/>
        <v>7.7750353674564373E-4</v>
      </c>
      <c r="AH491" s="236">
        <f t="shared" si="244"/>
        <v>1.0384165812266136E-3</v>
      </c>
      <c r="AI491" s="236">
        <f t="shared" si="244"/>
        <v>2.553811198463951E-3</v>
      </c>
      <c r="AJ491" s="236">
        <f t="shared" si="244"/>
        <v>1.0728354150429088E-2</v>
      </c>
      <c r="AK491" s="236">
        <f t="shared" si="244"/>
        <v>4.7060280379896777E-2</v>
      </c>
      <c r="AL491" s="236">
        <f t="shared" si="244"/>
        <v>0.62077348558518031</v>
      </c>
      <c r="AM491" s="236">
        <f t="shared" si="244"/>
        <v>8.7734400897866607</v>
      </c>
      <c r="AN491" s="236">
        <f t="shared" si="244"/>
        <v>1.0965217823666324</v>
      </c>
      <c r="AO491" s="236">
        <f t="shared" si="244"/>
        <v>2.0719292147635007</v>
      </c>
      <c r="AP491" s="236">
        <f t="shared" si="244"/>
        <v>1.6115043596220029</v>
      </c>
      <c r="AQ491" s="236">
        <f t="shared" si="244"/>
        <v>2.5031689936677379</v>
      </c>
      <c r="AR491" s="236">
        <f t="shared" si="244"/>
        <v>5.3774489811177721</v>
      </c>
      <c r="AS491" s="236">
        <f t="shared" si="244"/>
        <v>4.7723953141872144</v>
      </c>
      <c r="AT491" s="236">
        <f t="shared" si="244"/>
        <v>14.929045464604263</v>
      </c>
      <c r="AU491" s="236">
        <f t="shared" si="244"/>
        <v>15.153531479618369</v>
      </c>
      <c r="AV491" s="236">
        <f t="shared" si="244"/>
        <v>27.295351656384248</v>
      </c>
      <c r="AW491" s="236">
        <f t="shared" si="244"/>
        <v>27.541951432474541</v>
      </c>
      <c r="AX491" s="236">
        <f t="shared" si="244"/>
        <v>39.402987293269</v>
      </c>
      <c r="AY491" s="236">
        <f t="shared" si="244"/>
        <v>39.682848947762857</v>
      </c>
      <c r="AZ491" s="236">
        <f t="shared" si="244"/>
        <v>39.891284519496772</v>
      </c>
      <c r="BA491" s="236">
        <f t="shared" si="244"/>
        <v>40.247780494445379</v>
      </c>
      <c r="BB491" s="236">
        <f t="shared" si="244"/>
        <v>39.182652452199548</v>
      </c>
      <c r="BC491" s="236">
        <f t="shared" si="244"/>
        <v>40.323825772653286</v>
      </c>
      <c r="BD491" s="236">
        <f t="shared" si="244"/>
        <v>6.8473224123749334</v>
      </c>
      <c r="BE491" s="236">
        <f t="shared" si="244"/>
        <v>27.946814433449848</v>
      </c>
      <c r="BF491" s="236">
        <f t="shared" si="244"/>
        <v>27.946814433449848</v>
      </c>
      <c r="BG491" s="236">
        <f t="shared" si="244"/>
        <v>1.2772855820289163E-3</v>
      </c>
      <c r="BH491" s="236">
        <f t="shared" si="244"/>
        <v>6.0115213251293014</v>
      </c>
      <c r="BI491" s="236">
        <f t="shared" si="244"/>
        <v>2.2757725417049932</v>
      </c>
    </row>
    <row r="492" spans="1:61" s="43" customFormat="1">
      <c r="A492" s="37"/>
      <c r="B492" s="35"/>
      <c r="C492" s="2492"/>
      <c r="D492" s="2493"/>
      <c r="E492" s="587"/>
      <c r="F492" s="62"/>
      <c r="G492" s="107"/>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row>
    <row r="493" spans="1:61">
      <c r="A493" s="397"/>
      <c r="B493" s="97"/>
      <c r="C493" s="2492"/>
      <c r="D493" s="2493"/>
      <c r="E493" s="145" t="s">
        <v>209</v>
      </c>
      <c r="F493" s="62"/>
      <c r="G493" s="107"/>
      <c r="H493" s="113"/>
      <c r="I493" s="113"/>
      <c r="J493" s="113"/>
      <c r="K493" s="113"/>
      <c r="L493" s="113"/>
      <c r="M493" s="113"/>
      <c r="N493" s="113"/>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row>
    <row r="494" spans="1:61">
      <c r="A494" s="397"/>
      <c r="B494" s="97"/>
      <c r="C494" s="2488" t="s">
        <v>589</v>
      </c>
      <c r="D494" s="2493"/>
      <c r="E494" s="37" t="s">
        <v>1178</v>
      </c>
      <c r="F494" s="18" t="s">
        <v>181</v>
      </c>
      <c r="G494" s="117" t="s">
        <v>182</v>
      </c>
      <c r="H494" s="163">
        <f>FEM!$H$23</f>
        <v>0</v>
      </c>
      <c r="I494" s="163">
        <f>FEM!$H$23</f>
        <v>0</v>
      </c>
      <c r="J494" s="163">
        <f>FEM!$H$23</f>
        <v>0</v>
      </c>
      <c r="K494" s="163">
        <f>FEM!$H$23</f>
        <v>0</v>
      </c>
      <c r="L494" s="163">
        <f>FEM!$H$23</f>
        <v>0</v>
      </c>
      <c r="M494" s="163">
        <f>FEM!$H$23</f>
        <v>0</v>
      </c>
      <c r="N494" s="163">
        <f>FEM!$H$23</f>
        <v>0</v>
      </c>
      <c r="O494" s="163">
        <f>FEM!$H$23</f>
        <v>0</v>
      </c>
      <c r="P494" s="163">
        <f>FEM!$H$23</f>
        <v>0</v>
      </c>
      <c r="Q494" s="163">
        <f>FEM!$H$23</f>
        <v>0</v>
      </c>
      <c r="R494" s="163">
        <f>FEM!$H$23</f>
        <v>0</v>
      </c>
      <c r="S494" s="163">
        <f>FEM!$H$23</f>
        <v>0</v>
      </c>
      <c r="T494" s="163">
        <f>FEM!$H$23</f>
        <v>0</v>
      </c>
      <c r="U494" s="163">
        <f>FEM!$H$23</f>
        <v>0</v>
      </c>
      <c r="V494" s="163">
        <f>FEM!$H$23</f>
        <v>0</v>
      </c>
      <c r="W494" s="163">
        <f>FEM!$H$23</f>
        <v>0</v>
      </c>
      <c r="X494" s="163">
        <f>FEM!$H$23</f>
        <v>0</v>
      </c>
      <c r="Y494" s="163">
        <f>FEM!$H$23</f>
        <v>0</v>
      </c>
      <c r="Z494" s="163">
        <f>FEM!$H$23</f>
        <v>0</v>
      </c>
      <c r="AA494" s="163">
        <f>FEM!$H$23</f>
        <v>0</v>
      </c>
      <c r="AB494" s="163">
        <f>FEM!$H$23</f>
        <v>0</v>
      </c>
      <c r="AC494" s="163">
        <f>FEM!$H$23</f>
        <v>0</v>
      </c>
      <c r="AD494" s="163">
        <f>FEM!$H$23</f>
        <v>0</v>
      </c>
      <c r="AE494" s="163">
        <f>FEM!$H$23</f>
        <v>0</v>
      </c>
      <c r="AF494" s="163">
        <f>FEM!$H$23</f>
        <v>0</v>
      </c>
      <c r="AG494" s="163">
        <f>FEM!$H$23</f>
        <v>0</v>
      </c>
      <c r="AH494" s="163">
        <f>FEM!$H$23</f>
        <v>0</v>
      </c>
      <c r="AI494" s="163">
        <f>FEM!$H$23</f>
        <v>0</v>
      </c>
      <c r="AJ494" s="163">
        <f>FEM!$H$23</f>
        <v>0</v>
      </c>
      <c r="AK494" s="163">
        <f>FEM!$H$23</f>
        <v>0</v>
      </c>
      <c r="AL494" s="163">
        <f>FEM!$H$23</f>
        <v>0</v>
      </c>
      <c r="AM494" s="163">
        <f>FEM!$H$23</f>
        <v>0</v>
      </c>
      <c r="AN494" s="163">
        <f>FEM!$H$23</f>
        <v>0</v>
      </c>
      <c r="AO494" s="163">
        <f>FEM!$H$23</f>
        <v>0</v>
      </c>
      <c r="AP494" s="163">
        <f>FEM!$H$23</f>
        <v>0</v>
      </c>
      <c r="AQ494" s="163">
        <f>FEM!$H$23</f>
        <v>0</v>
      </c>
      <c r="AR494" s="163">
        <f>FEM!$H$23</f>
        <v>0</v>
      </c>
      <c r="AS494" s="163">
        <f>FEM!$H$23</f>
        <v>0</v>
      </c>
      <c r="AT494" s="163">
        <f>FEM!$H$23</f>
        <v>0</v>
      </c>
      <c r="AU494" s="163">
        <f>FEM!$H$23</f>
        <v>0</v>
      </c>
      <c r="AV494" s="163">
        <f>FEM!$H$23</f>
        <v>0</v>
      </c>
      <c r="AW494" s="163">
        <f>FEM!$H$23</f>
        <v>0</v>
      </c>
      <c r="AX494" s="163">
        <f>FEM!$H$23</f>
        <v>0</v>
      </c>
      <c r="AY494" s="163">
        <f>FEM!$H$23</f>
        <v>0</v>
      </c>
      <c r="AZ494" s="163">
        <f>FEM!$H$23</f>
        <v>0</v>
      </c>
      <c r="BA494" s="163">
        <f>FEM!$H$23</f>
        <v>0</v>
      </c>
      <c r="BB494" s="163">
        <f>FEM!$H$23</f>
        <v>0</v>
      </c>
      <c r="BC494" s="163">
        <f>FEM!$H$23</f>
        <v>0</v>
      </c>
      <c r="BD494" s="163">
        <f>FEM!$H$23</f>
        <v>0</v>
      </c>
      <c r="BE494" s="163">
        <f>FEM!$H$23</f>
        <v>0</v>
      </c>
      <c r="BF494" s="163">
        <f>FEM!$H$23</f>
        <v>0</v>
      </c>
      <c r="BG494" s="163">
        <f>FEM!$H$23</f>
        <v>0</v>
      </c>
      <c r="BH494" s="163">
        <f>FEM!$H$23</f>
        <v>0</v>
      </c>
      <c r="BI494" s="163">
        <f>FEM!$H$23</f>
        <v>0</v>
      </c>
    </row>
    <row r="495" spans="1:61" s="41" customFormat="1">
      <c r="A495" s="401"/>
      <c r="B495" s="154"/>
      <c r="C495" s="4122" t="s">
        <v>590</v>
      </c>
      <c r="D495" s="4123"/>
      <c r="E495" s="37" t="s">
        <v>1160</v>
      </c>
      <c r="F495" s="18" t="s">
        <v>210</v>
      </c>
      <c r="G495" s="117" t="s">
        <v>182</v>
      </c>
      <c r="H495" s="227">
        <f>FEM!$I$23</f>
        <v>0</v>
      </c>
      <c r="I495" s="227">
        <f>FEM!$I$23</f>
        <v>0</v>
      </c>
      <c r="J495" s="227">
        <f>FEM!$I$23</f>
        <v>0</v>
      </c>
      <c r="K495" s="227">
        <f>FEM!$I$23</f>
        <v>0</v>
      </c>
      <c r="L495" s="227">
        <f>FEM!$I$23</f>
        <v>0</v>
      </c>
      <c r="M495" s="227">
        <f>FEM!$I$23</f>
        <v>0</v>
      </c>
      <c r="N495" s="227">
        <f>FEM!$I$23</f>
        <v>0</v>
      </c>
      <c r="O495" s="227">
        <f>FEM!$I$23</f>
        <v>0</v>
      </c>
      <c r="P495" s="227">
        <f>FEM!$I$23</f>
        <v>0</v>
      </c>
      <c r="Q495" s="227">
        <f>FEM!$I$23</f>
        <v>0</v>
      </c>
      <c r="R495" s="227">
        <f>FEM!$I$23</f>
        <v>0</v>
      </c>
      <c r="S495" s="227">
        <f>FEM!$I$23</f>
        <v>0</v>
      </c>
      <c r="T495" s="227">
        <f>FEM!$I$23</f>
        <v>0</v>
      </c>
      <c r="U495" s="227">
        <f>FEM!$I$23</f>
        <v>0</v>
      </c>
      <c r="V495" s="227">
        <f>FEM!$I$23</f>
        <v>0</v>
      </c>
      <c r="W495" s="227">
        <f>FEM!$I$23</f>
        <v>0</v>
      </c>
      <c r="X495" s="227">
        <f>FEM!$I$23</f>
        <v>0</v>
      </c>
      <c r="Y495" s="227">
        <f>FEM!$I$23</f>
        <v>0</v>
      </c>
      <c r="Z495" s="227">
        <f>FEM!$I$23</f>
        <v>0</v>
      </c>
      <c r="AA495" s="227">
        <f>FEM!$I$23</f>
        <v>0</v>
      </c>
      <c r="AB495" s="227">
        <f>FEM!$I$23</f>
        <v>0</v>
      </c>
      <c r="AC495" s="227">
        <f>FEM!$I$23</f>
        <v>0</v>
      </c>
      <c r="AD495" s="227">
        <f>FEM!$I$23</f>
        <v>0</v>
      </c>
      <c r="AE495" s="227">
        <f>FEM!$I$23</f>
        <v>0</v>
      </c>
      <c r="AF495" s="227">
        <f>FEM!$I$23</f>
        <v>0</v>
      </c>
      <c r="AG495" s="227">
        <f>FEM!$I$23</f>
        <v>0</v>
      </c>
      <c r="AH495" s="227">
        <f>FEM!$I$23</f>
        <v>0</v>
      </c>
      <c r="AI495" s="227">
        <f>FEM!$I$23</f>
        <v>0</v>
      </c>
      <c r="AJ495" s="227">
        <f>FEM!$I$23</f>
        <v>0</v>
      </c>
      <c r="AK495" s="227">
        <f>FEM!$I$23</f>
        <v>0</v>
      </c>
      <c r="AL495" s="227">
        <f>FEM!$I$23</f>
        <v>0</v>
      </c>
      <c r="AM495" s="227">
        <f>FEM!$I$23</f>
        <v>0</v>
      </c>
      <c r="AN495" s="227">
        <f>FEM!$I$23</f>
        <v>0</v>
      </c>
      <c r="AO495" s="227">
        <f>FEM!$I$23</f>
        <v>0</v>
      </c>
      <c r="AP495" s="227">
        <f>FEM!$I$23</f>
        <v>0</v>
      </c>
      <c r="AQ495" s="227">
        <f>FEM!$I$23</f>
        <v>0</v>
      </c>
      <c r="AR495" s="227">
        <f>FEM!$I$23</f>
        <v>0</v>
      </c>
      <c r="AS495" s="227">
        <f>FEM!$I$23</f>
        <v>0</v>
      </c>
      <c r="AT495" s="227">
        <f>FEM!$I$23</f>
        <v>0</v>
      </c>
      <c r="AU495" s="227">
        <f>FEM!$I$23</f>
        <v>0</v>
      </c>
      <c r="AV495" s="227">
        <f>FEM!$I$23</f>
        <v>0</v>
      </c>
      <c r="AW495" s="227">
        <f>FEM!$I$23</f>
        <v>0</v>
      </c>
      <c r="AX495" s="227">
        <f>FEM!$I$23</f>
        <v>0</v>
      </c>
      <c r="AY495" s="227">
        <f>FEM!$I$23</f>
        <v>0</v>
      </c>
      <c r="AZ495" s="227">
        <f>FEM!$I$23</f>
        <v>0</v>
      </c>
      <c r="BA495" s="227">
        <f>FEM!$I$23</f>
        <v>0</v>
      </c>
      <c r="BB495" s="227">
        <f>FEM!$I$23</f>
        <v>0</v>
      </c>
      <c r="BC495" s="227">
        <f>FEM!$I$23</f>
        <v>0</v>
      </c>
      <c r="BD495" s="227">
        <f>FEM!$I$23</f>
        <v>0</v>
      </c>
      <c r="BE495" s="227">
        <f>FEM!$I$23</f>
        <v>0</v>
      </c>
      <c r="BF495" s="227">
        <f>FEM!$I$23</f>
        <v>0</v>
      </c>
      <c r="BG495" s="227">
        <f>FEM!$I$23</f>
        <v>0</v>
      </c>
      <c r="BH495" s="227">
        <f>FEM!$I$23</f>
        <v>0</v>
      </c>
      <c r="BI495" s="227">
        <f>FEM!$I$23</f>
        <v>0</v>
      </c>
    </row>
    <row r="496" spans="1:61" s="2464" customFormat="1">
      <c r="A496" s="2461"/>
      <c r="B496" s="2462"/>
      <c r="C496" s="4122"/>
      <c r="D496" s="4123"/>
      <c r="E496" s="2516" t="s">
        <v>1183</v>
      </c>
      <c r="F496" s="2441" t="s">
        <v>1155</v>
      </c>
      <c r="G496" s="2431" t="s">
        <v>1156</v>
      </c>
      <c r="H496" s="2463">
        <f t="shared" ref="H496:AL496" si="245">IF(H$10&gt;0,H494/24/H$10,0)</f>
        <v>0</v>
      </c>
      <c r="I496" s="2463">
        <f t="shared" si="245"/>
        <v>0</v>
      </c>
      <c r="J496" s="2463">
        <f>IF(J$10&gt;0,J494/24/J$10,0)</f>
        <v>0</v>
      </c>
      <c r="K496" s="2463">
        <f t="shared" si="245"/>
        <v>0</v>
      </c>
      <c r="L496" s="2463">
        <f t="shared" si="245"/>
        <v>0</v>
      </c>
      <c r="M496" s="2463">
        <f t="shared" si="245"/>
        <v>0</v>
      </c>
      <c r="N496" s="2463">
        <f>IF(N$10&gt;0,N494/24/N$10,0)</f>
        <v>0</v>
      </c>
      <c r="O496" s="2463">
        <f>IF(O$10&gt;0,O494/24/O$10,0)</f>
        <v>0</v>
      </c>
      <c r="P496" s="2463">
        <f t="shared" si="245"/>
        <v>0</v>
      </c>
      <c r="Q496" s="2463">
        <f t="shared" si="245"/>
        <v>0</v>
      </c>
      <c r="R496" s="2463">
        <f>IF(R$10&gt;0,R494/24/R$10,0)</f>
        <v>0</v>
      </c>
      <c r="S496" s="2463">
        <f>IF(S$10&gt;0,S494/24/S$10,0)</f>
        <v>0</v>
      </c>
      <c r="T496" s="2463">
        <f>IF(T$10&gt;0,T494/24/T$10,0)</f>
        <v>0</v>
      </c>
      <c r="U496" s="2463">
        <f t="shared" si="245"/>
        <v>0</v>
      </c>
      <c r="V496" s="2463">
        <f t="shared" si="245"/>
        <v>0</v>
      </c>
      <c r="W496" s="2463">
        <f t="shared" si="245"/>
        <v>0</v>
      </c>
      <c r="X496" s="2463">
        <f t="shared" si="245"/>
        <v>0</v>
      </c>
      <c r="Y496" s="2463">
        <f t="shared" si="245"/>
        <v>0</v>
      </c>
      <c r="Z496" s="2463">
        <f t="shared" si="245"/>
        <v>0</v>
      </c>
      <c r="AA496" s="2463">
        <f t="shared" si="245"/>
        <v>0</v>
      </c>
      <c r="AB496" s="2463">
        <f t="shared" si="245"/>
        <v>0</v>
      </c>
      <c r="AC496" s="2463">
        <f t="shared" si="245"/>
        <v>0</v>
      </c>
      <c r="AD496" s="2463">
        <f t="shared" si="245"/>
        <v>0</v>
      </c>
      <c r="AE496" s="2463">
        <f t="shared" si="245"/>
        <v>0</v>
      </c>
      <c r="AF496" s="2463">
        <f t="shared" si="245"/>
        <v>0</v>
      </c>
      <c r="AG496" s="2463">
        <f t="shared" si="245"/>
        <v>0</v>
      </c>
      <c r="AH496" s="2463">
        <f t="shared" si="245"/>
        <v>0</v>
      </c>
      <c r="AI496" s="2463">
        <f t="shared" si="245"/>
        <v>0</v>
      </c>
      <c r="AJ496" s="2463">
        <f t="shared" si="245"/>
        <v>0</v>
      </c>
      <c r="AK496" s="2463">
        <f t="shared" si="245"/>
        <v>0</v>
      </c>
      <c r="AL496" s="2463">
        <f t="shared" si="245"/>
        <v>0</v>
      </c>
      <c r="AM496" s="2463">
        <f t="shared" ref="AM496:BI496" si="246">IF(AM$10&gt;0,AM494/24/AM$10,0)</f>
        <v>0</v>
      </c>
      <c r="AN496" s="2463">
        <f t="shared" si="246"/>
        <v>0</v>
      </c>
      <c r="AO496" s="2463">
        <f t="shared" si="246"/>
        <v>0</v>
      </c>
      <c r="AP496" s="2463">
        <f t="shared" si="246"/>
        <v>0</v>
      </c>
      <c r="AQ496" s="2463">
        <f t="shared" si="246"/>
        <v>0</v>
      </c>
      <c r="AR496" s="2463">
        <f t="shared" si="246"/>
        <v>0</v>
      </c>
      <c r="AS496" s="2463">
        <f t="shared" si="246"/>
        <v>0</v>
      </c>
      <c r="AT496" s="2463">
        <f t="shared" si="246"/>
        <v>0</v>
      </c>
      <c r="AU496" s="2463">
        <f t="shared" si="246"/>
        <v>0</v>
      </c>
      <c r="AV496" s="2463">
        <f t="shared" si="246"/>
        <v>0</v>
      </c>
      <c r="AW496" s="2463">
        <f t="shared" si="246"/>
        <v>0</v>
      </c>
      <c r="AX496" s="2463">
        <f t="shared" si="246"/>
        <v>0</v>
      </c>
      <c r="AY496" s="2463">
        <f t="shared" si="246"/>
        <v>0</v>
      </c>
      <c r="AZ496" s="2463">
        <f t="shared" si="246"/>
        <v>0</v>
      </c>
      <c r="BA496" s="2463">
        <f t="shared" si="246"/>
        <v>0</v>
      </c>
      <c r="BB496" s="2463">
        <f t="shared" si="246"/>
        <v>0</v>
      </c>
      <c r="BC496" s="2463">
        <f t="shared" si="246"/>
        <v>0</v>
      </c>
      <c r="BD496" s="2463">
        <f t="shared" si="246"/>
        <v>0</v>
      </c>
      <c r="BE496" s="2463">
        <f t="shared" si="246"/>
        <v>0</v>
      </c>
      <c r="BF496" s="2463">
        <f t="shared" si="246"/>
        <v>0</v>
      </c>
      <c r="BG496" s="2463">
        <f t="shared" si="246"/>
        <v>0</v>
      </c>
      <c r="BH496" s="2463">
        <f t="shared" si="246"/>
        <v>0</v>
      </c>
      <c r="BI496" s="2463">
        <f t="shared" si="246"/>
        <v>0</v>
      </c>
    </row>
    <row r="497" spans="1:61" s="2464" customFormat="1">
      <c r="A497" s="2461"/>
      <c r="B497" s="2462"/>
      <c r="C497" s="4122"/>
      <c r="D497" s="4123"/>
      <c r="E497" s="2516" t="s">
        <v>1181</v>
      </c>
      <c r="F497" s="2441" t="s">
        <v>211</v>
      </c>
      <c r="G497" s="2431" t="s">
        <v>212</v>
      </c>
      <c r="H497" s="2442">
        <f t="shared" ref="H497:AM497" si="247">H495/24*H$11</f>
        <v>0</v>
      </c>
      <c r="I497" s="2442">
        <f t="shared" si="247"/>
        <v>0</v>
      </c>
      <c r="J497" s="2442">
        <f t="shared" si="247"/>
        <v>0</v>
      </c>
      <c r="K497" s="2442">
        <f t="shared" si="247"/>
        <v>0</v>
      </c>
      <c r="L497" s="2442">
        <f t="shared" si="247"/>
        <v>0</v>
      </c>
      <c r="M497" s="2442">
        <f t="shared" si="247"/>
        <v>0</v>
      </c>
      <c r="N497" s="2442">
        <f t="shared" si="247"/>
        <v>0</v>
      </c>
      <c r="O497" s="2442">
        <f t="shared" si="247"/>
        <v>0</v>
      </c>
      <c r="P497" s="2442">
        <f t="shared" si="247"/>
        <v>0</v>
      </c>
      <c r="Q497" s="2442">
        <f t="shared" si="247"/>
        <v>0</v>
      </c>
      <c r="R497" s="2442">
        <f t="shared" si="247"/>
        <v>0</v>
      </c>
      <c r="S497" s="2442">
        <f t="shared" si="247"/>
        <v>0</v>
      </c>
      <c r="T497" s="2442">
        <f t="shared" si="247"/>
        <v>0</v>
      </c>
      <c r="U497" s="2442">
        <f t="shared" si="247"/>
        <v>0</v>
      </c>
      <c r="V497" s="2442">
        <f t="shared" si="247"/>
        <v>0</v>
      </c>
      <c r="W497" s="2442">
        <f t="shared" si="247"/>
        <v>0</v>
      </c>
      <c r="X497" s="2442">
        <f t="shared" si="247"/>
        <v>0</v>
      </c>
      <c r="Y497" s="2442">
        <f t="shared" si="247"/>
        <v>0</v>
      </c>
      <c r="Z497" s="2442">
        <f t="shared" si="247"/>
        <v>0</v>
      </c>
      <c r="AA497" s="2442">
        <f t="shared" si="247"/>
        <v>0</v>
      </c>
      <c r="AB497" s="2442">
        <f t="shared" si="247"/>
        <v>0</v>
      </c>
      <c r="AC497" s="2442">
        <f t="shared" si="247"/>
        <v>0</v>
      </c>
      <c r="AD497" s="2442">
        <f t="shared" si="247"/>
        <v>0</v>
      </c>
      <c r="AE497" s="2442">
        <f t="shared" si="247"/>
        <v>0</v>
      </c>
      <c r="AF497" s="2442">
        <f t="shared" si="247"/>
        <v>0</v>
      </c>
      <c r="AG497" s="2442">
        <f t="shared" si="247"/>
        <v>0</v>
      </c>
      <c r="AH497" s="2442">
        <f t="shared" si="247"/>
        <v>0</v>
      </c>
      <c r="AI497" s="2442">
        <f t="shared" si="247"/>
        <v>0</v>
      </c>
      <c r="AJ497" s="2442">
        <f t="shared" si="247"/>
        <v>0</v>
      </c>
      <c r="AK497" s="2442">
        <f t="shared" si="247"/>
        <v>0</v>
      </c>
      <c r="AL497" s="2442">
        <f t="shared" si="247"/>
        <v>0</v>
      </c>
      <c r="AM497" s="2442">
        <f t="shared" si="247"/>
        <v>0</v>
      </c>
      <c r="AN497" s="2442">
        <f t="shared" ref="AN497:BI497" si="248">AN495/24*AN$11</f>
        <v>0</v>
      </c>
      <c r="AO497" s="2442">
        <f t="shared" si="248"/>
        <v>0</v>
      </c>
      <c r="AP497" s="2442">
        <f t="shared" si="248"/>
        <v>0</v>
      </c>
      <c r="AQ497" s="2442">
        <f t="shared" si="248"/>
        <v>0</v>
      </c>
      <c r="AR497" s="2442">
        <f t="shared" si="248"/>
        <v>0</v>
      </c>
      <c r="AS497" s="2442">
        <f t="shared" si="248"/>
        <v>0</v>
      </c>
      <c r="AT497" s="2442">
        <f t="shared" si="248"/>
        <v>0</v>
      </c>
      <c r="AU497" s="2442">
        <f t="shared" si="248"/>
        <v>0</v>
      </c>
      <c r="AV497" s="2442">
        <f t="shared" si="248"/>
        <v>0</v>
      </c>
      <c r="AW497" s="2442">
        <f t="shared" si="248"/>
        <v>0</v>
      </c>
      <c r="AX497" s="2442">
        <f t="shared" si="248"/>
        <v>0</v>
      </c>
      <c r="AY497" s="2442">
        <f t="shared" si="248"/>
        <v>0</v>
      </c>
      <c r="AZ497" s="2442">
        <f t="shared" si="248"/>
        <v>0</v>
      </c>
      <c r="BA497" s="2442">
        <f t="shared" si="248"/>
        <v>0</v>
      </c>
      <c r="BB497" s="2442">
        <f t="shared" si="248"/>
        <v>0</v>
      </c>
      <c r="BC497" s="2442">
        <f t="shared" si="248"/>
        <v>0</v>
      </c>
      <c r="BD497" s="2442">
        <f t="shared" si="248"/>
        <v>0</v>
      </c>
      <c r="BE497" s="2442">
        <f t="shared" si="248"/>
        <v>0</v>
      </c>
      <c r="BF497" s="2442">
        <f t="shared" si="248"/>
        <v>0</v>
      </c>
      <c r="BG497" s="2442">
        <f t="shared" si="248"/>
        <v>0</v>
      </c>
      <c r="BH497" s="2442">
        <f t="shared" si="248"/>
        <v>0</v>
      </c>
      <c r="BI497" s="2442">
        <f t="shared" si="248"/>
        <v>0</v>
      </c>
    </row>
    <row r="498" spans="1:61" s="2476" customFormat="1">
      <c r="A498" s="2461"/>
      <c r="B498" s="2462"/>
      <c r="C498" s="4122"/>
      <c r="D498" s="4123"/>
      <c r="E498" s="2516" t="s">
        <v>1184</v>
      </c>
      <c r="F498" s="2465" t="s">
        <v>1158</v>
      </c>
      <c r="G498" s="2431" t="s">
        <v>1157</v>
      </c>
      <c r="H498" s="2442">
        <f t="shared" ref="H498:AL498" si="249">H478*H496</f>
        <v>0</v>
      </c>
      <c r="I498" s="2442">
        <f t="shared" si="249"/>
        <v>0</v>
      </c>
      <c r="J498" s="2442">
        <f>J478*J496</f>
        <v>0</v>
      </c>
      <c r="K498" s="2442">
        <f t="shared" si="249"/>
        <v>0</v>
      </c>
      <c r="L498" s="2442">
        <f t="shared" si="249"/>
        <v>0</v>
      </c>
      <c r="M498" s="2442">
        <f t="shared" si="249"/>
        <v>0</v>
      </c>
      <c r="N498" s="2442">
        <f>N478*N496</f>
        <v>0</v>
      </c>
      <c r="O498" s="2442">
        <f>O478*O496</f>
        <v>0</v>
      </c>
      <c r="P498" s="2442">
        <f t="shared" si="249"/>
        <v>0</v>
      </c>
      <c r="Q498" s="2442">
        <f t="shared" si="249"/>
        <v>0</v>
      </c>
      <c r="R498" s="2442">
        <f>R478*R496</f>
        <v>0</v>
      </c>
      <c r="S498" s="2442">
        <f>S478*S496</f>
        <v>0</v>
      </c>
      <c r="T498" s="2442">
        <f>T478*T496</f>
        <v>0</v>
      </c>
      <c r="U498" s="2442">
        <f t="shared" si="249"/>
        <v>0</v>
      </c>
      <c r="V498" s="2442">
        <f t="shared" si="249"/>
        <v>0</v>
      </c>
      <c r="W498" s="2442">
        <f t="shared" si="249"/>
        <v>0</v>
      </c>
      <c r="X498" s="2442">
        <f t="shared" si="249"/>
        <v>0</v>
      </c>
      <c r="Y498" s="2442">
        <f t="shared" si="249"/>
        <v>0</v>
      </c>
      <c r="Z498" s="2442">
        <f t="shared" si="249"/>
        <v>0</v>
      </c>
      <c r="AA498" s="2442">
        <f t="shared" si="249"/>
        <v>0</v>
      </c>
      <c r="AB498" s="2442">
        <f t="shared" si="249"/>
        <v>0</v>
      </c>
      <c r="AC498" s="2442">
        <f t="shared" si="249"/>
        <v>0</v>
      </c>
      <c r="AD498" s="2442">
        <f t="shared" si="249"/>
        <v>0</v>
      </c>
      <c r="AE498" s="2442">
        <f t="shared" si="249"/>
        <v>0</v>
      </c>
      <c r="AF498" s="2442">
        <f t="shared" si="249"/>
        <v>0</v>
      </c>
      <c r="AG498" s="2442">
        <f t="shared" si="249"/>
        <v>0</v>
      </c>
      <c r="AH498" s="2442">
        <f t="shared" si="249"/>
        <v>0</v>
      </c>
      <c r="AI498" s="2442">
        <f t="shared" si="249"/>
        <v>0</v>
      </c>
      <c r="AJ498" s="2442">
        <f t="shared" si="249"/>
        <v>0</v>
      </c>
      <c r="AK498" s="2442">
        <f t="shared" si="249"/>
        <v>0</v>
      </c>
      <c r="AL498" s="2442">
        <f t="shared" si="249"/>
        <v>0</v>
      </c>
      <c r="AM498" s="2442">
        <f t="shared" ref="AM498:BI498" si="250">AM478*AM496</f>
        <v>0</v>
      </c>
      <c r="AN498" s="2442">
        <f t="shared" si="250"/>
        <v>0</v>
      </c>
      <c r="AO498" s="2442">
        <f t="shared" si="250"/>
        <v>0</v>
      </c>
      <c r="AP498" s="2442">
        <f t="shared" si="250"/>
        <v>0</v>
      </c>
      <c r="AQ498" s="2442">
        <f t="shared" si="250"/>
        <v>0</v>
      </c>
      <c r="AR498" s="2442">
        <f t="shared" si="250"/>
        <v>0</v>
      </c>
      <c r="AS498" s="2442">
        <f t="shared" si="250"/>
        <v>0</v>
      </c>
      <c r="AT498" s="2442">
        <f t="shared" si="250"/>
        <v>0</v>
      </c>
      <c r="AU498" s="2442">
        <f t="shared" si="250"/>
        <v>0</v>
      </c>
      <c r="AV498" s="2442">
        <f t="shared" si="250"/>
        <v>0</v>
      </c>
      <c r="AW498" s="2442">
        <f t="shared" si="250"/>
        <v>0</v>
      </c>
      <c r="AX498" s="2442">
        <f t="shared" si="250"/>
        <v>0</v>
      </c>
      <c r="AY498" s="2442">
        <f t="shared" si="250"/>
        <v>0</v>
      </c>
      <c r="AZ498" s="2442">
        <f t="shared" si="250"/>
        <v>0</v>
      </c>
      <c r="BA498" s="2442">
        <f t="shared" si="250"/>
        <v>0</v>
      </c>
      <c r="BB498" s="2442">
        <f t="shared" si="250"/>
        <v>0</v>
      </c>
      <c r="BC498" s="2442">
        <f t="shared" si="250"/>
        <v>0</v>
      </c>
      <c r="BD498" s="2442">
        <f t="shared" si="250"/>
        <v>0</v>
      </c>
      <c r="BE498" s="2442">
        <f t="shared" si="250"/>
        <v>0</v>
      </c>
      <c r="BF498" s="2442">
        <f t="shared" si="250"/>
        <v>0</v>
      </c>
      <c r="BG498" s="2442">
        <f t="shared" si="250"/>
        <v>0</v>
      </c>
      <c r="BH498" s="2442">
        <f t="shared" si="250"/>
        <v>0</v>
      </c>
      <c r="BI498" s="2442">
        <f t="shared" si="250"/>
        <v>0</v>
      </c>
    </row>
    <row r="499" spans="1:61" s="2476" customFormat="1">
      <c r="A499" s="2461"/>
      <c r="B499" s="2462"/>
      <c r="C499" s="4122"/>
      <c r="D499" s="4123"/>
      <c r="E499" s="2516" t="s">
        <v>1182</v>
      </c>
      <c r="F499" s="2465" t="s">
        <v>233</v>
      </c>
      <c r="G499" s="2431" t="s">
        <v>234</v>
      </c>
      <c r="H499" s="2442">
        <f>H488*H497</f>
        <v>0</v>
      </c>
      <c r="I499" s="2442">
        <f t="shared" ref="I499:BI499" si="251">I488*I497</f>
        <v>0</v>
      </c>
      <c r="J499" s="2442">
        <f>J488*J497</f>
        <v>0</v>
      </c>
      <c r="K499" s="2442">
        <f t="shared" si="251"/>
        <v>0</v>
      </c>
      <c r="L499" s="2442">
        <f t="shared" si="251"/>
        <v>0</v>
      </c>
      <c r="M499" s="2442">
        <f t="shared" si="251"/>
        <v>0</v>
      </c>
      <c r="N499" s="2442">
        <f>N488*N497</f>
        <v>0</v>
      </c>
      <c r="O499" s="2442">
        <f>O488*O497</f>
        <v>0</v>
      </c>
      <c r="P499" s="2442">
        <f t="shared" si="251"/>
        <v>0</v>
      </c>
      <c r="Q499" s="2442">
        <f t="shared" si="251"/>
        <v>0</v>
      </c>
      <c r="R499" s="2442">
        <f>R488*R497</f>
        <v>0</v>
      </c>
      <c r="S499" s="2442">
        <f>S488*S497</f>
        <v>0</v>
      </c>
      <c r="T499" s="2442">
        <f>T488*T497</f>
        <v>0</v>
      </c>
      <c r="U499" s="2442">
        <f t="shared" si="251"/>
        <v>0</v>
      </c>
      <c r="V499" s="2442">
        <f t="shared" si="251"/>
        <v>0</v>
      </c>
      <c r="W499" s="2442">
        <f t="shared" si="251"/>
        <v>0</v>
      </c>
      <c r="X499" s="2442">
        <f t="shared" si="251"/>
        <v>0</v>
      </c>
      <c r="Y499" s="2442">
        <f t="shared" si="251"/>
        <v>0</v>
      </c>
      <c r="Z499" s="2442">
        <f t="shared" si="251"/>
        <v>0</v>
      </c>
      <c r="AA499" s="2442">
        <f t="shared" si="251"/>
        <v>0</v>
      </c>
      <c r="AB499" s="2442">
        <f t="shared" si="251"/>
        <v>0</v>
      </c>
      <c r="AC499" s="2442">
        <f t="shared" si="251"/>
        <v>0</v>
      </c>
      <c r="AD499" s="2442">
        <f t="shared" si="251"/>
        <v>0</v>
      </c>
      <c r="AE499" s="2442">
        <f t="shared" si="251"/>
        <v>0</v>
      </c>
      <c r="AF499" s="2442">
        <f t="shared" si="251"/>
        <v>0</v>
      </c>
      <c r="AG499" s="2442">
        <f t="shared" si="251"/>
        <v>0</v>
      </c>
      <c r="AH499" s="2442">
        <f t="shared" si="251"/>
        <v>0</v>
      </c>
      <c r="AI499" s="2442">
        <f t="shared" si="251"/>
        <v>0</v>
      </c>
      <c r="AJ499" s="2442">
        <f t="shared" si="251"/>
        <v>0</v>
      </c>
      <c r="AK499" s="2442">
        <f t="shared" si="251"/>
        <v>0</v>
      </c>
      <c r="AL499" s="2442">
        <f t="shared" si="251"/>
        <v>0</v>
      </c>
      <c r="AM499" s="2442">
        <f t="shared" si="251"/>
        <v>0</v>
      </c>
      <c r="AN499" s="2442">
        <f t="shared" si="251"/>
        <v>0</v>
      </c>
      <c r="AO499" s="2442">
        <f t="shared" si="251"/>
        <v>0</v>
      </c>
      <c r="AP499" s="2442">
        <f t="shared" si="251"/>
        <v>0</v>
      </c>
      <c r="AQ499" s="2442">
        <f t="shared" si="251"/>
        <v>0</v>
      </c>
      <c r="AR499" s="2442">
        <f t="shared" si="251"/>
        <v>0</v>
      </c>
      <c r="AS499" s="2442">
        <f t="shared" si="251"/>
        <v>0</v>
      </c>
      <c r="AT499" s="2442">
        <f t="shared" si="251"/>
        <v>0</v>
      </c>
      <c r="AU499" s="2442">
        <f t="shared" si="251"/>
        <v>0</v>
      </c>
      <c r="AV499" s="2442">
        <f t="shared" si="251"/>
        <v>0</v>
      </c>
      <c r="AW499" s="2442">
        <f t="shared" si="251"/>
        <v>0</v>
      </c>
      <c r="AX499" s="2442">
        <f t="shared" si="251"/>
        <v>0</v>
      </c>
      <c r="AY499" s="2442">
        <f t="shared" si="251"/>
        <v>0</v>
      </c>
      <c r="AZ499" s="2442">
        <f t="shared" si="251"/>
        <v>0</v>
      </c>
      <c r="BA499" s="2442">
        <f t="shared" si="251"/>
        <v>0</v>
      </c>
      <c r="BB499" s="2442">
        <f t="shared" si="251"/>
        <v>0</v>
      </c>
      <c r="BC499" s="2442">
        <f t="shared" si="251"/>
        <v>0</v>
      </c>
      <c r="BD499" s="2442">
        <f t="shared" si="251"/>
        <v>0</v>
      </c>
      <c r="BE499" s="2442">
        <f t="shared" si="251"/>
        <v>0</v>
      </c>
      <c r="BF499" s="2442">
        <f t="shared" si="251"/>
        <v>0</v>
      </c>
      <c r="BG499" s="2442">
        <f t="shared" si="251"/>
        <v>0</v>
      </c>
      <c r="BH499" s="2442">
        <f t="shared" si="251"/>
        <v>0</v>
      </c>
      <c r="BI499" s="2442">
        <f t="shared" si="251"/>
        <v>0</v>
      </c>
    </row>
    <row r="500" spans="1:61" s="2476" customFormat="1">
      <c r="A500" s="2461"/>
      <c r="B500" s="2462"/>
      <c r="C500" s="4122"/>
      <c r="D500" s="4123"/>
      <c r="E500" s="2517" t="s">
        <v>988</v>
      </c>
      <c r="F500" s="2466" t="s">
        <v>492</v>
      </c>
      <c r="G500" s="2467" t="s">
        <v>492</v>
      </c>
      <c r="H500" s="2442">
        <f t="shared" ref="H500:AL500" si="252">H465*H498</f>
        <v>0</v>
      </c>
      <c r="I500" s="2442">
        <f t="shared" si="252"/>
        <v>0</v>
      </c>
      <c r="J500" s="2442">
        <f>J465*J498</f>
        <v>0</v>
      </c>
      <c r="K500" s="2442">
        <f t="shared" si="252"/>
        <v>0</v>
      </c>
      <c r="L500" s="2442">
        <f t="shared" si="252"/>
        <v>0</v>
      </c>
      <c r="M500" s="2442">
        <f t="shared" si="252"/>
        <v>0</v>
      </c>
      <c r="N500" s="2442">
        <f>N465*N498</f>
        <v>0</v>
      </c>
      <c r="O500" s="2442">
        <f>O465*O498</f>
        <v>0</v>
      </c>
      <c r="P500" s="2442">
        <f t="shared" si="252"/>
        <v>0</v>
      </c>
      <c r="Q500" s="2442">
        <f t="shared" si="252"/>
        <v>0</v>
      </c>
      <c r="R500" s="2442">
        <f>R465*R498</f>
        <v>0</v>
      </c>
      <c r="S500" s="2442">
        <f>S465*S498</f>
        <v>0</v>
      </c>
      <c r="T500" s="2442">
        <f>T465*T498</f>
        <v>0</v>
      </c>
      <c r="U500" s="2442">
        <f t="shared" si="252"/>
        <v>0</v>
      </c>
      <c r="V500" s="2442">
        <f t="shared" si="252"/>
        <v>0</v>
      </c>
      <c r="W500" s="2442">
        <f t="shared" si="252"/>
        <v>0</v>
      </c>
      <c r="X500" s="2442">
        <f t="shared" si="252"/>
        <v>0</v>
      </c>
      <c r="Y500" s="2442">
        <f t="shared" si="252"/>
        <v>0</v>
      </c>
      <c r="Z500" s="2442">
        <f t="shared" si="252"/>
        <v>0</v>
      </c>
      <c r="AA500" s="2442">
        <f t="shared" si="252"/>
        <v>0</v>
      </c>
      <c r="AB500" s="2442">
        <f t="shared" si="252"/>
        <v>0</v>
      </c>
      <c r="AC500" s="2442">
        <f t="shared" si="252"/>
        <v>0</v>
      </c>
      <c r="AD500" s="2442">
        <f t="shared" si="252"/>
        <v>0</v>
      </c>
      <c r="AE500" s="2442">
        <f t="shared" si="252"/>
        <v>0</v>
      </c>
      <c r="AF500" s="2442">
        <f t="shared" si="252"/>
        <v>0</v>
      </c>
      <c r="AG500" s="2442">
        <f t="shared" si="252"/>
        <v>0</v>
      </c>
      <c r="AH500" s="2442">
        <f t="shared" si="252"/>
        <v>0</v>
      </c>
      <c r="AI500" s="2442">
        <f t="shared" si="252"/>
        <v>0</v>
      </c>
      <c r="AJ500" s="2442">
        <f t="shared" si="252"/>
        <v>0</v>
      </c>
      <c r="AK500" s="2442">
        <f t="shared" si="252"/>
        <v>0</v>
      </c>
      <c r="AL500" s="2442">
        <f t="shared" si="252"/>
        <v>0</v>
      </c>
      <c r="AM500" s="2442">
        <f t="shared" ref="AM500:BI500" si="253">AM465*AM498</f>
        <v>0</v>
      </c>
      <c r="AN500" s="2442">
        <f t="shared" si="253"/>
        <v>0</v>
      </c>
      <c r="AO500" s="2442">
        <f t="shared" si="253"/>
        <v>0</v>
      </c>
      <c r="AP500" s="2442">
        <f t="shared" si="253"/>
        <v>0</v>
      </c>
      <c r="AQ500" s="2442">
        <f t="shared" si="253"/>
        <v>0</v>
      </c>
      <c r="AR500" s="2442">
        <f t="shared" si="253"/>
        <v>0</v>
      </c>
      <c r="AS500" s="2442">
        <f t="shared" si="253"/>
        <v>0</v>
      </c>
      <c r="AT500" s="2442">
        <f t="shared" si="253"/>
        <v>0</v>
      </c>
      <c r="AU500" s="2442">
        <f t="shared" si="253"/>
        <v>0</v>
      </c>
      <c r="AV500" s="2442">
        <f t="shared" si="253"/>
        <v>0</v>
      </c>
      <c r="AW500" s="2442">
        <f t="shared" si="253"/>
        <v>0</v>
      </c>
      <c r="AX500" s="2442">
        <f t="shared" si="253"/>
        <v>0</v>
      </c>
      <c r="AY500" s="2442">
        <f t="shared" si="253"/>
        <v>0</v>
      </c>
      <c r="AZ500" s="2442">
        <f t="shared" si="253"/>
        <v>0</v>
      </c>
      <c r="BA500" s="2442">
        <f t="shared" si="253"/>
        <v>0</v>
      </c>
      <c r="BB500" s="2442">
        <f t="shared" si="253"/>
        <v>0</v>
      </c>
      <c r="BC500" s="2442">
        <f t="shared" si="253"/>
        <v>0</v>
      </c>
      <c r="BD500" s="2442">
        <f t="shared" si="253"/>
        <v>0</v>
      </c>
      <c r="BE500" s="2442">
        <f t="shared" si="253"/>
        <v>0</v>
      </c>
      <c r="BF500" s="2442">
        <f t="shared" si="253"/>
        <v>0</v>
      </c>
      <c r="BG500" s="2442">
        <f t="shared" si="253"/>
        <v>0</v>
      </c>
      <c r="BH500" s="2442">
        <f t="shared" si="253"/>
        <v>0</v>
      </c>
      <c r="BI500" s="2442">
        <f t="shared" si="253"/>
        <v>0</v>
      </c>
    </row>
    <row r="501" spans="1:61" s="2530" customFormat="1">
      <c r="A501" s="2527"/>
      <c r="B501" s="2528"/>
      <c r="C501" s="2492"/>
      <c r="D501" s="2493"/>
      <c r="E501" s="2518" t="s">
        <v>991</v>
      </c>
      <c r="F501" s="2468" t="s">
        <v>213</v>
      </c>
      <c r="G501" s="2469" t="s">
        <v>213</v>
      </c>
      <c r="H501" s="2470">
        <f t="shared" ref="H501:AL501" si="254">H465*H499</f>
        <v>0</v>
      </c>
      <c r="I501" s="2470">
        <f t="shared" si="254"/>
        <v>0</v>
      </c>
      <c r="J501" s="2470">
        <f>J465*J499</f>
        <v>0</v>
      </c>
      <c r="K501" s="2470">
        <f t="shared" si="254"/>
        <v>0</v>
      </c>
      <c r="L501" s="2470">
        <f t="shared" si="254"/>
        <v>0</v>
      </c>
      <c r="M501" s="2470">
        <f t="shared" si="254"/>
        <v>0</v>
      </c>
      <c r="N501" s="2470">
        <f>N465*N499</f>
        <v>0</v>
      </c>
      <c r="O501" s="2470">
        <f>O465*O499</f>
        <v>0</v>
      </c>
      <c r="P501" s="2470">
        <f t="shared" si="254"/>
        <v>0</v>
      </c>
      <c r="Q501" s="2470">
        <f t="shared" si="254"/>
        <v>0</v>
      </c>
      <c r="R501" s="2470">
        <f>R465*R499</f>
        <v>0</v>
      </c>
      <c r="S501" s="2470">
        <f>S465*S499</f>
        <v>0</v>
      </c>
      <c r="T501" s="2470">
        <f>T465*T499</f>
        <v>0</v>
      </c>
      <c r="U501" s="2470">
        <f t="shared" si="254"/>
        <v>0</v>
      </c>
      <c r="V501" s="2470">
        <f t="shared" si="254"/>
        <v>0</v>
      </c>
      <c r="W501" s="2470">
        <f t="shared" si="254"/>
        <v>0</v>
      </c>
      <c r="X501" s="2470">
        <f t="shared" si="254"/>
        <v>0</v>
      </c>
      <c r="Y501" s="2470">
        <f t="shared" si="254"/>
        <v>0</v>
      </c>
      <c r="Z501" s="2470">
        <f t="shared" si="254"/>
        <v>0</v>
      </c>
      <c r="AA501" s="2470">
        <f t="shared" si="254"/>
        <v>0</v>
      </c>
      <c r="AB501" s="2470">
        <f t="shared" si="254"/>
        <v>0</v>
      </c>
      <c r="AC501" s="2470">
        <f t="shared" si="254"/>
        <v>0</v>
      </c>
      <c r="AD501" s="2470">
        <f t="shared" si="254"/>
        <v>0</v>
      </c>
      <c r="AE501" s="2470">
        <f t="shared" si="254"/>
        <v>0</v>
      </c>
      <c r="AF501" s="2470">
        <f t="shared" si="254"/>
        <v>0</v>
      </c>
      <c r="AG501" s="2470">
        <f t="shared" si="254"/>
        <v>0</v>
      </c>
      <c r="AH501" s="2470">
        <f t="shared" si="254"/>
        <v>0</v>
      </c>
      <c r="AI501" s="2470">
        <f t="shared" si="254"/>
        <v>0</v>
      </c>
      <c r="AJ501" s="2470">
        <f t="shared" si="254"/>
        <v>0</v>
      </c>
      <c r="AK501" s="2470">
        <f t="shared" si="254"/>
        <v>0</v>
      </c>
      <c r="AL501" s="2470">
        <f t="shared" si="254"/>
        <v>0</v>
      </c>
      <c r="AM501" s="2470">
        <f t="shared" ref="AM501:BI501" si="255">AM465*AM499</f>
        <v>0</v>
      </c>
      <c r="AN501" s="2470">
        <f t="shared" si="255"/>
        <v>0</v>
      </c>
      <c r="AO501" s="2470">
        <f t="shared" si="255"/>
        <v>0</v>
      </c>
      <c r="AP501" s="2470">
        <f t="shared" si="255"/>
        <v>0</v>
      </c>
      <c r="AQ501" s="2470">
        <f t="shared" si="255"/>
        <v>0</v>
      </c>
      <c r="AR501" s="2470">
        <f t="shared" si="255"/>
        <v>0</v>
      </c>
      <c r="AS501" s="2470">
        <f t="shared" si="255"/>
        <v>0</v>
      </c>
      <c r="AT501" s="2470">
        <f t="shared" si="255"/>
        <v>0</v>
      </c>
      <c r="AU501" s="2470">
        <f t="shared" si="255"/>
        <v>0</v>
      </c>
      <c r="AV501" s="2470">
        <f t="shared" si="255"/>
        <v>0</v>
      </c>
      <c r="AW501" s="2470">
        <f t="shared" si="255"/>
        <v>0</v>
      </c>
      <c r="AX501" s="2470">
        <f t="shared" si="255"/>
        <v>0</v>
      </c>
      <c r="AY501" s="2470">
        <f t="shared" si="255"/>
        <v>0</v>
      </c>
      <c r="AZ501" s="2470">
        <f t="shared" si="255"/>
        <v>0</v>
      </c>
      <c r="BA501" s="2470">
        <f t="shared" si="255"/>
        <v>0</v>
      </c>
      <c r="BB501" s="2470">
        <f t="shared" si="255"/>
        <v>0</v>
      </c>
      <c r="BC501" s="2470">
        <f t="shared" si="255"/>
        <v>0</v>
      </c>
      <c r="BD501" s="2470">
        <f t="shared" si="255"/>
        <v>0</v>
      </c>
      <c r="BE501" s="2470">
        <f t="shared" si="255"/>
        <v>0</v>
      </c>
      <c r="BF501" s="2470">
        <f t="shared" si="255"/>
        <v>0</v>
      </c>
      <c r="BG501" s="2470">
        <f t="shared" si="255"/>
        <v>0</v>
      </c>
      <c r="BH501" s="2470">
        <f t="shared" si="255"/>
        <v>0</v>
      </c>
      <c r="BI501" s="2470">
        <f t="shared" si="255"/>
        <v>0</v>
      </c>
    </row>
    <row r="502" spans="1:61">
      <c r="A502" s="397"/>
      <c r="B502" s="97"/>
      <c r="C502" s="2489" t="s">
        <v>587</v>
      </c>
      <c r="D502" s="2493"/>
      <c r="E502" s="37" t="s">
        <v>1178</v>
      </c>
      <c r="F502" s="18" t="s">
        <v>181</v>
      </c>
      <c r="G502" s="117" t="s">
        <v>182</v>
      </c>
      <c r="H502" s="163">
        <f>FEM!$H$22</f>
        <v>4.8219178082191778</v>
      </c>
      <c r="I502" s="163">
        <f>FEM!$H$22</f>
        <v>4.8219178082191778</v>
      </c>
      <c r="J502" s="163">
        <f>FEM!$H$22</f>
        <v>4.8219178082191778</v>
      </c>
      <c r="K502" s="163">
        <f>FEM!$H$22</f>
        <v>4.8219178082191778</v>
      </c>
      <c r="L502" s="163">
        <f>FEM!$H$22</f>
        <v>4.8219178082191778</v>
      </c>
      <c r="M502" s="163">
        <f>FEM!$H$22</f>
        <v>4.8219178082191778</v>
      </c>
      <c r="N502" s="163">
        <f>FEM!$H$22</f>
        <v>4.8219178082191778</v>
      </c>
      <c r="O502" s="163">
        <f>FEM!$H$22</f>
        <v>4.8219178082191778</v>
      </c>
      <c r="P502" s="163">
        <f>FEM!$H$22</f>
        <v>4.8219178082191778</v>
      </c>
      <c r="Q502" s="163">
        <f>FEM!$H$22</f>
        <v>4.8219178082191778</v>
      </c>
      <c r="R502" s="163">
        <f>FEM!$H$22</f>
        <v>4.8219178082191778</v>
      </c>
      <c r="S502" s="163">
        <f>FEM!$H$22</f>
        <v>4.8219178082191778</v>
      </c>
      <c r="T502" s="163">
        <f>FEM!$H$22</f>
        <v>4.8219178082191778</v>
      </c>
      <c r="U502" s="163">
        <f>FEM!$H$22</f>
        <v>4.8219178082191778</v>
      </c>
      <c r="V502" s="163">
        <f>FEM!$H$22</f>
        <v>4.8219178082191778</v>
      </c>
      <c r="W502" s="163">
        <f>FEM!$H$22</f>
        <v>4.8219178082191778</v>
      </c>
      <c r="X502" s="163">
        <f>FEM!$H$22</f>
        <v>4.8219178082191778</v>
      </c>
      <c r="Y502" s="163">
        <f>FEM!$H$22</f>
        <v>4.8219178082191778</v>
      </c>
      <c r="Z502" s="163">
        <f>FEM!$H$22</f>
        <v>4.8219178082191778</v>
      </c>
      <c r="AA502" s="163">
        <f>FEM!$H$22</f>
        <v>4.8219178082191778</v>
      </c>
      <c r="AB502" s="163">
        <f>FEM!$H$22</f>
        <v>4.8219178082191778</v>
      </c>
      <c r="AC502" s="163">
        <f>FEM!$H$22</f>
        <v>4.8219178082191778</v>
      </c>
      <c r="AD502" s="163">
        <f>FEM!$H$22</f>
        <v>4.8219178082191778</v>
      </c>
      <c r="AE502" s="163">
        <f>FEM!$H$22</f>
        <v>4.8219178082191778</v>
      </c>
      <c r="AF502" s="163">
        <f>FEM!$H$22</f>
        <v>4.8219178082191778</v>
      </c>
      <c r="AG502" s="163">
        <f>FEM!$H$22</f>
        <v>4.8219178082191778</v>
      </c>
      <c r="AH502" s="163">
        <f>FEM!$H$22</f>
        <v>4.8219178082191778</v>
      </c>
      <c r="AI502" s="163">
        <f>FEM!$H$22</f>
        <v>4.8219178082191778</v>
      </c>
      <c r="AJ502" s="163">
        <f>FEM!$H$22</f>
        <v>4.8219178082191778</v>
      </c>
      <c r="AK502" s="163">
        <f>FEM!$H$22</f>
        <v>4.8219178082191778</v>
      </c>
      <c r="AL502" s="163">
        <f>FEM!$H$22</f>
        <v>4.8219178082191778</v>
      </c>
      <c r="AM502" s="163">
        <f>FEM!$H$22</f>
        <v>4.8219178082191778</v>
      </c>
      <c r="AN502" s="163">
        <f>FEM!$H$22</f>
        <v>4.8219178082191778</v>
      </c>
      <c r="AO502" s="163">
        <f>FEM!$H$22</f>
        <v>4.8219178082191778</v>
      </c>
      <c r="AP502" s="163">
        <f>FEM!$H$22</f>
        <v>4.8219178082191778</v>
      </c>
      <c r="AQ502" s="163">
        <f>FEM!$H$22</f>
        <v>4.8219178082191778</v>
      </c>
      <c r="AR502" s="163">
        <f>FEM!$H$22</f>
        <v>4.8219178082191778</v>
      </c>
      <c r="AS502" s="163">
        <f>FEM!$H$22</f>
        <v>4.8219178082191778</v>
      </c>
      <c r="AT502" s="163">
        <f>FEM!$H$22</f>
        <v>4.8219178082191778</v>
      </c>
      <c r="AU502" s="163">
        <f>FEM!$H$22</f>
        <v>4.8219178082191778</v>
      </c>
      <c r="AV502" s="163">
        <f>FEM!$H$22</f>
        <v>4.8219178082191778</v>
      </c>
      <c r="AW502" s="163">
        <f>FEM!$H$22</f>
        <v>4.8219178082191778</v>
      </c>
      <c r="AX502" s="163">
        <f>FEM!$H$22</f>
        <v>4.8219178082191778</v>
      </c>
      <c r="AY502" s="163">
        <f>FEM!$H$22</f>
        <v>4.8219178082191778</v>
      </c>
      <c r="AZ502" s="163">
        <f>FEM!$H$22</f>
        <v>4.8219178082191778</v>
      </c>
      <c r="BA502" s="163">
        <f>FEM!$H$22</f>
        <v>4.8219178082191778</v>
      </c>
      <c r="BB502" s="163">
        <f>FEM!$H$22</f>
        <v>4.8219178082191778</v>
      </c>
      <c r="BC502" s="163">
        <f>FEM!$H$22</f>
        <v>4.8219178082191778</v>
      </c>
      <c r="BD502" s="163">
        <f>FEM!$H$22</f>
        <v>4.8219178082191778</v>
      </c>
      <c r="BE502" s="163">
        <f>FEM!$H$22</f>
        <v>4.8219178082191778</v>
      </c>
      <c r="BF502" s="163">
        <f>FEM!$H$22</f>
        <v>4.8219178082191778</v>
      </c>
      <c r="BG502" s="163">
        <f>FEM!$H$22</f>
        <v>4.8219178082191778</v>
      </c>
      <c r="BH502" s="163">
        <f>FEM!$H$22</f>
        <v>4.8219178082191778</v>
      </c>
      <c r="BI502" s="163">
        <f>FEM!$H$22</f>
        <v>4.8219178082191778</v>
      </c>
    </row>
    <row r="503" spans="1:61" ht="12.75" customHeight="1">
      <c r="A503" s="397"/>
      <c r="B503" s="97"/>
      <c r="C503" s="4120" t="s">
        <v>588</v>
      </c>
      <c r="D503" s="4121"/>
      <c r="E503" s="37" t="s">
        <v>1160</v>
      </c>
      <c r="F503" s="18" t="s">
        <v>210</v>
      </c>
      <c r="G503" s="117" t="s">
        <v>182</v>
      </c>
      <c r="H503" s="227">
        <f>FEM!$I$22</f>
        <v>2.755381604696673</v>
      </c>
      <c r="I503" s="227">
        <f>FEM!$I$22</f>
        <v>2.755381604696673</v>
      </c>
      <c r="J503" s="227">
        <f>FEM!$I$22</f>
        <v>2.755381604696673</v>
      </c>
      <c r="K503" s="227">
        <f>FEM!$I$22</f>
        <v>2.755381604696673</v>
      </c>
      <c r="L503" s="227">
        <f>FEM!$I$22</f>
        <v>2.755381604696673</v>
      </c>
      <c r="M503" s="227">
        <f>FEM!$I$22</f>
        <v>2.755381604696673</v>
      </c>
      <c r="N503" s="227">
        <f>FEM!$I$22</f>
        <v>2.755381604696673</v>
      </c>
      <c r="O503" s="227">
        <f>FEM!$I$22</f>
        <v>2.755381604696673</v>
      </c>
      <c r="P503" s="227">
        <f>FEM!$I$22</f>
        <v>2.755381604696673</v>
      </c>
      <c r="Q503" s="227">
        <f>FEM!$I$22</f>
        <v>2.755381604696673</v>
      </c>
      <c r="R503" s="227">
        <f>FEM!$I$22</f>
        <v>2.755381604696673</v>
      </c>
      <c r="S503" s="227">
        <f>FEM!$I$22</f>
        <v>2.755381604696673</v>
      </c>
      <c r="T503" s="227">
        <f>FEM!$I$22</f>
        <v>2.755381604696673</v>
      </c>
      <c r="U503" s="227">
        <f>FEM!$I$22</f>
        <v>2.755381604696673</v>
      </c>
      <c r="V503" s="227">
        <f>FEM!$I$22</f>
        <v>2.755381604696673</v>
      </c>
      <c r="W503" s="227">
        <f>FEM!$I$22</f>
        <v>2.755381604696673</v>
      </c>
      <c r="X503" s="227">
        <f>FEM!$I$22</f>
        <v>2.755381604696673</v>
      </c>
      <c r="Y503" s="227">
        <f>FEM!$I$22</f>
        <v>2.755381604696673</v>
      </c>
      <c r="Z503" s="227">
        <f>FEM!$I$22</f>
        <v>2.755381604696673</v>
      </c>
      <c r="AA503" s="227">
        <f>FEM!$I$22</f>
        <v>2.755381604696673</v>
      </c>
      <c r="AB503" s="227">
        <f>FEM!$I$22</f>
        <v>2.755381604696673</v>
      </c>
      <c r="AC503" s="227">
        <f>FEM!$I$22</f>
        <v>2.755381604696673</v>
      </c>
      <c r="AD503" s="227">
        <f>FEM!$I$22</f>
        <v>2.755381604696673</v>
      </c>
      <c r="AE503" s="227">
        <f>FEM!$I$22</f>
        <v>2.755381604696673</v>
      </c>
      <c r="AF503" s="227">
        <f>FEM!$I$22</f>
        <v>2.755381604696673</v>
      </c>
      <c r="AG503" s="227">
        <f>FEM!$I$22</f>
        <v>2.755381604696673</v>
      </c>
      <c r="AH503" s="227">
        <f>FEM!$I$22</f>
        <v>2.755381604696673</v>
      </c>
      <c r="AI503" s="227">
        <f>FEM!$I$22</f>
        <v>2.755381604696673</v>
      </c>
      <c r="AJ503" s="227">
        <f>FEM!$I$22</f>
        <v>2.755381604696673</v>
      </c>
      <c r="AK503" s="227">
        <f>FEM!$I$22</f>
        <v>2.755381604696673</v>
      </c>
      <c r="AL503" s="227">
        <f>FEM!$I$22</f>
        <v>2.755381604696673</v>
      </c>
      <c r="AM503" s="227">
        <f>FEM!$I$22</f>
        <v>2.755381604696673</v>
      </c>
      <c r="AN503" s="227">
        <f>FEM!$I$22</f>
        <v>2.755381604696673</v>
      </c>
      <c r="AO503" s="227">
        <f>FEM!$I$22</f>
        <v>2.755381604696673</v>
      </c>
      <c r="AP503" s="227">
        <f>FEM!$I$22</f>
        <v>2.755381604696673</v>
      </c>
      <c r="AQ503" s="227">
        <f>FEM!$I$22</f>
        <v>2.755381604696673</v>
      </c>
      <c r="AR503" s="227">
        <f>FEM!$I$22</f>
        <v>2.755381604696673</v>
      </c>
      <c r="AS503" s="227">
        <f>FEM!$I$22</f>
        <v>2.755381604696673</v>
      </c>
      <c r="AT503" s="227">
        <f>FEM!$I$22</f>
        <v>2.755381604696673</v>
      </c>
      <c r="AU503" s="227">
        <f>FEM!$I$22</f>
        <v>2.755381604696673</v>
      </c>
      <c r="AV503" s="227">
        <f>FEM!$I$22</f>
        <v>2.755381604696673</v>
      </c>
      <c r="AW503" s="227">
        <f>FEM!$I$22</f>
        <v>2.755381604696673</v>
      </c>
      <c r="AX503" s="227">
        <f>FEM!$I$22</f>
        <v>2.755381604696673</v>
      </c>
      <c r="AY503" s="227">
        <f>FEM!$I$22</f>
        <v>2.755381604696673</v>
      </c>
      <c r="AZ503" s="227">
        <f>FEM!$I$22</f>
        <v>2.755381604696673</v>
      </c>
      <c r="BA503" s="227">
        <f>FEM!$I$22</f>
        <v>2.755381604696673</v>
      </c>
      <c r="BB503" s="227">
        <f>FEM!$I$22</f>
        <v>2.755381604696673</v>
      </c>
      <c r="BC503" s="227">
        <f>FEM!$I$22</f>
        <v>2.755381604696673</v>
      </c>
      <c r="BD503" s="227">
        <f>FEM!$I$22</f>
        <v>2.755381604696673</v>
      </c>
      <c r="BE503" s="227">
        <f>FEM!$I$22</f>
        <v>2.755381604696673</v>
      </c>
      <c r="BF503" s="227">
        <f>FEM!$I$22</f>
        <v>2.755381604696673</v>
      </c>
      <c r="BG503" s="227">
        <f>FEM!$I$22</f>
        <v>2.755381604696673</v>
      </c>
      <c r="BH503" s="227">
        <f>FEM!$I$22</f>
        <v>2.755381604696673</v>
      </c>
      <c r="BI503" s="227">
        <f>FEM!$I$22</f>
        <v>2.755381604696673</v>
      </c>
    </row>
    <row r="504" spans="1:61" s="2464" customFormat="1">
      <c r="A504" s="2461"/>
      <c r="B504" s="2462"/>
      <c r="C504" s="4120"/>
      <c r="D504" s="4121"/>
      <c r="E504" s="2516" t="s">
        <v>1183</v>
      </c>
      <c r="F504" s="2441" t="s">
        <v>1155</v>
      </c>
      <c r="G504" s="2431" t="s">
        <v>1156</v>
      </c>
      <c r="H504" s="2463">
        <f t="shared" ref="H504:AL504" si="256">IF(H$10&gt;0,H502/24/H$10,0)</f>
        <v>1.004566210045662</v>
      </c>
      <c r="I504" s="2463">
        <f t="shared" si="256"/>
        <v>1.004566210045662</v>
      </c>
      <c r="J504" s="2463">
        <f>IF(J$10&gt;0,J502/24/J$10,0)</f>
        <v>4.0182648401826483E-2</v>
      </c>
      <c r="K504" s="2463">
        <f t="shared" si="256"/>
        <v>3.5877364644487928</v>
      </c>
      <c r="L504" s="2463">
        <f t="shared" si="256"/>
        <v>3.3485540334855401</v>
      </c>
      <c r="M504" s="2463">
        <f t="shared" si="256"/>
        <v>3.3485540334855401</v>
      </c>
      <c r="N504" s="2463">
        <f>IF(N$10&gt;0,N502/24/N$10,0)</f>
        <v>1.004566210045662</v>
      </c>
      <c r="O504" s="2463">
        <f>IF(O$10&gt;0,O502/24/O$10,0)</f>
        <v>1.004566210045662</v>
      </c>
      <c r="P504" s="2463">
        <f t="shared" si="256"/>
        <v>5.7403783431180679</v>
      </c>
      <c r="Q504" s="2463">
        <f t="shared" si="256"/>
        <v>5.7403783431180679</v>
      </c>
      <c r="R504" s="2463">
        <f>IF(R$10&gt;0,R502/24/R$10,0)</f>
        <v>0.50228310502283102</v>
      </c>
      <c r="S504" s="2463">
        <f>IF(S$10&gt;0,S502/24/S$10,0)</f>
        <v>3.1890990795100382</v>
      </c>
      <c r="T504" s="2463">
        <f>IF(T$10&gt;0,T502/24/T$10,0)</f>
        <v>3.1890990795100382</v>
      </c>
      <c r="U504" s="2463">
        <f t="shared" si="256"/>
        <v>5.287190579187695</v>
      </c>
      <c r="V504" s="2463">
        <f t="shared" si="256"/>
        <v>0.20091324200913241</v>
      </c>
      <c r="W504" s="2463">
        <f t="shared" si="256"/>
        <v>0.20091324200913241</v>
      </c>
      <c r="X504" s="2463">
        <f t="shared" si="256"/>
        <v>20.928462709284624</v>
      </c>
      <c r="Y504" s="2463">
        <f t="shared" si="256"/>
        <v>0.77274323849666304</v>
      </c>
      <c r="Z504" s="2463">
        <f t="shared" si="256"/>
        <v>0.75816317739295247</v>
      </c>
      <c r="AA504" s="2463">
        <f t="shared" si="256"/>
        <v>2.0091324200913241</v>
      </c>
      <c r="AB504" s="2463">
        <f t="shared" si="256"/>
        <v>1.004566210045662</v>
      </c>
      <c r="AC504" s="2463">
        <f t="shared" si="256"/>
        <v>1.004566210045662</v>
      </c>
      <c r="AD504" s="2463">
        <f t="shared" si="256"/>
        <v>1.004566210045662</v>
      </c>
      <c r="AE504" s="2463">
        <f t="shared" si="256"/>
        <v>0</v>
      </c>
      <c r="AF504" s="2463">
        <f t="shared" si="256"/>
        <v>0</v>
      </c>
      <c r="AG504" s="2463">
        <f t="shared" si="256"/>
        <v>1.0919197935278936E-2</v>
      </c>
      <c r="AH504" s="2463">
        <f t="shared" si="256"/>
        <v>1.0919197935278936E-2</v>
      </c>
      <c r="AI504" s="2463">
        <f t="shared" si="256"/>
        <v>0.20091324200913241</v>
      </c>
      <c r="AJ504" s="2463">
        <f t="shared" si="256"/>
        <v>0.20091324200913241</v>
      </c>
      <c r="AK504" s="2463">
        <f t="shared" si="256"/>
        <v>0.20091324200913241</v>
      </c>
      <c r="AL504" s="2463">
        <f t="shared" si="256"/>
        <v>0</v>
      </c>
      <c r="AM504" s="2463">
        <f t="shared" ref="AM504:BI504" si="257">IF(AM$10&gt;0,AM502/24/AM$10,0)</f>
        <v>0</v>
      </c>
      <c r="AN504" s="2463">
        <f t="shared" si="257"/>
        <v>66.971080669710801</v>
      </c>
      <c r="AO504" s="2463">
        <f t="shared" si="257"/>
        <v>0</v>
      </c>
      <c r="AP504" s="2463">
        <f t="shared" si="257"/>
        <v>0</v>
      </c>
      <c r="AQ504" s="2463">
        <f t="shared" si="257"/>
        <v>0</v>
      </c>
      <c r="AR504" s="2463">
        <f t="shared" si="257"/>
        <v>0</v>
      </c>
      <c r="AS504" s="2463">
        <f t="shared" si="257"/>
        <v>0</v>
      </c>
      <c r="AT504" s="2463">
        <f t="shared" si="257"/>
        <v>0</v>
      </c>
      <c r="AU504" s="2463">
        <f t="shared" si="257"/>
        <v>0</v>
      </c>
      <c r="AV504" s="2463">
        <f t="shared" si="257"/>
        <v>0</v>
      </c>
      <c r="AW504" s="2463">
        <f t="shared" si="257"/>
        <v>0</v>
      </c>
      <c r="AX504" s="2463">
        <f t="shared" si="257"/>
        <v>0</v>
      </c>
      <c r="AY504" s="2463">
        <f t="shared" si="257"/>
        <v>0</v>
      </c>
      <c r="AZ504" s="2463">
        <f t="shared" si="257"/>
        <v>0</v>
      </c>
      <c r="BA504" s="2463">
        <f t="shared" si="257"/>
        <v>0</v>
      </c>
      <c r="BB504" s="2463">
        <f t="shared" si="257"/>
        <v>0</v>
      </c>
      <c r="BC504" s="2463">
        <f t="shared" si="257"/>
        <v>0</v>
      </c>
      <c r="BD504" s="2463">
        <f t="shared" si="257"/>
        <v>10.045662100456621</v>
      </c>
      <c r="BE504" s="2463">
        <f t="shared" si="257"/>
        <v>401.82648401826481</v>
      </c>
      <c r="BF504" s="2463">
        <f t="shared" si="257"/>
        <v>200.9132420091324</v>
      </c>
      <c r="BG504" s="2463">
        <f t="shared" si="257"/>
        <v>6697.10806697108</v>
      </c>
      <c r="BH504" s="2463">
        <f t="shared" si="257"/>
        <v>636.22526636225246</v>
      </c>
      <c r="BI504" s="2463">
        <f t="shared" si="257"/>
        <v>251.14155251141551</v>
      </c>
    </row>
    <row r="505" spans="1:61" s="2464" customFormat="1">
      <c r="A505" s="2461"/>
      <c r="B505" s="2462"/>
      <c r="C505" s="4120"/>
      <c r="D505" s="4121"/>
      <c r="E505" s="2516" t="s">
        <v>1181</v>
      </c>
      <c r="F505" s="2441" t="s">
        <v>211</v>
      </c>
      <c r="G505" s="2431" t="s">
        <v>212</v>
      </c>
      <c r="H505" s="2442">
        <f t="shared" ref="H505:AL505" si="258">H503/24*H$12</f>
        <v>0</v>
      </c>
      <c r="I505" s="2442">
        <f t="shared" si="258"/>
        <v>0</v>
      </c>
      <c r="J505" s="2442">
        <f>J503/24*J$12</f>
        <v>0</v>
      </c>
      <c r="K505" s="2442">
        <f t="shared" si="258"/>
        <v>1.1480756686236137E-4</v>
      </c>
      <c r="L505" s="2442">
        <f t="shared" si="258"/>
        <v>0</v>
      </c>
      <c r="M505" s="2442">
        <f t="shared" si="258"/>
        <v>0</v>
      </c>
      <c r="N505" s="2442">
        <f>N503/24*N$12</f>
        <v>2.2961513372472275E-4</v>
      </c>
      <c r="O505" s="2442">
        <f>O503/24*O$12</f>
        <v>2.2961513372472275E-4</v>
      </c>
      <c r="P505" s="2442">
        <f t="shared" si="258"/>
        <v>6.7736464448793206E-4</v>
      </c>
      <c r="Q505" s="2442">
        <f t="shared" si="258"/>
        <v>6.7736464448793206E-4</v>
      </c>
      <c r="R505" s="2442">
        <f>R503/24*R$12</f>
        <v>1.1480756686236137E-4</v>
      </c>
      <c r="S505" s="2442">
        <f>S503/24*S$12</f>
        <v>2.6405740378343118E-3</v>
      </c>
      <c r="T505" s="2442">
        <f>T503/24*T$12</f>
        <v>2.6405740378343118E-3</v>
      </c>
      <c r="U505" s="2442">
        <f t="shared" si="258"/>
        <v>4.8219178082191784E-3</v>
      </c>
      <c r="V505" s="2442">
        <f t="shared" si="258"/>
        <v>0</v>
      </c>
      <c r="W505" s="2442">
        <f t="shared" si="258"/>
        <v>0</v>
      </c>
      <c r="X505" s="2442">
        <f t="shared" si="258"/>
        <v>6.8884540117416832E-4</v>
      </c>
      <c r="Y505" s="2442">
        <f t="shared" si="258"/>
        <v>0</v>
      </c>
      <c r="Z505" s="2442">
        <f t="shared" si="258"/>
        <v>2.8701891715590347E-4</v>
      </c>
      <c r="AA505" s="2442">
        <f t="shared" si="258"/>
        <v>0</v>
      </c>
      <c r="AB505" s="2442">
        <f t="shared" si="258"/>
        <v>0</v>
      </c>
      <c r="AC505" s="2442">
        <f t="shared" si="258"/>
        <v>0</v>
      </c>
      <c r="AD505" s="2442">
        <f t="shared" si="258"/>
        <v>0</v>
      </c>
      <c r="AE505" s="2442">
        <f t="shared" si="258"/>
        <v>0</v>
      </c>
      <c r="AF505" s="2442">
        <f t="shared" si="258"/>
        <v>0</v>
      </c>
      <c r="AG505" s="2442">
        <f t="shared" si="258"/>
        <v>0</v>
      </c>
      <c r="AH505" s="2442">
        <f t="shared" si="258"/>
        <v>0</v>
      </c>
      <c r="AI505" s="2442">
        <f t="shared" si="258"/>
        <v>0</v>
      </c>
      <c r="AJ505" s="2442">
        <f t="shared" si="258"/>
        <v>0</v>
      </c>
      <c r="AK505" s="2442">
        <f t="shared" si="258"/>
        <v>0</v>
      </c>
      <c r="AL505" s="2442">
        <f t="shared" si="258"/>
        <v>0</v>
      </c>
      <c r="AM505" s="2442">
        <f t="shared" ref="AM505:BI505" si="259">AM503/24*AM$12</f>
        <v>0</v>
      </c>
      <c r="AN505" s="2442">
        <f t="shared" si="259"/>
        <v>3.9034572733202869E-3</v>
      </c>
      <c r="AO505" s="2442">
        <f t="shared" si="259"/>
        <v>1.2628832354859751E-4</v>
      </c>
      <c r="AP505" s="2442">
        <f t="shared" si="259"/>
        <v>1.2628832354859751E-4</v>
      </c>
      <c r="AQ505" s="2442">
        <f t="shared" si="259"/>
        <v>1.2628832354859751E-4</v>
      </c>
      <c r="AR505" s="2442">
        <f t="shared" si="259"/>
        <v>1.2628832354859751E-4</v>
      </c>
      <c r="AS505" s="2442">
        <f t="shared" si="259"/>
        <v>1.2628832354859754E-3</v>
      </c>
      <c r="AT505" s="2442">
        <f t="shared" si="259"/>
        <v>1.2628832354859751E-4</v>
      </c>
      <c r="AU505" s="2442">
        <f t="shared" si="259"/>
        <v>1.2628832354859751E-4</v>
      </c>
      <c r="AV505" s="2442">
        <f t="shared" si="259"/>
        <v>1.2628832354859752E-2</v>
      </c>
      <c r="AW505" s="2442">
        <f t="shared" si="259"/>
        <v>1.2628832354859754E-3</v>
      </c>
      <c r="AX505" s="2442">
        <f t="shared" si="259"/>
        <v>1.2628832354859752E-2</v>
      </c>
      <c r="AY505" s="2442">
        <f t="shared" si="259"/>
        <v>1.2628832354859752E-2</v>
      </c>
      <c r="AZ505" s="2442">
        <f t="shared" si="259"/>
        <v>0.12628832354859754</v>
      </c>
      <c r="BA505" s="2442">
        <f t="shared" si="259"/>
        <v>0.12628832354859754</v>
      </c>
      <c r="BB505" s="2442">
        <f t="shared" si="259"/>
        <v>1.2628832354859754E-3</v>
      </c>
      <c r="BC505" s="2442">
        <f t="shared" si="259"/>
        <v>1.2628832354859752E-2</v>
      </c>
      <c r="BD505" s="2442">
        <f t="shared" si="259"/>
        <v>0</v>
      </c>
      <c r="BE505" s="2442">
        <f t="shared" si="259"/>
        <v>2.5257664709719505E-2</v>
      </c>
      <c r="BF505" s="2442">
        <f t="shared" si="259"/>
        <v>1.2628832354859752E-2</v>
      </c>
      <c r="BG505" s="2442">
        <f t="shared" si="259"/>
        <v>0</v>
      </c>
      <c r="BH505" s="2442">
        <f t="shared" si="259"/>
        <v>0</v>
      </c>
      <c r="BI505" s="2442">
        <f t="shared" si="259"/>
        <v>0</v>
      </c>
    </row>
    <row r="506" spans="1:61" s="2464" customFormat="1">
      <c r="A506" s="2461"/>
      <c r="B506" s="2462"/>
      <c r="C506" s="2492"/>
      <c r="D506" s="2493"/>
      <c r="E506" s="2516" t="s">
        <v>1184</v>
      </c>
      <c r="F506" s="2465" t="s">
        <v>1158</v>
      </c>
      <c r="G506" s="2431" t="s">
        <v>1157</v>
      </c>
      <c r="H506" s="2442">
        <f t="shared" ref="H506:AL506" si="260">H478*H504</f>
        <v>3.4941505125958034</v>
      </c>
      <c r="I506" s="2442">
        <f t="shared" si="260"/>
        <v>3.4941505125958034</v>
      </c>
      <c r="J506" s="2442">
        <f>J478*J504</f>
        <v>6.0356138380609797E-2</v>
      </c>
      <c r="K506" s="2442">
        <f t="shared" si="260"/>
        <v>0.1793601009046891</v>
      </c>
      <c r="L506" s="2442">
        <f t="shared" si="260"/>
        <v>0.8953644609874154</v>
      </c>
      <c r="M506" s="2442">
        <f t="shared" si="260"/>
        <v>0.8953644609874154</v>
      </c>
      <c r="N506" s="2442">
        <f>N478*N504</f>
        <v>0.13619006445273599</v>
      </c>
      <c r="O506" s="2442">
        <f>O478*O504</f>
        <v>0.13619006445273599</v>
      </c>
      <c r="P506" s="2442">
        <f t="shared" si="260"/>
        <v>0.71283287880938984</v>
      </c>
      <c r="Q506" s="2442">
        <f t="shared" si="260"/>
        <v>0.71283287880938984</v>
      </c>
      <c r="R506" s="2442">
        <f>R478*R504</f>
        <v>0.15516700102501504</v>
      </c>
      <c r="S506" s="2442">
        <f>S478*S504</f>
        <v>1.050109500848321</v>
      </c>
      <c r="T506" s="2442">
        <f>T478*T504</f>
        <v>1.050109500848321</v>
      </c>
      <c r="U506" s="2442">
        <f t="shared" si="260"/>
        <v>0.36979336752671932</v>
      </c>
      <c r="V506" s="2442">
        <f t="shared" si="260"/>
        <v>8.585125952683936E-3</v>
      </c>
      <c r="W506" s="2442">
        <f t="shared" si="260"/>
        <v>8.585125952683936E-3</v>
      </c>
      <c r="X506" s="2442">
        <f t="shared" si="260"/>
        <v>4.6615772967652607</v>
      </c>
      <c r="Y506" s="2442">
        <f t="shared" si="260"/>
        <v>0.24834797062642602</v>
      </c>
      <c r="Z506" s="2442">
        <f t="shared" si="260"/>
        <v>0.4114405924359047</v>
      </c>
      <c r="AA506" s="2442">
        <f t="shared" si="260"/>
        <v>0.23217918242200333</v>
      </c>
      <c r="AB506" s="2442">
        <f t="shared" si="260"/>
        <v>0.71852173043939038</v>
      </c>
      <c r="AC506" s="2442">
        <f t="shared" si="260"/>
        <v>2.0940366885670216</v>
      </c>
      <c r="AD506" s="2442">
        <f t="shared" si="260"/>
        <v>4.422018062211146</v>
      </c>
      <c r="AE506" s="2442">
        <f t="shared" si="260"/>
        <v>0</v>
      </c>
      <c r="AF506" s="2442">
        <f t="shared" si="260"/>
        <v>0</v>
      </c>
      <c r="AG506" s="2442">
        <f t="shared" si="260"/>
        <v>3.3958860052420408E-4</v>
      </c>
      <c r="AH506" s="2442">
        <f t="shared" si="260"/>
        <v>4.5354704758756209E-4</v>
      </c>
      <c r="AI506" s="2442">
        <f t="shared" si="260"/>
        <v>2.0523779494504811E-2</v>
      </c>
      <c r="AJ506" s="2442">
        <f t="shared" si="260"/>
        <v>8.6218736551393588E-2</v>
      </c>
      <c r="AK506" s="2442">
        <f t="shared" si="260"/>
        <v>0.30015920108530864</v>
      </c>
      <c r="AL506" s="2442">
        <f t="shared" si="260"/>
        <v>0</v>
      </c>
      <c r="AM506" s="2442">
        <f t="shared" ref="AM506:BI506" si="261">AM478*AM504</f>
        <v>0</v>
      </c>
      <c r="AN506" s="2442">
        <f t="shared" si="261"/>
        <v>181.15988534848336</v>
      </c>
      <c r="AO506" s="2442">
        <f t="shared" si="261"/>
        <v>0</v>
      </c>
      <c r="AP506" s="2442">
        <f t="shared" si="261"/>
        <v>0</v>
      </c>
      <c r="AQ506" s="2442">
        <f t="shared" si="261"/>
        <v>0</v>
      </c>
      <c r="AR506" s="2442">
        <f t="shared" si="261"/>
        <v>0</v>
      </c>
      <c r="AS506" s="2442">
        <f t="shared" si="261"/>
        <v>0</v>
      </c>
      <c r="AT506" s="2442">
        <f t="shared" si="261"/>
        <v>0</v>
      </c>
      <c r="AU506" s="2442">
        <f t="shared" si="261"/>
        <v>0</v>
      </c>
      <c r="AV506" s="2442">
        <f t="shared" si="261"/>
        <v>0</v>
      </c>
      <c r="AW506" s="2442">
        <f t="shared" si="261"/>
        <v>0</v>
      </c>
      <c r="AX506" s="2442">
        <f t="shared" si="261"/>
        <v>0</v>
      </c>
      <c r="AY506" s="2442">
        <f t="shared" si="261"/>
        <v>0</v>
      </c>
      <c r="AZ506" s="2442">
        <f t="shared" si="261"/>
        <v>0</v>
      </c>
      <c r="BA506" s="2442">
        <f t="shared" si="261"/>
        <v>0</v>
      </c>
      <c r="BB506" s="2442">
        <f t="shared" si="261"/>
        <v>0</v>
      </c>
      <c r="BC506" s="2442">
        <f t="shared" si="261"/>
        <v>0</v>
      </c>
      <c r="BD506" s="2442">
        <f t="shared" si="261"/>
        <v>276.66836067617407</v>
      </c>
      <c r="BE506" s="2442">
        <f t="shared" si="261"/>
        <v>15979.970451767618</v>
      </c>
      <c r="BF506" s="2442">
        <f t="shared" si="261"/>
        <v>7989.9852258838091</v>
      </c>
      <c r="BG506" s="2442">
        <f t="shared" si="261"/>
        <v>342.16478300926826</v>
      </c>
      <c r="BH506" s="2442">
        <f t="shared" si="261"/>
        <v>16207.780093455885</v>
      </c>
      <c r="BI506" s="2442">
        <f t="shared" si="261"/>
        <v>1504.0382265088554</v>
      </c>
    </row>
    <row r="507" spans="1:61" s="2464" customFormat="1">
      <c r="A507" s="2461"/>
      <c r="B507" s="2462"/>
      <c r="C507" s="2492"/>
      <c r="D507" s="2493"/>
      <c r="E507" s="2516" t="s">
        <v>1182</v>
      </c>
      <c r="F507" s="2465" t="s">
        <v>233</v>
      </c>
      <c r="G507" s="2431" t="s">
        <v>234</v>
      </c>
      <c r="H507" s="2442">
        <f>H491*H505</f>
        <v>0</v>
      </c>
      <c r="I507" s="2442">
        <f t="shared" ref="I507:BI507" si="262">I491*I505</f>
        <v>0</v>
      </c>
      <c r="J507" s="2442">
        <f>J491*J505</f>
        <v>0</v>
      </c>
      <c r="K507" s="2442">
        <f t="shared" si="262"/>
        <v>1.4348808072375129E-7</v>
      </c>
      <c r="L507" s="2442">
        <f t="shared" si="262"/>
        <v>0</v>
      </c>
      <c r="M507" s="2442">
        <f t="shared" si="262"/>
        <v>0</v>
      </c>
      <c r="N507" s="2442">
        <f>N491*N505</f>
        <v>7.7822893972992002E-7</v>
      </c>
      <c r="O507" s="2442">
        <f>O491*O505</f>
        <v>7.7822893972992002E-7</v>
      </c>
      <c r="P507" s="2442">
        <f t="shared" si="262"/>
        <v>2.1028569924877005E-6</v>
      </c>
      <c r="Q507" s="2442">
        <f t="shared" si="262"/>
        <v>2.1028569924877005E-6</v>
      </c>
      <c r="R507" s="2442">
        <f>R491*R505</f>
        <v>8.8666857728580031E-7</v>
      </c>
      <c r="S507" s="2442">
        <f>S491*S505</f>
        <v>2.1737266667560242E-5</v>
      </c>
      <c r="T507" s="2442">
        <f>T491*T505</f>
        <v>2.1737266667560242E-5</v>
      </c>
      <c r="U507" s="2442">
        <f t="shared" si="262"/>
        <v>8.4312887796092032E-6</v>
      </c>
      <c r="V507" s="2442">
        <f t="shared" si="262"/>
        <v>0</v>
      </c>
      <c r="W507" s="2442">
        <f t="shared" si="262"/>
        <v>0</v>
      </c>
      <c r="X507" s="2442">
        <f t="shared" si="262"/>
        <v>3.8358121756239867E-6</v>
      </c>
      <c r="Y507" s="2442">
        <f t="shared" si="262"/>
        <v>0</v>
      </c>
      <c r="Z507" s="2442">
        <f t="shared" si="262"/>
        <v>3.8939913212683837E-6</v>
      </c>
      <c r="AA507" s="2442">
        <f t="shared" si="262"/>
        <v>0</v>
      </c>
      <c r="AB507" s="2442">
        <f t="shared" si="262"/>
        <v>0</v>
      </c>
      <c r="AC507" s="2442">
        <f t="shared" si="262"/>
        <v>0</v>
      </c>
      <c r="AD507" s="2442">
        <f t="shared" si="262"/>
        <v>0</v>
      </c>
      <c r="AE507" s="2442">
        <f t="shared" si="262"/>
        <v>0</v>
      </c>
      <c r="AF507" s="2442">
        <f t="shared" si="262"/>
        <v>0</v>
      </c>
      <c r="AG507" s="2442">
        <f t="shared" si="262"/>
        <v>0</v>
      </c>
      <c r="AH507" s="2442">
        <f t="shared" si="262"/>
        <v>0</v>
      </c>
      <c r="AI507" s="2442">
        <f t="shared" si="262"/>
        <v>0</v>
      </c>
      <c r="AJ507" s="2442">
        <f t="shared" si="262"/>
        <v>0</v>
      </c>
      <c r="AK507" s="2442">
        <f t="shared" si="262"/>
        <v>0</v>
      </c>
      <c r="AL507" s="2442">
        <f t="shared" si="262"/>
        <v>0</v>
      </c>
      <c r="AM507" s="2442">
        <f t="shared" si="262"/>
        <v>0</v>
      </c>
      <c r="AN507" s="2442">
        <f t="shared" si="262"/>
        <v>4.2802259267331558E-3</v>
      </c>
      <c r="AO507" s="2442">
        <f t="shared" si="262"/>
        <v>2.6166046704384456E-4</v>
      </c>
      <c r="AP507" s="2442">
        <f t="shared" si="262"/>
        <v>2.0351418396791893E-4</v>
      </c>
      <c r="AQ507" s="2442">
        <f t="shared" si="262"/>
        <v>3.1612101576912851E-4</v>
      </c>
      <c r="AR507" s="2442">
        <f t="shared" si="262"/>
        <v>6.7910901679347721E-4</v>
      </c>
      <c r="AS507" s="2442">
        <f t="shared" si="262"/>
        <v>6.0269780353988571E-3</v>
      </c>
      <c r="AT507" s="2442">
        <f t="shared" si="262"/>
        <v>1.8853641239056653E-3</v>
      </c>
      <c r="AU507" s="2442">
        <f t="shared" si="262"/>
        <v>1.9137140864019021E-3</v>
      </c>
      <c r="AV507" s="2442">
        <f t="shared" si="262"/>
        <v>0.34470842013542013</v>
      </c>
      <c r="AW507" s="2442">
        <f t="shared" si="262"/>
        <v>3.4782268736641045E-2</v>
      </c>
      <c r="AX507" s="2442">
        <f t="shared" si="262"/>
        <v>0.49761372080736321</v>
      </c>
      <c r="AY507" s="2442">
        <f t="shared" si="262"/>
        <v>0.50114804672451985</v>
      </c>
      <c r="AZ507" s="2442">
        <f t="shared" si="262"/>
        <v>5.0378034461673682</v>
      </c>
      <c r="BA507" s="2442">
        <f t="shared" si="262"/>
        <v>5.0828247251954508</v>
      </c>
      <c r="BB507" s="2442">
        <f t="shared" si="262"/>
        <v>4.9483114903756252E-2</v>
      </c>
      <c r="BC507" s="2442">
        <f t="shared" si="262"/>
        <v>0.50924283558941141</v>
      </c>
      <c r="BD507" s="2442">
        <f t="shared" si="262"/>
        <v>0</v>
      </c>
      <c r="BE507" s="2442">
        <f t="shared" si="262"/>
        <v>0.70587126866482597</v>
      </c>
      <c r="BF507" s="2442">
        <f t="shared" si="262"/>
        <v>0.35293563433241298</v>
      </c>
      <c r="BG507" s="2442">
        <f t="shared" si="262"/>
        <v>0</v>
      </c>
      <c r="BH507" s="2442">
        <f t="shared" si="262"/>
        <v>0</v>
      </c>
      <c r="BI507" s="2442">
        <f t="shared" si="262"/>
        <v>0</v>
      </c>
    </row>
    <row r="508" spans="1:61" s="2464" customFormat="1">
      <c r="A508" s="2461"/>
      <c r="B508" s="2462"/>
      <c r="C508" s="2492"/>
      <c r="D508" s="2493"/>
      <c r="E508" s="2517" t="s">
        <v>988</v>
      </c>
      <c r="F508" s="2466" t="s">
        <v>492</v>
      </c>
      <c r="G508" s="2467" t="s">
        <v>492</v>
      </c>
      <c r="H508" s="2442">
        <f t="shared" ref="H508:AL508" si="263">H465*H506</f>
        <v>9.2053099976247463E-5</v>
      </c>
      <c r="I508" s="2442">
        <f t="shared" si="263"/>
        <v>9.2053099976247463E-5</v>
      </c>
      <c r="J508" s="2442">
        <f>J465*J506</f>
        <v>1.0438392042806216E-5</v>
      </c>
      <c r="K508" s="2442">
        <f t="shared" si="263"/>
        <v>6.9113074015494718E-3</v>
      </c>
      <c r="L508" s="2442">
        <f t="shared" si="263"/>
        <v>6.4505535747795091E-3</v>
      </c>
      <c r="M508" s="2442">
        <f t="shared" si="263"/>
        <v>6.4505535747795091E-3</v>
      </c>
      <c r="N508" s="2442">
        <f>N465*N506</f>
        <v>1.9351660724338522E-3</v>
      </c>
      <c r="O508" s="2442">
        <f>O465*O506</f>
        <v>1.9351660724338522E-3</v>
      </c>
      <c r="P508" s="2442">
        <f t="shared" si="263"/>
        <v>1.1058091842479155E-2</v>
      </c>
      <c r="Q508" s="2442">
        <f t="shared" si="263"/>
        <v>1.1058091842479155E-2</v>
      </c>
      <c r="R508" s="2442">
        <f>R465*R506</f>
        <v>9.6758303621692621E-4</v>
      </c>
      <c r="S508" s="2442">
        <f>S465*S506</f>
        <v>6.1433843569328669E-3</v>
      </c>
      <c r="T508" s="2442">
        <f>T465*T506</f>
        <v>6.1433843569328669E-3</v>
      </c>
      <c r="U508" s="2442">
        <f t="shared" si="263"/>
        <v>1.0185084591757116E-2</v>
      </c>
      <c r="V508" s="2442">
        <f t="shared" si="263"/>
        <v>3.8703321448677053E-4</v>
      </c>
      <c r="W508" s="2442">
        <f t="shared" si="263"/>
        <v>3.8703321448677053E-4</v>
      </c>
      <c r="X508" s="2442">
        <f t="shared" si="263"/>
        <v>4.0315959842371921E-2</v>
      </c>
      <c r="Y508" s="2442">
        <f t="shared" si="263"/>
        <v>1.4885892864875785E-3</v>
      </c>
      <c r="Z508" s="2442">
        <f t="shared" si="263"/>
        <v>1.4605026961764923E-3</v>
      </c>
      <c r="AA508" s="2442">
        <f t="shared" si="263"/>
        <v>5.5290459212395783E-4</v>
      </c>
      <c r="AB508" s="2442">
        <f t="shared" si="263"/>
        <v>1.9351660724338526E-3</v>
      </c>
      <c r="AC508" s="2442">
        <f t="shared" si="263"/>
        <v>1.1005166471501982E-3</v>
      </c>
      <c r="AD508" s="2442">
        <f t="shared" si="263"/>
        <v>4.5488076328421904E-4</v>
      </c>
      <c r="AE508" s="2442">
        <f t="shared" si="263"/>
        <v>0</v>
      </c>
      <c r="AF508" s="2442">
        <f t="shared" si="263"/>
        <v>0</v>
      </c>
      <c r="AG508" s="2442">
        <f t="shared" si="263"/>
        <v>2.1034413830802744E-5</v>
      </c>
      <c r="AH508" s="2442">
        <f t="shared" si="263"/>
        <v>2.1034413830802744E-5</v>
      </c>
      <c r="AI508" s="2442">
        <f t="shared" si="263"/>
        <v>3.8703321448677047E-4</v>
      </c>
      <c r="AJ508" s="2442">
        <f t="shared" si="263"/>
        <v>3.8703321448677042E-4</v>
      </c>
      <c r="AK508" s="2442">
        <f t="shared" si="263"/>
        <v>3.0716861141142406E-4</v>
      </c>
      <c r="AL508" s="2442">
        <f t="shared" si="263"/>
        <v>0</v>
      </c>
      <c r="AM508" s="2442">
        <f t="shared" ref="AM508:BI508" si="264">AM465*AM506</f>
        <v>0</v>
      </c>
      <c r="AN508" s="2442">
        <f t="shared" si="264"/>
        <v>7.7436910543168484E-3</v>
      </c>
      <c r="AO508" s="2442">
        <f t="shared" si="264"/>
        <v>0</v>
      </c>
      <c r="AP508" s="2442">
        <f t="shared" si="264"/>
        <v>0</v>
      </c>
      <c r="AQ508" s="2442">
        <f t="shared" si="264"/>
        <v>0</v>
      </c>
      <c r="AR508" s="2442">
        <f t="shared" si="264"/>
        <v>0</v>
      </c>
      <c r="AS508" s="2442">
        <f t="shared" si="264"/>
        <v>0</v>
      </c>
      <c r="AT508" s="2442">
        <f t="shared" si="264"/>
        <v>0</v>
      </c>
      <c r="AU508" s="2442">
        <f t="shared" si="264"/>
        <v>0</v>
      </c>
      <c r="AV508" s="2442">
        <f t="shared" si="264"/>
        <v>0</v>
      </c>
      <c r="AW508" s="2442">
        <f t="shared" si="264"/>
        <v>0</v>
      </c>
      <c r="AX508" s="2442">
        <f t="shared" si="264"/>
        <v>0</v>
      </c>
      <c r="AY508" s="2442">
        <f t="shared" si="264"/>
        <v>0</v>
      </c>
      <c r="AZ508" s="2442">
        <f t="shared" si="264"/>
        <v>0</v>
      </c>
      <c r="BA508" s="2442">
        <f t="shared" si="264"/>
        <v>0</v>
      </c>
      <c r="BB508" s="2442">
        <f t="shared" si="264"/>
        <v>0</v>
      </c>
      <c r="BC508" s="2442">
        <f t="shared" si="264"/>
        <v>0</v>
      </c>
      <c r="BD508" s="2442">
        <f t="shared" si="264"/>
        <v>2.588153784935616E-4</v>
      </c>
      <c r="BE508" s="2442">
        <f t="shared" si="264"/>
        <v>3.3178686619068438E-4</v>
      </c>
      <c r="BF508" s="2442">
        <f t="shared" si="264"/>
        <v>1.6589343309534219E-4</v>
      </c>
      <c r="BG508" s="2442">
        <f t="shared" si="264"/>
        <v>5.8054982173015572</v>
      </c>
      <c r="BH508" s="2442">
        <f t="shared" si="264"/>
        <v>2.0162142731871887E-2</v>
      </c>
      <c r="BI508" s="2442">
        <f t="shared" si="264"/>
        <v>1.4476569346922413E-2</v>
      </c>
    </row>
    <row r="509" spans="1:61" s="2529" customFormat="1">
      <c r="A509" s="2527"/>
      <c r="B509" s="2528"/>
      <c r="C509" s="2492"/>
      <c r="D509" s="2493"/>
      <c r="E509" s="2518" t="s">
        <v>991</v>
      </c>
      <c r="F509" s="2468" t="s">
        <v>213</v>
      </c>
      <c r="G509" s="2469" t="s">
        <v>213</v>
      </c>
      <c r="H509" s="2470">
        <f t="shared" ref="H509:AL509" si="265">H465*H507</f>
        <v>0</v>
      </c>
      <c r="I509" s="2470">
        <f t="shared" si="265"/>
        <v>0</v>
      </c>
      <c r="J509" s="2470">
        <f>J465*J507</f>
        <v>0</v>
      </c>
      <c r="K509" s="2470">
        <f t="shared" si="265"/>
        <v>5.5290459212395778E-9</v>
      </c>
      <c r="L509" s="2470">
        <f t="shared" si="265"/>
        <v>0</v>
      </c>
      <c r="M509" s="2470">
        <f t="shared" si="265"/>
        <v>0</v>
      </c>
      <c r="N509" s="2470">
        <f>N465*N507</f>
        <v>1.1058091842479157E-8</v>
      </c>
      <c r="O509" s="2470">
        <f>O465*O507</f>
        <v>1.1058091842479157E-8</v>
      </c>
      <c r="P509" s="2470">
        <f t="shared" si="265"/>
        <v>3.2621370935313511E-8</v>
      </c>
      <c r="Q509" s="2470">
        <f t="shared" si="265"/>
        <v>3.2621370935313511E-8</v>
      </c>
      <c r="R509" s="2470">
        <f>R465*R507</f>
        <v>5.5290459212395786E-9</v>
      </c>
      <c r="S509" s="2470">
        <f>S465*S507</f>
        <v>1.2716805618851031E-7</v>
      </c>
      <c r="T509" s="2470">
        <f>T465*T507</f>
        <v>1.2716805618851031E-7</v>
      </c>
      <c r="U509" s="2470">
        <f t="shared" si="265"/>
        <v>2.3221992869206231E-7</v>
      </c>
      <c r="V509" s="2470">
        <f t="shared" si="265"/>
        <v>0</v>
      </c>
      <c r="W509" s="2470">
        <f t="shared" si="265"/>
        <v>0</v>
      </c>
      <c r="X509" s="2470">
        <f t="shared" si="265"/>
        <v>3.3174275527437472E-8</v>
      </c>
      <c r="Y509" s="2470">
        <f t="shared" si="265"/>
        <v>0</v>
      </c>
      <c r="Z509" s="2470">
        <f t="shared" si="265"/>
        <v>1.3822614803098947E-8</v>
      </c>
      <c r="AA509" s="2470">
        <f t="shared" si="265"/>
        <v>0</v>
      </c>
      <c r="AB509" s="2470">
        <f t="shared" si="265"/>
        <v>0</v>
      </c>
      <c r="AC509" s="2470">
        <f t="shared" si="265"/>
        <v>0</v>
      </c>
      <c r="AD509" s="2470">
        <f t="shared" si="265"/>
        <v>0</v>
      </c>
      <c r="AE509" s="2470">
        <f t="shared" si="265"/>
        <v>0</v>
      </c>
      <c r="AF509" s="2470">
        <f t="shared" si="265"/>
        <v>0</v>
      </c>
      <c r="AG509" s="2470">
        <f t="shared" si="265"/>
        <v>0</v>
      </c>
      <c r="AH509" s="2470">
        <f t="shared" si="265"/>
        <v>0</v>
      </c>
      <c r="AI509" s="2470">
        <f t="shared" si="265"/>
        <v>0</v>
      </c>
      <c r="AJ509" s="2470">
        <f t="shared" si="265"/>
        <v>0</v>
      </c>
      <c r="AK509" s="2470">
        <f t="shared" si="265"/>
        <v>0</v>
      </c>
      <c r="AL509" s="2470">
        <f t="shared" si="265"/>
        <v>0</v>
      </c>
      <c r="AM509" s="2470">
        <f t="shared" ref="AM509:BI509" si="266">AM465*AM507</f>
        <v>0</v>
      </c>
      <c r="AN509" s="2470">
        <f t="shared" si="266"/>
        <v>1.8295853497335007E-7</v>
      </c>
      <c r="AO509" s="2470">
        <f t="shared" si="266"/>
        <v>3.0547333272063489E-9</v>
      </c>
      <c r="AP509" s="2470">
        <f t="shared" si="266"/>
        <v>3.9747788902830166E-9</v>
      </c>
      <c r="AQ509" s="2470">
        <f t="shared" si="266"/>
        <v>2.4999662191909021E-9</v>
      </c>
      <c r="AR509" s="2470">
        <f t="shared" si="266"/>
        <v>1.0752788442332505E-9</v>
      </c>
      <c r="AS509" s="2470">
        <f t="shared" si="266"/>
        <v>1.2325822631983839E-8</v>
      </c>
      <c r="AT509" s="2470">
        <f t="shared" si="266"/>
        <v>2.8145415565043812E-10</v>
      </c>
      <c r="AU509" s="2470">
        <f t="shared" si="266"/>
        <v>2.7483350963045607E-10</v>
      </c>
      <c r="AV509" s="2470">
        <f t="shared" si="266"/>
        <v>7.8976905030248634E-9</v>
      </c>
      <c r="AW509" s="2470">
        <f t="shared" si="266"/>
        <v>7.6788305760540262E-10</v>
      </c>
      <c r="AX509" s="2470">
        <f t="shared" si="266"/>
        <v>3.866781800051747E-10</v>
      </c>
      <c r="AY509" s="2470">
        <f t="shared" si="266"/>
        <v>2.6726056897251142E-10</v>
      </c>
      <c r="AZ509" s="2470">
        <f t="shared" si="266"/>
        <v>1.7940931862142407E-9</v>
      </c>
      <c r="BA509" s="2470">
        <f t="shared" si="266"/>
        <v>3.126273252348034E-10</v>
      </c>
      <c r="BB509" s="2470">
        <f t="shared" si="266"/>
        <v>4.8189576669655844E-11</v>
      </c>
      <c r="BC509" s="2470">
        <f t="shared" si="266"/>
        <v>1.3174462627104792E-16</v>
      </c>
      <c r="BD509" s="2470">
        <f t="shared" si="266"/>
        <v>0</v>
      </c>
      <c r="BE509" s="2470">
        <f t="shared" si="266"/>
        <v>1.4655772792022868E-8</v>
      </c>
      <c r="BF509" s="2470">
        <f t="shared" si="266"/>
        <v>7.327886396011434E-9</v>
      </c>
      <c r="BG509" s="2470">
        <f t="shared" si="266"/>
        <v>0</v>
      </c>
      <c r="BH509" s="2470">
        <f t="shared" si="266"/>
        <v>0</v>
      </c>
      <c r="BI509" s="2470">
        <f t="shared" si="266"/>
        <v>0</v>
      </c>
    </row>
    <row r="510" spans="1:61" s="26" customFormat="1">
      <c r="A510" s="398"/>
      <c r="B510" s="27"/>
      <c r="C510" s="2453"/>
      <c r="D510" s="2454"/>
      <c r="E510" s="103"/>
      <c r="F510" s="14"/>
      <c r="G510" s="105"/>
      <c r="H510" s="113"/>
      <c r="I510" s="113"/>
      <c r="J510" s="113"/>
      <c r="K510" s="113"/>
      <c r="L510" s="113"/>
      <c r="M510" s="113"/>
      <c r="N510" s="113"/>
      <c r="O510" s="113"/>
      <c r="P510" s="113"/>
      <c r="Q510" s="113"/>
      <c r="R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c r="AM510" s="113"/>
      <c r="AN510" s="113"/>
      <c r="AO510" s="113"/>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row>
    <row r="511" spans="1:61" s="2443" customFormat="1">
      <c r="A511" s="2438"/>
      <c r="B511" s="2439"/>
      <c r="C511" s="4106" t="s">
        <v>586</v>
      </c>
      <c r="D511" s="4107"/>
      <c r="E511" s="2517" t="s">
        <v>988</v>
      </c>
      <c r="F511" s="2466" t="s">
        <v>492</v>
      </c>
      <c r="G511" s="2467" t="s">
        <v>492</v>
      </c>
      <c r="H511" s="2442">
        <f>MAX(H500,H508)</f>
        <v>9.2053099976247463E-5</v>
      </c>
      <c r="I511" s="2442">
        <f t="shared" ref="I511:BI511" si="267">MAX(I500,I508)</f>
        <v>9.2053099976247463E-5</v>
      </c>
      <c r="J511" s="2442">
        <f>MAX(J500,J508)</f>
        <v>1.0438392042806216E-5</v>
      </c>
      <c r="K511" s="2442">
        <f t="shared" si="267"/>
        <v>6.9113074015494718E-3</v>
      </c>
      <c r="L511" s="2442">
        <f t="shared" si="267"/>
        <v>6.4505535747795091E-3</v>
      </c>
      <c r="M511" s="2442">
        <f t="shared" si="267"/>
        <v>6.4505535747795091E-3</v>
      </c>
      <c r="N511" s="2442">
        <f>MAX(N500,N508)</f>
        <v>1.9351660724338522E-3</v>
      </c>
      <c r="O511" s="2442">
        <f>MAX(O500,O508)</f>
        <v>1.9351660724338522E-3</v>
      </c>
      <c r="P511" s="2442">
        <f t="shared" si="267"/>
        <v>1.1058091842479155E-2</v>
      </c>
      <c r="Q511" s="2442">
        <f t="shared" si="267"/>
        <v>1.1058091842479155E-2</v>
      </c>
      <c r="R511" s="2442">
        <f>MAX(R500,R508)</f>
        <v>9.6758303621692621E-4</v>
      </c>
      <c r="S511" s="2442">
        <f>MAX(S500,S508)</f>
        <v>6.1433843569328669E-3</v>
      </c>
      <c r="T511" s="2442">
        <f>MAX(T500,T508)</f>
        <v>6.1433843569328669E-3</v>
      </c>
      <c r="U511" s="2442">
        <f t="shared" si="267"/>
        <v>1.0185084591757116E-2</v>
      </c>
      <c r="V511" s="2442">
        <f t="shared" si="267"/>
        <v>3.8703321448677053E-4</v>
      </c>
      <c r="W511" s="2442">
        <f t="shared" si="267"/>
        <v>3.8703321448677053E-4</v>
      </c>
      <c r="X511" s="2442">
        <f t="shared" si="267"/>
        <v>4.0315959842371921E-2</v>
      </c>
      <c r="Y511" s="2442">
        <f t="shared" si="267"/>
        <v>1.4885892864875785E-3</v>
      </c>
      <c r="Z511" s="2442">
        <f t="shared" si="267"/>
        <v>1.4605026961764923E-3</v>
      </c>
      <c r="AA511" s="2442">
        <f t="shared" si="267"/>
        <v>5.5290459212395783E-4</v>
      </c>
      <c r="AB511" s="2442">
        <f t="shared" si="267"/>
        <v>1.9351660724338526E-3</v>
      </c>
      <c r="AC511" s="2442">
        <f t="shared" si="267"/>
        <v>1.1005166471501982E-3</v>
      </c>
      <c r="AD511" s="2442">
        <f t="shared" si="267"/>
        <v>4.5488076328421904E-4</v>
      </c>
      <c r="AE511" s="2442">
        <f t="shared" si="267"/>
        <v>0</v>
      </c>
      <c r="AF511" s="2442">
        <f t="shared" si="267"/>
        <v>0</v>
      </c>
      <c r="AG511" s="2442">
        <f t="shared" si="267"/>
        <v>2.1034413830802744E-5</v>
      </c>
      <c r="AH511" s="2442">
        <f t="shared" si="267"/>
        <v>2.1034413830802744E-5</v>
      </c>
      <c r="AI511" s="2442">
        <f t="shared" si="267"/>
        <v>3.8703321448677047E-4</v>
      </c>
      <c r="AJ511" s="2442">
        <f t="shared" si="267"/>
        <v>3.8703321448677042E-4</v>
      </c>
      <c r="AK511" s="2442">
        <f t="shared" si="267"/>
        <v>3.0716861141142406E-4</v>
      </c>
      <c r="AL511" s="2442">
        <f t="shared" si="267"/>
        <v>0</v>
      </c>
      <c r="AM511" s="2442">
        <f t="shared" si="267"/>
        <v>0</v>
      </c>
      <c r="AN511" s="2442">
        <f t="shared" si="267"/>
        <v>7.7436910543168484E-3</v>
      </c>
      <c r="AO511" s="2442">
        <f t="shared" si="267"/>
        <v>0</v>
      </c>
      <c r="AP511" s="2442">
        <f t="shared" si="267"/>
        <v>0</v>
      </c>
      <c r="AQ511" s="2442">
        <f t="shared" si="267"/>
        <v>0</v>
      </c>
      <c r="AR511" s="2442">
        <f t="shared" si="267"/>
        <v>0</v>
      </c>
      <c r="AS511" s="2442">
        <f t="shared" si="267"/>
        <v>0</v>
      </c>
      <c r="AT511" s="2442">
        <f t="shared" si="267"/>
        <v>0</v>
      </c>
      <c r="AU511" s="2442">
        <f t="shared" si="267"/>
        <v>0</v>
      </c>
      <c r="AV511" s="2442">
        <f t="shared" si="267"/>
        <v>0</v>
      </c>
      <c r="AW511" s="2442">
        <f t="shared" si="267"/>
        <v>0</v>
      </c>
      <c r="AX511" s="2442">
        <f t="shared" si="267"/>
        <v>0</v>
      </c>
      <c r="AY511" s="2442">
        <f t="shared" si="267"/>
        <v>0</v>
      </c>
      <c r="AZ511" s="2442">
        <f t="shared" si="267"/>
        <v>0</v>
      </c>
      <c r="BA511" s="2442">
        <f t="shared" si="267"/>
        <v>0</v>
      </c>
      <c r="BB511" s="2442">
        <f t="shared" si="267"/>
        <v>0</v>
      </c>
      <c r="BC511" s="2442">
        <f t="shared" si="267"/>
        <v>0</v>
      </c>
      <c r="BD511" s="2442">
        <f t="shared" si="267"/>
        <v>2.588153784935616E-4</v>
      </c>
      <c r="BE511" s="2442">
        <f t="shared" si="267"/>
        <v>3.3178686619068438E-4</v>
      </c>
      <c r="BF511" s="2442">
        <f t="shared" si="267"/>
        <v>1.6589343309534219E-4</v>
      </c>
      <c r="BG511" s="2442">
        <f t="shared" si="267"/>
        <v>5.8054982173015572</v>
      </c>
      <c r="BH511" s="2442">
        <f t="shared" si="267"/>
        <v>2.0162142731871887E-2</v>
      </c>
      <c r="BI511" s="2442">
        <f t="shared" si="267"/>
        <v>1.4476569346922413E-2</v>
      </c>
    </row>
    <row r="512" spans="1:61" s="2483" customFormat="1">
      <c r="A512" s="2478"/>
      <c r="B512" s="2479"/>
      <c r="C512" s="4106"/>
      <c r="D512" s="4107"/>
      <c r="E512" s="2521" t="s">
        <v>991</v>
      </c>
      <c r="F512" s="2480" t="s">
        <v>213</v>
      </c>
      <c r="G512" s="2481" t="s">
        <v>213</v>
      </c>
      <c r="H512" s="2482">
        <f>H501+H509</f>
        <v>0</v>
      </c>
      <c r="I512" s="2482">
        <f t="shared" ref="I512:BI512" si="268">I501+I509</f>
        <v>0</v>
      </c>
      <c r="J512" s="2482">
        <f>J501+J509</f>
        <v>0</v>
      </c>
      <c r="K512" s="2482">
        <f t="shared" si="268"/>
        <v>5.5290459212395778E-9</v>
      </c>
      <c r="L512" s="2482">
        <f t="shared" si="268"/>
        <v>0</v>
      </c>
      <c r="M512" s="2482">
        <f t="shared" si="268"/>
        <v>0</v>
      </c>
      <c r="N512" s="2482">
        <f>N501+N509</f>
        <v>1.1058091842479157E-8</v>
      </c>
      <c r="O512" s="2482">
        <f>O501+O509</f>
        <v>1.1058091842479157E-8</v>
      </c>
      <c r="P512" s="2482">
        <f t="shared" si="268"/>
        <v>3.2621370935313511E-8</v>
      </c>
      <c r="Q512" s="2482">
        <f t="shared" si="268"/>
        <v>3.2621370935313511E-8</v>
      </c>
      <c r="R512" s="2482">
        <f>R501+R509</f>
        <v>5.5290459212395786E-9</v>
      </c>
      <c r="S512" s="2482">
        <f>S501+S509</f>
        <v>1.2716805618851031E-7</v>
      </c>
      <c r="T512" s="2482">
        <f>T501+T509</f>
        <v>1.2716805618851031E-7</v>
      </c>
      <c r="U512" s="2482">
        <f t="shared" si="268"/>
        <v>2.3221992869206231E-7</v>
      </c>
      <c r="V512" s="2482">
        <f t="shared" si="268"/>
        <v>0</v>
      </c>
      <c r="W512" s="2482">
        <f t="shared" si="268"/>
        <v>0</v>
      </c>
      <c r="X512" s="2482">
        <f t="shared" si="268"/>
        <v>3.3174275527437472E-8</v>
      </c>
      <c r="Y512" s="2482">
        <f t="shared" si="268"/>
        <v>0</v>
      </c>
      <c r="Z512" s="2482">
        <f t="shared" si="268"/>
        <v>1.3822614803098947E-8</v>
      </c>
      <c r="AA512" s="2482">
        <f t="shared" si="268"/>
        <v>0</v>
      </c>
      <c r="AB512" s="2482">
        <f t="shared" si="268"/>
        <v>0</v>
      </c>
      <c r="AC512" s="2482">
        <f t="shared" si="268"/>
        <v>0</v>
      </c>
      <c r="AD512" s="2482">
        <f t="shared" si="268"/>
        <v>0</v>
      </c>
      <c r="AE512" s="2482">
        <f t="shared" si="268"/>
        <v>0</v>
      </c>
      <c r="AF512" s="2482">
        <f t="shared" si="268"/>
        <v>0</v>
      </c>
      <c r="AG512" s="2482">
        <f t="shared" si="268"/>
        <v>0</v>
      </c>
      <c r="AH512" s="2482">
        <f t="shared" si="268"/>
        <v>0</v>
      </c>
      <c r="AI512" s="2482">
        <f t="shared" si="268"/>
        <v>0</v>
      </c>
      <c r="AJ512" s="2482">
        <f t="shared" si="268"/>
        <v>0</v>
      </c>
      <c r="AK512" s="2482">
        <f t="shared" si="268"/>
        <v>0</v>
      </c>
      <c r="AL512" s="2482">
        <f t="shared" si="268"/>
        <v>0</v>
      </c>
      <c r="AM512" s="2482">
        <f t="shared" si="268"/>
        <v>0</v>
      </c>
      <c r="AN512" s="2482">
        <f t="shared" si="268"/>
        <v>1.8295853497335007E-7</v>
      </c>
      <c r="AO512" s="2482">
        <f t="shared" si="268"/>
        <v>3.0547333272063489E-9</v>
      </c>
      <c r="AP512" s="2482">
        <f t="shared" si="268"/>
        <v>3.9747788902830166E-9</v>
      </c>
      <c r="AQ512" s="2482">
        <f t="shared" si="268"/>
        <v>2.4999662191909021E-9</v>
      </c>
      <c r="AR512" s="2482">
        <f t="shared" si="268"/>
        <v>1.0752788442332505E-9</v>
      </c>
      <c r="AS512" s="2482">
        <f t="shared" si="268"/>
        <v>1.2325822631983839E-8</v>
      </c>
      <c r="AT512" s="2482">
        <f t="shared" si="268"/>
        <v>2.8145415565043812E-10</v>
      </c>
      <c r="AU512" s="2482">
        <f t="shared" si="268"/>
        <v>2.7483350963045607E-10</v>
      </c>
      <c r="AV512" s="2482">
        <f t="shared" si="268"/>
        <v>7.8976905030248634E-9</v>
      </c>
      <c r="AW512" s="2482">
        <f t="shared" si="268"/>
        <v>7.6788305760540262E-10</v>
      </c>
      <c r="AX512" s="2482">
        <f t="shared" si="268"/>
        <v>3.866781800051747E-10</v>
      </c>
      <c r="AY512" s="2482">
        <f t="shared" si="268"/>
        <v>2.6726056897251142E-10</v>
      </c>
      <c r="AZ512" s="2482">
        <f t="shared" si="268"/>
        <v>1.7940931862142407E-9</v>
      </c>
      <c r="BA512" s="2482">
        <f t="shared" si="268"/>
        <v>3.126273252348034E-10</v>
      </c>
      <c r="BB512" s="2482">
        <f t="shared" si="268"/>
        <v>4.8189576669655844E-11</v>
      </c>
      <c r="BC512" s="2482">
        <f t="shared" si="268"/>
        <v>1.3174462627104792E-16</v>
      </c>
      <c r="BD512" s="2482">
        <f t="shared" si="268"/>
        <v>0</v>
      </c>
      <c r="BE512" s="2482">
        <f t="shared" si="268"/>
        <v>1.4655772792022868E-8</v>
      </c>
      <c r="BF512" s="2482">
        <f t="shared" si="268"/>
        <v>7.327886396011434E-9</v>
      </c>
      <c r="BG512" s="2482">
        <f t="shared" si="268"/>
        <v>0</v>
      </c>
      <c r="BH512" s="2482">
        <f t="shared" si="268"/>
        <v>0</v>
      </c>
      <c r="BI512" s="2482">
        <f t="shared" si="268"/>
        <v>0</v>
      </c>
    </row>
    <row r="513" spans="1:61" s="26" customFormat="1">
      <c r="A513" s="398"/>
      <c r="B513" s="27"/>
      <c r="C513" s="2453"/>
      <c r="D513" s="2454"/>
      <c r="E513" s="103"/>
      <c r="F513" s="14"/>
      <c r="G513" s="105"/>
      <c r="H513" s="113"/>
      <c r="I513" s="113"/>
      <c r="J513" s="113"/>
      <c r="K513" s="113"/>
      <c r="L513" s="113"/>
      <c r="M513" s="113"/>
      <c r="N513" s="113"/>
      <c r="O513" s="113"/>
      <c r="P513" s="113"/>
      <c r="Q513" s="113"/>
      <c r="R513" s="113"/>
      <c r="S513" s="113"/>
      <c r="T513" s="113"/>
      <c r="U513" s="113"/>
      <c r="V513" s="113"/>
      <c r="W513" s="113"/>
      <c r="X513" s="113"/>
      <c r="Y513" s="113"/>
      <c r="Z513" s="113"/>
      <c r="AA513" s="113"/>
      <c r="AB513" s="113"/>
      <c r="AC513" s="113"/>
      <c r="AD513" s="113"/>
      <c r="AE513" s="113"/>
      <c r="AF513" s="113"/>
      <c r="AG513" s="113"/>
      <c r="AH513" s="113"/>
      <c r="AI513" s="113"/>
      <c r="AJ513" s="113"/>
      <c r="AK513" s="113"/>
      <c r="AL513" s="113"/>
      <c r="AM513" s="113"/>
      <c r="AN513" s="113"/>
      <c r="AO513" s="113"/>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row>
    <row r="514" spans="1:61" s="26" customFormat="1">
      <c r="A514" s="398"/>
      <c r="B514" s="27"/>
      <c r="C514" s="2453"/>
      <c r="D514" s="2454"/>
      <c r="E514" s="103" t="s">
        <v>989</v>
      </c>
      <c r="F514" s="14" t="str">
        <f>F$18</f>
        <v>Cs</v>
      </c>
      <c r="G514" s="105" t="str">
        <f>G$18</f>
        <v>mg/kg ms</v>
      </c>
      <c r="H514" s="56">
        <f t="shared" ref="H514:AM514" si="269">IF(H511=0,"PVL",H$15/MAX(H498,H506)/H$20)</f>
        <v>21.726590419182642</v>
      </c>
      <c r="I514" s="56">
        <f t="shared" si="269"/>
        <v>21.726590419182642</v>
      </c>
      <c r="J514" s="56">
        <f t="shared" si="269"/>
        <v>191.60039130531911</v>
      </c>
      <c r="K514" s="56">
        <f t="shared" si="269"/>
        <v>0.28938084848484852</v>
      </c>
      <c r="L514" s="56">
        <f t="shared" si="269"/>
        <v>0.3100509090909091</v>
      </c>
      <c r="M514" s="56">
        <f t="shared" si="269"/>
        <v>0.3100509090909091</v>
      </c>
      <c r="N514" s="56">
        <f t="shared" si="269"/>
        <v>1.0335030303030306</v>
      </c>
      <c r="O514" s="56">
        <f t="shared" si="269"/>
        <v>1.0335030303030306</v>
      </c>
      <c r="P514" s="56">
        <f t="shared" si="269"/>
        <v>0.18086303030303036</v>
      </c>
      <c r="Q514" s="56">
        <f t="shared" si="269"/>
        <v>0.18086303030303036</v>
      </c>
      <c r="R514" s="56">
        <f t="shared" si="269"/>
        <v>2.0670060606060612</v>
      </c>
      <c r="S514" s="56">
        <f t="shared" si="269"/>
        <v>0.32555345454545448</v>
      </c>
      <c r="T514" s="56">
        <f t="shared" si="269"/>
        <v>0.32555345454545448</v>
      </c>
      <c r="U514" s="56">
        <f t="shared" si="269"/>
        <v>0.19636557575757582</v>
      </c>
      <c r="V514" s="56">
        <f t="shared" si="269"/>
        <v>5.1675151515151523</v>
      </c>
      <c r="W514" s="56">
        <f t="shared" si="269"/>
        <v>5.1675151515151523</v>
      </c>
      <c r="X514" s="56">
        <f t="shared" si="269"/>
        <v>4.960814545454547E-2</v>
      </c>
      <c r="Y514" s="56">
        <f t="shared" si="269"/>
        <v>1.3435539393939397</v>
      </c>
      <c r="Z514" s="56">
        <f t="shared" si="269"/>
        <v>1.3693915151515152</v>
      </c>
      <c r="AA514" s="56">
        <f t="shared" si="269"/>
        <v>3.6172606060606061</v>
      </c>
      <c r="AB514" s="56">
        <f t="shared" si="269"/>
        <v>1.0335030303030304</v>
      </c>
      <c r="AC514" s="56">
        <f t="shared" si="269"/>
        <v>1.8173282568501126</v>
      </c>
      <c r="AD514" s="56">
        <f t="shared" si="269"/>
        <v>4.3967566039946124</v>
      </c>
      <c r="AE514" s="56" t="str">
        <f t="shared" si="269"/>
        <v>PVL</v>
      </c>
      <c r="AF514" s="56" t="str">
        <f t="shared" si="269"/>
        <v>PVL</v>
      </c>
      <c r="AG514" s="56">
        <f t="shared" si="269"/>
        <v>95.082278787878806</v>
      </c>
      <c r="AH514" s="56">
        <f t="shared" si="269"/>
        <v>95.082278787878792</v>
      </c>
      <c r="AI514" s="56">
        <f t="shared" si="269"/>
        <v>5.1675151515151514</v>
      </c>
      <c r="AJ514" s="56">
        <f t="shared" si="269"/>
        <v>5.1675151515151523</v>
      </c>
      <c r="AK514" s="56">
        <f t="shared" si="269"/>
        <v>6.5110819455480886</v>
      </c>
      <c r="AL514" s="56" t="str">
        <f t="shared" si="269"/>
        <v>PVL</v>
      </c>
      <c r="AM514" s="56" t="str">
        <f t="shared" si="269"/>
        <v>PVL</v>
      </c>
      <c r="AN514" s="56">
        <f t="shared" ref="AN514:BI514" si="270">IF(AN511=0,"PVL",AN$15/MAX(AN498,AN506)/AN$20)</f>
        <v>0.2582747666418157</v>
      </c>
      <c r="AO514" s="56" t="str">
        <f t="shared" si="270"/>
        <v>PVL</v>
      </c>
      <c r="AP514" s="56" t="str">
        <f t="shared" si="270"/>
        <v>PVL</v>
      </c>
      <c r="AQ514" s="56" t="str">
        <f t="shared" si="270"/>
        <v>PVL</v>
      </c>
      <c r="AR514" s="56" t="str">
        <f t="shared" si="270"/>
        <v>PVL</v>
      </c>
      <c r="AS514" s="56" t="str">
        <f t="shared" si="270"/>
        <v>PVL</v>
      </c>
      <c r="AT514" s="56" t="str">
        <f t="shared" si="270"/>
        <v>PVL</v>
      </c>
      <c r="AU514" s="56" t="str">
        <f t="shared" si="270"/>
        <v>PVL</v>
      </c>
      <c r="AV514" s="56" t="str">
        <f t="shared" si="270"/>
        <v>PVL</v>
      </c>
      <c r="AW514" s="56" t="str">
        <f t="shared" si="270"/>
        <v>PVL</v>
      </c>
      <c r="AX514" s="56" t="str">
        <f t="shared" si="270"/>
        <v>PVL</v>
      </c>
      <c r="AY514" s="56" t="str">
        <f t="shared" si="270"/>
        <v>PVL</v>
      </c>
      <c r="AZ514" s="56" t="str">
        <f t="shared" si="270"/>
        <v>PVL</v>
      </c>
      <c r="BA514" s="56" t="str">
        <f t="shared" si="270"/>
        <v>PVL</v>
      </c>
      <c r="BB514" s="56" t="str">
        <f t="shared" si="270"/>
        <v>PVL</v>
      </c>
      <c r="BC514" s="56" t="str">
        <f t="shared" si="270"/>
        <v>PVL</v>
      </c>
      <c r="BD514" s="56">
        <f t="shared" si="270"/>
        <v>7.7275160836308379</v>
      </c>
      <c r="BE514" s="56">
        <f t="shared" si="270"/>
        <v>6.0279661547861298</v>
      </c>
      <c r="BF514" s="56">
        <f t="shared" si="270"/>
        <v>12.05593230957226</v>
      </c>
      <c r="BG514" s="56">
        <f t="shared" si="270"/>
        <v>1.5502545454545454E-4</v>
      </c>
      <c r="BH514" s="56">
        <f t="shared" si="270"/>
        <v>9.9195806050834195E-2</v>
      </c>
      <c r="BI514" s="56">
        <f t="shared" si="270"/>
        <v>0.13815427896424801</v>
      </c>
    </row>
    <row r="515" spans="1:61" s="26" customFormat="1">
      <c r="A515" s="398"/>
      <c r="B515" s="27"/>
      <c r="C515" s="2453"/>
      <c r="D515" s="2454"/>
      <c r="E515" s="103" t="s">
        <v>992</v>
      </c>
      <c r="F515" s="14" t="str">
        <f>F514</f>
        <v>Cs</v>
      </c>
      <c r="G515" s="105" t="str">
        <f>G514</f>
        <v>mg/kg ms</v>
      </c>
      <c r="H515" s="56" t="str">
        <f t="shared" ref="H515:AM515" si="271">IF(H512=0,"PVL",H$16/(H499+H507)/H$20)</f>
        <v>PVL</v>
      </c>
      <c r="I515" s="56" t="str">
        <f t="shared" si="271"/>
        <v>PVL</v>
      </c>
      <c r="J515" s="56" t="str">
        <f t="shared" si="271"/>
        <v>PVL</v>
      </c>
      <c r="K515" s="56">
        <f t="shared" si="271"/>
        <v>1.8086303030303033</v>
      </c>
      <c r="L515" s="56" t="str">
        <f t="shared" si="271"/>
        <v>PVL</v>
      </c>
      <c r="M515" s="56" t="str">
        <f t="shared" si="271"/>
        <v>PVL</v>
      </c>
      <c r="N515" s="56">
        <f t="shared" si="271"/>
        <v>0.90431515151515141</v>
      </c>
      <c r="O515" s="56">
        <f t="shared" si="271"/>
        <v>0.90431515151515141</v>
      </c>
      <c r="P515" s="56">
        <f t="shared" si="271"/>
        <v>0.30654750898818695</v>
      </c>
      <c r="Q515" s="56">
        <f t="shared" si="271"/>
        <v>0.30654750898818695</v>
      </c>
      <c r="R515" s="56">
        <f t="shared" si="271"/>
        <v>1.8086303030303033</v>
      </c>
      <c r="S515" s="56">
        <f t="shared" si="271"/>
        <v>7.863610013175229E-2</v>
      </c>
      <c r="T515" s="56">
        <f t="shared" si="271"/>
        <v>7.863610013175229E-2</v>
      </c>
      <c r="U515" s="56">
        <f t="shared" si="271"/>
        <v>4.3062626262626261E-2</v>
      </c>
      <c r="V515" s="56" t="str">
        <f t="shared" si="271"/>
        <v>PVL</v>
      </c>
      <c r="W515" s="56" t="str">
        <f t="shared" si="271"/>
        <v>PVL</v>
      </c>
      <c r="X515" s="56">
        <f t="shared" si="271"/>
        <v>0.30143838383838378</v>
      </c>
      <c r="Y515" s="56" t="str">
        <f t="shared" si="271"/>
        <v>PVL</v>
      </c>
      <c r="Z515" s="56">
        <f t="shared" si="271"/>
        <v>0.72345212121212132</v>
      </c>
      <c r="AA515" s="56" t="str">
        <f t="shared" si="271"/>
        <v>PVL</v>
      </c>
      <c r="AB515" s="56" t="str">
        <f t="shared" si="271"/>
        <v>PVL</v>
      </c>
      <c r="AC515" s="56" t="str">
        <f t="shared" si="271"/>
        <v>PVL</v>
      </c>
      <c r="AD515" s="56" t="str">
        <f t="shared" si="271"/>
        <v>PVL</v>
      </c>
      <c r="AE515" s="56" t="str">
        <f t="shared" si="271"/>
        <v>PVL</v>
      </c>
      <c r="AF515" s="56" t="str">
        <f t="shared" si="271"/>
        <v>PVL</v>
      </c>
      <c r="AG515" s="56" t="str">
        <f t="shared" si="271"/>
        <v>PVL</v>
      </c>
      <c r="AH515" s="56" t="str">
        <f t="shared" si="271"/>
        <v>PVL</v>
      </c>
      <c r="AI515" s="56" t="str">
        <f t="shared" si="271"/>
        <v>PVL</v>
      </c>
      <c r="AJ515" s="56" t="str">
        <f t="shared" si="271"/>
        <v>PVL</v>
      </c>
      <c r="AK515" s="56" t="str">
        <f t="shared" si="271"/>
        <v>PVL</v>
      </c>
      <c r="AL515" s="56" t="str">
        <f t="shared" si="271"/>
        <v>PVL</v>
      </c>
      <c r="AM515" s="56" t="str">
        <f t="shared" si="271"/>
        <v>PVL</v>
      </c>
      <c r="AN515" s="56">
        <f t="shared" ref="AN515:BI515" si="272">IF(AN512=0,"PVL",AN$16/(AN499+AN507)/AN$20)</f>
        <v>5.4657193234831106E-2</v>
      </c>
      <c r="AO515" s="56">
        <f t="shared" si="272"/>
        <v>3.2736081774919841</v>
      </c>
      <c r="AP515" s="56">
        <f t="shared" si="272"/>
        <v>2.5158632155480651</v>
      </c>
      <c r="AQ515" s="56">
        <f t="shared" si="272"/>
        <v>4.0000540500248984</v>
      </c>
      <c r="AR515" s="56">
        <f t="shared" si="272"/>
        <v>9.299913277035321</v>
      </c>
      <c r="AS515" s="56">
        <f t="shared" si="272"/>
        <v>0.81130487583452282</v>
      </c>
      <c r="AT515" s="56">
        <f t="shared" si="272"/>
        <v>35.52976496968072</v>
      </c>
      <c r="AU515" s="56">
        <f t="shared" si="272"/>
        <v>36.385664955652977</v>
      </c>
      <c r="AV515" s="56">
        <f t="shared" si="272"/>
        <v>1.2661929454148575</v>
      </c>
      <c r="AW515" s="56">
        <f t="shared" si="272"/>
        <v>13.022816301201384</v>
      </c>
      <c r="AX515" s="56">
        <f t="shared" si="272"/>
        <v>25.861298922701501</v>
      </c>
      <c r="AY515" s="56">
        <f t="shared" si="272"/>
        <v>37.416668079564445</v>
      </c>
      <c r="AZ515" s="56">
        <f t="shared" si="272"/>
        <v>5.5738464851434175</v>
      </c>
      <c r="BA515" s="56">
        <f t="shared" si="272"/>
        <v>31.986967206047492</v>
      </c>
      <c r="BB515" s="56">
        <f t="shared" si="272"/>
        <v>207.51375486344185</v>
      </c>
      <c r="BC515" s="56">
        <f t="shared" si="272"/>
        <v>75904424.211020678</v>
      </c>
      <c r="BD515" s="56" t="str">
        <f t="shared" si="272"/>
        <v>PVL</v>
      </c>
      <c r="BE515" s="56">
        <f t="shared" si="272"/>
        <v>0.68232498837884525</v>
      </c>
      <c r="BF515" s="56">
        <f t="shared" si="272"/>
        <v>1.3646499767576905</v>
      </c>
      <c r="BG515" s="56" t="str">
        <f t="shared" si="272"/>
        <v>PVL</v>
      </c>
      <c r="BH515" s="56" t="str">
        <f t="shared" si="272"/>
        <v>PVL</v>
      </c>
      <c r="BI515" s="56" t="str">
        <f t="shared" si="272"/>
        <v>PVL</v>
      </c>
    </row>
    <row r="516" spans="1:61" s="513" customFormat="1">
      <c r="A516" s="2513"/>
      <c r="B516" s="510"/>
      <c r="C516" s="2453"/>
      <c r="D516" s="2454"/>
      <c r="E516" s="352" t="s">
        <v>493</v>
      </c>
      <c r="F516" s="63" t="str">
        <f>F515</f>
        <v>Cs</v>
      </c>
      <c r="G516" s="515" t="str">
        <f>G515</f>
        <v>mg/kg ms</v>
      </c>
      <c r="H516" s="237">
        <f t="shared" ref="H516:AL516" si="273">IF(MIN(H514:H515)&gt;0,MIN(H514:H515),H514)</f>
        <v>21.726590419182642</v>
      </c>
      <c r="I516" s="237">
        <f t="shared" si="273"/>
        <v>21.726590419182642</v>
      </c>
      <c r="J516" s="237">
        <f>IF(MIN(J514:J515)&gt;0,MIN(J514:J515),J514)</f>
        <v>191.60039130531911</v>
      </c>
      <c r="K516" s="237">
        <f t="shared" si="273"/>
        <v>0.28938084848484852</v>
      </c>
      <c r="L516" s="237">
        <f t="shared" si="273"/>
        <v>0.3100509090909091</v>
      </c>
      <c r="M516" s="237">
        <f t="shared" si="273"/>
        <v>0.3100509090909091</v>
      </c>
      <c r="N516" s="237">
        <f>IF(MIN(N514:N515)&gt;0,MIN(N514:N515),N514)</f>
        <v>0.90431515151515141</v>
      </c>
      <c r="O516" s="237">
        <f>IF(MIN(O514:O515)&gt;0,MIN(O514:O515),O514)</f>
        <v>0.90431515151515141</v>
      </c>
      <c r="P516" s="237">
        <f t="shared" si="273"/>
        <v>0.18086303030303036</v>
      </c>
      <c r="Q516" s="237">
        <f t="shared" si="273"/>
        <v>0.18086303030303036</v>
      </c>
      <c r="R516" s="237">
        <f>IF(MIN(R514:R515)&gt;0,MIN(R514:R515),R514)</f>
        <v>1.8086303030303033</v>
      </c>
      <c r="S516" s="237">
        <f>IF(MIN(S514:S515)&gt;0,MIN(S514:S515),S514)</f>
        <v>7.863610013175229E-2</v>
      </c>
      <c r="T516" s="237">
        <f>IF(MIN(T514:T515)&gt;0,MIN(T514:T515),T514)</f>
        <v>7.863610013175229E-2</v>
      </c>
      <c r="U516" s="237">
        <f t="shared" si="273"/>
        <v>4.3062626262626261E-2</v>
      </c>
      <c r="V516" s="237">
        <f t="shared" si="273"/>
        <v>5.1675151515151523</v>
      </c>
      <c r="W516" s="237">
        <f t="shared" si="273"/>
        <v>5.1675151515151523</v>
      </c>
      <c r="X516" s="237">
        <f t="shared" si="273"/>
        <v>4.960814545454547E-2</v>
      </c>
      <c r="Y516" s="237">
        <f t="shared" si="273"/>
        <v>1.3435539393939397</v>
      </c>
      <c r="Z516" s="237">
        <f t="shared" si="273"/>
        <v>0.72345212121212132</v>
      </c>
      <c r="AA516" s="237">
        <f t="shared" si="273"/>
        <v>3.6172606060606061</v>
      </c>
      <c r="AB516" s="237">
        <f t="shared" si="273"/>
        <v>1.0335030303030304</v>
      </c>
      <c r="AC516" s="237">
        <f t="shared" si="273"/>
        <v>1.8173282568501126</v>
      </c>
      <c r="AD516" s="237">
        <f t="shared" si="273"/>
        <v>4.3967566039946124</v>
      </c>
      <c r="AE516" s="237" t="str">
        <f t="shared" si="273"/>
        <v>PVL</v>
      </c>
      <c r="AF516" s="237" t="str">
        <f t="shared" si="273"/>
        <v>PVL</v>
      </c>
      <c r="AG516" s="237">
        <f t="shared" si="273"/>
        <v>95.082278787878806</v>
      </c>
      <c r="AH516" s="237">
        <f t="shared" si="273"/>
        <v>95.082278787878792</v>
      </c>
      <c r="AI516" s="237">
        <f t="shared" si="273"/>
        <v>5.1675151515151514</v>
      </c>
      <c r="AJ516" s="237">
        <f t="shared" si="273"/>
        <v>5.1675151515151523</v>
      </c>
      <c r="AK516" s="237">
        <f t="shared" si="273"/>
        <v>6.5110819455480886</v>
      </c>
      <c r="AL516" s="237" t="str">
        <f t="shared" si="273"/>
        <v>PVL</v>
      </c>
      <c r="AM516" s="237" t="str">
        <f t="shared" ref="AM516:BI516" si="274">IF(MIN(AM514:AM515)&gt;0,MIN(AM514:AM515),AM514)</f>
        <v>PVL</v>
      </c>
      <c r="AN516" s="237">
        <f t="shared" si="274"/>
        <v>5.4657193234831106E-2</v>
      </c>
      <c r="AO516" s="237">
        <f t="shared" si="274"/>
        <v>3.2736081774919841</v>
      </c>
      <c r="AP516" s="237">
        <f t="shared" si="274"/>
        <v>2.5158632155480651</v>
      </c>
      <c r="AQ516" s="237">
        <f t="shared" si="274"/>
        <v>4.0000540500248984</v>
      </c>
      <c r="AR516" s="237">
        <f t="shared" si="274"/>
        <v>9.299913277035321</v>
      </c>
      <c r="AS516" s="237">
        <f t="shared" si="274"/>
        <v>0.81130487583452282</v>
      </c>
      <c r="AT516" s="237">
        <f t="shared" si="274"/>
        <v>35.52976496968072</v>
      </c>
      <c r="AU516" s="237">
        <f t="shared" si="274"/>
        <v>36.385664955652977</v>
      </c>
      <c r="AV516" s="237">
        <f t="shared" si="274"/>
        <v>1.2661929454148575</v>
      </c>
      <c r="AW516" s="237">
        <f t="shared" si="274"/>
        <v>13.022816301201384</v>
      </c>
      <c r="AX516" s="237">
        <f t="shared" si="274"/>
        <v>25.861298922701501</v>
      </c>
      <c r="AY516" s="237">
        <f t="shared" si="274"/>
        <v>37.416668079564445</v>
      </c>
      <c r="AZ516" s="237">
        <f t="shared" si="274"/>
        <v>5.5738464851434175</v>
      </c>
      <c r="BA516" s="237">
        <f t="shared" si="274"/>
        <v>31.986967206047492</v>
      </c>
      <c r="BB516" s="237">
        <f t="shared" si="274"/>
        <v>207.51375486344185</v>
      </c>
      <c r="BC516" s="237">
        <f t="shared" si="274"/>
        <v>75904424.211020678</v>
      </c>
      <c r="BD516" s="237">
        <f t="shared" si="274"/>
        <v>7.7275160836308379</v>
      </c>
      <c r="BE516" s="237">
        <f t="shared" si="274"/>
        <v>0.68232498837884525</v>
      </c>
      <c r="BF516" s="237">
        <f t="shared" si="274"/>
        <v>1.3646499767576905</v>
      </c>
      <c r="BG516" s="237">
        <f t="shared" si="274"/>
        <v>1.5502545454545454E-4</v>
      </c>
      <c r="BH516" s="237">
        <f t="shared" si="274"/>
        <v>9.9195806050834195E-2</v>
      </c>
      <c r="BI516" s="237">
        <f t="shared" si="274"/>
        <v>0.13815427896424801</v>
      </c>
    </row>
    <row r="517" spans="1:61" s="2457" customFormat="1">
      <c r="A517" s="2451"/>
      <c r="B517" s="2452"/>
      <c r="C517" s="2491"/>
      <c r="D517" s="2454"/>
      <c r="E517" s="2519" t="s">
        <v>499</v>
      </c>
      <c r="F517" s="2455" t="s">
        <v>19</v>
      </c>
      <c r="G517" s="2490" t="s">
        <v>20</v>
      </c>
      <c r="H517" s="2456">
        <f>IF(H516&lt;'3phas'!H$23,H516,"PVL")</f>
        <v>21.726590419182642</v>
      </c>
      <c r="I517" s="2456">
        <f>IF(I516&lt;'3phas'!I$23,I516,"PVL")</f>
        <v>21.726590419182642</v>
      </c>
      <c r="J517" s="2456">
        <f>IF(J516&lt;'3phas'!J$23,J516,"PVL")</f>
        <v>191.60039130531911</v>
      </c>
      <c r="K517" s="2456">
        <f>IF(K516&lt;'3phas'!K$23,K516,"PVL")</f>
        <v>0.28938084848484852</v>
      </c>
      <c r="L517" s="2456">
        <f>IF(L516&lt;'3phas'!L$23,L516,"PVL")</f>
        <v>0.3100509090909091</v>
      </c>
      <c r="M517" s="2456">
        <f>IF(M516&lt;'3phas'!M$23,M516,"PVL")</f>
        <v>0.3100509090909091</v>
      </c>
      <c r="N517" s="2456">
        <f>IF(N516&lt;'3phas'!N$23,N516,"PVL")</f>
        <v>0.90431515151515141</v>
      </c>
      <c r="O517" s="2456">
        <f>IF(O516&lt;'3phas'!O$23,O516,"PVL")</f>
        <v>0.90431515151515141</v>
      </c>
      <c r="P517" s="2456">
        <f>IF(P516&lt;'3phas'!P$23,P516,"PVL")</f>
        <v>0.18086303030303036</v>
      </c>
      <c r="Q517" s="2456">
        <f>IF(Q516&lt;'3phas'!Q$23,Q516,"PVL")</f>
        <v>0.18086303030303036</v>
      </c>
      <c r="R517" s="2456">
        <f>IF(R516&lt;'3phas'!R$23,R516,"PVL")</f>
        <v>1.8086303030303033</v>
      </c>
      <c r="S517" s="2456">
        <f>IF(S516&lt;'3phas'!S$23,S516,"PVL")</f>
        <v>7.863610013175229E-2</v>
      </c>
      <c r="T517" s="2456">
        <f>IF(T516&lt;'3phas'!T$23,T516,"PVL")</f>
        <v>7.863610013175229E-2</v>
      </c>
      <c r="U517" s="2456">
        <f>IF(U516&lt;'3phas'!U$23,U516,"PVL")</f>
        <v>4.3062626262626261E-2</v>
      </c>
      <c r="V517" s="2456">
        <f>IF(V516&lt;'3phas'!V$23,V516,"PVL")</f>
        <v>5.1675151515151523</v>
      </c>
      <c r="W517" s="2456">
        <f>IF(W516&lt;'3phas'!W$23,W516,"PVL")</f>
        <v>5.1675151515151523</v>
      </c>
      <c r="X517" s="2456">
        <f>IF(X516&lt;'3phas'!X$23,X516,"PVL")</f>
        <v>4.960814545454547E-2</v>
      </c>
      <c r="Y517" s="2456">
        <f>IF(Y516&lt;'3phas'!Y$23,Y516,"PVL")</f>
        <v>1.3435539393939397</v>
      </c>
      <c r="Z517" s="2456">
        <f>IF(Z516&lt;'3phas'!Z$23,Z516,"PVL")</f>
        <v>0.72345212121212132</v>
      </c>
      <c r="AA517" s="2456">
        <f>IF(AA516&lt;'3phas'!AA$23,AA516,"PVL")</f>
        <v>3.6172606060606061</v>
      </c>
      <c r="AB517" s="2456">
        <f>IF(AB516&lt;'3phas'!AB$23,AB516,"PVL")</f>
        <v>1.0335030303030304</v>
      </c>
      <c r="AC517" s="2456">
        <f>IF(AC516&lt;'3phas'!AC$23,AC516,"PVL")</f>
        <v>1.8173282568501126</v>
      </c>
      <c r="AD517" s="2456">
        <f>IF(AD516&lt;'3phas'!AD$23,AD516,"PVL")</f>
        <v>4.3967566039946124</v>
      </c>
      <c r="AE517" s="2456" t="str">
        <f>IF(AE516&lt;'3phas'!AE$23,AE516,"PVL")</f>
        <v>PVL</v>
      </c>
      <c r="AF517" s="2456" t="str">
        <f>IF(AF516&lt;'3phas'!AF$23,AF516,"PVL")</f>
        <v>PVL</v>
      </c>
      <c r="AG517" s="2456">
        <f>IF(AG516&lt;'3phas'!AG$23,AG516,"PVL")</f>
        <v>95.082278787878806</v>
      </c>
      <c r="AH517" s="2456" t="str">
        <f>IF(AH516&lt;'3phas'!AH$23,AH516,"PVL")</f>
        <v>PVL</v>
      </c>
      <c r="AI517" s="2456">
        <f>IF(AI516&lt;'3phas'!AI$23,AI516,"PVL")</f>
        <v>5.1675151515151514</v>
      </c>
      <c r="AJ517" s="2456">
        <f>IF(AJ516&lt;'3phas'!AJ$23,AJ516,"PVL")</f>
        <v>5.1675151515151523</v>
      </c>
      <c r="AK517" s="2456" t="str">
        <f>IF(AK516&lt;'3phas'!AK$23,AK516,"PVL")</f>
        <v>PVL</v>
      </c>
      <c r="AL517" s="2456" t="str">
        <f>IF(AL516&lt;'3phas'!AL$23,AL516,"PVL")</f>
        <v>PVL</v>
      </c>
      <c r="AM517" s="2456" t="str">
        <f>IF(AM516&lt;'3phas'!AM$23,AM516,"PVL")</f>
        <v>PVL</v>
      </c>
      <c r="AN517" s="2456">
        <f>IF(AN516&lt;'3phas'!AN$23,AN516,"PVL")</f>
        <v>5.4657193234831106E-2</v>
      </c>
      <c r="AO517" s="2456">
        <f>IF(AO516&lt;'3phas'!AO$23,AO516,"PVL")</f>
        <v>3.2736081774919841</v>
      </c>
      <c r="AP517" s="2456">
        <f>IF(AP516&lt;'3phas'!AP$23,AP516,"PVL")</f>
        <v>2.5158632155480651</v>
      </c>
      <c r="AQ517" s="2456">
        <f>IF(AQ516&lt;'3phas'!AQ$23,AQ516,"PVL")</f>
        <v>4.0000540500248984</v>
      </c>
      <c r="AR517" s="2456" t="str">
        <f>IF(AR516&lt;'3phas'!AR$23,AR516,"PVL")</f>
        <v>PVL</v>
      </c>
      <c r="AS517" s="2456" t="str">
        <f>IF(AS516&lt;'3phas'!AS$23,AS516,"PVL")</f>
        <v>PVL</v>
      </c>
      <c r="AT517" s="2456" t="str">
        <f>IF(AT516&lt;'3phas'!AT$23,AT516,"PVL")</f>
        <v>PVL</v>
      </c>
      <c r="AU517" s="2456" t="str">
        <f>IF(AU516&lt;'3phas'!AU$23,AU516,"PVL")</f>
        <v>PVL</v>
      </c>
      <c r="AV517" s="2456" t="str">
        <f>IF(AV516&lt;'3phas'!AV$23,AV516,"PVL")</f>
        <v>PVL</v>
      </c>
      <c r="AW517" s="2456" t="str">
        <f>IF(AW516&lt;'3phas'!AW$23,AW516,"PVL")</f>
        <v>PVL</v>
      </c>
      <c r="AX517" s="2456" t="str">
        <f>IF(AX516&lt;'3phas'!AX$23,AX516,"PVL")</f>
        <v>PVL</v>
      </c>
      <c r="AY517" s="2456" t="str">
        <f>IF(AY516&lt;'3phas'!AY$23,AY516,"PVL")</f>
        <v>PVL</v>
      </c>
      <c r="AZ517" s="2456" t="str">
        <f>IF(AZ516&lt;'3phas'!AZ$23,AZ516,"PVL")</f>
        <v>PVL</v>
      </c>
      <c r="BA517" s="2456" t="str">
        <f>IF(BA516&lt;'3phas'!BA$23,BA516,"PVL")</f>
        <v>PVL</v>
      </c>
      <c r="BB517" s="2456" t="str">
        <f>IF(BB516&lt;'3phas'!BB$23,BB516,"PVL")</f>
        <v>PVL</v>
      </c>
      <c r="BC517" s="2456" t="str">
        <f>IF(BC516&lt;'3phas'!BC$23,BC516,"PVL")</f>
        <v>PVL</v>
      </c>
      <c r="BD517" s="2456">
        <f>IF(BD516&lt;'3phas'!BD$23,BD516,"PVL")</f>
        <v>7.7275160836308379</v>
      </c>
      <c r="BE517" s="2456">
        <f>IF(BE516&lt;'3phas'!BE$23,BE516,"PVL")</f>
        <v>0.68232498837884525</v>
      </c>
      <c r="BF517" s="2456">
        <f>IF(BF516&lt;'3phas'!BF$23,BF516,"PVL")</f>
        <v>1.3646499767576905</v>
      </c>
      <c r="BG517" s="2456">
        <f>BG516</f>
        <v>1.5502545454545454E-4</v>
      </c>
      <c r="BH517" s="2456">
        <f>IF(BH516&lt;'3phas'!BH$23,BH516,"PVL")</f>
        <v>9.9195806050834195E-2</v>
      </c>
      <c r="BI517" s="2456">
        <f>IF(BI516&lt;'3phas'!BI$23,BI516,"PVL")</f>
        <v>0.13815427896424801</v>
      </c>
    </row>
    <row r="518" spans="1:61" s="513" customFormat="1">
      <c r="A518" s="508"/>
      <c r="B518" s="510"/>
      <c r="C518" s="2491"/>
      <c r="D518" s="2490"/>
      <c r="E518" s="352" t="s">
        <v>476</v>
      </c>
      <c r="F518" s="63" t="str">
        <f>'3phas'!F29</f>
        <v>Csao</v>
      </c>
      <c r="G518" s="515" t="s">
        <v>24</v>
      </c>
      <c r="H518" s="237">
        <f>IF(H517="PVL",H517,H517*'3phas'!H$26*1000)</f>
        <v>57.238518855737574</v>
      </c>
      <c r="I518" s="237">
        <f>IF(I517="PVL",I517,I517*'3phas'!I$26*1000)</f>
        <v>57.238518855737574</v>
      </c>
      <c r="J518" s="237">
        <f>IF(J517="PVL",J517,J517*'3phas'!J$26*1000)</f>
        <v>3313.6646141737365</v>
      </c>
      <c r="K518" s="237">
        <f>IF(K517="PVL",K517,K517*'3phas'!K$26*1000)</f>
        <v>1115.0751978349901</v>
      </c>
      <c r="L518" s="237">
        <f>IF(L517="PVL",L517,L517*'3phas'!L$26*1000)</f>
        <v>223.3727255373062</v>
      </c>
      <c r="M518" s="237">
        <f>IF(M517="PVL",M517,M517*'3phas'!M$26*1000)</f>
        <v>223.3727255373062</v>
      </c>
      <c r="N518" s="237">
        <f>IF(N517="PVL",N517,N517*'3phas'!N$26*1000)</f>
        <v>1284.968919746218</v>
      </c>
      <c r="O518" s="237">
        <f>IF(O517="PVL",O517,O517*'3phas'!O$26*1000)</f>
        <v>1284.968919746218</v>
      </c>
      <c r="P518" s="237">
        <f>IF(P517="PVL",P517,P517*'3phas'!P$26*1000)</f>
        <v>280.5706722367384</v>
      </c>
      <c r="Q518" s="237">
        <f>IF(Q517="PVL",Q517,Q517*'3phas'!Q$26*1000)</f>
        <v>280.5706722367384</v>
      </c>
      <c r="R518" s="237">
        <f>IF(R517="PVL",R517,R517*'3phas'!R$26*1000)</f>
        <v>1127.817118613948</v>
      </c>
      <c r="S518" s="237">
        <f>IF(S517="PVL",S517,S517*'3phas'!S$26*1000)</f>
        <v>46.003944069580591</v>
      </c>
      <c r="T518" s="237">
        <f>IF(T517="PVL",T517,T517*'3phas'!T$26*1000)</f>
        <v>46.003944069580591</v>
      </c>
      <c r="U518" s="237">
        <f>IF(U517="PVL",U517,U517*'3phas'!U$26*1000)</f>
        <v>118.6058295640955</v>
      </c>
      <c r="V518" s="237">
        <f>IF(V517="PVL",V517,V517*'3phas'!V$26*1000)</f>
        <v>23296.105508792771</v>
      </c>
      <c r="W518" s="237">
        <f>IF(W517="PVL",W517,W517*'3phas'!W$26*1000)</f>
        <v>23296.105508792771</v>
      </c>
      <c r="X518" s="237">
        <f>IF(X517="PVL",X517,X517*'3phas'!X$26*1000)</f>
        <v>42.903932996838442</v>
      </c>
      <c r="Y518" s="237">
        <f>IF(Y517="PVL",Y517,Y517*'3phas'!Y$26*1000)</f>
        <v>805.32166015097914</v>
      </c>
      <c r="Z518" s="237">
        <f>IF(Z517="PVL",Z517,Z517*'3phas'!Z$26*1000)</f>
        <v>256.80591390590763</v>
      </c>
      <c r="AA518" s="237">
        <f>IF(AA517="PVL",AA517,AA517*'3phas'!AA$26*1000)</f>
        <v>861.40367070672505</v>
      </c>
      <c r="AB518" s="237">
        <f>IF(AB517="PVL",AB517,AB517*'3phas'!AB$26*1000)</f>
        <v>278.34927118724164</v>
      </c>
      <c r="AC518" s="237">
        <f>IF(AC517="PVL",AC517,AC517*'3phas'!AC$26*1000)</f>
        <v>95.509310363068565</v>
      </c>
      <c r="AD518" s="237">
        <f>IF(AD517="PVL",AD517,AD517*'3phas'!AD$26*1000)</f>
        <v>45.22821869705205</v>
      </c>
      <c r="AE518" s="237" t="str">
        <f>IF(AE517="PVL",AE517,AE517*'3phas'!AE$26*1000)</f>
        <v>PVL</v>
      </c>
      <c r="AF518" s="237" t="str">
        <f>IF(AF517="PVL",AF517,AF517*'3phas'!AF$26*1000)</f>
        <v>PVL</v>
      </c>
      <c r="AG518" s="237">
        <f>IF(AG517="PVL",AG517,AG517*'3phas'!AG$26*1000)</f>
        <v>588947.92019305448</v>
      </c>
      <c r="AH518" s="237" t="str">
        <f>IF(AH517="PVL",AH517,AH517*'3phas'!AH$26*1000)</f>
        <v>PVL</v>
      </c>
      <c r="AI518" s="237">
        <f>IF(AI517="PVL",AI517,AI517*'3phas'!AI$26*1000)</f>
        <v>9744.7938404108027</v>
      </c>
      <c r="AJ518" s="237">
        <f>IF(AJ517="PVL",AJ517,AJ517*'3phas'!AJ$26*1000)</f>
        <v>2319.6814056859121</v>
      </c>
      <c r="AK518" s="237" t="str">
        <f>IF(AK517="PVL",AK517,AK517*'3phas'!AK$26*1000)</f>
        <v>PVL</v>
      </c>
      <c r="AL518" s="237" t="str">
        <f>IF(AL517="PVL",AL517,AL517*'3phas'!AL$26*1000)</f>
        <v>PVL</v>
      </c>
      <c r="AM518" s="237" t="str">
        <f>IF(AM517="PVL",AM517,AM517*'3phas'!AM$26*1000)</f>
        <v>PVL</v>
      </c>
      <c r="AN518" s="237">
        <f>IF(AN517="PVL",AN517,AN517*'3phas'!AN$26*1000)</f>
        <v>0.23363252714167848</v>
      </c>
      <c r="AO518" s="237">
        <f>IF(AO517="PVL",AO517,AO517*'3phas'!AO$26*1000)</f>
        <v>3.8217465989328727</v>
      </c>
      <c r="AP518" s="237">
        <f>IF(AP517="PVL",AP517,AP517*'3phas'!AP$26*1000)</f>
        <v>4.9136624313007857</v>
      </c>
      <c r="AQ518" s="237">
        <f>IF(AQ517="PVL",AQ517,AQ517*'3phas'!AQ$26*1000)</f>
        <v>3.1633455231281626</v>
      </c>
      <c r="AR518" s="237" t="str">
        <f>IF(AR517="PVL",AR517,AR517*'3phas'!AR$26*1000)</f>
        <v>PVL</v>
      </c>
      <c r="AS518" s="237" t="str">
        <f>IF(AS517="PVL",AS517,AS517*'3phas'!AS$26*1000)</f>
        <v>PVL</v>
      </c>
      <c r="AT518" s="237" t="str">
        <f>IF(AT517="PVL",AT517,AT517*'3phas'!AT$26*1000)</f>
        <v>PVL</v>
      </c>
      <c r="AU518" s="237" t="str">
        <f>IF(AU517="PVL",AU517,AU517*'3phas'!AU$26*1000)</f>
        <v>PVL</v>
      </c>
      <c r="AV518" s="237" t="str">
        <f>IF(AV517="PVL",AV517,AV517*'3phas'!AV$26*1000)</f>
        <v>PVL</v>
      </c>
      <c r="AW518" s="237" t="str">
        <f>IF(AW517="PVL",AW517,AW517*'3phas'!AW$26*1000)</f>
        <v>PVL</v>
      </c>
      <c r="AX518" s="237" t="str">
        <f>IF(AX517="PVL",AX517,AX517*'3phas'!AX$26*1000)</f>
        <v>PVL</v>
      </c>
      <c r="AY518" s="237" t="str">
        <f>IF(AY517="PVL",AY517,AY517*'3phas'!AY$26*1000)</f>
        <v>PVL</v>
      </c>
      <c r="AZ518" s="237" t="str">
        <f>IF(AZ517="PVL",AZ517,AZ517*'3phas'!AZ$26*1000)</f>
        <v>PVL</v>
      </c>
      <c r="BA518" s="237" t="str">
        <f>IF(BA517="PVL",BA517,BA517*'3phas'!BA$26*1000)</f>
        <v>PVL</v>
      </c>
      <c r="BB518" s="237" t="str">
        <f>IF(BB517="PVL",BB517,BB517*'3phas'!BB$26*1000)</f>
        <v>PVL</v>
      </c>
      <c r="BC518" s="237" t="str">
        <f>IF(BC517="PVL",BC517,BC517*'3phas'!BC$26*1000)</f>
        <v>PVL</v>
      </c>
      <c r="BD518" s="237">
        <f>IF(BD517="PVL",BD517,BD517*'3phas'!BD$26*1000)</f>
        <v>0.72288714008064547</v>
      </c>
      <c r="BE518" s="237">
        <f>IF(BE517="PVL",BE517,BE517*'3phas'!BE$26*1000)</f>
        <v>1.4166889125428299E-3</v>
      </c>
      <c r="BF518" s="237">
        <f>IF(BF517="PVL",BF517,BF517*'3phas'!BF$26*1000)</f>
        <v>2.8333778250856597E-3</v>
      </c>
      <c r="BG518" s="2484" t="s">
        <v>595</v>
      </c>
      <c r="BH518" s="237">
        <f>IF(BH517="PVL",BH517,BH517*'3phas'!BH$26*1000)</f>
        <v>1.2339752812956338E-2</v>
      </c>
      <c r="BI518" s="237">
        <f>IF(BI517="PVL",BI517,BI517*'3phas'!BI$26*1000)</f>
        <v>0.13297534362822425</v>
      </c>
    </row>
    <row r="519" spans="1:61">
      <c r="A519" s="397"/>
      <c r="B519" s="41"/>
      <c r="C519" s="2486"/>
      <c r="D519" s="2487"/>
      <c r="E519" s="103"/>
      <c r="F519" s="147"/>
      <c r="G519" s="161"/>
      <c r="H519" s="113"/>
      <c r="I519" s="113"/>
      <c r="J519" s="113"/>
      <c r="K519" s="113"/>
      <c r="L519" s="113"/>
      <c r="M519" s="113"/>
      <c r="N519" s="113"/>
      <c r="O519" s="113"/>
      <c r="P519" s="113"/>
      <c r="Q519" s="113"/>
      <c r="R519" s="113"/>
      <c r="S519" s="113"/>
      <c r="T519" s="113"/>
      <c r="U519" s="113"/>
      <c r="V519" s="113"/>
      <c r="W519" s="113"/>
      <c r="X519" s="113"/>
      <c r="Y519" s="113"/>
      <c r="Z519" s="113"/>
      <c r="AA519" s="113"/>
      <c r="AB519" s="113"/>
      <c r="AC519" s="113"/>
      <c r="AD519" s="113"/>
      <c r="AE519" s="113"/>
      <c r="AF519" s="113"/>
      <c r="AG519" s="113"/>
      <c r="AH519" s="113"/>
      <c r="AI519" s="113"/>
      <c r="AJ519" s="113"/>
      <c r="AK519" s="113"/>
      <c r="AL519" s="113"/>
      <c r="AM519" s="113"/>
      <c r="AN519" s="113"/>
      <c r="AO519" s="113"/>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row>
    <row r="520" spans="1:61" s="2099" customFormat="1">
      <c r="C520" s="2453"/>
      <c r="D520" s="2454"/>
      <c r="E520" s="3947" t="s">
        <v>1022</v>
      </c>
      <c r="F520" s="3949"/>
      <c r="G520" s="3950"/>
      <c r="H520" s="3951"/>
      <c r="I520" s="3951"/>
      <c r="J520" s="3951"/>
      <c r="K520" s="3951"/>
      <c r="L520" s="3951"/>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row>
    <row r="521" spans="1:61" s="2099" customFormat="1">
      <c r="C521" s="2453"/>
      <c r="D521" s="2454"/>
      <c r="E521" s="3947" t="s">
        <v>1020</v>
      </c>
      <c r="F521" s="3"/>
      <c r="G521" s="2101"/>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c r="BI521" s="44"/>
    </row>
    <row r="522" spans="1:61" s="2099" customFormat="1">
      <c r="C522" s="2453" t="s">
        <v>1019</v>
      </c>
      <c r="D522" s="2454"/>
      <c r="E522" s="3500" t="s">
        <v>501</v>
      </c>
      <c r="F522" s="3" t="str">
        <f>'EmVap-Vol'!F234</f>
        <v>CTsao-&gt;ém</v>
      </c>
      <c r="G522" s="2101" t="str">
        <f>'EmVap-Vol'!G234</f>
        <v>(mg/m2/s)/(mg/l)</v>
      </c>
      <c r="H522" s="1707">
        <f>'EmVap-Vol'!H234</f>
        <v>7.7376852016212191E-3</v>
      </c>
      <c r="I522" s="1707">
        <f>'EmVap-Vol'!I234</f>
        <v>7.7376852016212191E-3</v>
      </c>
      <c r="J522" s="1707">
        <f>'EmVap-Vol'!J234</f>
        <v>1.1786794409861003E-3</v>
      </c>
      <c r="K522" s="1707">
        <f>'EmVap-Vol'!K234</f>
        <v>3.7031519823149957E-5</v>
      </c>
      <c r="L522" s="1707">
        <f>'EmVap-Vol'!L234</f>
        <v>1.9806547167297369E-4</v>
      </c>
      <c r="M522" s="1707">
        <f>'EmVap-Vol'!M234</f>
        <v>1.9806547167297369E-4</v>
      </c>
      <c r="N522" s="1707">
        <f>'EmVap-Vol'!N234</f>
        <v>1.0042297681868412E-4</v>
      </c>
      <c r="O522" s="1707">
        <f>'EmVap-Vol'!O234</f>
        <v>1.0042297681868412E-4</v>
      </c>
      <c r="P522" s="1707">
        <f>'EmVap-Vol'!P234</f>
        <v>9.1984242694848056E-5</v>
      </c>
      <c r="Q522" s="1707">
        <f>'EmVap-Vol'!Q234</f>
        <v>9.1984242694848056E-5</v>
      </c>
      <c r="R522" s="1707">
        <f>'EmVap-Vol'!R234</f>
        <v>2.2883214292577979E-4</v>
      </c>
      <c r="S522" s="1707">
        <f>'EmVap-Vol'!S234</f>
        <v>2.4391179769704181E-4</v>
      </c>
      <c r="T522" s="1707">
        <f>'EmVap-Vol'!T234</f>
        <v>2.4391179769704181E-4</v>
      </c>
      <c r="U522" s="1707">
        <f>'EmVap-Vol'!U234</f>
        <v>5.1808424319147455E-5</v>
      </c>
      <c r="V522" s="1707">
        <f>'EmVap-Vol'!V234</f>
        <v>3.1652232047774111E-5</v>
      </c>
      <c r="W522" s="1707">
        <f>'EmVap-Vol'!W234</f>
        <v>3.1652232047774111E-5</v>
      </c>
      <c r="X522" s="1707">
        <f>'EmVap-Vol'!X234</f>
        <v>1.6499158432187349E-4</v>
      </c>
      <c r="Y522" s="1707">
        <f>'EmVap-Vol'!Y234</f>
        <v>2.3806285265098821E-4</v>
      </c>
      <c r="Z522" s="1707">
        <f>'EmVap-Vol'!Z234</f>
        <v>4.0198577074103924E-4</v>
      </c>
      <c r="AA522" s="1707">
        <f>'EmVap-Vol'!AA234</f>
        <v>8.5601415741445673E-5</v>
      </c>
      <c r="AB522" s="1707">
        <f>'EmVap-Vol'!AB234</f>
        <v>5.2981905375833833E-4</v>
      </c>
      <c r="AC522" s="1707">
        <f>'EmVap-Vol'!AC234</f>
        <v>2.7151484339424138E-3</v>
      </c>
      <c r="AD522" s="1707">
        <f>'EmVap-Vol'!AD234</f>
        <v>1.3871673172096401E-2</v>
      </c>
      <c r="AE522" s="1707">
        <f>'EmVap-Vol'!AE234</f>
        <v>2.9869500750778842E-2</v>
      </c>
      <c r="AF522" s="1707">
        <f>'EmVap-Vol'!AF234</f>
        <v>2.9869500750778842E-2</v>
      </c>
      <c r="AG522" s="1707">
        <f>'EmVap-Vol'!AG234</f>
        <v>2.3037141829500553E-5</v>
      </c>
      <c r="AH522" s="1707">
        <f>'EmVap-Vol'!AH234</f>
        <v>3.0767898703010778E-5</v>
      </c>
      <c r="AI522" s="1707">
        <f>'EmVap-Vol'!AI234</f>
        <v>7.5668479954487443E-5</v>
      </c>
      <c r="AJ522" s="1707">
        <f>'EmVap-Vol'!AJ234</f>
        <v>3.1787716001271374E-4</v>
      </c>
      <c r="AK522" s="1707">
        <f>'EmVap-Vol'!AK234</f>
        <v>1.3943786779228675E-3</v>
      </c>
      <c r="AL522" s="1707">
        <f>'EmVap-Vol'!AL234</f>
        <v>1.8393288461783119E-2</v>
      </c>
      <c r="AM522" s="1707">
        <f>'EmVap-Vol'!AM234</f>
        <v>2.9869500750778842E-2</v>
      </c>
      <c r="AN522" s="1707">
        <f>'EmVap-Vol'!AN234</f>
        <v>4.7689403042683503E-3</v>
      </c>
      <c r="AO522" s="1707">
        <f>'EmVap-Vol'!AO234</f>
        <v>2.9869500750778842E-2</v>
      </c>
      <c r="AP522" s="1707">
        <f>'EmVap-Vol'!AP234</f>
        <v>2.9869500750778842E-2</v>
      </c>
      <c r="AQ522" s="1707">
        <f>'EmVap-Vol'!AQ234</f>
        <v>2.9869500750778842E-2</v>
      </c>
      <c r="AR522" s="1707">
        <f>'EmVap-Vol'!AR234</f>
        <v>2.9869500750778842E-2</v>
      </c>
      <c r="AS522" s="1707">
        <f>'EmVap-Vol'!AS234</f>
        <v>2.9869500750778842E-2</v>
      </c>
      <c r="AT522" s="1707">
        <f>'EmVap-Vol'!AT234</f>
        <v>2.9869500750778842E-2</v>
      </c>
      <c r="AU522" s="1707">
        <f>'EmVap-Vol'!AU234</f>
        <v>2.9869500750778842E-2</v>
      </c>
      <c r="AV522" s="1707">
        <f>'EmVap-Vol'!AV234</f>
        <v>2.9869500750778842E-2</v>
      </c>
      <c r="AW522" s="1707">
        <f>'EmVap-Vol'!AW234</f>
        <v>2.9869500750778842E-2</v>
      </c>
      <c r="AX522" s="1707">
        <f>'EmVap-Vol'!AX234</f>
        <v>2.9869500750778842E-2</v>
      </c>
      <c r="AY522" s="1707">
        <f>'EmVap-Vol'!AY234</f>
        <v>2.9869500750778842E-2</v>
      </c>
      <c r="AZ522" s="1707">
        <f>'EmVap-Vol'!AZ234</f>
        <v>2.9869500750778842E-2</v>
      </c>
      <c r="BA522" s="1707">
        <f>'EmVap-Vol'!BA234</f>
        <v>2.9869500750778842E-2</v>
      </c>
      <c r="BB522" s="1707">
        <f>'EmVap-Vol'!BB234</f>
        <v>2.9869500750778842E-2</v>
      </c>
      <c r="BC522" s="1707">
        <f>'EmVap-Vol'!BC234</f>
        <v>2.9869500750778842E-2</v>
      </c>
      <c r="BD522" s="1707">
        <f>'EmVap-Vol'!BD234</f>
        <v>2.9869500750778842E-2</v>
      </c>
      <c r="BE522" s="1707">
        <f>'EmVap-Vol'!BE234</f>
        <v>2.9869500750778842E-2</v>
      </c>
      <c r="BF522" s="1707">
        <f>'EmVap-Vol'!BF234</f>
        <v>2.9869500750778842E-2</v>
      </c>
      <c r="BG522" s="1707">
        <f>'EmVap-Vol'!BG234</f>
        <v>3.7845498726782705E-5</v>
      </c>
      <c r="BH522" s="1707">
        <f>'EmVap-Vol'!BH234</f>
        <v>2.9869500750778842E-2</v>
      </c>
      <c r="BI522" s="1707">
        <f>'EmVap-Vol'!BI234</f>
        <v>2.1178787173638004E-2</v>
      </c>
    </row>
    <row r="523" spans="1:61" s="2099" customFormat="1">
      <c r="C523" s="2453"/>
      <c r="D523" s="2454"/>
      <c r="E523" s="3947" t="s">
        <v>1021</v>
      </c>
      <c r="F523" s="3"/>
      <c r="G523" s="2101"/>
      <c r="H523" s="1707"/>
      <c r="I523" s="1707"/>
      <c r="J523" s="1707"/>
      <c r="K523" s="1707"/>
      <c r="L523" s="1707"/>
      <c r="M523" s="1707"/>
      <c r="N523" s="1707"/>
      <c r="O523" s="1707"/>
      <c r="P523" s="1707"/>
      <c r="Q523" s="1707"/>
      <c r="R523" s="1707"/>
      <c r="S523" s="1707"/>
      <c r="T523" s="1707"/>
      <c r="U523" s="1707"/>
      <c r="V523" s="1707"/>
      <c r="W523" s="1707"/>
      <c r="X523" s="1707"/>
      <c r="Y523" s="1707"/>
      <c r="Z523" s="1707"/>
      <c r="AA523" s="1707"/>
      <c r="AB523" s="1707"/>
      <c r="AC523" s="1707"/>
      <c r="AD523" s="1707"/>
      <c r="AE523" s="1707"/>
      <c r="AF523" s="1707"/>
      <c r="AG523" s="1707"/>
      <c r="AH523" s="1707"/>
      <c r="AI523" s="1707"/>
      <c r="AJ523" s="1707"/>
      <c r="AK523" s="1707"/>
      <c r="AL523" s="1707"/>
      <c r="AM523" s="1707"/>
      <c r="AN523" s="1707"/>
      <c r="AO523" s="1707"/>
      <c r="AP523" s="1707"/>
      <c r="AQ523" s="1707"/>
      <c r="AR523" s="1707"/>
      <c r="AS523" s="1707"/>
      <c r="AT523" s="1707"/>
      <c r="AU523" s="1707"/>
      <c r="AV523" s="1707"/>
      <c r="AW523" s="1707"/>
      <c r="AX523" s="1707"/>
      <c r="AY523" s="1707"/>
      <c r="AZ523" s="1707"/>
      <c r="BA523" s="1707"/>
      <c r="BB523" s="1707"/>
      <c r="BC523" s="1707"/>
      <c r="BD523" s="1707"/>
      <c r="BE523" s="1707"/>
      <c r="BF523" s="1707"/>
      <c r="BG523" s="1707"/>
      <c r="BH523" s="1707"/>
      <c r="BI523" s="1707"/>
    </row>
    <row r="524" spans="1:61" s="2099" customFormat="1">
      <c r="C524" s="2453" t="s">
        <v>267</v>
      </c>
      <c r="D524" s="2454"/>
      <c r="E524" s="3927" t="str">
        <f>'EmVap-Vol'!E237</f>
        <v>Période enfant 0-6 ans (effets sans seuil)</v>
      </c>
      <c r="F524" s="3"/>
      <c r="G524" s="2101"/>
      <c r="H524" s="1707"/>
      <c r="I524" s="1707"/>
      <c r="J524" s="1707"/>
      <c r="K524" s="1707"/>
      <c r="L524" s="1707"/>
      <c r="M524" s="1707"/>
      <c r="N524" s="1707"/>
      <c r="O524" s="1707"/>
      <c r="P524" s="1707"/>
      <c r="Q524" s="1707"/>
      <c r="R524" s="1707"/>
      <c r="S524" s="1707"/>
      <c r="T524" s="1707"/>
      <c r="U524" s="1707"/>
      <c r="V524" s="1707"/>
      <c r="W524" s="1707"/>
      <c r="X524" s="1707"/>
      <c r="Y524" s="1707"/>
      <c r="Z524" s="1707"/>
      <c r="AA524" s="1707"/>
      <c r="AB524" s="1707"/>
      <c r="AC524" s="1707"/>
      <c r="AD524" s="1707"/>
      <c r="AE524" s="1707"/>
      <c r="AF524" s="1707"/>
      <c r="AG524" s="1707"/>
      <c r="AH524" s="1707"/>
      <c r="AI524" s="1707"/>
      <c r="AJ524" s="1707"/>
      <c r="AK524" s="1707"/>
      <c r="AL524" s="1707"/>
      <c r="AM524" s="1707"/>
      <c r="AN524" s="1707"/>
      <c r="AO524" s="1707"/>
      <c r="AP524" s="1707"/>
      <c r="AQ524" s="1707"/>
      <c r="AR524" s="1707"/>
      <c r="AS524" s="1707"/>
      <c r="AT524" s="1707"/>
      <c r="AU524" s="1707"/>
      <c r="AV524" s="1707"/>
      <c r="AW524" s="1707"/>
      <c r="AX524" s="1707"/>
      <c r="AY524" s="1707"/>
      <c r="AZ524" s="1707"/>
      <c r="BA524" s="1707"/>
      <c r="BB524" s="1707"/>
      <c r="BC524" s="1707"/>
      <c r="BD524" s="1707"/>
      <c r="BE524" s="1707"/>
      <c r="BF524" s="1707"/>
      <c r="BG524" s="1707"/>
      <c r="BH524" s="1707"/>
      <c r="BI524" s="1707"/>
    </row>
    <row r="525" spans="1:61" s="2099" customFormat="1" ht="25.5">
      <c r="C525" s="2453"/>
      <c r="D525" s="2454"/>
      <c r="E525" s="3501" t="s">
        <v>501</v>
      </c>
      <c r="F525" s="3" t="str">
        <f>'EmVap-Vol'!F238</f>
        <v>CTsao-&gt;ém</v>
      </c>
      <c r="G525" s="2101" t="str">
        <f>'EmVap-Vol'!G238</f>
        <v>(mg/m2/s)/(mg/l)</v>
      </c>
      <c r="H525" s="1707">
        <f>'EmVap-Vol'!H238</f>
        <v>9.027299401891422E-3</v>
      </c>
      <c r="I525" s="1707">
        <f>'EmVap-Vol'!I238</f>
        <v>9.027299401891422E-3</v>
      </c>
      <c r="J525" s="1707">
        <f>'EmVap-Vol'!J238</f>
        <v>1.3751260144837835E-3</v>
      </c>
      <c r="K525" s="1707">
        <f>'EmVap-Vol'!K238</f>
        <v>6.1719199705249922E-6</v>
      </c>
      <c r="L525" s="1707">
        <f>'EmVap-Vol'!L238</f>
        <v>3.3010911945495617E-5</v>
      </c>
      <c r="M525" s="1707">
        <f>'EmVap-Vol'!M238</f>
        <v>3.3010911945495617E-5</v>
      </c>
      <c r="N525" s="1707">
        <f>'EmVap-Vol'!N238</f>
        <v>1.673716280311402E-5</v>
      </c>
      <c r="O525" s="1707">
        <f>'EmVap-Vol'!O238</f>
        <v>1.673716280311402E-5</v>
      </c>
      <c r="P525" s="1707">
        <f>'EmVap-Vol'!P238</f>
        <v>1.5330707115808009E-5</v>
      </c>
      <c r="Q525" s="1707">
        <f>'EmVap-Vol'!Q238</f>
        <v>1.5330707115808009E-5</v>
      </c>
      <c r="R525" s="1707">
        <f>'EmVap-Vol'!R238</f>
        <v>3.8138690487629963E-5</v>
      </c>
      <c r="S525" s="1707">
        <f>'EmVap-Vol'!S238</f>
        <v>4.0651966282840303E-5</v>
      </c>
      <c r="T525" s="1707">
        <f>'EmVap-Vol'!T238</f>
        <v>4.0651966282840303E-5</v>
      </c>
      <c r="U525" s="1707">
        <f>'EmVap-Vol'!U238</f>
        <v>8.6347373865245747E-6</v>
      </c>
      <c r="V525" s="1707">
        <f>'EmVap-Vol'!V238</f>
        <v>5.2753720079623515E-6</v>
      </c>
      <c r="W525" s="1707">
        <f>'EmVap-Vol'!W238</f>
        <v>5.2753720079623515E-6</v>
      </c>
      <c r="X525" s="1707">
        <f>'EmVap-Vol'!X238</f>
        <v>2.7498597386978914E-5</v>
      </c>
      <c r="Y525" s="1707">
        <f>'EmVap-Vol'!Y238</f>
        <v>3.9677142108498037E-5</v>
      </c>
      <c r="Z525" s="1707">
        <f>'EmVap-Vol'!Z238</f>
        <v>6.6997628456839868E-5</v>
      </c>
      <c r="AA525" s="1707">
        <f>'EmVap-Vol'!AA238</f>
        <v>9.9868318365019948E-5</v>
      </c>
      <c r="AB525" s="1707">
        <f>'EmVap-Vol'!AB238</f>
        <v>8.8303175626389731E-5</v>
      </c>
      <c r="AC525" s="1707">
        <f>'EmVap-Vol'!AC238</f>
        <v>4.5252473899040228E-4</v>
      </c>
      <c r="AD525" s="1707">
        <f>'EmVap-Vol'!AD238</f>
        <v>2.3119455286827336E-3</v>
      </c>
      <c r="AE525" s="1707">
        <f>'EmVap-Vol'!AE238</f>
        <v>1.8541203215860752E-2</v>
      </c>
      <c r="AF525" s="1707">
        <f>'EmVap-Vol'!AF238</f>
        <v>2.9869500750778842E-2</v>
      </c>
      <c r="AG525" s="1707">
        <f>'EmVap-Vol'!AG238</f>
        <v>3.8395236382500922E-6</v>
      </c>
      <c r="AH525" s="1707">
        <f>'EmVap-Vol'!AH238</f>
        <v>5.1279831171684633E-6</v>
      </c>
      <c r="AI525" s="1707">
        <f>'EmVap-Vol'!AI238</f>
        <v>1.2611413325747907E-5</v>
      </c>
      <c r="AJ525" s="1707">
        <f>'EmVap-Vol'!AJ238</f>
        <v>5.2979526668785625E-5</v>
      </c>
      <c r="AK525" s="1707">
        <f>'EmVap-Vol'!AK238</f>
        <v>2.3239644632047792E-4</v>
      </c>
      <c r="AL525" s="1707">
        <f>'EmVap-Vol'!AL238</f>
        <v>3.0655480769638532E-3</v>
      </c>
      <c r="AM525" s="1707">
        <f>'EmVap-Vol'!AM238</f>
        <v>2.9869500750778842E-2</v>
      </c>
      <c r="AN525" s="1707">
        <f>'EmVap-Vol'!AN238</f>
        <v>5.5637636883130752E-3</v>
      </c>
      <c r="AO525" s="1707">
        <f>'EmVap-Vol'!AO238</f>
        <v>2.0371333824227109E-2</v>
      </c>
      <c r="AP525" s="1707">
        <f>'EmVap-Vol'!AP238</f>
        <v>1.2176889490277039E-2</v>
      </c>
      <c r="AQ525" s="1707">
        <f>'EmVap-Vol'!AQ238</f>
        <v>2.9869500750778842E-2</v>
      </c>
      <c r="AR525" s="1707">
        <f>'EmVap-Vol'!AR238</f>
        <v>2.9869500750778842E-2</v>
      </c>
      <c r="AS525" s="1707">
        <f>'EmVap-Vol'!AS238</f>
        <v>2.9869500750778842E-2</v>
      </c>
      <c r="AT525" s="1707">
        <f>'EmVap-Vol'!AT238</f>
        <v>2.9869500750778842E-2</v>
      </c>
      <c r="AU525" s="1707">
        <f>'EmVap-Vol'!AU238</f>
        <v>2.9869500750778842E-2</v>
      </c>
      <c r="AV525" s="1707">
        <f>'EmVap-Vol'!AV238</f>
        <v>2.9869500750778842E-2</v>
      </c>
      <c r="AW525" s="1707">
        <f>'EmVap-Vol'!AW238</f>
        <v>2.9869500750778842E-2</v>
      </c>
      <c r="AX525" s="1707">
        <f>'EmVap-Vol'!AX238</f>
        <v>2.9869500750778842E-2</v>
      </c>
      <c r="AY525" s="1707">
        <f>'EmVap-Vol'!AY238</f>
        <v>2.9869500750778842E-2</v>
      </c>
      <c r="AZ525" s="1707">
        <f>'EmVap-Vol'!AZ238</f>
        <v>2.9869500750778842E-2</v>
      </c>
      <c r="BA525" s="1707">
        <f>'EmVap-Vol'!BA238</f>
        <v>2.9869500750778842E-2</v>
      </c>
      <c r="BB525" s="1707">
        <f>'EmVap-Vol'!BB238</f>
        <v>2.9869500750778842E-2</v>
      </c>
      <c r="BC525" s="1707">
        <f>'EmVap-Vol'!BC238</f>
        <v>2.9869500750778842E-2</v>
      </c>
      <c r="BD525" s="1707">
        <f>'EmVap-Vol'!BD238</f>
        <v>2.9869500750778842E-2</v>
      </c>
      <c r="BE525" s="1707">
        <f>'EmVap-Vol'!BE238</f>
        <v>2.9869500750778842E-2</v>
      </c>
      <c r="BF525" s="1707">
        <f>'EmVap-Vol'!BF238</f>
        <v>2.9869500750778842E-2</v>
      </c>
      <c r="BG525" s="1707">
        <f>'EmVap-Vol'!BG238</f>
        <v>6.3075831211304503E-6</v>
      </c>
      <c r="BH525" s="1707">
        <f>'EmVap-Vol'!BH238</f>
        <v>2.9869500750778842E-2</v>
      </c>
      <c r="BI525" s="1707">
        <f>'EmVap-Vol'!BI238</f>
        <v>2.4708585035911005E-2</v>
      </c>
    </row>
    <row r="526" spans="1:61" s="2099" customFormat="1">
      <c r="C526" s="2453"/>
      <c r="D526" s="2454"/>
      <c r="E526" s="3500" t="s">
        <v>1182</v>
      </c>
      <c r="F526" s="3" t="s">
        <v>233</v>
      </c>
      <c r="G526" s="2101" t="s">
        <v>234</v>
      </c>
      <c r="H526" s="1707">
        <f>H499*H525/H487</f>
        <v>0</v>
      </c>
      <c r="I526" s="1707">
        <f t="shared" ref="I526:BI526" si="275">I499*I525/I487</f>
        <v>0</v>
      </c>
      <c r="J526" s="1707">
        <f t="shared" si="275"/>
        <v>0</v>
      </c>
      <c r="K526" s="1707">
        <f t="shared" si="275"/>
        <v>0</v>
      </c>
      <c r="L526" s="1707">
        <f t="shared" si="275"/>
        <v>0</v>
      </c>
      <c r="M526" s="1707">
        <f t="shared" si="275"/>
        <v>0</v>
      </c>
      <c r="N526" s="1707">
        <f t="shared" si="275"/>
        <v>0</v>
      </c>
      <c r="O526" s="1707">
        <f t="shared" si="275"/>
        <v>0</v>
      </c>
      <c r="P526" s="1707">
        <f t="shared" si="275"/>
        <v>0</v>
      </c>
      <c r="Q526" s="1707">
        <f t="shared" si="275"/>
        <v>0</v>
      </c>
      <c r="R526" s="1707">
        <f t="shared" si="275"/>
        <v>0</v>
      </c>
      <c r="S526" s="1707">
        <f t="shared" si="275"/>
        <v>0</v>
      </c>
      <c r="T526" s="1707">
        <f t="shared" si="275"/>
        <v>0</v>
      </c>
      <c r="U526" s="1707">
        <f t="shared" si="275"/>
        <v>0</v>
      </c>
      <c r="V526" s="1707">
        <f t="shared" si="275"/>
        <v>0</v>
      </c>
      <c r="W526" s="1707">
        <f t="shared" si="275"/>
        <v>0</v>
      </c>
      <c r="X526" s="1707">
        <f t="shared" si="275"/>
        <v>0</v>
      </c>
      <c r="Y526" s="1707">
        <f t="shared" si="275"/>
        <v>0</v>
      </c>
      <c r="Z526" s="1707">
        <f t="shared" si="275"/>
        <v>0</v>
      </c>
      <c r="AA526" s="1707">
        <f t="shared" si="275"/>
        <v>0</v>
      </c>
      <c r="AB526" s="1707">
        <f t="shared" si="275"/>
        <v>0</v>
      </c>
      <c r="AC526" s="1707">
        <f t="shared" si="275"/>
        <v>0</v>
      </c>
      <c r="AD526" s="1707">
        <f t="shared" si="275"/>
        <v>0</v>
      </c>
      <c r="AE526" s="1707">
        <f t="shared" si="275"/>
        <v>0</v>
      </c>
      <c r="AF526" s="1707">
        <f t="shared" si="275"/>
        <v>0</v>
      </c>
      <c r="AG526" s="1707">
        <f t="shared" si="275"/>
        <v>0</v>
      </c>
      <c r="AH526" s="1707">
        <f t="shared" si="275"/>
        <v>0</v>
      </c>
      <c r="AI526" s="1707">
        <f t="shared" si="275"/>
        <v>0</v>
      </c>
      <c r="AJ526" s="1707">
        <f t="shared" si="275"/>
        <v>0</v>
      </c>
      <c r="AK526" s="1707">
        <f t="shared" si="275"/>
        <v>0</v>
      </c>
      <c r="AL526" s="1707">
        <f t="shared" si="275"/>
        <v>0</v>
      </c>
      <c r="AM526" s="1707">
        <f t="shared" si="275"/>
        <v>0</v>
      </c>
      <c r="AN526" s="1707">
        <f t="shared" si="275"/>
        <v>0</v>
      </c>
      <c r="AO526" s="1707">
        <f t="shared" si="275"/>
        <v>0</v>
      </c>
      <c r="AP526" s="1707">
        <f t="shared" si="275"/>
        <v>0</v>
      </c>
      <c r="AQ526" s="1707">
        <f t="shared" si="275"/>
        <v>0</v>
      </c>
      <c r="AR526" s="1707">
        <f t="shared" si="275"/>
        <v>0</v>
      </c>
      <c r="AS526" s="1707">
        <f t="shared" si="275"/>
        <v>0</v>
      </c>
      <c r="AT526" s="1707">
        <f t="shared" si="275"/>
        <v>0</v>
      </c>
      <c r="AU526" s="1707">
        <f t="shared" si="275"/>
        <v>0</v>
      </c>
      <c r="AV526" s="1707">
        <f t="shared" si="275"/>
        <v>0</v>
      </c>
      <c r="AW526" s="1707">
        <f t="shared" si="275"/>
        <v>0</v>
      </c>
      <c r="AX526" s="1707">
        <f t="shared" si="275"/>
        <v>0</v>
      </c>
      <c r="AY526" s="1707">
        <f t="shared" si="275"/>
        <v>0</v>
      </c>
      <c r="AZ526" s="1707">
        <f t="shared" si="275"/>
        <v>0</v>
      </c>
      <c r="BA526" s="1707">
        <f t="shared" si="275"/>
        <v>0</v>
      </c>
      <c r="BB526" s="1707">
        <f t="shared" si="275"/>
        <v>0</v>
      </c>
      <c r="BC526" s="1707">
        <f t="shared" si="275"/>
        <v>0</v>
      </c>
      <c r="BD526" s="1707">
        <f t="shared" si="275"/>
        <v>0</v>
      </c>
      <c r="BE526" s="1707">
        <f t="shared" si="275"/>
        <v>0</v>
      </c>
      <c r="BF526" s="1707">
        <f t="shared" si="275"/>
        <v>0</v>
      </c>
      <c r="BG526" s="1707">
        <f t="shared" si="275"/>
        <v>0</v>
      </c>
      <c r="BH526" s="1707">
        <f t="shared" si="275"/>
        <v>0</v>
      </c>
      <c r="BI526" s="1707">
        <f t="shared" si="275"/>
        <v>0</v>
      </c>
    </row>
    <row r="527" spans="1:61" s="2099" customFormat="1">
      <c r="C527" s="2453" t="s">
        <v>591</v>
      </c>
      <c r="D527" s="2454"/>
      <c r="E527" s="3927" t="str">
        <f>'EmVap-Vol'!E243</f>
        <v>Période employé (40 ans)</v>
      </c>
      <c r="F527" s="3"/>
      <c r="G527" s="2101"/>
      <c r="H527" s="1707"/>
      <c r="I527" s="1707"/>
      <c r="J527" s="1707"/>
      <c r="K527" s="1707"/>
      <c r="L527" s="1707"/>
      <c r="M527" s="1707"/>
      <c r="N527" s="1707"/>
      <c r="O527" s="1707"/>
      <c r="P527" s="1707"/>
      <c r="Q527" s="1707"/>
      <c r="R527" s="1707"/>
      <c r="S527" s="1707"/>
      <c r="T527" s="1707"/>
      <c r="U527" s="1707"/>
      <c r="V527" s="1707"/>
      <c r="W527" s="1707"/>
      <c r="X527" s="1707"/>
      <c r="Y527" s="1707"/>
      <c r="Z527" s="1707"/>
      <c r="AA527" s="1707"/>
      <c r="AB527" s="1707"/>
      <c r="AC527" s="1707"/>
      <c r="AD527" s="1707"/>
      <c r="AE527" s="1707"/>
      <c r="AF527" s="1707"/>
      <c r="AG527" s="1707"/>
      <c r="AH527" s="1707"/>
      <c r="AI527" s="1707"/>
      <c r="AJ527" s="1707"/>
      <c r="AK527" s="1707"/>
      <c r="AL527" s="1707"/>
      <c r="AM527" s="1707"/>
      <c r="AN527" s="1707"/>
      <c r="AO527" s="1707"/>
      <c r="AP527" s="1707"/>
      <c r="AQ527" s="1707"/>
      <c r="AR527" s="1707"/>
      <c r="AS527" s="1707"/>
      <c r="AT527" s="1707"/>
      <c r="AU527" s="1707"/>
      <c r="AV527" s="1707"/>
      <c r="AW527" s="1707"/>
      <c r="AX527" s="1707"/>
      <c r="AY527" s="1707"/>
      <c r="AZ527" s="1707"/>
      <c r="BA527" s="1707"/>
      <c r="BB527" s="1707"/>
      <c r="BC527" s="1707"/>
      <c r="BD527" s="1707"/>
      <c r="BE527" s="1707"/>
      <c r="BF527" s="1707"/>
      <c r="BG527" s="1707"/>
      <c r="BH527" s="1707"/>
      <c r="BI527" s="1707"/>
    </row>
    <row r="528" spans="1:61" s="2099" customFormat="1" ht="25.5">
      <c r="C528" s="2453"/>
      <c r="D528" s="2454"/>
      <c r="E528" s="3501" t="s">
        <v>501</v>
      </c>
      <c r="F528" s="3" t="str">
        <f>'EmVap-Vol'!F244</f>
        <v>CTsao-&gt;ém</v>
      </c>
      <c r="G528" s="2101" t="str">
        <f>'EmVap-Vol'!G244</f>
        <v>(mg/m2/s)/(mg/l)</v>
      </c>
      <c r="H528" s="1707">
        <f>'EmVap-Vol'!H244</f>
        <v>1.3540949102837133E-3</v>
      </c>
      <c r="I528" s="1707">
        <f>'EmVap-Vol'!I244</f>
        <v>1.3540949102837133E-3</v>
      </c>
      <c r="J528" s="1707">
        <f>'EmVap-Vol'!J244</f>
        <v>2.0626890217256754E-4</v>
      </c>
      <c r="K528" s="1707">
        <f>'EmVap-Vol'!K244</f>
        <v>9.2578799557874888E-7</v>
      </c>
      <c r="L528" s="1707">
        <f>'EmVap-Vol'!L244</f>
        <v>4.9516367918243421E-6</v>
      </c>
      <c r="M528" s="1707">
        <f>'EmVap-Vol'!M244</f>
        <v>4.9516367918243421E-6</v>
      </c>
      <c r="N528" s="1707">
        <f>'EmVap-Vol'!N244</f>
        <v>2.5105744204671032E-6</v>
      </c>
      <c r="O528" s="1707">
        <f>'EmVap-Vol'!O244</f>
        <v>2.5105744204671032E-6</v>
      </c>
      <c r="P528" s="1707">
        <f>'EmVap-Vol'!P244</f>
        <v>2.2996060673712017E-6</v>
      </c>
      <c r="Q528" s="1707">
        <f>'EmVap-Vol'!Q244</f>
        <v>2.2996060673712017E-6</v>
      </c>
      <c r="R528" s="1707">
        <f>'EmVap-Vol'!R244</f>
        <v>5.720803573144495E-6</v>
      </c>
      <c r="S528" s="1707">
        <f>'EmVap-Vol'!S244</f>
        <v>6.0977949424260457E-6</v>
      </c>
      <c r="T528" s="1707">
        <f>'EmVap-Vol'!T244</f>
        <v>6.0977949424260457E-6</v>
      </c>
      <c r="U528" s="1707">
        <f>'EmVap-Vol'!U244</f>
        <v>1.2952106079786864E-6</v>
      </c>
      <c r="V528" s="1707">
        <f>'EmVap-Vol'!V244</f>
        <v>7.9130580119435269E-7</v>
      </c>
      <c r="W528" s="1707">
        <f>'EmVap-Vol'!W244</f>
        <v>7.9130580119435269E-7</v>
      </c>
      <c r="X528" s="1707">
        <f>'EmVap-Vol'!X244</f>
        <v>4.124789608046837E-6</v>
      </c>
      <c r="Y528" s="1707">
        <f>'EmVap-Vol'!Y244</f>
        <v>5.9515713162747051E-6</v>
      </c>
      <c r="Z528" s="1707">
        <f>'EmVap-Vol'!Z244</f>
        <v>1.004964426852598E-5</v>
      </c>
      <c r="AA528" s="1707">
        <f>'EmVap-Vol'!AA244</f>
        <v>1.4980247754752993E-5</v>
      </c>
      <c r="AB528" s="1707">
        <f>'EmVap-Vol'!AB244</f>
        <v>1.3245476343958458E-5</v>
      </c>
      <c r="AC528" s="1707">
        <f>'EmVap-Vol'!AC244</f>
        <v>6.7878710848560343E-5</v>
      </c>
      <c r="AD528" s="1707">
        <f>'EmVap-Vol'!AD244</f>
        <v>3.4679182930241005E-4</v>
      </c>
      <c r="AE528" s="1707">
        <f>'EmVap-Vol'!AE244</f>
        <v>2.7811804823791126E-3</v>
      </c>
      <c r="AF528" s="1707">
        <f>'EmVap-Vol'!AF244</f>
        <v>2.9869500750778842E-2</v>
      </c>
      <c r="AG528" s="1707">
        <f>'EmVap-Vol'!AG244</f>
        <v>5.7592854573751388E-7</v>
      </c>
      <c r="AH528" s="1707">
        <f>'EmVap-Vol'!AH244</f>
        <v>7.6919746757526942E-7</v>
      </c>
      <c r="AI528" s="1707">
        <f>'EmVap-Vol'!AI244</f>
        <v>1.8917119988621861E-6</v>
      </c>
      <c r="AJ528" s="1707">
        <f>'EmVap-Vol'!AJ244</f>
        <v>7.9469290003178434E-6</v>
      </c>
      <c r="AK528" s="1707">
        <f>'EmVap-Vol'!AK244</f>
        <v>3.4859466948071687E-5</v>
      </c>
      <c r="AL528" s="1707">
        <f>'EmVap-Vol'!AL244</f>
        <v>4.59832211544578E-4</v>
      </c>
      <c r="AM528" s="1707">
        <f>'EmVap-Vol'!AM244</f>
        <v>2.9869500750778842E-2</v>
      </c>
      <c r="AN528" s="1707">
        <f>'EmVap-Vol'!AN244</f>
        <v>8.3456455324696125E-4</v>
      </c>
      <c r="AO528" s="1707">
        <f>'EmVap-Vol'!AO244</f>
        <v>3.055700073634066E-3</v>
      </c>
      <c r="AP528" s="1707">
        <f>'EmVap-Vol'!AP244</f>
        <v>1.826533423541556E-3</v>
      </c>
      <c r="AQ528" s="1707">
        <f>'EmVap-Vol'!AQ244</f>
        <v>4.5109201962945464E-3</v>
      </c>
      <c r="AR528" s="1707">
        <f>'EmVap-Vol'!AR244</f>
        <v>2.2530161821604101E-2</v>
      </c>
      <c r="AS528" s="1707">
        <f>'EmVap-Vol'!AS244</f>
        <v>1.744333856544901E-2</v>
      </c>
      <c r="AT528" s="1707">
        <f>'EmVap-Vol'!AT244</f>
        <v>2.9869500750778842E-2</v>
      </c>
      <c r="AU528" s="1707">
        <f>'EmVap-Vol'!AU244</f>
        <v>2.9869500750778842E-2</v>
      </c>
      <c r="AV528" s="1707">
        <f>'EmVap-Vol'!AV244</f>
        <v>2.9869500750778842E-2</v>
      </c>
      <c r="AW528" s="1707">
        <f>'EmVap-Vol'!AW244</f>
        <v>2.9869500750778842E-2</v>
      </c>
      <c r="AX528" s="1707">
        <f>'EmVap-Vol'!AX244</f>
        <v>2.9869500750778842E-2</v>
      </c>
      <c r="AY528" s="1707">
        <f>'EmVap-Vol'!AY244</f>
        <v>2.9869500750778842E-2</v>
      </c>
      <c r="AZ528" s="1707">
        <f>'EmVap-Vol'!AZ244</f>
        <v>2.9869500750778842E-2</v>
      </c>
      <c r="BA528" s="1707">
        <f>'EmVap-Vol'!BA244</f>
        <v>2.9869500750778842E-2</v>
      </c>
      <c r="BB528" s="1707">
        <f>'EmVap-Vol'!BB244</f>
        <v>2.9869500750778842E-2</v>
      </c>
      <c r="BC528" s="1707">
        <f>'EmVap-Vol'!BC244</f>
        <v>2.9869500750778842E-2</v>
      </c>
      <c r="BD528" s="1707">
        <f>'EmVap-Vol'!BD244</f>
        <v>2.9869500750778842E-2</v>
      </c>
      <c r="BE528" s="1707">
        <f>'EmVap-Vol'!BE244</f>
        <v>2.9869500750778842E-2</v>
      </c>
      <c r="BF528" s="1707">
        <f>'EmVap-Vol'!BF244</f>
        <v>2.9869500750778842E-2</v>
      </c>
      <c r="BG528" s="1707">
        <f>'EmVap-Vol'!BG244</f>
        <v>9.4613746816956763E-7</v>
      </c>
      <c r="BH528" s="1707">
        <f>'EmVap-Vol'!BH244</f>
        <v>2.8676937262147213E-2</v>
      </c>
      <c r="BI528" s="1707">
        <f>'EmVap-Vol'!BI244</f>
        <v>3.7062877553866507E-3</v>
      </c>
    </row>
    <row r="529" spans="1:61" s="2099" customFormat="1">
      <c r="C529" s="2453"/>
      <c r="D529" s="2454"/>
      <c r="E529" s="3500" t="s">
        <v>1182</v>
      </c>
      <c r="F529" s="3" t="s">
        <v>233</v>
      </c>
      <c r="G529" s="2101" t="s">
        <v>234</v>
      </c>
      <c r="H529" s="1707">
        <f>H507*H528/H490</f>
        <v>0</v>
      </c>
      <c r="I529" s="1707">
        <f t="shared" ref="I529:BI529" si="276">I507*I528/I490</f>
        <v>0</v>
      </c>
      <c r="J529" s="1707">
        <f t="shared" si="276"/>
        <v>0</v>
      </c>
      <c r="K529" s="1707">
        <f t="shared" si="276"/>
        <v>1.4348808072375129E-7</v>
      </c>
      <c r="L529" s="1707">
        <f t="shared" si="276"/>
        <v>0</v>
      </c>
      <c r="M529" s="1707">
        <f t="shared" si="276"/>
        <v>0</v>
      </c>
      <c r="N529" s="1707">
        <f t="shared" si="276"/>
        <v>7.7822893972992002E-7</v>
      </c>
      <c r="O529" s="1707">
        <f t="shared" si="276"/>
        <v>7.7822893972992002E-7</v>
      </c>
      <c r="P529" s="1707">
        <f t="shared" si="276"/>
        <v>2.1028569924877005E-6</v>
      </c>
      <c r="Q529" s="1707">
        <f t="shared" si="276"/>
        <v>2.1028569924877005E-6</v>
      </c>
      <c r="R529" s="1707">
        <f t="shared" si="276"/>
        <v>8.8666857728580031E-7</v>
      </c>
      <c r="S529" s="1707">
        <f t="shared" si="276"/>
        <v>2.1737266667560242E-5</v>
      </c>
      <c r="T529" s="1707">
        <f t="shared" si="276"/>
        <v>2.1737266667560242E-5</v>
      </c>
      <c r="U529" s="1707">
        <f t="shared" si="276"/>
        <v>8.4312887796092032E-6</v>
      </c>
      <c r="V529" s="1707">
        <f t="shared" si="276"/>
        <v>0</v>
      </c>
      <c r="W529" s="1707">
        <f t="shared" si="276"/>
        <v>0</v>
      </c>
      <c r="X529" s="1707">
        <f t="shared" si="276"/>
        <v>3.8358121756239867E-6</v>
      </c>
      <c r="Y529" s="1707">
        <f t="shared" si="276"/>
        <v>0</v>
      </c>
      <c r="Z529" s="1707">
        <f t="shared" si="276"/>
        <v>3.8939913212683837E-6</v>
      </c>
      <c r="AA529" s="1707">
        <f t="shared" si="276"/>
        <v>0</v>
      </c>
      <c r="AB529" s="1707">
        <f t="shared" si="276"/>
        <v>0</v>
      </c>
      <c r="AC529" s="1707">
        <f t="shared" si="276"/>
        <v>0</v>
      </c>
      <c r="AD529" s="1707">
        <f t="shared" si="276"/>
        <v>0</v>
      </c>
      <c r="AE529" s="1707">
        <f t="shared" si="276"/>
        <v>0</v>
      </c>
      <c r="AF529" s="1707">
        <f t="shared" si="276"/>
        <v>0</v>
      </c>
      <c r="AG529" s="1707">
        <f t="shared" si="276"/>
        <v>0</v>
      </c>
      <c r="AH529" s="1707">
        <f t="shared" si="276"/>
        <v>0</v>
      </c>
      <c r="AI529" s="1707">
        <f t="shared" si="276"/>
        <v>0</v>
      </c>
      <c r="AJ529" s="1707">
        <f t="shared" si="276"/>
        <v>0</v>
      </c>
      <c r="AK529" s="1707">
        <f t="shared" si="276"/>
        <v>0</v>
      </c>
      <c r="AL529" s="1707">
        <f t="shared" si="276"/>
        <v>0</v>
      </c>
      <c r="AM529" s="1707">
        <f t="shared" si="276"/>
        <v>0</v>
      </c>
      <c r="AN529" s="1707">
        <f t="shared" si="276"/>
        <v>4.3978775518266474E-3</v>
      </c>
      <c r="AO529" s="1707">
        <f t="shared" si="276"/>
        <v>5.2096397341487241E-4</v>
      </c>
      <c r="AP529" s="1707">
        <f t="shared" si="276"/>
        <v>3.1140428935213371E-4</v>
      </c>
      <c r="AQ529" s="1707">
        <f t="shared" si="276"/>
        <v>7.6906334148959068E-4</v>
      </c>
      <c r="AR529" s="1707">
        <f t="shared" si="276"/>
        <v>3.841150093734147E-3</v>
      </c>
      <c r="AS529" s="1707">
        <f t="shared" si="276"/>
        <v>2.9739014791035575E-2</v>
      </c>
      <c r="AT529" s="1707">
        <f t="shared" si="276"/>
        <v>5.092428386316736E-3</v>
      </c>
      <c r="AU529" s="1707">
        <f t="shared" si="276"/>
        <v>5.0924283863167368E-3</v>
      </c>
      <c r="AV529" s="1707">
        <f t="shared" si="276"/>
        <v>0.50924283863167374</v>
      </c>
      <c r="AW529" s="1707">
        <f t="shared" si="276"/>
        <v>5.0924283863167386E-2</v>
      </c>
      <c r="AX529" s="1707">
        <f t="shared" si="276"/>
        <v>0.50924283863167374</v>
      </c>
      <c r="AY529" s="1707">
        <f t="shared" si="276"/>
        <v>0.50924283863167363</v>
      </c>
      <c r="AZ529" s="1707">
        <f t="shared" si="276"/>
        <v>5.0924283863167377</v>
      </c>
      <c r="BA529" s="1707">
        <f t="shared" si="276"/>
        <v>5.0924283863167377</v>
      </c>
      <c r="BB529" s="1707">
        <f t="shared" si="276"/>
        <v>5.0924283863167379E-2</v>
      </c>
      <c r="BC529" s="1707">
        <f t="shared" si="276"/>
        <v>0.50924283863167374</v>
      </c>
      <c r="BD529" s="1707">
        <f t="shared" si="276"/>
        <v>0</v>
      </c>
      <c r="BE529" s="1707">
        <f t="shared" si="276"/>
        <v>1.0184856772633475</v>
      </c>
      <c r="BF529" s="1707">
        <f t="shared" si="276"/>
        <v>0.50924283863167374</v>
      </c>
      <c r="BG529" s="1707">
        <f t="shared" si="276"/>
        <v>0</v>
      </c>
      <c r="BH529" s="1707">
        <f t="shared" si="276"/>
        <v>0</v>
      </c>
      <c r="BI529" s="1707">
        <f t="shared" si="276"/>
        <v>0</v>
      </c>
    </row>
    <row r="530" spans="1:61" s="2099" customFormat="1">
      <c r="C530" s="2453"/>
      <c r="D530" s="2454"/>
      <c r="E530" s="3947" t="s">
        <v>1161</v>
      </c>
      <c r="F530" s="3"/>
      <c r="G530" s="2101"/>
      <c r="H530" s="1707"/>
      <c r="I530" s="1707"/>
      <c r="J530" s="1707"/>
      <c r="K530" s="1707"/>
      <c r="L530" s="1707"/>
      <c r="M530" s="1707"/>
      <c r="N530" s="1707"/>
      <c r="O530" s="1707"/>
      <c r="P530" s="1707"/>
      <c r="Q530" s="1707"/>
      <c r="R530" s="1707"/>
      <c r="S530" s="1707"/>
      <c r="T530" s="1707"/>
      <c r="U530" s="1707"/>
      <c r="V530" s="1707"/>
      <c r="W530" s="1707"/>
      <c r="X530" s="1707"/>
      <c r="Y530" s="1707"/>
      <c r="Z530" s="1707"/>
      <c r="AA530" s="1707"/>
      <c r="AB530" s="1707"/>
      <c r="AC530" s="1707"/>
      <c r="AD530" s="1707"/>
      <c r="AE530" s="1707"/>
      <c r="AF530" s="1707"/>
      <c r="AG530" s="1707"/>
      <c r="AH530" s="1707"/>
      <c r="AI530" s="1707"/>
      <c r="AJ530" s="1707"/>
      <c r="AK530" s="1707"/>
      <c r="AL530" s="1707"/>
      <c r="AM530" s="1707"/>
      <c r="AN530" s="1707"/>
      <c r="AO530" s="1707"/>
      <c r="AP530" s="1707"/>
      <c r="AQ530" s="1707"/>
      <c r="AR530" s="1707"/>
      <c r="AS530" s="1707"/>
      <c r="AT530" s="1707"/>
      <c r="AU530" s="1707"/>
      <c r="AV530" s="1707"/>
      <c r="AW530" s="1707"/>
      <c r="AX530" s="1707"/>
      <c r="AY530" s="1707"/>
      <c r="AZ530" s="1707"/>
      <c r="BA530" s="1707"/>
      <c r="BB530" s="1707"/>
      <c r="BC530" s="1707"/>
      <c r="BD530" s="1707"/>
      <c r="BE530" s="1707"/>
      <c r="BF530" s="1707"/>
      <c r="BG530" s="1707"/>
      <c r="BH530" s="1707"/>
      <c r="BI530" s="1707"/>
    </row>
    <row r="531" spans="1:61" s="2099" customFormat="1">
      <c r="C531" s="2453"/>
      <c r="D531" s="2454"/>
      <c r="E531" s="3500" t="s">
        <v>989</v>
      </c>
      <c r="F531" s="3" t="str">
        <f>F$18</f>
        <v>Cs</v>
      </c>
      <c r="G531" s="2101" t="str">
        <f>G$18</f>
        <v>mg/kg ms</v>
      </c>
      <c r="H531" s="1707">
        <f>IF(H514="PVL","PVL",H514/H522*H477)</f>
        <v>7.234521212121213</v>
      </c>
      <c r="I531" s="1707">
        <f t="shared" ref="I531:BI531" si="277">IF(I514="PVL","PVL",I514/I522*I477)</f>
        <v>7.234521212121213</v>
      </c>
      <c r="J531" s="1707">
        <f t="shared" si="277"/>
        <v>180.86303030303029</v>
      </c>
      <c r="K531" s="1707">
        <f t="shared" si="277"/>
        <v>0.28938084848484852</v>
      </c>
      <c r="L531" s="1707">
        <f t="shared" si="277"/>
        <v>0.3100509090909091</v>
      </c>
      <c r="M531" s="1707">
        <f t="shared" si="277"/>
        <v>0.3100509090909091</v>
      </c>
      <c r="N531" s="1707">
        <f t="shared" si="277"/>
        <v>1.0335030303030306</v>
      </c>
      <c r="O531" s="1707">
        <f t="shared" si="277"/>
        <v>1.0335030303030306</v>
      </c>
      <c r="P531" s="1707">
        <f t="shared" si="277"/>
        <v>0.18086303030303036</v>
      </c>
      <c r="Q531" s="1707">
        <f t="shared" si="277"/>
        <v>0.18086303030303036</v>
      </c>
      <c r="R531" s="1707">
        <f t="shared" si="277"/>
        <v>2.0670060606060612</v>
      </c>
      <c r="S531" s="1707">
        <f t="shared" si="277"/>
        <v>0.32555345454545448</v>
      </c>
      <c r="T531" s="1707">
        <f t="shared" si="277"/>
        <v>0.32555345454545448</v>
      </c>
      <c r="U531" s="1707">
        <f t="shared" si="277"/>
        <v>0.19636557575757582</v>
      </c>
      <c r="V531" s="1707">
        <f t="shared" si="277"/>
        <v>5.1675151515151523</v>
      </c>
      <c r="W531" s="1707">
        <f t="shared" si="277"/>
        <v>5.1675151515151523</v>
      </c>
      <c r="X531" s="1707">
        <f t="shared" si="277"/>
        <v>4.960814545454547E-2</v>
      </c>
      <c r="Y531" s="1707">
        <f t="shared" si="277"/>
        <v>1.3435539393939397</v>
      </c>
      <c r="Z531" s="1707">
        <f t="shared" si="277"/>
        <v>1.3693915151515152</v>
      </c>
      <c r="AA531" s="1707">
        <f t="shared" si="277"/>
        <v>3.6172606060606061</v>
      </c>
      <c r="AB531" s="1707">
        <f t="shared" si="277"/>
        <v>1.0335030303030304</v>
      </c>
      <c r="AC531" s="1707">
        <f t="shared" si="277"/>
        <v>1.0335030303030304</v>
      </c>
      <c r="AD531" s="1707">
        <f t="shared" si="277"/>
        <v>1.0335030303030304</v>
      </c>
      <c r="AE531" s="1707" t="str">
        <f t="shared" si="277"/>
        <v>PVL</v>
      </c>
      <c r="AF531" s="1707" t="str">
        <f t="shared" si="277"/>
        <v>PVL</v>
      </c>
      <c r="AG531" s="1707">
        <f t="shared" si="277"/>
        <v>95.082278787878806</v>
      </c>
      <c r="AH531" s="1707">
        <f t="shared" si="277"/>
        <v>95.082278787878792</v>
      </c>
      <c r="AI531" s="1707">
        <f t="shared" si="277"/>
        <v>5.1675151515151505</v>
      </c>
      <c r="AJ531" s="1707">
        <f t="shared" si="277"/>
        <v>5.1675151515151523</v>
      </c>
      <c r="AK531" s="1707">
        <f t="shared" si="277"/>
        <v>5.1675151515151523</v>
      </c>
      <c r="AL531" s="1707" t="str">
        <f t="shared" si="277"/>
        <v>PVL</v>
      </c>
      <c r="AM531" s="1707" t="str">
        <f t="shared" si="277"/>
        <v>PVL</v>
      </c>
      <c r="AN531" s="1707">
        <f t="shared" si="277"/>
        <v>0.10851781818181817</v>
      </c>
      <c r="AO531" s="1707" t="str">
        <f t="shared" si="277"/>
        <v>PVL</v>
      </c>
      <c r="AP531" s="1707" t="str">
        <f t="shared" si="277"/>
        <v>PVL</v>
      </c>
      <c r="AQ531" s="1707" t="str">
        <f t="shared" si="277"/>
        <v>PVL</v>
      </c>
      <c r="AR531" s="1707" t="str">
        <f t="shared" si="277"/>
        <v>PVL</v>
      </c>
      <c r="AS531" s="1707" t="str">
        <f t="shared" si="277"/>
        <v>PVL</v>
      </c>
      <c r="AT531" s="1707" t="str">
        <f t="shared" si="277"/>
        <v>PVL</v>
      </c>
      <c r="AU531" s="1707" t="str">
        <f t="shared" si="277"/>
        <v>PVL</v>
      </c>
      <c r="AV531" s="1707" t="str">
        <f t="shared" si="277"/>
        <v>PVL</v>
      </c>
      <c r="AW531" s="1707" t="str">
        <f t="shared" si="277"/>
        <v>PVL</v>
      </c>
      <c r="AX531" s="1707" t="str">
        <f t="shared" si="277"/>
        <v>PVL</v>
      </c>
      <c r="AY531" s="1707" t="str">
        <f t="shared" si="277"/>
        <v>PVL</v>
      </c>
      <c r="AZ531" s="1707" t="str">
        <f t="shared" si="277"/>
        <v>PVL</v>
      </c>
      <c r="BA531" s="1707" t="str">
        <f t="shared" si="277"/>
        <v>PVL</v>
      </c>
      <c r="BB531" s="1707" t="str">
        <f t="shared" si="277"/>
        <v>PVL</v>
      </c>
      <c r="BC531" s="1707" t="str">
        <f t="shared" si="277"/>
        <v>PVL</v>
      </c>
      <c r="BD531" s="1707">
        <f t="shared" si="277"/>
        <v>5.2778751942993356</v>
      </c>
      <c r="BE531" s="1707">
        <f t="shared" si="277"/>
        <v>5.9449264730932896</v>
      </c>
      <c r="BF531" s="1707">
        <f t="shared" si="277"/>
        <v>11.889852946186579</v>
      </c>
      <c r="BG531" s="1707">
        <f t="shared" si="277"/>
        <v>1.5502545454545454E-4</v>
      </c>
      <c r="BH531" s="1707">
        <f t="shared" si="277"/>
        <v>6.2667764386209565E-2</v>
      </c>
      <c r="BI531" s="1707">
        <f t="shared" si="277"/>
        <v>2.8938084848484862E-2</v>
      </c>
    </row>
    <row r="532" spans="1:61" s="2099" customFormat="1">
      <c r="C532" s="2453"/>
      <c r="D532" s="2454"/>
      <c r="E532" s="3948" t="s">
        <v>992</v>
      </c>
      <c r="F532" s="3" t="str">
        <f>F529</f>
        <v>CTsa-&gt;ERI</v>
      </c>
      <c r="G532" s="2101" t="str">
        <f>G529</f>
        <v>(ERI)/(mg/lsa)</v>
      </c>
      <c r="H532" s="1707" t="str">
        <f t="shared" ref="H532:AM532" si="278">IF(H512=0,"PVL",H$16/(H526+H529)/H$20)</f>
        <v>PVL</v>
      </c>
      <c r="I532" s="1707" t="str">
        <f t="shared" si="278"/>
        <v>PVL</v>
      </c>
      <c r="J532" s="1707" t="str">
        <f t="shared" si="278"/>
        <v>PVL</v>
      </c>
      <c r="K532" s="1707">
        <f t="shared" si="278"/>
        <v>1.8086303030303033</v>
      </c>
      <c r="L532" s="1707" t="str">
        <f t="shared" si="278"/>
        <v>PVL</v>
      </c>
      <c r="M532" s="1707" t="str">
        <f t="shared" si="278"/>
        <v>PVL</v>
      </c>
      <c r="N532" s="1707">
        <f t="shared" si="278"/>
        <v>0.90431515151515141</v>
      </c>
      <c r="O532" s="1707">
        <f t="shared" si="278"/>
        <v>0.90431515151515141</v>
      </c>
      <c r="P532" s="1707">
        <f t="shared" si="278"/>
        <v>0.30654750898818695</v>
      </c>
      <c r="Q532" s="1707">
        <f t="shared" si="278"/>
        <v>0.30654750898818695</v>
      </c>
      <c r="R532" s="1707">
        <f t="shared" si="278"/>
        <v>1.8086303030303033</v>
      </c>
      <c r="S532" s="1707">
        <f t="shared" si="278"/>
        <v>7.863610013175229E-2</v>
      </c>
      <c r="T532" s="1707">
        <f t="shared" si="278"/>
        <v>7.863610013175229E-2</v>
      </c>
      <c r="U532" s="1707">
        <f t="shared" si="278"/>
        <v>4.3062626262626261E-2</v>
      </c>
      <c r="V532" s="1707" t="str">
        <f t="shared" si="278"/>
        <v>PVL</v>
      </c>
      <c r="W532" s="1707" t="str">
        <f t="shared" si="278"/>
        <v>PVL</v>
      </c>
      <c r="X532" s="1707">
        <f t="shared" si="278"/>
        <v>0.30143838383838378</v>
      </c>
      <c r="Y532" s="1707" t="str">
        <f t="shared" si="278"/>
        <v>PVL</v>
      </c>
      <c r="Z532" s="1707">
        <f t="shared" si="278"/>
        <v>0.72345212121212132</v>
      </c>
      <c r="AA532" s="1707" t="str">
        <f t="shared" si="278"/>
        <v>PVL</v>
      </c>
      <c r="AB532" s="1707" t="str">
        <f t="shared" si="278"/>
        <v>PVL</v>
      </c>
      <c r="AC532" s="1707" t="str">
        <f t="shared" si="278"/>
        <v>PVL</v>
      </c>
      <c r="AD532" s="1707" t="str">
        <f t="shared" si="278"/>
        <v>PVL</v>
      </c>
      <c r="AE532" s="1707" t="str">
        <f t="shared" si="278"/>
        <v>PVL</v>
      </c>
      <c r="AF532" s="1707" t="str">
        <f t="shared" si="278"/>
        <v>PVL</v>
      </c>
      <c r="AG532" s="1707" t="str">
        <f t="shared" si="278"/>
        <v>PVL</v>
      </c>
      <c r="AH532" s="1707" t="str">
        <f t="shared" si="278"/>
        <v>PVL</v>
      </c>
      <c r="AI532" s="1707" t="str">
        <f t="shared" si="278"/>
        <v>PVL</v>
      </c>
      <c r="AJ532" s="1707" t="str">
        <f t="shared" si="278"/>
        <v>PVL</v>
      </c>
      <c r="AK532" s="1707" t="str">
        <f t="shared" si="278"/>
        <v>PVL</v>
      </c>
      <c r="AL532" s="1707" t="str">
        <f t="shared" si="278"/>
        <v>PVL</v>
      </c>
      <c r="AM532" s="1707" t="str">
        <f t="shared" si="278"/>
        <v>PVL</v>
      </c>
      <c r="AN532" s="1707">
        <f t="shared" ref="AN532:BI532" si="279">IF(AN512=0,"PVL",AN$16/(AN526+AN529)/AN$20)</f>
        <v>5.3195008912655974E-2</v>
      </c>
      <c r="AO532" s="1707">
        <f t="shared" si="279"/>
        <v>1.6442093663911845</v>
      </c>
      <c r="AP532" s="1707">
        <f t="shared" si="279"/>
        <v>1.644209366391185</v>
      </c>
      <c r="AQ532" s="1707">
        <f t="shared" si="279"/>
        <v>1.6442093663911848</v>
      </c>
      <c r="AR532" s="1707">
        <f t="shared" si="279"/>
        <v>1.6442093663911845</v>
      </c>
      <c r="AS532" s="1707">
        <f t="shared" si="279"/>
        <v>0.16442093663911844</v>
      </c>
      <c r="AT532" s="1707">
        <f t="shared" si="279"/>
        <v>13.154145551585552</v>
      </c>
      <c r="AU532" s="1707">
        <f t="shared" si="279"/>
        <v>13.673586408369026</v>
      </c>
      <c r="AV532" s="1707">
        <f t="shared" si="279"/>
        <v>0.85709083503923134</v>
      </c>
      <c r="AW532" s="1707">
        <f t="shared" si="279"/>
        <v>8.894834879041202</v>
      </c>
      <c r="AX532" s="1707">
        <f t="shared" si="279"/>
        <v>25.270727844530022</v>
      </c>
      <c r="AY532" s="1707">
        <f t="shared" si="279"/>
        <v>36.821902441274965</v>
      </c>
      <c r="AZ532" s="1707">
        <f t="shared" si="279"/>
        <v>5.5140575185531677</v>
      </c>
      <c r="BA532" s="1707">
        <f t="shared" si="279"/>
        <v>31.926643924100116</v>
      </c>
      <c r="BB532" s="1707">
        <f t="shared" si="279"/>
        <v>201.64106781763837</v>
      </c>
      <c r="BC532" s="1707">
        <f t="shared" si="279"/>
        <v>75904423.757560849</v>
      </c>
      <c r="BD532" s="1707" t="str">
        <f t="shared" si="279"/>
        <v>PVL</v>
      </c>
      <c r="BE532" s="1707">
        <f t="shared" si="279"/>
        <v>0.4728918785415116</v>
      </c>
      <c r="BF532" s="1707">
        <f t="shared" si="279"/>
        <v>0.9457837570830232</v>
      </c>
      <c r="BG532" s="1707" t="str">
        <f t="shared" si="279"/>
        <v>PVL</v>
      </c>
      <c r="BH532" s="1707" t="str">
        <f t="shared" si="279"/>
        <v>PVL</v>
      </c>
      <c r="BI532" s="1707" t="str">
        <f t="shared" si="279"/>
        <v>PVL</v>
      </c>
    </row>
    <row r="533" spans="1:61" s="2099" customFormat="1">
      <c r="C533" s="2453"/>
      <c r="D533" s="2454"/>
      <c r="E533" s="3500" t="s">
        <v>493</v>
      </c>
      <c r="F533" s="3" t="str">
        <f>F532</f>
        <v>CTsa-&gt;ERI</v>
      </c>
      <c r="G533" s="2101" t="str">
        <f>G532</f>
        <v>(ERI)/(mg/lsa)</v>
      </c>
      <c r="H533" s="1707">
        <f t="shared" ref="H533:BI533" si="280">IF(MIN(H531:H532)&gt;0,MIN(H531:H532),H531)</f>
        <v>7.234521212121213</v>
      </c>
      <c r="I533" s="1707">
        <f t="shared" si="280"/>
        <v>7.234521212121213</v>
      </c>
      <c r="J533" s="1707">
        <f>IF(MIN(J531:J532)&gt;0,MIN(J531:J532),J531)</f>
        <v>180.86303030303029</v>
      </c>
      <c r="K533" s="1707">
        <f t="shared" si="280"/>
        <v>0.28938084848484852</v>
      </c>
      <c r="L533" s="1707">
        <f t="shared" si="280"/>
        <v>0.3100509090909091</v>
      </c>
      <c r="M533" s="1707">
        <f t="shared" si="280"/>
        <v>0.3100509090909091</v>
      </c>
      <c r="N533" s="1707">
        <f>IF(MIN(N531:N532)&gt;0,MIN(N531:N532),N531)</f>
        <v>0.90431515151515141</v>
      </c>
      <c r="O533" s="1707">
        <f>IF(MIN(O531:O532)&gt;0,MIN(O531:O532),O531)</f>
        <v>0.90431515151515141</v>
      </c>
      <c r="P533" s="1707">
        <f t="shared" si="280"/>
        <v>0.18086303030303036</v>
      </c>
      <c r="Q533" s="1707">
        <f t="shared" si="280"/>
        <v>0.18086303030303036</v>
      </c>
      <c r="R533" s="1707">
        <f>IF(MIN(R531:R532)&gt;0,MIN(R531:R532),R531)</f>
        <v>1.8086303030303033</v>
      </c>
      <c r="S533" s="1707">
        <f>IF(MIN(S531:S532)&gt;0,MIN(S531:S532),S531)</f>
        <v>7.863610013175229E-2</v>
      </c>
      <c r="T533" s="1707">
        <f>IF(MIN(T531:T532)&gt;0,MIN(T531:T532),T531)</f>
        <v>7.863610013175229E-2</v>
      </c>
      <c r="U533" s="1707">
        <f t="shared" si="280"/>
        <v>4.3062626262626261E-2</v>
      </c>
      <c r="V533" s="1707">
        <f t="shared" si="280"/>
        <v>5.1675151515151523</v>
      </c>
      <c r="W533" s="1707">
        <f t="shared" si="280"/>
        <v>5.1675151515151523</v>
      </c>
      <c r="X533" s="1707">
        <f t="shared" si="280"/>
        <v>4.960814545454547E-2</v>
      </c>
      <c r="Y533" s="1707">
        <f t="shared" si="280"/>
        <v>1.3435539393939397</v>
      </c>
      <c r="Z533" s="1707">
        <f t="shared" si="280"/>
        <v>0.72345212121212132</v>
      </c>
      <c r="AA533" s="1707">
        <f t="shared" si="280"/>
        <v>3.6172606060606061</v>
      </c>
      <c r="AB533" s="1707">
        <f t="shared" si="280"/>
        <v>1.0335030303030304</v>
      </c>
      <c r="AC533" s="1707">
        <f t="shared" si="280"/>
        <v>1.0335030303030304</v>
      </c>
      <c r="AD533" s="1707">
        <f t="shared" si="280"/>
        <v>1.0335030303030304</v>
      </c>
      <c r="AE533" s="1707" t="str">
        <f t="shared" si="280"/>
        <v>PVL</v>
      </c>
      <c r="AF533" s="1707" t="str">
        <f t="shared" si="280"/>
        <v>PVL</v>
      </c>
      <c r="AG533" s="1707">
        <f t="shared" si="280"/>
        <v>95.082278787878806</v>
      </c>
      <c r="AH533" s="1707">
        <f t="shared" si="280"/>
        <v>95.082278787878792</v>
      </c>
      <c r="AI533" s="1707">
        <f t="shared" si="280"/>
        <v>5.1675151515151505</v>
      </c>
      <c r="AJ533" s="1707">
        <f t="shared" si="280"/>
        <v>5.1675151515151523</v>
      </c>
      <c r="AK533" s="1707">
        <f t="shared" si="280"/>
        <v>5.1675151515151523</v>
      </c>
      <c r="AL533" s="1707" t="str">
        <f t="shared" si="280"/>
        <v>PVL</v>
      </c>
      <c r="AM533" s="1707" t="str">
        <f t="shared" si="280"/>
        <v>PVL</v>
      </c>
      <c r="AN533" s="1707">
        <f t="shared" si="280"/>
        <v>5.3195008912655974E-2</v>
      </c>
      <c r="AO533" s="1707">
        <f t="shared" si="280"/>
        <v>1.6442093663911845</v>
      </c>
      <c r="AP533" s="1707">
        <f t="shared" si="280"/>
        <v>1.644209366391185</v>
      </c>
      <c r="AQ533" s="1707">
        <f t="shared" si="280"/>
        <v>1.6442093663911848</v>
      </c>
      <c r="AR533" s="1707">
        <f t="shared" si="280"/>
        <v>1.6442093663911845</v>
      </c>
      <c r="AS533" s="1707">
        <f t="shared" si="280"/>
        <v>0.16442093663911844</v>
      </c>
      <c r="AT533" s="1707">
        <f t="shared" si="280"/>
        <v>13.154145551585552</v>
      </c>
      <c r="AU533" s="1707">
        <f t="shared" si="280"/>
        <v>13.673586408369026</v>
      </c>
      <c r="AV533" s="1707">
        <f t="shared" si="280"/>
        <v>0.85709083503923134</v>
      </c>
      <c r="AW533" s="1707">
        <f t="shared" si="280"/>
        <v>8.894834879041202</v>
      </c>
      <c r="AX533" s="1707">
        <f t="shared" si="280"/>
        <v>25.270727844530022</v>
      </c>
      <c r="AY533" s="1707">
        <f t="shared" si="280"/>
        <v>36.821902441274965</v>
      </c>
      <c r="AZ533" s="1707">
        <f t="shared" si="280"/>
        <v>5.5140575185531677</v>
      </c>
      <c r="BA533" s="1707">
        <f t="shared" si="280"/>
        <v>31.926643924100116</v>
      </c>
      <c r="BB533" s="1707">
        <f t="shared" si="280"/>
        <v>201.64106781763837</v>
      </c>
      <c r="BC533" s="1707">
        <f t="shared" si="280"/>
        <v>75904423.757560849</v>
      </c>
      <c r="BD533" s="1707">
        <f t="shared" si="280"/>
        <v>5.2778751942993356</v>
      </c>
      <c r="BE533" s="1707">
        <f t="shared" si="280"/>
        <v>0.4728918785415116</v>
      </c>
      <c r="BF533" s="1707">
        <f t="shared" si="280"/>
        <v>0.9457837570830232</v>
      </c>
      <c r="BG533" s="1707">
        <f t="shared" si="280"/>
        <v>1.5502545454545454E-4</v>
      </c>
      <c r="BH533" s="1707">
        <f t="shared" si="280"/>
        <v>6.2667764386209565E-2</v>
      </c>
      <c r="BI533" s="1707">
        <f t="shared" si="280"/>
        <v>2.8938084848484862E-2</v>
      </c>
    </row>
    <row r="534" spans="1:61" s="2099" customFormat="1">
      <c r="C534" s="2453"/>
      <c r="D534" s="2454"/>
      <c r="E534" s="3500" t="s">
        <v>499</v>
      </c>
      <c r="F534" s="3" t="s">
        <v>19</v>
      </c>
      <c r="G534" s="2101" t="s">
        <v>20</v>
      </c>
      <c r="H534" s="1707">
        <f>IF(H533&lt;'3phas'!H$23,H533,"PVL")</f>
        <v>7.234521212121213</v>
      </c>
      <c r="I534" s="1707">
        <f>IF(I533&lt;'3phas'!I$23,I533,"PVL")</f>
        <v>7.234521212121213</v>
      </c>
      <c r="J534" s="1707">
        <f>IF(J533&lt;'3phas'!J$23,J533,"PVL")</f>
        <v>180.86303030303029</v>
      </c>
      <c r="K534" s="1707">
        <f>IF(K533&lt;'3phas'!K$23,K533,"PVL")</f>
        <v>0.28938084848484852</v>
      </c>
      <c r="L534" s="1707">
        <f>IF(L533&lt;'3phas'!L$23,L533,"PVL")</f>
        <v>0.3100509090909091</v>
      </c>
      <c r="M534" s="1707">
        <f>IF(M533&lt;'3phas'!M$23,M533,"PVL")</f>
        <v>0.3100509090909091</v>
      </c>
      <c r="N534" s="1707">
        <f>IF(N533&lt;'3phas'!N$23,N533,"PVL")</f>
        <v>0.90431515151515141</v>
      </c>
      <c r="O534" s="1707">
        <f>IF(O533&lt;'3phas'!O$23,O533,"PVL")</f>
        <v>0.90431515151515141</v>
      </c>
      <c r="P534" s="1707">
        <f>IF(P533&lt;'3phas'!P$23,P533,"PVL")</f>
        <v>0.18086303030303036</v>
      </c>
      <c r="Q534" s="1707">
        <f>IF(Q533&lt;'3phas'!Q$23,Q533,"PVL")</f>
        <v>0.18086303030303036</v>
      </c>
      <c r="R534" s="1707">
        <f>IF(R533&lt;'3phas'!R$23,R533,"PVL")</f>
        <v>1.8086303030303033</v>
      </c>
      <c r="S534" s="1707">
        <f>IF(S533&lt;'3phas'!S$23,S533,"PVL")</f>
        <v>7.863610013175229E-2</v>
      </c>
      <c r="T534" s="1707">
        <f>IF(T533&lt;'3phas'!T$23,T533,"PVL")</f>
        <v>7.863610013175229E-2</v>
      </c>
      <c r="U534" s="1707">
        <f>IF(U533&lt;'3phas'!U$23,U533,"PVL")</f>
        <v>4.3062626262626261E-2</v>
      </c>
      <c r="V534" s="1707">
        <f>IF(V533&lt;'3phas'!V$23,V533,"PVL")</f>
        <v>5.1675151515151523</v>
      </c>
      <c r="W534" s="1707">
        <f>IF(W533&lt;'3phas'!W$23,W533,"PVL")</f>
        <v>5.1675151515151523</v>
      </c>
      <c r="X534" s="1707">
        <f>IF(X533&lt;'3phas'!X$23,X533,"PVL")</f>
        <v>4.960814545454547E-2</v>
      </c>
      <c r="Y534" s="1707">
        <f>IF(Y533&lt;'3phas'!Y$23,Y533,"PVL")</f>
        <v>1.3435539393939397</v>
      </c>
      <c r="Z534" s="1707">
        <f>IF(Z533&lt;'3phas'!Z$23,Z533,"PVL")</f>
        <v>0.72345212121212132</v>
      </c>
      <c r="AA534" s="1707">
        <f>IF(AA533&lt;'3phas'!AA$23,AA533,"PVL")</f>
        <v>3.6172606060606061</v>
      </c>
      <c r="AB534" s="1707">
        <f>IF(AB533&lt;'3phas'!AB$23,AB533,"PVL")</f>
        <v>1.0335030303030304</v>
      </c>
      <c r="AC534" s="1707">
        <f>IF(AC533&lt;'3phas'!AC$23,AC533,"PVL")</f>
        <v>1.0335030303030304</v>
      </c>
      <c r="AD534" s="1707">
        <f>IF(AD533&lt;'3phas'!AD$23,AD533,"PVL")</f>
        <v>1.0335030303030304</v>
      </c>
      <c r="AE534" s="1707" t="str">
        <f>IF(AE533&lt;'3phas'!AE$23,AE533,"PVL")</f>
        <v>PVL</v>
      </c>
      <c r="AF534" s="1707" t="str">
        <f>IF(AF533&lt;'3phas'!AF$23,AF533,"PVL")</f>
        <v>PVL</v>
      </c>
      <c r="AG534" s="1707">
        <f>IF(AG533&lt;'3phas'!AG$23,AG533,"PVL")</f>
        <v>95.082278787878806</v>
      </c>
      <c r="AH534" s="1707" t="str">
        <f>IF(AH533&lt;'3phas'!AH$23,AH533,"PVL")</f>
        <v>PVL</v>
      </c>
      <c r="AI534" s="1707">
        <f>IF(AI533&lt;'3phas'!AI$23,AI533,"PVL")</f>
        <v>5.1675151515151505</v>
      </c>
      <c r="AJ534" s="1707">
        <f>IF(AJ533&lt;'3phas'!AJ$23,AJ533,"PVL")</f>
        <v>5.1675151515151523</v>
      </c>
      <c r="AK534" s="1707" t="str">
        <f>IF(AK533&lt;'3phas'!AK$23,AK533,"PVL")</f>
        <v>PVL</v>
      </c>
      <c r="AL534" s="1707" t="str">
        <f>IF(AL533&lt;'3phas'!AL$23,AL533,"PVL")</f>
        <v>PVL</v>
      </c>
      <c r="AM534" s="1707" t="str">
        <f>IF(AM533&lt;'3phas'!AM$23,AM533,"PVL")</f>
        <v>PVL</v>
      </c>
      <c r="AN534" s="1707">
        <f>IF(AN533&lt;'3phas'!AN$23,AN533,"PVL")</f>
        <v>5.3195008912655974E-2</v>
      </c>
      <c r="AO534" s="1707">
        <f>IF(AO533&lt;'3phas'!AO$23,AO533,"PVL")</f>
        <v>1.6442093663911845</v>
      </c>
      <c r="AP534" s="1707">
        <f>IF(AP533&lt;'3phas'!AP$23,AP533,"PVL")</f>
        <v>1.644209366391185</v>
      </c>
      <c r="AQ534" s="1707">
        <f>IF(AQ533&lt;'3phas'!AQ$23,AQ533,"PVL")</f>
        <v>1.6442093663911848</v>
      </c>
      <c r="AR534" s="1707">
        <f>IF(AR533&lt;'3phas'!AR$23,AR533,"PVL")</f>
        <v>1.6442093663911845</v>
      </c>
      <c r="AS534" s="1707">
        <f>IF(AS533&lt;'3phas'!AS$23,AS533,"PVL")</f>
        <v>0.16442093663911844</v>
      </c>
      <c r="AT534" s="1707" t="str">
        <f>IF(AT533&lt;'3phas'!AT$23,AT533,"PVL")</f>
        <v>PVL</v>
      </c>
      <c r="AU534" s="1707" t="str">
        <f>IF(AU533&lt;'3phas'!AU$23,AU533,"PVL")</f>
        <v>PVL</v>
      </c>
      <c r="AV534" s="1707">
        <f>IF(AV533&lt;'3phas'!AV$23,AV533,"PVL")</f>
        <v>0.85709083503923134</v>
      </c>
      <c r="AW534" s="1707" t="str">
        <f>IF(AW533&lt;'3phas'!AW$23,AW533,"PVL")</f>
        <v>PVL</v>
      </c>
      <c r="AX534" s="1707" t="str">
        <f>IF(AX533&lt;'3phas'!AX$23,AX533,"PVL")</f>
        <v>PVL</v>
      </c>
      <c r="AY534" s="1707" t="str">
        <f>IF(AY533&lt;'3phas'!AY$23,AY533,"PVL")</f>
        <v>PVL</v>
      </c>
      <c r="AZ534" s="1707" t="str">
        <f>IF(AZ533&lt;'3phas'!AZ$23,AZ533,"PVL")</f>
        <v>PVL</v>
      </c>
      <c r="BA534" s="1707" t="str">
        <f>IF(BA533&lt;'3phas'!BA$23,BA533,"PVL")</f>
        <v>PVL</v>
      </c>
      <c r="BB534" s="1707" t="str">
        <f>IF(BB533&lt;'3phas'!BB$23,BB533,"PVL")</f>
        <v>PVL</v>
      </c>
      <c r="BC534" s="1707" t="str">
        <f>IF(BC533&lt;'3phas'!BC$23,BC533,"PVL")</f>
        <v>PVL</v>
      </c>
      <c r="BD534" s="1707">
        <f>IF(BD533&lt;'3phas'!BD$23,BD533,"PVL")</f>
        <v>5.2778751942993356</v>
      </c>
      <c r="BE534" s="1707">
        <f>IF(BE533&lt;'3phas'!BE$23,BE533,"PVL")</f>
        <v>0.4728918785415116</v>
      </c>
      <c r="BF534" s="1707">
        <f>IF(BF533&lt;'3phas'!BF$23,BF533,"PVL")</f>
        <v>0.9457837570830232</v>
      </c>
      <c r="BG534" s="1707" t="str">
        <f>IF(BG533&lt;'3phas'!BG$23,BG533,"PVL")</f>
        <v>PVL</v>
      </c>
      <c r="BH534" s="1707">
        <f>IF(BH533&lt;'3phas'!BH$23,BH533,"PVL")</f>
        <v>6.2667764386209565E-2</v>
      </c>
      <c r="BI534" s="1707">
        <f>IF(BI533&lt;'3phas'!BI$23,BI533,"PVL")</f>
        <v>2.8938084848484862E-2</v>
      </c>
    </row>
    <row r="535" spans="1:61" s="2511" customFormat="1" ht="13.5" thickBot="1">
      <c r="C535" s="2494"/>
      <c r="D535" s="2495"/>
      <c r="E535" s="3956" t="s">
        <v>476</v>
      </c>
      <c r="F535" s="2511" t="str">
        <f>F518</f>
        <v>Csao</v>
      </c>
      <c r="G535" s="2522" t="s">
        <v>24</v>
      </c>
      <c r="H535" s="2512">
        <f>IF(H534="PVL",H534,H534*'3phas'!H$26*1000)</f>
        <v>19.059284996997324</v>
      </c>
      <c r="I535" s="2512">
        <f>IF(I534="PVL",I534,I534*'3phas'!I$26*1000)</f>
        <v>19.059284996997324</v>
      </c>
      <c r="J535" s="2512">
        <f>IF(J534="PVL",J534,J534*'3phas'!J$26*1000)</f>
        <v>3127.9655508237247</v>
      </c>
      <c r="K535" s="2512">
        <f>IF(K534="PVL",K534,K534*'3phas'!K$26*1000)</f>
        <v>1115.0751978349901</v>
      </c>
      <c r="L535" s="2512">
        <f>IF(L534="PVL",L534,L534*'3phas'!L$26*1000)</f>
        <v>223.3727255373062</v>
      </c>
      <c r="M535" s="2512">
        <f>IF(M534="PVL",M534,M534*'3phas'!M$26*1000)</f>
        <v>223.3727255373062</v>
      </c>
      <c r="N535" s="2512">
        <f>IF(N534="PVL",N534,N534*'3phas'!N$26*1000)</f>
        <v>1284.968919746218</v>
      </c>
      <c r="O535" s="2512">
        <f>IF(O534="PVL",O534,O534*'3phas'!O$26*1000)</f>
        <v>1284.968919746218</v>
      </c>
      <c r="P535" s="2512">
        <f>IF(P534="PVL",P534,P534*'3phas'!P$26*1000)</f>
        <v>280.5706722367384</v>
      </c>
      <c r="Q535" s="2512">
        <f>IF(Q534="PVL",Q534,Q534*'3phas'!Q$26*1000)</f>
        <v>280.5706722367384</v>
      </c>
      <c r="R535" s="2512">
        <f>IF(R534="PVL",R534,R534*'3phas'!R$26*1000)</f>
        <v>1127.817118613948</v>
      </c>
      <c r="S535" s="2512">
        <f>IF(S534="PVL",S534,S534*'3phas'!S$26*1000)</f>
        <v>46.003944069580591</v>
      </c>
      <c r="T535" s="2512">
        <f>IF(T534="PVL",T534,T534*'3phas'!T$26*1000)</f>
        <v>46.003944069580591</v>
      </c>
      <c r="U535" s="2512">
        <f>IF(U534="PVL",U534,U534*'3phas'!U$26*1000)</f>
        <v>118.6058295640955</v>
      </c>
      <c r="V535" s="2512">
        <f>IF(V534="PVL",V534,V534*'3phas'!V$26*1000)</f>
        <v>23296.105508792771</v>
      </c>
      <c r="W535" s="2512">
        <f>IF(W534="PVL",W534,W534*'3phas'!W$26*1000)</f>
        <v>23296.105508792771</v>
      </c>
      <c r="X535" s="2512">
        <f>IF(X534="PVL",X534,X534*'3phas'!X$26*1000)</f>
        <v>42.903932996838442</v>
      </c>
      <c r="Y535" s="2512">
        <f>IF(Y534="PVL",Y534,Y534*'3phas'!Y$26*1000)</f>
        <v>805.32166015097914</v>
      </c>
      <c r="Z535" s="2512">
        <f>IF(Z534="PVL",Z534,Z534*'3phas'!Z$26*1000)</f>
        <v>256.80591390590763</v>
      </c>
      <c r="AA535" s="2512">
        <f>IF(AA534="PVL",AA534,AA534*'3phas'!AA$26*1000)</f>
        <v>861.40367070672505</v>
      </c>
      <c r="AB535" s="2512">
        <f>IF(AB534="PVL",AB534,AB534*'3phas'!AB$26*1000)</f>
        <v>278.34927118724164</v>
      </c>
      <c r="AC535" s="2512">
        <f>IF(AC534="PVL",AC534,AC534*'3phas'!AC$26*1000)</f>
        <v>54.315537828852015</v>
      </c>
      <c r="AD535" s="2512">
        <f>IF(AD534="PVL",AD534,AD534*'3phas'!AD$26*1000)</f>
        <v>10.63135972460775</v>
      </c>
      <c r="AE535" s="2512" t="str">
        <f>IF(AE534="PVL",AE534,AE534*'3phas'!AE$26*1000)</f>
        <v>PVL</v>
      </c>
      <c r="AF535" s="2512" t="str">
        <f>IF(AF534="PVL",AF534,AF534*'3phas'!AF$26*1000)</f>
        <v>PVL</v>
      </c>
      <c r="AG535" s="2512">
        <f>IF(AG534="PVL",AG534,AG534*'3phas'!AG$26*1000)</f>
        <v>588947.92019305448</v>
      </c>
      <c r="AH535" s="2512" t="str">
        <f>IF(AH534="PVL",AH534,AH534*'3phas'!AH$26*1000)</f>
        <v>PVL</v>
      </c>
      <c r="AI535" s="2512">
        <f>IF(AI534="PVL",AI534,AI534*'3phas'!AI$26*1000)</f>
        <v>9744.7938404108008</v>
      </c>
      <c r="AJ535" s="2512">
        <f>IF(AJ534="PVL",AJ534,AJ534*'3phas'!AJ$26*1000)</f>
        <v>2319.6814056859121</v>
      </c>
      <c r="AK535" s="2512" t="str">
        <f>IF(AK534="PVL",AK534,AK534*'3phas'!AK$26*1000)</f>
        <v>PVL</v>
      </c>
      <c r="AL535" s="2512" t="str">
        <f>IF(AL534="PVL",AL534,AL534*'3phas'!AL$26*1000)</f>
        <v>PVL</v>
      </c>
      <c r="AM535" s="2512" t="str">
        <f>IF(AM534="PVL",AM534,AM534*'3phas'!AM$26*1000)</f>
        <v>PVL</v>
      </c>
      <c r="AN535" s="2512">
        <f>IF(AN534="PVL",AN534,AN534*'3phas'!AN$26*1000)</f>
        <v>0.22738241076872465</v>
      </c>
      <c r="AO535" s="2512">
        <f>IF(AO534="PVL",AO534,AO534*'3phas'!AO$26*1000)</f>
        <v>1.9195185291702399</v>
      </c>
      <c r="AP535" s="2512">
        <f>IF(AP534="PVL",AP534,AP534*'3phas'!AP$26*1000)</f>
        <v>3.2112595561238635</v>
      </c>
      <c r="AQ535" s="2512">
        <f>IF(AQ534="PVL",AQ534,AQ534*'3phas'!AQ$26*1000)</f>
        <v>1.3002830144824098</v>
      </c>
      <c r="AR535" s="2512">
        <f>IF(AR534="PVL",AR534,AR534*'3phas'!AR$26*1000)</f>
        <v>0.26033869429659723</v>
      </c>
      <c r="AS535" s="2512">
        <f>IF(AS534="PVL",AS534,AS534*'3phas'!AS$26*1000)</f>
        <v>3.3625861751863967E-2</v>
      </c>
      <c r="AT535" s="2512" t="str">
        <f>IF(AT534="PVL",AT534,AT534*'3phas'!AT$26*1000)</f>
        <v>PVL</v>
      </c>
      <c r="AU535" s="2512" t="str">
        <f>IF(AU534="PVL",AU534,AU534*'3phas'!AU$26*1000)</f>
        <v>PVL</v>
      </c>
      <c r="AV535" s="2512">
        <f>IF(AV534="PVL",AV534,AV534*'3phas'!AV$26*1000)</f>
        <v>1.9636996814466393E-3</v>
      </c>
      <c r="AW535" s="2512" t="str">
        <f>IF(AW534="PVL",AW534,AW534*'3phas'!AW$26*1000)</f>
        <v>PVL</v>
      </c>
      <c r="AX535" s="2512" t="str">
        <f>IF(AX534="PVL",AX534,AX534*'3phas'!AX$26*1000)</f>
        <v>PVL</v>
      </c>
      <c r="AY535" s="2512" t="str">
        <f>IF(AY534="PVL",AY534,AY534*'3phas'!AY$26*1000)</f>
        <v>PVL</v>
      </c>
      <c r="AZ535" s="2512" t="str">
        <f>IF(AZ534="PVL",AZ534,AZ534*'3phas'!AZ$26*1000)</f>
        <v>PVL</v>
      </c>
      <c r="BA535" s="2512" t="str">
        <f>IF(BA534="PVL",BA534,BA534*'3phas'!BA$26*1000)</f>
        <v>PVL</v>
      </c>
      <c r="BB535" s="2512" t="str">
        <f>IF(BB534="PVL",BB534,BB534*'3phas'!BB$26*1000)</f>
        <v>PVL</v>
      </c>
      <c r="BC535" s="2512" t="str">
        <f>IF(BC534="PVL",BC534,BC534*'3phas'!BC$26*1000)</f>
        <v>PVL</v>
      </c>
      <c r="BD535" s="2512">
        <f>IF(BD534="PVL",BD534,BD534*'3phas'!BD$26*1000)</f>
        <v>0.49373020562086922</v>
      </c>
      <c r="BE535" s="2512">
        <f>IF(BE534="PVL",BE534,BE534*'3phas'!BE$26*1000)</f>
        <v>9.8184984072331965E-4</v>
      </c>
      <c r="BF535" s="2512">
        <f>IF(BF534="PVL",BF534,BF534*'3phas'!BF$26*1000)</f>
        <v>1.9636996814466393E-3</v>
      </c>
      <c r="BG535" s="2512" t="str">
        <f>IF(BG534="PVL",BG534,BG534*'3phas'!BG$26*1000)</f>
        <v>PVL</v>
      </c>
      <c r="BH535" s="2512">
        <f>IF(BH534="PVL",BH534,BH534*'3phas'!BH$26*1000)</f>
        <v>7.7957400887505709E-3</v>
      </c>
      <c r="BI535" s="2512">
        <f>IF(BI534="PVL",BI534,BI534*'3phas'!BI$26*1000)</f>
        <v>2.7853294197755504E-2</v>
      </c>
    </row>
    <row r="536" spans="1:61">
      <c r="A536" s="397"/>
      <c r="B536" s="41"/>
      <c r="C536" s="2107"/>
      <c r="D536" s="263"/>
      <c r="E536" s="103"/>
      <c r="F536" s="14"/>
      <c r="G536" s="105"/>
      <c r="H536" s="113"/>
      <c r="I536" s="113"/>
      <c r="J536" s="113"/>
      <c r="K536" s="113"/>
      <c r="L536" s="113"/>
      <c r="M536" s="113"/>
      <c r="N536" s="113"/>
      <c r="O536" s="113"/>
      <c r="P536" s="113"/>
      <c r="Q536" s="113"/>
      <c r="R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c r="AM536" s="113"/>
      <c r="AN536" s="113"/>
      <c r="AO536" s="113"/>
      <c r="AP536" s="113"/>
      <c r="AQ536" s="113"/>
      <c r="AR536" s="113"/>
      <c r="AS536" s="113"/>
      <c r="AT536" s="113"/>
      <c r="AU536" s="113"/>
      <c r="AV536" s="113"/>
      <c r="AW536" s="113"/>
      <c r="AX536" s="113"/>
      <c r="AY536" s="113"/>
      <c r="AZ536" s="113"/>
      <c r="BA536" s="113"/>
      <c r="BB536" s="113"/>
      <c r="BC536" s="113"/>
      <c r="BD536" s="113"/>
      <c r="BE536" s="113"/>
      <c r="BF536" s="113"/>
      <c r="BG536" s="113"/>
      <c r="BH536" s="113"/>
      <c r="BI536" s="113"/>
    </row>
    <row r="537" spans="1:61" ht="15.75">
      <c r="A537" s="397"/>
      <c r="B537" s="41"/>
      <c r="C537" s="2486"/>
      <c r="D537" s="2487"/>
      <c r="E537" s="2472" t="s">
        <v>497</v>
      </c>
      <c r="F537" s="2441"/>
      <c r="G537" s="2431"/>
      <c r="H537" s="2544"/>
      <c r="I537" s="2544"/>
      <c r="J537" s="113"/>
      <c r="K537" s="113"/>
      <c r="L537" s="113"/>
      <c r="M537" s="113"/>
      <c r="N537" s="113"/>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3"/>
      <c r="AW537" s="113"/>
      <c r="AX537" s="113"/>
      <c r="AY537" s="113"/>
      <c r="AZ537" s="113"/>
      <c r="BA537" s="113"/>
      <c r="BB537" s="113"/>
      <c r="BC537" s="113"/>
      <c r="BD537" s="113"/>
      <c r="BE537" s="113"/>
      <c r="BF537" s="113"/>
      <c r="BG537" s="113"/>
      <c r="BH537" s="113"/>
      <c r="BI537" s="113"/>
    </row>
    <row r="538" spans="1:61">
      <c r="A538" s="397"/>
      <c r="B538" s="41"/>
      <c r="C538" s="2486"/>
      <c r="D538" s="2487"/>
      <c r="E538" s="103"/>
      <c r="F538" s="147"/>
      <c r="G538" s="161"/>
      <c r="H538" s="113"/>
      <c r="I538" s="113"/>
      <c r="J538" s="113"/>
      <c r="K538" s="113"/>
      <c r="L538" s="113"/>
      <c r="M538" s="113"/>
      <c r="N538" s="113"/>
      <c r="O538" s="113"/>
      <c r="P538" s="113"/>
      <c r="Q538" s="113"/>
      <c r="R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c r="AM538" s="113"/>
      <c r="AN538" s="113"/>
      <c r="AO538" s="113"/>
      <c r="AP538" s="113"/>
      <c r="AQ538" s="113"/>
      <c r="AR538" s="113"/>
      <c r="AS538" s="113"/>
      <c r="AT538" s="113"/>
      <c r="AU538" s="113"/>
      <c r="AV538" s="113"/>
      <c r="AW538" s="113"/>
      <c r="AX538" s="113"/>
      <c r="AY538" s="113"/>
      <c r="AZ538" s="113"/>
      <c r="BA538" s="113"/>
      <c r="BB538" s="113"/>
      <c r="BC538" s="113"/>
      <c r="BD538" s="113"/>
      <c r="BE538" s="113"/>
      <c r="BF538" s="113"/>
      <c r="BG538" s="113"/>
      <c r="BH538" s="113"/>
      <c r="BI538" s="113"/>
    </row>
    <row r="539" spans="1:61" s="43" customFormat="1">
      <c r="A539" s="398"/>
      <c r="B539" s="100"/>
      <c r="C539" s="2453"/>
      <c r="D539" s="2454"/>
      <c r="E539" s="102" t="str">
        <f>'3phas'!E29</f>
        <v>Concentration dans l'air du sol</v>
      </c>
      <c r="F539" s="12" t="str">
        <f>'3phas'!F29</f>
        <v>Csao</v>
      </c>
      <c r="G539" s="89" t="str">
        <f>'3phas'!G29</f>
        <v>mg/lsa</v>
      </c>
      <c r="H539" s="113">
        <f>'3phas'!H29</f>
        <v>2.6344915493597683E-5</v>
      </c>
      <c r="I539" s="113">
        <f>'3phas'!I29</f>
        <v>2.6344915493597683E-5</v>
      </c>
      <c r="J539" s="113">
        <f>'3phas'!J29</f>
        <v>1.7294665170559828E-4</v>
      </c>
      <c r="K539" s="113">
        <f>'3phas'!K29</f>
        <v>3.8533137340406046E-2</v>
      </c>
      <c r="L539" s="113">
        <f>'3phas'!L29</f>
        <v>7.2043886661145619E-3</v>
      </c>
      <c r="M539" s="113">
        <f>'3phas'!M29</f>
        <v>7.2043886661145619E-3</v>
      </c>
      <c r="N539" s="113">
        <f>'3phas'!N29</f>
        <v>1.4209304329284909E-2</v>
      </c>
      <c r="O539" s="113">
        <f>'3phas'!O29</f>
        <v>1.4209304329284909E-2</v>
      </c>
      <c r="P539" s="113">
        <f>'3phas'!P29</f>
        <v>1.5512881309499849E-2</v>
      </c>
      <c r="Q539" s="113">
        <f>'3phas'!Q29</f>
        <v>1.5512881309499849E-2</v>
      </c>
      <c r="R539" s="113">
        <f>'3phas'!R29</f>
        <v>6.2357526395766232E-3</v>
      </c>
      <c r="S539" s="113">
        <f>'3phas'!S29</f>
        <v>5.8502321443335116E-3</v>
      </c>
      <c r="T539" s="113">
        <f>'3phas'!T29</f>
        <v>5.8502321443335116E-3</v>
      </c>
      <c r="U539" s="113">
        <f>'3phas'!U29</f>
        <v>2.7542637283837157E-2</v>
      </c>
      <c r="V539" s="113">
        <f>'3phas'!V29</f>
        <v>4.5081833000455138E-2</v>
      </c>
      <c r="W539" s="113">
        <f>'3phas'!W29</f>
        <v>4.5081833000455138E-2</v>
      </c>
      <c r="X539" s="113">
        <f>'3phas'!X29</f>
        <v>8.6485661989017699E-3</v>
      </c>
      <c r="Y539" s="113">
        <f>'3phas'!Y29</f>
        <v>5.993965977385691E-3</v>
      </c>
      <c r="Z539" s="113">
        <f>'3phas'!Z29</f>
        <v>3.5497292270791521E-3</v>
      </c>
      <c r="AA539" s="113">
        <f>'3phas'!AA29</f>
        <v>2.3813702260309095E-3</v>
      </c>
      <c r="AB539" s="113">
        <f>'3phas'!AB29</f>
        <v>2.6932603294411986E-3</v>
      </c>
      <c r="AC539" s="113">
        <f>'3phas'!AC29</f>
        <v>5.2554793006195943E-4</v>
      </c>
      <c r="AD539" s="113">
        <f>'3phas'!AD29</f>
        <v>1.028672332145031E-4</v>
      </c>
      <c r="AE539" s="113">
        <f>'3phas'!AE29</f>
        <v>1.2826753318511306E-5</v>
      </c>
      <c r="AF539" s="113">
        <f>'3phas'!AF29</f>
        <v>5.3163648152556569E-8</v>
      </c>
      <c r="AG539" s="113">
        <f>'3phas'!AG29</f>
        <v>6.1940871390656474E-2</v>
      </c>
      <c r="AH539" s="113">
        <f>'3phas'!AH29</f>
        <v>4.6377578561443124E-2</v>
      </c>
      <c r="AI539" s="113">
        <f>'3phas'!AI29</f>
        <v>1.8857794422825369E-2</v>
      </c>
      <c r="AJ539" s="113">
        <f>'3phas'!AJ29</f>
        <v>4.4889687551390436E-3</v>
      </c>
      <c r="AK539" s="113">
        <f>'3phas'!AK29</f>
        <v>1.0233523087107474E-3</v>
      </c>
      <c r="AL539" s="113">
        <f>'3phas'!AL29</f>
        <v>7.7579419375401509E-5</v>
      </c>
      <c r="AM539" s="113">
        <f>'3phas'!AM29</f>
        <v>5.3702795063791614E-7</v>
      </c>
      <c r="AN539" s="113">
        <f>'3phas'!AN29</f>
        <v>4.2745064887962941E-5</v>
      </c>
      <c r="AO539" s="113">
        <f>'3phas'!AO29</f>
        <v>1.1674416703897762E-5</v>
      </c>
      <c r="AP539" s="113">
        <f>'3phas'!AP29</f>
        <v>1.9530721705911088E-5</v>
      </c>
      <c r="AQ539" s="113">
        <f>'3phas'!AQ29</f>
        <v>7.908256947449179E-6</v>
      </c>
      <c r="AR539" s="113">
        <f>'3phas'!AR29</f>
        <v>1.5833670554255824E-6</v>
      </c>
      <c r="AS539" s="113">
        <f>'3phas'!AS29</f>
        <v>2.0451082714404039E-6</v>
      </c>
      <c r="AT539" s="113">
        <f>'3phas'!AT29</f>
        <v>1.4928371240425742E-7</v>
      </c>
      <c r="AU539" s="113">
        <f>'3phas'!AU29</f>
        <v>1.4361262823078676E-7</v>
      </c>
      <c r="AV539" s="113">
        <f>'3phas'!AV29</f>
        <v>2.2911220155058073E-8</v>
      </c>
      <c r="AW539" s="113">
        <f>'3phas'!AW29</f>
        <v>2.2076853681384033E-8</v>
      </c>
      <c r="AX539" s="113">
        <f>'3phas'!AX29</f>
        <v>7.7706494784308005E-10</v>
      </c>
      <c r="AY539" s="113">
        <f>'3phas'!AY29</f>
        <v>5.3329663902576087E-10</v>
      </c>
      <c r="AZ539" s="113">
        <f>'3phas'!AZ29</f>
        <v>3.5612607863435816E-10</v>
      </c>
      <c r="BA539" s="113">
        <f>'3phas'!BA29</f>
        <v>6.150661140942291E-11</v>
      </c>
      <c r="BB539" s="113">
        <f>'3phas'!BB29</f>
        <v>9.7385899742535782E-10</v>
      </c>
      <c r="BC539" s="113">
        <f>'3phas'!BC29</f>
        <v>2.5870688218630141E-16</v>
      </c>
      <c r="BD539" s="113">
        <f>'3phas'!BD29</f>
        <v>9.3547154384050273E-7</v>
      </c>
      <c r="BE539" s="113">
        <f>'3phas'!BE29</f>
        <v>2.0762670819205671E-8</v>
      </c>
      <c r="BF539" s="113">
        <f>'3phas'!BF29</f>
        <v>2.0762670819205671E-8</v>
      </c>
      <c r="BG539" s="113">
        <f>'3phas'!BG29</f>
        <v>1.696696593449333E-2</v>
      </c>
      <c r="BH539" s="113">
        <f>'3phas'!BH29</f>
        <v>1.2439792874542166E-6</v>
      </c>
      <c r="BI539" s="113">
        <f>'3phas'!BI29</f>
        <v>9.6251339173241278E-6</v>
      </c>
    </row>
    <row r="540" spans="1:61" s="43" customFormat="1">
      <c r="A540" s="398"/>
      <c r="B540" s="100"/>
      <c r="C540" s="2453"/>
      <c r="D540" s="2454"/>
      <c r="E540" s="102"/>
      <c r="F540" s="12"/>
      <c r="G540" s="89"/>
      <c r="H540" s="113"/>
      <c r="I540" s="113"/>
      <c r="J540" s="113"/>
      <c r="K540" s="113"/>
      <c r="L540" s="113"/>
      <c r="M540" s="113"/>
      <c r="N540" s="113"/>
      <c r="O540" s="113"/>
      <c r="P540" s="113"/>
      <c r="Q540" s="113"/>
      <c r="R540" s="113"/>
      <c r="S540" s="113"/>
      <c r="T540" s="113"/>
      <c r="U540" s="113"/>
      <c r="V540" s="113"/>
      <c r="W540" s="113"/>
      <c r="X540" s="113"/>
      <c r="Y540" s="113"/>
      <c r="Z540" s="113"/>
      <c r="AA540" s="113"/>
      <c r="AB540" s="113"/>
      <c r="AC540" s="113"/>
      <c r="AD540" s="113"/>
      <c r="AE540" s="113"/>
      <c r="AF540" s="113"/>
      <c r="AG540" s="113"/>
      <c r="AH540" s="113"/>
      <c r="AI540" s="113"/>
      <c r="AJ540" s="113"/>
      <c r="AK540" s="113"/>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row>
    <row r="541" spans="1:61" s="43" customFormat="1">
      <c r="A541" s="397"/>
      <c r="B541" s="100"/>
      <c r="C541" s="2453"/>
      <c r="D541" s="2454"/>
      <c r="E541" s="145" t="s">
        <v>255</v>
      </c>
      <c r="F541" s="60"/>
      <c r="G541" s="143"/>
      <c r="H541" s="113"/>
      <c r="I541" s="113"/>
      <c r="J541" s="113"/>
      <c r="K541" s="113"/>
      <c r="L541" s="113"/>
      <c r="M541" s="113"/>
      <c r="N541" s="113"/>
      <c r="O541" s="113"/>
      <c r="P541" s="113"/>
      <c r="Q541" s="113"/>
      <c r="R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3"/>
      <c r="BG541" s="113"/>
      <c r="BH541" s="113"/>
      <c r="BI541" s="113"/>
    </row>
    <row r="542" spans="1:61" ht="25.5">
      <c r="A542" s="400"/>
      <c r="B542" s="39"/>
      <c r="C542" s="2492" t="s">
        <v>214</v>
      </c>
      <c r="D542" s="2493"/>
      <c r="E542" s="141" t="str">
        <f>Dispers!E65</f>
        <v>CT dispersion: émission int. -&gt; air atmosphq int.</v>
      </c>
      <c r="F542" s="95" t="str">
        <f>Dispers!F65</f>
        <v>CTémi-&gt;ia</v>
      </c>
      <c r="G542" s="142" t="str">
        <f>Dispers!G65</f>
        <v>(mg/m3)/ (mg/m2/s)</v>
      </c>
      <c r="H542" s="186">
        <f>Dispers!$H$65</f>
        <v>482.14285714285711</v>
      </c>
      <c r="I542" s="186">
        <f>Dispers!$H$65</f>
        <v>482.14285714285711</v>
      </c>
      <c r="J542" s="186">
        <f>Dispers!$H$65</f>
        <v>482.14285714285711</v>
      </c>
      <c r="K542" s="186">
        <f>Dispers!$H$65</f>
        <v>482.14285714285711</v>
      </c>
      <c r="L542" s="186">
        <f>Dispers!$H$65</f>
        <v>482.14285714285711</v>
      </c>
      <c r="M542" s="186">
        <f>Dispers!$H$65</f>
        <v>482.14285714285711</v>
      </c>
      <c r="N542" s="186">
        <f>Dispers!$H$65</f>
        <v>482.14285714285711</v>
      </c>
      <c r="O542" s="186">
        <f>Dispers!$H$65</f>
        <v>482.14285714285711</v>
      </c>
      <c r="P542" s="186">
        <f>Dispers!$H$65</f>
        <v>482.14285714285711</v>
      </c>
      <c r="Q542" s="186">
        <f>Dispers!$H$65</f>
        <v>482.14285714285711</v>
      </c>
      <c r="R542" s="186">
        <f>Dispers!$H$65</f>
        <v>482.14285714285711</v>
      </c>
      <c r="S542" s="186">
        <f>Dispers!$H$65</f>
        <v>482.14285714285711</v>
      </c>
      <c r="T542" s="186">
        <f>Dispers!$H$65</f>
        <v>482.14285714285711</v>
      </c>
      <c r="U542" s="186">
        <f>Dispers!$H$65</f>
        <v>482.14285714285711</v>
      </c>
      <c r="V542" s="186">
        <f>Dispers!$H$65</f>
        <v>482.14285714285711</v>
      </c>
      <c r="W542" s="186">
        <f>Dispers!$H$65</f>
        <v>482.14285714285711</v>
      </c>
      <c r="X542" s="186">
        <f>Dispers!$H$65</f>
        <v>482.14285714285711</v>
      </c>
      <c r="Y542" s="186">
        <f>Dispers!$H$65</f>
        <v>482.14285714285711</v>
      </c>
      <c r="Z542" s="186">
        <f>Dispers!$H$65</f>
        <v>482.14285714285711</v>
      </c>
      <c r="AA542" s="186">
        <f>Dispers!$H$65</f>
        <v>482.14285714285711</v>
      </c>
      <c r="AB542" s="186">
        <f>Dispers!$H$65</f>
        <v>482.14285714285711</v>
      </c>
      <c r="AC542" s="186">
        <f>Dispers!$H$65</f>
        <v>482.14285714285711</v>
      </c>
      <c r="AD542" s="186">
        <f>Dispers!$H$65</f>
        <v>482.14285714285711</v>
      </c>
      <c r="AE542" s="186">
        <f>Dispers!$H$65</f>
        <v>482.14285714285711</v>
      </c>
      <c r="AF542" s="186">
        <f>Dispers!$H$65</f>
        <v>482.14285714285711</v>
      </c>
      <c r="AG542" s="186">
        <f>Dispers!$H$65</f>
        <v>482.14285714285711</v>
      </c>
      <c r="AH542" s="186">
        <f>Dispers!$H$65</f>
        <v>482.14285714285711</v>
      </c>
      <c r="AI542" s="186">
        <f>Dispers!$H$65</f>
        <v>482.14285714285711</v>
      </c>
      <c r="AJ542" s="186">
        <f>Dispers!$H$65</f>
        <v>482.14285714285711</v>
      </c>
      <c r="AK542" s="186">
        <f>Dispers!$H$65</f>
        <v>482.14285714285711</v>
      </c>
      <c r="AL542" s="186">
        <f>Dispers!$H$65</f>
        <v>482.14285714285711</v>
      </c>
      <c r="AM542" s="186">
        <f>Dispers!$H$65</f>
        <v>482.14285714285711</v>
      </c>
      <c r="AN542" s="186">
        <f>Dispers!$H$65</f>
        <v>482.14285714285711</v>
      </c>
      <c r="AO542" s="186">
        <f>Dispers!$H$65</f>
        <v>482.14285714285711</v>
      </c>
      <c r="AP542" s="186">
        <f>Dispers!$H$65</f>
        <v>482.14285714285711</v>
      </c>
      <c r="AQ542" s="186">
        <f>Dispers!$H$65</f>
        <v>482.14285714285711</v>
      </c>
      <c r="AR542" s="186">
        <f>Dispers!$H$65</f>
        <v>482.14285714285711</v>
      </c>
      <c r="AS542" s="186">
        <f>Dispers!$H$65</f>
        <v>482.14285714285711</v>
      </c>
      <c r="AT542" s="186">
        <f>Dispers!$H$65</f>
        <v>482.14285714285711</v>
      </c>
      <c r="AU542" s="186">
        <f>Dispers!$H$65</f>
        <v>482.14285714285711</v>
      </c>
      <c r="AV542" s="186">
        <f>Dispers!$H$65</f>
        <v>482.14285714285711</v>
      </c>
      <c r="AW542" s="186">
        <f>Dispers!$H$65</f>
        <v>482.14285714285711</v>
      </c>
      <c r="AX542" s="186">
        <f>Dispers!$H$65</f>
        <v>482.14285714285711</v>
      </c>
      <c r="AY542" s="186">
        <f>Dispers!$H$65</f>
        <v>482.14285714285711</v>
      </c>
      <c r="AZ542" s="186">
        <f>Dispers!$H$65</f>
        <v>482.14285714285711</v>
      </c>
      <c r="BA542" s="186">
        <f>Dispers!$H$65</f>
        <v>482.14285714285711</v>
      </c>
      <c r="BB542" s="186">
        <f>Dispers!$H$65</f>
        <v>482.14285714285711</v>
      </c>
      <c r="BC542" s="186">
        <f>Dispers!$H$65</f>
        <v>482.14285714285711</v>
      </c>
      <c r="BD542" s="186">
        <f>Dispers!$H$65</f>
        <v>482.14285714285711</v>
      </c>
      <c r="BE542" s="186">
        <f>Dispers!$H$65</f>
        <v>482.14285714285711</v>
      </c>
      <c r="BF542" s="186">
        <f>Dispers!$H$65</f>
        <v>482.14285714285711</v>
      </c>
      <c r="BG542" s="186">
        <f>Dispers!$H$65</f>
        <v>482.14285714285711</v>
      </c>
      <c r="BH542" s="186">
        <f>Dispers!$H$65</f>
        <v>482.14285714285711</v>
      </c>
      <c r="BI542" s="186">
        <f>Dispers!$H$65</f>
        <v>482.14285714285711</v>
      </c>
    </row>
    <row r="543" spans="1:61">
      <c r="A543" s="33"/>
      <c r="B543" s="33"/>
      <c r="C543" s="2453"/>
      <c r="D543" s="2454"/>
      <c r="E543" s="588" t="s">
        <v>658</v>
      </c>
      <c r="F543" s="12"/>
      <c r="G543" s="89"/>
      <c r="H543" s="113"/>
      <c r="I543" s="113"/>
      <c r="J543" s="113"/>
      <c r="K543" s="113"/>
      <c r="L543" s="113"/>
      <c r="M543" s="113"/>
      <c r="N543" s="113"/>
      <c r="O543" s="113"/>
      <c r="P543" s="113"/>
      <c r="Q543" s="113"/>
      <c r="R543" s="113"/>
      <c r="S543" s="113"/>
      <c r="T543" s="113"/>
      <c r="U543" s="113"/>
      <c r="V543" s="113"/>
      <c r="W543" s="113"/>
      <c r="X543" s="113"/>
      <c r="Y543" s="113"/>
      <c r="Z543" s="113"/>
      <c r="AA543" s="113"/>
      <c r="AB543" s="113"/>
      <c r="AC543" s="113"/>
      <c r="AD543" s="113"/>
      <c r="AE543" s="113"/>
      <c r="AF543" s="113"/>
      <c r="AG543" s="113"/>
      <c r="AH543" s="113"/>
      <c r="AI543" s="113"/>
      <c r="AJ543" s="113"/>
      <c r="AK543" s="113"/>
      <c r="AL543" s="113"/>
      <c r="AM543" s="113"/>
      <c r="AN543" s="113"/>
      <c r="AO543" s="113"/>
      <c r="AP543" s="113"/>
      <c r="AQ543" s="113"/>
      <c r="AR543" s="113"/>
      <c r="AS543" s="113"/>
      <c r="AT543" s="113"/>
      <c r="AU543" s="113"/>
      <c r="AV543" s="113"/>
      <c r="AW543" s="113"/>
      <c r="AX543" s="113"/>
      <c r="AY543" s="113"/>
      <c r="AZ543" s="113"/>
      <c r="BA543" s="113"/>
      <c r="BB543" s="113"/>
      <c r="BC543" s="113"/>
      <c r="BD543" s="113"/>
      <c r="BE543" s="113"/>
      <c r="BF543" s="113"/>
      <c r="BG543" s="113"/>
      <c r="BH543" s="113"/>
      <c r="BI543" s="113"/>
    </row>
    <row r="544" spans="1:61">
      <c r="A544" s="33"/>
      <c r="B544" s="33"/>
      <c r="C544" s="2453"/>
      <c r="D544" s="2454"/>
      <c r="E544" s="200" t="str">
        <f>'EmVap-Vol'!E$226</f>
        <v>CT de l'air du sol de la source à l'émission (diffusion + convection), avant contrôle de masse</v>
      </c>
      <c r="F544" s="14" t="s">
        <v>204</v>
      </c>
      <c r="G544" s="89" t="str">
        <f>'EmVap-Vol'!G$226</f>
        <v>(mg/m2/s)/(mg/l)</v>
      </c>
      <c r="H544" s="113">
        <f>'EmVap-Vol'!H$226</f>
        <v>2.9869500750778842E-2</v>
      </c>
      <c r="I544" s="113">
        <f>'EmVap-Vol'!I$226</f>
        <v>2.9869500750778842E-2</v>
      </c>
      <c r="J544" s="113">
        <f>'EmVap-Vol'!J$226</f>
        <v>2.9869500750778842E-2</v>
      </c>
      <c r="K544" s="113">
        <f>'EmVap-Vol'!K$226</f>
        <v>2.9869500750778842E-2</v>
      </c>
      <c r="L544" s="113">
        <f>'EmVap-Vol'!L$226</f>
        <v>2.9869500750778842E-2</v>
      </c>
      <c r="M544" s="113">
        <f>'EmVap-Vol'!M$226</f>
        <v>2.9869500750778842E-2</v>
      </c>
      <c r="N544" s="113">
        <f>'EmVap-Vol'!N$226</f>
        <v>2.9869500750778842E-2</v>
      </c>
      <c r="O544" s="113">
        <f>'EmVap-Vol'!O$226</f>
        <v>2.9869500750778842E-2</v>
      </c>
      <c r="P544" s="113">
        <f>'EmVap-Vol'!P$226</f>
        <v>2.9869500750778842E-2</v>
      </c>
      <c r="Q544" s="113">
        <f>'EmVap-Vol'!Q$226</f>
        <v>2.9869500750778842E-2</v>
      </c>
      <c r="R544" s="113">
        <f>'EmVap-Vol'!R$226</f>
        <v>2.9875785047756648E-2</v>
      </c>
      <c r="S544" s="113">
        <f>'EmVap-Vol'!S$226</f>
        <v>2.9869500750778842E-2</v>
      </c>
      <c r="T544" s="113">
        <f>'EmVap-Vol'!T$226</f>
        <v>2.9869500750778842E-2</v>
      </c>
      <c r="U544" s="113">
        <f>'EmVap-Vol'!U$226</f>
        <v>2.9869500750778842E-2</v>
      </c>
      <c r="V544" s="113">
        <f>'EmVap-Vol'!V$226</f>
        <v>2.9869500750778842E-2</v>
      </c>
      <c r="W544" s="113">
        <f>'EmVap-Vol'!W$226</f>
        <v>2.9869500750778842E-2</v>
      </c>
      <c r="X544" s="113">
        <f>'EmVap-Vol'!X$226</f>
        <v>2.9869500750778842E-2</v>
      </c>
      <c r="Y544" s="113">
        <f>'EmVap-Vol'!Y$226</f>
        <v>2.9869500750778842E-2</v>
      </c>
      <c r="Z544" s="113">
        <f>'EmVap-Vol'!Z$226</f>
        <v>2.9869500750778842E-2</v>
      </c>
      <c r="AA544" s="113">
        <f>'EmVap-Vol'!AA$226</f>
        <v>2.9869500750778842E-2</v>
      </c>
      <c r="AB544" s="113">
        <f>'EmVap-Vol'!AB$226</f>
        <v>2.9869500750778842E-2</v>
      </c>
      <c r="AC544" s="113">
        <f>'EmVap-Vol'!AC$226</f>
        <v>2.9869500750778842E-2</v>
      </c>
      <c r="AD544" s="113">
        <f>'EmVap-Vol'!AD$226</f>
        <v>2.9869500750778842E-2</v>
      </c>
      <c r="AE544" s="113">
        <f>'EmVap-Vol'!AE$226</f>
        <v>2.9869500750778842E-2</v>
      </c>
      <c r="AF544" s="113">
        <f>'EmVap-Vol'!AF$226</f>
        <v>2.9869500750778842E-2</v>
      </c>
      <c r="AG544" s="113">
        <f>'EmVap-Vol'!AG$226</f>
        <v>2.9869500750778842E-2</v>
      </c>
      <c r="AH544" s="113">
        <f>'EmVap-Vol'!AH$226</f>
        <v>2.9869500750778842E-2</v>
      </c>
      <c r="AI544" s="113">
        <f>'EmVap-Vol'!AI$226</f>
        <v>2.9869500750778842E-2</v>
      </c>
      <c r="AJ544" s="113">
        <f>'EmVap-Vol'!AJ$226</f>
        <v>2.9869500750778842E-2</v>
      </c>
      <c r="AK544" s="113">
        <f>'EmVap-Vol'!AK$226</f>
        <v>2.9869500750778842E-2</v>
      </c>
      <c r="AL544" s="113">
        <f>'EmVap-Vol'!AL$226</f>
        <v>2.9869500750778842E-2</v>
      </c>
      <c r="AM544" s="113">
        <f>'EmVap-Vol'!AM$226</f>
        <v>2.9869500750778842E-2</v>
      </c>
      <c r="AN544" s="113">
        <f>'EmVap-Vol'!AN$226</f>
        <v>2.9869500750778842E-2</v>
      </c>
      <c r="AO544" s="113">
        <f>'EmVap-Vol'!AO$226</f>
        <v>2.9869500750778842E-2</v>
      </c>
      <c r="AP544" s="113">
        <f>'EmVap-Vol'!AP$226</f>
        <v>2.9869500750778842E-2</v>
      </c>
      <c r="AQ544" s="113">
        <f>'EmVap-Vol'!AQ$226</f>
        <v>2.9869500750778842E-2</v>
      </c>
      <c r="AR544" s="113">
        <f>'EmVap-Vol'!AR$226</f>
        <v>2.9869500750778842E-2</v>
      </c>
      <c r="AS544" s="113">
        <f>'EmVap-Vol'!AS$226</f>
        <v>2.9869500750778842E-2</v>
      </c>
      <c r="AT544" s="113">
        <f>'EmVap-Vol'!AT$226</f>
        <v>2.9869500750778842E-2</v>
      </c>
      <c r="AU544" s="113">
        <f>'EmVap-Vol'!AU$226</f>
        <v>2.9869500750778842E-2</v>
      </c>
      <c r="AV544" s="113">
        <f>'EmVap-Vol'!AV$226</f>
        <v>2.9869500750778842E-2</v>
      </c>
      <c r="AW544" s="113">
        <f>'EmVap-Vol'!AW$226</f>
        <v>2.9869500750778842E-2</v>
      </c>
      <c r="AX544" s="113">
        <f>'EmVap-Vol'!AX$226</f>
        <v>2.9869500750778842E-2</v>
      </c>
      <c r="AY544" s="113">
        <f>'EmVap-Vol'!AY$226</f>
        <v>2.9869500750778842E-2</v>
      </c>
      <c r="AZ544" s="113">
        <f>'EmVap-Vol'!AZ$226</f>
        <v>2.9869500750778842E-2</v>
      </c>
      <c r="BA544" s="113">
        <f>'EmVap-Vol'!BA$226</f>
        <v>2.9869500750778842E-2</v>
      </c>
      <c r="BB544" s="113">
        <f>'EmVap-Vol'!BB$226</f>
        <v>2.9869500750778842E-2</v>
      </c>
      <c r="BC544" s="113">
        <f>'EmVap-Vol'!BC$226</f>
        <v>2.9869500750778842E-2</v>
      </c>
      <c r="BD544" s="113">
        <f>'EmVap-Vol'!BD$226</f>
        <v>2.9869500750778842E-2</v>
      </c>
      <c r="BE544" s="113">
        <f>'EmVap-Vol'!BE$226</f>
        <v>2.9869500750778842E-2</v>
      </c>
      <c r="BF544" s="113">
        <f>'EmVap-Vol'!BF$226</f>
        <v>2.9869500750778842E-2</v>
      </c>
      <c r="BG544" s="113">
        <f>'EmVap-Vol'!BG$226</f>
        <v>2.9869500750778842E-2</v>
      </c>
      <c r="BH544" s="113">
        <f>'EmVap-Vol'!BH$226</f>
        <v>2.9869500750778842E-2</v>
      </c>
      <c r="BI544" s="113">
        <f>'EmVap-Vol'!BI$226</f>
        <v>2.9869500750778842E-2</v>
      </c>
    </row>
    <row r="545" spans="1:61">
      <c r="A545" s="97"/>
      <c r="B545" s="97"/>
      <c r="C545" s="2108"/>
      <c r="D545" s="2493"/>
      <c r="E545" s="722" t="s">
        <v>1114</v>
      </c>
      <c r="F545" s="96" t="s">
        <v>1115</v>
      </c>
      <c r="G545" s="144" t="s">
        <v>206</v>
      </c>
      <c r="H545" s="135">
        <f t="shared" ref="H545:AL545" si="281">H544*H542</f>
        <v>14.401366433411226</v>
      </c>
      <c r="I545" s="135">
        <f t="shared" si="281"/>
        <v>14.401366433411226</v>
      </c>
      <c r="J545" s="135">
        <f>J544*J542</f>
        <v>14.401366433411226</v>
      </c>
      <c r="K545" s="135">
        <f t="shared" si="281"/>
        <v>14.401366433411226</v>
      </c>
      <c r="L545" s="135">
        <f t="shared" si="281"/>
        <v>14.401366433411226</v>
      </c>
      <c r="M545" s="135">
        <f t="shared" si="281"/>
        <v>14.401366433411226</v>
      </c>
      <c r="N545" s="135">
        <f>N544*N542</f>
        <v>14.401366433411226</v>
      </c>
      <c r="O545" s="135">
        <f>O544*O542</f>
        <v>14.401366433411226</v>
      </c>
      <c r="P545" s="135">
        <f t="shared" si="281"/>
        <v>14.401366433411226</v>
      </c>
      <c r="Q545" s="135">
        <f t="shared" si="281"/>
        <v>14.401366433411226</v>
      </c>
      <c r="R545" s="135">
        <f>R544*R542</f>
        <v>14.404396362311241</v>
      </c>
      <c r="S545" s="135">
        <f>S544*S542</f>
        <v>14.401366433411226</v>
      </c>
      <c r="T545" s="135">
        <f>T544*T542</f>
        <v>14.401366433411226</v>
      </c>
      <c r="U545" s="135">
        <f t="shared" si="281"/>
        <v>14.401366433411226</v>
      </c>
      <c r="V545" s="135">
        <f t="shared" si="281"/>
        <v>14.401366433411226</v>
      </c>
      <c r="W545" s="135">
        <f t="shared" si="281"/>
        <v>14.401366433411226</v>
      </c>
      <c r="X545" s="135">
        <f t="shared" si="281"/>
        <v>14.401366433411226</v>
      </c>
      <c r="Y545" s="135">
        <f t="shared" si="281"/>
        <v>14.401366433411226</v>
      </c>
      <c r="Z545" s="135">
        <f t="shared" si="281"/>
        <v>14.401366433411226</v>
      </c>
      <c r="AA545" s="135">
        <f t="shared" si="281"/>
        <v>14.401366433411226</v>
      </c>
      <c r="AB545" s="135">
        <f t="shared" si="281"/>
        <v>14.401366433411226</v>
      </c>
      <c r="AC545" s="135">
        <f t="shared" si="281"/>
        <v>14.401366433411226</v>
      </c>
      <c r="AD545" s="135">
        <f t="shared" si="281"/>
        <v>14.401366433411226</v>
      </c>
      <c r="AE545" s="135">
        <f t="shared" si="281"/>
        <v>14.401366433411226</v>
      </c>
      <c r="AF545" s="135">
        <f t="shared" si="281"/>
        <v>14.401366433411226</v>
      </c>
      <c r="AG545" s="135">
        <f t="shared" si="281"/>
        <v>14.401366433411226</v>
      </c>
      <c r="AH545" s="135">
        <f t="shared" si="281"/>
        <v>14.401366433411226</v>
      </c>
      <c r="AI545" s="135">
        <f t="shared" si="281"/>
        <v>14.401366433411226</v>
      </c>
      <c r="AJ545" s="135">
        <f t="shared" si="281"/>
        <v>14.401366433411226</v>
      </c>
      <c r="AK545" s="135">
        <f t="shared" si="281"/>
        <v>14.401366433411226</v>
      </c>
      <c r="AL545" s="135">
        <f t="shared" si="281"/>
        <v>14.401366433411226</v>
      </c>
      <c r="AM545" s="135">
        <f t="shared" ref="AM545:BI545" si="282">AM544*AM542</f>
        <v>14.401366433411226</v>
      </c>
      <c r="AN545" s="135">
        <f t="shared" si="282"/>
        <v>14.401366433411226</v>
      </c>
      <c r="AO545" s="135">
        <f t="shared" si="282"/>
        <v>14.401366433411226</v>
      </c>
      <c r="AP545" s="135">
        <f t="shared" si="282"/>
        <v>14.401366433411226</v>
      </c>
      <c r="AQ545" s="135">
        <f t="shared" si="282"/>
        <v>14.401366433411226</v>
      </c>
      <c r="AR545" s="135">
        <f t="shared" si="282"/>
        <v>14.401366433411226</v>
      </c>
      <c r="AS545" s="135">
        <f t="shared" si="282"/>
        <v>14.401366433411226</v>
      </c>
      <c r="AT545" s="135">
        <f t="shared" si="282"/>
        <v>14.401366433411226</v>
      </c>
      <c r="AU545" s="135">
        <f t="shared" si="282"/>
        <v>14.401366433411226</v>
      </c>
      <c r="AV545" s="135">
        <f t="shared" si="282"/>
        <v>14.401366433411226</v>
      </c>
      <c r="AW545" s="135">
        <f t="shared" si="282"/>
        <v>14.401366433411226</v>
      </c>
      <c r="AX545" s="135">
        <f t="shared" si="282"/>
        <v>14.401366433411226</v>
      </c>
      <c r="AY545" s="135">
        <f t="shared" si="282"/>
        <v>14.401366433411226</v>
      </c>
      <c r="AZ545" s="135">
        <f t="shared" si="282"/>
        <v>14.401366433411226</v>
      </c>
      <c r="BA545" s="135">
        <f t="shared" si="282"/>
        <v>14.401366433411226</v>
      </c>
      <c r="BB545" s="135">
        <f t="shared" si="282"/>
        <v>14.401366433411226</v>
      </c>
      <c r="BC545" s="135">
        <f t="shared" si="282"/>
        <v>14.401366433411226</v>
      </c>
      <c r="BD545" s="135">
        <f t="shared" si="282"/>
        <v>14.401366433411226</v>
      </c>
      <c r="BE545" s="135">
        <f t="shared" si="282"/>
        <v>14.401366433411226</v>
      </c>
      <c r="BF545" s="135">
        <f t="shared" si="282"/>
        <v>14.401366433411226</v>
      </c>
      <c r="BG545" s="135">
        <f t="shared" si="282"/>
        <v>14.401366433411226</v>
      </c>
      <c r="BH545" s="135">
        <f t="shared" si="282"/>
        <v>14.401366433411226</v>
      </c>
      <c r="BI545" s="135">
        <f t="shared" si="282"/>
        <v>14.401366433411226</v>
      </c>
    </row>
    <row r="546" spans="1:61">
      <c r="A546" s="97"/>
      <c r="B546" s="97"/>
      <c r="C546" s="2492"/>
      <c r="D546" s="2493"/>
      <c r="E546" s="723" t="s">
        <v>681</v>
      </c>
      <c r="F546" s="62" t="s">
        <v>1116</v>
      </c>
      <c r="G546" s="107" t="s">
        <v>24</v>
      </c>
      <c r="H546" s="113">
        <f t="shared" ref="H546:BI546" si="283">H$25*H545</f>
        <v>3.7940278168055301E-4</v>
      </c>
      <c r="I546" s="113">
        <f t="shared" si="283"/>
        <v>3.7940278168055301E-4</v>
      </c>
      <c r="J546" s="113">
        <f>J$25*J545</f>
        <v>2.4906681046438653E-3</v>
      </c>
      <c r="K546" s="113">
        <f t="shared" si="283"/>
        <v>0.55492983066814838</v>
      </c>
      <c r="L546" s="113">
        <f t="shared" si="283"/>
        <v>0.10375304110943052</v>
      </c>
      <c r="M546" s="113">
        <f t="shared" si="283"/>
        <v>0.10375304110943052</v>
      </c>
      <c r="N546" s="113">
        <f>N$25*N545</f>
        <v>0.20463339840988851</v>
      </c>
      <c r="O546" s="113">
        <f>O$25*O545</f>
        <v>0.20463339840988851</v>
      </c>
      <c r="P546" s="113">
        <f t="shared" si="283"/>
        <v>0.2234066881761235</v>
      </c>
      <c r="Q546" s="113">
        <f t="shared" si="283"/>
        <v>0.2234066881761235</v>
      </c>
      <c r="R546" s="113">
        <f>R$25*R545</f>
        <v>8.9822252637790229E-2</v>
      </c>
      <c r="S546" s="113">
        <f>S$25*S545</f>
        <v>8.4251336831068016E-2</v>
      </c>
      <c r="T546" s="113">
        <f>T$25*T545</f>
        <v>8.4251336831068016E-2</v>
      </c>
      <c r="U546" s="113">
        <f t="shared" si="283"/>
        <v>0.396651612067073</v>
      </c>
      <c r="V546" s="113">
        <f t="shared" si="283"/>
        <v>0.64923999652940512</v>
      </c>
      <c r="W546" s="113">
        <f t="shared" si="283"/>
        <v>0.64923999652940512</v>
      </c>
      <c r="X546" s="113">
        <f t="shared" si="283"/>
        <v>0.12455117095399887</v>
      </c>
      <c r="Y546" s="113">
        <f t="shared" si="283"/>
        <v>8.6321300429731199E-2</v>
      </c>
      <c r="Z546" s="113">
        <f t="shared" si="283"/>
        <v>5.1120951338556479E-2</v>
      </c>
      <c r="AA546" s="113">
        <f t="shared" si="283"/>
        <v>3.4294985238686446E-2</v>
      </c>
      <c r="AB546" s="113">
        <f t="shared" si="283"/>
        <v>3.8786628904852537E-2</v>
      </c>
      <c r="AC546" s="113">
        <f t="shared" si="283"/>
        <v>7.5686083191430532E-3</v>
      </c>
      <c r="AD546" s="113">
        <f t="shared" si="283"/>
        <v>1.4814287195132295E-3</v>
      </c>
      <c r="AE546" s="113">
        <f t="shared" si="283"/>
        <v>1.8472277469085477E-4</v>
      </c>
      <c r="AF546" s="113">
        <f t="shared" si="283"/>
        <v>7.6562917798191298E-7</v>
      </c>
      <c r="AG546" s="113">
        <f t="shared" si="283"/>
        <v>0.89203318610164184</v>
      </c>
      <c r="AH546" s="113">
        <f t="shared" si="283"/>
        <v>0.66790050315765914</v>
      </c>
      <c r="AI546" s="113">
        <f t="shared" si="283"/>
        <v>0.27157800760904671</v>
      </c>
      <c r="AJ546" s="113">
        <f t="shared" si="283"/>
        <v>6.4647283950891199E-2</v>
      </c>
      <c r="AK546" s="113">
        <f t="shared" si="283"/>
        <v>1.4737671588220841E-2</v>
      </c>
      <c r="AL546" s="113">
        <f t="shared" si="283"/>
        <v>1.1172496461164397E-3</v>
      </c>
      <c r="AM546" s="113">
        <f t="shared" si="283"/>
        <v>7.7339363021205069E-6</v>
      </c>
      <c r="AN546" s="113">
        <f t="shared" si="283"/>
        <v>6.1558734267149428E-4</v>
      </c>
      <c r="AO546" s="113">
        <f t="shared" si="283"/>
        <v>1.6812755284916856E-4</v>
      </c>
      <c r="AP546" s="113">
        <f t="shared" si="283"/>
        <v>2.8126907999580399E-4</v>
      </c>
      <c r="AQ546" s="113">
        <f t="shared" si="283"/>
        <v>1.1388970614978573E-4</v>
      </c>
      <c r="AR546" s="113">
        <f t="shared" si="283"/>
        <v>2.2802649163775153E-5</v>
      </c>
      <c r="AS546" s="113">
        <f t="shared" si="283"/>
        <v>2.9452353613013489E-5</v>
      </c>
      <c r="AT546" s="113">
        <f t="shared" si="283"/>
        <v>2.149889444873688E-6</v>
      </c>
      <c r="AU546" s="113">
        <f t="shared" si="283"/>
        <v>2.0682180836168179E-6</v>
      </c>
      <c r="AV546" s="113">
        <f t="shared" si="283"/>
        <v>3.2995287688954809E-7</v>
      </c>
      <c r="AW546" s="113">
        <f t="shared" si="283"/>
        <v>3.179368595624151E-7</v>
      </c>
      <c r="AX546" s="113">
        <f t="shared" si="283"/>
        <v>1.1190797056447778E-8</v>
      </c>
      <c r="AY546" s="113">
        <f t="shared" si="283"/>
        <v>7.6802003163166166E-9</v>
      </c>
      <c r="AZ546" s="113">
        <f t="shared" si="283"/>
        <v>5.1287021549072127E-9</v>
      </c>
      <c r="BA546" s="113">
        <f t="shared" si="283"/>
        <v>8.8577924898453104E-10</v>
      </c>
      <c r="BB546" s="113">
        <f t="shared" si="283"/>
        <v>1.4024900276397058E-8</v>
      </c>
      <c r="BC546" s="113">
        <f t="shared" si="283"/>
        <v>3.7257326092102739E-15</v>
      </c>
      <c r="BD546" s="113">
        <f t="shared" si="283"/>
        <v>1.3472068490875995E-5</v>
      </c>
      <c r="BE546" s="113">
        <f t="shared" si="283"/>
        <v>2.9901083060367532E-7</v>
      </c>
      <c r="BF546" s="113">
        <f t="shared" si="283"/>
        <v>2.9901083060367532E-7</v>
      </c>
      <c r="BG546" s="113">
        <f t="shared" si="283"/>
        <v>0.24434749368584399</v>
      </c>
      <c r="BH546" s="113">
        <f t="shared" si="283"/>
        <v>1.7915001554201968E-5</v>
      </c>
      <c r="BI546" s="113">
        <f t="shared" si="283"/>
        <v>1.3861508051403961E-4</v>
      </c>
    </row>
    <row r="547" spans="1:61" ht="25.5">
      <c r="A547" s="97"/>
      <c r="B547" s="97"/>
      <c r="C547" s="2108"/>
      <c r="D547" s="2109"/>
      <c r="E547" s="103" t="s">
        <v>1015</v>
      </c>
      <c r="F547" s="14" t="s">
        <v>19</v>
      </c>
      <c r="G547" s="341" t="s">
        <v>18</v>
      </c>
      <c r="H547" s="113" t="str">
        <f t="shared" ref="H547:AM547" si="284">IF(H$13=0,"nd",IF(H546=0,"PVL",H$13*1000/H545/H$20))</f>
        <v>nd</v>
      </c>
      <c r="I547" s="113" t="str">
        <f t="shared" si="284"/>
        <v>nd</v>
      </c>
      <c r="J547" s="113" t="str">
        <f t="shared" si="284"/>
        <v>nd</v>
      </c>
      <c r="K547" s="113">
        <f t="shared" si="284"/>
        <v>0.46852770500182689</v>
      </c>
      <c r="L547" s="113">
        <f t="shared" si="284"/>
        <v>6.6014560176749724</v>
      </c>
      <c r="M547" s="113">
        <f t="shared" si="284"/>
        <v>6.6014560176749724</v>
      </c>
      <c r="N547" s="113">
        <f t="shared" si="284"/>
        <v>7.4719242392958893</v>
      </c>
      <c r="O547" s="113">
        <f t="shared" si="284"/>
        <v>7.4719242392958893</v>
      </c>
      <c r="P547" s="113">
        <f t="shared" si="284"/>
        <v>8.3295075640357599</v>
      </c>
      <c r="Q547" s="113">
        <f t="shared" si="284"/>
        <v>8.3295075640357599</v>
      </c>
      <c r="R547" s="113">
        <f t="shared" si="284"/>
        <v>9.8243951684144637</v>
      </c>
      <c r="S547" s="113">
        <f t="shared" si="284"/>
        <v>1.4133660276835032</v>
      </c>
      <c r="T547" s="113">
        <f t="shared" si="284"/>
        <v>1.4133660276835032</v>
      </c>
      <c r="U547" s="113">
        <f t="shared" si="284"/>
        <v>15.472605369114151</v>
      </c>
      <c r="V547" s="113">
        <f t="shared" si="284"/>
        <v>8.5409130800569031</v>
      </c>
      <c r="W547" s="113">
        <f t="shared" si="284"/>
        <v>8.5409130800569031</v>
      </c>
      <c r="X547" s="113">
        <f t="shared" si="284"/>
        <v>1.2180953167804813</v>
      </c>
      <c r="Y547" s="113">
        <f t="shared" si="284"/>
        <v>1.0833110580856959</v>
      </c>
      <c r="Z547" s="113">
        <f t="shared" si="284"/>
        <v>1.9072943096938233</v>
      </c>
      <c r="AA547" s="113">
        <f t="shared" si="284"/>
        <v>8.6527912033094276E-2</v>
      </c>
      <c r="AB547" s="113">
        <f t="shared" si="284"/>
        <v>0.43855059775955696</v>
      </c>
      <c r="AC547" s="113">
        <f t="shared" si="284"/>
        <v>0.59129748989618436</v>
      </c>
      <c r="AD547" s="113">
        <f t="shared" si="284"/>
        <v>3.0209344818069739</v>
      </c>
      <c r="AE547" s="113">
        <f t="shared" si="284"/>
        <v>24.227110645161982</v>
      </c>
      <c r="AF547" s="113">
        <f t="shared" si="284"/>
        <v>5845.2567245580994</v>
      </c>
      <c r="AG547" s="113">
        <f t="shared" si="284"/>
        <v>0.43677208521608607</v>
      </c>
      <c r="AH547" s="113">
        <f t="shared" si="284"/>
        <v>3.3204496719424021</v>
      </c>
      <c r="AI547" s="113">
        <f t="shared" si="284"/>
        <v>0.66037484972427585</v>
      </c>
      <c r="AJ547" s="113">
        <f t="shared" si="284"/>
        <v>1.0646495578200528</v>
      </c>
      <c r="AK547" s="113">
        <f t="shared" si="284"/>
        <v>25.78426298382961</v>
      </c>
      <c r="AL547" s="113">
        <f t="shared" si="284"/>
        <v>340.12094013265539</v>
      </c>
      <c r="AM547" s="113">
        <f t="shared" si="284"/>
        <v>49134.100043701015</v>
      </c>
      <c r="AN547" s="113">
        <f t="shared" ref="AN547:BI547" si="285">IF(AN$13=0,"nd",IF(AN546=0,"PVL",AN$13*1000/AN545/AN$20))</f>
        <v>7.2699660810032141</v>
      </c>
      <c r="AO547" s="113">
        <f t="shared" si="285"/>
        <v>26.618475230717056</v>
      </c>
      <c r="AP547" s="113">
        <f t="shared" si="285"/>
        <v>15.91109517328897</v>
      </c>
      <c r="AQ547" s="113">
        <f t="shared" si="285"/>
        <v>39.295027201412147</v>
      </c>
      <c r="AR547" s="113">
        <f t="shared" si="285"/>
        <v>196.26224431090384</v>
      </c>
      <c r="AS547" s="113">
        <f t="shared" si="285"/>
        <v>151.95047431249301</v>
      </c>
      <c r="AT547" s="113">
        <f t="shared" si="285"/>
        <v>2081.6415057005888</v>
      </c>
      <c r="AU547" s="113">
        <f t="shared" si="285"/>
        <v>2163.8429412097785</v>
      </c>
      <c r="AV547" s="113">
        <f t="shared" si="285"/>
        <v>13563.449251617756</v>
      </c>
      <c r="AW547" s="113">
        <f t="shared" si="285"/>
        <v>14076.062483840782</v>
      </c>
      <c r="AX547" s="113">
        <f t="shared" si="285"/>
        <v>399908.87856715644</v>
      </c>
      <c r="AY547" s="113">
        <f t="shared" si="285"/>
        <v>582706.03848819877</v>
      </c>
      <c r="AZ547" s="113">
        <f t="shared" si="285"/>
        <v>872598.75226613414</v>
      </c>
      <c r="BA547" s="113">
        <f t="shared" si="285"/>
        <v>5052386.479190168</v>
      </c>
      <c r="BB547" s="113">
        <f t="shared" si="285"/>
        <v>319096.67897234799</v>
      </c>
      <c r="BC547" s="113">
        <f t="shared" si="285"/>
        <v>1201186335823.8354</v>
      </c>
      <c r="BD547" s="113">
        <f t="shared" si="285"/>
        <v>116.13152129480251</v>
      </c>
      <c r="BE547" s="113" t="str">
        <f t="shared" si="285"/>
        <v>nd</v>
      </c>
      <c r="BF547" s="113" t="str">
        <f t="shared" si="285"/>
        <v>nd</v>
      </c>
      <c r="BG547" s="113" t="str">
        <f t="shared" si="285"/>
        <v>nd</v>
      </c>
      <c r="BH547" s="113" t="str">
        <f t="shared" si="285"/>
        <v>nd</v>
      </c>
      <c r="BI547" s="113" t="str">
        <f t="shared" si="285"/>
        <v>nd</v>
      </c>
    </row>
    <row r="548" spans="1:61" s="2443" customFormat="1" ht="25.5">
      <c r="A548" s="2438"/>
      <c r="B548" s="2439"/>
      <c r="C548" s="2108"/>
      <c r="D548" s="2109"/>
      <c r="E548" s="2514" t="s">
        <v>1016</v>
      </c>
      <c r="F548" s="2440" t="s">
        <v>19</v>
      </c>
      <c r="G548" s="2431" t="s">
        <v>20</v>
      </c>
      <c r="H548" s="2442" t="str">
        <f>IF(H547&lt;'3phas'!H$23,H547,"PVL")</f>
        <v>PVL</v>
      </c>
      <c r="I548" s="2442" t="str">
        <f>IF(I547&lt;'3phas'!I$23,I547,"PVL")</f>
        <v>PVL</v>
      </c>
      <c r="J548" s="2442" t="str">
        <f>IF(J547&lt;'3phas'!J$23,J547,"PVL")</f>
        <v>PVL</v>
      </c>
      <c r="K548" s="2442">
        <f>IF(K547&lt;'3phas'!K$23,K547,"PVL")</f>
        <v>0.46852770500182689</v>
      </c>
      <c r="L548" s="2442">
        <f>IF(L547&lt;'3phas'!L$23,L547,"PVL")</f>
        <v>6.6014560176749724</v>
      </c>
      <c r="M548" s="2442">
        <f>IF(M547&lt;'3phas'!M$23,M547,"PVL")</f>
        <v>6.6014560176749724</v>
      </c>
      <c r="N548" s="2442">
        <f>IF(N547&lt;'3phas'!N$23,N547,"PVL")</f>
        <v>7.4719242392958893</v>
      </c>
      <c r="O548" s="2442">
        <f>IF(O547&lt;'3phas'!O$23,O547,"PVL")</f>
        <v>7.4719242392958893</v>
      </c>
      <c r="P548" s="2442">
        <f>IF(P547&lt;'3phas'!P$23,P547,"PVL")</f>
        <v>8.3295075640357599</v>
      </c>
      <c r="Q548" s="2442">
        <f>IF(Q547&lt;'3phas'!Q$23,Q547,"PVL")</f>
        <v>8.3295075640357599</v>
      </c>
      <c r="R548" s="2442">
        <f>IF(R547&lt;'3phas'!R$23,R547,"PVL")</f>
        <v>9.8243951684144637</v>
      </c>
      <c r="S548" s="2442">
        <f>IF(S547&lt;'3phas'!S$23,S547,"PVL")</f>
        <v>1.4133660276835032</v>
      </c>
      <c r="T548" s="2442">
        <f>IF(T547&lt;'3phas'!T$23,T547,"PVL")</f>
        <v>1.4133660276835032</v>
      </c>
      <c r="U548" s="2442">
        <f>IF(U547&lt;'3phas'!U$23,U547,"PVL")</f>
        <v>15.472605369114151</v>
      </c>
      <c r="V548" s="2442">
        <f>IF(V547&lt;'3phas'!V$23,V547,"PVL")</f>
        <v>8.5409130800569031</v>
      </c>
      <c r="W548" s="2442">
        <f>IF(W547&lt;'3phas'!W$23,W547,"PVL")</f>
        <v>8.5409130800569031</v>
      </c>
      <c r="X548" s="2442">
        <f>IF(X547&lt;'3phas'!X$23,X547,"PVL")</f>
        <v>1.2180953167804813</v>
      </c>
      <c r="Y548" s="2442">
        <f>IF(Y547&lt;'3phas'!Y$23,Y547,"PVL")</f>
        <v>1.0833110580856959</v>
      </c>
      <c r="Z548" s="2442">
        <f>IF(Z547&lt;'3phas'!Z$23,Z547,"PVL")</f>
        <v>1.9072943096938233</v>
      </c>
      <c r="AA548" s="2442">
        <f>IF(AA547&lt;'3phas'!AA$23,AA547,"PVL")</f>
        <v>8.6527912033094276E-2</v>
      </c>
      <c r="AB548" s="2442">
        <f>IF(AB547&lt;'3phas'!AB$23,AB547,"PVL")</f>
        <v>0.43855059775955696</v>
      </c>
      <c r="AC548" s="2442">
        <f>IF(AC547&lt;'3phas'!AC$23,AC547,"PVL")</f>
        <v>0.59129748989618436</v>
      </c>
      <c r="AD548" s="2442">
        <f>IF(AD547&lt;'3phas'!AD$23,AD547,"PVL")</f>
        <v>3.0209344818069739</v>
      </c>
      <c r="AE548" s="2442" t="str">
        <f>IF(AE547&lt;'3phas'!AE$23,AE547,"PVL")</f>
        <v>PVL</v>
      </c>
      <c r="AF548" s="2442" t="str">
        <f>IF(AF547&lt;'3phas'!AF$23,AF547,"PVL")</f>
        <v>PVL</v>
      </c>
      <c r="AG548" s="2442">
        <f>IF(AG547&lt;'3phas'!AG$23,AG547,"PVL")</f>
        <v>0.43677208521608607</v>
      </c>
      <c r="AH548" s="2442">
        <f>IF(AH547&lt;'3phas'!AH$23,AH547,"PVL")</f>
        <v>3.3204496719424021</v>
      </c>
      <c r="AI548" s="2442">
        <f>IF(AI547&lt;'3phas'!AI$23,AI547,"PVL")</f>
        <v>0.66037484972427585</v>
      </c>
      <c r="AJ548" s="2442">
        <f>IF(AJ547&lt;'3phas'!AJ$23,AJ547,"PVL")</f>
        <v>1.0646495578200528</v>
      </c>
      <c r="AK548" s="2442" t="str">
        <f>IF(AK547&lt;'3phas'!AK$23,AK547,"PVL")</f>
        <v>PVL</v>
      </c>
      <c r="AL548" s="2442" t="str">
        <f>IF(AL547&lt;'3phas'!AL$23,AL547,"PVL")</f>
        <v>PVL</v>
      </c>
      <c r="AM548" s="2442" t="str">
        <f>IF(AM547&lt;'3phas'!AM$23,AM547,"PVL")</f>
        <v>PVL</v>
      </c>
      <c r="AN548" s="2442">
        <f>IF(AN547&lt;'3phas'!AN$23,AN547,"PVL")</f>
        <v>7.2699660810032141</v>
      </c>
      <c r="AO548" s="2442">
        <f>IF(AO547&lt;'3phas'!AO$23,AO547,"PVL")</f>
        <v>26.618475230717056</v>
      </c>
      <c r="AP548" s="2442" t="str">
        <f>IF(AP547&lt;'3phas'!AP$23,AP547,"PVL")</f>
        <v>PVL</v>
      </c>
      <c r="AQ548" s="2442" t="str">
        <f>IF(AQ547&lt;'3phas'!AQ$23,AQ547,"PVL")</f>
        <v>PVL</v>
      </c>
      <c r="AR548" s="2442" t="str">
        <f>IF(AR547&lt;'3phas'!AR$23,AR547,"PVL")</f>
        <v>PVL</v>
      </c>
      <c r="AS548" s="2442" t="str">
        <f>IF(AS547&lt;'3phas'!AS$23,AS547,"PVL")</f>
        <v>PVL</v>
      </c>
      <c r="AT548" s="2442" t="str">
        <f>IF(AT547&lt;'3phas'!AT$23,AT547,"PVL")</f>
        <v>PVL</v>
      </c>
      <c r="AU548" s="2442" t="str">
        <f>IF(AU547&lt;'3phas'!AU$23,AU547,"PVL")</f>
        <v>PVL</v>
      </c>
      <c r="AV548" s="2442" t="str">
        <f>IF(AV547&lt;'3phas'!AV$23,AV547,"PVL")</f>
        <v>PVL</v>
      </c>
      <c r="AW548" s="2442" t="str">
        <f>IF(AW547&lt;'3phas'!AW$23,AW547,"PVL")</f>
        <v>PVL</v>
      </c>
      <c r="AX548" s="2442" t="str">
        <f>IF(AX547&lt;'3phas'!AX$23,AX547,"PVL")</f>
        <v>PVL</v>
      </c>
      <c r="AY548" s="2442" t="str">
        <f>IF(AY547&lt;'3phas'!AY$23,AY547,"PVL")</f>
        <v>PVL</v>
      </c>
      <c r="AZ548" s="2442" t="str">
        <f>IF(AZ547&lt;'3phas'!AZ$23,AZ547,"PVL")</f>
        <v>PVL</v>
      </c>
      <c r="BA548" s="2442" t="str">
        <f>IF(BA547&lt;'3phas'!BA$23,BA547,"PVL")</f>
        <v>PVL</v>
      </c>
      <c r="BB548" s="2442" t="str">
        <f>IF(BB547&lt;'3phas'!BB$23,BB547,"PVL")</f>
        <v>PVL</v>
      </c>
      <c r="BC548" s="2442" t="str">
        <f>IF(BC547&lt;'3phas'!BC$23,BC547,"PVL")</f>
        <v>PVL</v>
      </c>
      <c r="BD548" s="2442">
        <f>IF(BD547&lt;'3phas'!BD$23,BD547,"PVL")</f>
        <v>116.13152129480251</v>
      </c>
      <c r="BE548" s="2442" t="str">
        <f>IF(BE547&lt;'3phas'!BE$23,BE547,"PVL")</f>
        <v>PVL</v>
      </c>
      <c r="BF548" s="2442" t="str">
        <f>IF(BF547&lt;'3phas'!BF$23,BF547,"PVL")</f>
        <v>PVL</v>
      </c>
      <c r="BG548" s="2442" t="str">
        <f>BG547</f>
        <v>nd</v>
      </c>
      <c r="BH548" s="2442" t="str">
        <f>IF(BH547&lt;'3phas'!BH$23,BH547,"PVL")</f>
        <v>PVL</v>
      </c>
      <c r="BI548" s="2442" t="str">
        <f>IF(BI547&lt;'3phas'!BI$23,BI547,"PVL")</f>
        <v>PVL</v>
      </c>
    </row>
    <row r="549" spans="1:61">
      <c r="A549" s="400"/>
      <c r="B549" s="39"/>
      <c r="C549" s="2492"/>
      <c r="D549" s="2493"/>
      <c r="E549" s="590" t="str">
        <f>'EmVap-Vol'!E300</f>
        <v>Période chronique</v>
      </c>
      <c r="F549" s="95"/>
      <c r="G549" s="142"/>
      <c r="H549" s="186"/>
      <c r="I549" s="186"/>
      <c r="J549" s="186"/>
      <c r="K549" s="186"/>
      <c r="L549" s="186"/>
      <c r="M549" s="186"/>
      <c r="N549" s="186"/>
      <c r="O549" s="186"/>
      <c r="P549" s="186"/>
      <c r="Q549" s="186"/>
      <c r="R549" s="186"/>
      <c r="S549" s="186"/>
      <c r="T549" s="186"/>
      <c r="U549" s="186"/>
      <c r="V549" s="186"/>
      <c r="W549" s="186"/>
      <c r="X549" s="186"/>
      <c r="Y549" s="186"/>
      <c r="Z549" s="186"/>
      <c r="AA549" s="186"/>
      <c r="AB549" s="186"/>
      <c r="AC549" s="186"/>
      <c r="AD549" s="186"/>
      <c r="AE549" s="186"/>
      <c r="AF549" s="186"/>
      <c r="AG549" s="186"/>
      <c r="AH549" s="186"/>
      <c r="AI549" s="186"/>
      <c r="AJ549" s="186"/>
      <c r="AK549" s="186"/>
      <c r="AL549" s="186"/>
      <c r="AM549" s="186"/>
      <c r="AN549" s="186"/>
      <c r="AO549" s="186"/>
      <c r="AP549" s="186"/>
      <c r="AQ549" s="186"/>
      <c r="AR549" s="186"/>
      <c r="AS549" s="186"/>
      <c r="AT549" s="186"/>
      <c r="AU549" s="186"/>
      <c r="AV549" s="186"/>
      <c r="AW549" s="186"/>
      <c r="AX549" s="186"/>
      <c r="AY549" s="186"/>
      <c r="AZ549" s="186"/>
      <c r="BA549" s="186"/>
      <c r="BB549" s="186"/>
      <c r="BC549" s="186"/>
      <c r="BD549" s="186"/>
      <c r="BE549" s="186"/>
      <c r="BF549" s="186"/>
      <c r="BG549" s="186"/>
      <c r="BH549" s="186"/>
      <c r="BI549" s="186"/>
    </row>
    <row r="550" spans="1:61" s="26" customFormat="1" ht="25.5">
      <c r="A550" s="399" t="s">
        <v>258</v>
      </c>
      <c r="B550" s="30" t="s">
        <v>258</v>
      </c>
      <c r="C550" s="2486"/>
      <c r="D550" s="2487"/>
      <c r="E550" s="103" t="s">
        <v>501</v>
      </c>
      <c r="F550" s="14" t="s">
        <v>204</v>
      </c>
      <c r="G550" s="105" t="str">
        <f>'EmVap-Vol'!G317</f>
        <v>(mg/m2/s)/(mg/l)</v>
      </c>
      <c r="H550" s="113">
        <f>'EmVap-Vol'!H317</f>
        <v>2.5764948224191279E-3</v>
      </c>
      <c r="I550" s="113">
        <f>'EmVap-Vol'!I317</f>
        <v>2.5764948224191279E-3</v>
      </c>
      <c r="J550" s="113">
        <f>'EmVap-Vol'!J317</f>
        <v>1.112625783278918E-3</v>
      </c>
      <c r="K550" s="113">
        <f>'EmVap-Vol'!K317</f>
        <v>3.7031519823149957E-5</v>
      </c>
      <c r="L550" s="113">
        <f>'EmVap-Vol'!L317</f>
        <v>1.9806547167297369E-4</v>
      </c>
      <c r="M550" s="113">
        <f>'EmVap-Vol'!M317</f>
        <v>1.9806547167297369E-4</v>
      </c>
      <c r="N550" s="113">
        <f>'EmVap-Vol'!N317</f>
        <v>1.0042297681868412E-4</v>
      </c>
      <c r="O550" s="113">
        <f>'EmVap-Vol'!O317</f>
        <v>1.0042297681868412E-4</v>
      </c>
      <c r="P550" s="113">
        <f>'EmVap-Vol'!P317</f>
        <v>9.1984242694848056E-5</v>
      </c>
      <c r="Q550" s="113">
        <f>'EmVap-Vol'!Q317</f>
        <v>9.1984242694848056E-5</v>
      </c>
      <c r="R550" s="113">
        <f>'EmVap-Vol'!R317</f>
        <v>2.2883214292577979E-4</v>
      </c>
      <c r="S550" s="113">
        <f>'EmVap-Vol'!S317</f>
        <v>2.4391179769704181E-4</v>
      </c>
      <c r="T550" s="113">
        <f>'EmVap-Vol'!T317</f>
        <v>2.4391179769704181E-4</v>
      </c>
      <c r="U550" s="113">
        <f>'EmVap-Vol'!U317</f>
        <v>5.1808424319147455E-5</v>
      </c>
      <c r="V550" s="113">
        <f>'EmVap-Vol'!V317</f>
        <v>3.1652232047774111E-5</v>
      </c>
      <c r="W550" s="113">
        <f>'EmVap-Vol'!W317</f>
        <v>3.1652232047774111E-5</v>
      </c>
      <c r="X550" s="113">
        <f>'EmVap-Vol'!X317</f>
        <v>1.6499158432187349E-4</v>
      </c>
      <c r="Y550" s="113">
        <f>'EmVap-Vol'!Y317</f>
        <v>2.3806285265098821E-4</v>
      </c>
      <c r="Z550" s="113">
        <f>'EmVap-Vol'!Z317</f>
        <v>4.0198577074103924E-4</v>
      </c>
      <c r="AA550" s="113">
        <f>'EmVap-Vol'!AA317</f>
        <v>8.5601415741445673E-5</v>
      </c>
      <c r="AB550" s="113">
        <f>'EmVap-Vol'!AB317</f>
        <v>5.2981905375833833E-4</v>
      </c>
      <c r="AC550" s="113">
        <f>'EmVap-Vol'!AC317</f>
        <v>1.5440876592463897E-3</v>
      </c>
      <c r="AD550" s="113">
        <f>'EmVap-Vol'!AD317</f>
        <v>3.260679985266805E-3</v>
      </c>
      <c r="AE550" s="113">
        <f>'EmVap-Vol'!AE317</f>
        <v>8.1834178152156573E-3</v>
      </c>
      <c r="AF550" s="113">
        <f>'EmVap-Vol'!AF317</f>
        <v>2.8793209697515285E-2</v>
      </c>
      <c r="AG550" s="113">
        <f>'EmVap-Vol'!AG317</f>
        <v>2.3037141829500553E-5</v>
      </c>
      <c r="AH550" s="113">
        <f>'EmVap-Vol'!AH317</f>
        <v>3.0767898703010778E-5</v>
      </c>
      <c r="AI550" s="113">
        <f>'EmVap-Vol'!AI317</f>
        <v>7.5668479954487443E-5</v>
      </c>
      <c r="AJ550" s="113">
        <f>'EmVap-Vol'!AJ317</f>
        <v>3.1787716001271374E-4</v>
      </c>
      <c r="AK550" s="113">
        <f>'EmVap-Vol'!AK317</f>
        <v>1.106647559556946E-3</v>
      </c>
      <c r="AL550" s="113">
        <f>'EmVap-Vol'!AL317</f>
        <v>3.6724132026026172E-3</v>
      </c>
      <c r="AM550" s="113">
        <f>'EmVap-Vol'!AM317</f>
        <v>2.2766328102056917E-2</v>
      </c>
      <c r="AN550" s="113">
        <f>'EmVap-Vol'!AN317</f>
        <v>2.0037381258241342E-3</v>
      </c>
      <c r="AO550" s="113">
        <f>'EmVap-Vol'!AO317</f>
        <v>8.527468341706217E-3</v>
      </c>
      <c r="AP550" s="113">
        <f>'EmVap-Vol'!AP317</f>
        <v>6.8602595435671709E-3</v>
      </c>
      <c r="AQ550" s="113">
        <f>'EmVap-Vol'!AQ317</f>
        <v>9.9796986922249097E-3</v>
      </c>
      <c r="AR550" s="113">
        <f>'EmVap-Vol'!AR317</f>
        <v>1.7523625550676381E-2</v>
      </c>
      <c r="AS550" s="113">
        <f>'EmVap-Vol'!AS317</f>
        <v>1.6215960676793671E-2</v>
      </c>
      <c r="AT550" s="113">
        <f>'EmVap-Vol'!AT317</f>
        <v>2.7119710466022458E-2</v>
      </c>
      <c r="AU550" s="113">
        <f>'EmVap-Vol'!AU317</f>
        <v>2.7208780454095621E-2</v>
      </c>
      <c r="AV550" s="113">
        <f>'EmVap-Vol'!AV317</f>
        <v>2.9418297228811383E-2</v>
      </c>
      <c r="AW550" s="113">
        <f>'EmVap-Vol'!AW317</f>
        <v>2.9436226471907363E-2</v>
      </c>
      <c r="AX550" s="113">
        <f>'EmVap-Vol'!AX317</f>
        <v>2.9869500750778842E-2</v>
      </c>
      <c r="AY550" s="113">
        <f>'EmVap-Vol'!AY317</f>
        <v>2.9869500750778842E-2</v>
      </c>
      <c r="AZ550" s="113">
        <f>'EmVap-Vol'!AZ317</f>
        <v>2.9869500750778842E-2</v>
      </c>
      <c r="BA550" s="113">
        <f>'EmVap-Vol'!BA317</f>
        <v>2.9869500750778842E-2</v>
      </c>
      <c r="BB550" s="113">
        <f>'EmVap-Vol'!BB317</f>
        <v>2.9869500750778842E-2</v>
      </c>
      <c r="BC550" s="113">
        <f>'EmVap-Vol'!BC317</f>
        <v>2.9869500750778842E-2</v>
      </c>
      <c r="BD550" s="113">
        <f>'EmVap-Vol'!BD317</f>
        <v>2.0400798312485563E-2</v>
      </c>
      <c r="BE550" s="113">
        <f>'EmVap-Vol'!BE317</f>
        <v>2.9458026337854451E-2</v>
      </c>
      <c r="BF550" s="113">
        <f>'EmVap-Vol'!BF317</f>
        <v>2.9458026337854451E-2</v>
      </c>
      <c r="BG550" s="113">
        <f>'EmVap-Vol'!BG317</f>
        <v>3.7845498726782705E-5</v>
      </c>
      <c r="BH550" s="113">
        <f>'EmVap-Vol'!BH317</f>
        <v>1.8870302182173525E-2</v>
      </c>
      <c r="BI550" s="113">
        <f>'EmVap-Vol'!BI317</f>
        <v>4.4361531529352105E-3</v>
      </c>
    </row>
    <row r="551" spans="1:61" s="43" customFormat="1">
      <c r="A551" s="400"/>
      <c r="B551" s="35"/>
      <c r="C551" s="2492"/>
      <c r="D551" s="2493"/>
      <c r="E551" s="586" t="s">
        <v>1285</v>
      </c>
      <c r="F551" s="96" t="s">
        <v>215</v>
      </c>
      <c r="G551" s="144" t="s">
        <v>206</v>
      </c>
      <c r="H551" s="135">
        <f>H550*H$542</f>
        <v>1.2422385750949365</v>
      </c>
      <c r="I551" s="135">
        <f t="shared" ref="I551:BI551" si="286">I550*I$542</f>
        <v>1.2422385750949365</v>
      </c>
      <c r="J551" s="135">
        <f>J550*J$542</f>
        <v>0.53644457408090684</v>
      </c>
      <c r="K551" s="135">
        <f t="shared" si="286"/>
        <v>1.785448277187587E-2</v>
      </c>
      <c r="L551" s="135">
        <f t="shared" si="286"/>
        <v>9.5495852413755161E-2</v>
      </c>
      <c r="M551" s="135">
        <f t="shared" si="286"/>
        <v>9.5495852413755161E-2</v>
      </c>
      <c r="N551" s="135">
        <f>N550*N$542</f>
        <v>4.8418220966151268E-2</v>
      </c>
      <c r="O551" s="135">
        <f>O550*O$542</f>
        <v>4.8418220966151268E-2</v>
      </c>
      <c r="P551" s="135">
        <f t="shared" si="286"/>
        <v>4.4349545585016026E-2</v>
      </c>
      <c r="Q551" s="135">
        <f t="shared" si="286"/>
        <v>4.4349545585016026E-2</v>
      </c>
      <c r="R551" s="135">
        <f>R550*R$542</f>
        <v>0.11032978319635811</v>
      </c>
      <c r="S551" s="135">
        <f>S550*S$542</f>
        <v>0.11760033103250229</v>
      </c>
      <c r="T551" s="135">
        <f>T550*T$542</f>
        <v>0.11760033103250229</v>
      </c>
      <c r="U551" s="135">
        <f t="shared" si="286"/>
        <v>2.4979061725303234E-2</v>
      </c>
      <c r="V551" s="135">
        <f t="shared" si="286"/>
        <v>1.5260897594462516E-2</v>
      </c>
      <c r="W551" s="135">
        <f t="shared" si="286"/>
        <v>1.5260897594462516E-2</v>
      </c>
      <c r="X551" s="135">
        <f t="shared" si="286"/>
        <v>7.9549513869474717E-2</v>
      </c>
      <c r="Y551" s="135">
        <f t="shared" si="286"/>
        <v>0.11478030395672645</v>
      </c>
      <c r="Z551" s="135">
        <f t="shared" si="286"/>
        <v>0.1938145680358582</v>
      </c>
      <c r="AA551" s="135">
        <f t="shared" si="286"/>
        <v>4.1272111161054163E-2</v>
      </c>
      <c r="AB551" s="135">
        <f t="shared" si="286"/>
        <v>0.25544847234777024</v>
      </c>
      <c r="AC551" s="135">
        <f t="shared" si="286"/>
        <v>0.7444708357080807</v>
      </c>
      <c r="AD551" s="135">
        <f t="shared" si="286"/>
        <v>1.5721135643250665</v>
      </c>
      <c r="AE551" s="135">
        <f t="shared" si="286"/>
        <v>3.9455764466218346</v>
      </c>
      <c r="AF551" s="135">
        <f t="shared" si="286"/>
        <v>13.882440389873441</v>
      </c>
      <c r="AG551" s="135">
        <f t="shared" si="286"/>
        <v>1.1107193382080624E-2</v>
      </c>
      <c r="AH551" s="135">
        <f t="shared" si="286"/>
        <v>1.4834522588951625E-2</v>
      </c>
      <c r="AI551" s="135">
        <f t="shared" si="286"/>
        <v>3.6483017120913584E-2</v>
      </c>
      <c r="AJ551" s="135">
        <f t="shared" si="286"/>
        <v>0.15326220214898698</v>
      </c>
      <c r="AK551" s="135">
        <f t="shared" si="286"/>
        <v>0.53356221621495603</v>
      </c>
      <c r="AL551" s="135">
        <f t="shared" si="286"/>
        <v>1.7706277941119761</v>
      </c>
      <c r="AM551" s="135">
        <f t="shared" si="286"/>
        <v>10.976622477777441</v>
      </c>
      <c r="AN551" s="135">
        <f t="shared" si="286"/>
        <v>0.96608802495092183</v>
      </c>
      <c r="AO551" s="135">
        <f t="shared" si="286"/>
        <v>4.1114579504654971</v>
      </c>
      <c r="AP551" s="135">
        <f t="shared" si="286"/>
        <v>3.3076251370770287</v>
      </c>
      <c r="AQ551" s="135">
        <f t="shared" si="286"/>
        <v>4.8116404408941529</v>
      </c>
      <c r="AR551" s="135">
        <f t="shared" si="286"/>
        <v>8.448890890504682</v>
      </c>
      <c r="AS551" s="135">
        <f t="shared" si="286"/>
        <v>7.8184096120255191</v>
      </c>
      <c r="AT551" s="135">
        <f t="shared" si="286"/>
        <v>13.075574688975113</v>
      </c>
      <c r="AU551" s="135">
        <f t="shared" si="286"/>
        <v>13.118519147510387</v>
      </c>
      <c r="AV551" s="135">
        <f t="shared" si="286"/>
        <v>14.183821878176916</v>
      </c>
      <c r="AW551" s="135">
        <f t="shared" si="286"/>
        <v>14.192466334669621</v>
      </c>
      <c r="AX551" s="135">
        <f t="shared" si="286"/>
        <v>14.401366433411226</v>
      </c>
      <c r="AY551" s="135">
        <f t="shared" si="286"/>
        <v>14.401366433411226</v>
      </c>
      <c r="AZ551" s="135">
        <f t="shared" si="286"/>
        <v>14.401366433411226</v>
      </c>
      <c r="BA551" s="135">
        <f t="shared" si="286"/>
        <v>14.401366433411226</v>
      </c>
      <c r="BB551" s="135">
        <f t="shared" si="286"/>
        <v>14.401366433411226</v>
      </c>
      <c r="BC551" s="135">
        <f t="shared" si="286"/>
        <v>14.401366433411226</v>
      </c>
      <c r="BD551" s="135">
        <f t="shared" si="286"/>
        <v>9.836099186376968</v>
      </c>
      <c r="BE551" s="135">
        <f t="shared" si="286"/>
        <v>14.202976984322682</v>
      </c>
      <c r="BF551" s="135">
        <f t="shared" si="286"/>
        <v>14.202976984322682</v>
      </c>
      <c r="BG551" s="135">
        <f t="shared" si="286"/>
        <v>1.8246936886127375E-2</v>
      </c>
      <c r="BH551" s="135">
        <f t="shared" si="286"/>
        <v>9.0981814092622351</v>
      </c>
      <c r="BI551" s="135">
        <f t="shared" si="286"/>
        <v>2.1388595558794763</v>
      </c>
    </row>
    <row r="552" spans="1:61" s="43" customFormat="1">
      <c r="A552" s="398"/>
      <c r="B552" s="27"/>
      <c r="C552" s="2492"/>
      <c r="D552" s="2493"/>
      <c r="E552" s="587" t="s">
        <v>1286</v>
      </c>
      <c r="F552" s="62" t="s">
        <v>216</v>
      </c>
      <c r="G552" s="107" t="s">
        <v>24</v>
      </c>
      <c r="H552" s="113">
        <f t="shared" ref="H552:AL552" si="287">H539*H551</f>
        <v>3.2726670283763299E-5</v>
      </c>
      <c r="I552" s="113">
        <f t="shared" si="287"/>
        <v>3.2726670283763299E-5</v>
      </c>
      <c r="J552" s="113">
        <f>J539*J551</f>
        <v>9.2776292912928607E-5</v>
      </c>
      <c r="K552" s="113">
        <f t="shared" si="287"/>
        <v>6.8798923679060651E-4</v>
      </c>
      <c r="L552" s="113">
        <f t="shared" si="287"/>
        <v>6.8798923679060662E-4</v>
      </c>
      <c r="M552" s="113">
        <f t="shared" si="287"/>
        <v>6.8798923679060662E-4</v>
      </c>
      <c r="N552" s="113">
        <f>N539*N551</f>
        <v>6.8798923679060662E-4</v>
      </c>
      <c r="O552" s="113">
        <f>O539*O551</f>
        <v>6.8798923679060662E-4</v>
      </c>
      <c r="P552" s="113">
        <f t="shared" si="287"/>
        <v>6.8798923679060662E-4</v>
      </c>
      <c r="Q552" s="113">
        <f t="shared" si="287"/>
        <v>6.8798923679060662E-4</v>
      </c>
      <c r="R552" s="113">
        <f>R539*R551</f>
        <v>6.8798923679060662E-4</v>
      </c>
      <c r="S552" s="113">
        <f>S539*S551</f>
        <v>6.8798923679060672E-4</v>
      </c>
      <c r="T552" s="113">
        <f>T539*T551</f>
        <v>6.8798923679060672E-4</v>
      </c>
      <c r="U552" s="113">
        <f t="shared" si="287"/>
        <v>6.8798923679060662E-4</v>
      </c>
      <c r="V552" s="113">
        <f t="shared" si="287"/>
        <v>6.8798923679060672E-4</v>
      </c>
      <c r="W552" s="113">
        <f t="shared" si="287"/>
        <v>6.8798923679060672E-4</v>
      </c>
      <c r="X552" s="113">
        <f t="shared" si="287"/>
        <v>6.8798923679060662E-4</v>
      </c>
      <c r="Y552" s="113">
        <f t="shared" si="287"/>
        <v>6.8798923679060651E-4</v>
      </c>
      <c r="Z552" s="113">
        <f t="shared" si="287"/>
        <v>6.8798923679060662E-4</v>
      </c>
      <c r="AA552" s="113">
        <f t="shared" si="287"/>
        <v>9.8284176684372383E-5</v>
      </c>
      <c r="AB552" s="113">
        <f t="shared" si="287"/>
        <v>6.8798923679060662E-4</v>
      </c>
      <c r="AC552" s="113">
        <f t="shared" si="287"/>
        <v>3.9125510669787891E-4</v>
      </c>
      <c r="AD552" s="113">
        <f t="shared" si="287"/>
        <v>1.6171897266111036E-4</v>
      </c>
      <c r="AE552" s="113">
        <f t="shared" si="287"/>
        <v>5.0608935780146664E-5</v>
      </c>
      <c r="AF552" s="113">
        <f t="shared" si="287"/>
        <v>7.3804117638607183E-7</v>
      </c>
      <c r="AG552" s="113">
        <f t="shared" si="287"/>
        <v>6.8798923679060662E-4</v>
      </c>
      <c r="AH552" s="113">
        <f t="shared" si="287"/>
        <v>6.8798923679060662E-4</v>
      </c>
      <c r="AI552" s="113">
        <f t="shared" si="287"/>
        <v>6.8798923679060662E-4</v>
      </c>
      <c r="AJ552" s="113">
        <f t="shared" si="287"/>
        <v>6.8798923679060651E-4</v>
      </c>
      <c r="AK552" s="113">
        <f t="shared" si="287"/>
        <v>5.4602212580439821E-4</v>
      </c>
      <c r="AL552" s="113">
        <f t="shared" si="287"/>
        <v>1.3736427619715508E-4</v>
      </c>
      <c r="AM552" s="113">
        <f t="shared" ref="AM552:BI552" si="288">AM539*AM551</f>
        <v>5.894753074166905E-6</v>
      </c>
      <c r="AN552" s="113">
        <f t="shared" si="288"/>
        <v>4.1295495314011117E-5</v>
      </c>
      <c r="AO552" s="113">
        <f t="shared" si="288"/>
        <v>4.7998873374287656E-5</v>
      </c>
      <c r="AP552" s="113">
        <f t="shared" si="288"/>
        <v>6.460030605972746E-5</v>
      </c>
      <c r="AQ552" s="113">
        <f t="shared" si="288"/>
        <v>3.8051688945328614E-5</v>
      </c>
      <c r="AR552" s="113">
        <f t="shared" si="288"/>
        <v>1.3377695490910425E-5</v>
      </c>
      <c r="AS552" s="113">
        <f t="shared" si="288"/>
        <v>1.5989494167062548E-5</v>
      </c>
      <c r="AT552" s="113">
        <f t="shared" si="288"/>
        <v>1.9519703313893486E-6</v>
      </c>
      <c r="AU552" s="113">
        <f t="shared" si="288"/>
        <v>1.8839850132698669E-6</v>
      </c>
      <c r="AV552" s="113">
        <f t="shared" si="288"/>
        <v>3.2496866569104061E-7</v>
      </c>
      <c r="AW552" s="113">
        <f t="shared" si="288"/>
        <v>3.1332500264846999E-7</v>
      </c>
      <c r="AX552" s="113">
        <f t="shared" si="288"/>
        <v>1.1190797056447778E-8</v>
      </c>
      <c r="AY552" s="113">
        <f t="shared" si="288"/>
        <v>7.6802003163166166E-9</v>
      </c>
      <c r="AZ552" s="113">
        <f t="shared" si="288"/>
        <v>5.1287021549072127E-9</v>
      </c>
      <c r="BA552" s="113">
        <f t="shared" si="288"/>
        <v>8.8577924898453104E-10</v>
      </c>
      <c r="BB552" s="113">
        <f t="shared" si="288"/>
        <v>1.4024900276397058E-8</v>
      </c>
      <c r="BC552" s="113">
        <f t="shared" si="288"/>
        <v>3.7257326092102739E-15</v>
      </c>
      <c r="BD552" s="113">
        <f t="shared" si="288"/>
        <v>9.2013908912483744E-6</v>
      </c>
      <c r="BE552" s="113">
        <f t="shared" si="288"/>
        <v>2.9489173577824631E-7</v>
      </c>
      <c r="BF552" s="113">
        <f t="shared" si="288"/>
        <v>2.9489173577824631E-7</v>
      </c>
      <c r="BG552" s="113">
        <f t="shared" si="288"/>
        <v>3.0959515655577298E-4</v>
      </c>
      <c r="BH552" s="113">
        <f t="shared" si="288"/>
        <v>1.1317949226623234E-5</v>
      </c>
      <c r="BI552" s="113">
        <f t="shared" si="288"/>
        <v>2.0586809655688369E-5</v>
      </c>
    </row>
    <row r="553" spans="1:61" s="43" customFormat="1">
      <c r="A553" s="398"/>
      <c r="B553" s="27"/>
      <c r="C553" s="2492"/>
      <c r="D553" s="2493"/>
      <c r="E553" s="3927" t="s">
        <v>950</v>
      </c>
      <c r="F553" s="62"/>
      <c r="G553" s="107"/>
      <c r="H553" s="113"/>
      <c r="I553" s="113"/>
      <c r="J553" s="113"/>
      <c r="K553" s="113"/>
      <c r="L553" s="113"/>
      <c r="M553" s="113"/>
      <c r="N553" s="113"/>
      <c r="O553" s="113"/>
      <c r="P553" s="113"/>
      <c r="Q553" s="113"/>
      <c r="R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row>
    <row r="554" spans="1:61">
      <c r="A554" s="33"/>
      <c r="B554" s="33"/>
      <c r="C554" s="2453"/>
      <c r="D554" s="2454"/>
      <c r="E554" s="3935" t="str">
        <f>'EmVap-Vol'!E$350</f>
        <v>CT de l'air du sol de la source à l'émission (après contrôle de masse)</v>
      </c>
      <c r="F554" s="14" t="s">
        <v>204</v>
      </c>
      <c r="G554" s="89" t="str">
        <f>'EmVap-Vol'!G$350</f>
        <v>(mg/m2/s)/(mg/l)</v>
      </c>
      <c r="H554" s="113">
        <f>'EmVap-Vol'!H$350</f>
        <v>2.9869500750778842E-2</v>
      </c>
      <c r="I554" s="113">
        <f>'EmVap-Vol'!I$350</f>
        <v>2.9869500750778842E-2</v>
      </c>
      <c r="J554" s="113">
        <f>'EmVap-Vol'!J$350</f>
        <v>2.9869500750778842E-2</v>
      </c>
      <c r="K554" s="113">
        <f>'EmVap-Vol'!K$350</f>
        <v>2.2158204484343824E-4</v>
      </c>
      <c r="L554" s="113">
        <f>'EmVap-Vol'!L$350</f>
        <v>1.1851458550923837E-3</v>
      </c>
      <c r="M554" s="113">
        <f>'EmVap-Vol'!M$350</f>
        <v>1.1851458550923837E-3</v>
      </c>
      <c r="N554" s="113">
        <f>'EmVap-Vol'!N$350</f>
        <v>6.0089158260360175E-4</v>
      </c>
      <c r="O554" s="113">
        <f>'EmVap-Vol'!O$350</f>
        <v>6.0089158260360175E-4</v>
      </c>
      <c r="P554" s="113">
        <f>'EmVap-Vol'!P$350</f>
        <v>5.5039751776425475E-4</v>
      </c>
      <c r="Q554" s="113">
        <f>'EmVap-Vol'!Q$350</f>
        <v>5.5039751776425475E-4</v>
      </c>
      <c r="R554" s="113">
        <f>'EmVap-Vol'!R$350</f>
        <v>1.3692415109493382E-3</v>
      </c>
      <c r="S554" s="113">
        <f>'EmVap-Vol'!S$350</f>
        <v>1.4594722321216436E-3</v>
      </c>
      <c r="T554" s="113">
        <f>'EmVap-Vol'!T$350</f>
        <v>1.4594722321216436E-3</v>
      </c>
      <c r="U554" s="113">
        <f>'EmVap-Vol'!U$350</f>
        <v>3.1000122748342328E-4</v>
      </c>
      <c r="V554" s="113">
        <f>'EmVap-Vol'!V$350</f>
        <v>1.8939450323668115E-4</v>
      </c>
      <c r="W554" s="113">
        <f>'EmVap-Vol'!W$350</f>
        <v>1.8939450323668115E-4</v>
      </c>
      <c r="X554" s="113">
        <f>'EmVap-Vol'!X$350</f>
        <v>9.8724472586039064E-4</v>
      </c>
      <c r="Y554" s="113">
        <f>'EmVap-Vol'!Y$350</f>
        <v>1.4244744461903392E-3</v>
      </c>
      <c r="Z554" s="113">
        <f>'EmVap-Vol'!Z$350</f>
        <v>2.4053246937783494E-3</v>
      </c>
      <c r="AA554" s="113">
        <f>'EmVap-Vol'!AA$350</f>
        <v>3.5854363478589131E-3</v>
      </c>
      <c r="AB554" s="113">
        <f>'EmVap-Vol'!AB$350</f>
        <v>3.1702287642916965E-3</v>
      </c>
      <c r="AC554" s="113">
        <f>'EmVap-Vol'!AC$350</f>
        <v>1.6246379973589853E-2</v>
      </c>
      <c r="AD554" s="113">
        <f>'EmVap-Vol'!AD$350</f>
        <v>2.9869500750778842E-2</v>
      </c>
      <c r="AE554" s="113">
        <f>'EmVap-Vol'!AE$350</f>
        <v>2.9869500750778842E-2</v>
      </c>
      <c r="AF554" s="113">
        <f>'EmVap-Vol'!AF$350</f>
        <v>2.9869500750778842E-2</v>
      </c>
      <c r="AG554" s="113">
        <f>'EmVap-Vol'!AG$350</f>
        <v>1.3784519291422463E-4</v>
      </c>
      <c r="AH554" s="113">
        <f>'EmVap-Vol'!AH$350</f>
        <v>1.8410300043604811E-4</v>
      </c>
      <c r="AI554" s="113">
        <f>'EmVap-Vol'!AI$350</f>
        <v>4.5277041284242487E-4</v>
      </c>
      <c r="AJ554" s="113">
        <f>'EmVap-Vol'!AJ$350</f>
        <v>1.9020518590924676E-3</v>
      </c>
      <c r="AK554" s="113">
        <f>'EmVap-Vol'!AK$350</f>
        <v>8.3434134006860113E-3</v>
      </c>
      <c r="AL554" s="113">
        <f>'EmVap-Vol'!AL$350</f>
        <v>2.9869500750778842E-2</v>
      </c>
      <c r="AM554" s="113">
        <f>'EmVap-Vol'!AM$350</f>
        <v>2.9869500750778842E-2</v>
      </c>
      <c r="AN554" s="113">
        <f>'EmVap-Vol'!AN$350</f>
        <v>2.9869500750778842E-2</v>
      </c>
      <c r="AO554" s="113">
        <f>'EmVap-Vol'!AO$350</f>
        <v>2.9869500750778842E-2</v>
      </c>
      <c r="AP554" s="113">
        <f>'EmVap-Vol'!AP$350</f>
        <v>2.9869500750778842E-2</v>
      </c>
      <c r="AQ554" s="113">
        <f>'EmVap-Vol'!AQ$350</f>
        <v>2.9869500750778842E-2</v>
      </c>
      <c r="AR554" s="113">
        <f>'EmVap-Vol'!AR$350</f>
        <v>2.9869500750778842E-2</v>
      </c>
      <c r="AS554" s="113">
        <f>'EmVap-Vol'!AS$350</f>
        <v>2.9869500750778842E-2</v>
      </c>
      <c r="AT554" s="113">
        <f>'EmVap-Vol'!AT$350</f>
        <v>2.9869500750778842E-2</v>
      </c>
      <c r="AU554" s="113">
        <f>'EmVap-Vol'!AU$350</f>
        <v>2.9869500750778842E-2</v>
      </c>
      <c r="AV554" s="113">
        <f>'EmVap-Vol'!AV$350</f>
        <v>2.9869500750778842E-2</v>
      </c>
      <c r="AW554" s="113">
        <f>'EmVap-Vol'!AW$350</f>
        <v>2.9869500750778842E-2</v>
      </c>
      <c r="AX554" s="113">
        <f>'EmVap-Vol'!AX$350</f>
        <v>2.9869500750778842E-2</v>
      </c>
      <c r="AY554" s="113">
        <f>'EmVap-Vol'!AY$350</f>
        <v>2.9869500750778842E-2</v>
      </c>
      <c r="AZ554" s="113">
        <f>'EmVap-Vol'!AZ$350</f>
        <v>2.9869500750778842E-2</v>
      </c>
      <c r="BA554" s="113">
        <f>'EmVap-Vol'!BA$350</f>
        <v>2.9869500750778842E-2</v>
      </c>
      <c r="BB554" s="113">
        <f>'EmVap-Vol'!BB$350</f>
        <v>2.9869500750778842E-2</v>
      </c>
      <c r="BC554" s="113">
        <f>'EmVap-Vol'!BC$350</f>
        <v>2.9869500750778842E-2</v>
      </c>
      <c r="BD554" s="113">
        <f>'EmVap-Vol'!BD$350</f>
        <v>2.9869500750778842E-2</v>
      </c>
      <c r="BE554" s="113">
        <f>'EmVap-Vol'!BE$350</f>
        <v>2.9869500750778842E-2</v>
      </c>
      <c r="BF554" s="113">
        <f>'EmVap-Vol'!BF$350</f>
        <v>2.9869500750778842E-2</v>
      </c>
      <c r="BG554" s="113">
        <f>'EmVap-Vol'!BG$350</f>
        <v>2.2645257434878176E-4</v>
      </c>
      <c r="BH554" s="113">
        <f>'EmVap-Vol'!BH$350</f>
        <v>2.9869500750778842E-2</v>
      </c>
      <c r="BI554" s="113">
        <f>'EmVap-Vol'!BI$350</f>
        <v>2.9869500750778842E-2</v>
      </c>
    </row>
    <row r="555" spans="1:61">
      <c r="A555" s="97"/>
      <c r="B555" s="97"/>
      <c r="C555" s="2108"/>
      <c r="D555" s="2493"/>
      <c r="E555" s="3955" t="s">
        <v>1114</v>
      </c>
      <c r="F555" s="96" t="s">
        <v>1115</v>
      </c>
      <c r="G555" s="144" t="s">
        <v>206</v>
      </c>
      <c r="H555" s="135">
        <f t="shared" ref="H555:AL555" si="289">H554*H542</f>
        <v>14.401366433411226</v>
      </c>
      <c r="I555" s="135">
        <f t="shared" si="289"/>
        <v>14.401366433411226</v>
      </c>
      <c r="J555" s="135">
        <f>J554*J542</f>
        <v>14.401366433411226</v>
      </c>
      <c r="K555" s="135">
        <f t="shared" si="289"/>
        <v>0.106834200192372</v>
      </c>
      <c r="L555" s="135">
        <f t="shared" si="289"/>
        <v>0.57140960870525637</v>
      </c>
      <c r="M555" s="135">
        <f t="shared" si="289"/>
        <v>0.57140960870525637</v>
      </c>
      <c r="N555" s="135">
        <f>N554*N542</f>
        <v>0.28971558446959367</v>
      </c>
      <c r="O555" s="135">
        <f>O554*O542</f>
        <v>0.28971558446959367</v>
      </c>
      <c r="P555" s="135">
        <f t="shared" si="289"/>
        <v>0.26537023177919422</v>
      </c>
      <c r="Q555" s="135">
        <f t="shared" si="289"/>
        <v>0.26537023177919422</v>
      </c>
      <c r="R555" s="135">
        <f>R554*R542</f>
        <v>0.66017001420771659</v>
      </c>
      <c r="S555" s="135">
        <f>S554*S542</f>
        <v>0.70367411191579243</v>
      </c>
      <c r="T555" s="135">
        <f>T554*T542</f>
        <v>0.70367411191579243</v>
      </c>
      <c r="U555" s="135">
        <f t="shared" si="289"/>
        <v>0.1494648775366505</v>
      </c>
      <c r="V555" s="135">
        <f t="shared" si="289"/>
        <v>9.1315206917685549E-2</v>
      </c>
      <c r="W555" s="135">
        <f t="shared" si="289"/>
        <v>9.1315206917685549E-2</v>
      </c>
      <c r="X555" s="135">
        <f t="shared" si="289"/>
        <v>0.47599299282554547</v>
      </c>
      <c r="Y555" s="135">
        <f t="shared" si="289"/>
        <v>0.68680017941319926</v>
      </c>
      <c r="Z555" s="135">
        <f t="shared" si="289"/>
        <v>1.1597101202145612</v>
      </c>
      <c r="AA555" s="135">
        <f t="shared" si="289"/>
        <v>1.7286925248605474</v>
      </c>
      <c r="AB555" s="135">
        <f t="shared" si="289"/>
        <v>1.5285031542120679</v>
      </c>
      <c r="AC555" s="135">
        <f t="shared" si="289"/>
        <v>7.8330760586951067</v>
      </c>
      <c r="AD555" s="135">
        <f t="shared" si="289"/>
        <v>14.401366433411226</v>
      </c>
      <c r="AE555" s="135">
        <f t="shared" si="289"/>
        <v>14.401366433411226</v>
      </c>
      <c r="AF555" s="135">
        <f t="shared" si="289"/>
        <v>14.401366433411226</v>
      </c>
      <c r="AG555" s="135">
        <f t="shared" si="289"/>
        <v>6.6461075155072588E-2</v>
      </c>
      <c r="AH555" s="135">
        <f t="shared" si="289"/>
        <v>8.8763946638808905E-2</v>
      </c>
      <c r="AI555" s="135">
        <f t="shared" si="289"/>
        <v>0.21830002047759769</v>
      </c>
      <c r="AJ555" s="135">
        <f t="shared" si="289"/>
        <v>0.91706071777672538</v>
      </c>
      <c r="AK555" s="135">
        <f t="shared" si="289"/>
        <v>4.0227171753307553</v>
      </c>
      <c r="AL555" s="135">
        <f t="shared" si="289"/>
        <v>14.401366433411226</v>
      </c>
      <c r="AM555" s="135">
        <f t="shared" ref="AM555:BI555" si="290">AM554*AM542</f>
        <v>14.401366433411226</v>
      </c>
      <c r="AN555" s="135">
        <f t="shared" si="290"/>
        <v>14.401366433411226</v>
      </c>
      <c r="AO555" s="135">
        <f t="shared" si="290"/>
        <v>14.401366433411226</v>
      </c>
      <c r="AP555" s="135">
        <f t="shared" si="290"/>
        <v>14.401366433411226</v>
      </c>
      <c r="AQ555" s="135">
        <f t="shared" si="290"/>
        <v>14.401366433411226</v>
      </c>
      <c r="AR555" s="135">
        <f t="shared" si="290"/>
        <v>14.401366433411226</v>
      </c>
      <c r="AS555" s="135">
        <f t="shared" si="290"/>
        <v>14.401366433411226</v>
      </c>
      <c r="AT555" s="135">
        <f t="shared" si="290"/>
        <v>14.401366433411226</v>
      </c>
      <c r="AU555" s="135">
        <f t="shared" si="290"/>
        <v>14.401366433411226</v>
      </c>
      <c r="AV555" s="135">
        <f t="shared" si="290"/>
        <v>14.401366433411226</v>
      </c>
      <c r="AW555" s="135">
        <f t="shared" si="290"/>
        <v>14.401366433411226</v>
      </c>
      <c r="AX555" s="135">
        <f t="shared" si="290"/>
        <v>14.401366433411226</v>
      </c>
      <c r="AY555" s="135">
        <f t="shared" si="290"/>
        <v>14.401366433411226</v>
      </c>
      <c r="AZ555" s="135">
        <f t="shared" si="290"/>
        <v>14.401366433411226</v>
      </c>
      <c r="BA555" s="135">
        <f t="shared" si="290"/>
        <v>14.401366433411226</v>
      </c>
      <c r="BB555" s="135">
        <f t="shared" si="290"/>
        <v>14.401366433411226</v>
      </c>
      <c r="BC555" s="135">
        <f t="shared" si="290"/>
        <v>14.401366433411226</v>
      </c>
      <c r="BD555" s="135">
        <f t="shared" si="290"/>
        <v>14.401366433411226</v>
      </c>
      <c r="BE555" s="135">
        <f t="shared" si="290"/>
        <v>14.401366433411226</v>
      </c>
      <c r="BF555" s="135">
        <f t="shared" si="290"/>
        <v>14.401366433411226</v>
      </c>
      <c r="BG555" s="135">
        <f t="shared" si="290"/>
        <v>0.10918249120387691</v>
      </c>
      <c r="BH555" s="135">
        <f t="shared" si="290"/>
        <v>14.401366433411226</v>
      </c>
      <c r="BI555" s="135">
        <f t="shared" si="290"/>
        <v>14.401366433411226</v>
      </c>
    </row>
    <row r="556" spans="1:61">
      <c r="A556" s="97"/>
      <c r="B556" s="97"/>
      <c r="C556" s="2492"/>
      <c r="D556" s="2493"/>
      <c r="E556" s="3955" t="s">
        <v>681</v>
      </c>
      <c r="F556" s="62" t="s">
        <v>1116</v>
      </c>
      <c r="G556" s="107" t="s">
        <v>24</v>
      </c>
      <c r="H556" s="113">
        <f t="shared" ref="H556:BI556" si="291">H$25*H555</f>
        <v>3.7940278168055301E-4</v>
      </c>
      <c r="I556" s="113">
        <f t="shared" si="291"/>
        <v>3.7940278168055301E-4</v>
      </c>
      <c r="J556" s="113">
        <f>J$25*J555</f>
        <v>2.4906681046438653E-3</v>
      </c>
      <c r="K556" s="113">
        <f t="shared" si="291"/>
        <v>4.1166569086651039E-3</v>
      </c>
      <c r="L556" s="113">
        <f t="shared" si="291"/>
        <v>4.1166569086651056E-3</v>
      </c>
      <c r="M556" s="113">
        <f t="shared" si="291"/>
        <v>4.1166569086651056E-3</v>
      </c>
      <c r="N556" s="113">
        <f>N$25*N555</f>
        <v>4.1166569086651048E-3</v>
      </c>
      <c r="O556" s="113">
        <f>O$25*O555</f>
        <v>4.1166569086651048E-3</v>
      </c>
      <c r="P556" s="113">
        <f t="shared" si="291"/>
        <v>4.1166569086651048E-3</v>
      </c>
      <c r="Q556" s="113">
        <f t="shared" si="291"/>
        <v>4.1166569086651048E-3</v>
      </c>
      <c r="R556" s="113">
        <f>R$25*R555</f>
        <v>4.1166569086651056E-3</v>
      </c>
      <c r="S556" s="113">
        <f>S$25*S555</f>
        <v>4.1166569086651056E-3</v>
      </c>
      <c r="T556" s="113">
        <f>T$25*T555</f>
        <v>4.1166569086651056E-3</v>
      </c>
      <c r="U556" s="113">
        <f t="shared" si="291"/>
        <v>4.1166569086651048E-3</v>
      </c>
      <c r="V556" s="113">
        <f t="shared" si="291"/>
        <v>4.1166569086651056E-3</v>
      </c>
      <c r="W556" s="113">
        <f t="shared" si="291"/>
        <v>4.1166569086651056E-3</v>
      </c>
      <c r="X556" s="113">
        <f t="shared" si="291"/>
        <v>4.1166569086651056E-3</v>
      </c>
      <c r="Y556" s="113">
        <f t="shared" si="291"/>
        <v>4.1166569086651048E-3</v>
      </c>
      <c r="Z556" s="113">
        <f t="shared" si="291"/>
        <v>4.1166569086651048E-3</v>
      </c>
      <c r="AA556" s="113">
        <f t="shared" si="291"/>
        <v>4.1166569086651056E-3</v>
      </c>
      <c r="AB556" s="113">
        <f t="shared" si="291"/>
        <v>4.1166569086651056E-3</v>
      </c>
      <c r="AC556" s="113">
        <f t="shared" si="291"/>
        <v>4.1166569086651048E-3</v>
      </c>
      <c r="AD556" s="113">
        <f t="shared" si="291"/>
        <v>1.4814287195132295E-3</v>
      </c>
      <c r="AE556" s="113">
        <f t="shared" si="291"/>
        <v>1.8472277469085477E-4</v>
      </c>
      <c r="AF556" s="113">
        <f t="shared" si="291"/>
        <v>7.6562917798191298E-7</v>
      </c>
      <c r="AG556" s="113">
        <f t="shared" si="291"/>
        <v>4.1166569086651056E-3</v>
      </c>
      <c r="AH556" s="113">
        <f t="shared" si="291"/>
        <v>4.1166569086651056E-3</v>
      </c>
      <c r="AI556" s="113">
        <f t="shared" si="291"/>
        <v>4.1166569086651056E-3</v>
      </c>
      <c r="AJ556" s="113">
        <f t="shared" si="291"/>
        <v>4.1166569086651048E-3</v>
      </c>
      <c r="AK556" s="113">
        <f t="shared" si="291"/>
        <v>4.1166569086651048E-3</v>
      </c>
      <c r="AL556" s="113">
        <f t="shared" si="291"/>
        <v>1.1172496461164397E-3</v>
      </c>
      <c r="AM556" s="113">
        <f t="shared" si="291"/>
        <v>7.7339363021205069E-6</v>
      </c>
      <c r="AN556" s="113">
        <f t="shared" si="291"/>
        <v>6.1558734267149428E-4</v>
      </c>
      <c r="AO556" s="113">
        <f t="shared" si="291"/>
        <v>1.6812755284916856E-4</v>
      </c>
      <c r="AP556" s="113">
        <f t="shared" si="291"/>
        <v>2.8126907999580399E-4</v>
      </c>
      <c r="AQ556" s="113">
        <f t="shared" si="291"/>
        <v>1.1388970614978573E-4</v>
      </c>
      <c r="AR556" s="113">
        <f t="shared" si="291"/>
        <v>2.2802649163775153E-5</v>
      </c>
      <c r="AS556" s="113">
        <f t="shared" si="291"/>
        <v>2.9452353613013489E-5</v>
      </c>
      <c r="AT556" s="113">
        <f t="shared" si="291"/>
        <v>2.149889444873688E-6</v>
      </c>
      <c r="AU556" s="113">
        <f t="shared" si="291"/>
        <v>2.0682180836168179E-6</v>
      </c>
      <c r="AV556" s="113">
        <f t="shared" si="291"/>
        <v>3.2995287688954809E-7</v>
      </c>
      <c r="AW556" s="113">
        <f t="shared" si="291"/>
        <v>3.179368595624151E-7</v>
      </c>
      <c r="AX556" s="113">
        <f t="shared" si="291"/>
        <v>1.1190797056447778E-8</v>
      </c>
      <c r="AY556" s="113">
        <f t="shared" si="291"/>
        <v>7.6802003163166166E-9</v>
      </c>
      <c r="AZ556" s="113">
        <f t="shared" si="291"/>
        <v>5.1287021549072127E-9</v>
      </c>
      <c r="BA556" s="113">
        <f t="shared" si="291"/>
        <v>8.8577924898453104E-10</v>
      </c>
      <c r="BB556" s="113">
        <f t="shared" si="291"/>
        <v>1.4024900276397058E-8</v>
      </c>
      <c r="BC556" s="113">
        <f t="shared" si="291"/>
        <v>3.7257326092102739E-15</v>
      </c>
      <c r="BD556" s="113">
        <f t="shared" si="291"/>
        <v>1.3472068490875995E-5</v>
      </c>
      <c r="BE556" s="113">
        <f t="shared" si="291"/>
        <v>2.9901083060367532E-7</v>
      </c>
      <c r="BF556" s="113">
        <f t="shared" si="291"/>
        <v>2.9901083060367532E-7</v>
      </c>
      <c r="BG556" s="113">
        <f t="shared" si="291"/>
        <v>1.8524956088992971E-3</v>
      </c>
      <c r="BH556" s="113">
        <f t="shared" si="291"/>
        <v>1.7915001554201968E-5</v>
      </c>
      <c r="BI556" s="113">
        <f t="shared" si="291"/>
        <v>1.3861508051403961E-4</v>
      </c>
    </row>
    <row r="557" spans="1:61" ht="25.5">
      <c r="A557" s="97"/>
      <c r="B557" s="97"/>
      <c r="C557" s="2108"/>
      <c r="D557" s="2109"/>
      <c r="E557" s="3498" t="s">
        <v>1015</v>
      </c>
      <c r="F557" s="14" t="s">
        <v>19</v>
      </c>
      <c r="G557" s="341" t="s">
        <v>18</v>
      </c>
      <c r="H557" s="113" t="str">
        <f t="shared" ref="H557:AM557" si="292">IF(H$13=0,"nd",IF(H556=0,"PVL",H$13*1000/H555/H$20))</f>
        <v>nd</v>
      </c>
      <c r="I557" s="113" t="str">
        <f t="shared" si="292"/>
        <v>nd</v>
      </c>
      <c r="J557" s="113" t="str">
        <f t="shared" si="292"/>
        <v>nd</v>
      </c>
      <c r="K557" s="113">
        <f t="shared" si="292"/>
        <v>63.158044444444464</v>
      </c>
      <c r="L557" s="113">
        <f t="shared" si="292"/>
        <v>166.37799864794323</v>
      </c>
      <c r="M557" s="113">
        <f t="shared" si="292"/>
        <v>166.37799864794323</v>
      </c>
      <c r="N557" s="113">
        <f t="shared" si="292"/>
        <v>371.41915968997881</v>
      </c>
      <c r="O557" s="113">
        <f t="shared" si="292"/>
        <v>371.41915968997881</v>
      </c>
      <c r="P557" s="113">
        <f t="shared" si="292"/>
        <v>452.03371092263717</v>
      </c>
      <c r="Q557" s="113">
        <f t="shared" si="292"/>
        <v>452.03371092263717</v>
      </c>
      <c r="R557" s="113">
        <f t="shared" si="292"/>
        <v>214.36066313258991</v>
      </c>
      <c r="S557" s="113">
        <f t="shared" si="292"/>
        <v>28.925893001504573</v>
      </c>
      <c r="T557" s="113">
        <f t="shared" si="292"/>
        <v>28.925893001504573</v>
      </c>
      <c r="U557" s="113">
        <f t="shared" si="292"/>
        <v>1490.8295732924894</v>
      </c>
      <c r="V557" s="113">
        <f t="shared" si="292"/>
        <v>1346.991624874609</v>
      </c>
      <c r="W557" s="113">
        <f t="shared" si="292"/>
        <v>1346.991624874609</v>
      </c>
      <c r="X557" s="113">
        <f t="shared" si="292"/>
        <v>36.853981617765498</v>
      </c>
      <c r="Y557" s="113">
        <f t="shared" si="292"/>
        <v>22.715718452764737</v>
      </c>
      <c r="Z557" s="113">
        <f t="shared" si="292"/>
        <v>23.684922440082698</v>
      </c>
      <c r="AA557" s="113">
        <f t="shared" si="292"/>
        <v>0.72084546556773421</v>
      </c>
      <c r="AB557" s="113">
        <f t="shared" si="292"/>
        <v>4.1319691362904791</v>
      </c>
      <c r="AC557" s="113">
        <f t="shared" si="292"/>
        <v>1.0871197674250337</v>
      </c>
      <c r="AD557" s="113">
        <f t="shared" si="292"/>
        <v>3.0209344818069739</v>
      </c>
      <c r="AE557" s="113">
        <f t="shared" si="292"/>
        <v>24.227110645161982</v>
      </c>
      <c r="AF557" s="113">
        <f t="shared" si="292"/>
        <v>5845.2567245580994</v>
      </c>
      <c r="AG557" s="113">
        <f t="shared" si="292"/>
        <v>94.643591491791909</v>
      </c>
      <c r="AH557" s="113">
        <f t="shared" si="292"/>
        <v>538.72111662546843</v>
      </c>
      <c r="AI557" s="113">
        <f t="shared" si="292"/>
        <v>43.565273944919909</v>
      </c>
      <c r="AJ557" s="113">
        <f t="shared" si="292"/>
        <v>16.719076619601495</v>
      </c>
      <c r="AK557" s="113">
        <f t="shared" si="292"/>
        <v>92.30791111111111</v>
      </c>
      <c r="AL557" s="113">
        <f t="shared" si="292"/>
        <v>340.12094013265539</v>
      </c>
      <c r="AM557" s="113">
        <f t="shared" si="292"/>
        <v>49134.100043701015</v>
      </c>
      <c r="AN557" s="113">
        <f t="shared" ref="AN557:BI557" si="293">IF(AN$13=0,"nd",IF(AN556=0,"PVL",AN$13*1000/AN555/AN$20))</f>
        <v>7.2699660810032141</v>
      </c>
      <c r="AO557" s="113">
        <f t="shared" si="293"/>
        <v>26.618475230717056</v>
      </c>
      <c r="AP557" s="113">
        <f t="shared" si="293"/>
        <v>15.91109517328897</v>
      </c>
      <c r="AQ557" s="113">
        <f t="shared" si="293"/>
        <v>39.295027201412147</v>
      </c>
      <c r="AR557" s="113">
        <f t="shared" si="293"/>
        <v>196.26224431090384</v>
      </c>
      <c r="AS557" s="113">
        <f t="shared" si="293"/>
        <v>151.95047431249301</v>
      </c>
      <c r="AT557" s="113">
        <f t="shared" si="293"/>
        <v>2081.6415057005888</v>
      </c>
      <c r="AU557" s="113">
        <f t="shared" si="293"/>
        <v>2163.8429412097785</v>
      </c>
      <c r="AV557" s="113">
        <f t="shared" si="293"/>
        <v>13563.449251617756</v>
      </c>
      <c r="AW557" s="113">
        <f t="shared" si="293"/>
        <v>14076.062483840782</v>
      </c>
      <c r="AX557" s="113">
        <f t="shared" si="293"/>
        <v>399908.87856715644</v>
      </c>
      <c r="AY557" s="113">
        <f t="shared" si="293"/>
        <v>582706.03848819877</v>
      </c>
      <c r="AZ557" s="113">
        <f t="shared" si="293"/>
        <v>872598.75226613414</v>
      </c>
      <c r="BA557" s="113">
        <f t="shared" si="293"/>
        <v>5052386.479190168</v>
      </c>
      <c r="BB557" s="113">
        <f t="shared" si="293"/>
        <v>319096.67897234799</v>
      </c>
      <c r="BC557" s="113">
        <f t="shared" si="293"/>
        <v>1201186335823.8354</v>
      </c>
      <c r="BD557" s="113">
        <f t="shared" si="293"/>
        <v>116.13152129480251</v>
      </c>
      <c r="BE557" s="113" t="str">
        <f t="shared" si="293"/>
        <v>nd</v>
      </c>
      <c r="BF557" s="113" t="str">
        <f t="shared" si="293"/>
        <v>nd</v>
      </c>
      <c r="BG557" s="113" t="str">
        <f t="shared" si="293"/>
        <v>nd</v>
      </c>
      <c r="BH557" s="113" t="str">
        <f t="shared" si="293"/>
        <v>nd</v>
      </c>
      <c r="BI557" s="113" t="str">
        <f t="shared" si="293"/>
        <v>nd</v>
      </c>
    </row>
    <row r="558" spans="1:61" s="2443" customFormat="1" ht="25.5">
      <c r="A558" s="2438"/>
      <c r="B558" s="2439"/>
      <c r="C558" s="2108"/>
      <c r="D558" s="2109"/>
      <c r="E558" s="3498" t="s">
        <v>1016</v>
      </c>
      <c r="F558" s="2440" t="s">
        <v>19</v>
      </c>
      <c r="G558" s="2431" t="s">
        <v>20</v>
      </c>
      <c r="H558" s="2442" t="str">
        <f>IF(H557&lt;'3phas'!H$23,H557,"PVL")</f>
        <v>PVL</v>
      </c>
      <c r="I558" s="2442" t="str">
        <f>IF(I557&lt;'3phas'!I$23,I557,"PVL")</f>
        <v>PVL</v>
      </c>
      <c r="J558" s="2442" t="str">
        <f>IF(J557&lt;'3phas'!J$23,J557,"PVL")</f>
        <v>PVL</v>
      </c>
      <c r="K558" s="2442">
        <f>IF(K557&lt;'3phas'!K$23,K557,"PVL")</f>
        <v>63.158044444444464</v>
      </c>
      <c r="L558" s="2442" t="str">
        <f>IF(L557&lt;'3phas'!L$23,L557,"PVL")</f>
        <v>PVL</v>
      </c>
      <c r="M558" s="2442" t="str">
        <f>IF(M557&lt;'3phas'!M$23,M557,"PVL")</f>
        <v>PVL</v>
      </c>
      <c r="N558" s="2442" t="str">
        <f>IF(N557&lt;'3phas'!N$23,N557,"PVL")</f>
        <v>PVL</v>
      </c>
      <c r="O558" s="2442" t="str">
        <f>IF(O557&lt;'3phas'!O$23,O557,"PVL")</f>
        <v>PVL</v>
      </c>
      <c r="P558" s="2442" t="str">
        <f>IF(P557&lt;'3phas'!P$23,P557,"PVL")</f>
        <v>PVL</v>
      </c>
      <c r="Q558" s="2442" t="str">
        <f>IF(Q557&lt;'3phas'!Q$23,Q557,"PVL")</f>
        <v>PVL</v>
      </c>
      <c r="R558" s="2442">
        <f>IF(R557&lt;'3phas'!R$23,R557,"PVL")</f>
        <v>214.36066313258991</v>
      </c>
      <c r="S558" s="2442">
        <f>IF(S557&lt;'3phas'!S$23,S557,"PVL")</f>
        <v>28.925893001504573</v>
      </c>
      <c r="T558" s="2442">
        <f>IF(T557&lt;'3phas'!T$23,T557,"PVL")</f>
        <v>28.925893001504573</v>
      </c>
      <c r="U558" s="2442" t="str">
        <f>IF(U557&lt;'3phas'!U$23,U557,"PVL")</f>
        <v>PVL</v>
      </c>
      <c r="V558" s="2442" t="str">
        <f>IF(V557&lt;'3phas'!V$23,V557,"PVL")</f>
        <v>PVL</v>
      </c>
      <c r="W558" s="2442" t="str">
        <f>IF(W557&lt;'3phas'!W$23,W557,"PVL")</f>
        <v>PVL</v>
      </c>
      <c r="X558" s="2442">
        <f>IF(X557&lt;'3phas'!X$23,X557,"PVL")</f>
        <v>36.853981617765498</v>
      </c>
      <c r="Y558" s="2442">
        <f>IF(Y557&lt;'3phas'!Y$23,Y557,"PVL")</f>
        <v>22.715718452764737</v>
      </c>
      <c r="Z558" s="2442">
        <f>IF(Z557&lt;'3phas'!Z$23,Z557,"PVL")</f>
        <v>23.684922440082698</v>
      </c>
      <c r="AA558" s="2442">
        <f>IF(AA557&lt;'3phas'!AA$23,AA557,"PVL")</f>
        <v>0.72084546556773421</v>
      </c>
      <c r="AB558" s="2442">
        <f>IF(AB557&lt;'3phas'!AB$23,AB557,"PVL")</f>
        <v>4.1319691362904791</v>
      </c>
      <c r="AC558" s="2442">
        <f>IF(AC557&lt;'3phas'!AC$23,AC557,"PVL")</f>
        <v>1.0871197674250337</v>
      </c>
      <c r="AD558" s="2442">
        <f>IF(AD557&lt;'3phas'!AD$23,AD557,"PVL")</f>
        <v>3.0209344818069739</v>
      </c>
      <c r="AE558" s="2442" t="str">
        <f>IF(AE557&lt;'3phas'!AE$23,AE557,"PVL")</f>
        <v>PVL</v>
      </c>
      <c r="AF558" s="2442" t="str">
        <f>IF(AF557&lt;'3phas'!AF$23,AF557,"PVL")</f>
        <v>PVL</v>
      </c>
      <c r="AG558" s="2442">
        <f>IF(AG557&lt;'3phas'!AG$23,AG557,"PVL")</f>
        <v>94.643591491791909</v>
      </c>
      <c r="AH558" s="2442" t="str">
        <f>IF(AH557&lt;'3phas'!AH$23,AH557,"PVL")</f>
        <v>PVL</v>
      </c>
      <c r="AI558" s="2442" t="str">
        <f>IF(AI557&lt;'3phas'!AI$23,AI557,"PVL")</f>
        <v>PVL</v>
      </c>
      <c r="AJ558" s="2442" t="str">
        <f>IF(AJ557&lt;'3phas'!AJ$23,AJ557,"PVL")</f>
        <v>PVL</v>
      </c>
      <c r="AK558" s="2442" t="str">
        <f>IF(AK557&lt;'3phas'!AK$23,AK557,"PVL")</f>
        <v>PVL</v>
      </c>
      <c r="AL558" s="2442" t="str">
        <f>IF(AL557&lt;'3phas'!AL$23,AL557,"PVL")</f>
        <v>PVL</v>
      </c>
      <c r="AM558" s="2442" t="str">
        <f>IF(AM557&lt;'3phas'!AM$23,AM557,"PVL")</f>
        <v>PVL</v>
      </c>
      <c r="AN558" s="2442">
        <f>IF(AN557&lt;'3phas'!AN$23,AN557,"PVL")</f>
        <v>7.2699660810032141</v>
      </c>
      <c r="AO558" s="2442">
        <f>IF(AO557&lt;'3phas'!AO$23,AO557,"PVL")</f>
        <v>26.618475230717056</v>
      </c>
      <c r="AP558" s="2442" t="str">
        <f>IF(AP557&lt;'3phas'!AP$23,AP557,"PVL")</f>
        <v>PVL</v>
      </c>
      <c r="AQ558" s="2442" t="str">
        <f>IF(AQ557&lt;'3phas'!AQ$23,AQ557,"PVL")</f>
        <v>PVL</v>
      </c>
      <c r="AR558" s="2442" t="str">
        <f>IF(AR557&lt;'3phas'!AR$23,AR557,"PVL")</f>
        <v>PVL</v>
      </c>
      <c r="AS558" s="2442" t="str">
        <f>IF(AS557&lt;'3phas'!AS$23,AS557,"PVL")</f>
        <v>PVL</v>
      </c>
      <c r="AT558" s="2442" t="str">
        <f>IF(AT557&lt;'3phas'!AT$23,AT557,"PVL")</f>
        <v>PVL</v>
      </c>
      <c r="AU558" s="2442" t="str">
        <f>IF(AU557&lt;'3phas'!AU$23,AU557,"PVL")</f>
        <v>PVL</v>
      </c>
      <c r="AV558" s="2442" t="str">
        <f>IF(AV557&lt;'3phas'!AV$23,AV557,"PVL")</f>
        <v>PVL</v>
      </c>
      <c r="AW558" s="2442" t="str">
        <f>IF(AW557&lt;'3phas'!AW$23,AW557,"PVL")</f>
        <v>PVL</v>
      </c>
      <c r="AX558" s="2442" t="str">
        <f>IF(AX557&lt;'3phas'!AX$23,AX557,"PVL")</f>
        <v>PVL</v>
      </c>
      <c r="AY558" s="2442" t="str">
        <f>IF(AY557&lt;'3phas'!AY$23,AY557,"PVL")</f>
        <v>PVL</v>
      </c>
      <c r="AZ558" s="2442" t="str">
        <f>IF(AZ557&lt;'3phas'!AZ$23,AZ557,"PVL")</f>
        <v>PVL</v>
      </c>
      <c r="BA558" s="2442" t="str">
        <f>IF(BA557&lt;'3phas'!BA$23,BA557,"PVL")</f>
        <v>PVL</v>
      </c>
      <c r="BB558" s="2442" t="str">
        <f>IF(BB557&lt;'3phas'!BB$23,BB557,"PVL")</f>
        <v>PVL</v>
      </c>
      <c r="BC558" s="2442" t="str">
        <f>IF(BC557&lt;'3phas'!BC$23,BC557,"PVL")</f>
        <v>PVL</v>
      </c>
      <c r="BD558" s="2442">
        <f>IF(BD557&lt;'3phas'!BD$23,BD557,"PVL")</f>
        <v>116.13152129480251</v>
      </c>
      <c r="BE558" s="2442" t="str">
        <f>IF(BE557&lt;'3phas'!BE$23,BE557,"PVL")</f>
        <v>PVL</v>
      </c>
      <c r="BF558" s="2442" t="str">
        <f>IF(BF557&lt;'3phas'!BF$23,BF557,"PVL")</f>
        <v>PVL</v>
      </c>
      <c r="BG558" s="2442" t="str">
        <f>BG557</f>
        <v>nd</v>
      </c>
      <c r="BH558" s="2442" t="str">
        <f>IF(BH557&lt;'3phas'!BH$23,BH557,"PVL")</f>
        <v>PVL</v>
      </c>
      <c r="BI558" s="2442" t="str">
        <f>IF(BI557&lt;'3phas'!BI$23,BI557,"PVL")</f>
        <v>PVL</v>
      </c>
    </row>
    <row r="559" spans="1:61" s="43" customFormat="1">
      <c r="A559" s="398"/>
      <c r="B559" s="27"/>
      <c r="C559" s="2489" t="s">
        <v>145</v>
      </c>
      <c r="D559" s="2493"/>
      <c r="E559" s="589" t="str">
        <f>'EmVap-Vol'!E353</f>
        <v>Période enfant 0-6 ans (effets sans seuil)</v>
      </c>
      <c r="F559" s="62"/>
      <c r="G559" s="107"/>
      <c r="H559" s="113"/>
      <c r="I559" s="113"/>
      <c r="J559" s="113"/>
      <c r="K559" s="113"/>
      <c r="L559" s="113"/>
      <c r="M559" s="113"/>
      <c r="N559" s="113"/>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row>
    <row r="560" spans="1:61" s="26" customFormat="1" ht="25.5">
      <c r="A560" s="399" t="s">
        <v>258</v>
      </c>
      <c r="B560" s="30" t="s">
        <v>258</v>
      </c>
      <c r="C560" s="2486"/>
      <c r="D560" s="2487"/>
      <c r="E560" s="103" t="s">
        <v>501</v>
      </c>
      <c r="F560" s="14" t="s">
        <v>204</v>
      </c>
      <c r="G560" s="105" t="str">
        <f>'EmVap-Vol'!G368</f>
        <v>(mg/m2/s)/(mg/l)</v>
      </c>
      <c r="H560" s="113">
        <f>'EmVap-Vol'!H368</f>
        <v>2.7611588154692938E-3</v>
      </c>
      <c r="I560" s="113">
        <f>'EmVap-Vol'!I368</f>
        <v>2.7611588154692938E-3</v>
      </c>
      <c r="J560" s="113">
        <f>'EmVap-Vol'!J368</f>
        <v>1.1917699095500703E-3</v>
      </c>
      <c r="K560" s="113">
        <f>'EmVap-Vol'!K368</f>
        <v>6.1719199705249922E-6</v>
      </c>
      <c r="L560" s="113">
        <f>'EmVap-Vol'!L368</f>
        <v>3.3010911945495617E-5</v>
      </c>
      <c r="M560" s="113">
        <f>'EmVap-Vol'!M368</f>
        <v>3.3010911945495617E-5</v>
      </c>
      <c r="N560" s="113">
        <f>'EmVap-Vol'!N368</f>
        <v>1.673716280311402E-5</v>
      </c>
      <c r="O560" s="113">
        <f>'EmVap-Vol'!O368</f>
        <v>1.673716280311402E-5</v>
      </c>
      <c r="P560" s="113">
        <f>'EmVap-Vol'!P368</f>
        <v>1.5330707115808009E-5</v>
      </c>
      <c r="Q560" s="113">
        <f>'EmVap-Vol'!Q368</f>
        <v>1.5330707115808009E-5</v>
      </c>
      <c r="R560" s="113">
        <f>'EmVap-Vol'!R368</f>
        <v>3.8138690487629963E-5</v>
      </c>
      <c r="S560" s="113">
        <f>'EmVap-Vol'!S368</f>
        <v>4.0651966282840303E-5</v>
      </c>
      <c r="T560" s="113">
        <f>'EmVap-Vol'!T368</f>
        <v>4.0651966282840303E-5</v>
      </c>
      <c r="U560" s="113">
        <f>'EmVap-Vol'!U368</f>
        <v>8.6347373865245747E-6</v>
      </c>
      <c r="V560" s="113">
        <f>'EmVap-Vol'!V368</f>
        <v>5.2753720079623515E-6</v>
      </c>
      <c r="W560" s="113">
        <f>'EmVap-Vol'!W368</f>
        <v>5.2753720079623515E-6</v>
      </c>
      <c r="X560" s="113">
        <f>'EmVap-Vol'!X368</f>
        <v>2.7498597386978914E-5</v>
      </c>
      <c r="Y560" s="113">
        <f>'EmVap-Vol'!Y368</f>
        <v>3.9677142108498037E-5</v>
      </c>
      <c r="Z560" s="113">
        <f>'EmVap-Vol'!Z368</f>
        <v>6.6997628456839868E-5</v>
      </c>
      <c r="AA560" s="113">
        <f>'EmVap-Vol'!AA368</f>
        <v>9.9868318365019948E-5</v>
      </c>
      <c r="AB560" s="113">
        <f>'EmVap-Vol'!AB368</f>
        <v>8.8303175626389731E-5</v>
      </c>
      <c r="AC560" s="113">
        <f>'EmVap-Vol'!AC368</f>
        <v>4.5252473899040228E-4</v>
      </c>
      <c r="AD560" s="113">
        <f>'EmVap-Vol'!AD368</f>
        <v>1.4219867398119455E-3</v>
      </c>
      <c r="AE560" s="113">
        <f>'EmVap-Vol'!AE368</f>
        <v>3.7062866141572173E-3</v>
      </c>
      <c r="AF560" s="113">
        <f>'EmVap-Vol'!AF368</f>
        <v>2.4865972651449554E-2</v>
      </c>
      <c r="AG560" s="113">
        <f>'EmVap-Vol'!AG368</f>
        <v>3.8395236382500922E-6</v>
      </c>
      <c r="AH560" s="113">
        <f>'EmVap-Vol'!AH368</f>
        <v>5.1279831171684633E-6</v>
      </c>
      <c r="AI560" s="113">
        <f>'EmVap-Vol'!AI368</f>
        <v>1.2611413325747907E-5</v>
      </c>
      <c r="AJ560" s="113">
        <f>'EmVap-Vol'!AJ368</f>
        <v>5.2979526668785625E-5</v>
      </c>
      <c r="AK560" s="113">
        <f>'EmVap-Vol'!AK368</f>
        <v>2.3239644632047792E-4</v>
      </c>
      <c r="AL560" s="113">
        <f>'EmVap-Vol'!AL368</f>
        <v>1.5845468562462146E-3</v>
      </c>
      <c r="AM560" s="113">
        <f>'EmVap-Vol'!AM368</f>
        <v>1.3920687351322597E-2</v>
      </c>
      <c r="AN560" s="113">
        <f>'EmVap-Vol'!AN368</f>
        <v>2.1514119078826373E-3</v>
      </c>
      <c r="AO560" s="113">
        <f>'EmVap-Vol'!AO368</f>
        <v>3.8866996468078716E-3</v>
      </c>
      <c r="AP560" s="113">
        <f>'EmVap-Vol'!AP368</f>
        <v>3.0685706999959836E-3</v>
      </c>
      <c r="AQ560" s="113">
        <f>'EmVap-Vol'!AQ368</f>
        <v>4.629967975449849E-3</v>
      </c>
      <c r="AR560" s="113">
        <f>'EmVap-Vol'!AR368</f>
        <v>9.2657242924778851E-3</v>
      </c>
      <c r="AS560" s="113">
        <f>'EmVap-Vol'!AS368</f>
        <v>8.3406672167548861E-3</v>
      </c>
      <c r="AT560" s="113">
        <f>'EmVap-Vol'!AT368</f>
        <v>2.0396612538969988E-2</v>
      </c>
      <c r="AU560" s="113">
        <f>'EmVap-Vol'!AU368</f>
        <v>2.0586632386588734E-2</v>
      </c>
      <c r="AV560" s="113">
        <f>'EmVap-Vol'!AV368</f>
        <v>2.7299181462466758E-2</v>
      </c>
      <c r="AW560" s="113">
        <f>'EmVap-Vol'!AW368</f>
        <v>2.7379861242709164E-2</v>
      </c>
      <c r="AX560" s="113">
        <f>'EmVap-Vol'!AX368</f>
        <v>2.9815197895083852E-2</v>
      </c>
      <c r="AY560" s="113">
        <f>'EmVap-Vol'!AY368</f>
        <v>2.9848410274958301E-2</v>
      </c>
      <c r="AZ560" s="113">
        <f>'EmVap-Vol'!AZ368</f>
        <v>2.9869500750778842E-2</v>
      </c>
      <c r="BA560" s="113">
        <f>'EmVap-Vol'!BA368</f>
        <v>2.9869500750778842E-2</v>
      </c>
      <c r="BB560" s="113">
        <f>'EmVap-Vol'!BB368</f>
        <v>2.9785379724785215E-2</v>
      </c>
      <c r="BC560" s="113">
        <f>'EmVap-Vol'!BC368</f>
        <v>2.9869500750778842E-2</v>
      </c>
      <c r="BD560" s="113">
        <f>'EmVap-Vol'!BD368</f>
        <v>1.1608700489988294E-2</v>
      </c>
      <c r="BE560" s="113">
        <f>'EmVap-Vol'!BE368</f>
        <v>2.7502294645643657E-2</v>
      </c>
      <c r="BF560" s="113">
        <f>'EmVap-Vol'!BF368</f>
        <v>2.7502294645643657E-2</v>
      </c>
      <c r="BG560" s="113">
        <f>'EmVap-Vol'!BG368</f>
        <v>6.3075831211304503E-6</v>
      </c>
      <c r="BH560" s="113">
        <f>'EmVap-Vol'!BH368</f>
        <v>1.0318682424122184E-2</v>
      </c>
      <c r="BI560" s="113">
        <f>'EmVap-Vol'!BI368</f>
        <v>4.7252165815362583E-3</v>
      </c>
    </row>
    <row r="561" spans="1:61" s="43" customFormat="1">
      <c r="A561" s="400"/>
      <c r="B561" s="35"/>
      <c r="C561" s="2492"/>
      <c r="D561" s="2493"/>
      <c r="E561" s="586" t="s">
        <v>1285</v>
      </c>
      <c r="F561" s="96" t="s">
        <v>215</v>
      </c>
      <c r="G561" s="144" t="s">
        <v>206</v>
      </c>
      <c r="H561" s="135">
        <f>H560*H$542</f>
        <v>1.3312730003155522</v>
      </c>
      <c r="I561" s="135">
        <f t="shared" ref="I561:BI561" si="294">I560*I$542</f>
        <v>1.3312730003155522</v>
      </c>
      <c r="J561" s="135">
        <f>J560*J$542</f>
        <v>0.57460334924735534</v>
      </c>
      <c r="K561" s="135">
        <f t="shared" si="294"/>
        <v>2.9757471286459784E-3</v>
      </c>
      <c r="L561" s="135">
        <f t="shared" si="294"/>
        <v>1.5915975402292528E-2</v>
      </c>
      <c r="M561" s="135">
        <f t="shared" si="294"/>
        <v>1.5915975402292528E-2</v>
      </c>
      <c r="N561" s="135">
        <f>N560*N$542</f>
        <v>8.0697034943585447E-3</v>
      </c>
      <c r="O561" s="135">
        <f>O560*O$542</f>
        <v>8.0697034943585447E-3</v>
      </c>
      <c r="P561" s="135">
        <f t="shared" si="294"/>
        <v>7.3915909308360037E-3</v>
      </c>
      <c r="Q561" s="135">
        <f t="shared" si="294"/>
        <v>7.3915909308360037E-3</v>
      </c>
      <c r="R561" s="135">
        <f>R560*R$542</f>
        <v>1.8388297199393017E-2</v>
      </c>
      <c r="S561" s="135">
        <f>S560*S$542</f>
        <v>1.9600055172083717E-2</v>
      </c>
      <c r="T561" s="135">
        <f>T560*T$542</f>
        <v>1.9600055172083717E-2</v>
      </c>
      <c r="U561" s="135">
        <f t="shared" si="294"/>
        <v>4.1631769542172055E-3</v>
      </c>
      <c r="V561" s="135">
        <f t="shared" si="294"/>
        <v>2.5434829324104194E-3</v>
      </c>
      <c r="W561" s="135">
        <f t="shared" si="294"/>
        <v>2.5434829324104194E-3</v>
      </c>
      <c r="X561" s="135">
        <f t="shared" si="294"/>
        <v>1.3258252311579118E-2</v>
      </c>
      <c r="Y561" s="135">
        <f t="shared" si="294"/>
        <v>1.913005065945441E-2</v>
      </c>
      <c r="Z561" s="135">
        <f t="shared" si="294"/>
        <v>3.2302428005976359E-2</v>
      </c>
      <c r="AA561" s="135">
        <f t="shared" si="294"/>
        <v>4.8150796354563187E-2</v>
      </c>
      <c r="AB561" s="135">
        <f t="shared" si="294"/>
        <v>4.2574745391295049E-2</v>
      </c>
      <c r="AC561" s="135">
        <f t="shared" si="294"/>
        <v>0.21818157058465823</v>
      </c>
      <c r="AD561" s="135">
        <f t="shared" si="294"/>
        <v>0.68560074955218797</v>
      </c>
      <c r="AE561" s="135">
        <f t="shared" si="294"/>
        <v>1.7869596175400868</v>
      </c>
      <c r="AF561" s="135">
        <f t="shared" si="294"/>
        <v>11.988951099806034</v>
      </c>
      <c r="AG561" s="135">
        <f t="shared" si="294"/>
        <v>1.8511988970134371E-3</v>
      </c>
      <c r="AH561" s="135">
        <f t="shared" si="294"/>
        <v>2.4724204314919376E-3</v>
      </c>
      <c r="AI561" s="135">
        <f t="shared" si="294"/>
        <v>6.0805028534855979E-3</v>
      </c>
      <c r="AJ561" s="135">
        <f t="shared" si="294"/>
        <v>2.5543700358164497E-2</v>
      </c>
      <c r="AK561" s="135">
        <f t="shared" si="294"/>
        <v>0.11204828661880184</v>
      </c>
      <c r="AL561" s="135">
        <f t="shared" si="294"/>
        <v>0.76397794854728196</v>
      </c>
      <c r="AM561" s="135">
        <f t="shared" si="294"/>
        <v>6.7117599729591086</v>
      </c>
      <c r="AN561" s="135">
        <f t="shared" si="294"/>
        <v>1.0372878841577</v>
      </c>
      <c r="AO561" s="135">
        <f t="shared" si="294"/>
        <v>1.8739444725680807</v>
      </c>
      <c r="AP561" s="135">
        <f t="shared" si="294"/>
        <v>1.4794894446409206</v>
      </c>
      <c r="AQ561" s="135">
        <f t="shared" si="294"/>
        <v>2.2323059881633198</v>
      </c>
      <c r="AR561" s="135">
        <f t="shared" si="294"/>
        <v>4.4674027838732657</v>
      </c>
      <c r="AS561" s="135">
        <f t="shared" si="294"/>
        <v>4.0213931223639623</v>
      </c>
      <c r="AT561" s="135">
        <f t="shared" si="294"/>
        <v>9.8340810455748144</v>
      </c>
      <c r="AU561" s="135">
        <f t="shared" si="294"/>
        <v>9.9256977578195666</v>
      </c>
      <c r="AV561" s="135">
        <f t="shared" si="294"/>
        <v>13.162105347975043</v>
      </c>
      <c r="AW561" s="135">
        <f t="shared" si="294"/>
        <v>13.201004527734774</v>
      </c>
      <c r="AX561" s="135">
        <f t="shared" si="294"/>
        <v>14.375184699415428</v>
      </c>
      <c r="AY561" s="135">
        <f t="shared" si="294"/>
        <v>14.391197811140609</v>
      </c>
      <c r="AZ561" s="135">
        <f t="shared" si="294"/>
        <v>14.401366433411226</v>
      </c>
      <c r="BA561" s="135">
        <f t="shared" si="294"/>
        <v>14.401366433411226</v>
      </c>
      <c r="BB561" s="135">
        <f t="shared" si="294"/>
        <v>14.36080808159287</v>
      </c>
      <c r="BC561" s="135">
        <f t="shared" si="294"/>
        <v>14.401366433411226</v>
      </c>
      <c r="BD561" s="135">
        <f t="shared" si="294"/>
        <v>5.5970520219586417</v>
      </c>
      <c r="BE561" s="135">
        <f t="shared" si="294"/>
        <v>13.260034918435334</v>
      </c>
      <c r="BF561" s="135">
        <f t="shared" si="294"/>
        <v>13.260034918435334</v>
      </c>
      <c r="BG561" s="135">
        <f t="shared" si="294"/>
        <v>3.0411561476878955E-3</v>
      </c>
      <c r="BH561" s="135">
        <f t="shared" si="294"/>
        <v>4.9750790259160524</v>
      </c>
      <c r="BI561" s="135">
        <f t="shared" si="294"/>
        <v>2.2782294232406959</v>
      </c>
    </row>
    <row r="562" spans="1:61" s="43" customFormat="1">
      <c r="A562" s="398"/>
      <c r="B562" s="27"/>
      <c r="C562" s="2489" t="s">
        <v>587</v>
      </c>
      <c r="D562" s="2493"/>
      <c r="E562" s="587" t="str">
        <f>'EmVap-Vol'!E396</f>
        <v>Période employé (40 ans)</v>
      </c>
      <c r="F562" s="62"/>
      <c r="G562" s="107"/>
      <c r="H562" s="113"/>
      <c r="I562" s="113"/>
      <c r="J562" s="113"/>
      <c r="K562" s="113"/>
      <c r="L562" s="113"/>
      <c r="M562" s="113"/>
      <c r="N562" s="113"/>
      <c r="O562" s="113"/>
      <c r="P562" s="113"/>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row>
    <row r="563" spans="1:61" s="26" customFormat="1" ht="25.5">
      <c r="A563" s="399" t="s">
        <v>258</v>
      </c>
      <c r="B563" s="30" t="s">
        <v>258</v>
      </c>
      <c r="C563" s="2486"/>
      <c r="D563" s="2487"/>
      <c r="E563" s="103" t="s">
        <v>501</v>
      </c>
      <c r="F563" s="14" t="s">
        <v>204</v>
      </c>
      <c r="G563" s="105" t="str">
        <f>'EmVap-Vol'!G405</f>
        <v>(mg/m2/s)/(mg/l)</v>
      </c>
      <c r="H563" s="113">
        <f>'EmVap-Vol'!H405</f>
        <v>1.0307164493375918E-3</v>
      </c>
      <c r="I563" s="113">
        <f>'EmVap-Vol'!I405</f>
        <v>1.0307164493375918E-3</v>
      </c>
      <c r="J563" s="113">
        <f>'EmVap-Vol'!J405</f>
        <v>2.0626890217256754E-4</v>
      </c>
      <c r="K563" s="113">
        <f>'EmVap-Vol'!K405</f>
        <v>9.2578799557874888E-7</v>
      </c>
      <c r="L563" s="113">
        <f>'EmVap-Vol'!L405</f>
        <v>4.9516367918243421E-6</v>
      </c>
      <c r="M563" s="113">
        <f>'EmVap-Vol'!M405</f>
        <v>4.9516367918243421E-6</v>
      </c>
      <c r="N563" s="113">
        <f>'EmVap-Vol'!N405</f>
        <v>2.5105744204671032E-6</v>
      </c>
      <c r="O563" s="113">
        <f>'EmVap-Vol'!O405</f>
        <v>2.5105744204671032E-6</v>
      </c>
      <c r="P563" s="113">
        <f>'EmVap-Vol'!P405</f>
        <v>2.2996060673712017E-6</v>
      </c>
      <c r="Q563" s="113">
        <f>'EmVap-Vol'!Q405</f>
        <v>2.2996060673712017E-6</v>
      </c>
      <c r="R563" s="113">
        <f>'EmVap-Vol'!R405</f>
        <v>5.720803573144495E-6</v>
      </c>
      <c r="S563" s="113">
        <f>'EmVap-Vol'!S405</f>
        <v>6.0977949424260457E-6</v>
      </c>
      <c r="T563" s="113">
        <f>'EmVap-Vol'!T405</f>
        <v>6.0977949424260457E-6</v>
      </c>
      <c r="U563" s="113">
        <f>'EmVap-Vol'!U405</f>
        <v>1.2952106079786864E-6</v>
      </c>
      <c r="V563" s="113">
        <f>'EmVap-Vol'!V405</f>
        <v>7.9130580119435269E-7</v>
      </c>
      <c r="W563" s="113">
        <f>'EmVap-Vol'!W405</f>
        <v>7.9130580119435269E-7</v>
      </c>
      <c r="X563" s="113">
        <f>'EmVap-Vol'!X405</f>
        <v>4.124789608046837E-6</v>
      </c>
      <c r="Y563" s="113">
        <f>'EmVap-Vol'!Y405</f>
        <v>5.9515713162747051E-6</v>
      </c>
      <c r="Z563" s="113">
        <f>'EmVap-Vol'!Z405</f>
        <v>1.004964426852598E-5</v>
      </c>
      <c r="AA563" s="113">
        <f>'EmVap-Vol'!AA405</f>
        <v>1.4980247754752993E-5</v>
      </c>
      <c r="AB563" s="113">
        <f>'EmVap-Vol'!AB405</f>
        <v>1.3245476343958458E-5</v>
      </c>
      <c r="AC563" s="113">
        <f>'EmVap-Vol'!AC405</f>
        <v>6.7878710848560343E-5</v>
      </c>
      <c r="AD563" s="113">
        <f>'EmVap-Vol'!AD405</f>
        <v>3.4679182930241005E-4</v>
      </c>
      <c r="AE563" s="113">
        <f>'EmVap-Vol'!AE405</f>
        <v>1.4659760810910435E-3</v>
      </c>
      <c r="AF563" s="113">
        <f>'EmVap-Vol'!AF405</f>
        <v>1.5943997078787183E-2</v>
      </c>
      <c r="AG563" s="113">
        <f>'EmVap-Vol'!AG405</f>
        <v>5.7592854573751388E-7</v>
      </c>
      <c r="AH563" s="113">
        <f>'EmVap-Vol'!AH405</f>
        <v>7.6919746757526942E-7</v>
      </c>
      <c r="AI563" s="113">
        <f>'EmVap-Vol'!AI405</f>
        <v>1.8917119988621861E-6</v>
      </c>
      <c r="AJ563" s="113">
        <f>'EmVap-Vol'!AJ405</f>
        <v>7.9469290003178434E-6</v>
      </c>
      <c r="AK563" s="113">
        <f>'EmVap-Vol'!AK405</f>
        <v>3.4859466948071687E-5</v>
      </c>
      <c r="AL563" s="113">
        <f>'EmVap-Vol'!AL405</f>
        <v>4.59832211544578E-4</v>
      </c>
      <c r="AM563" s="113">
        <f>'EmVap-Vol'!AM405</f>
        <v>6.4988445109530821E-3</v>
      </c>
      <c r="AN563" s="113">
        <f>'EmVap-Vol'!AN405</f>
        <v>8.1223835730861668E-4</v>
      </c>
      <c r="AO563" s="113">
        <f>'EmVap-Vol'!AO405</f>
        <v>1.5347623813062969E-3</v>
      </c>
      <c r="AP563" s="113">
        <f>'EmVap-Vol'!AP405</f>
        <v>1.1937069330533354E-3</v>
      </c>
      <c r="AQ563" s="113">
        <f>'EmVap-Vol'!AQ405</f>
        <v>1.8541992545686946E-3</v>
      </c>
      <c r="AR563" s="113">
        <f>'EmVap-Vol'!AR405</f>
        <v>3.98329554156872E-3</v>
      </c>
      <c r="AS563" s="113">
        <f>'EmVap-Vol'!AS405</f>
        <v>3.5351076401386773E-3</v>
      </c>
      <c r="AT563" s="113">
        <f>'EmVap-Vol'!AT405</f>
        <v>1.1058552196003157E-2</v>
      </c>
      <c r="AU563" s="113">
        <f>'EmVap-Vol'!AU405</f>
        <v>1.1224838133050644E-2</v>
      </c>
      <c r="AV563" s="113">
        <f>'EmVap-Vol'!AV405</f>
        <v>2.0218779004729074E-2</v>
      </c>
      <c r="AW563" s="113">
        <f>'EmVap-Vol'!AW405</f>
        <v>2.0401445505536697E-2</v>
      </c>
      <c r="AX563" s="113">
        <f>'EmVap-Vol'!AX405</f>
        <v>2.9187397995014071E-2</v>
      </c>
      <c r="AY563" s="113">
        <f>'EmVap-Vol'!AY405</f>
        <v>2.9394702924268785E-2</v>
      </c>
      <c r="AZ563" s="113">
        <f>'EmVap-Vol'!AZ405</f>
        <v>2.954909964407168E-2</v>
      </c>
      <c r="BA563" s="113">
        <f>'EmVap-Vol'!BA405</f>
        <v>2.9813170736626208E-2</v>
      </c>
      <c r="BB563" s="113">
        <f>'EmVap-Vol'!BB405</f>
        <v>2.9024187001629297E-2</v>
      </c>
      <c r="BC563" s="113">
        <f>'EmVap-Vol'!BC405</f>
        <v>2.9869500572335769E-2</v>
      </c>
      <c r="BD563" s="113">
        <f>'EmVap-Vol'!BD405</f>
        <v>5.0720906758332839E-3</v>
      </c>
      <c r="BE563" s="113">
        <f>'EmVap-Vol'!BE405</f>
        <v>2.0701344024777666E-2</v>
      </c>
      <c r="BF563" s="113">
        <f>'EmVap-Vol'!BF405</f>
        <v>2.0701344024777666E-2</v>
      </c>
      <c r="BG563" s="113">
        <f>'EmVap-Vol'!BG405</f>
        <v>9.4613746816956763E-7</v>
      </c>
      <c r="BH563" s="113">
        <f>'EmVap-Vol'!BH405</f>
        <v>4.4529787593550378E-3</v>
      </c>
      <c r="BI563" s="113">
        <f>'EmVap-Vol'!BI405</f>
        <v>1.685757438299995E-3</v>
      </c>
    </row>
    <row r="564" spans="1:61" s="2542" customFormat="1">
      <c r="A564" s="2538"/>
      <c r="B564" s="2539"/>
      <c r="C564" s="2492"/>
      <c r="D564" s="2493"/>
      <c r="E564" s="2515" t="s">
        <v>1285</v>
      </c>
      <c r="F564" s="2449" t="s">
        <v>215</v>
      </c>
      <c r="G564" s="2450" t="s">
        <v>206</v>
      </c>
      <c r="H564" s="236">
        <f>H563*H$542</f>
        <v>0.49695257378776742</v>
      </c>
      <c r="I564" s="236">
        <f t="shared" ref="I564:BI564" si="295">I563*I$542</f>
        <v>0.49695257378776742</v>
      </c>
      <c r="J564" s="236">
        <f>J563*J$542</f>
        <v>9.9451077833202201E-2</v>
      </c>
      <c r="K564" s="236">
        <f t="shared" si="295"/>
        <v>4.4636206929689673E-4</v>
      </c>
      <c r="L564" s="236">
        <f t="shared" si="295"/>
        <v>2.387396310343879E-3</v>
      </c>
      <c r="M564" s="236">
        <f t="shared" si="295"/>
        <v>2.387396310343879E-3</v>
      </c>
      <c r="N564" s="236">
        <f>N563*N$542</f>
        <v>1.2104555241537818E-3</v>
      </c>
      <c r="O564" s="236">
        <f>O563*O$542</f>
        <v>1.2104555241537818E-3</v>
      </c>
      <c r="P564" s="236">
        <f t="shared" si="295"/>
        <v>1.1087386396254008E-3</v>
      </c>
      <c r="Q564" s="236">
        <f t="shared" si="295"/>
        <v>1.1087386396254008E-3</v>
      </c>
      <c r="R564" s="236">
        <f>R563*R$542</f>
        <v>2.7582445799089529E-3</v>
      </c>
      <c r="S564" s="236">
        <f>S563*S$542</f>
        <v>2.9400082758125577E-3</v>
      </c>
      <c r="T564" s="236">
        <f>T563*T$542</f>
        <v>2.9400082758125577E-3</v>
      </c>
      <c r="U564" s="236">
        <f t="shared" si="295"/>
        <v>6.244765431325809E-4</v>
      </c>
      <c r="V564" s="236">
        <f t="shared" si="295"/>
        <v>3.8152243986156289E-4</v>
      </c>
      <c r="W564" s="236">
        <f t="shared" si="295"/>
        <v>3.8152243986156289E-4</v>
      </c>
      <c r="X564" s="236">
        <f t="shared" si="295"/>
        <v>1.9887378467368677E-3</v>
      </c>
      <c r="Y564" s="236">
        <f t="shared" si="295"/>
        <v>2.869507598918161E-3</v>
      </c>
      <c r="Z564" s="236">
        <f t="shared" si="295"/>
        <v>4.8453642008964544E-3</v>
      </c>
      <c r="AA564" s="236">
        <f t="shared" si="295"/>
        <v>7.2226194531844782E-3</v>
      </c>
      <c r="AB564" s="236">
        <f t="shared" si="295"/>
        <v>6.3862118086942567E-3</v>
      </c>
      <c r="AC564" s="236">
        <f t="shared" si="295"/>
        <v>3.2727235587698737E-2</v>
      </c>
      <c r="AD564" s="236">
        <f t="shared" si="295"/>
        <v>0.16720320341366199</v>
      </c>
      <c r="AE564" s="236">
        <f t="shared" si="295"/>
        <v>0.70680989624032453</v>
      </c>
      <c r="AF564" s="236">
        <f t="shared" si="295"/>
        <v>7.6872843058438196</v>
      </c>
      <c r="AG564" s="236">
        <f t="shared" si="295"/>
        <v>2.7767983455201562E-4</v>
      </c>
      <c r="AH564" s="236">
        <f t="shared" si="295"/>
        <v>3.7086306472379059E-4</v>
      </c>
      <c r="AI564" s="236">
        <f t="shared" si="295"/>
        <v>9.1207542802283965E-4</v>
      </c>
      <c r="AJ564" s="236">
        <f t="shared" si="295"/>
        <v>3.8315550537246744E-3</v>
      </c>
      <c r="AK564" s="236">
        <f t="shared" si="295"/>
        <v>1.6807242992820277E-2</v>
      </c>
      <c r="AL564" s="236">
        <f t="shared" si="295"/>
        <v>0.22170481628042152</v>
      </c>
      <c r="AM564" s="236">
        <f t="shared" si="295"/>
        <v>3.1333714606380929</v>
      </c>
      <c r="AN564" s="236">
        <f t="shared" si="295"/>
        <v>0.39161492227379729</v>
      </c>
      <c r="AO564" s="236">
        <f t="shared" si="295"/>
        <v>0.73997471955839311</v>
      </c>
      <c r="AP564" s="236">
        <f t="shared" si="295"/>
        <v>0.57553727129357235</v>
      </c>
      <c r="AQ564" s="236">
        <f t="shared" si="295"/>
        <v>0.89398892630990623</v>
      </c>
      <c r="AR564" s="236">
        <f t="shared" si="295"/>
        <v>1.9205174932563469</v>
      </c>
      <c r="AS564" s="236">
        <f t="shared" si="295"/>
        <v>1.7044268979240049</v>
      </c>
      <c r="AT564" s="236">
        <f t="shared" si="295"/>
        <v>5.3318019516443789</v>
      </c>
      <c r="AU564" s="236">
        <f t="shared" si="295"/>
        <v>5.4119755284351321</v>
      </c>
      <c r="AV564" s="236">
        <f t="shared" si="295"/>
        <v>9.7483398772800882</v>
      </c>
      <c r="AW564" s="236">
        <f t="shared" si="295"/>
        <v>9.8364112258837633</v>
      </c>
      <c r="AX564" s="236">
        <f t="shared" si="295"/>
        <v>14.072495461881784</v>
      </c>
      <c r="AY564" s="236">
        <f t="shared" si="295"/>
        <v>14.172446052772449</v>
      </c>
      <c r="AZ564" s="236">
        <f t="shared" si="295"/>
        <v>14.246887328391702</v>
      </c>
      <c r="BA564" s="236">
        <f t="shared" si="295"/>
        <v>14.374207319444778</v>
      </c>
      <c r="BB564" s="236">
        <f t="shared" si="295"/>
        <v>13.993804447214124</v>
      </c>
      <c r="BC564" s="236">
        <f t="shared" si="295"/>
        <v>14.401366347376173</v>
      </c>
      <c r="BD564" s="236">
        <f t="shared" si="295"/>
        <v>2.4454722901339045</v>
      </c>
      <c r="BE564" s="236">
        <f t="shared" si="295"/>
        <v>9.9810051548035172</v>
      </c>
      <c r="BF564" s="236">
        <f t="shared" si="295"/>
        <v>9.9810051548035172</v>
      </c>
      <c r="BG564" s="236">
        <f t="shared" si="295"/>
        <v>4.5617342215318436E-4</v>
      </c>
      <c r="BH564" s="236">
        <f t="shared" si="295"/>
        <v>2.1469719018318929</v>
      </c>
      <c r="BI564" s="236">
        <f t="shared" si="295"/>
        <v>0.81277590775178321</v>
      </c>
    </row>
    <row r="565" spans="1:61" s="26" customFormat="1">
      <c r="A565" s="398"/>
      <c r="B565" s="27"/>
      <c r="C565" s="2453"/>
      <c r="D565" s="2454"/>
      <c r="E565" s="103"/>
      <c r="F565" s="14"/>
      <c r="G565" s="105"/>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row>
    <row r="566" spans="1:61">
      <c r="A566" s="397"/>
      <c r="B566" s="97"/>
      <c r="C566" s="2492"/>
      <c r="D566" s="2493"/>
      <c r="E566" s="145" t="s">
        <v>209</v>
      </c>
      <c r="F566" s="62"/>
      <c r="G566" s="107"/>
      <c r="H566" s="113"/>
      <c r="I566" s="113"/>
      <c r="J566" s="113"/>
      <c r="K566" s="113"/>
      <c r="L566" s="113"/>
      <c r="M566" s="113"/>
      <c r="N566" s="113"/>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row>
    <row r="567" spans="1:61">
      <c r="A567" s="397"/>
      <c r="B567" s="97"/>
      <c r="C567" s="2488" t="s">
        <v>589</v>
      </c>
      <c r="D567" s="2493"/>
      <c r="E567" s="37" t="s">
        <v>1178</v>
      </c>
      <c r="F567" s="18" t="s">
        <v>181</v>
      </c>
      <c r="G567" s="117" t="s">
        <v>182</v>
      </c>
      <c r="H567" s="163">
        <f>FEM!$H$25</f>
        <v>0</v>
      </c>
      <c r="I567" s="163">
        <f>FEM!$H$25</f>
        <v>0</v>
      </c>
      <c r="J567" s="163">
        <f>FEM!$H$25</f>
        <v>0</v>
      </c>
      <c r="K567" s="163">
        <f>FEM!$H$25</f>
        <v>0</v>
      </c>
      <c r="L567" s="163">
        <f>FEM!$H$25</f>
        <v>0</v>
      </c>
      <c r="M567" s="163">
        <f>FEM!$H$25</f>
        <v>0</v>
      </c>
      <c r="N567" s="163">
        <f>FEM!$H$25</f>
        <v>0</v>
      </c>
      <c r="O567" s="163">
        <f>FEM!$H$25</f>
        <v>0</v>
      </c>
      <c r="P567" s="163">
        <f>FEM!$H$25</f>
        <v>0</v>
      </c>
      <c r="Q567" s="163">
        <f>FEM!$H$25</f>
        <v>0</v>
      </c>
      <c r="R567" s="163">
        <f>FEM!$H$25</f>
        <v>0</v>
      </c>
      <c r="S567" s="163">
        <f>FEM!$H$25</f>
        <v>0</v>
      </c>
      <c r="T567" s="163">
        <f>FEM!$H$25</f>
        <v>0</v>
      </c>
      <c r="U567" s="163">
        <f>FEM!$H$25</f>
        <v>0</v>
      </c>
      <c r="V567" s="163">
        <f>FEM!$H$25</f>
        <v>0</v>
      </c>
      <c r="W567" s="163">
        <f>FEM!$H$25</f>
        <v>0</v>
      </c>
      <c r="X567" s="163">
        <f>FEM!$H$25</f>
        <v>0</v>
      </c>
      <c r="Y567" s="163">
        <f>FEM!$H$25</f>
        <v>0</v>
      </c>
      <c r="Z567" s="163">
        <f>FEM!$H$25</f>
        <v>0</v>
      </c>
      <c r="AA567" s="163">
        <f>FEM!$H$25</f>
        <v>0</v>
      </c>
      <c r="AB567" s="163">
        <f>FEM!$H$25</f>
        <v>0</v>
      </c>
      <c r="AC567" s="163">
        <f>FEM!$H$25</f>
        <v>0</v>
      </c>
      <c r="AD567" s="163">
        <f>FEM!$H$25</f>
        <v>0</v>
      </c>
      <c r="AE567" s="163">
        <f>FEM!$H$25</f>
        <v>0</v>
      </c>
      <c r="AF567" s="163">
        <f>FEM!$H$25</f>
        <v>0</v>
      </c>
      <c r="AG567" s="163">
        <f>FEM!$H$25</f>
        <v>0</v>
      </c>
      <c r="AH567" s="163">
        <f>FEM!$H$25</f>
        <v>0</v>
      </c>
      <c r="AI567" s="163">
        <f>FEM!$H$25</f>
        <v>0</v>
      </c>
      <c r="AJ567" s="163">
        <f>FEM!$H$25</f>
        <v>0</v>
      </c>
      <c r="AK567" s="163">
        <f>FEM!$H$25</f>
        <v>0</v>
      </c>
      <c r="AL567" s="163">
        <f>FEM!$H$25</f>
        <v>0</v>
      </c>
      <c r="AM567" s="163">
        <f>FEM!$H$25</f>
        <v>0</v>
      </c>
      <c r="AN567" s="163">
        <f>FEM!$H$25</f>
        <v>0</v>
      </c>
      <c r="AO567" s="163">
        <f>FEM!$H$25</f>
        <v>0</v>
      </c>
      <c r="AP567" s="163">
        <f>FEM!$H$25</f>
        <v>0</v>
      </c>
      <c r="AQ567" s="163">
        <f>FEM!$H$25</f>
        <v>0</v>
      </c>
      <c r="AR567" s="163">
        <f>FEM!$H$25</f>
        <v>0</v>
      </c>
      <c r="AS567" s="163">
        <f>FEM!$H$25</f>
        <v>0</v>
      </c>
      <c r="AT567" s="163">
        <f>FEM!$H$25</f>
        <v>0</v>
      </c>
      <c r="AU567" s="163">
        <f>FEM!$H$25</f>
        <v>0</v>
      </c>
      <c r="AV567" s="163">
        <f>FEM!$H$25</f>
        <v>0</v>
      </c>
      <c r="AW567" s="163">
        <f>FEM!$H$25</f>
        <v>0</v>
      </c>
      <c r="AX567" s="163">
        <f>FEM!$H$25</f>
        <v>0</v>
      </c>
      <c r="AY567" s="163">
        <f>FEM!$H$25</f>
        <v>0</v>
      </c>
      <c r="AZ567" s="163">
        <f>FEM!$H$25</f>
        <v>0</v>
      </c>
      <c r="BA567" s="163">
        <f>FEM!$H$25</f>
        <v>0</v>
      </c>
      <c r="BB567" s="163">
        <f>FEM!$H$25</f>
        <v>0</v>
      </c>
      <c r="BC567" s="163">
        <f>FEM!$H$25</f>
        <v>0</v>
      </c>
      <c r="BD567" s="163">
        <f>FEM!$H$25</f>
        <v>0</v>
      </c>
      <c r="BE567" s="163">
        <f>FEM!$H$25</f>
        <v>0</v>
      </c>
      <c r="BF567" s="163">
        <f>FEM!$H$25</f>
        <v>0</v>
      </c>
      <c r="BG567" s="163">
        <f>FEM!$H$25</f>
        <v>0</v>
      </c>
      <c r="BH567" s="163">
        <f>FEM!$H$25</f>
        <v>0</v>
      </c>
      <c r="BI567" s="163">
        <f>FEM!$H$25</f>
        <v>0</v>
      </c>
    </row>
    <row r="568" spans="1:61" s="41" customFormat="1">
      <c r="A568" s="401"/>
      <c r="B568" s="154"/>
      <c r="C568" s="4122" t="s">
        <v>590</v>
      </c>
      <c r="D568" s="4123"/>
      <c r="E568" s="37" t="s">
        <v>1160</v>
      </c>
      <c r="F568" s="18" t="s">
        <v>210</v>
      </c>
      <c r="G568" s="117" t="s">
        <v>182</v>
      </c>
      <c r="H568" s="227">
        <f>FEM!$I$25</f>
        <v>0</v>
      </c>
      <c r="I568" s="227">
        <f>FEM!$I$25</f>
        <v>0</v>
      </c>
      <c r="J568" s="227">
        <f>FEM!$I$25</f>
        <v>0</v>
      </c>
      <c r="K568" s="227">
        <f>FEM!$I$25</f>
        <v>0</v>
      </c>
      <c r="L568" s="227">
        <f>FEM!$I$25</f>
        <v>0</v>
      </c>
      <c r="M568" s="227">
        <f>FEM!$I$25</f>
        <v>0</v>
      </c>
      <c r="N568" s="227">
        <f>FEM!$I$25</f>
        <v>0</v>
      </c>
      <c r="O568" s="227">
        <f>FEM!$I$25</f>
        <v>0</v>
      </c>
      <c r="P568" s="227">
        <f>FEM!$I$25</f>
        <v>0</v>
      </c>
      <c r="Q568" s="227">
        <f>FEM!$I$25</f>
        <v>0</v>
      </c>
      <c r="R568" s="227">
        <f>FEM!$I$25</f>
        <v>0</v>
      </c>
      <c r="S568" s="227">
        <f>FEM!$I$25</f>
        <v>0</v>
      </c>
      <c r="T568" s="227">
        <f>FEM!$I$25</f>
        <v>0</v>
      </c>
      <c r="U568" s="227">
        <f>FEM!$I$25</f>
        <v>0</v>
      </c>
      <c r="V568" s="227">
        <f>FEM!$I$25</f>
        <v>0</v>
      </c>
      <c r="W568" s="227">
        <f>FEM!$I$25</f>
        <v>0</v>
      </c>
      <c r="X568" s="227">
        <f>FEM!$I$25</f>
        <v>0</v>
      </c>
      <c r="Y568" s="227">
        <f>FEM!$I$25</f>
        <v>0</v>
      </c>
      <c r="Z568" s="227">
        <f>FEM!$I$25</f>
        <v>0</v>
      </c>
      <c r="AA568" s="227">
        <f>FEM!$I$25</f>
        <v>0</v>
      </c>
      <c r="AB568" s="227">
        <f>FEM!$I$25</f>
        <v>0</v>
      </c>
      <c r="AC568" s="227">
        <f>FEM!$I$25</f>
        <v>0</v>
      </c>
      <c r="AD568" s="227">
        <f>FEM!$I$25</f>
        <v>0</v>
      </c>
      <c r="AE568" s="227">
        <f>FEM!$I$25</f>
        <v>0</v>
      </c>
      <c r="AF568" s="227">
        <f>FEM!$I$25</f>
        <v>0</v>
      </c>
      <c r="AG568" s="227">
        <f>FEM!$I$25</f>
        <v>0</v>
      </c>
      <c r="AH568" s="227">
        <f>FEM!$I$25</f>
        <v>0</v>
      </c>
      <c r="AI568" s="227">
        <f>FEM!$I$25</f>
        <v>0</v>
      </c>
      <c r="AJ568" s="227">
        <f>FEM!$I$25</f>
        <v>0</v>
      </c>
      <c r="AK568" s="227">
        <f>FEM!$I$25</f>
        <v>0</v>
      </c>
      <c r="AL568" s="227">
        <f>FEM!$I$25</f>
        <v>0</v>
      </c>
      <c r="AM568" s="227">
        <f>FEM!$I$25</f>
        <v>0</v>
      </c>
      <c r="AN568" s="227">
        <f>FEM!$I$25</f>
        <v>0</v>
      </c>
      <c r="AO568" s="227">
        <f>FEM!$I$25</f>
        <v>0</v>
      </c>
      <c r="AP568" s="227">
        <f>FEM!$I$25</f>
        <v>0</v>
      </c>
      <c r="AQ568" s="227">
        <f>FEM!$I$25</f>
        <v>0</v>
      </c>
      <c r="AR568" s="227">
        <f>FEM!$I$25</f>
        <v>0</v>
      </c>
      <c r="AS568" s="227">
        <f>FEM!$I$25</f>
        <v>0</v>
      </c>
      <c r="AT568" s="227">
        <f>FEM!$I$25</f>
        <v>0</v>
      </c>
      <c r="AU568" s="227">
        <f>FEM!$I$25</f>
        <v>0</v>
      </c>
      <c r="AV568" s="227">
        <f>FEM!$I$25</f>
        <v>0</v>
      </c>
      <c r="AW568" s="227">
        <f>FEM!$I$25</f>
        <v>0</v>
      </c>
      <c r="AX568" s="227">
        <f>FEM!$I$25</f>
        <v>0</v>
      </c>
      <c r="AY568" s="227">
        <f>FEM!$I$25</f>
        <v>0</v>
      </c>
      <c r="AZ568" s="227">
        <f>FEM!$I$25</f>
        <v>0</v>
      </c>
      <c r="BA568" s="227">
        <f>FEM!$I$25</f>
        <v>0</v>
      </c>
      <c r="BB568" s="227">
        <f>FEM!$I$25</f>
        <v>0</v>
      </c>
      <c r="BC568" s="227">
        <f>FEM!$I$25</f>
        <v>0</v>
      </c>
      <c r="BD568" s="227">
        <f>FEM!$I$25</f>
        <v>0</v>
      </c>
      <c r="BE568" s="227">
        <f>FEM!$I$25</f>
        <v>0</v>
      </c>
      <c r="BF568" s="227">
        <f>FEM!$I$25</f>
        <v>0</v>
      </c>
      <c r="BG568" s="227">
        <f>FEM!$I$25</f>
        <v>0</v>
      </c>
      <c r="BH568" s="227">
        <f>FEM!$I$25</f>
        <v>0</v>
      </c>
      <c r="BI568" s="227">
        <f>FEM!$I$25</f>
        <v>0</v>
      </c>
    </row>
    <row r="569" spans="1:61" s="2464" customFormat="1">
      <c r="A569" s="2461"/>
      <c r="B569" s="2462"/>
      <c r="C569" s="4122"/>
      <c r="D569" s="4123"/>
      <c r="E569" s="2516" t="s">
        <v>1183</v>
      </c>
      <c r="F569" s="2441" t="s">
        <v>1155</v>
      </c>
      <c r="G569" s="2431" t="s">
        <v>1156</v>
      </c>
      <c r="H569" s="2463">
        <f t="shared" ref="H569:AL569" si="296">IF(H$10&gt;0,H567/24/H$10,0)</f>
        <v>0</v>
      </c>
      <c r="I569" s="2463">
        <f t="shared" si="296"/>
        <v>0</v>
      </c>
      <c r="J569" s="2463">
        <f>IF(J$10&gt;0,J567/24/J$10,0)</f>
        <v>0</v>
      </c>
      <c r="K569" s="2463">
        <f t="shared" si="296"/>
        <v>0</v>
      </c>
      <c r="L569" s="2463">
        <f t="shared" si="296"/>
        <v>0</v>
      </c>
      <c r="M569" s="2463">
        <f t="shared" si="296"/>
        <v>0</v>
      </c>
      <c r="N569" s="2463">
        <f>IF(N$10&gt;0,N567/24/N$10,0)</f>
        <v>0</v>
      </c>
      <c r="O569" s="2463">
        <f>IF(O$10&gt;0,O567/24/O$10,0)</f>
        <v>0</v>
      </c>
      <c r="P569" s="2463">
        <f t="shared" si="296"/>
        <v>0</v>
      </c>
      <c r="Q569" s="2463">
        <f t="shared" si="296"/>
        <v>0</v>
      </c>
      <c r="R569" s="2463">
        <f>IF(R$10&gt;0,R567/24/R$10,0)</f>
        <v>0</v>
      </c>
      <c r="S569" s="2463">
        <f>IF(S$10&gt;0,S567/24/S$10,0)</f>
        <v>0</v>
      </c>
      <c r="T569" s="2463">
        <f>IF(T$10&gt;0,T567/24/T$10,0)</f>
        <v>0</v>
      </c>
      <c r="U569" s="2463">
        <f t="shared" si="296"/>
        <v>0</v>
      </c>
      <c r="V569" s="2463">
        <f t="shared" si="296"/>
        <v>0</v>
      </c>
      <c r="W569" s="2463">
        <f t="shared" si="296"/>
        <v>0</v>
      </c>
      <c r="X569" s="2463">
        <f t="shared" si="296"/>
        <v>0</v>
      </c>
      <c r="Y569" s="2463">
        <f t="shared" si="296"/>
        <v>0</v>
      </c>
      <c r="Z569" s="2463">
        <f t="shared" si="296"/>
        <v>0</v>
      </c>
      <c r="AA569" s="2463">
        <f t="shared" si="296"/>
        <v>0</v>
      </c>
      <c r="AB569" s="2463">
        <f t="shared" si="296"/>
        <v>0</v>
      </c>
      <c r="AC569" s="2463">
        <f t="shared" si="296"/>
        <v>0</v>
      </c>
      <c r="AD569" s="2463">
        <f t="shared" si="296"/>
        <v>0</v>
      </c>
      <c r="AE569" s="2463">
        <f t="shared" si="296"/>
        <v>0</v>
      </c>
      <c r="AF569" s="2463">
        <f t="shared" si="296"/>
        <v>0</v>
      </c>
      <c r="AG569" s="2463">
        <f t="shared" si="296"/>
        <v>0</v>
      </c>
      <c r="AH569" s="2463">
        <f t="shared" si="296"/>
        <v>0</v>
      </c>
      <c r="AI569" s="2463">
        <f t="shared" si="296"/>
        <v>0</v>
      </c>
      <c r="AJ569" s="2463">
        <f t="shared" si="296"/>
        <v>0</v>
      </c>
      <c r="AK569" s="2463">
        <f t="shared" si="296"/>
        <v>0</v>
      </c>
      <c r="AL569" s="2463">
        <f t="shared" si="296"/>
        <v>0</v>
      </c>
      <c r="AM569" s="2463">
        <f t="shared" ref="AM569:BI569" si="297">IF(AM$10&gt;0,AM567/24/AM$10,0)</f>
        <v>0</v>
      </c>
      <c r="AN569" s="2463">
        <f t="shared" si="297"/>
        <v>0</v>
      </c>
      <c r="AO569" s="2463">
        <f t="shared" si="297"/>
        <v>0</v>
      </c>
      <c r="AP569" s="2463">
        <f t="shared" si="297"/>
        <v>0</v>
      </c>
      <c r="AQ569" s="2463">
        <f t="shared" si="297"/>
        <v>0</v>
      </c>
      <c r="AR569" s="2463">
        <f t="shared" si="297"/>
        <v>0</v>
      </c>
      <c r="AS569" s="2463">
        <f t="shared" si="297"/>
        <v>0</v>
      </c>
      <c r="AT569" s="2463">
        <f t="shared" si="297"/>
        <v>0</v>
      </c>
      <c r="AU569" s="2463">
        <f t="shared" si="297"/>
        <v>0</v>
      </c>
      <c r="AV569" s="2463">
        <f t="shared" si="297"/>
        <v>0</v>
      </c>
      <c r="AW569" s="2463">
        <f t="shared" si="297"/>
        <v>0</v>
      </c>
      <c r="AX569" s="2463">
        <f t="shared" si="297"/>
        <v>0</v>
      </c>
      <c r="AY569" s="2463">
        <f t="shared" si="297"/>
        <v>0</v>
      </c>
      <c r="AZ569" s="2463">
        <f t="shared" si="297"/>
        <v>0</v>
      </c>
      <c r="BA569" s="2463">
        <f t="shared" si="297"/>
        <v>0</v>
      </c>
      <c r="BB569" s="2463">
        <f t="shared" si="297"/>
        <v>0</v>
      </c>
      <c r="BC569" s="2463">
        <f t="shared" si="297"/>
        <v>0</v>
      </c>
      <c r="BD569" s="2463">
        <f t="shared" si="297"/>
        <v>0</v>
      </c>
      <c r="BE569" s="2463">
        <f t="shared" si="297"/>
        <v>0</v>
      </c>
      <c r="BF569" s="2463">
        <f t="shared" si="297"/>
        <v>0</v>
      </c>
      <c r="BG569" s="2463">
        <f t="shared" si="297"/>
        <v>0</v>
      </c>
      <c r="BH569" s="2463">
        <f t="shared" si="297"/>
        <v>0</v>
      </c>
      <c r="BI569" s="2463">
        <f t="shared" si="297"/>
        <v>0</v>
      </c>
    </row>
    <row r="570" spans="1:61" s="2464" customFormat="1">
      <c r="A570" s="2461"/>
      <c r="B570" s="2462"/>
      <c r="C570" s="4122"/>
      <c r="D570" s="4123"/>
      <c r="E570" s="2516" t="s">
        <v>1181</v>
      </c>
      <c r="F570" s="2441" t="s">
        <v>211</v>
      </c>
      <c r="G570" s="2431" t="s">
        <v>212</v>
      </c>
      <c r="H570" s="2442">
        <f t="shared" ref="H570:AM570" si="298">H568/24*H$11</f>
        <v>0</v>
      </c>
      <c r="I570" s="2442">
        <f t="shared" si="298"/>
        <v>0</v>
      </c>
      <c r="J570" s="2442">
        <f t="shared" si="298"/>
        <v>0</v>
      </c>
      <c r="K570" s="2442">
        <f t="shared" si="298"/>
        <v>0</v>
      </c>
      <c r="L570" s="2442">
        <f t="shared" si="298"/>
        <v>0</v>
      </c>
      <c r="M570" s="2442">
        <f t="shared" si="298"/>
        <v>0</v>
      </c>
      <c r="N570" s="2442">
        <f t="shared" si="298"/>
        <v>0</v>
      </c>
      <c r="O570" s="2442">
        <f t="shared" si="298"/>
        <v>0</v>
      </c>
      <c r="P570" s="2442">
        <f t="shared" si="298"/>
        <v>0</v>
      </c>
      <c r="Q570" s="2442">
        <f t="shared" si="298"/>
        <v>0</v>
      </c>
      <c r="R570" s="2442">
        <f t="shared" si="298"/>
        <v>0</v>
      </c>
      <c r="S570" s="2442">
        <f t="shared" si="298"/>
        <v>0</v>
      </c>
      <c r="T570" s="2442">
        <f t="shared" si="298"/>
        <v>0</v>
      </c>
      <c r="U570" s="2442">
        <f t="shared" si="298"/>
        <v>0</v>
      </c>
      <c r="V570" s="2442">
        <f t="shared" si="298"/>
        <v>0</v>
      </c>
      <c r="W570" s="2442">
        <f t="shared" si="298"/>
        <v>0</v>
      </c>
      <c r="X570" s="2442">
        <f t="shared" si="298"/>
        <v>0</v>
      </c>
      <c r="Y570" s="2442">
        <f t="shared" si="298"/>
        <v>0</v>
      </c>
      <c r="Z570" s="2442">
        <f t="shared" si="298"/>
        <v>0</v>
      </c>
      <c r="AA570" s="2442">
        <f t="shared" si="298"/>
        <v>0</v>
      </c>
      <c r="AB570" s="2442">
        <f t="shared" si="298"/>
        <v>0</v>
      </c>
      <c r="AC570" s="2442">
        <f t="shared" si="298"/>
        <v>0</v>
      </c>
      <c r="AD570" s="2442">
        <f t="shared" si="298"/>
        <v>0</v>
      </c>
      <c r="AE570" s="2442">
        <f t="shared" si="298"/>
        <v>0</v>
      </c>
      <c r="AF570" s="2442">
        <f t="shared" si="298"/>
        <v>0</v>
      </c>
      <c r="AG570" s="2442">
        <f t="shared" si="298"/>
        <v>0</v>
      </c>
      <c r="AH570" s="2442">
        <f t="shared" si="298"/>
        <v>0</v>
      </c>
      <c r="AI570" s="2442">
        <f t="shared" si="298"/>
        <v>0</v>
      </c>
      <c r="AJ570" s="2442">
        <f t="shared" si="298"/>
        <v>0</v>
      </c>
      <c r="AK570" s="2442">
        <f t="shared" si="298"/>
        <v>0</v>
      </c>
      <c r="AL570" s="2442">
        <f t="shared" si="298"/>
        <v>0</v>
      </c>
      <c r="AM570" s="2442">
        <f t="shared" si="298"/>
        <v>0</v>
      </c>
      <c r="AN570" s="2442">
        <f t="shared" ref="AN570:BI570" si="299">AN568/24*AN$11</f>
        <v>0</v>
      </c>
      <c r="AO570" s="2442">
        <f t="shared" si="299"/>
        <v>0</v>
      </c>
      <c r="AP570" s="2442">
        <f t="shared" si="299"/>
        <v>0</v>
      </c>
      <c r="AQ570" s="2442">
        <f t="shared" si="299"/>
        <v>0</v>
      </c>
      <c r="AR570" s="2442">
        <f t="shared" si="299"/>
        <v>0</v>
      </c>
      <c r="AS570" s="2442">
        <f t="shared" si="299"/>
        <v>0</v>
      </c>
      <c r="AT570" s="2442">
        <f t="shared" si="299"/>
        <v>0</v>
      </c>
      <c r="AU570" s="2442">
        <f t="shared" si="299"/>
        <v>0</v>
      </c>
      <c r="AV570" s="2442">
        <f t="shared" si="299"/>
        <v>0</v>
      </c>
      <c r="AW570" s="2442">
        <f t="shared" si="299"/>
        <v>0</v>
      </c>
      <c r="AX570" s="2442">
        <f t="shared" si="299"/>
        <v>0</v>
      </c>
      <c r="AY570" s="2442">
        <f t="shared" si="299"/>
        <v>0</v>
      </c>
      <c r="AZ570" s="2442">
        <f t="shared" si="299"/>
        <v>0</v>
      </c>
      <c r="BA570" s="2442">
        <f t="shared" si="299"/>
        <v>0</v>
      </c>
      <c r="BB570" s="2442">
        <f t="shared" si="299"/>
        <v>0</v>
      </c>
      <c r="BC570" s="2442">
        <f t="shared" si="299"/>
        <v>0</v>
      </c>
      <c r="BD570" s="2442">
        <f t="shared" si="299"/>
        <v>0</v>
      </c>
      <c r="BE570" s="2442">
        <f t="shared" si="299"/>
        <v>0</v>
      </c>
      <c r="BF570" s="2442">
        <f t="shared" si="299"/>
        <v>0</v>
      </c>
      <c r="BG570" s="2442">
        <f t="shared" si="299"/>
        <v>0</v>
      </c>
      <c r="BH570" s="2442">
        <f t="shared" si="299"/>
        <v>0</v>
      </c>
      <c r="BI570" s="2442">
        <f t="shared" si="299"/>
        <v>0</v>
      </c>
    </row>
    <row r="571" spans="1:61" s="2476" customFormat="1">
      <c r="A571" s="2461"/>
      <c r="B571" s="2462"/>
      <c r="C571" s="4122"/>
      <c r="D571" s="4123"/>
      <c r="E571" s="2516" t="s">
        <v>1184</v>
      </c>
      <c r="F571" s="2465" t="s">
        <v>1158</v>
      </c>
      <c r="G571" s="2431" t="s">
        <v>1157</v>
      </c>
      <c r="H571" s="2442">
        <f t="shared" ref="H571:AL571" si="300">H551*H569</f>
        <v>0</v>
      </c>
      <c r="I571" s="2442">
        <f t="shared" si="300"/>
        <v>0</v>
      </c>
      <c r="J571" s="2442">
        <f>J551*J569</f>
        <v>0</v>
      </c>
      <c r="K571" s="2442">
        <f t="shared" si="300"/>
        <v>0</v>
      </c>
      <c r="L571" s="2442">
        <f t="shared" si="300"/>
        <v>0</v>
      </c>
      <c r="M571" s="2442">
        <f t="shared" si="300"/>
        <v>0</v>
      </c>
      <c r="N571" s="2442">
        <f>N551*N569</f>
        <v>0</v>
      </c>
      <c r="O571" s="2442">
        <f>O551*O569</f>
        <v>0</v>
      </c>
      <c r="P571" s="2442">
        <f t="shared" si="300"/>
        <v>0</v>
      </c>
      <c r="Q571" s="2442">
        <f t="shared" si="300"/>
        <v>0</v>
      </c>
      <c r="R571" s="2442">
        <f>R551*R569</f>
        <v>0</v>
      </c>
      <c r="S571" s="2442">
        <f>S551*S569</f>
        <v>0</v>
      </c>
      <c r="T571" s="2442">
        <f>T551*T569</f>
        <v>0</v>
      </c>
      <c r="U571" s="2442">
        <f t="shared" si="300"/>
        <v>0</v>
      </c>
      <c r="V571" s="2442">
        <f t="shared" si="300"/>
        <v>0</v>
      </c>
      <c r="W571" s="2442">
        <f t="shared" si="300"/>
        <v>0</v>
      </c>
      <c r="X571" s="2442">
        <f t="shared" si="300"/>
        <v>0</v>
      </c>
      <c r="Y571" s="2442">
        <f t="shared" si="300"/>
        <v>0</v>
      </c>
      <c r="Z571" s="2442">
        <f t="shared" si="300"/>
        <v>0</v>
      </c>
      <c r="AA571" s="2442">
        <f t="shared" si="300"/>
        <v>0</v>
      </c>
      <c r="AB571" s="2442">
        <f t="shared" si="300"/>
        <v>0</v>
      </c>
      <c r="AC571" s="2442">
        <f t="shared" si="300"/>
        <v>0</v>
      </c>
      <c r="AD571" s="2442">
        <f t="shared" si="300"/>
        <v>0</v>
      </c>
      <c r="AE571" s="2442">
        <f t="shared" si="300"/>
        <v>0</v>
      </c>
      <c r="AF571" s="2442">
        <f t="shared" si="300"/>
        <v>0</v>
      </c>
      <c r="AG571" s="2442">
        <f t="shared" si="300"/>
        <v>0</v>
      </c>
      <c r="AH571" s="2442">
        <f t="shared" si="300"/>
        <v>0</v>
      </c>
      <c r="AI571" s="2442">
        <f t="shared" si="300"/>
        <v>0</v>
      </c>
      <c r="AJ571" s="2442">
        <f t="shared" si="300"/>
        <v>0</v>
      </c>
      <c r="AK571" s="2442">
        <f t="shared" si="300"/>
        <v>0</v>
      </c>
      <c r="AL571" s="2442">
        <f t="shared" si="300"/>
        <v>0</v>
      </c>
      <c r="AM571" s="2442">
        <f t="shared" ref="AM571:BI571" si="301">AM551*AM569</f>
        <v>0</v>
      </c>
      <c r="AN571" s="2442">
        <f t="shared" si="301"/>
        <v>0</v>
      </c>
      <c r="AO571" s="2442">
        <f t="shared" si="301"/>
        <v>0</v>
      </c>
      <c r="AP571" s="2442">
        <f t="shared" si="301"/>
        <v>0</v>
      </c>
      <c r="AQ571" s="2442">
        <f t="shared" si="301"/>
        <v>0</v>
      </c>
      <c r="AR571" s="2442">
        <f t="shared" si="301"/>
        <v>0</v>
      </c>
      <c r="AS571" s="2442">
        <f t="shared" si="301"/>
        <v>0</v>
      </c>
      <c r="AT571" s="2442">
        <f t="shared" si="301"/>
        <v>0</v>
      </c>
      <c r="AU571" s="2442">
        <f t="shared" si="301"/>
        <v>0</v>
      </c>
      <c r="AV571" s="2442">
        <f t="shared" si="301"/>
        <v>0</v>
      </c>
      <c r="AW571" s="2442">
        <f t="shared" si="301"/>
        <v>0</v>
      </c>
      <c r="AX571" s="2442">
        <f t="shared" si="301"/>
        <v>0</v>
      </c>
      <c r="AY571" s="2442">
        <f t="shared" si="301"/>
        <v>0</v>
      </c>
      <c r="AZ571" s="2442">
        <f t="shared" si="301"/>
        <v>0</v>
      </c>
      <c r="BA571" s="2442">
        <f t="shared" si="301"/>
        <v>0</v>
      </c>
      <c r="BB571" s="2442">
        <f t="shared" si="301"/>
        <v>0</v>
      </c>
      <c r="BC571" s="2442">
        <f t="shared" si="301"/>
        <v>0</v>
      </c>
      <c r="BD571" s="2442">
        <f t="shared" si="301"/>
        <v>0</v>
      </c>
      <c r="BE571" s="2442">
        <f t="shared" si="301"/>
        <v>0</v>
      </c>
      <c r="BF571" s="2442">
        <f t="shared" si="301"/>
        <v>0</v>
      </c>
      <c r="BG571" s="2442">
        <f t="shared" si="301"/>
        <v>0</v>
      </c>
      <c r="BH571" s="2442">
        <f t="shared" si="301"/>
        <v>0</v>
      </c>
      <c r="BI571" s="2442">
        <f t="shared" si="301"/>
        <v>0</v>
      </c>
    </row>
    <row r="572" spans="1:61" s="2476" customFormat="1">
      <c r="A572" s="2461"/>
      <c r="B572" s="2462"/>
      <c r="C572" s="4122"/>
      <c r="D572" s="4123"/>
      <c r="E572" s="2516" t="s">
        <v>1182</v>
      </c>
      <c r="F572" s="2465" t="s">
        <v>233</v>
      </c>
      <c r="G572" s="2431" t="s">
        <v>234</v>
      </c>
      <c r="H572" s="2442">
        <f>H561*H570</f>
        <v>0</v>
      </c>
      <c r="I572" s="2442">
        <f t="shared" ref="I572:BI572" si="302">I561*I570</f>
        <v>0</v>
      </c>
      <c r="J572" s="2442">
        <f>J561*J570</f>
        <v>0</v>
      </c>
      <c r="K572" s="2442">
        <f t="shared" si="302"/>
        <v>0</v>
      </c>
      <c r="L572" s="2442">
        <f t="shared" si="302"/>
        <v>0</v>
      </c>
      <c r="M572" s="2442">
        <f t="shared" si="302"/>
        <v>0</v>
      </c>
      <c r="N572" s="2442">
        <f>N561*N570</f>
        <v>0</v>
      </c>
      <c r="O572" s="2442">
        <f>O561*O570</f>
        <v>0</v>
      </c>
      <c r="P572" s="2442">
        <f t="shared" si="302"/>
        <v>0</v>
      </c>
      <c r="Q572" s="2442">
        <f t="shared" si="302"/>
        <v>0</v>
      </c>
      <c r="R572" s="2442">
        <f>R561*R570</f>
        <v>0</v>
      </c>
      <c r="S572" s="2442">
        <f>S561*S570</f>
        <v>0</v>
      </c>
      <c r="T572" s="2442">
        <f>T561*T570</f>
        <v>0</v>
      </c>
      <c r="U572" s="2442">
        <f t="shared" si="302"/>
        <v>0</v>
      </c>
      <c r="V572" s="2442">
        <f t="shared" si="302"/>
        <v>0</v>
      </c>
      <c r="W572" s="2442">
        <f t="shared" si="302"/>
        <v>0</v>
      </c>
      <c r="X572" s="2442">
        <f t="shared" si="302"/>
        <v>0</v>
      </c>
      <c r="Y572" s="2442">
        <f t="shared" si="302"/>
        <v>0</v>
      </c>
      <c r="Z572" s="2442">
        <f t="shared" si="302"/>
        <v>0</v>
      </c>
      <c r="AA572" s="2442">
        <f t="shared" si="302"/>
        <v>0</v>
      </c>
      <c r="AB572" s="2442">
        <f t="shared" si="302"/>
        <v>0</v>
      </c>
      <c r="AC572" s="2442">
        <f t="shared" si="302"/>
        <v>0</v>
      </c>
      <c r="AD572" s="2442">
        <f t="shared" si="302"/>
        <v>0</v>
      </c>
      <c r="AE572" s="2442">
        <f t="shared" si="302"/>
        <v>0</v>
      </c>
      <c r="AF572" s="2442">
        <f t="shared" si="302"/>
        <v>0</v>
      </c>
      <c r="AG572" s="2442">
        <f t="shared" si="302"/>
        <v>0</v>
      </c>
      <c r="AH572" s="2442">
        <f t="shared" si="302"/>
        <v>0</v>
      </c>
      <c r="AI572" s="2442">
        <f t="shared" si="302"/>
        <v>0</v>
      </c>
      <c r="AJ572" s="2442">
        <f t="shared" si="302"/>
        <v>0</v>
      </c>
      <c r="AK572" s="2442">
        <f t="shared" si="302"/>
        <v>0</v>
      </c>
      <c r="AL572" s="2442">
        <f t="shared" si="302"/>
        <v>0</v>
      </c>
      <c r="AM572" s="2442">
        <f t="shared" si="302"/>
        <v>0</v>
      </c>
      <c r="AN572" s="2442">
        <f t="shared" si="302"/>
        <v>0</v>
      </c>
      <c r="AO572" s="2442">
        <f t="shared" si="302"/>
        <v>0</v>
      </c>
      <c r="AP572" s="2442">
        <f t="shared" si="302"/>
        <v>0</v>
      </c>
      <c r="AQ572" s="2442">
        <f t="shared" si="302"/>
        <v>0</v>
      </c>
      <c r="AR572" s="2442">
        <f t="shared" si="302"/>
        <v>0</v>
      </c>
      <c r="AS572" s="2442">
        <f t="shared" si="302"/>
        <v>0</v>
      </c>
      <c r="AT572" s="2442">
        <f t="shared" si="302"/>
        <v>0</v>
      </c>
      <c r="AU572" s="2442">
        <f t="shared" si="302"/>
        <v>0</v>
      </c>
      <c r="AV572" s="2442">
        <f t="shared" si="302"/>
        <v>0</v>
      </c>
      <c r="AW572" s="2442">
        <f t="shared" si="302"/>
        <v>0</v>
      </c>
      <c r="AX572" s="2442">
        <f t="shared" si="302"/>
        <v>0</v>
      </c>
      <c r="AY572" s="2442">
        <f t="shared" si="302"/>
        <v>0</v>
      </c>
      <c r="AZ572" s="2442">
        <f t="shared" si="302"/>
        <v>0</v>
      </c>
      <c r="BA572" s="2442">
        <f t="shared" si="302"/>
        <v>0</v>
      </c>
      <c r="BB572" s="2442">
        <f t="shared" si="302"/>
        <v>0</v>
      </c>
      <c r="BC572" s="2442">
        <f t="shared" si="302"/>
        <v>0</v>
      </c>
      <c r="BD572" s="2442">
        <f t="shared" si="302"/>
        <v>0</v>
      </c>
      <c r="BE572" s="2442">
        <f t="shared" si="302"/>
        <v>0</v>
      </c>
      <c r="BF572" s="2442">
        <f t="shared" si="302"/>
        <v>0</v>
      </c>
      <c r="BG572" s="2442">
        <f t="shared" si="302"/>
        <v>0</v>
      </c>
      <c r="BH572" s="2442">
        <f t="shared" si="302"/>
        <v>0</v>
      </c>
      <c r="BI572" s="2442">
        <f t="shared" si="302"/>
        <v>0</v>
      </c>
    </row>
    <row r="573" spans="1:61" s="2476" customFormat="1">
      <c r="A573" s="2461"/>
      <c r="B573" s="2462"/>
      <c r="C573" s="4122"/>
      <c r="D573" s="4123"/>
      <c r="E573" s="2517" t="s">
        <v>988</v>
      </c>
      <c r="F573" s="2466" t="s">
        <v>492</v>
      </c>
      <c r="G573" s="2467" t="s">
        <v>492</v>
      </c>
      <c r="H573" s="2442">
        <f t="shared" ref="H573:AL573" si="303">H539*H571</f>
        <v>0</v>
      </c>
      <c r="I573" s="2442">
        <f t="shared" si="303"/>
        <v>0</v>
      </c>
      <c r="J573" s="2442">
        <f>J539*J571</f>
        <v>0</v>
      </c>
      <c r="K573" s="2442">
        <f t="shared" si="303"/>
        <v>0</v>
      </c>
      <c r="L573" s="2442">
        <f t="shared" si="303"/>
        <v>0</v>
      </c>
      <c r="M573" s="2442">
        <f t="shared" si="303"/>
        <v>0</v>
      </c>
      <c r="N573" s="2442">
        <f>N539*N571</f>
        <v>0</v>
      </c>
      <c r="O573" s="2442">
        <f>O539*O571</f>
        <v>0</v>
      </c>
      <c r="P573" s="2442">
        <f t="shared" si="303"/>
        <v>0</v>
      </c>
      <c r="Q573" s="2442">
        <f t="shared" si="303"/>
        <v>0</v>
      </c>
      <c r="R573" s="2442">
        <f>R539*R571</f>
        <v>0</v>
      </c>
      <c r="S573" s="2442">
        <f>S539*S571</f>
        <v>0</v>
      </c>
      <c r="T573" s="2442">
        <f>T539*T571</f>
        <v>0</v>
      </c>
      <c r="U573" s="2442">
        <f t="shared" si="303"/>
        <v>0</v>
      </c>
      <c r="V573" s="2442">
        <f t="shared" si="303"/>
        <v>0</v>
      </c>
      <c r="W573" s="2442">
        <f t="shared" si="303"/>
        <v>0</v>
      </c>
      <c r="X573" s="2442">
        <f t="shared" si="303"/>
        <v>0</v>
      </c>
      <c r="Y573" s="2442">
        <f t="shared" si="303"/>
        <v>0</v>
      </c>
      <c r="Z573" s="2442">
        <f t="shared" si="303"/>
        <v>0</v>
      </c>
      <c r="AA573" s="2442">
        <f t="shared" si="303"/>
        <v>0</v>
      </c>
      <c r="AB573" s="2442">
        <f t="shared" si="303"/>
        <v>0</v>
      </c>
      <c r="AC573" s="2442">
        <f t="shared" si="303"/>
        <v>0</v>
      </c>
      <c r="AD573" s="2442">
        <f t="shared" si="303"/>
        <v>0</v>
      </c>
      <c r="AE573" s="2442">
        <f t="shared" si="303"/>
        <v>0</v>
      </c>
      <c r="AF573" s="2442">
        <f t="shared" si="303"/>
        <v>0</v>
      </c>
      <c r="AG573" s="2442">
        <f t="shared" si="303"/>
        <v>0</v>
      </c>
      <c r="AH573" s="2442">
        <f t="shared" si="303"/>
        <v>0</v>
      </c>
      <c r="AI573" s="2442">
        <f t="shared" si="303"/>
        <v>0</v>
      </c>
      <c r="AJ573" s="2442">
        <f t="shared" si="303"/>
        <v>0</v>
      </c>
      <c r="AK573" s="2442">
        <f t="shared" si="303"/>
        <v>0</v>
      </c>
      <c r="AL573" s="2442">
        <f t="shared" si="303"/>
        <v>0</v>
      </c>
      <c r="AM573" s="2442">
        <f t="shared" ref="AM573:BI573" si="304">AM539*AM571</f>
        <v>0</v>
      </c>
      <c r="AN573" s="2442">
        <f t="shared" si="304"/>
        <v>0</v>
      </c>
      <c r="AO573" s="2442">
        <f t="shared" si="304"/>
        <v>0</v>
      </c>
      <c r="AP573" s="2442">
        <f t="shared" si="304"/>
        <v>0</v>
      </c>
      <c r="AQ573" s="2442">
        <f t="shared" si="304"/>
        <v>0</v>
      </c>
      <c r="AR573" s="2442">
        <f t="shared" si="304"/>
        <v>0</v>
      </c>
      <c r="AS573" s="2442">
        <f t="shared" si="304"/>
        <v>0</v>
      </c>
      <c r="AT573" s="2442">
        <f t="shared" si="304"/>
        <v>0</v>
      </c>
      <c r="AU573" s="2442">
        <f t="shared" si="304"/>
        <v>0</v>
      </c>
      <c r="AV573" s="2442">
        <f t="shared" si="304"/>
        <v>0</v>
      </c>
      <c r="AW573" s="2442">
        <f t="shared" si="304"/>
        <v>0</v>
      </c>
      <c r="AX573" s="2442">
        <f t="shared" si="304"/>
        <v>0</v>
      </c>
      <c r="AY573" s="2442">
        <f t="shared" si="304"/>
        <v>0</v>
      </c>
      <c r="AZ573" s="2442">
        <f t="shared" si="304"/>
        <v>0</v>
      </c>
      <c r="BA573" s="2442">
        <f t="shared" si="304"/>
        <v>0</v>
      </c>
      <c r="BB573" s="2442">
        <f t="shared" si="304"/>
        <v>0</v>
      </c>
      <c r="BC573" s="2442">
        <f t="shared" si="304"/>
        <v>0</v>
      </c>
      <c r="BD573" s="2442">
        <f t="shared" si="304"/>
        <v>0</v>
      </c>
      <c r="BE573" s="2442">
        <f t="shared" si="304"/>
        <v>0</v>
      </c>
      <c r="BF573" s="2442">
        <f t="shared" si="304"/>
        <v>0</v>
      </c>
      <c r="BG573" s="2442">
        <f t="shared" si="304"/>
        <v>0</v>
      </c>
      <c r="BH573" s="2442">
        <f t="shared" si="304"/>
        <v>0</v>
      </c>
      <c r="BI573" s="2442">
        <f t="shared" si="304"/>
        <v>0</v>
      </c>
    </row>
    <row r="574" spans="1:61" s="2530" customFormat="1">
      <c r="A574" s="2527"/>
      <c r="B574" s="2528"/>
      <c r="C574" s="2492"/>
      <c r="D574" s="2493"/>
      <c r="E574" s="2518" t="s">
        <v>991</v>
      </c>
      <c r="F574" s="2468" t="s">
        <v>213</v>
      </c>
      <c r="G574" s="2469" t="s">
        <v>213</v>
      </c>
      <c r="H574" s="2470">
        <f t="shared" ref="H574:AL574" si="305">H539*H572</f>
        <v>0</v>
      </c>
      <c r="I574" s="2470">
        <f t="shared" si="305"/>
        <v>0</v>
      </c>
      <c r="J574" s="2470">
        <f>J539*J572</f>
        <v>0</v>
      </c>
      <c r="K574" s="2470">
        <f t="shared" si="305"/>
        <v>0</v>
      </c>
      <c r="L574" s="2470">
        <f t="shared" si="305"/>
        <v>0</v>
      </c>
      <c r="M574" s="2470">
        <f t="shared" si="305"/>
        <v>0</v>
      </c>
      <c r="N574" s="2470">
        <f>N539*N572</f>
        <v>0</v>
      </c>
      <c r="O574" s="2470">
        <f>O539*O572</f>
        <v>0</v>
      </c>
      <c r="P574" s="2470">
        <f t="shared" si="305"/>
        <v>0</v>
      </c>
      <c r="Q574" s="2470">
        <f t="shared" si="305"/>
        <v>0</v>
      </c>
      <c r="R574" s="2470">
        <f>R539*R572</f>
        <v>0</v>
      </c>
      <c r="S574" s="2470">
        <f>S539*S572</f>
        <v>0</v>
      </c>
      <c r="T574" s="2470">
        <f>T539*T572</f>
        <v>0</v>
      </c>
      <c r="U574" s="2470">
        <f t="shared" si="305"/>
        <v>0</v>
      </c>
      <c r="V574" s="2470">
        <f t="shared" si="305"/>
        <v>0</v>
      </c>
      <c r="W574" s="2470">
        <f t="shared" si="305"/>
        <v>0</v>
      </c>
      <c r="X574" s="2470">
        <f t="shared" si="305"/>
        <v>0</v>
      </c>
      <c r="Y574" s="2470">
        <f t="shared" si="305"/>
        <v>0</v>
      </c>
      <c r="Z574" s="2470">
        <f t="shared" si="305"/>
        <v>0</v>
      </c>
      <c r="AA574" s="2470">
        <f t="shared" si="305"/>
        <v>0</v>
      </c>
      <c r="AB574" s="2470">
        <f t="shared" si="305"/>
        <v>0</v>
      </c>
      <c r="AC574" s="2470">
        <f t="shared" si="305"/>
        <v>0</v>
      </c>
      <c r="AD574" s="2470">
        <f t="shared" si="305"/>
        <v>0</v>
      </c>
      <c r="AE574" s="2470">
        <f t="shared" si="305"/>
        <v>0</v>
      </c>
      <c r="AF574" s="2470">
        <f t="shared" si="305"/>
        <v>0</v>
      </c>
      <c r="AG574" s="2470">
        <f t="shared" si="305"/>
        <v>0</v>
      </c>
      <c r="AH574" s="2470">
        <f t="shared" si="305"/>
        <v>0</v>
      </c>
      <c r="AI574" s="2470">
        <f t="shared" si="305"/>
        <v>0</v>
      </c>
      <c r="AJ574" s="2470">
        <f t="shared" si="305"/>
        <v>0</v>
      </c>
      <c r="AK574" s="2470">
        <f t="shared" si="305"/>
        <v>0</v>
      </c>
      <c r="AL574" s="2470">
        <f t="shared" si="305"/>
        <v>0</v>
      </c>
      <c r="AM574" s="2470">
        <f t="shared" ref="AM574:BI574" si="306">AM539*AM572</f>
        <v>0</v>
      </c>
      <c r="AN574" s="2470">
        <f t="shared" si="306"/>
        <v>0</v>
      </c>
      <c r="AO574" s="2470">
        <f t="shared" si="306"/>
        <v>0</v>
      </c>
      <c r="AP574" s="2470">
        <f t="shared" si="306"/>
        <v>0</v>
      </c>
      <c r="AQ574" s="2470">
        <f t="shared" si="306"/>
        <v>0</v>
      </c>
      <c r="AR574" s="2470">
        <f t="shared" si="306"/>
        <v>0</v>
      </c>
      <c r="AS574" s="2470">
        <f t="shared" si="306"/>
        <v>0</v>
      </c>
      <c r="AT574" s="2470">
        <f t="shared" si="306"/>
        <v>0</v>
      </c>
      <c r="AU574" s="2470">
        <f t="shared" si="306"/>
        <v>0</v>
      </c>
      <c r="AV574" s="2470">
        <f t="shared" si="306"/>
        <v>0</v>
      </c>
      <c r="AW574" s="2470">
        <f t="shared" si="306"/>
        <v>0</v>
      </c>
      <c r="AX574" s="2470">
        <f t="shared" si="306"/>
        <v>0</v>
      </c>
      <c r="AY574" s="2470">
        <f t="shared" si="306"/>
        <v>0</v>
      </c>
      <c r="AZ574" s="2470">
        <f t="shared" si="306"/>
        <v>0</v>
      </c>
      <c r="BA574" s="2470">
        <f t="shared" si="306"/>
        <v>0</v>
      </c>
      <c r="BB574" s="2470">
        <f t="shared" si="306"/>
        <v>0</v>
      </c>
      <c r="BC574" s="2470">
        <f t="shared" si="306"/>
        <v>0</v>
      </c>
      <c r="BD574" s="2470">
        <f t="shared" si="306"/>
        <v>0</v>
      </c>
      <c r="BE574" s="2470">
        <f t="shared" si="306"/>
        <v>0</v>
      </c>
      <c r="BF574" s="2470">
        <f t="shared" si="306"/>
        <v>0</v>
      </c>
      <c r="BG574" s="2470">
        <f t="shared" si="306"/>
        <v>0</v>
      </c>
      <c r="BH574" s="2470">
        <f t="shared" si="306"/>
        <v>0</v>
      </c>
      <c r="BI574" s="2470">
        <f t="shared" si="306"/>
        <v>0</v>
      </c>
    </row>
    <row r="575" spans="1:61">
      <c r="A575" s="397"/>
      <c r="B575" s="97"/>
      <c r="C575" s="2489" t="s">
        <v>591</v>
      </c>
      <c r="D575" s="2493"/>
      <c r="E575" s="37" t="s">
        <v>1178</v>
      </c>
      <c r="F575" s="18" t="s">
        <v>181</v>
      </c>
      <c r="G575" s="117" t="s">
        <v>182</v>
      </c>
      <c r="H575" s="163">
        <f>FEM!$H$24</f>
        <v>4.8219178082191778</v>
      </c>
      <c r="I575" s="163">
        <f>FEM!$H$24</f>
        <v>4.8219178082191778</v>
      </c>
      <c r="J575" s="163">
        <f>FEM!$H$24</f>
        <v>4.8219178082191778</v>
      </c>
      <c r="K575" s="163">
        <f>FEM!$H$24</f>
        <v>4.8219178082191778</v>
      </c>
      <c r="L575" s="163">
        <f>FEM!$H$24</f>
        <v>4.8219178082191778</v>
      </c>
      <c r="M575" s="163">
        <f>FEM!$H$24</f>
        <v>4.8219178082191778</v>
      </c>
      <c r="N575" s="163">
        <f>FEM!$H$24</f>
        <v>4.8219178082191778</v>
      </c>
      <c r="O575" s="163">
        <f>FEM!$H$24</f>
        <v>4.8219178082191778</v>
      </c>
      <c r="P575" s="163">
        <f>FEM!$H$24</f>
        <v>4.8219178082191778</v>
      </c>
      <c r="Q575" s="163">
        <f>FEM!$H$24</f>
        <v>4.8219178082191778</v>
      </c>
      <c r="R575" s="163">
        <f>FEM!$H$24</f>
        <v>4.8219178082191778</v>
      </c>
      <c r="S575" s="163">
        <f>FEM!$H$24</f>
        <v>4.8219178082191778</v>
      </c>
      <c r="T575" s="163">
        <f>FEM!$H$24</f>
        <v>4.8219178082191778</v>
      </c>
      <c r="U575" s="163">
        <f>FEM!$H$24</f>
        <v>4.8219178082191778</v>
      </c>
      <c r="V575" s="163">
        <f>FEM!$H$24</f>
        <v>4.8219178082191778</v>
      </c>
      <c r="W575" s="163">
        <f>FEM!$H$24</f>
        <v>4.8219178082191778</v>
      </c>
      <c r="X575" s="163">
        <f>FEM!$H$24</f>
        <v>4.8219178082191778</v>
      </c>
      <c r="Y575" s="163">
        <f>FEM!$H$24</f>
        <v>4.8219178082191778</v>
      </c>
      <c r="Z575" s="163">
        <f>FEM!$H$24</f>
        <v>4.8219178082191778</v>
      </c>
      <c r="AA575" s="163">
        <f>FEM!$H$24</f>
        <v>4.8219178082191778</v>
      </c>
      <c r="AB575" s="163">
        <f>FEM!$H$24</f>
        <v>4.8219178082191778</v>
      </c>
      <c r="AC575" s="163">
        <f>FEM!$H$24</f>
        <v>4.8219178082191778</v>
      </c>
      <c r="AD575" s="163">
        <f>FEM!$H$24</f>
        <v>4.8219178082191778</v>
      </c>
      <c r="AE575" s="163">
        <f>FEM!$H$24</f>
        <v>4.8219178082191778</v>
      </c>
      <c r="AF575" s="163">
        <f>FEM!$H$24</f>
        <v>4.8219178082191778</v>
      </c>
      <c r="AG575" s="163">
        <f>FEM!$H$24</f>
        <v>4.8219178082191778</v>
      </c>
      <c r="AH575" s="163">
        <f>FEM!$H$24</f>
        <v>4.8219178082191778</v>
      </c>
      <c r="AI575" s="163">
        <f>FEM!$H$24</f>
        <v>4.8219178082191778</v>
      </c>
      <c r="AJ575" s="163">
        <f>FEM!$H$24</f>
        <v>4.8219178082191778</v>
      </c>
      <c r="AK575" s="163">
        <f>FEM!$H$24</f>
        <v>4.8219178082191778</v>
      </c>
      <c r="AL575" s="163">
        <f>FEM!$H$24</f>
        <v>4.8219178082191778</v>
      </c>
      <c r="AM575" s="163">
        <f>FEM!$H$24</f>
        <v>4.8219178082191778</v>
      </c>
      <c r="AN575" s="163">
        <f>FEM!$H$24</f>
        <v>4.8219178082191778</v>
      </c>
      <c r="AO575" s="163">
        <f>FEM!$H$24</f>
        <v>4.8219178082191778</v>
      </c>
      <c r="AP575" s="163">
        <f>FEM!$H$24</f>
        <v>4.8219178082191778</v>
      </c>
      <c r="AQ575" s="163">
        <f>FEM!$H$24</f>
        <v>4.8219178082191778</v>
      </c>
      <c r="AR575" s="163">
        <f>FEM!$H$24</f>
        <v>4.8219178082191778</v>
      </c>
      <c r="AS575" s="163">
        <f>FEM!$H$24</f>
        <v>4.8219178082191778</v>
      </c>
      <c r="AT575" s="163">
        <f>FEM!$H$24</f>
        <v>4.8219178082191778</v>
      </c>
      <c r="AU575" s="163">
        <f>FEM!$H$24</f>
        <v>4.8219178082191778</v>
      </c>
      <c r="AV575" s="163">
        <f>FEM!$H$24</f>
        <v>4.8219178082191778</v>
      </c>
      <c r="AW575" s="163">
        <f>FEM!$H$24</f>
        <v>4.8219178082191778</v>
      </c>
      <c r="AX575" s="163">
        <f>FEM!$H$24</f>
        <v>4.8219178082191778</v>
      </c>
      <c r="AY575" s="163">
        <f>FEM!$H$24</f>
        <v>4.8219178082191778</v>
      </c>
      <c r="AZ575" s="163">
        <f>FEM!$H$24</f>
        <v>4.8219178082191778</v>
      </c>
      <c r="BA575" s="163">
        <f>FEM!$H$24</f>
        <v>4.8219178082191778</v>
      </c>
      <c r="BB575" s="163">
        <f>FEM!$H$24</f>
        <v>4.8219178082191778</v>
      </c>
      <c r="BC575" s="163">
        <f>FEM!$H$24</f>
        <v>4.8219178082191778</v>
      </c>
      <c r="BD575" s="163">
        <f>FEM!$H$24</f>
        <v>4.8219178082191778</v>
      </c>
      <c r="BE575" s="163">
        <f>FEM!$H$24</f>
        <v>4.8219178082191778</v>
      </c>
      <c r="BF575" s="163">
        <f>FEM!$H$24</f>
        <v>4.8219178082191778</v>
      </c>
      <c r="BG575" s="163">
        <f>FEM!$H$24</f>
        <v>4.8219178082191778</v>
      </c>
      <c r="BH575" s="163">
        <f>FEM!$H$24</f>
        <v>4.8219178082191778</v>
      </c>
      <c r="BI575" s="163">
        <f>FEM!$H$24</f>
        <v>4.8219178082191778</v>
      </c>
    </row>
    <row r="576" spans="1:61">
      <c r="A576" s="397"/>
      <c r="B576" s="97"/>
      <c r="C576" s="4124" t="s">
        <v>588</v>
      </c>
      <c r="D576" s="4125"/>
      <c r="E576" s="37" t="s">
        <v>1160</v>
      </c>
      <c r="F576" s="18" t="s">
        <v>210</v>
      </c>
      <c r="G576" s="117" t="s">
        <v>182</v>
      </c>
      <c r="H576" s="227">
        <f>FEM!$I$24</f>
        <v>2.755381604696673</v>
      </c>
      <c r="I576" s="227">
        <f>FEM!$I$24</f>
        <v>2.755381604696673</v>
      </c>
      <c r="J576" s="227">
        <f>FEM!$I$24</f>
        <v>2.755381604696673</v>
      </c>
      <c r="K576" s="227">
        <f>FEM!$I$24</f>
        <v>2.755381604696673</v>
      </c>
      <c r="L576" s="227">
        <f>FEM!$I$24</f>
        <v>2.755381604696673</v>
      </c>
      <c r="M576" s="227">
        <f>FEM!$I$24</f>
        <v>2.755381604696673</v>
      </c>
      <c r="N576" s="227">
        <f>FEM!$I$24</f>
        <v>2.755381604696673</v>
      </c>
      <c r="O576" s="227">
        <f>FEM!$I$24</f>
        <v>2.755381604696673</v>
      </c>
      <c r="P576" s="227">
        <f>FEM!$I$24</f>
        <v>2.755381604696673</v>
      </c>
      <c r="Q576" s="227">
        <f>FEM!$I$24</f>
        <v>2.755381604696673</v>
      </c>
      <c r="R576" s="227">
        <f>FEM!$I$24</f>
        <v>2.755381604696673</v>
      </c>
      <c r="S576" s="227">
        <f>FEM!$I$24</f>
        <v>2.755381604696673</v>
      </c>
      <c r="T576" s="227">
        <f>FEM!$I$24</f>
        <v>2.755381604696673</v>
      </c>
      <c r="U576" s="227">
        <f>FEM!$I$24</f>
        <v>2.755381604696673</v>
      </c>
      <c r="V576" s="227">
        <f>FEM!$I$24</f>
        <v>2.755381604696673</v>
      </c>
      <c r="W576" s="227">
        <f>FEM!$I$24</f>
        <v>2.755381604696673</v>
      </c>
      <c r="X576" s="227">
        <f>FEM!$I$24</f>
        <v>2.755381604696673</v>
      </c>
      <c r="Y576" s="227">
        <f>FEM!$I$24</f>
        <v>2.755381604696673</v>
      </c>
      <c r="Z576" s="227">
        <f>FEM!$I$24</f>
        <v>2.755381604696673</v>
      </c>
      <c r="AA576" s="227">
        <f>FEM!$I$24</f>
        <v>2.755381604696673</v>
      </c>
      <c r="AB576" s="227">
        <f>FEM!$I$24</f>
        <v>2.755381604696673</v>
      </c>
      <c r="AC576" s="227">
        <f>FEM!$I$24</f>
        <v>2.755381604696673</v>
      </c>
      <c r="AD576" s="227">
        <f>FEM!$I$24</f>
        <v>2.755381604696673</v>
      </c>
      <c r="AE576" s="227">
        <f>FEM!$I$24</f>
        <v>2.755381604696673</v>
      </c>
      <c r="AF576" s="227">
        <f>FEM!$I$24</f>
        <v>2.755381604696673</v>
      </c>
      <c r="AG576" s="227">
        <f>FEM!$I$24</f>
        <v>2.755381604696673</v>
      </c>
      <c r="AH576" s="227">
        <f>FEM!$I$24</f>
        <v>2.755381604696673</v>
      </c>
      <c r="AI576" s="227">
        <f>FEM!$I$24</f>
        <v>2.755381604696673</v>
      </c>
      <c r="AJ576" s="227">
        <f>FEM!$I$24</f>
        <v>2.755381604696673</v>
      </c>
      <c r="AK576" s="227">
        <f>FEM!$I$24</f>
        <v>2.755381604696673</v>
      </c>
      <c r="AL576" s="227">
        <f>FEM!$I$24</f>
        <v>2.755381604696673</v>
      </c>
      <c r="AM576" s="227">
        <f>FEM!$I$24</f>
        <v>2.755381604696673</v>
      </c>
      <c r="AN576" s="227">
        <f>FEM!$I$24</f>
        <v>2.755381604696673</v>
      </c>
      <c r="AO576" s="227">
        <f>FEM!$I$24</f>
        <v>2.755381604696673</v>
      </c>
      <c r="AP576" s="227">
        <f>FEM!$I$24</f>
        <v>2.755381604696673</v>
      </c>
      <c r="AQ576" s="227">
        <f>FEM!$I$24</f>
        <v>2.755381604696673</v>
      </c>
      <c r="AR576" s="227">
        <f>FEM!$I$24</f>
        <v>2.755381604696673</v>
      </c>
      <c r="AS576" s="227">
        <f>FEM!$I$24</f>
        <v>2.755381604696673</v>
      </c>
      <c r="AT576" s="227">
        <f>FEM!$I$24</f>
        <v>2.755381604696673</v>
      </c>
      <c r="AU576" s="227">
        <f>FEM!$I$24</f>
        <v>2.755381604696673</v>
      </c>
      <c r="AV576" s="227">
        <f>FEM!$I$24</f>
        <v>2.755381604696673</v>
      </c>
      <c r="AW576" s="227">
        <f>FEM!$I$24</f>
        <v>2.755381604696673</v>
      </c>
      <c r="AX576" s="227">
        <f>FEM!$I$24</f>
        <v>2.755381604696673</v>
      </c>
      <c r="AY576" s="227">
        <f>FEM!$I$24</f>
        <v>2.755381604696673</v>
      </c>
      <c r="AZ576" s="227">
        <f>FEM!$I$24</f>
        <v>2.755381604696673</v>
      </c>
      <c r="BA576" s="227">
        <f>FEM!$I$24</f>
        <v>2.755381604696673</v>
      </c>
      <c r="BB576" s="227">
        <f>FEM!$I$24</f>
        <v>2.755381604696673</v>
      </c>
      <c r="BC576" s="227">
        <f>FEM!$I$24</f>
        <v>2.755381604696673</v>
      </c>
      <c r="BD576" s="227">
        <f>FEM!$I$24</f>
        <v>2.755381604696673</v>
      </c>
      <c r="BE576" s="227">
        <f>FEM!$I$24</f>
        <v>2.755381604696673</v>
      </c>
      <c r="BF576" s="227">
        <f>FEM!$I$24</f>
        <v>2.755381604696673</v>
      </c>
      <c r="BG576" s="227">
        <f>FEM!$I$24</f>
        <v>2.755381604696673</v>
      </c>
      <c r="BH576" s="227">
        <f>FEM!$I$24</f>
        <v>2.755381604696673</v>
      </c>
      <c r="BI576" s="227">
        <f>FEM!$I$24</f>
        <v>2.755381604696673</v>
      </c>
    </row>
    <row r="577" spans="1:61" s="2464" customFormat="1">
      <c r="A577" s="2461"/>
      <c r="B577" s="2462"/>
      <c r="C577" s="4124"/>
      <c r="D577" s="4125"/>
      <c r="E577" s="2516" t="s">
        <v>1183</v>
      </c>
      <c r="F577" s="2441" t="s">
        <v>1155</v>
      </c>
      <c r="G577" s="2431" t="s">
        <v>1156</v>
      </c>
      <c r="H577" s="2463">
        <f t="shared" ref="H577:AL577" si="307">IF(H$10&gt;0,H575/24/H$10,0)</f>
        <v>1.004566210045662</v>
      </c>
      <c r="I577" s="2463">
        <f t="shared" si="307"/>
        <v>1.004566210045662</v>
      </c>
      <c r="J577" s="2463">
        <f>IF(J$10&gt;0,J575/24/J$10,0)</f>
        <v>4.0182648401826483E-2</v>
      </c>
      <c r="K577" s="2463">
        <f t="shared" si="307"/>
        <v>3.5877364644487928</v>
      </c>
      <c r="L577" s="2463">
        <f t="shared" si="307"/>
        <v>3.3485540334855401</v>
      </c>
      <c r="M577" s="2463">
        <f t="shared" si="307"/>
        <v>3.3485540334855401</v>
      </c>
      <c r="N577" s="2463">
        <f>IF(N$10&gt;0,N575/24/N$10,0)</f>
        <v>1.004566210045662</v>
      </c>
      <c r="O577" s="2463">
        <f>IF(O$10&gt;0,O575/24/O$10,0)</f>
        <v>1.004566210045662</v>
      </c>
      <c r="P577" s="2463">
        <f t="shared" si="307"/>
        <v>5.7403783431180679</v>
      </c>
      <c r="Q577" s="2463">
        <f t="shared" si="307"/>
        <v>5.7403783431180679</v>
      </c>
      <c r="R577" s="2463">
        <f>IF(R$10&gt;0,R575/24/R$10,0)</f>
        <v>0.50228310502283102</v>
      </c>
      <c r="S577" s="2463">
        <f>IF(S$10&gt;0,S575/24/S$10,0)</f>
        <v>3.1890990795100382</v>
      </c>
      <c r="T577" s="2463">
        <f>IF(T$10&gt;0,T575/24/T$10,0)</f>
        <v>3.1890990795100382</v>
      </c>
      <c r="U577" s="2463">
        <f t="shared" si="307"/>
        <v>5.287190579187695</v>
      </c>
      <c r="V577" s="2463">
        <f t="shared" si="307"/>
        <v>0.20091324200913241</v>
      </c>
      <c r="W577" s="2463">
        <f t="shared" si="307"/>
        <v>0.20091324200913241</v>
      </c>
      <c r="X577" s="2463">
        <f t="shared" si="307"/>
        <v>20.928462709284624</v>
      </c>
      <c r="Y577" s="2463">
        <f t="shared" si="307"/>
        <v>0.77274323849666304</v>
      </c>
      <c r="Z577" s="2463">
        <f t="shared" si="307"/>
        <v>0.75816317739295247</v>
      </c>
      <c r="AA577" s="2463">
        <f t="shared" si="307"/>
        <v>2.0091324200913241</v>
      </c>
      <c r="AB577" s="2463">
        <f t="shared" si="307"/>
        <v>1.004566210045662</v>
      </c>
      <c r="AC577" s="2463">
        <f t="shared" si="307"/>
        <v>1.004566210045662</v>
      </c>
      <c r="AD577" s="2463">
        <f t="shared" si="307"/>
        <v>1.004566210045662</v>
      </c>
      <c r="AE577" s="2463">
        <f t="shared" si="307"/>
        <v>0</v>
      </c>
      <c r="AF577" s="2463">
        <f t="shared" si="307"/>
        <v>0</v>
      </c>
      <c r="AG577" s="2463">
        <f t="shared" si="307"/>
        <v>1.0919197935278936E-2</v>
      </c>
      <c r="AH577" s="2463">
        <f t="shared" si="307"/>
        <v>1.0919197935278936E-2</v>
      </c>
      <c r="AI577" s="2463">
        <f t="shared" si="307"/>
        <v>0.20091324200913241</v>
      </c>
      <c r="AJ577" s="2463">
        <f t="shared" si="307"/>
        <v>0.20091324200913241</v>
      </c>
      <c r="AK577" s="2463">
        <f t="shared" si="307"/>
        <v>0.20091324200913241</v>
      </c>
      <c r="AL577" s="2463">
        <f t="shared" si="307"/>
        <v>0</v>
      </c>
      <c r="AM577" s="2463">
        <f t="shared" ref="AM577:BI577" si="308">IF(AM$10&gt;0,AM575/24/AM$10,0)</f>
        <v>0</v>
      </c>
      <c r="AN577" s="2463">
        <f t="shared" si="308"/>
        <v>66.971080669710801</v>
      </c>
      <c r="AO577" s="2463">
        <f t="shared" si="308"/>
        <v>0</v>
      </c>
      <c r="AP577" s="2463">
        <f t="shared" si="308"/>
        <v>0</v>
      </c>
      <c r="AQ577" s="2463">
        <f t="shared" si="308"/>
        <v>0</v>
      </c>
      <c r="AR577" s="2463">
        <f t="shared" si="308"/>
        <v>0</v>
      </c>
      <c r="AS577" s="2463">
        <f t="shared" si="308"/>
        <v>0</v>
      </c>
      <c r="AT577" s="2463">
        <f t="shared" si="308"/>
        <v>0</v>
      </c>
      <c r="AU577" s="2463">
        <f t="shared" si="308"/>
        <v>0</v>
      </c>
      <c r="AV577" s="2463">
        <f t="shared" si="308"/>
        <v>0</v>
      </c>
      <c r="AW577" s="2463">
        <f t="shared" si="308"/>
        <v>0</v>
      </c>
      <c r="AX577" s="2463">
        <f t="shared" si="308"/>
        <v>0</v>
      </c>
      <c r="AY577" s="2463">
        <f t="shared" si="308"/>
        <v>0</v>
      </c>
      <c r="AZ577" s="2463">
        <f t="shared" si="308"/>
        <v>0</v>
      </c>
      <c r="BA577" s="2463">
        <f t="shared" si="308"/>
        <v>0</v>
      </c>
      <c r="BB577" s="2463">
        <f t="shared" si="308"/>
        <v>0</v>
      </c>
      <c r="BC577" s="2463">
        <f t="shared" si="308"/>
        <v>0</v>
      </c>
      <c r="BD577" s="2463">
        <f t="shared" si="308"/>
        <v>10.045662100456621</v>
      </c>
      <c r="BE577" s="2463">
        <f t="shared" si="308"/>
        <v>401.82648401826481</v>
      </c>
      <c r="BF577" s="2463">
        <f t="shared" si="308"/>
        <v>200.9132420091324</v>
      </c>
      <c r="BG577" s="2463">
        <f t="shared" si="308"/>
        <v>6697.10806697108</v>
      </c>
      <c r="BH577" s="2463">
        <f t="shared" si="308"/>
        <v>636.22526636225246</v>
      </c>
      <c r="BI577" s="2463">
        <f t="shared" si="308"/>
        <v>251.14155251141551</v>
      </c>
    </row>
    <row r="578" spans="1:61" s="2464" customFormat="1">
      <c r="A578" s="2461"/>
      <c r="B578" s="2462"/>
      <c r="C578" s="2492"/>
      <c r="D578" s="2493"/>
      <c r="E578" s="2516" t="s">
        <v>1181</v>
      </c>
      <c r="F578" s="2441" t="s">
        <v>211</v>
      </c>
      <c r="G578" s="2431" t="s">
        <v>212</v>
      </c>
      <c r="H578" s="2442">
        <f t="shared" ref="H578:AL578" si="309">H576/24*H$12</f>
        <v>0</v>
      </c>
      <c r="I578" s="2442">
        <f t="shared" si="309"/>
        <v>0</v>
      </c>
      <c r="J578" s="2442">
        <f>J576/24*J$12</f>
        <v>0</v>
      </c>
      <c r="K578" s="2442">
        <f t="shared" si="309"/>
        <v>1.1480756686236137E-4</v>
      </c>
      <c r="L578" s="2442">
        <f t="shared" si="309"/>
        <v>0</v>
      </c>
      <c r="M578" s="2442">
        <f t="shared" si="309"/>
        <v>0</v>
      </c>
      <c r="N578" s="2442">
        <f>N576/24*N$12</f>
        <v>2.2961513372472275E-4</v>
      </c>
      <c r="O578" s="2442">
        <f>O576/24*O$12</f>
        <v>2.2961513372472275E-4</v>
      </c>
      <c r="P578" s="2442">
        <f t="shared" si="309"/>
        <v>6.7736464448793206E-4</v>
      </c>
      <c r="Q578" s="2442">
        <f t="shared" si="309"/>
        <v>6.7736464448793206E-4</v>
      </c>
      <c r="R578" s="2442">
        <f>R576/24*R$12</f>
        <v>1.1480756686236137E-4</v>
      </c>
      <c r="S578" s="2442">
        <f>S576/24*S$12</f>
        <v>2.6405740378343118E-3</v>
      </c>
      <c r="T578" s="2442">
        <f>T576/24*T$12</f>
        <v>2.6405740378343118E-3</v>
      </c>
      <c r="U578" s="2442">
        <f t="shared" si="309"/>
        <v>4.8219178082191784E-3</v>
      </c>
      <c r="V578" s="2442">
        <f t="shared" si="309"/>
        <v>0</v>
      </c>
      <c r="W578" s="2442">
        <f t="shared" si="309"/>
        <v>0</v>
      </c>
      <c r="X578" s="2442">
        <f t="shared" si="309"/>
        <v>6.8884540117416832E-4</v>
      </c>
      <c r="Y578" s="2442">
        <f t="shared" si="309"/>
        <v>0</v>
      </c>
      <c r="Z578" s="2442">
        <f t="shared" si="309"/>
        <v>2.8701891715590347E-4</v>
      </c>
      <c r="AA578" s="2442">
        <f t="shared" si="309"/>
        <v>0</v>
      </c>
      <c r="AB578" s="2442">
        <f t="shared" si="309"/>
        <v>0</v>
      </c>
      <c r="AC578" s="2442">
        <f t="shared" si="309"/>
        <v>0</v>
      </c>
      <c r="AD578" s="2442">
        <f t="shared" si="309"/>
        <v>0</v>
      </c>
      <c r="AE578" s="2442">
        <f t="shared" si="309"/>
        <v>0</v>
      </c>
      <c r="AF578" s="2442">
        <f t="shared" si="309"/>
        <v>0</v>
      </c>
      <c r="AG578" s="2442">
        <f t="shared" si="309"/>
        <v>0</v>
      </c>
      <c r="AH578" s="2442">
        <f t="shared" si="309"/>
        <v>0</v>
      </c>
      <c r="AI578" s="2442">
        <f t="shared" si="309"/>
        <v>0</v>
      </c>
      <c r="AJ578" s="2442">
        <f t="shared" si="309"/>
        <v>0</v>
      </c>
      <c r="AK578" s="2442">
        <f t="shared" si="309"/>
        <v>0</v>
      </c>
      <c r="AL578" s="2442">
        <f t="shared" si="309"/>
        <v>0</v>
      </c>
      <c r="AM578" s="2442">
        <f t="shared" ref="AM578:BI578" si="310">AM576/24*AM$12</f>
        <v>0</v>
      </c>
      <c r="AN578" s="2442">
        <f t="shared" si="310"/>
        <v>3.9034572733202869E-3</v>
      </c>
      <c r="AO578" s="2442">
        <f t="shared" si="310"/>
        <v>1.2628832354859751E-4</v>
      </c>
      <c r="AP578" s="2442">
        <f t="shared" si="310"/>
        <v>1.2628832354859751E-4</v>
      </c>
      <c r="AQ578" s="2442">
        <f t="shared" si="310"/>
        <v>1.2628832354859751E-4</v>
      </c>
      <c r="AR578" s="2442">
        <f t="shared" si="310"/>
        <v>1.2628832354859751E-4</v>
      </c>
      <c r="AS578" s="2442">
        <f t="shared" si="310"/>
        <v>1.2628832354859754E-3</v>
      </c>
      <c r="AT578" s="2442">
        <f t="shared" si="310"/>
        <v>1.2628832354859751E-4</v>
      </c>
      <c r="AU578" s="2442">
        <f t="shared" si="310"/>
        <v>1.2628832354859751E-4</v>
      </c>
      <c r="AV578" s="2442">
        <f t="shared" si="310"/>
        <v>1.2628832354859752E-2</v>
      </c>
      <c r="AW578" s="2442">
        <f t="shared" si="310"/>
        <v>1.2628832354859754E-3</v>
      </c>
      <c r="AX578" s="2442">
        <f t="shared" si="310"/>
        <v>1.2628832354859752E-2</v>
      </c>
      <c r="AY578" s="2442">
        <f t="shared" si="310"/>
        <v>1.2628832354859752E-2</v>
      </c>
      <c r="AZ578" s="2442">
        <f t="shared" si="310"/>
        <v>0.12628832354859754</v>
      </c>
      <c r="BA578" s="2442">
        <f t="shared" si="310"/>
        <v>0.12628832354859754</v>
      </c>
      <c r="BB578" s="2442">
        <f t="shared" si="310"/>
        <v>1.2628832354859754E-3</v>
      </c>
      <c r="BC578" s="2442">
        <f t="shared" si="310"/>
        <v>1.2628832354859752E-2</v>
      </c>
      <c r="BD578" s="2442">
        <f t="shared" si="310"/>
        <v>0</v>
      </c>
      <c r="BE578" s="2442">
        <f t="shared" si="310"/>
        <v>2.5257664709719505E-2</v>
      </c>
      <c r="BF578" s="2442">
        <f t="shared" si="310"/>
        <v>1.2628832354859752E-2</v>
      </c>
      <c r="BG578" s="2442">
        <f t="shared" si="310"/>
        <v>0</v>
      </c>
      <c r="BH578" s="2442">
        <f t="shared" si="310"/>
        <v>0</v>
      </c>
      <c r="BI578" s="2442">
        <f t="shared" si="310"/>
        <v>0</v>
      </c>
    </row>
    <row r="579" spans="1:61" s="2464" customFormat="1">
      <c r="A579" s="2461"/>
      <c r="B579" s="2462"/>
      <c r="C579" s="2492"/>
      <c r="D579" s="2493"/>
      <c r="E579" s="2516" t="s">
        <v>1184</v>
      </c>
      <c r="F579" s="2465" t="s">
        <v>1158</v>
      </c>
      <c r="G579" s="2431" t="s">
        <v>1157</v>
      </c>
      <c r="H579" s="2442">
        <f t="shared" ref="H579:AL579" si="311">H551*H577</f>
        <v>1.2479108973556439</v>
      </c>
      <c r="I579" s="2442">
        <f t="shared" si="311"/>
        <v>1.2479108973556439</v>
      </c>
      <c r="J579" s="2442">
        <f>J551*J577</f>
        <v>2.1555763707360641E-2</v>
      </c>
      <c r="K579" s="2442">
        <f t="shared" si="311"/>
        <v>6.4057178894531816E-2</v>
      </c>
      <c r="L579" s="2442">
        <f t="shared" si="311"/>
        <v>0.31977302178121969</v>
      </c>
      <c r="M579" s="2442">
        <f t="shared" si="311"/>
        <v>0.31977302178121969</v>
      </c>
      <c r="N579" s="2442">
        <f>N551*N577</f>
        <v>4.8639308733119994E-2</v>
      </c>
      <c r="O579" s="2442">
        <f>O551*O577</f>
        <v>4.8639308733119994E-2</v>
      </c>
      <c r="P579" s="2442">
        <f t="shared" si="311"/>
        <v>0.25458317100335354</v>
      </c>
      <c r="Q579" s="2442">
        <f t="shared" si="311"/>
        <v>0.25458317100335354</v>
      </c>
      <c r="R579" s="2442">
        <f>R551*R577</f>
        <v>5.5416786080362518E-2</v>
      </c>
      <c r="S579" s="2442">
        <f>S551*S577</f>
        <v>0.37503910744582886</v>
      </c>
      <c r="T579" s="2442">
        <f>T551*T577</f>
        <v>0.37503910744582886</v>
      </c>
      <c r="U579" s="2442">
        <f t="shared" si="311"/>
        <v>0.1320690598309712</v>
      </c>
      <c r="V579" s="2442">
        <f t="shared" si="311"/>
        <v>3.0661164116728341E-3</v>
      </c>
      <c r="W579" s="2442">
        <f t="shared" si="311"/>
        <v>3.0661164116728341E-3</v>
      </c>
      <c r="X579" s="2442">
        <f t="shared" si="311"/>
        <v>1.6648490345590217</v>
      </c>
      <c r="Y579" s="2442">
        <f t="shared" si="311"/>
        <v>8.8695703795152139E-2</v>
      </c>
      <c r="Z579" s="2442">
        <f t="shared" si="311"/>
        <v>0.14694306872710883</v>
      </c>
      <c r="AA579" s="2442">
        <f t="shared" si="311"/>
        <v>8.2921136579286903E-2</v>
      </c>
      <c r="AB579" s="2442">
        <f t="shared" si="311"/>
        <v>0.25661490372835366</v>
      </c>
      <c r="AC579" s="2442">
        <f t="shared" si="311"/>
        <v>0.74787024591679341</v>
      </c>
      <c r="AD579" s="2442">
        <f t="shared" si="311"/>
        <v>1.5792921650754093</v>
      </c>
      <c r="AE579" s="2442">
        <f t="shared" si="311"/>
        <v>0</v>
      </c>
      <c r="AF579" s="2442">
        <f t="shared" si="311"/>
        <v>0</v>
      </c>
      <c r="AG579" s="2442">
        <f t="shared" si="311"/>
        <v>1.2128164304435861E-4</v>
      </c>
      <c r="AH579" s="2442">
        <f t="shared" si="311"/>
        <v>1.6198108842412933E-4</v>
      </c>
      <c r="AI579" s="2442">
        <f t="shared" si="311"/>
        <v>7.3299212480374323E-3</v>
      </c>
      <c r="AJ579" s="2442">
        <f t="shared" si="311"/>
        <v>3.0792405911211993E-2</v>
      </c>
      <c r="AK579" s="2442">
        <f t="shared" si="311"/>
        <v>0.10719971467332449</v>
      </c>
      <c r="AL579" s="2442">
        <f t="shared" si="311"/>
        <v>0</v>
      </c>
      <c r="AM579" s="2442">
        <f t="shared" ref="AM579:BI579" si="312">AM551*AM577</f>
        <v>0</v>
      </c>
      <c r="AN579" s="2442">
        <f t="shared" si="312"/>
        <v>64.699959053029772</v>
      </c>
      <c r="AO579" s="2442">
        <f t="shared" si="312"/>
        <v>0</v>
      </c>
      <c r="AP579" s="2442">
        <f t="shared" si="312"/>
        <v>0</v>
      </c>
      <c r="AQ579" s="2442">
        <f t="shared" si="312"/>
        <v>0</v>
      </c>
      <c r="AR579" s="2442">
        <f t="shared" si="312"/>
        <v>0</v>
      </c>
      <c r="AS579" s="2442">
        <f t="shared" si="312"/>
        <v>0</v>
      </c>
      <c r="AT579" s="2442">
        <f t="shared" si="312"/>
        <v>0</v>
      </c>
      <c r="AU579" s="2442">
        <f t="shared" si="312"/>
        <v>0</v>
      </c>
      <c r="AV579" s="2442">
        <f t="shared" si="312"/>
        <v>0</v>
      </c>
      <c r="AW579" s="2442">
        <f t="shared" si="312"/>
        <v>0</v>
      </c>
      <c r="AX579" s="2442">
        <f t="shared" si="312"/>
        <v>0</v>
      </c>
      <c r="AY579" s="2442">
        <f t="shared" si="312"/>
        <v>0</v>
      </c>
      <c r="AZ579" s="2442">
        <f t="shared" si="312"/>
        <v>0</v>
      </c>
      <c r="BA579" s="2442">
        <f t="shared" si="312"/>
        <v>0</v>
      </c>
      <c r="BB579" s="2442">
        <f t="shared" si="312"/>
        <v>0</v>
      </c>
      <c r="BC579" s="2442">
        <f t="shared" si="312"/>
        <v>0</v>
      </c>
      <c r="BD579" s="2442">
        <f t="shared" si="312"/>
        <v>98.810128812919316</v>
      </c>
      <c r="BE579" s="2442">
        <f t="shared" si="312"/>
        <v>5707.1323042027207</v>
      </c>
      <c r="BF579" s="2442">
        <f t="shared" si="312"/>
        <v>2853.5661521013603</v>
      </c>
      <c r="BG579" s="2442">
        <f t="shared" si="312"/>
        <v>122.20170821759579</v>
      </c>
      <c r="BH579" s="2442">
        <f t="shared" si="312"/>
        <v>5788.4928905199586</v>
      </c>
      <c r="BI579" s="2442">
        <f t="shared" si="312"/>
        <v>537.15650946744836</v>
      </c>
    </row>
    <row r="580" spans="1:61" s="2464" customFormat="1">
      <c r="A580" s="2461"/>
      <c r="B580" s="2462"/>
      <c r="C580" s="2492"/>
      <c r="D580" s="2493"/>
      <c r="E580" s="2516" t="s">
        <v>1182</v>
      </c>
      <c r="F580" s="2465" t="s">
        <v>233</v>
      </c>
      <c r="G580" s="2431" t="s">
        <v>234</v>
      </c>
      <c r="H580" s="2442">
        <f>H564*H578</f>
        <v>0</v>
      </c>
      <c r="I580" s="2442">
        <f t="shared" ref="I580:BI580" si="313">I564*I578</f>
        <v>0</v>
      </c>
      <c r="J580" s="2442">
        <f>J564*J578</f>
        <v>0</v>
      </c>
      <c r="K580" s="2442">
        <f t="shared" si="313"/>
        <v>5.1245743115625452E-8</v>
      </c>
      <c r="L580" s="2442">
        <f t="shared" si="313"/>
        <v>0</v>
      </c>
      <c r="M580" s="2442">
        <f t="shared" si="313"/>
        <v>0</v>
      </c>
      <c r="N580" s="2442">
        <f>N564*N578</f>
        <v>2.7793890704639995E-7</v>
      </c>
      <c r="O580" s="2442">
        <f>O564*O578</f>
        <v>2.7793890704639995E-7</v>
      </c>
      <c r="P580" s="2442">
        <f t="shared" si="313"/>
        <v>7.5102035445989307E-7</v>
      </c>
      <c r="Q580" s="2442">
        <f t="shared" si="313"/>
        <v>7.5102035445989307E-7</v>
      </c>
      <c r="R580" s="2442">
        <f>R564*R578</f>
        <v>3.1666734903064296E-7</v>
      </c>
      <c r="S580" s="2442">
        <f>S564*S578</f>
        <v>7.7633095241286585E-6</v>
      </c>
      <c r="T580" s="2442">
        <f>T564*T578</f>
        <v>7.7633095241286585E-6</v>
      </c>
      <c r="U580" s="2442">
        <f t="shared" si="313"/>
        <v>3.0111745641461438E-6</v>
      </c>
      <c r="V580" s="2442">
        <f t="shared" si="313"/>
        <v>0</v>
      </c>
      <c r="W580" s="2442">
        <f t="shared" si="313"/>
        <v>0</v>
      </c>
      <c r="X580" s="2442">
        <f t="shared" si="313"/>
        <v>1.3699329198657093E-6</v>
      </c>
      <c r="Y580" s="2442">
        <f t="shared" si="313"/>
        <v>0</v>
      </c>
      <c r="Z580" s="2442">
        <f t="shared" si="313"/>
        <v>1.3907111861672799E-6</v>
      </c>
      <c r="AA580" s="2442">
        <f t="shared" si="313"/>
        <v>0</v>
      </c>
      <c r="AB580" s="2442">
        <f t="shared" si="313"/>
        <v>0</v>
      </c>
      <c r="AC580" s="2442">
        <f t="shared" si="313"/>
        <v>0</v>
      </c>
      <c r="AD580" s="2442">
        <f t="shared" si="313"/>
        <v>0</v>
      </c>
      <c r="AE580" s="2442">
        <f t="shared" si="313"/>
        <v>0</v>
      </c>
      <c r="AF580" s="2442">
        <f t="shared" si="313"/>
        <v>0</v>
      </c>
      <c r="AG580" s="2442">
        <f t="shared" si="313"/>
        <v>0</v>
      </c>
      <c r="AH580" s="2442">
        <f t="shared" si="313"/>
        <v>0</v>
      </c>
      <c r="AI580" s="2442">
        <f t="shared" si="313"/>
        <v>0</v>
      </c>
      <c r="AJ580" s="2442">
        <f t="shared" si="313"/>
        <v>0</v>
      </c>
      <c r="AK580" s="2442">
        <f t="shared" si="313"/>
        <v>0</v>
      </c>
      <c r="AL580" s="2442">
        <f t="shared" si="313"/>
        <v>0</v>
      </c>
      <c r="AM580" s="2442">
        <f t="shared" si="313"/>
        <v>0</v>
      </c>
      <c r="AN580" s="2442">
        <f t="shared" si="313"/>
        <v>1.5286521166904129E-3</v>
      </c>
      <c r="AO580" s="2442">
        <f t="shared" si="313"/>
        <v>9.3450166801373056E-5</v>
      </c>
      <c r="AP580" s="2442">
        <f t="shared" si="313"/>
        <v>7.2683637131399609E-5</v>
      </c>
      <c r="AQ580" s="2442">
        <f t="shared" si="313"/>
        <v>1.1290036277468873E-4</v>
      </c>
      <c r="AR580" s="2442">
        <f t="shared" si="313"/>
        <v>2.4253893456909896E-4</v>
      </c>
      <c r="AS580" s="2442">
        <f t="shared" si="313"/>
        <v>2.1524921554995917E-3</v>
      </c>
      <c r="AT580" s="2442">
        <f t="shared" si="313"/>
        <v>6.7334432996630892E-4</v>
      </c>
      <c r="AU580" s="2442">
        <f t="shared" si="313"/>
        <v>6.8346931657210796E-4</v>
      </c>
      <c r="AV580" s="2442">
        <f t="shared" si="313"/>
        <v>0.12311015004836433</v>
      </c>
      <c r="AW580" s="2442">
        <f t="shared" si="313"/>
        <v>1.2422238834514656E-2</v>
      </c>
      <c r="AX580" s="2442">
        <f t="shared" si="313"/>
        <v>0.1777191860026297</v>
      </c>
      <c r="AY580" s="2442">
        <f t="shared" si="313"/>
        <v>0.17898144525875709</v>
      </c>
      <c r="AZ580" s="2442">
        <f t="shared" si="313"/>
        <v>1.7992155164883457</v>
      </c>
      <c r="BA580" s="2442">
        <f t="shared" si="313"/>
        <v>1.8152945447126612</v>
      </c>
      <c r="BB580" s="2442">
        <f t="shared" si="313"/>
        <v>1.7672541037055803E-2</v>
      </c>
      <c r="BC580" s="2442">
        <f t="shared" si="313"/>
        <v>0.18187244128193264</v>
      </c>
      <c r="BD580" s="2442">
        <f t="shared" si="313"/>
        <v>0</v>
      </c>
      <c r="BE580" s="2442">
        <f t="shared" si="313"/>
        <v>0.25209688166600924</v>
      </c>
      <c r="BF580" s="2442">
        <f t="shared" si="313"/>
        <v>0.12604844083300462</v>
      </c>
      <c r="BG580" s="2442">
        <f t="shared" si="313"/>
        <v>0</v>
      </c>
      <c r="BH580" s="2442">
        <f t="shared" si="313"/>
        <v>0</v>
      </c>
      <c r="BI580" s="2442">
        <f t="shared" si="313"/>
        <v>0</v>
      </c>
    </row>
    <row r="581" spans="1:61" s="2464" customFormat="1">
      <c r="A581" s="2461"/>
      <c r="B581" s="2462"/>
      <c r="C581" s="2492"/>
      <c r="D581" s="2493"/>
      <c r="E581" s="2517" t="s">
        <v>988</v>
      </c>
      <c r="F581" s="2466" t="s">
        <v>492</v>
      </c>
      <c r="G581" s="2467" t="s">
        <v>492</v>
      </c>
      <c r="H581" s="2442">
        <f t="shared" ref="H581:AL581" si="314">H539*H579</f>
        <v>3.2876107134374087E-5</v>
      </c>
      <c r="I581" s="2442">
        <f t="shared" si="314"/>
        <v>3.2876107134374087E-5</v>
      </c>
      <c r="J581" s="2442">
        <f>J539*J579</f>
        <v>3.7279971581450766E-6</v>
      </c>
      <c r="K581" s="2442">
        <f t="shared" si="314"/>
        <v>2.4683240719819539E-3</v>
      </c>
      <c r="L581" s="2442">
        <f t="shared" si="314"/>
        <v>2.3037691338498242E-3</v>
      </c>
      <c r="M581" s="2442">
        <f t="shared" si="314"/>
        <v>2.3037691338498242E-3</v>
      </c>
      <c r="N581" s="2442">
        <f>N539*N579</f>
        <v>6.9113074015494718E-4</v>
      </c>
      <c r="O581" s="2442">
        <f>O539*O579</f>
        <v>6.9113074015494718E-4</v>
      </c>
      <c r="P581" s="2442">
        <f t="shared" si="314"/>
        <v>3.9493185151711265E-3</v>
      </c>
      <c r="Q581" s="2442">
        <f t="shared" si="314"/>
        <v>3.9493185151711265E-3</v>
      </c>
      <c r="R581" s="2442">
        <f>R539*R579</f>
        <v>3.4556537007747365E-4</v>
      </c>
      <c r="S581" s="2442">
        <f>S539*S579</f>
        <v>2.1940658417617378E-3</v>
      </c>
      <c r="T581" s="2442">
        <f>T539*T579</f>
        <v>2.1940658417617378E-3</v>
      </c>
      <c r="U581" s="2442">
        <f t="shared" si="314"/>
        <v>3.6375302113418276E-3</v>
      </c>
      <c r="V581" s="2442">
        <f t="shared" si="314"/>
        <v>1.3822614803098946E-4</v>
      </c>
      <c r="W581" s="2442">
        <f t="shared" si="314"/>
        <v>1.3822614803098946E-4</v>
      </c>
      <c r="X581" s="2442">
        <f t="shared" si="314"/>
        <v>1.43985570865614E-2</v>
      </c>
      <c r="Y581" s="2442">
        <f t="shared" si="314"/>
        <v>5.3163903088842082E-4</v>
      </c>
      <c r="Z581" s="2442">
        <f t="shared" si="314"/>
        <v>5.2160810577731877E-4</v>
      </c>
      <c r="AA581" s="2442">
        <f t="shared" si="314"/>
        <v>1.9746592575855637E-4</v>
      </c>
      <c r="AB581" s="2442">
        <f t="shared" si="314"/>
        <v>6.9113074015494718E-4</v>
      </c>
      <c r="AC581" s="2442">
        <f t="shared" si="314"/>
        <v>3.9304165969649937E-4</v>
      </c>
      <c r="AD581" s="2442">
        <f t="shared" si="314"/>
        <v>1.6245741545864965E-4</v>
      </c>
      <c r="AE581" s="2442">
        <f t="shared" si="314"/>
        <v>0</v>
      </c>
      <c r="AF581" s="2442">
        <f t="shared" si="314"/>
        <v>0</v>
      </c>
      <c r="AG581" s="2442">
        <f t="shared" si="314"/>
        <v>7.5122906538581231E-6</v>
      </c>
      <c r="AH581" s="2442">
        <f t="shared" si="314"/>
        <v>7.5122906538581231E-6</v>
      </c>
      <c r="AI581" s="2442">
        <f t="shared" si="314"/>
        <v>1.3822614803098946E-4</v>
      </c>
      <c r="AJ581" s="2442">
        <f t="shared" si="314"/>
        <v>1.3822614803098943E-4</v>
      </c>
      <c r="AK581" s="2442">
        <f t="shared" si="314"/>
        <v>1.0970307550408002E-4</v>
      </c>
      <c r="AL581" s="2442">
        <f t="shared" si="314"/>
        <v>0</v>
      </c>
      <c r="AM581" s="2442">
        <f t="shared" ref="AM581:BI581" si="315">AM539*AM579</f>
        <v>0</v>
      </c>
      <c r="AN581" s="2442">
        <f t="shared" si="315"/>
        <v>2.7656039479703031E-3</v>
      </c>
      <c r="AO581" s="2442">
        <f t="shared" si="315"/>
        <v>0</v>
      </c>
      <c r="AP581" s="2442">
        <f t="shared" si="315"/>
        <v>0</v>
      </c>
      <c r="AQ581" s="2442">
        <f t="shared" si="315"/>
        <v>0</v>
      </c>
      <c r="AR581" s="2442">
        <f t="shared" si="315"/>
        <v>0</v>
      </c>
      <c r="AS581" s="2442">
        <f t="shared" si="315"/>
        <v>0</v>
      </c>
      <c r="AT581" s="2442">
        <f t="shared" si="315"/>
        <v>0</v>
      </c>
      <c r="AU581" s="2442">
        <f t="shared" si="315"/>
        <v>0</v>
      </c>
      <c r="AV581" s="2442">
        <f t="shared" si="315"/>
        <v>0</v>
      </c>
      <c r="AW581" s="2442">
        <f t="shared" si="315"/>
        <v>0</v>
      </c>
      <c r="AX581" s="2442">
        <f t="shared" si="315"/>
        <v>0</v>
      </c>
      <c r="AY581" s="2442">
        <f t="shared" si="315"/>
        <v>0</v>
      </c>
      <c r="AZ581" s="2442">
        <f t="shared" si="315"/>
        <v>0</v>
      </c>
      <c r="BA581" s="2442">
        <f t="shared" si="315"/>
        <v>0</v>
      </c>
      <c r="BB581" s="2442">
        <f t="shared" si="315"/>
        <v>0</v>
      </c>
      <c r="BC581" s="2442">
        <f t="shared" si="315"/>
        <v>0</v>
      </c>
      <c r="BD581" s="2442">
        <f t="shared" si="315"/>
        <v>9.2434063747700576E-5</v>
      </c>
      <c r="BE581" s="2442">
        <f t="shared" si="315"/>
        <v>1.1849530935381585E-4</v>
      </c>
      <c r="BF581" s="2442">
        <f t="shared" si="315"/>
        <v>5.9247654676907924E-5</v>
      </c>
      <c r="BG581" s="2442">
        <f t="shared" si="315"/>
        <v>2.0733922204648416</v>
      </c>
      <c r="BH581" s="2442">
        <f t="shared" si="315"/>
        <v>7.200765261382816E-3</v>
      </c>
      <c r="BI581" s="2442">
        <f t="shared" si="315"/>
        <v>5.1702033381865759E-3</v>
      </c>
    </row>
    <row r="582" spans="1:61" s="2529" customFormat="1">
      <c r="A582" s="2527"/>
      <c r="B582" s="2528"/>
      <c r="C582" s="2492"/>
      <c r="D582" s="2493"/>
      <c r="E582" s="2518" t="s">
        <v>991</v>
      </c>
      <c r="F582" s="2468" t="s">
        <v>213</v>
      </c>
      <c r="G582" s="2469" t="s">
        <v>213</v>
      </c>
      <c r="H582" s="2470">
        <f t="shared" ref="H582:AL582" si="316">H539*H580</f>
        <v>0</v>
      </c>
      <c r="I582" s="2470">
        <f t="shared" si="316"/>
        <v>0</v>
      </c>
      <c r="J582" s="2470">
        <f>J539*J580</f>
        <v>0</v>
      </c>
      <c r="K582" s="2470">
        <f t="shared" si="316"/>
        <v>1.9746592575855631E-9</v>
      </c>
      <c r="L582" s="2470">
        <f t="shared" si="316"/>
        <v>0</v>
      </c>
      <c r="M582" s="2470">
        <f t="shared" si="316"/>
        <v>0</v>
      </c>
      <c r="N582" s="2470">
        <f>N539*N580</f>
        <v>3.949318515171127E-9</v>
      </c>
      <c r="O582" s="2470">
        <f>O539*O580</f>
        <v>3.949318515171127E-9</v>
      </c>
      <c r="P582" s="2470">
        <f t="shared" si="316"/>
        <v>1.1650489619754826E-8</v>
      </c>
      <c r="Q582" s="2470">
        <f t="shared" si="316"/>
        <v>1.1650489619754826E-8</v>
      </c>
      <c r="R582" s="2470">
        <f>R539*R580</f>
        <v>1.9746592575855635E-9</v>
      </c>
      <c r="S582" s="2470">
        <f>S539*S580</f>
        <v>4.5417162924467972E-8</v>
      </c>
      <c r="T582" s="2470">
        <f>T539*T580</f>
        <v>4.5417162924467972E-8</v>
      </c>
      <c r="U582" s="2470">
        <f t="shared" si="316"/>
        <v>8.2935688818593686E-8</v>
      </c>
      <c r="V582" s="2470">
        <f t="shared" si="316"/>
        <v>0</v>
      </c>
      <c r="W582" s="2470">
        <f t="shared" si="316"/>
        <v>0</v>
      </c>
      <c r="X582" s="2470">
        <f t="shared" si="316"/>
        <v>1.184795554551338E-8</v>
      </c>
      <c r="Y582" s="2470">
        <f t="shared" si="316"/>
        <v>0</v>
      </c>
      <c r="Z582" s="2470">
        <f t="shared" si="316"/>
        <v>4.9366481439639094E-9</v>
      </c>
      <c r="AA582" s="2470">
        <f t="shared" si="316"/>
        <v>0</v>
      </c>
      <c r="AB582" s="2470">
        <f t="shared" si="316"/>
        <v>0</v>
      </c>
      <c r="AC582" s="2470">
        <f t="shared" si="316"/>
        <v>0</v>
      </c>
      <c r="AD582" s="2470">
        <f t="shared" si="316"/>
        <v>0</v>
      </c>
      <c r="AE582" s="2470">
        <f t="shared" si="316"/>
        <v>0</v>
      </c>
      <c r="AF582" s="2470">
        <f t="shared" si="316"/>
        <v>0</v>
      </c>
      <c r="AG582" s="2470">
        <f t="shared" si="316"/>
        <v>0</v>
      </c>
      <c r="AH582" s="2470">
        <f t="shared" si="316"/>
        <v>0</v>
      </c>
      <c r="AI582" s="2470">
        <f t="shared" si="316"/>
        <v>0</v>
      </c>
      <c r="AJ582" s="2470">
        <f t="shared" si="316"/>
        <v>0</v>
      </c>
      <c r="AK582" s="2470">
        <f t="shared" si="316"/>
        <v>0</v>
      </c>
      <c r="AL582" s="2470">
        <f t="shared" si="316"/>
        <v>0</v>
      </c>
      <c r="AM582" s="2470">
        <f t="shared" ref="AM582:BI582" si="317">AM539*AM580</f>
        <v>0</v>
      </c>
      <c r="AN582" s="2470">
        <f t="shared" si="317"/>
        <v>6.5342333919053598E-8</v>
      </c>
      <c r="AO582" s="2470">
        <f t="shared" si="317"/>
        <v>1.0909761882879817E-9</v>
      </c>
      <c r="AP582" s="2470">
        <f t="shared" si="317"/>
        <v>1.4195638893867915E-9</v>
      </c>
      <c r="AQ582" s="2470">
        <f t="shared" si="317"/>
        <v>8.928450782824648E-10</v>
      </c>
      <c r="AR582" s="2470">
        <f t="shared" si="317"/>
        <v>3.8402815865473222E-10</v>
      </c>
      <c r="AS582" s="2470">
        <f t="shared" si="317"/>
        <v>4.4020795114227993E-9</v>
      </c>
      <c r="AT582" s="2470">
        <f t="shared" si="317"/>
        <v>1.0051934130372788E-10</v>
      </c>
      <c r="AU582" s="2470">
        <f t="shared" si="317"/>
        <v>9.8154824868020042E-11</v>
      </c>
      <c r="AV582" s="2470">
        <f t="shared" si="317"/>
        <v>2.8206037510803085E-9</v>
      </c>
      <c r="AW582" s="2470">
        <f t="shared" si="317"/>
        <v>2.7424394914478659E-10</v>
      </c>
      <c r="AX582" s="2470">
        <f t="shared" si="317"/>
        <v>1.380993500018481E-10</v>
      </c>
      <c r="AY582" s="2470">
        <f t="shared" si="317"/>
        <v>9.5450203204468357E-11</v>
      </c>
      <c r="AZ582" s="2470">
        <f t="shared" si="317"/>
        <v>6.4074756650508593E-10</v>
      </c>
      <c r="BA582" s="2470">
        <f t="shared" si="317"/>
        <v>1.1165261615528693E-10</v>
      </c>
      <c r="BB582" s="2470">
        <f t="shared" si="317"/>
        <v>1.7210563096305656E-11</v>
      </c>
      <c r="BC582" s="2470">
        <f t="shared" si="317"/>
        <v>4.705165223965997E-17</v>
      </c>
      <c r="BD582" s="2470">
        <f t="shared" si="317"/>
        <v>0</v>
      </c>
      <c r="BE582" s="2470">
        <f t="shared" si="317"/>
        <v>5.2342045685795955E-9</v>
      </c>
      <c r="BF582" s="2470">
        <f t="shared" si="317"/>
        <v>2.6171022842897978E-9</v>
      </c>
      <c r="BG582" s="2470">
        <f t="shared" si="317"/>
        <v>0</v>
      </c>
      <c r="BH582" s="2470">
        <f t="shared" si="317"/>
        <v>0</v>
      </c>
      <c r="BI582" s="2470">
        <f t="shared" si="317"/>
        <v>0</v>
      </c>
    </row>
    <row r="583" spans="1:61" s="26" customFormat="1">
      <c r="A583" s="398"/>
      <c r="B583" s="27"/>
      <c r="C583" s="2453"/>
      <c r="D583" s="2454"/>
      <c r="E583" s="103"/>
      <c r="F583" s="14"/>
      <c r="G583" s="105"/>
      <c r="H583" s="113"/>
      <c r="I583" s="113"/>
      <c r="J583" s="113"/>
      <c r="K583" s="113"/>
      <c r="L583" s="113"/>
      <c r="M583" s="113"/>
      <c r="N583" s="113"/>
      <c r="O583" s="113"/>
      <c r="P583" s="113"/>
      <c r="Q583" s="113"/>
      <c r="R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c r="AO583" s="113"/>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row>
    <row r="584" spans="1:61" s="2443" customFormat="1">
      <c r="A584" s="2438"/>
      <c r="B584" s="2439"/>
      <c r="C584" s="4120" t="s">
        <v>586</v>
      </c>
      <c r="D584" s="4121"/>
      <c r="E584" s="2517" t="s">
        <v>988</v>
      </c>
      <c r="F584" s="2466" t="s">
        <v>492</v>
      </c>
      <c r="G584" s="2467" t="s">
        <v>492</v>
      </c>
      <c r="H584" s="2442">
        <f>MAX(H573,H581)</f>
        <v>3.2876107134374087E-5</v>
      </c>
      <c r="I584" s="2442">
        <f t="shared" ref="I584:BI584" si="318">MAX(I573,I581)</f>
        <v>3.2876107134374087E-5</v>
      </c>
      <c r="J584" s="2442">
        <f>MAX(J573,J581)</f>
        <v>3.7279971581450766E-6</v>
      </c>
      <c r="K584" s="2442">
        <f t="shared" si="318"/>
        <v>2.4683240719819539E-3</v>
      </c>
      <c r="L584" s="2442">
        <f t="shared" si="318"/>
        <v>2.3037691338498242E-3</v>
      </c>
      <c r="M584" s="2442">
        <f t="shared" si="318"/>
        <v>2.3037691338498242E-3</v>
      </c>
      <c r="N584" s="2442">
        <f>MAX(N573,N581)</f>
        <v>6.9113074015494718E-4</v>
      </c>
      <c r="O584" s="2442">
        <f>MAX(O573,O581)</f>
        <v>6.9113074015494718E-4</v>
      </c>
      <c r="P584" s="2442">
        <f t="shared" si="318"/>
        <v>3.9493185151711265E-3</v>
      </c>
      <c r="Q584" s="2442">
        <f t="shared" si="318"/>
        <v>3.9493185151711265E-3</v>
      </c>
      <c r="R584" s="2442">
        <f>MAX(R573,R581)</f>
        <v>3.4556537007747365E-4</v>
      </c>
      <c r="S584" s="2442">
        <f>MAX(S573,S581)</f>
        <v>2.1940658417617378E-3</v>
      </c>
      <c r="T584" s="2442">
        <f>MAX(T573,T581)</f>
        <v>2.1940658417617378E-3</v>
      </c>
      <c r="U584" s="2442">
        <f t="shared" si="318"/>
        <v>3.6375302113418276E-3</v>
      </c>
      <c r="V584" s="2442">
        <f t="shared" si="318"/>
        <v>1.3822614803098946E-4</v>
      </c>
      <c r="W584" s="2442">
        <f t="shared" si="318"/>
        <v>1.3822614803098946E-4</v>
      </c>
      <c r="X584" s="2442">
        <f t="shared" si="318"/>
        <v>1.43985570865614E-2</v>
      </c>
      <c r="Y584" s="2442">
        <f t="shared" si="318"/>
        <v>5.3163903088842082E-4</v>
      </c>
      <c r="Z584" s="2442">
        <f t="shared" si="318"/>
        <v>5.2160810577731877E-4</v>
      </c>
      <c r="AA584" s="2442">
        <f t="shared" si="318"/>
        <v>1.9746592575855637E-4</v>
      </c>
      <c r="AB584" s="2442">
        <f t="shared" si="318"/>
        <v>6.9113074015494718E-4</v>
      </c>
      <c r="AC584" s="2442">
        <f t="shared" si="318"/>
        <v>3.9304165969649937E-4</v>
      </c>
      <c r="AD584" s="2442">
        <f t="shared" si="318"/>
        <v>1.6245741545864965E-4</v>
      </c>
      <c r="AE584" s="2442">
        <f t="shared" si="318"/>
        <v>0</v>
      </c>
      <c r="AF584" s="2442">
        <f t="shared" si="318"/>
        <v>0</v>
      </c>
      <c r="AG584" s="2442">
        <f t="shared" si="318"/>
        <v>7.5122906538581231E-6</v>
      </c>
      <c r="AH584" s="2442">
        <f t="shared" si="318"/>
        <v>7.5122906538581231E-6</v>
      </c>
      <c r="AI584" s="2442">
        <f t="shared" si="318"/>
        <v>1.3822614803098946E-4</v>
      </c>
      <c r="AJ584" s="2442">
        <f t="shared" si="318"/>
        <v>1.3822614803098943E-4</v>
      </c>
      <c r="AK584" s="2442">
        <f t="shared" si="318"/>
        <v>1.0970307550408002E-4</v>
      </c>
      <c r="AL584" s="2442">
        <f t="shared" si="318"/>
        <v>0</v>
      </c>
      <c r="AM584" s="2442">
        <f t="shared" si="318"/>
        <v>0</v>
      </c>
      <c r="AN584" s="2442">
        <f t="shared" si="318"/>
        <v>2.7656039479703031E-3</v>
      </c>
      <c r="AO584" s="2442">
        <f t="shared" si="318"/>
        <v>0</v>
      </c>
      <c r="AP584" s="2442">
        <f t="shared" si="318"/>
        <v>0</v>
      </c>
      <c r="AQ584" s="2442">
        <f t="shared" si="318"/>
        <v>0</v>
      </c>
      <c r="AR584" s="2442">
        <f t="shared" si="318"/>
        <v>0</v>
      </c>
      <c r="AS584" s="2442">
        <f t="shared" si="318"/>
        <v>0</v>
      </c>
      <c r="AT584" s="2442">
        <f t="shared" si="318"/>
        <v>0</v>
      </c>
      <c r="AU584" s="2442">
        <f t="shared" si="318"/>
        <v>0</v>
      </c>
      <c r="AV584" s="2442">
        <f t="shared" si="318"/>
        <v>0</v>
      </c>
      <c r="AW584" s="2442">
        <f t="shared" si="318"/>
        <v>0</v>
      </c>
      <c r="AX584" s="2442">
        <f t="shared" si="318"/>
        <v>0</v>
      </c>
      <c r="AY584" s="2442">
        <f t="shared" si="318"/>
        <v>0</v>
      </c>
      <c r="AZ584" s="2442">
        <f t="shared" si="318"/>
        <v>0</v>
      </c>
      <c r="BA584" s="2442">
        <f t="shared" si="318"/>
        <v>0</v>
      </c>
      <c r="BB584" s="2442">
        <f t="shared" si="318"/>
        <v>0</v>
      </c>
      <c r="BC584" s="2442">
        <f t="shared" si="318"/>
        <v>0</v>
      </c>
      <c r="BD584" s="2442">
        <f t="shared" si="318"/>
        <v>9.2434063747700576E-5</v>
      </c>
      <c r="BE584" s="2442">
        <f t="shared" si="318"/>
        <v>1.1849530935381585E-4</v>
      </c>
      <c r="BF584" s="2442">
        <f t="shared" si="318"/>
        <v>5.9247654676907924E-5</v>
      </c>
      <c r="BG584" s="2442">
        <f t="shared" si="318"/>
        <v>2.0733922204648416</v>
      </c>
      <c r="BH584" s="2442">
        <f t="shared" si="318"/>
        <v>7.200765261382816E-3</v>
      </c>
      <c r="BI584" s="2442">
        <f t="shared" si="318"/>
        <v>5.1702033381865759E-3</v>
      </c>
    </row>
    <row r="585" spans="1:61" s="2483" customFormat="1">
      <c r="A585" s="2478"/>
      <c r="B585" s="2479"/>
      <c r="C585" s="4120"/>
      <c r="D585" s="4121"/>
      <c r="E585" s="2521" t="s">
        <v>991</v>
      </c>
      <c r="F585" s="2480" t="s">
        <v>213</v>
      </c>
      <c r="G585" s="2481" t="s">
        <v>213</v>
      </c>
      <c r="H585" s="2482">
        <f>H574+H582</f>
        <v>0</v>
      </c>
      <c r="I585" s="2482">
        <f t="shared" ref="I585:BI585" si="319">I574+I582</f>
        <v>0</v>
      </c>
      <c r="J585" s="2482">
        <f>J574+J582</f>
        <v>0</v>
      </c>
      <c r="K585" s="2482">
        <f t="shared" si="319"/>
        <v>1.9746592575855631E-9</v>
      </c>
      <c r="L585" s="2482">
        <f t="shared" si="319"/>
        <v>0</v>
      </c>
      <c r="M585" s="2482">
        <f t="shared" si="319"/>
        <v>0</v>
      </c>
      <c r="N585" s="2482">
        <f>N574+N582</f>
        <v>3.949318515171127E-9</v>
      </c>
      <c r="O585" s="2482">
        <f>O574+O582</f>
        <v>3.949318515171127E-9</v>
      </c>
      <c r="P585" s="2482">
        <f t="shared" si="319"/>
        <v>1.1650489619754826E-8</v>
      </c>
      <c r="Q585" s="2482">
        <f t="shared" si="319"/>
        <v>1.1650489619754826E-8</v>
      </c>
      <c r="R585" s="2482">
        <f>R574+R582</f>
        <v>1.9746592575855635E-9</v>
      </c>
      <c r="S585" s="2482">
        <f>S574+S582</f>
        <v>4.5417162924467972E-8</v>
      </c>
      <c r="T585" s="2482">
        <f>T574+T582</f>
        <v>4.5417162924467972E-8</v>
      </c>
      <c r="U585" s="2482">
        <f t="shared" si="319"/>
        <v>8.2935688818593686E-8</v>
      </c>
      <c r="V585" s="2482">
        <f t="shared" si="319"/>
        <v>0</v>
      </c>
      <c r="W585" s="2482">
        <f t="shared" si="319"/>
        <v>0</v>
      </c>
      <c r="X585" s="2482">
        <f t="shared" si="319"/>
        <v>1.184795554551338E-8</v>
      </c>
      <c r="Y585" s="2482">
        <f t="shared" si="319"/>
        <v>0</v>
      </c>
      <c r="Z585" s="2482">
        <f t="shared" si="319"/>
        <v>4.9366481439639094E-9</v>
      </c>
      <c r="AA585" s="2482">
        <f t="shared" si="319"/>
        <v>0</v>
      </c>
      <c r="AB585" s="2482">
        <f t="shared" si="319"/>
        <v>0</v>
      </c>
      <c r="AC585" s="2482">
        <f t="shared" si="319"/>
        <v>0</v>
      </c>
      <c r="AD585" s="2482">
        <f t="shared" si="319"/>
        <v>0</v>
      </c>
      <c r="AE585" s="2482">
        <f t="shared" si="319"/>
        <v>0</v>
      </c>
      <c r="AF585" s="2482">
        <f t="shared" si="319"/>
        <v>0</v>
      </c>
      <c r="AG585" s="2482">
        <f t="shared" si="319"/>
        <v>0</v>
      </c>
      <c r="AH585" s="2482">
        <f t="shared" si="319"/>
        <v>0</v>
      </c>
      <c r="AI585" s="2482">
        <f t="shared" si="319"/>
        <v>0</v>
      </c>
      <c r="AJ585" s="2482">
        <f t="shared" si="319"/>
        <v>0</v>
      </c>
      <c r="AK585" s="2482">
        <f t="shared" si="319"/>
        <v>0</v>
      </c>
      <c r="AL585" s="2482">
        <f t="shared" si="319"/>
        <v>0</v>
      </c>
      <c r="AM585" s="2482">
        <f t="shared" si="319"/>
        <v>0</v>
      </c>
      <c r="AN585" s="2482">
        <f t="shared" si="319"/>
        <v>6.5342333919053598E-8</v>
      </c>
      <c r="AO585" s="2482">
        <f t="shared" si="319"/>
        <v>1.0909761882879817E-9</v>
      </c>
      <c r="AP585" s="2482">
        <f t="shared" si="319"/>
        <v>1.4195638893867915E-9</v>
      </c>
      <c r="AQ585" s="2482">
        <f t="shared" si="319"/>
        <v>8.928450782824648E-10</v>
      </c>
      <c r="AR585" s="2482">
        <f t="shared" si="319"/>
        <v>3.8402815865473222E-10</v>
      </c>
      <c r="AS585" s="2482">
        <f t="shared" si="319"/>
        <v>4.4020795114227993E-9</v>
      </c>
      <c r="AT585" s="2482">
        <f t="shared" si="319"/>
        <v>1.0051934130372788E-10</v>
      </c>
      <c r="AU585" s="2482">
        <f t="shared" si="319"/>
        <v>9.8154824868020042E-11</v>
      </c>
      <c r="AV585" s="2482">
        <f t="shared" si="319"/>
        <v>2.8206037510803085E-9</v>
      </c>
      <c r="AW585" s="2482">
        <f t="shared" si="319"/>
        <v>2.7424394914478659E-10</v>
      </c>
      <c r="AX585" s="2482">
        <f t="shared" si="319"/>
        <v>1.380993500018481E-10</v>
      </c>
      <c r="AY585" s="2482">
        <f t="shared" si="319"/>
        <v>9.5450203204468357E-11</v>
      </c>
      <c r="AZ585" s="2482">
        <f t="shared" si="319"/>
        <v>6.4074756650508593E-10</v>
      </c>
      <c r="BA585" s="2482">
        <f t="shared" si="319"/>
        <v>1.1165261615528693E-10</v>
      </c>
      <c r="BB585" s="2482">
        <f t="shared" si="319"/>
        <v>1.7210563096305656E-11</v>
      </c>
      <c r="BC585" s="2482">
        <f t="shared" si="319"/>
        <v>4.705165223965997E-17</v>
      </c>
      <c r="BD585" s="2482">
        <f t="shared" si="319"/>
        <v>0</v>
      </c>
      <c r="BE585" s="2482">
        <f t="shared" si="319"/>
        <v>5.2342045685795955E-9</v>
      </c>
      <c r="BF585" s="2482">
        <f t="shared" si="319"/>
        <v>2.6171022842897978E-9</v>
      </c>
      <c r="BG585" s="2482">
        <f t="shared" si="319"/>
        <v>0</v>
      </c>
      <c r="BH585" s="2482">
        <f t="shared" si="319"/>
        <v>0</v>
      </c>
      <c r="BI585" s="2482">
        <f t="shared" si="319"/>
        <v>0</v>
      </c>
    </row>
    <row r="586" spans="1:61" s="26" customFormat="1">
      <c r="A586" s="398"/>
      <c r="B586" s="27"/>
      <c r="C586" s="2453"/>
      <c r="D586" s="2454"/>
      <c r="E586" s="103"/>
      <c r="F586" s="14"/>
      <c r="G586" s="105"/>
      <c r="H586" s="113"/>
      <c r="I586" s="113"/>
      <c r="J586" s="113"/>
      <c r="K586" s="113"/>
      <c r="L586" s="113"/>
      <c r="M586" s="113"/>
      <c r="N586" s="113"/>
      <c r="O586" s="113"/>
      <c r="P586" s="113"/>
      <c r="Q586" s="113"/>
      <c r="R586" s="113"/>
      <c r="S586" s="113"/>
      <c r="T586" s="113"/>
      <c r="U586" s="113"/>
      <c r="V586" s="113"/>
      <c r="W586" s="113"/>
      <c r="X586" s="113"/>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row>
    <row r="587" spans="1:61" s="26" customFormat="1">
      <c r="A587" s="398"/>
      <c r="B587" s="27"/>
      <c r="C587" s="2453"/>
      <c r="D587" s="2454"/>
      <c r="E587" s="103" t="s">
        <v>989</v>
      </c>
      <c r="F587" s="14" t="str">
        <f>F$18</f>
        <v>Cs</v>
      </c>
      <c r="G587" s="105" t="str">
        <f>G$18</f>
        <v>mg/kg ms</v>
      </c>
      <c r="H587" s="56">
        <f t="shared" ref="H587:AM587" si="320">IF(H584=0,"PVL",H$15/MAX(H571,H579)/H$20)</f>
        <v>60.834453173711402</v>
      </c>
      <c r="I587" s="56">
        <f t="shared" si="320"/>
        <v>60.834453173711402</v>
      </c>
      <c r="J587" s="56">
        <f t="shared" si="320"/>
        <v>536.48109565489358</v>
      </c>
      <c r="K587" s="56">
        <f t="shared" si="320"/>
        <v>0.81026637575757599</v>
      </c>
      <c r="L587" s="56">
        <f t="shared" si="320"/>
        <v>0.86814254545454572</v>
      </c>
      <c r="M587" s="56">
        <f t="shared" si="320"/>
        <v>0.86814254545454572</v>
      </c>
      <c r="N587" s="56">
        <f t="shared" si="320"/>
        <v>2.8938084848484853</v>
      </c>
      <c r="O587" s="56">
        <f t="shared" si="320"/>
        <v>2.8938084848484853</v>
      </c>
      <c r="P587" s="56">
        <f t="shared" si="320"/>
        <v>0.50641648484848489</v>
      </c>
      <c r="Q587" s="56">
        <f t="shared" si="320"/>
        <v>0.50641648484848489</v>
      </c>
      <c r="R587" s="56">
        <f t="shared" si="320"/>
        <v>5.7876169696969706</v>
      </c>
      <c r="S587" s="56">
        <f t="shared" si="320"/>
        <v>0.91154967272727283</v>
      </c>
      <c r="T587" s="56">
        <f t="shared" si="320"/>
        <v>0.91154967272727283</v>
      </c>
      <c r="U587" s="56">
        <f t="shared" si="320"/>
        <v>0.54982361212121222</v>
      </c>
      <c r="V587" s="56">
        <f t="shared" si="320"/>
        <v>14.469042424242426</v>
      </c>
      <c r="W587" s="56">
        <f t="shared" si="320"/>
        <v>14.469042424242426</v>
      </c>
      <c r="X587" s="56">
        <f t="shared" si="320"/>
        <v>0.1389028072727273</v>
      </c>
      <c r="Y587" s="56">
        <f t="shared" si="320"/>
        <v>3.7619510303030315</v>
      </c>
      <c r="Z587" s="56">
        <f t="shared" si="320"/>
        <v>3.8342962424242431</v>
      </c>
      <c r="AA587" s="56">
        <f t="shared" si="320"/>
        <v>10.128329696969697</v>
      </c>
      <c r="AB587" s="56">
        <f t="shared" si="320"/>
        <v>2.8938084848484857</v>
      </c>
      <c r="AC587" s="56">
        <f t="shared" si="320"/>
        <v>5.0885191191803161</v>
      </c>
      <c r="AD587" s="56">
        <f t="shared" si="320"/>
        <v>12.310918491184916</v>
      </c>
      <c r="AE587" s="56" t="str">
        <f t="shared" si="320"/>
        <v>PVL</v>
      </c>
      <c r="AF587" s="56" t="str">
        <f t="shared" si="320"/>
        <v>PVL</v>
      </c>
      <c r="AG587" s="56">
        <f t="shared" si="320"/>
        <v>266.23038060606058</v>
      </c>
      <c r="AH587" s="56">
        <f t="shared" si="320"/>
        <v>266.23038060606058</v>
      </c>
      <c r="AI587" s="56">
        <f t="shared" si="320"/>
        <v>14.469042424242426</v>
      </c>
      <c r="AJ587" s="56">
        <f t="shared" si="320"/>
        <v>14.469042424242428</v>
      </c>
      <c r="AK587" s="56">
        <f t="shared" si="320"/>
        <v>18.231029447534649</v>
      </c>
      <c r="AL587" s="56" t="str">
        <f t="shared" si="320"/>
        <v>PVL</v>
      </c>
      <c r="AM587" s="56" t="str">
        <f t="shared" si="320"/>
        <v>PVL</v>
      </c>
      <c r="AN587" s="56">
        <f t="shared" ref="AN587:BI587" si="321">IF(AN584=0,"PVL",AN$15/MAX(AN571,AN579)/AN$20)</f>
        <v>0.7231693465970841</v>
      </c>
      <c r="AO587" s="56" t="str">
        <f t="shared" si="321"/>
        <v>PVL</v>
      </c>
      <c r="AP587" s="56" t="str">
        <f t="shared" si="321"/>
        <v>PVL</v>
      </c>
      <c r="AQ587" s="56" t="str">
        <f t="shared" si="321"/>
        <v>PVL</v>
      </c>
      <c r="AR587" s="56" t="str">
        <f t="shared" si="321"/>
        <v>PVL</v>
      </c>
      <c r="AS587" s="56" t="str">
        <f t="shared" si="321"/>
        <v>PVL</v>
      </c>
      <c r="AT587" s="56" t="str">
        <f t="shared" si="321"/>
        <v>PVL</v>
      </c>
      <c r="AU587" s="56" t="str">
        <f t="shared" si="321"/>
        <v>PVL</v>
      </c>
      <c r="AV587" s="56" t="str">
        <f t="shared" si="321"/>
        <v>PVL</v>
      </c>
      <c r="AW587" s="56" t="str">
        <f t="shared" si="321"/>
        <v>PVL</v>
      </c>
      <c r="AX587" s="56" t="str">
        <f t="shared" si="321"/>
        <v>PVL</v>
      </c>
      <c r="AY587" s="56" t="str">
        <f t="shared" si="321"/>
        <v>PVL</v>
      </c>
      <c r="AZ587" s="56" t="str">
        <f t="shared" si="321"/>
        <v>PVL</v>
      </c>
      <c r="BA587" s="56" t="str">
        <f t="shared" si="321"/>
        <v>PVL</v>
      </c>
      <c r="BB587" s="56" t="str">
        <f t="shared" si="321"/>
        <v>PVL</v>
      </c>
      <c r="BC587" s="56" t="str">
        <f t="shared" si="321"/>
        <v>PVL</v>
      </c>
      <c r="BD587" s="56">
        <f t="shared" si="321"/>
        <v>21.637045034166349</v>
      </c>
      <c r="BE587" s="56">
        <f t="shared" si="321"/>
        <v>16.878305233401168</v>
      </c>
      <c r="BF587" s="56">
        <f t="shared" si="321"/>
        <v>33.756610466802336</v>
      </c>
      <c r="BG587" s="56">
        <f t="shared" si="321"/>
        <v>4.3407127272727285E-4</v>
      </c>
      <c r="BH587" s="56">
        <f t="shared" si="321"/>
        <v>0.27774825694233579</v>
      </c>
      <c r="BI587" s="56">
        <f t="shared" si="321"/>
        <v>0.38683198109989436</v>
      </c>
    </row>
    <row r="588" spans="1:61" s="26" customFormat="1">
      <c r="A588" s="398"/>
      <c r="B588" s="27"/>
      <c r="C588" s="2453"/>
      <c r="D588" s="2454"/>
      <c r="E588" s="103" t="s">
        <v>992</v>
      </c>
      <c r="F588" s="14" t="str">
        <f>F587</f>
        <v>Cs</v>
      </c>
      <c r="G588" s="105" t="str">
        <f>G587</f>
        <v>mg/kg ms</v>
      </c>
      <c r="H588" s="56" t="str">
        <f t="shared" ref="H588:AM588" si="322">IF(H585=0,"PVL",H$16/(H572+H580)/H$20)</f>
        <v>PVL</v>
      </c>
      <c r="I588" s="56" t="str">
        <f t="shared" si="322"/>
        <v>PVL</v>
      </c>
      <c r="J588" s="56" t="str">
        <f t="shared" si="322"/>
        <v>PVL</v>
      </c>
      <c r="K588" s="56">
        <f t="shared" si="322"/>
        <v>5.0641648484848494</v>
      </c>
      <c r="L588" s="56" t="str">
        <f t="shared" si="322"/>
        <v>PVL</v>
      </c>
      <c r="M588" s="56" t="str">
        <f t="shared" si="322"/>
        <v>PVL</v>
      </c>
      <c r="N588" s="56">
        <f t="shared" si="322"/>
        <v>2.5320824242424247</v>
      </c>
      <c r="O588" s="56">
        <f t="shared" si="322"/>
        <v>2.5320824242424247</v>
      </c>
      <c r="P588" s="56">
        <f t="shared" si="322"/>
        <v>0.85833302516692334</v>
      </c>
      <c r="Q588" s="56">
        <f t="shared" si="322"/>
        <v>0.85833302516692334</v>
      </c>
      <c r="R588" s="56">
        <f t="shared" si="322"/>
        <v>5.0641648484848494</v>
      </c>
      <c r="S588" s="56">
        <f t="shared" si="322"/>
        <v>0.22018108036890641</v>
      </c>
      <c r="T588" s="56">
        <f t="shared" si="322"/>
        <v>0.22018108036890641</v>
      </c>
      <c r="U588" s="56">
        <f t="shared" si="322"/>
        <v>0.12057535353535354</v>
      </c>
      <c r="V588" s="56" t="str">
        <f t="shared" si="322"/>
        <v>PVL</v>
      </c>
      <c r="W588" s="56" t="str">
        <f t="shared" si="322"/>
        <v>PVL</v>
      </c>
      <c r="X588" s="56">
        <f t="shared" si="322"/>
        <v>0.84402747474747486</v>
      </c>
      <c r="Y588" s="56" t="str">
        <f t="shared" si="322"/>
        <v>PVL</v>
      </c>
      <c r="Z588" s="56">
        <f t="shared" si="322"/>
        <v>2.0256659393939396</v>
      </c>
      <c r="AA588" s="56" t="str">
        <f t="shared" si="322"/>
        <v>PVL</v>
      </c>
      <c r="AB588" s="56" t="str">
        <f t="shared" si="322"/>
        <v>PVL</v>
      </c>
      <c r="AC588" s="56" t="str">
        <f t="shared" si="322"/>
        <v>PVL</v>
      </c>
      <c r="AD588" s="56" t="str">
        <f t="shared" si="322"/>
        <v>PVL</v>
      </c>
      <c r="AE588" s="56" t="str">
        <f t="shared" si="322"/>
        <v>PVL</v>
      </c>
      <c r="AF588" s="56" t="str">
        <f t="shared" si="322"/>
        <v>PVL</v>
      </c>
      <c r="AG588" s="56" t="str">
        <f t="shared" si="322"/>
        <v>PVL</v>
      </c>
      <c r="AH588" s="56" t="str">
        <f t="shared" si="322"/>
        <v>PVL</v>
      </c>
      <c r="AI588" s="56" t="str">
        <f t="shared" si="322"/>
        <v>PVL</v>
      </c>
      <c r="AJ588" s="56" t="str">
        <f t="shared" si="322"/>
        <v>PVL</v>
      </c>
      <c r="AK588" s="56" t="str">
        <f t="shared" si="322"/>
        <v>PVL</v>
      </c>
      <c r="AL588" s="56" t="str">
        <f t="shared" si="322"/>
        <v>PVL</v>
      </c>
      <c r="AM588" s="56" t="str">
        <f t="shared" si="322"/>
        <v>PVL</v>
      </c>
      <c r="AN588" s="56">
        <f t="shared" ref="AN588:BI588" si="323">IF(AN585=0,"PVL",AN$16/(AN572+AN580)/AN$20)</f>
        <v>0.15304014105752708</v>
      </c>
      <c r="AO588" s="56">
        <f t="shared" si="323"/>
        <v>9.1661028969775558</v>
      </c>
      <c r="AP588" s="56">
        <f t="shared" si="323"/>
        <v>7.0444170035345826</v>
      </c>
      <c r="AQ588" s="56">
        <f t="shared" si="323"/>
        <v>11.200151340069718</v>
      </c>
      <c r="AR588" s="56">
        <f t="shared" si="323"/>
        <v>26.039757175698902</v>
      </c>
      <c r="AS588" s="56">
        <f t="shared" si="323"/>
        <v>2.2716536523366644</v>
      </c>
      <c r="AT588" s="56">
        <f t="shared" si="323"/>
        <v>99.483341915106038</v>
      </c>
      <c r="AU588" s="56">
        <f t="shared" si="323"/>
        <v>101.87986187582833</v>
      </c>
      <c r="AV588" s="56">
        <f t="shared" si="323"/>
        <v>3.5453402471616013</v>
      </c>
      <c r="AW588" s="56">
        <f t="shared" si="323"/>
        <v>36.463885643363888</v>
      </c>
      <c r="AX588" s="56">
        <f t="shared" si="323"/>
        <v>72.411636983564208</v>
      </c>
      <c r="AY588" s="56">
        <f t="shared" si="323"/>
        <v>104.76667062278047</v>
      </c>
      <c r="AZ588" s="56">
        <f t="shared" si="323"/>
        <v>15.606770158401572</v>
      </c>
      <c r="BA588" s="56">
        <f t="shared" si="323"/>
        <v>89.56350817693297</v>
      </c>
      <c r="BB588" s="56">
        <f t="shared" si="323"/>
        <v>581.03851361763725</v>
      </c>
      <c r="BC588" s="56">
        <f t="shared" si="323"/>
        <v>212532387.79085788</v>
      </c>
      <c r="BD588" s="56" t="str">
        <f t="shared" si="323"/>
        <v>PVL</v>
      </c>
      <c r="BE588" s="56">
        <f t="shared" si="323"/>
        <v>1.9105099674607666</v>
      </c>
      <c r="BF588" s="56">
        <f t="shared" si="323"/>
        <v>3.8210199349215332</v>
      </c>
      <c r="BG588" s="56" t="str">
        <f t="shared" si="323"/>
        <v>PVL</v>
      </c>
      <c r="BH588" s="56" t="str">
        <f t="shared" si="323"/>
        <v>PVL</v>
      </c>
      <c r="BI588" s="56" t="str">
        <f t="shared" si="323"/>
        <v>PVL</v>
      </c>
    </row>
    <row r="589" spans="1:61" s="513" customFormat="1">
      <c r="A589" s="2513"/>
      <c r="B589" s="510"/>
      <c r="C589" s="2453"/>
      <c r="D589" s="2454"/>
      <c r="E589" s="352" t="s">
        <v>493</v>
      </c>
      <c r="F589" s="63" t="str">
        <f>F588</f>
        <v>Cs</v>
      </c>
      <c r="G589" s="515" t="str">
        <f>G588</f>
        <v>mg/kg ms</v>
      </c>
      <c r="H589" s="237">
        <f t="shared" ref="H589:AL589" si="324">IF(MIN(H587:H588)&gt;0,MIN(H587:H588),H587)</f>
        <v>60.834453173711402</v>
      </c>
      <c r="I589" s="237">
        <f t="shared" si="324"/>
        <v>60.834453173711402</v>
      </c>
      <c r="J589" s="237">
        <f>IF(MIN(J587:J588)&gt;0,MIN(J587:J588),J587)</f>
        <v>536.48109565489358</v>
      </c>
      <c r="K589" s="237">
        <f t="shared" si="324"/>
        <v>0.81026637575757599</v>
      </c>
      <c r="L589" s="237">
        <f t="shared" si="324"/>
        <v>0.86814254545454572</v>
      </c>
      <c r="M589" s="237">
        <f t="shared" si="324"/>
        <v>0.86814254545454572</v>
      </c>
      <c r="N589" s="237">
        <f>IF(MIN(N587:N588)&gt;0,MIN(N587:N588),N587)</f>
        <v>2.5320824242424247</v>
      </c>
      <c r="O589" s="237">
        <f>IF(MIN(O587:O588)&gt;0,MIN(O587:O588),O587)</f>
        <v>2.5320824242424247</v>
      </c>
      <c r="P589" s="237">
        <f t="shared" si="324"/>
        <v>0.50641648484848489</v>
      </c>
      <c r="Q589" s="237">
        <f t="shared" si="324"/>
        <v>0.50641648484848489</v>
      </c>
      <c r="R589" s="237">
        <f>IF(MIN(R587:R588)&gt;0,MIN(R587:R588),R587)</f>
        <v>5.0641648484848494</v>
      </c>
      <c r="S589" s="237">
        <f>IF(MIN(S587:S588)&gt;0,MIN(S587:S588),S587)</f>
        <v>0.22018108036890641</v>
      </c>
      <c r="T589" s="237">
        <f>IF(MIN(T587:T588)&gt;0,MIN(T587:T588),T587)</f>
        <v>0.22018108036890641</v>
      </c>
      <c r="U589" s="237">
        <f t="shared" si="324"/>
        <v>0.12057535353535354</v>
      </c>
      <c r="V589" s="237">
        <f t="shared" si="324"/>
        <v>14.469042424242426</v>
      </c>
      <c r="W589" s="237">
        <f t="shared" si="324"/>
        <v>14.469042424242426</v>
      </c>
      <c r="X589" s="237">
        <f t="shared" si="324"/>
        <v>0.1389028072727273</v>
      </c>
      <c r="Y589" s="237">
        <f t="shared" si="324"/>
        <v>3.7619510303030315</v>
      </c>
      <c r="Z589" s="237">
        <f t="shared" si="324"/>
        <v>2.0256659393939396</v>
      </c>
      <c r="AA589" s="237">
        <f t="shared" si="324"/>
        <v>10.128329696969697</v>
      </c>
      <c r="AB589" s="237">
        <f t="shared" si="324"/>
        <v>2.8938084848484857</v>
      </c>
      <c r="AC589" s="237">
        <f t="shared" si="324"/>
        <v>5.0885191191803161</v>
      </c>
      <c r="AD589" s="237">
        <f t="shared" si="324"/>
        <v>12.310918491184916</v>
      </c>
      <c r="AE589" s="237" t="str">
        <f t="shared" si="324"/>
        <v>PVL</v>
      </c>
      <c r="AF589" s="237" t="str">
        <f t="shared" si="324"/>
        <v>PVL</v>
      </c>
      <c r="AG589" s="237">
        <f t="shared" si="324"/>
        <v>266.23038060606058</v>
      </c>
      <c r="AH589" s="237">
        <f t="shared" si="324"/>
        <v>266.23038060606058</v>
      </c>
      <c r="AI589" s="237">
        <f t="shared" si="324"/>
        <v>14.469042424242426</v>
      </c>
      <c r="AJ589" s="237">
        <f t="shared" si="324"/>
        <v>14.469042424242428</v>
      </c>
      <c r="AK589" s="237">
        <f t="shared" si="324"/>
        <v>18.231029447534649</v>
      </c>
      <c r="AL589" s="237" t="str">
        <f t="shared" si="324"/>
        <v>PVL</v>
      </c>
      <c r="AM589" s="237" t="str">
        <f t="shared" ref="AM589:BI589" si="325">IF(MIN(AM587:AM588)&gt;0,MIN(AM587:AM588),AM587)</f>
        <v>PVL</v>
      </c>
      <c r="AN589" s="237">
        <f t="shared" si="325"/>
        <v>0.15304014105752708</v>
      </c>
      <c r="AO589" s="237">
        <f t="shared" si="325"/>
        <v>9.1661028969775558</v>
      </c>
      <c r="AP589" s="237">
        <f t="shared" si="325"/>
        <v>7.0444170035345826</v>
      </c>
      <c r="AQ589" s="237">
        <f t="shared" si="325"/>
        <v>11.200151340069718</v>
      </c>
      <c r="AR589" s="237">
        <f t="shared" si="325"/>
        <v>26.039757175698902</v>
      </c>
      <c r="AS589" s="237">
        <f t="shared" si="325"/>
        <v>2.2716536523366644</v>
      </c>
      <c r="AT589" s="237">
        <f t="shared" si="325"/>
        <v>99.483341915106038</v>
      </c>
      <c r="AU589" s="237">
        <f t="shared" si="325"/>
        <v>101.87986187582833</v>
      </c>
      <c r="AV589" s="237">
        <f t="shared" si="325"/>
        <v>3.5453402471616013</v>
      </c>
      <c r="AW589" s="237">
        <f t="shared" si="325"/>
        <v>36.463885643363888</v>
      </c>
      <c r="AX589" s="237">
        <f t="shared" si="325"/>
        <v>72.411636983564208</v>
      </c>
      <c r="AY589" s="237">
        <f t="shared" si="325"/>
        <v>104.76667062278047</v>
      </c>
      <c r="AZ589" s="237">
        <f t="shared" si="325"/>
        <v>15.606770158401572</v>
      </c>
      <c r="BA589" s="237">
        <f t="shared" si="325"/>
        <v>89.56350817693297</v>
      </c>
      <c r="BB589" s="237">
        <f t="shared" si="325"/>
        <v>581.03851361763725</v>
      </c>
      <c r="BC589" s="237">
        <f t="shared" si="325"/>
        <v>212532387.79085788</v>
      </c>
      <c r="BD589" s="237">
        <f t="shared" si="325"/>
        <v>21.637045034166349</v>
      </c>
      <c r="BE589" s="237">
        <f t="shared" si="325"/>
        <v>1.9105099674607666</v>
      </c>
      <c r="BF589" s="237">
        <f t="shared" si="325"/>
        <v>3.8210199349215332</v>
      </c>
      <c r="BG589" s="237">
        <f t="shared" si="325"/>
        <v>4.3407127272727285E-4</v>
      </c>
      <c r="BH589" s="237">
        <f t="shared" si="325"/>
        <v>0.27774825694233579</v>
      </c>
      <c r="BI589" s="237">
        <f t="shared" si="325"/>
        <v>0.38683198109989436</v>
      </c>
    </row>
    <row r="590" spans="1:61" s="2457" customFormat="1">
      <c r="A590" s="2451"/>
      <c r="B590" s="2452"/>
      <c r="C590" s="2453"/>
      <c r="D590" s="2454"/>
      <c r="E590" s="2519" t="s">
        <v>499</v>
      </c>
      <c r="F590" s="2455" t="s">
        <v>19</v>
      </c>
      <c r="G590" s="2490" t="s">
        <v>20</v>
      </c>
      <c r="H590" s="2456">
        <f>IF(H589&lt;'3phas'!H23,H589,"PVL")</f>
        <v>60.834453173711402</v>
      </c>
      <c r="I590" s="2456">
        <f>IF(I589&lt;'3phas'!I23,I589,"PVL")</f>
        <v>60.834453173711402</v>
      </c>
      <c r="J590" s="2456">
        <f>IF(J589&lt;'3phas'!J23,J589,"PVL")</f>
        <v>536.48109565489358</v>
      </c>
      <c r="K590" s="2456">
        <f>IF(K589&lt;'3phas'!K23,K589,"PVL")</f>
        <v>0.81026637575757599</v>
      </c>
      <c r="L590" s="2456">
        <f>IF(L589&lt;'3phas'!L23,L589,"PVL")</f>
        <v>0.86814254545454572</v>
      </c>
      <c r="M590" s="2456">
        <f>IF(M589&lt;'3phas'!M23,M589,"PVL")</f>
        <v>0.86814254545454572</v>
      </c>
      <c r="N590" s="2456">
        <f>IF(N589&lt;'3phas'!N23,N589,"PVL")</f>
        <v>2.5320824242424247</v>
      </c>
      <c r="O590" s="2456">
        <f>IF(O589&lt;'3phas'!O23,O589,"PVL")</f>
        <v>2.5320824242424247</v>
      </c>
      <c r="P590" s="2456">
        <f>IF(P589&lt;'3phas'!P23,P589,"PVL")</f>
        <v>0.50641648484848489</v>
      </c>
      <c r="Q590" s="2456">
        <f>IF(Q589&lt;'3phas'!Q23,Q589,"PVL")</f>
        <v>0.50641648484848489</v>
      </c>
      <c r="R590" s="2456">
        <f>IF(R589&lt;'3phas'!R23,R589,"PVL")</f>
        <v>5.0641648484848494</v>
      </c>
      <c r="S590" s="2456">
        <f>IF(S589&lt;'3phas'!S23,S589,"PVL")</f>
        <v>0.22018108036890641</v>
      </c>
      <c r="T590" s="2456">
        <f>IF(T589&lt;'3phas'!T23,T589,"PVL")</f>
        <v>0.22018108036890641</v>
      </c>
      <c r="U590" s="2456">
        <f>IF(U589&lt;'3phas'!U23,U589,"PVL")</f>
        <v>0.12057535353535354</v>
      </c>
      <c r="V590" s="2456">
        <f>IF(V589&lt;'3phas'!V23,V589,"PVL")</f>
        <v>14.469042424242426</v>
      </c>
      <c r="W590" s="2456">
        <f>IF(W589&lt;'3phas'!W23,W589,"PVL")</f>
        <v>14.469042424242426</v>
      </c>
      <c r="X590" s="2456">
        <f>IF(X589&lt;'3phas'!X23,X589,"PVL")</f>
        <v>0.1389028072727273</v>
      </c>
      <c r="Y590" s="2456">
        <f>IF(Y589&lt;'3phas'!Y23,Y589,"PVL")</f>
        <v>3.7619510303030315</v>
      </c>
      <c r="Z590" s="2456">
        <f>IF(Z589&lt;'3phas'!Z23,Z589,"PVL")</f>
        <v>2.0256659393939396</v>
      </c>
      <c r="AA590" s="2456">
        <f>IF(AA589&lt;'3phas'!AA23,AA589,"PVL")</f>
        <v>10.128329696969697</v>
      </c>
      <c r="AB590" s="2456">
        <f>IF(AB589&lt;'3phas'!AB23,AB589,"PVL")</f>
        <v>2.8938084848484857</v>
      </c>
      <c r="AC590" s="2456">
        <f>IF(AC589&lt;'3phas'!AC23,AC589,"PVL")</f>
        <v>5.0885191191803161</v>
      </c>
      <c r="AD590" s="2456">
        <f>IF(AD589&lt;'3phas'!AD23,AD589,"PVL")</f>
        <v>12.310918491184916</v>
      </c>
      <c r="AE590" s="2456" t="str">
        <f>IF(AE589&lt;'3phas'!AE23,AE589,"PVL")</f>
        <v>PVL</v>
      </c>
      <c r="AF590" s="2456" t="str">
        <f>IF(AF589&lt;'3phas'!AF23,AF589,"PVL")</f>
        <v>PVL</v>
      </c>
      <c r="AG590" s="2456" t="str">
        <f>IF(AG589&lt;'3phas'!AG23,AG589,"PVL")</f>
        <v>PVL</v>
      </c>
      <c r="AH590" s="2456" t="str">
        <f>IF(AH589&lt;'3phas'!AH23,AH589,"PVL")</f>
        <v>PVL</v>
      </c>
      <c r="AI590" s="2456">
        <f>IF(AI589&lt;'3phas'!AI23,AI589,"PVL")</f>
        <v>14.469042424242426</v>
      </c>
      <c r="AJ590" s="2456" t="str">
        <f>IF(AJ589&lt;'3phas'!AJ23,AJ589,"PVL")</f>
        <v>PVL</v>
      </c>
      <c r="AK590" s="2456" t="str">
        <f>IF(AK589&lt;'3phas'!AK23,AK589,"PVL")</f>
        <v>PVL</v>
      </c>
      <c r="AL590" s="2456" t="str">
        <f>IF(AL589&lt;'3phas'!AL23,AL589,"PVL")</f>
        <v>PVL</v>
      </c>
      <c r="AM590" s="2456" t="str">
        <f>IF(AM589&lt;'3phas'!AM23,AM589,"PVL")</f>
        <v>PVL</v>
      </c>
      <c r="AN590" s="2456">
        <f>IF(AN589&lt;'3phas'!AN23,AN589,"PVL")</f>
        <v>0.15304014105752708</v>
      </c>
      <c r="AO590" s="2456">
        <f>IF(AO589&lt;'3phas'!AO23,AO589,"PVL")</f>
        <v>9.1661028969775558</v>
      </c>
      <c r="AP590" s="2456">
        <f>IF(AP589&lt;'3phas'!AP23,AP589,"PVL")</f>
        <v>7.0444170035345826</v>
      </c>
      <c r="AQ590" s="2456" t="str">
        <f>IF(AQ589&lt;'3phas'!AQ23,AQ589,"PVL")</f>
        <v>PVL</v>
      </c>
      <c r="AR590" s="2456" t="str">
        <f>IF(AR589&lt;'3phas'!AR23,AR589,"PVL")</f>
        <v>PVL</v>
      </c>
      <c r="AS590" s="2456" t="str">
        <f>IF(AS589&lt;'3phas'!AS23,AS589,"PVL")</f>
        <v>PVL</v>
      </c>
      <c r="AT590" s="2456" t="str">
        <f>IF(AT589&lt;'3phas'!AT23,AT589,"PVL")</f>
        <v>PVL</v>
      </c>
      <c r="AU590" s="2456" t="str">
        <f>IF(AU589&lt;'3phas'!AU23,AU589,"PVL")</f>
        <v>PVL</v>
      </c>
      <c r="AV590" s="2456" t="str">
        <f>IF(AV589&lt;'3phas'!AV23,AV589,"PVL")</f>
        <v>PVL</v>
      </c>
      <c r="AW590" s="2456" t="str">
        <f>IF(AW589&lt;'3phas'!AW23,AW589,"PVL")</f>
        <v>PVL</v>
      </c>
      <c r="AX590" s="2456" t="str">
        <f>IF(AX589&lt;'3phas'!AX23,AX589,"PVL")</f>
        <v>PVL</v>
      </c>
      <c r="AY590" s="2456" t="str">
        <f>IF(AY589&lt;'3phas'!AY23,AY589,"PVL")</f>
        <v>PVL</v>
      </c>
      <c r="AZ590" s="2456" t="str">
        <f>IF(AZ589&lt;'3phas'!AZ23,AZ589,"PVL")</f>
        <v>PVL</v>
      </c>
      <c r="BA590" s="2456" t="str">
        <f>IF(BA589&lt;'3phas'!BA23,BA589,"PVL")</f>
        <v>PVL</v>
      </c>
      <c r="BB590" s="2456" t="str">
        <f>IF(BB589&lt;'3phas'!BB23,BB589,"PVL")</f>
        <v>PVL</v>
      </c>
      <c r="BC590" s="2456" t="str">
        <f>IF(BC589&lt;'3phas'!BC23,BC589,"PVL")</f>
        <v>PVL</v>
      </c>
      <c r="BD590" s="2456">
        <f>IF(BD589&lt;'3phas'!BD23,BD589,"PVL")</f>
        <v>21.637045034166349</v>
      </c>
      <c r="BE590" s="2456">
        <f>IF(BE589&lt;'3phas'!BE23,BE589,"PVL")</f>
        <v>1.9105099674607666</v>
      </c>
      <c r="BF590" s="2456">
        <f>IF(BF589&lt;'3phas'!BF23,BF589,"PVL")</f>
        <v>3.8210199349215332</v>
      </c>
      <c r="BG590" s="2456">
        <f>BG589</f>
        <v>4.3407127272727285E-4</v>
      </c>
      <c r="BH590" s="2456">
        <f>IF(BH589&lt;'3phas'!BH23,BH589,"PVL")</f>
        <v>0.27774825694233579</v>
      </c>
      <c r="BI590" s="2456">
        <f>IF(BI589&lt;'3phas'!BI23,BI589,"PVL")</f>
        <v>0.38683198109989436</v>
      </c>
    </row>
    <row r="591" spans="1:61" s="403" customFormat="1" ht="13.5" thickBot="1">
      <c r="A591" s="402"/>
      <c r="B591" s="257"/>
      <c r="C591" s="2494"/>
      <c r="D591" s="2495"/>
      <c r="E591" s="258" t="s">
        <v>476</v>
      </c>
      <c r="F591" s="66" t="str">
        <f>'3phas'!F29</f>
        <v>Csao</v>
      </c>
      <c r="G591" s="620" t="s">
        <v>24</v>
      </c>
      <c r="H591" s="164">
        <f>IF(H590="PVL",H590,H590*'3phas'!H$26*1000)</f>
        <v>160.26785279606523</v>
      </c>
      <c r="I591" s="164">
        <f>IF(I590="PVL",I590,I590*'3phas'!I$26*1000)</f>
        <v>160.26785279606523</v>
      </c>
      <c r="J591" s="164">
        <f>IF(J590="PVL",J590,J590*'3phas'!J$26*1000)</f>
        <v>9278.2609196864632</v>
      </c>
      <c r="K591" s="164">
        <f>IF(K590="PVL",K590,K590*'3phas'!K$26*1000)</f>
        <v>3122.2105539379727</v>
      </c>
      <c r="L591" s="164">
        <f>IF(L590="PVL",L590,L590*'3phas'!L$26*1000)</f>
        <v>625.44363150445747</v>
      </c>
      <c r="M591" s="164">
        <f>IF(M590="PVL",M590,M590*'3phas'!M$26*1000)</f>
        <v>625.44363150445747</v>
      </c>
      <c r="N591" s="164">
        <f>IF(N590="PVL",N590,N590*'3phas'!N$26*1000)</f>
        <v>3597.912975289411</v>
      </c>
      <c r="O591" s="164">
        <f>IF(O590="PVL",O590,O590*'3phas'!O$26*1000)</f>
        <v>3597.912975289411</v>
      </c>
      <c r="P591" s="164">
        <f>IF(P590="PVL",P590,P590*'3phas'!P$26*1000)</f>
        <v>785.59788226286742</v>
      </c>
      <c r="Q591" s="164">
        <f>IF(Q590="PVL",Q590,Q590*'3phas'!Q$26*1000)</f>
        <v>785.59788226286742</v>
      </c>
      <c r="R591" s="164">
        <f>IF(R590="PVL",R590,R590*'3phas'!R$26*1000)</f>
        <v>3157.8879321190548</v>
      </c>
      <c r="S591" s="164">
        <f>IF(S590="PVL",S590,S590*'3phas'!S$26*1000)</f>
        <v>128.81104339482565</v>
      </c>
      <c r="T591" s="164">
        <f>IF(T590="PVL",T590,T590*'3phas'!T$26*1000)</f>
        <v>128.81104339482565</v>
      </c>
      <c r="U591" s="164">
        <f>IF(U590="PVL",U590,U590*'3phas'!U$26*1000)</f>
        <v>332.09632277946741</v>
      </c>
      <c r="V591" s="164">
        <f>IF(V590="PVL",V590,V590*'3phas'!V$26*1000)</f>
        <v>65229.095424619758</v>
      </c>
      <c r="W591" s="164">
        <f>IF(W590="PVL",W590,W590*'3phas'!W$26*1000)</f>
        <v>65229.095424619758</v>
      </c>
      <c r="X591" s="164">
        <f>IF(X590="PVL",X590,X590*'3phas'!X$26*1000)</f>
        <v>120.13101239114764</v>
      </c>
      <c r="Y591" s="164">
        <f>IF(Y590="PVL",Y590,Y590*'3phas'!Y$26*1000)</f>
        <v>2254.9006484227421</v>
      </c>
      <c r="Z591" s="164">
        <f>IF(Z590="PVL",Z590,Z590*'3phas'!Z$26*1000)</f>
        <v>719.05655893654125</v>
      </c>
      <c r="AA591" s="164">
        <f>IF(AA590="PVL",AA590,AA590*'3phas'!AA$26*1000)</f>
        <v>2411.93027797883</v>
      </c>
      <c r="AB591" s="164">
        <f>IF(AB590="PVL",AB590,AB590*'3phas'!AB$26*1000)</f>
        <v>779.37795932427673</v>
      </c>
      <c r="AC591" s="164">
        <f>IF(AC590="PVL",AC590,AC590*'3phas'!AC$26*1000)</f>
        <v>267.42606901659201</v>
      </c>
      <c r="AD591" s="164">
        <f>IF(AD590="PVL",AD590,AD590*'3phas'!AD$26*1000)</f>
        <v>126.63901235174573</v>
      </c>
      <c r="AE591" s="164" t="str">
        <f>IF(AE590="PVL",AE590,AE590*'3phas'!AE$26*1000)</f>
        <v>PVL</v>
      </c>
      <c r="AF591" s="164" t="str">
        <f>IF(AF590="PVL",AF590,AF590*'3phas'!AF$26*1000)</f>
        <v>PVL</v>
      </c>
      <c r="AG591" s="164" t="str">
        <f>IF(AG590="PVL",AG590,AG590*'3phas'!AG$26*1000)</f>
        <v>PVL</v>
      </c>
      <c r="AH591" s="164" t="str">
        <f>IF(AH590="PVL",AH590,AH590*'3phas'!AH$26*1000)</f>
        <v>PVL</v>
      </c>
      <c r="AI591" s="164">
        <f>IF(AI590="PVL",AI590,AI590*'3phas'!AI$26*1000)</f>
        <v>27285.422753150247</v>
      </c>
      <c r="AJ591" s="164" t="str">
        <f>IF(AJ590="PVL",AJ590,AJ590*'3phas'!AJ$26*1000)</f>
        <v>PVL</v>
      </c>
      <c r="AK591" s="164" t="str">
        <f>IF(AK590="PVL",AK590,AK590*'3phas'!AK$26*1000)</f>
        <v>PVL</v>
      </c>
      <c r="AL591" s="164" t="str">
        <f>IF(AL590="PVL",AL590,AL590*'3phas'!AL$26*1000)</f>
        <v>PVL</v>
      </c>
      <c r="AM591" s="164" t="str">
        <f>IF(AM590="PVL",AM590,AM590*'3phas'!AM$26*1000)</f>
        <v>PVL</v>
      </c>
      <c r="AN591" s="164">
        <f>IF(AN590="PVL",AN590,AN590*'3phas'!AN$26*1000)</f>
        <v>0.65417107599669966</v>
      </c>
      <c r="AO591" s="164">
        <f>IF(AO590="PVL",AO590,AO590*'3phas'!AO$26*1000)</f>
        <v>10.700890477012043</v>
      </c>
      <c r="AP591" s="164">
        <f>IF(AP590="PVL",AP590,AP590*'3phas'!AP$26*1000)</f>
        <v>13.758254807642203</v>
      </c>
      <c r="AQ591" s="164" t="str">
        <f>IF(AQ590="PVL",AQ590,AQ590*'3phas'!AQ$26*1000)</f>
        <v>PVL</v>
      </c>
      <c r="AR591" s="164" t="str">
        <f>IF(AR590="PVL",AR590,AR590*'3phas'!AR$26*1000)</f>
        <v>PVL</v>
      </c>
      <c r="AS591" s="164" t="str">
        <f>IF(AS590="PVL",AS590,AS590*'3phas'!AS$26*1000)</f>
        <v>PVL</v>
      </c>
      <c r="AT591" s="164" t="str">
        <f>IF(AT590="PVL",AT590,AT590*'3phas'!AT$26*1000)</f>
        <v>PVL</v>
      </c>
      <c r="AU591" s="164" t="str">
        <f>IF(AU590="PVL",AU590,AU590*'3phas'!AU$26*1000)</f>
        <v>PVL</v>
      </c>
      <c r="AV591" s="164" t="str">
        <f>IF(AV590="PVL",AV590,AV590*'3phas'!AV$26*1000)</f>
        <v>PVL</v>
      </c>
      <c r="AW591" s="164" t="str">
        <f>IF(AW590="PVL",AW590,AW590*'3phas'!AW$26*1000)</f>
        <v>PVL</v>
      </c>
      <c r="AX591" s="164" t="str">
        <f>IF(AX590="PVL",AX590,AX590*'3phas'!AX$26*1000)</f>
        <v>PVL</v>
      </c>
      <c r="AY591" s="164" t="str">
        <f>IF(AY590="PVL",AY590,AY590*'3phas'!AY$26*1000)</f>
        <v>PVL</v>
      </c>
      <c r="AZ591" s="164" t="str">
        <f>IF(AZ590="PVL",AZ590,AZ590*'3phas'!AZ$26*1000)</f>
        <v>PVL</v>
      </c>
      <c r="BA591" s="164" t="str">
        <f>IF(BA590="PVL",BA590,BA590*'3phas'!BA$26*1000)</f>
        <v>PVL</v>
      </c>
      <c r="BB591" s="164" t="str">
        <f>IF(BB590="PVL",BB590,BB590*'3phas'!BB$26*1000)</f>
        <v>PVL</v>
      </c>
      <c r="BC591" s="164" t="str">
        <f>IF(BC590="PVL",BC590,BC590*'3phas'!BC$26*1000)</f>
        <v>PVL</v>
      </c>
      <c r="BD591" s="164">
        <f>IF(BD590="PVL",BD590,BD590*'3phas'!BD$26*1000)</f>
        <v>2.0240839922258074</v>
      </c>
      <c r="BE591" s="164">
        <f>IF(BE590="PVL",BE590,BE590*'3phas'!BE$26*1000)</f>
        <v>3.9667289551199233E-3</v>
      </c>
      <c r="BF591" s="164">
        <f>IF(BF590="PVL",BF590,BF590*'3phas'!BF$26*1000)</f>
        <v>7.9334579102398467E-3</v>
      </c>
      <c r="BG591" s="595" t="s">
        <v>595</v>
      </c>
      <c r="BH591" s="164">
        <f>IF(BH590="PVL",BH590,BH590*'3phas'!BH$26*1000)</f>
        <v>3.4551307876277748E-2</v>
      </c>
      <c r="BI591" s="164">
        <f>IF(BI590="PVL",BI590,BI590*'3phas'!BI$26*1000)</f>
        <v>0.37233096215902789</v>
      </c>
    </row>
    <row r="592" spans="1:61">
      <c r="A592" s="42"/>
      <c r="B592" s="42"/>
    </row>
    <row r="593" spans="1:2">
      <c r="A593" s="42"/>
      <c r="B593" s="42"/>
    </row>
    <row r="594" spans="1:2">
      <c r="A594" s="42"/>
      <c r="B594" s="42"/>
    </row>
    <row r="595" spans="1:2">
      <c r="A595" s="42"/>
      <c r="B595" s="42"/>
    </row>
    <row r="596" spans="1:2">
      <c r="A596" s="42"/>
      <c r="B596" s="42"/>
    </row>
    <row r="644" spans="1:4">
      <c r="A644" s="42"/>
      <c r="B644" s="42"/>
    </row>
    <row r="645" spans="1:4">
      <c r="A645" s="42"/>
      <c r="B645" s="42"/>
    </row>
    <row r="647" spans="1:4">
      <c r="A647" s="15"/>
      <c r="B647" s="15"/>
      <c r="C647" s="697"/>
      <c r="D647" s="914"/>
    </row>
    <row r="648" spans="1:4">
      <c r="A648" s="15"/>
      <c r="B648" s="15"/>
      <c r="C648" s="697"/>
      <c r="D648" s="914"/>
    </row>
    <row r="649" spans="1:4">
      <c r="A649" s="15"/>
      <c r="B649" s="15"/>
      <c r="C649" s="697"/>
      <c r="D649" s="914"/>
    </row>
    <row r="650" spans="1:4">
      <c r="A650" s="15"/>
      <c r="B650" s="15"/>
      <c r="C650" s="697"/>
      <c r="D650" s="914"/>
    </row>
    <row r="651" spans="1:4">
      <c r="A651" s="15"/>
      <c r="B651" s="15"/>
      <c r="C651" s="697"/>
      <c r="D651" s="914"/>
    </row>
    <row r="652" spans="1:4">
      <c r="A652" s="15"/>
      <c r="B652" s="15"/>
      <c r="C652" s="697"/>
      <c r="D652" s="914"/>
    </row>
    <row r="653" spans="1:4">
      <c r="A653" s="15"/>
      <c r="B653" s="15"/>
      <c r="C653" s="697"/>
      <c r="D653" s="914"/>
    </row>
    <row r="654" spans="1:4">
      <c r="A654" s="15"/>
      <c r="B654" s="15"/>
      <c r="C654" s="697"/>
      <c r="D654" s="914"/>
    </row>
    <row r="655" spans="1:4">
      <c r="A655" s="15"/>
      <c r="B655" s="15"/>
      <c r="C655" s="697"/>
      <c r="D655" s="914"/>
    </row>
    <row r="656" spans="1:4">
      <c r="A656" s="15"/>
      <c r="B656" s="15"/>
      <c r="C656" s="697"/>
      <c r="D656" s="914"/>
    </row>
    <row r="657" spans="1:4">
      <c r="A657" s="15"/>
      <c r="B657" s="15"/>
      <c r="C657" s="697"/>
      <c r="D657" s="914"/>
    </row>
    <row r="658" spans="1:4">
      <c r="A658" s="15"/>
      <c r="B658" s="15"/>
      <c r="C658" s="697"/>
      <c r="D658" s="914"/>
    </row>
    <row r="659" spans="1:4">
      <c r="A659" s="15"/>
      <c r="B659" s="15"/>
      <c r="C659" s="697"/>
      <c r="D659" s="914"/>
    </row>
    <row r="660" spans="1:4">
      <c r="A660" s="15"/>
      <c r="B660" s="15"/>
      <c r="C660" s="697"/>
      <c r="D660" s="914"/>
    </row>
    <row r="661" spans="1:4">
      <c r="A661" s="15"/>
      <c r="B661" s="15"/>
      <c r="C661" s="697"/>
      <c r="D661" s="914"/>
    </row>
    <row r="662" spans="1:4">
      <c r="A662" s="15"/>
      <c r="B662" s="15"/>
      <c r="C662" s="697"/>
      <c r="D662" s="914"/>
    </row>
    <row r="663" spans="1:4">
      <c r="A663" s="15"/>
      <c r="B663" s="15"/>
      <c r="C663" s="697"/>
      <c r="D663" s="914"/>
    </row>
    <row r="664" spans="1:4">
      <c r="A664" s="15"/>
      <c r="B664" s="15"/>
      <c r="C664" s="697"/>
      <c r="D664" s="914"/>
    </row>
    <row r="665" spans="1:4">
      <c r="A665" s="15"/>
      <c r="B665" s="15"/>
      <c r="C665" s="697"/>
      <c r="D665" s="914"/>
    </row>
    <row r="666" spans="1:4">
      <c r="A666" s="15"/>
      <c r="B666" s="15"/>
      <c r="C666" s="697"/>
      <c r="D666" s="914"/>
    </row>
    <row r="667" spans="1:4">
      <c r="A667" s="15"/>
      <c r="B667" s="15"/>
      <c r="C667" s="697"/>
      <c r="D667" s="914"/>
    </row>
    <row r="668" spans="1:4">
      <c r="A668" s="15"/>
      <c r="B668" s="15"/>
      <c r="C668" s="697"/>
      <c r="D668" s="914"/>
    </row>
    <row r="669" spans="1:4">
      <c r="A669" s="15"/>
      <c r="B669" s="15"/>
      <c r="C669" s="697"/>
      <c r="D669" s="914"/>
    </row>
    <row r="670" spans="1:4">
      <c r="A670" s="15"/>
      <c r="B670" s="15"/>
      <c r="C670" s="697"/>
      <c r="D670" s="914"/>
    </row>
    <row r="671" spans="1:4">
      <c r="A671" s="15"/>
      <c r="B671" s="15"/>
      <c r="C671" s="697"/>
      <c r="D671" s="914"/>
    </row>
    <row r="672" spans="1:4">
      <c r="A672" s="15"/>
      <c r="B672" s="15"/>
      <c r="C672" s="697"/>
      <c r="D672" s="914"/>
    </row>
    <row r="673" spans="1:4">
      <c r="A673" s="15"/>
      <c r="B673" s="15"/>
      <c r="C673" s="697"/>
      <c r="D673" s="914"/>
    </row>
    <row r="674" spans="1:4">
      <c r="A674" s="15"/>
      <c r="B674" s="15"/>
      <c r="C674" s="697"/>
      <c r="D674" s="914"/>
    </row>
    <row r="675" spans="1:4">
      <c r="A675" s="15"/>
      <c r="B675" s="15"/>
      <c r="C675" s="697"/>
      <c r="D675" s="914"/>
    </row>
    <row r="676" spans="1:4">
      <c r="A676" s="15"/>
      <c r="B676" s="15"/>
      <c r="C676" s="697"/>
      <c r="D676" s="914"/>
    </row>
    <row r="677" spans="1:4">
      <c r="A677" s="15"/>
      <c r="B677" s="15"/>
      <c r="C677" s="697"/>
      <c r="D677" s="914"/>
    </row>
    <row r="678" spans="1:4">
      <c r="A678" s="15"/>
      <c r="B678" s="15"/>
      <c r="C678" s="697"/>
      <c r="D678" s="914"/>
    </row>
    <row r="679" spans="1:4">
      <c r="A679" s="15"/>
      <c r="B679" s="15"/>
      <c r="C679" s="697"/>
      <c r="D679" s="914"/>
    </row>
    <row r="680" spans="1:4">
      <c r="A680" s="15"/>
      <c r="B680" s="15"/>
      <c r="C680" s="697"/>
      <c r="D680" s="914"/>
    </row>
    <row r="681" spans="1:4">
      <c r="A681" s="15"/>
      <c r="B681" s="15"/>
      <c r="C681" s="697"/>
      <c r="D681" s="914"/>
    </row>
    <row r="682" spans="1:4">
      <c r="A682" s="15"/>
      <c r="B682" s="15"/>
      <c r="C682" s="697"/>
      <c r="D682" s="914"/>
    </row>
    <row r="683" spans="1:4">
      <c r="A683" s="15"/>
      <c r="B683" s="15"/>
      <c r="C683" s="697"/>
      <c r="D683" s="914"/>
    </row>
    <row r="684" spans="1:4">
      <c r="A684" s="15"/>
      <c r="B684" s="15"/>
      <c r="C684" s="697"/>
      <c r="D684" s="914"/>
    </row>
    <row r="685" spans="1:4">
      <c r="A685" s="15"/>
      <c r="B685" s="15"/>
      <c r="C685" s="697"/>
      <c r="D685" s="914"/>
    </row>
    <row r="686" spans="1:4">
      <c r="A686" s="15"/>
      <c r="B686" s="15"/>
      <c r="C686" s="697"/>
      <c r="D686" s="914"/>
    </row>
    <row r="687" spans="1:4">
      <c r="A687" s="15"/>
      <c r="B687" s="15"/>
      <c r="C687" s="697"/>
      <c r="D687" s="914"/>
    </row>
    <row r="688" spans="1:4">
      <c r="A688" s="15"/>
      <c r="B688" s="15"/>
      <c r="C688" s="697"/>
      <c r="D688" s="914"/>
    </row>
    <row r="689" spans="1:4">
      <c r="A689" s="15"/>
      <c r="B689" s="15"/>
      <c r="C689" s="697"/>
      <c r="D689" s="914"/>
    </row>
    <row r="690" spans="1:4">
      <c r="A690" s="15"/>
      <c r="B690" s="15"/>
      <c r="C690" s="697"/>
      <c r="D690" s="914"/>
    </row>
    <row r="691" spans="1:4">
      <c r="A691" s="15"/>
      <c r="B691" s="15"/>
      <c r="C691" s="697"/>
      <c r="D691" s="914"/>
    </row>
    <row r="692" spans="1:4">
      <c r="A692" s="15"/>
      <c r="B692" s="15"/>
      <c r="C692" s="697"/>
      <c r="D692" s="914"/>
    </row>
    <row r="693" spans="1:4">
      <c r="A693" s="15"/>
      <c r="B693" s="15"/>
      <c r="C693" s="697"/>
      <c r="D693" s="914"/>
    </row>
    <row r="694" spans="1:4">
      <c r="A694" s="15"/>
      <c r="B694" s="15"/>
      <c r="C694" s="697"/>
      <c r="D694" s="914"/>
    </row>
    <row r="695" spans="1:4">
      <c r="A695" s="15"/>
      <c r="B695" s="15"/>
      <c r="C695" s="697"/>
      <c r="D695" s="914"/>
    </row>
    <row r="696" spans="1:4">
      <c r="A696" s="15"/>
      <c r="B696" s="15"/>
      <c r="C696" s="697"/>
      <c r="D696" s="914"/>
    </row>
    <row r="697" spans="1:4">
      <c r="A697" s="15"/>
      <c r="B697" s="15"/>
      <c r="C697" s="697"/>
      <c r="D697" s="914"/>
    </row>
    <row r="698" spans="1:4">
      <c r="A698" s="15"/>
      <c r="B698" s="15"/>
      <c r="C698" s="697"/>
      <c r="D698" s="914"/>
    </row>
    <row r="699" spans="1:4">
      <c r="A699" s="15"/>
      <c r="B699" s="15"/>
      <c r="C699" s="697"/>
      <c r="D699" s="914"/>
    </row>
    <row r="700" spans="1:4">
      <c r="A700" s="15"/>
      <c r="B700" s="15"/>
      <c r="C700" s="697"/>
      <c r="D700" s="914"/>
    </row>
    <row r="701" spans="1:4">
      <c r="A701" s="15"/>
      <c r="B701" s="15"/>
      <c r="C701" s="697"/>
      <c r="D701" s="914"/>
    </row>
    <row r="702" spans="1:4">
      <c r="A702" s="15"/>
      <c r="B702" s="15"/>
      <c r="C702" s="697"/>
      <c r="D702" s="914"/>
    </row>
    <row r="703" spans="1:4">
      <c r="A703" s="15"/>
      <c r="B703" s="15"/>
      <c r="C703" s="697"/>
      <c r="D703" s="914"/>
    </row>
    <row r="704" spans="1:4">
      <c r="A704" s="15"/>
      <c r="B704" s="15"/>
      <c r="C704" s="697"/>
      <c r="D704" s="914"/>
    </row>
    <row r="705" spans="1:4">
      <c r="A705" s="15"/>
      <c r="B705" s="15"/>
      <c r="C705" s="697"/>
      <c r="D705" s="914"/>
    </row>
    <row r="706" spans="1:4">
      <c r="A706" s="15"/>
      <c r="B706" s="15"/>
      <c r="C706" s="697"/>
      <c r="D706" s="914"/>
    </row>
    <row r="707" spans="1:4">
      <c r="A707" s="15"/>
      <c r="B707" s="15"/>
      <c r="C707" s="697"/>
      <c r="D707" s="914"/>
    </row>
    <row r="708" spans="1:4">
      <c r="A708" s="15"/>
      <c r="B708" s="15"/>
      <c r="C708" s="697"/>
      <c r="D708" s="914"/>
    </row>
    <row r="709" spans="1:4">
      <c r="A709" s="15"/>
      <c r="B709" s="15"/>
      <c r="C709" s="697"/>
      <c r="D709" s="914"/>
    </row>
    <row r="710" spans="1:4">
      <c r="A710" s="15"/>
      <c r="B710" s="15"/>
      <c r="C710" s="697"/>
      <c r="D710" s="914"/>
    </row>
    <row r="711" spans="1:4">
      <c r="A711" s="15"/>
      <c r="B711" s="15"/>
      <c r="C711" s="697"/>
      <c r="D711" s="914"/>
    </row>
    <row r="712" spans="1:4">
      <c r="A712" s="15"/>
      <c r="B712" s="15"/>
      <c r="C712" s="697"/>
      <c r="D712" s="914"/>
    </row>
    <row r="713" spans="1:4">
      <c r="A713" s="15"/>
      <c r="B713" s="15"/>
      <c r="C713" s="697"/>
      <c r="D713" s="914"/>
    </row>
    <row r="714" spans="1:4">
      <c r="A714" s="15"/>
      <c r="B714" s="15"/>
      <c r="C714" s="697"/>
      <c r="D714" s="914"/>
    </row>
    <row r="715" spans="1:4">
      <c r="A715" s="15"/>
      <c r="B715" s="15"/>
      <c r="C715" s="697"/>
      <c r="D715" s="914"/>
    </row>
    <row r="716" spans="1:4">
      <c r="A716" s="15"/>
      <c r="B716" s="15"/>
      <c r="C716" s="697"/>
      <c r="D716" s="914"/>
    </row>
    <row r="717" spans="1:4">
      <c r="A717" s="15"/>
      <c r="B717" s="15"/>
      <c r="C717" s="697"/>
      <c r="D717" s="914"/>
    </row>
    <row r="718" spans="1:4">
      <c r="A718" s="15"/>
      <c r="B718" s="15"/>
      <c r="C718" s="697"/>
      <c r="D718" s="914"/>
    </row>
    <row r="719" spans="1:4">
      <c r="A719" s="15"/>
      <c r="B719" s="15"/>
      <c r="C719" s="697"/>
      <c r="D719" s="914"/>
    </row>
    <row r="720" spans="1:4">
      <c r="A720" s="15"/>
      <c r="B720" s="15"/>
      <c r="C720" s="697"/>
      <c r="D720" s="914"/>
    </row>
    <row r="721" spans="1:4">
      <c r="A721" s="15"/>
      <c r="B721" s="15"/>
      <c r="C721" s="697"/>
      <c r="D721" s="914"/>
    </row>
    <row r="722" spans="1:4">
      <c r="A722" s="15"/>
      <c r="B722" s="15"/>
      <c r="C722" s="697"/>
      <c r="D722" s="914"/>
    </row>
    <row r="723" spans="1:4">
      <c r="A723" s="15"/>
      <c r="B723" s="15"/>
      <c r="C723" s="697"/>
      <c r="D723" s="914"/>
    </row>
    <row r="724" spans="1:4">
      <c r="A724" s="15"/>
      <c r="B724" s="15"/>
      <c r="C724" s="697"/>
      <c r="D724" s="914"/>
    </row>
    <row r="725" spans="1:4">
      <c r="A725" s="15"/>
      <c r="B725" s="15"/>
      <c r="C725" s="697"/>
      <c r="D725" s="914"/>
    </row>
    <row r="726" spans="1:4">
      <c r="A726" s="15"/>
      <c r="B726" s="15"/>
      <c r="C726" s="697"/>
      <c r="D726" s="914"/>
    </row>
    <row r="727" spans="1:4">
      <c r="A727" s="15"/>
      <c r="B727" s="15"/>
      <c r="C727" s="697"/>
      <c r="D727" s="914"/>
    </row>
    <row r="728" spans="1:4">
      <c r="A728" s="15"/>
      <c r="B728" s="15"/>
      <c r="C728" s="697"/>
      <c r="D728" s="914"/>
    </row>
    <row r="729" spans="1:4">
      <c r="A729" s="15"/>
      <c r="B729" s="15"/>
      <c r="C729" s="697"/>
      <c r="D729" s="914"/>
    </row>
    <row r="730" spans="1:4">
      <c r="A730" s="15"/>
      <c r="B730" s="15"/>
      <c r="C730" s="697"/>
      <c r="D730" s="914"/>
    </row>
    <row r="731" spans="1:4">
      <c r="A731" s="15"/>
      <c r="B731" s="15"/>
      <c r="C731" s="697"/>
      <c r="D731" s="914"/>
    </row>
    <row r="732" spans="1:4">
      <c r="A732" s="15"/>
      <c r="B732" s="15"/>
      <c r="C732" s="697"/>
      <c r="D732" s="914"/>
    </row>
    <row r="733" spans="1:4">
      <c r="A733" s="15"/>
      <c r="B733" s="15"/>
      <c r="C733" s="697"/>
      <c r="D733" s="914"/>
    </row>
    <row r="734" spans="1:4">
      <c r="A734" s="15"/>
      <c r="B734" s="15"/>
      <c r="C734" s="697"/>
      <c r="D734" s="914"/>
    </row>
    <row r="735" spans="1:4">
      <c r="A735" s="15"/>
      <c r="B735" s="15"/>
      <c r="C735" s="697"/>
      <c r="D735" s="914"/>
    </row>
    <row r="736" spans="1:4">
      <c r="A736" s="15"/>
      <c r="B736" s="15"/>
      <c r="C736" s="697"/>
      <c r="D736" s="914"/>
    </row>
    <row r="737" spans="1:4">
      <c r="A737" s="15"/>
      <c r="B737" s="15"/>
      <c r="C737" s="697"/>
      <c r="D737" s="914"/>
    </row>
    <row r="738" spans="1:4">
      <c r="A738" s="15"/>
      <c r="B738" s="15"/>
      <c r="C738" s="697"/>
      <c r="D738" s="914"/>
    </row>
    <row r="739" spans="1:4">
      <c r="A739" s="15"/>
      <c r="B739" s="15"/>
      <c r="C739" s="697"/>
      <c r="D739" s="914"/>
    </row>
    <row r="740" spans="1:4">
      <c r="A740" s="15"/>
      <c r="B740" s="15"/>
      <c r="C740" s="697"/>
      <c r="D740" s="914"/>
    </row>
    <row r="741" spans="1:4">
      <c r="A741" s="15"/>
      <c r="B741" s="15"/>
      <c r="C741" s="697"/>
      <c r="D741" s="914"/>
    </row>
    <row r="742" spans="1:4">
      <c r="A742" s="15"/>
      <c r="B742" s="15"/>
      <c r="C742" s="697"/>
      <c r="D742" s="914"/>
    </row>
    <row r="743" spans="1:4">
      <c r="A743" s="15"/>
      <c r="B743" s="15"/>
      <c r="C743" s="697"/>
      <c r="D743" s="914"/>
    </row>
    <row r="744" spans="1:4">
      <c r="A744" s="15"/>
      <c r="B744" s="15"/>
      <c r="C744" s="697"/>
      <c r="D744" s="914"/>
    </row>
    <row r="745" spans="1:4">
      <c r="A745" s="15"/>
      <c r="B745" s="15"/>
      <c r="C745" s="697"/>
      <c r="D745" s="914"/>
    </row>
    <row r="746" spans="1:4">
      <c r="A746" s="15"/>
      <c r="B746" s="15"/>
      <c r="C746" s="697"/>
      <c r="D746" s="914"/>
    </row>
    <row r="747" spans="1:4">
      <c r="A747" s="15"/>
      <c r="B747" s="15"/>
      <c r="C747" s="697"/>
      <c r="D747" s="914"/>
    </row>
    <row r="748" spans="1:4">
      <c r="A748" s="15"/>
      <c r="B748" s="15"/>
      <c r="C748" s="697"/>
      <c r="D748" s="914"/>
    </row>
    <row r="749" spans="1:4">
      <c r="A749" s="15"/>
      <c r="B749" s="15"/>
      <c r="C749" s="697"/>
      <c r="D749" s="914"/>
    </row>
    <row r="750" spans="1:4">
      <c r="A750" s="15"/>
      <c r="B750" s="15"/>
      <c r="C750" s="697"/>
      <c r="D750" s="914"/>
    </row>
    <row r="751" spans="1:4">
      <c r="A751" s="15"/>
      <c r="B751" s="15"/>
      <c r="C751" s="697"/>
      <c r="D751" s="914"/>
    </row>
    <row r="752" spans="1:4">
      <c r="A752" s="15"/>
      <c r="B752" s="15"/>
      <c r="C752" s="697"/>
      <c r="D752" s="914"/>
    </row>
    <row r="753" spans="1:4">
      <c r="A753" s="15"/>
      <c r="B753" s="15"/>
      <c r="C753" s="697"/>
      <c r="D753" s="914"/>
    </row>
    <row r="754" spans="1:4">
      <c r="A754" s="15"/>
      <c r="B754" s="15"/>
      <c r="C754" s="697"/>
      <c r="D754" s="914"/>
    </row>
    <row r="755" spans="1:4">
      <c r="A755" s="15"/>
      <c r="B755" s="15"/>
      <c r="C755" s="697"/>
      <c r="D755" s="914"/>
    </row>
    <row r="756" spans="1:4">
      <c r="A756" s="15"/>
      <c r="B756" s="15"/>
      <c r="C756" s="697"/>
      <c r="D756" s="914"/>
    </row>
    <row r="757" spans="1:4">
      <c r="A757" s="15"/>
      <c r="B757" s="15"/>
      <c r="C757" s="697"/>
      <c r="D757" s="914"/>
    </row>
    <row r="758" spans="1:4">
      <c r="A758" s="15"/>
      <c r="B758" s="15"/>
      <c r="C758" s="697"/>
      <c r="D758" s="914"/>
    </row>
    <row r="759" spans="1:4">
      <c r="A759" s="15"/>
      <c r="B759" s="15"/>
      <c r="C759" s="697"/>
      <c r="D759" s="914"/>
    </row>
    <row r="760" spans="1:4">
      <c r="A760" s="15"/>
      <c r="B760" s="15"/>
      <c r="C760" s="697"/>
      <c r="D760" s="914"/>
    </row>
    <row r="761" spans="1:4">
      <c r="A761" s="15"/>
      <c r="B761" s="15"/>
      <c r="C761" s="697"/>
      <c r="D761" s="914"/>
    </row>
    <row r="762" spans="1:4">
      <c r="A762" s="15"/>
      <c r="B762" s="15"/>
      <c r="C762" s="697"/>
      <c r="D762" s="914"/>
    </row>
    <row r="763" spans="1:4">
      <c r="A763" s="15"/>
      <c r="B763" s="15"/>
      <c r="C763" s="697"/>
      <c r="D763" s="914"/>
    </row>
    <row r="764" spans="1:4">
      <c r="A764" s="15"/>
      <c r="B764" s="15"/>
      <c r="C764" s="697"/>
      <c r="D764" s="914"/>
    </row>
    <row r="765" spans="1:4">
      <c r="A765" s="15"/>
      <c r="B765" s="15"/>
      <c r="C765" s="697"/>
      <c r="D765" s="914"/>
    </row>
    <row r="766" spans="1:4">
      <c r="A766" s="15"/>
      <c r="B766" s="15"/>
      <c r="C766" s="697"/>
      <c r="D766" s="914"/>
    </row>
    <row r="767" spans="1:4">
      <c r="A767" s="15"/>
      <c r="B767" s="15"/>
      <c r="C767" s="697"/>
      <c r="D767" s="914"/>
    </row>
    <row r="768" spans="1:4">
      <c r="A768" s="15"/>
      <c r="B768" s="15"/>
      <c r="C768" s="697"/>
      <c r="D768" s="914"/>
    </row>
    <row r="769" spans="1:4">
      <c r="A769" s="15"/>
      <c r="B769" s="15"/>
      <c r="C769" s="697"/>
      <c r="D769" s="914"/>
    </row>
    <row r="770" spans="1:4">
      <c r="A770" s="15"/>
      <c r="B770" s="15"/>
      <c r="C770" s="697"/>
      <c r="D770" s="914"/>
    </row>
    <row r="771" spans="1:4">
      <c r="A771" s="15"/>
      <c r="B771" s="15"/>
      <c r="C771" s="697"/>
      <c r="D771" s="914"/>
    </row>
    <row r="772" spans="1:4">
      <c r="A772" s="15"/>
      <c r="B772" s="15"/>
      <c r="C772" s="697"/>
      <c r="D772" s="914"/>
    </row>
    <row r="773" spans="1:4">
      <c r="A773" s="15"/>
      <c r="B773" s="15"/>
      <c r="C773" s="697"/>
      <c r="D773" s="914"/>
    </row>
    <row r="774" spans="1:4">
      <c r="A774" s="15"/>
      <c r="B774" s="15"/>
      <c r="C774" s="697"/>
      <c r="D774" s="914"/>
    </row>
    <row r="775" spans="1:4">
      <c r="A775" s="15"/>
      <c r="B775" s="15"/>
      <c r="C775" s="697"/>
      <c r="D775" s="914"/>
    </row>
    <row r="776" spans="1:4">
      <c r="A776" s="15"/>
      <c r="B776" s="15"/>
      <c r="C776" s="697"/>
      <c r="D776" s="914"/>
    </row>
    <row r="777" spans="1:4">
      <c r="A777" s="15"/>
      <c r="B777" s="15"/>
      <c r="C777" s="697"/>
      <c r="D777" s="914"/>
    </row>
    <row r="778" spans="1:4">
      <c r="A778" s="15"/>
      <c r="B778" s="15"/>
      <c r="C778" s="697"/>
      <c r="D778" s="914"/>
    </row>
    <row r="779" spans="1:4">
      <c r="A779" s="15"/>
      <c r="B779" s="15"/>
      <c r="C779" s="697"/>
      <c r="D779" s="914"/>
    </row>
    <row r="780" spans="1:4">
      <c r="A780" s="15"/>
      <c r="B780" s="15"/>
      <c r="C780" s="697"/>
      <c r="D780" s="914"/>
    </row>
    <row r="781" spans="1:4">
      <c r="A781" s="15"/>
      <c r="B781" s="15"/>
      <c r="C781" s="697"/>
      <c r="D781" s="914"/>
    </row>
    <row r="782" spans="1:4">
      <c r="A782" s="15"/>
      <c r="B782" s="15"/>
      <c r="C782" s="697"/>
      <c r="D782" s="914"/>
    </row>
    <row r="783" spans="1:4">
      <c r="A783" s="15"/>
      <c r="B783" s="15"/>
      <c r="C783" s="697"/>
      <c r="D783" s="914"/>
    </row>
    <row r="784" spans="1:4">
      <c r="A784" s="15"/>
      <c r="B784" s="15"/>
      <c r="C784" s="697"/>
      <c r="D784" s="914"/>
    </row>
    <row r="785" spans="1:4">
      <c r="A785" s="15"/>
      <c r="B785" s="15"/>
      <c r="C785" s="697"/>
      <c r="D785" s="914"/>
    </row>
    <row r="786" spans="1:4">
      <c r="A786" s="15"/>
      <c r="B786" s="15"/>
      <c r="C786" s="697"/>
      <c r="D786" s="914"/>
    </row>
    <row r="787" spans="1:4">
      <c r="A787" s="15"/>
      <c r="B787" s="15"/>
      <c r="C787" s="697"/>
      <c r="D787" s="914"/>
    </row>
    <row r="788" spans="1:4">
      <c r="A788" s="15"/>
      <c r="B788" s="15"/>
      <c r="C788" s="697"/>
      <c r="D788" s="914"/>
    </row>
    <row r="789" spans="1:4">
      <c r="A789" s="15"/>
      <c r="B789" s="15"/>
      <c r="C789" s="697"/>
      <c r="D789" s="914"/>
    </row>
    <row r="790" spans="1:4">
      <c r="A790" s="15"/>
      <c r="B790" s="15"/>
      <c r="C790" s="697"/>
      <c r="D790" s="914"/>
    </row>
    <row r="791" spans="1:4">
      <c r="A791" s="15"/>
      <c r="B791" s="15"/>
      <c r="C791" s="697"/>
      <c r="D791" s="914"/>
    </row>
    <row r="792" spans="1:4">
      <c r="A792" s="15"/>
      <c r="B792" s="15"/>
      <c r="C792" s="697"/>
      <c r="D792" s="914"/>
    </row>
    <row r="793" spans="1:4">
      <c r="A793" s="15"/>
      <c r="B793" s="15"/>
      <c r="C793" s="697"/>
      <c r="D793" s="914"/>
    </row>
    <row r="794" spans="1:4">
      <c r="A794" s="15"/>
      <c r="B794" s="15"/>
      <c r="C794" s="697"/>
      <c r="D794" s="914"/>
    </row>
    <row r="795" spans="1:4">
      <c r="A795" s="15"/>
      <c r="B795" s="15"/>
      <c r="C795" s="697"/>
      <c r="D795" s="914"/>
    </row>
    <row r="796" spans="1:4">
      <c r="A796" s="15"/>
      <c r="B796" s="15"/>
      <c r="C796" s="697"/>
      <c r="D796" s="914"/>
    </row>
    <row r="797" spans="1:4">
      <c r="A797" s="15"/>
      <c r="B797" s="15"/>
      <c r="C797" s="697"/>
      <c r="D797" s="914"/>
    </row>
    <row r="798" spans="1:4">
      <c r="A798" s="15"/>
      <c r="B798" s="15"/>
      <c r="C798" s="697"/>
      <c r="D798" s="914"/>
    </row>
    <row r="799" spans="1:4">
      <c r="A799" s="15"/>
      <c r="B799" s="15"/>
      <c r="C799" s="697"/>
      <c r="D799" s="914"/>
    </row>
    <row r="800" spans="1:4">
      <c r="A800" s="15"/>
      <c r="B800" s="15"/>
      <c r="C800" s="697"/>
      <c r="D800" s="914"/>
    </row>
    <row r="801" spans="1:4">
      <c r="A801" s="15"/>
      <c r="B801" s="15"/>
      <c r="C801" s="697"/>
      <c r="D801" s="914"/>
    </row>
    <row r="802" spans="1:4">
      <c r="A802" s="15"/>
      <c r="B802" s="15"/>
      <c r="C802" s="697"/>
      <c r="D802" s="914"/>
    </row>
    <row r="803" spans="1:4">
      <c r="A803" s="15"/>
      <c r="B803" s="15"/>
      <c r="C803" s="697"/>
      <c r="D803" s="914"/>
    </row>
    <row r="804" spans="1:4">
      <c r="A804" s="15"/>
      <c r="B804" s="15"/>
      <c r="C804" s="697"/>
      <c r="D804" s="914"/>
    </row>
    <row r="805" spans="1:4">
      <c r="A805" s="15"/>
      <c r="B805" s="15"/>
      <c r="C805" s="697"/>
      <c r="D805" s="914"/>
    </row>
    <row r="806" spans="1:4">
      <c r="A806" s="15"/>
      <c r="B806" s="15"/>
      <c r="C806" s="697"/>
      <c r="D806" s="914"/>
    </row>
    <row r="807" spans="1:4">
      <c r="A807" s="15"/>
      <c r="B807" s="15"/>
      <c r="C807" s="697"/>
      <c r="D807" s="914"/>
    </row>
    <row r="808" spans="1:4">
      <c r="A808" s="15"/>
      <c r="B808" s="15"/>
      <c r="C808" s="697"/>
      <c r="D808" s="914"/>
    </row>
    <row r="809" spans="1:4">
      <c r="A809" s="15"/>
      <c r="B809" s="15"/>
      <c r="C809" s="697"/>
      <c r="D809" s="914"/>
    </row>
    <row r="810" spans="1:4">
      <c r="A810" s="15"/>
      <c r="B810" s="15"/>
      <c r="C810" s="697"/>
      <c r="D810" s="914"/>
    </row>
    <row r="811" spans="1:4">
      <c r="A811" s="15"/>
      <c r="B811" s="15"/>
      <c r="C811" s="697"/>
      <c r="D811" s="914"/>
    </row>
    <row r="812" spans="1:4">
      <c r="A812" s="15"/>
      <c r="B812" s="15"/>
      <c r="C812" s="697"/>
      <c r="D812" s="914"/>
    </row>
    <row r="813" spans="1:4">
      <c r="A813" s="15"/>
      <c r="B813" s="15"/>
      <c r="C813" s="697"/>
      <c r="D813" s="914"/>
    </row>
    <row r="814" spans="1:4">
      <c r="A814" s="15"/>
      <c r="B814" s="15"/>
      <c r="C814" s="697"/>
      <c r="D814" s="914"/>
    </row>
    <row r="815" spans="1:4">
      <c r="A815" s="15"/>
      <c r="B815" s="15"/>
      <c r="C815" s="697"/>
      <c r="D815" s="914"/>
    </row>
    <row r="816" spans="1:4">
      <c r="A816" s="15"/>
      <c r="B816" s="15"/>
      <c r="C816" s="697"/>
      <c r="D816" s="914"/>
    </row>
    <row r="817" spans="1:4">
      <c r="A817" s="15"/>
      <c r="B817" s="15"/>
      <c r="C817" s="697"/>
      <c r="D817" s="914"/>
    </row>
    <row r="818" spans="1:4">
      <c r="A818" s="15"/>
      <c r="B818" s="15"/>
      <c r="C818" s="697"/>
      <c r="D818" s="914"/>
    </row>
    <row r="819" spans="1:4">
      <c r="A819" s="15"/>
      <c r="B819" s="15"/>
      <c r="C819" s="697"/>
      <c r="D819" s="914"/>
    </row>
    <row r="820" spans="1:4">
      <c r="A820" s="15"/>
      <c r="B820" s="15"/>
      <c r="C820" s="697"/>
      <c r="D820" s="914"/>
    </row>
    <row r="821" spans="1:4">
      <c r="A821" s="15"/>
      <c r="B821" s="15"/>
      <c r="C821" s="697"/>
      <c r="D821" s="914"/>
    </row>
    <row r="822" spans="1:4">
      <c r="A822" s="15"/>
      <c r="B822" s="15"/>
      <c r="C822" s="697"/>
      <c r="D822" s="914"/>
    </row>
    <row r="823" spans="1:4">
      <c r="A823" s="15"/>
      <c r="B823" s="15"/>
      <c r="C823" s="697"/>
      <c r="D823" s="914"/>
    </row>
    <row r="824" spans="1:4">
      <c r="A824" s="15"/>
      <c r="B824" s="15"/>
      <c r="C824" s="697"/>
      <c r="D824" s="914"/>
    </row>
    <row r="825" spans="1:4">
      <c r="A825" s="15"/>
      <c r="B825" s="15"/>
      <c r="C825" s="697"/>
      <c r="D825" s="914"/>
    </row>
    <row r="826" spans="1:4">
      <c r="A826" s="15"/>
      <c r="B826" s="15"/>
      <c r="C826" s="697"/>
      <c r="D826" s="914"/>
    </row>
    <row r="827" spans="1:4">
      <c r="A827" s="15"/>
      <c r="B827" s="15"/>
      <c r="C827" s="697"/>
      <c r="D827" s="914"/>
    </row>
    <row r="828" spans="1:4">
      <c r="A828" s="15"/>
      <c r="B828" s="15"/>
      <c r="C828" s="697"/>
      <c r="D828" s="914"/>
    </row>
    <row r="829" spans="1:4">
      <c r="A829" s="15"/>
      <c r="B829" s="15"/>
      <c r="C829" s="697"/>
      <c r="D829" s="914"/>
    </row>
    <row r="830" spans="1:4">
      <c r="A830" s="15"/>
      <c r="B830" s="15"/>
      <c r="C830" s="697"/>
      <c r="D830" s="914"/>
    </row>
    <row r="831" spans="1:4">
      <c r="A831" s="15"/>
      <c r="B831" s="15"/>
      <c r="C831" s="697"/>
      <c r="D831" s="914"/>
    </row>
    <row r="832" spans="1:4">
      <c r="A832" s="15"/>
      <c r="B832" s="15"/>
      <c r="C832" s="697"/>
      <c r="D832" s="914"/>
    </row>
    <row r="833" spans="1:4">
      <c r="A833" s="15"/>
      <c r="B833" s="15"/>
      <c r="C833" s="697"/>
      <c r="D833" s="914"/>
    </row>
    <row r="834" spans="1:4">
      <c r="A834" s="15"/>
      <c r="B834" s="15"/>
      <c r="C834" s="697"/>
      <c r="D834" s="914"/>
    </row>
    <row r="835" spans="1:4">
      <c r="A835" s="15"/>
      <c r="B835" s="15"/>
      <c r="C835" s="697"/>
      <c r="D835" s="914"/>
    </row>
    <row r="836" spans="1:4">
      <c r="A836" s="15"/>
      <c r="B836" s="15"/>
      <c r="C836" s="697"/>
      <c r="D836" s="914"/>
    </row>
    <row r="837" spans="1:4">
      <c r="A837" s="15"/>
      <c r="B837" s="15"/>
      <c r="C837" s="697"/>
      <c r="D837" s="914"/>
    </row>
    <row r="838" spans="1:4">
      <c r="A838" s="15"/>
      <c r="B838" s="15"/>
      <c r="C838" s="697"/>
      <c r="D838" s="914"/>
    </row>
    <row r="839" spans="1:4">
      <c r="A839" s="15"/>
      <c r="B839" s="15"/>
      <c r="C839" s="697"/>
      <c r="D839" s="914"/>
    </row>
    <row r="840" spans="1:4">
      <c r="A840" s="15"/>
      <c r="B840" s="15"/>
      <c r="C840" s="697"/>
      <c r="D840" s="914"/>
    </row>
    <row r="841" spans="1:4">
      <c r="A841" s="15"/>
      <c r="B841" s="15"/>
      <c r="C841" s="697"/>
      <c r="D841" s="914"/>
    </row>
    <row r="842" spans="1:4">
      <c r="A842" s="15"/>
      <c r="B842" s="15"/>
      <c r="C842" s="697"/>
      <c r="D842" s="914"/>
    </row>
    <row r="843" spans="1:4">
      <c r="A843" s="15"/>
      <c r="B843" s="15"/>
      <c r="C843" s="697"/>
      <c r="D843" s="914"/>
    </row>
    <row r="844" spans="1:4">
      <c r="A844" s="15"/>
      <c r="B844" s="15"/>
      <c r="C844" s="697"/>
      <c r="D844" s="914"/>
    </row>
    <row r="845" spans="1:4">
      <c r="A845" s="15"/>
      <c r="B845" s="15"/>
      <c r="C845" s="697"/>
      <c r="D845" s="914"/>
    </row>
    <row r="846" spans="1:4">
      <c r="A846" s="15"/>
      <c r="B846" s="15"/>
      <c r="C846" s="697"/>
      <c r="D846" s="914"/>
    </row>
    <row r="847" spans="1:4">
      <c r="A847" s="15"/>
      <c r="B847" s="15"/>
      <c r="C847" s="697"/>
      <c r="D847" s="914"/>
    </row>
    <row r="848" spans="1:4">
      <c r="A848" s="15"/>
      <c r="B848" s="15"/>
      <c r="C848" s="697"/>
      <c r="D848" s="914"/>
    </row>
    <row r="849" spans="1:4">
      <c r="A849" s="15"/>
      <c r="B849" s="15"/>
      <c r="C849" s="697"/>
      <c r="D849" s="914"/>
    </row>
    <row r="850" spans="1:4">
      <c r="A850" s="15"/>
      <c r="B850" s="15"/>
      <c r="C850" s="697"/>
      <c r="D850" s="914"/>
    </row>
    <row r="851" spans="1:4">
      <c r="A851" s="15"/>
      <c r="B851" s="15"/>
      <c r="C851" s="697"/>
      <c r="D851" s="914"/>
    </row>
    <row r="852" spans="1:4">
      <c r="A852" s="15"/>
      <c r="B852" s="15"/>
      <c r="C852" s="697"/>
      <c r="D852" s="914"/>
    </row>
    <row r="853" spans="1:4">
      <c r="A853" s="15"/>
      <c r="B853" s="15"/>
      <c r="C853" s="697"/>
      <c r="D853" s="914"/>
    </row>
    <row r="854" spans="1:4">
      <c r="A854" s="15"/>
      <c r="B854" s="15"/>
      <c r="C854" s="697"/>
      <c r="D854" s="914"/>
    </row>
    <row r="855" spans="1:4">
      <c r="A855" s="15"/>
      <c r="B855" s="15"/>
      <c r="C855" s="697"/>
      <c r="D855" s="914"/>
    </row>
    <row r="856" spans="1:4">
      <c r="A856" s="15"/>
      <c r="B856" s="15"/>
      <c r="C856" s="697"/>
      <c r="D856" s="914"/>
    </row>
    <row r="857" spans="1:4">
      <c r="A857" s="15"/>
      <c r="B857" s="15"/>
      <c r="C857" s="697"/>
      <c r="D857" s="914"/>
    </row>
    <row r="858" spans="1:4">
      <c r="A858" s="15"/>
      <c r="B858" s="15"/>
      <c r="C858" s="697"/>
      <c r="D858" s="914"/>
    </row>
    <row r="859" spans="1:4">
      <c r="A859" s="15"/>
      <c r="B859" s="15"/>
      <c r="C859" s="697"/>
      <c r="D859" s="914"/>
    </row>
    <row r="860" spans="1:4">
      <c r="A860" s="15"/>
      <c r="B860" s="15"/>
      <c r="C860" s="697"/>
      <c r="D860" s="914"/>
    </row>
    <row r="861" spans="1:4">
      <c r="A861" s="15"/>
      <c r="B861" s="15"/>
      <c r="C861" s="697"/>
      <c r="D861" s="914"/>
    </row>
    <row r="862" spans="1:4">
      <c r="A862" s="15"/>
      <c r="B862" s="15"/>
      <c r="C862" s="697"/>
      <c r="D862" s="914"/>
    </row>
    <row r="863" spans="1:4">
      <c r="A863" s="15"/>
      <c r="B863" s="15"/>
      <c r="C863" s="697"/>
      <c r="D863" s="914"/>
    </row>
    <row r="864" spans="1:4">
      <c r="A864" s="15"/>
      <c r="B864" s="15"/>
      <c r="C864" s="697"/>
      <c r="D864" s="914"/>
    </row>
    <row r="865" spans="1:4">
      <c r="A865" s="15"/>
      <c r="B865" s="15"/>
      <c r="C865" s="697"/>
      <c r="D865" s="914"/>
    </row>
    <row r="866" spans="1:4">
      <c r="A866" s="15"/>
      <c r="B866" s="15"/>
      <c r="C866" s="697"/>
      <c r="D866" s="914"/>
    </row>
    <row r="867" spans="1:4">
      <c r="A867" s="15"/>
      <c r="B867" s="15"/>
      <c r="C867" s="697"/>
      <c r="D867" s="914"/>
    </row>
    <row r="868" spans="1:4">
      <c r="A868" s="15"/>
      <c r="B868" s="15"/>
      <c r="C868" s="697"/>
      <c r="D868" s="914"/>
    </row>
    <row r="869" spans="1:4">
      <c r="A869" s="15"/>
      <c r="B869" s="15"/>
      <c r="C869" s="697"/>
      <c r="D869" s="914"/>
    </row>
    <row r="870" spans="1:4">
      <c r="A870" s="15"/>
      <c r="B870" s="15"/>
      <c r="C870" s="697"/>
      <c r="D870" s="914"/>
    </row>
    <row r="871" spans="1:4">
      <c r="A871" s="15"/>
      <c r="B871" s="15"/>
      <c r="C871" s="697"/>
      <c r="D871" s="914"/>
    </row>
    <row r="872" spans="1:4">
      <c r="A872" s="15"/>
      <c r="B872" s="15"/>
      <c r="C872" s="697"/>
      <c r="D872" s="914"/>
    </row>
    <row r="873" spans="1:4">
      <c r="A873" s="15"/>
      <c r="B873" s="15"/>
      <c r="C873" s="697"/>
      <c r="D873" s="914"/>
    </row>
    <row r="874" spans="1:4">
      <c r="A874" s="15"/>
      <c r="B874" s="15"/>
      <c r="C874" s="697"/>
      <c r="D874" s="914"/>
    </row>
    <row r="875" spans="1:4">
      <c r="A875" s="15"/>
      <c r="B875" s="15"/>
      <c r="C875" s="697"/>
      <c r="D875" s="914"/>
    </row>
    <row r="876" spans="1:4">
      <c r="A876" s="15"/>
      <c r="B876" s="15"/>
      <c r="C876" s="697"/>
      <c r="D876" s="914"/>
    </row>
    <row r="877" spans="1:4">
      <c r="A877" s="15"/>
      <c r="B877" s="15"/>
      <c r="C877" s="697"/>
      <c r="D877" s="914"/>
    </row>
    <row r="878" spans="1:4">
      <c r="A878" s="15"/>
      <c r="B878" s="15"/>
      <c r="C878" s="697"/>
      <c r="D878" s="914"/>
    </row>
    <row r="879" spans="1:4">
      <c r="A879" s="15"/>
      <c r="B879" s="15"/>
      <c r="C879" s="697"/>
      <c r="D879" s="914"/>
    </row>
    <row r="880" spans="1:4">
      <c r="A880" s="15"/>
      <c r="B880" s="15"/>
      <c r="C880" s="697"/>
      <c r="D880" s="914"/>
    </row>
    <row r="881" spans="1:4">
      <c r="A881" s="15"/>
      <c r="B881" s="15"/>
      <c r="C881" s="697"/>
      <c r="D881" s="914"/>
    </row>
    <row r="882" spans="1:4">
      <c r="A882" s="15"/>
      <c r="B882" s="15"/>
      <c r="C882" s="697"/>
      <c r="D882" s="914"/>
    </row>
    <row r="883" spans="1:4">
      <c r="A883" s="15"/>
      <c r="B883" s="15"/>
      <c r="C883" s="697"/>
      <c r="D883" s="914"/>
    </row>
    <row r="884" spans="1:4">
      <c r="A884" s="15"/>
      <c r="B884" s="15"/>
      <c r="C884" s="697"/>
      <c r="D884" s="914"/>
    </row>
    <row r="885" spans="1:4">
      <c r="A885" s="15"/>
      <c r="B885" s="15"/>
      <c r="C885" s="697"/>
      <c r="D885" s="914"/>
    </row>
    <row r="886" spans="1:4">
      <c r="A886" s="15"/>
      <c r="B886" s="15"/>
      <c r="C886" s="697"/>
      <c r="D886" s="914"/>
    </row>
    <row r="887" spans="1:4">
      <c r="A887" s="15"/>
      <c r="B887" s="15"/>
      <c r="C887" s="697"/>
      <c r="D887" s="914"/>
    </row>
    <row r="888" spans="1:4">
      <c r="A888" s="15"/>
      <c r="B888" s="15"/>
      <c r="C888" s="697"/>
      <c r="D888" s="914"/>
    </row>
    <row r="889" spans="1:4">
      <c r="A889" s="15"/>
      <c r="B889" s="15"/>
      <c r="C889" s="697"/>
      <c r="D889" s="914"/>
    </row>
    <row r="890" spans="1:4">
      <c r="A890" s="15"/>
      <c r="B890" s="15"/>
      <c r="C890" s="697"/>
      <c r="D890" s="914"/>
    </row>
    <row r="891" spans="1:4">
      <c r="A891" s="15"/>
      <c r="B891" s="15"/>
      <c r="C891" s="697"/>
      <c r="D891" s="914"/>
    </row>
    <row r="892" spans="1:4">
      <c r="A892" s="15"/>
      <c r="B892" s="15"/>
      <c r="C892" s="697"/>
      <c r="D892" s="914"/>
    </row>
    <row r="893" spans="1:4">
      <c r="A893" s="15"/>
      <c r="B893" s="15"/>
      <c r="C893" s="697"/>
      <c r="D893" s="914"/>
    </row>
    <row r="894" spans="1:4">
      <c r="A894" s="15"/>
      <c r="B894" s="15"/>
      <c r="C894" s="697"/>
      <c r="D894" s="914"/>
    </row>
    <row r="895" spans="1:4">
      <c r="A895" s="15"/>
      <c r="B895" s="15"/>
      <c r="C895" s="697"/>
      <c r="D895" s="914"/>
    </row>
    <row r="896" spans="1:4">
      <c r="A896" s="15"/>
      <c r="B896" s="15"/>
      <c r="C896" s="697"/>
      <c r="D896" s="914"/>
    </row>
    <row r="897" spans="1:4">
      <c r="A897" s="15"/>
      <c r="B897" s="15"/>
      <c r="C897" s="697"/>
      <c r="D897" s="914"/>
    </row>
    <row r="898" spans="1:4">
      <c r="A898" s="15"/>
      <c r="B898" s="15"/>
      <c r="C898" s="697"/>
      <c r="D898" s="914"/>
    </row>
    <row r="899" spans="1:4">
      <c r="A899" s="15"/>
      <c r="B899" s="15"/>
      <c r="C899" s="697"/>
      <c r="D899" s="914"/>
    </row>
    <row r="900" spans="1:4">
      <c r="A900" s="15"/>
      <c r="B900" s="15"/>
      <c r="C900" s="697"/>
      <c r="D900" s="914"/>
    </row>
    <row r="901" spans="1:4">
      <c r="A901" s="15"/>
      <c r="B901" s="15"/>
      <c r="C901" s="697"/>
      <c r="D901" s="914"/>
    </row>
    <row r="902" spans="1:4">
      <c r="A902" s="15"/>
      <c r="B902" s="15"/>
      <c r="C902" s="697"/>
      <c r="D902" s="914"/>
    </row>
    <row r="903" spans="1:4">
      <c r="A903" s="15"/>
      <c r="B903" s="15"/>
      <c r="C903" s="697"/>
      <c r="D903" s="914"/>
    </row>
    <row r="904" spans="1:4">
      <c r="A904" s="15"/>
      <c r="B904" s="15"/>
      <c r="C904" s="697"/>
      <c r="D904" s="914"/>
    </row>
    <row r="905" spans="1:4">
      <c r="A905" s="15"/>
      <c r="B905" s="15"/>
      <c r="C905" s="697"/>
      <c r="D905" s="914"/>
    </row>
    <row r="906" spans="1:4">
      <c r="A906" s="15"/>
      <c r="B906" s="15"/>
      <c r="C906" s="697"/>
      <c r="D906" s="914"/>
    </row>
    <row r="907" spans="1:4">
      <c r="A907" s="15"/>
      <c r="B907" s="15"/>
      <c r="C907" s="697"/>
      <c r="D907" s="914"/>
    </row>
    <row r="908" spans="1:4">
      <c r="A908" s="15"/>
      <c r="B908" s="15"/>
      <c r="C908" s="697"/>
      <c r="D908" s="914"/>
    </row>
    <row r="909" spans="1:4">
      <c r="A909" s="15"/>
      <c r="B909" s="15"/>
      <c r="C909" s="697"/>
      <c r="D909" s="914"/>
    </row>
    <row r="910" spans="1:4">
      <c r="A910" s="15"/>
      <c r="B910" s="15"/>
      <c r="C910" s="697"/>
      <c r="D910" s="914"/>
    </row>
    <row r="911" spans="1:4">
      <c r="A911" s="15"/>
      <c r="B911" s="15"/>
      <c r="C911" s="697"/>
      <c r="D911" s="914"/>
    </row>
    <row r="912" spans="1:4">
      <c r="A912" s="15"/>
      <c r="B912" s="15"/>
      <c r="C912" s="697"/>
      <c r="D912" s="914"/>
    </row>
    <row r="913" spans="1:4">
      <c r="A913" s="15"/>
      <c r="B913" s="15"/>
      <c r="C913" s="697"/>
      <c r="D913" s="914"/>
    </row>
    <row r="914" spans="1:4">
      <c r="A914" s="15"/>
      <c r="B914" s="15"/>
      <c r="C914" s="697"/>
      <c r="D914" s="914"/>
    </row>
    <row r="915" spans="1:4">
      <c r="A915" s="15"/>
      <c r="B915" s="15"/>
      <c r="C915" s="697"/>
      <c r="D915" s="914"/>
    </row>
    <row r="916" spans="1:4">
      <c r="A916" s="15"/>
      <c r="B916" s="15"/>
      <c r="C916" s="697"/>
      <c r="D916" s="914"/>
    </row>
    <row r="917" spans="1:4">
      <c r="A917" s="15"/>
      <c r="B917" s="15"/>
      <c r="C917" s="697"/>
      <c r="D917" s="914"/>
    </row>
    <row r="918" spans="1:4">
      <c r="A918" s="15"/>
      <c r="B918" s="15"/>
      <c r="C918" s="697"/>
      <c r="D918" s="914"/>
    </row>
    <row r="919" spans="1:4">
      <c r="A919" s="15"/>
      <c r="B919" s="15"/>
      <c r="C919" s="697"/>
      <c r="D919" s="914"/>
    </row>
    <row r="920" spans="1:4">
      <c r="A920" s="15"/>
      <c r="B920" s="15"/>
      <c r="C920" s="697"/>
      <c r="D920" s="914"/>
    </row>
    <row r="921" spans="1:4">
      <c r="A921" s="15"/>
      <c r="B921" s="15"/>
      <c r="C921" s="697"/>
      <c r="D921" s="914"/>
    </row>
    <row r="922" spans="1:4">
      <c r="A922" s="15"/>
      <c r="B922" s="15"/>
      <c r="C922" s="697"/>
      <c r="D922" s="914"/>
    </row>
    <row r="923" spans="1:4">
      <c r="A923" s="15"/>
      <c r="B923" s="15"/>
      <c r="C923" s="697"/>
      <c r="D923" s="914"/>
    </row>
    <row r="924" spans="1:4">
      <c r="A924" s="15"/>
      <c r="B924" s="15"/>
      <c r="C924" s="697"/>
      <c r="D924" s="914"/>
    </row>
    <row r="925" spans="1:4">
      <c r="A925" s="15"/>
      <c r="B925" s="15"/>
      <c r="C925" s="697"/>
      <c r="D925" s="914"/>
    </row>
    <row r="926" spans="1:4">
      <c r="A926" s="15"/>
      <c r="B926" s="15"/>
      <c r="C926" s="697"/>
      <c r="D926" s="914"/>
    </row>
    <row r="927" spans="1:4">
      <c r="A927" s="15"/>
      <c r="B927" s="15"/>
      <c r="C927" s="697"/>
      <c r="D927" s="914"/>
    </row>
    <row r="928" spans="1:4">
      <c r="A928" s="15"/>
      <c r="B928" s="15"/>
      <c r="C928" s="697"/>
      <c r="D928" s="914"/>
    </row>
    <row r="929" spans="1:4">
      <c r="A929" s="15"/>
      <c r="B929" s="15"/>
      <c r="C929" s="697"/>
      <c r="D929" s="914"/>
    </row>
    <row r="930" spans="1:4">
      <c r="A930" s="15"/>
      <c r="B930" s="15"/>
      <c r="C930" s="697"/>
      <c r="D930" s="914"/>
    </row>
    <row r="931" spans="1:4">
      <c r="A931" s="15"/>
      <c r="B931" s="15"/>
      <c r="C931" s="697"/>
      <c r="D931" s="914"/>
    </row>
    <row r="932" spans="1:4">
      <c r="A932" s="15"/>
      <c r="B932" s="15"/>
      <c r="C932" s="697"/>
      <c r="D932" s="914"/>
    </row>
    <row r="933" spans="1:4">
      <c r="A933" s="15"/>
      <c r="B933" s="15"/>
      <c r="C933" s="697"/>
      <c r="D933" s="914"/>
    </row>
    <row r="934" spans="1:4">
      <c r="A934" s="15"/>
      <c r="B934" s="15"/>
      <c r="C934" s="697"/>
      <c r="D934" s="914"/>
    </row>
    <row r="935" spans="1:4">
      <c r="A935" s="15"/>
      <c r="B935" s="15"/>
      <c r="C935" s="697"/>
      <c r="D935" s="914"/>
    </row>
    <row r="936" spans="1:4">
      <c r="A936" s="15"/>
      <c r="B936" s="15"/>
      <c r="C936" s="697"/>
      <c r="D936" s="914"/>
    </row>
    <row r="937" spans="1:4">
      <c r="A937" s="15"/>
      <c r="B937" s="15"/>
      <c r="C937" s="697"/>
      <c r="D937" s="914"/>
    </row>
    <row r="938" spans="1:4">
      <c r="A938" s="15"/>
      <c r="B938" s="15"/>
      <c r="C938" s="697"/>
      <c r="D938" s="914"/>
    </row>
    <row r="939" spans="1:4">
      <c r="A939" s="15"/>
      <c r="B939" s="15"/>
      <c r="C939" s="697"/>
      <c r="D939" s="914"/>
    </row>
    <row r="940" spans="1:4">
      <c r="A940" s="15"/>
      <c r="B940" s="15"/>
      <c r="C940" s="697"/>
      <c r="D940" s="914"/>
    </row>
    <row r="941" spans="1:4">
      <c r="A941" s="15"/>
      <c r="B941" s="15"/>
      <c r="C941" s="697"/>
      <c r="D941" s="914"/>
    </row>
    <row r="942" spans="1:4">
      <c r="A942" s="15"/>
      <c r="B942" s="15"/>
      <c r="C942" s="697"/>
      <c r="D942" s="914"/>
    </row>
    <row r="943" spans="1:4">
      <c r="A943" s="15"/>
      <c r="B943" s="15"/>
      <c r="C943" s="697"/>
      <c r="D943" s="914"/>
    </row>
    <row r="944" spans="1:4">
      <c r="A944" s="15"/>
      <c r="B944" s="15"/>
      <c r="C944" s="697"/>
      <c r="D944" s="914"/>
    </row>
    <row r="945" spans="1:4">
      <c r="A945" s="15"/>
      <c r="B945" s="15"/>
      <c r="C945" s="697"/>
      <c r="D945" s="914"/>
    </row>
    <row r="946" spans="1:4">
      <c r="A946" s="15"/>
      <c r="B946" s="15"/>
      <c r="C946" s="697"/>
      <c r="D946" s="914"/>
    </row>
    <row r="947" spans="1:4">
      <c r="A947" s="15"/>
      <c r="B947" s="15"/>
      <c r="C947" s="697"/>
      <c r="D947" s="914"/>
    </row>
    <row r="948" spans="1:4">
      <c r="A948" s="15"/>
      <c r="B948" s="15"/>
      <c r="C948" s="697"/>
      <c r="D948" s="914"/>
    </row>
    <row r="949" spans="1:4">
      <c r="A949" s="15"/>
      <c r="B949" s="15"/>
      <c r="C949" s="697"/>
      <c r="D949" s="914"/>
    </row>
    <row r="950" spans="1:4">
      <c r="A950" s="15"/>
      <c r="B950" s="15"/>
      <c r="C950" s="697"/>
      <c r="D950" s="914"/>
    </row>
    <row r="951" spans="1:4">
      <c r="A951" s="15"/>
      <c r="B951" s="15"/>
      <c r="C951" s="697"/>
      <c r="D951" s="914"/>
    </row>
    <row r="952" spans="1:4">
      <c r="A952" s="15"/>
      <c r="B952" s="15"/>
      <c r="C952" s="697"/>
      <c r="D952" s="914"/>
    </row>
    <row r="953" spans="1:4">
      <c r="A953" s="15"/>
      <c r="B953" s="15"/>
      <c r="C953" s="697"/>
      <c r="D953" s="914"/>
    </row>
    <row r="954" spans="1:4">
      <c r="A954" s="15"/>
      <c r="B954" s="15"/>
      <c r="C954" s="697"/>
      <c r="D954" s="914"/>
    </row>
    <row r="955" spans="1:4">
      <c r="A955" s="15"/>
      <c r="B955" s="15"/>
      <c r="C955" s="697"/>
      <c r="D955" s="914"/>
    </row>
    <row r="956" spans="1:4">
      <c r="A956" s="15"/>
      <c r="B956" s="15"/>
      <c r="C956" s="697"/>
      <c r="D956" s="914"/>
    </row>
    <row r="957" spans="1:4">
      <c r="A957" s="15"/>
      <c r="B957" s="15"/>
      <c r="C957" s="697"/>
      <c r="D957" s="914"/>
    </row>
    <row r="958" spans="1:4">
      <c r="A958" s="15"/>
      <c r="B958" s="15"/>
      <c r="C958" s="697"/>
      <c r="D958" s="914"/>
    </row>
    <row r="959" spans="1:4">
      <c r="A959" s="15"/>
      <c r="B959" s="15"/>
      <c r="C959" s="697"/>
      <c r="D959" s="914"/>
    </row>
    <row r="960" spans="1:4">
      <c r="A960" s="15"/>
      <c r="B960" s="15"/>
      <c r="C960" s="697"/>
      <c r="D960" s="914"/>
    </row>
    <row r="961" spans="1:4">
      <c r="A961" s="15"/>
      <c r="B961" s="15"/>
      <c r="C961" s="697"/>
      <c r="D961" s="914"/>
    </row>
    <row r="962" spans="1:4">
      <c r="A962" s="15"/>
      <c r="B962" s="15"/>
      <c r="C962" s="697"/>
      <c r="D962" s="914"/>
    </row>
    <row r="963" spans="1:4">
      <c r="A963" s="15"/>
      <c r="B963" s="15"/>
      <c r="C963" s="697"/>
      <c r="D963" s="914"/>
    </row>
    <row r="964" spans="1:4">
      <c r="A964" s="15"/>
      <c r="B964" s="15"/>
      <c r="C964" s="697"/>
      <c r="D964" s="914"/>
    </row>
    <row r="965" spans="1:4">
      <c r="A965" s="15"/>
      <c r="B965" s="15"/>
      <c r="C965" s="697"/>
      <c r="D965" s="914"/>
    </row>
    <row r="966" spans="1:4">
      <c r="A966" s="15"/>
      <c r="B966" s="15"/>
      <c r="C966" s="697"/>
      <c r="D966" s="914"/>
    </row>
    <row r="967" spans="1:4">
      <c r="A967" s="15"/>
      <c r="B967" s="15"/>
      <c r="C967" s="697"/>
      <c r="D967" s="914"/>
    </row>
    <row r="968" spans="1:4">
      <c r="A968" s="15"/>
      <c r="B968" s="15"/>
      <c r="C968" s="697"/>
      <c r="D968" s="914"/>
    </row>
    <row r="969" spans="1:4">
      <c r="A969" s="15"/>
      <c r="B969" s="15"/>
      <c r="C969" s="697"/>
      <c r="D969" s="914"/>
    </row>
    <row r="970" spans="1:4">
      <c r="A970" s="15"/>
      <c r="B970" s="15"/>
      <c r="C970" s="697"/>
      <c r="D970" s="914"/>
    </row>
    <row r="971" spans="1:4">
      <c r="A971" s="15"/>
      <c r="B971" s="15"/>
      <c r="C971" s="697"/>
      <c r="D971" s="914"/>
    </row>
    <row r="972" spans="1:4">
      <c r="A972" s="15"/>
      <c r="B972" s="15"/>
      <c r="C972" s="697"/>
      <c r="D972" s="914"/>
    </row>
    <row r="973" spans="1:4">
      <c r="A973" s="15"/>
      <c r="B973" s="15"/>
      <c r="C973" s="697"/>
      <c r="D973" s="914"/>
    </row>
    <row r="974" spans="1:4">
      <c r="A974" s="15"/>
      <c r="B974" s="15"/>
      <c r="C974" s="697"/>
      <c r="D974" s="914"/>
    </row>
    <row r="975" spans="1:4">
      <c r="A975" s="15"/>
      <c r="B975" s="15"/>
      <c r="C975" s="697"/>
      <c r="D975" s="914"/>
    </row>
    <row r="976" spans="1:4">
      <c r="A976" s="15"/>
      <c r="B976" s="15"/>
      <c r="C976" s="697"/>
      <c r="D976" s="914"/>
    </row>
    <row r="977" spans="1:4">
      <c r="A977" s="15"/>
      <c r="B977" s="15"/>
      <c r="C977" s="697"/>
      <c r="D977" s="914"/>
    </row>
    <row r="978" spans="1:4">
      <c r="A978" s="15"/>
      <c r="B978" s="15"/>
      <c r="C978" s="697"/>
      <c r="D978" s="914"/>
    </row>
    <row r="979" spans="1:4">
      <c r="A979" s="15"/>
      <c r="B979" s="15"/>
      <c r="C979" s="697"/>
      <c r="D979" s="914"/>
    </row>
    <row r="980" spans="1:4">
      <c r="A980" s="15"/>
      <c r="B980" s="15"/>
      <c r="C980" s="697"/>
      <c r="D980" s="914"/>
    </row>
    <row r="981" spans="1:4">
      <c r="A981" s="15"/>
      <c r="B981" s="15"/>
      <c r="C981" s="697"/>
      <c r="D981" s="914"/>
    </row>
    <row r="982" spans="1:4">
      <c r="A982" s="15"/>
      <c r="B982" s="15"/>
      <c r="C982" s="697"/>
      <c r="D982" s="914"/>
    </row>
    <row r="983" spans="1:4">
      <c r="A983" s="15"/>
      <c r="B983" s="15"/>
      <c r="C983" s="697"/>
      <c r="D983" s="914"/>
    </row>
    <row r="984" spans="1:4">
      <c r="A984" s="15"/>
      <c r="B984" s="15"/>
      <c r="C984" s="697"/>
      <c r="D984" s="914"/>
    </row>
    <row r="985" spans="1:4">
      <c r="A985" s="15"/>
      <c r="B985" s="15"/>
      <c r="C985" s="697"/>
      <c r="D985" s="914"/>
    </row>
    <row r="986" spans="1:4">
      <c r="A986" s="15"/>
      <c r="B986" s="15"/>
      <c r="C986" s="697"/>
      <c r="D986" s="914"/>
    </row>
    <row r="987" spans="1:4">
      <c r="A987" s="15"/>
      <c r="B987" s="15"/>
      <c r="C987" s="697"/>
      <c r="D987" s="914"/>
    </row>
    <row r="988" spans="1:4">
      <c r="A988" s="15"/>
      <c r="B988" s="15"/>
      <c r="C988" s="697"/>
      <c r="D988" s="914"/>
    </row>
    <row r="989" spans="1:4">
      <c r="A989" s="15"/>
      <c r="B989" s="15"/>
      <c r="C989" s="697"/>
      <c r="D989" s="914"/>
    </row>
    <row r="990" spans="1:4">
      <c r="A990" s="15"/>
      <c r="B990" s="15"/>
      <c r="C990" s="697"/>
      <c r="D990" s="914"/>
    </row>
    <row r="991" spans="1:4">
      <c r="A991" s="15"/>
      <c r="B991" s="15"/>
      <c r="C991" s="697"/>
      <c r="D991" s="914"/>
    </row>
    <row r="992" spans="1:4">
      <c r="A992" s="15"/>
      <c r="B992" s="15"/>
      <c r="C992" s="697"/>
      <c r="D992" s="914"/>
    </row>
    <row r="993" spans="1:4">
      <c r="A993" s="15"/>
      <c r="B993" s="15"/>
      <c r="C993" s="697"/>
      <c r="D993" s="914"/>
    </row>
    <row r="994" spans="1:4">
      <c r="A994" s="15"/>
      <c r="B994" s="15"/>
      <c r="C994" s="697"/>
      <c r="D994" s="914"/>
    </row>
    <row r="995" spans="1:4">
      <c r="A995" s="15"/>
      <c r="B995" s="15"/>
      <c r="C995" s="697"/>
      <c r="D995" s="914"/>
    </row>
    <row r="996" spans="1:4">
      <c r="A996" s="15"/>
      <c r="B996" s="15"/>
      <c r="C996" s="697"/>
      <c r="D996" s="914"/>
    </row>
    <row r="997" spans="1:4">
      <c r="A997" s="15"/>
      <c r="B997" s="15"/>
      <c r="C997" s="697"/>
      <c r="D997" s="914"/>
    </row>
    <row r="998" spans="1:4">
      <c r="A998" s="15"/>
      <c r="B998" s="15"/>
      <c r="C998" s="697"/>
      <c r="D998" s="914"/>
    </row>
    <row r="999" spans="1:4">
      <c r="A999" s="15"/>
      <c r="B999" s="15"/>
      <c r="C999" s="697"/>
      <c r="D999" s="914"/>
    </row>
    <row r="1000" spans="1:4">
      <c r="A1000" s="15"/>
      <c r="B1000" s="15"/>
      <c r="C1000" s="697"/>
      <c r="D1000" s="914"/>
    </row>
    <row r="1001" spans="1:4">
      <c r="A1001" s="15"/>
      <c r="B1001" s="15"/>
      <c r="C1001" s="697"/>
      <c r="D1001" s="914"/>
    </row>
    <row r="1002" spans="1:4">
      <c r="A1002" s="15"/>
      <c r="B1002" s="15"/>
      <c r="C1002" s="697"/>
      <c r="D1002" s="914"/>
    </row>
    <row r="1003" spans="1:4">
      <c r="A1003" s="15"/>
      <c r="B1003" s="15"/>
      <c r="C1003" s="697"/>
      <c r="D1003" s="914"/>
    </row>
    <row r="1004" spans="1:4">
      <c r="A1004" s="15"/>
      <c r="B1004" s="15"/>
      <c r="C1004" s="697"/>
      <c r="D1004" s="914"/>
    </row>
    <row r="1005" spans="1:4">
      <c r="A1005" s="15"/>
      <c r="B1005" s="15"/>
      <c r="C1005" s="697"/>
      <c r="D1005" s="914"/>
    </row>
    <row r="1006" spans="1:4">
      <c r="A1006" s="15"/>
      <c r="B1006" s="15"/>
      <c r="C1006" s="697"/>
      <c r="D1006" s="914"/>
    </row>
    <row r="1007" spans="1:4">
      <c r="A1007" s="15"/>
      <c r="B1007" s="15"/>
      <c r="C1007" s="697"/>
      <c r="D1007" s="914"/>
    </row>
    <row r="1008" spans="1:4">
      <c r="A1008" s="15"/>
      <c r="B1008" s="15"/>
      <c r="C1008" s="697"/>
      <c r="D1008" s="914"/>
    </row>
    <row r="1009" spans="1:4">
      <c r="A1009" s="15"/>
      <c r="B1009" s="15"/>
      <c r="C1009" s="697"/>
      <c r="D1009" s="914"/>
    </row>
    <row r="1010" spans="1:4">
      <c r="A1010" s="15"/>
      <c r="B1010" s="15"/>
      <c r="C1010" s="697"/>
      <c r="D1010" s="914"/>
    </row>
    <row r="1011" spans="1:4">
      <c r="A1011" s="15"/>
      <c r="B1011" s="15"/>
      <c r="C1011" s="697"/>
      <c r="D1011" s="914"/>
    </row>
    <row r="1012" spans="1:4">
      <c r="A1012" s="15"/>
      <c r="B1012" s="15"/>
      <c r="C1012" s="697"/>
      <c r="D1012" s="914"/>
    </row>
    <row r="1013" spans="1:4">
      <c r="A1013" s="15"/>
      <c r="B1013" s="15"/>
      <c r="C1013" s="697"/>
      <c r="D1013" s="914"/>
    </row>
    <row r="1014" spans="1:4">
      <c r="A1014" s="15"/>
      <c r="B1014" s="15"/>
      <c r="C1014" s="697"/>
      <c r="D1014" s="914"/>
    </row>
    <row r="1015" spans="1:4">
      <c r="A1015" s="15"/>
      <c r="B1015" s="15"/>
      <c r="C1015" s="697"/>
      <c r="D1015" s="914"/>
    </row>
    <row r="1016" spans="1:4">
      <c r="A1016" s="15"/>
      <c r="B1016" s="15"/>
      <c r="C1016" s="697"/>
      <c r="D1016" s="914"/>
    </row>
    <row r="1017" spans="1:4">
      <c r="A1017" s="15"/>
      <c r="B1017" s="15"/>
      <c r="C1017" s="697"/>
      <c r="D1017" s="914"/>
    </row>
    <row r="1018" spans="1:4">
      <c r="A1018" s="15"/>
      <c r="B1018" s="15"/>
      <c r="C1018" s="697"/>
      <c r="D1018" s="914"/>
    </row>
    <row r="1019" spans="1:4">
      <c r="A1019" s="15"/>
      <c r="B1019" s="15"/>
      <c r="C1019" s="697"/>
      <c r="D1019" s="914"/>
    </row>
    <row r="1020" spans="1:4">
      <c r="A1020" s="15"/>
      <c r="B1020" s="15"/>
      <c r="C1020" s="697"/>
      <c r="D1020" s="914"/>
    </row>
    <row r="1021" spans="1:4">
      <c r="A1021" s="15"/>
      <c r="B1021" s="15"/>
      <c r="C1021" s="697"/>
      <c r="D1021" s="914"/>
    </row>
    <row r="1022" spans="1:4">
      <c r="A1022" s="15"/>
      <c r="B1022" s="15"/>
      <c r="C1022" s="697"/>
      <c r="D1022" s="914"/>
    </row>
    <row r="1023" spans="1:4">
      <c r="A1023" s="15"/>
      <c r="B1023" s="15"/>
      <c r="C1023" s="697"/>
      <c r="D1023" s="914"/>
    </row>
    <row r="1024" spans="1:4">
      <c r="A1024" s="15"/>
      <c r="B1024" s="15"/>
      <c r="C1024" s="697"/>
      <c r="D1024" s="914"/>
    </row>
    <row r="1025" spans="1:4">
      <c r="A1025" s="15"/>
      <c r="B1025" s="15"/>
      <c r="C1025" s="697"/>
      <c r="D1025" s="914"/>
    </row>
    <row r="1026" spans="1:4">
      <c r="A1026" s="15"/>
      <c r="B1026" s="15"/>
      <c r="C1026" s="697"/>
      <c r="D1026" s="914"/>
    </row>
    <row r="1027" spans="1:4">
      <c r="A1027" s="15"/>
      <c r="B1027" s="15"/>
      <c r="C1027" s="697"/>
      <c r="D1027" s="914"/>
    </row>
    <row r="1028" spans="1:4">
      <c r="A1028" s="15"/>
      <c r="B1028" s="15"/>
      <c r="C1028" s="697"/>
      <c r="D1028" s="914"/>
    </row>
    <row r="1029" spans="1:4">
      <c r="A1029" s="15"/>
      <c r="B1029" s="15"/>
      <c r="C1029" s="697"/>
      <c r="D1029" s="914"/>
    </row>
    <row r="1030" spans="1:4">
      <c r="A1030" s="15"/>
      <c r="B1030" s="15"/>
      <c r="C1030" s="697"/>
      <c r="D1030" s="914"/>
    </row>
    <row r="1031" spans="1:4">
      <c r="A1031" s="15"/>
      <c r="B1031" s="15"/>
      <c r="C1031" s="697"/>
      <c r="D1031" s="914"/>
    </row>
    <row r="1032" spans="1:4">
      <c r="A1032" s="15"/>
      <c r="B1032" s="15"/>
      <c r="C1032" s="697"/>
      <c r="D1032" s="914"/>
    </row>
    <row r="1033" spans="1:4">
      <c r="A1033" s="15"/>
      <c r="B1033" s="15"/>
      <c r="C1033" s="697"/>
      <c r="D1033" s="914"/>
    </row>
    <row r="1034" spans="1:4">
      <c r="A1034" s="15"/>
      <c r="B1034" s="15"/>
      <c r="C1034" s="697"/>
      <c r="D1034" s="914"/>
    </row>
    <row r="1035" spans="1:4">
      <c r="A1035" s="15"/>
      <c r="B1035" s="15"/>
      <c r="C1035" s="697"/>
      <c r="D1035" s="914"/>
    </row>
    <row r="1036" spans="1:4">
      <c r="A1036" s="15"/>
      <c r="B1036" s="15"/>
      <c r="C1036" s="697"/>
      <c r="D1036" s="914"/>
    </row>
    <row r="1037" spans="1:4">
      <c r="A1037" s="15"/>
      <c r="B1037" s="15"/>
      <c r="C1037" s="697"/>
      <c r="D1037" s="914"/>
    </row>
    <row r="1038" spans="1:4">
      <c r="A1038" s="15"/>
      <c r="B1038" s="15"/>
      <c r="C1038" s="697"/>
      <c r="D1038" s="914"/>
    </row>
    <row r="1039" spans="1:4">
      <c r="A1039" s="15"/>
      <c r="B1039" s="15"/>
      <c r="C1039" s="697"/>
      <c r="D1039" s="914"/>
    </row>
    <row r="1040" spans="1:4">
      <c r="A1040" s="15"/>
      <c r="B1040" s="15"/>
      <c r="C1040" s="697"/>
      <c r="D1040" s="914"/>
    </row>
    <row r="1041" spans="1:4">
      <c r="A1041" s="15"/>
      <c r="B1041" s="15"/>
      <c r="C1041" s="697"/>
      <c r="D1041" s="914"/>
    </row>
    <row r="1042" spans="1:4">
      <c r="A1042" s="15"/>
      <c r="B1042" s="15"/>
      <c r="C1042" s="697"/>
      <c r="D1042" s="914"/>
    </row>
    <row r="1043" spans="1:4">
      <c r="A1043" s="15"/>
      <c r="B1043" s="15"/>
      <c r="C1043" s="697"/>
      <c r="D1043" s="914"/>
    </row>
    <row r="1044" spans="1:4">
      <c r="A1044" s="15"/>
      <c r="B1044" s="15"/>
      <c r="C1044" s="697"/>
      <c r="D1044" s="914"/>
    </row>
    <row r="1045" spans="1:4">
      <c r="A1045" s="15"/>
      <c r="B1045" s="15"/>
      <c r="C1045" s="697"/>
      <c r="D1045" s="914"/>
    </row>
    <row r="1046" spans="1:4">
      <c r="A1046" s="15"/>
      <c r="B1046" s="15"/>
      <c r="C1046" s="697"/>
      <c r="D1046" s="914"/>
    </row>
    <row r="1047" spans="1:4">
      <c r="A1047" s="15"/>
      <c r="B1047" s="15"/>
      <c r="C1047" s="697"/>
      <c r="D1047" s="914"/>
    </row>
    <row r="1048" spans="1:4">
      <c r="A1048" s="15"/>
      <c r="B1048" s="15"/>
      <c r="C1048" s="697"/>
      <c r="D1048" s="914"/>
    </row>
    <row r="1049" spans="1:4">
      <c r="A1049" s="15"/>
      <c r="B1049" s="15"/>
      <c r="C1049" s="697"/>
      <c r="D1049" s="914"/>
    </row>
    <row r="1050" spans="1:4">
      <c r="A1050" s="15"/>
      <c r="B1050" s="15"/>
      <c r="C1050" s="697"/>
      <c r="D1050" s="914"/>
    </row>
    <row r="1051" spans="1:4">
      <c r="A1051" s="15"/>
      <c r="B1051" s="15"/>
      <c r="C1051" s="697"/>
      <c r="D1051" s="914"/>
    </row>
    <row r="1052" spans="1:4">
      <c r="A1052" s="15"/>
      <c r="B1052" s="15"/>
      <c r="C1052" s="697"/>
      <c r="D1052" s="914"/>
    </row>
    <row r="1053" spans="1:4">
      <c r="A1053" s="15"/>
      <c r="B1053" s="15"/>
      <c r="C1053" s="697"/>
      <c r="D1053" s="914"/>
    </row>
    <row r="1054" spans="1:4">
      <c r="A1054" s="15"/>
      <c r="B1054" s="15"/>
      <c r="C1054" s="697"/>
      <c r="D1054" s="914"/>
    </row>
    <row r="1055" spans="1:4">
      <c r="A1055" s="15"/>
      <c r="B1055" s="15"/>
      <c r="C1055" s="697"/>
      <c r="D1055" s="914"/>
    </row>
    <row r="1056" spans="1:4">
      <c r="A1056" s="15"/>
      <c r="B1056" s="15"/>
      <c r="C1056" s="697"/>
      <c r="D1056" s="914"/>
    </row>
    <row r="1057" spans="1:4">
      <c r="A1057" s="15"/>
      <c r="B1057" s="15"/>
      <c r="C1057" s="697"/>
      <c r="D1057" s="914"/>
    </row>
    <row r="1058" spans="1:4">
      <c r="A1058" s="15"/>
      <c r="B1058" s="15"/>
      <c r="C1058" s="697"/>
      <c r="D1058" s="914"/>
    </row>
    <row r="1059" spans="1:4">
      <c r="A1059" s="15"/>
      <c r="B1059" s="15"/>
      <c r="C1059" s="697"/>
      <c r="D1059" s="914"/>
    </row>
    <row r="1060" spans="1:4">
      <c r="A1060" s="15"/>
      <c r="B1060" s="15"/>
      <c r="C1060" s="697"/>
      <c r="D1060" s="914"/>
    </row>
    <row r="1061" spans="1:4">
      <c r="A1061" s="15"/>
      <c r="B1061" s="15"/>
      <c r="C1061" s="697"/>
      <c r="D1061" s="914"/>
    </row>
    <row r="1062" spans="1:4">
      <c r="A1062" s="15"/>
      <c r="B1062" s="15"/>
      <c r="C1062" s="697"/>
      <c r="D1062" s="914"/>
    </row>
    <row r="1063" spans="1:4">
      <c r="A1063" s="15"/>
      <c r="B1063" s="15"/>
      <c r="C1063" s="697"/>
      <c r="D1063" s="914"/>
    </row>
    <row r="1064" spans="1:4">
      <c r="A1064" s="15"/>
      <c r="B1064" s="15"/>
      <c r="C1064" s="697"/>
      <c r="D1064" s="914"/>
    </row>
    <row r="1065" spans="1:4">
      <c r="A1065" s="15"/>
      <c r="B1065" s="15"/>
      <c r="C1065" s="697"/>
      <c r="D1065" s="914"/>
    </row>
    <row r="1066" spans="1:4">
      <c r="A1066" s="15"/>
      <c r="B1066" s="15"/>
      <c r="C1066" s="697"/>
      <c r="D1066" s="914"/>
    </row>
    <row r="1067" spans="1:4">
      <c r="A1067" s="15"/>
      <c r="B1067" s="15"/>
      <c r="C1067" s="697"/>
      <c r="D1067" s="914"/>
    </row>
    <row r="1068" spans="1:4">
      <c r="A1068" s="15"/>
      <c r="B1068" s="15"/>
      <c r="C1068" s="697"/>
      <c r="D1068" s="914"/>
    </row>
    <row r="1069" spans="1:4">
      <c r="A1069" s="15"/>
      <c r="B1069" s="15"/>
      <c r="C1069" s="697"/>
      <c r="D1069" s="914"/>
    </row>
    <row r="1070" spans="1:4">
      <c r="A1070" s="15"/>
      <c r="B1070" s="15"/>
      <c r="C1070" s="697"/>
      <c r="D1070" s="914"/>
    </row>
    <row r="1071" spans="1:4">
      <c r="A1071" s="15"/>
      <c r="B1071" s="15"/>
      <c r="C1071" s="697"/>
      <c r="D1071" s="914"/>
    </row>
    <row r="1072" spans="1:4">
      <c r="A1072" s="15"/>
      <c r="B1072" s="15"/>
      <c r="C1072" s="697"/>
      <c r="D1072" s="914"/>
    </row>
    <row r="1073" spans="1:4">
      <c r="A1073" s="15"/>
      <c r="B1073" s="15"/>
      <c r="C1073" s="697"/>
      <c r="D1073" s="914"/>
    </row>
    <row r="1074" spans="1:4">
      <c r="A1074" s="15"/>
      <c r="B1074" s="15"/>
      <c r="C1074" s="697"/>
      <c r="D1074" s="914"/>
    </row>
    <row r="1075" spans="1:4">
      <c r="A1075" s="15"/>
      <c r="B1075" s="15"/>
      <c r="C1075" s="697"/>
      <c r="D1075" s="914"/>
    </row>
    <row r="1076" spans="1:4">
      <c r="A1076" s="15"/>
      <c r="B1076" s="15"/>
      <c r="C1076" s="697"/>
      <c r="D1076" s="914"/>
    </row>
    <row r="1077" spans="1:4">
      <c r="A1077" s="15"/>
      <c r="B1077" s="15"/>
      <c r="C1077" s="697"/>
      <c r="D1077" s="914"/>
    </row>
    <row r="1078" spans="1:4">
      <c r="A1078" s="15"/>
      <c r="B1078" s="15"/>
      <c r="C1078" s="697"/>
      <c r="D1078" s="914"/>
    </row>
    <row r="1079" spans="1:4">
      <c r="A1079" s="15"/>
      <c r="B1079" s="15"/>
      <c r="C1079" s="697"/>
      <c r="D1079" s="914"/>
    </row>
    <row r="1080" spans="1:4">
      <c r="A1080" s="15"/>
      <c r="B1080" s="15"/>
      <c r="C1080" s="697"/>
      <c r="D1080" s="914"/>
    </row>
    <row r="1081" spans="1:4">
      <c r="A1081" s="15"/>
      <c r="B1081" s="15"/>
      <c r="C1081" s="697"/>
      <c r="D1081" s="914"/>
    </row>
    <row r="1082" spans="1:4">
      <c r="A1082" s="15"/>
      <c r="B1082" s="15"/>
      <c r="C1082" s="697"/>
      <c r="D1082" s="914"/>
    </row>
    <row r="1083" spans="1:4">
      <c r="A1083" s="15"/>
      <c r="B1083" s="15"/>
      <c r="C1083" s="697"/>
      <c r="D1083" s="914"/>
    </row>
    <row r="1084" spans="1:4">
      <c r="A1084" s="15"/>
      <c r="B1084" s="15"/>
      <c r="C1084" s="697"/>
      <c r="D1084" s="914"/>
    </row>
    <row r="1085" spans="1:4">
      <c r="A1085" s="15"/>
      <c r="B1085" s="15"/>
      <c r="C1085" s="697"/>
      <c r="D1085" s="914"/>
    </row>
    <row r="1086" spans="1:4">
      <c r="A1086" s="15"/>
      <c r="B1086" s="15"/>
      <c r="C1086" s="697"/>
      <c r="D1086" s="914"/>
    </row>
    <row r="1087" spans="1:4">
      <c r="A1087" s="15"/>
      <c r="B1087" s="15"/>
      <c r="C1087" s="697"/>
      <c r="D1087" s="914"/>
    </row>
    <row r="1088" spans="1:4">
      <c r="A1088" s="15"/>
      <c r="B1088" s="15"/>
      <c r="C1088" s="697"/>
      <c r="D1088" s="914"/>
    </row>
    <row r="1089" spans="1:4">
      <c r="A1089" s="15"/>
      <c r="B1089" s="15"/>
      <c r="C1089" s="697"/>
      <c r="D1089" s="914"/>
    </row>
    <row r="1090" spans="1:4">
      <c r="A1090" s="15"/>
      <c r="B1090" s="15"/>
      <c r="C1090" s="697"/>
      <c r="D1090" s="914"/>
    </row>
    <row r="1091" spans="1:4">
      <c r="A1091" s="15"/>
      <c r="B1091" s="15"/>
      <c r="C1091" s="697"/>
      <c r="D1091" s="914"/>
    </row>
    <row r="1092" spans="1:4">
      <c r="A1092" s="15"/>
      <c r="B1092" s="15"/>
      <c r="C1092" s="697"/>
      <c r="D1092" s="914"/>
    </row>
    <row r="1093" spans="1:4">
      <c r="A1093" s="15"/>
      <c r="B1093" s="15"/>
      <c r="C1093" s="697"/>
      <c r="D1093" s="914"/>
    </row>
    <row r="1094" spans="1:4">
      <c r="A1094" s="15"/>
      <c r="B1094" s="15"/>
      <c r="C1094" s="697"/>
      <c r="D1094" s="914"/>
    </row>
    <row r="1095" spans="1:4">
      <c r="A1095" s="15"/>
      <c r="B1095" s="15"/>
      <c r="C1095" s="697"/>
      <c r="D1095" s="914"/>
    </row>
    <row r="1096" spans="1:4">
      <c r="A1096" s="15"/>
      <c r="B1096" s="15"/>
      <c r="C1096" s="697"/>
      <c r="D1096" s="914"/>
    </row>
    <row r="1097" spans="1:4">
      <c r="A1097" s="15"/>
      <c r="B1097" s="15"/>
      <c r="C1097" s="697"/>
      <c r="D1097" s="914"/>
    </row>
    <row r="1098" spans="1:4">
      <c r="A1098" s="15"/>
      <c r="B1098" s="15"/>
      <c r="C1098" s="697"/>
      <c r="D1098" s="914"/>
    </row>
    <row r="1099" spans="1:4">
      <c r="A1099" s="15"/>
      <c r="B1099" s="15"/>
      <c r="C1099" s="697"/>
      <c r="D1099" s="914"/>
    </row>
    <row r="1100" spans="1:4">
      <c r="A1100" s="15"/>
      <c r="B1100" s="15"/>
      <c r="C1100" s="697"/>
      <c r="D1100" s="914"/>
    </row>
    <row r="1101" spans="1:4">
      <c r="A1101" s="15"/>
      <c r="B1101" s="15"/>
      <c r="C1101" s="697"/>
      <c r="D1101" s="914"/>
    </row>
    <row r="1102" spans="1:4">
      <c r="A1102" s="15"/>
      <c r="B1102" s="15"/>
      <c r="C1102" s="697"/>
      <c r="D1102" s="914"/>
    </row>
    <row r="1103" spans="1:4">
      <c r="A1103" s="15"/>
      <c r="B1103" s="15"/>
      <c r="C1103" s="697"/>
      <c r="D1103" s="914"/>
    </row>
    <row r="1104" spans="1:4">
      <c r="A1104" s="15"/>
      <c r="B1104" s="15"/>
      <c r="C1104" s="697"/>
      <c r="D1104" s="914"/>
    </row>
    <row r="1105" spans="1:4">
      <c r="A1105" s="15"/>
      <c r="B1105" s="15"/>
      <c r="C1105" s="697"/>
      <c r="D1105" s="914"/>
    </row>
    <row r="1106" spans="1:4">
      <c r="A1106" s="15"/>
      <c r="B1106" s="15"/>
      <c r="C1106" s="697"/>
      <c r="D1106" s="914"/>
    </row>
    <row r="1107" spans="1:4">
      <c r="A1107" s="15"/>
      <c r="B1107" s="15"/>
      <c r="C1107" s="697"/>
      <c r="D1107" s="914"/>
    </row>
    <row r="1108" spans="1:4">
      <c r="A1108" s="15"/>
      <c r="B1108" s="15"/>
      <c r="C1108" s="697"/>
      <c r="D1108" s="914"/>
    </row>
    <row r="1109" spans="1:4">
      <c r="A1109" s="15"/>
      <c r="B1109" s="15"/>
      <c r="C1109" s="697"/>
      <c r="D1109" s="914"/>
    </row>
    <row r="1110" spans="1:4">
      <c r="A1110" s="15"/>
      <c r="B1110" s="15"/>
      <c r="C1110" s="697"/>
      <c r="D1110" s="914"/>
    </row>
    <row r="1111" spans="1:4">
      <c r="A1111" s="15"/>
      <c r="B1111" s="15"/>
      <c r="C1111" s="697"/>
      <c r="D1111" s="914"/>
    </row>
    <row r="1112" spans="1:4">
      <c r="A1112" s="15"/>
      <c r="B1112" s="15"/>
      <c r="C1112" s="697"/>
      <c r="D1112" s="914"/>
    </row>
    <row r="1113" spans="1:4">
      <c r="A1113" s="15"/>
      <c r="B1113" s="15"/>
      <c r="C1113" s="697"/>
      <c r="D1113" s="914"/>
    </row>
    <row r="1114" spans="1:4">
      <c r="A1114" s="15"/>
      <c r="B1114" s="15"/>
      <c r="C1114" s="697"/>
      <c r="D1114" s="914"/>
    </row>
    <row r="1115" spans="1:4">
      <c r="A1115" s="15"/>
      <c r="B1115" s="15"/>
      <c r="C1115" s="697"/>
      <c r="D1115" s="914"/>
    </row>
    <row r="1116" spans="1:4">
      <c r="A1116" s="15"/>
      <c r="B1116" s="15"/>
      <c r="C1116" s="697"/>
      <c r="D1116" s="914"/>
    </row>
    <row r="1117" spans="1:4">
      <c r="A1117" s="15"/>
      <c r="B1117" s="15"/>
      <c r="C1117" s="697"/>
      <c r="D1117" s="914"/>
    </row>
    <row r="1118" spans="1:4">
      <c r="A1118" s="15"/>
      <c r="B1118" s="15"/>
      <c r="C1118" s="697"/>
      <c r="D1118" s="914"/>
    </row>
    <row r="1119" spans="1:4">
      <c r="A1119" s="15"/>
      <c r="B1119" s="15"/>
      <c r="C1119" s="697"/>
      <c r="D1119" s="914"/>
    </row>
    <row r="1120" spans="1:4">
      <c r="A1120" s="15"/>
      <c r="B1120" s="15"/>
      <c r="C1120" s="697"/>
      <c r="D1120" s="914"/>
    </row>
    <row r="1121" spans="1:4">
      <c r="A1121" s="15"/>
      <c r="B1121" s="15"/>
      <c r="C1121" s="697"/>
      <c r="D1121" s="914"/>
    </row>
    <row r="1122" spans="1:4">
      <c r="A1122" s="15"/>
      <c r="B1122" s="15"/>
      <c r="C1122" s="697"/>
      <c r="D1122" s="914"/>
    </row>
    <row r="1123" spans="1:4">
      <c r="A1123" s="15"/>
      <c r="B1123" s="15"/>
      <c r="C1123" s="697"/>
      <c r="D1123" s="914"/>
    </row>
    <row r="1124" spans="1:4">
      <c r="A1124" s="15"/>
      <c r="B1124" s="15"/>
      <c r="C1124" s="697"/>
      <c r="D1124" s="914"/>
    </row>
    <row r="1125" spans="1:4">
      <c r="A1125" s="15"/>
      <c r="B1125" s="15"/>
      <c r="C1125" s="697"/>
      <c r="D1125" s="914"/>
    </row>
    <row r="1126" spans="1:4">
      <c r="A1126" s="15"/>
      <c r="B1126" s="15"/>
      <c r="C1126" s="697"/>
      <c r="D1126" s="914"/>
    </row>
    <row r="1127" spans="1:4">
      <c r="A1127" s="15"/>
      <c r="B1127" s="15"/>
      <c r="C1127" s="697"/>
      <c r="D1127" s="914"/>
    </row>
    <row r="1128" spans="1:4">
      <c r="A1128" s="15"/>
      <c r="B1128" s="15"/>
      <c r="C1128" s="697"/>
      <c r="D1128" s="914"/>
    </row>
    <row r="1129" spans="1:4">
      <c r="A1129" s="15"/>
      <c r="B1129" s="15"/>
      <c r="C1129" s="697"/>
      <c r="D1129" s="914"/>
    </row>
    <row r="1130" spans="1:4">
      <c r="A1130" s="15"/>
      <c r="B1130" s="15"/>
      <c r="C1130" s="697"/>
      <c r="D1130" s="914"/>
    </row>
    <row r="1131" spans="1:4">
      <c r="A1131" s="15"/>
      <c r="B1131" s="15"/>
      <c r="C1131" s="697"/>
      <c r="D1131" s="914"/>
    </row>
    <row r="1132" spans="1:4">
      <c r="A1132" s="15"/>
      <c r="B1132" s="15"/>
      <c r="C1132" s="697"/>
      <c r="D1132" s="914"/>
    </row>
    <row r="1133" spans="1:4">
      <c r="A1133" s="15"/>
      <c r="B1133" s="15"/>
      <c r="C1133" s="697"/>
      <c r="D1133" s="914"/>
    </row>
    <row r="1134" spans="1:4">
      <c r="A1134" s="15"/>
      <c r="B1134" s="15"/>
      <c r="C1134" s="697"/>
      <c r="D1134" s="914"/>
    </row>
    <row r="1135" spans="1:4">
      <c r="A1135" s="15"/>
      <c r="B1135" s="15"/>
      <c r="C1135" s="697"/>
      <c r="D1135" s="914"/>
    </row>
    <row r="1136" spans="1:4">
      <c r="A1136" s="15"/>
      <c r="B1136" s="15"/>
      <c r="C1136" s="697"/>
      <c r="D1136" s="914"/>
    </row>
    <row r="1137" spans="1:4">
      <c r="A1137" s="15"/>
      <c r="B1137" s="15"/>
      <c r="C1137" s="697"/>
      <c r="D1137" s="914"/>
    </row>
    <row r="1138" spans="1:4">
      <c r="A1138" s="15"/>
      <c r="B1138" s="15"/>
      <c r="C1138" s="697"/>
      <c r="D1138" s="914"/>
    </row>
    <row r="1139" spans="1:4">
      <c r="A1139" s="15"/>
      <c r="B1139" s="15"/>
      <c r="C1139" s="697"/>
      <c r="D1139" s="914"/>
    </row>
    <row r="1140" spans="1:4">
      <c r="A1140" s="15"/>
      <c r="B1140" s="15"/>
      <c r="C1140" s="697"/>
      <c r="D1140" s="914"/>
    </row>
    <row r="1141" spans="1:4">
      <c r="A1141" s="15"/>
      <c r="B1141" s="15"/>
      <c r="C1141" s="697"/>
      <c r="D1141" s="914"/>
    </row>
    <row r="1142" spans="1:4">
      <c r="A1142" s="15"/>
      <c r="B1142" s="15"/>
      <c r="C1142" s="697"/>
      <c r="D1142" s="914"/>
    </row>
    <row r="1143" spans="1:4">
      <c r="A1143" s="15"/>
      <c r="B1143" s="15"/>
      <c r="C1143" s="697"/>
      <c r="D1143" s="914"/>
    </row>
    <row r="1144" spans="1:4">
      <c r="A1144" s="15"/>
      <c r="B1144" s="15"/>
      <c r="C1144" s="697"/>
      <c r="D1144" s="914"/>
    </row>
    <row r="1145" spans="1:4">
      <c r="A1145" s="15"/>
      <c r="B1145" s="15"/>
      <c r="C1145" s="697"/>
      <c r="D1145" s="914"/>
    </row>
    <row r="1146" spans="1:4">
      <c r="A1146" s="15"/>
      <c r="B1146" s="15"/>
      <c r="C1146" s="697"/>
      <c r="D1146" s="914"/>
    </row>
    <row r="1147" spans="1:4">
      <c r="A1147" s="15"/>
      <c r="B1147" s="15"/>
      <c r="C1147" s="697"/>
      <c r="D1147" s="914"/>
    </row>
    <row r="1148" spans="1:4">
      <c r="A1148" s="15"/>
      <c r="B1148" s="15"/>
      <c r="C1148" s="697"/>
      <c r="D1148" s="914"/>
    </row>
    <row r="1149" spans="1:4">
      <c r="A1149" s="15"/>
      <c r="B1149" s="15"/>
      <c r="C1149" s="697"/>
      <c r="D1149" s="914"/>
    </row>
    <row r="1150" spans="1:4">
      <c r="A1150" s="15"/>
      <c r="B1150" s="15"/>
      <c r="C1150" s="697"/>
      <c r="D1150" s="914"/>
    </row>
    <row r="1151" spans="1:4">
      <c r="A1151" s="15"/>
      <c r="B1151" s="15"/>
      <c r="C1151" s="697"/>
      <c r="D1151" s="914"/>
    </row>
    <row r="1152" spans="1:4">
      <c r="A1152" s="15"/>
      <c r="B1152" s="15"/>
      <c r="C1152" s="697"/>
      <c r="D1152" s="914"/>
    </row>
    <row r="1153" spans="1:4">
      <c r="A1153" s="15"/>
      <c r="B1153" s="15"/>
      <c r="C1153" s="697"/>
      <c r="D1153" s="914"/>
    </row>
    <row r="1154" spans="1:4">
      <c r="A1154" s="15"/>
      <c r="B1154" s="15"/>
      <c r="C1154" s="697"/>
      <c r="D1154" s="914"/>
    </row>
    <row r="1155" spans="1:4">
      <c r="A1155" s="15"/>
      <c r="B1155" s="15"/>
      <c r="C1155" s="697"/>
      <c r="D1155" s="914"/>
    </row>
    <row r="1156" spans="1:4">
      <c r="A1156" s="15"/>
      <c r="B1156" s="15"/>
      <c r="C1156" s="697"/>
      <c r="D1156" s="914"/>
    </row>
    <row r="1157" spans="1:4">
      <c r="A1157" s="15"/>
      <c r="B1157" s="15"/>
      <c r="C1157" s="697"/>
      <c r="D1157" s="914"/>
    </row>
    <row r="1158" spans="1:4">
      <c r="A1158" s="15"/>
      <c r="B1158" s="15"/>
      <c r="C1158" s="697"/>
      <c r="D1158" s="914"/>
    </row>
    <row r="1159" spans="1:4">
      <c r="A1159" s="15"/>
      <c r="B1159" s="15"/>
      <c r="C1159" s="697"/>
      <c r="D1159" s="914"/>
    </row>
    <row r="1160" spans="1:4">
      <c r="A1160" s="15"/>
      <c r="B1160" s="15"/>
      <c r="C1160" s="697"/>
      <c r="D1160" s="914"/>
    </row>
    <row r="1161" spans="1:4">
      <c r="A1161" s="15"/>
      <c r="B1161" s="15"/>
      <c r="C1161" s="697"/>
      <c r="D1161" s="914"/>
    </row>
    <row r="1162" spans="1:4">
      <c r="A1162" s="15"/>
      <c r="B1162" s="15"/>
      <c r="C1162" s="697"/>
      <c r="D1162" s="914"/>
    </row>
    <row r="1163" spans="1:4">
      <c r="A1163" s="15"/>
      <c r="B1163" s="15"/>
      <c r="C1163" s="697"/>
      <c r="D1163" s="914"/>
    </row>
    <row r="1164" spans="1:4">
      <c r="A1164" s="15"/>
      <c r="B1164" s="15"/>
      <c r="C1164" s="697"/>
      <c r="D1164" s="914"/>
    </row>
    <row r="1165" spans="1:4">
      <c r="A1165" s="15"/>
      <c r="B1165" s="15"/>
      <c r="C1165" s="697"/>
      <c r="D1165" s="914"/>
    </row>
    <row r="1166" spans="1:4">
      <c r="A1166" s="15"/>
      <c r="B1166" s="15"/>
      <c r="C1166" s="697"/>
      <c r="D1166" s="914"/>
    </row>
    <row r="1167" spans="1:4">
      <c r="A1167" s="15"/>
      <c r="B1167" s="15"/>
      <c r="C1167" s="697"/>
      <c r="D1167" s="914"/>
    </row>
    <row r="1168" spans="1:4">
      <c r="A1168" s="15"/>
      <c r="B1168" s="15"/>
      <c r="C1168" s="697"/>
      <c r="D1168" s="914"/>
    </row>
    <row r="1169" spans="1:4">
      <c r="A1169" s="15"/>
      <c r="B1169" s="15"/>
      <c r="C1169" s="697"/>
      <c r="D1169" s="914"/>
    </row>
    <row r="1170" spans="1:4">
      <c r="A1170" s="15"/>
      <c r="B1170" s="15"/>
      <c r="C1170" s="697"/>
      <c r="D1170" s="914"/>
    </row>
    <row r="1171" spans="1:4">
      <c r="A1171" s="15"/>
      <c r="B1171" s="15"/>
      <c r="C1171" s="697"/>
      <c r="D1171" s="914"/>
    </row>
    <row r="1172" spans="1:4">
      <c r="A1172" s="15"/>
      <c r="B1172" s="15"/>
      <c r="C1172" s="697"/>
      <c r="D1172" s="914"/>
    </row>
    <row r="1173" spans="1:4">
      <c r="A1173" s="15"/>
      <c r="B1173" s="15"/>
      <c r="C1173" s="697"/>
      <c r="D1173" s="914"/>
    </row>
    <row r="1174" spans="1:4">
      <c r="A1174" s="15"/>
      <c r="B1174" s="15"/>
      <c r="C1174" s="697"/>
      <c r="D1174" s="914"/>
    </row>
    <row r="1175" spans="1:4">
      <c r="A1175" s="15"/>
      <c r="B1175" s="15"/>
      <c r="C1175" s="697"/>
      <c r="D1175" s="914"/>
    </row>
    <row r="1176" spans="1:4">
      <c r="A1176" s="15"/>
      <c r="B1176" s="15"/>
      <c r="C1176" s="697"/>
      <c r="D1176" s="914"/>
    </row>
    <row r="1177" spans="1:4">
      <c r="A1177" s="15"/>
      <c r="B1177" s="15"/>
      <c r="C1177" s="697"/>
      <c r="D1177" s="914"/>
    </row>
    <row r="1178" spans="1:4">
      <c r="A1178" s="15"/>
      <c r="B1178" s="15"/>
      <c r="C1178" s="697"/>
      <c r="D1178" s="914"/>
    </row>
    <row r="1179" spans="1:4">
      <c r="A1179" s="15"/>
      <c r="B1179" s="15"/>
      <c r="C1179" s="697"/>
      <c r="D1179" s="914"/>
    </row>
    <row r="1180" spans="1:4">
      <c r="A1180" s="15"/>
      <c r="B1180" s="15"/>
      <c r="C1180" s="697"/>
      <c r="D1180" s="914"/>
    </row>
    <row r="1181" spans="1:4">
      <c r="A1181" s="15"/>
      <c r="B1181" s="15"/>
      <c r="C1181" s="697"/>
      <c r="D1181" s="914"/>
    </row>
    <row r="1182" spans="1:4">
      <c r="A1182" s="15"/>
      <c r="B1182" s="15"/>
      <c r="C1182" s="697"/>
      <c r="D1182" s="914"/>
    </row>
    <row r="1183" spans="1:4">
      <c r="A1183" s="15"/>
      <c r="B1183" s="15"/>
      <c r="C1183" s="697"/>
      <c r="D1183" s="914"/>
    </row>
    <row r="1184" spans="1:4">
      <c r="A1184" s="15"/>
      <c r="B1184" s="15"/>
      <c r="C1184" s="697"/>
      <c r="D1184" s="914"/>
    </row>
    <row r="1185" spans="1:4">
      <c r="A1185" s="15"/>
      <c r="B1185" s="15"/>
      <c r="C1185" s="697"/>
      <c r="D1185" s="914"/>
    </row>
    <row r="1186" spans="1:4">
      <c r="A1186" s="15"/>
      <c r="B1186" s="15"/>
      <c r="C1186" s="697"/>
      <c r="D1186" s="914"/>
    </row>
    <row r="1187" spans="1:4">
      <c r="A1187" s="15"/>
      <c r="B1187" s="15"/>
      <c r="C1187" s="697"/>
      <c r="D1187" s="914"/>
    </row>
    <row r="1188" spans="1:4">
      <c r="A1188" s="15"/>
      <c r="B1188" s="15"/>
      <c r="C1188" s="697"/>
      <c r="D1188" s="914"/>
    </row>
    <row r="1189" spans="1:4">
      <c r="A1189" s="15"/>
      <c r="B1189" s="15"/>
      <c r="C1189" s="697"/>
      <c r="D1189" s="914"/>
    </row>
    <row r="1190" spans="1:4">
      <c r="A1190" s="15"/>
      <c r="B1190" s="15"/>
      <c r="C1190" s="697"/>
      <c r="D1190" s="914"/>
    </row>
    <row r="1191" spans="1:4">
      <c r="A1191" s="15"/>
      <c r="B1191" s="15"/>
      <c r="C1191" s="697"/>
      <c r="D1191" s="914"/>
    </row>
    <row r="1192" spans="1:4">
      <c r="A1192" s="15"/>
      <c r="B1192" s="15"/>
      <c r="C1192" s="697"/>
      <c r="D1192" s="914"/>
    </row>
    <row r="1193" spans="1:4">
      <c r="A1193" s="15"/>
      <c r="B1193" s="15"/>
      <c r="C1193" s="697"/>
      <c r="D1193" s="914"/>
    </row>
    <row r="1194" spans="1:4">
      <c r="A1194" s="15"/>
      <c r="B1194" s="15"/>
      <c r="C1194" s="697"/>
      <c r="D1194" s="914"/>
    </row>
    <row r="1195" spans="1:4">
      <c r="A1195" s="15"/>
      <c r="B1195" s="15"/>
      <c r="C1195" s="697"/>
      <c r="D1195" s="914"/>
    </row>
    <row r="1196" spans="1:4">
      <c r="A1196" s="15"/>
      <c r="B1196" s="15"/>
      <c r="C1196" s="697"/>
      <c r="D1196" s="914"/>
    </row>
    <row r="1197" spans="1:4">
      <c r="A1197" s="15"/>
      <c r="B1197" s="15"/>
      <c r="C1197" s="697"/>
      <c r="D1197" s="914"/>
    </row>
    <row r="1198" spans="1:4">
      <c r="A1198" s="15"/>
      <c r="B1198" s="15"/>
      <c r="C1198" s="697"/>
      <c r="D1198" s="914"/>
    </row>
    <row r="1199" spans="1:4">
      <c r="A1199" s="15"/>
      <c r="B1199" s="15"/>
      <c r="C1199" s="697"/>
      <c r="D1199" s="914"/>
    </row>
    <row r="1200" spans="1:4">
      <c r="A1200" s="15"/>
      <c r="B1200" s="15"/>
      <c r="C1200" s="697"/>
      <c r="D1200" s="914"/>
    </row>
    <row r="1201" spans="1:4">
      <c r="A1201" s="15"/>
      <c r="B1201" s="15"/>
      <c r="C1201" s="697"/>
      <c r="D1201" s="914"/>
    </row>
    <row r="1202" spans="1:4">
      <c r="A1202" s="15"/>
      <c r="B1202" s="15"/>
      <c r="C1202" s="697"/>
      <c r="D1202" s="914"/>
    </row>
    <row r="1203" spans="1:4">
      <c r="A1203" s="15"/>
      <c r="B1203" s="15"/>
      <c r="C1203" s="697"/>
      <c r="D1203" s="914"/>
    </row>
    <row r="1204" spans="1:4">
      <c r="A1204" s="15"/>
      <c r="B1204" s="15"/>
      <c r="C1204" s="697"/>
      <c r="D1204" s="914"/>
    </row>
    <row r="1205" spans="1:4">
      <c r="A1205" s="15"/>
      <c r="B1205" s="15"/>
      <c r="C1205" s="697"/>
      <c r="D1205" s="914"/>
    </row>
    <row r="1206" spans="1:4">
      <c r="A1206" s="15"/>
      <c r="B1206" s="15"/>
      <c r="C1206" s="697"/>
      <c r="D1206" s="914"/>
    </row>
    <row r="1207" spans="1:4">
      <c r="A1207" s="15"/>
      <c r="B1207" s="15"/>
      <c r="C1207" s="697"/>
      <c r="D1207" s="914"/>
    </row>
    <row r="1208" spans="1:4">
      <c r="A1208" s="15"/>
      <c r="B1208" s="15"/>
      <c r="C1208" s="697"/>
      <c r="D1208" s="914"/>
    </row>
    <row r="1209" spans="1:4">
      <c r="A1209" s="15"/>
      <c r="B1209" s="15"/>
      <c r="C1209" s="697"/>
      <c r="D1209" s="914"/>
    </row>
    <row r="1210" spans="1:4">
      <c r="A1210" s="15"/>
      <c r="B1210" s="15"/>
      <c r="C1210" s="697"/>
      <c r="D1210" s="914"/>
    </row>
    <row r="1211" spans="1:4">
      <c r="A1211" s="15"/>
      <c r="B1211" s="15"/>
      <c r="C1211" s="697"/>
      <c r="D1211" s="914"/>
    </row>
    <row r="1212" spans="1:4">
      <c r="A1212" s="15"/>
      <c r="B1212" s="15"/>
      <c r="C1212" s="697"/>
      <c r="D1212" s="914"/>
    </row>
    <row r="1213" spans="1:4">
      <c r="A1213" s="15"/>
      <c r="B1213" s="15"/>
      <c r="C1213" s="697"/>
      <c r="D1213" s="914"/>
    </row>
    <row r="1214" spans="1:4">
      <c r="A1214" s="15"/>
      <c r="B1214" s="15"/>
      <c r="C1214" s="697"/>
      <c r="D1214" s="914"/>
    </row>
    <row r="1215" spans="1:4">
      <c r="A1215" s="15"/>
      <c r="B1215" s="15"/>
      <c r="C1215" s="697"/>
      <c r="D1215" s="914"/>
    </row>
    <row r="1216" spans="1:4">
      <c r="A1216" s="15"/>
      <c r="B1216" s="15"/>
      <c r="C1216" s="697"/>
      <c r="D1216" s="914"/>
    </row>
    <row r="1217" spans="1:4">
      <c r="A1217" s="15"/>
      <c r="B1217" s="15"/>
      <c r="C1217" s="697"/>
      <c r="D1217" s="914"/>
    </row>
    <row r="1218" spans="1:4">
      <c r="A1218" s="15"/>
      <c r="B1218" s="15"/>
      <c r="C1218" s="697"/>
      <c r="D1218" s="914"/>
    </row>
    <row r="1219" spans="1:4">
      <c r="A1219" s="15"/>
      <c r="B1219" s="15"/>
      <c r="C1219" s="697"/>
      <c r="D1219" s="914"/>
    </row>
    <row r="1220" spans="1:4">
      <c r="A1220" s="15"/>
      <c r="B1220" s="15"/>
      <c r="C1220" s="697"/>
      <c r="D1220" s="914"/>
    </row>
    <row r="1221" spans="1:4">
      <c r="A1221" s="15"/>
      <c r="B1221" s="15"/>
      <c r="C1221" s="697"/>
      <c r="D1221" s="914"/>
    </row>
    <row r="1222" spans="1:4">
      <c r="A1222" s="15"/>
      <c r="B1222" s="15"/>
      <c r="C1222" s="697"/>
      <c r="D1222" s="914"/>
    </row>
    <row r="1223" spans="1:4">
      <c r="A1223" s="15"/>
      <c r="B1223" s="15"/>
      <c r="C1223" s="697"/>
      <c r="D1223" s="914"/>
    </row>
    <row r="1224" spans="1:4">
      <c r="A1224" s="15"/>
      <c r="B1224" s="15"/>
      <c r="C1224" s="697"/>
      <c r="D1224" s="914"/>
    </row>
    <row r="1225" spans="1:4">
      <c r="A1225" s="15"/>
      <c r="B1225" s="15"/>
      <c r="C1225" s="697"/>
      <c r="D1225" s="914"/>
    </row>
    <row r="1226" spans="1:4">
      <c r="A1226" s="15"/>
      <c r="B1226" s="15"/>
      <c r="C1226" s="697"/>
      <c r="D1226" s="914"/>
    </row>
    <row r="1227" spans="1:4">
      <c r="A1227" s="15"/>
      <c r="B1227" s="15"/>
      <c r="C1227" s="697"/>
      <c r="D1227" s="914"/>
    </row>
    <row r="1228" spans="1:4">
      <c r="A1228" s="15"/>
      <c r="B1228" s="15"/>
      <c r="C1228" s="697"/>
      <c r="D1228" s="914"/>
    </row>
    <row r="1229" spans="1:4">
      <c r="A1229" s="15"/>
      <c r="B1229" s="15"/>
      <c r="C1229" s="697"/>
      <c r="D1229" s="914"/>
    </row>
    <row r="1230" spans="1:4">
      <c r="A1230" s="15"/>
      <c r="B1230" s="15"/>
      <c r="C1230" s="697"/>
      <c r="D1230" s="914"/>
    </row>
    <row r="1231" spans="1:4">
      <c r="A1231" s="15"/>
      <c r="B1231" s="15"/>
      <c r="C1231" s="697"/>
      <c r="D1231" s="914"/>
    </row>
    <row r="1232" spans="1:4">
      <c r="A1232" s="15"/>
      <c r="B1232" s="15"/>
      <c r="C1232" s="697"/>
      <c r="D1232" s="914"/>
    </row>
    <row r="1233" spans="1:4">
      <c r="A1233" s="15"/>
      <c r="B1233" s="15"/>
      <c r="C1233" s="697"/>
      <c r="D1233" s="914"/>
    </row>
    <row r="1234" spans="1:4">
      <c r="A1234" s="15"/>
      <c r="B1234" s="15"/>
      <c r="C1234" s="697"/>
      <c r="D1234" s="914"/>
    </row>
    <row r="1235" spans="1:4">
      <c r="A1235" s="15"/>
      <c r="B1235" s="15"/>
      <c r="C1235" s="697"/>
      <c r="D1235" s="914"/>
    </row>
    <row r="1236" spans="1:4">
      <c r="A1236" s="15"/>
      <c r="B1236" s="15"/>
      <c r="C1236" s="697"/>
      <c r="D1236" s="914"/>
    </row>
    <row r="1237" spans="1:4">
      <c r="A1237" s="15"/>
      <c r="B1237" s="15"/>
      <c r="C1237" s="697"/>
      <c r="D1237" s="914"/>
    </row>
    <row r="1238" spans="1:4">
      <c r="A1238" s="15"/>
      <c r="B1238" s="15"/>
      <c r="C1238" s="697"/>
      <c r="D1238" s="914"/>
    </row>
    <row r="1239" spans="1:4">
      <c r="A1239" s="15"/>
      <c r="B1239" s="15"/>
      <c r="C1239" s="697"/>
      <c r="D1239" s="914"/>
    </row>
    <row r="1240" spans="1:4">
      <c r="A1240" s="15"/>
      <c r="B1240" s="15"/>
      <c r="C1240" s="697"/>
      <c r="D1240" s="914"/>
    </row>
    <row r="1241" spans="1:4">
      <c r="A1241" s="15"/>
      <c r="B1241" s="15"/>
      <c r="C1241" s="697"/>
      <c r="D1241" s="914"/>
    </row>
    <row r="1242" spans="1:4">
      <c r="A1242" s="15"/>
      <c r="B1242" s="15"/>
      <c r="C1242" s="697"/>
      <c r="D1242" s="914"/>
    </row>
    <row r="1243" spans="1:4">
      <c r="A1243" s="15"/>
      <c r="B1243" s="15"/>
      <c r="C1243" s="697"/>
      <c r="D1243" s="914"/>
    </row>
    <row r="1244" spans="1:4">
      <c r="A1244" s="15"/>
      <c r="B1244" s="15"/>
      <c r="C1244" s="697"/>
      <c r="D1244" s="914"/>
    </row>
    <row r="1245" spans="1:4">
      <c r="A1245" s="15"/>
      <c r="B1245" s="15"/>
      <c r="C1245" s="697"/>
      <c r="D1245" s="914"/>
    </row>
    <row r="1246" spans="1:4">
      <c r="A1246" s="15"/>
      <c r="B1246" s="15"/>
      <c r="C1246" s="697"/>
      <c r="D1246" s="914"/>
    </row>
    <row r="1247" spans="1:4">
      <c r="A1247" s="15"/>
      <c r="B1247" s="15"/>
      <c r="C1247" s="697"/>
      <c r="D1247" s="914"/>
    </row>
    <row r="1248" spans="1:4">
      <c r="A1248" s="15"/>
      <c r="B1248" s="15"/>
      <c r="C1248" s="697"/>
      <c r="D1248" s="914"/>
    </row>
    <row r="1249" spans="1:4">
      <c r="A1249" s="15"/>
      <c r="B1249" s="15"/>
      <c r="C1249" s="697"/>
      <c r="D1249" s="914"/>
    </row>
    <row r="1250" spans="1:4">
      <c r="A1250" s="15"/>
      <c r="B1250" s="15"/>
      <c r="C1250" s="697"/>
      <c r="D1250" s="914"/>
    </row>
    <row r="1251" spans="1:4">
      <c r="A1251" s="15"/>
      <c r="B1251" s="15"/>
      <c r="C1251" s="697"/>
      <c r="D1251" s="914"/>
    </row>
    <row r="1252" spans="1:4">
      <c r="A1252" s="15"/>
      <c r="B1252" s="15"/>
      <c r="C1252" s="697"/>
      <c r="D1252" s="914"/>
    </row>
    <row r="1253" spans="1:4">
      <c r="A1253" s="15"/>
      <c r="B1253" s="15"/>
      <c r="C1253" s="697"/>
      <c r="D1253" s="914"/>
    </row>
    <row r="1254" spans="1:4">
      <c r="A1254" s="15"/>
      <c r="B1254" s="15"/>
      <c r="C1254" s="697"/>
      <c r="D1254" s="914"/>
    </row>
    <row r="1255" spans="1:4">
      <c r="A1255" s="15"/>
      <c r="B1255" s="15"/>
      <c r="C1255" s="697"/>
      <c r="D1255" s="914"/>
    </row>
    <row r="1256" spans="1:4">
      <c r="A1256" s="15"/>
      <c r="B1256" s="15"/>
      <c r="C1256" s="697"/>
      <c r="D1256" s="914"/>
    </row>
    <row r="1257" spans="1:4">
      <c r="A1257" s="15"/>
      <c r="B1257" s="15"/>
      <c r="C1257" s="697"/>
      <c r="D1257" s="914"/>
    </row>
    <row r="1258" spans="1:4">
      <c r="A1258" s="15"/>
      <c r="B1258" s="15"/>
      <c r="C1258" s="697"/>
      <c r="D1258" s="914"/>
    </row>
    <row r="1259" spans="1:4">
      <c r="A1259" s="15"/>
      <c r="B1259" s="15"/>
      <c r="C1259" s="697"/>
      <c r="D1259" s="914"/>
    </row>
    <row r="1260" spans="1:4">
      <c r="A1260" s="15"/>
      <c r="B1260" s="15"/>
      <c r="C1260" s="697"/>
      <c r="D1260" s="914"/>
    </row>
    <row r="1261" spans="1:4">
      <c r="A1261" s="15"/>
      <c r="B1261" s="15"/>
      <c r="C1261" s="697"/>
      <c r="D1261" s="914"/>
    </row>
    <row r="1262" spans="1:4">
      <c r="A1262" s="15"/>
      <c r="B1262" s="15"/>
      <c r="C1262" s="697"/>
      <c r="D1262" s="914"/>
    </row>
    <row r="1263" spans="1:4">
      <c r="A1263" s="15"/>
      <c r="B1263" s="15"/>
      <c r="C1263" s="697"/>
      <c r="D1263" s="914"/>
    </row>
    <row r="1264" spans="1:4">
      <c r="A1264" s="15"/>
      <c r="B1264" s="15"/>
      <c r="C1264" s="697"/>
      <c r="D1264" s="914"/>
    </row>
    <row r="1265" spans="1:4">
      <c r="A1265" s="15"/>
      <c r="B1265" s="15"/>
      <c r="C1265" s="697"/>
      <c r="D1265" s="914"/>
    </row>
    <row r="1266" spans="1:4">
      <c r="A1266" s="15"/>
      <c r="B1266" s="15"/>
      <c r="C1266" s="697"/>
      <c r="D1266" s="914"/>
    </row>
    <row r="1267" spans="1:4">
      <c r="A1267" s="15"/>
      <c r="B1267" s="15"/>
      <c r="C1267" s="697"/>
      <c r="D1267" s="914"/>
    </row>
    <row r="1268" spans="1:4">
      <c r="A1268" s="15"/>
      <c r="B1268" s="15"/>
      <c r="C1268" s="697"/>
      <c r="D1268" s="914"/>
    </row>
    <row r="1269" spans="1:4">
      <c r="A1269" s="15"/>
      <c r="B1269" s="15"/>
      <c r="C1269" s="697"/>
      <c r="D1269" s="914"/>
    </row>
    <row r="1270" spans="1:4">
      <c r="A1270" s="15"/>
      <c r="B1270" s="15"/>
      <c r="C1270" s="697"/>
      <c r="D1270" s="914"/>
    </row>
    <row r="1271" spans="1:4">
      <c r="A1271" s="15"/>
      <c r="B1271" s="15"/>
      <c r="C1271" s="697"/>
      <c r="D1271" s="914"/>
    </row>
    <row r="1272" spans="1:4">
      <c r="A1272" s="15"/>
      <c r="B1272" s="15"/>
      <c r="C1272" s="697"/>
      <c r="D1272" s="914"/>
    </row>
    <row r="1273" spans="1:4">
      <c r="A1273" s="15"/>
      <c r="B1273" s="15"/>
      <c r="C1273" s="697"/>
      <c r="D1273" s="914"/>
    </row>
    <row r="1274" spans="1:4">
      <c r="A1274" s="15"/>
      <c r="B1274" s="15"/>
      <c r="C1274" s="697"/>
      <c r="D1274" s="914"/>
    </row>
    <row r="1275" spans="1:4">
      <c r="A1275" s="15"/>
      <c r="B1275" s="15"/>
      <c r="C1275" s="697"/>
      <c r="D1275" s="914"/>
    </row>
    <row r="1276" spans="1:4">
      <c r="A1276" s="15"/>
      <c r="B1276" s="15"/>
      <c r="C1276" s="697"/>
      <c r="D1276" s="914"/>
    </row>
    <row r="1277" spans="1:4">
      <c r="A1277" s="15"/>
      <c r="B1277" s="15"/>
      <c r="C1277" s="697"/>
      <c r="D1277" s="914"/>
    </row>
    <row r="1278" spans="1:4">
      <c r="A1278" s="15"/>
      <c r="B1278" s="15"/>
      <c r="C1278" s="697"/>
      <c r="D1278" s="914"/>
    </row>
    <row r="1279" spans="1:4">
      <c r="A1279" s="15"/>
      <c r="B1279" s="15"/>
      <c r="C1279" s="697"/>
      <c r="D1279" s="914"/>
    </row>
    <row r="1280" spans="1:4">
      <c r="A1280" s="15"/>
      <c r="B1280" s="15"/>
      <c r="C1280" s="697"/>
      <c r="D1280" s="914"/>
    </row>
    <row r="1281" spans="1:4">
      <c r="A1281" s="15"/>
      <c r="B1281" s="15"/>
      <c r="C1281" s="697"/>
      <c r="D1281" s="914"/>
    </row>
    <row r="1282" spans="1:4">
      <c r="A1282" s="15"/>
      <c r="B1282" s="15"/>
      <c r="C1282" s="697"/>
      <c r="D1282" s="914"/>
    </row>
    <row r="1283" spans="1:4">
      <c r="A1283" s="15"/>
      <c r="B1283" s="15"/>
      <c r="C1283" s="697"/>
      <c r="D1283" s="914"/>
    </row>
    <row r="1284" spans="1:4">
      <c r="A1284" s="15"/>
      <c r="B1284" s="15"/>
      <c r="C1284" s="697"/>
      <c r="D1284" s="914"/>
    </row>
    <row r="1285" spans="1:4">
      <c r="A1285" s="15"/>
      <c r="B1285" s="15"/>
      <c r="C1285" s="697"/>
      <c r="D1285" s="914"/>
    </row>
    <row r="1286" spans="1:4">
      <c r="A1286" s="15"/>
      <c r="B1286" s="15"/>
      <c r="C1286" s="697"/>
      <c r="D1286" s="914"/>
    </row>
    <row r="1287" spans="1:4">
      <c r="A1287" s="15"/>
      <c r="B1287" s="15"/>
      <c r="C1287" s="697"/>
      <c r="D1287" s="914"/>
    </row>
    <row r="1288" spans="1:4">
      <c r="A1288" s="15"/>
      <c r="B1288" s="15"/>
      <c r="C1288" s="697"/>
      <c r="D1288" s="914"/>
    </row>
    <row r="1289" spans="1:4">
      <c r="A1289" s="15"/>
      <c r="B1289" s="15"/>
      <c r="C1289" s="697"/>
      <c r="D1289" s="914"/>
    </row>
    <row r="1290" spans="1:4">
      <c r="A1290" s="15"/>
      <c r="B1290" s="15"/>
      <c r="C1290" s="697"/>
      <c r="D1290" s="914"/>
    </row>
    <row r="1291" spans="1:4">
      <c r="A1291" s="15"/>
      <c r="B1291" s="15"/>
      <c r="C1291" s="697"/>
      <c r="D1291" s="914"/>
    </row>
    <row r="1292" spans="1:4">
      <c r="A1292" s="15"/>
      <c r="B1292" s="15"/>
      <c r="C1292" s="697"/>
      <c r="D1292" s="914"/>
    </row>
    <row r="1293" spans="1:4">
      <c r="A1293" s="15"/>
      <c r="B1293" s="15"/>
      <c r="C1293" s="697"/>
      <c r="D1293" s="914"/>
    </row>
    <row r="1294" spans="1:4">
      <c r="A1294" s="15"/>
      <c r="B1294" s="15"/>
      <c r="C1294" s="697"/>
      <c r="D1294" s="914"/>
    </row>
    <row r="1295" spans="1:4">
      <c r="A1295" s="15"/>
      <c r="B1295" s="15"/>
      <c r="C1295" s="697"/>
      <c r="D1295" s="914"/>
    </row>
    <row r="1296" spans="1:4">
      <c r="A1296" s="15"/>
      <c r="B1296" s="15"/>
      <c r="C1296" s="697"/>
      <c r="D1296" s="914"/>
    </row>
    <row r="1297" spans="1:4">
      <c r="A1297" s="15"/>
      <c r="B1297" s="15"/>
      <c r="C1297" s="697"/>
      <c r="D1297" s="914"/>
    </row>
    <row r="1298" spans="1:4">
      <c r="A1298" s="15"/>
      <c r="B1298" s="15"/>
      <c r="C1298" s="697"/>
      <c r="D1298" s="914"/>
    </row>
    <row r="1299" spans="1:4">
      <c r="A1299" s="15"/>
      <c r="B1299" s="15"/>
      <c r="C1299" s="697"/>
      <c r="D1299" s="914"/>
    </row>
    <row r="1300" spans="1:4">
      <c r="A1300" s="15"/>
      <c r="B1300" s="15"/>
      <c r="C1300" s="697"/>
      <c r="D1300" s="914"/>
    </row>
    <row r="1301" spans="1:4">
      <c r="A1301" s="15"/>
      <c r="B1301" s="15"/>
      <c r="C1301" s="697"/>
      <c r="D1301" s="914"/>
    </row>
    <row r="1302" spans="1:4">
      <c r="A1302" s="15"/>
      <c r="B1302" s="15"/>
      <c r="C1302" s="697"/>
      <c r="D1302" s="914"/>
    </row>
    <row r="1303" spans="1:4">
      <c r="A1303" s="15"/>
      <c r="B1303" s="15"/>
      <c r="C1303" s="697"/>
      <c r="D1303" s="914"/>
    </row>
    <row r="1304" spans="1:4">
      <c r="A1304" s="15"/>
      <c r="B1304" s="15"/>
      <c r="C1304" s="697"/>
      <c r="D1304" s="914"/>
    </row>
    <row r="1305" spans="1:4">
      <c r="A1305" s="15"/>
      <c r="B1305" s="15"/>
      <c r="C1305" s="697"/>
      <c r="D1305" s="914"/>
    </row>
    <row r="1306" spans="1:4">
      <c r="A1306" s="15"/>
      <c r="B1306" s="15"/>
      <c r="C1306" s="697"/>
      <c r="D1306" s="914"/>
    </row>
    <row r="1307" spans="1:4">
      <c r="A1307" s="15"/>
      <c r="B1307" s="15"/>
      <c r="C1307" s="697"/>
      <c r="D1307" s="914"/>
    </row>
    <row r="1308" spans="1:4">
      <c r="A1308" s="15"/>
      <c r="B1308" s="15"/>
      <c r="C1308" s="697"/>
      <c r="D1308" s="914"/>
    </row>
    <row r="1309" spans="1:4">
      <c r="A1309" s="15"/>
      <c r="B1309" s="15"/>
      <c r="C1309" s="697"/>
      <c r="D1309" s="914"/>
    </row>
    <row r="1310" spans="1:4">
      <c r="A1310" s="15"/>
      <c r="B1310" s="15"/>
      <c r="C1310" s="697"/>
      <c r="D1310" s="914"/>
    </row>
    <row r="1311" spans="1:4">
      <c r="A1311" s="15"/>
      <c r="B1311" s="15"/>
      <c r="C1311" s="697"/>
      <c r="D1311" s="914"/>
    </row>
    <row r="1312" spans="1:4">
      <c r="A1312" s="15"/>
      <c r="B1312" s="15"/>
      <c r="C1312" s="697"/>
      <c r="D1312" s="914"/>
    </row>
    <row r="1313" spans="1:4">
      <c r="A1313" s="15"/>
      <c r="B1313" s="15"/>
      <c r="C1313" s="697"/>
      <c r="D1313" s="914"/>
    </row>
    <row r="1314" spans="1:4">
      <c r="A1314" s="15"/>
      <c r="B1314" s="15"/>
      <c r="C1314" s="697"/>
      <c r="D1314" s="914"/>
    </row>
    <row r="1315" spans="1:4">
      <c r="A1315" s="15"/>
      <c r="B1315" s="15"/>
      <c r="C1315" s="697"/>
      <c r="D1315" s="914"/>
    </row>
    <row r="1316" spans="1:4">
      <c r="A1316" s="15"/>
      <c r="B1316" s="15"/>
      <c r="C1316" s="697"/>
      <c r="D1316" s="914"/>
    </row>
    <row r="1317" spans="1:4">
      <c r="A1317" s="15"/>
      <c r="B1317" s="15"/>
      <c r="C1317" s="697"/>
      <c r="D1317" s="914"/>
    </row>
    <row r="1318" spans="1:4">
      <c r="A1318" s="15"/>
      <c r="B1318" s="15"/>
      <c r="C1318" s="697"/>
      <c r="D1318" s="914"/>
    </row>
    <row r="1319" spans="1:4">
      <c r="A1319" s="15"/>
      <c r="B1319" s="15"/>
      <c r="C1319" s="697"/>
      <c r="D1319" s="914"/>
    </row>
    <row r="1320" spans="1:4">
      <c r="A1320" s="15"/>
      <c r="B1320" s="15"/>
      <c r="C1320" s="697"/>
      <c r="D1320" s="914"/>
    </row>
    <row r="1321" spans="1:4">
      <c r="A1321" s="15"/>
      <c r="B1321" s="15"/>
      <c r="C1321" s="697"/>
      <c r="D1321" s="914"/>
    </row>
    <row r="1322" spans="1:4">
      <c r="A1322" s="15"/>
      <c r="B1322" s="15"/>
      <c r="C1322" s="697"/>
      <c r="D1322" s="914"/>
    </row>
    <row r="1323" spans="1:4">
      <c r="A1323" s="15"/>
      <c r="B1323" s="15"/>
      <c r="C1323" s="697"/>
      <c r="D1323" s="914"/>
    </row>
    <row r="1324" spans="1:4">
      <c r="A1324" s="15"/>
      <c r="B1324" s="15"/>
      <c r="C1324" s="697"/>
      <c r="D1324" s="914"/>
    </row>
    <row r="1325" spans="1:4">
      <c r="A1325" s="15"/>
      <c r="B1325" s="15"/>
      <c r="C1325" s="697"/>
      <c r="D1325" s="914"/>
    </row>
    <row r="1326" spans="1:4">
      <c r="A1326" s="15"/>
      <c r="B1326" s="15"/>
      <c r="C1326" s="697"/>
      <c r="D1326" s="914"/>
    </row>
    <row r="1327" spans="1:4">
      <c r="A1327" s="15"/>
      <c r="B1327" s="15"/>
      <c r="C1327" s="697"/>
      <c r="D1327" s="914"/>
    </row>
    <row r="1328" spans="1:4">
      <c r="A1328" s="15"/>
      <c r="B1328" s="15"/>
      <c r="C1328" s="697"/>
      <c r="D1328" s="914"/>
    </row>
    <row r="1329" spans="1:4">
      <c r="A1329" s="15"/>
      <c r="B1329" s="15"/>
      <c r="C1329" s="697"/>
      <c r="D1329" s="914"/>
    </row>
    <row r="1330" spans="1:4">
      <c r="A1330" s="15"/>
      <c r="B1330" s="15"/>
      <c r="C1330" s="697"/>
      <c r="D1330" s="914"/>
    </row>
    <row r="1331" spans="1:4">
      <c r="A1331" s="15"/>
      <c r="B1331" s="15"/>
      <c r="C1331" s="697"/>
      <c r="D1331" s="914"/>
    </row>
    <row r="1332" spans="1:4">
      <c r="A1332" s="15"/>
      <c r="B1332" s="15"/>
      <c r="C1332" s="697"/>
      <c r="D1332" s="914"/>
    </row>
    <row r="1333" spans="1:4">
      <c r="A1333" s="15"/>
      <c r="B1333" s="15"/>
      <c r="C1333" s="697"/>
      <c r="D1333" s="914"/>
    </row>
    <row r="1334" spans="1:4">
      <c r="A1334" s="15"/>
      <c r="B1334" s="15"/>
      <c r="C1334" s="697"/>
      <c r="D1334" s="914"/>
    </row>
    <row r="1335" spans="1:4">
      <c r="A1335" s="15"/>
      <c r="B1335" s="15"/>
      <c r="C1335" s="697"/>
      <c r="D1335" s="914"/>
    </row>
    <row r="1336" spans="1:4">
      <c r="A1336" s="15"/>
      <c r="B1336" s="15"/>
      <c r="C1336" s="697"/>
      <c r="D1336" s="914"/>
    </row>
    <row r="1337" spans="1:4">
      <c r="A1337" s="15"/>
      <c r="B1337" s="15"/>
      <c r="C1337" s="697"/>
      <c r="D1337" s="914"/>
    </row>
    <row r="1338" spans="1:4">
      <c r="A1338" s="15"/>
      <c r="B1338" s="15"/>
      <c r="C1338" s="697"/>
      <c r="D1338" s="914"/>
    </row>
    <row r="1339" spans="1:4">
      <c r="A1339" s="15"/>
      <c r="B1339" s="15"/>
      <c r="C1339" s="697"/>
      <c r="D1339" s="914"/>
    </row>
    <row r="1340" spans="1:4">
      <c r="A1340" s="15"/>
      <c r="B1340" s="15"/>
      <c r="C1340" s="697"/>
      <c r="D1340" s="914"/>
    </row>
    <row r="1341" spans="1:4">
      <c r="A1341" s="15"/>
      <c r="B1341" s="15"/>
      <c r="C1341" s="697"/>
      <c r="D1341" s="914"/>
    </row>
    <row r="1342" spans="1:4">
      <c r="A1342" s="15"/>
      <c r="B1342" s="15"/>
      <c r="C1342" s="697"/>
      <c r="D1342" s="914"/>
    </row>
    <row r="1343" spans="1:4">
      <c r="A1343" s="15"/>
      <c r="B1343" s="15"/>
      <c r="C1343" s="697"/>
      <c r="D1343" s="914"/>
    </row>
    <row r="1344" spans="1:4">
      <c r="A1344" s="15"/>
      <c r="B1344" s="15"/>
      <c r="C1344" s="697"/>
      <c r="D1344" s="914"/>
    </row>
    <row r="1345" spans="1:4">
      <c r="A1345" s="15"/>
      <c r="B1345" s="15"/>
      <c r="C1345" s="697"/>
      <c r="D1345" s="914"/>
    </row>
    <row r="1346" spans="1:4">
      <c r="A1346" s="15"/>
      <c r="B1346" s="15"/>
      <c r="C1346" s="697"/>
      <c r="D1346" s="914"/>
    </row>
    <row r="1347" spans="1:4">
      <c r="A1347" s="15"/>
      <c r="B1347" s="15"/>
      <c r="C1347" s="697"/>
      <c r="D1347" s="914"/>
    </row>
    <row r="1348" spans="1:4">
      <c r="A1348" s="15"/>
      <c r="B1348" s="15"/>
      <c r="C1348" s="697"/>
      <c r="D1348" s="914"/>
    </row>
    <row r="1349" spans="1:4">
      <c r="A1349" s="15"/>
      <c r="B1349" s="15"/>
      <c r="C1349" s="697"/>
      <c r="D1349" s="914"/>
    </row>
    <row r="1350" spans="1:4">
      <c r="A1350" s="15"/>
      <c r="B1350" s="15"/>
      <c r="C1350" s="697"/>
      <c r="D1350" s="914"/>
    </row>
    <row r="1351" spans="1:4">
      <c r="A1351" s="15"/>
      <c r="B1351" s="15"/>
      <c r="C1351" s="697"/>
      <c r="D1351" s="914"/>
    </row>
    <row r="1352" spans="1:4">
      <c r="A1352" s="15"/>
      <c r="B1352" s="15"/>
      <c r="C1352" s="697"/>
      <c r="D1352" s="914"/>
    </row>
    <row r="1353" spans="1:4">
      <c r="A1353" s="15"/>
      <c r="B1353" s="15"/>
      <c r="C1353" s="697"/>
      <c r="D1353" s="914"/>
    </row>
    <row r="1354" spans="1:4">
      <c r="A1354" s="15"/>
      <c r="B1354" s="15"/>
      <c r="C1354" s="697"/>
      <c r="D1354" s="914"/>
    </row>
    <row r="1355" spans="1:4">
      <c r="A1355" s="15"/>
      <c r="B1355" s="15"/>
      <c r="C1355" s="697"/>
      <c r="D1355" s="914"/>
    </row>
    <row r="1356" spans="1:4">
      <c r="A1356" s="15"/>
      <c r="B1356" s="15"/>
      <c r="C1356" s="697"/>
      <c r="D1356" s="914"/>
    </row>
    <row r="1357" spans="1:4">
      <c r="A1357" s="15"/>
      <c r="B1357" s="15"/>
      <c r="C1357" s="697"/>
      <c r="D1357" s="914"/>
    </row>
    <row r="1358" spans="1:4">
      <c r="A1358" s="15"/>
      <c r="B1358" s="15"/>
      <c r="C1358" s="697"/>
      <c r="D1358" s="914"/>
    </row>
    <row r="1359" spans="1:4">
      <c r="A1359" s="15"/>
      <c r="B1359" s="15"/>
      <c r="C1359" s="697"/>
      <c r="D1359" s="914"/>
    </row>
    <row r="1360" spans="1:4">
      <c r="A1360" s="15"/>
      <c r="B1360" s="15"/>
      <c r="C1360" s="697"/>
      <c r="D1360" s="914"/>
    </row>
    <row r="1361" spans="1:4">
      <c r="A1361" s="15"/>
      <c r="B1361" s="15"/>
      <c r="C1361" s="697"/>
      <c r="D1361" s="914"/>
    </row>
    <row r="1362" spans="1:4">
      <c r="A1362" s="15"/>
      <c r="B1362" s="15"/>
      <c r="C1362" s="697"/>
      <c r="D1362" s="914"/>
    </row>
    <row r="1363" spans="1:4">
      <c r="A1363" s="15"/>
      <c r="B1363" s="15"/>
      <c r="C1363" s="697"/>
      <c r="D1363" s="914"/>
    </row>
    <row r="1364" spans="1:4">
      <c r="A1364" s="15"/>
      <c r="B1364" s="15"/>
      <c r="C1364" s="697"/>
      <c r="D1364" s="914"/>
    </row>
    <row r="1365" spans="1:4">
      <c r="A1365" s="15"/>
      <c r="B1365" s="15"/>
      <c r="C1365" s="697"/>
      <c r="D1365" s="914"/>
    </row>
    <row r="1366" spans="1:4">
      <c r="A1366" s="15"/>
      <c r="B1366" s="15"/>
      <c r="C1366" s="697"/>
      <c r="D1366" s="914"/>
    </row>
    <row r="1367" spans="1:4">
      <c r="A1367" s="15"/>
      <c r="B1367" s="15"/>
      <c r="C1367" s="697"/>
      <c r="D1367" s="914"/>
    </row>
    <row r="1368" spans="1:4">
      <c r="A1368" s="15"/>
      <c r="B1368" s="15"/>
      <c r="C1368" s="697"/>
      <c r="D1368" s="914"/>
    </row>
    <row r="1369" spans="1:4">
      <c r="A1369" s="15"/>
      <c r="B1369" s="15"/>
      <c r="C1369" s="697"/>
      <c r="D1369" s="914"/>
    </row>
    <row r="1370" spans="1:4">
      <c r="A1370" s="15"/>
      <c r="B1370" s="15"/>
      <c r="C1370" s="697"/>
      <c r="D1370" s="914"/>
    </row>
    <row r="1371" spans="1:4">
      <c r="A1371" s="15"/>
      <c r="B1371" s="15"/>
      <c r="C1371" s="697"/>
      <c r="D1371" s="914"/>
    </row>
    <row r="1372" spans="1:4">
      <c r="A1372" s="15"/>
      <c r="B1372" s="15"/>
      <c r="C1372" s="697"/>
      <c r="D1372" s="914"/>
    </row>
    <row r="1373" spans="1:4">
      <c r="A1373" s="15"/>
      <c r="B1373" s="15"/>
      <c r="C1373" s="697"/>
      <c r="D1373" s="914"/>
    </row>
    <row r="1374" spans="1:4">
      <c r="A1374" s="15"/>
      <c r="B1374" s="15"/>
      <c r="C1374" s="697"/>
      <c r="D1374" s="914"/>
    </row>
    <row r="1375" spans="1:4">
      <c r="A1375" s="15"/>
      <c r="B1375" s="15"/>
      <c r="C1375" s="697"/>
      <c r="D1375" s="914"/>
    </row>
    <row r="1376" spans="1:4">
      <c r="A1376" s="15"/>
      <c r="B1376" s="15"/>
      <c r="C1376" s="697"/>
      <c r="D1376" s="914"/>
    </row>
    <row r="1377" spans="1:4">
      <c r="A1377" s="15"/>
      <c r="B1377" s="15"/>
      <c r="C1377" s="697"/>
      <c r="D1377" s="914"/>
    </row>
    <row r="1378" spans="1:4">
      <c r="A1378" s="15"/>
      <c r="B1378" s="15"/>
      <c r="C1378" s="697"/>
      <c r="D1378" s="914"/>
    </row>
    <row r="1379" spans="1:4">
      <c r="A1379" s="15"/>
      <c r="B1379" s="15"/>
      <c r="C1379" s="697"/>
      <c r="D1379" s="914"/>
    </row>
    <row r="1380" spans="1:4">
      <c r="A1380" s="15"/>
      <c r="B1380" s="15"/>
      <c r="C1380" s="697"/>
      <c r="D1380" s="914"/>
    </row>
    <row r="1381" spans="1:4">
      <c r="A1381" s="15"/>
      <c r="B1381" s="15"/>
      <c r="C1381" s="697"/>
      <c r="D1381" s="914"/>
    </row>
    <row r="1382" spans="1:4">
      <c r="A1382" s="15"/>
      <c r="B1382" s="15"/>
      <c r="C1382" s="697"/>
      <c r="D1382" s="914"/>
    </row>
    <row r="1383" spans="1:4">
      <c r="A1383" s="15"/>
      <c r="B1383" s="15"/>
      <c r="C1383" s="697"/>
      <c r="D1383" s="914"/>
    </row>
    <row r="1384" spans="1:4">
      <c r="A1384" s="15"/>
      <c r="B1384" s="15"/>
      <c r="C1384" s="697"/>
      <c r="D1384" s="914"/>
    </row>
    <row r="1385" spans="1:4">
      <c r="A1385" s="15"/>
      <c r="B1385" s="15"/>
      <c r="C1385" s="697"/>
      <c r="D1385" s="914"/>
    </row>
    <row r="1386" spans="1:4">
      <c r="A1386" s="15"/>
      <c r="B1386" s="15"/>
      <c r="C1386" s="697"/>
      <c r="D1386" s="914"/>
    </row>
    <row r="1387" spans="1:4">
      <c r="A1387" s="15"/>
      <c r="B1387" s="15"/>
      <c r="C1387" s="697"/>
      <c r="D1387" s="914"/>
    </row>
    <row r="1388" spans="1:4">
      <c r="A1388" s="15"/>
      <c r="B1388" s="15"/>
      <c r="C1388" s="697"/>
      <c r="D1388" s="914"/>
    </row>
    <row r="1389" spans="1:4">
      <c r="A1389" s="15"/>
      <c r="B1389" s="15"/>
      <c r="C1389" s="697"/>
      <c r="D1389" s="914"/>
    </row>
    <row r="1390" spans="1:4">
      <c r="A1390" s="15"/>
      <c r="B1390" s="15"/>
      <c r="C1390" s="697"/>
      <c r="D1390" s="914"/>
    </row>
    <row r="1391" spans="1:4">
      <c r="A1391" s="15"/>
      <c r="B1391" s="15"/>
      <c r="C1391" s="697"/>
      <c r="D1391" s="914"/>
    </row>
    <row r="1392" spans="1:4">
      <c r="A1392" s="15"/>
      <c r="B1392" s="15"/>
      <c r="C1392" s="697"/>
      <c r="D1392" s="914"/>
    </row>
    <row r="1393" spans="1:4">
      <c r="A1393" s="15"/>
      <c r="B1393" s="15"/>
      <c r="C1393" s="697"/>
      <c r="D1393" s="914"/>
    </row>
    <row r="1394" spans="1:4">
      <c r="A1394" s="15"/>
      <c r="B1394" s="15"/>
      <c r="C1394" s="697"/>
      <c r="D1394" s="914"/>
    </row>
    <row r="1395" spans="1:4">
      <c r="A1395" s="15"/>
      <c r="B1395" s="15"/>
      <c r="C1395" s="697"/>
      <c r="D1395" s="914"/>
    </row>
    <row r="1396" spans="1:4">
      <c r="A1396" s="15"/>
      <c r="B1396" s="15"/>
      <c r="C1396" s="697"/>
      <c r="D1396" s="914"/>
    </row>
    <row r="1397" spans="1:4">
      <c r="A1397" s="15"/>
      <c r="B1397" s="15"/>
      <c r="C1397" s="697"/>
      <c r="D1397" s="914"/>
    </row>
    <row r="1398" spans="1:4">
      <c r="A1398" s="15"/>
      <c r="B1398" s="15"/>
      <c r="C1398" s="697"/>
      <c r="D1398" s="914"/>
    </row>
    <row r="1399" spans="1:4">
      <c r="A1399" s="15"/>
      <c r="B1399" s="15"/>
      <c r="C1399" s="697"/>
      <c r="D1399" s="914"/>
    </row>
    <row r="1400" spans="1:4">
      <c r="A1400" s="15"/>
      <c r="B1400" s="15"/>
      <c r="C1400" s="697"/>
      <c r="D1400" s="914"/>
    </row>
    <row r="1401" spans="1:4">
      <c r="A1401" s="15"/>
      <c r="B1401" s="15"/>
      <c r="C1401" s="697"/>
      <c r="D1401" s="914"/>
    </row>
    <row r="1402" spans="1:4">
      <c r="A1402" s="15"/>
      <c r="B1402" s="15"/>
      <c r="C1402" s="697"/>
      <c r="D1402" s="914"/>
    </row>
    <row r="1403" spans="1:4">
      <c r="A1403" s="15"/>
      <c r="B1403" s="15"/>
      <c r="C1403" s="697"/>
      <c r="D1403" s="914"/>
    </row>
    <row r="1404" spans="1:4">
      <c r="A1404" s="15"/>
      <c r="B1404" s="15"/>
      <c r="C1404" s="697"/>
      <c r="D1404" s="914"/>
    </row>
    <row r="1405" spans="1:4">
      <c r="A1405" s="15"/>
      <c r="B1405" s="15"/>
      <c r="C1405" s="697"/>
      <c r="D1405" s="914"/>
    </row>
    <row r="1406" spans="1:4">
      <c r="A1406" s="15"/>
      <c r="B1406" s="15"/>
      <c r="C1406" s="697"/>
      <c r="D1406" s="914"/>
    </row>
    <row r="1407" spans="1:4">
      <c r="A1407" s="15"/>
      <c r="B1407" s="15"/>
      <c r="C1407" s="697"/>
      <c r="D1407" s="914"/>
    </row>
    <row r="1408" spans="1:4">
      <c r="A1408" s="15"/>
      <c r="B1408" s="15"/>
      <c r="C1408" s="697"/>
      <c r="D1408" s="914"/>
    </row>
    <row r="1409" spans="1:4">
      <c r="A1409" s="15"/>
      <c r="B1409" s="15"/>
      <c r="C1409" s="697"/>
      <c r="D1409" s="914"/>
    </row>
    <row r="1410" spans="1:4">
      <c r="A1410" s="15"/>
      <c r="B1410" s="15"/>
      <c r="C1410" s="697"/>
      <c r="D1410" s="914"/>
    </row>
    <row r="1411" spans="1:4">
      <c r="A1411" s="15"/>
      <c r="B1411" s="15"/>
      <c r="C1411" s="697"/>
      <c r="D1411" s="914"/>
    </row>
    <row r="1412" spans="1:4">
      <c r="A1412" s="15"/>
      <c r="B1412" s="15"/>
      <c r="C1412" s="697"/>
      <c r="D1412" s="914"/>
    </row>
    <row r="1413" spans="1:4">
      <c r="A1413" s="15"/>
      <c r="B1413" s="15"/>
      <c r="C1413" s="697"/>
      <c r="D1413" s="914"/>
    </row>
    <row r="1414" spans="1:4">
      <c r="A1414" s="15"/>
      <c r="B1414" s="15"/>
      <c r="C1414" s="697"/>
      <c r="D1414" s="914"/>
    </row>
    <row r="1415" spans="1:4">
      <c r="A1415" s="15"/>
      <c r="B1415" s="15"/>
      <c r="C1415" s="697"/>
      <c r="D1415" s="914"/>
    </row>
    <row r="1416" spans="1:4">
      <c r="A1416" s="15"/>
      <c r="B1416" s="15"/>
      <c r="C1416" s="697"/>
      <c r="D1416" s="914"/>
    </row>
    <row r="1417" spans="1:4">
      <c r="A1417" s="15"/>
      <c r="B1417" s="15"/>
      <c r="C1417" s="697"/>
      <c r="D1417" s="914"/>
    </row>
    <row r="1418" spans="1:4">
      <c r="A1418" s="15"/>
      <c r="B1418" s="15"/>
      <c r="C1418" s="697"/>
      <c r="D1418" s="914"/>
    </row>
    <row r="1419" spans="1:4">
      <c r="A1419" s="15"/>
      <c r="B1419" s="15"/>
      <c r="C1419" s="697"/>
      <c r="D1419" s="914"/>
    </row>
    <row r="1420" spans="1:4">
      <c r="A1420" s="15"/>
      <c r="B1420" s="15"/>
      <c r="C1420" s="697"/>
      <c r="D1420" s="914"/>
    </row>
    <row r="1421" spans="1:4">
      <c r="A1421" s="15"/>
      <c r="B1421" s="15"/>
      <c r="C1421" s="697"/>
      <c r="D1421" s="914"/>
    </row>
    <row r="1422" spans="1:4">
      <c r="A1422" s="15"/>
      <c r="B1422" s="15"/>
      <c r="C1422" s="697"/>
      <c r="D1422" s="914"/>
    </row>
    <row r="1423" spans="1:4">
      <c r="A1423" s="15"/>
      <c r="B1423" s="15"/>
      <c r="C1423" s="697"/>
      <c r="D1423" s="914"/>
    </row>
    <row r="1424" spans="1:4">
      <c r="A1424" s="15"/>
      <c r="B1424" s="15"/>
      <c r="C1424" s="697"/>
      <c r="D1424" s="914"/>
    </row>
    <row r="1425" spans="1:4">
      <c r="A1425" s="15"/>
      <c r="B1425" s="15"/>
      <c r="C1425" s="697"/>
      <c r="D1425" s="914"/>
    </row>
    <row r="1426" spans="1:4">
      <c r="A1426" s="15"/>
      <c r="B1426" s="15"/>
      <c r="C1426" s="697"/>
      <c r="D1426" s="914"/>
    </row>
    <row r="1427" spans="1:4">
      <c r="A1427" s="15"/>
      <c r="B1427" s="15"/>
      <c r="C1427" s="697"/>
      <c r="D1427" s="914"/>
    </row>
    <row r="1428" spans="1:4">
      <c r="A1428" s="15"/>
      <c r="B1428" s="15"/>
      <c r="C1428" s="697"/>
      <c r="D1428" s="914"/>
    </row>
    <row r="1429" spans="1:4">
      <c r="A1429" s="15"/>
      <c r="B1429" s="15"/>
      <c r="C1429" s="697"/>
      <c r="D1429" s="914"/>
    </row>
    <row r="1430" spans="1:4">
      <c r="A1430" s="15"/>
      <c r="B1430" s="15"/>
      <c r="C1430" s="697"/>
      <c r="D1430" s="914"/>
    </row>
    <row r="1431" spans="1:4">
      <c r="A1431" s="15"/>
      <c r="B1431" s="15"/>
      <c r="C1431" s="697"/>
      <c r="D1431" s="914"/>
    </row>
    <row r="1432" spans="1:4">
      <c r="A1432" s="15"/>
      <c r="B1432" s="15"/>
      <c r="C1432" s="697"/>
      <c r="D1432" s="914"/>
    </row>
    <row r="1433" spans="1:4">
      <c r="A1433" s="15"/>
      <c r="B1433" s="15"/>
      <c r="C1433" s="697"/>
      <c r="D1433" s="914"/>
    </row>
    <row r="1434" spans="1:4">
      <c r="A1434" s="15"/>
      <c r="B1434" s="15"/>
      <c r="C1434" s="697"/>
      <c r="D1434" s="914"/>
    </row>
    <row r="1435" spans="1:4">
      <c r="A1435" s="15"/>
      <c r="B1435" s="15"/>
      <c r="C1435" s="697"/>
      <c r="D1435" s="914"/>
    </row>
    <row r="1436" spans="1:4">
      <c r="A1436" s="15"/>
      <c r="B1436" s="15"/>
      <c r="C1436" s="697"/>
      <c r="D1436" s="914"/>
    </row>
    <row r="1437" spans="1:4">
      <c r="A1437" s="15"/>
      <c r="B1437" s="15"/>
      <c r="C1437" s="697"/>
      <c r="D1437" s="914"/>
    </row>
    <row r="1438" spans="1:4">
      <c r="A1438" s="15"/>
      <c r="B1438" s="15"/>
      <c r="C1438" s="697"/>
      <c r="D1438" s="914"/>
    </row>
    <row r="1439" spans="1:4">
      <c r="A1439" s="15"/>
      <c r="B1439" s="15"/>
      <c r="C1439" s="697"/>
      <c r="D1439" s="914"/>
    </row>
    <row r="1440" spans="1:4">
      <c r="A1440" s="15"/>
      <c r="B1440" s="15"/>
      <c r="C1440" s="697"/>
      <c r="D1440" s="914"/>
    </row>
    <row r="1441" spans="1:4">
      <c r="A1441" s="15"/>
      <c r="B1441" s="15"/>
      <c r="C1441" s="697"/>
      <c r="D1441" s="914"/>
    </row>
    <row r="1442" spans="1:4">
      <c r="A1442" s="15"/>
      <c r="B1442" s="15"/>
      <c r="C1442" s="697"/>
      <c r="D1442" s="914"/>
    </row>
    <row r="1443" spans="1:4">
      <c r="A1443" s="15"/>
      <c r="B1443" s="15"/>
      <c r="C1443" s="697"/>
      <c r="D1443" s="914"/>
    </row>
    <row r="1444" spans="1:4">
      <c r="A1444" s="15"/>
      <c r="B1444" s="15"/>
      <c r="C1444" s="697"/>
      <c r="D1444" s="914"/>
    </row>
    <row r="1445" spans="1:4">
      <c r="A1445" s="15"/>
      <c r="B1445" s="15"/>
      <c r="C1445" s="697"/>
      <c r="D1445" s="914"/>
    </row>
    <row r="1446" spans="1:4">
      <c r="A1446" s="15"/>
      <c r="B1446" s="15"/>
      <c r="C1446" s="697"/>
      <c r="D1446" s="914"/>
    </row>
    <row r="1447" spans="1:4">
      <c r="A1447" s="15"/>
      <c r="B1447" s="15"/>
      <c r="C1447" s="697"/>
      <c r="D1447" s="914"/>
    </row>
    <row r="1448" spans="1:4">
      <c r="A1448" s="15"/>
      <c r="B1448" s="15"/>
      <c r="C1448" s="697"/>
      <c r="D1448" s="914"/>
    </row>
    <row r="1449" spans="1:4">
      <c r="A1449" s="15"/>
      <c r="B1449" s="15"/>
      <c r="C1449" s="697"/>
      <c r="D1449" s="914"/>
    </row>
    <row r="1450" spans="1:4">
      <c r="A1450" s="15"/>
      <c r="B1450" s="15"/>
      <c r="C1450" s="697"/>
      <c r="D1450" s="914"/>
    </row>
    <row r="1451" spans="1:4">
      <c r="A1451" s="15"/>
      <c r="B1451" s="15"/>
      <c r="C1451" s="697"/>
      <c r="D1451" s="914"/>
    </row>
    <row r="1452" spans="1:4">
      <c r="A1452" s="15"/>
      <c r="B1452" s="15"/>
      <c r="C1452" s="697"/>
      <c r="D1452" s="914"/>
    </row>
    <row r="1453" spans="1:4">
      <c r="A1453" s="15"/>
      <c r="B1453" s="15"/>
      <c r="C1453" s="697"/>
      <c r="D1453" s="914"/>
    </row>
    <row r="1454" spans="1:4">
      <c r="A1454" s="15"/>
      <c r="B1454" s="15"/>
      <c r="C1454" s="697"/>
      <c r="D1454" s="914"/>
    </row>
    <row r="1455" spans="1:4">
      <c r="A1455" s="15"/>
      <c r="B1455" s="15"/>
      <c r="C1455" s="697"/>
      <c r="D1455" s="914"/>
    </row>
    <row r="1456" spans="1:4">
      <c r="A1456" s="15"/>
      <c r="B1456" s="15"/>
      <c r="C1456" s="697"/>
      <c r="D1456" s="914"/>
    </row>
    <row r="1457" spans="1:4">
      <c r="A1457" s="15"/>
      <c r="B1457" s="15"/>
      <c r="C1457" s="697"/>
      <c r="D1457" s="914"/>
    </row>
    <row r="1458" spans="1:4">
      <c r="A1458" s="15"/>
      <c r="B1458" s="15"/>
      <c r="C1458" s="697"/>
      <c r="D1458" s="914"/>
    </row>
    <row r="1459" spans="1:4">
      <c r="A1459" s="15"/>
      <c r="B1459" s="15"/>
      <c r="C1459" s="697"/>
      <c r="D1459" s="914"/>
    </row>
    <row r="1460" spans="1:4">
      <c r="A1460" s="15"/>
      <c r="B1460" s="15"/>
      <c r="C1460" s="697"/>
      <c r="D1460" s="914"/>
    </row>
    <row r="1461" spans="1:4">
      <c r="A1461" s="15"/>
      <c r="B1461" s="15"/>
      <c r="C1461" s="697"/>
      <c r="D1461" s="914"/>
    </row>
    <row r="1462" spans="1:4">
      <c r="A1462" s="15"/>
      <c r="B1462" s="15"/>
      <c r="C1462" s="697"/>
      <c r="D1462" s="914"/>
    </row>
    <row r="1463" spans="1:4">
      <c r="A1463" s="15"/>
      <c r="B1463" s="15"/>
      <c r="C1463" s="697"/>
      <c r="D1463" s="914"/>
    </row>
    <row r="1464" spans="1:4">
      <c r="A1464" s="15"/>
      <c r="B1464" s="15"/>
      <c r="C1464" s="697"/>
      <c r="D1464" s="914"/>
    </row>
    <row r="1465" spans="1:4">
      <c r="A1465" s="15"/>
      <c r="B1465" s="15"/>
      <c r="C1465" s="697"/>
      <c r="D1465" s="914"/>
    </row>
    <row r="1466" spans="1:4">
      <c r="A1466" s="15"/>
      <c r="B1466" s="15"/>
      <c r="C1466" s="697"/>
      <c r="D1466" s="914"/>
    </row>
    <row r="1467" spans="1:4">
      <c r="A1467" s="15"/>
      <c r="B1467" s="15"/>
      <c r="C1467" s="697"/>
      <c r="D1467" s="914"/>
    </row>
    <row r="1468" spans="1:4">
      <c r="A1468" s="15"/>
      <c r="B1468" s="15"/>
      <c r="C1468" s="697"/>
      <c r="D1468" s="914"/>
    </row>
    <row r="1469" spans="1:4">
      <c r="A1469" s="15"/>
      <c r="B1469" s="15"/>
      <c r="C1469" s="697"/>
      <c r="D1469" s="914"/>
    </row>
    <row r="1470" spans="1:4">
      <c r="A1470" s="15"/>
      <c r="B1470" s="15"/>
      <c r="C1470" s="697"/>
      <c r="D1470" s="914"/>
    </row>
    <row r="1471" spans="1:4">
      <c r="A1471" s="15"/>
      <c r="B1471" s="15"/>
      <c r="C1471" s="697"/>
      <c r="D1471" s="914"/>
    </row>
    <row r="1472" spans="1:4">
      <c r="A1472" s="15"/>
      <c r="B1472" s="15"/>
      <c r="C1472" s="697"/>
      <c r="D1472" s="914"/>
    </row>
    <row r="1473" spans="1:4">
      <c r="A1473" s="15"/>
      <c r="B1473" s="15"/>
      <c r="C1473" s="697"/>
      <c r="D1473" s="914"/>
    </row>
    <row r="1474" spans="1:4">
      <c r="A1474" s="15"/>
      <c r="B1474" s="15"/>
      <c r="C1474" s="697"/>
      <c r="D1474" s="914"/>
    </row>
    <row r="1475" spans="1:4">
      <c r="A1475" s="15"/>
      <c r="B1475" s="15"/>
      <c r="C1475" s="697"/>
      <c r="D1475" s="914"/>
    </row>
    <row r="1476" spans="1:4">
      <c r="A1476" s="15"/>
      <c r="B1476" s="15"/>
      <c r="C1476" s="697"/>
      <c r="D1476" s="914"/>
    </row>
    <row r="1477" spans="1:4">
      <c r="A1477" s="15"/>
      <c r="B1477" s="15"/>
      <c r="C1477" s="697"/>
      <c r="D1477" s="914"/>
    </row>
    <row r="1478" spans="1:4">
      <c r="A1478" s="15"/>
      <c r="B1478" s="15"/>
      <c r="C1478" s="697"/>
      <c r="D1478" s="914"/>
    </row>
    <row r="1479" spans="1:4">
      <c r="A1479" s="15"/>
      <c r="B1479" s="15"/>
      <c r="C1479" s="697"/>
      <c r="D1479" s="914"/>
    </row>
    <row r="1480" spans="1:4">
      <c r="A1480" s="15"/>
      <c r="B1480" s="15"/>
      <c r="C1480" s="697"/>
      <c r="D1480" s="914"/>
    </row>
    <row r="1481" spans="1:4">
      <c r="A1481" s="15"/>
      <c r="B1481" s="15"/>
      <c r="C1481" s="697"/>
      <c r="D1481" s="914"/>
    </row>
    <row r="1482" spans="1:4">
      <c r="A1482" s="15"/>
      <c r="B1482" s="15"/>
      <c r="C1482" s="697"/>
      <c r="D1482" s="914"/>
    </row>
    <row r="1483" spans="1:4">
      <c r="A1483" s="15"/>
      <c r="B1483" s="15"/>
      <c r="C1483" s="697"/>
      <c r="D1483" s="914"/>
    </row>
    <row r="1484" spans="1:4">
      <c r="A1484" s="15"/>
      <c r="B1484" s="15"/>
      <c r="C1484" s="697"/>
      <c r="D1484" s="914"/>
    </row>
    <row r="1485" spans="1:4">
      <c r="A1485" s="15"/>
      <c r="B1485" s="15"/>
      <c r="C1485" s="697"/>
      <c r="D1485" s="914"/>
    </row>
    <row r="1486" spans="1:4">
      <c r="A1486" s="15"/>
      <c r="B1486" s="15"/>
      <c r="C1486" s="697"/>
      <c r="D1486" s="914"/>
    </row>
    <row r="1487" spans="1:4">
      <c r="A1487" s="15"/>
      <c r="B1487" s="15"/>
      <c r="C1487" s="697"/>
      <c r="D1487" s="914"/>
    </row>
    <row r="1488" spans="1:4">
      <c r="A1488" s="15"/>
      <c r="B1488" s="15"/>
      <c r="C1488" s="697"/>
      <c r="D1488" s="914"/>
    </row>
    <row r="1489" spans="1:4">
      <c r="A1489" s="15"/>
      <c r="B1489" s="15"/>
      <c r="C1489" s="697"/>
      <c r="D1489" s="914"/>
    </row>
    <row r="1490" spans="1:4">
      <c r="A1490" s="15"/>
      <c r="B1490" s="15"/>
      <c r="C1490" s="697"/>
      <c r="D1490" s="914"/>
    </row>
    <row r="1491" spans="1:4">
      <c r="A1491" s="15"/>
      <c r="B1491" s="15"/>
      <c r="C1491" s="697"/>
      <c r="D1491" s="914"/>
    </row>
    <row r="1492" spans="1:4">
      <c r="A1492" s="15"/>
      <c r="B1492" s="15"/>
      <c r="C1492" s="697"/>
      <c r="D1492" s="914"/>
    </row>
    <row r="1493" spans="1:4">
      <c r="A1493" s="15"/>
      <c r="B1493" s="15"/>
      <c r="C1493" s="697"/>
      <c r="D1493" s="914"/>
    </row>
    <row r="1494" spans="1:4">
      <c r="A1494" s="15"/>
      <c r="B1494" s="15"/>
      <c r="C1494" s="697"/>
      <c r="D1494" s="914"/>
    </row>
    <row r="1495" spans="1:4">
      <c r="A1495" s="15"/>
      <c r="B1495" s="15"/>
      <c r="C1495" s="697"/>
      <c r="D1495" s="914"/>
    </row>
    <row r="1496" spans="1:4">
      <c r="A1496" s="15"/>
      <c r="B1496" s="15"/>
      <c r="C1496" s="697"/>
      <c r="D1496" s="914"/>
    </row>
    <row r="1497" spans="1:4">
      <c r="A1497" s="15"/>
      <c r="B1497" s="15"/>
      <c r="C1497" s="697"/>
      <c r="D1497" s="914"/>
    </row>
    <row r="1498" spans="1:4">
      <c r="A1498" s="15"/>
      <c r="B1498" s="15"/>
      <c r="C1498" s="697"/>
      <c r="D1498" s="914"/>
    </row>
    <row r="1499" spans="1:4">
      <c r="A1499" s="15"/>
      <c r="B1499" s="15"/>
      <c r="C1499" s="697"/>
      <c r="D1499" s="914"/>
    </row>
    <row r="1500" spans="1:4">
      <c r="A1500" s="15"/>
      <c r="B1500" s="15"/>
      <c r="C1500" s="697"/>
      <c r="D1500" s="914"/>
    </row>
    <row r="1501" spans="1:4">
      <c r="A1501" s="15"/>
      <c r="B1501" s="15"/>
      <c r="C1501" s="697"/>
      <c r="D1501" s="914"/>
    </row>
    <row r="1502" spans="1:4">
      <c r="A1502" s="15"/>
      <c r="B1502" s="15"/>
      <c r="C1502" s="697"/>
      <c r="D1502" s="914"/>
    </row>
    <row r="1503" spans="1:4">
      <c r="A1503" s="15"/>
      <c r="B1503" s="15"/>
      <c r="C1503" s="697"/>
      <c r="D1503" s="914"/>
    </row>
    <row r="1504" spans="1:4">
      <c r="A1504" s="15"/>
      <c r="B1504" s="15"/>
      <c r="C1504" s="697"/>
      <c r="D1504" s="914"/>
    </row>
    <row r="1505" spans="1:4">
      <c r="A1505" s="15"/>
      <c r="B1505" s="15"/>
      <c r="C1505" s="697"/>
      <c r="D1505" s="914"/>
    </row>
    <row r="1506" spans="1:4">
      <c r="A1506" s="15"/>
      <c r="B1506" s="15"/>
      <c r="C1506" s="697"/>
      <c r="D1506" s="914"/>
    </row>
    <row r="1507" spans="1:4">
      <c r="A1507" s="15"/>
      <c r="B1507" s="15"/>
      <c r="C1507" s="697"/>
      <c r="D1507" s="914"/>
    </row>
    <row r="1508" spans="1:4">
      <c r="A1508" s="15"/>
      <c r="B1508" s="15"/>
      <c r="C1508" s="697"/>
      <c r="D1508" s="914"/>
    </row>
    <row r="1509" spans="1:4">
      <c r="A1509" s="15"/>
      <c r="B1509" s="15"/>
      <c r="C1509" s="697"/>
      <c r="D1509" s="914"/>
    </row>
    <row r="1510" spans="1:4">
      <c r="A1510" s="15"/>
      <c r="B1510" s="15"/>
      <c r="C1510" s="697"/>
      <c r="D1510" s="914"/>
    </row>
    <row r="1511" spans="1:4">
      <c r="A1511" s="15"/>
      <c r="B1511" s="15"/>
      <c r="C1511" s="697"/>
      <c r="D1511" s="914"/>
    </row>
    <row r="1512" spans="1:4">
      <c r="A1512" s="15"/>
      <c r="B1512" s="15"/>
      <c r="C1512" s="697"/>
      <c r="D1512" s="914"/>
    </row>
    <row r="1513" spans="1:4">
      <c r="A1513" s="15"/>
      <c r="B1513" s="15"/>
      <c r="C1513" s="697"/>
      <c r="D1513" s="914"/>
    </row>
    <row r="1514" spans="1:4">
      <c r="A1514" s="15"/>
      <c r="B1514" s="15"/>
      <c r="C1514" s="697"/>
      <c r="D1514" s="914"/>
    </row>
    <row r="1515" spans="1:4">
      <c r="A1515" s="15"/>
      <c r="B1515" s="15"/>
      <c r="C1515" s="697"/>
      <c r="D1515" s="914"/>
    </row>
    <row r="1516" spans="1:4">
      <c r="A1516" s="15"/>
      <c r="B1516" s="15"/>
      <c r="C1516" s="697"/>
      <c r="D1516" s="914"/>
    </row>
    <row r="1517" spans="1:4">
      <c r="A1517" s="15"/>
      <c r="B1517" s="15"/>
      <c r="C1517" s="697"/>
      <c r="D1517" s="914"/>
    </row>
    <row r="1518" spans="1:4">
      <c r="A1518" s="15"/>
      <c r="B1518" s="15"/>
      <c r="C1518" s="697"/>
      <c r="D1518" s="914"/>
    </row>
    <row r="1519" spans="1:4">
      <c r="A1519" s="15"/>
      <c r="B1519" s="15"/>
      <c r="C1519" s="697"/>
      <c r="D1519" s="914"/>
    </row>
    <row r="1520" spans="1:4">
      <c r="A1520" s="15"/>
      <c r="B1520" s="15"/>
      <c r="C1520" s="697"/>
      <c r="D1520" s="914"/>
    </row>
    <row r="1521" spans="1:4">
      <c r="A1521" s="15"/>
      <c r="B1521" s="15"/>
      <c r="C1521" s="697"/>
      <c r="D1521" s="914"/>
    </row>
    <row r="1522" spans="1:4">
      <c r="A1522" s="15"/>
      <c r="B1522" s="15"/>
      <c r="C1522" s="697"/>
      <c r="D1522" s="914"/>
    </row>
    <row r="1523" spans="1:4">
      <c r="A1523" s="15"/>
      <c r="B1523" s="15"/>
      <c r="C1523" s="697"/>
      <c r="D1523" s="914"/>
    </row>
    <row r="1524" spans="1:4">
      <c r="A1524" s="15"/>
      <c r="B1524" s="15"/>
      <c r="C1524" s="697"/>
      <c r="D1524" s="914"/>
    </row>
    <row r="1525" spans="1:4">
      <c r="A1525" s="15"/>
      <c r="B1525" s="15"/>
      <c r="C1525" s="697"/>
      <c r="D1525" s="914"/>
    </row>
    <row r="1526" spans="1:4">
      <c r="A1526" s="15"/>
      <c r="B1526" s="15"/>
      <c r="C1526" s="697"/>
      <c r="D1526" s="914"/>
    </row>
    <row r="1527" spans="1:4">
      <c r="A1527" s="15"/>
      <c r="B1527" s="15"/>
      <c r="C1527" s="697"/>
      <c r="D1527" s="914"/>
    </row>
    <row r="1528" spans="1:4">
      <c r="A1528" s="15"/>
      <c r="B1528" s="15"/>
      <c r="C1528" s="697"/>
      <c r="D1528" s="914"/>
    </row>
    <row r="1529" spans="1:4">
      <c r="A1529" s="15"/>
      <c r="B1529" s="15"/>
      <c r="C1529" s="697"/>
      <c r="D1529" s="914"/>
    </row>
    <row r="1530" spans="1:4">
      <c r="A1530" s="15"/>
      <c r="B1530" s="15"/>
      <c r="C1530" s="697"/>
      <c r="D1530" s="914"/>
    </row>
    <row r="1531" spans="1:4">
      <c r="A1531" s="15"/>
      <c r="B1531" s="15"/>
      <c r="C1531" s="697"/>
      <c r="D1531" s="914"/>
    </row>
    <row r="1532" spans="1:4">
      <c r="A1532" s="15"/>
      <c r="B1532" s="15"/>
      <c r="C1532" s="697"/>
      <c r="D1532" s="914"/>
    </row>
    <row r="1533" spans="1:4">
      <c r="A1533" s="15"/>
      <c r="B1533" s="15"/>
      <c r="C1533" s="697"/>
      <c r="D1533" s="914"/>
    </row>
    <row r="1534" spans="1:4">
      <c r="A1534" s="15"/>
      <c r="B1534" s="15"/>
      <c r="C1534" s="697"/>
      <c r="D1534" s="914"/>
    </row>
    <row r="1535" spans="1:4">
      <c r="A1535" s="15"/>
      <c r="B1535" s="15"/>
      <c r="C1535" s="697"/>
      <c r="D1535" s="914"/>
    </row>
    <row r="1536" spans="1:4">
      <c r="A1536" s="15"/>
      <c r="B1536" s="15"/>
      <c r="C1536" s="697"/>
      <c r="D1536" s="914"/>
    </row>
    <row r="1537" spans="1:4">
      <c r="A1537" s="15"/>
      <c r="B1537" s="15"/>
      <c r="C1537" s="697"/>
      <c r="D1537" s="914"/>
    </row>
    <row r="1538" spans="1:4">
      <c r="A1538" s="15"/>
      <c r="B1538" s="15"/>
      <c r="C1538" s="697"/>
      <c r="D1538" s="914"/>
    </row>
    <row r="1539" spans="1:4">
      <c r="A1539" s="15"/>
      <c r="B1539" s="15"/>
      <c r="C1539" s="697"/>
      <c r="D1539" s="914"/>
    </row>
    <row r="1540" spans="1:4">
      <c r="A1540" s="15"/>
      <c r="B1540" s="15"/>
      <c r="C1540" s="697"/>
      <c r="D1540" s="914"/>
    </row>
    <row r="1541" spans="1:4">
      <c r="A1541" s="15"/>
      <c r="B1541" s="15"/>
      <c r="C1541" s="697"/>
      <c r="D1541" s="914"/>
    </row>
    <row r="1542" spans="1:4">
      <c r="A1542" s="15"/>
      <c r="B1542" s="15"/>
      <c r="C1542" s="697"/>
      <c r="D1542" s="914"/>
    </row>
    <row r="1543" spans="1:4">
      <c r="A1543" s="15"/>
      <c r="B1543" s="15"/>
      <c r="C1543" s="697"/>
      <c r="D1543" s="914"/>
    </row>
    <row r="1544" spans="1:4">
      <c r="A1544" s="15"/>
      <c r="B1544" s="15"/>
      <c r="C1544" s="697"/>
      <c r="D1544" s="914"/>
    </row>
    <row r="1545" spans="1:4">
      <c r="A1545" s="15"/>
      <c r="B1545" s="15"/>
      <c r="C1545" s="697"/>
      <c r="D1545" s="914"/>
    </row>
    <row r="1546" spans="1:4">
      <c r="A1546" s="15"/>
      <c r="B1546" s="15"/>
      <c r="C1546" s="697"/>
      <c r="D1546" s="914"/>
    </row>
    <row r="1547" spans="1:4">
      <c r="A1547" s="15"/>
      <c r="B1547" s="15"/>
      <c r="C1547" s="697"/>
      <c r="D1547" s="914"/>
    </row>
    <row r="1548" spans="1:4">
      <c r="A1548" s="15"/>
      <c r="B1548" s="15"/>
      <c r="C1548" s="697"/>
      <c r="D1548" s="914"/>
    </row>
    <row r="1549" spans="1:4">
      <c r="A1549" s="15"/>
      <c r="B1549" s="15"/>
      <c r="C1549" s="697"/>
      <c r="D1549" s="914"/>
    </row>
    <row r="1550" spans="1:4">
      <c r="A1550" s="15"/>
      <c r="B1550" s="15"/>
      <c r="C1550" s="697"/>
      <c r="D1550" s="914"/>
    </row>
    <row r="1551" spans="1:4">
      <c r="A1551" s="15"/>
      <c r="B1551" s="15"/>
      <c r="C1551" s="697"/>
      <c r="D1551" s="914"/>
    </row>
    <row r="1552" spans="1:4">
      <c r="A1552" s="15"/>
      <c r="B1552" s="15"/>
      <c r="C1552" s="697"/>
      <c r="D1552" s="914"/>
    </row>
    <row r="1553" spans="1:4">
      <c r="A1553" s="15"/>
      <c r="B1553" s="15"/>
      <c r="C1553" s="697"/>
      <c r="D1553" s="914"/>
    </row>
    <row r="1554" spans="1:4">
      <c r="A1554" s="15"/>
      <c r="B1554" s="15"/>
      <c r="C1554" s="697"/>
      <c r="D1554" s="914"/>
    </row>
    <row r="1555" spans="1:4">
      <c r="A1555" s="15"/>
      <c r="B1555" s="15"/>
      <c r="C1555" s="697"/>
      <c r="D1555" s="914"/>
    </row>
    <row r="1556" spans="1:4">
      <c r="A1556" s="15"/>
      <c r="B1556" s="15"/>
      <c r="C1556" s="697"/>
      <c r="D1556" s="914"/>
    </row>
    <row r="1557" spans="1:4">
      <c r="A1557" s="15"/>
      <c r="B1557" s="15"/>
      <c r="C1557" s="697"/>
      <c r="D1557" s="914"/>
    </row>
    <row r="1558" spans="1:4">
      <c r="A1558" s="15"/>
      <c r="B1558" s="15"/>
      <c r="C1558" s="697"/>
      <c r="D1558" s="914"/>
    </row>
    <row r="1559" spans="1:4">
      <c r="A1559" s="15"/>
      <c r="B1559" s="15"/>
      <c r="C1559" s="697"/>
      <c r="D1559" s="914"/>
    </row>
    <row r="1560" spans="1:4">
      <c r="A1560" s="15"/>
      <c r="B1560" s="15"/>
      <c r="C1560" s="697"/>
      <c r="D1560" s="914"/>
    </row>
    <row r="1561" spans="1:4">
      <c r="A1561" s="15"/>
      <c r="B1561" s="15"/>
      <c r="C1561" s="697"/>
      <c r="D1561" s="914"/>
    </row>
    <row r="1562" spans="1:4">
      <c r="A1562" s="15"/>
      <c r="B1562" s="15"/>
      <c r="C1562" s="697"/>
      <c r="D1562" s="914"/>
    </row>
    <row r="1563" spans="1:4">
      <c r="A1563" s="15"/>
      <c r="B1563" s="15"/>
      <c r="C1563" s="697"/>
      <c r="D1563" s="914"/>
    </row>
    <row r="1564" spans="1:4">
      <c r="A1564" s="15"/>
      <c r="B1564" s="15"/>
      <c r="C1564" s="697"/>
      <c r="D1564" s="914"/>
    </row>
    <row r="1565" spans="1:4">
      <c r="A1565" s="15"/>
      <c r="B1565" s="15"/>
      <c r="C1565" s="697"/>
      <c r="D1565" s="914"/>
    </row>
    <row r="1566" spans="1:4">
      <c r="A1566" s="15"/>
      <c r="B1566" s="15"/>
      <c r="C1566" s="697"/>
      <c r="D1566" s="914"/>
    </row>
    <row r="1567" spans="1:4">
      <c r="A1567" s="15"/>
      <c r="B1567" s="15"/>
      <c r="C1567" s="697"/>
      <c r="D1567" s="914"/>
    </row>
    <row r="1568" spans="1:4">
      <c r="A1568" s="15"/>
      <c r="B1568" s="15"/>
      <c r="C1568" s="697"/>
      <c r="D1568" s="914"/>
    </row>
    <row r="1569" spans="1:4">
      <c r="A1569" s="15"/>
      <c r="B1569" s="15"/>
      <c r="C1569" s="697"/>
      <c r="D1569" s="914"/>
    </row>
    <row r="1570" spans="1:4">
      <c r="A1570" s="15"/>
      <c r="B1570" s="15"/>
      <c r="C1570" s="697"/>
      <c r="D1570" s="914"/>
    </row>
    <row r="1571" spans="1:4">
      <c r="A1571" s="15"/>
      <c r="B1571" s="15"/>
      <c r="C1571" s="697"/>
      <c r="D1571" s="914"/>
    </row>
    <row r="1572" spans="1:4">
      <c r="A1572" s="15"/>
      <c r="B1572" s="15"/>
      <c r="C1572" s="697"/>
      <c r="D1572" s="914"/>
    </row>
    <row r="1573" spans="1:4">
      <c r="A1573" s="15"/>
      <c r="B1573" s="15"/>
      <c r="C1573" s="697"/>
      <c r="D1573" s="914"/>
    </row>
    <row r="1574" spans="1:4">
      <c r="A1574" s="15"/>
      <c r="B1574" s="15"/>
      <c r="C1574" s="697"/>
      <c r="D1574" s="914"/>
    </row>
    <row r="1575" spans="1:4">
      <c r="A1575" s="15"/>
      <c r="B1575" s="15"/>
      <c r="C1575" s="697"/>
      <c r="D1575" s="914"/>
    </row>
    <row r="1576" spans="1:4">
      <c r="A1576" s="15"/>
      <c r="B1576" s="15"/>
      <c r="C1576" s="697"/>
      <c r="D1576" s="914"/>
    </row>
    <row r="1577" spans="1:4">
      <c r="A1577" s="15"/>
      <c r="B1577" s="15"/>
      <c r="C1577" s="697"/>
      <c r="D1577" s="914"/>
    </row>
    <row r="1578" spans="1:4">
      <c r="A1578" s="15"/>
      <c r="B1578" s="15"/>
      <c r="C1578" s="697"/>
      <c r="D1578" s="914"/>
    </row>
    <row r="1579" spans="1:4">
      <c r="A1579" s="15"/>
      <c r="B1579" s="15"/>
      <c r="C1579" s="697"/>
      <c r="D1579" s="914"/>
    </row>
    <row r="1580" spans="1:4">
      <c r="A1580" s="15"/>
      <c r="B1580" s="15"/>
      <c r="C1580" s="697"/>
      <c r="D1580" s="914"/>
    </row>
    <row r="1581" spans="1:4">
      <c r="A1581" s="15"/>
      <c r="B1581" s="15"/>
      <c r="C1581" s="697"/>
      <c r="D1581" s="914"/>
    </row>
    <row r="1582" spans="1:4">
      <c r="A1582" s="15"/>
      <c r="B1582" s="15"/>
      <c r="C1582" s="697"/>
      <c r="D1582" s="914"/>
    </row>
    <row r="1583" spans="1:4">
      <c r="A1583" s="15"/>
      <c r="B1583" s="15"/>
      <c r="C1583" s="697"/>
      <c r="D1583" s="914"/>
    </row>
    <row r="1584" spans="1:4">
      <c r="A1584" s="15"/>
      <c r="B1584" s="15"/>
      <c r="C1584" s="697"/>
      <c r="D1584" s="914"/>
    </row>
    <row r="1585" spans="1:4">
      <c r="A1585" s="15"/>
      <c r="B1585" s="15"/>
      <c r="C1585" s="697"/>
      <c r="D1585" s="914"/>
    </row>
    <row r="1586" spans="1:4">
      <c r="A1586" s="15"/>
      <c r="B1586" s="15"/>
      <c r="C1586" s="697"/>
      <c r="D1586" s="914"/>
    </row>
    <row r="1587" spans="1:4">
      <c r="A1587" s="15"/>
      <c r="B1587" s="15"/>
      <c r="C1587" s="697"/>
      <c r="D1587" s="914"/>
    </row>
    <row r="1588" spans="1:4">
      <c r="A1588" s="15"/>
      <c r="B1588" s="15"/>
      <c r="C1588" s="697"/>
      <c r="D1588" s="914"/>
    </row>
    <row r="1589" spans="1:4">
      <c r="A1589" s="15"/>
      <c r="B1589" s="15"/>
      <c r="C1589" s="697"/>
      <c r="D1589" s="914"/>
    </row>
    <row r="1590" spans="1:4">
      <c r="A1590" s="15"/>
      <c r="B1590" s="15"/>
      <c r="C1590" s="697"/>
      <c r="D1590" s="914"/>
    </row>
    <row r="1591" spans="1:4">
      <c r="A1591" s="15"/>
      <c r="B1591" s="15"/>
      <c r="C1591" s="697"/>
      <c r="D1591" s="914"/>
    </row>
    <row r="1592" spans="1:4">
      <c r="A1592" s="15"/>
      <c r="B1592" s="15"/>
      <c r="C1592" s="697"/>
      <c r="D1592" s="914"/>
    </row>
    <row r="1593" spans="1:4">
      <c r="A1593" s="15"/>
      <c r="B1593" s="15"/>
      <c r="C1593" s="697"/>
      <c r="D1593" s="914"/>
    </row>
    <row r="1594" spans="1:4">
      <c r="A1594" s="15"/>
      <c r="B1594" s="15"/>
      <c r="C1594" s="697"/>
      <c r="D1594" s="914"/>
    </row>
    <row r="1595" spans="1:4">
      <c r="A1595" s="15"/>
      <c r="B1595" s="15"/>
      <c r="C1595" s="697"/>
      <c r="D1595" s="914"/>
    </row>
    <row r="1596" spans="1:4">
      <c r="A1596" s="15"/>
      <c r="B1596" s="15"/>
      <c r="C1596" s="697"/>
      <c r="D1596" s="914"/>
    </row>
    <row r="1597" spans="1:4">
      <c r="A1597" s="15"/>
      <c r="B1597" s="15"/>
      <c r="C1597" s="697"/>
      <c r="D1597" s="914"/>
    </row>
    <row r="1598" spans="1:4">
      <c r="A1598" s="15"/>
      <c r="B1598" s="15"/>
      <c r="C1598" s="697"/>
      <c r="D1598" s="914"/>
    </row>
    <row r="1599" spans="1:4">
      <c r="A1599" s="15"/>
      <c r="B1599" s="15"/>
      <c r="C1599" s="697"/>
      <c r="D1599" s="914"/>
    </row>
    <row r="1600" spans="1:4">
      <c r="A1600" s="15"/>
      <c r="B1600" s="15"/>
      <c r="C1600" s="697"/>
      <c r="D1600" s="914"/>
    </row>
    <row r="1601" spans="1:4">
      <c r="A1601" s="15"/>
      <c r="B1601" s="15"/>
      <c r="C1601" s="697"/>
      <c r="D1601" s="914"/>
    </row>
    <row r="1602" spans="1:4">
      <c r="A1602" s="15"/>
      <c r="B1602" s="15"/>
      <c r="C1602" s="697"/>
      <c r="D1602" s="914"/>
    </row>
    <row r="1603" spans="1:4">
      <c r="A1603" s="15"/>
      <c r="B1603" s="15"/>
      <c r="C1603" s="697"/>
      <c r="D1603" s="914"/>
    </row>
    <row r="1604" spans="1:4">
      <c r="A1604" s="15"/>
      <c r="B1604" s="15"/>
      <c r="C1604" s="697"/>
      <c r="D1604" s="914"/>
    </row>
    <row r="1605" spans="1:4">
      <c r="A1605" s="15"/>
      <c r="B1605" s="15"/>
      <c r="C1605" s="697"/>
      <c r="D1605" s="914"/>
    </row>
    <row r="1606" spans="1:4">
      <c r="A1606" s="15"/>
      <c r="B1606" s="15"/>
      <c r="C1606" s="697"/>
      <c r="D1606" s="914"/>
    </row>
    <row r="1607" spans="1:4">
      <c r="A1607" s="15"/>
      <c r="B1607" s="15"/>
      <c r="C1607" s="697"/>
      <c r="D1607" s="914"/>
    </row>
    <row r="1608" spans="1:4">
      <c r="A1608" s="15"/>
      <c r="B1608" s="15"/>
      <c r="C1608" s="697"/>
      <c r="D1608" s="914"/>
    </row>
    <row r="1609" spans="1:4">
      <c r="A1609" s="15"/>
      <c r="B1609" s="15"/>
      <c r="C1609" s="697"/>
      <c r="D1609" s="914"/>
    </row>
    <row r="1610" spans="1:4">
      <c r="A1610" s="15"/>
      <c r="B1610" s="15"/>
      <c r="C1610" s="697"/>
      <c r="D1610" s="914"/>
    </row>
    <row r="1611" spans="1:4">
      <c r="A1611" s="15"/>
      <c r="B1611" s="15"/>
      <c r="C1611" s="697"/>
      <c r="D1611" s="914"/>
    </row>
    <row r="1612" spans="1:4">
      <c r="A1612" s="15"/>
      <c r="B1612" s="15"/>
      <c r="C1612" s="697"/>
      <c r="D1612" s="914"/>
    </row>
    <row r="1613" spans="1:4">
      <c r="A1613" s="15"/>
      <c r="B1613" s="15"/>
      <c r="C1613" s="697"/>
      <c r="D1613" s="914"/>
    </row>
    <row r="1614" spans="1:4">
      <c r="A1614" s="15"/>
      <c r="B1614" s="15"/>
      <c r="C1614" s="697"/>
      <c r="D1614" s="914"/>
    </row>
    <row r="1615" spans="1:4">
      <c r="A1615" s="15"/>
      <c r="B1615" s="15"/>
      <c r="C1615" s="697"/>
      <c r="D1615" s="914"/>
    </row>
    <row r="1616" spans="1:4">
      <c r="A1616" s="15"/>
      <c r="B1616" s="15"/>
      <c r="C1616" s="697"/>
      <c r="D1616" s="914"/>
    </row>
    <row r="1617" spans="1:4">
      <c r="A1617" s="15"/>
      <c r="B1617" s="15"/>
      <c r="C1617" s="697"/>
      <c r="D1617" s="914"/>
    </row>
    <row r="1618" spans="1:4">
      <c r="A1618" s="15"/>
      <c r="B1618" s="15"/>
      <c r="C1618" s="697"/>
      <c r="D1618" s="914"/>
    </row>
    <row r="1619" spans="1:4">
      <c r="A1619" s="15"/>
      <c r="B1619" s="15"/>
      <c r="C1619" s="697"/>
      <c r="D1619" s="914"/>
    </row>
    <row r="1620" spans="1:4">
      <c r="A1620" s="15"/>
      <c r="B1620" s="15"/>
      <c r="C1620" s="697"/>
      <c r="D1620" s="914"/>
    </row>
    <row r="1621" spans="1:4">
      <c r="A1621" s="15"/>
      <c r="B1621" s="15"/>
      <c r="C1621" s="697"/>
      <c r="D1621" s="914"/>
    </row>
    <row r="1622" spans="1:4">
      <c r="A1622" s="15"/>
      <c r="B1622" s="15"/>
      <c r="C1622" s="697"/>
      <c r="D1622" s="914"/>
    </row>
    <row r="1623" spans="1:4">
      <c r="A1623" s="15"/>
      <c r="B1623" s="15"/>
      <c r="C1623" s="697"/>
      <c r="D1623" s="914"/>
    </row>
    <row r="1624" spans="1:4">
      <c r="A1624" s="15"/>
      <c r="B1624" s="15"/>
      <c r="C1624" s="697"/>
      <c r="D1624" s="914"/>
    </row>
    <row r="1625" spans="1:4">
      <c r="A1625" s="15"/>
      <c r="B1625" s="15"/>
      <c r="C1625" s="697"/>
      <c r="D1625" s="914"/>
    </row>
    <row r="1626" spans="1:4">
      <c r="A1626" s="15"/>
      <c r="B1626" s="15"/>
      <c r="C1626" s="697"/>
      <c r="D1626" s="914"/>
    </row>
    <row r="1627" spans="1:4">
      <c r="A1627" s="15"/>
      <c r="B1627" s="15"/>
      <c r="C1627" s="697"/>
      <c r="D1627" s="914"/>
    </row>
    <row r="1628" spans="1:4">
      <c r="A1628" s="15"/>
      <c r="B1628" s="15"/>
      <c r="C1628" s="697"/>
      <c r="D1628" s="914"/>
    </row>
    <row r="1629" spans="1:4">
      <c r="A1629" s="15"/>
      <c r="B1629" s="15"/>
      <c r="C1629" s="697"/>
      <c r="D1629" s="914"/>
    </row>
    <row r="1630" spans="1:4">
      <c r="A1630" s="15"/>
      <c r="B1630" s="15"/>
      <c r="C1630" s="697"/>
      <c r="D1630" s="914"/>
    </row>
    <row r="1631" spans="1:4">
      <c r="A1631" s="15"/>
      <c r="B1631" s="15"/>
      <c r="C1631" s="697"/>
      <c r="D1631" s="914"/>
    </row>
    <row r="1632" spans="1:4">
      <c r="A1632" s="15"/>
      <c r="B1632" s="15"/>
      <c r="C1632" s="697"/>
      <c r="D1632" s="914"/>
    </row>
    <row r="1633" spans="1:4">
      <c r="A1633" s="15"/>
      <c r="B1633" s="15"/>
      <c r="C1633" s="697"/>
      <c r="D1633" s="914"/>
    </row>
    <row r="1634" spans="1:4">
      <c r="A1634" s="15"/>
      <c r="B1634" s="15"/>
      <c r="C1634" s="697"/>
      <c r="D1634" s="914"/>
    </row>
    <row r="1635" spans="1:4">
      <c r="A1635" s="15"/>
      <c r="B1635" s="15"/>
      <c r="C1635" s="697"/>
      <c r="D1635" s="914"/>
    </row>
    <row r="1636" spans="1:4">
      <c r="A1636" s="15"/>
      <c r="B1636" s="15"/>
      <c r="C1636" s="697"/>
      <c r="D1636" s="914"/>
    </row>
    <row r="1637" spans="1:4">
      <c r="A1637" s="15"/>
      <c r="B1637" s="15"/>
      <c r="C1637" s="697"/>
      <c r="D1637" s="914"/>
    </row>
    <row r="1638" spans="1:4">
      <c r="A1638" s="15"/>
      <c r="B1638" s="15"/>
      <c r="C1638" s="697"/>
      <c r="D1638" s="914"/>
    </row>
    <row r="1639" spans="1:4">
      <c r="A1639" s="15"/>
      <c r="B1639" s="15"/>
      <c r="C1639" s="697"/>
      <c r="D1639" s="914"/>
    </row>
    <row r="1640" spans="1:4">
      <c r="A1640" s="15"/>
      <c r="B1640" s="15"/>
      <c r="C1640" s="697"/>
      <c r="D1640" s="914"/>
    </row>
    <row r="1641" spans="1:4">
      <c r="A1641" s="15"/>
      <c r="B1641" s="15"/>
      <c r="C1641" s="697"/>
      <c r="D1641" s="914"/>
    </row>
    <row r="1642" spans="1:4">
      <c r="A1642" s="15"/>
      <c r="B1642" s="15"/>
      <c r="C1642" s="697"/>
      <c r="D1642" s="914"/>
    </row>
    <row r="1643" spans="1:4">
      <c r="A1643" s="15"/>
      <c r="B1643" s="15"/>
      <c r="C1643" s="697"/>
      <c r="D1643" s="914"/>
    </row>
    <row r="1644" spans="1:4">
      <c r="A1644" s="15"/>
      <c r="B1644" s="15"/>
      <c r="C1644" s="697"/>
      <c r="D1644" s="914"/>
    </row>
    <row r="1645" spans="1:4">
      <c r="A1645" s="15"/>
      <c r="B1645" s="15"/>
      <c r="C1645" s="697"/>
      <c r="D1645" s="914"/>
    </row>
    <row r="1646" spans="1:4">
      <c r="A1646" s="15"/>
      <c r="B1646" s="15"/>
      <c r="C1646" s="697"/>
      <c r="D1646" s="914"/>
    </row>
    <row r="1647" spans="1:4">
      <c r="A1647" s="15"/>
      <c r="B1647" s="15"/>
      <c r="C1647" s="697"/>
      <c r="D1647" s="914"/>
    </row>
    <row r="1648" spans="1:4">
      <c r="A1648" s="15"/>
      <c r="B1648" s="15"/>
      <c r="C1648" s="697"/>
      <c r="D1648" s="914"/>
    </row>
    <row r="1649" spans="1:4">
      <c r="A1649" s="15"/>
      <c r="B1649" s="15"/>
      <c r="C1649" s="697"/>
      <c r="D1649" s="914"/>
    </row>
    <row r="1650" spans="1:4">
      <c r="A1650" s="15"/>
      <c r="B1650" s="15"/>
      <c r="C1650" s="697"/>
      <c r="D1650" s="914"/>
    </row>
    <row r="1651" spans="1:4">
      <c r="A1651" s="15"/>
      <c r="B1651" s="15"/>
      <c r="C1651" s="697"/>
      <c r="D1651" s="914"/>
    </row>
    <row r="1652" spans="1:4">
      <c r="A1652" s="15"/>
      <c r="B1652" s="15"/>
      <c r="C1652" s="697"/>
      <c r="D1652" s="914"/>
    </row>
    <row r="1653" spans="1:4">
      <c r="A1653" s="15"/>
      <c r="B1653" s="15"/>
      <c r="C1653" s="697"/>
      <c r="D1653" s="914"/>
    </row>
    <row r="1654" spans="1:4">
      <c r="A1654" s="15"/>
      <c r="B1654" s="15"/>
      <c r="C1654" s="697"/>
      <c r="D1654" s="914"/>
    </row>
    <row r="1655" spans="1:4">
      <c r="A1655" s="15"/>
      <c r="B1655" s="15"/>
      <c r="C1655" s="697"/>
      <c r="D1655" s="914"/>
    </row>
    <row r="1656" spans="1:4">
      <c r="A1656" s="15"/>
      <c r="B1656" s="15"/>
      <c r="C1656" s="697"/>
      <c r="D1656" s="914"/>
    </row>
    <row r="1657" spans="1:4">
      <c r="A1657" s="15"/>
      <c r="B1657" s="15"/>
      <c r="C1657" s="697"/>
      <c r="D1657" s="914"/>
    </row>
    <row r="1658" spans="1:4">
      <c r="A1658" s="15"/>
      <c r="B1658" s="15"/>
      <c r="C1658" s="697"/>
      <c r="D1658" s="914"/>
    </row>
    <row r="1659" spans="1:4">
      <c r="A1659" s="15"/>
      <c r="B1659" s="15"/>
      <c r="C1659" s="697"/>
      <c r="D1659" s="914"/>
    </row>
    <row r="1660" spans="1:4">
      <c r="A1660" s="15"/>
      <c r="B1660" s="15"/>
      <c r="C1660" s="697"/>
      <c r="D1660" s="914"/>
    </row>
    <row r="1661" spans="1:4">
      <c r="A1661" s="15"/>
      <c r="B1661" s="15"/>
      <c r="C1661" s="697"/>
      <c r="D1661" s="914"/>
    </row>
    <row r="1662" spans="1:4">
      <c r="A1662" s="15"/>
      <c r="B1662" s="15"/>
      <c r="C1662" s="697"/>
      <c r="D1662" s="914"/>
    </row>
    <row r="1663" spans="1:4">
      <c r="A1663" s="15"/>
      <c r="B1663" s="15"/>
      <c r="C1663" s="697"/>
      <c r="D1663" s="914"/>
    </row>
    <row r="1664" spans="1:4">
      <c r="A1664" s="15"/>
      <c r="B1664" s="15"/>
      <c r="C1664" s="697"/>
      <c r="D1664" s="914"/>
    </row>
    <row r="1665" spans="1:4">
      <c r="A1665" s="15"/>
      <c r="B1665" s="15"/>
      <c r="C1665" s="697"/>
      <c r="D1665" s="914"/>
    </row>
    <row r="1666" spans="1:4">
      <c r="A1666" s="15"/>
      <c r="B1666" s="15"/>
      <c r="C1666" s="697"/>
      <c r="D1666" s="914"/>
    </row>
    <row r="1667" spans="1:4">
      <c r="A1667" s="15"/>
      <c r="B1667" s="15"/>
      <c r="C1667" s="697"/>
      <c r="D1667" s="914"/>
    </row>
    <row r="1668" spans="1:4">
      <c r="A1668" s="15"/>
      <c r="B1668" s="15"/>
      <c r="C1668" s="697"/>
      <c r="D1668" s="914"/>
    </row>
    <row r="1669" spans="1:4">
      <c r="A1669" s="15"/>
      <c r="B1669" s="15"/>
      <c r="C1669" s="697"/>
      <c r="D1669" s="914"/>
    </row>
    <row r="1670" spans="1:4">
      <c r="A1670" s="15"/>
      <c r="B1670" s="15"/>
      <c r="C1670" s="697"/>
      <c r="D1670" s="914"/>
    </row>
    <row r="1671" spans="1:4">
      <c r="A1671" s="15"/>
      <c r="B1671" s="15"/>
      <c r="C1671" s="697"/>
      <c r="D1671" s="914"/>
    </row>
    <row r="1672" spans="1:4">
      <c r="A1672" s="15"/>
      <c r="B1672" s="15"/>
      <c r="C1672" s="697"/>
      <c r="D1672" s="914"/>
    </row>
    <row r="1673" spans="1:4">
      <c r="A1673" s="15"/>
      <c r="B1673" s="15"/>
      <c r="C1673" s="697"/>
      <c r="D1673" s="914"/>
    </row>
    <row r="1674" spans="1:4">
      <c r="A1674" s="15"/>
      <c r="B1674" s="15"/>
      <c r="C1674" s="697"/>
      <c r="D1674" s="914"/>
    </row>
    <row r="1675" spans="1:4">
      <c r="A1675" s="15"/>
      <c r="B1675" s="15"/>
      <c r="C1675" s="697"/>
      <c r="D1675" s="914"/>
    </row>
    <row r="1676" spans="1:4">
      <c r="A1676" s="15"/>
      <c r="B1676" s="15"/>
      <c r="C1676" s="697"/>
      <c r="D1676" s="914"/>
    </row>
    <row r="1677" spans="1:4">
      <c r="A1677" s="15"/>
      <c r="B1677" s="15"/>
      <c r="C1677" s="697"/>
      <c r="D1677" s="914"/>
    </row>
    <row r="1678" spans="1:4">
      <c r="A1678" s="15"/>
      <c r="B1678" s="15"/>
      <c r="C1678" s="697"/>
      <c r="D1678" s="914"/>
    </row>
    <row r="1679" spans="1:4">
      <c r="A1679" s="15"/>
      <c r="B1679" s="15"/>
      <c r="C1679" s="697"/>
      <c r="D1679" s="914"/>
    </row>
    <row r="1680" spans="1:4">
      <c r="A1680" s="15"/>
      <c r="B1680" s="15"/>
      <c r="C1680" s="697"/>
      <c r="D1680" s="914"/>
    </row>
    <row r="1681" spans="1:4">
      <c r="A1681" s="15"/>
      <c r="B1681" s="15"/>
      <c r="C1681" s="697"/>
      <c r="D1681" s="914"/>
    </row>
    <row r="1682" spans="1:4">
      <c r="A1682" s="15"/>
      <c r="B1682" s="15"/>
      <c r="C1682" s="697"/>
      <c r="D1682" s="914"/>
    </row>
    <row r="1683" spans="1:4">
      <c r="A1683" s="15"/>
      <c r="B1683" s="15"/>
      <c r="C1683" s="697"/>
      <c r="D1683" s="914"/>
    </row>
    <row r="1684" spans="1:4">
      <c r="A1684" s="15"/>
      <c r="B1684" s="15"/>
      <c r="C1684" s="697"/>
      <c r="D1684" s="914"/>
    </row>
    <row r="1685" spans="1:4">
      <c r="A1685" s="15"/>
      <c r="B1685" s="15"/>
      <c r="C1685" s="697"/>
      <c r="D1685" s="914"/>
    </row>
    <row r="1686" spans="1:4">
      <c r="A1686" s="15"/>
      <c r="B1686" s="15"/>
      <c r="C1686" s="697"/>
      <c r="D1686" s="914"/>
    </row>
    <row r="1687" spans="1:4">
      <c r="A1687" s="15"/>
      <c r="B1687" s="15"/>
      <c r="C1687" s="697"/>
      <c r="D1687" s="914"/>
    </row>
    <row r="1688" spans="1:4">
      <c r="A1688" s="15"/>
      <c r="B1688" s="15"/>
      <c r="C1688" s="697"/>
      <c r="D1688" s="914"/>
    </row>
    <row r="1689" spans="1:4">
      <c r="A1689" s="15"/>
      <c r="B1689" s="15"/>
      <c r="C1689" s="697"/>
      <c r="D1689" s="914"/>
    </row>
    <row r="1690" spans="1:4">
      <c r="A1690" s="15"/>
      <c r="B1690" s="15"/>
      <c r="C1690" s="697"/>
      <c r="D1690" s="914"/>
    </row>
    <row r="1691" spans="1:4">
      <c r="A1691" s="15"/>
      <c r="B1691" s="15"/>
      <c r="C1691" s="697"/>
      <c r="D1691" s="914"/>
    </row>
    <row r="1692" spans="1:4">
      <c r="A1692" s="15"/>
      <c r="B1692" s="15"/>
      <c r="C1692" s="697"/>
      <c r="D1692" s="914"/>
    </row>
    <row r="1693" spans="1:4">
      <c r="A1693" s="15"/>
      <c r="B1693" s="15"/>
      <c r="C1693" s="697"/>
      <c r="D1693" s="914"/>
    </row>
    <row r="1694" spans="1:4">
      <c r="A1694" s="15"/>
      <c r="B1694" s="15"/>
      <c r="C1694" s="697"/>
      <c r="D1694" s="914"/>
    </row>
    <row r="1695" spans="1:4">
      <c r="A1695" s="15"/>
      <c r="B1695" s="15"/>
      <c r="C1695" s="697"/>
      <c r="D1695" s="914"/>
    </row>
    <row r="1696" spans="1:4">
      <c r="A1696" s="15"/>
      <c r="B1696" s="15"/>
      <c r="C1696" s="697"/>
      <c r="D1696" s="914"/>
    </row>
    <row r="1697" spans="1:4">
      <c r="A1697" s="15"/>
      <c r="B1697" s="15"/>
      <c r="C1697" s="697"/>
      <c r="D1697" s="914"/>
    </row>
    <row r="1698" spans="1:4">
      <c r="A1698" s="15"/>
      <c r="B1698" s="15"/>
      <c r="C1698" s="697"/>
      <c r="D1698" s="914"/>
    </row>
    <row r="1699" spans="1:4">
      <c r="A1699" s="15"/>
      <c r="B1699" s="15"/>
      <c r="C1699" s="697"/>
      <c r="D1699" s="914"/>
    </row>
    <row r="1700" spans="1:4">
      <c r="A1700" s="15"/>
      <c r="B1700" s="15"/>
      <c r="C1700" s="697"/>
      <c r="D1700" s="914"/>
    </row>
    <row r="1701" spans="1:4">
      <c r="A1701" s="15"/>
      <c r="B1701" s="15"/>
      <c r="C1701" s="697"/>
      <c r="D1701" s="914"/>
    </row>
    <row r="1702" spans="1:4">
      <c r="A1702" s="15"/>
      <c r="B1702" s="15"/>
      <c r="C1702" s="697"/>
      <c r="D1702" s="914"/>
    </row>
    <row r="1703" spans="1:4">
      <c r="A1703" s="15"/>
      <c r="B1703" s="15"/>
      <c r="C1703" s="697"/>
      <c r="D1703" s="914"/>
    </row>
    <row r="1704" spans="1:4">
      <c r="A1704" s="15"/>
      <c r="B1704" s="15"/>
      <c r="C1704" s="697"/>
      <c r="D1704" s="914"/>
    </row>
    <row r="1705" spans="1:4">
      <c r="A1705" s="15"/>
      <c r="B1705" s="15"/>
      <c r="C1705" s="697"/>
      <c r="D1705" s="914"/>
    </row>
    <row r="1706" spans="1:4">
      <c r="A1706" s="15"/>
      <c r="B1706" s="15"/>
      <c r="C1706" s="697"/>
      <c r="D1706" s="914"/>
    </row>
    <row r="1707" spans="1:4">
      <c r="A1707" s="15"/>
      <c r="B1707" s="15"/>
      <c r="C1707" s="697"/>
      <c r="D1707" s="914"/>
    </row>
    <row r="1708" spans="1:4">
      <c r="A1708" s="15"/>
      <c r="B1708" s="15"/>
      <c r="C1708" s="697"/>
      <c r="D1708" s="914"/>
    </row>
    <row r="1709" spans="1:4">
      <c r="A1709" s="15"/>
      <c r="B1709" s="15"/>
      <c r="C1709" s="697"/>
      <c r="D1709" s="914"/>
    </row>
    <row r="1710" spans="1:4">
      <c r="A1710" s="15"/>
      <c r="B1710" s="15"/>
      <c r="C1710" s="697"/>
      <c r="D1710" s="914"/>
    </row>
    <row r="1711" spans="1:4">
      <c r="A1711" s="15"/>
      <c r="B1711" s="15"/>
      <c r="C1711" s="697"/>
      <c r="D1711" s="914"/>
    </row>
    <row r="1712" spans="1:4">
      <c r="A1712" s="15"/>
      <c r="B1712" s="15"/>
      <c r="C1712" s="697"/>
      <c r="D1712" s="914"/>
    </row>
    <row r="1713" spans="1:4">
      <c r="A1713" s="15"/>
      <c r="B1713" s="15"/>
      <c r="C1713" s="697"/>
      <c r="D1713" s="914"/>
    </row>
    <row r="1714" spans="1:4">
      <c r="A1714" s="15"/>
      <c r="B1714" s="15"/>
      <c r="C1714" s="697"/>
      <c r="D1714" s="914"/>
    </row>
    <row r="1715" spans="1:4">
      <c r="A1715" s="15"/>
      <c r="B1715" s="15"/>
      <c r="C1715" s="697"/>
      <c r="D1715" s="914"/>
    </row>
    <row r="1716" spans="1:4">
      <c r="A1716" s="15"/>
      <c r="B1716" s="15"/>
      <c r="C1716" s="697"/>
      <c r="D1716" s="914"/>
    </row>
    <row r="1717" spans="1:4">
      <c r="A1717" s="15"/>
      <c r="B1717" s="15"/>
      <c r="C1717" s="697"/>
      <c r="D1717" s="914"/>
    </row>
    <row r="1718" spans="1:4">
      <c r="A1718" s="15"/>
      <c r="B1718" s="15"/>
      <c r="C1718" s="697"/>
      <c r="D1718" s="914"/>
    </row>
    <row r="1719" spans="1:4">
      <c r="A1719" s="15"/>
      <c r="B1719" s="15"/>
      <c r="C1719" s="697"/>
      <c r="D1719" s="914"/>
    </row>
    <row r="1720" spans="1:4">
      <c r="A1720" s="15"/>
      <c r="B1720" s="15"/>
      <c r="C1720" s="697"/>
      <c r="D1720" s="914"/>
    </row>
    <row r="1721" spans="1:4">
      <c r="A1721" s="15"/>
      <c r="B1721" s="15"/>
      <c r="C1721" s="697"/>
      <c r="D1721" s="914"/>
    </row>
    <row r="1722" spans="1:4">
      <c r="A1722" s="15"/>
      <c r="B1722" s="15"/>
      <c r="C1722" s="697"/>
      <c r="D1722" s="914"/>
    </row>
    <row r="1723" spans="1:4">
      <c r="A1723" s="15"/>
      <c r="B1723" s="15"/>
      <c r="C1723" s="697"/>
      <c r="D1723" s="914"/>
    </row>
    <row r="1724" spans="1:4">
      <c r="A1724" s="15"/>
      <c r="B1724" s="15"/>
      <c r="C1724" s="697"/>
      <c r="D1724" s="914"/>
    </row>
    <row r="1725" spans="1:4">
      <c r="A1725" s="15"/>
      <c r="B1725" s="15"/>
      <c r="C1725" s="697"/>
      <c r="D1725" s="914"/>
    </row>
    <row r="1726" spans="1:4">
      <c r="A1726" s="15"/>
      <c r="B1726" s="15"/>
      <c r="C1726" s="697"/>
      <c r="D1726" s="914"/>
    </row>
    <row r="1727" spans="1:4">
      <c r="A1727" s="15"/>
      <c r="B1727" s="15"/>
      <c r="C1727" s="697"/>
      <c r="D1727" s="914"/>
    </row>
    <row r="1728" spans="1:4">
      <c r="A1728" s="15"/>
      <c r="B1728" s="15"/>
      <c r="C1728" s="697"/>
      <c r="D1728" s="914"/>
    </row>
    <row r="1729" spans="1:4">
      <c r="A1729" s="15"/>
      <c r="B1729" s="15"/>
      <c r="C1729" s="697"/>
      <c r="D1729" s="914"/>
    </row>
    <row r="1730" spans="1:4">
      <c r="A1730" s="15"/>
      <c r="B1730" s="15"/>
      <c r="C1730" s="697"/>
      <c r="D1730" s="914"/>
    </row>
    <row r="1731" spans="1:4">
      <c r="A1731" s="15"/>
      <c r="B1731" s="15"/>
      <c r="C1731" s="697"/>
      <c r="D1731" s="914"/>
    </row>
    <row r="1732" spans="1:4">
      <c r="A1732" s="15"/>
      <c r="B1732" s="15"/>
      <c r="C1732" s="697"/>
      <c r="D1732" s="914"/>
    </row>
    <row r="1733" spans="1:4">
      <c r="A1733" s="15"/>
      <c r="B1733" s="15"/>
      <c r="C1733" s="697"/>
      <c r="D1733" s="914"/>
    </row>
    <row r="1734" spans="1:4">
      <c r="A1734" s="15"/>
      <c r="B1734" s="15"/>
      <c r="C1734" s="697"/>
      <c r="D1734" s="914"/>
    </row>
    <row r="1735" spans="1:4">
      <c r="A1735" s="15"/>
      <c r="B1735" s="15"/>
      <c r="C1735" s="697"/>
      <c r="D1735" s="914"/>
    </row>
    <row r="1736" spans="1:4">
      <c r="A1736" s="15"/>
      <c r="B1736" s="15"/>
      <c r="C1736" s="697"/>
      <c r="D1736" s="914"/>
    </row>
    <row r="1737" spans="1:4">
      <c r="A1737" s="15"/>
      <c r="B1737" s="15"/>
      <c r="C1737" s="697"/>
      <c r="D1737" s="914"/>
    </row>
    <row r="1738" spans="1:4">
      <c r="A1738" s="15"/>
      <c r="B1738" s="15"/>
      <c r="C1738" s="697"/>
      <c r="D1738" s="914"/>
    </row>
    <row r="1739" spans="1:4">
      <c r="A1739" s="15"/>
      <c r="B1739" s="15"/>
      <c r="C1739" s="697"/>
      <c r="D1739" s="914"/>
    </row>
    <row r="1740" spans="1:4">
      <c r="A1740" s="15"/>
      <c r="B1740" s="15"/>
      <c r="C1740" s="697"/>
      <c r="D1740" s="914"/>
    </row>
    <row r="1741" spans="1:4">
      <c r="A1741" s="15"/>
      <c r="B1741" s="15"/>
      <c r="C1741" s="697"/>
      <c r="D1741" s="914"/>
    </row>
    <row r="1742" spans="1:4">
      <c r="A1742" s="15"/>
      <c r="B1742" s="15"/>
      <c r="C1742" s="697"/>
      <c r="D1742" s="914"/>
    </row>
    <row r="1743" spans="1:4">
      <c r="A1743" s="15"/>
      <c r="B1743" s="15"/>
      <c r="C1743" s="697"/>
      <c r="D1743" s="914"/>
    </row>
    <row r="1744" spans="1:4">
      <c r="A1744" s="15"/>
      <c r="B1744" s="15"/>
      <c r="C1744" s="697"/>
      <c r="D1744" s="914"/>
    </row>
    <row r="1745" spans="1:4">
      <c r="A1745" s="15"/>
      <c r="B1745" s="15"/>
      <c r="C1745" s="697"/>
      <c r="D1745" s="914"/>
    </row>
    <row r="1746" spans="1:4">
      <c r="A1746" s="15"/>
      <c r="B1746" s="15"/>
      <c r="C1746" s="697"/>
      <c r="D1746" s="914"/>
    </row>
    <row r="1747" spans="1:4">
      <c r="A1747" s="15"/>
      <c r="B1747" s="15"/>
      <c r="C1747" s="697"/>
      <c r="D1747" s="914"/>
    </row>
    <row r="1748" spans="1:4">
      <c r="A1748" s="15"/>
      <c r="B1748" s="15"/>
      <c r="C1748" s="697"/>
      <c r="D1748" s="914"/>
    </row>
    <row r="1749" spans="1:4">
      <c r="A1749" s="15"/>
      <c r="B1749" s="15"/>
      <c r="C1749" s="697"/>
      <c r="D1749" s="914"/>
    </row>
    <row r="1750" spans="1:4">
      <c r="A1750" s="15"/>
      <c r="B1750" s="15"/>
      <c r="C1750" s="697"/>
      <c r="D1750" s="914"/>
    </row>
    <row r="1751" spans="1:4">
      <c r="A1751" s="15"/>
      <c r="B1751" s="15"/>
      <c r="C1751" s="697"/>
      <c r="D1751" s="914"/>
    </row>
    <row r="1752" spans="1:4">
      <c r="A1752" s="15"/>
      <c r="B1752" s="15"/>
      <c r="C1752" s="697"/>
      <c r="D1752" s="914"/>
    </row>
    <row r="1753" spans="1:4">
      <c r="A1753" s="15"/>
      <c r="B1753" s="15"/>
      <c r="C1753" s="697"/>
      <c r="D1753" s="914"/>
    </row>
    <row r="1754" spans="1:4">
      <c r="A1754" s="15"/>
      <c r="B1754" s="15"/>
      <c r="C1754" s="697"/>
      <c r="D1754" s="914"/>
    </row>
    <row r="1755" spans="1:4">
      <c r="A1755" s="15"/>
      <c r="B1755" s="15"/>
      <c r="C1755" s="697"/>
      <c r="D1755" s="914"/>
    </row>
    <row r="1756" spans="1:4">
      <c r="A1756" s="15"/>
      <c r="B1756" s="15"/>
      <c r="C1756" s="697"/>
      <c r="D1756" s="914"/>
    </row>
    <row r="1757" spans="1:4">
      <c r="A1757" s="15"/>
      <c r="B1757" s="15"/>
      <c r="C1757" s="697"/>
      <c r="D1757" s="914"/>
    </row>
    <row r="1758" spans="1:4">
      <c r="A1758" s="15"/>
      <c r="B1758" s="15"/>
      <c r="C1758" s="697"/>
      <c r="D1758" s="914"/>
    </row>
    <row r="1759" spans="1:4">
      <c r="A1759" s="15"/>
      <c r="B1759" s="15"/>
      <c r="C1759" s="697"/>
      <c r="D1759" s="914"/>
    </row>
    <row r="1760" spans="1:4">
      <c r="A1760" s="15"/>
      <c r="B1760" s="15"/>
      <c r="C1760" s="697"/>
      <c r="D1760" s="914"/>
    </row>
    <row r="1761" spans="1:4">
      <c r="A1761" s="15"/>
      <c r="B1761" s="15"/>
      <c r="C1761" s="697"/>
      <c r="D1761" s="914"/>
    </row>
    <row r="1762" spans="1:4">
      <c r="A1762" s="15"/>
      <c r="B1762" s="15"/>
      <c r="C1762" s="697"/>
      <c r="D1762" s="914"/>
    </row>
    <row r="1763" spans="1:4">
      <c r="A1763" s="15"/>
      <c r="B1763" s="15"/>
      <c r="C1763" s="697"/>
      <c r="D1763" s="914"/>
    </row>
    <row r="1764" spans="1:4">
      <c r="A1764" s="15"/>
      <c r="B1764" s="15"/>
      <c r="C1764" s="697"/>
      <c r="D1764" s="914"/>
    </row>
    <row r="1765" spans="1:4">
      <c r="A1765" s="15"/>
      <c r="B1765" s="15"/>
      <c r="C1765" s="697"/>
      <c r="D1765" s="914"/>
    </row>
    <row r="1766" spans="1:4">
      <c r="A1766" s="15"/>
      <c r="B1766" s="15"/>
      <c r="C1766" s="697"/>
      <c r="D1766" s="914"/>
    </row>
    <row r="1767" spans="1:4">
      <c r="A1767" s="15"/>
      <c r="B1767" s="15"/>
      <c r="C1767" s="697"/>
      <c r="D1767" s="914"/>
    </row>
    <row r="1768" spans="1:4">
      <c r="A1768" s="15"/>
      <c r="B1768" s="15"/>
      <c r="C1768" s="697"/>
      <c r="D1768" s="914"/>
    </row>
    <row r="1769" spans="1:4">
      <c r="A1769" s="15"/>
      <c r="B1769" s="15"/>
      <c r="C1769" s="697"/>
      <c r="D1769" s="914"/>
    </row>
    <row r="1770" spans="1:4">
      <c r="A1770" s="15"/>
      <c r="B1770" s="15"/>
      <c r="C1770" s="697"/>
      <c r="D1770" s="914"/>
    </row>
    <row r="1771" spans="1:4">
      <c r="A1771" s="15"/>
      <c r="B1771" s="15"/>
      <c r="C1771" s="697"/>
      <c r="D1771" s="914"/>
    </row>
    <row r="1772" spans="1:4">
      <c r="A1772" s="15"/>
      <c r="B1772" s="15"/>
      <c r="C1772" s="697"/>
      <c r="D1772" s="914"/>
    </row>
    <row r="1773" spans="1:4">
      <c r="A1773" s="15"/>
      <c r="B1773" s="15"/>
      <c r="C1773" s="697"/>
      <c r="D1773" s="914"/>
    </row>
    <row r="1774" spans="1:4">
      <c r="A1774" s="15"/>
      <c r="B1774" s="15"/>
      <c r="C1774" s="697"/>
      <c r="D1774" s="914"/>
    </row>
    <row r="1775" spans="1:4">
      <c r="A1775" s="15"/>
      <c r="B1775" s="15"/>
      <c r="C1775" s="697"/>
      <c r="D1775" s="914"/>
    </row>
    <row r="1776" spans="1:4">
      <c r="A1776" s="15"/>
      <c r="B1776" s="15"/>
      <c r="C1776" s="697"/>
      <c r="D1776" s="914"/>
    </row>
    <row r="1777" spans="1:4">
      <c r="A1777" s="15"/>
      <c r="B1777" s="15"/>
      <c r="C1777" s="697"/>
      <c r="D1777" s="914"/>
    </row>
    <row r="1778" spans="1:4">
      <c r="A1778" s="15"/>
      <c r="B1778" s="15"/>
      <c r="C1778" s="697"/>
      <c r="D1778" s="914"/>
    </row>
    <row r="1779" spans="1:4">
      <c r="A1779" s="15"/>
      <c r="B1779" s="15"/>
      <c r="C1779" s="697"/>
      <c r="D1779" s="914"/>
    </row>
    <row r="1780" spans="1:4">
      <c r="A1780" s="15"/>
      <c r="B1780" s="15"/>
      <c r="C1780" s="697"/>
      <c r="D1780" s="914"/>
    </row>
    <row r="1781" spans="1:4">
      <c r="A1781" s="15"/>
      <c r="B1781" s="15"/>
      <c r="C1781" s="697"/>
      <c r="D1781" s="914"/>
    </row>
    <row r="1782" spans="1:4">
      <c r="A1782" s="15"/>
      <c r="B1782" s="15"/>
      <c r="C1782" s="697"/>
      <c r="D1782" s="914"/>
    </row>
    <row r="1783" spans="1:4">
      <c r="A1783" s="15"/>
      <c r="B1783" s="15"/>
      <c r="C1783" s="697"/>
      <c r="D1783" s="914"/>
    </row>
    <row r="1784" spans="1:4">
      <c r="A1784" s="15"/>
      <c r="B1784" s="15"/>
      <c r="C1784" s="697"/>
      <c r="D1784" s="914"/>
    </row>
    <row r="1785" spans="1:4">
      <c r="A1785" s="15"/>
      <c r="B1785" s="15"/>
      <c r="C1785" s="697"/>
      <c r="D1785" s="914"/>
    </row>
    <row r="1786" spans="1:4">
      <c r="A1786" s="15"/>
      <c r="B1786" s="15"/>
      <c r="C1786" s="697"/>
      <c r="D1786" s="914"/>
    </row>
    <row r="1787" spans="1:4">
      <c r="A1787" s="15"/>
      <c r="B1787" s="15"/>
      <c r="C1787" s="697"/>
      <c r="D1787" s="914"/>
    </row>
    <row r="1788" spans="1:4">
      <c r="A1788" s="15"/>
      <c r="B1788" s="15"/>
      <c r="C1788" s="697"/>
      <c r="D1788" s="914"/>
    </row>
    <row r="1789" spans="1:4">
      <c r="A1789" s="15"/>
      <c r="B1789" s="15"/>
      <c r="C1789" s="697"/>
      <c r="D1789" s="914"/>
    </row>
    <row r="1790" spans="1:4">
      <c r="A1790" s="15"/>
      <c r="B1790" s="15"/>
      <c r="C1790" s="697"/>
      <c r="D1790" s="914"/>
    </row>
    <row r="1791" spans="1:4">
      <c r="A1791" s="15"/>
      <c r="B1791" s="15"/>
      <c r="C1791" s="697"/>
      <c r="D1791" s="914"/>
    </row>
    <row r="1792" spans="1:4">
      <c r="A1792" s="15"/>
      <c r="B1792" s="15"/>
      <c r="C1792" s="697"/>
      <c r="D1792" s="914"/>
    </row>
    <row r="1793" spans="1:4">
      <c r="A1793" s="15"/>
      <c r="B1793" s="15"/>
      <c r="C1793" s="697"/>
      <c r="D1793" s="914"/>
    </row>
    <row r="1794" spans="1:4">
      <c r="A1794" s="15"/>
      <c r="B1794" s="15"/>
      <c r="C1794" s="697"/>
      <c r="D1794" s="914"/>
    </row>
    <row r="1795" spans="1:4">
      <c r="A1795" s="15"/>
      <c r="B1795" s="15"/>
      <c r="C1795" s="697"/>
      <c r="D1795" s="914"/>
    </row>
    <row r="1796" spans="1:4">
      <c r="A1796" s="15"/>
      <c r="B1796" s="15"/>
      <c r="C1796" s="697"/>
      <c r="D1796" s="914"/>
    </row>
    <row r="1797" spans="1:4">
      <c r="A1797" s="15"/>
      <c r="B1797" s="15"/>
      <c r="C1797" s="697"/>
      <c r="D1797" s="914"/>
    </row>
    <row r="1798" spans="1:4">
      <c r="A1798" s="15"/>
      <c r="B1798" s="15"/>
      <c r="C1798" s="697"/>
      <c r="D1798" s="914"/>
    </row>
    <row r="1799" spans="1:4">
      <c r="A1799" s="15"/>
      <c r="B1799" s="15"/>
      <c r="C1799" s="697"/>
      <c r="D1799" s="914"/>
    </row>
    <row r="1800" spans="1:4">
      <c r="A1800" s="15"/>
      <c r="B1800" s="15"/>
      <c r="C1800" s="697"/>
      <c r="D1800" s="914"/>
    </row>
    <row r="1801" spans="1:4">
      <c r="A1801" s="15"/>
      <c r="B1801" s="15"/>
      <c r="C1801" s="697"/>
      <c r="D1801" s="914"/>
    </row>
    <row r="1802" spans="1:4">
      <c r="A1802" s="15"/>
      <c r="B1802" s="15"/>
      <c r="C1802" s="697"/>
      <c r="D1802" s="914"/>
    </row>
    <row r="1803" spans="1:4">
      <c r="A1803" s="15"/>
      <c r="B1803" s="15"/>
      <c r="C1803" s="697"/>
      <c r="D1803" s="914"/>
    </row>
    <row r="1804" spans="1:4">
      <c r="A1804" s="15"/>
      <c r="B1804" s="15"/>
      <c r="C1804" s="697"/>
      <c r="D1804" s="914"/>
    </row>
    <row r="1805" spans="1:4">
      <c r="A1805" s="15"/>
      <c r="B1805" s="15"/>
      <c r="C1805" s="697"/>
      <c r="D1805" s="914"/>
    </row>
    <row r="1806" spans="1:4">
      <c r="A1806" s="15"/>
      <c r="B1806" s="15"/>
      <c r="C1806" s="697"/>
      <c r="D1806" s="914"/>
    </row>
    <row r="1807" spans="1:4">
      <c r="A1807" s="15"/>
      <c r="B1807" s="15"/>
      <c r="C1807" s="697"/>
      <c r="D1807" s="914"/>
    </row>
    <row r="1808" spans="1:4">
      <c r="A1808" s="15"/>
      <c r="B1808" s="15"/>
      <c r="C1808" s="697"/>
      <c r="D1808" s="914"/>
    </row>
    <row r="1809" spans="1:4">
      <c r="A1809" s="15"/>
      <c r="B1809" s="15"/>
      <c r="C1809" s="697"/>
      <c r="D1809" s="914"/>
    </row>
    <row r="1810" spans="1:4">
      <c r="A1810" s="15"/>
      <c r="B1810" s="15"/>
      <c r="C1810" s="697"/>
      <c r="D1810" s="914"/>
    </row>
    <row r="1811" spans="1:4">
      <c r="A1811" s="15"/>
      <c r="B1811" s="15"/>
      <c r="C1811" s="697"/>
      <c r="D1811" s="914"/>
    </row>
    <row r="1812" spans="1:4">
      <c r="A1812" s="15"/>
      <c r="B1812" s="15"/>
      <c r="C1812" s="697"/>
      <c r="D1812" s="914"/>
    </row>
    <row r="1813" spans="1:4">
      <c r="A1813" s="15"/>
      <c r="B1813" s="15"/>
      <c r="C1813" s="697"/>
      <c r="D1813" s="914"/>
    </row>
    <row r="1814" spans="1:4">
      <c r="A1814" s="15"/>
      <c r="B1814" s="15"/>
      <c r="C1814" s="697"/>
      <c r="D1814" s="914"/>
    </row>
    <row r="1815" spans="1:4">
      <c r="A1815" s="15"/>
      <c r="B1815" s="15"/>
      <c r="C1815" s="697"/>
      <c r="D1815" s="914"/>
    </row>
    <row r="1816" spans="1:4">
      <c r="A1816" s="15"/>
      <c r="B1816" s="15"/>
      <c r="C1816" s="697"/>
      <c r="D1816" s="914"/>
    </row>
    <row r="1817" spans="1:4">
      <c r="A1817" s="15"/>
      <c r="B1817" s="15"/>
      <c r="C1817" s="697"/>
      <c r="D1817" s="914"/>
    </row>
    <row r="1818" spans="1:4">
      <c r="A1818" s="15"/>
      <c r="B1818" s="15"/>
      <c r="C1818" s="697"/>
      <c r="D1818" s="914"/>
    </row>
    <row r="1819" spans="1:4">
      <c r="A1819" s="15"/>
      <c r="B1819" s="15"/>
      <c r="C1819" s="697"/>
      <c r="D1819" s="914"/>
    </row>
    <row r="1820" spans="1:4">
      <c r="A1820" s="15"/>
      <c r="B1820" s="15"/>
      <c r="C1820" s="697"/>
      <c r="D1820" s="914"/>
    </row>
    <row r="1821" spans="1:4">
      <c r="A1821" s="15"/>
      <c r="B1821" s="15"/>
      <c r="C1821" s="697"/>
      <c r="D1821" s="914"/>
    </row>
    <row r="1822" spans="1:4">
      <c r="A1822" s="15"/>
      <c r="B1822" s="15"/>
      <c r="C1822" s="697"/>
      <c r="D1822" s="914"/>
    </row>
    <row r="1823" spans="1:4">
      <c r="A1823" s="15"/>
      <c r="B1823" s="15"/>
      <c r="C1823" s="697"/>
      <c r="D1823" s="914"/>
    </row>
    <row r="1824" spans="1:4">
      <c r="A1824" s="15"/>
      <c r="B1824" s="15"/>
      <c r="C1824" s="697"/>
      <c r="D1824" s="914"/>
    </row>
    <row r="1825" spans="1:4">
      <c r="A1825" s="15"/>
      <c r="B1825" s="15"/>
      <c r="C1825" s="697"/>
      <c r="D1825" s="914"/>
    </row>
    <row r="1826" spans="1:4">
      <c r="A1826" s="15"/>
      <c r="B1826" s="15"/>
      <c r="C1826" s="697"/>
      <c r="D1826" s="914"/>
    </row>
    <row r="1827" spans="1:4">
      <c r="A1827" s="15"/>
      <c r="B1827" s="15"/>
      <c r="C1827" s="697"/>
      <c r="D1827" s="914"/>
    </row>
    <row r="1828" spans="1:4">
      <c r="A1828" s="15"/>
      <c r="B1828" s="15"/>
      <c r="C1828" s="697"/>
      <c r="D1828" s="914"/>
    </row>
    <row r="1829" spans="1:4">
      <c r="A1829" s="15"/>
      <c r="B1829" s="15"/>
      <c r="C1829" s="697"/>
      <c r="D1829" s="914"/>
    </row>
    <row r="1830" spans="1:4">
      <c r="A1830" s="15"/>
      <c r="B1830" s="15"/>
      <c r="C1830" s="697"/>
      <c r="D1830" s="914"/>
    </row>
    <row r="1831" spans="1:4">
      <c r="A1831" s="15"/>
      <c r="B1831" s="15"/>
      <c r="C1831" s="697"/>
      <c r="D1831" s="914"/>
    </row>
    <row r="1832" spans="1:4">
      <c r="A1832" s="15"/>
      <c r="B1832" s="15"/>
      <c r="C1832" s="697"/>
      <c r="D1832" s="914"/>
    </row>
    <row r="1833" spans="1:4">
      <c r="A1833" s="15"/>
      <c r="B1833" s="15"/>
      <c r="C1833" s="697"/>
      <c r="D1833" s="914"/>
    </row>
    <row r="1834" spans="1:4">
      <c r="A1834" s="15"/>
      <c r="B1834" s="15"/>
      <c r="C1834" s="697"/>
      <c r="D1834" s="914"/>
    </row>
    <row r="1835" spans="1:4">
      <c r="A1835" s="15"/>
      <c r="B1835" s="15"/>
      <c r="C1835" s="697"/>
      <c r="D1835" s="914"/>
    </row>
    <row r="1836" spans="1:4">
      <c r="A1836" s="15"/>
      <c r="B1836" s="15"/>
      <c r="C1836" s="697"/>
      <c r="D1836" s="914"/>
    </row>
    <row r="1837" spans="1:4">
      <c r="A1837" s="15"/>
      <c r="B1837" s="15"/>
      <c r="C1837" s="697"/>
      <c r="D1837" s="914"/>
    </row>
    <row r="1838" spans="1:4">
      <c r="A1838" s="15"/>
      <c r="B1838" s="15"/>
      <c r="C1838" s="697"/>
      <c r="D1838" s="914"/>
    </row>
    <row r="1839" spans="1:4">
      <c r="A1839" s="15"/>
      <c r="B1839" s="15"/>
      <c r="C1839" s="697"/>
      <c r="D1839" s="914"/>
    </row>
    <row r="1840" spans="1:4">
      <c r="A1840" s="15"/>
      <c r="B1840" s="15"/>
      <c r="C1840" s="697"/>
      <c r="D1840" s="914"/>
    </row>
    <row r="1841" spans="1:4">
      <c r="A1841" s="15"/>
      <c r="B1841" s="15"/>
      <c r="C1841" s="697"/>
      <c r="D1841" s="914"/>
    </row>
    <row r="1842" spans="1:4">
      <c r="A1842" s="15"/>
      <c r="B1842" s="15"/>
      <c r="C1842" s="697"/>
      <c r="D1842" s="914"/>
    </row>
    <row r="1843" spans="1:4">
      <c r="A1843" s="15"/>
      <c r="B1843" s="15"/>
      <c r="C1843" s="697"/>
      <c r="D1843" s="914"/>
    </row>
    <row r="1844" spans="1:4">
      <c r="A1844" s="15"/>
      <c r="B1844" s="15"/>
      <c r="C1844" s="697"/>
      <c r="D1844" s="914"/>
    </row>
    <row r="1845" spans="1:4">
      <c r="A1845" s="15"/>
      <c r="B1845" s="15"/>
      <c r="C1845" s="697"/>
      <c r="D1845" s="914"/>
    </row>
    <row r="1846" spans="1:4">
      <c r="A1846" s="15"/>
      <c r="B1846" s="15"/>
      <c r="C1846" s="697"/>
      <c r="D1846" s="914"/>
    </row>
    <row r="1847" spans="1:4">
      <c r="A1847" s="15"/>
      <c r="B1847" s="15"/>
      <c r="C1847" s="697"/>
      <c r="D1847" s="914"/>
    </row>
    <row r="1848" spans="1:4">
      <c r="A1848" s="15"/>
      <c r="B1848" s="15"/>
      <c r="C1848" s="697"/>
      <c r="D1848" s="914"/>
    </row>
    <row r="1849" spans="1:4">
      <c r="A1849" s="15"/>
      <c r="B1849" s="15"/>
      <c r="C1849" s="697"/>
      <c r="D1849" s="914"/>
    </row>
    <row r="1850" spans="1:4">
      <c r="A1850" s="15"/>
      <c r="B1850" s="15"/>
      <c r="C1850" s="697"/>
      <c r="D1850" s="914"/>
    </row>
    <row r="1851" spans="1:4">
      <c r="A1851" s="15"/>
      <c r="B1851" s="15"/>
      <c r="C1851" s="697"/>
      <c r="D1851" s="914"/>
    </row>
    <row r="1852" spans="1:4">
      <c r="A1852" s="15"/>
      <c r="B1852" s="15"/>
      <c r="C1852" s="697"/>
      <c r="D1852" s="914"/>
    </row>
    <row r="1853" spans="1:4">
      <c r="A1853" s="15"/>
      <c r="B1853" s="15"/>
      <c r="C1853" s="697"/>
      <c r="D1853" s="914"/>
    </row>
    <row r="1854" spans="1:4">
      <c r="A1854" s="15"/>
      <c r="B1854" s="15"/>
      <c r="C1854" s="697"/>
      <c r="D1854" s="914"/>
    </row>
    <row r="1855" spans="1:4">
      <c r="A1855" s="15"/>
      <c r="B1855" s="15"/>
      <c r="C1855" s="697"/>
      <c r="D1855" s="914"/>
    </row>
    <row r="1856" spans="1:4">
      <c r="A1856" s="15"/>
      <c r="B1856" s="15"/>
      <c r="C1856" s="697"/>
      <c r="D1856" s="914"/>
    </row>
    <row r="1857" spans="1:4">
      <c r="A1857" s="15"/>
      <c r="B1857" s="15"/>
      <c r="C1857" s="697"/>
      <c r="D1857" s="914"/>
    </row>
    <row r="1858" spans="1:4">
      <c r="A1858" s="15"/>
      <c r="B1858" s="15"/>
      <c r="C1858" s="697"/>
      <c r="D1858" s="914"/>
    </row>
    <row r="1859" spans="1:4">
      <c r="A1859" s="15"/>
      <c r="B1859" s="15"/>
      <c r="C1859" s="697"/>
      <c r="D1859" s="914"/>
    </row>
    <row r="1860" spans="1:4">
      <c r="A1860" s="15"/>
      <c r="B1860" s="15"/>
      <c r="C1860" s="697"/>
      <c r="D1860" s="914"/>
    </row>
    <row r="1861" spans="1:4">
      <c r="A1861" s="15"/>
      <c r="B1861" s="15"/>
      <c r="C1861" s="697"/>
      <c r="D1861" s="914"/>
    </row>
    <row r="1862" spans="1:4">
      <c r="A1862" s="15"/>
      <c r="B1862" s="15"/>
      <c r="C1862" s="697"/>
      <c r="D1862" s="914"/>
    </row>
    <row r="1863" spans="1:4">
      <c r="A1863" s="15"/>
      <c r="B1863" s="15"/>
      <c r="C1863" s="697"/>
      <c r="D1863" s="914"/>
    </row>
    <row r="1864" spans="1:4">
      <c r="A1864" s="15"/>
      <c r="B1864" s="15"/>
      <c r="C1864" s="697"/>
      <c r="D1864" s="914"/>
    </row>
    <row r="1865" spans="1:4">
      <c r="A1865" s="15"/>
      <c r="B1865" s="15"/>
      <c r="C1865" s="697"/>
      <c r="D1865" s="914"/>
    </row>
    <row r="1866" spans="1:4">
      <c r="A1866" s="15"/>
      <c r="B1866" s="15"/>
      <c r="C1866" s="697"/>
      <c r="D1866" s="914"/>
    </row>
    <row r="1867" spans="1:4">
      <c r="A1867" s="15"/>
      <c r="B1867" s="15"/>
      <c r="C1867" s="697"/>
      <c r="D1867" s="914"/>
    </row>
    <row r="1868" spans="1:4">
      <c r="A1868" s="15"/>
      <c r="B1868" s="15"/>
      <c r="C1868" s="697"/>
      <c r="D1868" s="914"/>
    </row>
    <row r="1869" spans="1:4">
      <c r="A1869" s="15"/>
      <c r="B1869" s="15"/>
      <c r="C1869" s="697"/>
      <c r="D1869" s="914"/>
    </row>
    <row r="1870" spans="1:4">
      <c r="A1870" s="15"/>
      <c r="B1870" s="15"/>
      <c r="C1870" s="697"/>
      <c r="D1870" s="914"/>
    </row>
    <row r="1871" spans="1:4">
      <c r="A1871" s="15"/>
      <c r="B1871" s="15"/>
      <c r="C1871" s="697"/>
      <c r="D1871" s="914"/>
    </row>
    <row r="1872" spans="1:4">
      <c r="A1872" s="15"/>
      <c r="B1872" s="15"/>
      <c r="C1872" s="697"/>
      <c r="D1872" s="914"/>
    </row>
    <row r="1873" spans="1:4">
      <c r="A1873" s="15"/>
      <c r="B1873" s="15"/>
      <c r="C1873" s="697"/>
      <c r="D1873" s="914"/>
    </row>
    <row r="1874" spans="1:4">
      <c r="A1874" s="15"/>
      <c r="B1874" s="15"/>
      <c r="C1874" s="697"/>
      <c r="D1874" s="914"/>
    </row>
    <row r="1875" spans="1:4">
      <c r="A1875" s="15"/>
      <c r="B1875" s="15"/>
      <c r="C1875" s="697"/>
      <c r="D1875" s="914"/>
    </row>
    <row r="1876" spans="1:4">
      <c r="A1876" s="15"/>
      <c r="B1876" s="15"/>
      <c r="C1876" s="697"/>
      <c r="D1876" s="914"/>
    </row>
    <row r="1877" spans="1:4">
      <c r="A1877" s="15"/>
      <c r="B1877" s="15"/>
      <c r="C1877" s="697"/>
      <c r="D1877" s="914"/>
    </row>
    <row r="1878" spans="1:4">
      <c r="A1878" s="15"/>
      <c r="B1878" s="15"/>
      <c r="C1878" s="697"/>
      <c r="D1878" s="914"/>
    </row>
    <row r="1879" spans="1:4">
      <c r="A1879" s="15"/>
      <c r="B1879" s="15"/>
      <c r="C1879" s="697"/>
      <c r="D1879" s="914"/>
    </row>
    <row r="1880" spans="1:4">
      <c r="A1880" s="15"/>
      <c r="B1880" s="15"/>
      <c r="C1880" s="697"/>
      <c r="D1880" s="914"/>
    </row>
    <row r="1881" spans="1:4">
      <c r="A1881" s="15"/>
      <c r="B1881" s="15"/>
      <c r="C1881" s="697"/>
      <c r="D1881" s="914"/>
    </row>
    <row r="1882" spans="1:4">
      <c r="A1882" s="15"/>
      <c r="B1882" s="15"/>
      <c r="C1882" s="697"/>
      <c r="D1882" s="914"/>
    </row>
    <row r="1883" spans="1:4">
      <c r="A1883" s="15"/>
      <c r="B1883" s="15"/>
      <c r="C1883" s="697"/>
      <c r="D1883" s="914"/>
    </row>
    <row r="1884" spans="1:4">
      <c r="A1884" s="15"/>
      <c r="B1884" s="15"/>
      <c r="C1884" s="697"/>
      <c r="D1884" s="914"/>
    </row>
    <row r="1885" spans="1:4">
      <c r="A1885" s="15"/>
      <c r="B1885" s="15"/>
      <c r="C1885" s="697"/>
      <c r="D1885" s="914"/>
    </row>
    <row r="1886" spans="1:4">
      <c r="A1886" s="15"/>
      <c r="B1886" s="15"/>
      <c r="C1886" s="697"/>
      <c r="D1886" s="914"/>
    </row>
    <row r="1887" spans="1:4">
      <c r="A1887" s="15"/>
      <c r="B1887" s="15"/>
      <c r="C1887" s="697"/>
      <c r="D1887" s="914"/>
    </row>
    <row r="1888" spans="1:4">
      <c r="A1888" s="15"/>
      <c r="B1888" s="15"/>
      <c r="C1888" s="697"/>
      <c r="D1888" s="914"/>
    </row>
    <row r="1889" spans="1:4">
      <c r="A1889" s="15"/>
      <c r="B1889" s="15"/>
      <c r="C1889" s="697"/>
      <c r="D1889" s="914"/>
    </row>
    <row r="1890" spans="1:4">
      <c r="A1890" s="15"/>
      <c r="B1890" s="15"/>
      <c r="C1890" s="697"/>
      <c r="D1890" s="914"/>
    </row>
    <row r="1891" spans="1:4">
      <c r="A1891" s="15"/>
      <c r="B1891" s="15"/>
      <c r="C1891" s="697"/>
      <c r="D1891" s="914"/>
    </row>
    <row r="1892" spans="1:4">
      <c r="A1892" s="15"/>
      <c r="B1892" s="15"/>
      <c r="C1892" s="697"/>
      <c r="D1892" s="914"/>
    </row>
    <row r="1893" spans="1:4">
      <c r="A1893" s="15"/>
      <c r="B1893" s="15"/>
      <c r="C1893" s="697"/>
      <c r="D1893" s="914"/>
    </row>
    <row r="1894" spans="1:4">
      <c r="A1894" s="15"/>
      <c r="B1894" s="15"/>
      <c r="C1894" s="697"/>
      <c r="D1894" s="914"/>
    </row>
    <row r="1895" spans="1:4">
      <c r="A1895" s="15"/>
      <c r="B1895" s="15"/>
      <c r="C1895" s="697"/>
      <c r="D1895" s="914"/>
    </row>
    <row r="1896" spans="1:4">
      <c r="A1896" s="15"/>
      <c r="B1896" s="15"/>
      <c r="C1896" s="697"/>
      <c r="D1896" s="914"/>
    </row>
    <row r="1897" spans="1:4">
      <c r="A1897" s="15"/>
      <c r="B1897" s="15"/>
      <c r="C1897" s="697"/>
      <c r="D1897" s="914"/>
    </row>
    <row r="1898" spans="1:4">
      <c r="A1898" s="15"/>
      <c r="B1898" s="15"/>
      <c r="C1898" s="697"/>
      <c r="D1898" s="914"/>
    </row>
    <row r="1899" spans="1:4">
      <c r="A1899" s="15"/>
      <c r="B1899" s="15"/>
      <c r="C1899" s="697"/>
      <c r="D1899" s="914"/>
    </row>
    <row r="1900" spans="1:4">
      <c r="A1900" s="15"/>
      <c r="B1900" s="15"/>
      <c r="C1900" s="697"/>
      <c r="D1900" s="914"/>
    </row>
    <row r="1901" spans="1:4">
      <c r="A1901" s="15"/>
      <c r="B1901" s="15"/>
      <c r="C1901" s="697"/>
      <c r="D1901" s="914"/>
    </row>
    <row r="1902" spans="1:4">
      <c r="A1902" s="15"/>
      <c r="B1902" s="15"/>
      <c r="C1902" s="697"/>
      <c r="D1902" s="914"/>
    </row>
    <row r="1903" spans="1:4">
      <c r="A1903" s="15"/>
      <c r="B1903" s="15"/>
      <c r="C1903" s="697"/>
      <c r="D1903" s="914"/>
    </row>
    <row r="1904" spans="1:4">
      <c r="A1904" s="15"/>
      <c r="B1904" s="15"/>
      <c r="C1904" s="697"/>
      <c r="D1904" s="914"/>
    </row>
    <row r="1905" spans="1:4">
      <c r="A1905" s="15"/>
      <c r="B1905" s="15"/>
      <c r="C1905" s="697"/>
      <c r="D1905" s="914"/>
    </row>
    <row r="1906" spans="1:4">
      <c r="A1906" s="15"/>
      <c r="B1906" s="15"/>
      <c r="C1906" s="697"/>
      <c r="D1906" s="914"/>
    </row>
    <row r="1907" spans="1:4">
      <c r="A1907" s="15"/>
      <c r="B1907" s="15"/>
      <c r="C1907" s="697"/>
      <c r="D1907" s="914"/>
    </row>
    <row r="1908" spans="1:4">
      <c r="A1908" s="15"/>
      <c r="B1908" s="15"/>
      <c r="C1908" s="697"/>
      <c r="D1908" s="914"/>
    </row>
    <row r="1909" spans="1:4">
      <c r="A1909" s="15"/>
      <c r="B1909" s="15"/>
      <c r="C1909" s="697"/>
      <c r="D1909" s="914"/>
    </row>
    <row r="1910" spans="1:4">
      <c r="A1910" s="15"/>
      <c r="B1910" s="15"/>
      <c r="C1910" s="697"/>
      <c r="D1910" s="914"/>
    </row>
    <row r="1911" spans="1:4">
      <c r="A1911" s="15"/>
      <c r="B1911" s="15"/>
      <c r="C1911" s="697"/>
      <c r="D1911" s="914"/>
    </row>
    <row r="1912" spans="1:4">
      <c r="A1912" s="15"/>
      <c r="B1912" s="15"/>
      <c r="C1912" s="697"/>
      <c r="D1912" s="914"/>
    </row>
    <row r="1913" spans="1:4">
      <c r="A1913" s="15"/>
      <c r="B1913" s="15"/>
      <c r="C1913" s="697"/>
      <c r="D1913" s="914"/>
    </row>
    <row r="1914" spans="1:4">
      <c r="A1914" s="15"/>
      <c r="B1914" s="15"/>
      <c r="C1914" s="697"/>
      <c r="D1914" s="914"/>
    </row>
    <row r="1915" spans="1:4">
      <c r="A1915" s="15"/>
      <c r="B1915" s="15"/>
      <c r="C1915" s="697"/>
      <c r="D1915" s="914"/>
    </row>
    <row r="1916" spans="1:4">
      <c r="A1916" s="15"/>
      <c r="B1916" s="15"/>
      <c r="C1916" s="697"/>
      <c r="D1916" s="914"/>
    </row>
    <row r="1917" spans="1:4">
      <c r="A1917" s="15"/>
      <c r="B1917" s="15"/>
      <c r="C1917" s="697"/>
      <c r="D1917" s="914"/>
    </row>
    <row r="1918" spans="1:4">
      <c r="A1918" s="15"/>
      <c r="B1918" s="15"/>
      <c r="C1918" s="697"/>
      <c r="D1918" s="914"/>
    </row>
    <row r="1919" spans="1:4">
      <c r="A1919" s="15"/>
      <c r="B1919" s="15"/>
      <c r="C1919" s="697"/>
      <c r="D1919" s="914"/>
    </row>
    <row r="1920" spans="1:4">
      <c r="A1920" s="15"/>
      <c r="B1920" s="15"/>
      <c r="C1920" s="697"/>
      <c r="D1920" s="914"/>
    </row>
    <row r="1921" spans="1:4">
      <c r="A1921" s="15"/>
      <c r="B1921" s="15"/>
      <c r="C1921" s="697"/>
      <c r="D1921" s="914"/>
    </row>
    <row r="1922" spans="1:4">
      <c r="A1922" s="15"/>
      <c r="B1922" s="15"/>
      <c r="C1922" s="697"/>
      <c r="D1922" s="914"/>
    </row>
    <row r="1923" spans="1:4">
      <c r="A1923" s="15"/>
      <c r="B1923" s="15"/>
      <c r="C1923" s="697"/>
      <c r="D1923" s="914"/>
    </row>
    <row r="1924" spans="1:4">
      <c r="A1924" s="15"/>
      <c r="B1924" s="15"/>
      <c r="C1924" s="697"/>
      <c r="D1924" s="914"/>
    </row>
    <row r="1925" spans="1:4">
      <c r="A1925" s="15"/>
      <c r="B1925" s="15"/>
      <c r="C1925" s="697"/>
      <c r="D1925" s="914"/>
    </row>
    <row r="1926" spans="1:4">
      <c r="A1926" s="15"/>
      <c r="B1926" s="15"/>
      <c r="C1926" s="697"/>
      <c r="D1926" s="914"/>
    </row>
    <row r="1927" spans="1:4">
      <c r="A1927" s="15"/>
      <c r="B1927" s="15"/>
      <c r="C1927" s="697"/>
      <c r="D1927" s="914"/>
    </row>
    <row r="1928" spans="1:4">
      <c r="A1928" s="15"/>
      <c r="B1928" s="15"/>
      <c r="C1928" s="697"/>
      <c r="D1928" s="914"/>
    </row>
    <row r="1929" spans="1:4">
      <c r="A1929" s="15"/>
      <c r="B1929" s="15"/>
      <c r="C1929" s="697"/>
      <c r="D1929" s="914"/>
    </row>
    <row r="1930" spans="1:4">
      <c r="A1930" s="15"/>
      <c r="B1930" s="15"/>
      <c r="C1930" s="697"/>
      <c r="D1930" s="914"/>
    </row>
    <row r="1931" spans="1:4">
      <c r="A1931" s="15"/>
      <c r="B1931" s="15"/>
      <c r="C1931" s="697"/>
      <c r="D1931" s="914"/>
    </row>
    <row r="1932" spans="1:4">
      <c r="A1932" s="15"/>
      <c r="B1932" s="15"/>
      <c r="C1932" s="697"/>
      <c r="D1932" s="914"/>
    </row>
    <row r="1933" spans="1:4">
      <c r="A1933" s="15"/>
      <c r="B1933" s="15"/>
      <c r="C1933" s="697"/>
      <c r="D1933" s="914"/>
    </row>
    <row r="1934" spans="1:4">
      <c r="A1934" s="15"/>
      <c r="B1934" s="15"/>
      <c r="C1934" s="697"/>
      <c r="D1934" s="914"/>
    </row>
    <row r="1935" spans="1:4">
      <c r="A1935" s="15"/>
      <c r="B1935" s="15"/>
      <c r="C1935" s="697"/>
      <c r="D1935" s="914"/>
    </row>
    <row r="1936" spans="1:4">
      <c r="A1936" s="15"/>
      <c r="B1936" s="15"/>
      <c r="C1936" s="697"/>
      <c r="D1936" s="914"/>
    </row>
    <row r="1937" spans="1:4">
      <c r="A1937" s="15"/>
      <c r="B1937" s="15"/>
      <c r="C1937" s="697"/>
      <c r="D1937" s="914"/>
    </row>
    <row r="1938" spans="1:4">
      <c r="A1938" s="15"/>
      <c r="B1938" s="15"/>
      <c r="C1938" s="697"/>
      <c r="D1938" s="914"/>
    </row>
    <row r="1939" spans="1:4">
      <c r="A1939" s="15"/>
      <c r="B1939" s="15"/>
      <c r="C1939" s="697"/>
      <c r="D1939" s="914"/>
    </row>
    <row r="1940" spans="1:4">
      <c r="A1940" s="15"/>
      <c r="B1940" s="15"/>
      <c r="C1940" s="697"/>
      <c r="D1940" s="914"/>
    </row>
    <row r="1941" spans="1:4">
      <c r="A1941" s="15"/>
      <c r="B1941" s="15"/>
      <c r="C1941" s="697"/>
      <c r="D1941" s="914"/>
    </row>
    <row r="1942" spans="1:4">
      <c r="A1942" s="15"/>
      <c r="B1942" s="15"/>
      <c r="C1942" s="697"/>
      <c r="D1942" s="914"/>
    </row>
    <row r="1943" spans="1:4">
      <c r="A1943" s="15"/>
      <c r="B1943" s="15"/>
      <c r="C1943" s="697"/>
      <c r="D1943" s="914"/>
    </row>
    <row r="1944" spans="1:4">
      <c r="A1944" s="15"/>
      <c r="B1944" s="15"/>
      <c r="C1944" s="697"/>
      <c r="D1944" s="914"/>
    </row>
    <row r="1945" spans="1:4">
      <c r="A1945" s="15"/>
      <c r="B1945" s="15"/>
      <c r="C1945" s="697"/>
      <c r="D1945" s="914"/>
    </row>
    <row r="1946" spans="1:4">
      <c r="A1946" s="15"/>
      <c r="B1946" s="15"/>
      <c r="C1946" s="697"/>
      <c r="D1946" s="914"/>
    </row>
    <row r="1947" spans="1:4">
      <c r="A1947" s="15"/>
      <c r="B1947" s="15"/>
      <c r="C1947" s="697"/>
      <c r="D1947" s="914"/>
    </row>
    <row r="1948" spans="1:4">
      <c r="A1948" s="15"/>
      <c r="B1948" s="15"/>
      <c r="C1948" s="697"/>
      <c r="D1948" s="914"/>
    </row>
    <row r="1949" spans="1:4">
      <c r="A1949" s="15"/>
      <c r="B1949" s="15"/>
      <c r="C1949" s="697"/>
      <c r="D1949" s="914"/>
    </row>
    <row r="1950" spans="1:4">
      <c r="A1950" s="15"/>
      <c r="B1950" s="15"/>
      <c r="C1950" s="697"/>
      <c r="D1950" s="914"/>
    </row>
    <row r="1951" spans="1:4">
      <c r="A1951" s="15"/>
      <c r="B1951" s="15"/>
      <c r="C1951" s="697"/>
      <c r="D1951" s="914"/>
    </row>
    <row r="1952" spans="1:4">
      <c r="A1952" s="15"/>
      <c r="B1952" s="15"/>
      <c r="C1952" s="697"/>
      <c r="D1952" s="914"/>
    </row>
    <row r="1953" spans="1:4">
      <c r="A1953" s="15"/>
      <c r="B1953" s="15"/>
      <c r="C1953" s="697"/>
      <c r="D1953" s="914"/>
    </row>
    <row r="1954" spans="1:4">
      <c r="A1954" s="15"/>
      <c r="B1954" s="15"/>
      <c r="C1954" s="697"/>
      <c r="D1954" s="914"/>
    </row>
    <row r="1955" spans="1:4">
      <c r="A1955" s="15"/>
      <c r="B1955" s="15"/>
      <c r="C1955" s="697"/>
      <c r="D1955" s="914"/>
    </row>
    <row r="1956" spans="1:4">
      <c r="A1956" s="15"/>
      <c r="B1956" s="15"/>
      <c r="C1956" s="697"/>
      <c r="D1956" s="914"/>
    </row>
    <row r="1957" spans="1:4">
      <c r="A1957" s="15"/>
      <c r="B1957" s="15"/>
      <c r="C1957" s="697"/>
      <c r="D1957" s="914"/>
    </row>
    <row r="1958" spans="1:4">
      <c r="A1958" s="15"/>
      <c r="B1958" s="15"/>
      <c r="C1958" s="697"/>
      <c r="D1958" s="914"/>
    </row>
    <row r="1959" spans="1:4">
      <c r="A1959" s="15"/>
      <c r="B1959" s="15"/>
      <c r="C1959" s="697"/>
      <c r="D1959" s="914"/>
    </row>
    <row r="1960" spans="1:4">
      <c r="A1960" s="15"/>
      <c r="B1960" s="15"/>
      <c r="C1960" s="697"/>
      <c r="D1960" s="914"/>
    </row>
    <row r="1961" spans="1:4">
      <c r="A1961" s="15"/>
      <c r="B1961" s="15"/>
      <c r="C1961" s="697"/>
      <c r="D1961" s="914"/>
    </row>
    <row r="1962" spans="1:4">
      <c r="A1962" s="15"/>
      <c r="B1962" s="15"/>
      <c r="C1962" s="697"/>
      <c r="D1962" s="914"/>
    </row>
    <row r="1963" spans="1:4">
      <c r="A1963" s="15"/>
      <c r="B1963" s="15"/>
      <c r="C1963" s="697"/>
      <c r="D1963" s="914"/>
    </row>
    <row r="1964" spans="1:4">
      <c r="A1964" s="15"/>
      <c r="B1964" s="15"/>
      <c r="C1964" s="697"/>
      <c r="D1964" s="914"/>
    </row>
    <row r="1965" spans="1:4">
      <c r="A1965" s="15"/>
      <c r="B1965" s="15"/>
      <c r="C1965" s="697"/>
      <c r="D1965" s="914"/>
    </row>
    <row r="1966" spans="1:4">
      <c r="A1966" s="15"/>
      <c r="B1966" s="15"/>
      <c r="C1966" s="697"/>
      <c r="D1966" s="914"/>
    </row>
    <row r="1967" spans="1:4">
      <c r="A1967" s="15"/>
      <c r="B1967" s="15"/>
      <c r="C1967" s="697"/>
      <c r="D1967" s="914"/>
    </row>
    <row r="1968" spans="1:4">
      <c r="A1968" s="15"/>
      <c r="B1968" s="15"/>
      <c r="C1968" s="697"/>
      <c r="D1968" s="914"/>
    </row>
    <row r="1969" spans="1:4">
      <c r="A1969" s="15"/>
      <c r="B1969" s="15"/>
      <c r="C1969" s="697"/>
      <c r="D1969" s="914"/>
    </row>
    <row r="1970" spans="1:4">
      <c r="A1970" s="15"/>
      <c r="B1970" s="15"/>
      <c r="C1970" s="697"/>
      <c r="D1970" s="914"/>
    </row>
    <row r="1971" spans="1:4">
      <c r="A1971" s="15"/>
      <c r="B1971" s="15"/>
      <c r="C1971" s="697"/>
      <c r="D1971" s="914"/>
    </row>
    <row r="1972" spans="1:4">
      <c r="A1972" s="15"/>
      <c r="B1972" s="15"/>
      <c r="C1972" s="697"/>
      <c r="D1972" s="914"/>
    </row>
    <row r="1973" spans="1:4">
      <c r="A1973" s="15"/>
      <c r="B1973" s="15"/>
      <c r="C1973" s="697"/>
      <c r="D1973" s="914"/>
    </row>
    <row r="1974" spans="1:4">
      <c r="A1974" s="15"/>
      <c r="B1974" s="15"/>
      <c r="C1974" s="697"/>
      <c r="D1974" s="914"/>
    </row>
    <row r="1975" spans="1:4">
      <c r="A1975" s="15"/>
      <c r="B1975" s="15"/>
      <c r="C1975" s="697"/>
      <c r="D1975" s="914"/>
    </row>
    <row r="1976" spans="1:4">
      <c r="A1976" s="15"/>
      <c r="B1976" s="15"/>
      <c r="C1976" s="697"/>
      <c r="D1976" s="914"/>
    </row>
    <row r="1977" spans="1:4">
      <c r="A1977" s="15"/>
      <c r="B1977" s="15"/>
      <c r="C1977" s="697"/>
      <c r="D1977" s="914"/>
    </row>
    <row r="1978" spans="1:4">
      <c r="A1978" s="15"/>
      <c r="B1978" s="15"/>
      <c r="C1978" s="697"/>
      <c r="D1978" s="914"/>
    </row>
    <row r="1979" spans="1:4">
      <c r="A1979" s="15"/>
      <c r="B1979" s="15"/>
      <c r="C1979" s="697"/>
      <c r="D1979" s="914"/>
    </row>
    <row r="1980" spans="1:4">
      <c r="A1980" s="15"/>
      <c r="B1980" s="15"/>
      <c r="C1980" s="697"/>
      <c r="D1980" s="914"/>
    </row>
    <row r="1981" spans="1:4">
      <c r="A1981" s="15"/>
      <c r="B1981" s="15"/>
      <c r="C1981" s="697"/>
      <c r="D1981" s="914"/>
    </row>
    <row r="1982" spans="1:4">
      <c r="A1982" s="15"/>
      <c r="B1982" s="15"/>
      <c r="C1982" s="697"/>
      <c r="D1982" s="914"/>
    </row>
    <row r="1983" spans="1:4">
      <c r="A1983" s="15"/>
      <c r="B1983" s="15"/>
      <c r="C1983" s="697"/>
      <c r="D1983" s="914"/>
    </row>
    <row r="1984" spans="1:4">
      <c r="A1984" s="15"/>
      <c r="B1984" s="15"/>
      <c r="C1984" s="697"/>
      <c r="D1984" s="914"/>
    </row>
    <row r="1985" spans="1:4">
      <c r="A1985" s="15"/>
      <c r="B1985" s="15"/>
      <c r="C1985" s="697"/>
      <c r="D1985" s="914"/>
    </row>
    <row r="1986" spans="1:4">
      <c r="A1986" s="15"/>
      <c r="B1986" s="15"/>
      <c r="C1986" s="697"/>
      <c r="D1986" s="914"/>
    </row>
    <row r="1987" spans="1:4">
      <c r="A1987" s="15"/>
      <c r="B1987" s="15"/>
      <c r="C1987" s="697"/>
      <c r="D1987" s="914"/>
    </row>
    <row r="1988" spans="1:4">
      <c r="A1988" s="15"/>
      <c r="B1988" s="15"/>
      <c r="C1988" s="697"/>
      <c r="D1988" s="914"/>
    </row>
    <row r="1989" spans="1:4">
      <c r="A1989" s="15"/>
      <c r="B1989" s="15"/>
      <c r="C1989" s="697"/>
      <c r="D1989" s="914"/>
    </row>
    <row r="1990" spans="1:4">
      <c r="A1990" s="15"/>
      <c r="B1990" s="15"/>
      <c r="C1990" s="697"/>
      <c r="D1990" s="914"/>
    </row>
    <row r="1991" spans="1:4">
      <c r="A1991" s="15"/>
      <c r="B1991" s="15"/>
      <c r="C1991" s="697"/>
      <c r="D1991" s="914"/>
    </row>
    <row r="1992" spans="1:4">
      <c r="A1992" s="15"/>
      <c r="B1992" s="15"/>
      <c r="C1992" s="697"/>
      <c r="D1992" s="914"/>
    </row>
    <row r="1993" spans="1:4">
      <c r="A1993" s="15"/>
      <c r="B1993" s="15"/>
      <c r="C1993" s="697"/>
      <c r="D1993" s="914"/>
    </row>
    <row r="1994" spans="1:4">
      <c r="A1994" s="15"/>
      <c r="B1994" s="15"/>
      <c r="C1994" s="697"/>
      <c r="D1994" s="914"/>
    </row>
    <row r="1995" spans="1:4">
      <c r="A1995" s="15"/>
      <c r="B1995" s="15"/>
      <c r="C1995" s="697"/>
      <c r="D1995" s="914"/>
    </row>
    <row r="1996" spans="1:4">
      <c r="A1996" s="15"/>
      <c r="B1996" s="15"/>
      <c r="C1996" s="697"/>
      <c r="D1996" s="914"/>
    </row>
    <row r="1997" spans="1:4">
      <c r="A1997" s="15"/>
      <c r="B1997" s="15"/>
      <c r="C1997" s="697"/>
      <c r="D1997" s="914"/>
    </row>
    <row r="1998" spans="1:4">
      <c r="A1998" s="15"/>
      <c r="B1998" s="15"/>
      <c r="C1998" s="697"/>
      <c r="D1998" s="914"/>
    </row>
    <row r="1999" spans="1:4">
      <c r="A1999" s="15"/>
      <c r="B1999" s="15"/>
      <c r="C1999" s="697"/>
      <c r="D1999" s="914"/>
    </row>
    <row r="2000" spans="1:4">
      <c r="A2000" s="15"/>
      <c r="B2000" s="15"/>
      <c r="C2000" s="697"/>
      <c r="D2000" s="914"/>
    </row>
    <row r="2001" spans="1:4">
      <c r="A2001" s="15"/>
      <c r="B2001" s="15"/>
      <c r="C2001" s="697"/>
      <c r="D2001" s="914"/>
    </row>
    <row r="2002" spans="1:4">
      <c r="A2002" s="15"/>
      <c r="B2002" s="15"/>
      <c r="C2002" s="697"/>
      <c r="D2002" s="914"/>
    </row>
    <row r="2003" spans="1:4">
      <c r="A2003" s="15"/>
      <c r="B2003" s="15"/>
      <c r="C2003" s="697"/>
      <c r="D2003" s="914"/>
    </row>
    <row r="2004" spans="1:4">
      <c r="A2004" s="15"/>
      <c r="B2004" s="15"/>
      <c r="C2004" s="697"/>
      <c r="D2004" s="914"/>
    </row>
    <row r="2005" spans="1:4">
      <c r="A2005" s="15"/>
      <c r="B2005" s="15"/>
      <c r="C2005" s="697"/>
      <c r="D2005" s="914"/>
    </row>
    <row r="2006" spans="1:4">
      <c r="A2006" s="15"/>
      <c r="B2006" s="15"/>
      <c r="C2006" s="697"/>
      <c r="D2006" s="914"/>
    </row>
    <row r="2007" spans="1:4">
      <c r="A2007" s="15"/>
      <c r="B2007" s="15"/>
      <c r="C2007" s="697"/>
      <c r="D2007" s="914"/>
    </row>
    <row r="2008" spans="1:4">
      <c r="A2008" s="15"/>
      <c r="B2008" s="15"/>
      <c r="C2008" s="697"/>
      <c r="D2008" s="914"/>
    </row>
    <row r="2009" spans="1:4">
      <c r="A2009" s="15"/>
      <c r="B2009" s="15"/>
      <c r="C2009" s="697"/>
      <c r="D2009" s="914"/>
    </row>
    <row r="2010" spans="1:4">
      <c r="A2010" s="15"/>
      <c r="B2010" s="15"/>
      <c r="C2010" s="697"/>
      <c r="D2010" s="914"/>
    </row>
    <row r="2011" spans="1:4">
      <c r="A2011" s="15"/>
      <c r="B2011" s="15"/>
      <c r="C2011" s="697"/>
      <c r="D2011" s="914"/>
    </row>
    <row r="2012" spans="1:4">
      <c r="A2012" s="15"/>
      <c r="B2012" s="15"/>
      <c r="C2012" s="697"/>
      <c r="D2012" s="914"/>
    </row>
    <row r="2013" spans="1:4">
      <c r="A2013" s="15"/>
      <c r="B2013" s="15"/>
      <c r="C2013" s="697"/>
      <c r="D2013" s="914"/>
    </row>
    <row r="2014" spans="1:4">
      <c r="A2014" s="15"/>
      <c r="B2014" s="15"/>
      <c r="C2014" s="697"/>
      <c r="D2014" s="914"/>
    </row>
    <row r="2015" spans="1:4">
      <c r="A2015" s="15"/>
      <c r="B2015" s="15"/>
      <c r="C2015" s="697"/>
      <c r="D2015" s="914"/>
    </row>
    <row r="2016" spans="1:4">
      <c r="A2016" s="15"/>
      <c r="B2016" s="15"/>
      <c r="C2016" s="697"/>
      <c r="D2016" s="914"/>
    </row>
    <row r="2017" spans="1:4">
      <c r="A2017" s="15"/>
      <c r="B2017" s="15"/>
      <c r="C2017" s="697"/>
      <c r="D2017" s="914"/>
    </row>
    <row r="2018" spans="1:4">
      <c r="A2018" s="15"/>
      <c r="B2018" s="15"/>
      <c r="C2018" s="697"/>
      <c r="D2018" s="914"/>
    </row>
    <row r="2019" spans="1:4">
      <c r="A2019" s="15"/>
      <c r="B2019" s="15"/>
      <c r="C2019" s="697"/>
      <c r="D2019" s="914"/>
    </row>
    <row r="2020" spans="1:4">
      <c r="A2020" s="15"/>
      <c r="B2020" s="15"/>
      <c r="C2020" s="697"/>
      <c r="D2020" s="914"/>
    </row>
    <row r="2021" spans="1:4">
      <c r="A2021" s="15"/>
      <c r="B2021" s="15"/>
      <c r="C2021" s="697"/>
      <c r="D2021" s="914"/>
    </row>
    <row r="2022" spans="1:4">
      <c r="A2022" s="15"/>
      <c r="B2022" s="15"/>
      <c r="C2022" s="697"/>
      <c r="D2022" s="914"/>
    </row>
    <row r="2023" spans="1:4">
      <c r="A2023" s="15"/>
      <c r="B2023" s="15"/>
      <c r="C2023" s="697"/>
      <c r="D2023" s="914"/>
    </row>
    <row r="2024" spans="1:4">
      <c r="A2024" s="15"/>
      <c r="B2024" s="15"/>
      <c r="C2024" s="697"/>
      <c r="D2024" s="914"/>
    </row>
    <row r="2025" spans="1:4">
      <c r="A2025" s="15"/>
      <c r="B2025" s="15"/>
      <c r="C2025" s="697"/>
      <c r="D2025" s="914"/>
    </row>
    <row r="2026" spans="1:4">
      <c r="A2026" s="15"/>
      <c r="B2026" s="15"/>
      <c r="C2026" s="697"/>
      <c r="D2026" s="914"/>
    </row>
    <row r="2027" spans="1:4">
      <c r="A2027" s="15"/>
      <c r="B2027" s="15"/>
      <c r="C2027" s="697"/>
      <c r="D2027" s="914"/>
    </row>
    <row r="2028" spans="1:4">
      <c r="A2028" s="15"/>
      <c r="B2028" s="15"/>
      <c r="C2028" s="697"/>
      <c r="D2028" s="914"/>
    </row>
    <row r="2029" spans="1:4">
      <c r="A2029" s="15"/>
      <c r="B2029" s="15"/>
      <c r="C2029" s="697"/>
      <c r="D2029" s="914"/>
    </row>
    <row r="2030" spans="1:4">
      <c r="A2030" s="15"/>
      <c r="B2030" s="15"/>
      <c r="C2030" s="697"/>
      <c r="D2030" s="914"/>
    </row>
    <row r="2031" spans="1:4">
      <c r="A2031" s="15"/>
      <c r="B2031" s="15"/>
      <c r="C2031" s="697"/>
      <c r="D2031" s="914"/>
    </row>
    <row r="2032" spans="1:4">
      <c r="A2032" s="15"/>
      <c r="B2032" s="15"/>
      <c r="C2032" s="697"/>
      <c r="D2032" s="914"/>
    </row>
    <row r="2033" spans="1:4">
      <c r="A2033" s="15"/>
      <c r="B2033" s="15"/>
      <c r="C2033" s="697"/>
      <c r="D2033" s="914"/>
    </row>
    <row r="2034" spans="1:4">
      <c r="A2034" s="15"/>
      <c r="B2034" s="15"/>
      <c r="C2034" s="697"/>
      <c r="D2034" s="914"/>
    </row>
    <row r="2035" spans="1:4">
      <c r="A2035" s="15"/>
      <c r="B2035" s="15"/>
      <c r="C2035" s="697"/>
      <c r="D2035" s="914"/>
    </row>
    <row r="2036" spans="1:4">
      <c r="A2036" s="15"/>
      <c r="B2036" s="15"/>
      <c r="C2036" s="697"/>
      <c r="D2036" s="914"/>
    </row>
    <row r="2037" spans="1:4">
      <c r="A2037" s="15"/>
      <c r="B2037" s="15"/>
      <c r="C2037" s="697"/>
      <c r="D2037" s="914"/>
    </row>
    <row r="2038" spans="1:4">
      <c r="A2038" s="15"/>
      <c r="B2038" s="15"/>
      <c r="C2038" s="697"/>
      <c r="D2038" s="914"/>
    </row>
    <row r="2039" spans="1:4">
      <c r="A2039" s="15"/>
      <c r="B2039" s="15"/>
      <c r="C2039" s="697"/>
      <c r="D2039" s="914"/>
    </row>
    <row r="2040" spans="1:4">
      <c r="A2040" s="15"/>
      <c r="B2040" s="15"/>
      <c r="C2040" s="697"/>
      <c r="D2040" s="914"/>
    </row>
    <row r="2041" spans="1:4">
      <c r="A2041" s="15"/>
      <c r="B2041" s="15"/>
      <c r="C2041" s="697"/>
      <c r="D2041" s="914"/>
    </row>
    <row r="2042" spans="1:4">
      <c r="A2042" s="15"/>
      <c r="B2042" s="15"/>
      <c r="C2042" s="697"/>
      <c r="D2042" s="914"/>
    </row>
    <row r="2043" spans="1:4">
      <c r="A2043" s="15"/>
      <c r="B2043" s="15"/>
      <c r="C2043" s="697"/>
      <c r="D2043" s="914"/>
    </row>
    <row r="2044" spans="1:4">
      <c r="A2044" s="15"/>
      <c r="B2044" s="15"/>
      <c r="C2044" s="697"/>
      <c r="D2044" s="914"/>
    </row>
    <row r="2045" spans="1:4">
      <c r="A2045" s="15"/>
      <c r="B2045" s="15"/>
      <c r="C2045" s="697"/>
      <c r="D2045" s="914"/>
    </row>
    <row r="2046" spans="1:4">
      <c r="A2046" s="15"/>
      <c r="B2046" s="15"/>
      <c r="C2046" s="697"/>
      <c r="D2046" s="914"/>
    </row>
    <row r="2047" spans="1:4">
      <c r="A2047" s="15"/>
      <c r="B2047" s="15"/>
      <c r="C2047" s="697"/>
      <c r="D2047" s="914"/>
    </row>
    <row r="2048" spans="1:4">
      <c r="A2048" s="15"/>
      <c r="B2048" s="15"/>
      <c r="C2048" s="697"/>
      <c r="D2048" s="914"/>
    </row>
    <row r="2049" spans="1:4">
      <c r="A2049" s="15"/>
      <c r="B2049" s="15"/>
      <c r="C2049" s="697"/>
      <c r="D2049" s="914"/>
    </row>
    <row r="2050" spans="1:4">
      <c r="A2050" s="15"/>
      <c r="B2050" s="15"/>
      <c r="C2050" s="697"/>
      <c r="D2050" s="914"/>
    </row>
    <row r="2051" spans="1:4">
      <c r="A2051" s="15"/>
      <c r="B2051" s="15"/>
      <c r="C2051" s="697"/>
      <c r="D2051" s="914"/>
    </row>
    <row r="2052" spans="1:4">
      <c r="A2052" s="15"/>
      <c r="B2052" s="15"/>
      <c r="C2052" s="697"/>
      <c r="D2052" s="914"/>
    </row>
    <row r="2053" spans="1:4">
      <c r="A2053" s="15"/>
      <c r="B2053" s="15"/>
      <c r="C2053" s="697"/>
      <c r="D2053" s="914"/>
    </row>
    <row r="2054" spans="1:4">
      <c r="A2054" s="15"/>
      <c r="B2054" s="15"/>
      <c r="C2054" s="697"/>
      <c r="D2054" s="914"/>
    </row>
    <row r="2055" spans="1:4">
      <c r="A2055" s="15"/>
      <c r="B2055" s="15"/>
      <c r="C2055" s="697"/>
      <c r="D2055" s="914"/>
    </row>
    <row r="2056" spans="1:4">
      <c r="A2056" s="15"/>
      <c r="B2056" s="15"/>
      <c r="C2056" s="697"/>
      <c r="D2056" s="914"/>
    </row>
    <row r="2057" spans="1:4">
      <c r="A2057" s="15"/>
      <c r="B2057" s="15"/>
      <c r="C2057" s="697"/>
      <c r="D2057" s="914"/>
    </row>
    <row r="2058" spans="1:4">
      <c r="A2058" s="15"/>
      <c r="B2058" s="15"/>
      <c r="C2058" s="697"/>
      <c r="D2058" s="914"/>
    </row>
    <row r="2059" spans="1:4">
      <c r="A2059" s="15"/>
      <c r="B2059" s="15"/>
      <c r="C2059" s="697"/>
      <c r="D2059" s="914"/>
    </row>
    <row r="2060" spans="1:4">
      <c r="A2060" s="15"/>
      <c r="B2060" s="15"/>
      <c r="C2060" s="697"/>
      <c r="D2060" s="914"/>
    </row>
    <row r="2061" spans="1:4">
      <c r="A2061" s="15"/>
      <c r="B2061" s="15"/>
      <c r="C2061" s="697"/>
      <c r="D2061" s="914"/>
    </row>
    <row r="2062" spans="1:4">
      <c r="A2062" s="15"/>
      <c r="B2062" s="15"/>
      <c r="C2062" s="697"/>
      <c r="D2062" s="914"/>
    </row>
    <row r="2063" spans="1:4">
      <c r="A2063" s="15"/>
      <c r="B2063" s="15"/>
      <c r="C2063" s="697"/>
      <c r="D2063" s="914"/>
    </row>
    <row r="2064" spans="1:4">
      <c r="A2064" s="15"/>
      <c r="B2064" s="15"/>
      <c r="C2064" s="697"/>
      <c r="D2064" s="914"/>
    </row>
    <row r="2065" spans="1:4">
      <c r="A2065" s="15"/>
      <c r="B2065" s="15"/>
      <c r="C2065" s="697"/>
      <c r="D2065" s="914"/>
    </row>
    <row r="2066" spans="1:4">
      <c r="A2066" s="15"/>
      <c r="B2066" s="15"/>
      <c r="C2066" s="697"/>
      <c r="D2066" s="914"/>
    </row>
    <row r="2067" spans="1:4">
      <c r="A2067" s="15"/>
      <c r="B2067" s="15"/>
      <c r="C2067" s="697"/>
      <c r="D2067" s="914"/>
    </row>
    <row r="2068" spans="1:4">
      <c r="A2068" s="15"/>
      <c r="B2068" s="15"/>
      <c r="C2068" s="697"/>
      <c r="D2068" s="914"/>
    </row>
    <row r="2069" spans="1:4">
      <c r="A2069" s="15"/>
      <c r="B2069" s="15"/>
      <c r="C2069" s="697"/>
      <c r="D2069" s="914"/>
    </row>
    <row r="2070" spans="1:4">
      <c r="A2070" s="15"/>
      <c r="B2070" s="15"/>
      <c r="C2070" s="697"/>
      <c r="D2070" s="914"/>
    </row>
    <row r="2071" spans="1:4">
      <c r="A2071" s="15"/>
      <c r="B2071" s="15"/>
      <c r="C2071" s="697"/>
      <c r="D2071" s="914"/>
    </row>
    <row r="2072" spans="1:4">
      <c r="A2072" s="15"/>
      <c r="B2072" s="15"/>
      <c r="C2072" s="697"/>
      <c r="D2072" s="914"/>
    </row>
    <row r="2073" spans="1:4">
      <c r="A2073" s="15"/>
      <c r="B2073" s="15"/>
      <c r="C2073" s="697"/>
      <c r="D2073" s="914"/>
    </row>
    <row r="2074" spans="1:4">
      <c r="A2074" s="15"/>
      <c r="B2074" s="15"/>
      <c r="C2074" s="697"/>
      <c r="D2074" s="914"/>
    </row>
    <row r="2075" spans="1:4">
      <c r="A2075" s="15"/>
      <c r="B2075" s="15"/>
      <c r="C2075" s="697"/>
      <c r="D2075" s="914"/>
    </row>
    <row r="2076" spans="1:4">
      <c r="A2076" s="15"/>
      <c r="B2076" s="15"/>
      <c r="C2076" s="697"/>
      <c r="D2076" s="914"/>
    </row>
    <row r="2077" spans="1:4">
      <c r="A2077" s="15"/>
      <c r="B2077" s="15"/>
      <c r="C2077" s="697"/>
      <c r="D2077" s="914"/>
    </row>
    <row r="2078" spans="1:4">
      <c r="A2078" s="15"/>
      <c r="B2078" s="15"/>
      <c r="C2078" s="697"/>
      <c r="D2078" s="914"/>
    </row>
    <row r="2079" spans="1:4">
      <c r="A2079" s="15"/>
      <c r="B2079" s="15"/>
      <c r="C2079" s="697"/>
      <c r="D2079" s="914"/>
    </row>
    <row r="2080" spans="1:4">
      <c r="A2080" s="15"/>
      <c r="B2080" s="15"/>
      <c r="C2080" s="697"/>
      <c r="D2080" s="914"/>
    </row>
    <row r="2081" spans="1:4">
      <c r="A2081" s="15"/>
      <c r="B2081" s="15"/>
      <c r="C2081" s="697"/>
      <c r="D2081" s="914"/>
    </row>
    <row r="2082" spans="1:4">
      <c r="A2082" s="15"/>
      <c r="B2082" s="15"/>
      <c r="C2082" s="697"/>
      <c r="D2082" s="914"/>
    </row>
    <row r="2083" spans="1:4">
      <c r="A2083" s="15"/>
      <c r="B2083" s="15"/>
      <c r="C2083" s="697"/>
      <c r="D2083" s="914"/>
    </row>
    <row r="2084" spans="1:4">
      <c r="A2084" s="15"/>
      <c r="B2084" s="15"/>
      <c r="C2084" s="697"/>
      <c r="D2084" s="914"/>
    </row>
    <row r="2085" spans="1:4">
      <c r="A2085" s="15"/>
      <c r="B2085" s="15"/>
      <c r="C2085" s="697"/>
      <c r="D2085" s="914"/>
    </row>
    <row r="2086" spans="1:4">
      <c r="A2086" s="15"/>
      <c r="B2086" s="15"/>
      <c r="C2086" s="697"/>
      <c r="D2086" s="914"/>
    </row>
    <row r="2087" spans="1:4">
      <c r="A2087" s="15"/>
      <c r="B2087" s="15"/>
      <c r="C2087" s="697"/>
      <c r="D2087" s="914"/>
    </row>
    <row r="2088" spans="1:4">
      <c r="A2088" s="15"/>
      <c r="B2088" s="15"/>
      <c r="C2088" s="697"/>
      <c r="D2088" s="914"/>
    </row>
    <row r="2089" spans="1:4">
      <c r="A2089" s="15"/>
      <c r="B2089" s="15"/>
      <c r="C2089" s="697"/>
      <c r="D2089" s="914"/>
    </row>
    <row r="2090" spans="1:4">
      <c r="A2090" s="15"/>
      <c r="B2090" s="15"/>
      <c r="C2090" s="697"/>
      <c r="D2090" s="914"/>
    </row>
    <row r="2091" spans="1:4">
      <c r="A2091" s="15"/>
      <c r="B2091" s="15"/>
      <c r="C2091" s="697"/>
      <c r="D2091" s="914"/>
    </row>
    <row r="2092" spans="1:4">
      <c r="A2092" s="15"/>
      <c r="B2092" s="15"/>
      <c r="C2092" s="697"/>
      <c r="D2092" s="914"/>
    </row>
    <row r="2093" spans="1:4">
      <c r="A2093" s="15"/>
      <c r="B2093" s="15"/>
      <c r="C2093" s="697"/>
      <c r="D2093" s="914"/>
    </row>
    <row r="2094" spans="1:4">
      <c r="A2094" s="15"/>
      <c r="B2094" s="15"/>
      <c r="C2094" s="697"/>
      <c r="D2094" s="914"/>
    </row>
    <row r="2095" spans="1:4">
      <c r="A2095" s="15"/>
      <c r="B2095" s="15"/>
      <c r="C2095" s="697"/>
      <c r="D2095" s="914"/>
    </row>
    <row r="2096" spans="1:4">
      <c r="A2096" s="15"/>
      <c r="B2096" s="15"/>
      <c r="C2096" s="697"/>
      <c r="D2096" s="914"/>
    </row>
    <row r="2097" spans="1:4">
      <c r="A2097" s="15"/>
      <c r="B2097" s="15"/>
      <c r="C2097" s="697"/>
      <c r="D2097" s="914"/>
    </row>
    <row r="2098" spans="1:4">
      <c r="A2098" s="15"/>
      <c r="B2098" s="15"/>
      <c r="C2098" s="697"/>
      <c r="D2098" s="914"/>
    </row>
    <row r="2099" spans="1:4">
      <c r="A2099" s="15"/>
      <c r="B2099" s="15"/>
      <c r="C2099" s="697"/>
      <c r="D2099" s="914"/>
    </row>
    <row r="2100" spans="1:4">
      <c r="A2100" s="15"/>
      <c r="B2100" s="15"/>
      <c r="C2100" s="697"/>
      <c r="D2100" s="914"/>
    </row>
    <row r="2101" spans="1:4">
      <c r="A2101" s="15"/>
      <c r="B2101" s="15"/>
      <c r="C2101" s="697"/>
      <c r="D2101" s="914"/>
    </row>
    <row r="2102" spans="1:4">
      <c r="A2102" s="15"/>
      <c r="B2102" s="15"/>
      <c r="C2102" s="697"/>
      <c r="D2102" s="914"/>
    </row>
    <row r="2103" spans="1:4">
      <c r="A2103" s="15"/>
      <c r="B2103" s="15"/>
      <c r="C2103" s="697"/>
      <c r="D2103" s="914"/>
    </row>
    <row r="2104" spans="1:4">
      <c r="A2104" s="15"/>
      <c r="B2104" s="15"/>
      <c r="C2104" s="697"/>
      <c r="D2104" s="914"/>
    </row>
    <row r="2105" spans="1:4">
      <c r="A2105" s="15"/>
      <c r="B2105" s="15"/>
      <c r="C2105" s="697"/>
      <c r="D2105" s="914"/>
    </row>
    <row r="2106" spans="1:4">
      <c r="A2106" s="15"/>
      <c r="B2106" s="15"/>
      <c r="C2106" s="697"/>
      <c r="D2106" s="914"/>
    </row>
    <row r="2107" spans="1:4">
      <c r="A2107" s="15"/>
      <c r="B2107" s="15"/>
      <c r="C2107" s="697"/>
      <c r="D2107" s="914"/>
    </row>
    <row r="2108" spans="1:4">
      <c r="A2108" s="15"/>
      <c r="B2108" s="15"/>
      <c r="C2108" s="697"/>
      <c r="D2108" s="914"/>
    </row>
    <row r="2109" spans="1:4">
      <c r="A2109" s="15"/>
      <c r="B2109" s="15"/>
      <c r="C2109" s="697"/>
      <c r="D2109" s="914"/>
    </row>
    <row r="2110" spans="1:4">
      <c r="A2110" s="15"/>
      <c r="B2110" s="15"/>
      <c r="C2110" s="697"/>
      <c r="D2110" s="914"/>
    </row>
    <row r="2111" spans="1:4">
      <c r="A2111" s="15"/>
      <c r="B2111" s="15"/>
      <c r="C2111" s="697"/>
      <c r="D2111" s="914"/>
    </row>
    <row r="2112" spans="1:4">
      <c r="A2112" s="15"/>
      <c r="B2112" s="15"/>
      <c r="C2112" s="697"/>
      <c r="D2112" s="914"/>
    </row>
    <row r="2113" spans="1:4">
      <c r="A2113" s="15"/>
      <c r="B2113" s="15"/>
      <c r="C2113" s="697"/>
      <c r="D2113" s="914"/>
    </row>
    <row r="2114" spans="1:4">
      <c r="A2114" s="15"/>
      <c r="B2114" s="15"/>
      <c r="C2114" s="697"/>
      <c r="D2114" s="914"/>
    </row>
    <row r="2115" spans="1:4">
      <c r="A2115" s="15"/>
      <c r="B2115" s="15"/>
      <c r="C2115" s="697"/>
      <c r="D2115" s="914"/>
    </row>
    <row r="2116" spans="1:4">
      <c r="A2116" s="15"/>
      <c r="B2116" s="15"/>
      <c r="C2116" s="697"/>
      <c r="D2116" s="914"/>
    </row>
    <row r="2117" spans="1:4">
      <c r="A2117" s="15"/>
      <c r="B2117" s="15"/>
      <c r="C2117" s="697"/>
      <c r="D2117" s="914"/>
    </row>
    <row r="2118" spans="1:4">
      <c r="A2118" s="15"/>
      <c r="B2118" s="15"/>
      <c r="C2118" s="697"/>
      <c r="D2118" s="914"/>
    </row>
    <row r="2119" spans="1:4">
      <c r="A2119" s="15"/>
      <c r="B2119" s="15"/>
      <c r="C2119" s="697"/>
      <c r="D2119" s="914"/>
    </row>
    <row r="2120" spans="1:4">
      <c r="A2120" s="15"/>
      <c r="B2120" s="15"/>
      <c r="C2120" s="697"/>
      <c r="D2120" s="914"/>
    </row>
    <row r="2121" spans="1:4">
      <c r="A2121" s="15"/>
      <c r="B2121" s="15"/>
      <c r="C2121" s="697"/>
      <c r="D2121" s="914"/>
    </row>
    <row r="2122" spans="1:4">
      <c r="A2122" s="15"/>
      <c r="B2122" s="15"/>
      <c r="C2122" s="697"/>
      <c r="D2122" s="914"/>
    </row>
    <row r="2123" spans="1:4">
      <c r="A2123" s="15"/>
      <c r="B2123" s="15"/>
      <c r="C2123" s="697"/>
      <c r="D2123" s="914"/>
    </row>
    <row r="2124" spans="1:4">
      <c r="A2124" s="15"/>
      <c r="B2124" s="15"/>
      <c r="C2124" s="697"/>
      <c r="D2124" s="914"/>
    </row>
    <row r="2125" spans="1:4">
      <c r="A2125" s="15"/>
      <c r="B2125" s="15"/>
      <c r="C2125" s="697"/>
      <c r="D2125" s="914"/>
    </row>
    <row r="2126" spans="1:4">
      <c r="A2126" s="15"/>
      <c r="B2126" s="15"/>
      <c r="C2126" s="697"/>
      <c r="D2126" s="914"/>
    </row>
    <row r="2127" spans="1:4">
      <c r="A2127" s="15"/>
      <c r="B2127" s="15"/>
      <c r="C2127" s="697"/>
      <c r="D2127" s="914"/>
    </row>
    <row r="2128" spans="1:4">
      <c r="A2128" s="15"/>
      <c r="B2128" s="15"/>
      <c r="C2128" s="697"/>
      <c r="D2128" s="914"/>
    </row>
    <row r="2129" spans="1:4">
      <c r="A2129" s="15"/>
      <c r="B2129" s="15"/>
      <c r="C2129" s="697"/>
      <c r="D2129" s="914"/>
    </row>
    <row r="2130" spans="1:4">
      <c r="A2130" s="15"/>
      <c r="B2130" s="15"/>
      <c r="C2130" s="697"/>
      <c r="D2130" s="914"/>
    </row>
    <row r="2131" spans="1:4">
      <c r="A2131" s="15"/>
      <c r="B2131" s="15"/>
      <c r="C2131" s="697"/>
      <c r="D2131" s="914"/>
    </row>
    <row r="2132" spans="1:4">
      <c r="A2132" s="15"/>
      <c r="B2132" s="15"/>
      <c r="C2132" s="697"/>
      <c r="D2132" s="914"/>
    </row>
    <row r="2133" spans="1:4">
      <c r="A2133" s="15"/>
      <c r="B2133" s="15"/>
      <c r="C2133" s="697"/>
      <c r="D2133" s="914"/>
    </row>
    <row r="2134" spans="1:4">
      <c r="A2134" s="15"/>
      <c r="B2134" s="15"/>
      <c r="C2134" s="697"/>
      <c r="D2134" s="914"/>
    </row>
    <row r="2135" spans="1:4">
      <c r="A2135" s="15"/>
      <c r="B2135" s="15"/>
      <c r="C2135" s="697"/>
      <c r="D2135" s="914"/>
    </row>
    <row r="2136" spans="1:4">
      <c r="A2136" s="15"/>
      <c r="B2136" s="15"/>
      <c r="C2136" s="697"/>
      <c r="D2136" s="914"/>
    </row>
    <row r="2137" spans="1:4">
      <c r="A2137" s="15"/>
      <c r="B2137" s="15"/>
      <c r="C2137" s="697"/>
      <c r="D2137" s="914"/>
    </row>
    <row r="2138" spans="1:4">
      <c r="A2138" s="15"/>
      <c r="B2138" s="15"/>
      <c r="C2138" s="697"/>
      <c r="D2138" s="914"/>
    </row>
    <row r="2139" spans="1:4">
      <c r="A2139" s="15"/>
      <c r="B2139" s="15"/>
      <c r="C2139" s="697"/>
      <c r="D2139" s="914"/>
    </row>
    <row r="2140" spans="1:4">
      <c r="A2140" s="15"/>
      <c r="B2140" s="15"/>
      <c r="C2140" s="697"/>
      <c r="D2140" s="914"/>
    </row>
    <row r="2141" spans="1:4">
      <c r="A2141" s="15"/>
      <c r="B2141" s="15"/>
      <c r="C2141" s="697"/>
      <c r="D2141" s="914"/>
    </row>
    <row r="2142" spans="1:4">
      <c r="A2142" s="15"/>
      <c r="B2142" s="15"/>
      <c r="C2142" s="697"/>
      <c r="D2142" s="914"/>
    </row>
    <row r="2143" spans="1:4">
      <c r="A2143" s="15"/>
      <c r="B2143" s="15"/>
      <c r="C2143" s="697"/>
      <c r="D2143" s="914"/>
    </row>
    <row r="2144" spans="1:4">
      <c r="A2144" s="15"/>
      <c r="B2144" s="15"/>
      <c r="C2144" s="697"/>
      <c r="D2144" s="914"/>
    </row>
    <row r="2145" spans="1:4">
      <c r="A2145" s="15"/>
      <c r="B2145" s="15"/>
      <c r="C2145" s="697"/>
      <c r="D2145" s="914"/>
    </row>
    <row r="2146" spans="1:4">
      <c r="A2146" s="15"/>
      <c r="B2146" s="15"/>
      <c r="C2146" s="697"/>
      <c r="D2146" s="914"/>
    </row>
    <row r="2147" spans="1:4">
      <c r="A2147" s="15"/>
      <c r="B2147" s="15"/>
      <c r="C2147" s="697"/>
      <c r="D2147" s="914"/>
    </row>
    <row r="2148" spans="1:4">
      <c r="A2148" s="15"/>
      <c r="B2148" s="15"/>
      <c r="C2148" s="697"/>
      <c r="D2148" s="914"/>
    </row>
    <row r="2149" spans="1:4">
      <c r="A2149" s="15"/>
      <c r="B2149" s="15"/>
      <c r="C2149" s="697"/>
      <c r="D2149" s="914"/>
    </row>
    <row r="2150" spans="1:4">
      <c r="A2150" s="15"/>
      <c r="B2150" s="15"/>
      <c r="C2150" s="697"/>
      <c r="D2150" s="914"/>
    </row>
    <row r="2151" spans="1:4">
      <c r="A2151" s="15"/>
      <c r="B2151" s="15"/>
      <c r="C2151" s="697"/>
      <c r="D2151" s="914"/>
    </row>
    <row r="2152" spans="1:4">
      <c r="A2152" s="15"/>
      <c r="B2152" s="15"/>
      <c r="C2152" s="697"/>
      <c r="D2152" s="914"/>
    </row>
    <row r="2153" spans="1:4">
      <c r="A2153" s="15"/>
      <c r="B2153" s="15"/>
      <c r="C2153" s="697"/>
      <c r="D2153" s="914"/>
    </row>
    <row r="2154" spans="1:4">
      <c r="A2154" s="15"/>
      <c r="B2154" s="15"/>
      <c r="C2154" s="697"/>
      <c r="D2154" s="914"/>
    </row>
    <row r="2155" spans="1:4">
      <c r="A2155" s="15"/>
      <c r="B2155" s="15"/>
      <c r="C2155" s="697"/>
      <c r="D2155" s="914"/>
    </row>
    <row r="2156" spans="1:4">
      <c r="A2156" s="15"/>
      <c r="B2156" s="15"/>
      <c r="C2156" s="697"/>
      <c r="D2156" s="914"/>
    </row>
    <row r="2157" spans="1:4">
      <c r="A2157" s="15"/>
      <c r="B2157" s="15"/>
      <c r="C2157" s="697"/>
      <c r="D2157" s="914"/>
    </row>
    <row r="2158" spans="1:4">
      <c r="A2158" s="15"/>
      <c r="B2158" s="15"/>
      <c r="C2158" s="697"/>
      <c r="D2158" s="914"/>
    </row>
    <row r="2159" spans="1:4">
      <c r="A2159" s="15"/>
      <c r="B2159" s="15"/>
      <c r="C2159" s="697"/>
      <c r="D2159" s="914"/>
    </row>
    <row r="2160" spans="1:4">
      <c r="A2160" s="15"/>
      <c r="B2160" s="15"/>
      <c r="C2160" s="697"/>
      <c r="D2160" s="914"/>
    </row>
    <row r="2161" spans="1:4">
      <c r="A2161" s="15"/>
      <c r="B2161" s="15"/>
      <c r="C2161" s="697"/>
      <c r="D2161" s="914"/>
    </row>
    <row r="2162" spans="1:4">
      <c r="A2162" s="15"/>
      <c r="B2162" s="15"/>
      <c r="C2162" s="697"/>
      <c r="D2162" s="914"/>
    </row>
    <row r="2163" spans="1:4">
      <c r="A2163" s="15"/>
      <c r="B2163" s="15"/>
      <c r="C2163" s="697"/>
      <c r="D2163" s="914"/>
    </row>
    <row r="2164" spans="1:4">
      <c r="A2164" s="15"/>
      <c r="B2164" s="15"/>
      <c r="C2164" s="697"/>
      <c r="D2164" s="914"/>
    </row>
    <row r="2165" spans="1:4">
      <c r="A2165" s="15"/>
      <c r="B2165" s="15"/>
      <c r="C2165" s="697"/>
      <c r="D2165" s="914"/>
    </row>
    <row r="2166" spans="1:4">
      <c r="A2166" s="15"/>
      <c r="B2166" s="15"/>
      <c r="C2166" s="697"/>
      <c r="D2166" s="914"/>
    </row>
    <row r="2167" spans="1:4">
      <c r="A2167" s="15"/>
      <c r="B2167" s="15"/>
      <c r="C2167" s="697"/>
      <c r="D2167" s="914"/>
    </row>
    <row r="2168" spans="1:4">
      <c r="A2168" s="15"/>
      <c r="B2168" s="15"/>
      <c r="C2168" s="697"/>
      <c r="D2168" s="914"/>
    </row>
    <row r="2169" spans="1:4">
      <c r="A2169" s="15"/>
      <c r="B2169" s="15"/>
      <c r="C2169" s="697"/>
      <c r="D2169" s="914"/>
    </row>
    <row r="2170" spans="1:4">
      <c r="A2170" s="15"/>
      <c r="B2170" s="15"/>
      <c r="C2170" s="697"/>
      <c r="D2170" s="914"/>
    </row>
    <row r="2171" spans="1:4">
      <c r="A2171" s="15"/>
      <c r="B2171" s="15"/>
      <c r="C2171" s="697"/>
      <c r="D2171" s="914"/>
    </row>
    <row r="2172" spans="1:4">
      <c r="A2172" s="15"/>
      <c r="B2172" s="15"/>
      <c r="C2172" s="697"/>
      <c r="D2172" s="914"/>
    </row>
    <row r="2173" spans="1:4">
      <c r="A2173" s="15"/>
      <c r="B2173" s="15"/>
      <c r="C2173" s="697"/>
      <c r="D2173" s="914"/>
    </row>
    <row r="2174" spans="1:4">
      <c r="A2174" s="15"/>
      <c r="B2174" s="15"/>
      <c r="C2174" s="697"/>
      <c r="D2174" s="914"/>
    </row>
    <row r="2175" spans="1:4">
      <c r="A2175" s="15"/>
      <c r="B2175" s="15"/>
      <c r="C2175" s="697"/>
      <c r="D2175" s="914"/>
    </row>
    <row r="2176" spans="1:4">
      <c r="A2176" s="15"/>
      <c r="B2176" s="15"/>
      <c r="C2176" s="697"/>
      <c r="D2176" s="914"/>
    </row>
    <row r="2177" spans="1:4">
      <c r="A2177" s="15"/>
      <c r="B2177" s="15"/>
      <c r="C2177" s="697"/>
      <c r="D2177" s="914"/>
    </row>
    <row r="2178" spans="1:4">
      <c r="A2178" s="15"/>
      <c r="B2178" s="15"/>
      <c r="C2178" s="697"/>
      <c r="D2178" s="914"/>
    </row>
    <row r="2179" spans="1:4">
      <c r="A2179" s="15"/>
      <c r="B2179" s="15"/>
      <c r="C2179" s="697"/>
      <c r="D2179" s="914"/>
    </row>
    <row r="2180" spans="1:4">
      <c r="A2180" s="15"/>
      <c r="B2180" s="15"/>
      <c r="C2180" s="697"/>
      <c r="D2180" s="914"/>
    </row>
    <row r="2181" spans="1:4">
      <c r="A2181" s="15"/>
      <c r="B2181" s="15"/>
      <c r="C2181" s="697"/>
      <c r="D2181" s="914"/>
    </row>
    <row r="2182" spans="1:4">
      <c r="A2182" s="15"/>
      <c r="B2182" s="15"/>
      <c r="C2182" s="697"/>
      <c r="D2182" s="914"/>
    </row>
    <row r="2183" spans="1:4">
      <c r="A2183" s="15"/>
      <c r="B2183" s="15"/>
      <c r="C2183" s="697"/>
      <c r="D2183" s="914"/>
    </row>
    <row r="2184" spans="1:4">
      <c r="A2184" s="15"/>
      <c r="B2184" s="15"/>
      <c r="C2184" s="697"/>
      <c r="D2184" s="914"/>
    </row>
    <row r="2185" spans="1:4">
      <c r="A2185" s="15"/>
      <c r="B2185" s="15"/>
      <c r="C2185" s="697"/>
      <c r="D2185" s="914"/>
    </row>
    <row r="2186" spans="1:4">
      <c r="A2186" s="15"/>
      <c r="B2186" s="15"/>
      <c r="C2186" s="697"/>
      <c r="D2186" s="914"/>
    </row>
    <row r="2187" spans="1:4">
      <c r="A2187" s="15"/>
      <c r="B2187" s="15"/>
      <c r="C2187" s="697"/>
      <c r="D2187" s="914"/>
    </row>
    <row r="2188" spans="1:4">
      <c r="A2188" s="15"/>
      <c r="B2188" s="15"/>
      <c r="C2188" s="697"/>
      <c r="D2188" s="914"/>
    </row>
    <row r="2189" spans="1:4">
      <c r="A2189" s="15"/>
      <c r="B2189" s="15"/>
      <c r="C2189" s="697"/>
      <c r="D2189" s="914"/>
    </row>
    <row r="2190" spans="1:4">
      <c r="A2190" s="15"/>
      <c r="B2190" s="15"/>
      <c r="C2190" s="697"/>
      <c r="D2190" s="914"/>
    </row>
    <row r="2191" spans="1:4">
      <c r="A2191" s="15"/>
      <c r="B2191" s="15"/>
      <c r="C2191" s="697"/>
      <c r="D2191" s="914"/>
    </row>
    <row r="2192" spans="1:4">
      <c r="A2192" s="15"/>
      <c r="B2192" s="15"/>
      <c r="C2192" s="697"/>
      <c r="D2192" s="914"/>
    </row>
    <row r="2193" spans="1:4">
      <c r="A2193" s="15"/>
      <c r="B2193" s="15"/>
      <c r="C2193" s="697"/>
      <c r="D2193" s="914"/>
    </row>
    <row r="2194" spans="1:4">
      <c r="A2194" s="15"/>
      <c r="B2194" s="15"/>
      <c r="C2194" s="697"/>
      <c r="D2194" s="914"/>
    </row>
    <row r="2195" spans="1:4">
      <c r="A2195" s="15"/>
      <c r="B2195" s="15"/>
      <c r="C2195" s="697"/>
      <c r="D2195" s="914"/>
    </row>
    <row r="2196" spans="1:4">
      <c r="A2196" s="15"/>
      <c r="B2196" s="15"/>
      <c r="C2196" s="697"/>
      <c r="D2196" s="914"/>
    </row>
    <row r="2197" spans="1:4">
      <c r="A2197" s="15"/>
      <c r="B2197" s="15"/>
      <c r="C2197" s="697"/>
      <c r="D2197" s="914"/>
    </row>
    <row r="2198" spans="1:4">
      <c r="A2198" s="15"/>
      <c r="B2198" s="15"/>
      <c r="C2198" s="697"/>
      <c r="D2198" s="914"/>
    </row>
    <row r="2199" spans="1:4">
      <c r="A2199" s="15"/>
      <c r="B2199" s="15"/>
      <c r="C2199" s="697"/>
      <c r="D2199" s="914"/>
    </row>
    <row r="2200" spans="1:4">
      <c r="A2200" s="15"/>
      <c r="B2200" s="15"/>
      <c r="C2200" s="697"/>
      <c r="D2200" s="914"/>
    </row>
    <row r="2201" spans="1:4">
      <c r="A2201" s="15"/>
      <c r="B2201" s="15"/>
      <c r="C2201" s="697"/>
      <c r="D2201" s="914"/>
    </row>
    <row r="2202" spans="1:4">
      <c r="A2202" s="15"/>
      <c r="B2202" s="15"/>
      <c r="C2202" s="697"/>
      <c r="D2202" s="914"/>
    </row>
    <row r="2203" spans="1:4">
      <c r="A2203" s="15"/>
      <c r="B2203" s="15"/>
      <c r="C2203" s="697"/>
      <c r="D2203" s="914"/>
    </row>
    <row r="2204" spans="1:4">
      <c r="A2204" s="15"/>
      <c r="B2204" s="15"/>
      <c r="C2204" s="697"/>
      <c r="D2204" s="914"/>
    </row>
    <row r="2205" spans="1:4">
      <c r="A2205" s="15"/>
      <c r="B2205" s="15"/>
      <c r="C2205" s="697"/>
      <c r="D2205" s="914"/>
    </row>
    <row r="2206" spans="1:4">
      <c r="A2206" s="15"/>
      <c r="B2206" s="15"/>
      <c r="C2206" s="697"/>
      <c r="D2206" s="914"/>
    </row>
    <row r="2207" spans="1:4">
      <c r="A2207" s="15"/>
      <c r="B2207" s="15"/>
      <c r="C2207" s="697"/>
      <c r="D2207" s="914"/>
    </row>
    <row r="2208" spans="1:4">
      <c r="A2208" s="15"/>
      <c r="B2208" s="15"/>
      <c r="C2208" s="697"/>
      <c r="D2208" s="914"/>
    </row>
    <row r="2209" spans="1:4">
      <c r="A2209" s="15"/>
      <c r="B2209" s="15"/>
      <c r="C2209" s="697"/>
      <c r="D2209" s="914"/>
    </row>
    <row r="2210" spans="1:4">
      <c r="A2210" s="15"/>
      <c r="B2210" s="15"/>
      <c r="C2210" s="697"/>
      <c r="D2210" s="914"/>
    </row>
    <row r="2211" spans="1:4">
      <c r="A2211" s="15"/>
      <c r="B2211" s="15"/>
      <c r="C2211" s="697"/>
      <c r="D2211" s="914"/>
    </row>
    <row r="2212" spans="1:4">
      <c r="A2212" s="15"/>
      <c r="B2212" s="15"/>
      <c r="C2212" s="697"/>
      <c r="D2212" s="914"/>
    </row>
    <row r="2213" spans="1:4">
      <c r="A2213" s="15"/>
      <c r="B2213" s="15"/>
      <c r="C2213" s="697"/>
      <c r="D2213" s="914"/>
    </row>
    <row r="2214" spans="1:4">
      <c r="A2214" s="15"/>
      <c r="B2214" s="15"/>
      <c r="C2214" s="697"/>
      <c r="D2214" s="914"/>
    </row>
    <row r="2215" spans="1:4">
      <c r="A2215" s="15"/>
      <c r="B2215" s="15"/>
      <c r="C2215" s="697"/>
      <c r="D2215" s="914"/>
    </row>
    <row r="2216" spans="1:4">
      <c r="A2216" s="15"/>
      <c r="B2216" s="15"/>
      <c r="C2216" s="697"/>
      <c r="D2216" s="914"/>
    </row>
    <row r="2217" spans="1:4">
      <c r="A2217" s="15"/>
      <c r="B2217" s="15"/>
      <c r="C2217" s="697"/>
      <c r="D2217" s="914"/>
    </row>
    <row r="2218" spans="1:4">
      <c r="A2218" s="15"/>
      <c r="B2218" s="15"/>
      <c r="C2218" s="697"/>
      <c r="D2218" s="914"/>
    </row>
    <row r="2219" spans="1:4">
      <c r="A2219" s="15"/>
      <c r="B2219" s="15"/>
      <c r="C2219" s="697"/>
      <c r="D2219" s="914"/>
    </row>
    <row r="2220" spans="1:4">
      <c r="A2220" s="15"/>
      <c r="B2220" s="15"/>
      <c r="C2220" s="697"/>
      <c r="D2220" s="914"/>
    </row>
    <row r="2221" spans="1:4">
      <c r="A2221" s="15"/>
      <c r="B2221" s="15"/>
      <c r="C2221" s="697"/>
      <c r="D2221" s="914"/>
    </row>
    <row r="2222" spans="1:4">
      <c r="A2222" s="15"/>
      <c r="B2222" s="15"/>
      <c r="C2222" s="697"/>
      <c r="D2222" s="914"/>
    </row>
    <row r="2223" spans="1:4">
      <c r="A2223" s="15"/>
      <c r="B2223" s="15"/>
      <c r="C2223" s="697"/>
      <c r="D2223" s="914"/>
    </row>
    <row r="2224" spans="1:4">
      <c r="A2224" s="15"/>
      <c r="B2224" s="15"/>
      <c r="C2224" s="697"/>
      <c r="D2224" s="914"/>
    </row>
    <row r="2225" spans="1:4">
      <c r="A2225" s="15"/>
      <c r="B2225" s="15"/>
      <c r="C2225" s="697"/>
      <c r="D2225" s="914"/>
    </row>
    <row r="2226" spans="1:4">
      <c r="A2226" s="15"/>
      <c r="B2226" s="15"/>
      <c r="C2226" s="697"/>
      <c r="D2226" s="914"/>
    </row>
    <row r="2227" spans="1:4">
      <c r="A2227" s="15"/>
      <c r="B2227" s="15"/>
      <c r="C2227" s="697"/>
      <c r="D2227" s="914"/>
    </row>
    <row r="2228" spans="1:4">
      <c r="A2228" s="15"/>
      <c r="B2228" s="15"/>
      <c r="C2228" s="697"/>
      <c r="D2228" s="914"/>
    </row>
    <row r="2229" spans="1:4">
      <c r="A2229" s="15"/>
      <c r="B2229" s="15"/>
      <c r="C2229" s="697"/>
      <c r="D2229" s="914"/>
    </row>
    <row r="2230" spans="1:4">
      <c r="A2230" s="15"/>
      <c r="B2230" s="15"/>
      <c r="C2230" s="697"/>
      <c r="D2230" s="914"/>
    </row>
    <row r="2231" spans="1:4">
      <c r="A2231" s="15"/>
      <c r="B2231" s="15"/>
      <c r="C2231" s="697"/>
      <c r="D2231" s="914"/>
    </row>
    <row r="2232" spans="1:4">
      <c r="A2232" s="15"/>
      <c r="B2232" s="15"/>
      <c r="C2232" s="697"/>
      <c r="D2232" s="914"/>
    </row>
    <row r="2233" spans="1:4">
      <c r="A2233" s="15"/>
      <c r="B2233" s="15"/>
      <c r="C2233" s="697"/>
      <c r="D2233" s="914"/>
    </row>
    <row r="2234" spans="1:4">
      <c r="A2234" s="15"/>
      <c r="B2234" s="15"/>
      <c r="C2234" s="697"/>
      <c r="D2234" s="914"/>
    </row>
    <row r="2235" spans="1:4">
      <c r="A2235" s="15"/>
      <c r="B2235" s="15"/>
      <c r="C2235" s="697"/>
      <c r="D2235" s="914"/>
    </row>
    <row r="2236" spans="1:4">
      <c r="A2236" s="15"/>
      <c r="B2236" s="15"/>
      <c r="C2236" s="697"/>
      <c r="D2236" s="914"/>
    </row>
    <row r="2237" spans="1:4">
      <c r="A2237" s="15"/>
      <c r="B2237" s="15"/>
      <c r="C2237" s="697"/>
      <c r="D2237" s="914"/>
    </row>
    <row r="2238" spans="1:4">
      <c r="A2238" s="15"/>
      <c r="B2238" s="15"/>
      <c r="C2238" s="697"/>
      <c r="D2238" s="914"/>
    </row>
    <row r="2239" spans="1:4">
      <c r="A2239" s="15"/>
      <c r="B2239" s="15"/>
      <c r="C2239" s="697"/>
      <c r="D2239" s="914"/>
    </row>
    <row r="2240" spans="1:4">
      <c r="A2240" s="15"/>
      <c r="B2240" s="15"/>
      <c r="C2240" s="697"/>
      <c r="D2240" s="914"/>
    </row>
    <row r="2241" spans="1:4">
      <c r="A2241" s="15"/>
      <c r="B2241" s="15"/>
      <c r="C2241" s="697"/>
      <c r="D2241" s="914"/>
    </row>
    <row r="2242" spans="1:4">
      <c r="A2242" s="15"/>
      <c r="B2242" s="15"/>
      <c r="C2242" s="697"/>
      <c r="D2242" s="914"/>
    </row>
    <row r="2243" spans="1:4">
      <c r="A2243" s="15"/>
      <c r="B2243" s="15"/>
      <c r="C2243" s="697"/>
      <c r="D2243" s="914"/>
    </row>
    <row r="2244" spans="1:4">
      <c r="A2244" s="15"/>
      <c r="B2244" s="15"/>
      <c r="C2244" s="697"/>
      <c r="D2244" s="914"/>
    </row>
    <row r="2245" spans="1:4">
      <c r="A2245" s="15"/>
      <c r="B2245" s="15"/>
      <c r="C2245" s="697"/>
      <c r="D2245" s="914"/>
    </row>
    <row r="2246" spans="1:4">
      <c r="A2246" s="15"/>
      <c r="B2246" s="15"/>
      <c r="C2246" s="697"/>
      <c r="D2246" s="914"/>
    </row>
    <row r="2247" spans="1:4">
      <c r="A2247" s="15"/>
      <c r="B2247" s="15"/>
      <c r="C2247" s="697"/>
      <c r="D2247" s="914"/>
    </row>
    <row r="2248" spans="1:4">
      <c r="A2248" s="15"/>
      <c r="B2248" s="15"/>
      <c r="C2248" s="697"/>
      <c r="D2248" s="914"/>
    </row>
    <row r="2249" spans="1:4">
      <c r="A2249" s="15"/>
      <c r="B2249" s="15"/>
      <c r="C2249" s="697"/>
      <c r="D2249" s="914"/>
    </row>
    <row r="2250" spans="1:4">
      <c r="A2250" s="15"/>
      <c r="B2250" s="15"/>
      <c r="C2250" s="697"/>
      <c r="D2250" s="914"/>
    </row>
    <row r="2251" spans="1:4">
      <c r="A2251" s="15"/>
      <c r="B2251" s="15"/>
      <c r="C2251" s="697"/>
      <c r="D2251" s="914"/>
    </row>
    <row r="2252" spans="1:4">
      <c r="A2252" s="15"/>
      <c r="B2252" s="15"/>
      <c r="C2252" s="697"/>
      <c r="D2252" s="914"/>
    </row>
    <row r="2253" spans="1:4">
      <c r="A2253" s="15"/>
      <c r="B2253" s="15"/>
      <c r="C2253" s="697"/>
      <c r="D2253" s="914"/>
    </row>
    <row r="2254" spans="1:4">
      <c r="A2254" s="15"/>
      <c r="B2254" s="15"/>
      <c r="C2254" s="697"/>
      <c r="D2254" s="914"/>
    </row>
    <row r="2255" spans="1:4">
      <c r="A2255" s="15"/>
      <c r="B2255" s="15"/>
      <c r="C2255" s="697"/>
      <c r="D2255" s="914"/>
    </row>
    <row r="2256" spans="1:4">
      <c r="A2256" s="15"/>
      <c r="B2256" s="15"/>
      <c r="C2256" s="697"/>
      <c r="D2256" s="914"/>
    </row>
    <row r="2257" spans="1:4">
      <c r="A2257" s="15"/>
      <c r="B2257" s="15"/>
      <c r="C2257" s="697"/>
      <c r="D2257" s="914"/>
    </row>
    <row r="2258" spans="1:4">
      <c r="A2258" s="15"/>
      <c r="B2258" s="15"/>
      <c r="C2258" s="697"/>
      <c r="D2258" s="914"/>
    </row>
    <row r="2259" spans="1:4">
      <c r="A2259" s="15"/>
      <c r="B2259" s="15"/>
      <c r="C2259" s="697"/>
      <c r="D2259" s="914"/>
    </row>
    <row r="2260" spans="1:4">
      <c r="A2260" s="15"/>
      <c r="B2260" s="15"/>
      <c r="C2260" s="697"/>
      <c r="D2260" s="914"/>
    </row>
    <row r="2261" spans="1:4">
      <c r="A2261" s="15"/>
      <c r="B2261" s="15"/>
      <c r="C2261" s="697"/>
      <c r="D2261" s="914"/>
    </row>
    <row r="2262" spans="1:4">
      <c r="A2262" s="15"/>
      <c r="B2262" s="15"/>
      <c r="C2262" s="697"/>
      <c r="D2262" s="914"/>
    </row>
    <row r="2263" spans="1:4">
      <c r="A2263" s="15"/>
      <c r="B2263" s="15"/>
      <c r="C2263" s="697"/>
      <c r="D2263" s="914"/>
    </row>
    <row r="2264" spans="1:4">
      <c r="A2264" s="15"/>
      <c r="B2264" s="15"/>
      <c r="C2264" s="697"/>
      <c r="D2264" s="914"/>
    </row>
    <row r="2265" spans="1:4">
      <c r="A2265" s="15"/>
      <c r="B2265" s="15"/>
      <c r="C2265" s="697"/>
      <c r="D2265" s="914"/>
    </row>
    <row r="2266" spans="1:4">
      <c r="A2266" s="15"/>
      <c r="B2266" s="15"/>
      <c r="C2266" s="697"/>
      <c r="D2266" s="914"/>
    </row>
    <row r="2267" spans="1:4">
      <c r="A2267" s="15"/>
      <c r="B2267" s="15"/>
      <c r="C2267" s="697"/>
      <c r="D2267" s="914"/>
    </row>
    <row r="2268" spans="1:4">
      <c r="A2268" s="15"/>
      <c r="B2268" s="15"/>
      <c r="C2268" s="697"/>
      <c r="D2268" s="914"/>
    </row>
    <row r="2269" spans="1:4">
      <c r="A2269" s="15"/>
      <c r="B2269" s="15"/>
      <c r="C2269" s="697"/>
      <c r="D2269" s="914"/>
    </row>
    <row r="2270" spans="1:4">
      <c r="A2270" s="15"/>
      <c r="B2270" s="15"/>
      <c r="C2270" s="697"/>
      <c r="D2270" s="914"/>
    </row>
    <row r="2271" spans="1:4">
      <c r="A2271" s="15"/>
      <c r="B2271" s="15"/>
      <c r="C2271" s="697"/>
      <c r="D2271" s="914"/>
    </row>
    <row r="2272" spans="1:4">
      <c r="A2272" s="15"/>
      <c r="B2272" s="15"/>
      <c r="C2272" s="697"/>
      <c r="D2272" s="914"/>
    </row>
    <row r="2273" spans="1:4">
      <c r="A2273" s="15"/>
      <c r="B2273" s="15"/>
      <c r="C2273" s="697"/>
      <c r="D2273" s="914"/>
    </row>
    <row r="2274" spans="1:4">
      <c r="A2274" s="15"/>
      <c r="B2274" s="15"/>
      <c r="C2274" s="697"/>
      <c r="D2274" s="914"/>
    </row>
    <row r="2275" spans="1:4">
      <c r="A2275" s="15"/>
      <c r="B2275" s="15"/>
      <c r="C2275" s="697"/>
      <c r="D2275" s="914"/>
    </row>
    <row r="2276" spans="1:4">
      <c r="A2276" s="15"/>
      <c r="B2276" s="15"/>
      <c r="C2276" s="697"/>
      <c r="D2276" s="914"/>
    </row>
    <row r="2277" spans="1:4">
      <c r="A2277" s="15"/>
      <c r="B2277" s="15"/>
      <c r="C2277" s="697"/>
      <c r="D2277" s="914"/>
    </row>
    <row r="2278" spans="1:4">
      <c r="A2278" s="15"/>
      <c r="B2278" s="15"/>
      <c r="C2278" s="697"/>
      <c r="D2278" s="914"/>
    </row>
    <row r="2279" spans="1:4">
      <c r="A2279" s="15"/>
      <c r="B2279" s="15"/>
      <c r="C2279" s="697"/>
      <c r="D2279" s="914"/>
    </row>
    <row r="2280" spans="1:4">
      <c r="A2280" s="15"/>
      <c r="B2280" s="15"/>
      <c r="C2280" s="697"/>
      <c r="D2280" s="914"/>
    </row>
    <row r="2281" spans="1:4">
      <c r="A2281" s="15"/>
      <c r="B2281" s="15"/>
      <c r="C2281" s="697"/>
      <c r="D2281" s="914"/>
    </row>
    <row r="2282" spans="1:4">
      <c r="A2282" s="15"/>
      <c r="B2282" s="15"/>
      <c r="C2282" s="697"/>
      <c r="D2282" s="914"/>
    </row>
    <row r="2283" spans="1:4">
      <c r="A2283" s="15"/>
      <c r="B2283" s="15"/>
      <c r="C2283" s="697"/>
      <c r="D2283" s="914"/>
    </row>
    <row r="2284" spans="1:4">
      <c r="A2284" s="15"/>
      <c r="B2284" s="15"/>
      <c r="C2284" s="697"/>
      <c r="D2284" s="914"/>
    </row>
    <row r="2285" spans="1:4">
      <c r="A2285" s="15"/>
      <c r="B2285" s="15"/>
      <c r="C2285" s="697"/>
      <c r="D2285" s="914"/>
    </row>
    <row r="2286" spans="1:4">
      <c r="A2286" s="15"/>
      <c r="B2286" s="15"/>
      <c r="C2286" s="697"/>
      <c r="D2286" s="914"/>
    </row>
    <row r="2287" spans="1:4">
      <c r="A2287" s="15"/>
      <c r="B2287" s="15"/>
      <c r="C2287" s="697"/>
      <c r="D2287" s="914"/>
    </row>
    <row r="2288" spans="1:4">
      <c r="A2288" s="15"/>
      <c r="B2288" s="15"/>
      <c r="C2288" s="697"/>
      <c r="D2288" s="914"/>
    </row>
    <row r="2289" spans="1:4">
      <c r="A2289" s="15"/>
      <c r="B2289" s="15"/>
      <c r="C2289" s="697"/>
      <c r="D2289" s="914"/>
    </row>
    <row r="2290" spans="1:4">
      <c r="A2290" s="15"/>
      <c r="B2290" s="15"/>
      <c r="C2290" s="697"/>
      <c r="D2290" s="914"/>
    </row>
    <row r="2291" spans="1:4">
      <c r="A2291" s="15"/>
      <c r="B2291" s="15"/>
      <c r="C2291" s="697"/>
      <c r="D2291" s="914"/>
    </row>
    <row r="2292" spans="1:4">
      <c r="A2292" s="15"/>
      <c r="B2292" s="15"/>
      <c r="C2292" s="697"/>
      <c r="D2292" s="914"/>
    </row>
    <row r="2293" spans="1:4">
      <c r="A2293" s="15"/>
      <c r="B2293" s="15"/>
      <c r="C2293" s="697"/>
      <c r="D2293" s="914"/>
    </row>
    <row r="2294" spans="1:4">
      <c r="A2294" s="15"/>
      <c r="B2294" s="15"/>
      <c r="C2294" s="697"/>
      <c r="D2294" s="914"/>
    </row>
    <row r="2295" spans="1:4">
      <c r="A2295" s="15"/>
      <c r="B2295" s="15"/>
      <c r="C2295" s="697"/>
      <c r="D2295" s="914"/>
    </row>
    <row r="2296" spans="1:4">
      <c r="A2296" s="15"/>
      <c r="B2296" s="15"/>
      <c r="C2296" s="697"/>
      <c r="D2296" s="914"/>
    </row>
    <row r="2297" spans="1:4">
      <c r="A2297" s="15"/>
      <c r="B2297" s="15"/>
      <c r="C2297" s="697"/>
      <c r="D2297" s="914"/>
    </row>
    <row r="2298" spans="1:4">
      <c r="A2298" s="15"/>
      <c r="B2298" s="15"/>
      <c r="C2298" s="697"/>
      <c r="D2298" s="914"/>
    </row>
    <row r="2299" spans="1:4">
      <c r="A2299" s="15"/>
      <c r="B2299" s="15"/>
      <c r="C2299" s="697"/>
      <c r="D2299" s="914"/>
    </row>
    <row r="2300" spans="1:4">
      <c r="A2300" s="15"/>
      <c r="B2300" s="15"/>
      <c r="C2300" s="697"/>
      <c r="D2300" s="914"/>
    </row>
    <row r="2301" spans="1:4">
      <c r="A2301" s="15"/>
      <c r="B2301" s="15"/>
      <c r="C2301" s="697"/>
      <c r="D2301" s="914"/>
    </row>
    <row r="2302" spans="1:4">
      <c r="A2302" s="15"/>
      <c r="B2302" s="15"/>
      <c r="C2302" s="697"/>
      <c r="D2302" s="914"/>
    </row>
    <row r="2303" spans="1:4">
      <c r="A2303" s="15"/>
      <c r="B2303" s="15"/>
      <c r="C2303" s="697"/>
      <c r="D2303" s="914"/>
    </row>
    <row r="2304" spans="1:4">
      <c r="A2304" s="15"/>
      <c r="B2304" s="15"/>
      <c r="C2304" s="697"/>
      <c r="D2304" s="914"/>
    </row>
    <row r="2305" spans="1:4">
      <c r="A2305" s="15"/>
      <c r="B2305" s="15"/>
      <c r="C2305" s="697"/>
      <c r="D2305" s="914"/>
    </row>
    <row r="2306" spans="1:4">
      <c r="A2306" s="15"/>
      <c r="B2306" s="15"/>
      <c r="C2306" s="697"/>
      <c r="D2306" s="914"/>
    </row>
    <row r="2307" spans="1:4">
      <c r="A2307" s="15"/>
      <c r="B2307" s="15"/>
      <c r="C2307" s="697"/>
      <c r="D2307" s="914"/>
    </row>
    <row r="2308" spans="1:4">
      <c r="A2308" s="15"/>
      <c r="B2308" s="15"/>
      <c r="C2308" s="697"/>
      <c r="D2308" s="914"/>
    </row>
    <row r="2309" spans="1:4">
      <c r="A2309" s="15"/>
      <c r="B2309" s="15"/>
      <c r="C2309" s="697"/>
      <c r="D2309" s="914"/>
    </row>
    <row r="2310" spans="1:4">
      <c r="A2310" s="15"/>
      <c r="B2310" s="15"/>
      <c r="C2310" s="697"/>
      <c r="D2310" s="914"/>
    </row>
    <row r="2311" spans="1:4">
      <c r="A2311" s="15"/>
      <c r="B2311" s="15"/>
      <c r="C2311" s="697"/>
      <c r="D2311" s="914"/>
    </row>
    <row r="2312" spans="1:4">
      <c r="A2312" s="15"/>
      <c r="B2312" s="15"/>
      <c r="C2312" s="697"/>
      <c r="D2312" s="914"/>
    </row>
    <row r="2313" spans="1:4">
      <c r="A2313" s="15"/>
      <c r="B2313" s="15"/>
      <c r="C2313" s="697"/>
      <c r="D2313" s="914"/>
    </row>
    <row r="2314" spans="1:4">
      <c r="A2314" s="15"/>
      <c r="B2314" s="15"/>
      <c r="C2314" s="697"/>
      <c r="D2314" s="914"/>
    </row>
    <row r="2315" spans="1:4">
      <c r="A2315" s="15"/>
      <c r="B2315" s="15"/>
      <c r="C2315" s="697"/>
      <c r="D2315" s="914"/>
    </row>
    <row r="2316" spans="1:4">
      <c r="A2316" s="15"/>
      <c r="B2316" s="15"/>
      <c r="C2316" s="697"/>
      <c r="D2316" s="914"/>
    </row>
    <row r="2317" spans="1:4">
      <c r="A2317" s="15"/>
      <c r="B2317" s="15"/>
      <c r="C2317" s="697"/>
      <c r="D2317" s="914"/>
    </row>
    <row r="2318" spans="1:4">
      <c r="A2318" s="15"/>
      <c r="B2318" s="15"/>
      <c r="C2318" s="697"/>
      <c r="D2318" s="914"/>
    </row>
    <row r="2319" spans="1:4">
      <c r="A2319" s="15"/>
      <c r="B2319" s="15"/>
      <c r="C2319" s="697"/>
      <c r="D2319" s="914"/>
    </row>
    <row r="2320" spans="1:4">
      <c r="A2320" s="15"/>
      <c r="B2320" s="15"/>
      <c r="C2320" s="697"/>
      <c r="D2320" s="914"/>
    </row>
    <row r="2321" spans="1:4">
      <c r="A2321" s="15"/>
      <c r="B2321" s="15"/>
      <c r="C2321" s="697"/>
      <c r="D2321" s="914"/>
    </row>
    <row r="2322" spans="1:4">
      <c r="A2322" s="15"/>
      <c r="B2322" s="15"/>
      <c r="C2322" s="697"/>
      <c r="D2322" s="914"/>
    </row>
    <row r="2323" spans="1:4">
      <c r="A2323" s="15"/>
      <c r="B2323" s="15"/>
      <c r="C2323" s="697"/>
      <c r="D2323" s="914"/>
    </row>
    <row r="2324" spans="1:4">
      <c r="A2324" s="15"/>
      <c r="B2324" s="15"/>
      <c r="C2324" s="697"/>
      <c r="D2324" s="914"/>
    </row>
    <row r="2325" spans="1:4">
      <c r="A2325" s="15"/>
      <c r="B2325" s="15"/>
      <c r="C2325" s="697"/>
      <c r="D2325" s="914"/>
    </row>
    <row r="2326" spans="1:4">
      <c r="A2326" s="15"/>
      <c r="B2326" s="15"/>
      <c r="C2326" s="697"/>
      <c r="D2326" s="914"/>
    </row>
    <row r="2327" spans="1:4">
      <c r="A2327" s="15"/>
      <c r="B2327" s="15"/>
      <c r="C2327" s="697"/>
      <c r="D2327" s="914"/>
    </row>
    <row r="2328" spans="1:4">
      <c r="A2328" s="15"/>
      <c r="B2328" s="15"/>
      <c r="C2328" s="697"/>
      <c r="D2328" s="914"/>
    </row>
    <row r="2329" spans="1:4">
      <c r="A2329" s="15"/>
      <c r="B2329" s="15"/>
      <c r="C2329" s="697"/>
      <c r="D2329" s="914"/>
    </row>
    <row r="2330" spans="1:4">
      <c r="A2330" s="15"/>
      <c r="B2330" s="15"/>
      <c r="C2330" s="697"/>
      <c r="D2330" s="914"/>
    </row>
    <row r="2331" spans="1:4">
      <c r="A2331" s="15"/>
      <c r="B2331" s="15"/>
      <c r="C2331" s="697"/>
      <c r="D2331" s="914"/>
    </row>
    <row r="2332" spans="1:4">
      <c r="A2332" s="15"/>
      <c r="B2332" s="15"/>
      <c r="C2332" s="697"/>
      <c r="D2332" s="914"/>
    </row>
    <row r="2333" spans="1:4">
      <c r="A2333" s="15"/>
      <c r="B2333" s="15"/>
      <c r="C2333" s="697"/>
      <c r="D2333" s="914"/>
    </row>
    <row r="2334" spans="1:4">
      <c r="A2334" s="15"/>
      <c r="B2334" s="15"/>
      <c r="C2334" s="697"/>
      <c r="D2334" s="914"/>
    </row>
    <row r="2335" spans="1:4">
      <c r="A2335" s="15"/>
      <c r="B2335" s="15"/>
      <c r="C2335" s="697"/>
      <c r="D2335" s="914"/>
    </row>
    <row r="2336" spans="1:4">
      <c r="A2336" s="15"/>
      <c r="B2336" s="15"/>
      <c r="C2336" s="697"/>
      <c r="D2336" s="914"/>
    </row>
    <row r="2337" spans="1:4">
      <c r="A2337" s="15"/>
      <c r="B2337" s="15"/>
      <c r="C2337" s="697"/>
      <c r="D2337" s="914"/>
    </row>
    <row r="2338" spans="1:4">
      <c r="A2338" s="15"/>
      <c r="B2338" s="15"/>
      <c r="C2338" s="697"/>
      <c r="D2338" s="914"/>
    </row>
    <row r="2339" spans="1:4">
      <c r="A2339" s="15"/>
      <c r="B2339" s="15"/>
      <c r="C2339" s="697"/>
      <c r="D2339" s="914"/>
    </row>
    <row r="2340" spans="1:4">
      <c r="A2340" s="15"/>
      <c r="B2340" s="15"/>
      <c r="C2340" s="697"/>
      <c r="D2340" s="914"/>
    </row>
    <row r="2341" spans="1:4">
      <c r="A2341" s="15"/>
      <c r="B2341" s="15"/>
      <c r="C2341" s="697"/>
      <c r="D2341" s="914"/>
    </row>
    <row r="2342" spans="1:4">
      <c r="A2342" s="15"/>
      <c r="B2342" s="15"/>
      <c r="C2342" s="697"/>
      <c r="D2342" s="914"/>
    </row>
    <row r="2343" spans="1:4">
      <c r="A2343" s="15"/>
      <c r="B2343" s="15"/>
      <c r="C2343" s="697"/>
      <c r="D2343" s="914"/>
    </row>
    <row r="2344" spans="1:4">
      <c r="A2344" s="15"/>
      <c r="B2344" s="15"/>
      <c r="C2344" s="697"/>
      <c r="D2344" s="914"/>
    </row>
    <row r="2345" spans="1:4">
      <c r="A2345" s="15"/>
      <c r="B2345" s="15"/>
      <c r="C2345" s="697"/>
      <c r="D2345" s="914"/>
    </row>
    <row r="2346" spans="1:4">
      <c r="A2346" s="15"/>
      <c r="B2346" s="15"/>
      <c r="C2346" s="697"/>
      <c r="D2346" s="914"/>
    </row>
    <row r="2347" spans="1:4">
      <c r="A2347" s="15"/>
      <c r="B2347" s="15"/>
      <c r="C2347" s="697"/>
      <c r="D2347" s="914"/>
    </row>
    <row r="2348" spans="1:4">
      <c r="A2348" s="15"/>
      <c r="B2348" s="15"/>
      <c r="C2348" s="697"/>
      <c r="D2348" s="914"/>
    </row>
    <row r="2349" spans="1:4">
      <c r="A2349" s="15"/>
      <c r="B2349" s="15"/>
      <c r="C2349" s="697"/>
      <c r="D2349" s="914"/>
    </row>
    <row r="2350" spans="1:4">
      <c r="A2350" s="15"/>
      <c r="B2350" s="15"/>
      <c r="C2350" s="697"/>
      <c r="D2350" s="914"/>
    </row>
    <row r="2351" spans="1:4">
      <c r="A2351" s="15"/>
      <c r="B2351" s="15"/>
      <c r="C2351" s="697"/>
      <c r="D2351" s="914"/>
    </row>
    <row r="2352" spans="1:4">
      <c r="A2352" s="15"/>
      <c r="B2352" s="15"/>
      <c r="C2352" s="697"/>
      <c r="D2352" s="914"/>
    </row>
    <row r="2353" spans="1:4">
      <c r="A2353" s="15"/>
      <c r="B2353" s="15"/>
      <c r="C2353" s="697"/>
      <c r="D2353" s="914"/>
    </row>
    <row r="2354" spans="1:4">
      <c r="A2354" s="15"/>
      <c r="B2354" s="15"/>
      <c r="C2354" s="697"/>
      <c r="D2354" s="914"/>
    </row>
    <row r="2355" spans="1:4">
      <c r="A2355" s="15"/>
      <c r="B2355" s="15"/>
      <c r="C2355" s="697"/>
      <c r="D2355" s="914"/>
    </row>
    <row r="2356" spans="1:4">
      <c r="A2356" s="15"/>
      <c r="B2356" s="15"/>
      <c r="C2356" s="697"/>
      <c r="D2356" s="914"/>
    </row>
    <row r="2357" spans="1:4">
      <c r="A2357" s="15"/>
      <c r="B2357" s="15"/>
      <c r="C2357" s="697"/>
      <c r="D2357" s="914"/>
    </row>
    <row r="2358" spans="1:4">
      <c r="A2358" s="15"/>
      <c r="B2358" s="15"/>
      <c r="C2358" s="697"/>
      <c r="D2358" s="914"/>
    </row>
    <row r="2359" spans="1:4">
      <c r="A2359" s="15"/>
      <c r="B2359" s="15"/>
      <c r="C2359" s="697"/>
      <c r="D2359" s="914"/>
    </row>
    <row r="2360" spans="1:4">
      <c r="A2360" s="15"/>
      <c r="B2360" s="15"/>
      <c r="C2360" s="697"/>
      <c r="D2360" s="914"/>
    </row>
    <row r="2361" spans="1:4">
      <c r="A2361" s="15"/>
      <c r="B2361" s="15"/>
      <c r="C2361" s="697"/>
      <c r="D2361" s="914"/>
    </row>
    <row r="2362" spans="1:4">
      <c r="A2362" s="15"/>
      <c r="B2362" s="15"/>
      <c r="C2362" s="697"/>
      <c r="D2362" s="914"/>
    </row>
    <row r="2363" spans="1:4">
      <c r="A2363" s="15"/>
      <c r="B2363" s="15"/>
      <c r="C2363" s="697"/>
      <c r="D2363" s="914"/>
    </row>
    <row r="2364" spans="1:4">
      <c r="A2364" s="15"/>
      <c r="B2364" s="15"/>
      <c r="C2364" s="697"/>
      <c r="D2364" s="914"/>
    </row>
    <row r="2365" spans="1:4">
      <c r="A2365" s="15"/>
      <c r="B2365" s="15"/>
      <c r="C2365" s="697"/>
      <c r="D2365" s="914"/>
    </row>
    <row r="2366" spans="1:4">
      <c r="A2366" s="15"/>
      <c r="B2366" s="15"/>
      <c r="C2366" s="697"/>
      <c r="D2366" s="914"/>
    </row>
    <row r="2367" spans="1:4">
      <c r="A2367" s="15"/>
      <c r="B2367" s="15"/>
      <c r="C2367" s="697"/>
      <c r="D2367" s="914"/>
    </row>
    <row r="2368" spans="1:4">
      <c r="A2368" s="15"/>
      <c r="B2368" s="15"/>
      <c r="C2368" s="697"/>
      <c r="D2368" s="914"/>
    </row>
    <row r="2369" spans="1:4">
      <c r="A2369" s="15"/>
      <c r="B2369" s="15"/>
      <c r="C2369" s="697"/>
      <c r="D2369" s="914"/>
    </row>
    <row r="2370" spans="1:4">
      <c r="A2370" s="15"/>
      <c r="B2370" s="15"/>
      <c r="C2370" s="697"/>
      <c r="D2370" s="914"/>
    </row>
    <row r="2371" spans="1:4">
      <c r="A2371" s="15"/>
      <c r="B2371" s="15"/>
      <c r="C2371" s="697"/>
      <c r="D2371" s="914"/>
    </row>
    <row r="2372" spans="1:4">
      <c r="A2372" s="15"/>
      <c r="B2372" s="15"/>
      <c r="C2372" s="697"/>
      <c r="D2372" s="914"/>
    </row>
    <row r="2373" spans="1:4">
      <c r="A2373" s="15"/>
      <c r="B2373" s="15"/>
      <c r="C2373" s="697"/>
      <c r="D2373" s="914"/>
    </row>
    <row r="2374" spans="1:4">
      <c r="A2374" s="15"/>
      <c r="B2374" s="15"/>
      <c r="C2374" s="697"/>
      <c r="D2374" s="914"/>
    </row>
    <row r="2375" spans="1:4">
      <c r="A2375" s="15"/>
      <c r="B2375" s="15"/>
      <c r="C2375" s="697"/>
      <c r="D2375" s="914"/>
    </row>
    <row r="2376" spans="1:4">
      <c r="A2376" s="15"/>
      <c r="B2376" s="15"/>
      <c r="C2376" s="697"/>
      <c r="D2376" s="914"/>
    </row>
    <row r="2377" spans="1:4">
      <c r="A2377" s="15"/>
      <c r="B2377" s="15"/>
      <c r="C2377" s="697"/>
      <c r="D2377" s="914"/>
    </row>
    <row r="2378" spans="1:4">
      <c r="A2378" s="15"/>
      <c r="B2378" s="15"/>
      <c r="C2378" s="697"/>
      <c r="D2378" s="914"/>
    </row>
    <row r="2379" spans="1:4">
      <c r="A2379" s="15"/>
      <c r="B2379" s="15"/>
      <c r="C2379" s="697"/>
      <c r="D2379" s="914"/>
    </row>
    <row r="2380" spans="1:4">
      <c r="A2380" s="15"/>
      <c r="B2380" s="15"/>
      <c r="C2380" s="697"/>
      <c r="D2380" s="914"/>
    </row>
    <row r="2381" spans="1:4">
      <c r="A2381" s="15"/>
      <c r="B2381" s="15"/>
      <c r="C2381" s="697"/>
      <c r="D2381" s="914"/>
    </row>
    <row r="2382" spans="1:4">
      <c r="A2382" s="15"/>
      <c r="B2382" s="15"/>
      <c r="C2382" s="697"/>
      <c r="D2382" s="914"/>
    </row>
    <row r="2383" spans="1:4">
      <c r="A2383" s="15"/>
      <c r="B2383" s="15"/>
      <c r="C2383" s="697"/>
      <c r="D2383" s="914"/>
    </row>
    <row r="2384" spans="1:4">
      <c r="A2384" s="15"/>
      <c r="B2384" s="15"/>
      <c r="C2384" s="697"/>
      <c r="D2384" s="914"/>
    </row>
    <row r="2385" spans="1:4">
      <c r="A2385" s="15"/>
      <c r="B2385" s="15"/>
      <c r="C2385" s="697"/>
      <c r="D2385" s="914"/>
    </row>
    <row r="2386" spans="1:4">
      <c r="A2386" s="15"/>
      <c r="B2386" s="15"/>
      <c r="C2386" s="697"/>
      <c r="D2386" s="914"/>
    </row>
    <row r="2387" spans="1:4">
      <c r="A2387" s="15"/>
      <c r="B2387" s="15"/>
      <c r="C2387" s="697"/>
      <c r="D2387" s="914"/>
    </row>
    <row r="2388" spans="1:4">
      <c r="A2388" s="15"/>
      <c r="B2388" s="15"/>
      <c r="C2388" s="697"/>
      <c r="D2388" s="914"/>
    </row>
    <row r="2389" spans="1:4">
      <c r="A2389" s="15"/>
      <c r="B2389" s="15"/>
      <c r="C2389" s="697"/>
      <c r="D2389" s="914"/>
    </row>
    <row r="2390" spans="1:4">
      <c r="A2390" s="15"/>
      <c r="B2390" s="15"/>
      <c r="C2390" s="697"/>
      <c r="D2390" s="914"/>
    </row>
    <row r="2391" spans="1:4">
      <c r="A2391" s="15"/>
      <c r="B2391" s="15"/>
      <c r="C2391" s="697"/>
      <c r="D2391" s="914"/>
    </row>
    <row r="2392" spans="1:4">
      <c r="A2392" s="15"/>
      <c r="B2392" s="15"/>
      <c r="C2392" s="697"/>
      <c r="D2392" s="914"/>
    </row>
    <row r="2393" spans="1:4">
      <c r="A2393" s="15"/>
      <c r="B2393" s="15"/>
      <c r="C2393" s="697"/>
      <c r="D2393" s="914"/>
    </row>
    <row r="2394" spans="1:4">
      <c r="A2394" s="15"/>
      <c r="B2394" s="15"/>
      <c r="C2394" s="697"/>
      <c r="D2394" s="914"/>
    </row>
    <row r="2395" spans="1:4">
      <c r="A2395" s="15"/>
      <c r="B2395" s="15"/>
      <c r="C2395" s="697"/>
      <c r="D2395" s="914"/>
    </row>
    <row r="2396" spans="1:4">
      <c r="A2396" s="15"/>
      <c r="B2396" s="15"/>
      <c r="C2396" s="697"/>
      <c r="D2396" s="914"/>
    </row>
    <row r="2397" spans="1:4">
      <c r="A2397" s="15"/>
      <c r="B2397" s="15"/>
      <c r="C2397" s="697"/>
      <c r="D2397" s="914"/>
    </row>
    <row r="2398" spans="1:4">
      <c r="A2398" s="15"/>
      <c r="B2398" s="15"/>
      <c r="C2398" s="697"/>
      <c r="D2398" s="914"/>
    </row>
    <row r="2399" spans="1:4">
      <c r="A2399" s="15"/>
      <c r="B2399" s="15"/>
      <c r="C2399" s="697"/>
      <c r="D2399" s="914"/>
    </row>
    <row r="2400" spans="1:4">
      <c r="A2400" s="15"/>
      <c r="B2400" s="15"/>
      <c r="C2400" s="697"/>
      <c r="D2400" s="914"/>
    </row>
    <row r="2401" spans="1:4">
      <c r="A2401" s="15"/>
      <c r="B2401" s="15"/>
      <c r="C2401" s="697"/>
      <c r="D2401" s="914"/>
    </row>
    <row r="2402" spans="1:4">
      <c r="A2402" s="15"/>
      <c r="B2402" s="15"/>
      <c r="C2402" s="697"/>
      <c r="D2402" s="914"/>
    </row>
    <row r="2403" spans="1:4">
      <c r="A2403" s="15"/>
      <c r="B2403" s="15"/>
      <c r="C2403" s="697"/>
      <c r="D2403" s="914"/>
    </row>
    <row r="2404" spans="1:4">
      <c r="A2404" s="15"/>
      <c r="B2404" s="15"/>
      <c r="C2404" s="697"/>
      <c r="D2404" s="914"/>
    </row>
    <row r="2405" spans="1:4">
      <c r="A2405" s="15"/>
      <c r="B2405" s="15"/>
      <c r="C2405" s="697"/>
      <c r="D2405" s="914"/>
    </row>
    <row r="2406" spans="1:4">
      <c r="A2406" s="15"/>
      <c r="B2406" s="15"/>
      <c r="C2406" s="697"/>
      <c r="D2406" s="914"/>
    </row>
    <row r="2407" spans="1:4">
      <c r="A2407" s="15"/>
      <c r="B2407" s="15"/>
      <c r="C2407" s="697"/>
      <c r="D2407" s="914"/>
    </row>
    <row r="2408" spans="1:4">
      <c r="A2408" s="15"/>
      <c r="B2408" s="15"/>
      <c r="C2408" s="697"/>
      <c r="D2408" s="914"/>
    </row>
    <row r="2409" spans="1:4">
      <c r="A2409" s="15"/>
      <c r="B2409" s="15"/>
      <c r="C2409" s="697"/>
      <c r="D2409" s="914"/>
    </row>
    <row r="2410" spans="1:4">
      <c r="A2410" s="15"/>
      <c r="B2410" s="15"/>
      <c r="C2410" s="697"/>
      <c r="D2410" s="914"/>
    </row>
    <row r="2411" spans="1:4">
      <c r="A2411" s="15"/>
      <c r="B2411" s="15"/>
      <c r="C2411" s="697"/>
      <c r="D2411" s="914"/>
    </row>
    <row r="2412" spans="1:4">
      <c r="A2412" s="15"/>
      <c r="B2412" s="15"/>
      <c r="C2412" s="697"/>
      <c r="D2412" s="914"/>
    </row>
    <row r="2413" spans="1:4">
      <c r="A2413" s="15"/>
      <c r="B2413" s="15"/>
      <c r="C2413" s="697"/>
      <c r="D2413" s="914"/>
    </row>
    <row r="2414" spans="1:4">
      <c r="A2414" s="15"/>
      <c r="B2414" s="15"/>
      <c r="C2414" s="697"/>
      <c r="D2414" s="914"/>
    </row>
    <row r="2415" spans="1:4">
      <c r="A2415" s="15"/>
      <c r="B2415" s="15"/>
      <c r="C2415" s="697"/>
      <c r="D2415" s="914"/>
    </row>
    <row r="2416" spans="1:4">
      <c r="A2416" s="15"/>
      <c r="B2416" s="15"/>
      <c r="C2416" s="697"/>
      <c r="D2416" s="914"/>
    </row>
    <row r="2417" spans="1:4">
      <c r="A2417" s="15"/>
      <c r="B2417" s="15"/>
      <c r="C2417" s="697"/>
      <c r="D2417" s="914"/>
    </row>
    <row r="2418" spans="1:4">
      <c r="A2418" s="15"/>
      <c r="B2418" s="15"/>
      <c r="C2418" s="697"/>
      <c r="D2418" s="914"/>
    </row>
    <row r="2419" spans="1:4">
      <c r="A2419" s="15"/>
      <c r="B2419" s="15"/>
      <c r="C2419" s="697"/>
      <c r="D2419" s="914"/>
    </row>
    <row r="2420" spans="1:4">
      <c r="A2420" s="15"/>
      <c r="B2420" s="15"/>
      <c r="C2420" s="697"/>
      <c r="D2420" s="914"/>
    </row>
    <row r="2421" spans="1:4">
      <c r="A2421" s="15"/>
      <c r="B2421" s="15"/>
      <c r="C2421" s="697"/>
      <c r="D2421" s="914"/>
    </row>
    <row r="2422" spans="1:4">
      <c r="A2422" s="15"/>
      <c r="B2422" s="15"/>
      <c r="C2422" s="697"/>
      <c r="D2422" s="914"/>
    </row>
    <row r="2423" spans="1:4">
      <c r="A2423" s="15"/>
      <c r="B2423" s="15"/>
      <c r="C2423" s="697"/>
      <c r="D2423" s="914"/>
    </row>
    <row r="2424" spans="1:4">
      <c r="A2424" s="15"/>
      <c r="B2424" s="15"/>
      <c r="C2424" s="697"/>
      <c r="D2424" s="914"/>
    </row>
    <row r="2425" spans="1:4">
      <c r="A2425" s="15"/>
      <c r="B2425" s="15"/>
      <c r="C2425" s="697"/>
      <c r="D2425" s="914"/>
    </row>
    <row r="2426" spans="1:4">
      <c r="A2426" s="15"/>
      <c r="B2426" s="15"/>
      <c r="C2426" s="697"/>
      <c r="D2426" s="914"/>
    </row>
    <row r="2427" spans="1:4">
      <c r="A2427" s="15"/>
      <c r="B2427" s="15"/>
      <c r="C2427" s="697"/>
      <c r="D2427" s="914"/>
    </row>
    <row r="2428" spans="1:4">
      <c r="A2428" s="15"/>
      <c r="B2428" s="15"/>
      <c r="C2428" s="697"/>
      <c r="D2428" s="914"/>
    </row>
    <row r="2429" spans="1:4">
      <c r="A2429" s="15"/>
      <c r="B2429" s="15"/>
      <c r="C2429" s="697"/>
      <c r="D2429" s="914"/>
    </row>
    <row r="2430" spans="1:4">
      <c r="A2430" s="15"/>
      <c r="B2430" s="15"/>
      <c r="C2430" s="697"/>
      <c r="D2430" s="914"/>
    </row>
    <row r="2431" spans="1:4">
      <c r="A2431" s="15"/>
      <c r="B2431" s="15"/>
      <c r="C2431" s="697"/>
      <c r="D2431" s="914"/>
    </row>
    <row r="2432" spans="1:4">
      <c r="A2432" s="15"/>
      <c r="B2432" s="15"/>
      <c r="C2432" s="697"/>
      <c r="D2432" s="914"/>
    </row>
    <row r="2433" spans="1:4">
      <c r="A2433" s="15"/>
      <c r="B2433" s="15"/>
      <c r="C2433" s="697"/>
      <c r="D2433" s="914"/>
    </row>
    <row r="2434" spans="1:4">
      <c r="A2434" s="15"/>
      <c r="B2434" s="15"/>
      <c r="C2434" s="697"/>
      <c r="D2434" s="914"/>
    </row>
    <row r="2435" spans="1:4">
      <c r="A2435" s="15"/>
      <c r="B2435" s="15"/>
      <c r="C2435" s="697"/>
      <c r="D2435" s="914"/>
    </row>
    <row r="2436" spans="1:4">
      <c r="A2436" s="15"/>
      <c r="B2436" s="15"/>
      <c r="C2436" s="697"/>
      <c r="D2436" s="914"/>
    </row>
    <row r="2437" spans="1:4">
      <c r="A2437" s="15"/>
      <c r="B2437" s="15"/>
      <c r="C2437" s="697"/>
      <c r="D2437" s="914"/>
    </row>
    <row r="2438" spans="1:4">
      <c r="A2438" s="15"/>
      <c r="B2438" s="15"/>
      <c r="C2438" s="697"/>
      <c r="D2438" s="914"/>
    </row>
    <row r="2439" spans="1:4">
      <c r="A2439" s="15"/>
      <c r="B2439" s="15"/>
      <c r="C2439" s="697"/>
      <c r="D2439" s="914"/>
    </row>
    <row r="2440" spans="1:4">
      <c r="A2440" s="15"/>
      <c r="B2440" s="15"/>
      <c r="C2440" s="697"/>
      <c r="D2440" s="914"/>
    </row>
    <row r="2441" spans="1:4">
      <c r="A2441" s="15"/>
      <c r="B2441" s="15"/>
      <c r="C2441" s="697"/>
      <c r="D2441" s="914"/>
    </row>
    <row r="2442" spans="1:4">
      <c r="A2442" s="15"/>
      <c r="B2442" s="15"/>
      <c r="C2442" s="697"/>
      <c r="D2442" s="914"/>
    </row>
    <row r="2443" spans="1:4">
      <c r="A2443" s="15"/>
      <c r="B2443" s="15"/>
      <c r="C2443" s="697"/>
      <c r="D2443" s="914"/>
    </row>
    <row r="2444" spans="1:4">
      <c r="A2444" s="15"/>
      <c r="B2444" s="15"/>
      <c r="C2444" s="697"/>
      <c r="D2444" s="914"/>
    </row>
    <row r="2445" spans="1:4">
      <c r="A2445" s="15"/>
      <c r="B2445" s="15"/>
      <c r="C2445" s="697"/>
      <c r="D2445" s="914"/>
    </row>
    <row r="2446" spans="1:4">
      <c r="A2446" s="15"/>
      <c r="B2446" s="15"/>
      <c r="C2446" s="697"/>
      <c r="D2446" s="914"/>
    </row>
    <row r="2447" spans="1:4">
      <c r="A2447" s="15"/>
      <c r="B2447" s="15"/>
      <c r="C2447" s="697"/>
      <c r="D2447" s="914"/>
    </row>
    <row r="2448" spans="1:4">
      <c r="A2448" s="15"/>
      <c r="B2448" s="15"/>
      <c r="C2448" s="697"/>
      <c r="D2448" s="914"/>
    </row>
    <row r="2449" spans="1:4">
      <c r="A2449" s="15"/>
      <c r="B2449" s="15"/>
      <c r="C2449" s="697"/>
      <c r="D2449" s="914"/>
    </row>
    <row r="2450" spans="1:4">
      <c r="A2450" s="15"/>
      <c r="B2450" s="15"/>
      <c r="C2450" s="697"/>
      <c r="D2450" s="914"/>
    </row>
    <row r="2451" spans="1:4">
      <c r="A2451" s="15"/>
      <c r="B2451" s="15"/>
      <c r="C2451" s="697"/>
      <c r="D2451" s="914"/>
    </row>
    <row r="2452" spans="1:4">
      <c r="A2452" s="15"/>
      <c r="B2452" s="15"/>
      <c r="C2452" s="697"/>
      <c r="D2452" s="914"/>
    </row>
    <row r="2453" spans="1:4">
      <c r="A2453" s="15"/>
      <c r="B2453" s="15"/>
      <c r="C2453" s="697"/>
      <c r="D2453" s="914"/>
    </row>
    <row r="2454" spans="1:4">
      <c r="A2454" s="15"/>
      <c r="B2454" s="15"/>
      <c r="C2454" s="697"/>
      <c r="D2454" s="914"/>
    </row>
    <row r="2455" spans="1:4">
      <c r="A2455" s="15"/>
      <c r="B2455" s="15"/>
      <c r="C2455" s="697"/>
      <c r="D2455" s="914"/>
    </row>
    <row r="2456" spans="1:4">
      <c r="A2456" s="15"/>
      <c r="B2456" s="15"/>
      <c r="C2456" s="697"/>
      <c r="D2456" s="914"/>
    </row>
    <row r="2457" spans="1:4">
      <c r="A2457" s="15"/>
      <c r="B2457" s="15"/>
      <c r="C2457" s="697"/>
      <c r="D2457" s="914"/>
    </row>
    <row r="2458" spans="1:4">
      <c r="A2458" s="15"/>
      <c r="B2458" s="15"/>
      <c r="C2458" s="697"/>
      <c r="D2458" s="914"/>
    </row>
    <row r="2459" spans="1:4">
      <c r="A2459" s="15"/>
      <c r="B2459" s="15"/>
      <c r="C2459" s="697"/>
      <c r="D2459" s="914"/>
    </row>
    <row r="2460" spans="1:4">
      <c r="A2460" s="15"/>
      <c r="B2460" s="15"/>
      <c r="C2460" s="697"/>
      <c r="D2460" s="914"/>
    </row>
    <row r="2461" spans="1:4">
      <c r="A2461" s="15"/>
      <c r="B2461" s="15"/>
      <c r="C2461" s="697"/>
      <c r="D2461" s="914"/>
    </row>
    <row r="2462" spans="1:4">
      <c r="A2462" s="15"/>
      <c r="B2462" s="15"/>
      <c r="C2462" s="697"/>
      <c r="D2462" s="914"/>
    </row>
    <row r="2463" spans="1:4">
      <c r="A2463" s="15"/>
      <c r="B2463" s="15"/>
      <c r="C2463" s="697"/>
      <c r="D2463" s="914"/>
    </row>
    <row r="2464" spans="1:4">
      <c r="A2464" s="15"/>
      <c r="B2464" s="15"/>
      <c r="C2464" s="697"/>
      <c r="D2464" s="914"/>
    </row>
    <row r="2465" spans="1:4">
      <c r="A2465" s="15"/>
      <c r="B2465" s="15"/>
      <c r="C2465" s="697"/>
      <c r="D2465" s="914"/>
    </row>
    <row r="2466" spans="1:4">
      <c r="A2466" s="15"/>
      <c r="B2466" s="15"/>
      <c r="C2466" s="697"/>
      <c r="D2466" s="914"/>
    </row>
    <row r="2467" spans="1:4">
      <c r="A2467" s="15"/>
      <c r="B2467" s="15"/>
      <c r="C2467" s="697"/>
      <c r="D2467" s="914"/>
    </row>
    <row r="2468" spans="1:4">
      <c r="A2468" s="15"/>
      <c r="B2468" s="15"/>
      <c r="C2468" s="697"/>
      <c r="D2468" s="914"/>
    </row>
    <row r="2469" spans="1:4">
      <c r="A2469" s="15"/>
      <c r="B2469" s="15"/>
      <c r="C2469" s="697"/>
      <c r="D2469" s="914"/>
    </row>
    <row r="2470" spans="1:4">
      <c r="A2470" s="15"/>
      <c r="B2470" s="15"/>
      <c r="C2470" s="697"/>
      <c r="D2470" s="914"/>
    </row>
    <row r="2471" spans="1:4">
      <c r="A2471" s="15"/>
      <c r="B2471" s="15"/>
      <c r="C2471" s="697"/>
      <c r="D2471" s="914"/>
    </row>
    <row r="2472" spans="1:4">
      <c r="A2472" s="15"/>
      <c r="B2472" s="15"/>
      <c r="C2472" s="697"/>
      <c r="D2472" s="914"/>
    </row>
    <row r="2473" spans="1:4">
      <c r="A2473" s="15"/>
      <c r="B2473" s="15"/>
      <c r="C2473" s="697"/>
      <c r="D2473" s="914"/>
    </row>
    <row r="2474" spans="1:4">
      <c r="A2474" s="15"/>
      <c r="B2474" s="15"/>
      <c r="C2474" s="697"/>
      <c r="D2474" s="914"/>
    </row>
    <row r="2475" spans="1:4">
      <c r="A2475" s="15"/>
      <c r="B2475" s="15"/>
      <c r="C2475" s="697"/>
      <c r="D2475" s="914"/>
    </row>
    <row r="2476" spans="1:4">
      <c r="A2476" s="15"/>
      <c r="B2476" s="15"/>
      <c r="C2476" s="697"/>
      <c r="D2476" s="914"/>
    </row>
    <row r="2477" spans="1:4">
      <c r="A2477" s="15"/>
      <c r="B2477" s="15"/>
      <c r="C2477" s="697"/>
      <c r="D2477" s="914"/>
    </row>
    <row r="2478" spans="1:4">
      <c r="A2478" s="15"/>
      <c r="B2478" s="15"/>
      <c r="C2478" s="697"/>
      <c r="D2478" s="914"/>
    </row>
    <row r="2479" spans="1:4">
      <c r="A2479" s="15"/>
      <c r="B2479" s="15"/>
      <c r="C2479" s="697"/>
      <c r="D2479" s="914"/>
    </row>
    <row r="2480" spans="1:4">
      <c r="A2480" s="15"/>
      <c r="B2480" s="15"/>
      <c r="C2480" s="697"/>
      <c r="D2480" s="914"/>
    </row>
    <row r="2481" spans="1:4">
      <c r="A2481" s="15"/>
      <c r="B2481" s="15"/>
      <c r="C2481" s="697"/>
      <c r="D2481" s="914"/>
    </row>
    <row r="2482" spans="1:4">
      <c r="A2482" s="15"/>
      <c r="B2482" s="15"/>
      <c r="C2482" s="697"/>
      <c r="D2482" s="914"/>
    </row>
    <row r="2483" spans="1:4">
      <c r="A2483" s="15"/>
      <c r="B2483" s="15"/>
      <c r="C2483" s="697"/>
      <c r="D2483" s="914"/>
    </row>
    <row r="2484" spans="1:4">
      <c r="A2484" s="15"/>
      <c r="B2484" s="15"/>
      <c r="C2484" s="697"/>
      <c r="D2484" s="914"/>
    </row>
    <row r="2485" spans="1:4">
      <c r="A2485" s="15"/>
      <c r="B2485" s="15"/>
      <c r="C2485" s="697"/>
      <c r="D2485" s="914"/>
    </row>
    <row r="2486" spans="1:4">
      <c r="A2486" s="15"/>
      <c r="B2486" s="15"/>
      <c r="C2486" s="697"/>
      <c r="D2486" s="914"/>
    </row>
    <row r="2487" spans="1:4">
      <c r="A2487" s="15"/>
      <c r="B2487" s="15"/>
      <c r="C2487" s="697"/>
      <c r="D2487" s="914"/>
    </row>
    <row r="2488" spans="1:4">
      <c r="A2488" s="15"/>
      <c r="B2488" s="15"/>
      <c r="C2488" s="697"/>
      <c r="D2488" s="914"/>
    </row>
    <row r="2489" spans="1:4">
      <c r="A2489" s="15"/>
      <c r="B2489" s="15"/>
      <c r="C2489" s="697"/>
      <c r="D2489" s="914"/>
    </row>
    <row r="2490" spans="1:4">
      <c r="A2490" s="15"/>
      <c r="B2490" s="15"/>
      <c r="C2490" s="697"/>
      <c r="D2490" s="914"/>
    </row>
    <row r="2491" spans="1:4">
      <c r="A2491" s="15"/>
      <c r="B2491" s="15"/>
      <c r="C2491" s="697"/>
      <c r="D2491" s="914"/>
    </row>
    <row r="2492" spans="1:4">
      <c r="A2492" s="15"/>
      <c r="B2492" s="15"/>
      <c r="C2492" s="697"/>
      <c r="D2492" s="914"/>
    </row>
    <row r="2493" spans="1:4">
      <c r="A2493" s="15"/>
      <c r="B2493" s="15"/>
      <c r="C2493" s="697"/>
      <c r="D2493" s="914"/>
    </row>
    <row r="2494" spans="1:4">
      <c r="A2494" s="15"/>
      <c r="B2494" s="15"/>
      <c r="C2494" s="697"/>
      <c r="D2494" s="914"/>
    </row>
    <row r="2495" spans="1:4">
      <c r="A2495" s="15"/>
      <c r="B2495" s="15"/>
      <c r="C2495" s="697"/>
      <c r="D2495" s="914"/>
    </row>
    <row r="2496" spans="1:4">
      <c r="A2496" s="15"/>
      <c r="B2496" s="15"/>
      <c r="C2496" s="697"/>
      <c r="D2496" s="914"/>
    </row>
    <row r="2497" spans="1:4">
      <c r="A2497" s="15"/>
      <c r="B2497" s="15"/>
      <c r="C2497" s="697"/>
      <c r="D2497" s="914"/>
    </row>
    <row r="2498" spans="1:4">
      <c r="A2498" s="15"/>
      <c r="B2498" s="15"/>
      <c r="C2498" s="697"/>
      <c r="D2498" s="914"/>
    </row>
    <row r="2499" spans="1:4">
      <c r="A2499" s="15"/>
      <c r="B2499" s="15"/>
      <c r="C2499" s="697"/>
      <c r="D2499" s="914"/>
    </row>
    <row r="2500" spans="1:4">
      <c r="A2500" s="15"/>
      <c r="B2500" s="15"/>
      <c r="C2500" s="697"/>
      <c r="D2500" s="914"/>
    </row>
    <row r="2501" spans="1:4">
      <c r="A2501" s="15"/>
      <c r="B2501" s="15"/>
      <c r="C2501" s="697"/>
      <c r="D2501" s="914"/>
    </row>
    <row r="2502" spans="1:4">
      <c r="A2502" s="15"/>
      <c r="B2502" s="15"/>
      <c r="C2502" s="697"/>
      <c r="D2502" s="914"/>
    </row>
    <row r="2503" spans="1:4">
      <c r="A2503" s="15"/>
      <c r="B2503" s="15"/>
      <c r="C2503" s="697"/>
      <c r="D2503" s="914"/>
    </row>
    <row r="2504" spans="1:4">
      <c r="A2504" s="15"/>
      <c r="B2504" s="15"/>
      <c r="C2504" s="697"/>
      <c r="D2504" s="914"/>
    </row>
    <row r="2505" spans="1:4">
      <c r="A2505" s="15"/>
      <c r="B2505" s="15"/>
      <c r="C2505" s="697"/>
      <c r="D2505" s="914"/>
    </row>
    <row r="2506" spans="1:4">
      <c r="A2506" s="15"/>
      <c r="B2506" s="15"/>
      <c r="C2506" s="697"/>
      <c r="D2506" s="914"/>
    </row>
    <row r="2507" spans="1:4">
      <c r="A2507" s="15"/>
      <c r="B2507" s="15"/>
      <c r="C2507" s="697"/>
      <c r="D2507" s="914"/>
    </row>
    <row r="2508" spans="1:4">
      <c r="A2508" s="15"/>
      <c r="B2508" s="15"/>
      <c r="C2508" s="697"/>
      <c r="D2508" s="914"/>
    </row>
    <row r="2509" spans="1:4">
      <c r="A2509" s="15"/>
      <c r="B2509" s="15"/>
      <c r="C2509" s="697"/>
      <c r="D2509" s="914"/>
    </row>
    <row r="2510" spans="1:4">
      <c r="A2510" s="15"/>
      <c r="B2510" s="15"/>
      <c r="C2510" s="697"/>
      <c r="D2510" s="914"/>
    </row>
    <row r="2511" spans="1:4">
      <c r="A2511" s="15"/>
      <c r="B2511" s="15"/>
      <c r="C2511" s="697"/>
      <c r="D2511" s="914"/>
    </row>
    <row r="2512" spans="1:4">
      <c r="A2512" s="15"/>
      <c r="B2512" s="15"/>
      <c r="C2512" s="697"/>
      <c r="D2512" s="914"/>
    </row>
    <row r="2513" spans="1:4">
      <c r="A2513" s="15"/>
      <c r="B2513" s="15"/>
      <c r="C2513" s="697"/>
      <c r="D2513" s="914"/>
    </row>
    <row r="2514" spans="1:4">
      <c r="A2514" s="15"/>
      <c r="B2514" s="15"/>
      <c r="C2514" s="697"/>
      <c r="D2514" s="914"/>
    </row>
    <row r="2515" spans="1:4">
      <c r="A2515" s="15"/>
      <c r="B2515" s="15"/>
      <c r="C2515" s="697"/>
      <c r="D2515" s="914"/>
    </row>
    <row r="2516" spans="1:4">
      <c r="A2516" s="15"/>
      <c r="B2516" s="15"/>
      <c r="C2516" s="697"/>
      <c r="D2516" s="914"/>
    </row>
    <row r="2517" spans="1:4">
      <c r="A2517" s="15"/>
      <c r="B2517" s="15"/>
      <c r="C2517" s="697"/>
      <c r="D2517" s="914"/>
    </row>
    <row r="2518" spans="1:4">
      <c r="A2518" s="15"/>
      <c r="B2518" s="15"/>
      <c r="C2518" s="697"/>
      <c r="D2518" s="914"/>
    </row>
    <row r="2519" spans="1:4">
      <c r="A2519" s="15"/>
      <c r="B2519" s="15"/>
      <c r="C2519" s="697"/>
      <c r="D2519" s="914"/>
    </row>
    <row r="2520" spans="1:4">
      <c r="A2520" s="15"/>
      <c r="B2520" s="15"/>
      <c r="C2520" s="697"/>
      <c r="D2520" s="914"/>
    </row>
    <row r="2521" spans="1:4">
      <c r="A2521" s="15"/>
      <c r="B2521" s="15"/>
      <c r="C2521" s="697"/>
      <c r="D2521" s="914"/>
    </row>
    <row r="2522" spans="1:4">
      <c r="A2522" s="15"/>
      <c r="B2522" s="15"/>
      <c r="C2522" s="697"/>
      <c r="D2522" s="914"/>
    </row>
    <row r="2523" spans="1:4">
      <c r="A2523" s="15"/>
      <c r="B2523" s="15"/>
      <c r="C2523" s="697"/>
      <c r="D2523" s="914"/>
    </row>
    <row r="2524" spans="1:4">
      <c r="A2524" s="15"/>
      <c r="B2524" s="15"/>
      <c r="C2524" s="697"/>
      <c r="D2524" s="914"/>
    </row>
    <row r="2525" spans="1:4">
      <c r="A2525" s="15"/>
      <c r="B2525" s="15"/>
      <c r="C2525" s="697"/>
      <c r="D2525" s="914"/>
    </row>
    <row r="2526" spans="1:4">
      <c r="A2526" s="15"/>
      <c r="B2526" s="15"/>
      <c r="C2526" s="697"/>
      <c r="D2526" s="914"/>
    </row>
    <row r="2527" spans="1:4">
      <c r="A2527" s="15"/>
      <c r="B2527" s="15"/>
      <c r="C2527" s="697"/>
      <c r="D2527" s="914"/>
    </row>
    <row r="2528" spans="1:4">
      <c r="A2528" s="15"/>
      <c r="B2528" s="15"/>
      <c r="C2528" s="697"/>
      <c r="D2528" s="914"/>
    </row>
    <row r="2529" spans="1:4">
      <c r="A2529" s="15"/>
      <c r="B2529" s="15"/>
      <c r="C2529" s="697"/>
      <c r="D2529" s="914"/>
    </row>
    <row r="2530" spans="1:4">
      <c r="A2530" s="15"/>
      <c r="B2530" s="15"/>
      <c r="C2530" s="697"/>
      <c r="D2530" s="914"/>
    </row>
    <row r="2531" spans="1:4">
      <c r="A2531" s="15"/>
      <c r="B2531" s="15"/>
      <c r="C2531" s="697"/>
      <c r="D2531" s="914"/>
    </row>
    <row r="2532" spans="1:4">
      <c r="A2532" s="15"/>
      <c r="B2532" s="15"/>
      <c r="C2532" s="697"/>
      <c r="D2532" s="914"/>
    </row>
    <row r="2533" spans="1:4">
      <c r="A2533" s="15"/>
      <c r="B2533" s="15"/>
      <c r="C2533" s="697"/>
      <c r="D2533" s="914"/>
    </row>
    <row r="2534" spans="1:4">
      <c r="A2534" s="15"/>
      <c r="B2534" s="15"/>
      <c r="C2534" s="697"/>
      <c r="D2534" s="914"/>
    </row>
    <row r="2535" spans="1:4">
      <c r="A2535" s="15"/>
      <c r="B2535" s="15"/>
      <c r="C2535" s="697"/>
      <c r="D2535" s="914"/>
    </row>
    <row r="2536" spans="1:4">
      <c r="A2536" s="15"/>
      <c r="B2536" s="15"/>
      <c r="C2536" s="697"/>
      <c r="D2536" s="914"/>
    </row>
    <row r="2537" spans="1:4">
      <c r="A2537" s="15"/>
      <c r="B2537" s="15"/>
      <c r="C2537" s="697"/>
      <c r="D2537" s="914"/>
    </row>
    <row r="2538" spans="1:4">
      <c r="A2538" s="15"/>
      <c r="B2538" s="15"/>
      <c r="C2538" s="697"/>
      <c r="D2538" s="914"/>
    </row>
    <row r="2539" spans="1:4">
      <c r="A2539" s="15"/>
      <c r="B2539" s="15"/>
      <c r="C2539" s="697"/>
      <c r="D2539" s="914"/>
    </row>
    <row r="2540" spans="1:4">
      <c r="A2540" s="15"/>
      <c r="B2540" s="15"/>
      <c r="C2540" s="697"/>
      <c r="D2540" s="914"/>
    </row>
    <row r="2541" spans="1:4">
      <c r="A2541" s="15"/>
      <c r="B2541" s="15"/>
      <c r="C2541" s="697"/>
      <c r="D2541" s="914"/>
    </row>
    <row r="2542" spans="1:4">
      <c r="A2542" s="15"/>
      <c r="B2542" s="15"/>
      <c r="C2542" s="697"/>
      <c r="D2542" s="914"/>
    </row>
    <row r="2543" spans="1:4">
      <c r="A2543" s="15"/>
      <c r="B2543" s="15"/>
      <c r="C2543" s="697"/>
      <c r="D2543" s="914"/>
    </row>
    <row r="2544" spans="1:4">
      <c r="A2544" s="15"/>
      <c r="B2544" s="15"/>
      <c r="C2544" s="697"/>
      <c r="D2544" s="914"/>
    </row>
    <row r="2545" spans="1:4">
      <c r="A2545" s="15"/>
      <c r="B2545" s="15"/>
      <c r="C2545" s="697"/>
      <c r="D2545" s="914"/>
    </row>
    <row r="2546" spans="1:4">
      <c r="A2546" s="15"/>
      <c r="B2546" s="15"/>
      <c r="C2546" s="697"/>
      <c r="D2546" s="914"/>
    </row>
    <row r="2547" spans="1:4">
      <c r="A2547" s="15"/>
      <c r="B2547" s="15"/>
      <c r="C2547" s="697"/>
      <c r="D2547" s="914"/>
    </row>
    <row r="2548" spans="1:4">
      <c r="A2548" s="15"/>
      <c r="B2548" s="15"/>
      <c r="C2548" s="697"/>
      <c r="D2548" s="914"/>
    </row>
    <row r="2549" spans="1:4">
      <c r="A2549" s="15"/>
      <c r="B2549" s="15"/>
      <c r="C2549" s="697"/>
      <c r="D2549" s="914"/>
    </row>
    <row r="2550" spans="1:4">
      <c r="A2550" s="15"/>
      <c r="B2550" s="15"/>
      <c r="C2550" s="697"/>
      <c r="D2550" s="914"/>
    </row>
    <row r="2551" spans="1:4">
      <c r="A2551" s="15"/>
      <c r="B2551" s="15"/>
      <c r="C2551" s="697"/>
      <c r="D2551" s="914"/>
    </row>
    <row r="2552" spans="1:4">
      <c r="A2552" s="15"/>
      <c r="B2552" s="15"/>
      <c r="C2552" s="697"/>
      <c r="D2552" s="914"/>
    </row>
    <row r="2553" spans="1:4">
      <c r="A2553" s="15"/>
      <c r="B2553" s="15"/>
      <c r="C2553" s="697"/>
      <c r="D2553" s="914"/>
    </row>
    <row r="2554" spans="1:4">
      <c r="A2554" s="15"/>
      <c r="B2554" s="15"/>
      <c r="C2554" s="697"/>
      <c r="D2554" s="914"/>
    </row>
    <row r="2555" spans="1:4">
      <c r="A2555" s="15"/>
      <c r="B2555" s="15"/>
      <c r="C2555" s="697"/>
      <c r="D2555" s="914"/>
    </row>
    <row r="2556" spans="1:4">
      <c r="A2556" s="15"/>
      <c r="B2556" s="15"/>
      <c r="C2556" s="697"/>
      <c r="D2556" s="914"/>
    </row>
    <row r="2557" spans="1:4">
      <c r="A2557" s="15"/>
      <c r="B2557" s="15"/>
      <c r="C2557" s="697"/>
      <c r="D2557" s="914"/>
    </row>
    <row r="2558" spans="1:4">
      <c r="A2558" s="15"/>
      <c r="B2558" s="15"/>
      <c r="C2558" s="697"/>
      <c r="D2558" s="914"/>
    </row>
    <row r="2559" spans="1:4">
      <c r="A2559" s="15"/>
      <c r="B2559" s="15"/>
      <c r="C2559" s="697"/>
      <c r="D2559" s="914"/>
    </row>
    <row r="2560" spans="1:4">
      <c r="A2560" s="15"/>
      <c r="B2560" s="15"/>
      <c r="C2560" s="697"/>
      <c r="D2560" s="914"/>
    </row>
    <row r="2561" spans="1:4">
      <c r="A2561" s="15"/>
      <c r="B2561" s="15"/>
      <c r="C2561" s="697"/>
      <c r="D2561" s="914"/>
    </row>
    <row r="2562" spans="1:4">
      <c r="A2562" s="15"/>
      <c r="B2562" s="15"/>
      <c r="C2562" s="697"/>
      <c r="D2562" s="914"/>
    </row>
    <row r="2563" spans="1:4">
      <c r="A2563" s="15"/>
      <c r="B2563" s="15"/>
      <c r="C2563" s="697"/>
      <c r="D2563" s="914"/>
    </row>
    <row r="2564" spans="1:4">
      <c r="A2564" s="15"/>
      <c r="B2564" s="15"/>
      <c r="C2564" s="697"/>
      <c r="D2564" s="914"/>
    </row>
    <row r="2565" spans="1:4">
      <c r="A2565" s="15"/>
      <c r="B2565" s="15"/>
      <c r="C2565" s="697"/>
      <c r="D2565" s="914"/>
    </row>
    <row r="2566" spans="1:4">
      <c r="A2566" s="15"/>
      <c r="B2566" s="15"/>
      <c r="C2566" s="697"/>
      <c r="D2566" s="914"/>
    </row>
    <row r="2567" spans="1:4">
      <c r="A2567" s="15"/>
      <c r="B2567" s="15"/>
      <c r="C2567" s="697"/>
      <c r="D2567" s="914"/>
    </row>
    <row r="2568" spans="1:4">
      <c r="A2568" s="15"/>
      <c r="B2568" s="15"/>
      <c r="C2568" s="697"/>
      <c r="D2568" s="914"/>
    </row>
    <row r="2569" spans="1:4">
      <c r="A2569" s="15"/>
      <c r="B2569" s="15"/>
      <c r="C2569" s="697"/>
      <c r="D2569" s="914"/>
    </row>
    <row r="2570" spans="1:4">
      <c r="A2570" s="15"/>
      <c r="B2570" s="15"/>
      <c r="C2570" s="697"/>
      <c r="D2570" s="914"/>
    </row>
    <row r="2571" spans="1:4">
      <c r="A2571" s="15"/>
      <c r="B2571" s="15"/>
      <c r="C2571" s="697"/>
      <c r="D2571" s="914"/>
    </row>
    <row r="2572" spans="1:4">
      <c r="A2572" s="15"/>
      <c r="B2572" s="15"/>
      <c r="C2572" s="697"/>
      <c r="D2572" s="914"/>
    </row>
    <row r="2573" spans="1:4">
      <c r="A2573" s="15"/>
      <c r="B2573" s="15"/>
      <c r="C2573" s="697"/>
      <c r="D2573" s="914"/>
    </row>
    <row r="2574" spans="1:4">
      <c r="A2574" s="15"/>
      <c r="B2574" s="15"/>
      <c r="C2574" s="697"/>
      <c r="D2574" s="914"/>
    </row>
    <row r="2575" spans="1:4">
      <c r="A2575" s="15"/>
      <c r="B2575" s="15"/>
      <c r="C2575" s="697"/>
      <c r="D2575" s="914"/>
    </row>
    <row r="2576" spans="1:4">
      <c r="A2576" s="15"/>
      <c r="B2576" s="15"/>
      <c r="C2576" s="697"/>
      <c r="D2576" s="914"/>
    </row>
    <row r="2577" spans="1:4">
      <c r="A2577" s="15"/>
      <c r="B2577" s="15"/>
      <c r="C2577" s="697"/>
      <c r="D2577" s="914"/>
    </row>
    <row r="2578" spans="1:4">
      <c r="A2578" s="15"/>
      <c r="B2578" s="15"/>
      <c r="C2578" s="697"/>
      <c r="D2578" s="914"/>
    </row>
    <row r="2579" spans="1:4">
      <c r="A2579" s="15"/>
      <c r="B2579" s="15"/>
      <c r="C2579" s="697"/>
      <c r="D2579" s="914"/>
    </row>
    <row r="2580" spans="1:4">
      <c r="A2580" s="15"/>
      <c r="B2580" s="15"/>
      <c r="C2580" s="697"/>
      <c r="D2580" s="914"/>
    </row>
    <row r="2581" spans="1:4">
      <c r="A2581" s="15"/>
      <c r="B2581" s="15"/>
      <c r="C2581" s="697"/>
      <c r="D2581" s="914"/>
    </row>
    <row r="2582" spans="1:4">
      <c r="A2582" s="15"/>
      <c r="B2582" s="15"/>
      <c r="C2582" s="697"/>
      <c r="D2582" s="914"/>
    </row>
    <row r="2583" spans="1:4">
      <c r="A2583" s="15"/>
      <c r="B2583" s="15"/>
      <c r="C2583" s="697"/>
      <c r="D2583" s="914"/>
    </row>
    <row r="2584" spans="1:4">
      <c r="A2584" s="15"/>
      <c r="B2584" s="15"/>
      <c r="C2584" s="697"/>
      <c r="D2584" s="914"/>
    </row>
    <row r="2585" spans="1:4">
      <c r="A2585" s="15"/>
      <c r="B2585" s="15"/>
      <c r="C2585" s="697"/>
      <c r="D2585" s="914"/>
    </row>
    <row r="2586" spans="1:4">
      <c r="A2586" s="15"/>
      <c r="B2586" s="15"/>
      <c r="C2586" s="697"/>
      <c r="D2586" s="914"/>
    </row>
    <row r="2587" spans="1:4">
      <c r="A2587" s="15"/>
      <c r="B2587" s="15"/>
      <c r="C2587" s="697"/>
      <c r="D2587" s="914"/>
    </row>
    <row r="2588" spans="1:4">
      <c r="A2588" s="15"/>
      <c r="B2588" s="15"/>
      <c r="C2588" s="697"/>
      <c r="D2588" s="914"/>
    </row>
    <row r="2589" spans="1:4">
      <c r="A2589" s="15"/>
      <c r="B2589" s="15"/>
      <c r="C2589" s="697"/>
      <c r="D2589" s="914"/>
    </row>
    <row r="2590" spans="1:4">
      <c r="A2590" s="15"/>
      <c r="B2590" s="15"/>
      <c r="C2590" s="697"/>
      <c r="D2590" s="914"/>
    </row>
    <row r="2591" spans="1:4">
      <c r="A2591" s="15"/>
      <c r="B2591" s="15"/>
      <c r="C2591" s="697"/>
      <c r="D2591" s="914"/>
    </row>
    <row r="2592" spans="1:4">
      <c r="A2592" s="15"/>
      <c r="B2592" s="15"/>
      <c r="C2592" s="697"/>
      <c r="D2592" s="914"/>
    </row>
    <row r="2593" spans="1:4">
      <c r="A2593" s="15"/>
      <c r="B2593" s="15"/>
      <c r="C2593" s="697"/>
      <c r="D2593" s="914"/>
    </row>
    <row r="2594" spans="1:4">
      <c r="A2594" s="15"/>
      <c r="B2594" s="15"/>
      <c r="C2594" s="697"/>
      <c r="D2594" s="914"/>
    </row>
    <row r="2595" spans="1:4">
      <c r="A2595" s="15"/>
      <c r="B2595" s="15"/>
      <c r="C2595" s="697"/>
      <c r="D2595" s="914"/>
    </row>
    <row r="2596" spans="1:4">
      <c r="A2596" s="15"/>
      <c r="B2596" s="15"/>
      <c r="C2596" s="697"/>
      <c r="D2596" s="914"/>
    </row>
    <row r="2597" spans="1:4">
      <c r="A2597" s="15"/>
      <c r="B2597" s="15"/>
      <c r="C2597" s="697"/>
      <c r="D2597" s="914"/>
    </row>
    <row r="2598" spans="1:4">
      <c r="A2598" s="15"/>
      <c r="B2598" s="15"/>
      <c r="C2598" s="697"/>
      <c r="D2598" s="914"/>
    </row>
    <row r="2599" spans="1:4">
      <c r="A2599" s="15"/>
      <c r="B2599" s="15"/>
      <c r="C2599" s="697"/>
      <c r="D2599" s="914"/>
    </row>
    <row r="2600" spans="1:4">
      <c r="A2600" s="15"/>
      <c r="B2600" s="15"/>
      <c r="C2600" s="697"/>
      <c r="D2600" s="914"/>
    </row>
    <row r="2601" spans="1:4">
      <c r="A2601" s="15"/>
      <c r="B2601" s="15"/>
      <c r="C2601" s="697"/>
      <c r="D2601" s="914"/>
    </row>
    <row r="2602" spans="1:4">
      <c r="A2602" s="15"/>
      <c r="B2602" s="15"/>
      <c r="C2602" s="697"/>
      <c r="D2602" s="914"/>
    </row>
    <row r="2603" spans="1:4">
      <c r="A2603" s="15"/>
      <c r="B2603" s="15"/>
      <c r="C2603" s="697"/>
      <c r="D2603" s="914"/>
    </row>
    <row r="2604" spans="1:4">
      <c r="A2604" s="15"/>
      <c r="B2604" s="15"/>
      <c r="C2604" s="697"/>
      <c r="D2604" s="914"/>
    </row>
    <row r="2605" spans="1:4">
      <c r="A2605" s="15"/>
      <c r="B2605" s="15"/>
      <c r="C2605" s="697"/>
      <c r="D2605" s="914"/>
    </row>
    <row r="2606" spans="1:4">
      <c r="A2606" s="15"/>
      <c r="B2606" s="15"/>
      <c r="C2606" s="697"/>
      <c r="D2606" s="914"/>
    </row>
    <row r="2607" spans="1:4">
      <c r="A2607" s="15"/>
      <c r="B2607" s="15"/>
      <c r="C2607" s="697"/>
      <c r="D2607" s="914"/>
    </row>
    <row r="2608" spans="1:4">
      <c r="A2608" s="15"/>
      <c r="B2608" s="15"/>
      <c r="C2608" s="697"/>
      <c r="D2608" s="914"/>
    </row>
    <row r="2609" spans="1:4">
      <c r="A2609" s="15"/>
      <c r="B2609" s="15"/>
      <c r="C2609" s="697"/>
      <c r="D2609" s="914"/>
    </row>
    <row r="2610" spans="1:4">
      <c r="A2610" s="15"/>
      <c r="B2610" s="15"/>
      <c r="C2610" s="697"/>
      <c r="D2610" s="914"/>
    </row>
    <row r="2611" spans="1:4">
      <c r="A2611" s="15"/>
      <c r="B2611" s="15"/>
      <c r="C2611" s="697"/>
      <c r="D2611" s="914"/>
    </row>
    <row r="2612" spans="1:4">
      <c r="A2612" s="15"/>
      <c r="B2612" s="15"/>
      <c r="C2612" s="697"/>
      <c r="D2612" s="914"/>
    </row>
    <row r="2613" spans="1:4">
      <c r="A2613" s="15"/>
      <c r="B2613" s="15"/>
      <c r="C2613" s="697"/>
      <c r="D2613" s="914"/>
    </row>
    <row r="2614" spans="1:4">
      <c r="A2614" s="15"/>
      <c r="B2614" s="15"/>
      <c r="C2614" s="697"/>
      <c r="D2614" s="914"/>
    </row>
    <row r="2615" spans="1:4">
      <c r="A2615" s="15"/>
      <c r="B2615" s="15"/>
      <c r="C2615" s="697"/>
      <c r="D2615" s="914"/>
    </row>
    <row r="2616" spans="1:4">
      <c r="A2616" s="15"/>
      <c r="B2616" s="15"/>
      <c r="C2616" s="697"/>
      <c r="D2616" s="914"/>
    </row>
    <row r="2617" spans="1:4">
      <c r="A2617" s="15"/>
      <c r="B2617" s="15"/>
      <c r="C2617" s="697"/>
      <c r="D2617" s="914"/>
    </row>
    <row r="2618" spans="1:4">
      <c r="A2618" s="15"/>
      <c r="B2618" s="15"/>
      <c r="C2618" s="697"/>
      <c r="D2618" s="914"/>
    </row>
    <row r="2619" spans="1:4">
      <c r="A2619" s="15"/>
      <c r="B2619" s="15"/>
      <c r="C2619" s="697"/>
      <c r="D2619" s="914"/>
    </row>
    <row r="2620" spans="1:4">
      <c r="A2620" s="15"/>
      <c r="B2620" s="15"/>
      <c r="C2620" s="697"/>
      <c r="D2620" s="914"/>
    </row>
    <row r="2621" spans="1:4">
      <c r="A2621" s="15"/>
      <c r="B2621" s="15"/>
      <c r="C2621" s="697"/>
      <c r="D2621" s="914"/>
    </row>
    <row r="2622" spans="1:4">
      <c r="A2622" s="15"/>
      <c r="B2622" s="15"/>
      <c r="C2622" s="697"/>
      <c r="D2622" s="914"/>
    </row>
    <row r="2623" spans="1:4">
      <c r="A2623" s="15"/>
      <c r="B2623" s="15"/>
      <c r="C2623" s="697"/>
      <c r="D2623" s="914"/>
    </row>
    <row r="2624" spans="1:4">
      <c r="A2624" s="15"/>
      <c r="B2624" s="15"/>
      <c r="C2624" s="697"/>
      <c r="D2624" s="914"/>
    </row>
    <row r="2625" spans="1:4">
      <c r="A2625" s="15"/>
      <c r="B2625" s="15"/>
      <c r="C2625" s="697"/>
      <c r="D2625" s="914"/>
    </row>
    <row r="2626" spans="1:4">
      <c r="A2626" s="15"/>
      <c r="B2626" s="15"/>
      <c r="C2626" s="697"/>
      <c r="D2626" s="914"/>
    </row>
    <row r="2627" spans="1:4">
      <c r="A2627" s="15"/>
      <c r="B2627" s="15"/>
      <c r="C2627" s="697"/>
      <c r="D2627" s="914"/>
    </row>
    <row r="2628" spans="1:4">
      <c r="A2628" s="15"/>
      <c r="B2628" s="15"/>
      <c r="C2628" s="697"/>
      <c r="D2628" s="914"/>
    </row>
    <row r="2629" spans="1:4">
      <c r="A2629" s="15"/>
      <c r="B2629" s="15"/>
      <c r="C2629" s="697"/>
      <c r="D2629" s="914"/>
    </row>
    <row r="2630" spans="1:4">
      <c r="A2630" s="15"/>
      <c r="B2630" s="15"/>
      <c r="C2630" s="697"/>
      <c r="D2630" s="914"/>
    </row>
    <row r="2631" spans="1:4">
      <c r="A2631" s="15"/>
      <c r="B2631" s="15"/>
      <c r="C2631" s="697"/>
      <c r="D2631" s="914"/>
    </row>
    <row r="2632" spans="1:4">
      <c r="A2632" s="15"/>
      <c r="B2632" s="15"/>
      <c r="C2632" s="697"/>
      <c r="D2632" s="914"/>
    </row>
    <row r="2633" spans="1:4">
      <c r="A2633" s="15"/>
      <c r="B2633" s="15"/>
      <c r="C2633" s="697"/>
      <c r="D2633" s="914"/>
    </row>
    <row r="2634" spans="1:4">
      <c r="A2634" s="15"/>
      <c r="B2634" s="15"/>
      <c r="C2634" s="697"/>
      <c r="D2634" s="914"/>
    </row>
    <row r="2635" spans="1:4">
      <c r="A2635" s="15"/>
      <c r="B2635" s="15"/>
      <c r="C2635" s="697"/>
      <c r="D2635" s="914"/>
    </row>
    <row r="2636" spans="1:4">
      <c r="A2636" s="15"/>
      <c r="B2636" s="15"/>
      <c r="C2636" s="697"/>
      <c r="D2636" s="914"/>
    </row>
    <row r="2637" spans="1:4">
      <c r="A2637" s="15"/>
      <c r="B2637" s="15"/>
      <c r="C2637" s="697"/>
      <c r="D2637" s="914"/>
    </row>
    <row r="2638" spans="1:4">
      <c r="A2638" s="15"/>
      <c r="B2638" s="15"/>
      <c r="C2638" s="697"/>
      <c r="D2638" s="914"/>
    </row>
    <row r="2639" spans="1:4">
      <c r="A2639" s="15"/>
      <c r="B2639" s="15"/>
      <c r="C2639" s="697"/>
      <c r="D2639" s="914"/>
    </row>
    <row r="2640" spans="1:4">
      <c r="A2640" s="15"/>
      <c r="B2640" s="15"/>
      <c r="C2640" s="697"/>
      <c r="D2640" s="914"/>
    </row>
    <row r="2641" spans="1:4">
      <c r="A2641" s="15"/>
      <c r="B2641" s="15"/>
      <c r="C2641" s="697"/>
      <c r="D2641" s="914"/>
    </row>
    <row r="2642" spans="1:4">
      <c r="A2642" s="15"/>
      <c r="B2642" s="15"/>
      <c r="C2642" s="697"/>
      <c r="D2642" s="914"/>
    </row>
    <row r="2643" spans="1:4">
      <c r="A2643" s="15"/>
      <c r="B2643" s="15"/>
      <c r="C2643" s="697"/>
      <c r="D2643" s="914"/>
    </row>
    <row r="2644" spans="1:4">
      <c r="A2644" s="15"/>
      <c r="B2644" s="15"/>
      <c r="C2644" s="697"/>
      <c r="D2644" s="914"/>
    </row>
    <row r="2645" spans="1:4">
      <c r="A2645" s="15"/>
      <c r="B2645" s="15"/>
      <c r="C2645" s="697"/>
      <c r="D2645" s="914"/>
    </row>
    <row r="2646" spans="1:4">
      <c r="A2646" s="15"/>
      <c r="B2646" s="15"/>
      <c r="C2646" s="697"/>
      <c r="D2646" s="914"/>
    </row>
    <row r="2647" spans="1:4">
      <c r="A2647" s="15"/>
      <c r="B2647" s="15"/>
      <c r="C2647" s="697"/>
      <c r="D2647" s="914"/>
    </row>
    <row r="2648" spans="1:4">
      <c r="A2648" s="15"/>
      <c r="B2648" s="15"/>
      <c r="C2648" s="697"/>
      <c r="D2648" s="914"/>
    </row>
    <row r="2649" spans="1:4">
      <c r="A2649" s="15"/>
      <c r="B2649" s="15"/>
      <c r="C2649" s="697"/>
      <c r="D2649" s="914"/>
    </row>
    <row r="2650" spans="1:4">
      <c r="A2650" s="15"/>
      <c r="B2650" s="15"/>
      <c r="C2650" s="697"/>
      <c r="D2650" s="914"/>
    </row>
    <row r="2651" spans="1:4">
      <c r="A2651" s="15"/>
      <c r="B2651" s="15"/>
      <c r="C2651" s="697"/>
      <c r="D2651" s="914"/>
    </row>
    <row r="2652" spans="1:4">
      <c r="A2652" s="15"/>
      <c r="B2652" s="15"/>
      <c r="C2652" s="697"/>
      <c r="D2652" s="914"/>
    </row>
    <row r="2653" spans="1:4">
      <c r="A2653" s="15"/>
      <c r="B2653" s="15"/>
      <c r="C2653" s="697"/>
      <c r="D2653" s="914"/>
    </row>
    <row r="2654" spans="1:4">
      <c r="A2654" s="15"/>
      <c r="B2654" s="15"/>
      <c r="C2654" s="697"/>
      <c r="D2654" s="914"/>
    </row>
    <row r="2655" spans="1:4">
      <c r="A2655" s="15"/>
      <c r="B2655" s="15"/>
      <c r="C2655" s="697"/>
      <c r="D2655" s="914"/>
    </row>
    <row r="2656" spans="1:4">
      <c r="A2656" s="15"/>
      <c r="B2656" s="15"/>
      <c r="C2656" s="697"/>
      <c r="D2656" s="914"/>
    </row>
    <row r="2657" spans="1:4">
      <c r="A2657" s="15"/>
      <c r="B2657" s="15"/>
      <c r="C2657" s="697"/>
      <c r="D2657" s="914"/>
    </row>
    <row r="2658" spans="1:4">
      <c r="A2658" s="15"/>
      <c r="B2658" s="15"/>
      <c r="C2658" s="697"/>
      <c r="D2658" s="914"/>
    </row>
    <row r="2659" spans="1:4">
      <c r="A2659" s="15"/>
      <c r="B2659" s="15"/>
      <c r="C2659" s="697"/>
      <c r="D2659" s="914"/>
    </row>
    <row r="2660" spans="1:4">
      <c r="A2660" s="15"/>
      <c r="B2660" s="15"/>
      <c r="C2660" s="697"/>
      <c r="D2660" s="914"/>
    </row>
    <row r="2661" spans="1:4">
      <c r="A2661" s="15"/>
      <c r="B2661" s="15"/>
      <c r="C2661" s="697"/>
      <c r="D2661" s="914"/>
    </row>
    <row r="2662" spans="1:4">
      <c r="A2662" s="15"/>
      <c r="B2662" s="15"/>
      <c r="C2662" s="697"/>
      <c r="D2662" s="914"/>
    </row>
    <row r="2663" spans="1:4">
      <c r="A2663" s="15"/>
      <c r="B2663" s="15"/>
      <c r="C2663" s="697"/>
      <c r="D2663" s="914"/>
    </row>
    <row r="2664" spans="1:4">
      <c r="A2664" s="15"/>
      <c r="B2664" s="15"/>
      <c r="C2664" s="697"/>
      <c r="D2664" s="914"/>
    </row>
    <row r="2665" spans="1:4">
      <c r="A2665" s="15"/>
      <c r="B2665" s="15"/>
      <c r="C2665" s="697"/>
      <c r="D2665" s="914"/>
    </row>
    <row r="2666" spans="1:4">
      <c r="A2666" s="15"/>
      <c r="B2666" s="15"/>
      <c r="C2666" s="697"/>
      <c r="D2666" s="914"/>
    </row>
    <row r="2667" spans="1:4">
      <c r="A2667" s="15"/>
      <c r="B2667" s="15"/>
      <c r="C2667" s="697"/>
      <c r="D2667" s="914"/>
    </row>
    <row r="2668" spans="1:4">
      <c r="A2668" s="15"/>
      <c r="B2668" s="15"/>
      <c r="C2668" s="697"/>
      <c r="D2668" s="914"/>
    </row>
    <row r="2669" spans="1:4">
      <c r="A2669" s="15"/>
      <c r="B2669" s="15"/>
      <c r="C2669" s="697"/>
      <c r="D2669" s="914"/>
    </row>
    <row r="2670" spans="1:4">
      <c r="A2670" s="15"/>
      <c r="B2670" s="15"/>
      <c r="C2670" s="697"/>
      <c r="D2670" s="914"/>
    </row>
    <row r="2671" spans="1:4">
      <c r="A2671" s="15"/>
      <c r="B2671" s="15"/>
      <c r="C2671" s="697"/>
      <c r="D2671" s="914"/>
    </row>
    <row r="2672" spans="1:4">
      <c r="A2672" s="15"/>
      <c r="B2672" s="15"/>
      <c r="C2672" s="697"/>
      <c r="D2672" s="914"/>
    </row>
    <row r="2673" spans="1:4">
      <c r="A2673" s="15"/>
      <c r="B2673" s="15"/>
      <c r="C2673" s="697"/>
      <c r="D2673" s="914"/>
    </row>
    <row r="2674" spans="1:4">
      <c r="A2674" s="15"/>
      <c r="B2674" s="15"/>
      <c r="C2674" s="697"/>
      <c r="D2674" s="914"/>
    </row>
    <row r="2675" spans="1:4">
      <c r="A2675" s="15"/>
      <c r="B2675" s="15"/>
      <c r="C2675" s="697"/>
      <c r="D2675" s="914"/>
    </row>
    <row r="2676" spans="1:4">
      <c r="A2676" s="15"/>
      <c r="B2676" s="15"/>
      <c r="C2676" s="697"/>
      <c r="D2676" s="914"/>
    </row>
    <row r="2677" spans="1:4">
      <c r="A2677" s="15"/>
      <c r="B2677" s="15"/>
      <c r="C2677" s="697"/>
      <c r="D2677" s="914"/>
    </row>
    <row r="2678" spans="1:4">
      <c r="A2678" s="15"/>
      <c r="B2678" s="15"/>
      <c r="C2678" s="697"/>
      <c r="D2678" s="914"/>
    </row>
    <row r="2679" spans="1:4">
      <c r="A2679" s="15"/>
      <c r="B2679" s="15"/>
      <c r="C2679" s="697"/>
      <c r="D2679" s="914"/>
    </row>
    <row r="2680" spans="1:4">
      <c r="A2680" s="15"/>
      <c r="B2680" s="15"/>
      <c r="C2680" s="697"/>
      <c r="D2680" s="914"/>
    </row>
    <row r="2681" spans="1:4">
      <c r="A2681" s="15"/>
      <c r="B2681" s="15"/>
      <c r="C2681" s="697"/>
      <c r="D2681" s="914"/>
    </row>
    <row r="2682" spans="1:4">
      <c r="A2682" s="15"/>
      <c r="B2682" s="15"/>
      <c r="C2682" s="697"/>
      <c r="D2682" s="914"/>
    </row>
    <row r="2683" spans="1:4">
      <c r="A2683" s="15"/>
      <c r="B2683" s="15"/>
      <c r="C2683" s="697"/>
      <c r="D2683" s="914"/>
    </row>
    <row r="2684" spans="1:4">
      <c r="A2684" s="15"/>
      <c r="B2684" s="15"/>
      <c r="C2684" s="697"/>
      <c r="D2684" s="914"/>
    </row>
    <row r="2685" spans="1:4">
      <c r="A2685" s="15"/>
      <c r="B2685" s="15"/>
      <c r="C2685" s="697"/>
      <c r="D2685" s="914"/>
    </row>
    <row r="2686" spans="1:4">
      <c r="A2686" s="15"/>
      <c r="B2686" s="15"/>
      <c r="C2686" s="697"/>
      <c r="D2686" s="914"/>
    </row>
    <row r="2687" spans="1:4">
      <c r="A2687" s="15"/>
      <c r="B2687" s="15"/>
      <c r="C2687" s="697"/>
      <c r="D2687" s="914"/>
    </row>
    <row r="2688" spans="1:4">
      <c r="A2688" s="15"/>
      <c r="B2688" s="15"/>
      <c r="C2688" s="697"/>
      <c r="D2688" s="914"/>
    </row>
    <row r="2689" spans="1:4">
      <c r="A2689" s="15"/>
      <c r="B2689" s="15"/>
      <c r="C2689" s="697"/>
      <c r="D2689" s="914"/>
    </row>
    <row r="2690" spans="1:4">
      <c r="A2690" s="15"/>
      <c r="B2690" s="15"/>
      <c r="C2690" s="697"/>
      <c r="D2690" s="914"/>
    </row>
    <row r="2691" spans="1:4">
      <c r="A2691" s="15"/>
      <c r="B2691" s="15"/>
      <c r="C2691" s="697"/>
      <c r="D2691" s="914"/>
    </row>
    <row r="2692" spans="1:4">
      <c r="A2692" s="15"/>
      <c r="B2692" s="15"/>
      <c r="C2692" s="697"/>
      <c r="D2692" s="914"/>
    </row>
    <row r="2693" spans="1:4">
      <c r="A2693" s="15"/>
      <c r="B2693" s="15"/>
      <c r="C2693" s="697"/>
      <c r="D2693" s="914"/>
    </row>
    <row r="2694" spans="1:4">
      <c r="A2694" s="15"/>
      <c r="B2694" s="15"/>
      <c r="C2694" s="697"/>
      <c r="D2694" s="914"/>
    </row>
    <row r="2695" spans="1:4">
      <c r="A2695" s="15"/>
      <c r="B2695" s="15"/>
      <c r="C2695" s="697"/>
      <c r="D2695" s="914"/>
    </row>
    <row r="2696" spans="1:4">
      <c r="A2696" s="15"/>
      <c r="B2696" s="15"/>
      <c r="C2696" s="697"/>
      <c r="D2696" s="914"/>
    </row>
    <row r="2697" spans="1:4">
      <c r="A2697" s="15"/>
      <c r="B2697" s="15"/>
      <c r="C2697" s="697"/>
      <c r="D2697" s="914"/>
    </row>
    <row r="2698" spans="1:4">
      <c r="A2698" s="15"/>
      <c r="B2698" s="15"/>
      <c r="C2698" s="697"/>
      <c r="D2698" s="914"/>
    </row>
    <row r="2699" spans="1:4">
      <c r="A2699" s="15"/>
      <c r="B2699" s="15"/>
      <c r="C2699" s="697"/>
      <c r="D2699" s="914"/>
    </row>
    <row r="2700" spans="1:4">
      <c r="A2700" s="15"/>
      <c r="B2700" s="15"/>
      <c r="C2700" s="697"/>
      <c r="D2700" s="914"/>
    </row>
    <row r="2701" spans="1:4">
      <c r="A2701" s="15"/>
      <c r="B2701" s="15"/>
      <c r="C2701" s="697"/>
      <c r="D2701" s="914"/>
    </row>
    <row r="2702" spans="1:4">
      <c r="A2702" s="15"/>
      <c r="B2702" s="15"/>
      <c r="C2702" s="697"/>
      <c r="D2702" s="914"/>
    </row>
    <row r="2703" spans="1:4">
      <c r="A2703" s="15"/>
      <c r="B2703" s="15"/>
      <c r="C2703" s="697"/>
      <c r="D2703" s="914"/>
    </row>
    <row r="2704" spans="1:4">
      <c r="A2704" s="15"/>
      <c r="B2704" s="15"/>
      <c r="C2704" s="697"/>
      <c r="D2704" s="914"/>
    </row>
    <row r="2705" spans="1:4">
      <c r="A2705" s="15"/>
      <c r="B2705" s="15"/>
      <c r="C2705" s="697"/>
      <c r="D2705" s="914"/>
    </row>
    <row r="2706" spans="1:4">
      <c r="A2706" s="15"/>
      <c r="B2706" s="15"/>
      <c r="C2706" s="697"/>
      <c r="D2706" s="914"/>
    </row>
    <row r="2707" spans="1:4">
      <c r="A2707" s="15"/>
      <c r="B2707" s="15"/>
      <c r="C2707" s="697"/>
      <c r="D2707" s="914"/>
    </row>
    <row r="2708" spans="1:4">
      <c r="A2708" s="15"/>
      <c r="B2708" s="15"/>
      <c r="C2708" s="697"/>
      <c r="D2708" s="914"/>
    </row>
    <row r="2709" spans="1:4">
      <c r="A2709" s="15"/>
      <c r="B2709" s="15"/>
      <c r="C2709" s="697"/>
      <c r="D2709" s="914"/>
    </row>
    <row r="2710" spans="1:4">
      <c r="A2710" s="15"/>
      <c r="B2710" s="15"/>
      <c r="C2710" s="697"/>
      <c r="D2710" s="914"/>
    </row>
    <row r="2711" spans="1:4">
      <c r="A2711" s="15"/>
      <c r="B2711" s="15"/>
      <c r="C2711" s="697"/>
      <c r="D2711" s="914"/>
    </row>
    <row r="2712" spans="1:4">
      <c r="A2712" s="15"/>
      <c r="B2712" s="15"/>
      <c r="C2712" s="697"/>
      <c r="D2712" s="914"/>
    </row>
    <row r="2713" spans="1:4">
      <c r="A2713" s="15"/>
      <c r="B2713" s="15"/>
      <c r="C2713" s="697"/>
      <c r="D2713" s="914"/>
    </row>
    <row r="2714" spans="1:4">
      <c r="A2714" s="15"/>
      <c r="B2714" s="15"/>
      <c r="C2714" s="697"/>
      <c r="D2714" s="914"/>
    </row>
    <row r="2715" spans="1:4">
      <c r="A2715" s="15"/>
      <c r="B2715" s="15"/>
      <c r="C2715" s="697"/>
      <c r="D2715" s="914"/>
    </row>
    <row r="2716" spans="1:4">
      <c r="A2716" s="15"/>
      <c r="B2716" s="15"/>
      <c r="C2716" s="697"/>
      <c r="D2716" s="914"/>
    </row>
    <row r="2717" spans="1:4">
      <c r="A2717" s="15"/>
      <c r="B2717" s="15"/>
      <c r="C2717" s="697"/>
      <c r="D2717" s="914"/>
    </row>
    <row r="2718" spans="1:4">
      <c r="A2718" s="15"/>
      <c r="B2718" s="15"/>
      <c r="C2718" s="697"/>
      <c r="D2718" s="914"/>
    </row>
    <row r="2719" spans="1:4">
      <c r="A2719" s="15"/>
      <c r="B2719" s="15"/>
      <c r="C2719" s="697"/>
      <c r="D2719" s="914"/>
    </row>
    <row r="2720" spans="1:4">
      <c r="A2720" s="15"/>
      <c r="B2720" s="15"/>
      <c r="C2720" s="697"/>
      <c r="D2720" s="914"/>
    </row>
    <row r="2721" spans="1:4">
      <c r="A2721" s="15"/>
      <c r="B2721" s="15"/>
      <c r="C2721" s="697"/>
      <c r="D2721" s="914"/>
    </row>
    <row r="2722" spans="1:4">
      <c r="A2722" s="15"/>
      <c r="B2722" s="15"/>
      <c r="C2722" s="697"/>
      <c r="D2722" s="914"/>
    </row>
    <row r="2723" spans="1:4">
      <c r="A2723" s="15"/>
      <c r="B2723" s="15"/>
      <c r="C2723" s="697"/>
      <c r="D2723" s="914"/>
    </row>
    <row r="2724" spans="1:4">
      <c r="A2724" s="15"/>
      <c r="B2724" s="15"/>
      <c r="C2724" s="697"/>
      <c r="D2724" s="914"/>
    </row>
    <row r="2725" spans="1:4">
      <c r="A2725" s="15"/>
      <c r="B2725" s="15"/>
      <c r="C2725" s="697"/>
      <c r="D2725" s="914"/>
    </row>
    <row r="2726" spans="1:4">
      <c r="A2726" s="15"/>
      <c r="B2726" s="15"/>
      <c r="C2726" s="697"/>
      <c r="D2726" s="914"/>
    </row>
    <row r="2727" spans="1:4">
      <c r="A2727" s="15"/>
      <c r="B2727" s="15"/>
      <c r="C2727" s="697"/>
      <c r="D2727" s="914"/>
    </row>
    <row r="2728" spans="1:4">
      <c r="A2728" s="15"/>
      <c r="B2728" s="15"/>
      <c r="C2728" s="697"/>
      <c r="D2728" s="914"/>
    </row>
    <row r="2729" spans="1:4">
      <c r="A2729" s="15"/>
      <c r="B2729" s="15"/>
      <c r="C2729" s="697"/>
      <c r="D2729" s="914"/>
    </row>
    <row r="2730" spans="1:4">
      <c r="A2730" s="15"/>
      <c r="B2730" s="15"/>
      <c r="C2730" s="697"/>
      <c r="D2730" s="914"/>
    </row>
    <row r="2731" spans="1:4">
      <c r="A2731" s="15"/>
      <c r="B2731" s="15"/>
      <c r="C2731" s="697"/>
      <c r="D2731" s="914"/>
    </row>
    <row r="2732" spans="1:4">
      <c r="A2732" s="15"/>
      <c r="B2732" s="15"/>
      <c r="C2732" s="697"/>
      <c r="D2732" s="914"/>
    </row>
    <row r="2733" spans="1:4">
      <c r="A2733" s="15"/>
      <c r="B2733" s="15"/>
      <c r="C2733" s="697"/>
      <c r="D2733" s="914"/>
    </row>
    <row r="2734" spans="1:4">
      <c r="A2734" s="15"/>
      <c r="B2734" s="15"/>
      <c r="C2734" s="697"/>
      <c r="D2734" s="914"/>
    </row>
    <row r="2735" spans="1:4">
      <c r="A2735" s="15"/>
      <c r="B2735" s="15"/>
      <c r="C2735" s="697"/>
      <c r="D2735" s="914"/>
    </row>
    <row r="2736" spans="1:4">
      <c r="A2736" s="15"/>
      <c r="B2736" s="15"/>
      <c r="C2736" s="697"/>
      <c r="D2736" s="914"/>
    </row>
    <row r="2737" spans="1:4">
      <c r="A2737" s="15"/>
      <c r="B2737" s="15"/>
      <c r="C2737" s="697"/>
      <c r="D2737" s="914"/>
    </row>
    <row r="2738" spans="1:4">
      <c r="A2738" s="15"/>
      <c r="B2738" s="15"/>
      <c r="C2738" s="697"/>
      <c r="D2738" s="914"/>
    </row>
    <row r="2739" spans="1:4">
      <c r="A2739" s="15"/>
      <c r="B2739" s="15"/>
      <c r="C2739" s="697"/>
      <c r="D2739" s="914"/>
    </row>
    <row r="2740" spans="1:4">
      <c r="A2740" s="15"/>
      <c r="B2740" s="15"/>
      <c r="C2740" s="697"/>
      <c r="D2740" s="914"/>
    </row>
    <row r="2741" spans="1:4">
      <c r="A2741" s="15"/>
      <c r="B2741" s="15"/>
      <c r="C2741" s="697"/>
      <c r="D2741" s="914"/>
    </row>
    <row r="2742" spans="1:4">
      <c r="A2742" s="15"/>
      <c r="B2742" s="15"/>
      <c r="C2742" s="697"/>
      <c r="D2742" s="914"/>
    </row>
    <row r="2743" spans="1:4">
      <c r="A2743" s="15"/>
      <c r="B2743" s="15"/>
      <c r="C2743" s="697"/>
      <c r="D2743" s="914"/>
    </row>
    <row r="2744" spans="1:4">
      <c r="A2744" s="15"/>
      <c r="B2744" s="15"/>
      <c r="C2744" s="697"/>
      <c r="D2744" s="914"/>
    </row>
    <row r="2745" spans="1:4">
      <c r="A2745" s="15"/>
      <c r="B2745" s="15"/>
      <c r="C2745" s="697"/>
      <c r="D2745" s="914"/>
    </row>
    <row r="2746" spans="1:4">
      <c r="A2746" s="15"/>
      <c r="B2746" s="15"/>
      <c r="C2746" s="697"/>
      <c r="D2746" s="914"/>
    </row>
    <row r="2747" spans="1:4">
      <c r="A2747" s="15"/>
      <c r="B2747" s="15"/>
      <c r="C2747" s="697"/>
      <c r="D2747" s="914"/>
    </row>
    <row r="2748" spans="1:4">
      <c r="A2748" s="15"/>
      <c r="B2748" s="15"/>
      <c r="C2748" s="697"/>
      <c r="D2748" s="914"/>
    </row>
    <row r="2749" spans="1:4">
      <c r="A2749" s="15"/>
      <c r="B2749" s="15"/>
      <c r="C2749" s="697"/>
      <c r="D2749" s="914"/>
    </row>
    <row r="2750" spans="1:4">
      <c r="A2750" s="15"/>
      <c r="B2750" s="15"/>
      <c r="C2750" s="697"/>
      <c r="D2750" s="914"/>
    </row>
    <row r="2751" spans="1:4">
      <c r="A2751" s="15"/>
      <c r="B2751" s="15"/>
      <c r="C2751" s="697"/>
      <c r="D2751" s="914"/>
    </row>
    <row r="2752" spans="1:4">
      <c r="A2752" s="15"/>
      <c r="B2752" s="15"/>
      <c r="C2752" s="697"/>
      <c r="D2752" s="914"/>
    </row>
    <row r="2753" spans="1:4">
      <c r="A2753" s="15"/>
      <c r="B2753" s="15"/>
      <c r="C2753" s="697"/>
      <c r="D2753" s="914"/>
    </row>
    <row r="2754" spans="1:4">
      <c r="A2754" s="15"/>
      <c r="B2754" s="15"/>
      <c r="C2754" s="697"/>
      <c r="D2754" s="914"/>
    </row>
    <row r="2755" spans="1:4">
      <c r="A2755" s="15"/>
      <c r="B2755" s="15"/>
      <c r="C2755" s="697"/>
      <c r="D2755" s="914"/>
    </row>
    <row r="2756" spans="1:4">
      <c r="A2756" s="15"/>
      <c r="B2756" s="15"/>
      <c r="C2756" s="697"/>
      <c r="D2756" s="914"/>
    </row>
    <row r="2757" spans="1:4">
      <c r="A2757" s="15"/>
      <c r="B2757" s="15"/>
      <c r="C2757" s="697"/>
      <c r="D2757" s="914"/>
    </row>
    <row r="2758" spans="1:4">
      <c r="A2758" s="15"/>
      <c r="B2758" s="15"/>
      <c r="C2758" s="697"/>
      <c r="D2758" s="914"/>
    </row>
    <row r="2759" spans="1:4">
      <c r="A2759" s="15"/>
      <c r="B2759" s="15"/>
      <c r="C2759" s="697"/>
      <c r="D2759" s="914"/>
    </row>
    <row r="2760" spans="1:4">
      <c r="A2760" s="15"/>
      <c r="B2760" s="15"/>
      <c r="C2760" s="697"/>
      <c r="D2760" s="914"/>
    </row>
    <row r="2761" spans="1:4">
      <c r="A2761" s="15"/>
      <c r="B2761" s="15"/>
      <c r="C2761" s="697"/>
      <c r="D2761" s="914"/>
    </row>
    <row r="2762" spans="1:4">
      <c r="A2762" s="15"/>
      <c r="B2762" s="15"/>
      <c r="C2762" s="697"/>
      <c r="D2762" s="914"/>
    </row>
    <row r="2763" spans="1:4">
      <c r="A2763" s="15"/>
      <c r="B2763" s="15"/>
      <c r="C2763" s="697"/>
      <c r="D2763" s="914"/>
    </row>
    <row r="2764" spans="1:4">
      <c r="A2764" s="15"/>
      <c r="B2764" s="15"/>
      <c r="C2764" s="697"/>
      <c r="D2764" s="914"/>
    </row>
    <row r="2765" spans="1:4">
      <c r="A2765" s="15"/>
      <c r="B2765" s="15"/>
      <c r="C2765" s="697"/>
      <c r="D2765" s="914"/>
    </row>
    <row r="2766" spans="1:4">
      <c r="A2766" s="15"/>
      <c r="B2766" s="15"/>
      <c r="C2766" s="697"/>
      <c r="D2766" s="914"/>
    </row>
    <row r="2767" spans="1:4">
      <c r="A2767" s="15"/>
      <c r="B2767" s="15"/>
      <c r="C2767" s="697"/>
      <c r="D2767" s="914"/>
    </row>
    <row r="2768" spans="1:4">
      <c r="A2768" s="15"/>
      <c r="B2768" s="15"/>
      <c r="C2768" s="697"/>
      <c r="D2768" s="914"/>
    </row>
    <row r="2769" spans="1:4">
      <c r="A2769" s="15"/>
      <c r="B2769" s="15"/>
      <c r="C2769" s="697"/>
      <c r="D2769" s="914"/>
    </row>
    <row r="2770" spans="1:4">
      <c r="A2770" s="15"/>
      <c r="B2770" s="15"/>
      <c r="C2770" s="697"/>
      <c r="D2770" s="914"/>
    </row>
    <row r="2771" spans="1:4">
      <c r="A2771" s="15"/>
      <c r="B2771" s="15"/>
      <c r="C2771" s="697"/>
      <c r="D2771" s="914"/>
    </row>
    <row r="2772" spans="1:4">
      <c r="A2772" s="15"/>
      <c r="B2772" s="15"/>
      <c r="C2772" s="697"/>
      <c r="D2772" s="914"/>
    </row>
    <row r="2773" spans="1:4">
      <c r="A2773" s="15"/>
      <c r="B2773" s="15"/>
      <c r="C2773" s="697"/>
      <c r="D2773" s="914"/>
    </row>
    <row r="2774" spans="1:4">
      <c r="A2774" s="15"/>
      <c r="B2774" s="15"/>
      <c r="C2774" s="697"/>
      <c r="D2774" s="914"/>
    </row>
    <row r="2775" spans="1:4">
      <c r="A2775" s="15"/>
      <c r="B2775" s="15"/>
      <c r="C2775" s="697"/>
      <c r="D2775" s="914"/>
    </row>
    <row r="2776" spans="1:4">
      <c r="A2776" s="15"/>
      <c r="B2776" s="15"/>
      <c r="C2776" s="697"/>
      <c r="D2776" s="914"/>
    </row>
    <row r="2777" spans="1:4">
      <c r="A2777" s="15"/>
      <c r="B2777" s="15"/>
      <c r="C2777" s="697"/>
      <c r="D2777" s="914"/>
    </row>
    <row r="2778" spans="1:4">
      <c r="A2778" s="15"/>
      <c r="B2778" s="15"/>
      <c r="C2778" s="697"/>
      <c r="D2778" s="914"/>
    </row>
    <row r="2779" spans="1:4">
      <c r="A2779" s="15"/>
      <c r="B2779" s="15"/>
      <c r="C2779" s="697"/>
      <c r="D2779" s="914"/>
    </row>
    <row r="2780" spans="1:4">
      <c r="A2780" s="15"/>
      <c r="B2780" s="15"/>
      <c r="C2780" s="697"/>
      <c r="D2780" s="914"/>
    </row>
    <row r="2781" spans="1:4">
      <c r="A2781" s="15"/>
      <c r="B2781" s="15"/>
      <c r="C2781" s="697"/>
      <c r="D2781" s="914"/>
    </row>
    <row r="2782" spans="1:4">
      <c r="A2782" s="15"/>
      <c r="B2782" s="15"/>
      <c r="C2782" s="697"/>
      <c r="D2782" s="914"/>
    </row>
    <row r="2783" spans="1:4">
      <c r="A2783" s="15"/>
      <c r="B2783" s="15"/>
      <c r="C2783" s="697"/>
      <c r="D2783" s="914"/>
    </row>
    <row r="2784" spans="1:4">
      <c r="A2784" s="15"/>
      <c r="B2784" s="15"/>
      <c r="C2784" s="697"/>
      <c r="D2784" s="914"/>
    </row>
    <row r="2785" spans="1:4">
      <c r="A2785" s="15"/>
      <c r="B2785" s="15"/>
      <c r="C2785" s="697"/>
      <c r="D2785" s="914"/>
    </row>
    <row r="2786" spans="1:4">
      <c r="A2786" s="15"/>
      <c r="B2786" s="15"/>
      <c r="C2786" s="697"/>
      <c r="D2786" s="914"/>
    </row>
    <row r="2787" spans="1:4">
      <c r="A2787" s="15"/>
      <c r="B2787" s="15"/>
      <c r="C2787" s="697"/>
      <c r="D2787" s="914"/>
    </row>
    <row r="2788" spans="1:4">
      <c r="A2788" s="15"/>
      <c r="B2788" s="15"/>
      <c r="C2788" s="697"/>
      <c r="D2788" s="914"/>
    </row>
    <row r="2789" spans="1:4">
      <c r="A2789" s="15"/>
      <c r="B2789" s="15"/>
      <c r="C2789" s="697"/>
      <c r="D2789" s="914"/>
    </row>
    <row r="2790" spans="1:4">
      <c r="A2790" s="15"/>
      <c r="B2790" s="15"/>
      <c r="C2790" s="697"/>
      <c r="D2790" s="914"/>
    </row>
    <row r="2791" spans="1:4">
      <c r="A2791" s="15"/>
      <c r="B2791" s="15"/>
      <c r="C2791" s="697"/>
      <c r="D2791" s="914"/>
    </row>
    <row r="2792" spans="1:4">
      <c r="A2792" s="15"/>
      <c r="B2792" s="15"/>
      <c r="C2792" s="697"/>
      <c r="D2792" s="914"/>
    </row>
    <row r="2793" spans="1:4">
      <c r="A2793" s="15"/>
      <c r="B2793" s="15"/>
      <c r="C2793" s="697"/>
      <c r="D2793" s="914"/>
    </row>
    <row r="2794" spans="1:4">
      <c r="A2794" s="15"/>
      <c r="B2794" s="15"/>
      <c r="C2794" s="697"/>
      <c r="D2794" s="914"/>
    </row>
    <row r="2795" spans="1:4">
      <c r="A2795" s="15"/>
      <c r="B2795" s="15"/>
      <c r="C2795" s="697"/>
      <c r="D2795" s="914"/>
    </row>
    <row r="2796" spans="1:4">
      <c r="A2796" s="15"/>
      <c r="B2796" s="15"/>
      <c r="C2796" s="697"/>
      <c r="D2796" s="914"/>
    </row>
    <row r="2797" spans="1:4">
      <c r="A2797" s="15"/>
      <c r="B2797" s="15"/>
      <c r="C2797" s="697"/>
      <c r="D2797" s="914"/>
    </row>
    <row r="2798" spans="1:4">
      <c r="A2798" s="15"/>
      <c r="B2798" s="15"/>
      <c r="C2798" s="697"/>
      <c r="D2798" s="914"/>
    </row>
    <row r="2799" spans="1:4">
      <c r="A2799" s="15"/>
      <c r="B2799" s="15"/>
      <c r="C2799" s="697"/>
      <c r="D2799" s="914"/>
    </row>
    <row r="2800" spans="1:4">
      <c r="A2800" s="15"/>
      <c r="B2800" s="15"/>
      <c r="C2800" s="697"/>
      <c r="D2800" s="914"/>
    </row>
    <row r="2801" spans="1:4">
      <c r="A2801" s="15"/>
      <c r="B2801" s="15"/>
      <c r="C2801" s="697"/>
      <c r="D2801" s="914"/>
    </row>
    <row r="2802" spans="1:4">
      <c r="A2802" s="15"/>
      <c r="B2802" s="15"/>
      <c r="C2802" s="697"/>
      <c r="D2802" s="914"/>
    </row>
    <row r="2803" spans="1:4">
      <c r="A2803" s="15"/>
      <c r="B2803" s="15"/>
      <c r="C2803" s="697"/>
      <c r="D2803" s="914"/>
    </row>
    <row r="2804" spans="1:4">
      <c r="A2804" s="15"/>
      <c r="B2804" s="15"/>
      <c r="C2804" s="697"/>
      <c r="D2804" s="914"/>
    </row>
    <row r="2805" spans="1:4">
      <c r="A2805" s="15"/>
      <c r="B2805" s="15"/>
      <c r="C2805" s="697"/>
      <c r="D2805" s="914"/>
    </row>
    <row r="2806" spans="1:4">
      <c r="A2806" s="15"/>
      <c r="B2806" s="15"/>
      <c r="C2806" s="697"/>
      <c r="D2806" s="914"/>
    </row>
    <row r="2807" spans="1:4">
      <c r="A2807" s="15"/>
      <c r="B2807" s="15"/>
      <c r="C2807" s="697"/>
      <c r="D2807" s="914"/>
    </row>
    <row r="2808" spans="1:4">
      <c r="A2808" s="15"/>
      <c r="B2808" s="15"/>
      <c r="C2808" s="697"/>
      <c r="D2808" s="914"/>
    </row>
    <row r="2809" spans="1:4">
      <c r="A2809" s="15"/>
      <c r="B2809" s="15"/>
      <c r="C2809" s="697"/>
      <c r="D2809" s="914"/>
    </row>
    <row r="2810" spans="1:4">
      <c r="A2810" s="15"/>
      <c r="B2810" s="15"/>
      <c r="C2810" s="697"/>
      <c r="D2810" s="914"/>
    </row>
    <row r="2811" spans="1:4">
      <c r="A2811" s="15"/>
      <c r="B2811" s="15"/>
      <c r="C2811" s="697"/>
      <c r="D2811" s="914"/>
    </row>
    <row r="2812" spans="1:4">
      <c r="A2812" s="15"/>
      <c r="B2812" s="15"/>
      <c r="C2812" s="697"/>
      <c r="D2812" s="914"/>
    </row>
    <row r="2813" spans="1:4">
      <c r="A2813" s="15"/>
      <c r="B2813" s="15"/>
      <c r="C2813" s="697"/>
      <c r="D2813" s="914"/>
    </row>
    <row r="2814" spans="1:4">
      <c r="A2814" s="15"/>
      <c r="B2814" s="15"/>
      <c r="C2814" s="697"/>
      <c r="D2814" s="914"/>
    </row>
    <row r="2815" spans="1:4">
      <c r="A2815" s="15"/>
      <c r="B2815" s="15"/>
      <c r="C2815" s="697"/>
      <c r="D2815" s="914"/>
    </row>
    <row r="2816" spans="1:4">
      <c r="A2816" s="15"/>
      <c r="B2816" s="15"/>
      <c r="C2816" s="697"/>
      <c r="D2816" s="914"/>
    </row>
    <row r="2817" spans="1:4">
      <c r="A2817" s="15"/>
      <c r="B2817" s="15"/>
      <c r="C2817" s="697"/>
      <c r="D2817" s="914"/>
    </row>
    <row r="2818" spans="1:4">
      <c r="A2818" s="15"/>
      <c r="B2818" s="15"/>
      <c r="C2818" s="697"/>
      <c r="D2818" s="914"/>
    </row>
    <row r="2819" spans="1:4">
      <c r="A2819" s="15"/>
      <c r="B2819" s="15"/>
      <c r="C2819" s="697"/>
      <c r="D2819" s="914"/>
    </row>
    <row r="2820" spans="1:4">
      <c r="A2820" s="15"/>
      <c r="B2820" s="15"/>
      <c r="C2820" s="697"/>
      <c r="D2820" s="914"/>
    </row>
    <row r="2821" spans="1:4">
      <c r="A2821" s="15"/>
      <c r="B2821" s="15"/>
      <c r="C2821" s="697"/>
      <c r="D2821" s="914"/>
    </row>
    <row r="2822" spans="1:4">
      <c r="A2822" s="15"/>
      <c r="B2822" s="15"/>
      <c r="C2822" s="697"/>
      <c r="D2822" s="914"/>
    </row>
    <row r="2823" spans="1:4">
      <c r="A2823" s="15"/>
      <c r="B2823" s="15"/>
      <c r="C2823" s="697"/>
      <c r="D2823" s="914"/>
    </row>
    <row r="2824" spans="1:4">
      <c r="A2824" s="15"/>
      <c r="B2824" s="15"/>
      <c r="C2824" s="697"/>
      <c r="D2824" s="914"/>
    </row>
    <row r="2825" spans="1:4">
      <c r="A2825" s="15"/>
      <c r="B2825" s="15"/>
      <c r="C2825" s="697"/>
      <c r="D2825" s="914"/>
    </row>
    <row r="2826" spans="1:4">
      <c r="A2826" s="15"/>
      <c r="B2826" s="15"/>
      <c r="C2826" s="697"/>
      <c r="D2826" s="914"/>
    </row>
    <row r="2827" spans="1:4">
      <c r="A2827" s="15"/>
      <c r="B2827" s="15"/>
      <c r="C2827" s="697"/>
      <c r="D2827" s="914"/>
    </row>
    <row r="2828" spans="1:4">
      <c r="A2828" s="15"/>
      <c r="B2828" s="15"/>
      <c r="C2828" s="697"/>
      <c r="D2828" s="914"/>
    </row>
    <row r="2829" spans="1:4">
      <c r="A2829" s="15"/>
      <c r="B2829" s="15"/>
      <c r="C2829" s="697"/>
      <c r="D2829" s="914"/>
    </row>
    <row r="2830" spans="1:4">
      <c r="A2830" s="15"/>
      <c r="B2830" s="15"/>
      <c r="C2830" s="697"/>
      <c r="D2830" s="914"/>
    </row>
    <row r="2831" spans="1:4">
      <c r="A2831" s="15"/>
      <c r="B2831" s="15"/>
      <c r="C2831" s="697"/>
      <c r="D2831" s="914"/>
    </row>
    <row r="2832" spans="1:4">
      <c r="A2832" s="15"/>
      <c r="B2832" s="15"/>
      <c r="C2832" s="697"/>
      <c r="D2832" s="914"/>
    </row>
    <row r="2833" spans="1:4">
      <c r="A2833" s="15"/>
      <c r="B2833" s="15"/>
      <c r="C2833" s="697"/>
      <c r="D2833" s="914"/>
    </row>
    <row r="2834" spans="1:4">
      <c r="A2834" s="15"/>
      <c r="B2834" s="15"/>
      <c r="C2834" s="697"/>
      <c r="D2834" s="914"/>
    </row>
    <row r="2835" spans="1:4">
      <c r="A2835" s="15"/>
      <c r="B2835" s="15"/>
      <c r="C2835" s="697"/>
      <c r="D2835" s="914"/>
    </row>
    <row r="2836" spans="1:4">
      <c r="A2836" s="15"/>
      <c r="B2836" s="15"/>
      <c r="C2836" s="697"/>
      <c r="D2836" s="914"/>
    </row>
    <row r="2837" spans="1:4">
      <c r="A2837" s="15"/>
      <c r="B2837" s="15"/>
      <c r="C2837" s="697"/>
      <c r="D2837" s="914"/>
    </row>
    <row r="2838" spans="1:4">
      <c r="A2838" s="15"/>
      <c r="B2838" s="15"/>
      <c r="C2838" s="697"/>
      <c r="D2838" s="914"/>
    </row>
    <row r="2839" spans="1:4">
      <c r="A2839" s="15"/>
      <c r="B2839" s="15"/>
      <c r="C2839" s="697"/>
      <c r="D2839" s="914"/>
    </row>
    <row r="2840" spans="1:4">
      <c r="A2840" s="15"/>
      <c r="B2840" s="15"/>
      <c r="C2840" s="697"/>
      <c r="D2840" s="914"/>
    </row>
    <row r="2841" spans="1:4">
      <c r="A2841" s="15"/>
      <c r="B2841" s="15"/>
      <c r="C2841" s="697"/>
      <c r="D2841" s="914"/>
    </row>
    <row r="2842" spans="1:4">
      <c r="A2842" s="15"/>
      <c r="B2842" s="15"/>
      <c r="C2842" s="697"/>
      <c r="D2842" s="914"/>
    </row>
    <row r="2843" spans="1:4">
      <c r="A2843" s="15"/>
      <c r="B2843" s="15"/>
      <c r="C2843" s="697"/>
      <c r="D2843" s="914"/>
    </row>
    <row r="2844" spans="1:4">
      <c r="A2844" s="15"/>
      <c r="B2844" s="15"/>
      <c r="C2844" s="697"/>
      <c r="D2844" s="914"/>
    </row>
    <row r="2845" spans="1:4">
      <c r="A2845" s="15"/>
      <c r="B2845" s="15"/>
      <c r="C2845" s="697"/>
      <c r="D2845" s="914"/>
    </row>
    <row r="2846" spans="1:4">
      <c r="A2846" s="15"/>
      <c r="B2846" s="15"/>
      <c r="C2846" s="697"/>
      <c r="D2846" s="914"/>
    </row>
    <row r="2847" spans="1:4">
      <c r="A2847" s="15"/>
      <c r="B2847" s="15"/>
      <c r="C2847" s="697"/>
      <c r="D2847" s="914"/>
    </row>
    <row r="2848" spans="1:4">
      <c r="A2848" s="15"/>
      <c r="B2848" s="15"/>
      <c r="C2848" s="697"/>
      <c r="D2848" s="914"/>
    </row>
    <row r="2849" spans="1:4">
      <c r="A2849" s="15"/>
      <c r="B2849" s="15"/>
      <c r="C2849" s="697"/>
      <c r="D2849" s="914"/>
    </row>
    <row r="2850" spans="1:4">
      <c r="A2850" s="15"/>
      <c r="B2850" s="15"/>
      <c r="C2850" s="697"/>
      <c r="D2850" s="914"/>
    </row>
    <row r="2851" spans="1:4">
      <c r="A2851" s="15"/>
      <c r="B2851" s="15"/>
      <c r="C2851" s="697"/>
      <c r="D2851" s="914"/>
    </row>
    <row r="2852" spans="1:4">
      <c r="A2852" s="15"/>
      <c r="B2852" s="15"/>
      <c r="C2852" s="697"/>
      <c r="D2852" s="914"/>
    </row>
    <row r="2853" spans="1:4">
      <c r="A2853" s="15"/>
      <c r="B2853" s="15"/>
      <c r="C2853" s="697"/>
      <c r="D2853" s="914"/>
    </row>
    <row r="2854" spans="1:4">
      <c r="A2854" s="15"/>
      <c r="B2854" s="15"/>
      <c r="C2854" s="697"/>
      <c r="D2854" s="914"/>
    </row>
    <row r="2855" spans="1:4">
      <c r="A2855" s="15"/>
      <c r="B2855" s="15"/>
      <c r="C2855" s="697"/>
      <c r="D2855" s="914"/>
    </row>
    <row r="2856" spans="1:4">
      <c r="A2856" s="15"/>
      <c r="B2856" s="15"/>
      <c r="C2856" s="697"/>
      <c r="D2856" s="914"/>
    </row>
    <row r="2857" spans="1:4">
      <c r="A2857" s="15"/>
      <c r="B2857" s="15"/>
      <c r="C2857" s="697"/>
      <c r="D2857" s="914"/>
    </row>
    <row r="2858" spans="1:4">
      <c r="A2858" s="15"/>
      <c r="B2858" s="15"/>
      <c r="C2858" s="697"/>
      <c r="D2858" s="914"/>
    </row>
    <row r="2859" spans="1:4">
      <c r="A2859" s="15"/>
      <c r="B2859" s="15"/>
      <c r="C2859" s="697"/>
      <c r="D2859" s="914"/>
    </row>
    <row r="2860" spans="1:4">
      <c r="A2860" s="15"/>
      <c r="B2860" s="15"/>
      <c r="C2860" s="697"/>
      <c r="D2860" s="914"/>
    </row>
    <row r="2861" spans="1:4">
      <c r="A2861" s="15"/>
      <c r="B2861" s="15"/>
      <c r="C2861" s="697"/>
      <c r="D2861" s="914"/>
    </row>
    <row r="2862" spans="1:4">
      <c r="A2862" s="15"/>
      <c r="B2862" s="15"/>
      <c r="C2862" s="697"/>
      <c r="D2862" s="914"/>
    </row>
    <row r="2863" spans="1:4">
      <c r="A2863" s="15"/>
      <c r="B2863" s="15"/>
      <c r="C2863" s="697"/>
      <c r="D2863" s="914"/>
    </row>
    <row r="2864" spans="1:4">
      <c r="A2864" s="15"/>
      <c r="B2864" s="15"/>
      <c r="C2864" s="697"/>
      <c r="D2864" s="914"/>
    </row>
    <row r="2865" spans="1:4">
      <c r="A2865" s="15"/>
      <c r="B2865" s="15"/>
      <c r="C2865" s="697"/>
      <c r="D2865" s="914"/>
    </row>
    <row r="2866" spans="1:4">
      <c r="A2866" s="15"/>
      <c r="B2866" s="15"/>
      <c r="C2866" s="697"/>
      <c r="D2866" s="914"/>
    </row>
    <row r="2867" spans="1:4">
      <c r="A2867" s="15"/>
      <c r="B2867" s="15"/>
      <c r="C2867" s="697"/>
      <c r="D2867" s="914"/>
    </row>
    <row r="2868" spans="1:4">
      <c r="A2868" s="15"/>
      <c r="B2868" s="15"/>
      <c r="C2868" s="697"/>
      <c r="D2868" s="914"/>
    </row>
    <row r="2869" spans="1:4">
      <c r="A2869" s="15"/>
      <c r="B2869" s="15"/>
      <c r="C2869" s="697"/>
      <c r="D2869" s="914"/>
    </row>
    <row r="2870" spans="1:4">
      <c r="A2870" s="15"/>
      <c r="B2870" s="15"/>
      <c r="C2870" s="697"/>
      <c r="D2870" s="914"/>
    </row>
    <row r="2871" spans="1:4">
      <c r="A2871" s="15"/>
      <c r="B2871" s="15"/>
      <c r="C2871" s="697"/>
      <c r="D2871" s="914"/>
    </row>
    <row r="2872" spans="1:4">
      <c r="A2872" s="15"/>
      <c r="B2872" s="15"/>
      <c r="C2872" s="697"/>
      <c r="D2872" s="914"/>
    </row>
    <row r="2873" spans="1:4">
      <c r="A2873" s="15"/>
      <c r="B2873" s="15"/>
      <c r="C2873" s="697"/>
      <c r="D2873" s="914"/>
    </row>
    <row r="2874" spans="1:4">
      <c r="A2874" s="15"/>
      <c r="B2874" s="15"/>
      <c r="C2874" s="697"/>
      <c r="D2874" s="914"/>
    </row>
    <row r="2875" spans="1:4">
      <c r="A2875" s="15"/>
      <c r="B2875" s="15"/>
      <c r="C2875" s="697"/>
      <c r="D2875" s="914"/>
    </row>
    <row r="2876" spans="1:4">
      <c r="A2876" s="15"/>
      <c r="B2876" s="15"/>
      <c r="C2876" s="697"/>
      <c r="D2876" s="914"/>
    </row>
    <row r="2877" spans="1:4">
      <c r="A2877" s="15"/>
      <c r="B2877" s="15"/>
      <c r="C2877" s="697"/>
      <c r="D2877" s="914"/>
    </row>
    <row r="2878" spans="1:4">
      <c r="A2878" s="15"/>
      <c r="B2878" s="15"/>
      <c r="C2878" s="697"/>
      <c r="D2878" s="914"/>
    </row>
    <row r="2879" spans="1:4">
      <c r="A2879" s="15"/>
      <c r="B2879" s="15"/>
      <c r="C2879" s="697"/>
      <c r="D2879" s="914"/>
    </row>
    <row r="2880" spans="1:4">
      <c r="A2880" s="15"/>
      <c r="B2880" s="15"/>
      <c r="C2880" s="697"/>
      <c r="D2880" s="914"/>
    </row>
    <row r="2881" spans="1:4">
      <c r="A2881" s="15"/>
      <c r="B2881" s="15"/>
      <c r="C2881" s="697"/>
      <c r="D2881" s="914"/>
    </row>
    <row r="2882" spans="1:4">
      <c r="A2882" s="15"/>
      <c r="B2882" s="15"/>
      <c r="C2882" s="697"/>
      <c r="D2882" s="914"/>
    </row>
    <row r="2883" spans="1:4">
      <c r="A2883" s="15"/>
      <c r="B2883" s="15"/>
      <c r="C2883" s="697"/>
      <c r="D2883" s="914"/>
    </row>
    <row r="2884" spans="1:4">
      <c r="A2884" s="15"/>
      <c r="B2884" s="15"/>
      <c r="C2884" s="697"/>
      <c r="D2884" s="914"/>
    </row>
    <row r="2885" spans="1:4">
      <c r="A2885" s="15"/>
      <c r="B2885" s="15"/>
      <c r="C2885" s="697"/>
      <c r="D2885" s="914"/>
    </row>
    <row r="2886" spans="1:4">
      <c r="A2886" s="15"/>
      <c r="B2886" s="15"/>
      <c r="C2886" s="697"/>
      <c r="D2886" s="914"/>
    </row>
    <row r="2887" spans="1:4">
      <c r="A2887" s="15"/>
      <c r="B2887" s="15"/>
      <c r="C2887" s="697"/>
      <c r="D2887" s="914"/>
    </row>
    <row r="2888" spans="1:4">
      <c r="A2888" s="15"/>
      <c r="B2888" s="15"/>
      <c r="C2888" s="697"/>
      <c r="D2888" s="914"/>
    </row>
    <row r="2889" spans="1:4">
      <c r="A2889" s="15"/>
      <c r="B2889" s="15"/>
      <c r="C2889" s="697"/>
      <c r="D2889" s="914"/>
    </row>
    <row r="2890" spans="1:4">
      <c r="A2890" s="15"/>
      <c r="B2890" s="15"/>
      <c r="C2890" s="697"/>
      <c r="D2890" s="914"/>
    </row>
    <row r="2891" spans="1:4">
      <c r="A2891" s="15"/>
      <c r="B2891" s="15"/>
      <c r="C2891" s="697"/>
      <c r="D2891" s="914"/>
    </row>
    <row r="2892" spans="1:4">
      <c r="A2892" s="15"/>
      <c r="B2892" s="15"/>
      <c r="C2892" s="697"/>
      <c r="D2892" s="914"/>
    </row>
    <row r="2893" spans="1:4">
      <c r="A2893" s="15"/>
      <c r="B2893" s="15"/>
      <c r="C2893" s="697"/>
      <c r="D2893" s="914"/>
    </row>
    <row r="2894" spans="1:4">
      <c r="A2894" s="15"/>
      <c r="B2894" s="15"/>
      <c r="C2894" s="697"/>
      <c r="D2894" s="914"/>
    </row>
    <row r="2895" spans="1:4">
      <c r="A2895" s="15"/>
      <c r="B2895" s="15"/>
      <c r="C2895" s="697"/>
      <c r="D2895" s="914"/>
    </row>
    <row r="2896" spans="1:4">
      <c r="A2896" s="15"/>
      <c r="B2896" s="15"/>
      <c r="C2896" s="697"/>
      <c r="D2896" s="914"/>
    </row>
    <row r="2897" spans="1:4">
      <c r="A2897" s="15"/>
      <c r="B2897" s="15"/>
      <c r="C2897" s="697"/>
      <c r="D2897" s="914"/>
    </row>
    <row r="2898" spans="1:4">
      <c r="A2898" s="15"/>
      <c r="B2898" s="15"/>
      <c r="C2898" s="697"/>
      <c r="D2898" s="914"/>
    </row>
    <row r="2899" spans="1:4">
      <c r="A2899" s="15"/>
      <c r="B2899" s="15"/>
      <c r="C2899" s="697"/>
      <c r="D2899" s="914"/>
    </row>
    <row r="2900" spans="1:4">
      <c r="A2900" s="15"/>
      <c r="B2900" s="15"/>
      <c r="C2900" s="697"/>
      <c r="D2900" s="914"/>
    </row>
    <row r="2901" spans="1:4">
      <c r="A2901" s="15"/>
      <c r="B2901" s="15"/>
      <c r="C2901" s="697"/>
      <c r="D2901" s="914"/>
    </row>
    <row r="2902" spans="1:4">
      <c r="A2902" s="15"/>
      <c r="B2902" s="15"/>
      <c r="C2902" s="697"/>
      <c r="D2902" s="914"/>
    </row>
    <row r="2903" spans="1:4">
      <c r="A2903" s="15"/>
      <c r="B2903" s="15"/>
      <c r="C2903" s="697"/>
      <c r="D2903" s="914"/>
    </row>
    <row r="2904" spans="1:4">
      <c r="A2904" s="15"/>
      <c r="B2904" s="15"/>
      <c r="C2904" s="697"/>
      <c r="D2904" s="914"/>
    </row>
    <row r="2905" spans="1:4">
      <c r="A2905" s="15"/>
      <c r="B2905" s="15"/>
      <c r="C2905" s="697"/>
      <c r="D2905" s="914"/>
    </row>
    <row r="2906" spans="1:4">
      <c r="A2906" s="15"/>
      <c r="B2906" s="15"/>
      <c r="C2906" s="697"/>
      <c r="D2906" s="914"/>
    </row>
    <row r="2907" spans="1:4">
      <c r="A2907" s="15"/>
      <c r="B2907" s="15"/>
      <c r="C2907" s="697"/>
      <c r="D2907" s="914"/>
    </row>
    <row r="2908" spans="1:4">
      <c r="A2908" s="15"/>
      <c r="B2908" s="15"/>
      <c r="C2908" s="697"/>
      <c r="D2908" s="914"/>
    </row>
    <row r="2909" spans="1:4">
      <c r="A2909" s="15"/>
      <c r="B2909" s="15"/>
      <c r="C2909" s="697"/>
      <c r="D2909" s="914"/>
    </row>
    <row r="2910" spans="1:4">
      <c r="A2910" s="15"/>
      <c r="B2910" s="15"/>
      <c r="C2910" s="697"/>
      <c r="D2910" s="914"/>
    </row>
    <row r="2911" spans="1:4">
      <c r="A2911" s="15"/>
      <c r="B2911" s="15"/>
      <c r="C2911" s="697"/>
      <c r="D2911" s="914"/>
    </row>
    <row r="2912" spans="1:4">
      <c r="A2912" s="15"/>
      <c r="B2912" s="15"/>
      <c r="C2912" s="697"/>
      <c r="D2912" s="914"/>
    </row>
    <row r="2913" spans="1:4">
      <c r="A2913" s="15"/>
      <c r="B2913" s="15"/>
      <c r="C2913" s="697"/>
      <c r="D2913" s="914"/>
    </row>
    <row r="2914" spans="1:4">
      <c r="A2914" s="15"/>
      <c r="B2914" s="15"/>
      <c r="C2914" s="697"/>
      <c r="D2914" s="914"/>
    </row>
    <row r="2915" spans="1:4">
      <c r="A2915" s="15"/>
      <c r="B2915" s="15"/>
      <c r="C2915" s="697"/>
      <c r="D2915" s="914"/>
    </row>
    <row r="2916" spans="1:4">
      <c r="A2916" s="15"/>
      <c r="B2916" s="15"/>
      <c r="C2916" s="697"/>
      <c r="D2916" s="914"/>
    </row>
    <row r="2917" spans="1:4">
      <c r="A2917" s="15"/>
      <c r="B2917" s="15"/>
      <c r="C2917" s="697"/>
      <c r="D2917" s="914"/>
    </row>
    <row r="2918" spans="1:4">
      <c r="A2918" s="15"/>
      <c r="B2918" s="15"/>
      <c r="C2918" s="697"/>
      <c r="D2918" s="914"/>
    </row>
    <row r="2919" spans="1:4">
      <c r="A2919" s="15"/>
      <c r="B2919" s="15"/>
      <c r="C2919" s="697"/>
      <c r="D2919" s="914"/>
    </row>
    <row r="2920" spans="1:4">
      <c r="A2920" s="15"/>
      <c r="B2920" s="15"/>
      <c r="C2920" s="697"/>
      <c r="D2920" s="914"/>
    </row>
    <row r="2921" spans="1:4">
      <c r="A2921" s="15"/>
      <c r="B2921" s="15"/>
      <c r="C2921" s="697"/>
      <c r="D2921" s="914"/>
    </row>
    <row r="2922" spans="1:4">
      <c r="A2922" s="15"/>
      <c r="B2922" s="15"/>
      <c r="C2922" s="697"/>
      <c r="D2922" s="914"/>
    </row>
    <row r="2923" spans="1:4">
      <c r="A2923" s="15"/>
      <c r="B2923" s="15"/>
      <c r="C2923" s="697"/>
      <c r="D2923" s="914"/>
    </row>
    <row r="2924" spans="1:4">
      <c r="A2924" s="15"/>
      <c r="B2924" s="15"/>
      <c r="C2924" s="697"/>
      <c r="D2924" s="914"/>
    </row>
    <row r="2925" spans="1:4">
      <c r="A2925" s="15"/>
      <c r="B2925" s="15"/>
      <c r="C2925" s="697"/>
      <c r="D2925" s="914"/>
    </row>
    <row r="2926" spans="1:4">
      <c r="A2926" s="15"/>
      <c r="B2926" s="15"/>
      <c r="C2926" s="697"/>
      <c r="D2926" s="914"/>
    </row>
    <row r="2927" spans="1:4">
      <c r="A2927" s="15"/>
      <c r="B2927" s="15"/>
      <c r="C2927" s="697"/>
      <c r="D2927" s="914"/>
    </row>
    <row r="2928" spans="1:4">
      <c r="A2928" s="15"/>
      <c r="B2928" s="15"/>
      <c r="C2928" s="697"/>
      <c r="D2928" s="914"/>
    </row>
    <row r="2929" spans="1:4">
      <c r="A2929" s="15"/>
      <c r="B2929" s="15"/>
      <c r="C2929" s="697"/>
      <c r="D2929" s="914"/>
    </row>
    <row r="2930" spans="1:4">
      <c r="A2930" s="15"/>
      <c r="B2930" s="15"/>
      <c r="C2930" s="697"/>
      <c r="D2930" s="914"/>
    </row>
    <row r="2931" spans="1:4">
      <c r="A2931" s="15"/>
      <c r="B2931" s="15"/>
      <c r="C2931" s="697"/>
      <c r="D2931" s="914"/>
    </row>
    <row r="2932" spans="1:4">
      <c r="A2932" s="15"/>
      <c r="B2932" s="15"/>
      <c r="C2932" s="697"/>
      <c r="D2932" s="914"/>
    </row>
    <row r="2933" spans="1:4">
      <c r="A2933" s="15"/>
      <c r="B2933" s="15"/>
      <c r="C2933" s="697"/>
      <c r="D2933" s="914"/>
    </row>
    <row r="2934" spans="1:4">
      <c r="A2934" s="15"/>
      <c r="B2934" s="15"/>
      <c r="C2934" s="697"/>
      <c r="D2934" s="914"/>
    </row>
    <row r="2935" spans="1:4">
      <c r="A2935" s="15"/>
      <c r="B2935" s="15"/>
      <c r="C2935" s="697"/>
      <c r="D2935" s="914"/>
    </row>
    <row r="2936" spans="1:4">
      <c r="A2936" s="15"/>
      <c r="B2936" s="15"/>
      <c r="C2936" s="697"/>
      <c r="D2936" s="914"/>
    </row>
    <row r="2937" spans="1:4">
      <c r="A2937" s="15"/>
      <c r="B2937" s="15"/>
      <c r="C2937" s="697"/>
      <c r="D2937" s="914"/>
    </row>
    <row r="2938" spans="1:4">
      <c r="A2938" s="15"/>
      <c r="B2938" s="15"/>
      <c r="C2938" s="697"/>
      <c r="D2938" s="914"/>
    </row>
    <row r="2939" spans="1:4">
      <c r="A2939" s="15"/>
      <c r="B2939" s="15"/>
      <c r="C2939" s="697"/>
      <c r="D2939" s="914"/>
    </row>
    <row r="2940" spans="1:4">
      <c r="A2940" s="15"/>
      <c r="B2940" s="15"/>
      <c r="C2940" s="697"/>
      <c r="D2940" s="914"/>
    </row>
    <row r="2941" spans="1:4">
      <c r="A2941" s="15"/>
      <c r="B2941" s="15"/>
      <c r="C2941" s="697"/>
      <c r="D2941" s="914"/>
    </row>
    <row r="2942" spans="1:4">
      <c r="A2942" s="15"/>
      <c r="B2942" s="15"/>
      <c r="C2942" s="697"/>
      <c r="D2942" s="914"/>
    </row>
    <row r="2943" spans="1:4">
      <c r="A2943" s="15"/>
      <c r="B2943" s="15"/>
      <c r="C2943" s="697"/>
      <c r="D2943" s="914"/>
    </row>
    <row r="2944" spans="1:4">
      <c r="A2944" s="15"/>
      <c r="B2944" s="15"/>
      <c r="C2944" s="697"/>
      <c r="D2944" s="914"/>
    </row>
    <row r="2945" spans="1:4">
      <c r="A2945" s="15"/>
      <c r="B2945" s="15"/>
      <c r="C2945" s="697"/>
      <c r="D2945" s="914"/>
    </row>
    <row r="2946" spans="1:4">
      <c r="A2946" s="15"/>
      <c r="B2946" s="15"/>
      <c r="C2946" s="697"/>
      <c r="D2946" s="914"/>
    </row>
    <row r="2947" spans="1:4">
      <c r="A2947" s="15"/>
      <c r="B2947" s="15"/>
      <c r="C2947" s="697"/>
      <c r="D2947" s="914"/>
    </row>
    <row r="2948" spans="1:4">
      <c r="A2948" s="15"/>
      <c r="B2948" s="15"/>
      <c r="C2948" s="697"/>
      <c r="D2948" s="914"/>
    </row>
    <row r="2949" spans="1:4">
      <c r="A2949" s="15"/>
      <c r="B2949" s="15"/>
      <c r="C2949" s="697"/>
      <c r="D2949" s="914"/>
    </row>
    <row r="2950" spans="1:4">
      <c r="A2950" s="15"/>
      <c r="B2950" s="15"/>
      <c r="C2950" s="697"/>
      <c r="D2950" s="914"/>
    </row>
    <row r="2951" spans="1:4">
      <c r="A2951" s="15"/>
      <c r="B2951" s="15"/>
      <c r="C2951" s="697"/>
      <c r="D2951" s="914"/>
    </row>
    <row r="2952" spans="1:4">
      <c r="A2952" s="15"/>
      <c r="B2952" s="15"/>
      <c r="C2952" s="697"/>
      <c r="D2952" s="914"/>
    </row>
    <row r="2953" spans="1:4">
      <c r="A2953" s="15"/>
      <c r="B2953" s="15"/>
      <c r="C2953" s="697"/>
      <c r="D2953" s="914"/>
    </row>
    <row r="2954" spans="1:4">
      <c r="A2954" s="15"/>
      <c r="B2954" s="15"/>
      <c r="C2954" s="697"/>
      <c r="D2954" s="914"/>
    </row>
    <row r="2955" spans="1:4">
      <c r="A2955" s="15"/>
      <c r="B2955" s="15"/>
      <c r="C2955" s="697"/>
      <c r="D2955" s="914"/>
    </row>
    <row r="2956" spans="1:4">
      <c r="A2956" s="15"/>
      <c r="B2956" s="15"/>
      <c r="C2956" s="697"/>
      <c r="D2956" s="914"/>
    </row>
    <row r="2957" spans="1:4">
      <c r="A2957" s="15"/>
      <c r="B2957" s="15"/>
      <c r="C2957" s="697"/>
      <c r="D2957" s="914"/>
    </row>
    <row r="2958" spans="1:4">
      <c r="A2958" s="15"/>
      <c r="B2958" s="15"/>
      <c r="C2958" s="697"/>
      <c r="D2958" s="914"/>
    </row>
    <row r="2959" spans="1:4">
      <c r="A2959" s="15"/>
      <c r="B2959" s="15"/>
      <c r="C2959" s="697"/>
      <c r="D2959" s="914"/>
    </row>
    <row r="2960" spans="1:4">
      <c r="A2960" s="15"/>
      <c r="B2960" s="15"/>
      <c r="C2960" s="697"/>
      <c r="D2960" s="914"/>
    </row>
    <row r="2961" spans="1:4">
      <c r="A2961" s="15"/>
      <c r="B2961" s="15"/>
      <c r="C2961" s="697"/>
      <c r="D2961" s="914"/>
    </row>
    <row r="2962" spans="1:4">
      <c r="A2962" s="15"/>
      <c r="B2962" s="15"/>
      <c r="C2962" s="697"/>
      <c r="D2962" s="914"/>
    </row>
    <row r="2963" spans="1:4">
      <c r="A2963" s="15"/>
      <c r="B2963" s="15"/>
      <c r="C2963" s="697"/>
      <c r="D2963" s="914"/>
    </row>
    <row r="2964" spans="1:4">
      <c r="A2964" s="15"/>
      <c r="B2964" s="15"/>
      <c r="C2964" s="697"/>
      <c r="D2964" s="914"/>
    </row>
    <row r="2965" spans="1:4">
      <c r="A2965" s="15"/>
      <c r="B2965" s="15"/>
      <c r="C2965" s="697"/>
      <c r="D2965" s="914"/>
    </row>
    <row r="2966" spans="1:4">
      <c r="A2966" s="15"/>
      <c r="B2966" s="15"/>
      <c r="C2966" s="697"/>
      <c r="D2966" s="914"/>
    </row>
    <row r="2967" spans="1:4">
      <c r="A2967" s="15"/>
      <c r="B2967" s="15"/>
      <c r="C2967" s="697"/>
      <c r="D2967" s="914"/>
    </row>
    <row r="2968" spans="1:4">
      <c r="A2968" s="15"/>
      <c r="B2968" s="15"/>
      <c r="C2968" s="697"/>
      <c r="D2968" s="914"/>
    </row>
    <row r="2969" spans="1:4">
      <c r="A2969" s="15"/>
      <c r="B2969" s="15"/>
      <c r="C2969" s="697"/>
      <c r="D2969" s="914"/>
    </row>
    <row r="2970" spans="1:4">
      <c r="A2970" s="15"/>
      <c r="B2970" s="15"/>
      <c r="C2970" s="697"/>
      <c r="D2970" s="914"/>
    </row>
    <row r="2971" spans="1:4">
      <c r="A2971" s="15"/>
      <c r="B2971" s="15"/>
      <c r="C2971" s="697"/>
      <c r="D2971" s="914"/>
    </row>
    <row r="2972" spans="1:4">
      <c r="A2972" s="15"/>
      <c r="B2972" s="15"/>
      <c r="C2972" s="697"/>
      <c r="D2972" s="914"/>
    </row>
    <row r="2973" spans="1:4">
      <c r="A2973" s="15"/>
      <c r="B2973" s="15"/>
      <c r="C2973" s="697"/>
      <c r="D2973" s="914"/>
    </row>
    <row r="2974" spans="1:4">
      <c r="A2974" s="15"/>
      <c r="B2974" s="15"/>
      <c r="C2974" s="697"/>
      <c r="D2974" s="914"/>
    </row>
    <row r="2975" spans="1:4">
      <c r="A2975" s="15"/>
      <c r="B2975" s="15"/>
      <c r="C2975" s="697"/>
      <c r="D2975" s="914"/>
    </row>
    <row r="2976" spans="1:4">
      <c r="A2976" s="15"/>
      <c r="B2976" s="15"/>
      <c r="C2976" s="697"/>
      <c r="D2976" s="914"/>
    </row>
    <row r="2977" spans="1:4">
      <c r="A2977" s="15"/>
      <c r="B2977" s="15"/>
      <c r="C2977" s="697"/>
      <c r="D2977" s="914"/>
    </row>
    <row r="2978" spans="1:4">
      <c r="A2978" s="15"/>
      <c r="B2978" s="15"/>
      <c r="C2978" s="697"/>
      <c r="D2978" s="914"/>
    </row>
    <row r="2979" spans="1:4">
      <c r="A2979" s="15"/>
      <c r="B2979" s="15"/>
      <c r="C2979" s="697"/>
      <c r="D2979" s="914"/>
    </row>
    <row r="2980" spans="1:4">
      <c r="A2980" s="15"/>
      <c r="B2980" s="15"/>
      <c r="C2980" s="697"/>
      <c r="D2980" s="914"/>
    </row>
    <row r="2981" spans="1:4">
      <c r="A2981" s="15"/>
      <c r="B2981" s="15"/>
      <c r="C2981" s="697"/>
      <c r="D2981" s="914"/>
    </row>
    <row r="2982" spans="1:4">
      <c r="A2982" s="15"/>
      <c r="B2982" s="15"/>
      <c r="C2982" s="697"/>
      <c r="D2982" s="914"/>
    </row>
    <row r="2983" spans="1:4">
      <c r="A2983" s="15"/>
      <c r="B2983" s="15"/>
      <c r="C2983" s="697"/>
      <c r="D2983" s="914"/>
    </row>
    <row r="2984" spans="1:4">
      <c r="A2984" s="15"/>
      <c r="B2984" s="15"/>
      <c r="C2984" s="697"/>
      <c r="D2984" s="914"/>
    </row>
    <row r="2985" spans="1:4">
      <c r="A2985" s="15"/>
      <c r="B2985" s="15"/>
      <c r="C2985" s="697"/>
      <c r="D2985" s="914"/>
    </row>
    <row r="2986" spans="1:4">
      <c r="A2986" s="15"/>
      <c r="B2986" s="15"/>
      <c r="C2986" s="697"/>
      <c r="D2986" s="914"/>
    </row>
    <row r="2987" spans="1:4">
      <c r="A2987" s="15"/>
      <c r="B2987" s="15"/>
      <c r="C2987" s="697"/>
      <c r="D2987" s="914"/>
    </row>
    <row r="2988" spans="1:4">
      <c r="A2988" s="15"/>
      <c r="B2988" s="15"/>
      <c r="C2988" s="697"/>
      <c r="D2988" s="914"/>
    </row>
    <row r="2989" spans="1:4">
      <c r="A2989" s="15"/>
      <c r="B2989" s="15"/>
      <c r="C2989" s="697"/>
      <c r="D2989" s="914"/>
    </row>
    <row r="2990" spans="1:4">
      <c r="A2990" s="15"/>
      <c r="B2990" s="15"/>
      <c r="C2990" s="697"/>
      <c r="D2990" s="914"/>
    </row>
    <row r="2991" spans="1:4">
      <c r="A2991" s="15"/>
      <c r="B2991" s="15"/>
      <c r="C2991" s="697"/>
      <c r="D2991" s="914"/>
    </row>
    <row r="2992" spans="1:4">
      <c r="A2992" s="15"/>
      <c r="B2992" s="15"/>
      <c r="C2992" s="697"/>
      <c r="D2992" s="914"/>
    </row>
    <row r="2993" spans="1:4">
      <c r="A2993" s="15"/>
      <c r="B2993" s="15"/>
      <c r="C2993" s="697"/>
      <c r="D2993" s="914"/>
    </row>
    <row r="2994" spans="1:4">
      <c r="A2994" s="15"/>
      <c r="B2994" s="15"/>
      <c r="C2994" s="697"/>
      <c r="D2994" s="914"/>
    </row>
    <row r="2995" spans="1:4">
      <c r="A2995" s="15"/>
      <c r="B2995" s="15"/>
      <c r="C2995" s="697"/>
      <c r="D2995" s="914"/>
    </row>
    <row r="2996" spans="1:4">
      <c r="A2996" s="15"/>
      <c r="B2996" s="15"/>
      <c r="C2996" s="697"/>
      <c r="D2996" s="914"/>
    </row>
    <row r="2997" spans="1:4">
      <c r="A2997" s="15"/>
      <c r="B2997" s="15"/>
      <c r="C2997" s="697"/>
      <c r="D2997" s="914"/>
    </row>
    <row r="2998" spans="1:4">
      <c r="A2998" s="15"/>
      <c r="B2998" s="15"/>
      <c r="C2998" s="697"/>
      <c r="D2998" s="914"/>
    </row>
    <row r="2999" spans="1:4">
      <c r="A2999" s="15"/>
      <c r="B2999" s="15"/>
      <c r="C2999" s="697"/>
      <c r="D2999" s="914"/>
    </row>
    <row r="3000" spans="1:4">
      <c r="A3000" s="15"/>
      <c r="B3000" s="15"/>
      <c r="C3000" s="697"/>
      <c r="D3000" s="914"/>
    </row>
    <row r="3001" spans="1:4">
      <c r="A3001" s="15"/>
      <c r="B3001" s="15"/>
      <c r="C3001" s="697"/>
      <c r="D3001" s="914"/>
    </row>
    <row r="3002" spans="1:4">
      <c r="A3002" s="15"/>
      <c r="B3002" s="15"/>
      <c r="C3002" s="697"/>
      <c r="D3002" s="914"/>
    </row>
    <row r="3003" spans="1:4">
      <c r="A3003" s="15"/>
      <c r="B3003" s="15"/>
      <c r="C3003" s="697"/>
      <c r="D3003" s="914"/>
    </row>
    <row r="3004" spans="1:4">
      <c r="A3004" s="15"/>
      <c r="B3004" s="15"/>
      <c r="C3004" s="697"/>
      <c r="D3004" s="914"/>
    </row>
    <row r="3005" spans="1:4">
      <c r="A3005" s="15"/>
      <c r="B3005" s="15"/>
      <c r="C3005" s="697"/>
      <c r="D3005" s="914"/>
    </row>
    <row r="3006" spans="1:4">
      <c r="A3006" s="15"/>
      <c r="B3006" s="15"/>
      <c r="C3006" s="697"/>
      <c r="D3006" s="914"/>
    </row>
    <row r="3007" spans="1:4">
      <c r="A3007" s="15"/>
      <c r="B3007" s="15"/>
      <c r="C3007" s="697"/>
      <c r="D3007" s="914"/>
    </row>
    <row r="3008" spans="1:4">
      <c r="A3008" s="15"/>
      <c r="B3008" s="15"/>
      <c r="C3008" s="697"/>
      <c r="D3008" s="914"/>
    </row>
    <row r="3009" spans="1:4">
      <c r="A3009" s="15"/>
      <c r="B3009" s="15"/>
      <c r="C3009" s="697"/>
      <c r="D3009" s="914"/>
    </row>
    <row r="3010" spans="1:4">
      <c r="A3010" s="15"/>
      <c r="B3010" s="15"/>
      <c r="C3010" s="697"/>
      <c r="D3010" s="914"/>
    </row>
    <row r="3011" spans="1:4">
      <c r="A3011" s="15"/>
      <c r="B3011" s="15"/>
      <c r="C3011" s="697"/>
      <c r="D3011" s="914"/>
    </row>
    <row r="3012" spans="1:4">
      <c r="A3012" s="15"/>
      <c r="B3012" s="15"/>
      <c r="C3012" s="697"/>
      <c r="D3012" s="914"/>
    </row>
    <row r="3013" spans="1:4">
      <c r="A3013" s="15"/>
      <c r="B3013" s="15"/>
      <c r="C3013" s="697"/>
      <c r="D3013" s="914"/>
    </row>
    <row r="3014" spans="1:4">
      <c r="A3014" s="15"/>
      <c r="B3014" s="15"/>
      <c r="C3014" s="697"/>
      <c r="D3014" s="914"/>
    </row>
    <row r="3015" spans="1:4">
      <c r="A3015" s="15"/>
      <c r="B3015" s="15"/>
      <c r="C3015" s="697"/>
      <c r="D3015" s="914"/>
    </row>
    <row r="3016" spans="1:4">
      <c r="A3016" s="15"/>
      <c r="B3016" s="15"/>
      <c r="C3016" s="697"/>
      <c r="D3016" s="914"/>
    </row>
    <row r="3017" spans="1:4">
      <c r="A3017" s="15"/>
      <c r="B3017" s="15"/>
      <c r="C3017" s="697"/>
      <c r="D3017" s="914"/>
    </row>
    <row r="3018" spans="1:4">
      <c r="A3018" s="15"/>
      <c r="B3018" s="15"/>
      <c r="C3018" s="697"/>
      <c r="D3018" s="914"/>
    </row>
    <row r="3019" spans="1:4">
      <c r="A3019" s="15"/>
      <c r="B3019" s="15"/>
      <c r="C3019" s="697"/>
      <c r="D3019" s="914"/>
    </row>
    <row r="3020" spans="1:4">
      <c r="A3020" s="15"/>
      <c r="B3020" s="15"/>
      <c r="C3020" s="697"/>
      <c r="D3020" s="914"/>
    </row>
    <row r="3021" spans="1:4">
      <c r="A3021" s="15"/>
      <c r="B3021" s="15"/>
      <c r="C3021" s="697"/>
      <c r="D3021" s="914"/>
    </row>
    <row r="3022" spans="1:4">
      <c r="A3022" s="15"/>
      <c r="B3022" s="15"/>
      <c r="C3022" s="697"/>
      <c r="D3022" s="914"/>
    </row>
    <row r="3023" spans="1:4">
      <c r="A3023" s="15"/>
      <c r="B3023" s="15"/>
      <c r="C3023" s="697"/>
      <c r="D3023" s="914"/>
    </row>
    <row r="3024" spans="1:4">
      <c r="A3024" s="15"/>
      <c r="B3024" s="15"/>
      <c r="C3024" s="697"/>
      <c r="D3024" s="914"/>
    </row>
    <row r="3025" spans="1:4">
      <c r="A3025" s="15"/>
      <c r="B3025" s="15"/>
      <c r="C3025" s="697"/>
      <c r="D3025" s="914"/>
    </row>
    <row r="3026" spans="1:4">
      <c r="A3026" s="15"/>
      <c r="B3026" s="15"/>
      <c r="C3026" s="697"/>
      <c r="D3026" s="914"/>
    </row>
    <row r="3027" spans="1:4">
      <c r="A3027" s="15"/>
      <c r="B3027" s="15"/>
      <c r="C3027" s="697"/>
      <c r="D3027" s="914"/>
    </row>
    <row r="3028" spans="1:4">
      <c r="A3028" s="15"/>
      <c r="B3028" s="15"/>
      <c r="C3028" s="697"/>
      <c r="D3028" s="914"/>
    </row>
    <row r="3029" spans="1:4">
      <c r="A3029" s="15"/>
      <c r="B3029" s="15"/>
      <c r="C3029" s="697"/>
      <c r="D3029" s="914"/>
    </row>
    <row r="3030" spans="1:4">
      <c r="A3030" s="15"/>
      <c r="B3030" s="15"/>
      <c r="C3030" s="697"/>
      <c r="D3030" s="914"/>
    </row>
    <row r="3031" spans="1:4">
      <c r="A3031" s="15"/>
      <c r="B3031" s="15"/>
      <c r="C3031" s="697"/>
      <c r="D3031" s="914"/>
    </row>
    <row r="3032" spans="1:4">
      <c r="A3032" s="15"/>
      <c r="B3032" s="15"/>
      <c r="C3032" s="697"/>
      <c r="D3032" s="914"/>
    </row>
    <row r="3033" spans="1:4">
      <c r="A3033" s="15"/>
      <c r="B3033" s="15"/>
      <c r="C3033" s="697"/>
      <c r="D3033" s="914"/>
    </row>
    <row r="3034" spans="1:4">
      <c r="A3034" s="15"/>
      <c r="B3034" s="15"/>
      <c r="C3034" s="697"/>
      <c r="D3034" s="914"/>
    </row>
    <row r="3035" spans="1:4">
      <c r="A3035" s="15"/>
      <c r="B3035" s="15"/>
      <c r="C3035" s="697"/>
      <c r="D3035" s="914"/>
    </row>
    <row r="3036" spans="1:4">
      <c r="A3036" s="15"/>
      <c r="B3036" s="15"/>
      <c r="C3036" s="697"/>
      <c r="D3036" s="914"/>
    </row>
    <row r="3037" spans="1:4">
      <c r="A3037" s="15"/>
      <c r="B3037" s="15"/>
      <c r="C3037" s="697"/>
      <c r="D3037" s="914"/>
    </row>
    <row r="3038" spans="1:4">
      <c r="A3038" s="15"/>
      <c r="B3038" s="15"/>
      <c r="C3038" s="697"/>
      <c r="D3038" s="914"/>
    </row>
    <row r="3039" spans="1:4">
      <c r="A3039" s="15"/>
      <c r="B3039" s="15"/>
      <c r="C3039" s="697"/>
      <c r="D3039" s="914"/>
    </row>
    <row r="3040" spans="1:4">
      <c r="A3040" s="15"/>
      <c r="B3040" s="15"/>
      <c r="C3040" s="697"/>
      <c r="D3040" s="914"/>
    </row>
    <row r="3041" spans="1:4">
      <c r="A3041" s="15"/>
      <c r="B3041" s="15"/>
      <c r="C3041" s="697"/>
      <c r="D3041" s="914"/>
    </row>
    <row r="3042" spans="1:4">
      <c r="A3042" s="15"/>
      <c r="B3042" s="15"/>
      <c r="C3042" s="697"/>
      <c r="D3042" s="914"/>
    </row>
    <row r="3043" spans="1:4">
      <c r="A3043" s="15"/>
      <c r="B3043" s="15"/>
      <c r="C3043" s="697"/>
      <c r="D3043" s="914"/>
    </row>
    <row r="3044" spans="1:4">
      <c r="A3044" s="15"/>
      <c r="B3044" s="15"/>
      <c r="C3044" s="697"/>
      <c r="D3044" s="914"/>
    </row>
    <row r="3045" spans="1:4">
      <c r="A3045" s="15"/>
      <c r="B3045" s="15"/>
      <c r="C3045" s="697"/>
      <c r="D3045" s="914"/>
    </row>
    <row r="3046" spans="1:4">
      <c r="A3046" s="15"/>
      <c r="B3046" s="15"/>
      <c r="C3046" s="697"/>
      <c r="D3046" s="914"/>
    </row>
    <row r="3047" spans="1:4">
      <c r="A3047" s="15"/>
      <c r="B3047" s="15"/>
      <c r="C3047" s="697"/>
      <c r="D3047" s="914"/>
    </row>
    <row r="3048" spans="1:4">
      <c r="A3048" s="15"/>
      <c r="B3048" s="15"/>
      <c r="C3048" s="697"/>
      <c r="D3048" s="914"/>
    </row>
    <row r="3049" spans="1:4">
      <c r="A3049" s="15"/>
      <c r="B3049" s="15"/>
      <c r="C3049" s="697"/>
      <c r="D3049" s="914"/>
    </row>
    <row r="3050" spans="1:4">
      <c r="A3050" s="15"/>
      <c r="B3050" s="15"/>
      <c r="C3050" s="697"/>
      <c r="D3050" s="914"/>
    </row>
    <row r="3051" spans="1:4">
      <c r="A3051" s="15"/>
      <c r="B3051" s="15"/>
      <c r="C3051" s="697"/>
      <c r="D3051" s="914"/>
    </row>
    <row r="3052" spans="1:4">
      <c r="A3052" s="15"/>
      <c r="B3052" s="15"/>
      <c r="C3052" s="697"/>
      <c r="D3052" s="914"/>
    </row>
    <row r="3053" spans="1:4">
      <c r="A3053" s="15"/>
      <c r="B3053" s="15"/>
      <c r="C3053" s="697"/>
      <c r="D3053" s="914"/>
    </row>
    <row r="3054" spans="1:4">
      <c r="A3054" s="15"/>
      <c r="B3054" s="15"/>
      <c r="C3054" s="697"/>
      <c r="D3054" s="914"/>
    </row>
    <row r="3055" spans="1:4">
      <c r="A3055" s="15"/>
      <c r="B3055" s="15"/>
      <c r="C3055" s="697"/>
      <c r="D3055" s="914"/>
    </row>
    <row r="3056" spans="1:4">
      <c r="A3056" s="15"/>
      <c r="B3056" s="15"/>
      <c r="C3056" s="697"/>
      <c r="D3056" s="914"/>
    </row>
    <row r="3057" spans="1:4">
      <c r="A3057" s="15"/>
      <c r="B3057" s="15"/>
      <c r="C3057" s="697"/>
      <c r="D3057" s="914"/>
    </row>
    <row r="3058" spans="1:4">
      <c r="A3058" s="15"/>
      <c r="B3058" s="15"/>
      <c r="C3058" s="697"/>
      <c r="D3058" s="914"/>
    </row>
    <row r="3059" spans="1:4">
      <c r="A3059" s="15"/>
      <c r="B3059" s="15"/>
      <c r="C3059" s="697"/>
      <c r="D3059" s="914"/>
    </row>
    <row r="3060" spans="1:4">
      <c r="A3060" s="15"/>
      <c r="B3060" s="15"/>
      <c r="C3060" s="697"/>
      <c r="D3060" s="914"/>
    </row>
    <row r="3061" spans="1:4">
      <c r="A3061" s="15"/>
      <c r="B3061" s="15"/>
      <c r="C3061" s="697"/>
      <c r="D3061" s="914"/>
    </row>
    <row r="3062" spans="1:4">
      <c r="A3062" s="15"/>
      <c r="B3062" s="15"/>
      <c r="C3062" s="697"/>
      <c r="D3062" s="914"/>
    </row>
    <row r="3063" spans="1:4">
      <c r="A3063" s="15"/>
      <c r="B3063" s="15"/>
      <c r="C3063" s="697"/>
      <c r="D3063" s="914"/>
    </row>
    <row r="3064" spans="1:4">
      <c r="A3064" s="15"/>
      <c r="B3064" s="15"/>
      <c r="C3064" s="697"/>
      <c r="D3064" s="914"/>
    </row>
    <row r="3065" spans="1:4">
      <c r="A3065" s="15"/>
      <c r="B3065" s="15"/>
      <c r="C3065" s="697"/>
      <c r="D3065" s="914"/>
    </row>
    <row r="3066" spans="1:4">
      <c r="A3066" s="15"/>
      <c r="B3066" s="15"/>
      <c r="C3066" s="697"/>
      <c r="D3066" s="914"/>
    </row>
    <row r="3067" spans="1:4">
      <c r="A3067" s="15"/>
      <c r="B3067" s="15"/>
      <c r="C3067" s="697"/>
      <c r="D3067" s="914"/>
    </row>
    <row r="3068" spans="1:4">
      <c r="A3068" s="15"/>
      <c r="B3068" s="15"/>
      <c r="C3068" s="697"/>
      <c r="D3068" s="914"/>
    </row>
    <row r="3069" spans="1:4">
      <c r="A3069" s="15"/>
      <c r="B3069" s="15"/>
      <c r="C3069" s="697"/>
      <c r="D3069" s="914"/>
    </row>
    <row r="3070" spans="1:4">
      <c r="A3070" s="15"/>
      <c r="B3070" s="15"/>
      <c r="C3070" s="697"/>
      <c r="D3070" s="914"/>
    </row>
    <row r="3071" spans="1:4">
      <c r="A3071" s="15"/>
      <c r="B3071" s="15"/>
      <c r="C3071" s="697"/>
      <c r="D3071" s="914"/>
    </row>
    <row r="3072" spans="1:4">
      <c r="A3072" s="15"/>
      <c r="B3072" s="15"/>
      <c r="C3072" s="697"/>
      <c r="D3072" s="914"/>
    </row>
    <row r="3073" spans="1:4">
      <c r="A3073" s="15"/>
      <c r="B3073" s="15"/>
      <c r="C3073" s="697"/>
      <c r="D3073" s="914"/>
    </row>
    <row r="3074" spans="1:4">
      <c r="A3074" s="15"/>
      <c r="B3074" s="15"/>
      <c r="C3074" s="697"/>
      <c r="D3074" s="914"/>
    </row>
    <row r="3075" spans="1:4">
      <c r="A3075" s="15"/>
      <c r="B3075" s="15"/>
      <c r="C3075" s="697"/>
      <c r="D3075" s="914"/>
    </row>
    <row r="3076" spans="1:4">
      <c r="A3076" s="15"/>
      <c r="B3076" s="15"/>
      <c r="C3076" s="697"/>
      <c r="D3076" s="914"/>
    </row>
    <row r="3077" spans="1:4">
      <c r="A3077" s="15"/>
      <c r="B3077" s="15"/>
      <c r="C3077" s="697"/>
      <c r="D3077" s="914"/>
    </row>
    <row r="3078" spans="1:4">
      <c r="A3078" s="15"/>
      <c r="B3078" s="15"/>
      <c r="C3078" s="697"/>
      <c r="D3078" s="914"/>
    </row>
    <row r="3079" spans="1:4">
      <c r="A3079" s="15"/>
      <c r="B3079" s="15"/>
      <c r="C3079" s="697"/>
      <c r="D3079" s="914"/>
    </row>
    <row r="3080" spans="1:4">
      <c r="A3080" s="15"/>
      <c r="B3080" s="15"/>
      <c r="C3080" s="697"/>
      <c r="D3080" s="914"/>
    </row>
    <row r="3081" spans="1:4">
      <c r="A3081" s="15"/>
      <c r="B3081" s="15"/>
      <c r="C3081" s="697"/>
      <c r="D3081" s="914"/>
    </row>
    <row r="3082" spans="1:4">
      <c r="A3082" s="15"/>
      <c r="B3082" s="15"/>
      <c r="C3082" s="697"/>
      <c r="D3082" s="914"/>
    </row>
    <row r="3083" spans="1:4">
      <c r="A3083" s="15"/>
      <c r="B3083" s="15"/>
      <c r="C3083" s="697"/>
      <c r="D3083" s="914"/>
    </row>
    <row r="3084" spans="1:4">
      <c r="A3084" s="15"/>
      <c r="B3084" s="15"/>
      <c r="C3084" s="697"/>
      <c r="D3084" s="914"/>
    </row>
    <row r="3085" spans="1:4">
      <c r="A3085" s="15"/>
      <c r="B3085" s="15"/>
      <c r="C3085" s="697"/>
      <c r="D3085" s="914"/>
    </row>
    <row r="3086" spans="1:4">
      <c r="A3086" s="15"/>
      <c r="B3086" s="15"/>
      <c r="C3086" s="697"/>
      <c r="D3086" s="914"/>
    </row>
    <row r="3087" spans="1:4">
      <c r="A3087" s="15"/>
      <c r="B3087" s="15"/>
      <c r="C3087" s="697"/>
      <c r="D3087" s="914"/>
    </row>
    <row r="3088" spans="1:4">
      <c r="A3088" s="15"/>
      <c r="B3088" s="15"/>
      <c r="C3088" s="697"/>
      <c r="D3088" s="914"/>
    </row>
    <row r="3089" spans="1:4">
      <c r="A3089" s="15"/>
      <c r="B3089" s="15"/>
      <c r="C3089" s="697"/>
      <c r="D3089" s="914"/>
    </row>
    <row r="3090" spans="1:4">
      <c r="A3090" s="15"/>
      <c r="B3090" s="15"/>
      <c r="C3090" s="697"/>
      <c r="D3090" s="914"/>
    </row>
    <row r="3091" spans="1:4">
      <c r="A3091" s="15"/>
      <c r="B3091" s="15"/>
      <c r="C3091" s="697"/>
      <c r="D3091" s="914"/>
    </row>
    <row r="3092" spans="1:4">
      <c r="A3092" s="15"/>
      <c r="B3092" s="15"/>
      <c r="C3092" s="697"/>
      <c r="D3092" s="914"/>
    </row>
    <row r="3093" spans="1:4">
      <c r="A3093" s="15"/>
      <c r="B3093" s="15"/>
      <c r="C3093" s="697"/>
      <c r="D3093" s="914"/>
    </row>
    <row r="3094" spans="1:4">
      <c r="A3094" s="15"/>
      <c r="B3094" s="15"/>
      <c r="C3094" s="697"/>
      <c r="D3094" s="914"/>
    </row>
    <row r="3095" spans="1:4">
      <c r="A3095" s="15"/>
      <c r="B3095" s="15"/>
      <c r="C3095" s="697"/>
      <c r="D3095" s="914"/>
    </row>
    <row r="3096" spans="1:4">
      <c r="A3096" s="15"/>
      <c r="B3096" s="15"/>
      <c r="C3096" s="697"/>
      <c r="D3096" s="914"/>
    </row>
    <row r="3097" spans="1:4">
      <c r="A3097" s="15"/>
      <c r="B3097" s="15"/>
      <c r="C3097" s="697"/>
      <c r="D3097" s="914"/>
    </row>
    <row r="3098" spans="1:4">
      <c r="A3098" s="15"/>
      <c r="B3098" s="15"/>
      <c r="C3098" s="697"/>
      <c r="D3098" s="914"/>
    </row>
    <row r="3099" spans="1:4">
      <c r="A3099" s="15"/>
      <c r="B3099" s="15"/>
      <c r="C3099" s="697"/>
      <c r="D3099" s="914"/>
    </row>
    <row r="3100" spans="1:4">
      <c r="A3100" s="15"/>
      <c r="B3100" s="15"/>
      <c r="C3100" s="697"/>
      <c r="D3100" s="914"/>
    </row>
    <row r="3101" spans="1:4">
      <c r="A3101" s="15"/>
      <c r="B3101" s="15"/>
      <c r="C3101" s="697"/>
      <c r="D3101" s="914"/>
    </row>
    <row r="3102" spans="1:4">
      <c r="A3102" s="15"/>
      <c r="B3102" s="15"/>
      <c r="C3102" s="697"/>
      <c r="D3102" s="914"/>
    </row>
    <row r="3103" spans="1:4">
      <c r="A3103" s="15"/>
      <c r="B3103" s="15"/>
      <c r="C3103" s="697"/>
      <c r="D3103" s="914"/>
    </row>
    <row r="3104" spans="1:4">
      <c r="A3104" s="15"/>
      <c r="B3104" s="15"/>
      <c r="C3104" s="697"/>
      <c r="D3104" s="914"/>
    </row>
    <row r="3105" spans="1:4">
      <c r="A3105" s="15"/>
      <c r="B3105" s="15"/>
      <c r="C3105" s="697"/>
      <c r="D3105" s="914"/>
    </row>
    <row r="3106" spans="1:4">
      <c r="A3106" s="15"/>
      <c r="B3106" s="15"/>
      <c r="C3106" s="697"/>
      <c r="D3106" s="914"/>
    </row>
    <row r="3107" spans="1:4">
      <c r="A3107" s="15"/>
      <c r="B3107" s="15"/>
      <c r="C3107" s="697"/>
      <c r="D3107" s="914"/>
    </row>
    <row r="3108" spans="1:4">
      <c r="A3108" s="15"/>
      <c r="B3108" s="15"/>
      <c r="C3108" s="697"/>
      <c r="D3108" s="914"/>
    </row>
    <row r="3109" spans="1:4">
      <c r="A3109" s="15"/>
      <c r="B3109" s="15"/>
      <c r="C3109" s="697"/>
      <c r="D3109" s="914"/>
    </row>
    <row r="3110" spans="1:4">
      <c r="A3110" s="15"/>
      <c r="B3110" s="15"/>
      <c r="C3110" s="697"/>
      <c r="D3110" s="914"/>
    </row>
    <row r="3111" spans="1:4">
      <c r="A3111" s="15"/>
      <c r="B3111" s="15"/>
      <c r="C3111" s="697"/>
      <c r="D3111" s="914"/>
    </row>
    <row r="3112" spans="1:4">
      <c r="A3112" s="15"/>
      <c r="B3112" s="15"/>
      <c r="C3112" s="697"/>
      <c r="D3112" s="914"/>
    </row>
    <row r="3113" spans="1:4">
      <c r="A3113" s="15"/>
      <c r="B3113" s="15"/>
      <c r="C3113" s="697"/>
      <c r="D3113" s="914"/>
    </row>
    <row r="3114" spans="1:4">
      <c r="A3114" s="15"/>
      <c r="B3114" s="15"/>
      <c r="C3114" s="697"/>
      <c r="D3114" s="914"/>
    </row>
    <row r="3115" spans="1:4">
      <c r="A3115" s="15"/>
      <c r="B3115" s="15"/>
      <c r="C3115" s="697"/>
      <c r="D3115" s="914"/>
    </row>
    <row r="3116" spans="1:4">
      <c r="A3116" s="15"/>
      <c r="B3116" s="15"/>
      <c r="C3116" s="697"/>
      <c r="D3116" s="914"/>
    </row>
    <row r="3117" spans="1:4">
      <c r="A3117" s="15"/>
      <c r="B3117" s="15"/>
      <c r="C3117" s="697"/>
      <c r="D3117" s="914"/>
    </row>
    <row r="3118" spans="1:4">
      <c r="A3118" s="15"/>
      <c r="B3118" s="15"/>
      <c r="C3118" s="697"/>
      <c r="D3118" s="914"/>
    </row>
    <row r="3119" spans="1:4">
      <c r="A3119" s="15"/>
      <c r="B3119" s="15"/>
      <c r="C3119" s="697"/>
      <c r="D3119" s="914"/>
    </row>
    <row r="3120" spans="1:4">
      <c r="A3120" s="15"/>
      <c r="B3120" s="15"/>
      <c r="C3120" s="697"/>
      <c r="D3120" s="914"/>
    </row>
    <row r="3121" spans="1:4">
      <c r="A3121" s="15"/>
      <c r="B3121" s="15"/>
      <c r="C3121" s="697"/>
      <c r="D3121" s="914"/>
    </row>
    <row r="3122" spans="1:4">
      <c r="A3122" s="15"/>
      <c r="B3122" s="15"/>
      <c r="C3122" s="697"/>
      <c r="D3122" s="914"/>
    </row>
    <row r="3123" spans="1:4">
      <c r="A3123" s="15"/>
      <c r="B3123" s="15"/>
      <c r="C3123" s="697"/>
      <c r="D3123" s="914"/>
    </row>
    <row r="3124" spans="1:4">
      <c r="A3124" s="15"/>
      <c r="B3124" s="15"/>
      <c r="C3124" s="697"/>
      <c r="D3124" s="914"/>
    </row>
    <row r="3125" spans="1:4">
      <c r="A3125" s="15"/>
      <c r="B3125" s="15"/>
      <c r="C3125" s="697"/>
      <c r="D3125" s="914"/>
    </row>
    <row r="3126" spans="1:4">
      <c r="A3126" s="15"/>
      <c r="B3126" s="15"/>
      <c r="C3126" s="697"/>
      <c r="D3126" s="914"/>
    </row>
    <row r="3127" spans="1:4">
      <c r="A3127" s="15"/>
      <c r="B3127" s="15"/>
      <c r="C3127" s="697"/>
      <c r="D3127" s="914"/>
    </row>
    <row r="3128" spans="1:4">
      <c r="A3128" s="15"/>
      <c r="B3128" s="15"/>
      <c r="C3128" s="697"/>
      <c r="D3128" s="914"/>
    </row>
    <row r="3129" spans="1:4">
      <c r="A3129" s="15"/>
      <c r="B3129" s="15"/>
      <c r="C3129" s="697"/>
      <c r="D3129" s="914"/>
    </row>
    <row r="3130" spans="1:4">
      <c r="A3130" s="15"/>
      <c r="B3130" s="15"/>
      <c r="C3130" s="697"/>
      <c r="D3130" s="914"/>
    </row>
    <row r="3131" spans="1:4">
      <c r="A3131" s="15"/>
      <c r="B3131" s="15"/>
      <c r="C3131" s="697"/>
      <c r="D3131" s="914"/>
    </row>
    <row r="3132" spans="1:4">
      <c r="A3132" s="15"/>
      <c r="B3132" s="15"/>
      <c r="C3132" s="697"/>
      <c r="D3132" s="914"/>
    </row>
    <row r="3133" spans="1:4">
      <c r="A3133" s="15"/>
      <c r="B3133" s="15"/>
      <c r="C3133" s="697"/>
      <c r="D3133" s="914"/>
    </row>
    <row r="3134" spans="1:4">
      <c r="A3134" s="15"/>
      <c r="B3134" s="15"/>
      <c r="C3134" s="697"/>
      <c r="D3134" s="914"/>
    </row>
    <row r="3135" spans="1:4">
      <c r="A3135" s="15"/>
      <c r="B3135" s="15"/>
      <c r="C3135" s="697"/>
      <c r="D3135" s="914"/>
    </row>
    <row r="3136" spans="1:4">
      <c r="A3136" s="15"/>
      <c r="B3136" s="15"/>
      <c r="C3136" s="697"/>
      <c r="D3136" s="914"/>
    </row>
    <row r="3137" spans="1:4">
      <c r="A3137" s="15"/>
      <c r="B3137" s="15"/>
      <c r="C3137" s="697"/>
      <c r="D3137" s="914"/>
    </row>
    <row r="3138" spans="1:4">
      <c r="A3138" s="15"/>
      <c r="B3138" s="15"/>
      <c r="C3138" s="697"/>
      <c r="D3138" s="914"/>
    </row>
    <row r="3139" spans="1:4">
      <c r="A3139" s="15"/>
      <c r="B3139" s="15"/>
      <c r="C3139" s="697"/>
      <c r="D3139" s="914"/>
    </row>
    <row r="3140" spans="1:4">
      <c r="A3140" s="15"/>
      <c r="B3140" s="15"/>
      <c r="C3140" s="697"/>
      <c r="D3140" s="914"/>
    </row>
    <row r="3141" spans="1:4">
      <c r="A3141" s="15"/>
      <c r="B3141" s="15"/>
      <c r="C3141" s="697"/>
      <c r="D3141" s="914"/>
    </row>
    <row r="3142" spans="1:4">
      <c r="A3142" s="15"/>
      <c r="B3142" s="15"/>
      <c r="C3142" s="697"/>
      <c r="D3142" s="914"/>
    </row>
    <row r="3143" spans="1:4">
      <c r="A3143" s="15"/>
      <c r="B3143" s="15"/>
      <c r="C3143" s="697"/>
      <c r="D3143" s="914"/>
    </row>
    <row r="3144" spans="1:4">
      <c r="A3144" s="15"/>
      <c r="B3144" s="15"/>
      <c r="C3144" s="697"/>
      <c r="D3144" s="914"/>
    </row>
    <row r="3145" spans="1:4">
      <c r="A3145" s="15"/>
      <c r="B3145" s="15"/>
      <c r="C3145" s="697"/>
      <c r="D3145" s="914"/>
    </row>
    <row r="3146" spans="1:4">
      <c r="A3146" s="15"/>
      <c r="B3146" s="15"/>
      <c r="C3146" s="697"/>
      <c r="D3146" s="914"/>
    </row>
    <row r="3147" spans="1:4">
      <c r="A3147" s="15"/>
      <c r="B3147" s="15"/>
      <c r="C3147" s="697"/>
      <c r="D3147" s="914"/>
    </row>
    <row r="3148" spans="1:4">
      <c r="A3148" s="15"/>
      <c r="B3148" s="15"/>
      <c r="C3148" s="697"/>
      <c r="D3148" s="914"/>
    </row>
    <row r="3149" spans="1:4">
      <c r="A3149" s="15"/>
      <c r="B3149" s="15"/>
      <c r="C3149" s="697"/>
      <c r="D3149" s="914"/>
    </row>
    <row r="3150" spans="1:4">
      <c r="A3150" s="15"/>
      <c r="B3150" s="15"/>
      <c r="C3150" s="697"/>
      <c r="D3150" s="914"/>
    </row>
    <row r="3151" spans="1:4">
      <c r="A3151" s="15"/>
      <c r="B3151" s="15"/>
      <c r="C3151" s="697"/>
      <c r="D3151" s="914"/>
    </row>
    <row r="3152" spans="1:4">
      <c r="A3152" s="15"/>
      <c r="B3152" s="15"/>
      <c r="C3152" s="697"/>
      <c r="D3152" s="914"/>
    </row>
    <row r="3153" spans="1:4">
      <c r="A3153" s="15"/>
      <c r="B3153" s="15"/>
      <c r="C3153" s="697"/>
      <c r="D3153" s="914"/>
    </row>
    <row r="3154" spans="1:4">
      <c r="A3154" s="15"/>
      <c r="B3154" s="15"/>
      <c r="C3154" s="697"/>
      <c r="D3154" s="914"/>
    </row>
    <row r="3155" spans="1:4">
      <c r="A3155" s="15"/>
      <c r="B3155" s="15"/>
      <c r="C3155" s="697"/>
      <c r="D3155" s="914"/>
    </row>
    <row r="3156" spans="1:4">
      <c r="A3156" s="15"/>
      <c r="B3156" s="15"/>
      <c r="C3156" s="697"/>
      <c r="D3156" s="914"/>
    </row>
    <row r="3157" spans="1:4">
      <c r="A3157" s="15"/>
      <c r="B3157" s="15"/>
      <c r="C3157" s="697"/>
      <c r="D3157" s="914"/>
    </row>
    <row r="3158" spans="1:4">
      <c r="A3158" s="15"/>
      <c r="B3158" s="15"/>
      <c r="C3158" s="697"/>
      <c r="D3158" s="914"/>
    </row>
    <row r="3159" spans="1:4">
      <c r="A3159" s="15"/>
      <c r="B3159" s="15"/>
      <c r="C3159" s="697"/>
      <c r="D3159" s="914"/>
    </row>
    <row r="3160" spans="1:4">
      <c r="A3160" s="15"/>
      <c r="B3160" s="15"/>
      <c r="C3160" s="697"/>
      <c r="D3160" s="914"/>
    </row>
    <row r="3161" spans="1:4">
      <c r="A3161" s="15"/>
      <c r="B3161" s="15"/>
      <c r="C3161" s="697"/>
      <c r="D3161" s="914"/>
    </row>
    <row r="3162" spans="1:4">
      <c r="A3162" s="15"/>
      <c r="B3162" s="15"/>
      <c r="C3162" s="697"/>
      <c r="D3162" s="914"/>
    </row>
    <row r="3163" spans="1:4">
      <c r="A3163" s="15"/>
      <c r="B3163" s="15"/>
      <c r="C3163" s="697"/>
      <c r="D3163" s="914"/>
    </row>
    <row r="3164" spans="1:4">
      <c r="A3164" s="15"/>
      <c r="B3164" s="15"/>
      <c r="C3164" s="697"/>
      <c r="D3164" s="914"/>
    </row>
    <row r="3165" spans="1:4">
      <c r="A3165" s="15"/>
      <c r="B3165" s="15"/>
      <c r="C3165" s="697"/>
      <c r="D3165" s="914"/>
    </row>
    <row r="3166" spans="1:4">
      <c r="A3166" s="15"/>
      <c r="B3166" s="15"/>
      <c r="C3166" s="697"/>
      <c r="D3166" s="914"/>
    </row>
    <row r="3167" spans="1:4">
      <c r="A3167" s="15"/>
      <c r="B3167" s="15"/>
      <c r="C3167" s="697"/>
      <c r="D3167" s="914"/>
    </row>
    <row r="3168" spans="1:4">
      <c r="A3168" s="15"/>
      <c r="B3168" s="15"/>
      <c r="C3168" s="697"/>
      <c r="D3168" s="914"/>
    </row>
    <row r="3169" spans="1:4">
      <c r="A3169" s="15"/>
      <c r="B3169" s="15"/>
      <c r="C3169" s="697"/>
      <c r="D3169" s="914"/>
    </row>
    <row r="3170" spans="1:4">
      <c r="A3170" s="15"/>
      <c r="B3170" s="15"/>
      <c r="C3170" s="697"/>
      <c r="D3170" s="914"/>
    </row>
    <row r="3171" spans="1:4">
      <c r="A3171" s="15"/>
      <c r="B3171" s="15"/>
      <c r="C3171" s="697"/>
      <c r="D3171" s="914"/>
    </row>
    <row r="3172" spans="1:4">
      <c r="A3172" s="15"/>
      <c r="B3172" s="15"/>
      <c r="C3172" s="697"/>
      <c r="D3172" s="914"/>
    </row>
    <row r="3173" spans="1:4">
      <c r="A3173" s="15"/>
      <c r="B3173" s="15"/>
      <c r="C3173" s="697"/>
      <c r="D3173" s="914"/>
    </row>
    <row r="3174" spans="1:4">
      <c r="A3174" s="15"/>
      <c r="B3174" s="15"/>
      <c r="C3174" s="697"/>
      <c r="D3174" s="914"/>
    </row>
    <row r="3175" spans="1:4">
      <c r="A3175" s="15"/>
      <c r="B3175" s="15"/>
      <c r="C3175" s="697"/>
      <c r="D3175" s="914"/>
    </row>
    <row r="3176" spans="1:4">
      <c r="A3176" s="15"/>
      <c r="B3176" s="15"/>
      <c r="C3176" s="697"/>
      <c r="D3176" s="914"/>
    </row>
    <row r="3177" spans="1:4">
      <c r="A3177" s="15"/>
      <c r="B3177" s="15"/>
      <c r="C3177" s="697"/>
      <c r="D3177" s="914"/>
    </row>
    <row r="3178" spans="1:4">
      <c r="A3178" s="15"/>
      <c r="B3178" s="15"/>
      <c r="C3178" s="697"/>
      <c r="D3178" s="914"/>
    </row>
    <row r="3179" spans="1:4">
      <c r="A3179" s="15"/>
      <c r="B3179" s="15"/>
      <c r="C3179" s="697"/>
      <c r="D3179" s="914"/>
    </row>
    <row r="3180" spans="1:4">
      <c r="A3180" s="15"/>
      <c r="B3180" s="15"/>
      <c r="C3180" s="697"/>
      <c r="D3180" s="914"/>
    </row>
    <row r="3181" spans="1:4">
      <c r="A3181" s="15"/>
      <c r="B3181" s="15"/>
      <c r="C3181" s="697"/>
      <c r="D3181" s="914"/>
    </row>
    <row r="3182" spans="1:4">
      <c r="A3182" s="15"/>
      <c r="B3182" s="15"/>
      <c r="C3182" s="697"/>
      <c r="D3182" s="914"/>
    </row>
    <row r="3183" spans="1:4">
      <c r="A3183" s="15"/>
      <c r="B3183" s="15"/>
      <c r="C3183" s="697"/>
      <c r="D3183" s="914"/>
    </row>
    <row r="3184" spans="1:4">
      <c r="A3184" s="15"/>
      <c r="B3184" s="15"/>
      <c r="C3184" s="697"/>
      <c r="D3184" s="914"/>
    </row>
    <row r="3185" spans="1:4">
      <c r="A3185" s="15"/>
      <c r="B3185" s="15"/>
      <c r="C3185" s="697"/>
      <c r="D3185" s="914"/>
    </row>
    <row r="3186" spans="1:4">
      <c r="A3186" s="15"/>
      <c r="B3186" s="15"/>
      <c r="C3186" s="697"/>
      <c r="D3186" s="914"/>
    </row>
    <row r="3187" spans="1:4">
      <c r="A3187" s="15"/>
      <c r="B3187" s="15"/>
      <c r="C3187" s="697"/>
      <c r="D3187" s="914"/>
    </row>
    <row r="3188" spans="1:4">
      <c r="A3188" s="15"/>
      <c r="B3188" s="15"/>
      <c r="C3188" s="697"/>
      <c r="D3188" s="914"/>
    </row>
    <row r="3189" spans="1:4">
      <c r="A3189" s="15"/>
      <c r="B3189" s="15"/>
      <c r="C3189" s="697"/>
      <c r="D3189" s="914"/>
    </row>
    <row r="3190" spans="1:4">
      <c r="A3190" s="15"/>
      <c r="B3190" s="15"/>
      <c r="C3190" s="697"/>
      <c r="D3190" s="914"/>
    </row>
    <row r="3191" spans="1:4">
      <c r="A3191" s="15"/>
      <c r="B3191" s="15"/>
      <c r="C3191" s="697"/>
      <c r="D3191" s="914"/>
    </row>
    <row r="3192" spans="1:4">
      <c r="A3192" s="15"/>
      <c r="B3192" s="15"/>
      <c r="C3192" s="697"/>
      <c r="D3192" s="914"/>
    </row>
    <row r="3193" spans="1:4">
      <c r="A3193" s="15"/>
      <c r="B3193" s="15"/>
      <c r="C3193" s="697"/>
      <c r="D3193" s="914"/>
    </row>
    <row r="3194" spans="1:4">
      <c r="A3194" s="15"/>
      <c r="B3194" s="15"/>
      <c r="C3194" s="697"/>
      <c r="D3194" s="914"/>
    </row>
    <row r="3195" spans="1:4">
      <c r="A3195" s="15"/>
      <c r="B3195" s="15"/>
      <c r="C3195" s="697"/>
      <c r="D3195" s="914"/>
    </row>
    <row r="3196" spans="1:4">
      <c r="A3196" s="15"/>
      <c r="B3196" s="15"/>
      <c r="C3196" s="697"/>
      <c r="D3196" s="914"/>
    </row>
    <row r="3197" spans="1:4">
      <c r="A3197" s="15"/>
      <c r="B3197" s="15"/>
      <c r="C3197" s="697"/>
      <c r="D3197" s="914"/>
    </row>
    <row r="3198" spans="1:4">
      <c r="A3198" s="15"/>
      <c r="B3198" s="15"/>
      <c r="C3198" s="697"/>
      <c r="D3198" s="914"/>
    </row>
    <row r="3199" spans="1:4">
      <c r="A3199" s="15"/>
      <c r="B3199" s="15"/>
      <c r="C3199" s="697"/>
      <c r="D3199" s="914"/>
    </row>
    <row r="3200" spans="1:4">
      <c r="A3200" s="15"/>
      <c r="B3200" s="15"/>
      <c r="C3200" s="697"/>
      <c r="D3200" s="914"/>
    </row>
    <row r="3201" spans="1:4">
      <c r="A3201" s="15"/>
      <c r="B3201" s="15"/>
      <c r="C3201" s="697"/>
      <c r="D3201" s="914"/>
    </row>
    <row r="3202" spans="1:4">
      <c r="A3202" s="15"/>
      <c r="B3202" s="15"/>
      <c r="C3202" s="697"/>
      <c r="D3202" s="914"/>
    </row>
    <row r="3203" spans="1:4">
      <c r="A3203" s="15"/>
      <c r="B3203" s="15"/>
      <c r="C3203" s="697"/>
      <c r="D3203" s="914"/>
    </row>
    <row r="3204" spans="1:4">
      <c r="A3204" s="15"/>
      <c r="B3204" s="15"/>
      <c r="C3204" s="697"/>
      <c r="D3204" s="914"/>
    </row>
    <row r="3205" spans="1:4">
      <c r="A3205" s="15"/>
      <c r="B3205" s="15"/>
      <c r="C3205" s="697"/>
      <c r="D3205" s="914"/>
    </row>
    <row r="3206" spans="1:4">
      <c r="A3206" s="15"/>
      <c r="B3206" s="15"/>
      <c r="C3206" s="697"/>
      <c r="D3206" s="914"/>
    </row>
    <row r="3207" spans="1:4">
      <c r="A3207" s="15"/>
      <c r="B3207" s="15"/>
      <c r="C3207" s="697"/>
      <c r="D3207" s="914"/>
    </row>
    <row r="3208" spans="1:4">
      <c r="A3208" s="15"/>
      <c r="B3208" s="15"/>
      <c r="C3208" s="697"/>
      <c r="D3208" s="914"/>
    </row>
    <row r="3209" spans="1:4">
      <c r="A3209" s="15"/>
      <c r="B3209" s="15"/>
      <c r="C3209" s="697"/>
      <c r="D3209" s="914"/>
    </row>
    <row r="3210" spans="1:4">
      <c r="A3210" s="15"/>
      <c r="B3210" s="15"/>
      <c r="C3210" s="697"/>
      <c r="D3210" s="914"/>
    </row>
    <row r="3211" spans="1:4">
      <c r="A3211" s="15"/>
      <c r="B3211" s="15"/>
      <c r="C3211" s="697"/>
      <c r="D3211" s="914"/>
    </row>
    <row r="3212" spans="1:4">
      <c r="A3212" s="15"/>
      <c r="B3212" s="15"/>
      <c r="C3212" s="697"/>
      <c r="D3212" s="914"/>
    </row>
    <row r="3213" spans="1:4">
      <c r="A3213" s="15"/>
      <c r="B3213" s="15"/>
      <c r="C3213" s="697"/>
      <c r="D3213" s="914"/>
    </row>
    <row r="3214" spans="1:4">
      <c r="A3214" s="15"/>
      <c r="B3214" s="15"/>
      <c r="C3214" s="697"/>
      <c r="D3214" s="914"/>
    </row>
    <row r="3215" spans="1:4">
      <c r="A3215" s="15"/>
      <c r="B3215" s="15"/>
      <c r="C3215" s="697"/>
      <c r="D3215" s="914"/>
    </row>
    <row r="3216" spans="1:4">
      <c r="A3216" s="15"/>
      <c r="B3216" s="15"/>
      <c r="C3216" s="697"/>
      <c r="D3216" s="914"/>
    </row>
    <row r="3217" spans="1:4">
      <c r="A3217" s="15"/>
      <c r="B3217" s="15"/>
      <c r="C3217" s="697"/>
      <c r="D3217" s="914"/>
    </row>
    <row r="3218" spans="1:4">
      <c r="A3218" s="15"/>
      <c r="B3218" s="15"/>
      <c r="C3218" s="697"/>
      <c r="D3218" s="914"/>
    </row>
    <row r="3219" spans="1:4">
      <c r="A3219" s="15"/>
      <c r="B3219" s="15"/>
      <c r="C3219" s="697"/>
      <c r="D3219" s="914"/>
    </row>
    <row r="3220" spans="1:4">
      <c r="A3220" s="15"/>
      <c r="B3220" s="15"/>
      <c r="C3220" s="697"/>
      <c r="D3220" s="914"/>
    </row>
    <row r="3221" spans="1:4">
      <c r="A3221" s="15"/>
      <c r="B3221" s="15"/>
      <c r="C3221" s="697"/>
      <c r="D3221" s="914"/>
    </row>
    <row r="3222" spans="1:4">
      <c r="A3222" s="15"/>
      <c r="B3222" s="15"/>
      <c r="C3222" s="697"/>
      <c r="D3222" s="914"/>
    </row>
    <row r="3223" spans="1:4">
      <c r="A3223" s="15"/>
      <c r="B3223" s="15"/>
      <c r="C3223" s="697"/>
      <c r="D3223" s="914"/>
    </row>
    <row r="3224" spans="1:4">
      <c r="A3224" s="15"/>
      <c r="B3224" s="15"/>
      <c r="C3224" s="697"/>
      <c r="D3224" s="914"/>
    </row>
    <row r="3225" spans="1:4">
      <c r="A3225" s="15"/>
      <c r="B3225" s="15"/>
      <c r="C3225" s="697"/>
      <c r="D3225" s="914"/>
    </row>
    <row r="3226" spans="1:4">
      <c r="A3226" s="15"/>
      <c r="B3226" s="15"/>
      <c r="C3226" s="697"/>
      <c r="D3226" s="914"/>
    </row>
    <row r="3227" spans="1:4">
      <c r="A3227" s="15"/>
      <c r="B3227" s="15"/>
      <c r="C3227" s="697"/>
      <c r="D3227" s="914"/>
    </row>
    <row r="3228" spans="1:4">
      <c r="A3228" s="15"/>
      <c r="B3228" s="15"/>
      <c r="C3228" s="697"/>
      <c r="D3228" s="914"/>
    </row>
    <row r="3229" spans="1:4">
      <c r="A3229" s="15"/>
      <c r="B3229" s="15"/>
      <c r="C3229" s="697"/>
      <c r="D3229" s="914"/>
    </row>
    <row r="3230" spans="1:4">
      <c r="A3230" s="15"/>
      <c r="B3230" s="15"/>
      <c r="C3230" s="697"/>
      <c r="D3230" s="914"/>
    </row>
    <row r="3231" spans="1:4">
      <c r="A3231" s="15"/>
      <c r="B3231" s="15"/>
      <c r="C3231" s="697"/>
      <c r="D3231" s="914"/>
    </row>
    <row r="3232" spans="1:4">
      <c r="A3232" s="15"/>
      <c r="B3232" s="15"/>
      <c r="C3232" s="697"/>
      <c r="D3232" s="914"/>
    </row>
    <row r="3233" spans="1:4">
      <c r="A3233" s="15"/>
      <c r="B3233" s="15"/>
      <c r="C3233" s="697"/>
      <c r="D3233" s="914"/>
    </row>
    <row r="3234" spans="1:4">
      <c r="A3234" s="15"/>
      <c r="B3234" s="15"/>
      <c r="C3234" s="697"/>
      <c r="D3234" s="914"/>
    </row>
    <row r="3235" spans="1:4">
      <c r="A3235" s="15"/>
      <c r="B3235" s="15"/>
      <c r="C3235" s="697"/>
      <c r="D3235" s="914"/>
    </row>
    <row r="3236" spans="1:4">
      <c r="A3236" s="15"/>
      <c r="B3236" s="15"/>
      <c r="C3236" s="697"/>
      <c r="D3236" s="914"/>
    </row>
    <row r="3237" spans="1:4">
      <c r="A3237" s="15"/>
      <c r="B3237" s="15"/>
      <c r="C3237" s="697"/>
      <c r="D3237" s="914"/>
    </row>
    <row r="3238" spans="1:4">
      <c r="A3238" s="15"/>
      <c r="B3238" s="15"/>
      <c r="C3238" s="697"/>
      <c r="D3238" s="914"/>
    </row>
    <row r="3239" spans="1:4">
      <c r="A3239" s="15"/>
      <c r="B3239" s="15"/>
      <c r="C3239" s="697"/>
      <c r="D3239" s="914"/>
    </row>
    <row r="3240" spans="1:4">
      <c r="A3240" s="15"/>
      <c r="B3240" s="15"/>
      <c r="C3240" s="697"/>
      <c r="D3240" s="914"/>
    </row>
    <row r="3241" spans="1:4">
      <c r="A3241" s="15"/>
      <c r="B3241" s="15"/>
      <c r="C3241" s="697"/>
      <c r="D3241" s="914"/>
    </row>
    <row r="3242" spans="1:4">
      <c r="A3242" s="15"/>
      <c r="B3242" s="15"/>
      <c r="C3242" s="697"/>
      <c r="D3242" s="914"/>
    </row>
    <row r="3243" spans="1:4">
      <c r="A3243" s="15"/>
      <c r="B3243" s="15"/>
      <c r="C3243" s="697"/>
      <c r="D3243" s="914"/>
    </row>
    <row r="3244" spans="1:4">
      <c r="A3244" s="15"/>
      <c r="B3244" s="15"/>
      <c r="C3244" s="697"/>
      <c r="D3244" s="914"/>
    </row>
    <row r="3245" spans="1:4">
      <c r="A3245" s="15"/>
      <c r="B3245" s="15"/>
      <c r="C3245" s="697"/>
      <c r="D3245" s="914"/>
    </row>
    <row r="3246" spans="1:4">
      <c r="A3246" s="15"/>
      <c r="B3246" s="15"/>
      <c r="C3246" s="697"/>
      <c r="D3246" s="914"/>
    </row>
    <row r="3247" spans="1:4">
      <c r="A3247" s="15"/>
      <c r="B3247" s="15"/>
      <c r="C3247" s="697"/>
      <c r="D3247" s="914"/>
    </row>
    <row r="3248" spans="1:4">
      <c r="A3248" s="15"/>
      <c r="B3248" s="15"/>
      <c r="C3248" s="697"/>
      <c r="D3248" s="914"/>
    </row>
    <row r="3249" spans="1:4">
      <c r="A3249" s="15"/>
      <c r="B3249" s="15"/>
      <c r="C3249" s="697"/>
      <c r="D3249" s="914"/>
    </row>
    <row r="3250" spans="1:4">
      <c r="A3250" s="15"/>
      <c r="B3250" s="15"/>
      <c r="C3250" s="697"/>
      <c r="D3250" s="914"/>
    </row>
    <row r="3251" spans="1:4">
      <c r="A3251" s="15"/>
      <c r="B3251" s="15"/>
      <c r="C3251" s="697"/>
      <c r="D3251" s="914"/>
    </row>
    <row r="3252" spans="1:4">
      <c r="A3252" s="15"/>
      <c r="B3252" s="15"/>
      <c r="C3252" s="697"/>
      <c r="D3252" s="914"/>
    </row>
    <row r="3253" spans="1:4">
      <c r="A3253" s="15"/>
      <c r="B3253" s="15"/>
      <c r="C3253" s="697"/>
      <c r="D3253" s="914"/>
    </row>
    <row r="3254" spans="1:4">
      <c r="A3254" s="15"/>
      <c r="B3254" s="15"/>
      <c r="C3254" s="697"/>
      <c r="D3254" s="914"/>
    </row>
    <row r="3255" spans="1:4">
      <c r="A3255" s="15"/>
      <c r="B3255" s="15"/>
      <c r="C3255" s="697"/>
      <c r="D3255" s="914"/>
    </row>
    <row r="3256" spans="1:4">
      <c r="A3256" s="15"/>
      <c r="B3256" s="15"/>
      <c r="C3256" s="697"/>
      <c r="D3256" s="914"/>
    </row>
    <row r="3257" spans="1:4">
      <c r="A3257" s="15"/>
      <c r="B3257" s="15"/>
      <c r="C3257" s="697"/>
      <c r="D3257" s="914"/>
    </row>
    <row r="3258" spans="1:4">
      <c r="A3258" s="15"/>
      <c r="B3258" s="15"/>
      <c r="C3258" s="697"/>
      <c r="D3258" s="914"/>
    </row>
    <row r="3259" spans="1:4">
      <c r="A3259" s="15"/>
      <c r="B3259" s="15"/>
      <c r="C3259" s="697"/>
      <c r="D3259" s="914"/>
    </row>
    <row r="3260" spans="1:4">
      <c r="A3260" s="15"/>
      <c r="B3260" s="15"/>
      <c r="C3260" s="697"/>
      <c r="D3260" s="914"/>
    </row>
    <row r="3261" spans="1:4">
      <c r="A3261" s="15"/>
      <c r="B3261" s="15"/>
      <c r="C3261" s="697"/>
      <c r="D3261" s="914"/>
    </row>
    <row r="3262" spans="1:4">
      <c r="A3262" s="15"/>
      <c r="B3262" s="15"/>
      <c r="C3262" s="697"/>
      <c r="D3262" s="914"/>
    </row>
    <row r="3263" spans="1:4">
      <c r="A3263" s="15"/>
      <c r="B3263" s="15"/>
      <c r="C3263" s="697"/>
      <c r="D3263" s="914"/>
    </row>
    <row r="3264" spans="1:4">
      <c r="A3264" s="15"/>
      <c r="B3264" s="15"/>
      <c r="C3264" s="697"/>
      <c r="D3264" s="914"/>
    </row>
    <row r="3265" spans="1:4">
      <c r="A3265" s="15"/>
      <c r="B3265" s="15"/>
      <c r="C3265" s="697"/>
      <c r="D3265" s="914"/>
    </row>
    <row r="3266" spans="1:4">
      <c r="A3266" s="15"/>
      <c r="B3266" s="15"/>
      <c r="C3266" s="697"/>
      <c r="D3266" s="914"/>
    </row>
    <row r="3267" spans="1:4">
      <c r="A3267" s="15"/>
      <c r="B3267" s="15"/>
      <c r="C3267" s="697"/>
      <c r="D3267" s="914"/>
    </row>
    <row r="3268" spans="1:4">
      <c r="A3268" s="15"/>
      <c r="B3268" s="15"/>
      <c r="C3268" s="697"/>
      <c r="D3268" s="914"/>
    </row>
    <row r="3269" spans="1:4">
      <c r="A3269" s="15"/>
      <c r="B3269" s="15"/>
      <c r="C3269" s="697"/>
      <c r="D3269" s="914"/>
    </row>
    <row r="3270" spans="1:4">
      <c r="A3270" s="15"/>
      <c r="B3270" s="15"/>
      <c r="C3270" s="697"/>
      <c r="D3270" s="914"/>
    </row>
    <row r="3271" spans="1:4">
      <c r="A3271" s="15"/>
      <c r="B3271" s="15"/>
      <c r="C3271" s="697"/>
      <c r="D3271" s="914"/>
    </row>
    <row r="3272" spans="1:4">
      <c r="A3272" s="15"/>
      <c r="B3272" s="15"/>
      <c r="C3272" s="697"/>
      <c r="D3272" s="914"/>
    </row>
    <row r="3273" spans="1:4">
      <c r="A3273" s="15"/>
      <c r="B3273" s="15"/>
      <c r="C3273" s="697"/>
      <c r="D3273" s="914"/>
    </row>
    <row r="3274" spans="1:4">
      <c r="A3274" s="15"/>
      <c r="B3274" s="15"/>
      <c r="C3274" s="697"/>
      <c r="D3274" s="914"/>
    </row>
    <row r="3275" spans="1:4">
      <c r="A3275" s="15"/>
      <c r="B3275" s="15"/>
      <c r="C3275" s="697"/>
      <c r="D3275" s="914"/>
    </row>
    <row r="3276" spans="1:4">
      <c r="A3276" s="15"/>
      <c r="B3276" s="15"/>
      <c r="C3276" s="697"/>
      <c r="D3276" s="914"/>
    </row>
    <row r="3277" spans="1:4">
      <c r="A3277" s="15"/>
      <c r="B3277" s="15"/>
      <c r="C3277" s="697"/>
      <c r="D3277" s="914"/>
    </row>
    <row r="3278" spans="1:4">
      <c r="A3278" s="15"/>
      <c r="B3278" s="15"/>
      <c r="C3278" s="697"/>
      <c r="D3278" s="914"/>
    </row>
    <row r="3279" spans="1:4">
      <c r="A3279" s="15"/>
      <c r="B3279" s="15"/>
      <c r="C3279" s="697"/>
      <c r="D3279" s="914"/>
    </row>
    <row r="3280" spans="1:4">
      <c r="A3280" s="15"/>
      <c r="B3280" s="15"/>
      <c r="C3280" s="697"/>
      <c r="D3280" s="914"/>
    </row>
    <row r="3281" spans="1:4">
      <c r="A3281" s="15"/>
      <c r="B3281" s="15"/>
      <c r="C3281" s="697"/>
      <c r="D3281" s="914"/>
    </row>
    <row r="3282" spans="1:4">
      <c r="A3282" s="15"/>
      <c r="B3282" s="15"/>
      <c r="C3282" s="697"/>
      <c r="D3282" s="914"/>
    </row>
    <row r="3283" spans="1:4">
      <c r="A3283" s="15"/>
      <c r="B3283" s="15"/>
      <c r="C3283" s="697"/>
      <c r="D3283" s="914"/>
    </row>
    <row r="3284" spans="1:4">
      <c r="A3284" s="15"/>
      <c r="B3284" s="15"/>
      <c r="C3284" s="697"/>
      <c r="D3284" s="914"/>
    </row>
    <row r="3285" spans="1:4">
      <c r="A3285" s="15"/>
      <c r="B3285" s="15"/>
      <c r="C3285" s="697"/>
      <c r="D3285" s="914"/>
    </row>
    <row r="3286" spans="1:4">
      <c r="A3286" s="15"/>
      <c r="B3286" s="15"/>
      <c r="C3286" s="697"/>
      <c r="D3286" s="914"/>
    </row>
    <row r="3287" spans="1:4">
      <c r="A3287" s="15"/>
      <c r="B3287" s="15"/>
      <c r="C3287" s="697"/>
      <c r="D3287" s="914"/>
    </row>
    <row r="3288" spans="1:4">
      <c r="A3288" s="15"/>
      <c r="B3288" s="15"/>
      <c r="C3288" s="697"/>
      <c r="D3288" s="914"/>
    </row>
    <row r="3289" spans="1:4">
      <c r="A3289" s="15"/>
      <c r="B3289" s="15"/>
      <c r="C3289" s="697"/>
      <c r="D3289" s="914"/>
    </row>
    <row r="3290" spans="1:4">
      <c r="A3290" s="15"/>
      <c r="B3290" s="15"/>
      <c r="C3290" s="697"/>
      <c r="D3290" s="914"/>
    </row>
    <row r="3291" spans="1:4">
      <c r="A3291" s="15"/>
      <c r="B3291" s="15"/>
      <c r="C3291" s="697"/>
      <c r="D3291" s="914"/>
    </row>
    <row r="3292" spans="1:4">
      <c r="A3292" s="15"/>
      <c r="B3292" s="15"/>
      <c r="C3292" s="697"/>
      <c r="D3292" s="914"/>
    </row>
    <row r="3293" spans="1:4">
      <c r="A3293" s="15"/>
      <c r="B3293" s="15"/>
      <c r="C3293" s="697"/>
      <c r="D3293" s="914"/>
    </row>
    <row r="3294" spans="1:4">
      <c r="A3294" s="15"/>
      <c r="B3294" s="15"/>
      <c r="C3294" s="697"/>
      <c r="D3294" s="914"/>
    </row>
    <row r="3295" spans="1:4">
      <c r="A3295" s="15"/>
      <c r="B3295" s="15"/>
      <c r="C3295" s="697"/>
      <c r="D3295" s="914"/>
    </row>
    <row r="3296" spans="1:4">
      <c r="A3296" s="15"/>
      <c r="B3296" s="15"/>
      <c r="C3296" s="697"/>
      <c r="D3296" s="914"/>
    </row>
    <row r="3297" spans="1:4">
      <c r="A3297" s="15"/>
      <c r="B3297" s="15"/>
      <c r="C3297" s="697"/>
      <c r="D3297" s="914"/>
    </row>
    <row r="3298" spans="1:4">
      <c r="A3298" s="15"/>
      <c r="B3298" s="15"/>
      <c r="C3298" s="697"/>
      <c r="D3298" s="914"/>
    </row>
    <row r="3299" spans="1:4">
      <c r="A3299" s="15"/>
      <c r="B3299" s="15"/>
      <c r="C3299" s="697"/>
      <c r="D3299" s="914"/>
    </row>
    <row r="3300" spans="1:4">
      <c r="A3300" s="15"/>
      <c r="B3300" s="15"/>
      <c r="C3300" s="697"/>
      <c r="D3300" s="914"/>
    </row>
    <row r="3301" spans="1:4">
      <c r="A3301" s="15"/>
      <c r="B3301" s="15"/>
      <c r="C3301" s="697"/>
      <c r="D3301" s="914"/>
    </row>
    <row r="3302" spans="1:4">
      <c r="A3302" s="15"/>
      <c r="B3302" s="15"/>
      <c r="C3302" s="697"/>
      <c r="D3302" s="914"/>
    </row>
    <row r="3303" spans="1:4">
      <c r="A3303" s="15"/>
      <c r="B3303" s="15"/>
      <c r="C3303" s="697"/>
      <c r="D3303" s="914"/>
    </row>
    <row r="3304" spans="1:4">
      <c r="A3304" s="15"/>
      <c r="B3304" s="15"/>
      <c r="C3304" s="697"/>
      <c r="D3304" s="914"/>
    </row>
    <row r="3305" spans="1:4">
      <c r="A3305" s="15"/>
      <c r="B3305" s="15"/>
      <c r="C3305" s="697"/>
      <c r="D3305" s="914"/>
    </row>
    <row r="3306" spans="1:4">
      <c r="A3306" s="15"/>
      <c r="B3306" s="15"/>
      <c r="C3306" s="697"/>
      <c r="D3306" s="914"/>
    </row>
    <row r="3307" spans="1:4">
      <c r="A3307" s="15"/>
      <c r="B3307" s="15"/>
      <c r="C3307" s="697"/>
      <c r="D3307" s="914"/>
    </row>
    <row r="3308" spans="1:4">
      <c r="A3308" s="15"/>
      <c r="B3308" s="15"/>
      <c r="C3308" s="697"/>
      <c r="D3308" s="914"/>
    </row>
    <row r="3309" spans="1:4">
      <c r="A3309" s="15"/>
      <c r="B3309" s="15"/>
      <c r="C3309" s="697"/>
      <c r="D3309" s="914"/>
    </row>
    <row r="3310" spans="1:4">
      <c r="A3310" s="15"/>
      <c r="B3310" s="15"/>
      <c r="C3310" s="697"/>
      <c r="D3310" s="914"/>
    </row>
    <row r="3311" spans="1:4">
      <c r="A3311" s="15"/>
      <c r="B3311" s="15"/>
      <c r="C3311" s="697"/>
      <c r="D3311" s="914"/>
    </row>
    <row r="3312" spans="1:4">
      <c r="A3312" s="15"/>
      <c r="B3312" s="15"/>
      <c r="C3312" s="697"/>
      <c r="D3312" s="914"/>
    </row>
    <row r="3313" spans="1:4">
      <c r="A3313" s="15"/>
      <c r="B3313" s="15"/>
      <c r="C3313" s="697"/>
      <c r="D3313" s="914"/>
    </row>
    <row r="3314" spans="1:4">
      <c r="A3314" s="15"/>
      <c r="B3314" s="15"/>
      <c r="C3314" s="697"/>
      <c r="D3314" s="914"/>
    </row>
    <row r="3315" spans="1:4">
      <c r="A3315" s="15"/>
      <c r="B3315" s="15"/>
      <c r="C3315" s="697"/>
      <c r="D3315" s="914"/>
    </row>
    <row r="3316" spans="1:4">
      <c r="A3316" s="15"/>
      <c r="B3316" s="15"/>
      <c r="C3316" s="697"/>
      <c r="D3316" s="914"/>
    </row>
    <row r="3317" spans="1:4">
      <c r="A3317" s="15"/>
      <c r="B3317" s="15"/>
      <c r="C3317" s="697"/>
      <c r="D3317" s="914"/>
    </row>
    <row r="3318" spans="1:4">
      <c r="A3318" s="15"/>
      <c r="B3318" s="15"/>
      <c r="C3318" s="697"/>
      <c r="D3318" s="914"/>
    </row>
    <row r="3319" spans="1:4">
      <c r="A3319" s="15"/>
      <c r="B3319" s="15"/>
      <c r="C3319" s="697"/>
      <c r="D3319" s="914"/>
    </row>
    <row r="3320" spans="1:4">
      <c r="A3320" s="15"/>
      <c r="B3320" s="15"/>
      <c r="C3320" s="697"/>
      <c r="D3320" s="914"/>
    </row>
    <row r="3321" spans="1:4">
      <c r="A3321" s="15"/>
      <c r="B3321" s="15"/>
      <c r="C3321" s="697"/>
      <c r="D3321" s="914"/>
    </row>
    <row r="3322" spans="1:4">
      <c r="A3322" s="15"/>
      <c r="B3322" s="15"/>
      <c r="C3322" s="697"/>
      <c r="D3322" s="914"/>
    </row>
    <row r="3323" spans="1:4">
      <c r="A3323" s="15"/>
      <c r="B3323" s="15"/>
      <c r="C3323" s="697"/>
      <c r="D3323" s="914"/>
    </row>
    <row r="3324" spans="1:4">
      <c r="A3324" s="15"/>
      <c r="B3324" s="15"/>
      <c r="C3324" s="697"/>
      <c r="D3324" s="914"/>
    </row>
    <row r="3325" spans="1:4">
      <c r="A3325" s="15"/>
      <c r="B3325" s="15"/>
      <c r="C3325" s="697"/>
      <c r="D3325" s="914"/>
    </row>
    <row r="3326" spans="1:4">
      <c r="A3326" s="15"/>
      <c r="B3326" s="15"/>
      <c r="C3326" s="697"/>
      <c r="D3326" s="914"/>
    </row>
    <row r="3327" spans="1:4">
      <c r="A3327" s="15"/>
      <c r="B3327" s="15"/>
      <c r="C3327" s="697"/>
      <c r="D3327" s="914"/>
    </row>
    <row r="3328" spans="1:4">
      <c r="A3328" s="15"/>
      <c r="B3328" s="15"/>
      <c r="C3328" s="697"/>
      <c r="D3328" s="914"/>
    </row>
    <row r="3329" spans="1:4">
      <c r="A3329" s="15"/>
      <c r="B3329" s="15"/>
      <c r="C3329" s="697"/>
      <c r="D3329" s="914"/>
    </row>
    <row r="3330" spans="1:4">
      <c r="A3330" s="15"/>
      <c r="B3330" s="15"/>
      <c r="C3330" s="697"/>
      <c r="D3330" s="914"/>
    </row>
    <row r="3331" spans="1:4">
      <c r="A3331" s="15"/>
      <c r="B3331" s="15"/>
      <c r="C3331" s="697"/>
      <c r="D3331" s="914"/>
    </row>
    <row r="3332" spans="1:4">
      <c r="A3332" s="15"/>
      <c r="B3332" s="15"/>
      <c r="C3332" s="697"/>
      <c r="D3332" s="914"/>
    </row>
    <row r="3333" spans="1:4">
      <c r="A3333" s="15"/>
      <c r="B3333" s="15"/>
      <c r="C3333" s="697"/>
      <c r="D3333" s="914"/>
    </row>
    <row r="3334" spans="1:4">
      <c r="A3334" s="15"/>
      <c r="B3334" s="15"/>
      <c r="C3334" s="697"/>
      <c r="D3334" s="914"/>
    </row>
    <row r="3335" spans="1:4">
      <c r="A3335" s="15"/>
      <c r="B3335" s="15"/>
      <c r="C3335" s="697"/>
      <c r="D3335" s="914"/>
    </row>
    <row r="3336" spans="1:4">
      <c r="A3336" s="15"/>
      <c r="B3336" s="15"/>
      <c r="C3336" s="697"/>
      <c r="D3336" s="914"/>
    </row>
    <row r="3337" spans="1:4">
      <c r="A3337" s="15"/>
      <c r="B3337" s="15"/>
      <c r="C3337" s="697"/>
      <c r="D3337" s="914"/>
    </row>
    <row r="3338" spans="1:4">
      <c r="A3338" s="15"/>
      <c r="B3338" s="15"/>
      <c r="C3338" s="697"/>
      <c r="D3338" s="914"/>
    </row>
    <row r="3339" spans="1:4">
      <c r="A3339" s="15"/>
      <c r="B3339" s="15"/>
      <c r="C3339" s="697"/>
      <c r="D3339" s="914"/>
    </row>
    <row r="3340" spans="1:4">
      <c r="A3340" s="15"/>
      <c r="B3340" s="15"/>
      <c r="C3340" s="697"/>
      <c r="D3340" s="914"/>
    </row>
    <row r="3341" spans="1:4">
      <c r="A3341" s="15"/>
      <c r="B3341" s="15"/>
      <c r="C3341" s="697"/>
      <c r="D3341" s="914"/>
    </row>
    <row r="3342" spans="1:4">
      <c r="A3342" s="15"/>
      <c r="B3342" s="15"/>
      <c r="C3342" s="697"/>
      <c r="D3342" s="914"/>
    </row>
    <row r="3343" spans="1:4">
      <c r="A3343" s="15"/>
      <c r="B3343" s="15"/>
      <c r="C3343" s="697"/>
      <c r="D3343" s="914"/>
    </row>
    <row r="3344" spans="1:4">
      <c r="A3344" s="15"/>
      <c r="B3344" s="15"/>
      <c r="C3344" s="697"/>
      <c r="D3344" s="914"/>
    </row>
    <row r="3345" spans="1:4">
      <c r="A3345" s="15"/>
      <c r="B3345" s="15"/>
      <c r="C3345" s="697"/>
      <c r="D3345" s="914"/>
    </row>
    <row r="3346" spans="1:4">
      <c r="A3346" s="15"/>
      <c r="B3346" s="15"/>
      <c r="C3346" s="697"/>
      <c r="D3346" s="914"/>
    </row>
    <row r="3347" spans="1:4">
      <c r="A3347" s="15"/>
      <c r="B3347" s="15"/>
      <c r="C3347" s="697"/>
      <c r="D3347" s="914"/>
    </row>
    <row r="3348" spans="1:4">
      <c r="A3348" s="15"/>
      <c r="B3348" s="15"/>
      <c r="C3348" s="697"/>
      <c r="D3348" s="914"/>
    </row>
    <row r="3349" spans="1:4">
      <c r="A3349" s="15"/>
      <c r="B3349" s="15"/>
      <c r="C3349" s="697"/>
      <c r="D3349" s="914"/>
    </row>
    <row r="3350" spans="1:4">
      <c r="A3350" s="15"/>
      <c r="B3350" s="15"/>
      <c r="C3350" s="697"/>
      <c r="D3350" s="914"/>
    </row>
    <row r="3351" spans="1:4">
      <c r="A3351" s="15"/>
      <c r="B3351" s="15"/>
      <c r="C3351" s="697"/>
      <c r="D3351" s="914"/>
    </row>
    <row r="3352" spans="1:4">
      <c r="A3352" s="15"/>
      <c r="B3352" s="15"/>
      <c r="C3352" s="697"/>
      <c r="D3352" s="914"/>
    </row>
    <row r="3353" spans="1:4">
      <c r="A3353" s="15"/>
      <c r="B3353" s="15"/>
      <c r="C3353" s="697"/>
      <c r="D3353" s="914"/>
    </row>
    <row r="3354" spans="1:4">
      <c r="A3354" s="15"/>
      <c r="B3354" s="15"/>
      <c r="C3354" s="697"/>
      <c r="D3354" s="914"/>
    </row>
    <row r="3355" spans="1:4">
      <c r="A3355" s="15"/>
      <c r="B3355" s="15"/>
      <c r="C3355" s="697"/>
      <c r="D3355" s="914"/>
    </row>
    <row r="3356" spans="1:4">
      <c r="A3356" s="15"/>
      <c r="B3356" s="15"/>
      <c r="C3356" s="697"/>
      <c r="D3356" s="914"/>
    </row>
    <row r="3357" spans="1:4">
      <c r="A3357" s="15"/>
      <c r="B3357" s="15"/>
      <c r="C3357" s="697"/>
      <c r="D3357" s="914"/>
    </row>
    <row r="3358" spans="1:4">
      <c r="A3358" s="15"/>
      <c r="B3358" s="15"/>
      <c r="C3358" s="697"/>
      <c r="D3358" s="914"/>
    </row>
    <row r="3359" spans="1:4">
      <c r="A3359" s="15"/>
      <c r="B3359" s="15"/>
      <c r="C3359" s="697"/>
      <c r="D3359" s="914"/>
    </row>
    <row r="3360" spans="1:4">
      <c r="A3360" s="15"/>
      <c r="B3360" s="15"/>
      <c r="C3360" s="697"/>
      <c r="D3360" s="914"/>
    </row>
    <row r="3361" spans="1:4">
      <c r="A3361" s="15"/>
      <c r="B3361" s="15"/>
      <c r="C3361" s="697"/>
      <c r="D3361" s="914"/>
    </row>
    <row r="3362" spans="1:4">
      <c r="A3362" s="15"/>
      <c r="B3362" s="15"/>
      <c r="C3362" s="697"/>
      <c r="D3362" s="914"/>
    </row>
    <row r="3363" spans="1:4">
      <c r="A3363" s="15"/>
      <c r="B3363" s="15"/>
      <c r="C3363" s="697"/>
      <c r="D3363" s="914"/>
    </row>
    <row r="3364" spans="1:4">
      <c r="A3364" s="15"/>
      <c r="B3364" s="15"/>
      <c r="C3364" s="697"/>
      <c r="D3364" s="914"/>
    </row>
    <row r="3365" spans="1:4">
      <c r="A3365" s="15"/>
      <c r="B3365" s="15"/>
      <c r="C3365" s="697"/>
      <c r="D3365" s="914"/>
    </row>
    <row r="3366" spans="1:4">
      <c r="A3366" s="15"/>
      <c r="B3366" s="15"/>
      <c r="C3366" s="697"/>
      <c r="D3366" s="914"/>
    </row>
    <row r="3367" spans="1:4">
      <c r="A3367" s="15"/>
      <c r="B3367" s="15"/>
      <c r="C3367" s="697"/>
      <c r="D3367" s="914"/>
    </row>
    <row r="3368" spans="1:4">
      <c r="A3368" s="15"/>
      <c r="B3368" s="15"/>
      <c r="C3368" s="697"/>
      <c r="D3368" s="914"/>
    </row>
    <row r="3369" spans="1:4">
      <c r="A3369" s="15"/>
      <c r="B3369" s="15"/>
      <c r="C3369" s="697"/>
      <c r="D3369" s="914"/>
    </row>
    <row r="3370" spans="1:4">
      <c r="A3370" s="15"/>
      <c r="B3370" s="15"/>
      <c r="C3370" s="697"/>
      <c r="D3370" s="914"/>
    </row>
    <row r="3371" spans="1:4">
      <c r="A3371" s="15"/>
      <c r="B3371" s="15"/>
      <c r="C3371" s="697"/>
      <c r="D3371" s="914"/>
    </row>
    <row r="3372" spans="1:4">
      <c r="A3372" s="15"/>
      <c r="B3372" s="15"/>
      <c r="C3372" s="697"/>
      <c r="D3372" s="914"/>
    </row>
    <row r="3373" spans="1:4">
      <c r="A3373" s="15"/>
      <c r="B3373" s="15"/>
      <c r="C3373" s="697"/>
      <c r="D3373" s="914"/>
    </row>
    <row r="3374" spans="1:4">
      <c r="A3374" s="15"/>
      <c r="B3374" s="15"/>
      <c r="C3374" s="697"/>
      <c r="D3374" s="914"/>
    </row>
    <row r="3375" spans="1:4">
      <c r="A3375" s="15"/>
      <c r="B3375" s="15"/>
      <c r="C3375" s="697"/>
      <c r="D3375" s="914"/>
    </row>
    <row r="3376" spans="1:4">
      <c r="A3376" s="15"/>
      <c r="B3376" s="15"/>
      <c r="C3376" s="697"/>
      <c r="D3376" s="914"/>
    </row>
    <row r="3377" spans="1:4">
      <c r="A3377" s="15"/>
      <c r="B3377" s="15"/>
      <c r="C3377" s="697"/>
      <c r="D3377" s="914"/>
    </row>
    <row r="3378" spans="1:4">
      <c r="A3378" s="15"/>
      <c r="B3378" s="15"/>
      <c r="C3378" s="697"/>
      <c r="D3378" s="914"/>
    </row>
    <row r="3379" spans="1:4">
      <c r="A3379" s="15"/>
      <c r="B3379" s="15"/>
      <c r="C3379" s="697"/>
      <c r="D3379" s="914"/>
    </row>
    <row r="3380" spans="1:4">
      <c r="A3380" s="15"/>
      <c r="B3380" s="15"/>
      <c r="C3380" s="697"/>
      <c r="D3380" s="914"/>
    </row>
    <row r="3381" spans="1:4">
      <c r="A3381" s="15"/>
      <c r="B3381" s="15"/>
      <c r="C3381" s="697"/>
      <c r="D3381" s="914"/>
    </row>
    <row r="3382" spans="1:4">
      <c r="A3382" s="15"/>
      <c r="B3382" s="15"/>
      <c r="C3382" s="697"/>
      <c r="D3382" s="914"/>
    </row>
    <row r="3383" spans="1:4">
      <c r="A3383" s="15"/>
      <c r="B3383" s="15"/>
      <c r="C3383" s="697"/>
      <c r="D3383" s="914"/>
    </row>
    <row r="3384" spans="1:4">
      <c r="A3384" s="15"/>
      <c r="B3384" s="15"/>
      <c r="C3384" s="697"/>
      <c r="D3384" s="914"/>
    </row>
    <row r="3385" spans="1:4">
      <c r="A3385" s="15"/>
      <c r="B3385" s="15"/>
      <c r="C3385" s="697"/>
      <c r="D3385" s="914"/>
    </row>
    <row r="3386" spans="1:4">
      <c r="A3386" s="15"/>
      <c r="B3386" s="15"/>
      <c r="C3386" s="697"/>
      <c r="D3386" s="914"/>
    </row>
    <row r="3387" spans="1:4">
      <c r="A3387" s="15"/>
      <c r="B3387" s="15"/>
      <c r="C3387" s="697"/>
      <c r="D3387" s="914"/>
    </row>
    <row r="3388" spans="1:4">
      <c r="A3388" s="15"/>
      <c r="B3388" s="15"/>
      <c r="C3388" s="697"/>
      <c r="D3388" s="914"/>
    </row>
    <row r="3389" spans="1:4">
      <c r="A3389" s="15"/>
      <c r="B3389" s="15"/>
      <c r="C3389" s="697"/>
      <c r="D3389" s="914"/>
    </row>
    <row r="3390" spans="1:4">
      <c r="A3390" s="15"/>
      <c r="B3390" s="15"/>
      <c r="C3390" s="697"/>
      <c r="D3390" s="914"/>
    </row>
    <row r="3391" spans="1:4">
      <c r="A3391" s="15"/>
      <c r="B3391" s="15"/>
      <c r="C3391" s="697"/>
      <c r="D3391" s="914"/>
    </row>
    <row r="3392" spans="1:4">
      <c r="A3392" s="15"/>
      <c r="B3392" s="15"/>
      <c r="C3392" s="697"/>
      <c r="D3392" s="914"/>
    </row>
    <row r="3393" spans="1:4">
      <c r="A3393" s="15"/>
      <c r="B3393" s="15"/>
      <c r="C3393" s="697"/>
      <c r="D3393" s="914"/>
    </row>
    <row r="3394" spans="1:4">
      <c r="A3394" s="15"/>
      <c r="B3394" s="15"/>
      <c r="C3394" s="697"/>
      <c r="D3394" s="914"/>
    </row>
    <row r="3395" spans="1:4">
      <c r="A3395" s="15"/>
      <c r="B3395" s="15"/>
      <c r="C3395" s="697"/>
      <c r="D3395" s="914"/>
    </row>
    <row r="3396" spans="1:4">
      <c r="A3396" s="15"/>
      <c r="B3396" s="15"/>
      <c r="C3396" s="697"/>
      <c r="D3396" s="914"/>
    </row>
    <row r="3397" spans="1:4">
      <c r="A3397" s="15"/>
      <c r="B3397" s="15"/>
      <c r="C3397" s="697"/>
      <c r="D3397" s="914"/>
    </row>
    <row r="3398" spans="1:4">
      <c r="A3398" s="15"/>
      <c r="B3398" s="15"/>
      <c r="C3398" s="697"/>
      <c r="D3398" s="914"/>
    </row>
    <row r="3399" spans="1:4">
      <c r="A3399" s="15"/>
      <c r="B3399" s="15"/>
      <c r="C3399" s="697"/>
      <c r="D3399" s="914"/>
    </row>
    <row r="3400" spans="1:4">
      <c r="A3400" s="15"/>
      <c r="B3400" s="15"/>
      <c r="C3400" s="697"/>
      <c r="D3400" s="914"/>
    </row>
    <row r="3401" spans="1:4">
      <c r="A3401" s="15"/>
      <c r="B3401" s="15"/>
      <c r="C3401" s="697"/>
      <c r="D3401" s="914"/>
    </row>
    <row r="3402" spans="1:4">
      <c r="A3402" s="15"/>
      <c r="B3402" s="15"/>
      <c r="C3402" s="697"/>
      <c r="D3402" s="914"/>
    </row>
    <row r="3403" spans="1:4">
      <c r="A3403" s="15"/>
      <c r="B3403" s="15"/>
      <c r="C3403" s="697"/>
      <c r="D3403" s="914"/>
    </row>
    <row r="3404" spans="1:4">
      <c r="A3404" s="15"/>
      <c r="B3404" s="15"/>
      <c r="C3404" s="697"/>
      <c r="D3404" s="914"/>
    </row>
    <row r="3405" spans="1:4">
      <c r="A3405" s="15"/>
      <c r="B3405" s="15"/>
      <c r="C3405" s="697"/>
      <c r="D3405" s="914"/>
    </row>
    <row r="3406" spans="1:4">
      <c r="A3406" s="15"/>
      <c r="B3406" s="15"/>
      <c r="C3406" s="697"/>
      <c r="D3406" s="914"/>
    </row>
    <row r="3407" spans="1:4">
      <c r="A3407" s="15"/>
      <c r="B3407" s="15"/>
      <c r="C3407" s="697"/>
      <c r="D3407" s="914"/>
    </row>
    <row r="3408" spans="1:4">
      <c r="A3408" s="15"/>
      <c r="B3408" s="15"/>
      <c r="C3408" s="697"/>
      <c r="D3408" s="914"/>
    </row>
    <row r="3409" spans="1:4">
      <c r="A3409" s="15"/>
      <c r="B3409" s="15"/>
      <c r="C3409" s="697"/>
      <c r="D3409" s="914"/>
    </row>
    <row r="3410" spans="1:4">
      <c r="A3410" s="15"/>
      <c r="B3410" s="15"/>
      <c r="C3410" s="697"/>
      <c r="D3410" s="914"/>
    </row>
    <row r="3411" spans="1:4">
      <c r="A3411" s="15"/>
      <c r="B3411" s="15"/>
      <c r="C3411" s="697"/>
      <c r="D3411" s="914"/>
    </row>
    <row r="3412" spans="1:4">
      <c r="A3412" s="15"/>
      <c r="B3412" s="15"/>
      <c r="C3412" s="697"/>
      <c r="D3412" s="914"/>
    </row>
    <row r="3413" spans="1:4">
      <c r="A3413" s="15"/>
      <c r="B3413" s="15"/>
      <c r="C3413" s="697"/>
      <c r="D3413" s="914"/>
    </row>
    <row r="3414" spans="1:4">
      <c r="A3414" s="15"/>
      <c r="B3414" s="15"/>
      <c r="C3414" s="697"/>
      <c r="D3414" s="914"/>
    </row>
    <row r="3415" spans="1:4">
      <c r="A3415" s="15"/>
      <c r="B3415" s="15"/>
      <c r="C3415" s="697"/>
      <c r="D3415" s="914"/>
    </row>
    <row r="3416" spans="1:4">
      <c r="A3416" s="15"/>
      <c r="B3416" s="15"/>
      <c r="C3416" s="697"/>
      <c r="D3416" s="914"/>
    </row>
    <row r="3417" spans="1:4">
      <c r="A3417" s="15"/>
      <c r="B3417" s="15"/>
      <c r="C3417" s="697"/>
      <c r="D3417" s="914"/>
    </row>
    <row r="3418" spans="1:4">
      <c r="A3418" s="15"/>
      <c r="B3418" s="15"/>
      <c r="C3418" s="697"/>
      <c r="D3418" s="914"/>
    </row>
    <row r="3419" spans="1:4">
      <c r="A3419" s="15"/>
      <c r="B3419" s="15"/>
      <c r="C3419" s="697"/>
      <c r="D3419" s="914"/>
    </row>
    <row r="3420" spans="1:4">
      <c r="A3420" s="15"/>
      <c r="B3420" s="15"/>
      <c r="C3420" s="697"/>
      <c r="D3420" s="914"/>
    </row>
    <row r="3421" spans="1:4">
      <c r="A3421" s="15"/>
      <c r="B3421" s="15"/>
      <c r="C3421" s="697"/>
      <c r="D3421" s="914"/>
    </row>
    <row r="3422" spans="1:4">
      <c r="A3422" s="15"/>
      <c r="B3422" s="15"/>
      <c r="C3422" s="697"/>
      <c r="D3422" s="914"/>
    </row>
    <row r="3423" spans="1:4">
      <c r="A3423" s="15"/>
      <c r="B3423" s="15"/>
      <c r="C3423" s="697"/>
      <c r="D3423" s="914"/>
    </row>
    <row r="3424" spans="1:4">
      <c r="A3424" s="15"/>
      <c r="B3424" s="15"/>
      <c r="C3424" s="697"/>
      <c r="D3424" s="914"/>
    </row>
    <row r="3425" spans="1:4">
      <c r="A3425" s="15"/>
      <c r="B3425" s="15"/>
      <c r="C3425" s="697"/>
      <c r="D3425" s="914"/>
    </row>
    <row r="3426" spans="1:4">
      <c r="A3426" s="15"/>
      <c r="B3426" s="15"/>
      <c r="C3426" s="697"/>
      <c r="D3426" s="914"/>
    </row>
    <row r="3427" spans="1:4">
      <c r="A3427" s="15"/>
      <c r="B3427" s="15"/>
      <c r="C3427" s="697"/>
      <c r="D3427" s="914"/>
    </row>
    <row r="3428" spans="1:4">
      <c r="A3428" s="15"/>
      <c r="B3428" s="15"/>
      <c r="C3428" s="697"/>
      <c r="D3428" s="914"/>
    </row>
    <row r="3429" spans="1:4">
      <c r="A3429" s="15"/>
      <c r="B3429" s="15"/>
      <c r="C3429" s="697"/>
      <c r="D3429" s="914"/>
    </row>
    <row r="3430" spans="1:4">
      <c r="A3430" s="15"/>
      <c r="B3430" s="15"/>
      <c r="C3430" s="697"/>
      <c r="D3430" s="914"/>
    </row>
    <row r="3431" spans="1:4">
      <c r="A3431" s="15"/>
      <c r="B3431" s="15"/>
      <c r="C3431" s="697"/>
      <c r="D3431" s="914"/>
    </row>
    <row r="3432" spans="1:4">
      <c r="A3432" s="15"/>
      <c r="B3432" s="15"/>
      <c r="C3432" s="697"/>
      <c r="D3432" s="914"/>
    </row>
    <row r="3433" spans="1:4">
      <c r="A3433" s="15"/>
      <c r="B3433" s="15"/>
      <c r="C3433" s="697"/>
      <c r="D3433" s="914"/>
    </row>
    <row r="3434" spans="1:4">
      <c r="A3434" s="15"/>
      <c r="B3434" s="15"/>
      <c r="C3434" s="697"/>
      <c r="D3434" s="914"/>
    </row>
    <row r="3435" spans="1:4">
      <c r="A3435" s="15"/>
      <c r="B3435" s="15"/>
      <c r="C3435" s="697"/>
      <c r="D3435" s="914"/>
    </row>
    <row r="3436" spans="1:4">
      <c r="A3436" s="15"/>
      <c r="B3436" s="15"/>
      <c r="C3436" s="697"/>
      <c r="D3436" s="914"/>
    </row>
    <row r="3437" spans="1:4">
      <c r="A3437" s="15"/>
      <c r="B3437" s="15"/>
      <c r="C3437" s="697"/>
      <c r="D3437" s="914"/>
    </row>
    <row r="3438" spans="1:4">
      <c r="A3438" s="15"/>
      <c r="B3438" s="15"/>
      <c r="C3438" s="697"/>
      <c r="D3438" s="914"/>
    </row>
    <row r="3439" spans="1:4">
      <c r="A3439" s="15"/>
      <c r="B3439" s="15"/>
      <c r="C3439" s="697"/>
      <c r="D3439" s="914"/>
    </row>
    <row r="3440" spans="1:4">
      <c r="A3440" s="15"/>
      <c r="B3440" s="15"/>
      <c r="C3440" s="697"/>
      <c r="D3440" s="914"/>
    </row>
    <row r="3441" spans="1:4">
      <c r="A3441" s="15"/>
      <c r="B3441" s="15"/>
      <c r="C3441" s="697"/>
      <c r="D3441" s="914"/>
    </row>
    <row r="3442" spans="1:4">
      <c r="A3442" s="15"/>
      <c r="B3442" s="15"/>
      <c r="C3442" s="697"/>
      <c r="D3442" s="914"/>
    </row>
    <row r="3443" spans="1:4">
      <c r="A3443" s="15"/>
      <c r="B3443" s="15"/>
      <c r="C3443" s="697"/>
      <c r="D3443" s="914"/>
    </row>
    <row r="3444" spans="1:4">
      <c r="A3444" s="15"/>
      <c r="B3444" s="15"/>
      <c r="C3444" s="697"/>
      <c r="D3444" s="914"/>
    </row>
    <row r="3445" spans="1:4">
      <c r="A3445" s="15"/>
      <c r="B3445" s="15"/>
      <c r="C3445" s="697"/>
      <c r="D3445" s="914"/>
    </row>
    <row r="3446" spans="1:4">
      <c r="A3446" s="15"/>
      <c r="B3446" s="15"/>
      <c r="C3446" s="697"/>
      <c r="D3446" s="914"/>
    </row>
    <row r="3447" spans="1:4">
      <c r="A3447" s="15"/>
      <c r="B3447" s="15"/>
      <c r="C3447" s="697"/>
      <c r="D3447" s="914"/>
    </row>
    <row r="3448" spans="1:4">
      <c r="A3448" s="15"/>
      <c r="B3448" s="15"/>
      <c r="C3448" s="697"/>
      <c r="D3448" s="914"/>
    </row>
    <row r="3449" spans="1:4">
      <c r="A3449" s="15"/>
      <c r="B3449" s="15"/>
      <c r="C3449" s="697"/>
      <c r="D3449" s="914"/>
    </row>
    <row r="3450" spans="1:4">
      <c r="A3450" s="15"/>
      <c r="B3450" s="15"/>
      <c r="C3450" s="697"/>
      <c r="D3450" s="914"/>
    </row>
    <row r="3451" spans="1:4">
      <c r="A3451" s="15"/>
      <c r="B3451" s="15"/>
      <c r="C3451" s="697"/>
      <c r="D3451" s="914"/>
    </row>
    <row r="3452" spans="1:4">
      <c r="A3452" s="15"/>
      <c r="B3452" s="15"/>
      <c r="C3452" s="697"/>
      <c r="D3452" s="914"/>
    </row>
    <row r="3453" spans="1:4">
      <c r="A3453" s="15"/>
      <c r="B3453" s="15"/>
      <c r="C3453" s="697"/>
      <c r="D3453" s="914"/>
    </row>
    <row r="3454" spans="1:4">
      <c r="A3454" s="15"/>
      <c r="B3454" s="15"/>
      <c r="C3454" s="697"/>
      <c r="D3454" s="914"/>
    </row>
    <row r="3455" spans="1:4">
      <c r="A3455" s="15"/>
      <c r="B3455" s="15"/>
      <c r="C3455" s="697"/>
      <c r="D3455" s="914"/>
    </row>
    <row r="3456" spans="1:4">
      <c r="A3456" s="15"/>
      <c r="B3456" s="15"/>
      <c r="C3456" s="697"/>
      <c r="D3456" s="914"/>
    </row>
    <row r="3457" spans="1:4">
      <c r="A3457" s="15"/>
      <c r="B3457" s="15"/>
      <c r="C3457" s="697"/>
      <c r="D3457" s="914"/>
    </row>
    <row r="3458" spans="1:4">
      <c r="A3458" s="15"/>
      <c r="B3458" s="15"/>
      <c r="C3458" s="697"/>
      <c r="D3458" s="914"/>
    </row>
    <row r="3459" spans="1:4">
      <c r="A3459" s="15"/>
      <c r="B3459" s="15"/>
      <c r="C3459" s="697"/>
      <c r="D3459" s="914"/>
    </row>
    <row r="3460" spans="1:4">
      <c r="A3460" s="15"/>
      <c r="B3460" s="15"/>
      <c r="C3460" s="697"/>
      <c r="D3460" s="914"/>
    </row>
    <row r="3461" spans="1:4">
      <c r="A3461" s="15"/>
      <c r="B3461" s="15"/>
      <c r="C3461" s="697"/>
      <c r="D3461" s="914"/>
    </row>
    <row r="3462" spans="1:4">
      <c r="A3462" s="15"/>
      <c r="B3462" s="15"/>
      <c r="C3462" s="697"/>
      <c r="D3462" s="914"/>
    </row>
    <row r="3463" spans="1:4">
      <c r="A3463" s="15"/>
      <c r="B3463" s="15"/>
      <c r="C3463" s="697"/>
      <c r="D3463" s="914"/>
    </row>
    <row r="3464" spans="1:4">
      <c r="A3464" s="15"/>
      <c r="B3464" s="15"/>
      <c r="C3464" s="697"/>
      <c r="D3464" s="914"/>
    </row>
    <row r="3465" spans="1:4">
      <c r="A3465" s="15"/>
      <c r="B3465" s="15"/>
      <c r="C3465" s="697"/>
      <c r="D3465" s="914"/>
    </row>
    <row r="3466" spans="1:4">
      <c r="A3466" s="15"/>
      <c r="B3466" s="15"/>
      <c r="C3466" s="697"/>
      <c r="D3466" s="914"/>
    </row>
    <row r="3467" spans="1:4">
      <c r="A3467" s="15"/>
      <c r="B3467" s="15"/>
      <c r="C3467" s="697"/>
      <c r="D3467" s="914"/>
    </row>
    <row r="3468" spans="1:4">
      <c r="A3468" s="15"/>
      <c r="B3468" s="15"/>
      <c r="C3468" s="697"/>
      <c r="D3468" s="914"/>
    </row>
    <row r="3469" spans="1:4">
      <c r="A3469" s="15"/>
      <c r="B3469" s="15"/>
      <c r="C3469" s="697"/>
      <c r="D3469" s="914"/>
    </row>
    <row r="3470" spans="1:4">
      <c r="A3470" s="15"/>
      <c r="B3470" s="15"/>
      <c r="C3470" s="697"/>
      <c r="D3470" s="914"/>
    </row>
    <row r="3471" spans="1:4">
      <c r="A3471" s="15"/>
      <c r="B3471" s="15"/>
      <c r="C3471" s="697"/>
      <c r="D3471" s="914"/>
    </row>
    <row r="3472" spans="1:4">
      <c r="A3472" s="15"/>
      <c r="B3472" s="15"/>
      <c r="C3472" s="697"/>
      <c r="D3472" s="914"/>
    </row>
    <row r="3473" spans="1:4">
      <c r="A3473" s="15"/>
      <c r="B3473" s="15"/>
      <c r="C3473" s="697"/>
      <c r="D3473" s="914"/>
    </row>
    <row r="3474" spans="1:4">
      <c r="A3474" s="15"/>
      <c r="B3474" s="15"/>
      <c r="C3474" s="697"/>
      <c r="D3474" s="914"/>
    </row>
    <row r="3475" spans="1:4">
      <c r="A3475" s="15"/>
      <c r="B3475" s="15"/>
      <c r="C3475" s="697"/>
      <c r="D3475" s="914"/>
    </row>
    <row r="3476" spans="1:4">
      <c r="A3476" s="15"/>
      <c r="B3476" s="15"/>
      <c r="C3476" s="697"/>
      <c r="D3476" s="914"/>
    </row>
    <row r="3477" spans="1:4">
      <c r="A3477" s="15"/>
      <c r="B3477" s="15"/>
      <c r="C3477" s="697"/>
      <c r="D3477" s="914"/>
    </row>
    <row r="3478" spans="1:4">
      <c r="A3478" s="15"/>
      <c r="B3478" s="15"/>
      <c r="C3478" s="697"/>
      <c r="D3478" s="914"/>
    </row>
    <row r="3479" spans="1:4">
      <c r="A3479" s="15"/>
      <c r="B3479" s="15"/>
      <c r="C3479" s="697"/>
      <c r="D3479" s="914"/>
    </row>
    <row r="3480" spans="1:4">
      <c r="A3480" s="15"/>
      <c r="B3480" s="15"/>
      <c r="C3480" s="697"/>
      <c r="D3480" s="914"/>
    </row>
    <row r="3481" spans="1:4">
      <c r="A3481" s="15"/>
      <c r="B3481" s="15"/>
      <c r="C3481" s="697"/>
      <c r="D3481" s="914"/>
    </row>
    <row r="3482" spans="1:4">
      <c r="A3482" s="15"/>
      <c r="B3482" s="15"/>
      <c r="C3482" s="697"/>
      <c r="D3482" s="914"/>
    </row>
    <row r="3483" spans="1:4">
      <c r="A3483" s="15"/>
      <c r="B3483" s="15"/>
      <c r="C3483" s="697"/>
      <c r="D3483" s="914"/>
    </row>
    <row r="3484" spans="1:4">
      <c r="A3484" s="15"/>
      <c r="B3484" s="15"/>
      <c r="C3484" s="697"/>
      <c r="D3484" s="914"/>
    </row>
    <row r="3485" spans="1:4">
      <c r="A3485" s="15"/>
      <c r="B3485" s="15"/>
      <c r="C3485" s="697"/>
      <c r="D3485" s="914"/>
    </row>
    <row r="3486" spans="1:4">
      <c r="A3486" s="15"/>
      <c r="B3486" s="15"/>
      <c r="C3486" s="697"/>
      <c r="D3486" s="914"/>
    </row>
    <row r="3487" spans="1:4">
      <c r="A3487" s="15"/>
      <c r="B3487" s="15"/>
      <c r="C3487" s="697"/>
      <c r="D3487" s="914"/>
    </row>
    <row r="3488" spans="1:4">
      <c r="A3488" s="15"/>
      <c r="B3488" s="15"/>
      <c r="C3488" s="697"/>
      <c r="D3488" s="914"/>
    </row>
    <row r="3489" spans="1:4">
      <c r="A3489" s="15"/>
      <c r="B3489" s="15"/>
      <c r="C3489" s="697"/>
      <c r="D3489" s="914"/>
    </row>
    <row r="3490" spans="1:4">
      <c r="A3490" s="15"/>
      <c r="B3490" s="15"/>
      <c r="C3490" s="697"/>
      <c r="D3490" s="914"/>
    </row>
    <row r="3491" spans="1:4">
      <c r="A3491" s="15"/>
      <c r="B3491" s="15"/>
      <c r="C3491" s="697"/>
      <c r="D3491" s="914"/>
    </row>
    <row r="3492" spans="1:4">
      <c r="A3492" s="15"/>
      <c r="B3492" s="15"/>
      <c r="C3492" s="697"/>
      <c r="D3492" s="914"/>
    </row>
    <row r="3493" spans="1:4">
      <c r="A3493" s="15"/>
      <c r="B3493" s="15"/>
      <c r="C3493" s="697"/>
      <c r="D3493" s="914"/>
    </row>
    <row r="3494" spans="1:4">
      <c r="A3494" s="15"/>
      <c r="B3494" s="15"/>
      <c r="C3494" s="697"/>
      <c r="D3494" s="914"/>
    </row>
    <row r="3495" spans="1:4">
      <c r="A3495" s="15"/>
      <c r="B3495" s="15"/>
      <c r="C3495" s="697"/>
      <c r="D3495" s="914"/>
    </row>
  </sheetData>
  <mergeCells count="29">
    <mergeCell ref="C261:D266"/>
    <mergeCell ref="C277:D278"/>
    <mergeCell ref="C353:D354"/>
    <mergeCell ref="C23:D24"/>
    <mergeCell ref="C95:D96"/>
    <mergeCell ref="C37:D37"/>
    <mergeCell ref="C86:D87"/>
    <mergeCell ref="C304:D305"/>
    <mergeCell ref="C584:D585"/>
    <mergeCell ref="C503:D505"/>
    <mergeCell ref="C495:D500"/>
    <mergeCell ref="C568:D573"/>
    <mergeCell ref="C576:D577"/>
    <mergeCell ref="C9:D9"/>
    <mergeCell ref="C269:D270"/>
    <mergeCell ref="C202:D203"/>
    <mergeCell ref="C405:D406"/>
    <mergeCell ref="C511:D512"/>
    <mergeCell ref="C361:D362"/>
    <mergeCell ref="C105:D105"/>
    <mergeCell ref="C139:D140"/>
    <mergeCell ref="C194:D199"/>
    <mergeCell ref="C210:D211"/>
    <mergeCell ref="C176:D176"/>
    <mergeCell ref="C166:D167"/>
    <mergeCell ref="C317:D317"/>
    <mergeCell ref="C345:D350"/>
    <mergeCell ref="C220:D221"/>
    <mergeCell ref="C233:D233"/>
  </mergeCells>
  <printOptions horizontalCentered="1"/>
  <pageMargins left="0.59055118110236227" right="0.59055118110236227" top="1.1811023622047245" bottom="0.98425196850393704" header="0" footer="0.47244094488188981"/>
  <pageSetup paperSize="9" scale="60" fitToHeight="3" orientation="landscape" r:id="rId1"/>
  <headerFooter alignWithMargins="0">
    <oddFooter xml:space="preserve">&amp;C&amp;"Times New Roman,Normal"&amp;12&amp;F   -   &amp;A&amp;R&amp;"Times New Roman,Normal"&amp;12&amp;P/&amp;N </oddFooter>
  </headerFooter>
  <rowBreaks count="3" manualBreakCount="3">
    <brk id="92" max="20" man="1"/>
    <brk id="93" max="20" man="1"/>
    <brk id="410"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22</vt:i4>
      </vt:variant>
    </vt:vector>
  </HeadingPairs>
  <TitlesOfParts>
    <vt:vector size="36" baseType="lpstr">
      <vt:lpstr>Valeurs Jalons Air</vt:lpstr>
      <vt:lpstr>Substances</vt:lpstr>
      <vt:lpstr>Sols</vt:lpstr>
      <vt:lpstr>3phas</vt:lpstr>
      <vt:lpstr>Du K</vt:lpstr>
      <vt:lpstr>EmVap-Vol</vt:lpstr>
      <vt:lpstr>Dispers</vt:lpstr>
      <vt:lpstr>FEM</vt:lpstr>
      <vt:lpstr>ExpoRisk</vt:lpstr>
      <vt:lpstr>Récap1</vt:lpstr>
      <vt:lpstr>Sensibilité</vt:lpstr>
      <vt:lpstr>HCT1</vt:lpstr>
      <vt:lpstr>HCT2</vt:lpstr>
      <vt:lpstr>Récap2</vt:lpstr>
      <vt:lpstr>'3phas'!Impression_des_titres</vt:lpstr>
      <vt:lpstr>Dispers!Impression_des_titres</vt:lpstr>
      <vt:lpstr>'Du K'!Impression_des_titres</vt:lpstr>
      <vt:lpstr>'EmVap-Vol'!Impression_des_titres</vt:lpstr>
      <vt:lpstr>ExpoRisk!Impression_des_titres</vt:lpstr>
      <vt:lpstr>'HCT2'!Impression_des_titres</vt:lpstr>
      <vt:lpstr>Récap1!Impression_des_titres</vt:lpstr>
      <vt:lpstr>Récap2!Impression_des_titres</vt:lpstr>
      <vt:lpstr>Sensibilité!Impression_des_titres</vt:lpstr>
      <vt:lpstr>Substances!Impression_des_titres</vt:lpstr>
      <vt:lpstr>'3phas'!Zone_d_impression</vt:lpstr>
      <vt:lpstr>Dispers!Zone_d_impression</vt:lpstr>
      <vt:lpstr>'Du K'!Zone_d_impression</vt:lpstr>
      <vt:lpstr>'EmVap-Vol'!Zone_d_impression</vt:lpstr>
      <vt:lpstr>ExpoRisk!Zone_d_impression</vt:lpstr>
      <vt:lpstr>FEM!Zone_d_impression</vt:lpstr>
      <vt:lpstr>'HCT2'!Zone_d_impression</vt:lpstr>
      <vt:lpstr>Récap1!Zone_d_impression</vt:lpstr>
      <vt:lpstr>Récap2!Zone_d_impression</vt:lpstr>
      <vt:lpstr>Sensibilité!Zone_d_impression</vt:lpstr>
      <vt:lpstr>Sols!Zone_d_impression</vt:lpstr>
      <vt:lpstr>Substances!Zone_d_impression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Hazebrouck</dc:creator>
  <cp:keywords/>
  <dc:description/>
  <cp:lastModifiedBy>HAZEBROUCK</cp:lastModifiedBy>
  <cp:lastPrinted>2011-10-05T03:31:25Z</cp:lastPrinted>
  <dcterms:created xsi:type="dcterms:W3CDTF">2002-02-06T15:41:47Z</dcterms:created>
  <dcterms:modified xsi:type="dcterms:W3CDTF">2012-05-13T13:06:07Z</dcterms:modified>
</cp:coreProperties>
</file>